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245" yWindow="645" windowWidth="17010" windowHeight="7845" tabRatio="729"/>
  </bookViews>
  <sheets>
    <sheet name="ImportantDisclosures" sheetId="236" r:id="rId1"/>
    <sheet name="SheetVisibilityStatus" sheetId="240" state="veryHidden" r:id="rId2"/>
    <sheet name="CircularReferenceAlert" sheetId="239" r:id="rId3"/>
    <sheet name="Valuation" sheetId="223" state="veryHidden" r:id="rId4"/>
    <sheet name="DCF" sheetId="230" state="veryHidden" r:id="rId5"/>
    <sheet name="SOTP" sheetId="227" state="veryHidden" r:id="rId6"/>
    <sheet name="Financials" sheetId="1" state="veryHidden" r:id="rId7"/>
    <sheet name="MW-Cache" sheetId="155" state="veryHidden" r:id="rId8"/>
    <sheet name="__FDSCACHE__" sheetId="178" state="veryHidden" r:id="rId9"/>
    <sheet name="Segments" sheetId="229" state="veryHidden" r:id="rId10"/>
    <sheet name="Earnings" sheetId="222" state="veryHidden" r:id="rId11"/>
    <sheet name="Changes" sheetId="226" state="veryHidden" r:id="rId12"/>
    <sheet name="Guidance" sheetId="225" state="veryHidden" r:id="rId13"/>
    <sheet name="IndexInformation" sheetId="237" state="veryHidden" r:id="rId14"/>
    <sheet name="ModPubIndex" sheetId="238" state="veryHidden" r:id="rId15"/>
  </sheets>
  <definedNames>
    <definedName name="__abc1" localSheetId="5" hidden="1">{"cover a","2q",FALSE,"Cover";"Op Earn Mgd Q2",#N/A,FALSE,"Op-Earn (Mng)";"Op Earn Rpt Q2",#N/A,FALSE,"Op-Earn (Rpt)";"Loans",#N/A,FALSE,"Loans";"Credit Costs",#N/A,FALSE,"CCosts";"Net Interest Margin",#N/A,FALSE,"Margin";"Nonint Income",#N/A,FALSE,"NonII";"Nonint Exp",#N/A,FALSE,"NonIE";"Valuation",#N/A,FALSE,"Valuation"}</definedName>
    <definedName name="__abc1" hidden="1">{"cover a","2q",FALSE,"Cover";"Op Earn Mgd Q2",#N/A,FALSE,"Op-Earn (Mng)";"Op Earn Rpt Q2",#N/A,FALSE,"Op-Earn (Rpt)";"Loans",#N/A,FALSE,"Loans";"Credit Costs",#N/A,FALSE,"CCosts";"Net Interest Margin",#N/A,FALSE,"Margin";"Nonint Income",#N/A,FALSE,"NonII";"Nonint Exp",#N/A,FALSE,"NonIE";"Valuation",#N/A,FALSE,"Valuation"}</definedName>
    <definedName name="__FDS_HYPERLINK_TOGGLE_STATE__" hidden="1">"ON"</definedName>
    <definedName name="__FDS_UNIQUE_RANGE_ID_GENERATOR_COUNTER" hidden="1">1</definedName>
    <definedName name="__old1" hidden="1">{"PPE-1",#N/A,TRUE,"SNT";"PPE-2",#N/A,TRUE,"SNT";"INC-SNT",#N/A,TRUE,"SNT";"EARN-SNT",#N/A,TRUE,"SNT";"SUMM-SNT",#N/A,TRUE,"SNT";"CASH-SNT",#N/A,TRUE,"SNT";"BAL-SNT",#N/A,TRUE,"SNT";"RATIO-1",#N/A,TRUE,"SNT";"SIP-SNT",#N/A,TRUE,"SNT";"SOP-SNT",#N/A,TRUE,"SNT";"valuation-snt",#N/A,TRUE,"Valuation";"TRANS-SNT",#N/A,TRUE,"Transmission";"reserve-snt",#N/A,TRUE,"E&amp;P";"e&amp;p-snt",#N/A,TRUE,"E&amp;P";"energy-snt",#N/A,TRUE,"Energy Services";"RATIO-2",#N/A,TRUE,"SNT"}</definedName>
    <definedName name="__old2" hidden="1">{"PPE-1",#N/A,TRUE,"SNT";"PPE-2",#N/A,TRUE,"SNT";"INC-SNT",#N/A,TRUE,"SNT";"EARN-SNT",#N/A,TRUE,"SNT";"SUMM-SNT",#N/A,TRUE,"SNT";"CASH-SNT",#N/A,TRUE,"SNT";"BAL-SNT",#N/A,TRUE,"SNT";"RATIO-1",#N/A,TRUE,"SNT";"SIP-SNT",#N/A,TRUE,"SNT";"SOP-SNT",#N/A,TRUE,"SNT";"valuation-snt",#N/A,TRUE,"Valuation";"TRANS-SNT",#N/A,TRUE,"Transmission";"reserve-snt",#N/A,TRUE,"E&amp;P";"e&amp;p-snt",#N/A,TRUE,"E&amp;P";"energy-snt",#N/A,TRUE,"Energy Services";"RATIO-2",#N/A,TRUE,"SNT"}</definedName>
    <definedName name="_1__FDSAUDITLINK__" localSheetId="12" hidden="1">{"fdsup://directions/FAT Viewer?action=UPDATE&amp;creator=factset&amp;DYN_ARGS=TRUE&amp;DOC_NAME=FAT:FQL_AUDITING_CLIENT_TEMPLATE.FAT&amp;display_string=Audit&amp;VAR:KEY=XWZOZMPGZW&amp;VAR:QUERY=RkZfRUJJVERBX09QRVIoQU5OLDEvMS8yMDAwLDEvMjYvMjAwMixDWSk=&amp;WINDOW=FIRST_POPUP&amp;HEIGHT=45","0&amp;WIDTH=450&amp;START_MAXIMIZED=FALSE&amp;VAR:CALENDAR=US&amp;VAR:SYMBOL=BWA&amp;VAR:INDEX=1"}</definedName>
    <definedName name="_1__FDSAUDITLINK__" localSheetId="5" hidden="1">{"fdsup://directions/FAT Viewer?action=UPDATE&amp;creator=factset&amp;DYN_ARGS=TRUE&amp;DOC_NAME=FAT:FQL_AUDITING_CLIENT_TEMPLATE.FAT&amp;display_string=Audit&amp;VAR:KEY=XWZOZMPGZW&amp;VAR:QUERY=RkZfRUJJVERBX09QRVIoQU5OLDEvMS8yMDAwLDEvMjYvMjAwMixDWSk=&amp;WINDOW=FIRST_POPUP&amp;HEIGHT=45","0&amp;WIDTH=450&amp;START_MAXIMIZED=FALSE&amp;VAR:CALENDAR=US&amp;VAR:SYMBOL=BWA&amp;VAR:INDEX=1"}</definedName>
    <definedName name="_1__FDSAUDITLINK__" localSheetId="3" hidden="1">{"fdsup://directions/FAT Viewer?action=UPDATE&amp;creator=factset&amp;DYN_ARGS=TRUE&amp;DOC_NAME=FAT:FQL_AUDITING_CLIENT_TEMPLATE.FAT&amp;display_string=Audit&amp;VAR:KEY=RELINIDUNI&amp;VAR:QUERY=RkVfVkFMVUFUSU9OKCdQQlBTJywnTUVBTicsJ0FOTlVBTCcsMjAxMiwwLCwsJycp&amp;WINDOW=FIRST_POPUP&amp;H","EIGHT=450&amp;WIDTH=450&amp;START_MAXIMIZED=FALSE&amp;VAR:CALENDAR=FIVEDAY&amp;VAR:SYMBOL=671499&amp;VAR:INDEX=0"}</definedName>
    <definedName name="_1__FDSAUDITLINK__" hidden="1">{"fdsup://directions/FAT Viewer?action=UPDATE&amp;creator=factset&amp;DYN_ARGS=TRUE&amp;DOC_NAME=FAT:FQL_AUDITING_CLIENT_TEMPLATE.FAT&amp;display_string=Audit&amp;VAR:KEY=XWZOZMPGZW&amp;VAR:QUERY=RkZfRUJJVERBX09QRVIoQU5OLDEvMS8yMDAwLDEvMjYvMjAwMixDWSk=&amp;WINDOW=FIRST_POPUP&amp;HEIGHT=45","0&amp;WIDTH=450&amp;START_MAXIMIZED=FALSE&amp;VAR:CALENDAR=US&amp;VAR:SYMBOL=BWA&amp;VAR:INDEX=1"}</definedName>
    <definedName name="_10__FDSAUDITLINK__" localSheetId="12" hidden="1">{"fdsup://directions/FAT Viewer?action=UPDATE&amp;creator=factset&amp;DYN_ARGS=TRUE&amp;DOC_NAME=FAT:FQL_AUDITING_CLIENT_TEMPLATE.FAT&amp;display_string=Audit&amp;VAR:KEY=DYHONQXAZS&amp;VAR:QUERY=RkVfVkFMVUFUSU9OKCdQQlBTJywnTUVBTicsJ0FOTlVBTCcsMjAwOSwwLCwsJycp&amp;WINDOW=FIRST_POPUP&amp;H","EIGHT=450&amp;WIDTH=450&amp;START_MAXIMIZED=FALSE&amp;VAR:CALENDAR=FIVEDAY&amp;VAR:SYMBOL=648963&amp;VAR:INDEX=0"}</definedName>
    <definedName name="_10__FDSAUDITLINK__" localSheetId="5" hidden="1">{"fdsup://directions/FAT Viewer?action=UPDATE&amp;creator=factset&amp;DYN_ARGS=TRUE&amp;DOC_NAME=FAT:FQL_AUDITING_CLIENT_TEMPLATE.FAT&amp;display_string=Audit&amp;VAR:KEY=DYHONQXAZS&amp;VAR:QUERY=RkVfVkFMVUFUSU9OKCdQQlBTJywnTUVBTicsJ0FOTlVBTCcsMjAwOSwwLCwsJycp&amp;WINDOW=FIRST_POPUP&amp;H","EIGHT=450&amp;WIDTH=450&amp;START_MAXIMIZED=FALSE&amp;VAR:CALENDAR=FIVEDAY&amp;VAR:SYMBOL=648963&amp;VAR:INDEX=0"}</definedName>
    <definedName name="_10__FDSAUDITLINK__" localSheetId="3" hidden="1">{"fdsup://directions/FAT Viewer?action=UPDATE&amp;creator=factset&amp;DYN_ARGS=TRUE&amp;DOC_NAME=FAT:FQL_AUDITING_CLIENT_TEMPLATE.FAT&amp;display_string=Audit&amp;VAR:KEY=DYHONQXAZS&amp;VAR:QUERY=RkVfVkFMVUFUSU9OKCdQQlBTJywnTUVBTicsJ0FOTlVBTCcsMjAwOSwwLCwsJycp&amp;WINDOW=FIRST_POPUP&amp;H","EIGHT=450&amp;WIDTH=450&amp;START_MAXIMIZED=FALSE&amp;VAR:CALENDAR=FIVEDAY&amp;VAR:SYMBOL=648963&amp;VAR:INDEX=0"}</definedName>
    <definedName name="_10__FDSAUDITLINK__" hidden="1">{"fdsup://directions/FAT Viewer?action=UPDATE&amp;creator=factset&amp;DYN_ARGS=TRUE&amp;DOC_NAME=FAT:FQL_AUDITING_CLIENT_TEMPLATE.FAT&amp;display_string=Audit&amp;VAR:KEY=DYHONQXAZS&amp;VAR:QUERY=RkVfVkFMVUFUSU9OKCdQQlBTJywnTUVBTicsJ0FOTlVBTCcsMjAwOSwwLCwsJycp&amp;WINDOW=FIRST_POPUP&amp;H","EIGHT=450&amp;WIDTH=450&amp;START_MAXIMIZED=FALSE&amp;VAR:CALENDAR=FIVEDAY&amp;VAR:SYMBOL=648963&amp;VAR:INDEX=0"}</definedName>
    <definedName name="_100__FDSAUDITLINK__" localSheetId="12"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00__FDSAUDITLINK__" localSheetId="5"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00__FDSAUDITLINK__" localSheetId="3"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00__FDSAUDITLINK__"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00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0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0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0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0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0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0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0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08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00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1__FDSAUDITLINK__" localSheetId="12"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01__FDSAUDITLINK__" localSheetId="5"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01__FDSAUDITLINK__" localSheetId="3"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01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01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1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1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1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1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1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1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1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1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1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2__FDSAUDITLINK__" localSheetId="12"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02__FDSAUDITLINK__" localSheetId="5"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02__FDSAUDITLINK__" localSheetId="3"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02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02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2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2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2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2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25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02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2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2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2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3__FDSAUDITLINK__" localSheetId="12"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03__FDSAUDITLINK__" localSheetId="5"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03__FDSAUDITLINK__" localSheetId="3"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03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03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3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3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3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3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3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3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3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3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3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4__FDSAUDITLINK__" localSheetId="12"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04__FDSAUDITLINK__" localSheetId="5"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04__FDSAUDITLINK__" localSheetId="3"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04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04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4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42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04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4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4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4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4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4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4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5__FDSAUDITLINK__" localSheetId="12"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05__FDSAUDITLINK__" localSheetId="5"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05__FDSAUDITLINK__" localSheetId="3"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05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05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5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5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5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5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5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5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5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5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59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06__FDSAUDITLINK__" localSheetId="12"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06__FDSAUDITLINK__" localSheetId="5"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06__FDSAUDITLINK__" localSheetId="3"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06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06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6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6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6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6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6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6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6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6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6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7__FDSAUDITLINK__" localSheetId="12"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07__FDSAUDITLINK__" localSheetId="5"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07__FDSAUDITLINK__" localSheetId="3"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07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07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7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7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7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7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7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76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07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7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7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8__FDSAUDITLINK__" localSheetId="12"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08__FDSAUDITLINK__" localSheetId="5"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08__FDSAUDITLINK__" localSheetId="3"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08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08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8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8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8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8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8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8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8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8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8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9__FDSAUDITLINK__" localSheetId="12"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09__FDSAUDITLINK__" localSheetId="5"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09__FDSAUDITLINK__" localSheetId="3"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09__FDSAUDITLINK__"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09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9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9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93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09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9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9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9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9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9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__FDSAUDITLINK__" localSheetId="12" hidden="1">{"fdsup://directions/FAT Viewer?action=UPDATE&amp;creator=factset&amp;DYN_ARGS=TRUE&amp;DOC_NAME=FAT:FQL_AUDITING_CLIENT_TEMPLATE.FAT&amp;display_string=Audit&amp;VAR:KEY=DYHONQXAZS&amp;VAR:QUERY=RkVfVkFMVUFUSU9OKCdQQlBTJywnTUVBTicsJ0FOTlVBTCcsMjAwOSwwLCwsJycp&amp;WINDOW=FIRST_POPUP&amp;H","EIGHT=450&amp;WIDTH=450&amp;START_MAXIMIZED=FALSE&amp;VAR:CALENDAR=FIVEDAY&amp;VAR:SYMBOL=648963&amp;VAR:INDEX=0"}</definedName>
    <definedName name="_11__FDSAUDITLINK__" localSheetId="5" hidden="1">{"fdsup://directions/FAT Viewer?action=UPDATE&amp;creator=factset&amp;DYN_ARGS=TRUE&amp;DOC_NAME=FAT:FQL_AUDITING_CLIENT_TEMPLATE.FAT&amp;display_string=Audit&amp;VAR:KEY=DYHONQXAZS&amp;VAR:QUERY=RkVfVkFMVUFUSU9OKCdQQlBTJywnTUVBTicsJ0FOTlVBTCcsMjAwOSwwLCwsJycp&amp;WINDOW=FIRST_POPUP&amp;H","EIGHT=450&amp;WIDTH=450&amp;START_MAXIMIZED=FALSE&amp;VAR:CALENDAR=FIVEDAY&amp;VAR:SYMBOL=648963&amp;VAR:INDEX=0"}</definedName>
    <definedName name="_11__FDSAUDITLINK__" localSheetId="3" hidden="1">{"fdsup://directions/FAT Viewer?action=UPDATE&amp;creator=factset&amp;DYN_ARGS=TRUE&amp;DOC_NAME=FAT:FQL_AUDITING_CLIENT_TEMPLATE.FAT&amp;display_string=Audit&amp;VAR:KEY=DYHONQXAZS&amp;VAR:QUERY=RkVfVkFMVUFUSU9OKCdQQlBTJywnTUVBTicsJ0FOTlVBTCcsMjAwOSwwLCwsJycp&amp;WINDOW=FIRST_POPUP&amp;H","EIGHT=450&amp;WIDTH=450&amp;START_MAXIMIZED=FALSE&amp;VAR:CALENDAR=FIVEDAY&amp;VAR:SYMBOL=648963&amp;VAR:INDEX=0"}</definedName>
    <definedName name="_11__FDSAUDITLINK__" hidden="1">{"fdsup://directions/FAT Viewer?action=UPDATE&amp;creator=factset&amp;DYN_ARGS=TRUE&amp;DOC_NAME=FAT:FQL_AUDITING_CLIENT_TEMPLATE.FAT&amp;display_string=Audit&amp;VAR:KEY=DYHONQXAZS&amp;VAR:QUERY=RkVfVkFMVUFUSU9OKCdQQlBTJywnTUVBTicsJ0FOTlVBTCcsMjAwOSwwLCwsJycp&amp;WINDOW=FIRST_POPUP&amp;H","EIGHT=450&amp;WIDTH=450&amp;START_MAXIMIZED=FALSE&amp;VAR:CALENDAR=FIVEDAY&amp;VAR:SYMBOL=648963&amp;VAR:INDEX=0"}</definedName>
    <definedName name="_110__FDSAUDITLINK__" localSheetId="12"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10__FDSAUDITLINK__" localSheetId="5"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10__FDSAUDITLINK__" localSheetId="3"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10__FDSAUDITLINK__"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10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0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0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0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0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0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0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0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0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0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1__FDSAUDITLINK__" localSheetId="12"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11__FDSAUDITLINK__" localSheetId="5"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11__FDSAUDITLINK__" localSheetId="3"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11__FDSAUDITLINK__"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110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11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1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1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1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1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1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1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1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1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2__FDSAUDITLINK__" localSheetId="12"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12__FDSAUDITLINK__" localSheetId="5"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12__FDSAUDITLINK__" localSheetId="3"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12__FDSAUDITLINK__"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12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2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2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2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2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2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2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27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12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2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3__FDSAUDITLINK__" localSheetId="12"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13__FDSAUDITLINK__" localSheetId="5"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13__FDSAUDITLINK__" localSheetId="3"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13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13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3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3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3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3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3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3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3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3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3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4__FDSAUDITLINK__" localSheetId="12"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14__FDSAUDITLINK__" localSheetId="5"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14__FDSAUDITLINK__" localSheetId="3"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14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14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4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4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4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44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14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4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4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4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4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5__FDSAUDITLINK__" localSheetId="12"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15__FDSAUDITLINK__" localSheetId="5"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15__FDSAUDITLINK__" localSheetId="3"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15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15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5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5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5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5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5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5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5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5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5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6__FDSAUDITLINK__" localSheetId="12"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16__FDSAUDITLINK__" localSheetId="5"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16__FDSAUDITLINK__" localSheetId="3"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16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16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61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16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6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6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6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6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6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6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6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7__FDSAUDITLINK__" localSheetId="12"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17__FDSAUDITLINK__" localSheetId="5"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17__FDSAUDITLINK__" localSheetId="3"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17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17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7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7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7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7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7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7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7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78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17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8__FDSAUDITLINK__" localSheetId="12"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18__FDSAUDITLINK__" localSheetId="5"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18__FDSAUDITLINK__" localSheetId="3"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18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18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8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8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8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8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8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8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8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8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8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9__FDSAUDITLINK__" localSheetId="12"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19__FDSAUDITLINK__" localSheetId="5"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19__FDSAUDITLINK__" localSheetId="3"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19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19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9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9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9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9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95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19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9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9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9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__FDSAUDITLINK__" localSheetId="12" hidden="1">{"fdsup://directions/FAT Viewer?action=UPDATE&amp;creator=factset&amp;DYN_ARGS=TRUE&amp;DOC_NAME=FAT:FQL_AUDITING_CLIENT_TEMPLATE.FAT&amp;display_string=Audit&amp;VAR:KEY=DGFSNGJUZG&amp;VAR:QUERY=RkVfVkFMVUFUSU9OKCdQQlBTJywnTUVBTicsJ0FOTlVBTCcsMjAxMiwwLCwsJycp&amp;WINDOW=FIRST_POPUP&amp;H","EIGHT=450&amp;WIDTH=450&amp;START_MAXIMIZED=FALSE&amp;VAR:CALENDAR=FIVEDAY&amp;VAR:SYMBOL=615143&amp;VAR:INDEX=0"}</definedName>
    <definedName name="_12__FDSAUDITLINK__" localSheetId="5" hidden="1">{"fdsup://directions/FAT Viewer?action=UPDATE&amp;creator=factset&amp;DYN_ARGS=TRUE&amp;DOC_NAME=FAT:FQL_AUDITING_CLIENT_TEMPLATE.FAT&amp;display_string=Audit&amp;VAR:KEY=DGFSNGJUZG&amp;VAR:QUERY=RkVfVkFMVUFUSU9OKCdQQlBTJywnTUVBTicsJ0FOTlVBTCcsMjAxMiwwLCwsJycp&amp;WINDOW=FIRST_POPUP&amp;H","EIGHT=450&amp;WIDTH=450&amp;START_MAXIMIZED=FALSE&amp;VAR:CALENDAR=FIVEDAY&amp;VAR:SYMBOL=615143&amp;VAR:INDEX=0"}</definedName>
    <definedName name="_12__FDSAUDITLINK__" localSheetId="3" hidden="1">{"fdsup://directions/FAT Viewer?action=UPDATE&amp;creator=factset&amp;DYN_ARGS=TRUE&amp;DOC_NAME=FAT:FQL_AUDITING_CLIENT_TEMPLATE.FAT&amp;display_string=Audit&amp;VAR:KEY=DGFSNGJUZG&amp;VAR:QUERY=RkVfVkFMVUFUSU9OKCdQQlBTJywnTUVBTicsJ0FOTlVBTCcsMjAxMiwwLCwsJycp&amp;WINDOW=FIRST_POPUP&amp;H","EIGHT=450&amp;WIDTH=450&amp;START_MAXIMIZED=FALSE&amp;VAR:CALENDAR=FIVEDAY&amp;VAR:SYMBOL=615143&amp;VAR:INDEX=0"}</definedName>
    <definedName name="_12__FDSAUDITLINK__" hidden="1">{"fdsup://directions/FAT Viewer?action=UPDATE&amp;creator=factset&amp;DYN_ARGS=TRUE&amp;DOC_NAME=FAT:FQL_AUDITING_CLIENT_TEMPLATE.FAT&amp;display_string=Audit&amp;VAR:KEY=DGFSNGJUZG&amp;VAR:QUERY=RkVfVkFMVUFUSU9OKCdQQlBTJywnTUVBTicsJ0FOTlVBTCcsMjAxMiwwLCwsJycp&amp;WINDOW=FIRST_POPUP&amp;H","EIGHT=450&amp;WIDTH=450&amp;START_MAXIMIZED=FALSE&amp;VAR:CALENDAR=FIVEDAY&amp;VAR:SYMBOL=615143&amp;VAR:INDEX=0"}</definedName>
    <definedName name="_120__FDSAUDITLINK__" localSheetId="12"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20__FDSAUDITLINK__" localSheetId="5"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20__FDSAUDITLINK__" localSheetId="3"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20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20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0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0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0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0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0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0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0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0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0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1__FDSAUDITLINK__" localSheetId="12"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21__FDSAUDITLINK__" localSheetId="5"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21__FDSAUDITLINK__" localSheetId="3"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21__FDSAUDITLINK__"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21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1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12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21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1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1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1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1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1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1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2__FDSAUDITLINK__" localSheetId="12"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22__FDSAUDITLINK__" localSheetId="5"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22__FDSAUDITLINK__" localSheetId="3"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22__FDSAUDITLINK__"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22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2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2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2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2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2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2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2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2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29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23__FDSAUDITLINK__" localSheetId="12"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23__FDSAUDITLINK__" localSheetId="5"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23__FDSAUDITLINK__" localSheetId="3"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23__FDSAUDITLINK__"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23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3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3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3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3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3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3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3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3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3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4__FDSAUDITLINK__" localSheetId="12"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24__FDSAUDITLINK__" localSheetId="5"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24__FDSAUDITLINK__" localSheetId="3"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24__FDSAUDITLINK__"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24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4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4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4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4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4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46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24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4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4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5__FDSAUDITLINK__" localSheetId="12"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25__FDSAUDITLINK__" localSheetId="5"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25__FDSAUDITLINK__" localSheetId="3"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25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25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5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5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5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5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5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5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5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5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5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6__FDSAUDITLINK__" localSheetId="12"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26__FDSAUDITLINK__" localSheetId="5"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26__FDSAUDITLINK__" localSheetId="3"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26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26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6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6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63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26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6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6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6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6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6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7__FDSAUDITLINK__" localSheetId="12"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27__FDSAUDITLINK__" localSheetId="5"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27__FDSAUDITLINK__" localSheetId="3"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27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27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7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7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7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7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7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7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7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7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7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8__FDSAUDITLINK__" localSheetId="12"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28__FDSAUDITLINK__" localSheetId="5"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28__FDSAUDITLINK__" localSheetId="3"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28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280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28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8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8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8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8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8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8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8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8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9__FDSAUDITLINK__" localSheetId="12"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29__FDSAUDITLINK__" localSheetId="5"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29__FDSAUDITLINK__" localSheetId="3"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29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29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9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9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9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9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9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9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97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29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9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__FDSAUDITLINK__" localSheetId="12" hidden="1">{"fdsup://directions/FAT Viewer?action=UPDATE&amp;creator=factset&amp;DYN_ARGS=TRUE&amp;DOC_NAME=FAT:FQL_AUDITING_CLIENT_TEMPLATE.FAT&amp;display_string=Audit&amp;VAR:KEY=BCBUFQRWTM&amp;VAR:QUERY=RkVfVkFMVUFUSU9OKCdQQlBTJywnTUVBTicsJ0FOTlVBTCcsMjAxMSwwLCwsJycp&amp;WINDOW=FIRST_POPUP&amp;H","EIGHT=450&amp;WIDTH=450&amp;START_MAXIMIZED=FALSE&amp;VAR:CALENDAR=FIVEDAY&amp;VAR:SYMBOL=615143&amp;VAR:INDEX=0"}</definedName>
    <definedName name="_13__FDSAUDITLINK__" localSheetId="5" hidden="1">{"fdsup://directions/FAT Viewer?action=UPDATE&amp;creator=factset&amp;DYN_ARGS=TRUE&amp;DOC_NAME=FAT:FQL_AUDITING_CLIENT_TEMPLATE.FAT&amp;display_string=Audit&amp;VAR:KEY=BCBUFQRWTM&amp;VAR:QUERY=RkVfVkFMVUFUSU9OKCdQQlBTJywnTUVBTicsJ0FOTlVBTCcsMjAxMSwwLCwsJycp&amp;WINDOW=FIRST_POPUP&amp;H","EIGHT=450&amp;WIDTH=450&amp;START_MAXIMIZED=FALSE&amp;VAR:CALENDAR=FIVEDAY&amp;VAR:SYMBOL=615143&amp;VAR:INDEX=0"}</definedName>
    <definedName name="_13__FDSAUDITLINK__" localSheetId="3" hidden="1">{"fdsup://directions/FAT Viewer?action=UPDATE&amp;creator=factset&amp;DYN_ARGS=TRUE&amp;DOC_NAME=FAT:FQL_AUDITING_CLIENT_TEMPLATE.FAT&amp;display_string=Audit&amp;VAR:KEY=BCBUFQRWTM&amp;VAR:QUERY=RkVfVkFMVUFUSU9OKCdQQlBTJywnTUVBTicsJ0FOTlVBTCcsMjAxMSwwLCwsJycp&amp;WINDOW=FIRST_POPUP&amp;H","EIGHT=450&amp;WIDTH=450&amp;START_MAXIMIZED=FALSE&amp;VAR:CALENDAR=FIVEDAY&amp;VAR:SYMBOL=615143&amp;VAR:INDEX=0"}</definedName>
    <definedName name="_13__FDSAUDITLINK__" hidden="1">{"fdsup://directions/FAT Viewer?action=UPDATE&amp;creator=factset&amp;DYN_ARGS=TRUE&amp;DOC_NAME=FAT:FQL_AUDITING_CLIENT_TEMPLATE.FAT&amp;display_string=Audit&amp;VAR:KEY=BCBUFQRWTM&amp;VAR:QUERY=RkVfVkFMVUFUSU9OKCdQQlBTJywnTUVBTicsJ0FOTlVBTCcsMjAxMSwwLCwsJycp&amp;WINDOW=FIRST_POPUP&amp;H","EIGHT=450&amp;WIDTH=450&amp;START_MAXIMIZED=FALSE&amp;VAR:CALENDAR=FIVEDAY&amp;VAR:SYMBOL=615143&amp;VAR:INDEX=0"}</definedName>
    <definedName name="_130__FDSAUDITLINK__" localSheetId="12"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30__FDSAUDITLINK__" localSheetId="5"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30__FDSAUDITLINK__" localSheetId="3"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30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30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0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0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0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0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0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0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0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0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0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1__FDSAUDITLINK__" localSheetId="12"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31__FDSAUDITLINK__" localSheetId="5"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31__FDSAUDITLINK__" localSheetId="3"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31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31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1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1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1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14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31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1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1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1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1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2__FDSAUDITLINK__" localSheetId="12"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32__FDSAUDITLINK__" localSheetId="5"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32__FDSAUDITLINK__" localSheetId="3"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32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32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2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2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2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2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2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2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2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2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2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3__FDSAUDITLINK__" localSheetId="12"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33__FDSAUDITLINK__" localSheetId="5"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33__FDSAUDITLINK__" localSheetId="3"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33__FDSAUDITLINK__"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33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31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33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3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3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3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3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3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3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3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4__FDSAUDITLINK__" localSheetId="12"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34__FDSAUDITLINK__" localSheetId="5"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34__FDSAUDITLINK__" localSheetId="3"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34__FDSAUDITLINK__"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34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4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4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4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4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4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4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4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48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34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5__FDSAUDITLINK__" localSheetId="12"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35__FDSAUDITLINK__" localSheetId="5"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35__FDSAUDITLINK__" localSheetId="3"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35__FDSAUDITLINK__"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35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5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5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5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5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5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5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5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5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5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6__FDSAUDITLINK__" localSheetId="12"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36__FDSAUDITLINK__" localSheetId="5"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36__FDSAUDITLINK__" localSheetId="3"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36__FDSAUDITLINK__"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36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6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6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6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6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65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36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6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6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6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7__FDSAUDITLINK__" localSheetId="12"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37__FDSAUDITLINK__" localSheetId="5"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37__FDSAUDITLINK__" localSheetId="3"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37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37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7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7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7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7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7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7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7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7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7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8__FDSAUDITLINK__" localSheetId="12"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38__FDSAUDITLINK__" localSheetId="5"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38__FDSAUDITLINK__" localSheetId="3"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38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38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8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82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38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8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8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8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8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8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8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9__FDSAUDITLINK__" localSheetId="12"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39__FDSAUDITLINK__" localSheetId="5"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39__FDSAUDITLINK__" localSheetId="3"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39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39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9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9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9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9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9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9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9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9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99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4__FDSAUDITLINK__" localSheetId="12" hidden="1">{"fdsup://directions/FAT Viewer?action=UPDATE&amp;creator=factset&amp;DYN_ARGS=TRUE&amp;DOC_NAME=FAT:FQL_AUDITING_CLIENT_TEMPLATE.FAT&amp;display_string=Audit&amp;VAR:KEY=VCFMTMNEHC&amp;VAR:QUERY=RkVfVkFMVUFUSU9OKCdQQlBTJywnTUVBTicsJ0FOTlVBTCcsMjAxMCwwLCwsJycp&amp;WINDOW=FIRST_POPUP&amp;H","EIGHT=450&amp;WIDTH=450&amp;START_MAXIMIZED=FALSE&amp;VAR:CALENDAR=FIVEDAY&amp;VAR:SYMBOL=615143&amp;VAR:INDEX=0"}</definedName>
    <definedName name="_14__FDSAUDITLINK__" localSheetId="5" hidden="1">{"fdsup://directions/FAT Viewer?action=UPDATE&amp;creator=factset&amp;DYN_ARGS=TRUE&amp;DOC_NAME=FAT:FQL_AUDITING_CLIENT_TEMPLATE.FAT&amp;display_string=Audit&amp;VAR:KEY=VCFMTMNEHC&amp;VAR:QUERY=RkVfVkFMVUFUSU9OKCdQQlBTJywnTUVBTicsJ0FOTlVBTCcsMjAxMCwwLCwsJycp&amp;WINDOW=FIRST_POPUP&amp;H","EIGHT=450&amp;WIDTH=450&amp;START_MAXIMIZED=FALSE&amp;VAR:CALENDAR=FIVEDAY&amp;VAR:SYMBOL=615143&amp;VAR:INDEX=0"}</definedName>
    <definedName name="_14__FDSAUDITLINK__" localSheetId="3" hidden="1">{"fdsup://directions/FAT Viewer?action=UPDATE&amp;creator=factset&amp;DYN_ARGS=TRUE&amp;DOC_NAME=FAT:FQL_AUDITING_CLIENT_TEMPLATE.FAT&amp;display_string=Audit&amp;VAR:KEY=VCFMTMNEHC&amp;VAR:QUERY=RkVfVkFMVUFUSU9OKCdQQlBTJywnTUVBTicsJ0FOTlVBTCcsMjAxMCwwLCwsJycp&amp;WINDOW=FIRST_POPUP&amp;H","EIGHT=450&amp;WIDTH=450&amp;START_MAXIMIZED=FALSE&amp;VAR:CALENDAR=FIVEDAY&amp;VAR:SYMBOL=615143&amp;VAR:INDEX=0"}</definedName>
    <definedName name="_14__FDSAUDITLINK__" hidden="1">{"fdsup://directions/FAT Viewer?action=UPDATE&amp;creator=factset&amp;DYN_ARGS=TRUE&amp;DOC_NAME=FAT:FQL_AUDITING_CLIENT_TEMPLATE.FAT&amp;display_string=Audit&amp;VAR:KEY=VCFMTMNEHC&amp;VAR:QUERY=RkVfVkFMVUFUSU9OKCdQQlBTJywnTUVBTicsJ0FOTlVBTCcsMjAxMCwwLCwsJycp&amp;WINDOW=FIRST_POPUP&amp;H","EIGHT=450&amp;WIDTH=450&amp;START_MAXIMIZED=FALSE&amp;VAR:CALENDAR=FIVEDAY&amp;VAR:SYMBOL=615143&amp;VAR:INDEX=0"}</definedName>
    <definedName name="_140__FDSAUDITLINK__" localSheetId="12"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40__FDSAUDITLINK__" localSheetId="5"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40__FDSAUDITLINK__" localSheetId="3"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40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40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0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0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0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0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0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0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0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0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0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1__FDSAUDITLINK__" localSheetId="12"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41__FDSAUDITLINK__" localSheetId="5"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41__FDSAUDITLINK__" localSheetId="3"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41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41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1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1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1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1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1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16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41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1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1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2__FDSAUDITLINK__" localSheetId="12"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42__FDSAUDITLINK__" localSheetId="5"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42__FDSAUDITLINK__" localSheetId="3"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42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42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2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2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2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2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2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2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2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2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2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3__FDSAUDITLINK__" localSheetId="12"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43__FDSAUDITLINK__" localSheetId="5"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43__FDSAUDITLINK__" localSheetId="3"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43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43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3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3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33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43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3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3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3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3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3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4__FDSAUDITLINK__" localSheetId="12"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44__FDSAUDITLINK__" localSheetId="5"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44__FDSAUDITLINK__" localSheetId="3"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44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44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4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4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4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4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4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4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4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4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4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5__FDSAUDITLINK__" localSheetId="12"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45__FDSAUDITLINK__" localSheetId="5"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45__FDSAUDITLINK__" localSheetId="3"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45__FDSAUDITLINK__"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450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45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5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5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5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5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5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5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5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5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6__FDSAUDITLINK__" localSheetId="12"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46__FDSAUDITLINK__" localSheetId="5"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46__FDSAUDITLINK__" localSheetId="3"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46__FDSAUDITLINK__"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46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6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6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6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6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6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6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67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46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6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7__FDSAUDITLINK__" localSheetId="12"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47__FDSAUDITLINK__" localSheetId="5"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47__FDSAUDITLINK__" localSheetId="3"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47__FDSAUDITLINK__"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47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7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7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7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7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7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7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7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7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7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8__FDSAUDITLINK__" localSheetId="12"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48__FDSAUDITLINK__" localSheetId="5"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48__FDSAUDITLINK__" localSheetId="3"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48__FDSAUDITLINK__"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48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8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8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8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84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48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8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8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8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8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9__FDSAUDITLINK__" localSheetId="12"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49__FDSAUDITLINK__" localSheetId="5"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49__FDSAUDITLINK__" localSheetId="3"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49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49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9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9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9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9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9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9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9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9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9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__FDSAUDITLINK__" localSheetId="12" hidden="1">{"fdsup://directions/FAT Viewer?action=UPDATE&amp;creator=factset&amp;DYN_ARGS=TRUE&amp;DOC_NAME=FAT:FQL_AUDITING_CLIENT_TEMPLATE.FAT&amp;display_string=Audit&amp;VAR:KEY=PEPWDAVAVW&amp;VAR:QUERY=RkVfVkFMVUFUSU9OKCdQQlBTJywnTUVBTicsJ0FOTlVBTCcsMjAwOSwwLCwsJycp&amp;WINDOW=FIRST_POPUP&amp;H","EIGHT=450&amp;WIDTH=450&amp;START_MAXIMIZED=FALSE&amp;VAR:CALENDAR=FIVEDAY&amp;VAR:SYMBOL=615143&amp;VAR:INDEX=0"}</definedName>
    <definedName name="_15__FDSAUDITLINK__" localSheetId="5" hidden="1">{"fdsup://directions/FAT Viewer?action=UPDATE&amp;creator=factset&amp;DYN_ARGS=TRUE&amp;DOC_NAME=FAT:FQL_AUDITING_CLIENT_TEMPLATE.FAT&amp;display_string=Audit&amp;VAR:KEY=PEPWDAVAVW&amp;VAR:QUERY=RkVfVkFMVUFUSU9OKCdQQlBTJywnTUVBTicsJ0FOTlVBTCcsMjAwOSwwLCwsJycp&amp;WINDOW=FIRST_POPUP&amp;H","EIGHT=450&amp;WIDTH=450&amp;START_MAXIMIZED=FALSE&amp;VAR:CALENDAR=FIVEDAY&amp;VAR:SYMBOL=615143&amp;VAR:INDEX=0"}</definedName>
    <definedName name="_15__FDSAUDITLINK__" localSheetId="3" hidden="1">{"fdsup://directions/FAT Viewer?action=UPDATE&amp;creator=factset&amp;DYN_ARGS=TRUE&amp;DOC_NAME=FAT:FQL_AUDITING_CLIENT_TEMPLATE.FAT&amp;display_string=Audit&amp;VAR:KEY=PEPWDAVAVW&amp;VAR:QUERY=RkVfVkFMVUFUSU9OKCdQQlBTJywnTUVBTicsJ0FOTlVBTCcsMjAwOSwwLCwsJycp&amp;WINDOW=FIRST_POPUP&amp;H","EIGHT=450&amp;WIDTH=450&amp;START_MAXIMIZED=FALSE&amp;VAR:CALENDAR=FIVEDAY&amp;VAR:SYMBOL=615143&amp;VAR:INDEX=0"}</definedName>
    <definedName name="_15__FDSAUDITLINK__" hidden="1">{"fdsup://directions/FAT Viewer?action=UPDATE&amp;creator=factset&amp;DYN_ARGS=TRUE&amp;DOC_NAME=FAT:FQL_AUDITING_CLIENT_TEMPLATE.FAT&amp;display_string=Audit&amp;VAR:KEY=PEPWDAVAVW&amp;VAR:QUERY=RkVfVkFMVUFUSU9OKCdQQlBTJywnTUVBTicsJ0FOTlVBTCcsMjAwOSwwLCwsJycp&amp;WINDOW=FIRST_POPUP&amp;H","EIGHT=450&amp;WIDTH=450&amp;START_MAXIMIZED=FALSE&amp;VAR:CALENDAR=FIVEDAY&amp;VAR:SYMBOL=615143&amp;VAR:INDEX=0"}</definedName>
    <definedName name="_150__FDSAUDITLINK__" localSheetId="12"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50__FDSAUDITLINK__" localSheetId="5"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50__FDSAUDITLINK__" localSheetId="3"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50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50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01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50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0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0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0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0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0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0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0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1__FDSAUDITLINK__" localSheetId="12"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51__FDSAUDITLINK__" localSheetId="5"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51__FDSAUDITLINK__" localSheetId="3"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51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51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1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1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1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1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1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1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1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18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51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2__FDSAUDITLINK__" localSheetId="12"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52__FDSAUDITLINK__" localSheetId="5"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52__FDSAUDITLINK__" localSheetId="3"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52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52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2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2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2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2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2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2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2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2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2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3__FDSAUDITLINK__" localSheetId="12"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53__FDSAUDITLINK__" localSheetId="5"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53__FDSAUDITLINK__" localSheetId="3"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53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53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3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3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3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3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35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53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3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3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3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4__FDSAUDITLINK__" localSheetId="12"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54__FDSAUDITLINK__" localSheetId="5"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54__FDSAUDITLINK__" localSheetId="3"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54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54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4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4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4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4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4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4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4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4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4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5__FDSAUDITLINK__" localSheetId="12"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55__FDSAUDITLINK__" localSheetId="5"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55__FDSAUDITLINK__" localSheetId="3"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55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55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5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52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55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5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5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5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5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5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5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6__FDSAUDITLINK__" localSheetId="12"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56__FDSAUDITLINK__" localSheetId="5"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56__FDSAUDITLINK__" localSheetId="3"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56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56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6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6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6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6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6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6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6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6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69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57__FDSAUDITLINK__"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57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7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7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7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7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7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7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7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7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7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8__FDSAUDITLINK__"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58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8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8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8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8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8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86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58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8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8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9__FDSAUDITLINK__"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59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9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9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9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9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9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9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9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9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9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__FDSAUDITLINK__" localSheetId="12" hidden="1">{"fdsup://directions/FAT Viewer?action=UPDATE&amp;creator=factset&amp;DYN_ARGS=TRUE&amp;DOC_NAME=FAT:FQL_AUDITING_CLIENT_TEMPLATE.FAT&amp;display_string=Audit&amp;VAR:KEY=ZENALIHQZU&amp;VAR:QUERY=RkVfVkFMVUFUSU9OKCdQQlBTJywnTUVBTicsJ0FOTlVBTCcsMjAxMiwwLCwsJycp&amp;WINDOW=FIRST_POPUP&amp;H","EIGHT=450&amp;WIDTH=450&amp;START_MAXIMIZED=FALSE&amp;VAR:CALENDAR=FIVEDAY&amp;VAR:SYMBOL=669728&amp;VAR:INDEX=0"}</definedName>
    <definedName name="_16__FDSAUDITLINK__" localSheetId="5" hidden="1">{"fdsup://directions/FAT Viewer?action=UPDATE&amp;creator=factset&amp;DYN_ARGS=TRUE&amp;DOC_NAME=FAT:FQL_AUDITING_CLIENT_TEMPLATE.FAT&amp;display_string=Audit&amp;VAR:KEY=ZENALIHQZU&amp;VAR:QUERY=RkVfVkFMVUFUSU9OKCdQQlBTJywnTUVBTicsJ0FOTlVBTCcsMjAxMiwwLCwsJycp&amp;WINDOW=FIRST_POPUP&amp;H","EIGHT=450&amp;WIDTH=450&amp;START_MAXIMIZED=FALSE&amp;VAR:CALENDAR=FIVEDAY&amp;VAR:SYMBOL=669728&amp;VAR:INDEX=0"}</definedName>
    <definedName name="_16__FDSAUDITLINK__" localSheetId="3" hidden="1">{"fdsup://directions/FAT Viewer?action=UPDATE&amp;creator=factset&amp;DYN_ARGS=TRUE&amp;DOC_NAME=FAT:FQL_AUDITING_CLIENT_TEMPLATE.FAT&amp;display_string=Audit&amp;VAR:KEY=ZENALIHQZU&amp;VAR:QUERY=RkVfVkFMVUFUSU9OKCdQQlBTJywnTUVBTicsJ0FOTlVBTCcsMjAxMiwwLCwsJycp&amp;WINDOW=FIRST_POPUP&amp;H","EIGHT=450&amp;WIDTH=450&amp;START_MAXIMIZED=FALSE&amp;VAR:CALENDAR=FIVEDAY&amp;VAR:SYMBOL=669728&amp;VAR:INDEX=0"}</definedName>
    <definedName name="_16__FDSAUDITLINK__" hidden="1">{"fdsup://directions/FAT Viewer?action=UPDATE&amp;creator=factset&amp;DYN_ARGS=TRUE&amp;DOC_NAME=FAT:FQL_AUDITING_CLIENT_TEMPLATE.FAT&amp;display_string=Audit&amp;VAR:KEY=ZENALIHQZU&amp;VAR:QUERY=RkVfVkFMVUFUSU9OKCdQQlBTJywnTUVBTicsJ0FOTlVBTCcsMjAxMiwwLCwsJycp&amp;WINDOW=FIRST_POPUP&amp;H","EIGHT=450&amp;WIDTH=450&amp;START_MAXIMIZED=FALSE&amp;VAR:CALENDAR=FIVEDAY&amp;VAR:SYMBOL=669728&amp;VAR:INDEX=0"}</definedName>
    <definedName name="_160__FDSAUDITLINK__"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60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0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0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03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60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0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0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0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0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0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1__FDSAUDITLINK__" hidden="1">{"fdsup://directions/FAT Viewer?action=UPDATE&amp;creator=factset&amp;DYN_ARGS=TRUE&amp;DOC_NAME=FAT:FQL_AUDITING_CLIENT_TEMPLATE.FAT&amp;display_string=Audit&amp;VAR:KEY=SLQTUJOJMJ&amp;VAR:QUERY=RkZfREVCVChBTk4sMjAwOSk=&amp;WINDOW=FIRST_POPUP&amp;HEIGHT=450&amp;WIDTH=450&amp;START_MAXIMIZED=FALS","E&amp;VAR:CALENDAR=US&amp;VAR:SYMBOL=EROC&amp;VAR:INDEX=0"}</definedName>
    <definedName name="_161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1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1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1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1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1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1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1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1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1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2__FDSAUDITLINK__" hidden="1">{"fdsup://directions/FAT Viewer?action=UPDATE&amp;creator=factset&amp;DYN_ARGS=TRUE&amp;DOC_NAME=FAT:FQL_AUDITING_CLIENT_TEMPLATE.FAT&amp;display_string=Audit&amp;VAR:KEY=SLQTUJOJMJ&amp;VAR:QUERY=RkZfREVCVChBTk4sMjAwOSk=&amp;WINDOW=FIRST_POPUP&amp;HEIGHT=450&amp;WIDTH=450&amp;START_MAXIMIZED=FALS","E&amp;VAR:CALENDAR=US&amp;VAR:SYMBOL=EROC&amp;VAR:INDEX=0"}</definedName>
    <definedName name="_1620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62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2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2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2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2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2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2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2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2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3__FDSAUDITLINK__" hidden="1">{"fdsup://directions/FAT Viewer?action=UPDATE&amp;creator=factset&amp;DYN_ARGS=TRUE&amp;DOC_NAME=FAT:FQL_AUDITING_CLIENT_TEMPLATE.FAT&amp;display_string=Audit&amp;VAR:KEY=SLQTUJOJMJ&amp;VAR:QUERY=RkZfREVCVChBTk4sMjAwOSk=&amp;WINDOW=FIRST_POPUP&amp;HEIGHT=450&amp;WIDTH=450&amp;START_MAXIMIZED=FALS","E&amp;VAR:CALENDAR=US&amp;VAR:SYMBOL=EROC&amp;VAR:INDEX=0"}</definedName>
    <definedName name="_163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3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3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3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3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3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3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37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63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3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4__FDSAUDITLINK__" hidden="1">{"fdsup://directions/FAT Viewer?action=UPDATE&amp;creator=factset&amp;DYN_ARGS=TRUE&amp;DOC_NAME=FAT:FQL_AUDITING_CLIENT_TEMPLATE.FAT&amp;display_string=Audit&amp;VAR:KEY=UPUXCLQTKL&amp;VAR:QUERY=RkZfREVCVChBTk4sMjAxMCk=&amp;WINDOW=FIRST_POPUP&amp;HEIGHT=450&amp;WIDTH=450&amp;START_MAXIMIZED=FALS","E&amp;VAR:CALENDAR=US&amp;VAR:SYMBOL=CMLP&amp;VAR:INDEX=0"}</definedName>
    <definedName name="_164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4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4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4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4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4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4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4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4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4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5__FDSAUDITLINK__" hidden="1">{"fdsup://directions/FAT Viewer?action=UPDATE&amp;creator=factset&amp;DYN_ARGS=TRUE&amp;DOC_NAME=FAT:FQL_AUDITING_CLIENT_TEMPLATE.FAT&amp;display_string=Audit&amp;VAR:KEY=UPUXCLQTKL&amp;VAR:QUERY=RkZfREVCVChBTk4sMjAxMCk=&amp;WINDOW=FIRST_POPUP&amp;HEIGHT=450&amp;WIDTH=450&amp;START_MAXIMIZED=FALS","E&amp;VAR:CALENDAR=US&amp;VAR:SYMBOL=CMLP&amp;VAR:INDEX=0"}</definedName>
    <definedName name="_165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5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5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5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54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65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5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5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5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5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6__FDSAUDITLINK__" hidden="1">{"fdsup://directions/FAT Viewer?action=UPDATE&amp;creator=factset&amp;DYN_ARGS=TRUE&amp;DOC_NAME=FAT:FQL_AUDITING_CLIENT_TEMPLATE.FAT&amp;display_string=Audit&amp;VAR:KEY=UPUXCLQTKL&amp;VAR:QUERY=RkZfREVCVChBTk4sMjAxMCk=&amp;WINDOW=FIRST_POPUP&amp;HEIGHT=450&amp;WIDTH=450&amp;START_MAXIMIZED=FALS","E&amp;VAR:CALENDAR=US&amp;VAR:SYMBOL=CMLP&amp;VAR:INDEX=0"}</definedName>
    <definedName name="_166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6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6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6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6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6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6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6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6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6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7__FDSAUDITLINK__" hidden="1">{"fdsup://directions/FAT Viewer?action=UPDATE&amp;creator=factset&amp;DYN_ARGS=TRUE&amp;DOC_NAME=FAT:FQL_AUDITING_CLIENT_TEMPLATE.FAT&amp;display_string=Audit&amp;VAR:KEY=HSTMHUVIPE&amp;VAR:QUERY=RkZfREVCVChBTk4sMjAwOSk=&amp;WINDOW=FIRST_POPUP&amp;HEIGHT=450&amp;WIDTH=450&amp;START_MAXIMIZED=FALS","E&amp;VAR:CALENDAR=US&amp;VAR:SYMBOL=TLP&amp;VAR:INDEX=0"}</definedName>
    <definedName name="_167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71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67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7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7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7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7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7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7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7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8__FDSAUDITLINK__" hidden="1">{"fdsup://directions/FAT Viewer?action=UPDATE&amp;creator=factset&amp;DYN_ARGS=TRUE&amp;DOC_NAME=FAT:FQL_AUDITING_CLIENT_TEMPLATE.FAT&amp;display_string=Audit&amp;VAR:KEY=HSTMHUVIPE&amp;VAR:QUERY=RkZfREVCVChBTk4sMjAwOSk=&amp;WINDOW=FIRST_POPUP&amp;HEIGHT=450&amp;WIDTH=450&amp;START_MAXIMIZED=FALS","E&amp;VAR:CALENDAR=US&amp;VAR:SYMBOL=TLP&amp;VAR:INDEX=0"}</definedName>
    <definedName name="_168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8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8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8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8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8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8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8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88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68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9__FDSAUDITLINK__" hidden="1">{"fdsup://directions/FAT Viewer?action=UPDATE&amp;creator=factset&amp;DYN_ARGS=TRUE&amp;DOC_NAME=FAT:FQL_AUDITING_CLIENT_TEMPLATE.FAT&amp;display_string=Audit&amp;VAR:KEY=HSTMHUVIPE&amp;VAR:QUERY=RkZfREVCVChBTk4sMjAwOSk=&amp;WINDOW=FIRST_POPUP&amp;HEIGHT=450&amp;WIDTH=450&amp;START_MAXIMIZED=FALS","E&amp;VAR:CALENDAR=US&amp;VAR:SYMBOL=TLP&amp;VAR:INDEX=0"}</definedName>
    <definedName name="_169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9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9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9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9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9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9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9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9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9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__FDSAUDITLINK__" localSheetId="12" hidden="1">{"fdsup://directions/FAT Viewer?action=UPDATE&amp;creator=factset&amp;DYN_ARGS=TRUE&amp;DOC_NAME=FAT:FQL_AUDITING_CLIENT_TEMPLATE.FAT&amp;display_string=Audit&amp;VAR:KEY=NEFKFOZQBK&amp;VAR:QUERY=RkVfVkFMVUFUSU9OKCdQQlBTJywnTUVBTicsJ0FOTlVBTCcsMjAxMSwwLCwsJycp&amp;WINDOW=FIRST_POPUP&amp;H","EIGHT=450&amp;WIDTH=450&amp;START_MAXIMIZED=FALSE&amp;VAR:CALENDAR=FIVEDAY&amp;VAR:SYMBOL=669728&amp;VAR:INDEX=0"}</definedName>
    <definedName name="_17__FDSAUDITLINK__" localSheetId="5" hidden="1">{"fdsup://directions/FAT Viewer?action=UPDATE&amp;creator=factset&amp;DYN_ARGS=TRUE&amp;DOC_NAME=FAT:FQL_AUDITING_CLIENT_TEMPLATE.FAT&amp;display_string=Audit&amp;VAR:KEY=NEFKFOZQBK&amp;VAR:QUERY=RkVfVkFMVUFUSU9OKCdQQlBTJywnTUVBTicsJ0FOTlVBTCcsMjAxMSwwLCwsJycp&amp;WINDOW=FIRST_POPUP&amp;H","EIGHT=450&amp;WIDTH=450&amp;START_MAXIMIZED=FALSE&amp;VAR:CALENDAR=FIVEDAY&amp;VAR:SYMBOL=669728&amp;VAR:INDEX=0"}</definedName>
    <definedName name="_17__FDSAUDITLINK__" localSheetId="3" hidden="1">{"fdsup://directions/FAT Viewer?action=UPDATE&amp;creator=factset&amp;DYN_ARGS=TRUE&amp;DOC_NAME=FAT:FQL_AUDITING_CLIENT_TEMPLATE.FAT&amp;display_string=Audit&amp;VAR:KEY=NEFKFOZQBK&amp;VAR:QUERY=RkVfVkFMVUFUSU9OKCdQQlBTJywnTUVBTicsJ0FOTlVBTCcsMjAxMSwwLCwsJycp&amp;WINDOW=FIRST_POPUP&amp;H","EIGHT=450&amp;WIDTH=450&amp;START_MAXIMIZED=FALSE&amp;VAR:CALENDAR=FIVEDAY&amp;VAR:SYMBOL=669728&amp;VAR:INDEX=0"}</definedName>
    <definedName name="_17__FDSAUDITLINK__" hidden="1">{"fdsup://directions/FAT Viewer?action=UPDATE&amp;creator=factset&amp;DYN_ARGS=TRUE&amp;DOC_NAME=FAT:FQL_AUDITING_CLIENT_TEMPLATE.FAT&amp;display_string=Audit&amp;VAR:KEY=NEFKFOZQBK&amp;VAR:QUERY=RkVfVkFMVUFUSU9OKCdQQlBTJywnTUVBTicsJ0FOTlVBTCcsMjAxMSwwLCwsJycp&amp;WINDOW=FIRST_POPUP&amp;H","EIGHT=450&amp;WIDTH=450&amp;START_MAXIMIZED=FALSE&amp;VAR:CALENDAR=FIVEDAY&amp;VAR:SYMBOL=669728&amp;VAR:INDEX=0"}</definedName>
    <definedName name="_170__FDSAUDITLINK__"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70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0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0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0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0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05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70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0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0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0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1__FDSAUDITLINK__"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71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1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1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1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1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1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1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1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1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1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2__FDSAUDITLINK__"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72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2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22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72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2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2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2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2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2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2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3__FDSAUDITLINK__" hidden="1">{"fdsup://directions/FAT Viewer?action=UPDATE&amp;creator=factset&amp;DYN_ARGS=TRUE&amp;DOC_NAME=FAT:FQL_AUDITING_CLIENT_TEMPLATE.FAT&amp;display_string=Audit&amp;VAR:KEY=SLQTUJOJMJ&amp;VAR:QUERY=RkZfREVCVChBTk4sMjAwOSk=&amp;WINDOW=FIRST_POPUP&amp;HEIGHT=450&amp;WIDTH=450&amp;START_MAXIMIZED=FALS","E&amp;VAR:CALENDAR=US&amp;VAR:SYMBOL=EROC&amp;VAR:INDEX=0"}</definedName>
    <definedName name="_173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3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3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3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3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3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3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3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3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3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4__FDSAUDITLINK__" hidden="1">{"fdsup://directions/FAT Viewer?action=UPDATE&amp;creator=factset&amp;DYN_ARGS=TRUE&amp;DOC_NAME=FAT:FQL_AUDITING_CLIENT_TEMPLATE.FAT&amp;display_string=Audit&amp;VAR:KEY=SLQTUJOJMJ&amp;VAR:QUERY=RkZfREVCVChBTk4sMjAwOSk=&amp;WINDOW=FIRST_POPUP&amp;HEIGHT=450&amp;WIDTH=450&amp;START_MAXIMIZED=FALS","E&amp;VAR:CALENDAR=US&amp;VAR:SYMBOL=EROC&amp;VAR:INDEX=0"}</definedName>
    <definedName name="_174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4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4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4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4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4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4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4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4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4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5__FDSAUDITLINK__" hidden="1">{"fdsup://directions/FAT Viewer?action=UPDATE&amp;creator=factset&amp;DYN_ARGS=TRUE&amp;DOC_NAME=FAT:FQL_AUDITING_CLIENT_TEMPLATE.FAT&amp;display_string=Audit&amp;VAR:KEY=UPUXCLQTKL&amp;VAR:QUERY=RkZfREVCVChBTk4sMjAxMCk=&amp;WINDOW=FIRST_POPUP&amp;HEIGHT=450&amp;WIDTH=450&amp;START_MAXIMIZED=FALS","E&amp;VAR:CALENDAR=US&amp;VAR:SYMBOL=CMLP&amp;VAR:INDEX=0"}</definedName>
    <definedName name="_175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5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5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5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5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5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5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6__FDSAUDITLINK__" hidden="1">{"fdsup://directions/FAT Viewer?action=UPDATE&amp;creator=factset&amp;DYN_ARGS=TRUE&amp;DOC_NAME=FAT:FQL_AUDITING_CLIENT_TEMPLATE.FAT&amp;display_string=Audit&amp;VAR:KEY=UPUXCLQTKL&amp;VAR:QUERY=RkZfREVCVChBTk4sMjAxMCk=&amp;WINDOW=FIRST_POPUP&amp;HEIGHT=450&amp;WIDTH=450&amp;START_MAXIMIZED=FALS","E&amp;VAR:CALENDAR=US&amp;VAR:SYMBOL=CMLP&amp;VAR:INDEX=0"}</definedName>
    <definedName name="_177__FDSAUDITLINK__" hidden="1">{"fdsup://directions/FAT Viewer?action=UPDATE&amp;creator=factset&amp;DYN_ARGS=TRUE&amp;DOC_NAME=FAT:FQL_AUDITING_CLIENT_TEMPLATE.FAT&amp;display_string=Audit&amp;VAR:KEY=UPUXCLQTKL&amp;VAR:QUERY=RkZfREVCVChBTk4sMjAxMCk=&amp;WINDOW=FIRST_POPUP&amp;HEIGHT=450&amp;WIDTH=450&amp;START_MAXIMIZED=FALS","E&amp;VAR:CALENDAR=US&amp;VAR:SYMBOL=CMLP&amp;VAR:INDEX=0"}</definedName>
    <definedName name="_178__FDSAUDITLINK__" hidden="1">{"fdsup://directions/FAT Viewer?action=UPDATE&amp;creator=factset&amp;DYN_ARGS=TRUE&amp;DOC_NAME=FAT:FQL_AUDITING_CLIENT_TEMPLATE.FAT&amp;display_string=Audit&amp;VAR:KEY=HSTMHUVIPE&amp;VAR:QUERY=RkZfREVCVChBTk4sMjAwOSk=&amp;WINDOW=FIRST_POPUP&amp;HEIGHT=450&amp;WIDTH=450&amp;START_MAXIMIZED=FALS","E&amp;VAR:CALENDAR=US&amp;VAR:SYMBOL=TLP&amp;VAR:INDEX=0"}</definedName>
    <definedName name="_179__FDSAUDITLINK__" hidden="1">{"fdsup://directions/FAT Viewer?action=UPDATE&amp;creator=factset&amp;DYN_ARGS=TRUE&amp;DOC_NAME=FAT:FQL_AUDITING_CLIENT_TEMPLATE.FAT&amp;display_string=Audit&amp;VAR:KEY=HSTMHUVIPE&amp;VAR:QUERY=RkZfREVCVChBTk4sMjAwOSk=&amp;WINDOW=FIRST_POPUP&amp;HEIGHT=450&amp;WIDTH=450&amp;START_MAXIMIZED=FALS","E&amp;VAR:CALENDAR=US&amp;VAR:SYMBOL=TLP&amp;VAR:INDEX=0"}</definedName>
    <definedName name="_18__FDSAUDITLINK__" localSheetId="12" hidden="1">{"fdsup://directions/FAT Viewer?action=UPDATE&amp;creator=factset&amp;DYN_ARGS=TRUE&amp;DOC_NAME=FAT:FQL_AUDITING_CLIENT_TEMPLATE.FAT&amp;display_string=Audit&amp;VAR:KEY=BOZKRUNWHI&amp;VAR:QUERY=RkVfVkFMVUFUSU9OKCdQQlBTJywnTUVBTicsJ0FOTlVBTCcsMjAxMCwwLCwsJycp&amp;WINDOW=FIRST_POPUP&amp;H","EIGHT=450&amp;WIDTH=450&amp;START_MAXIMIZED=FALSE&amp;VAR:CALENDAR=FIVEDAY&amp;VAR:SYMBOL=669728&amp;VAR:INDEX=0"}</definedName>
    <definedName name="_18__FDSAUDITLINK__" localSheetId="5" hidden="1">{"fdsup://directions/FAT Viewer?action=UPDATE&amp;creator=factset&amp;DYN_ARGS=TRUE&amp;DOC_NAME=FAT:FQL_AUDITING_CLIENT_TEMPLATE.FAT&amp;display_string=Audit&amp;VAR:KEY=BOZKRUNWHI&amp;VAR:QUERY=RkVfVkFMVUFUSU9OKCdQQlBTJywnTUVBTicsJ0FOTlVBTCcsMjAxMCwwLCwsJycp&amp;WINDOW=FIRST_POPUP&amp;H","EIGHT=450&amp;WIDTH=450&amp;START_MAXIMIZED=FALSE&amp;VAR:CALENDAR=FIVEDAY&amp;VAR:SYMBOL=669728&amp;VAR:INDEX=0"}</definedName>
    <definedName name="_18__FDSAUDITLINK__" localSheetId="3" hidden="1">{"fdsup://directions/FAT Viewer?action=UPDATE&amp;creator=factset&amp;DYN_ARGS=TRUE&amp;DOC_NAME=FAT:FQL_AUDITING_CLIENT_TEMPLATE.FAT&amp;display_string=Audit&amp;VAR:KEY=BOZKRUNWHI&amp;VAR:QUERY=RkVfVkFMVUFUSU9OKCdQQlBTJywnTUVBTicsJ0FOTlVBTCcsMjAxMCwwLCwsJycp&amp;WINDOW=FIRST_POPUP&amp;H","EIGHT=450&amp;WIDTH=450&amp;START_MAXIMIZED=FALSE&amp;VAR:CALENDAR=FIVEDAY&amp;VAR:SYMBOL=669728&amp;VAR:INDEX=0"}</definedName>
    <definedName name="_18__FDSAUDITLINK__" hidden="1">{"fdsup://directions/FAT Viewer?action=UPDATE&amp;creator=factset&amp;DYN_ARGS=TRUE&amp;DOC_NAME=FAT:FQL_AUDITING_CLIENT_TEMPLATE.FAT&amp;display_string=Audit&amp;VAR:KEY=BOZKRUNWHI&amp;VAR:QUERY=RkVfVkFMVUFUSU9OKCdQQlBTJywnTUVBTicsJ0FOTlVBTCcsMjAxMCwwLCwsJycp&amp;WINDOW=FIRST_POPUP&amp;H","EIGHT=450&amp;WIDTH=450&amp;START_MAXIMIZED=FALSE&amp;VAR:CALENDAR=FIVEDAY&amp;VAR:SYMBOL=669728&amp;VAR:INDEX=0"}</definedName>
    <definedName name="_180__FDSAUDITLINK__"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81__FDSAUDITLINK__"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82__FDSAUDITLINK__"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83__FDSAUDITLINK__" hidden="1">{"fdsup://directions/FAT Viewer?action=UPDATE&amp;creator=factset&amp;DYN_ARGS=TRUE&amp;DOC_NAME=FAT:FQL_AUDITING_CLIENT_TEMPLATE.FAT&amp;display_string=Audit&amp;VAR:KEY=FMPWVADIFS&amp;VAR:QUERY=RkZfREVCVChBTk4sMjAwOSk=&amp;WINDOW=FIRST_POPUP&amp;HEIGHT=450&amp;WIDTH=450&amp;START_MAXIMIZED=FALS","E&amp;VAR:CALENDAR=US&amp;VAR:SYMBOL=TLLP&amp;VAR:INDEX=0"}</definedName>
    <definedName name="_184__FDSAUDITLINK__" hidden="1">{"fdsup://directions/FAT Viewer?action=UPDATE&amp;creator=factset&amp;DYN_ARGS=TRUE&amp;DOC_NAME=FAT:FQL_AUDITING_CLIENT_TEMPLATE.FAT&amp;display_string=Audit&amp;VAR:KEY=FMPWVADIFS&amp;VAR:QUERY=RkZfREVCVChBTk4sMjAwOSk=&amp;WINDOW=FIRST_POPUP&amp;HEIGHT=450&amp;WIDTH=450&amp;START_MAXIMIZED=FALS","E&amp;VAR:CALENDAR=US&amp;VAR:SYMBOL=TLLP&amp;VAR:INDEX=0"}</definedName>
    <definedName name="_185__FDSAUDITLINK__" hidden="1">{"fdsup://directions/FAT Viewer?action=UPDATE&amp;creator=factset&amp;DYN_ARGS=TRUE&amp;DOC_NAME=FAT:FQL_AUDITING_CLIENT_TEMPLATE.FAT&amp;display_string=Audit&amp;VAR:KEY=FMPWVADIFS&amp;VAR:QUERY=RkZfREVCVChBTk4sMjAwOSk=&amp;WINDOW=FIRST_POPUP&amp;HEIGHT=450&amp;WIDTH=450&amp;START_MAXIMIZED=FALS","E&amp;VAR:CALENDAR=US&amp;VAR:SYMBOL=TLLP&amp;VAR:INDEX=0"}</definedName>
    <definedName name="_186__FDSAUDITLINK__" hidden="1">{"fdsup://directions/FAT Viewer?action=UPDATE&amp;creator=factset&amp;DYN_ARGS=TRUE&amp;DOC_NAME=FAT:FQL_AUDITING_CLIENT_TEMPLATE.FAT&amp;display_string=Audit&amp;VAR:KEY=FMPWVADIFS&amp;VAR:QUERY=RkZfREVCVChBTk4sMjAwOSk=&amp;WINDOW=FIRST_POPUP&amp;HEIGHT=450&amp;WIDTH=450&amp;START_MAXIMIZED=FALS","E&amp;VAR:CALENDAR=US&amp;VAR:SYMBOL=TLLP&amp;VAR:INDEX=0"}</definedName>
    <definedName name="_187__FDSAUDITLINK__" hidden="1">{"fdsup://directions/FAT Viewer?action=UPDATE&amp;creator=factset&amp;DYN_ARGS=TRUE&amp;DOC_NAME=FAT:FQL_AUDITING_CLIENT_TEMPLATE.FAT&amp;display_string=Audit&amp;VAR:KEY=FMPWVADIFS&amp;VAR:QUERY=RkZfREVCVChBTk4sMjAwOSk=&amp;WINDOW=FIRST_POPUP&amp;HEIGHT=450&amp;WIDTH=450&amp;START_MAXIMIZED=FALS","E&amp;VAR:CALENDAR=US&amp;VAR:SYMBOL=TLLP&amp;VAR:INDEX=0"}</definedName>
    <definedName name="_188__FDSAUDITLINK__" hidden="1">{"fdsup://directions/FAT Viewer?action=UPDATE&amp;creator=factset&amp;DYN_ARGS=TRUE&amp;DOC_NAME=FAT:FQL_AUDITING_CLIENT_TEMPLATE.FAT&amp;display_string=Audit&amp;VAR:KEY=DANIFYBKNY&amp;VAR:QUERY=RkZfREVCVChBTk4sMjAwOSk=&amp;WINDOW=FIRST_POPUP&amp;HEIGHT=450&amp;WIDTH=450&amp;START_MAXIMIZED=FALS","E&amp;VAR:CALENDAR=US&amp;VAR:SYMBOL=TLP&amp;VAR:INDEX=0"}</definedName>
    <definedName name="_189__FDSAUDITLINK__" hidden="1">{"fdsup://directions/FAT Viewer?action=UPDATE&amp;creator=factset&amp;DYN_ARGS=TRUE&amp;DOC_NAME=FAT:FQL_AUDITING_CLIENT_TEMPLATE.FAT&amp;display_string=Audit&amp;VAR:KEY=DANIFYBKNY&amp;VAR:QUERY=RkZfREVCVChBTk4sMjAwOSk=&amp;WINDOW=FIRST_POPUP&amp;HEIGHT=450&amp;WIDTH=450&amp;START_MAXIMIZED=FALS","E&amp;VAR:CALENDAR=US&amp;VAR:SYMBOL=TLP&amp;VAR:INDEX=0"}</definedName>
    <definedName name="_19__FDSAUDITLINK__" localSheetId="12" hidden="1">{"fdsup://directions/FAT Viewer?action=UPDATE&amp;creator=factset&amp;DYN_ARGS=TRUE&amp;DOC_NAME=FAT:FQL_AUDITING_CLIENT_TEMPLATE.FAT&amp;display_string=Audit&amp;VAR:KEY=BOZKRUNWHI&amp;VAR:QUERY=RkVfVkFMVUFUSU9OKCdQQlBTJywnTUVBTicsJ0FOTlVBTCcsMjAxMCwwLCwsJycp&amp;WINDOW=FIRST_POPUP&amp;H","EIGHT=450&amp;WIDTH=450&amp;START_MAXIMIZED=FALSE&amp;VAR:CALENDAR=FIVEDAY&amp;VAR:SYMBOL=669728&amp;VAR:INDEX=0"}</definedName>
    <definedName name="_19__FDSAUDITLINK__" localSheetId="5" hidden="1">{"fdsup://directions/FAT Viewer?action=UPDATE&amp;creator=factset&amp;DYN_ARGS=TRUE&amp;DOC_NAME=FAT:FQL_AUDITING_CLIENT_TEMPLATE.FAT&amp;display_string=Audit&amp;VAR:KEY=BOZKRUNWHI&amp;VAR:QUERY=RkVfVkFMVUFUSU9OKCdQQlBTJywnTUVBTicsJ0FOTlVBTCcsMjAxMCwwLCwsJycp&amp;WINDOW=FIRST_POPUP&amp;H","EIGHT=450&amp;WIDTH=450&amp;START_MAXIMIZED=FALSE&amp;VAR:CALENDAR=FIVEDAY&amp;VAR:SYMBOL=669728&amp;VAR:INDEX=0"}</definedName>
    <definedName name="_19__FDSAUDITLINK__" localSheetId="3" hidden="1">{"fdsup://directions/FAT Viewer?action=UPDATE&amp;creator=factset&amp;DYN_ARGS=TRUE&amp;DOC_NAME=FAT:FQL_AUDITING_CLIENT_TEMPLATE.FAT&amp;display_string=Audit&amp;VAR:KEY=BOZKRUNWHI&amp;VAR:QUERY=RkVfVkFMVUFUSU9OKCdQQlBTJywnTUVBTicsJ0FOTlVBTCcsMjAxMCwwLCwsJycp&amp;WINDOW=FIRST_POPUP&amp;H","EIGHT=450&amp;WIDTH=450&amp;START_MAXIMIZED=FALSE&amp;VAR:CALENDAR=FIVEDAY&amp;VAR:SYMBOL=669728&amp;VAR:INDEX=0"}</definedName>
    <definedName name="_19__FDSAUDITLINK__" hidden="1">{"fdsup://directions/FAT Viewer?action=UPDATE&amp;creator=factset&amp;DYN_ARGS=TRUE&amp;DOC_NAME=FAT:FQL_AUDITING_CLIENT_TEMPLATE.FAT&amp;display_string=Audit&amp;VAR:KEY=BOZKRUNWHI&amp;VAR:QUERY=RkVfVkFMVUFUSU9OKCdQQlBTJywnTUVBTicsJ0FOTlVBTCcsMjAxMCwwLCwsJycp&amp;WINDOW=FIRST_POPUP&amp;H","EIGHT=450&amp;WIDTH=450&amp;START_MAXIMIZED=FALSE&amp;VAR:CALENDAR=FIVEDAY&amp;VAR:SYMBOL=669728&amp;VAR:INDEX=0"}</definedName>
    <definedName name="_190__FDSAUDITLINK__" hidden="1">{"fdsup://directions/FAT Viewer?action=UPDATE&amp;creator=factset&amp;DYN_ARGS=TRUE&amp;DOC_NAME=FAT:FQL_AUDITING_CLIENT_TEMPLATE.FAT&amp;display_string=Audit&amp;VAR:KEY=DANIFYBKNY&amp;VAR:QUERY=RkZfREVCVChBTk4sMjAwOSk=&amp;WINDOW=FIRST_POPUP&amp;HEIGHT=450&amp;WIDTH=450&amp;START_MAXIMIZED=FALS","E&amp;VAR:CALENDAR=US&amp;VAR:SYMBOL=TLP&amp;VAR:INDEX=0"}</definedName>
    <definedName name="_191__FDSAUDITLINK__" hidden="1">{"fdsup://directions/FAT Viewer?action=UPDATE&amp;creator=factset&amp;DYN_ARGS=TRUE&amp;DOC_NAME=FAT:FQL_AUDITING_CLIENT_TEMPLATE.FAT&amp;display_string=Audit&amp;VAR:KEY=DANIFYBKNY&amp;VAR:QUERY=RkZfREVCVChBTk4sMjAwOSk=&amp;WINDOW=FIRST_POPUP&amp;HEIGHT=450&amp;WIDTH=450&amp;START_MAXIMIZED=FALS","E&amp;VAR:CALENDAR=US&amp;VAR:SYMBOL=TLP&amp;VAR:INDEX=0"}</definedName>
    <definedName name="_192__FDSAUDITLINK__" hidden="1">{"fdsup://directions/FAT Viewer?action=UPDATE&amp;creator=factset&amp;DYN_ARGS=TRUE&amp;DOC_NAME=FAT:FQL_AUDITING_CLIENT_TEMPLATE.FAT&amp;display_string=Audit&amp;VAR:KEY=NQLUDULWRQ&amp;VAR:QUERY=RkZfREVCVChBTk4sMjAwOSk=&amp;WINDOW=FIRST_POPUP&amp;HEIGHT=450&amp;WIDTH=450&amp;START_MAXIMIZED=FALS","E&amp;VAR:CALENDAR=US&amp;VAR:SYMBOL=HEP&amp;VAR:INDEX=0"}</definedName>
    <definedName name="_193__FDSAUDITLINK__" hidden="1">{"fdsup://directions/FAT Viewer?action=UPDATE&amp;creator=factset&amp;DYN_ARGS=TRUE&amp;DOC_NAME=FAT:FQL_AUDITING_CLIENT_TEMPLATE.FAT&amp;display_string=Audit&amp;VAR:KEY=NQLUDULWRQ&amp;VAR:QUERY=RkZfREVCVChBTk4sMjAwOSk=&amp;WINDOW=FIRST_POPUP&amp;HEIGHT=450&amp;WIDTH=450&amp;START_MAXIMIZED=FALS","E&amp;VAR:CALENDAR=US&amp;VAR:SYMBOL=HEP&amp;VAR:INDEX=0"}</definedName>
    <definedName name="_194__FDSAUDITLINK__" hidden="1">{"fdsup://directions/FAT Viewer?action=UPDATE&amp;creator=factset&amp;DYN_ARGS=TRUE&amp;DOC_NAME=FAT:FQL_AUDITING_CLIENT_TEMPLATE.FAT&amp;display_string=Audit&amp;VAR:KEY=NQLUDULWRQ&amp;VAR:QUERY=RkZfREVCVChBTk4sMjAwOSk=&amp;WINDOW=FIRST_POPUP&amp;HEIGHT=450&amp;WIDTH=450&amp;START_MAXIMIZED=FALS","E&amp;VAR:CALENDAR=US&amp;VAR:SYMBOL=HEP&amp;VAR:INDEX=0"}</definedName>
    <definedName name="_195__FDSAUDITLINK__" hidden="1">{"fdsup://directions/FAT Viewer?action=UPDATE&amp;creator=factset&amp;DYN_ARGS=TRUE&amp;DOC_NAME=FAT:FQL_AUDITING_CLIENT_TEMPLATE.FAT&amp;display_string=Audit&amp;VAR:KEY=NQLUDULWRQ&amp;VAR:QUERY=RkZfREVCVChBTk4sMjAwOSk=&amp;WINDOW=FIRST_POPUP&amp;HEIGHT=450&amp;WIDTH=450&amp;START_MAXIMIZED=FALS","E&amp;VAR:CALENDAR=US&amp;VAR:SYMBOL=HEP&amp;VAR:INDEX=0"}</definedName>
    <definedName name="_196__FDSAUDITLINK__" hidden="1">{"fdsup://directions/FAT Viewer?action=UPDATE&amp;creator=factset&amp;DYN_ARGS=TRUE&amp;DOC_NAME=FAT:FQL_AUDITING_CLIENT_TEMPLATE.FAT&amp;display_string=Audit&amp;VAR:KEY=NQLUDULWRQ&amp;VAR:QUERY=RkZfREVCVChBTk4sMjAwOSk=&amp;WINDOW=FIRST_POPUP&amp;HEIGHT=450&amp;WIDTH=450&amp;START_MAXIMIZED=FALS","E&amp;VAR:CALENDAR=US&amp;VAR:SYMBOL=HEP&amp;VAR:INDEX=0"}</definedName>
    <definedName name="_197__FDSAUDITLINK__" hidden="1">{"fdsup://directions/FAT Viewer?action=UPDATE&amp;creator=factset&amp;DYN_ARGS=TRUE&amp;DOC_NAME=FAT:FQL_AUDITING_CLIENT_TEMPLATE.FAT&amp;display_string=Audit&amp;VAR:KEY=QREXAPWFKL&amp;VAR:QUERY=RkZfREVCVChBTk4sMjAwOSk=&amp;WINDOW=FIRST_POPUP&amp;HEIGHT=450&amp;WIDTH=450&amp;START_MAXIMIZED=FALS","E&amp;VAR:CALENDAR=US&amp;VAR:SYMBOL=TLLP&amp;VAR:INDEX=0"}</definedName>
    <definedName name="_198__FDSAUDITLINK__" hidden="1">{"fdsup://directions/FAT Viewer?action=UPDATE&amp;creator=factset&amp;DYN_ARGS=TRUE&amp;DOC_NAME=FAT:FQL_AUDITING_CLIENT_TEMPLATE.FAT&amp;display_string=Audit&amp;VAR:KEY=QREXAPWFKL&amp;VAR:QUERY=RkZfREVCVChBTk4sMjAwOSk=&amp;WINDOW=FIRST_POPUP&amp;HEIGHT=450&amp;WIDTH=450&amp;START_MAXIMIZED=FALS","E&amp;VAR:CALENDAR=US&amp;VAR:SYMBOL=TLLP&amp;VAR:INDEX=0"}</definedName>
    <definedName name="_199__FDSAUDITLINK__" hidden="1">{"fdsup://directions/FAT Viewer?action=UPDATE&amp;creator=factset&amp;DYN_ARGS=TRUE&amp;DOC_NAME=FAT:FQL_AUDITING_CLIENT_TEMPLATE.FAT&amp;display_string=Audit&amp;VAR:KEY=QREXAPWFKL&amp;VAR:QUERY=RkZfREVCVChBTk4sMjAwOSk=&amp;WINDOW=FIRST_POPUP&amp;HEIGHT=450&amp;WIDTH=450&amp;START_MAXIMIZED=FALS","E&amp;VAR:CALENDAR=US&amp;VAR:SYMBOL=TLLP&amp;VAR:INDEX=0"}</definedName>
    <definedName name="_2__FDSAUDITLINK__" localSheetId="12" hidden="1">{"fdsup://directions/FAT Viewer?action=UPDATE&amp;creator=factset&amp;DYN_ARGS=TRUE&amp;DOC_NAME=FAT:FQL_AUDITING_CLIENT_TEMPLATE.FAT&amp;display_string=Audit&amp;VAR:KEY=XWZOZMPGZW&amp;VAR:QUERY=RkZfRUJJVERBX09QRVIoQU5OLDEvMS8yMDAwLDEvMjYvMjAwMixDWSk=&amp;WINDOW=FIRST_POPUP&amp;HEIGHT=45","0&amp;WIDTH=450&amp;START_MAXIMIZED=FALSE&amp;VAR:CALENDAR=US&amp;VAR:SYMBOL=BWA&amp;VAR:INDEX=0"}</definedName>
    <definedName name="_2__FDSAUDITLINK__" localSheetId="5" hidden="1">{"fdsup://directions/FAT Viewer?action=UPDATE&amp;creator=factset&amp;DYN_ARGS=TRUE&amp;DOC_NAME=FAT:FQL_AUDITING_CLIENT_TEMPLATE.FAT&amp;display_string=Audit&amp;VAR:KEY=XWZOZMPGZW&amp;VAR:QUERY=RkZfRUJJVERBX09QRVIoQU5OLDEvMS8yMDAwLDEvMjYvMjAwMixDWSk=&amp;WINDOW=FIRST_POPUP&amp;HEIGHT=45","0&amp;WIDTH=450&amp;START_MAXIMIZED=FALSE&amp;VAR:CALENDAR=US&amp;VAR:SYMBOL=BWA&amp;VAR:INDEX=0"}</definedName>
    <definedName name="_2__FDSAUDITLINK__" localSheetId="3" hidden="1">{"fdsup://directions/FAT Viewer?action=UPDATE&amp;creator=factset&amp;DYN_ARGS=TRUE&amp;DOC_NAME=FAT:FQL_AUDITING_CLIENT_TEMPLATE.FAT&amp;display_string=Audit&amp;VAR:KEY=FODUDADIPC&amp;VAR:QUERY=RkVfVkFMVUFUSU9OKCdQQlBTJywnTUVBTicsJ0FOTlVBTCcsMjAxMSwwLCwsJycp&amp;WINDOW=FIRST_POPUP&amp;H","EIGHT=450&amp;WIDTH=450&amp;START_MAXIMIZED=FALSE&amp;VAR:CALENDAR=FIVEDAY&amp;VAR:SYMBOL=671499&amp;VAR:INDEX=0"}</definedName>
    <definedName name="_2__FDSAUDITLINK__" hidden="1">{"fdsup://directions/FAT Viewer?action=UPDATE&amp;creator=factset&amp;DYN_ARGS=TRUE&amp;DOC_NAME=FAT:FQL_AUDITING_CLIENT_TEMPLATE.FAT&amp;display_string=Audit&amp;VAR:KEY=XWZOZMPGZW&amp;VAR:QUERY=RkZfRUJJVERBX09QRVIoQU5OLDEvMS8yMDAwLDEvMjYvMjAwMixDWSk=&amp;WINDOW=FIRST_POPUP&amp;HEIGHT=45","0&amp;WIDTH=450&amp;START_MAXIMIZED=FALSE&amp;VAR:CALENDAR=US&amp;VAR:SYMBOL=BWA&amp;VAR:INDEX=0"}</definedName>
    <definedName name="_20__FDSAUDITLINK__" localSheetId="12" hidden="1">{"fdsup://directions/FAT Viewer?action=UPDATE&amp;creator=factset&amp;DYN_ARGS=TRUE&amp;DOC_NAME=FAT:FQL_AUDITING_CLIENT_TEMPLATE.FAT&amp;display_string=Audit&amp;VAR:KEY=NQPUPARQXU&amp;VAR:QUERY=RkVfVkFMVUFUSU9OKCdQQlBTJywnTUVBTicsJ0FOTlVBTCcsMjAwOSwwLCwsJycp&amp;WINDOW=FIRST_POPUP&amp;H","EIGHT=450&amp;WIDTH=450&amp;START_MAXIMIZED=FALSE&amp;VAR:CALENDAR=FIVEDAY&amp;VAR:SYMBOL=669728&amp;VAR:INDEX=0"}</definedName>
    <definedName name="_20__FDSAUDITLINK__" localSheetId="5" hidden="1">{"fdsup://directions/FAT Viewer?action=UPDATE&amp;creator=factset&amp;DYN_ARGS=TRUE&amp;DOC_NAME=FAT:FQL_AUDITING_CLIENT_TEMPLATE.FAT&amp;display_string=Audit&amp;VAR:KEY=NQPUPARQXU&amp;VAR:QUERY=RkVfVkFMVUFUSU9OKCdQQlBTJywnTUVBTicsJ0FOTlVBTCcsMjAwOSwwLCwsJycp&amp;WINDOW=FIRST_POPUP&amp;H","EIGHT=450&amp;WIDTH=450&amp;START_MAXIMIZED=FALSE&amp;VAR:CALENDAR=FIVEDAY&amp;VAR:SYMBOL=669728&amp;VAR:INDEX=0"}</definedName>
    <definedName name="_20__FDSAUDITLINK__" localSheetId="3" hidden="1">{"fdsup://directions/FAT Viewer?action=UPDATE&amp;creator=factset&amp;DYN_ARGS=TRUE&amp;DOC_NAME=FAT:FQL_AUDITING_CLIENT_TEMPLATE.FAT&amp;display_string=Audit&amp;VAR:KEY=NQPUPARQXU&amp;VAR:QUERY=RkVfVkFMVUFUSU9OKCdQQlBTJywnTUVBTicsJ0FOTlVBTCcsMjAwOSwwLCwsJycp&amp;WINDOW=FIRST_POPUP&amp;H","EIGHT=450&amp;WIDTH=450&amp;START_MAXIMIZED=FALSE&amp;VAR:CALENDAR=FIVEDAY&amp;VAR:SYMBOL=669728&amp;VAR:INDEX=0"}</definedName>
    <definedName name="_20__FDSAUDITLINK__" hidden="1">{"fdsup://directions/FAT Viewer?action=UPDATE&amp;creator=factset&amp;DYN_ARGS=TRUE&amp;DOC_NAME=FAT:FQL_AUDITING_CLIENT_TEMPLATE.FAT&amp;display_string=Audit&amp;VAR:KEY=NQPUPARQXU&amp;VAR:QUERY=RkVfVkFMVUFUSU9OKCdQQlBTJywnTUVBTicsJ0FOTlVBTCcsMjAwOSwwLCwsJycp&amp;WINDOW=FIRST_POPUP&amp;H","EIGHT=450&amp;WIDTH=450&amp;START_MAXIMIZED=FALSE&amp;VAR:CALENDAR=FIVEDAY&amp;VAR:SYMBOL=669728&amp;VAR:INDEX=0"}</definedName>
    <definedName name="_200__FDSAUDITLINK__" hidden="1">{"fdsup://directions/FAT Viewer?action=UPDATE&amp;creator=factset&amp;DYN_ARGS=TRUE&amp;DOC_NAME=FAT:FQL_AUDITING_CLIENT_TEMPLATE.FAT&amp;display_string=Audit&amp;VAR:KEY=QREXAPWFKL&amp;VAR:QUERY=RkZfREVCVChBTk4sMjAwOSk=&amp;WINDOW=FIRST_POPUP&amp;HEIGHT=450&amp;WIDTH=450&amp;START_MAXIMIZED=FALS","E&amp;VAR:CALENDAR=US&amp;VAR:SYMBOL=TLLP&amp;VAR:INDEX=0"}</definedName>
    <definedName name="_201__FDSAUDITLINK__" hidden="1">{"fdsup://directions/FAT Viewer?action=UPDATE&amp;creator=factset&amp;DYN_ARGS=TRUE&amp;DOC_NAME=FAT:FQL_AUDITING_CLIENT_TEMPLATE.FAT&amp;display_string=Audit&amp;VAR:KEY=QREXAPWFKL&amp;VAR:QUERY=RkZfREVCVChBTk4sMjAwOSk=&amp;WINDOW=FIRST_POPUP&amp;HEIGHT=450&amp;WIDTH=450&amp;START_MAXIMIZED=FALS","E&amp;VAR:CALENDAR=US&amp;VAR:SYMBOL=TLLP&amp;VAR:INDEX=0"}</definedName>
    <definedName name="_202__FDSAUDITLINK__" hidden="1">{"fdsup://directions/FAT Viewer?action=UPDATE&amp;creator=factset&amp;DYN_ARGS=TRUE&amp;DOC_NAME=FAT:FQL_AUDITING_CLIENT_TEMPLATE.FAT&amp;display_string=Audit&amp;VAR:KEY=EDGRKLSFGB&amp;VAR:QUERY=RkZfREVCVChBTk4sMjAwOSk=&amp;WINDOW=FIRST_POPUP&amp;HEIGHT=450&amp;WIDTH=450&amp;START_MAXIMIZED=FALS","E&amp;VAR:CALENDAR=US&amp;VAR:SYMBOL=TLP&amp;VAR:INDEX=0"}</definedName>
    <definedName name="_203__FDSAUDITLINK__" hidden="1">{"fdsup://directions/FAT Viewer?action=UPDATE&amp;creator=factset&amp;DYN_ARGS=TRUE&amp;DOC_NAME=FAT:FQL_AUDITING_CLIENT_TEMPLATE.FAT&amp;display_string=Audit&amp;VAR:KEY=EDGRKLSFGB&amp;VAR:QUERY=RkZfREVCVChBTk4sMjAwOSk=&amp;WINDOW=FIRST_POPUP&amp;HEIGHT=450&amp;WIDTH=450&amp;START_MAXIMIZED=FALS","E&amp;VAR:CALENDAR=US&amp;VAR:SYMBOL=TLP&amp;VAR:INDEX=0"}</definedName>
    <definedName name="_204__FDSAUDITLINK__" hidden="1">{"fdsup://directions/FAT Viewer?action=UPDATE&amp;creator=factset&amp;DYN_ARGS=TRUE&amp;DOC_NAME=FAT:FQL_AUDITING_CLIENT_TEMPLATE.FAT&amp;display_string=Audit&amp;VAR:KEY=EDGRKLSFGB&amp;VAR:QUERY=RkZfREVCVChBTk4sMjAwOSk=&amp;WINDOW=FIRST_POPUP&amp;HEIGHT=450&amp;WIDTH=450&amp;START_MAXIMIZED=FALS","E&amp;VAR:CALENDAR=US&amp;VAR:SYMBOL=TLP&amp;VAR:INDEX=0"}</definedName>
    <definedName name="_205__FDSAUDITLINK__" hidden="1">{"fdsup://directions/FAT Viewer?action=UPDATE&amp;creator=factset&amp;DYN_ARGS=TRUE&amp;DOC_NAME=FAT:FQL_AUDITING_CLIENT_TEMPLATE.FAT&amp;display_string=Audit&amp;VAR:KEY=EDGRKLSFGB&amp;VAR:QUERY=RkZfREVCVChBTk4sMjAwOSk=&amp;WINDOW=FIRST_POPUP&amp;HEIGHT=450&amp;WIDTH=450&amp;START_MAXIMIZED=FALS","E&amp;VAR:CALENDAR=US&amp;VAR:SYMBOL=TLP&amp;VAR:INDEX=0"}</definedName>
    <definedName name="_206__FDSAUDITLINK__" hidden="1">{"fdsup://directions/FAT Viewer?action=UPDATE&amp;creator=factset&amp;DYN_ARGS=TRUE&amp;DOC_NAME=FAT:FQL_AUDITING_CLIENT_TEMPLATE.FAT&amp;display_string=Audit&amp;VAR:KEY=IFOXUNSTGV&amp;VAR:QUERY=RkZfREVCVChBTk4sMjAwOSk=&amp;WINDOW=FIRST_POPUP&amp;HEIGHT=450&amp;WIDTH=450&amp;START_MAXIMIZED=FALS","E&amp;VAR:CALENDAR=US&amp;VAR:SYMBOL=HEP&amp;VAR:INDEX=0"}</definedName>
    <definedName name="_207__FDSAUDITLINK__" hidden="1">{"fdsup://directions/FAT Viewer?action=UPDATE&amp;creator=factset&amp;DYN_ARGS=TRUE&amp;DOC_NAME=FAT:FQL_AUDITING_CLIENT_TEMPLATE.FAT&amp;display_string=Audit&amp;VAR:KEY=IFOXUNSTGV&amp;VAR:QUERY=RkZfREVCVChBTk4sMjAwOSk=&amp;WINDOW=FIRST_POPUP&amp;HEIGHT=450&amp;WIDTH=450&amp;START_MAXIMIZED=FALS","E&amp;VAR:CALENDAR=US&amp;VAR:SYMBOL=HEP&amp;VAR:INDEX=0"}</definedName>
    <definedName name="_208__FDSAUDITLINK__" hidden="1">{"fdsup://directions/FAT Viewer?action=UPDATE&amp;creator=factset&amp;DYN_ARGS=TRUE&amp;DOC_NAME=FAT:FQL_AUDITING_CLIENT_TEMPLATE.FAT&amp;display_string=Audit&amp;VAR:KEY=IFOXUNSTGV&amp;VAR:QUERY=RkZfREVCVChBTk4sMjAwOSk=&amp;WINDOW=FIRST_POPUP&amp;HEIGHT=450&amp;WIDTH=450&amp;START_MAXIMIZED=FALS","E&amp;VAR:CALENDAR=US&amp;VAR:SYMBOL=HEP&amp;VAR:INDEX=0"}</definedName>
    <definedName name="_209__FDSAUDITLINK__" hidden="1">{"fdsup://directions/FAT Viewer?action=UPDATE&amp;creator=factset&amp;DYN_ARGS=TRUE&amp;DOC_NAME=FAT:FQL_AUDITING_CLIENT_TEMPLATE.FAT&amp;display_string=Audit&amp;VAR:KEY=IFOXUNSTGV&amp;VAR:QUERY=RkZfREVCVChBTk4sMjAwOSk=&amp;WINDOW=FIRST_POPUP&amp;HEIGHT=450&amp;WIDTH=450&amp;START_MAXIMIZED=FALS","E&amp;VAR:CALENDAR=US&amp;VAR:SYMBOL=HEP&amp;VAR:INDEX=0"}</definedName>
    <definedName name="_21__FDSAUDITLINK__" localSheetId="12" hidden="1">{"fdsup://directions/FAT Viewer?action=UPDATE&amp;creator=factset&amp;DYN_ARGS=TRUE&amp;DOC_NAME=FAT:FQL_AUDITING_CLIENT_TEMPLATE.FAT&amp;display_string=Audit&amp;VAR:KEY=RUNOBIVMNG&amp;VAR:QUERY=RkVfVkFMVUFUSU9OKCdQQlBTJywnTUVBTicsJ0FOTlVBTCcsMjAxMiwwLCwsJycp&amp;WINDOW=FIRST_POPUP&amp;H","EIGHT=450&amp;WIDTH=450&amp;START_MAXIMIZED=FALSE&amp;VAR:CALENDAR=FIVEDAY&amp;VAR:SYMBOL=B064SH&amp;VAR:INDEX=0"}</definedName>
    <definedName name="_21__FDSAUDITLINK__" localSheetId="5" hidden="1">{"fdsup://directions/FAT Viewer?action=UPDATE&amp;creator=factset&amp;DYN_ARGS=TRUE&amp;DOC_NAME=FAT:FQL_AUDITING_CLIENT_TEMPLATE.FAT&amp;display_string=Audit&amp;VAR:KEY=RUNOBIVMNG&amp;VAR:QUERY=RkVfVkFMVUFUSU9OKCdQQlBTJywnTUVBTicsJ0FOTlVBTCcsMjAxMiwwLCwsJycp&amp;WINDOW=FIRST_POPUP&amp;H","EIGHT=450&amp;WIDTH=450&amp;START_MAXIMIZED=FALSE&amp;VAR:CALENDAR=FIVEDAY&amp;VAR:SYMBOL=B064SH&amp;VAR:INDEX=0"}</definedName>
    <definedName name="_21__FDSAUDITLINK__" localSheetId="3" hidden="1">{"fdsup://directions/FAT Viewer?action=UPDATE&amp;creator=factset&amp;DYN_ARGS=TRUE&amp;DOC_NAME=FAT:FQL_AUDITING_CLIENT_TEMPLATE.FAT&amp;display_string=Audit&amp;VAR:KEY=RUNOBIVMNG&amp;VAR:QUERY=RkVfVkFMVUFUSU9OKCdQQlBTJywnTUVBTicsJ0FOTlVBTCcsMjAxMiwwLCwsJycp&amp;WINDOW=FIRST_POPUP&amp;H","EIGHT=450&amp;WIDTH=450&amp;START_MAXIMIZED=FALSE&amp;VAR:CALENDAR=FIVEDAY&amp;VAR:SYMBOL=B064SH&amp;VAR:INDEX=0"}</definedName>
    <definedName name="_21__FDSAUDITLINK__" hidden="1">{"fdsup://directions/FAT Viewer?action=UPDATE&amp;creator=factset&amp;DYN_ARGS=TRUE&amp;DOC_NAME=FAT:FQL_AUDITING_CLIENT_TEMPLATE.FAT&amp;display_string=Audit&amp;VAR:KEY=RUNOBIVMNG&amp;VAR:QUERY=RkVfVkFMVUFUSU9OKCdQQlBTJywnTUVBTicsJ0FOTlVBTCcsMjAxMiwwLCwsJycp&amp;WINDOW=FIRST_POPUP&amp;H","EIGHT=450&amp;WIDTH=450&amp;START_MAXIMIZED=FALSE&amp;VAR:CALENDAR=FIVEDAY&amp;VAR:SYMBOL=B064SH&amp;VAR:INDEX=0"}</definedName>
    <definedName name="_210__FDSAUDITLINK__" hidden="1">{"fdsup://directions/FAT Viewer?action=UPDATE&amp;creator=factset&amp;DYN_ARGS=TRUE&amp;DOC_NAME=FAT:FQL_AUDITING_CLIENT_TEMPLATE.FAT&amp;display_string=Audit&amp;VAR:KEY=IFOXUNSTGV&amp;VAR:QUERY=RkZfREVCVChBTk4sMjAwOSk=&amp;WINDOW=FIRST_POPUP&amp;HEIGHT=450&amp;WIDTH=450&amp;START_MAXIMIZED=FALS","E&amp;VAR:CALENDAR=US&amp;VAR:SYMBOL=HEP&amp;VAR:INDEX=0"}</definedName>
    <definedName name="_211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12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13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14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15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16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17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18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19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2__FDSAUDITLINK__" localSheetId="12" hidden="1">{"fdsup://directions/FAT Viewer?action=UPDATE&amp;creator=factset&amp;DYN_ARGS=TRUE&amp;DOC_NAME=FAT:FQL_AUDITING_CLIENT_TEMPLATE.FAT&amp;display_string=Audit&amp;VAR:KEY=LCHSVMLSVY&amp;VAR:QUERY=RkVfVkFMVUFUSU9OKCdQQlBTJywnTUVBTicsJ0FOTlVBTCcsMjAxMSwwLCwsJycp&amp;WINDOW=FIRST_POPUP&amp;H","EIGHT=450&amp;WIDTH=450&amp;START_MAXIMIZED=FALSE&amp;VAR:CALENDAR=FIVEDAY&amp;VAR:SYMBOL=B064SH&amp;VAR:INDEX=0"}</definedName>
    <definedName name="_22__FDSAUDITLINK__" localSheetId="5" hidden="1">{"fdsup://directions/FAT Viewer?action=UPDATE&amp;creator=factset&amp;DYN_ARGS=TRUE&amp;DOC_NAME=FAT:FQL_AUDITING_CLIENT_TEMPLATE.FAT&amp;display_string=Audit&amp;VAR:KEY=LCHSVMLSVY&amp;VAR:QUERY=RkVfVkFMVUFUSU9OKCdQQlBTJywnTUVBTicsJ0FOTlVBTCcsMjAxMSwwLCwsJycp&amp;WINDOW=FIRST_POPUP&amp;H","EIGHT=450&amp;WIDTH=450&amp;START_MAXIMIZED=FALSE&amp;VAR:CALENDAR=FIVEDAY&amp;VAR:SYMBOL=B064SH&amp;VAR:INDEX=0"}</definedName>
    <definedName name="_22__FDSAUDITLINK__" localSheetId="3" hidden="1">{"fdsup://directions/FAT Viewer?action=UPDATE&amp;creator=factset&amp;DYN_ARGS=TRUE&amp;DOC_NAME=FAT:FQL_AUDITING_CLIENT_TEMPLATE.FAT&amp;display_string=Audit&amp;VAR:KEY=LCHSVMLSVY&amp;VAR:QUERY=RkVfVkFMVUFUSU9OKCdQQlBTJywnTUVBTicsJ0FOTlVBTCcsMjAxMSwwLCwsJycp&amp;WINDOW=FIRST_POPUP&amp;H","EIGHT=450&amp;WIDTH=450&amp;START_MAXIMIZED=FALSE&amp;VAR:CALENDAR=FIVEDAY&amp;VAR:SYMBOL=B064SH&amp;VAR:INDEX=0"}</definedName>
    <definedName name="_22__FDSAUDITLINK__" hidden="1">{"fdsup://directions/FAT Viewer?action=UPDATE&amp;creator=factset&amp;DYN_ARGS=TRUE&amp;DOC_NAME=FAT:FQL_AUDITING_CLIENT_TEMPLATE.FAT&amp;display_string=Audit&amp;VAR:KEY=LCHSVMLSVY&amp;VAR:QUERY=RkVfVkFMVUFUSU9OKCdQQlBTJywnTUVBTicsJ0FOTlVBTCcsMjAxMSwwLCwsJycp&amp;WINDOW=FIRST_POPUP&amp;H","EIGHT=450&amp;WIDTH=450&amp;START_MAXIMIZED=FALSE&amp;VAR:CALENDAR=FIVEDAY&amp;VAR:SYMBOL=B064SH&amp;VAR:INDEX=0"}</definedName>
    <definedName name="_220__FDSAUDITLINK__"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21__FDSAUDITLINK__"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22__FDSAUDITLINK__"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23__FDSAUDITLINK__"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24__FDSAUDITLINK__"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25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26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27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28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29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3__FDSAUDITLINK__" localSheetId="12" hidden="1">{"fdsup://directions/FAT Viewer?action=UPDATE&amp;creator=factset&amp;DYN_ARGS=TRUE&amp;DOC_NAME=FAT:FQL_AUDITING_CLIENT_TEMPLATE.FAT&amp;display_string=Audit&amp;VAR:KEY=DCBKNWDAHK&amp;VAR:QUERY=RkVfVkFMVUFUSU9OKCdQQlBTJywnTUVBTicsJ0FOTlVBTCcsMjAxMCwwLCwsJycp&amp;WINDOW=FIRST_POPUP&amp;H","EIGHT=450&amp;WIDTH=450&amp;START_MAXIMIZED=FALSE&amp;VAR:CALENDAR=FIVEDAY&amp;VAR:SYMBOL=B064SH&amp;VAR:INDEX=0"}</definedName>
    <definedName name="_23__FDSAUDITLINK__" localSheetId="5" hidden="1">{"fdsup://directions/FAT Viewer?action=UPDATE&amp;creator=factset&amp;DYN_ARGS=TRUE&amp;DOC_NAME=FAT:FQL_AUDITING_CLIENT_TEMPLATE.FAT&amp;display_string=Audit&amp;VAR:KEY=DCBKNWDAHK&amp;VAR:QUERY=RkVfVkFMVUFUSU9OKCdQQlBTJywnTUVBTicsJ0FOTlVBTCcsMjAxMCwwLCwsJycp&amp;WINDOW=FIRST_POPUP&amp;H","EIGHT=450&amp;WIDTH=450&amp;START_MAXIMIZED=FALSE&amp;VAR:CALENDAR=FIVEDAY&amp;VAR:SYMBOL=B064SH&amp;VAR:INDEX=0"}</definedName>
    <definedName name="_23__FDSAUDITLINK__" localSheetId="3" hidden="1">{"fdsup://directions/FAT Viewer?action=UPDATE&amp;creator=factset&amp;DYN_ARGS=TRUE&amp;DOC_NAME=FAT:FQL_AUDITING_CLIENT_TEMPLATE.FAT&amp;display_string=Audit&amp;VAR:KEY=DCBKNWDAHK&amp;VAR:QUERY=RkVfVkFMVUFUSU9OKCdQQlBTJywnTUVBTicsJ0FOTlVBTCcsMjAxMCwwLCwsJycp&amp;WINDOW=FIRST_POPUP&amp;H","EIGHT=450&amp;WIDTH=450&amp;START_MAXIMIZED=FALSE&amp;VAR:CALENDAR=FIVEDAY&amp;VAR:SYMBOL=B064SH&amp;VAR:INDEX=0"}</definedName>
    <definedName name="_23__FDSAUDITLINK__" hidden="1">{"fdsup://directions/FAT Viewer?action=UPDATE&amp;creator=factset&amp;DYN_ARGS=TRUE&amp;DOC_NAME=FAT:FQL_AUDITING_CLIENT_TEMPLATE.FAT&amp;display_string=Audit&amp;VAR:KEY=DCBKNWDAHK&amp;VAR:QUERY=RkVfVkFMVUFUSU9OKCdQQlBTJywnTUVBTicsJ0FOTlVBTCcsMjAxMCwwLCwsJycp&amp;WINDOW=FIRST_POPUP&amp;H","EIGHT=450&amp;WIDTH=450&amp;START_MAXIMIZED=FALSE&amp;VAR:CALENDAR=FIVEDAY&amp;VAR:SYMBOL=B064SH&amp;VAR:INDEX=0"}</definedName>
    <definedName name="_230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31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32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33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34__FDSAUDITLINK__"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35__FDSAUDITLINK__"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36__FDSAUDITLINK__"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37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38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39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4__FDSAUDITLINK__" localSheetId="12" hidden="1">{"fdsup://directions/FAT Viewer?action=UPDATE&amp;creator=factset&amp;DYN_ARGS=TRUE&amp;DOC_NAME=FAT:FQL_AUDITING_CLIENT_TEMPLATE.FAT&amp;display_string=Audit&amp;VAR:KEY=HKPODUPWHY&amp;VAR:QUERY=RkVfVkFMVUFUSU9OKCdQQlBTJywnTUVBTicsJ0FOTlVBTCcsMjAwOSwwLCwsJycp&amp;WINDOW=FIRST_POPUP&amp;H","EIGHT=450&amp;WIDTH=450&amp;START_MAXIMIZED=FALSE&amp;VAR:CALENDAR=FIVEDAY&amp;VAR:SYMBOL=B064SH&amp;VAR:INDEX=0"}</definedName>
    <definedName name="_24__FDSAUDITLINK__" localSheetId="5" hidden="1">{"fdsup://directions/FAT Viewer?action=UPDATE&amp;creator=factset&amp;DYN_ARGS=TRUE&amp;DOC_NAME=FAT:FQL_AUDITING_CLIENT_TEMPLATE.FAT&amp;display_string=Audit&amp;VAR:KEY=HKPODUPWHY&amp;VAR:QUERY=RkVfVkFMVUFUSU9OKCdQQlBTJywnTUVBTicsJ0FOTlVBTCcsMjAwOSwwLCwsJycp&amp;WINDOW=FIRST_POPUP&amp;H","EIGHT=450&amp;WIDTH=450&amp;START_MAXIMIZED=FALSE&amp;VAR:CALENDAR=FIVEDAY&amp;VAR:SYMBOL=B064SH&amp;VAR:INDEX=0"}</definedName>
    <definedName name="_24__FDSAUDITLINK__" localSheetId="3" hidden="1">{"fdsup://directions/FAT Viewer?action=UPDATE&amp;creator=factset&amp;DYN_ARGS=TRUE&amp;DOC_NAME=FAT:FQL_AUDITING_CLIENT_TEMPLATE.FAT&amp;display_string=Audit&amp;VAR:KEY=HKPODUPWHY&amp;VAR:QUERY=RkVfVkFMVUFUSU9OKCdQQlBTJywnTUVBTicsJ0FOTlVBTCcsMjAwOSwwLCwsJycp&amp;WINDOW=FIRST_POPUP&amp;H","EIGHT=450&amp;WIDTH=450&amp;START_MAXIMIZED=FALSE&amp;VAR:CALENDAR=FIVEDAY&amp;VAR:SYMBOL=B064SH&amp;VAR:INDEX=0"}</definedName>
    <definedName name="_24__FDSAUDITLINK__" hidden="1">{"fdsup://directions/FAT Viewer?action=UPDATE&amp;creator=factset&amp;DYN_ARGS=TRUE&amp;DOC_NAME=FAT:FQL_AUDITING_CLIENT_TEMPLATE.FAT&amp;display_string=Audit&amp;VAR:KEY=HKPODUPWHY&amp;VAR:QUERY=RkVfVkFMVUFUSU9OKCdQQlBTJywnTUVBTicsJ0FOTlVBTCcsMjAwOSwwLCwsJycp&amp;WINDOW=FIRST_POPUP&amp;H","EIGHT=450&amp;WIDTH=450&amp;START_MAXIMIZED=FALSE&amp;VAR:CALENDAR=FIVEDAY&amp;VAR:SYMBOL=B064SH&amp;VAR:INDEX=0"}</definedName>
    <definedName name="_240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41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42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43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44__FDSAUDITLINK__"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45__FDSAUDITLINK__"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46__FDSAUDITLINK__"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47__FDSAUDITLINK__" hidden="1">{"fdsup://directions/FAT Viewer?action=UPDATE&amp;creator=factset&amp;DYN_ARGS=TRUE&amp;DOC_NAME=FAT:FQL_AUDITING_CLIENT_TEMPLATE.FAT&amp;display_string=Audit&amp;VAR:KEY=KRAHKFYFIB&amp;VAR:QUERY=RkZfREVCVChBTk4sMjAwOSk=&amp;WINDOW=FIRST_POPUP&amp;HEIGHT=450&amp;WIDTH=450&amp;START_MAXIMIZED=FALS","E&amp;VAR:CALENDAR=US&amp;VAR:SYMBOL=HEP&amp;VAR:INDEX=0"}</definedName>
    <definedName name="_248__FDSAUDITLINK__" hidden="1">{"fdsup://directions/FAT Viewer?action=UPDATE&amp;creator=factset&amp;DYN_ARGS=TRUE&amp;DOC_NAME=FAT:FQL_AUDITING_CLIENT_TEMPLATE.FAT&amp;display_string=Audit&amp;VAR:KEY=KRAHKFYFIB&amp;VAR:QUERY=RkZfREVCVChBTk4sMjAwOSk=&amp;WINDOW=FIRST_POPUP&amp;HEIGHT=450&amp;WIDTH=450&amp;START_MAXIMIZED=FALS","E&amp;VAR:CALENDAR=US&amp;VAR:SYMBOL=HEP&amp;VAR:INDEX=0"}</definedName>
    <definedName name="_249__FDSAUDITLINK__" hidden="1">{"fdsup://directions/FAT Viewer?action=UPDATE&amp;creator=factset&amp;DYN_ARGS=TRUE&amp;DOC_NAME=FAT:FQL_AUDITING_CLIENT_TEMPLATE.FAT&amp;display_string=Audit&amp;VAR:KEY=KRAHKFYFIB&amp;VAR:QUERY=RkZfREVCVChBTk4sMjAwOSk=&amp;WINDOW=FIRST_POPUP&amp;HEIGHT=450&amp;WIDTH=450&amp;START_MAXIMIZED=FALS","E&amp;VAR:CALENDAR=US&amp;VAR:SYMBOL=HEP&amp;VAR:INDEX=0"}</definedName>
    <definedName name="_25__FDSAUDITLINK__" localSheetId="12" hidden="1">{"fdsup://directions/FAT Viewer?action=UPDATE&amp;creator=factset&amp;DYN_ARGS=TRUE&amp;DOC_NAME=FAT:FQL_AUDITING_CLIENT_TEMPLATE.FAT&amp;display_string=Audit&amp;VAR:KEY=DWHUFCHOVA&amp;VAR:QUERY=RkVfVkFMVUFUSU9OKCdQQlBTJywnTUVBTicsJ0FOTlVBTCcsMjAxMiwwLCwsJycp&amp;WINDOW=FIRST_POPUP&amp;H","EIGHT=450&amp;WIDTH=450&amp;START_MAXIMIZED=FALSE&amp;VAR:CALENDAR=FIVEDAY&amp;VAR:SYMBOL=698646&amp;VAR:INDEX=0"}</definedName>
    <definedName name="_25__FDSAUDITLINK__" localSheetId="5" hidden="1">{"fdsup://directions/FAT Viewer?action=UPDATE&amp;creator=factset&amp;DYN_ARGS=TRUE&amp;DOC_NAME=FAT:FQL_AUDITING_CLIENT_TEMPLATE.FAT&amp;display_string=Audit&amp;VAR:KEY=DWHUFCHOVA&amp;VAR:QUERY=RkVfVkFMVUFUSU9OKCdQQlBTJywnTUVBTicsJ0FOTlVBTCcsMjAxMiwwLCwsJycp&amp;WINDOW=FIRST_POPUP&amp;H","EIGHT=450&amp;WIDTH=450&amp;START_MAXIMIZED=FALSE&amp;VAR:CALENDAR=FIVEDAY&amp;VAR:SYMBOL=698646&amp;VAR:INDEX=0"}</definedName>
    <definedName name="_25__FDSAUDITLINK__" localSheetId="3" hidden="1">{"fdsup://directions/FAT Viewer?action=UPDATE&amp;creator=factset&amp;DYN_ARGS=TRUE&amp;DOC_NAME=FAT:FQL_AUDITING_CLIENT_TEMPLATE.FAT&amp;display_string=Audit&amp;VAR:KEY=DWHUFCHOVA&amp;VAR:QUERY=RkVfVkFMVUFUSU9OKCdQQlBTJywnTUVBTicsJ0FOTlVBTCcsMjAxMiwwLCwsJycp&amp;WINDOW=FIRST_POPUP&amp;H","EIGHT=450&amp;WIDTH=450&amp;START_MAXIMIZED=FALSE&amp;VAR:CALENDAR=FIVEDAY&amp;VAR:SYMBOL=698646&amp;VAR:INDEX=0"}</definedName>
    <definedName name="_25__FDSAUDITLINK__" hidden="1">{"fdsup://directions/FAT Viewer?action=UPDATE&amp;creator=factset&amp;DYN_ARGS=TRUE&amp;DOC_NAME=FAT:FQL_AUDITING_CLIENT_TEMPLATE.FAT&amp;display_string=Audit&amp;VAR:KEY=DWHUFCHOVA&amp;VAR:QUERY=RkVfVkFMVUFUSU9OKCdQQlBTJywnTUVBTicsJ0FOTlVBTCcsMjAxMiwwLCwsJycp&amp;WINDOW=FIRST_POPUP&amp;H","EIGHT=450&amp;WIDTH=450&amp;START_MAXIMIZED=FALSE&amp;VAR:CALENDAR=FIVEDAY&amp;VAR:SYMBOL=698646&amp;VAR:INDEX=0"}</definedName>
    <definedName name="_250__FDSAUDITLINK__" hidden="1">{"fdsup://directions/FAT Viewer?action=UPDATE&amp;creator=factset&amp;DYN_ARGS=TRUE&amp;DOC_NAME=FAT:FQL_AUDITING_CLIENT_TEMPLATE.FAT&amp;display_string=Audit&amp;VAR:KEY=KRAHKFYFIB&amp;VAR:QUERY=RkZfREVCVChBTk4sMjAwOSk=&amp;WINDOW=FIRST_POPUP&amp;HEIGHT=450&amp;WIDTH=450&amp;START_MAXIMIZED=FALS","E&amp;VAR:CALENDAR=US&amp;VAR:SYMBOL=HEP&amp;VAR:INDEX=0"}</definedName>
    <definedName name="_251__FDSAUDITLINK__" hidden="1">{"fdsup://directions/FAT Viewer?action=UPDATE&amp;creator=factset&amp;DYN_ARGS=TRUE&amp;DOC_NAME=FAT:FQL_AUDITING_CLIENT_TEMPLATE.FAT&amp;display_string=Audit&amp;VAR:KEY=KRAHKFYFIB&amp;VAR:QUERY=RkZfREVCVChBTk4sMjAwOSk=&amp;WINDOW=FIRST_POPUP&amp;HEIGHT=450&amp;WIDTH=450&amp;START_MAXIMIZED=FALS","E&amp;VAR:CALENDAR=US&amp;VAR:SYMBOL=HEP&amp;VAR:INDEX=0"}</definedName>
    <definedName name="_252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53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54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55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56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57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58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59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6__FDSAUDITLINK__" localSheetId="12" hidden="1">{"fdsup://directions/FAT Viewer?action=UPDATE&amp;creator=factset&amp;DYN_ARGS=TRUE&amp;DOC_NAME=FAT:FQL_AUDITING_CLIENT_TEMPLATE.FAT&amp;display_string=Audit&amp;VAR:KEY=DWHUFCHOVA&amp;VAR:QUERY=RkVfVkFMVUFUSU9OKCdQQlBTJywnTUVBTicsJ0FOTlVBTCcsMjAxMiwwLCwsJycp&amp;WINDOW=FIRST_POPUP&amp;H","EIGHT=450&amp;WIDTH=450&amp;START_MAXIMIZED=FALSE&amp;VAR:CALENDAR=FIVEDAY&amp;VAR:SYMBOL=698646&amp;VAR:INDEX=0"}</definedName>
    <definedName name="_26__FDSAUDITLINK__" localSheetId="5" hidden="1">{"fdsup://directions/FAT Viewer?action=UPDATE&amp;creator=factset&amp;DYN_ARGS=TRUE&amp;DOC_NAME=FAT:FQL_AUDITING_CLIENT_TEMPLATE.FAT&amp;display_string=Audit&amp;VAR:KEY=DWHUFCHOVA&amp;VAR:QUERY=RkVfVkFMVUFUSU9OKCdQQlBTJywnTUVBTicsJ0FOTlVBTCcsMjAxMiwwLCwsJycp&amp;WINDOW=FIRST_POPUP&amp;H","EIGHT=450&amp;WIDTH=450&amp;START_MAXIMIZED=FALSE&amp;VAR:CALENDAR=FIVEDAY&amp;VAR:SYMBOL=698646&amp;VAR:INDEX=0"}</definedName>
    <definedName name="_26__FDSAUDITLINK__" localSheetId="3" hidden="1">{"fdsup://directions/FAT Viewer?action=UPDATE&amp;creator=factset&amp;DYN_ARGS=TRUE&amp;DOC_NAME=FAT:FQL_AUDITING_CLIENT_TEMPLATE.FAT&amp;display_string=Audit&amp;VAR:KEY=DWHUFCHOVA&amp;VAR:QUERY=RkVfVkFMVUFUSU9OKCdQQlBTJywnTUVBTicsJ0FOTlVBTCcsMjAxMiwwLCwsJycp&amp;WINDOW=FIRST_POPUP&amp;H","EIGHT=450&amp;WIDTH=450&amp;START_MAXIMIZED=FALSE&amp;VAR:CALENDAR=FIVEDAY&amp;VAR:SYMBOL=698646&amp;VAR:INDEX=0"}</definedName>
    <definedName name="_26__FDSAUDITLINK__" hidden="1">{"fdsup://directions/FAT Viewer?action=UPDATE&amp;creator=factset&amp;DYN_ARGS=TRUE&amp;DOC_NAME=FAT:FQL_AUDITING_CLIENT_TEMPLATE.FAT&amp;display_string=Audit&amp;VAR:KEY=DWHUFCHOVA&amp;VAR:QUERY=RkVfVkFMVUFUSU9OKCdQQlBTJywnTUVBTicsJ0FOTlVBTCcsMjAxMiwwLCwsJycp&amp;WINDOW=FIRST_POPUP&amp;H","EIGHT=450&amp;WIDTH=450&amp;START_MAXIMIZED=FALSE&amp;VAR:CALENDAR=FIVEDAY&amp;VAR:SYMBOL=698646&amp;VAR:INDEX=0"}</definedName>
    <definedName name="_260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61__FDSAUDITLINK__" hidden="1">{"fdsup://directions/FAT Viewer?action=UPDATE&amp;creator=factset&amp;DYN_ARGS=TRUE&amp;DOC_NAME=FAT:FQL_AUDITING_CLIENT_TEMPLATE.FAT&amp;display_string=Audit&amp;VAR:KEY=WFKHUJMBWF&amp;VAR:QUERY=RkZfREVCVChBTk4sMjAwOSk=&amp;WINDOW=FIRST_POPUP&amp;HEIGHT=450&amp;WIDTH=450&amp;START_MAXIMIZED=FALS","E&amp;VAR:CALENDAR=US&amp;VAR:SYMBOL=CMLP&amp;VAR:INDEX=0"}</definedName>
    <definedName name="_262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63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64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65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66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67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68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69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7__FDSAUDITLINK__" localSheetId="12" hidden="1">{"fdsup://directions/FAT Viewer?action=UPDATE&amp;creator=factset&amp;DYN_ARGS=TRUE&amp;DOC_NAME=FAT:FQL_AUDITING_CLIENT_TEMPLATE.FAT&amp;display_string=Audit&amp;VAR:KEY=HQDWBINOJI&amp;VAR:QUERY=RkVfVkFMVUFUSU9OKCdQQlBTJywnTUVBTicsJ0FOTlVBTCcsMjAxMSwwLCwsJycp&amp;WINDOW=FIRST_POPUP&amp;H","EIGHT=450&amp;WIDTH=450&amp;START_MAXIMIZED=FALSE&amp;VAR:CALENDAR=FIVEDAY&amp;VAR:SYMBOL=698646&amp;VAR:INDEX=0"}</definedName>
    <definedName name="_27__FDSAUDITLINK__" localSheetId="5" hidden="1">{"fdsup://directions/FAT Viewer?action=UPDATE&amp;creator=factset&amp;DYN_ARGS=TRUE&amp;DOC_NAME=FAT:FQL_AUDITING_CLIENT_TEMPLATE.FAT&amp;display_string=Audit&amp;VAR:KEY=HQDWBINOJI&amp;VAR:QUERY=RkVfVkFMVUFUSU9OKCdQQlBTJywnTUVBTicsJ0FOTlVBTCcsMjAxMSwwLCwsJycp&amp;WINDOW=FIRST_POPUP&amp;H","EIGHT=450&amp;WIDTH=450&amp;START_MAXIMIZED=FALSE&amp;VAR:CALENDAR=FIVEDAY&amp;VAR:SYMBOL=698646&amp;VAR:INDEX=0"}</definedName>
    <definedName name="_27__FDSAUDITLINK__" localSheetId="3" hidden="1">{"fdsup://directions/FAT Viewer?action=UPDATE&amp;creator=factset&amp;DYN_ARGS=TRUE&amp;DOC_NAME=FAT:FQL_AUDITING_CLIENT_TEMPLATE.FAT&amp;display_string=Audit&amp;VAR:KEY=HQDWBINOJI&amp;VAR:QUERY=RkVfVkFMVUFUSU9OKCdQQlBTJywnTUVBTicsJ0FOTlVBTCcsMjAxMSwwLCwsJycp&amp;WINDOW=FIRST_POPUP&amp;H","EIGHT=450&amp;WIDTH=450&amp;START_MAXIMIZED=FALSE&amp;VAR:CALENDAR=FIVEDAY&amp;VAR:SYMBOL=698646&amp;VAR:INDEX=0"}</definedName>
    <definedName name="_27__FDSAUDITLINK__" hidden="1">{"fdsup://directions/FAT Viewer?action=UPDATE&amp;creator=factset&amp;DYN_ARGS=TRUE&amp;DOC_NAME=FAT:FQL_AUDITING_CLIENT_TEMPLATE.FAT&amp;display_string=Audit&amp;VAR:KEY=HQDWBINOJI&amp;VAR:QUERY=RkVfVkFMVUFUSU9OKCdQQlBTJywnTUVBTicsJ0FOTlVBTCcsMjAxMSwwLCwsJycp&amp;WINDOW=FIRST_POPUP&amp;H","EIGHT=450&amp;WIDTH=450&amp;START_MAXIMIZED=FALSE&amp;VAR:CALENDAR=FIVEDAY&amp;VAR:SYMBOL=698646&amp;VAR:INDEX=0"}</definedName>
    <definedName name="_270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71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72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73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74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75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76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77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78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79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8__FDSAUDITLINK__" localSheetId="12" hidden="1">{"fdsup://directions/FAT Viewer?action=UPDATE&amp;creator=factset&amp;DYN_ARGS=TRUE&amp;DOC_NAME=FAT:FQL_AUDITING_CLIENT_TEMPLATE.FAT&amp;display_string=Audit&amp;VAR:KEY=HQDWBINOJI&amp;VAR:QUERY=RkVfVkFMVUFUSU9OKCdQQlBTJywnTUVBTicsJ0FOTlVBTCcsMjAxMSwwLCwsJycp&amp;WINDOW=FIRST_POPUP&amp;H","EIGHT=450&amp;WIDTH=450&amp;START_MAXIMIZED=FALSE&amp;VAR:CALENDAR=FIVEDAY&amp;VAR:SYMBOL=698646&amp;VAR:INDEX=0"}</definedName>
    <definedName name="_28__FDSAUDITLINK__" localSheetId="5" hidden="1">{"fdsup://directions/FAT Viewer?action=UPDATE&amp;creator=factset&amp;DYN_ARGS=TRUE&amp;DOC_NAME=FAT:FQL_AUDITING_CLIENT_TEMPLATE.FAT&amp;display_string=Audit&amp;VAR:KEY=HQDWBINOJI&amp;VAR:QUERY=RkVfVkFMVUFUSU9OKCdQQlBTJywnTUVBTicsJ0FOTlVBTCcsMjAxMSwwLCwsJycp&amp;WINDOW=FIRST_POPUP&amp;H","EIGHT=450&amp;WIDTH=450&amp;START_MAXIMIZED=FALSE&amp;VAR:CALENDAR=FIVEDAY&amp;VAR:SYMBOL=698646&amp;VAR:INDEX=0"}</definedName>
    <definedName name="_28__FDSAUDITLINK__" localSheetId="3" hidden="1">{"fdsup://directions/FAT Viewer?action=UPDATE&amp;creator=factset&amp;DYN_ARGS=TRUE&amp;DOC_NAME=FAT:FQL_AUDITING_CLIENT_TEMPLATE.FAT&amp;display_string=Audit&amp;VAR:KEY=HQDWBINOJI&amp;VAR:QUERY=RkVfVkFMVUFUSU9OKCdQQlBTJywnTUVBTicsJ0FOTlVBTCcsMjAxMSwwLCwsJycp&amp;WINDOW=FIRST_POPUP&amp;H","EIGHT=450&amp;WIDTH=450&amp;START_MAXIMIZED=FALSE&amp;VAR:CALENDAR=FIVEDAY&amp;VAR:SYMBOL=698646&amp;VAR:INDEX=0"}</definedName>
    <definedName name="_28__FDSAUDITLINK__" hidden="1">{"fdsup://directions/FAT Viewer?action=UPDATE&amp;creator=factset&amp;DYN_ARGS=TRUE&amp;DOC_NAME=FAT:FQL_AUDITING_CLIENT_TEMPLATE.FAT&amp;display_string=Audit&amp;VAR:KEY=HQDWBINOJI&amp;VAR:QUERY=RkVfVkFMVUFUSU9OKCdQQlBTJywnTUVBTicsJ0FOTlVBTCcsMjAxMSwwLCwsJycp&amp;WINDOW=FIRST_POPUP&amp;H","EIGHT=450&amp;WIDTH=450&amp;START_MAXIMIZED=FALSE&amp;VAR:CALENDAR=FIVEDAY&amp;VAR:SYMBOL=698646&amp;VAR:INDEX=0"}</definedName>
    <definedName name="_280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81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82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83__FDSAUDITLINK__" hidden="1">{"fdsup://directions/FAT Viewer?action=UPDATE&amp;creator=factset&amp;DYN_ARGS=TRUE&amp;DOC_NAME=FAT:FQL_AUDITING_CLIENT_TEMPLATE.FAT&amp;display_string=Audit&amp;VAR:KEY=WFKHUJMBWF&amp;VAR:QUERY=RkZfREVCVChBTk4sMjAwOSk=&amp;WINDOW=FIRST_POPUP&amp;HEIGHT=450&amp;WIDTH=450&amp;START_MAXIMIZED=FALS","E&amp;VAR:CALENDAR=US&amp;VAR:SYMBOL=CMLP&amp;VAR:INDEX=0"}</definedName>
    <definedName name="_284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85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86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87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88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89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9__FDSAUDITLINK__" localSheetId="12" hidden="1">{"fdsup://directions/FAT Viewer?action=UPDATE&amp;creator=factset&amp;DYN_ARGS=TRUE&amp;DOC_NAME=FAT:FQL_AUDITING_CLIENT_TEMPLATE.FAT&amp;display_string=Audit&amp;VAR:KEY=FUXUVUJWNO&amp;VAR:QUERY=RkVfVkFMVUFUSU9OKCdQQlBTJywnTUVBTicsJ0FOTlVBTCcsMjAxMCwwLCwsJycp&amp;WINDOW=FIRST_POPUP&amp;H","EIGHT=450&amp;WIDTH=450&amp;START_MAXIMIZED=FALSE&amp;VAR:CALENDAR=FIVEDAY&amp;VAR:SYMBOL=698646&amp;VAR:INDEX=0"}</definedName>
    <definedName name="_29__FDSAUDITLINK__" localSheetId="5" hidden="1">{"fdsup://directions/FAT Viewer?action=UPDATE&amp;creator=factset&amp;DYN_ARGS=TRUE&amp;DOC_NAME=FAT:FQL_AUDITING_CLIENT_TEMPLATE.FAT&amp;display_string=Audit&amp;VAR:KEY=FUXUVUJWNO&amp;VAR:QUERY=RkVfVkFMVUFUSU9OKCdQQlBTJywnTUVBTicsJ0FOTlVBTCcsMjAxMCwwLCwsJycp&amp;WINDOW=FIRST_POPUP&amp;H","EIGHT=450&amp;WIDTH=450&amp;START_MAXIMIZED=FALSE&amp;VAR:CALENDAR=FIVEDAY&amp;VAR:SYMBOL=698646&amp;VAR:INDEX=0"}</definedName>
    <definedName name="_29__FDSAUDITLINK__" localSheetId="3" hidden="1">{"fdsup://directions/FAT Viewer?action=UPDATE&amp;creator=factset&amp;DYN_ARGS=TRUE&amp;DOC_NAME=FAT:FQL_AUDITING_CLIENT_TEMPLATE.FAT&amp;display_string=Audit&amp;VAR:KEY=FUXUVUJWNO&amp;VAR:QUERY=RkVfVkFMVUFUSU9OKCdQQlBTJywnTUVBTicsJ0FOTlVBTCcsMjAxMCwwLCwsJycp&amp;WINDOW=FIRST_POPUP&amp;H","EIGHT=450&amp;WIDTH=450&amp;START_MAXIMIZED=FALSE&amp;VAR:CALENDAR=FIVEDAY&amp;VAR:SYMBOL=698646&amp;VAR:INDEX=0"}</definedName>
    <definedName name="_29__FDSAUDITLINK__" hidden="1">{"fdsup://directions/FAT Viewer?action=UPDATE&amp;creator=factset&amp;DYN_ARGS=TRUE&amp;DOC_NAME=FAT:FQL_AUDITING_CLIENT_TEMPLATE.FAT&amp;display_string=Audit&amp;VAR:KEY=FUXUVUJWNO&amp;VAR:QUERY=RkVfVkFMVUFUSU9OKCdQQlBTJywnTUVBTicsJ0FOTlVBTCcsMjAxMCwwLCwsJycp&amp;WINDOW=FIRST_POPUP&amp;H","EIGHT=450&amp;WIDTH=450&amp;START_MAXIMIZED=FALSE&amp;VAR:CALENDAR=FIVEDAY&amp;VAR:SYMBOL=698646&amp;VAR:INDEX=0"}</definedName>
    <definedName name="_290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91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92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93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94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95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96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97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98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99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__FDSAUDITLINK__" localSheetId="12" hidden="1">{"fdsup://directions/FAT Viewer?action=UPDATE&amp;creator=factset&amp;DYN_ARGS=TRUE&amp;DOC_NAME=FAT:FQL_AUDITING_CLIENT_TEMPLATE.FAT&amp;display_string=Audit&amp;VAR:KEY=VYHOZMZUDY&amp;VAR:QUERY=RkVfVkFMVUFUSU9OKCdQQlBTJywnTUVBTicsJ0FOTlVBTCcsMjAxMCwwLCwsJycp&amp;WINDOW=FIRST_POPUP&amp;H","EIGHT=450&amp;WIDTH=450&amp;START_MAXIMIZED=FALSE&amp;VAR:CALENDAR=FIVEDAY&amp;VAR:SYMBOL=671499&amp;VAR:INDEX=0"}</definedName>
    <definedName name="_3__FDSAUDITLINK__" localSheetId="5" hidden="1">{"fdsup://directions/FAT Viewer?action=UPDATE&amp;creator=factset&amp;DYN_ARGS=TRUE&amp;DOC_NAME=FAT:FQL_AUDITING_CLIENT_TEMPLATE.FAT&amp;display_string=Audit&amp;VAR:KEY=VYHOZMZUDY&amp;VAR:QUERY=RkVfVkFMVUFUSU9OKCdQQlBTJywnTUVBTicsJ0FOTlVBTCcsMjAxMCwwLCwsJycp&amp;WINDOW=FIRST_POPUP&amp;H","EIGHT=450&amp;WIDTH=450&amp;START_MAXIMIZED=FALSE&amp;VAR:CALENDAR=FIVEDAY&amp;VAR:SYMBOL=671499&amp;VAR:INDEX=0"}</definedName>
    <definedName name="_3__FDSAUDITLINK__" localSheetId="3" hidden="1">{"fdsup://directions/FAT Viewer?action=UPDATE&amp;creator=factset&amp;DYN_ARGS=TRUE&amp;DOC_NAME=FAT:FQL_AUDITING_CLIENT_TEMPLATE.FAT&amp;display_string=Audit&amp;VAR:KEY=VYHOZMZUDY&amp;VAR:QUERY=RkVfVkFMVUFUSU9OKCdQQlBTJywnTUVBTicsJ0FOTlVBTCcsMjAxMCwwLCwsJycp&amp;WINDOW=FIRST_POPUP&amp;H","EIGHT=450&amp;WIDTH=450&amp;START_MAXIMIZED=FALSE&amp;VAR:CALENDAR=FIVEDAY&amp;VAR:SYMBOL=671499&amp;VAR:INDEX=0"}</definedName>
    <definedName name="_3__FDSAUDITLINK__" hidden="1">{"fdsup://directions/FAT Viewer?action=UPDATE&amp;creator=factset&amp;DYN_ARGS=TRUE&amp;DOC_NAME=FAT:FQL_AUDITING_CLIENT_TEMPLATE.FAT&amp;display_string=Audit&amp;VAR:KEY=VYHOZMZUDY&amp;VAR:QUERY=RkVfVkFMVUFUSU9OKCdQQlBTJywnTUVBTicsJ0FOTlVBTCcsMjAxMCwwLCwsJycp&amp;WINDOW=FIRST_POPUP&amp;H","EIGHT=450&amp;WIDTH=450&amp;START_MAXIMIZED=FALSE&amp;VAR:CALENDAR=FIVEDAY&amp;VAR:SYMBOL=671499&amp;VAR:INDEX=0"}</definedName>
    <definedName name="_30__FDSAUDITLINK__" localSheetId="12" hidden="1">{"fdsup://directions/FAT Viewer?action=UPDATE&amp;creator=factset&amp;DYN_ARGS=TRUE&amp;DOC_NAME=FAT:FQL_AUDITING_CLIENT_TEMPLATE.FAT&amp;display_string=Audit&amp;VAR:KEY=FUXUVUJWNO&amp;VAR:QUERY=RkVfVkFMVUFUSU9OKCdQQlBTJywnTUVBTicsJ0FOTlVBTCcsMjAxMCwwLCwsJycp&amp;WINDOW=FIRST_POPUP&amp;H","EIGHT=450&amp;WIDTH=450&amp;START_MAXIMIZED=FALSE&amp;VAR:CALENDAR=FIVEDAY&amp;VAR:SYMBOL=698646&amp;VAR:INDEX=0"}</definedName>
    <definedName name="_30__FDSAUDITLINK__" localSheetId="5" hidden="1">{"fdsup://directions/FAT Viewer?action=UPDATE&amp;creator=factset&amp;DYN_ARGS=TRUE&amp;DOC_NAME=FAT:FQL_AUDITING_CLIENT_TEMPLATE.FAT&amp;display_string=Audit&amp;VAR:KEY=FUXUVUJWNO&amp;VAR:QUERY=RkVfVkFMVUFUSU9OKCdQQlBTJywnTUVBTicsJ0FOTlVBTCcsMjAxMCwwLCwsJycp&amp;WINDOW=FIRST_POPUP&amp;H","EIGHT=450&amp;WIDTH=450&amp;START_MAXIMIZED=FALSE&amp;VAR:CALENDAR=FIVEDAY&amp;VAR:SYMBOL=698646&amp;VAR:INDEX=0"}</definedName>
    <definedName name="_30__FDSAUDITLINK__" localSheetId="3" hidden="1">{"fdsup://directions/FAT Viewer?action=UPDATE&amp;creator=factset&amp;DYN_ARGS=TRUE&amp;DOC_NAME=FAT:FQL_AUDITING_CLIENT_TEMPLATE.FAT&amp;display_string=Audit&amp;VAR:KEY=FUXUVUJWNO&amp;VAR:QUERY=RkVfVkFMVUFUSU9OKCdQQlBTJywnTUVBTicsJ0FOTlVBTCcsMjAxMCwwLCwsJycp&amp;WINDOW=FIRST_POPUP&amp;H","EIGHT=450&amp;WIDTH=450&amp;START_MAXIMIZED=FALSE&amp;VAR:CALENDAR=FIVEDAY&amp;VAR:SYMBOL=698646&amp;VAR:INDEX=0"}</definedName>
    <definedName name="_30__FDSAUDITLINK__" hidden="1">{"fdsup://directions/FAT Viewer?action=UPDATE&amp;creator=factset&amp;DYN_ARGS=TRUE&amp;DOC_NAME=FAT:FQL_AUDITING_CLIENT_TEMPLATE.FAT&amp;display_string=Audit&amp;VAR:KEY=FUXUVUJWNO&amp;VAR:QUERY=RkVfVkFMVUFUSU9OKCdQQlBTJywnTUVBTicsJ0FOTlVBTCcsMjAxMCwwLCwsJycp&amp;WINDOW=FIRST_POPUP&amp;H","EIGHT=450&amp;WIDTH=450&amp;START_MAXIMIZED=FALSE&amp;VAR:CALENDAR=FIVEDAY&amp;VAR:SYMBOL=698646&amp;VAR:INDEX=0"}</definedName>
    <definedName name="_300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01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02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03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04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05__FDSAUDITLINK__" hidden="1">{"fdsup://directions/FAT Viewer?action=UPDATE&amp;creator=factset&amp;DYN_ARGS=TRUE&amp;DOC_NAME=FAT:FQL_AUDITING_CLIENT_TEMPLATE.FAT&amp;display_string=Audit&amp;VAR:KEY=WFKHUJMBWF&amp;VAR:QUERY=RkZfREVCVChBTk4sMjAwOSk=&amp;WINDOW=FIRST_POPUP&amp;HEIGHT=450&amp;WIDTH=450&amp;START_MAXIMIZED=FALS","E&amp;VAR:CALENDAR=US&amp;VAR:SYMBOL=CMLP&amp;VAR:INDEX=0"}</definedName>
    <definedName name="_306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07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08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09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31__FDSAUDITLINK__" localSheetId="12" hidden="1">{"fdsup://directions/FAT Viewer?action=UPDATE&amp;creator=factset&amp;DYN_ARGS=TRUE&amp;DOC_NAME=FAT:FQL_AUDITING_CLIENT_TEMPLATE.FAT&amp;display_string=Audit&amp;VAR:KEY=RGPYRITKBW&amp;VAR:QUERY=RkVfVkFMVUFUSU9OKCdQQlBTJywnTUVBTicsJ0FOTlVBTCcsMjAwOSwwLCwsJycp&amp;WINDOW=FIRST_POPUP&amp;H","EIGHT=450&amp;WIDTH=450&amp;START_MAXIMIZED=FALSE&amp;VAR:CALENDAR=FIVEDAY&amp;VAR:SYMBOL=698646&amp;VAR:INDEX=0"}</definedName>
    <definedName name="_31__FDSAUDITLINK__" localSheetId="5" hidden="1">{"fdsup://directions/FAT Viewer?action=UPDATE&amp;creator=factset&amp;DYN_ARGS=TRUE&amp;DOC_NAME=FAT:FQL_AUDITING_CLIENT_TEMPLATE.FAT&amp;display_string=Audit&amp;VAR:KEY=RGPYRITKBW&amp;VAR:QUERY=RkVfVkFMVUFUSU9OKCdQQlBTJywnTUVBTicsJ0FOTlVBTCcsMjAwOSwwLCwsJycp&amp;WINDOW=FIRST_POPUP&amp;H","EIGHT=450&amp;WIDTH=450&amp;START_MAXIMIZED=FALSE&amp;VAR:CALENDAR=FIVEDAY&amp;VAR:SYMBOL=698646&amp;VAR:INDEX=0"}</definedName>
    <definedName name="_31__FDSAUDITLINK__" localSheetId="3" hidden="1">{"fdsup://directions/FAT Viewer?action=UPDATE&amp;creator=factset&amp;DYN_ARGS=TRUE&amp;DOC_NAME=FAT:FQL_AUDITING_CLIENT_TEMPLATE.FAT&amp;display_string=Audit&amp;VAR:KEY=RGPYRITKBW&amp;VAR:QUERY=RkVfVkFMVUFUSU9OKCdQQlBTJywnTUVBTicsJ0FOTlVBTCcsMjAwOSwwLCwsJycp&amp;WINDOW=FIRST_POPUP&amp;H","EIGHT=450&amp;WIDTH=450&amp;START_MAXIMIZED=FALSE&amp;VAR:CALENDAR=FIVEDAY&amp;VAR:SYMBOL=698646&amp;VAR:INDEX=0"}</definedName>
    <definedName name="_31__FDSAUDITLINK__" hidden="1">{"fdsup://directions/FAT Viewer?action=UPDATE&amp;creator=factset&amp;DYN_ARGS=TRUE&amp;DOC_NAME=FAT:FQL_AUDITING_CLIENT_TEMPLATE.FAT&amp;display_string=Audit&amp;VAR:KEY=RGPYRITKBW&amp;VAR:QUERY=RkVfVkFMVUFUSU9OKCdQQlBTJywnTUVBTicsJ0FOTlVBTCcsMjAwOSwwLCwsJycp&amp;WINDOW=FIRST_POPUP&amp;H","EIGHT=450&amp;WIDTH=450&amp;START_MAXIMIZED=FALSE&amp;VAR:CALENDAR=FIVEDAY&amp;VAR:SYMBOL=698646&amp;VAR:INDEX=0"}</definedName>
    <definedName name="_310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311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312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313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314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15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16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17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18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19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2__FDSAUDITLINK__" localSheetId="12" hidden="1">{"fdsup://directions/FAT Viewer?action=UPDATE&amp;creator=factset&amp;DYN_ARGS=TRUE&amp;DOC_NAME=FAT:FQL_AUDITING_CLIENT_TEMPLATE.FAT&amp;display_string=Audit&amp;VAR:KEY=RGPYRITKBW&amp;VAR:QUERY=RkVfVkFMVUFUSU9OKCdQQlBTJywnTUVBTicsJ0FOTlVBTCcsMjAwOSwwLCwsJycp&amp;WINDOW=FIRST_POPUP&amp;H","EIGHT=450&amp;WIDTH=450&amp;START_MAXIMIZED=FALSE&amp;VAR:CALENDAR=FIVEDAY&amp;VAR:SYMBOL=698646&amp;VAR:INDEX=0"}</definedName>
    <definedName name="_32__FDSAUDITLINK__" localSheetId="5" hidden="1">{"fdsup://directions/FAT Viewer?action=UPDATE&amp;creator=factset&amp;DYN_ARGS=TRUE&amp;DOC_NAME=FAT:FQL_AUDITING_CLIENT_TEMPLATE.FAT&amp;display_string=Audit&amp;VAR:KEY=RGPYRITKBW&amp;VAR:QUERY=RkVfVkFMVUFUSU9OKCdQQlBTJywnTUVBTicsJ0FOTlVBTCcsMjAwOSwwLCwsJycp&amp;WINDOW=FIRST_POPUP&amp;H","EIGHT=450&amp;WIDTH=450&amp;START_MAXIMIZED=FALSE&amp;VAR:CALENDAR=FIVEDAY&amp;VAR:SYMBOL=698646&amp;VAR:INDEX=0"}</definedName>
    <definedName name="_32__FDSAUDITLINK__" localSheetId="3" hidden="1">{"fdsup://directions/FAT Viewer?action=UPDATE&amp;creator=factset&amp;DYN_ARGS=TRUE&amp;DOC_NAME=FAT:FQL_AUDITING_CLIENT_TEMPLATE.FAT&amp;display_string=Audit&amp;VAR:KEY=RGPYRITKBW&amp;VAR:QUERY=RkVfVkFMVUFUSU9OKCdQQlBTJywnTUVBTicsJ0FOTlVBTCcsMjAwOSwwLCwsJycp&amp;WINDOW=FIRST_POPUP&amp;H","EIGHT=450&amp;WIDTH=450&amp;START_MAXIMIZED=FALSE&amp;VAR:CALENDAR=FIVEDAY&amp;VAR:SYMBOL=698646&amp;VAR:INDEX=0"}</definedName>
    <definedName name="_32__FDSAUDITLINK__" hidden="1">{"fdsup://directions/FAT Viewer?action=UPDATE&amp;creator=factset&amp;DYN_ARGS=TRUE&amp;DOC_NAME=FAT:FQL_AUDITING_CLIENT_TEMPLATE.FAT&amp;display_string=Audit&amp;VAR:KEY=RGPYRITKBW&amp;VAR:QUERY=RkVfVkFMVUFUSU9OKCdQQlBTJywnTUVBTicsJ0FOTlVBTCcsMjAwOSwwLCwsJycp&amp;WINDOW=FIRST_POPUP&amp;H","EIGHT=450&amp;WIDTH=450&amp;START_MAXIMIZED=FALSE&amp;VAR:CALENDAR=FIVEDAY&amp;VAR:SYMBOL=698646&amp;VAR:INDEX=0"}</definedName>
    <definedName name="_320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21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22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23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24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25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26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27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28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29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3__FDSAUDITLINK__" localSheetId="12" hidden="1">{"fdsup://directions/FAT Viewer?action=UPDATE&amp;creator=factset&amp;DYN_ARGS=TRUE&amp;DOC_NAME=FAT:FQL_AUDITING_CLIENT_TEMPLATE.FAT&amp;display_string=Audit&amp;VAR:KEY=JGBOFAPUNS&amp;VAR:QUERY=RkVfVkFMVUFUSU9OKCdQQlBTJywnTUVBTicsJ0FOTlVBTCcsMjAxMiwwLCwsJycp&amp;WINDOW=FIRST_POPUP&amp;H","EIGHT=450&amp;WIDTH=450&amp;START_MAXIMIZED=FALSE&amp;VAR:CALENDAR=FIVEDAY&amp;VAR:SYMBOL=0896265&amp;VAR:INDEX=0"}</definedName>
    <definedName name="_33__FDSAUDITLINK__" localSheetId="5" hidden="1">{"fdsup://directions/FAT Viewer?action=UPDATE&amp;creator=factset&amp;DYN_ARGS=TRUE&amp;DOC_NAME=FAT:FQL_AUDITING_CLIENT_TEMPLATE.FAT&amp;display_string=Audit&amp;VAR:KEY=JGBOFAPUNS&amp;VAR:QUERY=RkVfVkFMVUFUSU9OKCdQQlBTJywnTUVBTicsJ0FOTlVBTCcsMjAxMiwwLCwsJycp&amp;WINDOW=FIRST_POPUP&amp;H","EIGHT=450&amp;WIDTH=450&amp;START_MAXIMIZED=FALSE&amp;VAR:CALENDAR=FIVEDAY&amp;VAR:SYMBOL=0896265&amp;VAR:INDEX=0"}</definedName>
    <definedName name="_33__FDSAUDITLINK__" localSheetId="3" hidden="1">{"fdsup://directions/FAT Viewer?action=UPDATE&amp;creator=factset&amp;DYN_ARGS=TRUE&amp;DOC_NAME=FAT:FQL_AUDITING_CLIENT_TEMPLATE.FAT&amp;display_string=Audit&amp;VAR:KEY=JGBOFAPUNS&amp;VAR:QUERY=RkVfVkFMVUFUSU9OKCdQQlBTJywnTUVBTicsJ0FOTlVBTCcsMjAxMiwwLCwsJycp&amp;WINDOW=FIRST_POPUP&amp;H","EIGHT=450&amp;WIDTH=450&amp;START_MAXIMIZED=FALSE&amp;VAR:CALENDAR=FIVEDAY&amp;VAR:SYMBOL=0896265&amp;VAR:INDEX=0"}</definedName>
    <definedName name="_33__FDSAUDITLINK__" hidden="1">{"fdsup://directions/FAT Viewer?action=UPDATE&amp;creator=factset&amp;DYN_ARGS=TRUE&amp;DOC_NAME=FAT:FQL_AUDITING_CLIENT_TEMPLATE.FAT&amp;display_string=Audit&amp;VAR:KEY=JGBOFAPUNS&amp;VAR:QUERY=RkVfVkFMVUFUSU9OKCdQQlBTJywnTUVBTicsJ0FOTlVBTCcsMjAxMiwwLCwsJycp&amp;WINDOW=FIRST_POPUP&amp;H","EIGHT=450&amp;WIDTH=450&amp;START_MAXIMIZED=FALSE&amp;VAR:CALENDAR=FIVEDAY&amp;VAR:SYMBOL=0896265&amp;VAR:INDEX=0"}</definedName>
    <definedName name="_330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31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32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33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34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35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36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37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38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39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4__FDSAUDITLINK__" localSheetId="12" hidden="1">{"fdsup://directions/FAT Viewer?action=UPDATE&amp;creator=factset&amp;DYN_ARGS=TRUE&amp;DOC_NAME=FAT:FQL_AUDITING_CLIENT_TEMPLATE.FAT&amp;display_string=Audit&amp;VAR:KEY=JCNCDWZYHQ&amp;VAR:QUERY=RkVfVkFMVUFUSU9OKCdQQlBTJywnTUVBTicsJ0FOTlVBTCcsMjAxMSwwLCwsJycp&amp;WINDOW=FIRST_POPUP&amp;H","EIGHT=450&amp;WIDTH=450&amp;START_MAXIMIZED=FALSE&amp;VAR:CALENDAR=FIVEDAY&amp;VAR:SYMBOL=0896265&amp;VAR:INDEX=0"}</definedName>
    <definedName name="_34__FDSAUDITLINK__" localSheetId="5" hidden="1">{"fdsup://directions/FAT Viewer?action=UPDATE&amp;creator=factset&amp;DYN_ARGS=TRUE&amp;DOC_NAME=FAT:FQL_AUDITING_CLIENT_TEMPLATE.FAT&amp;display_string=Audit&amp;VAR:KEY=JCNCDWZYHQ&amp;VAR:QUERY=RkVfVkFMVUFUSU9OKCdQQlBTJywnTUVBTicsJ0FOTlVBTCcsMjAxMSwwLCwsJycp&amp;WINDOW=FIRST_POPUP&amp;H","EIGHT=450&amp;WIDTH=450&amp;START_MAXIMIZED=FALSE&amp;VAR:CALENDAR=FIVEDAY&amp;VAR:SYMBOL=0896265&amp;VAR:INDEX=0"}</definedName>
    <definedName name="_34__FDSAUDITLINK__" localSheetId="3" hidden="1">{"fdsup://directions/FAT Viewer?action=UPDATE&amp;creator=factset&amp;DYN_ARGS=TRUE&amp;DOC_NAME=FAT:FQL_AUDITING_CLIENT_TEMPLATE.FAT&amp;display_string=Audit&amp;VAR:KEY=JCNCDWZYHQ&amp;VAR:QUERY=RkVfVkFMVUFUSU9OKCdQQlBTJywnTUVBTicsJ0FOTlVBTCcsMjAxMSwwLCwsJycp&amp;WINDOW=FIRST_POPUP&amp;H","EIGHT=450&amp;WIDTH=450&amp;START_MAXIMIZED=FALSE&amp;VAR:CALENDAR=FIVEDAY&amp;VAR:SYMBOL=0896265&amp;VAR:INDEX=0"}</definedName>
    <definedName name="_34__FDSAUDITLINK__" hidden="1">{"fdsup://directions/FAT Viewer?action=UPDATE&amp;creator=factset&amp;DYN_ARGS=TRUE&amp;DOC_NAME=FAT:FQL_AUDITING_CLIENT_TEMPLATE.FAT&amp;display_string=Audit&amp;VAR:KEY=JCNCDWZYHQ&amp;VAR:QUERY=RkVfVkFMVUFUSU9OKCdQQlBTJywnTUVBTicsJ0FOTlVBTCcsMjAxMSwwLCwsJycp&amp;WINDOW=FIRST_POPUP&amp;H","EIGHT=450&amp;WIDTH=450&amp;START_MAXIMIZED=FALSE&amp;VAR:CALENDAR=FIVEDAY&amp;VAR:SYMBOL=0896265&amp;VAR:INDEX=0"}</definedName>
    <definedName name="_340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41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42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43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44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45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34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4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4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4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5__FDSAUDITLINK__" localSheetId="12" hidden="1">{"fdsup://directions/FAT Viewer?action=UPDATE&amp;creator=factset&amp;DYN_ARGS=TRUE&amp;DOC_NAME=FAT:FQL_AUDITING_CLIENT_TEMPLATE.FAT&amp;display_string=Audit&amp;VAR:KEY=LILIHILQPE&amp;VAR:QUERY=RkVfVkFMVUFUSU9OKCdQQlBTJywnTUVBTicsJ0FOTlVBTCcsMjAxMCwwLCwsJycp&amp;WINDOW=FIRST_POPUP&amp;H","EIGHT=450&amp;WIDTH=450&amp;START_MAXIMIZED=FALSE&amp;VAR:CALENDAR=FIVEDAY&amp;VAR:SYMBOL=0896265&amp;VAR:INDEX=0"}</definedName>
    <definedName name="_35__FDSAUDITLINK__" localSheetId="5" hidden="1">{"fdsup://directions/FAT Viewer?action=UPDATE&amp;creator=factset&amp;DYN_ARGS=TRUE&amp;DOC_NAME=FAT:FQL_AUDITING_CLIENT_TEMPLATE.FAT&amp;display_string=Audit&amp;VAR:KEY=LILIHILQPE&amp;VAR:QUERY=RkVfVkFMVUFUSU9OKCdQQlBTJywnTUVBTicsJ0FOTlVBTCcsMjAxMCwwLCwsJycp&amp;WINDOW=FIRST_POPUP&amp;H","EIGHT=450&amp;WIDTH=450&amp;START_MAXIMIZED=FALSE&amp;VAR:CALENDAR=FIVEDAY&amp;VAR:SYMBOL=0896265&amp;VAR:INDEX=0"}</definedName>
    <definedName name="_35__FDSAUDITLINK__" localSheetId="3" hidden="1">{"fdsup://directions/FAT Viewer?action=UPDATE&amp;creator=factset&amp;DYN_ARGS=TRUE&amp;DOC_NAME=FAT:FQL_AUDITING_CLIENT_TEMPLATE.FAT&amp;display_string=Audit&amp;VAR:KEY=LILIHILQPE&amp;VAR:QUERY=RkVfVkFMVUFUSU9OKCdQQlBTJywnTUVBTicsJ0FOTlVBTCcsMjAxMCwwLCwsJycp&amp;WINDOW=FIRST_POPUP&amp;H","EIGHT=450&amp;WIDTH=450&amp;START_MAXIMIZED=FALSE&amp;VAR:CALENDAR=FIVEDAY&amp;VAR:SYMBOL=0896265&amp;VAR:INDEX=0"}</definedName>
    <definedName name="_35__FDSAUDITLINK__" hidden="1">{"fdsup://directions/FAT Viewer?action=UPDATE&amp;creator=factset&amp;DYN_ARGS=TRUE&amp;DOC_NAME=FAT:FQL_AUDITING_CLIENT_TEMPLATE.FAT&amp;display_string=Audit&amp;VAR:KEY=LILIHILQPE&amp;VAR:QUERY=RkVfVkFMVUFUSU9OKCdQQlBTJywnTUVBTicsJ0FOTlVBTCcsMjAxMCwwLCwsJycp&amp;WINDOW=FIRST_POPUP&amp;H","EIGHT=450&amp;WIDTH=450&amp;START_MAXIMIZED=FALSE&amp;VAR:CALENDAR=FIVEDAY&amp;VAR:SYMBOL=0896265&amp;VAR:INDEX=0"}</definedName>
    <definedName name="_35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5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5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5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5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5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5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5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5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5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6__FDSAUDITLINK__" localSheetId="12" hidden="1">{"fdsup://directions/FAT Viewer?action=UPDATE&amp;creator=factset&amp;DYN_ARGS=TRUE&amp;DOC_NAME=FAT:FQL_AUDITING_CLIENT_TEMPLATE.FAT&amp;display_string=Audit&amp;VAR:KEY=LWBKHSXEZQ&amp;VAR:QUERY=RkVfVkFMVUFUSU9OKCdQQlBTJywnTUVBTicsJ0FOTlVBTCcsMjAwOSwwLCwsJycp&amp;WINDOW=FIRST_POPUP&amp;H","EIGHT=450&amp;WIDTH=450&amp;START_MAXIMIZED=FALSE&amp;VAR:CALENDAR=FIVEDAY&amp;VAR:SYMBOL=0896265&amp;VAR:INDEX=0"}</definedName>
    <definedName name="_36__FDSAUDITLINK__" localSheetId="5" hidden="1">{"fdsup://directions/FAT Viewer?action=UPDATE&amp;creator=factset&amp;DYN_ARGS=TRUE&amp;DOC_NAME=FAT:FQL_AUDITING_CLIENT_TEMPLATE.FAT&amp;display_string=Audit&amp;VAR:KEY=LWBKHSXEZQ&amp;VAR:QUERY=RkVfVkFMVUFUSU9OKCdQQlBTJywnTUVBTicsJ0FOTlVBTCcsMjAwOSwwLCwsJycp&amp;WINDOW=FIRST_POPUP&amp;H","EIGHT=450&amp;WIDTH=450&amp;START_MAXIMIZED=FALSE&amp;VAR:CALENDAR=FIVEDAY&amp;VAR:SYMBOL=0896265&amp;VAR:INDEX=0"}</definedName>
    <definedName name="_36__FDSAUDITLINK__" localSheetId="3" hidden="1">{"fdsup://directions/FAT Viewer?action=UPDATE&amp;creator=factset&amp;DYN_ARGS=TRUE&amp;DOC_NAME=FAT:FQL_AUDITING_CLIENT_TEMPLATE.FAT&amp;display_string=Audit&amp;VAR:KEY=LWBKHSXEZQ&amp;VAR:QUERY=RkVfVkFMVUFUSU9OKCdQQlBTJywnTUVBTicsJ0FOTlVBTCcsMjAwOSwwLCwsJycp&amp;WINDOW=FIRST_POPUP&amp;H","EIGHT=450&amp;WIDTH=450&amp;START_MAXIMIZED=FALSE&amp;VAR:CALENDAR=FIVEDAY&amp;VAR:SYMBOL=0896265&amp;VAR:INDEX=0"}</definedName>
    <definedName name="_36__FDSAUDITLINK__" hidden="1">{"fdsup://directions/FAT Viewer?action=UPDATE&amp;creator=factset&amp;DYN_ARGS=TRUE&amp;DOC_NAME=FAT:FQL_AUDITING_CLIENT_TEMPLATE.FAT&amp;display_string=Audit&amp;VAR:KEY=LWBKHSXEZQ&amp;VAR:QUERY=RkVfVkFMVUFUSU9OKCdQQlBTJywnTUVBTicsJ0FOTlVBTCcsMjAwOSwwLCwsJycp&amp;WINDOW=FIRST_POPUP&amp;H","EIGHT=450&amp;WIDTH=450&amp;START_MAXIMIZED=FALSE&amp;VAR:CALENDAR=FIVEDAY&amp;VAR:SYMBOL=0896265&amp;VAR:INDEX=0"}</definedName>
    <definedName name="_36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6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62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36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6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6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6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6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6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6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7__FDSAUDITLINK__" localSheetId="12" hidden="1">{"fdsup://directions/FAT Viewer?action=UPDATE&amp;creator=factset&amp;DYN_ARGS=TRUE&amp;DOC_NAME=FAT:FQL_AUDITING_CLIENT_TEMPLATE.FAT&amp;display_string=Audit&amp;VAR:KEY=JKNYZOXGHU&amp;VAR:QUERY=RkVfVkFMVUFUSU9OKCdQQlBTJywnTUVBTicsJ0FOTlVBTCcsMjAxMiwwLCwsJycp&amp;WINDOW=FIRST_POPUP&amp;H","EIGHT=450&amp;WIDTH=450&amp;START_MAXIMIZED=FALSE&amp;VAR:CALENDAR=FIVEDAY&amp;VAR:SYMBOL=306465&amp;VAR:INDEX=0"}</definedName>
    <definedName name="_37__FDSAUDITLINK__" localSheetId="5" hidden="1">{"fdsup://directions/FAT Viewer?action=UPDATE&amp;creator=factset&amp;DYN_ARGS=TRUE&amp;DOC_NAME=FAT:FQL_AUDITING_CLIENT_TEMPLATE.FAT&amp;display_string=Audit&amp;VAR:KEY=JKNYZOXGHU&amp;VAR:QUERY=RkVfVkFMVUFUSU9OKCdQQlBTJywnTUVBTicsJ0FOTlVBTCcsMjAxMiwwLCwsJycp&amp;WINDOW=FIRST_POPUP&amp;H","EIGHT=450&amp;WIDTH=450&amp;START_MAXIMIZED=FALSE&amp;VAR:CALENDAR=FIVEDAY&amp;VAR:SYMBOL=306465&amp;VAR:INDEX=0"}</definedName>
    <definedName name="_37__FDSAUDITLINK__" localSheetId="3" hidden="1">{"fdsup://directions/FAT Viewer?action=UPDATE&amp;creator=factset&amp;DYN_ARGS=TRUE&amp;DOC_NAME=FAT:FQL_AUDITING_CLIENT_TEMPLATE.FAT&amp;display_string=Audit&amp;VAR:KEY=JKNYZOXGHU&amp;VAR:QUERY=RkVfVkFMVUFUSU9OKCdQQlBTJywnTUVBTicsJ0FOTlVBTCcsMjAxMiwwLCwsJycp&amp;WINDOW=FIRST_POPUP&amp;H","EIGHT=450&amp;WIDTH=450&amp;START_MAXIMIZED=FALSE&amp;VAR:CALENDAR=FIVEDAY&amp;VAR:SYMBOL=306465&amp;VAR:INDEX=0"}</definedName>
    <definedName name="_37__FDSAUDITLINK__" hidden="1">{"fdsup://directions/FAT Viewer?action=UPDATE&amp;creator=factset&amp;DYN_ARGS=TRUE&amp;DOC_NAME=FAT:FQL_AUDITING_CLIENT_TEMPLATE.FAT&amp;display_string=Audit&amp;VAR:KEY=JKNYZOXGHU&amp;VAR:QUERY=RkVfVkFMVUFUSU9OKCdQQlBTJywnTUVBTicsJ0FOTlVBTCcsMjAxMiwwLCwsJycp&amp;WINDOW=FIRST_POPUP&amp;H","EIGHT=450&amp;WIDTH=450&amp;START_MAXIMIZED=FALSE&amp;VAR:CALENDAR=FIVEDAY&amp;VAR:SYMBOL=306465&amp;VAR:INDEX=0"}</definedName>
    <definedName name="_37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7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7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7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7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7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7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7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7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79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38__FDSAUDITLINK__" localSheetId="12" hidden="1">{"fdsup://directions/FAT Viewer?action=UPDATE&amp;creator=factset&amp;DYN_ARGS=TRUE&amp;DOC_NAME=FAT:FQL_AUDITING_CLIENT_TEMPLATE.FAT&amp;display_string=Audit&amp;VAR:KEY=ZINYXYJIPE&amp;VAR:QUERY=RkVfVkFMVUFUSU9OKCdQQlBTJywnTUVBTicsJ0FOTlVBTCcsMjAxMSwwLCwsJycp&amp;WINDOW=FIRST_POPUP&amp;H","EIGHT=450&amp;WIDTH=450&amp;START_MAXIMIZED=FALSE&amp;VAR:CALENDAR=FIVEDAY&amp;VAR:SYMBOL=306465&amp;VAR:INDEX=0"}</definedName>
    <definedName name="_38__FDSAUDITLINK__" localSheetId="5" hidden="1">{"fdsup://directions/FAT Viewer?action=UPDATE&amp;creator=factset&amp;DYN_ARGS=TRUE&amp;DOC_NAME=FAT:FQL_AUDITING_CLIENT_TEMPLATE.FAT&amp;display_string=Audit&amp;VAR:KEY=ZINYXYJIPE&amp;VAR:QUERY=RkVfVkFMVUFUSU9OKCdQQlBTJywnTUVBTicsJ0FOTlVBTCcsMjAxMSwwLCwsJycp&amp;WINDOW=FIRST_POPUP&amp;H","EIGHT=450&amp;WIDTH=450&amp;START_MAXIMIZED=FALSE&amp;VAR:CALENDAR=FIVEDAY&amp;VAR:SYMBOL=306465&amp;VAR:INDEX=0"}</definedName>
    <definedName name="_38__FDSAUDITLINK__" localSheetId="3" hidden="1">{"fdsup://directions/FAT Viewer?action=UPDATE&amp;creator=factset&amp;DYN_ARGS=TRUE&amp;DOC_NAME=FAT:FQL_AUDITING_CLIENT_TEMPLATE.FAT&amp;display_string=Audit&amp;VAR:KEY=ZINYXYJIPE&amp;VAR:QUERY=RkVfVkFMVUFUSU9OKCdQQlBTJywnTUVBTicsJ0FOTlVBTCcsMjAxMSwwLCwsJycp&amp;WINDOW=FIRST_POPUP&amp;H","EIGHT=450&amp;WIDTH=450&amp;START_MAXIMIZED=FALSE&amp;VAR:CALENDAR=FIVEDAY&amp;VAR:SYMBOL=306465&amp;VAR:INDEX=0"}</definedName>
    <definedName name="_38__FDSAUDITLINK__" hidden="1">{"fdsup://directions/FAT Viewer?action=UPDATE&amp;creator=factset&amp;DYN_ARGS=TRUE&amp;DOC_NAME=FAT:FQL_AUDITING_CLIENT_TEMPLATE.FAT&amp;display_string=Audit&amp;VAR:KEY=ZINYXYJIPE&amp;VAR:QUERY=RkVfVkFMVUFUSU9OKCdQQlBTJywnTUVBTicsJ0FOTlVBTCcsMjAxMSwwLCwsJycp&amp;WINDOW=FIRST_POPUP&amp;H","EIGHT=450&amp;WIDTH=450&amp;START_MAXIMIZED=FALSE&amp;VAR:CALENDAR=FIVEDAY&amp;VAR:SYMBOL=306465&amp;VAR:INDEX=0"}</definedName>
    <definedName name="_38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8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8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8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8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8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8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8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8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8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9__FDSAUDITLINK__" localSheetId="12" hidden="1">{"fdsup://directions/FAT Viewer?action=UPDATE&amp;creator=factset&amp;DYN_ARGS=TRUE&amp;DOC_NAME=FAT:FQL_AUDITING_CLIENT_TEMPLATE.FAT&amp;display_string=Audit&amp;VAR:KEY=BUNSBMVWPM&amp;VAR:QUERY=RkVfVkFMVUFUSU9OKCdQQlBTJywnTUVBTicsJ0FOTlVBTCcsMjAxMCwwLCwsJycp&amp;WINDOW=FIRST_POPUP&amp;H","EIGHT=450&amp;WIDTH=450&amp;START_MAXIMIZED=FALSE&amp;VAR:CALENDAR=FIVEDAY&amp;VAR:SYMBOL=306465&amp;VAR:INDEX=0"}</definedName>
    <definedName name="_39__FDSAUDITLINK__" localSheetId="5" hidden="1">{"fdsup://directions/FAT Viewer?action=UPDATE&amp;creator=factset&amp;DYN_ARGS=TRUE&amp;DOC_NAME=FAT:FQL_AUDITING_CLIENT_TEMPLATE.FAT&amp;display_string=Audit&amp;VAR:KEY=BUNSBMVWPM&amp;VAR:QUERY=RkVfVkFMVUFUSU9OKCdQQlBTJywnTUVBTicsJ0FOTlVBTCcsMjAxMCwwLCwsJycp&amp;WINDOW=FIRST_POPUP&amp;H","EIGHT=450&amp;WIDTH=450&amp;START_MAXIMIZED=FALSE&amp;VAR:CALENDAR=FIVEDAY&amp;VAR:SYMBOL=306465&amp;VAR:INDEX=0"}</definedName>
    <definedName name="_39__FDSAUDITLINK__" localSheetId="3" hidden="1">{"fdsup://directions/FAT Viewer?action=UPDATE&amp;creator=factset&amp;DYN_ARGS=TRUE&amp;DOC_NAME=FAT:FQL_AUDITING_CLIENT_TEMPLATE.FAT&amp;display_string=Audit&amp;VAR:KEY=BUNSBMVWPM&amp;VAR:QUERY=RkVfVkFMVUFUSU9OKCdQQlBTJywnTUVBTicsJ0FOTlVBTCcsMjAxMCwwLCwsJycp&amp;WINDOW=FIRST_POPUP&amp;H","EIGHT=450&amp;WIDTH=450&amp;START_MAXIMIZED=FALSE&amp;VAR:CALENDAR=FIVEDAY&amp;VAR:SYMBOL=306465&amp;VAR:INDEX=0"}</definedName>
    <definedName name="_39__FDSAUDITLINK__" hidden="1">{"fdsup://directions/FAT Viewer?action=UPDATE&amp;creator=factset&amp;DYN_ARGS=TRUE&amp;DOC_NAME=FAT:FQL_AUDITING_CLIENT_TEMPLATE.FAT&amp;display_string=Audit&amp;VAR:KEY=BUNSBMVWPM&amp;VAR:QUERY=RkVfVkFMVUFUSU9OKCdQQlBTJywnTUVBTicsJ0FOTlVBTCcsMjAxMCwwLCwsJycp&amp;WINDOW=FIRST_POPUP&amp;H","EIGHT=450&amp;WIDTH=450&amp;START_MAXIMIZED=FALSE&amp;VAR:CALENDAR=FIVEDAY&amp;VAR:SYMBOL=306465&amp;VAR:INDEX=0"}</definedName>
    <definedName name="_39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9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9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9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9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9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96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39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9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9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__FDSAUDITLINK__" localSheetId="12" hidden="1">{"fdsup://directions/FAT Viewer?action=UPDATE&amp;creator=factset&amp;DYN_ARGS=TRUE&amp;DOC_NAME=FAT:FQL_AUDITING_CLIENT_TEMPLATE.FAT&amp;display_string=Audit&amp;VAR:KEY=PUZOZGRKXK&amp;VAR:QUERY=RkVfVkFMVUFUSU9OKCdQQlBTJywnTUVBTicsJ0FOTlVBTCcsMjAwOSwwLCwsJycp&amp;WINDOW=FIRST_POPUP&amp;H","EIGHT=450&amp;WIDTH=450&amp;START_MAXIMIZED=FALSE&amp;VAR:CALENDAR=FIVEDAY&amp;VAR:SYMBOL=671499&amp;VAR:INDEX=0"}</definedName>
    <definedName name="_4__FDSAUDITLINK__" localSheetId="5" hidden="1">{"fdsup://directions/FAT Viewer?action=UPDATE&amp;creator=factset&amp;DYN_ARGS=TRUE&amp;DOC_NAME=FAT:FQL_AUDITING_CLIENT_TEMPLATE.FAT&amp;display_string=Audit&amp;VAR:KEY=PUZOZGRKXK&amp;VAR:QUERY=RkVfVkFMVUFUSU9OKCdQQlBTJywnTUVBTicsJ0FOTlVBTCcsMjAwOSwwLCwsJycp&amp;WINDOW=FIRST_POPUP&amp;H","EIGHT=450&amp;WIDTH=450&amp;START_MAXIMIZED=FALSE&amp;VAR:CALENDAR=FIVEDAY&amp;VAR:SYMBOL=671499&amp;VAR:INDEX=0"}</definedName>
    <definedName name="_4__FDSAUDITLINK__" localSheetId="3" hidden="1">{"fdsup://directions/FAT Viewer?action=UPDATE&amp;creator=factset&amp;DYN_ARGS=TRUE&amp;DOC_NAME=FAT:FQL_AUDITING_CLIENT_TEMPLATE.FAT&amp;display_string=Audit&amp;VAR:KEY=PUZOZGRKXK&amp;VAR:QUERY=RkVfVkFMVUFUSU9OKCdQQlBTJywnTUVBTicsJ0FOTlVBTCcsMjAwOSwwLCwsJycp&amp;WINDOW=FIRST_POPUP&amp;H","EIGHT=450&amp;WIDTH=450&amp;START_MAXIMIZED=FALSE&amp;VAR:CALENDAR=FIVEDAY&amp;VAR:SYMBOL=671499&amp;VAR:INDEX=0"}</definedName>
    <definedName name="_4__FDSAUDITLINK__" hidden="1">{"fdsup://directions/FAT Viewer?action=UPDATE&amp;creator=factset&amp;DYN_ARGS=TRUE&amp;DOC_NAME=FAT:FQL_AUDITING_CLIENT_TEMPLATE.FAT&amp;display_string=Audit&amp;VAR:KEY=PUZOZGRKXK&amp;VAR:QUERY=RkVfVkFMVUFUSU9OKCdQQlBTJywnTUVBTicsJ0FOTlVBTCcsMjAwOSwwLCwsJycp&amp;WINDOW=FIRST_POPUP&amp;H","EIGHT=450&amp;WIDTH=450&amp;START_MAXIMIZED=FALSE&amp;VAR:CALENDAR=FIVEDAY&amp;VAR:SYMBOL=671499&amp;VAR:INDEX=0"}</definedName>
    <definedName name="_40__FDSAUDITLINK__" localSheetId="12" hidden="1">{"fdsup://directions/FAT Viewer?action=UPDATE&amp;creator=factset&amp;DYN_ARGS=TRUE&amp;DOC_NAME=FAT:FQL_AUDITING_CLIENT_TEMPLATE.FAT&amp;display_string=Audit&amp;VAR:KEY=TIRGRCNQPW&amp;VAR:QUERY=RkVfVkFMVUFUSU9OKCdQQlBTJywnTUVBTicsJ0FOTlVBTCcsMjAwOSwwLCwsJycp&amp;WINDOW=FIRST_POPUP&amp;H","EIGHT=450&amp;WIDTH=450&amp;START_MAXIMIZED=FALSE&amp;VAR:CALENDAR=FIVEDAY&amp;VAR:SYMBOL=306465&amp;VAR:INDEX=0"}</definedName>
    <definedName name="_40__FDSAUDITLINK__" localSheetId="5" hidden="1">{"fdsup://directions/FAT Viewer?action=UPDATE&amp;creator=factset&amp;DYN_ARGS=TRUE&amp;DOC_NAME=FAT:FQL_AUDITING_CLIENT_TEMPLATE.FAT&amp;display_string=Audit&amp;VAR:KEY=TIRGRCNQPW&amp;VAR:QUERY=RkVfVkFMVUFUSU9OKCdQQlBTJywnTUVBTicsJ0FOTlVBTCcsMjAwOSwwLCwsJycp&amp;WINDOW=FIRST_POPUP&amp;H","EIGHT=450&amp;WIDTH=450&amp;START_MAXIMIZED=FALSE&amp;VAR:CALENDAR=FIVEDAY&amp;VAR:SYMBOL=306465&amp;VAR:INDEX=0"}</definedName>
    <definedName name="_40__FDSAUDITLINK__" localSheetId="3" hidden="1">{"fdsup://directions/FAT Viewer?action=UPDATE&amp;creator=factset&amp;DYN_ARGS=TRUE&amp;DOC_NAME=FAT:FQL_AUDITING_CLIENT_TEMPLATE.FAT&amp;display_string=Audit&amp;VAR:KEY=TIRGRCNQPW&amp;VAR:QUERY=RkVfVkFMVUFUSU9OKCdQQlBTJywnTUVBTicsJ0FOTlVBTCcsMjAwOSwwLCwsJycp&amp;WINDOW=FIRST_POPUP&amp;H","EIGHT=450&amp;WIDTH=450&amp;START_MAXIMIZED=FALSE&amp;VAR:CALENDAR=FIVEDAY&amp;VAR:SYMBOL=306465&amp;VAR:INDEX=0"}</definedName>
    <definedName name="_40__FDSAUDITLINK__" hidden="1">{"fdsup://directions/FAT Viewer?action=UPDATE&amp;creator=factset&amp;DYN_ARGS=TRUE&amp;DOC_NAME=FAT:FQL_AUDITING_CLIENT_TEMPLATE.FAT&amp;display_string=Audit&amp;VAR:KEY=TIRGRCNQPW&amp;VAR:QUERY=RkVfVkFMVUFUSU9OKCdQQlBTJywnTUVBTicsJ0FOTlVBTCcsMjAwOSwwLCwsJycp&amp;WINDOW=FIRST_POPUP&amp;H","EIGHT=450&amp;WIDTH=450&amp;START_MAXIMIZED=FALSE&amp;VAR:CALENDAR=FIVEDAY&amp;VAR:SYMBOL=306465&amp;VAR:INDEX=0"}</definedName>
    <definedName name="_40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0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0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0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0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0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0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0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0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0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1__FDSAUDITLINK__" localSheetId="12" hidden="1">{"fdsup://directions/FAT Viewer?action=UPDATE&amp;creator=factset&amp;DYN_ARGS=TRUE&amp;DOC_NAME=FAT:FQL_AUDITING_CLIENT_TEMPLATE.FAT&amp;display_string=Audit&amp;VAR:KEY=VGNCPODUVU&amp;VAR:QUERY=RkVfVkFMVUFUSU9OKCdQQlBTJywnTUVBTicsJ0FOTlVBTCcsMjAxMiwwLCwsJycp&amp;WINDOW=FIRST_POPUP&amp;H","EIGHT=450&amp;WIDTH=450&amp;START_MAXIMIZED=FALSE&amp;VAR:CALENDAR=FIVEDAY&amp;VAR:SYMBOL=440044&amp;VAR:INDEX=0"}</definedName>
    <definedName name="_41__FDSAUDITLINK__" localSheetId="5" hidden="1">{"fdsup://directions/FAT Viewer?action=UPDATE&amp;creator=factset&amp;DYN_ARGS=TRUE&amp;DOC_NAME=FAT:FQL_AUDITING_CLIENT_TEMPLATE.FAT&amp;display_string=Audit&amp;VAR:KEY=VGNCPODUVU&amp;VAR:QUERY=RkVfVkFMVUFUSU9OKCdQQlBTJywnTUVBTicsJ0FOTlVBTCcsMjAxMiwwLCwsJycp&amp;WINDOW=FIRST_POPUP&amp;H","EIGHT=450&amp;WIDTH=450&amp;START_MAXIMIZED=FALSE&amp;VAR:CALENDAR=FIVEDAY&amp;VAR:SYMBOL=440044&amp;VAR:INDEX=0"}</definedName>
    <definedName name="_41__FDSAUDITLINK__" localSheetId="3" hidden="1">{"fdsup://directions/FAT Viewer?action=UPDATE&amp;creator=factset&amp;DYN_ARGS=TRUE&amp;DOC_NAME=FAT:FQL_AUDITING_CLIENT_TEMPLATE.FAT&amp;display_string=Audit&amp;VAR:KEY=VGNCPODUVU&amp;VAR:QUERY=RkVfVkFMVUFUSU9OKCdQQlBTJywnTUVBTicsJ0FOTlVBTCcsMjAxMiwwLCwsJycp&amp;WINDOW=FIRST_POPUP&amp;H","EIGHT=450&amp;WIDTH=450&amp;START_MAXIMIZED=FALSE&amp;VAR:CALENDAR=FIVEDAY&amp;VAR:SYMBOL=440044&amp;VAR:INDEX=0"}</definedName>
    <definedName name="_41__FDSAUDITLINK__" hidden="1">{"fdsup://directions/FAT Viewer?action=UPDATE&amp;creator=factset&amp;DYN_ARGS=TRUE&amp;DOC_NAME=FAT:FQL_AUDITING_CLIENT_TEMPLATE.FAT&amp;display_string=Audit&amp;VAR:KEY=VGNCPODUVU&amp;VAR:QUERY=RkVfVkFMVUFUSU9OKCdQQlBTJywnTUVBTicsJ0FOTlVBTCcsMjAxMiwwLCwsJycp&amp;WINDOW=FIRST_POPUP&amp;H","EIGHT=450&amp;WIDTH=450&amp;START_MAXIMIZED=FALSE&amp;VAR:CALENDAR=FIVEDAY&amp;VAR:SYMBOL=440044&amp;VAR:INDEX=0"}</definedName>
    <definedName name="_41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1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1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13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41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1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1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1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1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1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2__FDSAUDITLINK__" localSheetId="12" hidden="1">{"fdsup://directions/FAT Viewer?action=UPDATE&amp;creator=factset&amp;DYN_ARGS=TRUE&amp;DOC_NAME=FAT:FQL_AUDITING_CLIENT_TEMPLATE.FAT&amp;display_string=Audit&amp;VAR:KEY=XGRIVODUVA&amp;VAR:QUERY=RkVfVkFMVUFUSU9OKCdQQlBTJywnTUVBTicsJ0FOTlVBTCcsMjAxMSwwLCwsJycp&amp;WINDOW=FIRST_POPUP&amp;H","EIGHT=450&amp;WIDTH=450&amp;START_MAXIMIZED=FALSE&amp;VAR:CALENDAR=FIVEDAY&amp;VAR:SYMBOL=440044&amp;VAR:INDEX=0"}</definedName>
    <definedName name="_42__FDSAUDITLINK__" localSheetId="5" hidden="1">{"fdsup://directions/FAT Viewer?action=UPDATE&amp;creator=factset&amp;DYN_ARGS=TRUE&amp;DOC_NAME=FAT:FQL_AUDITING_CLIENT_TEMPLATE.FAT&amp;display_string=Audit&amp;VAR:KEY=XGRIVODUVA&amp;VAR:QUERY=RkVfVkFMVUFUSU9OKCdQQlBTJywnTUVBTicsJ0FOTlVBTCcsMjAxMSwwLCwsJycp&amp;WINDOW=FIRST_POPUP&amp;H","EIGHT=450&amp;WIDTH=450&amp;START_MAXIMIZED=FALSE&amp;VAR:CALENDAR=FIVEDAY&amp;VAR:SYMBOL=440044&amp;VAR:INDEX=0"}</definedName>
    <definedName name="_42__FDSAUDITLINK__" localSheetId="3" hidden="1">{"fdsup://directions/FAT Viewer?action=UPDATE&amp;creator=factset&amp;DYN_ARGS=TRUE&amp;DOC_NAME=FAT:FQL_AUDITING_CLIENT_TEMPLATE.FAT&amp;display_string=Audit&amp;VAR:KEY=XGRIVODUVA&amp;VAR:QUERY=RkVfVkFMVUFUSU9OKCdQQlBTJywnTUVBTicsJ0FOTlVBTCcsMjAxMSwwLCwsJycp&amp;WINDOW=FIRST_POPUP&amp;H","EIGHT=450&amp;WIDTH=450&amp;START_MAXIMIZED=FALSE&amp;VAR:CALENDAR=FIVEDAY&amp;VAR:SYMBOL=440044&amp;VAR:INDEX=0"}</definedName>
    <definedName name="_42__FDSAUDITLINK__" hidden="1">{"fdsup://directions/FAT Viewer?action=UPDATE&amp;creator=factset&amp;DYN_ARGS=TRUE&amp;DOC_NAME=FAT:FQL_AUDITING_CLIENT_TEMPLATE.FAT&amp;display_string=Audit&amp;VAR:KEY=XGRIVODUVA&amp;VAR:QUERY=RkVfVkFMVUFUSU9OKCdQQlBTJywnTUVBTicsJ0FOTlVBTCcsMjAxMSwwLCwsJycp&amp;WINDOW=FIRST_POPUP&amp;H","EIGHT=450&amp;WIDTH=450&amp;START_MAXIMIZED=FALSE&amp;VAR:CALENDAR=FIVEDAY&amp;VAR:SYMBOL=440044&amp;VAR:INDEX=0"}</definedName>
    <definedName name="_42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2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2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2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2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2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2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2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2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2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3__FDSAUDITLINK__" localSheetId="12" hidden="1">{"fdsup://directions/FAT Viewer?action=UPDATE&amp;creator=factset&amp;DYN_ARGS=TRUE&amp;DOC_NAME=FAT:FQL_AUDITING_CLIENT_TEMPLATE.FAT&amp;display_string=Audit&amp;VAR:KEY=RANOROXQDY&amp;VAR:QUERY=RkVfVkFMVUFUSU9OKCdQQlBTJywnTUVBTicsJ0FOTlVBTCcsMjAxMCwwLCwsJycp&amp;WINDOW=FIRST_POPUP&amp;H","EIGHT=450&amp;WIDTH=450&amp;START_MAXIMIZED=FALSE&amp;VAR:CALENDAR=FIVEDAY&amp;VAR:SYMBOL=440044&amp;VAR:INDEX=0"}</definedName>
    <definedName name="_43__FDSAUDITLINK__" localSheetId="5" hidden="1">{"fdsup://directions/FAT Viewer?action=UPDATE&amp;creator=factset&amp;DYN_ARGS=TRUE&amp;DOC_NAME=FAT:FQL_AUDITING_CLIENT_TEMPLATE.FAT&amp;display_string=Audit&amp;VAR:KEY=RANOROXQDY&amp;VAR:QUERY=RkVfVkFMVUFUSU9OKCdQQlBTJywnTUVBTicsJ0FOTlVBTCcsMjAxMCwwLCwsJycp&amp;WINDOW=FIRST_POPUP&amp;H","EIGHT=450&amp;WIDTH=450&amp;START_MAXIMIZED=FALSE&amp;VAR:CALENDAR=FIVEDAY&amp;VAR:SYMBOL=440044&amp;VAR:INDEX=0"}</definedName>
    <definedName name="_43__FDSAUDITLINK__" localSheetId="3" hidden="1">{"fdsup://directions/FAT Viewer?action=UPDATE&amp;creator=factset&amp;DYN_ARGS=TRUE&amp;DOC_NAME=FAT:FQL_AUDITING_CLIENT_TEMPLATE.FAT&amp;display_string=Audit&amp;VAR:KEY=RANOROXQDY&amp;VAR:QUERY=RkVfVkFMVUFUSU9OKCdQQlBTJywnTUVBTicsJ0FOTlVBTCcsMjAxMCwwLCwsJycp&amp;WINDOW=FIRST_POPUP&amp;H","EIGHT=450&amp;WIDTH=450&amp;START_MAXIMIZED=FALSE&amp;VAR:CALENDAR=FIVEDAY&amp;VAR:SYMBOL=440044&amp;VAR:INDEX=0"}</definedName>
    <definedName name="_43__FDSAUDITLINK__" hidden="1">{"fdsup://directions/FAT Viewer?action=UPDATE&amp;creator=factset&amp;DYN_ARGS=TRUE&amp;DOC_NAME=FAT:FQL_AUDITING_CLIENT_TEMPLATE.FAT&amp;display_string=Audit&amp;VAR:KEY=RANOROXQDY&amp;VAR:QUERY=RkVfVkFMVUFUSU9OKCdQQlBTJywnTUVBTicsJ0FOTlVBTCcsMjAxMCwwLCwsJycp&amp;WINDOW=FIRST_POPUP&amp;H","EIGHT=450&amp;WIDTH=450&amp;START_MAXIMIZED=FALSE&amp;VAR:CALENDAR=FIVEDAY&amp;VAR:SYMBOL=440044&amp;VAR:INDEX=0"}</definedName>
    <definedName name="_430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43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3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3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3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3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3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3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3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3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4__FDSAUDITLINK__" localSheetId="12" hidden="1">{"fdsup://directions/FAT Viewer?action=UPDATE&amp;creator=factset&amp;DYN_ARGS=TRUE&amp;DOC_NAME=FAT:FQL_AUDITING_CLIENT_TEMPLATE.FAT&amp;display_string=Audit&amp;VAR:KEY=LUTQLCLGJU&amp;VAR:QUERY=RkVfVkFMVUFUSU9OKCdQQlBTJywnTUVBTicsJ0FOTlVBTCcsMjAwOSwwLCwsJycp&amp;WINDOW=FIRST_POPUP&amp;H","EIGHT=450&amp;WIDTH=450&amp;START_MAXIMIZED=FALSE&amp;VAR:CALENDAR=FIVEDAY&amp;VAR:SYMBOL=440044&amp;VAR:INDEX=0"}</definedName>
    <definedName name="_44__FDSAUDITLINK__" localSheetId="5" hidden="1">{"fdsup://directions/FAT Viewer?action=UPDATE&amp;creator=factset&amp;DYN_ARGS=TRUE&amp;DOC_NAME=FAT:FQL_AUDITING_CLIENT_TEMPLATE.FAT&amp;display_string=Audit&amp;VAR:KEY=LUTQLCLGJU&amp;VAR:QUERY=RkVfVkFMVUFUSU9OKCdQQlBTJywnTUVBTicsJ0FOTlVBTCcsMjAwOSwwLCwsJycp&amp;WINDOW=FIRST_POPUP&amp;H","EIGHT=450&amp;WIDTH=450&amp;START_MAXIMIZED=FALSE&amp;VAR:CALENDAR=FIVEDAY&amp;VAR:SYMBOL=440044&amp;VAR:INDEX=0"}</definedName>
    <definedName name="_44__FDSAUDITLINK__" localSheetId="3" hidden="1">{"fdsup://directions/FAT Viewer?action=UPDATE&amp;creator=factset&amp;DYN_ARGS=TRUE&amp;DOC_NAME=FAT:FQL_AUDITING_CLIENT_TEMPLATE.FAT&amp;display_string=Audit&amp;VAR:KEY=LUTQLCLGJU&amp;VAR:QUERY=RkVfVkFMVUFUSU9OKCdQQlBTJywnTUVBTicsJ0FOTlVBTCcsMjAwOSwwLCwsJycp&amp;WINDOW=FIRST_POPUP&amp;H","EIGHT=450&amp;WIDTH=450&amp;START_MAXIMIZED=FALSE&amp;VAR:CALENDAR=FIVEDAY&amp;VAR:SYMBOL=440044&amp;VAR:INDEX=0"}</definedName>
    <definedName name="_44__FDSAUDITLINK__" hidden="1">{"fdsup://directions/FAT Viewer?action=UPDATE&amp;creator=factset&amp;DYN_ARGS=TRUE&amp;DOC_NAME=FAT:FQL_AUDITING_CLIENT_TEMPLATE.FAT&amp;display_string=Audit&amp;VAR:KEY=LUTQLCLGJU&amp;VAR:QUERY=RkVfVkFMVUFUSU9OKCdQQlBTJywnTUVBTicsJ0FOTlVBTCcsMjAwOSwwLCwsJycp&amp;WINDOW=FIRST_POPUP&amp;H","EIGHT=450&amp;WIDTH=450&amp;START_MAXIMIZED=FALSE&amp;VAR:CALENDAR=FIVEDAY&amp;VAR:SYMBOL=440044&amp;VAR:INDEX=0"}</definedName>
    <definedName name="_44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4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4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4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4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4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4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47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44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4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5__FDSAUDITLINK__" localSheetId="12" hidden="1">{"fdsup://directions/FAT Viewer?action=UPDATE&amp;creator=factset&amp;DYN_ARGS=TRUE&amp;DOC_NAME=FAT:FQL_AUDITING_CLIENT_TEMPLATE.FAT&amp;display_string=Audit&amp;VAR:KEY=ZGTCLSBADE&amp;VAR:QUERY=RkVfVkFMVUFUSU9OKCdQQlBTJywnTUVBTicsJ0FOTlVBTCcsMjAxMiwwLCwsJycp&amp;WINDOW=FIRST_POPUP&amp;H","EIGHT=450&amp;WIDTH=450&amp;START_MAXIMIZED=FALSE&amp;VAR:CALENDAR=FIVEDAY&amp;VAR:SYMBOL=441901&amp;VAR:INDEX=0"}</definedName>
    <definedName name="_45__FDSAUDITLINK__" localSheetId="5" hidden="1">{"fdsup://directions/FAT Viewer?action=UPDATE&amp;creator=factset&amp;DYN_ARGS=TRUE&amp;DOC_NAME=FAT:FQL_AUDITING_CLIENT_TEMPLATE.FAT&amp;display_string=Audit&amp;VAR:KEY=ZGTCLSBADE&amp;VAR:QUERY=RkVfVkFMVUFUSU9OKCdQQlBTJywnTUVBTicsJ0FOTlVBTCcsMjAxMiwwLCwsJycp&amp;WINDOW=FIRST_POPUP&amp;H","EIGHT=450&amp;WIDTH=450&amp;START_MAXIMIZED=FALSE&amp;VAR:CALENDAR=FIVEDAY&amp;VAR:SYMBOL=441901&amp;VAR:INDEX=0"}</definedName>
    <definedName name="_45__FDSAUDITLINK__" localSheetId="3" hidden="1">{"fdsup://directions/FAT Viewer?action=UPDATE&amp;creator=factset&amp;DYN_ARGS=TRUE&amp;DOC_NAME=FAT:FQL_AUDITING_CLIENT_TEMPLATE.FAT&amp;display_string=Audit&amp;VAR:KEY=ZGTCLSBADE&amp;VAR:QUERY=RkVfVkFMVUFUSU9OKCdQQlBTJywnTUVBTicsJ0FOTlVBTCcsMjAxMiwwLCwsJycp&amp;WINDOW=FIRST_POPUP&amp;H","EIGHT=450&amp;WIDTH=450&amp;START_MAXIMIZED=FALSE&amp;VAR:CALENDAR=FIVEDAY&amp;VAR:SYMBOL=441901&amp;VAR:INDEX=0"}</definedName>
    <definedName name="_45__FDSAUDITLINK__" hidden="1">{"fdsup://directions/FAT Viewer?action=UPDATE&amp;creator=factset&amp;DYN_ARGS=TRUE&amp;DOC_NAME=FAT:FQL_AUDITING_CLIENT_TEMPLATE.FAT&amp;display_string=Audit&amp;VAR:KEY=ZGTCLSBADE&amp;VAR:QUERY=RkVfVkFMVUFUSU9OKCdQQlBTJywnTUVBTicsJ0FOTlVBTCcsMjAxMiwwLCwsJycp&amp;WINDOW=FIRST_POPUP&amp;H","EIGHT=450&amp;WIDTH=450&amp;START_MAXIMIZED=FALSE&amp;VAR:CALENDAR=FIVEDAY&amp;VAR:SYMBOL=441901&amp;VAR:INDEX=0"}</definedName>
    <definedName name="_45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5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5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5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5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5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5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5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5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5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6__FDSAUDITLINK__" localSheetId="12" hidden="1">{"fdsup://directions/FAT Viewer?action=UPDATE&amp;creator=factset&amp;DYN_ARGS=TRUE&amp;DOC_NAME=FAT:FQL_AUDITING_CLIENT_TEMPLATE.FAT&amp;display_string=Audit&amp;VAR:KEY=JKTCVWVCXS&amp;VAR:QUERY=RkVfVkFMVUFUSU9OKCdQQlBTJywnTUVBTicsJ0FOTlVBTCcsMjAxMSwwLCwsJycp&amp;WINDOW=FIRST_POPUP&amp;H","EIGHT=450&amp;WIDTH=450&amp;START_MAXIMIZED=FALSE&amp;VAR:CALENDAR=FIVEDAY&amp;VAR:SYMBOL=441901&amp;VAR:INDEX=0"}</definedName>
    <definedName name="_46__FDSAUDITLINK__" localSheetId="5" hidden="1">{"fdsup://directions/FAT Viewer?action=UPDATE&amp;creator=factset&amp;DYN_ARGS=TRUE&amp;DOC_NAME=FAT:FQL_AUDITING_CLIENT_TEMPLATE.FAT&amp;display_string=Audit&amp;VAR:KEY=JKTCVWVCXS&amp;VAR:QUERY=RkVfVkFMVUFUSU9OKCdQQlBTJywnTUVBTicsJ0FOTlVBTCcsMjAxMSwwLCwsJycp&amp;WINDOW=FIRST_POPUP&amp;H","EIGHT=450&amp;WIDTH=450&amp;START_MAXIMIZED=FALSE&amp;VAR:CALENDAR=FIVEDAY&amp;VAR:SYMBOL=441901&amp;VAR:INDEX=0"}</definedName>
    <definedName name="_46__FDSAUDITLINK__" localSheetId="3" hidden="1">{"fdsup://directions/FAT Viewer?action=UPDATE&amp;creator=factset&amp;DYN_ARGS=TRUE&amp;DOC_NAME=FAT:FQL_AUDITING_CLIENT_TEMPLATE.FAT&amp;display_string=Audit&amp;VAR:KEY=JKTCVWVCXS&amp;VAR:QUERY=RkVfVkFMVUFUSU9OKCdQQlBTJywnTUVBTicsJ0FOTlVBTCcsMjAxMSwwLCwsJycp&amp;WINDOW=FIRST_POPUP&amp;H","EIGHT=450&amp;WIDTH=450&amp;START_MAXIMIZED=FALSE&amp;VAR:CALENDAR=FIVEDAY&amp;VAR:SYMBOL=441901&amp;VAR:INDEX=0"}</definedName>
    <definedName name="_46__FDSAUDITLINK__" hidden="1">{"fdsup://directions/FAT Viewer?action=UPDATE&amp;creator=factset&amp;DYN_ARGS=TRUE&amp;DOC_NAME=FAT:FQL_AUDITING_CLIENT_TEMPLATE.FAT&amp;display_string=Audit&amp;VAR:KEY=JKTCVWVCXS&amp;VAR:QUERY=RkVfVkFMVUFUSU9OKCdQQlBTJywnTUVBTicsJ0FOTlVBTCcsMjAxMSwwLCwsJycp&amp;WINDOW=FIRST_POPUP&amp;H","EIGHT=450&amp;WIDTH=450&amp;START_MAXIMIZED=FALSE&amp;VAR:CALENDAR=FIVEDAY&amp;VAR:SYMBOL=441901&amp;VAR:INDEX=0"}</definedName>
    <definedName name="_46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6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6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6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64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46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6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6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6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6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7__FDSAUDITLINK__" localSheetId="12" hidden="1">{"fdsup://directions/FAT Viewer?action=UPDATE&amp;creator=factset&amp;DYN_ARGS=TRUE&amp;DOC_NAME=FAT:FQL_AUDITING_CLIENT_TEMPLATE.FAT&amp;display_string=Audit&amp;VAR:KEY=NIFKRWBWPY&amp;VAR:QUERY=RkVfVkFMVUFUSU9OKCdQQlBTJywnTUVBTicsJ0FOTlVBTCcsMjAxMCwwLCwsJycp&amp;WINDOW=FIRST_POPUP&amp;H","EIGHT=450&amp;WIDTH=450&amp;START_MAXIMIZED=FALSE&amp;VAR:CALENDAR=FIVEDAY&amp;VAR:SYMBOL=441901&amp;VAR:INDEX=0"}</definedName>
    <definedName name="_47__FDSAUDITLINK__" localSheetId="5" hidden="1">{"fdsup://directions/FAT Viewer?action=UPDATE&amp;creator=factset&amp;DYN_ARGS=TRUE&amp;DOC_NAME=FAT:FQL_AUDITING_CLIENT_TEMPLATE.FAT&amp;display_string=Audit&amp;VAR:KEY=NIFKRWBWPY&amp;VAR:QUERY=RkVfVkFMVUFUSU9OKCdQQlBTJywnTUVBTicsJ0FOTlVBTCcsMjAxMCwwLCwsJycp&amp;WINDOW=FIRST_POPUP&amp;H","EIGHT=450&amp;WIDTH=450&amp;START_MAXIMIZED=FALSE&amp;VAR:CALENDAR=FIVEDAY&amp;VAR:SYMBOL=441901&amp;VAR:INDEX=0"}</definedName>
    <definedName name="_47__FDSAUDITLINK__" localSheetId="3" hidden="1">{"fdsup://directions/FAT Viewer?action=UPDATE&amp;creator=factset&amp;DYN_ARGS=TRUE&amp;DOC_NAME=FAT:FQL_AUDITING_CLIENT_TEMPLATE.FAT&amp;display_string=Audit&amp;VAR:KEY=NIFKRWBWPY&amp;VAR:QUERY=RkVfVkFMVUFUSU9OKCdQQlBTJywnTUVBTicsJ0FOTlVBTCcsMjAxMCwwLCwsJycp&amp;WINDOW=FIRST_POPUP&amp;H","EIGHT=450&amp;WIDTH=450&amp;START_MAXIMIZED=FALSE&amp;VAR:CALENDAR=FIVEDAY&amp;VAR:SYMBOL=441901&amp;VAR:INDEX=0"}</definedName>
    <definedName name="_47__FDSAUDITLINK__" hidden="1">{"fdsup://directions/FAT Viewer?action=UPDATE&amp;creator=factset&amp;DYN_ARGS=TRUE&amp;DOC_NAME=FAT:FQL_AUDITING_CLIENT_TEMPLATE.FAT&amp;display_string=Audit&amp;VAR:KEY=NIFKRWBWPY&amp;VAR:QUERY=RkVfVkFMVUFUSU9OKCdQQlBTJywnTUVBTicsJ0FOTlVBTCcsMjAxMCwwLCwsJycp&amp;WINDOW=FIRST_POPUP&amp;H","EIGHT=450&amp;WIDTH=450&amp;START_MAXIMIZED=FALSE&amp;VAR:CALENDAR=FIVEDAY&amp;VAR:SYMBOL=441901&amp;VAR:INDEX=0"}</definedName>
    <definedName name="_47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7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7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7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7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7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7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7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7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7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8__FDSAUDITLINK__" localSheetId="12" hidden="1">{"fdsup://directions/FAT Viewer?action=UPDATE&amp;creator=factset&amp;DYN_ARGS=TRUE&amp;DOC_NAME=FAT:FQL_AUDITING_CLIENT_TEMPLATE.FAT&amp;display_string=Audit&amp;VAR:KEY=DCBWBYDQBY&amp;VAR:QUERY=RkVfVkFMVUFUSU9OKCdQQlBTJywnTUVBTicsJ0FOTlVBTCcsMjAwOSwwLCwsJycp&amp;WINDOW=FIRST_POPUP&amp;H","EIGHT=450&amp;WIDTH=450&amp;START_MAXIMIZED=FALSE&amp;VAR:CALENDAR=FIVEDAY&amp;VAR:SYMBOL=441901&amp;VAR:INDEX=0"}</definedName>
    <definedName name="_48__FDSAUDITLINK__" localSheetId="5" hidden="1">{"fdsup://directions/FAT Viewer?action=UPDATE&amp;creator=factset&amp;DYN_ARGS=TRUE&amp;DOC_NAME=FAT:FQL_AUDITING_CLIENT_TEMPLATE.FAT&amp;display_string=Audit&amp;VAR:KEY=DCBWBYDQBY&amp;VAR:QUERY=RkVfVkFMVUFUSU9OKCdQQlBTJywnTUVBTicsJ0FOTlVBTCcsMjAwOSwwLCwsJycp&amp;WINDOW=FIRST_POPUP&amp;H","EIGHT=450&amp;WIDTH=450&amp;START_MAXIMIZED=FALSE&amp;VAR:CALENDAR=FIVEDAY&amp;VAR:SYMBOL=441901&amp;VAR:INDEX=0"}</definedName>
    <definedName name="_48__FDSAUDITLINK__" localSheetId="3" hidden="1">{"fdsup://directions/FAT Viewer?action=UPDATE&amp;creator=factset&amp;DYN_ARGS=TRUE&amp;DOC_NAME=FAT:FQL_AUDITING_CLIENT_TEMPLATE.FAT&amp;display_string=Audit&amp;VAR:KEY=DCBWBYDQBY&amp;VAR:QUERY=RkVfVkFMVUFUSU9OKCdQQlBTJywnTUVBTicsJ0FOTlVBTCcsMjAwOSwwLCwsJycp&amp;WINDOW=FIRST_POPUP&amp;H","EIGHT=450&amp;WIDTH=450&amp;START_MAXIMIZED=FALSE&amp;VAR:CALENDAR=FIVEDAY&amp;VAR:SYMBOL=441901&amp;VAR:INDEX=0"}</definedName>
    <definedName name="_48__FDSAUDITLINK__" hidden="1">{"fdsup://directions/FAT Viewer?action=UPDATE&amp;creator=factset&amp;DYN_ARGS=TRUE&amp;DOC_NAME=FAT:FQL_AUDITING_CLIENT_TEMPLATE.FAT&amp;display_string=Audit&amp;VAR:KEY=DCBWBYDQBY&amp;VAR:QUERY=RkVfVkFMVUFUSU9OKCdQQlBTJywnTUVBTicsJ0FOTlVBTCcsMjAwOSwwLCwsJycp&amp;WINDOW=FIRST_POPUP&amp;H","EIGHT=450&amp;WIDTH=450&amp;START_MAXIMIZED=FALSE&amp;VAR:CALENDAR=FIVEDAY&amp;VAR:SYMBOL=441901&amp;VAR:INDEX=0"}</definedName>
    <definedName name="_48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81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48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8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8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8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8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8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8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8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9__FDSAUDITLINK__" localSheetId="12" hidden="1">{"fdsup://directions/FAT Viewer?action=UPDATE&amp;creator=factset&amp;DYN_ARGS=TRUE&amp;DOC_NAME=FAT:FQL_AUDITING_CLIENT_TEMPLATE.FAT&amp;display_string=Audit&amp;VAR:KEY=JERCXQTOJO&amp;VAR:QUERY=RkVfVkFMVUFUSU9OKCdQQlBTJywnTUVBTicsJ0FOTlVBTCcsMjAxMiwwLCwsJycp&amp;WINDOW=FIRST_POPUP&amp;H","EIGHT=450&amp;WIDTH=450&amp;START_MAXIMIZED=FALSE&amp;VAR:CALENDAR=US&amp;VAR:INDEX=0"}</definedName>
    <definedName name="_49__FDSAUDITLINK__" localSheetId="5" hidden="1">{"fdsup://directions/FAT Viewer?action=UPDATE&amp;creator=factset&amp;DYN_ARGS=TRUE&amp;DOC_NAME=FAT:FQL_AUDITING_CLIENT_TEMPLATE.FAT&amp;display_string=Audit&amp;VAR:KEY=JERCXQTOJO&amp;VAR:QUERY=RkVfVkFMVUFUSU9OKCdQQlBTJywnTUVBTicsJ0FOTlVBTCcsMjAxMiwwLCwsJycp&amp;WINDOW=FIRST_POPUP&amp;H","EIGHT=450&amp;WIDTH=450&amp;START_MAXIMIZED=FALSE&amp;VAR:CALENDAR=US&amp;VAR:INDEX=0"}</definedName>
    <definedName name="_49__FDSAUDITLINK__" localSheetId="3" hidden="1">{"fdsup://directions/FAT Viewer?action=UPDATE&amp;creator=factset&amp;DYN_ARGS=TRUE&amp;DOC_NAME=FAT:FQL_AUDITING_CLIENT_TEMPLATE.FAT&amp;display_string=Audit&amp;VAR:KEY=JERCXQTOJO&amp;VAR:QUERY=RkVfVkFMVUFUSU9OKCdQQlBTJywnTUVBTicsJ0FOTlVBTCcsMjAxMiwwLCwsJycp&amp;WINDOW=FIRST_POPUP&amp;H","EIGHT=450&amp;WIDTH=450&amp;START_MAXIMIZED=FALSE&amp;VAR:CALENDAR=US&amp;VAR:INDEX=0"}</definedName>
    <definedName name="_49__FDSAUDITLINK__" hidden="1">{"fdsup://directions/FAT Viewer?action=UPDATE&amp;creator=factset&amp;DYN_ARGS=TRUE&amp;DOC_NAME=FAT:FQL_AUDITING_CLIENT_TEMPLATE.FAT&amp;display_string=Audit&amp;VAR:KEY=JERCXQTOJO&amp;VAR:QUERY=RkVfVkFMVUFUSU9OKCdQQlBTJywnTUVBTicsJ0FOTlVBTCcsMjAxMiwwLCwsJycp&amp;WINDOW=FIRST_POPUP&amp;H","EIGHT=450&amp;WIDTH=450&amp;START_MAXIMIZED=FALSE&amp;VAR:CALENDAR=US&amp;VAR:INDEX=0"}</definedName>
    <definedName name="_49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9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9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9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9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9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9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9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98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49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__FDSAUDITLINK__" localSheetId="12" hidden="1">{"fdsup://directions/FAT Viewer?action=UPDATE&amp;creator=factset&amp;DYN_ARGS=TRUE&amp;DOC_NAME=FAT:FQL_AUDITING_CLIENT_TEMPLATE.FAT&amp;display_string=Audit&amp;VAR:KEY=HQTSVONSRI&amp;VAR:QUERY=RkVfVkFMVUFUSU9OKCdQQlBTJywnTUVBTicsJ0FOTlVBTCcsMjAxMiwwLCwsJycp&amp;WINDOW=FIRST_POPUP&amp;H","EIGHT=450&amp;WIDTH=450&amp;START_MAXIMIZED=FALSE&amp;VAR:CALENDAR=FIVEDAY&amp;VAR:SYMBOL=648963&amp;VAR:INDEX=0"}</definedName>
    <definedName name="_5__FDSAUDITLINK__" localSheetId="5" hidden="1">{"fdsup://directions/FAT Viewer?action=UPDATE&amp;creator=factset&amp;DYN_ARGS=TRUE&amp;DOC_NAME=FAT:FQL_AUDITING_CLIENT_TEMPLATE.FAT&amp;display_string=Audit&amp;VAR:KEY=HQTSVONSRI&amp;VAR:QUERY=RkVfVkFMVUFUSU9OKCdQQlBTJywnTUVBTicsJ0FOTlVBTCcsMjAxMiwwLCwsJycp&amp;WINDOW=FIRST_POPUP&amp;H","EIGHT=450&amp;WIDTH=450&amp;START_MAXIMIZED=FALSE&amp;VAR:CALENDAR=FIVEDAY&amp;VAR:SYMBOL=648963&amp;VAR:INDEX=0"}</definedName>
    <definedName name="_5__FDSAUDITLINK__" localSheetId="3" hidden="1">{"fdsup://directions/FAT Viewer?action=UPDATE&amp;creator=factset&amp;DYN_ARGS=TRUE&amp;DOC_NAME=FAT:FQL_AUDITING_CLIENT_TEMPLATE.FAT&amp;display_string=Audit&amp;VAR:KEY=HQTSVONSRI&amp;VAR:QUERY=RkVfVkFMVUFUSU9OKCdQQlBTJywnTUVBTicsJ0FOTlVBTCcsMjAxMiwwLCwsJycp&amp;WINDOW=FIRST_POPUP&amp;H","EIGHT=450&amp;WIDTH=450&amp;START_MAXIMIZED=FALSE&amp;VAR:CALENDAR=FIVEDAY&amp;VAR:SYMBOL=648963&amp;VAR:INDEX=0"}</definedName>
    <definedName name="_5__FDSAUDITLINK__" hidden="1">{"fdsup://directions/FAT Viewer?action=UPDATE&amp;creator=factset&amp;DYN_ARGS=TRUE&amp;DOC_NAME=FAT:FQL_AUDITING_CLIENT_TEMPLATE.FAT&amp;display_string=Audit&amp;VAR:KEY=HQTSVONSRI&amp;VAR:QUERY=RkVfVkFMVUFUSU9OKCdQQlBTJywnTUVBTicsJ0FOTlVBTCcsMjAxMiwwLCwsJycp&amp;WINDOW=FIRST_POPUP&amp;H","EIGHT=450&amp;WIDTH=450&amp;START_MAXIMIZED=FALSE&amp;VAR:CALENDAR=FIVEDAY&amp;VAR:SYMBOL=648963&amp;VAR:INDEX=0"}</definedName>
    <definedName name="_50__FDSAUDITLINK__" localSheetId="12" hidden="1">{"fdsup://directions/FAT Viewer?action=UPDATE&amp;creator=factset&amp;DYN_ARGS=TRUE&amp;DOC_NAME=FAT:FQL_AUDITING_CLIENT_TEMPLATE.FAT&amp;display_string=Audit&amp;VAR:KEY=FUPMPONMFY&amp;VAR:QUERY=RkVfVkFMVUFUSU9OKCdQQlBTJywnTUVBTicsJ0FOTlVBTCcsMjAxMSwwLCwsJycp&amp;WINDOW=FIRST_POPUP&amp;H","EIGHT=450&amp;WIDTH=450&amp;START_MAXIMIZED=FALSE&amp;VAR:CALENDAR=US&amp;VAR:INDEX=0"}</definedName>
    <definedName name="_50__FDSAUDITLINK__" localSheetId="5" hidden="1">{"fdsup://directions/FAT Viewer?action=UPDATE&amp;creator=factset&amp;DYN_ARGS=TRUE&amp;DOC_NAME=FAT:FQL_AUDITING_CLIENT_TEMPLATE.FAT&amp;display_string=Audit&amp;VAR:KEY=FUPMPONMFY&amp;VAR:QUERY=RkVfVkFMVUFUSU9OKCdQQlBTJywnTUVBTicsJ0FOTlVBTCcsMjAxMSwwLCwsJycp&amp;WINDOW=FIRST_POPUP&amp;H","EIGHT=450&amp;WIDTH=450&amp;START_MAXIMIZED=FALSE&amp;VAR:CALENDAR=US&amp;VAR:INDEX=0"}</definedName>
    <definedName name="_50__FDSAUDITLINK__" localSheetId="3" hidden="1">{"fdsup://directions/FAT Viewer?action=UPDATE&amp;creator=factset&amp;DYN_ARGS=TRUE&amp;DOC_NAME=FAT:FQL_AUDITING_CLIENT_TEMPLATE.FAT&amp;display_string=Audit&amp;VAR:KEY=FUPMPONMFY&amp;VAR:QUERY=RkVfVkFMVUFUSU9OKCdQQlBTJywnTUVBTicsJ0FOTlVBTCcsMjAxMSwwLCwsJycp&amp;WINDOW=FIRST_POPUP&amp;H","EIGHT=450&amp;WIDTH=450&amp;START_MAXIMIZED=FALSE&amp;VAR:CALENDAR=US&amp;VAR:INDEX=0"}</definedName>
    <definedName name="_50__FDSAUDITLINK__" hidden="1">{"fdsup://directions/FAT Viewer?action=UPDATE&amp;creator=factset&amp;DYN_ARGS=TRUE&amp;DOC_NAME=FAT:FQL_AUDITING_CLIENT_TEMPLATE.FAT&amp;display_string=Audit&amp;VAR:KEY=FUPMPONMFY&amp;VAR:QUERY=RkVfVkFMVUFUSU9OKCdQQlBTJywnTUVBTicsJ0FOTlVBTCcsMjAxMSwwLCwsJycp&amp;WINDOW=FIRST_POPUP&amp;H","EIGHT=450&amp;WIDTH=450&amp;START_MAXIMIZED=FALSE&amp;VAR:CALENDAR=US&amp;VAR:INDEX=0"}</definedName>
    <definedName name="_50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0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0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0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0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0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0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0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0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0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1__FDSAUDITLINK__" localSheetId="12" hidden="1">{"fdsup://directions/FAT Viewer?action=UPDATE&amp;creator=factset&amp;DYN_ARGS=TRUE&amp;DOC_NAME=FAT:FQL_AUDITING_CLIENT_TEMPLATE.FAT&amp;display_string=Audit&amp;VAR:KEY=ZURCLIDSFE&amp;VAR:QUERY=RkVfVkFMVUFUSU9OKCdQQlBTJywnTUVBTicsJ0FOTlVBTCcsMjAxMCwwLCwsJycp&amp;WINDOW=FIRST_POPUP&amp;H","EIGHT=450&amp;WIDTH=450&amp;START_MAXIMIZED=FALSE&amp;VAR:CALENDAR=US&amp;VAR:INDEX=0"}</definedName>
    <definedName name="_51__FDSAUDITLINK__" localSheetId="5" hidden="1">{"fdsup://directions/FAT Viewer?action=UPDATE&amp;creator=factset&amp;DYN_ARGS=TRUE&amp;DOC_NAME=FAT:FQL_AUDITING_CLIENT_TEMPLATE.FAT&amp;display_string=Audit&amp;VAR:KEY=ZURCLIDSFE&amp;VAR:QUERY=RkVfVkFMVUFUSU9OKCdQQlBTJywnTUVBTicsJ0FOTlVBTCcsMjAxMCwwLCwsJycp&amp;WINDOW=FIRST_POPUP&amp;H","EIGHT=450&amp;WIDTH=450&amp;START_MAXIMIZED=FALSE&amp;VAR:CALENDAR=US&amp;VAR:INDEX=0"}</definedName>
    <definedName name="_51__FDSAUDITLINK__" localSheetId="3" hidden="1">{"fdsup://directions/FAT Viewer?action=UPDATE&amp;creator=factset&amp;DYN_ARGS=TRUE&amp;DOC_NAME=FAT:FQL_AUDITING_CLIENT_TEMPLATE.FAT&amp;display_string=Audit&amp;VAR:KEY=ZURCLIDSFE&amp;VAR:QUERY=RkVfVkFMVUFUSU9OKCdQQlBTJywnTUVBTicsJ0FOTlVBTCcsMjAxMCwwLCwsJycp&amp;WINDOW=FIRST_POPUP&amp;H","EIGHT=450&amp;WIDTH=450&amp;START_MAXIMIZED=FALSE&amp;VAR:CALENDAR=US&amp;VAR:INDEX=0"}</definedName>
    <definedName name="_51__FDSAUDITLINK__" hidden="1">{"fdsup://directions/FAT Viewer?action=UPDATE&amp;creator=factset&amp;DYN_ARGS=TRUE&amp;DOC_NAME=FAT:FQL_AUDITING_CLIENT_TEMPLATE.FAT&amp;display_string=Audit&amp;VAR:KEY=ZURCLIDSFE&amp;VAR:QUERY=RkVfVkFMVUFUSU9OKCdQQlBTJywnTUVBTicsJ0FOTlVBTCcsMjAxMCwwLCwsJycp&amp;WINDOW=FIRST_POPUP&amp;H","EIGHT=450&amp;WIDTH=450&amp;START_MAXIMIZED=FALSE&amp;VAR:CALENDAR=US&amp;VAR:INDEX=0"}</definedName>
    <definedName name="_51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1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1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1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1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15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51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1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1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1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2__FDSAUDITLINK__" localSheetId="12" hidden="1">{"fdsup://directions/FAT Viewer?action=UPDATE&amp;creator=factset&amp;DYN_ARGS=TRUE&amp;DOC_NAME=FAT:FQL_AUDITING_CLIENT_TEMPLATE.FAT&amp;display_string=Audit&amp;VAR:KEY=JULQVADWDI&amp;VAR:QUERY=RkVfVkFMVUFUSU9OKCdQQlBTJywnTUVBTicsJ0FOTlVBTCcsMjAwOSwwLCwsJycp&amp;WINDOW=FIRST_POPUP&amp;H","EIGHT=450&amp;WIDTH=450&amp;START_MAXIMIZED=FALSE&amp;VAR:CALENDAR=US&amp;VAR:INDEX=0"}</definedName>
    <definedName name="_52__FDSAUDITLINK__" localSheetId="5" hidden="1">{"fdsup://directions/FAT Viewer?action=UPDATE&amp;creator=factset&amp;DYN_ARGS=TRUE&amp;DOC_NAME=FAT:FQL_AUDITING_CLIENT_TEMPLATE.FAT&amp;display_string=Audit&amp;VAR:KEY=JULQVADWDI&amp;VAR:QUERY=RkVfVkFMVUFUSU9OKCdQQlBTJywnTUVBTicsJ0FOTlVBTCcsMjAwOSwwLCwsJycp&amp;WINDOW=FIRST_POPUP&amp;H","EIGHT=450&amp;WIDTH=450&amp;START_MAXIMIZED=FALSE&amp;VAR:CALENDAR=US&amp;VAR:INDEX=0"}</definedName>
    <definedName name="_52__FDSAUDITLINK__" localSheetId="3" hidden="1">{"fdsup://directions/FAT Viewer?action=UPDATE&amp;creator=factset&amp;DYN_ARGS=TRUE&amp;DOC_NAME=FAT:FQL_AUDITING_CLIENT_TEMPLATE.FAT&amp;display_string=Audit&amp;VAR:KEY=JULQVADWDI&amp;VAR:QUERY=RkVfVkFMVUFUSU9OKCdQQlBTJywnTUVBTicsJ0FOTlVBTCcsMjAwOSwwLCwsJycp&amp;WINDOW=FIRST_POPUP&amp;H","EIGHT=450&amp;WIDTH=450&amp;START_MAXIMIZED=FALSE&amp;VAR:CALENDAR=US&amp;VAR:INDEX=0"}</definedName>
    <definedName name="_52__FDSAUDITLINK__" hidden="1">{"fdsup://directions/FAT Viewer?action=UPDATE&amp;creator=factset&amp;DYN_ARGS=TRUE&amp;DOC_NAME=FAT:FQL_AUDITING_CLIENT_TEMPLATE.FAT&amp;display_string=Audit&amp;VAR:KEY=JULQVADWDI&amp;VAR:QUERY=RkVfVkFMVUFUSU9OKCdQQlBTJywnTUVBTicsJ0FOTlVBTCcsMjAwOSwwLCwsJycp&amp;WINDOW=FIRST_POPUP&amp;H","EIGHT=450&amp;WIDTH=450&amp;START_MAXIMIZED=FALSE&amp;VAR:CALENDAR=US&amp;VAR:INDEX=0"}</definedName>
    <definedName name="_52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2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2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2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2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2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2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2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2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2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3__FDSAUDITLINK__" localSheetId="12" hidden="1">{"fdsup://directions/FAT Viewer?action=UPDATE&amp;creator=factset&amp;DYN_ARGS=TRUE&amp;DOC_NAME=FAT:FQL_AUDITING_CLIENT_TEMPLATE.FAT&amp;display_string=Audit&amp;VAR:KEY=VEHCNYHAFI&amp;VAR:QUERY=RkVfVkFMVUFUSU9OKCdQQlBTJywnTUVBTicsJ0FOTlVBTCcsMjAxMiwwLCwsJycp&amp;WINDOW=FIRST_POPUP&amp;H","EIGHT=450&amp;WIDTH=450&amp;START_MAXIMIZED=FALSE&amp;VAR:CALENDAR=US&amp;VAR:SYMBOL=5497168&amp;VAR:INDEX=0"}</definedName>
    <definedName name="_53__FDSAUDITLINK__" localSheetId="5" hidden="1">{"fdsup://directions/FAT Viewer?action=UPDATE&amp;creator=factset&amp;DYN_ARGS=TRUE&amp;DOC_NAME=FAT:FQL_AUDITING_CLIENT_TEMPLATE.FAT&amp;display_string=Audit&amp;VAR:KEY=VEHCNYHAFI&amp;VAR:QUERY=RkVfVkFMVUFUSU9OKCdQQlBTJywnTUVBTicsJ0FOTlVBTCcsMjAxMiwwLCwsJycp&amp;WINDOW=FIRST_POPUP&amp;H","EIGHT=450&amp;WIDTH=450&amp;START_MAXIMIZED=FALSE&amp;VAR:CALENDAR=US&amp;VAR:SYMBOL=5497168&amp;VAR:INDEX=0"}</definedName>
    <definedName name="_53__FDSAUDITLINK__" localSheetId="3" hidden="1">{"fdsup://directions/FAT Viewer?action=UPDATE&amp;creator=factset&amp;DYN_ARGS=TRUE&amp;DOC_NAME=FAT:FQL_AUDITING_CLIENT_TEMPLATE.FAT&amp;display_string=Audit&amp;VAR:KEY=VEHCNYHAFI&amp;VAR:QUERY=RkVfVkFMVUFUSU9OKCdQQlBTJywnTUVBTicsJ0FOTlVBTCcsMjAxMiwwLCwsJycp&amp;WINDOW=FIRST_POPUP&amp;H","EIGHT=450&amp;WIDTH=450&amp;START_MAXIMIZED=FALSE&amp;VAR:CALENDAR=US&amp;VAR:SYMBOL=5497168&amp;VAR:INDEX=0"}</definedName>
    <definedName name="_53__FDSAUDITLINK__" hidden="1">{"fdsup://directions/FAT Viewer?action=UPDATE&amp;creator=factset&amp;DYN_ARGS=TRUE&amp;DOC_NAME=FAT:FQL_AUDITING_CLIENT_TEMPLATE.FAT&amp;display_string=Audit&amp;VAR:KEY=VEHCNYHAFI&amp;VAR:QUERY=RkVfVkFMVUFUSU9OKCdQQlBTJywnTUVBTicsJ0FOTlVBTCcsMjAxMiwwLCwsJycp&amp;WINDOW=FIRST_POPUP&amp;H","EIGHT=450&amp;WIDTH=450&amp;START_MAXIMIZED=FALSE&amp;VAR:CALENDAR=US&amp;VAR:SYMBOL=5497168&amp;VAR:INDEX=0"}</definedName>
    <definedName name="_53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3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32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53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3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3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3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3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3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3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4__FDSAUDITLINK__" localSheetId="12" hidden="1">{"fdsup://directions/FAT Viewer?action=UPDATE&amp;creator=factset&amp;DYN_ARGS=TRUE&amp;DOC_NAME=FAT:FQL_AUDITING_CLIENT_TEMPLATE.FAT&amp;display_string=Audit&amp;VAR:KEY=VEHCNYHAFI&amp;VAR:QUERY=RkVfVkFMVUFUSU9OKCdQQlBTJywnTUVBTicsJ0FOTlVBTCcsMjAxMiwwLCwsJycp&amp;WINDOW=FIRST_POPUP&amp;H","EIGHT=450&amp;WIDTH=450&amp;START_MAXIMIZED=FALSE&amp;VAR:CALENDAR=US&amp;VAR:SYMBOL=5497168&amp;VAR:INDEX=0"}</definedName>
    <definedName name="_54__FDSAUDITLINK__" localSheetId="5" hidden="1">{"fdsup://directions/FAT Viewer?action=UPDATE&amp;creator=factset&amp;DYN_ARGS=TRUE&amp;DOC_NAME=FAT:FQL_AUDITING_CLIENT_TEMPLATE.FAT&amp;display_string=Audit&amp;VAR:KEY=VEHCNYHAFI&amp;VAR:QUERY=RkVfVkFMVUFUSU9OKCdQQlBTJywnTUVBTicsJ0FOTlVBTCcsMjAxMiwwLCwsJycp&amp;WINDOW=FIRST_POPUP&amp;H","EIGHT=450&amp;WIDTH=450&amp;START_MAXIMIZED=FALSE&amp;VAR:CALENDAR=US&amp;VAR:SYMBOL=5497168&amp;VAR:INDEX=0"}</definedName>
    <definedName name="_54__FDSAUDITLINK__" localSheetId="3" hidden="1">{"fdsup://directions/FAT Viewer?action=UPDATE&amp;creator=factset&amp;DYN_ARGS=TRUE&amp;DOC_NAME=FAT:FQL_AUDITING_CLIENT_TEMPLATE.FAT&amp;display_string=Audit&amp;VAR:KEY=VEHCNYHAFI&amp;VAR:QUERY=RkVfVkFMVUFUSU9OKCdQQlBTJywnTUVBTicsJ0FOTlVBTCcsMjAxMiwwLCwsJycp&amp;WINDOW=FIRST_POPUP&amp;H","EIGHT=450&amp;WIDTH=450&amp;START_MAXIMIZED=FALSE&amp;VAR:CALENDAR=US&amp;VAR:SYMBOL=5497168&amp;VAR:INDEX=0"}</definedName>
    <definedName name="_54__FDSAUDITLINK__" hidden="1">{"fdsup://directions/FAT Viewer?action=UPDATE&amp;creator=factset&amp;DYN_ARGS=TRUE&amp;DOC_NAME=FAT:FQL_AUDITING_CLIENT_TEMPLATE.FAT&amp;display_string=Audit&amp;VAR:KEY=VEHCNYHAFI&amp;VAR:QUERY=RkVfVkFMVUFUSU9OKCdQQlBTJywnTUVBTicsJ0FOTlVBTCcsMjAxMiwwLCwsJycp&amp;WINDOW=FIRST_POPUP&amp;H","EIGHT=450&amp;WIDTH=450&amp;START_MAXIMIZED=FALSE&amp;VAR:CALENDAR=US&amp;VAR:SYMBOL=5497168&amp;VAR:INDEX=0"}</definedName>
    <definedName name="_54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4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4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4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4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4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4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4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4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49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55__FDSAUDITLINK__" localSheetId="12" hidden="1">{"fdsup://directions/FAT Viewer?action=UPDATE&amp;creator=factset&amp;DYN_ARGS=TRUE&amp;DOC_NAME=FAT:FQL_AUDITING_CLIENT_TEMPLATE.FAT&amp;display_string=Audit&amp;VAR:KEY=NWHWNMDOLS&amp;VAR:QUERY=RkVfVkFMVUFUSU9OKCdQQlBTJywnTUVBTicsJ0FOTlVBTCcsMjAxMSwwLCwsJycp&amp;WINDOW=FIRST_POPUP&amp;H","EIGHT=450&amp;WIDTH=450&amp;START_MAXIMIZED=FALSE&amp;VAR:CALENDAR=US&amp;VAR:SYMBOL=5497168&amp;VAR:INDEX=0"}</definedName>
    <definedName name="_55__FDSAUDITLINK__" localSheetId="5" hidden="1">{"fdsup://directions/FAT Viewer?action=UPDATE&amp;creator=factset&amp;DYN_ARGS=TRUE&amp;DOC_NAME=FAT:FQL_AUDITING_CLIENT_TEMPLATE.FAT&amp;display_string=Audit&amp;VAR:KEY=NWHWNMDOLS&amp;VAR:QUERY=RkVfVkFMVUFUSU9OKCdQQlBTJywnTUVBTicsJ0FOTlVBTCcsMjAxMSwwLCwsJycp&amp;WINDOW=FIRST_POPUP&amp;H","EIGHT=450&amp;WIDTH=450&amp;START_MAXIMIZED=FALSE&amp;VAR:CALENDAR=US&amp;VAR:SYMBOL=5497168&amp;VAR:INDEX=0"}</definedName>
    <definedName name="_55__FDSAUDITLINK__" localSheetId="3" hidden="1">{"fdsup://directions/FAT Viewer?action=UPDATE&amp;creator=factset&amp;DYN_ARGS=TRUE&amp;DOC_NAME=FAT:FQL_AUDITING_CLIENT_TEMPLATE.FAT&amp;display_string=Audit&amp;VAR:KEY=NWHWNMDOLS&amp;VAR:QUERY=RkVfVkFMVUFUSU9OKCdQQlBTJywnTUVBTicsJ0FOTlVBTCcsMjAxMSwwLCwsJycp&amp;WINDOW=FIRST_POPUP&amp;H","EIGHT=450&amp;WIDTH=450&amp;START_MAXIMIZED=FALSE&amp;VAR:CALENDAR=US&amp;VAR:SYMBOL=5497168&amp;VAR:INDEX=0"}</definedName>
    <definedName name="_55__FDSAUDITLINK__" hidden="1">{"fdsup://directions/FAT Viewer?action=UPDATE&amp;creator=factset&amp;DYN_ARGS=TRUE&amp;DOC_NAME=FAT:FQL_AUDITING_CLIENT_TEMPLATE.FAT&amp;display_string=Audit&amp;VAR:KEY=NWHWNMDOLS&amp;VAR:QUERY=RkVfVkFMVUFUSU9OKCdQQlBTJywnTUVBTicsJ0FOTlVBTCcsMjAxMSwwLCwsJycp&amp;WINDOW=FIRST_POPUP&amp;H","EIGHT=450&amp;WIDTH=450&amp;START_MAXIMIZED=FALSE&amp;VAR:CALENDAR=US&amp;VAR:SYMBOL=5497168&amp;VAR:INDEX=0"}</definedName>
    <definedName name="_55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5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5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5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5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5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5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5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5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5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6__FDSAUDITLINK__" localSheetId="12" hidden="1">{"fdsup://directions/FAT Viewer?action=UPDATE&amp;creator=factset&amp;DYN_ARGS=TRUE&amp;DOC_NAME=FAT:FQL_AUDITING_CLIENT_TEMPLATE.FAT&amp;display_string=Audit&amp;VAR:KEY=NWHWNMDOLS&amp;VAR:QUERY=RkVfVkFMVUFUSU9OKCdQQlBTJywnTUVBTicsJ0FOTlVBTCcsMjAxMSwwLCwsJycp&amp;WINDOW=FIRST_POPUP&amp;H","EIGHT=450&amp;WIDTH=450&amp;START_MAXIMIZED=FALSE&amp;VAR:CALENDAR=US&amp;VAR:SYMBOL=5497168&amp;VAR:INDEX=0"}</definedName>
    <definedName name="_56__FDSAUDITLINK__" localSheetId="5" hidden="1">{"fdsup://directions/FAT Viewer?action=UPDATE&amp;creator=factset&amp;DYN_ARGS=TRUE&amp;DOC_NAME=FAT:FQL_AUDITING_CLIENT_TEMPLATE.FAT&amp;display_string=Audit&amp;VAR:KEY=NWHWNMDOLS&amp;VAR:QUERY=RkVfVkFMVUFUSU9OKCdQQlBTJywnTUVBTicsJ0FOTlVBTCcsMjAxMSwwLCwsJycp&amp;WINDOW=FIRST_POPUP&amp;H","EIGHT=450&amp;WIDTH=450&amp;START_MAXIMIZED=FALSE&amp;VAR:CALENDAR=US&amp;VAR:SYMBOL=5497168&amp;VAR:INDEX=0"}</definedName>
    <definedName name="_56__FDSAUDITLINK__" localSheetId="3" hidden="1">{"fdsup://directions/FAT Viewer?action=UPDATE&amp;creator=factset&amp;DYN_ARGS=TRUE&amp;DOC_NAME=FAT:FQL_AUDITING_CLIENT_TEMPLATE.FAT&amp;display_string=Audit&amp;VAR:KEY=NWHWNMDOLS&amp;VAR:QUERY=RkVfVkFMVUFUSU9OKCdQQlBTJywnTUVBTicsJ0FOTlVBTCcsMjAxMSwwLCwsJycp&amp;WINDOW=FIRST_POPUP&amp;H","EIGHT=450&amp;WIDTH=450&amp;START_MAXIMIZED=FALSE&amp;VAR:CALENDAR=US&amp;VAR:SYMBOL=5497168&amp;VAR:INDEX=0"}</definedName>
    <definedName name="_56__FDSAUDITLINK__" hidden="1">{"fdsup://directions/FAT Viewer?action=UPDATE&amp;creator=factset&amp;DYN_ARGS=TRUE&amp;DOC_NAME=FAT:FQL_AUDITING_CLIENT_TEMPLATE.FAT&amp;display_string=Audit&amp;VAR:KEY=NWHWNMDOLS&amp;VAR:QUERY=RkVfVkFMVUFUSU9OKCdQQlBTJywnTUVBTicsJ0FOTlVBTCcsMjAxMSwwLCwsJycp&amp;WINDOW=FIRST_POPUP&amp;H","EIGHT=450&amp;WIDTH=450&amp;START_MAXIMIZED=FALSE&amp;VAR:CALENDAR=US&amp;VAR:SYMBOL=5497168&amp;VAR:INDEX=0"}</definedName>
    <definedName name="_56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6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6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6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6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6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66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56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6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6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7__FDSAUDITLINK__" localSheetId="12" hidden="1">{"fdsup://directions/FAT Viewer?action=UPDATE&amp;creator=factset&amp;DYN_ARGS=TRUE&amp;DOC_NAME=FAT:FQL_AUDITING_CLIENT_TEMPLATE.FAT&amp;display_string=Audit&amp;VAR:KEY=XCTIDENSVI&amp;VAR:QUERY=RkVfVkFMVUFUSU9OKCdQQlBTJywnTUVBTicsJ0FOTlVBTCcsMjAxMCwwLCwsJycp&amp;WINDOW=FIRST_POPUP&amp;H","EIGHT=450&amp;WIDTH=450&amp;START_MAXIMIZED=FALSE&amp;VAR:CALENDAR=US&amp;VAR:SYMBOL=5497168&amp;VAR:INDEX=0"}</definedName>
    <definedName name="_57__FDSAUDITLINK__" localSheetId="5" hidden="1">{"fdsup://directions/FAT Viewer?action=UPDATE&amp;creator=factset&amp;DYN_ARGS=TRUE&amp;DOC_NAME=FAT:FQL_AUDITING_CLIENT_TEMPLATE.FAT&amp;display_string=Audit&amp;VAR:KEY=XCTIDENSVI&amp;VAR:QUERY=RkVfVkFMVUFUSU9OKCdQQlBTJywnTUVBTicsJ0FOTlVBTCcsMjAxMCwwLCwsJycp&amp;WINDOW=FIRST_POPUP&amp;H","EIGHT=450&amp;WIDTH=450&amp;START_MAXIMIZED=FALSE&amp;VAR:CALENDAR=US&amp;VAR:SYMBOL=5497168&amp;VAR:INDEX=0"}</definedName>
    <definedName name="_57__FDSAUDITLINK__" localSheetId="3" hidden="1">{"fdsup://directions/FAT Viewer?action=UPDATE&amp;creator=factset&amp;DYN_ARGS=TRUE&amp;DOC_NAME=FAT:FQL_AUDITING_CLIENT_TEMPLATE.FAT&amp;display_string=Audit&amp;VAR:KEY=XCTIDENSVI&amp;VAR:QUERY=RkVfVkFMVUFUSU9OKCdQQlBTJywnTUVBTicsJ0FOTlVBTCcsMjAxMCwwLCwsJycp&amp;WINDOW=FIRST_POPUP&amp;H","EIGHT=450&amp;WIDTH=450&amp;START_MAXIMIZED=FALSE&amp;VAR:CALENDAR=US&amp;VAR:SYMBOL=5497168&amp;VAR:INDEX=0"}</definedName>
    <definedName name="_57__FDSAUDITLINK__" hidden="1">{"fdsup://directions/FAT Viewer?action=UPDATE&amp;creator=factset&amp;DYN_ARGS=TRUE&amp;DOC_NAME=FAT:FQL_AUDITING_CLIENT_TEMPLATE.FAT&amp;display_string=Audit&amp;VAR:KEY=XCTIDENSVI&amp;VAR:QUERY=RkVfVkFMVUFUSU9OKCdQQlBTJywnTUVBTicsJ0FOTlVBTCcsMjAxMCwwLCwsJycp&amp;WINDOW=FIRST_POPUP&amp;H","EIGHT=450&amp;WIDTH=450&amp;START_MAXIMIZED=FALSE&amp;VAR:CALENDAR=US&amp;VAR:SYMBOL=5497168&amp;VAR:INDEX=0"}</definedName>
    <definedName name="_57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7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7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7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7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7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7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7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7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7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8__FDSAUDITLINK__" localSheetId="12" hidden="1">{"fdsup://directions/FAT Viewer?action=UPDATE&amp;creator=factset&amp;DYN_ARGS=TRUE&amp;DOC_NAME=FAT:FQL_AUDITING_CLIENT_TEMPLATE.FAT&amp;display_string=Audit&amp;VAR:KEY=XCTIDENSVI&amp;VAR:QUERY=RkVfVkFMVUFUSU9OKCdQQlBTJywnTUVBTicsJ0FOTlVBTCcsMjAxMCwwLCwsJycp&amp;WINDOW=FIRST_POPUP&amp;H","EIGHT=450&amp;WIDTH=450&amp;START_MAXIMIZED=FALSE&amp;VAR:CALENDAR=US&amp;VAR:SYMBOL=5497168&amp;VAR:INDEX=0"}</definedName>
    <definedName name="_58__FDSAUDITLINK__" localSheetId="5" hidden="1">{"fdsup://directions/FAT Viewer?action=UPDATE&amp;creator=factset&amp;DYN_ARGS=TRUE&amp;DOC_NAME=FAT:FQL_AUDITING_CLIENT_TEMPLATE.FAT&amp;display_string=Audit&amp;VAR:KEY=XCTIDENSVI&amp;VAR:QUERY=RkVfVkFMVUFUSU9OKCdQQlBTJywnTUVBTicsJ0FOTlVBTCcsMjAxMCwwLCwsJycp&amp;WINDOW=FIRST_POPUP&amp;H","EIGHT=450&amp;WIDTH=450&amp;START_MAXIMIZED=FALSE&amp;VAR:CALENDAR=US&amp;VAR:SYMBOL=5497168&amp;VAR:INDEX=0"}</definedName>
    <definedName name="_58__FDSAUDITLINK__" localSheetId="3" hidden="1">{"fdsup://directions/FAT Viewer?action=UPDATE&amp;creator=factset&amp;DYN_ARGS=TRUE&amp;DOC_NAME=FAT:FQL_AUDITING_CLIENT_TEMPLATE.FAT&amp;display_string=Audit&amp;VAR:KEY=XCTIDENSVI&amp;VAR:QUERY=RkVfVkFMVUFUSU9OKCdQQlBTJywnTUVBTicsJ0FOTlVBTCcsMjAxMCwwLCwsJycp&amp;WINDOW=FIRST_POPUP&amp;H","EIGHT=450&amp;WIDTH=450&amp;START_MAXIMIZED=FALSE&amp;VAR:CALENDAR=US&amp;VAR:SYMBOL=5497168&amp;VAR:INDEX=0"}</definedName>
    <definedName name="_58__FDSAUDITLINK__" hidden="1">{"fdsup://directions/FAT Viewer?action=UPDATE&amp;creator=factset&amp;DYN_ARGS=TRUE&amp;DOC_NAME=FAT:FQL_AUDITING_CLIENT_TEMPLATE.FAT&amp;display_string=Audit&amp;VAR:KEY=XCTIDENSVI&amp;VAR:QUERY=RkVfVkFMVUFUSU9OKCdQQlBTJywnTUVBTicsJ0FOTlVBTCcsMjAxMCwwLCwsJycp&amp;WINDOW=FIRST_POPUP&amp;H","EIGHT=450&amp;WIDTH=450&amp;START_MAXIMIZED=FALSE&amp;VAR:CALENDAR=US&amp;VAR:SYMBOL=5497168&amp;VAR:INDEX=0"}</definedName>
    <definedName name="_58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8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8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83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58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8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8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8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8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8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9__FDSAUDITLINK__" localSheetId="12" hidden="1">{"fdsup://directions/FAT Viewer?action=UPDATE&amp;creator=factset&amp;DYN_ARGS=TRUE&amp;DOC_NAME=FAT:FQL_AUDITING_CLIENT_TEMPLATE.FAT&amp;display_string=Audit&amp;VAR:KEY=DODUZQZWFK&amp;VAR:QUERY=RkVfVkFMVUFUSU9OKCdQQlBTJywnTUVBTicsJ0FOTlVBTCcsMjAwOSwwLCwsJycp&amp;WINDOW=FIRST_POPUP&amp;H","EIGHT=450&amp;WIDTH=450&amp;START_MAXIMIZED=FALSE&amp;VAR:CALENDAR=US&amp;VAR:SYMBOL=5497168&amp;VAR:INDEX=0"}</definedName>
    <definedName name="_59__FDSAUDITLINK__" localSheetId="5" hidden="1">{"fdsup://directions/FAT Viewer?action=UPDATE&amp;creator=factset&amp;DYN_ARGS=TRUE&amp;DOC_NAME=FAT:FQL_AUDITING_CLIENT_TEMPLATE.FAT&amp;display_string=Audit&amp;VAR:KEY=DODUZQZWFK&amp;VAR:QUERY=RkVfVkFMVUFUSU9OKCdQQlBTJywnTUVBTicsJ0FOTlVBTCcsMjAwOSwwLCwsJycp&amp;WINDOW=FIRST_POPUP&amp;H","EIGHT=450&amp;WIDTH=450&amp;START_MAXIMIZED=FALSE&amp;VAR:CALENDAR=US&amp;VAR:SYMBOL=5497168&amp;VAR:INDEX=0"}</definedName>
    <definedName name="_59__FDSAUDITLINK__" localSheetId="3" hidden="1">{"fdsup://directions/FAT Viewer?action=UPDATE&amp;creator=factset&amp;DYN_ARGS=TRUE&amp;DOC_NAME=FAT:FQL_AUDITING_CLIENT_TEMPLATE.FAT&amp;display_string=Audit&amp;VAR:KEY=DODUZQZWFK&amp;VAR:QUERY=RkVfVkFMVUFUSU9OKCdQQlBTJywnTUVBTicsJ0FOTlVBTCcsMjAwOSwwLCwsJycp&amp;WINDOW=FIRST_POPUP&amp;H","EIGHT=450&amp;WIDTH=450&amp;START_MAXIMIZED=FALSE&amp;VAR:CALENDAR=US&amp;VAR:SYMBOL=5497168&amp;VAR:INDEX=0"}</definedName>
    <definedName name="_59__FDSAUDITLINK__" hidden="1">{"fdsup://directions/FAT Viewer?action=UPDATE&amp;creator=factset&amp;DYN_ARGS=TRUE&amp;DOC_NAME=FAT:FQL_AUDITING_CLIENT_TEMPLATE.FAT&amp;display_string=Audit&amp;VAR:KEY=DODUZQZWFK&amp;VAR:QUERY=RkVfVkFMVUFUSU9OKCdQQlBTJywnTUVBTicsJ0FOTlVBTCcsMjAwOSwwLCwsJycp&amp;WINDOW=FIRST_POPUP&amp;H","EIGHT=450&amp;WIDTH=450&amp;START_MAXIMIZED=FALSE&amp;VAR:CALENDAR=US&amp;VAR:SYMBOL=5497168&amp;VAR:INDEX=0"}</definedName>
    <definedName name="_59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9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9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9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9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9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9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9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9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9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__FDSAUDITLINK__" localSheetId="12" hidden="1">{"fdsup://directions/FAT Viewer?action=UPDATE&amp;creator=factset&amp;DYN_ARGS=TRUE&amp;DOC_NAME=FAT:FQL_AUDITING_CLIENT_TEMPLATE.FAT&amp;display_string=Audit&amp;VAR:KEY=LSZKFETWBY&amp;VAR:QUERY=RkVfVkFMVUFUSU9OKCdQQlBTJywnTUVBTicsJ0FOTlVBTCcsMjAxMSwwLCwsJycp&amp;WINDOW=FIRST_POPUP&amp;H","EIGHT=450&amp;WIDTH=450&amp;START_MAXIMIZED=FALSE&amp;VAR:CALENDAR=FIVEDAY&amp;VAR:SYMBOL=648963&amp;VAR:INDEX=0"}</definedName>
    <definedName name="_6__FDSAUDITLINK__" localSheetId="5" hidden="1">{"fdsup://directions/FAT Viewer?action=UPDATE&amp;creator=factset&amp;DYN_ARGS=TRUE&amp;DOC_NAME=FAT:FQL_AUDITING_CLIENT_TEMPLATE.FAT&amp;display_string=Audit&amp;VAR:KEY=LSZKFETWBY&amp;VAR:QUERY=RkVfVkFMVUFUSU9OKCdQQlBTJywnTUVBTicsJ0FOTlVBTCcsMjAxMSwwLCwsJycp&amp;WINDOW=FIRST_POPUP&amp;H","EIGHT=450&amp;WIDTH=450&amp;START_MAXIMIZED=FALSE&amp;VAR:CALENDAR=FIVEDAY&amp;VAR:SYMBOL=648963&amp;VAR:INDEX=0"}</definedName>
    <definedName name="_6__FDSAUDITLINK__" localSheetId="3" hidden="1">{"fdsup://directions/FAT Viewer?action=UPDATE&amp;creator=factset&amp;DYN_ARGS=TRUE&amp;DOC_NAME=FAT:FQL_AUDITING_CLIENT_TEMPLATE.FAT&amp;display_string=Audit&amp;VAR:KEY=LSZKFETWBY&amp;VAR:QUERY=RkVfVkFMVUFUSU9OKCdQQlBTJywnTUVBTicsJ0FOTlVBTCcsMjAxMSwwLCwsJycp&amp;WINDOW=FIRST_POPUP&amp;H","EIGHT=450&amp;WIDTH=450&amp;START_MAXIMIZED=FALSE&amp;VAR:CALENDAR=FIVEDAY&amp;VAR:SYMBOL=648963&amp;VAR:INDEX=0"}</definedName>
    <definedName name="_6__FDSAUDITLINK__" hidden="1">{"fdsup://directions/FAT Viewer?action=UPDATE&amp;creator=factset&amp;DYN_ARGS=TRUE&amp;DOC_NAME=FAT:FQL_AUDITING_CLIENT_TEMPLATE.FAT&amp;display_string=Audit&amp;VAR:KEY=LSZKFETWBY&amp;VAR:QUERY=RkVfVkFMVUFUSU9OKCdQQlBTJywnTUVBTicsJ0FOTlVBTCcsMjAxMSwwLCwsJycp&amp;WINDOW=FIRST_POPUP&amp;H","EIGHT=450&amp;WIDTH=450&amp;START_MAXIMIZED=FALSE&amp;VAR:CALENDAR=FIVEDAY&amp;VAR:SYMBOL=648963&amp;VAR:INDEX=0"}</definedName>
    <definedName name="_60__FDSAUDITLINK__" localSheetId="12" hidden="1">{"fdsup://directions/FAT Viewer?action=UPDATE&amp;creator=factset&amp;DYN_ARGS=TRUE&amp;DOC_NAME=FAT:FQL_AUDITING_CLIENT_TEMPLATE.FAT&amp;display_string=Audit&amp;VAR:KEY=DODUZQZWFK&amp;VAR:QUERY=RkVfVkFMVUFUSU9OKCdQQlBTJywnTUVBTicsJ0FOTlVBTCcsMjAwOSwwLCwsJycp&amp;WINDOW=FIRST_POPUP&amp;H","EIGHT=450&amp;WIDTH=450&amp;START_MAXIMIZED=FALSE&amp;VAR:CALENDAR=US&amp;VAR:SYMBOL=5497168&amp;VAR:INDEX=0"}</definedName>
    <definedName name="_60__FDSAUDITLINK__" localSheetId="5" hidden="1">{"fdsup://directions/FAT Viewer?action=UPDATE&amp;creator=factset&amp;DYN_ARGS=TRUE&amp;DOC_NAME=FAT:FQL_AUDITING_CLIENT_TEMPLATE.FAT&amp;display_string=Audit&amp;VAR:KEY=DODUZQZWFK&amp;VAR:QUERY=RkVfVkFMVUFUSU9OKCdQQlBTJywnTUVBTicsJ0FOTlVBTCcsMjAwOSwwLCwsJycp&amp;WINDOW=FIRST_POPUP&amp;H","EIGHT=450&amp;WIDTH=450&amp;START_MAXIMIZED=FALSE&amp;VAR:CALENDAR=US&amp;VAR:SYMBOL=5497168&amp;VAR:INDEX=0"}</definedName>
    <definedName name="_60__FDSAUDITLINK__" localSheetId="3" hidden="1">{"fdsup://directions/FAT Viewer?action=UPDATE&amp;creator=factset&amp;DYN_ARGS=TRUE&amp;DOC_NAME=FAT:FQL_AUDITING_CLIENT_TEMPLATE.FAT&amp;display_string=Audit&amp;VAR:KEY=DODUZQZWFK&amp;VAR:QUERY=RkVfVkFMVUFUSU9OKCdQQlBTJywnTUVBTicsJ0FOTlVBTCcsMjAwOSwwLCwsJycp&amp;WINDOW=FIRST_POPUP&amp;H","EIGHT=450&amp;WIDTH=450&amp;START_MAXIMIZED=FALSE&amp;VAR:CALENDAR=US&amp;VAR:SYMBOL=5497168&amp;VAR:INDEX=0"}</definedName>
    <definedName name="_60__FDSAUDITLINK__" hidden="1">{"fdsup://directions/FAT Viewer?action=UPDATE&amp;creator=factset&amp;DYN_ARGS=TRUE&amp;DOC_NAME=FAT:FQL_AUDITING_CLIENT_TEMPLATE.FAT&amp;display_string=Audit&amp;VAR:KEY=DODUZQZWFK&amp;VAR:QUERY=RkVfVkFMVUFUSU9OKCdQQlBTJywnTUVBTicsJ0FOTlVBTCcsMjAwOSwwLCwsJycp&amp;WINDOW=FIRST_POPUP&amp;H","EIGHT=450&amp;WIDTH=450&amp;START_MAXIMIZED=FALSE&amp;VAR:CALENDAR=US&amp;VAR:SYMBOL=5497168&amp;VAR:INDEX=0"}</definedName>
    <definedName name="_600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60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0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0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0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0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0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0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0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0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1__FDSAUDITLINK__" localSheetId="12"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61__FDSAUDITLINK__" localSheetId="5"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61__FDSAUDITLINK__" localSheetId="3"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61__FDSAUDITLINK__"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61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1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1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1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1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1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1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17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61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1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2__FDSAUDITLINK__" localSheetId="12"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62__FDSAUDITLINK__" localSheetId="5"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62__FDSAUDITLINK__" localSheetId="3"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62__FDSAUDITLINK__"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62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2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2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2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2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2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2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2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2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2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3__FDSAUDITLINK__" localSheetId="12"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63__FDSAUDITLINK__" localSheetId="5"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63__FDSAUDITLINK__" localSheetId="3"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63__FDSAUDITLINK__"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63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3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3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3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34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63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3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3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3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3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4__FDSAUDITLINK__" localSheetId="12"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64__FDSAUDITLINK__" localSheetId="5"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64__FDSAUDITLINK__" localSheetId="3"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64__FDSAUDITLINK__"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64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4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4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4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4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4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4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4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4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4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5__FDSAUDITLINK__" localSheetId="12"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65__FDSAUDITLINK__" localSheetId="5"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65__FDSAUDITLINK__" localSheetId="3"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65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65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51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65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5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5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5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5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5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5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5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6__FDSAUDITLINK__" localSheetId="12"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66__FDSAUDITLINK__" localSheetId="5"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66__FDSAUDITLINK__" localSheetId="3"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66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66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6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6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6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6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6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6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6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68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66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7__FDSAUDITLINK__" localSheetId="12"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67__FDSAUDITLINK__" localSheetId="5"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67__FDSAUDITLINK__" localSheetId="3"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67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67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7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7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7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7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7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7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7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7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7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8__FDSAUDITLINK__" localSheetId="12"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68__FDSAUDITLINK__" localSheetId="5"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68__FDSAUDITLINK__" localSheetId="3"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68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68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8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8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8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8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85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68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8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8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8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9__FDSAUDITLINK__" localSheetId="12"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69__FDSAUDITLINK__" localSheetId="5"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69__FDSAUDITLINK__" localSheetId="3"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69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69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9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9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9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9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9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9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9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9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9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__FDSAUDITLINK__" localSheetId="12" hidden="1">{"fdsup://directions/FAT Viewer?action=UPDATE&amp;creator=factset&amp;DYN_ARGS=TRUE&amp;DOC_NAME=FAT:FQL_AUDITING_CLIENT_TEMPLATE.FAT&amp;display_string=Audit&amp;VAR:KEY=LSZKFETWBY&amp;VAR:QUERY=RkVfVkFMVUFUSU9OKCdQQlBTJywnTUVBTicsJ0FOTlVBTCcsMjAxMSwwLCwsJycp&amp;WINDOW=FIRST_POPUP&amp;H","EIGHT=450&amp;WIDTH=450&amp;START_MAXIMIZED=FALSE&amp;VAR:CALENDAR=FIVEDAY&amp;VAR:SYMBOL=648963&amp;VAR:INDEX=0"}</definedName>
    <definedName name="_7__FDSAUDITLINK__" localSheetId="5" hidden="1">{"fdsup://directions/FAT Viewer?action=UPDATE&amp;creator=factset&amp;DYN_ARGS=TRUE&amp;DOC_NAME=FAT:FQL_AUDITING_CLIENT_TEMPLATE.FAT&amp;display_string=Audit&amp;VAR:KEY=LSZKFETWBY&amp;VAR:QUERY=RkVfVkFMVUFUSU9OKCdQQlBTJywnTUVBTicsJ0FOTlVBTCcsMjAxMSwwLCwsJycp&amp;WINDOW=FIRST_POPUP&amp;H","EIGHT=450&amp;WIDTH=450&amp;START_MAXIMIZED=FALSE&amp;VAR:CALENDAR=FIVEDAY&amp;VAR:SYMBOL=648963&amp;VAR:INDEX=0"}</definedName>
    <definedName name="_7__FDSAUDITLINK__" localSheetId="3" hidden="1">{"fdsup://directions/FAT Viewer?action=UPDATE&amp;creator=factset&amp;DYN_ARGS=TRUE&amp;DOC_NAME=FAT:FQL_AUDITING_CLIENT_TEMPLATE.FAT&amp;display_string=Audit&amp;VAR:KEY=LSZKFETWBY&amp;VAR:QUERY=RkVfVkFMVUFUSU9OKCdQQlBTJywnTUVBTicsJ0FOTlVBTCcsMjAxMSwwLCwsJycp&amp;WINDOW=FIRST_POPUP&amp;H","EIGHT=450&amp;WIDTH=450&amp;START_MAXIMIZED=FALSE&amp;VAR:CALENDAR=FIVEDAY&amp;VAR:SYMBOL=648963&amp;VAR:INDEX=0"}</definedName>
    <definedName name="_7__FDSAUDITLINK__" hidden="1">{"fdsup://directions/FAT Viewer?action=UPDATE&amp;creator=factset&amp;DYN_ARGS=TRUE&amp;DOC_NAME=FAT:FQL_AUDITING_CLIENT_TEMPLATE.FAT&amp;display_string=Audit&amp;VAR:KEY=LSZKFETWBY&amp;VAR:QUERY=RkVfVkFMVUFUSU9OKCdQQlBTJywnTUVBTicsJ0FOTlVBTCcsMjAxMSwwLCwsJycp&amp;WINDOW=FIRST_POPUP&amp;H","EIGHT=450&amp;WIDTH=450&amp;START_MAXIMIZED=FALSE&amp;VAR:CALENDAR=FIVEDAY&amp;VAR:SYMBOL=648963&amp;VAR:INDEX=0"}</definedName>
    <definedName name="_70__FDSAUDITLINK__" localSheetId="12"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70__FDSAUDITLINK__" localSheetId="5"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70__FDSAUDITLINK__" localSheetId="3"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70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70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0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02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70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0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0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0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0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0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0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1__FDSAUDITLINK__" localSheetId="12"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71__FDSAUDITLINK__" localSheetId="5"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71__FDSAUDITLINK__" localSheetId="3"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71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71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1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1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1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1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1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1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1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1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19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72__FDSAUDITLINK__" localSheetId="12"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72__FDSAUDITLINK__" localSheetId="5"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72__FDSAUDITLINK__" localSheetId="3"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72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72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2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2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2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2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2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2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2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2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2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3__FDSAUDITLINK__" localSheetId="12"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73__FDSAUDITLINK__" localSheetId="5"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73__FDSAUDITLINK__" localSheetId="3"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73__FDSAUDITLINK__"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73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3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3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3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3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3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36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73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3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3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4__FDSAUDITLINK__" localSheetId="12"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74__FDSAUDITLINK__" localSheetId="5"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74__FDSAUDITLINK__" localSheetId="3"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74__FDSAUDITLINK__"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74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4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4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4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4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4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4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4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4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4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5__FDSAUDITLINK__" localSheetId="12"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75__FDSAUDITLINK__" localSheetId="5"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75__FDSAUDITLINK__" localSheetId="3"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75__FDSAUDITLINK__"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75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5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5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53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75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5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5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5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5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5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6__FDSAUDITLINK__" localSheetId="12"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76__FDSAUDITLINK__" localSheetId="5"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76__FDSAUDITLINK__" localSheetId="3"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76__FDSAUDITLINK__"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76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6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6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6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6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6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6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6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6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6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7__FDSAUDITLINK__" localSheetId="12"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77__FDSAUDITLINK__" localSheetId="5"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77__FDSAUDITLINK__" localSheetId="3"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77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770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77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7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7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7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7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7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7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7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7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8__FDSAUDITLINK__" localSheetId="12"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78__FDSAUDITLINK__" localSheetId="5"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78__FDSAUDITLINK__" localSheetId="3"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78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78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8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8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8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8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8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8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87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78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8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9__FDSAUDITLINK__" localSheetId="12"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79__FDSAUDITLINK__" localSheetId="5"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79__FDSAUDITLINK__" localSheetId="3"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79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79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9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9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9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9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9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9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9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9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9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__FDSAUDITLINK__" localSheetId="12" hidden="1">{"fdsup://directions/FAT Viewer?action=UPDATE&amp;creator=factset&amp;DYN_ARGS=TRUE&amp;DOC_NAME=FAT:FQL_AUDITING_CLIENT_TEMPLATE.FAT&amp;display_string=Audit&amp;VAR:KEY=FALUTYBGPK&amp;VAR:QUERY=RkVfVkFMVUFUSU9OKCdQQlBTJywnTUVBTicsJ0FOTlVBTCcsMjAxMCwwLCwsJycp&amp;WINDOW=FIRST_POPUP&amp;H","EIGHT=450&amp;WIDTH=450&amp;START_MAXIMIZED=FALSE&amp;VAR:CALENDAR=FIVEDAY&amp;VAR:SYMBOL=648963&amp;VAR:INDEX=0"}</definedName>
    <definedName name="_8__FDSAUDITLINK__" localSheetId="5" hidden="1">{"fdsup://directions/FAT Viewer?action=UPDATE&amp;creator=factset&amp;DYN_ARGS=TRUE&amp;DOC_NAME=FAT:FQL_AUDITING_CLIENT_TEMPLATE.FAT&amp;display_string=Audit&amp;VAR:KEY=FALUTYBGPK&amp;VAR:QUERY=RkVfVkFMVUFUSU9OKCdQQlBTJywnTUVBTicsJ0FOTlVBTCcsMjAxMCwwLCwsJycp&amp;WINDOW=FIRST_POPUP&amp;H","EIGHT=450&amp;WIDTH=450&amp;START_MAXIMIZED=FALSE&amp;VAR:CALENDAR=FIVEDAY&amp;VAR:SYMBOL=648963&amp;VAR:INDEX=0"}</definedName>
    <definedName name="_8__FDSAUDITLINK__" localSheetId="3" hidden="1">{"fdsup://directions/FAT Viewer?action=UPDATE&amp;creator=factset&amp;DYN_ARGS=TRUE&amp;DOC_NAME=FAT:FQL_AUDITING_CLIENT_TEMPLATE.FAT&amp;display_string=Audit&amp;VAR:KEY=FALUTYBGPK&amp;VAR:QUERY=RkVfVkFMVUFUSU9OKCdQQlBTJywnTUVBTicsJ0FOTlVBTCcsMjAxMCwwLCwsJycp&amp;WINDOW=FIRST_POPUP&amp;H","EIGHT=450&amp;WIDTH=450&amp;START_MAXIMIZED=FALSE&amp;VAR:CALENDAR=FIVEDAY&amp;VAR:SYMBOL=648963&amp;VAR:INDEX=0"}</definedName>
    <definedName name="_8__FDSAUDITLINK__" hidden="1">{"fdsup://directions/FAT Viewer?action=UPDATE&amp;creator=factset&amp;DYN_ARGS=TRUE&amp;DOC_NAME=FAT:FQL_AUDITING_CLIENT_TEMPLATE.FAT&amp;display_string=Audit&amp;VAR:KEY=FALUTYBGPK&amp;VAR:QUERY=RkVfVkFMVUFUSU9OKCdQQlBTJywnTUVBTicsJ0FOTlVBTCcsMjAxMCwwLCwsJycp&amp;WINDOW=FIRST_POPUP&amp;H","EIGHT=450&amp;WIDTH=450&amp;START_MAXIMIZED=FALSE&amp;VAR:CALENDAR=FIVEDAY&amp;VAR:SYMBOL=648963&amp;VAR:INDEX=0"}</definedName>
    <definedName name="_80__FDSAUDITLINK__" localSheetId="12"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80__FDSAUDITLINK__" localSheetId="5"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80__FDSAUDITLINK__" localSheetId="3"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80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80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0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0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0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04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80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0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0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0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0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1__FDSAUDITLINK__" localSheetId="12"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81__FDSAUDITLINK__" localSheetId="5"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81__FDSAUDITLINK__" localSheetId="3"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81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81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1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1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1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1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1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1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1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1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1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2__FDSAUDITLINK__" localSheetId="12"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82__FDSAUDITLINK__" localSheetId="5"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82__FDSAUDITLINK__" localSheetId="3"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82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82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21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82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2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2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2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2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2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2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2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3__FDSAUDITLINK__" localSheetId="12"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83__FDSAUDITLINK__" localSheetId="5"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83__FDSAUDITLINK__" localSheetId="3"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83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83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3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3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3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3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3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3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3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38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83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4__FDSAUDITLINK__" localSheetId="12"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84__FDSAUDITLINK__" localSheetId="5"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84__FDSAUDITLINK__" localSheetId="3"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84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84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4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4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4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4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4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4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4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4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4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5__FDSAUDITLINK__" localSheetId="12"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85__FDSAUDITLINK__" localSheetId="5"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85__FDSAUDITLINK__" localSheetId="3"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85__FDSAUDITLINK__"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85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5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5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5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5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55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85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5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5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5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6__FDSAUDITLINK__" localSheetId="12"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86__FDSAUDITLINK__" localSheetId="5"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86__FDSAUDITLINK__" localSheetId="3"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86__FDSAUDITLINK__"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86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6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6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6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6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6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6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6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6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6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7__FDSAUDITLINK__" localSheetId="12"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87__FDSAUDITLINK__" localSheetId="5"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87__FDSAUDITLINK__" localSheetId="3"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87__FDSAUDITLINK__"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87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7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72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87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7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7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7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7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7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7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8__FDSAUDITLINK__" localSheetId="12"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88__FDSAUDITLINK__" localSheetId="5"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88__FDSAUDITLINK__" localSheetId="3"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88__FDSAUDITLINK__"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88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8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8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8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8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8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8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8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8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89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89__FDSAUDITLINK__" localSheetId="12"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89__FDSAUDITLINK__" localSheetId="5"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89__FDSAUDITLINK__" localSheetId="3"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89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89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9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9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9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9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9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9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9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9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9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__FDSAUDITLINK__" localSheetId="12" hidden="1">{"fdsup://directions/FAT Viewer?action=UPDATE&amp;creator=factset&amp;DYN_ARGS=TRUE&amp;DOC_NAME=FAT:FQL_AUDITING_CLIENT_TEMPLATE.FAT&amp;display_string=Audit&amp;VAR:KEY=FALUTYBGPK&amp;VAR:QUERY=RkVfVkFMVUFUSU9OKCdQQlBTJywnTUVBTicsJ0FOTlVBTCcsMjAxMCwwLCwsJycp&amp;WINDOW=FIRST_POPUP&amp;H","EIGHT=450&amp;WIDTH=450&amp;START_MAXIMIZED=FALSE&amp;VAR:CALENDAR=FIVEDAY&amp;VAR:SYMBOL=648963&amp;VAR:INDEX=0"}</definedName>
    <definedName name="_9__FDSAUDITLINK__" localSheetId="5" hidden="1">{"fdsup://directions/FAT Viewer?action=UPDATE&amp;creator=factset&amp;DYN_ARGS=TRUE&amp;DOC_NAME=FAT:FQL_AUDITING_CLIENT_TEMPLATE.FAT&amp;display_string=Audit&amp;VAR:KEY=FALUTYBGPK&amp;VAR:QUERY=RkVfVkFMVUFUSU9OKCdQQlBTJywnTUVBTicsJ0FOTlVBTCcsMjAxMCwwLCwsJycp&amp;WINDOW=FIRST_POPUP&amp;H","EIGHT=450&amp;WIDTH=450&amp;START_MAXIMIZED=FALSE&amp;VAR:CALENDAR=FIVEDAY&amp;VAR:SYMBOL=648963&amp;VAR:INDEX=0"}</definedName>
    <definedName name="_9__FDSAUDITLINK__" localSheetId="3" hidden="1">{"fdsup://directions/FAT Viewer?action=UPDATE&amp;creator=factset&amp;DYN_ARGS=TRUE&amp;DOC_NAME=FAT:FQL_AUDITING_CLIENT_TEMPLATE.FAT&amp;display_string=Audit&amp;VAR:KEY=FALUTYBGPK&amp;VAR:QUERY=RkVfVkFMVUFUSU9OKCdQQlBTJywnTUVBTicsJ0FOTlVBTCcsMjAxMCwwLCwsJycp&amp;WINDOW=FIRST_POPUP&amp;H","EIGHT=450&amp;WIDTH=450&amp;START_MAXIMIZED=FALSE&amp;VAR:CALENDAR=FIVEDAY&amp;VAR:SYMBOL=648963&amp;VAR:INDEX=0"}</definedName>
    <definedName name="_9__FDSAUDITLINK__" hidden="1">{"fdsup://directions/FAT Viewer?action=UPDATE&amp;creator=factset&amp;DYN_ARGS=TRUE&amp;DOC_NAME=FAT:FQL_AUDITING_CLIENT_TEMPLATE.FAT&amp;display_string=Audit&amp;VAR:KEY=FALUTYBGPK&amp;VAR:QUERY=RkVfVkFMVUFUSU9OKCdQQlBTJywnTUVBTicsJ0FOTlVBTCcsMjAxMCwwLCwsJycp&amp;WINDOW=FIRST_POPUP&amp;H","EIGHT=450&amp;WIDTH=450&amp;START_MAXIMIZED=FALSE&amp;VAR:CALENDAR=FIVEDAY&amp;VAR:SYMBOL=648963&amp;VAR:INDEX=0"}</definedName>
    <definedName name="_90__FDSAUDITLINK__" localSheetId="12"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90__FDSAUDITLINK__" localSheetId="5"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90__FDSAUDITLINK__" localSheetId="3"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90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90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0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0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0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0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0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06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90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0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0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1__FDSAUDITLINK__" localSheetId="12"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91__FDSAUDITLINK__" localSheetId="5"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91__FDSAUDITLINK__" localSheetId="3"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91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91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1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1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1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1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1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1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1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1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1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2__FDSAUDITLINK__" localSheetId="12"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92__FDSAUDITLINK__" localSheetId="5"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92__FDSAUDITLINK__" localSheetId="3"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92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92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2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2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23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92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2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2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2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2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2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3__FDSAUDITLINK__" localSheetId="12"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93__FDSAUDITLINK__" localSheetId="5"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93__FDSAUDITLINK__" localSheetId="3"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93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93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3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3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3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3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3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3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3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3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3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4__FDSAUDITLINK__" localSheetId="12"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94__FDSAUDITLINK__" localSheetId="5"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94__FDSAUDITLINK__" localSheetId="3"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94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940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94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4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4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4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4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4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4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4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4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5__FDSAUDITLINK__" localSheetId="12"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95__FDSAUDITLINK__" localSheetId="5"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95__FDSAUDITLINK__" localSheetId="3"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95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95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5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5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5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5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5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5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57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95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5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6__FDSAUDITLINK__" localSheetId="12"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96__FDSAUDITLINK__" localSheetId="5"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96__FDSAUDITLINK__" localSheetId="3"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96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96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6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6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6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6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6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6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6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6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6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7__FDSAUDITLINK__" localSheetId="12"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97__FDSAUDITLINK__" localSheetId="5"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97__FDSAUDITLINK__" localSheetId="3"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97__FDSAUDITLINK__"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97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7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7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7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74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97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7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7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7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7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8__FDSAUDITLINK__" localSheetId="12"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98__FDSAUDITLINK__" localSheetId="5"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98__FDSAUDITLINK__" localSheetId="3"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98__FDSAUDITLINK__"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98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8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8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8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8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8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8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8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8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8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9__FDSAUDITLINK__" localSheetId="12"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99__FDSAUDITLINK__" localSheetId="5"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99__FDSAUDITLINK__" localSheetId="3"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99__FDSAUDITLINK__"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99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91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99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9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9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9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9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9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9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9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abc1" localSheetId="12" hidden="1">{"cover a","2q",FALSE,"Cover";"Op Earn Mgd Q2",#N/A,FALSE,"Op-Earn (Mng)";"Op Earn Rpt Q2",#N/A,FALSE,"Op-Earn (Rpt)";"Loans",#N/A,FALSE,"Loans";"Credit Costs",#N/A,FALSE,"CCosts";"Net Interest Margin",#N/A,FALSE,"Margin";"Nonint Income",#N/A,FALSE,"NonII";"Nonint Exp",#N/A,FALSE,"NonIE";"Valuation",#N/A,FALSE,"Valuation"}</definedName>
    <definedName name="_abc1" localSheetId="5" hidden="1">{"cover a","2q",FALSE,"Cover";"Op Earn Mgd Q2",#N/A,FALSE,"Op-Earn (Mng)";"Op Earn Rpt Q2",#N/A,FALSE,"Op-Earn (Rpt)";"Loans",#N/A,FALSE,"Loans";"Credit Costs",#N/A,FALSE,"CCosts";"Net Interest Margin",#N/A,FALSE,"Margin";"Nonint Income",#N/A,FALSE,"NonII";"Nonint Exp",#N/A,FALSE,"NonIE";"Valuation",#N/A,FALSE,"Valuation"}</definedName>
    <definedName name="_abc1" localSheetId="3" hidden="1">{"cover a","2q",FALSE,"Cover";"Op Earn Mgd Q2",#N/A,FALSE,"Op-Earn (Mng)";"Op Earn Rpt Q2",#N/A,FALSE,"Op-Earn (Rpt)";"Loans",#N/A,FALSE,"Loans";"Credit Costs",#N/A,FALSE,"CCosts";"Net Interest Margin",#N/A,FALSE,"Margin";"Nonint Income",#N/A,FALSE,"NonII";"Nonint Exp",#N/A,FALSE,"NonIE";"Valuation",#N/A,FALSE,"Valuation"}</definedName>
    <definedName name="_abc1" hidden="1">{"cover a","2q",FALSE,"Cover";"Op Earn Mgd Q2",#N/A,FALSE,"Op-Earn (Mng)";"Op Earn Rpt Q2",#N/A,FALSE,"Op-Earn (Rpt)";"Loans",#N/A,FALSE,"Loans";"Credit Costs",#N/A,FALSE,"CCosts";"Net Interest Margin",#N/A,FALSE,"Margin";"Nonint Income",#N/A,FALSE,"NonII";"Nonint Exp",#N/A,FALSE,"NonIE";"Valuation",#N/A,FALSE,"Valuation"}</definedName>
    <definedName name="_bdm.00EF51842D0644EAAC2A48C9B910681E.edm" hidden="1">Financials!$1:$1048576</definedName>
    <definedName name="_Order1" hidden="1">0</definedName>
    <definedName name="_Order2" hidden="1">0</definedName>
    <definedName name="_Regression_Int" hidden="1">1</definedName>
    <definedName name="a" localSheetId="12" hidden="1">{"Pulp Production",#N/A,FALSE,"Pulp";"Pulp Earnings",#N/A,FALSE,"Pulp"}</definedName>
    <definedName name="a" localSheetId="5" hidden="1">{"Pulp Production",#N/A,FALSE,"Pulp";"Pulp Earnings",#N/A,FALSE,"Pulp"}</definedName>
    <definedName name="a" hidden="1">{"Pulp Production",#N/A,FALSE,"Pulp";"Pulp Earnings",#N/A,FALSE,"Pulp"}</definedName>
    <definedName name="abc" localSheetId="1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localSheetId="5"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localSheetId="3"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ctual" localSheetId="12" hidden="1">{#N/A,#N/A,TRUE,"Historicals";#N/A,#N/A,TRUE,"Charts";#N/A,#N/A,TRUE,"Forecasts"}</definedName>
    <definedName name="Actual" localSheetId="5" hidden="1">{#N/A,#N/A,TRUE,"Historicals";#N/A,#N/A,TRUE,"Charts";#N/A,#N/A,TRUE,"Forecasts"}</definedName>
    <definedName name="Actual" localSheetId="3" hidden="1">{#N/A,#N/A,TRUE,"Historicals";#N/A,#N/A,TRUE,"Charts";#N/A,#N/A,TRUE,"Forecasts"}</definedName>
    <definedName name="Actual" hidden="1">{#N/A,#N/A,TRUE,"Historicals";#N/A,#N/A,TRUE,"Charts";#N/A,#N/A,TRUE,"Forecasts"}</definedName>
    <definedName name="AdditionalInstructions">IndexInformation!$B$42</definedName>
    <definedName name="Address" localSheetId="0">ImportantDisclosures!$A$2:$A$2</definedName>
    <definedName name="AllTables">{5}</definedName>
    <definedName name="ANA" localSheetId="14">ModPubIndex!$A$7</definedName>
    <definedName name="anscount" hidden="1">1</definedName>
    <definedName name="AS2DocOpenMode" hidden="1">"AS2DocumentEdit"</definedName>
    <definedName name="Authors" localSheetId="0">ImportantDisclosures!$A$7</definedName>
    <definedName name="Authors" localSheetId="13">IndexInformation!$B$18</definedName>
    <definedName name="bcd" localSheetId="1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bcd" localSheetId="5"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bcd" localSheetId="3"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bcd"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BRO" localSheetId="14">ModPubIndex!$A$1</definedName>
    <definedName name="BSMethod">2</definedName>
    <definedName name="Buttons" localSheetId="2">CircularReferenceAlert!$B$13:$B$15</definedName>
    <definedName name="Company_Code" hidden="1">"USSLP"</definedName>
    <definedName name="CopyrightStamp">ImportantDisclosures!$A$27</definedName>
    <definedName name="COU" localSheetId="14">ModPubIndex!$A$5</definedName>
    <definedName name="CQEnd" localSheetId="13">IndexInformation!$B$31</definedName>
    <definedName name="cu102.ShareScalingFactor" hidden="1">1000000</definedName>
    <definedName name="cu103.EmployeeScalingFactor" hidden="1">1000</definedName>
    <definedName name="cu107.DPSSymbol" hidden="1">"US$"</definedName>
    <definedName name="cu107.EPSSymbol" hidden="1">"US$"</definedName>
    <definedName name="cu107.RepSymbol" hidden="1">"US$"</definedName>
    <definedName name="cu42.CurrFinancialMth" hidden="1">12</definedName>
    <definedName name="cu42.CurrFinancialYear" hidden="1">2005</definedName>
    <definedName name="cu61.ScalingFactor" hidden="1">"M"</definedName>
    <definedName name="cu71.ScalingFactor" hidden="1">1000000</definedName>
    <definedName name="Currency" localSheetId="13">IndexInformation!$B$24</definedName>
    <definedName name="CurrentStockPrice" localSheetId="13">IndexInformation!$B$23</definedName>
    <definedName name="CurrQtrEPS" localSheetId="13">IndexInformation!$B$29</definedName>
    <definedName name="CurrYearEPS" localSheetId="13">IndexInformation!$B$11</definedName>
    <definedName name="CurrYearTotalRevenue" localSheetId="13">IndexInformation!$B$10</definedName>
    <definedName name="CurrYearTotalRevenueActual" localSheetId="13">IndexInformation!$B$32</definedName>
    <definedName name="CUSClassVersion">0</definedName>
    <definedName name="CUSHeadFont" hidden="1">16777215</definedName>
    <definedName name="CUSHeading" hidden="1">8421504</definedName>
    <definedName name="CUSIP" localSheetId="13">IndexInformation!$B$20</definedName>
    <definedName name="CUSItemFont" hidden="1">9868950</definedName>
    <definedName name="CUSItemHeading" hidden="1">16777215</definedName>
    <definedName name="CUSSheetClass">"USIN"</definedName>
    <definedName name="CustomView" hidden="1">"optAllRows"</definedName>
    <definedName name="CYEnd" localSheetId="13">IndexInformation!$B$30</definedName>
    <definedName name="dasdasd" localSheetId="12" hidden="1">{"Bell",#N/A,TRUE,"Earnings Model";"Cessna",#N/A,TRUE,"Earnings Model"}</definedName>
    <definedName name="dasdasd" localSheetId="5" hidden="1">{"Bell",#N/A,TRUE,"Earnings Model";"Cessna",#N/A,TRUE,"Earnings Model"}</definedName>
    <definedName name="dasdasd" localSheetId="3" hidden="1">{"Bell",#N/A,TRUE,"Earnings Model";"Cessna",#N/A,TRUE,"Earnings Model"}</definedName>
    <definedName name="dasdasd" hidden="1">{"Bell",#N/A,TRUE,"Earnings Model";"Cessna",#N/A,TRUE,"Earnings Model"}</definedName>
    <definedName name="Date" localSheetId="0">ImportantDisclosures!$A$8</definedName>
    <definedName name="DB">"WIRENYPROD"</definedName>
    <definedName name="Deleted" localSheetId="13">IndexInformation!$B$27</definedName>
    <definedName name="Description" localSheetId="13">IndexInformation!$B$7</definedName>
    <definedName name="DEVELOPMENT">5</definedName>
    <definedName name="DfltCUSHeadFont" hidden="1">16777215</definedName>
    <definedName name="DfltCUSHeading" hidden="1">8421504</definedName>
    <definedName name="DfltCUSItemHeading" hidden="1">16777215</definedName>
    <definedName name="DfltFinalColumn" hidden="1">16777215</definedName>
    <definedName name="DfltFinalHeadFont" hidden="1">16777215</definedName>
    <definedName name="DfltFinalHeading" hidden="1">8421504</definedName>
    <definedName name="DfltInterimColumn" hidden="1">16777215</definedName>
    <definedName name="DfltInterimHeadFont" hidden="1">8388608</definedName>
    <definedName name="DfltInterimHeading" hidden="1">16777215</definedName>
    <definedName name="DfltQuarterlyColumn" hidden="1">16777215</definedName>
    <definedName name="DfltQuarterlyHeadFont" hidden="1">8388608</definedName>
    <definedName name="DfltQuarterlyHeading" hidden="1">16777215</definedName>
    <definedName name="DfltSectionHeadFont" hidden="1">0</definedName>
    <definedName name="DfltSectionHeading" hidden="1">12632256</definedName>
    <definedName name="Discipline" localSheetId="13">IndexInformation!$B$3</definedName>
    <definedName name="DISCIPLINE" localSheetId="14">ModPubIndex!$A$12</definedName>
    <definedName name="DisclosuresText">ImportantDisclosures!$A$22</definedName>
    <definedName name="Distribution" localSheetId="13">IndexInformation!$B$26</definedName>
    <definedName name="DistTable" localSheetId="0">ImportantDisclosures!#REF!</definedName>
    <definedName name="DistTablePreamble" localSheetId="0">ImportantDisclosures!#REF!</definedName>
    <definedName name="DOCDAT" localSheetId="14">ModPubIndex!$A$2</definedName>
    <definedName name="DOCTIME" localSheetId="14">ModPubIndex!$A$3</definedName>
    <definedName name="DocType" localSheetId="13">IndexInformation!$B$5</definedName>
    <definedName name="DPSCurr" hidden="1">IF([0]!cu107.DPSSymbol=[0]!cu107.EPSSymbol,"", ", " &amp; [0]!cu107.DPSSymbol)</definedName>
    <definedName name="DPSCurrency" hidden="1">IF([0]!cu107.DPSSymbol=[0]!cu107.EPSSymbol,"", ", " &amp; [0]!cu107.DPSSymbol)</definedName>
    <definedName name="EMAIL_ALERT" localSheetId="14">ModPubIndex!$A$10</definedName>
    <definedName name="EmailAlert" localSheetId="13">IndexInformation!$B$28</definedName>
    <definedName name="EmpScale" hidden="1">#N/A</definedName>
    <definedName name="ev.Calculation">-4135</definedName>
    <definedName name="ev.Initialized">FALSE</definedName>
    <definedName name="ｆ" hidden="1">"iQShowAnnual"</definedName>
    <definedName name="FinalColumn" hidden="1">16777215</definedName>
    <definedName name="FinalHeadFont" hidden="1">16777215</definedName>
    <definedName name="FinalHeading" hidden="1">8421504</definedName>
    <definedName name="FiveYearGrowthRate" localSheetId="13">IndexInformation!$B$16</definedName>
    <definedName name="FollowingYearEPS" localSheetId="13">IndexInformation!$B$15</definedName>
    <definedName name="FollowingYearTotalRevenue" localSheetId="13">IndexInformation!$B$14</definedName>
    <definedName name="FollowingYearTotalRevenueActual" localSheetId="13">IndexInformation!$B$34</definedName>
    <definedName name="forecast" localSheetId="12" hidden="1">{"cover a","1q",FALSE,"Cover";"Op Earn Mgd Q1",#N/A,FALSE,"Op-Earn (Mng)";"Op Earn Rpt Q1",#N/A,FALSE,"Op-Earn (Rpt)";"Loans",#N/A,FALSE,"Loans";"Credit Costs",#N/A,FALSE,"CCosts";"Net Interest Margin",#N/A,FALSE,"Margin";"Nonint Income",#N/A,FALSE,"NonII";"Nonint Exp",#N/A,FALSE,"NonIE";"Valuation",#N/A,FALSE,"Valuation"}</definedName>
    <definedName name="forecast" localSheetId="5" hidden="1">{"cover a","1q",FALSE,"Cover";"Op Earn Mgd Q1",#N/A,FALSE,"Op-Earn (Mng)";"Op Earn Rpt Q1",#N/A,FALSE,"Op-Earn (Rpt)";"Loans",#N/A,FALSE,"Loans";"Credit Costs",#N/A,FALSE,"CCosts";"Net Interest Margin",#N/A,FALSE,"Margin";"Nonint Income",#N/A,FALSE,"NonII";"Nonint Exp",#N/A,FALSE,"NonIE";"Valuation",#N/A,FALSE,"Valuation"}</definedName>
    <definedName name="forecast" localSheetId="3" hidden="1">{"cover a","1q",FALSE,"Cover";"Op Earn Mgd Q1",#N/A,FALSE,"Op-Earn (Mng)";"Op Earn Rpt Q1",#N/A,FALSE,"Op-Earn (Rpt)";"Loans",#N/A,FALSE,"Loans";"Credit Costs",#N/A,FALSE,"CCosts";"Net Interest Margin",#N/A,FALSE,"Margin";"Nonint Income",#N/A,FALSE,"NonII";"Nonint Exp",#N/A,FALSE,"NonIE";"Valuation",#N/A,FALSE,"Valuation"}</definedName>
    <definedName name="forecast" hidden="1">{"cover a","1q",FALSE,"Cover";"Op Earn Mgd Q1",#N/A,FALSE,"Op-Earn (Mng)";"Op Earn Rpt Q1",#N/A,FALSE,"Op-Earn (Rpt)";"Loans",#N/A,FALSE,"Loans";"Credit Costs",#N/A,FALSE,"CCosts";"Net Interest Margin",#N/A,FALSE,"Margin";"Nonint Income",#N/A,FALSE,"NonII";"Nonint Exp",#N/A,FALSE,"NonIE";"Valuation",#N/A,FALSE,"Valuation"}</definedName>
    <definedName name="forecast1" localSheetId="12" hidden="1">{"cover a","1q",FALSE,"Cover";"Op Earn Mgd Q1",#N/A,FALSE,"Op-Earn (Mng)";"Op Earn Rpt Q1",#N/A,FALSE,"Op-Earn (Rpt)";"Loans",#N/A,FALSE,"Loans";"Credit Costs",#N/A,FALSE,"CCosts";"Net Interest Margin",#N/A,FALSE,"Margin";"Nonint Income",#N/A,FALSE,"NonII";"Nonint Exp",#N/A,FALSE,"NonIE";"Valuation",#N/A,FALSE,"Valuation"}</definedName>
    <definedName name="forecast1" localSheetId="5" hidden="1">{"cover a","1q",FALSE,"Cover";"Op Earn Mgd Q1",#N/A,FALSE,"Op-Earn (Mng)";"Op Earn Rpt Q1",#N/A,FALSE,"Op-Earn (Rpt)";"Loans",#N/A,FALSE,"Loans";"Credit Costs",#N/A,FALSE,"CCosts";"Net Interest Margin",#N/A,FALSE,"Margin";"Nonint Income",#N/A,FALSE,"NonII";"Nonint Exp",#N/A,FALSE,"NonIE";"Valuation",#N/A,FALSE,"Valuation"}</definedName>
    <definedName name="forecast1" localSheetId="3" hidden="1">{"cover a","1q",FALSE,"Cover";"Op Earn Mgd Q1",#N/A,FALSE,"Op-Earn (Mng)";"Op Earn Rpt Q1",#N/A,FALSE,"Op-Earn (Rpt)";"Loans",#N/A,FALSE,"Loans";"Credit Costs",#N/A,FALSE,"CCosts";"Net Interest Margin",#N/A,FALSE,"Margin";"Nonint Income",#N/A,FALSE,"NonII";"Nonint Exp",#N/A,FALSE,"NonIE";"Valuation",#N/A,FALSE,"Valuation"}</definedName>
    <definedName name="forecast1" hidden="1">{"cover a","1q",FALSE,"Cover";"Op Earn Mgd Q1",#N/A,FALSE,"Op-Earn (Mng)";"Op Earn Rpt Q1",#N/A,FALSE,"Op-Earn (Rpt)";"Loans",#N/A,FALSE,"Loans";"Credit Costs",#N/A,FALSE,"CCosts";"Net Interest Margin",#N/A,FALSE,"Margin";"Nonint Income",#N/A,FALSE,"NonII";"Nonint Exp",#N/A,FALSE,"NonIE";"Valuation",#N/A,FALSE,"Valuation"}</definedName>
    <definedName name="FR_CODE_COPY_LINK">" "</definedName>
    <definedName name="FR_CODE_DOWNLOAD_START">" "</definedName>
    <definedName name="FR_CODE_STOCK_LINK">" "</definedName>
    <definedName name="FR_COM_ABBR">"SUN"</definedName>
    <definedName name="FR_COM_ABBR_LINK">" "</definedName>
    <definedName name="FR_COM_AGG">0</definedName>
    <definedName name="FR_COM_NAME_LINK">" "</definedName>
    <definedName name="FR_COU_ABBR">"usa"</definedName>
    <definedName name="FR_DATABOX_DOWNLOAD">"Y"</definedName>
    <definedName name="FR_DISP_HIDDEN">TRUE</definedName>
    <definedName name="FR_END_DATE">"'"</definedName>
    <definedName name="FR_LINKS_OVERRUN">TRUE</definedName>
    <definedName name="FR_LOG_END_DATE">"'"</definedName>
    <definedName name="FR_LOG_START_DATE">"'"</definedName>
    <definedName name="FR_RATIO_ABBR">"EXTEL_RATIO_BUNDLE"</definedName>
    <definedName name="FR_RATIO_COM_ABBR">"ZZUK.L"</definedName>
    <definedName name="FR_RATIO_COU_ABBR">"uk"</definedName>
    <definedName name="FR_RATIO_IGNORE_PROT_FLAG">TRUE</definedName>
    <definedName name="FR_RATIO_RECALC_FLAG">TRUE</definedName>
    <definedName name="FR_REPORT_TYPE">""</definedName>
    <definedName name="FR_RPT_AREA_LINK">" "</definedName>
    <definedName name="FR_RPT_FOOTER_LINK">" "</definedName>
    <definedName name="FR_RPT_HEADER_LINK">" "</definedName>
    <definedName name="FR_RPT_LINE_SPACING">1</definedName>
    <definedName name="FR_RPT_PAGE_BREAK">0</definedName>
    <definedName name="FR_SDS_KEY">6</definedName>
    <definedName name="FR_SHOW_LINK_MARKER">TRUE</definedName>
    <definedName name="FR_START_DATE">"'"</definedName>
    <definedName name="FR_SYBASE_SERVER">"PNYEQFRD01"</definedName>
    <definedName name="FR_TEMPLATE_KEY">"76018|1"</definedName>
    <definedName name="FR_USE_BILLIONS">FALSE</definedName>
    <definedName name="FR_USE_DIMFAC">TRUE</definedName>
    <definedName name="FR_USE_LOCAL_CCY">FALSE</definedName>
    <definedName name="FR_USE_PRICEFACTORING">FALSE</definedName>
    <definedName name="FR_USE_SCALE_FLAG">TRUE</definedName>
    <definedName name="FR_WORKBOOK">"G:\research\SHARED\GORDON\MODELS\PRIMARY\SII.xls"</definedName>
    <definedName name="Growth_ROIC" localSheetId="11">OFFSET([0]!XRange,10,0)</definedName>
    <definedName name="Growth_ROIC">OFFSET([0]!XRange,10,0)</definedName>
    <definedName name="HL" localSheetId="14">ModPubIndex!$A$8</definedName>
    <definedName name="hn.ExtDb">FALSE</definedName>
    <definedName name="hn.ModelType">"DEAL"</definedName>
    <definedName name="hn.ModelVersion">1</definedName>
    <definedName name="hn.NoUpload">0</definedName>
    <definedName name="HTML_CodePage" hidden="1">1252</definedName>
    <definedName name="HTML_Control" localSheetId="12" hidden="1">{"'Breakup 01 Euro'!$A$3:$I$30"}</definedName>
    <definedName name="HTML_Control" localSheetId="5" hidden="1">{"'Breakup 01 Euro'!$A$3:$I$30"}</definedName>
    <definedName name="HTML_Control" localSheetId="3" hidden="1">{"'Breakup 01 Euro'!$A$3:$I$30"}</definedName>
    <definedName name="HTML_Control" hidden="1">{"'Breakup 01 Euro'!$A$3:$I$30"}</definedName>
    <definedName name="HTML_Control1" hidden="1">{"'Sheet1'!$A$1:$J$121"}</definedName>
    <definedName name="HTML_Description" hidden="1">""</definedName>
    <definedName name="HTML_Email" hidden="1">""</definedName>
    <definedName name="HTML_Header" hidden="1">"Breakup 01 Euro"</definedName>
    <definedName name="HTML_LastUpdate" hidden="1">"27/02/2001"</definedName>
    <definedName name="HTML_LineAfter" hidden="1">FALSE</definedName>
    <definedName name="HTML_LineBefore" hidden="1">FALSE</definedName>
    <definedName name="HTML_Name" hidden="1">"jonasa"</definedName>
    <definedName name="HTML_OBDlg2" hidden="1">TRUE</definedName>
    <definedName name="HTML_OBDlg4" hidden="1">TRUE</definedName>
    <definedName name="HTML_OS" hidden="1">0</definedName>
    <definedName name="HTML_PathFile" hidden="1">"L:\AUTOS\XLDATA\Jonas\other\DCX_Sop.htm"</definedName>
    <definedName name="HTML_Title" hidden="1">"DAIC-INC"</definedName>
    <definedName name="i" localSheetId="12">{"Qtr Op Mgd Q3",#N/A,FALSE,"Qtr-Op (Mng)";"Qtr Op Rpt Q3",#N/A,FALSE,"Qtr-Op (Rpt)";"Operating Vs Reported",#N/A,FALSE,"Rpt-Op Inc"}</definedName>
    <definedName name="i" localSheetId="5">{"Qtr Op Mgd Q3",#N/A,FALSE,"Qtr-Op (Mng)";"Qtr Op Rpt Q3",#N/A,FALSE,"Qtr-Op (Rpt)";"Operating Vs Reported",#N/A,FALSE,"Rpt-Op Inc"}</definedName>
    <definedName name="i" localSheetId="3">{"Qtr Op Mgd Q3",#N/A,FALSE,"Qtr-Op (Mng)";"Qtr Op Rpt Q3",#N/A,FALSE,"Qtr-Op (Rpt)";"Operating Vs Reported",#N/A,FALSE,"Rpt-Op Inc"}</definedName>
    <definedName name="i">{"Qtr Op Mgd Q3",#N/A,FALSE,"Qtr-Op (Mng)";"Qtr Op Rpt Q3",#N/A,FALSE,"Qtr-Op (Rpt)";"Operating Vs Reported",#N/A,FALSE,"Rpt-Op Inc"}</definedName>
    <definedName name="IND" localSheetId="14">ModPubIndex!$A$9</definedName>
    <definedName name="Industry" localSheetId="0">ImportantDisclosures!$A$12</definedName>
    <definedName name="IndustryId">IndexInformation!$B$40</definedName>
    <definedName name="IndustryRating" localSheetId="0">ImportantDisclosures!$A$13</definedName>
    <definedName name="InterimColumn" hidden="1">16777215</definedName>
    <definedName name="InterimHeadFont" hidden="1">8388608</definedName>
    <definedName name="InterimHeading" hidden="1">16777215</definedName>
    <definedName name="InvestCapGrowth" localSheetId="11">OFFSET([0]!XRange2,4,0)</definedName>
    <definedName name="InvestCapGrowth">OFFSET([0]!XRange2,4,0)</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DUSTRY_REC" hidden="1">"c4455"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CONVERSION" hidden="1">"c117"</definedName>
    <definedName name="IQ_CASH_DUE_BANKS" hidden="1">"c1351"</definedName>
    <definedName name="IQ_CASH_EQUIV" hidden="1">"c118"</definedName>
    <definedName name="IQ_CASH_FINAN" hidden="1">"c119"</definedName>
    <definedName name="IQ_CASH_FLOW_ACT_OR_EST" hidden="1">"c4154"</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ACT_OR_EST" hidden="1">"c2217"</definedName>
    <definedName name="IQ_CFPS_EST" hidden="1">"c1667"</definedName>
    <definedName name="IQ_CFPS_HIGH_EST" hidden="1">"c1669"</definedName>
    <definedName name="IQ_CFPS_LOW_EST" hidden="1">"c1670"</definedName>
    <definedName name="IQ_CFPS_MEDIAN_EST" hidden="1">"c1668"</definedName>
    <definedName name="IQ_CFPS_NUM_EST" hidden="1">"c1671"</definedName>
    <definedName name="IQ_CFPS_STDDEV_EST" hidden="1">"c1672"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OSITS_INTEREST_SECURITIES" hidden="1">"c5509"</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PS_ACT_OR_EST" hidden="1">"c2218"</definedName>
    <definedName name="IQ_DPS_EST" hidden="1">"c1674"</definedName>
    <definedName name="IQ_DPS_HIGH_EST" hidden="1">"c1676"</definedName>
    <definedName name="IQ_DPS_LOW_EST" hidden="1">"c1677"</definedName>
    <definedName name="IQ_DPS_MEDIAN_EST" hidden="1">"c1675"</definedName>
    <definedName name="IQ_DPS_NUM_EST" hidden="1">"c1678"</definedName>
    <definedName name="IQ_DPS_STDDEV_EST" hidden="1">"c1679"</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ACT_OR_EST" hidden="1">"c2219"</definedName>
    <definedName name="IQ_EBIT_EQ_INC" hidden="1">"c3498"</definedName>
    <definedName name="IQ_EBIT_EQ_INC_EXCL_SBC" hidden="1">"c3502"</definedName>
    <definedName name="IQ_EBIT_EST" hidden="1">"c1681"</definedName>
    <definedName name="IQ_EBIT_EXCL_SBC" hidden="1">"c3082"</definedName>
    <definedName name="IQ_EBIT_GW_ACT_OR_EST" hidden="1">"c4306"</definedName>
    <definedName name="IQ_EBIT_HIGH_EST" hidden="1">"c1683"</definedName>
    <definedName name="IQ_EBIT_INT" hidden="1">"c360"</definedName>
    <definedName name="IQ_EBIT_LOW_EST" hidden="1">"c1684"</definedName>
    <definedName name="IQ_EBIT_MARGIN" hidden="1">"c359"</definedName>
    <definedName name="IQ_EBIT_MEDIAN_EST" hidden="1">"c1682"</definedName>
    <definedName name="IQ_EBIT_NUM_EST" hidden="1">"c1685"</definedName>
    <definedName name="IQ_EBIT_OVER_IE" hidden="1">"c1369"</definedName>
    <definedName name="IQ_EBIT_SBC_ACT_OR_EST" hidden="1">"c4316"</definedName>
    <definedName name="IQ_EBIT_SBC_GW_ACT_OR_EST" hidden="1">"c4320"</definedName>
    <definedName name="IQ_EBIT_STDDEV_EST" hidden="1">"c1686"</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ACT_OR_EST" hidden="1">"c2215"</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 hidden="1">"c1663"</definedName>
    <definedName name="IQ_EBITDA_MEDIAN_EST_REUT" hidden="1">"c3641"</definedName>
    <definedName name="IQ_EBITDA_NUM_EST" hidden="1">"c374"</definedName>
    <definedName name="IQ_EBITDA_NUM_EST_REUT" hidden="1">"c3644"</definedName>
    <definedName name="IQ_EBITDA_OVER_TOTAL_IE" hidden="1">"c1371"</definedName>
    <definedName name="IQ_EBITDA_SBC_ACT_OR_EST" hidden="1">"c4337"</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SBC_ACT_OR_EST" hidden="1">"c4350"</definedName>
    <definedName name="IQ_EBT_SBC_GW_ACT_OR_EST" hidden="1">"c4354"</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 hidden="1">"IQ_EPS"</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ACT_OR_EST" hidden="1">"c2213"</definedName>
    <definedName name="IQ_EPS_EST" hidden="1">"c399"</definedName>
    <definedName name="IQ_EPS_EST_REUT" hidden="1">"c5453"</definedName>
    <definedName name="IQ_EPS_GW_ACT_OR_EST" hidden="1">"c2223"</definedName>
    <definedName name="IQ_EPS_GW_EST" hidden="1">"c1737"</definedName>
    <definedName name="IQ_EPS_GW_HIGH_EST" hidden="1">"c1739"</definedName>
    <definedName name="IQ_EPS_GW_LOW_EST" hidden="1">"c1740"</definedName>
    <definedName name="IQ_EPS_GW_MEDIAN_EST" hidden="1">"c1738"</definedName>
    <definedName name="IQ_EPS_GW_NUM_EST" hidden="1">"c1741"</definedName>
    <definedName name="IQ_EPS_GW_STDDEV_EST" hidden="1">"c1742"</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RM" hidden="1">"c1902"</definedName>
    <definedName name="IQ_EPS_NORM_EST" hidden="1">"c2226"</definedName>
    <definedName name="IQ_EPS_NORM_HIGH_EST" hidden="1">"c2228"</definedName>
    <definedName name="IQ_EPS_NORM_LOW_EST" hidden="1">"c2229"</definedName>
    <definedName name="IQ_EPS_NORM_MEDIAN_EST" hidden="1">"c2227"</definedName>
    <definedName name="IQ_EPS_NORM_NUM_EST" hidden="1">"c2230"</definedName>
    <definedName name="IQ_EPS_NORM_STDDEV_EST" hidden="1">"c2231"</definedName>
    <definedName name="IQ_EPS_NUM_EST" hidden="1">"c402"</definedName>
    <definedName name="IQ_EPS_NUM_EST_REUT" hidden="1">"c5451"</definedName>
    <definedName name="IQ_EPS_REPORT_ACT_OR_EST" hidden="1">"c2224"</definedName>
    <definedName name="IQ_EPS_REPORTED_EST" hidden="1">"c1744"</definedName>
    <definedName name="IQ_EPS_REPORTED_HIGH_EST" hidden="1">"c1746"</definedName>
    <definedName name="IQ_EPS_REPORTED_LOW_EST" hidden="1">"c1747"</definedName>
    <definedName name="IQ_EPS_REPORTED_MEDIAN_EST" hidden="1">"c1745"</definedName>
    <definedName name="IQ_EPS_REPORTED_NUM_EST" hidden="1">"c1748"</definedName>
    <definedName name="IQ_EPS_REPORTED_STDDEV_EST" hidden="1">"c1749"</definedName>
    <definedName name="IQ_EPS_SBC_ACT_OR_EST" hidden="1">"c4376"</definedName>
    <definedName name="IQ_EPS_SBC_GW_ACT_OR_EST" hidden="1">"c4380"</definedName>
    <definedName name="IQ_EPS_STDDEV_EST" hidden="1">"c403"</definedName>
    <definedName name="IQ_EPS_STDDEV_EST_REUT" hidden="1">"c5452"</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CFPS" hidden="1">"c1673"</definedName>
    <definedName name="IQ_EST_ACT_DPS" hidden="1">"c1680"</definedName>
    <definedName name="IQ_EST_ACT_EBIT" hidden="1">"c1687"</definedName>
    <definedName name="IQ_EST_ACT_EBITDA" hidden="1">"c1664"</definedName>
    <definedName name="IQ_EST_ACT_EPS" hidden="1">"c1648"</definedName>
    <definedName name="IQ_EST_ACT_EPS_GW" hidden="1">"c1743"</definedName>
    <definedName name="IQ_EST_ACT_EPS_NORM" hidden="1">"c2232"</definedName>
    <definedName name="IQ_EST_ACT_EPS_REPORTED" hidden="1">"c1750"</definedName>
    <definedName name="IQ_EST_ACT_FFO" hidden="1">"c1666"</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CURRENCY_REUT" hidden="1">"c5437"</definedName>
    <definedName name="IQ_EST_DATE" hidden="1">"c1634"</definedName>
    <definedName name="IQ_EST_DATE_REUT" hidden="1">"c5438"</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SURPRISE_PERCENT" hidden="1">"c1876"</definedName>
    <definedName name="IQ_EST_EBITDA_DIFF" hidden="1">"c1867"</definedName>
    <definedName name="IQ_EST_EBITDA_GROWTH_1YR" hidden="1">"c1766"</definedName>
    <definedName name="IQ_EST_EBITDA_GROWTH_2YR" hidden="1">"c1767"</definedName>
    <definedName name="IQ_EST_EBITDA_GROWTH_Q_1YR" hidden="1">"c1768"</definedName>
    <definedName name="IQ_EST_EBITDA_SEQ_GROWTH_Q" hidden="1">"c1769"</definedName>
    <definedName name="IQ_EST_EBITDA_SURPRISE_PERCENT" hidden="1">"c1868"</definedName>
    <definedName name="IQ_EST_EPS_DIFF" hidden="1">"c1864"</definedName>
    <definedName name="IQ_EST_EPS_GROWTH_1YR" hidden="1">"c1636"</definedName>
    <definedName name="IQ_EST_EPS_GROWTH_1YR_REUT" hidden="1">"c3646"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REUT" hidden="1">"c3633"</definedName>
    <definedName name="IQ_EST_EPS_GROWTH_5YR_STDDEV" hidden="1">"c1660"</definedName>
    <definedName name="IQ_EST_EPS_GROWTH_Q_1YR" hidden="1">"c1641"</definedName>
    <definedName name="IQ_EST_EPS_GROWTH_Q_1YR_REUT" hidden="1">"c5410"</definedName>
    <definedName name="IQ_EST_EPS_GW_DIFF" hidden="1">"c1891"</definedName>
    <definedName name="IQ_EST_EPS_GW_SURPRISE_PERCENT" hidden="1">"c1892"</definedName>
    <definedName name="IQ_EST_EPS_NORM_DIFF" hidden="1">"c2247"</definedName>
    <definedName name="IQ_EST_EPS_NORM_SURPRISE_PERCENT" hidden="1">"c2248"</definedName>
    <definedName name="IQ_EST_EPS_REPORT_DIFF" hidden="1">"c1893"</definedName>
    <definedName name="IQ_EST_EPS_REPORT_SURPRISE_PERCENT" hidden="1">"c1894"</definedName>
    <definedName name="IQ_EST_EPS_SEQ_GROWTH_Q" hidden="1">"c1764"</definedName>
    <definedName name="IQ_EST_EPS_SURPRISE">"c1635"</definedName>
    <definedName name="IQ_EST_EPS_SURPRISE_PERCENT" hidden="1">"c1635"</definedName>
    <definedName name="IQ_EST_FFO_DIFF" hidden="1">"c1869"</definedName>
    <definedName name="IQ_EST_FFO_GROWTH_1YR" hidden="1">"c1770"</definedName>
    <definedName name="IQ_EST_FFO_GROWTH_2YR" hidden="1">"c1771"</definedName>
    <definedName name="IQ_EST_FFO_GROWTH_Q_1YR" hidden="1">"c1772"</definedName>
    <definedName name="IQ_EST_FFO_SEQ_GROWTH_Q" hidden="1">"c1773"</definedName>
    <definedName name="IQ_EST_FFO_SURPRISE_PERCENT" hidden="1">"c1870"</definedName>
    <definedName name="IQ_EST_NAV_DIFF" hidden="1">"c1895"</definedName>
    <definedName name="IQ_EST_NAV_SURPRISE_PERCENT" hidden="1">"c1896"</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UM_BUY" hidden="1">"c1759"</definedName>
    <definedName name="IQ_EST_NUM_HOLD" hidden="1">"c1761"</definedName>
    <definedName name="IQ_EST_NUM_NO_OPINION" hidden="1">"c1758"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V_DIFF" hidden="1">"c1865"</definedName>
    <definedName name="IQ_EST_REV_GROWTH_1YR" hidden="1">"c1638"</definedName>
    <definedName name="IQ_EST_REV_GROWTH_2YR" hidden="1">"c1639"</definedName>
    <definedName name="IQ_EST_REV_GROWTH_Q_1YR" hidden="1">"c1640"</definedName>
    <definedName name="IQ_EST_REV_SEQ_GROWTH_Q" hidden="1">"c1765"</definedName>
    <definedName name="IQ_EST_REV_SURPRISE_PERCENT" hidden="1">"c1866"</definedName>
    <definedName name="IQ_EST_VENDOR" hidden="1">"c5564"</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ENSE_CODE_">5502997</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HIGH_EST" hidden="1">"c419"</definedName>
    <definedName name="IQ_FFO_LOW_EST" hidden="1">"c420"</definedName>
    <definedName name="IQ_FFO_MEDIAN_EST" hidden="1">"c1665"</definedName>
    <definedName name="IQ_FFO_NUM_EST" hidden="1">"c421"</definedName>
    <definedName name="IQ_FFO_PAYOUT_RATIO" hidden="1">"c3492"</definedName>
    <definedName name="IQ_FFO_SHARE_ACT_OR_EST" hidden="1">"c4446"</definedName>
    <definedName name="IQ_FFO_STDDEV_EST" hidden="1">"c422"</definedName>
    <definedName name="IQ_FH" hidden="1">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_DIV_ST_DEBT_TOTAL" hidden="1">"c5527"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Y" hidden="1">1000</definedName>
    <definedName name="IQ_FY_DATE" hidden="1">"IQ_FY_DATE"</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_TARGET_PRICE_REUT" hidden="1">"c5317"</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_SECURITY_SUPPL" hidden="1">"c5511"</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"100"</definedName>
    <definedName name="IQ_LATESTQ" hidden="1">500</definedName>
    <definedName name="IQ_LATESTQFR" hidden="1">"50"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"c1437"</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MTD" hidden="1">800000</definedName>
    <definedName name="IQ_NAMES_REVISION_DATE_" hidden="1">41392.4575</definedName>
    <definedName name="IQ_NAV_ACT_OR_EST" hidden="1">"c2225"</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TDDEV_EST" hidden="1">"c1756"</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CT_OR_EST" hidden="1">"c2222"</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LOW_EST" hidden="1">"c1719"</definedName>
    <definedName name="IQ_NI_MARGIN" hidden="1">"c794"</definedName>
    <definedName name="IQ_NI_MEDIAN_EST" hidden="1">"c1717"</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ACT_OR_EST" hidden="1">"c2220"</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IT" hidden="1">"c853"</definedName>
    <definedName name="IQ_OPER_INC_STDDEV_EST" hidden="1">"c1693"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MORT" hidden="1">"c5563"</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 hidden="1">"c1863"</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8MONTHS" hidden="1">"c1853"</definedName>
    <definedName name="IQ_PERCENT_CHANGE_EST_5YR_GROWTH_RATE_3MONTHS" hidden="1">"c1849"</definedName>
    <definedName name="IQ_PERCENT_CHANGE_EST_5YR_GROWTH_RATE_6MONTHS" hidden="1">"c1850"</definedName>
    <definedName name="IQ_PERCENT_CHANGE_EST_5YR_GROWTH_RATE_9MONTHS" hidden="1">"c1851"</definedName>
    <definedName name="IQ_PERCENT_CHANGE_EST_5YR_GROWTH_RATE_DAY" hidden="1">"c1846"</definedName>
    <definedName name="IQ_PERCENT_CHANGE_EST_5YR_GROWTH_RATE_MONTH" hidden="1">"c1848"</definedName>
    <definedName name="IQ_PERCENT_CHANGE_EST_5YR_GROWTH_RATE_WEEK" hidden="1">"c1847"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8MONTHS" hidden="1">"c1805"</definedName>
    <definedName name="IQ_PERCENT_CHANGE_EST_EBITDA_3MONTHS" hidden="1">"c1801"</definedName>
    <definedName name="IQ_PERCENT_CHANGE_EST_EBITDA_6MONTHS" hidden="1">"c1802"</definedName>
    <definedName name="IQ_PERCENT_CHANGE_EST_EBITDA_9MONTHS" hidden="1">"c1803"</definedName>
    <definedName name="IQ_PERCENT_CHANGE_EST_EBITDA_DAY" hidden="1">"c1798"</definedName>
    <definedName name="IQ_PERCENT_CHANGE_EST_EBITDA_MONTH" hidden="1">"c1800"</definedName>
    <definedName name="IQ_PERCENT_CHANGE_EST_EBITDA_WEEK" hidden="1">"c1799"</definedName>
    <definedName name="IQ_PERCENT_CHANGE_EST_EPS_12MONTHS" hidden="1">"c1788"</definedName>
    <definedName name="IQ_PERCENT_CHANGE_EST_EPS_18MONTHS" hidden="1">"c1789"</definedName>
    <definedName name="IQ_PERCENT_CHANGE_EST_EPS_3MONTHS" hidden="1">"c1785"</definedName>
    <definedName name="IQ_PERCENT_CHANGE_EST_EPS_6MONTHS" hidden="1">"c1786"</definedName>
    <definedName name="IQ_PERCENT_CHANGE_EST_EPS_9MONTHS" hidden="1">"c1787"</definedName>
    <definedName name="IQ_PERCENT_CHANGE_EST_EPS_DAY" hidden="1">"c1782"</definedName>
    <definedName name="IQ_PERCENT_CHANGE_EST_EPS_MONTH" hidden="1">"c1784"</definedName>
    <definedName name="IQ_PERCENT_CHANGE_EST_EPS_WEEK" hidden="1">"c1783"</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8MONTHS" hidden="1">"c1845"</definedName>
    <definedName name="IQ_PERCENT_CHANGE_EST_PRICE_TARGET_3MONTHS" hidden="1">"c1841"</definedName>
    <definedName name="IQ_PERCENT_CHANGE_EST_PRICE_TARGET_6MONTHS" hidden="1">"c1842"</definedName>
    <definedName name="IQ_PERCENT_CHANGE_EST_PRICE_TARGET_9MONTHS" hidden="1">"c1843"</definedName>
    <definedName name="IQ_PERCENT_CHANGE_EST_PRICE_TARGET_DAY" hidden="1">"c1838"</definedName>
    <definedName name="IQ_PERCENT_CHANGE_EST_PRICE_TARGET_MONTH" hidden="1">"c1840"</definedName>
    <definedName name="IQ_PERCENT_CHANGE_EST_PRICE_TARGET_WEEK" hidden="1">"c1839"</definedName>
    <definedName name="IQ_PERCENT_CHANGE_EST_RECO_12MONTHS" hidden="1">"c1836"</definedName>
    <definedName name="IQ_PERCENT_CHANGE_EST_RECO_18MONTHS" hidden="1">"c1837"</definedName>
    <definedName name="IQ_PERCENT_CHANGE_EST_RECO_3MONTHS" hidden="1">"c1833"</definedName>
    <definedName name="IQ_PERCENT_CHANGE_EST_RECO_6MONTHS" hidden="1">"c1834"</definedName>
    <definedName name="IQ_PERCENT_CHANGE_EST_RECO_9MONTHS" hidden="1">"c1835"</definedName>
    <definedName name="IQ_PERCENT_CHANGE_EST_RECO_DAY" hidden="1">"c1830"</definedName>
    <definedName name="IQ_PERCENT_CHANGE_EST_RECO_MONTH" hidden="1">"c1832"</definedName>
    <definedName name="IQ_PERCENT_CHANGE_EST_RECO_WEEK" hidden="1">"c1831"</definedName>
    <definedName name="IQ_PERCENT_CHANGE_EST_REV_12MONTHS" hidden="1">"c1796"</definedName>
    <definedName name="IQ_PERCENT_CHANGE_EST_REV_18MONTHS" hidden="1">"c1797"</definedName>
    <definedName name="IQ_PERCENT_CHANGE_EST_REV_3MONTHS" hidden="1">"c1793"</definedName>
    <definedName name="IQ_PERCENT_CHANGE_EST_REV_6MONTHS" hidden="1">"c1794"</definedName>
    <definedName name="IQ_PERCENT_CHANGE_EST_REV_9MONTHS" hidden="1">"c1795"</definedName>
    <definedName name="IQ_PERCENT_CHANGE_EST_REV_DAY" hidden="1">"c1790"</definedName>
    <definedName name="IQ_PERCENT_CHANGE_EST_REV_MONTH" hidden="1">"c1792"</definedName>
    <definedName name="IQ_PERCENT_CHANGE_EST_REV_WEEK" hidden="1">"c1791"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RE_OPEN_COST" hidden="1">"c1040"</definedName>
    <definedName name="IQ_PRE_TAX_ACT_OR_EST" hidden="1">"c2221"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ICE_CFPS_FWD" hidden="1">"c2237"</definedName>
    <definedName name="IQ_PRICE_OVER_BVPS" hidden="1">"c1412"</definedName>
    <definedName name="IQ_PRICE_OVER_LTM_EPS" hidden="1">"c1413"</definedName>
    <definedName name="IQ_PRICE_TARGET" hidden="1">"c82"</definedName>
    <definedName name="IQ_PRICE_TARGET_REUT" hidden="1">"c3631"</definedName>
    <definedName name="IQ_PRICEDATE" hidden="1">"c1069"</definedName>
    <definedName name="IQ_PRICEDATETIME" hidden="1">"IQ_PRICEDATETIME"</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CURRING_PROFIT_ACT_OR_EST" hidden="1">"c4507"</definedName>
    <definedName name="IQ_RECURRING_PROFIT_SHARE_ACT_OR_EST" hidden="1">"c4508"</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"c2903"</definedName>
    <definedName name="IQ_RETAIL_ACQUIRED_OWNED_STORES" hidden="1">"c2895"</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ENUE" hidden="1">"c1422"</definedName>
    <definedName name="IQ_REVENUE_ACT_OR_EST" hidden="1">"c2214"</definedName>
    <definedName name="IQ_REVENUE_EST" hidden="1">"c1126"</definedName>
    <definedName name="IQ_REVENUE_EST_REUT" hidden="1">"c3634"</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 hidden="1">"c1662"</definedName>
    <definedName name="IQ_REVENUE_MEDIAN_EST_REUT" hidden="1">"c3635"</definedName>
    <definedName name="IQ_REVENUE_NUM_EST" hidden="1">"c1129"</definedName>
    <definedName name="IQ_REVENUE_NUM_EST_REUT" hidden="1">"c3638"</definedName>
    <definedName name="IQ_REVISION_DATE_" hidden="1">39244.4711574074</definedName>
    <definedName name="IQ_REVISION_DATE_1" hidden="1">39120.6057175926</definedName>
    <definedName name="IQ_REVISION_DATE_2" hidden="1">39120.6057175926</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NUM_REUT" hidden="1">"c5319"</definedName>
    <definedName name="IQ_TARGET_PRICE_STDDEV" hidden="1">"c1654"</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ShowHideColumns" hidden="1">"iQHideSelected"</definedName>
    <definedName name="IsColHidden">FALSE</definedName>
    <definedName name="IsLTMColHidden">FALSE</definedName>
    <definedName name="ISMethod">1</definedName>
    <definedName name="ItemScale" hidden="1">#N/A</definedName>
    <definedName name="KeepVersions" localSheetId="13">IndexInformation!$B$8</definedName>
    <definedName name="LanguageCode">IndexInformation!$B$38</definedName>
    <definedName name="LastCell" localSheetId="0">ImportantDisclosures!$A$22</definedName>
    <definedName name="Linking_12">SOTP!$B$2:$N$31</definedName>
    <definedName name="Linking_14">Financials!$B$4:$EA$52</definedName>
    <definedName name="Linking_15">Financials!$B$114:$EA$158</definedName>
    <definedName name="Linking_16">Changes!$B$5:$P$48</definedName>
    <definedName name="Linking_17">Financials!$B$4:$EA$42</definedName>
    <definedName name="Linking_18">Financials!$B$57:$EA$90</definedName>
    <definedName name="Linking_20">Earnings!$B$5:$M$35</definedName>
    <definedName name="Linking_21">Earnings!$O$5:$X$19</definedName>
    <definedName name="Linking_22">Earnings!$A$4:$Y$36</definedName>
    <definedName name="Linking_23">Financials!$B$4:$DZ$42</definedName>
    <definedName name="Linking_24">SOTP!$B$2:$N$27</definedName>
    <definedName name="Linking_25">Segments!$B$45:$EA$101</definedName>
    <definedName name="Linking_26">Segments!$B$47:$EA$101</definedName>
    <definedName name="Linking_27">Changes!$B$5:$P$34</definedName>
    <definedName name="Linking_3">Financials!$B$57:$EA$109</definedName>
    <definedName name="Linking_7">Financials!$A$4:$EA$41</definedName>
    <definedName name="Linking_8">Financials!$A$57:$EA$109</definedName>
    <definedName name="Linking_9">Financials!$A$114:$EA$156</definedName>
    <definedName name="Linking_Range_10">Financials!$B$4:$DX$43</definedName>
    <definedName name="Linking_Range_11">Financials!$B$57:$DX$111</definedName>
    <definedName name="Linking_Range_12">Financials!$B$114:$DX$160</definedName>
    <definedName name="Linking_Range_13">Financials!$B$4:$DY$41</definedName>
    <definedName name="Linking_Range_15">Financials!$B$57:$DY$109</definedName>
    <definedName name="Linking_Range_16">Financials!$B$57:$DY$110</definedName>
    <definedName name="Linking_Range_17">Financials!$B$114:$DY$156</definedName>
    <definedName name="Linking_Range_18">Financials!$B$4:$EA$41</definedName>
    <definedName name="Linking_Range_19">Financials!$B$57:$EA$110</definedName>
    <definedName name="Linking_Range_20">Financials!$B$114:$EA$156</definedName>
    <definedName name="Linking_Range_6">Financials!$B$4:$DX$41</definedName>
    <definedName name="Linking_Range_7">Financials!$B$57:$DX$109</definedName>
    <definedName name="Linking_Range_8">Financials!$B$114:$DX$156</definedName>
    <definedName name="Linking_Range_9">Financials!$B$57:$DX$110</definedName>
    <definedName name="Linking_Text_1">Segments!$CJ$85</definedName>
    <definedName name="Macro03">[0]!Macro03</definedName>
    <definedName name="Macro031">[0]!Macro031</definedName>
    <definedName name="Macro1">[0]!Macro1</definedName>
    <definedName name="Macro11">[0]!Macro11</definedName>
    <definedName name="Macro2">[0]!Macro2</definedName>
    <definedName name="Macro21">[0]!Macro21</definedName>
    <definedName name="macro4">[0]!macro4</definedName>
    <definedName name="MacroVersion" localSheetId="13">IndexInformation!$B$1</definedName>
    <definedName name="MaxChange" localSheetId="2">CircularReferenceAlert!$B$9</definedName>
    <definedName name="MaxIterations" localSheetId="2">CircularReferenceAlert!$B$8</definedName>
    <definedName name="ModelPrice" localSheetId="0">ImportantDisclosures!$A$14</definedName>
    <definedName name="MonitorCol">1</definedName>
    <definedName name="MonitorRow">1</definedName>
    <definedName name="Multiplier" localSheetId="13">IndexInformation!$B$35</definedName>
    <definedName name="nEW" localSheetId="12" hidden="1">{#N/A,#N/A,TRUE,"Historicals";#N/A,#N/A,TRUE,"Charts";#N/A,#N/A,TRUE,"Forecasts"}</definedName>
    <definedName name="nEW" localSheetId="5" hidden="1">{#N/A,#N/A,TRUE,"Historicals";#N/A,#N/A,TRUE,"Charts";#N/A,#N/A,TRUE,"Forecasts"}</definedName>
    <definedName name="nEW" localSheetId="3" hidden="1">{#N/A,#N/A,TRUE,"Historicals";#N/A,#N/A,TRUE,"Charts";#N/A,#N/A,TRUE,"Forecasts"}</definedName>
    <definedName name="nEW" hidden="1">{#N/A,#N/A,TRUE,"Historicals";#N/A,#N/A,TRUE,"Charts";#N/A,#N/A,TRUE,"Forecasts"}</definedName>
    <definedName name="NextYearEPS" localSheetId="13">IndexInformation!$B$13</definedName>
    <definedName name="NextYearTotalRevenue" localSheetId="13">IndexInformation!$B$12</definedName>
    <definedName name="NextYearTotalRevenueActual" localSheetId="13">IndexInformation!$B$33</definedName>
    <definedName name="o" localSheetId="12" hidden="1">{"Pulp Production",#N/A,FALSE,"Pulp";"Pulp Earnings",#N/A,FALSE,"Pulp"}</definedName>
    <definedName name="o" localSheetId="5" hidden="1">{"Pulp Production",#N/A,FALSE,"Pulp";"Pulp Earnings",#N/A,FALSE,"Pulp"}</definedName>
    <definedName name="o" localSheetId="3" hidden="1">{"Pulp Production",#N/A,FALSE,"Pulp";"Pulp Earnings",#N/A,FALSE,"Pulp"}</definedName>
    <definedName name="o" hidden="1">{"Pulp Production",#N/A,FALSE,"Pulp";"Pulp Earnings",#N/A,FALSE,"Pulp"}</definedName>
    <definedName name="ObjectType">IndexInformation!$B$37</definedName>
    <definedName name="old" hidden="1">{"PPE-1",#N/A,TRUE,"SNT";"PPE-2",#N/A,TRUE,"SNT";"INC-SNT",#N/A,TRUE,"SNT";"EARN-SNT",#N/A,TRUE,"SNT";"SUMM-SNT",#N/A,TRUE,"SNT";"CASH-SNT",#N/A,TRUE,"SNT";"BAL-SNT",#N/A,TRUE,"SNT";"RATIO-1",#N/A,TRUE,"SNT";"SIP-SNT",#N/A,TRUE,"SNT";"SOP-SNT",#N/A,TRUE,"SNT";"valuation-snt",#N/A,TRUE,"Valuation";"TRANS-SNT",#N/A,TRUE,"Transmission";"reserve-snt",#N/A,TRUE,"E&amp;P";"e&amp;p-snt",#N/A,TRUE,"E&amp;P";"energy-snt",#N/A,TRUE,"Energy Services";"RATIO-2",#N/A,TRUE,"SNT"}</definedName>
    <definedName name="OpMargin" localSheetId="11">OFFSET([0]!XRange2,5,0)</definedName>
    <definedName name="OpMargin">OFFSET([0]!XRange2,5,0)</definedName>
    <definedName name="PANA" localSheetId="14">ModPubIndex!$A$11</definedName>
    <definedName name="PathName" localSheetId="13">IndexInformation!$B$25</definedName>
    <definedName name="Phase1NPVFCF" localSheetId="11">OFFSET([0]!XRange,39,0)</definedName>
    <definedName name="Phase1NPVFCF">OFFSET([0]!XRange,39,0)</definedName>
    <definedName name="Phase2NPVFCF" localSheetId="11">OFFSET([0]!XRange,40,0)</definedName>
    <definedName name="Phase2NPVFCF">OFFSET([0]!XRange,40,0)</definedName>
    <definedName name="Phase3NPVFCF" localSheetId="11">OFFSET([0]!XRange,41,0)</definedName>
    <definedName name="Phase3NPVFCF">OFFSET([0]!XRange,41,0)</definedName>
    <definedName name="_xlnm.Print_Area" localSheetId="11">Changes!$A$1:$Q$49</definedName>
    <definedName name="_xlnm.Print_Area" localSheetId="4">DCF!$A$1:$Q$48</definedName>
    <definedName name="_xlnm.Print_Area" localSheetId="10">Earnings!$A$1:$Y$51</definedName>
    <definedName name="_xlnm.Print_Area" localSheetId="6">Financials!$A$1:$EE$175</definedName>
    <definedName name="_xlnm.Print_Area" localSheetId="12">Guidance!$A$1:$AC$104</definedName>
    <definedName name="_xlnm.Print_Area" localSheetId="9">Segments!$A$1:$EE$132</definedName>
    <definedName name="_xlnm.Print_Area" localSheetId="5">SOTP!$A$1:$O$32</definedName>
    <definedName name="_xlnm.Print_Area" localSheetId="3">Valuation!$A$1:$P$71</definedName>
    <definedName name="_xlnm.Print_Area">"Formula removed, name can be deleted."</definedName>
    <definedName name="Print_Area_1">"Formula removed, name can be deleted."</definedName>
    <definedName name="Print_Area2">"Formula removed, name can be deleted."</definedName>
    <definedName name="_xlnm.Print_Titles" localSheetId="6">Financials!$1:$4</definedName>
    <definedName name="_xlnm.Print_Titles" localSheetId="9">Segments!$1:$4</definedName>
    <definedName name="_xlnm.Print_Titles">"Formula removed, name can be deleted."</definedName>
    <definedName name="Print_Titles1">"Formula removed, name can be deleted."</definedName>
    <definedName name="Print_titles2">"Formula removed, name can be deleted."</definedName>
    <definedName name="PRODUCT" localSheetId="14">ModPubIndex!$A$6</definedName>
    <definedName name="ProjectName" localSheetId="12">{"Client Name or Project Name"}</definedName>
    <definedName name="ProjectName" localSheetId="5">{"Client Name or Project Name"}</definedName>
    <definedName name="ProjectName" localSheetId="3">{"Client Name or Project Name"}</definedName>
    <definedName name="ProjectName">{"Client Name or Project Name"}</definedName>
    <definedName name="ProjectName1">{"BU Name or Client/Project Name"}</definedName>
    <definedName name="ProjectName2">{"BU Name or Client/Project Name"}</definedName>
    <definedName name="ProjectName3">{"BU Name or Client/Project Name"}</definedName>
    <definedName name="ProjectName4">{"Client Name or Project Name"}</definedName>
    <definedName name="PSDScale" hidden="1">#N/A</definedName>
    <definedName name="PSYM" localSheetId="14">ModPubIndex!$A$4</definedName>
    <definedName name="PublishDate" localSheetId="13">IndexInformation!$B$2</definedName>
    <definedName name="q" localSheetId="12" hidden="1">{"Qtr Op Mgd Q2",#N/A,FALSE,"Qtr-Op (Mng)";"Qtr Op Rpt Q2",#N/A,FALSE,"Qtr-Op (Rpt)";"Operating Vs Reported",#N/A,FALSE,"Rpt-Op Inc"}</definedName>
    <definedName name="q" localSheetId="5" hidden="1">{"Qtr Op Mgd Q2",#N/A,FALSE,"Qtr-Op (Mng)";"Qtr Op Rpt Q2",#N/A,FALSE,"Qtr-Op (Rpt)";"Operating Vs Reported",#N/A,FALSE,"Rpt-Op Inc"}</definedName>
    <definedName name="q" localSheetId="3" hidden="1">{"Qtr Op Mgd Q2",#N/A,FALSE,"Qtr-Op (Mng)";"Qtr Op Rpt Q2",#N/A,FALSE,"Qtr-Op (Rpt)";"Operating Vs Reported",#N/A,FALSE,"Rpt-Op Inc"}</definedName>
    <definedName name="q" hidden="1">{"Qtr Op Mgd Q2",#N/A,FALSE,"Qtr-Op (Mng)";"Qtr Op Rpt Q2",#N/A,FALSE,"Qtr-Op (Rpt)";"Operating Vs Reported",#N/A,FALSE,"Rpt-Op Inc"}</definedName>
    <definedName name="QuarterlyColumn" hidden="1">16777215</definedName>
    <definedName name="QuarterlyHeadFont" hidden="1">8388608</definedName>
    <definedName name="QuarterlyHeading" hidden="1">16777215</definedName>
    <definedName name="Rating" localSheetId="13">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GIONAL">2</definedName>
    <definedName name="Rem_Bus_ROIC" localSheetId="11">OFFSET([0]!XRange,11,0)</definedName>
    <definedName name="Rem_Bus_ROIC">OFFSET([0]!XRange,11,0)</definedName>
    <definedName name="rep" localSheetId="12" hidden="1">{#N/A,#N/A,FALSE,"COVER";#N/A,#N/A,FALSE,"VALUATION";#N/A,#N/A,FALSE,"FORECAST";#N/A,#N/A,FALSE,"FY ANALYSIS ";#N/A,#N/A,FALSE," HY ANALYSIS"}</definedName>
    <definedName name="rep" localSheetId="5" hidden="1">{#N/A,#N/A,FALSE,"COVER";#N/A,#N/A,FALSE,"VALUATION";#N/A,#N/A,FALSE,"FORECAST";#N/A,#N/A,FALSE,"FY ANALYSIS ";#N/A,#N/A,FALSE," HY ANALYSIS"}</definedName>
    <definedName name="rep" localSheetId="3" hidden="1">{#N/A,#N/A,FALSE,"COVER";#N/A,#N/A,FALSE,"VALUATION";#N/A,#N/A,FALSE,"FORECAST";#N/A,#N/A,FALSE,"FY ANALYSIS ";#N/A,#N/A,FALSE," HY ANALYSIS"}</definedName>
    <definedName name="rep" hidden="1">{#N/A,#N/A,FALSE,"COVER";#N/A,#N/A,FALSE,"VALUATION";#N/A,#N/A,FALSE,"FORECAST";#N/A,#N/A,FALSE,"FY ANALYSIS ";#N/A,#N/A,FALSE," HY ANALYSIS"}</definedName>
    <definedName name="RepairedName0344" hidden="1">"iQShowAnnual"</definedName>
    <definedName name="RepairedName0620" hidden="1">"iQShowAnnual"</definedName>
    <definedName name="ResearchTopic" localSheetId="13">IndexInformation!$B$4</definedName>
    <definedName name="RIC" localSheetId="13">IndexInformation!$B$21</definedName>
    <definedName name="RMT_DataBridge_Template_File">""</definedName>
    <definedName name="RMT_DataBridge_Template_Sheet">""</definedName>
    <definedName name="RMT_DataBridge_Template_Type">""</definedName>
    <definedName name="scen_result" hidden="1">#VALUE!</definedName>
    <definedName name="SECSettlement" localSheetId="0">ImportantDisclosures!#REF!</definedName>
    <definedName name="SectionHeadFont" hidden="1">0</definedName>
    <definedName name="SectionHeading" hidden="1">12632256</definedName>
    <definedName name="SEDOL" localSheetId="13">IndexInformation!$B$22</definedName>
    <definedName name="ShareScale" hidden="1">#N/A</definedName>
    <definedName name="solver_lin" hidden="1">0</definedName>
    <definedName name="solver_num" hidden="1">0</definedName>
    <definedName name="solver_typ" hidden="1">1</definedName>
    <definedName name="solver_val" hidden="1">0</definedName>
    <definedName name="SORT2">[0]!SORT2</definedName>
    <definedName name="SORT3">[0]!SORT3</definedName>
    <definedName name="SORT4">[0]!SORT4</definedName>
    <definedName name="SORT5">[0]!SORT5</definedName>
    <definedName name="SourceDefined" localSheetId="0">ImportantDisclosures!$A$19</definedName>
    <definedName name="StockRating" localSheetId="0">ImportantDisclosures!$A$11</definedName>
    <definedName name="storage">"Chart 1"</definedName>
    <definedName name="SubjectCode" localSheetId="13">IndexInformation!$B$6</definedName>
    <definedName name="SubmitterUserId">IndexInformation!$B$39</definedName>
    <definedName name="SUPPRESSED" localSheetId="14">ModPubIndex!$A$13</definedName>
    <definedName name="TargetPrice" localSheetId="0">ImportantDisclosures!$A$15</definedName>
    <definedName name="Template.WIRE">"DBACCESS"</definedName>
    <definedName name="TemplateRegion">IndexInformation!$B$36</definedName>
    <definedName name="Ticker" localSheetId="0">ImportantDisclosures!$A$10</definedName>
    <definedName name="Ticker_EBITDAQ1_LA">"$K$26"</definedName>
    <definedName name="TickerRegion">IndexInformation!$B$41</definedName>
    <definedName name="Tickers" localSheetId="13">IndexInformation!$B$19</definedName>
    <definedName name="Total_Bus_ROIC" localSheetId="11">OFFSET([0]!XRange,12,0)</definedName>
    <definedName name="Total_Bus_ROIC">OFFSET([0]!XRange,12,0)</definedName>
    <definedName name="TRW" localSheetId="1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TRW" localSheetId="5"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TRW" localSheetId="3"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TRW"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UpdateReason" localSheetId="13">IndexInformation!$B$17</definedName>
    <definedName name="USRegDisclosures" localSheetId="0">ImportantDisclosures!#REF!</definedName>
    <definedName name="Version">"June 29, 2004"</definedName>
    <definedName name="Version.WIRE">1</definedName>
    <definedName name="wrn.2._.pagers." localSheetId="12" hidden="1">{"Cover",#N/A,FALSE,"Cover";"Summary",#N/A,FALSE,"Summarpage"}</definedName>
    <definedName name="wrn.2._.pagers." localSheetId="5" hidden="1">{"Cover",#N/A,FALSE,"Cover";"Summary",#N/A,FALSE,"Summarpage"}</definedName>
    <definedName name="wrn.2._.pagers." localSheetId="3" hidden="1">{"Cover",#N/A,FALSE,"Cover";"Summary",#N/A,FALSE,"Summarpage"}</definedName>
    <definedName name="wrn.2._.pagers." hidden="1">{"Cover",#N/A,FALSE,"Cover";"Summary",#N/A,FALSE,"Summarpage"}</definedName>
    <definedName name="wrn.96_model." localSheetId="12" hidden="1">{"qtr_is_94_95",#N/A,FALSE,"MA";"ann_is_96",#N/A,FALSE,"MA";"seg_sales_96",#N/A,FALSE,"MA";"seg_inc_96",#N/A,FALSE,"MA";"divisional_91_95",#N/A,FALSE,"MA";"ann_bs_96",#N/A,FALSE,"MA";"ann_cf_96",#N/A,FALSE,"MA"}</definedName>
    <definedName name="wrn.96_model." localSheetId="5" hidden="1">{"qtr_is_94_95",#N/A,FALSE,"MA";"ann_is_96",#N/A,FALSE,"MA";"seg_sales_96",#N/A,FALSE,"MA";"seg_inc_96",#N/A,FALSE,"MA";"divisional_91_95",#N/A,FALSE,"MA";"ann_bs_96",#N/A,FALSE,"MA";"ann_cf_96",#N/A,FALSE,"MA"}</definedName>
    <definedName name="wrn.96_model." localSheetId="3" hidden="1">{"qtr_is_94_95",#N/A,FALSE,"MA";"ann_is_96",#N/A,FALSE,"MA";"seg_sales_96",#N/A,FALSE,"MA";"seg_inc_96",#N/A,FALSE,"MA";"divisional_91_95",#N/A,FALSE,"MA";"ann_bs_96",#N/A,FALSE,"MA";"ann_cf_96",#N/A,FALSE,"MA"}</definedName>
    <definedName name="wrn.96_model." hidden="1">{"qtr_is_94_95",#N/A,FALSE,"MA";"ann_is_96",#N/A,FALSE,"MA";"seg_sales_96",#N/A,FALSE,"MA";"seg_inc_96",#N/A,FALSE,"MA";"divisional_91_95",#N/A,FALSE,"MA";"ann_bs_96",#N/A,FALSE,"MA";"ann_cf_96",#N/A,FALSE,"MA"}</definedName>
    <definedName name="wrn.Aircraft._.Breakdown." localSheetId="12" hidden="1">{"Bell",#N/A,TRUE,"Earnings Model";"Cessna",#N/A,TRUE,"Earnings Model"}</definedName>
    <definedName name="wrn.Aircraft._.Breakdown." localSheetId="5" hidden="1">{"Bell",#N/A,TRUE,"Earnings Model";"Cessna",#N/A,TRUE,"Earnings Model"}</definedName>
    <definedName name="wrn.Aircraft._.Breakdown." localSheetId="3" hidden="1">{"Bell",#N/A,TRUE,"Earnings Model";"Cessna",#N/A,TRUE,"Earnings Model"}</definedName>
    <definedName name="wrn.Aircraft._.Breakdown." hidden="1">{"Bell",#N/A,TRUE,"Earnings Model";"Cessna",#N/A,TRUE,"Earnings Model"}</definedName>
    <definedName name="wrn.allpages." localSheetId="12" hidden="1">{#N/A,#N/A,TRUE,"Historicals";#N/A,#N/A,TRUE,"Charts";#N/A,#N/A,TRUE,"Forecasts"}</definedName>
    <definedName name="wrn.allpages." localSheetId="5" hidden="1">{#N/A,#N/A,TRUE,"Historicals";#N/A,#N/A,TRUE,"Charts";#N/A,#N/A,TRUE,"Forecasts"}</definedName>
    <definedName name="wrn.allpages." localSheetId="3" hidden="1">{#N/A,#N/A,TRUE,"Historicals";#N/A,#N/A,TRUE,"Charts";#N/A,#N/A,TRUE,"Forecasts"}</definedName>
    <definedName name="wrn.allpages." hidden="1">{#N/A,#N/A,TRUE,"Historicals";#N/A,#N/A,TRUE,"Charts";#N/A,#N/A,TRUE,"Forecasts"}</definedName>
    <definedName name="wrn.Annual._.Operating._.Earnings." localSheetId="12" hidden="1">{"Annual 1996",#N/A,FALSE,"Ann-Op (Mng)";"Annual 1996",#N/A,FALSE,"Ann-Op (Rep)";"Operating Vs. Reported Earnings",#N/A,FALSE,"Rpt-Op Inc"}</definedName>
    <definedName name="wrn.Annual._.Operating._.Earnings." localSheetId="5" hidden="1">{"Annual 1996",#N/A,FALSE,"Ann-Op (Mng)";"Annual 1996",#N/A,FALSE,"Ann-Op (Rep)";"Operating Vs. Reported Earnings",#N/A,FALSE,"Rpt-Op Inc"}</definedName>
    <definedName name="wrn.Annual._.Operating._.Earnings." localSheetId="3" hidden="1">{"Annual 1996",#N/A,FALSE,"Ann-Op (Mng)";"Annual 1996",#N/A,FALSE,"Ann-Op (Rep)";"Operating Vs. Reported Earnings",#N/A,FALSE,"Rpt-Op Inc"}</definedName>
    <definedName name="wrn.Annual._.Operating._.Earnings." hidden="1">{"Annual 1996",#N/A,FALSE,"Ann-Op (Mng)";"Annual 1996",#N/A,FALSE,"Ann-Op (Rep)";"Operating Vs. Reported Earnings",#N/A,FALSE,"Rpt-Op Inc"}</definedName>
    <definedName name="wrn.Annual._.Operating._.Earnings1." localSheetId="12" hidden="1">{"Annual 1996",#N/A,FALSE,"Ann-Op (Mng)";"Annual 1996",#N/A,FALSE,"Ann-Op (Rep)";"Operating Vs. Reported Earnings",#N/A,FALSE,"Rpt-Op Inc"}</definedName>
    <definedName name="wrn.Annual._.Operating._.Earnings1." localSheetId="5" hidden="1">{"Annual 1996",#N/A,FALSE,"Ann-Op (Mng)";"Annual 1996",#N/A,FALSE,"Ann-Op (Rep)";"Operating Vs. Reported Earnings",#N/A,FALSE,"Rpt-Op Inc"}</definedName>
    <definedName name="wrn.Annual._.Operating._.Earnings1." localSheetId="3"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Complete." localSheetId="1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localSheetId="5"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localSheetId="3"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nsolidated._.Statements." localSheetId="12" hidden="1">{"view1",#N/A,FALSE,"EARN (US$)";"view1",#N/A,FALSE,"DASTBS (US$)";"view1",#N/A,FALSE,"DASTCF (US$)"}</definedName>
    <definedName name="wrn.Consolidated._.Statements." localSheetId="5" hidden="1">{"view1",#N/A,FALSE,"EARN (US$)";"view1",#N/A,FALSE,"DASTBS (US$)";"view1",#N/A,FALSE,"DASTCF (US$)"}</definedName>
    <definedName name="wrn.Consolidated._.Statements." localSheetId="3" hidden="1">{"view1",#N/A,FALSE,"EARN (US$)";"view1",#N/A,FALSE,"DASTBS (US$)";"view1",#N/A,FALSE,"DASTCF (US$)"}</definedName>
    <definedName name="wrn.Consolidated._.Statements." hidden="1">{"view1",#N/A,FALSE,"EARN (US$)";"view1",#N/A,FALSE,"DASTBS (US$)";"view1",#N/A,FALSE,"DASTCF (US$)"}</definedName>
    <definedName name="wrn.Covers." localSheetId="12" hidden="1">{"view1",#N/A,FALSE,"MOTEARN";"view1",#N/A,FALSE,"Bal Sht";"view1",#N/A,FALSE,"Cash Flows"}</definedName>
    <definedName name="wrn.Covers." localSheetId="5" hidden="1">{"view1",#N/A,FALSE,"MOTEARN";"view1",#N/A,FALSE,"Bal Sht";"view1",#N/A,FALSE,"Cash Flows"}</definedName>
    <definedName name="wrn.Covers." localSheetId="3" hidden="1">{"view1",#N/A,FALSE,"MOTEARN";"view1",#N/A,FALSE,"Bal Sht";"view1",#N/A,FALSE,"Cash Flows"}</definedName>
    <definedName name="wrn.Covers." hidden="1">{"view1",#N/A,FALSE,"MOTEARN";"view1",#N/A,FALSE,"Bal Sht";"view1",#N/A,FALSE,"Cash Flows"}</definedName>
    <definedName name="wrn.Forecast._.Q1." localSheetId="12" hidden="1">{"cover a","1q",FALSE,"Cover";"Op Earn Mgd Q1",#N/A,FALSE,"Op-Earn (Mng)";"Op Earn Rpt Q1",#N/A,FALSE,"Op-Earn (Rpt)";"Loans",#N/A,FALSE,"Loans";"Credit Costs",#N/A,FALSE,"CCosts";"Net Interest Margin",#N/A,FALSE,"Margin";"Nonint Income",#N/A,FALSE,"NonII";"Nonint Exp",#N/A,FALSE,"NonIE";"Valuation",#N/A,FALSE,"Valuation"}</definedName>
    <definedName name="wrn.Forecast._.Q1." localSheetId="5" hidden="1">{"cover a","1q",FALSE,"Cover";"Op Earn Mgd Q1",#N/A,FALSE,"Op-Earn (Mng)";"Op Earn Rpt Q1",#N/A,FALSE,"Op-Earn (Rpt)";"Loans",#N/A,FALSE,"Loans";"Credit Costs",#N/A,FALSE,"CCosts";"Net Interest Margin",#N/A,FALSE,"Margin";"Nonint Income",#N/A,FALSE,"NonII";"Nonint Exp",#N/A,FALSE,"NonIE";"Valuation",#N/A,FALSE,"Valuation"}</definedName>
    <definedName name="wrn.Forecast._.Q1." localSheetId="3" hidden="1">{"cover a","1q",FALSE,"Cover";"Op Earn Mgd Q1",#N/A,FALSE,"Op-Earn (Mng)";"Op Earn Rpt Q1",#N/A,FALSE,"Op-Earn (Rpt)";"Loans",#N/A,FALSE,"Loans";"Credit Costs",#N/A,FALSE,"CCosts";"Net Interest Margin",#N/A,FALSE,"Margin";"Nonint Income",#N/A,FALSE,"NonII";"Nonint Exp",#N/A,FALSE,"NonIE";"Valuation",#N/A,FALSE,"Valuation"}</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2." localSheetId="12" hidden="1">{"cover a","2q",FALSE,"Cover";"Op Earn Mgd Q2",#N/A,FALSE,"Op-Earn (Mng)";"Op Earn Rpt Q2",#N/A,FALSE,"Op-Earn (Rpt)";"Loans",#N/A,FALSE,"Loans";"Credit Costs",#N/A,FALSE,"CCosts";"Net Interest Margin",#N/A,FALSE,"Margin";"Nonint Income",#N/A,FALSE,"NonII";"Nonint Exp",#N/A,FALSE,"NonIE";"Valuation",#N/A,FALSE,"Valuation"}</definedName>
    <definedName name="wrn.Forecast._.Q2." localSheetId="5" hidden="1">{"cover a","2q",FALSE,"Cover";"Op Earn Mgd Q2",#N/A,FALSE,"Op-Earn (Mng)";"Op Earn Rpt Q2",#N/A,FALSE,"Op-Earn (Rpt)";"Loans",#N/A,FALSE,"Loans";"Credit Costs",#N/A,FALSE,"CCosts";"Net Interest Margin",#N/A,FALSE,"Margin";"Nonint Income",#N/A,FALSE,"NonII";"Nonint Exp",#N/A,FALSE,"NonIE";"Valuation",#N/A,FALSE,"Valuation"}</definedName>
    <definedName name="wrn.Forecast._.Q2." localSheetId="3" hidden="1">{"cover a","2q",FALSE,"Cover";"Op Earn Mgd Q2",#N/A,FALSE,"Op-Earn (Mng)";"Op Earn Rpt Q2",#N/A,FALSE,"Op-Earn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a." localSheetId="12" hidden="1">{"cover a","2q",FALSE,"Cover";"Op Earn Mgd Q2",#N/A,FALSE,"Op-Earn (Mng)";"Op Earn Rpt Q2",#N/A,FALSE,"Op-Earn (Rpt)";"Loans",#N/A,FALSE,"Loans";"Credit Costs",#N/A,FALSE,"CCosts";"Net Interest Margin",#N/A,FALSE,"Margin";"Nonint Income",#N/A,FALSE,"NonII";"Nonint Exp",#N/A,FALSE,"NonIE";"Valuation",#N/A,FALSE,"Valuation"}</definedName>
    <definedName name="wrn.Forecast._.Q2a." localSheetId="5" hidden="1">{"cover a","2q",FALSE,"Cover";"Op Earn Mgd Q2",#N/A,FALSE,"Op-Earn (Mng)";"Op Earn Rpt Q2",#N/A,FALSE,"Op-Earn (Rpt)";"Loans",#N/A,FALSE,"Loans";"Credit Costs",#N/A,FALSE,"CCosts";"Net Interest Margin",#N/A,FALSE,"Margin";"Nonint Income",#N/A,FALSE,"NonII";"Nonint Exp",#N/A,FALSE,"NonIE";"Valuation",#N/A,FALSE,"Valuation"}</definedName>
    <definedName name="wrn.Forecast._.Q2a." localSheetId="3"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3." localSheetId="12" hidden="1">{"cover a","3q",FALSE,"Cover";"Op Earn Mgd Q3",#N/A,FALSE,"Op-Earn (Mng)";"Op Earn Rpt Q3",#N/A,FALSE,"Op-Earn (Rpt)";"Loans",#N/A,FALSE,"Loans";"Credit Costs",#N/A,FALSE,"CCosts";"Net Interest Margin",#N/A,FALSE,"Margin";"Nonint Income",#N/A,FALSE,"NonII";"Nonint Exp",#N/A,FALSE,"NonIE";"Valuation",#N/A,FALSE,"Valuation"}</definedName>
    <definedName name="wrn.Forecast._.Q3." localSheetId="5" hidden="1">{"cover a","3q",FALSE,"Cover";"Op Earn Mgd Q3",#N/A,FALSE,"Op-Earn (Mng)";"Op Earn Rpt Q3",#N/A,FALSE,"Op-Earn (Rpt)";"Loans",#N/A,FALSE,"Loans";"Credit Costs",#N/A,FALSE,"CCosts";"Net Interest Margin",#N/A,FALSE,"Margin";"Nonint Income",#N/A,FALSE,"NonII";"Nonint Exp",#N/A,FALSE,"NonIE";"Valuation",#N/A,FALSE,"Valuation"}</definedName>
    <definedName name="wrn.Forecast._.Q3." localSheetId="3" hidden="1">{"cover a","3q",FALSE,"Cover";"Op Earn Mgd Q3",#N/A,FALSE,"Op-Earn (Mng)";"Op Earn Rpt Q3",#N/A,FALSE,"Op-Earn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4." localSheetId="12" hidden="1">{"cover a","4q",FALSE,"Cover";"Op Earn Mgd Q4",#N/A,FALSE,"Op-Earn (Mng)";"Op Earn Rpt Q4",#N/A,FALSE,"Op-Earn (Rpt)";"Loans",#N/A,FALSE,"Loans";"Credit Costs",#N/A,FALSE,"CCosts";"Net Interest Margin",#N/A,FALSE,"Margin";"Nonint Income",#N/A,FALSE,"NonII";"Nonint Exp",#N/A,FALSE,"NonIE";"Valuation",#N/A,FALSE,"Valuation"}</definedName>
    <definedName name="wrn.Forecast._.Q4." localSheetId="5" hidden="1">{"cover a","4q",FALSE,"Cover";"Op Earn Mgd Q4",#N/A,FALSE,"Op-Earn (Mng)";"Op Earn Rpt Q4",#N/A,FALSE,"Op-Earn (Rpt)";"Loans",#N/A,FALSE,"Loans";"Credit Costs",#N/A,FALSE,"CCosts";"Net Interest Margin",#N/A,FALSE,"Margin";"Nonint Income",#N/A,FALSE,"NonII";"Nonint Exp",#N/A,FALSE,"NonIE";"Valuation",#N/A,FALSE,"Valuation"}</definedName>
    <definedName name="wrn.Forecast._.Q4." localSheetId="3" hidden="1">{"cover a","4q",FALSE,"Cover";"Op Earn Mgd Q4",#N/A,FALSE,"Op-Earn (Mng)";"Op Earn Rpt Q4",#N/A,FALSE,"Op-Earn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a" localSheetId="12" hidden="1">{"cover a","4q",FALSE,"Cover";"Op Earn Mgd Q4",#N/A,FALSE,"Op-Earn (Mng)";"Op Earn Rpt Q4",#N/A,FALSE,"Op-Earn (Rpt)";"Loans",#N/A,FALSE,"Loans";"Credit Costs",#N/A,FALSE,"CCosts";"Net Interest Margin",#N/A,FALSE,"Margin";"Nonint Income",#N/A,FALSE,"NonII";"Nonint Exp",#N/A,FALSE,"NonIE";"Valuation",#N/A,FALSE,"Valuation"}</definedName>
    <definedName name="wrn.Forecast._.Q4a" localSheetId="5" hidden="1">{"cover a","4q",FALSE,"Cover";"Op Earn Mgd Q4",#N/A,FALSE,"Op-Earn (Mng)";"Op Earn Rpt Q4",#N/A,FALSE,"Op-Earn (Rpt)";"Loans",#N/A,FALSE,"Loans";"Credit Costs",#N/A,FALSE,"CCosts";"Net Interest Margin",#N/A,FALSE,"Margin";"Nonint Income",#N/A,FALSE,"NonII";"Nonint Exp",#N/A,FALSE,"NonIE";"Valuation",#N/A,FALSE,"Valuation"}</definedName>
    <definedName name="wrn.Forecast._.Q4a" localSheetId="3"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ull._.Report." localSheetId="12" hidden="1">{#N/A,#N/A,FALSE,"COVER";#N/A,#N/A,FALSE,"VALUATION";#N/A,#N/A,FALSE,"FORECAST";#N/A,#N/A,FALSE,"FY ANALYSIS ";#N/A,#N/A,FALSE," HY ANALYSIS"}</definedName>
    <definedName name="wrn.Full._.Report." localSheetId="5" hidden="1">{#N/A,#N/A,FALSE,"COVER";#N/A,#N/A,FALSE,"VALUATION";#N/A,#N/A,FALSE,"FORECAST";#N/A,#N/A,FALSE,"FY ANALYSIS ";#N/A,#N/A,FALSE," HY ANALYSIS"}</definedName>
    <definedName name="wrn.Full._.Report." localSheetId="3" hidden="1">{#N/A,#N/A,FALSE,"COVER";#N/A,#N/A,FALSE,"VALUATION";#N/A,#N/A,FALSE,"FORECAST";#N/A,#N/A,FALSE,"FY ANALYSIS ";#N/A,#N/A,FALSE," HY ANALYSIS"}</definedName>
    <definedName name="wrn.Full._.Report." hidden="1">{#N/A,#N/A,FALSE,"COVER";#N/A,#N/A,FALSE,"VALUATION";#N/A,#N/A,FALSE,"FORECAST";#N/A,#N/A,FALSE,"FY ANALYSIS ";#N/A,#N/A,FALSE," HY ANALYSIS"}</definedName>
    <definedName name="wrn.FUZ_REP." localSheetId="12" hidden="1">{"FUZ_INC_A",#N/A,FALSE,"NOBE";"FUZ_INC_Q",#N/A,FALSE,"NOBE";"FUZ_BAL_A",#N/A,FALSE,"NOBE";"FUZ_CASH_A",#N/A,FALSE,"NOBE";"FUZ_PROD_A",#N/A,FALSE,"NOBE"}</definedName>
    <definedName name="wrn.FUZ_REP." localSheetId="5" hidden="1">{"FUZ_INC_A",#N/A,FALSE,"NOBE";"FUZ_INC_Q",#N/A,FALSE,"NOBE";"FUZ_BAL_A",#N/A,FALSE,"NOBE";"FUZ_CASH_A",#N/A,FALSE,"NOBE";"FUZ_PROD_A",#N/A,FALSE,"NOBE"}</definedName>
    <definedName name="wrn.FUZ_REP." localSheetId="3" hidden="1">{"FUZ_INC_A",#N/A,FALSE,"NOBE";"FUZ_INC_Q",#N/A,FALSE,"NOBE";"FUZ_BAL_A",#N/A,FALSE,"NOBE";"FUZ_CASH_A",#N/A,FALSE,"NOBE";"FUZ_PROD_A",#N/A,FALSE,"NOBE"}</definedName>
    <definedName name="wrn.FUZ_REP." hidden="1">{"FUZ_INC_A",#N/A,FALSE,"NOBE";"FUZ_INC_Q",#N/A,FALSE,"NOBE";"FUZ_BAL_A",#N/A,FALSE,"NOBE";"FUZ_CASH_A",#N/A,FALSE,"NOBE";"FUZ_PROD_A",#N/A,FALSE,"NOBE"}</definedName>
    <definedName name="wrn.Industry.xls." localSheetId="12" hidden="1">{#N/A,#N/A,FALSE,"Earnings";#N/A,#N/A,FALSE,"Overview";#N/A,#N/A,FALSE,"Summary";#N/A,#N/A,FALSE,"Summary II";#N/A,#N/A,FALSE,"R&amp;D";#N/A,#N/A,FALSE,"R&amp;D Forecast";#N/A,#N/A,FALSE,"Tax Adj";#N/A,#N/A,FALSE,"Goodwill";#N/A,#N/A,FALSE,"FX ";#N/A,#N/A,FALSE,"Consolidation";#N/A,#N/A,FALSE,"Provisions"}</definedName>
    <definedName name="wrn.Industry.xls." localSheetId="5" hidden="1">{#N/A,#N/A,FALSE,"Earnings";#N/A,#N/A,FALSE,"Overview";#N/A,#N/A,FALSE,"Summary";#N/A,#N/A,FALSE,"Summary II";#N/A,#N/A,FALSE,"R&amp;D";#N/A,#N/A,FALSE,"R&amp;D Forecast";#N/A,#N/A,FALSE,"Tax Adj";#N/A,#N/A,FALSE,"Goodwill";#N/A,#N/A,FALSE,"FX ";#N/A,#N/A,FALSE,"Consolidation";#N/A,#N/A,FALSE,"Provisions"}</definedName>
    <definedName name="wrn.Industry.xls." localSheetId="3" hidden="1">{#N/A,#N/A,FALSE,"Earnings";#N/A,#N/A,FALSE,"Overview";#N/A,#N/A,FALSE,"Summary";#N/A,#N/A,FALSE,"Summary II";#N/A,#N/A,FALSE,"R&amp;D";#N/A,#N/A,FALSE,"R&amp;D Forecast";#N/A,#N/A,FALSE,"Tax Adj";#N/A,#N/A,FALSE,"Goodwill";#N/A,#N/A,FALSE,"FX ";#N/A,#N/A,FALSE,"Consolidation";#N/A,#N/A,FALSE,"Provisions"}</definedName>
    <definedName name="wrn.Industry.xls." hidden="1">{#N/A,#N/A,FALSE,"Earnings";#N/A,#N/A,FALSE,"Overview";#N/A,#N/A,FALSE,"Summary";#N/A,#N/A,FALSE,"Summary II";#N/A,#N/A,FALSE,"R&amp;D";#N/A,#N/A,FALSE,"R&amp;D Forecast";#N/A,#N/A,FALSE,"Tax Adj";#N/A,#N/A,FALSE,"Goodwill";#N/A,#N/A,FALSE,"FX ";#N/A,#N/A,FALSE,"Consolidation";#N/A,#N/A,FALSE,"Provisions"}</definedName>
    <definedName name="wrn.JCI._.Earnings." localSheetId="12" hidden="1">{"Income Statement -- Quarterly",#N/A,FALSE,"Model";"Balance Sheet",#N/A,FALSE,"Model";"Income Statement Annual",#N/A,FALSE,"Model"}</definedName>
    <definedName name="wrn.JCI._.Earnings." localSheetId="5" hidden="1">{"Income Statement -- Quarterly",#N/A,FALSE,"Model";"Balance Sheet",#N/A,FALSE,"Model";"Income Statement Annual",#N/A,FALSE,"Model"}</definedName>
    <definedName name="wrn.JCI._.Earnings." localSheetId="3" hidden="1">{"Income Statement -- Quarterly",#N/A,FALSE,"Model";"Balance Sheet",#N/A,FALSE,"Model";"Income Statement Annual",#N/A,FALSE,"Model"}</definedName>
    <definedName name="wrn.JCI._.Earnings." hidden="1">{"Income Statement -- Quarterly",#N/A,FALSE,"Model";"Balance Sheet",#N/A,FALSE,"Model";"Income Statement Annual",#N/A,FALSE,"Model"}</definedName>
    <definedName name="wrn.LBO._.Summary." hidden="1">{"LBO Summary",#N/A,FALSE,"Summary"}</definedName>
    <definedName name="wrn.MOBIL." localSheetId="12" hidden="1">{"quarter",#N/A,FALSE,"MOB"}</definedName>
    <definedName name="wrn.MOBIL." localSheetId="5" hidden="1">{"quarter",#N/A,FALSE,"MOB"}</definedName>
    <definedName name="wrn.MOBIL." localSheetId="3" hidden="1">{"quarter",#N/A,FALSE,"MOB"}</definedName>
    <definedName name="wrn.MOBIL." hidden="1">{"quarter",#N/A,FALSE,"MOB"}</definedName>
    <definedName name="wrn.njr." hidden="1">{"balance_sheet",#N/A,FALSE;"cash_flow",#N/A,FALSE;"Consolidated_Earnings",#N/A,FALSE;"EandP_and_Real_Estate",#N/A,FALSE;"Earnings_Review",#N/A,FALSE;"financial_outlook",#N/A,FALSE;"LDC_and_PL_Earnings",#N/A,FALSE;"PP_and_EA",#N/A,FALSE;"ratio_analysis",#N/A,FALSE;"PP_and_Eb",#N/A,FALSE;"throughput_A",#N/A,FALSE;"throughput_b",#N/A,FALSE}</definedName>
    <definedName name="wrn.print._.all." hidden="1">{"all_other_prp",#N/A,FALSE,"All Other PP";"all_other_prp",#N/A,FALSE,"All Other PDC";"all_other_prp",#N/A,FALSE,"All Other PUD";"all_other_prp",#N/A,FALSE,"Boon PP";"all_other_prp",#N/A,FALSE,"Boon PDC";"all_other_prp",#N/A,FALSE,"Boon PUD";"all_other_prp",#N/A,FALSE,"Fash PP";"all_other_prp",#N/A,FALSE,"Fash PUD";"all_other_prp",#N/A,FALSE,"GB PP";"all_other_prp",#N/A,FALSE,"GB PUD";"all_other_prp",#N/A,FALSE,"GC PUD";"all_other_prp",#N/A,FALSE,"Logan PP";"all_other_prp",#N/A,FALSE,"Logan PDC";"all_other_prp",#N/A,FALSE,"Logan PUD";"all_other_prp",#N/A,FALSE,"Miss PP";"all_other_prp",#N/A,FALSE,"MS PP";"all_other_prp",#N/A,FALSE,"Ver PP";"all_other_prp",#N/A,FALSE,"Ind PUD";"all_other_prp",#N/A,FALSE,"ET All";"all_other_prp",#N/A,FALSE,"N Lans PP";"all_other_prp",#N/A,FALSE,"N Lans PDC";"all_other_prp",#N/A,FALSE,"N Lans PUD";"all_other_prp",#N/A,FALSE,"Opel PP";"all_other_prp",#N/A,FALSE,"Opel PUD";"all_other_prp",#N/A,FALSE,"TC PP";"all_other_prp",#N/A,FALSE,"TC PDC";"all_other_prp",#N/A,FALSE,"TC PUD";"all_other_prp",#N/A,FALSE,"Whelan PP";"all_other_prp",#N/A,FALSE,"Whelan PDC";"all_other_prp",#N/A,FALSE,"Whelan PUD";"all_other_prp",#N/A,FALSE,"WS PP";"all_other_prp",#N/A,FALSE,"WS PDC";"all_other_prp",#N/A,FALSE,"WS PUD";"all_other_prp",#N/A,FALSE,"UK PUD"}</definedName>
    <definedName name="wrn.Print._.All._.Pages." hidden="1">{"LBO Summary",#N/A,FALSE,"Summary";"Income Statement",#N/A,FALSE,"Model";"Cash Flow",#N/A,FALSE,"Model";"Balance Sheet",#N/A,FALSE,"Model";"Working Capital",#N/A,FALSE,"Model";"Pro Forma Balance Sheets",#N/A,FALSE,"PFBS";"Debt Balances",#N/A,FALSE,"Model";"Fee Schedules",#N/A,FALSE,"Model"}</definedName>
    <definedName name="wrn.print._.offshore." hidden="1">{"off_at",#N/A,FALSE,"Off AT POT";"off_bt",#N/A,FALSE,"Off POT"}</definedName>
    <definedName name="wrn.Pulp." localSheetId="12" hidden="1">{"Pulp Production",#N/A,FALSE,"Pulp";"Pulp Earnings",#N/A,FALSE,"Pulp"}</definedName>
    <definedName name="wrn.Pulp." localSheetId="5" hidden="1">{"Pulp Production",#N/A,FALSE,"Pulp";"Pulp Earnings",#N/A,FALSE,"Pulp"}</definedName>
    <definedName name="wrn.Pulp." localSheetId="3" hidden="1">{"Pulp Production",#N/A,FALSE,"Pulp";"Pulp Earnings",#N/A,FALSE,"Pulp"}</definedName>
    <definedName name="wrn.Pulp." hidden="1">{"Pulp Production",#N/A,FALSE,"Pulp";"Pulp Earnings",#N/A,FALSE,"Pulp"}</definedName>
    <definedName name="wrn.Qtr._.Op._.Q1." localSheetId="12" hidden="1">{"Qtr Op Mgd Q1",#N/A,FALSE,"Qtr-Op (Mng)";"Qtr Op Rpt Q1",#N/A,FALSE,"Qtr-Op (Rpt)";"Operating Vs Reported",#N/A,FALSE,"Rpt-Op Inc"}</definedName>
    <definedName name="wrn.Qtr._.Op._.Q1." localSheetId="5" hidden="1">{"Qtr Op Mgd Q1",#N/A,FALSE,"Qtr-Op (Mng)";"Qtr Op Rpt Q1",#N/A,FALSE,"Qtr-Op (Rpt)";"Operating Vs Reported",#N/A,FALSE,"Rpt-Op Inc"}</definedName>
    <definedName name="wrn.Qtr._.Op._.Q1." localSheetId="3" hidden="1">{"Qtr Op Mgd Q1",#N/A,FALSE,"Qtr-Op (Mng)";"Qtr Op Rpt Q1",#N/A,FALSE,"Qtr-Op (Rpt)";"Operating Vs Reported",#N/A,FALSE,"Rpt-Op Inc"}</definedName>
    <definedName name="wrn.Qtr._.Op._.Q1." hidden="1">{"Qtr Op Mgd Q1",#N/A,FALSE,"Qtr-Op (Mng)";"Qtr Op Rpt Q1",#N/A,FALSE,"Qtr-Op (Rpt)";"Operating Vs Reported",#N/A,FALSE,"Rpt-Op Inc"}</definedName>
    <definedName name="wrn.Qtr._.Op._.Q2." localSheetId="12" hidden="1">{"Qtr Op Mgd Q2",#N/A,FALSE,"Qtr-Op (Mng)";"Qtr Op Rpt Q2",#N/A,FALSE,"Qtr-Op (Rpt)";"Operating Vs Reported",#N/A,FALSE,"Rpt-Op Inc"}</definedName>
    <definedName name="wrn.Qtr._.Op._.Q2." localSheetId="5" hidden="1">{"Qtr Op Mgd Q2",#N/A,FALSE,"Qtr-Op (Mng)";"Qtr Op Rpt Q2",#N/A,FALSE,"Qtr-Op (Rpt)";"Operating Vs Reported",#N/A,FALSE,"Rpt-Op Inc"}</definedName>
    <definedName name="wrn.Qtr._.Op._.Q2." localSheetId="3" hidden="1">{"Qtr Op Mgd Q2",#N/A,FALSE,"Qtr-Op (Mng)";"Qtr Op Rpt Q2",#N/A,FALSE,"Qtr-Op (Rpt)";"Operating Vs Reported",#N/A,FALSE,"Rpt-Op Inc"}</definedName>
    <definedName name="wrn.Qtr._.Op._.Q2." hidden="1">{"Qtr Op Mgd Q2",#N/A,FALSE,"Qtr-Op (Mng)";"Qtr Op Rpt Q2",#N/A,FALSE,"Qtr-Op (Rpt)";"Operating Vs Reported",#N/A,FALSE,"Rpt-Op Inc"}</definedName>
    <definedName name="wrn.Qtr._.Op._.Q3." localSheetId="12" hidden="1">{"Qtr Op Mgd Q3",#N/A,FALSE,"Qtr-Op (Mng)";"Qtr Op Rpt Q3",#N/A,FALSE,"Qtr-Op (Rpt)";"Operating Vs Reported",#N/A,FALSE,"Rpt-Op Inc"}</definedName>
    <definedName name="wrn.Qtr._.Op._.Q3." localSheetId="5" hidden="1">{"Qtr Op Mgd Q3",#N/A,FALSE,"Qtr-Op (Mng)";"Qtr Op Rpt Q3",#N/A,FALSE,"Qtr-Op (Rpt)";"Operating Vs Reported",#N/A,FALSE,"Rpt-Op Inc"}</definedName>
    <definedName name="wrn.Qtr._.Op._.Q3." localSheetId="3" hidden="1">{"Qtr Op Mgd Q3",#N/A,FALSE,"Qtr-Op (Mng)";"Qtr Op Rpt Q3",#N/A,FALSE,"Qtr-Op (Rpt)";"Operating Vs Reported",#N/A,FALSE,"Rpt-Op Inc"}</definedName>
    <definedName name="wrn.Qtr._.Op._.Q3." hidden="1">{"Qtr Op Mgd Q3",#N/A,FALSE,"Qtr-Op (Mng)";"Qtr Op Rpt Q3",#N/A,FALSE,"Qtr-Op (Rpt)";"Operating Vs Reported",#N/A,FALSE,"Rpt-Op Inc"}</definedName>
    <definedName name="wrn.Qtr._.Op._.Q4." localSheetId="12" hidden="1">{"Qtr Op Mgd Q3",#N/A,FALSE,"Qtr-Op (Mng)";"Qtr Op Rpt Q4",#N/A,FALSE,"Qtr-Op (Rpt)";"Operating Vs Reported",#N/A,FALSE,"Rpt-Op Inc"}</definedName>
    <definedName name="wrn.Qtr._.Op._.Q4." localSheetId="5" hidden="1">{"Qtr Op Mgd Q3",#N/A,FALSE,"Qtr-Op (Mng)";"Qtr Op Rpt Q4",#N/A,FALSE,"Qtr-Op (Rpt)";"Operating Vs Reported",#N/A,FALSE,"Rpt-Op Inc"}</definedName>
    <definedName name="wrn.Qtr._.Op._.Q4." localSheetId="3" hidden="1">{"Qtr Op Mgd Q3",#N/A,FALSE,"Qtr-Op (Mng)";"Qtr Op Rpt Q4",#N/A,FALSE,"Qtr-Op (Rpt)";"Operating Vs Reported",#N/A,FALSE,"Rpt-Op Inc"}</definedName>
    <definedName name="wrn.Qtr._.Op._.Q4." hidden="1">{"Qtr Op Mgd Q3",#N/A,FALSE,"Qtr-Op (Mng)";"Qtr Op Rpt Q4",#N/A,FALSE,"Qtr-Op (Rpt)";"Operating Vs Reported",#N/A,FALSE,"Rpt-Op Inc"}</definedName>
    <definedName name="wrn.Qtr._.Op._Q2a." localSheetId="12" hidden="1">{"Qtr Op Mgd Q2",#N/A,FALSE,"Qtr-Op (Mng)";"Qtr Op Rpt Q2",#N/A,FALSE,"Qtr-Op (Rpt)";"Operating Vs Reported",#N/A,FALSE,"Rpt-Op Inc"}</definedName>
    <definedName name="wrn.Qtr._.Op._Q2a." localSheetId="5" hidden="1">{"Qtr Op Mgd Q2",#N/A,FALSE,"Qtr-Op (Mng)";"Qtr Op Rpt Q2",#N/A,FALSE,"Qtr-Op (Rpt)";"Operating Vs Reported",#N/A,FALSE,"Rpt-Op Inc"}</definedName>
    <definedName name="wrn.Qtr._.Op._Q2a." localSheetId="3" hidden="1">{"Qtr Op Mgd Q2",#N/A,FALSE,"Qtr-Op (Mng)";"Qtr Op Rpt Q2",#N/A,FALSE,"Qtr-Op (Rpt)";"Operating Vs Reported",#N/A,FALSE,"Rpt-Op Inc"}</definedName>
    <definedName name="wrn.Qtr._.Op._Q2a." hidden="1">{"Qtr Op Mgd Q2",#N/A,FALSE,"Qtr-Op (Mng)";"Qtr Op Rpt Q2",#N/A,FALSE,"Qtr-Op (Rpt)";"Operating Vs Reported",#N/A,FALSE,"Rpt-Op Inc"}</definedName>
    <definedName name="wrn.Qtr_.Op._.Q4." localSheetId="12" hidden="1">{"Qtr Op Mgd Q3",#N/A,FALSE,"Qtr-Op (Mng)";"Qtr Op Rpt Q4",#N/A,FALSE,"Qtr-Op (Rpt)";"Operating Vs Reported",#N/A,FALSE,"Rpt-Op Inc"}</definedName>
    <definedName name="wrn.Qtr_.Op._.Q4." localSheetId="5" hidden="1">{"Qtr Op Mgd Q3",#N/A,FALSE,"Qtr-Op (Mng)";"Qtr Op Rpt Q4",#N/A,FALSE,"Qtr-Op (Rpt)";"Operating Vs Reported",#N/A,FALSE,"Rpt-Op Inc"}</definedName>
    <definedName name="wrn.Qtr_.Op._.Q4." localSheetId="3" hidden="1">{"Qtr Op Mgd Q3",#N/A,FALSE,"Qtr-Op (Mng)";"Qtr Op Rpt Q4",#N/A,FALSE,"Qtr-Op (Rpt)";"Operating Vs Reported",#N/A,FALSE,"Rpt-Op Inc"}</definedName>
    <definedName name="wrn.Qtr_.Op._.Q4." hidden="1">{"Qtr Op Mgd Q3",#N/A,FALSE,"Qtr-Op (Mng)";"Qtr Op Rpt Q4",#N/A,FALSE,"Qtr-Op (Rpt)";"Operating Vs Reported",#N/A,FALSE,"Rpt-Op Inc"}</definedName>
    <definedName name="wrn.Report." localSheetId="12" hidden="1">{#N/A,#N/A,FALSE,"COVER";#N/A,#N/A,FALSE,"FORECAST";#N/A,#N/A,FALSE,"VALUATION";#N/A,#N/A,FALSE,"FY ANALYSIS ";#N/A,#N/A,FALSE," HY ANALYSIS"}</definedName>
    <definedName name="wrn.Report." localSheetId="5" hidden="1">{#N/A,#N/A,FALSE,"COVER";#N/A,#N/A,FALSE,"FORECAST";#N/A,#N/A,FALSE,"VALUATION";#N/A,#N/A,FALSE,"FY ANALYSIS ";#N/A,#N/A,FALSE," HY ANALYSIS"}</definedName>
    <definedName name="wrn.Report." localSheetId="3" hidden="1">{#N/A,#N/A,FALSE,"COVER";#N/A,#N/A,FALSE,"FORECAST";#N/A,#N/A,FALSE,"VALUATION";#N/A,#N/A,FALSE,"FY ANALYSIS ";#N/A,#N/A,FALSE," HY ANALYSIS"}</definedName>
    <definedName name="wrn.Report." hidden="1">{#N/A,#N/A,FALSE,"COVER";#N/A,#N/A,FALSE,"FORECAST";#N/A,#N/A,FALSE,"VALUATION";#N/A,#N/A,FALSE,"FY ANALYSIS ";#N/A,#N/A,FALSE," HY ANALYSIS"}</definedName>
    <definedName name="wrn.Segments." localSheetId="12" hidden="1">{"view1",#N/A,FALSE,"Consolidated";"view2",#N/A,FALSE,"Consolidated (sum)";"view1",#N/A,FALSE,"Gen Sys";"view1",#N/A,FALSE,"Semicon";"view1",#N/A,FALSE,"Mess|Med";"view1",#N/A,FALSE,"Land Mob";"view1",#N/A,FALSE,"Other Prod";"view1",#N/A,FALSE,"Adj|Elim"}</definedName>
    <definedName name="wrn.Segments." localSheetId="5" hidden="1">{"view1",#N/A,FALSE,"Consolidated";"view2",#N/A,FALSE,"Consolidated (sum)";"view1",#N/A,FALSE,"Gen Sys";"view1",#N/A,FALSE,"Semicon";"view1",#N/A,FALSE,"Mess|Med";"view1",#N/A,FALSE,"Land Mob";"view1",#N/A,FALSE,"Other Prod";"view1",#N/A,FALSE,"Adj|Elim"}</definedName>
    <definedName name="wrn.Segments." localSheetId="3" hidden="1">{"view1",#N/A,FALSE,"Consolidated";"view2",#N/A,FALSE,"Consolidated (sum)";"view1",#N/A,FALSE,"Gen Sys";"view1",#N/A,FALSE,"Semicon";"view1",#N/A,FALSE,"Mess|Med";"view1",#N/A,FALSE,"Land Mob";"view1",#N/A,FALSE,"Other Prod";"view1",#N/A,FALSE,"Adj|Elim"}</definedName>
    <definedName name="wrn.Segments." hidden="1">{"view1",#N/A,FALSE,"Consolidated";"view2",#N/A,FALSE,"Consolidated (sum)";"view1",#N/A,FALSE,"Gen Sys";"view1",#N/A,FALSE,"Semicon";"view1",#N/A,FALSE,"Mess|Med";"view1",#N/A,FALSE,"Land Mob";"view1",#N/A,FALSE,"Other Prod";"view1",#N/A,FALSE,"Adj|Elim"}</definedName>
    <definedName name="wrn.snt." hidden="1">{"PPE-1",#N/A,TRUE,"SNT";"PPE-2",#N/A,TRUE,"SNT";"INC-SNT",#N/A,TRUE,"SNT";"EARN-SNT",#N/A,TRUE,"SNT";"SUMM-SNT",#N/A,TRUE,"SNT";"CASH-SNT",#N/A,TRUE,"SNT";"BAL-SNT",#N/A,TRUE,"SNT";"RATIO-1",#N/A,TRUE,"SNT";"SIP-SNT",#N/A,TRUE,"SNT";"SOP-SNT",#N/A,TRUE,"SNT";"valuation-snt",#N/A,TRUE,"Valuation";"TRANS-SNT",#N/A,TRUE,"Transmission";"reserve-snt",#N/A,TRUE,"E&amp;P";"e&amp;p-snt",#N/A,TRUE,"E&amp;P";"energy-snt",#N/A,TRUE,"Energy Services";"RATIO-2",#N/A,TRUE,"SNT"}</definedName>
    <definedName name="wrn.Tables." localSheetId="12" hidden="1">{"view1",#N/A,FALSE,"Tables";"view2",#N/A,FALSE,"Tables";"view3",#N/A,FALSE,"Tables"}</definedName>
    <definedName name="wrn.Tables." localSheetId="5" hidden="1">{"view1",#N/A,FALSE,"Tables";"view2",#N/A,FALSE,"Tables";"view3",#N/A,FALSE,"Tables"}</definedName>
    <definedName name="wrn.Tables." localSheetId="3" hidden="1">{"view1",#N/A,FALSE,"Tables";"view2",#N/A,FALSE,"Tables";"view3",#N/A,FALSE,"Tables"}</definedName>
    <definedName name="wrn.Tables." hidden="1">{"view1",#N/A,FALSE,"Tables";"view2",#N/A,FALSE,"Tables";"view3",#N/A,FALSE,"Tables"}</definedName>
    <definedName name="wrn.Variance._.3." localSheetId="12" hidden="1">{"Variance Q3",#N/A,FALSE,"Var"}</definedName>
    <definedName name="wrn.Variance._.3." localSheetId="5" hidden="1">{"Variance Q3",#N/A,FALSE,"Var"}</definedName>
    <definedName name="wrn.Variance._.3." localSheetId="3" hidden="1">{"Variance Q3",#N/A,FALSE,"Var"}</definedName>
    <definedName name="wrn.Variance._.3." hidden="1">{"Variance Q3",#N/A,FALSE,"Var"}</definedName>
    <definedName name="wrn.Variance._.Q1." localSheetId="12" hidden="1">{"Variance Q1",#N/A,FALSE,"Var"}</definedName>
    <definedName name="wrn.Variance._.Q1." localSheetId="5" hidden="1">{"Variance Q1",#N/A,FALSE,"Var"}</definedName>
    <definedName name="wrn.Variance._.Q1." localSheetId="3" hidden="1">{"Variance Q1",#N/A,FALSE,"Var"}</definedName>
    <definedName name="wrn.Variance._.Q1." hidden="1">{"Variance Q1",#N/A,FALSE,"Var"}</definedName>
    <definedName name="wrn.Variance._.Q2." localSheetId="12" hidden="1">{"Variance Q2",#N/A,FALSE,"Var"}</definedName>
    <definedName name="wrn.Variance._.Q2." localSheetId="5" hidden="1">{"Variance Q2",#N/A,FALSE,"Var"}</definedName>
    <definedName name="wrn.Variance._.Q2." localSheetId="3" hidden="1">{"Variance Q2",#N/A,FALSE,"Var"}</definedName>
    <definedName name="wrn.Variance._.Q2." hidden="1">{"Variance Q2",#N/A,FALSE,"Var"}</definedName>
    <definedName name="wrn.Variance._.Q3." localSheetId="12" hidden="1">{"Variance Q3",#N/A,FALSE,"Var"}</definedName>
    <definedName name="wrn.Variance._.Q3." localSheetId="5" hidden="1">{"Variance Q3",#N/A,FALSE,"Var"}</definedName>
    <definedName name="wrn.Variance._.Q3." localSheetId="3" hidden="1">{"Variance Q3",#N/A,FALSE,"Var"}</definedName>
    <definedName name="wrn.Variance._.Q3." hidden="1">{"Variance Q3",#N/A,FALSE,"Var"}</definedName>
    <definedName name="wrn.Variance._.Q4" localSheetId="12" hidden="1">{"Variance Q4",#N/A,FALSE,"Var"}</definedName>
    <definedName name="wrn.Variance._.Q4" localSheetId="5" hidden="1">{"Variance Q4",#N/A,FALSE,"Var"}</definedName>
    <definedName name="wrn.Variance._.Q4" localSheetId="3" hidden="1">{"Variance Q4",#N/A,FALSE,"Var"}</definedName>
    <definedName name="wrn.Variance._.Q4" hidden="1">{"Variance Q4",#N/A,FALSE,"Var"}</definedName>
    <definedName name="wrn.Variance._.Q4." localSheetId="12" hidden="1">{"Variance Q4",#N/A,FALSE,"Var"}</definedName>
    <definedName name="wrn.Variance._.Q4." localSheetId="5" hidden="1">{"Variance Q4",#N/A,FALSE,"Var"}</definedName>
    <definedName name="wrn.Variance._.Q4." localSheetId="3" hidden="1">{"Variance Q4",#N/A,FALSE,"Var"}</definedName>
    <definedName name="wrn.Variance._.Q4." hidden="1">{"Variance Q4",#N/A,FALSE,"Var"}</definedName>
    <definedName name="wvu.balance_sheet." hidden="1">{TRUE,TRUE,-1.25,-15.5,484.5,279.75,FALSE,TRUE,TRUE,TRUE,0,1,#N/A,419,#N/A,7.33823529411765,19.5,1,FALSE,FALSE,3,TRUE,1,FALSE,95,"Swvu.balance_sheet.","ACwvu.balance_sheet.",1,FALSE,FALSE,0.5,0,0.5,0,2,"","",TRUE,FALSE,FALSE,FALSE,1,#N/A,1,1,"=R428C1:R462C10",FALSE,#N/A,#N/A,FALSE,FALSE}</definedName>
    <definedName name="wvu.cash_flow." hidden="1">{TRUE,TRUE,-1.25,-15.5,484.5,279.75,FALSE,TRUE,TRUE,TRUE,0,1,#N/A,375,#N/A,7.33823529411765,19.5,1,FALSE,FALSE,3,TRUE,1,FALSE,95,"Swvu.cash_flow.","ACwvu.cash_flow.",1,FALSE,FALSE,0.5,0,0.5,0,2,"","",TRUE,FALSE,FALSE,FALSE,1,#N/A,1,1,"=R384C1:R423C10",FALSE,#N/A,#N/A,FALSE,FALSE}</definedName>
    <definedName name="wvu.Consolidated_Earnings." hidden="1">{TRUE,TRUE,-1.25,-15.5,484.5,279.75,FALSE,TRUE,TRUE,TRUE,0,1,#N/A,283,#N/A,7.33823529411765,19.5,1,FALSE,FALSE,3,TRUE,1,FALSE,95,"Swvu.Consolidated_Earnings.","ACwvu.Consolidated_Earnings.",1,FALSE,FALSE,0.5,0,0.5,0,2,"","",TRUE,FALSE,FALSE,FALSE,1,#N/A,1,1,"=R292C1:R332C10",FALSE,#N/A,#N/A,FALSE,FALSE}</definedName>
    <definedName name="wvu.EandP_and_Real_Estate." hidden="1">{TRUE,TRUE,-1.25,-15.5,484.5,279.75,FALSE,TRUE,TRUE,TRUE,0,1,#N/A,244,#N/A,7.33823529411765,19.5,1,FALSE,FALSE,3,TRUE,1,FALSE,95,"Swvu.EandP_and_Real_Estate.","ACwvu.EandP_and_Real_Estate.",1,FALSE,FALSE,0.5,0,0.5,0,2,"","",TRUE,FALSE,FALSE,FALSE,1,#N/A,1,1,"=R253C1:R278C10",FALSE,#N/A,#N/A,FALSE,FALSE}</definedName>
    <definedName name="wvu.Earnings_Review." hidden="1">{TRUE,TRUE,-1.25,-15.5,484.5,279.75,FALSE,TRUE,TRUE,TRUE,0,1,#N/A,339,#N/A,7.33823529411765,19.5,1,FALSE,FALSE,3,TRUE,1,FALSE,95,"Swvu.Earnings_Review.","ACwvu.Earnings_Review.",1,FALSE,FALSE,0.5,0,0.5,0,2,"","",TRUE,FALSE,FALSE,FALSE,1,#N/A,1,1,"=R348C1:R380C10",FALSE,#N/A,#N/A,FALSE,FALSE}</definedName>
    <definedName name="wvu.financial_outlook." hidden="1">{TRUE,TRUE,-1.25,-15.5,484.5,279.75,FALSE,TRUE,TRUE,TRUE,0,1,#N/A,503,#N/A,7.33823529411765,19.5,1,FALSE,FALSE,3,TRUE,1,FALSE,95,"Swvu.financial_outlook.","ACwvu.financial_outlook.",1,FALSE,FALSE,0.5,0,0.5,0,2,"","",TRUE,FALSE,FALSE,FALSE,1,#N/A,1,1,"=R509C1:R536C10",FALSE,#N/A,#N/A,FALSE,FALSE}</definedName>
    <definedName name="wvu.LDC_and_PL_Earnings." hidden="1">{TRUE,TRUE,-1.25,-15.5,484.5,279.75,FALSE,TRUE,TRUE,TRUE,0,1,#N/A,171,#N/A,7.33823529411765,19.5,1,FALSE,FALSE,3,TRUE,1,FALSE,95,"Swvu.LDC_and_PL_Earnings.","ACwvu.LDC_and_PL_Earnings.",1,FALSE,FALSE,0.5,0,0.5,0,2,"","",TRUE,FALSE,FALSE,FALSE,1,#N/A,1,1,"=R180C1:R233C10",FALSE,#N/A,#N/A,FALSE,FALSE}</definedName>
    <definedName name="wvu.PP_and_EA." hidden="1">{TRUE,TRUE,-1.25,-15.5,484.5,279.75,FALSE,TRUE,TRUE,TRUE,0,1,#N/A,1,#N/A,7.33823529411765,19.5,1,FALSE,FALSE,3,TRUE,1,FALSE,95,"Swvu.PP_and_EA.","ACwvu.PP_and_EA.",1,FALSE,FALSE,0.5,0,0.5,0,2,"","",TRUE,FALSE,FALSE,FALSE,1,#N/A,1,1,"=R6C1:R42C10",FALSE,#N/A,#N/A,FALSE,FALSE}</definedName>
    <definedName name="wvu.PP_and_Eb." hidden="1">{TRUE,TRUE,-1.25,-15.5,484.5,279.75,FALSE,TRUE,TRUE,TRUE,0,1,#N/A,36,#N/A,7.33823529411765,19.5,1,FALSE,FALSE,3,TRUE,1,FALSE,95,"Swvu.PP_and_Eb.","ACwvu.PP_and_Eb.",1,FALSE,FALSE,0.5,0,0.5,0,2,"","",TRUE,FALSE,FALSE,FALSE,1,#N/A,1,1,"=R45C1:R82C10",FALSE,#N/A,#N/A,FALSE,FALSE}</definedName>
    <definedName name="wvu.ratio_analysis." hidden="1">{TRUE,TRUE,-1.25,-15.5,484.5,279.75,FALSE,TRUE,TRUE,TRUE,0,1,#N/A,458,#N/A,7.33823529411765,19.5,1,FALSE,FALSE,3,TRUE,1,FALSE,95,"Swvu.ratio_analysis.","ACwvu.ratio_analysis.",1,FALSE,FALSE,0.5,0,0.5,0,2,"","",TRUE,FALSE,FALSE,FALSE,1,#N/A,1,1,"=R467C1:R506C10",FALSE,#N/A,#N/A,FALSE,FALSE}</definedName>
    <definedName name="wvu.throughput_A." hidden="1">{TRUE,TRUE,-1.25,-15.5,484.5,279.75,FALSE,TRUE,TRUE,TRUE,0,1,#N/A,85,#N/A,7.33823529411765,19.5,1,FALSE,FALSE,3,TRUE,1,FALSE,95,"Swvu.throughput_A.","ACwvu.throughput_A.",1,FALSE,FALSE,0.5,0,0.5,0,2,"","",TRUE,FALSE,FALSE,FALSE,1,#N/A,1,1,"=R94C1:R117C10",FALSE,#N/A,#N/A,FALSE,FALSE}</definedName>
    <definedName name="wvu.throughput_b." hidden="1">{TRUE,TRUE,-1.25,-15.5,484.5,279.75,FALSE,TRUE,TRUE,TRUE,0,1,#N/A,113,#N/A,7.33823529411765,19.5,1,FALSE,FALSE,3,TRUE,1,FALSE,95,"Swvu.throughput_b.","ACwvu.throughput_b.",1,FALSE,FALSE,0.5,0,0.5,0,2,"","",TRUE,FALSE,FALSE,FALSE,1,#N/A,1,1,"=R122C1:R170C10",FALSE,#N/A,#N/A,FALSE,FALSE}</definedName>
    <definedName name="xxx" localSheetId="12" hidden="1">{"cover a","1q",FALSE,"Cover";"Op Earn Mgd Q1",#N/A,FALSE,"Op-Earn (Mng)";"Op Earn Rpt Q1",#N/A,FALSE,"Op-Earn (Rpt)";"Loans",#N/A,FALSE,"Loans";"Credit Costs",#N/A,FALSE,"CCosts";"Net Interest Margin",#N/A,FALSE,"Margin";"Nonint Income",#N/A,FALSE,"NonII";"Nonint Exp",#N/A,FALSE,"NonIE";"Valuation",#N/A,FALSE,"Valuation"}</definedName>
    <definedName name="xxx" localSheetId="5" hidden="1">{"cover a","1q",FALSE,"Cover";"Op Earn Mgd Q1",#N/A,FALSE,"Op-Earn (Mng)";"Op Earn Rpt Q1",#N/A,FALSE,"Op-Earn (Rpt)";"Loans",#N/A,FALSE,"Loans";"Credit Costs",#N/A,FALSE,"CCosts";"Net Interest Margin",#N/A,FALSE,"Margin";"Nonint Income",#N/A,FALSE,"NonII";"Nonint Exp",#N/A,FALSE,"NonIE";"Valuation",#N/A,FALSE,"Valuation"}</definedName>
    <definedName name="xxx" localSheetId="3" hidden="1">{"cover a","1q",FALSE,"Cover";"Op Earn Mgd Q1",#N/A,FALSE,"Op-Earn (Mng)";"Op Earn Rpt Q1",#N/A,FALSE,"Op-Earn (Rpt)";"Loans",#N/A,FALSE,"Loans";"Credit Costs",#N/A,FALSE,"CCosts";"Net Interest Margin",#N/A,FALSE,"Margin";"Nonint Income",#N/A,FALSE,"NonII";"Nonint Exp",#N/A,FALSE,"NonIE";"Valuation",#N/A,FALSE,"Valuation"}</definedName>
    <definedName name="xxx" hidden="1">{"cover a","1q",FALSE,"Cover";"Op Earn Mgd Q1",#N/A,FALSE,"Op-Earn (Mng)";"Op Earn Rpt Q1",#N/A,FALSE,"Op-Earn (Rpt)";"Loans",#N/A,FALSE,"Loans";"Credit Costs",#N/A,FALSE,"CCosts";"Net Interest Margin",#N/A,FALSE,"Margin";"Nonint Income",#N/A,FALSE,"NonII";"Nonint Exp",#N/A,FALSE,"NonIE";"Valuation",#N/A,FALSE,"Valuation"}</definedName>
    <definedName name="Z_2A82A09C_3BBB_4611_B6AA_7AE8EB9D6C99_.wvu.PrintArea" localSheetId="6" hidden="1">Financials!$B$4:$B$168</definedName>
  </definedNames>
  <calcPr calcId="145621" iterate="1"/>
  <customWorkbookViews>
    <customWorkbookView name="Annual Income Statement" guid="{2A82A09C-3BBB-4611-B6AA-7AE8EB9D6C99}" maximized="1" windowWidth="776" windowHeight="570" activeSheetId="1"/>
  </customWorkbookViews>
</workbook>
</file>

<file path=xl/calcChain.xml><?xml version="1.0" encoding="utf-8"?>
<calcChain xmlns="http://schemas.openxmlformats.org/spreadsheetml/2006/main">
  <c r="DW42" i="229" l="1"/>
  <c r="DT42" i="229"/>
  <c r="DU42" i="229"/>
  <c r="DV42" i="229"/>
  <c r="DX42" i="229"/>
  <c r="DS42" i="229"/>
  <c r="DS38" i="229"/>
  <c r="DT38" i="229"/>
  <c r="DU38" i="229"/>
  <c r="DV38" i="229"/>
  <c r="DW38" i="229"/>
  <c r="DX38" i="229"/>
  <c r="DS37" i="229"/>
  <c r="DQ65" i="229"/>
  <c r="CU65" i="229"/>
  <c r="BO65" i="229"/>
  <c r="DQ55" i="229"/>
  <c r="BO55" i="229"/>
  <c r="CV127" i="229" l="1"/>
  <c r="CU127" i="229"/>
  <c r="CT127" i="229"/>
  <c r="CS127" i="229"/>
  <c r="CR127" i="229"/>
  <c r="CQ127" i="229"/>
  <c r="CP127" i="229"/>
  <c r="CO127" i="229"/>
  <c r="CN127" i="229"/>
  <c r="CM127" i="229"/>
  <c r="CL127" i="229"/>
  <c r="CK127" i="229"/>
  <c r="CJ127" i="229"/>
  <c r="CI127" i="229"/>
  <c r="CH127" i="229"/>
  <c r="CG127" i="229"/>
  <c r="CF127" i="229"/>
  <c r="CE127" i="229"/>
  <c r="CD127" i="229"/>
  <c r="CC127" i="229"/>
  <c r="CB127" i="229"/>
  <c r="CA127" i="229"/>
  <c r="BZ127" i="229"/>
  <c r="BY127" i="229"/>
  <c r="BX127" i="229"/>
  <c r="BW127" i="229"/>
  <c r="BV127" i="229"/>
  <c r="BU127" i="229"/>
  <c r="BT127" i="229"/>
  <c r="BS127" i="229"/>
  <c r="BR127" i="229"/>
  <c r="BQ127" i="229"/>
  <c r="BP127" i="229"/>
  <c r="BO127" i="229"/>
  <c r="BN127" i="229"/>
  <c r="BM127" i="229"/>
  <c r="BL127" i="229"/>
  <c r="BK127" i="229"/>
  <c r="BJ127" i="229"/>
  <c r="BI127" i="229"/>
  <c r="BH127" i="229"/>
  <c r="CV130" i="229"/>
  <c r="CU130" i="229"/>
  <c r="CT130" i="229"/>
  <c r="CS130" i="229"/>
  <c r="CR130" i="229"/>
  <c r="CQ130" i="229"/>
  <c r="CP130" i="229"/>
  <c r="CO130" i="229"/>
  <c r="CN130" i="229"/>
  <c r="CM130" i="229"/>
  <c r="CL130" i="229"/>
  <c r="CK130" i="229"/>
  <c r="CJ130" i="229"/>
  <c r="CI130" i="229"/>
  <c r="CH130" i="229"/>
  <c r="CG130" i="229"/>
  <c r="CF130" i="229"/>
  <c r="CE130" i="229"/>
  <c r="CD130" i="229"/>
  <c r="CC130" i="229"/>
  <c r="CB130" i="229"/>
  <c r="CA130" i="229"/>
  <c r="BZ130" i="229"/>
  <c r="BY130" i="229"/>
  <c r="BX130" i="229"/>
  <c r="BW130" i="229"/>
  <c r="BV130" i="229"/>
  <c r="BU130" i="229"/>
  <c r="BT130" i="229"/>
  <c r="BS130" i="229"/>
  <c r="BR130" i="229"/>
  <c r="BQ130" i="229"/>
  <c r="BP130" i="229"/>
  <c r="BO130" i="229"/>
  <c r="BN130" i="229"/>
  <c r="BM130" i="229"/>
  <c r="BL130" i="229"/>
  <c r="BK130" i="229"/>
  <c r="BJ130" i="229"/>
  <c r="BI130" i="229"/>
  <c r="BH130" i="229"/>
  <c r="DX129" i="229"/>
  <c r="DX130" i="229" s="1"/>
  <c r="DW129" i="229"/>
  <c r="DV129" i="229"/>
  <c r="DV130" i="229" s="1"/>
  <c r="DU129" i="229"/>
  <c r="DT129" i="229"/>
  <c r="DS129" i="229"/>
  <c r="DS130" i="229" s="1"/>
  <c r="DR129" i="229"/>
  <c r="DR130" i="229" s="1"/>
  <c r="DQ129" i="229"/>
  <c r="DQ130" i="229" s="1"/>
  <c r="DP129" i="229"/>
  <c r="DP130" i="229" s="1"/>
  <c r="DO129" i="229"/>
  <c r="DN129" i="229"/>
  <c r="DX126" i="229"/>
  <c r="DW126" i="229"/>
  <c r="DV126" i="229"/>
  <c r="DW127" i="229" s="1"/>
  <c r="DU126" i="229"/>
  <c r="DT126" i="229"/>
  <c r="DU127" i="229" s="1"/>
  <c r="DS126" i="229"/>
  <c r="DS127" i="229" s="1"/>
  <c r="DR126" i="229"/>
  <c r="DQ126" i="229"/>
  <c r="DP126" i="229"/>
  <c r="DQ127" i="229" s="1"/>
  <c r="DO126" i="229"/>
  <c r="DN126" i="229"/>
  <c r="DO127" i="229" s="1"/>
  <c r="CX129" i="229"/>
  <c r="CY129" i="229" s="1"/>
  <c r="CY130" i="229" s="1"/>
  <c r="CX126" i="229"/>
  <c r="CY126" i="229" s="1"/>
  <c r="CY127" i="229" s="1"/>
  <c r="DV127" i="229" l="1"/>
  <c r="CW127" i="229"/>
  <c r="DT130" i="229"/>
  <c r="DX127" i="229"/>
  <c r="DU130" i="229"/>
  <c r="DR127" i="229"/>
  <c r="DO130" i="229"/>
  <c r="DW130" i="229"/>
  <c r="DT127" i="229"/>
  <c r="CX127" i="229"/>
  <c r="DY129" i="229"/>
  <c r="CW130" i="229"/>
  <c r="DP127" i="229"/>
  <c r="CX130" i="229"/>
  <c r="DY126" i="229"/>
  <c r="DZ129" i="229" l="1"/>
  <c r="DY130" i="229"/>
  <c r="DZ126" i="229"/>
  <c r="DY127" i="229"/>
  <c r="EA126" i="229" l="1"/>
  <c r="DZ127" i="229"/>
  <c r="EA129" i="229"/>
  <c r="DZ130" i="229"/>
  <c r="EB129" i="229" l="1"/>
  <c r="EA130" i="229"/>
  <c r="EB126" i="229"/>
  <c r="EA127" i="229"/>
  <c r="EC126" i="229" l="1"/>
  <c r="EB127" i="229"/>
  <c r="EC129" i="229"/>
  <c r="EB130" i="229"/>
  <c r="ED129" i="229" l="1"/>
  <c r="ED130" i="229" s="1"/>
  <c r="EC130" i="229"/>
  <c r="ED126" i="229"/>
  <c r="ED127" i="229" s="1"/>
  <c r="EC127" i="229"/>
  <c r="E19" i="223" l="1"/>
  <c r="E18" i="223"/>
  <c r="P7" i="230"/>
  <c r="P19" i="230"/>
  <c r="F25" i="223" l="1"/>
  <c r="C46" i="223"/>
  <c r="D47" i="223"/>
  <c r="AB103" i="225" l="1"/>
  <c r="AA103" i="225"/>
  <c r="Z103" i="225"/>
  <c r="Y103" i="225"/>
  <c r="AB102" i="225"/>
  <c r="AA102" i="225"/>
  <c r="Z102" i="225"/>
  <c r="Y102" i="225"/>
  <c r="AB100" i="225"/>
  <c r="AA100" i="225"/>
  <c r="Z100" i="225"/>
  <c r="Y100" i="225"/>
  <c r="AB98" i="225"/>
  <c r="AA98" i="225"/>
  <c r="Z98" i="225"/>
  <c r="Y98" i="225"/>
  <c r="AB97" i="225"/>
  <c r="AA97" i="225"/>
  <c r="Z97" i="225"/>
  <c r="Y97" i="225"/>
  <c r="AB95" i="225"/>
  <c r="AA95" i="225"/>
  <c r="Z95" i="225"/>
  <c r="Y95" i="225"/>
  <c r="AB93" i="225"/>
  <c r="AA93" i="225"/>
  <c r="Z93" i="225"/>
  <c r="Y93" i="225"/>
  <c r="AB92" i="225"/>
  <c r="AA92" i="225"/>
  <c r="Z92" i="225"/>
  <c r="Y92" i="225"/>
  <c r="AB89" i="225"/>
  <c r="AA89" i="225"/>
  <c r="Z89" i="225"/>
  <c r="Y89" i="225"/>
  <c r="AB88" i="225"/>
  <c r="AA88" i="225"/>
  <c r="Z88" i="225"/>
  <c r="Y88" i="225"/>
  <c r="AB86" i="225"/>
  <c r="AA86" i="225"/>
  <c r="Z86" i="225"/>
  <c r="Y86" i="225"/>
  <c r="AB84" i="225"/>
  <c r="AA84" i="225"/>
  <c r="Z84" i="225"/>
  <c r="Y84" i="225"/>
  <c r="AB83" i="225"/>
  <c r="AA83" i="225"/>
  <c r="Z83" i="225"/>
  <c r="Y83" i="225"/>
  <c r="AB81" i="225"/>
  <c r="AA81" i="225"/>
  <c r="Z81" i="225"/>
  <c r="Y81" i="225"/>
  <c r="AB79" i="225"/>
  <c r="AA79" i="225"/>
  <c r="Z79" i="225"/>
  <c r="Y79" i="225"/>
  <c r="AB78" i="225"/>
  <c r="AA78" i="225"/>
  <c r="Z78" i="225"/>
  <c r="Y78" i="225"/>
  <c r="AB75" i="225"/>
  <c r="AA75" i="225"/>
  <c r="Z75" i="225"/>
  <c r="Y75" i="225"/>
  <c r="AB74" i="225"/>
  <c r="AA74" i="225"/>
  <c r="Z74" i="225"/>
  <c r="Y74" i="225"/>
  <c r="AB72" i="225"/>
  <c r="AA72" i="225"/>
  <c r="Z72" i="225"/>
  <c r="Y72" i="225"/>
  <c r="AB70" i="225"/>
  <c r="AA70" i="225"/>
  <c r="Z70" i="225"/>
  <c r="Y70" i="225"/>
  <c r="AB69" i="225"/>
  <c r="AA69" i="225"/>
  <c r="Z69" i="225"/>
  <c r="Y69" i="225"/>
  <c r="AB67" i="225"/>
  <c r="AA67" i="225"/>
  <c r="Z67" i="225"/>
  <c r="Y67" i="225"/>
  <c r="AB65" i="225"/>
  <c r="AA65" i="225"/>
  <c r="Z65" i="225"/>
  <c r="Y65" i="225"/>
  <c r="AB64" i="225"/>
  <c r="AA64" i="225"/>
  <c r="Z64" i="225"/>
  <c r="Y64" i="225"/>
  <c r="AB61" i="225"/>
  <c r="AA61" i="225"/>
  <c r="Z61" i="225"/>
  <c r="Y61" i="225"/>
  <c r="AB60" i="225"/>
  <c r="AA60" i="225"/>
  <c r="AA18" i="225" s="1"/>
  <c r="Z60" i="225"/>
  <c r="Y60" i="225"/>
  <c r="AB58" i="225"/>
  <c r="AA58" i="225"/>
  <c r="Z58" i="225"/>
  <c r="Y58" i="225"/>
  <c r="AB56" i="225"/>
  <c r="AA56" i="225"/>
  <c r="Z56" i="225"/>
  <c r="Y56" i="225"/>
  <c r="AB55" i="225"/>
  <c r="AA55" i="225"/>
  <c r="Z55" i="225"/>
  <c r="Y55" i="225"/>
  <c r="AB53" i="225"/>
  <c r="AA53" i="225"/>
  <c r="Z53" i="225"/>
  <c r="Y53" i="225"/>
  <c r="AB51" i="225"/>
  <c r="AA51" i="225"/>
  <c r="Z51" i="225"/>
  <c r="Y51" i="225"/>
  <c r="AB50" i="225"/>
  <c r="AA50" i="225"/>
  <c r="Z50" i="225"/>
  <c r="Y50" i="225"/>
  <c r="AB47" i="225"/>
  <c r="AA47" i="225"/>
  <c r="Z47" i="225"/>
  <c r="Y47" i="225"/>
  <c r="AB46" i="225"/>
  <c r="AB18" i="225" s="1"/>
  <c r="AA46" i="225"/>
  <c r="Z46" i="225"/>
  <c r="Y46" i="225"/>
  <c r="AB44" i="225"/>
  <c r="AA44" i="225"/>
  <c r="Z44" i="225"/>
  <c r="Y44" i="225"/>
  <c r="Y16" i="225" s="1"/>
  <c r="AB42" i="225"/>
  <c r="AB14" i="225" s="1"/>
  <c r="AA42" i="225"/>
  <c r="AA14" i="225" s="1"/>
  <c r="Z42" i="225"/>
  <c r="Y42" i="225"/>
  <c r="AB41" i="225"/>
  <c r="AA41" i="225"/>
  <c r="Z41" i="225"/>
  <c r="Y41" i="225"/>
  <c r="AA39" i="225"/>
  <c r="Z39" i="225"/>
  <c r="Y39" i="225"/>
  <c r="AB37" i="225"/>
  <c r="AA37" i="225"/>
  <c r="Z37" i="225"/>
  <c r="Y37" i="225"/>
  <c r="AB36" i="225"/>
  <c r="AB8" i="225" s="1"/>
  <c r="AA36" i="225"/>
  <c r="AA8" i="225" s="1"/>
  <c r="Z36" i="225"/>
  <c r="Y36" i="225"/>
  <c r="Y8" i="225" s="1"/>
  <c r="AB32" i="225"/>
  <c r="AA32" i="225"/>
  <c r="Z32" i="225"/>
  <c r="Y32" i="225"/>
  <c r="AB30" i="225"/>
  <c r="AA30" i="225"/>
  <c r="Z30" i="225"/>
  <c r="Y30" i="225"/>
  <c r="AB28" i="225"/>
  <c r="AA28" i="225"/>
  <c r="Z28" i="225"/>
  <c r="Y28" i="225"/>
  <c r="Y14" i="225" s="1"/>
  <c r="AB23" i="225"/>
  <c r="AB9" i="225" s="1"/>
  <c r="AA23" i="225"/>
  <c r="Z23" i="225"/>
  <c r="Y23" i="225"/>
  <c r="AB22" i="225"/>
  <c r="AA22" i="225"/>
  <c r="Z22" i="225"/>
  <c r="Z8" i="225"/>
  <c r="Y22" i="225"/>
  <c r="Z14" i="225"/>
  <c r="Z16" i="225"/>
  <c r="AA16" i="225"/>
  <c r="AB16" i="225"/>
  <c r="Z9" i="225" l="1"/>
  <c r="AA9" i="225"/>
  <c r="Z18" i="225"/>
  <c r="Y18" i="225"/>
  <c r="Y9" i="225"/>
  <c r="E37" i="230" l="1"/>
  <c r="EC18" i="229" l="1"/>
  <c r="ED18" i="229" s="1"/>
  <c r="CY18" i="229" l="1"/>
  <c r="CX18" i="229"/>
  <c r="CW18" i="229"/>
  <c r="CV18" i="229"/>
  <c r="F19" i="230" l="1"/>
  <c r="G19" i="230"/>
  <c r="H19" i="230"/>
  <c r="I19" i="230"/>
  <c r="J19" i="230"/>
  <c r="K19" i="230"/>
  <c r="L19" i="230"/>
  <c r="M19" i="230"/>
  <c r="N19" i="230"/>
  <c r="O19" i="230"/>
  <c r="E19" i="230"/>
  <c r="O7" i="230" l="1"/>
  <c r="L53" i="223" l="1"/>
  <c r="M53" i="223" s="1"/>
  <c r="L45" i="223" l="1"/>
  <c r="L46" i="223" s="1"/>
  <c r="L48" i="223" l="1"/>
  <c r="L47" i="223"/>
  <c r="E39" i="223"/>
  <c r="D45" i="223"/>
  <c r="E45" i="223" l="1"/>
  <c r="E48" i="223" s="1"/>
  <c r="F39" i="223"/>
  <c r="F45" i="223" s="1"/>
  <c r="F46" i="223" s="1"/>
  <c r="D48" i="223"/>
  <c r="D46" i="223"/>
  <c r="F48" i="223" l="1"/>
  <c r="F47" i="223"/>
  <c r="E46" i="223"/>
  <c r="E47" i="223"/>
  <c r="I31" i="223" l="1"/>
  <c r="F19" i="223"/>
  <c r="G19" i="223" s="1"/>
  <c r="P37" i="230" s="1"/>
  <c r="E33" i="230"/>
  <c r="EA63" i="229"/>
  <c r="EB63" i="229" s="1"/>
  <c r="EC63" i="229" s="1"/>
  <c r="ED63" i="229" s="1"/>
  <c r="D20" i="226"/>
  <c r="F20" i="226" s="1"/>
  <c r="D19" i="226"/>
  <c r="F19" i="226" s="1"/>
  <c r="D15" i="226"/>
  <c r="F15" i="226" s="1"/>
  <c r="G37" i="226"/>
  <c r="F37" i="226"/>
  <c r="E37" i="226"/>
  <c r="D37" i="226"/>
  <c r="F18" i="223" l="1"/>
  <c r="G18" i="223" s="1"/>
  <c r="P36" i="230" s="1"/>
  <c r="EA44" i="1"/>
  <c r="EB44" i="1" s="1"/>
  <c r="EC44" i="1" s="1"/>
  <c r="ED44" i="1" s="1"/>
  <c r="DZ44" i="1"/>
  <c r="CX44" i="1"/>
  <c r="CY44" i="1" s="1"/>
  <c r="CW44" i="1"/>
  <c r="N7" i="230"/>
  <c r="DX122" i="229"/>
  <c r="DX120" i="229"/>
  <c r="CU121" i="229"/>
  <c r="DX36" i="229"/>
  <c r="CU69" i="229"/>
  <c r="CU62" i="229"/>
  <c r="CU61" i="229"/>
  <c r="CU59" i="229"/>
  <c r="CU58" i="229"/>
  <c r="ED20" i="229" l="1"/>
  <c r="ED4" i="229"/>
  <c r="EC20" i="229"/>
  <c r="EC4" i="229"/>
  <c r="EB20" i="229"/>
  <c r="EC14" i="229"/>
  <c r="EB4" i="229"/>
  <c r="ED166" i="1"/>
  <c r="ED128" i="1"/>
  <c r="ED114" i="1"/>
  <c r="ED107" i="1"/>
  <c r="ED89" i="1"/>
  <c r="ED86" i="1"/>
  <c r="ED84" i="1"/>
  <c r="ED82" i="1"/>
  <c r="ED78" i="1"/>
  <c r="ED77" i="1"/>
  <c r="ED73" i="1"/>
  <c r="ED72" i="1"/>
  <c r="ED70" i="1"/>
  <c r="ED67" i="1"/>
  <c r="ED66" i="1"/>
  <c r="ED62" i="1"/>
  <c r="ED57" i="1"/>
  <c r="ED20" i="1"/>
  <c r="ED19" i="1"/>
  <c r="ED18" i="1"/>
  <c r="ED14" i="1"/>
  <c r="EC166" i="1"/>
  <c r="EC128" i="1"/>
  <c r="EC114" i="1"/>
  <c r="EC107" i="1"/>
  <c r="EC89" i="1"/>
  <c r="EC86" i="1"/>
  <c r="EC84" i="1"/>
  <c r="EC82" i="1"/>
  <c r="EC78" i="1"/>
  <c r="EC77" i="1"/>
  <c r="EC73" i="1"/>
  <c r="EC72" i="1"/>
  <c r="EC70" i="1"/>
  <c r="EC67" i="1"/>
  <c r="EC66" i="1"/>
  <c r="EC62" i="1"/>
  <c r="EC57" i="1"/>
  <c r="EC20" i="1"/>
  <c r="EC19" i="1"/>
  <c r="EC18" i="1"/>
  <c r="EC14" i="1"/>
  <c r="EB166" i="1"/>
  <c r="EB128" i="1"/>
  <c r="EB114" i="1"/>
  <c r="EB107" i="1"/>
  <c r="EB89" i="1"/>
  <c r="EB86" i="1"/>
  <c r="EB84" i="1"/>
  <c r="EB82" i="1"/>
  <c r="EB78" i="1"/>
  <c r="EB77" i="1"/>
  <c r="EB73" i="1"/>
  <c r="EB72" i="1"/>
  <c r="EB70" i="1"/>
  <c r="EB67" i="1"/>
  <c r="EB66" i="1"/>
  <c r="EB62" i="1"/>
  <c r="EB57" i="1"/>
  <c r="EB20" i="1"/>
  <c r="EB19" i="1"/>
  <c r="EB18" i="1"/>
  <c r="EB14" i="1"/>
  <c r="CY97" i="1"/>
  <c r="CY96" i="1"/>
  <c r="CX96" i="1"/>
  <c r="CX97" i="1"/>
  <c r="CY95" i="1"/>
  <c r="CW96" i="1"/>
  <c r="CV96" i="1"/>
  <c r="CV95" i="1"/>
  <c r="CW95" i="1"/>
  <c r="CX95" i="1"/>
  <c r="CW97" i="1"/>
  <c r="CV97" i="1"/>
  <c r="CW162" i="1"/>
  <c r="CX162" i="1" s="1"/>
  <c r="CY162" i="1" s="1"/>
  <c r="CW47" i="1"/>
  <c r="CX47" i="1" s="1"/>
  <c r="CY47" i="1" s="1"/>
  <c r="CX24" i="1"/>
  <c r="CY24" i="1" s="1"/>
  <c r="CW24" i="1"/>
  <c r="CV20" i="1"/>
  <c r="CV13" i="1"/>
  <c r="CR51" i="229"/>
  <c r="CR48" i="229"/>
  <c r="DW154" i="1"/>
  <c r="DV154" i="1"/>
  <c r="DU154" i="1"/>
  <c r="DT154" i="1"/>
  <c r="DS154" i="1"/>
  <c r="DR154" i="1"/>
  <c r="DQ154" i="1"/>
  <c r="DP154" i="1"/>
  <c r="DO154" i="1"/>
  <c r="DN154" i="1"/>
  <c r="DM154" i="1"/>
  <c r="DL154" i="1"/>
  <c r="DK154" i="1"/>
  <c r="DJ154" i="1"/>
  <c r="DI154" i="1"/>
  <c r="DH154" i="1"/>
  <c r="DG154" i="1"/>
  <c r="DF154" i="1"/>
  <c r="DE154" i="1"/>
  <c r="DD154" i="1"/>
  <c r="DC154" i="1"/>
  <c r="DB154" i="1"/>
  <c r="DA154" i="1"/>
  <c r="CU154" i="1"/>
  <c r="CT154" i="1"/>
  <c r="CS154" i="1"/>
  <c r="CR154" i="1"/>
  <c r="CQ154" i="1"/>
  <c r="CP154" i="1"/>
  <c r="CO154" i="1"/>
  <c r="CN154" i="1"/>
  <c r="CM154" i="1"/>
  <c r="CL154" i="1"/>
  <c r="CK154" i="1"/>
  <c r="CJ154" i="1"/>
  <c r="CI154" i="1"/>
  <c r="CH154" i="1"/>
  <c r="CG154" i="1"/>
  <c r="CF154" i="1"/>
  <c r="CE154" i="1"/>
  <c r="CD154" i="1"/>
  <c r="CC154" i="1"/>
  <c r="CB154" i="1"/>
  <c r="CA154" i="1"/>
  <c r="BZ154" i="1"/>
  <c r="BY154" i="1"/>
  <c r="BX154" i="1"/>
  <c r="BW154" i="1"/>
  <c r="BV154" i="1"/>
  <c r="BU154" i="1"/>
  <c r="BT154" i="1"/>
  <c r="BS154" i="1"/>
  <c r="BR154" i="1"/>
  <c r="BQ154" i="1"/>
  <c r="BP154" i="1"/>
  <c r="BO154" i="1"/>
  <c r="BN154" i="1"/>
  <c r="BM154" i="1"/>
  <c r="BL154" i="1"/>
  <c r="BK154" i="1"/>
  <c r="BJ154" i="1"/>
  <c r="BI154" i="1"/>
  <c r="BH154" i="1"/>
  <c r="BG154" i="1"/>
  <c r="BF154" i="1"/>
  <c r="BE154" i="1"/>
  <c r="BD154" i="1"/>
  <c r="BC154" i="1"/>
  <c r="BB154" i="1"/>
  <c r="BA154" i="1"/>
  <c r="AZ154" i="1"/>
  <c r="AY154" i="1"/>
  <c r="AX154" i="1"/>
  <c r="AW154" i="1"/>
  <c r="AV154" i="1"/>
  <c r="AU154" i="1"/>
  <c r="AT154" i="1"/>
  <c r="AS154" i="1"/>
  <c r="AR154" i="1"/>
  <c r="AQ154" i="1"/>
  <c r="AP154" i="1"/>
  <c r="AO154" i="1"/>
  <c r="AN154" i="1"/>
  <c r="AM154" i="1"/>
  <c r="AL154" i="1"/>
  <c r="AK154" i="1"/>
  <c r="AJ154" i="1"/>
  <c r="AI154" i="1"/>
  <c r="AH154" i="1"/>
  <c r="AG154" i="1"/>
  <c r="AF154" i="1"/>
  <c r="AE154" i="1"/>
  <c r="AD154" i="1"/>
  <c r="AC154" i="1"/>
  <c r="AB154" i="1"/>
  <c r="AA154" i="1"/>
  <c r="Z154" i="1"/>
  <c r="Y154" i="1"/>
  <c r="X154" i="1"/>
  <c r="W154" i="1"/>
  <c r="V154" i="1"/>
  <c r="U154" i="1"/>
  <c r="T154" i="1"/>
  <c r="S154" i="1"/>
  <c r="R154" i="1"/>
  <c r="Q154" i="1"/>
  <c r="P154" i="1"/>
  <c r="O154" i="1"/>
  <c r="N154" i="1"/>
  <c r="M154" i="1"/>
  <c r="L154" i="1"/>
  <c r="K154" i="1"/>
  <c r="J154" i="1"/>
  <c r="I154" i="1"/>
  <c r="H154" i="1"/>
  <c r="G154" i="1"/>
  <c r="F154" i="1"/>
  <c r="E154" i="1"/>
  <c r="D154" i="1"/>
  <c r="DX151" i="1"/>
  <c r="DW151" i="1"/>
  <c r="DV151" i="1"/>
  <c r="DU151" i="1"/>
  <c r="DT151" i="1"/>
  <c r="DS151" i="1"/>
  <c r="DR151" i="1"/>
  <c r="DQ151" i="1"/>
  <c r="DP151" i="1"/>
  <c r="DO151" i="1"/>
  <c r="DN151" i="1"/>
  <c r="DM151" i="1"/>
  <c r="DL151" i="1"/>
  <c r="DK151" i="1"/>
  <c r="DJ151" i="1"/>
  <c r="DI151" i="1"/>
  <c r="DH151" i="1"/>
  <c r="DG151" i="1"/>
  <c r="DE151" i="1"/>
  <c r="DC151" i="1"/>
  <c r="DB151" i="1"/>
  <c r="DD151" i="1"/>
  <c r="DF151" i="1"/>
  <c r="DY148" i="1"/>
  <c r="DY145" i="1"/>
  <c r="DY142" i="1"/>
  <c r="DY141" i="1"/>
  <c r="DY140" i="1"/>
  <c r="DY139" i="1"/>
  <c r="DY138" i="1"/>
  <c r="DY135" i="1"/>
  <c r="DY134" i="1"/>
  <c r="DY128" i="1"/>
  <c r="DY123" i="1"/>
  <c r="DY118" i="1"/>
  <c r="DY107" i="1"/>
  <c r="DY89" i="1"/>
  <c r="DY86" i="1"/>
  <c r="DY84" i="1"/>
  <c r="DY82" i="1"/>
  <c r="DY78" i="1"/>
  <c r="DY77" i="1"/>
  <c r="DY73" i="1"/>
  <c r="DY72" i="1"/>
  <c r="DY70" i="1"/>
  <c r="DY67" i="1"/>
  <c r="DY66" i="1"/>
  <c r="DY62" i="1"/>
  <c r="DY44" i="1"/>
  <c r="DY45" i="1" s="1"/>
  <c r="CT35" i="1"/>
  <c r="CT34" i="1"/>
  <c r="CT33" i="1"/>
  <c r="DX33" i="1"/>
  <c r="DW33" i="1"/>
  <c r="DV33" i="1"/>
  <c r="DU33" i="1"/>
  <c r="DT33" i="1"/>
  <c r="DS33" i="1"/>
  <c r="DR33" i="1"/>
  <c r="DQ33" i="1"/>
  <c r="DP33" i="1"/>
  <c r="DO33" i="1"/>
  <c r="DN33" i="1"/>
  <c r="DM33" i="1"/>
  <c r="DL33" i="1"/>
  <c r="DK33" i="1"/>
  <c r="DJ33" i="1"/>
  <c r="DI33" i="1"/>
  <c r="DH33" i="1"/>
  <c r="DG33" i="1"/>
  <c r="DF33" i="1"/>
  <c r="DE33" i="1"/>
  <c r="DY20" i="1"/>
  <c r="DY14" i="1"/>
  <c r="DY114" i="1"/>
  <c r="DY57" i="1"/>
  <c r="DX47" i="229"/>
  <c r="CU52" i="229"/>
  <c r="CT52" i="229"/>
  <c r="CS52" i="229"/>
  <c r="CU51" i="229"/>
  <c r="CU49" i="229"/>
  <c r="CT49" i="229"/>
  <c r="CS49" i="229"/>
  <c r="CU48" i="229"/>
  <c r="F13" i="223"/>
  <c r="DX41" i="1"/>
  <c r="CU23" i="1"/>
  <c r="CU8" i="1"/>
  <c r="E17" i="223"/>
  <c r="E16" i="223"/>
  <c r="E15" i="223"/>
  <c r="E13" i="223"/>
  <c r="F21" i="222"/>
  <c r="F16" i="222"/>
  <c r="EB45" i="229" l="1"/>
  <c r="EB125" i="229"/>
  <c r="EC45" i="229"/>
  <c r="EC125" i="229"/>
  <c r="ED45" i="229"/>
  <c r="ED125" i="229"/>
  <c r="ED23" i="229"/>
  <c r="ED14" i="229"/>
  <c r="EC23" i="229"/>
  <c r="ED30" i="229"/>
  <c r="EC26" i="229"/>
  <c r="EC8" i="229"/>
  <c r="EC31" i="229"/>
  <c r="DY47" i="1"/>
  <c r="EC27" i="229"/>
  <c r="EC11" i="229"/>
  <c r="ED8" i="229"/>
  <c r="ED26" i="229"/>
  <c r="EB27" i="229"/>
  <c r="ED11" i="229"/>
  <c r="ED27" i="229"/>
  <c r="EC17" i="229"/>
  <c r="ED31" i="229"/>
  <c r="ED17" i="229"/>
  <c r="EC30" i="229"/>
  <c r="DY24" i="229"/>
  <c r="DY21" i="229"/>
  <c r="DX6" i="229"/>
  <c r="EC29" i="229" l="1"/>
  <c r="EC62" i="229" s="1"/>
  <c r="ED29" i="229"/>
  <c r="ED62" i="229" s="1"/>
  <c r="DY12" i="229" l="1"/>
  <c r="DY9" i="229"/>
  <c r="DY15" i="229"/>
  <c r="CV27" i="229"/>
  <c r="DY6" i="229"/>
  <c r="CU129" i="1"/>
  <c r="CU128" i="1"/>
  <c r="CU127" i="1"/>
  <c r="CU126" i="1"/>
  <c r="CU125" i="1"/>
  <c r="CU84" i="1"/>
  <c r="CU83" i="1"/>
  <c r="CU144" i="1"/>
  <c r="CU143" i="1"/>
  <c r="CU98" i="1"/>
  <c r="CU82" i="1"/>
  <c r="CV82" i="1" s="1"/>
  <c r="CW82" i="1" s="1"/>
  <c r="CX82" i="1" s="1"/>
  <c r="CY82" i="1" s="1"/>
  <c r="CV84" i="1"/>
  <c r="CW84" i="1" s="1"/>
  <c r="CX84" i="1" s="1"/>
  <c r="CY84" i="1" s="1"/>
  <c r="CU49" i="1"/>
  <c r="CT47" i="1"/>
  <c r="CS47" i="1"/>
  <c r="CU20" i="1"/>
  <c r="CU169" i="1"/>
  <c r="CU166" i="1"/>
  <c r="CU114" i="1"/>
  <c r="CU109" i="1"/>
  <c r="CU108" i="1"/>
  <c r="CU107" i="1"/>
  <c r="CU102" i="1"/>
  <c r="CU97" i="1" s="1"/>
  <c r="CU101" i="1"/>
  <c r="CU96" i="1"/>
  <c r="CU95" i="1"/>
  <c r="CU74" i="1"/>
  <c r="CU79" i="1" s="1"/>
  <c r="CU90" i="1" s="1"/>
  <c r="CU63" i="1"/>
  <c r="CU68" i="1" s="1"/>
  <c r="CU57" i="1"/>
  <c r="CU45" i="1"/>
  <c r="CU35" i="1"/>
  <c r="CU36" i="1" s="1"/>
  <c r="CU33" i="1"/>
  <c r="CU34" i="1" s="1"/>
  <c r="CU19" i="1"/>
  <c r="CU13" i="1"/>
  <c r="CW13" i="1" s="1"/>
  <c r="CX13" i="1" s="1"/>
  <c r="CY13" i="1" s="1"/>
  <c r="CU9" i="1"/>
  <c r="CU15" i="1" s="1"/>
  <c r="CU7" i="1"/>
  <c r="CU123" i="229"/>
  <c r="CU116" i="229"/>
  <c r="CU109" i="229" s="1"/>
  <c r="CV109" i="229" s="1"/>
  <c r="CW109" i="229" s="1"/>
  <c r="CX109" i="229" s="1"/>
  <c r="CY109" i="229" s="1"/>
  <c r="CU114" i="229"/>
  <c r="CU111" i="229"/>
  <c r="CU108" i="229"/>
  <c r="CU105" i="229"/>
  <c r="CU94" i="229"/>
  <c r="CU93" i="229"/>
  <c r="CU91" i="229"/>
  <c r="CU90" i="229"/>
  <c r="CU86" i="229"/>
  <c r="CU83" i="229"/>
  <c r="CU82" i="229"/>
  <c r="CU80" i="229"/>
  <c r="CU79" i="229"/>
  <c r="CU75" i="229"/>
  <c r="CU31" i="229"/>
  <c r="CU30" i="229"/>
  <c r="CU27" i="229"/>
  <c r="CU26" i="229"/>
  <c r="CU25" i="229"/>
  <c r="CU23" i="229"/>
  <c r="CU22" i="229"/>
  <c r="CU20" i="229"/>
  <c r="CU19" i="229"/>
  <c r="CU17" i="229"/>
  <c r="CU16" i="229"/>
  <c r="CU14" i="229"/>
  <c r="CU13" i="229"/>
  <c r="CU11" i="229"/>
  <c r="CU10" i="229"/>
  <c r="CU8" i="229"/>
  <c r="CU7" i="229"/>
  <c r="CU4" i="229"/>
  <c r="CV14" i="1"/>
  <c r="CW14" i="1" s="1"/>
  <c r="CX14" i="1" s="1"/>
  <c r="CY14" i="1" s="1"/>
  <c r="CW20" i="1"/>
  <c r="CX20" i="1" s="1"/>
  <c r="CY20" i="1" s="1"/>
  <c r="CV62" i="1"/>
  <c r="CW62" i="1" s="1"/>
  <c r="CX62" i="1" s="1"/>
  <c r="CY62" i="1" s="1"/>
  <c r="CY76" i="229"/>
  <c r="CY31" i="229"/>
  <c r="CY30" i="229"/>
  <c r="CY27" i="229"/>
  <c r="CY26" i="229"/>
  <c r="CY25" i="229"/>
  <c r="CY23" i="229"/>
  <c r="CY22" i="229"/>
  <c r="CY20" i="229"/>
  <c r="CY19" i="229"/>
  <c r="CY17" i="229"/>
  <c r="CY16" i="229"/>
  <c r="CY14" i="229"/>
  <c r="CY13" i="229"/>
  <c r="CY11" i="229"/>
  <c r="CY10" i="229"/>
  <c r="CY8" i="229"/>
  <c r="CY7" i="229"/>
  <c r="CY4" i="229"/>
  <c r="CX76" i="229"/>
  <c r="CX31" i="229"/>
  <c r="CX30" i="229"/>
  <c r="CX27" i="229"/>
  <c r="CX26" i="229"/>
  <c r="CX25" i="229"/>
  <c r="CX23" i="229"/>
  <c r="CX22" i="229"/>
  <c r="CX20" i="229"/>
  <c r="CX19" i="229"/>
  <c r="CX17" i="229"/>
  <c r="CX16" i="229"/>
  <c r="CX14" i="229"/>
  <c r="CX13" i="229"/>
  <c r="CX11" i="229"/>
  <c r="CX10" i="229"/>
  <c r="CX8" i="229"/>
  <c r="CX7" i="229"/>
  <c r="CX4" i="229"/>
  <c r="CW76" i="229"/>
  <c r="CW31" i="229"/>
  <c r="CW30" i="229"/>
  <c r="CW27" i="229"/>
  <c r="CW26" i="229"/>
  <c r="CW25" i="229"/>
  <c r="CW23" i="229"/>
  <c r="CW22" i="229"/>
  <c r="CW20" i="229"/>
  <c r="CW19" i="229"/>
  <c r="CW17" i="229"/>
  <c r="CW16" i="229"/>
  <c r="CW14" i="229"/>
  <c r="CW13" i="229"/>
  <c r="CW11" i="229"/>
  <c r="CW10" i="229"/>
  <c r="CW8" i="229"/>
  <c r="CW7" i="229"/>
  <c r="CW4" i="229"/>
  <c r="CV31" i="229"/>
  <c r="CV30" i="229"/>
  <c r="CV26" i="229"/>
  <c r="CV25" i="229"/>
  <c r="CV23" i="229"/>
  <c r="CV22" i="229"/>
  <c r="CV20" i="229"/>
  <c r="CV19" i="229"/>
  <c r="CV17" i="229"/>
  <c r="CV16" i="229"/>
  <c r="CV14" i="229"/>
  <c r="CV13" i="229"/>
  <c r="CV11" i="229"/>
  <c r="CV10" i="229"/>
  <c r="CV8" i="229"/>
  <c r="CV7" i="229"/>
  <c r="CV4" i="229"/>
  <c r="CY166" i="1"/>
  <c r="CY114" i="1"/>
  <c r="CY57" i="1"/>
  <c r="CY45" i="1"/>
  <c r="CX166" i="1"/>
  <c r="CX114" i="1"/>
  <c r="CX57" i="1"/>
  <c r="CX45" i="1"/>
  <c r="CW166" i="1"/>
  <c r="CW114" i="1"/>
  <c r="CW78" i="1"/>
  <c r="CX78" i="1" s="1"/>
  <c r="CY78" i="1" s="1"/>
  <c r="CW57" i="1"/>
  <c r="CW45" i="1"/>
  <c r="CV166" i="1"/>
  <c r="CV114" i="1"/>
  <c r="CV89" i="1"/>
  <c r="CW89" i="1" s="1"/>
  <c r="CX89" i="1" s="1"/>
  <c r="CY89" i="1" s="1"/>
  <c r="CV78" i="1"/>
  <c r="CV73" i="1"/>
  <c r="CW73" i="1" s="1"/>
  <c r="CX73" i="1" s="1"/>
  <c r="CY73" i="1" s="1"/>
  <c r="CV70" i="1"/>
  <c r="CW70" i="1" s="1"/>
  <c r="CX70" i="1" s="1"/>
  <c r="CY70" i="1" s="1"/>
  <c r="CV67" i="1"/>
  <c r="CW67" i="1" s="1"/>
  <c r="CX67" i="1" s="1"/>
  <c r="CY67" i="1" s="1"/>
  <c r="CV66" i="1"/>
  <c r="CW66" i="1" s="1"/>
  <c r="CX66" i="1" s="1"/>
  <c r="CY66" i="1" s="1"/>
  <c r="CV57" i="1"/>
  <c r="CV45" i="1"/>
  <c r="R12" i="225"/>
  <c r="Q12" i="225"/>
  <c r="P12" i="225"/>
  <c r="P10" i="225"/>
  <c r="R10" i="225"/>
  <c r="Q16" i="225"/>
  <c r="Q11" i="225"/>
  <c r="Q9" i="225"/>
  <c r="Q8" i="225"/>
  <c r="Q10" i="225" s="1"/>
  <c r="O37" i="226"/>
  <c r="N37" i="226"/>
  <c r="M37" i="226"/>
  <c r="L37" i="226"/>
  <c r="K37" i="226"/>
  <c r="J37" i="226"/>
  <c r="I37" i="226"/>
  <c r="H37" i="226"/>
  <c r="D21" i="222"/>
  <c r="D26" i="222"/>
  <c r="D24" i="222"/>
  <c r="D10" i="222"/>
  <c r="CU45" i="229" l="1"/>
  <c r="CU125" i="229"/>
  <c r="CW45" i="229"/>
  <c r="CW125" i="229"/>
  <c r="CY45" i="229"/>
  <c r="CY125" i="229"/>
  <c r="CV45" i="229"/>
  <c r="CV125" i="229"/>
  <c r="CX45" i="229"/>
  <c r="CX125" i="229"/>
  <c r="ED66" i="229"/>
  <c r="CU112" i="229"/>
  <c r="CV112" i="229" s="1"/>
  <c r="CW112" i="229" s="1"/>
  <c r="CX112" i="229" s="1"/>
  <c r="CY112" i="229" s="1"/>
  <c r="CU115" i="229"/>
  <c r="CV115" i="229" s="1"/>
  <c r="CW115" i="229" s="1"/>
  <c r="CX115" i="229" s="1"/>
  <c r="CY115" i="229" s="1"/>
  <c r="CU106" i="229"/>
  <c r="CV106" i="229" s="1"/>
  <c r="CW106" i="229" s="1"/>
  <c r="CX106" i="229" s="1"/>
  <c r="CY106" i="229" s="1"/>
  <c r="CV76" i="229"/>
  <c r="CY77" i="229"/>
  <c r="CY28" i="229"/>
  <c r="CX28" i="229"/>
  <c r="CW28" i="229"/>
  <c r="CU146" i="1"/>
  <c r="CU92" i="1"/>
  <c r="CV143" i="1"/>
  <c r="CU16" i="1"/>
  <c r="CU21" i="1"/>
  <c r="CU26" i="1" s="1"/>
  <c r="CU10" i="1"/>
  <c r="CV28" i="229"/>
  <c r="CY29" i="229"/>
  <c r="CV72" i="1"/>
  <c r="CV77" i="1"/>
  <c r="CW77" i="1" s="1"/>
  <c r="CW107" i="1" s="1"/>
  <c r="CW143" i="1"/>
  <c r="CX143" i="1"/>
  <c r="CW19" i="1"/>
  <c r="CV18" i="1"/>
  <c r="CY32" i="229" l="1"/>
  <c r="CY62" i="229"/>
  <c r="CY57" i="229" s="1"/>
  <c r="CV83" i="1"/>
  <c r="CW83" i="1" s="1"/>
  <c r="CX83" i="1" s="1"/>
  <c r="CV32" i="229"/>
  <c r="CX32" i="229"/>
  <c r="CW32" i="229"/>
  <c r="CU32" i="229"/>
  <c r="CU64" i="229" s="1"/>
  <c r="F20" i="222"/>
  <c r="CY52" i="229"/>
  <c r="CU116" i="1"/>
  <c r="CU85" i="1" s="1"/>
  <c r="CU86" i="1" s="1"/>
  <c r="CV86" i="1" s="1"/>
  <c r="CW86" i="1" s="1"/>
  <c r="CX86" i="1" s="1"/>
  <c r="CY86" i="1" s="1"/>
  <c r="CU41" i="1"/>
  <c r="CU42" i="1" s="1"/>
  <c r="CW87" i="229"/>
  <c r="CV87" i="229"/>
  <c r="CU24" i="1"/>
  <c r="CU104" i="1" s="1"/>
  <c r="CU112" i="1" s="1"/>
  <c r="CU31" i="1"/>
  <c r="CU29" i="1"/>
  <c r="CX77" i="1"/>
  <c r="CX107" i="1" s="1"/>
  <c r="CV107" i="1"/>
  <c r="CW18" i="1" s="1"/>
  <c r="CV128" i="1"/>
  <c r="CW72" i="1"/>
  <c r="CX19" i="1"/>
  <c r="CX87" i="229"/>
  <c r="CY59" i="229" l="1"/>
  <c r="CY60" i="229" s="1"/>
  <c r="CY64" i="229"/>
  <c r="CY65" i="229" s="1"/>
  <c r="CY66" i="229"/>
  <c r="CU54" i="229"/>
  <c r="CU55" i="229" s="1"/>
  <c r="CY85" i="229"/>
  <c r="CY47" i="229"/>
  <c r="CY56" i="229"/>
  <c r="CY54" i="229"/>
  <c r="CY55" i="229" s="1"/>
  <c r="CU39" i="1"/>
  <c r="CU40" i="1"/>
  <c r="CU171" i="1"/>
  <c r="CY77" i="1"/>
  <c r="CY107" i="1" s="1"/>
  <c r="CW128" i="1"/>
  <c r="CX72" i="1"/>
  <c r="CY143" i="1"/>
  <c r="CX18" i="1"/>
  <c r="CY19" i="1"/>
  <c r="CY18" i="1" s="1"/>
  <c r="CY87" i="229"/>
  <c r="CY83" i="1" l="1"/>
  <c r="DY83" i="1" s="1"/>
  <c r="DY143" i="1"/>
  <c r="DY18" i="1"/>
  <c r="DY19" i="1" s="1"/>
  <c r="CY88" i="229"/>
  <c r="CY49" i="229"/>
  <c r="CY50" i="229" s="1"/>
  <c r="CY74" i="229"/>
  <c r="CY69" i="229"/>
  <c r="CX128" i="1"/>
  <c r="CY72" i="1"/>
  <c r="CY128" i="1" s="1"/>
  <c r="CY91" i="229"/>
  <c r="CY92" i="229" s="1"/>
  <c r="CY94" i="229"/>
  <c r="CY95" i="229" s="1"/>
  <c r="CY83" i="229" l="1"/>
  <c r="CY84" i="229" s="1"/>
  <c r="CY80" i="229"/>
  <c r="CY81" i="229" s="1"/>
  <c r="CY116" i="229"/>
  <c r="CY70" i="229"/>
  <c r="CY6" i="1"/>
  <c r="DW98" i="1"/>
  <c r="DV98" i="1"/>
  <c r="DU98" i="1"/>
  <c r="DT98" i="1"/>
  <c r="DS98" i="1"/>
  <c r="DR98" i="1"/>
  <c r="DQ98" i="1"/>
  <c r="DP98" i="1"/>
  <c r="DO98" i="1"/>
  <c r="DN98" i="1"/>
  <c r="DM98" i="1"/>
  <c r="DL98" i="1"/>
  <c r="DK98" i="1"/>
  <c r="DJ98" i="1"/>
  <c r="DI98" i="1"/>
  <c r="DH98" i="1"/>
  <c r="DG98" i="1"/>
  <c r="DF98" i="1"/>
  <c r="DE98" i="1"/>
  <c r="DD98" i="1"/>
  <c r="DC98" i="1"/>
  <c r="DB98" i="1"/>
  <c r="CT98" i="1"/>
  <c r="W98" i="1"/>
  <c r="V98" i="1"/>
  <c r="U98" i="1"/>
  <c r="T98" i="1"/>
  <c r="S98" i="1"/>
  <c r="R98" i="1"/>
  <c r="Q98" i="1"/>
  <c r="P98" i="1"/>
  <c r="O98" i="1"/>
  <c r="N98" i="1"/>
  <c r="M98" i="1"/>
  <c r="L98" i="1"/>
  <c r="K98" i="1"/>
  <c r="J98" i="1"/>
  <c r="I98" i="1"/>
  <c r="H98" i="1"/>
  <c r="CY12" i="1" l="1"/>
  <c r="CY72" i="229"/>
  <c r="CY71" i="229"/>
  <c r="CY117" i="229"/>
  <c r="CY113" i="229"/>
  <c r="CY114" i="229" s="1"/>
  <c r="CY104" i="229"/>
  <c r="CY105" i="229" s="1"/>
  <c r="CY110" i="229"/>
  <c r="CY111" i="229" s="1"/>
  <c r="CY107" i="229"/>
  <c r="CY108" i="229" s="1"/>
  <c r="EA34" i="229" l="1"/>
  <c r="EA43" i="229" s="1"/>
  <c r="R15" i="222"/>
  <c r="R10" i="222"/>
  <c r="R11" i="222"/>
  <c r="R9" i="222"/>
  <c r="EA39" i="229" l="1"/>
  <c r="T12" i="222"/>
  <c r="EB26" i="229" l="1"/>
  <c r="EB23" i="229"/>
  <c r="EB17" i="229"/>
  <c r="EB14" i="229"/>
  <c r="EB31" i="229" l="1"/>
  <c r="EB11" i="229"/>
  <c r="EB30" i="229"/>
  <c r="EB8" i="229"/>
  <c r="DW112" i="1" l="1"/>
  <c r="DV112" i="1"/>
  <c r="DU112" i="1"/>
  <c r="DT112" i="1"/>
  <c r="DS112" i="1"/>
  <c r="DO112" i="1"/>
  <c r="DN112" i="1"/>
  <c r="DM112" i="1"/>
  <c r="DL112" i="1"/>
  <c r="DK112" i="1"/>
  <c r="DJ112" i="1"/>
  <c r="DI112" i="1"/>
  <c r="DH112" i="1"/>
  <c r="DD112" i="1"/>
  <c r="DC112" i="1"/>
  <c r="DB112" i="1"/>
  <c r="DA112" i="1"/>
  <c r="DD51" i="1"/>
  <c r="DD103" i="1"/>
  <c r="DA102" i="1"/>
  <c r="DA101" i="1"/>
  <c r="DB104" i="1"/>
  <c r="DC104" i="1"/>
  <c r="DD104" i="1"/>
  <c r="DE104" i="1"/>
  <c r="DF104" i="1"/>
  <c r="DG104" i="1"/>
  <c r="DH104" i="1"/>
  <c r="DI104" i="1"/>
  <c r="DJ104" i="1"/>
  <c r="DK104" i="1"/>
  <c r="DL104" i="1"/>
  <c r="DM104" i="1"/>
  <c r="DN104" i="1"/>
  <c r="DO104" i="1"/>
  <c r="DP104" i="1"/>
  <c r="DQ104" i="1"/>
  <c r="DR104" i="1"/>
  <c r="DS104" i="1"/>
  <c r="DT104" i="1"/>
  <c r="DU104" i="1"/>
  <c r="DV104" i="1"/>
  <c r="DW104" i="1"/>
  <c r="DA104" i="1"/>
  <c r="CT102" i="1"/>
  <c r="CS102" i="1"/>
  <c r="CR102" i="1"/>
  <c r="CQ102" i="1"/>
  <c r="CP102" i="1"/>
  <c r="CO102" i="1"/>
  <c r="CN102" i="1"/>
  <c r="CM102" i="1"/>
  <c r="CL102" i="1"/>
  <c r="CK102" i="1"/>
  <c r="CJ102" i="1"/>
  <c r="CI102" i="1"/>
  <c r="CH102" i="1"/>
  <c r="CG102" i="1"/>
  <c r="CF102" i="1"/>
  <c r="CE102" i="1"/>
  <c r="CD102" i="1"/>
  <c r="CC102" i="1"/>
  <c r="CB102" i="1"/>
  <c r="CA102" i="1"/>
  <c r="BZ102" i="1"/>
  <c r="BY102" i="1"/>
  <c r="BX102" i="1"/>
  <c r="BW102" i="1"/>
  <c r="BV102" i="1"/>
  <c r="BU102" i="1"/>
  <c r="BT102" i="1"/>
  <c r="BS102" i="1"/>
  <c r="BR102" i="1"/>
  <c r="BQ102" i="1"/>
  <c r="BP102" i="1"/>
  <c r="BO102" i="1"/>
  <c r="BN102" i="1"/>
  <c r="BM102" i="1"/>
  <c r="BL102" i="1"/>
  <c r="BK102" i="1"/>
  <c r="BJ102" i="1"/>
  <c r="BI102" i="1"/>
  <c r="BH102" i="1"/>
  <c r="BG102" i="1"/>
  <c r="BF102" i="1"/>
  <c r="BE102" i="1"/>
  <c r="BD102" i="1"/>
  <c r="BC102" i="1"/>
  <c r="BB102" i="1"/>
  <c r="BA102" i="1"/>
  <c r="AZ102" i="1"/>
  <c r="AY102" i="1"/>
  <c r="AX102" i="1"/>
  <c r="AW102" i="1"/>
  <c r="AV102" i="1"/>
  <c r="AU102" i="1"/>
  <c r="AT102" i="1"/>
  <c r="AS102" i="1"/>
  <c r="AR102" i="1"/>
  <c r="AQ102" i="1"/>
  <c r="AP102" i="1"/>
  <c r="AO102" i="1"/>
  <c r="AN102" i="1"/>
  <c r="AM102" i="1"/>
  <c r="AL102" i="1"/>
  <c r="AK102" i="1"/>
  <c r="AJ102" i="1"/>
  <c r="AI102" i="1"/>
  <c r="AH102" i="1"/>
  <c r="AG102" i="1"/>
  <c r="AF102" i="1"/>
  <c r="AE102" i="1"/>
  <c r="AD102" i="1"/>
  <c r="AC102" i="1"/>
  <c r="AB102" i="1"/>
  <c r="AA102" i="1"/>
  <c r="Z102" i="1"/>
  <c r="Y102" i="1"/>
  <c r="X102" i="1"/>
  <c r="W102" i="1"/>
  <c r="V102" i="1"/>
  <c r="U102" i="1"/>
  <c r="T102" i="1"/>
  <c r="S102" i="1"/>
  <c r="R102" i="1"/>
  <c r="Q102" i="1"/>
  <c r="P102" i="1"/>
  <c r="O102" i="1"/>
  <c r="N102" i="1"/>
  <c r="M102" i="1"/>
  <c r="L102" i="1"/>
  <c r="K102" i="1"/>
  <c r="J102" i="1"/>
  <c r="I102" i="1"/>
  <c r="H102" i="1"/>
  <c r="CT101" i="1"/>
  <c r="CS101" i="1"/>
  <c r="CR101" i="1"/>
  <c r="CQ101" i="1"/>
  <c r="CP101" i="1"/>
  <c r="CO101" i="1"/>
  <c r="CN101" i="1"/>
  <c r="CM101" i="1"/>
  <c r="CL101" i="1"/>
  <c r="CK101" i="1"/>
  <c r="CJ101" i="1"/>
  <c r="CI101" i="1"/>
  <c r="CH101" i="1"/>
  <c r="CG101" i="1"/>
  <c r="CF101" i="1"/>
  <c r="CE101" i="1"/>
  <c r="CD101" i="1"/>
  <c r="CC101" i="1"/>
  <c r="CB101" i="1"/>
  <c r="CA101" i="1"/>
  <c r="BZ101" i="1"/>
  <c r="BY101" i="1"/>
  <c r="BX101" i="1"/>
  <c r="BW101" i="1"/>
  <c r="BV101" i="1"/>
  <c r="BU101" i="1"/>
  <c r="BT101" i="1"/>
  <c r="BS101" i="1"/>
  <c r="BR101" i="1"/>
  <c r="BQ101" i="1"/>
  <c r="BP101" i="1"/>
  <c r="BO101" i="1"/>
  <c r="BN101" i="1"/>
  <c r="BM101" i="1"/>
  <c r="BL101" i="1"/>
  <c r="BK101" i="1"/>
  <c r="BJ101" i="1"/>
  <c r="BI101" i="1"/>
  <c r="BH101" i="1"/>
  <c r="BG101" i="1"/>
  <c r="BF101" i="1"/>
  <c r="BE101" i="1"/>
  <c r="BD101" i="1"/>
  <c r="BC101" i="1"/>
  <c r="BB101" i="1"/>
  <c r="BA101" i="1"/>
  <c r="AZ101" i="1"/>
  <c r="AY101" i="1"/>
  <c r="AX101" i="1"/>
  <c r="AW101" i="1"/>
  <c r="AV101" i="1"/>
  <c r="AU101" i="1"/>
  <c r="AT101" i="1"/>
  <c r="AS101" i="1"/>
  <c r="AR101" i="1"/>
  <c r="AQ101" i="1"/>
  <c r="AP101" i="1"/>
  <c r="AO101" i="1"/>
  <c r="AN101" i="1"/>
  <c r="AM101" i="1"/>
  <c r="AL101" i="1"/>
  <c r="AK101" i="1"/>
  <c r="AJ101" i="1"/>
  <c r="AI101" i="1"/>
  <c r="AH101" i="1"/>
  <c r="AG101" i="1"/>
  <c r="AF101" i="1"/>
  <c r="AE101" i="1"/>
  <c r="AD101" i="1"/>
  <c r="AC101" i="1"/>
  <c r="AB101" i="1"/>
  <c r="AA101" i="1"/>
  <c r="Z101" i="1"/>
  <c r="Y101" i="1"/>
  <c r="X101" i="1"/>
  <c r="W101" i="1"/>
  <c r="V101" i="1"/>
  <c r="U101" i="1"/>
  <c r="T101" i="1"/>
  <c r="S101" i="1"/>
  <c r="R101" i="1"/>
  <c r="Q101" i="1"/>
  <c r="P101" i="1"/>
  <c r="O101" i="1"/>
  <c r="N101" i="1"/>
  <c r="M101" i="1"/>
  <c r="L101" i="1"/>
  <c r="K101" i="1"/>
  <c r="J101" i="1"/>
  <c r="I101" i="1"/>
  <c r="H101" i="1"/>
  <c r="G102" i="1"/>
  <c r="G101" i="1"/>
  <c r="M19" i="223" l="1"/>
  <c r="E39" i="230"/>
  <c r="E35" i="230"/>
  <c r="CV49" i="1" s="1"/>
  <c r="H7" i="1"/>
  <c r="CT7" i="1"/>
  <c r="CS7" i="1"/>
  <c r="CR7" i="1"/>
  <c r="CQ7" i="1"/>
  <c r="CP7" i="1"/>
  <c r="CO7" i="1"/>
  <c r="CN7" i="1"/>
  <c r="CM7" i="1"/>
  <c r="CL7" i="1"/>
  <c r="CK7" i="1"/>
  <c r="CJ7" i="1"/>
  <c r="CI7" i="1"/>
  <c r="CH7" i="1"/>
  <c r="CG7" i="1"/>
  <c r="CF7" i="1"/>
  <c r="CE7" i="1"/>
  <c r="CD7" i="1"/>
  <c r="CC7" i="1"/>
  <c r="CB7" i="1"/>
  <c r="CA7" i="1"/>
  <c r="BZ7" i="1"/>
  <c r="BY7" i="1"/>
  <c r="BX7" i="1"/>
  <c r="BW7" i="1"/>
  <c r="BV7" i="1"/>
  <c r="BU7" i="1"/>
  <c r="BT7" i="1"/>
  <c r="BS7" i="1"/>
  <c r="BR7" i="1"/>
  <c r="BQ7" i="1"/>
  <c r="BP7" i="1"/>
  <c r="BO7" i="1"/>
  <c r="BN7" i="1"/>
  <c r="BM7" i="1"/>
  <c r="BL7" i="1"/>
  <c r="BK7" i="1"/>
  <c r="BJ7" i="1"/>
  <c r="BI7" i="1"/>
  <c r="BH7" i="1"/>
  <c r="BG7" i="1"/>
  <c r="BF7" i="1"/>
  <c r="BE7" i="1"/>
  <c r="BD7" i="1"/>
  <c r="BC7" i="1"/>
  <c r="BB7" i="1"/>
  <c r="BA7" i="1"/>
  <c r="AZ7" i="1"/>
  <c r="AY7" i="1"/>
  <c r="AX7" i="1"/>
  <c r="AW7" i="1"/>
  <c r="AV7" i="1"/>
  <c r="AU7" i="1"/>
  <c r="AS7" i="1"/>
  <c r="AR7" i="1"/>
  <c r="AQ7" i="1"/>
  <c r="AO7" i="1"/>
  <c r="AN7" i="1"/>
  <c r="AM7" i="1"/>
  <c r="AL7" i="1"/>
  <c r="AK7" i="1"/>
  <c r="AJ7" i="1"/>
  <c r="AI7" i="1"/>
  <c r="AH7" i="1"/>
  <c r="AG7" i="1"/>
  <c r="AF7" i="1"/>
  <c r="AE7" i="1"/>
  <c r="AD7" i="1"/>
  <c r="AC7" i="1"/>
  <c r="AB7" i="1"/>
  <c r="AA7" i="1"/>
  <c r="Z7" i="1"/>
  <c r="Y7" i="1"/>
  <c r="X7" i="1"/>
  <c r="W7" i="1"/>
  <c r="V7" i="1"/>
  <c r="U7" i="1"/>
  <c r="T7" i="1"/>
  <c r="S7" i="1"/>
  <c r="R7" i="1"/>
  <c r="Q7" i="1"/>
  <c r="P7" i="1"/>
  <c r="O7" i="1"/>
  <c r="N7" i="1"/>
  <c r="M7" i="1"/>
  <c r="L7" i="1"/>
  <c r="K7" i="1"/>
  <c r="J7" i="1"/>
  <c r="I7" i="1"/>
  <c r="G26" i="230"/>
  <c r="H26" i="230" s="1"/>
  <c r="I26" i="230" s="1"/>
  <c r="J26" i="230" s="1"/>
  <c r="K26" i="230" s="1"/>
  <c r="L26" i="230" s="1"/>
  <c r="M26" i="230" s="1"/>
  <c r="N26" i="230" s="1"/>
  <c r="O26" i="230" s="1"/>
  <c r="P26" i="230" s="1"/>
  <c r="F7" i="230"/>
  <c r="G7" i="230" s="1"/>
  <c r="H7" i="230" s="1"/>
  <c r="I7" i="230" s="1"/>
  <c r="J7" i="230" s="1"/>
  <c r="K7" i="230" s="1"/>
  <c r="L7" i="230" s="1"/>
  <c r="M7" i="230" s="1"/>
  <c r="EA4" i="229"/>
  <c r="DZ4" i="229"/>
  <c r="DY4" i="229"/>
  <c r="DX4" i="229"/>
  <c r="DW4" i="229"/>
  <c r="DV4" i="229"/>
  <c r="DU4" i="229"/>
  <c r="DT4" i="229"/>
  <c r="DS4" i="229"/>
  <c r="DR4" i="229"/>
  <c r="DQ4" i="229"/>
  <c r="DP4" i="229"/>
  <c r="DO4" i="229"/>
  <c r="DN4" i="229"/>
  <c r="DM4" i="229"/>
  <c r="DL4" i="229"/>
  <c r="DK4" i="229"/>
  <c r="DJ4" i="229"/>
  <c r="DI4" i="229"/>
  <c r="DH4" i="229"/>
  <c r="DG4" i="229"/>
  <c r="DF4" i="229"/>
  <c r="DE4" i="229"/>
  <c r="DD4" i="229"/>
  <c r="DC4" i="229"/>
  <c r="DB4" i="229"/>
  <c r="DA4" i="229"/>
  <c r="CT4" i="229"/>
  <c r="CS4" i="229"/>
  <c r="CR4" i="229"/>
  <c r="CQ4" i="229"/>
  <c r="CP4" i="229"/>
  <c r="CO4" i="229"/>
  <c r="CN4" i="229"/>
  <c r="CM4" i="229"/>
  <c r="CL4" i="229"/>
  <c r="CK4" i="229"/>
  <c r="CJ4" i="229"/>
  <c r="CI4" i="229"/>
  <c r="CH4" i="229"/>
  <c r="CG4" i="229"/>
  <c r="CF4" i="229"/>
  <c r="CE4" i="229"/>
  <c r="CD4" i="229"/>
  <c r="CC4" i="229"/>
  <c r="CB4" i="229"/>
  <c r="CA4" i="229"/>
  <c r="BZ4" i="229"/>
  <c r="BY4" i="229"/>
  <c r="BX4" i="229"/>
  <c r="BW4" i="229"/>
  <c r="BV4" i="229"/>
  <c r="BU4" i="229"/>
  <c r="BT4" i="229"/>
  <c r="BS4" i="229"/>
  <c r="BR4" i="229"/>
  <c r="BQ4" i="229"/>
  <c r="BP4" i="229"/>
  <c r="BO4" i="229"/>
  <c r="BN4" i="229"/>
  <c r="BM4" i="229"/>
  <c r="BL4" i="229"/>
  <c r="BK4" i="229"/>
  <c r="BJ4" i="229"/>
  <c r="BI4" i="229"/>
  <c r="BH4" i="229"/>
  <c r="BG4" i="229"/>
  <c r="BF4" i="229"/>
  <c r="BE4" i="229"/>
  <c r="BD4" i="229"/>
  <c r="BC4" i="229"/>
  <c r="BB4" i="229"/>
  <c r="BA4" i="229"/>
  <c r="AZ4" i="229"/>
  <c r="AY4" i="229"/>
  <c r="AX4" i="229"/>
  <c r="AW4" i="229"/>
  <c r="AV4" i="229"/>
  <c r="AU4" i="229"/>
  <c r="AT4" i="229"/>
  <c r="AS4" i="229"/>
  <c r="AR4" i="229"/>
  <c r="AQ4" i="229"/>
  <c r="AP4" i="229"/>
  <c r="AO4" i="229"/>
  <c r="AN4" i="229"/>
  <c r="AM4" i="229"/>
  <c r="AL4" i="229"/>
  <c r="AK4" i="229"/>
  <c r="AJ4" i="229"/>
  <c r="AI4" i="229"/>
  <c r="AH4" i="229"/>
  <c r="AG4" i="229"/>
  <c r="AF4" i="229"/>
  <c r="AE4" i="229"/>
  <c r="AD4" i="229"/>
  <c r="AC4" i="229"/>
  <c r="AB4" i="229"/>
  <c r="AA4" i="229"/>
  <c r="Z4" i="229"/>
  <c r="Y4" i="229"/>
  <c r="X4" i="229"/>
  <c r="W4" i="229"/>
  <c r="V4" i="229"/>
  <c r="U4" i="229"/>
  <c r="T4" i="229"/>
  <c r="S4" i="229"/>
  <c r="R4" i="229"/>
  <c r="Q4" i="229"/>
  <c r="P4" i="229"/>
  <c r="O4" i="229"/>
  <c r="N4" i="229"/>
  <c r="M4" i="229"/>
  <c r="L4" i="229"/>
  <c r="K4" i="229"/>
  <c r="J4" i="229"/>
  <c r="I4" i="229"/>
  <c r="H4" i="229"/>
  <c r="G4" i="229"/>
  <c r="F4" i="229"/>
  <c r="E4" i="229"/>
  <c r="D4" i="229"/>
  <c r="EA166" i="1"/>
  <c r="DZ166" i="1"/>
  <c r="DY166" i="1"/>
  <c r="DX166" i="1"/>
  <c r="DW166" i="1"/>
  <c r="DV166" i="1"/>
  <c r="DU166" i="1"/>
  <c r="DT166" i="1"/>
  <c r="DS166" i="1"/>
  <c r="DR166" i="1"/>
  <c r="DQ166" i="1"/>
  <c r="DP166" i="1"/>
  <c r="DO166" i="1"/>
  <c r="DN166" i="1"/>
  <c r="DM166" i="1"/>
  <c r="DL166" i="1"/>
  <c r="DK166" i="1"/>
  <c r="DJ166" i="1"/>
  <c r="DI166" i="1"/>
  <c r="DH166" i="1"/>
  <c r="DG166" i="1"/>
  <c r="DF166" i="1"/>
  <c r="DE166" i="1"/>
  <c r="DD166" i="1"/>
  <c r="DC166" i="1"/>
  <c r="DB166" i="1"/>
  <c r="DA166" i="1"/>
  <c r="CT166" i="1"/>
  <c r="CS166" i="1"/>
  <c r="CR166" i="1"/>
  <c r="CQ166" i="1"/>
  <c r="CP166" i="1"/>
  <c r="CO166" i="1"/>
  <c r="CN166" i="1"/>
  <c r="CM166" i="1"/>
  <c r="CL166" i="1"/>
  <c r="CK166" i="1"/>
  <c r="CJ166" i="1"/>
  <c r="CI166" i="1"/>
  <c r="CH166" i="1"/>
  <c r="CG166" i="1"/>
  <c r="CF166" i="1"/>
  <c r="CE166" i="1"/>
  <c r="CD166" i="1"/>
  <c r="CC166" i="1"/>
  <c r="CB166" i="1"/>
  <c r="CA166" i="1"/>
  <c r="BZ166" i="1"/>
  <c r="BY166" i="1"/>
  <c r="BX166" i="1"/>
  <c r="BW166" i="1"/>
  <c r="BV166" i="1"/>
  <c r="BU166" i="1"/>
  <c r="BT166" i="1"/>
  <c r="BS166" i="1"/>
  <c r="BR166" i="1"/>
  <c r="BQ166" i="1"/>
  <c r="BP166" i="1"/>
  <c r="BO166" i="1"/>
  <c r="BN166" i="1"/>
  <c r="BM166" i="1"/>
  <c r="BL166" i="1"/>
  <c r="BK166" i="1"/>
  <c r="BJ166" i="1"/>
  <c r="BI166" i="1"/>
  <c r="BH166" i="1"/>
  <c r="BG166" i="1"/>
  <c r="BF166" i="1"/>
  <c r="BE166" i="1"/>
  <c r="BD166" i="1"/>
  <c r="BC166" i="1"/>
  <c r="BB166" i="1"/>
  <c r="BA166" i="1"/>
  <c r="AZ166" i="1"/>
  <c r="AY166" i="1"/>
  <c r="AX166" i="1"/>
  <c r="AW166" i="1"/>
  <c r="AV166" i="1"/>
  <c r="AU166" i="1"/>
  <c r="AT166" i="1"/>
  <c r="AS166" i="1"/>
  <c r="AR166" i="1"/>
  <c r="AQ166" i="1"/>
  <c r="AP166" i="1"/>
  <c r="AO166" i="1"/>
  <c r="AN166" i="1"/>
  <c r="AM166" i="1"/>
  <c r="AL166" i="1"/>
  <c r="AK166" i="1"/>
  <c r="AJ166" i="1"/>
  <c r="AI166" i="1"/>
  <c r="AH166" i="1"/>
  <c r="AG166" i="1"/>
  <c r="AF166" i="1"/>
  <c r="AE166" i="1"/>
  <c r="AD166" i="1"/>
  <c r="AC166" i="1"/>
  <c r="AB166" i="1"/>
  <c r="AA166" i="1"/>
  <c r="Z166" i="1"/>
  <c r="Y166" i="1"/>
  <c r="X166" i="1"/>
  <c r="W166" i="1"/>
  <c r="V166" i="1"/>
  <c r="U166" i="1"/>
  <c r="T166" i="1"/>
  <c r="S166" i="1"/>
  <c r="R166" i="1"/>
  <c r="Q166" i="1"/>
  <c r="P166" i="1"/>
  <c r="O166" i="1"/>
  <c r="N166" i="1"/>
  <c r="M166" i="1"/>
  <c r="L166" i="1"/>
  <c r="K166" i="1"/>
  <c r="J166" i="1"/>
  <c r="I166" i="1"/>
  <c r="H166" i="1"/>
  <c r="G166" i="1"/>
  <c r="F166" i="1"/>
  <c r="E166" i="1"/>
  <c r="D166" i="1"/>
  <c r="EA114" i="1"/>
  <c r="DZ114" i="1"/>
  <c r="DX114" i="1"/>
  <c r="DW114" i="1"/>
  <c r="DV114" i="1"/>
  <c r="DU114" i="1"/>
  <c r="DT114" i="1"/>
  <c r="DS114" i="1"/>
  <c r="DR114" i="1"/>
  <c r="DQ114" i="1"/>
  <c r="DP114" i="1"/>
  <c r="DO114" i="1"/>
  <c r="DN114" i="1"/>
  <c r="DM114" i="1"/>
  <c r="DL114" i="1"/>
  <c r="DK114" i="1"/>
  <c r="DJ114" i="1"/>
  <c r="DI114" i="1"/>
  <c r="DH114" i="1"/>
  <c r="DG114" i="1"/>
  <c r="DF114" i="1"/>
  <c r="DE114" i="1"/>
  <c r="DD114" i="1"/>
  <c r="DC114" i="1"/>
  <c r="DB114" i="1"/>
  <c r="DA114" i="1"/>
  <c r="CT114" i="1"/>
  <c r="CS114" i="1"/>
  <c r="CR114" i="1"/>
  <c r="CQ114" i="1"/>
  <c r="CP114" i="1"/>
  <c r="CO114" i="1"/>
  <c r="CN114" i="1"/>
  <c r="CM114" i="1"/>
  <c r="CL114" i="1"/>
  <c r="CK114" i="1"/>
  <c r="CJ114" i="1"/>
  <c r="CI114" i="1"/>
  <c r="CH114" i="1"/>
  <c r="CG114" i="1"/>
  <c r="CF114" i="1"/>
  <c r="CE114" i="1"/>
  <c r="CD114" i="1"/>
  <c r="CC114" i="1"/>
  <c r="CB114" i="1"/>
  <c r="CA114" i="1"/>
  <c r="BZ114" i="1"/>
  <c r="BY114" i="1"/>
  <c r="BX114" i="1"/>
  <c r="BW114" i="1"/>
  <c r="BV114" i="1"/>
  <c r="BU114" i="1"/>
  <c r="BT114" i="1"/>
  <c r="BS114" i="1"/>
  <c r="BR114" i="1"/>
  <c r="BQ114" i="1"/>
  <c r="BP114" i="1"/>
  <c r="BO114" i="1"/>
  <c r="BN114" i="1"/>
  <c r="BM114" i="1"/>
  <c r="BL114" i="1"/>
  <c r="BK114" i="1"/>
  <c r="BJ114" i="1"/>
  <c r="BI114" i="1"/>
  <c r="BH114" i="1"/>
  <c r="BG114" i="1"/>
  <c r="BF114" i="1"/>
  <c r="BE114" i="1"/>
  <c r="BD114" i="1"/>
  <c r="BC114" i="1"/>
  <c r="BB114" i="1"/>
  <c r="BA114" i="1"/>
  <c r="AZ114" i="1"/>
  <c r="AY114" i="1"/>
  <c r="AX114" i="1"/>
  <c r="AW114" i="1"/>
  <c r="AV114" i="1"/>
  <c r="AU114" i="1"/>
  <c r="AT114" i="1"/>
  <c r="AS114" i="1"/>
  <c r="AR114" i="1"/>
  <c r="AQ114" i="1"/>
  <c r="AP114" i="1"/>
  <c r="AO114" i="1"/>
  <c r="AN114" i="1"/>
  <c r="AM114" i="1"/>
  <c r="AL114" i="1"/>
  <c r="AK114" i="1"/>
  <c r="AJ114" i="1"/>
  <c r="AI114" i="1"/>
  <c r="AH114" i="1"/>
  <c r="AG114" i="1"/>
  <c r="AF114" i="1"/>
  <c r="AE114" i="1"/>
  <c r="AD114" i="1"/>
  <c r="AC114" i="1"/>
  <c r="AB114" i="1"/>
  <c r="AA114" i="1"/>
  <c r="Z114" i="1"/>
  <c r="Y114" i="1"/>
  <c r="X114" i="1"/>
  <c r="W114" i="1"/>
  <c r="V114" i="1"/>
  <c r="U114" i="1"/>
  <c r="T114" i="1"/>
  <c r="S114" i="1"/>
  <c r="R114" i="1"/>
  <c r="Q114" i="1"/>
  <c r="P114" i="1"/>
  <c r="O114" i="1"/>
  <c r="N114" i="1"/>
  <c r="M114" i="1"/>
  <c r="L114" i="1"/>
  <c r="K114" i="1"/>
  <c r="J114" i="1"/>
  <c r="I114" i="1"/>
  <c r="H114" i="1"/>
  <c r="G114" i="1"/>
  <c r="F114" i="1"/>
  <c r="E114" i="1"/>
  <c r="D114" i="1"/>
  <c r="EA57" i="1"/>
  <c r="DZ57" i="1"/>
  <c r="DX57" i="1"/>
  <c r="DW57" i="1"/>
  <c r="DV57" i="1"/>
  <c r="DU57" i="1"/>
  <c r="DT57" i="1"/>
  <c r="DS57" i="1"/>
  <c r="DR57" i="1"/>
  <c r="DQ57" i="1"/>
  <c r="DP57" i="1"/>
  <c r="DO57" i="1"/>
  <c r="DN57" i="1"/>
  <c r="DM57" i="1"/>
  <c r="DL57" i="1"/>
  <c r="DK57" i="1"/>
  <c r="DJ57" i="1"/>
  <c r="DI57" i="1"/>
  <c r="DH57" i="1"/>
  <c r="DG57" i="1"/>
  <c r="DF57" i="1"/>
  <c r="DE57" i="1"/>
  <c r="DD57" i="1"/>
  <c r="DC57" i="1"/>
  <c r="DB57" i="1"/>
  <c r="DA57" i="1"/>
  <c r="CT57" i="1"/>
  <c r="CS57" i="1"/>
  <c r="CR57" i="1"/>
  <c r="CQ57" i="1"/>
  <c r="CP57" i="1"/>
  <c r="CO57" i="1"/>
  <c r="CN57" i="1"/>
  <c r="CM57" i="1"/>
  <c r="CL57" i="1"/>
  <c r="CK57" i="1"/>
  <c r="CJ57" i="1"/>
  <c r="CI57" i="1"/>
  <c r="CH57" i="1"/>
  <c r="CG57" i="1"/>
  <c r="CF57" i="1"/>
  <c r="CE57" i="1"/>
  <c r="CD57" i="1"/>
  <c r="CC57" i="1"/>
  <c r="CB57" i="1"/>
  <c r="CA57" i="1"/>
  <c r="BZ57" i="1"/>
  <c r="BY57" i="1"/>
  <c r="BX57" i="1"/>
  <c r="BW57" i="1"/>
  <c r="BV57" i="1"/>
  <c r="BU57" i="1"/>
  <c r="BT57" i="1"/>
  <c r="BS57" i="1"/>
  <c r="BR57" i="1"/>
  <c r="BQ57" i="1"/>
  <c r="BP57" i="1"/>
  <c r="BO57" i="1"/>
  <c r="BN57" i="1"/>
  <c r="BM57" i="1"/>
  <c r="BL57" i="1"/>
  <c r="BK57" i="1"/>
  <c r="BJ57" i="1"/>
  <c r="BI57" i="1"/>
  <c r="BH57" i="1"/>
  <c r="BG57" i="1"/>
  <c r="BF57" i="1"/>
  <c r="BE57" i="1"/>
  <c r="BD57" i="1"/>
  <c r="BC57" i="1"/>
  <c r="BB57" i="1"/>
  <c r="BA57" i="1"/>
  <c r="AZ57" i="1"/>
  <c r="AY57" i="1"/>
  <c r="AX57" i="1"/>
  <c r="AW57" i="1"/>
  <c r="AV57" i="1"/>
  <c r="AU57" i="1"/>
  <c r="AT57" i="1"/>
  <c r="AS57" i="1"/>
  <c r="AR57" i="1"/>
  <c r="AQ57" i="1"/>
  <c r="AP57" i="1"/>
  <c r="AO57" i="1"/>
  <c r="AN57" i="1"/>
  <c r="AM57" i="1"/>
  <c r="AL57" i="1"/>
  <c r="AK57" i="1"/>
  <c r="AJ57" i="1"/>
  <c r="AI57" i="1"/>
  <c r="AH57" i="1"/>
  <c r="AG57" i="1"/>
  <c r="AF57" i="1"/>
  <c r="AE57" i="1"/>
  <c r="AD57" i="1"/>
  <c r="AC57" i="1"/>
  <c r="AB57" i="1"/>
  <c r="AA57" i="1"/>
  <c r="Z57" i="1"/>
  <c r="Y57" i="1"/>
  <c r="X57" i="1"/>
  <c r="W57" i="1"/>
  <c r="V57" i="1"/>
  <c r="U57" i="1"/>
  <c r="T57" i="1"/>
  <c r="S57" i="1"/>
  <c r="R57" i="1"/>
  <c r="Q57" i="1"/>
  <c r="P57" i="1"/>
  <c r="O57" i="1"/>
  <c r="N57" i="1"/>
  <c r="M57" i="1"/>
  <c r="L57" i="1"/>
  <c r="K57" i="1"/>
  <c r="J57" i="1"/>
  <c r="I57" i="1"/>
  <c r="H57" i="1"/>
  <c r="G57" i="1"/>
  <c r="F57" i="1"/>
  <c r="E57" i="1"/>
  <c r="D57" i="1"/>
  <c r="DP123" i="229"/>
  <c r="CT123" i="229"/>
  <c r="CS123" i="229"/>
  <c r="CR123" i="229"/>
  <c r="CQ123" i="229"/>
  <c r="CP123" i="229"/>
  <c r="CO123" i="229"/>
  <c r="CN123" i="229"/>
  <c r="CM123" i="229"/>
  <c r="CL123" i="229"/>
  <c r="CK123" i="229"/>
  <c r="CJ123" i="229"/>
  <c r="CI123" i="229"/>
  <c r="CH123" i="229"/>
  <c r="CG123" i="229"/>
  <c r="CF123" i="229"/>
  <c r="CE123" i="229"/>
  <c r="CD123" i="229"/>
  <c r="CC123" i="229"/>
  <c r="CB123" i="229"/>
  <c r="CA123" i="229"/>
  <c r="BZ123" i="229"/>
  <c r="BY123" i="229"/>
  <c r="BX123" i="229"/>
  <c r="BW123" i="229"/>
  <c r="BV123" i="229"/>
  <c r="BU123" i="229"/>
  <c r="BT123" i="229"/>
  <c r="BS123" i="229"/>
  <c r="BR123" i="229"/>
  <c r="BQ123" i="229"/>
  <c r="BP123" i="229"/>
  <c r="BO123" i="229"/>
  <c r="DW122" i="229"/>
  <c r="DU122" i="229"/>
  <c r="DV123" i="229" s="1"/>
  <c r="DT122" i="229"/>
  <c r="DS122" i="229"/>
  <c r="DR122" i="229"/>
  <c r="DQ122" i="229"/>
  <c r="DQ123" i="229" s="1"/>
  <c r="DP121" i="229"/>
  <c r="CT121" i="229"/>
  <c r="CS121" i="229"/>
  <c r="CR121" i="229"/>
  <c r="CQ121" i="229"/>
  <c r="CP121" i="229"/>
  <c r="CO121" i="229"/>
  <c r="CN121" i="229"/>
  <c r="CM121" i="229"/>
  <c r="CL121" i="229"/>
  <c r="CK121" i="229"/>
  <c r="CJ121" i="229"/>
  <c r="CI121" i="229"/>
  <c r="CH121" i="229"/>
  <c r="CG121" i="229"/>
  <c r="CF121" i="229"/>
  <c r="CE121" i="229"/>
  <c r="CD121" i="229"/>
  <c r="CC121" i="229"/>
  <c r="CB121" i="229"/>
  <c r="CA121" i="229"/>
  <c r="BZ121" i="229"/>
  <c r="BY121" i="229"/>
  <c r="BX121" i="229"/>
  <c r="BW121" i="229"/>
  <c r="BV121" i="229"/>
  <c r="BU121" i="229"/>
  <c r="BT121" i="229"/>
  <c r="BS121" i="229"/>
  <c r="BR121" i="229"/>
  <c r="BQ121" i="229"/>
  <c r="BP121" i="229"/>
  <c r="BO121" i="229"/>
  <c r="DW120" i="229"/>
  <c r="DX121" i="229" s="1"/>
  <c r="DV120" i="229"/>
  <c r="DU120" i="229"/>
  <c r="DT120" i="229"/>
  <c r="DS120" i="229"/>
  <c r="DR120" i="229"/>
  <c r="DQ120" i="229"/>
  <c r="DQ121" i="229" s="1"/>
  <c r="CT116" i="229"/>
  <c r="CS116" i="229"/>
  <c r="CS115" i="229" s="1"/>
  <c r="CR116" i="229"/>
  <c r="CQ116" i="229"/>
  <c r="CP116" i="229"/>
  <c r="CP109" i="229" s="1"/>
  <c r="CO116" i="229"/>
  <c r="CO106" i="229" s="1"/>
  <c r="CN116" i="229"/>
  <c r="CN109" i="229" s="1"/>
  <c r="CM116" i="229"/>
  <c r="CM109" i="229" s="1"/>
  <c r="CL116" i="229"/>
  <c r="CK116" i="229"/>
  <c r="CK112" i="229" s="1"/>
  <c r="CJ116" i="229"/>
  <c r="CI116" i="229"/>
  <c r="CI115" i="229" s="1"/>
  <c r="CH116" i="229"/>
  <c r="CH115" i="229" s="1"/>
  <c r="CG116" i="229"/>
  <c r="CG109" i="229" s="1"/>
  <c r="CF116" i="229"/>
  <c r="CE116" i="229"/>
  <c r="CE109" i="229" s="1"/>
  <c r="CD116" i="229"/>
  <c r="CD112" i="229" s="1"/>
  <c r="CC116" i="229"/>
  <c r="CB116" i="229"/>
  <c r="CB109" i="229" s="1"/>
  <c r="CA116" i="229"/>
  <c r="CA106" i="229" s="1"/>
  <c r="BZ116" i="229"/>
  <c r="BZ106" i="229" s="1"/>
  <c r="BY116" i="229"/>
  <c r="BY109" i="229" s="1"/>
  <c r="BX116" i="229"/>
  <c r="BW116" i="229"/>
  <c r="BV116" i="229"/>
  <c r="BV106" i="229" s="1"/>
  <c r="BU116" i="229"/>
  <c r="BT116" i="229"/>
  <c r="BT115" i="229" s="1"/>
  <c r="BS116" i="229"/>
  <c r="BS109" i="229" s="1"/>
  <c r="BR116" i="229"/>
  <c r="BR109" i="229" s="1"/>
  <c r="BQ116" i="229"/>
  <c r="BQ112" i="229" s="1"/>
  <c r="BP116" i="229"/>
  <c r="BO116" i="229"/>
  <c r="BO106" i="229" s="1"/>
  <c r="CT114" i="229"/>
  <c r="CS114" i="229"/>
  <c r="CR114" i="229"/>
  <c r="CQ114" i="229"/>
  <c r="CP114" i="229"/>
  <c r="CO114" i="229"/>
  <c r="CN114" i="229"/>
  <c r="CM114" i="229"/>
  <c r="CL114" i="229"/>
  <c r="CK114" i="229"/>
  <c r="CJ114" i="229"/>
  <c r="CI114" i="229"/>
  <c r="CH114" i="229"/>
  <c r="CG114" i="229"/>
  <c r="CF114" i="229"/>
  <c r="CE114" i="229"/>
  <c r="CD114" i="229"/>
  <c r="CC114" i="229"/>
  <c r="CB114" i="229"/>
  <c r="CA114" i="229"/>
  <c r="BZ114" i="229"/>
  <c r="BY114" i="229"/>
  <c r="BX114" i="229"/>
  <c r="BW114" i="229"/>
  <c r="BV114" i="229"/>
  <c r="BU114" i="229"/>
  <c r="BT114" i="229"/>
  <c r="BS114" i="229"/>
  <c r="DW113" i="229"/>
  <c r="DV113" i="229"/>
  <c r="DU113" i="229"/>
  <c r="DT113" i="229"/>
  <c r="DS113" i="229"/>
  <c r="DR113" i="229"/>
  <c r="DQ113" i="229"/>
  <c r="CT111" i="229"/>
  <c r="CS111" i="229"/>
  <c r="CR111" i="229"/>
  <c r="CQ111" i="229"/>
  <c r="CP111" i="229"/>
  <c r="CO111" i="229"/>
  <c r="CN111" i="229"/>
  <c r="CM111" i="229"/>
  <c r="CL111" i="229"/>
  <c r="CK111" i="229"/>
  <c r="CJ111" i="229"/>
  <c r="CI111" i="229"/>
  <c r="CH111" i="229"/>
  <c r="CG111" i="229"/>
  <c r="CF111" i="229"/>
  <c r="CE111" i="229"/>
  <c r="CD111" i="229"/>
  <c r="CC111" i="229"/>
  <c r="CB111" i="229"/>
  <c r="CA111" i="229"/>
  <c r="BZ111" i="229"/>
  <c r="BY111" i="229"/>
  <c r="BX111" i="229"/>
  <c r="BW111" i="229"/>
  <c r="BV111" i="229"/>
  <c r="BU111" i="229"/>
  <c r="BT111" i="229"/>
  <c r="BS111" i="229"/>
  <c r="DW110" i="229"/>
  <c r="DV110" i="229"/>
  <c r="DU110" i="229"/>
  <c r="DT110" i="229"/>
  <c r="DS110" i="229"/>
  <c r="DR110" i="229"/>
  <c r="DQ110" i="229"/>
  <c r="CT108" i="229"/>
  <c r="CS108" i="229"/>
  <c r="CR108" i="229"/>
  <c r="CQ108" i="229"/>
  <c r="CP108" i="229"/>
  <c r="CO108" i="229"/>
  <c r="CN108" i="229"/>
  <c r="CM108" i="229"/>
  <c r="CL108" i="229"/>
  <c r="CK108" i="229"/>
  <c r="CJ108" i="229"/>
  <c r="CI108" i="229"/>
  <c r="CH108" i="229"/>
  <c r="CG108" i="229"/>
  <c r="CF108" i="229"/>
  <c r="CE108" i="229"/>
  <c r="CD108" i="229"/>
  <c r="CC108" i="229"/>
  <c r="CB108" i="229"/>
  <c r="CA108" i="229"/>
  <c r="BZ108" i="229"/>
  <c r="BY108" i="229"/>
  <c r="BX108" i="229"/>
  <c r="BW108" i="229"/>
  <c r="BV108" i="229"/>
  <c r="BU108" i="229"/>
  <c r="BT108" i="229"/>
  <c r="BS108" i="229"/>
  <c r="DW107" i="229"/>
  <c r="DV107" i="229"/>
  <c r="DU107" i="229"/>
  <c r="DT107" i="229"/>
  <c r="DS107" i="229"/>
  <c r="DR107" i="229"/>
  <c r="DQ107" i="229"/>
  <c r="CT105" i="229"/>
  <c r="CS105" i="229"/>
  <c r="CR105" i="229"/>
  <c r="CQ105" i="229"/>
  <c r="CP105" i="229"/>
  <c r="CO105" i="229"/>
  <c r="CN105" i="229"/>
  <c r="CM105" i="229"/>
  <c r="CL105" i="229"/>
  <c r="CK105" i="229"/>
  <c r="CJ105" i="229"/>
  <c r="CI105" i="229"/>
  <c r="CH105" i="229"/>
  <c r="CG105" i="229"/>
  <c r="CF105" i="229"/>
  <c r="CE105" i="229"/>
  <c r="CD105" i="229"/>
  <c r="CC105" i="229"/>
  <c r="CB105" i="229"/>
  <c r="CA105" i="229"/>
  <c r="BZ105" i="229"/>
  <c r="BY105" i="229"/>
  <c r="BX105" i="229"/>
  <c r="BW105" i="229"/>
  <c r="BV105" i="229"/>
  <c r="BU105" i="229"/>
  <c r="BT105" i="229"/>
  <c r="BS105" i="229"/>
  <c r="DW104" i="229"/>
  <c r="DV104" i="229"/>
  <c r="DU104" i="229"/>
  <c r="DT104" i="229"/>
  <c r="DS104" i="229"/>
  <c r="DR104" i="229"/>
  <c r="DQ104" i="229"/>
  <c r="BQ100" i="229"/>
  <c r="AP100" i="229"/>
  <c r="AO100" i="229"/>
  <c r="AN100" i="229"/>
  <c r="AL100" i="229"/>
  <c r="AK100" i="229"/>
  <c r="AJ100" i="229"/>
  <c r="AH100" i="229"/>
  <c r="AG100" i="229"/>
  <c r="AF100" i="229"/>
  <c r="AD100" i="229"/>
  <c r="AC100" i="229"/>
  <c r="AB100" i="229"/>
  <c r="BS98" i="229"/>
  <c r="BS100" i="229" s="1"/>
  <c r="BR98" i="229"/>
  <c r="BR100" i="229" s="1"/>
  <c r="BP98" i="229"/>
  <c r="BP100" i="229" s="1"/>
  <c r="BN98" i="229"/>
  <c r="BM98" i="229"/>
  <c r="BL98" i="229"/>
  <c r="BJ98" i="229"/>
  <c r="BI98" i="229"/>
  <c r="BH98" i="229"/>
  <c r="BK98" i="229" s="1"/>
  <c r="DO98" i="229" s="1"/>
  <c r="BF98" i="229"/>
  <c r="BE98" i="229"/>
  <c r="BD98" i="229"/>
  <c r="BC98" i="229"/>
  <c r="DM98" i="229"/>
  <c r="AX98" i="229"/>
  <c r="AW98" i="229"/>
  <c r="AU98" i="229"/>
  <c r="DK98" i="229" s="1"/>
  <c r="AQ98" i="229"/>
  <c r="AM98" i="229"/>
  <c r="DI98" i="229" s="1"/>
  <c r="AI98" i="229"/>
  <c r="DH98" i="229" s="1"/>
  <c r="AS97" i="229"/>
  <c r="AR97" i="229"/>
  <c r="AP97" i="229"/>
  <c r="AO97" i="229"/>
  <c r="AN97" i="229"/>
  <c r="AL97" i="229"/>
  <c r="AK97" i="229"/>
  <c r="AJ97" i="229"/>
  <c r="AH97" i="229"/>
  <c r="AG97" i="229"/>
  <c r="AF97" i="229"/>
  <c r="BD96" i="229"/>
  <c r="BD97" i="229" s="1"/>
  <c r="BB96" i="229"/>
  <c r="BB97" i="229" s="1"/>
  <c r="BA96" i="229"/>
  <c r="BA97" i="229" s="1"/>
  <c r="AZ96" i="229"/>
  <c r="AX96" i="229"/>
  <c r="AX97" i="229" s="1"/>
  <c r="AW96" i="229"/>
  <c r="AW97" i="229" s="1"/>
  <c r="AV96" i="229"/>
  <c r="AT96" i="229"/>
  <c r="AT97" i="229" s="1"/>
  <c r="AQ96" i="229"/>
  <c r="DJ96" i="229" s="1"/>
  <c r="AM96" i="229"/>
  <c r="DI96" i="229" s="1"/>
  <c r="AI96" i="229"/>
  <c r="DH96" i="229" s="1"/>
  <c r="CT94" i="229"/>
  <c r="CS94" i="229"/>
  <c r="CR94" i="229"/>
  <c r="CQ94" i="229"/>
  <c r="CU95" i="229" s="1"/>
  <c r="CP94" i="229"/>
  <c r="CO94" i="229"/>
  <c r="CN94" i="229"/>
  <c r="CR95" i="229" s="1"/>
  <c r="CM94" i="229"/>
  <c r="CL94" i="229"/>
  <c r="CK94" i="229"/>
  <c r="CJ94" i="229"/>
  <c r="CI94" i="229"/>
  <c r="CH94" i="229"/>
  <c r="CG94" i="229"/>
  <c r="CE94" i="229"/>
  <c r="CD94" i="229"/>
  <c r="CC94" i="229"/>
  <c r="CA94" i="229"/>
  <c r="BZ94" i="229"/>
  <c r="BY94" i="229"/>
  <c r="BW94" i="229"/>
  <c r="BV94" i="229"/>
  <c r="BU94" i="229"/>
  <c r="BT94" i="229"/>
  <c r="AS94" i="229"/>
  <c r="AR94" i="229"/>
  <c r="AP94" i="229"/>
  <c r="AO94" i="229"/>
  <c r="AN94" i="229"/>
  <c r="AL94" i="229"/>
  <c r="AK94" i="229"/>
  <c r="AJ94" i="229"/>
  <c r="AH94" i="229"/>
  <c r="AG94" i="229"/>
  <c r="AF94" i="229"/>
  <c r="CT93" i="229"/>
  <c r="CS93" i="229"/>
  <c r="CR93" i="229"/>
  <c r="CQ93" i="229"/>
  <c r="CP93" i="229"/>
  <c r="CO93" i="229"/>
  <c r="CN93" i="229"/>
  <c r="CM93" i="229"/>
  <c r="CL93" i="229"/>
  <c r="CK93" i="229"/>
  <c r="CJ93" i="229"/>
  <c r="CI93" i="229"/>
  <c r="CH93" i="229"/>
  <c r="CG93" i="229"/>
  <c r="CF93" i="229"/>
  <c r="CE93" i="229"/>
  <c r="CD93" i="229"/>
  <c r="CA93" i="229"/>
  <c r="BZ93" i="229"/>
  <c r="BW93" i="229"/>
  <c r="BV93" i="229"/>
  <c r="BU93" i="229"/>
  <c r="BT93" i="229"/>
  <c r="BS93" i="229"/>
  <c r="BR93" i="229"/>
  <c r="BQ93" i="229"/>
  <c r="AS93" i="229"/>
  <c r="AP93" i="229"/>
  <c r="AO93" i="229"/>
  <c r="AL93" i="229"/>
  <c r="AK93" i="229"/>
  <c r="AH93" i="229"/>
  <c r="AG93" i="229"/>
  <c r="AD93" i="229"/>
  <c r="AC93" i="229"/>
  <c r="CT91" i="229"/>
  <c r="CS91" i="229"/>
  <c r="CR91" i="229"/>
  <c r="CQ91" i="229"/>
  <c r="CU92" i="229" s="1"/>
  <c r="CP91" i="229"/>
  <c r="CO91" i="229"/>
  <c r="CN91" i="229"/>
  <c r="CM91" i="229"/>
  <c r="CL91" i="229"/>
  <c r="CK91" i="229"/>
  <c r="CJ91" i="229"/>
  <c r="CI91" i="229"/>
  <c r="CH91" i="229"/>
  <c r="CG91" i="229"/>
  <c r="CE91" i="229"/>
  <c r="CI92" i="229" s="1"/>
  <c r="CD91" i="229"/>
  <c r="CH92" i="229" s="1"/>
  <c r="CC91" i="229"/>
  <c r="CA91" i="229"/>
  <c r="BZ91" i="229"/>
  <c r="BY91" i="229"/>
  <c r="BW91" i="229"/>
  <c r="BV91" i="229"/>
  <c r="BU91" i="229"/>
  <c r="BT91" i="229"/>
  <c r="AS91" i="229"/>
  <c r="AR91" i="229"/>
  <c r="AP91" i="229"/>
  <c r="AO91" i="229"/>
  <c r="AN91" i="229"/>
  <c r="AL91" i="229"/>
  <c r="AK91" i="229"/>
  <c r="AJ91" i="229"/>
  <c r="AN92" i="229" s="1"/>
  <c r="AH91" i="229"/>
  <c r="AG91" i="229"/>
  <c r="AF91" i="229"/>
  <c r="CT90" i="229"/>
  <c r="CS90" i="229"/>
  <c r="CR90" i="229"/>
  <c r="CQ90" i="229"/>
  <c r="CP90" i="229"/>
  <c r="CO90" i="229"/>
  <c r="CN90" i="229"/>
  <c r="CM90" i="229"/>
  <c r="CL90" i="229"/>
  <c r="CK90" i="229"/>
  <c r="CJ90" i="229"/>
  <c r="CI90" i="229"/>
  <c r="CH90" i="229"/>
  <c r="CG90" i="229"/>
  <c r="CF90" i="229"/>
  <c r="CE90" i="229"/>
  <c r="CD90" i="229"/>
  <c r="CA90" i="229"/>
  <c r="BZ90" i="229"/>
  <c r="BW90" i="229"/>
  <c r="BV90" i="229"/>
  <c r="BU90" i="229"/>
  <c r="BT90" i="229"/>
  <c r="BS90" i="229"/>
  <c r="BR90" i="229"/>
  <c r="BQ90" i="229"/>
  <c r="AS90" i="229"/>
  <c r="AP90" i="229"/>
  <c r="AO90" i="229"/>
  <c r="AL90" i="229"/>
  <c r="AK90" i="229"/>
  <c r="AH90" i="229"/>
  <c r="AG90" i="229"/>
  <c r="AD90" i="229"/>
  <c r="AC90" i="229"/>
  <c r="CT86" i="229"/>
  <c r="CS86" i="229"/>
  <c r="CW88" i="229" s="1"/>
  <c r="CR86" i="229"/>
  <c r="CV88" i="229" s="1"/>
  <c r="CQ86" i="229"/>
  <c r="CU88" i="229" s="1"/>
  <c r="CP86" i="229"/>
  <c r="CO86" i="229"/>
  <c r="CN86" i="229"/>
  <c r="CM86" i="229"/>
  <c r="CL86" i="229"/>
  <c r="CM87" i="229" s="1"/>
  <c r="CK86" i="229"/>
  <c r="CK88" i="229" s="1"/>
  <c r="CJ86" i="229"/>
  <c r="CI86" i="229"/>
  <c r="CH86" i="229"/>
  <c r="CG86" i="229"/>
  <c r="CF86" i="229"/>
  <c r="CF87" i="229" s="1"/>
  <c r="CE86" i="229"/>
  <c r="CD86" i="229"/>
  <c r="CE87" i="229" s="1"/>
  <c r="CC86" i="229"/>
  <c r="CA86" i="229"/>
  <c r="BZ86" i="229"/>
  <c r="BY86" i="229"/>
  <c r="BW86" i="229"/>
  <c r="BV86" i="229"/>
  <c r="BV87" i="229" s="1"/>
  <c r="BU86" i="229"/>
  <c r="BT86" i="229"/>
  <c r="BS86" i="229"/>
  <c r="BR86" i="229"/>
  <c r="BQ86" i="229"/>
  <c r="BP86" i="229"/>
  <c r="AS86" i="229"/>
  <c r="AR86" i="229"/>
  <c r="AP86" i="229"/>
  <c r="AO86" i="229"/>
  <c r="AN86" i="229"/>
  <c r="AO87" i="229" s="1"/>
  <c r="AL86" i="229"/>
  <c r="AK86" i="229"/>
  <c r="AJ86" i="229"/>
  <c r="AH86" i="229"/>
  <c r="AG86" i="229"/>
  <c r="AF86" i="229"/>
  <c r="AD86" i="229"/>
  <c r="AC86" i="229"/>
  <c r="AB86" i="229"/>
  <c r="DW85" i="229"/>
  <c r="DV85" i="229"/>
  <c r="DU85" i="229"/>
  <c r="DV91" i="229" s="1"/>
  <c r="DR85" i="229"/>
  <c r="DQ85" i="229"/>
  <c r="CB85" i="229"/>
  <c r="CF91" i="229" s="1"/>
  <c r="BX85" i="229"/>
  <c r="BY93" i="229" s="1"/>
  <c r="BN85" i="229"/>
  <c r="BN86" i="229" s="1"/>
  <c r="BM85" i="229"/>
  <c r="BM86" i="229"/>
  <c r="BL85" i="229"/>
  <c r="BP94" i="229" s="1"/>
  <c r="BJ85" i="229"/>
  <c r="BJ86" i="229" s="1"/>
  <c r="BI85" i="229"/>
  <c r="BH85" i="229"/>
  <c r="BH86" i="229" s="1"/>
  <c r="BG85" i="229"/>
  <c r="BG86" i="229" s="1"/>
  <c r="BF85" i="229"/>
  <c r="BE85" i="229"/>
  <c r="BD85" i="229"/>
  <c r="BB85" i="229"/>
  <c r="BA85" i="229"/>
  <c r="AZ85" i="229"/>
  <c r="AZ86" i="229" s="1"/>
  <c r="AX85" i="229"/>
  <c r="AX86" i="229" s="1"/>
  <c r="AW85" i="229"/>
  <c r="AW91" i="229" s="1"/>
  <c r="AV85" i="229"/>
  <c r="AT85" i="229"/>
  <c r="AQ85" i="229"/>
  <c r="AQ93" i="229" s="1"/>
  <c r="AM85" i="229"/>
  <c r="AM90" i="229" s="1"/>
  <c r="AI85" i="229"/>
  <c r="AI90" i="229" s="1"/>
  <c r="CT83" i="229"/>
  <c r="CS83" i="229"/>
  <c r="CR83" i="229"/>
  <c r="CQ83" i="229"/>
  <c r="CU84" i="229" s="1"/>
  <c r="CP83" i="229"/>
  <c r="CO83" i="229"/>
  <c r="CN83" i="229"/>
  <c r="CM83" i="229"/>
  <c r="CM84" i="229" s="1"/>
  <c r="CL83" i="229"/>
  <c r="CP84" i="229" s="1"/>
  <c r="CK83" i="229"/>
  <c r="CJ83" i="229"/>
  <c r="CI83" i="229"/>
  <c r="CH83" i="229"/>
  <c r="CG83" i="229"/>
  <c r="CE83" i="229"/>
  <c r="CD83" i="229"/>
  <c r="CC83" i="229"/>
  <c r="CA83" i="229"/>
  <c r="BZ83" i="229"/>
  <c r="BY83" i="229"/>
  <c r="BW83" i="229"/>
  <c r="BV83" i="229"/>
  <c r="BU83" i="229"/>
  <c r="BT83" i="229"/>
  <c r="AP83" i="229"/>
  <c r="AO83" i="229"/>
  <c r="AN83" i="229"/>
  <c r="AL83" i="229"/>
  <c r="AK83" i="229"/>
  <c r="AJ83" i="229"/>
  <c r="AH83" i="229"/>
  <c r="AG83" i="229"/>
  <c r="AF83" i="229"/>
  <c r="CT82" i="229"/>
  <c r="CS82" i="229"/>
  <c r="CR82" i="229"/>
  <c r="CQ82" i="229"/>
  <c r="CP82" i="229"/>
  <c r="CO82" i="229"/>
  <c r="CN82" i="229"/>
  <c r="CM82" i="229"/>
  <c r="CL82" i="229"/>
  <c r="CK82" i="229"/>
  <c r="CJ82" i="229"/>
  <c r="CI82" i="229"/>
  <c r="CH82" i="229"/>
  <c r="CG82" i="229"/>
  <c r="CF82" i="229"/>
  <c r="CE82" i="229"/>
  <c r="CD82" i="229"/>
  <c r="CA82" i="229"/>
  <c r="BZ82" i="229"/>
  <c r="BW82" i="229"/>
  <c r="BV82" i="229"/>
  <c r="BU82" i="229"/>
  <c r="BT82" i="229"/>
  <c r="BS82" i="229"/>
  <c r="BR82" i="229"/>
  <c r="BQ82" i="229"/>
  <c r="AP82" i="229"/>
  <c r="AO82" i="229"/>
  <c r="AL82" i="229"/>
  <c r="AK82" i="229"/>
  <c r="AH82" i="229"/>
  <c r="AG82" i="229"/>
  <c r="AD82" i="229"/>
  <c r="AC82" i="229"/>
  <c r="CT80" i="229"/>
  <c r="CS80" i="229"/>
  <c r="CR80" i="229"/>
  <c r="CQ80" i="229"/>
  <c r="CU81" i="229" s="1"/>
  <c r="CP80" i="229"/>
  <c r="CT81" i="229" s="1"/>
  <c r="CO80" i="229"/>
  <c r="CN80" i="229"/>
  <c r="CM80" i="229"/>
  <c r="CL80" i="229"/>
  <c r="CK80" i="229"/>
  <c r="CJ80" i="229"/>
  <c r="CI80" i="229"/>
  <c r="CH80" i="229"/>
  <c r="CG80" i="229"/>
  <c r="CE80" i="229"/>
  <c r="CD80" i="229"/>
  <c r="CC80" i="229"/>
  <c r="CA80" i="229"/>
  <c r="BZ80" i="229"/>
  <c r="BY80" i="229"/>
  <c r="BW80" i="229"/>
  <c r="BV80" i="229"/>
  <c r="BU80" i="229"/>
  <c r="BT80" i="229"/>
  <c r="AP80" i="229"/>
  <c r="AO80" i="229"/>
  <c r="AN80" i="229"/>
  <c r="AL80" i="229"/>
  <c r="AK80" i="229"/>
  <c r="AJ80" i="229"/>
  <c r="AH80" i="229"/>
  <c r="AG80" i="229"/>
  <c r="AF80" i="229"/>
  <c r="CT79" i="229"/>
  <c r="CS79" i="229"/>
  <c r="CR79" i="229"/>
  <c r="CQ79" i="229"/>
  <c r="CP79" i="229"/>
  <c r="CO79" i="229"/>
  <c r="CN79" i="229"/>
  <c r="CM79" i="229"/>
  <c r="CL79" i="229"/>
  <c r="CK79" i="229"/>
  <c r="CJ79" i="229"/>
  <c r="CI79" i="229"/>
  <c r="CH79" i="229"/>
  <c r="CG79" i="229"/>
  <c r="CF79" i="229"/>
  <c r="CE79" i="229"/>
  <c r="CD79" i="229"/>
  <c r="CA79" i="229"/>
  <c r="BZ79" i="229"/>
  <c r="BW79" i="229"/>
  <c r="BV79" i="229"/>
  <c r="BU79" i="229"/>
  <c r="BT79" i="229"/>
  <c r="BS79" i="229"/>
  <c r="BR79" i="229"/>
  <c r="BQ79" i="229"/>
  <c r="AP79" i="229"/>
  <c r="AO79" i="229"/>
  <c r="AL79" i="229"/>
  <c r="AK79" i="229"/>
  <c r="AH79" i="229"/>
  <c r="AG79" i="229"/>
  <c r="AD79" i="229"/>
  <c r="AC79" i="229"/>
  <c r="CT75" i="229"/>
  <c r="CS75" i="229"/>
  <c r="CR75" i="229"/>
  <c r="CV77" i="229" s="1"/>
  <c r="CQ75" i="229"/>
  <c r="CU77" i="229" s="1"/>
  <c r="CP75" i="229"/>
  <c r="CO75" i="229"/>
  <c r="CN75" i="229"/>
  <c r="CM75" i="229"/>
  <c r="CL75" i="229"/>
  <c r="CJ75" i="229"/>
  <c r="CI75" i="229"/>
  <c r="CI77" i="229" s="1"/>
  <c r="CH75" i="229"/>
  <c r="CG75" i="229"/>
  <c r="CF75" i="229"/>
  <c r="CE75" i="229"/>
  <c r="CD75" i="229"/>
  <c r="CC75" i="229"/>
  <c r="CA75" i="229"/>
  <c r="CE77" i="229" s="1"/>
  <c r="BZ75" i="229"/>
  <c r="BY75" i="229"/>
  <c r="BU75" i="229"/>
  <c r="BS75" i="229"/>
  <c r="BR75" i="229"/>
  <c r="BQ75" i="229"/>
  <c r="BR76" i="229" s="1"/>
  <c r="BP75" i="229"/>
  <c r="AP75" i="229"/>
  <c r="AO75" i="229"/>
  <c r="AN75" i="229"/>
  <c r="AL75" i="229"/>
  <c r="AK75" i="229"/>
  <c r="AJ75" i="229"/>
  <c r="AH75" i="229"/>
  <c r="AG75" i="229"/>
  <c r="AF75" i="229"/>
  <c r="AD75" i="229"/>
  <c r="AC75" i="229"/>
  <c r="AB75" i="229"/>
  <c r="DW74" i="229"/>
  <c r="DV74" i="229"/>
  <c r="DU74" i="229"/>
  <c r="DR74" i="229"/>
  <c r="DQ74" i="229"/>
  <c r="CB74" i="229"/>
  <c r="CF83" i="229" s="1"/>
  <c r="BX74" i="229"/>
  <c r="BY82" i="229" s="1"/>
  <c r="BN74" i="229"/>
  <c r="BR83" i="229" s="1"/>
  <c r="BM74" i="229"/>
  <c r="BL74" i="229"/>
  <c r="BJ74" i="229"/>
  <c r="BI74" i="229"/>
  <c r="BI75" i="229" s="1"/>
  <c r="BH74" i="229"/>
  <c r="BG74" i="229"/>
  <c r="BF74" i="229"/>
  <c r="BE74" i="229"/>
  <c r="BD74" i="229"/>
  <c r="BB74" i="229"/>
  <c r="BA74" i="229"/>
  <c r="BB79" i="229" s="1"/>
  <c r="AZ74" i="229"/>
  <c r="AZ75" i="229" s="1"/>
  <c r="AX74" i="229"/>
  <c r="AW74" i="229"/>
  <c r="AV74" i="229"/>
  <c r="AV80" i="229" s="1"/>
  <c r="AT74" i="229"/>
  <c r="AS74" i="229"/>
  <c r="AS82" i="229" s="1"/>
  <c r="AR74" i="229"/>
  <c r="AQ74" i="229"/>
  <c r="AM74" i="229"/>
  <c r="AM79" i="229" s="1"/>
  <c r="AI74" i="229"/>
  <c r="AJ79" i="229" s="1"/>
  <c r="CT69" i="229"/>
  <c r="CS69" i="229"/>
  <c r="CR69" i="229"/>
  <c r="CQ69" i="229"/>
  <c r="CP69" i="229"/>
  <c r="CO69" i="229"/>
  <c r="CN69" i="229"/>
  <c r="CM69" i="229"/>
  <c r="CL69" i="229"/>
  <c r="CJ69" i="229"/>
  <c r="CI69" i="229"/>
  <c r="CH69" i="229"/>
  <c r="CG69" i="229"/>
  <c r="CF69" i="229"/>
  <c r="CE69" i="229"/>
  <c r="CD69" i="229"/>
  <c r="CC69" i="229"/>
  <c r="CB69" i="229"/>
  <c r="CA69" i="229"/>
  <c r="BZ69" i="229"/>
  <c r="BY69" i="229"/>
  <c r="BU69" i="229"/>
  <c r="BS69" i="229"/>
  <c r="BR69" i="229"/>
  <c r="BQ69" i="229"/>
  <c r="BP69" i="229"/>
  <c r="BN69" i="229"/>
  <c r="BM69" i="229"/>
  <c r="BL69" i="229"/>
  <c r="BJ69" i="229"/>
  <c r="BJ99" i="229" s="1"/>
  <c r="BI69" i="229"/>
  <c r="BH69" i="229"/>
  <c r="BF69" i="229"/>
  <c r="BD69" i="229"/>
  <c r="BD99" i="229" s="1"/>
  <c r="BC69" i="229"/>
  <c r="BC99" i="229" s="1"/>
  <c r="BB69" i="229"/>
  <c r="BB99" i="229" s="1"/>
  <c r="BA69" i="229"/>
  <c r="BA99" i="229" s="1"/>
  <c r="AZ69" i="229"/>
  <c r="AZ99" i="229" s="1"/>
  <c r="AY69" i="229"/>
  <c r="AX69" i="229"/>
  <c r="AW69" i="229"/>
  <c r="AV69" i="229"/>
  <c r="AT69" i="229"/>
  <c r="AT99" i="229" s="1"/>
  <c r="AS69" i="229"/>
  <c r="AS99" i="229" s="1"/>
  <c r="AR69" i="229"/>
  <c r="AP69" i="229"/>
  <c r="AO69" i="229"/>
  <c r="AN69" i="229"/>
  <c r="AN99" i="229" s="1"/>
  <c r="AL69" i="229"/>
  <c r="AK69" i="229"/>
  <c r="AJ69" i="229"/>
  <c r="AJ99" i="229" s="1"/>
  <c r="AH69" i="229"/>
  <c r="AH99" i="229" s="1"/>
  <c r="AG69" i="229"/>
  <c r="AF69" i="229"/>
  <c r="AF99" i="229" s="1"/>
  <c r="BG68" i="229"/>
  <c r="BF68" i="229"/>
  <c r="BD68" i="229"/>
  <c r="BC68" i="229"/>
  <c r="BB68" i="229"/>
  <c r="BA68" i="229"/>
  <c r="AZ68" i="229"/>
  <c r="AX68" i="229"/>
  <c r="AW68" i="229"/>
  <c r="AV68" i="229"/>
  <c r="AT68" i="229"/>
  <c r="AS68" i="229"/>
  <c r="AR68" i="229"/>
  <c r="AP68" i="229"/>
  <c r="AO68" i="229"/>
  <c r="AN68" i="229"/>
  <c r="AL68" i="229"/>
  <c r="AK68" i="229"/>
  <c r="AJ68" i="229"/>
  <c r="AE68" i="229"/>
  <c r="DM67" i="229"/>
  <c r="DL67" i="229"/>
  <c r="DF67" i="229"/>
  <c r="BE67" i="229"/>
  <c r="AU67" i="229"/>
  <c r="AQ67" i="229"/>
  <c r="AM67" i="229"/>
  <c r="AI67" i="229"/>
  <c r="DH67" i="229" s="1"/>
  <c r="AD67" i="229"/>
  <c r="AC67" i="229"/>
  <c r="AB67" i="229"/>
  <c r="CT62" i="229"/>
  <c r="CS62" i="229"/>
  <c r="CR62" i="229"/>
  <c r="CQ62" i="229"/>
  <c r="CU66" i="229" s="1"/>
  <c r="CP62" i="229"/>
  <c r="CO62" i="229"/>
  <c r="CN62" i="229"/>
  <c r="CM62" i="229"/>
  <c r="CL62" i="229"/>
  <c r="CK62" i="229"/>
  <c r="CJ62" i="229"/>
  <c r="CI62" i="229"/>
  <c r="CM66" i="229" s="1"/>
  <c r="CH62" i="229"/>
  <c r="CG62" i="229"/>
  <c r="CF62" i="229"/>
  <c r="CE62" i="229"/>
  <c r="CD62" i="229"/>
  <c r="CC62" i="229"/>
  <c r="CA62" i="229"/>
  <c r="BZ62" i="229"/>
  <c r="BY62" i="229"/>
  <c r="BY66" i="229" s="1"/>
  <c r="BW62" i="229"/>
  <c r="BV62" i="229"/>
  <c r="BU62" i="229"/>
  <c r="BT62" i="229"/>
  <c r="BR62" i="229"/>
  <c r="BQ62" i="229"/>
  <c r="BP62" i="229"/>
  <c r="BN62" i="229"/>
  <c r="BN66" i="229" s="1"/>
  <c r="BM62" i="229"/>
  <c r="BL62" i="229"/>
  <c r="BJ62" i="229"/>
  <c r="BI62" i="229"/>
  <c r="BH62" i="229"/>
  <c r="BG62" i="229"/>
  <c r="BG66" i="229" s="1"/>
  <c r="BF62" i="229"/>
  <c r="BE62" i="229"/>
  <c r="BD62" i="229"/>
  <c r="BC62" i="229"/>
  <c r="BB62" i="229"/>
  <c r="BA62" i="229"/>
  <c r="AZ62" i="229"/>
  <c r="AX62" i="229"/>
  <c r="AW62" i="229"/>
  <c r="AV62" i="229"/>
  <c r="AV66" i="229" s="1"/>
  <c r="AT62" i="229"/>
  <c r="AS62" i="229"/>
  <c r="AR62" i="229"/>
  <c r="AP62" i="229"/>
  <c r="AO62" i="229"/>
  <c r="AS66" i="229" s="1"/>
  <c r="AN62" i="229"/>
  <c r="AL62" i="229"/>
  <c r="AK62" i="229"/>
  <c r="AJ62" i="229"/>
  <c r="AH62" i="229"/>
  <c r="AG62" i="229"/>
  <c r="AF62" i="229"/>
  <c r="AE62" i="229"/>
  <c r="CT61" i="229"/>
  <c r="CS61" i="229"/>
  <c r="CR61" i="229"/>
  <c r="CQ61" i="229"/>
  <c r="CP61" i="229"/>
  <c r="CO61" i="229"/>
  <c r="CN61" i="229"/>
  <c r="CM61" i="229"/>
  <c r="CL61" i="229"/>
  <c r="CK61" i="229"/>
  <c r="CJ61" i="229"/>
  <c r="CI61" i="229"/>
  <c r="CH61" i="229"/>
  <c r="CG61" i="229"/>
  <c r="CF61" i="229"/>
  <c r="CE61" i="229"/>
  <c r="CD61" i="229"/>
  <c r="CC61" i="229"/>
  <c r="CB61" i="229"/>
  <c r="CA61" i="229"/>
  <c r="BZ61" i="229"/>
  <c r="BW61" i="229"/>
  <c r="BV61" i="229"/>
  <c r="BU61" i="229"/>
  <c r="BT61" i="229"/>
  <c r="BS61" i="229"/>
  <c r="BR61" i="229"/>
  <c r="BQ61" i="229"/>
  <c r="BN61" i="229"/>
  <c r="BM61" i="229"/>
  <c r="BJ61" i="229"/>
  <c r="BI61" i="229"/>
  <c r="BH61" i="229"/>
  <c r="BG61" i="229"/>
  <c r="BF61" i="229"/>
  <c r="BE61" i="229"/>
  <c r="BD61" i="229"/>
  <c r="BC61" i="229"/>
  <c r="BB61" i="229"/>
  <c r="BA61" i="229"/>
  <c r="AZ61" i="229"/>
  <c r="AY61" i="229"/>
  <c r="AX61" i="229"/>
  <c r="AW61" i="229"/>
  <c r="AT61" i="229"/>
  <c r="AS61" i="229"/>
  <c r="AP61" i="229"/>
  <c r="AO61" i="229"/>
  <c r="AL61" i="229"/>
  <c r="AK61" i="229"/>
  <c r="AH61" i="229"/>
  <c r="AG61" i="229"/>
  <c r="AD61" i="229"/>
  <c r="AC61" i="229"/>
  <c r="CT59" i="229"/>
  <c r="CS59" i="229"/>
  <c r="CR59" i="229"/>
  <c r="CQ59" i="229"/>
  <c r="CU60" i="229" s="1"/>
  <c r="CP59" i="229"/>
  <c r="CO59" i="229"/>
  <c r="CN59" i="229"/>
  <c r="CM59" i="229"/>
  <c r="CL59" i="229"/>
  <c r="CK59" i="229"/>
  <c r="CJ59" i="229"/>
  <c r="CI59" i="229"/>
  <c r="CH59" i="229"/>
  <c r="CG59" i="229"/>
  <c r="CF59" i="229"/>
  <c r="CE59" i="229"/>
  <c r="CD59" i="229"/>
  <c r="CC59" i="229"/>
  <c r="CA59" i="229"/>
  <c r="BZ59" i="229"/>
  <c r="BY59" i="229"/>
  <c r="BW59" i="229"/>
  <c r="BV59" i="229"/>
  <c r="BU59" i="229"/>
  <c r="BT59" i="229"/>
  <c r="BR59" i="229"/>
  <c r="BV60" i="229" s="1"/>
  <c r="BQ59" i="229"/>
  <c r="BP59" i="229"/>
  <c r="BN59" i="229"/>
  <c r="BM59" i="229"/>
  <c r="BL59" i="229"/>
  <c r="BJ59" i="229"/>
  <c r="BI59" i="229"/>
  <c r="BH59" i="229"/>
  <c r="BG59" i="229"/>
  <c r="BG60" i="229" s="1"/>
  <c r="BF59" i="229"/>
  <c r="BE59" i="229"/>
  <c r="BD59" i="229"/>
  <c r="BC59" i="229"/>
  <c r="BB59" i="229"/>
  <c r="BA59" i="229"/>
  <c r="AZ59" i="229"/>
  <c r="AX59" i="229"/>
  <c r="AW59" i="229"/>
  <c r="AV59" i="229"/>
  <c r="AT59" i="229"/>
  <c r="AS59" i="229"/>
  <c r="AR59" i="229"/>
  <c r="AP59" i="229"/>
  <c r="AO59" i="229"/>
  <c r="AS60" i="229" s="1"/>
  <c r="AN59" i="229"/>
  <c r="AL59" i="229"/>
  <c r="AK59" i="229"/>
  <c r="AJ59" i="229"/>
  <c r="AH59" i="229"/>
  <c r="AG59" i="229"/>
  <c r="AF59" i="229"/>
  <c r="CT58" i="229"/>
  <c r="CS58" i="229"/>
  <c r="CR58" i="229"/>
  <c r="CQ58" i="229"/>
  <c r="CP58" i="229"/>
  <c r="CO58" i="229"/>
  <c r="CN58" i="229"/>
  <c r="CM58" i="229"/>
  <c r="CL58" i="229"/>
  <c r="CK58" i="229"/>
  <c r="CJ58" i="229"/>
  <c r="CI58" i="229"/>
  <c r="CH58" i="229"/>
  <c r="CG58" i="229"/>
  <c r="CF58" i="229"/>
  <c r="CE58" i="229"/>
  <c r="CD58" i="229"/>
  <c r="CC58" i="229"/>
  <c r="CB58" i="229"/>
  <c r="CA58" i="229"/>
  <c r="BZ58" i="229"/>
  <c r="BW58" i="229"/>
  <c r="BV58" i="229"/>
  <c r="BU58" i="229"/>
  <c r="BT58" i="229"/>
  <c r="BS58" i="229"/>
  <c r="BR58" i="229"/>
  <c r="BQ58" i="229"/>
  <c r="BN58" i="229"/>
  <c r="BM58" i="229"/>
  <c r="BJ58" i="229"/>
  <c r="BI58" i="229"/>
  <c r="BH58" i="229"/>
  <c r="BG58" i="229"/>
  <c r="BF58" i="229"/>
  <c r="BE58" i="229"/>
  <c r="BD58" i="229"/>
  <c r="BC58" i="229"/>
  <c r="BB58" i="229"/>
  <c r="BA58" i="229"/>
  <c r="AZ58" i="229"/>
  <c r="AY58" i="229"/>
  <c r="AX58" i="229"/>
  <c r="AW58" i="229"/>
  <c r="AT58" i="229"/>
  <c r="AS58" i="229"/>
  <c r="AP58" i="229"/>
  <c r="AO58" i="229"/>
  <c r="AL58" i="229"/>
  <c r="AK58" i="229"/>
  <c r="AH58" i="229"/>
  <c r="AG58" i="229"/>
  <c r="AD58" i="229"/>
  <c r="AC58" i="229"/>
  <c r="DW57" i="229"/>
  <c r="DV57" i="229"/>
  <c r="DU57" i="229"/>
  <c r="DT57" i="229"/>
  <c r="DR57" i="229"/>
  <c r="DR59" i="229" s="1"/>
  <c r="DQ57" i="229"/>
  <c r="DQ86" i="229" s="1"/>
  <c r="DN57" i="229"/>
  <c r="DM57" i="229"/>
  <c r="DL57" i="229"/>
  <c r="DX57" i="229"/>
  <c r="DX62" i="229" s="1"/>
  <c r="BX57" i="229"/>
  <c r="BO57" i="229"/>
  <c r="BK57" i="229"/>
  <c r="BK69" i="229" s="1"/>
  <c r="AU57" i="229"/>
  <c r="AU59" i="229" s="1"/>
  <c r="AQ57" i="229"/>
  <c r="AQ61" i="229" s="1"/>
  <c r="AM57" i="229"/>
  <c r="AI57" i="229"/>
  <c r="DH57" i="229" s="1"/>
  <c r="AE57" i="229"/>
  <c r="AF58" i="229" s="1"/>
  <c r="DG57" i="229"/>
  <c r="DG62" i="229" s="1"/>
  <c r="CR52" i="229"/>
  <c r="CQ52" i="229"/>
  <c r="CU56" i="229" s="1"/>
  <c r="CP52" i="229"/>
  <c r="CT56" i="229" s="1"/>
  <c r="CN52" i="229"/>
  <c r="CR56" i="229" s="1"/>
  <c r="CM52" i="229"/>
  <c r="CL52" i="229"/>
  <c r="CJ52" i="229"/>
  <c r="CI52" i="229"/>
  <c r="CH52" i="229"/>
  <c r="CG52" i="229"/>
  <c r="CF52" i="229"/>
  <c r="CE52" i="229"/>
  <c r="CD52" i="229"/>
  <c r="CC52" i="229"/>
  <c r="CB52" i="229"/>
  <c r="BY52" i="229"/>
  <c r="BU52" i="229"/>
  <c r="BR52" i="229"/>
  <c r="BQ52" i="229"/>
  <c r="BU56" i="229" s="1"/>
  <c r="BP52" i="229"/>
  <c r="BN52" i="229"/>
  <c r="BM52" i="229"/>
  <c r="BL52" i="229"/>
  <c r="BJ52" i="229"/>
  <c r="BI52" i="229"/>
  <c r="BH52" i="229"/>
  <c r="BF52" i="229"/>
  <c r="BE52" i="229"/>
  <c r="BD52" i="229"/>
  <c r="BC52" i="229"/>
  <c r="BB52" i="229"/>
  <c r="BA52" i="229"/>
  <c r="AZ52" i="229"/>
  <c r="AX52" i="229"/>
  <c r="AW52" i="229"/>
  <c r="AV52" i="229"/>
  <c r="AT52" i="229"/>
  <c r="AS52" i="229"/>
  <c r="AR52" i="229"/>
  <c r="AP52" i="229"/>
  <c r="AO52" i="229"/>
  <c r="AN52" i="229"/>
  <c r="AL52" i="229"/>
  <c r="AK52" i="229"/>
  <c r="AJ52" i="229"/>
  <c r="AH52" i="229"/>
  <c r="AG52" i="229"/>
  <c r="AF52" i="229"/>
  <c r="CT51" i="229"/>
  <c r="CS51" i="229"/>
  <c r="CQ51" i="229"/>
  <c r="CP51" i="229"/>
  <c r="CO51" i="229"/>
  <c r="CN51" i="229"/>
  <c r="CM51" i="229"/>
  <c r="CJ51" i="229"/>
  <c r="CI51" i="229"/>
  <c r="CH51" i="229"/>
  <c r="CG51" i="229"/>
  <c r="CF51" i="229"/>
  <c r="CE51" i="229"/>
  <c r="CD51" i="229"/>
  <c r="CC51" i="229"/>
  <c r="CB51" i="229"/>
  <c r="CA51" i="229"/>
  <c r="BZ51" i="229"/>
  <c r="BY51" i="229"/>
  <c r="BS51" i="229"/>
  <c r="BR51" i="229"/>
  <c r="BQ51" i="229"/>
  <c r="BN51" i="229"/>
  <c r="BM51" i="229"/>
  <c r="BJ51" i="229"/>
  <c r="BI51" i="229"/>
  <c r="BF51" i="229"/>
  <c r="BE51" i="229"/>
  <c r="BD51" i="229"/>
  <c r="BC51" i="229"/>
  <c r="BB51" i="229"/>
  <c r="BA51" i="229"/>
  <c r="AZ51" i="229"/>
  <c r="AY51" i="229"/>
  <c r="AX51" i="229"/>
  <c r="AW51" i="229"/>
  <c r="AT51" i="229"/>
  <c r="AS51" i="229"/>
  <c r="AP51" i="229"/>
  <c r="AO51" i="229"/>
  <c r="AL51" i="229"/>
  <c r="AK51" i="229"/>
  <c r="AH51" i="229"/>
  <c r="AG51" i="229"/>
  <c r="AD51" i="229"/>
  <c r="AC51" i="229"/>
  <c r="CR49" i="229"/>
  <c r="CQ49" i="229"/>
  <c r="CU50" i="229" s="1"/>
  <c r="CP49" i="229"/>
  <c r="CN49" i="229"/>
  <c r="CM49" i="229"/>
  <c r="CL49" i="229"/>
  <c r="CJ49" i="229"/>
  <c r="CI49" i="229"/>
  <c r="CH49" i="229"/>
  <c r="CG49" i="229"/>
  <c r="CF49" i="229"/>
  <c r="CJ50" i="229" s="1"/>
  <c r="CE49" i="229"/>
  <c r="CD49" i="229"/>
  <c r="CC49" i="229"/>
  <c r="CB49" i="229"/>
  <c r="BY49" i="229"/>
  <c r="BU49" i="229"/>
  <c r="BR49" i="229"/>
  <c r="BQ49" i="229"/>
  <c r="BP49" i="229"/>
  <c r="BP50" i="229" s="1"/>
  <c r="BN49" i="229"/>
  <c r="BM49" i="229"/>
  <c r="BL49" i="229"/>
  <c r="BJ49" i="229"/>
  <c r="BI49" i="229"/>
  <c r="BH49" i="229"/>
  <c r="BF49" i="229"/>
  <c r="BF50" i="229" s="1"/>
  <c r="BE49" i="229"/>
  <c r="BD49" i="229"/>
  <c r="BC49" i="229"/>
  <c r="BB49" i="229"/>
  <c r="BA49" i="229"/>
  <c r="AZ49" i="229"/>
  <c r="AX49" i="229"/>
  <c r="AW49" i="229"/>
  <c r="AV49" i="229"/>
  <c r="AT49" i="229"/>
  <c r="AS49" i="229"/>
  <c r="AR49" i="229"/>
  <c r="AP49" i="229"/>
  <c r="AO49" i="229"/>
  <c r="AN49" i="229"/>
  <c r="AL49" i="229"/>
  <c r="AK49" i="229"/>
  <c r="AJ49" i="229"/>
  <c r="AH49" i="229"/>
  <c r="AG49" i="229"/>
  <c r="AF49" i="229"/>
  <c r="CT48" i="229"/>
  <c r="CS48" i="229"/>
  <c r="CQ48" i="229"/>
  <c r="CP48" i="229"/>
  <c r="CO48" i="229"/>
  <c r="CN48" i="229"/>
  <c r="CM48" i="229"/>
  <c r="CJ48" i="229"/>
  <c r="CI48" i="229"/>
  <c r="CH48" i="229"/>
  <c r="CG48" i="229"/>
  <c r="CF48" i="229"/>
  <c r="CE48" i="229"/>
  <c r="CD48" i="229"/>
  <c r="CC48" i="229"/>
  <c r="CB48" i="229"/>
  <c r="CA48" i="229"/>
  <c r="BZ48" i="229"/>
  <c r="BY48" i="229"/>
  <c r="BS48" i="229"/>
  <c r="BR48" i="229"/>
  <c r="BQ48" i="229"/>
  <c r="BN48" i="229"/>
  <c r="BM48" i="229"/>
  <c r="BJ48" i="229"/>
  <c r="BI48" i="229"/>
  <c r="BF48" i="229"/>
  <c r="BE48" i="229"/>
  <c r="BD48" i="229"/>
  <c r="BC48" i="229"/>
  <c r="BB48" i="229"/>
  <c r="BA48" i="229"/>
  <c r="AZ48" i="229"/>
  <c r="AY48" i="229"/>
  <c r="AX48" i="229"/>
  <c r="AW48" i="229"/>
  <c r="AT48" i="229"/>
  <c r="AS48" i="229"/>
  <c r="AP48" i="229"/>
  <c r="AO48" i="229"/>
  <c r="AL48" i="229"/>
  <c r="AK48" i="229"/>
  <c r="AH48" i="229"/>
  <c r="AG48" i="229"/>
  <c r="AD48" i="229"/>
  <c r="AC48" i="229"/>
  <c r="DW47" i="229"/>
  <c r="DU47" i="229"/>
  <c r="DT47" i="229"/>
  <c r="DS47" i="229"/>
  <c r="DQ47" i="229"/>
  <c r="DM47" i="229"/>
  <c r="DL47" i="229"/>
  <c r="CK47" i="229"/>
  <c r="DV47" i="229" s="1"/>
  <c r="BW47" i="229"/>
  <c r="BV47" i="229"/>
  <c r="BV48" i="229" s="1"/>
  <c r="BT47" i="229"/>
  <c r="BT52" i="229" s="1"/>
  <c r="BO47" i="229"/>
  <c r="BK47" i="229"/>
  <c r="BG47" i="229"/>
  <c r="AU47" i="229"/>
  <c r="AU51" i="229" s="1"/>
  <c r="AQ47" i="229"/>
  <c r="AR51" i="229" s="1"/>
  <c r="AM47" i="229"/>
  <c r="DI47" i="229" s="1"/>
  <c r="AI47" i="229"/>
  <c r="AM52" i="229" s="1"/>
  <c r="AJ48" i="229"/>
  <c r="AE47" i="229"/>
  <c r="AF51" i="229" s="1"/>
  <c r="DZ34" i="229"/>
  <c r="DY34" i="229"/>
  <c r="DY43" i="229" s="1"/>
  <c r="DX34" i="229"/>
  <c r="DW34" i="229"/>
  <c r="DW39" i="229" s="1"/>
  <c r="DV34" i="229"/>
  <c r="DU34" i="229"/>
  <c r="DU43" i="229" s="1"/>
  <c r="DT34" i="229"/>
  <c r="DT43" i="229" s="1"/>
  <c r="DS34" i="229"/>
  <c r="EA31" i="229"/>
  <c r="DZ31" i="229"/>
  <c r="CT31" i="229"/>
  <c r="CS31" i="229"/>
  <c r="CR31" i="229"/>
  <c r="CQ31" i="229"/>
  <c r="CP31" i="229"/>
  <c r="CO31" i="229"/>
  <c r="CN31" i="229"/>
  <c r="CM31" i="229"/>
  <c r="CL31" i="229"/>
  <c r="CK31" i="229"/>
  <c r="CJ31" i="229"/>
  <c r="CI31" i="229"/>
  <c r="CH31" i="229"/>
  <c r="CG31" i="229"/>
  <c r="CF31" i="229"/>
  <c r="CE31" i="229"/>
  <c r="CD31" i="229"/>
  <c r="CC31" i="229"/>
  <c r="CB31" i="229"/>
  <c r="CA31" i="229"/>
  <c r="BZ31" i="229"/>
  <c r="BY31" i="229"/>
  <c r="BX31" i="229"/>
  <c r="BW31" i="229"/>
  <c r="BV31" i="229"/>
  <c r="BU31" i="229"/>
  <c r="BT31" i="229"/>
  <c r="BS31" i="229"/>
  <c r="BR31" i="229"/>
  <c r="BQ31" i="229"/>
  <c r="BP31" i="229"/>
  <c r="BO31" i="229"/>
  <c r="BN31" i="229"/>
  <c r="BM31" i="229"/>
  <c r="BL31" i="229"/>
  <c r="BK31" i="229"/>
  <c r="BJ31" i="229"/>
  <c r="BI31" i="229"/>
  <c r="BH31" i="229"/>
  <c r="BG31" i="229"/>
  <c r="BF31" i="229"/>
  <c r="BE31" i="229"/>
  <c r="BD31" i="229"/>
  <c r="BC31" i="229"/>
  <c r="BB31" i="229"/>
  <c r="BA31" i="229"/>
  <c r="AZ31" i="229"/>
  <c r="AY31" i="229"/>
  <c r="AX31" i="229"/>
  <c r="AW31" i="229"/>
  <c r="AV31" i="229"/>
  <c r="AU31" i="229"/>
  <c r="AT31" i="229"/>
  <c r="AS31" i="229"/>
  <c r="AR31" i="229"/>
  <c r="AQ31" i="229"/>
  <c r="AP31" i="229"/>
  <c r="AO31" i="229"/>
  <c r="AN31" i="229"/>
  <c r="AM31" i="229"/>
  <c r="AL31" i="229"/>
  <c r="AK31" i="229"/>
  <c r="AJ31" i="229"/>
  <c r="AI31" i="229"/>
  <c r="AH31" i="229"/>
  <c r="AG31" i="229"/>
  <c r="AF31" i="229"/>
  <c r="EA30" i="229"/>
  <c r="DZ30" i="229"/>
  <c r="CT30" i="229"/>
  <c r="CS30" i="229"/>
  <c r="CR30" i="229"/>
  <c r="CQ30" i="229"/>
  <c r="CP30" i="229"/>
  <c r="CO30" i="229"/>
  <c r="CN30" i="229"/>
  <c r="CM30" i="229"/>
  <c r="CL30" i="229"/>
  <c r="CK30" i="229"/>
  <c r="CJ30" i="229"/>
  <c r="CI30" i="229"/>
  <c r="CH30" i="229"/>
  <c r="CG30" i="229"/>
  <c r="CF30" i="229"/>
  <c r="CE30" i="229"/>
  <c r="CD30" i="229"/>
  <c r="CC30" i="229"/>
  <c r="CB30" i="229"/>
  <c r="CA30" i="229"/>
  <c r="BZ30" i="229"/>
  <c r="BY30" i="229"/>
  <c r="BX30" i="229"/>
  <c r="BW30" i="229"/>
  <c r="BV30" i="229"/>
  <c r="BU30" i="229"/>
  <c r="BT30" i="229"/>
  <c r="BS30" i="229"/>
  <c r="BR30" i="229"/>
  <c r="BQ30" i="229"/>
  <c r="BP30" i="229"/>
  <c r="BO30" i="229"/>
  <c r="BN30" i="229"/>
  <c r="BM30" i="229"/>
  <c r="BL30" i="229"/>
  <c r="BK30" i="229"/>
  <c r="BJ30" i="229"/>
  <c r="BI30" i="229"/>
  <c r="BH30" i="229"/>
  <c r="BG30" i="229"/>
  <c r="BF30" i="229"/>
  <c r="BE30" i="229"/>
  <c r="BD30" i="229"/>
  <c r="BC30" i="229"/>
  <c r="BB30" i="229"/>
  <c r="BA30" i="229"/>
  <c r="AZ30" i="229"/>
  <c r="AY30" i="229"/>
  <c r="AX30" i="229"/>
  <c r="AW30" i="229"/>
  <c r="AV30" i="229"/>
  <c r="AU30" i="229"/>
  <c r="AT30" i="229"/>
  <c r="AS30" i="229"/>
  <c r="AR30" i="229"/>
  <c r="AQ30" i="229"/>
  <c r="AP30" i="229"/>
  <c r="AO30" i="229"/>
  <c r="AN30" i="229"/>
  <c r="AM30" i="229"/>
  <c r="AL30" i="229"/>
  <c r="AK30" i="229"/>
  <c r="AJ30" i="229"/>
  <c r="AI30" i="229"/>
  <c r="AH30" i="229"/>
  <c r="AG30" i="229"/>
  <c r="AF30" i="229"/>
  <c r="EA27" i="229"/>
  <c r="EB29" i="229" s="1"/>
  <c r="EB62" i="229" s="1"/>
  <c r="DZ27" i="229"/>
  <c r="DY27" i="229"/>
  <c r="CT27" i="229"/>
  <c r="CS27" i="229"/>
  <c r="CW29" i="229" s="1"/>
  <c r="CW62" i="229" s="1"/>
  <c r="CR27" i="229"/>
  <c r="CV29" i="229" s="1"/>
  <c r="CQ27" i="229"/>
  <c r="CU29" i="229" s="1"/>
  <c r="CP27" i="229"/>
  <c r="CO27" i="229"/>
  <c r="CN27" i="229"/>
  <c r="CM27" i="229"/>
  <c r="CQ29" i="229" s="1"/>
  <c r="CL27" i="229"/>
  <c r="CK27" i="229"/>
  <c r="CJ27" i="229"/>
  <c r="CI27" i="229"/>
  <c r="CH27" i="229"/>
  <c r="CG27" i="229"/>
  <c r="CF27" i="229"/>
  <c r="CE27" i="229"/>
  <c r="CD27" i="229"/>
  <c r="CC27" i="229"/>
  <c r="CB27" i="229"/>
  <c r="CB28" i="229" s="1"/>
  <c r="CA27" i="229"/>
  <c r="BZ27" i="229"/>
  <c r="BY27" i="229"/>
  <c r="BX27" i="229"/>
  <c r="BW27" i="229"/>
  <c r="BV27" i="229"/>
  <c r="BU27" i="229"/>
  <c r="BT27" i="229"/>
  <c r="BS27" i="229"/>
  <c r="BR27" i="229"/>
  <c r="BQ27" i="229"/>
  <c r="BP27" i="229"/>
  <c r="BO27" i="229"/>
  <c r="BN27" i="229"/>
  <c r="BM27" i="229"/>
  <c r="BL27" i="229"/>
  <c r="BL28" i="229" s="1"/>
  <c r="BK27" i="229"/>
  <c r="BJ27" i="229"/>
  <c r="BI27" i="229"/>
  <c r="BH27" i="229"/>
  <c r="BG27" i="229"/>
  <c r="BF27" i="229"/>
  <c r="BE27" i="229"/>
  <c r="BD27" i="229"/>
  <c r="BC27" i="229"/>
  <c r="BB27" i="229"/>
  <c r="BC28" i="229" s="1"/>
  <c r="BA27" i="229"/>
  <c r="AZ27" i="229"/>
  <c r="AY27" i="229"/>
  <c r="AY29" i="229" s="1"/>
  <c r="AX27" i="229"/>
  <c r="AW27" i="229"/>
  <c r="AV27" i="229"/>
  <c r="AV28" i="229" s="1"/>
  <c r="AU27" i="229"/>
  <c r="AT27" i="229"/>
  <c r="AS27" i="229"/>
  <c r="AR27" i="229"/>
  <c r="AQ27" i="229"/>
  <c r="AP27" i="229"/>
  <c r="AO27" i="229"/>
  <c r="AN27" i="229"/>
  <c r="AM27" i="229"/>
  <c r="AL27" i="229"/>
  <c r="AM28" i="229" s="1"/>
  <c r="AK27" i="229"/>
  <c r="AJ27" i="229"/>
  <c r="AI27" i="229"/>
  <c r="AH27" i="229"/>
  <c r="AG27" i="229"/>
  <c r="AF27" i="229"/>
  <c r="AE27" i="229"/>
  <c r="AD27" i="229"/>
  <c r="AC27" i="229"/>
  <c r="AB27" i="229"/>
  <c r="EA26" i="229"/>
  <c r="DZ26" i="229"/>
  <c r="CT26" i="229"/>
  <c r="CS26" i="229"/>
  <c r="CR26" i="229"/>
  <c r="CQ26" i="229"/>
  <c r="CP26" i="229"/>
  <c r="CO26" i="229"/>
  <c r="CN26" i="229"/>
  <c r="CM26" i="229"/>
  <c r="CL26" i="229"/>
  <c r="CK26" i="229"/>
  <c r="CJ26" i="229"/>
  <c r="CI26" i="229"/>
  <c r="CH26" i="229"/>
  <c r="CG26" i="229"/>
  <c r="CF26" i="229"/>
  <c r="CE26" i="229"/>
  <c r="CD26" i="229"/>
  <c r="CC26" i="229"/>
  <c r="CB26" i="229"/>
  <c r="CA26" i="229"/>
  <c r="BZ26" i="229"/>
  <c r="BY26" i="229"/>
  <c r="BX26" i="229"/>
  <c r="BW26" i="229"/>
  <c r="BV26" i="229"/>
  <c r="BU26" i="229"/>
  <c r="BT26" i="229"/>
  <c r="BS26" i="229"/>
  <c r="BR26" i="229"/>
  <c r="BQ26" i="229"/>
  <c r="BP26" i="229"/>
  <c r="BO26" i="229"/>
  <c r="BN26" i="229"/>
  <c r="BM26" i="229"/>
  <c r="BL26" i="229"/>
  <c r="BK26" i="229"/>
  <c r="BJ26" i="229"/>
  <c r="BI26" i="229"/>
  <c r="BH26" i="229"/>
  <c r="BG26" i="229"/>
  <c r="BF26" i="229"/>
  <c r="BE26" i="229"/>
  <c r="BD26" i="229"/>
  <c r="BC26" i="229"/>
  <c r="BB26" i="229"/>
  <c r="BA26" i="229"/>
  <c r="AZ26" i="229"/>
  <c r="AY26" i="229"/>
  <c r="AX26" i="229"/>
  <c r="AW26" i="229"/>
  <c r="AV26" i="229"/>
  <c r="AU26" i="229"/>
  <c r="AT26" i="229"/>
  <c r="AS26" i="229"/>
  <c r="AR26" i="229"/>
  <c r="AQ26" i="229"/>
  <c r="AP26" i="229"/>
  <c r="AO26" i="229"/>
  <c r="AN26" i="229"/>
  <c r="AM26" i="229"/>
  <c r="AL26" i="229"/>
  <c r="AK26" i="229"/>
  <c r="AJ26" i="229"/>
  <c r="AI26" i="229"/>
  <c r="AH26" i="229"/>
  <c r="AG26" i="229"/>
  <c r="AF26" i="229"/>
  <c r="CT25" i="229"/>
  <c r="CS25" i="229"/>
  <c r="CR25" i="229"/>
  <c r="CQ25" i="229"/>
  <c r="CP25" i="229"/>
  <c r="CO25" i="229"/>
  <c r="CN25" i="229"/>
  <c r="CM25" i="229"/>
  <c r="CL25" i="229"/>
  <c r="CK25" i="229"/>
  <c r="CJ25" i="229"/>
  <c r="CI25" i="229"/>
  <c r="CH25" i="229"/>
  <c r="CG25" i="229"/>
  <c r="CF25" i="229"/>
  <c r="CE25" i="229"/>
  <c r="CD25" i="229"/>
  <c r="CC25" i="229"/>
  <c r="CB25" i="229"/>
  <c r="CA25" i="229"/>
  <c r="BZ25" i="229"/>
  <c r="BY25" i="229"/>
  <c r="BX25" i="229"/>
  <c r="BW25" i="229"/>
  <c r="BV25" i="229"/>
  <c r="BU25" i="229"/>
  <c r="BT25" i="229"/>
  <c r="BS25" i="229"/>
  <c r="BR25" i="229"/>
  <c r="BQ25" i="229"/>
  <c r="BP25" i="229"/>
  <c r="BO25" i="229"/>
  <c r="BN25" i="229"/>
  <c r="BM25" i="229"/>
  <c r="BL25" i="229"/>
  <c r="BK25" i="229"/>
  <c r="BJ25" i="229"/>
  <c r="BI25" i="229"/>
  <c r="BH25" i="229"/>
  <c r="BG25" i="229"/>
  <c r="BF25" i="229"/>
  <c r="BE25" i="229"/>
  <c r="BD25" i="229"/>
  <c r="BC25" i="229"/>
  <c r="BB25" i="229"/>
  <c r="BA25" i="229"/>
  <c r="AZ25" i="229"/>
  <c r="AY25" i="229"/>
  <c r="AX25" i="229"/>
  <c r="AW25" i="229"/>
  <c r="AV25" i="229"/>
  <c r="AU25" i="229"/>
  <c r="AT25" i="229"/>
  <c r="AS25" i="229"/>
  <c r="AR25" i="229"/>
  <c r="AQ25" i="229"/>
  <c r="AP25" i="229"/>
  <c r="AO25" i="229"/>
  <c r="AN25" i="229"/>
  <c r="AM25" i="229"/>
  <c r="AL25" i="229"/>
  <c r="AK25" i="229"/>
  <c r="AJ25" i="229"/>
  <c r="AI25" i="229"/>
  <c r="AH25" i="229"/>
  <c r="AG25" i="229"/>
  <c r="AF25" i="229"/>
  <c r="AE25" i="229"/>
  <c r="AD25" i="229"/>
  <c r="AC25" i="229"/>
  <c r="DX24" i="229"/>
  <c r="DW24" i="229"/>
  <c r="DV24" i="229"/>
  <c r="DU24" i="229"/>
  <c r="DT24" i="229"/>
  <c r="DS24" i="229"/>
  <c r="DR24" i="229"/>
  <c r="DQ24" i="229"/>
  <c r="DP24" i="229"/>
  <c r="DO24" i="229"/>
  <c r="DN24" i="229"/>
  <c r="DM24" i="229"/>
  <c r="DL24" i="229"/>
  <c r="DK24" i="229"/>
  <c r="DJ24" i="229"/>
  <c r="DI24" i="229"/>
  <c r="DH24" i="229"/>
  <c r="DG24" i="229"/>
  <c r="EA23" i="229"/>
  <c r="DZ23" i="229"/>
  <c r="CT23" i="229"/>
  <c r="CS23" i="229"/>
  <c r="CR23" i="229"/>
  <c r="CQ23" i="229"/>
  <c r="CP23" i="229"/>
  <c r="CO23" i="229"/>
  <c r="CN23" i="229"/>
  <c r="CM23" i="229"/>
  <c r="CL23" i="229"/>
  <c r="CK23" i="229"/>
  <c r="CJ23" i="229"/>
  <c r="CI23" i="229"/>
  <c r="CH23" i="229"/>
  <c r="CG23" i="229"/>
  <c r="CF23" i="229"/>
  <c r="CE23" i="229"/>
  <c r="CD23" i="229"/>
  <c r="CC23" i="229"/>
  <c r="CB23" i="229"/>
  <c r="CA23" i="229"/>
  <c r="BZ23" i="229"/>
  <c r="BY23" i="229"/>
  <c r="BX23" i="229"/>
  <c r="BW23" i="229"/>
  <c r="BV23" i="229"/>
  <c r="BU23" i="229"/>
  <c r="BT23" i="229"/>
  <c r="BS23" i="229"/>
  <c r="BR23" i="229"/>
  <c r="BQ23" i="229"/>
  <c r="BP23" i="229"/>
  <c r="BO23" i="229"/>
  <c r="BN23" i="229"/>
  <c r="BM23" i="229"/>
  <c r="BL23" i="229"/>
  <c r="BK23" i="229"/>
  <c r="BJ23" i="229"/>
  <c r="BI23" i="229"/>
  <c r="BH23" i="229"/>
  <c r="BG23" i="229"/>
  <c r="BF23" i="229"/>
  <c r="BE23" i="229"/>
  <c r="BD23" i="229"/>
  <c r="BC23" i="229"/>
  <c r="BB23" i="229"/>
  <c r="BA23" i="229"/>
  <c r="AZ23" i="229"/>
  <c r="AY23" i="229"/>
  <c r="AX23" i="229"/>
  <c r="AW23" i="229"/>
  <c r="AV23" i="229"/>
  <c r="AU23" i="229"/>
  <c r="AT23" i="229"/>
  <c r="AS23" i="229"/>
  <c r="AR23" i="229"/>
  <c r="AQ23" i="229"/>
  <c r="AP23" i="229"/>
  <c r="AO23" i="229"/>
  <c r="AN23" i="229"/>
  <c r="AM23" i="229"/>
  <c r="AL23" i="229"/>
  <c r="AK23" i="229"/>
  <c r="AJ23" i="229"/>
  <c r="AI23" i="229"/>
  <c r="AH23" i="229"/>
  <c r="AG23" i="229"/>
  <c r="AF23" i="229"/>
  <c r="CT22" i="229"/>
  <c r="CS22" i="229"/>
  <c r="CR22" i="229"/>
  <c r="CQ22" i="229"/>
  <c r="CP22" i="229"/>
  <c r="CO22" i="229"/>
  <c r="CN22" i="229"/>
  <c r="CM22" i="229"/>
  <c r="CL22" i="229"/>
  <c r="CK22" i="229"/>
  <c r="CJ22" i="229"/>
  <c r="CI22" i="229"/>
  <c r="CH22" i="229"/>
  <c r="CG22" i="229"/>
  <c r="CF22" i="229"/>
  <c r="CE22" i="229"/>
  <c r="CD22" i="229"/>
  <c r="CC22" i="229"/>
  <c r="CB22" i="229"/>
  <c r="CA22" i="229"/>
  <c r="BZ22" i="229"/>
  <c r="BY22" i="229"/>
  <c r="BX22" i="229"/>
  <c r="BW22" i="229"/>
  <c r="BV22" i="229"/>
  <c r="BU22" i="229"/>
  <c r="BT22" i="229"/>
  <c r="BS22" i="229"/>
  <c r="BR22" i="229"/>
  <c r="BQ22" i="229"/>
  <c r="BP22" i="229"/>
  <c r="BO22" i="229"/>
  <c r="BN22" i="229"/>
  <c r="BM22" i="229"/>
  <c r="BL22" i="229"/>
  <c r="BK22" i="229"/>
  <c r="BJ22" i="229"/>
  <c r="BI22" i="229"/>
  <c r="BH22" i="229"/>
  <c r="BG22" i="229"/>
  <c r="BF22" i="229"/>
  <c r="BE22" i="229"/>
  <c r="BD22" i="229"/>
  <c r="BC22" i="229"/>
  <c r="BB22" i="229"/>
  <c r="BA22" i="229"/>
  <c r="AZ22" i="229"/>
  <c r="AY22" i="229"/>
  <c r="AX22" i="229"/>
  <c r="AW22" i="229"/>
  <c r="AV22" i="229"/>
  <c r="AU22" i="229"/>
  <c r="AT22" i="229"/>
  <c r="AS22" i="229"/>
  <c r="AR22" i="229"/>
  <c r="AQ22" i="229"/>
  <c r="AP22" i="229"/>
  <c r="AO22" i="229"/>
  <c r="AN22" i="229"/>
  <c r="AM22" i="229"/>
  <c r="AL22" i="229"/>
  <c r="AK22" i="229"/>
  <c r="AJ22" i="229"/>
  <c r="AI22" i="229"/>
  <c r="AH22" i="229"/>
  <c r="AG22" i="229"/>
  <c r="AF22" i="229"/>
  <c r="AE22" i="229"/>
  <c r="AD22" i="229"/>
  <c r="AC22" i="229"/>
  <c r="DX21" i="229"/>
  <c r="DW21" i="229"/>
  <c r="DV21" i="229"/>
  <c r="DU21" i="229"/>
  <c r="DT21" i="229"/>
  <c r="DS21" i="229"/>
  <c r="DR21" i="229"/>
  <c r="DQ21" i="229"/>
  <c r="DP21" i="229"/>
  <c r="DO21" i="229"/>
  <c r="DN21" i="229"/>
  <c r="DM21" i="229"/>
  <c r="DL21" i="229"/>
  <c r="DK21" i="229"/>
  <c r="DJ21" i="229"/>
  <c r="DI21" i="229"/>
  <c r="DH21" i="229"/>
  <c r="DG21" i="229"/>
  <c r="DH23" i="229" s="1"/>
  <c r="EA20" i="229"/>
  <c r="DZ20" i="229"/>
  <c r="CT20" i="229"/>
  <c r="CS20" i="229"/>
  <c r="CR20" i="229"/>
  <c r="CQ20" i="229"/>
  <c r="CP20" i="229"/>
  <c r="CO20" i="229"/>
  <c r="CN20" i="229"/>
  <c r="CM20" i="229"/>
  <c r="CL20" i="229"/>
  <c r="CK20" i="229"/>
  <c r="CJ20" i="229"/>
  <c r="CI20" i="229"/>
  <c r="CH20" i="229"/>
  <c r="CG20" i="229"/>
  <c r="CF20" i="229"/>
  <c r="CE20" i="229"/>
  <c r="CD20" i="229"/>
  <c r="CC20" i="229"/>
  <c r="CB20" i="229"/>
  <c r="CA20" i="229"/>
  <c r="BZ20" i="229"/>
  <c r="BY20" i="229"/>
  <c r="BX20" i="229"/>
  <c r="BW20" i="229"/>
  <c r="BV20" i="229"/>
  <c r="BU20" i="229"/>
  <c r="BT20" i="229"/>
  <c r="BS20" i="229"/>
  <c r="BR20" i="229"/>
  <c r="BQ20" i="229"/>
  <c r="BP20" i="229"/>
  <c r="BO20" i="229"/>
  <c r="BN20" i="229"/>
  <c r="BM20" i="229"/>
  <c r="BL20" i="229"/>
  <c r="BK20" i="229"/>
  <c r="BJ20" i="229"/>
  <c r="BI20" i="229"/>
  <c r="BH20" i="229"/>
  <c r="BG20" i="229"/>
  <c r="BF20" i="229"/>
  <c r="BE20" i="229"/>
  <c r="BD20" i="229"/>
  <c r="BC20" i="229"/>
  <c r="BB20" i="229"/>
  <c r="BA20" i="229"/>
  <c r="AZ20" i="229"/>
  <c r="AY20" i="229"/>
  <c r="AX20" i="229"/>
  <c r="AW20" i="229"/>
  <c r="AV20" i="229"/>
  <c r="AU20" i="229"/>
  <c r="AT20" i="229"/>
  <c r="AS20" i="229"/>
  <c r="AR20" i="229"/>
  <c r="AQ20" i="229"/>
  <c r="AP20" i="229"/>
  <c r="AO20" i="229"/>
  <c r="AN20" i="229"/>
  <c r="AM20" i="229"/>
  <c r="AL20" i="229"/>
  <c r="AK20" i="229"/>
  <c r="AJ20" i="229"/>
  <c r="AI20" i="229"/>
  <c r="AH20" i="229"/>
  <c r="AG20" i="229"/>
  <c r="AF20" i="229"/>
  <c r="CT19" i="229"/>
  <c r="CS19" i="229"/>
  <c r="CR19" i="229"/>
  <c r="CQ19" i="229"/>
  <c r="CP19" i="229"/>
  <c r="CO19" i="229"/>
  <c r="CN19" i="229"/>
  <c r="CM19" i="229"/>
  <c r="CL19" i="229"/>
  <c r="CK19" i="229"/>
  <c r="CJ19" i="229"/>
  <c r="CI19" i="229"/>
  <c r="CH19" i="229"/>
  <c r="CG19" i="229"/>
  <c r="CF19" i="229"/>
  <c r="CE19" i="229"/>
  <c r="CD19" i="229"/>
  <c r="CC19" i="229"/>
  <c r="CB19" i="229"/>
  <c r="CA19" i="229"/>
  <c r="BZ19" i="229"/>
  <c r="BY19" i="229"/>
  <c r="BX19" i="229"/>
  <c r="BW19" i="229"/>
  <c r="BV19" i="229"/>
  <c r="BU19" i="229"/>
  <c r="BT19" i="229"/>
  <c r="BS19" i="229"/>
  <c r="BR19" i="229"/>
  <c r="BQ19" i="229"/>
  <c r="BP19" i="229"/>
  <c r="BO19" i="229"/>
  <c r="BN19" i="229"/>
  <c r="BM19" i="229"/>
  <c r="BL19" i="229"/>
  <c r="BK19" i="229"/>
  <c r="BJ19" i="229"/>
  <c r="BI19" i="229"/>
  <c r="BH19" i="229"/>
  <c r="BG19" i="229"/>
  <c r="BF19" i="229"/>
  <c r="BE19" i="229"/>
  <c r="BD19" i="229"/>
  <c r="BC19" i="229"/>
  <c r="BB19" i="229"/>
  <c r="BA19" i="229"/>
  <c r="AZ19" i="229"/>
  <c r="AY19" i="229"/>
  <c r="AX19" i="229"/>
  <c r="AW19" i="229"/>
  <c r="AV19" i="229"/>
  <c r="AU19" i="229"/>
  <c r="AT19" i="229"/>
  <c r="AS19" i="229"/>
  <c r="AR19" i="229"/>
  <c r="AQ19" i="229"/>
  <c r="AP19" i="229"/>
  <c r="AO19" i="229"/>
  <c r="AN19" i="229"/>
  <c r="AM19" i="229"/>
  <c r="AL19" i="229"/>
  <c r="AK19" i="229"/>
  <c r="AJ19" i="229"/>
  <c r="AI19" i="229"/>
  <c r="AH19" i="229"/>
  <c r="AG19" i="229"/>
  <c r="AF19" i="229"/>
  <c r="AE19" i="229"/>
  <c r="AD19" i="229"/>
  <c r="AC19" i="229"/>
  <c r="DX18" i="229"/>
  <c r="DY20" i="229" s="1"/>
  <c r="DW18" i="229"/>
  <c r="DV18" i="229"/>
  <c r="DU18" i="229"/>
  <c r="DT18" i="229"/>
  <c r="DS18" i="229"/>
  <c r="DR18" i="229"/>
  <c r="DQ18" i="229"/>
  <c r="DP18" i="229"/>
  <c r="DO18" i="229"/>
  <c r="DN18" i="229"/>
  <c r="DM18" i="229"/>
  <c r="DL18" i="229"/>
  <c r="DK18" i="229"/>
  <c r="DJ18" i="229"/>
  <c r="DI18" i="229"/>
  <c r="DH18" i="229"/>
  <c r="DG18" i="229"/>
  <c r="EA17" i="229"/>
  <c r="DZ17" i="229"/>
  <c r="CT17" i="229"/>
  <c r="CS17" i="229"/>
  <c r="CR17" i="229"/>
  <c r="CQ17" i="229"/>
  <c r="CP17" i="229"/>
  <c r="CO17" i="229"/>
  <c r="CN17" i="229"/>
  <c r="CM17" i="229"/>
  <c r="CL17" i="229"/>
  <c r="CK17" i="229"/>
  <c r="CJ17" i="229"/>
  <c r="CI17" i="229"/>
  <c r="CH17" i="229"/>
  <c r="CG17" i="229"/>
  <c r="CF17" i="229"/>
  <c r="CE17" i="229"/>
  <c r="CD17" i="229"/>
  <c r="CC17" i="229"/>
  <c r="CB17" i="229"/>
  <c r="CA17" i="229"/>
  <c r="BZ17" i="229"/>
  <c r="BY17" i="229"/>
  <c r="BX17" i="229"/>
  <c r="BW17" i="229"/>
  <c r="BV17" i="229"/>
  <c r="BU17" i="229"/>
  <c r="BT17" i="229"/>
  <c r="BS17" i="229"/>
  <c r="BR17" i="229"/>
  <c r="BQ17" i="229"/>
  <c r="BP17" i="229"/>
  <c r="BO17" i="229"/>
  <c r="BN17" i="229"/>
  <c r="BM17" i="229"/>
  <c r="BL17" i="229"/>
  <c r="BK17" i="229"/>
  <c r="BJ17" i="229"/>
  <c r="BI17" i="229"/>
  <c r="BH17" i="229"/>
  <c r="BG17" i="229"/>
  <c r="BF17" i="229"/>
  <c r="BE17" i="229"/>
  <c r="BD17" i="229"/>
  <c r="BC17" i="229"/>
  <c r="BB17" i="229"/>
  <c r="BA17" i="229"/>
  <c r="AZ17" i="229"/>
  <c r="AY17" i="229"/>
  <c r="AX17" i="229"/>
  <c r="AW17" i="229"/>
  <c r="AV17" i="229"/>
  <c r="AU17" i="229"/>
  <c r="AT17" i="229"/>
  <c r="AS17" i="229"/>
  <c r="AR17" i="229"/>
  <c r="AQ17" i="229"/>
  <c r="AP17" i="229"/>
  <c r="AO17" i="229"/>
  <c r="AN17" i="229"/>
  <c r="AM17" i="229"/>
  <c r="AL17" i="229"/>
  <c r="AK17" i="229"/>
  <c r="AJ17" i="229"/>
  <c r="AI17" i="229"/>
  <c r="AH17" i="229"/>
  <c r="AG17" i="229"/>
  <c r="AF17" i="229"/>
  <c r="CT16" i="229"/>
  <c r="CS16" i="229"/>
  <c r="CR16" i="229"/>
  <c r="CQ16" i="229"/>
  <c r="CP16" i="229"/>
  <c r="CO16" i="229"/>
  <c r="CN16" i="229"/>
  <c r="CM16" i="229"/>
  <c r="CL16" i="229"/>
  <c r="CK16" i="229"/>
  <c r="CJ16" i="229"/>
  <c r="CI16" i="229"/>
  <c r="CH16" i="229"/>
  <c r="CG16" i="229"/>
  <c r="CF16" i="229"/>
  <c r="CE16" i="229"/>
  <c r="CD16" i="229"/>
  <c r="CC16" i="229"/>
  <c r="CB16" i="229"/>
  <c r="CA16" i="229"/>
  <c r="BZ16" i="229"/>
  <c r="BY16" i="229"/>
  <c r="BX16" i="229"/>
  <c r="BW16" i="229"/>
  <c r="BV16" i="229"/>
  <c r="BU16" i="229"/>
  <c r="BT16" i="229"/>
  <c r="BS16" i="229"/>
  <c r="BR16" i="229"/>
  <c r="BQ16" i="229"/>
  <c r="BP16" i="229"/>
  <c r="BO16" i="229"/>
  <c r="BN16" i="229"/>
  <c r="BM16" i="229"/>
  <c r="BL16" i="229"/>
  <c r="BK16" i="229"/>
  <c r="BJ16" i="229"/>
  <c r="BI16" i="229"/>
  <c r="BH16" i="229"/>
  <c r="BG16" i="229"/>
  <c r="BF16" i="229"/>
  <c r="BE16" i="229"/>
  <c r="BD16" i="229"/>
  <c r="BC16" i="229"/>
  <c r="BB16" i="229"/>
  <c r="BA16" i="229"/>
  <c r="AZ16" i="229"/>
  <c r="AY16" i="229"/>
  <c r="AX16" i="229"/>
  <c r="AW16" i="229"/>
  <c r="AV16" i="229"/>
  <c r="AU16" i="229"/>
  <c r="AT16" i="229"/>
  <c r="AS16" i="229"/>
  <c r="AR16" i="229"/>
  <c r="AQ16" i="229"/>
  <c r="AP16" i="229"/>
  <c r="AO16" i="229"/>
  <c r="AN16" i="229"/>
  <c r="AM16" i="229"/>
  <c r="AL16" i="229"/>
  <c r="AK16" i="229"/>
  <c r="AJ16" i="229"/>
  <c r="AI16" i="229"/>
  <c r="AH16" i="229"/>
  <c r="AG16" i="229"/>
  <c r="AF16" i="229"/>
  <c r="AE16" i="229"/>
  <c r="AD16" i="229"/>
  <c r="AC16" i="229"/>
  <c r="DX15" i="229"/>
  <c r="DY17" i="229" s="1"/>
  <c r="DW15" i="229"/>
  <c r="DW17" i="229" s="1"/>
  <c r="DV15" i="229"/>
  <c r="DU15" i="229"/>
  <c r="DT15" i="229"/>
  <c r="DS15" i="229"/>
  <c r="DR15" i="229"/>
  <c r="DQ15" i="229"/>
  <c r="DP15" i="229"/>
  <c r="DO15" i="229"/>
  <c r="DO17" i="229" s="1"/>
  <c r="DN15" i="229"/>
  <c r="DM15" i="229"/>
  <c r="DL15" i="229"/>
  <c r="DK15" i="229"/>
  <c r="DJ15" i="229"/>
  <c r="DI15" i="229"/>
  <c r="DH15" i="229"/>
  <c r="DG15" i="229"/>
  <c r="EA14" i="229"/>
  <c r="DZ14" i="229"/>
  <c r="CT14" i="229"/>
  <c r="CS14" i="229"/>
  <c r="CR14" i="229"/>
  <c r="CQ14" i="229"/>
  <c r="CP14" i="229"/>
  <c r="CO14" i="229"/>
  <c r="CN14" i="229"/>
  <c r="CM14" i="229"/>
  <c r="CL14" i="229"/>
  <c r="CK14" i="229"/>
  <c r="CJ14" i="229"/>
  <c r="CI14" i="229"/>
  <c r="CH14" i="229"/>
  <c r="CG14" i="229"/>
  <c r="CF14" i="229"/>
  <c r="CE14" i="229"/>
  <c r="CD14" i="229"/>
  <c r="CC14" i="229"/>
  <c r="CB14" i="229"/>
  <c r="CA14" i="229"/>
  <c r="BZ14" i="229"/>
  <c r="BY14" i="229"/>
  <c r="BX14" i="229"/>
  <c r="BW14" i="229"/>
  <c r="BV14" i="229"/>
  <c r="BU14" i="229"/>
  <c r="BT14" i="229"/>
  <c r="BS14" i="229"/>
  <c r="BR14" i="229"/>
  <c r="BQ14" i="229"/>
  <c r="BP14" i="229"/>
  <c r="BO14" i="229"/>
  <c r="BN14" i="229"/>
  <c r="BM14" i="229"/>
  <c r="BL14" i="229"/>
  <c r="BK14" i="229"/>
  <c r="BJ14" i="229"/>
  <c r="BI14" i="229"/>
  <c r="BH14" i="229"/>
  <c r="BG14" i="229"/>
  <c r="BF14" i="229"/>
  <c r="BE14" i="229"/>
  <c r="BD14" i="229"/>
  <c r="BC14" i="229"/>
  <c r="BB14" i="229"/>
  <c r="BA14" i="229"/>
  <c r="AZ14" i="229"/>
  <c r="AY14" i="229"/>
  <c r="AX14" i="229"/>
  <c r="AW14" i="229"/>
  <c r="AV14" i="229"/>
  <c r="AU14" i="229"/>
  <c r="AT14" i="229"/>
  <c r="AS14" i="229"/>
  <c r="AR14" i="229"/>
  <c r="AQ14" i="229"/>
  <c r="AP14" i="229"/>
  <c r="AO14" i="229"/>
  <c r="AN14" i="229"/>
  <c r="AM14" i="229"/>
  <c r="AL14" i="229"/>
  <c r="AK14" i="229"/>
  <c r="AJ14" i="229"/>
  <c r="AI14" i="229"/>
  <c r="AH14" i="229"/>
  <c r="AG14" i="229"/>
  <c r="AF14" i="229"/>
  <c r="CT13" i="229"/>
  <c r="CS13" i="229"/>
  <c r="CR13" i="229"/>
  <c r="CQ13" i="229"/>
  <c r="CP13" i="229"/>
  <c r="CO13" i="229"/>
  <c r="CN13" i="229"/>
  <c r="CM13" i="229"/>
  <c r="CL13" i="229"/>
  <c r="CK13" i="229"/>
  <c r="CJ13" i="229"/>
  <c r="CI13" i="229"/>
  <c r="CH13" i="229"/>
  <c r="CG13" i="229"/>
  <c r="CF13" i="229"/>
  <c r="CE13" i="229"/>
  <c r="CD13" i="229"/>
  <c r="CC13" i="229"/>
  <c r="CB13" i="229"/>
  <c r="CA13" i="229"/>
  <c r="BZ13" i="229"/>
  <c r="BY13" i="229"/>
  <c r="BX13" i="229"/>
  <c r="BW13" i="229"/>
  <c r="BV13" i="229"/>
  <c r="BU13" i="229"/>
  <c r="BT13" i="229"/>
  <c r="BS13" i="229"/>
  <c r="BR13" i="229"/>
  <c r="BQ13" i="229"/>
  <c r="BP13" i="229"/>
  <c r="BO13" i="229"/>
  <c r="BN13" i="229"/>
  <c r="BM13" i="229"/>
  <c r="BL13" i="229"/>
  <c r="BK13" i="229"/>
  <c r="BJ13" i="229"/>
  <c r="BI13" i="229"/>
  <c r="BH13" i="229"/>
  <c r="BG13" i="229"/>
  <c r="BF13" i="229"/>
  <c r="BE13" i="229"/>
  <c r="BD13" i="229"/>
  <c r="BC13" i="229"/>
  <c r="BB13" i="229"/>
  <c r="BA13" i="229"/>
  <c r="AZ13" i="229"/>
  <c r="AY13" i="229"/>
  <c r="AX13" i="229"/>
  <c r="AW13" i="229"/>
  <c r="AV13" i="229"/>
  <c r="AU13" i="229"/>
  <c r="AT13" i="229"/>
  <c r="AS13" i="229"/>
  <c r="AR13" i="229"/>
  <c r="AQ13" i="229"/>
  <c r="AP13" i="229"/>
  <c r="AO13" i="229"/>
  <c r="AN13" i="229"/>
  <c r="AM13" i="229"/>
  <c r="AL13" i="229"/>
  <c r="AK13" i="229"/>
  <c r="AJ13" i="229"/>
  <c r="AI13" i="229"/>
  <c r="AH13" i="229"/>
  <c r="AG13" i="229"/>
  <c r="AF13" i="229"/>
  <c r="AE13" i="229"/>
  <c r="AD13" i="229"/>
  <c r="AC13" i="229"/>
  <c r="DX12" i="229"/>
  <c r="DY14" i="229" s="1"/>
  <c r="DW12" i="229"/>
  <c r="DV12" i="229"/>
  <c r="DU12" i="229"/>
  <c r="DT12" i="229"/>
  <c r="DU14" i="229" s="1"/>
  <c r="DS12" i="229"/>
  <c r="DR12" i="229"/>
  <c r="DQ12" i="229"/>
  <c r="DP12" i="229"/>
  <c r="DO12" i="229"/>
  <c r="DN12" i="229"/>
  <c r="DM12" i="229"/>
  <c r="DL12" i="229"/>
  <c r="DM14" i="229" s="1"/>
  <c r="DK12" i="229"/>
  <c r="DJ12" i="229"/>
  <c r="DI12" i="229"/>
  <c r="DH12" i="229"/>
  <c r="DG12" i="229"/>
  <c r="EA11" i="229"/>
  <c r="DZ11" i="229"/>
  <c r="CT11" i="229"/>
  <c r="CS11" i="229"/>
  <c r="CR11" i="229"/>
  <c r="CQ11" i="229"/>
  <c r="CP11" i="229"/>
  <c r="CO11" i="229"/>
  <c r="CN11" i="229"/>
  <c r="CM11" i="229"/>
  <c r="CL11" i="229"/>
  <c r="CK11" i="229"/>
  <c r="CJ11" i="229"/>
  <c r="CI11" i="229"/>
  <c r="CH11" i="229"/>
  <c r="CG11" i="229"/>
  <c r="CF11" i="229"/>
  <c r="CE11" i="229"/>
  <c r="CD11" i="229"/>
  <c r="CC11" i="229"/>
  <c r="CB11" i="229"/>
  <c r="CA11" i="229"/>
  <c r="BZ11" i="229"/>
  <c r="BY11" i="229"/>
  <c r="BX11" i="229"/>
  <c r="BW11" i="229"/>
  <c r="BV11" i="229"/>
  <c r="BU11" i="229"/>
  <c r="BT11" i="229"/>
  <c r="BS11" i="229"/>
  <c r="BR11" i="229"/>
  <c r="BQ11" i="229"/>
  <c r="BP11" i="229"/>
  <c r="BO11" i="229"/>
  <c r="BN11" i="229"/>
  <c r="BM11" i="229"/>
  <c r="BL11" i="229"/>
  <c r="BK11" i="229"/>
  <c r="BJ11" i="229"/>
  <c r="BI11" i="229"/>
  <c r="BH11" i="229"/>
  <c r="BG11" i="229"/>
  <c r="BF11" i="229"/>
  <c r="BE11" i="229"/>
  <c r="BD11" i="229"/>
  <c r="BC11" i="229"/>
  <c r="BB11" i="229"/>
  <c r="BA11" i="229"/>
  <c r="AZ11" i="229"/>
  <c r="AY11" i="229"/>
  <c r="AX11" i="229"/>
  <c r="AW11" i="229"/>
  <c r="AV11" i="229"/>
  <c r="AU11" i="229"/>
  <c r="AT11" i="229"/>
  <c r="AS11" i="229"/>
  <c r="AR11" i="229"/>
  <c r="AQ11" i="229"/>
  <c r="AP11" i="229"/>
  <c r="AO11" i="229"/>
  <c r="AN11" i="229"/>
  <c r="AM11" i="229"/>
  <c r="AL11" i="229"/>
  <c r="AK11" i="229"/>
  <c r="AJ11" i="229"/>
  <c r="AI11" i="229"/>
  <c r="AH11" i="229"/>
  <c r="AG11" i="229"/>
  <c r="AF11" i="229"/>
  <c r="CT10" i="229"/>
  <c r="CS10" i="229"/>
  <c r="CR10" i="229"/>
  <c r="CQ10" i="229"/>
  <c r="CP10" i="229"/>
  <c r="CO10" i="229"/>
  <c r="CN10" i="229"/>
  <c r="CM10" i="229"/>
  <c r="CL10" i="229"/>
  <c r="CK10" i="229"/>
  <c r="CJ10" i="229"/>
  <c r="CI10" i="229"/>
  <c r="CH10" i="229"/>
  <c r="CG10" i="229"/>
  <c r="CF10" i="229"/>
  <c r="CE10" i="229"/>
  <c r="CD10" i="229"/>
  <c r="CC10" i="229"/>
  <c r="CB10" i="229"/>
  <c r="CA10" i="229"/>
  <c r="BZ10" i="229"/>
  <c r="BY10" i="229"/>
  <c r="BX10" i="229"/>
  <c r="BW10" i="229"/>
  <c r="BV10" i="229"/>
  <c r="BU10" i="229"/>
  <c r="BT10" i="229"/>
  <c r="BS10" i="229"/>
  <c r="BR10" i="229"/>
  <c r="BQ10" i="229"/>
  <c r="BP10" i="229"/>
  <c r="BO10" i="229"/>
  <c r="BN10" i="229"/>
  <c r="BM10" i="229"/>
  <c r="BL10" i="229"/>
  <c r="BK10" i="229"/>
  <c r="BJ10" i="229"/>
  <c r="BI10" i="229"/>
  <c r="BH10" i="229"/>
  <c r="BG10" i="229"/>
  <c r="BF10" i="229"/>
  <c r="BE10" i="229"/>
  <c r="BD10" i="229"/>
  <c r="BC10" i="229"/>
  <c r="BB10" i="229"/>
  <c r="BA10" i="229"/>
  <c r="AZ10" i="229"/>
  <c r="AY10" i="229"/>
  <c r="AX10" i="229"/>
  <c r="AW10" i="229"/>
  <c r="AV10" i="229"/>
  <c r="AU10" i="229"/>
  <c r="AT10" i="229"/>
  <c r="AS10" i="229"/>
  <c r="AR10" i="229"/>
  <c r="AQ10" i="229"/>
  <c r="AP10" i="229"/>
  <c r="AO10" i="229"/>
  <c r="AN10" i="229"/>
  <c r="AM10" i="229"/>
  <c r="AL10" i="229"/>
  <c r="AK10" i="229"/>
  <c r="AJ10" i="229"/>
  <c r="AI10" i="229"/>
  <c r="AH10" i="229"/>
  <c r="AG10" i="229"/>
  <c r="AF10" i="229"/>
  <c r="AE10" i="229"/>
  <c r="AD10" i="229"/>
  <c r="AC10" i="229"/>
  <c r="DX9" i="229"/>
  <c r="DW9" i="229"/>
  <c r="DV9" i="229"/>
  <c r="DU9" i="229"/>
  <c r="DT9" i="229"/>
  <c r="DS9" i="229"/>
  <c r="DT11" i="229" s="1"/>
  <c r="DR9" i="229"/>
  <c r="DQ9" i="229"/>
  <c r="DP9" i="229"/>
  <c r="DO9" i="229"/>
  <c r="DN9" i="229"/>
  <c r="DM9" i="229"/>
  <c r="DL9" i="229"/>
  <c r="DK9" i="229"/>
  <c r="DJ9" i="229"/>
  <c r="DI9" i="229"/>
  <c r="DJ11" i="229" s="1"/>
  <c r="DH9" i="229"/>
  <c r="DG9" i="229"/>
  <c r="EA8" i="229"/>
  <c r="DZ8" i="229"/>
  <c r="CT8" i="229"/>
  <c r="CS8" i="229"/>
  <c r="CR8" i="229"/>
  <c r="CQ8" i="229"/>
  <c r="CP8" i="229"/>
  <c r="CO8" i="229"/>
  <c r="CN8" i="229"/>
  <c r="CM8" i="229"/>
  <c r="CL8" i="229"/>
  <c r="CK8" i="229"/>
  <c r="CJ8" i="229"/>
  <c r="CI8" i="229"/>
  <c r="CH8" i="229"/>
  <c r="CG8" i="229"/>
  <c r="CF8" i="229"/>
  <c r="CE8" i="229"/>
  <c r="CD8" i="229"/>
  <c r="CC8" i="229"/>
  <c r="CB8" i="229"/>
  <c r="CA8" i="229"/>
  <c r="BZ8" i="229"/>
  <c r="BY8" i="229"/>
  <c r="BX8" i="229"/>
  <c r="BW8" i="229"/>
  <c r="BV8" i="229"/>
  <c r="BU8" i="229"/>
  <c r="BT8" i="229"/>
  <c r="BS8" i="229"/>
  <c r="BR8" i="229"/>
  <c r="BQ8" i="229"/>
  <c r="BP8" i="229"/>
  <c r="BO8" i="229"/>
  <c r="BN8" i="229"/>
  <c r="BM8" i="229"/>
  <c r="BL8" i="229"/>
  <c r="BK8" i="229"/>
  <c r="BJ8" i="229"/>
  <c r="BI8" i="229"/>
  <c r="BH8" i="229"/>
  <c r="BG8" i="229"/>
  <c r="BF8" i="229"/>
  <c r="BE8" i="229"/>
  <c r="BD8" i="229"/>
  <c r="BC8" i="229"/>
  <c r="BB8" i="229"/>
  <c r="BA8" i="229"/>
  <c r="AZ8" i="229"/>
  <c r="AY8" i="229"/>
  <c r="AX8" i="229"/>
  <c r="AW8" i="229"/>
  <c r="AV8" i="229"/>
  <c r="AU8" i="229"/>
  <c r="AT8" i="229"/>
  <c r="AS8" i="229"/>
  <c r="AR8" i="229"/>
  <c r="AQ8" i="229"/>
  <c r="AP8" i="229"/>
  <c r="AO8" i="229"/>
  <c r="AN8" i="229"/>
  <c r="AM8" i="229"/>
  <c r="AL8" i="229"/>
  <c r="AK8" i="229"/>
  <c r="AJ8" i="229"/>
  <c r="AI8" i="229"/>
  <c r="AH8" i="229"/>
  <c r="AG8" i="229"/>
  <c r="AF8" i="229"/>
  <c r="CT7" i="229"/>
  <c r="CS7" i="229"/>
  <c r="CR7" i="229"/>
  <c r="CQ7" i="229"/>
  <c r="CP7" i="229"/>
  <c r="CO7" i="229"/>
  <c r="CN7" i="229"/>
  <c r="CM7" i="229"/>
  <c r="CL7" i="229"/>
  <c r="CK7" i="229"/>
  <c r="CJ7" i="229"/>
  <c r="CI7" i="229"/>
  <c r="CH7" i="229"/>
  <c r="CG7" i="229"/>
  <c r="CF7" i="229"/>
  <c r="CE7" i="229"/>
  <c r="CD7" i="229"/>
  <c r="CC7" i="229"/>
  <c r="CB7" i="229"/>
  <c r="CA7" i="229"/>
  <c r="BZ7" i="229"/>
  <c r="BY7" i="229"/>
  <c r="BX7" i="229"/>
  <c r="BW7" i="229"/>
  <c r="BV7" i="229"/>
  <c r="BU7" i="229"/>
  <c r="BT7" i="229"/>
  <c r="BS7" i="229"/>
  <c r="BR7" i="229"/>
  <c r="BQ7" i="229"/>
  <c r="BP7" i="229"/>
  <c r="BO7" i="229"/>
  <c r="BN7" i="229"/>
  <c r="BM7" i="229"/>
  <c r="BL7" i="229"/>
  <c r="BK7" i="229"/>
  <c r="BJ7" i="229"/>
  <c r="BI7" i="229"/>
  <c r="BH7" i="229"/>
  <c r="BG7" i="229"/>
  <c r="BF7" i="229"/>
  <c r="BE7" i="229"/>
  <c r="BD7" i="229"/>
  <c r="BC7" i="229"/>
  <c r="BB7" i="229"/>
  <c r="BA7" i="229"/>
  <c r="AZ7" i="229"/>
  <c r="AY7" i="229"/>
  <c r="AX7" i="229"/>
  <c r="AW7" i="229"/>
  <c r="AV7" i="229"/>
  <c r="AU7" i="229"/>
  <c r="AT7" i="229"/>
  <c r="AS7" i="229"/>
  <c r="AR7" i="229"/>
  <c r="AQ7" i="229"/>
  <c r="AP7" i="229"/>
  <c r="AO7" i="229"/>
  <c r="AN7" i="229"/>
  <c r="AM7" i="229"/>
  <c r="AL7" i="229"/>
  <c r="AK7" i="229"/>
  <c r="AJ7" i="229"/>
  <c r="AI7" i="229"/>
  <c r="AH7" i="229"/>
  <c r="AG7" i="229"/>
  <c r="AF7" i="229"/>
  <c r="AE7" i="229"/>
  <c r="AD7" i="229"/>
  <c r="AC7" i="229"/>
  <c r="DW6" i="229"/>
  <c r="DV6" i="229"/>
  <c r="DU6" i="229"/>
  <c r="DT6" i="229"/>
  <c r="DS6" i="229"/>
  <c r="DR6" i="229"/>
  <c r="DQ6" i="229"/>
  <c r="DP6" i="229"/>
  <c r="DO6" i="229"/>
  <c r="DN6" i="229"/>
  <c r="DM6" i="229"/>
  <c r="DL6" i="229"/>
  <c r="DK6" i="229"/>
  <c r="DJ6" i="229"/>
  <c r="DI6" i="229"/>
  <c r="DH6" i="229"/>
  <c r="DG6" i="229"/>
  <c r="BR36" i="1"/>
  <c r="BQ36" i="1"/>
  <c r="BP36" i="1"/>
  <c r="BO36" i="1"/>
  <c r="BN36" i="1"/>
  <c r="BM36" i="1"/>
  <c r="BL36" i="1"/>
  <c r="BK36" i="1"/>
  <c r="BJ36" i="1"/>
  <c r="BI36" i="1"/>
  <c r="BH36" i="1"/>
  <c r="BG36" i="1"/>
  <c r="BF36" i="1"/>
  <c r="BE36" i="1"/>
  <c r="BD36" i="1"/>
  <c r="BC36" i="1"/>
  <c r="BB36" i="1"/>
  <c r="BA36" i="1"/>
  <c r="AZ36" i="1"/>
  <c r="AY36" i="1"/>
  <c r="AX36" i="1"/>
  <c r="AW36" i="1"/>
  <c r="AV36" i="1"/>
  <c r="AU36" i="1"/>
  <c r="AT36" i="1"/>
  <c r="AS36" i="1"/>
  <c r="AR36" i="1"/>
  <c r="AQ36" i="1"/>
  <c r="AP36" i="1"/>
  <c r="AO36" i="1"/>
  <c r="AN36" i="1"/>
  <c r="AM36" i="1"/>
  <c r="AL36" i="1"/>
  <c r="AK36" i="1"/>
  <c r="AJ36" i="1"/>
  <c r="AI36" i="1"/>
  <c r="AH36" i="1"/>
  <c r="AG36" i="1"/>
  <c r="AF36" i="1"/>
  <c r="AE36" i="1"/>
  <c r="AD36" i="1"/>
  <c r="AC36" i="1"/>
  <c r="AB36" i="1"/>
  <c r="AA36" i="1"/>
  <c r="Z36" i="1"/>
  <c r="Y36" i="1"/>
  <c r="X36" i="1"/>
  <c r="BR33" i="1"/>
  <c r="BQ33" i="1"/>
  <c r="BP33" i="1"/>
  <c r="BO33" i="1"/>
  <c r="BN33" i="1"/>
  <c r="BM33" i="1"/>
  <c r="BL33" i="1"/>
  <c r="BK33" i="1"/>
  <c r="BJ33" i="1"/>
  <c r="BI33" i="1"/>
  <c r="BH33" i="1"/>
  <c r="BG33" i="1"/>
  <c r="BF33" i="1"/>
  <c r="BE33" i="1"/>
  <c r="BD33" i="1"/>
  <c r="BC33" i="1"/>
  <c r="BB33" i="1"/>
  <c r="BA33" i="1"/>
  <c r="AZ33" i="1"/>
  <c r="AY33" i="1"/>
  <c r="AZ34" i="1" s="1"/>
  <c r="AX33" i="1"/>
  <c r="AW33" i="1"/>
  <c r="AV33" i="1"/>
  <c r="AU33" i="1"/>
  <c r="AT33" i="1"/>
  <c r="AS33" i="1"/>
  <c r="AR33" i="1"/>
  <c r="AQ33" i="1"/>
  <c r="AP33" i="1"/>
  <c r="AO33" i="1"/>
  <c r="AN33" i="1"/>
  <c r="AM33" i="1"/>
  <c r="AL33" i="1"/>
  <c r="AK33" i="1"/>
  <c r="AJ33" i="1"/>
  <c r="AI33" i="1"/>
  <c r="AH33" i="1"/>
  <c r="AG33" i="1"/>
  <c r="AH34" i="1" s="1"/>
  <c r="AF33" i="1"/>
  <c r="AF34" i="1" s="1"/>
  <c r="AE33" i="1"/>
  <c r="AD33" i="1"/>
  <c r="AC33" i="1"/>
  <c r="AB33" i="1"/>
  <c r="AA33" i="1"/>
  <c r="AA34" i="1" s="1"/>
  <c r="Z33" i="1"/>
  <c r="Y33" i="1"/>
  <c r="X33" i="1"/>
  <c r="CT36" i="1"/>
  <c r="DH47" i="229"/>
  <c r="DX41" i="229"/>
  <c r="BK59" i="229"/>
  <c r="BB86" i="229"/>
  <c r="AK76" i="229"/>
  <c r="DK47" i="229"/>
  <c r="AY52" i="229"/>
  <c r="DY39" i="229"/>
  <c r="BY56" i="229"/>
  <c r="AR58" i="229"/>
  <c r="DI57" i="229"/>
  <c r="BV69" i="229"/>
  <c r="AY62" i="229"/>
  <c r="AV61" i="229"/>
  <c r="BW69" i="229"/>
  <c r="AQ82" i="229"/>
  <c r="AR100" i="229"/>
  <c r="AR75" i="229"/>
  <c r="AR80" i="229"/>
  <c r="AR83" i="229"/>
  <c r="BX48" i="229"/>
  <c r="AM61" i="229"/>
  <c r="AM58" i="229"/>
  <c r="DT74" i="229"/>
  <c r="CF80" i="229"/>
  <c r="CJ81" i="229" s="1"/>
  <c r="BK61" i="229"/>
  <c r="AD97" i="229"/>
  <c r="BA75" i="229"/>
  <c r="AI82" i="229"/>
  <c r="BD86" i="229"/>
  <c r="BP91" i="229"/>
  <c r="BQ91" i="229"/>
  <c r="DR91" i="229"/>
  <c r="AP87" i="229"/>
  <c r="DR94" i="229"/>
  <c r="AT90" i="229"/>
  <c r="AQ90" i="229"/>
  <c r="CF94" i="229"/>
  <c r="BX93" i="229"/>
  <c r="AT93" i="229"/>
  <c r="AT91" i="229"/>
  <c r="AV97" i="229"/>
  <c r="AC34" i="1"/>
  <c r="BQ34" i="1"/>
  <c r="AS34" i="1"/>
  <c r="AY34" i="1"/>
  <c r="AB34" i="1"/>
  <c r="AK34" i="1"/>
  <c r="BA34" i="1"/>
  <c r="BI34" i="1"/>
  <c r="AV34" i="1"/>
  <c r="DU83" i="229"/>
  <c r="M29" i="227"/>
  <c r="CB20" i="1"/>
  <c r="CB23" i="1"/>
  <c r="CC20" i="1"/>
  <c r="CC23" i="1"/>
  <c r="CD20" i="1"/>
  <c r="CD23" i="1"/>
  <c r="CE20" i="1"/>
  <c r="CE23" i="1"/>
  <c r="CF20" i="1"/>
  <c r="CF23" i="1"/>
  <c r="CG20" i="1"/>
  <c r="CG23" i="1"/>
  <c r="CH20" i="1"/>
  <c r="CH23" i="1"/>
  <c r="CL20" i="1"/>
  <c r="CL23" i="1"/>
  <c r="CK20" i="1"/>
  <c r="CK23" i="1"/>
  <c r="CJ20" i="1"/>
  <c r="CJ23" i="1"/>
  <c r="CI20" i="1"/>
  <c r="CI23" i="1"/>
  <c r="CM20" i="1"/>
  <c r="CM23" i="1"/>
  <c r="CQ20" i="1"/>
  <c r="CQ23" i="1"/>
  <c r="CN20" i="1"/>
  <c r="CN23" i="1"/>
  <c r="CR20" i="1"/>
  <c r="CR23" i="1"/>
  <c r="CO20" i="1"/>
  <c r="CO23" i="1"/>
  <c r="CS20" i="1"/>
  <c r="CS23" i="1"/>
  <c r="CP20" i="1"/>
  <c r="CP23" i="1"/>
  <c r="CT20" i="1"/>
  <c r="CT23" i="1"/>
  <c r="CT8" i="1"/>
  <c r="CT89" i="1"/>
  <c r="CT87" i="1"/>
  <c r="CT107" i="1"/>
  <c r="CT96" i="1"/>
  <c r="CT74" i="1"/>
  <c r="CT79" i="1"/>
  <c r="CT63" i="1"/>
  <c r="CT68" i="1" s="1"/>
  <c r="CT45" i="1"/>
  <c r="CT13" i="1"/>
  <c r="G33" i="225"/>
  <c r="G32" i="225"/>
  <c r="G31" i="225"/>
  <c r="G30" i="225"/>
  <c r="G29" i="225"/>
  <c r="G28" i="225"/>
  <c r="G25" i="225"/>
  <c r="G23" i="225"/>
  <c r="G22" i="225"/>
  <c r="E26" i="225"/>
  <c r="E24" i="225"/>
  <c r="DE129" i="1"/>
  <c r="DC129" i="1"/>
  <c r="DA129" i="1"/>
  <c r="BK70" i="1"/>
  <c r="DO70" i="1"/>
  <c r="BN70" i="1"/>
  <c r="CO87" i="1"/>
  <c r="CE117" i="1"/>
  <c r="CC117" i="1"/>
  <c r="CC163" i="1"/>
  <c r="BY118" i="1"/>
  <c r="BZ118" i="1"/>
  <c r="CA118" i="1"/>
  <c r="BW117" i="1"/>
  <c r="BM126" i="1"/>
  <c r="BI126" i="1"/>
  <c r="BB120" i="1"/>
  <c r="BC120" i="1"/>
  <c r="BA128" i="1"/>
  <c r="BB128" i="1" s="1"/>
  <c r="BC128" i="1" s="1"/>
  <c r="BA28" i="1"/>
  <c r="AW28" i="1"/>
  <c r="AO141" i="1"/>
  <c r="AP141" i="1" s="1"/>
  <c r="AO128" i="1"/>
  <c r="DE139" i="1"/>
  <c r="DE117" i="1"/>
  <c r="DB129" i="1"/>
  <c r="DS30" i="1"/>
  <c r="DR30" i="1"/>
  <c r="DQ30" i="1"/>
  <c r="DP30" i="1"/>
  <c r="DO30" i="1"/>
  <c r="DN30" i="1"/>
  <c r="DM30" i="1"/>
  <c r="DL30" i="1"/>
  <c r="DK30" i="1"/>
  <c r="DJ30" i="1"/>
  <c r="DI30" i="1"/>
  <c r="DH30" i="1"/>
  <c r="DG30" i="1"/>
  <c r="DF30" i="1"/>
  <c r="DE30" i="1"/>
  <c r="DD30" i="1"/>
  <c r="DC30" i="1"/>
  <c r="DB30" i="1"/>
  <c r="DA30" i="1"/>
  <c r="CA28" i="1"/>
  <c r="BY28" i="1"/>
  <c r="BX28" i="1"/>
  <c r="BW28" i="1"/>
  <c r="BV28" i="1"/>
  <c r="BU28" i="1"/>
  <c r="BT28" i="1"/>
  <c r="BS28" i="1"/>
  <c r="BR28" i="1"/>
  <c r="BQ28" i="1"/>
  <c r="BM28" i="1"/>
  <c r="BJ28" i="1"/>
  <c r="BI28" i="1"/>
  <c r="BH28" i="1"/>
  <c r="BG28" i="1"/>
  <c r="BF28" i="1"/>
  <c r="BE28" i="1"/>
  <c r="BD28" i="1"/>
  <c r="BC28" i="1"/>
  <c r="BB28" i="1"/>
  <c r="AZ28" i="1"/>
  <c r="AY28" i="1"/>
  <c r="AX28" i="1"/>
  <c r="AV28" i="1"/>
  <c r="DK28" i="1"/>
  <c r="DJ28" i="1"/>
  <c r="DI28" i="1"/>
  <c r="DH28" i="1"/>
  <c r="DG28" i="1"/>
  <c r="DF28" i="1"/>
  <c r="DE28" i="1"/>
  <c r="DD28" i="1"/>
  <c r="DC28" i="1"/>
  <c r="DB28" i="1"/>
  <c r="DA28" i="1"/>
  <c r="DS25" i="1"/>
  <c r="DR25" i="1"/>
  <c r="DQ25" i="1"/>
  <c r="DP25" i="1"/>
  <c r="DO25" i="1"/>
  <c r="DN25" i="1"/>
  <c r="DM25" i="1"/>
  <c r="DL25" i="1"/>
  <c r="DK25" i="1"/>
  <c r="DJ25" i="1"/>
  <c r="DI25" i="1"/>
  <c r="DH25" i="1"/>
  <c r="DG25" i="1"/>
  <c r="DF25" i="1"/>
  <c r="DE25" i="1"/>
  <c r="CA23" i="1"/>
  <c r="DS23" i="1" s="1"/>
  <c r="C98" i="225" s="1"/>
  <c r="V98" i="225" s="1"/>
  <c r="DR23" i="1"/>
  <c r="DQ23" i="1"/>
  <c r="DP23" i="1"/>
  <c r="DO23" i="1"/>
  <c r="DN23" i="1"/>
  <c r="DM23" i="1"/>
  <c r="DL23" i="1"/>
  <c r="DK23" i="1"/>
  <c r="DJ23" i="1"/>
  <c r="DI23" i="1"/>
  <c r="DH23" i="1"/>
  <c r="DG23" i="1"/>
  <c r="DF23" i="1"/>
  <c r="DE23" i="1"/>
  <c r="DS18" i="1"/>
  <c r="C96" i="225" s="1"/>
  <c r="W96" i="225" s="1"/>
  <c r="DR18" i="1"/>
  <c r="DQ18" i="1"/>
  <c r="DP18" i="1"/>
  <c r="DO18" i="1"/>
  <c r="DN18" i="1"/>
  <c r="DM18" i="1"/>
  <c r="DL18" i="1"/>
  <c r="DK18" i="1"/>
  <c r="DJ18" i="1"/>
  <c r="DI18" i="1"/>
  <c r="DH18" i="1"/>
  <c r="DG18" i="1"/>
  <c r="DF18" i="1"/>
  <c r="DE18" i="1"/>
  <c r="CA20" i="1"/>
  <c r="DS20" i="1" s="1"/>
  <c r="DR20" i="1"/>
  <c r="DQ20" i="1"/>
  <c r="DP20" i="1"/>
  <c r="DO20" i="1"/>
  <c r="DN20" i="1"/>
  <c r="DM20" i="1"/>
  <c r="DL20" i="1"/>
  <c r="DK20" i="1"/>
  <c r="DJ20" i="1"/>
  <c r="DI20" i="1"/>
  <c r="DH20" i="1"/>
  <c r="DG20" i="1"/>
  <c r="DF20" i="1"/>
  <c r="DE20" i="1"/>
  <c r="DS14" i="1"/>
  <c r="DR14" i="1"/>
  <c r="DQ14" i="1"/>
  <c r="DP14" i="1"/>
  <c r="DO14" i="1"/>
  <c r="DN14" i="1"/>
  <c r="DM14" i="1"/>
  <c r="DL14" i="1"/>
  <c r="DK14" i="1"/>
  <c r="DJ14" i="1"/>
  <c r="DI14" i="1"/>
  <c r="DH14" i="1"/>
  <c r="DG14" i="1"/>
  <c r="DF14" i="1"/>
  <c r="DE14" i="1"/>
  <c r="CA12" i="1"/>
  <c r="CA13" i="1" s="1"/>
  <c r="DR12" i="1"/>
  <c r="DQ12" i="1"/>
  <c r="DP12" i="1"/>
  <c r="DO12" i="1"/>
  <c r="DN12" i="1"/>
  <c r="DM12" i="1"/>
  <c r="DL12" i="1"/>
  <c r="DK12" i="1"/>
  <c r="DJ12" i="1"/>
  <c r="DI12" i="1"/>
  <c r="DH12" i="1"/>
  <c r="DG12" i="1"/>
  <c r="DF12" i="1"/>
  <c r="DE12" i="1"/>
  <c r="CA8" i="1"/>
  <c r="DR8" i="1"/>
  <c r="DQ8" i="1"/>
  <c r="DQ102" i="1"/>
  <c r="DP8" i="1"/>
  <c r="DO8" i="1"/>
  <c r="DN8" i="1"/>
  <c r="DN102" i="1" s="1"/>
  <c r="DN97" i="1" s="1"/>
  <c r="DM8" i="1"/>
  <c r="DM102" i="1" s="1"/>
  <c r="DM97" i="1" s="1"/>
  <c r="DL8" i="1"/>
  <c r="DL102" i="1"/>
  <c r="DL97" i="1" s="1"/>
  <c r="DK8" i="1"/>
  <c r="DK102" i="1" s="1"/>
  <c r="DJ8" i="1"/>
  <c r="DJ102" i="1"/>
  <c r="DJ97" i="1" s="1"/>
  <c r="DI8" i="1"/>
  <c r="DI102" i="1" s="1"/>
  <c r="DI97" i="1" s="1"/>
  <c r="DH8" i="1"/>
  <c r="DH102" i="1"/>
  <c r="DH97" i="1" s="1"/>
  <c r="DG8" i="1"/>
  <c r="DF8" i="1"/>
  <c r="DF102" i="1"/>
  <c r="DF97" i="1" s="1"/>
  <c r="DE8" i="1"/>
  <c r="DE102" i="1" s="1"/>
  <c r="DS6" i="1"/>
  <c r="DS7" i="1" s="1"/>
  <c r="DR6" i="1"/>
  <c r="DR7" i="1" s="1"/>
  <c r="DR101" i="1"/>
  <c r="DR162" i="1" s="1"/>
  <c r="DQ6" i="1"/>
  <c r="DQ101" i="1"/>
  <c r="DP6" i="1"/>
  <c r="DP101" i="1"/>
  <c r="DP96" i="1" s="1"/>
  <c r="DO6" i="1"/>
  <c r="DN6" i="1"/>
  <c r="DM6" i="1"/>
  <c r="DL6" i="1"/>
  <c r="DL101" i="1" s="1"/>
  <c r="DL95" i="1" s="1"/>
  <c r="DK6" i="1"/>
  <c r="DK101" i="1" s="1"/>
  <c r="DK96" i="1" s="1"/>
  <c r="AP6" i="1"/>
  <c r="AQ95" i="1"/>
  <c r="DI6" i="1"/>
  <c r="DH6" i="1"/>
  <c r="DH7" i="1" s="1"/>
  <c r="DG6" i="1"/>
  <c r="DG7" i="1" s="1"/>
  <c r="DG101" i="1"/>
  <c r="DG95" i="1" s="1"/>
  <c r="DF6" i="1"/>
  <c r="DF7" i="1" s="1"/>
  <c r="DE6" i="1"/>
  <c r="DE101" i="1"/>
  <c r="DD6" i="1"/>
  <c r="DC6" i="1"/>
  <c r="DC9" i="1"/>
  <c r="DC10" i="1" s="1"/>
  <c r="DB6" i="1"/>
  <c r="DB7" i="1" s="1"/>
  <c r="DA6" i="1"/>
  <c r="E14" i="223"/>
  <c r="CG126" i="1"/>
  <c r="DW89" i="1"/>
  <c r="DV89" i="1"/>
  <c r="DU89" i="1"/>
  <c r="DT89" i="1"/>
  <c r="DS89" i="1"/>
  <c r="CB89" i="1"/>
  <c r="BU89" i="1"/>
  <c r="DQ89" i="1"/>
  <c r="DP89" i="1"/>
  <c r="DO89" i="1"/>
  <c r="CL72" i="1"/>
  <c r="CL74" i="1"/>
  <c r="CL79" i="1" s="1"/>
  <c r="CL90" i="1" s="1"/>
  <c r="CL92" i="1" s="1"/>
  <c r="Y133" i="1"/>
  <c r="Z133" i="1" s="1"/>
  <c r="CB8" i="1"/>
  <c r="O80" i="225"/>
  <c r="K80" i="225"/>
  <c r="G80" i="225"/>
  <c r="I27" i="225"/>
  <c r="I26" i="225"/>
  <c r="I24" i="225"/>
  <c r="M24" i="225"/>
  <c r="O33" i="225"/>
  <c r="K33" i="225"/>
  <c r="O32" i="225"/>
  <c r="K32" i="225"/>
  <c r="O31" i="225"/>
  <c r="K31" i="225"/>
  <c r="O30" i="225"/>
  <c r="K30" i="225"/>
  <c r="O29" i="225"/>
  <c r="K29" i="225"/>
  <c r="O28" i="225"/>
  <c r="K28" i="225"/>
  <c r="O27" i="225"/>
  <c r="Q24" i="225"/>
  <c r="K22" i="225"/>
  <c r="F40" i="225"/>
  <c r="D40" i="225"/>
  <c r="F38" i="225"/>
  <c r="D38" i="225"/>
  <c r="E44" i="225"/>
  <c r="G44" i="225" s="1"/>
  <c r="E39" i="225"/>
  <c r="E37" i="225"/>
  <c r="I44" i="225"/>
  <c r="J40" i="225"/>
  <c r="H40" i="225"/>
  <c r="I39" i="225"/>
  <c r="I40" i="225" s="1"/>
  <c r="J38" i="225"/>
  <c r="H38" i="225"/>
  <c r="I37" i="225"/>
  <c r="I38" i="225" s="1"/>
  <c r="I36" i="225"/>
  <c r="G36" i="225"/>
  <c r="N40" i="225"/>
  <c r="L40" i="225"/>
  <c r="M39" i="225"/>
  <c r="M44" i="225"/>
  <c r="O44" i="225" s="1"/>
  <c r="N38" i="225"/>
  <c r="L38" i="225"/>
  <c r="M37" i="225"/>
  <c r="O37" i="225"/>
  <c r="M36" i="225"/>
  <c r="M38" i="225" s="1"/>
  <c r="O38" i="225" s="1"/>
  <c r="O47" i="225"/>
  <c r="K47" i="225"/>
  <c r="G47" i="225"/>
  <c r="O46" i="225"/>
  <c r="K46" i="225"/>
  <c r="G46" i="225"/>
  <c r="O45" i="225"/>
  <c r="K45" i="225"/>
  <c r="G45" i="225"/>
  <c r="Q44" i="225"/>
  <c r="O43" i="225"/>
  <c r="K43" i="225"/>
  <c r="G43" i="225"/>
  <c r="O42" i="225"/>
  <c r="K42" i="225"/>
  <c r="G42" i="225"/>
  <c r="O41" i="225"/>
  <c r="K41" i="225"/>
  <c r="G41" i="225"/>
  <c r="R38" i="225"/>
  <c r="P38" i="225"/>
  <c r="Q37" i="225"/>
  <c r="Q36" i="225"/>
  <c r="F52" i="225"/>
  <c r="D52" i="225"/>
  <c r="E58" i="225"/>
  <c r="F56" i="225"/>
  <c r="D56" i="225"/>
  <c r="E55" i="225"/>
  <c r="G55" i="225" s="1"/>
  <c r="E51" i="225"/>
  <c r="E52" i="225" s="1"/>
  <c r="I58" i="225"/>
  <c r="K58" i="225" s="1"/>
  <c r="J56" i="225"/>
  <c r="H56" i="225"/>
  <c r="I55" i="225"/>
  <c r="J52" i="225"/>
  <c r="H52" i="225"/>
  <c r="I51" i="225"/>
  <c r="I50" i="225"/>
  <c r="K50" i="225" s="1"/>
  <c r="M58" i="225"/>
  <c r="N56" i="225"/>
  <c r="L56" i="225"/>
  <c r="M55" i="225"/>
  <c r="M56" i="225" s="1"/>
  <c r="O56" i="225" s="1"/>
  <c r="N52" i="225"/>
  <c r="L52" i="225"/>
  <c r="M51" i="225"/>
  <c r="M50" i="225"/>
  <c r="R56" i="225"/>
  <c r="P56" i="225"/>
  <c r="O61" i="225"/>
  <c r="K61" i="225"/>
  <c r="G61" i="225"/>
  <c r="O60" i="225"/>
  <c r="K60" i="225"/>
  <c r="G60" i="225"/>
  <c r="O59" i="225"/>
  <c r="K59" i="225"/>
  <c r="G59" i="225"/>
  <c r="Q58" i="225"/>
  <c r="Q55" i="225"/>
  <c r="Q56" i="225"/>
  <c r="O54" i="225"/>
  <c r="K54" i="225"/>
  <c r="G54" i="225"/>
  <c r="O53" i="225"/>
  <c r="K53" i="225"/>
  <c r="G53" i="225"/>
  <c r="R52" i="225"/>
  <c r="P52" i="225"/>
  <c r="Q51" i="225"/>
  <c r="Q50" i="225"/>
  <c r="Q52" i="225" s="1"/>
  <c r="F66" i="225"/>
  <c r="D66" i="225"/>
  <c r="H80" i="225"/>
  <c r="J80" i="225"/>
  <c r="D94" i="225"/>
  <c r="F94" i="225"/>
  <c r="E72" i="225"/>
  <c r="F71" i="225"/>
  <c r="D71" i="225"/>
  <c r="E70" i="225"/>
  <c r="E69" i="225"/>
  <c r="E65" i="225"/>
  <c r="E66" i="225" s="1"/>
  <c r="I75" i="225"/>
  <c r="I72" i="225"/>
  <c r="J71" i="225"/>
  <c r="H71" i="225"/>
  <c r="I70" i="225"/>
  <c r="G70" i="225" s="1"/>
  <c r="I69" i="225"/>
  <c r="J66" i="225"/>
  <c r="H66" i="225"/>
  <c r="I65" i="225"/>
  <c r="I64" i="225"/>
  <c r="K64" i="225" s="1"/>
  <c r="M75" i="225"/>
  <c r="M72" i="225"/>
  <c r="O72" i="225" s="1"/>
  <c r="N71" i="225"/>
  <c r="L71" i="225"/>
  <c r="M70" i="225"/>
  <c r="M69" i="225"/>
  <c r="N66" i="225"/>
  <c r="L66" i="225"/>
  <c r="M65" i="225"/>
  <c r="M64" i="225"/>
  <c r="Q75" i="225"/>
  <c r="O74" i="225"/>
  <c r="K74" i="225"/>
  <c r="G74" i="225"/>
  <c r="O73" i="225"/>
  <c r="K73" i="225"/>
  <c r="G73" i="225"/>
  <c r="Q72" i="225"/>
  <c r="R71" i="225"/>
  <c r="P71" i="225"/>
  <c r="Q70" i="225"/>
  <c r="Q69" i="225"/>
  <c r="O68" i="225"/>
  <c r="K68" i="225"/>
  <c r="G68" i="225"/>
  <c r="O67" i="225"/>
  <c r="K67" i="225"/>
  <c r="G67" i="225"/>
  <c r="R66" i="225"/>
  <c r="P66" i="225"/>
  <c r="Q65" i="225"/>
  <c r="Q64" i="225"/>
  <c r="Q66" i="225" s="1"/>
  <c r="E85" i="225"/>
  <c r="E80" i="225"/>
  <c r="I86" i="225"/>
  <c r="G86" i="225" s="1"/>
  <c r="J85" i="225"/>
  <c r="H85" i="225"/>
  <c r="I84" i="225"/>
  <c r="I85" i="225" s="1"/>
  <c r="I83" i="225"/>
  <c r="I79" i="225"/>
  <c r="I80" i="225" s="1"/>
  <c r="G78" i="225"/>
  <c r="M86" i="225"/>
  <c r="N85" i="225"/>
  <c r="L85" i="225"/>
  <c r="M84" i="225"/>
  <c r="M83" i="225"/>
  <c r="N80" i="225"/>
  <c r="L80" i="225"/>
  <c r="M79" i="225"/>
  <c r="M78" i="225"/>
  <c r="K78" i="225" s="1"/>
  <c r="O89" i="225"/>
  <c r="K89" i="225"/>
  <c r="G89" i="225"/>
  <c r="O88" i="225"/>
  <c r="K88" i="225"/>
  <c r="G88" i="225"/>
  <c r="O87" i="225"/>
  <c r="K87" i="225"/>
  <c r="G87" i="225"/>
  <c r="Q86" i="225"/>
  <c r="R85" i="225"/>
  <c r="P85" i="225"/>
  <c r="Q84" i="225"/>
  <c r="Q83" i="225"/>
  <c r="Q85" i="225" s="1"/>
  <c r="O82" i="225"/>
  <c r="K82" i="225"/>
  <c r="G82" i="225"/>
  <c r="O81" i="225"/>
  <c r="K81" i="225"/>
  <c r="G81" i="225"/>
  <c r="R80" i="225"/>
  <c r="P80" i="225"/>
  <c r="Q79" i="225"/>
  <c r="Q80" i="225" s="1"/>
  <c r="Q78" i="225"/>
  <c r="E100" i="225"/>
  <c r="E97" i="225"/>
  <c r="E99" i="225" s="1"/>
  <c r="E93" i="225"/>
  <c r="E94" i="225"/>
  <c r="I100" i="225"/>
  <c r="J99" i="225"/>
  <c r="H99" i="225"/>
  <c r="I98" i="225"/>
  <c r="I97" i="225"/>
  <c r="J94" i="225"/>
  <c r="H94" i="225"/>
  <c r="I93" i="225"/>
  <c r="I92" i="225"/>
  <c r="G92" i="225" s="1"/>
  <c r="M100" i="225"/>
  <c r="O100" i="225" s="1"/>
  <c r="N99" i="225"/>
  <c r="L99" i="225"/>
  <c r="M98" i="225"/>
  <c r="K98" i="225" s="1"/>
  <c r="M97" i="225"/>
  <c r="N94" i="225"/>
  <c r="L94" i="225"/>
  <c r="M93" i="225"/>
  <c r="M92" i="225"/>
  <c r="M94" i="225" s="1"/>
  <c r="R99" i="225"/>
  <c r="P99" i="225"/>
  <c r="R94" i="225"/>
  <c r="P94" i="225"/>
  <c r="O103" i="225"/>
  <c r="O101" i="225"/>
  <c r="K101" i="225"/>
  <c r="G101" i="225"/>
  <c r="O102" i="225"/>
  <c r="K102" i="225"/>
  <c r="Q100" i="225"/>
  <c r="Q98" i="225"/>
  <c r="Q97" i="225"/>
  <c r="G96" i="225"/>
  <c r="K96" i="225"/>
  <c r="O96" i="225"/>
  <c r="K95" i="225"/>
  <c r="G95" i="225"/>
  <c r="Q93" i="225"/>
  <c r="Q92" i="225"/>
  <c r="DX83" i="1"/>
  <c r="BT47" i="1"/>
  <c r="BU47" i="1"/>
  <c r="BV47" i="1"/>
  <c r="BX47" i="1"/>
  <c r="BY47" i="1"/>
  <c r="BZ47" i="1"/>
  <c r="CB47" i="1"/>
  <c r="CC47" i="1"/>
  <c r="BW48" i="1"/>
  <c r="DR47" i="1"/>
  <c r="DS47" i="1"/>
  <c r="DT47" i="1"/>
  <c r="DU47" i="1"/>
  <c r="DV47" i="1"/>
  <c r="CA48" i="1"/>
  <c r="CI48" i="1"/>
  <c r="CM48" i="1"/>
  <c r="CQ48" i="1"/>
  <c r="DW47" i="1"/>
  <c r="CH47" i="1"/>
  <c r="CL47" i="1"/>
  <c r="CN47" i="1"/>
  <c r="CO47" i="1"/>
  <c r="CR47" i="1"/>
  <c r="CP47" i="1"/>
  <c r="CJ47" i="1"/>
  <c r="CS96" i="1"/>
  <c r="CP35" i="1"/>
  <c r="DX67" i="1"/>
  <c r="DZ67" i="1" s="1"/>
  <c r="EA67" i="1" s="1"/>
  <c r="DX82" i="1"/>
  <c r="DZ82" i="1" s="1"/>
  <c r="EA82" i="1" s="1"/>
  <c r="DX78" i="1"/>
  <c r="DZ78" i="1" s="1"/>
  <c r="EA78" i="1" s="1"/>
  <c r="CS45" i="1"/>
  <c r="CR45" i="1"/>
  <c r="CQ45" i="1"/>
  <c r="CP45" i="1"/>
  <c r="CO45" i="1"/>
  <c r="CN45" i="1"/>
  <c r="CM45" i="1"/>
  <c r="CL45" i="1"/>
  <c r="CK45" i="1"/>
  <c r="CJ45" i="1"/>
  <c r="CI45" i="1"/>
  <c r="CH45" i="1"/>
  <c r="CG45" i="1"/>
  <c r="CF45" i="1"/>
  <c r="CE45" i="1"/>
  <c r="CD45" i="1"/>
  <c r="CC45" i="1"/>
  <c r="CB45" i="1"/>
  <c r="CA45" i="1"/>
  <c r="BZ45" i="1"/>
  <c r="BY45" i="1"/>
  <c r="BX45" i="1"/>
  <c r="DX44" i="1"/>
  <c r="DR44" i="1"/>
  <c r="DS44" i="1"/>
  <c r="DT44" i="1"/>
  <c r="DU44" i="1"/>
  <c r="DV44" i="1"/>
  <c r="DW44" i="1"/>
  <c r="BR169" i="1"/>
  <c r="BQ169" i="1"/>
  <c r="BP169" i="1"/>
  <c r="BO169" i="1"/>
  <c r="BN169" i="1"/>
  <c r="BM169" i="1"/>
  <c r="BL169" i="1"/>
  <c r="BK169" i="1"/>
  <c r="BJ169" i="1"/>
  <c r="BI169" i="1"/>
  <c r="BH169" i="1"/>
  <c r="BG169" i="1"/>
  <c r="BF169" i="1"/>
  <c r="BE169" i="1"/>
  <c r="BD169" i="1"/>
  <c r="BC169" i="1"/>
  <c r="BB169" i="1"/>
  <c r="BA169" i="1"/>
  <c r="AZ169" i="1"/>
  <c r="AY169" i="1"/>
  <c r="AX169" i="1"/>
  <c r="AW169" i="1"/>
  <c r="AV169" i="1"/>
  <c r="AU169" i="1"/>
  <c r="AT169" i="1"/>
  <c r="AS169" i="1"/>
  <c r="AR169" i="1"/>
  <c r="AQ169" i="1"/>
  <c r="AP169" i="1"/>
  <c r="AO169" i="1"/>
  <c r="AN169" i="1"/>
  <c r="AM169" i="1"/>
  <c r="AL169" i="1"/>
  <c r="AK169" i="1"/>
  <c r="AJ169" i="1"/>
  <c r="AI169" i="1"/>
  <c r="AH169" i="1"/>
  <c r="AG169" i="1"/>
  <c r="AF169" i="1"/>
  <c r="AE169" i="1"/>
  <c r="AD169" i="1"/>
  <c r="AC169" i="1"/>
  <c r="AB169" i="1"/>
  <c r="AA169" i="1"/>
  <c r="Z169" i="1"/>
  <c r="P164" i="1"/>
  <c r="CR164" i="1"/>
  <c r="CN164" i="1"/>
  <c r="CJ164" i="1"/>
  <c r="CF164" i="1"/>
  <c r="CB164" i="1"/>
  <c r="BX164" i="1"/>
  <c r="BV164" i="1"/>
  <c r="BU164" i="1"/>
  <c r="BT164" i="1"/>
  <c r="BP164" i="1"/>
  <c r="BL164" i="1"/>
  <c r="BH164" i="1"/>
  <c r="BD164" i="1"/>
  <c r="AZ164" i="1"/>
  <c r="AV164" i="1"/>
  <c r="AR164" i="1"/>
  <c r="AN164" i="1"/>
  <c r="AJ164" i="1"/>
  <c r="AF164" i="1"/>
  <c r="AB164" i="1"/>
  <c r="X164" i="1"/>
  <c r="W164" i="1"/>
  <c r="V164" i="1"/>
  <c r="U164" i="1"/>
  <c r="T164" i="1"/>
  <c r="S164" i="1"/>
  <c r="R164" i="1"/>
  <c r="Q164" i="1"/>
  <c r="DX66" i="1"/>
  <c r="DZ66" i="1" s="1"/>
  <c r="EA66" i="1" s="1"/>
  <c r="DX62" i="1"/>
  <c r="DZ62" i="1" s="1"/>
  <c r="EA62" i="1" s="1"/>
  <c r="CK135" i="1"/>
  <c r="CI134" i="1"/>
  <c r="DU134" i="1"/>
  <c r="CC116" i="1"/>
  <c r="CD116" i="1"/>
  <c r="CG143" i="1"/>
  <c r="CG140" i="1"/>
  <c r="CH140" i="1" s="1"/>
  <c r="CI140" i="1" s="1"/>
  <c r="CG116" i="1"/>
  <c r="CH116" i="1" s="1"/>
  <c r="CI116" i="1" s="1"/>
  <c r="CK118" i="1"/>
  <c r="CK117" i="1"/>
  <c r="CK163" i="1" s="1"/>
  <c r="CK116" i="1"/>
  <c r="CL116" i="1" s="1"/>
  <c r="CM116" i="1" s="1"/>
  <c r="CJ144" i="1"/>
  <c r="CJ145" i="1"/>
  <c r="CO145" i="1"/>
  <c r="CR145" i="1"/>
  <c r="CR146" i="1"/>
  <c r="CS144" i="1"/>
  <c r="CT144" i="1" s="1"/>
  <c r="CO144" i="1"/>
  <c r="CF144" i="1"/>
  <c r="CG144" i="1" s="1"/>
  <c r="CF138" i="1"/>
  <c r="CG138" i="1" s="1"/>
  <c r="CJ138" i="1"/>
  <c r="CB18" i="1"/>
  <c r="CB35" i="1"/>
  <c r="CB12" i="1"/>
  <c r="CB13" i="1"/>
  <c r="CC8" i="1"/>
  <c r="CC9" i="1" s="1"/>
  <c r="CC10" i="1" s="1"/>
  <c r="CC35" i="1"/>
  <c r="CC12" i="1"/>
  <c r="CC13" i="1" s="1"/>
  <c r="CD8" i="1"/>
  <c r="CD9" i="1"/>
  <c r="CD10" i="1" s="1"/>
  <c r="CD35" i="1"/>
  <c r="CD12" i="1"/>
  <c r="CD13" i="1" s="1"/>
  <c r="CE8" i="1"/>
  <c r="CE9" i="1"/>
  <c r="CE35" i="1"/>
  <c r="CE12" i="1"/>
  <c r="CE13" i="1" s="1"/>
  <c r="CF8" i="1"/>
  <c r="CF35" i="1"/>
  <c r="CF12" i="1"/>
  <c r="CF13" i="1"/>
  <c r="CG8" i="1"/>
  <c r="CG9" i="1" s="1"/>
  <c r="CG14" i="1"/>
  <c r="DU14" i="1"/>
  <c r="CG35" i="1"/>
  <c r="CG12" i="1"/>
  <c r="CG13" i="1" s="1"/>
  <c r="CH8" i="1"/>
  <c r="CH35" i="1"/>
  <c r="CI8" i="1"/>
  <c r="CI35" i="1"/>
  <c r="CJ8" i="1"/>
  <c r="CJ9" i="1"/>
  <c r="CJ35" i="1"/>
  <c r="CJ12" i="1"/>
  <c r="CJ13" i="1" s="1"/>
  <c r="CK8" i="1"/>
  <c r="CK9" i="1"/>
  <c r="CK10" i="1" s="1"/>
  <c r="CK35" i="1"/>
  <c r="CK12" i="1"/>
  <c r="CK13" i="1" s="1"/>
  <c r="CL8" i="1"/>
  <c r="CP8" i="1"/>
  <c r="CM8" i="1"/>
  <c r="CQ8" i="1"/>
  <c r="DV37" i="1"/>
  <c r="CL35" i="1"/>
  <c r="CL169" i="1"/>
  <c r="CM35" i="1"/>
  <c r="CQ35" i="1"/>
  <c r="CN8" i="1"/>
  <c r="CR8" i="1"/>
  <c r="CR9" i="1"/>
  <c r="CS35" i="1"/>
  <c r="CR35" i="1"/>
  <c r="CR169" i="1" s="1"/>
  <c r="CO35" i="1"/>
  <c r="CO169" i="1" s="1"/>
  <c r="CN35" i="1"/>
  <c r="CQ134" i="1"/>
  <c r="DW134" i="1" s="1"/>
  <c r="CO117" i="1"/>
  <c r="CO116" i="1"/>
  <c r="CS116" i="1"/>
  <c r="CT116" i="1" s="1"/>
  <c r="CN131" i="1"/>
  <c r="CN156" i="1" s="1"/>
  <c r="CN129" i="1"/>
  <c r="CN98" i="1" s="1"/>
  <c r="CG148" i="1"/>
  <c r="CG135" i="1"/>
  <c r="CH135" i="1"/>
  <c r="CG133" i="1"/>
  <c r="CH133" i="1"/>
  <c r="CG128" i="1"/>
  <c r="CG127" i="1"/>
  <c r="CG125" i="1"/>
  <c r="CH125" i="1" s="1"/>
  <c r="CI125" i="1"/>
  <c r="CG123" i="1"/>
  <c r="CH123" i="1" s="1"/>
  <c r="CG118" i="1"/>
  <c r="CG117" i="1"/>
  <c r="CG163" i="1"/>
  <c r="CF129" i="1"/>
  <c r="CF98" i="1" s="1"/>
  <c r="DD117" i="1"/>
  <c r="BV120" i="1"/>
  <c r="BW120" i="1" s="1"/>
  <c r="DC144" i="1"/>
  <c r="DB144" i="1"/>
  <c r="DB123" i="1"/>
  <c r="CR131" i="1"/>
  <c r="CR156" i="1" s="1"/>
  <c r="DE148" i="1"/>
  <c r="DE145" i="1"/>
  <c r="DE143" i="1"/>
  <c r="DE138" i="1"/>
  <c r="DE135" i="1"/>
  <c r="DE134" i="1"/>
  <c r="DE133" i="1"/>
  <c r="DE123" i="1"/>
  <c r="DD148" i="1"/>
  <c r="DD145" i="1"/>
  <c r="DD138" i="1"/>
  <c r="DD135" i="1"/>
  <c r="DD134" i="1"/>
  <c r="DD133" i="1"/>
  <c r="DD129" i="1"/>
  <c r="DD123" i="1"/>
  <c r="DC148" i="1"/>
  <c r="DC145" i="1"/>
  <c r="DC143" i="1"/>
  <c r="DC138" i="1"/>
  <c r="DC135" i="1"/>
  <c r="DC134" i="1"/>
  <c r="DC133" i="1"/>
  <c r="DC123" i="1"/>
  <c r="DC118" i="1"/>
  <c r="DB148" i="1"/>
  <c r="DB145" i="1"/>
  <c r="DB143" i="1"/>
  <c r="DB138" i="1"/>
  <c r="DB135" i="1"/>
  <c r="DB134" i="1"/>
  <c r="DB133" i="1"/>
  <c r="DB118" i="1"/>
  <c r="DA151" i="1"/>
  <c r="DA148" i="1"/>
  <c r="DA135" i="1"/>
  <c r="DA134" i="1"/>
  <c r="DA145" i="1"/>
  <c r="DA143" i="1"/>
  <c r="DA138" i="1"/>
  <c r="DA133" i="1"/>
  <c r="DA123" i="1"/>
  <c r="DA118" i="1"/>
  <c r="DV73" i="1"/>
  <c r="DF81" i="1"/>
  <c r="CF136" i="1"/>
  <c r="DX86" i="1"/>
  <c r="DZ86" i="1" s="1"/>
  <c r="EA86" i="1" s="1"/>
  <c r="DX84" i="1"/>
  <c r="DZ84" i="1" s="1"/>
  <c r="EA84" i="1" s="1"/>
  <c r="DX73" i="1"/>
  <c r="DZ73" i="1" s="1"/>
  <c r="EA73" i="1" s="1"/>
  <c r="CO8" i="1"/>
  <c r="CO9" i="1"/>
  <c r="CO12" i="1"/>
  <c r="DW12" i="1" s="1"/>
  <c r="CS148" i="1"/>
  <c r="CT148" i="1" s="1"/>
  <c r="CS143" i="1"/>
  <c r="CS138" i="1"/>
  <c r="CT138" i="1"/>
  <c r="DX138" i="1" s="1"/>
  <c r="CS139" i="1"/>
  <c r="CT139" i="1"/>
  <c r="DX139" i="1" s="1"/>
  <c r="CS135" i="1"/>
  <c r="CS134" i="1"/>
  <c r="CT134" i="1" s="1"/>
  <c r="DX134" i="1"/>
  <c r="CS133" i="1"/>
  <c r="CT133" i="1" s="1"/>
  <c r="CS123" i="1"/>
  <c r="CT123" i="1"/>
  <c r="CS128" i="1"/>
  <c r="CS127" i="1"/>
  <c r="CT127" i="1"/>
  <c r="CS126" i="1"/>
  <c r="CT126" i="1"/>
  <c r="CS118" i="1"/>
  <c r="CT118" i="1" s="1"/>
  <c r="CS117" i="1"/>
  <c r="CT117" i="1" s="1"/>
  <c r="CS87" i="1"/>
  <c r="CS8" i="1"/>
  <c r="CS9" i="1" s="1"/>
  <c r="CS107" i="1"/>
  <c r="CS109" i="1" s="1"/>
  <c r="CS74" i="1"/>
  <c r="CS79" i="1" s="1"/>
  <c r="CS90" i="1" s="1"/>
  <c r="CS92" i="1" s="1"/>
  <c r="CS63" i="1"/>
  <c r="CS68" i="1"/>
  <c r="CS13" i="1"/>
  <c r="F12" i="223"/>
  <c r="CG145" i="1"/>
  <c r="G34" i="222"/>
  <c r="I34" i="222"/>
  <c r="I33" i="222"/>
  <c r="D49" i="222"/>
  <c r="G49" i="222" s="1"/>
  <c r="D47" i="222"/>
  <c r="G47" i="222"/>
  <c r="D15" i="222"/>
  <c r="D11" i="222"/>
  <c r="I48" i="222"/>
  <c r="G48" i="222"/>
  <c r="I46" i="222"/>
  <c r="G46" i="222"/>
  <c r="I43" i="222"/>
  <c r="G43" i="222"/>
  <c r="I42" i="222"/>
  <c r="G42" i="222"/>
  <c r="F38" i="222"/>
  <c r="D38" i="222"/>
  <c r="E31" i="222"/>
  <c r="I31" i="222" s="1"/>
  <c r="E18" i="222"/>
  <c r="E11" i="222"/>
  <c r="E10" i="222" s="1"/>
  <c r="I9" i="222"/>
  <c r="G9" i="222"/>
  <c r="BV163" i="1"/>
  <c r="BU163" i="1"/>
  <c r="W163" i="1"/>
  <c r="V163" i="1"/>
  <c r="U163" i="1"/>
  <c r="S163" i="1"/>
  <c r="R163" i="1"/>
  <c r="Q163" i="1"/>
  <c r="BZ97" i="1"/>
  <c r="BY97" i="1"/>
  <c r="BX97" i="1"/>
  <c r="BW97" i="1"/>
  <c r="BV97" i="1"/>
  <c r="BU97" i="1"/>
  <c r="BT97" i="1"/>
  <c r="BS97" i="1"/>
  <c r="BR97" i="1"/>
  <c r="BQ97" i="1"/>
  <c r="BP97" i="1"/>
  <c r="BO97" i="1"/>
  <c r="BN97" i="1"/>
  <c r="BM97" i="1"/>
  <c r="BL97" i="1"/>
  <c r="BK97" i="1"/>
  <c r="BJ97" i="1"/>
  <c r="BI97" i="1"/>
  <c r="BH97" i="1"/>
  <c r="BG97" i="1"/>
  <c r="BF97" i="1"/>
  <c r="BE97" i="1"/>
  <c r="BD97" i="1"/>
  <c r="BC97" i="1"/>
  <c r="BB97" i="1"/>
  <c r="BA97" i="1"/>
  <c r="AZ97" i="1"/>
  <c r="AY97" i="1"/>
  <c r="AX97" i="1"/>
  <c r="AW97" i="1"/>
  <c r="AV97" i="1"/>
  <c r="AU97" i="1"/>
  <c r="AT97" i="1"/>
  <c r="AS97" i="1"/>
  <c r="AR97" i="1"/>
  <c r="AQ97" i="1"/>
  <c r="AP97" i="1"/>
  <c r="AO97" i="1"/>
  <c r="AN97" i="1"/>
  <c r="AM97" i="1"/>
  <c r="AL97" i="1"/>
  <c r="AK97" i="1"/>
  <c r="AJ97" i="1"/>
  <c r="AI97" i="1"/>
  <c r="AH97" i="1"/>
  <c r="AG97" i="1"/>
  <c r="AF97" i="1"/>
  <c r="AE97" i="1"/>
  <c r="AD97" i="1"/>
  <c r="AC97" i="1"/>
  <c r="AB97" i="1"/>
  <c r="AA97" i="1"/>
  <c r="Z97" i="1"/>
  <c r="Y97" i="1"/>
  <c r="X97" i="1"/>
  <c r="W97" i="1"/>
  <c r="V97" i="1"/>
  <c r="U97" i="1"/>
  <c r="T97" i="1"/>
  <c r="DD102" i="1"/>
  <c r="DD97" i="1" s="1"/>
  <c r="S97" i="1"/>
  <c r="R97" i="1"/>
  <c r="Q97" i="1"/>
  <c r="P97" i="1"/>
  <c r="DC102" i="1"/>
  <c r="O97" i="1"/>
  <c r="N97" i="1"/>
  <c r="M97" i="1"/>
  <c r="L97" i="1"/>
  <c r="DB102" i="1"/>
  <c r="DB97" i="1" s="1"/>
  <c r="K97" i="1"/>
  <c r="J97" i="1"/>
  <c r="I97" i="1"/>
  <c r="H97" i="1"/>
  <c r="CQ95" i="1"/>
  <c r="CN96" i="1"/>
  <c r="CM95" i="1"/>
  <c r="CL95" i="1"/>
  <c r="CJ95" i="1"/>
  <c r="CI95" i="1"/>
  <c r="CF162" i="1"/>
  <c r="CE96" i="1"/>
  <c r="CD95" i="1"/>
  <c r="CC96" i="1"/>
  <c r="CB96" i="1"/>
  <c r="CA95" i="1"/>
  <c r="BY95" i="1"/>
  <c r="BV162" i="1"/>
  <c r="BU96" i="1"/>
  <c r="BQ95" i="1"/>
  <c r="BP95" i="1"/>
  <c r="BN95" i="1"/>
  <c r="BJ95" i="1"/>
  <c r="BA96" i="1"/>
  <c r="AZ96" i="1"/>
  <c r="AX95" i="1"/>
  <c r="AW96" i="1"/>
  <c r="AU96" i="1"/>
  <c r="AT95" i="1"/>
  <c r="AO95" i="1"/>
  <c r="AJ95" i="1"/>
  <c r="AH95" i="1"/>
  <c r="AG95" i="1"/>
  <c r="AF162" i="1"/>
  <c r="AE95" i="1"/>
  <c r="AD95" i="1"/>
  <c r="AB95" i="1"/>
  <c r="AA96" i="1"/>
  <c r="Y96" i="1"/>
  <c r="X96" i="1"/>
  <c r="W96" i="1"/>
  <c r="V95" i="1"/>
  <c r="U162" i="1"/>
  <c r="T96" i="1"/>
  <c r="S96" i="1"/>
  <c r="R96" i="1"/>
  <c r="Q95" i="1"/>
  <c r="P162" i="1"/>
  <c r="O95" i="1"/>
  <c r="L95" i="1"/>
  <c r="K162" i="1"/>
  <c r="J162" i="1"/>
  <c r="CO148" i="1"/>
  <c r="CP148" i="1" s="1"/>
  <c r="CK148" i="1"/>
  <c r="CC148" i="1"/>
  <c r="CD148" i="1" s="1"/>
  <c r="CE148" i="1"/>
  <c r="BY148" i="1"/>
  <c r="BZ148" i="1"/>
  <c r="BU148" i="1"/>
  <c r="BV148" i="1"/>
  <c r="BQ148" i="1"/>
  <c r="BR148" i="1" s="1"/>
  <c r="BM148" i="1"/>
  <c r="BI148" i="1"/>
  <c r="BJ148" i="1"/>
  <c r="BK148" i="1" s="1"/>
  <c r="BE148" i="1"/>
  <c r="BA148" i="1"/>
  <c r="BB148" i="1"/>
  <c r="AW148" i="1"/>
  <c r="AS148" i="1"/>
  <c r="AO148" i="1"/>
  <c r="AP148" i="1"/>
  <c r="AK148" i="1"/>
  <c r="AL148" i="1" s="1"/>
  <c r="AG148" i="1"/>
  <c r="AC148" i="1"/>
  <c r="Y148" i="1"/>
  <c r="CN146" i="1"/>
  <c r="BL146" i="1"/>
  <c r="BD146" i="1"/>
  <c r="AV146" i="1"/>
  <c r="AR146" i="1"/>
  <c r="AN146" i="1"/>
  <c r="AB146" i="1"/>
  <c r="X146" i="1"/>
  <c r="W146" i="1"/>
  <c r="V146" i="1"/>
  <c r="U146" i="1"/>
  <c r="T146" i="1"/>
  <c r="S146" i="1"/>
  <c r="R146" i="1"/>
  <c r="Q146" i="1"/>
  <c r="P146" i="1"/>
  <c r="O146" i="1"/>
  <c r="N146" i="1"/>
  <c r="M146" i="1"/>
  <c r="L146" i="1"/>
  <c r="K146" i="1"/>
  <c r="J146" i="1"/>
  <c r="I146" i="1"/>
  <c r="H146" i="1"/>
  <c r="G146" i="1"/>
  <c r="F146" i="1"/>
  <c r="E146" i="1"/>
  <c r="D146" i="1"/>
  <c r="CB145" i="1"/>
  <c r="CC145" i="1"/>
  <c r="CD145" i="1"/>
  <c r="CE145" i="1" s="1"/>
  <c r="BX145" i="1"/>
  <c r="BU145" i="1"/>
  <c r="BQ145" i="1"/>
  <c r="AZ145" i="1"/>
  <c r="AW145" i="1"/>
  <c r="AG145" i="1"/>
  <c r="AH145" i="1"/>
  <c r="AC145" i="1"/>
  <c r="Z145" i="1"/>
  <c r="AA145" i="1"/>
  <c r="DF145" i="1"/>
  <c r="CB144" i="1"/>
  <c r="CC144" i="1"/>
  <c r="BY144" i="1"/>
  <c r="BT144" i="1"/>
  <c r="BU144" i="1"/>
  <c r="BR144" i="1"/>
  <c r="BS144" i="1"/>
  <c r="BM145" i="1"/>
  <c r="BN145" i="1" s="1"/>
  <c r="BM144" i="1"/>
  <c r="BN144" i="1" s="1"/>
  <c r="BI145" i="1"/>
  <c r="BI144" i="1"/>
  <c r="BB144" i="1"/>
  <c r="BC144" i="1"/>
  <c r="DO142" i="1"/>
  <c r="BE142" i="1"/>
  <c r="BF142" i="1" s="1"/>
  <c r="AL145" i="1"/>
  <c r="AK142" i="1"/>
  <c r="AL142" i="1" s="1"/>
  <c r="AG142" i="1"/>
  <c r="AH142" i="1"/>
  <c r="AC142" i="1"/>
  <c r="AD142" i="1"/>
  <c r="AE142" i="1" s="1"/>
  <c r="AC143" i="1"/>
  <c r="AD143" i="1"/>
  <c r="CO143" i="1"/>
  <c r="CP143" i="1"/>
  <c r="CQ143" i="1"/>
  <c r="CK143" i="1"/>
  <c r="CK47" i="1" s="1"/>
  <c r="BY143" i="1"/>
  <c r="BU143" i="1"/>
  <c r="BN143" i="1"/>
  <c r="BO143" i="1" s="1"/>
  <c r="BI143" i="1"/>
  <c r="BJ143" i="1"/>
  <c r="BK143" i="1" s="1"/>
  <c r="Y142" i="1"/>
  <c r="Z142" i="1" s="1"/>
  <c r="Y143" i="1"/>
  <c r="Z143" i="1" s="1"/>
  <c r="BE141" i="1"/>
  <c r="AW144" i="1"/>
  <c r="AW142" i="1"/>
  <c r="AW143" i="1"/>
  <c r="AX143" i="1" s="1"/>
  <c r="AW141" i="1"/>
  <c r="AS145" i="1"/>
  <c r="AT145" i="1" s="1"/>
  <c r="AS144" i="1"/>
  <c r="AT144" i="1"/>
  <c r="AS142" i="1"/>
  <c r="AS143" i="1"/>
  <c r="AT143" i="1"/>
  <c r="AS141" i="1"/>
  <c r="AT141" i="1"/>
  <c r="AO142" i="1"/>
  <c r="AO143" i="1"/>
  <c r="AP143" i="1"/>
  <c r="AK141" i="1"/>
  <c r="AL141" i="1" s="1"/>
  <c r="AI141" i="1"/>
  <c r="DH141" i="1" s="1"/>
  <c r="AE141" i="1"/>
  <c r="DG141" i="1"/>
  <c r="CO138" i="1"/>
  <c r="CP138" i="1"/>
  <c r="CQ138" i="1" s="1"/>
  <c r="CO139" i="1"/>
  <c r="CP139" i="1"/>
  <c r="CQ139" i="1" s="1"/>
  <c r="CB138" i="1"/>
  <c r="BZ138" i="1"/>
  <c r="BP138" i="1"/>
  <c r="BQ138" i="1" s="1"/>
  <c r="BP139" i="1"/>
  <c r="BQ139" i="1" s="1"/>
  <c r="AJ138" i="1"/>
  <c r="AJ146" i="1" s="1"/>
  <c r="AF138" i="1"/>
  <c r="AG138" i="1"/>
  <c r="AC138" i="1"/>
  <c r="CC143" i="1"/>
  <c r="CC140" i="1"/>
  <c r="BV140" i="1"/>
  <c r="BW140" i="1"/>
  <c r="BV138" i="1"/>
  <c r="BU139" i="1"/>
  <c r="BQ140" i="1"/>
  <c r="BR140" i="1" s="1"/>
  <c r="BM140" i="1"/>
  <c r="BN140" i="1"/>
  <c r="BM138" i="1"/>
  <c r="BM139" i="1"/>
  <c r="BN139" i="1"/>
  <c r="BO139" i="1"/>
  <c r="BJ140" i="1"/>
  <c r="BK140" i="1" s="1"/>
  <c r="BH138" i="1"/>
  <c r="BE138" i="1"/>
  <c r="BF138" i="1" s="1"/>
  <c r="BH139" i="1"/>
  <c r="BI139" i="1"/>
  <c r="BE139" i="1"/>
  <c r="BF139" i="1"/>
  <c r="BC143" i="1"/>
  <c r="DM143" i="1"/>
  <c r="BA138" i="1"/>
  <c r="BA139" i="1"/>
  <c r="AW138" i="1"/>
  <c r="AW139" i="1"/>
  <c r="AX139" i="1" s="1"/>
  <c r="AS138" i="1"/>
  <c r="AT138" i="1" s="1"/>
  <c r="AS139" i="1"/>
  <c r="AO138" i="1"/>
  <c r="AP138" i="1"/>
  <c r="AO139" i="1"/>
  <c r="AP139" i="1" s="1"/>
  <c r="AK139" i="1"/>
  <c r="AL139" i="1"/>
  <c r="AG139" i="1"/>
  <c r="AC139" i="1"/>
  <c r="AD139" i="1" s="1"/>
  <c r="Y138" i="1"/>
  <c r="Y139" i="1"/>
  <c r="CR136" i="1"/>
  <c r="CN136" i="1"/>
  <c r="CJ136" i="1"/>
  <c r="BX136" i="1"/>
  <c r="BT136" i="1"/>
  <c r="BP136" i="1"/>
  <c r="BL136" i="1"/>
  <c r="BH136" i="1"/>
  <c r="BD136" i="1"/>
  <c r="AZ136" i="1"/>
  <c r="AV136" i="1"/>
  <c r="AR136" i="1"/>
  <c r="AN136" i="1"/>
  <c r="AJ136" i="1"/>
  <c r="AF136" i="1"/>
  <c r="AB136" i="1"/>
  <c r="X136" i="1"/>
  <c r="W136" i="1"/>
  <c r="V136" i="1"/>
  <c r="U136" i="1"/>
  <c r="T136" i="1"/>
  <c r="S136" i="1"/>
  <c r="R136" i="1"/>
  <c r="Q136" i="1"/>
  <c r="P136" i="1"/>
  <c r="O136" i="1"/>
  <c r="N136" i="1"/>
  <c r="M136" i="1"/>
  <c r="L136" i="1"/>
  <c r="K136" i="1"/>
  <c r="J136" i="1"/>
  <c r="I136" i="1"/>
  <c r="H136" i="1"/>
  <c r="G136" i="1"/>
  <c r="F136" i="1"/>
  <c r="E136" i="1"/>
  <c r="D136" i="1"/>
  <c r="CO135" i="1"/>
  <c r="CP135" i="1"/>
  <c r="CB135" i="1"/>
  <c r="CC135" i="1" s="1"/>
  <c r="BY135" i="1"/>
  <c r="BZ135" i="1"/>
  <c r="BU135" i="1"/>
  <c r="BV135" i="1" s="1"/>
  <c r="BQ135" i="1"/>
  <c r="BR135" i="1"/>
  <c r="BS135" i="1"/>
  <c r="BM135" i="1"/>
  <c r="BN135" i="1"/>
  <c r="BA135" i="1"/>
  <c r="BB135" i="1" s="1"/>
  <c r="AW135" i="1"/>
  <c r="AS135" i="1"/>
  <c r="AO135" i="1"/>
  <c r="AP135" i="1"/>
  <c r="AK135" i="1"/>
  <c r="CK134" i="1"/>
  <c r="CL134" i="1"/>
  <c r="AG134" i="1"/>
  <c r="AG133" i="1"/>
  <c r="AH133" i="1" s="1"/>
  <c r="Y134" i="1"/>
  <c r="CO133" i="1"/>
  <c r="CP133" i="1"/>
  <c r="CK133" i="1"/>
  <c r="CC133" i="1"/>
  <c r="CD133" i="1"/>
  <c r="CE133" i="1" s="1"/>
  <c r="BY134" i="1"/>
  <c r="BY133" i="1"/>
  <c r="BW133" i="1"/>
  <c r="BS134" i="1"/>
  <c r="DQ134" i="1" s="1"/>
  <c r="BQ133" i="1"/>
  <c r="BR133" i="1" s="1"/>
  <c r="BN134" i="1"/>
  <c r="BO134" i="1"/>
  <c r="DP134" i="1" s="1"/>
  <c r="BM133" i="1"/>
  <c r="BN133" i="1"/>
  <c r="BI135" i="1"/>
  <c r="BI134" i="1"/>
  <c r="BJ134" i="1"/>
  <c r="BI133" i="1"/>
  <c r="BE135" i="1"/>
  <c r="BF135" i="1" s="1"/>
  <c r="BE134" i="1"/>
  <c r="BF134" i="1" s="1"/>
  <c r="BE133" i="1"/>
  <c r="BB134" i="1"/>
  <c r="BA133" i="1"/>
  <c r="BB133" i="1" s="1"/>
  <c r="AY134" i="1"/>
  <c r="DL134" i="1" s="1"/>
  <c r="AW133" i="1"/>
  <c r="AT134" i="1"/>
  <c r="AU134" i="1" s="1"/>
  <c r="AS133" i="1"/>
  <c r="AT133" i="1" s="1"/>
  <c r="AP134" i="1"/>
  <c r="AQ134" i="1" s="1"/>
  <c r="AO133" i="1"/>
  <c r="AP133" i="1"/>
  <c r="AL134" i="1"/>
  <c r="AM134" i="1" s="1"/>
  <c r="DI134" i="1"/>
  <c r="AK133" i="1"/>
  <c r="AH135" i="1"/>
  <c r="AI135" i="1"/>
  <c r="AC135" i="1"/>
  <c r="AD135" i="1"/>
  <c r="AC134" i="1"/>
  <c r="AC133" i="1"/>
  <c r="Z135" i="1"/>
  <c r="CO128" i="1"/>
  <c r="CO127" i="1"/>
  <c r="CO126" i="1"/>
  <c r="CP126" i="1"/>
  <c r="CK128" i="1"/>
  <c r="CK127" i="1"/>
  <c r="CL127" i="1"/>
  <c r="CM127" i="1" s="1"/>
  <c r="CK126" i="1"/>
  <c r="CK125" i="1"/>
  <c r="CC128" i="1"/>
  <c r="CC127" i="1"/>
  <c r="CD127" i="1"/>
  <c r="CE127" i="1" s="1"/>
  <c r="CC126" i="1"/>
  <c r="CD126" i="1"/>
  <c r="CE126" i="1"/>
  <c r="CC125" i="1"/>
  <c r="CD125" i="1"/>
  <c r="CE125" i="1" s="1"/>
  <c r="BY128" i="1"/>
  <c r="BY127" i="1"/>
  <c r="BY126" i="1"/>
  <c r="BZ126" i="1"/>
  <c r="BY125" i="1"/>
  <c r="BZ125" i="1" s="1"/>
  <c r="BU128" i="1"/>
  <c r="BU127" i="1"/>
  <c r="BU126" i="1"/>
  <c r="BU125" i="1"/>
  <c r="BV125" i="1" s="1"/>
  <c r="BQ127" i="1"/>
  <c r="BR127" i="1"/>
  <c r="BQ126" i="1"/>
  <c r="BR126" i="1" s="1"/>
  <c r="BQ125" i="1"/>
  <c r="BR125" i="1"/>
  <c r="BS125" i="1"/>
  <c r="BM128" i="1"/>
  <c r="BN128" i="1"/>
  <c r="BO128" i="1"/>
  <c r="BM127" i="1"/>
  <c r="BN127" i="1" s="1"/>
  <c r="BM125" i="1"/>
  <c r="BN125" i="1"/>
  <c r="BO125" i="1"/>
  <c r="BI128" i="1"/>
  <c r="BJ128" i="1"/>
  <c r="BK128" i="1" s="1"/>
  <c r="BI127" i="1"/>
  <c r="BJ127" i="1" s="1"/>
  <c r="BI125" i="1"/>
  <c r="BE128" i="1"/>
  <c r="BF128" i="1"/>
  <c r="BE127" i="1"/>
  <c r="BF127" i="1"/>
  <c r="BG127" i="1" s="1"/>
  <c r="BE126" i="1"/>
  <c r="BE125" i="1"/>
  <c r="BA127" i="1"/>
  <c r="BB127" i="1" s="1"/>
  <c r="BA126" i="1"/>
  <c r="BB126" i="1" s="1"/>
  <c r="BC126" i="1"/>
  <c r="BA125" i="1"/>
  <c r="AW128" i="1"/>
  <c r="AX128" i="1"/>
  <c r="AW127" i="1"/>
  <c r="AX127" i="1" s="1"/>
  <c r="AY127" i="1"/>
  <c r="AW126" i="1"/>
  <c r="AW125" i="1"/>
  <c r="AS128" i="1"/>
  <c r="AS127" i="1"/>
  <c r="AS126" i="1"/>
  <c r="AT126" i="1"/>
  <c r="AS125" i="1"/>
  <c r="AO127" i="1"/>
  <c r="AP127" i="1" s="1"/>
  <c r="AO126" i="1"/>
  <c r="AO125" i="1"/>
  <c r="AP125" i="1"/>
  <c r="AK128" i="1"/>
  <c r="AK127" i="1"/>
  <c r="AL127" i="1"/>
  <c r="AK126" i="1"/>
  <c r="AL126" i="1"/>
  <c r="AK125" i="1"/>
  <c r="AL125" i="1" s="1"/>
  <c r="AG128" i="1"/>
  <c r="AG127" i="1"/>
  <c r="AH127" i="1" s="1"/>
  <c r="AG126" i="1"/>
  <c r="AG125" i="1"/>
  <c r="AC128" i="1"/>
  <c r="AD128" i="1"/>
  <c r="AC127" i="1"/>
  <c r="AC126" i="1"/>
  <c r="AC125" i="1"/>
  <c r="Y128" i="1"/>
  <c r="Z128" i="1"/>
  <c r="Y127" i="1"/>
  <c r="Y126" i="1"/>
  <c r="Y125" i="1"/>
  <c r="Z125" i="1" s="1"/>
  <c r="CS125" i="1"/>
  <c r="CO125" i="1"/>
  <c r="CP125" i="1"/>
  <c r="CQ125" i="1" s="1"/>
  <c r="CJ129" i="1"/>
  <c r="CJ98" i="1" s="1"/>
  <c r="CB129" i="1"/>
  <c r="CB98" i="1" s="1"/>
  <c r="BX129" i="1"/>
  <c r="BX98" i="1" s="1"/>
  <c r="BT129" i="1"/>
  <c r="BT98" i="1" s="1"/>
  <c r="BP129" i="1"/>
  <c r="BP98" i="1" s="1"/>
  <c r="BL129" i="1"/>
  <c r="BL98" i="1" s="1"/>
  <c r="BH129" i="1"/>
  <c r="BH98" i="1" s="1"/>
  <c r="BD129" i="1"/>
  <c r="BD98" i="1" s="1"/>
  <c r="AZ129" i="1"/>
  <c r="AZ98" i="1" s="1"/>
  <c r="AV129" i="1"/>
  <c r="AV98" i="1" s="1"/>
  <c r="AR129" i="1"/>
  <c r="AR98" i="1" s="1"/>
  <c r="AN129" i="1"/>
  <c r="AN98" i="1" s="1"/>
  <c r="AJ129" i="1"/>
  <c r="AJ98" i="1" s="1"/>
  <c r="AF129" i="1"/>
  <c r="AF98" i="1" s="1"/>
  <c r="AB129" i="1"/>
  <c r="AB98" i="1" s="1"/>
  <c r="X129" i="1"/>
  <c r="X98" i="1" s="1"/>
  <c r="CO123" i="1"/>
  <c r="CP123" i="1"/>
  <c r="CK123" i="1"/>
  <c r="CL123" i="1"/>
  <c r="BY123" i="1"/>
  <c r="BQ123" i="1"/>
  <c r="BM123" i="1"/>
  <c r="BH123" i="1"/>
  <c r="BE123" i="1"/>
  <c r="BF123" i="1"/>
  <c r="AZ123" i="1"/>
  <c r="BA123" i="1" s="1"/>
  <c r="AW123" i="1"/>
  <c r="AX123" i="1"/>
  <c r="AY123" i="1"/>
  <c r="AS123" i="1"/>
  <c r="AT123" i="1"/>
  <c r="AO123" i="1"/>
  <c r="AK123" i="1"/>
  <c r="AG123" i="1"/>
  <c r="AH123" i="1" s="1"/>
  <c r="AC123" i="1"/>
  <c r="Y123" i="1"/>
  <c r="CC123" i="1"/>
  <c r="BM121" i="1"/>
  <c r="BE121" i="1"/>
  <c r="BF121" i="1" s="1"/>
  <c r="BE120" i="1"/>
  <c r="BF120" i="1" s="1"/>
  <c r="BE118" i="1"/>
  <c r="BE117" i="1"/>
  <c r="BE119" i="1"/>
  <c r="BA121" i="1"/>
  <c r="BB121" i="1" s="1"/>
  <c r="AW121" i="1"/>
  <c r="AX121" i="1" s="1"/>
  <c r="AS121" i="1"/>
  <c r="AT121" i="1"/>
  <c r="AU121" i="1" s="1"/>
  <c r="DK121" i="1" s="1"/>
  <c r="AO121" i="1"/>
  <c r="AP121" i="1" s="1"/>
  <c r="AK121" i="1"/>
  <c r="AL121" i="1" s="1"/>
  <c r="AK120" i="1"/>
  <c r="AL120" i="1" s="1"/>
  <c r="AK118" i="1"/>
  <c r="AK117" i="1"/>
  <c r="AG121" i="1"/>
  <c r="AH121" i="1" s="1"/>
  <c r="AI121" i="1" s="1"/>
  <c r="AG118" i="1"/>
  <c r="AH118" i="1" s="1"/>
  <c r="AG117" i="1"/>
  <c r="AG163" i="1"/>
  <c r="AG119" i="1"/>
  <c r="AE121" i="1"/>
  <c r="DG121" i="1" s="1"/>
  <c r="AX120" i="1"/>
  <c r="AX119" i="1"/>
  <c r="AT120" i="1"/>
  <c r="AT119" i="1"/>
  <c r="DK119" i="1" s="1"/>
  <c r="AF120" i="1"/>
  <c r="AC120" i="1"/>
  <c r="AD120" i="1" s="1"/>
  <c r="CO118" i="1"/>
  <c r="CC118" i="1"/>
  <c r="CD118" i="1" s="1"/>
  <c r="BV118" i="1"/>
  <c r="BM118" i="1"/>
  <c r="BN118" i="1"/>
  <c r="BM117" i="1"/>
  <c r="BM163" i="1"/>
  <c r="BM119" i="1"/>
  <c r="DP119" i="1"/>
  <c r="BA118" i="1"/>
  <c r="BA117" i="1"/>
  <c r="BA163" i="1"/>
  <c r="BA119" i="1"/>
  <c r="AW118" i="1"/>
  <c r="AW117" i="1"/>
  <c r="AW163" i="1"/>
  <c r="AW119" i="1"/>
  <c r="DL119" i="1" s="1"/>
  <c r="AS118" i="1"/>
  <c r="AT118" i="1" s="1"/>
  <c r="AS117" i="1"/>
  <c r="AS119" i="1"/>
  <c r="BY117" i="1"/>
  <c r="BN122" i="1"/>
  <c r="BN120" i="1"/>
  <c r="BO120" i="1"/>
  <c r="DP120" i="1"/>
  <c r="BF122" i="1"/>
  <c r="BG122" i="1" s="1"/>
  <c r="BB122" i="1"/>
  <c r="BC122" i="1"/>
  <c r="DM122" i="1" s="1"/>
  <c r="AY122" i="1"/>
  <c r="DL122" i="1"/>
  <c r="AU122" i="1"/>
  <c r="DK122" i="1"/>
  <c r="AQ122" i="1"/>
  <c r="DJ122" i="1" s="1"/>
  <c r="AQ120" i="1"/>
  <c r="DJ120" i="1"/>
  <c r="AO118" i="1"/>
  <c r="AO117" i="1"/>
  <c r="AC118" i="1"/>
  <c r="DG118" i="1" s="1"/>
  <c r="AD118" i="1"/>
  <c r="AE118" i="1"/>
  <c r="AC117" i="1"/>
  <c r="AC163" i="1" s="1"/>
  <c r="Y118" i="1"/>
  <c r="Y117" i="1"/>
  <c r="Y163" i="1" s="1"/>
  <c r="BY119" i="1"/>
  <c r="BX119" i="1"/>
  <c r="BI122" i="1"/>
  <c r="BJ122" i="1" s="1"/>
  <c r="BK122" i="1" s="1"/>
  <c r="DO122" i="1" s="1"/>
  <c r="BI121" i="1"/>
  <c r="BJ121" i="1" s="1"/>
  <c r="BI120" i="1"/>
  <c r="BJ120" i="1" s="1"/>
  <c r="BI118" i="1"/>
  <c r="BJ118" i="1"/>
  <c r="BI117" i="1"/>
  <c r="BK119" i="1"/>
  <c r="BJ119" i="1"/>
  <c r="BI119" i="1"/>
  <c r="BH119" i="1"/>
  <c r="BG119" i="1"/>
  <c r="BF119" i="1"/>
  <c r="AM119" i="1"/>
  <c r="DI119" i="1" s="1"/>
  <c r="AI119" i="1"/>
  <c r="AH119" i="1"/>
  <c r="BT119" i="1"/>
  <c r="BQ118" i="1"/>
  <c r="BR118" i="1"/>
  <c r="BQ117" i="1"/>
  <c r="BP119" i="1"/>
  <c r="BD119" i="1"/>
  <c r="BC119" i="1"/>
  <c r="BB119" i="1"/>
  <c r="AZ119" i="1"/>
  <c r="AY119" i="1"/>
  <c r="AV119" i="1"/>
  <c r="AU119" i="1"/>
  <c r="AR119" i="1"/>
  <c r="DJ119" i="1"/>
  <c r="AF119" i="1"/>
  <c r="DH119" i="1" s="1"/>
  <c r="AE119" i="1"/>
  <c r="AD119" i="1"/>
  <c r="AC119" i="1"/>
  <c r="AB119" i="1"/>
  <c r="AA119" i="1"/>
  <c r="Z119" i="1"/>
  <c r="Y119" i="1"/>
  <c r="X119" i="1"/>
  <c r="CR107" i="1"/>
  <c r="CS19" i="1" s="1"/>
  <c r="CQ107" i="1"/>
  <c r="CQ109" i="1" s="1"/>
  <c r="CP107" i="1"/>
  <c r="CO107" i="1"/>
  <c r="CP19" i="1" s="1"/>
  <c r="CN107" i="1"/>
  <c r="CM107" i="1"/>
  <c r="CI107" i="1"/>
  <c r="CI108" i="1" s="1"/>
  <c r="CI109" i="1"/>
  <c r="CF107" i="1"/>
  <c r="CF109" i="1" s="1"/>
  <c r="CE107" i="1"/>
  <c r="CD107" i="1"/>
  <c r="CD109" i="1" s="1"/>
  <c r="CA107" i="1"/>
  <c r="CA109" i="1" s="1"/>
  <c r="BZ107" i="1"/>
  <c r="CA19" i="1"/>
  <c r="BR107" i="1"/>
  <c r="BQ107" i="1"/>
  <c r="BP107" i="1"/>
  <c r="BO107" i="1"/>
  <c r="BL107" i="1"/>
  <c r="BM19" i="1" s="1"/>
  <c r="BJ107" i="1"/>
  <c r="BI107" i="1"/>
  <c r="BH107" i="1"/>
  <c r="BI19" i="1" s="1"/>
  <c r="BH109" i="1"/>
  <c r="BG107" i="1"/>
  <c r="BF107" i="1"/>
  <c r="BE107" i="1"/>
  <c r="BD107" i="1"/>
  <c r="BD109" i="1" s="1"/>
  <c r="BC107" i="1"/>
  <c r="BC109" i="1"/>
  <c r="BB107" i="1"/>
  <c r="BA107" i="1"/>
  <c r="AZ107" i="1"/>
  <c r="AY107" i="1"/>
  <c r="AX107" i="1"/>
  <c r="AX109" i="1" s="1"/>
  <c r="AW107" i="1"/>
  <c r="AV107" i="1"/>
  <c r="AU107" i="1"/>
  <c r="AT107" i="1"/>
  <c r="AT109" i="1"/>
  <c r="AS107" i="1"/>
  <c r="AT19" i="1" s="1"/>
  <c r="AR107" i="1"/>
  <c r="AQ107" i="1"/>
  <c r="AP107" i="1"/>
  <c r="AO107" i="1"/>
  <c r="AN107" i="1"/>
  <c r="AM107" i="1"/>
  <c r="AM109" i="1" s="1"/>
  <c r="AL107" i="1"/>
  <c r="AL109" i="1"/>
  <c r="AK107" i="1"/>
  <c r="AL19" i="1" s="1"/>
  <c r="AJ107" i="1"/>
  <c r="AI107" i="1"/>
  <c r="AH107" i="1"/>
  <c r="AH109" i="1" s="1"/>
  <c r="AG107" i="1"/>
  <c r="AG109" i="1" s="1"/>
  <c r="AF107" i="1"/>
  <c r="AE107" i="1"/>
  <c r="AD107" i="1"/>
  <c r="AD109" i="1" s="1"/>
  <c r="AC107" i="1"/>
  <c r="AC108" i="1" s="1"/>
  <c r="AB107" i="1"/>
  <c r="AC19" i="1"/>
  <c r="AA107" i="1"/>
  <c r="Z107" i="1"/>
  <c r="Y107" i="1"/>
  <c r="X107" i="1"/>
  <c r="W107" i="1"/>
  <c r="W108" i="1" s="1"/>
  <c r="V107" i="1"/>
  <c r="U107" i="1"/>
  <c r="V19" i="1"/>
  <c r="T107" i="1"/>
  <c r="T108" i="1"/>
  <c r="S107" i="1"/>
  <c r="R107" i="1"/>
  <c r="Q107" i="1"/>
  <c r="Q109" i="1"/>
  <c r="P107" i="1"/>
  <c r="O107" i="1"/>
  <c r="N107" i="1"/>
  <c r="N108" i="1" s="1"/>
  <c r="M107" i="1"/>
  <c r="M109" i="1"/>
  <c r="L107" i="1"/>
  <c r="K107" i="1"/>
  <c r="J107" i="1"/>
  <c r="K19" i="1" s="1"/>
  <c r="I107" i="1"/>
  <c r="I109" i="1" s="1"/>
  <c r="H107" i="1"/>
  <c r="H108" i="1"/>
  <c r="G107" i="1"/>
  <c r="F107" i="1"/>
  <c r="E107" i="1"/>
  <c r="D107" i="1"/>
  <c r="E19" i="1" s="1"/>
  <c r="D109" i="1"/>
  <c r="CQ87" i="1"/>
  <c r="CP87" i="1"/>
  <c r="CN87" i="1"/>
  <c r="CM87" i="1"/>
  <c r="CK87" i="1"/>
  <c r="CJ87" i="1"/>
  <c r="CH87" i="1"/>
  <c r="CH108" i="1" s="1"/>
  <c r="CF87" i="1"/>
  <c r="CE87" i="1"/>
  <c r="CC87" i="1"/>
  <c r="BZ87" i="1"/>
  <c r="BR87" i="1"/>
  <c r="BQ87" i="1"/>
  <c r="BP87" i="1"/>
  <c r="BN87" i="1"/>
  <c r="BM87" i="1"/>
  <c r="BL87" i="1"/>
  <c r="BK87" i="1"/>
  <c r="BJ87" i="1"/>
  <c r="BI87" i="1"/>
  <c r="BH87" i="1"/>
  <c r="BG87" i="1"/>
  <c r="BF87" i="1"/>
  <c r="BE87" i="1"/>
  <c r="BE108" i="1" s="1"/>
  <c r="BD87" i="1"/>
  <c r="BC87" i="1"/>
  <c r="BB87" i="1"/>
  <c r="BA87" i="1"/>
  <c r="AZ87" i="1"/>
  <c r="AZ90" i="1" s="1"/>
  <c r="AY87" i="1"/>
  <c r="AX87" i="1"/>
  <c r="AX108" i="1" s="1"/>
  <c r="AW87" i="1"/>
  <c r="AV87" i="1"/>
  <c r="AU87" i="1"/>
  <c r="AT87" i="1"/>
  <c r="AS87" i="1"/>
  <c r="AR87" i="1"/>
  <c r="AQ87" i="1"/>
  <c r="AP87" i="1"/>
  <c r="AO87" i="1"/>
  <c r="AN87" i="1"/>
  <c r="AM87" i="1"/>
  <c r="AL87" i="1"/>
  <c r="AK87" i="1"/>
  <c r="AJ87" i="1"/>
  <c r="AH87" i="1"/>
  <c r="AG87" i="1"/>
  <c r="AF87" i="1"/>
  <c r="AF108" i="1" s="1"/>
  <c r="AE87" i="1"/>
  <c r="DG87" i="1" s="1"/>
  <c r="AD87" i="1"/>
  <c r="W87" i="1"/>
  <c r="DD87" i="1"/>
  <c r="DC87" i="1"/>
  <c r="DB87" i="1"/>
  <c r="DA87" i="1"/>
  <c r="DW86" i="1"/>
  <c r="DW85" i="1"/>
  <c r="DW84" i="1"/>
  <c r="DW83" i="1"/>
  <c r="DW82" i="1"/>
  <c r="DV86" i="1"/>
  <c r="DV85" i="1"/>
  <c r="DV84" i="1"/>
  <c r="DV83" i="1"/>
  <c r="DV82" i="1"/>
  <c r="DU86" i="1"/>
  <c r="DU85" i="1"/>
  <c r="DU84" i="1"/>
  <c r="DU83" i="1"/>
  <c r="DU82" i="1"/>
  <c r="DT86" i="1"/>
  <c r="DT85" i="1"/>
  <c r="DT84" i="1"/>
  <c r="DT83" i="1"/>
  <c r="DT82" i="1"/>
  <c r="DQ86" i="1"/>
  <c r="DQ85" i="1"/>
  <c r="DQ84" i="1"/>
  <c r="DQ83" i="1"/>
  <c r="DQ81" i="1"/>
  <c r="DP86" i="1"/>
  <c r="DP84" i="1"/>
  <c r="DP83" i="1"/>
  <c r="DP82" i="1"/>
  <c r="DP81" i="1"/>
  <c r="DO86" i="1"/>
  <c r="DO85" i="1"/>
  <c r="DO84" i="1"/>
  <c r="DO83" i="1"/>
  <c r="DO82" i="1"/>
  <c r="DN86" i="1"/>
  <c r="DN85" i="1"/>
  <c r="DN84" i="1"/>
  <c r="DN83" i="1"/>
  <c r="DN82" i="1"/>
  <c r="DM86" i="1"/>
  <c r="DM85" i="1"/>
  <c r="DM84" i="1"/>
  <c r="DM83" i="1"/>
  <c r="DM82" i="1"/>
  <c r="DL86" i="1"/>
  <c r="DL85" i="1"/>
  <c r="DL84" i="1"/>
  <c r="DL83" i="1"/>
  <c r="DL82" i="1"/>
  <c r="DK86" i="1"/>
  <c r="DK85" i="1"/>
  <c r="DK84" i="1"/>
  <c r="DK83" i="1"/>
  <c r="DK82" i="1"/>
  <c r="DJ86" i="1"/>
  <c r="DJ85" i="1"/>
  <c r="DJ84" i="1"/>
  <c r="DJ83" i="1"/>
  <c r="DJ82" i="1"/>
  <c r="DI86" i="1"/>
  <c r="DI85" i="1"/>
  <c r="DI84" i="1"/>
  <c r="DI83" i="1"/>
  <c r="DI82" i="1"/>
  <c r="DH86" i="1"/>
  <c r="DH85" i="1"/>
  <c r="DH83" i="1"/>
  <c r="DH82" i="1"/>
  <c r="DG86" i="1"/>
  <c r="DG85" i="1"/>
  <c r="DG84" i="1"/>
  <c r="DG83" i="1"/>
  <c r="DG82" i="1"/>
  <c r="DG81" i="1"/>
  <c r="DF86" i="1"/>
  <c r="DF85" i="1"/>
  <c r="DF83" i="1"/>
  <c r="DF82" i="1"/>
  <c r="DE86" i="1"/>
  <c r="DE85" i="1"/>
  <c r="DE84" i="1"/>
  <c r="DE83" i="1"/>
  <c r="DE82" i="1"/>
  <c r="DE81" i="1"/>
  <c r="BO85" i="1"/>
  <c r="BO87" i="1" s="1"/>
  <c r="BO108" i="1" s="1"/>
  <c r="AI84" i="1"/>
  <c r="AI87" i="1"/>
  <c r="AC84" i="1"/>
  <c r="AC87" i="1"/>
  <c r="AB84" i="1"/>
  <c r="AB87" i="1"/>
  <c r="AA84" i="1"/>
  <c r="BU84" i="1"/>
  <c r="BV84" i="1"/>
  <c r="BW84" i="1"/>
  <c r="DR84" i="1" s="1"/>
  <c r="BU83" i="1"/>
  <c r="BU82" i="1"/>
  <c r="BV82" i="1" s="1"/>
  <c r="BW82" i="1"/>
  <c r="DR82" i="1" s="1"/>
  <c r="BS82" i="1"/>
  <c r="BS87" i="1"/>
  <c r="CL87" i="1"/>
  <c r="CL108" i="1" s="1"/>
  <c r="DS86" i="1"/>
  <c r="CB86" i="1" s="1"/>
  <c r="DS85" i="1"/>
  <c r="DS84" i="1"/>
  <c r="DS83" i="1"/>
  <c r="CB83" i="1"/>
  <c r="DS82" i="1"/>
  <c r="CB82" i="1" s="1"/>
  <c r="DW78" i="1"/>
  <c r="DW77" i="1"/>
  <c r="DV78" i="1"/>
  <c r="DV77" i="1"/>
  <c r="DU78" i="1"/>
  <c r="DU77" i="1"/>
  <c r="DU107" i="1"/>
  <c r="DT78" i="1"/>
  <c r="DT77" i="1"/>
  <c r="DT107" i="1" s="1"/>
  <c r="CF19" i="1" s="1"/>
  <c r="DS78" i="1"/>
  <c r="DS77" i="1"/>
  <c r="DS107" i="1"/>
  <c r="DR78" i="1"/>
  <c r="DR77" i="1"/>
  <c r="DQ78" i="1"/>
  <c r="DQ77" i="1"/>
  <c r="DP78" i="1"/>
  <c r="DP77" i="1"/>
  <c r="BN78" i="1"/>
  <c r="DO78" i="1"/>
  <c r="DO77" i="1"/>
  <c r="DO107" i="1" s="1"/>
  <c r="DN78" i="1"/>
  <c r="DN77" i="1"/>
  <c r="DM78" i="1"/>
  <c r="DM77" i="1"/>
  <c r="DL78" i="1"/>
  <c r="DL77" i="1"/>
  <c r="DK78" i="1"/>
  <c r="DK77" i="1"/>
  <c r="DJ78" i="1"/>
  <c r="DJ77" i="1"/>
  <c r="DI78" i="1"/>
  <c r="DI77" i="1"/>
  <c r="DH78" i="1"/>
  <c r="DH77" i="1"/>
  <c r="DG78" i="1"/>
  <c r="DG77" i="1"/>
  <c r="DG107" i="1" s="1"/>
  <c r="DF78" i="1"/>
  <c r="DF77" i="1"/>
  <c r="DF76" i="1"/>
  <c r="DE78" i="1"/>
  <c r="DE77" i="1"/>
  <c r="DE76" i="1"/>
  <c r="DD78" i="1"/>
  <c r="DD77" i="1"/>
  <c r="DD76" i="1"/>
  <c r="DC78" i="1"/>
  <c r="DC77" i="1"/>
  <c r="DC76" i="1"/>
  <c r="DB78" i="1"/>
  <c r="DB77" i="1"/>
  <c r="DB76" i="1"/>
  <c r="DA78" i="1"/>
  <c r="DA77" i="1"/>
  <c r="DA76" i="1"/>
  <c r="CR74" i="1"/>
  <c r="CR79" i="1" s="1"/>
  <c r="CQ74" i="1"/>
  <c r="CQ79" i="1" s="1"/>
  <c r="CP74" i="1"/>
  <c r="CP79" i="1" s="1"/>
  <c r="CP90" i="1" s="1"/>
  <c r="CP92" i="1" s="1"/>
  <c r="CO74" i="1"/>
  <c r="CO79" i="1"/>
  <c r="CO90" i="1" s="1"/>
  <c r="CN74" i="1"/>
  <c r="CN79" i="1" s="1"/>
  <c r="CM74" i="1"/>
  <c r="CM79" i="1" s="1"/>
  <c r="CF74" i="1"/>
  <c r="CF79" i="1" s="1"/>
  <c r="CF90" i="1" s="1"/>
  <c r="CF92" i="1" s="1"/>
  <c r="CE74" i="1"/>
  <c r="CE79" i="1" s="1"/>
  <c r="CE90" i="1" s="1"/>
  <c r="CE92" i="1" s="1"/>
  <c r="CD74" i="1"/>
  <c r="CD79" i="1" s="1"/>
  <c r="CA74" i="1"/>
  <c r="CA79" i="1" s="1"/>
  <c r="BZ74" i="1"/>
  <c r="BZ79" i="1" s="1"/>
  <c r="BZ90" i="1" s="1"/>
  <c r="BR74" i="1"/>
  <c r="BR79" i="1" s="1"/>
  <c r="BR90" i="1" s="1"/>
  <c r="BR92" i="1" s="1"/>
  <c r="BQ74" i="1"/>
  <c r="BQ79" i="1" s="1"/>
  <c r="BP74" i="1"/>
  <c r="BP79" i="1" s="1"/>
  <c r="BP90" i="1" s="1"/>
  <c r="BO74" i="1"/>
  <c r="BO79" i="1" s="1"/>
  <c r="BO90" i="1" s="1"/>
  <c r="BO92" i="1" s="1"/>
  <c r="BL74" i="1"/>
  <c r="BL79" i="1" s="1"/>
  <c r="BJ74" i="1"/>
  <c r="BJ79" i="1" s="1"/>
  <c r="BJ90" i="1" s="1"/>
  <c r="BI74" i="1"/>
  <c r="BI79" i="1"/>
  <c r="BI90" i="1" s="1"/>
  <c r="BH74" i="1"/>
  <c r="BH79" i="1" s="1"/>
  <c r="BG74" i="1"/>
  <c r="BG79" i="1" s="1"/>
  <c r="BG90" i="1" s="1"/>
  <c r="BF74" i="1"/>
  <c r="BF79" i="1" s="1"/>
  <c r="BF90" i="1" s="1"/>
  <c r="BF92" i="1" s="1"/>
  <c r="BE74" i="1"/>
  <c r="BE79" i="1" s="1"/>
  <c r="BE90" i="1" s="1"/>
  <c r="BD74" i="1"/>
  <c r="BD79" i="1" s="1"/>
  <c r="BC74" i="1"/>
  <c r="BC79" i="1" s="1"/>
  <c r="BC90" i="1" s="1"/>
  <c r="BB74" i="1"/>
  <c r="BB79" i="1"/>
  <c r="BB90" i="1" s="1"/>
  <c r="BB92" i="1" s="1"/>
  <c r="BA74" i="1"/>
  <c r="BA79" i="1" s="1"/>
  <c r="BA90" i="1" s="1"/>
  <c r="BA92" i="1" s="1"/>
  <c r="AZ74" i="1"/>
  <c r="AZ79" i="1" s="1"/>
  <c r="AY74" i="1"/>
  <c r="AY79" i="1" s="1"/>
  <c r="AX74" i="1"/>
  <c r="AX79" i="1"/>
  <c r="AX90" i="1" s="1"/>
  <c r="AX92" i="1" s="1"/>
  <c r="AW74" i="1"/>
  <c r="AW79" i="1"/>
  <c r="AW90" i="1" s="1"/>
  <c r="AV74" i="1"/>
  <c r="AV79" i="1" s="1"/>
  <c r="AV90" i="1" s="1"/>
  <c r="AV92" i="1" s="1"/>
  <c r="AU74" i="1"/>
  <c r="AU79" i="1" s="1"/>
  <c r="AT74" i="1"/>
  <c r="AT79" i="1" s="1"/>
  <c r="AT90" i="1" s="1"/>
  <c r="AT92" i="1" s="1"/>
  <c r="AS74" i="1"/>
  <c r="AS79" i="1"/>
  <c r="AR74" i="1"/>
  <c r="AR79" i="1" s="1"/>
  <c r="AQ74" i="1"/>
  <c r="AQ79" i="1" s="1"/>
  <c r="AP74" i="1"/>
  <c r="AP79" i="1" s="1"/>
  <c r="AO74" i="1"/>
  <c r="AO79" i="1" s="1"/>
  <c r="AN74" i="1"/>
  <c r="AN79" i="1"/>
  <c r="AN90" i="1" s="1"/>
  <c r="AM74" i="1"/>
  <c r="AM79" i="1" s="1"/>
  <c r="AM90" i="1" s="1"/>
  <c r="AM92" i="1" s="1"/>
  <c r="AL74" i="1"/>
  <c r="AL79" i="1" s="1"/>
  <c r="AL90" i="1" s="1"/>
  <c r="AK74" i="1"/>
  <c r="AK79" i="1" s="1"/>
  <c r="AK90" i="1" s="1"/>
  <c r="AJ74" i="1"/>
  <c r="AJ79" i="1" s="1"/>
  <c r="AI74" i="1"/>
  <c r="AI79" i="1" s="1"/>
  <c r="AH74" i="1"/>
  <c r="AH79" i="1"/>
  <c r="AH90" i="1" s="1"/>
  <c r="AH92" i="1" s="1"/>
  <c r="AG74" i="1"/>
  <c r="AG79" i="1"/>
  <c r="AG90" i="1" s="1"/>
  <c r="AG92" i="1" s="1"/>
  <c r="AF74" i="1"/>
  <c r="AF79" i="1" s="1"/>
  <c r="AE74" i="1"/>
  <c r="AE79" i="1" s="1"/>
  <c r="AD74" i="1"/>
  <c r="AD79" i="1"/>
  <c r="AD90" i="1" s="1"/>
  <c r="AD92" i="1" s="1"/>
  <c r="AC74" i="1"/>
  <c r="AC79" i="1"/>
  <c r="AC90" i="1" s="1"/>
  <c r="AB74" i="1"/>
  <c r="AB79" i="1" s="1"/>
  <c r="AB90" i="1" s="1"/>
  <c r="AB92" i="1" s="1"/>
  <c r="AA74" i="1"/>
  <c r="AA79" i="1" s="1"/>
  <c r="Z74" i="1"/>
  <c r="Z79" i="1"/>
  <c r="Z90" i="1" s="1"/>
  <c r="Y74" i="1"/>
  <c r="Y79" i="1"/>
  <c r="Y90" i="1" s="1"/>
  <c r="Y92" i="1" s="1"/>
  <c r="X74" i="1"/>
  <c r="X79" i="1" s="1"/>
  <c r="X90" i="1" s="1"/>
  <c r="X92" i="1" s="1"/>
  <c r="W74" i="1"/>
  <c r="W79" i="1" s="1"/>
  <c r="W90" i="1" s="1"/>
  <c r="V74" i="1"/>
  <c r="V79" i="1" s="1"/>
  <c r="V90" i="1" s="1"/>
  <c r="U74" i="1"/>
  <c r="U79" i="1" s="1"/>
  <c r="U90" i="1" s="1"/>
  <c r="T74" i="1"/>
  <c r="T79" i="1" s="1"/>
  <c r="T90" i="1" s="1"/>
  <c r="S74" i="1"/>
  <c r="S79" i="1" s="1"/>
  <c r="S90" i="1" s="1"/>
  <c r="R74" i="1"/>
  <c r="R79" i="1"/>
  <c r="R90" i="1"/>
  <c r="Q74" i="1"/>
  <c r="Q79" i="1" s="1"/>
  <c r="Q90" i="1" s="1"/>
  <c r="Q92" i="1" s="1"/>
  <c r="P74" i="1"/>
  <c r="P79" i="1"/>
  <c r="P90" i="1" s="1"/>
  <c r="O74" i="1"/>
  <c r="O79" i="1"/>
  <c r="O90" i="1" s="1"/>
  <c r="N74" i="1"/>
  <c r="N79" i="1" s="1"/>
  <c r="N90" i="1" s="1"/>
  <c r="M74" i="1"/>
  <c r="M79" i="1" s="1"/>
  <c r="M90" i="1" s="1"/>
  <c r="L74" i="1"/>
  <c r="L79" i="1" s="1"/>
  <c r="L90" i="1" s="1"/>
  <c r="K74" i="1"/>
  <c r="K79" i="1"/>
  <c r="K90" i="1" s="1"/>
  <c r="J74" i="1"/>
  <c r="J79" i="1" s="1"/>
  <c r="J90" i="1" s="1"/>
  <c r="I74" i="1"/>
  <c r="I79" i="1" s="1"/>
  <c r="I90" i="1" s="1"/>
  <c r="H74" i="1"/>
  <c r="H79" i="1"/>
  <c r="H90" i="1" s="1"/>
  <c r="G74" i="1"/>
  <c r="G79" i="1"/>
  <c r="G90" i="1" s="1"/>
  <c r="F74" i="1"/>
  <c r="F79" i="1" s="1"/>
  <c r="F90" i="1" s="1"/>
  <c r="E74" i="1"/>
  <c r="E79" i="1" s="1"/>
  <c r="E90" i="1" s="1"/>
  <c r="D74" i="1"/>
  <c r="D79" i="1" s="1"/>
  <c r="D90" i="1" s="1"/>
  <c r="DW73" i="1"/>
  <c r="DW72" i="1"/>
  <c r="DW71" i="1"/>
  <c r="DW70" i="1"/>
  <c r="DV72" i="1"/>
  <c r="DV71" i="1"/>
  <c r="DU71" i="1"/>
  <c r="DT72" i="1"/>
  <c r="DT71" i="1"/>
  <c r="DS72" i="1"/>
  <c r="DS71" i="1"/>
  <c r="DR72" i="1"/>
  <c r="DR71" i="1"/>
  <c r="DQ72" i="1"/>
  <c r="DQ71" i="1"/>
  <c r="DQ70" i="1"/>
  <c r="DP73" i="1"/>
  <c r="DP72" i="1"/>
  <c r="DP71" i="1"/>
  <c r="DP70" i="1"/>
  <c r="DO73" i="1"/>
  <c r="DO72" i="1"/>
  <c r="DO71" i="1"/>
  <c r="DN73" i="1"/>
  <c r="DN72" i="1"/>
  <c r="DN71" i="1"/>
  <c r="DN70" i="1"/>
  <c r="DM73" i="1"/>
  <c r="DM72" i="1"/>
  <c r="DM71" i="1"/>
  <c r="DM70" i="1"/>
  <c r="DL73" i="1"/>
  <c r="DL72" i="1"/>
  <c r="DL71" i="1"/>
  <c r="DL70" i="1"/>
  <c r="DK73" i="1"/>
  <c r="DK72" i="1"/>
  <c r="DK71" i="1"/>
  <c r="DK70" i="1"/>
  <c r="DJ73" i="1"/>
  <c r="DJ72" i="1"/>
  <c r="DJ71" i="1"/>
  <c r="DJ70" i="1"/>
  <c r="DI73" i="1"/>
  <c r="DI72" i="1"/>
  <c r="DI71" i="1"/>
  <c r="DI70" i="1"/>
  <c r="DH73" i="1"/>
  <c r="DH72" i="1"/>
  <c r="DH71" i="1"/>
  <c r="DH70" i="1"/>
  <c r="DG73" i="1"/>
  <c r="DG72" i="1"/>
  <c r="DG71" i="1"/>
  <c r="DG70" i="1"/>
  <c r="DF73" i="1"/>
  <c r="DF72" i="1"/>
  <c r="DF71" i="1"/>
  <c r="DF70" i="1"/>
  <c r="DE73" i="1"/>
  <c r="DE72" i="1"/>
  <c r="DE71" i="1"/>
  <c r="DE70" i="1"/>
  <c r="DD73" i="1"/>
  <c r="DD72" i="1"/>
  <c r="DD71" i="1"/>
  <c r="DD70" i="1"/>
  <c r="DC73" i="1"/>
  <c r="DC72" i="1"/>
  <c r="DC71" i="1"/>
  <c r="DC70" i="1"/>
  <c r="DB73" i="1"/>
  <c r="DB72" i="1"/>
  <c r="DB71" i="1"/>
  <c r="DB70" i="1"/>
  <c r="DA73" i="1"/>
  <c r="DA72" i="1"/>
  <c r="DA71" i="1"/>
  <c r="DA70" i="1"/>
  <c r="BS73" i="1"/>
  <c r="BS74" i="1" s="1"/>
  <c r="BS79" i="1" s="1"/>
  <c r="BM73" i="1"/>
  <c r="CK72" i="1"/>
  <c r="CK74" i="1"/>
  <c r="CK79" i="1" s="1"/>
  <c r="CJ72" i="1"/>
  <c r="CJ74" i="1" s="1"/>
  <c r="CJ79" i="1" s="1"/>
  <c r="CJ90" i="1" s="1"/>
  <c r="CI72" i="1"/>
  <c r="BW70" i="1"/>
  <c r="BM70" i="1"/>
  <c r="DW67" i="1"/>
  <c r="DW66" i="1"/>
  <c r="DW65" i="1"/>
  <c r="CR163" i="1" s="1"/>
  <c r="DV67" i="1"/>
  <c r="DV66" i="1"/>
  <c r="DV65" i="1"/>
  <c r="DU67" i="1"/>
  <c r="DU66" i="1"/>
  <c r="DU65" i="1"/>
  <c r="CJ163" i="1"/>
  <c r="DT67" i="1"/>
  <c r="DT66" i="1"/>
  <c r="DT65" i="1"/>
  <c r="DS67" i="1"/>
  <c r="DS66" i="1"/>
  <c r="DS65" i="1"/>
  <c r="CB163" i="1"/>
  <c r="DR67" i="1"/>
  <c r="DR66" i="1"/>
  <c r="DR65" i="1"/>
  <c r="BX163" i="1" s="1"/>
  <c r="DQ67" i="1"/>
  <c r="DQ66" i="1"/>
  <c r="DQ65" i="1"/>
  <c r="BT163" i="1"/>
  <c r="DP67" i="1"/>
  <c r="DP66" i="1"/>
  <c r="DP65" i="1"/>
  <c r="BP163" i="1" s="1"/>
  <c r="DO67" i="1"/>
  <c r="DO66" i="1"/>
  <c r="DO65" i="1"/>
  <c r="BL163" i="1"/>
  <c r="DN67" i="1"/>
  <c r="DN66" i="1"/>
  <c r="DN65" i="1"/>
  <c r="BH163" i="1" s="1"/>
  <c r="DM67" i="1"/>
  <c r="DM66" i="1"/>
  <c r="DM65" i="1"/>
  <c r="BD163" i="1"/>
  <c r="DL67" i="1"/>
  <c r="DL66" i="1"/>
  <c r="DL65" i="1"/>
  <c r="AZ163" i="1" s="1"/>
  <c r="DK67" i="1"/>
  <c r="DK66" i="1"/>
  <c r="DK65" i="1"/>
  <c r="AV163" i="1"/>
  <c r="DJ67" i="1"/>
  <c r="DJ66" i="1"/>
  <c r="DJ65" i="1"/>
  <c r="AR163" i="1" s="1"/>
  <c r="DI67" i="1"/>
  <c r="DI66" i="1"/>
  <c r="DI65" i="1"/>
  <c r="AN163" i="1"/>
  <c r="DH67" i="1"/>
  <c r="DH66" i="1"/>
  <c r="DH65" i="1"/>
  <c r="AJ163" i="1" s="1"/>
  <c r="DG67" i="1"/>
  <c r="DG66" i="1"/>
  <c r="DG65" i="1"/>
  <c r="AF163" i="1"/>
  <c r="DF67" i="1"/>
  <c r="DF66" i="1"/>
  <c r="DF65" i="1"/>
  <c r="AB163" i="1" s="1"/>
  <c r="DE67" i="1"/>
  <c r="DE66" i="1"/>
  <c r="DE65" i="1"/>
  <c r="X163" i="1"/>
  <c r="DD67" i="1"/>
  <c r="DD66" i="1"/>
  <c r="DD65" i="1"/>
  <c r="T163" i="1" s="1"/>
  <c r="DC67" i="1"/>
  <c r="DC66" i="1"/>
  <c r="DC65" i="1"/>
  <c r="P163" i="1"/>
  <c r="DB67" i="1"/>
  <c r="DB66" i="1"/>
  <c r="DB65" i="1"/>
  <c r="DA67" i="1"/>
  <c r="DA66" i="1"/>
  <c r="DA65" i="1"/>
  <c r="CR63" i="1"/>
  <c r="CR68" i="1" s="1"/>
  <c r="CQ63" i="1"/>
  <c r="CQ68" i="1" s="1"/>
  <c r="CP63" i="1"/>
  <c r="CP68" i="1" s="1"/>
  <c r="CO63" i="1"/>
  <c r="CO68" i="1"/>
  <c r="CO92" i="1" s="1"/>
  <c r="CN63" i="1"/>
  <c r="CN68" i="1"/>
  <c r="CM63" i="1"/>
  <c r="CM68" i="1" s="1"/>
  <c r="CM92" i="1" s="1"/>
  <c r="CL63" i="1"/>
  <c r="CL68" i="1" s="1"/>
  <c r="CK63" i="1"/>
  <c r="CK68" i="1" s="1"/>
  <c r="CJ63" i="1"/>
  <c r="CJ68" i="1"/>
  <c r="CJ92" i="1" s="1"/>
  <c r="CI63" i="1"/>
  <c r="CI68" i="1" s="1"/>
  <c r="CH63" i="1"/>
  <c r="CH68" i="1" s="1"/>
  <c r="CG63" i="1"/>
  <c r="CG68" i="1"/>
  <c r="CF63" i="1"/>
  <c r="CF68" i="1" s="1"/>
  <c r="CE63" i="1"/>
  <c r="CE68" i="1" s="1"/>
  <c r="CD63" i="1"/>
  <c r="CD68" i="1" s="1"/>
  <c r="CC63" i="1"/>
  <c r="CC68" i="1" s="1"/>
  <c r="CC92" i="1" s="1"/>
  <c r="CB63" i="1"/>
  <c r="CB68" i="1"/>
  <c r="CA63" i="1"/>
  <c r="CA68" i="1" s="1"/>
  <c r="BZ63" i="1"/>
  <c r="BZ68" i="1" s="1"/>
  <c r="BY63" i="1"/>
  <c r="BY68" i="1"/>
  <c r="BX63" i="1"/>
  <c r="BX68" i="1" s="1"/>
  <c r="BX92" i="1" s="1"/>
  <c r="BW63" i="1"/>
  <c r="BW68" i="1" s="1"/>
  <c r="BV63" i="1"/>
  <c r="BV68" i="1" s="1"/>
  <c r="BU63" i="1"/>
  <c r="BU68" i="1"/>
  <c r="BT63" i="1"/>
  <c r="BT68" i="1"/>
  <c r="BS63" i="1"/>
  <c r="BS68" i="1" s="1"/>
  <c r="BR63" i="1"/>
  <c r="BR68" i="1" s="1"/>
  <c r="BQ63" i="1"/>
  <c r="BQ68" i="1" s="1"/>
  <c r="BP63" i="1"/>
  <c r="BP68" i="1"/>
  <c r="BO63" i="1"/>
  <c r="BO68" i="1" s="1"/>
  <c r="BN63" i="1"/>
  <c r="BN68" i="1" s="1"/>
  <c r="BM63" i="1"/>
  <c r="BM68" i="1" s="1"/>
  <c r="BL63" i="1"/>
  <c r="BL68" i="1" s="1"/>
  <c r="BL92" i="1" s="1"/>
  <c r="BK63" i="1"/>
  <c r="BK68" i="1"/>
  <c r="BJ63" i="1"/>
  <c r="BJ68" i="1" s="1"/>
  <c r="BI63" i="1"/>
  <c r="BI68" i="1" s="1"/>
  <c r="BI92" i="1" s="1"/>
  <c r="BH63" i="1"/>
  <c r="BH68" i="1"/>
  <c r="BG63" i="1"/>
  <c r="BG68" i="1" s="1"/>
  <c r="BF63" i="1"/>
  <c r="BF68" i="1" s="1"/>
  <c r="BE63" i="1"/>
  <c r="BE68" i="1" s="1"/>
  <c r="BE92" i="1" s="1"/>
  <c r="BD63" i="1"/>
  <c r="BD68" i="1" s="1"/>
  <c r="BC63" i="1"/>
  <c r="BC68" i="1" s="1"/>
  <c r="BB63" i="1"/>
  <c r="BB68" i="1" s="1"/>
  <c r="BA63" i="1"/>
  <c r="BA68" i="1"/>
  <c r="AZ63" i="1"/>
  <c r="AZ68" i="1"/>
  <c r="AZ92" i="1" s="1"/>
  <c r="AY63" i="1"/>
  <c r="AY68" i="1" s="1"/>
  <c r="AX63" i="1"/>
  <c r="AX68" i="1" s="1"/>
  <c r="AW63" i="1"/>
  <c r="AW68" i="1" s="1"/>
  <c r="AV63" i="1"/>
  <c r="AV68" i="1"/>
  <c r="AU63" i="1"/>
  <c r="AU68" i="1"/>
  <c r="AT63" i="1"/>
  <c r="AT68" i="1" s="1"/>
  <c r="AS63" i="1"/>
  <c r="AS68" i="1" s="1"/>
  <c r="AR63" i="1"/>
  <c r="AR68" i="1"/>
  <c r="AQ63" i="1"/>
  <c r="AQ68" i="1" s="1"/>
  <c r="AP63" i="1"/>
  <c r="AP68" i="1" s="1"/>
  <c r="AO63" i="1"/>
  <c r="AO68" i="1" s="1"/>
  <c r="AN63" i="1"/>
  <c r="AN68" i="1" s="1"/>
  <c r="AM63" i="1"/>
  <c r="AM68" i="1" s="1"/>
  <c r="AL63" i="1"/>
  <c r="AL68" i="1" s="1"/>
  <c r="AK63" i="1"/>
  <c r="AK68" i="1" s="1"/>
  <c r="AJ63" i="1"/>
  <c r="AJ68" i="1" s="1"/>
  <c r="AI63" i="1"/>
  <c r="AI68" i="1" s="1"/>
  <c r="AH63" i="1"/>
  <c r="AH68" i="1" s="1"/>
  <c r="AG63" i="1"/>
  <c r="AG68" i="1"/>
  <c r="AF63" i="1"/>
  <c r="AF68" i="1" s="1"/>
  <c r="AF92" i="1" s="1"/>
  <c r="AE63" i="1"/>
  <c r="AE68" i="1" s="1"/>
  <c r="AE92" i="1" s="1"/>
  <c r="AD63" i="1"/>
  <c r="AD68" i="1" s="1"/>
  <c r="AC63" i="1"/>
  <c r="AC68" i="1" s="1"/>
  <c r="AB63" i="1"/>
  <c r="AB68" i="1"/>
  <c r="AA63" i="1"/>
  <c r="AA68" i="1"/>
  <c r="Z63" i="1"/>
  <c r="Z68" i="1" s="1"/>
  <c r="Z92" i="1" s="1"/>
  <c r="Y63" i="1"/>
  <c r="Y68" i="1"/>
  <c r="X63" i="1"/>
  <c r="X68" i="1" s="1"/>
  <c r="W63" i="1"/>
  <c r="W68" i="1" s="1"/>
  <c r="V63" i="1"/>
  <c r="V68" i="1" s="1"/>
  <c r="U63" i="1"/>
  <c r="U68" i="1" s="1"/>
  <c r="U92" i="1" s="1"/>
  <c r="T63" i="1"/>
  <c r="T68" i="1" s="1"/>
  <c r="T92" i="1" s="1"/>
  <c r="S63" i="1"/>
  <c r="S68" i="1" s="1"/>
  <c r="R63" i="1"/>
  <c r="R68" i="1"/>
  <c r="R92" i="1" s="1"/>
  <c r="Q63" i="1"/>
  <c r="Q68" i="1" s="1"/>
  <c r="P63" i="1"/>
  <c r="P68" i="1" s="1"/>
  <c r="O63" i="1"/>
  <c r="O68" i="1" s="1"/>
  <c r="N63" i="1"/>
  <c r="N68" i="1"/>
  <c r="M63" i="1"/>
  <c r="M68" i="1" s="1"/>
  <c r="L63" i="1"/>
  <c r="L68" i="1" s="1"/>
  <c r="K63" i="1"/>
  <c r="K68" i="1" s="1"/>
  <c r="K92" i="1" s="1"/>
  <c r="J63" i="1"/>
  <c r="J68" i="1" s="1"/>
  <c r="I63" i="1"/>
  <c r="I68" i="1" s="1"/>
  <c r="H63" i="1"/>
  <c r="H68" i="1" s="1"/>
  <c r="H92" i="1" s="1"/>
  <c r="G63" i="1"/>
  <c r="G68" i="1" s="1"/>
  <c r="G92" i="1" s="1"/>
  <c r="F63" i="1"/>
  <c r="F68" i="1" s="1"/>
  <c r="E63" i="1"/>
  <c r="E68" i="1" s="1"/>
  <c r="D63" i="1"/>
  <c r="D68" i="1" s="1"/>
  <c r="D92" i="1" s="1"/>
  <c r="DP62" i="1"/>
  <c r="DP61" i="1"/>
  <c r="DP60" i="1"/>
  <c r="DP59" i="1"/>
  <c r="DO62" i="1"/>
  <c r="DO61" i="1"/>
  <c r="DO60" i="1"/>
  <c r="DO59" i="1"/>
  <c r="DN62" i="1"/>
  <c r="DN61" i="1"/>
  <c r="DN60" i="1"/>
  <c r="DN59" i="1"/>
  <c r="DM62" i="1"/>
  <c r="DM61" i="1"/>
  <c r="DM60" i="1"/>
  <c r="DM59" i="1"/>
  <c r="DL62" i="1"/>
  <c r="DL61" i="1"/>
  <c r="DL60" i="1"/>
  <c r="DL59" i="1"/>
  <c r="DK62" i="1"/>
  <c r="DK61" i="1"/>
  <c r="DK60" i="1"/>
  <c r="DK59" i="1"/>
  <c r="DJ62" i="1"/>
  <c r="DJ61" i="1"/>
  <c r="DJ60" i="1"/>
  <c r="DJ59" i="1"/>
  <c r="DI62" i="1"/>
  <c r="DI61" i="1"/>
  <c r="DI60" i="1"/>
  <c r="DI59" i="1"/>
  <c r="DH62" i="1"/>
  <c r="DH61" i="1"/>
  <c r="DH60" i="1"/>
  <c r="DH59" i="1"/>
  <c r="DG62" i="1"/>
  <c r="DG61" i="1"/>
  <c r="DG60" i="1"/>
  <c r="DG59" i="1"/>
  <c r="DF62" i="1"/>
  <c r="DF61" i="1"/>
  <c r="DF60" i="1"/>
  <c r="DF59" i="1"/>
  <c r="DE62" i="1"/>
  <c r="DE61" i="1"/>
  <c r="DE60" i="1"/>
  <c r="DE59" i="1"/>
  <c r="DD62" i="1"/>
  <c r="DD61" i="1"/>
  <c r="DD60" i="1"/>
  <c r="DD59" i="1"/>
  <c r="DC62" i="1"/>
  <c r="DC61" i="1"/>
  <c r="DC60" i="1"/>
  <c r="DC59" i="1"/>
  <c r="DB62" i="1"/>
  <c r="DB61" i="1"/>
  <c r="DB60" i="1"/>
  <c r="DB59" i="1"/>
  <c r="DA62" i="1"/>
  <c r="DA61" i="1"/>
  <c r="DA60" i="1"/>
  <c r="DA59" i="1"/>
  <c r="DW62" i="1"/>
  <c r="DW61" i="1"/>
  <c r="DW60" i="1"/>
  <c r="DW59" i="1"/>
  <c r="DV62" i="1"/>
  <c r="DV61" i="1"/>
  <c r="DV60" i="1"/>
  <c r="DV59" i="1"/>
  <c r="DU62" i="1"/>
  <c r="DU61" i="1"/>
  <c r="DU60" i="1"/>
  <c r="DU59" i="1"/>
  <c r="DT62" i="1"/>
  <c r="DT61" i="1"/>
  <c r="DT60" i="1"/>
  <c r="DT59" i="1"/>
  <c r="DS62" i="1"/>
  <c r="DS61" i="1"/>
  <c r="DS60" i="1"/>
  <c r="DS59" i="1"/>
  <c r="DR62" i="1"/>
  <c r="DR61" i="1"/>
  <c r="DR60" i="1"/>
  <c r="DR59" i="1"/>
  <c r="DQ62" i="1"/>
  <c r="DQ61" i="1"/>
  <c r="DQ97" i="1"/>
  <c r="DQ60" i="1"/>
  <c r="DQ59" i="1"/>
  <c r="DW37" i="1"/>
  <c r="DU37" i="1"/>
  <c r="DT37" i="1"/>
  <c r="DS37" i="1"/>
  <c r="DR37" i="1"/>
  <c r="BS37" i="1"/>
  <c r="DP37" i="1"/>
  <c r="DP35" i="1"/>
  <c r="DP169" i="1" s="1"/>
  <c r="DO37" i="1"/>
  <c r="DO35" i="1"/>
  <c r="DO169" i="1" s="1"/>
  <c r="DN37" i="1"/>
  <c r="DN35" i="1"/>
  <c r="DN169" i="1" s="1"/>
  <c r="DM37" i="1"/>
  <c r="DM35" i="1"/>
  <c r="DM169" i="1" s="1"/>
  <c r="DL37" i="1"/>
  <c r="DL35" i="1"/>
  <c r="DL169" i="1"/>
  <c r="DK37" i="1"/>
  <c r="DK35" i="1"/>
  <c r="DK169" i="1"/>
  <c r="DJ37" i="1"/>
  <c r="DJ35" i="1"/>
  <c r="DJ169" i="1" s="1"/>
  <c r="DI37" i="1"/>
  <c r="DI35" i="1"/>
  <c r="DI169" i="1"/>
  <c r="DH37" i="1"/>
  <c r="DH35" i="1"/>
  <c r="DH169" i="1"/>
  <c r="DG37" i="1"/>
  <c r="DG35" i="1"/>
  <c r="DG169" i="1" s="1"/>
  <c r="DF37" i="1"/>
  <c r="DF35" i="1"/>
  <c r="DF169" i="1" s="1"/>
  <c r="DE37" i="1"/>
  <c r="BS35" i="1"/>
  <c r="BS169" i="1" s="1"/>
  <c r="W35" i="1"/>
  <c r="V35" i="1"/>
  <c r="U35" i="1"/>
  <c r="T35" i="1"/>
  <c r="DD35" i="1"/>
  <c r="S35" i="1"/>
  <c r="R35" i="1"/>
  <c r="Q35" i="1"/>
  <c r="P35" i="1"/>
  <c r="DC35" i="1"/>
  <c r="O35" i="1"/>
  <c r="N35" i="1"/>
  <c r="M35" i="1"/>
  <c r="M33" i="1" s="1"/>
  <c r="L35" i="1"/>
  <c r="DB35" i="1"/>
  <c r="K35" i="1"/>
  <c r="J35" i="1"/>
  <c r="I35" i="1"/>
  <c r="H35" i="1"/>
  <c r="DA35" i="1"/>
  <c r="G35" i="1"/>
  <c r="F35" i="1"/>
  <c r="E35" i="1"/>
  <c r="D35" i="1"/>
  <c r="DV30" i="1"/>
  <c r="DU30" i="1"/>
  <c r="DT30" i="1"/>
  <c r="DU28" i="1"/>
  <c r="DW25" i="1"/>
  <c r="DU25" i="1"/>
  <c r="DT25" i="1"/>
  <c r="DW18" i="1"/>
  <c r="C42" i="225"/>
  <c r="U42" i="225" s="1"/>
  <c r="DV18" i="1"/>
  <c r="C54" i="225"/>
  <c r="W54" i="225" s="1"/>
  <c r="DU18" i="1"/>
  <c r="C68" i="225"/>
  <c r="W68" i="225" s="1"/>
  <c r="DW14" i="1"/>
  <c r="CK14" i="1"/>
  <c r="DV14" i="1"/>
  <c r="DT14" i="1"/>
  <c r="BZ13" i="1"/>
  <c r="BY13" i="1"/>
  <c r="BX13" i="1"/>
  <c r="BW13" i="1"/>
  <c r="BV13" i="1"/>
  <c r="BU13" i="1"/>
  <c r="BT13" i="1"/>
  <c r="BS13" i="1"/>
  <c r="BR13" i="1"/>
  <c r="BQ13" i="1"/>
  <c r="BP13" i="1"/>
  <c r="BO13" i="1"/>
  <c r="BN13" i="1"/>
  <c r="BM13" i="1"/>
  <c r="BL13" i="1"/>
  <c r="BK13" i="1"/>
  <c r="BJ13" i="1"/>
  <c r="BI13" i="1"/>
  <c r="BH13" i="1"/>
  <c r="BG13" i="1"/>
  <c r="BF13" i="1"/>
  <c r="BE13" i="1"/>
  <c r="BD13" i="1"/>
  <c r="BC13" i="1"/>
  <c r="BB13" i="1"/>
  <c r="BA13" i="1"/>
  <c r="AZ13" i="1"/>
  <c r="AY13" i="1"/>
  <c r="AX13" i="1"/>
  <c r="AW13" i="1"/>
  <c r="AV13" i="1"/>
  <c r="AU13" i="1"/>
  <c r="AT13" i="1"/>
  <c r="AS13" i="1"/>
  <c r="AR13" i="1"/>
  <c r="AQ13" i="1"/>
  <c r="AO13" i="1"/>
  <c r="AN13" i="1"/>
  <c r="AM13" i="1"/>
  <c r="AL13" i="1"/>
  <c r="AK13" i="1"/>
  <c r="AJ13" i="1"/>
  <c r="AI13" i="1"/>
  <c r="AH13" i="1"/>
  <c r="AG13" i="1"/>
  <c r="AF13" i="1"/>
  <c r="AE13" i="1"/>
  <c r="AD13" i="1"/>
  <c r="AC13" i="1"/>
  <c r="AB13" i="1"/>
  <c r="AA13" i="1"/>
  <c r="Z13" i="1"/>
  <c r="Y13" i="1"/>
  <c r="X13" i="1"/>
  <c r="W13" i="1"/>
  <c r="V13" i="1"/>
  <c r="U13" i="1"/>
  <c r="T13" i="1"/>
  <c r="S13" i="1"/>
  <c r="R13" i="1"/>
  <c r="Q13" i="1"/>
  <c r="P13" i="1"/>
  <c r="O13" i="1"/>
  <c r="N13" i="1"/>
  <c r="M13" i="1"/>
  <c r="L13" i="1"/>
  <c r="K13" i="1"/>
  <c r="J13" i="1"/>
  <c r="I13" i="1"/>
  <c r="H13" i="1"/>
  <c r="G13" i="1"/>
  <c r="F13" i="1"/>
  <c r="E13" i="1"/>
  <c r="D13" i="1"/>
  <c r="CQ13" i="1"/>
  <c r="CP13" i="1"/>
  <c r="CM13" i="1"/>
  <c r="CL13" i="1"/>
  <c r="CI13" i="1"/>
  <c r="CH13" i="1"/>
  <c r="BZ9" i="1"/>
  <c r="BZ10" i="1"/>
  <c r="BY9" i="1"/>
  <c r="BY10" i="1"/>
  <c r="BX9" i="1"/>
  <c r="BX10" i="1" s="1"/>
  <c r="BW9" i="1"/>
  <c r="BV9" i="1"/>
  <c r="BU9" i="1"/>
  <c r="BT9" i="1"/>
  <c r="BS9" i="1"/>
  <c r="BR9" i="1"/>
  <c r="BR10" i="1" s="1"/>
  <c r="BR15" i="1"/>
  <c r="BQ9" i="1"/>
  <c r="BQ10" i="1" s="1"/>
  <c r="BP9" i="1"/>
  <c r="BP10" i="1" s="1"/>
  <c r="BO9" i="1"/>
  <c r="BO15" i="1" s="1"/>
  <c r="BN9" i="1"/>
  <c r="BN10" i="1" s="1"/>
  <c r="BM9" i="1"/>
  <c r="BM10" i="1"/>
  <c r="BL9" i="1"/>
  <c r="BL10" i="1" s="1"/>
  <c r="BL15" i="1"/>
  <c r="BK9" i="1"/>
  <c r="BK15" i="1" s="1"/>
  <c r="BJ9" i="1"/>
  <c r="BJ15" i="1"/>
  <c r="BI9" i="1"/>
  <c r="BI15" i="1" s="1"/>
  <c r="BH9" i="1"/>
  <c r="BH15" i="1" s="1"/>
  <c r="BG9" i="1"/>
  <c r="BF9" i="1"/>
  <c r="BF10" i="1"/>
  <c r="BE9" i="1"/>
  <c r="BE10" i="1" s="1"/>
  <c r="BD9" i="1"/>
  <c r="BD10" i="1" s="1"/>
  <c r="BC9" i="1"/>
  <c r="BB9" i="1"/>
  <c r="BB10" i="1" s="1"/>
  <c r="BA9" i="1"/>
  <c r="BA10" i="1" s="1"/>
  <c r="AZ9" i="1"/>
  <c r="AY9" i="1"/>
  <c r="AX9" i="1"/>
  <c r="AW9" i="1"/>
  <c r="AV9" i="1"/>
  <c r="AU9" i="1"/>
  <c r="AU10" i="1" s="1"/>
  <c r="AT9" i="1"/>
  <c r="AT15" i="1" s="1"/>
  <c r="AT21" i="1" s="1"/>
  <c r="AT10" i="1"/>
  <c r="AS9" i="1"/>
  <c r="AR9" i="1"/>
  <c r="AQ9" i="1"/>
  <c r="AQ10" i="1" s="1"/>
  <c r="AO9" i="1"/>
  <c r="AO10" i="1"/>
  <c r="AN9" i="1"/>
  <c r="AN15" i="1" s="1"/>
  <c r="AM9" i="1"/>
  <c r="AL9" i="1"/>
  <c r="AL10" i="1" s="1"/>
  <c r="AK9" i="1"/>
  <c r="AK15" i="1" s="1"/>
  <c r="AK16" i="1"/>
  <c r="AJ9" i="1"/>
  <c r="AI9" i="1"/>
  <c r="AH9" i="1"/>
  <c r="AH10" i="1" s="1"/>
  <c r="AG9" i="1"/>
  <c r="AF9" i="1"/>
  <c r="AE9" i="1"/>
  <c r="AD9" i="1"/>
  <c r="AC9" i="1"/>
  <c r="AB9" i="1"/>
  <c r="AA9" i="1"/>
  <c r="Z9" i="1"/>
  <c r="Y9" i="1"/>
  <c r="Y15" i="1" s="1"/>
  <c r="X9" i="1"/>
  <c r="W9" i="1"/>
  <c r="V9" i="1"/>
  <c r="U9" i="1"/>
  <c r="T9" i="1"/>
  <c r="S9" i="1"/>
  <c r="R9" i="1"/>
  <c r="Q9" i="1"/>
  <c r="Q10" i="1"/>
  <c r="P9" i="1"/>
  <c r="O9" i="1"/>
  <c r="O10" i="1" s="1"/>
  <c r="N9" i="1"/>
  <c r="N15" i="1" s="1"/>
  <c r="M9" i="1"/>
  <c r="M15" i="1" s="1"/>
  <c r="L9" i="1"/>
  <c r="L15" i="1" s="1"/>
  <c r="K9" i="1"/>
  <c r="K15" i="1" s="1"/>
  <c r="K10" i="1"/>
  <c r="J9" i="1"/>
  <c r="J15" i="1" s="1"/>
  <c r="I9" i="1"/>
  <c r="H9" i="1"/>
  <c r="H15" i="1" s="1"/>
  <c r="G9" i="1"/>
  <c r="F9" i="1"/>
  <c r="E9" i="1"/>
  <c r="D9" i="1"/>
  <c r="D15" i="1"/>
  <c r="DW6" i="1"/>
  <c r="DV6" i="1"/>
  <c r="DV101" i="1"/>
  <c r="DV96" i="1" s="1"/>
  <c r="DU6" i="1"/>
  <c r="DU7" i="1" s="1"/>
  <c r="C64" i="225"/>
  <c r="DT6" i="1"/>
  <c r="DT101" i="1"/>
  <c r="DT95" i="1" s="1"/>
  <c r="G33" i="222"/>
  <c r="CR129" i="1"/>
  <c r="CR98" i="1" s="1"/>
  <c r="DV25" i="1"/>
  <c r="CG107" i="1"/>
  <c r="CG74" i="1"/>
  <c r="CG79" i="1" s="1"/>
  <c r="DV28" i="1"/>
  <c r="CH107" i="1"/>
  <c r="BT87" i="1"/>
  <c r="CH74" i="1"/>
  <c r="CH79" i="1" s="1"/>
  <c r="CM139" i="1"/>
  <c r="DV139" i="1" s="1"/>
  <c r="CC107" i="1"/>
  <c r="CC74" i="1"/>
  <c r="CC79" i="1" s="1"/>
  <c r="CR87" i="1"/>
  <c r="CJ107" i="1"/>
  <c r="CR13" i="1"/>
  <c r="CN13" i="1"/>
  <c r="DT28" i="1"/>
  <c r="CG87" i="1"/>
  <c r="BX87" i="1"/>
  <c r="CK107" i="1"/>
  <c r="CL19" i="1" s="1"/>
  <c r="CB74" i="1"/>
  <c r="CB79" i="1" s="1"/>
  <c r="CB107" i="1"/>
  <c r="CC19" i="1" s="1"/>
  <c r="CB109" i="1"/>
  <c r="BT107" i="1"/>
  <c r="BT74" i="1"/>
  <c r="BT79" i="1" s="1"/>
  <c r="BT90" i="1" s="1"/>
  <c r="CI87" i="1"/>
  <c r="BY87" i="1"/>
  <c r="CL107" i="1"/>
  <c r="BU107" i="1"/>
  <c r="BU74" i="1"/>
  <c r="CA87" i="1"/>
  <c r="BV107" i="1"/>
  <c r="BV109" i="1"/>
  <c r="BV74" i="1"/>
  <c r="BV79" i="1" s="1"/>
  <c r="CD87" i="1"/>
  <c r="CF131" i="1"/>
  <c r="CF156" i="1" s="1"/>
  <c r="CB131" i="1"/>
  <c r="CB156" i="1" s="1"/>
  <c r="CJ131" i="1"/>
  <c r="CJ156" i="1"/>
  <c r="CJ157" i="1" s="1"/>
  <c r="BX107" i="1"/>
  <c r="BX74" i="1"/>
  <c r="BX79" i="1" s="1"/>
  <c r="BY107" i="1"/>
  <c r="BY109" i="1" s="1"/>
  <c r="BY74" i="1"/>
  <c r="BY79" i="1" s="1"/>
  <c r="O23" i="225"/>
  <c r="O24" i="225"/>
  <c r="K25" i="225"/>
  <c r="K39" i="225"/>
  <c r="K23" i="225"/>
  <c r="O22" i="225"/>
  <c r="O51" i="225"/>
  <c r="O57" i="225"/>
  <c r="K57" i="225"/>
  <c r="K103" i="225"/>
  <c r="O95" i="225"/>
  <c r="G102" i="225"/>
  <c r="G103" i="225"/>
  <c r="G57" i="225"/>
  <c r="G83" i="225"/>
  <c r="K83" i="225"/>
  <c r="G64" i="225"/>
  <c r="G98" i="225"/>
  <c r="G75" i="225"/>
  <c r="K75" i="225"/>
  <c r="K51" i="225"/>
  <c r="K65" i="225"/>
  <c r="DX70" i="1"/>
  <c r="DZ70" i="1" s="1"/>
  <c r="EA70" i="1" s="1"/>
  <c r="DD9" i="1"/>
  <c r="DD10" i="1" s="1"/>
  <c r="CO13" i="1"/>
  <c r="G84" i="225"/>
  <c r="BK74" i="1"/>
  <c r="BK79" i="1"/>
  <c r="BK90" i="1" s="1"/>
  <c r="BK107" i="1"/>
  <c r="BK109" i="1" s="1"/>
  <c r="CD117" i="1"/>
  <c r="Q71" i="225"/>
  <c r="G69" i="225"/>
  <c r="H21" i="222"/>
  <c r="G58" i="225"/>
  <c r="O65" i="225"/>
  <c r="M99" i="225"/>
  <c r="G100" i="225"/>
  <c r="E71" i="225"/>
  <c r="CT9" i="1"/>
  <c r="K97" i="225"/>
  <c r="K44" i="225"/>
  <c r="O55" i="225"/>
  <c r="G50" i="225"/>
  <c r="Q38" i="225"/>
  <c r="O36" i="225"/>
  <c r="CL117" i="1"/>
  <c r="CM117" i="1" s="1"/>
  <c r="CM164" i="1" s="1"/>
  <c r="G27" i="225"/>
  <c r="K27" i="225"/>
  <c r="O70" i="225"/>
  <c r="O64" i="225"/>
  <c r="K72" i="225"/>
  <c r="K36" i="225"/>
  <c r="DU140" i="1"/>
  <c r="DJ134" i="1"/>
  <c r="DI9" i="1"/>
  <c r="DI15" i="1" s="1"/>
  <c r="DI10" i="1"/>
  <c r="AU144" i="1"/>
  <c r="DK144" i="1" s="1"/>
  <c r="CS145" i="1"/>
  <c r="DU45" i="1"/>
  <c r="DR9" i="1"/>
  <c r="DR15" i="1" s="1"/>
  <c r="DL28" i="1"/>
  <c r="H16" i="222"/>
  <c r="DC146" i="1"/>
  <c r="DJ6" i="1"/>
  <c r="DB13" i="1"/>
  <c r="DK13" i="1"/>
  <c r="DL13" i="1"/>
  <c r="DS101" i="1"/>
  <c r="DL9" i="1"/>
  <c r="DL10" i="1" s="1"/>
  <c r="DX14" i="1"/>
  <c r="DZ14" i="1" s="1"/>
  <c r="DC15" i="1"/>
  <c r="DC21" i="1"/>
  <c r="DC13" i="1"/>
  <c r="AP13" i="1"/>
  <c r="CC15" i="1"/>
  <c r="DQ73" i="1"/>
  <c r="DQ74" i="1" s="1"/>
  <c r="DQ79" i="1" s="1"/>
  <c r="DQ107" i="1"/>
  <c r="CT95" i="1"/>
  <c r="CK164" i="1"/>
  <c r="AR95" i="1"/>
  <c r="DI101" i="1"/>
  <c r="DI95" i="1" s="1"/>
  <c r="DI96" i="1"/>
  <c r="DK9" i="1"/>
  <c r="DK10" i="1" s="1"/>
  <c r="DQ9" i="1"/>
  <c r="DQ10" i="1"/>
  <c r="DK97" i="1"/>
  <c r="DS12" i="1"/>
  <c r="DS13" i="1" s="1"/>
  <c r="DR102" i="1"/>
  <c r="DR97" i="1" s="1"/>
  <c r="DT117" i="1"/>
  <c r="C81" i="225"/>
  <c r="V81" i="225" s="1"/>
  <c r="AP9" i="1"/>
  <c r="DC101" i="1"/>
  <c r="DC95" i="1" s="1"/>
  <c r="DC96" i="1"/>
  <c r="DT145" i="1"/>
  <c r="BB15" i="1"/>
  <c r="BB21" i="1"/>
  <c r="BK10" i="1"/>
  <c r="DD146" i="1"/>
  <c r="BA136" i="1"/>
  <c r="AT142" i="1"/>
  <c r="AU142" i="1" s="1"/>
  <c r="DK142" i="1" s="1"/>
  <c r="AM127" i="1"/>
  <c r="DI127" i="1"/>
  <c r="BS148" i="1"/>
  <c r="DQ148" i="1"/>
  <c r="DP95" i="1"/>
  <c r="CS136" i="1"/>
  <c r="AO96" i="1"/>
  <c r="AF146" i="1"/>
  <c r="AH117" i="1"/>
  <c r="N10" i="1"/>
  <c r="AG96" i="1"/>
  <c r="DA136" i="1"/>
  <c r="DB146" i="1"/>
  <c r="CO97" i="1"/>
  <c r="DR13" i="1"/>
  <c r="DV107" i="1"/>
  <c r="DW19" i="1" s="1"/>
  <c r="DW63" i="1"/>
  <c r="DW68" i="1" s="1"/>
  <c r="AQ90" i="1"/>
  <c r="AQ92" i="1"/>
  <c r="CE19" i="1"/>
  <c r="C78" i="225"/>
  <c r="CG97" i="1"/>
  <c r="DD63" i="1"/>
  <c r="DD68" i="1" s="1"/>
  <c r="CS163" i="1"/>
  <c r="AQ96" i="1"/>
  <c r="CL163" i="1"/>
  <c r="DB101" i="1"/>
  <c r="DB162" i="1" s="1"/>
  <c r="CJ97" i="1"/>
  <c r="DQ95" i="1"/>
  <c r="DH84" i="1"/>
  <c r="DH87" i="1"/>
  <c r="H10" i="1"/>
  <c r="Z117" i="1"/>
  <c r="BD15" i="1"/>
  <c r="BD21" i="1" s="1"/>
  <c r="DC74" i="1"/>
  <c r="DC79" i="1"/>
  <c r="DC90" i="1" s="1"/>
  <c r="AD96" i="1"/>
  <c r="AE19" i="1"/>
  <c r="O15" i="1"/>
  <c r="AU145" i="1"/>
  <c r="DK145" i="1"/>
  <c r="O162" i="1"/>
  <c r="BP15" i="1"/>
  <c r="DM28" i="1"/>
  <c r="DU23" i="1"/>
  <c r="C70" i="225" s="1"/>
  <c r="W70" i="225" s="1"/>
  <c r="AQ125" i="1"/>
  <c r="DJ125" i="1"/>
  <c r="DJ63" i="1"/>
  <c r="DJ68" i="1" s="1"/>
  <c r="AJ90" i="1"/>
  <c r="AJ92" i="1" s="1"/>
  <c r="AR90" i="1"/>
  <c r="AR92" i="1" s="1"/>
  <c r="DE107" i="1"/>
  <c r="BH146" i="1"/>
  <c r="BJ139" i="1"/>
  <c r="BK139" i="1" s="1"/>
  <c r="DO139" i="1" s="1"/>
  <c r="DM36" i="1"/>
  <c r="DQ82" i="1"/>
  <c r="CM134" i="1"/>
  <c r="DV134" i="1" s="1"/>
  <c r="BO133" i="1"/>
  <c r="Q15" i="1"/>
  <c r="DI36" i="1"/>
  <c r="BI10" i="1"/>
  <c r="CK138" i="1"/>
  <c r="CT163" i="1"/>
  <c r="BY15" i="1"/>
  <c r="CQ9" i="1"/>
  <c r="CQ10" i="1" s="1"/>
  <c r="CR97" i="1"/>
  <c r="CH97" i="1"/>
  <c r="AQ141" i="1"/>
  <c r="DJ141" i="1" s="1"/>
  <c r="CT97" i="1"/>
  <c r="BG142" i="1"/>
  <c r="DN142" i="1" s="1"/>
  <c r="CD96" i="1"/>
  <c r="Z123" i="1"/>
  <c r="AA123" i="1" s="1"/>
  <c r="DF123" i="1"/>
  <c r="AQ138" i="1"/>
  <c r="DJ138" i="1"/>
  <c r="CL96" i="1"/>
  <c r="DE95" i="1"/>
  <c r="AI90" i="1"/>
  <c r="AI92" i="1" s="1"/>
  <c r="DX47" i="1"/>
  <c r="CB97" i="1"/>
  <c r="DH13" i="1"/>
  <c r="DP13" i="1"/>
  <c r="DQ28" i="1"/>
  <c r="DV20" i="1"/>
  <c r="DU20" i="1"/>
  <c r="DT20" i="1"/>
  <c r="CS164" i="1"/>
  <c r="AU118" i="1"/>
  <c r="DK118" i="1"/>
  <c r="CI96" i="1"/>
  <c r="DQ135" i="1"/>
  <c r="DP85" i="1"/>
  <c r="CK97" i="1"/>
  <c r="BT146" i="1"/>
  <c r="AK138" i="1"/>
  <c r="AK146" i="1" s="1"/>
  <c r="AA95" i="1"/>
  <c r="DU12" i="1"/>
  <c r="DU13" i="1" s="1"/>
  <c r="DV8" i="1"/>
  <c r="CI133" i="1"/>
  <c r="DU133" i="1"/>
  <c r="CA96" i="1"/>
  <c r="CH9" i="1"/>
  <c r="DI87" i="1"/>
  <c r="BS140" i="1"/>
  <c r="DQ140" i="1" s="1"/>
  <c r="AY139" i="1"/>
  <c r="DL139" i="1"/>
  <c r="DE9" i="1"/>
  <c r="DE15" i="1"/>
  <c r="CM9" i="1"/>
  <c r="CM10" i="1" s="1"/>
  <c r="DU116" i="1"/>
  <c r="DE13" i="1"/>
  <c r="DN87" i="1"/>
  <c r="CQ96" i="1"/>
  <c r="BW47" i="1"/>
  <c r="BW49" i="1"/>
  <c r="CI9" i="1"/>
  <c r="CI97" i="1"/>
  <c r="CD97" i="1"/>
  <c r="P96" i="1"/>
  <c r="AX142" i="1"/>
  <c r="AY142" i="1"/>
  <c r="DL142" i="1" s="1"/>
  <c r="BR145" i="1"/>
  <c r="DQ145" i="1" s="1"/>
  <c r="BS145" i="1"/>
  <c r="V162" i="1"/>
  <c r="V96" i="1"/>
  <c r="BN96" i="1"/>
  <c r="BN162" i="1"/>
  <c r="BH51" i="1"/>
  <c r="BH52" i="1" s="1"/>
  <c r="P95" i="1"/>
  <c r="DL63" i="1"/>
  <c r="DL68" i="1"/>
  <c r="BW10" i="1"/>
  <c r="BW15" i="1"/>
  <c r="BW100" i="229" s="1"/>
  <c r="BW98" i="229" s="1"/>
  <c r="DF101" i="1"/>
  <c r="DF96" i="1" s="1"/>
  <c r="DF13" i="1"/>
  <c r="BW163" i="1"/>
  <c r="DR117" i="1"/>
  <c r="DR163" i="1"/>
  <c r="BH16" i="1"/>
  <c r="BN148" i="1"/>
  <c r="BO148" i="1"/>
  <c r="DP148" i="1"/>
  <c r="X162" i="1"/>
  <c r="X95" i="1"/>
  <c r="BH96" i="1"/>
  <c r="BH95" i="1"/>
  <c r="CP127" i="1"/>
  <c r="CQ127" i="1"/>
  <c r="DJ74" i="1"/>
  <c r="DJ79" i="1"/>
  <c r="DW101" i="1"/>
  <c r="DW96" i="1" s="1"/>
  <c r="C36" i="225"/>
  <c r="CE97" i="1"/>
  <c r="CB9" i="1"/>
  <c r="CB15" i="1" s="1"/>
  <c r="CC97" i="1"/>
  <c r="BT10" i="1"/>
  <c r="BT15" i="1"/>
  <c r="BT100" i="229"/>
  <c r="AU126" i="1"/>
  <c r="DK126" i="1"/>
  <c r="BP162" i="1"/>
  <c r="BP96" i="1"/>
  <c r="DF9" i="1"/>
  <c r="CT162" i="1"/>
  <c r="BH162" i="1"/>
  <c r="BV15" i="1"/>
  <c r="BV100" i="229" s="1"/>
  <c r="BV10" i="1"/>
  <c r="AA143" i="1"/>
  <c r="DF143" i="1"/>
  <c r="DV23" i="1"/>
  <c r="C56" i="225"/>
  <c r="W56" i="225" s="1"/>
  <c r="DT23" i="1"/>
  <c r="C84" i="225" s="1"/>
  <c r="U84" i="225" s="1"/>
  <c r="AF90" i="1"/>
  <c r="BV127" i="1"/>
  <c r="DR127" i="1" s="1"/>
  <c r="BW127" i="1"/>
  <c r="BM74" i="1"/>
  <c r="BM79" i="1" s="1"/>
  <c r="BM90" i="1" s="1"/>
  <c r="BM92" i="1" s="1"/>
  <c r="DV12" i="1"/>
  <c r="BS90" i="1"/>
  <c r="BQ136" i="1"/>
  <c r="DC97" i="1"/>
  <c r="BK28" i="1"/>
  <c r="DO28" i="1" s="1"/>
  <c r="DR28" i="1"/>
  <c r="AI118" i="1"/>
  <c r="DH118" i="1"/>
  <c r="BC127" i="1"/>
  <c r="DM127" i="1"/>
  <c r="AK10" i="1"/>
  <c r="BC135" i="1"/>
  <c r="DM135" i="1" s="1"/>
  <c r="DV127" i="1"/>
  <c r="Y146" i="1"/>
  <c r="BG138" i="1"/>
  <c r="DN138" i="1"/>
  <c r="CF97" i="1"/>
  <c r="D10" i="1"/>
  <c r="Z139" i="1"/>
  <c r="AA139" i="1" s="1"/>
  <c r="DF139" i="1"/>
  <c r="L10" i="1"/>
  <c r="DV87" i="1"/>
  <c r="DV108" i="1" s="1"/>
  <c r="BL90" i="1"/>
  <c r="DO119" i="1"/>
  <c r="BI136" i="1"/>
  <c r="BY136" i="1"/>
  <c r="DT125" i="1"/>
  <c r="BN15" i="1"/>
  <c r="CK136" i="1"/>
  <c r="Z138" i="1"/>
  <c r="AA138" i="1" s="1"/>
  <c r="BS107" i="1"/>
  <c r="BS109" i="1"/>
  <c r="BJ133" i="1"/>
  <c r="BK133" i="1"/>
  <c r="BK162" i="1" s="1"/>
  <c r="BZ133" i="1"/>
  <c r="CA133" i="1" s="1"/>
  <c r="AX133" i="1"/>
  <c r="CC164" i="1"/>
  <c r="J10" i="1"/>
  <c r="BY90" i="1"/>
  <c r="CH90" i="1"/>
  <c r="CH92" i="1" s="1"/>
  <c r="BO10" i="1"/>
  <c r="DS109" i="1"/>
  <c r="BM107" i="1"/>
  <c r="DD164" i="1"/>
  <c r="DE146" i="1"/>
  <c r="DF36" i="1"/>
  <c r="BO145" i="1"/>
  <c r="DP145" i="1" s="1"/>
  <c r="CA135" i="1"/>
  <c r="DS135" i="1"/>
  <c r="AU138" i="1"/>
  <c r="DK138" i="1"/>
  <c r="CO129" i="1"/>
  <c r="CO98" i="1" s="1"/>
  <c r="BU136" i="1"/>
  <c r="Y10" i="1"/>
  <c r="AN10" i="1"/>
  <c r="BX90" i="1"/>
  <c r="DA74" i="1"/>
  <c r="DA79" i="1" s="1"/>
  <c r="DA90" i="1" s="1"/>
  <c r="DN36" i="1"/>
  <c r="AQ127" i="1"/>
  <c r="DJ127" i="1"/>
  <c r="AO15" i="1"/>
  <c r="CC129" i="1"/>
  <c r="CC98" i="1" s="1"/>
  <c r="BP146" i="1"/>
  <c r="CB136" i="1"/>
  <c r="C50" i="225"/>
  <c r="V50" i="225" s="1"/>
  <c r="CK109" i="1"/>
  <c r="BZ109" i="1"/>
  <c r="DH36" i="1"/>
  <c r="DL36" i="1"/>
  <c r="DP36" i="1"/>
  <c r="DA107" i="1"/>
  <c r="DP74" i="1"/>
  <c r="DP79" i="1" s="1"/>
  <c r="DW74" i="1"/>
  <c r="DW79" i="1" s="1"/>
  <c r="CN90" i="1"/>
  <c r="CN92" i="1"/>
  <c r="DE97" i="1"/>
  <c r="BF15" i="1"/>
  <c r="AW164" i="1"/>
  <c r="DJ36" i="1"/>
  <c r="AA128" i="1"/>
  <c r="DF128" i="1" s="1"/>
  <c r="AP136" i="1"/>
  <c r="DK134" i="1"/>
  <c r="L92" i="1"/>
  <c r="S92" i="1"/>
  <c r="DB74" i="1"/>
  <c r="DB79" i="1"/>
  <c r="DB90" i="1" s="1"/>
  <c r="DD74" i="1"/>
  <c r="DS74" i="1"/>
  <c r="DS79" i="1" s="1"/>
  <c r="CC90" i="1"/>
  <c r="BQ128" i="1"/>
  <c r="BL21" i="1"/>
  <c r="DF84" i="1"/>
  <c r="AA87" i="1"/>
  <c r="BQ164" i="1"/>
  <c r="BQ163" i="1"/>
  <c r="AP118" i="1"/>
  <c r="AX118" i="1"/>
  <c r="AY118" i="1"/>
  <c r="BW118" i="1"/>
  <c r="DR118" i="1" s="1"/>
  <c r="AY120" i="1"/>
  <c r="DL120" i="1" s="1"/>
  <c r="BF117" i="1"/>
  <c r="BE163" i="1"/>
  <c r="BE164" i="1"/>
  <c r="BN123" i="1"/>
  <c r="DP123" i="1" s="1"/>
  <c r="BO123" i="1"/>
  <c r="BD96" i="1"/>
  <c r="BD162" i="1"/>
  <c r="BD95" i="1"/>
  <c r="BV136" i="1"/>
  <c r="BW135" i="1"/>
  <c r="DE96" i="1"/>
  <c r="DE74" i="1"/>
  <c r="DE79" i="1"/>
  <c r="DO74" i="1"/>
  <c r="DO79" i="1"/>
  <c r="DO90" i="1" s="1"/>
  <c r="DV74" i="1"/>
  <c r="DV79" i="1"/>
  <c r="CN163" i="1"/>
  <c r="CC136" i="1"/>
  <c r="CD135" i="1"/>
  <c r="DK74" i="1"/>
  <c r="BA145" i="1"/>
  <c r="BA146" i="1" s="1"/>
  <c r="BB145" i="1"/>
  <c r="AZ146" i="1"/>
  <c r="CL148" i="1"/>
  <c r="CM148" i="1" s="1"/>
  <c r="DV148" i="1"/>
  <c r="AC96" i="1"/>
  <c r="AC95" i="1"/>
  <c r="CK96" i="1"/>
  <c r="CK95" i="1"/>
  <c r="CG47" i="1"/>
  <c r="CI47" i="1"/>
  <c r="CI49" i="1" s="1"/>
  <c r="CH143" i="1"/>
  <c r="O96" i="1"/>
  <c r="CK162" i="1"/>
  <c r="AB10" i="1"/>
  <c r="AB15" i="1"/>
  <c r="AI10" i="1"/>
  <c r="AI15" i="1"/>
  <c r="DD36" i="1"/>
  <c r="DD33" i="1"/>
  <c r="BI129" i="1"/>
  <c r="BI98" i="1" s="1"/>
  <c r="BJ126" i="1"/>
  <c r="BK126" i="1"/>
  <c r="DO126" i="1"/>
  <c r="DA33" i="1"/>
  <c r="DA36" i="1"/>
  <c r="AX135" i="1"/>
  <c r="AW136" i="1"/>
  <c r="AM96" i="1"/>
  <c r="AM95" i="1"/>
  <c r="BV89" i="1"/>
  <c r="BW89" i="1"/>
  <c r="BU78" i="1"/>
  <c r="BU79" i="1" s="1"/>
  <c r="BZ15" i="1"/>
  <c r="CQ126" i="1"/>
  <c r="DW126" i="1"/>
  <c r="BC133" i="1"/>
  <c r="G15" i="1"/>
  <c r="G10" i="1"/>
  <c r="BM164" i="1"/>
  <c r="BN117" i="1"/>
  <c r="CD123" i="1"/>
  <c r="CC131" i="1"/>
  <c r="CC156" i="1" s="1"/>
  <c r="AD127" i="1"/>
  <c r="AC146" i="1"/>
  <c r="AD138" i="1"/>
  <c r="AE138" i="1"/>
  <c r="DG138" i="1" s="1"/>
  <c r="BE146" i="1"/>
  <c r="BY145" i="1"/>
  <c r="BX146" i="1"/>
  <c r="AH148" i="1"/>
  <c r="AJ10" i="1"/>
  <c r="AJ15" i="1"/>
  <c r="AO162" i="1"/>
  <c r="AO136" i="1"/>
  <c r="DG142" i="1"/>
  <c r="AQ15" i="1"/>
  <c r="DQ144" i="1"/>
  <c r="CE95" i="1"/>
  <c r="DP107" i="1"/>
  <c r="BP19" i="1" s="1"/>
  <c r="AL117" i="1"/>
  <c r="AK163" i="1"/>
  <c r="BN136" i="1"/>
  <c r="AT127" i="1"/>
  <c r="AU127" i="1"/>
  <c r="DK127" i="1" s="1"/>
  <c r="AY96" i="1"/>
  <c r="AY95" i="1"/>
  <c r="BM15" i="1"/>
  <c r="CQ90" i="1"/>
  <c r="CQ92" i="1"/>
  <c r="DM107" i="1"/>
  <c r="DJ87" i="1"/>
  <c r="DO87" i="1"/>
  <c r="DT87" i="1"/>
  <c r="DT108" i="1"/>
  <c r="DU87" i="1"/>
  <c r="DU108" i="1"/>
  <c r="AD123" i="1"/>
  <c r="DT45" i="1"/>
  <c r="DE162" i="1"/>
  <c r="DS45" i="1"/>
  <c r="DS28" i="1"/>
  <c r="DI13" i="1"/>
  <c r="DC36" i="1"/>
  <c r="DC33" i="1"/>
  <c r="DC34" i="1" s="1"/>
  <c r="DG36" i="1"/>
  <c r="DK36" i="1"/>
  <c r="DO36" i="1"/>
  <c r="AE90" i="1"/>
  <c r="BD90" i="1"/>
  <c r="BD92" i="1"/>
  <c r="DU101" i="1"/>
  <c r="DU95" i="1" s="1"/>
  <c r="DS63" i="1"/>
  <c r="DS68" i="1"/>
  <c r="DU63" i="1"/>
  <c r="DU68" i="1"/>
  <c r="DH63" i="1"/>
  <c r="DH68" i="1" s="1"/>
  <c r="I92" i="1"/>
  <c r="DN74" i="1"/>
  <c r="DN79" i="1" s="1"/>
  <c r="DN90" i="1" s="1"/>
  <c r="BA129" i="1"/>
  <c r="BA98" i="1" s="1"/>
  <c r="BB162" i="1"/>
  <c r="DB36" i="1"/>
  <c r="DB33" i="1"/>
  <c r="DQ35" i="1"/>
  <c r="BT35" i="1"/>
  <c r="BT36" i="1" s="1"/>
  <c r="BU35" i="1"/>
  <c r="BS33" i="1"/>
  <c r="DQ37" i="1"/>
  <c r="BS36" i="1"/>
  <c r="E92" i="1"/>
  <c r="M36" i="1"/>
  <c r="CL33" i="1"/>
  <c r="CL36" i="1"/>
  <c r="CB36" i="1"/>
  <c r="CB33" i="1"/>
  <c r="CB169" i="1"/>
  <c r="CO33" i="1"/>
  <c r="CO36" i="1"/>
  <c r="CF36" i="1"/>
  <c r="CF33" i="1"/>
  <c r="E33" i="1"/>
  <c r="E36" i="1"/>
  <c r="R33" i="1"/>
  <c r="R36" i="1"/>
  <c r="CJ36" i="1"/>
  <c r="CJ33" i="1"/>
  <c r="F36" i="1"/>
  <c r="F33" i="1"/>
  <c r="CE169" i="1"/>
  <c r="O36" i="1"/>
  <c r="O33" i="1"/>
  <c r="CR33" i="1"/>
  <c r="CR36" i="1"/>
  <c r="CH36" i="1"/>
  <c r="CH33" i="1"/>
  <c r="CD169" i="1"/>
  <c r="CD33" i="1"/>
  <c r="CD36" i="1"/>
  <c r="I36" i="1"/>
  <c r="I33" i="1"/>
  <c r="V36" i="1"/>
  <c r="V33" i="1"/>
  <c r="CS169" i="1"/>
  <c r="CS36" i="1"/>
  <c r="CS33" i="1"/>
  <c r="CK169" i="1"/>
  <c r="CK36" i="1"/>
  <c r="CK33" i="1"/>
  <c r="J33" i="1"/>
  <c r="J34" i="1" s="1"/>
  <c r="J36" i="1"/>
  <c r="P33" i="1"/>
  <c r="P36" i="1"/>
  <c r="W36" i="1"/>
  <c r="W33" i="1"/>
  <c r="D33" i="1"/>
  <c r="E34" i="1" s="1"/>
  <c r="D36" i="1"/>
  <c r="K33" i="1"/>
  <c r="K36" i="1"/>
  <c r="Q36" i="1"/>
  <c r="Q33" i="1"/>
  <c r="CG169" i="1"/>
  <c r="CG33" i="1"/>
  <c r="CG34" i="1" s="1"/>
  <c r="CG36" i="1"/>
  <c r="BW19" i="1"/>
  <c r="DT35" i="1"/>
  <c r="M19" i="1"/>
  <c r="BB138" i="1"/>
  <c r="AX144" i="1"/>
  <c r="AY144" i="1" s="1"/>
  <c r="DL144" i="1"/>
  <c r="AW146" i="1"/>
  <c r="BZ144" i="1"/>
  <c r="CA144" i="1" s="1"/>
  <c r="AD148" i="1"/>
  <c r="AE148" i="1"/>
  <c r="AS146" i="1"/>
  <c r="BS127" i="1"/>
  <c r="DQ127" i="1" s="1"/>
  <c r="I10" i="1"/>
  <c r="I15" i="1"/>
  <c r="AX125" i="1"/>
  <c r="AU141" i="1"/>
  <c r="DK141" i="1" s="1"/>
  <c r="AH125" i="1"/>
  <c r="AI125" i="1" s="1"/>
  <c r="AG129" i="1"/>
  <c r="AG98" i="1" s="1"/>
  <c r="CL125" i="1"/>
  <c r="CM125" i="1"/>
  <c r="DO148" i="1"/>
  <c r="DP139" i="1"/>
  <c r="AH128" i="1"/>
  <c r="AT125" i="1"/>
  <c r="AU125" i="1" s="1"/>
  <c r="AS129" i="1"/>
  <c r="AS98" i="1" s="1"/>
  <c r="Z95" i="1"/>
  <c r="Z96" i="1"/>
  <c r="DO143" i="1"/>
  <c r="DP128" i="1"/>
  <c r="CL143" i="1"/>
  <c r="CM143" i="1"/>
  <c r="DV143" i="1" s="1"/>
  <c r="DM74" i="1"/>
  <c r="DM79" i="1"/>
  <c r="BJ117" i="1"/>
  <c r="BI164" i="1"/>
  <c r="BI163" i="1"/>
  <c r="AD125" i="1"/>
  <c r="AE125" i="1"/>
  <c r="DG125" i="1" s="1"/>
  <c r="BS126" i="1"/>
  <c r="DQ126" i="1"/>
  <c r="CE164" i="1"/>
  <c r="DI107" i="1"/>
  <c r="AL128" i="1"/>
  <c r="AL129" i="1" s="1"/>
  <c r="AL98" i="1" s="1"/>
  <c r="AK129" i="1"/>
  <c r="AK98" i="1" s="1"/>
  <c r="BF126" i="1"/>
  <c r="BE129" i="1"/>
  <c r="BE98" i="1" s="1"/>
  <c r="BN138" i="1"/>
  <c r="BN146" i="1" s="1"/>
  <c r="CG164" i="1"/>
  <c r="CH117" i="1"/>
  <c r="CH164" i="1" s="1"/>
  <c r="CI117" i="1"/>
  <c r="DT126" i="1"/>
  <c r="BY129" i="1"/>
  <c r="BY98" i="1" s="1"/>
  <c r="BB125" i="1"/>
  <c r="BB129" i="1"/>
  <c r="BB98" i="1" s="1"/>
  <c r="M10" i="1"/>
  <c r="CO146" i="1"/>
  <c r="BJ10" i="1"/>
  <c r="AG164" i="1"/>
  <c r="BG134" i="1"/>
  <c r="DN134" i="1" s="1"/>
  <c r="BM146" i="1"/>
  <c r="BH10" i="1"/>
  <c r="DI74" i="1"/>
  <c r="DI79" i="1" s="1"/>
  <c r="AL123" i="1"/>
  <c r="AM123" i="1" s="1"/>
  <c r="DI123" i="1"/>
  <c r="BR123" i="1"/>
  <c r="BS123" i="1"/>
  <c r="Y129" i="1"/>
  <c r="Y98" i="1" s="1"/>
  <c r="Z126" i="1"/>
  <c r="AH126" i="1"/>
  <c r="AX126" i="1"/>
  <c r="AY126" i="1"/>
  <c r="DL126" i="1"/>
  <c r="AD134" i="1"/>
  <c r="DG134" i="1" s="1"/>
  <c r="AE134" i="1"/>
  <c r="DR133" i="1"/>
  <c r="BW164" i="1"/>
  <c r="BF141" i="1"/>
  <c r="BG141" i="1"/>
  <c r="CT164" i="1"/>
  <c r="AQ133" i="1"/>
  <c r="AQ162" i="1" s="1"/>
  <c r="DD15" i="1"/>
  <c r="DD16" i="1"/>
  <c r="DK87" i="1"/>
  <c r="DF119" i="1"/>
  <c r="BB118" i="1"/>
  <c r="DM118" i="1" s="1"/>
  <c r="BC118" i="1"/>
  <c r="BJ125" i="1"/>
  <c r="I162" i="1"/>
  <c r="I95" i="1"/>
  <c r="I96" i="1"/>
  <c r="BI96" i="1"/>
  <c r="BI162" i="1"/>
  <c r="BI95" i="1"/>
  <c r="BY96" i="1"/>
  <c r="BY162" i="1"/>
  <c r="CG146" i="1"/>
  <c r="CF146" i="1"/>
  <c r="CF150" i="1" s="1"/>
  <c r="DW45" i="1"/>
  <c r="DX45" i="1"/>
  <c r="DH101" i="1"/>
  <c r="DH9" i="1"/>
  <c r="DH15" i="1" s="1"/>
  <c r="DH21" i="1"/>
  <c r="DF74" i="1"/>
  <c r="DF79" i="1"/>
  <c r="DF107" i="1"/>
  <c r="AB19" i="1"/>
  <c r="DW138" i="1"/>
  <c r="BO140" i="1"/>
  <c r="AG162" i="1"/>
  <c r="BJ21" i="1"/>
  <c r="BJ16" i="1"/>
  <c r="BQ15" i="1"/>
  <c r="BX15" i="1"/>
  <c r="BX51" i="1" s="1"/>
  <c r="BX100" i="229"/>
  <c r="DD163" i="1"/>
  <c r="BR117" i="1"/>
  <c r="Z162" i="1"/>
  <c r="AQ143" i="1"/>
  <c r="DJ143" i="1" s="1"/>
  <c r="AD15" i="1"/>
  <c r="AD21" i="1"/>
  <c r="AD24" i="1" s="1"/>
  <c r="AD10" i="1"/>
  <c r="DG74" i="1"/>
  <c r="DG79" i="1" s="1"/>
  <c r="DL74" i="1"/>
  <c r="DL79" i="1"/>
  <c r="DL90" i="1" s="1"/>
  <c r="DL107" i="1"/>
  <c r="DL109" i="1"/>
  <c r="AP117" i="1"/>
  <c r="AO163" i="1"/>
  <c r="BO118" i="1"/>
  <c r="DP118" i="1" s="1"/>
  <c r="AA135" i="1"/>
  <c r="DF135" i="1" s="1"/>
  <c r="CO136" i="1"/>
  <c r="CO164" i="1"/>
  <c r="BB139" i="1"/>
  <c r="BC139" i="1"/>
  <c r="DM139" i="1" s="1"/>
  <c r="M96" i="1"/>
  <c r="M95" i="1"/>
  <c r="M162" i="1"/>
  <c r="AV10" i="1"/>
  <c r="AV15" i="1"/>
  <c r="AV21" i="1"/>
  <c r="AV26" i="1" s="1"/>
  <c r="AU90" i="1"/>
  <c r="AP123" i="1"/>
  <c r="DJ123" i="1" s="1"/>
  <c r="AQ123" i="1"/>
  <c r="BZ123" i="1"/>
  <c r="CA123" i="1"/>
  <c r="DS123" i="1"/>
  <c r="Z127" i="1"/>
  <c r="DF127" i="1" s="1"/>
  <c r="AA127" i="1"/>
  <c r="DZ47" i="1"/>
  <c r="DQ96" i="1"/>
  <c r="CG136" i="1"/>
  <c r="BE15" i="1"/>
  <c r="AX145" i="1"/>
  <c r="AY145" i="1"/>
  <c r="AX148" i="1"/>
  <c r="CP128" i="1"/>
  <c r="CQ128" i="1" s="1"/>
  <c r="BC134" i="1"/>
  <c r="DM134" i="1"/>
  <c r="AT135" i="1"/>
  <c r="AS136" i="1"/>
  <c r="AX138" i="1"/>
  <c r="AY138" i="1"/>
  <c r="CD140" i="1"/>
  <c r="CE140" i="1"/>
  <c r="O92" i="1"/>
  <c r="AP90" i="1"/>
  <c r="AP92" i="1" s="1"/>
  <c r="DG13" i="1"/>
  <c r="DO13" i="1"/>
  <c r="CT90" i="1"/>
  <c r="CT92" i="1" s="1"/>
  <c r="DG96" i="1"/>
  <c r="BB136" i="1"/>
  <c r="CA108" i="1"/>
  <c r="CR90" i="1"/>
  <c r="DD136" i="1"/>
  <c r="DE136" i="1"/>
  <c r="CA47" i="1"/>
  <c r="CA49" i="1" s="1"/>
  <c r="DV45" i="1"/>
  <c r="N92" i="1"/>
  <c r="P92" i="1"/>
  <c r="CM90" i="1"/>
  <c r="AU15" i="1"/>
  <c r="DR63" i="1"/>
  <c r="DR68" i="1"/>
  <c r="AO90" i="1"/>
  <c r="DN119" i="1"/>
  <c r="AE128" i="1"/>
  <c r="DG128" i="1"/>
  <c r="AH19" i="1"/>
  <c r="BE19" i="1"/>
  <c r="DA9" i="1"/>
  <c r="DA13" i="1"/>
  <c r="DP102" i="1"/>
  <c r="DP97" i="1" s="1"/>
  <c r="DP9" i="1"/>
  <c r="DQ13" i="1"/>
  <c r="AP128" i="1"/>
  <c r="AQ128" i="1"/>
  <c r="CH138" i="1"/>
  <c r="BI21" i="1"/>
  <c r="BI51" i="1"/>
  <c r="BI52" i="1" s="1"/>
  <c r="DE163" i="1"/>
  <c r="DE164" i="1"/>
  <c r="CB84" i="1"/>
  <c r="DS87" i="1"/>
  <c r="DS108" i="1"/>
  <c r="K108" i="1"/>
  <c r="K109" i="1"/>
  <c r="BF118" i="1"/>
  <c r="DO102" i="1"/>
  <c r="DO97" i="1" s="1"/>
  <c r="DO9" i="1"/>
  <c r="DW20" i="1"/>
  <c r="DW21" i="1" s="1"/>
  <c r="DW26" i="1" s="1"/>
  <c r="DQ125" i="1"/>
  <c r="BK21" i="1"/>
  <c r="BI16" i="1"/>
  <c r="CA126" i="1"/>
  <c r="DS126" i="1"/>
  <c r="DN127" i="1"/>
  <c r="BK118" i="1"/>
  <c r="DO118" i="1"/>
  <c r="AW15" i="1"/>
  <c r="AW10" i="1"/>
  <c r="DG9" i="1"/>
  <c r="DG10" i="1" s="1"/>
  <c r="DG102" i="1"/>
  <c r="DG97" i="1" s="1"/>
  <c r="BN107" i="1"/>
  <c r="BN108" i="1"/>
  <c r="BN74" i="1"/>
  <c r="BN79" i="1" s="1"/>
  <c r="BN90" i="1" s="1"/>
  <c r="BN92" i="1" s="1"/>
  <c r="AU143" i="1"/>
  <c r="DK143" i="1"/>
  <c r="AG146" i="1"/>
  <c r="AH138" i="1"/>
  <c r="S10" i="1"/>
  <c r="S15" i="1"/>
  <c r="BS118" i="1"/>
  <c r="DQ118" i="1" s="1"/>
  <c r="AY128" i="1"/>
  <c r="BC15" i="1"/>
  <c r="BC10" i="1"/>
  <c r="DN9" i="1"/>
  <c r="DN13" i="1"/>
  <c r="AA142" i="1"/>
  <c r="DF142" i="1"/>
  <c r="CP162" i="1"/>
  <c r="CQ133" i="1"/>
  <c r="CP136" i="1"/>
  <c r="DN101" i="1"/>
  <c r="DN96" i="1" s="1"/>
  <c r="BK127" i="1"/>
  <c r="DO127" i="1"/>
  <c r="BV144" i="1"/>
  <c r="BW144" i="1"/>
  <c r="CK129" i="1"/>
  <c r="CK98" i="1" s="1"/>
  <c r="CL126" i="1"/>
  <c r="AC136" i="1"/>
  <c r="AD133" i="1"/>
  <c r="AE133" i="1"/>
  <c r="AC162" i="1"/>
  <c r="Z134" i="1"/>
  <c r="AA134" i="1" s="1"/>
  <c r="Y136" i="1"/>
  <c r="CS15" i="1"/>
  <c r="CS100" i="229" s="1"/>
  <c r="CS10" i="1"/>
  <c r="CH118" i="1"/>
  <c r="CI118" i="1"/>
  <c r="CH148" i="1"/>
  <c r="CI148" i="1"/>
  <c r="CL118" i="1"/>
  <c r="CK131" i="1"/>
  <c r="CK156" i="1"/>
  <c r="BS133" i="1"/>
  <c r="T15" i="1"/>
  <c r="T10" i="1"/>
  <c r="DB63" i="1"/>
  <c r="DB68" i="1" s="1"/>
  <c r="DN63" i="1"/>
  <c r="DN68" i="1" s="1"/>
  <c r="DN92" i="1" s="1"/>
  <c r="X108" i="1"/>
  <c r="X109" i="1"/>
  <c r="BO122" i="1"/>
  <c r="DP122" i="1" s="1"/>
  <c r="CE118" i="1"/>
  <c r="DT118" i="1" s="1"/>
  <c r="AL118" i="1"/>
  <c r="AM118" i="1"/>
  <c r="BV126" i="1"/>
  <c r="AK164" i="1"/>
  <c r="AK162" i="1"/>
  <c r="AL133" i="1"/>
  <c r="BJ135" i="1"/>
  <c r="BK135" i="1"/>
  <c r="DO135" i="1"/>
  <c r="BV139" i="1"/>
  <c r="BU146" i="1"/>
  <c r="CM96" i="1"/>
  <c r="CP116" i="1"/>
  <c r="DW8" i="1"/>
  <c r="DW9" i="1" s="1"/>
  <c r="CN9" i="1"/>
  <c r="CN97" i="1"/>
  <c r="CL9" i="1"/>
  <c r="CL97" i="1"/>
  <c r="CM97" i="1"/>
  <c r="DT18" i="1"/>
  <c r="C82" i="225"/>
  <c r="U82" i="225" s="1"/>
  <c r="CB19" i="1"/>
  <c r="AQ148" i="1"/>
  <c r="DJ148" i="1" s="1"/>
  <c r="V15" i="1"/>
  <c r="V10" i="1"/>
  <c r="BG135" i="1"/>
  <c r="DN135" i="1"/>
  <c r="BE136" i="1"/>
  <c r="CR96" i="1"/>
  <c r="CR162" i="1"/>
  <c r="CR95" i="1"/>
  <c r="BZ128" i="1"/>
  <c r="CA128" i="1" s="1"/>
  <c r="DS128" i="1" s="1"/>
  <c r="AH134" i="1"/>
  <c r="AG136" i="1"/>
  <c r="BV145" i="1"/>
  <c r="BW145" i="1"/>
  <c r="CF9" i="1"/>
  <c r="CF15" i="1" s="1"/>
  <c r="DU8" i="1"/>
  <c r="DT12" i="1"/>
  <c r="DT13" i="1" s="1"/>
  <c r="DX128" i="1"/>
  <c r="DX72" i="1"/>
  <c r="Y164" i="1"/>
  <c r="AA133" i="1"/>
  <c r="DF133" i="1" s="1"/>
  <c r="CM47" i="1"/>
  <c r="CM49" i="1"/>
  <c r="DJ107" i="1"/>
  <c r="DJ109" i="1"/>
  <c r="DN107" i="1"/>
  <c r="CO10" i="1"/>
  <c r="CO15" i="1"/>
  <c r="CO100" i="229" s="1"/>
  <c r="CO98" i="229" s="1"/>
  <c r="Z118" i="1"/>
  <c r="AA118" i="1"/>
  <c r="DF118" i="1" s="1"/>
  <c r="CT135" i="1"/>
  <c r="CT136" i="1" s="1"/>
  <c r="CD15" i="1"/>
  <c r="CD90" i="1"/>
  <c r="CD92" i="1" s="1"/>
  <c r="DL87" i="1"/>
  <c r="AU123" i="1"/>
  <c r="DK123" i="1"/>
  <c r="CQ135" i="1"/>
  <c r="DW135" i="1"/>
  <c r="J95" i="1"/>
  <c r="J96" i="1"/>
  <c r="CF108" i="1"/>
  <c r="AK51" i="1"/>
  <c r="AK52" i="1" s="1"/>
  <c r="AK21" i="1"/>
  <c r="DM87" i="1"/>
  <c r="DM90" i="1" s="1"/>
  <c r="DM92" i="1" s="1"/>
  <c r="DW87" i="1"/>
  <c r="AS90" i="1"/>
  <c r="AS92" i="1"/>
  <c r="H109" i="1"/>
  <c r="O19" i="1"/>
  <c r="T109" i="1"/>
  <c r="AW129" i="1"/>
  <c r="AW98" i="1" s="1"/>
  <c r="DA146" i="1"/>
  <c r="DB136" i="1"/>
  <c r="DT8" i="1"/>
  <c r="CT108" i="1"/>
  <c r="DV63" i="1"/>
  <c r="DV68" i="1"/>
  <c r="DE63" i="1"/>
  <c r="DE68" i="1"/>
  <c r="DI63" i="1"/>
  <c r="DI68" i="1"/>
  <c r="DM63" i="1"/>
  <c r="DM68" i="1"/>
  <c r="DW107" i="1"/>
  <c r="DW109" i="1"/>
  <c r="DB107" i="1"/>
  <c r="DB109" i="1" s="1"/>
  <c r="AD108" i="1"/>
  <c r="CD144" i="1"/>
  <c r="CE144" i="1" s="1"/>
  <c r="DT144" i="1" s="1"/>
  <c r="DP63" i="1"/>
  <c r="DP68" i="1"/>
  <c r="AO164" i="1"/>
  <c r="DW23" i="1"/>
  <c r="DQ63" i="1"/>
  <c r="DQ68" i="1"/>
  <c r="BO127" i="1"/>
  <c r="DP127" i="1" s="1"/>
  <c r="AS164" i="1"/>
  <c r="AT117" i="1"/>
  <c r="AS163" i="1"/>
  <c r="BI123" i="1"/>
  <c r="BK123" i="1" s="1"/>
  <c r="DO123" i="1" s="1"/>
  <c r="CT125" i="1"/>
  <c r="CS131" i="1"/>
  <c r="CS156" i="1" s="1"/>
  <c r="CS129" i="1"/>
  <c r="CS98" i="1" s="1"/>
  <c r="AM126" i="1"/>
  <c r="DI126" i="1" s="1"/>
  <c r="DO128" i="1"/>
  <c r="CA125" i="1"/>
  <c r="DL127" i="1"/>
  <c r="CE15" i="1"/>
  <c r="CE10" i="1"/>
  <c r="DX77" i="1"/>
  <c r="DZ77" i="1" s="1"/>
  <c r="EA77" i="1" s="1"/>
  <c r="CC138" i="1"/>
  <c r="CD138" i="1" s="1"/>
  <c r="CE138" i="1" s="1"/>
  <c r="CC146" i="1"/>
  <c r="CB146" i="1"/>
  <c r="AP142" i="1"/>
  <c r="AQ142" i="1" s="1"/>
  <c r="AO146" i="1"/>
  <c r="CF163" i="1"/>
  <c r="G109" i="1"/>
  <c r="G108" i="1"/>
  <c r="Z109" i="1"/>
  <c r="AA19" i="1"/>
  <c r="BE109" i="1"/>
  <c r="BF19" i="1"/>
  <c r="BP109" i="1"/>
  <c r="BQ19" i="1"/>
  <c r="DV117" i="1"/>
  <c r="DW139" i="1"/>
  <c r="DV116" i="1"/>
  <c r="CD163" i="1"/>
  <c r="CD164" i="1"/>
  <c r="DP125" i="1"/>
  <c r="BQ146" i="1"/>
  <c r="BR138" i="1"/>
  <c r="BS138" i="1"/>
  <c r="DQ138" i="1" s="1"/>
  <c r="AE139" i="1"/>
  <c r="DG139" i="1"/>
  <c r="AU133" i="1"/>
  <c r="CH136" i="1"/>
  <c r="CI135" i="1"/>
  <c r="DX20" i="1"/>
  <c r="DZ20" i="1" s="1"/>
  <c r="AM148" i="1"/>
  <c r="DI148" i="1"/>
  <c r="AM125" i="1"/>
  <c r="DI125" i="1"/>
  <c r="BW74" i="1"/>
  <c r="BW79" i="1" s="1"/>
  <c r="BW107" i="1"/>
  <c r="BW109" i="1" s="1"/>
  <c r="DR70" i="1"/>
  <c r="DH107" i="1"/>
  <c r="DH74" i="1"/>
  <c r="DH79" i="1"/>
  <c r="DH90" i="1" s="1"/>
  <c r="BO16" i="1"/>
  <c r="BG139" i="1"/>
  <c r="DN139" i="1" s="1"/>
  <c r="BW138" i="1"/>
  <c r="DR138" i="1" s="1"/>
  <c r="DC136" i="1"/>
  <c r="CH127" i="1"/>
  <c r="DM101" i="1"/>
  <c r="DM95" i="1" s="1"/>
  <c r="DM13" i="1"/>
  <c r="AI127" i="1"/>
  <c r="DH127" i="1" s="1"/>
  <c r="AE143" i="1"/>
  <c r="DG143" i="1"/>
  <c r="AI145" i="1"/>
  <c r="DH145" i="1" s="1"/>
  <c r="BU15" i="1"/>
  <c r="BU10" i="1"/>
  <c r="DK63" i="1"/>
  <c r="DK68" i="1"/>
  <c r="DO63" i="1"/>
  <c r="DO68" i="1" s="1"/>
  <c r="DL123" i="1"/>
  <c r="AE135" i="1"/>
  <c r="Y16" i="1"/>
  <c r="Y51" i="1"/>
  <c r="CJ108" i="1"/>
  <c r="CK19" i="1"/>
  <c r="BG128" i="1"/>
  <c r="CD128" i="1"/>
  <c r="BI138" i="1"/>
  <c r="BJ138" i="1"/>
  <c r="CR15" i="1"/>
  <c r="CR21" i="1" s="1"/>
  <c r="CR100" i="229"/>
  <c r="CR10" i="1"/>
  <c r="CQ97" i="1"/>
  <c r="CP97" i="1"/>
  <c r="CP9" i="1"/>
  <c r="CS97" i="1"/>
  <c r="CK15" i="1"/>
  <c r="CH169" i="1"/>
  <c r="CF169" i="1"/>
  <c r="AD117" i="1"/>
  <c r="AE117" i="1" s="1"/>
  <c r="AC164" i="1"/>
  <c r="BZ117" i="1"/>
  <c r="BZ164" i="1" s="1"/>
  <c r="CA117" i="1"/>
  <c r="BY163" i="1"/>
  <c r="BY164" i="1"/>
  <c r="BB117" i="1"/>
  <c r="BA164" i="1"/>
  <c r="AC129" i="1"/>
  <c r="AC98" i="1" s="1"/>
  <c r="AD126" i="1"/>
  <c r="AE126" i="1" s="1"/>
  <c r="DG126" i="1" s="1"/>
  <c r="BO135" i="1"/>
  <c r="BM136" i="1"/>
  <c r="AQ139" i="1"/>
  <c r="DJ139" i="1" s="1"/>
  <c r="CT128" i="1"/>
  <c r="CT143" i="1"/>
  <c r="AA10" i="1"/>
  <c r="AA15" i="1"/>
  <c r="AA21" i="1" s="1"/>
  <c r="AH15" i="1"/>
  <c r="AH21" i="1"/>
  <c r="AH26" i="1" s="1"/>
  <c r="AN16" i="1"/>
  <c r="AN51" i="1"/>
  <c r="AN52" i="1" s="1"/>
  <c r="BL108" i="1"/>
  <c r="BL109" i="1"/>
  <c r="U10" i="1"/>
  <c r="U15" i="1"/>
  <c r="U21" i="1"/>
  <c r="U26" i="1" s="1"/>
  <c r="U41" i="1" s="1"/>
  <c r="DF63" i="1"/>
  <c r="DF68" i="1"/>
  <c r="BU129" i="1"/>
  <c r="BU98" i="1" s="1"/>
  <c r="BW125" i="1"/>
  <c r="BZ127" i="1"/>
  <c r="CA127" i="1"/>
  <c r="AL135" i="1"/>
  <c r="AK136" i="1"/>
  <c r="BV143" i="1"/>
  <c r="BV83" i="1"/>
  <c r="AM142" i="1"/>
  <c r="DI142" i="1"/>
  <c r="CN150" i="1"/>
  <c r="DM126" i="1"/>
  <c r="CE116" i="1"/>
  <c r="DT116" i="1"/>
  <c r="DS118" i="1"/>
  <c r="AA125" i="1"/>
  <c r="CK145" i="1"/>
  <c r="CQ148" i="1"/>
  <c r="DW148" i="1"/>
  <c r="CL109" i="1"/>
  <c r="CM19" i="1"/>
  <c r="CH109" i="1"/>
  <c r="DU125" i="1"/>
  <c r="CS95" i="1"/>
  <c r="CS162" i="1"/>
  <c r="AC15" i="1"/>
  <c r="AC21" i="1" s="1"/>
  <c r="AC24" i="1" s="1"/>
  <c r="AC10" i="1"/>
  <c r="BJ144" i="1"/>
  <c r="BK144" i="1"/>
  <c r="DO144" i="1" s="1"/>
  <c r="AT148" i="1"/>
  <c r="AU148" i="1"/>
  <c r="DK148" i="1" s="1"/>
  <c r="DN28" i="1"/>
  <c r="BN126" i="1"/>
  <c r="BM129" i="1"/>
  <c r="BM98" i="1" s="1"/>
  <c r="DG63" i="1"/>
  <c r="DG68" i="1" s="1"/>
  <c r="CI74" i="1"/>
  <c r="CI79" i="1" s="1"/>
  <c r="CI90" i="1" s="1"/>
  <c r="CI92" i="1" s="1"/>
  <c r="DU72" i="1"/>
  <c r="DU74" i="1" s="1"/>
  <c r="DU79" i="1" s="1"/>
  <c r="DU90" i="1" s="1"/>
  <c r="DT74" i="1"/>
  <c r="DT79" i="1"/>
  <c r="DT90" i="1" s="1"/>
  <c r="DW13" i="1"/>
  <c r="DS8" i="1"/>
  <c r="CA9" i="1"/>
  <c r="CA97" i="1"/>
  <c r="BV19" i="1"/>
  <c r="DT63" i="1"/>
  <c r="DT68" i="1"/>
  <c r="DC63" i="1"/>
  <c r="DC68" i="1" s="1"/>
  <c r="DC92" i="1" s="1"/>
  <c r="DC107" i="1"/>
  <c r="CL133" i="1"/>
  <c r="DV133" i="1" s="1"/>
  <c r="DX118" i="1"/>
  <c r="CQ47" i="1"/>
  <c r="CQ49" i="1"/>
  <c r="DA63" i="1"/>
  <c r="DA68" i="1"/>
  <c r="AQ135" i="1"/>
  <c r="AU120" i="1"/>
  <c r="DK120" i="1" s="1"/>
  <c r="BO144" i="1"/>
  <c r="AJ108" i="1"/>
  <c r="CP145" i="1"/>
  <c r="CQ145" i="1" s="1"/>
  <c r="CO108" i="1"/>
  <c r="AX117" i="1"/>
  <c r="AY117" i="1"/>
  <c r="AY163" i="1" s="1"/>
  <c r="AI142" i="1"/>
  <c r="DH142" i="1"/>
  <c r="BF148" i="1"/>
  <c r="BG148" i="1"/>
  <c r="W109" i="1"/>
  <c r="CD108" i="1"/>
  <c r="BD108" i="1"/>
  <c r="CE108" i="1"/>
  <c r="AT108" i="1"/>
  <c r="BZ108" i="1"/>
  <c r="AI123" i="1"/>
  <c r="DH123" i="1" s="1"/>
  <c r="AM141" i="1"/>
  <c r="DI141" i="1" s="1"/>
  <c r="DP143" i="1"/>
  <c r="BI108" i="1"/>
  <c r="CD162" i="1"/>
  <c r="BC108" i="1"/>
  <c r="BU109" i="1"/>
  <c r="BJ19" i="1"/>
  <c r="AI19" i="1"/>
  <c r="AH108" i="1"/>
  <c r="BK108" i="1"/>
  <c r="I19" i="1"/>
  <c r="CG19" i="1"/>
  <c r="AG19" i="1"/>
  <c r="BI109" i="1"/>
  <c r="J19" i="1"/>
  <c r="N109" i="1"/>
  <c r="AG108" i="1"/>
  <c r="AF109" i="1"/>
  <c r="CJ109" i="1"/>
  <c r="CE109" i="1"/>
  <c r="CO109" i="1"/>
  <c r="AM108" i="1"/>
  <c r="DV19" i="1"/>
  <c r="AY19" i="1"/>
  <c r="CD19" i="1"/>
  <c r="U19" i="1"/>
  <c r="AU19" i="1"/>
  <c r="BQ109" i="1"/>
  <c r="CS108" i="1"/>
  <c r="AJ96" i="1"/>
  <c r="CT19" i="1"/>
  <c r="CG96" i="1"/>
  <c r="AD19" i="1"/>
  <c r="AC109" i="1"/>
  <c r="AK109" i="1"/>
  <c r="AK108" i="1"/>
  <c r="BT162" i="1"/>
  <c r="BT96" i="1"/>
  <c r="CB95" i="1"/>
  <c r="AX96" i="1"/>
  <c r="CB162" i="1"/>
  <c r="Y19" i="1"/>
  <c r="AL108" i="1"/>
  <c r="AM19" i="1"/>
  <c r="AY109" i="1"/>
  <c r="BO109" i="1"/>
  <c r="W162" i="1"/>
  <c r="W95" i="1"/>
  <c r="AL96" i="1"/>
  <c r="AL95" i="1"/>
  <c r="AW95" i="1"/>
  <c r="AW162" i="1"/>
  <c r="BU162" i="1"/>
  <c r="BU95" i="1"/>
  <c r="D108" i="1"/>
  <c r="AA109" i="1"/>
  <c r="T95" i="1"/>
  <c r="T162" i="1"/>
  <c r="BJ96" i="1"/>
  <c r="AS108" i="1"/>
  <c r="AS109" i="1"/>
  <c r="Y95" i="1"/>
  <c r="Y162" i="1"/>
  <c r="AF95" i="1"/>
  <c r="AF96" i="1"/>
  <c r="BG95" i="1"/>
  <c r="BG96" i="1"/>
  <c r="BO96" i="1"/>
  <c r="BO95" i="1"/>
  <c r="I108" i="1"/>
  <c r="U109" i="1"/>
  <c r="U108" i="1"/>
  <c r="CN95" i="1"/>
  <c r="CN162" i="1"/>
  <c r="CQ108" i="1"/>
  <c r="P109" i="1"/>
  <c r="P108" i="1"/>
  <c r="Q19" i="1"/>
  <c r="CO95" i="1"/>
  <c r="CO162" i="1"/>
  <c r="CO96" i="1"/>
  <c r="J109" i="1"/>
  <c r="BY108" i="1"/>
  <c r="BZ19" i="1"/>
  <c r="CN109" i="1"/>
  <c r="CO19" i="1"/>
  <c r="AB109" i="1"/>
  <c r="BT95" i="1"/>
  <c r="AN108" i="1"/>
  <c r="BC19" i="1"/>
  <c r="J108" i="1"/>
  <c r="Z108" i="1"/>
  <c r="DT109" i="1"/>
  <c r="DU19" i="1"/>
  <c r="BJ108" i="1"/>
  <c r="BK19" i="1"/>
  <c r="BJ109" i="1"/>
  <c r="CR109" i="1"/>
  <c r="CR108" i="1"/>
  <c r="AU95" i="1"/>
  <c r="CH162" i="1"/>
  <c r="CH95" i="1"/>
  <c r="CH96" i="1"/>
  <c r="M108" i="1"/>
  <c r="N19" i="1"/>
  <c r="AE96" i="1"/>
  <c r="AX19" i="1"/>
  <c r="AJ162" i="1"/>
  <c r="CP108" i="1"/>
  <c r="CP109" i="1"/>
  <c r="CQ19" i="1"/>
  <c r="L162" i="1"/>
  <c r="L96" i="1"/>
  <c r="AB108" i="1"/>
  <c r="BH108" i="1"/>
  <c r="CN108" i="1"/>
  <c r="CI19" i="1"/>
  <c r="BQ96" i="1"/>
  <c r="BQ162" i="1"/>
  <c r="BC95" i="1"/>
  <c r="BC96" i="1"/>
  <c r="BR96" i="1"/>
  <c r="BR95" i="1"/>
  <c r="BZ95" i="1"/>
  <c r="BZ96" i="1"/>
  <c r="K96" i="1"/>
  <c r="K95" i="1"/>
  <c r="BK95" i="1"/>
  <c r="BK96" i="1"/>
  <c r="BS95" i="1"/>
  <c r="BS96" i="1"/>
  <c r="BE95" i="1"/>
  <c r="BE96" i="1"/>
  <c r="BE162" i="1"/>
  <c r="BL162" i="1"/>
  <c r="BL96" i="1"/>
  <c r="BL95" i="1"/>
  <c r="S162" i="1"/>
  <c r="S95" i="1"/>
  <c r="BM95" i="1"/>
  <c r="BM96" i="1"/>
  <c r="BM162" i="1"/>
  <c r="BF95" i="1"/>
  <c r="BF96" i="1"/>
  <c r="H95" i="1"/>
  <c r="H96" i="1"/>
  <c r="H162" i="1"/>
  <c r="N96" i="1"/>
  <c r="BX96" i="1"/>
  <c r="BX95" i="1"/>
  <c r="BX162" i="1"/>
  <c r="R162" i="1"/>
  <c r="R95" i="1"/>
  <c r="AK96" i="1"/>
  <c r="AK95" i="1"/>
  <c r="AV162" i="1"/>
  <c r="AV96" i="1"/>
  <c r="AV95" i="1"/>
  <c r="CF95" i="1"/>
  <c r="CF96" i="1"/>
  <c r="U96" i="1"/>
  <c r="U95" i="1"/>
  <c r="AH96" i="1"/>
  <c r="AH162" i="1"/>
  <c r="AN95" i="1"/>
  <c r="AN162" i="1"/>
  <c r="AN96" i="1"/>
  <c r="AZ95" i="1"/>
  <c r="AZ162" i="1"/>
  <c r="CC162" i="1"/>
  <c r="CC95" i="1"/>
  <c r="AB96" i="1"/>
  <c r="AB162" i="1"/>
  <c r="AI96" i="1"/>
  <c r="AI95" i="1"/>
  <c r="BA162" i="1"/>
  <c r="BA95" i="1"/>
  <c r="BV96" i="1"/>
  <c r="BV95" i="1"/>
  <c r="CP95" i="1"/>
  <c r="CP96" i="1"/>
  <c r="Q96" i="1"/>
  <c r="Q162" i="1"/>
  <c r="AT96" i="1"/>
  <c r="AT162" i="1"/>
  <c r="BB95" i="1"/>
  <c r="BB96" i="1"/>
  <c r="BW96" i="1"/>
  <c r="BW95" i="1"/>
  <c r="BW162" i="1"/>
  <c r="CJ162" i="1"/>
  <c r="CJ96" i="1"/>
  <c r="DL15" i="1"/>
  <c r="DL21" i="1" s="1"/>
  <c r="DL16" i="1"/>
  <c r="DR10" i="1"/>
  <c r="BV51" i="1"/>
  <c r="DK15" i="1"/>
  <c r="DK16" i="1" s="1"/>
  <c r="DC16" i="1"/>
  <c r="DT163" i="1"/>
  <c r="AR162" i="1"/>
  <c r="AR96" i="1"/>
  <c r="DQ15" i="1"/>
  <c r="BD16" i="1"/>
  <c r="DF19" i="1"/>
  <c r="BB16" i="1"/>
  <c r="AH163" i="1"/>
  <c r="DB95" i="1"/>
  <c r="BD51" i="1"/>
  <c r="DO109" i="1"/>
  <c r="AS96" i="1"/>
  <c r="CN19" i="1"/>
  <c r="DV109" i="1"/>
  <c r="DA109" i="1"/>
  <c r="DB96" i="1"/>
  <c r="AX162" i="1"/>
  <c r="DI108" i="1"/>
  <c r="CP129" i="1"/>
  <c r="CP98" i="1" s="1"/>
  <c r="BO136" i="1"/>
  <c r="DI90" i="1"/>
  <c r="DV90" i="1"/>
  <c r="DV92" i="1" s="1"/>
  <c r="Q51" i="1"/>
  <c r="Q52" i="1"/>
  <c r="DI109" i="1"/>
  <c r="CM15" i="1"/>
  <c r="DW90" i="1"/>
  <c r="DW92" i="1" s="1"/>
  <c r="DH92" i="1"/>
  <c r="DH108" i="1"/>
  <c r="DE10" i="1"/>
  <c r="DJ90" i="1"/>
  <c r="DJ92" i="1" s="1"/>
  <c r="BZ162" i="1"/>
  <c r="DR51" i="1"/>
  <c r="DB34" i="1"/>
  <c r="DW127" i="1"/>
  <c r="DH10" i="1"/>
  <c r="BV16" i="1"/>
  <c r="DR164" i="1"/>
  <c r="BV21" i="1"/>
  <c r="AL138" i="1"/>
  <c r="CQ15" i="1"/>
  <c r="BQ16" i="1"/>
  <c r="CB10" i="1"/>
  <c r="BG117" i="1"/>
  <c r="BG163" i="1"/>
  <c r="BT16" i="1"/>
  <c r="BW16" i="1"/>
  <c r="DM109" i="1"/>
  <c r="CB150" i="1"/>
  <c r="BC125" i="1"/>
  <c r="DM125" i="1" s="1"/>
  <c r="BC129" i="1"/>
  <c r="BC98" i="1" s="1"/>
  <c r="DA108" i="1"/>
  <c r="DV13" i="1"/>
  <c r="BT51" i="1"/>
  <c r="DB92" i="1"/>
  <c r="BT21" i="1"/>
  <c r="DQ169" i="1"/>
  <c r="Z146" i="1"/>
  <c r="DF15" i="1"/>
  <c r="DF10" i="1"/>
  <c r="BJ162" i="1"/>
  <c r="BS108" i="1"/>
  <c r="AY125" i="1"/>
  <c r="Z129" i="1"/>
  <c r="Z98" i="1" s="1"/>
  <c r="BC136" i="1"/>
  <c r="DL92" i="1"/>
  <c r="DJ128" i="1"/>
  <c r="DQ36" i="1"/>
  <c r="BV35" i="1"/>
  <c r="BU36" i="1"/>
  <c r="BU33" i="1"/>
  <c r="DS90" i="1"/>
  <c r="DQ19" i="1"/>
  <c r="AX129" i="1"/>
  <c r="AX98" i="1" s="1"/>
  <c r="BN163" i="1"/>
  <c r="BN164" i="1"/>
  <c r="BO117" i="1"/>
  <c r="DP109" i="1"/>
  <c r="DW128" i="1"/>
  <c r="DM133" i="1"/>
  <c r="DM136" i="1"/>
  <c r="BF163" i="1"/>
  <c r="BM21" i="1"/>
  <c r="BM26" i="1" s="1"/>
  <c r="BM16" i="1"/>
  <c r="BC162" i="1"/>
  <c r="AB21" i="1"/>
  <c r="DT140" i="1"/>
  <c r="BM51" i="1"/>
  <c r="AQ16" i="1"/>
  <c r="AB16" i="1"/>
  <c r="BO138" i="1"/>
  <c r="BT169" i="1"/>
  <c r="BT33" i="1"/>
  <c r="AY135" i="1"/>
  <c r="DL135" i="1" s="1"/>
  <c r="AX136" i="1"/>
  <c r="AA90" i="1"/>
  <c r="CL34" i="1"/>
  <c r="CS34" i="1"/>
  <c r="DT169" i="1"/>
  <c r="DT36" i="1"/>
  <c r="W34" i="1"/>
  <c r="X34" i="1"/>
  <c r="DQ109" i="1"/>
  <c r="AR19" i="1"/>
  <c r="DJ108" i="1"/>
  <c r="DK19" i="1"/>
  <c r="DG133" i="1"/>
  <c r="DG164" i="1" s="1"/>
  <c r="DD21" i="1"/>
  <c r="DD26" i="1" s="1"/>
  <c r="DD24" i="1"/>
  <c r="AU21" i="1"/>
  <c r="AU16" i="1"/>
  <c r="DJ133" i="1"/>
  <c r="BF146" i="1"/>
  <c r="DG19" i="1"/>
  <c r="DI118" i="1"/>
  <c r="DH95" i="1"/>
  <c r="DH96" i="1"/>
  <c r="BJ163" i="1"/>
  <c r="BJ164" i="1"/>
  <c r="BJ51" i="1"/>
  <c r="BC145" i="1"/>
  <c r="DG148" i="1"/>
  <c r="BX16" i="1"/>
  <c r="BS117" i="1"/>
  <c r="DL128" i="1"/>
  <c r="AA126" i="1"/>
  <c r="DF126" i="1"/>
  <c r="CH163" i="1"/>
  <c r="DV125" i="1"/>
  <c r="DN141" i="1"/>
  <c r="CR19" i="1"/>
  <c r="BG126" i="1"/>
  <c r="DN126" i="1"/>
  <c r="BZ129" i="1"/>
  <c r="BZ98" i="1" s="1"/>
  <c r="AV51" i="1"/>
  <c r="DM19" i="1"/>
  <c r="DT19" i="1"/>
  <c r="BU169" i="1"/>
  <c r="BR163" i="1"/>
  <c r="DW108" i="1"/>
  <c r="CQ116" i="1"/>
  <c r="DW116" i="1" s="1"/>
  <c r="AV16" i="1"/>
  <c r="DF109" i="1"/>
  <c r="AZ19" i="1"/>
  <c r="DR16" i="1"/>
  <c r="CH144" i="1"/>
  <c r="CI144" i="1"/>
  <c r="DU144" i="1"/>
  <c r="BK117" i="1"/>
  <c r="BK164" i="1"/>
  <c r="BO19" i="1"/>
  <c r="BN109" i="1"/>
  <c r="DK133" i="1"/>
  <c r="DT9" i="1"/>
  <c r="DT10" i="1" s="1"/>
  <c r="DT102" i="1"/>
  <c r="DT97" i="1" s="1"/>
  <c r="BH19" i="1"/>
  <c r="DO19" i="1"/>
  <c r="DL108" i="1"/>
  <c r="DS127" i="1"/>
  <c r="CO21" i="1"/>
  <c r="CO24" i="1" s="1"/>
  <c r="CO16" i="1"/>
  <c r="CM118" i="1"/>
  <c r="DV118" i="1"/>
  <c r="CM126" i="1"/>
  <c r="AW21" i="1"/>
  <c r="AW16" i="1"/>
  <c r="DA15" i="1"/>
  <c r="DA10" i="1"/>
  <c r="CN10" i="1"/>
  <c r="CN15" i="1"/>
  <c r="CS21" i="1"/>
  <c r="CS24" i="1" s="1"/>
  <c r="CS51" i="1"/>
  <c r="DO15" i="1"/>
  <c r="DO16" i="1" s="1"/>
  <c r="DO10" i="1"/>
  <c r="CI138" i="1"/>
  <c r="DU138" i="1" s="1"/>
  <c r="DP144" i="1"/>
  <c r="DG135" i="1"/>
  <c r="AA162" i="1"/>
  <c r="DU9" i="1"/>
  <c r="DU102" i="1"/>
  <c r="DU97" i="1" s="1"/>
  <c r="DW102" i="1"/>
  <c r="DW97" i="1"/>
  <c r="S21" i="1"/>
  <c r="S51" i="1"/>
  <c r="Z136" i="1"/>
  <c r="AA136" i="1"/>
  <c r="DN109" i="1"/>
  <c r="BW143" i="1"/>
  <c r="DR143" i="1"/>
  <c r="AK24" i="1"/>
  <c r="AK26" i="1"/>
  <c r="DU148" i="1"/>
  <c r="DG15" i="1"/>
  <c r="CF10" i="1"/>
  <c r="CF100" i="229"/>
  <c r="DN108" i="1"/>
  <c r="DR145" i="1"/>
  <c r="DN15" i="1"/>
  <c r="DN10" i="1"/>
  <c r="BG118" i="1"/>
  <c r="DP15" i="1"/>
  <c r="DP10" i="1"/>
  <c r="CD21" i="1"/>
  <c r="CD24" i="1" s="1"/>
  <c r="CD51" i="1"/>
  <c r="CD16" i="1"/>
  <c r="T51" i="1"/>
  <c r="DU118" i="1"/>
  <c r="AD136" i="1"/>
  <c r="AD162" i="1"/>
  <c r="CQ136" i="1"/>
  <c r="DW133" i="1"/>
  <c r="DE21" i="1"/>
  <c r="DE26" i="1" s="1"/>
  <c r="DE16" i="1"/>
  <c r="DE51" i="1"/>
  <c r="DE103" i="1" s="1"/>
  <c r="CR16" i="1"/>
  <c r="CR51" i="1"/>
  <c r="BJ123" i="1"/>
  <c r="CA10" i="1"/>
  <c r="CA15" i="1"/>
  <c r="CA100" i="229" s="1"/>
  <c r="BZ163" i="1"/>
  <c r="BZ51" i="1"/>
  <c r="BZ52" i="1" s="1"/>
  <c r="AX163" i="1"/>
  <c r="DL117" i="1"/>
  <c r="DL51" i="1" s="1"/>
  <c r="DL53" i="1" s="1"/>
  <c r="AX164" i="1"/>
  <c r="DS102" i="1"/>
  <c r="DS97" i="1" s="1"/>
  <c r="DS9" i="1"/>
  <c r="U51" i="1"/>
  <c r="DP135" i="1"/>
  <c r="BI146" i="1"/>
  <c r="BK138" i="1"/>
  <c r="BO126" i="1"/>
  <c r="BN129" i="1"/>
  <c r="BN98" i="1" s="1"/>
  <c r="AL136" i="1"/>
  <c r="AM135" i="1"/>
  <c r="DU135" i="1"/>
  <c r="CI136" i="1"/>
  <c r="AU162" i="1"/>
  <c r="AF19" i="1"/>
  <c r="CL162" i="1"/>
  <c r="CL164" i="1"/>
  <c r="CP10" i="1"/>
  <c r="CP15" i="1"/>
  <c r="DR107" i="1"/>
  <c r="DR74" i="1"/>
  <c r="DR79" i="1"/>
  <c r="CT129" i="1"/>
  <c r="CT131" i="1"/>
  <c r="CT156" i="1" s="1"/>
  <c r="AC16" i="1"/>
  <c r="AC51" i="1"/>
  <c r="AC52" i="1" s="1"/>
  <c r="DH16" i="1"/>
  <c r="DC24" i="1"/>
  <c r="DC26" i="1"/>
  <c r="DJ135" i="1"/>
  <c r="AQ136" i="1"/>
  <c r="CE128" i="1"/>
  <c r="CD131" i="1"/>
  <c r="CD156" i="1" s="1"/>
  <c r="CD129" i="1"/>
  <c r="CD98" i="1" s="1"/>
  <c r="CI127" i="1"/>
  <c r="DU127" i="1" s="1"/>
  <c r="DV164" i="1"/>
  <c r="C53" i="225"/>
  <c r="W53" i="225" s="1"/>
  <c r="DV163" i="1"/>
  <c r="CE51" i="1"/>
  <c r="CE16" i="1"/>
  <c r="AU117" i="1"/>
  <c r="DK117" i="1" s="1"/>
  <c r="DK51" i="1" s="1"/>
  <c r="DK103" i="1" s="1"/>
  <c r="C60" i="225"/>
  <c r="T60" i="225" s="1"/>
  <c r="DV162" i="1"/>
  <c r="DX143" i="1"/>
  <c r="AD163" i="1"/>
  <c r="AD164" i="1"/>
  <c r="DN148" i="1"/>
  <c r="DF125" i="1"/>
  <c r="AH16" i="1"/>
  <c r="AH51" i="1"/>
  <c r="AH52" i="1" s="1"/>
  <c r="AQ146" i="1"/>
  <c r="DN128" i="1"/>
  <c r="H20" i="222"/>
  <c r="DX18" i="1"/>
  <c r="C28" i="225" s="1"/>
  <c r="DK21" i="1"/>
  <c r="DW145" i="1"/>
  <c r="CM21" i="1"/>
  <c r="CM51" i="1"/>
  <c r="CM52" i="1"/>
  <c r="DT138" i="1"/>
  <c r="AM138" i="1"/>
  <c r="CQ16" i="1"/>
  <c r="DF16" i="1"/>
  <c r="DF21" i="1"/>
  <c r="DF24" i="1" s="1"/>
  <c r="BT26" i="1"/>
  <c r="BT24" i="1"/>
  <c r="DP138" i="1"/>
  <c r="BO163" i="1"/>
  <c r="BO51" i="1"/>
  <c r="BO53" i="1" s="1"/>
  <c r="BO164" i="1"/>
  <c r="DP117" i="1"/>
  <c r="DP51" i="1" s="1"/>
  <c r="DP103" i="1" s="1"/>
  <c r="DP110" i="1" s="1"/>
  <c r="CQ129" i="1"/>
  <c r="CQ98" i="1" s="1"/>
  <c r="AB24" i="1"/>
  <c r="AB26" i="1"/>
  <c r="AB29" i="1" s="1"/>
  <c r="AB116" i="1" s="1"/>
  <c r="AB131" i="1" s="1"/>
  <c r="BM24" i="1"/>
  <c r="DS144" i="1"/>
  <c r="BJ52" i="1"/>
  <c r="DF134" i="1"/>
  <c r="DF136" i="1" s="1"/>
  <c r="AU26" i="1"/>
  <c r="AU24" i="1"/>
  <c r="AV52" i="1"/>
  <c r="DO117" i="1"/>
  <c r="BK163" i="1"/>
  <c r="BK51" i="1"/>
  <c r="CN21" i="1"/>
  <c r="CN16" i="1"/>
  <c r="CN51" i="1"/>
  <c r="AK31" i="1"/>
  <c r="AK39" i="1" s="1"/>
  <c r="AK41" i="1"/>
  <c r="AK29" i="1"/>
  <c r="AK116" i="1" s="1"/>
  <c r="DI135" i="1"/>
  <c r="DP16" i="1"/>
  <c r="DP21" i="1"/>
  <c r="CO26" i="1"/>
  <c r="DE52" i="1"/>
  <c r="T52" i="1"/>
  <c r="BW83" i="1"/>
  <c r="CS52" i="1"/>
  <c r="DV126" i="1"/>
  <c r="DW136" i="1"/>
  <c r="C46" i="225"/>
  <c r="S26" i="1"/>
  <c r="S24" i="1"/>
  <c r="DU15" i="1"/>
  <c r="DU100" i="229"/>
  <c r="DU10" i="1"/>
  <c r="DW15" i="1"/>
  <c r="DW100" i="229"/>
  <c r="DW10" i="1"/>
  <c r="DE24" i="1"/>
  <c r="CD26" i="1"/>
  <c r="CF21" i="1"/>
  <c r="CF24" i="1" s="1"/>
  <c r="CF16" i="1"/>
  <c r="CF51" i="1"/>
  <c r="DO21" i="1"/>
  <c r="DT15" i="1"/>
  <c r="DT100" i="229" s="1"/>
  <c r="AV24" i="1"/>
  <c r="AE163" i="1"/>
  <c r="AD26" i="1"/>
  <c r="AD41" i="1" s="1"/>
  <c r="U24" i="1"/>
  <c r="DS15" i="1"/>
  <c r="DS100" i="229"/>
  <c r="DS10" i="1"/>
  <c r="DG117" i="1"/>
  <c r="CE52" i="1"/>
  <c r="CE129" i="1"/>
  <c r="DT128" i="1"/>
  <c r="CP16" i="1"/>
  <c r="CA51" i="1"/>
  <c r="CA16" i="1"/>
  <c r="AU163" i="1"/>
  <c r="BV26" i="1"/>
  <c r="BV24" i="1"/>
  <c r="DS21" i="1"/>
  <c r="DF26" i="1"/>
  <c r="DO51" i="1"/>
  <c r="DO103" i="1" s="1"/>
  <c r="DO110" i="1" s="1"/>
  <c r="DP163" i="1"/>
  <c r="BM29" i="1"/>
  <c r="BM116" i="1" s="1"/>
  <c r="BK52" i="1"/>
  <c r="C79" i="225"/>
  <c r="DO24" i="1"/>
  <c r="DO26" i="1"/>
  <c r="DO31" i="1" s="1"/>
  <c r="C37" i="225"/>
  <c r="DW16" i="1"/>
  <c r="AK40" i="1"/>
  <c r="DU21" i="1"/>
  <c r="C65" i="225"/>
  <c r="U65" i="225" s="1"/>
  <c r="DU16" i="1"/>
  <c r="S41" i="1"/>
  <c r="S31" i="1"/>
  <c r="S40" i="1" s="1"/>
  <c r="S29" i="1"/>
  <c r="S116" i="1" s="1"/>
  <c r="S131" i="1" s="1"/>
  <c r="CF52" i="1"/>
  <c r="DP26" i="1"/>
  <c r="DP24" i="1"/>
  <c r="CD31" i="1"/>
  <c r="CN52" i="1"/>
  <c r="U31" i="1"/>
  <c r="U171" i="1" s="1"/>
  <c r="U29" i="1"/>
  <c r="U116" i="1" s="1"/>
  <c r="U131" i="1" s="1"/>
  <c r="U150" i="1" s="1"/>
  <c r="DG163" i="1"/>
  <c r="C93" i="225"/>
  <c r="V93" i="225" s="1"/>
  <c r="AD29" i="1"/>
  <c r="AD116" i="1" s="1"/>
  <c r="AV41" i="1"/>
  <c r="AV31" i="1"/>
  <c r="AV29" i="1"/>
  <c r="AV116" i="1" s="1"/>
  <c r="AV131" i="1" s="1"/>
  <c r="AV156" i="1" s="1"/>
  <c r="AV157" i="1" s="1"/>
  <c r="AA24" i="1"/>
  <c r="AA26" i="1"/>
  <c r="CR24" i="1"/>
  <c r="CR26" i="1"/>
  <c r="C69" i="225"/>
  <c r="DW24" i="1"/>
  <c r="C43" i="225" s="1"/>
  <c r="V43" i="225" s="1"/>
  <c r="DO41" i="1"/>
  <c r="DO29" i="1"/>
  <c r="DO116" i="1" s="1"/>
  <c r="CD39" i="1"/>
  <c r="DP41" i="1"/>
  <c r="DK52" i="1"/>
  <c r="U40" i="1"/>
  <c r="U39" i="1"/>
  <c r="AH41" i="1"/>
  <c r="DP42" i="1"/>
  <c r="DW29" i="1"/>
  <c r="C44" i="225"/>
  <c r="U44" i="225" s="1"/>
  <c r="DO39" i="1"/>
  <c r="DO40" i="1"/>
  <c r="DO171" i="1"/>
  <c r="AQ52" i="229" l="1"/>
  <c r="AQ62" i="229"/>
  <c r="AV51" i="229"/>
  <c r="DW31" i="229"/>
  <c r="DH20" i="229"/>
  <c r="DM52" i="229"/>
  <c r="BG100" i="229"/>
  <c r="BI90" i="229"/>
  <c r="BX90" i="229"/>
  <c r="BA82" i="229"/>
  <c r="CB79" i="229"/>
  <c r="AQ58" i="229"/>
  <c r="AN79" i="229"/>
  <c r="AQ49" i="229"/>
  <c r="AU48" i="229"/>
  <c r="AN60" i="229"/>
  <c r="AX60" i="229"/>
  <c r="CA60" i="229"/>
  <c r="CJ66" i="229"/>
  <c r="AQ68" i="229"/>
  <c r="AX100" i="229"/>
  <c r="BI82" i="229"/>
  <c r="DR80" i="229"/>
  <c r="AG76" i="229"/>
  <c r="BA100" i="229"/>
  <c r="CN87" i="229"/>
  <c r="BX79" i="229"/>
  <c r="AQ75" i="229"/>
  <c r="BH60" i="229"/>
  <c r="BS99" i="229"/>
  <c r="AX90" i="229"/>
  <c r="BL86" i="229"/>
  <c r="BY79" i="229"/>
  <c r="BK58" i="229"/>
  <c r="AU58" i="229"/>
  <c r="AY49" i="229"/>
  <c r="AQ51" i="229"/>
  <c r="DI17" i="229"/>
  <c r="BT56" i="229"/>
  <c r="AR56" i="229"/>
  <c r="BL56" i="229"/>
  <c r="AJ60" i="229"/>
  <c r="AT60" i="229"/>
  <c r="BM60" i="229"/>
  <c r="AJ66" i="229"/>
  <c r="AQ80" i="229"/>
  <c r="AH87" i="229"/>
  <c r="AS87" i="229"/>
  <c r="CO87" i="229"/>
  <c r="AC87" i="229"/>
  <c r="DJ57" i="229"/>
  <c r="DJ62" i="229" s="1"/>
  <c r="AU52" i="229"/>
  <c r="CS66" i="229"/>
  <c r="BR91" i="229"/>
  <c r="BV92" i="229" s="1"/>
  <c r="AU62" i="229"/>
  <c r="AU66" i="229" s="1"/>
  <c r="AY59" i="229"/>
  <c r="AU49" i="229"/>
  <c r="CN112" i="229"/>
  <c r="CG56" i="229"/>
  <c r="BO85" i="229"/>
  <c r="DW91" i="229"/>
  <c r="BN90" i="229"/>
  <c r="AV48" i="229"/>
  <c r="BD60" i="229"/>
  <c r="BB100" i="229"/>
  <c r="BR94" i="229"/>
  <c r="BD94" i="229"/>
  <c r="AR61" i="229"/>
  <c r="AQ59" i="229"/>
  <c r="DM62" i="229"/>
  <c r="BM83" i="229"/>
  <c r="AR92" i="229"/>
  <c r="BY90" i="229"/>
  <c r="AJ82" i="229"/>
  <c r="AU96" i="229"/>
  <c r="CB94" i="229"/>
  <c r="BX94" i="229"/>
  <c r="AJ90" i="229"/>
  <c r="BD91" i="229"/>
  <c r="BC74" i="229"/>
  <c r="BG80" i="229" s="1"/>
  <c r="BH75" i="229"/>
  <c r="DU52" i="229"/>
  <c r="DH62" i="229"/>
  <c r="DW59" i="229"/>
  <c r="DV62" i="229"/>
  <c r="DW41" i="229"/>
  <c r="BJ82" i="229"/>
  <c r="H45" i="229"/>
  <c r="H125" i="229"/>
  <c r="P45" i="229"/>
  <c r="P125" i="229"/>
  <c r="X45" i="229"/>
  <c r="X125" i="229"/>
  <c r="AF45" i="229"/>
  <c r="AF125" i="229"/>
  <c r="AN45" i="229"/>
  <c r="AN125" i="229"/>
  <c r="AV45" i="229"/>
  <c r="AV125" i="229"/>
  <c r="BD45" i="229"/>
  <c r="BD125" i="229"/>
  <c r="BL45" i="229"/>
  <c r="BL125" i="229"/>
  <c r="BT45" i="229"/>
  <c r="BT125" i="229"/>
  <c r="CB45" i="229"/>
  <c r="CB125" i="229"/>
  <c r="CJ45" i="229"/>
  <c r="CJ125" i="229"/>
  <c r="CR45" i="229"/>
  <c r="CR125" i="229"/>
  <c r="DF45" i="229"/>
  <c r="DF125" i="229"/>
  <c r="DN45" i="229"/>
  <c r="DN125" i="229"/>
  <c r="DV45" i="229"/>
  <c r="DV125" i="229"/>
  <c r="BH94" i="229"/>
  <c r="BH91" i="229"/>
  <c r="DQ98" i="229"/>
  <c r="DQ100" i="229" s="1"/>
  <c r="AN61" i="229"/>
  <c r="BH82" i="229"/>
  <c r="CL51" i="229"/>
  <c r="AQ69" i="229"/>
  <c r="AQ99" i="229" s="1"/>
  <c r="BM80" i="229"/>
  <c r="DH8" i="229"/>
  <c r="DH14" i="229"/>
  <c r="DP14" i="229"/>
  <c r="CE29" i="229"/>
  <c r="DI52" i="229"/>
  <c r="DW52" i="229"/>
  <c r="DX52" i="229"/>
  <c r="DX49" i="229"/>
  <c r="DX37" i="229"/>
  <c r="AJ56" i="229"/>
  <c r="AT56" i="229"/>
  <c r="CH56" i="229"/>
  <c r="AN58" i="229"/>
  <c r="DW62" i="229"/>
  <c r="BL94" i="229"/>
  <c r="BP95" i="229" s="1"/>
  <c r="I45" i="229"/>
  <c r="I125" i="229"/>
  <c r="Q45" i="229"/>
  <c r="Q125" i="229"/>
  <c r="Y45" i="229"/>
  <c r="Y125" i="229"/>
  <c r="AG45" i="229"/>
  <c r="AG125" i="229"/>
  <c r="AO45" i="229"/>
  <c r="AO125" i="229"/>
  <c r="AW45" i="229"/>
  <c r="AW125" i="229"/>
  <c r="BE45" i="229"/>
  <c r="BE125" i="229"/>
  <c r="BM45" i="229"/>
  <c r="BM125" i="229"/>
  <c r="BU45" i="229"/>
  <c r="BU125" i="229"/>
  <c r="CC45" i="229"/>
  <c r="CC125" i="229"/>
  <c r="CK45" i="229"/>
  <c r="CK125" i="229"/>
  <c r="CS45" i="229"/>
  <c r="CS125" i="229"/>
  <c r="DG45" i="229"/>
  <c r="DG125" i="229"/>
  <c r="DO45" i="229"/>
  <c r="DO125" i="229"/>
  <c r="DW45" i="229"/>
  <c r="DW125" i="229"/>
  <c r="F45" i="229"/>
  <c r="F125" i="229"/>
  <c r="AD45" i="229"/>
  <c r="AD125" i="229"/>
  <c r="BB45" i="229"/>
  <c r="BB125" i="229"/>
  <c r="BR45" i="229"/>
  <c r="BR125" i="229"/>
  <c r="CP45" i="229"/>
  <c r="CP125" i="229"/>
  <c r="DT45" i="229"/>
  <c r="DT125" i="229"/>
  <c r="BL80" i="229"/>
  <c r="CX77" i="229"/>
  <c r="CU76" i="229"/>
  <c r="CU87" i="229"/>
  <c r="CX88" i="229"/>
  <c r="AE45" i="229"/>
  <c r="AE125" i="229"/>
  <c r="CA45" i="229"/>
  <c r="CA125" i="229"/>
  <c r="DE45" i="229"/>
  <c r="DE125" i="229"/>
  <c r="J45" i="229"/>
  <c r="J125" i="229"/>
  <c r="Z45" i="229"/>
  <c r="Z125" i="229"/>
  <c r="AX45" i="229"/>
  <c r="AX125" i="229"/>
  <c r="CD45" i="229"/>
  <c r="CD125" i="229"/>
  <c r="DH45" i="229"/>
  <c r="DH125" i="229"/>
  <c r="BB93" i="229"/>
  <c r="AI93" i="229"/>
  <c r="AQ91" i="229"/>
  <c r="BQ80" i="229"/>
  <c r="DN59" i="229"/>
  <c r="AQ83" i="229"/>
  <c r="DI74" i="229"/>
  <c r="DJ47" i="229"/>
  <c r="DJ52" i="229" s="1"/>
  <c r="AY98" i="229"/>
  <c r="DL98" i="229" s="1"/>
  <c r="DL52" i="229"/>
  <c r="BD50" i="229"/>
  <c r="BN50" i="229"/>
  <c r="CM50" i="229"/>
  <c r="AP56" i="229"/>
  <c r="BA56" i="229"/>
  <c r="BJ56" i="229"/>
  <c r="DN62" i="229"/>
  <c r="BE80" i="229"/>
  <c r="BV84" i="229"/>
  <c r="AL77" i="229"/>
  <c r="AR84" i="229"/>
  <c r="CR84" i="229"/>
  <c r="CH88" i="229"/>
  <c r="BM100" i="229"/>
  <c r="K45" i="229"/>
  <c r="K125" i="229"/>
  <c r="S45" i="229"/>
  <c r="S125" i="229"/>
  <c r="AA45" i="229"/>
  <c r="AA125" i="229"/>
  <c r="AI45" i="229"/>
  <c r="AI125" i="229"/>
  <c r="AQ45" i="229"/>
  <c r="AQ125" i="229"/>
  <c r="AY45" i="229"/>
  <c r="AY125" i="229"/>
  <c r="BG45" i="229"/>
  <c r="BG125" i="229"/>
  <c r="BO45" i="229"/>
  <c r="BO125" i="229"/>
  <c r="BW45" i="229"/>
  <c r="BW125" i="229"/>
  <c r="CE45" i="229"/>
  <c r="CE125" i="229"/>
  <c r="CM45" i="229"/>
  <c r="CM125" i="229"/>
  <c r="DA45" i="229"/>
  <c r="DA125" i="229"/>
  <c r="DI45" i="229"/>
  <c r="DI125" i="229"/>
  <c r="DQ45" i="229"/>
  <c r="DQ125" i="229"/>
  <c r="DY45" i="229"/>
  <c r="DY125" i="229"/>
  <c r="CS77" i="229"/>
  <c r="CW77" i="229"/>
  <c r="N45" i="229"/>
  <c r="N125" i="229"/>
  <c r="AL45" i="229"/>
  <c r="AL125" i="229"/>
  <c r="BJ45" i="229"/>
  <c r="BJ125" i="229"/>
  <c r="CH45" i="229"/>
  <c r="CH125" i="229"/>
  <c r="DL45" i="229"/>
  <c r="DL125" i="229"/>
  <c r="DU37" i="229"/>
  <c r="DT52" i="229"/>
  <c r="BX86" i="229"/>
  <c r="BX88" i="229" s="1"/>
  <c r="G45" i="229"/>
  <c r="G125" i="229"/>
  <c r="W45" i="229"/>
  <c r="W125" i="229"/>
  <c r="AM45" i="229"/>
  <c r="AM125" i="229"/>
  <c r="BC45" i="229"/>
  <c r="BC125" i="229"/>
  <c r="BS45" i="229"/>
  <c r="BS125" i="229"/>
  <c r="CQ45" i="229"/>
  <c r="CQ125" i="229"/>
  <c r="DU45" i="229"/>
  <c r="DU125" i="229"/>
  <c r="AZ94" i="229"/>
  <c r="BD95" i="229" s="1"/>
  <c r="BB80" i="229"/>
  <c r="DI62" i="229"/>
  <c r="R45" i="229"/>
  <c r="R125" i="229"/>
  <c r="AP45" i="229"/>
  <c r="AP125" i="229"/>
  <c r="BF45" i="229"/>
  <c r="BF125" i="229"/>
  <c r="BV45" i="229"/>
  <c r="BV125" i="229"/>
  <c r="CT45" i="229"/>
  <c r="CT125" i="229"/>
  <c r="DX45" i="229"/>
  <c r="DX125" i="229"/>
  <c r="DJ59" i="229"/>
  <c r="BN91" i="229"/>
  <c r="BR92" i="229" s="1"/>
  <c r="BL91" i="229"/>
  <c r="BP92" i="229" s="1"/>
  <c r="BM79" i="229"/>
  <c r="BX52" i="229"/>
  <c r="AN82" i="229"/>
  <c r="AQ48" i="229"/>
  <c r="CK49" i="229"/>
  <c r="CK50" i="229" s="1"/>
  <c r="BX61" i="229"/>
  <c r="CI50" i="229"/>
  <c r="DQ62" i="229"/>
  <c r="BG79" i="229"/>
  <c r="CY78" i="229"/>
  <c r="CO84" i="229"/>
  <c r="CS84" i="229"/>
  <c r="DW86" i="229"/>
  <c r="CI88" i="229"/>
  <c r="CU89" i="229"/>
  <c r="CY89" i="229"/>
  <c r="CQ95" i="229"/>
  <c r="AZ100" i="229"/>
  <c r="D45" i="229"/>
  <c r="D125" i="229"/>
  <c r="L45" i="229"/>
  <c r="L125" i="229"/>
  <c r="T45" i="229"/>
  <c r="T125" i="229"/>
  <c r="AB45" i="229"/>
  <c r="AB125" i="229"/>
  <c r="AJ45" i="229"/>
  <c r="AJ125" i="229"/>
  <c r="AR45" i="229"/>
  <c r="AR125" i="229"/>
  <c r="AZ45" i="229"/>
  <c r="AZ125" i="229"/>
  <c r="BH45" i="229"/>
  <c r="BH125" i="229"/>
  <c r="BP45" i="229"/>
  <c r="BP125" i="229"/>
  <c r="BX45" i="229"/>
  <c r="BX125" i="229"/>
  <c r="CF45" i="229"/>
  <c r="CF125" i="229"/>
  <c r="CN45" i="229"/>
  <c r="CN125" i="229"/>
  <c r="DB45" i="229"/>
  <c r="DB125" i="229"/>
  <c r="DJ45" i="229"/>
  <c r="DJ125" i="229"/>
  <c r="DR45" i="229"/>
  <c r="DR125" i="229"/>
  <c r="DZ45" i="229"/>
  <c r="DZ125" i="229"/>
  <c r="CV62" i="229"/>
  <c r="CV66" i="229" s="1"/>
  <c r="CV52" i="229"/>
  <c r="CV47" i="229" s="1"/>
  <c r="DT62" i="229"/>
  <c r="V45" i="229"/>
  <c r="V125" i="229"/>
  <c r="AT45" i="229"/>
  <c r="AT125" i="229"/>
  <c r="BZ45" i="229"/>
  <c r="BZ125" i="229"/>
  <c r="DD45" i="229"/>
  <c r="DD125" i="229"/>
  <c r="AM80" i="229"/>
  <c r="AQ81" i="229" s="1"/>
  <c r="DU62" i="229"/>
  <c r="O45" i="229"/>
  <c r="O125" i="229"/>
  <c r="AU45" i="229"/>
  <c r="AU125" i="229"/>
  <c r="BK45" i="229"/>
  <c r="BK125" i="229"/>
  <c r="CI45" i="229"/>
  <c r="CI125" i="229"/>
  <c r="DM45" i="229"/>
  <c r="DM125" i="229"/>
  <c r="AM82" i="229"/>
  <c r="DV52" i="229"/>
  <c r="DW37" i="229"/>
  <c r="BE56" i="229"/>
  <c r="CI56" i="229"/>
  <c r="AH45" i="229"/>
  <c r="AH125" i="229"/>
  <c r="BN45" i="229"/>
  <c r="BN125" i="229"/>
  <c r="CL45" i="229"/>
  <c r="CL125" i="229"/>
  <c r="DP45" i="229"/>
  <c r="DP125" i="229"/>
  <c r="BN79" i="229"/>
  <c r="BC66" i="229"/>
  <c r="AR48" i="229"/>
  <c r="CK69" i="229"/>
  <c r="CK70" i="229" s="1"/>
  <c r="DL23" i="229"/>
  <c r="CU63" i="229"/>
  <c r="CU53" i="229"/>
  <c r="DQ69" i="229"/>
  <c r="DQ99" i="229" s="1"/>
  <c r="DR62" i="229"/>
  <c r="BP60" i="229"/>
  <c r="BZ60" i="229"/>
  <c r="AW80" i="229"/>
  <c r="AH77" i="229"/>
  <c r="AL78" i="229" s="1"/>
  <c r="AN81" i="229"/>
  <c r="CG81" i="229"/>
  <c r="CG84" i="229"/>
  <c r="BN94" i="229"/>
  <c r="BR95" i="229" s="1"/>
  <c r="CE88" i="229"/>
  <c r="BY95" i="229"/>
  <c r="DR105" i="229"/>
  <c r="DV121" i="229"/>
  <c r="E45" i="229"/>
  <c r="E125" i="229"/>
  <c r="M45" i="229"/>
  <c r="M125" i="229"/>
  <c r="U45" i="229"/>
  <c r="U125" i="229"/>
  <c r="AC45" i="229"/>
  <c r="AC125" i="229"/>
  <c r="AK45" i="229"/>
  <c r="AK125" i="229"/>
  <c r="AS45" i="229"/>
  <c r="AS125" i="229"/>
  <c r="BA45" i="229"/>
  <c r="BA125" i="229"/>
  <c r="BI45" i="229"/>
  <c r="BI125" i="229"/>
  <c r="BQ45" i="229"/>
  <c r="BQ125" i="229"/>
  <c r="BY45" i="229"/>
  <c r="BY125" i="229"/>
  <c r="CG45" i="229"/>
  <c r="CG125" i="229"/>
  <c r="CO45" i="229"/>
  <c r="CO125" i="229"/>
  <c r="DC45" i="229"/>
  <c r="DC125" i="229"/>
  <c r="DK45" i="229"/>
  <c r="DK125" i="229"/>
  <c r="DS45" i="229"/>
  <c r="DS125" i="229"/>
  <c r="EA45" i="229"/>
  <c r="EA125" i="229"/>
  <c r="DU108" i="229"/>
  <c r="DT121" i="229"/>
  <c r="BY70" i="229"/>
  <c r="CU70" i="229"/>
  <c r="CU71" i="229" s="1"/>
  <c r="BM70" i="229"/>
  <c r="DW123" i="229"/>
  <c r="DX123" i="229"/>
  <c r="CQ106" i="229"/>
  <c r="CU117" i="229"/>
  <c r="DS105" i="229"/>
  <c r="DR114" i="229"/>
  <c r="CW49" i="1"/>
  <c r="CV48" i="1"/>
  <c r="U50" i="225"/>
  <c r="CW52" i="229"/>
  <c r="CW47" i="229" s="1"/>
  <c r="AD131" i="1"/>
  <c r="AD156" i="1" s="1"/>
  <c r="AK131" i="1"/>
  <c r="AV158" i="1"/>
  <c r="CR150" i="1"/>
  <c r="BC121" i="1"/>
  <c r="DM121" i="1" s="1"/>
  <c r="BG120" i="1"/>
  <c r="DN120" i="1" s="1"/>
  <c r="DN122" i="1"/>
  <c r="AM121" i="1"/>
  <c r="DI121" i="1"/>
  <c r="CT158" i="1"/>
  <c r="CT157" i="1"/>
  <c r="BK120" i="1"/>
  <c r="DO120" i="1" s="1"/>
  <c r="CJ158" i="1"/>
  <c r="AQ121" i="1"/>
  <c r="DJ121" i="1" s="1"/>
  <c r="AV150" i="1"/>
  <c r="AV152" i="1" s="1"/>
  <c r="BM131" i="1"/>
  <c r="AY121" i="1"/>
  <c r="DL121" i="1" s="1"/>
  <c r="BZ70" i="229"/>
  <c r="BB101" i="229"/>
  <c r="BI99" i="229"/>
  <c r="CE70" i="229"/>
  <c r="CR70" i="229"/>
  <c r="BM101" i="229"/>
  <c r="AP101" i="229"/>
  <c r="CO99" i="229"/>
  <c r="BA101" i="229"/>
  <c r="AZ70" i="229"/>
  <c r="CF70" i="229"/>
  <c r="CS70" i="229"/>
  <c r="AM68" i="229"/>
  <c r="AL70" i="229"/>
  <c r="AW70" i="229"/>
  <c r="BJ70" i="229"/>
  <c r="CP70" i="229"/>
  <c r="CT70" i="229"/>
  <c r="AH101" i="229"/>
  <c r="CD70" i="229"/>
  <c r="DV14" i="229"/>
  <c r="DM11" i="229"/>
  <c r="BR28" i="229"/>
  <c r="DH11" i="229"/>
  <c r="DR26" i="229"/>
  <c r="DJ26" i="229"/>
  <c r="DI23" i="229"/>
  <c r="DQ23" i="229"/>
  <c r="DK20" i="229"/>
  <c r="AE28" i="229"/>
  <c r="BK28" i="229"/>
  <c r="BS28" i="229"/>
  <c r="DH17" i="229"/>
  <c r="DW27" i="229"/>
  <c r="DI14" i="229"/>
  <c r="DQ14" i="229"/>
  <c r="DW14" i="229"/>
  <c r="DP11" i="229"/>
  <c r="CR28" i="229"/>
  <c r="DO8" i="229"/>
  <c r="CX29" i="229"/>
  <c r="CX62" i="229" s="1"/>
  <c r="CU28" i="229"/>
  <c r="DN27" i="229"/>
  <c r="CR29" i="229"/>
  <c r="CR53" i="229" s="1"/>
  <c r="AR29" i="229"/>
  <c r="AR63" i="229" s="1"/>
  <c r="CB29" i="229"/>
  <c r="CB53" i="229" s="1"/>
  <c r="DX107" i="1"/>
  <c r="EA20" i="1"/>
  <c r="L20" i="226"/>
  <c r="N20" i="226" s="1"/>
  <c r="L15" i="226"/>
  <c r="N15" i="226" s="1"/>
  <c r="EA14" i="1"/>
  <c r="AI109" i="1"/>
  <c r="AI108" i="1"/>
  <c r="AA31" i="1"/>
  <c r="AA29" i="1"/>
  <c r="AA116" i="1" s="1"/>
  <c r="AA41" i="1"/>
  <c r="AL15" i="1"/>
  <c r="AL51" i="1" s="1"/>
  <c r="BD24" i="1"/>
  <c r="BD26" i="1"/>
  <c r="BD29" i="1" s="1"/>
  <c r="BD116" i="1" s="1"/>
  <c r="BD131" i="1" s="1"/>
  <c r="BA19" i="1"/>
  <c r="AZ109" i="1"/>
  <c r="AZ108" i="1"/>
  <c r="BG109" i="1"/>
  <c r="BG108" i="1"/>
  <c r="BQ108" i="1"/>
  <c r="BR19" i="1"/>
  <c r="DW35" i="1"/>
  <c r="CN33" i="1"/>
  <c r="CO34" i="1" s="1"/>
  <c r="CN36" i="1"/>
  <c r="CN169" i="1"/>
  <c r="CM33" i="1"/>
  <c r="CM34" i="1" s="1"/>
  <c r="CM36" i="1"/>
  <c r="CM169" i="1"/>
  <c r="CI36" i="1"/>
  <c r="CI33" i="1"/>
  <c r="CI169" i="1"/>
  <c r="CG10" i="1"/>
  <c r="CG15" i="1"/>
  <c r="AG34" i="1"/>
  <c r="AD158" i="1"/>
  <c r="AD157" i="1"/>
  <c r="BL26" i="1"/>
  <c r="BL24" i="1"/>
  <c r="CC16" i="1"/>
  <c r="CC21" i="1"/>
  <c r="CC51" i="1"/>
  <c r="CC52" i="1" s="1"/>
  <c r="CC100" i="229"/>
  <c r="CC98" i="229" s="1"/>
  <c r="P10" i="1"/>
  <c r="P15" i="1"/>
  <c r="W15" i="1"/>
  <c r="W10" i="1"/>
  <c r="AE10" i="1"/>
  <c r="AE15" i="1"/>
  <c r="AO109" i="1"/>
  <c r="AO108" i="1"/>
  <c r="AP19" i="1"/>
  <c r="AD34" i="1"/>
  <c r="AL34" i="1"/>
  <c r="AT34" i="1"/>
  <c r="DM34" i="1"/>
  <c r="BB34" i="1"/>
  <c r="BJ34" i="1"/>
  <c r="BR34" i="1"/>
  <c r="BS34" i="1"/>
  <c r="CR41" i="1"/>
  <c r="CR29" i="1"/>
  <c r="CR31" i="1"/>
  <c r="AD31" i="1"/>
  <c r="BE21" i="1"/>
  <c r="BE51" i="1"/>
  <c r="BX109" i="1"/>
  <c r="BY19" i="1"/>
  <c r="BX108" i="1"/>
  <c r="AT24" i="1"/>
  <c r="AT26" i="1"/>
  <c r="AT41" i="1" s="1"/>
  <c r="AQ19" i="1"/>
  <c r="AP108" i="1"/>
  <c r="AP109" i="1"/>
  <c r="BK34" i="1"/>
  <c r="BA15" i="1"/>
  <c r="BS92" i="1"/>
  <c r="CK21" i="1"/>
  <c r="CK51" i="1"/>
  <c r="CK52" i="1" s="1"/>
  <c r="CK100" i="229"/>
  <c r="CK98" i="229" s="1"/>
  <c r="CK99" i="229" s="1"/>
  <c r="CK16" i="1"/>
  <c r="BK24" i="1"/>
  <c r="BL104" i="1" s="1"/>
  <c r="BL112" i="1" s="1"/>
  <c r="BK26" i="1"/>
  <c r="Y34" i="1"/>
  <c r="Z34" i="1"/>
  <c r="AO34" i="1"/>
  <c r="AP34" i="1"/>
  <c r="AW34" i="1"/>
  <c r="AX34" i="1"/>
  <c r="BE34" i="1"/>
  <c r="BF34" i="1"/>
  <c r="BM34" i="1"/>
  <c r="BN34" i="1"/>
  <c r="AH42" i="1"/>
  <c r="CD158" i="1"/>
  <c r="CD157" i="1"/>
  <c r="S171" i="1"/>
  <c r="CQ100" i="229"/>
  <c r="CQ101" i="229" s="1"/>
  <c r="CQ21" i="1"/>
  <c r="AH29" i="1"/>
  <c r="AH116" i="1" s="1"/>
  <c r="AH31" i="1"/>
  <c r="O34" i="1"/>
  <c r="M21" i="1"/>
  <c r="AE109" i="1"/>
  <c r="AE108" i="1"/>
  <c r="CO31" i="1"/>
  <c r="CO40" i="1" s="1"/>
  <c r="CO41" i="1"/>
  <c r="CO29" i="1"/>
  <c r="R34" i="1"/>
  <c r="Q34" i="1"/>
  <c r="AW19" i="1"/>
  <c r="AV108" i="1"/>
  <c r="AV109" i="1"/>
  <c r="CP169" i="1"/>
  <c r="CP36" i="1"/>
  <c r="CP33" i="1"/>
  <c r="CP34" i="1" s="1"/>
  <c r="BT34" i="1"/>
  <c r="BU34" i="1"/>
  <c r="BE16" i="1"/>
  <c r="BI26" i="1"/>
  <c r="BI31" i="1" s="1"/>
  <c r="BI24" i="1"/>
  <c r="Q21" i="1"/>
  <c r="Q24" i="1" s="1"/>
  <c r="S39" i="1"/>
  <c r="AV40" i="1"/>
  <c r="AV171" i="1"/>
  <c r="BM53" i="1"/>
  <c r="BM52" i="1"/>
  <c r="AJ16" i="1"/>
  <c r="AJ21" i="1"/>
  <c r="AJ51" i="1"/>
  <c r="AJ52" i="1" s="1"/>
  <c r="BD52" i="1"/>
  <c r="BH53" i="1"/>
  <c r="I21" i="1"/>
  <c r="I24" i="1" s="1"/>
  <c r="CC108" i="1"/>
  <c r="CC109" i="1"/>
  <c r="AS10" i="1"/>
  <c r="AS15" i="1"/>
  <c r="AZ10" i="1"/>
  <c r="AZ15" i="1"/>
  <c r="AZ21" i="1" s="1"/>
  <c r="BG15" i="1"/>
  <c r="BG10" i="1"/>
  <c r="BS15" i="1"/>
  <c r="BS10" i="1"/>
  <c r="H36" i="1"/>
  <c r="H33" i="1"/>
  <c r="U33" i="1"/>
  <c r="U36" i="1"/>
  <c r="DE35" i="1"/>
  <c r="DE36" i="1" s="1"/>
  <c r="J92" i="1"/>
  <c r="AU108" i="1"/>
  <c r="AU109" i="1"/>
  <c r="CJ34" i="1"/>
  <c r="CB100" i="229"/>
  <c r="CB98" i="229" s="1"/>
  <c r="CB99" i="229" s="1"/>
  <c r="CB51" i="1"/>
  <c r="CB21" i="1"/>
  <c r="CB16" i="1"/>
  <c r="CG90" i="1"/>
  <c r="CG92" i="1" s="1"/>
  <c r="F10" i="1"/>
  <c r="F15" i="1"/>
  <c r="AX15" i="1"/>
  <c r="AX10" i="1"/>
  <c r="BL51" i="1"/>
  <c r="BL52" i="1" s="1"/>
  <c r="BL16" i="1"/>
  <c r="BR21" i="1"/>
  <c r="BR16" i="1"/>
  <c r="G36" i="1"/>
  <c r="G33" i="1"/>
  <c r="G34" i="1" s="1"/>
  <c r="N34" i="1"/>
  <c r="V92" i="1"/>
  <c r="AN92" i="1"/>
  <c r="CK108" i="1"/>
  <c r="CK90" i="1"/>
  <c r="CK92" i="1" s="1"/>
  <c r="G19" i="1"/>
  <c r="F108" i="1"/>
  <c r="F109" i="1"/>
  <c r="S108" i="1"/>
  <c r="S109" i="1"/>
  <c r="Y108" i="1"/>
  <c r="Z19" i="1"/>
  <c r="Y109" i="1"/>
  <c r="BB19" i="1"/>
  <c r="BA109" i="1"/>
  <c r="BR108" i="1"/>
  <c r="BR109" i="1"/>
  <c r="BS19" i="1"/>
  <c r="CT169" i="1"/>
  <c r="AE34" i="1"/>
  <c r="AM34" i="1"/>
  <c r="AU34" i="1"/>
  <c r="BC34" i="1"/>
  <c r="AK171" i="1"/>
  <c r="CN100" i="229"/>
  <c r="CN98" i="229" s="1"/>
  <c r="CN99" i="229" s="1"/>
  <c r="BA108" i="1"/>
  <c r="BY92" i="1"/>
  <c r="AP15" i="1"/>
  <c r="AP10" i="1"/>
  <c r="CT15" i="1"/>
  <c r="CT10" i="1"/>
  <c r="CG109" i="1"/>
  <c r="CG108" i="1"/>
  <c r="CH19" i="1"/>
  <c r="N21" i="1"/>
  <c r="AR15" i="1"/>
  <c r="AR10" i="1"/>
  <c r="AY10" i="1"/>
  <c r="AY15" i="1"/>
  <c r="N36" i="1"/>
  <c r="N33" i="1"/>
  <c r="T33" i="1"/>
  <c r="T36" i="1"/>
  <c r="AO92" i="1"/>
  <c r="BG92" i="1"/>
  <c r="BB109" i="1"/>
  <c r="BB108" i="1"/>
  <c r="CM109" i="1"/>
  <c r="CM108" i="1"/>
  <c r="AN34" i="1"/>
  <c r="BD34" i="1"/>
  <c r="BL34" i="1"/>
  <c r="AC26" i="1"/>
  <c r="AH24" i="1"/>
  <c r="BK103" i="1"/>
  <c r="BK110" i="1" s="1"/>
  <c r="CS26" i="1"/>
  <c r="CS31" i="1" s="1"/>
  <c r="Y53" i="1"/>
  <c r="BX21" i="1"/>
  <c r="CC158" i="1"/>
  <c r="CC157" i="1"/>
  <c r="G21" i="1"/>
  <c r="BN21" i="1"/>
  <c r="BN16" i="1"/>
  <c r="BN51" i="1"/>
  <c r="BT109" i="1"/>
  <c r="BU19" i="1"/>
  <c r="BT108" i="1"/>
  <c r="X10" i="1"/>
  <c r="X15" i="1"/>
  <c r="AF10" i="1"/>
  <c r="AF15" i="1"/>
  <c r="AM10" i="1"/>
  <c r="AM15" i="1"/>
  <c r="AW104" i="1"/>
  <c r="AW112" i="1" s="1"/>
  <c r="AT16" i="1"/>
  <c r="BP92" i="1"/>
  <c r="W92" i="1"/>
  <c r="BH90" i="1"/>
  <c r="BH92" i="1" s="1"/>
  <c r="AW24" i="1"/>
  <c r="AW26" i="1"/>
  <c r="AW31" i="1" s="1"/>
  <c r="AW40" i="1" s="1"/>
  <c r="BR51" i="1"/>
  <c r="BV53" i="1" s="1"/>
  <c r="AU92" i="1"/>
  <c r="AD16" i="1"/>
  <c r="AD51" i="1"/>
  <c r="AD52" i="1" s="1"/>
  <c r="BQ51" i="1"/>
  <c r="F34" i="1"/>
  <c r="O21" i="1"/>
  <c r="F92" i="1"/>
  <c r="AL92" i="1"/>
  <c r="BK92" i="1"/>
  <c r="CE100" i="229"/>
  <c r="CE98" i="229" s="1"/>
  <c r="CE99" i="229" s="1"/>
  <c r="CE21" i="1"/>
  <c r="CE26" i="1" s="1"/>
  <c r="CK158" i="1"/>
  <c r="CK157" i="1"/>
  <c r="D21" i="1"/>
  <c r="Y21" i="1"/>
  <c r="AG15" i="1"/>
  <c r="AG10" i="1"/>
  <c r="AN21" i="1"/>
  <c r="AC92" i="1"/>
  <c r="BT92" i="1"/>
  <c r="AW92" i="1"/>
  <c r="BZ92" i="1"/>
  <c r="V108" i="1"/>
  <c r="V109" i="1"/>
  <c r="W19" i="1"/>
  <c r="AJ109" i="1"/>
  <c r="AK19" i="1"/>
  <c r="AQ108" i="1"/>
  <c r="AQ109" i="1"/>
  <c r="AW109" i="1"/>
  <c r="AW108" i="1"/>
  <c r="CJ169" i="1"/>
  <c r="DV35" i="1"/>
  <c r="DV169" i="1" s="1"/>
  <c r="DU35" i="1"/>
  <c r="T28" i="225"/>
  <c r="V28" i="225"/>
  <c r="U28" i="225"/>
  <c r="W28" i="225"/>
  <c r="CA21" i="1"/>
  <c r="K21" i="1"/>
  <c r="R10" i="1"/>
  <c r="R15" i="1"/>
  <c r="R51" i="1" s="1"/>
  <c r="R52" i="1" s="1"/>
  <c r="Z10" i="1"/>
  <c r="Z15" i="1"/>
  <c r="M92" i="1"/>
  <c r="AK92" i="1"/>
  <c r="BC92" i="1"/>
  <c r="BJ92" i="1"/>
  <c r="CA90" i="1"/>
  <c r="CA92" i="1" s="1"/>
  <c r="Q108" i="1"/>
  <c r="R19" i="1"/>
  <c r="AR109" i="1"/>
  <c r="AS19" i="1"/>
  <c r="AR108" i="1"/>
  <c r="DG119" i="1"/>
  <c r="DM119" i="1"/>
  <c r="CJ10" i="1"/>
  <c r="CJ15" i="1"/>
  <c r="CE33" i="1"/>
  <c r="CE36" i="1"/>
  <c r="CC169" i="1"/>
  <c r="CC36" i="1"/>
  <c r="CC33" i="1"/>
  <c r="CD34" i="1" s="1"/>
  <c r="CE123" i="1"/>
  <c r="CE98" i="1"/>
  <c r="AA92" i="1"/>
  <c r="BP21" i="1"/>
  <c r="E15" i="1"/>
  <c r="E10" i="1"/>
  <c r="L21" i="1"/>
  <c r="BK16" i="1"/>
  <c r="L33" i="1"/>
  <c r="M34" i="1" s="1"/>
  <c r="L36" i="1"/>
  <c r="S33" i="1"/>
  <c r="S34" i="1" s="1"/>
  <c r="S36" i="1"/>
  <c r="AY90" i="1"/>
  <c r="AY92" i="1" s="1"/>
  <c r="AY108" i="1"/>
  <c r="E109" i="1"/>
  <c r="E108" i="1"/>
  <c r="F19" i="1"/>
  <c r="L109" i="1"/>
  <c r="L108" i="1"/>
  <c r="R109" i="1"/>
  <c r="S19" i="1"/>
  <c r="R108" i="1"/>
  <c r="BG19" i="1"/>
  <c r="BF108" i="1"/>
  <c r="BF109" i="1"/>
  <c r="BP108" i="1"/>
  <c r="CQ169" i="1"/>
  <c r="CQ36" i="1"/>
  <c r="CQ33" i="1"/>
  <c r="CC150" i="1"/>
  <c r="P34" i="1"/>
  <c r="CB158" i="1"/>
  <c r="CB157" i="1"/>
  <c r="BH21" i="1"/>
  <c r="CD100" i="229"/>
  <c r="CD98" i="229" s="1"/>
  <c r="CD99" i="229" s="1"/>
  <c r="T21" i="1"/>
  <c r="CR92" i="1"/>
  <c r="AB51" i="1"/>
  <c r="CF158" i="1"/>
  <c r="CJ159" i="1" s="1"/>
  <c r="CF157" i="1"/>
  <c r="H21" i="1"/>
  <c r="V69" i="225"/>
  <c r="AA16" i="1"/>
  <c r="AD104" i="1"/>
  <c r="AD112" i="1" s="1"/>
  <c r="AW51" i="1"/>
  <c r="AW52" i="1" s="1"/>
  <c r="BO21" i="1"/>
  <c r="CR158" i="1"/>
  <c r="CR157" i="1"/>
  <c r="CN158" i="1"/>
  <c r="CN157" i="1"/>
  <c r="CM100" i="229"/>
  <c r="CM98" i="229" s="1"/>
  <c r="CM99" i="229" s="1"/>
  <c r="CS158" i="1"/>
  <c r="CS157" i="1"/>
  <c r="J21" i="1"/>
  <c r="CT28" i="229"/>
  <c r="BC50" i="229"/>
  <c r="AV56" i="229"/>
  <c r="CC66" i="229"/>
  <c r="AJ101" i="229"/>
  <c r="CB56" i="229"/>
  <c r="BT112" i="229"/>
  <c r="BI28" i="229"/>
  <c r="BB50" i="229"/>
  <c r="CJ56" i="229"/>
  <c r="CH60" i="229"/>
  <c r="CP60" i="229"/>
  <c r="BE66" i="229"/>
  <c r="BI66" i="229"/>
  <c r="CL66" i="229"/>
  <c r="BD88" i="229"/>
  <c r="BB56" i="229"/>
  <c r="AK60" i="229"/>
  <c r="AT70" i="229"/>
  <c r="AW50" i="229"/>
  <c r="BP56" i="229"/>
  <c r="BN28" i="229"/>
  <c r="BH88" i="229"/>
  <c r="BQ50" i="229"/>
  <c r="AK56" i="229"/>
  <c r="AZ66" i="229"/>
  <c r="AV99" i="229"/>
  <c r="CS87" i="229"/>
  <c r="CP115" i="229"/>
  <c r="BS101" i="229"/>
  <c r="AR77" i="229"/>
  <c r="AK81" i="229"/>
  <c r="CD84" i="229"/>
  <c r="AJ92" i="229"/>
  <c r="CD92" i="229"/>
  <c r="AL95" i="229"/>
  <c r="CG95" i="229"/>
  <c r="CD87" i="229"/>
  <c r="CQ53" i="229"/>
  <c r="AO50" i="229"/>
  <c r="AZ50" i="229"/>
  <c r="BR56" i="229"/>
  <c r="CQ56" i="229"/>
  <c r="BU60" i="229"/>
  <c r="AR66" i="229"/>
  <c r="CE66" i="229"/>
  <c r="BP101" i="229"/>
  <c r="AG77" i="229"/>
  <c r="AK78" i="229" s="1"/>
  <c r="CC77" i="229"/>
  <c r="CL77" i="229"/>
  <c r="BU81" i="229"/>
  <c r="AK88" i="229"/>
  <c r="BT95" i="229"/>
  <c r="CH95" i="229"/>
  <c r="AZ101" i="229"/>
  <c r="CS76" i="229"/>
  <c r="CK87" i="229"/>
  <c r="BT92" i="229"/>
  <c r="BT106" i="229"/>
  <c r="CG115" i="229"/>
  <c r="BQ101" i="229"/>
  <c r="AO76" i="229"/>
  <c r="BR88" i="229"/>
  <c r="BV89" i="229" s="1"/>
  <c r="AY53" i="229"/>
  <c r="AX101" i="229"/>
  <c r="BH70" i="229"/>
  <c r="BI76" i="229"/>
  <c r="CI106" i="229"/>
  <c r="AD28" i="229"/>
  <c r="AP29" i="229"/>
  <c r="AP53" i="229" s="1"/>
  <c r="AT28" i="229"/>
  <c r="BZ28" i="229"/>
  <c r="BT87" i="229"/>
  <c r="CG28" i="229"/>
  <c r="BB60" i="229"/>
  <c r="BV88" i="229"/>
  <c r="BH87" i="229"/>
  <c r="BY28" i="229"/>
  <c r="CJ76" i="229"/>
  <c r="CR76" i="229"/>
  <c r="CB106" i="229"/>
  <c r="CA109" i="229"/>
  <c r="BT109" i="229"/>
  <c r="AR88" i="229"/>
  <c r="BZ95" i="229"/>
  <c r="CO28" i="229"/>
  <c r="CI76" i="229"/>
  <c r="BQ88" i="229"/>
  <c r="CS88" i="229"/>
  <c r="CW89" i="229" s="1"/>
  <c r="CC92" i="229"/>
  <c r="CM92" i="229"/>
  <c r="CQ92" i="229"/>
  <c r="AK95" i="229"/>
  <c r="CE95" i="229"/>
  <c r="CO95" i="229"/>
  <c r="CS95" i="229"/>
  <c r="CF117" i="229"/>
  <c r="K38" i="225"/>
  <c r="K92" i="225"/>
  <c r="K70" i="225"/>
  <c r="M40" i="225"/>
  <c r="K40" i="225" s="1"/>
  <c r="K100" i="225"/>
  <c r="O50" i="225"/>
  <c r="V36" i="225"/>
  <c r="I52" i="225"/>
  <c r="G52" i="225" s="1"/>
  <c r="G97" i="225"/>
  <c r="K84" i="225"/>
  <c r="I66" i="225"/>
  <c r="G79" i="225"/>
  <c r="G85" i="225"/>
  <c r="M66" i="225"/>
  <c r="K66" i="225" s="1"/>
  <c r="G72" i="225"/>
  <c r="E56" i="225"/>
  <c r="O92" i="225"/>
  <c r="O98" i="225"/>
  <c r="V78" i="225"/>
  <c r="G51" i="225"/>
  <c r="K86" i="225"/>
  <c r="O86" i="225"/>
  <c r="U37" i="225"/>
  <c r="O83" i="225"/>
  <c r="U64" i="225"/>
  <c r="I99" i="225"/>
  <c r="G66" i="225"/>
  <c r="W69" i="225"/>
  <c r="G65" i="225"/>
  <c r="I71" i="225"/>
  <c r="G71" i="225" s="1"/>
  <c r="K37" i="225"/>
  <c r="O78" i="225"/>
  <c r="U93" i="225"/>
  <c r="W93" i="225"/>
  <c r="D12" i="222"/>
  <c r="G12" i="222" s="1"/>
  <c r="D17" i="222"/>
  <c r="I11" i="222"/>
  <c r="G39" i="223"/>
  <c r="G11" i="222"/>
  <c r="G31" i="222"/>
  <c r="EA29" i="229"/>
  <c r="EA62" i="229" s="1"/>
  <c r="DY31" i="229"/>
  <c r="BY106" i="229"/>
  <c r="CH109" i="229"/>
  <c r="BY115" i="229"/>
  <c r="CM117" i="229"/>
  <c r="BZ115" i="229"/>
  <c r="CA112" i="229"/>
  <c r="CL117" i="229"/>
  <c r="BZ109" i="229"/>
  <c r="CQ117" i="229"/>
  <c r="BR115" i="229"/>
  <c r="BS112" i="229"/>
  <c r="DS108" i="229"/>
  <c r="CO115" i="229"/>
  <c r="CG106" i="229"/>
  <c r="CA115" i="229"/>
  <c r="DU123" i="229"/>
  <c r="CG112" i="229"/>
  <c r="BS106" i="229"/>
  <c r="DT108" i="229"/>
  <c r="DS114" i="229"/>
  <c r="CG117" i="229"/>
  <c r="BY112" i="229"/>
  <c r="BS115" i="229"/>
  <c r="BW117" i="229"/>
  <c r="BQ106" i="229"/>
  <c r="CE117" i="229"/>
  <c r="DL163" i="1"/>
  <c r="V96" i="225"/>
  <c r="W64" i="225"/>
  <c r="U54" i="225"/>
  <c r="V42" i="225"/>
  <c r="DG108" i="1"/>
  <c r="DG112" i="1"/>
  <c r="T36" i="225"/>
  <c r="U36" i="225"/>
  <c r="DQ87" i="1"/>
  <c r="T42" i="225"/>
  <c r="W37" i="225"/>
  <c r="T54" i="225"/>
  <c r="V54" i="225"/>
  <c r="V68" i="225"/>
  <c r="T44" i="225"/>
  <c r="T53" i="225"/>
  <c r="T56" i="225"/>
  <c r="W36" i="225"/>
  <c r="T93" i="225"/>
  <c r="DC162" i="1"/>
  <c r="DW162" i="1"/>
  <c r="V56" i="225"/>
  <c r="T98" i="225"/>
  <c r="U98" i="225"/>
  <c r="V64" i="225"/>
  <c r="DR96" i="1"/>
  <c r="DL96" i="1"/>
  <c r="U78" i="225"/>
  <c r="W98" i="225"/>
  <c r="T64" i="225"/>
  <c r="DV95" i="1"/>
  <c r="T81" i="225"/>
  <c r="T96" i="225"/>
  <c r="DU96" i="1"/>
  <c r="DT96" i="1"/>
  <c r="DE87" i="1"/>
  <c r="DP87" i="1"/>
  <c r="DP112" i="1" s="1"/>
  <c r="T37" i="225"/>
  <c r="C66" i="225"/>
  <c r="U66" i="225" s="1"/>
  <c r="H20" i="226"/>
  <c r="J20" i="226" s="1"/>
  <c r="U53" i="225"/>
  <c r="DN95" i="1"/>
  <c r="V37" i="225"/>
  <c r="W65" i="225"/>
  <c r="V53" i="225"/>
  <c r="G15" i="223"/>
  <c r="DM96" i="1"/>
  <c r="DK162" i="1"/>
  <c r="DW95" i="1"/>
  <c r="DR95" i="1"/>
  <c r="V44" i="225"/>
  <c r="T69" i="225"/>
  <c r="DO52" i="1"/>
  <c r="W42" i="225"/>
  <c r="U68" i="225"/>
  <c r="W44" i="225"/>
  <c r="EA107" i="1"/>
  <c r="W81" i="225"/>
  <c r="W82" i="225"/>
  <c r="DK95" i="1"/>
  <c r="DG90" i="1"/>
  <c r="DG92" i="1" s="1"/>
  <c r="U81" i="225"/>
  <c r="V65" i="225"/>
  <c r="U96" i="225"/>
  <c r="T78" i="225"/>
  <c r="T82" i="225"/>
  <c r="V70" i="225"/>
  <c r="W84" i="225"/>
  <c r="U70" i="225"/>
  <c r="T70" i="225"/>
  <c r="T65" i="225"/>
  <c r="V82" i="225"/>
  <c r="T68" i="225"/>
  <c r="V84" i="225"/>
  <c r="DE90" i="1"/>
  <c r="DE92" i="1" s="1"/>
  <c r="C38" i="225"/>
  <c r="T84" i="225"/>
  <c r="DZ107" i="1"/>
  <c r="W78" i="225"/>
  <c r="DX48" i="1"/>
  <c r="DX49" i="1" s="1"/>
  <c r="AS88" i="229"/>
  <c r="BL48" i="229"/>
  <c r="DO47" i="229"/>
  <c r="BP61" i="229"/>
  <c r="BS62" i="229"/>
  <c r="BW66" i="229" s="1"/>
  <c r="CG76" i="229"/>
  <c r="CG77" i="229"/>
  <c r="CP87" i="229"/>
  <c r="BR80" i="229"/>
  <c r="BV81" i="229" s="1"/>
  <c r="DT20" i="229"/>
  <c r="DS20" i="229"/>
  <c r="AI28" i="229"/>
  <c r="AM29" i="229"/>
  <c r="AM53" i="229" s="1"/>
  <c r="AI29" i="229"/>
  <c r="AQ28" i="229"/>
  <c r="AQ29" i="229"/>
  <c r="AQ63" i="229" s="1"/>
  <c r="BW29" i="229"/>
  <c r="BW63" i="229" s="1"/>
  <c r="CA29" i="229"/>
  <c r="CA63" i="229" s="1"/>
  <c r="DS43" i="229"/>
  <c r="DS39" i="229"/>
  <c r="BO49" i="229"/>
  <c r="DU86" i="229"/>
  <c r="BN87" i="229"/>
  <c r="AW93" i="229"/>
  <c r="AY85" i="229"/>
  <c r="AZ93" i="229" s="1"/>
  <c r="AV94" i="229"/>
  <c r="AV95" i="229" s="1"/>
  <c r="DX74" i="229"/>
  <c r="DX83" i="229" s="1"/>
  <c r="DP8" i="229"/>
  <c r="DR14" i="229"/>
  <c r="DL20" i="229"/>
  <c r="CJ84" i="229"/>
  <c r="AL88" i="229"/>
  <c r="BW88" i="229"/>
  <c r="BW87" i="229"/>
  <c r="DM69" i="229"/>
  <c r="DM99" i="229" s="1"/>
  <c r="DM49" i="229"/>
  <c r="CM60" i="229"/>
  <c r="CI60" i="229"/>
  <c r="CQ66" i="229"/>
  <c r="CQ63" i="229"/>
  <c r="AK99" i="229"/>
  <c r="AK101" i="229"/>
  <c r="BF93" i="229"/>
  <c r="AV86" i="229"/>
  <c r="AV88" i="229" s="1"/>
  <c r="AV89" i="229" s="1"/>
  <c r="BO61" i="229"/>
  <c r="CI66" i="229"/>
  <c r="CO70" i="229"/>
  <c r="CA88" i="229"/>
  <c r="CR112" i="229"/>
  <c r="CR106" i="229"/>
  <c r="CR109" i="229"/>
  <c r="CR115" i="229"/>
  <c r="BE93" i="229"/>
  <c r="BE90" i="229"/>
  <c r="CG87" i="229"/>
  <c r="CG88" i="229"/>
  <c r="CO88" i="229"/>
  <c r="CO89" i="229" s="1"/>
  <c r="AV91" i="229"/>
  <c r="AV92" i="229" s="1"/>
  <c r="AY50" i="229"/>
  <c r="BU109" i="229"/>
  <c r="BY117" i="229"/>
  <c r="BU106" i="229"/>
  <c r="BU112" i="229"/>
  <c r="BU115" i="229"/>
  <c r="CC106" i="229"/>
  <c r="CC115" i="229"/>
  <c r="CC112" i="229"/>
  <c r="CK115" i="229"/>
  <c r="CK106" i="229"/>
  <c r="CO117" i="229"/>
  <c r="BA94" i="229"/>
  <c r="BE95" i="229" s="1"/>
  <c r="BQ94" i="229"/>
  <c r="BU95" i="229" s="1"/>
  <c r="AI100" i="229"/>
  <c r="BY77" i="229"/>
  <c r="BV109" i="229"/>
  <c r="AL99" i="229"/>
  <c r="AI97" i="229"/>
  <c r="AE58" i="229"/>
  <c r="BA91" i="229"/>
  <c r="BA92" i="229" s="1"/>
  <c r="DL14" i="229"/>
  <c r="AN50" i="229"/>
  <c r="BH50" i="229"/>
  <c r="BR50" i="229"/>
  <c r="AP66" i="229"/>
  <c r="BA66" i="229"/>
  <c r="AY56" i="229"/>
  <c r="CM112" i="229"/>
  <c r="BB91" i="229"/>
  <c r="AX93" i="229"/>
  <c r="BM93" i="229"/>
  <c r="AW94" i="229"/>
  <c r="AW95" i="229" s="1"/>
  <c r="AI79" i="229"/>
  <c r="DS74" i="229"/>
  <c r="DS83" i="229" s="1"/>
  <c r="CT76" i="229"/>
  <c r="CB75" i="229"/>
  <c r="CC76" i="229" s="1"/>
  <c r="CB83" i="229"/>
  <c r="CF84" i="229" s="1"/>
  <c r="BX62" i="229"/>
  <c r="BX66" i="229" s="1"/>
  <c r="BP48" i="229"/>
  <c r="BY61" i="229"/>
  <c r="CM56" i="229"/>
  <c r="AL28" i="229"/>
  <c r="CD109" i="229"/>
  <c r="DK27" i="229"/>
  <c r="DU11" i="229"/>
  <c r="DW43" i="229"/>
  <c r="AS50" i="229"/>
  <c r="CL50" i="229"/>
  <c r="BI79" i="229"/>
  <c r="DV116" i="229"/>
  <c r="DV106" i="229" s="1"/>
  <c r="DS111" i="229"/>
  <c r="DS123" i="229"/>
  <c r="CB62" i="229"/>
  <c r="CF66" i="229" s="1"/>
  <c r="DW94" i="229"/>
  <c r="BN93" i="229"/>
  <c r="BM90" i="229"/>
  <c r="CB80" i="229"/>
  <c r="CF81" i="229" s="1"/>
  <c r="BX58" i="229"/>
  <c r="BT66" i="229"/>
  <c r="BC56" i="229"/>
  <c r="CH117" i="229"/>
  <c r="BO115" i="229"/>
  <c r="AX94" i="229"/>
  <c r="CH76" i="229"/>
  <c r="BX75" i="229"/>
  <c r="CB82" i="229"/>
  <c r="BX69" i="229"/>
  <c r="BX101" i="229" s="1"/>
  <c r="DT39" i="229"/>
  <c r="BN29" i="229"/>
  <c r="BN63" i="229" s="1"/>
  <c r="DI11" i="229"/>
  <c r="AN56" i="229"/>
  <c r="CA28" i="229"/>
  <c r="BV112" i="229"/>
  <c r="CH77" i="229"/>
  <c r="CN81" i="229"/>
  <c r="CR81" i="229"/>
  <c r="AN84" i="229"/>
  <c r="BZ84" i="229"/>
  <c r="CK84" i="229"/>
  <c r="BE94" i="229"/>
  <c r="CJ92" i="229"/>
  <c r="AH88" i="229"/>
  <c r="CL88" i="229"/>
  <c r="CL89" i="229" s="1"/>
  <c r="CN92" i="229"/>
  <c r="AN95" i="229"/>
  <c r="CT95" i="229"/>
  <c r="DW116" i="229"/>
  <c r="DW109" i="229" s="1"/>
  <c r="DW121" i="229"/>
  <c r="DS57" i="229"/>
  <c r="BK60" i="229"/>
  <c r="AW86" i="229"/>
  <c r="AW88" i="229" s="1"/>
  <c r="BG90" i="229"/>
  <c r="BX80" i="229"/>
  <c r="BX81" i="229" s="1"/>
  <c r="CC79" i="229"/>
  <c r="CD66" i="229"/>
  <c r="BO112" i="229"/>
  <c r="BB94" i="229"/>
  <c r="AX91" i="229"/>
  <c r="AX92" i="229" s="1"/>
  <c r="AW90" i="229"/>
  <c r="BX82" i="229"/>
  <c r="CC82" i="229"/>
  <c r="AX82" i="229"/>
  <c r="BO48" i="229"/>
  <c r="AI59" i="229"/>
  <c r="CF50" i="229"/>
  <c r="DP17" i="229"/>
  <c r="DJ23" i="229"/>
  <c r="AO29" i="229"/>
  <c r="AO53" i="229" s="1"/>
  <c r="BU28" i="229"/>
  <c r="CC29" i="229"/>
  <c r="CC53" i="229" s="1"/>
  <c r="CK29" i="229"/>
  <c r="CK63" i="229" s="1"/>
  <c r="AO81" i="229"/>
  <c r="CE81" i="229"/>
  <c r="CK81" i="229"/>
  <c r="CS81" i="229"/>
  <c r="AO84" i="229"/>
  <c r="CA84" i="229"/>
  <c r="CL84" i="229"/>
  <c r="BN88" i="229"/>
  <c r="AJ88" i="229"/>
  <c r="CS92" i="229"/>
  <c r="CC95" i="229"/>
  <c r="AY96" i="229"/>
  <c r="AY97" i="229" s="1"/>
  <c r="BX83" i="229"/>
  <c r="BX84" i="229" s="1"/>
  <c r="AE61" i="229"/>
  <c r="AE48" i="229"/>
  <c r="CQ87" i="229"/>
  <c r="CM115" i="229"/>
  <c r="BQ60" i="229"/>
  <c r="DM17" i="229"/>
  <c r="AO70" i="229"/>
  <c r="BO109" i="229"/>
  <c r="BH90" i="229"/>
  <c r="CN88" i="229"/>
  <c r="BL88" i="229"/>
  <c r="BL89" i="229" s="1"/>
  <c r="DH74" i="229"/>
  <c r="DI80" i="229" s="1"/>
  <c r="AF61" i="229"/>
  <c r="DU39" i="229"/>
  <c r="AV81" i="229"/>
  <c r="AM83" i="229"/>
  <c r="BH93" i="229"/>
  <c r="AR60" i="229"/>
  <c r="BR29" i="229"/>
  <c r="BR53" i="229" s="1"/>
  <c r="CH70" i="229"/>
  <c r="CQ70" i="229"/>
  <c r="CQ71" i="229" s="1"/>
  <c r="AO77" i="229"/>
  <c r="CJ77" i="229"/>
  <c r="CP81" i="229"/>
  <c r="AP84" i="229"/>
  <c r="AG87" i="229"/>
  <c r="CJ88" i="229"/>
  <c r="CN89" i="229" s="1"/>
  <c r="CA92" i="229"/>
  <c r="CT92" i="229"/>
  <c r="CN95" i="229"/>
  <c r="DH59" i="229"/>
  <c r="DI75" i="229"/>
  <c r="DI49" i="229"/>
  <c r="CF95" i="229"/>
  <c r="AM59" i="229"/>
  <c r="AQ60" i="229" s="1"/>
  <c r="AI61" i="229"/>
  <c r="DV39" i="229"/>
  <c r="DV43" i="229"/>
  <c r="DH97" i="229"/>
  <c r="CL70" i="229"/>
  <c r="BT49" i="229"/>
  <c r="AJ58" i="229"/>
  <c r="BS117" i="229"/>
  <c r="DQ20" i="229"/>
  <c r="DR23" i="229"/>
  <c r="BE28" i="229"/>
  <c r="BX112" i="229"/>
  <c r="CB117" i="229"/>
  <c r="CM106" i="229"/>
  <c r="CC90" i="229"/>
  <c r="BA90" i="229"/>
  <c r="BN83" i="229"/>
  <c r="BR84" i="229" s="1"/>
  <c r="BH95" i="229"/>
  <c r="CT87" i="229"/>
  <c r="BF99" i="229"/>
  <c r="AM49" i="229"/>
  <c r="AQ50" i="229" s="1"/>
  <c r="AI75" i="229"/>
  <c r="AI76" i="229" s="1"/>
  <c r="AO56" i="229"/>
  <c r="CN56" i="229"/>
  <c r="BL60" i="229"/>
  <c r="AZ56" i="229"/>
  <c r="AI62" i="229"/>
  <c r="BV75" i="229"/>
  <c r="AI49" i="229"/>
  <c r="CB90" i="229"/>
  <c r="DO11" i="229"/>
  <c r="DX14" i="229"/>
  <c r="DQ17" i="229"/>
  <c r="DK23" i="229"/>
  <c r="DT26" i="229"/>
  <c r="DT31" i="229"/>
  <c r="AP28" i="229"/>
  <c r="CD28" i="229"/>
  <c r="DX39" i="229"/>
  <c r="DX43" i="229"/>
  <c r="BB83" i="229"/>
  <c r="BB75" i="229"/>
  <c r="BB76" i="229" s="1"/>
  <c r="BB82" i="229"/>
  <c r="BL83" i="229"/>
  <c r="BP80" i="229"/>
  <c r="BT81" i="229" s="1"/>
  <c r="CE76" i="229"/>
  <c r="BU88" i="229"/>
  <c r="BY88" i="229"/>
  <c r="CG92" i="229"/>
  <c r="CK92" i="229"/>
  <c r="BI100" i="229"/>
  <c r="BI101" i="229" s="1"/>
  <c r="CO109" i="229"/>
  <c r="CO112" i="229"/>
  <c r="DR121" i="229"/>
  <c r="DS121" i="229"/>
  <c r="BX56" i="229"/>
  <c r="BX49" i="229"/>
  <c r="CB50" i="229" s="1"/>
  <c r="BT48" i="229"/>
  <c r="BU48" i="229"/>
  <c r="BU51" i="229"/>
  <c r="BT69" i="229"/>
  <c r="AY68" i="229"/>
  <c r="AU69" i="229"/>
  <c r="AU99" i="229" s="1"/>
  <c r="BA83" i="229"/>
  <c r="AO66" i="229"/>
  <c r="CL112" i="229"/>
  <c r="CL109" i="229"/>
  <c r="BF70" i="229"/>
  <c r="AW99" i="229"/>
  <c r="BZ52" i="229"/>
  <c r="CD56" i="229" s="1"/>
  <c r="BM28" i="229"/>
  <c r="BJ75" i="229"/>
  <c r="BK74" i="229"/>
  <c r="BL82" i="229" s="1"/>
  <c r="BA86" i="229"/>
  <c r="BA93" i="229"/>
  <c r="BC75" i="229"/>
  <c r="DT75" i="229"/>
  <c r="DR123" i="229"/>
  <c r="CE115" i="229"/>
  <c r="CB91" i="229"/>
  <c r="CF92" i="229" s="1"/>
  <c r="AQ94" i="229"/>
  <c r="AM91" i="229"/>
  <c r="AQ92" i="229" s="1"/>
  <c r="CP88" i="229"/>
  <c r="CT88" i="229"/>
  <c r="AR70" i="229"/>
  <c r="BJ100" i="229"/>
  <c r="BJ101" i="229" s="1"/>
  <c r="DV59" i="229"/>
  <c r="DW60" i="229" s="1"/>
  <c r="AM69" i="229"/>
  <c r="AQ70" i="229" s="1"/>
  <c r="BL50" i="229"/>
  <c r="CF56" i="229"/>
  <c r="AU68" i="229"/>
  <c r="AX50" i="229"/>
  <c r="CS109" i="229"/>
  <c r="BU87" i="229"/>
  <c r="DP27" i="229"/>
  <c r="DP31" i="229"/>
  <c r="BD100" i="229"/>
  <c r="BD101" i="229" s="1"/>
  <c r="BM75" i="229"/>
  <c r="BQ77" i="229" s="1"/>
  <c r="BQ83" i="229"/>
  <c r="AT86" i="229"/>
  <c r="AT87" i="229" s="1"/>
  <c r="AU85" i="229"/>
  <c r="AU86" i="229" s="1"/>
  <c r="AT94" i="229"/>
  <c r="AT95" i="229" s="1"/>
  <c r="AN101" i="229"/>
  <c r="CS106" i="229"/>
  <c r="CS112" i="229"/>
  <c r="CH112" i="229"/>
  <c r="CH106" i="229"/>
  <c r="CA89" i="229"/>
  <c r="AJ51" i="229"/>
  <c r="AI51" i="229"/>
  <c r="DN67" i="229"/>
  <c r="DN68" i="229" s="1"/>
  <c r="BE69" i="229"/>
  <c r="BE99" i="229" s="1"/>
  <c r="BE68" i="229"/>
  <c r="BM87" i="229"/>
  <c r="AM51" i="229"/>
  <c r="CS28" i="229"/>
  <c r="DK26" i="229"/>
  <c r="CN115" i="229"/>
  <c r="CN106" i="229"/>
  <c r="CR117" i="229"/>
  <c r="BC82" i="229"/>
  <c r="DN96" i="229"/>
  <c r="CB93" i="229"/>
  <c r="AM93" i="229"/>
  <c r="BH92" i="229"/>
  <c r="CL87" i="229"/>
  <c r="BA80" i="229"/>
  <c r="BA81" i="229" s="1"/>
  <c r="CD76" i="229"/>
  <c r="DT49" i="229"/>
  <c r="AM86" i="229"/>
  <c r="AI48" i="229"/>
  <c r="DX20" i="229"/>
  <c r="BB90" i="229"/>
  <c r="CS117" i="229"/>
  <c r="BN80" i="229"/>
  <c r="CL106" i="229"/>
  <c r="DJ14" i="229"/>
  <c r="DL17" i="229"/>
  <c r="DK17" i="229"/>
  <c r="AL56" i="229"/>
  <c r="BT60" i="229"/>
  <c r="CD60" i="229"/>
  <c r="AM97" i="229"/>
  <c r="DI67" i="229"/>
  <c r="BN75" i="229"/>
  <c r="BR77" i="229" s="1"/>
  <c r="BN82" i="229"/>
  <c r="AL76" i="229"/>
  <c r="BE86" i="229"/>
  <c r="BE87" i="229" s="1"/>
  <c r="BE91" i="229"/>
  <c r="AM62" i="229"/>
  <c r="AI86" i="229"/>
  <c r="AI58" i="229"/>
  <c r="BT51" i="229"/>
  <c r="BZ49" i="229"/>
  <c r="CD50" i="229" s="1"/>
  <c r="BV51" i="229"/>
  <c r="BW99" i="229"/>
  <c r="BA70" i="229"/>
  <c r="DK67" i="229"/>
  <c r="DL68" i="229" s="1"/>
  <c r="CL115" i="229"/>
  <c r="AM48" i="229"/>
  <c r="AM75" i="229"/>
  <c r="AQ77" i="229" s="1"/>
  <c r="AN48" i="229"/>
  <c r="AN51" i="229"/>
  <c r="CE112" i="229"/>
  <c r="CI117" i="229"/>
  <c r="DT69" i="229"/>
  <c r="DT101" i="229" s="1"/>
  <c r="DS26" i="229"/>
  <c r="CP95" i="229"/>
  <c r="CE106" i="229"/>
  <c r="CC93" i="229"/>
  <c r="AN93" i="229"/>
  <c r="AW100" i="229"/>
  <c r="AW101" i="229" s="1"/>
  <c r="AJ84" i="229"/>
  <c r="BK99" i="229"/>
  <c r="CD77" i="229"/>
  <c r="BT75" i="229"/>
  <c r="BT76" i="229" s="1"/>
  <c r="BH100" i="229"/>
  <c r="BH101" i="229" s="1"/>
  <c r="AM100" i="229"/>
  <c r="AJ61" i="229"/>
  <c r="AN70" i="229"/>
  <c r="BV49" i="229"/>
  <c r="BV50" i="229" s="1"/>
  <c r="DI8" i="229"/>
  <c r="DQ8" i="229"/>
  <c r="BH56" i="229"/>
  <c r="BD56" i="229"/>
  <c r="BX59" i="229"/>
  <c r="BX60" i="229" s="1"/>
  <c r="BY58" i="229"/>
  <c r="CB59" i="229"/>
  <c r="CF60" i="229" s="1"/>
  <c r="DV41" i="229"/>
  <c r="AQ97" i="229"/>
  <c r="DJ67" i="229"/>
  <c r="DJ97" i="229" s="1"/>
  <c r="DT80" i="229"/>
  <c r="DQ26" i="229"/>
  <c r="AO60" i="229"/>
  <c r="CL60" i="229"/>
  <c r="CT60" i="229"/>
  <c r="AK66" i="229"/>
  <c r="DR83" i="229"/>
  <c r="AK77" i="229"/>
  <c r="AL84" i="229"/>
  <c r="CN84" i="229"/>
  <c r="CC88" i="229"/>
  <c r="DM27" i="229"/>
  <c r="DU23" i="229"/>
  <c r="DV26" i="229"/>
  <c r="AF29" i="229"/>
  <c r="AF53" i="229" s="1"/>
  <c r="BP29" i="229"/>
  <c r="CF28" i="229"/>
  <c r="CN28" i="229"/>
  <c r="DM59" i="229"/>
  <c r="DN60" i="229" s="1"/>
  <c r="CR92" i="229"/>
  <c r="CL95" i="229"/>
  <c r="BM99" i="229"/>
  <c r="DH31" i="229"/>
  <c r="AJ50" i="229"/>
  <c r="CJ60" i="229"/>
  <c r="DM68" i="229"/>
  <c r="AO88" i="229"/>
  <c r="AK92" i="229"/>
  <c r="CE92" i="229"/>
  <c r="CO92" i="229"/>
  <c r="BN100" i="229"/>
  <c r="BN101" i="229" s="1"/>
  <c r="DN17" i="229"/>
  <c r="DU17" i="229"/>
  <c r="DN20" i="229"/>
  <c r="DV20" i="229"/>
  <c r="DI31" i="229"/>
  <c r="AN66" i="229"/>
  <c r="BM66" i="229"/>
  <c r="CK66" i="229"/>
  <c r="DQ75" i="229"/>
  <c r="AF77" i="229"/>
  <c r="CA76" i="229"/>
  <c r="CQ84" i="229"/>
  <c r="AF88" i="229"/>
  <c r="CR88" i="229"/>
  <c r="CV89" i="229" s="1"/>
  <c r="AS92" i="229"/>
  <c r="DV69" i="229"/>
  <c r="DW35" i="229" s="1"/>
  <c r="DV56" i="229"/>
  <c r="CA117" i="229"/>
  <c r="BS76" i="229"/>
  <c r="BX106" i="229"/>
  <c r="BX109" i="229"/>
  <c r="BX117" i="229"/>
  <c r="BX115" i="229"/>
  <c r="CF76" i="229"/>
  <c r="CO81" i="229"/>
  <c r="BW101" i="229"/>
  <c r="BI80" i="229"/>
  <c r="CD95" i="229"/>
  <c r="AG28" i="229"/>
  <c r="AG29" i="229"/>
  <c r="AG53" i="229" s="1"/>
  <c r="AS29" i="229"/>
  <c r="AS53" i="229" s="1"/>
  <c r="AO28" i="229"/>
  <c r="AW29" i="229"/>
  <c r="AW28" i="229"/>
  <c r="CJ29" i="229"/>
  <c r="CJ53" i="229" s="1"/>
  <c r="CN29" i="229"/>
  <c r="CN63" i="229" s="1"/>
  <c r="DV37" i="229"/>
  <c r="DU49" i="229"/>
  <c r="DU69" i="229"/>
  <c r="DU101" i="229" s="1"/>
  <c r="DU75" i="229"/>
  <c r="BM50" i="229"/>
  <c r="BI50" i="229"/>
  <c r="AB97" i="229"/>
  <c r="AF68" i="229"/>
  <c r="AB69" i="229"/>
  <c r="AF70" i="229" s="1"/>
  <c r="AS70" i="229"/>
  <c r="AO99" i="229"/>
  <c r="AX99" i="229"/>
  <c r="BB70" i="229"/>
  <c r="AX70" i="229"/>
  <c r="BQ99" i="229"/>
  <c r="BU70" i="229"/>
  <c r="BQ70" i="229"/>
  <c r="CG70" i="229"/>
  <c r="CC70" i="229"/>
  <c r="AO101" i="229"/>
  <c r="DW111" i="229"/>
  <c r="DV111" i="229"/>
  <c r="CS98" i="229"/>
  <c r="CS99" i="229" s="1"/>
  <c r="CS101" i="229"/>
  <c r="AQ56" i="229"/>
  <c r="AN77" i="229"/>
  <c r="AR78" i="229" s="1"/>
  <c r="BP112" i="229"/>
  <c r="BP115" i="229"/>
  <c r="BP109" i="229"/>
  <c r="BT117" i="229"/>
  <c r="BP106" i="229"/>
  <c r="DL96" i="229"/>
  <c r="DL97" i="229" s="1"/>
  <c r="AV75" i="229"/>
  <c r="AZ80" i="229"/>
  <c r="AV83" i="229"/>
  <c r="AW79" i="229"/>
  <c r="AV100" i="229"/>
  <c r="AV101" i="229" s="1"/>
  <c r="AJ77" i="229"/>
  <c r="CH84" i="229"/>
  <c r="DU31" i="229"/>
  <c r="DU26" i="229"/>
  <c r="AH28" i="229"/>
  <c r="AH29" i="229"/>
  <c r="AH53" i="229" s="1"/>
  <c r="AL29" i="229"/>
  <c r="AL63" i="229" s="1"/>
  <c r="BB29" i="229"/>
  <c r="BB53" i="229" s="1"/>
  <c r="AX29" i="229"/>
  <c r="AX28" i="229"/>
  <c r="BF28" i="229"/>
  <c r="BF29" i="229"/>
  <c r="BJ29" i="229"/>
  <c r="BJ63" i="229" s="1"/>
  <c r="BZ29" i="229"/>
  <c r="BZ53" i="229" s="1"/>
  <c r="BV29" i="229"/>
  <c r="BV63" i="229" s="1"/>
  <c r="CK28" i="229"/>
  <c r="AY28" i="229"/>
  <c r="DZ43" i="229"/>
  <c r="DZ39" i="229"/>
  <c r="CO52" i="229"/>
  <c r="CS56" i="229" s="1"/>
  <c r="CK75" i="229"/>
  <c r="CL76" i="229" s="1"/>
  <c r="CK48" i="229"/>
  <c r="CK51" i="229"/>
  <c r="CK52" i="229"/>
  <c r="CO49" i="229"/>
  <c r="CS50" i="229" s="1"/>
  <c r="CL48" i="229"/>
  <c r="DW75" i="229"/>
  <c r="DW69" i="229"/>
  <c r="AP50" i="229"/>
  <c r="AT50" i="229"/>
  <c r="BP66" i="229"/>
  <c r="BL66" i="229"/>
  <c r="CR66" i="229"/>
  <c r="AJ70" i="229"/>
  <c r="AF101" i="229"/>
  <c r="AP99" i="229"/>
  <c r="AP70" i="229"/>
  <c r="AY99" i="229"/>
  <c r="BC70" i="229"/>
  <c r="BH99" i="229"/>
  <c r="BL70" i="229"/>
  <c r="BR99" i="229"/>
  <c r="BR101" i="229"/>
  <c r="BF86" i="229"/>
  <c r="DN85" i="229"/>
  <c r="BF91" i="229"/>
  <c r="BJ91" i="229"/>
  <c r="BN92" i="229" s="1"/>
  <c r="BG93" i="229"/>
  <c r="BF94" i="229"/>
  <c r="BF90" i="229"/>
  <c r="BJ94" i="229"/>
  <c r="DT8" i="229"/>
  <c r="DT27" i="229"/>
  <c r="BW109" i="229"/>
  <c r="BW112" i="229"/>
  <c r="AT83" i="229"/>
  <c r="AT84" i="229" s="1"/>
  <c r="AT100" i="229"/>
  <c r="AT101" i="229" s="1"/>
  <c r="AU74" i="229"/>
  <c r="DK74" i="229" s="1"/>
  <c r="AT75" i="229"/>
  <c r="AT77" i="229" s="1"/>
  <c r="DV80" i="229"/>
  <c r="DV83" i="229"/>
  <c r="CR77" i="229"/>
  <c r="CV78" i="229" s="1"/>
  <c r="CO76" i="229"/>
  <c r="CN76" i="229"/>
  <c r="DW80" i="229"/>
  <c r="BE75" i="229"/>
  <c r="BI77" i="229" s="1"/>
  <c r="BE79" i="229"/>
  <c r="DU111" i="229"/>
  <c r="BQ109" i="229"/>
  <c r="BU117" i="229"/>
  <c r="BQ115" i="229"/>
  <c r="BW115" i="229"/>
  <c r="DW83" i="229"/>
  <c r="DW84" i="229" s="1"/>
  <c r="BE83" i="229"/>
  <c r="DM74" i="229"/>
  <c r="BG83" i="229"/>
  <c r="BI83" i="229"/>
  <c r="AX80" i="229"/>
  <c r="DJ30" i="229"/>
  <c r="DJ8" i="229"/>
  <c r="DS11" i="229"/>
  <c r="DS31" i="229"/>
  <c r="DO26" i="229"/>
  <c r="DN26" i="229"/>
  <c r="BG29" i="229"/>
  <c r="BG63" i="229" s="1"/>
  <c r="BK29" i="229"/>
  <c r="BO28" i="229"/>
  <c r="BS29" i="229"/>
  <c r="BS63" i="229" s="1"/>
  <c r="CH29" i="229"/>
  <c r="CH63" i="229" s="1"/>
  <c r="CD29" i="229"/>
  <c r="CL28" i="229"/>
  <c r="CP29" i="229"/>
  <c r="CP53" i="229" s="1"/>
  <c r="AZ28" i="229"/>
  <c r="CS60" i="229"/>
  <c r="CO60" i="229"/>
  <c r="AT66" i="229"/>
  <c r="AX66" i="229"/>
  <c r="AD69" i="229"/>
  <c r="AD101" i="229" s="1"/>
  <c r="AH68" i="229"/>
  <c r="AK70" i="229"/>
  <c r="AG101" i="229"/>
  <c r="AG99" i="229"/>
  <c r="AR99" i="229"/>
  <c r="AV70" i="229"/>
  <c r="BD75" i="229"/>
  <c r="BH83" i="229"/>
  <c r="BH80" i="229"/>
  <c r="BL81" i="229" s="1"/>
  <c r="BD80" i="229"/>
  <c r="AR93" i="229"/>
  <c r="AR90" i="229"/>
  <c r="DJ85" i="229"/>
  <c r="DJ86" i="229" s="1"/>
  <c r="CR98" i="229"/>
  <c r="CR99" i="229" s="1"/>
  <c r="CR101" i="229"/>
  <c r="CN70" i="229"/>
  <c r="CJ70" i="229"/>
  <c r="BT98" i="229"/>
  <c r="AU56" i="229"/>
  <c r="BW106" i="229"/>
  <c r="AT80" i="229"/>
  <c r="AQ86" i="229"/>
  <c r="BO29" i="229"/>
  <c r="DK30" i="229"/>
  <c r="DK8" i="229"/>
  <c r="DS8" i="229"/>
  <c r="DS30" i="229"/>
  <c r="DU27" i="229"/>
  <c r="DO23" i="229"/>
  <c r="DN23" i="229"/>
  <c r="DV23" i="229"/>
  <c r="DW23" i="229"/>
  <c r="DO31" i="229"/>
  <c r="DW26" i="229"/>
  <c r="AC28" i="229"/>
  <c r="AJ28" i="229"/>
  <c r="AK28" i="229"/>
  <c r="AN29" i="229"/>
  <c r="AJ29" i="229"/>
  <c r="AJ63" i="229" s="1"/>
  <c r="AS28" i="229"/>
  <c r="AV29" i="229"/>
  <c r="AR28" i="229"/>
  <c r="BD29" i="229"/>
  <c r="AZ29" i="229"/>
  <c r="BL29" i="229"/>
  <c r="BL53" i="229" s="1"/>
  <c r="BH29" i="229"/>
  <c r="CM28" i="229"/>
  <c r="AF48" i="229"/>
  <c r="DG47" i="229"/>
  <c r="DG52" i="229" s="1"/>
  <c r="AE51" i="229"/>
  <c r="AI52" i="229"/>
  <c r="BK48" i="229"/>
  <c r="BO52" i="229"/>
  <c r="BL51" i="229"/>
  <c r="BK51" i="229"/>
  <c r="BL58" i="229"/>
  <c r="BK62" i="229"/>
  <c r="BK66" i="229" s="1"/>
  <c r="DO57" i="229"/>
  <c r="DO62" i="229" s="1"/>
  <c r="BO62" i="229"/>
  <c r="BO59" i="229"/>
  <c r="BO60" i="229" s="1"/>
  <c r="BL61" i="229"/>
  <c r="DS41" i="229"/>
  <c r="DR86" i="229"/>
  <c r="DR88" i="229" s="1"/>
  <c r="DS59" i="229"/>
  <c r="DS60" i="229" s="1"/>
  <c r="AV60" i="229"/>
  <c r="AZ60" i="229"/>
  <c r="AQ76" i="229"/>
  <c r="DU80" i="229"/>
  <c r="BJ83" i="229"/>
  <c r="BJ79" i="229"/>
  <c r="AH76" i="229"/>
  <c r="BU77" i="229"/>
  <c r="BQ76" i="229"/>
  <c r="CM77" i="229"/>
  <c r="CM76" i="229"/>
  <c r="CQ77" i="229"/>
  <c r="CU78" i="229" s="1"/>
  <c r="BK85" i="229"/>
  <c r="BK86" i="229" s="1"/>
  <c r="BM94" i="229"/>
  <c r="CD106" i="229"/>
  <c r="CD115" i="229"/>
  <c r="DM8" i="229"/>
  <c r="DN30" i="229"/>
  <c r="DW20" i="229"/>
  <c r="BQ29" i="229"/>
  <c r="DP47" i="229"/>
  <c r="DQ52" i="229" s="1"/>
  <c r="BO51" i="229"/>
  <c r="BS52" i="229"/>
  <c r="BS49" i="229"/>
  <c r="BP51" i="229"/>
  <c r="DP57" i="229"/>
  <c r="BO69" i="229"/>
  <c r="BS70" i="229" s="1"/>
  <c r="BP58" i="229"/>
  <c r="BS59" i="229"/>
  <c r="BW60" i="229" s="1"/>
  <c r="BO58" i="229"/>
  <c r="DU59" i="229"/>
  <c r="DV60" i="229" s="1"/>
  <c r="BF60" i="229"/>
  <c r="BJ60" i="229"/>
  <c r="DW105" i="229"/>
  <c r="DV31" i="229"/>
  <c r="DV11" i="229"/>
  <c r="DO30" i="229"/>
  <c r="DP30" i="229"/>
  <c r="DX30" i="229"/>
  <c r="DX17" i="229"/>
  <c r="AZ97" i="229"/>
  <c r="BC96" i="229"/>
  <c r="BC97" i="229" s="1"/>
  <c r="DV84" i="229"/>
  <c r="BV70" i="229"/>
  <c r="DI20" i="229"/>
  <c r="BN99" i="229"/>
  <c r="BR70" i="229"/>
  <c r="BN70" i="229"/>
  <c r="AP81" i="229"/>
  <c r="AL81" i="229"/>
  <c r="CC81" i="229"/>
  <c r="BY81" i="229"/>
  <c r="CI84" i="229"/>
  <c r="CE84" i="229"/>
  <c r="DH85" i="229"/>
  <c r="DH86" i="229" s="1"/>
  <c r="AJ93" i="229"/>
  <c r="BC85" i="229"/>
  <c r="AZ91" i="229"/>
  <c r="BD92" i="229" s="1"/>
  <c r="BX91" i="229"/>
  <c r="BX92" i="229" s="1"/>
  <c r="DS85" i="229"/>
  <c r="AP88" i="229"/>
  <c r="AL87" i="229"/>
  <c r="AT92" i="229"/>
  <c r="CJ95" i="229"/>
  <c r="DQ101" i="229"/>
  <c r="AR81" i="229"/>
  <c r="DW11" i="229"/>
  <c r="DI30" i="229"/>
  <c r="DI26" i="229"/>
  <c r="CR50" i="229"/>
  <c r="CN50" i="229"/>
  <c r="CE60" i="229"/>
  <c r="AI69" i="229"/>
  <c r="AI99" i="229" s="1"/>
  <c r="BD70" i="229"/>
  <c r="AD87" i="229"/>
  <c r="AG88" i="229"/>
  <c r="CI112" i="229"/>
  <c r="CI109" i="229"/>
  <c r="AU60" i="229"/>
  <c r="DY30" i="229"/>
  <c r="DY8" i="229"/>
  <c r="DX27" i="229"/>
  <c r="AU29" i="229"/>
  <c r="DT37" i="229"/>
  <c r="DU56" i="229"/>
  <c r="BZ66" i="229"/>
  <c r="DT85" i="229"/>
  <c r="DT86" i="229" s="1"/>
  <c r="DU88" i="229" s="1"/>
  <c r="CB86" i="229"/>
  <c r="BV115" i="229"/>
  <c r="CC109" i="229"/>
  <c r="CC117" i="229"/>
  <c r="DT123" i="229"/>
  <c r="AR101" i="229"/>
  <c r="BA76" i="229"/>
  <c r="DR30" i="229"/>
  <c r="DR17" i="229"/>
  <c r="AP76" i="229"/>
  <c r="AP77" i="229"/>
  <c r="CN77" i="229"/>
  <c r="CA81" i="229"/>
  <c r="AK84" i="229"/>
  <c r="AP92" i="229"/>
  <c r="BZ92" i="229"/>
  <c r="CQ109" i="229"/>
  <c r="CQ115" i="229"/>
  <c r="CQ112" i="229"/>
  <c r="DU121" i="229"/>
  <c r="DN8" i="229"/>
  <c r="DL11" i="229"/>
  <c r="DK14" i="229"/>
  <c r="DT14" i="229"/>
  <c r="DS17" i="229"/>
  <c r="DR20" i="229"/>
  <c r="DP26" i="229"/>
  <c r="AK29" i="229"/>
  <c r="CE28" i="229"/>
  <c r="AK50" i="229"/>
  <c r="BJ50" i="229"/>
  <c r="CC50" i="229"/>
  <c r="CL81" i="229"/>
  <c r="CT84" i="229"/>
  <c r="AL50" i="229"/>
  <c r="BI56" i="229"/>
  <c r="BD66" i="229"/>
  <c r="BH66" i="229"/>
  <c r="AL92" i="229"/>
  <c r="DH27" i="229"/>
  <c r="DX8" i="229"/>
  <c r="BC29" i="229"/>
  <c r="BC63" i="229" s="1"/>
  <c r="CG29" i="229"/>
  <c r="BV52" i="229"/>
  <c r="BN56" i="229"/>
  <c r="CH66" i="229"/>
  <c r="CI81" i="229"/>
  <c r="AP95" i="229"/>
  <c r="CK95" i="229"/>
  <c r="DT114" i="229"/>
  <c r="DN11" i="229"/>
  <c r="DN14" i="229"/>
  <c r="DM20" i="229"/>
  <c r="DU20" i="229"/>
  <c r="AF28" i="229"/>
  <c r="AN28" i="229"/>
  <c r="DZ29" i="229"/>
  <c r="DZ62" i="229" s="1"/>
  <c r="CH50" i="229"/>
  <c r="CQ50" i="229"/>
  <c r="BF56" i="229"/>
  <c r="CQ60" i="229"/>
  <c r="BJ66" i="229"/>
  <c r="BZ81" i="229"/>
  <c r="AO92" i="229"/>
  <c r="CA95" i="229"/>
  <c r="AL101" i="229"/>
  <c r="BR128" i="1"/>
  <c r="BR129" i="1" s="1"/>
  <c r="BR98" i="1" s="1"/>
  <c r="BQ129" i="1"/>
  <c r="BQ98" i="1" s="1"/>
  <c r="BV41" i="1"/>
  <c r="BV31" i="1"/>
  <c r="BV29" i="1"/>
  <c r="BV116" i="1" s="1"/>
  <c r="BB51" i="1"/>
  <c r="BB163" i="1"/>
  <c r="BC117" i="1"/>
  <c r="DM117" i="1" s="1"/>
  <c r="BB164" i="1"/>
  <c r="AI148" i="1"/>
  <c r="DH148" i="1" s="1"/>
  <c r="DR89" i="1"/>
  <c r="S150" i="1"/>
  <c r="S156" i="1"/>
  <c r="AZ51" i="1"/>
  <c r="AQ118" i="1"/>
  <c r="DJ118" i="1" s="1"/>
  <c r="CM24" i="1"/>
  <c r="CM26" i="1"/>
  <c r="BT52" i="1"/>
  <c r="BT53" i="1"/>
  <c r="DM138" i="1"/>
  <c r="DM146" i="1" s="1"/>
  <c r="BB146" i="1"/>
  <c r="BC138" i="1"/>
  <c r="BC146" i="1" s="1"/>
  <c r="CI34" i="1"/>
  <c r="CH34" i="1"/>
  <c r="I34" i="1"/>
  <c r="H34" i="1"/>
  <c r="CQ34" i="1"/>
  <c r="CR34" i="1"/>
  <c r="AC41" i="1"/>
  <c r="AC31" i="1"/>
  <c r="AC29" i="1"/>
  <c r="AC116" i="1" s="1"/>
  <c r="AC131" i="1" s="1"/>
  <c r="C97" i="225"/>
  <c r="DS26" i="1"/>
  <c r="DS24" i="1"/>
  <c r="DN118" i="1"/>
  <c r="DG51" i="1"/>
  <c r="DG16" i="1"/>
  <c r="DG21" i="1"/>
  <c r="BB24" i="1"/>
  <c r="BB26" i="1"/>
  <c r="BK146" i="1"/>
  <c r="DO138" i="1"/>
  <c r="CA98" i="229"/>
  <c r="CA99" i="229" s="1"/>
  <c r="CA101" i="229"/>
  <c r="AT136" i="1"/>
  <c r="AU135" i="1"/>
  <c r="AU136" i="1" s="1"/>
  <c r="CN26" i="1"/>
  <c r="CN24" i="1"/>
  <c r="BU21" i="1"/>
  <c r="BU100" i="229"/>
  <c r="BU51" i="1"/>
  <c r="BU16" i="1"/>
  <c r="DE31" i="1"/>
  <c r="DE29" i="1"/>
  <c r="DE41" i="1"/>
  <c r="DD29" i="1"/>
  <c r="DD41" i="1"/>
  <c r="DD31" i="1"/>
  <c r="T79" i="225"/>
  <c r="U79" i="225"/>
  <c r="W79" i="225"/>
  <c r="C80" i="225"/>
  <c r="CA52" i="1"/>
  <c r="CE53" i="1"/>
  <c r="AE120" i="1"/>
  <c r="DG120" i="1" s="1"/>
  <c r="U156" i="1"/>
  <c r="C71" i="225"/>
  <c r="CF26" i="1"/>
  <c r="AB31" i="1"/>
  <c r="BI39" i="1"/>
  <c r="AH53" i="1"/>
  <c r="AA129" i="1"/>
  <c r="AA98" i="1" s="1"/>
  <c r="DK24" i="1"/>
  <c r="DK26" i="1"/>
  <c r="DC29" i="1"/>
  <c r="DC41" i="1"/>
  <c r="DC31" i="1"/>
  <c r="CD52" i="1"/>
  <c r="CF103" i="1"/>
  <c r="CF110" i="1" s="1"/>
  <c r="CD53" i="1"/>
  <c r="BR52" i="1"/>
  <c r="AM128" i="1"/>
  <c r="DI138" i="1"/>
  <c r="AL146" i="1"/>
  <c r="CL15" i="1"/>
  <c r="CL10" i="1"/>
  <c r="DW31" i="1"/>
  <c r="DW41" i="1"/>
  <c r="BJ129" i="1"/>
  <c r="BJ98" i="1" s="1"/>
  <c r="BK125" i="1"/>
  <c r="BK129" i="1" s="1"/>
  <c r="BK98" i="1" s="1"/>
  <c r="DO125" i="1"/>
  <c r="DO129" i="1" s="1"/>
  <c r="DU117" i="1"/>
  <c r="CI164" i="1"/>
  <c r="AA146" i="1"/>
  <c r="DF138" i="1"/>
  <c r="DF146" i="1" s="1"/>
  <c r="CS146" i="1"/>
  <c r="CS150" i="1" s="1"/>
  <c r="CT145" i="1"/>
  <c r="DX145" i="1" s="1"/>
  <c r="DI21" i="1"/>
  <c r="DI16" i="1"/>
  <c r="DD79" i="1"/>
  <c r="DD90" i="1" s="1"/>
  <c r="DD107" i="1"/>
  <c r="DG109" i="1"/>
  <c r="DH19" i="1"/>
  <c r="DK107" i="1"/>
  <c r="DK79" i="1"/>
  <c r="DK90" i="1" s="1"/>
  <c r="DK92" i="1" s="1"/>
  <c r="DP19" i="1"/>
  <c r="DO108" i="1"/>
  <c r="BL19" i="1"/>
  <c r="CP118" i="1"/>
  <c r="CQ118" i="1" s="1"/>
  <c r="DW118" i="1"/>
  <c r="CO131" i="1"/>
  <c r="CO156" i="1" s="1"/>
  <c r="CH126" i="1"/>
  <c r="CG131" i="1"/>
  <c r="CG129" i="1"/>
  <c r="CG98" i="1" s="1"/>
  <c r="DF41" i="1"/>
  <c r="DF42" i="1" s="1"/>
  <c r="DF31" i="1"/>
  <c r="DF29" i="1"/>
  <c r="AJ19" i="1"/>
  <c r="DI19" i="1"/>
  <c r="DH109" i="1"/>
  <c r="DF95" i="1"/>
  <c r="DF162" i="1"/>
  <c r="U43" i="225"/>
  <c r="T43" i="225"/>
  <c r="W43" i="225"/>
  <c r="DK164" i="1"/>
  <c r="CO171" i="1"/>
  <c r="CO39" i="1"/>
  <c r="AW41" i="1"/>
  <c r="AW29" i="1"/>
  <c r="AW116" i="1" s="1"/>
  <c r="AW131" i="1" s="1"/>
  <c r="BX19" i="1"/>
  <c r="DS19" i="1"/>
  <c r="DR109" i="1"/>
  <c r="CR53" i="1"/>
  <c r="CR52" i="1"/>
  <c r="BX52" i="1"/>
  <c r="BX53" i="1"/>
  <c r="BZ53" i="1"/>
  <c r="BV52" i="1"/>
  <c r="DO92" i="1"/>
  <c r="BS136" i="1"/>
  <c r="BS162" i="1"/>
  <c r="DQ133" i="1"/>
  <c r="BS164" i="1"/>
  <c r="AP163" i="1"/>
  <c r="AP164" i="1"/>
  <c r="AQ117" i="1"/>
  <c r="DJ117" i="1"/>
  <c r="BJ26" i="1"/>
  <c r="BJ24" i="1"/>
  <c r="DH24" i="1"/>
  <c r="DH26" i="1"/>
  <c r="BN19" i="1"/>
  <c r="BM109" i="1"/>
  <c r="BM108" i="1"/>
  <c r="DD92" i="1"/>
  <c r="DU24" i="1"/>
  <c r="DU26" i="1"/>
  <c r="DL125" i="1"/>
  <c r="DL129" i="1" s="1"/>
  <c r="AY129" i="1"/>
  <c r="AY98" i="1" s="1"/>
  <c r="BC16" i="1"/>
  <c r="BC21" i="1"/>
  <c r="BC51" i="1"/>
  <c r="AA131" i="1"/>
  <c r="AA156" i="1" s="1"/>
  <c r="BW126" i="1"/>
  <c r="DR126" i="1"/>
  <c r="BV129" i="1"/>
  <c r="BV98" i="1" s="1"/>
  <c r="CH15" i="1"/>
  <c r="CH10" i="1"/>
  <c r="AU31" i="1"/>
  <c r="AU41" i="1"/>
  <c r="AU29" i="1"/>
  <c r="AU116" i="1" s="1"/>
  <c r="V21" i="1"/>
  <c r="V51" i="1"/>
  <c r="DK163" i="1"/>
  <c r="AW39" i="1"/>
  <c r="AW171" i="1"/>
  <c r="AB41" i="1"/>
  <c r="BT41" i="1"/>
  <c r="BT31" i="1"/>
  <c r="F15" i="223"/>
  <c r="S52" i="1"/>
  <c r="DR52" i="1"/>
  <c r="DR103" i="1"/>
  <c r="DZ143" i="1"/>
  <c r="EA47" i="1"/>
  <c r="EB47" i="1" s="1"/>
  <c r="BD19" i="1"/>
  <c r="DN19" i="1"/>
  <c r="DM108" i="1"/>
  <c r="BL103" i="1"/>
  <c r="BL110" i="1" s="1"/>
  <c r="DV9" i="1"/>
  <c r="DV102" i="1"/>
  <c r="DV97" i="1" s="1"/>
  <c r="BT19" i="1"/>
  <c r="DR19" i="1"/>
  <c r="U46" i="225"/>
  <c r="W46" i="225"/>
  <c r="V46" i="225"/>
  <c r="BO103" i="1"/>
  <c r="BO110" i="1" s="1"/>
  <c r="BO52" i="1"/>
  <c r="BV36" i="1"/>
  <c r="BW35" i="1"/>
  <c r="BV33" i="1"/>
  <c r="BV169" i="1"/>
  <c r="BV98" i="229"/>
  <c r="BV99" i="229" s="1"/>
  <c r="BV101" i="229"/>
  <c r="T46" i="225"/>
  <c r="AB156" i="1"/>
  <c r="AB150" i="1"/>
  <c r="AB152" i="1" s="1"/>
  <c r="CL145" i="1"/>
  <c r="CM145" i="1" s="1"/>
  <c r="BY146" i="1"/>
  <c r="BZ145" i="1"/>
  <c r="CA145" i="1"/>
  <c r="DS145" i="1" s="1"/>
  <c r="CD136" i="1"/>
  <c r="CE135" i="1"/>
  <c r="DL52" i="1"/>
  <c r="DL103" i="1"/>
  <c r="DL110" i="1" s="1"/>
  <c r="DG162" i="1"/>
  <c r="DG136" i="1"/>
  <c r="U69" i="225"/>
  <c r="V79" i="225"/>
  <c r="CD171" i="1"/>
  <c r="CD40" i="1"/>
  <c r="BM156" i="1"/>
  <c r="BM150" i="1"/>
  <c r="BT29" i="1"/>
  <c r="BT116" i="1" s="1"/>
  <c r="BT131" i="1" s="1"/>
  <c r="DR83" i="1"/>
  <c r="DP52" i="1"/>
  <c r="DP53" i="1"/>
  <c r="DF129" i="1"/>
  <c r="BX26" i="1"/>
  <c r="BX24" i="1"/>
  <c r="DD52" i="1"/>
  <c r="DE53" i="1"/>
  <c r="DL26" i="1"/>
  <c r="DL24" i="1"/>
  <c r="AN53" i="1"/>
  <c r="BX98" i="229"/>
  <c r="DP140" i="1"/>
  <c r="DP146" i="1" s="1"/>
  <c r="BO146" i="1"/>
  <c r="AI128" i="1"/>
  <c r="DH128" i="1"/>
  <c r="AE123" i="1"/>
  <c r="AE127" i="1"/>
  <c r="DG127" i="1" s="1"/>
  <c r="DG129" i="1" s="1"/>
  <c r="CG100" i="229"/>
  <c r="CG51" i="1"/>
  <c r="CG21" i="1"/>
  <c r="DL118" i="1"/>
  <c r="AO16" i="1"/>
  <c r="AO21" i="1"/>
  <c r="AO51" i="1"/>
  <c r="BY100" i="229"/>
  <c r="BY51" i="1"/>
  <c r="BY16" i="1"/>
  <c r="BY21" i="1"/>
  <c r="AS95" i="1"/>
  <c r="AS162" i="1"/>
  <c r="DS51" i="1"/>
  <c r="DS16" i="1"/>
  <c r="DO163" i="1"/>
  <c r="CP100" i="229"/>
  <c r="DN21" i="1"/>
  <c r="DN16" i="1"/>
  <c r="AT31" i="1"/>
  <c r="AT29" i="1"/>
  <c r="AT116" i="1" s="1"/>
  <c r="AT131" i="1" s="1"/>
  <c r="AT156" i="1" s="1"/>
  <c r="DQ16" i="1"/>
  <c r="DQ21" i="1"/>
  <c r="DC109" i="1"/>
  <c r="DD19" i="1"/>
  <c r="DC108" i="1"/>
  <c r="P19" i="1"/>
  <c r="Y52" i="1"/>
  <c r="CA129" i="1"/>
  <c r="CA98" i="1" s="1"/>
  <c r="DS125" i="1"/>
  <c r="DS129" i="1" s="1"/>
  <c r="DL145" i="1"/>
  <c r="DV36" i="1"/>
  <c r="AQ51" i="1"/>
  <c r="AQ21" i="1"/>
  <c r="AI21" i="1"/>
  <c r="AI16" i="1"/>
  <c r="AI51" i="1"/>
  <c r="CI143" i="1"/>
  <c r="DU143" i="1"/>
  <c r="DN146" i="1"/>
  <c r="AS16" i="1"/>
  <c r="AS21" i="1"/>
  <c r="AS51" i="1"/>
  <c r="DP133" i="1"/>
  <c r="BO162" i="1"/>
  <c r="AA117" i="1"/>
  <c r="Z163" i="1"/>
  <c r="Z164" i="1"/>
  <c r="DJ7" i="1"/>
  <c r="DJ9" i="1"/>
  <c r="DJ101" i="1"/>
  <c r="DJ162" i="1" s="1"/>
  <c r="DJ13" i="1"/>
  <c r="DJ136" i="1"/>
  <c r="AV39" i="1"/>
  <c r="DT51" i="1"/>
  <c r="CP21" i="1"/>
  <c r="V60" i="225"/>
  <c r="U60" i="225"/>
  <c r="W60" i="225"/>
  <c r="BD31" i="1"/>
  <c r="BD41" i="1"/>
  <c r="BO129" i="1"/>
  <c r="BO98" i="1" s="1"/>
  <c r="DP126" i="1"/>
  <c r="DP129" i="1" s="1"/>
  <c r="BM31" i="1"/>
  <c r="BM41" i="1"/>
  <c r="DA92" i="1"/>
  <c r="DT92" i="1"/>
  <c r="DR125" i="1"/>
  <c r="DS117" i="1"/>
  <c r="CA164" i="1"/>
  <c r="BJ146" i="1"/>
  <c r="AE164" i="1"/>
  <c r="AE162" i="1"/>
  <c r="AE136" i="1"/>
  <c r="BI41" i="1"/>
  <c r="BI29" i="1"/>
  <c r="BI116" i="1" s="1"/>
  <c r="BI131" i="1" s="1"/>
  <c r="DM145" i="1"/>
  <c r="BF16" i="1"/>
  <c r="BF21" i="1"/>
  <c r="BF51" i="1"/>
  <c r="CD41" i="1"/>
  <c r="CD29" i="1"/>
  <c r="DX19" i="1"/>
  <c r="AU164" i="1"/>
  <c r="AU51" i="1"/>
  <c r="U53" i="1"/>
  <c r="U52" i="1"/>
  <c r="CO101" i="229"/>
  <c r="AT51" i="1"/>
  <c r="AT164" i="1"/>
  <c r="AT163" i="1"/>
  <c r="DZ72" i="1"/>
  <c r="AM133" i="1"/>
  <c r="AL162" i="1"/>
  <c r="DI133" i="1"/>
  <c r="AI129" i="1"/>
  <c r="AI98" i="1" s="1"/>
  <c r="DH125" i="1"/>
  <c r="DB19" i="1"/>
  <c r="H19" i="1"/>
  <c r="DS133" i="1"/>
  <c r="AF16" i="1"/>
  <c r="AF21" i="1"/>
  <c r="AF51" i="1"/>
  <c r="CI15" i="1"/>
  <c r="CI10" i="1"/>
  <c r="C74" i="225"/>
  <c r="DU136" i="1"/>
  <c r="DU162" i="1"/>
  <c r="AP95" i="1"/>
  <c r="AP162" i="1"/>
  <c r="AP96" i="1"/>
  <c r="AI117" i="1"/>
  <c r="AH164" i="1"/>
  <c r="DH117" i="1"/>
  <c r="DS95" i="1"/>
  <c r="DS96" i="1"/>
  <c r="DT21" i="1"/>
  <c r="DT16" i="1"/>
  <c r="CF98" i="229"/>
  <c r="CF101" i="229"/>
  <c r="DA21" i="1"/>
  <c r="DA16" i="1"/>
  <c r="DQ117" i="1"/>
  <c r="BS163" i="1"/>
  <c r="AH136" i="1"/>
  <c r="AI134" i="1"/>
  <c r="DH134" i="1" s="1"/>
  <c r="AE129" i="1"/>
  <c r="AE98" i="1" s="1"/>
  <c r="AT129" i="1"/>
  <c r="AT98" i="1" s="1"/>
  <c r="DK125" i="1"/>
  <c r="AM117" i="1"/>
  <c r="AL164" i="1"/>
  <c r="AL163" i="1"/>
  <c r="DR135" i="1"/>
  <c r="DR136" i="1" s="1"/>
  <c r="BW136" i="1"/>
  <c r="AC53" i="1"/>
  <c r="CM16" i="1"/>
  <c r="CS16" i="1"/>
  <c r="DM162" i="1"/>
  <c r="CB85" i="1"/>
  <c r="CB87" i="1"/>
  <c r="DQ123" i="1"/>
  <c r="AD129" i="1"/>
  <c r="AD98" i="1" s="1"/>
  <c r="K34" i="1"/>
  <c r="L34" i="1"/>
  <c r="CN34" i="1"/>
  <c r="T50" i="225"/>
  <c r="W50" i="225"/>
  <c r="AY133" i="1"/>
  <c r="DL133" i="1"/>
  <c r="BG146" i="1"/>
  <c r="CM138" i="1"/>
  <c r="CL138" i="1"/>
  <c r="X19" i="1"/>
  <c r="DE109" i="1"/>
  <c r="DE110" i="1" s="1"/>
  <c r="BW139" i="1"/>
  <c r="BW146" i="1" s="1"/>
  <c r="BV146" i="1"/>
  <c r="AH146" i="1"/>
  <c r="AI138" i="1"/>
  <c r="DJ19" i="1"/>
  <c r="AN19" i="1"/>
  <c r="DU92" i="1"/>
  <c r="DD34" i="1"/>
  <c r="DZ45" i="1"/>
  <c r="DR100" i="229"/>
  <c r="DR21" i="1"/>
  <c r="Z148" i="1"/>
  <c r="AA148" i="1"/>
  <c r="N95" i="1"/>
  <c r="N162" i="1"/>
  <c r="CK144" i="1"/>
  <c r="CJ146" i="1"/>
  <c r="CJ150" i="1" s="1"/>
  <c r="E38" i="225"/>
  <c r="G37" i="225"/>
  <c r="G26" i="225"/>
  <c r="K26" i="225"/>
  <c r="AY21" i="1"/>
  <c r="AY51" i="1"/>
  <c r="DN117" i="1"/>
  <c r="DN51" i="1" s="1"/>
  <c r="BJ136" i="1"/>
  <c r="DO133" i="1"/>
  <c r="BW51" i="1"/>
  <c r="BX103" i="1" s="1"/>
  <c r="BX110" i="1" s="1"/>
  <c r="BW21" i="1"/>
  <c r="BP51" i="1"/>
  <c r="BP16" i="1"/>
  <c r="E53" i="223"/>
  <c r="BC148" i="1"/>
  <c r="DM148" i="1" s="1"/>
  <c r="CA148" i="1"/>
  <c r="DS148" i="1"/>
  <c r="CG95" i="1"/>
  <c r="CG162" i="1"/>
  <c r="CP117" i="1"/>
  <c r="CO163" i="1"/>
  <c r="CO51" i="1"/>
  <c r="DI92" i="1"/>
  <c r="DR144" i="1"/>
  <c r="DL138" i="1"/>
  <c r="AY148" i="1"/>
  <c r="DL148" i="1" s="1"/>
  <c r="AH129" i="1"/>
  <c r="AH98" i="1" s="1"/>
  <c r="AI126" i="1"/>
  <c r="DH126" i="1" s="1"/>
  <c r="CK34" i="1"/>
  <c r="DS92" i="1"/>
  <c r="BZ21" i="1"/>
  <c r="BZ16" i="1"/>
  <c r="BZ100" i="229"/>
  <c r="AA108" i="1"/>
  <c r="DF87" i="1"/>
  <c r="DU109" i="1"/>
  <c r="CJ19" i="1"/>
  <c r="O108" i="1"/>
  <c r="O109" i="1"/>
  <c r="AO19" i="1"/>
  <c r="AN109" i="1"/>
  <c r="BN121" i="1"/>
  <c r="BO121" i="1" s="1"/>
  <c r="AP126" i="1"/>
  <c r="AO129" i="1"/>
  <c r="AO98" i="1" s="1"/>
  <c r="AQ126" i="1"/>
  <c r="AQ129" i="1" s="1"/>
  <c r="AQ98" i="1" s="1"/>
  <c r="BR164" i="1"/>
  <c r="BR162" i="1"/>
  <c r="BR136" i="1"/>
  <c r="DJ142" i="1"/>
  <c r="DJ146" i="1" s="1"/>
  <c r="DX135" i="1"/>
  <c r="DB108" i="1"/>
  <c r="DC19" i="1"/>
  <c r="L19" i="1"/>
  <c r="AP146" i="1"/>
  <c r="BQ21" i="1"/>
  <c r="DN123" i="1"/>
  <c r="CL128" i="1"/>
  <c r="G10" i="222"/>
  <c r="I10" i="222"/>
  <c r="O97" i="225"/>
  <c r="Q99" i="225"/>
  <c r="O99" i="225" s="1"/>
  <c r="G93" i="225"/>
  <c r="K93" i="225"/>
  <c r="I94" i="225"/>
  <c r="K94" i="225" s="1"/>
  <c r="O66" i="225"/>
  <c r="K24" i="225"/>
  <c r="G24" i="225"/>
  <c r="AT128" i="1"/>
  <c r="AU128" i="1"/>
  <c r="AU129" i="1" s="1"/>
  <c r="AU98" i="1" s="1"/>
  <c r="O79" i="225"/>
  <c r="M80" i="225"/>
  <c r="K79" i="225"/>
  <c r="DM120" i="1"/>
  <c r="AG120" i="1"/>
  <c r="AH120" i="1"/>
  <c r="AH131" i="1" s="1"/>
  <c r="AH156" i="1" s="1"/>
  <c r="AI120" i="1"/>
  <c r="DH120" i="1"/>
  <c r="CD143" i="1"/>
  <c r="CH145" i="1"/>
  <c r="CP144" i="1"/>
  <c r="BV128" i="1"/>
  <c r="N19" i="223"/>
  <c r="G12" i="223"/>
  <c r="DT133" i="1"/>
  <c r="BK145" i="1"/>
  <c r="DO145" i="1" s="1"/>
  <c r="BJ145" i="1"/>
  <c r="Q94" i="225"/>
  <c r="O94" i="225" s="1"/>
  <c r="G39" i="225"/>
  <c r="E40" i="225"/>
  <c r="G40" i="225" s="1"/>
  <c r="BQ90" i="1"/>
  <c r="BQ92" i="1" s="1"/>
  <c r="AU139" i="1"/>
  <c r="AU146" i="1" s="1"/>
  <c r="AT139" i="1"/>
  <c r="AT146" i="1" s="1"/>
  <c r="CL135" i="1"/>
  <c r="O84" i="225"/>
  <c r="M85" i="225"/>
  <c r="K69" i="225"/>
  <c r="O69" i="225"/>
  <c r="M71" i="225"/>
  <c r="I56" i="225"/>
  <c r="K55" i="225"/>
  <c r="CH128" i="1"/>
  <c r="CI128" i="1" s="1"/>
  <c r="DD7" i="1"/>
  <c r="DD101" i="1"/>
  <c r="DD13" i="1"/>
  <c r="DH121" i="1"/>
  <c r="AH139" i="1"/>
  <c r="AI139" i="1"/>
  <c r="CA138" i="1"/>
  <c r="DS138" i="1"/>
  <c r="AY143" i="1"/>
  <c r="DL143" i="1" s="1"/>
  <c r="DV7" i="1"/>
  <c r="DW125" i="1"/>
  <c r="DW129" i="1" s="1"/>
  <c r="BK134" i="1"/>
  <c r="AM145" i="1"/>
  <c r="DI145" i="1" s="1"/>
  <c r="AU50" i="229"/>
  <c r="BK121" i="1"/>
  <c r="AM120" i="1"/>
  <c r="DI120" i="1" s="1"/>
  <c r="BB123" i="1"/>
  <c r="DT127" i="1"/>
  <c r="BR139" i="1"/>
  <c r="BZ143" i="1"/>
  <c r="CA143" i="1" s="1"/>
  <c r="DM7" i="1"/>
  <c r="DM9" i="1"/>
  <c r="DJ66" i="229"/>
  <c r="BC60" i="229"/>
  <c r="AY60" i="229"/>
  <c r="BG121" i="1"/>
  <c r="DN121" i="1" s="1"/>
  <c r="BG133" i="1"/>
  <c r="BF133" i="1"/>
  <c r="BZ134" i="1"/>
  <c r="CA134" i="1"/>
  <c r="CA136" i="1" s="1"/>
  <c r="AI133" i="1"/>
  <c r="DT148" i="1"/>
  <c r="C92" i="225"/>
  <c r="C94" i="225" s="1"/>
  <c r="AU97" i="229"/>
  <c r="DK96" i="229"/>
  <c r="DW92" i="229"/>
  <c r="BF125" i="1"/>
  <c r="BG125" i="1"/>
  <c r="BG129" i="1" s="1"/>
  <c r="BG98" i="1" s="1"/>
  <c r="DO140" i="1"/>
  <c r="AX141" i="1"/>
  <c r="AX146" i="1" s="1"/>
  <c r="AY141" i="1"/>
  <c r="AY146" i="1" s="1"/>
  <c r="DL141" i="1"/>
  <c r="AD145" i="1"/>
  <c r="AD146" i="1" s="1"/>
  <c r="AD150" i="1" s="1"/>
  <c r="AE145" i="1"/>
  <c r="AE146" i="1" s="1"/>
  <c r="O93" i="225"/>
  <c r="O58" i="225"/>
  <c r="DO7" i="1"/>
  <c r="DO101" i="1"/>
  <c r="M52" i="225"/>
  <c r="O52" i="225" s="1"/>
  <c r="DW7" i="1"/>
  <c r="DH135" i="1"/>
  <c r="AM139" i="1"/>
  <c r="DW143" i="1"/>
  <c r="DM144" i="1"/>
  <c r="DB9" i="1"/>
  <c r="DP7" i="1"/>
  <c r="DM128" i="1"/>
  <c r="DM129" i="1" s="1"/>
  <c r="BV95" i="229"/>
  <c r="O75" i="225"/>
  <c r="DK7" i="1"/>
  <c r="DT7" i="1"/>
  <c r="BG123" i="1"/>
  <c r="DR140" i="1"/>
  <c r="DR120" i="1"/>
  <c r="AW92" i="229"/>
  <c r="CA70" i="229"/>
  <c r="BW70" i="229"/>
  <c r="AY63" i="229"/>
  <c r="AY66" i="229"/>
  <c r="DX59" i="229"/>
  <c r="DY41" i="229"/>
  <c r="DL7" i="1"/>
  <c r="DC7" i="1"/>
  <c r="DI7" i="1"/>
  <c r="DQ7" i="1"/>
  <c r="DU8" i="229"/>
  <c r="DU30" i="229"/>
  <c r="DV8" i="229"/>
  <c r="DN7" i="1"/>
  <c r="BL95" i="229"/>
  <c r="DM75" i="229"/>
  <c r="AJ34" i="1"/>
  <c r="AI34" i="1"/>
  <c r="AR34" i="1"/>
  <c r="AQ34" i="1"/>
  <c r="BH34" i="1"/>
  <c r="BG34" i="1"/>
  <c r="BO34" i="1"/>
  <c r="BP34" i="1"/>
  <c r="DE7" i="1"/>
  <c r="AP7" i="1"/>
  <c r="AT7" i="1"/>
  <c r="AZ90" i="229"/>
  <c r="AY90" i="229"/>
  <c r="AY93" i="229"/>
  <c r="BO86" i="229"/>
  <c r="DP85" i="229"/>
  <c r="BP93" i="229"/>
  <c r="BS94" i="229"/>
  <c r="BW95" i="229" s="1"/>
  <c r="BP90" i="229"/>
  <c r="BO93" i="229"/>
  <c r="AR76" i="229"/>
  <c r="CK89" i="229"/>
  <c r="CE71" i="229"/>
  <c r="BK82" i="229"/>
  <c r="CT109" i="1"/>
  <c r="DX89" i="1"/>
  <c r="DO20" i="229"/>
  <c r="DP20" i="229"/>
  <c r="DO27" i="229"/>
  <c r="DM23" i="229"/>
  <c r="DL26" i="229"/>
  <c r="DM31" i="229"/>
  <c r="DL31" i="229"/>
  <c r="DM26" i="229"/>
  <c r="DL27" i="229"/>
  <c r="BT28" i="229"/>
  <c r="BT29" i="229"/>
  <c r="BX29" i="229"/>
  <c r="BX53" i="229" s="1"/>
  <c r="CL29" i="229"/>
  <c r="CL53" i="229" s="1"/>
  <c r="CH28" i="229"/>
  <c r="CP28" i="229"/>
  <c r="CQ28" i="229"/>
  <c r="CT29" i="229"/>
  <c r="CT53" i="229" s="1"/>
  <c r="DV86" i="229"/>
  <c r="DV94" i="229"/>
  <c r="AK87" i="229"/>
  <c r="AN88" i="229"/>
  <c r="AR89" i="229" s="1"/>
  <c r="BT88" i="229"/>
  <c r="BP88" i="229"/>
  <c r="DT105" i="229"/>
  <c r="DT116" i="229"/>
  <c r="DV108" i="229"/>
  <c r="DR111" i="229"/>
  <c r="DR116" i="229"/>
  <c r="DU114" i="229"/>
  <c r="DJ49" i="229"/>
  <c r="DK49" i="229"/>
  <c r="DH69" i="229"/>
  <c r="DI59" i="229"/>
  <c r="DJ27" i="229"/>
  <c r="DK31" i="229"/>
  <c r="DK11" i="229"/>
  <c r="DJ31" i="229"/>
  <c r="DQ31" i="229"/>
  <c r="DQ11" i="229"/>
  <c r="DY11" i="229"/>
  <c r="DX11" i="229"/>
  <c r="DX31" i="229"/>
  <c r="BV28" i="229"/>
  <c r="BU29" i="229"/>
  <c r="BY29" i="229"/>
  <c r="CF29" i="229"/>
  <c r="CC28" i="229"/>
  <c r="CI29" i="229"/>
  <c r="CI63" i="229" s="1"/>
  <c r="CJ28" i="229"/>
  <c r="CM29" i="229"/>
  <c r="CI28" i="229"/>
  <c r="DN47" i="229"/>
  <c r="DN52" i="229" s="1"/>
  <c r="BH51" i="229"/>
  <c r="BG51" i="229"/>
  <c r="BG75" i="229"/>
  <c r="BH48" i="229"/>
  <c r="BG52" i="229"/>
  <c r="BK52" i="229"/>
  <c r="BK49" i="229"/>
  <c r="BG69" i="229"/>
  <c r="BG48" i="229"/>
  <c r="BG49" i="229"/>
  <c r="BX51" i="229"/>
  <c r="BW49" i="229"/>
  <c r="CA52" i="229"/>
  <c r="DR47" i="229"/>
  <c r="DR52" i="229" s="1"/>
  <c r="BW52" i="229"/>
  <c r="BW51" i="229"/>
  <c r="CA49" i="229"/>
  <c r="CE50" i="229" s="1"/>
  <c r="BW48" i="229"/>
  <c r="BW75" i="229"/>
  <c r="AS56" i="229"/>
  <c r="AW56" i="229"/>
  <c r="BQ56" i="229"/>
  <c r="BM56" i="229"/>
  <c r="CC56" i="229"/>
  <c r="CP56" i="229"/>
  <c r="CL56" i="229"/>
  <c r="DG59" i="229"/>
  <c r="DH60" i="229" s="1"/>
  <c r="BI60" i="229"/>
  <c r="BE60" i="229"/>
  <c r="BN60" i="229"/>
  <c r="BR60" i="229"/>
  <c r="BY60" i="229"/>
  <c r="CC60" i="229"/>
  <c r="CK60" i="229"/>
  <c r="CG60" i="229"/>
  <c r="CR60" i="229"/>
  <c r="CN60" i="229"/>
  <c r="AL66" i="229"/>
  <c r="AW66" i="229"/>
  <c r="DF69" i="229"/>
  <c r="AS80" i="229"/>
  <c r="AT82" i="229"/>
  <c r="AS83" i="229"/>
  <c r="AS100" i="229"/>
  <c r="AS101" i="229" s="1"/>
  <c r="AS79" i="229"/>
  <c r="AS75" i="229"/>
  <c r="AT79" i="229"/>
  <c r="BB88" i="229"/>
  <c r="BI91" i="229"/>
  <c r="BI86" i="229"/>
  <c r="BI94" i="229"/>
  <c r="BJ93" i="229"/>
  <c r="BM91" i="229"/>
  <c r="BQ92" i="229" s="1"/>
  <c r="BI93" i="229"/>
  <c r="BJ90" i="229"/>
  <c r="BZ87" i="229"/>
  <c r="BZ88" i="229"/>
  <c r="CA87" i="229"/>
  <c r="CD88" i="229"/>
  <c r="CH89" i="229" s="1"/>
  <c r="CM88" i="229"/>
  <c r="CI87" i="229"/>
  <c r="CJ87" i="229"/>
  <c r="CR87" i="229"/>
  <c r="CQ88" i="229"/>
  <c r="AO95" i="229"/>
  <c r="AS95" i="229"/>
  <c r="BO98" i="229"/>
  <c r="DP98" i="229" s="1"/>
  <c r="BL99" i="229"/>
  <c r="BL100" i="229"/>
  <c r="BL101" i="229" s="1"/>
  <c r="DU116" i="229"/>
  <c r="DU115" i="229" s="1"/>
  <c r="DV105" i="229"/>
  <c r="DU105" i="229"/>
  <c r="DW108" i="229"/>
  <c r="DS116" i="229"/>
  <c r="DV114" i="229"/>
  <c r="BC79" i="229"/>
  <c r="BD79" i="229"/>
  <c r="BD82" i="229"/>
  <c r="DI83" i="229"/>
  <c r="CE53" i="229"/>
  <c r="CE63" i="229"/>
  <c r="DG27" i="229"/>
  <c r="DH30" i="229"/>
  <c r="DV27" i="229"/>
  <c r="DV30" i="229"/>
  <c r="DW30" i="229"/>
  <c r="DW8" i="229"/>
  <c r="DR27" i="229"/>
  <c r="DR31" i="229"/>
  <c r="DR11" i="229"/>
  <c r="DW49" i="229"/>
  <c r="DV49" i="229"/>
  <c r="DV75" i="229"/>
  <c r="CP50" i="229"/>
  <c r="CT50" i="229"/>
  <c r="AX56" i="229"/>
  <c r="DU41" i="229"/>
  <c r="AL60" i="229"/>
  <c r="AP60" i="229"/>
  <c r="AW60" i="229"/>
  <c r="BA60" i="229"/>
  <c r="AC69" i="229"/>
  <c r="AC101" i="229" s="1"/>
  <c r="AC97" i="229"/>
  <c r="AG68" i="229"/>
  <c r="AE67" i="229"/>
  <c r="BP99" i="229"/>
  <c r="BP70" i="229"/>
  <c r="CI70" i="229"/>
  <c r="CM70" i="229"/>
  <c r="CJ106" i="229"/>
  <c r="CJ109" i="229"/>
  <c r="CJ112" i="229"/>
  <c r="CJ117" i="229"/>
  <c r="CJ115" i="229"/>
  <c r="CN117" i="229"/>
  <c r="DQ30" i="229"/>
  <c r="CI89" i="229"/>
  <c r="DT30" i="229"/>
  <c r="DT17" i="229"/>
  <c r="DY23" i="229"/>
  <c r="DX23" i="229"/>
  <c r="DY26" i="229"/>
  <c r="DX26" i="229"/>
  <c r="BA28" i="229"/>
  <c r="BA29" i="229"/>
  <c r="BE29" i="229"/>
  <c r="BB28" i="229"/>
  <c r="BJ28" i="229"/>
  <c r="BM29" i="229"/>
  <c r="BI29" i="229"/>
  <c r="BL75" i="229"/>
  <c r="BP83" i="229"/>
  <c r="BO74" i="229"/>
  <c r="BM82" i="229"/>
  <c r="DJ98" i="229"/>
  <c r="AQ100" i="229"/>
  <c r="BE100" i="229"/>
  <c r="CI78" i="229"/>
  <c r="DR8" i="229"/>
  <c r="DQ27" i="229"/>
  <c r="DL69" i="229"/>
  <c r="DL49" i="229"/>
  <c r="AR50" i="229"/>
  <c r="AV50" i="229"/>
  <c r="BQ66" i="229"/>
  <c r="BU66" i="229"/>
  <c r="CN66" i="229"/>
  <c r="AW75" i="229"/>
  <c r="AW82" i="229"/>
  <c r="AY74" i="229"/>
  <c r="DL74" i="229" s="1"/>
  <c r="AX79" i="229"/>
  <c r="AW83" i="229"/>
  <c r="BF82" i="229"/>
  <c r="BF83" i="229"/>
  <c r="BF75" i="229"/>
  <c r="BF80" i="229"/>
  <c r="BF79" i="229"/>
  <c r="BJ80" i="229"/>
  <c r="BF100" i="229"/>
  <c r="BF101" i="229" s="1"/>
  <c r="CC84" i="229"/>
  <c r="BY84" i="229"/>
  <c r="BY92" i="229"/>
  <c r="BU92" i="229"/>
  <c r="CL92" i="229"/>
  <c r="CP92" i="229"/>
  <c r="BR106" i="229"/>
  <c r="BR112" i="229"/>
  <c r="BV117" i="229"/>
  <c r="BP28" i="229"/>
  <c r="BQ28" i="229"/>
  <c r="BW28" i="229"/>
  <c r="BX28" i="229"/>
  <c r="CK117" i="229"/>
  <c r="CK109" i="229"/>
  <c r="BV66" i="229"/>
  <c r="BR66" i="229"/>
  <c r="CG66" i="229"/>
  <c r="CO66" i="229"/>
  <c r="AX75" i="229"/>
  <c r="AX83" i="229"/>
  <c r="BH79" i="229"/>
  <c r="BG82" i="229"/>
  <c r="CP76" i="229"/>
  <c r="CP77" i="229"/>
  <c r="CQ76" i="229"/>
  <c r="CT77" i="229"/>
  <c r="CH81" i="229"/>
  <c r="CD81" i="229"/>
  <c r="CQ81" i="229"/>
  <c r="CM81" i="229"/>
  <c r="CF109" i="229"/>
  <c r="CF112" i="229"/>
  <c r="CF115" i="229"/>
  <c r="CF106" i="229"/>
  <c r="DS23" i="229"/>
  <c r="DT23" i="229"/>
  <c r="CO29" i="229"/>
  <c r="CS29" i="229"/>
  <c r="CS53" i="229" s="1"/>
  <c r="AV58" i="229"/>
  <c r="DK57" i="229"/>
  <c r="DK62" i="229" s="1"/>
  <c r="AU61" i="229"/>
  <c r="DJ74" i="229"/>
  <c r="AR79" i="229"/>
  <c r="AQ79" i="229"/>
  <c r="AR82" i="229"/>
  <c r="AZ83" i="229"/>
  <c r="BD83" i="229"/>
  <c r="BA79" i="229"/>
  <c r="CT109" i="229"/>
  <c r="CT106" i="229"/>
  <c r="CT115" i="229"/>
  <c r="CT112" i="229"/>
  <c r="CT117" i="229"/>
  <c r="DJ20" i="229"/>
  <c r="BG28" i="229"/>
  <c r="BH28" i="229"/>
  <c r="BB66" i="229"/>
  <c r="BF66" i="229"/>
  <c r="AC76" i="229"/>
  <c r="AD76" i="229"/>
  <c r="BZ117" i="229"/>
  <c r="BZ112" i="229"/>
  <c r="CD117" i="229"/>
  <c r="DL8" i="229"/>
  <c r="DO14" i="229"/>
  <c r="AT29" i="229"/>
  <c r="AT53" i="229" s="1"/>
  <c r="AU28" i="229"/>
  <c r="CT66" i="229"/>
  <c r="CP66" i="229"/>
  <c r="BS87" i="229"/>
  <c r="BR87" i="229"/>
  <c r="DT111" i="229"/>
  <c r="DW114" i="229"/>
  <c r="CB115" i="229"/>
  <c r="CB112" i="229"/>
  <c r="DJ17" i="229"/>
  <c r="DI27" i="229"/>
  <c r="BE82" i="229"/>
  <c r="DN74" i="229"/>
  <c r="DI85" i="229"/>
  <c r="AM94" i="229"/>
  <c r="AN90" i="229"/>
  <c r="CP106" i="229"/>
  <c r="CP117" i="229"/>
  <c r="CP112" i="229"/>
  <c r="BA50" i="229"/>
  <c r="BE50" i="229"/>
  <c r="BY50" i="229"/>
  <c r="BU50" i="229"/>
  <c r="AJ81" i="229"/>
  <c r="BQ87" i="229"/>
  <c r="CH87" i="229"/>
  <c r="AR95" i="229"/>
  <c r="DN98" i="229"/>
  <c r="DR108" i="229"/>
  <c r="DQ116" i="229"/>
  <c r="DS14" i="229"/>
  <c r="DV17" i="229"/>
  <c r="DP23" i="229"/>
  <c r="BZ76" i="229"/>
  <c r="AJ95" i="229"/>
  <c r="DL30" i="229"/>
  <c r="DS27" i="229"/>
  <c r="CG50" i="229"/>
  <c r="CA66" i="229"/>
  <c r="CM95" i="229"/>
  <c r="CI95" i="229"/>
  <c r="DM30" i="229"/>
  <c r="DH26" i="229"/>
  <c r="BD28" i="229"/>
  <c r="DN31" i="229"/>
  <c r="AQ101" i="229" l="1"/>
  <c r="AU94" i="229"/>
  <c r="AU95" i="229" s="1"/>
  <c r="BB92" i="229"/>
  <c r="DL85" i="229"/>
  <c r="BQ84" i="229"/>
  <c r="DU77" i="229"/>
  <c r="BC91" i="229"/>
  <c r="BM84" i="229"/>
  <c r="CW78" i="229"/>
  <c r="BQ81" i="229"/>
  <c r="CB95" i="229"/>
  <c r="DH75" i="229"/>
  <c r="BR89" i="229"/>
  <c r="BO90" i="229"/>
  <c r="BS91" i="229"/>
  <c r="BW92" i="229" s="1"/>
  <c r="BY78" i="229"/>
  <c r="BO50" i="229"/>
  <c r="AY86" i="229"/>
  <c r="DO52" i="229"/>
  <c r="DK52" i="229"/>
  <c r="CN78" i="229"/>
  <c r="BF92" i="229"/>
  <c r="DU81" i="229"/>
  <c r="BL92" i="229"/>
  <c r="DX84" i="229"/>
  <c r="BX89" i="229"/>
  <c r="BX95" i="229"/>
  <c r="AZ88" i="229"/>
  <c r="BD89" i="229" s="1"/>
  <c r="DP62" i="229"/>
  <c r="DU50" i="229"/>
  <c r="CX89" i="229"/>
  <c r="DS52" i="229"/>
  <c r="CX78" i="229"/>
  <c r="DL62" i="229"/>
  <c r="BX87" i="229"/>
  <c r="BY87" i="229"/>
  <c r="DM50" i="229"/>
  <c r="DO74" i="229"/>
  <c r="DO75" i="229" s="1"/>
  <c r="BB81" i="229"/>
  <c r="BM81" i="229"/>
  <c r="CE89" i="229"/>
  <c r="D40" i="226"/>
  <c r="F40" i="226" s="1"/>
  <c r="CV48" i="229"/>
  <c r="CV49" i="229"/>
  <c r="DH52" i="229"/>
  <c r="CV57" i="229"/>
  <c r="CV64" i="229"/>
  <c r="CV65" i="229" s="1"/>
  <c r="CB88" i="229"/>
  <c r="CB89" i="229" s="1"/>
  <c r="AQ84" i="229"/>
  <c r="DP52" i="229"/>
  <c r="DW95" i="229"/>
  <c r="DT41" i="229"/>
  <c r="DS62" i="229"/>
  <c r="DS66" i="229" s="1"/>
  <c r="CL78" i="229"/>
  <c r="CG78" i="229"/>
  <c r="BH89" i="229"/>
  <c r="CB101" i="229"/>
  <c r="CD101" i="229"/>
  <c r="DM96" i="229"/>
  <c r="DM97" i="229" s="1"/>
  <c r="DU70" i="229"/>
  <c r="DU35" i="229"/>
  <c r="AW71" i="229"/>
  <c r="CU72" i="229"/>
  <c r="P33" i="230"/>
  <c r="EB143" i="1"/>
  <c r="EC47" i="1"/>
  <c r="EB45" i="1"/>
  <c r="BS32" i="229"/>
  <c r="BS64" i="229" s="1"/>
  <c r="BS65" i="229" s="1"/>
  <c r="CT32" i="229"/>
  <c r="CT72" i="229" s="1"/>
  <c r="CV33" i="1"/>
  <c r="CX49" i="1"/>
  <c r="CW48" i="1"/>
  <c r="EC66" i="229"/>
  <c r="W14" i="225"/>
  <c r="CC101" i="229"/>
  <c r="CE101" i="229"/>
  <c r="CX52" i="229"/>
  <c r="CX56" i="229" s="1"/>
  <c r="CW57" i="229"/>
  <c r="CW66" i="229"/>
  <c r="CW64" i="229"/>
  <c r="CW65" i="229" s="1"/>
  <c r="AW151" i="1"/>
  <c r="AK156" i="1"/>
  <c r="AK150" i="1"/>
  <c r="CR159" i="1"/>
  <c r="CN159" i="1"/>
  <c r="DN97" i="229"/>
  <c r="DJ68" i="229"/>
  <c r="CR63" i="229"/>
  <c r="DX29" i="229"/>
  <c r="DX53" i="229" s="1"/>
  <c r="AM63" i="229"/>
  <c r="CR71" i="229"/>
  <c r="BN71" i="229"/>
  <c r="AP71" i="229"/>
  <c r="AO71" i="229"/>
  <c r="DO29" i="229"/>
  <c r="DO63" i="229" s="1"/>
  <c r="DI29" i="229"/>
  <c r="DI53" i="229" s="1"/>
  <c r="AR53" i="229"/>
  <c r="BN53" i="229"/>
  <c r="DN29" i="229"/>
  <c r="DN63" i="229" s="1"/>
  <c r="DT29" i="229"/>
  <c r="DT53" i="229" s="1"/>
  <c r="CB63" i="229"/>
  <c r="AR71" i="229"/>
  <c r="AI63" i="229"/>
  <c r="DL29" i="229"/>
  <c r="DL53" i="229" s="1"/>
  <c r="AP63" i="229"/>
  <c r="DU29" i="229"/>
  <c r="DU53" i="229" s="1"/>
  <c r="DX69" i="229"/>
  <c r="DY35" i="229" s="1"/>
  <c r="DY29" i="229"/>
  <c r="BV103" i="1"/>
  <c r="BV110" i="1" s="1"/>
  <c r="AT158" i="1"/>
  <c r="AT157" i="1"/>
  <c r="BS21" i="1"/>
  <c r="BS51" i="1"/>
  <c r="BS16" i="1"/>
  <c r="BH26" i="1"/>
  <c r="BH24" i="1"/>
  <c r="BK104" i="1" s="1"/>
  <c r="BK112" i="1" s="1"/>
  <c r="M26" i="1"/>
  <c r="M24" i="1"/>
  <c r="AP51" i="1"/>
  <c r="AP52" i="1" s="1"/>
  <c r="AP16" i="1"/>
  <c r="AP21" i="1"/>
  <c r="CC26" i="1"/>
  <c r="CC24" i="1"/>
  <c r="BK131" i="1"/>
  <c r="BK156" i="1" s="1"/>
  <c r="DW34" i="1"/>
  <c r="BL53" i="1"/>
  <c r="CE24" i="1"/>
  <c r="BR103" i="1"/>
  <c r="BR110" i="1" s="1"/>
  <c r="AZ16" i="1"/>
  <c r="CM101" i="229"/>
  <c r="DX37" i="1"/>
  <c r="J24" i="1"/>
  <c r="J26" i="1"/>
  <c r="V34" i="1"/>
  <c r="U34" i="1"/>
  <c r="AH39" i="1"/>
  <c r="AH40" i="1"/>
  <c r="AH171" i="1"/>
  <c r="CK24" i="1"/>
  <c r="CK26" i="1"/>
  <c r="CJ100" i="229"/>
  <c r="CJ51" i="1"/>
  <c r="CJ16" i="1"/>
  <c r="CJ21" i="1"/>
  <c r="CO158" i="1"/>
  <c r="CO159" i="1" s="1"/>
  <c r="CO157" i="1"/>
  <c r="E21" i="1"/>
  <c r="AR16" i="1"/>
  <c r="AR21" i="1"/>
  <c r="AR51" i="1"/>
  <c r="I26" i="1"/>
  <c r="U158" i="1"/>
  <c r="U157" i="1"/>
  <c r="CE131" i="1"/>
  <c r="CE156" i="1" s="1"/>
  <c r="DT123" i="1"/>
  <c r="DT131" i="1" s="1"/>
  <c r="DT156" i="1" s="1"/>
  <c r="DU34" i="1"/>
  <c r="AM21" i="1"/>
  <c r="AM16" i="1"/>
  <c r="R21" i="1"/>
  <c r="R26" i="1" s="1"/>
  <c r="CC34" i="1"/>
  <c r="BR53" i="1"/>
  <c r="CC103" i="1"/>
  <c r="CC110" i="1" s="1"/>
  <c r="CS41" i="1"/>
  <c r="CS42" i="1" s="1"/>
  <c r="CK101" i="229"/>
  <c r="CN101" i="229"/>
  <c r="H26" i="1"/>
  <c r="H24" i="1"/>
  <c r="T24" i="1"/>
  <c r="T104" i="1" s="1"/>
  <c r="T112" i="1" s="1"/>
  <c r="T26" i="1"/>
  <c r="U14" i="225"/>
  <c r="Y26" i="1"/>
  <c r="Y24" i="1"/>
  <c r="BN53" i="1"/>
  <c r="BN52" i="1"/>
  <c r="BN103" i="1"/>
  <c r="BN110" i="1" s="1"/>
  <c r="AX21" i="1"/>
  <c r="AX16" i="1"/>
  <c r="AX51" i="1"/>
  <c r="AX52" i="1" s="1"/>
  <c r="BI171" i="1"/>
  <c r="BI40" i="1"/>
  <c r="BE26" i="1"/>
  <c r="BE24" i="1"/>
  <c r="W51" i="1"/>
  <c r="W21" i="1"/>
  <c r="DW36" i="1"/>
  <c r="DW169" i="1"/>
  <c r="AA40" i="1"/>
  <c r="AA171" i="1"/>
  <c r="AA39" i="1"/>
  <c r="AH158" i="1"/>
  <c r="AH159" i="1" s="1"/>
  <c r="AH157" i="1"/>
  <c r="DU36" i="1"/>
  <c r="DU169" i="1"/>
  <c r="CT100" i="229"/>
  <c r="CT21" i="1"/>
  <c r="CT51" i="1"/>
  <c r="CT52" i="1" s="1"/>
  <c r="CT16" i="1"/>
  <c r="BA51" i="1"/>
  <c r="BA21" i="1"/>
  <c r="BA16" i="1"/>
  <c r="CD103" i="1"/>
  <c r="CD110" i="1" s="1"/>
  <c r="BM104" i="1"/>
  <c r="BM112" i="1" s="1"/>
  <c r="O24" i="1"/>
  <c r="O26" i="1"/>
  <c r="G24" i="1"/>
  <c r="G26" i="1"/>
  <c r="CB24" i="1"/>
  <c r="CE104" i="1" s="1"/>
  <c r="CE112" i="1" s="1"/>
  <c r="CB26" i="1"/>
  <c r="AE16" i="1"/>
  <c r="AE21" i="1"/>
  <c r="AE51" i="1"/>
  <c r="T34" i="1"/>
  <c r="DE34" i="1"/>
  <c r="CB52" i="1"/>
  <c r="CF53" i="1"/>
  <c r="Q26" i="1"/>
  <c r="AA158" i="1"/>
  <c r="AA157" i="1"/>
  <c r="CE103" i="1"/>
  <c r="CE110" i="1" s="1"/>
  <c r="CS29" i="1"/>
  <c r="S158" i="1"/>
  <c r="S157" i="1"/>
  <c r="Z21" i="1"/>
  <c r="Z51" i="1"/>
  <c r="Z16" i="1"/>
  <c r="V14" i="225"/>
  <c r="D24" i="1"/>
  <c r="D26" i="1"/>
  <c r="BQ52" i="1"/>
  <c r="BQ53" i="1"/>
  <c r="AY16" i="1"/>
  <c r="F21" i="1"/>
  <c r="DL34" i="1"/>
  <c r="CQ26" i="1"/>
  <c r="CQ24" i="1"/>
  <c r="AD39" i="1"/>
  <c r="AD40" i="1"/>
  <c r="AD171" i="1"/>
  <c r="P51" i="1"/>
  <c r="P21" i="1"/>
  <c r="BL41" i="1"/>
  <c r="BL28" i="1"/>
  <c r="DP28" i="1" s="1"/>
  <c r="BL31" i="1"/>
  <c r="BR26" i="1"/>
  <c r="BR24" i="1"/>
  <c r="AH103" i="1"/>
  <c r="AH110" i="1" s="1"/>
  <c r="BO24" i="1"/>
  <c r="BO26" i="1"/>
  <c r="AB52" i="1"/>
  <c r="AB53" i="1"/>
  <c r="AN24" i="1"/>
  <c r="AN26" i="1"/>
  <c r="AL21" i="1"/>
  <c r="BP24" i="1"/>
  <c r="BP26" i="1"/>
  <c r="K24" i="1"/>
  <c r="N104" i="1" s="1"/>
  <c r="N112" i="1" s="1"/>
  <c r="K26" i="1"/>
  <c r="BG21" i="1"/>
  <c r="BG16" i="1"/>
  <c r="BM103" i="1"/>
  <c r="BM110" i="1" s="1"/>
  <c r="CA26" i="1"/>
  <c r="CA24" i="1"/>
  <c r="CD104" i="1" s="1"/>
  <c r="CD112" i="1" s="1"/>
  <c r="AG21" i="1"/>
  <c r="AG16" i="1"/>
  <c r="AG51" i="1"/>
  <c r="N24" i="1"/>
  <c r="N26" i="1"/>
  <c r="BE52" i="1"/>
  <c r="BE53" i="1"/>
  <c r="BI53" i="1"/>
  <c r="AL16" i="1"/>
  <c r="CG16" i="1"/>
  <c r="BM158" i="1"/>
  <c r="BM157" i="1"/>
  <c r="AB158" i="1"/>
  <c r="AB157" i="1"/>
  <c r="CB53" i="1"/>
  <c r="CQ98" i="229"/>
  <c r="CQ99" i="229" s="1"/>
  <c r="CF159" i="1"/>
  <c r="L24" i="1"/>
  <c r="O104" i="1" s="1"/>
  <c r="O112" i="1" s="1"/>
  <c r="L26" i="1"/>
  <c r="CE34" i="1"/>
  <c r="CF34" i="1"/>
  <c r="T14" i="225"/>
  <c r="X21" i="1"/>
  <c r="X16" i="1"/>
  <c r="X51" i="1"/>
  <c r="BN26" i="1"/>
  <c r="BN24" i="1"/>
  <c r="BG51" i="1"/>
  <c r="BI103" i="1" s="1"/>
  <c r="BI110" i="1" s="1"/>
  <c r="AJ26" i="1"/>
  <c r="AJ24" i="1"/>
  <c r="BK31" i="1"/>
  <c r="BK29" i="1"/>
  <c r="BK116" i="1" s="1"/>
  <c r="BK41" i="1"/>
  <c r="CR171" i="1"/>
  <c r="CR39" i="1"/>
  <c r="CR40" i="1"/>
  <c r="BD150" i="1"/>
  <c r="BD152" i="1" s="1"/>
  <c r="BD156" i="1"/>
  <c r="AU70" i="229"/>
  <c r="AU71" i="229" s="1"/>
  <c r="BT32" i="229"/>
  <c r="BT64" i="229" s="1"/>
  <c r="BT65" i="229" s="1"/>
  <c r="BB63" i="229"/>
  <c r="AS63" i="229"/>
  <c r="AL71" i="229"/>
  <c r="BF95" i="229"/>
  <c r="CP63" i="229"/>
  <c r="CB76" i="229"/>
  <c r="CF77" i="229"/>
  <c r="CJ78" i="229" s="1"/>
  <c r="AX87" i="229"/>
  <c r="BE92" i="229"/>
  <c r="CR89" i="229"/>
  <c r="CB77" i="229"/>
  <c r="BY32" i="229"/>
  <c r="BY72" i="229" s="1"/>
  <c r="CG32" i="229"/>
  <c r="CG64" i="229" s="1"/>
  <c r="CG65" i="229" s="1"/>
  <c r="BU89" i="229"/>
  <c r="AL53" i="229"/>
  <c r="CC78" i="229"/>
  <c r="AW89" i="229"/>
  <c r="CB32" i="229"/>
  <c r="CB64" i="229" s="1"/>
  <c r="CB65" i="229" s="1"/>
  <c r="BV71" i="229"/>
  <c r="BN84" i="229"/>
  <c r="AO78" i="229"/>
  <c r="CB84" i="229"/>
  <c r="CG89" i="229"/>
  <c r="BA88" i="229"/>
  <c r="BA89" i="229" s="1"/>
  <c r="BX70" i="229"/>
  <c r="BX71" i="229" s="1"/>
  <c r="CB70" i="229"/>
  <c r="CB71" i="229" s="1"/>
  <c r="BK63" i="229"/>
  <c r="AX95" i="229"/>
  <c r="AL89" i="229"/>
  <c r="CO32" i="229"/>
  <c r="CO72" i="229" s="1"/>
  <c r="BM77" i="229"/>
  <c r="BQ78" i="229" s="1"/>
  <c r="BS53" i="229"/>
  <c r="BT99" i="229"/>
  <c r="AJ89" i="229"/>
  <c r="CP89" i="229"/>
  <c r="BM76" i="229"/>
  <c r="BT70" i="229"/>
  <c r="BT71" i="229" s="1"/>
  <c r="CK71" i="229"/>
  <c r="AV71" i="229"/>
  <c r="CP78" i="229"/>
  <c r="BP81" i="229"/>
  <c r="AK89" i="229"/>
  <c r="BE77" i="229"/>
  <c r="BI78" i="229" s="1"/>
  <c r="BE81" i="229"/>
  <c r="BU84" i="229"/>
  <c r="AZ95" i="229"/>
  <c r="BC76" i="229"/>
  <c r="CC89" i="229"/>
  <c r="CS89" i="229"/>
  <c r="AW87" i="229"/>
  <c r="CB81" i="229"/>
  <c r="AG63" i="229"/>
  <c r="BN76" i="229"/>
  <c r="AP89" i="229"/>
  <c r="BR81" i="229"/>
  <c r="CA32" i="229"/>
  <c r="CA72" i="229" s="1"/>
  <c r="AX88" i="229"/>
  <c r="BB89" i="229" s="1"/>
  <c r="CI32" i="229"/>
  <c r="CI72" i="229" s="1"/>
  <c r="AQ71" i="229"/>
  <c r="BT101" i="229"/>
  <c r="BZ32" i="229"/>
  <c r="BZ72" i="229" s="1"/>
  <c r="AS89" i="229"/>
  <c r="AM50" i="229"/>
  <c r="K99" i="225"/>
  <c r="G99" i="225"/>
  <c r="K52" i="225"/>
  <c r="G94" i="225"/>
  <c r="D22" i="222"/>
  <c r="D18" i="222"/>
  <c r="G18" i="222" s="1"/>
  <c r="I17" i="222"/>
  <c r="G17" i="222"/>
  <c r="G45" i="223"/>
  <c r="G46" i="223" s="1"/>
  <c r="H39" i="223"/>
  <c r="CM32" i="229"/>
  <c r="CM72" i="229" s="1"/>
  <c r="BU32" i="229"/>
  <c r="BU72" i="229" s="1"/>
  <c r="CR32" i="229"/>
  <c r="CR72" i="229" s="1"/>
  <c r="CL32" i="229"/>
  <c r="CL54" i="229" s="1"/>
  <c r="CL55" i="229" s="1"/>
  <c r="BO32" i="229"/>
  <c r="CE32" i="229"/>
  <c r="CN32" i="229"/>
  <c r="CN72" i="229" s="1"/>
  <c r="DW117" i="229"/>
  <c r="CK32" i="229"/>
  <c r="CK72" i="229" s="1"/>
  <c r="CS32" i="229"/>
  <c r="CS72" i="229" s="1"/>
  <c r="CH32" i="229"/>
  <c r="CH72" i="229" s="1"/>
  <c r="DE108" i="1"/>
  <c r="DE112" i="1"/>
  <c r="DQ108" i="1"/>
  <c r="DQ112" i="1"/>
  <c r="DQ90" i="1"/>
  <c r="DQ92" i="1" s="1"/>
  <c r="DP90" i="1"/>
  <c r="DP92" i="1" s="1"/>
  <c r="DF108" i="1"/>
  <c r="DF112" i="1"/>
  <c r="DP108" i="1"/>
  <c r="W66" i="225"/>
  <c r="V66" i="225"/>
  <c r="T66" i="225"/>
  <c r="DF90" i="1"/>
  <c r="DF92" i="1" s="1"/>
  <c r="W38" i="225"/>
  <c r="U38" i="225"/>
  <c r="V38" i="225"/>
  <c r="DX35" i="1"/>
  <c r="DX169" i="1" s="1"/>
  <c r="AM101" i="229"/>
  <c r="DV109" i="229"/>
  <c r="CD32" i="229"/>
  <c r="CD72" i="229" s="1"/>
  <c r="DX80" i="229"/>
  <c r="DX81" i="229" s="1"/>
  <c r="AQ95" i="229"/>
  <c r="BR63" i="229"/>
  <c r="AJ53" i="229"/>
  <c r="BI92" i="229"/>
  <c r="DS69" i="229"/>
  <c r="DT70" i="229" s="1"/>
  <c r="DV88" i="229"/>
  <c r="BX77" i="229"/>
  <c r="CB78" i="229" s="1"/>
  <c r="DV115" i="229"/>
  <c r="CO50" i="229"/>
  <c r="DW66" i="229"/>
  <c r="BU78" i="229"/>
  <c r="CB66" i="229"/>
  <c r="CC63" i="229"/>
  <c r="CN71" i="229"/>
  <c r="BA95" i="229"/>
  <c r="AM99" i="229"/>
  <c r="BA84" i="229"/>
  <c r="BJ53" i="229"/>
  <c r="AH63" i="229"/>
  <c r="BY76" i="229"/>
  <c r="CQ32" i="229"/>
  <c r="CQ72" i="229" s="1"/>
  <c r="CC32" i="229"/>
  <c r="CC72" i="229" s="1"/>
  <c r="BJ71" i="229"/>
  <c r="DV81" i="229"/>
  <c r="AQ53" i="229"/>
  <c r="DV112" i="229"/>
  <c r="DT83" i="229"/>
  <c r="DU84" i="229" s="1"/>
  <c r="AO63" i="229"/>
  <c r="DS75" i="229"/>
  <c r="DT77" i="229" s="1"/>
  <c r="DX75" i="229"/>
  <c r="DX77" i="229" s="1"/>
  <c r="AU100" i="229"/>
  <c r="AU101" i="229" s="1"/>
  <c r="DT59" i="229"/>
  <c r="DU60" i="229" s="1"/>
  <c r="BV32" i="229"/>
  <c r="BV72" i="229" s="1"/>
  <c r="BR71" i="229"/>
  <c r="BE84" i="229"/>
  <c r="AZ84" i="229"/>
  <c r="CC71" i="229"/>
  <c r="AN71" i="229"/>
  <c r="CT89" i="229"/>
  <c r="DS80" i="229"/>
  <c r="DT81" i="229" s="1"/>
  <c r="BB95" i="229"/>
  <c r="DS84" i="229"/>
  <c r="AY94" i="229"/>
  <c r="AY95" i="229" s="1"/>
  <c r="DW112" i="229"/>
  <c r="DW115" i="229"/>
  <c r="BT89" i="229"/>
  <c r="BQ95" i="229"/>
  <c r="BZ71" i="229"/>
  <c r="BS50" i="229"/>
  <c r="AY70" i="229"/>
  <c r="AY71" i="229" s="1"/>
  <c r="DW106" i="229"/>
  <c r="AT88" i="229"/>
  <c r="AT89" i="229" s="1"/>
  <c r="BD81" i="229"/>
  <c r="DV50" i="229"/>
  <c r="DM80" i="229"/>
  <c r="DM83" i="229"/>
  <c r="DX85" i="229"/>
  <c r="BK75" i="229"/>
  <c r="BK77" i="229" s="1"/>
  <c r="DV70" i="229"/>
  <c r="AJ76" i="229"/>
  <c r="BI70" i="229"/>
  <c r="BI71" i="229" s="1"/>
  <c r="BE70" i="229"/>
  <c r="BE71" i="229" s="1"/>
  <c r="BE101" i="229"/>
  <c r="DM29" i="229"/>
  <c r="DM63" i="229" s="1"/>
  <c r="BK79" i="229"/>
  <c r="AM70" i="229"/>
  <c r="AM71" i="229" s="1"/>
  <c r="DV35" i="229"/>
  <c r="CR78" i="229"/>
  <c r="BZ63" i="229"/>
  <c r="DJ69" i="229"/>
  <c r="DJ99" i="229" s="1"/>
  <c r="BS56" i="229"/>
  <c r="AI87" i="229"/>
  <c r="AJ87" i="229"/>
  <c r="AM88" i="229"/>
  <c r="AM87" i="229"/>
  <c r="AN87" i="229"/>
  <c r="BZ77" i="229"/>
  <c r="CD78" i="229" s="1"/>
  <c r="BV76" i="229"/>
  <c r="DQ29" i="229"/>
  <c r="DQ63" i="229" s="1"/>
  <c r="BO94" i="229"/>
  <c r="BS95" i="229" s="1"/>
  <c r="BA87" i="229"/>
  <c r="BN77" i="229"/>
  <c r="BR78" i="229" s="1"/>
  <c r="BJ76" i="229"/>
  <c r="AM66" i="229"/>
  <c r="BS60" i="229"/>
  <c r="AQ66" i="229"/>
  <c r="BO70" i="229"/>
  <c r="AF63" i="229"/>
  <c r="BQ32" i="229"/>
  <c r="BQ72" i="229" s="1"/>
  <c r="BK80" i="229"/>
  <c r="BK81" i="229" s="1"/>
  <c r="BQ71" i="229"/>
  <c r="AF71" i="229"/>
  <c r="DK68" i="229"/>
  <c r="BU76" i="229"/>
  <c r="BT77" i="229"/>
  <c r="BX50" i="229"/>
  <c r="BT50" i="229"/>
  <c r="BE88" i="229"/>
  <c r="DI68" i="229"/>
  <c r="CB92" i="229"/>
  <c r="CH53" i="229"/>
  <c r="DI69" i="229"/>
  <c r="DI70" i="229" s="1"/>
  <c r="DK97" i="229"/>
  <c r="BL84" i="229"/>
  <c r="BK83" i="229"/>
  <c r="BK84" i="229" s="1"/>
  <c r="CB60" i="229"/>
  <c r="BX32" i="229"/>
  <c r="BP63" i="229"/>
  <c r="BP53" i="229"/>
  <c r="BB87" i="229"/>
  <c r="AU90" i="229"/>
  <c r="AV90" i="229"/>
  <c r="AU93" i="229"/>
  <c r="AU91" i="229"/>
  <c r="AV93" i="229"/>
  <c r="AY91" i="229"/>
  <c r="DK85" i="229"/>
  <c r="DK100" i="229" s="1"/>
  <c r="CF32" i="229"/>
  <c r="CF72" i="229" s="1"/>
  <c r="BN81" i="229"/>
  <c r="BL79" i="229"/>
  <c r="DI77" i="229"/>
  <c r="BO99" i="229"/>
  <c r="BL90" i="229"/>
  <c r="DI97" i="229"/>
  <c r="BV77" i="229"/>
  <c r="BV78" i="229" s="1"/>
  <c r="BD76" i="229"/>
  <c r="BZ50" i="229"/>
  <c r="CH78" i="229"/>
  <c r="AM76" i="229"/>
  <c r="AM77" i="229"/>
  <c r="AQ78" i="229" s="1"/>
  <c r="AN76" i="229"/>
  <c r="BY89" i="229"/>
  <c r="AM60" i="229"/>
  <c r="AO89" i="229"/>
  <c r="BK87" i="229"/>
  <c r="BK88" i="229"/>
  <c r="BL87" i="229"/>
  <c r="AK63" i="229"/>
  <c r="AK53" i="229"/>
  <c r="BK100" i="229"/>
  <c r="BK101" i="229" s="1"/>
  <c r="DO85" i="229"/>
  <c r="DP94" i="229" s="1"/>
  <c r="AU63" i="229"/>
  <c r="AU53" i="229"/>
  <c r="AM56" i="229"/>
  <c r="AI53" i="229"/>
  <c r="AK71" i="229"/>
  <c r="DH29" i="229"/>
  <c r="DH63" i="229" s="1"/>
  <c r="AV84" i="229"/>
  <c r="CN53" i="229"/>
  <c r="DP59" i="229"/>
  <c r="DO69" i="229"/>
  <c r="DO59" i="229"/>
  <c r="CP32" i="229"/>
  <c r="CP72" i="229" s="1"/>
  <c r="BJ81" i="229"/>
  <c r="CF88" i="229"/>
  <c r="CJ89" i="229" s="1"/>
  <c r="DH100" i="229"/>
  <c r="DH101" i="229" s="1"/>
  <c r="CQ89" i="229"/>
  <c r="BI81" i="229"/>
  <c r="DW70" i="229"/>
  <c r="AZ89" i="229"/>
  <c r="BL93" i="229"/>
  <c r="CO56" i="229"/>
  <c r="BD71" i="229"/>
  <c r="BS71" i="229"/>
  <c r="BQ63" i="229"/>
  <c r="BQ53" i="229"/>
  <c r="BO66" i="229"/>
  <c r="DG49" i="229"/>
  <c r="DH49" i="229"/>
  <c r="DI50" i="229" s="1"/>
  <c r="AV53" i="229"/>
  <c r="AV63" i="229"/>
  <c r="AD99" i="229"/>
  <c r="AH70" i="229"/>
  <c r="AH71" i="229" s="1"/>
  <c r="DY37" i="229"/>
  <c r="DY53" i="229" s="1"/>
  <c r="DX50" i="229"/>
  <c r="BE76" i="229"/>
  <c r="BF87" i="229"/>
  <c r="BG87" i="229"/>
  <c r="BJ88" i="229"/>
  <c r="BN89" i="229" s="1"/>
  <c r="BF88" i="229"/>
  <c r="BF89" i="229" s="1"/>
  <c r="CK56" i="229"/>
  <c r="CK53" i="229"/>
  <c r="BP32" i="229"/>
  <c r="BP72" i="229" s="1"/>
  <c r="BB71" i="229"/>
  <c r="AW53" i="229"/>
  <c r="AW63" i="229"/>
  <c r="AU79" i="229"/>
  <c r="AU82" i="229"/>
  <c r="AZ92" i="229"/>
  <c r="BO63" i="229"/>
  <c r="BS66" i="229"/>
  <c r="BC71" i="229"/>
  <c r="DN66" i="229"/>
  <c r="CQ78" i="229"/>
  <c r="AX71" i="229"/>
  <c r="CC87" i="229"/>
  <c r="DR29" i="229"/>
  <c r="DR63" i="229" s="1"/>
  <c r="AN89" i="229"/>
  <c r="AU80" i="229"/>
  <c r="AU81" i="229" s="1"/>
  <c r="BK93" i="229"/>
  <c r="AP78" i="229"/>
  <c r="AT78" i="229"/>
  <c r="DR66" i="229"/>
  <c r="DP69" i="229"/>
  <c r="DQ70" i="229" s="1"/>
  <c r="DQ59" i="229"/>
  <c r="DR60" i="229" s="1"/>
  <c r="CJ71" i="229"/>
  <c r="BI84" i="229"/>
  <c r="BJ95" i="229"/>
  <c r="BN95" i="229"/>
  <c r="DX35" i="229"/>
  <c r="DW101" i="229"/>
  <c r="AB99" i="229"/>
  <c r="AB101" i="229"/>
  <c r="BC93" i="229"/>
  <c r="BG94" i="229"/>
  <c r="BC86" i="229"/>
  <c r="BG91" i="229"/>
  <c r="BC90" i="229"/>
  <c r="BD93" i="229"/>
  <c r="BD90" i="229"/>
  <c r="DM85" i="229"/>
  <c r="DM86" i="229" s="1"/>
  <c r="AZ63" i="229"/>
  <c r="AZ53" i="229"/>
  <c r="AZ71" i="229"/>
  <c r="AQ88" i="229"/>
  <c r="AQ87" i="229"/>
  <c r="AR87" i="229"/>
  <c r="AX53" i="229"/>
  <c r="AX63" i="229"/>
  <c r="AZ77" i="229"/>
  <c r="AV77" i="229"/>
  <c r="AZ81" i="229"/>
  <c r="CM78" i="229"/>
  <c r="BH84" i="229"/>
  <c r="BJ84" i="229"/>
  <c r="CJ63" i="229"/>
  <c r="CB87" i="229"/>
  <c r="AV79" i="229"/>
  <c r="BC94" i="229"/>
  <c r="CH71" i="229"/>
  <c r="BK94" i="229"/>
  <c r="CP71" i="229"/>
  <c r="BO53" i="229"/>
  <c r="BV56" i="229"/>
  <c r="BZ56" i="229"/>
  <c r="BV53" i="229"/>
  <c r="DS94" i="229"/>
  <c r="DS91" i="229"/>
  <c r="BC53" i="229"/>
  <c r="AT81" i="229"/>
  <c r="AX81" i="229"/>
  <c r="BW32" i="229"/>
  <c r="BW72" i="229" s="1"/>
  <c r="DW81" i="229"/>
  <c r="AJ78" i="229"/>
  <c r="AN78" i="229"/>
  <c r="AV82" i="229"/>
  <c r="BL71" i="229"/>
  <c r="BF71" i="229"/>
  <c r="BF63" i="229"/>
  <c r="BF53" i="229"/>
  <c r="BO91" i="229"/>
  <c r="BS92" i="229" s="1"/>
  <c r="BD63" i="229"/>
  <c r="BD53" i="229"/>
  <c r="BD77" i="229"/>
  <c r="BH77" i="229"/>
  <c r="CD53" i="229"/>
  <c r="CD63" i="229"/>
  <c r="BJ92" i="229"/>
  <c r="BL63" i="229"/>
  <c r="AU75" i="229"/>
  <c r="AU76" i="229" s="1"/>
  <c r="BK90" i="229"/>
  <c r="DU91" i="229"/>
  <c r="DV92" i="229" s="1"/>
  <c r="DT94" i="229"/>
  <c r="DT91" i="229"/>
  <c r="DU94" i="229"/>
  <c r="DV95" i="229" s="1"/>
  <c r="DQ56" i="229"/>
  <c r="DQ49" i="229"/>
  <c r="DP49" i="229"/>
  <c r="DQ50" i="229" s="1"/>
  <c r="DN86" i="229"/>
  <c r="DN88" i="229" s="1"/>
  <c r="CI53" i="229"/>
  <c r="BD84" i="229"/>
  <c r="DW50" i="229"/>
  <c r="AU83" i="229"/>
  <c r="AU84" i="229" s="1"/>
  <c r="BK91" i="229"/>
  <c r="BC100" i="229"/>
  <c r="BC101" i="229" s="1"/>
  <c r="DU78" i="229"/>
  <c r="CG63" i="229"/>
  <c r="CG53" i="229"/>
  <c r="DS86" i="229"/>
  <c r="DS88" i="229" s="1"/>
  <c r="BH63" i="229"/>
  <c r="BH53" i="229"/>
  <c r="BH71" i="229"/>
  <c r="AN53" i="229"/>
  <c r="AN63" i="229"/>
  <c r="BH81" i="229"/>
  <c r="AJ71" i="229"/>
  <c r="CK76" i="229"/>
  <c r="CK77" i="229"/>
  <c r="CO77" i="229"/>
  <c r="CS78" i="229" s="1"/>
  <c r="CG71" i="229"/>
  <c r="AS71" i="229"/>
  <c r="AI101" i="229"/>
  <c r="CD71" i="229"/>
  <c r="DN103" i="1"/>
  <c r="DN110" i="1" s="1"/>
  <c r="DO53" i="1"/>
  <c r="DN52" i="1"/>
  <c r="DM163" i="1"/>
  <c r="DM164" i="1"/>
  <c r="W94" i="225"/>
  <c r="U94" i="225"/>
  <c r="V94" i="225"/>
  <c r="T94" i="225"/>
  <c r="DS109" i="229"/>
  <c r="DS117" i="229"/>
  <c r="DS115" i="229"/>
  <c r="DS106" i="229"/>
  <c r="DN75" i="229"/>
  <c r="DN77" i="229" s="1"/>
  <c r="DN49" i="229"/>
  <c r="DN69" i="229"/>
  <c r="DO49" i="229"/>
  <c r="CN31" i="1"/>
  <c r="CN41" i="1"/>
  <c r="CN29" i="1"/>
  <c r="CO71" i="229"/>
  <c r="CO63" i="229"/>
  <c r="CO53" i="229"/>
  <c r="DL99" i="229"/>
  <c r="DM70" i="229"/>
  <c r="BA53" i="229"/>
  <c r="BA63" i="229"/>
  <c r="BA71" i="229"/>
  <c r="AW84" i="229"/>
  <c r="AS84" i="229"/>
  <c r="DT117" i="229"/>
  <c r="DT115" i="229"/>
  <c r="DT109" i="229"/>
  <c r="DT112" i="229"/>
  <c r="DT106" i="229"/>
  <c r="DP86" i="229"/>
  <c r="DQ91" i="229"/>
  <c r="DR92" i="229" s="1"/>
  <c r="DQ94" i="229"/>
  <c r="DR95" i="229" s="1"/>
  <c r="DO95" i="1"/>
  <c r="DO96" i="1"/>
  <c r="K85" i="225"/>
  <c r="O85" i="225"/>
  <c r="DL146" i="1"/>
  <c r="DK129" i="1"/>
  <c r="AF24" i="1"/>
  <c r="AF26" i="1"/>
  <c r="BY52" i="1"/>
  <c r="BY53" i="1"/>
  <c r="CC53" i="1"/>
  <c r="BY103" i="1"/>
  <c r="BY110" i="1" s="1"/>
  <c r="DG123" i="1"/>
  <c r="C100" i="225"/>
  <c r="DS41" i="1"/>
  <c r="DS31" i="1"/>
  <c r="DS29" i="1"/>
  <c r="DS116" i="1" s="1"/>
  <c r="BR32" i="229"/>
  <c r="BR72" i="229" s="1"/>
  <c r="DN56" i="229"/>
  <c r="AI68" i="229"/>
  <c r="AE69" i="229"/>
  <c r="AI70" i="229" s="1"/>
  <c r="AI71" i="229" s="1"/>
  <c r="DG67" i="229"/>
  <c r="CM53" i="229"/>
  <c r="CM63" i="229"/>
  <c r="DI60" i="229"/>
  <c r="DJ60" i="229"/>
  <c r="CM128" i="1"/>
  <c r="CL129" i="1"/>
  <c r="CL98" i="1" s="1"/>
  <c r="CL131" i="1"/>
  <c r="CL156" i="1" s="1"/>
  <c r="DV34" i="1"/>
  <c r="DL164" i="1"/>
  <c r="DL162" i="1"/>
  <c r="DL136" i="1"/>
  <c r="BY98" i="229"/>
  <c r="BY99" i="229" s="1"/>
  <c r="BY101" i="229"/>
  <c r="DL29" i="1"/>
  <c r="DL116" i="1" s="1"/>
  <c r="DL131" i="1" s="1"/>
  <c r="DL156" i="1" s="1"/>
  <c r="DL41" i="1"/>
  <c r="DL31" i="1"/>
  <c r="DH41" i="1"/>
  <c r="DH31" i="1"/>
  <c r="DH29" i="1"/>
  <c r="DH116" i="1" s="1"/>
  <c r="DH131" i="1" s="1"/>
  <c r="V80" i="225"/>
  <c r="W80" i="225"/>
  <c r="T80" i="225"/>
  <c r="U80" i="225"/>
  <c r="BG53" i="229"/>
  <c r="BK56" i="229"/>
  <c r="AZ87" i="229"/>
  <c r="AY88" i="229"/>
  <c r="AY87" i="229"/>
  <c r="CA146" i="1"/>
  <c r="AY164" i="1"/>
  <c r="AY136" i="1"/>
  <c r="AY162" i="1"/>
  <c r="E25" i="223"/>
  <c r="D31" i="223"/>
  <c r="AU103" i="1"/>
  <c r="AU110" i="1" s="1"/>
  <c r="AX103" i="1"/>
  <c r="AX110" i="1" s="1"/>
  <c r="AU53" i="1"/>
  <c r="AU52" i="1"/>
  <c r="AV103" i="1"/>
  <c r="AV110" i="1" s="1"/>
  <c r="AW103" i="1"/>
  <c r="AW110" i="1" s="1"/>
  <c r="BF24" i="1"/>
  <c r="BF26" i="1"/>
  <c r="BD171" i="1"/>
  <c r="BD40" i="1"/>
  <c r="BD39" i="1"/>
  <c r="Q29" i="1"/>
  <c r="Q116" i="1" s="1"/>
  <c r="Q131" i="1" s="1"/>
  <c r="Q41" i="1"/>
  <c r="Q31" i="1"/>
  <c r="BT40" i="1"/>
  <c r="BT39" i="1"/>
  <c r="BT171" i="1"/>
  <c r="AA150" i="1"/>
  <c r="DK135" i="1"/>
  <c r="DK136" i="1" s="1"/>
  <c r="DG24" i="1"/>
  <c r="DG26" i="1"/>
  <c r="AP129" i="1"/>
  <c r="AP98" i="1" s="1"/>
  <c r="DJ126" i="1"/>
  <c r="DJ129" i="1" s="1"/>
  <c r="BP53" i="1"/>
  <c r="BP52" i="1"/>
  <c r="BQ103" i="1"/>
  <c r="BQ110" i="1" s="1"/>
  <c r="BP103" i="1"/>
  <c r="BP110" i="1" s="1"/>
  <c r="CF99" i="229"/>
  <c r="C83" i="225"/>
  <c r="DT26" i="1"/>
  <c r="DT24" i="1"/>
  <c r="AM162" i="1"/>
  <c r="AM136" i="1"/>
  <c r="BM42" i="1"/>
  <c r="DJ95" i="1"/>
  <c r="DJ96" i="1"/>
  <c r="DP136" i="1"/>
  <c r="DP162" i="1"/>
  <c r="DP164" i="1"/>
  <c r="DQ24" i="1"/>
  <c r="DQ26" i="1"/>
  <c r="H15" i="226"/>
  <c r="J15" i="226" s="1"/>
  <c r="CG53" i="1"/>
  <c r="CG52" i="1"/>
  <c r="CK53" i="1"/>
  <c r="CG103" i="1"/>
  <c r="CG110" i="1" s="1"/>
  <c r="BT150" i="1"/>
  <c r="BT156" i="1"/>
  <c r="CE136" i="1"/>
  <c r="DT135" i="1"/>
  <c r="BV34" i="1"/>
  <c r="AW156" i="1"/>
  <c r="AW150" i="1"/>
  <c r="AW152" i="1" s="1"/>
  <c r="DO121" i="1"/>
  <c r="DO131" i="1" s="1"/>
  <c r="DO156" i="1" s="1"/>
  <c r="DE19" i="1"/>
  <c r="DD109" i="1"/>
  <c r="DD110" i="1" s="1"/>
  <c r="T19" i="1"/>
  <c r="DD108" i="1"/>
  <c r="DW39" i="1"/>
  <c r="DW171" i="1"/>
  <c r="DW40" i="1"/>
  <c r="BU53" i="1"/>
  <c r="BU52" i="1"/>
  <c r="BU103" i="1"/>
  <c r="BU110" i="1" s="1"/>
  <c r="DT98" i="229"/>
  <c r="DT99" i="229" s="1"/>
  <c r="CC99" i="229"/>
  <c r="AC156" i="1"/>
  <c r="AC150" i="1"/>
  <c r="BE63" i="229"/>
  <c r="BE53" i="229"/>
  <c r="DO94" i="229"/>
  <c r="BU71" i="229"/>
  <c r="BU53" i="229"/>
  <c r="DR24" i="1"/>
  <c r="DR26" i="1"/>
  <c r="AQ103" i="1"/>
  <c r="AQ110" i="1" s="1"/>
  <c r="AQ52" i="1"/>
  <c r="AR103" i="1"/>
  <c r="AR110" i="1" s="1"/>
  <c r="DN26" i="1"/>
  <c r="DN24" i="1"/>
  <c r="DC171" i="1"/>
  <c r="DC39" i="1"/>
  <c r="DC40" i="1"/>
  <c r="BT84" i="229"/>
  <c r="BP84" i="229"/>
  <c r="DW77" i="229"/>
  <c r="DV77" i="229"/>
  <c r="DW78" i="229" s="1"/>
  <c r="DA24" i="1"/>
  <c r="DA26" i="1"/>
  <c r="AA163" i="1"/>
  <c r="AA51" i="1"/>
  <c r="AA164" i="1"/>
  <c r="BX31" i="1"/>
  <c r="BX29" i="1"/>
  <c r="BX116" i="1" s="1"/>
  <c r="BX41" i="1"/>
  <c r="DU29" i="1"/>
  <c r="C72" i="225"/>
  <c r="DU41" i="1"/>
  <c r="DU31" i="1"/>
  <c r="C99" i="225"/>
  <c r="V97" i="225"/>
  <c r="U97" i="225"/>
  <c r="T97" i="225"/>
  <c r="W97" i="225"/>
  <c r="CJ32" i="229"/>
  <c r="CJ72" i="229" s="1"/>
  <c r="CM89" i="229"/>
  <c r="DK34" i="1"/>
  <c r="DJ34" i="1"/>
  <c r="DV135" i="1"/>
  <c r="DV136" i="1" s="1"/>
  <c r="CL136" i="1"/>
  <c r="AY24" i="1"/>
  <c r="AY26" i="1"/>
  <c r="AH150" i="1"/>
  <c r="CB90" i="1"/>
  <c r="CB92" i="1" s="1"/>
  <c r="CB108" i="1"/>
  <c r="I29" i="1"/>
  <c r="I116" i="1" s="1"/>
  <c r="I131" i="1" s="1"/>
  <c r="I41" i="1"/>
  <c r="I31" i="1"/>
  <c r="AT53" i="1"/>
  <c r="AT52" i="1"/>
  <c r="AT103" i="1"/>
  <c r="AT110" i="1" s="1"/>
  <c r="AX53" i="1"/>
  <c r="AK103" i="1"/>
  <c r="AK110" i="1" s="1"/>
  <c r="AI103" i="1"/>
  <c r="AI110" i="1" s="1"/>
  <c r="AI52" i="1"/>
  <c r="AI53" i="1"/>
  <c r="AJ103" i="1"/>
  <c r="AJ110" i="1" s="1"/>
  <c r="CP98" i="229"/>
  <c r="CP101" i="229"/>
  <c r="CG26" i="1"/>
  <c r="CG24" i="1"/>
  <c r="BX99" i="229"/>
  <c r="AC151" i="1"/>
  <c r="BC24" i="1"/>
  <c r="BF104" i="1" s="1"/>
  <c r="BF112" i="1" s="1"/>
  <c r="BC26" i="1"/>
  <c r="DQ136" i="1"/>
  <c r="DQ162" i="1"/>
  <c r="DI146" i="1"/>
  <c r="DK31" i="1"/>
  <c r="DK41" i="1"/>
  <c r="DK29" i="1"/>
  <c r="DK116" i="1" s="1"/>
  <c r="DK131" i="1" s="1"/>
  <c r="DK156" i="1" s="1"/>
  <c r="AB40" i="1"/>
  <c r="AB39" i="1"/>
  <c r="AB171" i="1"/>
  <c r="U71" i="225"/>
  <c r="V71" i="225"/>
  <c r="T71" i="225"/>
  <c r="W71" i="225"/>
  <c r="CA103" i="1"/>
  <c r="CA110" i="1" s="1"/>
  <c r="DE42" i="1"/>
  <c r="BV40" i="1"/>
  <c r="BV171" i="1"/>
  <c r="BV39" i="1"/>
  <c r="DS29" i="229"/>
  <c r="DQ106" i="229"/>
  <c r="DQ109" i="229"/>
  <c r="DQ115" i="229"/>
  <c r="DQ112" i="229"/>
  <c r="DI91" i="229"/>
  <c r="DJ92" i="229" s="1"/>
  <c r="DI94" i="229"/>
  <c r="DJ94" i="229"/>
  <c r="DI100" i="229"/>
  <c r="DI86" i="229"/>
  <c r="DJ91" i="229"/>
  <c r="CT78" i="229"/>
  <c r="DL83" i="229"/>
  <c r="DL80" i="229"/>
  <c r="DM81" i="229" s="1"/>
  <c r="DL75" i="229"/>
  <c r="DL100" i="229"/>
  <c r="DL101" i="229" s="1"/>
  <c r="BI53" i="229"/>
  <c r="BI63" i="229"/>
  <c r="CM71" i="229"/>
  <c r="DV29" i="229"/>
  <c r="DW29" i="229"/>
  <c r="DW63" i="229" s="1"/>
  <c r="BF81" i="229"/>
  <c r="BM95" i="229"/>
  <c r="BI95" i="229"/>
  <c r="BW50" i="229"/>
  <c r="CA50" i="229"/>
  <c r="DR117" i="229"/>
  <c r="DR106" i="229"/>
  <c r="DR109" i="229"/>
  <c r="DR115" i="229"/>
  <c r="F17" i="223"/>
  <c r="DM56" i="229"/>
  <c r="AM146" i="1"/>
  <c r="DI139" i="1"/>
  <c r="DS134" i="1"/>
  <c r="BZ136" i="1"/>
  <c r="BP89" i="229"/>
  <c r="BC123" i="1"/>
  <c r="DM123" i="1"/>
  <c r="CM135" i="1"/>
  <c r="CM136" i="1" s="1"/>
  <c r="CP146" i="1"/>
  <c r="DK128" i="1"/>
  <c r="DN100" i="229"/>
  <c r="DN83" i="229"/>
  <c r="DN80" i="229"/>
  <c r="DL59" i="229"/>
  <c r="DM60" i="229" s="1"/>
  <c r="DK86" i="229"/>
  <c r="DK88" i="229" s="1"/>
  <c r="DK69" i="229"/>
  <c r="DK59" i="229"/>
  <c r="AY79" i="229"/>
  <c r="BC80" i="229"/>
  <c r="BG81" i="229" s="1"/>
  <c r="AY80" i="229"/>
  <c r="BC83" i="229"/>
  <c r="BG84" i="229" s="1"/>
  <c r="AY75" i="229"/>
  <c r="AY83" i="229"/>
  <c r="AY100" i="229"/>
  <c r="AY101" i="229" s="1"/>
  <c r="AZ79" i="229"/>
  <c r="AY82" i="229"/>
  <c r="BM71" i="229"/>
  <c r="BM63" i="229"/>
  <c r="CI71" i="229"/>
  <c r="AG70" i="229"/>
  <c r="AG71" i="229" s="1"/>
  <c r="AC99" i="229"/>
  <c r="DU117" i="229"/>
  <c r="DU109" i="229"/>
  <c r="DU112" i="229"/>
  <c r="DU106" i="229"/>
  <c r="DV117" i="229"/>
  <c r="CD89" i="229"/>
  <c r="BZ89" i="229"/>
  <c r="BJ87" i="229"/>
  <c r="BI87" i="229"/>
  <c r="BI88" i="229"/>
  <c r="BM88" i="229"/>
  <c r="BQ89" i="229" s="1"/>
  <c r="AT76" i="229"/>
  <c r="AS76" i="229"/>
  <c r="AS77" i="229"/>
  <c r="CA77" i="229"/>
  <c r="CE78" i="229" s="1"/>
  <c r="BW77" i="229"/>
  <c r="BW76" i="229"/>
  <c r="BX76" i="229"/>
  <c r="BH76" i="229"/>
  <c r="BG77" i="229"/>
  <c r="BG76" i="229"/>
  <c r="DL50" i="229"/>
  <c r="DR112" i="229"/>
  <c r="CT71" i="229"/>
  <c r="CT63" i="229"/>
  <c r="DP34" i="1"/>
  <c r="DQ34" i="1"/>
  <c r="DW56" i="229"/>
  <c r="BW71" i="229"/>
  <c r="DG145" i="1"/>
  <c r="DG146" i="1" s="1"/>
  <c r="BF129" i="1"/>
  <c r="BF98" i="1" s="1"/>
  <c r="DN125" i="1"/>
  <c r="DN129" i="1" s="1"/>
  <c r="DN133" i="1"/>
  <c r="BF162" i="1"/>
  <c r="BF164" i="1"/>
  <c r="BF136" i="1"/>
  <c r="DH139" i="1"/>
  <c r="G56" i="225"/>
  <c r="K56" i="225"/>
  <c r="U56" i="225"/>
  <c r="BW128" i="1"/>
  <c r="BW129" i="1" s="1"/>
  <c r="BW98" i="1" s="1"/>
  <c r="CQ144" i="1"/>
  <c r="CQ146" i="1" s="1"/>
  <c r="BZ98" i="229"/>
  <c r="BZ99" i="229" s="1"/>
  <c r="BZ101" i="229"/>
  <c r="CO53" i="1"/>
  <c r="CO52" i="1"/>
  <c r="CS53" i="1"/>
  <c r="F53" i="223"/>
  <c r="BW26" i="1"/>
  <c r="BW24" i="1"/>
  <c r="CL144" i="1"/>
  <c r="CM144" i="1" s="1"/>
  <c r="CK146" i="1"/>
  <c r="CK150" i="1" s="1"/>
  <c r="DR139" i="1"/>
  <c r="DR146" i="1" s="1"/>
  <c r="DH163" i="1"/>
  <c r="DH164" i="1"/>
  <c r="DH51" i="1"/>
  <c r="T74" i="225"/>
  <c r="V74" i="225"/>
  <c r="W74" i="225"/>
  <c r="U74" i="225"/>
  <c r="DH129" i="1"/>
  <c r="EA72" i="1"/>
  <c r="EA128" i="1" s="1"/>
  <c r="DZ128" i="1"/>
  <c r="DZ19" i="1"/>
  <c r="DS164" i="1"/>
  <c r="C95" i="225"/>
  <c r="DS163" i="1"/>
  <c r="BM171" i="1"/>
  <c r="BM39" i="1"/>
  <c r="BM40" i="1"/>
  <c r="DJ10" i="1"/>
  <c r="DJ15" i="1"/>
  <c r="AS103" i="1"/>
  <c r="AS110" i="1" s="1"/>
  <c r="AS52" i="1"/>
  <c r="AS53" i="1"/>
  <c r="AW53" i="1"/>
  <c r="AI24" i="1"/>
  <c r="AI26" i="1"/>
  <c r="F14" i="223"/>
  <c r="CG98" i="229"/>
  <c r="CG99" i="229" s="1"/>
  <c r="CG101" i="229"/>
  <c r="CT146" i="1"/>
  <c r="CT150" i="1" s="1"/>
  <c r="BW169" i="1"/>
  <c r="BW36" i="1"/>
  <c r="BW33" i="1"/>
  <c r="BW34" i="1" s="1"/>
  <c r="BX35" i="1"/>
  <c r="AU131" i="1"/>
  <c r="AU156" i="1" s="1"/>
  <c r="BJ41" i="1"/>
  <c r="BJ29" i="1"/>
  <c r="BJ116" i="1" s="1"/>
  <c r="BJ131" i="1" s="1"/>
  <c r="BJ156" i="1" s="1"/>
  <c r="BJ31" i="1"/>
  <c r="DR110" i="1"/>
  <c r="DT129" i="1"/>
  <c r="DU164" i="1"/>
  <c r="DU163" i="1"/>
  <c r="DU51" i="1"/>
  <c r="C67" i="225"/>
  <c r="CB103" i="1"/>
  <c r="CB110" i="1" s="1"/>
  <c r="DE39" i="1"/>
  <c r="DE40" i="1"/>
  <c r="DE171" i="1"/>
  <c r="BU98" i="229"/>
  <c r="BU101" i="229"/>
  <c r="BB31" i="1"/>
  <c r="BB41" i="1"/>
  <c r="BB29" i="1"/>
  <c r="BB116" i="1" s="1"/>
  <c r="BB131" i="1" s="1"/>
  <c r="BB156" i="1" s="1"/>
  <c r="DG52" i="1"/>
  <c r="DG103" i="1"/>
  <c r="DG110" i="1" s="1"/>
  <c r="AC40" i="1"/>
  <c r="AC171" i="1"/>
  <c r="AC39" i="1"/>
  <c r="BC163" i="1"/>
  <c r="BC164" i="1"/>
  <c r="BS128" i="1"/>
  <c r="CS63" i="229"/>
  <c r="BB84" i="229"/>
  <c r="AX84" i="229"/>
  <c r="BG101" i="229"/>
  <c r="BG99" i="229"/>
  <c r="BK70" i="229"/>
  <c r="BK71" i="229" s="1"/>
  <c r="BG70" i="229"/>
  <c r="BG71" i="229" s="1"/>
  <c r="DG34" i="1"/>
  <c r="CP163" i="1"/>
  <c r="CQ117" i="1"/>
  <c r="CP164" i="1"/>
  <c r="CP131" i="1"/>
  <c r="CP156" i="1" s="1"/>
  <c r="DQ163" i="1"/>
  <c r="DQ51" i="1"/>
  <c r="DQ164" i="1"/>
  <c r="AF52" i="1"/>
  <c r="AF103" i="1"/>
  <c r="AF110" i="1" s="1"/>
  <c r="AF53" i="1"/>
  <c r="AJ53" i="1"/>
  <c r="AG103" i="1"/>
  <c r="AG110" i="1" s="1"/>
  <c r="AL52" i="1"/>
  <c r="AL53" i="1"/>
  <c r="AL103" i="1"/>
  <c r="AL110" i="1" s="1"/>
  <c r="V52" i="1"/>
  <c r="V103" i="1"/>
  <c r="V110" i="1" s="1"/>
  <c r="W103" i="1"/>
  <c r="W110" i="1" s="1"/>
  <c r="V53" i="1"/>
  <c r="DD39" i="1"/>
  <c r="DD40" i="1"/>
  <c r="DD171" i="1"/>
  <c r="DO146" i="1"/>
  <c r="AZ26" i="1"/>
  <c r="AZ24" i="1"/>
  <c r="AX76" i="229"/>
  <c r="BB77" i="229"/>
  <c r="AX77" i="229"/>
  <c r="CL71" i="229"/>
  <c r="CL63" i="229"/>
  <c r="DF148" i="1"/>
  <c r="DV145" i="1"/>
  <c r="CH16" i="1"/>
  <c r="CH21" i="1"/>
  <c r="CH51" i="1"/>
  <c r="CH100" i="229"/>
  <c r="DD42" i="1"/>
  <c r="BK53" i="229"/>
  <c r="BO56" i="229"/>
  <c r="BO88" i="229"/>
  <c r="BS88" i="229"/>
  <c r="BW89" i="229" s="1"/>
  <c r="BP87" i="229"/>
  <c r="BO87" i="229"/>
  <c r="DU128" i="1"/>
  <c r="O19" i="223"/>
  <c r="AY52" i="1"/>
  <c r="AY53" i="1"/>
  <c r="AY103" i="1"/>
  <c r="AY110" i="1" s="1"/>
  <c r="EA45" i="1"/>
  <c r="BF103" i="1"/>
  <c r="BF110" i="1" s="1"/>
  <c r="BF52" i="1"/>
  <c r="BJ53" i="1"/>
  <c r="BF53" i="1"/>
  <c r="DS53" i="1"/>
  <c r="DS103" i="1"/>
  <c r="DS110" i="1" s="1"/>
  <c r="DS52" i="1"/>
  <c r="BC53" i="1"/>
  <c r="BC52" i="1"/>
  <c r="BC103" i="1"/>
  <c r="BC110" i="1" s="1"/>
  <c r="BD103" i="1"/>
  <c r="BD110" i="1" s="1"/>
  <c r="BE103" i="1"/>
  <c r="BE110" i="1" s="1"/>
  <c r="DF40" i="1"/>
  <c r="DF39" i="1"/>
  <c r="DF171" i="1"/>
  <c r="CS171" i="1"/>
  <c r="CS39" i="1"/>
  <c r="CS40" i="1"/>
  <c r="AS81" i="229"/>
  <c r="AW81" i="229"/>
  <c r="DH99" i="229"/>
  <c r="CS71" i="229"/>
  <c r="DK80" i="229"/>
  <c r="DK83" i="229"/>
  <c r="DK75" i="229"/>
  <c r="BK50" i="229"/>
  <c r="BG50" i="229"/>
  <c r="CF63" i="229"/>
  <c r="CF53" i="229"/>
  <c r="CF71" i="229"/>
  <c r="CA71" i="229"/>
  <c r="BG162" i="1"/>
  <c r="BG164" i="1"/>
  <c r="BG136" i="1"/>
  <c r="DM10" i="1"/>
  <c r="DM15" i="1"/>
  <c r="DK139" i="1"/>
  <c r="DK146" i="1" s="1"/>
  <c r="DP121" i="1"/>
  <c r="AS24" i="1"/>
  <c r="AV104" i="1" s="1"/>
  <c r="AV112" i="1" s="1"/>
  <c r="AS26" i="1"/>
  <c r="AO53" i="1"/>
  <c r="AO52" i="1"/>
  <c r="DV15" i="1"/>
  <c r="DV10" i="1"/>
  <c r="T103" i="1"/>
  <c r="T110" i="1" s="1"/>
  <c r="CG156" i="1"/>
  <c r="CG150" i="1"/>
  <c r="DI24" i="1"/>
  <c r="DI26" i="1"/>
  <c r="BO80" i="229"/>
  <c r="BP79" i="229"/>
  <c r="BO75" i="229"/>
  <c r="BO100" i="229"/>
  <c r="BO101" i="229" s="1"/>
  <c r="BO83" i="229"/>
  <c r="BP82" i="229"/>
  <c r="DP74" i="229"/>
  <c r="BS83" i="229"/>
  <c r="BW84" i="229" s="1"/>
  <c r="BS80" i="229"/>
  <c r="BW81" i="229" s="1"/>
  <c r="BO82" i="229"/>
  <c r="BO79" i="229"/>
  <c r="BP71" i="229"/>
  <c r="DJ50" i="229"/>
  <c r="DK50" i="229"/>
  <c r="V92" i="225"/>
  <c r="W92" i="225"/>
  <c r="T92" i="225"/>
  <c r="U92" i="225"/>
  <c r="DS143" i="1"/>
  <c r="DS146" i="1" s="1"/>
  <c r="BZ146" i="1"/>
  <c r="AM51" i="1"/>
  <c r="AM163" i="1"/>
  <c r="DI117" i="1"/>
  <c r="AM164" i="1"/>
  <c r="DZ83" i="1"/>
  <c r="CE31" i="1"/>
  <c r="CE41" i="1"/>
  <c r="CE29" i="1"/>
  <c r="BW56" i="229"/>
  <c r="BW53" i="229"/>
  <c r="CA56" i="229"/>
  <c r="BF84" i="229"/>
  <c r="DV89" i="229"/>
  <c r="CE143" i="1"/>
  <c r="CD146" i="1"/>
  <c r="CD150" i="1" s="1"/>
  <c r="DN164" i="1"/>
  <c r="DN163" i="1"/>
  <c r="G38" i="225"/>
  <c r="T38" i="225"/>
  <c r="U103" i="1"/>
  <c r="U110" i="1" s="1"/>
  <c r="V24" i="1"/>
  <c r="V26" i="1"/>
  <c r="DL19" i="1"/>
  <c r="AV19" i="1"/>
  <c r="DK109" i="1"/>
  <c r="DK110" i="1" s="1"/>
  <c r="DK108" i="1"/>
  <c r="DV66" i="229"/>
  <c r="DS49" i="229"/>
  <c r="DT50" i="229" s="1"/>
  <c r="DR49" i="229"/>
  <c r="DR69" i="229"/>
  <c r="DR101" i="229" s="1"/>
  <c r="DR75" i="229"/>
  <c r="BX63" i="229"/>
  <c r="DX60" i="229"/>
  <c r="DH133" i="1"/>
  <c r="AI162" i="1"/>
  <c r="AI136" i="1"/>
  <c r="BR146" i="1"/>
  <c r="BS139" i="1"/>
  <c r="BS146" i="1" s="1"/>
  <c r="DH138" i="1"/>
  <c r="AI146" i="1"/>
  <c r="DI162" i="1"/>
  <c r="DI136" i="1"/>
  <c r="CP51" i="1"/>
  <c r="DJ100" i="229"/>
  <c r="DJ80" i="229"/>
  <c r="DJ81" i="229" s="1"/>
  <c r="DJ83" i="229"/>
  <c r="DJ75" i="229"/>
  <c r="DJ77" i="229" s="1"/>
  <c r="BL77" i="229"/>
  <c r="BP77" i="229"/>
  <c r="CE56" i="229"/>
  <c r="CA53" i="229"/>
  <c r="DJ29" i="229"/>
  <c r="DJ63" i="229" s="1"/>
  <c r="DK29" i="229"/>
  <c r="DK53" i="229" s="1"/>
  <c r="BT53" i="229"/>
  <c r="BT63" i="229"/>
  <c r="BM92" i="229"/>
  <c r="DI66" i="229"/>
  <c r="DL56" i="229"/>
  <c r="DU66" i="229"/>
  <c r="DW88" i="229"/>
  <c r="DB15" i="1"/>
  <c r="DB10" i="1"/>
  <c r="O71" i="225"/>
  <c r="K71" i="225"/>
  <c r="BW53" i="1"/>
  <c r="BW52" i="1"/>
  <c r="BW103" i="1"/>
  <c r="BW110" i="1" s="1"/>
  <c r="DS162" i="1"/>
  <c r="C102" i="225"/>
  <c r="DS136" i="1"/>
  <c r="BI156" i="1"/>
  <c r="BI150" i="1"/>
  <c r="EA143" i="1"/>
  <c r="DJ163" i="1"/>
  <c r="DJ164" i="1"/>
  <c r="CL51" i="1"/>
  <c r="CL21" i="1"/>
  <c r="CL100" i="229"/>
  <c r="CL16" i="1"/>
  <c r="AM129" i="1"/>
  <c r="AM98" i="1" s="1"/>
  <c r="DI128" i="1"/>
  <c r="DI129" i="1" s="1"/>
  <c r="BU24" i="1"/>
  <c r="BU26" i="1"/>
  <c r="CM31" i="1"/>
  <c r="CM29" i="1"/>
  <c r="CM41" i="1"/>
  <c r="AZ52" i="1"/>
  <c r="AZ53" i="1"/>
  <c r="BD53" i="1"/>
  <c r="BA103" i="1"/>
  <c r="BA110" i="1" s="1"/>
  <c r="AZ103" i="1"/>
  <c r="AZ110" i="1" s="1"/>
  <c r="AT71" i="229"/>
  <c r="AT63" i="229"/>
  <c r="BU63" i="229"/>
  <c r="AZ82" i="229"/>
  <c r="AU87" i="229"/>
  <c r="AU88" i="229"/>
  <c r="AV87" i="229"/>
  <c r="DP29" i="229"/>
  <c r="DP53" i="229" s="1"/>
  <c r="BJ77" i="229"/>
  <c r="BF77" i="229"/>
  <c r="BF76" i="229"/>
  <c r="AW77" i="229"/>
  <c r="AW76" i="229"/>
  <c r="BA77" i="229"/>
  <c r="DS112" i="229"/>
  <c r="DH66" i="229"/>
  <c r="BM53" i="229"/>
  <c r="BY53" i="229"/>
  <c r="BY71" i="229"/>
  <c r="BY63" i="229"/>
  <c r="DJ56" i="229"/>
  <c r="DK56" i="229"/>
  <c r="DT66" i="229"/>
  <c r="BG56" i="229"/>
  <c r="BM78" i="229"/>
  <c r="DM94" i="229"/>
  <c r="DL86" i="229"/>
  <c r="DO34" i="1"/>
  <c r="DN34" i="1"/>
  <c r="DH34" i="1"/>
  <c r="DI34" i="1"/>
  <c r="DX66" i="229"/>
  <c r="DX63" i="229"/>
  <c r="BK136" i="1"/>
  <c r="BK150" i="1" s="1"/>
  <c r="DO134" i="1"/>
  <c r="DD95" i="1"/>
  <c r="DD96" i="1"/>
  <c r="DD162" i="1"/>
  <c r="AT150" i="1"/>
  <c r="DT162" i="1"/>
  <c r="C88" i="225"/>
  <c r="DT164" i="1"/>
  <c r="DT136" i="1"/>
  <c r="CI145" i="1"/>
  <c r="CH146" i="1"/>
  <c r="BQ26" i="1"/>
  <c r="BQ24" i="1"/>
  <c r="BZ24" i="1"/>
  <c r="BZ26" i="1"/>
  <c r="DO136" i="1"/>
  <c r="DO162" i="1"/>
  <c r="CL146" i="1"/>
  <c r="DV138" i="1"/>
  <c r="AI164" i="1"/>
  <c r="AI163" i="1"/>
  <c r="CI51" i="1"/>
  <c r="CI100" i="229"/>
  <c r="CI21" i="1"/>
  <c r="CI16" i="1"/>
  <c r="CO150" i="1"/>
  <c r="R24" i="1"/>
  <c r="U104" i="1" s="1"/>
  <c r="U112" i="1" s="1"/>
  <c r="CP24" i="1"/>
  <c r="CQ104" i="1" s="1"/>
  <c r="CQ112" i="1" s="1"/>
  <c r="CP26" i="1"/>
  <c r="DT53" i="1"/>
  <c r="DT103" i="1"/>
  <c r="DT110" i="1" s="1"/>
  <c r="DT52" i="1"/>
  <c r="DF117" i="1"/>
  <c r="AQ24" i="1"/>
  <c r="AQ26" i="1"/>
  <c r="AT39" i="1"/>
  <c r="AT40" i="1"/>
  <c r="AT171" i="1"/>
  <c r="DO164" i="1"/>
  <c r="BY26" i="1"/>
  <c r="BY24" i="1"/>
  <c r="AO24" i="1"/>
  <c r="AO26" i="1"/>
  <c r="DR35" i="1"/>
  <c r="AU171" i="1"/>
  <c r="AU39" i="1"/>
  <c r="AU40" i="1"/>
  <c r="AQ164" i="1"/>
  <c r="AQ163" i="1"/>
  <c r="CI126" i="1"/>
  <c r="CH131" i="1"/>
  <c r="CH156" i="1" s="1"/>
  <c r="CH129" i="1"/>
  <c r="CH98" i="1" s="1"/>
  <c r="BZ103" i="1"/>
  <c r="BZ110" i="1" s="1"/>
  <c r="CF29" i="1"/>
  <c r="CF41" i="1"/>
  <c r="CF31" i="1"/>
  <c r="CA53" i="1"/>
  <c r="AP103" i="1"/>
  <c r="AP110" i="1" s="1"/>
  <c r="BB103" i="1"/>
  <c r="BB110" i="1" s="1"/>
  <c r="BB52" i="1"/>
  <c r="BB53" i="1"/>
  <c r="DT60" i="229" l="1"/>
  <c r="DP91" i="229"/>
  <c r="BC92" i="229"/>
  <c r="BE89" i="229"/>
  <c r="DM100" i="229"/>
  <c r="DM101" i="229" s="1"/>
  <c r="DS63" i="229"/>
  <c r="DS81" i="229"/>
  <c r="DM84" i="229"/>
  <c r="DM91" i="229"/>
  <c r="DO80" i="229"/>
  <c r="DO83" i="229"/>
  <c r="AU77" i="229"/>
  <c r="AU78" i="229" s="1"/>
  <c r="DT32" i="229"/>
  <c r="DT72" i="229" s="1"/>
  <c r="DU92" i="229"/>
  <c r="DL77" i="229"/>
  <c r="BO95" i="229"/>
  <c r="DW71" i="229"/>
  <c r="BS72" i="229"/>
  <c r="CV58" i="229"/>
  <c r="D41" i="226"/>
  <c r="F41" i="226" s="1"/>
  <c r="F43" i="222"/>
  <c r="CV85" i="229"/>
  <c r="CV61" i="229"/>
  <c r="CV59" i="229"/>
  <c r="CV60" i="229" s="1"/>
  <c r="DV78" i="229"/>
  <c r="CF78" i="229"/>
  <c r="DP99" i="229"/>
  <c r="BS54" i="229"/>
  <c r="BS55" i="229" s="1"/>
  <c r="CX47" i="229"/>
  <c r="EC143" i="1"/>
  <c r="ED47" i="1"/>
  <c r="ED143" i="1" s="1"/>
  <c r="ED45" i="1"/>
  <c r="EC45" i="1"/>
  <c r="CW33" i="1"/>
  <c r="CW35" i="1" s="1"/>
  <c r="DV32" i="229"/>
  <c r="DV72" i="229" s="1"/>
  <c r="CY49" i="1"/>
  <c r="CY48" i="1" s="1"/>
  <c r="CX48" i="1"/>
  <c r="CV35" i="1"/>
  <c r="CX54" i="229"/>
  <c r="CX55" i="229" s="1"/>
  <c r="CW61" i="229"/>
  <c r="CW58" i="229"/>
  <c r="CW59" i="229"/>
  <c r="CW60" i="229" s="1"/>
  <c r="CW85" i="229"/>
  <c r="CX57" i="229"/>
  <c r="CX66" i="229"/>
  <c r="CX64" i="229"/>
  <c r="CX65" i="229" s="1"/>
  <c r="AK157" i="1"/>
  <c r="AK158" i="1"/>
  <c r="DO158" i="1"/>
  <c r="DO157" i="1"/>
  <c r="CS159" i="1"/>
  <c r="DS101" i="229"/>
  <c r="DT35" i="229"/>
  <c r="BX72" i="229"/>
  <c r="DI63" i="229"/>
  <c r="DU63" i="229"/>
  <c r="BT54" i="229"/>
  <c r="BT55" i="229" s="1"/>
  <c r="CO54" i="229"/>
  <c r="CO55" i="229" s="1"/>
  <c r="DU71" i="229"/>
  <c r="CB54" i="229"/>
  <c r="CB55" i="229" s="1"/>
  <c r="BZ54" i="229"/>
  <c r="BZ55" i="229" s="1"/>
  <c r="CO64" i="229"/>
  <c r="CO65" i="229" s="1"/>
  <c r="DT63" i="229"/>
  <c r="CB72" i="229"/>
  <c r="BT72" i="229"/>
  <c r="CG72" i="229"/>
  <c r="DX56" i="229"/>
  <c r="DX70" i="229"/>
  <c r="DX71" i="229" s="1"/>
  <c r="CY7" i="1"/>
  <c r="DT157" i="1"/>
  <c r="DT158" i="1"/>
  <c r="C89" i="225"/>
  <c r="U89" i="225" s="1"/>
  <c r="AT104" i="1"/>
  <c r="AT112" i="1" s="1"/>
  <c r="K41" i="1"/>
  <c r="K29" i="1"/>
  <c r="K116" i="1" s="1"/>
  <c r="K131" i="1" s="1"/>
  <c r="K31" i="1"/>
  <c r="J41" i="1"/>
  <c r="J31" i="1"/>
  <c r="J29" i="1"/>
  <c r="J116" i="1" s="1"/>
  <c r="J131" i="1" s="1"/>
  <c r="CC104" i="1"/>
  <c r="CC112" i="1" s="1"/>
  <c r="CP158" i="1"/>
  <c r="CP157" i="1"/>
  <c r="K104" i="1"/>
  <c r="K112" i="1" s="1"/>
  <c r="M104" i="1"/>
  <c r="M112" i="1" s="1"/>
  <c r="CL158" i="1"/>
  <c r="CL157" i="1"/>
  <c r="BN31" i="1"/>
  <c r="BN29" i="1"/>
  <c r="BN116" i="1" s="1"/>
  <c r="BN131" i="1" s="1"/>
  <c r="BN156" i="1" s="1"/>
  <c r="BN41" i="1"/>
  <c r="BG53" i="1"/>
  <c r="AD53" i="1"/>
  <c r="Z52" i="1"/>
  <c r="Z103" i="1"/>
  <c r="Z110" i="1" s="1"/>
  <c r="CE158" i="1"/>
  <c r="CE157" i="1"/>
  <c r="CJ98" i="229"/>
  <c r="CJ99" i="229" s="1"/>
  <c r="CJ101" i="229"/>
  <c r="BS52" i="1"/>
  <c r="BS103" i="1"/>
  <c r="BS110" i="1" s="1"/>
  <c r="BS53" i="1"/>
  <c r="BT103" i="1"/>
  <c r="BT110" i="1" s="1"/>
  <c r="AP53" i="1"/>
  <c r="DP131" i="1"/>
  <c r="DP156" i="1" s="1"/>
  <c r="BJ150" i="1"/>
  <c r="AC158" i="1"/>
  <c r="AC157" i="1"/>
  <c r="AG53" i="1"/>
  <c r="AG52" i="1"/>
  <c r="AK53" i="1"/>
  <c r="BR104" i="1"/>
  <c r="BR112" i="1" s="1"/>
  <c r="DP31" i="1"/>
  <c r="DP29" i="1"/>
  <c r="DP116" i="1" s="1"/>
  <c r="Z26" i="1"/>
  <c r="Z24" i="1"/>
  <c r="AC104" i="1" s="1"/>
  <c r="AC112" i="1" s="1"/>
  <c r="J104" i="1"/>
  <c r="J112" i="1" s="1"/>
  <c r="BA52" i="1"/>
  <c r="BA53" i="1"/>
  <c r="W26" i="1"/>
  <c r="W24" i="1"/>
  <c r="AU158" i="1"/>
  <c r="AU157" i="1"/>
  <c r="CT26" i="1"/>
  <c r="CT24" i="1"/>
  <c r="CT104" i="1" s="1"/>
  <c r="CT112" i="1" s="1"/>
  <c r="V104" i="1"/>
  <c r="V112" i="1" s="1"/>
  <c r="W104" i="1"/>
  <c r="W112" i="1" s="1"/>
  <c r="CB104" i="1"/>
  <c r="CB112" i="1" s="1"/>
  <c r="P52" i="1"/>
  <c r="T53" i="1"/>
  <c r="N31" i="1"/>
  <c r="N29" i="1"/>
  <c r="N116" i="1" s="1"/>
  <c r="N131" i="1" s="1"/>
  <c r="N41" i="1"/>
  <c r="H29" i="1"/>
  <c r="H116" i="1" s="1"/>
  <c r="H31" i="1"/>
  <c r="H41" i="1"/>
  <c r="BB150" i="1"/>
  <c r="S103" i="1"/>
  <c r="X52" i="1"/>
  <c r="X53" i="1"/>
  <c r="Y103" i="1"/>
  <c r="Y110" i="1" s="1"/>
  <c r="BA26" i="1"/>
  <c r="BA24" i="1"/>
  <c r="BD104" i="1" s="1"/>
  <c r="BD112" i="1" s="1"/>
  <c r="E26" i="1"/>
  <c r="E24" i="1"/>
  <c r="H104" i="1" s="1"/>
  <c r="H112" i="1" s="1"/>
  <c r="CA104" i="1"/>
  <c r="CA112" i="1" s="1"/>
  <c r="BI158" i="1"/>
  <c r="BM159" i="1" s="1"/>
  <c r="BI157" i="1"/>
  <c r="BG103" i="1"/>
  <c r="BG110" i="1" s="1"/>
  <c r="DF34" i="1"/>
  <c r="AK104" i="1"/>
  <c r="AK112" i="1" s="1"/>
  <c r="AL104" i="1"/>
  <c r="AL112" i="1" s="1"/>
  <c r="AU150" i="1"/>
  <c r="BK39" i="1"/>
  <c r="BK171" i="1"/>
  <c r="BK40" i="1"/>
  <c r="X26" i="1"/>
  <c r="X24" i="1"/>
  <c r="AA104" i="1" s="1"/>
  <c r="AA112" i="1" s="1"/>
  <c r="AL24" i="1"/>
  <c r="AL26" i="1"/>
  <c r="BL29" i="1"/>
  <c r="BL116" i="1" s="1"/>
  <c r="BL131" i="1" s="1"/>
  <c r="AE103" i="1"/>
  <c r="AE110" i="1" s="1"/>
  <c r="AE52" i="1"/>
  <c r="O29" i="1"/>
  <c r="O116" i="1" s="1"/>
  <c r="O131" i="1" s="1"/>
  <c r="O31" i="1"/>
  <c r="O41" i="1"/>
  <c r="Y31" i="1"/>
  <c r="Y29" i="1"/>
  <c r="Y116" i="1" s="1"/>
  <c r="Y131" i="1" s="1"/>
  <c r="Y41" i="1"/>
  <c r="M41" i="1"/>
  <c r="M31" i="1"/>
  <c r="M29" i="1"/>
  <c r="M116" i="1" s="1"/>
  <c r="M131" i="1" s="1"/>
  <c r="M150" i="1" s="1"/>
  <c r="BS24" i="1"/>
  <c r="BV104" i="1" s="1"/>
  <c r="BS26" i="1"/>
  <c r="BE104" i="1"/>
  <c r="BE112" i="1" s="1"/>
  <c r="BW104" i="1"/>
  <c r="BX104" i="1"/>
  <c r="BX112" i="1" s="1"/>
  <c r="DK158" i="1"/>
  <c r="DK157" i="1"/>
  <c r="BE41" i="1"/>
  <c r="BE31" i="1"/>
  <c r="BE29" i="1"/>
  <c r="BE116" i="1" s="1"/>
  <c r="BE131" i="1" s="1"/>
  <c r="AP24" i="1"/>
  <c r="AS104" i="1" s="1"/>
  <c r="AS112" i="1" s="1"/>
  <c r="AP26" i="1"/>
  <c r="F24" i="1"/>
  <c r="I104" i="1" s="1"/>
  <c r="I112" i="1" s="1"/>
  <c r="F26" i="1"/>
  <c r="CB29" i="1"/>
  <c r="CB31" i="1"/>
  <c r="CB41" i="1"/>
  <c r="CF42" i="1" s="1"/>
  <c r="L29" i="1"/>
  <c r="L116" i="1" s="1"/>
  <c r="L31" i="1"/>
  <c r="L41" i="1"/>
  <c r="BH103" i="1"/>
  <c r="BH110" i="1" s="1"/>
  <c r="DL158" i="1"/>
  <c r="DL159" i="1" s="1"/>
  <c r="DL157" i="1"/>
  <c r="BO29" i="1"/>
  <c r="BO116" i="1" s="1"/>
  <c r="BO131" i="1" s="1"/>
  <c r="BO31" i="1"/>
  <c r="BO41" i="1"/>
  <c r="BO42" i="1" s="1"/>
  <c r="BK158" i="1"/>
  <c r="BK157" i="1"/>
  <c r="CS104" i="1"/>
  <c r="CS112" i="1" s="1"/>
  <c r="CR104" i="1"/>
  <c r="CR112" i="1" s="1"/>
  <c r="CP104" i="1"/>
  <c r="CP112" i="1" s="1"/>
  <c r="CE42" i="1"/>
  <c r="BJ158" i="1"/>
  <c r="BJ157" i="1"/>
  <c r="BT158" i="1"/>
  <c r="BT157" i="1"/>
  <c r="BD158" i="1"/>
  <c r="BD157" i="1"/>
  <c r="AG26" i="1"/>
  <c r="AG24" i="1"/>
  <c r="AJ104" i="1" s="1"/>
  <c r="AJ112" i="1" s="1"/>
  <c r="BG24" i="1"/>
  <c r="BJ104" i="1" s="1"/>
  <c r="BJ112" i="1" s="1"/>
  <c r="BG26" i="1"/>
  <c r="CQ29" i="1"/>
  <c r="CQ31" i="1"/>
  <c r="CQ41" i="1"/>
  <c r="CQ42" i="1" s="1"/>
  <c r="AE24" i="1"/>
  <c r="AE26" i="1"/>
  <c r="W52" i="1"/>
  <c r="W53" i="1"/>
  <c r="AX26" i="1"/>
  <c r="AX24" i="1"/>
  <c r="AM24" i="1"/>
  <c r="AM26" i="1"/>
  <c r="CK31" i="1"/>
  <c r="CK29" i="1"/>
  <c r="CK41" i="1"/>
  <c r="CO42" i="1" s="1"/>
  <c r="CG104" i="1"/>
  <c r="CG112" i="1" s="1"/>
  <c r="CF104" i="1"/>
  <c r="CF112" i="1" s="1"/>
  <c r="Z53" i="1"/>
  <c r="L104" i="1"/>
  <c r="L112" i="1" s="1"/>
  <c r="AR104" i="1"/>
  <c r="AR112" i="1" s="1"/>
  <c r="BB158" i="1"/>
  <c r="BB157" i="1"/>
  <c r="BJ103" i="1"/>
  <c r="BJ110" i="1" s="1"/>
  <c r="BG52" i="1"/>
  <c r="BK53" i="1"/>
  <c r="BU104" i="1"/>
  <c r="AR26" i="1"/>
  <c r="AR24" i="1"/>
  <c r="AU104" i="1" s="1"/>
  <c r="AU112" i="1" s="1"/>
  <c r="CH158" i="1"/>
  <c r="CH159" i="1" s="1"/>
  <c r="CH157" i="1"/>
  <c r="X104" i="1"/>
  <c r="X112" i="1" s="1"/>
  <c r="BQ104" i="1"/>
  <c r="BQ112" i="1" s="1"/>
  <c r="BO104" i="1"/>
  <c r="BO112" i="1" s="1"/>
  <c r="BP104" i="1"/>
  <c r="BP112" i="1" s="1"/>
  <c r="CA31" i="1"/>
  <c r="CA29" i="1"/>
  <c r="CA116" i="1" s="1"/>
  <c r="CA41" i="1"/>
  <c r="BR29" i="1"/>
  <c r="BR116" i="1" s="1"/>
  <c r="BR41" i="1"/>
  <c r="BR31" i="1"/>
  <c r="CT98" i="229"/>
  <c r="CT99" i="229" s="1"/>
  <c r="CT101" i="229"/>
  <c r="CJ53" i="1"/>
  <c r="CN53" i="1"/>
  <c r="CJ52" i="1"/>
  <c r="BZ104" i="1"/>
  <c r="BZ112" i="1" s="1"/>
  <c r="BY104" i="1"/>
  <c r="BY112" i="1" s="1"/>
  <c r="BP31" i="1"/>
  <c r="BP29" i="1"/>
  <c r="BP116" i="1" s="1"/>
  <c r="BP131" i="1" s="1"/>
  <c r="BP41" i="1"/>
  <c r="BL39" i="1"/>
  <c r="BL171" i="1"/>
  <c r="BL40" i="1"/>
  <c r="G31" i="1"/>
  <c r="G41" i="1"/>
  <c r="G29" i="1"/>
  <c r="G116" i="1" s="1"/>
  <c r="G131" i="1" s="1"/>
  <c r="CG158" i="1"/>
  <c r="CG157" i="1"/>
  <c r="X103" i="1"/>
  <c r="X110" i="1" s="1"/>
  <c r="BN42" i="1"/>
  <c r="CP150" i="1"/>
  <c r="AW158" i="1"/>
  <c r="AW157" i="1"/>
  <c r="BE151" i="1"/>
  <c r="AJ29" i="1"/>
  <c r="AJ116" i="1" s="1"/>
  <c r="AJ131" i="1" s="1"/>
  <c r="AJ31" i="1"/>
  <c r="AJ41" i="1"/>
  <c r="AN41" i="1"/>
  <c r="AN29" i="1"/>
  <c r="AN116" i="1" s="1"/>
  <c r="AN131" i="1" s="1"/>
  <c r="AN31" i="1"/>
  <c r="P26" i="1"/>
  <c r="P24" i="1"/>
  <c r="S104" i="1" s="1"/>
  <c r="S112" i="1" s="1"/>
  <c r="D31" i="1"/>
  <c r="D41" i="1"/>
  <c r="D29" i="1"/>
  <c r="D116" i="1" s="1"/>
  <c r="BH104" i="1"/>
  <c r="BH112" i="1" s="1"/>
  <c r="T41" i="1"/>
  <c r="T29" i="1"/>
  <c r="T116" i="1" s="1"/>
  <c r="T131" i="1" s="1"/>
  <c r="T31" i="1"/>
  <c r="AR52" i="1"/>
  <c r="AV53" i="1"/>
  <c r="AR53" i="1"/>
  <c r="CJ26" i="1"/>
  <c r="CJ24" i="1"/>
  <c r="CM104" i="1" s="1"/>
  <c r="CM112" i="1" s="1"/>
  <c r="CN104" i="1"/>
  <c r="CN112" i="1" s="1"/>
  <c r="BN104" i="1"/>
  <c r="BN112" i="1" s="1"/>
  <c r="CC41" i="1"/>
  <c r="CC29" i="1"/>
  <c r="CC31" i="1"/>
  <c r="BH29" i="1"/>
  <c r="BH116" i="1" s="1"/>
  <c r="BH131" i="1" s="1"/>
  <c r="BH31" i="1"/>
  <c r="BH41" i="1"/>
  <c r="BH42" i="1" s="1"/>
  <c r="BG104" i="1"/>
  <c r="BG112" i="1" s="1"/>
  <c r="CG54" i="229"/>
  <c r="CG55" i="229" s="1"/>
  <c r="CA54" i="229"/>
  <c r="CA55" i="229" s="1"/>
  <c r="BY64" i="229"/>
  <c r="BY65" i="229" s="1"/>
  <c r="BY54" i="229"/>
  <c r="BY55" i="229" s="1"/>
  <c r="BX78" i="229"/>
  <c r="BE78" i="229"/>
  <c r="BK76" i="229"/>
  <c r="AQ89" i="229"/>
  <c r="BK92" i="229"/>
  <c r="CI64" i="229"/>
  <c r="CI65" i="229" s="1"/>
  <c r="CR54" i="229"/>
  <c r="CR55" i="229" s="1"/>
  <c r="CI54" i="229"/>
  <c r="CI55" i="229" s="1"/>
  <c r="BN78" i="229"/>
  <c r="BK95" i="229"/>
  <c r="BL76" i="229"/>
  <c r="BO92" i="229"/>
  <c r="BU54" i="229"/>
  <c r="BU55" i="229" s="1"/>
  <c r="BZ64" i="229"/>
  <c r="BZ65" i="229" s="1"/>
  <c r="BO72" i="229"/>
  <c r="BT78" i="229"/>
  <c r="CA64" i="229"/>
  <c r="CA65" i="229" s="1"/>
  <c r="CM54" i="229"/>
  <c r="CM55" i="229" s="1"/>
  <c r="CM64" i="229"/>
  <c r="CM65" i="229" s="1"/>
  <c r="BJ78" i="229"/>
  <c r="D27" i="222"/>
  <c r="G22" i="222"/>
  <c r="D25" i="222"/>
  <c r="I22" i="222"/>
  <c r="I39" i="223"/>
  <c r="H45" i="223"/>
  <c r="H46" i="223" s="1"/>
  <c r="G48" i="223"/>
  <c r="G47" i="223"/>
  <c r="DX34" i="1"/>
  <c r="CR64" i="229"/>
  <c r="CR65" i="229" s="1"/>
  <c r="BO64" i="229"/>
  <c r="CE54" i="229"/>
  <c r="CE55" i="229" s="1"/>
  <c r="CE72" i="229"/>
  <c r="BO54" i="229"/>
  <c r="CL64" i="229"/>
  <c r="CL65" i="229" s="1"/>
  <c r="CL72" i="229"/>
  <c r="BU64" i="229"/>
  <c r="BU65" i="229" s="1"/>
  <c r="DW32" i="229"/>
  <c r="DW72" i="229" s="1"/>
  <c r="CE64" i="229"/>
  <c r="CE65" i="229" s="1"/>
  <c r="DT64" i="229"/>
  <c r="DT65" i="229" s="1"/>
  <c r="DT54" i="229"/>
  <c r="DT55" i="229" s="1"/>
  <c r="BW54" i="229"/>
  <c r="BW55" i="229" s="1"/>
  <c r="BW64" i="229"/>
  <c r="BW65" i="229" s="1"/>
  <c r="BX64" i="229"/>
  <c r="BX65" i="229" s="1"/>
  <c r="BX54" i="229"/>
  <c r="BX55" i="229" s="1"/>
  <c r="BR64" i="229"/>
  <c r="BR65" i="229" s="1"/>
  <c r="BR54" i="229"/>
  <c r="BR55" i="229" s="1"/>
  <c r="CP64" i="229"/>
  <c r="CP65" i="229" s="1"/>
  <c r="CP54" i="229"/>
  <c r="CP55" i="229" s="1"/>
  <c r="BQ64" i="229"/>
  <c r="BQ65" i="229" s="1"/>
  <c r="BQ54" i="229"/>
  <c r="BQ55" i="229" s="1"/>
  <c r="CK54" i="229"/>
  <c r="CK55" i="229" s="1"/>
  <c r="CK64" i="229"/>
  <c r="CK65" i="229" s="1"/>
  <c r="CJ64" i="229"/>
  <c r="CJ65" i="229" s="1"/>
  <c r="CJ54" i="229"/>
  <c r="CJ55" i="229" s="1"/>
  <c r="CH64" i="229"/>
  <c r="CH65" i="229" s="1"/>
  <c r="CH54" i="229"/>
  <c r="CH55" i="229" s="1"/>
  <c r="CS54" i="229"/>
  <c r="CS55" i="229" s="1"/>
  <c r="CS64" i="229"/>
  <c r="CS65" i="229" s="1"/>
  <c r="BV54" i="229"/>
  <c r="BV55" i="229" s="1"/>
  <c r="BV64" i="229"/>
  <c r="BV65" i="229" s="1"/>
  <c r="CC54" i="229"/>
  <c r="CC55" i="229" s="1"/>
  <c r="CC64" i="229"/>
  <c r="CC65" i="229" s="1"/>
  <c r="CQ64" i="229"/>
  <c r="CQ65" i="229" s="1"/>
  <c r="CQ54" i="229"/>
  <c r="CQ55" i="229" s="1"/>
  <c r="CD54" i="229"/>
  <c r="CD55" i="229" s="1"/>
  <c r="CD64" i="229"/>
  <c r="CD65" i="229" s="1"/>
  <c r="CN64" i="229"/>
  <c r="CN65" i="229" s="1"/>
  <c r="CN54" i="229"/>
  <c r="CN55" i="229" s="1"/>
  <c r="CT54" i="229"/>
  <c r="CT55" i="229" s="1"/>
  <c r="CT64" i="229"/>
  <c r="CT65" i="229" s="1"/>
  <c r="BP64" i="229"/>
  <c r="BP65" i="229" s="1"/>
  <c r="BP54" i="229"/>
  <c r="BP55" i="229" s="1"/>
  <c r="CF64" i="229"/>
  <c r="CF65" i="229" s="1"/>
  <c r="CF54" i="229"/>
  <c r="CF55" i="229" s="1"/>
  <c r="DQ71" i="229"/>
  <c r="DO77" i="229"/>
  <c r="DO78" i="229" s="1"/>
  <c r="BZ78" i="229"/>
  <c r="DK101" i="229"/>
  <c r="DW53" i="229"/>
  <c r="DJ70" i="229"/>
  <c r="DJ71" i="229" s="1"/>
  <c r="AY84" i="229"/>
  <c r="BI89" i="229"/>
  <c r="AV76" i="229"/>
  <c r="AX89" i="229"/>
  <c r="CF89" i="229"/>
  <c r="DO81" i="229"/>
  <c r="DI101" i="229"/>
  <c r="DT84" i="229"/>
  <c r="DI99" i="229"/>
  <c r="DN94" i="229"/>
  <c r="DN95" i="229" s="1"/>
  <c r="BO71" i="229"/>
  <c r="BA78" i="229"/>
  <c r="DX91" i="229"/>
  <c r="DX92" i="229" s="1"/>
  <c r="DX94" i="229"/>
  <c r="DX95" i="229" s="1"/>
  <c r="DX86" i="229"/>
  <c r="DN101" i="229"/>
  <c r="BG92" i="229"/>
  <c r="AU92" i="229"/>
  <c r="AY92" i="229"/>
  <c r="DO86" i="229"/>
  <c r="DO88" i="229" s="1"/>
  <c r="DO91" i="229"/>
  <c r="DL94" i="229"/>
  <c r="DM95" i="229" s="1"/>
  <c r="DJ101" i="229"/>
  <c r="DO100" i="229"/>
  <c r="DO101" i="229" s="1"/>
  <c r="DM77" i="229"/>
  <c r="DN78" i="229" s="1"/>
  <c r="DK94" i="229"/>
  <c r="DK95" i="229" s="1"/>
  <c r="DK91" i="229"/>
  <c r="DK92" i="229" s="1"/>
  <c r="DL91" i="229"/>
  <c r="DM92" i="229" s="1"/>
  <c r="DM53" i="229"/>
  <c r="DP50" i="229"/>
  <c r="BG95" i="229"/>
  <c r="DQ53" i="229"/>
  <c r="DP60" i="229"/>
  <c r="DO60" i="229"/>
  <c r="DJ53" i="229"/>
  <c r="DO84" i="229"/>
  <c r="BG88" i="229"/>
  <c r="BK89" i="229" s="1"/>
  <c r="BD87" i="229"/>
  <c r="BC88" i="229"/>
  <c r="BC89" i="229" s="1"/>
  <c r="BC87" i="229"/>
  <c r="DL84" i="229"/>
  <c r="BK78" i="229"/>
  <c r="BC84" i="229"/>
  <c r="DN91" i="229"/>
  <c r="BH78" i="229"/>
  <c r="BD78" i="229"/>
  <c r="BJ89" i="229"/>
  <c r="DH50" i="229"/>
  <c r="DX78" i="229"/>
  <c r="AV78" i="229"/>
  <c r="AZ78" i="229"/>
  <c r="DH56" i="229"/>
  <c r="DL81" i="229"/>
  <c r="DU32" i="229"/>
  <c r="DU72" i="229" s="1"/>
  <c r="BC95" i="229"/>
  <c r="CK78" i="229"/>
  <c r="CO78" i="229"/>
  <c r="DH53" i="229"/>
  <c r="DI56" i="229"/>
  <c r="DS89" i="229"/>
  <c r="DO99" i="229"/>
  <c r="DP70" i="229"/>
  <c r="DU95" i="229"/>
  <c r="DX6" i="1"/>
  <c r="C22" i="225" s="1"/>
  <c r="W22" i="225" s="1"/>
  <c r="DQ60" i="229"/>
  <c r="AY81" i="229"/>
  <c r="DT92" i="229"/>
  <c r="DS92" i="229"/>
  <c r="DT88" i="229"/>
  <c r="DU89" i="229" s="1"/>
  <c r="DQ66" i="229"/>
  <c r="DQ32" i="229"/>
  <c r="DQ72" i="229" s="1"/>
  <c r="DS32" i="229"/>
  <c r="DS95" i="229"/>
  <c r="DT95" i="229"/>
  <c r="DO66" i="229"/>
  <c r="DP66" i="229"/>
  <c r="CM146" i="1"/>
  <c r="DV144" i="1"/>
  <c r="CM40" i="1"/>
  <c r="CM171" i="1"/>
  <c r="CM39" i="1"/>
  <c r="DS53" i="229"/>
  <c r="DT56" i="229"/>
  <c r="H19" i="226"/>
  <c r="U13" i="222"/>
  <c r="DV63" i="229"/>
  <c r="DV53" i="229"/>
  <c r="DI88" i="229"/>
  <c r="DJ88" i="229"/>
  <c r="DK89" i="229" s="1"/>
  <c r="BC29" i="1"/>
  <c r="BC116" i="1" s="1"/>
  <c r="BC131" i="1" s="1"/>
  <c r="BC41" i="1"/>
  <c r="BC31" i="1"/>
  <c r="DS42" i="1"/>
  <c r="CL26" i="1"/>
  <c r="CL24" i="1"/>
  <c r="CO104" i="1" s="1"/>
  <c r="CO112" i="1" s="1"/>
  <c r="CP53" i="1"/>
  <c r="CP103" i="1"/>
  <c r="CP110" i="1" s="1"/>
  <c r="CP52" i="1"/>
  <c r="CS103" i="1"/>
  <c r="CS110" i="1" s="1"/>
  <c r="CT53" i="1"/>
  <c r="CH26" i="1"/>
  <c r="CH24" i="1"/>
  <c r="CH104" i="1" s="1"/>
  <c r="CH112" i="1" s="1"/>
  <c r="CQ164" i="1"/>
  <c r="CQ51" i="1"/>
  <c r="DJ21" i="1"/>
  <c r="DJ51" i="1"/>
  <c r="DJ16" i="1"/>
  <c r="CP99" i="229"/>
  <c r="DW98" i="229"/>
  <c r="DW99" i="229" s="1"/>
  <c r="DF51" i="1"/>
  <c r="DF164" i="1"/>
  <c r="DF163" i="1"/>
  <c r="DH162" i="1"/>
  <c r="DH136" i="1"/>
  <c r="CE146" i="1"/>
  <c r="CE150" i="1" s="1"/>
  <c r="DT143" i="1"/>
  <c r="DT146" i="1" s="1"/>
  <c r="DT150" i="1" s="1"/>
  <c r="T99" i="225"/>
  <c r="V99" i="225"/>
  <c r="U99" i="225"/>
  <c r="W99" i="225"/>
  <c r="CF39" i="1"/>
  <c r="CF40" i="1"/>
  <c r="CF171" i="1"/>
  <c r="BY31" i="1"/>
  <c r="BY29" i="1"/>
  <c r="BY116" i="1" s="1"/>
  <c r="BY131" i="1" s="1"/>
  <c r="BY41" i="1"/>
  <c r="BZ41" i="1"/>
  <c r="BZ31" i="1"/>
  <c r="BZ29" i="1"/>
  <c r="BZ116" i="1" s="1"/>
  <c r="EA83" i="1"/>
  <c r="EB83" i="1" s="1"/>
  <c r="EC83" i="1" s="1"/>
  <c r="ED83" i="1" s="1"/>
  <c r="DO150" i="1"/>
  <c r="BU99" i="229"/>
  <c r="DR98" i="229"/>
  <c r="DR99" i="229" s="1"/>
  <c r="V67" i="225"/>
  <c r="W67" i="225"/>
  <c r="T67" i="225"/>
  <c r="U67" i="225"/>
  <c r="BJ40" i="1"/>
  <c r="BJ171" i="1"/>
  <c r="BJ39" i="1"/>
  <c r="AI41" i="1"/>
  <c r="AI31" i="1"/>
  <c r="AI29" i="1"/>
  <c r="AI116" i="1" s="1"/>
  <c r="AI131" i="1" s="1"/>
  <c r="AI156" i="1" s="1"/>
  <c r="DL60" i="229"/>
  <c r="DK60" i="229"/>
  <c r="DW144" i="1"/>
  <c r="DW146" i="1" s="1"/>
  <c r="DJ95" i="229"/>
  <c r="M42" i="1"/>
  <c r="DU171" i="1"/>
  <c r="DU39" i="1"/>
  <c r="DU40" i="1"/>
  <c r="BX39" i="1"/>
  <c r="BX40" i="1"/>
  <c r="BX171" i="1"/>
  <c r="DN31" i="1"/>
  <c r="DN29" i="1"/>
  <c r="DN116" i="1" s="1"/>
  <c r="DN131" i="1" s="1"/>
  <c r="DN156" i="1" s="1"/>
  <c r="DN41" i="1"/>
  <c r="AC152" i="1"/>
  <c r="Q150" i="1"/>
  <c r="Q156" i="1"/>
  <c r="DH156" i="1"/>
  <c r="CM123" i="1"/>
  <c r="DL150" i="1"/>
  <c r="DO56" i="229"/>
  <c r="DN53" i="229"/>
  <c r="CH150" i="1"/>
  <c r="DM88" i="229"/>
  <c r="DN89" i="229" s="1"/>
  <c r="DL88" i="229"/>
  <c r="DP63" i="229"/>
  <c r="DK81" i="229"/>
  <c r="DR56" i="229"/>
  <c r="DS56" i="229"/>
  <c r="DR53" i="229"/>
  <c r="DQ53" i="1"/>
  <c r="DQ52" i="1"/>
  <c r="DQ103" i="1"/>
  <c r="DQ110" i="1" s="1"/>
  <c r="DR53" i="1"/>
  <c r="DU52" i="1"/>
  <c r="DU53" i="1"/>
  <c r="DU103" i="1"/>
  <c r="DU110" i="1" s="1"/>
  <c r="BN150" i="1"/>
  <c r="CA78" i="229"/>
  <c r="BC81" i="229"/>
  <c r="DK99" i="229"/>
  <c r="DL70" i="229"/>
  <c r="DK70" i="229"/>
  <c r="DS98" i="229"/>
  <c r="DS99" i="229" s="1"/>
  <c r="I150" i="1"/>
  <c r="I156" i="1"/>
  <c r="DA29" i="1"/>
  <c r="DA31" i="1"/>
  <c r="DA41" i="1"/>
  <c r="DH171" i="1"/>
  <c r="DH40" i="1"/>
  <c r="DH39" i="1"/>
  <c r="CM129" i="1"/>
  <c r="CM98" i="1" s="1"/>
  <c r="DV128" i="1"/>
  <c r="DV129" i="1" s="1"/>
  <c r="DO53" i="229"/>
  <c r="DP56" i="229"/>
  <c r="AQ41" i="1"/>
  <c r="AQ31" i="1"/>
  <c r="AQ29" i="1"/>
  <c r="AQ116" i="1" s="1"/>
  <c r="AQ131" i="1" s="1"/>
  <c r="CH53" i="1"/>
  <c r="CH52" i="1"/>
  <c r="CH103" i="1"/>
  <c r="CH110" i="1" s="1"/>
  <c r="G17" i="223"/>
  <c r="DZ89" i="1"/>
  <c r="EA89" i="1" s="1"/>
  <c r="AY31" i="1"/>
  <c r="AY41" i="1"/>
  <c r="AY42" i="1" s="1"/>
  <c r="AY29" i="1"/>
  <c r="AY116" i="1" s="1"/>
  <c r="AY131" i="1" s="1"/>
  <c r="AY156" i="1" s="1"/>
  <c r="AA52" i="1"/>
  <c r="AB103" i="1"/>
  <c r="AB110" i="1" s="1"/>
  <c r="AA103" i="1"/>
  <c r="AA110" i="1" s="1"/>
  <c r="AC103" i="1"/>
  <c r="AC110" i="1" s="1"/>
  <c r="AE53" i="1"/>
  <c r="AA53" i="1"/>
  <c r="AD103" i="1"/>
  <c r="AD110" i="1" s="1"/>
  <c r="CI129" i="1"/>
  <c r="CI98" i="1" s="1"/>
  <c r="DU126" i="1"/>
  <c r="DU129" i="1" s="1"/>
  <c r="BX33" i="1"/>
  <c r="BX36" i="1"/>
  <c r="BY35" i="1"/>
  <c r="BX169" i="1"/>
  <c r="DR77" i="229"/>
  <c r="DS77" i="229"/>
  <c r="DT78" i="229" s="1"/>
  <c r="AZ76" i="229"/>
  <c r="BC77" i="229"/>
  <c r="BG78" i="229" s="1"/>
  <c r="AY76" i="229"/>
  <c r="AY77" i="229"/>
  <c r="CL98" i="229"/>
  <c r="CL101" i="229"/>
  <c r="AM103" i="1"/>
  <c r="AM110" i="1" s="1"/>
  <c r="AM53" i="1"/>
  <c r="AN103" i="1"/>
  <c r="AN110" i="1" s="1"/>
  <c r="AM52" i="1"/>
  <c r="BS129" i="1"/>
  <c r="BS98" i="1" s="1"/>
  <c r="DQ128" i="1"/>
  <c r="DQ129" i="1" s="1"/>
  <c r="DH103" i="1"/>
  <c r="DH110" i="1" s="1"/>
  <c r="DH52" i="1"/>
  <c r="DH53" i="1"/>
  <c r="CI98" i="229"/>
  <c r="CI99" i="229" s="1"/>
  <c r="CI101" i="229"/>
  <c r="DB21" i="1"/>
  <c r="DB16" i="1"/>
  <c r="BP78" i="229"/>
  <c r="BL78" i="229"/>
  <c r="BO84" i="229"/>
  <c r="BS84" i="229"/>
  <c r="DK150" i="1"/>
  <c r="BW29" i="1"/>
  <c r="BW116" i="1" s="1"/>
  <c r="BW41" i="1"/>
  <c r="BW31" i="1"/>
  <c r="BX42" i="1"/>
  <c r="CB42" i="1"/>
  <c r="Q171" i="1"/>
  <c r="Q39" i="1"/>
  <c r="Q40" i="1"/>
  <c r="E31" i="223"/>
  <c r="W100" i="225"/>
  <c r="T100" i="225"/>
  <c r="V100" i="225"/>
  <c r="U100" i="225"/>
  <c r="W89" i="225"/>
  <c r="CI52" i="1"/>
  <c r="CI53" i="1"/>
  <c r="CI103" i="1"/>
  <c r="CI110" i="1" s="1"/>
  <c r="CM53" i="1"/>
  <c r="CJ103" i="1"/>
  <c r="CJ110" i="1" s="1"/>
  <c r="CK103" i="1"/>
  <c r="CK110" i="1" s="1"/>
  <c r="DM21" i="1"/>
  <c r="DM16" i="1"/>
  <c r="DM51" i="1"/>
  <c r="DS50" i="229"/>
  <c r="DR50" i="229"/>
  <c r="BS81" i="229"/>
  <c r="BO81" i="229"/>
  <c r="AO103" i="1"/>
  <c r="AO110" i="1" s="1"/>
  <c r="T95" i="225"/>
  <c r="V95" i="225"/>
  <c r="U95" i="225"/>
  <c r="W95" i="225"/>
  <c r="DT71" i="229"/>
  <c r="V72" i="225"/>
  <c r="W72" i="225"/>
  <c r="T72" i="225"/>
  <c r="U72" i="225"/>
  <c r="DT29" i="1"/>
  <c r="DT31" i="1"/>
  <c r="DT41" i="1"/>
  <c r="DT42" i="1" s="1"/>
  <c r="C86" i="225"/>
  <c r="DQ95" i="229"/>
  <c r="CR42" i="1"/>
  <c r="DN70" i="229"/>
  <c r="DN99" i="229"/>
  <c r="DO70" i="229"/>
  <c r="CP31" i="1"/>
  <c r="CP29" i="1"/>
  <c r="CP41" i="1"/>
  <c r="DV146" i="1"/>
  <c r="AU89" i="229"/>
  <c r="AY89" i="229"/>
  <c r="DW117" i="1"/>
  <c r="V41" i="1"/>
  <c r="V31" i="1"/>
  <c r="V29" i="1"/>
  <c r="V116" i="1" s="1"/>
  <c r="CE40" i="1"/>
  <c r="CE171" i="1"/>
  <c r="CE39" i="1"/>
  <c r="DI164" i="1"/>
  <c r="DI163" i="1"/>
  <c r="DI51" i="1"/>
  <c r="CQ123" i="1"/>
  <c r="DW123" i="1" s="1"/>
  <c r="BB78" i="229"/>
  <c r="AX78" i="229"/>
  <c r="DX36" i="1"/>
  <c r="DN136" i="1"/>
  <c r="DN162" i="1"/>
  <c r="AW78" i="229"/>
  <c r="AS78" i="229"/>
  <c r="DL63" i="229"/>
  <c r="DM66" i="229"/>
  <c r="DO89" i="229"/>
  <c r="DR34" i="1"/>
  <c r="U83" i="225"/>
  <c r="V83" i="225"/>
  <c r="W83" i="225"/>
  <c r="T83" i="225"/>
  <c r="C85" i="225"/>
  <c r="DL39" i="1"/>
  <c r="DL40" i="1"/>
  <c r="DL171" i="1"/>
  <c r="DG69" i="229"/>
  <c r="DH68" i="229"/>
  <c r="DG68" i="229"/>
  <c r="DV71" i="229"/>
  <c r="DQ92" i="229"/>
  <c r="CN171" i="1"/>
  <c r="CN39" i="1"/>
  <c r="CN40" i="1"/>
  <c r="DO50" i="229"/>
  <c r="DN50" i="229"/>
  <c r="DR128" i="1"/>
  <c r="DR129" i="1" s="1"/>
  <c r="AO29" i="1"/>
  <c r="AO116" i="1" s="1"/>
  <c r="AO131" i="1" s="1"/>
  <c r="AO31" i="1"/>
  <c r="AO41" i="1"/>
  <c r="AO42" i="1" s="1"/>
  <c r="CI24" i="1"/>
  <c r="CL104" i="1" s="1"/>
  <c r="CL112" i="1" s="1"/>
  <c r="CI26" i="1"/>
  <c r="U88" i="225"/>
  <c r="V88" i="225"/>
  <c r="T88" i="225"/>
  <c r="W88" i="225"/>
  <c r="DI31" i="1"/>
  <c r="DI29" i="1"/>
  <c r="DI116" i="1" s="1"/>
  <c r="DI131" i="1" s="1"/>
  <c r="DI156" i="1" s="1"/>
  <c r="DI41" i="1"/>
  <c r="DI42" i="1" s="1"/>
  <c r="DR31" i="1"/>
  <c r="DR29" i="1"/>
  <c r="DR116" i="1" s="1"/>
  <c r="DR41" i="1"/>
  <c r="BF29" i="1"/>
  <c r="BF116" i="1" s="1"/>
  <c r="BF131" i="1" s="1"/>
  <c r="BF156" i="1" s="1"/>
  <c r="BF41" i="1"/>
  <c r="BF42" i="1" s="1"/>
  <c r="BF31" i="1"/>
  <c r="AF29" i="1"/>
  <c r="AF116" i="1" s="1"/>
  <c r="AF131" i="1" s="1"/>
  <c r="AF41" i="1"/>
  <c r="AF31" i="1"/>
  <c r="BS89" i="229"/>
  <c r="CL53" i="1"/>
  <c r="CL52" i="1"/>
  <c r="CL103" i="1"/>
  <c r="CL110" i="1" s="1"/>
  <c r="CM103" i="1"/>
  <c r="CM110" i="1" s="1"/>
  <c r="CN103" i="1"/>
  <c r="CN110" i="1" s="1"/>
  <c r="AZ41" i="1"/>
  <c r="AZ29" i="1"/>
  <c r="AZ116" i="1" s="1"/>
  <c r="AZ131" i="1" s="1"/>
  <c r="AZ31" i="1"/>
  <c r="G53" i="223"/>
  <c r="BM89" i="229"/>
  <c r="DK63" i="229"/>
  <c r="DL66" i="229"/>
  <c r="DK66" i="229"/>
  <c r="DK171" i="1"/>
  <c r="DK40" i="1"/>
  <c r="DK39" i="1"/>
  <c r="I40" i="1"/>
  <c r="I171" i="1"/>
  <c r="I39" i="1"/>
  <c r="BX131" i="1"/>
  <c r="DQ29" i="1"/>
  <c r="DQ116" i="1" s="1"/>
  <c r="DQ31" i="1"/>
  <c r="DQ41" i="1"/>
  <c r="DQ42" i="1" s="1"/>
  <c r="Q42" i="1"/>
  <c r="U42" i="1"/>
  <c r="DN81" i="229"/>
  <c r="DM71" i="229"/>
  <c r="BU29" i="1"/>
  <c r="BU31" i="1"/>
  <c r="BU41" i="1"/>
  <c r="DK84" i="229"/>
  <c r="DS70" i="229"/>
  <c r="DS71" i="229" s="1"/>
  <c r="DS35" i="229"/>
  <c r="DR70" i="229"/>
  <c r="BS77" i="229"/>
  <c r="BW78" i="229" s="1"/>
  <c r="BP76" i="229"/>
  <c r="BO76" i="229"/>
  <c r="BO77" i="229"/>
  <c r="DV100" i="229"/>
  <c r="DV101" i="229" s="1"/>
  <c r="DV16" i="1"/>
  <c r="C51" i="225"/>
  <c r="DV21" i="1"/>
  <c r="DV51" i="1"/>
  <c r="DJ78" i="229"/>
  <c r="DR36" i="1"/>
  <c r="DR169" i="1"/>
  <c r="R41" i="1"/>
  <c r="R42" i="1" s="1"/>
  <c r="R29" i="1"/>
  <c r="R116" i="1" s="1"/>
  <c r="R131" i="1" s="1"/>
  <c r="R31" i="1"/>
  <c r="DU145" i="1"/>
  <c r="DU146" i="1" s="1"/>
  <c r="CI146" i="1"/>
  <c r="DN84" i="229"/>
  <c r="DW89" i="229"/>
  <c r="BB40" i="1"/>
  <c r="BB39" i="1"/>
  <c r="BB171" i="1"/>
  <c r="DX144" i="1"/>
  <c r="DX146" i="1" s="1"/>
  <c r="CO103" i="1"/>
  <c r="CO110" i="1" s="1"/>
  <c r="DJ84" i="229"/>
  <c r="DL89" i="229"/>
  <c r="DP95" i="229"/>
  <c r="DO95" i="229"/>
  <c r="CI123" i="1"/>
  <c r="CL150" i="1"/>
  <c r="BQ41" i="1"/>
  <c r="BQ42" i="1" s="1"/>
  <c r="BQ29" i="1"/>
  <c r="BQ116" i="1" s="1"/>
  <c r="BQ31" i="1"/>
  <c r="U102" i="225"/>
  <c r="V102" i="225"/>
  <c r="T102" i="225"/>
  <c r="W102" i="225"/>
  <c r="BO89" i="229"/>
  <c r="DH146" i="1"/>
  <c r="DQ139" i="1"/>
  <c r="DQ146" i="1" s="1"/>
  <c r="DP100" i="229"/>
  <c r="DP101" i="229" s="1"/>
  <c r="DP75" i="229"/>
  <c r="DP83" i="229"/>
  <c r="DP84" i="229" s="1"/>
  <c r="DP80" i="229"/>
  <c r="DQ83" i="229"/>
  <c r="DR84" i="229" s="1"/>
  <c r="DQ80" i="229"/>
  <c r="DR81" i="229" s="1"/>
  <c r="AS31" i="1"/>
  <c r="AS29" i="1"/>
  <c r="AS116" i="1" s="1"/>
  <c r="AS131" i="1" s="1"/>
  <c r="AS41" i="1"/>
  <c r="DK77" i="229"/>
  <c r="DI71" i="229"/>
  <c r="CH98" i="229"/>
  <c r="CH99" i="229" s="1"/>
  <c r="CH101" i="229"/>
  <c r="DP150" i="1"/>
  <c r="BF78" i="229"/>
  <c r="EA19" i="1"/>
  <c r="EA18" i="1" s="1"/>
  <c r="DZ18" i="1"/>
  <c r="L19" i="226" s="1"/>
  <c r="N19" i="226" s="1"/>
  <c r="DR32" i="229"/>
  <c r="CG41" i="1"/>
  <c r="CG31" i="1"/>
  <c r="CG29" i="1"/>
  <c r="AQ53" i="1"/>
  <c r="DP92" i="229"/>
  <c r="AX151" i="1"/>
  <c r="DG31" i="1"/>
  <c r="DG29" i="1"/>
  <c r="DG116" i="1" s="1"/>
  <c r="DG131" i="1" s="1"/>
  <c r="DG156" i="1" s="1"/>
  <c r="DG41" i="1"/>
  <c r="DG42" i="1" s="1"/>
  <c r="DL42" i="1"/>
  <c r="DS171" i="1"/>
  <c r="DS40" i="1"/>
  <c r="DQ88" i="229"/>
  <c r="DR89" i="229" s="1"/>
  <c r="DP88" i="229"/>
  <c r="DP89" i="229" s="1"/>
  <c r="DQ81" i="229" l="1"/>
  <c r="DL78" i="229"/>
  <c r="CV91" i="229"/>
  <c r="CV92" i="229" s="1"/>
  <c r="CV94" i="229"/>
  <c r="CV95" i="229" s="1"/>
  <c r="CV90" i="229"/>
  <c r="D46" i="226"/>
  <c r="CV93" i="229"/>
  <c r="F48" i="222"/>
  <c r="DS72" i="229"/>
  <c r="J43" i="222"/>
  <c r="H43" i="222"/>
  <c r="DV54" i="229"/>
  <c r="DV55" i="229" s="1"/>
  <c r="DV64" i="229"/>
  <c r="DV65" i="229" s="1"/>
  <c r="DY47" i="229"/>
  <c r="DZ37" i="229" s="1"/>
  <c r="DY57" i="229"/>
  <c r="DZ57" i="229" s="1"/>
  <c r="DR72" i="229"/>
  <c r="P35" i="230"/>
  <c r="F31" i="223"/>
  <c r="G25" i="223"/>
  <c r="CY51" i="229"/>
  <c r="CX49" i="229"/>
  <c r="CX50" i="229" s="1"/>
  <c r="CX74" i="229"/>
  <c r="CY48" i="229"/>
  <c r="CX33" i="1"/>
  <c r="CY33" i="1" s="1"/>
  <c r="DY33" i="1" s="1"/>
  <c r="DY48" i="1"/>
  <c r="DY49" i="1" s="1"/>
  <c r="DZ49" i="1" s="1"/>
  <c r="DZ48" i="1" s="1"/>
  <c r="CV37" i="1"/>
  <c r="D30" i="226" s="1"/>
  <c r="F30" i="226" s="1"/>
  <c r="CV169" i="1"/>
  <c r="CW169" i="1"/>
  <c r="CW37" i="1"/>
  <c r="CW144" i="1" s="1"/>
  <c r="CW146" i="1" s="1"/>
  <c r="CW94" i="229"/>
  <c r="CW95" i="229" s="1"/>
  <c r="CW91" i="229"/>
  <c r="CW92" i="229" s="1"/>
  <c r="CW93" i="229"/>
  <c r="CW90" i="229"/>
  <c r="CX61" i="229"/>
  <c r="CX59" i="229"/>
  <c r="CX60" i="229" s="1"/>
  <c r="CX58" i="229"/>
  <c r="CY61" i="229"/>
  <c r="CX85" i="229"/>
  <c r="CY58" i="229"/>
  <c r="CX69" i="229"/>
  <c r="CX6" i="1" s="1"/>
  <c r="M156" i="1"/>
  <c r="BF150" i="1"/>
  <c r="CQ131" i="1"/>
  <c r="CQ156" i="1" s="1"/>
  <c r="DI158" i="1"/>
  <c r="DI157" i="1"/>
  <c r="DI150" i="1"/>
  <c r="CL159" i="1"/>
  <c r="BH40" i="1"/>
  <c r="BH39" i="1"/>
  <c r="BH171" i="1"/>
  <c r="AE29" i="1"/>
  <c r="AE116" i="1" s="1"/>
  <c r="AE131" i="1" s="1"/>
  <c r="AE41" i="1"/>
  <c r="AE42" i="1" s="1"/>
  <c r="AE31" i="1"/>
  <c r="AM41" i="1"/>
  <c r="AM42" i="1" s="1"/>
  <c r="AM29" i="1"/>
  <c r="AM116" i="1" s="1"/>
  <c r="AM131" i="1" s="1"/>
  <c r="AM31" i="1"/>
  <c r="BO39" i="1"/>
  <c r="BO40" i="1"/>
  <c r="BO171" i="1"/>
  <c r="BS29" i="1"/>
  <c r="BS116" i="1" s="1"/>
  <c r="BS41" i="1"/>
  <c r="BS42" i="1" s="1"/>
  <c r="BS31" i="1"/>
  <c r="J39" i="1"/>
  <c r="J40" i="1"/>
  <c r="J171" i="1"/>
  <c r="V89" i="225"/>
  <c r="CC171" i="1"/>
  <c r="CC39" i="1"/>
  <c r="CC40" i="1"/>
  <c r="D40" i="1"/>
  <c r="D171" i="1"/>
  <c r="D39" i="1"/>
  <c r="BV42" i="1"/>
  <c r="BR42" i="1"/>
  <c r="AP104" i="1"/>
  <c r="AP112" i="1" s="1"/>
  <c r="AM104" i="1"/>
  <c r="AM112" i="1" s="1"/>
  <c r="BE39" i="1"/>
  <c r="BE171" i="1"/>
  <c r="BE40" i="1"/>
  <c r="S42" i="1"/>
  <c r="O42" i="1"/>
  <c r="AO104" i="1"/>
  <c r="AO112" i="1" s="1"/>
  <c r="AN104" i="1"/>
  <c r="AN112" i="1" s="1"/>
  <c r="H42" i="1"/>
  <c r="J42" i="1"/>
  <c r="DH158" i="1"/>
  <c r="DH157" i="1"/>
  <c r="CB39" i="1"/>
  <c r="CB171" i="1"/>
  <c r="CB40" i="1"/>
  <c r="BI42" i="1"/>
  <c r="G104" i="1"/>
  <c r="G112" i="1" s="1"/>
  <c r="T89" i="225"/>
  <c r="AY158" i="1"/>
  <c r="AY159" i="1" s="1"/>
  <c r="AY157" i="1"/>
  <c r="Q158" i="1"/>
  <c r="Q157" i="1"/>
  <c r="T39" i="1"/>
  <c r="T171" i="1"/>
  <c r="T40" i="1"/>
  <c r="P29" i="1"/>
  <c r="P116" i="1" s="1"/>
  <c r="P131" i="1" s="1"/>
  <c r="P150" i="1" s="1"/>
  <c r="P152" i="1" s="1"/>
  <c r="P31" i="1"/>
  <c r="P41" i="1"/>
  <c r="Y104" i="1"/>
  <c r="Y112" i="1" s="1"/>
  <c r="AX31" i="1"/>
  <c r="AX41" i="1"/>
  <c r="AX29" i="1"/>
  <c r="AX116" i="1" s="1"/>
  <c r="AX131" i="1" s="1"/>
  <c r="M171" i="1"/>
  <c r="M40" i="1"/>
  <c r="M39" i="1"/>
  <c r="O156" i="1"/>
  <c r="O150" i="1"/>
  <c r="X29" i="1"/>
  <c r="X116" i="1" s="1"/>
  <c r="X31" i="1"/>
  <c r="X41" i="1"/>
  <c r="BS104" i="1"/>
  <c r="BS112" i="1" s="1"/>
  <c r="H131" i="1"/>
  <c r="DB116" i="1"/>
  <c r="DB131" i="1" s="1"/>
  <c r="AB104" i="1"/>
  <c r="AB112" i="1" s="1"/>
  <c r="Z29" i="1"/>
  <c r="Z116" i="1" s="1"/>
  <c r="Z131" i="1" s="1"/>
  <c r="Z41" i="1"/>
  <c r="AD42" i="1" s="1"/>
  <c r="Z31" i="1"/>
  <c r="Q104" i="1"/>
  <c r="Q112" i="1" s="1"/>
  <c r="K39" i="1"/>
  <c r="K171" i="1"/>
  <c r="K40" i="1"/>
  <c r="BB104" i="1"/>
  <c r="BB112" i="1" s="1"/>
  <c r="DN158" i="1"/>
  <c r="DN157" i="1"/>
  <c r="BL156" i="1"/>
  <c r="BL150" i="1"/>
  <c r="BL152" i="1" s="1"/>
  <c r="AQ104" i="1"/>
  <c r="AQ112" i="1" s="1"/>
  <c r="J156" i="1"/>
  <c r="J150" i="1"/>
  <c r="BR39" i="1"/>
  <c r="BR40" i="1"/>
  <c r="BR171" i="1"/>
  <c r="AG29" i="1"/>
  <c r="AG116" i="1" s="1"/>
  <c r="AG131" i="1" s="1"/>
  <c r="AG31" i="1"/>
  <c r="AG41" i="1"/>
  <c r="BE150" i="1"/>
  <c r="BE152" i="1" s="1"/>
  <c r="BE156" i="1"/>
  <c r="AL29" i="1"/>
  <c r="AL116" i="1" s="1"/>
  <c r="AL131" i="1" s="1"/>
  <c r="AL41" i="1"/>
  <c r="AL42" i="1" s="1"/>
  <c r="AL31" i="1"/>
  <c r="E31" i="1"/>
  <c r="E29" i="1"/>
  <c r="E116" i="1" s="1"/>
  <c r="E131" i="1" s="1"/>
  <c r="E41" i="1"/>
  <c r="I42" i="1" s="1"/>
  <c r="M158" i="1"/>
  <c r="M157" i="1"/>
  <c r="I158" i="1"/>
  <c r="I157" i="1"/>
  <c r="BO156" i="1"/>
  <c r="BO150" i="1"/>
  <c r="BT104" i="1"/>
  <c r="BT112" i="1" s="1"/>
  <c r="AX104" i="1"/>
  <c r="AX112" i="1" s="1"/>
  <c r="AY104" i="1"/>
  <c r="AY112" i="1" s="1"/>
  <c r="AZ104" i="1"/>
  <c r="AZ112" i="1" s="1"/>
  <c r="BA104" i="1"/>
  <c r="BA112" i="1" s="1"/>
  <c r="CQ39" i="1"/>
  <c r="CQ40" i="1"/>
  <c r="CQ171" i="1"/>
  <c r="BA29" i="1"/>
  <c r="BA116" i="1" s="1"/>
  <c r="BA131" i="1" s="1"/>
  <c r="BA31" i="1"/>
  <c r="BA41" i="1"/>
  <c r="BA42" i="1" s="1"/>
  <c r="H39" i="1"/>
  <c r="H40" i="1"/>
  <c r="H171" i="1"/>
  <c r="P104" i="1"/>
  <c r="P112" i="1" s="1"/>
  <c r="BU42" i="1"/>
  <c r="BF158" i="1"/>
  <c r="BF159" i="1" s="1"/>
  <c r="BF157" i="1"/>
  <c r="CJ104" i="1"/>
  <c r="CJ112" i="1" s="1"/>
  <c r="CK104" i="1"/>
  <c r="CK112" i="1" s="1"/>
  <c r="T156" i="1"/>
  <c r="T150" i="1"/>
  <c r="AN171" i="1"/>
  <c r="AN40" i="1"/>
  <c r="AN39" i="1"/>
  <c r="BI104" i="1"/>
  <c r="BI112" i="1" s="1"/>
  <c r="CG159" i="1"/>
  <c r="CK159" i="1"/>
  <c r="BP42" i="1"/>
  <c r="BT42" i="1"/>
  <c r="BL42" i="1"/>
  <c r="CI104" i="1"/>
  <c r="CI112" i="1" s="1"/>
  <c r="F41" i="1"/>
  <c r="F31" i="1"/>
  <c r="F29" i="1"/>
  <c r="F116" i="1" s="1"/>
  <c r="F131" i="1" s="1"/>
  <c r="N42" i="1"/>
  <c r="Z104" i="1"/>
  <c r="Z112" i="1" s="1"/>
  <c r="K156" i="1"/>
  <c r="K150" i="1"/>
  <c r="D131" i="1"/>
  <c r="G40" i="1"/>
  <c r="G39" i="1"/>
  <c r="G171" i="1"/>
  <c r="L39" i="1"/>
  <c r="L171" i="1"/>
  <c r="L40" i="1"/>
  <c r="Y156" i="1"/>
  <c r="Y150" i="1"/>
  <c r="AJ171" i="1"/>
  <c r="AJ39" i="1"/>
  <c r="AJ40" i="1"/>
  <c r="L131" i="1"/>
  <c r="DC116" i="1"/>
  <c r="DC131" i="1" s="1"/>
  <c r="Y40" i="1"/>
  <c r="Y39" i="1"/>
  <c r="Y171" i="1"/>
  <c r="CQ158" i="1"/>
  <c r="CQ157" i="1"/>
  <c r="AJ150" i="1"/>
  <c r="AJ152" i="1" s="1"/>
  <c r="AJ156" i="1"/>
  <c r="AN156" i="1"/>
  <c r="AN150" i="1"/>
  <c r="AN152" i="1" s="1"/>
  <c r="G156" i="1"/>
  <c r="G150" i="1"/>
  <c r="BP150" i="1"/>
  <c r="BP152" i="1" s="1"/>
  <c r="BP156" i="1"/>
  <c r="CA171" i="1"/>
  <c r="CA40" i="1"/>
  <c r="BG29" i="1"/>
  <c r="BG116" i="1" s="1"/>
  <c r="BG131" i="1" s="1"/>
  <c r="BG31" i="1"/>
  <c r="BG41" i="1"/>
  <c r="BK42" i="1" s="1"/>
  <c r="N150" i="1"/>
  <c r="N156" i="1"/>
  <c r="W29" i="1"/>
  <c r="W116" i="1" s="1"/>
  <c r="W131" i="1" s="1"/>
  <c r="W41" i="1"/>
  <c r="W31" i="1"/>
  <c r="DP171" i="1"/>
  <c r="DP39" i="1"/>
  <c r="DP40" i="1"/>
  <c r="DP158" i="1"/>
  <c r="DP159" i="1" s="1"/>
  <c r="DP157" i="1"/>
  <c r="CP159" i="1"/>
  <c r="CT159" i="1"/>
  <c r="K42" i="1"/>
  <c r="AI104" i="1"/>
  <c r="AI112" i="1" s="1"/>
  <c r="AI158" i="1"/>
  <c r="AI157" i="1"/>
  <c r="CJ29" i="1"/>
  <c r="CJ41" i="1"/>
  <c r="CJ31" i="1"/>
  <c r="AR29" i="1"/>
  <c r="AR116" i="1" s="1"/>
  <c r="AR131" i="1" s="1"/>
  <c r="AR41" i="1"/>
  <c r="AR31" i="1"/>
  <c r="CK171" i="1"/>
  <c r="CK40" i="1"/>
  <c r="CK39" i="1"/>
  <c r="BN40" i="1"/>
  <c r="BN171" i="1"/>
  <c r="BN39" i="1"/>
  <c r="BH156" i="1"/>
  <c r="BH150" i="1"/>
  <c r="BH152" i="1" s="1"/>
  <c r="AE104" i="1"/>
  <c r="AE112" i="1" s="1"/>
  <c r="AG104" i="1"/>
  <c r="AG112" i="1" s="1"/>
  <c r="AH104" i="1"/>
  <c r="AH112" i="1" s="1"/>
  <c r="AF104" i="1"/>
  <c r="AF112" i="1" s="1"/>
  <c r="BN158" i="1"/>
  <c r="BN159" i="1" s="1"/>
  <c r="BN157" i="1"/>
  <c r="DG158" i="1"/>
  <c r="DG157" i="1"/>
  <c r="O171" i="1"/>
  <c r="O39" i="1"/>
  <c r="O40" i="1"/>
  <c r="CQ150" i="1"/>
  <c r="BZ119" i="1"/>
  <c r="AN42" i="1"/>
  <c r="BP39" i="1"/>
  <c r="BP40" i="1"/>
  <c r="BP171" i="1"/>
  <c r="R104" i="1"/>
  <c r="R112" i="1" s="1"/>
  <c r="L42" i="1"/>
  <c r="AP41" i="1"/>
  <c r="AP31" i="1"/>
  <c r="AP29" i="1"/>
  <c r="AP116" i="1" s="1"/>
  <c r="AP131" i="1" s="1"/>
  <c r="Y42" i="1"/>
  <c r="AC42" i="1"/>
  <c r="N171" i="1"/>
  <c r="N39" i="1"/>
  <c r="N40" i="1"/>
  <c r="CT31" i="1"/>
  <c r="CT41" i="1"/>
  <c r="CT29" i="1"/>
  <c r="BC104" i="1"/>
  <c r="BC112" i="1" s="1"/>
  <c r="V22" i="225"/>
  <c r="V8" i="225" s="1"/>
  <c r="W8" i="225"/>
  <c r="T22" i="225"/>
  <c r="T8" i="225" s="1"/>
  <c r="U22" i="225"/>
  <c r="U8" i="225" s="1"/>
  <c r="G27" i="222"/>
  <c r="D29" i="222"/>
  <c r="I27" i="222"/>
  <c r="H48" i="223"/>
  <c r="H47" i="223"/>
  <c r="J39" i="223"/>
  <c r="K39" i="223" s="1"/>
  <c r="I45" i="223"/>
  <c r="I46" i="223" s="1"/>
  <c r="DS64" i="229"/>
  <c r="DS65" i="229" s="1"/>
  <c r="DS54" i="229"/>
  <c r="DS55" i="229" s="1"/>
  <c r="DQ64" i="229"/>
  <c r="DQ54" i="229"/>
  <c r="DW54" i="229"/>
  <c r="DW55" i="229" s="1"/>
  <c r="DW64" i="229"/>
  <c r="DW65" i="229" s="1"/>
  <c r="DR64" i="229"/>
  <c r="DR65" i="229" s="1"/>
  <c r="DR54" i="229"/>
  <c r="DR55" i="229" s="1"/>
  <c r="DU64" i="229"/>
  <c r="DU65" i="229" s="1"/>
  <c r="DU54" i="229"/>
  <c r="DU55" i="229" s="1"/>
  <c r="DN150" i="1"/>
  <c r="DO92" i="229"/>
  <c r="DL95" i="229"/>
  <c r="DL92" i="229"/>
  <c r="DM89" i="229"/>
  <c r="DX88" i="229"/>
  <c r="DM78" i="229"/>
  <c r="DQ84" i="229"/>
  <c r="DJ89" i="229"/>
  <c r="DX110" i="229"/>
  <c r="DX111" i="229" s="1"/>
  <c r="DX113" i="229"/>
  <c r="DX114" i="229" s="1"/>
  <c r="DX7" i="1"/>
  <c r="DX101" i="1"/>
  <c r="DN92" i="229"/>
  <c r="DP71" i="229"/>
  <c r="DX12" i="1"/>
  <c r="DT89" i="229"/>
  <c r="BS78" i="229"/>
  <c r="BC78" i="229"/>
  <c r="DX107" i="229"/>
  <c r="DX108" i="229" s="1"/>
  <c r="BG89" i="229"/>
  <c r="AZ40" i="1"/>
  <c r="AZ171" i="1"/>
  <c r="AZ39" i="1"/>
  <c r="AO40" i="1"/>
  <c r="AO171" i="1"/>
  <c r="AO39" i="1"/>
  <c r="CL99" i="229"/>
  <c r="DV98" i="229"/>
  <c r="DV99" i="229" s="1"/>
  <c r="J19" i="226"/>
  <c r="DI53" i="1"/>
  <c r="DI52" i="1"/>
  <c r="DI103" i="1"/>
  <c r="DI110" i="1" s="1"/>
  <c r="DM24" i="1"/>
  <c r="DM26" i="1"/>
  <c r="BZ42" i="1"/>
  <c r="CD42" i="1"/>
  <c r="CQ53" i="1"/>
  <c r="CQ52" i="1"/>
  <c r="CQ103" i="1"/>
  <c r="CQ110" i="1" s="1"/>
  <c r="CT103" i="1"/>
  <c r="CT110" i="1" s="1"/>
  <c r="CR103" i="1"/>
  <c r="CR110" i="1" s="1"/>
  <c r="AZ42" i="1"/>
  <c r="BD42" i="1"/>
  <c r="V40" i="1"/>
  <c r="V171" i="1"/>
  <c r="V39" i="1"/>
  <c r="CC42" i="1"/>
  <c r="BY42" i="1"/>
  <c r="BC156" i="1"/>
  <c r="BC150" i="1"/>
  <c r="AY78" i="229"/>
  <c r="AS42" i="1"/>
  <c r="AW42" i="1"/>
  <c r="BQ119" i="1"/>
  <c r="BQ131" i="1" s="1"/>
  <c r="Z42" i="1"/>
  <c r="V42" i="1"/>
  <c r="DK78" i="229"/>
  <c r="DX104" i="229"/>
  <c r="DO42" i="1"/>
  <c r="BY156" i="1"/>
  <c r="BY150" i="1"/>
  <c r="AF150" i="1"/>
  <c r="AF152" i="1" s="1"/>
  <c r="AF156" i="1"/>
  <c r="AZ150" i="1"/>
  <c r="AZ156" i="1"/>
  <c r="V131" i="1"/>
  <c r="AI171" i="1"/>
  <c r="AI39" i="1"/>
  <c r="AI40" i="1"/>
  <c r="BG42" i="1"/>
  <c r="BC42" i="1"/>
  <c r="DP77" i="229"/>
  <c r="DQ77" i="229"/>
  <c r="DR78" i="229" s="1"/>
  <c r="DN71" i="229"/>
  <c r="DS78" i="229"/>
  <c r="AD151" i="1"/>
  <c r="AD152" i="1" s="1"/>
  <c r="DQ89" i="229"/>
  <c r="AS150" i="1"/>
  <c r="AS156" i="1"/>
  <c r="BO78" i="229"/>
  <c r="R39" i="1"/>
  <c r="R40" i="1"/>
  <c r="R171" i="1"/>
  <c r="DV52" i="1"/>
  <c r="DV103" i="1"/>
  <c r="DV110" i="1" s="1"/>
  <c r="DV53" i="1"/>
  <c r="DR42" i="1"/>
  <c r="CT42" i="1"/>
  <c r="BW171" i="1"/>
  <c r="BW39" i="1"/>
  <c r="BW40" i="1"/>
  <c r="BY36" i="1"/>
  <c r="BZ35" i="1"/>
  <c r="BY169" i="1"/>
  <c r="BY33" i="1"/>
  <c r="BY34" i="1" s="1"/>
  <c r="AQ156" i="1"/>
  <c r="AQ150" i="1"/>
  <c r="DD116" i="1"/>
  <c r="DD131" i="1" s="1"/>
  <c r="BY39" i="1"/>
  <c r="BY40" i="1"/>
  <c r="BY171" i="1"/>
  <c r="DG150" i="1"/>
  <c r="CH29" i="1"/>
  <c r="CH31" i="1"/>
  <c r="CH41" i="1"/>
  <c r="CH42" i="1" s="1"/>
  <c r="AY150" i="1"/>
  <c r="DO71" i="229"/>
  <c r="DU42" i="1"/>
  <c r="AO156" i="1"/>
  <c r="AO150" i="1"/>
  <c r="C41" i="225"/>
  <c r="DW163" i="1"/>
  <c r="DW164" i="1"/>
  <c r="DW51" i="1"/>
  <c r="DW131" i="1"/>
  <c r="DW156" i="1" s="1"/>
  <c r="DW157" i="1" s="1"/>
  <c r="DT171" i="1"/>
  <c r="DT39" i="1"/>
  <c r="DT40" i="1"/>
  <c r="DG39" i="1"/>
  <c r="DG171" i="1"/>
  <c r="DG40" i="1"/>
  <c r="AS171" i="1"/>
  <c r="AS40" i="1"/>
  <c r="AS39" i="1"/>
  <c r="DV24" i="1"/>
  <c r="DV26" i="1"/>
  <c r="C55" i="225"/>
  <c r="DQ171" i="1"/>
  <c r="DQ40" i="1"/>
  <c r="DQ39" i="1"/>
  <c r="CI29" i="1"/>
  <c r="CI41" i="1"/>
  <c r="CI31" i="1"/>
  <c r="AI150" i="1"/>
  <c r="BW42" i="1"/>
  <c r="CA42" i="1"/>
  <c r="AY40" i="1"/>
  <c r="AY39" i="1"/>
  <c r="AY171" i="1"/>
  <c r="CL29" i="1"/>
  <c r="CL31" i="1"/>
  <c r="CL41" i="1"/>
  <c r="DU123" i="1"/>
  <c r="DU131" i="1" s="1"/>
  <c r="DU156" i="1" s="1"/>
  <c r="DU157" i="1" s="1"/>
  <c r="CI131" i="1"/>
  <c r="CI156" i="1" s="1"/>
  <c r="AF171" i="1"/>
  <c r="AF39" i="1"/>
  <c r="AF40" i="1"/>
  <c r="DH70" i="229"/>
  <c r="DG70" i="229"/>
  <c r="W85" i="225"/>
  <c r="T85" i="225"/>
  <c r="U85" i="225"/>
  <c r="V85" i="225"/>
  <c r="CP40" i="1"/>
  <c r="CP39" i="1"/>
  <c r="CP171" i="1"/>
  <c r="DH42" i="1"/>
  <c r="BX34" i="1"/>
  <c r="AU42" i="1"/>
  <c r="DA39" i="1"/>
  <c r="DA171" i="1"/>
  <c r="DA40" i="1"/>
  <c r="DL71" i="229"/>
  <c r="DV123" i="1"/>
  <c r="DV131" i="1" s="1"/>
  <c r="DV156" i="1" s="1"/>
  <c r="DV157" i="1" s="1"/>
  <c r="CM131" i="1"/>
  <c r="CM156" i="1" s="1"/>
  <c r="DF52" i="1"/>
  <c r="DF53" i="1"/>
  <c r="DF103" i="1"/>
  <c r="DF110" i="1" s="1"/>
  <c r="DG53" i="1"/>
  <c r="DJ103" i="1"/>
  <c r="DJ110" i="1" s="1"/>
  <c r="DJ52" i="1"/>
  <c r="DJ53" i="1"/>
  <c r="DK53" i="1"/>
  <c r="DI171" i="1"/>
  <c r="DI40" i="1"/>
  <c r="DI39" i="1"/>
  <c r="DB24" i="1"/>
  <c r="DB26" i="1"/>
  <c r="BZ171" i="1"/>
  <c r="BZ40" i="1"/>
  <c r="BC40" i="1"/>
  <c r="BC39" i="1"/>
  <c r="BC171" i="1"/>
  <c r="BF171" i="1"/>
  <c r="BF40" i="1"/>
  <c r="BF39" i="1"/>
  <c r="BQ171" i="1"/>
  <c r="BQ39" i="1"/>
  <c r="BQ40" i="1"/>
  <c r="R156" i="1"/>
  <c r="R150" i="1"/>
  <c r="H53" i="223"/>
  <c r="AQ171" i="1"/>
  <c r="AQ40" i="1"/>
  <c r="AQ39" i="1"/>
  <c r="DK71" i="229"/>
  <c r="DN40" i="1"/>
  <c r="DN39" i="1"/>
  <c r="DN171" i="1"/>
  <c r="DU98" i="229"/>
  <c r="DU99" i="229" s="1"/>
  <c r="CG40" i="1"/>
  <c r="CG171" i="1"/>
  <c r="CG39" i="1"/>
  <c r="U51" i="225"/>
  <c r="V51" i="225"/>
  <c r="W51" i="225"/>
  <c r="C52" i="225"/>
  <c r="T51" i="225"/>
  <c r="BU39" i="1"/>
  <c r="BU171" i="1"/>
  <c r="BU40" i="1"/>
  <c r="DR40" i="1"/>
  <c r="DR39" i="1"/>
  <c r="DR171" i="1"/>
  <c r="CG42" i="1"/>
  <c r="CK42" i="1"/>
  <c r="DH150" i="1"/>
  <c r="BJ42" i="1"/>
  <c r="DR71" i="229"/>
  <c r="BU85" i="1"/>
  <c r="BU116" i="1"/>
  <c r="BX156" i="1"/>
  <c r="BX150" i="1"/>
  <c r="AF42" i="1"/>
  <c r="AJ42" i="1"/>
  <c r="DP81" i="229"/>
  <c r="V86" i="225"/>
  <c r="T86" i="225"/>
  <c r="W86" i="225"/>
  <c r="U86" i="225"/>
  <c r="DM53" i="1"/>
  <c r="DM103" i="1"/>
  <c r="DM110" i="1" s="1"/>
  <c r="DM52" i="1"/>
  <c r="DN53" i="1"/>
  <c r="DJ24" i="1"/>
  <c r="DJ26" i="1"/>
  <c r="J48" i="222" l="1"/>
  <c r="H48" i="222"/>
  <c r="F49" i="222"/>
  <c r="H49" i="222" s="1"/>
  <c r="F46" i="226"/>
  <c r="D47" i="226"/>
  <c r="F47" i="226" s="1"/>
  <c r="DY59" i="229"/>
  <c r="DY60" i="229" s="1"/>
  <c r="H41" i="226"/>
  <c r="J41" i="226" s="1"/>
  <c r="DZ41" i="229"/>
  <c r="DY62" i="229"/>
  <c r="DY66" i="229" s="1"/>
  <c r="H40" i="226"/>
  <c r="J40" i="226" s="1"/>
  <c r="DY52" i="229"/>
  <c r="DY56" i="229" s="1"/>
  <c r="DY85" i="229"/>
  <c r="DY86" i="229" s="1"/>
  <c r="DY88" i="229" s="1"/>
  <c r="DY89" i="229" s="1"/>
  <c r="CX80" i="229"/>
  <c r="CX81" i="229" s="1"/>
  <c r="DY69" i="229"/>
  <c r="DZ35" i="229" s="1"/>
  <c r="DY49" i="229"/>
  <c r="DY50" i="229" s="1"/>
  <c r="CY82" i="229"/>
  <c r="DZ85" i="229"/>
  <c r="EA86" i="229"/>
  <c r="EB86" i="229" s="1"/>
  <c r="EC86" i="229" s="1"/>
  <c r="ED86" i="229" s="1"/>
  <c r="DZ53" i="229"/>
  <c r="G31" i="223"/>
  <c r="H25" i="223"/>
  <c r="H31" i="223" s="1"/>
  <c r="CY79" i="229"/>
  <c r="CX83" i="229"/>
  <c r="CX84" i="229" s="1"/>
  <c r="EA49" i="1"/>
  <c r="EB49" i="1" s="1"/>
  <c r="CX35" i="1"/>
  <c r="CX169" i="1" s="1"/>
  <c r="CY35" i="1"/>
  <c r="CY169" i="1" s="1"/>
  <c r="CV144" i="1"/>
  <c r="F31" i="222"/>
  <c r="DY34" i="1"/>
  <c r="DZ34" i="1" s="1"/>
  <c r="EA34" i="1" s="1"/>
  <c r="EB34" i="1" s="1"/>
  <c r="EC34" i="1" s="1"/>
  <c r="ED34" i="1" s="1"/>
  <c r="CX70" i="229"/>
  <c r="CX71" i="229" s="1"/>
  <c r="CX116" i="229"/>
  <c r="CX107" i="229" s="1"/>
  <c r="CX108" i="229" s="1"/>
  <c r="CX90" i="229"/>
  <c r="CX93" i="229"/>
  <c r="CX94" i="229"/>
  <c r="CX95" i="229" s="1"/>
  <c r="CX91" i="229"/>
  <c r="CX92" i="229" s="1"/>
  <c r="CY93" i="229"/>
  <c r="CY90" i="229"/>
  <c r="CX7" i="1"/>
  <c r="CX12" i="1"/>
  <c r="CA119" i="1"/>
  <c r="CA131" i="1" s="1"/>
  <c r="P156" i="1"/>
  <c r="P157" i="1" s="1"/>
  <c r="BZ131" i="1"/>
  <c r="BR119" i="1"/>
  <c r="BR131" i="1" s="1"/>
  <c r="BR156" i="1" s="1"/>
  <c r="DV150" i="1"/>
  <c r="BJ159" i="1"/>
  <c r="BH157" i="1"/>
  <c r="BH158" i="1"/>
  <c r="BH159" i="1" s="1"/>
  <c r="BO158" i="1"/>
  <c r="BO159" i="1" s="1"/>
  <c r="BO157" i="1"/>
  <c r="E171" i="1"/>
  <c r="E40" i="1"/>
  <c r="E39" i="1"/>
  <c r="AG150" i="1"/>
  <c r="AG156" i="1"/>
  <c r="BL158" i="1"/>
  <c r="BL159" i="1" s="1"/>
  <c r="BL157" i="1"/>
  <c r="X42" i="1"/>
  <c r="AB42" i="1"/>
  <c r="AM156" i="1"/>
  <c r="AM150" i="1"/>
  <c r="AZ158" i="1"/>
  <c r="AZ157" i="1"/>
  <c r="CI150" i="1"/>
  <c r="AR150" i="1"/>
  <c r="AR152" i="1" s="1"/>
  <c r="AR156" i="1"/>
  <c r="G158" i="1"/>
  <c r="G157" i="1"/>
  <c r="T158" i="1"/>
  <c r="T157" i="1"/>
  <c r="AL171" i="1"/>
  <c r="AL39" i="1"/>
  <c r="AL40" i="1"/>
  <c r="Z39" i="1"/>
  <c r="Z40" i="1"/>
  <c r="Z171" i="1"/>
  <c r="X40" i="1"/>
  <c r="X39" i="1"/>
  <c r="X171" i="1"/>
  <c r="AX156" i="1"/>
  <c r="AX150" i="1"/>
  <c r="AX152" i="1" s="1"/>
  <c r="BE42" i="1"/>
  <c r="BS39" i="1"/>
  <c r="BS40" i="1"/>
  <c r="BS171" i="1"/>
  <c r="DW150" i="1"/>
  <c r="AQ42" i="1"/>
  <c r="P158" i="1"/>
  <c r="AO158" i="1"/>
  <c r="AO159" i="1" s="1"/>
  <c r="AO157" i="1"/>
  <c r="AS158" i="1"/>
  <c r="AS157" i="1"/>
  <c r="W39" i="1"/>
  <c r="W40" i="1"/>
  <c r="W171" i="1"/>
  <c r="BG39" i="1"/>
  <c r="BG40" i="1"/>
  <c r="BG171" i="1"/>
  <c r="AO151" i="1"/>
  <c r="AO152" i="1" s="1"/>
  <c r="DO159" i="1"/>
  <c r="X131" i="1"/>
  <c r="DF116" i="1"/>
  <c r="DF131" i="1" s="1"/>
  <c r="AX42" i="1"/>
  <c r="BB42" i="1"/>
  <c r="AE171" i="1"/>
  <c r="AE39" i="1"/>
  <c r="AE40" i="1"/>
  <c r="AR42" i="1"/>
  <c r="AV42" i="1"/>
  <c r="K158" i="1"/>
  <c r="K157" i="1"/>
  <c r="BG156" i="1"/>
  <c r="BG150" i="1"/>
  <c r="CM150" i="1"/>
  <c r="O157" i="1"/>
  <c r="O158" i="1"/>
  <c r="Q159" i="1"/>
  <c r="U159" i="1"/>
  <c r="AI42" i="1"/>
  <c r="AE156" i="1"/>
  <c r="AE150" i="1"/>
  <c r="CL42" i="1"/>
  <c r="AP156" i="1"/>
  <c r="AP150" i="1"/>
  <c r="CJ42" i="1"/>
  <c r="CN42" i="1"/>
  <c r="N158" i="1"/>
  <c r="N157" i="1"/>
  <c r="DA116" i="1"/>
  <c r="DA131" i="1" s="1"/>
  <c r="BA40" i="1"/>
  <c r="BA39" i="1"/>
  <c r="BA171" i="1"/>
  <c r="M159" i="1"/>
  <c r="BF151" i="1"/>
  <c r="BF152" i="1" s="1"/>
  <c r="J157" i="1"/>
  <c r="J158" i="1"/>
  <c r="DB156" i="1"/>
  <c r="DB150" i="1"/>
  <c r="P42" i="1"/>
  <c r="T42" i="1"/>
  <c r="CM158" i="1"/>
  <c r="CQ159" i="1" s="1"/>
  <c r="CM157" i="1"/>
  <c r="CI158" i="1"/>
  <c r="CI159" i="1" s="1"/>
  <c r="CI157" i="1"/>
  <c r="W42" i="1"/>
  <c r="AA42" i="1"/>
  <c r="F156" i="1"/>
  <c r="F150" i="1"/>
  <c r="Z156" i="1"/>
  <c r="Z150" i="1"/>
  <c r="AX39" i="1"/>
  <c r="AX171" i="1"/>
  <c r="AX40" i="1"/>
  <c r="W156" i="1"/>
  <c r="W150" i="1"/>
  <c r="F40" i="1"/>
  <c r="F39" i="1"/>
  <c r="F171" i="1"/>
  <c r="BE158" i="1"/>
  <c r="BE157" i="1"/>
  <c r="BY158" i="1"/>
  <c r="BY157" i="1"/>
  <c r="BC158" i="1"/>
  <c r="BC159" i="1" s="1"/>
  <c r="BC157" i="1"/>
  <c r="CT171" i="1"/>
  <c r="CT40" i="1"/>
  <c r="CT39" i="1"/>
  <c r="AP40" i="1"/>
  <c r="AP39" i="1"/>
  <c r="AP171" i="1"/>
  <c r="BP158" i="1"/>
  <c r="BP157" i="1"/>
  <c r="AJ158" i="1"/>
  <c r="AJ157" i="1"/>
  <c r="DC156" i="1"/>
  <c r="DC150" i="1"/>
  <c r="Y158" i="1"/>
  <c r="Y157" i="1"/>
  <c r="D150" i="1"/>
  <c r="D152" i="1" s="1"/>
  <c r="D156" i="1"/>
  <c r="BA156" i="1"/>
  <c r="BA150" i="1"/>
  <c r="AK42" i="1"/>
  <c r="AG42" i="1"/>
  <c r="H150" i="1"/>
  <c r="H156" i="1"/>
  <c r="P40" i="1"/>
  <c r="P171" i="1"/>
  <c r="P39" i="1"/>
  <c r="R158" i="1"/>
  <c r="R157" i="1"/>
  <c r="AF158" i="1"/>
  <c r="AF159" i="1" s="1"/>
  <c r="AF157" i="1"/>
  <c r="AN158" i="1"/>
  <c r="AN157" i="1"/>
  <c r="AL156" i="1"/>
  <c r="AL150" i="1"/>
  <c r="CJ40" i="1"/>
  <c r="CJ171" i="1"/>
  <c r="CJ39" i="1"/>
  <c r="BX158" i="1"/>
  <c r="BX157" i="1"/>
  <c r="AQ158" i="1"/>
  <c r="AQ157" i="1"/>
  <c r="DE116" i="1"/>
  <c r="DE131" i="1" s="1"/>
  <c r="DE156" i="1" s="1"/>
  <c r="DU150" i="1"/>
  <c r="AP42" i="1"/>
  <c r="AT42" i="1"/>
  <c r="BI151" i="1"/>
  <c r="BI152" i="1" s="1"/>
  <c r="AR171" i="1"/>
  <c r="AR39" i="1"/>
  <c r="AR40" i="1"/>
  <c r="BQ151" i="1"/>
  <c r="AK151" i="1"/>
  <c r="AK152" i="1" s="1"/>
  <c r="L150" i="1"/>
  <c r="L156" i="1"/>
  <c r="E156" i="1"/>
  <c r="E150" i="1"/>
  <c r="AG39" i="1"/>
  <c r="AG40" i="1"/>
  <c r="AG171" i="1"/>
  <c r="BM151" i="1"/>
  <c r="BM152" i="1" s="1"/>
  <c r="DI159" i="1"/>
  <c r="DH159" i="1"/>
  <c r="AM40" i="1"/>
  <c r="AM171" i="1"/>
  <c r="AM39" i="1"/>
  <c r="EA41" i="229"/>
  <c r="L41" i="226"/>
  <c r="I29" i="222"/>
  <c r="G29" i="222"/>
  <c r="J45" i="223"/>
  <c r="J46" i="223" s="1"/>
  <c r="K45" i="223"/>
  <c r="K46" i="223" s="1"/>
  <c r="I48" i="223"/>
  <c r="I47" i="223"/>
  <c r="DX89" i="229"/>
  <c r="DX13" i="1"/>
  <c r="DX71" i="1"/>
  <c r="DX127" i="1"/>
  <c r="DX60" i="1"/>
  <c r="DX95" i="1" s="1"/>
  <c r="BQ156" i="1"/>
  <c r="BQ150" i="1"/>
  <c r="AE151" i="1"/>
  <c r="BU119" i="1"/>
  <c r="V52" i="225"/>
  <c r="T52" i="225"/>
  <c r="W52" i="225"/>
  <c r="U52" i="225"/>
  <c r="CL39" i="1"/>
  <c r="CL40" i="1"/>
  <c r="CL171" i="1"/>
  <c r="C58" i="225"/>
  <c r="DV29" i="1"/>
  <c r="DV41" i="1"/>
  <c r="DV31" i="1"/>
  <c r="BZ156" i="1"/>
  <c r="BZ150" i="1"/>
  <c r="BU86" i="1"/>
  <c r="BU87" i="1"/>
  <c r="BU112" i="1" s="1"/>
  <c r="BV85" i="1"/>
  <c r="C61" i="225"/>
  <c r="DV158" i="1"/>
  <c r="V41" i="225"/>
  <c r="U41" i="225"/>
  <c r="W41" i="225"/>
  <c r="T41" i="225"/>
  <c r="CH40" i="1"/>
  <c r="CH39" i="1"/>
  <c r="CH171" i="1"/>
  <c r="DB41" i="1"/>
  <c r="DB31" i="1"/>
  <c r="DB29" i="1"/>
  <c r="DH71" i="229"/>
  <c r="C75" i="225"/>
  <c r="DU158" i="1"/>
  <c r="DU159" i="1" s="1"/>
  <c r="DQ78" i="229"/>
  <c r="DP78" i="229"/>
  <c r="AG151" i="1"/>
  <c r="AG152" i="1" s="1"/>
  <c r="DJ41" i="1"/>
  <c r="DJ31" i="1"/>
  <c r="DJ29" i="1"/>
  <c r="DJ116" i="1" s="1"/>
  <c r="DJ131" i="1" s="1"/>
  <c r="T55" i="225"/>
  <c r="W55" i="225"/>
  <c r="U55" i="225"/>
  <c r="V55" i="225"/>
  <c r="C57" i="225"/>
  <c r="DD156" i="1"/>
  <c r="DD150" i="1"/>
  <c r="BZ33" i="1"/>
  <c r="BZ34" i="1" s="1"/>
  <c r="CA35" i="1"/>
  <c r="BZ36" i="1"/>
  <c r="BZ169" i="1"/>
  <c r="CA156" i="1"/>
  <c r="CA150" i="1"/>
  <c r="CP42" i="1"/>
  <c r="DX105" i="229"/>
  <c r="DX116" i="229"/>
  <c r="BR150" i="1"/>
  <c r="DZ59" i="229"/>
  <c r="E11" i="227"/>
  <c r="CI40" i="1"/>
  <c r="CI171" i="1"/>
  <c r="CI39" i="1"/>
  <c r="V156" i="1"/>
  <c r="V150" i="1"/>
  <c r="I53" i="223"/>
  <c r="BZ39" i="1"/>
  <c r="Q151" i="1"/>
  <c r="Q152" i="1" s="1"/>
  <c r="CI42" i="1"/>
  <c r="CM42" i="1"/>
  <c r="DW158" i="1"/>
  <c r="C47" i="225"/>
  <c r="DW53" i="1"/>
  <c r="DW103" i="1"/>
  <c r="DW110" i="1" s="1"/>
  <c r="DW52" i="1"/>
  <c r="C39" i="225"/>
  <c r="DM41" i="1"/>
  <c r="DM31" i="1"/>
  <c r="DM29" i="1"/>
  <c r="DM116" i="1" s="1"/>
  <c r="DM131" i="1" s="1"/>
  <c r="DZ52" i="229" l="1"/>
  <c r="DZ47" i="229" s="1"/>
  <c r="DZ60" i="229"/>
  <c r="DY63" i="229"/>
  <c r="DZ66" i="229"/>
  <c r="DY116" i="229"/>
  <c r="DY117" i="229" s="1"/>
  <c r="DY91" i="229"/>
  <c r="DY92" i="229" s="1"/>
  <c r="DY94" i="229"/>
  <c r="DY95" i="229" s="1"/>
  <c r="DY70" i="229"/>
  <c r="DY71" i="229" s="1"/>
  <c r="CX104" i="229"/>
  <c r="CX105" i="229" s="1"/>
  <c r="CX72" i="229"/>
  <c r="CX37" i="1"/>
  <c r="CX144" i="1" s="1"/>
  <c r="CX146" i="1" s="1"/>
  <c r="CX113" i="229"/>
  <c r="CX114" i="229" s="1"/>
  <c r="EA66" i="229"/>
  <c r="EB66" i="229"/>
  <c r="EA57" i="229"/>
  <c r="L46" i="226"/>
  <c r="N46" i="226" s="1"/>
  <c r="CX117" i="229"/>
  <c r="CX110" i="229"/>
  <c r="CX111" i="229" s="1"/>
  <c r="EA48" i="1"/>
  <c r="DY35" i="1"/>
  <c r="DY169" i="1" s="1"/>
  <c r="CY37" i="1"/>
  <c r="CY144" i="1" s="1"/>
  <c r="CY146" i="1" s="1"/>
  <c r="L31" i="222"/>
  <c r="H31" i="222"/>
  <c r="J31" i="222"/>
  <c r="K31" i="222"/>
  <c r="CV146" i="1"/>
  <c r="DZ33" i="1"/>
  <c r="EB48" i="1"/>
  <c r="EC49" i="1"/>
  <c r="EB88" i="229"/>
  <c r="DW159" i="1"/>
  <c r="AE152" i="1"/>
  <c r="DE150" i="1"/>
  <c r="BS119" i="1"/>
  <c r="BS131" i="1" s="1"/>
  <c r="BU123" i="1"/>
  <c r="BU131" i="1" s="1"/>
  <c r="R159" i="1"/>
  <c r="AN159" i="1"/>
  <c r="K159" i="1"/>
  <c r="DS119" i="1"/>
  <c r="DS131" i="1" s="1"/>
  <c r="DX65" i="1"/>
  <c r="AP151" i="1"/>
  <c r="AP152" i="1" s="1"/>
  <c r="H158" i="1"/>
  <c r="H157" i="1"/>
  <c r="AP158" i="1"/>
  <c r="AP157" i="1"/>
  <c r="AY151" i="1"/>
  <c r="AY152" i="1" s="1"/>
  <c r="AR158" i="1"/>
  <c r="AR157" i="1"/>
  <c r="E158" i="1"/>
  <c r="I159" i="1" s="1"/>
  <c r="E157" i="1"/>
  <c r="BI159" i="1"/>
  <c r="DA150" i="1"/>
  <c r="DA152" i="1" s="1"/>
  <c r="DA156" i="1"/>
  <c r="AX158" i="1"/>
  <c r="AX157" i="1"/>
  <c r="AS151" i="1"/>
  <c r="AS152" i="1" s="1"/>
  <c r="V158" i="1"/>
  <c r="V159" i="1" s="1"/>
  <c r="V157" i="1"/>
  <c r="L158" i="1"/>
  <c r="P159" i="1" s="1"/>
  <c r="L157" i="1"/>
  <c r="AU159" i="1"/>
  <c r="X156" i="1"/>
  <c r="X150" i="1"/>
  <c r="X152" i="1" s="1"/>
  <c r="DD158" i="1"/>
  <c r="DD157" i="1"/>
  <c r="CA158" i="1"/>
  <c r="CA157" i="1"/>
  <c r="BQ152" i="1"/>
  <c r="BN151" i="1"/>
  <c r="BN152" i="1" s="1"/>
  <c r="BA158" i="1"/>
  <c r="BA159" i="1" s="1"/>
  <c r="BA157" i="1"/>
  <c r="AJ159" i="1"/>
  <c r="Z157" i="1"/>
  <c r="Z158" i="1"/>
  <c r="BG151" i="1"/>
  <c r="BG152" i="1" s="1"/>
  <c r="N159" i="1"/>
  <c r="AE158" i="1"/>
  <c r="AE157" i="1"/>
  <c r="BG158" i="1"/>
  <c r="BG157" i="1"/>
  <c r="BZ158" i="1"/>
  <c r="BZ157" i="1"/>
  <c r="F158" i="1"/>
  <c r="J159" i="1" s="1"/>
  <c r="F157" i="1"/>
  <c r="Y159" i="1"/>
  <c r="AC159" i="1"/>
  <c r="DE158" i="1"/>
  <c r="DE157" i="1"/>
  <c r="DV159" i="1"/>
  <c r="DB158" i="1"/>
  <c r="DB157" i="1"/>
  <c r="AL158" i="1"/>
  <c r="AL159" i="1" s="1"/>
  <c r="AL157" i="1"/>
  <c r="DC158" i="1"/>
  <c r="DC157" i="1"/>
  <c r="BR158" i="1"/>
  <c r="BR159" i="1" s="1"/>
  <c r="BR157" i="1"/>
  <c r="BQ158" i="1"/>
  <c r="BQ159" i="1" s="1"/>
  <c r="BQ157" i="1"/>
  <c r="BJ151" i="1"/>
  <c r="BJ152" i="1" s="1"/>
  <c r="BX159" i="1"/>
  <c r="CB159" i="1"/>
  <c r="D158" i="1"/>
  <c r="D157" i="1"/>
  <c r="CM159" i="1"/>
  <c r="T159" i="1"/>
  <c r="AZ159" i="1"/>
  <c r="BD159" i="1"/>
  <c r="AG158" i="1"/>
  <c r="AG157" i="1"/>
  <c r="W158" i="1"/>
  <c r="W157" i="1"/>
  <c r="DF156" i="1"/>
  <c r="DF150" i="1"/>
  <c r="CC159" i="1"/>
  <c r="O159" i="1"/>
  <c r="S159" i="1"/>
  <c r="AM158" i="1"/>
  <c r="AM159" i="1" s="1"/>
  <c r="AM157" i="1"/>
  <c r="AL151" i="1"/>
  <c r="AL152" i="1" s="1"/>
  <c r="E151" i="1"/>
  <c r="E152" i="1" s="1"/>
  <c r="BP159" i="1"/>
  <c r="BT159" i="1"/>
  <c r="AS159" i="1"/>
  <c r="AW159" i="1"/>
  <c r="N41" i="226"/>
  <c r="K48" i="223"/>
  <c r="K47" i="223"/>
  <c r="J48" i="223"/>
  <c r="J47" i="223"/>
  <c r="H46" i="226"/>
  <c r="DZ88" i="229"/>
  <c r="EA88" i="229"/>
  <c r="DX74" i="1"/>
  <c r="DX79" i="1" s="1"/>
  <c r="DX96" i="1"/>
  <c r="DX125" i="1"/>
  <c r="DM171" i="1"/>
  <c r="DM40" i="1"/>
  <c r="DM39" i="1"/>
  <c r="CA169" i="1"/>
  <c r="CA36" i="1"/>
  <c r="CA33" i="1"/>
  <c r="CA39" i="1"/>
  <c r="AH151" i="1"/>
  <c r="AH152" i="1" s="1"/>
  <c r="BW85" i="1"/>
  <c r="BV86" i="1"/>
  <c r="BV87" i="1" s="1"/>
  <c r="BV112" i="1" s="1"/>
  <c r="DM42" i="1"/>
  <c r="DN42" i="1"/>
  <c r="W39" i="225"/>
  <c r="T39" i="225"/>
  <c r="U39" i="225"/>
  <c r="C40" i="225"/>
  <c r="V39" i="225"/>
  <c r="AQ151" i="1"/>
  <c r="AQ152" i="1" s="1"/>
  <c r="BU108" i="1"/>
  <c r="BU90" i="1"/>
  <c r="BU92" i="1" s="1"/>
  <c r="W58" i="225"/>
  <c r="T58" i="225"/>
  <c r="V58" i="225"/>
  <c r="U58" i="225"/>
  <c r="R151" i="1"/>
  <c r="R152" i="1" s="1"/>
  <c r="T47" i="225"/>
  <c r="U47" i="225"/>
  <c r="V47" i="225"/>
  <c r="W47" i="225"/>
  <c r="W57" i="225"/>
  <c r="T57" i="225"/>
  <c r="U57" i="225"/>
  <c r="V57" i="225"/>
  <c r="T75" i="225"/>
  <c r="U75" i="225"/>
  <c r="V75" i="225"/>
  <c r="W75" i="225"/>
  <c r="DS35" i="1"/>
  <c r="DJ40" i="1"/>
  <c r="DJ39" i="1"/>
  <c r="DJ171" i="1"/>
  <c r="DX117" i="229"/>
  <c r="DX115" i="229"/>
  <c r="DY115" i="229" s="1"/>
  <c r="DZ115" i="229" s="1"/>
  <c r="EA115" i="229" s="1"/>
  <c r="EB115" i="229" s="1"/>
  <c r="EC115" i="229" s="1"/>
  <c r="ED115" i="229" s="1"/>
  <c r="DX112" i="229"/>
  <c r="DY112" i="229" s="1"/>
  <c r="DZ112" i="229" s="1"/>
  <c r="EA112" i="229" s="1"/>
  <c r="EB112" i="229" s="1"/>
  <c r="EC112" i="229" s="1"/>
  <c r="ED112" i="229" s="1"/>
  <c r="DX109" i="229"/>
  <c r="DY109" i="229" s="1"/>
  <c r="DZ109" i="229" s="1"/>
  <c r="EA109" i="229" s="1"/>
  <c r="EB109" i="229" s="1"/>
  <c r="EC109" i="229" s="1"/>
  <c r="ED109" i="229" s="1"/>
  <c r="DX106" i="229"/>
  <c r="DJ42" i="1"/>
  <c r="DK42" i="1"/>
  <c r="DB171" i="1"/>
  <c r="DB39" i="1"/>
  <c r="DB40" i="1"/>
  <c r="DV40" i="1"/>
  <c r="DV171" i="1"/>
  <c r="DV39" i="1"/>
  <c r="BV119" i="1"/>
  <c r="DJ156" i="1"/>
  <c r="DJ150" i="1"/>
  <c r="DM156" i="1"/>
  <c r="DM150" i="1"/>
  <c r="J53" i="223"/>
  <c r="K53" i="223" s="1"/>
  <c r="BS156" i="1"/>
  <c r="BS150" i="1"/>
  <c r="DB42" i="1"/>
  <c r="DC42" i="1"/>
  <c r="V61" i="225"/>
  <c r="W61" i="225"/>
  <c r="U61" i="225"/>
  <c r="T61" i="225"/>
  <c r="DV42" i="1"/>
  <c r="DW42" i="1"/>
  <c r="BV123" i="1"/>
  <c r="BW123" i="1" s="1"/>
  <c r="DR123" i="1" s="1"/>
  <c r="DZ56" i="229" l="1"/>
  <c r="EB57" i="229"/>
  <c r="EA37" i="229"/>
  <c r="EA53" i="229" s="1"/>
  <c r="L40" i="226"/>
  <c r="N40" i="226" s="1"/>
  <c r="DZ69" i="229"/>
  <c r="DZ49" i="229"/>
  <c r="DZ50" i="229" s="1"/>
  <c r="E9" i="227"/>
  <c r="E15" i="227" s="1"/>
  <c r="DZ94" i="229"/>
  <c r="DZ95" i="229" s="1"/>
  <c r="EA59" i="229"/>
  <c r="EA60" i="229" s="1"/>
  <c r="L47" i="226"/>
  <c r="N47" i="226" s="1"/>
  <c r="DZ91" i="229"/>
  <c r="DZ92" i="229" s="1"/>
  <c r="DY37" i="1"/>
  <c r="EC48" i="1"/>
  <c r="ED49" i="1"/>
  <c r="ED48" i="1" s="1"/>
  <c r="DZ35" i="1"/>
  <c r="EA33" i="1"/>
  <c r="DY144" i="1"/>
  <c r="DY146" i="1" s="1"/>
  <c r="EB89" i="229"/>
  <c r="EC88" i="229"/>
  <c r="EC89" i="229" s="1"/>
  <c r="BU156" i="1"/>
  <c r="BU150" i="1"/>
  <c r="DS156" i="1"/>
  <c r="DS150" i="1"/>
  <c r="DQ119" i="1"/>
  <c r="DQ131" i="1" s="1"/>
  <c r="DJ158" i="1"/>
  <c r="DJ157" i="1"/>
  <c r="BE159" i="1"/>
  <c r="DD159" i="1"/>
  <c r="BU158" i="1"/>
  <c r="BU157" i="1"/>
  <c r="W159" i="1"/>
  <c r="AA159" i="1"/>
  <c r="CE159" i="1"/>
  <c r="AP159" i="1"/>
  <c r="AT159" i="1"/>
  <c r="BV131" i="1"/>
  <c r="BV150" i="1" s="1"/>
  <c r="AG159" i="1"/>
  <c r="AK159" i="1"/>
  <c r="DC159" i="1"/>
  <c r="DE159" i="1"/>
  <c r="BG159" i="1"/>
  <c r="BK159" i="1"/>
  <c r="Z159" i="1"/>
  <c r="AD159" i="1"/>
  <c r="AT151" i="1"/>
  <c r="AT152" i="1" s="1"/>
  <c r="BS158" i="1"/>
  <c r="BS159" i="1" s="1"/>
  <c r="BS157" i="1"/>
  <c r="DF158" i="1"/>
  <c r="DF157" i="1"/>
  <c r="BO151" i="1"/>
  <c r="BO152" i="1" s="1"/>
  <c r="H151" i="1"/>
  <c r="DM158" i="1"/>
  <c r="DM157" i="1"/>
  <c r="AQ159" i="1"/>
  <c r="AX159" i="1"/>
  <c r="BB159" i="1"/>
  <c r="H159" i="1"/>
  <c r="BK151" i="1"/>
  <c r="BK152" i="1" s="1"/>
  <c r="AE159" i="1"/>
  <c r="AI159" i="1"/>
  <c r="Y151" i="1"/>
  <c r="Y152" i="1" s="1"/>
  <c r="AM151" i="1"/>
  <c r="AM152" i="1" s="1"/>
  <c r="F151" i="1"/>
  <c r="F152" i="1" s="1"/>
  <c r="BR151" i="1"/>
  <c r="BR152" i="1" s="1"/>
  <c r="CD159" i="1"/>
  <c r="X157" i="1"/>
  <c r="X158" i="1"/>
  <c r="L159" i="1"/>
  <c r="DA158" i="1"/>
  <c r="DB159" i="1" s="1"/>
  <c r="DA157" i="1"/>
  <c r="AR159" i="1"/>
  <c r="AV159" i="1"/>
  <c r="DZ89" i="229"/>
  <c r="EA89" i="229"/>
  <c r="EA85" i="229"/>
  <c r="J46" i="226"/>
  <c r="H47" i="226"/>
  <c r="J47" i="226" s="1"/>
  <c r="DY113" i="229"/>
  <c r="DY114" i="229" s="1"/>
  <c r="DY107" i="229"/>
  <c r="DY108" i="229" s="1"/>
  <c r="DY110" i="229"/>
  <c r="DY111" i="229" s="1"/>
  <c r="BV90" i="1"/>
  <c r="BV92" i="1" s="1"/>
  <c r="BV108" i="1"/>
  <c r="BV156" i="1"/>
  <c r="DQ156" i="1"/>
  <c r="DQ150" i="1"/>
  <c r="CA34" i="1"/>
  <c r="CB34" i="1"/>
  <c r="BW119" i="1"/>
  <c r="T40" i="225"/>
  <c r="V40" i="225"/>
  <c r="W40" i="225"/>
  <c r="U40" i="225"/>
  <c r="DR85" i="1"/>
  <c r="BW86" i="1"/>
  <c r="DR86" i="1" s="1"/>
  <c r="BW87" i="1"/>
  <c r="BW112" i="1" s="1"/>
  <c r="S151" i="1"/>
  <c r="S152" i="1" s="1"/>
  <c r="DS36" i="1"/>
  <c r="DS169" i="1"/>
  <c r="DS39" i="1"/>
  <c r="AI151" i="1"/>
  <c r="AI152" i="1" s="1"/>
  <c r="DY106" i="229"/>
  <c r="DX32" i="229"/>
  <c r="DX72" i="229" s="1"/>
  <c r="EC57" i="229" l="1"/>
  <c r="EB85" i="229"/>
  <c r="EB59" i="229"/>
  <c r="EB60" i="229" s="1"/>
  <c r="EA35" i="229"/>
  <c r="DZ116" i="229"/>
  <c r="DZ70" i="229"/>
  <c r="DZ71" i="229" s="1"/>
  <c r="DZ6" i="1"/>
  <c r="EB53" i="229"/>
  <c r="EA52" i="229"/>
  <c r="DY36" i="1"/>
  <c r="DZ36" i="1" s="1"/>
  <c r="EA36" i="1" s="1"/>
  <c r="EB36" i="1" s="1"/>
  <c r="EC36" i="1" s="1"/>
  <c r="ED36" i="1" s="1"/>
  <c r="H30" i="226"/>
  <c r="J30" i="226" s="1"/>
  <c r="G13" i="223"/>
  <c r="EA35" i="1"/>
  <c r="EB33" i="1"/>
  <c r="EB35" i="1" s="1"/>
  <c r="DZ169" i="1"/>
  <c r="EC59" i="229"/>
  <c r="ED88" i="229"/>
  <c r="ED89" i="229" s="1"/>
  <c r="BS151" i="1"/>
  <c r="BS152" i="1" s="1"/>
  <c r="DS157" i="1"/>
  <c r="C103" i="225"/>
  <c r="DS158" i="1"/>
  <c r="DT159" i="1" s="1"/>
  <c r="DJ159" i="1"/>
  <c r="DK159" i="1"/>
  <c r="DM159" i="1"/>
  <c r="DN159" i="1"/>
  <c r="G151" i="1"/>
  <c r="G152" i="1" s="1"/>
  <c r="BV158" i="1"/>
  <c r="BV157" i="1"/>
  <c r="Z151" i="1"/>
  <c r="Z152" i="1" s="1"/>
  <c r="DF159" i="1"/>
  <c r="DG159" i="1"/>
  <c r="DQ158" i="1"/>
  <c r="DQ159" i="1" s="1"/>
  <c r="DQ157" i="1"/>
  <c r="X159" i="1"/>
  <c r="AB159" i="1"/>
  <c r="DB152" i="1"/>
  <c r="H152" i="1"/>
  <c r="AU151" i="1"/>
  <c r="AU152" i="1" s="1"/>
  <c r="BU159" i="1"/>
  <c r="BY159" i="1"/>
  <c r="DX54" i="229"/>
  <c r="DX55" i="229" s="1"/>
  <c r="DX64" i="229"/>
  <c r="DX65" i="229" s="1"/>
  <c r="EA94" i="229"/>
  <c r="EA95" i="229" s="1"/>
  <c r="EA91" i="229"/>
  <c r="EA92" i="229" s="1"/>
  <c r="DR87" i="1"/>
  <c r="DR112" i="1" s="1"/>
  <c r="DY32" i="229"/>
  <c r="DZ106" i="229"/>
  <c r="DY104" i="229"/>
  <c r="DY105" i="229" s="1"/>
  <c r="BW108" i="1"/>
  <c r="BW90" i="1"/>
  <c r="BW92" i="1" s="1"/>
  <c r="DS34" i="1"/>
  <c r="DT34" i="1"/>
  <c r="BW131" i="1"/>
  <c r="DR119" i="1"/>
  <c r="DR131" i="1" s="1"/>
  <c r="EC85" i="229" l="1"/>
  <c r="EB94" i="229"/>
  <c r="EB95" i="229" s="1"/>
  <c r="ED57" i="229"/>
  <c r="EB91" i="229"/>
  <c r="EB92" i="229" s="1"/>
  <c r="EC60" i="229"/>
  <c r="EC53" i="229"/>
  <c r="EB52" i="229"/>
  <c r="EB56" i="229" s="1"/>
  <c r="L8" i="226"/>
  <c r="N8" i="226" s="1"/>
  <c r="F9" i="230"/>
  <c r="DZ101" i="1"/>
  <c r="EA56" i="229"/>
  <c r="EA47" i="229"/>
  <c r="DZ107" i="229"/>
  <c r="DZ108" i="229" s="1"/>
  <c r="DZ113" i="229"/>
  <c r="DZ114" i="229" s="1"/>
  <c r="DZ117" i="229"/>
  <c r="DZ110" i="229"/>
  <c r="DZ111" i="229" s="1"/>
  <c r="P39" i="230"/>
  <c r="DZ37" i="1"/>
  <c r="L30" i="226" s="1"/>
  <c r="N30" i="226" s="1"/>
  <c r="M21" i="227"/>
  <c r="G14" i="223"/>
  <c r="EC33" i="1"/>
  <c r="EC35" i="1" s="1"/>
  <c r="EA169" i="1"/>
  <c r="EA37" i="1"/>
  <c r="EA144" i="1" s="1"/>
  <c r="EA146" i="1" s="1"/>
  <c r="EB37" i="1"/>
  <c r="EB144" i="1" s="1"/>
  <c r="EB146" i="1" s="1"/>
  <c r="EB169" i="1"/>
  <c r="DY72" i="229"/>
  <c r="DY64" i="229"/>
  <c r="DY65" i="229" s="1"/>
  <c r="DY42" i="229" s="1"/>
  <c r="DY54" i="229"/>
  <c r="DY55" i="229" s="1"/>
  <c r="DY38" i="229" s="1"/>
  <c r="U103" i="225"/>
  <c r="V103" i="225"/>
  <c r="T103" i="225"/>
  <c r="W103" i="225"/>
  <c r="AA151" i="1"/>
  <c r="AA152" i="1" s="1"/>
  <c r="I151" i="1"/>
  <c r="I152" i="1" s="1"/>
  <c r="L151" i="1"/>
  <c r="BV159" i="1"/>
  <c r="BZ159" i="1"/>
  <c r="BW156" i="1"/>
  <c r="BW148" i="1"/>
  <c r="DR148" i="1" s="1"/>
  <c r="BW150" i="1"/>
  <c r="EA106" i="229"/>
  <c r="EB106" i="229" s="1"/>
  <c r="DZ32" i="229"/>
  <c r="DZ104" i="229"/>
  <c r="DZ105" i="229" s="1"/>
  <c r="DR156" i="1"/>
  <c r="DR150" i="1"/>
  <c r="DR90" i="1"/>
  <c r="DR92" i="1" s="1"/>
  <c r="DR108" i="1"/>
  <c r="EC94" i="229" l="1"/>
  <c r="EC95" i="229" s="1"/>
  <c r="ED59" i="229"/>
  <c r="ED60" i="229" s="1"/>
  <c r="EC91" i="229"/>
  <c r="EC92" i="229" s="1"/>
  <c r="ED85" i="229"/>
  <c r="ED91" i="229" s="1"/>
  <c r="DZ72" i="229"/>
  <c r="EB47" i="229"/>
  <c r="EA49" i="229"/>
  <c r="EA50" i="229" s="1"/>
  <c r="EA69" i="229"/>
  <c r="ED53" i="229"/>
  <c r="EC52" i="229"/>
  <c r="DZ144" i="1"/>
  <c r="DZ146" i="1" s="1"/>
  <c r="EC106" i="229"/>
  <c r="EB32" i="229"/>
  <c r="EC169" i="1"/>
  <c r="EC37" i="1"/>
  <c r="EC144" i="1" s="1"/>
  <c r="EC146" i="1" s="1"/>
  <c r="ED33" i="1"/>
  <c r="ED35" i="1" s="1"/>
  <c r="DR158" i="1"/>
  <c r="DR157" i="1"/>
  <c r="BW158" i="1"/>
  <c r="BW157" i="1"/>
  <c r="DC152" i="1"/>
  <c r="L152" i="1"/>
  <c r="J151" i="1"/>
  <c r="J152" i="1" s="1"/>
  <c r="DZ64" i="229"/>
  <c r="DZ65" i="229" s="1"/>
  <c r="DZ42" i="229" s="1"/>
  <c r="DZ54" i="229"/>
  <c r="DZ55" i="229" s="1"/>
  <c r="DZ38" i="229" s="1"/>
  <c r="EA32" i="229"/>
  <c r="ED52" i="229" l="1"/>
  <c r="ED56" i="229" s="1"/>
  <c r="ED92" i="229"/>
  <c r="ED94" i="229"/>
  <c r="ED95" i="229" s="1"/>
  <c r="EA70" i="229"/>
  <c r="EA71" i="229" s="1"/>
  <c r="EA6" i="1"/>
  <c r="EA116" i="229"/>
  <c r="EC56" i="229"/>
  <c r="EC47" i="229"/>
  <c r="EB49" i="229"/>
  <c r="EB50" i="229" s="1"/>
  <c r="EB69" i="229"/>
  <c r="ED106" i="229"/>
  <c r="ED32" i="229" s="1"/>
  <c r="EC32" i="229"/>
  <c r="EB64" i="229"/>
  <c r="EB65" i="229" s="1"/>
  <c r="EB54" i="229"/>
  <c r="EB55" i="229" s="1"/>
  <c r="ED169" i="1"/>
  <c r="ED37" i="1"/>
  <c r="ED144" i="1" s="1"/>
  <c r="ED146" i="1" s="1"/>
  <c r="DD152" i="1"/>
  <c r="K151" i="1"/>
  <c r="K152" i="1" s="1"/>
  <c r="BW159" i="1"/>
  <c r="CA159" i="1"/>
  <c r="M151" i="1"/>
  <c r="M152" i="1" s="1"/>
  <c r="DR159" i="1"/>
  <c r="DS159" i="1"/>
  <c r="EA64" i="229"/>
  <c r="EA65" i="229" s="1"/>
  <c r="EA42" i="229" s="1"/>
  <c r="EA54" i="229"/>
  <c r="EA55" i="229" s="1"/>
  <c r="EA38" i="229" s="1"/>
  <c r="EC69" i="229" l="1"/>
  <c r="EC49" i="229"/>
  <c r="ED47" i="229"/>
  <c r="EA72" i="229"/>
  <c r="EA117" i="229"/>
  <c r="EA113" i="229"/>
  <c r="EA114" i="229" s="1"/>
  <c r="EA107" i="229"/>
  <c r="EA108" i="229" s="1"/>
  <c r="EA110" i="229"/>
  <c r="EA111" i="229" s="1"/>
  <c r="EA104" i="229"/>
  <c r="EA105" i="229" s="1"/>
  <c r="EA7" i="1"/>
  <c r="G9" i="230"/>
  <c r="G10" i="230" s="1"/>
  <c r="EA101" i="1"/>
  <c r="EB6" i="1"/>
  <c r="EB70" i="229"/>
  <c r="EB116" i="229"/>
  <c r="EC64" i="229"/>
  <c r="EC65" i="229" s="1"/>
  <c r="EC54" i="229"/>
  <c r="EC55" i="229" s="1"/>
  <c r="ED54" i="229"/>
  <c r="ED55" i="229" s="1"/>
  <c r="ED64" i="229"/>
  <c r="ED65" i="229" s="1"/>
  <c r="T151" i="1"/>
  <c r="N151" i="1"/>
  <c r="N152" i="1" s="1"/>
  <c r="EB110" i="229" l="1"/>
  <c r="EB111" i="229" s="1"/>
  <c r="EB107" i="229"/>
  <c r="EB108" i="229" s="1"/>
  <c r="EB113" i="229"/>
  <c r="EB114" i="229" s="1"/>
  <c r="EB117" i="229"/>
  <c r="EB104" i="229"/>
  <c r="EB105" i="229" s="1"/>
  <c r="EB71" i="229"/>
  <c r="EB72" i="229"/>
  <c r="H9" i="230"/>
  <c r="H10" i="230" s="1"/>
  <c r="EB7" i="1"/>
  <c r="EB101" i="1"/>
  <c r="ED49" i="229"/>
  <c r="ED50" i="229" s="1"/>
  <c r="ED69" i="229"/>
  <c r="EC50" i="229"/>
  <c r="EC70" i="229"/>
  <c r="EC116" i="229"/>
  <c r="EC6" i="1"/>
  <c r="T152" i="1"/>
  <c r="DE152" i="1"/>
  <c r="U151" i="1"/>
  <c r="U152" i="1" s="1"/>
  <c r="DF152" i="1"/>
  <c r="O151" i="1"/>
  <c r="O152" i="1" s="1"/>
  <c r="EC71" i="229" l="1"/>
  <c r="EC72" i="229"/>
  <c r="ED6" i="1"/>
  <c r="ED116" i="229"/>
  <c r="ED70" i="229"/>
  <c r="EC110" i="229"/>
  <c r="EC111" i="229" s="1"/>
  <c r="EC113" i="229"/>
  <c r="EC114" i="229" s="1"/>
  <c r="EC107" i="229"/>
  <c r="EC108" i="229" s="1"/>
  <c r="EC117" i="229"/>
  <c r="EC104" i="229"/>
  <c r="EC105" i="229" s="1"/>
  <c r="I9" i="230"/>
  <c r="I10" i="230" s="1"/>
  <c r="EC101" i="1"/>
  <c r="EC7" i="1"/>
  <c r="DG152" i="1"/>
  <c r="V151" i="1"/>
  <c r="V152" i="1" s="1"/>
  <c r="J9" i="230" l="1"/>
  <c r="ED101" i="1"/>
  <c r="ED7" i="1"/>
  <c r="ED71" i="229"/>
  <c r="ED72" i="229"/>
  <c r="ED117" i="229"/>
  <c r="ED107" i="229"/>
  <c r="ED108" i="229" s="1"/>
  <c r="ED110" i="229"/>
  <c r="ED111" i="229" s="1"/>
  <c r="ED113" i="229"/>
  <c r="ED114" i="229" s="1"/>
  <c r="ED104" i="229"/>
  <c r="ED105" i="229" s="1"/>
  <c r="W151" i="1"/>
  <c r="W152" i="1" s="1"/>
  <c r="DH152" i="1"/>
  <c r="J10" i="230" l="1"/>
  <c r="K10" i="230" s="1"/>
  <c r="L10" i="230" s="1"/>
  <c r="M10" i="230" s="1"/>
  <c r="N10" i="230" s="1"/>
  <c r="O10" i="230" s="1"/>
  <c r="P10" i="230" s="1"/>
  <c r="DI152" i="1"/>
  <c r="K9" i="230" l="1"/>
  <c r="L9" i="230" s="1"/>
  <c r="M9" i="230" s="1"/>
  <c r="N9" i="230" s="1"/>
  <c r="O9" i="230" s="1"/>
  <c r="P9" i="230" s="1"/>
  <c r="DJ152" i="1"/>
  <c r="DK152" i="1" l="1"/>
  <c r="DL152" i="1" l="1"/>
  <c r="AZ151" i="1" l="1"/>
  <c r="AZ152" i="1" l="1"/>
  <c r="DM152" i="1"/>
  <c r="DN152" i="1"/>
  <c r="BA151" i="1" l="1"/>
  <c r="BA152" i="1" s="1"/>
  <c r="BB151" i="1" s="1"/>
  <c r="BB152" i="1" s="1"/>
  <c r="DO152" i="1"/>
  <c r="DP152" i="1" l="1"/>
  <c r="BC151" i="1"/>
  <c r="BC152" i="1" s="1"/>
  <c r="DQ152" i="1" l="1"/>
  <c r="BT151" i="1" l="1"/>
  <c r="BT152" i="1" l="1"/>
  <c r="DR152" i="1"/>
  <c r="BU151" i="1" l="1"/>
  <c r="BU152" i="1" s="1"/>
  <c r="BV151" i="1" l="1"/>
  <c r="BV152" i="1" s="1"/>
  <c r="BW151" i="1" s="1"/>
  <c r="BW152" i="1" s="1"/>
  <c r="BX151" i="1" l="1"/>
  <c r="BX152" i="1" l="1"/>
  <c r="DS152" i="1"/>
  <c r="BY151" i="1" l="1"/>
  <c r="BY152" i="1" s="1"/>
  <c r="CB151" i="1"/>
  <c r="BZ151" i="1" l="1"/>
  <c r="BZ152" i="1" s="1"/>
  <c r="CA151" i="1" s="1"/>
  <c r="CA152" i="1" s="1"/>
  <c r="CB152" i="1"/>
  <c r="DT152" i="1"/>
  <c r="CF151" i="1" l="1"/>
  <c r="CC151" i="1"/>
  <c r="CC152" i="1" s="1"/>
  <c r="CF152" i="1" l="1"/>
  <c r="DU152" i="1"/>
  <c r="CD151" i="1"/>
  <c r="CD152" i="1" s="1"/>
  <c r="CE151" i="1" l="1"/>
  <c r="CE152" i="1" s="1"/>
  <c r="CJ151" i="1"/>
  <c r="CG151" i="1"/>
  <c r="CG152" i="1" s="1"/>
  <c r="CH151" i="1" l="1"/>
  <c r="CH152" i="1" s="1"/>
  <c r="CJ152" i="1"/>
  <c r="DV152" i="1"/>
  <c r="CK151" i="1" l="1"/>
  <c r="CK152" i="1" s="1"/>
  <c r="CN151" i="1"/>
  <c r="CI151" i="1"/>
  <c r="CI152" i="1" s="1"/>
  <c r="CN152" i="1" l="1"/>
  <c r="DW152" i="1"/>
  <c r="CL151" i="1"/>
  <c r="CL152" i="1" s="1"/>
  <c r="CO151" i="1" l="1"/>
  <c r="CO152" i="1" s="1"/>
  <c r="CM151" i="1"/>
  <c r="CM152" i="1" s="1"/>
  <c r="CR151" i="1"/>
  <c r="CR152" i="1" l="1"/>
  <c r="CP151" i="1"/>
  <c r="CP152" i="1" s="1"/>
  <c r="CS151" i="1" l="1"/>
  <c r="CS152" i="1" s="1"/>
  <c r="CQ151" i="1"/>
  <c r="CQ152" i="1" s="1"/>
  <c r="CT151" i="1" l="1"/>
  <c r="CT152" i="1" s="1"/>
  <c r="CU148" i="1" l="1"/>
  <c r="DX148" i="1" s="1"/>
  <c r="CU151" i="1"/>
  <c r="DX8" i="1" l="1"/>
  <c r="DX102" i="1" s="1"/>
  <c r="DX23" i="1"/>
  <c r="DX25" i="1"/>
  <c r="DX59" i="1"/>
  <c r="F16" i="223" s="1"/>
  <c r="I33" i="223" s="1"/>
  <c r="DX61" i="1"/>
  <c r="DX63" i="1"/>
  <c r="DX68" i="1" s="1"/>
  <c r="DX85" i="1"/>
  <c r="DX87" i="1" s="1"/>
  <c r="DX90" i="1" s="1"/>
  <c r="DX109" i="1"/>
  <c r="DX116" i="1"/>
  <c r="DX126" i="1"/>
  <c r="DX129" i="1" s="1"/>
  <c r="CU100" i="229"/>
  <c r="CU98" i="229" s="1"/>
  <c r="CU99" i="229" s="1"/>
  <c r="CV99" i="229" s="1"/>
  <c r="E20" i="223"/>
  <c r="H33" i="223" l="1"/>
  <c r="DX9" i="1"/>
  <c r="DX108" i="1"/>
  <c r="DX92" i="1"/>
  <c r="DX97" i="1"/>
  <c r="G33" i="223"/>
  <c r="F33" i="223"/>
  <c r="D33" i="223"/>
  <c r="E33" i="223"/>
  <c r="F20" i="223"/>
  <c r="DX98" i="229"/>
  <c r="DX100" i="229" s="1"/>
  <c r="DX101" i="229" s="1"/>
  <c r="CW99" i="229"/>
  <c r="DX98" i="1"/>
  <c r="CU101" i="229"/>
  <c r="N18" i="223" l="1"/>
  <c r="DX15" i="1"/>
  <c r="DX10" i="1"/>
  <c r="DX99" i="229"/>
  <c r="CX99" i="229"/>
  <c r="DX16" i="1" l="1"/>
  <c r="C23" i="225"/>
  <c r="DX21" i="1"/>
  <c r="CY99" i="229"/>
  <c r="CY98" i="229" s="1"/>
  <c r="CY100" i="229" s="1"/>
  <c r="CX98" i="229"/>
  <c r="CX100" i="229" s="1"/>
  <c r="DX26" i="1" l="1"/>
  <c r="DX24" i="1"/>
  <c r="T23" i="225"/>
  <c r="T9" i="225" s="1"/>
  <c r="U23" i="225"/>
  <c r="U9" i="225" s="1"/>
  <c r="C24" i="225"/>
  <c r="V23" i="225"/>
  <c r="V9" i="225" s="1"/>
  <c r="W23" i="225"/>
  <c r="W9" i="225" s="1"/>
  <c r="CY15" i="1"/>
  <c r="CY101" i="229"/>
  <c r="CX15" i="1"/>
  <c r="CX101" i="229"/>
  <c r="T24" i="225" l="1"/>
  <c r="T10" i="225" s="1"/>
  <c r="U24" i="225"/>
  <c r="U10" i="225" s="1"/>
  <c r="W24" i="225"/>
  <c r="W10" i="225" s="1"/>
  <c r="V24" i="225"/>
  <c r="V10" i="225" s="1"/>
  <c r="C29" i="225"/>
  <c r="DX104" i="1"/>
  <c r="DX112" i="1" s="1"/>
  <c r="C30" i="225"/>
  <c r="DX29" i="1"/>
  <c r="DX31" i="1"/>
  <c r="CY21" i="1"/>
  <c r="CY16" i="1"/>
  <c r="CY8" i="1"/>
  <c r="CY9" i="1" s="1"/>
  <c r="CX16" i="1"/>
  <c r="CX21" i="1"/>
  <c r="CX8" i="1"/>
  <c r="CY10" i="1" l="1"/>
  <c r="C40" i="223"/>
  <c r="DX42" i="1"/>
  <c r="DX40" i="1"/>
  <c r="DX171" i="1"/>
  <c r="DX39" i="1"/>
  <c r="T29" i="225"/>
  <c r="T15" i="225" s="1"/>
  <c r="V29" i="225"/>
  <c r="V15" i="225" s="1"/>
  <c r="W29" i="225"/>
  <c r="W15" i="225" s="1"/>
  <c r="U29" i="225"/>
  <c r="U15" i="225" s="1"/>
  <c r="U30" i="225"/>
  <c r="U16" i="225" s="1"/>
  <c r="W30" i="225"/>
  <c r="W16" i="225" s="1"/>
  <c r="T30" i="225"/>
  <c r="T16" i="225" s="1"/>
  <c r="V30" i="225"/>
  <c r="V16" i="225" s="1"/>
  <c r="CX23" i="1"/>
  <c r="CY23" i="1"/>
  <c r="CX9" i="1"/>
  <c r="CX10" i="1" l="1"/>
  <c r="M14" i="223"/>
  <c r="L40" i="223"/>
  <c r="D40" i="223"/>
  <c r="F40" i="223"/>
  <c r="E40" i="223"/>
  <c r="K40" i="223"/>
  <c r="G40" i="223"/>
  <c r="H40" i="223"/>
  <c r="I40" i="223"/>
  <c r="J40" i="223"/>
  <c r="DX133" i="1" l="1"/>
  <c r="CU136" i="1"/>
  <c r="DX136" i="1"/>
  <c r="CU150" i="1"/>
  <c r="CU152" i="1" s="1"/>
  <c r="CU156" i="1"/>
  <c r="CU157" i="1"/>
  <c r="CU158" i="1"/>
  <c r="CU159" i="1" s="1"/>
  <c r="CU162" i="1"/>
  <c r="CV151" i="1" l="1"/>
  <c r="C32" i="225"/>
  <c r="DX162" i="1"/>
  <c r="V32" i="225" l="1"/>
  <c r="V18" i="225" s="1"/>
  <c r="W32" i="225"/>
  <c r="W18" i="225" s="1"/>
  <c r="T32" i="225"/>
  <c r="T18" i="225" s="1"/>
  <c r="U32" i="225"/>
  <c r="U18" i="225" s="1"/>
  <c r="CV50" i="229" l="1"/>
  <c r="CW49" i="229"/>
  <c r="CW50" i="229" s="1"/>
  <c r="CV54" i="229"/>
  <c r="CV55" i="229" s="1"/>
  <c r="CW54" i="229"/>
  <c r="CW55" i="229" s="1"/>
  <c r="CV56" i="229"/>
  <c r="CW56" i="229"/>
  <c r="CV69" i="229" l="1"/>
  <c r="CV74" i="229"/>
  <c r="F42" i="222"/>
  <c r="CW51" i="229"/>
  <c r="CW48" i="229"/>
  <c r="CX51" i="229"/>
  <c r="CW69" i="229"/>
  <c r="CW74" i="229"/>
  <c r="CX48" i="229"/>
  <c r="CV51" i="229"/>
  <c r="D44" i="226" l="1"/>
  <c r="D45" i="226" s="1"/>
  <c r="F45" i="226" s="1"/>
  <c r="DY74" i="229"/>
  <c r="DY80" i="229" s="1"/>
  <c r="DY81" i="229" s="1"/>
  <c r="CW6" i="1"/>
  <c r="CW116" i="229"/>
  <c r="CW70" i="229"/>
  <c r="CV6" i="1"/>
  <c r="CV70" i="229"/>
  <c r="CV116" i="229"/>
  <c r="J42" i="222"/>
  <c r="H42" i="222"/>
  <c r="CV82" i="229"/>
  <c r="CV79" i="229"/>
  <c r="CV80" i="229"/>
  <c r="CV81" i="229" s="1"/>
  <c r="CV83" i="229"/>
  <c r="CV84" i="229" s="1"/>
  <c r="F46" i="222"/>
  <c r="CW82" i="229"/>
  <c r="CW83" i="229"/>
  <c r="CW84" i="229" s="1"/>
  <c r="CW80" i="229"/>
  <c r="CW81" i="229" s="1"/>
  <c r="CX79" i="229"/>
  <c r="CX82" i="229"/>
  <c r="CW79" i="229"/>
  <c r="D8" i="226" l="1"/>
  <c r="F8" i="226" s="1"/>
  <c r="F44" i="226"/>
  <c r="H44" i="226"/>
  <c r="H45" i="226" s="1"/>
  <c r="J45" i="226" s="1"/>
  <c r="DY83" i="229"/>
  <c r="DY84" i="229" s="1"/>
  <c r="DY75" i="229"/>
  <c r="DY6" i="1"/>
  <c r="DZ7" i="1" s="1"/>
  <c r="H46" i="222"/>
  <c r="J46" i="222"/>
  <c r="F47" i="222"/>
  <c r="H47" i="222" s="1"/>
  <c r="CV117" i="229"/>
  <c r="CV107" i="229"/>
  <c r="CV108" i="229" s="1"/>
  <c r="CV113" i="229"/>
  <c r="CV114" i="229" s="1"/>
  <c r="CV110" i="229"/>
  <c r="CV111" i="229" s="1"/>
  <c r="CV104" i="229"/>
  <c r="CV105" i="229" s="1"/>
  <c r="CV98" i="229"/>
  <c r="CV7" i="1"/>
  <c r="CV12" i="1"/>
  <c r="CW101" i="1"/>
  <c r="F9" i="222"/>
  <c r="CY101" i="1"/>
  <c r="CV101" i="1"/>
  <c r="CX101" i="1"/>
  <c r="CW117" i="229"/>
  <c r="CW107" i="229"/>
  <c r="CW108" i="229" s="1"/>
  <c r="CW110" i="229"/>
  <c r="CW111" i="229" s="1"/>
  <c r="CW113" i="229"/>
  <c r="CW114" i="229" s="1"/>
  <c r="CW104" i="229"/>
  <c r="CW105" i="229" s="1"/>
  <c r="CV71" i="229"/>
  <c r="CV72" i="229"/>
  <c r="CW71" i="229"/>
  <c r="CW72" i="229"/>
  <c r="CW98" i="229"/>
  <c r="CW100" i="229" s="1"/>
  <c r="CW12" i="1"/>
  <c r="CW7" i="1"/>
  <c r="D13" i="226" l="1"/>
  <c r="D14" i="226" s="1"/>
  <c r="F14" i="226" s="1"/>
  <c r="DY77" i="229"/>
  <c r="DY78" i="229" s="1"/>
  <c r="EA75" i="229"/>
  <c r="EB75" i="229" s="1"/>
  <c r="EC75" i="229" s="1"/>
  <c r="ED75" i="229" s="1"/>
  <c r="DY98" i="229"/>
  <c r="DY100" i="229" s="1"/>
  <c r="DY7" i="1"/>
  <c r="E10" i="230" s="1"/>
  <c r="DZ77" i="229"/>
  <c r="H8" i="226"/>
  <c r="J8" i="226" s="1"/>
  <c r="DY101" i="1"/>
  <c r="U9" i="222"/>
  <c r="V9" i="222" s="1"/>
  <c r="E9" i="230"/>
  <c r="F10" i="230" s="1"/>
  <c r="J44" i="226"/>
  <c r="F14" i="222"/>
  <c r="H14" i="222" s="1"/>
  <c r="DY12" i="1"/>
  <c r="CV100" i="229"/>
  <c r="CV101" i="229" s="1"/>
  <c r="CV71" i="1"/>
  <c r="CV60" i="1"/>
  <c r="CV133" i="1"/>
  <c r="CW60" i="1"/>
  <c r="CW71" i="1"/>
  <c r="CW133" i="1"/>
  <c r="CY133" i="1"/>
  <c r="CY60" i="1"/>
  <c r="DY60" i="1" s="1"/>
  <c r="CY71" i="1"/>
  <c r="DY71" i="1" s="1"/>
  <c r="L9" i="222"/>
  <c r="H9" i="222"/>
  <c r="J9" i="222"/>
  <c r="K9" i="222"/>
  <c r="CW101" i="229"/>
  <c r="CW15" i="1"/>
  <c r="CX133" i="1"/>
  <c r="CX60" i="1"/>
  <c r="CX71" i="1"/>
  <c r="F13" i="226" l="1"/>
  <c r="CX136" i="1"/>
  <c r="CY136" i="1"/>
  <c r="CW136" i="1"/>
  <c r="D33" i="226"/>
  <c r="F33" i="226" s="1"/>
  <c r="DZ78" i="229"/>
  <c r="DY95" i="1"/>
  <c r="DZ95" i="1" s="1"/>
  <c r="EA95" i="1" s="1"/>
  <c r="DZ74" i="229"/>
  <c r="F15" i="222"/>
  <c r="H15" i="222" s="1"/>
  <c r="W9" i="222"/>
  <c r="CV15" i="1"/>
  <c r="DY99" i="229"/>
  <c r="DZ99" i="229" s="1"/>
  <c r="DY101" i="229"/>
  <c r="CY125" i="1"/>
  <c r="DY96" i="1"/>
  <c r="DY74" i="1"/>
  <c r="DY79" i="1" s="1"/>
  <c r="DY133" i="1"/>
  <c r="DY13" i="1"/>
  <c r="DZ13" i="1" s="1"/>
  <c r="H13" i="226"/>
  <c r="CX74" i="1"/>
  <c r="CX79" i="1" s="1"/>
  <c r="CX127" i="1"/>
  <c r="CW127" i="1"/>
  <c r="CW74" i="1"/>
  <c r="CW79" i="1" s="1"/>
  <c r="CX125" i="1"/>
  <c r="CY74" i="1"/>
  <c r="CY79" i="1" s="1"/>
  <c r="CY127" i="1"/>
  <c r="CV136" i="1"/>
  <c r="F34" i="222"/>
  <c r="CW16" i="1"/>
  <c r="CW21" i="1"/>
  <c r="CW8" i="1"/>
  <c r="CW9" i="1" s="1"/>
  <c r="CV125" i="1"/>
  <c r="CW125" i="1"/>
  <c r="CV127" i="1"/>
  <c r="CV74" i="1"/>
  <c r="CV79" i="1" s="1"/>
  <c r="DZ80" i="229" l="1"/>
  <c r="DZ81" i="229" s="1"/>
  <c r="CV21" i="1"/>
  <c r="CV23" i="1" s="1"/>
  <c r="CW10" i="1"/>
  <c r="EA74" i="229"/>
  <c r="EA60" i="1"/>
  <c r="EB95" i="1"/>
  <c r="DZ60" i="1"/>
  <c r="DZ125" i="1" s="1"/>
  <c r="DZ96" i="1"/>
  <c r="EA96" i="1" s="1"/>
  <c r="DZ83" i="229"/>
  <c r="DZ84" i="229" s="1"/>
  <c r="L44" i="226"/>
  <c r="N44" i="226" s="1"/>
  <c r="EA77" i="229"/>
  <c r="EA78" i="229" s="1"/>
  <c r="CW104" i="1"/>
  <c r="CX104" i="1"/>
  <c r="CY104" i="1"/>
  <c r="CV16" i="1"/>
  <c r="CV8" i="1"/>
  <c r="EA99" i="229"/>
  <c r="EB99" i="229" s="1"/>
  <c r="DZ98" i="229"/>
  <c r="DZ100" i="229" s="1"/>
  <c r="CV104" i="1"/>
  <c r="DY125" i="1"/>
  <c r="H14" i="226"/>
  <c r="J14" i="226" s="1"/>
  <c r="J13" i="226"/>
  <c r="EA13" i="1"/>
  <c r="DZ12" i="1"/>
  <c r="DY162" i="1"/>
  <c r="DZ162" i="1" s="1"/>
  <c r="DY136" i="1"/>
  <c r="E21" i="230"/>
  <c r="E22" i="230" s="1"/>
  <c r="H33" i="226"/>
  <c r="J33" i="226" s="1"/>
  <c r="U17" i="222"/>
  <c r="DY127" i="1"/>
  <c r="CW23" i="1"/>
  <c r="L34" i="222"/>
  <c r="H34" i="222"/>
  <c r="K34" i="222"/>
  <c r="J34" i="222"/>
  <c r="EA80" i="229" l="1"/>
  <c r="EA81" i="229" s="1"/>
  <c r="L13" i="226"/>
  <c r="N13" i="226" s="1"/>
  <c r="EA83" i="229"/>
  <c r="EA84" i="229" s="1"/>
  <c r="DY8" i="1"/>
  <c r="DY102" i="1" s="1"/>
  <c r="D9" i="226"/>
  <c r="CV25" i="1"/>
  <c r="D25" i="226" s="1"/>
  <c r="D23" i="226"/>
  <c r="DZ71" i="1"/>
  <c r="DZ127" i="1" s="1"/>
  <c r="EA162" i="1"/>
  <c r="DZ133" i="1"/>
  <c r="EA12" i="1"/>
  <c r="EB13" i="1"/>
  <c r="EC99" i="229"/>
  <c r="EB98" i="229"/>
  <c r="EA71" i="1"/>
  <c r="EB96" i="1"/>
  <c r="EC95" i="1"/>
  <c r="EB60" i="1"/>
  <c r="EB125" i="1" s="1"/>
  <c r="EB77" i="229"/>
  <c r="EB78" i="229" s="1"/>
  <c r="EB74" i="229"/>
  <c r="EA125" i="1"/>
  <c r="EA98" i="229"/>
  <c r="EA100" i="229" s="1"/>
  <c r="EA15" i="1" s="1"/>
  <c r="L45" i="226"/>
  <c r="N45" i="226" s="1"/>
  <c r="CY102" i="1"/>
  <c r="CY61" i="1" s="1"/>
  <c r="DY61" i="1" s="1"/>
  <c r="CV9" i="1"/>
  <c r="CV102" i="1"/>
  <c r="CV61" i="1" s="1"/>
  <c r="CV126" i="1" s="1"/>
  <c r="CX102" i="1"/>
  <c r="CX61" i="1" s="1"/>
  <c r="CW102" i="1"/>
  <c r="CW61" i="1" s="1"/>
  <c r="F10" i="222"/>
  <c r="K10" i="222" s="1"/>
  <c r="DZ101" i="229"/>
  <c r="DZ15" i="1"/>
  <c r="V17" i="222"/>
  <c r="W17" i="222"/>
  <c r="F24" i="222"/>
  <c r="H24" i="222" s="1"/>
  <c r="DY23" i="1"/>
  <c r="L14" i="226" l="1"/>
  <c r="N14" i="226" s="1"/>
  <c r="CV10" i="1"/>
  <c r="DY97" i="1"/>
  <c r="DZ97" i="1" s="1"/>
  <c r="EA97" i="1" s="1"/>
  <c r="EB97" i="1" s="1"/>
  <c r="EC97" i="1" s="1"/>
  <c r="ED97" i="1" s="1"/>
  <c r="DY9" i="1"/>
  <c r="DY10" i="1" s="1"/>
  <c r="EA127" i="1"/>
  <c r="H9" i="226"/>
  <c r="J9" i="226" s="1"/>
  <c r="CW25" i="1"/>
  <c r="CX25" i="1" s="1"/>
  <c r="CY25" i="1" s="1"/>
  <c r="G25" i="226"/>
  <c r="F25" i="226"/>
  <c r="F9" i="226"/>
  <c r="D10" i="226"/>
  <c r="F23" i="226"/>
  <c r="DZ74" i="1"/>
  <c r="DZ79" i="1" s="1"/>
  <c r="L33" i="226"/>
  <c r="N33" i="226" s="1"/>
  <c r="DZ136" i="1"/>
  <c r="F21" i="230"/>
  <c r="F22" i="230" s="1"/>
  <c r="EB162" i="1"/>
  <c r="EA133" i="1"/>
  <c r="EA101" i="229"/>
  <c r="EA74" i="1"/>
  <c r="EA79" i="1" s="1"/>
  <c r="EB80" i="229"/>
  <c r="EB81" i="229" s="1"/>
  <c r="EB83" i="229"/>
  <c r="EB84" i="229" s="1"/>
  <c r="EC77" i="229"/>
  <c r="EC78" i="229" s="1"/>
  <c r="EC74" i="229"/>
  <c r="EB100" i="229"/>
  <c r="EC96" i="1"/>
  <c r="EB71" i="1"/>
  <c r="ED99" i="229"/>
  <c r="ED98" i="229" s="1"/>
  <c r="EC98" i="229"/>
  <c r="EC13" i="1"/>
  <c r="EB12" i="1"/>
  <c r="ED95" i="1"/>
  <c r="ED60" i="1" s="1"/>
  <c r="EC60" i="1"/>
  <c r="EC125" i="1" s="1"/>
  <c r="J10" i="222"/>
  <c r="CX126" i="1"/>
  <c r="CX129" i="1" s="1"/>
  <c r="CY126" i="1"/>
  <c r="CY129" i="1" s="1"/>
  <c r="CW126" i="1"/>
  <c r="CW129" i="1" s="1"/>
  <c r="L10" i="222"/>
  <c r="H10" i="222"/>
  <c r="F11" i="222"/>
  <c r="K11" i="222" s="1"/>
  <c r="CV129" i="1"/>
  <c r="F15" i="230"/>
  <c r="F16" i="230" s="1"/>
  <c r="DZ16" i="1"/>
  <c r="DZ21" i="1"/>
  <c r="DZ8" i="1"/>
  <c r="G15" i="230"/>
  <c r="G16" i="230" s="1"/>
  <c r="EA8" i="1"/>
  <c r="EA16" i="1"/>
  <c r="EA21" i="1"/>
  <c r="F26" i="222"/>
  <c r="H26" i="222" s="1"/>
  <c r="H23" i="226"/>
  <c r="CV26" i="1"/>
  <c r="CX98" i="1" l="1"/>
  <c r="CY98" i="1"/>
  <c r="CW98" i="1"/>
  <c r="CV98" i="1"/>
  <c r="DY15" i="1"/>
  <c r="U10" i="222" s="1"/>
  <c r="V10" i="222" s="1"/>
  <c r="H10" i="226"/>
  <c r="H11" i="226" s="1"/>
  <c r="J11" i="226" s="1"/>
  <c r="D16" i="226"/>
  <c r="F10" i="226"/>
  <c r="D11" i="226"/>
  <c r="F11" i="226" s="1"/>
  <c r="ED125" i="1"/>
  <c r="EA136" i="1"/>
  <c r="G21" i="230"/>
  <c r="G22" i="230" s="1"/>
  <c r="EC162" i="1"/>
  <c r="EB133" i="1"/>
  <c r="ED77" i="229"/>
  <c r="ED78" i="229" s="1"/>
  <c r="ED74" i="229"/>
  <c r="EB127" i="1"/>
  <c r="EB74" i="1"/>
  <c r="EB79" i="1" s="1"/>
  <c r="ED13" i="1"/>
  <c r="ED12" i="1" s="1"/>
  <c r="EC12" i="1"/>
  <c r="ED96" i="1"/>
  <c r="ED71" i="1" s="1"/>
  <c r="EC71" i="1"/>
  <c r="EC83" i="229"/>
  <c r="EC84" i="229" s="1"/>
  <c r="EC80" i="229"/>
  <c r="EC81" i="229" s="1"/>
  <c r="EC100" i="229"/>
  <c r="EC101" i="229" s="1"/>
  <c r="EB15" i="1"/>
  <c r="EB101" i="229"/>
  <c r="DY126" i="1"/>
  <c r="DY129" i="1" s="1"/>
  <c r="DY98" i="1" s="1"/>
  <c r="H11" i="222"/>
  <c r="F17" i="222"/>
  <c r="F22" i="222" s="1"/>
  <c r="F12" i="222"/>
  <c r="K12" i="222" s="1"/>
  <c r="J11" i="222"/>
  <c r="L11" i="222"/>
  <c r="EA102" i="1"/>
  <c r="EA61" i="1" s="1"/>
  <c r="EA9" i="1"/>
  <c r="DZ9" i="1"/>
  <c r="L9" i="226"/>
  <c r="DZ102" i="1"/>
  <c r="DZ61" i="1" s="1"/>
  <c r="J23" i="226"/>
  <c r="CV31" i="1"/>
  <c r="CV29" i="1"/>
  <c r="CV41" i="1"/>
  <c r="CV116" i="1"/>
  <c r="CW26" i="1"/>
  <c r="EA10" i="1" l="1"/>
  <c r="H15" i="230"/>
  <c r="H16" i="230" s="1"/>
  <c r="DZ10" i="1"/>
  <c r="CV42" i="1"/>
  <c r="ED100" i="229"/>
  <c r="ED101" i="229" s="1"/>
  <c r="DY16" i="1"/>
  <c r="W10" i="222"/>
  <c r="DY21" i="1"/>
  <c r="DY24" i="1" s="1"/>
  <c r="DY104" i="1" s="1"/>
  <c r="E15" i="230"/>
  <c r="E16" i="230" s="1"/>
  <c r="J10" i="226"/>
  <c r="H16" i="226"/>
  <c r="H17" i="226" s="1"/>
  <c r="J17" i="226" s="1"/>
  <c r="D21" i="226"/>
  <c r="D17" i="226"/>
  <c r="F17" i="226" s="1"/>
  <c r="F16" i="226"/>
  <c r="H21" i="230"/>
  <c r="H22" i="230" s="1"/>
  <c r="EB136" i="1"/>
  <c r="ED162" i="1"/>
  <c r="ED133" i="1" s="1"/>
  <c r="EC133" i="1"/>
  <c r="ED127" i="1"/>
  <c r="ED74" i="1"/>
  <c r="ED79" i="1" s="1"/>
  <c r="EB8" i="1"/>
  <c r="EB16" i="1"/>
  <c r="EB21" i="1"/>
  <c r="ED83" i="229"/>
  <c r="ED84" i="229" s="1"/>
  <c r="ED80" i="229"/>
  <c r="ED81" i="229" s="1"/>
  <c r="EC74" i="1"/>
  <c r="EC79" i="1" s="1"/>
  <c r="EC127" i="1"/>
  <c r="EC15" i="1"/>
  <c r="J17" i="222"/>
  <c r="L17" i="222"/>
  <c r="K17" i="222"/>
  <c r="F18" i="222"/>
  <c r="K18" i="222" s="1"/>
  <c r="H17" i="222"/>
  <c r="H12" i="222"/>
  <c r="E20" i="230"/>
  <c r="L10" i="226"/>
  <c r="N9" i="226"/>
  <c r="EA126" i="1"/>
  <c r="EA129" i="1" s="1"/>
  <c r="DZ126" i="1"/>
  <c r="DZ129" i="1" s="1"/>
  <c r="CV40" i="1"/>
  <c r="CV39" i="1"/>
  <c r="CV171" i="1"/>
  <c r="H22" i="222"/>
  <c r="K22" i="222"/>
  <c r="F27" i="222"/>
  <c r="L22" i="222"/>
  <c r="J22" i="222"/>
  <c r="F25" i="222"/>
  <c r="H25" i="222" s="1"/>
  <c r="CV85" i="1"/>
  <c r="CW31" i="1"/>
  <c r="CW116" i="1"/>
  <c r="CW29" i="1"/>
  <c r="CW41" i="1"/>
  <c r="CX26" i="1"/>
  <c r="U14" i="222" l="1"/>
  <c r="I15" i="230"/>
  <c r="I16" i="230" s="1"/>
  <c r="CW42" i="1"/>
  <c r="ED15" i="1"/>
  <c r="ED16" i="1" s="1"/>
  <c r="DZ24" i="1"/>
  <c r="DZ23" i="1" s="1"/>
  <c r="L23" i="226" s="1"/>
  <c r="E18" i="230"/>
  <c r="J16" i="226"/>
  <c r="H21" i="226"/>
  <c r="J21" i="226" s="1"/>
  <c r="D26" i="226"/>
  <c r="F21" i="226"/>
  <c r="D24" i="226"/>
  <c r="G21" i="226" s="1"/>
  <c r="EC136" i="1"/>
  <c r="I21" i="230"/>
  <c r="I22" i="230" s="1"/>
  <c r="J21" i="230"/>
  <c r="J22" i="230" s="1"/>
  <c r="K22" i="230" s="1"/>
  <c r="ED136" i="1"/>
  <c r="EB102" i="1"/>
  <c r="EB61" i="1" s="1"/>
  <c r="EB126" i="1" s="1"/>
  <c r="EB129" i="1" s="1"/>
  <c r="EB9" i="1"/>
  <c r="EC16" i="1"/>
  <c r="EC21" i="1"/>
  <c r="EC8" i="1"/>
  <c r="H18" i="222"/>
  <c r="EA98" i="1"/>
  <c r="G20" i="230"/>
  <c r="L11" i="226"/>
  <c r="N11" i="226" s="1"/>
  <c r="N10" i="226"/>
  <c r="L16" i="226"/>
  <c r="DZ98" i="1"/>
  <c r="F20" i="230"/>
  <c r="F18" i="230"/>
  <c r="CY26" i="1"/>
  <c r="DY25" i="1"/>
  <c r="CW40" i="1"/>
  <c r="CW171" i="1"/>
  <c r="CW39" i="1"/>
  <c r="K27" i="222"/>
  <c r="L27" i="222"/>
  <c r="F29" i="222"/>
  <c r="H27" i="222"/>
  <c r="J27" i="222"/>
  <c r="CX116" i="1"/>
  <c r="CX29" i="1"/>
  <c r="CX41" i="1"/>
  <c r="CX31" i="1"/>
  <c r="CV87" i="1"/>
  <c r="CW85" i="1"/>
  <c r="ED21" i="1" l="1"/>
  <c r="ED8" i="1"/>
  <c r="ED9" i="1" s="1"/>
  <c r="EA24" i="1"/>
  <c r="EA23" i="1" s="1"/>
  <c r="CX42" i="1"/>
  <c r="J15" i="230"/>
  <c r="J16" i="230" s="1"/>
  <c r="K16" i="230" s="1"/>
  <c r="K15" i="230" s="1"/>
  <c r="CY29" i="1"/>
  <c r="EB10" i="1"/>
  <c r="DZ104" i="1"/>
  <c r="H24" i="226"/>
  <c r="K20" i="226" s="1"/>
  <c r="F24" i="226"/>
  <c r="G20" i="226"/>
  <c r="G19" i="226"/>
  <c r="G13" i="226"/>
  <c r="G10" i="226"/>
  <c r="G16" i="226"/>
  <c r="F26" i="226"/>
  <c r="D28" i="226"/>
  <c r="G30" i="226"/>
  <c r="L22" i="230"/>
  <c r="K21" i="230"/>
  <c r="EB98" i="1"/>
  <c r="H20" i="230"/>
  <c r="EC102" i="1"/>
  <c r="EC61" i="1" s="1"/>
  <c r="EC126" i="1" s="1"/>
  <c r="EC129" i="1" s="1"/>
  <c r="EC9" i="1"/>
  <c r="DZ25" i="1"/>
  <c r="L25" i="226" s="1"/>
  <c r="CY31" i="1"/>
  <c r="CY171" i="1" s="1"/>
  <c r="N16" i="226"/>
  <c r="L17" i="226"/>
  <c r="N17" i="226" s="1"/>
  <c r="L21" i="226"/>
  <c r="N21" i="226" s="1"/>
  <c r="CY116" i="1"/>
  <c r="N23" i="226"/>
  <c r="CY41" i="1"/>
  <c r="H25" i="226"/>
  <c r="DY26" i="1"/>
  <c r="CX171" i="1"/>
  <c r="CX40" i="1"/>
  <c r="CX39" i="1"/>
  <c r="H29" i="222"/>
  <c r="K29" i="222"/>
  <c r="L29" i="222"/>
  <c r="J29" i="222"/>
  <c r="CV108" i="1"/>
  <c r="CV90" i="1"/>
  <c r="CV112" i="1"/>
  <c r="CW87" i="1"/>
  <c r="CX85" i="1"/>
  <c r="EA104" i="1" l="1"/>
  <c r="L16" i="230"/>
  <c r="L15" i="230" s="1"/>
  <c r="ED102" i="1"/>
  <c r="ED61" i="1" s="1"/>
  <c r="ED126" i="1" s="1"/>
  <c r="ED129" i="1" s="1"/>
  <c r="EB24" i="1"/>
  <c r="EC24" i="1" s="1"/>
  <c r="CY42" i="1"/>
  <c r="EC10" i="1"/>
  <c r="ED10" i="1"/>
  <c r="K10" i="226"/>
  <c r="K21" i="226"/>
  <c r="K13" i="226"/>
  <c r="J24" i="226"/>
  <c r="K19" i="226"/>
  <c r="K16" i="226"/>
  <c r="G15" i="226"/>
  <c r="F28" i="226"/>
  <c r="G28" i="226"/>
  <c r="G23" i="226" s="1"/>
  <c r="M22" i="230"/>
  <c r="L21" i="230"/>
  <c r="EC98" i="1"/>
  <c r="I20" i="230"/>
  <c r="DZ26" i="1"/>
  <c r="EA25" i="1"/>
  <c r="EA26" i="1" s="1"/>
  <c r="N25" i="226"/>
  <c r="O25" i="226"/>
  <c r="CY40" i="1"/>
  <c r="CY39" i="1"/>
  <c r="L26" i="226"/>
  <c r="N26" i="226" s="1"/>
  <c r="DY116" i="1"/>
  <c r="L24" i="226"/>
  <c r="O10" i="226" s="1"/>
  <c r="G18" i="230"/>
  <c r="DY41" i="1"/>
  <c r="DY31" i="1"/>
  <c r="DY29" i="1"/>
  <c r="U15" i="222"/>
  <c r="J25" i="226"/>
  <c r="K25" i="226"/>
  <c r="H26" i="226"/>
  <c r="CY85" i="1"/>
  <c r="CX87" i="1"/>
  <c r="CW108" i="1"/>
  <c r="CW90" i="1"/>
  <c r="CW112" i="1"/>
  <c r="EB104" i="1" l="1"/>
  <c r="EB23" i="1"/>
  <c r="H18" i="230" s="1"/>
  <c r="M16" i="230"/>
  <c r="M15" i="230" s="1"/>
  <c r="EA41" i="1"/>
  <c r="DZ29" i="1"/>
  <c r="K15" i="226"/>
  <c r="M21" i="230"/>
  <c r="N22" i="230"/>
  <c r="ED98" i="1"/>
  <c r="J20" i="230"/>
  <c r="K20" i="230" s="1"/>
  <c r="L20" i="230" s="1"/>
  <c r="M20" i="230" s="1"/>
  <c r="N20" i="230" s="1"/>
  <c r="O20" i="230" s="1"/>
  <c r="P20" i="230" s="1"/>
  <c r="ED24" i="1"/>
  <c r="EC104" i="1"/>
  <c r="EC23" i="1"/>
  <c r="I18" i="230" s="1"/>
  <c r="DZ41" i="1"/>
  <c r="DZ116" i="1"/>
  <c r="DZ31" i="1"/>
  <c r="DZ171" i="1" s="1"/>
  <c r="EA116" i="1"/>
  <c r="EA29" i="1"/>
  <c r="EA31" i="1"/>
  <c r="EA171" i="1" s="1"/>
  <c r="O30" i="226"/>
  <c r="L28" i="226"/>
  <c r="O28" i="226" s="1"/>
  <c r="N24" i="226"/>
  <c r="O13" i="226"/>
  <c r="O19" i="226"/>
  <c r="O21" i="226"/>
  <c r="O16" i="226"/>
  <c r="O20" i="226"/>
  <c r="W15" i="222"/>
  <c r="V15" i="222"/>
  <c r="H28" i="226"/>
  <c r="J26" i="226"/>
  <c r="K30" i="226"/>
  <c r="CY87" i="1"/>
  <c r="CY108" i="1" s="1"/>
  <c r="DY85" i="1"/>
  <c r="DY42" i="1"/>
  <c r="C41" i="223"/>
  <c r="DY39" i="1"/>
  <c r="DY40" i="1"/>
  <c r="DY171" i="1"/>
  <c r="CX108" i="1"/>
  <c r="CX112" i="1"/>
  <c r="CX90" i="1"/>
  <c r="N16" i="230" l="1"/>
  <c r="O16" i="230" s="1"/>
  <c r="P16" i="230" s="1"/>
  <c r="P15" i="230" s="1"/>
  <c r="P18" i="230" s="1"/>
  <c r="O36" i="223"/>
  <c r="EB25" i="1"/>
  <c r="EB26" i="1" s="1"/>
  <c r="EB31" i="1" s="1"/>
  <c r="C42" i="223"/>
  <c r="L42" i="223" s="1"/>
  <c r="N21" i="230"/>
  <c r="O22" i="230"/>
  <c r="N14" i="223"/>
  <c r="L41" i="223"/>
  <c r="D41" i="223"/>
  <c r="E41" i="223"/>
  <c r="F41" i="223"/>
  <c r="DZ39" i="1"/>
  <c r="EA42" i="1"/>
  <c r="ED104" i="1"/>
  <c r="ED23" i="1"/>
  <c r="DZ40" i="1"/>
  <c r="DZ42" i="1"/>
  <c r="EA40" i="1"/>
  <c r="EA39" i="1"/>
  <c r="O15" i="226"/>
  <c r="N28" i="226"/>
  <c r="CY112" i="1"/>
  <c r="CY90" i="1"/>
  <c r="O23" i="226"/>
  <c r="H41" i="223"/>
  <c r="K41" i="223"/>
  <c r="J41" i="223"/>
  <c r="I41" i="223"/>
  <c r="G41" i="223"/>
  <c r="J28" i="226"/>
  <c r="K28" i="226"/>
  <c r="K23" i="226" s="1"/>
  <c r="DY87" i="1"/>
  <c r="DZ85" i="1"/>
  <c r="N15" i="230" l="1"/>
  <c r="EC25" i="1"/>
  <c r="EC26" i="1" s="1"/>
  <c r="EC31" i="1" s="1"/>
  <c r="O15" i="230"/>
  <c r="O18" i="230" s="1"/>
  <c r="EB29" i="1"/>
  <c r="EB116" i="1"/>
  <c r="EB41" i="1"/>
  <c r="O14" i="223"/>
  <c r="G42" i="223"/>
  <c r="F42" i="223"/>
  <c r="E42" i="223"/>
  <c r="H42" i="223"/>
  <c r="J42" i="223"/>
  <c r="D42" i="223"/>
  <c r="I42" i="223"/>
  <c r="K42" i="223"/>
  <c r="O21" i="230"/>
  <c r="P22" i="230"/>
  <c r="P21" i="230" s="1"/>
  <c r="J18" i="230"/>
  <c r="EB40" i="1"/>
  <c r="EB39" i="1"/>
  <c r="EB171" i="1"/>
  <c r="DY108" i="1"/>
  <c r="DY90" i="1"/>
  <c r="DY112" i="1"/>
  <c r="DZ87" i="1"/>
  <c r="EA85" i="1"/>
  <c r="EA87" i="1" s="1"/>
  <c r="EC41" i="1" l="1"/>
  <c r="EC42" i="1" s="1"/>
  <c r="EC116" i="1"/>
  <c r="ED25" i="1"/>
  <c r="ED26" i="1" s="1"/>
  <c r="ED41" i="1" s="1"/>
  <c r="EC29" i="1"/>
  <c r="EB42" i="1"/>
  <c r="ED31" i="1"/>
  <c r="ED39" i="1" s="1"/>
  <c r="EB85" i="1"/>
  <c r="EC171" i="1"/>
  <c r="EC39" i="1"/>
  <c r="EC40" i="1"/>
  <c r="DZ90" i="1"/>
  <c r="DZ108" i="1"/>
  <c r="DZ112" i="1"/>
  <c r="EA90" i="1"/>
  <c r="EA108" i="1"/>
  <c r="EA112" i="1"/>
  <c r="ED29" i="1" l="1"/>
  <c r="ED116" i="1"/>
  <c r="ED42" i="1"/>
  <c r="ED40" i="1"/>
  <c r="ED171" i="1"/>
  <c r="K18" i="230"/>
  <c r="EB87" i="1"/>
  <c r="EC85" i="1"/>
  <c r="L18" i="230"/>
  <c r="CV117" i="1"/>
  <c r="CV131" i="1" s="1"/>
  <c r="CW163" i="1"/>
  <c r="CX163" i="1"/>
  <c r="CY163" i="1" s="1"/>
  <c r="M18" i="230" l="1"/>
  <c r="N18" i="230"/>
  <c r="EB108" i="1"/>
  <c r="EB90" i="1"/>
  <c r="EB112" i="1"/>
  <c r="ED85" i="1"/>
  <c r="ED87" i="1" s="1"/>
  <c r="EC87" i="1"/>
  <c r="CV156" i="1"/>
  <c r="CV150" i="1"/>
  <c r="CV152" i="1" s="1"/>
  <c r="CW151" i="1" s="1"/>
  <c r="CV164" i="1"/>
  <c r="CV65" i="1"/>
  <c r="CV51" i="1"/>
  <c r="F33" i="222" l="1"/>
  <c r="K33" i="222" s="1"/>
  <c r="D32" i="226"/>
  <c r="F32" i="226" s="1"/>
  <c r="EC112" i="1"/>
  <c r="EC90" i="1"/>
  <c r="EC108" i="1"/>
  <c r="CV59" i="1"/>
  <c r="CV154" i="1" s="1"/>
  <c r="ED108" i="1"/>
  <c r="ED90" i="1"/>
  <c r="ED112" i="1"/>
  <c r="CV158" i="1"/>
  <c r="CV52" i="1"/>
  <c r="CV53" i="1"/>
  <c r="CW117" i="1"/>
  <c r="CV157" i="1"/>
  <c r="CV159" i="1" l="1"/>
  <c r="E41" i="230"/>
  <c r="E42" i="230" s="1"/>
  <c r="E43" i="230" s="1"/>
  <c r="H33" i="222"/>
  <c r="J33" i="222"/>
  <c r="L33" i="222"/>
  <c r="CV109" i="1"/>
  <c r="CV63" i="1"/>
  <c r="CV68" i="1" s="1"/>
  <c r="CV92" i="1" s="1"/>
  <c r="CW164" i="1"/>
  <c r="CW51" i="1"/>
  <c r="CW131" i="1"/>
  <c r="CW65" i="1"/>
  <c r="CX117" i="1" s="1"/>
  <c r="F27" i="230" l="1"/>
  <c r="P27" i="230"/>
  <c r="M27" i="230"/>
  <c r="K27" i="230"/>
  <c r="J27" i="230"/>
  <c r="L27" i="230"/>
  <c r="I27" i="230"/>
  <c r="G27" i="230"/>
  <c r="O27" i="230"/>
  <c r="H27" i="230"/>
  <c r="N27" i="230"/>
  <c r="CW156" i="1"/>
  <c r="CW150" i="1"/>
  <c r="CW152" i="1" s="1"/>
  <c r="CX65" i="1"/>
  <c r="CX131" i="1"/>
  <c r="CX51" i="1"/>
  <c r="CX164" i="1"/>
  <c r="CW53" i="1"/>
  <c r="CW52" i="1"/>
  <c r="CW157" i="1" l="1"/>
  <c r="CW158" i="1"/>
  <c r="CY117" i="1"/>
  <c r="CY65" i="1" s="1"/>
  <c r="DY65" i="1" s="1"/>
  <c r="CX53" i="1"/>
  <c r="CX52" i="1"/>
  <c r="CX150" i="1"/>
  <c r="CX156" i="1"/>
  <c r="CW59" i="1"/>
  <c r="CW154" i="1" s="1"/>
  <c r="CX151" i="1"/>
  <c r="CW159" i="1" l="1"/>
  <c r="CX152" i="1"/>
  <c r="CY151" i="1" s="1"/>
  <c r="CX158" i="1"/>
  <c r="CX157" i="1"/>
  <c r="CY131" i="1"/>
  <c r="CY51" i="1"/>
  <c r="DY117" i="1"/>
  <c r="CY164" i="1"/>
  <c r="CW109" i="1"/>
  <c r="CW63" i="1"/>
  <c r="CW68" i="1" s="1"/>
  <c r="CW92" i="1" s="1"/>
  <c r="CX159" i="1" l="1"/>
  <c r="CX59" i="1"/>
  <c r="CX63" i="1" s="1"/>
  <c r="CX68" i="1" s="1"/>
  <c r="CX92" i="1" s="1"/>
  <c r="DY51" i="1"/>
  <c r="DY164" i="1"/>
  <c r="DY131" i="1"/>
  <c r="DY163" i="1"/>
  <c r="DZ163" i="1" s="1"/>
  <c r="EA163" i="1" s="1"/>
  <c r="EB163" i="1" s="1"/>
  <c r="EC163" i="1" s="1"/>
  <c r="ED163" i="1" s="1"/>
  <c r="U12" i="222"/>
  <c r="CY52" i="1"/>
  <c r="CY103" i="1"/>
  <c r="CY156" i="1"/>
  <c r="CY150" i="1"/>
  <c r="CY152" i="1" s="1"/>
  <c r="CX154" i="1" l="1"/>
  <c r="CX109" i="1"/>
  <c r="C27" i="223"/>
  <c r="U11" i="222"/>
  <c r="E12" i="230"/>
  <c r="DY103" i="1"/>
  <c r="DY52" i="1"/>
  <c r="W12" i="222"/>
  <c r="V12" i="222"/>
  <c r="CY158" i="1"/>
  <c r="CY157" i="1"/>
  <c r="DY156" i="1"/>
  <c r="DY150" i="1"/>
  <c r="CY59" i="1"/>
  <c r="DZ117" i="1"/>
  <c r="CY159" i="1" l="1"/>
  <c r="N13" i="223"/>
  <c r="I27" i="223"/>
  <c r="H27" i="223"/>
  <c r="CY154" i="1"/>
  <c r="F11" i="227"/>
  <c r="DZ65" i="1"/>
  <c r="DZ131" i="1"/>
  <c r="F9" i="227"/>
  <c r="DZ164" i="1"/>
  <c r="DZ51" i="1"/>
  <c r="E24" i="230"/>
  <c r="E13" i="230"/>
  <c r="CY63" i="1"/>
  <c r="CY68" i="1" s="1"/>
  <c r="CY92" i="1" s="1"/>
  <c r="DY59" i="1"/>
  <c r="CY109" i="1"/>
  <c r="CY110" i="1" s="1"/>
  <c r="U18" i="222"/>
  <c r="DY158" i="1"/>
  <c r="C55" i="223" s="1"/>
  <c r="H32" i="226"/>
  <c r="J32" i="226" s="1"/>
  <c r="DY157" i="1"/>
  <c r="V11" i="222"/>
  <c r="W11" i="222"/>
  <c r="E27" i="223"/>
  <c r="F27" i="223"/>
  <c r="D27" i="223"/>
  <c r="G27" i="223"/>
  <c r="M11" i="227" l="1"/>
  <c r="N11" i="227"/>
  <c r="L11" i="227"/>
  <c r="M55" i="223"/>
  <c r="L55" i="223"/>
  <c r="N55" i="223"/>
  <c r="K55" i="223"/>
  <c r="L9" i="227"/>
  <c r="N9" i="227"/>
  <c r="M9" i="227"/>
  <c r="N15" i="223"/>
  <c r="D55" i="223"/>
  <c r="J55" i="223"/>
  <c r="E55" i="223"/>
  <c r="I55" i="223"/>
  <c r="F55" i="223"/>
  <c r="G55" i="223"/>
  <c r="H55" i="223"/>
  <c r="DZ150" i="1"/>
  <c r="DZ156" i="1"/>
  <c r="V18" i="222"/>
  <c r="W18" i="222"/>
  <c r="G16" i="223"/>
  <c r="I34" i="223" s="1"/>
  <c r="DY63" i="1"/>
  <c r="DY68" i="1" s="1"/>
  <c r="DY92" i="1" s="1"/>
  <c r="DY109" i="1"/>
  <c r="DY110" i="1" s="1"/>
  <c r="EA117" i="1"/>
  <c r="EA65" i="1" s="1"/>
  <c r="DZ53" i="1"/>
  <c r="F12" i="230"/>
  <c r="DZ103" i="1"/>
  <c r="F15" i="227"/>
  <c r="C28" i="223"/>
  <c r="DZ52" i="1"/>
  <c r="H13" i="227" l="1"/>
  <c r="J13" i="227"/>
  <c r="I13" i="227"/>
  <c r="I28" i="223"/>
  <c r="H28" i="223"/>
  <c r="P34" i="230"/>
  <c r="H34" i="223"/>
  <c r="EB117" i="1"/>
  <c r="EB65" i="1" s="1"/>
  <c r="F13" i="230"/>
  <c r="F24" i="230"/>
  <c r="F28" i="230" s="1"/>
  <c r="DZ158" i="1"/>
  <c r="L32" i="226"/>
  <c r="N32" i="226" s="1"/>
  <c r="DZ157" i="1"/>
  <c r="F13" i="227"/>
  <c r="M17" i="227"/>
  <c r="F34" i="223"/>
  <c r="G34" i="223"/>
  <c r="G20" i="223"/>
  <c r="D34" i="223"/>
  <c r="E34" i="223"/>
  <c r="EA51" i="1"/>
  <c r="EA131" i="1"/>
  <c r="EA164" i="1"/>
  <c r="D28" i="223"/>
  <c r="E28" i="223"/>
  <c r="F28" i="223"/>
  <c r="G28" i="223"/>
  <c r="O13" i="223" l="1"/>
  <c r="O18" i="223"/>
  <c r="N13" i="227"/>
  <c r="N15" i="227" s="1"/>
  <c r="J15" i="227" s="1"/>
  <c r="M13" i="227"/>
  <c r="M15" i="227" s="1"/>
  <c r="L13" i="227"/>
  <c r="EB164" i="1"/>
  <c r="EB51" i="1"/>
  <c r="EB131" i="1"/>
  <c r="EC117" i="1"/>
  <c r="EA150" i="1"/>
  <c r="EA156" i="1"/>
  <c r="DZ159" i="1"/>
  <c r="C56" i="223"/>
  <c r="G12" i="230"/>
  <c r="EA53" i="1"/>
  <c r="EA103" i="1"/>
  <c r="EA52" i="1"/>
  <c r="F25" i="230"/>
  <c r="H12" i="230" l="1"/>
  <c r="H13" i="230" s="1"/>
  <c r="M56" i="223"/>
  <c r="L56" i="223"/>
  <c r="N56" i="223"/>
  <c r="K56" i="223"/>
  <c r="N19" i="227"/>
  <c r="N23" i="227" s="1"/>
  <c r="N27" i="227" s="1"/>
  <c r="N31" i="227" s="1"/>
  <c r="I15" i="227"/>
  <c r="M19" i="227"/>
  <c r="M23" i="227" s="1"/>
  <c r="M27" i="227" s="1"/>
  <c r="O15" i="223"/>
  <c r="EC164" i="1"/>
  <c r="EC51" i="1"/>
  <c r="EC131" i="1"/>
  <c r="EC65" i="1"/>
  <c r="EB156" i="1"/>
  <c r="EB150" i="1"/>
  <c r="EB53" i="1"/>
  <c r="EB103" i="1"/>
  <c r="EB52" i="1"/>
  <c r="G13" i="230"/>
  <c r="G24" i="230"/>
  <c r="EA158" i="1"/>
  <c r="EA157" i="1"/>
  <c r="H56" i="223"/>
  <c r="F56" i="223"/>
  <c r="D56" i="223"/>
  <c r="I56" i="223"/>
  <c r="J56" i="223"/>
  <c r="G56" i="223"/>
  <c r="E56" i="223"/>
  <c r="EA159" i="1" l="1"/>
  <c r="I12" i="230"/>
  <c r="I13" i="230" s="1"/>
  <c r="M31" i="227"/>
  <c r="O6" i="223"/>
  <c r="ED117" i="1"/>
  <c r="ED65" i="1" s="1"/>
  <c r="EC156" i="1"/>
  <c r="EC150" i="1"/>
  <c r="EC103" i="1"/>
  <c r="EC53" i="1"/>
  <c r="EC52" i="1"/>
  <c r="EB157" i="1"/>
  <c r="EB158" i="1"/>
  <c r="H24" i="230"/>
  <c r="G28" i="230"/>
  <c r="G25" i="230"/>
  <c r="EB159" i="1" l="1"/>
  <c r="EC157" i="1"/>
  <c r="EC158" i="1"/>
  <c r="ED164" i="1"/>
  <c r="ED51" i="1"/>
  <c r="ED131" i="1"/>
  <c r="H28" i="230"/>
  <c r="H25" i="230"/>
  <c r="I24" i="230"/>
  <c r="EC159" i="1" l="1"/>
  <c r="J12" i="230"/>
  <c r="J13" i="230" s="1"/>
  <c r="K13" i="230" s="1"/>
  <c r="L13" i="230" s="1"/>
  <c r="M13" i="230" s="1"/>
  <c r="N13" i="230" s="1"/>
  <c r="O13" i="230" s="1"/>
  <c r="O12" i="230" s="1"/>
  <c r="O24" i="230" s="1"/>
  <c r="O28" i="230" s="1"/>
  <c r="ED150" i="1"/>
  <c r="ED156" i="1"/>
  <c r="ED103" i="1"/>
  <c r="ED53" i="1"/>
  <c r="ED52" i="1"/>
  <c r="I28" i="230"/>
  <c r="I25" i="230"/>
  <c r="J24" i="230" l="1"/>
  <c r="J28" i="230" s="1"/>
  <c r="P13" i="230"/>
  <c r="P12" i="230" s="1"/>
  <c r="P24" i="230" s="1"/>
  <c r="P25" i="230" s="1"/>
  <c r="ED157" i="1"/>
  <c r="ED158" i="1"/>
  <c r="K12" i="230"/>
  <c r="K24" i="230" s="1"/>
  <c r="J25" i="230" l="1"/>
  <c r="P28" i="230"/>
  <c r="P29" i="230"/>
  <c r="ED159" i="1"/>
  <c r="K25" i="230"/>
  <c r="K28" i="230"/>
  <c r="L12" i="230"/>
  <c r="L24" i="230" s="1"/>
  <c r="M12" i="230" l="1"/>
  <c r="M24" i="230" s="1"/>
  <c r="M25" i="230" s="1"/>
  <c r="N12" i="230"/>
  <c r="N24" i="230" s="1"/>
  <c r="O25" i="230" s="1"/>
  <c r="L28" i="230"/>
  <c r="L25" i="230"/>
  <c r="M28" i="230" l="1"/>
  <c r="N25" i="230"/>
  <c r="N28" i="230"/>
  <c r="P32" i="230" l="1"/>
  <c r="P38" i="230" s="1"/>
  <c r="P41" i="230" s="1"/>
  <c r="P45" i="230" l="1"/>
  <c r="P42" i="230"/>
  <c r="P46" i="230"/>
  <c r="P44" i="230"/>
  <c r="L15" i="227" l="1"/>
  <c r="H15" i="227" l="1"/>
  <c r="L19" i="227"/>
  <c r="L23" i="227" s="1"/>
  <c r="L27" i="227" s="1"/>
  <c r="L31" i="227" l="1"/>
  <c r="E6" i="223"/>
  <c r="J6" i="223" l="1"/>
  <c r="CU51" i="1" l="1"/>
  <c r="DX51" i="1"/>
  <c r="CU52" i="1"/>
  <c r="DX52" i="1"/>
  <c r="CU53" i="1"/>
  <c r="CY53" i="1"/>
  <c r="DX53" i="1"/>
  <c r="DY53" i="1"/>
  <c r="DZ59" i="1"/>
  <c r="EA59" i="1"/>
  <c r="EB59" i="1"/>
  <c r="EC59" i="1"/>
  <c r="ED59" i="1"/>
  <c r="DZ63" i="1"/>
  <c r="EA63" i="1"/>
  <c r="EB63" i="1"/>
  <c r="EC63" i="1"/>
  <c r="ED63" i="1"/>
  <c r="DZ68" i="1"/>
  <c r="EA68" i="1"/>
  <c r="EB68" i="1"/>
  <c r="EC68" i="1"/>
  <c r="ED68" i="1"/>
  <c r="DZ92" i="1"/>
  <c r="EA92" i="1"/>
  <c r="EB92" i="1"/>
  <c r="EC92" i="1"/>
  <c r="ED92" i="1"/>
  <c r="CU103" i="1"/>
  <c r="CV103" i="1"/>
  <c r="CW103" i="1"/>
  <c r="CX103" i="1"/>
  <c r="DX103" i="1"/>
  <c r="DZ109" i="1"/>
  <c r="EA109" i="1"/>
  <c r="EB109" i="1"/>
  <c r="EC109" i="1"/>
  <c r="ED109" i="1"/>
  <c r="CU110" i="1"/>
  <c r="CV110" i="1"/>
  <c r="CW110" i="1"/>
  <c r="CX110" i="1"/>
  <c r="DX110" i="1"/>
  <c r="DZ110" i="1"/>
  <c r="EA110" i="1"/>
  <c r="EB110" i="1"/>
  <c r="EC110" i="1"/>
  <c r="ED110" i="1"/>
  <c r="CU117" i="1"/>
  <c r="DX117" i="1"/>
  <c r="CU123" i="1"/>
  <c r="DX123" i="1"/>
  <c r="DX131" i="1"/>
  <c r="DX150" i="1"/>
  <c r="DY151" i="1"/>
  <c r="DZ151" i="1"/>
  <c r="EA151" i="1"/>
  <c r="EB151" i="1"/>
  <c r="EC151" i="1"/>
  <c r="ED151" i="1"/>
  <c r="DX152" i="1"/>
  <c r="DY152" i="1"/>
  <c r="DZ152" i="1"/>
  <c r="EA152" i="1"/>
  <c r="EB152" i="1"/>
  <c r="EC152" i="1"/>
  <c r="ED152" i="1"/>
  <c r="DX154" i="1"/>
  <c r="DY154" i="1"/>
  <c r="DZ154" i="1"/>
  <c r="EA154" i="1"/>
  <c r="EB154" i="1"/>
  <c r="EC154" i="1"/>
  <c r="ED154" i="1"/>
  <c r="DX156" i="1"/>
  <c r="DX157" i="1"/>
  <c r="DX158" i="1"/>
  <c r="DX159" i="1"/>
  <c r="DY159" i="1"/>
  <c r="CU163" i="1"/>
  <c r="DX163" i="1"/>
  <c r="CU164" i="1"/>
  <c r="DX164" i="1"/>
  <c r="T13" i="225"/>
  <c r="U13" i="225"/>
  <c r="V13" i="225"/>
  <c r="W13" i="225"/>
  <c r="Y13" i="225"/>
  <c r="Z13" i="225"/>
  <c r="AA13" i="225"/>
  <c r="AB13" i="225"/>
  <c r="T19" i="225"/>
  <c r="U19" i="225"/>
  <c r="V19" i="225"/>
  <c r="W19" i="225"/>
  <c r="Y19" i="225"/>
  <c r="Z19" i="225"/>
  <c r="AA19" i="225"/>
  <c r="AB19" i="225"/>
  <c r="C25" i="225"/>
  <c r="T25" i="225"/>
  <c r="U25" i="225"/>
  <c r="V25" i="225"/>
  <c r="W25" i="225"/>
  <c r="Y25" i="225"/>
  <c r="Z25" i="225"/>
  <c r="C26" i="225"/>
  <c r="T26" i="225"/>
  <c r="U26" i="225"/>
  <c r="V26" i="225"/>
  <c r="W26" i="225"/>
  <c r="C27" i="225"/>
  <c r="T27" i="225"/>
  <c r="U27" i="225"/>
  <c r="V27" i="225"/>
  <c r="W27" i="225"/>
  <c r="Y27" i="225"/>
  <c r="Z27" i="225"/>
  <c r="AA27" i="225"/>
  <c r="AB27" i="225"/>
  <c r="C33" i="225"/>
  <c r="T33" i="225"/>
  <c r="U33" i="225"/>
  <c r="V33" i="225"/>
  <c r="W33" i="225"/>
  <c r="Y33" i="225"/>
  <c r="Z33" i="225"/>
  <c r="AA33" i="225"/>
  <c r="AB33" i="225"/>
  <c r="M13" i="223"/>
  <c r="M15" i="223"/>
  <c r="M18" i="223"/>
  <c r="O22" i="223"/>
  <c r="C26" i="223"/>
  <c r="D26" i="223"/>
  <c r="E26" i="223"/>
  <c r="F26" i="223"/>
  <c r="G26" i="223"/>
  <c r="H26" i="223"/>
  <c r="I26" i="223"/>
  <c r="C32" i="223"/>
  <c r="D32" i="223"/>
  <c r="E32" i="223"/>
  <c r="F32" i="223"/>
  <c r="G32" i="223"/>
  <c r="H32" i="223"/>
  <c r="I32" i="223"/>
  <c r="O50" i="223"/>
  <c r="C54" i="223"/>
  <c r="D54" i="223"/>
  <c r="E54" i="223"/>
  <c r="F54" i="223"/>
  <c r="G54" i="223"/>
  <c r="H54" i="223"/>
  <c r="I54" i="223"/>
  <c r="J54" i="223"/>
  <c r="K54" i="223"/>
  <c r="L54" i="223"/>
  <c r="M54" i="223"/>
  <c r="N54" i="223"/>
</calcChain>
</file>

<file path=xl/comments1.xml><?xml version="1.0" encoding="utf-8"?>
<comments xmlns="http://schemas.openxmlformats.org/spreadsheetml/2006/main">
  <authors>
    <author>Sinkevicius, Armintas (Research)</author>
  </authors>
  <commentList>
    <comment ref="H9" authorId="0">
      <text>
        <r>
          <rPr>
            <b/>
            <sz val="9"/>
            <color indexed="81"/>
            <rFont val="Tahoma"/>
            <family val="2"/>
          </rPr>
          <t>Sinkevicius, Armintas (Research):</t>
        </r>
        <r>
          <rPr>
            <sz val="9"/>
            <color indexed="81"/>
            <rFont val="Tahoma"/>
            <family val="2"/>
          </rPr>
          <t xml:space="preserve">
@ ADNT</t>
        </r>
      </text>
    </comment>
    <comment ref="J11" authorId="0">
      <text>
        <r>
          <rPr>
            <b/>
            <sz val="9"/>
            <color indexed="81"/>
            <rFont val="Tahoma"/>
            <family val="2"/>
          </rPr>
          <t>Sinkevicius, Armintas (Research):</t>
        </r>
        <r>
          <rPr>
            <sz val="9"/>
            <color indexed="81"/>
            <rFont val="Tahoma"/>
            <family val="2"/>
          </rPr>
          <t xml:space="preserve">
@ 7.0x+</t>
        </r>
      </text>
    </comment>
  </commentList>
</comments>
</file>

<file path=xl/comments2.xml><?xml version="1.0" encoding="utf-8"?>
<comments xmlns="http://schemas.openxmlformats.org/spreadsheetml/2006/main">
  <authors>
    <author>Sinkevicius, Armintas (Research)</author>
    <author>Ravi Shanker</author>
    <author>Yejay Ying</author>
  </authors>
  <commentList>
    <comment ref="DY18" authorId="0">
      <text>
        <r>
          <rPr>
            <b/>
            <sz val="9"/>
            <color indexed="81"/>
            <rFont val="Tahoma"/>
            <family val="2"/>
          </rPr>
          <t>Sinkevicius, Armintas (Research):</t>
        </r>
        <r>
          <rPr>
            <sz val="9"/>
            <color indexed="81"/>
            <rFont val="Tahoma"/>
            <family val="2"/>
          </rPr>
          <t xml:space="preserve">
80</t>
        </r>
      </text>
    </comment>
    <comment ref="AT23" authorId="1">
      <text>
        <r>
          <rPr>
            <b/>
            <sz val="8"/>
            <color indexed="81"/>
            <rFont val="Tahoma"/>
            <family val="2"/>
          </rPr>
          <t>Ravi Shanker:</t>
        </r>
        <r>
          <rPr>
            <sz val="8"/>
            <color indexed="81"/>
            <rFont val="Tahoma"/>
            <family val="2"/>
          </rPr>
          <t xml:space="preserve">
add back tax benefit of $0.22 per share</t>
        </r>
      </text>
    </comment>
    <comment ref="DY24" authorId="0">
      <text>
        <r>
          <rPr>
            <b/>
            <sz val="9"/>
            <color indexed="81"/>
            <rFont val="Tahoma"/>
            <family val="2"/>
          </rPr>
          <t>Sinkevicius, Armintas (Research):</t>
        </r>
        <r>
          <rPr>
            <sz val="9"/>
            <color indexed="81"/>
            <rFont val="Tahoma"/>
            <family val="2"/>
          </rPr>
          <t xml:space="preserve">
Guidance @ 25.0%
in 2018+
to 22%</t>
        </r>
      </text>
    </comment>
    <comment ref="DY26" authorId="0">
      <text>
        <r>
          <rPr>
            <b/>
            <sz val="9"/>
            <color indexed="81"/>
            <rFont val="Tahoma"/>
            <family val="2"/>
          </rPr>
          <t>Sinkevicius, Armintas (Research):</t>
        </r>
        <r>
          <rPr>
            <sz val="9"/>
            <color indexed="81"/>
            <rFont val="Tahoma"/>
            <family val="2"/>
          </rPr>
          <t xml:space="preserve">
1230 - 1250</t>
        </r>
      </text>
    </comment>
    <comment ref="BT47" authorId="0">
      <text>
        <r>
          <rPr>
            <b/>
            <sz val="9"/>
            <color indexed="81"/>
            <rFont val="Tahoma"/>
            <family val="2"/>
          </rPr>
          <t>Sinkevicius, Armintas (Research):</t>
        </r>
        <r>
          <rPr>
            <sz val="9"/>
            <color indexed="81"/>
            <rFont val="Tahoma"/>
            <family val="2"/>
          </rPr>
          <t xml:space="preserve">
February 16, 2011
$400M
3 Year Program</t>
        </r>
      </text>
    </comment>
    <comment ref="BX47" authorId="0">
      <text>
        <r>
          <rPr>
            <b/>
            <sz val="9"/>
            <color indexed="81"/>
            <rFont val="Tahoma"/>
            <family val="2"/>
          </rPr>
          <t>Sinkevicius, Armintas (Research):</t>
        </r>
        <r>
          <rPr>
            <sz val="9"/>
            <color indexed="81"/>
            <rFont val="Tahoma"/>
            <family val="2"/>
          </rPr>
          <t xml:space="preserve">
January 2012
+ $300M</t>
        </r>
      </text>
    </comment>
    <comment ref="CB47" authorId="0">
      <text>
        <r>
          <rPr>
            <b/>
            <sz val="9"/>
            <color indexed="81"/>
            <rFont val="Tahoma"/>
            <family val="2"/>
          </rPr>
          <t>Sinkevicius, Armintas (Research):</t>
        </r>
        <r>
          <rPr>
            <sz val="9"/>
            <color indexed="81"/>
            <rFont val="Tahoma"/>
            <family val="2"/>
          </rPr>
          <t xml:space="preserve">
January 2012
+ $800M
Through January 2016</t>
        </r>
      </text>
    </comment>
    <comment ref="CC47" authorId="0">
      <text>
        <r>
          <rPr>
            <b/>
            <sz val="9"/>
            <color indexed="81"/>
            <rFont val="Tahoma"/>
            <family val="2"/>
          </rPr>
          <t>Sinkevicius, Armintas (Research):</t>
        </r>
        <r>
          <rPr>
            <sz val="9"/>
            <color indexed="81"/>
            <rFont val="Tahoma"/>
            <family val="2"/>
          </rPr>
          <t xml:space="preserve">
April 2013
Accelerated Stock Repurchase @ $800M
= $750M Remaining</t>
        </r>
      </text>
    </comment>
    <comment ref="CJ47" authorId="0">
      <text>
        <r>
          <rPr>
            <b/>
            <sz val="9"/>
            <color indexed="81"/>
            <rFont val="Tahoma"/>
            <family val="2"/>
          </rPr>
          <t>Sinkevicius, Armintas (Research):</t>
        </r>
        <r>
          <rPr>
            <sz val="9"/>
            <color indexed="81"/>
            <rFont val="Tahoma"/>
            <family val="2"/>
          </rPr>
          <t xml:space="preserve">
February 2015
+ $661M</t>
        </r>
      </text>
    </comment>
    <comment ref="CN47" authorId="0">
      <text>
        <r>
          <rPr>
            <b/>
            <sz val="9"/>
            <color indexed="81"/>
            <rFont val="Tahoma"/>
            <family val="2"/>
          </rPr>
          <t>Sinkevicius, Armintas (Research):</t>
        </r>
        <r>
          <rPr>
            <sz val="9"/>
            <color indexed="81"/>
            <rFont val="Tahoma"/>
            <family val="2"/>
          </rPr>
          <t xml:space="preserve">
February 2015
+ $487.7M
= $1b Remaining</t>
        </r>
      </text>
    </comment>
    <comment ref="CR47" authorId="0">
      <text>
        <r>
          <rPr>
            <b/>
            <sz val="9"/>
            <color indexed="81"/>
            <rFont val="Tahoma"/>
            <family val="2"/>
          </rPr>
          <t>Sinkevicius, Armintas (Research):</t>
        </r>
        <r>
          <rPr>
            <sz val="9"/>
            <color indexed="81"/>
            <rFont val="Tahoma"/>
            <family val="2"/>
          </rPr>
          <t xml:space="preserve">
February 2017
+658.8M to Program
= $1b Remaining
Through December 31, 2019</t>
        </r>
      </text>
    </comment>
    <comment ref="CU47" authorId="0">
      <text>
        <r>
          <rPr>
            <b/>
            <sz val="9"/>
            <color indexed="81"/>
            <rFont val="Tahoma"/>
            <family val="2"/>
          </rPr>
          <t>Sinkevicius, Armintas (Research):</t>
        </r>
        <r>
          <rPr>
            <sz val="9"/>
            <color indexed="81"/>
            <rFont val="Tahoma"/>
            <family val="2"/>
          </rPr>
          <t xml:space="preserve">
$546M Remaining</t>
        </r>
      </text>
    </comment>
    <comment ref="DY51" authorId="0">
      <text>
        <r>
          <rPr>
            <b/>
            <sz val="9"/>
            <color indexed="81"/>
            <rFont val="Tahoma"/>
            <family val="2"/>
          </rPr>
          <t>Sinkevicius, Armintas (Research):</t>
        </r>
        <r>
          <rPr>
            <sz val="9"/>
            <color indexed="81"/>
            <rFont val="Tahoma"/>
            <family val="2"/>
          </rPr>
          <t xml:space="preserve">
2230 - 2255</t>
        </r>
      </text>
    </comment>
    <comment ref="DX117" authorId="0">
      <text>
        <r>
          <rPr>
            <b/>
            <sz val="9"/>
            <color indexed="81"/>
            <rFont val="Tahoma"/>
            <family val="2"/>
          </rPr>
          <t>Sinkevicius, Armintas (Research):</t>
        </r>
        <r>
          <rPr>
            <sz val="9"/>
            <color indexed="81"/>
            <rFont val="Tahoma"/>
            <family val="2"/>
          </rPr>
          <t xml:space="preserve">
Guidance @ $420M</t>
        </r>
      </text>
    </comment>
    <comment ref="DY117" authorId="0">
      <text>
        <r>
          <rPr>
            <b/>
            <sz val="9"/>
            <color indexed="81"/>
            <rFont val="Tahoma"/>
            <family val="2"/>
          </rPr>
          <t>Sinkevicius, Armintas (Research):</t>
        </r>
        <r>
          <rPr>
            <sz val="9"/>
            <color indexed="81"/>
            <rFont val="Tahoma"/>
            <family val="2"/>
          </rPr>
          <t xml:space="preserve">
480</t>
        </r>
      </text>
    </comment>
    <comment ref="BX123" authorId="2">
      <text>
        <r>
          <rPr>
            <b/>
            <sz val="8"/>
            <color indexed="81"/>
            <rFont val="Tahoma"/>
            <family val="2"/>
          </rPr>
          <t>Yejay Ying:</t>
        </r>
        <r>
          <rPr>
            <sz val="8"/>
            <color indexed="81"/>
            <rFont val="Tahoma"/>
            <family val="2"/>
          </rPr>
          <t xml:space="preserve">
</t>
        </r>
      </text>
    </comment>
    <comment ref="DY133" authorId="0">
      <text>
        <r>
          <rPr>
            <b/>
            <sz val="9"/>
            <color indexed="81"/>
            <rFont val="Tahoma"/>
            <family val="2"/>
          </rPr>
          <t>Sinkevicius, Armintas (Research):</t>
        </r>
        <r>
          <rPr>
            <sz val="9"/>
            <color indexed="81"/>
            <rFont val="Tahoma"/>
            <family val="2"/>
          </rPr>
          <t xml:space="preserve">
630</t>
        </r>
      </text>
    </comment>
    <comment ref="CJ134" authorId="0">
      <text>
        <r>
          <rPr>
            <b/>
            <sz val="9"/>
            <color indexed="81"/>
            <rFont val="Tahoma"/>
            <family val="2"/>
          </rPr>
          <t>Sinkevicius, Armintas (Research):</t>
        </r>
        <r>
          <rPr>
            <sz val="9"/>
            <color indexed="81"/>
            <rFont val="Tahoma"/>
            <family val="2"/>
          </rPr>
          <t xml:space="preserve">
Acquisition of Eagle Ottawa</t>
        </r>
      </text>
    </comment>
    <comment ref="DY156" authorId="0">
      <text>
        <r>
          <rPr>
            <b/>
            <sz val="9"/>
            <color indexed="81"/>
            <rFont val="Tahoma"/>
            <family val="2"/>
          </rPr>
          <t>Sinkevicius, Armintas (Research):</t>
        </r>
        <r>
          <rPr>
            <sz val="9"/>
            <color indexed="81"/>
            <rFont val="Tahoma"/>
            <family val="2"/>
          </rPr>
          <t xml:space="preserve">
1200+</t>
        </r>
      </text>
    </comment>
  </commentList>
</comments>
</file>

<file path=xl/comments3.xml><?xml version="1.0" encoding="utf-8"?>
<comments xmlns="http://schemas.openxmlformats.org/spreadsheetml/2006/main">
  <authors>
    <author>Yejay Ying</author>
  </authors>
  <commentList>
    <comment ref="A1" authorId="0">
      <text>
        <r>
          <rPr>
            <b/>
            <sz val="8"/>
            <color indexed="81"/>
            <rFont val="Tahoma"/>
            <family val="2"/>
          </rPr>
          <t>卟䙄_x0001_＀＀鮎䭩(呃幂元䍟䵏卟午䍟䱁彃䕄卐㌨㠳㠷㌬㤳㤶䌬⥑_x0018_＀＀_x0018_＀＀_x0008_＀＀_x0001_＀＀_x0001_＀＀豀碵꼝쐕鮎䭩_x001C_呃幂彐剐䍉彅噁⡇㠳㜰ⰸ㠳㘱⤸_x0018_＀＀_x0018_＀＀_x0008_＀＀_x0001_＀＀_x0001_＀＀﫬묅譡䀵忆䰚_x001C_䝍幁彐剐䍉彅噁⡇㜳㜰ⰳ㜳㘱⤴_x0018_＀＀_x0018_＀＀_x0008_＀＀_x0001_＀＀_x0001_＀＀먋꒽許䁊韤䮏N呃幂䅃偟久当乕䕒佃⡇㈱㈯〰ⰴⰬ唬䑓䀩南偟久䥓乏啟剎䍅卟剅彖佃呓ㄨ⼲〲㐰ⰬⰬ单⥄_x0018_＀＀_x0018_＀＀_x0008_＀＀_x0001_＀＀_x0001_＀＀盉龾会쀲흕䰠_x001C_䕌幁彐剐䍉彅噁⡇㤳㠰ⰳ㤳㜱⤲_x0018_＀＀_x0018_＀＀_x0008_＀＀_x0001_＀＀_x0001_＀＀豀碵꼝쐕韤䮏(呃幂南偟久䥓乏䅟卓呅当呌ㄨ⼲〲㔰ⰬⰬ单⥄_x0018_＀＀_x0018_＀＀_x0008_＀＀_x0001_＀＀_x0001_＀＀豀碵꼝쐕忆䰚_x001C_䝍幁彐剐䍉彅噁⡇㘳㤸ⰲ㘳㠹⤱_x0018_＀＀_x0018_＀＀_x0008_＀＀_x0001_＀＀_x0001_＀＀_xDC1F_떝훛䁃鮜䭩_x001F_呃幂䝆䕟䥂䑔彁⡑㌳㜸ⰸ㌳㘹ⰹ元착_x0018_＀＀_x0018_＀＀_x0008_＀＀_x0001_＀＀_x0001_＀＀浌莩쒼䁎鮎䭩(呃幂元䍟䵏卟午䍟䱁彃䕄卐㌨㜳㘸㌬㠳㜷䌬⥑_x0018_＀＀_x0018_＀＀_x0008_＀＀_x0001_＀＀_x0001_＀＀豀碵꼝쐕韥䮏'呃幂䅃偟协剔呅䉟久偟䥁⡄㈱㈯〰ⰲⰬ唬䑓착_x0018_＀＀_x0018_＀＀_x0008_＀＀_x0001_＀＀_x0001_＀＀＀＀＀＀＀＀＀＀鸓䮏;呃幂南偟久䥓乏䅟卓呅当剐偏ㄨ⼲〲㠰䀩䅃偟久当䍐彔䕒ㄨ⼲〲㠰착_x0018_＀＀_x0018_＀＀_x0008_＀＀_x0001_＀＀_x0001_＀＀＀＀＀＀＀＀＀＀韥䮏,呃幂䅃偟协剔呅䕟偍䍟乏剔䉉䍟ㄨ⼲〲㠰ⰬⰬ单⥄_x0018_＀＀_x0018_＀＀_x0008_＀＀_x0001_＀＀_x0001_＀＀＀＀＀＀＀＀＀＀忆䰚_x001C_䝍幁彐剐䍉彅噁⡇㠳ㄷⰸ㠳〸⤷_x0018_＀＀_x0018_＀＀_x0008_＀＀_x0001_＀＀_x0001_＀＀롑唞䁒흕䰠_x001C_䕌幁彐剐䍉彅噁⡇㠳㜰ⰸ㠳㘱⤸_x0018_＀＀_x0018_＀＀_x0008_＀＀_x0001_＀＀_x0001_＀＀豀碵꼝쐕鮜䭩_x001F_呃幂䝆䕟䥂䑔彁⡑㌳㠷ⰶ㌳㜸ⰷ元착_x0018_＀＀_x0018_＀＀_x0008_＀＀_x0001_＀＀_x0001_＀＀ቯ삃⇊䁍琍䭱_x001C_呃幂彐剐䍉彅噁⡇㈳㘹ⰴ㌳㔰⤴_x0018_＀＀_x0018_＀＀_x0008_＀＀_x0001_＀＀_x0001_＀＀ⴆ怤䅴䀣忆䰚_x001C_䝍幁彐剐䍉彅噁⡇㤳㤹ⰵ〴㠰⤶_x0018_＀＀_x0018_＀＀_x0008_＀＀_x0001_＀＀_x0001_＀＀_xDA52_簛虡䁆忆䰚_x001C_䝍幁彐剐䍉彅噁⡇㤳㌶ⰰ㤳㈷⤱_x0018_＀＀_x0018_＀＀_x0008_＀＀_x0001_＀＀_x0001_＀＀笡﮽᧣䁍鮎䭩_x001C_呃幂彐剐䍉彅噁⡇㔳㤷ⰶ㔳㠸⤵_x0018_＀＀_x0018_＀＀_x0008_＀＀_x0001_＀＀_x0001_＀＀＀＀＀＀က䀸鰮䲜'䕌幁南偟久偟协彔䕒彔䕂⡎㈱㈯〰ⰹⰬ唬䑓착_x0018_＀＀_x0018_＀＀_x0008_＀＀_x0001_＀＀_x0001_＀＀豀碵꼝쐕韤䮏%呃幂䅃偟久当啃归䥌䉁⡓㈱㈯〰ⰶⰬ唬䑓착_x0018_＀＀_x0018_＀＀_x0008_＀＀_x0001_＀＀_x0001_＀＀＀＀＀＀＀＀＀＀䭻_x001C_呃幂彐剐䍉彅噁⡇㜳㔲ⰷ㜳㈶⤱_x0018_＀＀_x0018_＀＀_x0008_＀＀_x0001_＀＀_x0001_＀＀畺Ǝ诙䀲韤䮏'呃幂南偟久䥓乏也呅䱟䅉⡂㈱㈯〰ⰴⰬ唬䑓착_x0018_＀＀_x0018_＀＀_x0008_＀＀_x0001_＀＀_x0001_＀＀豀碵꼝쐕흕䰠_x001C_䕌幁彐剐䍉彅噁⡇㜳㘱ⰵ㜳㔲⤶_x0018_＀＀_x0018_＀＀_x0008_＀＀_x0001_＀＀_x0001_＀＀豀碵꼝쐕韤䮏$呃幂䅃偟久当呌䱟䅉卂ㄨ⼲〲㘰ⰬⰬ单⥄_x0018_＀＀_x0018_＀＀_x0008_＀＀_x0001_＀＀_x0001_＀＀ﯨ角䁡忆䰚_x001C_䝍幁彐剐䍉彅噁⡇㘳ㄶⰷ㘳〷⤷_x0018_＀＀_x0018_＀＀_x0008_＀＀_x0001_＀＀_x0001_＀＀ꊲ팆䁄䫻_x001C_剔幗䝆偟彅奆⠲㈭䄰ⱙⰰ奆㤬⤰°＀＀_x0018_＀＀ ＀＀_x0014_＀＀_x0001_＀＀豀碵꼝쐕豀碵꼝쐕豀碵꼝쐕豀碵꼝쐕豀碵꼝쐕豀碵꼝쐕豀碵꼝쐕豀碵꼝쐕豀碵꼝쐕豀碵꼝쐕豀碵꼝쐕豀碵꼝쐕豀碵꼝쐕豀碵꼝쐕豀碵꼝쐕痢苽惝䀦끓_xD9C6_ᑴ䀮ొ⬂캇䀧륖縷᫗䀡豀碵꼝쐕韤䮏;呃幂南偟久䥓乏䅟卓呅当呏⡈㈱㈯〰⤳䍀彁䕐华偟呃佟䡔ㄨ⼲〲㌰착_x0018_＀＀_x0018_＀＀_x0008_＀＀_x0001_＀＀_x0001_＀＀＀＀＀＀＀＀䀀韥䮏'呃幂䅃偟协剔呅䉟久偟䥁⡄㈱㈯〰ⰸⰬ唬䑓착_x0018_＀＀_x0018_＀＀_x0008_＀＀_x0001_＀＀_x0001_＀＀＀＀＀＀＀＀＀＀鮎䭩_x001C_呃幂彐剐䍉彅噁⡇㠳㌵ⰴ㠳㈶⤵_x0018_＀＀_x0018_＀＀_x0008_＀＀_x0001_＀＀_x0001_＀＀鋌ꔀ䀱韤䮏M呃幂䅃偟协剔呅卟噒䍟协⡔㈱㈯〰ⰲⰬ唬䑓䀩南䡟呌䍈剁彅䕓噒䍟协⡔㈱㈯〰ⰲⰬ唬䑓착_x0018_＀＀_x0018_＀＀_x0008_＀＀_x0001_＀＀_x0001_＀＀⋑率䀘흕䰠_x001C_䕌幁彐剐䍉彅噁⡇㔳㤷ⰶ㔳㠸⤵_x0018_＀＀_x0018_＀＀_x0008_＀＀_x0001_＀＀_x0001_＀＀豀碵꼝쐕鮎䭩_x001C_呃幂彐剐䍉彅噁⡇㌳㤶ⰵ㌳㠷⤵_x0018_＀＀_x0018_＀＀_x0008_＀＀_x0001_＀＀_x0001_＀＀븢ᬓ䀹鸓䮏&lt;呃幂南偟久䥓乏䅟卓呅当佂䑎⡓㈱㈯〰⤸䍀彁䕐华偟呃䙟⡉㈱㈯〰⤸_x0018_＀＀_x0018_＀＀_x0008_＀＀_x0001_＀＀_x0001_＀＀尩슏죵䁀韤䮏;呃幂南偟久䥓乏䅟卓呅当剐偏ㄨ⼲〲㌰䀩䅃偟久当䍐彔䕒ㄨ⼲〲㌰착_x0018_＀＀_x0018_＀＀_x0008_＀＀_x0001_＀＀_x0001_＀＀＀＀＀＀＀＀＀＀䰠_x001C_䕌幁彐剐䍉彅噁⡇㜳㔲ⰷ㜳㈶⤱_x0018_＀＀_x0018_＀＀_x0008_＀＀_x0001_＀＀_x0001_＀＀豀碵꼝쐕忆䰚_x001C_䝍幁彐剐䍉彅噁⡇㐳ㄵⰶ㐳〶⤷_x0018_＀＀_x0018_＀＀_x0008_＀＀_x0001_＀＀_x0001_＀＀ꟛ㇣䁀鮎䭩_x001C_呃幂彐剐䍉彅噁⡇㌳㜸ⰸ㌳㘹⤹_x0018_＀＀_x0018_＀＀_x0008_＀＀_x0001_＀＀_x0001_＀＀㥮說䀿鮎䭩_x001C_呃幂元卟䱁卅㌨㐳〲㌬㔳ㄱ䌬⥑_x0018_＀＀_x0018_＀＀_x0008_＀＀_x0001_＀＀_x0001_＀＀휊炣฽䁲韤䮏;呃幂南偟久䥓乏䅟卓呅当充䥕ㄨ⼲〲㐰䀩䅃偟久当䍐彔充ㄨ⼲〲㐰착_x0018_＀＀_x0018_＀＀_x0008_＀＀_x0001_＀＀_x0001_＀＀＀＀＀＀䀀䁑韤䮏 呃幂南䕟䍘彈䅒䕔ㄨ⼲〲㐰ⰬⰬ单⥄_x0018_＀＀_x0018_＀＀_x0008_＀＀_x0001_＀＀_x0001_＀＀＀＀＀＀＀＀㿰鮎䭩_x001C_呃幂彐剐䍉彅噁⡇㠳㤹ⰱ㤳㠰⤲_x0018_＀＀_x0018_＀＀_x0008_＀＀_x0001_＀＀_x0001_＀＀幆쓖꼂䀨韤䮏N呃幂䅃偟久当乕䕒佃⡇㈱㈯〰ⰳⰬ唬䑓䀩南偟久䥓乏啟剎䍅卟剅彖佃呓ㄨ⼲〲㌰ⰬⰬ单⥄_x0018_＀＀_x0018_＀＀_x0008_＀＀_x0001_＀＀_x0001_＀＀멞౉쀴흕䰠_x001C_䕌幁彐剐䍉彅噁⡇㠳㌵ⰴ㠳㈶⤵_x0018_＀＀_x0018_＀＀_x0008_＀＀_x0001_＀＀_x0001_＀＀豀碵꼝쐕韥䮏P呃幂䅃偟协剔呅偟䅌彎十彔久⡄㈱㈯〰ⰷⰬ唬䑓䀩南䡟呌䍈剁彅噆䅟卓呅ㄨ⼲〲㜰ⰬⰬ单⥄_x0018_＀＀_x0018_＀＀_x0008_＀＀_x0001_＀＀_x0001_＀＀＀＀＀＀＀＀＀＀鮎䭩(呃幂元䍟䵏卟午䍟䱁彃䕄卐㌨ㄵ㘵㌬㈵㘴䌬⥑_x0018_＀＀_x0018_＀＀_x0008_＀＀_x0001_＀＀_x0001_＀＀豀碵꼝쐕忆䰚_x001C_䝍幁彐剐䍉彅噁⡇㐳㜹ⰳ㔳㘰⤴_x0018_＀＀_x0018_＀＀_x0008_＀＀_x0001_＀＀_x0001_＀＀㮤鶈쀩䁂韥䮏)呃幂䅃偟协剔呅佟䡔䑁彊䉎⡁㈱㈯〰ⰶⰬ唬䑓착_x0018_＀＀_x0018_＀＀_x0008_＀＀_x0001_＀＀_x0001_＀＀豀碵꼝쐕忆䰚_x001C_䝍幁彐剐䍉彅噁⡇㠳㘲ⰱ㠳㔳⤲_x0018_＀＀_x0018_＀＀_x0008_＀＀_x0001_＀＀_x0001_＀＀ࢅ萸✪䁓韤䮏&lt;呃幂南偟久䥓乏䅟卓呅当佂䑎⡓㈱㈯〰⤳䍀彁䕐华偟呃䙟⡉㈱㈯〰⤳_x0018_＀＀_x0018_＀＀_x0008_＀＀_x0001_＀＀_x0001_＀＀＀＀＀＀＀＀䁀흕䰠_x001C_䕌幁彐剐䍉彅噁⡇㠳㤹ⰱ㤳㠰⤲_x0018_＀＀_x0018_＀＀_x0008_＀＀_x0001_＀＀_x0001_＀＀豀碵꼝쐕鮜䭩_x001F_呃幂䝆䕟䥂䑔彁⡑㔳㔱ⰶ㔳㐲ⰶ元착_x0018_＀＀_x0018_＀＀_x0008_＀＀_x0001_＀＀_x0001_＀＀_xDB23_绹籪䁍韤䮏G呃幂䅃偟久当䕎彔佃呓ㄨ⼲〲㈰ⰬⰬ单⥄址当䕐华佉彎偎彐塅⡐㈱㈯〰ⰲⰬ唬䑓착_x0018_＀＀_x0018_＀＀_x0008_＀＀_x0001_＀＀_x0001_＀＀눭蚧䁀韤䮏F呃幂䅃偟协剔呅剟䅏ㄨ⼲〲㠰ⰬⰬ单⥄址当䱈䡔䅃䕒䕟偘剟䅏ㄨ⼲〲㠰ⰬⰬ单⥄_x0018_＀＀_x0018_＀＀_x0008_＀＀_x0001_＀＀_x0001_＀＀＀＀＀＀＀＀＀＀鰮䲜)䕌幁䅃偟久当䵅彐佃呎䥒彂⡃㈱㈯〰ⰹⰬ唬䑓착_x0018_＀＀_x0018_＀＀_x0008_＀＀_x0001_＀＀_x0001_＀＀㌴㌳㌳䁔鮎䭩(呃幂元䍟䵏卟午䍟䱁彃䕄卐㌨㠶㈹㌬㤶ㄸ䌬⥑_x0018_＀＀_x0018_＀＀_x0008_＀＀_x0001_＀＀_x0001_＀＀桳❼䁒韤䮏G呃幂䅃偟久当䕎彔佃呓ㄨ⼲〲㔰ⰬⰬ单⥄址当䕐华佉彎偎彐塅⡐㈱㈯〰ⰵⰬ唬䑓착_x0018_＀＀_x0018_＀＀_x0008_＀＀_x0001_＀＀_x0001_＀＀竡긔䅇䀶韤䮏%呃幂䅃偟久当呌䅟卓呅⡓㈱㈯〰ⰵⰬ唬䑓착_x0018_＀＀_x0018_＀＀_x0008_＀＀_x0001_＀＀_x0001_＀＀豀碵꼝쐕鮎䭩_x001C_呃幂彐剐䍉彅噁⡇㌳㜹ⰰ㐳㔰⤹_x0018_＀＀_x0018_＀＀_x0008_＀＀_x0001_＀＀_x0001_＀＀酩糭蔿䁁韤䮏&amp;呃幂䅃偟久当十彔义䅔䝎ㄨ⼲〲㘰ⰬⰬ单⥄_x0018_＀＀_x0018_＀＀_x0008_＀＀_x0001_＀＀_x0001_＀＀豀碵꼝쐕鰳䲜"䕌幁䅃偟久当偐彄䕂彎佃呓〨ⰬⰬ单⥄_x0018_＀＀_x0018_＀＀_x0008_＀＀_x0001_＀＀_x0001_＀＀豀碵꼝쐕鮎䭩_x001C_呃幂彐剐䍉彅噁⡇㜳㘱ⰵ㜳㔲⤶_x0018_＀＀_x0018_＀＀_x0008_＀＀_x0001_＀＀_x0001_＀＀溰㮼츲䀬鮎䭩(呃幂元䍟䵏卟午䍟䱁彃䕄卐㌨㠷㌰㌬㠷㐹䌬⥑_x0018_＀＀_x0018_＀＀_x0008_＀＀_x0001_＀＀_x0001_＀＀溘茒鋀䁒鮜䭩_x001F_呃幂䝆䕟䥂䑔彁⡑㘳㤸ⰲ㘳㠹ⰱ元착_x0018_＀＀_x0018_＀＀_x0008_＀＀_x0001_＀＀_x0001_＀＀尩슏⣵䁔忆䰚_x001C_䝍幁彐剐䍉彅噁⡇㜳㈶ⰲ㜳ㄷ⤱_x0018_＀＀_x0018_＀＀_x0008_＀＀_x0001_＀＀_x0001_＀＀▙樁䁈韤䮏%呃幂䅃偟久当佃偍剟呁⡅㈱㈯〰ⰴⰬ唬䑓착_x0018_＀＀_x0018_＀＀_x0008_＀＀_x0001_＀＀_x0001_＀＀炤਽ꏗ䀌鮎䭩_x001C_呃幂彐剐䍉彅噁⡇㤳㘲ⰴ㤳㔳⤵_x0018_＀＀_x0018_＀＀_x0008_＀＀_x0001_＀＀_x0001_＀＀績퍯薟䀸韤䮏(呃幂䅃偟久当偐彄䕂彎佃呓ㄨ⼲〲㜰ⰬⰬ单⥄_x0018_＀＀_x0018_＀＀_x0008_＀＀_x0001_＀＀_x0001_＀＀豀碵꼝쐕忆䰚_x001C_䝍幁彐剐䍉彅噁⡇㔳〷ⰴ㔳㤷⤵_x0018_＀＀_x0018_＀＀_x0008_＀＀_x0001_＀＀_x0001_＀＀㶛ૐ攌䁌鰳䲜"䕌幁南偟久䥓乏䅟卓呅当呌〨ⰬⰬ单⥄_x0018_＀＀_x0018_＀＀_x0008_＀＀_x0001_＀＀_x0001_＀＀豀碵꼝쐕韥䮏E呃幂䅃偟协剔呅䉟久佟⡂㈱㈯〰ⰲⰬ唬䑓䀩南䡟呌䍈剁彅䉐⡏㈱㈯〰ⰲⰬ唬䑓착_x0018_＀＀_x0018_＀＀_x0008_＀＀_x0001_＀＀_x0001_＀＀ꧻ烱䁳鰮䲜'䕌幁南偟久䥓乏也呅䱟䅉⡂㈱㈯〰ⰹⰬ唬䑓착_x0018_＀＀_x0018_＀＀_x0008_＀＀_x0001_＀＀_x0001_＀＀豀碵꼝쐕鮎䭩(呃幂元䍟䵏卟午䍟䱁彃䕄卐㌨㔶㘲㌬㘶㘱䌬⥑_x0018_＀＀_x0018_＀＀_x0008_＀＀_x0001_＀＀_x0001_＀＀_xDF3C_赏䁒韤䮏M呃幂䅃偟协剔呅卟噒䍟协⡔㈱㈯〰ⰵⰬ唬䑓䀩南䡟呌䍈剁彅䕓噒䍟协⡔㈱㈯〰ⰵⰬ唬䑓착_x0018_＀＀_x0018_＀＀_x0008_＀＀_x0001_＀＀_x0001_＀＀࠱Წ䀕鰮䲜$䕌幁䅃偟久当䕂彎䅐䑉ㄨ⼲〲㤰ⰬⰬ单⥄_x0018_＀＀_x0018_＀＀_x0008_＀＀_x0001_＀＀_x0001_＀＀㌴㌳댳䁉䭻_x001C_呃幂彐剐䍉彅噁⡇㈳㜸ⰴ㌳㌲⤸_x0018_＀＀_x0018_＀＀_x0008_＀＀_x0001_＀＀_x0001_＀＀㦣Ë䀡鮎䭩_x001C_呃幂彐剐䍉彅噁⡇㤳㈷ⰲ㤳ㄸ⤳_x0018_＀＀_x0018_＀＀_x0008_＀＀_x0001_＀＀_x0001_＀＀뿧ἇ䀘忆䰚_x001C_䝍幁彐剐䍉彅噁⡇㜳㠹ⰷ㠳㜰⤷_x0018_＀＀_x0018_＀＀_x0008_＀＀_x0001_＀＀_x0001_＀＀ᕢ摯䁓忆䰚_x001C_䝍幁彐剐䍉彅噁⡇㔳㈵ⰱ㔳ㄶ⤱_x0018_＀＀_x0018_＀＀_x0008_＀＀_x0001_＀＀_x0001_＀＀쩘쐲䊱䁇鮎䭩_x001C_呃幂彐剐䍉彅噁⡇〴㔴ⰲ〴㐵⤳_x0018_＀＀_x0018_＀＀_x0008_＀＀_x0001_＀＀_x0001_＀＀豀碵꼝쐕韤䮏J呃幂䅃偟久当䱐乁䅟呓ㄨ⼲〲㔰ⰬⰬ单⥄址当䕐华佉彎䅖彌十䕓協ㄨ⼲〲㔰ⰬⰬ单⥄_x0018_＀＀_x0018_＀＀_x0008_＀＀_x0001_＀＀_x0001_＀＀갈娜㥤䂋흕䰠_x001C_䕌幁彐剐䍉彅噁⡇㤳㘲ⰴ㤳㔳⤵_x0018_＀＀_x0018_＀＀_x0008_＀＀_x0001_＀＀_x0001_＀＀豀碵꼝쐕饙䭩_x001C_呃幂䝆䕟卐兟㌨ㄵ㘵㌬㈵㘴䌬⥑_x0018_＀＀_x0018_＀＀_x0008_＀＀_x0001_＀＀_x0001_＀＀㌳㌳㌳㿓韢䮏_x000F_呃幂南䥟体䍟䑏책_x0014_＀＀_x0018_＀＀_x0004_＀＀_x0001_＀＀_x0008_＀＀单D韥䮏+呃幂䅃偟协剔呅偟剁彔佃呎䥒⡂㈱㈯〰ⰴⰬ唬䑓착_x0018_＀＀_x0018_＀＀_x0008_＀＀_x0001_＀＀_x0001_＀＀＀＀＀＀＀＀＀＀鮜䭩_x001F_呃幂䝆䕟䥂䑔彁⡑㘳㈵ⰶ㘳ㄶⰶ元착_x0018_＀＀_x0018_＀＀_x0008_＀＀_x0001_＀＀_x0001_＀＀ొ⬂ﺇ䁞韤䮏＀Ｏ呃幂南䡟呌䍈剁彅䵁剏彔䕓噒䍟协⡔㈱㈯〰ⰴⰬ唬䑓착_x0018_＀＀_x0018_＀＀_x0008_＀＀_x0001_＀＀_x0001_＀＀갈娜㭤뾿鮎䭩_x001C_呃幂彐剐䍉彅噁⡇㐳〶ⰸ㐳㤶⤹_x0018_＀＀_x0018_＀＀_x0008_＀＀_x0001_＀＀_x0001_＀＀鹙輇䀷鰮䲜I䕌幁䅃偟久当剓彖佃呓ㄨ⼲〲㤰ⰬⰬ单⥄址当䕐华佉彎䕓噒䍟协⡔㈱㈯〰ⰹⰬ唬䑓착_x0018_＀＀_x0018_＀＀_x0008_＀＀_x0001_＀＀_x0001_＀＀晧晦晦䀢鮎䭩(呃幂元䍟䵏卟午䍟䱁彃䕄卐㌨㤶㈸㌬〷㈷䌬⥑_x0018_＀＀_x0018_＀＀_x0008_＀＀_x0001_＀＀_x0001_＀＀ⴎ鶲⟯䁒鮎䭩(呃幂元䍟䵏卟午䍟䱁彃䕄卐㌨㤳〷㌬〴㤵䌬⥑_x0018_＀＀_x0018_＀＀_x0008_＀＀_x0001_＀＀_x0001_＀＀豀碵꼝쐕鮎䭩(呃幂元䍟䵏卟午䍟䱁彃䕄卐㌨㠷㔹㌬㤷㘸䌬⥑_x0018_＀＀_x0018_＀＀_x0008_＀＀_x0001_＀＀_x0001_＀＀㽽帵놺䁒鮎䭩(呃幂元䍟䵏卟午䍟䱁彃䕄卐㌨㔵ㄲ㌬㘵ㄱ䌬⥑_x0018_＀＀_x0018_＀＀_x0008_＀＀_x0001_＀＀_x0001_＀＀豀碵꼝쐕韤䮏L呃幂䅃偟协剔呅䥟呎䍟协⡔㈱㈯〰ⰴⰬ唬䑓䀩南䡟呌䍈剁彅义彔佃呓ㄨ⼲〲㐰ⰬⰬ单⥄_x0018_＀＀_x0018_＀＀_x0008_＀＀_x0001_＀＀_x0001_＀＀삃ꇊ㙅䀮韥䮏#呃幂䅃偟协剔呅䱟䅉⡂㈱㈯〰ⰵⰬ唬䑓착_x0018_＀＀_x0018_＀＀_x0008_＀＀_x0001_＀＀_x0001_＀＀ﯨ헒쁨흖䰠_x001C_䕌幁彐剐䍉彅噁⡇㤳㈷ⰲ㤳ㄸ⤳_x0018_＀＀_x0018_＀＀_x0008_＀＀_x0001_＀＀_x0001_＀＀豀碵꼝쐕鮎䭩_x001C_呃幂彐剐䍉彅噁⡇㐳㈴ⰵ㐳ㄵ⤵_x0018_＀＀_x0018_＀＀_x0008_＀＀_x0001_＀＀_x0001_＀＀敖ᗟ꿁䀹鰳䲜_x001F_䕌幁䅃偟久当呌䅟卓呅⡓ⰰⰬ唬䑓착_x0018_＀＀_x0018_＀＀_x0008_＀＀_x0001_＀＀_x0001_＀＀晧晦晦䁆鮜䭩_x001F_呃幂䝆䕟䥂䑔彁⡑㘳㠹ⰲ㜳㜰ⰲ元착_x0018_＀＀_x0018_＀＀_x0008_＀＀_x0001_＀＀_x0001_＀＀尨誏䁛琍䭱_x001C_呃幂彐剐䍉彅噁⡇㈳㠷ⰲ㈳㜸⤳_x0018_＀＀_x0018_＀＀_x0008_＀＀_x0001_＀＀_x0001_＀＀ꔖ悄鵕䀡鮜䭩_x001F_呃幂䝆䕟䥂䑔彁⡑㔳㈵ⰱ㔳ㄶⰱ元착_x0018_＀＀_x0018_＀＀_x0008_＀＀_x0001_＀＀_x0001_＀＀傜肈ꍃ䁓鮜䭩_x001F_呃幂䝆䕟䥂䑔彁⡑㌳㜹ⰰ㐳㔰ⰹ元착_x0018_＀＀_x0018_＀＀_x0008_＀＀_x0001_＀＀_x0001_＀＀螇縰会䁊韤䮏'呃幂䅃偟久当商䑎卟䅔啔⡓㈱㈯〰ⰲⰬ唬䑓착_x0018_＀＀_x0018_＀＀_x0008_＀＀_x0001_＀＀_x0001_＀＀俟鞍쉮쁠흕䰠_x001C_䕌幁彐剐䍉彅噁⡇㐳〶ⰸ㐳㤶⤹_x0018_＀＀_x0018_＀＀_x0008_＀＀_x0001_＀＀_x0001_＀＀豀碵꼝쐕饙䭩_x001F_呃幂兆也呅䑟䉅⡔㔳㔱ⰶ㔳㐲ⰶ元착_x0018_＀＀_x0018_＀＀_x0008_＀＀_x0001_＀＀_x0001_＀＀豀碵꼝쐕鸓䮏&lt;呃幂䅃偟久当䥄䍓剟呁⡅㈱㈯〰⤸址当䕐华佉彎䥄䍓剟呁⡅㈱㈯〰⤸_x0018_＀＀_x0018_＀＀_x0008_＀＀_x0001_＀＀_x0001_＀＀ᑻ䞮竡䀘韤䮏J呃幂䅃偟久当䥄䍓剟呁⡅㈱㈯〰ⰳⰬ唬䑓䀩南偟久䥓乏䑟卉彃䅒䕔ㄨ⼲〲㌰ⰬⰬ单⥄_x0018_＀＀_x0018_＀＀_x0008_＀＀_x0001_＀＀_x0001_＀＀轜尨䀙韤䮏)呃幂䅃偟久当䵅彐佃呎䥒彂⡃㈱㈯〰ⰳⰬ唬䑓착_x0018_＀＀_x0018_＀＀_x0008_＀＀_x0001_＀＀_x0001_＀＀삃ꇊ噅䁍韤䮏 呃幂南䕟䍘彈䅒䕔䥟䍎䍟⡆㈱㈯〰⤲_x0018_＀＀_x0018_＀＀_x0008_＀＀_x0001_＀＀_x0001_＀＀豀碵꼝쐕韤䮏G呃幂䅃偟协剔呅䍟协⡔㈱㈯〰ⰶⰬ唬䑓䀩南䡟呌䍈剁彅偎彐塅⡐㈱㈯〰ⰶⰬ唬䑓착_x0018_＀＀_x0018_＀＀_x0008_＀＀_x0001_＀＀_x0001_＀＀閁譃蝬䀸흕䰠_x001C_䕌幁彐剐䍉彅噁⡇㐳㈴ⰵ㐳ㄵ⤵_x0018_＀＀_x0018_＀＀_x0008_＀＀_x0001_＀＀_x0001_＀＀豀碵꼝쐕䰠_x001C_䕌幁彐剐䍉彅噁⡇㤳ㄸⰴ〴㜱⤸_x0018_＀＀_x0018_＀＀_x0008_＀＀_x0001_＀＀_x0001_＀＀쥜趎♀䁐忆䰚_x001C_䝍幁彐剐䍉彅噁⡇㔳㘰ⰵ㔳㔱⤵_x0018_＀＀_x0018_＀＀_x0008_＀＀_x0001_＀＀_x0001_＀＀릍५ࣹ䁂韥䮏(呃幂南䡟呌䍈剁彅乕彆䕂⡎㈱㈯〰ⰸⰬ唬䑓⤩＀＀＀＀韥䮏,呃幂䅃偟协剔呅䕟偍䍟乏剔䉉䍟ㄨ⼲〲㌰ⰬⰬ单⥄_x0018_＀＀_x0018_＀＀_x0008_＀＀_x0001_＀＀_x0001_＀＀＀＀＀＀＀＀＀＀흕䰠_x001C_䕌幁彐剐䍉彅噁⡇㐳㠸ⰱ㐳㜹⤲_x0018_＀＀_x0018_＀＀_x0008_＀＀_x0001_＀＀_x0001_＀＀豀碵꼝쐕鮎䭩(呃幂元䍟䵏卟午䍟䱁彃䕄卐㐨㈰㤶㐬㌰㤵䌬⥑_x0018_＀＀_x0018_＀＀_x0008_＀＀_x0001_＀＀_x0001_＀＀豀碵꼝쐕韤䮏I呃幂䅃偟久当剓彖佃呓ㄨ⼲〲㜰ⰬⰬ单⥄址当䕐华佉彎䕓噒䍟协⡔㈱㈯〰ⰷⰬ唬䑓착_x0018_＀＀_x0018_＀＀_x0008_＀＀_x0001_＀＀_x0001_＀＀嘄ⴎﶲ䀵惮䰚_x001C_䝍幁彐剐䍉彅噁⡇㐳〷ⰰ㔳㘰⤴_x0018_＀＀_x0018_＀＀_x0008_＀＀_x0001_＀＀_x0001_＀＀팇簰걄䁁鸔䮏'呃幂䅃偟久当商䑎卟䅔啔⡓㈱㈯〰ⰸⰬ唬䑓착_x0018_＀＀_x0018_＀＀_x0008_＀＀_x0001_＀＀_x0001_＀＀璽ᢓ쨄쁰韤䮏(呃幂䅃偟久当䅐呒䍟乏剔䉉ㄨ⼲〲㘰ⰬⰬ单⥄_x0018_＀＀_x0018_＀＀_x0008_＀＀_x0001_＀＀_x0001_＀＀ㄦ갈䀂忆䰚_x001C_䝍幁彐剐䍉彅噁⡇㜳㐳ⰷ㜳㌴⤷_x0018_＀＀_x0018_＀＀_x0008_＀＀_x0001_＀＀_x0001_＀＀▆倞ꤶ䁏鮎䭩_x001C_呃幂彐剐䍉彅噁⡇㔳㌳ⰹ㔳㌴⤰_x0018_＀＀_x0018_＀＀_x0008_＀＀_x0001_＀＀_x0001_＀＀斕授呝䀴鸓䮏G呃幂䅃偟久当䕎彔佃呓ㄨ⼲〲㠰ⰬⰬ单⥄址当䕐华佉彎偎彐塅⡐㈱㈯〰ⰸⰬ唬䑓착_x0018_＀＀_x0018_＀＀_x0008_＀＀_x0001_＀＀_x0001_＀＀嘄ⴎ嶲䀰韤䮏F呃幂䅃偟协剔呅剟䅏ㄨ⼲〲㜰ⰬⰬ单⥄址当䱈䡔䅃䕒䕟偘剟䅏ㄨ⼲〲㜰ⰬⰬ单⥄_x0018_＀＀_x0018_＀＀_x0008_＀＀_x0001_＀＀_x0001_＀＀＀＀＀＀＀＀＀＀鸓䮏C呃幂䅃偟久当剐䩏佟䱂ㄨ⼲〲㠰ⰬⰬ单⥄址当䕐华佉彎䉐⡏㈱㈯〰ⰸⰬ唬䑓착_x0018_＀＀_x0018_＀＀_x0008_＀＀_x0001_＀＀_x0001_＀＀酩糭ᐿ䂏韤䮏J呃幂䅃偟久当佒彁䅒䕔ㄨ⼲〲㌰ⰬⰬ单⥄址当䕐华佉彎塅彐呌剟䅏ㄨ⼲〲㌰ⰬⰬ单⥄_x0018_＀＀_x0018_＀＀_x0008_＀＀_x0001_＀＀_x0001_＀＀ᑻ䞮﫡䀡韤䮏$呃幂䅃偟久当䕂彎䅐䑉ㄨ⼲〲㐰ⰬⰬ单⥄_x0018_＀＀_x0018_＀＀_x0008_＀＀_x0001_＀＀_x0001_＀＀⋑率橾䁋忆䰚_x001C_䝍幁彐剐䍉彅噁⡇㤳〹ⰴ㤳㤹⤴_x0018_＀＀_x0018_＀＀_x0008_＀＀_x0001_＀＀_x0001_＀＀画돥霼䁁忆䰚_x001C_䝍幁彐剐䍉彅噁⡇㘳㔲ⰱ㘳㐳⤱_x0018_＀＀_x0018_＀＀_x0008_＀＀_x0001_＀＀_x0001_＀＀җꦨ_xDF65_䁉뀸䲌_x000E_䕌幁彐剐䍉⡅⤰_x0018_＀＀_x0018_＀＀_x0008_＀＀_x0001_＀＀_x0001_＀＀炤਽䁑韥䮏'呃幂䅃偟协剔呅䉟久偟䥁⡄㈱㈯〰ⰳⰬ唬䑓착_x0018_＀＀_x0018_＀＀_x0008_＀＀_x0001_＀＀_x0001_＀＀＀＀＀＀＀＀＀＀忆䰚_x001C_䝍幁彐剐䍉彅噁⡇㘳㌴ⰴ㘳㈵⤵_x0018_＀＀_x0018_＀＀_x0008_＀＀_x0001_＀＀_x0001_＀＀鋷棆ᴝ䁃鮎䭩(呃幂元䍟䵏卟午䍟䱁彃䕄卐㌨㤷㜸㌬〸㜷䌬⥑_x0018_＀＀_x0018_＀＀_x0008_＀＀_x0001_＀＀_x0001_＀＀鮦⃄슰䁒鸓䮏J呃幂䅃偟久当䱐乁䅟呓ㄨ⼲〲㠰ⰬⰬ单⥄址当䕐华佉彎䅖彌十䕓協ㄨ⼲〲㠰ⰬⰬ单⥄_x0018_＀＀_x0018_＀＀_x0008_＀＀_x0001_＀＀_x0001_＀＀휊炣꼽䂆韤䮏-呃幂䅃偟协剔呅啟归剔佟彂䵁剏⡔㈱㈯〰ⰴⰬ唬䑓착_x0018_＀＀_x0018_＀＀_x0008_＀＀_x0001_＀＀_x0001_＀＀＀＀＀＀＀＀＀＀흕䰠_x001C_䕌幁彐剐䍉彅噁⡇㔳㌳ⰹ㔳㌴⤰_x0018_＀＀_x0018_＀＀_x0008_＀＀_x0001_＀＀_x0001_＀＀豀碵꼝쐕鮎䭩_x001C_呃幂彐剐䍉彅噁⡇㠳〸ⰸ㠳㤸⤸_x0018_＀＀_x0018_＀＀_x0008_＀＀_x0001_＀＀_x0001_＀＀稭ʧ৮䀨鮎䭩(呃幂元䍟䵏卟午䍟䱁彃䕄卐㌨㌷㜴㌬㐷㜳䌬⥑_x0018_＀＀_x0018_＀＀_x0008_＀＀_x0001_＀＀_x0001_＀＀휊炣ꈽ䁒忆䰚_x001C_䝍幁彐剐䍉彅噁⡇㜳〸ⰳ㜳㤸⤴_x0018_＀＀_x0018_＀＀_x0008_＀＀_x0001_＀＀_x0001_＀＀ꆌ梜䥗䁑鮎䭩_x001C_呃幂彐剐䍉彅噁⡇㘳㈵ⰶ㘳ㄶ⤶_x0018_＀＀_x0018_＀＀_x0008_＀＀_x0001_＀＀_x0001_＀＀툛삨웉䀨韤䮏N呃幂䅃偟久当乕䕒佃⡇㈱㈯〰ⰲⰬ唬䑓䀩南偟久䥓乏啟剎䍅卟剅彖佃呓ㄨ⼲〲㈰ⰬⰬ单⥄_x0018_＀＀_x0018_＀＀_x0008_＀＀_x0001_＀＀_x0001_＀＀ﷴ磔쀵韤䮏'呃幂南偟久偟协彔䕒彔䕂⡎㈱㈯〰ⰵⰬ唬䑓착_x0018_＀＀_x0018_＀＀_x0008_＀＀_x0001_＀＀_x0001_＀＀틲才䁴韤䮏"呃幂南偟久䥓乏偟佂ㄨ⼲〲㐰ⰬⰬ单⥄_x0018_＀＀_x0018_＀＀_x0008_＀＀_x0001_＀＀_x0001_＀＀Წ摚씻䂌韤䮏%呃幂䅃偟久当啃归䥌䉁⡓㈱㈯〰ⰷⰬ唬䑓착_x0018_＀＀_x0018_＀＀_x0008_＀＀_x0001_＀＀_x0001_＀＀＀＀＀＀＀＀＀＀韤䮏'呃幂南偟久䥓乏也呅䱟䅉⡂㈱㈯〰ⰵⰬ唬䑓착_x0018_＀＀_x0018_＀＀_x0008_＀＀_x0001_＀＀_x0001_＀＀豀碵꼝쐕鞰䮏＀Ｏ坞当䕐华佉彎十䕓協䉟乏卄丨⥁䍀彁䕐华偟呃䙟⡉䅎착_x0018_＀＀_x0018_＀＀_x0008_＀＀_x0001_＀＀_x0001_＀＀豀碵꼝쐕韤䮏$呃幂䅃偟久当呌䱟䅉卂ㄨ⼲〲㜰ⰬⰬ单⥄_x0018_＀＀_x0018_＀＀_x0008_＀＀_x0001_＀＀_x0001_＀＀嘄ⴎ춲䁋䫻 剔幗䝆䕟䅖彌䉅呉⡄㈭䄰ⱙⰰ奆㤬⤰°＀＀_x0018_＀＀ ＀＀_x0014_＀＀_x0001_＀＀豀碵꼝쐕豀碵꼝쐕豀碵꼝쐕豀碵꼝쐕豀碵꼝쐕豀碵꼝쐕豀碵꼝쐕豀碵꼝쐕豀碵꼝쐕豀碵꼝쐕豀碵꼝쐕豀碵꼝쐕豀碵꼝쐕豀碵꼝쐕豀碵꼝쐕򝘅㤤䀑檩ꢂû䀒盞릡͎䀑踙㏧溠䀑ࡰ橕惶䀄䭻_x001C_呃幂彐剐䍉彅噁⡇㐳㌳ⰵ㐳㤶⤹_x0018_＀＀_x0018_＀＀_x0008_＀＀_x0001_＀＀_x0001_＀＀઒ୣف䀹鮎䭩_x001C_呃幂䝆䕟卐兟㌨㔳㈱㌬㘳㌰䌬⥑_x0018_＀＀_x0018_＀＀_x0008_＀＀_x0001_＀＀_x0001_＀＀ꏗ㵰휊㿓鞰䮏_x000C_坞当啃剒久奃_x0014_＀＀_x0018_＀＀_x0004_＀＀_x0001_＀＀_x0008_＀＀乀A韤䮏)呃幂南䡟呌䍈剁彅䥄䍓剟呁⡅㈱㈯〰ⰶⰬ唬䑓착_x0018_＀＀_x0018_＀＀_x0008_＀＀_x0001_＀＀_x0001_＀＀＀＀＀＀＀＀䀗흕䰠_x001C_䕌幁彐剐䍉彅噁⡇㠳〸ⰸ㠳㤸⤸_x0018_＀＀_x0018_＀＀_x0008_＀＀_x0001_＀＀_x0001_＀＀豀碵꼝쐕䭻_x001C_呃幂彐剐䍉彅噁⡇㤳ㄸⰴ〴㜱⤸_x0018_＀＀_x0018_＀＀_x0008_＀＀_x0001_＀＀_x0001_＀＀৕≨ᡬ䀧흕䰠_x001C_䕌幁彐剐䍉彅噁⡇㘳㈵ⰶ㘳ㄶ⤶_x0018_＀＀_x0018_＀＀_x0008_＀＀_x0001_＀＀_x0001_＀＀豀碵꼝쐕韥䮏*呃幂南䡟呌䍈剁彅塅彐呌剟䅏ㄨ⼲〲㜰ⰬⰬ单⥄_x0018_＀＀_x0018_＀＀_x0008_＀＀_x0001_＀＀_x0001_＀＀豀碵꼝쐕鮎䭩_x001C_呃幂彐剐䍉彅噁⡇㜳ㄷⰲ㜳〸⤲_x0018_＀＀_x0018_＀＀_x0008_＀＀_x0001_＀＀_x0001_＀＀枇㈉䈂䀮韤䮏;呃幂南偟久䥓乏䅟卓呅当呏⡈㈱㈯〰⤶䍀彁䕐华偟呃佟䡔ㄨ⼲〲㘰착_x0018_＀＀_x0018_＀＀_x0008_＀＀_x0001_＀＀_x0001_＀＀＀＀＀＀＀＀＀＀韤䮏)呃幂南偟久䥓乏噟䱁䅟卓呅⡓㈱㈯〰ⰳⰬ唬䑓착_x0018_＀＀_x0018_＀＀_x0008_＀＀_x0001_＀＀_x0001_＀＀䆉ῐ䂊鮎䭩_x001C_呃幂彐剐䍉彅噁⡇㐳㠸ⰱ㐳㜹⤲_x0018_＀＀_x0018_＀＀_x0008_＀＀_x0001_＀＀_x0001_＀＀箊紬狨䀹鮎䭩(呃幂元䍟䵏卟午䍟䱁彃䕄卐㌨㈸ㄶ㌬㌸㈵䌬⥑_x0018_＀＀_x0018_＀＀_x0008_＀＀_x0001_＀＀_x0001_＀＀_xDB23_绹鑪䁒琍䭱_x001C_呃幂彐剐䍉彅噁⡇㌳ㄵⰲ㌳〶⤳_x0018_＀＀_x0018_＀＀_x0008_＀＀_x0001_＀＀_x0001_＀＀폙缎♍䀴韥䮏T呃幂䅃偟协剔呅偟䥒剏卟噒ㄨ⼲〲㌰ⰬⰬ单⥄址当䱈䡔䅃䕒啟剎䍅卟剅彖佃呓ㄨ⼲〲㌰ⰬⰬ单⥄_x0018_＀＀_x0018_＀＀_x0008_＀＀_x0001_＀＀_x0001_＀＀Ẹ롑㾾䰠_x001C_䕌幁彐剐䍉彅噁⡇㐳㌳ⰵ㐳㤶⤹_x0018_＀＀_x0018_＀＀_x0008_＀＀_x0001_＀＀_x0001_＀＀豀碵꼝쐕鮎䭩_x001C_呃幂彐剐䍉彅噁⡇㘳㘰ⰹ㘳㘱⤰_x0018_＀＀_x0018_＀＀_x0008_＀＀_x0001_＀＀_x0001_＀＀佢ﰻ䀱韤䮏 呃幂南䕟䍘彈䅒䕔ㄨ⼲〲㔰ⰬⰬ单⥄_x0018_＀＀_x0018_＀＀_x0008_＀＀_x0001_＀＀_x0001_＀＀＀＀＀＀＀＀㿰韤䮏 呃幂南䕟䍘彈䅒䕔䥟䍎䍟⡆㈱㈯〰⤳_x0018_＀＀_x0018_＀＀_x0008_＀＀_x0001_＀＀_x0001_＀＀豀碵꼝쐕忆䰚_x001C_䝍幁彐剐䍉彅噁⡇㤳㐴ⰸ㤳㌵⤸_x0018_＀＀_x0018_＀＀_x0008_＀＀_x0001_＀＀_x0001_＀＀Ə럝䁒鮎䭩(呃幂元䍟䵏卟午䍟䱁彃䕄卐㌨㤴㌷㌬〵㐶䌬⥑_x0018_＀＀_x0018_＀＀_x0008_＀＀_x0001_＀＀_x0001_＀＀豀碵꼝쐕鮎䭩_x001F_呃幂兆也呅䑟䉅⡔㌳ㄵⰲ㌳〶ⰳ元착_x0018_＀＀_x0018_＀＀_x0008_＀＀_x0001_＀＀_x0001_＀＀豀碵꼝쐕흕䰠_x001C_䕌幁彐剐䍉彅噁⡇㜳ㄷⰲ㜳〸⤲_x0018_＀＀_x0018_＀＀_x0008_＀＀_x0001_＀＀_x0001_＀＀豀碵꼝쐕鮎䭩(呃幂元䍟䵏卟午䍟䱁彃䕄卐㌨㔳㈱㌬㘳㌰䌬⥑_x0018_＀＀_x0018_＀＀_x0008_＀＀_x0001_＀＀_x0001_＀＀豀碵꼝쐕韤䮏G呃幂䅃偟协剔呅䍟协⡔㈱㈯〰ⰵⰬ唬䑓䀩南䡟呌䍈剁彅偎彐塅⡐㈱㈯〰ⰵⰬ唬䑓착_x0018_＀＀_x0018_＀＀_x0008_＀＀_x0001_＀＀_x0001_＀＀尨ꊏ䀸韤䮏Q呃幂䅃偟久当䍁啃彍佃偍䥒䍎ㄨ⼲〲㐰ⰬⰬ单⥄址当佃偍归义彃䕐华䱟䅉⡂㈱㈯〰ⰴⰬ唬䑓착_x0018_＀＀_x0018_＀＀_x0008_＀＀_x0001_＀＀_x0001_＀＀＀＀＀＀＀＀＀＀鮜䭩_x001F_呃幂䝆䕟䥂䑔彁⡑㐳㜹ⰳ㔳㘰ⰴ元착_x0018_＀＀_x0018_＀＀_x0008_＀＀_x0001_＀＀_x0001_＀＀砘㷮❜䁑韤䮏J呃幂䅃偟久当佒彁䅒䕔ㄨ⼲〲㘰ⰬⰬ单⥄址当䕐华佉彎塅彐呌剟䅏ㄨ⼲〲㘰ⰬⰬ单⥄_x0018_＀＀_x0018_＀＀_x0008_＀＀_x0001_＀＀_x0001_＀＀ਾꏗ㵰䀡鮎䭩(呃幂元䍟䵏卟午䍟䱁彃䕄卐㌨㐳〲㌬㔳ㄱ䌬⥑_x0018_＀＀_x0018_＀＀_x0008_＀＀_x0001_＀＀_x0001_＀＀豀碵꼝쐕鮜䭩_x001F_呃幂䝆䕟䥂䑔彁⡑㌳ㄵⰲ㌳〶ⰳ元착_x0018_＀＀_x0018_＀＀_x0008_＀＀_x0001_＀＀_x0001_＀＀_xDD2F_ؤ햁䁇흕䰠_x001C_䕌幁彐剐䍉彅噁⡇㘳㘰ⰹ㘳㘱⤰_x0018_＀＀_x0018_＀＀_x0008_＀＀_x0001_＀＀_x0001_＀＀豀碵꼝쐕饙䭩_x001C_呃幂元卟䱁卅㌨〵㔶㌬ㄵ㔵䌬⥑_x0018_＀＀_x0018_＀＀_x0008_＀＀_x0001_＀＀_x0001_＀＀司ꗣ킛䁷韥䮏P呃幂䅃偟协剔呅偟䅌彎十彔久⡄㈱㈯〰ⰶⰬ唬䑓䀩南䡟呌䍈剁彅噆䅟卓呅ㄨ⼲〲㘰ⰬⰬ单⥄_x0018_＀＀_x0018_＀＀_x0008_＀＀_x0001_＀＀_x0001_＀＀＀＀＀＀＀＀＀＀鰮䲜;䕌幁南偟久䥓乏䅟卓呅当呏⡈㈱㈯〰⤹䍀彁䕐华偟呃佟䡔ㄨ⼲〲㤰착_x0018_＀＀_x0018_＀＀_x0008_＀＀_x0001_＀＀_x0001_＀＀쳍쳌쳌䀠鮎䭩(呃幂元䍟䵏卟午䍟䱁彃䕄卐㌨㜷㈱㌬㠷㈰䌬⥑_x0018_＀＀_x0018_＀＀_x0008_＀＀_x0001_＀＀_x0001_＀＀赐溗笒䁒韤䮏(呃幂南偟久䥓乏䅟卓呅当呌ㄨ⼲〲㘰ⰬⰬ单⥄_x0018_＀＀_x0018_＀＀_x0008_＀＀_x0001_＀＀_x0001_＀＀豀碵꼝쐕鰾䲜"䕌幁南䡟呌䍈剁彅䥄䍓剟呁⡅ⰬⰬ单⥄_x0018_＀＀_x0018_＀＀_x0008_＀＀_x0001_＀＀_x0001_＀＀＀＀＀＀＀＀䀘鮎䭩(呃幂元䍟䵏卟午䍟䱁彃䕄卐㌨㌴㔳㌬㐴㐲䌬⥑_x0018_＀＀_x0018_＀＀_x0008_＀＀_x0001_＀＀_x0001_＀＀豀碵꼝쐕鮎䭩_x001F_呃幂䝆䕟䥂䑔彁⡑㌳㈴ⰰ㌳ㄵⰱ元착_x0018_＀＀_x0018_＀＀_x0008_＀＀_x0001_＀＀_x0001_＀＀빷᪟䁅凄䪹_x0019_坂幁䝆偟䭂⴨〲奁〬䘬ⱙ〹착°＀＀_x0018_＀＀ ＀＀_x0014_＀＀_x0001_＀＀豀碵꼝쐕豀碵꼝쐕豀碵꼝쐕豀碵꼝쐕캎_xFFFF_ﾖ_xDAD2_㿨랹빬㿳㪕礒⇜㿶땔瞓ោ㿸⎀䴦䤨㿿⊾ఉ誣㿼뮥뎐㿰Ꭶ彤㿮龯浙奙㿳ᰌ᥵画㿵Ⰺ⦀꜃㿿ⲙ㿮촲䀀奓벹˞䀁Ⅼ䇈㿼텾ꇔ皉䀄툨鳽ᲂ㿲镘䮎＀Ｏ䍞彁䕐华䑟卉彃䅒䕔丨⥁址当䕐华佉彎䥄䍓剟呁⡅䅎착_x0018_＀＀_x0018_＀＀_x0008_＀＀_x0001_＀＀_x0001_＀＀豀碵꼝쐕鰮䲜M䕌幁䅃偟久当剐佉归剓⡖㈱㈯〰ⰹⰬ唬䑓䀩南偟久䥓乏偟归䕓噒䍟协⡔㈱㈯〰ⰹⰬ唬䑓착_x0018_＀＀_x0018_＀＀_x0008_＀＀_x0001_＀＀_x0001_＀＀豀碵꼝쐕韤䮏&amp;呃幂䅃偟久当十彔义䅔䝎ㄨ⼲〲㜰ⰬⰬ单⥄_x0018_＀＀_x0018_＀＀_x0008_＀＀_x0001_＀＀_x0001_＀＀豀碵꼝쐕韤䮏M呃幂䅃偟协剔呅卟噒䍟协⡔㈱㈯〰ⰸⰬ唬䑓䀩南䡟呌䍈剁彅䕓噒䍟协⡔㈱㈯〰ⰸⰬ唬䑓착_x0018_＀＀_x0018_＀＀_x0008_＀＀_x0001_＀＀_x0001_＀＀㝌䆉䀓鰮䲜N䕌幁䅃偟久当乕䕒佃⡇㈱㈯〰ⰹⰬ唬䑓䀩南偟久䥓乏啟剎䍅卟剅彖佃呓ㄨ⼲〲㤰ⰬⰬ单⥄_x0018_＀＀_x0018_＀＀_x0008_＀＀_x0001_＀＀_x0001_＀＀＀＀＀＀＀＀＀＀惮䰚_x001C_䝍幁彐剐䍉彅噁⡇㘳㈵ⰶ㘳㤸⤱_x0018_＀＀_x0018_＀＀_x0008_＀＀_x0001_＀＀_x0001_＀＀绐袤꼌䁃鮎䭩(呃幂元䍟䵏卟午䍟䱁彃䕄卐㌨ㄶㄶ㌬㈶〵䌬⥑_x0018_＀＀_x0018_＀＀_x0008_＀＀_x0001_＀＀_x0001_＀＀ꗣ쒛䁒鮜䭩_x001F_呃幂䝆䕟䥂䑔彁⡑㐳㌳ⰵ㐳㈴ⰴ元착_x0018_＀＀_x0018_＀＀_x0008_＀＀_x0001_＀＀_x0001_＀＀䯇褷ꁁ䁌鸓䮏C呃幂䅃偟久当剐䩏佟䱂ㄨ⼲〲㜰ⰬⰬ单⥄址当䕐华佉彎䉐⡏㈱㈯〰ⰷⰬ唬䑓착_x0018_＀＀_x0018_＀＀_x0008_＀＀_x0001_＀＀_x0001_＀＀ⴎ鶲⭯䂑惮䰚_x001C_䝍幁彐剐䍉彅噁⡇㔳㌴ⰱ㔳㤷⤵_x0018_＀＀_x0018_＀＀_x0008_＀＀_x0001_＀＀_x0001_＀＀麄꫍췏䁉鮜䭩_x001F_呃幂䝆䕟䥂䑔彁⡑㘳㘱ⰱ㘳㔲ⰰ元착_x0018_＀＀_x0018_＀＀_x0008_＀＀_x0001_＀＀_x0001_＀＀_xD917_쭓䁓鮎䭩_x001C_呃幂彐剐䍉彅噁⡇㜳㤸ⰵ㜳㠹⤶_x0018_＀＀_x0018_＀＀_x0008_＀＀_x0001_＀＀_x0001_＀＀壎鴴쒝䀳忆䰚_x001C_䝍幁彐剐䍉彅噁⡇㐳〷ⰰ㐳㠷⤹_x0018_＀＀_x0018_＀＀_x0008_＀＀_x0001_＀＀_x0001_＀＀䳘_xD9BE_㋦䁀鮎䭩(呃幂元䍟䵏卟午䍟䱁彃䕄卐㌨ㄹ㌷㌬㈹㌶䌬⥑_x0018_＀＀_x0018_＀＀_x0008_＀＀_x0001_＀＀_x0001_＀＀龿⼚瓝䁏韤䮏C呃幂䅃偟久当剐䩏佟䱂ㄨ⼲〲㘰ⰬⰬ单⥄址当䕐华佉彎䉐⡏㈱㈯〰ⰶⰬ唬䑓착_x0018_＀＀_x0018_＀＀_x0008_＀＀_x0001_＀＀_x0001_＀＀㽼㦵䂑韣䮏9呃幂䅃偟久当䕎彔佃呓ㄨ⼲〲㠰䀩南偟久䥓乏也偐䕟偘ㄨ⼲〲㠰착_x0018_＀＀_x0018_＀＀_x0008_＀＀_x0001_＀＀_x0001_＀＀嘄ⴎ嶲䀰䭻_x001C_呃幂彐剐䍉彅噁⡇㠳ㄷⰸ㤳㠰⤲_x0018_＀＀_x0018_＀＀_x0008_＀＀_x0001_＀＀_x0001_＀＀뿊垖龮䀨흕䰠_x001C_䕌幁彐剐䍉彅噁⡇㜳㤸ⰵ㜳㠹⤶_x0018_＀＀_x0018_＀＀_x0008_＀＀_x0001_＀＀_x0001_＀＀豀碵꼝쐕鮎䭩(呃幂元䍟䵏卟午䍟䱁彃䕄卐㌨㤹㔹㐬〰㘸䌬⥑_x0018_＀＀_x0018_＀＀_x0008_＀＀_x0001_＀＀_x0001_＀＀晧晦虦䁎韥䮏+呃幂䅃偟协剔呅偟剁彔佃呎䥒⡂㈱㈯〰ⰵⰬ唬䑓착_x0018_＀＀_x0018_＀＀_x0008_＀＀_x0001_＀＀_x0001_＀＀＀＀＀＀＀＀＀＀韤䮏＀Ｏ呃幂南䡟呌䍈剁彅䵁剏彔䕓噒䍟协⡔㈱㈯〰ⰵⰬ唬䑓착_x0018_＀＀_x0018_＀＀_x0008_＀＀_x0001_＀＀_x0001_＀＀磕⛩࠱뿌鮎䭩_x001C_呃幂䝆䕟卐兟㌨㐳〲㌬㔳ㄱ䌬⥑_x0018_＀＀_x0018_＀＀_x0008_＀＀_x0001_＀＀_x0001_＀＀⣶轜㿐韤䮏;呃幂南偟久䥓乏䅟卓呅当剐偏ㄨ⼲〲㐰䀩䅃偟久当䍐彔䕒ㄨ⼲〲㐰착_x0018_＀＀_x0018_＀＀_x0008_＀＀_x0001_＀＀_x0001_＀＀＀＀＀＀＀＀＀＀韤䮏B呃幂䅃偟久当佒⡁㈱㈯〰ⰲⰬ唬䑓䀩南偟久䥓乏䕟偘剟䅏ㄨ⼲〲㈰ⰬⰬ单⥄_x0018_＀＀_x0018_＀＀_x0008_＀＀_x0001_＀＀_x0001_＀＀＀＀＀＀蠀쁐䰠_x001C_䕌幁彐剐䍉彅噁⡇㠳ㄷⰸ㤳㠰⤲_x0018_＀＀_x0018_＀＀_x0008_＀＀_x0001_＀＀_x0001_＀＀豀碵꼝쐕韤䮏 呃幂南䕟䍘彈䅒䕔䥟䍎䍟⡆㈱㈯〰⤴_x0018_＀＀_x0018_＀＀_x0008_＀＀_x0001_＀＀_x0001_＀＀豀碵꼝쐕韥䮏E呃幂䅃偟协剔呅䉟久佟⡂㈱㈯〰ⰳⰬ唬䑓䀩南䡟呌䍈剁彅䉐⡏㈱㈯〰ⰳⰬ唬䑓착_x0018_＀＀_x0018_＀＀_x0008_＀＀_x0001_＀＀_x0001_＀＀쫁䖡쎶䁵韤䮏B呃幂䅃偟久当佒⡁㈱㈯〰ⰵⰬ唬䑓䀩南偟久䥓乏䕟偘剟䅏ㄨ⼲〲㔰ⰬⰬ单⥄_x0018_＀＀_x0018_＀＀_x0008_＀＀_x0001_＀＀_x0001_＀＀扎堐쁐韤䮏F呃幂䅃偟久当佒彁䍁⡔㈱㈯〰ⰳⰬ唬䑓䀩南偟久䥓乏䅟呃剟䅏ㄨ⼲〲㌰ⰬⰬ单⥄_x0018_＀＀_x0018_＀＀_x0008_＀＀_x0001_＀＀_x0001_＀＀뙆ﷳე䁛韤䮏'呃幂䅃偟久当商䑎卟䅔啔⡓㈱㈯〰ⰳⰬ唬䑓착_x0018_＀＀_x0018_＀＀_x0008_＀＀_x0001_＀＀_x0001_＀＀㭤俟ᎍ쁡韤䮏;呃幂南偟久䥓乏䅟卓呅当充䥕ㄨ⼲〲㔰䀩䅃偟久当䍐彔充ㄨ⼲〲㔰착_x0018_＀＀_x0018_＀＀_x0008_＀＀_x0001_＀＀_x0001_＀＀＀＀＀＀耀䁑韤䮏L呃幂䅃偟协剔呅䥟呎䍟协⡔㈱㈯〰ⰳⰬ唬䑓䀩南䡟呌䍈剁彅义彔佃呓ㄨ⼲〲㌰ⰬⰬ单⥄_x0018_＀＀_x0018_＀＀_x0008_＀＀_x0001_＀＀_x0001_＀＀퓾넦䀴鮎䭩_x001F_呃幂兆也呅䑟䉅⡔㌳㈴ⰰ㌳ㄵⰱ元착_x0018_＀＀_x0018_＀＀_x0008_＀＀_x0001_＀＀_x0001_＀＀豀碵꼝쐕鸓䮏M呃幂䅃偟久当剐佉归剓⡖㈱㈯〰ⰸⰬ唬䑓䀩南偟久䥓乏偟归䕓噒䍟协⡔㈱㈯〰ⰸⰬ唬䑓착_x0018_＀＀_x0018_＀＀_x0008_＀＀_x0001_＀＀_x0001_＀＀퓽㿞韤䮏F呃幂䅃偟久当佒彁䍁⡔㈱㈯〰ⰶⰬ唬䑓䀩南偟久䥓乏䅟呃剟䅏ㄨ⼲〲㘰ⰬⰬ单⥄_x0018_＀＀_x0018_＀＀_x0008_＀＀_x0001_＀＀_x0001_＀＀帵䦺㈌䁖韤䮏)呃幂䅃偟久当䵅彐佃呎䥒彂⡃㈱㈯〰ⰴⰬ唬䑓착_x0018_＀＀_x0018_＀＀_x0008_＀＀_x0001_＀＀_x0001_＀＀ਾꏗ쵰䁜韥䮏)呃幂䅃偟协剔呅佟䡔䑁彊䉎⡁㈱㈯〰ⰷⰬ唬䑓착_x0018_＀＀_x0018_＀＀_x0008_＀＀_x0001_＀＀_x0001_＀＀豀碵꼝쐕韤䮏G呃幂䅃偟协剔呅䍟协⡔㈱㈯〰ⰴⰬ唬䑓䀩南䡟呌䍈剁彅偎彐塅⡐㈱㈯〰ⰴⰬ唬䑓착_x0018_＀＀_x0018_＀＀_x0008_＀＀_x0001_＀＀_x0001_＀＀扎堐ᐹ䀷鮎䭩(呃幂元䍟䵏卟午䍟䱁彃䕄卐㌨㘴㠰㌬㘴㤹䌬⥑_x0018_＀＀_x0018_＀＀_x0008_＀＀_x0001_＀＀_x0001_＀＀豀碵꼝쐕韤䮏(呃幂䅃偟久当偐彄䕂彎佃呓ㄨ⼲〲㈰ⰬⰬ单⥄_x0018_＀＀_x0018_＀＀_x0008_＀＀_x0001_＀＀_x0001_＀＀豀碵꼝쐕鰮䲜%䕌幁䅃偟久当啃归䥌䉁⡓㈱㈯〰ⰹⰬ唬䑓착_x0018_＀＀_x0018_＀＀_x0008_＀＀_x0001_＀＀_x0001_＀＀馚香香䀤韥䮏,呃幂䅃偟协剔呅䕟偍䍟乏剔䉉䍟ㄨ⼲〲㐰ⰬⰬ单⥄_x0018_＀＀_x0018_＀＀_x0008_＀＀_x0001_＀＀_x0001_＀＀＀＀＀＀＀＀＀＀韤䮏J呃幂䅃偟久当䥄䍓剟呁⡅㈱㈯〰ⰲⰬ唬䑓䀩南偟久䥓乏䑟卉彃䅒䕔ㄨ⼲〲㈰ⰬⰬ单⥄_x0018_＀＀_x0018_＀＀_x0008_＀＀_x0001_＀＀_x0001_＀＀尩슏⣵䀛韤䮏J呃幂䅃偟久当䱐乁䅟呓ㄨ⼲〲㄰ⰬⰬ单⥄址当䕐华佉彎䅖彌十䕓協ㄨ⼲〲㄰ⰬⰬ单⥄_x0018_＀＀_x0018_＀＀_x0008_＀＀_x0001_＀＀_x0001_＀＀Წ摚ᔻ䂆韤䮏&lt;呃幂南偟久䥓乏䅟卓呅当佂䑎⡓㈱㈯〰⤴䍀彁䕐华偟呃䙟⡉㈱㈯〰⤴_x0018_＀＀_x0018_＀＀_x0008_＀＀_x0001_＀＀_x0001_＀＀＀＀＀＀＀＀䀾鮜䭩_x001F_呃幂䝆䕟䥂䑔彁⡑㐳〶ⰸ㐳㤶ⰹ元착_x0018_＀＀_x0018_＀＀_x0008_＀＀_x0001_＀＀_x0001_＀＀ㄦ䰈䁓韤䮏%呃幂䅃偟久当呌䅟卓呅⡓㈱㈯〰ⰶⰬ唬䑓착_x0018_＀＀_x0018_＀＀_x0008_＀＀_x0001_＀＀_x0001_＀＀＀＀＀＀＀＀＀＀韤䮏F呃幂䅃偟协剔呅剟䅏ㄨ⼲〲㘰ⰬⰬ单⥄址当䱈䡔䅃䕒䕟偘剟䅏ㄨ⼲〲㘰ⰬⰬ单⥄_x0018_＀＀_x0018_＀＀_x0008_＀＀_x0001_＀＀_x0001_＀＀＀＀＀＀＀＀＀＀䫻_x001C_剔幗䝆偟彅奆⠱㈭䄰ⱙⰰ奆㤬⤰°＀＀_x0018_＀＀ ＀＀_x0014_＀＀_x0001_＀＀豀碵꼝쐕豀碵꼝쐕豀碵꼝쐕豀碵꼝쐕豀碵꼝쐕豀碵꼝쐕豀碵꼝쐕豀碵꼝쐕豀碵꼝쐕豀碵꼝쐕豀碵꼝쐕豀碵꼝쐕豀碵꼝쐕豀碵꼝쐕豀碵꼝쐕茛ࡎᰝ䀨ㅷ瓍㎯䀯ꭥ⧋ꄁ䀪훘_xFFFF_ｏ썙䀢煗䋴䡋䀖鮎䭩_x001C_呃幂彐剐䍉彅噁⡇㐳㌳ⰵ㐳㈴⤴_x0018_＀＀_x0018_＀＀_x0008_＀＀_x0001_＀＀_x0001_＀＀膚臷䀺鮎䭩(呃幂元䍟䵏卟午䍟䱁彃䕄卐㌨㘸㘲㌬㜸㜱䌬⥑_x0018_＀＀_x0018_＀＀_x0008_＀＀_x0001_＀＀_x0001_＀＀橿璼ꢓ䁎韤䮏(呃幂䅃偟久当䅐呒䍟乏剔䉉ㄨ⼲〲㜰ⰬⰬ单⥄_x0018_＀＀_x0018_＀＀_x0008_＀＀_x0001_＀＀_x0001_＀＀㕀멞౉䀂韥䮏(呃幂南䡟呌䍈剁彅乕彆䕂⡎㈱㈯〰ⰴⰬ唬䑓⤩＀＀＀＀鮎䭩(呃幂元䍟䵏卟午䍟䱁彃䕄卐㌨㠸㠰㌬㠸㠹䌬⥑_x0018_＀＀_x0018_＀＀_x0008_＀＀_x0001_＀＀_x0001_＀＀恂탥ꬢ䁎韤䮏$呃幂䅃偟久当䕂彎䅐䑉ㄨ⼲〲㔰ⰬⰬ单⥄_x0018_＀＀_x0018_＀＀_x0008_＀＀_x0001_＀＀_x0001_＀＀ꧻ⋱䁈韤䮏%呃幂䅃偟久当啃归䥌䉁⡓㈱㈯〰ⰲⰬ唬䑓착_x0018_＀＀_x0018_＀＀_x0008_＀＀_x0001_＀＀_x0001_＀＀豀碵꼝쐕惮䰚_x001C_䝍幁彐剐䍉彅噁⡇㘳㘱ⰱ㘳㈵⤵_x0018_＀＀_x0018_＀＀_x0008_＀＀_x0001_＀＀_x0001_＀＀⽅墣兮䁇韤䮏%呃幂䅃偟久当佃偍剟呁⡅㈱㈯〰ⰵⰬ唬䑓착_x0018_＀＀_x0018_＀＀_x0008_＀＀_x0001_＀＀_x0001_＀＀롑蔞䀋鮎䭩(呃幂元䍟䵏卟午䍟䱁彃䕄卐㌨㔸㐳㌬㘸㔲䌬⥑_x0018_＀＀_x0018_＀＀_x0008_＀＀_x0001_＀＀_x0001_＀＀㝌䆉ꕠ䁎韤䮏I呃幂䅃偟久当剓彖佃呓ㄨ⼲〲㘰ⰬⰬ单⥄址当䕐华佉彎䕓噒䍟协⡔㈱㈯〰ⰶⰬ唬䑓착_x0018_＀＀_x0018_＀＀_x0008_＀＀_x0001_＀＀_x0001_＀＀ꧻ틱䀶韤䮏(呃幂䅃偟久当偐彄䕂彎佃呓ㄨ⼲〲㠰ⰬⰬ单⥄_x0018_＀＀_x0018_＀＀_x0008_＀＀_x0001_＀＀_x0001_＀＀豀碵꼝쐕흕䰠_x001C_䕌幁彐剐䍉彅噁⡇㐳㌳ⰵ㐳㈴⤴_x0018_＀＀_x0018_＀＀_x0008_＀＀_x0001_＀＀_x0001_＀＀豀碵꼝쐕韤䮏-呃幂䅃偟协剔呅啟归剔佟彂䵁剏⡔㈱㈯〰ⰵⰬ唬䑓착_x0018_＀＀_x0018_＀＀_x0008_＀＀_x0001_＀＀_x0001_＀＀＀＀＀＀＀＀＀＀韤䮏*呃幂南䡟呌䍈剁彅塅彐呌剟䅏ㄨ⼲〲㈰ⰬⰬ单⥄_x0018_＀＀_x0018_＀＀_x0008_＀＀_x0001_＀＀_x0001_＀＀豀碵꼝쐕䭻_x001C_呃幂彐剐䍉彅噁⡇㈳〵ⰹ㈳㜸⤳_x0018_＀＀_x0018_＀＀_x0008_＀＀_x0001_＀＀_x0001_＀＀Ꝑ먼嘑䀞韤䮏'呃幂南偟久偟协彔䕒彔䕂⡎㈱㈯〰ⰶⰬ唬䑓착_x0018_＀＀_x0018_＀＀_x0008_＀＀_x0001_＀＀_x0001_＀＀Й๖䁸䭻_x001C_呃幂彐剐䍉彅噁⡇㜳㈶ⰲ㜳㠹⤶_x0018_＀＀_x0018_＀＀_x0008_＀＀_x0001_＀＀_x0001_＀＀늫諯鿠䀰凄䪹 坂幁䝆䕟䅖彌䉅呉⡄㈭䄰ⱙⰰ奆㤬⤰°＀＀_x0018_＀＀ ＀＀_x0014_＀＀_x0001_＀＀豀碵꼝쐕豀碵꼝쐕豀碵꼝쐕豀碵꼝쐕_xDB7B_蕌푸䀘嬡꾖ニ䀖鬁綽䀒긶흿乧䀖쀒髅䀤ֺꅜ荙䀙ፙ슰藒䀖妷齡_xD8A5_䀕楦⍲䀙좂䴢玼䀜ɦ4萊䀞㶸扁뎻䀠州ﳂ魰䀟Ǎ耧댇䀜䧭獠츎䀧趣᳈쩰䀑䫻_x0019_剔幗䝆偟䭂⴨〲奁〬䘬ⱙ〹착°＀＀_x0018_＀＀ ＀＀_x0014_＀＀_x0001_＀＀豀碵꼝쐕豀碵꼝쐕豀碵꼝쐕豀碵꼝쐕豀碵꼝쐕豀碵꼝쐕豀碵꼝쐕豀碵꼝쐕豀碵꼝쐕豀碵꼝쐕豀碵꼝쐕豀碵꼝쐕豀碵꼝쐕豀碵꼝쐕豀碵꼝쐕ࠋ螭㌯㿾抄栫쉚䀀鼉쩒氐㿼鶢B㿪楖ᛅ唆㾼韤䮏C呃幂䅃偟久当剐䩏佟䱂ㄨ⼲〲㔰ⰬⰬ单⥄址当䕐华佉彎䉐⡏㈱㈯〰ⰵⰬ唬䑓착_x0018_＀＀_x0018_＀＀_x0008_＀＀_x0001_＀＀_x0001_＀＀ቯ삃飊䂏忆䰚_x001C_䝍幁彐剐䍉彅噁⡇㜳㔲ⰷ㜳㐳⤶_x0018_＀＀_x0018_＀＀_x0008_＀＀_x0001_＀＀_x0001_＀＀马鱷羢䁍忆䰚_x001C_䝍幁彐剐䍉彅噁⡇㔳㜹ⰷ㘳㘰⤸_x0018_＀＀_x0018_＀＀_x0008_＀＀_x0001_＀＀_x0001_＀＀噭깽䪶䁌韥䮏T呃幂䅃偟协剔呅偟䥒剏卟噒ㄨ⼲〲㔰ⰬⰬ单⥄址当䱈䡔䅃䕒啟剎䍅卟剅彖佃呓ㄨ⼲〲㔰ⰬⰬ单⥄_x0018_＀＀_x0018_＀＀_x0008_＀＀_x0001_＀＀_x0001_＀＀ᚇ컙号쀌韤䮏)呃幂南䡟呌䍈剁彅䥄䍓剟呁⡅㈱㈯〰ⰷⰬ唬䑓착_x0018_＀＀_x0018_＀＀_x0008_＀＀_x0001_＀＀_x0001_＀＀＀＀＀＀＀＀䀗韥䮏#呃幂䅃偟协剔呅䱟䅉⡂㈱㈯〰ⰶⰬ唬䑓착_x0018_＀＀_x0018_＀＀_x0008_＀＀_x0001_＀＀_x0001_＀＀帵䦺㈌쁱鰮䲜C䕌幁䅃偟久当剐䩏佟䱂ㄨ⼲〲㤰ⰬⰬ单⥄址当䕐华佉彎䉐⡏㈱㈯〰ⰹⰬ唬䑓착_x0018_＀＀_x0018_＀＀_x0008_＀＀_x0001_＀＀_x0001_＀＀晧晦試䂉韤䮏C呃幂䅃偟久当剐䩏佟䱂ㄨ⼲〲㐰ⰬⰬ单⥄址当䕐华佉彎䉐⡏㈱㈯〰ⰴⰬ唬䑓착_x0018_＀＀_x0018_＀＀_x0008_＀＀_x0001_＀＀_x0001_＀＀Წ摚씻䂌韥䮏*呃幂南䡟呌䍈剁彅塅彐呌剟䅏ㄨ⼲〲㠰ⰬⰬ单⥄_x0018_＀＀_x0018_＀＀_x0008_＀＀_x0001_＀＀_x0001_＀＀豀碵꼝쐕䰠_x001C_䕌幁彐剐䍉彅噁⡇㜳㈶ⰲ㜳㠹⤶_x0018_＀＀_x0018_＀＀_x0008_＀＀_x0001_＀＀_x0001_＀＀豀碵꼝쐕韤䮏M呃幂䅃偟久当剐佉归剓⡖㈱㈯〰ⰶⰬ唬䑓䀩南偟久䥓乏偟归䕓噒䍟协⡔㈱㈯〰ⰶⰬ唬䑓착_x0018_＀＀_x0018_＀＀_x0008_＀＀_x0001_＀＀_x0001_＀＀쒜뀠桲㿭韤䮏 呃幂南䕟䍘彈䅒䕔䥟䍎䍟⡆㈱㈯〰⤵_x0018_＀＀_x0018_＀＀_x0008_＀＀_x0001_＀＀_x0001_＀＀豀碵꼝쐕鰮䲜_x001E_䕌幁䅃偟久当佃偍剟呁⡅㈱㈯〰⤹_x0018_＀＀_x0018_＀＀_x0008_＀＀_x0001_＀＀_x0001_＀＀䞮竡긔䀍韤䮏M呃幂䅃偟久当剐佉归剓⡖㈱㈯〰ⰷⰬ唬䑓䀩南偟久䥓乏偟归䕓噒䍟协⡔㈱㈯〰ⰷⰬ唬䑓착_x0018_＀＀_x0018_＀＀_x0008_＀＀_x0001_＀＀_x0001_＀＀Ȍ蜫_xD916_㿦忆䰚_x001C_䝍幁彐剐䍉彅噁⡇㔳㔱ⰶ㔳㐲⤶_x0018_＀＀_x0018_＀＀_x0008_＀＀_x0001_＀＀_x0001_＀＀哊ꣁ䊤䁄鮎䭩_x001C_呃幂彐剐䍉彅噁⡇〴㠰ⰷ〴㜱⤸_x0018_＀＀_x0018_＀＀_x0008_＀＀_x0001_＀＀_x0001_＀＀奵汌☾䀲鞰䮏_x0014_坞当奆⡃⤰䍀彁奆⡃⤰_x0014_＀＀_x0018_＀＀_x0004_＀＀_x0001_＀＀_x0008_＀＀乀A鸓䮏B呃幂䅃偟久当佒⡁㈱㈯〰ⰸⰬ唬䑓䀩南偟久䥓乏䕟偘剟䅏ㄨ⼲〲㠰ⰬⰬ单⥄_x0018_＀＀_x0018_＀＀_x0008_＀＀_x0001_＀＀_x0001_＀＀탥_xDB22_廹쁔忆䰚_x001C_䝍幁彐剐䍉彅噁⡇㔳㌴ⰱ㔳㈵⤰_x0018_＀＀_x0018_＀＀_x0008_＀＀_x0001_＀＀_x0001_＀＀溭鳵᫴䁇鮎䭩_x001C_呃幂彐剐䍉彅噁⡇㜳㜰ⰳ㜳㘱⤴_x0018_＀＀_x0018_＀＀_x0008_＀＀_x0001_＀＀_x0001_＀＀憡㍚䀯鮎䭩_x001C_呃幂彐剐䍉彅噁⡇㘳㤸ⰲ㘳㠹⤱_x0018_＀＀_x0018_＀＀_x0008_＀＀_x0001_＀＀_x0001_＀＀朊隷색䀩韤䮏G呃幂䅃偟协剔呅䍟协⡔㈱㈯〰ⰳⰬ唬䑓䀩南䡟呌䍈剁彅偎彐塅⡐㈱㈯〰ⰳⰬ唬䑓착_x0018_＀＀_x0018_＀＀_x0008_＀＀_x0001_＀＀_x0001_＀＀䯇褷䁁䁀䭻_x001C_呃幂彐剐䍉彅噁⡇〴㜱ⰹ〴㐵⤳_x0018_＀＀_x0018_＀＀_x0008_＀＀_x0001_＀＀_x0001_＀＀ᡪ∾䀲흖䰠_x001C_䕌幁彐剐䍉彅噁⡇〴㠰ⰷ〴㜱⤸_x0018_＀＀_x0018_＀＀_x0008_＀＀_x0001_＀＀_x0001_＀＀쥜趎♀䁐忆䰚_x001C_䝍幁彐剐䍉彅噁⡇㘳〷ⰸ㘳㤷⤹_x0018_＀＀_x0018_＀＀_x0008_＀＀_x0001_＀＀_x0001_＀＀đ傇⚥䁅흕䰠_x001C_䕌幁彐剐䍉彅噁⡇㠳㘲ⰱ㠳㔳⤲_x0018_＀＀_x0018_＀＀_x0008_＀＀_x0001_＀＀_x0001_＀＀豀碵꼝쐕鮎䭩_x001C_呃幂彐剐䍉彅噁⡇㠳ㄷⰸ㠳〸⤷_x0018_＀＀_x0018_＀＀_x0008_＀＀_x0001_＀＀_x0001_＀＀垎稠♒䀮鮎䭩(呃幂元䍟䵏卟午䍟䱁彃䕄卐㌨㠹㐱㌬㤹㌰䌬⥑_x0018_＀＀_x0018_＀＀_x0008_＀＀_x0001_＀＀_x0001_＀＀쒜뀠硲䁍흕䰠_x001C_䕌幁彐剐䍉彅噁⡇㜳㜰ⰳ㜳㘱⤴_x0018_＀＀_x0018_＀＀_x0008_＀＀_x0001_＀＀_x0001_＀＀豀碵꼝쐕韤䮏Q呃幂䅃偟久当䍁啃彍佃偍䥒䍎ㄨ⼲〲㈰ⰬⰬ单⥄址当佃偍归义彃䕐华䱟䅉⡂㈱㈯〰ⰲⰬ唬䑓착_x0018_＀＀_x0018_＀＀_x0008_＀＀_x0001_＀＀_x0001_＀＀豀碵꼝쐕韤䮏F呃幂䅃偟协剔呅剟䅏ㄨ⼲〲㔰ⰬⰬ单⥄址当䱈䡔䅃䕒䕟偘剟䅏ㄨ⼲〲㔰ⰬⰬ单⥄_x0018_＀＀_x0018_＀＀_x0008_＀＀_x0001_＀＀_x0001_＀＀＀＀＀＀＀＀＀＀韤䮏(呃幂南偟久䥓乏䅟卓呅当呌ㄨ⼲〲㜰ⰬⰬ单⥄_x0018_＀＀_x0018_＀＀_x0008_＀＀_x0001_＀＀_x0001_＀＀豀碵꼝쐕鮎䭩_x001C_呃幂彐剐䍉彅噁⡇㤳㤹ⰵ〴㠰⤶_x0018_＀＀_x0018_＀＀_x0008_＀＀_x0001_＀＀_x0001_＀＀_xDDAC_䥶䀬鮎䭩_x001C_呃幂彐剐䍉彅噁⡇㤳㌶ⰰ㤳㈷⤱_x0018_＀＀_x0018_＀＀_x0008_＀＀_x0001_＀＀_x0001_＀＀㷻亱ផ䀣鮎䭩(呃幂元䍟䵏卟午䍟䱁彃䕄卐㌨ㄸ㤶㌬㈸〶䌬⥑_x0018_＀＀_x0018_＀＀_x0008_＀＀_x0001_＀＀_x0001_＀＀炤਽ﯗ䁒鞬䮏,䍞彁䕐华也呅䍟协⡔䅎䀩南偟久䥓乏也偐䕟偘丨⥁_x0018_＀＀_x0018_＀＀_x0008_＀＀_x0001_＀＀_x0001_＀＀豀碵꼝쐕韤䮏$呃幂䅃偟久当呌䱟䅉卂ㄨ⼲〲㈰ⰬⰬ单⥄_x0018_＀＀_x0018_＀＀_x0008_＀＀_x0001_＀＀_x0001_＀＀豀碵꼝쐕흕䰠_x001C_䕌幁彐剐䍉彅噁⡇㘳㤸ⰲ㘳㠹⤱_x0018_＀＀_x0018_＀＀_x0008_＀＀_x0001_＀＀_x0001_＀＀豀碵꼝쐕韥䮏'呃幂䅃偟协剔呅䉟久偟䥁⡄㈱㈯〰ⰴⰬ唬䑓착_x0018_＀＀_x0018_＀＀_x0008_＀＀_x0001_＀＀_x0001_＀＀＀＀＀＀＀＀＀＀鮎䭩_x001C_呃幂元卟䱁卅㌨㈳㤳㌬㌳㠲䌬⥑_x0018_＀＀_x0018_＀＀_x0008_＀＀_x0001_＀＀_x0001_＀＀扎堐ﰹ䁩韥䮏E呃幂䅃偟协剔呅䉟久佟⡂㈱㈯〰ⰴⰬ唬䑓䀩南䡟呌䍈剁彅䉐⡏㈱㈯〰ⰴⰬ唬䑓착_x0018_＀＀_x0018_＀＀_x0008_＀＀_x0001_＀＀_x0001_＀＀퓽赸䁰韥䮏P呃幂䅃偟协剔呅偟䅌彎十彔久⡄㈱㈯〰ⰵⰬ唬䑓䀩南䡟呌䍈剁彅噆䅟卓呅ㄨ⼲〲㔰ⰬⰬ单⥄_x0018_＀＀_x0018_＀＀_x0008_＀＀_x0001_＀＀_x0001_＀＀＀＀＀＀＀＀＀＀흕䰠_x001C_䕌幁彐剐䍉彅噁⡇㠳ㄷⰸ㠳〸⤷_x0018_＀＀_x0018_＀＀_x0008_＀＀_x0001_＀＀_x0001_＀＀豀碵꼝쐕鮎䭩_x001C_呃幂彐剐䍉彅噁⡇㘳ㄶⰷ㘳〷⤷_x0018_＀＀_x0018_＀＀_x0008_＀＀_x0001_＀＀_x0001_＀＀阔䁸쓙䀩鮎䭩(呃幂元䍟䵏卟午䍟䱁彃䕄卐㌨〵㔶㌬ㄵ㔵䌬⥑_x0018_＀＀_x0018_＀＀_x0008_＀＀_x0001_＀＀_x0001_＀＀豀碵꼝쐕鸓䮏H呃幂䅃偟久当义彔佃呓ㄨ⼲〲㠰ⰬⰬ单⥄址当䕐华佉彎义彔佃呓ㄨ⼲〲㠰ⰬⰬ单⥄_x0018_＀＀_x0018_＀＀_x0008_＀＀_x0001_＀＀_x0001_＀＀赐溗䁏忆䰚_x001C_䝍幁彐剐䍉彅噁⡇㘳㠹ⰲ㜳㜰⤲_x0018_＀＀_x0018_＀＀_x0008_＀＀_x0001_＀＀_x0001_＀＀ℙ_xDA3C_訸䁈䭻_x001C_呃幂彐剐䍉彅噁⡇㌳㌲ⰹ㌳〶⤳_x0018_＀＀_x0018_＀＀_x0008_＀＀_x0001_＀＀_x0001_＀＀꺒粙䀭鮎䭩_x001C_呃幂彐剐䍉彅噁⡇㌳㠷ⰶ㌳㜸⤷_x0018_＀＀_x0018_＀＀_x0008_＀＀_x0001_＀＀_x0001_＀＀鹙꼇䀺흖䰠_x001C_䕌幁彐剐䍉彅噁⡇㤳㌶ⰰ㤳㈷⤱_x0018_＀＀_x0018_＀＀_x0008_＀＀_x0001_＀＀_x0001_＀＀豀碵꼝쐕흖䰠_x001C_䕌幁彐剐䍉彅噁⡇㤳㤹ⰵ〴㠰⤶_x0018_＀＀_x0018_＀＀_x0008_＀＀_x0001_＀＀_x0001_＀＀豀碵꼝쐕鮜䭩_x001F_呃幂䝆䕟䥂䑔彁⡑㔳㘰ⰵ㔳㔱ⰵ元착_x0018_＀＀_x0018_＀＀_x0008_＀＀_x0001_＀＀_x0001_＀＀≆舴瞍䁋琍䭱_x001C_呃幂彐剐䍉彅噁⡇㈳㤶ⰰ㈳㠷⤱_x0018_＀＀_x0018_＀＀_x0008_＀＀_x0001_＀＀_x0001_＀＀뿧䀠鸔䮏%呃幂䅃偟久当啃归䥌䉁⡓㈱㈯〰ⰸⰬ唬䑓착_x0018_＀＀_x0018_＀＀_x0008_＀＀_x0001_＀＀_x0001_＀＀＀＀＀＀＀＀＀＀韤䮏"呃幂南偟久䥓乏偟佂ㄨ⼲〲㔰ⰬⰬ单⥄_x0018_＀＀_x0018_＀＀_x0008_＀＀_x0001_＀＀_x0001_＀＀ቯ삃飊䂏鮎䭩(呃幂元䍟䵏卟午䍟䱁彃䕄卐㌨㜵㘹㌬㠵㔸䌬⥑_x0018_＀＀_x0018_＀＀_x0008_＀＀_x0001_＀＀_x0001_＀＀豀碵꼝쐕韤䮏'呃幂南偟久䥓乏也呅䱟䅉⡂㈱㈯〰ⰶⰬ唬䑓착_x0018_＀＀_x0018_＀＀_x0008_＀＀_x0001_＀＀_x0001_＀＀豀碵꼝쐕饙䭩_x001C_呃幂元卟䱁卅㌨㌵㤳㌬㐵〳䌬⥑_x0018_＀＀_x0018_＀＀_x0008_＀＀_x0001_＀＀_x0001_＀＀俟鞍Ѯ䁺镘䮎_x0016_䍞彁䕐华䍟䵏彐䅒䕔丨⥁_x0018_＀＀_x0018_＀＀_x0008_＀＀_x0001_＀＀_x0001_＀＀豀碵꼝쐕鸔䮏$呃幂䅃偟久当呌䱟䅉卂ㄨ⼲〲㠰ⰬⰬ单⥄_x0018_＀＀_x0018_＀＀_x0008_＀＀_x0001_＀＀_x0001_＀＀糮㔿챞䁰흕䰠_x001C_䕌幁彐剐䍉彅噁⡇㘳ㄶⰷ㘳〷⤷_x0018_＀＀_x0018_＀＀_x0008_＀＀_x0001_＀＀_x0001_＀＀豀碵꼝쐕鮎䭩_x001C_呃幂彐剐䍉彅噁⡇㐳ㄵⰶ㐳〶⤷_x0018_＀＀_x0018_＀＀_x0008_＀＀_x0001_＀＀_x0001_＀＀Ⱘ胱妲䀸鮎䭩(呃幂元䍟䵏卟午䍟䱁彃䕄卐㌨〴〶㌬ㄴ〵䌬⥑_x0018_＀＀_x0018_＀＀_x0008_＀＀_x0001_＀＀_x0001_＀＀豀碵꼝쐕韤䮏M呃幂䅃偟久当剐佉归剓⡖㈱㈯〰ⰴⰬ唬䑓䀩南偟久䥓乏偟归䕓噒䍟协⡔㈱㈯〰ⰴⰬ唬䑓착_x0018_＀＀_x0018_＀＀_x0008_＀＀_x0001_＀＀_x0001_＀＀扎堐됹䀃韤䮏;呃幂南偟久䥓乏䅟卓呅当呏⡈㈱㈯〰⤴䍀彁䕐华偟呃佟䡔ㄨ⼲〲㐰착_x0018_＀＀_x0018_＀＀_x0008_＀＀_x0001_＀＀_x0001_＀＀＀＀＀＀＀＀㿰忆䰚_x001C_䝍幁彐剐䍉彅噁⡇㘳㘱ⰱ㘳㔲⤰_x0018_＀＀_x0018_＀＀_x0008_＀＀_x0001_＀＀_x0001_＀＀瓒㉶踸䁉흕䰠_x001C_䕌幁彐剐䍉彅噁⡇㜳㠹ⰷ㠳㜰⤷_x0018_＀＀_x0018_＀＀_x0008_＀＀_x0001_＀＀_x0001_＀＀豀碵꼝쐕鮜䭩_x001F_呃幂䝆䕟䥂䑔彁⡑㔳㤷ⰶ㔳㠸ⰵ元착_x0018_＀＀_x0018_＀＀_x0008_＀＀_x0001_＀＀_x0001_＀＀_xDC6E_繢驮䁑韤䮏M呃幂䅃偟久当剐佉归剓⡖㈱㈯〰ⰵⰬ唬䑓䀩南偟久䥓乏偟归䕓噒䍟协⡔㈱㈯〰ⰵⰬ唬䑓착_x0018_＀＀_x0018_＀＀_x0008_＀＀_x0001_＀＀_x0001_＀＀蔟凫Ẹ㿷鰮䲜(䕌幁䅃偟久当䅐呒䍟乏剔䉉ㄨ⼲〲㤰ⰬⰬ单⥄_x0018_＀＀_x0018_＀＀_x0008_＀＀_x0001_＀＀_x0001_＀＀＀＀＀＀＀＀＀＀鮜䭩_x001F_呃幂䝆䕟䥂䑔彁⡑㐳㘰ⰰ㐳㔱ⰰ元착_x0018_＀＀_x0018_＀＀_x0008_＀＀_x0001_＀＀_x0001_＀＀룜ﳅ㓜䁉韤䮏J呃幂䅃偟久当䥄䍓剟呁⡅㈱㈯〰ⰸⰬ唬䑓䀩南偟久䥓乏䑟卉彃䅒䕔ㄨ⼲〲㠰ⰬⰬ单⥄_x0018_＀＀_x0018_＀＀_x0008_＀＀_x0001_＀＀_x0001_＀＀ᑻ䞮竡䀘韥䮏)呃幂䅃偟协剔呅佟䡔䑁彊䉎⡁㈱㈯〰ⰲⰬ唬䑓착_x0018_＀＀_x0018_＀＀_x0008_＀＀_x0001_＀＀_x0001_＀＀豀碵꼝쐕韤䮏 呃幂南䕟䍘彈䅒䕔䥟䍎䍟⡆㈱㈯〰⤶_x0018_＀＀_x0018_＀＀_x0008_＀＀_x0001_＀＀_x0001_＀＀豀碵꼝쐕鰮䲜(䕌幁南偟久䥓乏䅟卓呅当呌ㄨ⼲〲㤰ⰬⰬ单⥄_x0018_＀＀_x0018_＀＀_x0008_＀＀_x0001_＀＀_x0001_＀＀豀碵꼝쐕韤䮏)呃幂南偟久䥓乏噟䱁䅟卓呅⡓㈱㈯〰ⰴⰬ唬䑓착_x0018_＀＀_x0018_＀＀_x0008_＀＀_x0001_＀＀_x0001_＀＀俟鞍顮䂉忆䰚_x001C_䝍幁彐剐䍉彅噁⡇㤳㌵ⰹ㤳㈶⤹_x0018_＀＀_x0018_＀＀_x0008_＀＀_x0001_＀＀_x0001_＀＀䧺侵߇䁒鮎䭩_x001C_呃幂彐剐䍉彅噁⡇㐳㜹ⰳ㔳㘰⤴_x0018_＀＀_x0018_＀＀_x0008_＀＀_x0001_＀＀_x0001_＀＀숼셩ﺋ䀷흕䰠_x001C_䕌幁彐剐䍉彅噁⡇㐳ㄵⰶ㐳〶⤷_x0018_＀＀_x0018_＀＀_x0008_＀＀_x0001_＀＀_x0001_＀＀豀碵꼝쐕鮎䭩_x001C_呃幂彐剐䍉彅噁⡇㠳㘲ⰱ㠳㔳⤲_x0018_＀＀_x0018_＀＀_x0008_＀＀_x0001_＀＀_x0001_＀＀騘㓫櫒䀴鰳䲜C䕌幁䅃偟久当剐䩏佟䱂ㄨ⼲〲㠰ⰬⰬ单⥄址当䕐华佉彎䉐⡏㈱㈯〰ⰸⰬ唬䑓착_x0018_＀＀_x0018_＀＀_x0008_＀＀_x0001_＀＀_x0001_＀＀＀＀＀＀吀䂈忆䰚_x001C_䝍幁彐剐䍉彅噁⡇㤳ㄸⰴ㤳〹⤳_x0018_＀＀_x0018_＀＀_x0008_＀＀_x0001_＀＀_x0001_＀＀ꏗ㵰윊䀻韤䮏C呃幂䅃偟久当剐䩏佟䱂ㄨ⼲〲㌰ⰬⰬ单⥄址当䕐华佉彎䉐⡏㈱㈯〰ⰳⰬ唬䑓착_x0018_＀＀_x0018_＀＀_x0008_＀＀_x0001_＀＀_x0001_＀＀ㄦㆈ䂐韤䮏 呃幂南䕟䍘彈䅒䕔ㄨ⼲〲㘰ⰬⰬ单⥄_x0018_＀＀_x0018_＀＀_x0008_＀＀_x0001_＀＀_x0001_＀＀＀＀＀＀＀＀㿰饙䭩_x001C_呃幂元卟䱁卅㌨㈵㜴㌬㌵㠳䌬⥑_x0018_＀＀_x0018_＀＀_x0008_＀＀_x0001_＀＀_x0001_＀＀溘茒狀䁺韤䮏J呃幂䅃偟久当䱐乁䅟呓ㄨ⼲〲㐰ⰬⰬ单⥄址当䕐华佉彎䅖彌十䕓協ㄨ⼲〲㐰ⰬⰬ单⥄_x0018_＀＀_x0018_＀＀_x0008_＀＀_x0001_＀＀_x0001_＀＀俟鞍顮䂉鰮䲜J䕌幁䅃偟久当䱐乁䅟呓ㄨ⼲〲㤰ⰬⰬ单⥄址当䕐华佉彎䅖彌十䕓協ㄨ⼲〲㤰ⰬⰬ单⥄_x0018_＀＀_x0018_＀＀_x0008_＀＀_x0001_＀＀_x0001_＀＀＀＀＀＀瀀䂅韤䮏&amp;呃幂䅃偟久当十彔义䅔䝎ㄨ⼲〲㈰ⰬⰬ单⥄_x0018_＀＀_x0018_＀＀_x0008_＀＀_x0001_＀＀_x0001_＀＀豀碵꼝쐕鸓䮏_x001A_呃幂南䕟䍘彈䅒䕔䥟䍎䍟⡆⤰_x0018_＀＀_x0018_＀＀_x0008_＀＀_x0001_＀＀_x0001_＀＀豀碵꼝쐕韥䮏J呃幂䅃偟协剔呅剟䅏䅟呃ㄨ⼲〲㠰ⰬⰬ单⥄址当䱈䡔䅃䕒䅟呃剟䅏ㄨ⼲〲㠰ⰬⰬ单⥄_x0018_＀＀_x0018_＀＀_x0008_＀＀_x0001_＀＀_x0001_＀＀＀＀＀＀＀＀＀＀韤䮏 呃幂南䕟䍘彈䅒䕔䉟䱁卟⡈㈱㈯〰⤲_x0018_＀＀_x0018_＀＀_x0008_＀＀_x0001_＀＀_x0001_＀＀豀碵꼝쐕鰳䲜_x0017_䕌幁南䙟䍙〨䀩䅃䙟䍙〨착_x0018_＀＀_x0018_＀＀_x0008_＀＀_x0001_＀＀_x0008_＀＀㈱㈯〰9饙䭩_x001C_呃幂䝆䕟卐兟㌨〵㔶㌬ㄵ㔵䌬⥑_x0018_＀＀_x0018_＀＀_x0008_＀＀_x0001_＀＀_x0001_＀＀凬Ẹ㿑흕䰠_x001C_䕌幁彐剐䍉彅噁⡇㐳㜹ⰳ㔳㘰⤴_x0018_＀＀_x0018_＀＀_x0008_＀＀_x0001_＀＀_x0001_＀＀豀碵꼝쐕忆䰚_x001C_䝍幁彐剐䍉彅噁⡇㜳㌴ⰸ㜳㈵⤹_x0018_＀＀_x0018_＀＀_x0008_＀＀_x0001_＀＀_x0001_＀＀_xDC34_쾀쬏䁊忆䰚_x001C_䝍幁彐剐䍉彅噁⡇㘳〸ⰰ㘳㤸⤱_x0018_＀＀_x0018_＀＀_x0008_＀＀_x0001_＀＀_x0001_＀＀䎖沋鯧䁂韤䮏C呃幂䅃偟久当剐䩏佟䱂ㄨ⼲〲㈰ⰬⰬ单⥄址当䕐华佉彎䉐⡏㈱㈯〰ⰲⰬ唬䑓착_x0018_＀＀_x0018_＀＀_x0008_＀＀_x0001_＀＀_x0001_＀＀酩糭憎䂋韥䮏)呃幂䅃偟协剔呅佟䡔䑁彊䉎⡁㈱㈯〰ⰸⰬ唬䑓착_x0018_＀＀_x0018_＀＀_x0008_＀＀_x0001_＀＀_x0001_＀＀豀碵꼝쐕鮎䭩(呃幂元䍟䵏卟午䍟䱁彃䕄卐㌨㐴㔲㌬㔴㔱䌬⥑_x0018_＀＀_x0018_＀＀_x0008_＀＀_x0001_＀＀_x0001_＀＀豀碵꼝쐕흕䰠_x001C_䕌幁彐剐䍉彅噁⡇㔳㘰ⰵ㔳㔱⤵_x0018_＀＀_x0018_＀＀_x0008_＀＀_x0001_＀＀_x0001_＀＀豀碵꼝쐕鸔䮏"呃幂南偟久䥓乏䅟卓呅当呌〨ⰬⰬ单⥄_x0018_＀＀_x0018_＀＀_x0008_＀＀_x0001_＀＀_x0001_＀＀豀碵꼝쐕韤䮏(呃幂䅃偟久当偐彄䕂彎佃呓ㄨ⼲〲㌰ⰬⰬ单⥄_x0018_＀＀_x0018_＀＀_x0008_＀＀_x0001_＀＀_x0001_＀＀뙆ﷳ䁕韤䮏G呃幂䅃偟协剔呅䍟协⡔㈱㈯〰ⰲⰬ唬䑓䀩南䡟呌䍈剁彅偎彐塅⡐㈱㈯〰ⰲⰬ唬䑓착_x0018_＀＀_x0018_＀＀_x0008_＀＀_x0001_＀＀_x0001_＀＀ⴎ鶲䁀鮎䭩_x001C_呃幂彐剐䍉彅噁⡇㜳㈶ⰲ㜳ㄷ⤱_x0018_＀＀_x0018_＀＀_x0008_＀＀_x0001_＀＀_x0001_＀＀ꭇ퉚晑䀬韤䮏L呃幂䅃偟协剔呅䥟呎䍟协⡔㈱㈯〰ⰲⰬ唬䑓䀩南䡟呌䍈剁彅义彔佃呓ㄨ⼲〲㈰ⰬⰬ单⥄_x0018_＀＀_x0018_＀＀_x0008_＀＀_x0001_＀＀_x0001_＀＀갈娜᭤䀶鮜䭩_x001F_呃幂䝆䕟䥂䑔彁⡑㐳㈴ⰵ㐳ㄵⰵ元착_x0018_＀＀_x0018_＀＀_x0008_＀＀_x0001_＀＀_x0001_＀＀馚香릙䁍琍䭱_x001C_呃幂彐剐䍉彅噁⡇㌳㐱ⰷ㌳㌲⤸_x0018_＀＀_x0018_＀＀_x0008_＀＀_x0001_＀＀_x0001_＀＀䯨罯郞䀟鮎䭩_x001C_呃幂彐剐䍉彅噁⡇〴㘳ⰰ〴㔴⤱_x0018_＀＀_x0018_＀＀_x0008_＀＀_x0001_＀＀_x0001_＀＀豀碵꼝쐕韤䮏%呃幂䅃偟久当呌䅟卓呅⡓㈱㈯〰ⰷⰬ唬䑓착_x0018_＀＀_x0018_＀＀_x0008_＀＀_x0001_＀＀_x0001_＀＀＀＀＀＀＀＀䀪鮎䭩_x001C_呃幂彐剐䍉彅噁⡇㔳〷ⰴ㔳㤷⤵_x0018_＀＀_x0018_＀＀_x0008_＀＀_x0001_＀＀_x0001_＀＀숼셩隋䀷鸓䮏&amp;呃幂䅃偟久当十彔义䅔䝎ㄨ⼲〲㠰ⰬⰬ单⥄_x0018_＀＀_x0018_＀＀_x0008_＀＀_x0001_＀＀_x0001_＀＀豀碵꼝쐕韤䮏Q呃幂䅃偟久当䍁啃彍佃偍䥒䍎ㄨ⼲〲㜰ⰬⰬ单⥄址当佃偍归义彃䕐华䱟䅉⡂㈱㈯〰ⰷⰬ唬䑓착_x0018_＀＀_x0018_＀＀_x0008_＀＀_x0001_＀＀_x0001_＀＀閁譃筬쁭韤䮏F呃幂䅃偟协剔呅剟䅏ㄨ⼲〲㐰ⰬⰬ单⥄址当䱈䡔䅃䕒䕟偘剟䅏ㄨ⼲〲㐰ⰬⰬ单⥄_x0018_＀＀_x0018_＀＀_x0008_＀＀_x0001_＀＀_x0001_＀＀＀＀＀＀＀＀＀＀韥䮏(呃幂南䡟呌䍈剁彅乕彆䕂⡎㈱㈯〰ⰷⰬ唬䑓⤩＀＀＀＀흕䰠_x001C_䕌幁彐剐䍉彅噁⡇㜳㐳ⰷ㜳㌴⤷_x0018_＀＀_x0018_＀＀_x0008_＀＀_x0001_＀＀_x0001_＀＀豀碵꼝쐕饙䭩_x001F_呃幂兆也呅䑟䉅⡔㔳㘰ⰵ㔳㔱ⰵ元착_x0018_＀＀_x0018_＀＀_x0008_＀＀_x0001_＀＀_x0001_＀＀豀碵꼝쐕忆䰚_x001C_䝍幁彐剐䍉彅噁⡇㔳ㄶⰲ㔳〷⤳_x0018_＀＀_x0018_＀＀_x0008_＀＀_x0001_＀＀_x0001_＀＀쮓䡿喿䁌흕䰠_x001C_䕌幁彐剐䍉彅噁⡇㜳㈶ⰲ㜳ㄷ⤱_x0018_＀＀_x0018_＀＀_x0008_＀＀_x0001_＀＀_x0001_＀＀豀碵꼝쐕忆䰚_x001C_䝍幁彐剐䍉彅噁⡇㠳㘱ⰹ㠳㘲⤰_x0018_＀＀_x0018_＀＀_x0008_＀＀_x0001_＀＀_x0001_＀＀͜╛屘䁓鮎䭩(呃幂元䍟䵏卟午䍟䱁彃䕄卐㌨㠴ㄸ㌬㤴㈷䌬⥑_x0018_＀＀_x0018_＀＀_x0008_＀＀_x0001_＀＀_x0001_＀＀豀碵꼝쐕鮎䭩_x001C_呃幂彐剐䍉彅噁⡇㜳㠹ⰷ㠳㜰⤷_x0018_＀＀_x0018_＀＀_x0008_＀＀_x0001_＀＀_x0001_＀＀㯣壅䀴鮎䭩_x001C_呃幂彐剐䍉彅噁⡇㔳㈵ⰱ㔳ㄶ⤱_x0018_＀＀_x0018_＀＀_x0008_＀＀_x0001_＀＀_x0001_＀＀繨ܵ师䀵韤䮏%呃幂䅃偟久当佃偍剟呁⡅㈱㈯〰ⰶⰬ唬䑓착_x0018_＀＀_x0018_＀＀_x0008_＀＀_x0001_＀＀_x0001_＀＀⣶轜䀊韤䮏G呃幂䅃偟久当䕎彔佃呓ㄨ⼲〲㐰ⰬⰬ单⥄址当䕐华佉彎偎彐塅⡐㈱㈯〰ⰴⰬ唬䑓착_x0018_＀＀_x0018_＀＀_x0008_＀＀_x0001_＀＀_x0001_＀＀嘄ⴎ㶲䀿鞰䮏_x0017_坞当塅䡃剟呁彅义彃䙃〨착_x0018_＀＀_x0018_＀＀_x0008_＀＀_x0001_＀＀_x0001_＀＀豀碵꼝쐕韤䮏M呃幂䅃偟久当剐佉归剓⡖㈱㈯〰ⰲⰬ唬䑓䀩南偟久䥓乏偟归䕓噒䍟协⡔㈱㈯〰ⰲⰬ唬䑓착_x0018_＀＀_x0018_＀＀_x0008_＀＀_x0001_＀＀_x0001_＀＀炤਽ꏗ䀇鰮䲜Q䕌幁䅃偟久当䍁啃彍佃偍䥒䍎ㄨ⼲〲㤰ⰬⰬ单⥄址当佃偍归义彃䕐华䱟䅉⡂㈱㈯〰ⰹⰬ唬䑓착_x0018_＀＀_x0018_＀＀_x0008_＀＀_x0001_＀＀_x0001_＀＀豀碵꼝쐕韤䮏H呃幂䅃偟久当义彔佃呓ㄨ⼲〲㜰ⰬⰬ单⥄址当䕐华佉彎义彔佃呓ㄨ⼲〲㜰ⰬⰬ单⥄_x0018_＀＀_x0018_＀＀_x0008_＀＀_x0001_＀＀_x0001_＀＀욨㝋Ɖ䁏韤䮏)呃幂南䡟呌䍈剁彅䥄䍓剟呁⡅㈱㈯〰ⰲⰬ唬䑓착_x0018_＀＀_x0018_＀＀_x0008_＀＀_x0001_＀＀_x0001_＀＀＀＀＀＀＀＀䀛흕䰠_x001C_䕌幁彐剐䍉彅噁⡇㔳〷ⰴ㔳㤷⤵_x0018_＀＀_x0018_＀＀_x0008_＀＀_x0001_＀＀_x0001_＀＀豀碵꼝쐕鮜䭩_x001F_呃幂䝆䕟䥂䑔彁⡑㐳㠸ⰱ㐳㜹ⰲ元착_x0018_＀＀_x0018_＀＀_x0008_＀＀_x0001_＀＀_x0001_＀＀盉龾缚䁍韤䮏M呃幂䅃偟久当剐佉归剓⡖㈱㈯〰ⰳⰬ唬䑓䀩南偟久䥓乏偟归䕓噒䍟协⡔㈱㈯〰ⰳⰬ唬䑓착_x0018_＀＀_x0018_＀＀_x0008_＀＀_x0001_＀＀_x0001_＀＀ㄦ갈䀌韤䮏G呃幂䅃偟久当䕎彔佃呓ㄨ⼲〲㜰ⰬⰬ单⥄址当䕐华佉彎偎彐塅⡐㈱㈯〰ⰷⰬ唬䑓착_x0018_＀＀_x0018_＀＀_x0008_＀＀_x0001_＀＀_x0001_＀＀率橾ᒼ䀶韥䮏T呃幂䅃偟协剔呅偟䥒剏卟噒ㄨ⼲〲㜰ⰬⰬ单⥄址当䱈䡔䅃䕒啟剎䍅卟剅彖佃呓ㄨ⼲〲㜰ⰬⰬ单⥄_x0018_＀＀_x0018_＀＀_x0008_＀＀_x0001_＀＀_x0001_＀＀豀碵꼝쐕韤䮏I呃幂䅃偟久当剓彖佃呓ㄨ⼲〲㔰ⰬⰬ单⥄址当䕐华佉彎䕓噒䍟协⡔㈱㈯〰ⰵⰬ唬䑓착_x0018_＀＀_x0018_＀＀_x0008_＀＀_x0001_＀＀_x0001_＀＀司ꗣ꒛䀴惮䰚_x001C_䝍幁彐剐䍉彅噁⡇㘳㤸ⰲ㜳㔲⤶_x0018_＀＀_x0018_＀＀_x0008_＀＀_x0001_＀＀_x0001_＀＀㡈砭⯑䁈韤䮏J呃幂䅃偟久当佒彁䅒䕔ㄨ⼲〲㈰ⰬⰬ单⥄址当䕐华佉彎塅彐呌剟䅏ㄨ⼲〲㈰ⰬⰬ单⥄_x0018_＀＀_x0018_＀＀_x0008_＀＀_x0001_＀＀_x0001_＀＀긕鑺䀢흕䰠_x001C_䕌幁彐剐䍉彅噁⡇㔳㈵ⰱ㔳ㄶ⤱_x0018_＀＀_x0018_＀＀_x0008_＀＀_x0001_＀＀_x0001_＀＀豀碵꼝쐕琍䭱_x001C_呃幂彐剐䍉彅噁⡇㌳㈴ⰰ㌳ㄵ⤱_x0018_＀＀_x0018_＀＀_x0008_＀＀_x0001_＀＀_x0001_＀＀ợὋズ䀰韥䮏+呃幂䅃偟协剔呅偟剁彔佃呎䥒⡂㈱㈯〰ⰶⰬ唬䑓착_x0018_＀＀_x0018_＀＀_x0008_＀＀_x0001_＀＀_x0001_＀＀＀＀＀＀＀＀＀＀韥䮏P呃幂䅃偟协剔呅偟䅌彎十彔久⡄㈱㈯〰ⰴⰬ唬䑓䀩南䡟呌䍈剁彅噆䅟卓呅ㄨ⼲〲㐰ⰬⰬ单⥄_x0018_＀＀_x0018_＀＀_x0008_＀＀_x0001_＀＀_x0001_＀＀＀＀＀＀＀＀＀＀韤䮏＀Ｏ呃幂南䡟呌䍈剁彅䵁剏彔䕓噒䍟协⡔㈱㈯〰ⰶⰬ唬䑓착_x0018_＀＀_x0018_＀＀_x0008_＀＀_x0001_＀＀_x0001_＀＀삃ꇊ뙅뿓韤䮏 呃幂南䕟䍘彈䅒䕔䥟䍎䍟⡆㈱㈯〰⤷_x0018_＀＀_x0018_＀＀_x0008_＀＀_x0001_＀＀_x0001_＀＀豀碵꼝쐕鸓䮏J呃幂䅃偟久当䱐乁䅟呓ㄨ⼲〲㜰ⰬⰬ单⥄址当䕐华佉彎䅖彌十䕓協ㄨ⼲〲㜰ⰬⰬ单⥄_x0018_＀＀_x0018_＀＀_x0008_＀＀_x0001_＀＀_x0001_＀＀멞౉脂䂐韤䮏M呃幂䅃偟协剔呅卟噒䍟协⡔㈱㈯〰ⰴⰬ唬䑓䀩南䡟呌䍈剁彅䕓噒䍟协⡔㈱㈯〰ⰴⰬ唬䑓착_x0018_＀＀_x0018_＀＀_x0008_＀＀_x0001_＀＀_x0001_＀＀퓾ㄦ䀔韥䮏#呃幂䅃偟协剔呅䱟䅉⡂㈱㈯〰ⰷⰬ唬䑓착_x0018_＀＀_x0018_＀＀_x0008_＀＀_x0001_＀＀_x0001_＀＀Ẹ剑쁰忆䰚_x001C_䝍幁彐剐䍉彅噁⡇㠳㐴ⰳ㠳㌵⤳_x0018_＀＀_x0018_＀＀_x0008_＀＀_x0001_＀＀_x0001_＀＀㘧휟袆䁐鮎䭩_x001C_呃幂彐剐䍉彅噁⡇㔳㘰ⰵ㔳㔱⤵_x0018_＀＀_x0018_＀＀_x0008_＀＀_x0001_＀＀_x0001_＀＀ຩ䀸鸔䮏"呃幂䅃偟久当偐彄䕂彎佃呓〨ⰬⰬ单⥄_x0018_＀＀_x0018_＀＀_x0008_＀＀_x0001_＀＀_x0001_＀＀豀碵꼝쐕鞰䮏_x0018_坞当塅䡃剟呁彅䅂彌䡓丨⥁_x0018_＀＀_x0018_＀＀_x0008_＀＀_x0001_＀＀_x0001_＀＀豀碵꼝쐕韤䮏;呃幂南偟久䥓乏䅟卓呅当剐偏ㄨ⼲〲㔰䀩䅃偟久当䍐彔䕒ㄨ⼲〲㔰착_x0018_＀＀_x0018_＀＀_x0008_＀＀_x0001_＀＀_x0001_＀＀＀＀＀＀＀＀＀＀韤䮏(呃幂䅃偟久当䅐呒䍟乏剔䉉ㄨ⼲〲㈰ⰬⰬ单⥄_x0018_＀＀_x0018_＀＀_x0008_＀＀_x0001_＀＀_x0001_＀＀إ閁譃䀁韤䮏'呃幂䅃偟久当商䑎卟䅔啔⡓㈱㈯〰ⰴⰬ唬䑓착_x0018_＀＀_x0018_＀＀_x0008_＀＀_x0001_＀＀_x0001_＀＀꟰䯆褷䀗忆䰚_x001C_䝍幁彐剐䍉彅噁⡇㠳㈶ⰶ㠳ㄷ⤷_x0018_＀＀_x0018_＀＀_x0008_＀＀_x0001_＀＀_x0001_＀＀撄ጁ䞸䁑韤䮏 呃幂南䕟䍘彈䅒䕔䉟䱁卟⡈㈱㈯〰⤳_x0018_＀＀_x0018_＀＀_x0008_＀＀_x0001_＀＀_x0001_＀＀豀碵꼝쐕忆䰚_x001C_䝍幁彐剐䍉彅噁⡇㜳㌵ⰰ㜳㈶⤱_x0018_＀＀_x0018_＀＀_x0008_＀＀_x0001_＀＀_x0001_＀＀ᥑ㻿﫣䁇䭻_x001C_呃幂彐剐䍉彅噁⡇㐳〷ⰰ㔳㘰⤴_x0018_＀＀_x0018_＀＀_x0008_＀＀_x0001_＀＀_x0001_＀＀㺬字澱䀹韤䮏)呃幂䅃偟久当䵅彐佃呎䥒彂⡃㈱㈯〰ⰵⰬ唬䑓착_x0018_＀＀_x0018_＀＀_x0008_＀＀_x0001_＀＀_x0001_＀＀䎖沋㯧䀿韤䮏;呃幂南偟久䥓乏䅟卓呅当充䥕ㄨ⼲〲㘰䀩䅃偟久当䍐彔充ㄨ⼲〲㘰착_x0018_＀＀_x0018_＀＀_x0008_＀＀_x0001_＀＀_x0001_＀＀＀＀＀＀䀀䁑鮎䭩_x001C_呃幂彐剐䍉彅噁⡇㜳㐳ⰷ㜳㌴⤷_x0018_＀＀_x0018_＀＀_x0008_＀＀_x0001_＀＀_x0001_＀＀늀輩䀶韥䮏J呃幂䅃偟协剔呅剟䅏䅟呃ㄨ⼲〲㜰ⰬⰬ单⥄址当䱈䡔䅃䕒䅟呃剟䅏ㄨ⼲〲㜰ⰬⰬ单⥄_x0018_＀＀_x0018_＀＀_x0008_＀＀_x0001_＀＀_x0001_＀＀＀＀＀＀＀＀＀＀흖䰠_x001C_䕌幁彐剐䍉彅噁⡇㤳㐴ⰸ㤳㌵⤸_x0018_＀＀_x0018_＀＀_x0008_＀＀_x0001_＀＀_x0001_＀＀豀碵꼝쐕忆䰚_x001C_䝍幁彐剐䍉彅噁⡇㘳㐳ⰲ㘳㌴⤳_x0018_＀＀_x0018_＀＀_x0008_＀＀_x0001_＀＀_x0001_＀＀뛙댨홁䁆鰳䲜_x001A_䕌幁南䕟䍘彈䅒䕔䥟䍎䍟⡆⤰_x0018_＀＀_x0018_＀＀_x0008_＀＀_x0001_＀＀_x0001_＀＀豀碵꼝쐕䭻_x001C_呃幂彐剐䍉彅噁⡇㌳㜹ⰰ㐳㌳⤴_x0018_＀＀_x0018_＀＀_x0008_＀＀_x0001_＀＀_x0001_＀＀䋄榭맞䀼鮎䭩_x001C_呃幂彐剐䍉彅噁⡇㤳〹ⰴ㤳㤹⤴_x0018_＀＀_x0018_＀＀_x0008_＀＀_x0001_＀＀_x0001_＀＀㰘בֿ뛦䀡鮎䭩_x001C_呃幂彐剐䍉彅噁⡇㘳㔲ⰱ㘳㐳⤱_x0018_＀＀_x0018_＀＀_x0008_＀＀_x0001_＀＀_x0001_＀＀놛㩨섻䀶鮎䭩(呃幂元䍟䵏卟午䍟䱁彃䕄卐㌨㈶ㄵ㌬㌶ㄴ䌬⥑_x0018_＀＀_x0018_＀＀_x0008_＀＀_x0001_＀＀_x0001_＀＀俟鞍﩮䁒韥䮏,呃幂䅃偟协剔呅䕟偍䍟乏剔䉉䍟ㄨ⼲〲㔰ⰬⰬ单⥄_x0018_＀＀_x0018_＀＀_x0008_＀＀_x0001_＀＀_x0001_＀＀＀＀＀＀＀＀＀＀韤䮏C呃幂䅃偟久当剐䩏佟䱂ㄨ⼲〲㄰ⰬⰬ单⥄址当䕐华佉彎䉐⡏㈱㈯〰ⰱⰬ唬䑓착_x0018_＀＀_x0018_＀＀_x0008_＀＀_x0001_＀＀_x0001_＀＀갈娜칤䂈鮎䭩_x001C_呃幂彐剐䍉彅噁⡇㘳㌴ⰴ㘳㈵⤵_x0018_＀＀_x0018_＀＀_x0008_＀＀_x0001_＀＀_x0001_＀＀듶心춓䀯䰠_x001C_䕌幁彐剐䍉彅噁⡇㐳〷ⰰ㔳㘰⤴_x0018_＀＀_x0018_＀＀_x0008_＀＀_x0001_＀＀_x0001_＀＀豀碵꼝쐕鮜䭩_x001F_呃幂䝆䕟䥂䑔彁⡑㘳㔲ⰱ㘳㐳ⰱ元착_x0018_＀＀_x0018_＀＀_x0008_＀＀_x0001_＀＀_x0001_＀＀_xDC9C_僯縔䁖鸓䮏(呃幂䅃偟久当䅐呒䍟乏剔䉉ㄨ⼲〲㠰ⰬⰬ单⥄_x0018_＀＀_x0018_＀＀_x0008_＀＀_x0001_＀＀_x0001_＀＀䷒ၢ䀂韤䮏&lt;呃幂南偟久䥓乏䅟卓呅当佂䑎⡓㈱㈯〰⤵䍀彁䕐华偟呃䙟⡉㈱㈯〰⤵_x0018_＀＀_x0018_＀＀_x0008_＀＀_x0001_＀＀_x0001_＀＀＀＀＀＀＀＀䀼韤䮏$呃幂䅃偟久当䕂彎䅐䑉ㄨ⼲〲㘰ⰬⰬ单⥄_x0018_＀＀_x0018_＀＀_x0008_＀＀_x0001_＀＀_x0001_＀＀틲才ࠐ䁊韤䮏%呃幂䅃偟久当啃归䥌䉁⡓㈱㈯〰ⰳⰬ唬䑓착_x0018_＀＀_x0018_＀＀_x0008_＀＀_x0001_＀＀_x0001_＀＀豀碵꼝쐕흕䰠_x001C_䕌幁彐剐䍉彅噁⡇㘳㔲ⰱ㘳㐳⤱_x0018_＀＀_x0018_＀＀_x0008_＀＀_x0001_＀＀_x0001_＀＀豀碵꼝쐕흖䰠_x001C_䕌幁彐剐䍉彅噁⡇㤳〹ⰴ㤳㤹⤴_x0018_＀＀_x0018_＀＀_x0008_＀＀_x0001_＀＀_x0001_＀＀豀碵꼝쐕鮎䭩_x001C_呃幂彐剐䍉彅噁⡇㜳〸ⰳ㜳㤸⤴_x0018_＀＀_x0018_＀＀_x0008_＀＀_x0001_＀＀_x0001_＀＀忙佶丞䀱镘䮎_x0016_坞当奆⡃ㄭ䀩䅃䙟䍙⴨⤱_x0014_＀＀_x0018_＀＀_x0004_＀＀_x0001_＀＀_x0008_＀＀乀A韤䮏F呃幂䅃偟协剔呅剟䅏ㄨ⼲〲㌰ⰬⰬ单⥄址当䱈䡔䅃䕒䕟偘剟䅏ㄨ⼲〲㌰ⰬⰬ单⥄_x0018_＀＀_x0018_＀＀_x0008_＀＀_x0001_＀＀_x0001_＀＀＀＀＀＀＀＀＀＀韤䮏$呃幂䅃偟久当呌䱟䅉卂ㄨ⼲〲㌰ⰬⰬ单⥄_x0018_＀＀_x0018_＀＀_x0008_＀＀_x0001_＀＀_x0001_＀＀豀碵꼝쐕鰮䲜F䕌幁䅃偟久当佒彁䍁⡔㈱㈯〰ⰹⰬ唬䑓䀩南偟久䥓乏䅟呃剟䅏ㄨ⼲〲㤰ⰬⰬ单⥄_x0018_＀＀_x0018_＀＀_x0008_＀＀_x0001_＀＀_x0001_＀＀㌴㌳㌳䁕韥䮏'呃幂䅃偟协剔呅䉟久偟䥁⡄㈱㈯〰ⰵⰬ唬䑓착_x0018_＀＀_x0018_＀＀_x0008_＀＀_x0001_＀＀_x0001_＀＀＀＀＀＀＀＀＀＀흕䰠_x001C_䕌幁彐剐䍉彅噁⡇㘳㌴ⰴ㘳㈵⤵_x0018_＀＀_x0018_＀＀_x0008_＀＀_x0001_＀＀_x0001_＀＀豀碵꼝쐕惮䰚_x001C_䝍幁彐剐䍉彅噁⡇㜳㠹ⰷ㠳㔳⤲_x0018_＀＀_x0018_＀＀_x0008_＀＀_x0001_＀＀_x0001_＀＀餱ᠪ겕䁓韤䮏-呃幂䅃偟协剔呅啟归剔佟彂䵁剏⡔㈱㈯〰ⰶⰬ唬䑓착_x0018_＀＀_x0018_＀＀_x0008_＀＀_x0001_＀＀_x0001_＀＀＀＀＀＀＀＀＀＀韤䮏*呃幂南䡟呌䍈剁彅塅彐呌剟䅏ㄨ⼲〲㌰ⰬⰬ单⥄_x0018_＀＀_x0018_＀＀_x0008_＀＀_x0001_＀＀_x0001_＀＀豀碵꼝쐕䰠_x001C_䕌幁彐剐䍉彅噁⡇㔳㌴ⰱ㔳㤷⤵_x0018_＀＀_x0018_＀＀_x0008_＀＀_x0001_＀＀_x0001_＀＀豀碵꼝쐕鰮䲜B䕌幁䅃偟久当佒⡁㈱㈯〰ⰹⰬ唬䑓䀩南偟久䥓乏䕟偘剟䅏ㄨ⼲〲㤰ⰬⰬ单⥄_x0018_＀＀_x0018_＀＀_x0008_＀＀_x0001_＀＀_x0001_＀＀晧晦♦쁅忆䰚_x001C_䝍幁彐剐䍉彅噁⡇㤳㜱ⰳ㤳㘲⤳_x0018_＀＀_x0018_＀＀_x0008_＀＀_x0001_＀＀_x0001_＀＀갞珿ﶘ䁔韤䮏H呃幂䅃偟久当义彔佃呓ㄨ⼲〲㘰ⰬⰬ单⥄址当䕐华佉彎义彔佃呓ㄨ⼲〲㘰ⰬⰬ单⥄_x0018_＀＀_x0018_＀＀_x0008_＀＀_x0001_＀＀_x0001_＀＀ꗣ쒛쀠䁌흕䰠_x001C_䕌幁彐剐䍉彅噁⡇㜳〸ⰳ㜳㤸⤴_x0018_＀＀_x0018_＀＀_x0008_＀＀_x0001_＀＀_x0001_＀＀豀碵꼝쐕韤䮏'呃幂南偟久偟协彔䕒彔䕂⡎㈱㈯〰ⰷⰬ唬䑓착_x0018_＀＀_x0018_＀＀_x0008_＀＀_x0001_＀＀_x0001_＀＀뀡桲솑䁲鮎䭩(呃幂元䍟䵏卟午䍟䱁彃䕄卐㌨㈳㤳㌬㌳㠲䌬⥑_x0018_＀＀_x0018_＀＀_x0008_＀＀_x0001_＀＀_x0001_＀＀豀碵꼝쐕韤䮏"呃幂南偟久䥓乏偟佂ㄨ⼲〲㘰ⰬⰬ单⥄_x0018_＀＀_x0018_＀＀_x0008_＀＀_x0001_＀＀_x0001_＀＀㽼㦵䂑忆䰚_x001C_䝍幁彐剐䍉彅噁⡇㤳㔳ⰶ㤳㐴⤷_x0018_＀＀_x0018_＀＀_x0008_＀＀_x0001_＀＀_x0001_＀＀ᑦⷋ䁕韤䮏'呃幂南偟久䥓乏也呅䱟䅉⡂㈱㈯〰ⰷⰬ唬䑓착_x0018_＀＀_x0018_＀＀_x0008_＀＀_x0001_＀＀_x0001_＀＀豀碵꼝쐕韤䮏M呃幂䅃偟协剔呅卟噒䍟协⡔㈱㈯〰ⰷⰬ唬䑓䀩南䡟呌䍈剁彅䕓噒䍟协⡔㈱㈯〰ⰷⰬ唬䑓착_x0018_＀＀_x0018_＀＀_x0008_＀＀_x0001_＀＀_x0001_＀＀ᑺ䞮䀖韤䮏 呃幂南䕟䍘彈䅒䕔䥟䍎䍟⡆㈱㈯〰⤸_x0018_＀＀_x0018_＀＀_x0008_＀＀_x0001_＀＀_x0001_＀＀豀碵꼝쐕鮎䭩_x001F_呃幂䝆䕟䥂䑔彁⡑㌳㌲ⰹ㌳㈳ⰸ元착_x0018_＀＀_x0018_＀＀_x0008_＀＀_x0001_＀＀_x0001_＀＀Й๖툭䀼韤䮏)呃幂南䡟呌䍈剁彅䥄䍓剟呁⡅㈱㈯〰ⰸⰬ唬䑓착_x0018_＀＀_x0018_＀＀_x0008_＀＀_x0001_＀＀_x0001_＀＀＀＀＀＀＀＀䀘鮎䭩_x001C_呃幂彐剐䍉彅噁⡇㤳㐴ⰸ㤳㌵⤸_x0018_＀＀_x0018_＀＀_x0008_＀＀_x0001_＀＀_x0001_＀＀_xDD1B_셌䀰韤䮏L呃幂䅃偟协剔呅䥟呎䍟协⡔㈱㈯〰ⰸⰬ唬䑓䀩南䡟呌䍈剁彅义彔佃呓ㄨ⼲〲㠰ⰬⰬ单⥄_x0018_＀＀_x0018_＀＀_x0008_＀＀_x0001_＀＀_x0001_＀＀䎖沋ﯧ䀮韥䮏E呃幂䅃偟协剔呅䉟久佟⡂㈱㈯〰ⰵⰬ唬䑓䀩南䡟呌䍈剁彅䉐⡏㈱㈯〰ⰵⰬ唬䑓착_x0018_＀＀_x0018_＀＀_x0008_＀＀_x0001_＀＀_x0001_＀＀㝌䆉ᥠ䁱鰮䲜%䕌幁䅃偟久当呌䅟卓呅⡓㈱㈯〰ⰹⰬ唬䑓착_x0018_＀＀_x0018_＀＀_x0008_＀＀_x0001_＀＀_x0001_＀＀晧晦晦䁆鮎䭩(呃幂元䍟䵏卟午䍟䱁彃䕄卐㐨〰㜸㐬㄰㠷䌬⥑_x0018_＀＀_x0018_＀＀_x0008_＀＀_x0001_＀＀_x0001_＀＀晧晦虦䁎惮䰚_x001C_䝍幁彐剐䍉彅噁⡇㔳㘰ⰵ㔳㌴⤰_x0018_＀＀_x0018_＀＀_x0008_＀＀_x0001_＀＀_x0001_＀＀㲊멉⹦䁄韤䮏)呃幂南偟久䥓乏噟䱁䅟卓呅⡓㈱㈯〰ⰵⰬ唬䑓착_x0018_＀＀_x0018_＀＀_x0008_＀＀_x0001_＀＀_x0001_＀＀갈娜㥤䂋鰮䲜'䕌幁䅃偟久当商䑎卟䅔啔⡓㈱㈯〰ⰹⰬ唬䑓착_x0018_＀＀_x0018_＀＀_x0008_＀＀_x0001_＀＀_x0001_＀＀馚香榙쁠鮎䭩(呃幂元䍟䵏卟午䍟䱁彃䕄卐㌨㘳㔹㌬㜳㔸䌬⥑_x0018_＀＀_x0018_＀＀_x0008_＀＀_x0001_＀＀_x0001_＀＀豀碵꼝쐕韤䮏(呃幂南偟久䥓乏䅟卓呅当呌ㄨ⼲〲㈰ⰬⰬ单⥄_x0018_＀＀_x0018_＀＀_x0008_＀＀_x0001_＀＀_x0001_＀＀豀碵꼝쐕韤䮏 呃幂南䕟䍘彈䅒䕔䉟䱁卟⡈㈱㈯〰⤴_x0018_＀＀_x0018_＀＀_x0008_＀＀_x0001_＀＀_x0001_＀＀豀碵꼝쐕惮䰚_x001C_䝍幁彐剐䍉彅噁⡇㠳㔳ⰳ㠳ㄷ⤷_x0018_＀＀_x0018_＀＀_x0008_＀＀_x0001_＀＀_x0001_＀＀ꆡ艿잋䁑韤䮏J呃幂䅃偟久当䥄䍓剟呁⡅㈱㈯〰ⰷⰬ唬䑓䀩南偟久䥓乏䑟卉彃䅒䕔ㄨ⼲〲㜰ⰬⰬ单⥄_x0018_＀＀_x0018_＀＀_x0008_＀＀_x0001_＀＀_x0001_＀＀竡긔䀗韤䮏 呃幂南䕟䍘彈䅒䕔ㄨ⼲〲㜰ⰬⰬ单⥄_x0018_＀＀_x0018_＀＀_x0008_＀＀_x0001_＀＀_x0001_＀＀＀＀＀＀＀＀㿰忆䰚_x001C_䝍幁彐剐䍉彅噁⡇㔳㠸ⰶ㔳㜹⤶_x0018_＀＀_x0018_＀＀_x0008_＀＀_x0001_＀＀_x0001_＀＀졌㴇⦛䁏鮜䭩_x001F_呃幂䝆䕟䥂䑔彁⡑㌳㤶ⰵ㌳㠷ⰵ元착_x0018_＀＀_x0018_＀＀_x0008_＀＀_x0001_＀＀_x0001_＀＀椅ꋆ蛩䁉韤䮏&amp;呃幂䅃偟久当十彔义䅔䝎ㄨ⼲〲㌰ⰬⰬ单⥄_x0018_＀＀_x0018_＀＀_x0008_＀＀_x0001_＀＀_x0001_＀＀＀＀＀＀＀＀＀＀忆䰚_x001C_䝍幁彐剐䍉彅噁⡇㐳㤷ⰰ㐳㠸⤰_x0018_＀＀_x0018_＀＀_x0008_＀＀_x0001_＀＀_x0001_＀＀埒暐ᘬ䁀韥䮏J呃幂䅃偟协剔呅剟䅏䅟呃ㄨ⼲〲㘰ⰬⰬ单⥄址当䱈䡔䅃䕒䅟呃剟䅏ㄨ⼲〲㘰ⰬⰬ单⥄_x0018_＀＀_x0018_＀＀_x0008_＀＀_x0001_＀＀_x0001_＀＀＀＀＀＀＀＀＀＀䭻_x001C_呃幂彐剐䍉彅噁⡇㘳㈵ⰶ㘳㤸⤱_x0018_＀＀_x0018_＀＀_x0008_＀＀_x0001_＀＀_x0001_＀＀폱㞸妿䀧鮎䭩(呃幂元䍟䵏卟午䍟䱁彃䕄卐㌨ㄷ㔶㌬㈷㘵䌬⥑_x0018_＀＀_x0018_＀＀_x0008_＀＀_x0001_＀＀_x0001_＀＀ꏗ㵰㜊䁒鮎䭩(呃幂元䍟䵏卟午䍟䱁彃䕄卐㌨㈵㜴㌬㌵㠳䌬⥑_x0018_＀＀_x0018_＀＀_x0008_＀＀_x0001_＀＀_x0001_＀＀豀碵꼝쐕䭻_x001C_呃幂彐剐䍉彅噁⡇㔳㌴ⰱ㔳㤷⤵_x0018_＀＀_x0018_＀＀_x0008_＀＀_x0001_＀＀_x0001_＀＀릷㴱楡䀶鮎䭩_x001C_呃幂䝆䕟卐兟㌨㈳㤳㌬㌳㠲䌬⥑_x0018_＀＀_x0018_＀＀_x0008_＀＀_x0001_＀＀_x0001_＀＀㌳㌳㌳㿃韤䮏F呃幂䅃偟久当佒彁䍁⡔㈱㈯〰ⰲⰬ唬䑓䀩南偟久䥓乏䅟呃剟䅏ㄨ⼲〲㈰ⰬⰬ单⥄_x0018_＀＀_x0018_＀＀_x0008_＀＀_x0001_＀＀_x0001_＀＀蜫_xD916_韎쁆鸓䮏(呃幂南偟久䥓乏䅟卓呅当呌ㄨ⼲〲㠰ⰬⰬ单⥄_x0018_＀＀_x0018_＀＀_x0008_＀＀_x0001_＀＀_x0001_＀＀豀碵꼝쐕鮜䭩_x001F_呃幂䝆䕟䥂䑔彁⡑㜳㘱ⰵ㜳㔲ⰶ元착_x0018_＀＀_x0018_＀＀_x0008_＀＀_x0001_＀＀_x0001_＀＀탥_xDB22_雹䁖鮎䭩(呃幂元䍟䵏卟午䍟䱁彃䕄卐㌨㔹㤳㌬㘹㤲䌬⥑_x0018_＀＀_x0018_＀＀_x0008_＀＀_x0001_＀＀_x0001_＀＀䆉狐䁍鮎䭩(呃幂元䍟䵏卟午䍟䱁彃䕄卐㌨〷㌷㌬ㄷ㐶䌬⥑_x0018_＀＀_x0018_＀＀_x0008_＀＀_x0001_＀＀_x0001_＀＀_xDF3B_赏㚗䁒凁䪹_x001C_坂幁䝆偟彅奆⠲㈭䄰ⱙⰰ奆㤬⤰°＀＀_x0018_＀＀ ＀＀_x0014_＀＀_x0001_＀＀豀碵꼝쐕豀碵꼝쐕豀碵꼝쐕豀碵꼝쐕豀碵꼝쐕豀碵꼝쐕豀碵꼝쐕豀碵꼝쐕䝯ⴸ㥸䀥㇏笠_xDBBD_䀦苋㾉䊊䀜⚦扦彟䀟륕ꅐ䀬䡫揜ϩ䀠⼸籎㎵䀨ꋤ䑚謔䀩뿤၀茠䀨鴊_xD8D7_먥䀩ⶀ岯靯䀰硧캳䀬鞰䮏.坞当䕐华佉彎十䕓協䕟啑⡉䅎䀩䅃偟久当䍐彔充丨⥁_x0018_＀＀_x0018_＀＀_x0008_＀＀_x0001_＀＀_x0001_＀＀豀碵꼝쐕鰮䲜&amp;䕌幁䅃偟久当十彔义䅔䝎ㄨ⼲〲㤰ⰬⰬ单⥄_x0018_＀＀_x0018_＀＀_x0008_＀＀_x0001_＀＀_x0001_＀＀豀碵꼝쐕鮎䭩_x001C_呃幂彐剐䍉彅噁⡇㐳〷ⰰ㐳㠷⤹_x0018_＀＀_x0018_＀＀_x0008_＀＀_x0001_＀＀_x0001_＀＀ᆝ붥⟁䀻鮜䭩_x001F_呃幂䝆䕟䥂䑔彁⡑㔳㐲ⰷ㔳㌳ⰸ元착_x0018_＀＀_x0018_＀＀_x0008_＀＀_x0001_＀＀_x0001_＀＀赐溗팒䁏鰳䲜&lt;䕌幁䅃偟久当䥄䍓剟呁⡅㈱㈯〰⤸址当䕐华佉彎䥄䍓剟呁⡅㈱㈯〰⤸_x0018_＀＀_x0018_＀＀_x0008_＀＀_x0001_＀＀_x0001_＀＀凬Ẹ䀖䰠_x001C_䕌幁彐剐䍉彅噁⡇㘳㈵ⰶ㘳㤸⤱_x0018_＀＀_x0018_＀＀_x0008_＀＀_x0001_＀＀_x0001_＀＀豀碵꼝쐕韤䮏J呃幂䅃偟久当佒彁䅒䕔ㄨ⼲〲㔰ⰬⰬ单⥄址当䕐华佉彎塅彐呌剟䅏ㄨ⼲〲㔰ⰬⰬ单⥄_x0018_＀＀_x0018_＀＀_x0008_＀＀_x0001_＀＀_x0001_＀＀ꏗ㵰휊䀡韤䮏F呃幂䅃偟协剔呅剟䅏ㄨ⼲〲㈰ⰬⰬ单⥄址当䱈䡔䅃䕒䕟偘剟䅏ㄨ⼲〲㈰ⰬⰬ单⥄_x0018_＀＀_x0018_＀＀_x0008_＀＀_x0001_＀＀_x0001_＀＀＀＀＀＀＀＀＀＀鮜䭩_x001F_呃幂䝆䕟䥂䑔彁⡑㜳㜰ⰳ㜳㘱ⰴ元착_x0018_＀＀_x0018_＀＀_x0008_＀＀_x0001_＀＀_x0001_＀＀볽䢩掅䁙鸓䮏_x001E_呃幂䅃偟久当佃偍剟呁⡅㈱㈯〰⤸_x0018_＀＀_x0018_＀＀_x0008_＀＀_x0001_＀＀_x0001_＀＀炤਽ꏗ䀊䰠_x001C_䕌幁彐剐䍉彅噁⡇㘳㘱ⰱ㘳㈵⤵_x0018_＀＀_x0018_＀＀_x0008_＀＀_x0001_＀＀_x0001_＀＀豀碵꼝쐕韤䮏Q呃幂䅃偟久当䍁啃彍佃偍䥒䍎ㄨ⼲〲㔰ⰬⰬ单⥄址当佃偍归义彃䕐华䱟䅉⡂㈱㈯〰ⰵⰬ唬䑓착_x0018_＀＀_x0018_＀＀_x0008_＀＀_x0001_＀＀_x0001_＀＀＀＀＀＀＀＀＀＀饙䭩_x001C_呃幂䝆䕟卐兟㌨㌵㤳㌬㐵〳䌬⥑_x0018_＀＀_x0018_＀＀_x0008_＀＀_x0001_＀＀_x0001_＀＀馚香香㿙鮎䭩_x001F_呃幂兆也呅䑟䉅⡔㌳㌲ⰹ㌳㈳ⰸ元착_x0018_＀＀_x0018_＀＀_x0008_＀＀_x0001_＀＀_x0001_＀＀豀碵꼝쐕韥䮏(呃幂南䡟呌䍈剁彅乕彆䕂⡎㈱㈯〰ⰳⰬ唬䑓⤩＀＀＀＀흕䰠_x001C_䕌幁彐剐䍉彅噁⡇㐳〷ⰰ㐳㠷⤹_x0018_＀＀_x0018_＀＀_x0008_＀＀_x0001_＀＀_x0001_＀＀豀碵꼝쐕鮎䭩(呃幂元䍟䵏卟午䍟䱁彃䕄卐㐨㐰㈵㐬㔰㌴䌬⥑_x0018_＀＀_x0018_＀＀_x0008_＀＀_x0001_＀＀_x0001_＀＀豀碵꼝쐕韤䮏H呃幂䅃偟久当义彔佃呓ㄨ⼲〲㔰ⰬⰬ单⥄址当䕐华佉彎义彔佃呓ㄨ⼲〲㔰ⰬⰬ单⥄_x0018_＀＀_x0018_＀＀_x0008_＀＀_x0001_＀＀_x0001_＀＀鍵И蹖䁋惮䰚_x001C_䝍幁彐剐䍉彅噁⡇㤳㠰ⰳ㤳㐴⤷_x0018_＀＀_x0018_＀＀_x0008_＀＀_x0001_＀＀_x0001_＀＀趹㈖䁕顄䮏_x0017_呃幂南䙟䍙〨䀩䅃䙟䍙〨착_x0018_＀＀_x0018_＀＀_x0008_＀＀_x0001_＀＀_x0008_＀＀㈱㈯〰8鮎䭩(呃幂元䍟䵏卟午䍟䱁彃䕄卐㐨㌰〶㐬㐰ㄵ䌬⥑_x0018_＀＀_x0018_＀＀_x0008_＀＀_x0001_＀＀_x0001_＀＀豀碵꼝쐕韥䮏+呃幂䅃偟协剔呅偟剁彔佃呎䥒⡂㈱㈯〰ⰷⰬ唬䑓착_x0018_＀＀_x0018_＀＀_x0008_＀＀_x0001_＀＀_x0001_＀＀＀＀＀＀＀＀＀＀韤䮏;呃幂南偟久䥓乏䅟卓呅当呏⡈㈱㈯〰⤷䍀彁䕐华偟呃佟䡔ㄨ⼲〲㜰착_x0018_＀＀_x0018_＀＀_x0008_＀＀_x0001_＀＀_x0001_＀＀롒蔞凫㿴韥䮏)呃幂䅃偟协剔呅佟䡔䑁彊䉎⡁㈱㈯〰ⰳⰬ唬䑓착_x0018_＀＀_x0018_＀＀_x0008_＀＀_x0001_＀＀_x0001_＀＀豀碵꼝쐕饙䭩_x001F_呃幂兆也呅䑟䉅⡔㔳㌳ⰹ㔳㌴ⰰ元착_x0018_＀＀_x0018_＀＀_x0008_＀＀_x0001_＀＀_x0001_＀＀豀碵꼝쐕韤䮏I呃幂䅃偟久当剓彖佃呓ㄨ⼲〲㐰ⰬⰬ单⥄址当䕐华佉彎䕓噒䍟协⡔㈱㈯〰ⰴⰬ唬䑓착_x0018_＀＀_x0018_＀＀_x0008_＀＀_x0001_＀＀_x0001_＀＀磕⛩젱䀴惮䰚_x001C_䝍幁彐剐䍉彅噁⡇㤳㐴ⰸ㤳ㄸ⤳_x0018_＀＀_x0018_＀＀_x0008_＀＀_x0001_＀＀_x0001_＀＀老魦茛䁍鮎䭩(呃幂元䍟䵏卟午䍟䱁彃䕄卐㌨㌵㤳㌬㐵〳䌬⥑_x0018_＀＀_x0018_＀＀_x0008_＀＀_x0001_＀＀_x0001_＀＀豀碵꼝쐕饙䭩_x001C_呃幂䝆䕟卐兟㌨㈵㜴㌬㌵㠳䌬⥑_x0018_＀＀_x0018_＀＀_x0008_＀＀_x0001_＀＀_x0001_＀＀ᑻ䞮竡㿔鮎䭩(呃幂元䍟䵏卟午䍟䱁彃䕄卐㌨㤸ㄹ㌬〹㈸䌬⥑_x0018_＀＀_x0018_＀＀_x0008_＀＀_x0001_＀＀_x0001_＀＀轜갨䁎韥䮏P呃幂䅃偟协剔呅偟䅌彎十彔久⡄㈱㈯〰ⰳⰬ唬䑓䀩南䡟呌䍈剁彅噆䅟卓呅ㄨ⼲〲㌰ⰬⰬ单⥄_x0018_＀＀_x0018_＀＀_x0008_＀＀_x0001_＀＀_x0001_＀＀＀＀＀＀＀＀＀＀鮎䭩(呃幂元䍟䵏卟午䍟䱁彃䕄卐㌨㔷〳㌬㘷ㄲ䌬⥑_x0018_＀＀_x0018_＀＀_x0008_＀＀_x0001_＀＀_x0001_＀＀⃅犰煨䁒韢䮏+呃幂南䍟問呎奒也䵁⡅⤰䍀彁佃䥟䍎剏彐呃奒〨착_x001E_＀＀_x0018_＀＀_x000E_＀＀_x0001_＀＀_x0008_＀＀湕瑩摥匠慴整s韤䮏 呃幂南䕟䍘彈䅒䕔䉟䱁卟⡈㈱㈯〰⤵_x0018_＀＀_x0018_＀＀_x0008_＀＀_x0001_＀＀_x0001_＀＀豀碵꼝쐕鮎䭩(呃幂元䍟䵏卟午䍟䱁彃䕄卐㌨㘵㈱㌬㜵㌰䌬⥑_x0018_＀＀_x0018_＀＀_x0008_＀＀_x0001_＀＀_x0001_＀＀豀碵꼝쐕鮜䭩_x001F_呃幂䝆䕟䥂䑔彁⡑㔳㌳ⰹ㔳㌴ⰰ元착_x0018_＀＀_x0018_＀＀_x0008_＀＀_x0001_＀＀_x0001_＀＀ၢ㥘䂴䁒韤䮏%呃幂䅃偟久当呌䅟卓呅⡓㈱㈯〰ⰲⰬ唬䑓착_x0018_＀＀_x0018_＀＀_x0008_＀＀_x0001_＀＀_x0001_＀＀豀碵꼝쐕鮎䭩(呃幂元䍟䵏卟午䍟䱁彃䕄卐㌨㜴〰㌬㜴㤸䌬⥑_x0018_＀＀_x0018_＀＀_x0008_＀＀_x0001_＀＀_x0001_＀＀豀碵꼝쐕韤䮏(呃幂䅃偟久当䅐呒䍟乏剔䉉ㄨ⼲〲㌰ⰬⰬ单⥄_x0018_＀＀_x0018_＀＀_x0008_＀＀_x0001_＀＀_x0001_＀＀ꧼ틱才䀁韤䮏'呃幂䅃偟久当商䑎卟䅔啔⡓㈱㈯〰ⰵⰬ唬䑓착_x0018_＀＀_x0018_＀＀_x0008_＀＀_x0001_＀＀_x0001_＀＀蜫_xD916_럎䀠鸓䮏_x001A_呃幂南䕟䍘彈䅒䕔〨ⰬⰬ单⥄_x0018_＀＀_x0018_＀＀_x0008_＀＀_x0001_＀＀_x0001_＀＀＀＀＀＀＀＀㿰韤䮏;呃幂南偟久䥓乏䅟卓呅当剐偏ㄨ⼲〲㘰䀩䅃偟久当䍐彔䕒ㄨ⼲〲㘰착_x0018_＀＀_x0018_＀＀_x0008_＀＀_x0001_＀＀_x0001_＀＀＀＀＀＀＀＀＀＀鮜䭩_x001F_呃幂䝆䕟䥂䑔彁⡑㔳ㄶⰲ㔳〷ⰳ元착_x0018_＀＀_x0018_＀＀_x0008_＀＀_x0001_＀＀_x0001_＀＀卥崮䁓鮜䭩_x001F_呃幂䝆䕟䥂䑔彁⡑㐳〷ⰰ㐳㠷ⰹ元착_x0018_＀＀_x0018_＀＀_x0008_＀＀_x0001_＀＀_x0001_＀＀䦺Ȍ䁍韤䮏)呃幂䅃偟久当䵅彐佃呎䥒彂⡃㈱㈯〰ⰶⰬ唬䑓착_x0018_＀＀_x0018_＀＀_x0008_＀＀_x0001_＀＀_x0001_＀＀ꗣ쒛ဠ䀵흕䰠_x001C_䕌幁彐剐䍉彅噁⡇㔳㌴ⰱ㔳㈵⤰_x0018_＀＀_x0018_＀＀_x0008_＀＀_x0001_＀＀_x0001_＀＀豀碵꼝쐕饙䭩_x001F_呃幂兆也呅䑟䉅⡔㔳㐲ⰷ㔳㌳ⰸ元착_x0018_＀＀_x0018_＀＀_x0008_＀＀_x0001_＀＀_x0001_＀＀豀碵꼝쐕鮎䭩(呃幂元䍟䵏卟午䍟䱁彃䕄卐㌨㌸㌵㌬㐸㈴䌬⥑_x0018_＀＀_x0018_＀＀_x0008_＀＀_x0001_＀＀_x0001_＀＀됹盈瞾䁑韤䮏(呃幂䅃偟久当偐彄䕂彎佃呓ㄨ⼲〲㐰ⰬⰬ单⥄_x0018_＀＀_x0018_＀＀_x0008_＀＀_x0001_＀＀_x0001_＀＀鮥Ⳅ䁣韥䮏J呃幂䅃偟协剔呅剟䅏䅟呃ㄨ⼲〲㔰ⰬⰬ单⥄址当䱈䡔䅃䕒䅟呃剟䅏ㄨ⼲〲㔰ⰬⰬ单⥄_x0018_＀＀_x0018_＀＀_x0008_＀＀_x0001_＀＀_x0001_＀＀＀＀＀＀＀＀＀＀䭻_x001C_呃幂彐剐䍉彅噁⡇㘳㘱ⰱ㘳㈵⤵_x0018_＀＀_x0018_＀＀_x0008_＀＀_x0001_＀＀_x0001_＀＀諛旽䀳鮎䭩_x001C_呃幂元卟䱁卅㌨㌳㤲㌬㐳㤱䌬⥑_x0018_＀＀_x0018_＀＀_x0008_＀＀_x0001_＀＀_x0001_＀＀㕀멞䡉䁯韤䮏B呃幂䅃偟久当佒⡁㈱㈯〰ⰴⰬ唬䑓䀩南偟久䥓乏䕟偘剟䅏ㄨ⼲〲㐰ⰬⰬ单⥄_x0018_＀＀_x0018_＀＀_x0008_＀＀_x0001_＀＀_x0001_＀＀ొ⬂㚇쁍韤䮏;呃幂南偟久䥓乏䅟卓呅当充䥕ㄨ⼲〲㜰䀩䅃偟久当䍐彔充ㄨ⼲〲㜰착_x0018_＀＀_x0018_＀＀_x0008_＀＀_x0001_＀＀_x0001_＀＀휊炣騽䁐惮䰚_x001C_䝍幁彐剐䍉彅噁⡇㔳㤷ⰶ㘳㘱⤰_x0018_＀＀_x0018_＀＀_x0008_＀＀_x0001_＀＀_x0001_＀＀䕹뿰炕䁌韥䮏,呃幂䅃偟协剔呅䕟偍䍟乏剔䉉䍟ㄨ⼲〲㘰ⰬⰬ单⥄_x0018_＀＀_x0018_＀＀_x0008_＀＀_x0001_＀＀_x0001_＀＀＀＀＀＀＀＀＀＀鮎䭩(呃幂元䍟䵏卟午䍟䱁彃䕄卐㌨㠶〰㌬㠶ㄹ䌬⥑_x0018_＀＀_x0018_＀＀_x0008_＀＀_x0001_＀＀_x0001_＀＀堐됹⛈䁒韤䮏J呃幂䅃偟久当佒彁䅒䕔ㄨ⼲〲㠰ⰬⰬ单⥄址当䕐华佉彎塅彐呌剟䅏ㄨ⼲〲㠰ⰬⰬ单⥄_x0018_＀＀_x0018_＀＀_x0008_＀＀_x0001_＀＀_x0001_＀＀＀＀＀＀耀䀠鸔䮏%呃幂䅃偟久当呌䅟卓呅⡓㈱㈯〰ⰸⰬ唬䑓착_x0018_＀＀_x0018_＀＀_x0008_＀＀_x0001_＀＀_x0001_＀＀褷恁탥㿂韤䮏B呃幂䅃偟久当佒⡁㈱㈯〰ⰷⰬ唬䑓䀩南偟久䥓乏䕟偘剟䅏ㄨ⼲〲㜰ⰬⰬ单⥄_x0018_＀＀_x0018_＀＀_x0008_＀＀_x0001_＀＀_x0001_＀＀퓾礦쁓韤䮏F呃幂䅃偟久当佒彁䍁⡔㈱㈯〰ⰵⰬ唬䑓䀩南偟久䥓乏䅟呃剟䅏ㄨ⼲〲㔰ⰬⰬ单⥄_x0018_＀＀_x0018_＀＀_x0008_＀＀_x0001_＀＀_x0001_＀＀ਾꏗ앰䁕忆䰚_x001C_䝍幁彐剐䍉彅噁⡇〴㜱ⰹ〴㘲⤸_x0018_＀＀_x0018_＀＀_x0008_＀＀_x0001_＀＀_x0001_＀＀릷㴱䁌䫻_x0018_剔幗䝆偟⡅㈭䄰ⱙⰰ奆㤬⤰°＀＀_x0018_＀＀ ＀＀_x0014_＀＀_x0001_＀＀豀碵꼝쐕豀碵꼝쐕豀碵꼝쐕豀碵꼝쐕豀碵꼝쐕豀碵꼝쐕豀碵꼝쐕豀碵꼝쐕豀碵꼝쐕豀碵꼝쐕豀碵꼝쐕豀碵꼝쐕豀碵꼝쐕豀碵꼝쐕豀碵꼝쐕되肐藑䀷Ⴟ_xDE72_矿䁀⹻鍓无䀪_xDED3_௠↓䁁掄㶖氉㿺韥䮏E呃幂䅃偟协剔呅䉟久佟⡂㈱㈯〰ⰶⰬ唬䑓䀩南䡟呌䍈剁彅䉐⡏㈱㈯〰ⰶⰬ唬䑓착_x0018_＀＀_x0018_＀＀_x0008_＀＀_x0001_＀＀_x0001_＀＀帵䦺㈌䁱忆䰚_x001C_䝍幁彐剐䍉彅噁⡇㠳㔳ⰳ㠳㐴⤲_x0018_＀＀_x0018_＀＀_x0008_＀＀_x0001_＀＀_x0001_＀＀Ⱨ캚鱎䁒韤䮏'呃幂南偟久偟协彔䕒彔䕂⡎㈱㈯〰ⰲⰬ唬䑓착_x0018_＀＀_x0018_＀＀_x0008_＀＀_x0001_＀＀_x0001_＀＀轜됨䁩鮜䭩_x001F_呃幂䝆䕟䥂䑔彁⡑㘳〸ⰰ㘳㤸ⰱ元착_x0018_＀＀_x0018_＀＀_x0008_＀＀_x0001_＀＀_x0001_＀＀㸃谿ࠐ䁝鸓䮏F呃幂䅃偟久当佒彁䍁⡔㈱㈯〰ⰸⰬ唬䑓䀩南偟久䥓乏䅟呃剟䅏ㄨ⼲〲㠰ⰬⰬ单⥄_x0018_＀＀_x0018_＀＀_x0008_＀＀_x0001_＀＀_x0001_＀＀욧Ὃ쁯韤䮏$呃幂䅃偟久当䕂彎䅐䑉ㄨ⼲〲㜰ⰬⰬ单⥄_x0018_＀＀_x0018_＀＀_x0008_＀＀_x0001_＀＀_x0001_＀＀㝌䆉ᵠ䁐韤䮏%呃幂䅃偟久当啃归䥌䉁⡓㈱㈯〰ⰴⰬ唬䑓착_x0018_＀＀_x0018_＀＀_x0008_＀＀_x0001_＀＀_x0001_＀＀豀碵꼝쐕鮎䭩(呃幂元䍟䵏卟午䍟䱁彃䕄卐㌨㠵㘸㌬㤵㘷䌬⥑_x0018_＀＀_x0018_＀＀_x0008_＀＀_x0001_＀＀_x0001_＀＀豀碵꼝쐕韤䮏%呃幂䅃偟久当佃偍剟呁⡅㈱㈯〰ⰷⰬ唬䑓착_x0018_＀＀_x0018_＀＀_x0008_＀＀_x0001_＀＀_x0001_＀＀䞮竡긔䀋韥䮏T呃幂䅃偟协剔呅偟䥒剏卟噒ㄨ⼲〲㈰ⰬⰬ单⥄址当䱈䡔䅃䕒啟剎䍅卟剅彖佃呓ㄨ⼲〲㈰ⰬⰬ单⥄_x0018_＀＀_x0018_＀＀_x0008_＀＀_x0001_＀＀_x0001_＀＀욧㝋㿳韢䮏_x000F_呃幂南䍟剕䕒䍎챙_x001C_＀＀_x0018_＀＀_x000C_＀＀_x0001_＀＀_x0008_＀＀⹕⹓䐠汯慬r鸓䮏N呃幂䅃偟久当乕䕒佃⡇㈱㈯〰ⰸⰬ唬䑓䀩南偟久䥓乏啟剎䍅卟剅彖佃呓ㄨ⼲〲㠰ⰬⰬ单⥄_x0018_＀＀_x0018_＀＀_x0008_＀＀_x0001_＀＀_x0001_＀＀鶲꟯ெ쀲韤䮏;呃幂南偟久䥓乏䅟卓呅当呏⡈㈱㈯〰⤲䍀彁䕐华偟呃佟䡔ㄨ⼲〲㈰착_x0018_＀＀_x0018_＀＀_x0008_＀＀_x0001_＀＀_x0001_＀＀豀碵꼝쐕韤䮏)呃幂南䡟呌䍈剁彅䥄䍓剟呁⡅㈱㈯〰ⰳⰬ唬䑓착_x0018_＀＀_x0018_＀＀_x0008_＀＀_x0001_＀＀_x0001_＀＀＀＀＀＀＀＀䀙韥䮏#呃幂䅃偟协剔呅䱟䅉⡂㈱㈯〰ⰲⰬ唬䑓착_x0018_＀＀_x0018_＀＀_x0008_＀＀_x0001_＀＀_x0001_＀＀좴빶늟쁬忆䰚_x001C_䝍幁彐剐䍉彅噁⡇㠳㤸ⰹ㠳㤹⤰_x0018_＀＀_x0018_＀＀_x0008_＀＀_x0001_＀＀_x0001_＀＀囖⿬ֻ䁒鮜䭩_x001F_呃幂䝆䕟䥂䑔彁⡑㔳㠸ⰶ㔳㜹ⰶ元착_x0018_＀＀_x0018_＀＀_x0008_＀＀_x0001_＀＀_x0001_＀＀率橾Ⲽ䁔鮎䭩_x001C_呃幂彐剐䍉彅噁⡇㜳㔲ⰷ㜳㐳⤶_x0018_＀＀_x0018_＀＀_x0008_＀＀_x0001_＀＀_x0001_＀＀휊炣쨽䀱鮎䭩_x001C_呃幂彐剐䍉彅噁⡇㔳㜹ⰷ㘳㘰⤸_x0018_＀＀_x0018_＀＀_x0008_＀＀_x0001_＀＀_x0001_＀＀岧巡騮䀲韤䮏;呃幂南偟久䥓乏䅟卓呅当充䥕ㄨ⼲〲㈰䀩䅃偟久当䍐彔充ㄨ⼲〲㈰착_x0018_＀＀_x0018_＀＀_x0008_＀＀_x0001_＀＀_x0001_＀＀豀碵꼝쐕韤䮏-呃幂䅃偟协剔呅啟归剔佟彂䵁剏⡔㈱㈯〰ⰷⰬ唬䑓착_x0018_＀＀_x0018_＀＀_x0008_＀＀_x0001_＀＀_x0001_＀＀＀＀＀＀＀＀＀＀韤䮏*呃幂南䡟呌䍈剁彅塅彐呌剟䅏ㄨ⼲〲㐰ⰬⰬ单⥄_x0018_＀＀_x0018_＀＀_x0008_＀＀_x0001_＀＀_x0001_＀＀豀碵꼝쐕흕䰠_x001C_䕌幁彐剐䍉彅噁⡇㘳㠹ⰲ㜳㜰⤲_x0018_＀＀_x0018_＀＀_x0008_＀＀_x0001_＀＀_x0001_＀＀豀碵꼝쐕鸔䮏'呃幂南偟久偟协彔䕒彔䕂⡎㈱㈯〰ⰸⰬ唬䑓착_x0018_＀＀_x0018_＀＀_x0008_＀＀_x0001_＀＀_x0001_＀＀鮥賄䁿韤䮏H呃幂䅃偟久当义彔佃呓ㄨ⼲〲㐰ⰬⰬ单⥄址当䕐华佉彎义彔佃呓ㄨ⼲〲㐰ⰬⰬ单⥄_x0018_＀＀_x0018_＀＀_x0008_＀＀_x0001_＀＀_x0001_＀＀빷᪟촯䁉鰮䲜$䕌幁䅃偟久当呌䱟䅉卂ㄨ⼲〲㤰ⰬⰬ单⥄_x0018_＀＀_x0018_＀＀_x0008_＀＀_x0001_＀＀_x0001_＀＀馚香릙䁤鮎䭩(呃幂元䍟䵏卟午䍟䱁彃䕄卐㌨㌹㘵㌬㐹㜴䌬⥑_x0018_＀＀_x0018_＀＀_x0008_＀＀_x0001_＀＀_x0001_＀＀욧㝋䁏鮎䭩(呃幂元䍟䵏卟午䍟䱁彃䕄卐㌨㐷㠳㌬㔷㤲䌬⥑_x0018_＀＀_x0018_＀＀_x0008_＀＀_x0001_＀＀_x0001_＀＀눭隧䁒鞰䮏_x000C_坞当卉彏佃䕄_x0014_＀＀_x0018_＀＀_x0004_＀＀_x0001_＀＀_x0008_＀＀乀A韤䮏＀Ｏ呃幂南䡟呌䍈剁彅䵁剏彔䕓噒䍟协⡔㈱㈯〰ⰷⰬ唬䑓착_x0018_＀＀_x0018_＀＀_x0008_＀＀_x0001_＀＀_x0001_＀＀삃ꇊ뙅뿓忆䰚_x001C_䝍幁彐剐䍉彅噁⡇㔳㐲ⰷ㔳㌳⤸_x0018_＀＀_x0018_＀＀_x0008_＀＀_x0001_＀＀_x0001_＀＀螾蹋䁃흕䰠_x001C_䕌幁彐剐䍉彅噁⡇㜳㔲ⰷ㜳㐳⤶_x0018_＀＀_x0018_＀＀_x0008_＀＀_x0001_＀＀_x0001_＀＀豀碵꼝쐕鮎䭩_x001C_呃幂彐剐䍉彅噁⡇㔳㔱ⰶ㔳㐲⤶_x0018_＀＀_x0018_＀＀_x0008_＀＀_x0001_＀＀_x0001_＀＀ᛱ偈惼䀸흕䰠_x001C_䕌幁彐剐䍉彅噁⡇㔳㜹ⰷ㘳㘰⤸_x0018_＀＀_x0018_＀＀_x0008_＀＀_x0001_＀＀_x0001_＀＀豀碵꼝쐕흕䰠_x001C_䕌幁彐剐䍉彅噁⡇㘳㘱ⰱ㘳㔲⤰_x0018_＀＀_x0018_＀＀_x0008_＀＀_x0001_＀＀_x0001_＀＀豀碵꼝쐕鮎䭩_x001C_呃幂彐剐䍉彅噁⡇㔳㌴ⰱ㔳㈵⤰_x0018_＀＀_x0018_＀＀_x0008_＀＀_x0001_＀＀_x0001_＀＀筠䥦᪀䀴韥䮏#呃幂䅃偟协剔呅䱟䅉⡂㈱㈯〰ⰸⰬ唬䑓착_x0018_＀＀_x0018_＀＀_x0008_＀＀_x0001_＀＀_x0001_＀＀㽽帵閺쁯鰮䲜&lt;䕌幁䅃偟久当佒彁䅒䕔ㄨ⼲〲㤰䀩南偟久䥓乏䕟偘䱟彔佒⡁㈱㈯〰⤹_x0018_＀＀_x0018_＀＀_x0008_＀＀_x0001_＀＀_x0001_＀＀＀＀＀＀耀䀠韤䮏 呃幂南䕟䍘彈䅒䕔䉟䱁卟⡈㈱㈯〰⤶_x0018_＀＀_x0018_＀＀_x0008_＀＀_x0001_＀＀_x0001_＀＀豀碵꼝쐕흕䰠_x001C_䕌幁彐剐䍉彅噁⡇㔳㔱ⰶ㔳㐲⤶_x0018_＀＀_x0018_＀＀_x0008_＀＀_x0001_＀＀_x0001_＀＀豀碵꼝쐕鮎䭩_x001C_呃幂彐剐䍉彅噁⡇㘳〷ⰸ㘳㤷⤹_x0018_＀＀_x0018_＀＀_x0008_＀＀_x0001_＀＀_x0001_＀＀_x0001_＀＀က䀧琍䭱_x001C_呃幂彐剐䍉彅噁⡇㌳㔰ⰵ㌳㐱⤶_x0018_＀＀_x0018_＀＀_x0008_＀＀_x0001_＀＀_x0001_＀＀䯨罯ꨮ䀟韤䮏L呃幂䅃偟协剔呅䥟呎䍟协⡔㈱㈯〰ⰷⰬ唬䑓䀩南䡟呌䍈剁彅义彔佃呓ㄨ⼲〲㜰ⰬⰬ单⥄_x0018_＀＀_x0018_＀＀_x0008_＀＀_x0001_＀＀_x0001_＀＀Ȍ蜫外䀯忆䰚_x001C_䝍幁彐剐䍉彅噁⡇㤳㠰ⰳ㤳㜱⤲_x0018_＀＀_x0018_＀＀_x0008_＀＀_x0001_＀＀_x0001_＀＀▅倞弶䁓鮎䭩(呃幂元䍟䵏卟午䍟䱁彃䕄卐㌨㜶㠰㌬㜶㤹䌬⥑_x0018_＀＀_x0018_＀＀_x0008_＀＀_x0001_＀＀_x0001_＀＀鍵И♖䁒韤䮏(呃幂南偟久䥓乏䅟卓呅当呌ㄨ⼲〲㌰ⰬⰬ单⥄_x0018_＀＀_x0018_＀＀_x0008_＀＀_x0001_＀＀_x0001_＀＀豀碵꼝쐕흖䰠_x001C_䕌幁彐剐䍉彅噁⡇㤳ㄸⰴ㤳〹⤳_x0018_＀＀_x0018_＀＀_x0008_＀＀_x0001_＀＀_x0001_＀＀豀碵꼝쐕琍䭱_x001C_呃幂彐剐䍉彅噁⡇㈳㜸ⰴ㈳㘹⤳_x0018_＀＀_x0018_＀＀_x0008_＀＀_x0001_＀＀_x0001_＀＀甄ꏊ亂䀠鰳䲜_x001A_䕌幁南䕟䍘彈䅒䕔〨ⰬⰬ单⥄_x0018_＀＀_x0018_＀＀_x0008_＀＀_x0001_＀＀_x0001_＀＀＀＀＀＀＀＀㿰鮜䭩_x001F_呃幂䝆䕟䥂䑔彁⡑㘳〷ⰸ㘳㤷ⰹ元착_x0018_＀＀_x0018_＀＀_x0008_＀＀_x0001_＀＀_x0001_＀＀柠㡜䁛忆䰚_x001C_䝍幁彐剐䍉彅噁⡇㠳㜰ⰸ㠳㘱⤸_x0018_＀＀_x0018_＀＀_x0008_＀＀_x0001_＀＀_x0001_＀＀쌸㫼䁔韤䮏J呃幂䅃偟久当䥄䍓剟呁⡅㈱㈯〰ⰶⰬ唬䑓䀩南偟久䥓乏䑟卉彃䅒䕔ㄨ⼲〲㘰ⰬⰬ单⥄_x0018_＀＀_x0018_＀＀_x0008_＀＀_x0001_＀＀_x0001_＀＀㵱휊炣䀖흕䰠_x001C_䕌幁彐剐䍉彅噁⡇㘳〷ⰸ㘳㤷⤹_x0018_＀＀_x0018_＀＀_x0008_＀＀_x0001_＀＀_x0001_＀＀豀碵꼝쐕鞰䮏.坞当䕐华佉彎十䕓協偟佒⡐䅎䀩䅃偟久当䍐彔䕒丨⥁_x0018_＀＀_x0018_＀＀_x0008_＀＀_x0001_＀＀_x0001_＀＀豀碵꼝쐕鮎䭩_x001C_呃幂彐剐䍉彅噁⡇㘳㠹ⰲ㜳㜰⤲_x0018_＀＀_x0018_＀＀_x0008_＀＀_x0001_＀＀_x0001_＀＀缛늢䀨韤䮏J呃幂䅃偟久当䱐乁䅟呓ㄨ⼲〲㌰ⰬⰬ单⥄址当䕐华佉彎䅖彌十䕓協ㄨ⼲〲㌰ⰬⰬ单⥄_x0018_＀＀_x0018_＀＀_x0008_＀＀_x0001_＀＀_x0001_＀＀䆉ῐ䂊鰳䲜J䕌幁䅃偟久当䱐乁䅟呓ㄨ⼲〲㠰ⰬⰬ单⥄址当䕐华佉彎䅖彌十䕓協ㄨ⼲〲㠰ⰬⰬ单⥄_x0018_＀＀_x0018_＀＀_x0008_＀＀_x0001_＀＀_x0001_＀＀晧晦幦䂀韤䮏'呃幂南偟久䥓乏也呅䱟䅉⡂㈱㈯〰ⰲⰬ唬䑓착_x0018_＀＀_x0018_＀＀_x0008_＀＀_x0001_＀＀_x0001_＀＀豀碵꼝쐕韤䮏&lt;呃幂南偟久䥓乏䅟卓呅当佂䑎⡓㈱㈯〰⤶䍀彁䕐华偟呃䙟⡉㈱㈯〰⤶_x0018_＀＀_x0018_＀＀_x0008_＀＀_x0001_＀＀_x0001_＀＀＀＀＀＀＀＀䀿韤䮏$呃幂䅃偟久当呌䱟䅉卂ㄨ⼲〲㐰ⰬⰬ单⥄_x0018_＀＀_x0018_＀＀_x0008_＀＀_x0001_＀＀_x0001_＀＀豀碵꼝쐕궞䲌_x0014_刣晥敲桳帣彐剐䍉⡅⤰_x0018_＀＀_x0018_＀＀_x0008_＀＀_x0001_＀＀_x0001_＀＀豀碵꼝쐕韥䮏'呃幂䅃偟协剔呅䉟久偟䥁⡄㈱㈯〰ⰶⰬ唬䑓착_x0018_＀＀_x0018_＀＀_x0008_＀＀_x0001_＀＀_x0001_＀＀＀＀＀＀＀＀＀＀흕䰠_x001C_䕌幁彐剐䍉彅噁⡇㔳ㄶⰲ㔳〷⤳_x0018_＀＀_x0018_＀＀_x0008_＀＀_x0001_＀＀_x0001_＀＀豀碵꼝쐕忆䰚_x001C_䝍幁彐剐䍉彅噁⡇㔳㤷ⰶ㔳㠸⤵_x0018_＀＀_x0018_＀＀_x0008_＀＀_x0001_＀＀_x0001_＀＀㞠ꤕ帰䁋鮎䭩_x001C_呃幂彐剐䍉彅噁⡇㘳㘱ⰱ㘳㔲⤰_x0018_＀＀_x0018_＀＀_x0008_＀＀_x0001_＀＀_x0001_＀＀ᨶ䏀䀴䭻_x001C_呃幂彐剐䍉彅噁⡇㌳〶ⰴ㌳㘹⤹_x0018_＀＀_x0018_＀＀_x0008_＀＀_x0001_＀＀_x0001_＀＀ᒐ憑ܕ䀻鮎䭩(呃幂元䍟䵏卟午䍟䱁彃䕄卐㌨㜸㠱㌬㠸㜰䌬⥑_x0018_＀＀_x0018_＀＀_x0008_＀＀_x0001_＀＀_x0001_＀＀휊炣꨽䁎惮䰚_x001C_䝍幁彐剐䍉彅噁⡇㜳㔲ⰷ㜳㈶⤱_x0018_＀＀_x0018_＀＀_x0008_＀＀_x0001_＀＀_x0001_＀＀롑䁋韥䮏(呃幂南䡟呌䍈剁彅乕彆䕂⡎㈱㈯〰ⰶⰬ唬䑓⤩＀＀＀＀韤䮏"呃幂南偟久䥓乏偟佂ㄨ⼲〲㜰ⰬⰬ单⥄_x0018_＀＀_x0018_＀＀_x0008_＀＀_x0001_＀＀_x0001_＀＀ⴎ鶲⭯䂑鸓䮏'呃幂南偟久䥓乏也呅䱟䅉⡂㈱㈯〰ⰸⰬ唬䑓착_x0018_＀＀_x0018_＀＀_x0008_＀＀_x0001_＀＀_x0001_＀＀豀碵꼝쐕韤䮏 呃幂南䕟䍘彈䅒䕔ㄨ⼲〲㈰ⰬⰬ单⥄_x0018_＀＀_x0018_＀＀_x0008_＀＀_x0001_＀＀_x0001_＀＀＀＀＀＀＀＀㿰鮎䭩_x001C_呃幂彐剐䍉彅噁⡇㤳㌵ⰹ㤳㈶⤹_x0018_＀＀_x0018_＀＀_x0008_＀＀_x0001_＀＀_x0001_＀＀练걏㕓䀨韤䮏H呃幂䅃偟久当义彔佃呓ㄨ⼲〲㌰ⰬⰬ单⥄址当䕐华佉彎义彔佃呓ㄨ⼲〲㌰ⰬⰬ单⥄_x0018_＀＀_x0018_＀＀_x0008_＀＀_x0001_＀＀_x0001_＀＀晧晦왦䁎忆䰚_x001C_䝍幁彐剐䍉彅噁⡇㠳㌵ⰴ㠳㈶⤵_x0018_＀＀_x0018_＀＀_x0008_＀＀_x0001_＀＀_x0001_＀＀뚚敿뎥䁒鮎䭩_x001C_呃幂彐剐䍉彅噁⡇〴㘲ⰹ〴㔳⤹_x0018_＀＀_x0018_＀＀_x0008_＀＀_x0001_＀＀_x0001_＀＀豀碵꼝쐕鮎䭩(呃幂元䍟䵏卟午䍟䱁彃䕄卐㌨㈹㐶㌬㌹㔵䌬⥑_x0018_＀＀_x0018_＀＀_x0008_＀＀_x0001_＀＀_x0001_＀＀俟鞍쉮䁏鮎䭩_x001C_呃幂彐剐䍉彅噁⡇㐳㘰ⰰ㐳㔱⤰_x0018_＀＀_x0018_＀＀_x0008_＀＀_x0001_＀＀_x0001_＀＀Ȣꄎ굊䀿鮎䭩_x001C_呃幂彐剐䍉彅噁⡇㤳ㄸⰴ㤳〹⤳_x0018_＀＀_x0018_＀＀_x0008_＀＀_x0001_＀＀_x0001_＀＀眥䓘⹦䀓韤䮏G呃幂䅃偟久当䕎彔佃呓ㄨ⼲〲㌰ⰬⰬ单⥄址当䕐华佉彎偎彐塅⡐㈱㈯〰ⰳⰬ唬䑓착_x0018_＀＀_x0018_＀＀_x0008_＀＀_x0001_＀＀_x0001_＀＀㝌䆉蕠䁇韤䮏 呃幂南䕟䍘彈䅒䕔䉟䱁卟⡈㈱㈯〰⤷_x0018_＀＀_x0018_＀＀_x0008_＀＀_x0001_＀＀_x0001_＀＀豀碵꼝쐕韥䮏)呃幂䅃偟协剔呅佟䡔䑁彊䉎⡁㈱㈯〰ⰴⰬ唬䑓착_x0018_＀＀_x0018_＀＀_x0008_＀＀_x0001_＀＀_x0001_＀＀탥_xDB22_⛹䁔鮎䭩_x001C_呃幂彐剐䍉彅噁⡇㐳㐲ⰳ㐳㌳⤴_x0018_＀＀_x0018_＀＀_x0008_＀＀_x0001_＀＀_x0001_＀＀㷅㺖셴䀶鮎䭩(呃幂元䍟䵏卟午䍟䱁彃䕄卐㌨㘳㐰㌬㘳㐹䌬⥑_x0018_＀＀_x0018_＀＀_x0008_＀＀_x0001_＀＀_x0001_＀＀豀碵꼝쐕韤䮏)呃幂南偟久䥓乏噟䱁䅟卓呅⡓㈱㈯〰ⰶⰬ唬䑓착_x0018_＀＀_x0018_＀＀_x0008_＀＀_x0001_＀＀_x0001_＀＀尩슏ჵ䂎흖䰠_x001C_䕌幁彐剐䍉彅噁⡇㤳㌵ⰹ㤳㈶⤹_x0018_＀＀_x0018_＀＀_x0008_＀＀_x0001_＀＀_x0001_＀＀豀碵꼝쐕忆䰚_x001C_䝍幁彐剐䍉彅噁⡇㠳㤹ⰱ㤳㠰⤲_x0018_＀＀_x0018_＀＀_x0008_＀＀_x0001_＀＀_x0001_＀＀丹켬ރ䁓鮎䭩_x001C_呃幂彐剐䍉彅噁⡇㜳㌴ⰸ㜳㈵⤹_x0018_＀＀_x0018_＀＀_x0008_＀＀_x0001_＀＀_x0001_＀＀T枌ꃐ䀳鮎䭩_x001C_呃幂彐剐䍉彅噁⡇㘳〸ⰰ㘳㤸⤱_x0018_＀＀_x0018_＀＀_x0008_＀＀_x0001_＀＀_x0001_＀＀ⴆ怤셴䀣鸓䮏&lt;呃幂䅃偟久当䥄䍓剟呁⡅㈱㈯〰⤷址当䕐华佉彎䥄䍓剟呁⡅㈱㈯〰⤷_x0018_＀＀_x0018_＀＀_x0008_＀＀_x0001_＀＀_x0001_＀＀竡긔䀗琍䭱_x001C_呃幂彐剐䍉彅噁⡇㈳㤵ⰹ㈳㠶⤹_x0018_＀＀_x0018_＀＀_x0008_＀＀_x0001_＀＀_x0001_＀＀À蟂䀛흕䰠_x001C_䕌幁彐剐䍉彅噁⡇㠳㐴ⰳ㠳㌵⤳_x0018_＀＀_x0018_＀＀_x0008_＀＀_x0001_＀＀_x0001_＀＀豀碵꼝쐕韤䮏 呃幂南䕟䍘彈䅒䕔ㄨ⼲〲㠰ⰬⰬ单⥄_x0018_＀＀_x0018_＀＀_x0008_＀＀_x0001_＀＀_x0001_＀＀＀＀＀＀＀＀㿰鮜䭩_x001F_呃幂䝆䕟䥂䑔彁⡑㌳〶ⰴ㌳㤶ⰴ元착_x0018_＀＀_x0018_＀＀_x0008_＀＀_x0001_＀＀_x0001_＀＀_xDC6E_繢鉮䁃韤䮏I呃幂䅃偟久当剓彖佃呓ㄨ⼲〲㌰ⰬⰬ单⥄址当䕐华佉彎䕓噒䍟协⡔㈱㈯〰ⰳⰬ唬䑓착_x0018_＀＀_x0018_＀＀_x0008_＀＀_x0001_＀＀_x0001_＀＀ⓝ脆䀺韤䮏%呃幂䅃偟久当呌䅟卓呅⡓㈱㈯〰ⰳⰬ唬䑓착_x0018_＀＀_x0018_＀＀_x0008_＀＀_x0001_＀＀_x0001_＀＀豀碵꼝쐕韤䮏&amp;呃幂䅃偟久当十彔义䅔䝎ㄨ⼲〲㐰ⰬⰬ单⥄_x0018_＀＀_x0018_＀＀_x0008_＀＀_x0001_＀＀_x0001_＀＀＀＀＀＀＀＀＀＀韤䮏N呃幂䅃偟久当乕䕒佃⡇㈱㈯〰ⰷⰬ唬䑓䀩南偟久䥓乏啟剎䍅卟剅彖佃呓ㄨ⼲〲㜰ⰬⰬ单⥄_x0018_＀＀_x0018_＀＀_x0008_＀＀_x0001_＀＀_x0001_＀＀㌳㌳錳쀱韥䮏P呃幂䅃偟协剔呅偟䅌彎十彔久⡄㈱㈯〰ⰲⰬ唬䑓䀩南䡟呌䍈剁彅噆䅟卓呅ㄨ⼲〲㈰ⰬⰬ单⥄_x0018_＀＀_x0018_＀＀_x0008_＀＀_x0001_＀＀_x0001_＀＀＀＀＀＀＀＀＀＀韥䮏J呃幂䅃偟协剔呅剟䅏䅟呃ㄨ⼲〲㐰ⰬⰬ单⥄址当䱈䡔䅃䕒䅟呃剟䅏ㄨ⼲〲㐰ⰬⰬ单⥄_x0018_＀＀_x0018_＀＀_x0008_＀＀_x0001_＀＀_x0001_＀＀＀＀＀＀＀＀＀＀흕䰠_x001C_䕌幁彐剐䍉彅噁⡇㘳〸ⰰ㘳㤸⤱_x0018_＀＀_x0018_＀＀_x0008_＀＀_x0001_＀＀_x0001_＀＀豀碵꼝쐕흕䰠_x001C_䕌幁彐剐䍉彅噁⡇㜳㌴ⰸ㜳㈵⤹_x0018_＀＀_x0018_＀＀_x0008_＀＀_x0001_＀＀_x0001_＀＀豀碵꼝쐕鰮䲜&lt;䕌幁南偟久䥓乏䅟卓呅当佂䑎⡓㈱㈯〰⤹䍀彁䕐华偟呃䙟⡉㈱㈯〰⤹_x0018_＀＀_x0018_＀＀_x0008_＀＀_x0001_＀＀_x0001_＀＀晦晦䁁韤䮏%呃幂䅃偟久当佃偍剟呁⡅㈱㈯〰ⰲⰬ唬䑓착_x0018_＀＀_x0018_＀＀_x0008_＀＀_x0001_＀＀_x0001_＀＀휊炣਽䀓韤䮏J呃幂䅃偟久当䱐乁䅟呓ㄨ⼲〲㘰ⰬⰬ单⥄址当䕐华佉彎䅖彌十䕓協ㄨ⼲〲㘰ⰬⰬ单⥄_x0018_＀＀_x0018_＀＀_x0008_＀＀_x0001_＀＀_x0001_＀＀尩슏ჵ䂎韤䮏M呃幂䅃偟协剔呅卟噒䍟协⡔㈱㈯〰ⰳⰬ唬䑓䀩南䡟呌䍈剁彅䕓噒䍟协⡔㈱㈯〰ⰳⰬ唬䑓착_x0018_＀＀_x0018_＀＀_x0008_＀＀_x0001_＀＀_x0001_＀＀ᢔ嘄괎䀜흕䰠_x001C_䕌幁彐剐䍉彅噁⡇㘳㐳ⰲ㘳㌴⤳_x0018_＀＀_x0018_＀＀_x0008_＀＀_x0001_＀＀_x0001_＀＀豀碵꼝쐕鮎䭩_x001C_呃幂彐剐䍉彅噁⡇㔳ㄶⰲ㔳〷⤳_x0018_＀＀_x0018_＀＀_x0008_＀＀_x0001_＀＀_x0001_＀＀む_xDCF0_聻䀸鞰䮏(坞当佃乕剔彙䅎䕍〨䀩䅃䍟彏义佃偒䍟剔⡙⤰_x0014_＀＀_x0018_＀＀_x0004_＀＀_x0001_＀＀_x0008_＀＀乀A韤䮏(呃幂䅃偟久当偐彄䕂彎佃呓ㄨ⼲〲㔰ⰬⰬ单⥄_x0018_＀＀_x0018_＀＀_x0008_＀＀_x0001_＀＀_x0001_＀＀龿⼚䁤鮎䭩_x001C_呃幂彐剐䍉彅噁⡇㠳㘱ⰹ㠳㘲⤰_x0018_＀＀_x0018_＀＀_x0008_＀＀_x0001_＀＀_x0001_＀＀빢¼㣻䀶韥䮏T呃幂䅃偟协剔呅偟䥒剏卟噒ㄨ⼲〲㐰ⰬⰬ单⥄址当䱈䡔䅃䕒啟剎䍅卟剅彖佃呓ㄨ⼲〲㐰ⰬⰬ单⥄_x0018_＀＀_x0018_＀＀_x0008_＀＀_x0001_＀＀_x0001_＀＀㵱휊炣쀃忆䰚_x001C_䝍幁彐剐䍉彅噁⡇㜳㘱ⰵ㜳㔲⤶_x0018_＀＀_x0018_＀＀_x0008_＀＀_x0001_＀＀_x0001_＀＀刁㢛꾹䁉韤䮏-呃幂䅃偟协剔呅啟归剔佟彂䵁剏⡔㈱㈯〰ⰲⰬ唬䑓착_x0018_＀＀_x0018_＀＀_x0008_＀＀_x0001_＀＀_x0001_＀＀＀＀＀＀＀＀＀＀韤䮏'呃幂南偟久偟协彔䕒彔䕂⡎㈱㈯〰ⰳⰬ唬䑓착_x0018_＀＀_x0018_＀＀_x0008_＀＀_x0001_＀＀_x0001_＀＀鮥壄䁻忆䰚_x001C_䝍幁彐剐䍉彅噁⡇㤳㘲ⰴ㤳㔳⤵_x0018_＀＀_x0018_＀＀_x0008_＀＀_x0001_＀＀_x0001_＀＀擬湰䁖韥䮏+呃幂䅃偟协剔呅偟剁彔佃呎䥒⡂㈱㈯〰ⰲⰬ唬䑓착_x0018_＀＀_x0018_＀＀_x0008_＀＀_x0001_＀＀_x0001_＀＀＀＀＀＀＀＀＀＀䭻_x001C_呃幂彐剐䍉彅噁⡇㘳㤸ⰲ㜳㔲⤶_x0018_＀＀_x0018_＀＀_x0008_＀＀_x0001_＀＀_x0001_＀＀쥨槣뇹䀫鮎䭩(呃幂元䍟䵏卟午䍟䱁彃䕄卐㌨㌳㤲㌬㐳㤱䌬⥑_x0018_＀＀_x0018_＀＀_x0008_＀＀_x0001_＀＀_x0001_＀＀豀碵꼝쐕韤䮏＀Ｏ呃幂南䡟呌䍈剁彅䵁剏彔䕓噒䍟协⡔㈱㈯〰ⰲⰬ唬䑓착_x0018_＀＀_x0018_＀＀_x0008_＀＀_x0001_＀＀_x0001_＀＀멞౉⬂㿵흕䰠_x001C_䕌幁彐剐䍉彅噁⡇㠳㘱ⰹ㠳㘲⤰_x0018_＀＀_x0018_＀＀_x0008_＀＀_x0001_＀＀_x0001_＀＀豀碵꼝쐕韤䮏%呃幂䅃偟久当佃偍剟呁⡅㈱㈯〰ⰸⰬ唬䑓착_x0018_＀＀_x0018_＀＀_x0008_＀＀_x0001_＀＀_x0001_＀＀炤਽ꏗ䀊净䪹_x0018_坂幁䝆偟⡅㈭䄰ⱙⰰ奆㤬⤰°＀＀_x0018_＀＀ ＀＀_x0014_＀＀_x0001_＀＀豀碵꼝쐕豀碵꼝쐕豀碵꼝쐕豀碵꼝쐕豀碵꼝쐕贕뾵톳䀱되肐䗑䀧ᓼ燇䀨踍垒惧䀽뿓锤䀩Ӊ᫼቉䀠쭃羺搬䀡첧㟍⎢䀳뙣啤宄䀨楞ꤙ쳷䀫꡶⒦士䀮格_xDD76_饛䀬귑 䀭尾_xDC72_ĩ䀶埖՗ﵪ䀵鮎䭩_x001F_呃幂䝆䕟䥂䑔彁⡑㌳㈳ⰹ㌳ㄴⰹ元착_x0018_＀＀_x0018_＀＀_x0008_＀＀_x0001_＀＀_x0001_＀＀褷恁僥䁄韥䮏#呃幂䅃偟协剔呅䱟䅉⡂㈱㈯〰ⰳⰬ唬䑓착_x0018_＀＀_x0018_＀＀_x0008_＀＀_x0001_＀＀_x0001_＀＀๖눭᎝쁮䰠_x001C_䕌幁彐剐䍉彅噁⡇㜳㠹ⰷ㠳㔳⤲_x0018_＀＀_x0018_＀＀_x0008_＀＀_x0001_＀＀_x0001_＀＀豀碵꼝쐕忆䰚_x001C_䝍幁彐剐䍉彅噁⡇㤳㈷ⰲ㤳ㄸ⤳_x0018_＀＀_x0018_＀＀_x0008_＀＀_x0001_＀＀_x0001_＀＀书얗囄䀿韤䮏Q呃幂䅃偟久当䍁啃彍佃偍䥒䍎ㄨ⼲〲㌰ⰬⰬ单⥄址当佃偍归义彃䕐华䱟䅉⡂㈱㈯〰ⰳⰬ唬䑓착_x0018_＀＀_x0018_＀＀_x0008_＀＀_x0001_＀＀_x0001_＀＀＀＀＀＀＀＀＀＀鰮䲜H䕌幁䅃偟久当义彔佃呓ㄨ⼲〲㤰ⰬⰬ单⥄址当䕐华佉彎义彔佃呓ㄨ⼲〲㤰ⰬⰬ单⥄_x0018_＀＀_x0018_＀＀_x0008_＀＀_x0001_＀＀_x0001_＀＀쳍쳌ೌ䁇韤䮏;呃幂南偟久䥓乏䅟卓呅当呏⡈㈱㈯〰⤵䍀彁䕐华偟呃佟䡔ㄨ⼲〲㔰착_x0018_＀＀_x0018_＀＀_x0008_＀＀_x0001_＀＀_x0001_＀＀＀＀＀＀＀＀䀀䰠_x001C_䕌幁彐剐䍉彅噁⡇㘳㤸ⰲ㜳㔲⤶_x0018_＀＀_x0018_＀＀_x0008_＀＀_x0001_＀＀_x0001_＀＀豀碵꼝쐕鮎䭩_x001C_呃幂彐剐䍉彅噁⡇㠳㐴ⰳ㠳㌵⤳_x0018_＀＀_x0018_＀＀_x0008_＀＀_x0001_＀＀_x0001_＀＀嬮诫暄䀲忆䰚_x001C_䝍幁彐剐䍉彅噁⡇㐳〶ⰸ㐳㤶⤹_x0018_＀＀_x0018_＀＀_x0008_＀＀_x0001_＀＀_x0001_＀＀孭_xD994_䌠䀾韥䮏E呃幂䅃偟协剔呅䉟久佟⡂㈱㈯〰ⰷⰬ唬䑓䀩南䡟呌䍈剁彅䉐⡏㈱㈯〰ⰷⰬ唬䑓착_x0018_＀＀_x0018_＀＀_x0008_＀＀_x0001_＀＀_x0001_＀＀Ẹ剑䁰韥䮏+呃幂䅃偟协剔呅偟剁彔佃呎䥒⡂㈱㈯〰ⰸⰬ唬䑓착_x0018_＀＀_x0018_＀＀_x0008_＀＀_x0001_＀＀_x0001_＀＀＀＀＀＀＀＀＀＀韤䮏G呃幂䅃偟久当䕎彔佃呓ㄨ⼲〲㘰ⰬⰬ单⥄址当䕐华佉彎偎彐塅⡐㈱㈯〰ⰶⰬ唬䑓착_x0018_＀＀_x0018_＀＀_x0008_＀＀_x0001_＀＀_x0001_＀＀脆䎕貋䀹韤䮏＀Ｏ呃幂南䡟呌䍈剁彅䵁剏彔䕓噒䍟协⡔㈱㈯〰ⰸⰬ唬䑓착_x0018_＀＀_x0018_＀＀_x0008_＀＀_x0001_＀＀_x0001_＀＀삃ꇊ뙅뿓鮎䭩_x001C_呃幂彐剐䍉彅噁⡇㠳㈶ⰶ㠳ㄷ⤷_x0018_＀＀_x0018_＀＀_x0008_＀＀_x0001_＀＀_x0001_＀＀鐠燷켴䀬韤䮏N呃幂䅃偟久当乕䕒佃⡇㈱㈯〰ⰶⰬ唬䑓䀩南偟久䥓乏啟剎䍅卟剅彖佃呓ㄨ⼲〲㘰ⰬⰬ单⥄_x0018_＀＀_x0018_＀＀_x0008_＀＀_x0001_＀＀_x0001_＀＀Й๖㈭쀱韤䮏 呃幂南䕟䍘彈䅒䕔䉟䱁卟⡈㈱㈯〰⤸_x0018_＀＀_x0018_＀＀_x0008_＀＀_x0001_＀＀_x0001_＀＀豀碵꼝쐕忆䰚_x001C_䝍幁彐剐䍉彅噁⡇㐳㈴ⰵ㐳ㄵ⤵_x0018_＀＀_x0018_＀＀_x0008_＀＀_x0001_＀＀_x0001_＀＀㾑鰘䁂鮎䭩(呃幂元䍟䵏卟午䍟䱁彃䕄卐㌨㈴㌴㌬㌴㐳䌬⥑_x0018_＀＀_x0018_＀＀_x0008_＀＀_x0001_＀＀_x0001_＀＀豀碵꼝쐕鮎䭩_x001C_呃幂彐剐䍉彅噁⡇㜳㌵ⰰ㜳㈶⤱_x0018_＀＀_x0018_＀＀_x0008_＀＀_x0001_＀＀_x0001_＀＀朚ᇓ緀䀬琍䭱_x001C_呃幂彐剐䍉彅噁⡇㌳〶ⰴ㌳㤶⤴_x0018_＀＀_x0018_＀＀_x0008_＀＀_x0001_＀＀_x0001_＀＀첍뜣䀸鮎䭩_x001C_呃幂彐剐䍉彅噁⡇㘳㐳ⰲ㘳㌴⤳_x0018_＀＀_x0018_＀＀_x0008_＀＀_x0001_＀＀_x0001_＀＀㲳똏䀴鮜䭩_x001F_呃幂䝆䕟䥂䑔彁⡑㐳㐲ⰳ㐳㌳ⰴ元착_x0018_＀＀_x0018_＀＀_x0008_＀＀_x0001_＀＀_x0001_＀＀ㄦᰈ䁌鮎䭩(呃幂元䍟䵏卟午䍟䱁彃䕄卐㌨㘶㜱㌬㜶㜰䌬⥑_x0018_＀＀_x0018_＀＀_x0008_＀＀_x0001_＀＀_x0001_＀＀퓽楸䁒凁䪹_x001C_坂幁䝆偟彅奆⠱㈭䄰ⱙⰰ奆㤬⤰°＀＀_x0018_＀＀ ＀＀_x0014_＀＀_x0001_＀＀豀碵꼝쐕豀碵꼝쐕豀碵꼝쐕豀碵꼝쐕豀碵꼝쐕豀碵꼝쐕豀碵꼝쐕豀碵꼝쐕ﴉ뵌䀧젝橺䀫쵆쥗ᛇ䀠楞ꤙ䀟_xDD44_ 禵䀰쎓鴧え䀢⠠䀪斌◺緢䀭⹦祰憬䀬뒷ሚ郷䀭㸘꘢깄䀳뗺폵칿䀥韤䮏(呃幂䅃偟久当䅐呒䍟乏剔䉉ㄨ⼲〲㐰ⰬⰬ单⥄_x0018_＀＀_x0018_＀＀_x0008_＀＀_x0001_＀＀_x0001_＀＀嘄ⴎ鶲䀂韤䮏'呃幂䅃偟久当商䑎卟䅔啔⡓㈱㈯〰ⰶⰬ唬䑓착_x0018_＀＀_x0018_＀＀_x0008_＀＀_x0001_＀＀_x0001_＀＀ﯨ角쁡흕䰠_x001C_䕌幁彐剐䍉彅噁⡇㠳㈶ⰶ㠳ㄷ⤷_x0018_＀＀_x0018_＀＀_x0008_＀＀_x0001_＀＀_x0001_＀＀豀碵꼝쐕䰠_x001C_䕌幁彐剐䍉彅噁⡇㔳㘰ⰵ㔳㌴⤰_x0018_＀＀_x0018_＀＀_x0008_＀＀_x0001_＀＀_x0001_＀＀豀碵꼝쐕琍䭱_x001C_呃幂彐剐䍉彅噁⡇㌳㈳ⰹ㌳ㄴ⤹_x0018_＀＀_x0018_＀＀_x0008_＀＀_x0001_＀＀_x0001_＀＀ﯖ皍ࣜ䀪鮎䭩(呃幂元䍟䵏卟午䍟䱁彃䕄卐㌨㐸㌴㌬㔸㌳䌬⥑_x0018_＀＀_x0018_＀＀_x0008_＀＀_x0001_＀＀_x0001_＀＀＀＀＀＀ 䁏韤䮏M呃幂䅃偟协剔呅卟噒䍟协⡔㈱㈯〰ⰶⰬ唬䑓䀩南䡟呌䍈剁彅䕓噒䍟协⡔㈱㈯〰ⰶⰬ唬䑓착_x0018_＀＀_x0018_＀＀_x0008_＀＀_x0001_＀＀_x0001_＀＀晧晦䀖鮜䭩_x001F_呃幂䝆䕟䥂䑔彁⡑㘳ㄶⰷ㘳〷ⰷ元착_x0018_＀＀_x0018_＀＀_x0008_＀＀_x0001_＀＀_x0001_＀＀鶲꟯ꯆ䁠鮎䭩_x001C_呃幂䝆䕟卐兟㌨㌳㤲㌬㐳㤱䌬⥑_x0018_＀＀_x0018_＀＀_x0008_＀＀_x0001_＀＀_x0001_＀＀긔ᑺ㿎韤䮏$呃幂䅃偟久当䕂彎䅐䑉ㄨ⼲〲㈰ⰬⰬ单⥄_x0018_＀＀_x0018_＀＀_x0008_＀＀_x0001_＀＀_x0001_＀＀ㄦ_xDC08_䁅흕䰠_x001C_䕌幁彐剐䍉彅噁⡇㜳㌵ⰰ㜳㈶⤱_x0018_＀＀_x0018_＀＀_x0008_＀＀_x0001_＀＀_x0001_＀＀豀碵꼝쐕鞰䮏.坞当䕐华佉彎十䕓協佟䡔丨⥁䍀彁䕐华偟呃佟䡔丨⥁_x0018_＀＀_x0018_＀＀_x0008_＀＀_x0001_＀＀_x0001_＀＀豀碵꼝쐕韤䮏)呃幂䅃偟久当䵅彐佃呎䥒彂⡃㈱㈯〰ⰷⰬ唬䑓착_x0018_＀＀_x0018_＀＀_x0008_＀＀_x0001_＀＀_x0001_＀＀㌳㌳錳䁐鸓䮏_x001A_呃幂南䕟䍘彈䅒䕔䉟䱁卟⡈⤰_x0018_＀＀_x0018_＀＀_x0008_＀＀_x0001_＀＀_x0001_＀＀豀碵꼝쐕韤䮏;呃幂南偟久䥓乏䅟卓呅当剐偏ㄨ⼲〲㜰䀩䅃偟久当䍐彔䕒ㄨ⼲〲㜰착_x0018_＀＀_x0018_＀＀_x0008_＀＀_x0001_＀＀_x0001_＀＀＀＀＀＀＀＀＀＀흕䰠_x001C_䕌幁彐剐䍉彅噁⡇㔳㠸ⰶ㔳㜹⤶_x0018_＀＀_x0018_＀＀_x0008_＀＀_x0001_＀＀_x0001_＀＀豀碵꼝쐕鸔䮏_x001F_呃幂䅃偟久当呌䅟卓呅⡓ⰰⰬ唬䑓착_x0018_＀＀_x0018_＀＀_x0008_＀＀_x0001_＀＀_x0001_＀＀褷恁탥㿂韥䮏J呃幂䅃偟协剔呅剟䅏䅟呃ㄨ⼲〲㌰ⰬⰬ单⥄址当䱈䡔䅃䕒䅟呃剟䅏ㄨ⼲〲㌰ⰬⰬ单⥄_x0018_＀＀_x0018_＀＀_x0008_＀＀_x0001_＀＀_x0001_＀＀＀＀＀＀＀＀＀＀韤䮏)呃幂䅃偟久当䵅彐佃呎䥒彂⡅㈱㈯〰ⰹⰬ唬䑓착_x0018_＀＀_x0018_＀＀_x0008_＀＀_x0001_＀＀_x0001_＀＀豀碵꼝쐕韤䮏L呃幂䅃偟协剔呅䥟呎䍟协⡔㈱㈯〰ⰶⰬ唬䑓䀩南䡟呌䍈剁彅义彔佃呓ㄨ⼲〲㘰ⰬⰬ单⥄_x0018_＀＀_x0018_＀＀_x0008_＀＀_x0001_＀＀_x0001_＀＀⣶轜㗂䀯韥䮏,呃幂䅃偟协剔呅䕟偍䍟乏剔䉉䍟ㄨ⼲〲㜰ⰬⰬ单⥄_x0018_＀＀_x0018_＀＀_x0008_＀＀_x0001_＀＀_x0001_＀＀＀＀＀＀＀＀＀＀鮎䭩(呃幂元䍟䵏卟午䍟䱁彃䕄卐㌨〸㠷㌬ㄸ㠶䌬⥑_x0018_＀＀_x0018_＀＀_x0008_＀＀_x0001_＀＀_x0001_＀＀_xDB23_绹_xDC6A_䁒忆䰚_x001C_䝍幁彐剐䍉彅噁⡇㔳㌳ⰹ㔳㌴⤰_x0018_＀＀_x0018_＀＀_x0008_＀＀_x0001_＀＀_x0001_＀＀籆昧粽䁆鸓䮏;呃幂南偟久䥓乏䅟卓呅当充䥕ㄨ⼲〲㠰䀩䅃偟久当䍐彔充ㄨ⼲〲㠰착_x0018_＀＀_x0018_＀＀_x0008_＀＀_x0001_＀＀_x0001_＀＀਽ꏗ浰䁐䭻_x001C_呃幂彐剐䍉彅噁⡇㜳㠹ⰷ㠳㔳⤲_x0018_＀＀_x0018_＀＀_x0008_＀＀_x0001_＀＀_x0001_＀＀ᾊ≚䀵鮎䭩_x001F_呃幂兆也呅䑟䉅⡔㌳㈳ⰹ㌳ㄴⰹ元착_x0018_＀＀_x0018_＀＀_x0008_＀＀_x0001_＀＀_x0001_＀＀豀碵꼝쐕鮎䭩_x001C_呃幂彐剐䍉彅噁⡇㤳㜱ⰳ㤳㘲⤳_x0018_＀＀_x0018_＀＀_x0008_＀＀_x0001_＀＀_x0001_＀＀箊紬⋨䀷鸓䮏$呃幂䅃偟久当䕂彎䅐䑉ㄨ⼲〲㠰ⰬⰬ单⥄_x0018_＀＀_x0018_＀＀_x0008_＀＀_x0001_＀＀_x0001_＀＀䖢擽䁍韤䮏"呃幂南偟久䥓乏偟佂ㄨ⼲〲㈰ⰬⰬ单⥄_x0018_＀＀_x0018_＀＀_x0008_＀＀_x0001_＀＀_x0001_＀＀⃅犰ݨ䂌韤䮏%呃幂䅃偟久当啃归䥌䉁⡓㈱㈯〰ⰵⰬ唬䑓착_x0018_＀＀_x0018_＀＀_x0008_＀＀_x0001_＀＀_x0001_＀＀豀碵꼝쐕韤䮏J呃幂䅃偟久当䥄䍓剟呁⡅㈱㈯〰ⰵⰬ唬䑓䀩南偟久䥓乏䑟卉彃䅒䕔ㄨ⼲〲㔰ⰬⰬ单⥄_x0018_＀＀_x0018_＀＀_x0008_＀＀_x0001_＀＀_x0001_＀＀Ẹ롑䀖韤䮏'呃幂南偟久䥓乏也呅䱟䅉⡂㈱㈯〰ⰳⰬ唬䑓착_x0018_＀＀_x0018_＀＀_x0008_＀＀_x0001_＀＀_x0001_＀＀豀碵꼝쐕韤䮏$呃幂䅃偟久当呌䱟䅉卂ㄨ⼲〲㔰ⰬⰬ单⥄_x0018_＀＀_x0018_＀＀_x0008_＀＀_x0001_＀＀_x0001_＀＀豀碵꼝쐕鮎䭩_x001C_呃幂彐剐䍉彅噁⡇㤳㔳ⰶ㤳㐴⤷_x0018_＀＀_x0018_＀＀_x0008_＀＀_x0001_＀＀_x0001_＀＀઼㼩캩䀲韤䮏;呃幂南偟久䥓乏䅟卓呅当剐偏ㄨ⼲〲㈰䀩䅃偟久当䍐彔䕒ㄨ⼲〲㈰착_x0018_＀＀_x0018_＀＀_x0008_＀＀_x0001_＀＀_x0001_＀＀豀碵꼝쐕韤䮏)呃幂南䡟呌䍈剁彅䥄䍓剟呁⡅㈱㈯〰ⰴⰬ唬䑓착_x0018_＀＀_x0018_＀＀_x0008_＀＀_x0001_＀＀_x0001_＀＀＀＀＀＀＀＀䀘鰮䲜G䕌幁䅃偟久当䕎彔佃呓ㄨ⼲〲㤰ⰬⰬ单⥄址当䕐华佉彎偎彐塅⡐㈱㈯〰ⰹⰬ唬䑓착_x0018_＀＀_x0018_＀＀_x0008_＀＀_x0001_＀＀_x0001_＀＀＀＀＀＀耀䁁忆䰚_x001C_䝍幁彐剐䍉彅噁⡇㠳〸ⰸ㠳㤸⤸_x0018_＀＀_x0018_＀＀_x0008_＀＀_x0001_＀＀_x0001_＀＀ఋ_xDD59_Ϫ䁓忆䰚_x001C_䝍幁彐剐䍉彅噁⡇㘳㈵ⰶ㘳ㄶ⤶_x0018_＀＀_x0018_＀＀_x0008_＀＀_x0001_＀＀_x0001_＀＀뷸ፍ䁂韤䮏-呃幂䅃偟协剔呅啟归剔佟彂䵁剏⡔㈱㈯〰ⰸⰬ唬䑓착_x0018_＀＀_x0018_＀＀_x0008_＀＀_x0001_＀＀_x0001_＀＀＀＀＀＀＀＀＀＀韤䮏</t>
        </r>
      </text>
    </comment>
    <comment ref="B1" authorId="0">
      <text>
        <r>
          <rPr>
            <b/>
            <sz val="8"/>
            <color indexed="81"/>
            <rFont val="Tahoma"/>
            <family val="2"/>
          </rPr>
          <t>38407</t>
        </r>
      </text>
    </comment>
    <comment ref="A2" authorId="0">
      <text>
        <r>
          <rPr>
            <b/>
            <sz val="8"/>
            <color indexed="81"/>
            <rFont val="Tahoma"/>
            <family val="2"/>
          </rPr>
          <t>*呃幂南䡟呌䍈剁彅塅彐呌剟䅏ㄨ⼲〲㔰ⰬⰬ单⥄_x0018_＀＀_x0018_＀＀_x0008_＀＀_x0001_＀＀_x0001_＀＀豀碵꼝쐕흕䰠_x001C_䕌幁彐剐䍉彅噁⡇㤳㜱ⰳ㤳㘲⤳_x0018_＀＀_x0018_＀＀_x0008_＀＀_x0001_＀＀_x0001_＀＀豀碵꼝쐕鸔䮏Q呃幂䅃偟久当䍁啃彍佃偍䥒䍎ㄨ⼲〲㠰ⰬⰬ单⥄址当佃偍归义彃䕐华䱟䅉⡂㈱㈯〰ⰸⰬ唬䑓착_x0018_＀＀_x0018_＀＀_x0008_＀＀_x0001_＀＀_x0001_＀＀䖢擽쁽韤䮏;呃幂南偟久䥓乏䅟卓呅当充䥕ㄨ⼲〲㌰䀩䅃偟久当䍐彔充ㄨ⼲〲㌰착_x0018_＀＀_x0018_＀＀_x0008_＀＀_x0001_＀＀_x0001_＀＀＀＀＀＀耀䁐鰮䲜;䕌幁南偟久䥓乏䅟卓呅当充䥕ㄨ⼲〲㤰䀩䅃偟久当䍐彔充ㄨ⼲〲㤰착_x0018_＀＀_x0018_＀＀_x0008_＀＀_x0001_＀＀_x0001_＀＀晦晦䁋韤䮏H呃幂䅃偟久当义彔佃呓ㄨ⼲〲㈰ⰬⰬ单⥄址当䕐华佉彎义彔佃呓ㄨ⼲〲㈰ⰬⰬ单⥄_x0018_＀＀_x0018_＀＀_x0008_＀＀_x0001_＀＀_x0001_＀＀๖눭뾝䁍흖䰠_x001C_䕌幁彐剐䍉彅噁⡇㤳㔳ⰶ㤳㐴⤷_x0018_＀＀_x0018_＀＀_x0008_＀＀_x0001_＀＀_x0001_＀＀豀碵꼝쐕惮䰚_x001C_䝍幁彐剐䍉彅噁⡇㐳㌳ⰵ㐳㤶⤹_x0018_＀＀_x0018_＀＀_x0008_＀＀_x0001_＀＀_x0001_＀＀쒜뀠ࡲ䁂䭻_x001C_呃幂彐剐䍉彅噁⡇㔳㘰ⰵ㔳㌴⤰_x0018_＀＀_x0018_＀＀_x0008_＀＀_x0001_＀＀_x0001_＀＀넲룹尶䀶韤䮏 呃幂南䕟䍘彈䅒䕔ㄨ⼲〲㌰ⰬⰬ单⥄_x0018_＀＀_x0018_＀＀_x0008_＀＀_x0001_＀＀_x0001_＀＀＀＀＀＀＀＀㿰惮䰚_x001C_䝍幁彐剐䍉彅噁⡇㤳ㄸⰴ〴㜱⤸_x0018_＀＀_x0018_＀＀_x0008_＀＀_x0001_＀＀_x0001_＀＀썡⯓煥䁃鮎䭩(呃幂元䍟䵏卟午䍟䱁彃䕄卐㌨㐹㠴㌬㔹㠳䌬⥑_x0018_＀＀_x0018_＀＀_x0008_＀＀_x0001_＀＀_x0001_＀＀⛪࠱㲬䁎韤䮏J呃幂䅃偟久当佒彁䅒䕔ㄨ⼲〲㐰ⰬⰬ单⥄址当䕐华佉彎塅彐呌剟䅏ㄨ⼲〲㐰ⰬⰬ单⥄_x0018_＀＀_x0018_＀＀_x0008_＀＀_x0001_＀＀_x0001_＀＀⣶轜䀡鮎䭩(呃幂元䍟䵏卟午䍟䱁彃䕄卐㌨㐵ㄳ㌬㔵〲䌬⥑_x0018_＀＀_x0018_＀＀_x0008_＀＀_x0001_＀＀_x0001_＀＀豀碵꼝쐕䭻_x001C_呃幂彐剐䍉彅噁⡇㠳㔳ⰳ㠳ㄷ⤷_x0018_＀＀_x0018_＀＀_x0008_＀＀_x0001_＀＀_x0001_＀＀凗ӕ꽑䀱韥䮏(呃幂南䡟呌䍈剁彅乕彆䕂⡎㈱㈯〰ⰲⰬ唬䑓⤩＀＀＀＀鮎䭩(呃幂元䍟䵏卟午䍟䱁彃䕄卐㌨ㄴㄵ㌬㈴㈴䌬⥑_x0018_＀＀_x0018_＀＀_x0008_＀＀_x0001_＀＀_x0001_＀＀豀碵꼝쐕鮎䭩_x001C_呃幂彐剐䍉彅噁⡇㔳㠸ⰶ㔳㜹⤶_x0018_＀＀_x0018_＀＀_x0008_＀＀_x0001_＀＀_x0001_＀＀ᵔ㍲補䀷忆䰚_x001C_䝍幁彐剐䍉彅噁⡇㐳㠸ⰱ㐳㜹⤲_x0018_＀＀_x0018_＀＀_x0008_＀＀_x0001_＀＀_x0001_＀＀㘧휟꺆䁃鮜䭩_x001F_呃幂䝆䕟䥂䑔彁⡑㔳㌴ⰱ㔳㈵ⰰ元착_x0018_＀＀_x0018_＀＀_x0008_＀＀_x0001_＀＀_x0001_＀＀ꇋ뙅귳䁏鮎䭩_x001C_呃幂彐剐䍉彅噁⡇㐳㤷ⰰ㐳㠸⤰_x0018_＀＀_x0018_＀＀_x0008_＀＀_x0001_＀＀_x0001_＀＀ợὋ⢺䀹䰠_x001C_䕌幁彐剐䍉彅噁⡇㤳㐴ⰸ㤳ㄸ⤳_x0018_＀＀_x0018_＀＀_x0008_＀＀_x0001_＀＀_x0001_＀＀豀碵꼝쐕忆䰚_x001C_䝍幁彐剐䍉彅噁⡇㘳㘰ⰹ㘳㘱⤰_x0018_＀＀_x0018_＀＀_x0008_＀＀_x0001_＀＀_x0001_＀＀⭕䁊韤䮏)呃幂南偟久䥓乏噟䱁䅟卓呅⡓㈱㈯〰ⰷⰬ唬䑓착_x0018_＀＀_x0018_＀＀_x0008_＀＀_x0001_＀＀_x0001_＀＀멞౉脂䂐鮜䭩_x001F_呃幂䝆䕟䥂䑔彁⡑㐳㔱ⰱ㐳㐲ⰲ元착_x0018_＀＀_x0018_＀＀_x0008_＀＀_x0001_＀＀_x0001_＀＀⣈볏_xDA1C_䁊韤䮏(呃幂南偟久䥓乏䅟卓呅当呌ㄨ⼲〲㐰ⰬⰬ单⥄_x0018_＀＀_x0018_＀＀_x0008_＀＀_x0001_＀＀_x0001_＀＀豀碵꼝쐕䰠_x001C_䕌幁彐剐䍉彅噁⡇㠳㔳ⰳ㠳ㄷ⤷_x0018_＀＀_x0018_＀＀_x0008_＀＀_x0001_＀＀_x0001_＀＀豀碵꼝쐕韥䮏T呃幂䅃偟协剔呅偟䥒剏卟噒ㄨ⼲〲㘰ⰬⰬ单⥄址当䱈䡔䅃䕒啟剎䍅卟剅彖佃呓ㄨ⼲〲㘰ⰬⰬ单⥄_x0018_＀＀_x0018_＀＀_x0008_＀＀_x0001_＀＀_x0001_＀＀豀碵꼝쐕韤䮏&amp;呃幂䅃偟久当十彔义䅔䝎ㄨ⼲〲㔰ⰬⰬ单⥄_x0018_＀＀_x0018_＀＀_x0008_＀＀_x0001_＀＀_x0001_＀＀＀＀＀＀＀＀＀＀흕䰠_x001C_䕌幁彐剐䍉彅噁⡇㐳㤷ⰰ㐳㠸⤰_x0018_＀＀_x0018_＀＀_x0008_＀＀_x0001_＀＀_x0001_＀＀豀碵꼝쐕韥䮏E呃幂䅃偟协剔呅䉟久佟⡂㈱㈯〰ⰸⰬ唬䑓䀩南䡟呌䍈剁彅䉐⡏㈱㈯〰ⰸⰬ唬䑓착_x0018_＀＀_x0018_＀＀_x0008_＀＀_x0001_＀＀_x0001_＀＀㽽帵閺䁯韤䮏I呃幂䅃偟久当剓彖佃呓ㄨ⼲〲㈰ⰬⰬ单⥄址当䕐华佉彎䕓噒䍟协⡔㈱㈯〰ⰲⰬ唬䑓착_x0018_＀＀_x0018_＀＀_x0008_＀＀_x0001_＀＀_x0001_＀＀࠱Წ쑚䀺韤䮏%呃幂䅃偟久当佃偍剟呁⡅㈱㈯〰ⰳⰬ唬䑓착_x0018_＀＀_x0018_＀＀_x0008_＀＀_x0001_＀＀_x0001_＀＀尩슏⣵䀌韥䮏J呃幂䅃偟协剔呅剟䅏䅟呃ㄨ⼲〲㈰ⰬⰬ单⥄址当䱈䡔䅃䕒䅟呃剟䅏ㄨ⼲〲㈰ⰬⰬ单⥄_x0018_＀＀_x0018_＀＀_x0008_＀＀_x0001_＀＀_x0001_＀＀＀＀＀＀＀＀＀＀鮎䭩(呃幂元䍟䵏卟午䍟䱁彃䕄卐㌨㐶㐳㌬㔶㔲䌬⥑_x0018_＀＀_x0018_＀＀_x0008_＀＀_x0001_＀＀_x0001_＀＀ᑺ䁒韥䮏P呃幂䅃偟协剔呅偟䅌彎十彔久⡄㈱㈯〰ⰱⰬ唬䑓䀩南䡟呌䍈剁彅噆䅟卓呅ㄨ⼲〲㄰ⰬⰬ单⥄_x0018_＀＀_x0018_＀＀_x0008_＀＀_x0001_＀＀_x0001_＀＀＀＀＀＀＀＀＀＀鮎䭩(呃幂元䍟䵏卟午䍟䱁彃䕄卐㌨㔴㘱㌬㘴㜰䌬⥑_x0018_＀＀_x0018_＀＀_x0008_＀＀_x0001_＀＀_x0001_＀＀豀碵꼝쐕韥䮏'呃幂䅃偟协剔呅䉟久偟䥁⡄㈱㈯〰ⰷⰬ唬䑓착_x0018_＀＀_x0018_＀＀_x0008_＀＀_x0001_＀＀_x0001_＀＀＀＀＀＀＀＀＀＀鮜䭩_x001F_呃幂䝆䕟䥂䑔彁⡑㘳㌴ⰴ㘳㈵ⰵ元착_x0018_＀＀_x0018_＀＀_x0008_＀＀_x0001_＀＀_x0001_＀＀ҫ쎋䁛韤䮏N呃幂䅃偟久当乕䕒佃⡇㈱㈯〰ⰵⰬ唬䑓䀩南偟久䥓乏啟剎䍅卟剅彖佃呓ㄨ⼲〲㔰ⰬⰬ单⥄_x0018_＀＀_x0018_＀＀_x0008_＀＀_x0001_＀＀_x0001_＀＀휊炣訽쀪韤䮏&lt;呃幂南偟久䥓乏䅟卓呅当佂䑎⡓㈱㈯〰⤷䍀彁䕐华偟呃䙟⡉㈱㈯〰⤷_x0018_＀＀_x0018_＀＀_x0008_＀＀_x0001_＀＀_x0001_＀＀尩슏⣵䁀鮜䭩_x001F_呃幂䝆䕟䥂䑔彁⡑㐳ㄵⰶ㐳〶ⰷ元착_x0018_＀＀_x0018_＀＀_x0008_＀＀_x0001_＀＀_x0001_＀＀书얗⃄䁒忆䰚_x001C_䝍幁彐剐䍉彅噁⡇㜳㤸ⰵ㜳㠹⤶_x0018_＀＀_x0018_＀＀_x0008_＀＀_x0001_＀＀_x0001_＀＀ꫣ邊䁓韤䮏B呃幂䅃偟久当佒⡁㈱㈯〰ⰳⰬ唬䑓䀩南偟久䥓乏䕟偘剟䅏ㄨ⼲〲㌰ⰬⰬ单⥄_x0018_＀＀_x0018_＀＀_x0008_＀＀_x0001_＀＀_x0001_＀＀ꗤ쒛怠쁏韥䮏+呃幂䅃偟协剔呅偟剁彔佃呎䥒⡂㈱㈯〰ⰳⰬ唬䑓착_x0018_＀＀_x0018_＀＀_x0008_＀＀_x0001_＀＀_x0001_＀＀＀＀＀＀＀＀＀＀䭻_x001C_呃幂彐剐䍉彅噁⡇㤳㠰ⰳ㤳㐴⤷_x0018_＀＀_x0018_＀＀_x0008_＀＀_x0001_＀＀_x0001_＀＀㵇ꍄ렻䀴鞰䮏_x0017_坞当塅䡃剟呁彅䅂彌䡓〨착_x0018_＀＀_x0018_＀＀_x0008_＀＀_x0001_＀＀_x0001_＀＀豀碵꼝쐕韤䮏＀Ｏ呃幂南䡟呌䍈剁彅䵁剏彔䕓噒䍟协⡔㈱㈯〰ⰳⰬ唬䑓착_x0018_＀＀_x0018_＀＀_x0008_＀＀_x0001_＀＀_x0001_＀＀鶲꟯䯆㿱琍䭱_x001C_呃幂彐剐䍉彅噁⡇㈳〵ⰹ㈳㤵⤸_x0018_＀＀_x0018_＀＀_x0008_＀＀_x0001_＀＀_x0001_＀＀뼦ꝅ䀘韤䮏F呃幂䅃偟久当佒彁䍁⡔㈱㈯〰ⰴⰬ唬䑓䀩南偟久䥓乏䅟呃剟䅏ㄨ⼲〲㐰ⰬⰬ单⥄_x0018_＀＀_x0018_＀＀_x0008_＀＀_x0001_＀＀_x0001_＀＀⛪࠱견䁖饙䭩_x001C_呃幂元卟䱁卅㌨ㄵ㘵㌬㈵㘴䌬⥑_x0018_＀＀_x0018_＀＀_x0008_＀＀_x0001_＀＀_x0001_＀＀㽽帵䁸韤䮏J呃幂䅃偟久当佒彁䅒䕔ㄨ⼲〲㜰ⰬⰬ单⥄址当䕐华佉彎塅彐呌剟䅏ㄨ⼲〲㜰ⰬⰬ单⥄_x0018_＀＀_x0018_＀＀_x0008_＀＀_x0001_＀＀_x0001_＀＀尩슏⣵䀡韥䮏P呃幂䅃偟协剔呅偟䅌彎十彔久⡄㈱㈯〰ⰸⰬ唬䑓䀩南䡟呌䍈剁彅噆䅟卓呅ㄨ⼲〲㠰ⰬⰬ单⥄_x0018_＀＀_x0018_＀＀_x0008_＀＀_x0001_＀＀_x0001_＀＀＀＀＀＀＀＀＀＀䭻_x001C_呃幂彐剐䍉彅噁⡇㤳㐴ⰸ㤳ㄸ⤳_x0018_＀＀_x0018_＀＀_x0008_＀＀_x0001_＀＀_x0001_＀＀㨝⫆䀦惮䰚_x001C_䝍幁彐剐䍉彅噁⡇㠳ㄷⰸ㤳㠰⤲_x0018_＀＀_x0018_＀＀_x0008_＀＀_x0001_＀＀_x0001_＀＀딵구騯䁒鮎䭩(呃幂元䍟䵏卟午䍟䱁彃䕄卐㌨㠸㤹㌬㤸〹䌬⥑_x0018_＀＀_x0018_＀＀_x0008_＀＀_x0001_＀＀_x0001_＀＀갈娜ꭤ䁎䰠_x001C_䕌幁彐剐䍉彅噁⡇㤳㠰ⰳ㤳㐴⤷_x0018_＀＀_x0018_＀＀_x0008_＀＀_x0001_＀＀_x0001_＀＀豀碵꼝쐕忆䰚_x001C_䝍幁彐剐䍉彅噁⡇㜳ㄷⰲ㜳〸⤲_x0018_＀＀_x0018_＀＀_x0008_＀＀_x0001_＀＀_x0001_＀＀裤ꐔ䁋鮎䭩(呃幂元䍟䵏卟午䍟䱁彃䕄卐㌨㜹㈲㌬㠹㌱䌬⥑_x0018_＀＀_x0018_＀＀_x0008_＀＀_x0001_＀＀_x0001_＀＀긕瑺䁍韤䮏&lt;呃幂南偟久䥓乏䅟卓呅当佂䑎⡓㈱㈯〰⤲䍀彁䕐华偟呃䙟⡉㈱㈯〰⤲_x0018_＀＀_x0018_＀＀_x0008_＀＀_x0001_＀＀_x0001_＀＀豀碵꼝쐕韤䮏G呃幂䅃偟协剔呅䍟协⡔㈱㈯〰ⰸⰬ唬䑓䀩南䡟呌䍈剁彅偎彐塅⡐㈱㈯〰ⰸⰬ唬䑓착_x0018_＀＀_x0018_＀＀_x0008_＀＀_x0001_＀＀_x0001_＀＀좴빶媟䀵韤䮏)呃幂䅃偟久当䵅彐佃呎䥒彂⡃㈱㈯〰ⰲⰬ唬䑓착_x0018_＀＀_x0018_＀＀_x0008_＀＀_x0001_＀＀_x0001_＀＀嘄ⴎ붲䁌韥䮏)呃幂䅃偟协剔呅佟䡔䑁彊䉎⡁㈱㈯〰ⰵⰬ唬䑓착_x0018_＀＀_x0018_＀＀_x0008_＀＀_x0001_＀＀_x0001_＀＀긕鱺䁓흕䰠_x001C_䕌幁彐剐䍉彅噁⡇㔳㐲ⰷ㔳㌳⤸_x0018_＀＀_x0018_＀＀_x0008_＀＀_x0001_＀＀_x0001_＀＀豀碵꼝쐕韥䮏,呃幂䅃偟协剔呅䕟偍䍟乏剔䉉䍟ㄨ⼲〲㈰ⰬⰬ单⥄_x0018_＀＀_x0018_＀＀_x0008_＀＀_x0001_＀＀_x0001_＀＀＀＀＀＀＀＀＀＀韤䮏%呃幂䅃偟久当呌䅟卓呅⡓㈱㈯〰ⰴⰬ唬䑓착_x0018_＀＀_x0018_＀＀_x0008_＀＀_x0001_＀＀_x0001_＀＀豀碵꼝쐕䭻_x001C_呃幂彐剐䍉彅噁⡇㔳㤷ⰶ㘳㘱⤰_x0018_＀＀_x0018_＀＀_x0008_＀＀_x0001_＀＀_x0001_＀＀ﴎ尓¬䀵鮎䭩(呃幂元䍟䵏卟午䍟䱁彃䕄卐㌨㜴〹㌬㠴〸䌬⥑_x0018_＀＀_x0018_＀＀_x0008_＀＀_x0001_＀＀_x0001_＀＀豀碵꼝쐕韤䮏(呃幂䅃偟久当䅐呒䍟乏剔䉉ㄨ⼲〲㔰ⰬⰬ单⥄_x0018_＀＀_x0018_＀＀_x0008_＀＀_x0001_＀＀_x0001_＀＀閁譃䀂韤䮏'呃幂䅃偟久当商䑎卟䅔啔⡓㈱㈯〰ⰷⰬ唬䑓착_x0018_＀＀_x0018_＀＀_x0008_＀＀_x0001_＀＀_x0001_＀＀嘄ⴎ䶲쁅鮎䭩_x001C_呃幂彐剐䍉彅噁⡇〴㜱ⰹ〴㘲⤸_x0018_＀＀_x0018_＀＀_x0008_＀＀_x0001_＀＀_x0001_＀＀ᑻ䞮ꫡ䀳韤䮏$呃幂䅃偟久当䕂彎䅐䑉ㄨ⼲〲㌰ⰬⰬ单⥄_x0018_＀＀_x0018_＀＀_x0008_＀＀_x0001_＀＀_x0001_＀＀绺뱪㍴䁉鰳䲜_x001A_䕌幁南䕟䍘彈䅒䕔䉟䱁卟⡈⤰_x0018_＀＀_x0018_＀＀_x0008_＀＀_x0001_＀＀_x0001_＀＀豀碵꼝쐕鮎䭩(呃幂元䍟䵏卟午䍟䱁彃䕄卐㐨㄰㤷㐬㈰㠶䌬⥑_x0018_＀＀_x0018_＀＀_x0008_＀＀_x0001_＀＀_x0001_＀＀晧晦虦䁎鮎䭩_x001C_呃幂彐剐䍉彅噁⡇㠳㔳ⰳ㠳㐴⤲_x0018_＀＀_x0018_＀＀_x0008_＀＀_x0001_＀＀_x0001_＀＀ܡ찥䶴䀴鸓䮏)呃幂䅃偟久当䵅彐佃呎䥒彂⡃㈱㈯〰ⰸⰬ唬䑓착_x0018_＀＀_x0018_＀＀_x0008_＀＀_x0001_＀＀_x0001_＀＀⃅犰䁃鮜䭩_x001F_呃幂䝆䕟䥂䑔彁⡑㐳㤷ⰰ㐳㠸ⰰ元착_x0018_＀＀_x0018_＀＀_x0008_＀＀_x0001_＀＀_x0001_＀＀ㄦ䁋韤䮏(呃幂䅃偟久当偐彄䕂彎佃呓ㄨ⼲〲㘰ⰬⰬ单⥄_x0018_＀＀_x0018_＀＀_x0008_＀＀_x0001_＀＀_x0001_＀＀豀碵꼝쐕鰮䲜&lt;䕌幁䅃偟久当䥄䍓剟呁⡅㈱㈯〰⤹址当䕐华佉彎䥄䍓剟呁⡅㈱㈯〰⤹_x0018_＀＀_x0018_＀＀_x0008_＀＀_x0001_＀＀_x0001_＀＀Ẹ롑䀗鮎䭩(呃幂元䍟䵏卟午䍟䱁彃䕄卐㌨〶㤶㌬ㄶ〶䌬⥑_x0018_＀＀_x0018_＀＀_x0008_＀＀_x0001_＀＀_x0001_＀＀豀碵꼝쐕鮎䭩(呃幂元䍟䵏卟午䍟䱁彃䕄卐㌨㤵㜷㌬〶㠶䌬⥑_x0018_＀＀_x0018_＀＀_x0008_＀＀_x0001_＀＀_x0001_＀＀豀碵꼝쐕䰠_x001C_䕌幁彐剐䍉彅噁⡇㔳㤷ⰶ㘳㘱⤰_x0018_＀＀_x0018_＀＀_x0008_＀＀_x0001_＀＀_x0001_＀＀豀碵꼝쐕鮎䭩(呃幂元䍟䵏卟午䍟䱁彃䕄卐㌨㘷㈲㌬㜷ㄱ䌬⥑_x0018_＀＀_x0018_＀＀_x0008_＀＀_x0001_＀＀_x0001_＀＀炤਽珗䁒忆䰚_x001C_䝍幁彐剐䍉彅噁⡇㐳㌳ⰵ㐳㈴⤴_x0018_＀＀_x0018_＀＀_x0008_＀＀_x0001_＀＀_x0001_＀＀繽℘縼䁅镘䮎＀Ｏ䍞彁䕐华剟䅏剟呁⡅䅎䀩南偟久䥓乏䕟偘䱟彔佒⡁䅎착_x0018_＀＀_x0018_＀＀_x0008_＀＀_x0001_＀＀_x0001_＀＀豀碵꼝쐕鞰䮏_x0018_坞当塅䡃剟呁彅义彃䙃丨⥁_x0018_＀＀_x0018_＀＀_x0008_＀＀_x0001_＀＀_x0001_＀＀豀碵꼝쐕韤䮏-呃幂䅃偟协剔呅啟归剔佟彂䵁剏⡔㈱㈯〰ⰳⰬ唬䑓착_x0018_＀＀_x0018_＀＀_x0008_＀＀_x0001_＀＀_x0001_＀＀＀＀＀＀＀＀＀＀흖䰠_x001C_䕌幁彐剐䍉彅噁⡇〴㜱ⰹ〴㘲⤸_x0018_＀＀_x0018_＀＀_x0008_＀＀_x0001_＀＀_x0001_＀＀㪨曤↸䁒鮜䭩_x001F_呃幂䝆䕟䥂䑔彁⡑㘳㘰ⰹ㘳㘱ⰰ元착_x0018_＀＀_x0018_＀＀_x0008_＀＀_x0001_＀＀_x0001_＀＀䦺Ȍ⼫䁖鮜䭩_x001F_呃幂䝆䕟䥂䑔彁⡑㔳㜹ⰷ㘳㘰ⰸ元착_x0018_＀＀_x0018_＀＀_x0008_＀＀_x0001_＀＀_x0001_＀＀䬊ꀼ_xDF6C_䁒鮎䭩_x001C_呃幂彐剐䍉彅噁⡇㠳㤸ⰹ㠳㤹⤰_x0018_＀＀_x0018_＀＀_x0008_＀＀_x0001_＀＀_x0001_＀＀_xDC83_顅钢䀣鮎䭩(呃幂元䍟䵏卟午䍟䱁彃䕄卐㌨㌶㈴㌬㐶㌳䌬⥑_x0018_＀＀_x0018_＀＀_x0008_＀＀_x0001_＀＀_x0001_＀＀竡긔磊䁒흕䰠_x001C_䕌幁彐剐䍉彅噁⡇㠳㔳ⰳ㠳㐴⤲_x0018_＀＀_x0018_＀＀_x0008_＀＀_x0001_＀＀_x0001_＀＀豀碵꼝쐕韤䮏'呃幂南偟久偟协彔䕒彔䕂⡎㈱㈯〰ⰴⰬ唬䑓착_x0018_＀＀_x0018_＀＀_x0008_＀＀_x0001_＀＀_x0001_＀＀⼛ⓝ夆䁳韤䮏L呃幂䅃偟协剔呅䥟呎䍟协⡔㈱㈯〰ⰵⰬ唬䑓䀩南䡟呌䍈剁彅义彔佃呓ㄨ⼲〲㔰ⰬⰬ单⥄_x0018_＀＀_x0018_＀＀_x0008_＀＀_x0001_＀＀_x0001_＀＀쒜뀠桲䀯韤䮏"呃幂南偟久䥓乏偟佂ㄨ⼲〲㌰ⰬⰬ单⥄_x0018_＀＀_x0018_＀＀_x0008_＀＀_x0001_＀＀_x0001_＀＀ㄦㆈ䂐鮜䭩_x001F_呃幂䝆䕟䥂䑔彁⡑㘳㐳ⰲ㘳㌴ⰳ元착_x0018_＀＀_x0018_＀＀_x0008_＀＀_x0001_＀＀_x0001_＀＀墣楮⸵䁕鮎䭩(呃幂元䍟䵏卟午䍟䱁彃䕄卐㌨㈷㜵㌬㌷㘴䌬⥑_x0018_＀＀_x0018_＀＀_x0008_＀＀_x0001_＀＀_x0001_＀＀盉龾圚䁒琍䭱_x001C_呃幂彐剐䍉彅噁⡇㌳㌲ⰹ㌳㈳⤸_x0018_＀＀_x0018_＀＀_x0008_＀＀_x0001_＀＀_x0001_＀＀嫄੼즀䀤韤䮏B呃幂䅃偟久当佒⡁㈱㈯〰ⰶⰬ唬䑓䀩南偟久䥓乏䕟偘剟䅏ㄨ⼲〲㘰ⰬⰬ单⥄_x0018_＀＀_x0018_＀＀_x0008_＀＀_x0001_＀＀_x0001_＀＀롒蔞쇫쁑鮎䭩(呃幂元䍟䵏卟午䍟䱁彃䕄卐㌨〹㌸㌬ㄹ㈷䌬⥑_x0018_＀＀_x0018_＀＀_x0008_＀＀_x0001_＀＀_x0001_＀＀_xDB23_绹ﱪ䁎鮎䭩(呃幂元䍟䵏卟午䍟䱁彃䕄卐㌨㜵㐰㌬㜵㔹䌬⥑_x0018_＀＀_x0018_＀＀_x0008_＀＀_x0001_＀＀_x0001_＀＀豀碵꼝쐕鮎䭩_x001C_呃幂彐剐䍉彅噁⡇㔳㐲ⰷ㔳㌳⤸_x0018_＀＀_x0018_＀＀_x0008_＀＀_x0001_＀＀_x0001_＀＀马鱷_xDBA2_䀳韤䮏)呃幂南䡟呌䍈剁彅䥄䍓剟呁⡅㈱㈯〰ⰵⰬ唬䑓착_x0018_＀＀_x0018_＀＀_x0008_＀＀_x0001_＀＀_x0001_＀＀＀＀＀＀＀＀䀗韥䮏#呃幂䅃偟协剔呅䱟䅉⡂㈱㈯〰ⰴⰬ唬䑓착_x0018_＀＀_x0018_＀＀_x0008_＀＀_x0001_＀＀_x0001_＀＀꟰䯆唷쁧흕䰠_x001C_䕌幁彐剐䍉彅噁⡇㠳㤸ⰹ㠳㤹⤰_x0018_＀＀_x0018_＀＀_x0008_＀＀_x0001_＀＀_x0001_＀＀豀碵꼝쐕韤䮏F呃幂䅃偟久当佒彁䍁⡔㈱㈯〰ⰷⰬ唬䑓䀩南偟久䥓乏䅟呃剟䅏ㄨ⼲〲㜰ⰬⰬ单⥄_x0018_＀＀_x0018_＀＀_x0008_＀＀_x0001_＀＀_x0001_＀＀蜫_xD916_翎䁕鮎䭩_x001C_呃幂彐剐䍉彅噁⡇㐳㔱ⰱ㐳㐲⤲_x0018_＀＀_x0018_＀＀_x0008_＀＀_x0001_＀＀_x0001_＀＀㥮ꪪ䀹韤䮏J呃幂䅃偟久当䥄䍓剟呁⡅㈱㈯〰ⰴⰬ唬䑓䀩南偟久䥓乏䑟卉彃䅒䕔ㄨ⼲〲㐰ⰬⰬ单⥄_x0018_＀＀_x0018_＀＀_x0008_＀＀_x0001_＀＀_x0001_＀＀롑蔞䀙韤䮏*呃幂南䡟呌䍈剁彅塅彐呌剟䅏ㄨ⼲〲㘰ⰬⰬ单⥄_x0018_＀＀_x0018_＀＀_x0008_＀＀_x0001_＀＀_x0001_＀＀豀碵꼝쐕惮䰚_x001C_䝍幁彐剐䍉彅噁⡇㜳㈶ⰲ㜳㠹⤶_x0018_＀＀_x0018_＀＀_x0008_＀＀_x0001_＀＀_x0001_＀＀ⷠꂐ臸䁏鰮䲜;䕌幁南偟久䥓乏䅟卓呅当剐偏ㄨ⼲〲㤰䀩䅃偟久当䍐彔䕒ㄨ⼲〲㤰착_x0018_＀＀_x0018_＀＀_x0008_＀＀_x0001_＀＀_x0001_＀＀＀＀＀＀＀＀＀＀鮜䭩_x001F_呃幂䝆䕟䥂䑔彁⡑㔳〷ⰴ㔳㤷ⰵ元착_x0018_＀＀_x0018_＀＀_x0008_＀＀_x0001_＀＀_x0001_＀＀ᑻ䞮拡䁕鮎䭩_x001C_呃幂元卟䱁卅㌨㔳㈱㌬㘳㌰䌬⥑_x0018_＀＀_x0018_＀＀_x0008_＀＀_x0001_＀＀_x0001_＀＀竡긔셇䁯韤䮏J呃幂䅃偟久当䱐乁䅟呓ㄨ⼲〲㈰ⰬⰬ单⥄址当䕐华佉彎䅖彌十䕓協ㄨ⼲〲㈰ⰬⰬ单⥄_x0018_＀＀_x0018_＀＀_x0008_＀＀_x0001_＀＀_x0001_＀＀_xDD2F_ؤ뎁䂅韤䮏)呃幂南偟久䥓乏噟䱁䅟卓呅⡓㈱㈯〰ⰲⰬ唬䑓착_x0018_＀＀_x0018_＀＀_x0008_＀＀_x0001_＀＀_x0001_＀＀酨糭㔿㿦鮎䭩(呃幂元䍟䵏卟午䍟䱁彃䕄卐㌨㤹㐰㌬㤹㐹䌬⥑_x0018_＀＀_x0018_＀＀_x0008_＀＀_x0001_＀＀_x0001_＀＀堑됹䁍鸓䮏;呃幂南偟久䥓乏䅟卓呅当呏⡈㈱㈯〰⤸䍀彁䕐华偟呃佟䡔ㄨ⼲〲㠰착_x0018_＀＀_x0018_＀＀_x0008_＀＀_x0001_＀＀_x0001_＀＀휊炣਽㿧鸓䮏I呃幂䅃偟久当剓彖佃呓ㄨ⼲〲㠰ⰬⰬ单⥄址当䕐华佉彎䕓噒䍟协⡔㈱㈯〰ⰸⰬ唬䑓착_x0018_＀＀_x0018_＀＀_x0008_＀＀_x0001_＀＀_x0001_＀＀＀＀＀＀䀵韤䮏Q呃幂䅃偟久当䍁啃彍佃偍䥒䍎ㄨ⼲〲㘰ⰬⰬ单⥄址当佃偍归义彃䕐华䱟䅉⡂㈱㈯〰ⰶⰬ唬䑓착_x0018_＀＀_x0018_＀＀_x0008_＀＀_x0001_＀＀_x0001_＀＀盉龾Ԛ쁳鮎䭩(呃幂元䍟䵏卟午䍟䱁彃䕄卐㌨㘹〳㌬㜹ㄲ䌬⥑_x0018_＀＀_x0018_＀＀_x0008_＀＀_x0001_＀＀_x0001_＀＀ⓝ脆玕䁍鮎䭩_x001C_呃幂彐剐䍉彅噁⡇㤳㠰ⰳ㤳㜱⤲_x0018_＀＀_x0018_＀＀_x0008_＀＀_x0001_＀＀_x0001_＀＀⸊푖橠䀰韤䮏G呃幂䅃偟协剔呅䍟协⡔㈱㈯〰ⰷⰬ唬䑓䀩南䡟呌䍈剁彅偎彐塅⡐㈱㈯〰ⰷⰬ唬䑓착_x0018_＀＀_x0018_＀＀_x0008_＀＀_x0001_＀＀_x0001_＀＀茓쫀얡䀷韥䮏(呃幂南䡟呌䍈剁彅乕彆䕂⡎㈱㈯〰ⰵⰬ唬䑓⤩＀＀＀＀韥䮏E呃幂䅃偟协剔呅䉟久佟⡂㈱㈯〰ⰱⰬ唬䑓䀩南䡟呌䍈剁彅䉐⡏㈱㈯〰ⰱⰬ唬䑓착_x0018_＀＀_x0018_＀＀_x0008_＀＀_x0001_＀＀_x0001_＀＀豀碵꼝쐕깕䲌_x000D_䅎偞偟䥒䕃〨착_x0018_＀＀_x0018_＀＀_x0008_＀＀_x0001_＀＀_x0001_＀＀豀碵꼝쐕鸓䮏&lt;呃幂䅃偟久当佒彁䅒䕔ㄨ⼲〲㠰䀩南偟久䥓乏䕟偘䱟彔佒⡁㈱㈯〰⤸_x0018_＀＀_x0018_＀＀_x0008_＀＀_x0001_＀＀_x0001_＀＀＀＀＀＀耀䀠韥䮏T呃幂䅃偟协剔呅偟䥒剏卟噒ㄨ⼲〲㠰ⰬⰬ单⥄址当䱈䡔䅃䕒啟剎䍅卟剅彖佃呓ㄨ⼲〲㠰ⰬⰬ单⥄_x0018_＀＀_x0018_＀＀_x0008_＀＀_x0001_＀＀_x0001_＀＀豀碵꼝쐕忆䰚_x001C_䝍幁彐剐䍉彅噁⡇〴㠰ⰷ〴㜱⤸_x0018_＀＀_x0018_＀＀_x0008_＀＀_x0001_＀＀_x0001_＀＀膮ክ鈬䁇</t>
        </r>
      </text>
    </comment>
  </commentList>
</comments>
</file>

<file path=xl/comments4.xml><?xml version="1.0" encoding="utf-8"?>
<comments xmlns="http://schemas.openxmlformats.org/spreadsheetml/2006/main">
  <authors>
    <author>Sinkevicius, Armintas (Research)</author>
  </authors>
  <commentList>
    <comment ref="DY18" authorId="0">
      <text>
        <r>
          <rPr>
            <b/>
            <sz val="9"/>
            <color indexed="81"/>
            <rFont val="Tahoma"/>
            <family val="2"/>
          </rPr>
          <t>Sinkevicius, Armintas (Research):</t>
        </r>
        <r>
          <rPr>
            <sz val="9"/>
            <color indexed="81"/>
            <rFont val="Tahoma"/>
            <family val="2"/>
          </rPr>
          <t xml:space="preserve">
Morgan Stanley Estimate
for US SAAR</t>
        </r>
      </text>
    </comment>
    <comment ref="DZ18" authorId="0">
      <text>
        <r>
          <rPr>
            <b/>
            <sz val="9"/>
            <color indexed="81"/>
            <rFont val="Tahoma"/>
            <family val="2"/>
          </rPr>
          <t>Sinkevicius, Armintas (Research):</t>
        </r>
        <r>
          <rPr>
            <sz val="9"/>
            <color indexed="81"/>
            <rFont val="Tahoma"/>
            <family val="2"/>
          </rPr>
          <t xml:space="preserve">
Morgan Stanley Estimate
for US SAAR</t>
        </r>
      </text>
    </comment>
    <comment ref="EA18" authorId="0">
      <text>
        <r>
          <rPr>
            <b/>
            <sz val="9"/>
            <color indexed="81"/>
            <rFont val="Tahoma"/>
            <family val="2"/>
          </rPr>
          <t>Sinkevicius, Armintas (Research):</t>
        </r>
        <r>
          <rPr>
            <sz val="9"/>
            <color indexed="81"/>
            <rFont val="Tahoma"/>
            <family val="2"/>
          </rPr>
          <t xml:space="preserve">
Morgan Stanley Estimate
for US SAAR</t>
        </r>
      </text>
    </comment>
    <comment ref="EB18" authorId="0">
      <text>
        <r>
          <rPr>
            <b/>
            <sz val="9"/>
            <color indexed="81"/>
            <rFont val="Tahoma"/>
            <family val="2"/>
          </rPr>
          <t>Sinkevicius, Armintas (Research):</t>
        </r>
        <r>
          <rPr>
            <sz val="9"/>
            <color indexed="81"/>
            <rFont val="Tahoma"/>
            <family val="2"/>
          </rPr>
          <t xml:space="preserve">
Morgan Stanley Estimate
for US SAAR</t>
        </r>
      </text>
    </comment>
    <comment ref="EC18" authorId="0">
      <text>
        <r>
          <rPr>
            <b/>
            <sz val="9"/>
            <color indexed="81"/>
            <rFont val="Tahoma"/>
            <family val="2"/>
          </rPr>
          <t>Sinkevicius, Armintas (Research):</t>
        </r>
        <r>
          <rPr>
            <sz val="9"/>
            <color indexed="81"/>
            <rFont val="Tahoma"/>
            <family val="2"/>
          </rPr>
          <t xml:space="preserve">
Morgan Stanley Estimate
for US SAAR</t>
        </r>
      </text>
    </comment>
    <comment ref="ED18" authorId="0">
      <text>
        <r>
          <rPr>
            <b/>
            <sz val="9"/>
            <color indexed="81"/>
            <rFont val="Tahoma"/>
            <family val="2"/>
          </rPr>
          <t>Sinkevicius, Armintas (Research):</t>
        </r>
        <r>
          <rPr>
            <sz val="9"/>
            <color indexed="81"/>
            <rFont val="Tahoma"/>
            <family val="2"/>
          </rPr>
          <t xml:space="preserve">
Morgan Stanley Estimate
for US SAAR</t>
        </r>
      </text>
    </comment>
    <comment ref="B31" authorId="0">
      <text>
        <r>
          <rPr>
            <b/>
            <sz val="9"/>
            <color indexed="81"/>
            <rFont val="Tahoma"/>
            <family val="2"/>
          </rPr>
          <t>Sinkevicius, Armintas (Research):</t>
        </r>
        <r>
          <rPr>
            <sz val="9"/>
            <color indexed="81"/>
            <rFont val="Tahoma"/>
            <family val="2"/>
          </rPr>
          <t xml:space="preserve">
Exlcudes Japan</t>
        </r>
      </text>
    </comment>
    <comment ref="DU34" authorId="0">
      <text>
        <r>
          <rPr>
            <b/>
            <sz val="9"/>
            <color indexed="81"/>
            <rFont val="Tahoma"/>
            <family val="2"/>
          </rPr>
          <t>Sinkevicius, Armintas (Research):</t>
        </r>
        <r>
          <rPr>
            <sz val="9"/>
            <color indexed="81"/>
            <rFont val="Tahoma"/>
            <family val="2"/>
          </rPr>
          <t xml:space="preserve">
from 650</t>
        </r>
      </text>
    </comment>
    <comment ref="DV34" authorId="0">
      <text>
        <r>
          <rPr>
            <b/>
            <sz val="9"/>
            <color indexed="81"/>
            <rFont val="Tahoma"/>
            <family val="2"/>
          </rPr>
          <t>Sinkevicius, Armintas (Research):</t>
        </r>
        <r>
          <rPr>
            <sz val="9"/>
            <color indexed="81"/>
            <rFont val="Tahoma"/>
            <family val="2"/>
          </rPr>
          <t xml:space="preserve">
from 300
from 750</t>
        </r>
      </text>
    </comment>
    <comment ref="DW34" authorId="0">
      <text>
        <r>
          <rPr>
            <b/>
            <sz val="9"/>
            <color indexed="81"/>
            <rFont val="Tahoma"/>
            <family val="2"/>
          </rPr>
          <t>Sinkevicius, Armintas (Research):</t>
        </r>
        <r>
          <rPr>
            <sz val="9"/>
            <color indexed="81"/>
            <rFont val="Tahoma"/>
            <family val="2"/>
          </rPr>
          <t xml:space="preserve">
from 200
from 850</t>
        </r>
      </text>
    </comment>
    <comment ref="DX34" authorId="0">
      <text>
        <r>
          <rPr>
            <b/>
            <sz val="9"/>
            <color indexed="81"/>
            <rFont val="Tahoma"/>
            <family val="2"/>
          </rPr>
          <t>Sinkevicius, Armintas (Research):</t>
        </r>
        <r>
          <rPr>
            <sz val="9"/>
            <color indexed="81"/>
            <rFont val="Tahoma"/>
            <family val="2"/>
          </rPr>
          <t xml:space="preserve">
from 450
from 900
from 1,250
@ $1.4b</t>
        </r>
      </text>
    </comment>
    <comment ref="DY34" authorId="0">
      <text>
        <r>
          <rPr>
            <b/>
            <sz val="9"/>
            <color indexed="81"/>
            <rFont val="Tahoma"/>
            <family val="2"/>
          </rPr>
          <t>Sinkevicius, Armintas (Research):</t>
        </r>
        <r>
          <rPr>
            <sz val="9"/>
            <color indexed="81"/>
            <rFont val="Tahoma"/>
            <family val="2"/>
          </rPr>
          <t xml:space="preserve">
from 300
from 900</t>
        </r>
      </text>
    </comment>
    <comment ref="DZ34" authorId="0">
      <text>
        <r>
          <rPr>
            <b/>
            <sz val="9"/>
            <color indexed="81"/>
            <rFont val="Tahoma"/>
            <family val="2"/>
          </rPr>
          <t>Sinkevicius, Armintas (Research):</t>
        </r>
        <r>
          <rPr>
            <sz val="9"/>
            <color indexed="81"/>
            <rFont val="Tahoma"/>
            <family val="2"/>
          </rPr>
          <t xml:space="preserve">
from 650</t>
        </r>
      </text>
    </comment>
    <comment ref="DU36" authorId="0">
      <text>
        <r>
          <rPr>
            <b/>
            <sz val="9"/>
            <color indexed="81"/>
            <rFont val="Tahoma"/>
            <family val="2"/>
          </rPr>
          <t>Sinkevicius, Armintas (Research):</t>
        </r>
        <r>
          <rPr>
            <sz val="9"/>
            <color indexed="81"/>
            <rFont val="Tahoma"/>
            <family val="2"/>
          </rPr>
          <t xml:space="preserve">
from 450</t>
        </r>
      </text>
    </comment>
    <comment ref="DV36" authorId="0">
      <text>
        <r>
          <rPr>
            <b/>
            <sz val="9"/>
            <color indexed="81"/>
            <rFont val="Tahoma"/>
            <family val="2"/>
          </rPr>
          <t>Sinkevicius, Armintas (Research):</t>
        </r>
        <r>
          <rPr>
            <sz val="9"/>
            <color indexed="81"/>
            <rFont val="Tahoma"/>
            <family val="2"/>
          </rPr>
          <t xml:space="preserve">
from 150
from 550</t>
        </r>
      </text>
    </comment>
    <comment ref="DW36" authorId="0">
      <text>
        <r>
          <rPr>
            <b/>
            <sz val="9"/>
            <color indexed="81"/>
            <rFont val="Tahoma"/>
            <family val="2"/>
          </rPr>
          <t>Sinkevicius, Armintas (Research):</t>
        </r>
        <r>
          <rPr>
            <sz val="9"/>
            <color indexed="81"/>
            <rFont val="Tahoma"/>
            <family val="2"/>
          </rPr>
          <t xml:space="preserve">
from 150
from 700</t>
        </r>
      </text>
    </comment>
    <comment ref="DX36" authorId="0">
      <text>
        <r>
          <rPr>
            <b/>
            <sz val="9"/>
            <color indexed="81"/>
            <rFont val="Tahoma"/>
            <family val="2"/>
          </rPr>
          <t>Sinkevicius, Armintas (Research):</t>
        </r>
        <r>
          <rPr>
            <sz val="9"/>
            <color indexed="81"/>
            <rFont val="Tahoma"/>
            <family val="2"/>
          </rPr>
          <t xml:space="preserve">
from 250
from 700
from 1025</t>
        </r>
      </text>
    </comment>
    <comment ref="DY36" authorId="0">
      <text>
        <r>
          <rPr>
            <b/>
            <sz val="9"/>
            <color indexed="81"/>
            <rFont val="Tahoma"/>
            <family val="2"/>
          </rPr>
          <t>Sinkevicius, Armintas (Research):</t>
        </r>
        <r>
          <rPr>
            <sz val="9"/>
            <color indexed="81"/>
            <rFont val="Tahoma"/>
            <family val="2"/>
          </rPr>
          <t xml:space="preserve">
from 200
from 525</t>
        </r>
      </text>
    </comment>
    <comment ref="DZ36" authorId="0">
      <text>
        <r>
          <rPr>
            <b/>
            <sz val="9"/>
            <color indexed="81"/>
            <rFont val="Tahoma"/>
            <family val="2"/>
          </rPr>
          <t>Sinkevicius, Armintas (Research):</t>
        </r>
        <r>
          <rPr>
            <sz val="9"/>
            <color indexed="81"/>
            <rFont val="Tahoma"/>
            <family val="2"/>
          </rPr>
          <t xml:space="preserve">
from 500</t>
        </r>
      </text>
    </comment>
    <comment ref="DU40" authorId="0">
      <text>
        <r>
          <rPr>
            <b/>
            <sz val="9"/>
            <color indexed="81"/>
            <rFont val="Tahoma"/>
            <family val="2"/>
          </rPr>
          <t>Sinkevicius, Armintas (Research):</t>
        </r>
        <r>
          <rPr>
            <sz val="9"/>
            <color indexed="81"/>
            <rFont val="Tahoma"/>
            <family val="2"/>
          </rPr>
          <t xml:space="preserve">
from 200</t>
        </r>
      </text>
    </comment>
    <comment ref="DV40" authorId="0">
      <text>
        <r>
          <rPr>
            <b/>
            <sz val="9"/>
            <color indexed="81"/>
            <rFont val="Tahoma"/>
            <family val="2"/>
          </rPr>
          <t>Sinkevicius, Armintas (Research):</t>
        </r>
        <r>
          <rPr>
            <sz val="9"/>
            <color indexed="81"/>
            <rFont val="Tahoma"/>
            <family val="2"/>
          </rPr>
          <t xml:space="preserve">
from 150
from 200</t>
        </r>
      </text>
    </comment>
    <comment ref="DW40" authorId="0">
      <text>
        <r>
          <rPr>
            <b/>
            <sz val="9"/>
            <color indexed="81"/>
            <rFont val="Tahoma"/>
            <family val="2"/>
          </rPr>
          <t>Sinkevicius, Armintas (Research):</t>
        </r>
        <r>
          <rPr>
            <sz val="9"/>
            <color indexed="81"/>
            <rFont val="Tahoma"/>
            <family val="2"/>
          </rPr>
          <t xml:space="preserve">
from 50
from 150</t>
        </r>
      </text>
    </comment>
    <comment ref="DX40" authorId="0">
      <text>
        <r>
          <rPr>
            <b/>
            <sz val="9"/>
            <color indexed="81"/>
            <rFont val="Tahoma"/>
            <family val="2"/>
          </rPr>
          <t>Sinkevicius, Armintas (Research):</t>
        </r>
        <r>
          <rPr>
            <sz val="9"/>
            <color indexed="81"/>
            <rFont val="Tahoma"/>
            <family val="2"/>
          </rPr>
          <t xml:space="preserve">
from 200
from 200</t>
        </r>
      </text>
    </comment>
    <comment ref="DY40" authorId="0">
      <text>
        <r>
          <rPr>
            <b/>
            <sz val="9"/>
            <color indexed="81"/>
            <rFont val="Tahoma"/>
            <family val="2"/>
          </rPr>
          <t>Sinkevicius, Armintas (Research):</t>
        </r>
        <r>
          <rPr>
            <sz val="9"/>
            <color indexed="81"/>
            <rFont val="Tahoma"/>
            <family val="2"/>
          </rPr>
          <t xml:space="preserve">
from 100
from 375</t>
        </r>
      </text>
    </comment>
    <comment ref="DZ40" authorId="0">
      <text>
        <r>
          <rPr>
            <b/>
            <sz val="9"/>
            <color indexed="81"/>
            <rFont val="Tahoma"/>
            <family val="2"/>
          </rPr>
          <t>Sinkevicius, Armintas (Research):</t>
        </r>
        <r>
          <rPr>
            <sz val="9"/>
            <color indexed="81"/>
            <rFont val="Tahoma"/>
            <family val="2"/>
          </rPr>
          <t xml:space="preserve">
from 150</t>
        </r>
      </text>
    </comment>
    <comment ref="CS47" authorId="0">
      <text>
        <r>
          <rPr>
            <b/>
            <sz val="9"/>
            <color indexed="81"/>
            <rFont val="Tahoma"/>
            <family val="2"/>
          </rPr>
          <t>Sinkevicius, Armintas (Research):</t>
        </r>
        <r>
          <rPr>
            <sz val="9"/>
            <color indexed="81"/>
            <rFont val="Tahoma"/>
            <family val="2"/>
          </rPr>
          <t xml:space="preserve">
Grupo Antolin</t>
        </r>
      </text>
    </comment>
    <comment ref="DY69" authorId="0">
      <text>
        <r>
          <rPr>
            <b/>
            <sz val="9"/>
            <color indexed="81"/>
            <rFont val="Tahoma"/>
            <family val="2"/>
          </rPr>
          <t>Sinkevicius, Armintas (Research):</t>
        </r>
        <r>
          <rPr>
            <sz val="9"/>
            <color indexed="81"/>
            <rFont val="Tahoma"/>
            <family val="2"/>
          </rPr>
          <t xml:space="preserve">
21400 - 21600
FX @ 1.23 v. 1.18
+$351M
21851 @ Midpoint</t>
        </r>
      </text>
    </comment>
    <comment ref="DY71" authorId="0">
      <text>
        <r>
          <rPr>
            <b/>
            <sz val="9"/>
            <color indexed="81"/>
            <rFont val="Tahoma"/>
            <family val="2"/>
          </rPr>
          <t>Sinkevicius, Armintas (Research):</t>
        </r>
        <r>
          <rPr>
            <sz val="9"/>
            <color indexed="81"/>
            <rFont val="Tahoma"/>
            <family val="2"/>
          </rPr>
          <t xml:space="preserve">
+3.5%</t>
        </r>
      </text>
    </comment>
    <comment ref="DY75" authorId="0">
      <text>
        <r>
          <rPr>
            <b/>
            <sz val="9"/>
            <color indexed="81"/>
            <rFont val="Tahoma"/>
            <family val="2"/>
          </rPr>
          <t>Sinkevicius, Armintas (Research):</t>
        </r>
        <r>
          <rPr>
            <sz val="9"/>
            <color indexed="81"/>
            <rFont val="Tahoma"/>
            <family val="2"/>
          </rPr>
          <t xml:space="preserve">
Low to Mid 8%</t>
        </r>
      </text>
    </comment>
    <comment ref="DY86" authorId="0">
      <text>
        <r>
          <rPr>
            <b/>
            <sz val="9"/>
            <color indexed="81"/>
            <rFont val="Tahoma"/>
            <family val="2"/>
          </rPr>
          <t>Sinkevicius, Armintas (Research):</t>
        </r>
        <r>
          <rPr>
            <sz val="9"/>
            <color indexed="81"/>
            <rFont val="Tahoma"/>
            <family val="2"/>
          </rPr>
          <t xml:space="preserve">
Low to Mid 14%</t>
        </r>
      </text>
    </comment>
    <comment ref="DY100" authorId="0">
      <text>
        <r>
          <rPr>
            <b/>
            <sz val="9"/>
            <color indexed="81"/>
            <rFont val="Tahoma"/>
            <family val="2"/>
          </rPr>
          <t>Sinkevicius, Armintas (Research):</t>
        </r>
        <r>
          <rPr>
            <sz val="9"/>
            <color indexed="81"/>
            <rFont val="Tahoma"/>
            <family val="2"/>
          </rPr>
          <t xml:space="preserve">
1750 - 1775
+ FX @ 1798 @ Midpoint</t>
        </r>
      </text>
    </comment>
    <comment ref="CW126" authorId="0">
      <text>
        <r>
          <rPr>
            <b/>
            <sz val="9"/>
            <color indexed="81"/>
            <rFont val="Tahoma"/>
            <family val="2"/>
          </rPr>
          <t>Sinkevicius, Armintas (Research):</t>
        </r>
        <r>
          <rPr>
            <sz val="9"/>
            <color indexed="81"/>
            <rFont val="Tahoma"/>
            <family val="2"/>
          </rPr>
          <t xml:space="preserve">
March 30, 2018</t>
        </r>
      </text>
    </comment>
    <comment ref="CW129" authorId="0">
      <text>
        <r>
          <rPr>
            <b/>
            <sz val="9"/>
            <color indexed="81"/>
            <rFont val="Tahoma"/>
            <family val="2"/>
          </rPr>
          <t>Sinkevicius, Armintas (Research):</t>
        </r>
        <r>
          <rPr>
            <sz val="9"/>
            <color indexed="81"/>
            <rFont val="Tahoma"/>
            <family val="2"/>
          </rPr>
          <t xml:space="preserve">
March 30, 2018</t>
        </r>
      </text>
    </comment>
  </commentList>
</comments>
</file>

<file path=xl/comments5.xml><?xml version="1.0" encoding="utf-8"?>
<comments xmlns="http://schemas.openxmlformats.org/spreadsheetml/2006/main">
  <authors>
    <author>Sinkevicius, Armintas (Research)</author>
  </authors>
  <commentList>
    <comment ref="R18" authorId="0">
      <text>
        <r>
          <rPr>
            <b/>
            <sz val="9"/>
            <color indexed="81"/>
            <rFont val="Tahoma"/>
            <family val="2"/>
          </rPr>
          <t>Sinkevicius, Armintas (Research):</t>
        </r>
        <r>
          <rPr>
            <sz val="9"/>
            <color indexed="81"/>
            <rFont val="Tahoma"/>
            <family val="2"/>
          </rPr>
          <t xml:space="preserve">
+</t>
        </r>
      </text>
    </comment>
    <comment ref="C21" authorId="0">
      <text>
        <r>
          <rPr>
            <b/>
            <sz val="9"/>
            <color indexed="81"/>
            <rFont val="Tahoma"/>
            <family val="2"/>
          </rPr>
          <t>Sinkevicius, Armintas (Research):</t>
        </r>
        <r>
          <rPr>
            <sz val="9"/>
            <color indexed="81"/>
            <rFont val="Tahoma"/>
            <family val="2"/>
          </rPr>
          <t xml:space="preserve">
+ Equity in Income Affiliates</t>
        </r>
      </text>
    </comment>
  </commentList>
</comments>
</file>

<file path=xl/comments6.xml><?xml version="1.0" encoding="utf-8"?>
<comments xmlns="http://schemas.openxmlformats.org/spreadsheetml/2006/main">
  <authors>
    <author>Sinkevicius, Armintas (Research)</author>
  </authors>
  <commentList>
    <comment ref="C20" authorId="0">
      <text>
        <r>
          <rPr>
            <b/>
            <sz val="9"/>
            <color indexed="81"/>
            <rFont val="Tahoma"/>
            <family val="2"/>
          </rPr>
          <t>Sinkevicius, Armintas (Research):</t>
        </r>
        <r>
          <rPr>
            <sz val="9"/>
            <color indexed="81"/>
            <rFont val="Tahoma"/>
            <family val="2"/>
          </rPr>
          <t xml:space="preserve">
+ Equity in Income Affiliates</t>
        </r>
      </text>
    </comment>
  </commentList>
</comments>
</file>

<file path=xl/comments7.xml><?xml version="1.0" encoding="utf-8"?>
<comments xmlns="http://schemas.openxmlformats.org/spreadsheetml/2006/main">
  <authors>
    <author>Sinkevicius, Armintas (Research)</author>
  </authors>
  <commentList>
    <comment ref="Q19" authorId="0">
      <text>
        <r>
          <rPr>
            <b/>
            <sz val="9"/>
            <color indexed="81"/>
            <rFont val="Tahoma"/>
            <family val="2"/>
          </rPr>
          <t>Sinkevicius, Armintas (Research):</t>
        </r>
        <r>
          <rPr>
            <sz val="9"/>
            <color indexed="81"/>
            <rFont val="Tahoma"/>
            <family val="2"/>
          </rPr>
          <t xml:space="preserve">
+</t>
        </r>
      </text>
    </comment>
    <comment ref="M33" authorId="0">
      <text>
        <r>
          <rPr>
            <b/>
            <sz val="9"/>
            <color indexed="81"/>
            <rFont val="Tahoma"/>
            <family val="2"/>
          </rPr>
          <t>Sinkevicius, Armintas (Research):</t>
        </r>
        <r>
          <rPr>
            <sz val="9"/>
            <color indexed="81"/>
            <rFont val="Tahoma"/>
            <family val="2"/>
          </rPr>
          <t xml:space="preserve">
+</t>
        </r>
      </text>
    </comment>
    <comment ref="Q33" authorId="0">
      <text>
        <r>
          <rPr>
            <b/>
            <sz val="9"/>
            <color indexed="81"/>
            <rFont val="Tahoma"/>
            <family val="2"/>
          </rPr>
          <t>Sinkevicius, Armintas (Research):</t>
        </r>
        <r>
          <rPr>
            <sz val="9"/>
            <color indexed="81"/>
            <rFont val="Tahoma"/>
            <family val="2"/>
          </rPr>
          <t xml:space="preserve">
+</t>
        </r>
      </text>
    </comment>
  </commentList>
</comments>
</file>

<file path=xl/sharedStrings.xml><?xml version="1.0" encoding="utf-8"?>
<sst xmlns="http://schemas.openxmlformats.org/spreadsheetml/2006/main" count="1231" uniqueCount="774">
  <si>
    <t>USD</t>
  </si>
  <si>
    <t>NA</t>
  </si>
  <si>
    <t>1Q07</t>
  </si>
  <si>
    <t>2Q07</t>
  </si>
  <si>
    <t>3Q07</t>
  </si>
  <si>
    <t>4Q04</t>
  </si>
  <si>
    <t>1Q04</t>
  </si>
  <si>
    <t>2Q04</t>
  </si>
  <si>
    <t>3Q04</t>
  </si>
  <si>
    <t>2Q05</t>
  </si>
  <si>
    <t>4Q05</t>
  </si>
  <si>
    <t>4Q12</t>
  </si>
  <si>
    <t>Statutory Tax Rate</t>
  </si>
  <si>
    <t>4Q09</t>
  </si>
  <si>
    <t>Goodwill</t>
  </si>
  <si>
    <t>EBITDA</t>
  </si>
  <si>
    <t>4Q13</t>
  </si>
  <si>
    <t>Total Current Assets</t>
  </si>
  <si>
    <t>Long Term Debt</t>
  </si>
  <si>
    <t>Total Liabilities &amp; Shareholders' Equity</t>
  </si>
  <si>
    <t>Check</t>
  </si>
  <si>
    <t>Description</t>
  </si>
  <si>
    <t xml:space="preserve"> </t>
  </si>
  <si>
    <t>Total Current Liabilities</t>
  </si>
  <si>
    <t>Accounts Payable</t>
  </si>
  <si>
    <t>Restructuring Costs</t>
  </si>
  <si>
    <t>1Q13</t>
  </si>
  <si>
    <t>Reported Net Income (for MW)</t>
  </si>
  <si>
    <t>1Q98</t>
  </si>
  <si>
    <t>2Q98</t>
  </si>
  <si>
    <t>3Q98</t>
  </si>
  <si>
    <t>4Q98</t>
  </si>
  <si>
    <t>1Q97</t>
  </si>
  <si>
    <t>2Q97</t>
  </si>
  <si>
    <t>3Q97</t>
  </si>
  <si>
    <t>4Q97</t>
  </si>
  <si>
    <t>1Q96</t>
  </si>
  <si>
    <t>2Q96</t>
  </si>
  <si>
    <t>3Q96</t>
  </si>
  <si>
    <t>4Q96</t>
  </si>
  <si>
    <t>1Q95</t>
  </si>
  <si>
    <t>2Q95</t>
  </si>
  <si>
    <t>3Q95</t>
  </si>
  <si>
    <t>4Q95</t>
  </si>
  <si>
    <t>1Q94</t>
  </si>
  <si>
    <t>2Q94</t>
  </si>
  <si>
    <t>3Q94</t>
  </si>
  <si>
    <t>4Q94</t>
  </si>
  <si>
    <t>Corporate &amp; Other</t>
  </si>
  <si>
    <t>Current Portion of Long Term Debt</t>
  </si>
  <si>
    <t>Retained Earnings</t>
  </si>
  <si>
    <t>LEA.N</t>
  </si>
  <si>
    <t>Lear Corporation</t>
  </si>
  <si>
    <t>Other</t>
  </si>
  <si>
    <t>Amortization of Intangible Assets</t>
  </si>
  <si>
    <t>Total EBIT</t>
  </si>
  <si>
    <t>Accrued Liabilities</t>
  </si>
  <si>
    <t>Deferred Taxes</t>
  </si>
  <si>
    <t>Common Stock</t>
  </si>
  <si>
    <t>Convertible Preferred Stock</t>
  </si>
  <si>
    <t>Additional Paid in Capital</t>
  </si>
  <si>
    <t>Treasury Stock</t>
  </si>
  <si>
    <t>Debt Issuance Costs</t>
  </si>
  <si>
    <t>Interior</t>
  </si>
  <si>
    <t>Increase / Decrease in Drafts</t>
  </si>
  <si>
    <t>North America</t>
  </si>
  <si>
    <t>Content Per Vehicle</t>
  </si>
  <si>
    <t>2Q10</t>
  </si>
  <si>
    <t>B570P91</t>
  </si>
  <si>
    <t>$</t>
  </si>
  <si>
    <t>LEA.N,mscalc:targetPrice</t>
  </si>
  <si>
    <t>LEA.N,mstag:statutoryTaxRate,2012FY,,FYR</t>
  </si>
  <si>
    <t>0.35</t>
  </si>
  <si>
    <t>LEA.N,mstag:statutoryTaxRate,2011FY,,FYR</t>
  </si>
  <si>
    <t>LEA.N,mstag:statutoryTaxRate,2014FY,,FYR</t>
  </si>
  <si>
    <t>LEA.N,mstag:revenueNet,2009FY,,FYR,,,IN-PROGRESS</t>
  </si>
  <si>
    <t>LEA.N,mstag:statutoryTaxRate,2005FY,,FYR</t>
  </si>
  <si>
    <t>LEA.N,mstag:statutoryTaxRate,2003FY,,FYR</t>
  </si>
  <si>
    <t>LEA.N,mstag:statutoryTaxRate,2004FY,,FYR</t>
  </si>
  <si>
    <t>LEA.N,mstag:statutoryTaxRate,2007FY,,FYR</t>
  </si>
  <si>
    <t>LEA.N,mstag:statutoryTaxRate,2016FY,,FYR</t>
  </si>
  <si>
    <t>LEA.N,mstag:statutoryTaxRate,2010FY,,FYR</t>
  </si>
  <si>
    <t>LEA.N,mstag:statutoryTaxRate,2006FY,,FYR</t>
  </si>
  <si>
    <t>LEA.N,mstag:statutoryTaxRate,2013FY,,FYR</t>
  </si>
  <si>
    <t>LEA.N,mstag:statutoryTaxRate,2009FY,,FYR</t>
  </si>
  <si>
    <t>LEA.N,mstag:statutoryTaxRate,2008FY,,FYR</t>
  </si>
  <si>
    <t>LEA.N,mstag:statutoryTaxRate,2015FY,,FYR</t>
  </si>
  <si>
    <t>3Q12</t>
  </si>
  <si>
    <t>2Q11</t>
  </si>
  <si>
    <t>3Q11</t>
  </si>
  <si>
    <t>Bull Case</t>
  </si>
  <si>
    <t>Bear Case</t>
  </si>
  <si>
    <t>Price Target</t>
  </si>
  <si>
    <t>Currency</t>
  </si>
  <si>
    <t>2Q13</t>
  </si>
  <si>
    <t>Current Stock Price</t>
  </si>
  <si>
    <t>Count</t>
  </si>
  <si>
    <t>1Q12</t>
  </si>
  <si>
    <t>90</t>
  </si>
  <si>
    <t>LEA.N,mscalc:sedolCodeCalc</t>
  </si>
  <si>
    <t>LEA.N,mscalc:closePriceCurrencyCalc</t>
  </si>
  <si>
    <t>LEA.N,mscalc:targetPrice,,,,USD</t>
  </si>
  <si>
    <t>Cost of Debt</t>
  </si>
  <si>
    <t>Cost of Equity</t>
  </si>
  <si>
    <t>Tax Rate</t>
  </si>
  <si>
    <t>Enterprise Value</t>
  </si>
  <si>
    <t>MSe</t>
  </si>
  <si>
    <t>Debt / Capital</t>
  </si>
  <si>
    <t>Change in Working Capital</t>
  </si>
  <si>
    <t>Taxes</t>
  </si>
  <si>
    <t>Risk Free Rate</t>
  </si>
  <si>
    <t>Equity / Capital</t>
  </si>
  <si>
    <t>Terminal Growth</t>
  </si>
  <si>
    <t>Equity Value</t>
  </si>
  <si>
    <t>Fair Value</t>
  </si>
  <si>
    <t>Segment Breakdown</t>
  </si>
  <si>
    <t>1Q14</t>
  </si>
  <si>
    <t>1Q11</t>
  </si>
  <si>
    <t>3Q10</t>
  </si>
  <si>
    <t>4Q11</t>
  </si>
  <si>
    <t>1Q02</t>
  </si>
  <si>
    <t>2Q02</t>
  </si>
  <si>
    <t>3Q02</t>
  </si>
  <si>
    <t>4Q02</t>
  </si>
  <si>
    <t>1Q03</t>
  </si>
  <si>
    <t>2Q03</t>
  </si>
  <si>
    <t>3Q03</t>
  </si>
  <si>
    <t>4Q03</t>
  </si>
  <si>
    <t>1Q05</t>
  </si>
  <si>
    <t>3Q05</t>
  </si>
  <si>
    <t>1Q06</t>
  </si>
  <si>
    <t>2Q06</t>
  </si>
  <si>
    <t>3Q06</t>
  </si>
  <si>
    <t>4Q06</t>
  </si>
  <si>
    <t>Period End Basic Shares O/S</t>
  </si>
  <si>
    <t>Basic EPS</t>
  </si>
  <si>
    <t>Interest Rate</t>
  </si>
  <si>
    <t>2Q12</t>
  </si>
  <si>
    <t>Gross Profit</t>
  </si>
  <si>
    <t>Change in Cash</t>
  </si>
  <si>
    <t>Unrecorded Goodwill</t>
  </si>
  <si>
    <t>Capital Expenditures</t>
  </si>
  <si>
    <t>Net Debt</t>
  </si>
  <si>
    <t>Revenue</t>
  </si>
  <si>
    <t>Cash</t>
  </si>
  <si>
    <t>4Q10</t>
  </si>
  <si>
    <t>Total Revenue</t>
  </si>
  <si>
    <t>3Q13</t>
  </si>
  <si>
    <t>1Q10</t>
  </si>
  <si>
    <t>Interest Expense</t>
  </si>
  <si>
    <t>1Q01</t>
  </si>
  <si>
    <t>2Q01</t>
  </si>
  <si>
    <t>3Q01</t>
  </si>
  <si>
    <t>4Q01</t>
  </si>
  <si>
    <t>1Q00</t>
  </si>
  <si>
    <t>2Q00</t>
  </si>
  <si>
    <t>3Q00</t>
  </si>
  <si>
    <t>4Q00</t>
  </si>
  <si>
    <t>1Q99</t>
  </si>
  <si>
    <t>2Q99</t>
  </si>
  <si>
    <t>3Q99</t>
  </si>
  <si>
    <t>4Q99</t>
  </si>
  <si>
    <t>This sheet contains Factset binary data for use with this workbook's =FDS codes.  Modifying the worksheet's contents may damage the workbook's =FDS functionality.</t>
  </si>
  <si>
    <t>Diluted EPS</t>
  </si>
  <si>
    <t>Inventories</t>
  </si>
  <si>
    <t>Total Assets</t>
  </si>
  <si>
    <t>3Q09</t>
  </si>
  <si>
    <t>Operating Income</t>
  </si>
  <si>
    <t>Days Receivables</t>
  </si>
  <si>
    <t>Days Payables</t>
  </si>
  <si>
    <t>4Q07</t>
  </si>
  <si>
    <t>1Q08</t>
  </si>
  <si>
    <t>2Q08</t>
  </si>
  <si>
    <t>3Q08</t>
  </si>
  <si>
    <t>4Q08</t>
  </si>
  <si>
    <t>2Q09</t>
  </si>
  <si>
    <t>Net Income</t>
  </si>
  <si>
    <t>Free Cash Flow</t>
  </si>
  <si>
    <t>Extraordinary Items</t>
  </si>
  <si>
    <t>$AL$3</t>
  </si>
  <si>
    <t>2Q14</t>
  </si>
  <si>
    <t>3Q14</t>
  </si>
  <si>
    <t>4Q14</t>
  </si>
  <si>
    <t>1Q15</t>
  </si>
  <si>
    <t>2Q15</t>
  </si>
  <si>
    <t>3Q15</t>
  </si>
  <si>
    <t>Working Capital</t>
  </si>
  <si>
    <t>Total Debt</t>
  </si>
  <si>
    <t>4Q15</t>
  </si>
  <si>
    <t>1Q16</t>
  </si>
  <si>
    <t>2Q16</t>
  </si>
  <si>
    <t>3Q16</t>
  </si>
  <si>
    <t>1Q17</t>
  </si>
  <si>
    <t>2Q17</t>
  </si>
  <si>
    <t>4Q16</t>
  </si>
  <si>
    <t>Cons</t>
  </si>
  <si>
    <t>Earnings Variance v. Results</t>
  </si>
  <si>
    <t>Income Statement ($MM)</t>
  </si>
  <si>
    <t>Old</t>
  </si>
  <si>
    <t>∆</t>
  </si>
  <si>
    <t>v. Cons</t>
  </si>
  <si>
    <t>v. MSe</t>
  </si>
  <si>
    <t>COGS</t>
  </si>
  <si>
    <t>% Margin</t>
  </si>
  <si>
    <t>% Gross Margin</t>
  </si>
  <si>
    <t>SG&amp;A</t>
  </si>
  <si>
    <t>% of Sales</t>
  </si>
  <si>
    <t>Pre-Tax Earnings</t>
  </si>
  <si>
    <t>Provision for Income Taxes</t>
  </si>
  <si>
    <t>% Tax Rate</t>
  </si>
  <si>
    <t>Minority Interest</t>
  </si>
  <si>
    <t>Diluted Common Shares Outstanding</t>
  </si>
  <si>
    <t>Lear Corporation (LEA)</t>
  </si>
  <si>
    <t>Amortization</t>
  </si>
  <si>
    <t>Seating</t>
  </si>
  <si>
    <t>E-Systems</t>
  </si>
  <si>
    <t>Segment Earnings</t>
  </si>
  <si>
    <t>Other Income / Expense</t>
  </si>
  <si>
    <t>Core Operating Earnings</t>
  </si>
  <si>
    <t>Depreciation &amp; Amortization</t>
  </si>
  <si>
    <t>Adjusted Net Income</t>
  </si>
  <si>
    <t>Adjusted EPS</t>
  </si>
  <si>
    <t>$ Difference</t>
  </si>
  <si>
    <t>% Difference</t>
  </si>
  <si>
    <t>Adjusted EBITDA</t>
  </si>
  <si>
    <t xml:space="preserve">1Q09 </t>
  </si>
  <si>
    <t>2018e</t>
  </si>
  <si>
    <t>2019e</t>
  </si>
  <si>
    <t>2020e</t>
  </si>
  <si>
    <t>Balance Sheet ($MM)</t>
  </si>
  <si>
    <t>Cash Flow Statement ($MM)</t>
  </si>
  <si>
    <t>Segments ($MM)</t>
  </si>
  <si>
    <t>Valuation</t>
  </si>
  <si>
    <t>% Upside / Downside</t>
  </si>
  <si>
    <t>Valuation Multiples</t>
  </si>
  <si>
    <t>DCF</t>
  </si>
  <si>
    <t>Current Multiples</t>
  </si>
  <si>
    <t>P / E</t>
  </si>
  <si>
    <t>(x) Diluted Shares Outstanding</t>
  </si>
  <si>
    <t>EV / EBITDA</t>
  </si>
  <si>
    <t>% Y / Y</t>
  </si>
  <si>
    <t>CAGR</t>
  </si>
  <si>
    <t>% Capital Intensity</t>
  </si>
  <si>
    <t>Unlevered Free Cash Flow</t>
  </si>
  <si>
    <t>Period Discount Factor</t>
  </si>
  <si>
    <t>Discount Factor</t>
  </si>
  <si>
    <t>NPV of Free Cash Flows</t>
  </si>
  <si>
    <t>NPV of Terminal Value</t>
  </si>
  <si>
    <t>Equity Risk Free Rate</t>
  </si>
  <si>
    <t>Share Count</t>
  </si>
  <si>
    <t>Weighted Average Cost of Capital</t>
  </si>
  <si>
    <t>Changes to Estimates</t>
  </si>
  <si>
    <t>E Systems</t>
  </si>
  <si>
    <t>% Interest Rate</t>
  </si>
  <si>
    <t>Accounts Receivable</t>
  </si>
  <si>
    <t>Property, Plant &amp; Equipment</t>
  </si>
  <si>
    <t>Short Term Debt</t>
  </si>
  <si>
    <t>Total Liabilities</t>
  </si>
  <si>
    <t>Total Shareholders' Equity</t>
  </si>
  <si>
    <t>Accumulated Other Comprehensive Loss</t>
  </si>
  <si>
    <t>Non Controlling Interests</t>
  </si>
  <si>
    <t>Net Debt / EBITDA</t>
  </si>
  <si>
    <t>Adjusted Operating Income</t>
  </si>
  <si>
    <t>Pre Tax Income</t>
  </si>
  <si>
    <t>Discontinued Operations</t>
  </si>
  <si>
    <t>Modelware EPS</t>
  </si>
  <si>
    <t>Basic Common Shares Outstanding</t>
  </si>
  <si>
    <t>Continued Operations</t>
  </si>
  <si>
    <t>Deferred Income Tax</t>
  </si>
  <si>
    <t>Sold Accounts Receivable</t>
  </si>
  <si>
    <t>Recoverable Engineering &amp; Development</t>
  </si>
  <si>
    <t>Cash From Operating Activities</t>
  </si>
  <si>
    <t>Acquisition</t>
  </si>
  <si>
    <t>Cash From Investing Activities</t>
  </si>
  <si>
    <t>Stock Options</t>
  </si>
  <si>
    <t>Stock Repurchase</t>
  </si>
  <si>
    <t>Dividends</t>
  </si>
  <si>
    <t>Cash From Financing Activities</t>
  </si>
  <si>
    <t>Exchange Rate</t>
  </si>
  <si>
    <t>Cash Balance, Beginning</t>
  </si>
  <si>
    <t>Cash Balance, Ending</t>
  </si>
  <si>
    <t>per Share</t>
  </si>
  <si>
    <t>EMEA</t>
  </si>
  <si>
    <t>Asia</t>
  </si>
  <si>
    <t>South America</t>
  </si>
  <si>
    <t>Revenue by Geography</t>
  </si>
  <si>
    <t>Dividend Per Share</t>
  </si>
  <si>
    <t>Share Repurchase ($MM)</t>
  </si>
  <si>
    <t>Shares Repurchased</t>
  </si>
  <si>
    <t>Average Share Price</t>
  </si>
  <si>
    <t>Days Supply</t>
  </si>
  <si>
    <t>LTM</t>
  </si>
  <si>
    <t>Leverage</t>
  </si>
  <si>
    <t>Capital Intensity</t>
  </si>
  <si>
    <t>Capex (% of Revenue)</t>
  </si>
  <si>
    <t>Depreciation (% of PP&amp;E)</t>
  </si>
  <si>
    <t>Depreciation (% of Capex)</t>
  </si>
  <si>
    <t>Modelware</t>
  </si>
  <si>
    <t>Guidance History</t>
  </si>
  <si>
    <t>ANNUAL GUIDANCE</t>
  </si>
  <si>
    <t>3Q17</t>
  </si>
  <si>
    <t>Tax Expense</t>
  </si>
  <si>
    <t>3Q</t>
  </si>
  <si>
    <t>2Q</t>
  </si>
  <si>
    <t>1Q</t>
  </si>
  <si>
    <t>4Q</t>
  </si>
  <si>
    <t>$ Q / Q</t>
  </si>
  <si>
    <t>Y / Y</t>
  </si>
  <si>
    <t>$ Y / Y</t>
  </si>
  <si>
    <t>$ 2 Year</t>
  </si>
  <si>
    <t>% Q / Q</t>
  </si>
  <si>
    <t>% 2 Year</t>
  </si>
  <si>
    <t>Q / Q</t>
  </si>
  <si>
    <t>2 Year</t>
  </si>
  <si>
    <t>% Increase</t>
  </si>
  <si>
    <t>(+) Cash</t>
  </si>
  <si>
    <t>(-) Debt</t>
  </si>
  <si>
    <t>(-) Pension</t>
  </si>
  <si>
    <t>(-) OPEB</t>
  </si>
  <si>
    <t>Adjusted Beta</t>
  </si>
  <si>
    <t>Sum of the Parts</t>
  </si>
  <si>
    <t>Bear</t>
  </si>
  <si>
    <t>Base</t>
  </si>
  <si>
    <t>Bull</t>
  </si>
  <si>
    <t>Diluted Shares Outstanding</t>
  </si>
  <si>
    <t>Share Price</t>
  </si>
  <si>
    <t>Current Price</t>
  </si>
  <si>
    <t>Backlog</t>
  </si>
  <si>
    <t>E  Systems</t>
  </si>
  <si>
    <t>% of Total Revenue</t>
  </si>
  <si>
    <t>MSe v. Cons</t>
  </si>
  <si>
    <t>%</t>
  </si>
  <si>
    <t>% Segment Margin</t>
  </si>
  <si>
    <t>Adjusted Tax Expense</t>
  </si>
  <si>
    <t>∆ EPS</t>
  </si>
  <si>
    <t>4Q17</t>
  </si>
  <si>
    <t>2018 Outlook</t>
  </si>
  <si>
    <t>Global Production</t>
  </si>
  <si>
    <t>% of Backlog</t>
  </si>
  <si>
    <t>v. Global Production</t>
  </si>
  <si>
    <t>Japan / Korea</t>
  </si>
  <si>
    <t>% Geographically Adjusted Growth</t>
  </si>
  <si>
    <t>P / FCF</t>
  </si>
  <si>
    <t>Morgan Stanley</t>
  </si>
  <si>
    <t>Consensus</t>
  </si>
  <si>
    <t>Other / Equity Income</t>
  </si>
  <si>
    <t>End of Period Basic Shares Outstanding</t>
  </si>
  <si>
    <t>% Dilution</t>
  </si>
  <si>
    <t>Europe</t>
  </si>
  <si>
    <t>China</t>
  </si>
  <si>
    <t>Middle East / Africa</t>
  </si>
  <si>
    <t>South Asia</t>
  </si>
  <si>
    <t>% EMEA</t>
  </si>
  <si>
    <t>% Asia</t>
  </si>
  <si>
    <t>Revenue Drivers</t>
  </si>
  <si>
    <t>DCF Valuation</t>
  </si>
  <si>
    <t>(+) Debt</t>
  </si>
  <si>
    <t>(-) Cash</t>
  </si>
  <si>
    <t>(+) Minority Interest</t>
  </si>
  <si>
    <t>(+) Pension</t>
  </si>
  <si>
    <t>(+) OPEB</t>
  </si>
  <si>
    <t>(-) Minority Interest</t>
  </si>
  <si>
    <t>NOPAT</t>
  </si>
  <si>
    <t>ROIC</t>
  </si>
  <si>
    <t>Number of Employees</t>
  </si>
  <si>
    <t>v. Globally Adjusted Growth</t>
  </si>
  <si>
    <t>Low</t>
  </si>
  <si>
    <t>Mid</t>
  </si>
  <si>
    <t>High</t>
  </si>
  <si>
    <t>Cash Flow Statement (as % of Revenue)</t>
  </si>
  <si>
    <t>149</t>
  </si>
  <si>
    <t>1Q18e</t>
  </si>
  <si>
    <t>3Q18</t>
  </si>
  <si>
    <t>2Q18</t>
  </si>
  <si>
    <t>1Q18</t>
  </si>
  <si>
    <t>2Q18e</t>
  </si>
  <si>
    <t>3Q18e</t>
  </si>
  <si>
    <t>2021e</t>
  </si>
  <si>
    <t>2022e</t>
  </si>
  <si>
    <t>2023e</t>
  </si>
  <si>
    <t>4Q18e</t>
  </si>
  <si>
    <t>% Discount</t>
  </si>
  <si>
    <t>% Actual Results v. Midpoint of Guidance</t>
  </si>
  <si>
    <t>RMB to USD</t>
  </si>
  <si>
    <t>EUR to USD</t>
  </si>
  <si>
    <t>Ex. Currency</t>
  </si>
  <si>
    <t>% Implied Revenue Growth</t>
  </si>
  <si>
    <t>Actual Revenue Growth v. Backlog</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</si>
  <si>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</si>
  <si>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</si>
  <si>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</si>
  <si>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</si>
  <si>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</si>
  <si>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</si>
  <si>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</si>
  <si>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</si>
  <si>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Armintas Sinkevicius, Adam Jonas</t>
  </si>
  <si>
    <t>Date: 10 Apr 2018</t>
  </si>
  <si>
    <t>Ticker: LEA.N</t>
  </si>
  <si>
    <t>Stock Rating: Equal-Weight</t>
  </si>
  <si>
    <t>Industry: Autos &amp; Shared Mobility</t>
  </si>
  <si>
    <t>Industry View: Cautious</t>
  </si>
  <si>
    <t>Price as of 10 Apr 2018: 194.88</t>
  </si>
  <si>
    <t>Target Price: 191</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</si>
  <si>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</si>
  <si>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</si>
  <si>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</si>
  <si>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</si>
  <si>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Lear Corporation.</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</si>
  <si>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</si>
  <si>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</si>
  <si>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</si>
  <si>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</si>
  <si>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</si>
  <si>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</si>
  <si>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</si>
  <si>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</si>
  <si>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</si>
  <si>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</si>
  <si>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</si>
  <si>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</si>
  <si>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</si>
  <si>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</si>
  <si>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</si>
  <si>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Total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</si>
  <si>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</si>
  <si>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</si>
  <si>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</si>
  <si>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</si>
  <si>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</si>
  <si>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</si>
  <si>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</si>
  <si>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</si>
  <si>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</si>
  <si>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</si>
  <si>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</si>
  <si>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</si>
  <si>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</si>
  <si>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</si>
  <si>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</si>
  <si>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</si>
  <si>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</si>
  <si>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</si>
  <si>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</si>
  <si>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</si>
  <si>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</si>
  <si>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</si>
  <si>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</si>
  <si>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</si>
  <si>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</si>
  <si>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</si>
  <si>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</si>
  <si>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</si>
  <si>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</si>
  <si>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</si>
  <si>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</si>
  <si>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</si>
  <si>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</si>
  <si>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</si>
  <si>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</si>
  <si>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</si>
  <si>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</si>
  <si>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</si>
  <si>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</si>
  <si>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</si>
  <si>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</si>
  <si>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</si>
  <si>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</si>
  <si>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</si>
  <si>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</si>
  <si>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</si>
  <si>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</si>
  <si>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</si>
  <si>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</si>
  <si>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</si>
  <si>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</si>
  <si>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</si>
  <si>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</si>
  <si>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</si>
  <si>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</si>
  <si>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</si>
  <si>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</si>
  <si>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</si>
  <si>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</si>
  <si>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</si>
  <si>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</si>
  <si>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</si>
  <si>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</si>
  <si>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</si>
  <si>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</si>
  <si>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</si>
  <si>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</si>
  <si>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</si>
  <si>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</si>
  <si>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</si>
  <si>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</si>
  <si>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</si>
  <si>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</si>
  <si>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</si>
  <si>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</si>
  <si>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</si>
  <si>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</si>
  <si>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</si>
  <si>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</si>
  <si>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</si>
  <si>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</si>
  <si>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</si>
  <si>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</si>
  <si>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</si>
  <si>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</si>
  <si>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</si>
  <si>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</si>
  <si>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</si>
  <si>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</si>
  <si>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</si>
  <si>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</si>
  <si>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</si>
  <si>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</si>
  <si>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</si>
  <si>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</si>
  <si>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</si>
  <si>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</si>
  <si>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</si>
  <si>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</si>
  <si>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</si>
  <si>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</si>
  <si>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</si>
  <si>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</si>
  <si>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</si>
  <si>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</si>
  <si>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</si>
  <si>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</si>
  <si>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</si>
  <si>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</si>
  <si>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</si>
  <si>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</si>
  <si>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</si>
  <si>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</si>
  <si>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</si>
  <si>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</si>
  <si>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</si>
  <si>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</si>
  <si>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</si>
  <si>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</si>
  <si>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</si>
  <si>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</si>
  <si>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</si>
  <si>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</si>
  <si>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</si>
  <si>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</si>
  <si>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</si>
  <si>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</si>
  <si>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</si>
  <si>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</si>
  <si>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</si>
  <si>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</si>
  <si>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</si>
  <si>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</si>
  <si>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</si>
  <si>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</si>
  <si>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</si>
  <si>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</si>
  <si>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</si>
  <si>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</si>
  <si>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</si>
  <si>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</si>
  <si>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</si>
  <si>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</si>
  <si>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</si>
  <si>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</si>
  <si>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</si>
  <si>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</si>
  <si>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</si>
  <si>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</si>
  <si>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</si>
  <si>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</si>
  <si>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</si>
  <si>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</si>
  <si>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</si>
  <si>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</si>
  <si>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</si>
  <si>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</si>
  <si>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</si>
  <si>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</si>
  <si>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</si>
  <si>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</si>
  <si>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</si>
  <si>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</si>
  <si>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</si>
  <si>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</si>
  <si>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</si>
  <si>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</si>
  <si>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</si>
  <si>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</si>
  <si>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</si>
  <si>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</si>
  <si>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</si>
  <si>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</si>
  <si>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</si>
  <si>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</si>
  <si>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</si>
  <si>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</si>
  <si>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</si>
  <si>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</si>
  <si>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</si>
  <si>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</si>
  <si>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</si>
  <si>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</si>
  <si>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</si>
  <si>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</si>
  <si>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</si>
  <si>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</si>
  <si>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</si>
  <si>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</si>
  <si>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</si>
  <si>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</si>
  <si>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</si>
  <si>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</si>
  <si>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</si>
  <si>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</si>
  <si>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</si>
  <si>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</si>
  <si>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</si>
  <si>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</si>
  <si>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</si>
  <si>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</si>
  <si>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</si>
  <si>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</si>
  <si>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</si>
  <si>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</si>
  <si>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</si>
  <si>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</si>
  <si>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</si>
  <si>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</si>
  <si>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</si>
  <si>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</si>
  <si>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</si>
  <si>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</si>
  <si>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</si>
  <si>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</si>
  <si>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</si>
  <si>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</si>
  <si>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</si>
  <si>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</si>
  <si>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</si>
  <si>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</si>
  <si>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</si>
  <si>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</si>
  <si>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</si>
  <si>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</si>
  <si>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</si>
  <si>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</si>
  <si>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</si>
  <si>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Lear Corporation.</t>
  </si>
  <si>
    <t>Within the last 12 months, Morgan Stanley has provided or is providing investment banking services to,</t>
  </si>
  <si>
    <t>or has an investment banking client relationship with, the following company: Lear Corporation.</t>
  </si>
  <si>
    <t>Within the last 12 months, Morgan Stanley has received compensation for products and services other than</t>
  </si>
  <si>
    <t>investment banking services from Lear Corporation.</t>
  </si>
  <si>
    <t>In the next 3 months, Morgan Stanley expects to receive or intends to seek compensation for investment</t>
  </si>
  <si>
    <t>banking services from Lear Corporation.</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</si>
  <si>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</si>
  <si>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</si>
  <si>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</si>
  <si>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</si>
  <si>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</si>
  <si>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Armintas Sinkevicius, CFA, CPA.</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</si>
  <si>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</si>
  <si>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</si>
  <si>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</si>
  <si>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</si>
  <si>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</si>
  <si>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</si>
  <si>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</si>
  <si>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</si>
  <si>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</si>
  <si>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</si>
  <si>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</si>
  <si>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</si>
  <si>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</si>
  <si>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</si>
  <si>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</si>
  <si>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</si>
  <si>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</si>
  <si>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</si>
  <si>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</si>
  <si>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</si>
  <si>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</si>
  <si>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</si>
  <si>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</si>
  <si>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</si>
  <si>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</si>
  <si>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</si>
  <si>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</si>
  <si>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</si>
  <si>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</si>
  <si>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</si>
  <si>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</si>
  <si>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</si>
  <si>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</si>
  <si>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</si>
  <si>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</si>
  <si>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</si>
  <si>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</si>
  <si>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</si>
  <si>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</si>
  <si>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</si>
  <si>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</si>
  <si>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</si>
  <si>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</si>
  <si>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</si>
  <si>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</si>
  <si>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</si>
  <si>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</si>
  <si>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</si>
  <si>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</si>
  <si>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</si>
  <si>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</si>
  <si>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</si>
  <si>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</si>
  <si>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</si>
  <si>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</si>
  <si>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</si>
  <si>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</si>
  <si>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</si>
  <si>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</si>
  <si>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</si>
  <si>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</si>
  <si>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</si>
  <si>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</si>
  <si>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</si>
  <si>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</si>
  <si>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</si>
  <si>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</si>
  <si>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Equal-Weight / Cautious</t>
  </si>
  <si>
    <t>Regular Update</t>
  </si>
  <si>
    <t>NorthAmerica</t>
  </si>
  <si>
    <t>sinkevic</t>
  </si>
  <si>
    <t>MSA79FGM, MSA10866</t>
  </si>
  <si>
    <t>L:\AUTOS\Valuation\Models\LEA Model.xlsm</t>
  </si>
  <si>
    <t>[BRO MSA]</t>
  </si>
  <si>
    <t>[PRODUCT MODEL]</t>
  </si>
  <si>
    <t>[EMAIL_ALERT YES]</t>
  </si>
  <si>
    <t>[DISCIPLINE Company]</t>
  </si>
  <si>
    <t>[SUPPRESSED NO]</t>
  </si>
  <si>
    <t>[DOCDAT 2018-04-10]</t>
  </si>
  <si>
    <t>[DOCTIME 19:11]</t>
  </si>
  <si>
    <t>[PSYM LEA.N(S&amp;P) (None)]</t>
  </si>
  <si>
    <t>[COU 1]</t>
  </si>
  <si>
    <t>[ANA MSA10866]</t>
  </si>
  <si>
    <t>[HL LEA.N Model]</t>
  </si>
  <si>
    <t>[IND AUTMAN AUTPTS TIRRUB]</t>
  </si>
  <si>
    <t>[PANA MSA79FGM]</t>
  </si>
  <si>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selecting the Apply Circular Settings button below.</t>
    </r>
  </si>
  <si>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applying the following settings in the Tools &gt;&gt; Options &gt;&gt; Calculation dialog box:</t>
    </r>
  </si>
  <si>
    <t>Clicking the Apply Circular Settings button will display the model worksheets and make the following settings changes in the Tools &gt;&gt; Options &gt;&gt; Calculation dialog box:</t>
  </si>
  <si>
    <t>1) Select the Iteration check box</t>
  </si>
  <si>
    <t>Failure to apply these settings can result in incorrect calculation or unexpected termination of your Microsoft Excel session.</t>
  </si>
  <si>
    <t>2) Set Maximum Iterations = 100</t>
  </si>
  <si>
    <t>3) Set Maximum Change = 0.001</t>
  </si>
  <si>
    <t>Sheet Name</t>
  </si>
  <si>
    <t>Visible Status</t>
  </si>
  <si>
    <t>ImportantDisclosures</t>
  </si>
  <si>
    <t>SheetVisibilityStatus</t>
  </si>
  <si>
    <t>CircularReferenceAlert</t>
  </si>
  <si>
    <t>SOTP</t>
  </si>
  <si>
    <t>Financials</t>
  </si>
  <si>
    <t>MW-Cache</t>
  </si>
  <si>
    <t>__FDSCACHE__</t>
  </si>
  <si>
    <t>Segments</t>
  </si>
  <si>
    <t>Earnings</t>
  </si>
  <si>
    <t>Changes</t>
  </si>
  <si>
    <t>Guidance</t>
  </si>
  <si>
    <t>IndexInformation</t>
  </si>
  <si>
    <t>ModPubIndex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</si>
</sst>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5" formatCode="&quot;$&quot;#,##0_);\(&quot;$&quot;#,##0\)"/>
    <numFmt numFmtId="7" formatCode="&quot;$&quot;#,##0.00_);\(&quot;$&quot;#,##0.00\)"/>
    <numFmt numFmtId="8" formatCode="&quot;$&quot;#,##0.00_);[Red]\(&quot;$&quot;#,##0.00\)"/>
    <numFmt numFmtId="41" formatCode="_(* #,##0_);_(* \(#,##0\);_(* &quot;-&quot;_);_(@_)"/>
    <numFmt numFmtId="44" formatCode="_(&quot;$&quot;* #,##0.00_);_(&quot;$&quot;* \(#,##0.00\);_(&quot;$&quot;* &quot;-&quot;??_);_(@_)"/>
    <numFmt numFmtId="43" formatCode="_(* #,##0.00_);_(* \(#,##0.00\);_(* &quot;-&quot;??_);_(@_)"/>
    <numFmt numFmtId="164" formatCode="_(* #,##0.0_);_(* \(#,##0.0\);_(* &quot;-&quot;??_);_(@_)"/>
    <numFmt numFmtId="165" formatCode="_(* #,##0_);_(* \(#,##0\);_(* &quot;-&quot;??_);_(@_)"/>
    <numFmt numFmtId="166" formatCode="0.0%"/>
    <numFmt numFmtId="168" formatCode="_(&quot;$&quot;* #,##0_);_(&quot;$&quot;* \(#,##0\);_(&quot;$&quot;* &quot;-&quot;??_);_(@_)"/>
    <numFmt numFmtId="169" formatCode="#,##0.0_);\(#,##0.0\)"/>
    <numFmt numFmtId="172" formatCode="0.0\x"/>
    <numFmt numFmtId="173" formatCode="_(* #,##0.0%_);_(* \-#,##0.0%;_(* &quot;-&quot;??_);_(@_)"/>
    <numFmt numFmtId="180" formatCode="_ * #,##0_ ;_ * \-#,##0_ ;_ * &quot;-&quot;_ ;_ @_ "/>
    <numFmt numFmtId="181" formatCode="0.0&quot;x&quot;"/>
    <numFmt numFmtId="182" formatCode="0.0%_);\(0.0%\);&quot;–&quot;_)"/>
    <numFmt numFmtId="183" formatCode="#,##0.0_);\(#,##0.0\);\–_);&quot;–&quot;_)"/>
    <numFmt numFmtId="184" formatCode="0&quot;e&quot;"/>
    <numFmt numFmtId="190" formatCode="mm/dd/yy\ hh:mm"/>
  </numFmts>
  <fonts count="73">
    <font>
      <sz val="9"/>
      <name val="Arial"/>
    </font>
    <font>
      <sz val="10"/>
      <name val="Arial"/>
      <family val="2"/>
    </font>
    <font>
      <sz val="8"/>
      <name val="Arial"/>
      <family val="2"/>
    </font>
    <font>
      <sz val="8"/>
      <color indexed="81"/>
      <name val="Tahoma"/>
      <family val="2"/>
    </font>
    <font>
      <b/>
      <sz val="8"/>
      <color indexed="81"/>
      <name val="Tahoma"/>
      <family val="2"/>
    </font>
    <font>
      <sz val="10"/>
      <name val="Arial"/>
      <family val="2"/>
    </font>
    <font>
      <sz val="10"/>
      <name val="MS Sans Serif"/>
      <family val="2"/>
    </font>
    <font>
      <b/>
      <sz val="9"/>
      <name val="Arial"/>
      <family val="2"/>
    </font>
    <font>
      <sz val="9"/>
      <name val="Arial"/>
      <family val="2"/>
    </font>
    <font>
      <sz val="11"/>
      <name val="Arial"/>
      <family val="2"/>
    </font>
    <font>
      <sz val="9"/>
      <color indexed="18"/>
      <name val="Arial"/>
      <family val="2"/>
    </font>
    <font>
      <b/>
      <sz val="10"/>
      <color indexed="8"/>
      <name val="Times New Roman"/>
      <family val="1"/>
    </font>
    <font>
      <sz val="9"/>
      <name val="Times New Roman"/>
      <family val="1"/>
    </font>
    <font>
      <sz val="10"/>
      <color indexed="8"/>
      <name val="Times New Roman"/>
      <family val="1"/>
    </font>
    <font>
      <i/>
      <sz val="8"/>
      <name val="Times New Roman"/>
      <family val="1"/>
    </font>
    <font>
      <sz val="12"/>
      <name val="바탕체"/>
      <family val="1"/>
      <charset val="129"/>
    </font>
    <font>
      <sz val="10"/>
      <name val="Helv"/>
    </font>
    <font>
      <sz val="9"/>
      <color indexed="81"/>
      <name val="Tahoma"/>
      <family val="2"/>
    </font>
    <font>
      <b/>
      <sz val="9"/>
      <color indexed="81"/>
      <name val="Tahoma"/>
      <family val="2"/>
    </font>
    <font>
      <b/>
      <sz val="11"/>
      <color indexed="9"/>
      <name val="Calibri"/>
      <family val="2"/>
    </font>
    <font>
      <sz val="11"/>
      <name val="Calibri"/>
      <family val="2"/>
    </font>
    <font>
      <b/>
      <sz val="11"/>
      <name val="Calibri"/>
      <family val="2"/>
    </font>
    <font>
      <sz val="11"/>
      <color indexed="8"/>
      <name val="Calibri"/>
      <family val="2"/>
    </font>
    <font>
      <sz val="11"/>
      <color indexed="9"/>
      <name val="Calibri"/>
      <family val="2"/>
    </font>
    <font>
      <b/>
      <sz val="11"/>
      <color indexed="8"/>
      <name val="Calibri"/>
      <family val="2"/>
    </font>
    <font>
      <sz val="11"/>
      <color indexed="48"/>
      <name val="Calibri"/>
      <family val="2"/>
    </font>
    <font>
      <b/>
      <sz val="11"/>
      <color indexed="48"/>
      <name val="Calibri"/>
      <family val="2"/>
    </font>
    <font>
      <sz val="8"/>
      <name val="Times New Roman"/>
      <family val="1"/>
    </font>
    <font>
      <b/>
      <sz val="11"/>
      <color theme="0"/>
      <name val="Calibri"/>
      <family val="2"/>
      <scheme val="minor"/>
    </font>
    <font>
      <sz val="11"/>
      <color rgb="FFFF0000"/>
      <name val="Calibri"/>
      <family val="2"/>
      <scheme val="minor"/>
    </font>
    <font>
      <b/>
      <sz val="11"/>
      <color indexed="9"/>
      <name val="Calibri"/>
      <family val="2"/>
      <scheme val="minor"/>
    </font>
    <font>
      <sz val="11"/>
      <name val="Calibri"/>
      <family val="2"/>
      <scheme val="minor"/>
    </font>
    <font>
      <b/>
      <sz val="11"/>
      <name val="Calibri"/>
      <family val="2"/>
      <scheme val="minor"/>
    </font>
    <font>
      <b/>
      <i/>
      <sz val="11"/>
      <color theme="0"/>
      <name val="Calibri"/>
      <family val="2"/>
      <scheme val="minor"/>
    </font>
    <font>
      <sz val="11"/>
      <color rgb="FF0070C0"/>
      <name val="Calibri"/>
      <family val="2"/>
      <scheme val="minor"/>
    </font>
    <font>
      <b/>
      <sz val="11"/>
      <color rgb="FF0070C0"/>
      <name val="Calibri"/>
      <family val="2"/>
      <scheme val="minor"/>
    </font>
    <font>
      <b/>
      <sz val="11"/>
      <color indexed="10"/>
      <name val="Calibri"/>
      <family val="2"/>
      <scheme val="minor"/>
    </font>
    <font>
      <sz val="11"/>
      <color indexed="55"/>
      <name val="Calibri"/>
      <family val="2"/>
      <scheme val="minor"/>
    </font>
    <font>
      <sz val="11"/>
      <color indexed="18"/>
      <name val="Calibri"/>
      <family val="2"/>
      <scheme val="minor"/>
    </font>
    <font>
      <sz val="11"/>
      <color indexed="8"/>
      <name val="Calibri"/>
      <family val="2"/>
      <scheme val="minor"/>
    </font>
    <font>
      <sz val="11"/>
      <color indexed="17"/>
      <name val="Calibri"/>
      <family val="2"/>
      <scheme val="minor"/>
    </font>
    <font>
      <sz val="11"/>
      <color indexed="9"/>
      <name val="Calibri"/>
      <family val="2"/>
      <scheme val="minor"/>
    </font>
    <font>
      <b/>
      <sz val="11"/>
      <color rgb="FFF8F8F8"/>
      <name val="Calibri"/>
      <family val="2"/>
      <scheme val="minor"/>
    </font>
    <font>
      <sz val="11"/>
      <color rgb="FFF8F8F8"/>
      <name val="Calibri"/>
      <family val="2"/>
      <scheme val="minor"/>
    </font>
    <font>
      <sz val="11"/>
      <color theme="0" tint="-0.249977111117893"/>
      <name val="Calibri"/>
      <family val="2"/>
      <scheme val="minor"/>
    </font>
    <font>
      <sz val="11"/>
      <color indexed="48"/>
      <name val="Calibri"/>
      <family val="2"/>
      <scheme val="minor"/>
    </font>
    <font>
      <sz val="11"/>
      <color theme="4"/>
      <name val="Calibri"/>
      <family val="2"/>
      <scheme val="minor"/>
    </font>
    <font>
      <sz val="11"/>
      <color indexed="53"/>
      <name val="Calibri"/>
      <family val="2"/>
      <scheme val="minor"/>
    </font>
    <font>
      <sz val="11"/>
      <color indexed="23"/>
      <name val="Calibri"/>
      <family val="2"/>
      <scheme val="minor"/>
    </font>
    <font>
      <b/>
      <sz val="11"/>
      <color rgb="FFFFFFFF"/>
      <name val="Calibri"/>
      <family val="2"/>
      <scheme val="minor"/>
    </font>
    <font>
      <sz val="11"/>
      <color rgb="FFFFFFFF"/>
      <name val="Calibri"/>
      <family val="2"/>
      <scheme val="minor"/>
    </font>
    <font>
      <b/>
      <sz val="11"/>
      <color theme="3" tint="0.39997558519241921"/>
      <name val="Calibri"/>
      <family val="2"/>
      <scheme val="minor"/>
    </font>
    <font>
      <b/>
      <sz val="11"/>
      <color rgb="FFFF0000"/>
      <name val="Calibri"/>
      <family val="2"/>
      <scheme val="minor"/>
    </font>
    <font>
      <b/>
      <sz val="11"/>
      <color indexed="8"/>
      <name val="Calibri"/>
      <family val="2"/>
      <scheme val="minor"/>
    </font>
    <font>
      <sz val="11"/>
      <color indexed="12"/>
      <name val="Calibri"/>
      <family val="2"/>
      <scheme val="minor"/>
    </font>
    <font>
      <sz val="9"/>
      <color rgb="FF0070C0"/>
      <name val="Arial"/>
      <family val="2"/>
    </font>
    <font>
      <sz val="9"/>
      <color theme="0" tint="-0.249977111117893"/>
      <name val="Arial"/>
      <family val="2"/>
    </font>
    <font>
      <sz val="11"/>
      <color theme="0" tint="-0.249977111117893"/>
      <name val="Calibri"/>
      <family val="2"/>
    </font>
    <font>
      <sz val="11"/>
      <color rgb="FF0070C0"/>
      <name val="Calibri"/>
      <family val="2"/>
    </font>
    <font>
      <b/>
      <sz val="11"/>
      <color rgb="FF0070C0"/>
      <name val="Calibri"/>
      <family val="2"/>
    </font>
    <font>
      <b/>
      <sz val="11"/>
      <color indexed="11"/>
      <name val="Calibri"/>
      <family val="2"/>
      <scheme val="minor"/>
    </font>
    <font>
      <b/>
      <sz val="11"/>
      <color rgb="FFF8F8F8"/>
      <name val="Calibri"/>
      <family val="2"/>
    </font>
    <font>
      <sz val="11"/>
      <color rgb="FFF8F8F8"/>
      <name val="Calibri"/>
      <family val="2"/>
    </font>
    <font>
      <b/>
      <sz val="11"/>
      <color rgb="FFFF0000"/>
      <name val="Calibri"/>
      <family val="2"/>
    </font>
    <font>
      <sz val="11"/>
      <color rgb="FFFF0000"/>
      <name val="Calibri"/>
      <family val="2"/>
    </font>
    <font>
      <sz val="10"/>
      <name val="Courier"/>
      <family val="3"/>
    </font>
    <font>
      <i/>
      <sz val="10"/>
      <name val="Arial"/>
      <family val="2"/>
    </font>
    <font>
      <sz val="10"/>
      <color rgb="FF000000"/>
      <name val="Arial"/>
      <family val="2"/>
    </font>
    <font>
      <b/>
      <sz val="12"/>
      <color rgb="FF000080"/>
      <name val="Arial"/>
      <family val="2"/>
    </font>
    <font>
      <sz val="14"/>
      <name val="Arial"/>
      <family val="2"/>
    </font>
    <font>
      <u/>
      <sz val="14"/>
      <name val="Arial"/>
      <family val="2"/>
    </font>
    <font>
      <b/>
      <u/>
      <sz val="14"/>
      <color indexed="10"/>
      <name val="Arial"/>
      <family val="2"/>
    </font>
    <font>
      <b/>
      <sz val="18"/>
      <name val="Arial"/>
      <family val="2"/>
    </font>
  </fonts>
  <fills count="10">
    <fill>
      <patternFill patternType="none"/>
    </fill>
    <fill>
      <patternFill patternType="gray125"/>
    </fill>
    <fill>
      <patternFill patternType="solid">
        <fgColor indexed="43"/>
        <bgColor indexed="64"/>
      </patternFill>
    </fill>
    <fill>
      <patternFill patternType="solid">
        <fgColor rgb="FF0070C0"/>
        <bgColor indexed="64"/>
      </patternFill>
    </fill>
    <fill>
      <patternFill patternType="solid">
        <fgColor theme="0"/>
        <bgColor indexed="64"/>
      </patternFill>
    </fill>
    <fill>
      <patternFill patternType="solid">
        <fgColor rgb="FFFFFFFF"/>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indexed="65"/>
        <bgColor indexed="64"/>
      </patternFill>
    </fill>
  </fills>
  <borders count="76">
    <border>
      <left/>
      <right/>
      <top/>
      <bottom/>
      <diagonal/>
    </border>
    <border>
      <left style="medium">
        <color indexed="64"/>
      </left>
      <right style="thin">
        <color indexed="64"/>
      </right>
      <top style="thin">
        <color indexed="64"/>
      </top>
      <bottom style="thin">
        <color indexed="64"/>
      </bottom>
      <diagonal/>
    </border>
    <border>
      <left/>
      <right/>
      <top/>
      <bottom style="thin">
        <color indexed="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top/>
      <bottom style="thin">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style="medium">
        <color indexed="64"/>
      </left>
      <right/>
      <top/>
      <bottom style="thin">
        <color indexed="64"/>
      </bottom>
      <diagonal/>
    </border>
    <border>
      <left style="medium">
        <color indexed="64"/>
      </left>
      <right/>
      <top/>
      <bottom style="medium">
        <color indexed="64"/>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top style="thin">
        <color indexed="64"/>
      </top>
      <bottom/>
      <diagonal/>
    </border>
    <border>
      <left style="medium">
        <color indexed="64"/>
      </left>
      <right style="medium">
        <color indexed="64"/>
      </right>
      <top/>
      <bottom/>
      <diagonal/>
    </border>
    <border>
      <left style="thin">
        <color indexed="64"/>
      </left>
      <right/>
      <top/>
      <bottom/>
      <diagonal/>
    </border>
    <border>
      <left/>
      <right style="thin">
        <color indexed="64"/>
      </right>
      <top/>
      <bottom/>
      <diagonal/>
    </border>
    <border>
      <left/>
      <right style="medium">
        <color indexed="64"/>
      </right>
      <top style="medium">
        <color indexed="64"/>
      </top>
      <bottom style="medium">
        <color indexed="64"/>
      </bottom>
      <diagonal/>
    </border>
    <border>
      <left/>
      <right/>
      <top style="thin">
        <color indexed="64"/>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medium">
        <color indexed="64"/>
      </left>
      <right style="thin">
        <color theme="0" tint="-0.24994659260841701"/>
      </right>
      <top style="thin">
        <color theme="0" tint="-0.24994659260841701"/>
      </top>
      <bottom/>
      <diagonal/>
    </border>
    <border>
      <left style="thin">
        <color theme="0" tint="-0.24994659260841701"/>
      </left>
      <right style="medium">
        <color indexed="64"/>
      </right>
      <top style="thin">
        <color theme="0" tint="-0.24994659260841701"/>
      </top>
      <bottom/>
      <diagonal/>
    </border>
    <border>
      <left style="thin">
        <color theme="0" tint="-0.24994659260841701"/>
      </left>
      <right/>
      <top/>
      <bottom/>
      <diagonal/>
    </border>
    <border>
      <left style="medium">
        <color indexed="64"/>
      </left>
      <right style="thin">
        <color theme="0" tint="-0.24994659260841701"/>
      </right>
      <top/>
      <bottom/>
      <diagonal/>
    </border>
    <border>
      <left style="thin">
        <color theme="0" tint="-0.24994659260841701"/>
      </left>
      <right style="thin">
        <color theme="0" tint="-0.24994659260841701"/>
      </right>
      <top/>
      <bottom/>
      <diagonal/>
    </border>
    <border>
      <left style="thin">
        <color theme="0" tint="-0.24994659260841701"/>
      </left>
      <right style="medium">
        <color indexed="64"/>
      </right>
      <top/>
      <bottom/>
      <diagonal/>
    </border>
    <border>
      <left style="thin">
        <color theme="0" tint="-0.24994659260841701"/>
      </left>
      <right/>
      <top/>
      <bottom style="thin">
        <color theme="0" tint="-0.24994659260841701"/>
      </bottom>
      <diagonal/>
    </border>
    <border>
      <left style="medium">
        <color indexed="64"/>
      </left>
      <right style="thin">
        <color theme="0" tint="-0.24994659260841701"/>
      </right>
      <top/>
      <bottom style="medium">
        <color indexed="64"/>
      </bottom>
      <diagonal/>
    </border>
    <border>
      <left style="thin">
        <color theme="0" tint="-0.24994659260841701"/>
      </left>
      <right style="thin">
        <color theme="0" tint="-0.24994659260841701"/>
      </right>
      <top/>
      <bottom style="medium">
        <color indexed="64"/>
      </bottom>
      <diagonal/>
    </border>
    <border>
      <left style="thin">
        <color theme="0" tint="-0.24994659260841701"/>
      </left>
      <right style="medium">
        <color indexed="64"/>
      </right>
      <top/>
      <bottom style="medium">
        <color indexed="64"/>
      </bottom>
      <diagonal/>
    </border>
    <border>
      <left style="thin">
        <color theme="0" tint="-0.24994659260841701"/>
      </left>
      <right style="thin">
        <color theme="0" tint="-0.24994659260841701"/>
      </right>
      <top/>
      <bottom style="thin">
        <color theme="0" tint="-0.24994659260841701"/>
      </bottom>
      <diagonal/>
    </border>
    <border>
      <left/>
      <right/>
      <top style="thin">
        <color theme="0" tint="-0.24994659260841701"/>
      </top>
      <bottom style="thin">
        <color theme="0" tint="-0.24994659260841701"/>
      </bottom>
      <diagonal/>
    </border>
    <border>
      <left/>
      <right/>
      <top style="thin">
        <color theme="0" tint="-0.24994659260841701"/>
      </top>
      <bottom/>
      <diagonal/>
    </border>
    <border>
      <left style="medium">
        <color indexed="64"/>
      </left>
      <right style="medium">
        <color indexed="64"/>
      </right>
      <top style="medium">
        <color indexed="64"/>
      </top>
      <bottom style="thin">
        <color theme="0" tint="-0.24994659260841701"/>
      </bottom>
      <diagonal/>
    </border>
    <border>
      <left style="medium">
        <color indexed="64"/>
      </left>
      <right style="medium">
        <color indexed="64"/>
      </right>
      <top style="thin">
        <color theme="0" tint="-0.24994659260841701"/>
      </top>
      <bottom/>
      <diagonal/>
    </border>
    <border>
      <left/>
      <right style="thin">
        <color theme="0" tint="-0.24994659260841701"/>
      </right>
      <top/>
      <bottom/>
      <diagonal/>
    </border>
    <border>
      <left/>
      <right style="thin">
        <color theme="0" tint="-0.24994659260841701"/>
      </right>
      <top/>
      <bottom style="thin">
        <color indexed="64"/>
      </bottom>
      <diagonal/>
    </border>
    <border>
      <left style="thin">
        <color theme="0" tint="-0.24994659260841701"/>
      </left>
      <right/>
      <top/>
      <bottom style="thin">
        <color indexed="64"/>
      </bottom>
      <diagonal/>
    </border>
    <border>
      <left style="thin">
        <color theme="0" tint="-0.24994659260841701"/>
      </left>
      <right/>
      <top style="thin">
        <color indexed="64"/>
      </top>
      <bottom/>
      <diagonal/>
    </border>
    <border>
      <left style="medium">
        <color indexed="64"/>
      </left>
      <right style="thin">
        <color theme="0" tint="-0.24994659260841701"/>
      </right>
      <top style="medium">
        <color indexed="64"/>
      </top>
      <bottom style="thin">
        <color theme="0" tint="-0.24994659260841701"/>
      </bottom>
      <diagonal/>
    </border>
    <border>
      <left style="thin">
        <color theme="0" tint="-0.24994659260841701"/>
      </left>
      <right style="thin">
        <color theme="0" tint="-0.24994659260841701"/>
      </right>
      <top style="medium">
        <color indexed="64"/>
      </top>
      <bottom style="thin">
        <color theme="0" tint="-0.24994659260841701"/>
      </bottom>
      <diagonal/>
    </border>
    <border>
      <left style="thin">
        <color theme="0" tint="-0.24994659260841701"/>
      </left>
      <right style="medium">
        <color indexed="64"/>
      </right>
      <top style="medium">
        <color indexed="64"/>
      </top>
      <bottom style="thin">
        <color theme="0" tint="-0.24994659260841701"/>
      </bottom>
      <diagonal/>
    </border>
    <border>
      <left style="medium">
        <color indexed="64"/>
      </left>
      <right/>
      <top style="medium">
        <color indexed="64"/>
      </top>
      <bottom style="thin">
        <color theme="0" tint="-0.24994659260841701"/>
      </bottom>
      <diagonal/>
    </border>
    <border>
      <left/>
      <right/>
      <top style="medium">
        <color indexed="64"/>
      </top>
      <bottom style="thin">
        <color theme="0" tint="-0.24994659260841701"/>
      </bottom>
      <diagonal/>
    </border>
    <border>
      <left/>
      <right style="medium">
        <color indexed="64"/>
      </right>
      <top style="medium">
        <color indexed="64"/>
      </top>
      <bottom style="thin">
        <color theme="0" tint="-0.24994659260841701"/>
      </bottom>
      <diagonal/>
    </border>
    <border>
      <left style="medium">
        <color indexed="64"/>
      </left>
      <right style="thin">
        <color theme="0" tint="-0.24994659260841701"/>
      </right>
      <top style="thin">
        <color theme="0" tint="-0.24994659260841701"/>
      </top>
      <bottom style="thin">
        <color theme="0" tint="-0.24994659260841701"/>
      </bottom>
      <diagonal/>
    </border>
    <border>
      <left style="medium">
        <color indexed="64"/>
      </left>
      <right style="thin">
        <color theme="0" tint="-0.24994659260841701"/>
      </right>
      <top/>
      <bottom style="thin">
        <color theme="0" tint="-0.24994659260841701"/>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27">
    <xf numFmtId="0" fontId="0" fillId="0" borderId="0"/>
    <xf numFmtId="0" fontId="5" fillId="0" borderId="0" applyNumberFormat="0" applyFill="0" applyBorder="0" applyAlignment="0" applyProtection="0"/>
    <xf numFmtId="0" fontId="16" fillId="0" borderId="0"/>
    <xf numFmtId="0" fontId="1" fillId="0" borderId="0"/>
    <xf numFmtId="0" fontId="6" fillId="0" borderId="0"/>
    <xf numFmtId="0" fontId="6" fillId="0" borderId="0"/>
    <xf numFmtId="0" fontId="6" fillId="0" borderId="0"/>
    <xf numFmtId="0" fontId="11" fillId="0" borderId="0"/>
    <xf numFmtId="165" fontId="10" fillId="0" borderId="0" applyBorder="0" applyAlignment="0" applyProtection="0"/>
    <xf numFmtId="40" fontId="27" fillId="0" borderId="0" applyFont="0" applyFill="0" applyBorder="0" applyAlignment="0" applyProtection="0"/>
    <xf numFmtId="44" fontId="1" fillId="0" borderId="0" applyFont="0" applyFill="0" applyBorder="0" applyAlignment="0" applyProtection="0"/>
    <xf numFmtId="0" fontId="1" fillId="0" borderId="0"/>
    <xf numFmtId="0" fontId="5" fillId="0" borderId="0"/>
    <xf numFmtId="0" fontId="8" fillId="0" borderId="0"/>
    <xf numFmtId="0" fontId="27" fillId="0" borderId="0"/>
    <xf numFmtId="0" fontId="1" fillId="0" borderId="0"/>
    <xf numFmtId="0" fontId="12" fillId="0" borderId="0">
      <alignment vertical="center"/>
    </xf>
    <xf numFmtId="166" fontId="9" fillId="0" borderId="1" applyFont="0" applyFill="0" applyBorder="0" applyAlignment="0" applyProtection="0"/>
    <xf numFmtId="9" fontId="5" fillId="0" borderId="0" applyFont="0" applyFill="0" applyBorder="0" applyAlignment="0" applyProtection="0"/>
    <xf numFmtId="0" fontId="5" fillId="2" borderId="0" applyNumberFormat="0" applyFont="0" applyBorder="0" applyAlignment="0" applyProtection="0"/>
    <xf numFmtId="0" fontId="13" fillId="0" borderId="0"/>
    <xf numFmtId="0" fontId="13" fillId="0" borderId="2">
      <alignment horizontal="centerContinuous"/>
    </xf>
    <xf numFmtId="0" fontId="14" fillId="0" borderId="2"/>
    <xf numFmtId="180" fontId="15" fillId="0" borderId="0" applyFont="0" applyFill="0" applyBorder="0" applyAlignment="0" applyProtection="0"/>
    <xf numFmtId="0" fontId="15" fillId="0" borderId="0" applyFont="0" applyFill="0" applyBorder="0" applyAlignment="0" applyProtection="0"/>
    <xf numFmtId="0" fontId="1" fillId="2" borderId="0" applyNumberFormat="0" applyFont="0" applyBorder="0" applyAlignment="0" applyProtection="0"/>
    <xf numFmtId="0" fontId="65" fillId="0" borderId="0"/>
  </cellStyleXfs>
  <cellXfs count="979">
    <xf numFmtId="0" fontId="0" fillId="0" borderId="0" xfId="0"/>
    <xf numFmtId="0" fontId="1" fillId="0" borderId="0" xfId="11"/>
    <xf numFmtId="49" fontId="0" fillId="0" borderId="0" xfId="0" applyNumberFormat="1"/>
    <xf numFmtId="41" fontId="30" fillId="3" borderId="11" xfId="12" applyNumberFormat="1" applyFont="1" applyFill="1" applyBorder="1" applyAlignment="1">
      <alignment horizontal="center" vertical="center"/>
    </xf>
    <xf numFmtId="41" fontId="30" fillId="3" borderId="12" xfId="12" applyNumberFormat="1" applyFont="1" applyFill="1" applyBorder="1" applyAlignment="1">
      <alignment horizontal="center" vertical="center"/>
    </xf>
    <xf numFmtId="0" fontId="31" fillId="4" borderId="0" xfId="12" applyFont="1" applyFill="1"/>
    <xf numFmtId="0" fontId="32" fillId="4" borderId="0" xfId="12" applyFont="1" applyFill="1" applyBorder="1"/>
    <xf numFmtId="0" fontId="0" fillId="4" borderId="0" xfId="0" applyFill="1"/>
    <xf numFmtId="0" fontId="31" fillId="4" borderId="13" xfId="12" applyFont="1" applyFill="1" applyBorder="1"/>
    <xf numFmtId="0" fontId="31" fillId="4" borderId="7" xfId="12" applyFont="1" applyFill="1" applyBorder="1"/>
    <xf numFmtId="0" fontId="31" fillId="4" borderId="8" xfId="12" applyFont="1" applyFill="1" applyBorder="1"/>
    <xf numFmtId="0" fontId="31" fillId="4" borderId="0" xfId="12" applyFont="1" applyFill="1" applyBorder="1"/>
    <xf numFmtId="0" fontId="31" fillId="4" borderId="0" xfId="12" applyFont="1" applyFill="1" applyAlignment="1">
      <alignment horizontal="center" vertical="center"/>
    </xf>
    <xf numFmtId="0" fontId="31" fillId="4" borderId="11" xfId="12" applyFont="1" applyFill="1" applyBorder="1" applyAlignment="1">
      <alignment horizontal="center" vertical="center"/>
    </xf>
    <xf numFmtId="0" fontId="31" fillId="4" borderId="12" xfId="12" applyFont="1" applyFill="1" applyBorder="1" applyAlignment="1">
      <alignment horizontal="center" vertical="center"/>
    </xf>
    <xf numFmtId="41" fontId="33" fillId="4" borderId="12" xfId="12" applyNumberFormat="1" applyFont="1" applyFill="1" applyBorder="1" applyAlignment="1">
      <alignment horizontal="center" vertical="center"/>
    </xf>
    <xf numFmtId="0" fontId="31" fillId="4" borderId="11" xfId="12" applyFont="1" applyFill="1" applyBorder="1"/>
    <xf numFmtId="0" fontId="31" fillId="4" borderId="12" xfId="12" applyFont="1" applyFill="1" applyBorder="1"/>
    <xf numFmtId="37" fontId="32" fillId="4" borderId="0" xfId="12" applyNumberFormat="1" applyFont="1" applyFill="1" applyBorder="1" applyAlignment="1"/>
    <xf numFmtId="37" fontId="32" fillId="4" borderId="12" xfId="12" applyNumberFormat="1" applyFont="1" applyFill="1" applyBorder="1" applyAlignment="1">
      <alignment horizontal="right"/>
    </xf>
    <xf numFmtId="37" fontId="32" fillId="4" borderId="11" xfId="18" applyNumberFormat="1" applyFont="1" applyFill="1" applyBorder="1" applyAlignment="1">
      <alignment horizontal="right"/>
    </xf>
    <xf numFmtId="37" fontId="32" fillId="4" borderId="0" xfId="18" applyNumberFormat="1" applyFont="1" applyFill="1" applyBorder="1" applyAlignment="1">
      <alignment horizontal="right"/>
    </xf>
    <xf numFmtId="166" fontId="32" fillId="4" borderId="11" xfId="18" applyNumberFormat="1" applyFont="1" applyFill="1" applyBorder="1" applyAlignment="1">
      <alignment horizontal="right"/>
    </xf>
    <xf numFmtId="166" fontId="32" fillId="4" borderId="12" xfId="18" applyNumberFormat="1" applyFont="1" applyFill="1" applyBorder="1" applyAlignment="1">
      <alignment horizontal="right"/>
    </xf>
    <xf numFmtId="166" fontId="32" fillId="4" borderId="0" xfId="18" applyNumberFormat="1" applyFont="1" applyFill="1" applyBorder="1" applyAlignment="1">
      <alignment horizontal="right"/>
    </xf>
    <xf numFmtId="37" fontId="34" fillId="4" borderId="12" xfId="12" applyNumberFormat="1" applyFont="1" applyFill="1" applyBorder="1" applyAlignment="1">
      <alignment horizontal="right"/>
    </xf>
    <xf numFmtId="166" fontId="31" fillId="4" borderId="0" xfId="18" applyNumberFormat="1" applyFont="1" applyFill="1" applyBorder="1" applyAlignment="1">
      <alignment horizontal="left" indent="1"/>
    </xf>
    <xf numFmtId="166" fontId="31" fillId="4" borderId="12" xfId="18" applyNumberFormat="1" applyFont="1" applyFill="1" applyBorder="1" applyAlignment="1">
      <alignment horizontal="right"/>
    </xf>
    <xf numFmtId="166" fontId="31" fillId="4" borderId="11" xfId="18" applyNumberFormat="1" applyFont="1" applyFill="1" applyBorder="1" applyAlignment="1">
      <alignment horizontal="right"/>
    </xf>
    <xf numFmtId="166" fontId="31" fillId="4" borderId="0" xfId="18" applyNumberFormat="1" applyFont="1" applyFill="1" applyBorder="1" applyAlignment="1">
      <alignment horizontal="right"/>
    </xf>
    <xf numFmtId="37" fontId="31" fillId="4" borderId="10" xfId="12" applyNumberFormat="1" applyFont="1" applyFill="1" applyBorder="1"/>
    <xf numFmtId="37" fontId="31" fillId="4" borderId="14" xfId="18" applyNumberFormat="1" applyFont="1" applyFill="1" applyBorder="1" applyAlignment="1">
      <alignment horizontal="right"/>
    </xf>
    <xf numFmtId="37" fontId="31" fillId="4" borderId="10" xfId="18" applyNumberFormat="1" applyFont="1" applyFill="1" applyBorder="1" applyAlignment="1">
      <alignment horizontal="right"/>
    </xf>
    <xf numFmtId="166" fontId="31" fillId="4" borderId="14" xfId="18" applyNumberFormat="1" applyFont="1" applyFill="1" applyBorder="1" applyAlignment="1">
      <alignment horizontal="right"/>
    </xf>
    <xf numFmtId="37" fontId="32" fillId="4" borderId="0" xfId="12" applyNumberFormat="1" applyFont="1" applyFill="1" applyBorder="1" applyAlignment="1">
      <alignment horizontal="left"/>
    </xf>
    <xf numFmtId="37" fontId="32" fillId="4" borderId="12" xfId="18" applyNumberFormat="1" applyFont="1" applyFill="1" applyBorder="1" applyAlignment="1">
      <alignment horizontal="right"/>
    </xf>
    <xf numFmtId="0" fontId="31" fillId="4" borderId="15" xfId="12" applyFont="1" applyFill="1" applyBorder="1"/>
    <xf numFmtId="0" fontId="31" fillId="4" borderId="5" xfId="12" applyFont="1" applyFill="1" applyBorder="1"/>
    <xf numFmtId="0" fontId="34" fillId="4" borderId="5" xfId="12" applyFont="1" applyFill="1" applyBorder="1"/>
    <xf numFmtId="37" fontId="31" fillId="4" borderId="5" xfId="12" applyNumberFormat="1" applyFont="1" applyFill="1" applyBorder="1"/>
    <xf numFmtId="41" fontId="31" fillId="4" borderId="0" xfId="12" applyNumberFormat="1" applyFont="1" applyFill="1" applyBorder="1"/>
    <xf numFmtId="41" fontId="31" fillId="4" borderId="12" xfId="12" applyNumberFormat="1" applyFont="1" applyFill="1" applyBorder="1" applyAlignment="1">
      <alignment horizontal="right"/>
    </xf>
    <xf numFmtId="41" fontId="34" fillId="4" borderId="12" xfId="12" applyNumberFormat="1" applyFont="1" applyFill="1" applyBorder="1" applyAlignment="1">
      <alignment horizontal="right"/>
    </xf>
    <xf numFmtId="37" fontId="31" fillId="4" borderId="11" xfId="18" applyNumberFormat="1" applyFont="1" applyFill="1" applyBorder="1" applyAlignment="1">
      <alignment horizontal="right"/>
    </xf>
    <xf numFmtId="37" fontId="31" fillId="4" borderId="0" xfId="18" applyNumberFormat="1" applyFont="1" applyFill="1" applyBorder="1" applyAlignment="1">
      <alignment horizontal="right"/>
    </xf>
    <xf numFmtId="37" fontId="31" fillId="4" borderId="0" xfId="12" applyNumberFormat="1" applyFont="1" applyFill="1" applyBorder="1"/>
    <xf numFmtId="166" fontId="31" fillId="4" borderId="10" xfId="18" applyNumberFormat="1" applyFont="1" applyFill="1" applyBorder="1" applyAlignment="1">
      <alignment horizontal="right"/>
    </xf>
    <xf numFmtId="37" fontId="34" fillId="4" borderId="16" xfId="12" applyNumberFormat="1" applyFont="1" applyFill="1" applyBorder="1" applyAlignment="1">
      <alignment horizontal="right"/>
    </xf>
    <xf numFmtId="37" fontId="31" fillId="4" borderId="12" xfId="12" applyNumberFormat="1" applyFont="1" applyFill="1" applyBorder="1" applyAlignment="1">
      <alignment horizontal="right"/>
    </xf>
    <xf numFmtId="37" fontId="31" fillId="4" borderId="0" xfId="18" applyNumberFormat="1" applyFont="1" applyFill="1" applyBorder="1" applyAlignment="1">
      <alignment horizontal="left" indent="1"/>
    </xf>
    <xf numFmtId="37" fontId="32" fillId="4" borderId="9" xfId="12" applyNumberFormat="1" applyFont="1" applyFill="1" applyBorder="1"/>
    <xf numFmtId="37" fontId="32" fillId="4" borderId="17" xfId="12" applyNumberFormat="1" applyFont="1" applyFill="1" applyBorder="1" applyAlignment="1">
      <alignment horizontal="right"/>
    </xf>
    <xf numFmtId="37" fontId="32" fillId="4" borderId="18" xfId="18" applyNumberFormat="1" applyFont="1" applyFill="1" applyBorder="1" applyAlignment="1">
      <alignment horizontal="right"/>
    </xf>
    <xf numFmtId="37" fontId="32" fillId="4" borderId="9" xfId="18" applyNumberFormat="1" applyFont="1" applyFill="1" applyBorder="1" applyAlignment="1">
      <alignment horizontal="right"/>
    </xf>
    <xf numFmtId="166" fontId="32" fillId="4" borderId="9" xfId="18" applyNumberFormat="1" applyFont="1" applyFill="1" applyBorder="1" applyAlignment="1">
      <alignment horizontal="right"/>
    </xf>
    <xf numFmtId="7" fontId="31" fillId="4" borderId="11" xfId="12" applyNumberFormat="1" applyFont="1" applyFill="1" applyBorder="1"/>
    <xf numFmtId="7" fontId="32" fillId="4" borderId="0" xfId="12" applyNumberFormat="1" applyFont="1" applyFill="1" applyBorder="1"/>
    <xf numFmtId="7" fontId="32" fillId="4" borderId="12" xfId="12" applyNumberFormat="1" applyFont="1" applyFill="1" applyBorder="1" applyAlignment="1">
      <alignment horizontal="right"/>
    </xf>
    <xf numFmtId="7" fontId="32" fillId="4" borderId="11" xfId="18" applyNumberFormat="1" applyFont="1" applyFill="1" applyBorder="1" applyAlignment="1">
      <alignment horizontal="right"/>
    </xf>
    <xf numFmtId="7" fontId="32" fillId="4" borderId="0" xfId="18" applyNumberFormat="1" applyFont="1" applyFill="1" applyBorder="1" applyAlignment="1">
      <alignment horizontal="right"/>
    </xf>
    <xf numFmtId="41" fontId="34" fillId="4" borderId="12" xfId="12" applyNumberFormat="1" applyFont="1" applyFill="1" applyBorder="1"/>
    <xf numFmtId="37" fontId="31" fillId="4" borderId="11" xfId="18" applyNumberFormat="1" applyFont="1" applyFill="1" applyBorder="1"/>
    <xf numFmtId="37" fontId="31" fillId="4" borderId="0" xfId="18" applyNumberFormat="1" applyFont="1" applyFill="1" applyBorder="1"/>
    <xf numFmtId="166" fontId="31" fillId="4" borderId="0" xfId="18" applyNumberFormat="1" applyFont="1" applyFill="1" applyBorder="1"/>
    <xf numFmtId="166" fontId="31" fillId="4" borderId="12" xfId="18" applyNumberFormat="1" applyFont="1" applyFill="1" applyBorder="1"/>
    <xf numFmtId="0" fontId="31" fillId="4" borderId="6" xfId="12" applyFont="1" applyFill="1" applyBorder="1"/>
    <xf numFmtId="0" fontId="34" fillId="4" borderId="0" xfId="12" applyFont="1" applyFill="1"/>
    <xf numFmtId="37" fontId="31" fillId="4" borderId="0" xfId="12" applyNumberFormat="1" applyFont="1" applyFill="1"/>
    <xf numFmtId="0" fontId="31" fillId="5" borderId="0" xfId="12" applyFont="1" applyFill="1"/>
    <xf numFmtId="0" fontId="32" fillId="5" borderId="0" xfId="12" applyFont="1" applyFill="1" applyBorder="1"/>
    <xf numFmtId="0" fontId="31" fillId="5" borderId="13" xfId="12" applyFont="1" applyFill="1" applyBorder="1"/>
    <xf numFmtId="0" fontId="31" fillId="5" borderId="7" xfId="12" applyFont="1" applyFill="1" applyBorder="1"/>
    <xf numFmtId="0" fontId="31" fillId="5" borderId="8" xfId="12" applyFont="1" applyFill="1" applyBorder="1"/>
    <xf numFmtId="0" fontId="31" fillId="5" borderId="11" xfId="12" applyFont="1" applyFill="1" applyBorder="1" applyAlignment="1">
      <alignment horizontal="center" vertical="center"/>
    </xf>
    <xf numFmtId="0" fontId="31" fillId="5" borderId="12" xfId="12" applyFont="1" applyFill="1" applyBorder="1" applyAlignment="1">
      <alignment horizontal="center" vertical="center"/>
    </xf>
    <xf numFmtId="0" fontId="31" fillId="5" borderId="11" xfId="12" applyFont="1" applyFill="1" applyBorder="1"/>
    <xf numFmtId="0" fontId="31" fillId="5" borderId="12" xfId="12" applyFont="1" applyFill="1" applyBorder="1"/>
    <xf numFmtId="0" fontId="31" fillId="5" borderId="0" xfId="12" applyFont="1" applyFill="1" applyAlignment="1">
      <alignment horizontal="center" vertical="center"/>
    </xf>
    <xf numFmtId="0" fontId="31" fillId="5" borderId="0" xfId="12" applyFont="1" applyFill="1" applyBorder="1"/>
    <xf numFmtId="0" fontId="29" fillId="5" borderId="0" xfId="12" applyFont="1" applyFill="1" applyBorder="1"/>
    <xf numFmtId="41" fontId="31" fillId="5" borderId="0" xfId="12" applyNumberFormat="1" applyFont="1" applyFill="1" applyBorder="1" applyAlignment="1">
      <alignment horizontal="right"/>
    </xf>
    <xf numFmtId="41" fontId="29" fillId="5" borderId="0" xfId="12" applyNumberFormat="1" applyFont="1" applyFill="1" applyBorder="1" applyAlignment="1">
      <alignment horizontal="right"/>
    </xf>
    <xf numFmtId="166" fontId="31" fillId="5" borderId="11" xfId="18" applyNumberFormat="1" applyFont="1" applyFill="1" applyBorder="1" applyAlignment="1">
      <alignment horizontal="right"/>
    </xf>
    <xf numFmtId="166" fontId="31" fillId="5" borderId="12" xfId="18" applyNumberFormat="1" applyFont="1" applyFill="1" applyBorder="1" applyAlignment="1">
      <alignment horizontal="right"/>
    </xf>
    <xf numFmtId="37" fontId="31" fillId="5" borderId="0" xfId="12" applyNumberFormat="1" applyFont="1" applyFill="1" applyBorder="1"/>
    <xf numFmtId="37" fontId="34" fillId="5" borderId="0" xfId="12" applyNumberFormat="1" applyFont="1" applyFill="1" applyBorder="1" applyAlignment="1">
      <alignment horizontal="right"/>
    </xf>
    <xf numFmtId="37" fontId="31" fillId="5" borderId="11" xfId="18" applyNumberFormat="1" applyFont="1" applyFill="1" applyBorder="1" applyAlignment="1">
      <alignment horizontal="right"/>
    </xf>
    <xf numFmtId="37" fontId="31" fillId="5" borderId="12" xfId="18" applyNumberFormat="1" applyFont="1" applyFill="1" applyBorder="1" applyAlignment="1">
      <alignment horizontal="right"/>
    </xf>
    <xf numFmtId="37" fontId="31" fillId="5" borderId="0" xfId="12" applyNumberFormat="1" applyFont="1" applyFill="1" applyBorder="1" applyAlignment="1">
      <alignment horizontal="left" indent="1"/>
    </xf>
    <xf numFmtId="166" fontId="34" fillId="5" borderId="0" xfId="12" applyNumberFormat="1" applyFont="1" applyFill="1" applyBorder="1" applyAlignment="1">
      <alignment horizontal="right"/>
    </xf>
    <xf numFmtId="166" fontId="31" fillId="5" borderId="0" xfId="18" applyNumberFormat="1" applyFont="1" applyFill="1" applyBorder="1" applyAlignment="1">
      <alignment horizontal="left" indent="1"/>
    </xf>
    <xf numFmtId="166" fontId="31" fillId="5" borderId="0" xfId="18" applyNumberFormat="1" applyFont="1" applyFill="1" applyBorder="1" applyAlignment="1">
      <alignment horizontal="right"/>
    </xf>
    <xf numFmtId="37" fontId="31" fillId="5" borderId="12" xfId="12" applyNumberFormat="1" applyFont="1" applyFill="1" applyBorder="1"/>
    <xf numFmtId="41" fontId="31" fillId="5" borderId="0" xfId="12" applyNumberFormat="1" applyFont="1" applyFill="1" applyBorder="1"/>
    <xf numFmtId="37" fontId="32" fillId="5" borderId="0" xfId="12" applyNumberFormat="1" applyFont="1" applyFill="1" applyBorder="1"/>
    <xf numFmtId="9" fontId="31" fillId="5" borderId="0" xfId="18" applyFont="1" applyFill="1" applyBorder="1" applyAlignment="1">
      <alignment horizontal="right"/>
    </xf>
    <xf numFmtId="9" fontId="29" fillId="5" borderId="0" xfId="18" applyFont="1" applyFill="1" applyBorder="1" applyAlignment="1">
      <alignment horizontal="right"/>
    </xf>
    <xf numFmtId="0" fontId="31" fillId="5" borderId="15" xfId="12" applyFont="1" applyFill="1" applyBorder="1"/>
    <xf numFmtId="0" fontId="31" fillId="5" borderId="5" xfId="12" applyFont="1" applyFill="1" applyBorder="1"/>
    <xf numFmtId="0" fontId="29" fillId="5" borderId="5" xfId="12" applyFont="1" applyFill="1" applyBorder="1"/>
    <xf numFmtId="0" fontId="34" fillId="5" borderId="5" xfId="12" applyFont="1" applyFill="1" applyBorder="1"/>
    <xf numFmtId="0" fontId="31" fillId="5" borderId="6" xfId="12" applyFont="1" applyFill="1" applyBorder="1"/>
    <xf numFmtId="41" fontId="30" fillId="3" borderId="0" xfId="12" applyNumberFormat="1" applyFont="1" applyFill="1" applyBorder="1" applyAlignment="1">
      <alignment horizontal="center" vertical="center"/>
    </xf>
    <xf numFmtId="41" fontId="30" fillId="3" borderId="11" xfId="12" applyNumberFormat="1" applyFont="1" applyFill="1" applyBorder="1" applyAlignment="1">
      <alignment horizontal="center" vertical="center"/>
    </xf>
    <xf numFmtId="37" fontId="35" fillId="4" borderId="12" xfId="12" applyNumberFormat="1" applyFont="1" applyFill="1" applyBorder="1" applyAlignment="1">
      <alignment horizontal="right"/>
    </xf>
    <xf numFmtId="166" fontId="32" fillId="4" borderId="18" xfId="18" applyNumberFormat="1" applyFont="1" applyFill="1" applyBorder="1" applyAlignment="1">
      <alignment horizontal="right"/>
    </xf>
    <xf numFmtId="166" fontId="31" fillId="4" borderId="11" xfId="18" applyNumberFormat="1" applyFont="1" applyFill="1" applyBorder="1"/>
    <xf numFmtId="0" fontId="31" fillId="5" borderId="0" xfId="12" quotePrefix="1" applyFont="1" applyFill="1"/>
    <xf numFmtId="0" fontId="31" fillId="0" borderId="0" xfId="0" applyFont="1"/>
    <xf numFmtId="0" fontId="31" fillId="4" borderId="0" xfId="0" applyFont="1" applyFill="1"/>
    <xf numFmtId="0" fontId="32" fillId="4" borderId="0" xfId="0" applyFont="1" applyFill="1"/>
    <xf numFmtId="0" fontId="31" fillId="0" borderId="0" xfId="0" applyFont="1" applyFill="1" applyBorder="1"/>
    <xf numFmtId="0" fontId="30" fillId="0" borderId="0" xfId="0" applyFont="1" applyFill="1" applyBorder="1"/>
    <xf numFmtId="0" fontId="30" fillId="0" borderId="0" xfId="0" applyFont="1" applyFill="1" applyBorder="1" applyAlignment="1">
      <alignment horizontal="right"/>
    </xf>
    <xf numFmtId="0" fontId="36" fillId="0" borderId="0" xfId="0" applyFont="1" applyFill="1" applyBorder="1" applyAlignment="1">
      <alignment horizontal="right"/>
    </xf>
    <xf numFmtId="43" fontId="36" fillId="0" borderId="0" xfId="0" applyNumberFormat="1" applyFont="1" applyFill="1" applyBorder="1" applyAlignment="1">
      <alignment horizontal="right"/>
    </xf>
    <xf numFmtId="0" fontId="31" fillId="0" borderId="0" xfId="0" applyFont="1" applyBorder="1"/>
    <xf numFmtId="0" fontId="37" fillId="0" borderId="0" xfId="0" applyFont="1" applyFill="1" applyBorder="1"/>
    <xf numFmtId="173" fontId="37" fillId="0" borderId="0" xfId="8" applyNumberFormat="1" applyFont="1" applyFill="1" applyBorder="1"/>
    <xf numFmtId="165" fontId="38" fillId="0" borderId="0" xfId="8" applyNumberFormat="1" applyFont="1" applyFill="1" applyBorder="1"/>
    <xf numFmtId="0" fontId="32" fillId="0" borderId="0" xfId="0" applyFont="1" applyFill="1" applyBorder="1"/>
    <xf numFmtId="164" fontId="32" fillId="0" borderId="0" xfId="8" applyNumberFormat="1" applyFont="1" applyFill="1" applyBorder="1"/>
    <xf numFmtId="38" fontId="31" fillId="0" borderId="0" xfId="0" applyNumberFormat="1" applyFont="1" applyFill="1" applyBorder="1"/>
    <xf numFmtId="7" fontId="31" fillId="0" borderId="0" xfId="10" applyNumberFormat="1" applyFont="1" applyFill="1" applyBorder="1"/>
    <xf numFmtId="7" fontId="31" fillId="0" borderId="20" xfId="10" applyNumberFormat="1" applyFont="1" applyFill="1" applyBorder="1"/>
    <xf numFmtId="44" fontId="31" fillId="0" borderId="0" xfId="10" applyFont="1" applyFill="1" applyBorder="1"/>
    <xf numFmtId="7" fontId="31" fillId="0" borderId="0" xfId="0" applyNumberFormat="1" applyFont="1" applyFill="1" applyBorder="1"/>
    <xf numFmtId="165" fontId="39" fillId="0" borderId="0" xfId="8" applyNumberFormat="1" applyFont="1" applyFill="1" applyBorder="1"/>
    <xf numFmtId="173" fontId="40" fillId="0" borderId="0" xfId="8" applyNumberFormat="1" applyFont="1" applyFill="1" applyBorder="1"/>
    <xf numFmtId="0" fontId="39" fillId="0" borderId="0" xfId="0" applyFont="1" applyFill="1" applyBorder="1"/>
    <xf numFmtId="0" fontId="39" fillId="0" borderId="21" xfId="0" applyFont="1" applyFill="1" applyBorder="1"/>
    <xf numFmtId="0" fontId="30" fillId="4" borderId="0" xfId="0" applyFont="1" applyFill="1" applyBorder="1"/>
    <xf numFmtId="0" fontId="30" fillId="4" borderId="0" xfId="15" applyFont="1" applyFill="1" applyBorder="1"/>
    <xf numFmtId="0" fontId="41" fillId="4" borderId="0" xfId="0" applyFont="1" applyFill="1" applyBorder="1" applyAlignment="1">
      <alignment horizontal="left"/>
    </xf>
    <xf numFmtId="0" fontId="41" fillId="4" borderId="0" xfId="0" applyFont="1" applyFill="1" applyBorder="1" applyAlignment="1">
      <alignment horizontal="right"/>
    </xf>
    <xf numFmtId="0" fontId="41" fillId="4" borderId="0" xfId="0" applyFont="1" applyFill="1" applyBorder="1"/>
    <xf numFmtId="0" fontId="31" fillId="4" borderId="0" xfId="0" applyFont="1" applyFill="1" applyBorder="1"/>
    <xf numFmtId="37" fontId="31" fillId="0" borderId="0" xfId="0" applyNumberFormat="1" applyFont="1"/>
    <xf numFmtId="37" fontId="31" fillId="0" borderId="0" xfId="0" applyNumberFormat="1" applyFont="1" applyBorder="1"/>
    <xf numFmtId="37" fontId="31" fillId="4" borderId="0" xfId="0" applyNumberFormat="1" applyFont="1" applyFill="1" applyBorder="1"/>
    <xf numFmtId="0" fontId="31" fillId="0" borderId="20" xfId="0" applyFont="1" applyFill="1" applyBorder="1"/>
    <xf numFmtId="0" fontId="31" fillId="0" borderId="21" xfId="0" applyFont="1" applyFill="1" applyBorder="1"/>
    <xf numFmtId="173" fontId="37" fillId="0" borderId="20" xfId="8" applyNumberFormat="1" applyFont="1" applyFill="1" applyBorder="1"/>
    <xf numFmtId="173" fontId="37" fillId="0" borderId="21" xfId="8" applyNumberFormat="1" applyFont="1" applyFill="1" applyBorder="1"/>
    <xf numFmtId="164" fontId="32" fillId="0" borderId="20" xfId="8" applyNumberFormat="1" applyFont="1" applyFill="1" applyBorder="1"/>
    <xf numFmtId="164" fontId="32" fillId="0" borderId="21" xfId="8" applyNumberFormat="1" applyFont="1" applyFill="1" applyBorder="1"/>
    <xf numFmtId="7" fontId="31" fillId="0" borderId="21" xfId="10" applyNumberFormat="1" applyFont="1" applyFill="1" applyBorder="1"/>
    <xf numFmtId="0" fontId="30" fillId="0" borderId="21" xfId="0" applyFont="1" applyFill="1" applyBorder="1" applyAlignment="1">
      <alignment horizontal="right"/>
    </xf>
    <xf numFmtId="173" fontId="40" fillId="0" borderId="21" xfId="8" applyNumberFormat="1" applyFont="1" applyFill="1" applyBorder="1"/>
    <xf numFmtId="44" fontId="31" fillId="0" borderId="21" xfId="10" applyFont="1" applyFill="1" applyBorder="1"/>
    <xf numFmtId="0" fontId="30" fillId="0" borderId="21" xfId="0" applyFont="1" applyFill="1" applyBorder="1"/>
    <xf numFmtId="165" fontId="38" fillId="0" borderId="21" xfId="8" applyNumberFormat="1" applyFont="1" applyFill="1" applyBorder="1"/>
    <xf numFmtId="0" fontId="36" fillId="0" borderId="21" xfId="0" applyFont="1" applyFill="1" applyBorder="1" applyAlignment="1">
      <alignment horizontal="right"/>
    </xf>
    <xf numFmtId="44" fontId="40" fillId="0" borderId="21" xfId="10" applyFont="1" applyFill="1" applyBorder="1"/>
    <xf numFmtId="41" fontId="30" fillId="0" borderId="0" xfId="0" applyNumberFormat="1" applyFont="1" applyFill="1"/>
    <xf numFmtId="41" fontId="28" fillId="3" borderId="0" xfId="0" applyNumberFormat="1" applyFont="1" applyFill="1"/>
    <xf numFmtId="0" fontId="30" fillId="0" borderId="0" xfId="12" applyFont="1" applyFill="1"/>
    <xf numFmtId="0" fontId="32" fillId="0" borderId="0" xfId="12" applyFont="1" applyFill="1" applyBorder="1"/>
    <xf numFmtId="0" fontId="31" fillId="4" borderId="0" xfId="12" applyFont="1" applyFill="1" applyAlignment="1">
      <alignment horizontal="right"/>
    </xf>
    <xf numFmtId="0" fontId="31" fillId="0" borderId="0" xfId="12" applyFont="1" applyFill="1"/>
    <xf numFmtId="0" fontId="32" fillId="4" borderId="0" xfId="12" applyFont="1" applyFill="1"/>
    <xf numFmtId="0" fontId="41" fillId="0" borderId="0" xfId="12" applyFont="1" applyFill="1"/>
    <xf numFmtId="0" fontId="31" fillId="0" borderId="0" xfId="12" applyFont="1" applyFill="1" applyAlignment="1">
      <alignment horizontal="right"/>
    </xf>
    <xf numFmtId="0" fontId="42" fillId="3" borderId="3" xfId="12" applyFont="1" applyFill="1" applyBorder="1"/>
    <xf numFmtId="0" fontId="42" fillId="3" borderId="4" xfId="12" applyFont="1" applyFill="1" applyBorder="1"/>
    <xf numFmtId="0" fontId="42" fillId="3" borderId="4" xfId="12" applyFont="1" applyFill="1" applyBorder="1" applyAlignment="1">
      <alignment horizontal="right"/>
    </xf>
    <xf numFmtId="5" fontId="42" fillId="3" borderId="22" xfId="12" applyNumberFormat="1" applyFont="1" applyFill="1" applyBorder="1" applyAlignment="1">
      <alignment horizontal="right"/>
    </xf>
    <xf numFmtId="9" fontId="41" fillId="0" borderId="0" xfId="12" applyNumberFormat="1" applyFont="1" applyFill="1"/>
    <xf numFmtId="9" fontId="31" fillId="0" borderId="0" xfId="12" applyNumberFormat="1" applyFont="1" applyFill="1"/>
    <xf numFmtId="9" fontId="31" fillId="0" borderId="0" xfId="12" applyNumberFormat="1" applyFont="1" applyFill="1" applyAlignment="1">
      <alignment horizontal="right"/>
    </xf>
    <xf numFmtId="0" fontId="42" fillId="3" borderId="0" xfId="12" applyFont="1" applyFill="1"/>
    <xf numFmtId="0" fontId="43" fillId="3" borderId="0" xfId="12" applyFont="1" applyFill="1"/>
    <xf numFmtId="0" fontId="43" fillId="3" borderId="0" xfId="12" applyFont="1" applyFill="1" applyAlignment="1">
      <alignment horizontal="right"/>
    </xf>
    <xf numFmtId="0" fontId="31" fillId="0" borderId="0" xfId="12" applyFont="1" applyFill="1" applyBorder="1"/>
    <xf numFmtId="0" fontId="32" fillId="6" borderId="0" xfId="12" applyFont="1" applyFill="1" applyAlignment="1">
      <alignment horizontal="center"/>
    </xf>
    <xf numFmtId="0" fontId="32" fillId="6" borderId="0" xfId="12" applyFont="1" applyFill="1" applyAlignment="1">
      <alignment horizontal="left"/>
    </xf>
    <xf numFmtId="37" fontId="32" fillId="0" borderId="0" xfId="12" applyNumberFormat="1" applyFont="1" applyFill="1"/>
    <xf numFmtId="7" fontId="35" fillId="0" borderId="0" xfId="12" applyNumberFormat="1" applyFont="1" applyFill="1" applyAlignment="1">
      <alignment horizontal="center"/>
    </xf>
    <xf numFmtId="7" fontId="31" fillId="0" borderId="0" xfId="12" applyNumberFormat="1" applyFont="1" applyFill="1" applyAlignment="1">
      <alignment horizontal="center"/>
    </xf>
    <xf numFmtId="166" fontId="44" fillId="0" borderId="0" xfId="12" applyNumberFormat="1" applyFont="1" applyFill="1"/>
    <xf numFmtId="37" fontId="29" fillId="0" borderId="0" xfId="12" applyNumberFormat="1" applyFont="1" applyFill="1" applyAlignment="1">
      <alignment horizontal="center"/>
    </xf>
    <xf numFmtId="0" fontId="31" fillId="0" borderId="11" xfId="12" applyFont="1" applyFill="1" applyBorder="1"/>
    <xf numFmtId="181" fontId="31" fillId="0" borderId="0" xfId="12" applyNumberFormat="1" applyFont="1" applyFill="1" applyBorder="1"/>
    <xf numFmtId="0" fontId="31" fillId="0" borderId="23" xfId="12" applyFont="1" applyFill="1" applyBorder="1"/>
    <xf numFmtId="37" fontId="31" fillId="0" borderId="23" xfId="12" applyNumberFormat="1" applyFont="1" applyFill="1" applyBorder="1" applyAlignment="1">
      <alignment horizontal="center"/>
    </xf>
    <xf numFmtId="0" fontId="31" fillId="0" borderId="15" xfId="12" applyFont="1" applyFill="1" applyBorder="1"/>
    <xf numFmtId="0" fontId="31" fillId="0" borderId="5" xfId="12" applyFont="1" applyFill="1" applyBorder="1"/>
    <xf numFmtId="181" fontId="31" fillId="0" borderId="5" xfId="12" applyNumberFormat="1" applyFont="1" applyFill="1" applyBorder="1"/>
    <xf numFmtId="0" fontId="32" fillId="0" borderId="0" xfId="12" applyFont="1" applyFill="1"/>
    <xf numFmtId="0" fontId="31" fillId="0" borderId="38" xfId="12" applyFont="1" applyFill="1" applyBorder="1"/>
    <xf numFmtId="7" fontId="29" fillId="0" borderId="38" xfId="12" applyNumberFormat="1" applyFont="1" applyFill="1" applyBorder="1" applyAlignment="1">
      <alignment horizontal="center"/>
    </xf>
    <xf numFmtId="5" fontId="31" fillId="0" borderId="38" xfId="12" applyNumberFormat="1" applyFont="1" applyFill="1" applyBorder="1" applyAlignment="1">
      <alignment horizontal="center"/>
    </xf>
    <xf numFmtId="37" fontId="29" fillId="0" borderId="38" xfId="12" applyNumberFormat="1" applyFont="1" applyFill="1" applyBorder="1" applyAlignment="1">
      <alignment horizontal="center"/>
    </xf>
    <xf numFmtId="37" fontId="41" fillId="4" borderId="0" xfId="0" applyNumberFormat="1" applyFont="1" applyFill="1" applyBorder="1" applyAlignment="1">
      <alignment horizontal="left"/>
    </xf>
    <xf numFmtId="37" fontId="45" fillId="0" borderId="0" xfId="8" applyNumberFormat="1" applyFont="1" applyFill="1" applyBorder="1"/>
    <xf numFmtId="37" fontId="45" fillId="0" borderId="21" xfId="8" applyNumberFormat="1" applyFont="1" applyFill="1" applyBorder="1"/>
    <xf numFmtId="37" fontId="39" fillId="0" borderId="21" xfId="8" applyNumberFormat="1" applyFont="1" applyFill="1" applyBorder="1"/>
    <xf numFmtId="37" fontId="31" fillId="0" borderId="0" xfId="8" applyNumberFormat="1" applyFont="1" applyFill="1" applyBorder="1"/>
    <xf numFmtId="37" fontId="31" fillId="0" borderId="21" xfId="8" applyNumberFormat="1" applyFont="1" applyFill="1" applyBorder="1"/>
    <xf numFmtId="37" fontId="31" fillId="0" borderId="0" xfId="0" applyNumberFormat="1" applyFont="1" applyFill="1" applyBorder="1"/>
    <xf numFmtId="37" fontId="31" fillId="0" borderId="10" xfId="0" applyNumberFormat="1" applyFont="1" applyBorder="1"/>
    <xf numFmtId="37" fontId="45" fillId="0" borderId="24" xfId="8" applyNumberFormat="1" applyFont="1" applyFill="1" applyBorder="1"/>
    <xf numFmtId="37" fontId="31" fillId="0" borderId="10" xfId="8" applyNumberFormat="1" applyFont="1" applyFill="1" applyBorder="1"/>
    <xf numFmtId="37" fontId="31" fillId="0" borderId="24" xfId="8" applyNumberFormat="1" applyFont="1" applyFill="1" applyBorder="1"/>
    <xf numFmtId="37" fontId="46" fillId="0" borderId="21" xfId="8" applyNumberFormat="1" applyFont="1" applyFill="1" applyBorder="1"/>
    <xf numFmtId="37" fontId="32" fillId="0" borderId="0" xfId="0" applyNumberFormat="1" applyFont="1" applyFill="1" applyBorder="1"/>
    <xf numFmtId="37" fontId="32" fillId="0" borderId="20" xfId="8" applyNumberFormat="1" applyFont="1" applyFill="1" applyBorder="1"/>
    <xf numFmtId="37" fontId="32" fillId="0" borderId="0" xfId="8" applyNumberFormat="1" applyFont="1" applyFill="1" applyBorder="1"/>
    <xf numFmtId="37" fontId="32" fillId="0" borderId="21" xfId="8" applyNumberFormat="1" applyFont="1" applyFill="1" applyBorder="1"/>
    <xf numFmtId="37" fontId="31" fillId="0" borderId="20" xfId="0" applyNumberFormat="1" applyFont="1" applyBorder="1"/>
    <xf numFmtId="37" fontId="31" fillId="0" borderId="21" xfId="0" applyNumberFormat="1" applyFont="1" applyBorder="1"/>
    <xf numFmtId="37" fontId="31" fillId="0" borderId="21" xfId="0" applyNumberFormat="1" applyFont="1" applyFill="1" applyBorder="1"/>
    <xf numFmtId="37" fontId="39" fillId="0" borderId="0" xfId="8" applyNumberFormat="1" applyFont="1" applyFill="1" applyBorder="1"/>
    <xf numFmtId="37" fontId="31" fillId="0" borderId="20" xfId="8" applyNumberFormat="1" applyFont="1" applyFill="1" applyBorder="1"/>
    <xf numFmtId="37" fontId="37" fillId="0" borderId="0" xfId="0" applyNumberFormat="1" applyFont="1" applyFill="1" applyBorder="1"/>
    <xf numFmtId="37" fontId="37" fillId="0" borderId="0" xfId="8" applyNumberFormat="1" applyFont="1" applyFill="1" applyBorder="1"/>
    <xf numFmtId="37" fontId="37" fillId="0" borderId="21" xfId="8" applyNumberFormat="1" applyFont="1" applyFill="1" applyBorder="1"/>
    <xf numFmtId="37" fontId="34" fillId="0" borderId="20" xfId="8" applyNumberFormat="1" applyFont="1" applyFill="1" applyBorder="1"/>
    <xf numFmtId="37" fontId="34" fillId="0" borderId="0" xfId="8" applyNumberFormat="1" applyFont="1" applyFill="1" applyBorder="1"/>
    <xf numFmtId="37" fontId="34" fillId="0" borderId="21" xfId="8" applyNumberFormat="1" applyFont="1" applyFill="1" applyBorder="1"/>
    <xf numFmtId="37" fontId="34" fillId="0" borderId="25" xfId="8" applyNumberFormat="1" applyFont="1" applyFill="1" applyBorder="1"/>
    <xf numFmtId="37" fontId="34" fillId="0" borderId="10" xfId="8" applyNumberFormat="1" applyFont="1" applyFill="1" applyBorder="1"/>
    <xf numFmtId="37" fontId="34" fillId="0" borderId="24" xfId="8" applyNumberFormat="1" applyFont="1" applyFill="1" applyBorder="1"/>
    <xf numFmtId="37" fontId="31" fillId="0" borderId="20" xfId="0" applyNumberFormat="1" applyFont="1" applyFill="1" applyBorder="1"/>
    <xf numFmtId="37" fontId="39" fillId="0" borderId="21" xfId="0" applyNumberFormat="1" applyFont="1" applyFill="1" applyBorder="1"/>
    <xf numFmtId="37" fontId="38" fillId="0" borderId="21" xfId="8" applyNumberFormat="1" applyFont="1" applyFill="1" applyBorder="1"/>
    <xf numFmtId="37" fontId="39" fillId="0" borderId="0" xfId="0" applyNumberFormat="1" applyFont="1" applyFill="1" applyBorder="1"/>
    <xf numFmtId="37" fontId="39" fillId="0" borderId="21" xfId="10" applyNumberFormat="1" applyFont="1" applyFill="1" applyBorder="1"/>
    <xf numFmtId="37" fontId="39" fillId="0" borderId="0" xfId="10" applyNumberFormat="1" applyFont="1" applyFill="1" applyBorder="1"/>
    <xf numFmtId="37" fontId="47" fillId="0" borderId="0" xfId="8" applyNumberFormat="1" applyFont="1" applyFill="1" applyBorder="1"/>
    <xf numFmtId="37" fontId="47" fillId="0" borderId="21" xfId="8" applyNumberFormat="1" applyFont="1" applyFill="1" applyBorder="1"/>
    <xf numFmtId="37" fontId="44" fillId="4" borderId="0" xfId="0" applyNumberFormat="1" applyFont="1" applyFill="1" applyBorder="1" applyAlignment="1">
      <alignment horizontal="left"/>
    </xf>
    <xf numFmtId="37" fontId="31" fillId="0" borderId="21" xfId="10" applyNumberFormat="1" applyFont="1" applyFill="1" applyBorder="1"/>
    <xf numFmtId="37" fontId="31" fillId="0" borderId="0" xfId="10" applyNumberFormat="1" applyFont="1" applyFill="1" applyBorder="1"/>
    <xf numFmtId="37" fontId="48" fillId="0" borderId="21" xfId="8" applyNumberFormat="1" applyFont="1" applyFill="1" applyBorder="1"/>
    <xf numFmtId="37" fontId="48" fillId="0" borderId="0" xfId="8" applyNumberFormat="1" applyFont="1" applyFill="1" applyBorder="1"/>
    <xf numFmtId="37" fontId="47" fillId="0" borderId="20" xfId="8" applyNumberFormat="1" applyFont="1" applyFill="1" applyBorder="1"/>
    <xf numFmtId="37" fontId="41" fillId="4" borderId="0" xfId="0" applyNumberFormat="1" applyFont="1" applyFill="1" applyBorder="1" applyAlignment="1">
      <alignment horizontal="right"/>
    </xf>
    <xf numFmtId="37" fontId="31" fillId="0" borderId="0" xfId="0" applyNumberFormat="1" applyFont="1" applyFill="1" applyBorder="1" applyAlignment="1">
      <alignment horizontal="right"/>
    </xf>
    <xf numFmtId="37" fontId="31" fillId="0" borderId="20" xfId="8" applyNumberFormat="1" applyFont="1" applyFill="1" applyBorder="1" applyAlignment="1">
      <alignment horizontal="right"/>
    </xf>
    <xf numFmtId="37" fontId="31" fillId="0" borderId="0" xfId="8" applyNumberFormat="1" applyFont="1" applyFill="1" applyBorder="1" applyAlignment="1">
      <alignment horizontal="right"/>
    </xf>
    <xf numFmtId="37" fontId="31" fillId="0" borderId="21" xfId="8" applyNumberFormat="1" applyFont="1" applyFill="1" applyBorder="1" applyAlignment="1">
      <alignment horizontal="right"/>
    </xf>
    <xf numFmtId="37" fontId="31" fillId="0" borderId="26" xfId="8" applyNumberFormat="1" applyFont="1" applyFill="1" applyBorder="1" applyAlignment="1">
      <alignment horizontal="right"/>
    </xf>
    <xf numFmtId="37" fontId="31" fillId="0" borderId="0" xfId="0" applyNumberFormat="1" applyFont="1" applyAlignment="1">
      <alignment horizontal="right"/>
    </xf>
    <xf numFmtId="37" fontId="31" fillId="0" borderId="0" xfId="0" applyNumberFormat="1" applyFont="1" applyFill="1" applyBorder="1" applyAlignment="1">
      <alignment horizontal="left"/>
    </xf>
    <xf numFmtId="37" fontId="41" fillId="4" borderId="0" xfId="0" applyNumberFormat="1" applyFont="1" applyFill="1" applyBorder="1" applyAlignment="1"/>
    <xf numFmtId="37" fontId="31" fillId="0" borderId="0" xfId="0" applyNumberFormat="1" applyFont="1" applyFill="1" applyBorder="1" applyAlignment="1"/>
    <xf numFmtId="37" fontId="31" fillId="0" borderId="20" xfId="8" applyNumberFormat="1" applyFont="1" applyFill="1" applyBorder="1" applyAlignment="1"/>
    <xf numFmtId="37" fontId="31" fillId="0" borderId="0" xfId="8" applyNumberFormat="1" applyFont="1" applyFill="1" applyBorder="1" applyAlignment="1"/>
    <xf numFmtId="37" fontId="31" fillId="0" borderId="21" xfId="8" applyNumberFormat="1" applyFont="1" applyFill="1" applyBorder="1" applyAlignment="1"/>
    <xf numFmtId="37" fontId="31" fillId="0" borderId="26" xfId="8" applyNumberFormat="1" applyFont="1" applyFill="1" applyBorder="1" applyAlignment="1"/>
    <xf numFmtId="37" fontId="31" fillId="0" borderId="0" xfId="0" applyNumberFormat="1" applyFont="1" applyAlignment="1"/>
    <xf numFmtId="37" fontId="31" fillId="0" borderId="0" xfId="0" applyNumberFormat="1" applyFont="1" applyFill="1" applyBorder="1" applyAlignment="1">
      <alignment horizontal="left" indent="1"/>
    </xf>
    <xf numFmtId="166" fontId="41" fillId="4" borderId="0" xfId="0" applyNumberFormat="1" applyFont="1" applyFill="1" applyBorder="1" applyAlignment="1">
      <alignment horizontal="left"/>
    </xf>
    <xf numFmtId="166" fontId="31" fillId="0" borderId="0" xfId="0" applyNumberFormat="1" applyFont="1" applyFill="1" applyBorder="1"/>
    <xf numFmtId="166" fontId="31" fillId="0" borderId="0" xfId="0" applyNumberFormat="1" applyFont="1"/>
    <xf numFmtId="166" fontId="34" fillId="0" borderId="0" xfId="8" applyNumberFormat="1" applyFont="1" applyFill="1" applyBorder="1"/>
    <xf numFmtId="166" fontId="34" fillId="0" borderId="21" xfId="8" applyNumberFormat="1" applyFont="1" applyFill="1" applyBorder="1"/>
    <xf numFmtId="166" fontId="44" fillId="4" borderId="0" xfId="0" applyNumberFormat="1" applyFont="1" applyFill="1" applyBorder="1" applyAlignment="1">
      <alignment horizontal="left"/>
    </xf>
    <xf numFmtId="166" fontId="44" fillId="0" borderId="0" xfId="0" applyNumberFormat="1" applyFont="1" applyFill="1" applyBorder="1" applyAlignment="1">
      <alignment horizontal="left" indent="1"/>
    </xf>
    <xf numFmtId="166" fontId="44" fillId="0" borderId="0" xfId="0" applyNumberFormat="1" applyFont="1" applyFill="1" applyBorder="1"/>
    <xf numFmtId="166" fontId="44" fillId="0" borderId="20" xfId="0" applyNumberFormat="1" applyFont="1" applyFill="1" applyBorder="1"/>
    <xf numFmtId="166" fontId="44" fillId="0" borderId="21" xfId="0" applyNumberFormat="1" applyFont="1" applyFill="1" applyBorder="1"/>
    <xf numFmtId="166" fontId="44" fillId="0" borderId="0" xfId="8" applyNumberFormat="1" applyFont="1" applyFill="1" applyBorder="1"/>
    <xf numFmtId="166" fontId="44" fillId="0" borderId="21" xfId="8" applyNumberFormat="1" applyFont="1" applyFill="1" applyBorder="1"/>
    <xf numFmtId="166" fontId="44" fillId="0" borderId="0" xfId="0" applyNumberFormat="1" applyFont="1"/>
    <xf numFmtId="166" fontId="44" fillId="0" borderId="20" xfId="8" applyNumberFormat="1" applyFont="1" applyFill="1" applyBorder="1"/>
    <xf numFmtId="166" fontId="39" fillId="0" borderId="20" xfId="8" applyNumberFormat="1" applyFont="1" applyFill="1" applyBorder="1"/>
    <xf numFmtId="166" fontId="39" fillId="0" borderId="0" xfId="8" applyNumberFormat="1" applyFont="1" applyFill="1" applyBorder="1"/>
    <xf numFmtId="166" fontId="39" fillId="0" borderId="21" xfId="8" applyNumberFormat="1" applyFont="1" applyFill="1" applyBorder="1"/>
    <xf numFmtId="7" fontId="41" fillId="4" borderId="0" xfId="0" applyNumberFormat="1" applyFont="1" applyFill="1" applyBorder="1" applyAlignment="1">
      <alignment horizontal="left"/>
    </xf>
    <xf numFmtId="7" fontId="31" fillId="0" borderId="0" xfId="0" applyNumberFormat="1" applyFont="1"/>
    <xf numFmtId="7" fontId="32" fillId="0" borderId="0" xfId="0" applyNumberFormat="1" applyFont="1" applyFill="1" applyBorder="1"/>
    <xf numFmtId="172" fontId="41" fillId="4" borderId="0" xfId="0" applyNumberFormat="1" applyFont="1" applyFill="1" applyBorder="1" applyAlignment="1">
      <alignment horizontal="left"/>
    </xf>
    <xf numFmtId="172" fontId="31" fillId="0" borderId="0" xfId="0" applyNumberFormat="1" applyFont="1" applyFill="1" applyBorder="1"/>
    <xf numFmtId="172" fontId="31" fillId="0" borderId="20" xfId="0" applyNumberFormat="1" applyFont="1" applyFill="1" applyBorder="1"/>
    <xf numFmtId="172" fontId="31" fillId="0" borderId="21" xfId="0" applyNumberFormat="1" applyFont="1" applyFill="1" applyBorder="1"/>
    <xf numFmtId="172" fontId="31" fillId="0" borderId="0" xfId="0" applyNumberFormat="1" applyFont="1"/>
    <xf numFmtId="166" fontId="44" fillId="0" borderId="0" xfId="0" applyNumberFormat="1" applyFont="1" applyBorder="1"/>
    <xf numFmtId="5" fontId="41" fillId="4" borderId="0" xfId="0" applyNumberFormat="1" applyFont="1" applyFill="1" applyBorder="1" applyAlignment="1">
      <alignment horizontal="left"/>
    </xf>
    <xf numFmtId="37" fontId="44" fillId="0" borderId="0" xfId="0" applyNumberFormat="1" applyFont="1" applyFill="1" applyBorder="1"/>
    <xf numFmtId="37" fontId="44" fillId="0" borderId="0" xfId="0" applyNumberFormat="1" applyFont="1"/>
    <xf numFmtId="37" fontId="30" fillId="4" borderId="0" xfId="0" applyNumberFormat="1" applyFont="1" applyFill="1" applyBorder="1" applyAlignment="1">
      <alignment horizontal="left"/>
    </xf>
    <xf numFmtId="37" fontId="32" fillId="0" borderId="0" xfId="0" applyNumberFormat="1" applyFont="1"/>
    <xf numFmtId="37" fontId="44" fillId="0" borderId="20" xfId="8" applyNumberFormat="1" applyFont="1" applyFill="1" applyBorder="1"/>
    <xf numFmtId="37" fontId="44" fillId="0" borderId="0" xfId="8" applyNumberFormat="1" applyFont="1" applyFill="1" applyBorder="1"/>
    <xf numFmtId="37" fontId="44" fillId="0" borderId="21" xfId="8" applyNumberFormat="1" applyFont="1" applyFill="1" applyBorder="1"/>
    <xf numFmtId="37" fontId="31" fillId="0" borderId="0" xfId="0" applyNumberFormat="1" applyFont="1" applyBorder="1" applyAlignment="1"/>
    <xf numFmtId="37" fontId="31" fillId="0" borderId="10" xfId="0" applyNumberFormat="1" applyFont="1" applyBorder="1" applyAlignment="1">
      <alignment horizontal="left" indent="1"/>
    </xf>
    <xf numFmtId="37" fontId="20" fillId="0" borderId="0" xfId="0" applyNumberFormat="1" applyFont="1" applyBorder="1"/>
    <xf numFmtId="37" fontId="34" fillId="0" borderId="21" xfId="8" applyNumberFormat="1" applyFont="1" applyFill="1" applyBorder="1" applyAlignment="1">
      <alignment horizontal="right"/>
    </xf>
    <xf numFmtId="37" fontId="32" fillId="0" borderId="21" xfId="8" applyNumberFormat="1" applyFont="1" applyFill="1" applyBorder="1" applyAlignment="1">
      <alignment horizontal="right"/>
    </xf>
    <xf numFmtId="37" fontId="32" fillId="0" borderId="0" xfId="0" applyNumberFormat="1" applyFont="1" applyBorder="1"/>
    <xf numFmtId="37" fontId="32" fillId="0" borderId="0" xfId="8" applyNumberFormat="1" applyFont="1" applyFill="1" applyBorder="1" applyAlignment="1">
      <alignment horizontal="right"/>
    </xf>
    <xf numFmtId="37" fontId="32" fillId="0" borderId="26" xfId="8" applyNumberFormat="1" applyFont="1" applyFill="1" applyBorder="1" applyAlignment="1">
      <alignment horizontal="right"/>
    </xf>
    <xf numFmtId="37" fontId="31" fillId="0" borderId="0" xfId="0" applyNumberFormat="1" applyFont="1" applyBorder="1" applyAlignment="1">
      <alignment horizontal="right"/>
    </xf>
    <xf numFmtId="37" fontId="30" fillId="4" borderId="0" xfId="0" applyNumberFormat="1" applyFont="1" applyFill="1" applyBorder="1" applyAlignment="1"/>
    <xf numFmtId="37" fontId="32" fillId="0" borderId="0" xfId="0" applyNumberFormat="1" applyFont="1" applyFill="1" applyBorder="1" applyAlignment="1"/>
    <xf numFmtId="37" fontId="32" fillId="0" borderId="0" xfId="8" applyNumberFormat="1" applyFont="1" applyFill="1" applyBorder="1" applyAlignment="1"/>
    <xf numFmtId="37" fontId="32" fillId="0" borderId="26" xfId="8" applyNumberFormat="1" applyFont="1" applyFill="1" applyBorder="1" applyAlignment="1"/>
    <xf numFmtId="37" fontId="32" fillId="0" borderId="21" xfId="8" applyNumberFormat="1" applyFont="1" applyFill="1" applyBorder="1" applyAlignment="1"/>
    <xf numFmtId="37" fontId="32" fillId="0" borderId="0" xfId="0" applyNumberFormat="1" applyFont="1" applyAlignment="1"/>
    <xf numFmtId="7" fontId="32" fillId="4" borderId="0" xfId="10" applyNumberFormat="1" applyFont="1" applyFill="1" applyBorder="1"/>
    <xf numFmtId="7" fontId="32" fillId="4" borderId="21" xfId="10" applyNumberFormat="1" applyFont="1" applyFill="1" applyBorder="1"/>
    <xf numFmtId="166" fontId="44" fillId="4" borderId="0" xfId="0" applyNumberFormat="1" applyFont="1" applyFill="1" applyBorder="1" applyAlignment="1">
      <alignment horizontal="left" indent="1"/>
    </xf>
    <xf numFmtId="38" fontId="32" fillId="4" borderId="0" xfId="0" applyNumberFormat="1" applyFont="1" applyFill="1" applyBorder="1"/>
    <xf numFmtId="37" fontId="31" fillId="4" borderId="0" xfId="0" applyNumberFormat="1" applyFont="1" applyFill="1" applyBorder="1" applyAlignment="1">
      <alignment horizontal="left" indent="1"/>
    </xf>
    <xf numFmtId="38" fontId="31" fillId="4" borderId="0" xfId="0" applyNumberFormat="1" applyFont="1" applyFill="1" applyBorder="1" applyAlignment="1">
      <alignment horizontal="left" indent="1"/>
    </xf>
    <xf numFmtId="41" fontId="30" fillId="4" borderId="0" xfId="0" applyNumberFormat="1" applyFont="1" applyFill="1"/>
    <xf numFmtId="169" fontId="32" fillId="4" borderId="0" xfId="0" applyNumberFormat="1" applyFont="1" applyFill="1" applyBorder="1"/>
    <xf numFmtId="169" fontId="31" fillId="4" borderId="0" xfId="0" applyNumberFormat="1" applyFont="1" applyFill="1" applyBorder="1" applyAlignment="1">
      <alignment horizontal="left" indent="1"/>
    </xf>
    <xf numFmtId="37" fontId="32" fillId="4" borderId="0" xfId="0" applyNumberFormat="1" applyFont="1" applyFill="1" applyBorder="1"/>
    <xf numFmtId="172" fontId="31" fillId="0" borderId="0" xfId="0" applyNumberFormat="1" applyFont="1" applyFill="1" applyBorder="1" applyAlignment="1">
      <alignment horizontal="left" indent="1"/>
    </xf>
    <xf numFmtId="169" fontId="41" fillId="4" borderId="0" xfId="0" applyNumberFormat="1" applyFont="1" applyFill="1" applyBorder="1" applyAlignment="1">
      <alignment horizontal="left"/>
    </xf>
    <xf numFmtId="169" fontId="31" fillId="0" borderId="0" xfId="0" applyNumberFormat="1" applyFont="1" applyFill="1" applyBorder="1"/>
    <xf numFmtId="169" fontId="31" fillId="0" borderId="20" xfId="0" applyNumberFormat="1" applyFont="1" applyFill="1" applyBorder="1"/>
    <xf numFmtId="169" fontId="31" fillId="0" borderId="21" xfId="0" applyNumberFormat="1" applyFont="1" applyFill="1" applyBorder="1"/>
    <xf numFmtId="169" fontId="39" fillId="0" borderId="21" xfId="8" applyNumberFormat="1" applyFont="1" applyFill="1" applyBorder="1"/>
    <xf numFmtId="169" fontId="31" fillId="0" borderId="0" xfId="10" applyNumberFormat="1" applyFont="1" applyFill="1" applyBorder="1"/>
    <xf numFmtId="169" fontId="39" fillId="0" borderId="0" xfId="8" applyNumberFormat="1" applyFont="1" applyFill="1" applyBorder="1"/>
    <xf numFmtId="169" fontId="31" fillId="0" borderId="0" xfId="0" applyNumberFormat="1" applyFont="1"/>
    <xf numFmtId="169" fontId="39" fillId="0" borderId="20" xfId="8" applyNumberFormat="1" applyFont="1" applyFill="1" applyBorder="1"/>
    <xf numFmtId="169" fontId="34" fillId="0" borderId="0" xfId="8" applyNumberFormat="1" applyFont="1" applyFill="1" applyBorder="1"/>
    <xf numFmtId="7" fontId="34" fillId="0" borderId="0" xfId="10" applyNumberFormat="1" applyFont="1" applyFill="1" applyBorder="1"/>
    <xf numFmtId="7" fontId="34" fillId="0" borderId="21" xfId="10" applyNumberFormat="1" applyFont="1" applyFill="1" applyBorder="1"/>
    <xf numFmtId="7" fontId="32" fillId="4" borderId="3" xfId="0" applyNumberFormat="1" applyFont="1" applyFill="1" applyBorder="1"/>
    <xf numFmtId="7" fontId="32" fillId="4" borderId="4" xfId="0" applyNumberFormat="1" applyFont="1" applyFill="1" applyBorder="1"/>
    <xf numFmtId="7" fontId="32" fillId="4" borderId="27" xfId="10" applyNumberFormat="1" applyFont="1" applyFill="1" applyBorder="1"/>
    <xf numFmtId="7" fontId="32" fillId="4" borderId="4" xfId="10" applyNumberFormat="1" applyFont="1" applyFill="1" applyBorder="1"/>
    <xf numFmtId="7" fontId="32" fillId="4" borderId="28" xfId="10" applyNumberFormat="1" applyFont="1" applyFill="1" applyBorder="1"/>
    <xf numFmtId="37" fontId="32" fillId="4" borderId="13" xfId="0" applyNumberFormat="1" applyFont="1" applyFill="1" applyBorder="1"/>
    <xf numFmtId="37" fontId="32" fillId="4" borderId="7" xfId="0" applyNumberFormat="1" applyFont="1" applyFill="1" applyBorder="1"/>
    <xf numFmtId="37" fontId="32" fillId="4" borderId="7" xfId="8" applyNumberFormat="1" applyFont="1" applyFill="1" applyBorder="1"/>
    <xf numFmtId="37" fontId="32" fillId="4" borderId="29" xfId="8" applyNumberFormat="1" applyFont="1" applyFill="1" applyBorder="1"/>
    <xf numFmtId="7" fontId="32" fillId="4" borderId="5" xfId="0" applyNumberFormat="1" applyFont="1" applyFill="1" applyBorder="1"/>
    <xf numFmtId="7" fontId="32" fillId="4" borderId="5" xfId="8" applyNumberFormat="1" applyFont="1" applyFill="1" applyBorder="1"/>
    <xf numFmtId="7" fontId="32" fillId="4" borderId="30" xfId="8" applyNumberFormat="1" applyFont="1" applyFill="1" applyBorder="1"/>
    <xf numFmtId="166" fontId="31" fillId="4" borderId="0" xfId="0" applyNumberFormat="1" applyFont="1" applyFill="1" applyBorder="1" applyAlignment="1">
      <alignment horizontal="left" indent="1"/>
    </xf>
    <xf numFmtId="166" fontId="31" fillId="4" borderId="0" xfId="0" applyNumberFormat="1" applyFont="1" applyFill="1" applyBorder="1" applyAlignment="1">
      <alignment horizontal="left"/>
    </xf>
    <xf numFmtId="166" fontId="31" fillId="0" borderId="20" xfId="8" applyNumberFormat="1" applyFont="1" applyFill="1" applyBorder="1"/>
    <xf numFmtId="166" fontId="31" fillId="0" borderId="0" xfId="8" applyNumberFormat="1" applyFont="1" applyFill="1" applyBorder="1"/>
    <xf numFmtId="166" fontId="31" fillId="0" borderId="21" xfId="8" applyNumberFormat="1" applyFont="1" applyFill="1" applyBorder="1"/>
    <xf numFmtId="166" fontId="34" fillId="0" borderId="20" xfId="8" applyNumberFormat="1" applyFont="1" applyFill="1" applyBorder="1"/>
    <xf numFmtId="166" fontId="44" fillId="0" borderId="20" xfId="10" applyNumberFormat="1" applyFont="1" applyFill="1" applyBorder="1"/>
    <xf numFmtId="166" fontId="44" fillId="0" borderId="0" xfId="10" applyNumberFormat="1" applyFont="1" applyFill="1" applyBorder="1"/>
    <xf numFmtId="166" fontId="44" fillId="0" borderId="21" xfId="10" applyNumberFormat="1" applyFont="1" applyFill="1" applyBorder="1"/>
    <xf numFmtId="166" fontId="44" fillId="4" borderId="0" xfId="10" applyNumberFormat="1" applyFont="1" applyFill="1" applyBorder="1"/>
    <xf numFmtId="166" fontId="44" fillId="4" borderId="21" xfId="10" applyNumberFormat="1" applyFont="1" applyFill="1" applyBorder="1"/>
    <xf numFmtId="37" fontId="31" fillId="4" borderId="0" xfId="8" applyNumberFormat="1" applyFont="1" applyFill="1" applyBorder="1"/>
    <xf numFmtId="37" fontId="45" fillId="4" borderId="0" xfId="8" applyNumberFormat="1" applyFont="1" applyFill="1" applyBorder="1"/>
    <xf numFmtId="37" fontId="48" fillId="4" borderId="0" xfId="8" applyNumberFormat="1" applyFont="1" applyFill="1" applyBorder="1"/>
    <xf numFmtId="37" fontId="32" fillId="4" borderId="0" xfId="8" applyNumberFormat="1" applyFont="1" applyFill="1" applyBorder="1" applyAlignment="1">
      <alignment horizontal="right"/>
    </xf>
    <xf numFmtId="37" fontId="45" fillId="4" borderId="10" xfId="8" applyNumberFormat="1" applyFont="1" applyFill="1" applyBorder="1"/>
    <xf numFmtId="37" fontId="32" fillId="4" borderId="0" xfId="8" applyNumberFormat="1" applyFont="1" applyFill="1" applyBorder="1"/>
    <xf numFmtId="37" fontId="39" fillId="4" borderId="0" xfId="8" applyNumberFormat="1" applyFont="1" applyFill="1" applyBorder="1"/>
    <xf numFmtId="37" fontId="34" fillId="4" borderId="10" xfId="8" applyNumberFormat="1" applyFont="1" applyFill="1" applyBorder="1"/>
    <xf numFmtId="37" fontId="34" fillId="4" borderId="0" xfId="8" applyNumberFormat="1" applyFont="1" applyFill="1" applyBorder="1"/>
    <xf numFmtId="37" fontId="31" fillId="0" borderId="20" xfId="10" applyNumberFormat="1" applyFont="1" applyFill="1" applyBorder="1"/>
    <xf numFmtId="37" fontId="31" fillId="4" borderId="0" xfId="10" applyNumberFormat="1" applyFont="1" applyFill="1" applyBorder="1"/>
    <xf numFmtId="37" fontId="31" fillId="4" borderId="21" xfId="10" applyNumberFormat="1" applyFont="1" applyFill="1" applyBorder="1"/>
    <xf numFmtId="37" fontId="34" fillId="4" borderId="0" xfId="10" applyNumberFormat="1" applyFont="1" applyFill="1" applyBorder="1"/>
    <xf numFmtId="7" fontId="34" fillId="4" borderId="0" xfId="10" applyNumberFormat="1" applyFont="1" applyFill="1" applyBorder="1"/>
    <xf numFmtId="37" fontId="34" fillId="0" borderId="0" xfId="10" applyNumberFormat="1" applyFont="1" applyFill="1" applyBorder="1"/>
    <xf numFmtId="7" fontId="29" fillId="4" borderId="0" xfId="10" applyNumberFormat="1" applyFont="1" applyFill="1" applyBorder="1"/>
    <xf numFmtId="37" fontId="34" fillId="4" borderId="21" xfId="10" applyNumberFormat="1" applyFont="1" applyFill="1" applyBorder="1"/>
    <xf numFmtId="7" fontId="31" fillId="4" borderId="0" xfId="0" applyNumberFormat="1" applyFont="1" applyFill="1" applyBorder="1" applyAlignment="1">
      <alignment horizontal="left" indent="1"/>
    </xf>
    <xf numFmtId="0" fontId="32" fillId="4" borderId="0" xfId="13" applyFont="1" applyFill="1"/>
    <xf numFmtId="0" fontId="31" fillId="4" borderId="0" xfId="13" applyFont="1" applyFill="1" applyAlignment="1">
      <alignment horizontal="center"/>
    </xf>
    <xf numFmtId="0" fontId="31" fillId="4" borderId="0" xfId="13" applyFont="1" applyFill="1"/>
    <xf numFmtId="0" fontId="49" fillId="3" borderId="0" xfId="13" applyFont="1" applyFill="1"/>
    <xf numFmtId="0" fontId="49" fillId="3" borderId="0" xfId="13" applyFont="1" applyFill="1" applyAlignment="1">
      <alignment horizontal="center"/>
    </xf>
    <xf numFmtId="0" fontId="32" fillId="4" borderId="39" xfId="13" applyFont="1" applyFill="1" applyBorder="1"/>
    <xf numFmtId="0" fontId="32" fillId="7" borderId="40" xfId="13" applyFont="1" applyFill="1" applyBorder="1" applyAlignment="1">
      <alignment horizontal="center"/>
    </xf>
    <xf numFmtId="0" fontId="21" fillId="7" borderId="40" xfId="13" applyFont="1" applyFill="1" applyBorder="1" applyAlignment="1">
      <alignment horizontal="center"/>
    </xf>
    <xf numFmtId="38" fontId="31" fillId="4" borderId="41" xfId="13" applyNumberFormat="1" applyFont="1" applyFill="1" applyBorder="1"/>
    <xf numFmtId="38" fontId="31" fillId="4" borderId="41" xfId="13" applyNumberFormat="1" applyFont="1" applyFill="1" applyBorder="1" applyAlignment="1">
      <alignment horizontal="center"/>
    </xf>
    <xf numFmtId="38" fontId="31" fillId="4" borderId="42" xfId="13" applyNumberFormat="1" applyFont="1" applyFill="1" applyBorder="1" applyAlignment="1">
      <alignment horizontal="center"/>
    </xf>
    <xf numFmtId="38" fontId="34" fillId="4" borderId="43" xfId="13" applyNumberFormat="1" applyFont="1" applyFill="1" applyBorder="1" applyAlignment="1">
      <alignment horizontal="center"/>
    </xf>
    <xf numFmtId="38" fontId="34" fillId="4" borderId="44" xfId="13" applyNumberFormat="1" applyFont="1" applyFill="1" applyBorder="1" applyAlignment="1">
      <alignment horizontal="center"/>
    </xf>
    <xf numFmtId="0" fontId="31" fillId="4" borderId="0" xfId="13" applyFont="1" applyFill="1" applyBorder="1"/>
    <xf numFmtId="38" fontId="31" fillId="4" borderId="0" xfId="13" applyNumberFormat="1" applyFont="1" applyFill="1" applyBorder="1"/>
    <xf numFmtId="38" fontId="31" fillId="4" borderId="45" xfId="13" applyNumberFormat="1" applyFont="1" applyFill="1" applyBorder="1"/>
    <xf numFmtId="38" fontId="31" fillId="4" borderId="45" xfId="13" applyNumberFormat="1" applyFont="1" applyFill="1" applyBorder="1" applyAlignment="1">
      <alignment horizontal="center"/>
    </xf>
    <xf numFmtId="38" fontId="31" fillId="4" borderId="46" xfId="13" applyNumberFormat="1" applyFont="1" applyFill="1" applyBorder="1" applyAlignment="1">
      <alignment horizontal="center"/>
    </xf>
    <xf numFmtId="38" fontId="31" fillId="4" borderId="47" xfId="13" applyNumberFormat="1" applyFont="1" applyFill="1" applyBorder="1" applyAlignment="1">
      <alignment horizontal="center"/>
    </xf>
    <xf numFmtId="38" fontId="31" fillId="4" borderId="48" xfId="13" applyNumberFormat="1" applyFont="1" applyFill="1" applyBorder="1" applyAlignment="1">
      <alignment horizontal="center"/>
    </xf>
    <xf numFmtId="38" fontId="34" fillId="4" borderId="46" xfId="13" applyNumberFormat="1" applyFont="1" applyFill="1" applyBorder="1" applyAlignment="1">
      <alignment horizontal="center"/>
    </xf>
    <xf numFmtId="38" fontId="34" fillId="4" borderId="48" xfId="13" applyNumberFormat="1" applyFont="1" applyFill="1" applyBorder="1" applyAlignment="1">
      <alignment horizontal="center"/>
    </xf>
    <xf numFmtId="166" fontId="31" fillId="4" borderId="45" xfId="13" applyNumberFormat="1" applyFont="1" applyFill="1" applyBorder="1"/>
    <xf numFmtId="166" fontId="31" fillId="4" borderId="45" xfId="13" applyNumberFormat="1" applyFont="1" applyFill="1" applyBorder="1" applyAlignment="1">
      <alignment horizontal="center"/>
    </xf>
    <xf numFmtId="166" fontId="31" fillId="4" borderId="46" xfId="13" applyNumberFormat="1" applyFont="1" applyFill="1" applyBorder="1" applyAlignment="1">
      <alignment horizontal="center"/>
    </xf>
    <xf numFmtId="166" fontId="31" fillId="4" borderId="47" xfId="13" applyNumberFormat="1" applyFont="1" applyFill="1" applyBorder="1" applyAlignment="1">
      <alignment horizontal="center"/>
    </xf>
    <xf numFmtId="166" fontId="31" fillId="4" borderId="48" xfId="13" applyNumberFormat="1" applyFont="1" applyFill="1" applyBorder="1" applyAlignment="1">
      <alignment horizontal="center"/>
    </xf>
    <xf numFmtId="166" fontId="31" fillId="4" borderId="0" xfId="13" applyNumberFormat="1" applyFont="1" applyFill="1" applyBorder="1"/>
    <xf numFmtId="38" fontId="34" fillId="4" borderId="47" xfId="13" applyNumberFormat="1" applyFont="1" applyFill="1" applyBorder="1" applyAlignment="1">
      <alignment horizontal="center"/>
    </xf>
    <xf numFmtId="38" fontId="29" fillId="4" borderId="41" xfId="13" applyNumberFormat="1" applyFont="1" applyFill="1" applyBorder="1" applyAlignment="1">
      <alignment horizontal="center"/>
    </xf>
    <xf numFmtId="38" fontId="29" fillId="4" borderId="45" xfId="13" applyNumberFormat="1" applyFont="1" applyFill="1" applyBorder="1" applyAlignment="1">
      <alignment horizontal="center"/>
    </xf>
    <xf numFmtId="37" fontId="31" fillId="4" borderId="0" xfId="13" applyNumberFormat="1" applyFont="1" applyFill="1" applyBorder="1"/>
    <xf numFmtId="37" fontId="31" fillId="4" borderId="49" xfId="13" applyNumberFormat="1" applyFont="1" applyFill="1" applyBorder="1"/>
    <xf numFmtId="37" fontId="29" fillId="4" borderId="49" xfId="13" applyNumberFormat="1" applyFont="1" applyFill="1" applyBorder="1" applyAlignment="1">
      <alignment horizontal="center"/>
    </xf>
    <xf numFmtId="37" fontId="31" fillId="4" borderId="50" xfId="13" applyNumberFormat="1" applyFont="1" applyFill="1" applyBorder="1" applyAlignment="1">
      <alignment horizontal="center"/>
    </xf>
    <xf numFmtId="37" fontId="31" fillId="4" borderId="51" xfId="13" applyNumberFormat="1" applyFont="1" applyFill="1" applyBorder="1" applyAlignment="1">
      <alignment horizontal="center"/>
    </xf>
    <xf numFmtId="37" fontId="31" fillId="4" borderId="52" xfId="13" applyNumberFormat="1" applyFont="1" applyFill="1" applyBorder="1" applyAlignment="1">
      <alignment horizontal="center"/>
    </xf>
    <xf numFmtId="37" fontId="31" fillId="4" borderId="49" xfId="13" applyNumberFormat="1" applyFont="1" applyFill="1" applyBorder="1" applyAlignment="1">
      <alignment horizontal="center"/>
    </xf>
    <xf numFmtId="37" fontId="34" fillId="4" borderId="51" xfId="13" applyNumberFormat="1" applyFont="1" applyFill="1" applyBorder="1" applyAlignment="1">
      <alignment horizontal="center"/>
    </xf>
    <xf numFmtId="38" fontId="31" fillId="4" borderId="49" xfId="13" applyNumberFormat="1" applyFont="1" applyFill="1" applyBorder="1" applyAlignment="1">
      <alignment horizontal="center"/>
    </xf>
    <xf numFmtId="38" fontId="34" fillId="4" borderId="42" xfId="13" applyNumberFormat="1" applyFont="1" applyFill="1" applyBorder="1" applyAlignment="1">
      <alignment horizontal="center"/>
    </xf>
    <xf numFmtId="166" fontId="31" fillId="4" borderId="0" xfId="13" applyNumberFormat="1" applyFont="1" applyFill="1" applyBorder="1" applyAlignment="1">
      <alignment horizontal="center"/>
    </xf>
    <xf numFmtId="37" fontId="34" fillId="4" borderId="50" xfId="13" applyNumberFormat="1" applyFont="1" applyFill="1" applyBorder="1" applyAlignment="1">
      <alignment horizontal="center"/>
    </xf>
    <xf numFmtId="37" fontId="34" fillId="4" borderId="52" xfId="13" applyNumberFormat="1" applyFont="1" applyFill="1" applyBorder="1" applyAlignment="1">
      <alignment horizontal="center"/>
    </xf>
    <xf numFmtId="166" fontId="34" fillId="4" borderId="47" xfId="13" applyNumberFormat="1" applyFont="1" applyFill="1" applyBorder="1" applyAlignment="1">
      <alignment horizontal="center"/>
    </xf>
    <xf numFmtId="166" fontId="29" fillId="4" borderId="45" xfId="13" applyNumberFormat="1" applyFont="1" applyFill="1" applyBorder="1" applyAlignment="1">
      <alignment horizontal="center"/>
    </xf>
    <xf numFmtId="0" fontId="32" fillId="7" borderId="38" xfId="13" applyFont="1" applyFill="1" applyBorder="1" applyAlignment="1">
      <alignment horizontal="center"/>
    </xf>
    <xf numFmtId="37" fontId="31" fillId="4" borderId="53" xfId="13" applyNumberFormat="1" applyFont="1" applyFill="1" applyBorder="1" applyAlignment="1">
      <alignment horizontal="center"/>
    </xf>
    <xf numFmtId="38" fontId="32" fillId="8" borderId="41" xfId="13" applyNumberFormat="1" applyFont="1" applyFill="1" applyBorder="1" applyAlignment="1">
      <alignment horizontal="center"/>
    </xf>
    <xf numFmtId="38" fontId="32" fillId="8" borderId="42" xfId="13" applyNumberFormat="1" applyFont="1" applyFill="1" applyBorder="1" applyAlignment="1">
      <alignment horizontal="center"/>
    </xf>
    <xf numFmtId="38" fontId="32" fillId="8" borderId="45" xfId="13" applyNumberFormat="1" applyFont="1" applyFill="1" applyBorder="1" applyAlignment="1">
      <alignment horizontal="center"/>
    </xf>
    <xf numFmtId="38" fontId="32" fillId="8" borderId="47" xfId="13" applyNumberFormat="1" applyFont="1" applyFill="1" applyBorder="1" applyAlignment="1">
      <alignment horizontal="center"/>
    </xf>
    <xf numFmtId="0" fontId="49" fillId="3" borderId="0" xfId="13" applyFont="1" applyFill="1" applyAlignment="1">
      <alignment horizontal="left"/>
    </xf>
    <xf numFmtId="0" fontId="32" fillId="7" borderId="54" xfId="13" applyFont="1" applyFill="1" applyBorder="1" applyAlignment="1">
      <alignment horizontal="center"/>
    </xf>
    <xf numFmtId="38" fontId="31" fillId="4" borderId="55" xfId="13" applyNumberFormat="1" applyFont="1" applyFill="1" applyBorder="1" applyAlignment="1">
      <alignment horizontal="center"/>
    </xf>
    <xf numFmtId="38" fontId="31" fillId="4" borderId="0" xfId="13" applyNumberFormat="1" applyFont="1" applyFill="1" applyBorder="1" applyAlignment="1">
      <alignment horizontal="center"/>
    </xf>
    <xf numFmtId="37" fontId="31" fillId="4" borderId="39" xfId="13" applyNumberFormat="1" applyFont="1" applyFill="1" applyBorder="1" applyAlignment="1">
      <alignment horizontal="center"/>
    </xf>
    <xf numFmtId="0" fontId="32" fillId="7" borderId="56" xfId="13" applyFont="1" applyFill="1" applyBorder="1" applyAlignment="1">
      <alignment horizontal="center"/>
    </xf>
    <xf numFmtId="38" fontId="31" fillId="4" borderId="57" xfId="13" applyNumberFormat="1" applyFont="1" applyFill="1" applyBorder="1" applyAlignment="1">
      <alignment horizontal="center"/>
    </xf>
    <xf numFmtId="38" fontId="31" fillId="4" borderId="19" xfId="13" applyNumberFormat="1" applyFont="1" applyFill="1" applyBorder="1" applyAlignment="1">
      <alignment horizontal="center"/>
    </xf>
    <xf numFmtId="166" fontId="31" fillId="4" borderId="19" xfId="13" applyNumberFormat="1" applyFont="1" applyFill="1" applyBorder="1" applyAlignment="1">
      <alignment horizontal="center"/>
    </xf>
    <xf numFmtId="37" fontId="31" fillId="4" borderId="31" xfId="13" applyNumberFormat="1" applyFont="1" applyFill="1" applyBorder="1" applyAlignment="1">
      <alignment horizontal="center"/>
    </xf>
    <xf numFmtId="0" fontId="44" fillId="4" borderId="0" xfId="0" applyFont="1" applyFill="1" applyBorder="1" applyAlignment="1">
      <alignment horizontal="left"/>
    </xf>
    <xf numFmtId="169" fontId="35" fillId="4" borderId="0" xfId="0" applyNumberFormat="1" applyFont="1" applyFill="1" applyBorder="1" applyAlignment="1">
      <alignment horizontal="left"/>
    </xf>
    <xf numFmtId="37" fontId="31" fillId="4" borderId="0" xfId="8" applyNumberFormat="1" applyFont="1" applyFill="1" applyBorder="1" applyAlignment="1">
      <alignment horizontal="right"/>
    </xf>
    <xf numFmtId="37" fontId="34" fillId="4" borderId="21" xfId="8" applyNumberFormat="1" applyFont="1" applyFill="1" applyBorder="1"/>
    <xf numFmtId="166" fontId="44" fillId="4" borderId="0" xfId="8" applyNumberFormat="1" applyFont="1" applyFill="1" applyBorder="1"/>
    <xf numFmtId="166" fontId="44" fillId="4" borderId="21" xfId="8" applyNumberFormat="1" applyFont="1" applyFill="1" applyBorder="1"/>
    <xf numFmtId="37" fontId="34" fillId="4" borderId="24" xfId="8" applyNumberFormat="1" applyFont="1" applyFill="1" applyBorder="1"/>
    <xf numFmtId="166" fontId="44" fillId="4" borderId="0" xfId="0" applyNumberFormat="1" applyFont="1" applyFill="1" applyBorder="1"/>
    <xf numFmtId="166" fontId="44" fillId="4" borderId="21" xfId="0" applyNumberFormat="1" applyFont="1" applyFill="1" applyBorder="1"/>
    <xf numFmtId="0" fontId="31" fillId="4" borderId="21" xfId="0" applyFont="1" applyFill="1" applyBorder="1"/>
    <xf numFmtId="166" fontId="44" fillId="4" borderId="10" xfId="8" applyNumberFormat="1" applyFont="1" applyFill="1" applyBorder="1"/>
    <xf numFmtId="166" fontId="44" fillId="4" borderId="24" xfId="8" applyNumberFormat="1" applyFont="1" applyFill="1" applyBorder="1"/>
    <xf numFmtId="37" fontId="31" fillId="4" borderId="0" xfId="8" applyNumberFormat="1" applyFont="1" applyFill="1" applyBorder="1" applyAlignment="1"/>
    <xf numFmtId="37" fontId="31" fillId="4" borderId="21" xfId="8" applyNumberFormat="1" applyFont="1" applyFill="1" applyBorder="1" applyAlignment="1"/>
    <xf numFmtId="164" fontId="32" fillId="4" borderId="0" xfId="8" applyNumberFormat="1" applyFont="1" applyFill="1" applyBorder="1"/>
    <xf numFmtId="164" fontId="32" fillId="4" borderId="21" xfId="8" applyNumberFormat="1" applyFont="1" applyFill="1" applyBorder="1"/>
    <xf numFmtId="37" fontId="32" fillId="4" borderId="21" xfId="8" applyNumberFormat="1" applyFont="1" applyFill="1" applyBorder="1"/>
    <xf numFmtId="166" fontId="34" fillId="4" borderId="0" xfId="8" applyNumberFormat="1" applyFont="1" applyFill="1" applyBorder="1"/>
    <xf numFmtId="166" fontId="34" fillId="4" borderId="21" xfId="8" applyNumberFormat="1" applyFont="1" applyFill="1" applyBorder="1"/>
    <xf numFmtId="37" fontId="35" fillId="4" borderId="0" xfId="12" applyNumberFormat="1" applyFont="1" applyFill="1" applyBorder="1" applyAlignment="1">
      <alignment horizontal="right"/>
    </xf>
    <xf numFmtId="37" fontId="34" fillId="4" borderId="10" xfId="12" applyNumberFormat="1" applyFont="1" applyFill="1" applyBorder="1" applyAlignment="1">
      <alignment horizontal="right"/>
    </xf>
    <xf numFmtId="37" fontId="32" fillId="4" borderId="0" xfId="12" applyNumberFormat="1" applyFont="1" applyFill="1" applyBorder="1" applyAlignment="1">
      <alignment horizontal="right"/>
    </xf>
    <xf numFmtId="41" fontId="31" fillId="4" borderId="0" xfId="12" applyNumberFormat="1" applyFont="1" applyFill="1" applyBorder="1" applyAlignment="1">
      <alignment horizontal="right"/>
    </xf>
    <xf numFmtId="37" fontId="34" fillId="4" borderId="0" xfId="12" applyNumberFormat="1" applyFont="1" applyFill="1" applyBorder="1" applyAlignment="1">
      <alignment horizontal="right"/>
    </xf>
    <xf numFmtId="37" fontId="31" fillId="4" borderId="0" xfId="12" applyNumberFormat="1" applyFont="1" applyFill="1" applyBorder="1" applyAlignment="1">
      <alignment horizontal="right"/>
    </xf>
    <xf numFmtId="37" fontId="32" fillId="4" borderId="9" xfId="12" applyNumberFormat="1" applyFont="1" applyFill="1" applyBorder="1" applyAlignment="1">
      <alignment horizontal="right"/>
    </xf>
    <xf numFmtId="41" fontId="34" fillId="4" borderId="0" xfId="12" applyNumberFormat="1" applyFont="1" applyFill="1" applyBorder="1" applyAlignment="1">
      <alignment horizontal="right"/>
    </xf>
    <xf numFmtId="7" fontId="32" fillId="4" borderId="0" xfId="12" applyNumberFormat="1" applyFont="1" applyFill="1" applyBorder="1" applyAlignment="1">
      <alignment horizontal="right"/>
    </xf>
    <xf numFmtId="41" fontId="34" fillId="4" borderId="0" xfId="12" applyNumberFormat="1" applyFont="1" applyFill="1" applyBorder="1"/>
    <xf numFmtId="37" fontId="31" fillId="4" borderId="10" xfId="12" applyNumberFormat="1" applyFont="1" applyFill="1" applyBorder="1" applyAlignment="1">
      <alignment horizontal="right"/>
    </xf>
    <xf numFmtId="166" fontId="32" fillId="4" borderId="0" xfId="12" applyNumberFormat="1" applyFont="1" applyFill="1" applyBorder="1" applyAlignment="1">
      <alignment horizontal="right"/>
    </xf>
    <xf numFmtId="166" fontId="31" fillId="4" borderId="10" xfId="12" applyNumberFormat="1" applyFont="1" applyFill="1" applyBorder="1" applyAlignment="1">
      <alignment horizontal="right"/>
    </xf>
    <xf numFmtId="8" fontId="32" fillId="4" borderId="0" xfId="12" applyNumberFormat="1" applyFont="1" applyFill="1" applyBorder="1" applyAlignment="1">
      <alignment horizontal="right"/>
    </xf>
    <xf numFmtId="8" fontId="31" fillId="4" borderId="0" xfId="12" applyNumberFormat="1" applyFont="1" applyFill="1" applyBorder="1" applyAlignment="1">
      <alignment horizontal="right"/>
    </xf>
    <xf numFmtId="8" fontId="31" fillId="4" borderId="10" xfId="12" applyNumberFormat="1" applyFont="1" applyFill="1" applyBorder="1" applyAlignment="1">
      <alignment horizontal="right"/>
    </xf>
    <xf numFmtId="41" fontId="30" fillId="3" borderId="58" xfId="12" applyNumberFormat="1" applyFont="1" applyFill="1" applyBorder="1" applyAlignment="1">
      <alignment horizontal="center" vertical="center"/>
    </xf>
    <xf numFmtId="0" fontId="31" fillId="4" borderId="58" xfId="12" applyFont="1" applyFill="1" applyBorder="1"/>
    <xf numFmtId="166" fontId="32" fillId="4" borderId="58" xfId="12" applyNumberFormat="1" applyFont="1" applyFill="1" applyBorder="1" applyAlignment="1">
      <alignment horizontal="right"/>
    </xf>
    <xf numFmtId="166" fontId="31" fillId="4" borderId="59" xfId="12" applyNumberFormat="1" applyFont="1" applyFill="1" applyBorder="1" applyAlignment="1">
      <alignment horizontal="right"/>
    </xf>
    <xf numFmtId="8" fontId="32" fillId="4" borderId="58" xfId="12" applyNumberFormat="1" applyFont="1" applyFill="1" applyBorder="1" applyAlignment="1">
      <alignment horizontal="right"/>
    </xf>
    <xf numFmtId="8" fontId="31" fillId="4" borderId="58" xfId="12" applyNumberFormat="1" applyFont="1" applyFill="1" applyBorder="1" applyAlignment="1">
      <alignment horizontal="right"/>
    </xf>
    <xf numFmtId="8" fontId="31" fillId="4" borderId="59" xfId="12" applyNumberFormat="1" applyFont="1" applyFill="1" applyBorder="1" applyAlignment="1">
      <alignment horizontal="right"/>
    </xf>
    <xf numFmtId="0" fontId="30" fillId="3" borderId="0" xfId="12" applyFont="1" applyFill="1" applyBorder="1" applyAlignment="1">
      <alignment vertical="center"/>
    </xf>
    <xf numFmtId="41" fontId="30" fillId="3" borderId="45" xfId="12" applyNumberFormat="1" applyFont="1" applyFill="1" applyBorder="1" applyAlignment="1">
      <alignment horizontal="center" vertical="center"/>
    </xf>
    <xf numFmtId="0" fontId="31" fillId="5" borderId="0" xfId="12" applyFont="1" applyFill="1" applyAlignment="1">
      <alignment horizontal="center"/>
    </xf>
    <xf numFmtId="0" fontId="0" fillId="4" borderId="0" xfId="0" applyFill="1" applyAlignment="1">
      <alignment horizontal="center"/>
    </xf>
    <xf numFmtId="0" fontId="0" fillId="0" borderId="0" xfId="0" applyAlignment="1">
      <alignment horizontal="center"/>
    </xf>
    <xf numFmtId="0" fontId="30" fillId="3" borderId="0" xfId="12" applyFont="1" applyFill="1" applyBorder="1" applyAlignment="1">
      <alignment horizontal="left" vertical="center"/>
    </xf>
    <xf numFmtId="8" fontId="31" fillId="4" borderId="58" xfId="18" applyNumberFormat="1" applyFont="1" applyFill="1" applyBorder="1" applyAlignment="1">
      <alignment horizontal="right"/>
    </xf>
    <xf numFmtId="8" fontId="31" fillId="4" borderId="58" xfId="12" applyNumberFormat="1" applyFont="1" applyFill="1" applyBorder="1"/>
    <xf numFmtId="8" fontId="31" fillId="4" borderId="0" xfId="18" applyNumberFormat="1" applyFont="1" applyFill="1" applyBorder="1" applyAlignment="1">
      <alignment horizontal="right"/>
    </xf>
    <xf numFmtId="8" fontId="31" fillId="4" borderId="0" xfId="12" applyNumberFormat="1" applyFont="1" applyFill="1" applyBorder="1"/>
    <xf numFmtId="0" fontId="31" fillId="5" borderId="58" xfId="12" applyFont="1" applyFill="1" applyBorder="1"/>
    <xf numFmtId="41" fontId="31" fillId="5" borderId="58" xfId="12" applyNumberFormat="1" applyFont="1" applyFill="1" applyBorder="1" applyAlignment="1">
      <alignment horizontal="right"/>
    </xf>
    <xf numFmtId="166" fontId="31" fillId="5" borderId="58" xfId="18" applyNumberFormat="1" applyFont="1" applyFill="1" applyBorder="1" applyAlignment="1">
      <alignment horizontal="right"/>
    </xf>
    <xf numFmtId="0" fontId="49" fillId="3" borderId="0" xfId="13" applyFont="1" applyFill="1" applyBorder="1" applyAlignment="1">
      <alignment horizontal="centerContinuous"/>
    </xf>
    <xf numFmtId="0" fontId="50" fillId="3" borderId="0" xfId="13" applyFont="1" applyFill="1" applyBorder="1" applyAlignment="1">
      <alignment horizontal="centerContinuous"/>
    </xf>
    <xf numFmtId="0" fontId="49" fillId="3" borderId="10" xfId="13" applyFont="1" applyFill="1" applyBorder="1" applyAlignment="1">
      <alignment horizontal="centerContinuous"/>
    </xf>
    <xf numFmtId="0" fontId="50" fillId="3" borderId="10" xfId="13" applyFont="1" applyFill="1" applyBorder="1" applyAlignment="1">
      <alignment horizontal="centerContinuous"/>
    </xf>
    <xf numFmtId="0" fontId="32" fillId="4" borderId="0" xfId="13" applyFont="1" applyFill="1" applyBorder="1" applyAlignment="1">
      <alignment horizontal="centerContinuous"/>
    </xf>
    <xf numFmtId="0" fontId="31" fillId="4" borderId="10" xfId="13" applyFont="1" applyFill="1" applyBorder="1" applyAlignment="1">
      <alignment horizontal="centerContinuous"/>
    </xf>
    <xf numFmtId="0" fontId="32" fillId="4" borderId="32" xfId="13" applyFont="1" applyFill="1" applyBorder="1" applyAlignment="1">
      <alignment horizontal="center"/>
    </xf>
    <xf numFmtId="0" fontId="32" fillId="4" borderId="0" xfId="13" applyFont="1" applyFill="1" applyBorder="1" applyAlignment="1">
      <alignment horizontal="center"/>
    </xf>
    <xf numFmtId="0" fontId="32" fillId="4" borderId="0" xfId="13" applyFont="1" applyFill="1" applyAlignment="1">
      <alignment horizontal="center"/>
    </xf>
    <xf numFmtId="3" fontId="29" fillId="4" borderId="0" xfId="13" applyNumberFormat="1" applyFont="1" applyFill="1" applyAlignment="1">
      <alignment horizontal="center"/>
    </xf>
    <xf numFmtId="172" fontId="51" fillId="4" borderId="0" xfId="13" applyNumberFormat="1" applyFont="1" applyFill="1" applyAlignment="1">
      <alignment horizontal="center"/>
    </xf>
    <xf numFmtId="172" fontId="31" fillId="4" borderId="0" xfId="13" applyNumberFormat="1" applyFont="1" applyFill="1" applyAlignment="1">
      <alignment horizontal="center"/>
    </xf>
    <xf numFmtId="0" fontId="32" fillId="4" borderId="32" xfId="13" applyFont="1" applyFill="1" applyBorder="1"/>
    <xf numFmtId="0" fontId="31" fillId="4" borderId="32" xfId="13" applyFont="1" applyFill="1" applyBorder="1"/>
    <xf numFmtId="3" fontId="32" fillId="4" borderId="32" xfId="13" applyNumberFormat="1" applyFont="1" applyFill="1" applyBorder="1" applyAlignment="1">
      <alignment horizontal="center"/>
    </xf>
    <xf numFmtId="0" fontId="31" fillId="4" borderId="32" xfId="13" applyFont="1" applyFill="1" applyBorder="1" applyAlignment="1">
      <alignment horizontal="center"/>
    </xf>
    <xf numFmtId="172" fontId="32" fillId="4" borderId="32" xfId="13" applyNumberFormat="1" applyFont="1" applyFill="1" applyBorder="1" applyAlignment="1">
      <alignment horizontal="center"/>
    </xf>
    <xf numFmtId="172" fontId="32" fillId="4" borderId="0" xfId="13" applyNumberFormat="1" applyFont="1" applyFill="1" applyAlignment="1">
      <alignment horizontal="center"/>
    </xf>
    <xf numFmtId="0" fontId="32" fillId="4" borderId="23" xfId="13" applyFont="1" applyFill="1" applyBorder="1"/>
    <xf numFmtId="0" fontId="31" fillId="4" borderId="23" xfId="13" applyFont="1" applyFill="1" applyBorder="1"/>
    <xf numFmtId="5" fontId="32" fillId="4" borderId="23" xfId="13" applyNumberFormat="1" applyFont="1" applyFill="1" applyBorder="1" applyAlignment="1">
      <alignment horizontal="center"/>
    </xf>
    <xf numFmtId="5" fontId="32" fillId="4" borderId="0" xfId="13" applyNumberFormat="1" applyFont="1" applyFill="1" applyAlignment="1">
      <alignment horizontal="center"/>
    </xf>
    <xf numFmtId="5" fontId="29" fillId="4" borderId="0" xfId="13" applyNumberFormat="1" applyFont="1" applyFill="1" applyAlignment="1">
      <alignment horizontal="center"/>
    </xf>
    <xf numFmtId="9" fontId="31" fillId="4" borderId="0" xfId="13" applyNumberFormat="1" applyFont="1" applyFill="1" applyAlignment="1">
      <alignment horizontal="center"/>
    </xf>
    <xf numFmtId="37" fontId="31" fillId="0" borderId="0" xfId="0" applyNumberFormat="1" applyFont="1" applyBorder="1" applyAlignment="1">
      <alignment horizontal="left" indent="1"/>
    </xf>
    <xf numFmtId="3" fontId="52" fillId="4" borderId="32" xfId="13" applyNumberFormat="1" applyFont="1" applyFill="1" applyBorder="1" applyAlignment="1">
      <alignment horizontal="center"/>
    </xf>
    <xf numFmtId="3" fontId="34" fillId="4" borderId="0" xfId="13" applyNumberFormat="1" applyFont="1" applyFill="1" applyAlignment="1">
      <alignment horizontal="center"/>
    </xf>
    <xf numFmtId="41" fontId="30" fillId="3" borderId="0" xfId="12" applyNumberFormat="1" applyFont="1" applyFill="1" applyBorder="1" applyAlignment="1">
      <alignment horizontal="center" vertical="center"/>
    </xf>
    <xf numFmtId="41" fontId="30" fillId="3" borderId="11" xfId="12" applyNumberFormat="1" applyFont="1" applyFill="1" applyBorder="1" applyAlignment="1">
      <alignment horizontal="center" vertical="center"/>
    </xf>
    <xf numFmtId="38" fontId="32" fillId="4" borderId="11" xfId="18" applyNumberFormat="1" applyFont="1" applyFill="1" applyBorder="1" applyAlignment="1">
      <alignment horizontal="right"/>
    </xf>
    <xf numFmtId="38" fontId="31" fillId="4" borderId="14" xfId="18" applyNumberFormat="1" applyFont="1" applyFill="1" applyBorder="1" applyAlignment="1">
      <alignment horizontal="right"/>
    </xf>
    <xf numFmtId="38" fontId="31" fillId="4" borderId="11" xfId="18" applyNumberFormat="1" applyFont="1" applyFill="1" applyBorder="1" applyAlignment="1">
      <alignment horizontal="right"/>
    </xf>
    <xf numFmtId="38" fontId="32" fillId="4" borderId="18" xfId="18" applyNumberFormat="1" applyFont="1" applyFill="1" applyBorder="1" applyAlignment="1">
      <alignment horizontal="right"/>
    </xf>
    <xf numFmtId="38" fontId="31" fillId="4" borderId="11" xfId="18" applyNumberFormat="1" applyFont="1" applyFill="1" applyBorder="1"/>
    <xf numFmtId="38" fontId="31" fillId="5" borderId="11" xfId="18" applyNumberFormat="1" applyFont="1" applyFill="1" applyBorder="1" applyAlignment="1">
      <alignment horizontal="right"/>
    </xf>
    <xf numFmtId="8" fontId="32" fillId="4" borderId="11" xfId="18" applyNumberFormat="1" applyFont="1" applyFill="1" applyBorder="1" applyAlignment="1">
      <alignment horizontal="right"/>
    </xf>
    <xf numFmtId="0" fontId="34" fillId="4" borderId="0" xfId="12" applyFont="1" applyFill="1" applyBorder="1"/>
    <xf numFmtId="166" fontId="34" fillId="4" borderId="0" xfId="18" applyNumberFormat="1" applyFont="1" applyFill="1" applyBorder="1" applyAlignment="1">
      <alignment horizontal="right"/>
    </xf>
    <xf numFmtId="37" fontId="35" fillId="4" borderId="9" xfId="12" applyNumberFormat="1" applyFont="1" applyFill="1" applyBorder="1" applyAlignment="1">
      <alignment horizontal="right"/>
    </xf>
    <xf numFmtId="7" fontId="35" fillId="4" borderId="0" xfId="12" applyNumberFormat="1" applyFont="1" applyFill="1" applyBorder="1" applyAlignment="1">
      <alignment horizontal="right"/>
    </xf>
    <xf numFmtId="41" fontId="30" fillId="3" borderId="0" xfId="12" applyNumberFormat="1" applyFont="1" applyFill="1" applyBorder="1" applyAlignment="1">
      <alignment horizontal="center" vertical="center"/>
    </xf>
    <xf numFmtId="41" fontId="30" fillId="3" borderId="0" xfId="12" applyNumberFormat="1" applyFont="1" applyFill="1" applyBorder="1" applyAlignment="1">
      <alignment horizontal="center" vertical="center"/>
    </xf>
    <xf numFmtId="0" fontId="31" fillId="4" borderId="45" xfId="12" applyFont="1" applyFill="1" applyBorder="1"/>
    <xf numFmtId="37" fontId="32" fillId="4" borderId="45" xfId="12" applyNumberFormat="1" applyFont="1" applyFill="1" applyBorder="1" applyAlignment="1">
      <alignment horizontal="right"/>
    </xf>
    <xf numFmtId="166" fontId="31" fillId="4" borderId="45" xfId="18" applyNumberFormat="1" applyFont="1" applyFill="1" applyBorder="1" applyAlignment="1">
      <alignment horizontal="right"/>
    </xf>
    <xf numFmtId="41" fontId="31" fillId="4" borderId="45" xfId="12" applyNumberFormat="1" applyFont="1" applyFill="1" applyBorder="1" applyAlignment="1">
      <alignment horizontal="right"/>
    </xf>
    <xf numFmtId="37" fontId="31" fillId="4" borderId="45" xfId="12" applyNumberFormat="1" applyFont="1" applyFill="1" applyBorder="1" applyAlignment="1">
      <alignment horizontal="right"/>
    </xf>
    <xf numFmtId="37" fontId="32" fillId="4" borderId="61" xfId="12" applyNumberFormat="1" applyFont="1" applyFill="1" applyBorder="1" applyAlignment="1">
      <alignment horizontal="right"/>
    </xf>
    <xf numFmtId="7" fontId="32" fillId="4" borderId="45" xfId="12" applyNumberFormat="1" applyFont="1" applyFill="1" applyBorder="1" applyAlignment="1">
      <alignment horizontal="right"/>
    </xf>
    <xf numFmtId="0" fontId="31" fillId="5" borderId="45" xfId="12" applyFont="1" applyFill="1" applyBorder="1"/>
    <xf numFmtId="41" fontId="31" fillId="5" borderId="45" xfId="12" applyNumberFormat="1" applyFont="1" applyFill="1" applyBorder="1" applyAlignment="1">
      <alignment horizontal="right"/>
    </xf>
    <xf numFmtId="9" fontId="31" fillId="5" borderId="45" xfId="18" applyFont="1" applyFill="1" applyBorder="1" applyAlignment="1">
      <alignment horizontal="right"/>
    </xf>
    <xf numFmtId="166" fontId="31" fillId="5" borderId="45" xfId="18" applyNumberFormat="1" applyFont="1" applyFill="1" applyBorder="1" applyAlignment="1">
      <alignment horizontal="right"/>
    </xf>
    <xf numFmtId="0" fontId="34" fillId="5" borderId="0" xfId="12" applyFont="1" applyFill="1" applyBorder="1"/>
    <xf numFmtId="3" fontId="31" fillId="0" borderId="0" xfId="0" applyNumberFormat="1" applyFont="1" applyFill="1" applyBorder="1"/>
    <xf numFmtId="37" fontId="32" fillId="0" borderId="0" xfId="17" applyNumberFormat="1" applyFont="1" applyFill="1" applyBorder="1"/>
    <xf numFmtId="166" fontId="31" fillId="0" borderId="0" xfId="17" applyNumberFormat="1" applyFont="1" applyFill="1" applyBorder="1"/>
    <xf numFmtId="165" fontId="36" fillId="0" borderId="0" xfId="0" applyNumberFormat="1" applyFont="1" applyFill="1" applyBorder="1" applyAlignment="1">
      <alignment horizontal="right"/>
    </xf>
    <xf numFmtId="166" fontId="32" fillId="0" borderId="0" xfId="17" applyFont="1" applyFill="1" applyBorder="1" applyAlignment="1">
      <alignment horizontal="right"/>
    </xf>
    <xf numFmtId="37" fontId="39" fillId="0" borderId="10" xfId="8" applyNumberFormat="1" applyFont="1" applyFill="1" applyBorder="1"/>
    <xf numFmtId="37" fontId="39" fillId="4" borderId="10" xfId="8" applyNumberFormat="1" applyFont="1" applyFill="1" applyBorder="1"/>
    <xf numFmtId="173" fontId="37" fillId="4" borderId="0" xfId="8" applyNumberFormat="1" applyFont="1" applyFill="1" applyBorder="1"/>
    <xf numFmtId="166" fontId="32" fillId="0" borderId="0" xfId="17" applyFont="1" applyFill="1" applyBorder="1"/>
    <xf numFmtId="166" fontId="32" fillId="4" borderId="0" xfId="17" applyFont="1" applyFill="1" applyBorder="1"/>
    <xf numFmtId="166" fontId="44" fillId="0" borderId="0" xfId="8" applyNumberFormat="1" applyFont="1" applyBorder="1"/>
    <xf numFmtId="166" fontId="44" fillId="4" borderId="0" xfId="17" applyNumberFormat="1" applyFont="1" applyFill="1" applyBorder="1"/>
    <xf numFmtId="164" fontId="38" fillId="0" borderId="0" xfId="8" applyNumberFormat="1" applyFont="1" applyBorder="1"/>
    <xf numFmtId="37" fontId="31" fillId="4" borderId="0" xfId="17" applyNumberFormat="1" applyFont="1" applyFill="1" applyBorder="1"/>
    <xf numFmtId="37" fontId="38" fillId="0" borderId="0" xfId="8" applyNumberFormat="1" applyFont="1" applyBorder="1"/>
    <xf numFmtId="37" fontId="34" fillId="0" borderId="0" xfId="8" applyNumberFormat="1" applyFont="1" applyBorder="1"/>
    <xf numFmtId="37" fontId="34" fillId="4" borderId="0" xfId="17" applyNumberFormat="1" applyFont="1" applyFill="1" applyBorder="1"/>
    <xf numFmtId="7" fontId="38" fillId="0" borderId="0" xfId="8" applyNumberFormat="1" applyFont="1" applyBorder="1"/>
    <xf numFmtId="7" fontId="34" fillId="0" borderId="0" xfId="8" applyNumberFormat="1" applyFont="1" applyBorder="1"/>
    <xf numFmtId="7" fontId="31" fillId="4" borderId="0" xfId="10" applyNumberFormat="1" applyFont="1" applyFill="1" applyBorder="1"/>
    <xf numFmtId="37" fontId="53" fillId="0" borderId="0" xfId="8" applyNumberFormat="1" applyFont="1" applyFill="1" applyBorder="1"/>
    <xf numFmtId="37" fontId="31" fillId="0" borderId="0" xfId="17" applyNumberFormat="1" applyFont="1" applyFill="1" applyBorder="1"/>
    <xf numFmtId="37" fontId="53" fillId="4" borderId="0" xfId="8" applyNumberFormat="1" applyFont="1" applyFill="1" applyBorder="1" applyAlignment="1">
      <alignment horizontal="right"/>
    </xf>
    <xf numFmtId="37" fontId="45" fillId="0" borderId="10" xfId="8" applyNumberFormat="1" applyFont="1" applyFill="1" applyBorder="1"/>
    <xf numFmtId="37" fontId="53" fillId="4" borderId="0" xfId="8" applyNumberFormat="1" applyFont="1" applyFill="1" applyBorder="1"/>
    <xf numFmtId="37" fontId="53" fillId="0" borderId="0" xfId="8" applyNumberFormat="1" applyFont="1" applyFill="1" applyBorder="1" applyAlignment="1"/>
    <xf numFmtId="37" fontId="53" fillId="4" borderId="0" xfId="8" applyNumberFormat="1" applyFont="1" applyFill="1" applyBorder="1" applyAlignment="1"/>
    <xf numFmtId="37" fontId="32" fillId="4" borderId="0" xfId="8" applyNumberFormat="1" applyFont="1" applyFill="1" applyBorder="1" applyAlignment="1"/>
    <xf numFmtId="37" fontId="39" fillId="0" borderId="0" xfId="8" applyNumberFormat="1" applyFont="1" applyFill="1" applyBorder="1" applyAlignment="1">
      <alignment horizontal="right"/>
    </xf>
    <xf numFmtId="37" fontId="39" fillId="0" borderId="0" xfId="17" applyNumberFormat="1" applyFont="1" applyFill="1" applyBorder="1"/>
    <xf numFmtId="166" fontId="40" fillId="0" borderId="0" xfId="17" applyNumberFormat="1" applyFont="1" applyFill="1" applyBorder="1"/>
    <xf numFmtId="0" fontId="54" fillId="0" borderId="0" xfId="0" applyFont="1" applyFill="1" applyBorder="1"/>
    <xf numFmtId="0" fontId="7" fillId="0" borderId="0" xfId="0" applyFont="1"/>
    <xf numFmtId="0" fontId="32" fillId="0" borderId="0" xfId="0" applyFont="1"/>
    <xf numFmtId="0" fontId="28" fillId="3" borderId="20" xfId="0" applyNumberFormat="1" applyFont="1" applyFill="1" applyBorder="1" applyAlignment="1">
      <alignment horizontal="right"/>
    </xf>
    <xf numFmtId="0" fontId="28" fillId="3" borderId="0" xfId="0" applyNumberFormat="1" applyFont="1" applyFill="1" applyBorder="1" applyAlignment="1">
      <alignment horizontal="right"/>
    </xf>
    <xf numFmtId="0" fontId="28" fillId="3" borderId="21" xfId="0" applyNumberFormat="1" applyFont="1" applyFill="1" applyBorder="1" applyAlignment="1">
      <alignment horizontal="right"/>
    </xf>
    <xf numFmtId="0" fontId="30" fillId="4" borderId="0" xfId="0" applyFont="1" applyFill="1" applyBorder="1" applyAlignment="1">
      <alignment horizontal="left"/>
    </xf>
    <xf numFmtId="37" fontId="48" fillId="0" borderId="20" xfId="8" applyNumberFormat="1" applyFont="1" applyFill="1" applyBorder="1"/>
    <xf numFmtId="37" fontId="39" fillId="0" borderId="20" xfId="8" applyNumberFormat="1" applyFont="1" applyFill="1" applyBorder="1"/>
    <xf numFmtId="37" fontId="32" fillId="0" borderId="20" xfId="8" applyNumberFormat="1" applyFont="1" applyFill="1" applyBorder="1" applyAlignment="1"/>
    <xf numFmtId="37" fontId="37" fillId="0" borderId="20" xfId="8" applyNumberFormat="1" applyFont="1" applyFill="1" applyBorder="1"/>
    <xf numFmtId="37" fontId="32" fillId="4" borderId="33" xfId="8" applyNumberFormat="1" applyFont="1" applyFill="1" applyBorder="1"/>
    <xf numFmtId="7" fontId="32" fillId="4" borderId="34" xfId="8" applyNumberFormat="1" applyFont="1" applyFill="1" applyBorder="1"/>
    <xf numFmtId="0" fontId="31" fillId="0" borderId="25" xfId="0" applyFont="1" applyBorder="1"/>
    <xf numFmtId="0" fontId="31" fillId="0" borderId="10" xfId="0" applyFont="1" applyBorder="1"/>
    <xf numFmtId="0" fontId="31" fillId="0" borderId="24" xfId="0" applyFont="1" applyBorder="1"/>
    <xf numFmtId="0" fontId="31" fillId="0" borderId="24" xfId="0" applyFont="1" applyFill="1" applyBorder="1"/>
    <xf numFmtId="7" fontId="29" fillId="4" borderId="21" xfId="10" applyNumberFormat="1" applyFont="1" applyFill="1" applyBorder="1"/>
    <xf numFmtId="37" fontId="32" fillId="4" borderId="8" xfId="8" applyNumberFormat="1" applyFont="1" applyFill="1" applyBorder="1"/>
    <xf numFmtId="7" fontId="32" fillId="4" borderId="6" xfId="8" applyNumberFormat="1" applyFont="1" applyFill="1" applyBorder="1"/>
    <xf numFmtId="169" fontId="45" fillId="0" borderId="0" xfId="8" applyNumberFormat="1" applyFont="1" applyFill="1" applyBorder="1"/>
    <xf numFmtId="169" fontId="31" fillId="0" borderId="21" xfId="10" applyNumberFormat="1" applyFont="1" applyFill="1" applyBorder="1"/>
    <xf numFmtId="169" fontId="34" fillId="4" borderId="0" xfId="0" applyNumberFormat="1" applyFont="1" applyFill="1" applyBorder="1" applyAlignment="1">
      <alignment horizontal="left"/>
    </xf>
    <xf numFmtId="169" fontId="31" fillId="4" borderId="0" xfId="0" applyNumberFormat="1" applyFont="1" applyFill="1" applyBorder="1"/>
    <xf numFmtId="169" fontId="34" fillId="4" borderId="0" xfId="0" applyNumberFormat="1" applyFont="1" applyFill="1" applyBorder="1"/>
    <xf numFmtId="169" fontId="34" fillId="4" borderId="20" xfId="0" applyNumberFormat="1" applyFont="1" applyFill="1" applyBorder="1"/>
    <xf numFmtId="169" fontId="34" fillId="4" borderId="21" xfId="0" applyNumberFormat="1" applyFont="1" applyFill="1" applyBorder="1"/>
    <xf numFmtId="169" fontId="34" fillId="4" borderId="0" xfId="17" applyNumberFormat="1" applyFont="1" applyFill="1" applyBorder="1"/>
    <xf numFmtId="169" fontId="55" fillId="4" borderId="0" xfId="0" applyNumberFormat="1" applyFont="1" applyFill="1"/>
    <xf numFmtId="169" fontId="31" fillId="4" borderId="0" xfId="17" applyNumberFormat="1" applyFont="1" applyFill="1" applyBorder="1"/>
    <xf numFmtId="166" fontId="44" fillId="4" borderId="20" xfId="8" applyNumberFormat="1" applyFont="1" applyFill="1" applyBorder="1"/>
    <xf numFmtId="166" fontId="44" fillId="4" borderId="0" xfId="0" applyNumberFormat="1" applyFont="1" applyFill="1"/>
    <xf numFmtId="169" fontId="35" fillId="4" borderId="0" xfId="0" applyNumberFormat="1" applyFont="1" applyFill="1" applyBorder="1"/>
    <xf numFmtId="169" fontId="35" fillId="4" borderId="0" xfId="0" applyNumberFormat="1" applyFont="1" applyFill="1"/>
    <xf numFmtId="37" fontId="31" fillId="4" borderId="21" xfId="0" applyNumberFormat="1" applyFont="1" applyFill="1" applyBorder="1"/>
    <xf numFmtId="37" fontId="31" fillId="4" borderId="21" xfId="8" applyNumberFormat="1" applyFont="1" applyFill="1" applyBorder="1"/>
    <xf numFmtId="7" fontId="31" fillId="4" borderId="21" xfId="10" applyNumberFormat="1" applyFont="1" applyFill="1" applyBorder="1"/>
    <xf numFmtId="0" fontId="32" fillId="7" borderId="0" xfId="12" applyFont="1" applyFill="1" applyAlignment="1">
      <alignment horizontal="left"/>
    </xf>
    <xf numFmtId="0" fontId="31" fillId="7" borderId="0" xfId="12" applyFont="1" applyFill="1"/>
    <xf numFmtId="0" fontId="32" fillId="7" borderId="0" xfId="12" applyFont="1" applyFill="1" applyAlignment="1">
      <alignment horizontal="center"/>
    </xf>
    <xf numFmtId="166" fontId="52" fillId="7" borderId="0" xfId="12" applyNumberFormat="1" applyFont="1" applyFill="1" applyAlignment="1">
      <alignment horizontal="center"/>
    </xf>
    <xf numFmtId="172" fontId="32" fillId="8" borderId="38" xfId="12" applyNumberFormat="1" applyFont="1" applyFill="1" applyBorder="1"/>
    <xf numFmtId="172" fontId="32" fillId="8" borderId="38" xfId="12" applyNumberFormat="1" applyFont="1" applyFill="1" applyBorder="1" applyAlignment="1">
      <alignment horizontal="center"/>
    </xf>
    <xf numFmtId="172" fontId="35" fillId="8" borderId="38" xfId="12" applyNumberFormat="1" applyFont="1" applyFill="1" applyBorder="1" applyAlignment="1">
      <alignment horizontal="center"/>
    </xf>
    <xf numFmtId="37" fontId="34" fillId="0" borderId="38" xfId="12" applyNumberFormat="1" applyFont="1" applyFill="1" applyBorder="1" applyAlignment="1">
      <alignment horizontal="center"/>
    </xf>
    <xf numFmtId="7" fontId="34" fillId="0" borderId="38" xfId="12" applyNumberFormat="1" applyFont="1" applyFill="1" applyBorder="1" applyAlignment="1">
      <alignment horizontal="center"/>
    </xf>
    <xf numFmtId="5" fontId="32" fillId="7" borderId="38" xfId="12" applyNumberFormat="1" applyFont="1" applyFill="1" applyBorder="1" applyAlignment="1">
      <alignment horizontal="center"/>
    </xf>
    <xf numFmtId="38" fontId="32" fillId="4" borderId="0" xfId="12" applyNumberFormat="1" applyFont="1" applyFill="1" applyBorder="1" applyAlignment="1">
      <alignment horizontal="right"/>
    </xf>
    <xf numFmtId="38" fontId="31" fillId="4" borderId="10" xfId="12" applyNumberFormat="1" applyFont="1" applyFill="1" applyBorder="1" applyAlignment="1">
      <alignment horizontal="right"/>
    </xf>
    <xf numFmtId="38" fontId="31" fillId="4" borderId="0" xfId="12" applyNumberFormat="1" applyFont="1" applyFill="1" applyBorder="1" applyAlignment="1">
      <alignment horizontal="right"/>
    </xf>
    <xf numFmtId="38" fontId="32" fillId="4" borderId="9" xfId="12" applyNumberFormat="1" applyFont="1" applyFill="1" applyBorder="1" applyAlignment="1">
      <alignment horizontal="right"/>
    </xf>
    <xf numFmtId="38" fontId="31" fillId="5" borderId="0" xfId="12" applyNumberFormat="1" applyFont="1" applyFill="1" applyBorder="1" applyAlignment="1">
      <alignment horizontal="right"/>
    </xf>
    <xf numFmtId="7" fontId="32" fillId="4" borderId="22" xfId="10" applyNumberFormat="1" applyFont="1" applyFill="1" applyBorder="1"/>
    <xf numFmtId="0" fontId="32" fillId="7" borderId="20" xfId="12" applyFont="1" applyFill="1" applyBorder="1" applyAlignment="1">
      <alignment horizontal="left"/>
    </xf>
    <xf numFmtId="0" fontId="32" fillId="7" borderId="0" xfId="12" applyFont="1" applyFill="1" applyBorder="1" applyAlignment="1">
      <alignment horizontal="right"/>
    </xf>
    <xf numFmtId="5" fontId="32" fillId="7" borderId="21" xfId="12" applyNumberFormat="1" applyFont="1" applyFill="1" applyBorder="1" applyAlignment="1">
      <alignment horizontal="right"/>
    </xf>
    <xf numFmtId="7" fontId="32" fillId="4" borderId="15" xfId="0" applyNumberFormat="1" applyFont="1" applyFill="1" applyBorder="1" applyAlignment="1">
      <alignment horizontal="left" indent="1"/>
    </xf>
    <xf numFmtId="9" fontId="41" fillId="4" borderId="0" xfId="0" applyNumberFormat="1" applyFont="1" applyFill="1" applyBorder="1" applyAlignment="1">
      <alignment horizontal="left"/>
    </xf>
    <xf numFmtId="9" fontId="31" fillId="0" borderId="0" xfId="0" applyNumberFormat="1" applyFont="1" applyFill="1" applyBorder="1" applyAlignment="1">
      <alignment horizontal="left" indent="1"/>
    </xf>
    <xf numFmtId="9" fontId="31" fillId="0" borderId="0" xfId="0" applyNumberFormat="1" applyFont="1" applyFill="1" applyBorder="1"/>
    <xf numFmtId="9" fontId="31" fillId="0" borderId="20" xfId="8" applyNumberFormat="1" applyFont="1" applyFill="1" applyBorder="1"/>
    <xf numFmtId="9" fontId="31" fillId="0" borderId="0" xfId="8" applyNumberFormat="1" applyFont="1" applyFill="1" applyBorder="1"/>
    <xf numFmtId="9" fontId="31" fillId="0" borderId="21" xfId="8" applyNumberFormat="1" applyFont="1" applyFill="1" applyBorder="1"/>
    <xf numFmtId="9" fontId="31" fillId="0" borderId="0" xfId="0" applyNumberFormat="1" applyFont="1"/>
    <xf numFmtId="9" fontId="39" fillId="0" borderId="0" xfId="8" applyNumberFormat="1" applyFont="1" applyFill="1" applyBorder="1"/>
    <xf numFmtId="166" fontId="56" fillId="0" borderId="0" xfId="0" applyNumberFormat="1" applyFont="1"/>
    <xf numFmtId="166" fontId="31" fillId="4" borderId="0" xfId="0" applyNumberFormat="1" applyFont="1" applyFill="1" applyBorder="1"/>
    <xf numFmtId="166" fontId="44" fillId="0" borderId="20" xfId="0" applyNumberFormat="1" applyFont="1" applyBorder="1"/>
    <xf numFmtId="166" fontId="44" fillId="0" borderId="21" xfId="0" applyNumberFormat="1" applyFont="1" applyBorder="1"/>
    <xf numFmtId="166" fontId="34" fillId="0" borderId="21" xfId="0" applyNumberFormat="1" applyFont="1" applyBorder="1"/>
    <xf numFmtId="169" fontId="20" fillId="4" borderId="0" xfId="0" applyNumberFormat="1" applyFont="1" applyFill="1" applyBorder="1" applyAlignment="1" applyProtection="1">
      <alignment horizontal="left"/>
      <protection locked="0"/>
    </xf>
    <xf numFmtId="166" fontId="57" fillId="4" borderId="0" xfId="14" applyNumberFormat="1" applyFont="1" applyFill="1" applyBorder="1" applyAlignment="1" applyProtection="1">
      <alignment horizontal="left" indent="1"/>
      <protection locked="0"/>
    </xf>
    <xf numFmtId="169" fontId="58" fillId="4" borderId="0" xfId="0" applyNumberFormat="1" applyFont="1" applyFill="1" applyBorder="1" applyAlignment="1" applyProtection="1">
      <alignment horizontal="right"/>
      <protection locked="0"/>
    </xf>
    <xf numFmtId="169" fontId="58" fillId="4" borderId="21" xfId="0" applyNumberFormat="1" applyFont="1" applyFill="1" applyBorder="1" applyAlignment="1" applyProtection="1">
      <alignment horizontal="right"/>
      <protection locked="0"/>
    </xf>
    <xf numFmtId="169" fontId="58" fillId="4" borderId="21" xfId="14" applyNumberFormat="1" applyFont="1" applyFill="1" applyBorder="1" applyProtection="1">
      <protection locked="0"/>
    </xf>
    <xf numFmtId="169" fontId="58" fillId="4" borderId="0" xfId="14" applyNumberFormat="1" applyFont="1" applyFill="1" applyBorder="1" applyProtection="1">
      <protection locked="0"/>
    </xf>
    <xf numFmtId="166" fontId="57" fillId="4" borderId="0" xfId="9" applyNumberFormat="1" applyFont="1" applyFill="1" applyBorder="1" applyProtection="1">
      <protection locked="0"/>
    </xf>
    <xf numFmtId="166" fontId="57" fillId="4" borderId="21" xfId="9" applyNumberFormat="1" applyFont="1" applyFill="1" applyBorder="1" applyProtection="1">
      <protection locked="0"/>
    </xf>
    <xf numFmtId="169" fontId="59" fillId="4" borderId="0" xfId="0" applyNumberFormat="1" applyFont="1" applyFill="1" applyBorder="1" applyAlignment="1" applyProtection="1">
      <alignment horizontal="right"/>
      <protection locked="0"/>
    </xf>
    <xf numFmtId="0" fontId="31" fillId="4" borderId="20" xfId="0" applyFont="1" applyFill="1" applyBorder="1"/>
    <xf numFmtId="44" fontId="31" fillId="4" borderId="0" xfId="10" applyFont="1" applyFill="1" applyBorder="1"/>
    <xf numFmtId="166" fontId="31" fillId="4" borderId="0" xfId="10" applyNumberFormat="1" applyFont="1" applyFill="1" applyBorder="1"/>
    <xf numFmtId="44" fontId="31" fillId="4" borderId="21" xfId="10" applyFont="1" applyFill="1" applyBorder="1"/>
    <xf numFmtId="7" fontId="31" fillId="4" borderId="0" xfId="0" applyNumberFormat="1" applyFont="1" applyFill="1" applyBorder="1"/>
    <xf numFmtId="166" fontId="31" fillId="4" borderId="0" xfId="17" applyFont="1" applyFill="1" applyBorder="1"/>
    <xf numFmtId="166" fontId="31" fillId="4" borderId="21" xfId="17" applyFont="1" applyFill="1" applyBorder="1"/>
    <xf numFmtId="168" fontId="31" fillId="4" borderId="0" xfId="0" applyNumberFormat="1" applyFont="1" applyFill="1" applyBorder="1"/>
    <xf numFmtId="168" fontId="31" fillId="4" borderId="21" xfId="0" applyNumberFormat="1" applyFont="1" applyFill="1" applyBorder="1"/>
    <xf numFmtId="166" fontId="31" fillId="4" borderId="0" xfId="17" applyNumberFormat="1" applyFont="1" applyFill="1" applyBorder="1"/>
    <xf numFmtId="37" fontId="31" fillId="4" borderId="0" xfId="0" applyNumberFormat="1" applyFont="1" applyFill="1"/>
    <xf numFmtId="169" fontId="34" fillId="4" borderId="0" xfId="0" applyNumberFormat="1" applyFont="1" applyFill="1"/>
    <xf numFmtId="0" fontId="32" fillId="4" borderId="0" xfId="0" applyFont="1" applyFill="1" applyBorder="1"/>
    <xf numFmtId="166" fontId="44" fillId="4" borderId="20" xfId="0" applyNumberFormat="1" applyFont="1" applyFill="1" applyBorder="1"/>
    <xf numFmtId="166" fontId="44" fillId="4" borderId="21" xfId="17" applyNumberFormat="1" applyFont="1" applyFill="1" applyBorder="1"/>
    <xf numFmtId="37" fontId="45" fillId="4" borderId="20" xfId="8" applyNumberFormat="1" applyFont="1" applyFill="1" applyBorder="1"/>
    <xf numFmtId="37" fontId="45" fillId="4" borderId="21" xfId="8" applyNumberFormat="1" applyFont="1" applyFill="1" applyBorder="1"/>
    <xf numFmtId="166" fontId="44" fillId="4" borderId="0" xfId="0" applyNumberFormat="1" applyFont="1" applyFill="1" applyBorder="1" applyAlignment="1">
      <alignment horizontal="left" indent="2"/>
    </xf>
    <xf numFmtId="37" fontId="44" fillId="4" borderId="0" xfId="0" applyNumberFormat="1" applyFont="1" applyFill="1" applyBorder="1" applyAlignment="1">
      <alignment horizontal="left" indent="1"/>
    </xf>
    <xf numFmtId="37" fontId="44" fillId="4" borderId="0" xfId="0" applyNumberFormat="1" applyFont="1" applyFill="1" applyBorder="1"/>
    <xf numFmtId="37" fontId="44" fillId="4" borderId="20" xfId="8" applyNumberFormat="1" applyFont="1" applyFill="1" applyBorder="1"/>
    <xf numFmtId="37" fontId="44" fillId="4" borderId="0" xfId="8" applyNumberFormat="1" applyFont="1" applyFill="1" applyBorder="1"/>
    <xf numFmtId="37" fontId="44" fillId="4" borderId="21" xfId="8" applyNumberFormat="1" applyFont="1" applyFill="1" applyBorder="1"/>
    <xf numFmtId="37" fontId="44" fillId="4" borderId="0" xfId="0" applyNumberFormat="1" applyFont="1" applyFill="1"/>
    <xf numFmtId="37" fontId="39" fillId="4" borderId="21" xfId="8" applyNumberFormat="1" applyFont="1" applyFill="1" applyBorder="1"/>
    <xf numFmtId="166" fontId="44" fillId="4" borderId="10" xfId="0" applyNumberFormat="1" applyFont="1" applyFill="1" applyBorder="1" applyAlignment="1">
      <alignment horizontal="left" indent="1"/>
    </xf>
    <xf numFmtId="166" fontId="44" fillId="4" borderId="10" xfId="0" applyNumberFormat="1" applyFont="1" applyFill="1" applyBorder="1"/>
    <xf numFmtId="166" fontId="44" fillId="4" borderId="25" xfId="8" applyNumberFormat="1" applyFont="1" applyFill="1" applyBorder="1"/>
    <xf numFmtId="37" fontId="31" fillId="4" borderId="0" xfId="0" applyNumberFormat="1" applyFont="1" applyFill="1" applyAlignment="1"/>
    <xf numFmtId="37" fontId="31" fillId="4" borderId="0" xfId="0" applyNumberFormat="1" applyFont="1" applyFill="1" applyBorder="1" applyAlignment="1"/>
    <xf numFmtId="0" fontId="37" fillId="4" borderId="0" xfId="0" applyFont="1" applyFill="1" applyBorder="1"/>
    <xf numFmtId="173" fontId="37" fillId="4" borderId="20" xfId="8" applyNumberFormat="1" applyFont="1" applyFill="1" applyBorder="1"/>
    <xf numFmtId="173" fontId="37" fillId="4" borderId="21" xfId="8" applyNumberFormat="1" applyFont="1" applyFill="1" applyBorder="1"/>
    <xf numFmtId="37" fontId="31" fillId="4" borderId="20" xfId="8" applyNumberFormat="1" applyFont="1" applyFill="1" applyBorder="1"/>
    <xf numFmtId="166" fontId="34" fillId="4" borderId="24" xfId="8" applyNumberFormat="1" applyFont="1" applyFill="1" applyBorder="1"/>
    <xf numFmtId="166" fontId="34" fillId="4" borderId="10" xfId="8" applyNumberFormat="1" applyFont="1" applyFill="1" applyBorder="1"/>
    <xf numFmtId="37" fontId="31" fillId="4" borderId="20" xfId="8" applyNumberFormat="1" applyFont="1" applyFill="1" applyBorder="1" applyAlignment="1"/>
    <xf numFmtId="0" fontId="37" fillId="4" borderId="0" xfId="0" applyFont="1" applyFill="1" applyBorder="1" applyAlignment="1">
      <alignment horizontal="left" indent="1"/>
    </xf>
    <xf numFmtId="9" fontId="44" fillId="4" borderId="0" xfId="0" applyNumberFormat="1" applyFont="1" applyFill="1" applyBorder="1" applyAlignment="1">
      <alignment horizontal="left" indent="1"/>
    </xf>
    <xf numFmtId="9" fontId="44" fillId="4" borderId="0" xfId="0" applyNumberFormat="1" applyFont="1" applyFill="1" applyBorder="1"/>
    <xf numFmtId="9" fontId="44" fillId="4" borderId="20" xfId="8" applyNumberFormat="1" applyFont="1" applyFill="1" applyBorder="1"/>
    <xf numFmtId="9" fontId="44" fillId="4" borderId="0" xfId="8" applyNumberFormat="1" applyFont="1" applyFill="1" applyBorder="1"/>
    <xf numFmtId="9" fontId="44" fillId="4" borderId="21" xfId="8" applyNumberFormat="1" applyFont="1" applyFill="1" applyBorder="1"/>
    <xf numFmtId="9" fontId="34" fillId="4" borderId="21" xfId="8" applyNumberFormat="1" applyFont="1" applyFill="1" applyBorder="1"/>
    <xf numFmtId="9" fontId="44" fillId="4" borderId="0" xfId="0" applyNumberFormat="1" applyFont="1" applyFill="1"/>
    <xf numFmtId="9" fontId="34" fillId="4" borderId="0" xfId="8" applyNumberFormat="1" applyFont="1" applyFill="1" applyBorder="1"/>
    <xf numFmtId="9" fontId="44" fillId="4" borderId="10" xfId="0" applyNumberFormat="1" applyFont="1" applyFill="1" applyBorder="1" applyAlignment="1">
      <alignment horizontal="left" indent="1"/>
    </xf>
    <xf numFmtId="9" fontId="44" fillId="4" borderId="10" xfId="0" applyNumberFormat="1" applyFont="1" applyFill="1" applyBorder="1"/>
    <xf numFmtId="9" fontId="44" fillId="4" borderId="25" xfId="8" applyNumberFormat="1" applyFont="1" applyFill="1" applyBorder="1"/>
    <xf numFmtId="9" fontId="44" fillId="4" borderId="10" xfId="8" applyNumberFormat="1" applyFont="1" applyFill="1" applyBorder="1"/>
    <xf numFmtId="9" fontId="44" fillId="4" borderId="24" xfId="8" applyNumberFormat="1" applyFont="1" applyFill="1" applyBorder="1"/>
    <xf numFmtId="9" fontId="34" fillId="4" borderId="24" xfId="8" applyNumberFormat="1" applyFont="1" applyFill="1" applyBorder="1"/>
    <xf numFmtId="9" fontId="34" fillId="4" borderId="10" xfId="8" applyNumberFormat="1" applyFont="1" applyFill="1" applyBorder="1"/>
    <xf numFmtId="0" fontId="60" fillId="4" borderId="0" xfId="0" applyFont="1" applyFill="1" applyBorder="1"/>
    <xf numFmtId="165" fontId="47" fillId="4" borderId="0" xfId="8" applyNumberFormat="1" applyFont="1" applyFill="1" applyBorder="1"/>
    <xf numFmtId="165" fontId="47" fillId="4" borderId="21" xfId="8" applyNumberFormat="1" applyFont="1" applyFill="1" applyBorder="1"/>
    <xf numFmtId="165" fontId="39" fillId="4" borderId="21" xfId="8" applyNumberFormat="1" applyFont="1" applyFill="1" applyBorder="1"/>
    <xf numFmtId="165" fontId="39" fillId="4" borderId="0" xfId="8" applyNumberFormat="1" applyFont="1" applyFill="1" applyBorder="1"/>
    <xf numFmtId="5" fontId="31" fillId="4" borderId="0" xfId="0" applyNumberFormat="1" applyFont="1" applyFill="1" applyBorder="1"/>
    <xf numFmtId="5" fontId="45" fillId="4" borderId="20" xfId="8" applyNumberFormat="1" applyFont="1" applyFill="1" applyBorder="1"/>
    <xf numFmtId="5" fontId="45" fillId="4" borderId="0" xfId="8" applyNumberFormat="1" applyFont="1" applyFill="1" applyBorder="1"/>
    <xf numFmtId="5" fontId="45" fillId="4" borderId="21" xfId="8" applyNumberFormat="1" applyFont="1" applyFill="1" applyBorder="1"/>
    <xf numFmtId="5" fontId="34" fillId="4" borderId="21" xfId="8" applyNumberFormat="1" applyFont="1" applyFill="1" applyBorder="1"/>
    <xf numFmtId="5" fontId="34" fillId="4" borderId="0" xfId="8" applyNumberFormat="1" applyFont="1" applyFill="1" applyBorder="1"/>
    <xf numFmtId="5" fontId="31" fillId="4" borderId="0" xfId="0" applyNumberFormat="1" applyFont="1" applyFill="1"/>
    <xf numFmtId="5" fontId="39" fillId="4" borderId="0" xfId="8" applyNumberFormat="1" applyFont="1" applyFill="1" applyBorder="1"/>
    <xf numFmtId="0" fontId="31" fillId="4" borderId="25" xfId="0" applyFont="1" applyFill="1" applyBorder="1"/>
    <xf numFmtId="0" fontId="31" fillId="4" borderId="10" xfId="0" applyFont="1" applyFill="1" applyBorder="1"/>
    <xf numFmtId="0" fontId="31" fillId="4" borderId="24" xfId="0" applyFont="1" applyFill="1" applyBorder="1"/>
    <xf numFmtId="165" fontId="47" fillId="4" borderId="10" xfId="8" applyNumberFormat="1" applyFont="1" applyFill="1" applyBorder="1"/>
    <xf numFmtId="165" fontId="47" fillId="4" borderId="24" xfId="8" applyNumberFormat="1" applyFont="1" applyFill="1" applyBorder="1"/>
    <xf numFmtId="165" fontId="39" fillId="4" borderId="10" xfId="8" applyNumberFormat="1" applyFont="1" applyFill="1" applyBorder="1"/>
    <xf numFmtId="165" fontId="39" fillId="4" borderId="24" xfId="8" applyNumberFormat="1" applyFont="1" applyFill="1" applyBorder="1"/>
    <xf numFmtId="169" fontId="32" fillId="8" borderId="0" xfId="0" applyNumberFormat="1" applyFont="1" applyFill="1" applyBorder="1"/>
    <xf numFmtId="169" fontId="35" fillId="8" borderId="0" xfId="0" applyNumberFormat="1" applyFont="1" applyFill="1" applyBorder="1"/>
    <xf numFmtId="169" fontId="35" fillId="8" borderId="20" xfId="0" applyNumberFormat="1" applyFont="1" applyFill="1" applyBorder="1"/>
    <xf numFmtId="169" fontId="35" fillId="8" borderId="21" xfId="0" applyNumberFormat="1" applyFont="1" applyFill="1" applyBorder="1"/>
    <xf numFmtId="169" fontId="32" fillId="8" borderId="21" xfId="0" applyNumberFormat="1" applyFont="1" applyFill="1" applyBorder="1"/>
    <xf numFmtId="169" fontId="31" fillId="8" borderId="0" xfId="10" applyNumberFormat="1" applyFont="1" applyFill="1" applyBorder="1"/>
    <xf numFmtId="169" fontId="32" fillId="8" borderId="0" xfId="10" applyNumberFormat="1" applyFont="1" applyFill="1" applyBorder="1"/>
    <xf numFmtId="169" fontId="32" fillId="8" borderId="21" xfId="10" applyNumberFormat="1" applyFont="1" applyFill="1" applyBorder="1"/>
    <xf numFmtId="169" fontId="32" fillId="8" borderId="0" xfId="17" applyNumberFormat="1" applyFont="1" applyFill="1" applyBorder="1"/>
    <xf numFmtId="169" fontId="32" fillId="8" borderId="21" xfId="17" applyNumberFormat="1" applyFont="1" applyFill="1" applyBorder="1"/>
    <xf numFmtId="169" fontId="35" fillId="8" borderId="0" xfId="17" applyNumberFormat="1" applyFont="1" applyFill="1" applyBorder="1"/>
    <xf numFmtId="37" fontId="32" fillId="8" borderId="9" xfId="0" applyNumberFormat="1" applyFont="1" applyFill="1" applyBorder="1" applyAlignment="1"/>
    <xf numFmtId="37" fontId="32" fillId="8" borderId="37" xfId="8" applyNumberFormat="1" applyFont="1" applyFill="1" applyBorder="1" applyAlignment="1"/>
    <xf numFmtId="37" fontId="32" fillId="8" borderId="9" xfId="8" applyNumberFormat="1" applyFont="1" applyFill="1" applyBorder="1" applyAlignment="1"/>
    <xf numFmtId="37" fontId="32" fillId="8" borderId="26" xfId="8" applyNumberFormat="1" applyFont="1" applyFill="1" applyBorder="1" applyAlignment="1"/>
    <xf numFmtId="37" fontId="32" fillId="8" borderId="0" xfId="0" applyNumberFormat="1" applyFont="1" applyFill="1" applyBorder="1" applyAlignment="1"/>
    <xf numFmtId="37" fontId="32" fillId="8" borderId="20" xfId="8" applyNumberFormat="1" applyFont="1" applyFill="1" applyBorder="1" applyAlignment="1"/>
    <xf numFmtId="37" fontId="32" fillId="8" borderId="0" xfId="8" applyNumberFormat="1" applyFont="1" applyFill="1" applyBorder="1" applyAlignment="1"/>
    <xf numFmtId="37" fontId="32" fillId="8" borderId="21" xfId="8" applyNumberFormat="1" applyFont="1" applyFill="1" applyBorder="1" applyAlignment="1"/>
    <xf numFmtId="0" fontId="28" fillId="3" borderId="37" xfId="0" applyNumberFormat="1" applyFont="1" applyFill="1" applyBorder="1" applyAlignment="1">
      <alignment horizontal="right"/>
    </xf>
    <xf numFmtId="0" fontId="28" fillId="3" borderId="9" xfId="0" applyNumberFormat="1" applyFont="1" applyFill="1" applyBorder="1" applyAlignment="1">
      <alignment horizontal="right"/>
    </xf>
    <xf numFmtId="0" fontId="28" fillId="3" borderId="26" xfId="0" applyNumberFormat="1" applyFont="1" applyFill="1" applyBorder="1" applyAlignment="1">
      <alignment horizontal="right"/>
    </xf>
    <xf numFmtId="37" fontId="29" fillId="0" borderId="21" xfId="8" applyNumberFormat="1" applyFont="1" applyFill="1" applyBorder="1"/>
    <xf numFmtId="37" fontId="29" fillId="0" borderId="0" xfId="8" applyNumberFormat="1" applyFont="1" applyFill="1" applyBorder="1"/>
    <xf numFmtId="37" fontId="29" fillId="0" borderId="26" xfId="8" applyNumberFormat="1" applyFont="1" applyFill="1" applyBorder="1" applyAlignment="1"/>
    <xf numFmtId="37" fontId="29" fillId="0" borderId="0" xfId="8" applyNumberFormat="1" applyFont="1" applyFill="1" applyBorder="1" applyAlignment="1">
      <alignment horizontal="right"/>
    </xf>
    <xf numFmtId="0" fontId="19" fillId="4" borderId="0" xfId="0" applyFont="1" applyFill="1"/>
    <xf numFmtId="0" fontId="20" fillId="4" borderId="0" xfId="0" applyFont="1" applyFill="1"/>
    <xf numFmtId="0" fontId="20" fillId="4" borderId="0" xfId="0" applyFont="1" applyFill="1" applyAlignment="1">
      <alignment horizontal="right"/>
    </xf>
    <xf numFmtId="0" fontId="21" fillId="4" borderId="0" xfId="0" applyFont="1" applyFill="1"/>
    <xf numFmtId="0" fontId="23" fillId="4" borderId="0" xfId="0" applyFont="1" applyFill="1"/>
    <xf numFmtId="0" fontId="61" fillId="3" borderId="0" xfId="0" applyFont="1" applyFill="1"/>
    <xf numFmtId="0" fontId="62" fillId="3" borderId="0" xfId="0" applyFont="1" applyFill="1"/>
    <xf numFmtId="0" fontId="62" fillId="3" borderId="0" xfId="0" applyFont="1" applyFill="1" applyAlignment="1">
      <alignment horizontal="right"/>
    </xf>
    <xf numFmtId="0" fontId="20" fillId="4" borderId="0" xfId="0" applyFont="1" applyFill="1" applyBorder="1"/>
    <xf numFmtId="183" fontId="22" fillId="4" borderId="0" xfId="0" applyNumberFormat="1" applyFont="1" applyFill="1" applyBorder="1"/>
    <xf numFmtId="182" fontId="25" fillId="4" borderId="0" xfId="0" applyNumberFormat="1" applyFont="1" applyFill="1" applyBorder="1"/>
    <xf numFmtId="184" fontId="21" fillId="6" borderId="0" xfId="0" applyNumberFormat="1" applyFont="1" applyFill="1" applyAlignment="1">
      <alignment horizontal="center"/>
    </xf>
    <xf numFmtId="0" fontId="20" fillId="4" borderId="0" xfId="0" applyFont="1" applyFill="1" applyAlignment="1">
      <alignment horizontal="center"/>
    </xf>
    <xf numFmtId="37" fontId="21" fillId="4" borderId="0" xfId="0" applyNumberFormat="1" applyFont="1" applyFill="1"/>
    <xf numFmtId="37" fontId="21" fillId="4" borderId="0" xfId="0" applyNumberFormat="1" applyFont="1" applyFill="1" applyBorder="1"/>
    <xf numFmtId="37" fontId="24" fillId="4" borderId="0" xfId="0" applyNumberFormat="1" applyFont="1" applyFill="1" applyBorder="1"/>
    <xf numFmtId="37" fontId="21" fillId="4" borderId="0" xfId="0" applyNumberFormat="1" applyFont="1" applyFill="1" applyAlignment="1">
      <alignment horizontal="right"/>
    </xf>
    <xf numFmtId="37" fontId="63" fillId="4" borderId="0" xfId="0" applyNumberFormat="1" applyFont="1" applyFill="1" applyAlignment="1">
      <alignment horizontal="center"/>
    </xf>
    <xf numFmtId="37" fontId="21" fillId="4" borderId="0" xfId="0" applyNumberFormat="1" applyFont="1" applyFill="1" applyAlignment="1">
      <alignment horizontal="center"/>
    </xf>
    <xf numFmtId="166" fontId="57" fillId="4" borderId="0" xfId="0" applyNumberFormat="1" applyFont="1" applyFill="1"/>
    <xf numFmtId="166" fontId="57" fillId="4" borderId="0" xfId="0" applyNumberFormat="1" applyFont="1" applyFill="1" applyBorder="1" applyAlignment="1">
      <alignment horizontal="left" indent="1"/>
    </xf>
    <xf numFmtId="166" fontId="57" fillId="4" borderId="0" xfId="0" applyNumberFormat="1" applyFont="1" applyFill="1" applyBorder="1"/>
    <xf numFmtId="166" fontId="57" fillId="4" borderId="0" xfId="0" applyNumberFormat="1" applyFont="1" applyFill="1" applyAlignment="1">
      <alignment horizontal="right"/>
    </xf>
    <xf numFmtId="166" fontId="64" fillId="4" borderId="0" xfId="0" applyNumberFormat="1" applyFont="1" applyFill="1" applyAlignment="1">
      <alignment horizontal="center"/>
    </xf>
    <xf numFmtId="166" fontId="57" fillId="4" borderId="0" xfId="0" applyNumberFormat="1" applyFont="1" applyFill="1" applyAlignment="1">
      <alignment horizontal="center"/>
    </xf>
    <xf numFmtId="166" fontId="58" fillId="4" borderId="0" xfId="0" applyNumberFormat="1" applyFont="1" applyFill="1" applyAlignment="1">
      <alignment horizontal="center"/>
    </xf>
    <xf numFmtId="0" fontId="57" fillId="4" borderId="0" xfId="0" applyFont="1" applyFill="1"/>
    <xf numFmtId="182" fontId="22" fillId="4" borderId="0" xfId="0" applyNumberFormat="1" applyFont="1" applyFill="1" applyBorder="1"/>
    <xf numFmtId="182" fontId="22" fillId="4" borderId="0" xfId="0" applyNumberFormat="1" applyFont="1" applyFill="1"/>
    <xf numFmtId="166" fontId="20" fillId="4" borderId="0" xfId="0" applyNumberFormat="1" applyFont="1" applyFill="1" applyAlignment="1">
      <alignment horizontal="center"/>
    </xf>
    <xf numFmtId="0" fontId="21" fillId="4" borderId="0" xfId="0" applyFont="1" applyFill="1" applyBorder="1"/>
    <xf numFmtId="182" fontId="26" fillId="4" borderId="0" xfId="0" applyNumberFormat="1" applyFont="1" applyFill="1" applyBorder="1"/>
    <xf numFmtId="182" fontId="26" fillId="4" borderId="0" xfId="0" applyNumberFormat="1" applyFont="1" applyFill="1"/>
    <xf numFmtId="182" fontId="25" fillId="4" borderId="0" xfId="0" applyNumberFormat="1" applyFont="1" applyFill="1"/>
    <xf numFmtId="37" fontId="64" fillId="4" borderId="0" xfId="0" applyNumberFormat="1" applyFont="1" applyFill="1" applyAlignment="1">
      <alignment horizontal="center"/>
    </xf>
    <xf numFmtId="37" fontId="58" fillId="4" borderId="0" xfId="0" applyNumberFormat="1" applyFont="1" applyFill="1" applyAlignment="1">
      <alignment horizontal="center"/>
    </xf>
    <xf numFmtId="37" fontId="20" fillId="4" borderId="0" xfId="0" applyNumberFormat="1" applyFont="1" applyFill="1" applyAlignment="1">
      <alignment horizontal="center"/>
    </xf>
    <xf numFmtId="37" fontId="20" fillId="4" borderId="0" xfId="0" applyNumberFormat="1" applyFont="1" applyFill="1"/>
    <xf numFmtId="39" fontId="58" fillId="4" borderId="0" xfId="0" applyNumberFormat="1" applyFont="1" applyFill="1" applyAlignment="1">
      <alignment horizontal="center"/>
    </xf>
    <xf numFmtId="39" fontId="20" fillId="4" borderId="0" xfId="0" applyNumberFormat="1" applyFont="1" applyFill="1" applyAlignment="1">
      <alignment horizontal="center"/>
    </xf>
    <xf numFmtId="0" fontId="20" fillId="4" borderId="10" xfId="0" applyFont="1" applyFill="1" applyBorder="1"/>
    <xf numFmtId="182" fontId="25" fillId="4" borderId="10" xfId="0" applyNumberFormat="1" applyFont="1" applyFill="1" applyBorder="1"/>
    <xf numFmtId="39" fontId="20" fillId="4" borderId="10" xfId="0" applyNumberFormat="1" applyFont="1" applyFill="1" applyBorder="1" applyAlignment="1">
      <alignment horizontal="center"/>
    </xf>
    <xf numFmtId="37" fontId="20" fillId="4" borderId="0" xfId="0" applyNumberFormat="1" applyFont="1" applyFill="1" applyAlignment="1">
      <alignment horizontal="right"/>
    </xf>
    <xf numFmtId="7" fontId="20" fillId="4" borderId="0" xfId="0" applyNumberFormat="1" applyFont="1" applyFill="1" applyAlignment="1">
      <alignment horizontal="right"/>
    </xf>
    <xf numFmtId="0" fontId="31" fillId="4" borderId="20" xfId="12" applyFont="1" applyFill="1" applyBorder="1"/>
    <xf numFmtId="9" fontId="31" fillId="4" borderId="21" xfId="12" applyNumberFormat="1" applyFont="1" applyFill="1" applyBorder="1"/>
    <xf numFmtId="0" fontId="31" fillId="4" borderId="25" xfId="12" applyFont="1" applyFill="1" applyBorder="1" applyAlignment="1">
      <alignment horizontal="right"/>
    </xf>
    <xf numFmtId="0" fontId="31" fillId="4" borderId="10" xfId="12" applyFont="1" applyFill="1" applyBorder="1" applyAlignment="1">
      <alignment horizontal="right"/>
    </xf>
    <xf numFmtId="0" fontId="31" fillId="4" borderId="24" xfId="12" applyFont="1" applyFill="1" applyBorder="1" applyAlignment="1">
      <alignment horizontal="right"/>
    </xf>
    <xf numFmtId="0" fontId="32" fillId="4" borderId="37" xfId="12" applyFont="1" applyFill="1" applyBorder="1"/>
    <xf numFmtId="0" fontId="31" fillId="4" borderId="9" xfId="12" applyFont="1" applyFill="1" applyBorder="1"/>
    <xf numFmtId="0" fontId="31" fillId="4" borderId="26" xfId="12" applyFont="1" applyFill="1" applyBorder="1"/>
    <xf numFmtId="166" fontId="34" fillId="4" borderId="21" xfId="12" applyNumberFormat="1" applyFont="1" applyFill="1" applyBorder="1"/>
    <xf numFmtId="0" fontId="32" fillId="4" borderId="20" xfId="12" applyFont="1" applyFill="1" applyBorder="1"/>
    <xf numFmtId="166" fontId="32" fillId="4" borderId="21" xfId="12" applyNumberFormat="1" applyFont="1" applyFill="1" applyBorder="1"/>
    <xf numFmtId="166" fontId="31" fillId="4" borderId="21" xfId="12" applyNumberFormat="1" applyFont="1" applyFill="1" applyBorder="1"/>
    <xf numFmtId="166" fontId="35" fillId="4" borderId="21" xfId="12" applyNumberFormat="1" applyFont="1" applyFill="1" applyBorder="1"/>
    <xf numFmtId="0" fontId="31" fillId="4" borderId="25" xfId="12" applyFont="1" applyFill="1" applyBorder="1"/>
    <xf numFmtId="0" fontId="31" fillId="4" borderId="10" xfId="12" applyFont="1" applyFill="1" applyBorder="1"/>
    <xf numFmtId="183" fontId="39" fillId="4" borderId="24" xfId="12" applyNumberFormat="1" applyFont="1" applyFill="1" applyBorder="1"/>
    <xf numFmtId="0" fontId="31" fillId="4" borderId="37" xfId="12" applyFont="1" applyFill="1" applyBorder="1" applyAlignment="1">
      <alignment horizontal="right"/>
    </xf>
    <xf numFmtId="0" fontId="31" fillId="4" borderId="9" xfId="12" applyFont="1" applyFill="1" applyBorder="1" applyAlignment="1">
      <alignment horizontal="right"/>
    </xf>
    <xf numFmtId="0" fontId="31" fillId="4" borderId="26" xfId="12" applyFont="1" applyFill="1" applyBorder="1" applyAlignment="1">
      <alignment horizontal="right"/>
    </xf>
    <xf numFmtId="0" fontId="31" fillId="4" borderId="20" xfId="12" applyFont="1" applyFill="1" applyBorder="1" applyAlignment="1">
      <alignment horizontal="left"/>
    </xf>
    <xf numFmtId="0" fontId="31" fillId="4" borderId="0" xfId="12" applyFont="1" applyFill="1" applyBorder="1" applyAlignment="1">
      <alignment horizontal="right"/>
    </xf>
    <xf numFmtId="37" fontId="31" fillId="4" borderId="21" xfId="12" applyNumberFormat="1" applyFont="1" applyFill="1" applyBorder="1" applyAlignment="1">
      <alignment horizontal="right"/>
    </xf>
    <xf numFmtId="0" fontId="31" fillId="4" borderId="20" xfId="12" quotePrefix="1" applyFont="1" applyFill="1" applyBorder="1" applyAlignment="1">
      <alignment horizontal="left"/>
    </xf>
    <xf numFmtId="37" fontId="29" fillId="4" borderId="21" xfId="12" applyNumberFormat="1" applyFont="1" applyFill="1" applyBorder="1" applyAlignment="1">
      <alignment horizontal="right"/>
    </xf>
    <xf numFmtId="0" fontId="20" fillId="4" borderId="0" xfId="0" quotePrefix="1" applyFont="1" applyFill="1" applyBorder="1"/>
    <xf numFmtId="166" fontId="29" fillId="4" borderId="21" xfId="12" applyNumberFormat="1" applyFont="1" applyFill="1" applyBorder="1"/>
    <xf numFmtId="41" fontId="28" fillId="3" borderId="21" xfId="0" applyNumberFormat="1" applyFont="1" applyFill="1" applyBorder="1"/>
    <xf numFmtId="166" fontId="31" fillId="0" borderId="20" xfId="0" applyNumberFormat="1" applyFont="1" applyFill="1" applyBorder="1"/>
    <xf numFmtId="166" fontId="31" fillId="0" borderId="21" xfId="0" applyNumberFormat="1" applyFont="1" applyFill="1" applyBorder="1"/>
    <xf numFmtId="166" fontId="31" fillId="0" borderId="0" xfId="10" applyNumberFormat="1" applyFont="1" applyFill="1" applyBorder="1"/>
    <xf numFmtId="166" fontId="31" fillId="0" borderId="21" xfId="10" applyNumberFormat="1" applyFont="1" applyFill="1" applyBorder="1"/>
    <xf numFmtId="166" fontId="0" fillId="0" borderId="0" xfId="0" applyNumberFormat="1"/>
    <xf numFmtId="37" fontId="34" fillId="4" borderId="0" xfId="0" applyNumberFormat="1" applyFont="1" applyFill="1" applyBorder="1" applyAlignment="1">
      <alignment horizontal="right"/>
    </xf>
    <xf numFmtId="37" fontId="34" fillId="0" borderId="0" xfId="0" applyNumberFormat="1" applyFont="1" applyFill="1" applyBorder="1" applyAlignment="1">
      <alignment horizontal="right"/>
    </xf>
    <xf numFmtId="37" fontId="34" fillId="0" borderId="20" xfId="8" applyNumberFormat="1" applyFont="1" applyFill="1" applyBorder="1" applyAlignment="1">
      <alignment horizontal="right"/>
    </xf>
    <xf numFmtId="37" fontId="34" fillId="0" borderId="0" xfId="8" applyNumberFormat="1" applyFont="1" applyFill="1" applyBorder="1" applyAlignment="1">
      <alignment horizontal="right"/>
    </xf>
    <xf numFmtId="37" fontId="34" fillId="0" borderId="0" xfId="0" applyNumberFormat="1" applyFont="1" applyAlignment="1">
      <alignment horizontal="right"/>
    </xf>
    <xf numFmtId="166" fontId="44" fillId="4" borderId="12" xfId="8" applyNumberFormat="1" applyFont="1" applyFill="1" applyBorder="1"/>
    <xf numFmtId="166" fontId="44" fillId="4" borderId="11" xfId="0" applyNumberFormat="1" applyFont="1" applyFill="1" applyBorder="1" applyAlignment="1">
      <alignment horizontal="left" indent="1"/>
    </xf>
    <xf numFmtId="166" fontId="44" fillId="4" borderId="29" xfId="8" applyNumberFormat="1" applyFont="1" applyFill="1" applyBorder="1"/>
    <xf numFmtId="41" fontId="30" fillId="3" borderId="11" xfId="12" applyNumberFormat="1" applyFont="1" applyFill="1" applyBorder="1" applyAlignment="1">
      <alignment horizontal="center" vertical="center"/>
    </xf>
    <xf numFmtId="41" fontId="30" fillId="3" borderId="0" xfId="12" applyNumberFormat="1" applyFont="1" applyFill="1" applyBorder="1" applyAlignment="1">
      <alignment horizontal="center" vertical="center"/>
    </xf>
    <xf numFmtId="41" fontId="34" fillId="5" borderId="0" xfId="12" applyNumberFormat="1" applyFont="1" applyFill="1" applyBorder="1" applyAlignment="1">
      <alignment horizontal="right"/>
    </xf>
    <xf numFmtId="9" fontId="34" fillId="5" borderId="0" xfId="18" applyFont="1" applyFill="1" applyBorder="1" applyAlignment="1">
      <alignment horizontal="right"/>
    </xf>
    <xf numFmtId="166" fontId="34" fillId="5" borderId="0" xfId="18" applyNumberFormat="1" applyFont="1" applyFill="1" applyBorder="1" applyAlignment="1">
      <alignment horizontal="right"/>
    </xf>
    <xf numFmtId="37" fontId="35" fillId="4" borderId="45" xfId="12" applyNumberFormat="1" applyFont="1" applyFill="1" applyBorder="1" applyAlignment="1">
      <alignment horizontal="right"/>
    </xf>
    <xf numFmtId="37" fontId="34" fillId="4" borderId="60" xfId="12" applyNumberFormat="1" applyFont="1" applyFill="1" applyBorder="1" applyAlignment="1">
      <alignment horizontal="right"/>
    </xf>
    <xf numFmtId="37" fontId="34" fillId="4" borderId="45" xfId="12" applyNumberFormat="1" applyFont="1" applyFill="1" applyBorder="1" applyAlignment="1">
      <alignment horizontal="right"/>
    </xf>
    <xf numFmtId="41" fontId="34" fillId="4" borderId="45" xfId="12" applyNumberFormat="1" applyFont="1" applyFill="1" applyBorder="1" applyAlignment="1">
      <alignment horizontal="right"/>
    </xf>
    <xf numFmtId="41" fontId="34" fillId="4" borderId="45" xfId="12" applyNumberFormat="1" applyFont="1" applyFill="1" applyBorder="1"/>
    <xf numFmtId="37" fontId="34" fillId="5" borderId="45" xfId="12" applyNumberFormat="1" applyFont="1" applyFill="1" applyBorder="1" applyAlignment="1">
      <alignment horizontal="right"/>
    </xf>
    <xf numFmtId="169" fontId="29" fillId="4" borderId="0" xfId="8" applyNumberFormat="1" applyFont="1" applyFill="1" applyBorder="1" applyAlignment="1">
      <alignment horizontal="right"/>
    </xf>
    <xf numFmtId="38" fontId="31" fillId="4" borderId="0" xfId="13" applyNumberFormat="1" applyFont="1" applyFill="1" applyAlignment="1">
      <alignment horizontal="center"/>
    </xf>
    <xf numFmtId="37" fontId="31" fillId="5" borderId="0" xfId="12" applyNumberFormat="1" applyFont="1" applyFill="1" applyBorder="1" applyAlignment="1">
      <alignment horizontal="right"/>
    </xf>
    <xf numFmtId="166" fontId="34" fillId="4" borderId="12" xfId="12" applyNumberFormat="1" applyFont="1" applyFill="1" applyBorder="1" applyAlignment="1">
      <alignment horizontal="right"/>
    </xf>
    <xf numFmtId="0" fontId="34" fillId="5" borderId="11" xfId="12" applyFont="1" applyFill="1" applyBorder="1"/>
    <xf numFmtId="166" fontId="31" fillId="5" borderId="0" xfId="12" applyNumberFormat="1" applyFont="1" applyFill="1" applyBorder="1" applyAlignment="1">
      <alignment horizontal="right"/>
    </xf>
    <xf numFmtId="166" fontId="31" fillId="5" borderId="11" xfId="12" applyNumberFormat="1" applyFont="1" applyFill="1" applyBorder="1" applyAlignment="1">
      <alignment horizontal="right"/>
    </xf>
    <xf numFmtId="38" fontId="31" fillId="5" borderId="11" xfId="12" applyNumberFormat="1" applyFont="1" applyFill="1" applyBorder="1" applyAlignment="1">
      <alignment horizontal="right"/>
    </xf>
    <xf numFmtId="166" fontId="34" fillId="4" borderId="0" xfId="12" applyNumberFormat="1" applyFont="1" applyFill="1" applyBorder="1" applyAlignment="1">
      <alignment horizontal="right"/>
    </xf>
    <xf numFmtId="37" fontId="34" fillId="5" borderId="0" xfId="12" applyNumberFormat="1" applyFont="1" applyFill="1" applyBorder="1"/>
    <xf numFmtId="166" fontId="31" fillId="4" borderId="0" xfId="17" applyFont="1" applyFill="1" applyBorder="1" applyAlignment="1"/>
    <xf numFmtId="10" fontId="31" fillId="5" borderId="0" xfId="17" applyNumberFormat="1" applyFont="1" applyFill="1" applyBorder="1"/>
    <xf numFmtId="166" fontId="57" fillId="0" borderId="0" xfId="0" applyNumberFormat="1" applyFont="1" applyFill="1" applyBorder="1" applyAlignment="1">
      <alignment horizontal="left" indent="1"/>
    </xf>
    <xf numFmtId="41" fontId="30" fillId="3" borderId="0" xfId="12" applyNumberFormat="1" applyFont="1" applyFill="1" applyBorder="1" applyAlignment="1">
      <alignment horizontal="center" vertical="center"/>
    </xf>
    <xf numFmtId="166" fontId="31" fillId="4" borderId="45" xfId="13" applyNumberFormat="1" applyFont="1" applyFill="1" applyBorder="1" applyAlignment="1">
      <alignment horizontal="left" indent="1"/>
    </xf>
    <xf numFmtId="166" fontId="34" fillId="0" borderId="0" xfId="0" applyNumberFormat="1" applyFont="1" applyBorder="1"/>
    <xf numFmtId="37" fontId="38" fillId="0" borderId="0" xfId="8" applyNumberFormat="1" applyFont="1" applyFill="1" applyBorder="1"/>
    <xf numFmtId="37" fontId="46" fillId="0" borderId="0" xfId="8" applyNumberFormat="1" applyFont="1" applyFill="1" applyBorder="1"/>
    <xf numFmtId="37" fontId="31" fillId="0" borderId="9" xfId="8" applyNumberFormat="1" applyFont="1" applyFill="1" applyBorder="1" applyAlignment="1">
      <alignment horizontal="right"/>
    </xf>
    <xf numFmtId="37" fontId="29" fillId="0" borderId="9" xfId="8" applyNumberFormat="1" applyFont="1" applyFill="1" applyBorder="1" applyAlignment="1"/>
    <xf numFmtId="37" fontId="31" fillId="0" borderId="9" xfId="8" applyNumberFormat="1" applyFont="1" applyFill="1" applyBorder="1" applyAlignment="1"/>
    <xf numFmtId="166" fontId="44" fillId="4" borderId="7" xfId="8" applyNumberFormat="1" applyFont="1" applyFill="1" applyBorder="1"/>
    <xf numFmtId="0" fontId="0" fillId="4" borderId="0" xfId="0" applyFill="1" applyBorder="1"/>
    <xf numFmtId="169" fontId="34" fillId="4" borderId="21" xfId="8" applyNumberFormat="1" applyFont="1" applyFill="1" applyBorder="1"/>
    <xf numFmtId="37" fontId="35" fillId="0" borderId="21" xfId="8" applyNumberFormat="1" applyFont="1" applyFill="1" applyBorder="1" applyAlignment="1">
      <alignment horizontal="right"/>
    </xf>
    <xf numFmtId="169" fontId="64" fillId="4" borderId="0" xfId="14" applyNumberFormat="1" applyFont="1" applyFill="1" applyBorder="1" applyProtection="1">
      <protection locked="0"/>
    </xf>
    <xf numFmtId="169" fontId="64" fillId="4" borderId="21" xfId="14" applyNumberFormat="1" applyFont="1" applyFill="1" applyBorder="1" applyProtection="1">
      <protection locked="0"/>
    </xf>
    <xf numFmtId="169" fontId="20" fillId="4" borderId="0" xfId="14" applyNumberFormat="1" applyFont="1" applyFill="1" applyBorder="1" applyProtection="1">
      <protection locked="0"/>
    </xf>
    <xf numFmtId="169" fontId="20" fillId="4" borderId="21" xfId="14" applyNumberFormat="1" applyFont="1" applyFill="1" applyBorder="1" applyProtection="1">
      <protection locked="0"/>
    </xf>
    <xf numFmtId="0" fontId="31" fillId="0" borderId="38" xfId="12" applyFont="1" applyFill="1" applyBorder="1" applyAlignment="1">
      <alignment horizontal="left"/>
    </xf>
    <xf numFmtId="166" fontId="39" fillId="0" borderId="0" xfId="17" applyFont="1" applyFill="1" applyBorder="1"/>
    <xf numFmtId="169" fontId="31" fillId="4" borderId="0" xfId="10" applyNumberFormat="1" applyFont="1" applyFill="1" applyBorder="1"/>
    <xf numFmtId="169" fontId="34" fillId="4" borderId="0" xfId="8" applyNumberFormat="1" applyFont="1" applyFill="1" applyBorder="1"/>
    <xf numFmtId="166" fontId="34" fillId="4" borderId="0" xfId="17" applyFont="1" applyFill="1" applyBorder="1"/>
    <xf numFmtId="166" fontId="41" fillId="4" borderId="0" xfId="17" applyFont="1" applyFill="1" applyBorder="1"/>
    <xf numFmtId="166" fontId="29" fillId="4" borderId="0" xfId="17" applyFont="1" applyFill="1" applyBorder="1"/>
    <xf numFmtId="41" fontId="30" fillId="3" borderId="0" xfId="12" applyNumberFormat="1" applyFont="1" applyFill="1" applyBorder="1" applyAlignment="1">
      <alignment horizontal="center" vertical="center"/>
    </xf>
    <xf numFmtId="37" fontId="34" fillId="4" borderId="0" xfId="12" applyNumberFormat="1" applyFont="1" applyFill="1" applyBorder="1" applyAlignment="1">
      <alignment horizontal="center"/>
    </xf>
    <xf numFmtId="37" fontId="34" fillId="4" borderId="10" xfId="12" applyNumberFormat="1" applyFont="1" applyFill="1" applyBorder="1" applyAlignment="1">
      <alignment horizontal="center"/>
    </xf>
    <xf numFmtId="37" fontId="31" fillId="0" borderId="0" xfId="12" applyNumberFormat="1" applyFont="1" applyFill="1" applyAlignment="1">
      <alignment horizontal="center"/>
    </xf>
    <xf numFmtId="38" fontId="32" fillId="4" borderId="32" xfId="13" applyNumberFormat="1" applyFont="1" applyFill="1" applyBorder="1" applyAlignment="1">
      <alignment horizontal="center"/>
    </xf>
    <xf numFmtId="38" fontId="32" fillId="4" borderId="0" xfId="13" applyNumberFormat="1" applyFont="1" applyFill="1" applyAlignment="1">
      <alignment horizontal="center"/>
    </xf>
    <xf numFmtId="38" fontId="29" fillId="4" borderId="0" xfId="13" applyNumberFormat="1" applyFont="1" applyFill="1" applyAlignment="1">
      <alignment horizontal="center"/>
    </xf>
    <xf numFmtId="38" fontId="31" fillId="4" borderId="0" xfId="13" applyNumberFormat="1" applyFont="1" applyFill="1"/>
    <xf numFmtId="0" fontId="32" fillId="0" borderId="7" xfId="12" applyFont="1" applyFill="1" applyBorder="1"/>
    <xf numFmtId="181" fontId="32" fillId="0" borderId="8" xfId="12" applyNumberFormat="1" applyFont="1" applyFill="1" applyBorder="1"/>
    <xf numFmtId="181" fontId="31" fillId="0" borderId="7" xfId="12" applyNumberFormat="1" applyFont="1" applyFill="1" applyBorder="1"/>
    <xf numFmtId="37" fontId="31" fillId="0" borderId="0" xfId="12" applyNumberFormat="1" applyFont="1" applyFill="1"/>
    <xf numFmtId="181" fontId="32" fillId="0" borderId="12" xfId="12" applyNumberFormat="1" applyFont="1" applyFill="1" applyBorder="1"/>
    <xf numFmtId="181" fontId="32" fillId="0" borderId="6" xfId="12" applyNumberFormat="1" applyFont="1" applyFill="1" applyBorder="1"/>
    <xf numFmtId="9" fontId="29" fillId="4" borderId="21" xfId="12" applyNumberFormat="1" applyFont="1" applyFill="1" applyBorder="1"/>
    <xf numFmtId="172" fontId="29" fillId="4" borderId="21" xfId="12" applyNumberFormat="1" applyFont="1" applyFill="1" applyBorder="1"/>
    <xf numFmtId="0" fontId="31" fillId="0" borderId="13" xfId="12" applyFont="1" applyFill="1" applyBorder="1"/>
    <xf numFmtId="9" fontId="31" fillId="4" borderId="0" xfId="13" applyNumberFormat="1" applyFont="1" applyFill="1"/>
    <xf numFmtId="9" fontId="34" fillId="4" borderId="0" xfId="13" applyNumberFormat="1" applyFont="1" applyFill="1" applyAlignment="1">
      <alignment horizontal="center"/>
    </xf>
    <xf numFmtId="169" fontId="52" fillId="4" borderId="0" xfId="0" applyNumberFormat="1" applyFont="1" applyFill="1" applyBorder="1"/>
    <xf numFmtId="169" fontId="63" fillId="4" borderId="0" xfId="0" applyNumberFormat="1" applyFont="1" applyFill="1" applyBorder="1" applyAlignment="1" applyProtection="1">
      <alignment horizontal="right"/>
      <protection locked="0"/>
    </xf>
    <xf numFmtId="9" fontId="49" fillId="3" borderId="0" xfId="13" applyNumberFormat="1" applyFont="1" applyFill="1" applyAlignment="1">
      <alignment horizontal="left"/>
    </xf>
    <xf numFmtId="9" fontId="49" fillId="3" borderId="0" xfId="13" applyNumberFormat="1" applyFont="1" applyFill="1" applyAlignment="1">
      <alignment horizontal="center"/>
    </xf>
    <xf numFmtId="9" fontId="32" fillId="7" borderId="56" xfId="13" applyNumberFormat="1" applyFont="1" applyFill="1" applyBorder="1" applyAlignment="1">
      <alignment horizontal="center"/>
    </xf>
    <xf numFmtId="9" fontId="32" fillId="7" borderId="68" xfId="13" applyNumberFormat="1" applyFont="1" applyFill="1" applyBorder="1" applyAlignment="1">
      <alignment horizontal="center"/>
    </xf>
    <xf numFmtId="9" fontId="32" fillId="7" borderId="54" xfId="13" applyNumberFormat="1" applyFont="1" applyFill="1" applyBorder="1" applyAlignment="1">
      <alignment horizontal="center"/>
    </xf>
    <xf numFmtId="9" fontId="32" fillId="7" borderId="38" xfId="13" applyNumberFormat="1" applyFont="1" applyFill="1" applyBorder="1" applyAlignment="1">
      <alignment horizontal="center"/>
    </xf>
    <xf numFmtId="9" fontId="31" fillId="4" borderId="57" xfId="13" applyNumberFormat="1" applyFont="1" applyFill="1" applyBorder="1" applyAlignment="1">
      <alignment horizontal="center"/>
    </xf>
    <xf numFmtId="9" fontId="31" fillId="4" borderId="43" xfId="13" applyNumberFormat="1" applyFont="1" applyFill="1" applyBorder="1" applyAlignment="1">
      <alignment horizontal="center"/>
    </xf>
    <xf numFmtId="9" fontId="31" fillId="4" borderId="55" xfId="13" applyNumberFormat="1" applyFont="1" applyFill="1" applyBorder="1" applyAlignment="1">
      <alignment horizontal="center"/>
    </xf>
    <xf numFmtId="9" fontId="31" fillId="4" borderId="42" xfId="13" applyNumberFormat="1" applyFont="1" applyFill="1" applyBorder="1" applyAlignment="1">
      <alignment horizontal="center"/>
    </xf>
    <xf numFmtId="9" fontId="31" fillId="4" borderId="19" xfId="13" applyNumberFormat="1" applyFont="1" applyFill="1" applyBorder="1" applyAlignment="1">
      <alignment horizontal="center"/>
    </xf>
    <xf numFmtId="9" fontId="31" fillId="4" borderId="46" xfId="13" applyNumberFormat="1" applyFont="1" applyFill="1" applyBorder="1" applyAlignment="1">
      <alignment horizontal="center"/>
    </xf>
    <xf numFmtId="9" fontId="31" fillId="4" borderId="0" xfId="13" applyNumberFormat="1" applyFont="1" applyFill="1" applyBorder="1" applyAlignment="1">
      <alignment horizontal="center"/>
    </xf>
    <xf numFmtId="9" fontId="31" fillId="4" borderId="47" xfId="13" applyNumberFormat="1" applyFont="1" applyFill="1" applyBorder="1" applyAlignment="1">
      <alignment horizontal="center"/>
    </xf>
    <xf numFmtId="9" fontId="31" fillId="4" borderId="31" xfId="13" applyNumberFormat="1" applyFont="1" applyFill="1" applyBorder="1" applyAlignment="1">
      <alignment horizontal="center"/>
    </xf>
    <xf numFmtId="9" fontId="31" fillId="4" borderId="69" xfId="13" applyNumberFormat="1" applyFont="1" applyFill="1" applyBorder="1" applyAlignment="1">
      <alignment horizontal="center"/>
    </xf>
    <xf numFmtId="9" fontId="31" fillId="4" borderId="39" xfId="13" applyNumberFormat="1" applyFont="1" applyFill="1" applyBorder="1" applyAlignment="1">
      <alignment horizontal="center"/>
    </xf>
    <xf numFmtId="9" fontId="31" fillId="4" borderId="53" xfId="13" applyNumberFormat="1" applyFont="1" applyFill="1" applyBorder="1" applyAlignment="1">
      <alignment horizontal="center"/>
    </xf>
    <xf numFmtId="9" fontId="32" fillId="7" borderId="40" xfId="13" applyNumberFormat="1" applyFont="1" applyFill="1" applyBorder="1" applyAlignment="1">
      <alignment horizontal="center"/>
    </xf>
    <xf numFmtId="9" fontId="32" fillId="8" borderId="41" xfId="13" applyNumberFormat="1" applyFont="1" applyFill="1" applyBorder="1" applyAlignment="1">
      <alignment horizontal="center"/>
    </xf>
    <xf numFmtId="9" fontId="32" fillId="8" borderId="42" xfId="13" applyNumberFormat="1" applyFont="1" applyFill="1" applyBorder="1" applyAlignment="1">
      <alignment horizontal="center"/>
    </xf>
    <xf numFmtId="9" fontId="32" fillId="8" borderId="45" xfId="13" applyNumberFormat="1" applyFont="1" applyFill="1" applyBorder="1" applyAlignment="1">
      <alignment horizontal="center"/>
    </xf>
    <xf numFmtId="9" fontId="32" fillId="8" borderId="47" xfId="13" applyNumberFormat="1" applyFont="1" applyFill="1" applyBorder="1" applyAlignment="1">
      <alignment horizontal="center"/>
    </xf>
    <xf numFmtId="9" fontId="31" fillId="4" borderId="45" xfId="13" applyNumberFormat="1" applyFont="1" applyFill="1" applyBorder="1" applyAlignment="1">
      <alignment horizontal="center"/>
    </xf>
    <xf numFmtId="9" fontId="31" fillId="4" borderId="49" xfId="13" applyNumberFormat="1" applyFont="1" applyFill="1" applyBorder="1" applyAlignment="1">
      <alignment horizontal="center"/>
    </xf>
    <xf numFmtId="41" fontId="30" fillId="3" borderId="0" xfId="12" applyNumberFormat="1" applyFont="1" applyFill="1" applyBorder="1" applyAlignment="1">
      <alignment horizontal="center" vertical="center"/>
    </xf>
    <xf numFmtId="37" fontId="31" fillId="0" borderId="38" xfId="12" applyNumberFormat="1" applyFont="1" applyFill="1" applyBorder="1" applyAlignment="1">
      <alignment horizontal="center"/>
    </xf>
    <xf numFmtId="7" fontId="31" fillId="0" borderId="38" xfId="12" applyNumberFormat="1" applyFont="1" applyFill="1" applyBorder="1" applyAlignment="1">
      <alignment horizontal="center"/>
    </xf>
    <xf numFmtId="39" fontId="34" fillId="4" borderId="21" xfId="12" applyNumberFormat="1" applyFont="1" applyFill="1" applyBorder="1"/>
    <xf numFmtId="7" fontId="34" fillId="4" borderId="0" xfId="14" applyNumberFormat="1" applyFont="1" applyFill="1" applyBorder="1" applyProtection="1">
      <protection locked="0"/>
    </xf>
    <xf numFmtId="7" fontId="34" fillId="4" borderId="21" xfId="14" applyNumberFormat="1" applyFont="1" applyFill="1" applyBorder="1" applyProtection="1">
      <protection locked="0"/>
    </xf>
    <xf numFmtId="7" fontId="34" fillId="4" borderId="0" xfId="9" applyNumberFormat="1" applyFont="1" applyFill="1" applyBorder="1" applyProtection="1">
      <protection locked="0"/>
    </xf>
    <xf numFmtId="7" fontId="34" fillId="4" borderId="21" xfId="9" applyNumberFormat="1" applyFont="1" applyFill="1" applyBorder="1" applyProtection="1">
      <protection locked="0"/>
    </xf>
    <xf numFmtId="7" fontId="31" fillId="4" borderId="0" xfId="9" applyNumberFormat="1" applyFont="1" applyFill="1" applyBorder="1" applyProtection="1">
      <protection locked="0"/>
    </xf>
    <xf numFmtId="7" fontId="31" fillId="4" borderId="0" xfId="14" applyNumberFormat="1" applyFont="1" applyFill="1" applyBorder="1" applyProtection="1">
      <protection locked="0"/>
    </xf>
    <xf numFmtId="166" fontId="44" fillId="4" borderId="0" xfId="14" applyNumberFormat="1" applyFont="1" applyFill="1" applyBorder="1" applyAlignment="1" applyProtection="1">
      <alignment horizontal="left" indent="1"/>
      <protection locked="0"/>
    </xf>
    <xf numFmtId="0" fontId="32" fillId="4" borderId="35" xfId="13" applyFont="1" applyFill="1" applyBorder="1" applyAlignment="1">
      <alignment horizontal="center"/>
    </xf>
    <xf numFmtId="0" fontId="32" fillId="4" borderId="36" xfId="13" applyFont="1" applyFill="1" applyBorder="1" applyAlignment="1">
      <alignment horizontal="center"/>
    </xf>
    <xf numFmtId="0" fontId="32" fillId="4" borderId="32" xfId="13" applyFont="1" applyFill="1" applyBorder="1" applyAlignment="1">
      <alignment horizontal="center"/>
    </xf>
    <xf numFmtId="41" fontId="30" fillId="3" borderId="11" xfId="12" applyNumberFormat="1" applyFont="1" applyFill="1" applyBorder="1" applyAlignment="1">
      <alignment horizontal="center" vertical="center"/>
    </xf>
    <xf numFmtId="41" fontId="30" fillId="3" borderId="0" xfId="12" applyNumberFormat="1" applyFont="1" applyFill="1" applyBorder="1" applyAlignment="1">
      <alignment horizontal="center" vertical="center"/>
    </xf>
    <xf numFmtId="41" fontId="30" fillId="3" borderId="12" xfId="12" applyNumberFormat="1" applyFont="1" applyFill="1" applyBorder="1" applyAlignment="1">
      <alignment horizontal="center" vertical="center"/>
    </xf>
    <xf numFmtId="0" fontId="30" fillId="3" borderId="12" xfId="12" applyFont="1" applyFill="1" applyBorder="1" applyAlignment="1">
      <alignment horizontal="center" vertical="center"/>
    </xf>
    <xf numFmtId="0" fontId="30" fillId="3" borderId="0" xfId="12" applyFont="1" applyFill="1" applyBorder="1" applyAlignment="1">
      <alignment horizontal="center" vertical="center"/>
    </xf>
    <xf numFmtId="0" fontId="32" fillId="7" borderId="62" xfId="13" applyFont="1" applyFill="1" applyBorder="1" applyAlignment="1">
      <alignment horizontal="center"/>
    </xf>
    <xf numFmtId="0" fontId="32" fillId="7" borderId="63" xfId="13" applyFont="1" applyFill="1" applyBorder="1" applyAlignment="1">
      <alignment horizontal="center"/>
    </xf>
    <xf numFmtId="0" fontId="32" fillId="7" borderId="64" xfId="13" applyFont="1" applyFill="1" applyBorder="1" applyAlignment="1">
      <alignment horizontal="center"/>
    </xf>
    <xf numFmtId="0" fontId="32" fillId="7" borderId="65" xfId="13" applyFont="1" applyFill="1" applyBorder="1" applyAlignment="1">
      <alignment horizontal="center"/>
    </xf>
    <xf numFmtId="0" fontId="32" fillId="7" borderId="66" xfId="13" applyFont="1" applyFill="1" applyBorder="1" applyAlignment="1">
      <alignment horizontal="center"/>
    </xf>
    <xf numFmtId="0" fontId="32" fillId="7" borderId="67" xfId="13" applyFont="1" applyFill="1" applyBorder="1" applyAlignment="1">
      <alignment horizontal="center"/>
    </xf>
    <xf numFmtId="0" fontId="1" fillId="9" borderId="0" xfId="26" applyFont="1" applyFill="1" applyAlignment="1">
      <alignment vertical="top"/>
    </xf>
    <xf numFmtId="0" fontId="1" fillId="9" borderId="0" xfId="11" applyFill="1" applyAlignment="1">
      <alignment vertical="top"/>
    </xf>
    <xf numFmtId="0" fontId="1" fillId="9" borderId="0" xfId="11" applyFill="1"/>
    <xf numFmtId="0" fontId="9" fillId="9" borderId="0" xfId="26" applyFont="1" applyFill="1" applyAlignment="1">
      <alignment horizontal="left" vertical="top"/>
    </xf>
    <xf numFmtId="0" fontId="1" fillId="9" borderId="0" xfId="11" applyFont="1" applyFill="1" applyAlignment="1">
      <alignment vertical="top"/>
    </xf>
    <xf numFmtId="0" fontId="66" fillId="9" borderId="0" xfId="26" applyFont="1" applyFill="1" applyAlignment="1">
      <alignment vertical="top"/>
    </xf>
    <xf numFmtId="0" fontId="0" fillId="9" borderId="0" xfId="0" applyFill="1" applyAlignment="1">
      <alignment vertical="top"/>
    </xf>
    <xf numFmtId="0" fontId="67" fillId="9" borderId="0" xfId="0" applyFont="1" applyFill="1" applyAlignment="1">
      <alignment vertical="top"/>
    </xf>
    <xf numFmtId="0" fontId="68" fillId="9" borderId="0" xfId="0" applyFont="1" applyFill="1" applyAlignment="1">
      <alignment vertical="top"/>
    </xf>
    <xf numFmtId="0" fontId="68" fillId="9" borderId="0" xfId="0" applyFont="1" applyFill="1" applyAlignment="1">
      <alignment vertical="top"/>
    </xf>
    <xf numFmtId="0" fontId="67" fillId="9" borderId="0" xfId="0" applyFont="1" applyFill="1" applyAlignment="1">
      <alignment vertical="top"/>
    </xf>
    <xf numFmtId="0" fontId="0" fillId="9" borderId="0" xfId="0" applyFill="1" applyAlignment="1">
      <alignment vertical="top"/>
    </xf>
    <xf numFmtId="0" fontId="0" fillId="9" borderId="74" xfId="0" applyFill="1" applyBorder="1" applyAlignment="1">
      <alignment vertical="top"/>
    </xf>
    <xf numFmtId="0" fontId="67" fillId="9" borderId="70" xfId="0" applyFont="1" applyFill="1" applyBorder="1" applyAlignment="1">
      <alignment vertical="top"/>
    </xf>
    <xf numFmtId="0" fontId="67" fillId="9" borderId="71" xfId="0" applyFont="1" applyFill="1" applyBorder="1" applyAlignment="1">
      <alignment vertical="top"/>
    </xf>
    <xf numFmtId="0" fontId="67" fillId="9" borderId="72" xfId="0" applyFont="1" applyFill="1" applyBorder="1" applyAlignment="1">
      <alignment vertical="top"/>
    </xf>
    <xf numFmtId="0" fontId="67" fillId="9" borderId="73" xfId="0" applyFont="1" applyFill="1" applyBorder="1" applyAlignment="1">
      <alignment vertical="top"/>
    </xf>
    <xf numFmtId="9" fontId="67" fillId="9" borderId="70" xfId="0" applyNumberFormat="1" applyFont="1" applyFill="1" applyBorder="1" applyAlignment="1">
      <alignment vertical="top"/>
    </xf>
    <xf numFmtId="3" fontId="67" fillId="9" borderId="70" xfId="0" applyNumberFormat="1" applyFont="1" applyFill="1" applyBorder="1" applyAlignment="1">
      <alignment vertical="top"/>
    </xf>
    <xf numFmtId="0" fontId="0" fillId="9" borderId="75" xfId="0" applyFill="1" applyBorder="1" applyAlignment="1">
      <alignment vertical="top"/>
    </xf>
    <xf numFmtId="2" fontId="1" fillId="0" borderId="0" xfId="11" applyNumberFormat="1" applyAlignment="1">
      <alignment horizontal="left"/>
    </xf>
    <xf numFmtId="0" fontId="1" fillId="0" borderId="0" xfId="11" applyNumberFormat="1" applyAlignment="1">
      <alignment horizontal="left"/>
    </xf>
    <xf numFmtId="1" fontId="1" fillId="0" borderId="0" xfId="11" applyNumberFormat="1" applyAlignment="1">
      <alignment horizontal="left"/>
    </xf>
    <xf numFmtId="0" fontId="1" fillId="0" borderId="0" xfId="11" applyFont="1"/>
    <xf numFmtId="190" fontId="1" fillId="0" borderId="0" xfId="11" applyNumberFormat="1" applyAlignment="1">
      <alignment horizontal="left"/>
    </xf>
    <xf numFmtId="49" fontId="1" fillId="0" borderId="0" xfId="11" applyNumberFormat="1"/>
    <xf numFmtId="0" fontId="69" fillId="0" borderId="0" xfId="11" applyFont="1" applyAlignment="1">
      <alignment wrapText="1"/>
    </xf>
    <xf numFmtId="0" fontId="69" fillId="0" borderId="0" xfId="11" applyFont="1" applyAlignment="1">
      <alignment horizontal="left" wrapText="1" indent="3"/>
    </xf>
    <xf numFmtId="0" fontId="69" fillId="0" borderId="0" xfId="11" applyFont="1" applyAlignment="1">
      <alignment horizontal="left" wrapText="1" indent="1"/>
    </xf>
    <xf numFmtId="0" fontId="71" fillId="0" borderId="0" xfId="11" applyFont="1" applyAlignment="1">
      <alignment wrapText="1"/>
    </xf>
  </cellXfs>
  <cellStyles count="27">
    <cellStyle name="_BS " xfId="1"/>
    <cellStyle name="_DCF " xfId="2"/>
    <cellStyle name="_SUMMARY " xfId="3"/>
    <cellStyle name="0_Capex &amp; Depreciation " xfId="4"/>
    <cellStyle name="0_OMV EP 2000-2015 Consolidated " xfId="5"/>
    <cellStyle name="0_Valuing BP " xfId="6"/>
    <cellStyle name="c_HardInc " xfId="7"/>
    <cellStyle name="Comma" xfId="8" builtinId="3"/>
    <cellStyle name="Comma_BWA Model" xfId="9"/>
    <cellStyle name="Currency" xfId="10" builtinId="4"/>
    <cellStyle name="Normal" xfId="0" builtinId="0"/>
    <cellStyle name="Normal 2" xfId="11"/>
    <cellStyle name="Normal 2 2" xfId="12"/>
    <cellStyle name="Normal 8" xfId="13"/>
    <cellStyle name="Normal_BWA Model" xfId="14"/>
    <cellStyle name="Normal_DisclaimerSheet Samples" xfId="26"/>
    <cellStyle name="Normal_Qtr Model" xfId="15"/>
    <cellStyle name="p " xfId="16"/>
    <cellStyle name="Percent" xfId="17" builtinId="5"/>
    <cellStyle name="Percent 2" xfId="18"/>
    <cellStyle name="RRSInstruction" xfId="19"/>
    <cellStyle name="RRSInstruction 2" xfId="25"/>
    <cellStyle name="s_HardInc " xfId="20"/>
    <cellStyle name="s_Valuation " xfId="21"/>
    <cellStyle name="ssp " xfId="22"/>
    <cellStyle name="콤마 [0]_#3이설 견적_준공내역총괄표 " xfId="23"/>
    <cellStyle name="콤마_#3이설 견적_준공내역총괄표 " xfId="24"/>
  </cellStyles>
  <dxfs count="17">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74BE74"/>
      <rgbColor rgb="002270AB"/>
      <rgbColor rgb="00F8CD14"/>
      <rgbColor rgb="00F26163"/>
      <rgbColor rgb="00A8D7E2"/>
      <rgbColor rgb="00B2122B"/>
      <rgbColor rgb="00238B45"/>
      <rgbColor rgb="001B4694"/>
      <rgbColor rgb="0041A95C"/>
      <rgbColor rgb="00800080"/>
      <rgbColor rgb="00238B45"/>
      <rgbColor rgb="00C0C0C0"/>
      <rgbColor rgb="00808080"/>
      <rgbColor rgb="00137CB1"/>
      <rgbColor rgb="00EACC80"/>
      <rgbColor rgb="004AAC6B"/>
      <rgbColor rgb="00A8D7E2"/>
      <rgbColor rgb="00E58061"/>
      <rgbColor rgb="00BCE3A1"/>
      <rgbColor rgb="008E466A"/>
      <rgbColor rgb="00F3A7A9"/>
      <rgbColor rgb="001275A6"/>
      <rgbColor rgb="00E5BF61"/>
      <rgbColor rgb="004AAC6B"/>
      <rgbColor rgb="0097D0DD"/>
      <rgbColor rgb="00763A58"/>
      <rgbColor rgb="00EF8D8F"/>
      <rgbColor rgb="00E2704C"/>
      <rgbColor rgb="00A5D981"/>
      <rgbColor rgb="0069ADCA"/>
      <rgbColor rgb="00C6D9E2"/>
      <rgbColor rgb="00E3EEDE"/>
      <rgbColor rgb="00F3EEA1"/>
      <rgbColor rgb="009DC9DC"/>
      <rgbColor rgb="00EFC1D2"/>
      <rgbColor rgb="009DC9DC"/>
      <rgbColor rgb="00EFC49F"/>
      <rgbColor rgb="004091BF"/>
      <rgbColor rgb="0097D0DD"/>
      <rgbColor rgb="00A5D981"/>
      <rgbColor rgb="00F8CD14"/>
      <rgbColor rgb="00EACC80"/>
      <rgbColor rgb="00FC7114"/>
      <rgbColor rgb="004091BF"/>
      <rgbColor rgb="00969696"/>
      <rgbColor rgb="00003366"/>
      <rgbColor rgb="0041A95C"/>
      <rgbColor rgb="00125A31"/>
      <rgbColor rgb="00125A31"/>
      <rgbColor rgb="00DDDDDD"/>
      <rgbColor rgb="008E466A"/>
      <rgbColor rgb="001B4694"/>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theme/theme1.xml" Type="http://schemas.openxmlformats.org/officeDocument/2006/relationships/theme"/>
<Relationship Id="rId17" Target="styles.xml" Type="http://schemas.openxmlformats.org/officeDocument/2006/relationships/styles"/>
<Relationship Id="rId18" Target="sharedStrings.xml" Type="http://schemas.openxmlformats.org/officeDocument/2006/relationships/sharedStrings"/>
<Relationship Id="rId19" Target="calcChain.xml" Type="http://schemas.openxmlformats.org/officeDocument/2006/relationships/calcChain"/>
<Relationship Id="rId2" Target="worksheets/sheet2.xml" Type="http://schemas.openxmlformats.org/officeDocument/2006/relationships/worksheet"/>
<Relationship Id="rId20" Target="../customXml/item1.xml" Type="http://schemas.openxmlformats.org/officeDocument/2006/relationships/customXml"/>
<Relationship Id="rId21" Target="../customXml/item2.xml" Type="http://schemas.openxmlformats.org/officeDocument/2006/relationships/customXml"/>
<Relationship Id="rId22" Target="vbaProject.bin" Type="http://schemas.microsoft.com/office/2006/relationships/vbaProjec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3.xml.rels><?xml version="1.0" encoding="UTF-8" standalone="yes"?>
<Relationships xmlns="http://schemas.openxmlformats.org/package/2006/relationships">
<Relationship Id="rId1" Target="../media/image4.png" Type="http://schemas.openxmlformats.org/officeDocument/2006/relationships/image"/>
</Relationships>

</file>

<file path=xl/drawings/_rels/drawing4.xml.rels><?xml version="1.0" encoding="UTF-8" standalone="yes"?>
<Relationships xmlns="http://schemas.openxmlformats.org/package/2006/relationships">
<Relationship Id="rId1" Target="../media/image4.png"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174</xdr:row>
      <xdr:rowOff>0</xdr:rowOff>
    </xdr:from>
    <xdr:to>
      <xdr:col>7</xdr:col>
      <xdr:colOff>390525</xdr:colOff>
      <xdr:row>197</xdr:row>
      <xdr:rowOff>104775</xdr:rowOff>
    </xdr:to>
    <xdr:pic>
      <xdr:nvPicPr>
        <xdr:cNvPr id="4308993" name="Picture 1" descr="C:\Users\sinkevic\AppData\Local\Temp\MercuryPriceRatingHistoryChart\LEA.N_2018_04_10_18_39_55.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680335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11</xdr:row>
          <xdr:rowOff>152400</xdr:rowOff>
        </xdr:from>
        <xdr:to>
          <xdr:col>1</xdr:col>
          <xdr:colOff>2819400</xdr:colOff>
          <xdr:row>14</xdr:row>
          <xdr:rowOff>152400</xdr:rowOff>
        </xdr:to>
        <xdr:sp macro="" textlink="">
          <xdr:nvSpPr>
            <xdr:cNvPr id="4310017" name="Button 1" hidden="1">
              <a:extLst>
                <a:ext uri="{63B3BB69-23CF-44E3-9099-C40C66FF867C}">
                  <a14:compatExt spid="_x0000_s4310017"/>
                </a:ext>
              </a:extLst>
            </xdr:cNvPr>
            <xdr:cNvSpPr/>
          </xdr:nvSpPr>
          <xdr:spPr>
            <a:xfrm>
              <a:off x="0" y="0"/>
              <a:ext cx="0" cy="0"/>
            </a:xfrm>
            <a:prstGeom prst="rect">
              <a:avLst/>
            </a:prstGeom>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Apply Circular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3067050</xdr:colOff>
          <xdr:row>11</xdr:row>
          <xdr:rowOff>152400</xdr:rowOff>
        </xdr:from>
        <xdr:to>
          <xdr:col>2</xdr:col>
          <xdr:colOff>0</xdr:colOff>
          <xdr:row>14</xdr:row>
          <xdr:rowOff>152400</xdr:rowOff>
        </xdr:to>
        <xdr:sp macro="" textlink="">
          <xdr:nvSpPr>
            <xdr:cNvPr id="4310018" name="Button 2" hidden="1">
              <a:extLst>
                <a:ext uri="{63B3BB69-23CF-44E3-9099-C40C66FF867C}">
                  <a14:compatExt spid="_x0000_s4310018"/>
                </a:ext>
              </a:extLst>
            </xdr:cNvPr>
            <xdr:cNvSpPr/>
          </xdr:nvSpPr>
          <xdr:spPr>
            <a:xfrm>
              <a:off x="0" y="0"/>
              <a:ext cx="0" cy="0"/>
            </a:xfrm>
            <a:prstGeom prst="rect">
              <a:avLst/>
            </a:prstGeom>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Just Display Sheets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1</xdr:col>
      <xdr:colOff>1409700</xdr:colOff>
      <xdr:row>2</xdr:row>
      <xdr:rowOff>114300</xdr:rowOff>
    </xdr:to>
    <xdr:pic>
      <xdr:nvPicPr>
        <xdr:cNvPr id="881459"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7150"/>
          <a:ext cx="1343025"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1</xdr:col>
      <xdr:colOff>1409700</xdr:colOff>
      <xdr:row>2</xdr:row>
      <xdr:rowOff>114300</xdr:rowOff>
    </xdr:to>
    <xdr:pic>
      <xdr:nvPicPr>
        <xdr:cNvPr id="4285478"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7150"/>
          <a:ext cx="1343025"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3.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2.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s>

</file>

<file path=xl/worksheets/_rels/sheet4.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6.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vmlDrawing2.vml" Type="http://schemas.openxmlformats.org/officeDocument/2006/relationships/vmlDrawing"/>
<Relationship Id="rId3" Target="../comments1.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printerSettings/printerSettings7.bin" Type="http://schemas.openxmlformats.org/officeDocument/2006/relationships/printerSettings"/>
<Relationship Id="rId3" Target="../drawings/drawing3.xml" Type="http://schemas.openxmlformats.org/officeDocument/2006/relationships/drawing"/>
<Relationship Id="rId4" Target="../drawings/vmlDrawing3.vml" Type="http://schemas.openxmlformats.org/officeDocument/2006/relationships/vmlDrawing"/>
<Relationship Id="rId5" Target="../comments2.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vmlDrawing4.vml" Type="http://schemas.openxmlformats.org/officeDocument/2006/relationships/vmlDrawing"/>
<Relationship Id="rId3" Target="../comments3.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 Id="rId2" Target="../drawings/drawing4.xml" Type="http://schemas.openxmlformats.org/officeDocument/2006/relationships/drawing"/>
<Relationship Id="rId3" Target="../drawings/vmlDrawing5.vml" Type="http://schemas.openxmlformats.org/officeDocument/2006/relationships/vmlDrawing"/>
<Relationship Id="rId4" Target="../comments4.xml" Type="http://schemas.openxmlformats.org/officeDocument/2006/relationships/comments"/>
</Relationships>

</file>

<file path=xl/worksheets/_rels/sheet11.xml.rels><?xml version="1.0" encoding="UTF-8" standalone="yes"?>
<Relationships xmlns="http://schemas.openxmlformats.org/package/2006/relationships">
<Relationship Id="rId1" Target="../printerSettings/printerSettings11.bin" Type="http://schemas.openxmlformats.org/officeDocument/2006/relationships/printerSettings"/>
<Relationship Id="rId2" Target="../drawings/vmlDrawing6.vml" Type="http://schemas.openxmlformats.org/officeDocument/2006/relationships/vmlDrawing"/>
<Relationship Id="rId3" Target="../comments5.xml" Type="http://schemas.openxmlformats.org/officeDocument/2006/relationships/comments"/>
</Relationships>

</file>

<file path=xl/worksheets/_rels/sheet12.xml.rels><?xml version="1.0" encoding="UTF-8" standalone="yes"?>
<Relationships xmlns="http://schemas.openxmlformats.org/package/2006/relationships">
<Relationship Id="rId1" Target="../printerSettings/printerSettings12.bin" Type="http://schemas.openxmlformats.org/officeDocument/2006/relationships/printerSettings"/>
<Relationship Id="rId2" Target="../drawings/vmlDrawing7.vml" Type="http://schemas.openxmlformats.org/officeDocument/2006/relationships/vmlDrawing"/>
<Relationship Id="rId3" Target="../comments6.xml" Type="http://schemas.openxmlformats.org/officeDocument/2006/relationships/comments"/>
</Relationships>

</file>

<file path=xl/worksheets/_rels/sheet13.xml.rels><?xml version="1.0" encoding="UTF-8" standalone="yes"?>
<Relationships xmlns="http://schemas.openxmlformats.org/package/2006/relationships">
<Relationship Id="rId1" Target="../printerSettings/printerSettings13.bin" Type="http://schemas.openxmlformats.org/officeDocument/2006/relationships/printerSettings"/>
<Relationship Id="rId2" Target="../drawings/vmlDrawing8.vml" Type="http://schemas.openxmlformats.org/officeDocument/2006/relationships/vmlDrawing"/>
<Relationship Id="rId3" Target="../comments7.xml" Type="http://schemas.openxmlformats.org/officeDocument/2006/relationships/comments"/>
</Relationships>

</file>

<file path=xl/worksheets/_rels/sheet14.xml.rels><?xml version="1.0" encoding="UTF-8" standalone="yes"?>
<Relationships xmlns="http://schemas.openxmlformats.org/package/2006/relationships">
<Relationship Id="rId1" Target="../printerSettings/printerSettings14.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388"/>
  <sheetViews>
    <sheetView showGridLines="0" tabSelected="1" workbookViewId="0">
      <selection activeCell="Z1" sqref="Z1"/>
    </sheetView>
  </sheetViews>
  <sheetFormatPr defaultRowHeight="12.75"/>
  <cols>
    <col min="1" max="1" width="25.7109375" style="951" customWidth="1"/>
    <col min="2" max="5" width="9.140625" style="951"/>
    <col min="6" max="6" width="18.7109375" style="951" customWidth="1"/>
    <col min="7" max="256" width="9.140625" style="951"/>
    <col min="257" max="257" width="100.7109375" style="951" customWidth="1"/>
    <col min="258" max="512" width="9.140625" style="951"/>
    <col min="513" max="513" width="100.7109375" style="951" customWidth="1"/>
    <col min="514" max="768" width="9.140625" style="951"/>
    <col min="769" max="769" width="100.7109375" style="951" customWidth="1"/>
    <col min="770" max="1024" width="9.140625" style="951"/>
    <col min="1025" max="1025" width="100.7109375" style="951" customWidth="1"/>
    <col min="1026" max="1280" width="9.140625" style="951"/>
    <col min="1281" max="1281" width="100.7109375" style="951" customWidth="1"/>
    <col min="1282" max="1536" width="9.140625" style="951"/>
    <col min="1537" max="1537" width="100.7109375" style="951" customWidth="1"/>
    <col min="1538" max="1792" width="9.140625" style="951"/>
    <col min="1793" max="1793" width="100.7109375" style="951" customWidth="1"/>
    <col min="1794" max="2048" width="9.140625" style="951"/>
    <col min="2049" max="2049" width="100.7109375" style="951" customWidth="1"/>
    <col min="2050" max="2304" width="9.140625" style="951"/>
    <col min="2305" max="2305" width="100.7109375" style="951" customWidth="1"/>
    <col min="2306" max="2560" width="9.140625" style="951"/>
    <col min="2561" max="2561" width="100.7109375" style="951" customWidth="1"/>
    <col min="2562" max="2816" width="9.140625" style="951"/>
    <col min="2817" max="2817" width="100.7109375" style="951" customWidth="1"/>
    <col min="2818" max="3072" width="9.140625" style="951"/>
    <col min="3073" max="3073" width="100.7109375" style="951" customWidth="1"/>
    <col min="3074" max="3328" width="9.140625" style="951"/>
    <col min="3329" max="3329" width="100.7109375" style="951" customWidth="1"/>
    <col min="3330" max="3584" width="9.140625" style="951"/>
    <col min="3585" max="3585" width="100.7109375" style="951" customWidth="1"/>
    <col min="3586" max="3840" width="9.140625" style="951"/>
    <col min="3841" max="3841" width="100.7109375" style="951" customWidth="1"/>
    <col min="3842" max="4096" width="9.140625" style="951"/>
    <col min="4097" max="4097" width="100.7109375" style="951" customWidth="1"/>
    <col min="4098" max="4352" width="9.140625" style="951"/>
    <col min="4353" max="4353" width="100.7109375" style="951" customWidth="1"/>
    <col min="4354" max="4608" width="9.140625" style="951"/>
    <col min="4609" max="4609" width="100.7109375" style="951" customWidth="1"/>
    <col min="4610" max="4864" width="9.140625" style="951"/>
    <col min="4865" max="4865" width="100.7109375" style="951" customWidth="1"/>
    <col min="4866" max="5120" width="9.140625" style="951"/>
    <col min="5121" max="5121" width="100.7109375" style="951" customWidth="1"/>
    <col min="5122" max="5376" width="9.140625" style="951"/>
    <col min="5377" max="5377" width="100.7109375" style="951" customWidth="1"/>
    <col min="5378" max="5632" width="9.140625" style="951"/>
    <col min="5633" max="5633" width="100.7109375" style="951" customWidth="1"/>
    <col min="5634" max="5888" width="9.140625" style="951"/>
    <col min="5889" max="5889" width="100.7109375" style="951" customWidth="1"/>
    <col min="5890" max="6144" width="9.140625" style="951"/>
    <col min="6145" max="6145" width="100.7109375" style="951" customWidth="1"/>
    <col min="6146" max="6400" width="9.140625" style="951"/>
    <col min="6401" max="6401" width="100.7109375" style="951" customWidth="1"/>
    <col min="6402" max="6656" width="9.140625" style="951"/>
    <col min="6657" max="6657" width="100.7109375" style="951" customWidth="1"/>
    <col min="6658" max="6912" width="9.140625" style="951"/>
    <col min="6913" max="6913" width="100.7109375" style="951" customWidth="1"/>
    <col min="6914" max="7168" width="9.140625" style="951"/>
    <col min="7169" max="7169" width="100.7109375" style="951" customWidth="1"/>
    <col min="7170" max="7424" width="9.140625" style="951"/>
    <col min="7425" max="7425" width="100.7109375" style="951" customWidth="1"/>
    <col min="7426" max="7680" width="9.140625" style="951"/>
    <col min="7681" max="7681" width="100.7109375" style="951" customWidth="1"/>
    <col min="7682" max="7936" width="9.140625" style="951"/>
    <col min="7937" max="7937" width="100.7109375" style="951" customWidth="1"/>
    <col min="7938" max="8192" width="9.140625" style="951"/>
    <col min="8193" max="8193" width="100.7109375" style="951" customWidth="1"/>
    <col min="8194" max="8448" width="9.140625" style="951"/>
    <col min="8449" max="8449" width="100.7109375" style="951" customWidth="1"/>
    <col min="8450" max="8704" width="9.140625" style="951"/>
    <col min="8705" max="8705" width="100.7109375" style="951" customWidth="1"/>
    <col min="8706" max="8960" width="9.140625" style="951"/>
    <col min="8961" max="8961" width="100.7109375" style="951" customWidth="1"/>
    <col min="8962" max="9216" width="9.140625" style="951"/>
    <col min="9217" max="9217" width="100.7109375" style="951" customWidth="1"/>
    <col min="9218" max="9472" width="9.140625" style="951"/>
    <col min="9473" max="9473" width="100.7109375" style="951" customWidth="1"/>
    <col min="9474" max="9728" width="9.140625" style="951"/>
    <col min="9729" max="9729" width="100.7109375" style="951" customWidth="1"/>
    <col min="9730" max="9984" width="9.140625" style="951"/>
    <col min="9985" max="9985" width="100.7109375" style="951" customWidth="1"/>
    <col min="9986" max="10240" width="9.140625" style="951"/>
    <col min="10241" max="10241" width="100.7109375" style="951" customWidth="1"/>
    <col min="10242" max="10496" width="9.140625" style="951"/>
    <col min="10497" max="10497" width="100.7109375" style="951" customWidth="1"/>
    <col min="10498" max="10752" width="9.140625" style="951"/>
    <col min="10753" max="10753" width="100.7109375" style="951" customWidth="1"/>
    <col min="10754" max="11008" width="9.140625" style="951"/>
    <col min="11009" max="11009" width="100.7109375" style="951" customWidth="1"/>
    <col min="11010" max="11264" width="9.140625" style="951"/>
    <col min="11265" max="11265" width="100.7109375" style="951" customWidth="1"/>
    <col min="11266" max="11520" width="9.140625" style="951"/>
    <col min="11521" max="11521" width="100.7109375" style="951" customWidth="1"/>
    <col min="11522" max="11776" width="9.140625" style="951"/>
    <col min="11777" max="11777" width="100.7109375" style="951" customWidth="1"/>
    <col min="11778" max="12032" width="9.140625" style="951"/>
    <col min="12033" max="12033" width="100.7109375" style="951" customWidth="1"/>
    <col min="12034" max="12288" width="9.140625" style="951"/>
    <col min="12289" max="12289" width="100.7109375" style="951" customWidth="1"/>
    <col min="12290" max="12544" width="9.140625" style="951"/>
    <col min="12545" max="12545" width="100.7109375" style="951" customWidth="1"/>
    <col min="12546" max="12800" width="9.140625" style="951"/>
    <col min="12801" max="12801" width="100.7109375" style="951" customWidth="1"/>
    <col min="12802" max="13056" width="9.140625" style="951"/>
    <col min="13057" max="13057" width="100.7109375" style="951" customWidth="1"/>
    <col min="13058" max="13312" width="9.140625" style="951"/>
    <col min="13313" max="13313" width="100.7109375" style="951" customWidth="1"/>
    <col min="13314" max="13568" width="9.140625" style="951"/>
    <col min="13569" max="13569" width="100.7109375" style="951" customWidth="1"/>
    <col min="13570" max="13824" width="9.140625" style="951"/>
    <col min="13825" max="13825" width="100.7109375" style="951" customWidth="1"/>
    <col min="13826" max="14080" width="9.140625" style="951"/>
    <col min="14081" max="14081" width="100.7109375" style="951" customWidth="1"/>
    <col min="14082" max="14336" width="9.140625" style="951"/>
    <col min="14337" max="14337" width="100.7109375" style="951" customWidth="1"/>
    <col min="14338" max="14592" width="9.140625" style="951"/>
    <col min="14593" max="14593" width="100.7109375" style="951" customWidth="1"/>
    <col min="14594" max="14848" width="9.140625" style="951"/>
    <col min="14849" max="14849" width="100.7109375" style="951" customWidth="1"/>
    <col min="14850" max="15104" width="9.140625" style="951"/>
    <col min="15105" max="15105" width="100.7109375" style="951" customWidth="1"/>
    <col min="15106" max="15360" width="9.140625" style="951"/>
    <col min="15361" max="15361" width="100.7109375" style="951" customWidth="1"/>
    <col min="15362" max="15616" width="9.140625" style="951"/>
    <col min="15617" max="15617" width="100.7109375" style="951" customWidth="1"/>
    <col min="15618" max="15872" width="9.140625" style="951"/>
    <col min="15873" max="15873" width="100.7109375" style="951" customWidth="1"/>
    <col min="15874" max="16128" width="9.140625" style="951"/>
    <col min="16129" max="16129" width="100.7109375" style="951" customWidth="1"/>
    <col min="16130" max="16384" width="9.140625" style="951"/>
  </cols>
  <sheetData>
    <row r="1" spans="1:8" ht="30" customHeight="1">
      <c r="A1" s="949"/>
      <c r="B1" s="950"/>
      <c r="C1" s="950"/>
      <c r="D1" s="950"/>
      <c r="E1" s="950"/>
      <c r="F1" s="950"/>
      <c r="G1" s="950"/>
      <c r="H1" s="950"/>
    </row>
    <row r="2" spans="1:8" ht="14.25">
      <c r="A2" s="952" t="s">
        <v>392</v>
      </c>
      <c r="B2" s="950"/>
      <c r="C2" s="950"/>
      <c r="D2" s="950"/>
      <c r="E2" s="950"/>
      <c r="F2" s="950"/>
      <c r="G2" s="950"/>
      <c r="H2" s="950"/>
    </row>
    <row r="3" spans="1:8" ht="14.25">
      <c r="A3" s="952" t="s">
        <v>393</v>
      </c>
      <c r="B3" s="950"/>
      <c r="C3" s="950"/>
      <c r="D3" s="950"/>
      <c r="E3" s="950"/>
      <c r="F3" s="950"/>
      <c r="G3" s="950"/>
      <c r="H3" s="950"/>
    </row>
    <row r="4" spans="1:8" ht="14.25">
      <c r="A4" s="952" t="s">
        <v>394</v>
      </c>
      <c r="B4" s="950"/>
      <c r="C4" s="950"/>
      <c r="D4" s="950"/>
      <c r="E4" s="950"/>
      <c r="F4" s="950"/>
      <c r="G4" s="950"/>
      <c r="H4" s="950"/>
    </row>
    <row r="5" spans="1:8" ht="14.25">
      <c r="A5" s="952" t="s">
        <v>395</v>
      </c>
      <c r="B5" s="950"/>
      <c r="C5" s="950"/>
      <c r="D5" s="950"/>
      <c r="E5" s="950"/>
      <c r="F5" s="950"/>
      <c r="G5" s="950"/>
      <c r="H5" s="950"/>
    </row>
    <row r="6" spans="1:8" ht="14.25">
      <c r="A6" s="952"/>
      <c r="B6" s="950"/>
      <c r="C6" s="950"/>
      <c r="D6" s="950"/>
      <c r="E6" s="950"/>
      <c r="F6" s="950"/>
      <c r="G6" s="950"/>
      <c r="H6" s="950"/>
    </row>
    <row r="7" spans="1:8">
      <c r="A7" s="949" t="s">
        <v>396</v>
      </c>
      <c r="B7" s="950"/>
      <c r="C7" s="950"/>
      <c r="D7" s="950"/>
      <c r="E7" s="950"/>
      <c r="F7" s="950"/>
      <c r="G7" s="950"/>
      <c r="H7" s="950"/>
    </row>
    <row r="8" spans="1:8">
      <c r="A8" s="949" t="s">
        <v>397</v>
      </c>
      <c r="B8" s="950"/>
      <c r="C8" s="950"/>
      <c r="D8" s="950"/>
      <c r="E8" s="950"/>
      <c r="F8" s="950"/>
      <c r="G8" s="950"/>
      <c r="H8" s="950"/>
    </row>
    <row r="9" spans="1:8">
      <c r="A9" s="949"/>
      <c r="B9" s="950"/>
      <c r="C9" s="950"/>
      <c r="D9" s="950"/>
      <c r="E9" s="950"/>
      <c r="F9" s="950"/>
      <c r="G9" s="950"/>
      <c r="H9" s="950"/>
    </row>
    <row r="10" spans="1:8">
      <c r="A10" s="953" t="s">
        <v>398</v>
      </c>
      <c r="B10" s="950"/>
      <c r="C10" s="950"/>
      <c r="D10" s="950"/>
      <c r="E10" s="950"/>
      <c r="F10" s="950"/>
      <c r="G10" s="950"/>
      <c r="H10" s="950"/>
    </row>
    <row r="11" spans="1:8">
      <c r="A11" s="953" t="s">
        <v>399</v>
      </c>
      <c r="B11" s="950"/>
      <c r="C11" s="950"/>
      <c r="D11" s="950"/>
      <c r="E11" s="950"/>
      <c r="F11" s="950"/>
      <c r="G11" s="950"/>
      <c r="H11" s="950"/>
    </row>
    <row r="12" spans="1:8">
      <c r="A12" s="953" t="s">
        <v>400</v>
      </c>
      <c r="B12" s="950"/>
      <c r="C12" s="950"/>
      <c r="D12" s="950"/>
      <c r="E12" s="950"/>
      <c r="F12" s="950"/>
      <c r="G12" s="950"/>
      <c r="H12" s="950"/>
    </row>
    <row r="13" spans="1:8">
      <c r="A13" s="953" t="s">
        <v>401</v>
      </c>
      <c r="B13" s="950"/>
      <c r="C13" s="950"/>
      <c r="D13" s="950"/>
      <c r="E13" s="950"/>
      <c r="F13" s="950"/>
      <c r="G13" s="950"/>
      <c r="H13" s="950"/>
    </row>
    <row r="14" spans="1:8">
      <c r="A14" s="953" t="s">
        <v>402</v>
      </c>
      <c r="B14" s="950"/>
      <c r="C14" s="950"/>
      <c r="D14" s="950"/>
      <c r="E14" s="950"/>
      <c r="F14" s="950"/>
      <c r="G14" s="950"/>
      <c r="H14" s="950"/>
    </row>
    <row r="15" spans="1:8">
      <c r="A15" s="953" t="s">
        <v>403</v>
      </c>
      <c r="B15" s="950"/>
      <c r="C15" s="950"/>
      <c r="D15" s="950"/>
      <c r="E15" s="950"/>
      <c r="F15" s="950"/>
      <c r="G15" s="950"/>
      <c r="H15" s="950"/>
    </row>
    <row r="16" spans="1:8">
      <c r="A16" s="953"/>
      <c r="B16" s="950"/>
      <c r="C16" s="950"/>
      <c r="D16" s="950"/>
      <c r="E16" s="950"/>
      <c r="F16" s="950"/>
      <c r="G16" s="950"/>
      <c r="H16" s="950"/>
    </row>
    <row r="17" spans="1:8">
      <c r="A17" s="953" t="s">
        <v>389</v>
      </c>
      <c r="B17" s="950"/>
      <c r="C17" s="950"/>
      <c r="D17" s="950"/>
      <c r="E17" s="950"/>
      <c r="F17" s="950"/>
      <c r="G17" s="950"/>
      <c r="H17" s="950"/>
    </row>
    <row r="18" spans="1:8">
      <c r="A18" s="953"/>
      <c r="B18" s="950"/>
      <c r="C18" s="950"/>
      <c r="D18" s="950"/>
      <c r="E18" s="950"/>
      <c r="F18" s="950"/>
      <c r="G18" s="950"/>
      <c r="H18" s="950"/>
    </row>
    <row r="19" spans="1:8">
      <c r="A19" s="953" t="s">
        <v>390</v>
      </c>
      <c r="B19" s="950"/>
      <c r="C19" s="950"/>
      <c r="D19" s="950"/>
      <c r="E19" s="950"/>
      <c r="F19" s="950"/>
      <c r="G19" s="950"/>
      <c r="H19" s="950"/>
    </row>
    <row r="20" spans="1:8">
      <c r="A20" s="949"/>
      <c r="B20" s="950"/>
      <c r="C20" s="950"/>
      <c r="D20" s="950"/>
      <c r="E20" s="950"/>
      <c r="F20" s="950"/>
      <c r="G20" s="950"/>
      <c r="H20" s="950"/>
    </row>
    <row r="21" spans="1:8">
      <c r="A21" s="954" t="s">
        <v>391</v>
      </c>
      <c r="B21" s="950"/>
      <c r="C21" s="950"/>
      <c r="D21" s="950"/>
      <c r="E21" s="950"/>
      <c r="F21" s="950"/>
      <c r="G21" s="950"/>
      <c r="H21" s="950"/>
    </row>
    <row r="22" spans="1:8">
      <c r="A22" s="955"/>
      <c r="B22" s="955"/>
      <c r="C22" s="955"/>
      <c r="D22" s="955"/>
      <c r="E22" s="955"/>
      <c r="F22" s="955"/>
      <c r="G22" s="955"/>
      <c r="H22" s="955"/>
    </row>
    <row r="23" spans="1:8">
      <c r="A23" s="956" t="s">
        <v>681</v>
      </c>
      <c r="B23" s="955"/>
      <c r="C23" s="955"/>
      <c r="D23" s="955"/>
      <c r="E23" s="955"/>
      <c r="F23" s="955"/>
      <c r="G23" s="955"/>
      <c r="H23" s="955"/>
    </row>
    <row r="24" spans="1:8">
      <c r="A24" s="956" t="s">
        <v>682</v>
      </c>
      <c r="B24" s="955"/>
      <c r="C24" s="955"/>
      <c r="D24" s="955"/>
      <c r="E24" s="955"/>
      <c r="F24" s="955"/>
      <c r="G24" s="955"/>
      <c r="H24" s="955"/>
    </row>
    <row r="25" spans="1:8">
      <c r="A25" s="956" t="s">
        <v>683</v>
      </c>
      <c r="B25" s="955"/>
      <c r="C25" s="955"/>
      <c r="D25" s="955"/>
      <c r="E25" s="955"/>
      <c r="F25" s="955"/>
      <c r="G25" s="955"/>
      <c r="H25" s="955"/>
    </row>
    <row r="26" spans="1:8">
      <c r="A26" s="956" t="s">
        <v>684</v>
      </c>
      <c r="B26" s="955"/>
      <c r="C26" s="955"/>
      <c r="D26" s="955"/>
      <c r="E26" s="955"/>
      <c r="F26" s="955"/>
      <c r="G26" s="955"/>
      <c r="H26" s="955"/>
    </row>
    <row r="27" spans="1:8">
      <c r="A27" s="955"/>
      <c r="B27" s="955"/>
      <c r="C27" s="955"/>
      <c r="D27" s="955"/>
      <c r="E27" s="955"/>
      <c r="F27" s="955"/>
      <c r="G27" s="955"/>
      <c r="H27" s="955"/>
    </row>
    <row r="28" spans="1:8">
      <c r="A28" s="955"/>
      <c r="B28" s="955"/>
      <c r="C28" s="955"/>
      <c r="D28" s="955"/>
      <c r="E28" s="955"/>
      <c r="F28" s="955"/>
      <c r="G28" s="955"/>
      <c r="H28" s="955"/>
    </row>
    <row r="29" spans="1:8">
      <c r="A29" s="956" t="s">
        <v>676</v>
      </c>
      <c r="B29" s="955"/>
      <c r="C29" s="955"/>
      <c r="D29" s="955"/>
      <c r="E29" s="955"/>
      <c r="F29" s="955"/>
      <c r="G29" s="955"/>
      <c r="H29" s="955"/>
    </row>
    <row r="30" spans="1:8">
      <c r="A30" s="956" t="s">
        <v>677</v>
      </c>
      <c r="B30" s="955"/>
      <c r="C30" s="955"/>
      <c r="D30" s="955"/>
      <c r="E30" s="955"/>
      <c r="F30" s="955"/>
      <c r="G30" s="955"/>
      <c r="H30" s="955"/>
    </row>
    <row r="31" spans="1:8">
      <c r="A31" s="956" t="s">
        <v>678</v>
      </c>
      <c r="B31" s="955"/>
      <c r="C31" s="955"/>
      <c r="D31" s="955"/>
      <c r="E31" s="955"/>
      <c r="F31" s="955"/>
      <c r="G31" s="955"/>
      <c r="H31" s="955"/>
    </row>
    <row r="32" spans="1:8">
      <c r="A32" s="956" t="s">
        <v>679</v>
      </c>
      <c r="B32" s="955"/>
      <c r="C32" s="955"/>
      <c r="D32" s="955"/>
      <c r="E32" s="955"/>
      <c r="F32" s="955"/>
      <c r="G32" s="955"/>
      <c r="H32" s="955"/>
    </row>
    <row r="33" spans="1:8">
      <c r="A33" s="956" t="s">
        <v>680</v>
      </c>
      <c r="B33" s="955"/>
      <c r="C33" s="955"/>
      <c r="D33" s="955"/>
      <c r="E33" s="955"/>
      <c r="F33" s="955"/>
      <c r="G33" s="955"/>
      <c r="H33" s="955"/>
    </row>
    <row r="34" spans="1:8">
      <c r="A34" s="955"/>
      <c r="B34" s="955"/>
      <c r="C34" s="955"/>
      <c r="D34" s="955"/>
      <c r="E34" s="955"/>
      <c r="F34" s="955"/>
      <c r="G34" s="955"/>
      <c r="H34" s="955"/>
    </row>
    <row r="35" spans="1:8">
      <c r="A35" s="956" t="s">
        <v>672</v>
      </c>
      <c r="B35" s="955"/>
      <c r="C35" s="955"/>
      <c r="D35" s="955"/>
      <c r="E35" s="955"/>
      <c r="F35" s="955"/>
      <c r="G35" s="955"/>
      <c r="H35" s="955"/>
    </row>
    <row r="36" spans="1:8">
      <c r="A36" s="956" t="s">
        <v>673</v>
      </c>
      <c r="B36" s="955"/>
      <c r="C36" s="955"/>
      <c r="D36" s="955"/>
      <c r="E36" s="955"/>
      <c r="F36" s="955"/>
      <c r="G36" s="955"/>
      <c r="H36" s="955"/>
    </row>
    <row r="37" spans="1:8">
      <c r="A37" s="956" t="s">
        <v>674</v>
      </c>
      <c r="B37" s="955"/>
      <c r="C37" s="955"/>
      <c r="D37" s="955"/>
      <c r="E37" s="955"/>
      <c r="F37" s="955"/>
      <c r="G37" s="955"/>
      <c r="H37" s="955"/>
    </row>
    <row r="38" spans="1:8">
      <c r="A38" s="956" t="s">
        <v>675</v>
      </c>
      <c r="B38" s="955"/>
      <c r="C38" s="955"/>
      <c r="D38" s="955"/>
      <c r="E38" s="955"/>
      <c r="F38" s="955"/>
      <c r="G38" s="955"/>
      <c r="H38" s="955"/>
    </row>
    <row r="39" spans="1:8">
      <c r="A39" s="955"/>
      <c r="B39" s="955"/>
      <c r="C39" s="955"/>
      <c r="D39" s="955"/>
      <c r="E39" s="955"/>
      <c r="F39" s="955"/>
      <c r="G39" s="955"/>
      <c r="H39" s="955"/>
    </row>
    <row r="40" spans="1:8">
      <c r="A40" s="956" t="s">
        <v>666</v>
      </c>
      <c r="B40" s="955"/>
      <c r="C40" s="955"/>
      <c r="D40" s="955"/>
      <c r="E40" s="955"/>
      <c r="F40" s="955"/>
      <c r="G40" s="955"/>
      <c r="H40" s="955"/>
    </row>
    <row r="41" spans="1:8">
      <c r="A41" s="956" t="s">
        <v>667</v>
      </c>
      <c r="B41" s="955"/>
      <c r="C41" s="955"/>
      <c r="D41" s="955"/>
      <c r="E41" s="955"/>
      <c r="F41" s="955"/>
      <c r="G41" s="955"/>
      <c r="H41" s="955"/>
    </row>
    <row r="42" spans="1:8">
      <c r="A42" s="956" t="s">
        <v>668</v>
      </c>
      <c r="B42" s="955"/>
      <c r="C42" s="955"/>
      <c r="D42" s="955"/>
      <c r="E42" s="955"/>
      <c r="F42" s="955"/>
      <c r="G42" s="955"/>
      <c r="H42" s="955"/>
    </row>
    <row r="43" spans="1:8">
      <c r="A43" s="956" t="s">
        <v>669</v>
      </c>
      <c r="B43" s="955"/>
      <c r="C43" s="955"/>
      <c r="D43" s="955"/>
      <c r="E43" s="955"/>
      <c r="F43" s="955"/>
      <c r="G43" s="955"/>
      <c r="H43" s="955"/>
    </row>
    <row r="44" spans="1:8">
      <c r="A44" s="956" t="s">
        <v>670</v>
      </c>
      <c r="B44" s="955"/>
      <c r="C44" s="955"/>
      <c r="D44" s="955"/>
      <c r="E44" s="955"/>
      <c r="F44" s="955"/>
      <c r="G44" s="955"/>
      <c r="H44" s="955"/>
    </row>
    <row r="45" spans="1:8">
      <c r="A45" s="956" t="s">
        <v>671</v>
      </c>
      <c r="B45" s="955"/>
      <c r="C45" s="955"/>
      <c r="D45" s="955"/>
      <c r="E45" s="955"/>
      <c r="F45" s="955"/>
      <c r="G45" s="955"/>
      <c r="H45" s="955"/>
    </row>
    <row r="46" spans="1:8">
      <c r="A46" s="955"/>
      <c r="B46" s="955"/>
      <c r="C46" s="955"/>
      <c r="D46" s="955"/>
      <c r="E46" s="955"/>
      <c r="F46" s="955"/>
      <c r="G46" s="955"/>
      <c r="H46" s="955"/>
    </row>
    <row r="47" spans="1:8" ht="15.75">
      <c r="A47" s="957" t="s">
        <v>404</v>
      </c>
      <c r="B47" s="955"/>
      <c r="C47" s="955"/>
      <c r="D47" s="955"/>
      <c r="E47" s="955"/>
      <c r="F47" s="955"/>
      <c r="G47" s="955"/>
      <c r="H47" s="955"/>
    </row>
    <row r="48" spans="1:8">
      <c r="A48" s="955"/>
      <c r="B48" s="955"/>
      <c r="C48" s="955"/>
      <c r="D48" s="955"/>
      <c r="E48" s="955"/>
      <c r="F48" s="955"/>
      <c r="G48" s="955"/>
      <c r="H48" s="955"/>
    </row>
    <row r="49" spans="1:8">
      <c r="A49" s="956" t="s">
        <v>662</v>
      </c>
      <c r="B49" s="955"/>
      <c r="C49" s="955"/>
      <c r="D49" s="955"/>
      <c r="E49" s="955"/>
      <c r="F49" s="955"/>
      <c r="G49" s="955"/>
      <c r="H49" s="955"/>
    </row>
    <row r="50" spans="1:8">
      <c r="A50" s="956" t="s">
        <v>663</v>
      </c>
      <c r="B50" s="955"/>
      <c r="C50" s="955"/>
      <c r="D50" s="955"/>
      <c r="E50" s="955"/>
      <c r="F50" s="955"/>
      <c r="G50" s="955"/>
      <c r="H50" s="955"/>
    </row>
    <row r="51" spans="1:8">
      <c r="A51" s="956" t="s">
        <v>664</v>
      </c>
      <c r="B51" s="955"/>
      <c r="C51" s="955"/>
      <c r="D51" s="955"/>
      <c r="E51" s="955"/>
      <c r="F51" s="955"/>
      <c r="G51" s="955"/>
      <c r="H51" s="955"/>
    </row>
    <row r="52" spans="1:8">
      <c r="A52" s="956" t="s">
        <v>665</v>
      </c>
      <c r="B52" s="955"/>
      <c r="C52" s="955"/>
      <c r="D52" s="955"/>
      <c r="E52" s="955"/>
      <c r="F52" s="955"/>
      <c r="G52" s="955"/>
      <c r="H52" s="955"/>
    </row>
    <row r="53" spans="1:8">
      <c r="A53" s="955"/>
      <c r="B53" s="955"/>
      <c r="C53" s="955"/>
      <c r="D53" s="955"/>
      <c r="E53" s="955"/>
      <c r="F53" s="955"/>
      <c r="G53" s="955"/>
      <c r="H53" s="955"/>
    </row>
    <row r="54" spans="1:8">
      <c r="A54" s="956" t="s">
        <v>405</v>
      </c>
      <c r="B54" s="955"/>
      <c r="C54" s="955"/>
      <c r="D54" s="955"/>
      <c r="E54" s="955"/>
      <c r="F54" s="955"/>
      <c r="G54" s="955"/>
      <c r="H54" s="955"/>
    </row>
    <row r="55" spans="1:8">
      <c r="A55" s="955"/>
      <c r="B55" s="955"/>
      <c r="C55" s="955"/>
      <c r="D55" s="955"/>
      <c r="E55" s="955"/>
      <c r="F55" s="955"/>
      <c r="G55" s="955"/>
      <c r="H55" s="955"/>
    </row>
    <row r="56" spans="1:8" ht="15.75">
      <c r="A56" s="957" t="s">
        <v>406</v>
      </c>
      <c r="B56" s="955"/>
      <c r="C56" s="955"/>
      <c r="D56" s="955"/>
      <c r="E56" s="955"/>
      <c r="F56" s="955"/>
      <c r="G56" s="955"/>
      <c r="H56" s="955"/>
    </row>
    <row r="57" spans="1:8">
      <c r="A57" s="955"/>
      <c r="B57" s="955"/>
      <c r="C57" s="955"/>
      <c r="D57" s="955"/>
      <c r="E57" s="955"/>
      <c r="F57" s="955"/>
      <c r="G57" s="955"/>
      <c r="H57" s="955"/>
    </row>
    <row r="58" spans="1:8">
      <c r="A58" s="956" t="s">
        <v>660</v>
      </c>
      <c r="B58" s="955"/>
      <c r="C58" s="955"/>
      <c r="D58" s="955"/>
      <c r="E58" s="955"/>
      <c r="F58" s="955"/>
      <c r="G58" s="955"/>
      <c r="H58" s="955"/>
    </row>
    <row r="59" spans="1:8">
      <c r="A59" s="956" t="s">
        <v>661</v>
      </c>
      <c r="B59" s="955"/>
      <c r="C59" s="955"/>
      <c r="D59" s="955"/>
      <c r="E59" s="955"/>
      <c r="F59" s="955"/>
      <c r="G59" s="955"/>
      <c r="H59" s="955"/>
    </row>
    <row r="60" spans="1:8">
      <c r="A60" s="955"/>
      <c r="B60" s="955"/>
      <c r="C60" s="955"/>
      <c r="D60" s="955"/>
      <c r="E60" s="955"/>
      <c r="F60" s="955"/>
      <c r="G60" s="955"/>
      <c r="H60" s="955"/>
    </row>
    <row r="61" spans="1:8" ht="15.75">
      <c r="A61" s="957" t="s">
        <v>407</v>
      </c>
      <c r="B61" s="955"/>
      <c r="C61" s="955"/>
      <c r="D61" s="955"/>
      <c r="E61" s="955"/>
      <c r="F61" s="955"/>
      <c r="G61" s="955"/>
      <c r="H61" s="955"/>
    </row>
    <row r="62" spans="1:8">
      <c r="A62" s="955"/>
      <c r="B62" s="955"/>
      <c r="C62" s="955"/>
      <c r="D62" s="955"/>
      <c r="E62" s="955"/>
      <c r="F62" s="955"/>
      <c r="G62" s="955"/>
      <c r="H62" s="955"/>
    </row>
    <row r="63" spans="1:8">
      <c r="A63" s="956" t="s">
        <v>658</v>
      </c>
      <c r="B63" s="955"/>
      <c r="C63" s="955"/>
      <c r="D63" s="955"/>
      <c r="E63" s="955"/>
      <c r="F63" s="955"/>
      <c r="G63" s="955"/>
      <c r="H63" s="955"/>
    </row>
    <row r="64" spans="1:8">
      <c r="A64" s="956" t="s">
        <v>659</v>
      </c>
      <c r="B64" s="955"/>
      <c r="C64" s="955"/>
      <c r="D64" s="955"/>
      <c r="E64" s="955"/>
      <c r="F64" s="955"/>
      <c r="G64" s="955"/>
      <c r="H64" s="955"/>
    </row>
    <row r="65" spans="1:8">
      <c r="A65" s="955"/>
      <c r="B65" s="955"/>
      <c r="C65" s="955"/>
      <c r="D65" s="955"/>
      <c r="E65" s="955"/>
      <c r="F65" s="955"/>
      <c r="G65" s="955"/>
      <c r="H65" s="955"/>
    </row>
    <row r="66" spans="1:8">
      <c r="A66" s="956" t="s">
        <v>656</v>
      </c>
      <c r="B66" s="955"/>
      <c r="C66" s="955"/>
      <c r="D66" s="955"/>
      <c r="E66" s="955"/>
      <c r="F66" s="955"/>
      <c r="G66" s="955"/>
      <c r="H66" s="955"/>
    </row>
    <row r="67" spans="1:8">
      <c r="A67" s="956" t="s">
        <v>657</v>
      </c>
      <c r="B67" s="955"/>
      <c r="C67" s="955"/>
      <c r="D67" s="955"/>
      <c r="E67" s="955"/>
      <c r="F67" s="955"/>
      <c r="G67" s="955"/>
      <c r="H67" s="955"/>
    </row>
    <row r="68" spans="1:8">
      <c r="A68" s="955"/>
      <c r="B68" s="955"/>
      <c r="C68" s="955"/>
      <c r="D68" s="955"/>
      <c r="E68" s="955"/>
      <c r="F68" s="955"/>
      <c r="G68" s="955"/>
      <c r="H68" s="955"/>
    </row>
    <row r="69" spans="1:8">
      <c r="A69" s="956" t="s">
        <v>654</v>
      </c>
      <c r="B69" s="955"/>
      <c r="C69" s="955"/>
      <c r="D69" s="955"/>
      <c r="E69" s="955"/>
      <c r="F69" s="955"/>
      <c r="G69" s="955"/>
      <c r="H69" s="955"/>
    </row>
    <row r="70" spans="1:8">
      <c r="A70" s="956" t="s">
        <v>655</v>
      </c>
      <c r="B70" s="955"/>
      <c r="C70" s="955"/>
      <c r="D70" s="955"/>
      <c r="E70" s="955"/>
      <c r="F70" s="955"/>
      <c r="G70" s="955"/>
      <c r="H70" s="955"/>
    </row>
    <row r="71" spans="1:8">
      <c r="A71" s="955"/>
      <c r="B71" s="955"/>
      <c r="C71" s="955"/>
      <c r="D71" s="955"/>
      <c r="E71" s="955"/>
      <c r="F71" s="955"/>
      <c r="G71" s="955"/>
      <c r="H71" s="955"/>
    </row>
    <row r="72" spans="1:8">
      <c r="A72" s="956" t="s">
        <v>651</v>
      </c>
      <c r="B72" s="955"/>
      <c r="C72" s="955"/>
      <c r="D72" s="955"/>
      <c r="E72" s="955"/>
      <c r="F72" s="955"/>
      <c r="G72" s="955"/>
      <c r="H72" s="955"/>
    </row>
    <row r="73" spans="1:8">
      <c r="A73" s="956" t="s">
        <v>652</v>
      </c>
      <c r="B73" s="955"/>
      <c r="C73" s="955"/>
      <c r="D73" s="955"/>
      <c r="E73" s="955"/>
      <c r="F73" s="955"/>
      <c r="G73" s="955"/>
      <c r="H73" s="955"/>
    </row>
    <row r="74" spans="1:8">
      <c r="A74" s="956" t="s">
        <v>653</v>
      </c>
      <c r="B74" s="955"/>
      <c r="C74" s="955"/>
      <c r="D74" s="955"/>
      <c r="E74" s="955"/>
      <c r="F74" s="955"/>
      <c r="G74" s="955"/>
      <c r="H74" s="955"/>
    </row>
    <row r="75" spans="1:8">
      <c r="A75" s="955"/>
      <c r="B75" s="955"/>
      <c r="C75" s="955"/>
      <c r="D75" s="955"/>
      <c r="E75" s="955"/>
      <c r="F75" s="955"/>
      <c r="G75" s="955"/>
      <c r="H75" s="955"/>
    </row>
    <row r="76" spans="1:8">
      <c r="A76" s="956" t="s">
        <v>408</v>
      </c>
      <c r="B76" s="955"/>
      <c r="C76" s="955"/>
      <c r="D76" s="955"/>
      <c r="E76" s="955"/>
      <c r="F76" s="955"/>
      <c r="G76" s="955"/>
      <c r="H76" s="955"/>
    </row>
    <row r="77" spans="1:8">
      <c r="A77" s="955"/>
      <c r="B77" s="955"/>
      <c r="C77" s="955"/>
      <c r="D77" s="955"/>
      <c r="E77" s="955"/>
      <c r="F77" s="955"/>
      <c r="G77" s="955"/>
      <c r="H77" s="955"/>
    </row>
    <row r="78" spans="1:8">
      <c r="A78" s="956" t="s">
        <v>646</v>
      </c>
      <c r="B78" s="955"/>
      <c r="C78" s="955"/>
      <c r="D78" s="955"/>
      <c r="E78" s="955"/>
      <c r="F78" s="955"/>
      <c r="G78" s="955"/>
      <c r="H78" s="955"/>
    </row>
    <row r="79" spans="1:8">
      <c r="A79" s="956" t="s">
        <v>647</v>
      </c>
      <c r="B79" s="955"/>
      <c r="C79" s="955"/>
      <c r="D79" s="955"/>
      <c r="E79" s="955"/>
      <c r="F79" s="955"/>
      <c r="G79" s="955"/>
      <c r="H79" s="955"/>
    </row>
    <row r="80" spans="1:8">
      <c r="A80" s="956" t="s">
        <v>648</v>
      </c>
      <c r="B80" s="955"/>
      <c r="C80" s="955"/>
      <c r="D80" s="955"/>
      <c r="E80" s="955"/>
      <c r="F80" s="955"/>
      <c r="G80" s="955"/>
      <c r="H80" s="955"/>
    </row>
    <row r="81" spans="1:8">
      <c r="A81" s="956" t="s">
        <v>649</v>
      </c>
      <c r="B81" s="955"/>
      <c r="C81" s="955"/>
      <c r="D81" s="955"/>
      <c r="E81" s="955"/>
      <c r="F81" s="955"/>
      <c r="G81" s="955"/>
      <c r="H81" s="955"/>
    </row>
    <row r="82" spans="1:8">
      <c r="A82" s="956" t="s">
        <v>650</v>
      </c>
      <c r="B82" s="955"/>
      <c r="C82" s="955"/>
      <c r="D82" s="955"/>
      <c r="E82" s="955"/>
      <c r="F82" s="955"/>
      <c r="G82" s="955"/>
      <c r="H82" s="955"/>
    </row>
    <row r="83" spans="1:8">
      <c r="A83" s="956" t="s">
        <v>535</v>
      </c>
      <c r="B83" s="955"/>
      <c r="C83" s="955"/>
      <c r="D83" s="955"/>
      <c r="E83" s="955"/>
      <c r="F83" s="955"/>
      <c r="G83" s="955"/>
      <c r="H83" s="955"/>
    </row>
    <row r="84" spans="1:8">
      <c r="A84" s="955"/>
      <c r="B84" s="955"/>
      <c r="C84" s="955"/>
      <c r="D84" s="955"/>
      <c r="E84" s="955"/>
      <c r="F84" s="955"/>
      <c r="G84" s="955"/>
      <c r="H84" s="955"/>
    </row>
    <row r="85" spans="1:8">
      <c r="A85" s="956" t="s">
        <v>639</v>
      </c>
      <c r="B85" s="955"/>
      <c r="C85" s="955"/>
      <c r="D85" s="955"/>
      <c r="E85" s="955"/>
      <c r="F85" s="955"/>
      <c r="G85" s="955"/>
      <c r="H85" s="955"/>
    </row>
    <row r="86" spans="1:8">
      <c r="A86" s="956" t="s">
        <v>640</v>
      </c>
      <c r="B86" s="955"/>
      <c r="C86" s="955"/>
      <c r="D86" s="955"/>
      <c r="E86" s="955"/>
      <c r="F86" s="955"/>
      <c r="G86" s="955"/>
      <c r="H86" s="955"/>
    </row>
    <row r="87" spans="1:8">
      <c r="A87" s="956" t="s">
        <v>641</v>
      </c>
      <c r="B87" s="955"/>
      <c r="C87" s="955"/>
      <c r="D87" s="955"/>
      <c r="E87" s="955"/>
      <c r="F87" s="955"/>
      <c r="G87" s="955"/>
      <c r="H87" s="955"/>
    </row>
    <row r="88" spans="1:8">
      <c r="A88" s="956" t="s">
        <v>642</v>
      </c>
      <c r="B88" s="955"/>
      <c r="C88" s="955"/>
      <c r="D88" s="955"/>
      <c r="E88" s="955"/>
      <c r="F88" s="955"/>
      <c r="G88" s="955"/>
      <c r="H88" s="955"/>
    </row>
    <row r="89" spans="1:8">
      <c r="A89" s="956" t="s">
        <v>643</v>
      </c>
      <c r="B89" s="955"/>
      <c r="C89" s="955"/>
      <c r="D89" s="955"/>
      <c r="E89" s="955"/>
      <c r="F89" s="955"/>
      <c r="G89" s="955"/>
      <c r="H89" s="955"/>
    </row>
    <row r="90" spans="1:8">
      <c r="A90" s="956" t="s">
        <v>644</v>
      </c>
      <c r="B90" s="955"/>
      <c r="C90" s="955"/>
      <c r="D90" s="955"/>
      <c r="E90" s="955"/>
      <c r="F90" s="955"/>
      <c r="G90" s="955"/>
      <c r="H90" s="955"/>
    </row>
    <row r="91" spans="1:8">
      <c r="A91" s="956" t="s">
        <v>645</v>
      </c>
      <c r="B91" s="955"/>
      <c r="C91" s="955"/>
      <c r="D91" s="955"/>
      <c r="E91" s="955"/>
      <c r="F91" s="955"/>
      <c r="G91" s="955"/>
      <c r="H91" s="955"/>
    </row>
    <row r="92" spans="1:8">
      <c r="A92" s="955"/>
      <c r="B92" s="955"/>
      <c r="C92" s="955"/>
      <c r="D92" s="955"/>
      <c r="E92" s="955"/>
      <c r="F92" s="955"/>
      <c r="G92" s="955"/>
      <c r="H92" s="955"/>
    </row>
    <row r="93" spans="1:8">
      <c r="A93" s="956" t="s">
        <v>637</v>
      </c>
      <c r="B93" s="955"/>
      <c r="C93" s="955"/>
      <c r="D93" s="955"/>
      <c r="E93" s="955"/>
      <c r="F93" s="955"/>
      <c r="G93" s="955"/>
      <c r="H93" s="955"/>
    </row>
    <row r="94" spans="1:8">
      <c r="A94" s="956" t="s">
        <v>638</v>
      </c>
      <c r="B94" s="955"/>
      <c r="C94" s="955"/>
      <c r="D94" s="955"/>
      <c r="E94" s="955"/>
      <c r="F94" s="955"/>
      <c r="G94" s="955"/>
      <c r="H94" s="955"/>
    </row>
    <row r="95" spans="1:8">
      <c r="A95" s="955"/>
      <c r="B95" s="955"/>
      <c r="C95" s="955"/>
      <c r="D95" s="955"/>
      <c r="E95" s="955"/>
      <c r="F95" s="955"/>
      <c r="G95" s="955"/>
      <c r="H95" s="955"/>
    </row>
    <row r="96" spans="1:8" ht="15.75">
      <c r="A96" s="957" t="s">
        <v>409</v>
      </c>
      <c r="B96" s="955"/>
      <c r="C96" s="955"/>
      <c r="D96" s="955"/>
      <c r="E96" s="955"/>
      <c r="F96" s="955"/>
      <c r="G96" s="955"/>
      <c r="H96" s="955"/>
    </row>
    <row r="97" spans="1:8">
      <c r="A97" s="955"/>
      <c r="B97" s="955"/>
      <c r="C97" s="955"/>
      <c r="D97" s="955"/>
      <c r="E97" s="955"/>
      <c r="F97" s="955"/>
      <c r="G97" s="955"/>
      <c r="H97" s="955"/>
    </row>
    <row r="98" spans="1:8">
      <c r="A98" s="956" t="s">
        <v>628</v>
      </c>
      <c r="B98" s="955"/>
      <c r="C98" s="955"/>
      <c r="D98" s="955"/>
      <c r="E98" s="955"/>
      <c r="F98" s="955"/>
      <c r="G98" s="955"/>
      <c r="H98" s="955"/>
    </row>
    <row r="99" spans="1:8">
      <c r="A99" s="956" t="s">
        <v>629</v>
      </c>
      <c r="B99" s="955"/>
      <c r="C99" s="955"/>
      <c r="D99" s="955"/>
      <c r="E99" s="955"/>
      <c r="F99" s="955"/>
      <c r="G99" s="955"/>
      <c r="H99" s="955"/>
    </row>
    <row r="100" spans="1:8">
      <c r="A100" s="956" t="s">
        <v>630</v>
      </c>
      <c r="B100" s="955"/>
      <c r="C100" s="955"/>
      <c r="D100" s="955"/>
      <c r="E100" s="955"/>
      <c r="F100" s="955"/>
      <c r="G100" s="955"/>
      <c r="H100" s="955"/>
    </row>
    <row r="101" spans="1:8">
      <c r="A101" s="956" t="s">
        <v>631</v>
      </c>
      <c r="B101" s="955"/>
      <c r="C101" s="955"/>
      <c r="D101" s="955"/>
      <c r="E101" s="955"/>
      <c r="F101" s="955"/>
      <c r="G101" s="955"/>
      <c r="H101" s="955"/>
    </row>
    <row r="102" spans="1:8">
      <c r="A102" s="956" t="s">
        <v>632</v>
      </c>
      <c r="B102" s="955"/>
      <c r="C102" s="955"/>
      <c r="D102" s="955"/>
      <c r="E102" s="955"/>
      <c r="F102" s="955"/>
      <c r="G102" s="955"/>
      <c r="H102" s="955"/>
    </row>
    <row r="103" spans="1:8">
      <c r="A103" s="956" t="s">
        <v>633</v>
      </c>
      <c r="B103" s="955"/>
      <c r="C103" s="955"/>
      <c r="D103" s="955"/>
      <c r="E103" s="955"/>
      <c r="F103" s="955"/>
      <c r="G103" s="955"/>
      <c r="H103" s="955"/>
    </row>
    <row r="104" spans="1:8">
      <c r="A104" s="956" t="s">
        <v>634</v>
      </c>
      <c r="B104" s="955"/>
      <c r="C104" s="955"/>
      <c r="D104" s="955"/>
      <c r="E104" s="955"/>
      <c r="F104" s="955"/>
      <c r="G104" s="955"/>
      <c r="H104" s="955"/>
    </row>
    <row r="105" spans="1:8">
      <c r="A105" s="956" t="s">
        <v>635</v>
      </c>
      <c r="B105" s="955"/>
      <c r="C105" s="955"/>
      <c r="D105" s="955"/>
      <c r="E105" s="955"/>
      <c r="F105" s="955"/>
      <c r="G105" s="955"/>
      <c r="H105" s="955"/>
    </row>
    <row r="106" spans="1:8">
      <c r="A106" s="956" t="s">
        <v>636</v>
      </c>
      <c r="B106" s="955"/>
      <c r="C106" s="955"/>
      <c r="D106" s="955"/>
      <c r="E106" s="955"/>
      <c r="F106" s="955"/>
      <c r="G106" s="955"/>
      <c r="H106" s="955"/>
    </row>
    <row r="107" spans="1:8">
      <c r="A107" s="955"/>
      <c r="B107" s="955"/>
      <c r="C107" s="955"/>
      <c r="D107" s="955"/>
      <c r="E107" s="955"/>
      <c r="F107" s="955"/>
      <c r="G107" s="955"/>
      <c r="H107" s="955"/>
    </row>
    <row r="108" spans="1:8" ht="15.75">
      <c r="A108" s="958" t="s">
        <v>410</v>
      </c>
      <c r="B108" s="958"/>
      <c r="C108" s="958"/>
      <c r="D108" s="958"/>
      <c r="E108" s="958"/>
      <c r="F108" s="958"/>
      <c r="G108" s="958"/>
      <c r="H108" s="958"/>
    </row>
    <row r="109" spans="1:8">
      <c r="A109" s="959" t="s">
        <v>411</v>
      </c>
      <c r="B109" s="959"/>
      <c r="C109" s="959"/>
      <c r="D109" s="959"/>
      <c r="E109" s="959"/>
      <c r="F109" s="959"/>
      <c r="G109" s="959"/>
      <c r="H109" s="959"/>
    </row>
    <row r="110" spans="1:8">
      <c r="A110" s="960"/>
      <c r="B110" s="960"/>
      <c r="C110" s="960"/>
      <c r="D110" s="960"/>
      <c r="E110" s="960"/>
      <c r="F110" s="960"/>
      <c r="G110" s="960"/>
      <c r="H110" s="960"/>
    </row>
    <row r="111" spans="1:8">
      <c r="A111" s="959" t="s">
        <v>626</v>
      </c>
      <c r="B111" s="959"/>
      <c r="C111" s="959"/>
      <c r="D111" s="959"/>
      <c r="E111" s="959"/>
      <c r="F111" s="959"/>
      <c r="G111" s="959"/>
      <c r="H111" s="959"/>
    </row>
    <row r="112" spans="1:8">
      <c r="A112" s="956" t="s">
        <v>627</v>
      </c>
      <c r="B112" s="956"/>
      <c r="C112" s="956"/>
      <c r="D112" s="956"/>
      <c r="E112" s="956"/>
      <c r="F112" s="956"/>
      <c r="G112" s="956"/>
      <c r="H112" s="956"/>
    </row>
    <row r="113" spans="1:8">
      <c r="A113" s="960"/>
      <c r="B113" s="960"/>
      <c r="C113" s="960"/>
      <c r="D113" s="960"/>
      <c r="E113" s="960"/>
      <c r="F113" s="960"/>
      <c r="G113" s="960"/>
      <c r="H113" s="960"/>
    </row>
    <row r="114" spans="1:8">
      <c r="A114" s="959" t="s">
        <v>619</v>
      </c>
      <c r="B114" s="959"/>
      <c r="C114" s="959"/>
      <c r="D114" s="959"/>
      <c r="E114" s="959"/>
      <c r="F114" s="959"/>
      <c r="G114" s="959"/>
      <c r="H114" s="959"/>
    </row>
    <row r="115" spans="1:8">
      <c r="A115" s="956" t="s">
        <v>620</v>
      </c>
      <c r="B115" s="956"/>
      <c r="C115" s="956"/>
      <c r="D115" s="956"/>
      <c r="E115" s="956"/>
      <c r="F115" s="956"/>
      <c r="G115" s="956"/>
      <c r="H115" s="956"/>
    </row>
    <row r="116" spans="1:8">
      <c r="A116" s="956" t="s">
        <v>621</v>
      </c>
      <c r="B116" s="956"/>
      <c r="C116" s="956"/>
      <c r="D116" s="956"/>
      <c r="E116" s="956"/>
      <c r="F116" s="956"/>
      <c r="G116" s="956"/>
      <c r="H116" s="956"/>
    </row>
    <row r="117" spans="1:8">
      <c r="A117" s="956" t="s">
        <v>622</v>
      </c>
      <c r="B117" s="956"/>
      <c r="C117" s="956"/>
      <c r="D117" s="956"/>
      <c r="E117" s="956"/>
      <c r="F117" s="956"/>
      <c r="G117" s="956"/>
      <c r="H117" s="956"/>
    </row>
    <row r="118" spans="1:8">
      <c r="A118" s="956" t="s">
        <v>623</v>
      </c>
      <c r="B118" s="956"/>
      <c r="C118" s="956"/>
      <c r="D118" s="956"/>
      <c r="E118" s="956"/>
      <c r="F118" s="956"/>
      <c r="G118" s="956"/>
      <c r="H118" s="956"/>
    </row>
    <row r="119" spans="1:8">
      <c r="A119" s="956" t="s">
        <v>624</v>
      </c>
      <c r="B119" s="956"/>
      <c r="C119" s="956"/>
      <c r="D119" s="956"/>
      <c r="E119" s="956"/>
      <c r="F119" s="956"/>
      <c r="G119" s="956"/>
      <c r="H119" s="956"/>
    </row>
    <row r="120" spans="1:8">
      <c r="A120" s="956" t="s">
        <v>625</v>
      </c>
      <c r="B120" s="956"/>
      <c r="C120" s="956"/>
      <c r="D120" s="956"/>
      <c r="E120" s="956"/>
      <c r="F120" s="956"/>
      <c r="G120" s="956"/>
      <c r="H120" s="956"/>
    </row>
    <row r="121" spans="1:8">
      <c r="A121" s="961"/>
      <c r="B121" s="961"/>
      <c r="C121" s="961"/>
      <c r="D121" s="961"/>
      <c r="E121" s="961"/>
      <c r="F121" s="961"/>
      <c r="G121" s="961"/>
      <c r="H121" s="961"/>
    </row>
    <row r="122" spans="1:8">
      <c r="A122" s="962"/>
      <c r="B122" s="963" t="s">
        <v>412</v>
      </c>
      <c r="C122" s="964"/>
      <c r="D122" s="963" t="s">
        <v>413</v>
      </c>
      <c r="E122" s="965"/>
      <c r="F122" s="964"/>
      <c r="G122" s="963" t="s">
        <v>414</v>
      </c>
      <c r="H122" s="964"/>
    </row>
    <row r="123" spans="1:8">
      <c r="A123" s="962" t="s">
        <v>415</v>
      </c>
      <c r="B123" s="962" t="s">
        <v>96</v>
      </c>
      <c r="C123" s="962" t="s">
        <v>416</v>
      </c>
      <c r="D123" s="962" t="s">
        <v>96</v>
      </c>
      <c r="E123" s="962" t="s">
        <v>417</v>
      </c>
      <c r="F123" s="962" t="s">
        <v>418</v>
      </c>
      <c r="G123" s="962" t="s">
        <v>96</v>
      </c>
      <c r="H123" s="962" t="s">
        <v>419</v>
      </c>
    </row>
    <row r="124" spans="1:8">
      <c r="A124" s="962" t="s">
        <v>420</v>
      </c>
      <c r="B124" s="962">
        <v>1189</v>
      </c>
      <c r="C124" s="966">
        <v>0.38</v>
      </c>
      <c r="D124" s="962">
        <v>315</v>
      </c>
      <c r="E124" s="966">
        <v>0.41</v>
      </c>
      <c r="F124" s="966">
        <v>0.26</v>
      </c>
      <c r="G124" s="962">
        <v>555</v>
      </c>
      <c r="H124" s="966">
        <v>0.39</v>
      </c>
    </row>
    <row r="125" spans="1:8">
      <c r="A125" s="962" t="s">
        <v>421</v>
      </c>
      <c r="B125" s="962">
        <v>1355</v>
      </c>
      <c r="C125" s="966">
        <v>0.43</v>
      </c>
      <c r="D125" s="962">
        <v>364</v>
      </c>
      <c r="E125" s="966">
        <v>0.47</v>
      </c>
      <c r="F125" s="966">
        <v>0.27</v>
      </c>
      <c r="G125" s="962">
        <v>644</v>
      </c>
      <c r="H125" s="966">
        <v>0.45</v>
      </c>
    </row>
    <row r="126" spans="1:8">
      <c r="A126" s="962" t="s">
        <v>422</v>
      </c>
      <c r="B126" s="962">
        <v>53</v>
      </c>
      <c r="C126" s="966">
        <v>0.02</v>
      </c>
      <c r="D126" s="962">
        <v>4</v>
      </c>
      <c r="E126" s="966">
        <v>0.01</v>
      </c>
      <c r="F126" s="966">
        <v>0.08</v>
      </c>
      <c r="G126" s="962">
        <v>7</v>
      </c>
      <c r="H126" s="966">
        <v>0</v>
      </c>
    </row>
    <row r="127" spans="1:8">
      <c r="A127" s="962" t="s">
        <v>423</v>
      </c>
      <c r="B127" s="962">
        <v>545</v>
      </c>
      <c r="C127" s="966">
        <v>0.17</v>
      </c>
      <c r="D127" s="962">
        <v>84</v>
      </c>
      <c r="E127" s="966">
        <v>0.11</v>
      </c>
      <c r="F127" s="966">
        <v>0.15</v>
      </c>
      <c r="G127" s="962">
        <v>214</v>
      </c>
      <c r="H127" s="966">
        <v>0.15</v>
      </c>
    </row>
    <row r="128" spans="1:8">
      <c r="A128" s="962" t="s">
        <v>424</v>
      </c>
      <c r="B128" s="967">
        <v>3142</v>
      </c>
      <c r="C128" s="962"/>
      <c r="D128" s="962">
        <v>767</v>
      </c>
      <c r="E128" s="962"/>
      <c r="F128" s="962"/>
      <c r="G128" s="962">
        <v>1420</v>
      </c>
      <c r="H128" s="962"/>
    </row>
    <row r="129" spans="1:8">
      <c r="A129" s="968"/>
      <c r="B129" s="968"/>
      <c r="C129" s="968"/>
      <c r="D129" s="968"/>
      <c r="E129" s="968"/>
      <c r="F129" s="968"/>
      <c r="G129" s="968"/>
      <c r="H129" s="968"/>
    </row>
    <row r="130" spans="1:8">
      <c r="A130" s="959" t="s">
        <v>615</v>
      </c>
      <c r="B130" s="959"/>
      <c r="C130" s="959"/>
      <c r="D130" s="959"/>
      <c r="E130" s="959"/>
      <c r="F130" s="959"/>
      <c r="G130" s="959"/>
      <c r="H130" s="959"/>
    </row>
    <row r="131" spans="1:8">
      <c r="A131" s="956" t="s">
        <v>616</v>
      </c>
      <c r="B131" s="956"/>
      <c r="C131" s="956"/>
      <c r="D131" s="956"/>
      <c r="E131" s="956"/>
      <c r="F131" s="956"/>
      <c r="G131" s="956"/>
      <c r="H131" s="956"/>
    </row>
    <row r="132" spans="1:8">
      <c r="A132" s="956" t="s">
        <v>617</v>
      </c>
      <c r="B132" s="956"/>
      <c r="C132" s="956"/>
      <c r="D132" s="956"/>
      <c r="E132" s="956"/>
      <c r="F132" s="956"/>
      <c r="G132" s="956"/>
      <c r="H132" s="956"/>
    </row>
    <row r="133" spans="1:8">
      <c r="A133" s="956" t="s">
        <v>618</v>
      </c>
      <c r="B133" s="956"/>
      <c r="C133" s="956"/>
      <c r="D133" s="956"/>
      <c r="E133" s="956"/>
      <c r="F133" s="956"/>
      <c r="G133" s="956"/>
      <c r="H133" s="956"/>
    </row>
    <row r="134" spans="1:8">
      <c r="A134" s="955"/>
      <c r="B134" s="955"/>
      <c r="C134" s="955"/>
      <c r="D134" s="955"/>
      <c r="E134" s="955"/>
      <c r="F134" s="955"/>
      <c r="G134" s="955"/>
      <c r="H134" s="955"/>
    </row>
    <row r="135" spans="1:8" ht="15.75">
      <c r="A135" s="957" t="s">
        <v>425</v>
      </c>
      <c r="B135" s="955"/>
      <c r="C135" s="955"/>
      <c r="D135" s="955"/>
      <c r="E135" s="955"/>
      <c r="F135" s="955"/>
      <c r="G135" s="955"/>
      <c r="H135" s="955"/>
    </row>
    <row r="136" spans="1:8">
      <c r="A136" s="955"/>
      <c r="B136" s="955"/>
      <c r="C136" s="955"/>
      <c r="D136" s="955"/>
      <c r="E136" s="955"/>
      <c r="F136" s="955"/>
      <c r="G136" s="955"/>
      <c r="H136" s="955"/>
    </row>
    <row r="137" spans="1:8">
      <c r="A137" s="956" t="s">
        <v>613</v>
      </c>
      <c r="B137" s="955"/>
      <c r="C137" s="955"/>
      <c r="D137" s="955"/>
      <c r="E137" s="955"/>
      <c r="F137" s="955"/>
      <c r="G137" s="955"/>
      <c r="H137" s="955"/>
    </row>
    <row r="138" spans="1:8">
      <c r="A138" s="956" t="s">
        <v>614</v>
      </c>
      <c r="B138" s="955"/>
      <c r="C138" s="955"/>
      <c r="D138" s="955"/>
      <c r="E138" s="955"/>
      <c r="F138" s="955"/>
      <c r="G138" s="955"/>
      <c r="H138" s="955"/>
    </row>
    <row r="139" spans="1:8">
      <c r="A139" s="955"/>
      <c r="B139" s="955"/>
      <c r="C139" s="955"/>
      <c r="D139" s="955"/>
      <c r="E139" s="955"/>
      <c r="F139" s="955"/>
      <c r="G139" s="955"/>
      <c r="H139" s="955"/>
    </row>
    <row r="140" spans="1:8">
      <c r="A140" s="956" t="s">
        <v>610</v>
      </c>
      <c r="B140" s="955"/>
      <c r="C140" s="955"/>
      <c r="D140" s="955"/>
      <c r="E140" s="955"/>
      <c r="F140" s="955"/>
      <c r="G140" s="955"/>
      <c r="H140" s="955"/>
    </row>
    <row r="141" spans="1:8">
      <c r="A141" s="956" t="s">
        <v>611</v>
      </c>
      <c r="B141" s="955"/>
      <c r="C141" s="955"/>
      <c r="D141" s="955"/>
      <c r="E141" s="955"/>
      <c r="F141" s="955"/>
      <c r="G141" s="955"/>
      <c r="H141" s="955"/>
    </row>
    <row r="142" spans="1:8">
      <c r="A142" s="956" t="s">
        <v>612</v>
      </c>
      <c r="B142" s="955"/>
      <c r="C142" s="955"/>
      <c r="D142" s="955"/>
      <c r="E142" s="955"/>
      <c r="F142" s="955"/>
      <c r="G142" s="955"/>
      <c r="H142" s="955"/>
    </row>
    <row r="143" spans="1:8">
      <c r="A143" s="955"/>
      <c r="B143" s="955"/>
      <c r="C143" s="955"/>
      <c r="D143" s="955"/>
      <c r="E143" s="955"/>
      <c r="F143" s="955"/>
      <c r="G143" s="955"/>
      <c r="H143" s="955"/>
    </row>
    <row r="144" spans="1:8">
      <c r="A144" s="956" t="s">
        <v>607</v>
      </c>
      <c r="B144" s="955"/>
      <c r="C144" s="955"/>
      <c r="D144" s="955"/>
      <c r="E144" s="955"/>
      <c r="F144" s="955"/>
      <c r="G144" s="955"/>
      <c r="H144" s="955"/>
    </row>
    <row r="145" spans="1:8">
      <c r="A145" s="956" t="s">
        <v>608</v>
      </c>
      <c r="B145" s="955"/>
      <c r="C145" s="955"/>
      <c r="D145" s="955"/>
      <c r="E145" s="955"/>
      <c r="F145" s="955"/>
      <c r="G145" s="955"/>
      <c r="H145" s="955"/>
    </row>
    <row r="146" spans="1:8">
      <c r="A146" s="956" t="s">
        <v>609</v>
      </c>
      <c r="B146" s="955"/>
      <c r="C146" s="955"/>
      <c r="D146" s="955"/>
      <c r="E146" s="955"/>
      <c r="F146" s="955"/>
      <c r="G146" s="955"/>
      <c r="H146" s="955"/>
    </row>
    <row r="147" spans="1:8">
      <c r="A147" s="955"/>
      <c r="B147" s="955"/>
      <c r="C147" s="955"/>
      <c r="D147" s="955"/>
      <c r="E147" s="955"/>
      <c r="F147" s="955"/>
      <c r="G147" s="955"/>
      <c r="H147" s="955"/>
    </row>
    <row r="148" spans="1:8">
      <c r="A148" s="956" t="s">
        <v>604</v>
      </c>
      <c r="B148" s="955"/>
      <c r="C148" s="955"/>
      <c r="D148" s="955"/>
      <c r="E148" s="955"/>
      <c r="F148" s="955"/>
      <c r="G148" s="955"/>
      <c r="H148" s="955"/>
    </row>
    <row r="149" spans="1:8">
      <c r="A149" s="956" t="s">
        <v>605</v>
      </c>
      <c r="B149" s="955"/>
      <c r="C149" s="955"/>
      <c r="D149" s="955"/>
      <c r="E149" s="955"/>
      <c r="F149" s="955"/>
      <c r="G149" s="955"/>
      <c r="H149" s="955"/>
    </row>
    <row r="150" spans="1:8">
      <c r="A150" s="956" t="s">
        <v>606</v>
      </c>
      <c r="B150" s="955"/>
      <c r="C150" s="955"/>
      <c r="D150" s="955"/>
      <c r="E150" s="955"/>
      <c r="F150" s="955"/>
      <c r="G150" s="955"/>
      <c r="H150" s="955"/>
    </row>
    <row r="151" spans="1:8">
      <c r="A151" s="955"/>
      <c r="B151" s="955"/>
      <c r="C151" s="955"/>
      <c r="D151" s="955"/>
      <c r="E151" s="955"/>
      <c r="F151" s="955"/>
      <c r="G151" s="955"/>
      <c r="H151" s="955"/>
    </row>
    <row r="152" spans="1:8">
      <c r="A152" s="956" t="s">
        <v>602</v>
      </c>
      <c r="B152" s="955"/>
      <c r="C152" s="955"/>
      <c r="D152" s="955"/>
      <c r="E152" s="955"/>
      <c r="F152" s="955"/>
      <c r="G152" s="955"/>
      <c r="H152" s="955"/>
    </row>
    <row r="153" spans="1:8">
      <c r="A153" s="956" t="s">
        <v>603</v>
      </c>
      <c r="B153" s="955"/>
      <c r="C153" s="955"/>
      <c r="D153" s="955"/>
      <c r="E153" s="955"/>
      <c r="F153" s="955"/>
      <c r="G153" s="955"/>
      <c r="H153" s="955"/>
    </row>
    <row r="154" spans="1:8">
      <c r="A154" s="955"/>
      <c r="B154" s="955"/>
      <c r="C154" s="955"/>
      <c r="D154" s="955"/>
      <c r="E154" s="955"/>
      <c r="F154" s="955"/>
      <c r="G154" s="955"/>
      <c r="H154" s="955"/>
    </row>
    <row r="155" spans="1:8" ht="15.75">
      <c r="A155" s="957" t="s">
        <v>426</v>
      </c>
      <c r="B155" s="955"/>
      <c r="C155" s="955"/>
      <c r="D155" s="955"/>
      <c r="E155" s="955"/>
      <c r="F155" s="955"/>
      <c r="G155" s="955"/>
      <c r="H155" s="955"/>
    </row>
    <row r="156" spans="1:8">
      <c r="A156" s="955"/>
      <c r="B156" s="955"/>
      <c r="C156" s="955"/>
      <c r="D156" s="955"/>
      <c r="E156" s="955"/>
      <c r="F156" s="955"/>
      <c r="G156" s="955"/>
      <c r="H156" s="955"/>
    </row>
    <row r="157" spans="1:8">
      <c r="A157" s="956" t="s">
        <v>600</v>
      </c>
      <c r="B157" s="955"/>
      <c r="C157" s="955"/>
      <c r="D157" s="955"/>
      <c r="E157" s="955"/>
      <c r="F157" s="955"/>
      <c r="G157" s="955"/>
      <c r="H157" s="955"/>
    </row>
    <row r="158" spans="1:8">
      <c r="A158" s="956" t="s">
        <v>601</v>
      </c>
      <c r="B158" s="955"/>
      <c r="C158" s="955"/>
      <c r="D158" s="955"/>
      <c r="E158" s="955"/>
      <c r="F158" s="955"/>
      <c r="G158" s="955"/>
      <c r="H158" s="955"/>
    </row>
    <row r="159" spans="1:8">
      <c r="A159" s="955"/>
      <c r="B159" s="955"/>
      <c r="C159" s="955"/>
      <c r="D159" s="955"/>
      <c r="E159" s="955"/>
      <c r="F159" s="955"/>
      <c r="G159" s="955"/>
      <c r="H159" s="955"/>
    </row>
    <row r="160" spans="1:8">
      <c r="A160" s="956" t="s">
        <v>598</v>
      </c>
      <c r="B160" s="955"/>
      <c r="C160" s="955"/>
      <c r="D160" s="955"/>
      <c r="E160" s="955"/>
      <c r="F160" s="955"/>
      <c r="G160" s="955"/>
      <c r="H160" s="955"/>
    </row>
    <row r="161" spans="1:8">
      <c r="A161" s="956" t="s">
        <v>599</v>
      </c>
      <c r="B161" s="955"/>
      <c r="C161" s="955"/>
      <c r="D161" s="955"/>
      <c r="E161" s="955"/>
      <c r="F161" s="955"/>
      <c r="G161" s="955"/>
      <c r="H161" s="955"/>
    </row>
    <row r="162" spans="1:8">
      <c r="A162" s="955"/>
      <c r="B162" s="955"/>
      <c r="C162" s="955"/>
      <c r="D162" s="955"/>
      <c r="E162" s="955"/>
      <c r="F162" s="955"/>
      <c r="G162" s="955"/>
      <c r="H162" s="955"/>
    </row>
    <row r="163" spans="1:8">
      <c r="A163" s="956" t="s">
        <v>596</v>
      </c>
      <c r="B163" s="955"/>
      <c r="C163" s="955"/>
      <c r="D163" s="955"/>
      <c r="E163" s="955"/>
      <c r="F163" s="955"/>
      <c r="G163" s="955"/>
      <c r="H163" s="955"/>
    </row>
    <row r="164" spans="1:8">
      <c r="A164" s="956" t="s">
        <v>597</v>
      </c>
      <c r="B164" s="955"/>
      <c r="C164" s="955"/>
      <c r="D164" s="955"/>
      <c r="E164" s="955"/>
      <c r="F164" s="955"/>
      <c r="G164" s="955"/>
      <c r="H164" s="955"/>
    </row>
    <row r="165" spans="1:8">
      <c r="A165" s="955"/>
      <c r="B165" s="955"/>
      <c r="C165" s="955"/>
      <c r="D165" s="955"/>
      <c r="E165" s="955"/>
      <c r="F165" s="955"/>
      <c r="G165" s="955"/>
      <c r="H165" s="955"/>
    </row>
    <row r="166" spans="1:8">
      <c r="A166" s="956" t="s">
        <v>593</v>
      </c>
      <c r="B166" s="955"/>
      <c r="C166" s="955"/>
      <c r="D166" s="955"/>
      <c r="E166" s="955"/>
      <c r="F166" s="955"/>
      <c r="G166" s="955"/>
      <c r="H166" s="955"/>
    </row>
    <row r="167" spans="1:8">
      <c r="A167" s="956" t="s">
        <v>594</v>
      </c>
      <c r="B167" s="955"/>
      <c r="C167" s="955"/>
      <c r="D167" s="955"/>
      <c r="E167" s="955"/>
      <c r="F167" s="955"/>
      <c r="G167" s="955"/>
      <c r="H167" s="955"/>
    </row>
    <row r="168" spans="1:8">
      <c r="A168" s="956" t="s">
        <v>595</v>
      </c>
      <c r="B168" s="955"/>
      <c r="C168" s="955"/>
      <c r="D168" s="955"/>
      <c r="E168" s="955"/>
      <c r="F168" s="955"/>
      <c r="G168" s="955"/>
      <c r="H168" s="955"/>
    </row>
    <row r="169" spans="1:8">
      <c r="A169" s="955"/>
      <c r="B169" s="955"/>
      <c r="C169" s="955"/>
      <c r="D169" s="955"/>
      <c r="E169" s="955"/>
      <c r="F169" s="955"/>
      <c r="G169" s="955"/>
      <c r="H169" s="955"/>
    </row>
    <row r="170" spans="1:8">
      <c r="A170" s="955"/>
      <c r="B170" s="955"/>
      <c r="C170" s="955"/>
      <c r="D170" s="955"/>
      <c r="E170" s="955"/>
      <c r="F170" s="955"/>
      <c r="G170" s="955"/>
      <c r="H170" s="955"/>
    </row>
    <row r="171" spans="1:8">
      <c r="A171" s="956" t="s">
        <v>427</v>
      </c>
      <c r="B171" s="955"/>
      <c r="C171" s="955"/>
      <c r="D171" s="955"/>
      <c r="E171" s="955"/>
      <c r="F171" s="955"/>
      <c r="G171" s="955"/>
      <c r="H171" s="955"/>
    </row>
    <row r="172" spans="1:8">
      <c r="A172" s="955"/>
      <c r="B172" s="955"/>
      <c r="C172" s="955"/>
      <c r="D172" s="955"/>
      <c r="E172" s="955"/>
      <c r="F172" s="955"/>
      <c r="G172" s="955"/>
      <c r="H172" s="955"/>
    </row>
    <row r="173" spans="1:8" ht="15.75">
      <c r="A173" s="957" t="s">
        <v>428</v>
      </c>
      <c r="B173" s="955"/>
      <c r="C173" s="955"/>
      <c r="D173" s="955"/>
      <c r="E173" s="955"/>
      <c r="F173" s="955"/>
      <c r="G173" s="955"/>
      <c r="H173" s="955"/>
    </row>
    <row r="174" spans="1:8">
      <c r="A174" s="955"/>
      <c r="B174" s="955"/>
      <c r="C174" s="955"/>
      <c r="D174" s="955"/>
      <c r="E174" s="955"/>
      <c r="F174" s="955"/>
      <c r="G174" s="955"/>
      <c r="H174" s="955"/>
    </row>
    <row r="175" spans="1:8">
      <c r="A175" s="955"/>
      <c r="B175" s="955"/>
      <c r="C175" s="955"/>
      <c r="D175" s="955"/>
      <c r="E175" s="955"/>
      <c r="F175" s="955"/>
      <c r="G175" s="955"/>
      <c r="H175" s="955"/>
    </row>
    <row r="176" spans="1:8">
      <c r="A176" s="955"/>
      <c r="B176" s="955"/>
      <c r="C176" s="955"/>
      <c r="D176" s="955"/>
      <c r="E176" s="955"/>
      <c r="F176" s="955"/>
      <c r="G176" s="955"/>
      <c r="H176" s="955"/>
    </row>
    <row r="177" spans="1:8">
      <c r="A177" s="955"/>
      <c r="B177" s="955"/>
      <c r="C177" s="955"/>
      <c r="D177" s="955"/>
      <c r="E177" s="955"/>
      <c r="F177" s="955"/>
      <c r="G177" s="955"/>
      <c r="H177" s="955"/>
    </row>
    <row r="178" spans="1:8">
      <c r="A178" s="955"/>
      <c r="B178" s="955"/>
      <c r="C178" s="955"/>
      <c r="D178" s="955"/>
      <c r="E178" s="955"/>
      <c r="F178" s="955"/>
      <c r="G178" s="955"/>
      <c r="H178" s="955"/>
    </row>
    <row r="179" spans="1:8">
      <c r="A179" s="955"/>
      <c r="B179" s="955"/>
      <c r="C179" s="955"/>
      <c r="D179" s="955"/>
      <c r="E179" s="955"/>
      <c r="F179" s="955"/>
      <c r="G179" s="955"/>
      <c r="H179" s="955"/>
    </row>
    <row r="180" spans="1:8">
      <c r="A180" s="955"/>
      <c r="B180" s="955"/>
      <c r="C180" s="955"/>
      <c r="D180" s="955"/>
      <c r="E180" s="955"/>
      <c r="F180" s="955"/>
      <c r="G180" s="955"/>
      <c r="H180" s="955"/>
    </row>
    <row r="181" spans="1:8">
      <c r="A181" s="955"/>
      <c r="B181" s="955"/>
      <c r="C181" s="955"/>
      <c r="D181" s="955"/>
      <c r="E181" s="955"/>
      <c r="F181" s="955"/>
      <c r="G181" s="955"/>
      <c r="H181" s="955"/>
    </row>
    <row r="182" spans="1:8">
      <c r="A182" s="955"/>
      <c r="B182" s="955"/>
      <c r="C182" s="955"/>
      <c r="D182" s="955"/>
      <c r="E182" s="955"/>
      <c r="F182" s="955"/>
      <c r="G182" s="955"/>
      <c r="H182" s="955"/>
    </row>
    <row r="183" spans="1:8">
      <c r="A183" s="955"/>
      <c r="B183" s="955"/>
      <c r="C183" s="955"/>
      <c r="D183" s="955"/>
      <c r="E183" s="955"/>
      <c r="F183" s="955"/>
      <c r="G183" s="955"/>
      <c r="H183" s="955"/>
    </row>
    <row r="184" spans="1:8">
      <c r="A184" s="955"/>
      <c r="B184" s="955"/>
      <c r="C184" s="955"/>
      <c r="D184" s="955"/>
      <c r="E184" s="955"/>
      <c r="F184" s="955"/>
      <c r="G184" s="955"/>
      <c r="H184" s="955"/>
    </row>
    <row r="185" spans="1:8">
      <c r="A185" s="955"/>
      <c r="B185" s="955"/>
      <c r="C185" s="955"/>
      <c r="D185" s="955"/>
      <c r="E185" s="955"/>
      <c r="F185" s="955"/>
      <c r="G185" s="955"/>
      <c r="H185" s="955"/>
    </row>
    <row r="186" spans="1:8">
      <c r="A186" s="955"/>
      <c r="B186" s="955"/>
      <c r="C186" s="955"/>
      <c r="D186" s="955"/>
      <c r="E186" s="955"/>
      <c r="F186" s="955"/>
      <c r="G186" s="955"/>
      <c r="H186" s="955"/>
    </row>
    <row r="187" spans="1:8">
      <c r="A187" s="955"/>
      <c r="B187" s="955"/>
      <c r="C187" s="955"/>
      <c r="D187" s="955"/>
      <c r="E187" s="955"/>
      <c r="F187" s="955"/>
      <c r="G187" s="955"/>
      <c r="H187" s="955"/>
    </row>
    <row r="188" spans="1:8">
      <c r="A188" s="955"/>
      <c r="B188" s="955"/>
      <c r="C188" s="955"/>
      <c r="D188" s="955"/>
      <c r="E188" s="955"/>
      <c r="F188" s="955"/>
      <c r="G188" s="955"/>
      <c r="H188" s="955"/>
    </row>
    <row r="189" spans="1:8">
      <c r="A189" s="955"/>
      <c r="B189" s="955"/>
      <c r="C189" s="955"/>
      <c r="D189" s="955"/>
      <c r="E189" s="955"/>
      <c r="F189" s="955"/>
      <c r="G189" s="955"/>
      <c r="H189" s="955"/>
    </row>
    <row r="190" spans="1:8">
      <c r="A190" s="955"/>
      <c r="B190" s="955"/>
      <c r="C190" s="955"/>
      <c r="D190" s="955"/>
      <c r="E190" s="955"/>
      <c r="F190" s="955"/>
      <c r="G190" s="955"/>
      <c r="H190" s="955"/>
    </row>
    <row r="191" spans="1:8">
      <c r="A191" s="955"/>
      <c r="B191" s="955"/>
      <c r="C191" s="955"/>
      <c r="D191" s="955"/>
      <c r="E191" s="955"/>
      <c r="F191" s="955"/>
      <c r="G191" s="955"/>
      <c r="H191" s="955"/>
    </row>
    <row r="192" spans="1:8">
      <c r="A192" s="955"/>
      <c r="B192" s="955"/>
      <c r="C192" s="955"/>
      <c r="D192" s="955"/>
      <c r="E192" s="955"/>
      <c r="F192" s="955"/>
      <c r="G192" s="955"/>
      <c r="H192" s="955"/>
    </row>
    <row r="193" spans="1:8">
      <c r="A193" s="955"/>
      <c r="B193" s="955"/>
      <c r="C193" s="955"/>
      <c r="D193" s="955"/>
      <c r="E193" s="955"/>
      <c r="F193" s="955"/>
      <c r="G193" s="955"/>
      <c r="H193" s="955"/>
    </row>
    <row r="194" spans="1:8">
      <c r="A194" s="955"/>
      <c r="B194" s="955"/>
      <c r="C194" s="955"/>
      <c r="D194" s="955"/>
      <c r="E194" s="955"/>
      <c r="F194" s="955"/>
      <c r="G194" s="955"/>
      <c r="H194" s="955"/>
    </row>
    <row r="195" spans="1:8">
      <c r="A195" s="955"/>
      <c r="B195" s="955"/>
      <c r="C195" s="955"/>
      <c r="D195" s="955"/>
      <c r="E195" s="955"/>
      <c r="F195" s="955"/>
      <c r="G195" s="955"/>
      <c r="H195" s="955"/>
    </row>
    <row r="196" spans="1:8">
      <c r="A196" s="955"/>
      <c r="B196" s="955"/>
      <c r="C196" s="955"/>
      <c r="D196" s="955"/>
      <c r="E196" s="955"/>
      <c r="F196" s="955"/>
      <c r="G196" s="955"/>
      <c r="H196" s="955"/>
    </row>
    <row r="197" spans="1:8">
      <c r="A197" s="955"/>
      <c r="B197" s="955"/>
      <c r="C197" s="955"/>
      <c r="D197" s="955"/>
      <c r="E197" s="955"/>
      <c r="F197" s="955"/>
      <c r="G197" s="955"/>
      <c r="H197" s="955"/>
    </row>
    <row r="198" spans="1:8">
      <c r="A198" s="955"/>
      <c r="B198" s="955"/>
      <c r="C198" s="955"/>
      <c r="D198" s="955"/>
      <c r="E198" s="955"/>
      <c r="F198" s="955"/>
      <c r="G198" s="955"/>
      <c r="H198" s="955"/>
    </row>
    <row r="199" spans="1:8">
      <c r="A199" s="955"/>
      <c r="B199" s="955"/>
      <c r="C199" s="955"/>
      <c r="D199" s="955"/>
      <c r="E199" s="955"/>
      <c r="F199" s="955"/>
      <c r="G199" s="955"/>
      <c r="H199" s="955"/>
    </row>
    <row r="200" spans="1:8" ht="15.75">
      <c r="A200" s="957" t="s">
        <v>429</v>
      </c>
      <c r="B200" s="955"/>
      <c r="C200" s="955"/>
      <c r="D200" s="955"/>
      <c r="E200" s="955"/>
      <c r="F200" s="955"/>
      <c r="G200" s="955"/>
      <c r="H200" s="955"/>
    </row>
    <row r="201" spans="1:8">
      <c r="A201" s="955"/>
      <c r="B201" s="955"/>
      <c r="C201" s="955"/>
      <c r="D201" s="955"/>
      <c r="E201" s="955"/>
      <c r="F201" s="955"/>
      <c r="G201" s="955"/>
      <c r="H201" s="955"/>
    </row>
    <row r="202" spans="1:8">
      <c r="A202" s="956" t="s">
        <v>588</v>
      </c>
      <c r="B202" s="955"/>
      <c r="C202" s="955"/>
      <c r="D202" s="955"/>
      <c r="E202" s="955"/>
      <c r="F202" s="955"/>
      <c r="G202" s="955"/>
      <c r="H202" s="955"/>
    </row>
    <row r="203" spans="1:8">
      <c r="A203" s="956" t="s">
        <v>589</v>
      </c>
      <c r="B203" s="955"/>
      <c r="C203" s="955"/>
      <c r="D203" s="955"/>
      <c r="E203" s="955"/>
      <c r="F203" s="955"/>
      <c r="G203" s="955"/>
      <c r="H203" s="955"/>
    </row>
    <row r="204" spans="1:8">
      <c r="A204" s="956" t="s">
        <v>590</v>
      </c>
      <c r="B204" s="955"/>
      <c r="C204" s="955"/>
      <c r="D204" s="955"/>
      <c r="E204" s="955"/>
      <c r="F204" s="955"/>
      <c r="G204" s="955"/>
      <c r="H204" s="955"/>
    </row>
    <row r="205" spans="1:8">
      <c r="A205" s="956" t="s">
        <v>591</v>
      </c>
      <c r="B205" s="955"/>
      <c r="C205" s="955"/>
      <c r="D205" s="955"/>
      <c r="E205" s="955"/>
      <c r="F205" s="955"/>
      <c r="G205" s="955"/>
      <c r="H205" s="955"/>
    </row>
    <row r="206" spans="1:8">
      <c r="A206" s="956" t="s">
        <v>592</v>
      </c>
      <c r="B206" s="955"/>
      <c r="C206" s="955"/>
      <c r="D206" s="955"/>
      <c r="E206" s="955"/>
      <c r="F206" s="955"/>
      <c r="G206" s="955"/>
      <c r="H206" s="955"/>
    </row>
    <row r="207" spans="1:8">
      <c r="A207" s="955"/>
      <c r="B207" s="955"/>
      <c r="C207" s="955"/>
      <c r="D207" s="955"/>
      <c r="E207" s="955"/>
      <c r="F207" s="955"/>
      <c r="G207" s="955"/>
      <c r="H207" s="955"/>
    </row>
    <row r="208" spans="1:8">
      <c r="A208" s="956" t="s">
        <v>585</v>
      </c>
      <c r="B208" s="955"/>
      <c r="C208" s="955"/>
      <c r="D208" s="955"/>
      <c r="E208" s="955"/>
      <c r="F208" s="955"/>
      <c r="G208" s="955"/>
      <c r="H208" s="955"/>
    </row>
    <row r="209" spans="1:8">
      <c r="A209" s="956" t="s">
        <v>586</v>
      </c>
      <c r="B209" s="955"/>
      <c r="C209" s="955"/>
      <c r="D209" s="955"/>
      <c r="E209" s="955"/>
      <c r="F209" s="955"/>
      <c r="G209" s="955"/>
      <c r="H209" s="955"/>
    </row>
    <row r="210" spans="1:8">
      <c r="A210" s="956" t="s">
        <v>587</v>
      </c>
      <c r="B210" s="955"/>
      <c r="C210" s="955"/>
      <c r="D210" s="955"/>
      <c r="E210" s="955"/>
      <c r="F210" s="955"/>
      <c r="G210" s="955"/>
      <c r="H210" s="955"/>
    </row>
    <row r="211" spans="1:8" ht="15.75">
      <c r="A211" s="957" t="s">
        <v>430</v>
      </c>
      <c r="B211" s="955"/>
      <c r="C211" s="955"/>
      <c r="D211" s="955"/>
      <c r="E211" s="955"/>
      <c r="F211" s="955"/>
      <c r="G211" s="955"/>
      <c r="H211" s="955"/>
    </row>
    <row r="212" spans="1:8">
      <c r="A212" s="955"/>
      <c r="B212" s="955"/>
      <c r="C212" s="955"/>
      <c r="D212" s="955"/>
      <c r="E212" s="955"/>
      <c r="F212" s="955"/>
      <c r="G212" s="955"/>
      <c r="H212" s="955"/>
    </row>
    <row r="213" spans="1:8">
      <c r="A213" s="956" t="s">
        <v>578</v>
      </c>
      <c r="B213" s="955"/>
      <c r="C213" s="955"/>
      <c r="D213" s="955"/>
      <c r="E213" s="955"/>
      <c r="F213" s="955"/>
      <c r="G213" s="955"/>
      <c r="H213" s="955"/>
    </row>
    <row r="214" spans="1:8">
      <c r="A214" s="956" t="s">
        <v>579</v>
      </c>
      <c r="B214" s="955"/>
      <c r="C214" s="955"/>
      <c r="D214" s="955"/>
      <c r="E214" s="955"/>
      <c r="F214" s="955"/>
      <c r="G214" s="955"/>
      <c r="H214" s="955"/>
    </row>
    <row r="215" spans="1:8">
      <c r="A215" s="956" t="s">
        <v>580</v>
      </c>
      <c r="B215" s="955"/>
      <c r="C215" s="955"/>
      <c r="D215" s="955"/>
      <c r="E215" s="955"/>
      <c r="F215" s="955"/>
      <c r="G215" s="955"/>
      <c r="H215" s="955"/>
    </row>
    <row r="216" spans="1:8">
      <c r="A216" s="956" t="s">
        <v>581</v>
      </c>
      <c r="B216" s="955"/>
      <c r="C216" s="955"/>
      <c r="D216" s="955"/>
      <c r="E216" s="955"/>
      <c r="F216" s="955"/>
      <c r="G216" s="955"/>
      <c r="H216" s="955"/>
    </row>
    <row r="217" spans="1:8">
      <c r="A217" s="956" t="s">
        <v>582</v>
      </c>
      <c r="B217" s="955"/>
      <c r="C217" s="955"/>
      <c r="D217" s="955"/>
      <c r="E217" s="955"/>
      <c r="F217" s="955"/>
      <c r="G217" s="955"/>
      <c r="H217" s="955"/>
    </row>
    <row r="218" spans="1:8">
      <c r="A218" s="956" t="s">
        <v>583</v>
      </c>
      <c r="B218" s="955"/>
      <c r="C218" s="955"/>
      <c r="D218" s="955"/>
      <c r="E218" s="955"/>
      <c r="F218" s="955"/>
      <c r="G218" s="955"/>
      <c r="H218" s="955"/>
    </row>
    <row r="219" spans="1:8">
      <c r="A219" s="956" t="s">
        <v>584</v>
      </c>
      <c r="B219" s="955"/>
      <c r="C219" s="955"/>
      <c r="D219" s="955"/>
      <c r="E219" s="955"/>
      <c r="F219" s="955"/>
      <c r="G219" s="955"/>
      <c r="H219" s="955"/>
    </row>
    <row r="220" spans="1:8">
      <c r="A220" s="955"/>
      <c r="B220" s="955"/>
      <c r="C220" s="955"/>
      <c r="D220" s="955"/>
      <c r="E220" s="955"/>
      <c r="F220" s="955"/>
      <c r="G220" s="955"/>
      <c r="H220" s="955"/>
    </row>
    <row r="221" spans="1:8">
      <c r="A221" s="956" t="s">
        <v>575</v>
      </c>
      <c r="B221" s="955"/>
      <c r="C221" s="955"/>
      <c r="D221" s="955"/>
      <c r="E221" s="955"/>
      <c r="F221" s="955"/>
      <c r="G221" s="955"/>
      <c r="H221" s="955"/>
    </row>
    <row r="222" spans="1:8">
      <c r="A222" s="956" t="s">
        <v>576</v>
      </c>
      <c r="B222" s="955"/>
      <c r="C222" s="955"/>
      <c r="D222" s="955"/>
      <c r="E222" s="955"/>
      <c r="F222" s="955"/>
      <c r="G222" s="955"/>
      <c r="H222" s="955"/>
    </row>
    <row r="223" spans="1:8">
      <c r="A223" s="956" t="s">
        <v>577</v>
      </c>
      <c r="B223" s="955"/>
      <c r="C223" s="955"/>
      <c r="D223" s="955"/>
      <c r="E223" s="955"/>
      <c r="F223" s="955"/>
      <c r="G223" s="955"/>
      <c r="H223" s="955"/>
    </row>
    <row r="224" spans="1:8">
      <c r="A224" s="955"/>
      <c r="B224" s="955"/>
      <c r="C224" s="955"/>
      <c r="D224" s="955"/>
      <c r="E224" s="955"/>
      <c r="F224" s="955"/>
      <c r="G224" s="955"/>
      <c r="H224" s="955"/>
    </row>
    <row r="225" spans="1:8">
      <c r="A225" s="956" t="s">
        <v>570</v>
      </c>
      <c r="B225" s="955"/>
      <c r="C225" s="955"/>
      <c r="D225" s="955"/>
      <c r="E225" s="955"/>
      <c r="F225" s="955"/>
      <c r="G225" s="955"/>
      <c r="H225" s="955"/>
    </row>
    <row r="226" spans="1:8">
      <c r="A226" s="956" t="s">
        <v>571</v>
      </c>
      <c r="B226" s="955"/>
      <c r="C226" s="955"/>
      <c r="D226" s="955"/>
      <c r="E226" s="955"/>
      <c r="F226" s="955"/>
      <c r="G226" s="955"/>
      <c r="H226" s="955"/>
    </row>
    <row r="227" spans="1:8">
      <c r="A227" s="956" t="s">
        <v>572</v>
      </c>
      <c r="B227" s="955"/>
      <c r="C227" s="955"/>
      <c r="D227" s="955"/>
      <c r="E227" s="955"/>
      <c r="F227" s="955"/>
      <c r="G227" s="955"/>
      <c r="H227" s="955"/>
    </row>
    <row r="228" spans="1:8">
      <c r="A228" s="956" t="s">
        <v>573</v>
      </c>
      <c r="B228" s="955"/>
      <c r="C228" s="955"/>
      <c r="D228" s="955"/>
      <c r="E228" s="955"/>
      <c r="F228" s="955"/>
      <c r="G228" s="955"/>
      <c r="H228" s="955"/>
    </row>
    <row r="229" spans="1:8">
      <c r="A229" s="956" t="s">
        <v>574</v>
      </c>
      <c r="B229" s="955"/>
      <c r="C229" s="955"/>
      <c r="D229" s="955"/>
      <c r="E229" s="955"/>
      <c r="F229" s="955"/>
      <c r="G229" s="955"/>
      <c r="H229" s="955"/>
    </row>
    <row r="230" spans="1:8">
      <c r="A230" s="955"/>
      <c r="B230" s="955"/>
      <c r="C230" s="955"/>
      <c r="D230" s="955"/>
      <c r="E230" s="955"/>
      <c r="F230" s="955"/>
      <c r="G230" s="955"/>
      <c r="H230" s="955"/>
    </row>
    <row r="231" spans="1:8">
      <c r="A231" s="956" t="s">
        <v>564</v>
      </c>
      <c r="B231" s="955"/>
      <c r="C231" s="955"/>
      <c r="D231" s="955"/>
      <c r="E231" s="955"/>
      <c r="F231" s="955"/>
      <c r="G231" s="955"/>
      <c r="H231" s="955"/>
    </row>
    <row r="232" spans="1:8">
      <c r="A232" s="956" t="s">
        <v>565</v>
      </c>
      <c r="B232" s="955"/>
      <c r="C232" s="955"/>
      <c r="D232" s="955"/>
      <c r="E232" s="955"/>
      <c r="F232" s="955"/>
      <c r="G232" s="955"/>
      <c r="H232" s="955"/>
    </row>
    <row r="233" spans="1:8">
      <c r="A233" s="956" t="s">
        <v>566</v>
      </c>
      <c r="B233" s="955"/>
      <c r="C233" s="955"/>
      <c r="D233" s="955"/>
      <c r="E233" s="955"/>
      <c r="F233" s="955"/>
      <c r="G233" s="955"/>
      <c r="H233" s="955"/>
    </row>
    <row r="234" spans="1:8">
      <c r="A234" s="956" t="s">
        <v>567</v>
      </c>
      <c r="B234" s="955"/>
      <c r="C234" s="955"/>
      <c r="D234" s="955"/>
      <c r="E234" s="955"/>
      <c r="F234" s="955"/>
      <c r="G234" s="955"/>
      <c r="H234" s="955"/>
    </row>
    <row r="235" spans="1:8">
      <c r="A235" s="956" t="s">
        <v>568</v>
      </c>
      <c r="B235" s="955"/>
      <c r="C235" s="955"/>
      <c r="D235" s="955"/>
      <c r="E235" s="955"/>
      <c r="F235" s="955"/>
      <c r="G235" s="955"/>
      <c r="H235" s="955"/>
    </row>
    <row r="236" spans="1:8">
      <c r="A236" s="956" t="s">
        <v>569</v>
      </c>
      <c r="B236" s="955"/>
      <c r="C236" s="955"/>
      <c r="D236" s="955"/>
      <c r="E236" s="955"/>
      <c r="F236" s="955"/>
      <c r="G236" s="955"/>
      <c r="H236" s="955"/>
    </row>
    <row r="237" spans="1:8">
      <c r="A237" s="955"/>
      <c r="B237" s="955"/>
      <c r="C237" s="955"/>
      <c r="D237" s="955"/>
      <c r="E237" s="955"/>
      <c r="F237" s="955"/>
      <c r="G237" s="955"/>
      <c r="H237" s="955"/>
    </row>
    <row r="238" spans="1:8">
      <c r="A238" s="956" t="s">
        <v>554</v>
      </c>
      <c r="B238" s="955"/>
      <c r="C238" s="955"/>
      <c r="D238" s="955"/>
      <c r="E238" s="955"/>
      <c r="F238" s="955"/>
      <c r="G238" s="955"/>
      <c r="H238" s="955"/>
    </row>
    <row r="239" spans="1:8">
      <c r="A239" s="956" t="s">
        <v>555</v>
      </c>
      <c r="B239" s="955"/>
      <c r="C239" s="955"/>
      <c r="D239" s="955"/>
      <c r="E239" s="955"/>
      <c r="F239" s="955"/>
      <c r="G239" s="955"/>
      <c r="H239" s="955"/>
    </row>
    <row r="240" spans="1:8">
      <c r="A240" s="956" t="s">
        <v>556</v>
      </c>
      <c r="B240" s="955"/>
      <c r="C240" s="955"/>
      <c r="D240" s="955"/>
      <c r="E240" s="955"/>
      <c r="F240" s="955"/>
      <c r="G240" s="955"/>
      <c r="H240" s="955"/>
    </row>
    <row r="241" spans="1:8">
      <c r="A241" s="956" t="s">
        <v>557</v>
      </c>
      <c r="B241" s="955"/>
      <c r="C241" s="955"/>
      <c r="D241" s="955"/>
      <c r="E241" s="955"/>
      <c r="F241" s="955"/>
      <c r="G241" s="955"/>
      <c r="H241" s="955"/>
    </row>
    <row r="242" spans="1:8">
      <c r="A242" s="956" t="s">
        <v>558</v>
      </c>
      <c r="B242" s="955"/>
      <c r="C242" s="955"/>
      <c r="D242" s="955"/>
      <c r="E242" s="955"/>
      <c r="F242" s="955"/>
      <c r="G242" s="955"/>
      <c r="H242" s="955"/>
    </row>
    <row r="243" spans="1:8">
      <c r="A243" s="956" t="s">
        <v>559</v>
      </c>
      <c r="B243" s="955"/>
      <c r="C243" s="955"/>
      <c r="D243" s="955"/>
      <c r="E243" s="955"/>
      <c r="F243" s="955"/>
      <c r="G243" s="955"/>
      <c r="H243" s="955"/>
    </row>
    <row r="244" spans="1:8">
      <c r="A244" s="956" t="s">
        <v>560</v>
      </c>
      <c r="B244" s="955"/>
      <c r="C244" s="955"/>
      <c r="D244" s="955"/>
      <c r="E244" s="955"/>
      <c r="F244" s="955"/>
      <c r="G244" s="955"/>
      <c r="H244" s="955"/>
    </row>
    <row r="245" spans="1:8">
      <c r="A245" s="956" t="s">
        <v>561</v>
      </c>
      <c r="B245" s="955"/>
      <c r="C245" s="955"/>
      <c r="D245" s="955"/>
      <c r="E245" s="955"/>
      <c r="F245" s="955"/>
      <c r="G245" s="955"/>
      <c r="H245" s="955"/>
    </row>
    <row r="246" spans="1:8">
      <c r="A246" s="956" t="s">
        <v>562</v>
      </c>
      <c r="B246" s="955"/>
      <c r="C246" s="955"/>
      <c r="D246" s="955"/>
      <c r="E246" s="955"/>
      <c r="F246" s="955"/>
      <c r="G246" s="955"/>
      <c r="H246" s="955"/>
    </row>
    <row r="247" spans="1:8">
      <c r="A247" s="956" t="s">
        <v>563</v>
      </c>
      <c r="B247" s="955"/>
      <c r="C247" s="955"/>
      <c r="D247" s="955"/>
      <c r="E247" s="955"/>
      <c r="F247" s="955"/>
      <c r="G247" s="955"/>
      <c r="H247" s="955"/>
    </row>
    <row r="248" spans="1:8">
      <c r="A248" s="955"/>
      <c r="B248" s="955"/>
      <c r="C248" s="955"/>
      <c r="D248" s="955"/>
      <c r="E248" s="955"/>
      <c r="F248" s="955"/>
      <c r="G248" s="955"/>
      <c r="H248" s="955"/>
    </row>
    <row r="249" spans="1:8">
      <c r="A249" s="956" t="s">
        <v>552</v>
      </c>
      <c r="B249" s="955"/>
      <c r="C249" s="955"/>
      <c r="D249" s="955"/>
      <c r="E249" s="955"/>
      <c r="F249" s="955"/>
      <c r="G249" s="955"/>
      <c r="H249" s="955"/>
    </row>
    <row r="250" spans="1:8">
      <c r="A250" s="956" t="s">
        <v>553</v>
      </c>
      <c r="B250" s="955"/>
      <c r="C250" s="955"/>
      <c r="D250" s="955"/>
      <c r="E250" s="955"/>
      <c r="F250" s="955"/>
      <c r="G250" s="955"/>
      <c r="H250" s="955"/>
    </row>
    <row r="251" spans="1:8">
      <c r="A251" s="955"/>
      <c r="B251" s="955"/>
      <c r="C251" s="955"/>
      <c r="D251" s="955"/>
      <c r="E251" s="955"/>
      <c r="F251" s="955"/>
      <c r="G251" s="955"/>
      <c r="H251" s="955"/>
    </row>
    <row r="252" spans="1:8">
      <c r="A252" s="956" t="s">
        <v>536</v>
      </c>
      <c r="B252" s="955"/>
      <c r="C252" s="955"/>
      <c r="D252" s="955"/>
      <c r="E252" s="955"/>
      <c r="F252" s="955"/>
      <c r="G252" s="955"/>
      <c r="H252" s="955"/>
    </row>
    <row r="253" spans="1:8">
      <c r="A253" s="956" t="s">
        <v>537</v>
      </c>
      <c r="B253" s="955"/>
      <c r="C253" s="955"/>
      <c r="D253" s="955"/>
      <c r="E253" s="955"/>
      <c r="F253" s="955"/>
      <c r="G253" s="955"/>
      <c r="H253" s="955"/>
    </row>
    <row r="254" spans="1:8">
      <c r="A254" s="956" t="s">
        <v>538</v>
      </c>
      <c r="B254" s="955"/>
      <c r="C254" s="955"/>
      <c r="D254" s="955"/>
      <c r="E254" s="955"/>
      <c r="F254" s="955"/>
      <c r="G254" s="955"/>
      <c r="H254" s="955"/>
    </row>
    <row r="255" spans="1:8">
      <c r="A255" s="956" t="s">
        <v>539</v>
      </c>
      <c r="B255" s="955"/>
      <c r="C255" s="955"/>
      <c r="D255" s="955"/>
      <c r="E255" s="955"/>
      <c r="F255" s="955"/>
      <c r="G255" s="955"/>
      <c r="H255" s="955"/>
    </row>
    <row r="256" spans="1:8">
      <c r="A256" s="956" t="s">
        <v>540</v>
      </c>
      <c r="B256" s="955"/>
      <c r="C256" s="955"/>
      <c r="D256" s="955"/>
      <c r="E256" s="955"/>
      <c r="F256" s="955"/>
      <c r="G256" s="955"/>
      <c r="H256" s="955"/>
    </row>
    <row r="257" spans="1:8">
      <c r="A257" s="956" t="s">
        <v>541</v>
      </c>
      <c r="B257" s="955"/>
      <c r="C257" s="955"/>
      <c r="D257" s="955"/>
      <c r="E257" s="955"/>
      <c r="F257" s="955"/>
      <c r="G257" s="955"/>
      <c r="H257" s="955"/>
    </row>
    <row r="258" spans="1:8">
      <c r="A258" s="956" t="s">
        <v>542</v>
      </c>
      <c r="B258" s="955"/>
      <c r="C258" s="955"/>
      <c r="D258" s="955"/>
      <c r="E258" s="955"/>
      <c r="F258" s="955"/>
      <c r="G258" s="955"/>
      <c r="H258" s="955"/>
    </row>
    <row r="259" spans="1:8">
      <c r="A259" s="956" t="s">
        <v>543</v>
      </c>
      <c r="B259" s="955"/>
      <c r="C259" s="955"/>
      <c r="D259" s="955"/>
      <c r="E259" s="955"/>
      <c r="F259" s="955"/>
      <c r="G259" s="955"/>
      <c r="H259" s="955"/>
    </row>
    <row r="260" spans="1:8">
      <c r="A260" s="956" t="s">
        <v>544</v>
      </c>
      <c r="B260" s="955"/>
      <c r="C260" s="955"/>
      <c r="D260" s="955"/>
      <c r="E260" s="955"/>
      <c r="F260" s="955"/>
      <c r="G260" s="955"/>
      <c r="H260" s="955"/>
    </row>
    <row r="261" spans="1:8">
      <c r="A261" s="956" t="s">
        <v>545</v>
      </c>
      <c r="B261" s="955"/>
      <c r="C261" s="955"/>
      <c r="D261" s="955"/>
      <c r="E261" s="955"/>
      <c r="F261" s="955"/>
      <c r="G261" s="955"/>
      <c r="H261" s="955"/>
    </row>
    <row r="262" spans="1:8">
      <c r="A262" s="956" t="s">
        <v>546</v>
      </c>
      <c r="B262" s="955"/>
      <c r="C262" s="955"/>
      <c r="D262" s="955"/>
      <c r="E262" s="955"/>
      <c r="F262" s="955"/>
      <c r="G262" s="955"/>
      <c r="H262" s="955"/>
    </row>
    <row r="263" spans="1:8">
      <c r="A263" s="956" t="s">
        <v>547</v>
      </c>
      <c r="B263" s="955"/>
      <c r="C263" s="955"/>
      <c r="D263" s="955"/>
      <c r="E263" s="955"/>
      <c r="F263" s="955"/>
      <c r="G263" s="955"/>
      <c r="H263" s="955"/>
    </row>
    <row r="264" spans="1:8">
      <c r="A264" s="956" t="s">
        <v>548</v>
      </c>
      <c r="B264" s="955"/>
      <c r="C264" s="955"/>
      <c r="D264" s="955"/>
      <c r="E264" s="955"/>
      <c r="F264" s="955"/>
      <c r="G264" s="955"/>
      <c r="H264" s="955"/>
    </row>
    <row r="265" spans="1:8">
      <c r="A265" s="956" t="s">
        <v>549</v>
      </c>
      <c r="B265" s="955"/>
      <c r="C265" s="955"/>
      <c r="D265" s="955"/>
      <c r="E265" s="955"/>
      <c r="F265" s="955"/>
      <c r="G265" s="955"/>
      <c r="H265" s="955"/>
    </row>
    <row r="266" spans="1:8">
      <c r="A266" s="956" t="s">
        <v>550</v>
      </c>
      <c r="B266" s="955"/>
      <c r="C266" s="955"/>
      <c r="D266" s="955"/>
      <c r="E266" s="955"/>
      <c r="F266" s="955"/>
      <c r="G266" s="955"/>
      <c r="H266" s="955"/>
    </row>
    <row r="267" spans="1:8">
      <c r="A267" s="956" t="s">
        <v>551</v>
      </c>
      <c r="B267" s="955"/>
      <c r="C267" s="955"/>
      <c r="D267" s="955"/>
      <c r="E267" s="955"/>
      <c r="F267" s="955"/>
      <c r="G267" s="955"/>
      <c r="H267" s="955"/>
    </row>
    <row r="268" spans="1:8">
      <c r="A268" s="955"/>
      <c r="B268" s="955"/>
      <c r="C268" s="955"/>
      <c r="D268" s="955"/>
      <c r="E268" s="955"/>
      <c r="F268" s="955"/>
      <c r="G268" s="955"/>
      <c r="H268" s="955"/>
    </row>
    <row r="269" spans="1:8">
      <c r="A269" s="956" t="s">
        <v>529</v>
      </c>
      <c r="B269" s="955"/>
      <c r="C269" s="955"/>
      <c r="D269" s="955"/>
      <c r="E269" s="955"/>
      <c r="F269" s="955"/>
      <c r="G269" s="955"/>
      <c r="H269" s="955"/>
    </row>
    <row r="270" spans="1:8">
      <c r="A270" s="956" t="s">
        <v>530</v>
      </c>
      <c r="B270" s="955"/>
      <c r="C270" s="955"/>
      <c r="D270" s="955"/>
      <c r="E270" s="955"/>
      <c r="F270" s="955"/>
      <c r="G270" s="955"/>
      <c r="H270" s="955"/>
    </row>
    <row r="271" spans="1:8">
      <c r="A271" s="956" t="s">
        <v>531</v>
      </c>
      <c r="B271" s="955"/>
      <c r="C271" s="955"/>
      <c r="D271" s="955"/>
      <c r="E271" s="955"/>
      <c r="F271" s="955"/>
      <c r="G271" s="955"/>
      <c r="H271" s="955"/>
    </row>
    <row r="272" spans="1:8">
      <c r="A272" s="956" t="s">
        <v>532</v>
      </c>
      <c r="B272" s="955"/>
      <c r="C272" s="955"/>
      <c r="D272" s="955"/>
      <c r="E272" s="955"/>
      <c r="F272" s="955"/>
      <c r="G272" s="955"/>
      <c r="H272" s="955"/>
    </row>
    <row r="273" spans="1:8">
      <c r="A273" s="956" t="s">
        <v>533</v>
      </c>
      <c r="B273" s="955"/>
      <c r="C273" s="955"/>
      <c r="D273" s="955"/>
      <c r="E273" s="955"/>
      <c r="F273" s="955"/>
      <c r="G273" s="955"/>
      <c r="H273" s="955"/>
    </row>
    <row r="274" spans="1:8">
      <c r="A274" s="956" t="s">
        <v>534</v>
      </c>
      <c r="B274" s="955"/>
      <c r="C274" s="955"/>
      <c r="D274" s="955"/>
      <c r="E274" s="955"/>
      <c r="F274" s="955"/>
      <c r="G274" s="955"/>
      <c r="H274" s="955"/>
    </row>
    <row r="275" spans="1:8">
      <c r="A275" s="956" t="s">
        <v>535</v>
      </c>
      <c r="B275" s="955"/>
      <c r="C275" s="955"/>
      <c r="D275" s="955"/>
      <c r="E275" s="955"/>
      <c r="F275" s="955"/>
      <c r="G275" s="955"/>
      <c r="H275" s="955"/>
    </row>
    <row r="276" spans="1:8">
      <c r="A276" s="955"/>
      <c r="B276" s="955"/>
      <c r="C276" s="955"/>
      <c r="D276" s="955"/>
      <c r="E276" s="955"/>
      <c r="F276" s="955"/>
      <c r="G276" s="955"/>
      <c r="H276" s="955"/>
    </row>
    <row r="277" spans="1:8">
      <c r="A277" s="956" t="s">
        <v>520</v>
      </c>
      <c r="B277" s="955"/>
      <c r="C277" s="955"/>
      <c r="D277" s="955"/>
      <c r="E277" s="955"/>
      <c r="F277" s="955"/>
      <c r="G277" s="955"/>
      <c r="H277" s="955"/>
    </row>
    <row r="278" spans="1:8">
      <c r="A278" s="956" t="s">
        <v>521</v>
      </c>
      <c r="B278" s="955"/>
      <c r="C278" s="955"/>
      <c r="D278" s="955"/>
      <c r="E278" s="955"/>
      <c r="F278" s="955"/>
      <c r="G278" s="955"/>
      <c r="H278" s="955"/>
    </row>
    <row r="279" spans="1:8">
      <c r="A279" s="956" t="s">
        <v>522</v>
      </c>
      <c r="B279" s="955"/>
      <c r="C279" s="955"/>
      <c r="D279" s="955"/>
      <c r="E279" s="955"/>
      <c r="F279" s="955"/>
      <c r="G279" s="955"/>
      <c r="H279" s="955"/>
    </row>
    <row r="280" spans="1:8">
      <c r="A280" s="956" t="s">
        <v>523</v>
      </c>
      <c r="B280" s="955"/>
      <c r="C280" s="955"/>
      <c r="D280" s="955"/>
      <c r="E280" s="955"/>
      <c r="F280" s="955"/>
      <c r="G280" s="955"/>
      <c r="H280" s="955"/>
    </row>
    <row r="281" spans="1:8">
      <c r="A281" s="956" t="s">
        <v>524</v>
      </c>
      <c r="B281" s="955"/>
      <c r="C281" s="955"/>
      <c r="D281" s="955"/>
      <c r="E281" s="955"/>
      <c r="F281" s="955"/>
      <c r="G281" s="955"/>
      <c r="H281" s="955"/>
    </row>
    <row r="282" spans="1:8">
      <c r="A282" s="956" t="s">
        <v>525</v>
      </c>
      <c r="B282" s="955"/>
      <c r="C282" s="955"/>
      <c r="D282" s="955"/>
      <c r="E282" s="955"/>
      <c r="F282" s="955"/>
      <c r="G282" s="955"/>
      <c r="H282" s="955"/>
    </row>
    <row r="283" spans="1:8">
      <c r="A283" s="956" t="s">
        <v>526</v>
      </c>
      <c r="B283" s="955"/>
      <c r="C283" s="955"/>
      <c r="D283" s="955"/>
      <c r="E283" s="955"/>
      <c r="F283" s="955"/>
      <c r="G283" s="955"/>
      <c r="H283" s="955"/>
    </row>
    <row r="284" spans="1:8">
      <c r="A284" s="956" t="s">
        <v>527</v>
      </c>
      <c r="B284" s="955"/>
      <c r="C284" s="955"/>
      <c r="D284" s="955"/>
      <c r="E284" s="955"/>
      <c r="F284" s="955"/>
      <c r="G284" s="955"/>
      <c r="H284" s="955"/>
    </row>
    <row r="285" spans="1:8">
      <c r="A285" s="956" t="s">
        <v>528</v>
      </c>
      <c r="B285" s="955"/>
      <c r="C285" s="955"/>
      <c r="D285" s="955"/>
      <c r="E285" s="955"/>
      <c r="F285" s="955"/>
      <c r="G285" s="955"/>
      <c r="H285" s="955"/>
    </row>
    <row r="286" spans="1:8">
      <c r="A286" s="955"/>
      <c r="B286" s="955"/>
      <c r="C286" s="955"/>
      <c r="D286" s="955"/>
      <c r="E286" s="955"/>
      <c r="F286" s="955"/>
      <c r="G286" s="955"/>
      <c r="H286" s="955"/>
    </row>
    <row r="287" spans="1:8">
      <c r="A287" s="956" t="s">
        <v>513</v>
      </c>
      <c r="B287" s="955"/>
      <c r="C287" s="955"/>
      <c r="D287" s="955"/>
      <c r="E287" s="955"/>
      <c r="F287" s="955"/>
      <c r="G287" s="955"/>
      <c r="H287" s="955"/>
    </row>
    <row r="288" spans="1:8">
      <c r="A288" s="956" t="s">
        <v>514</v>
      </c>
      <c r="B288" s="955"/>
      <c r="C288" s="955"/>
      <c r="D288" s="955"/>
      <c r="E288" s="955"/>
      <c r="F288" s="955"/>
      <c r="G288" s="955"/>
      <c r="H288" s="955"/>
    </row>
    <row r="289" spans="1:8">
      <c r="A289" s="956" t="s">
        <v>515</v>
      </c>
      <c r="B289" s="955"/>
      <c r="C289" s="955"/>
      <c r="D289" s="955"/>
      <c r="E289" s="955"/>
      <c r="F289" s="955"/>
      <c r="G289" s="955"/>
      <c r="H289" s="955"/>
    </row>
    <row r="290" spans="1:8">
      <c r="A290" s="956" t="s">
        <v>516</v>
      </c>
      <c r="B290" s="955"/>
      <c r="C290" s="955"/>
      <c r="D290" s="955"/>
      <c r="E290" s="955"/>
      <c r="F290" s="955"/>
      <c r="G290" s="955"/>
      <c r="H290" s="955"/>
    </row>
    <row r="291" spans="1:8">
      <c r="A291" s="956" t="s">
        <v>517</v>
      </c>
      <c r="B291" s="955"/>
      <c r="C291" s="955"/>
      <c r="D291" s="955"/>
      <c r="E291" s="955"/>
      <c r="F291" s="955"/>
      <c r="G291" s="955"/>
      <c r="H291" s="955"/>
    </row>
    <row r="292" spans="1:8">
      <c r="A292" s="956" t="s">
        <v>518</v>
      </c>
      <c r="B292" s="955"/>
      <c r="C292" s="955"/>
      <c r="D292" s="955"/>
      <c r="E292" s="955"/>
      <c r="F292" s="955"/>
      <c r="G292" s="955"/>
      <c r="H292" s="955"/>
    </row>
    <row r="293" spans="1:8">
      <c r="A293" s="956" t="s">
        <v>519</v>
      </c>
      <c r="B293" s="955"/>
      <c r="C293" s="955"/>
      <c r="D293" s="955"/>
      <c r="E293" s="955"/>
      <c r="F293" s="955"/>
      <c r="G293" s="955"/>
      <c r="H293" s="955"/>
    </row>
    <row r="294" spans="1:8">
      <c r="A294" s="955"/>
      <c r="B294" s="955"/>
      <c r="C294" s="955"/>
      <c r="D294" s="955"/>
      <c r="E294" s="955"/>
      <c r="F294" s="955"/>
      <c r="G294" s="955"/>
      <c r="H294" s="955"/>
    </row>
    <row r="295" spans="1:8">
      <c r="A295" s="956" t="s">
        <v>510</v>
      </c>
      <c r="B295" s="955"/>
      <c r="C295" s="955"/>
      <c r="D295" s="955"/>
      <c r="E295" s="955"/>
      <c r="F295" s="955"/>
      <c r="G295" s="955"/>
      <c r="H295" s="955"/>
    </row>
    <row r="296" spans="1:8">
      <c r="A296" s="956" t="s">
        <v>511</v>
      </c>
      <c r="B296" s="955"/>
      <c r="C296" s="955"/>
      <c r="D296" s="955"/>
      <c r="E296" s="955"/>
      <c r="F296" s="955"/>
      <c r="G296" s="955"/>
      <c r="H296" s="955"/>
    </row>
    <row r="297" spans="1:8">
      <c r="A297" s="956" t="s">
        <v>512</v>
      </c>
      <c r="B297" s="955"/>
      <c r="C297" s="955"/>
      <c r="D297" s="955"/>
      <c r="E297" s="955"/>
      <c r="F297" s="955"/>
      <c r="G297" s="955"/>
      <c r="H297" s="955"/>
    </row>
    <row r="298" spans="1:8">
      <c r="A298" s="955"/>
      <c r="B298" s="955"/>
      <c r="C298" s="955"/>
      <c r="D298" s="955"/>
      <c r="E298" s="955"/>
      <c r="F298" s="955"/>
      <c r="G298" s="955"/>
      <c r="H298" s="955"/>
    </row>
    <row r="299" spans="1:8">
      <c r="A299" s="956" t="s">
        <v>508</v>
      </c>
      <c r="B299" s="955"/>
      <c r="C299" s="955"/>
      <c r="D299" s="955"/>
      <c r="E299" s="955"/>
      <c r="F299" s="955"/>
      <c r="G299" s="955"/>
      <c r="H299" s="955"/>
    </row>
    <row r="300" spans="1:8">
      <c r="A300" s="956" t="s">
        <v>509</v>
      </c>
      <c r="B300" s="955"/>
      <c r="C300" s="955"/>
      <c r="D300" s="955"/>
      <c r="E300" s="955"/>
      <c r="F300" s="955"/>
      <c r="G300" s="955"/>
      <c r="H300" s="955"/>
    </row>
    <row r="301" spans="1:8">
      <c r="A301" s="955"/>
      <c r="B301" s="955"/>
      <c r="C301" s="955"/>
      <c r="D301" s="955"/>
      <c r="E301" s="955"/>
      <c r="F301" s="955"/>
      <c r="G301" s="955"/>
      <c r="H301" s="955"/>
    </row>
    <row r="302" spans="1:8">
      <c r="A302" s="956" t="s">
        <v>495</v>
      </c>
      <c r="B302" s="955"/>
      <c r="C302" s="955"/>
      <c r="D302" s="955"/>
      <c r="E302" s="955"/>
      <c r="F302" s="955"/>
      <c r="G302" s="955"/>
      <c r="H302" s="955"/>
    </row>
    <row r="303" spans="1:8">
      <c r="A303" s="956" t="s">
        <v>496</v>
      </c>
      <c r="B303" s="955"/>
      <c r="C303" s="955"/>
      <c r="D303" s="955"/>
      <c r="E303" s="955"/>
      <c r="F303" s="955"/>
      <c r="G303" s="955"/>
      <c r="H303" s="955"/>
    </row>
    <row r="304" spans="1:8">
      <c r="A304" s="956" t="s">
        <v>497</v>
      </c>
      <c r="B304" s="955"/>
      <c r="C304" s="955"/>
      <c r="D304" s="955"/>
      <c r="E304" s="955"/>
      <c r="F304" s="955"/>
      <c r="G304" s="955"/>
      <c r="H304" s="955"/>
    </row>
    <row r="305" spans="1:8">
      <c r="A305" s="956" t="s">
        <v>498</v>
      </c>
      <c r="B305" s="955"/>
      <c r="C305" s="955"/>
      <c r="D305" s="955"/>
      <c r="E305" s="955"/>
      <c r="F305" s="955"/>
      <c r="G305" s="955"/>
      <c r="H305" s="955"/>
    </row>
    <row r="306" spans="1:8">
      <c r="A306" s="956" t="s">
        <v>499</v>
      </c>
      <c r="B306" s="955"/>
      <c r="C306" s="955"/>
      <c r="D306" s="955"/>
      <c r="E306" s="955"/>
      <c r="F306" s="955"/>
      <c r="G306" s="955"/>
      <c r="H306" s="955"/>
    </row>
    <row r="307" spans="1:8">
      <c r="A307" s="956" t="s">
        <v>500</v>
      </c>
      <c r="B307" s="955"/>
      <c r="C307" s="955"/>
      <c r="D307" s="955"/>
      <c r="E307" s="955"/>
      <c r="F307" s="955"/>
      <c r="G307" s="955"/>
      <c r="H307" s="955"/>
    </row>
    <row r="308" spans="1:8">
      <c r="A308" s="956" t="s">
        <v>501</v>
      </c>
      <c r="B308" s="955"/>
      <c r="C308" s="955"/>
      <c r="D308" s="955"/>
      <c r="E308" s="955"/>
      <c r="F308" s="955"/>
      <c r="G308" s="955"/>
      <c r="H308" s="955"/>
    </row>
    <row r="309" spans="1:8">
      <c r="A309" s="956" t="s">
        <v>502</v>
      </c>
      <c r="B309" s="955"/>
      <c r="C309" s="955"/>
      <c r="D309" s="955"/>
      <c r="E309" s="955"/>
      <c r="F309" s="955"/>
      <c r="G309" s="955"/>
      <c r="H309" s="955"/>
    </row>
    <row r="310" spans="1:8">
      <c r="A310" s="956" t="s">
        <v>503</v>
      </c>
      <c r="B310" s="955"/>
      <c r="C310" s="955"/>
      <c r="D310" s="955"/>
      <c r="E310" s="955"/>
      <c r="F310" s="955"/>
      <c r="G310" s="955"/>
      <c r="H310" s="955"/>
    </row>
    <row r="311" spans="1:8">
      <c r="A311" s="956" t="s">
        <v>504</v>
      </c>
      <c r="B311" s="955"/>
      <c r="C311" s="955"/>
      <c r="D311" s="955"/>
      <c r="E311" s="955"/>
      <c r="F311" s="955"/>
      <c r="G311" s="955"/>
      <c r="H311" s="955"/>
    </row>
    <row r="312" spans="1:8">
      <c r="A312" s="956" t="s">
        <v>505</v>
      </c>
      <c r="B312" s="955"/>
      <c r="C312" s="955"/>
      <c r="D312" s="955"/>
      <c r="E312" s="955"/>
      <c r="F312" s="955"/>
      <c r="G312" s="955"/>
      <c r="H312" s="955"/>
    </row>
    <row r="313" spans="1:8">
      <c r="A313" s="956" t="s">
        <v>506</v>
      </c>
      <c r="B313" s="955"/>
      <c r="C313" s="955"/>
      <c r="D313" s="955"/>
      <c r="E313" s="955"/>
      <c r="F313" s="955"/>
      <c r="G313" s="955"/>
      <c r="H313" s="955"/>
    </row>
    <row r="314" spans="1:8">
      <c r="A314" s="956" t="s">
        <v>507</v>
      </c>
      <c r="B314" s="955"/>
      <c r="C314" s="955"/>
      <c r="D314" s="955"/>
      <c r="E314" s="955"/>
      <c r="F314" s="955"/>
      <c r="G314" s="955"/>
      <c r="H314" s="955"/>
    </row>
    <row r="315" spans="1:8">
      <c r="A315" s="955"/>
      <c r="B315" s="955"/>
      <c r="C315" s="955"/>
      <c r="D315" s="955"/>
      <c r="E315" s="955"/>
      <c r="F315" s="955"/>
      <c r="G315" s="955"/>
      <c r="H315" s="955"/>
    </row>
    <row r="316" spans="1:8">
      <c r="A316" s="956" t="s">
        <v>487</v>
      </c>
      <c r="B316" s="955"/>
      <c r="C316" s="955"/>
      <c r="D316" s="955"/>
      <c r="E316" s="955"/>
      <c r="F316" s="955"/>
      <c r="G316" s="955"/>
      <c r="H316" s="955"/>
    </row>
    <row r="317" spans="1:8">
      <c r="A317" s="956" t="s">
        <v>488</v>
      </c>
      <c r="B317" s="955"/>
      <c r="C317" s="955"/>
      <c r="D317" s="955"/>
      <c r="E317" s="955"/>
      <c r="F317" s="955"/>
      <c r="G317" s="955"/>
      <c r="H317" s="955"/>
    </row>
    <row r="318" spans="1:8">
      <c r="A318" s="956" t="s">
        <v>489</v>
      </c>
      <c r="B318" s="955"/>
      <c r="C318" s="955"/>
      <c r="D318" s="955"/>
      <c r="E318" s="955"/>
      <c r="F318" s="955"/>
      <c r="G318" s="955"/>
      <c r="H318" s="955"/>
    </row>
    <row r="319" spans="1:8">
      <c r="A319" s="956" t="s">
        <v>490</v>
      </c>
      <c r="B319" s="955"/>
      <c r="C319" s="955"/>
      <c r="D319" s="955"/>
      <c r="E319" s="955"/>
      <c r="F319" s="955"/>
      <c r="G319" s="955"/>
      <c r="H319" s="955"/>
    </row>
    <row r="320" spans="1:8">
      <c r="A320" s="956" t="s">
        <v>491</v>
      </c>
      <c r="B320" s="955"/>
      <c r="C320" s="955"/>
      <c r="D320" s="955"/>
      <c r="E320" s="955"/>
      <c r="F320" s="955"/>
      <c r="G320" s="955"/>
      <c r="H320" s="955"/>
    </row>
    <row r="321" spans="1:8">
      <c r="A321" s="956" t="s">
        <v>492</v>
      </c>
      <c r="B321" s="955"/>
      <c r="C321" s="955"/>
      <c r="D321" s="955"/>
      <c r="E321" s="955"/>
      <c r="F321" s="955"/>
      <c r="G321" s="955"/>
      <c r="H321" s="955"/>
    </row>
    <row r="322" spans="1:8">
      <c r="A322" s="956" t="s">
        <v>493</v>
      </c>
      <c r="B322" s="955"/>
      <c r="C322" s="955"/>
      <c r="D322" s="955"/>
      <c r="E322" s="955"/>
      <c r="F322" s="955"/>
      <c r="G322" s="955"/>
      <c r="H322" s="955"/>
    </row>
    <row r="323" spans="1:8">
      <c r="A323" s="956" t="s">
        <v>494</v>
      </c>
      <c r="B323" s="955"/>
      <c r="C323" s="955"/>
      <c r="D323" s="955"/>
      <c r="E323" s="955"/>
      <c r="F323" s="955"/>
      <c r="G323" s="955"/>
      <c r="H323" s="955"/>
    </row>
    <row r="324" spans="1:8">
      <c r="A324" s="955"/>
      <c r="B324" s="955"/>
      <c r="C324" s="955"/>
      <c r="D324" s="955"/>
      <c r="E324" s="955"/>
      <c r="F324" s="955"/>
      <c r="G324" s="955"/>
      <c r="H324" s="955"/>
    </row>
    <row r="325" spans="1:8">
      <c r="A325" s="956" t="s">
        <v>452</v>
      </c>
      <c r="B325" s="955"/>
      <c r="C325" s="955"/>
      <c r="D325" s="955"/>
      <c r="E325" s="955"/>
      <c r="F325" s="955"/>
      <c r="G325" s="955"/>
      <c r="H325" s="955"/>
    </row>
    <row r="326" spans="1:8">
      <c r="A326" s="956" t="s">
        <v>453</v>
      </c>
      <c r="B326" s="955"/>
      <c r="C326" s="955"/>
      <c r="D326" s="955"/>
      <c r="E326" s="955"/>
      <c r="F326" s="955"/>
      <c r="G326" s="955"/>
      <c r="H326" s="955"/>
    </row>
    <row r="327" spans="1:8">
      <c r="A327" s="956" t="s">
        <v>454</v>
      </c>
      <c r="B327" s="955"/>
      <c r="C327" s="955"/>
      <c r="D327" s="955"/>
      <c r="E327" s="955"/>
      <c r="F327" s="955"/>
      <c r="G327" s="955"/>
      <c r="H327" s="955"/>
    </row>
    <row r="328" spans="1:8">
      <c r="A328" s="956" t="s">
        <v>455</v>
      </c>
      <c r="B328" s="955"/>
      <c r="C328" s="955"/>
      <c r="D328" s="955"/>
      <c r="E328" s="955"/>
      <c r="F328" s="955"/>
      <c r="G328" s="955"/>
      <c r="H328" s="955"/>
    </row>
    <row r="329" spans="1:8">
      <c r="A329" s="956" t="s">
        <v>456</v>
      </c>
      <c r="B329" s="955"/>
      <c r="C329" s="955"/>
      <c r="D329" s="955"/>
      <c r="E329" s="955"/>
      <c r="F329" s="955"/>
      <c r="G329" s="955"/>
      <c r="H329" s="955"/>
    </row>
    <row r="330" spans="1:8">
      <c r="A330" s="956" t="s">
        <v>457</v>
      </c>
      <c r="B330" s="955"/>
      <c r="C330" s="955"/>
      <c r="D330" s="955"/>
      <c r="E330" s="955"/>
      <c r="F330" s="955"/>
      <c r="G330" s="955"/>
      <c r="H330" s="955"/>
    </row>
    <row r="331" spans="1:8">
      <c r="A331" s="956" t="s">
        <v>458</v>
      </c>
      <c r="B331" s="955"/>
      <c r="C331" s="955"/>
      <c r="D331" s="955"/>
      <c r="E331" s="955"/>
      <c r="F331" s="955"/>
      <c r="G331" s="955"/>
      <c r="H331" s="955"/>
    </row>
    <row r="332" spans="1:8">
      <c r="A332" s="956" t="s">
        <v>459</v>
      </c>
      <c r="B332" s="955"/>
      <c r="C332" s="955"/>
      <c r="D332" s="955"/>
      <c r="E332" s="955"/>
      <c r="F332" s="955"/>
      <c r="G332" s="955"/>
      <c r="H332" s="955"/>
    </row>
    <row r="333" spans="1:8">
      <c r="A333" s="956" t="s">
        <v>460</v>
      </c>
      <c r="B333" s="955"/>
      <c r="C333" s="955"/>
      <c r="D333" s="955"/>
      <c r="E333" s="955"/>
      <c r="F333" s="955"/>
      <c r="G333" s="955"/>
      <c r="H333" s="955"/>
    </row>
    <row r="334" spans="1:8">
      <c r="A334" s="956" t="s">
        <v>461</v>
      </c>
      <c r="B334" s="955"/>
      <c r="C334" s="955"/>
      <c r="D334" s="955"/>
      <c r="E334" s="955"/>
      <c r="F334" s="955"/>
      <c r="G334" s="955"/>
      <c r="H334" s="955"/>
    </row>
    <row r="335" spans="1:8">
      <c r="A335" s="956" t="s">
        <v>462</v>
      </c>
      <c r="B335" s="955"/>
      <c r="C335" s="955"/>
      <c r="D335" s="955"/>
      <c r="E335" s="955"/>
      <c r="F335" s="955"/>
      <c r="G335" s="955"/>
      <c r="H335" s="955"/>
    </row>
    <row r="336" spans="1:8">
      <c r="A336" s="956" t="s">
        <v>463</v>
      </c>
      <c r="B336" s="955"/>
      <c r="C336" s="955"/>
      <c r="D336" s="955"/>
      <c r="E336" s="955"/>
      <c r="F336" s="955"/>
      <c r="G336" s="955"/>
      <c r="H336" s="955"/>
    </row>
    <row r="337" spans="1:8">
      <c r="A337" s="956" t="s">
        <v>464</v>
      </c>
      <c r="B337" s="955"/>
      <c r="C337" s="955"/>
      <c r="D337" s="955"/>
      <c r="E337" s="955"/>
      <c r="F337" s="955"/>
      <c r="G337" s="955"/>
      <c r="H337" s="955"/>
    </row>
    <row r="338" spans="1:8">
      <c r="A338" s="956" t="s">
        <v>465</v>
      </c>
      <c r="B338" s="955"/>
      <c r="C338" s="955"/>
      <c r="D338" s="955"/>
      <c r="E338" s="955"/>
      <c r="F338" s="955"/>
      <c r="G338" s="955"/>
      <c r="H338" s="955"/>
    </row>
    <row r="339" spans="1:8">
      <c r="A339" s="956" t="s">
        <v>466</v>
      </c>
      <c r="B339" s="955"/>
      <c r="C339" s="955"/>
      <c r="D339" s="955"/>
      <c r="E339" s="955"/>
      <c r="F339" s="955"/>
      <c r="G339" s="955"/>
      <c r="H339" s="955"/>
    </row>
    <row r="340" spans="1:8">
      <c r="A340" s="956" t="s">
        <v>467</v>
      </c>
      <c r="B340" s="955"/>
      <c r="C340" s="955"/>
      <c r="D340" s="955"/>
      <c r="E340" s="955"/>
      <c r="F340" s="955"/>
      <c r="G340" s="955"/>
      <c r="H340" s="955"/>
    </row>
    <row r="341" spans="1:8">
      <c r="A341" s="956" t="s">
        <v>468</v>
      </c>
      <c r="B341" s="955"/>
      <c r="C341" s="955"/>
      <c r="D341" s="955"/>
      <c r="E341" s="955"/>
      <c r="F341" s="955"/>
      <c r="G341" s="955"/>
      <c r="H341" s="955"/>
    </row>
    <row r="342" spans="1:8">
      <c r="A342" s="956" t="s">
        <v>469</v>
      </c>
      <c r="B342" s="955"/>
      <c r="C342" s="955"/>
      <c r="D342" s="955"/>
      <c r="E342" s="955"/>
      <c r="F342" s="955"/>
      <c r="G342" s="955"/>
      <c r="H342" s="955"/>
    </row>
    <row r="343" spans="1:8">
      <c r="A343" s="956" t="s">
        <v>470</v>
      </c>
      <c r="B343" s="955"/>
      <c r="C343" s="955"/>
      <c r="D343" s="955"/>
      <c r="E343" s="955"/>
      <c r="F343" s="955"/>
      <c r="G343" s="955"/>
      <c r="H343" s="955"/>
    </row>
    <row r="344" spans="1:8">
      <c r="A344" s="956" t="s">
        <v>471</v>
      </c>
      <c r="B344" s="955"/>
      <c r="C344" s="955"/>
      <c r="D344" s="955"/>
      <c r="E344" s="955"/>
      <c r="F344" s="955"/>
      <c r="G344" s="955"/>
      <c r="H344" s="955"/>
    </row>
    <row r="345" spans="1:8">
      <c r="A345" s="956" t="s">
        <v>472</v>
      </c>
      <c r="B345" s="955"/>
      <c r="C345" s="955"/>
      <c r="D345" s="955"/>
      <c r="E345" s="955"/>
      <c r="F345" s="955"/>
      <c r="G345" s="955"/>
      <c r="H345" s="955"/>
    </row>
    <row r="346" spans="1:8">
      <c r="A346" s="956" t="s">
        <v>473</v>
      </c>
      <c r="B346" s="955"/>
      <c r="C346" s="955"/>
      <c r="D346" s="955"/>
      <c r="E346" s="955"/>
      <c r="F346" s="955"/>
      <c r="G346" s="955"/>
      <c r="H346" s="955"/>
    </row>
    <row r="347" spans="1:8">
      <c r="A347" s="956" t="s">
        <v>474</v>
      </c>
      <c r="B347" s="955"/>
      <c r="C347" s="955"/>
      <c r="D347" s="955"/>
      <c r="E347" s="955"/>
      <c r="F347" s="955"/>
      <c r="G347" s="955"/>
      <c r="H347" s="955"/>
    </row>
    <row r="348" spans="1:8">
      <c r="A348" s="956" t="s">
        <v>475</v>
      </c>
      <c r="B348" s="955"/>
      <c r="C348" s="955"/>
      <c r="D348" s="955"/>
      <c r="E348" s="955"/>
      <c r="F348" s="955"/>
      <c r="G348" s="955"/>
      <c r="H348" s="955"/>
    </row>
    <row r="349" spans="1:8">
      <c r="A349" s="956" t="s">
        <v>476</v>
      </c>
      <c r="B349" s="955"/>
      <c r="C349" s="955"/>
      <c r="D349" s="955"/>
      <c r="E349" s="955"/>
      <c r="F349" s="955"/>
      <c r="G349" s="955"/>
      <c r="H349" s="955"/>
    </row>
    <row r="350" spans="1:8">
      <c r="A350" s="956" t="s">
        <v>477</v>
      </c>
      <c r="B350" s="955"/>
      <c r="C350" s="955"/>
      <c r="D350" s="955"/>
      <c r="E350" s="955"/>
      <c r="F350" s="955"/>
      <c r="G350" s="955"/>
      <c r="H350" s="955"/>
    </row>
    <row r="351" spans="1:8">
      <c r="A351" s="956" t="s">
        <v>478</v>
      </c>
      <c r="B351" s="955"/>
      <c r="C351" s="955"/>
      <c r="D351" s="955"/>
      <c r="E351" s="955"/>
      <c r="F351" s="955"/>
      <c r="G351" s="955"/>
      <c r="H351" s="955"/>
    </row>
    <row r="352" spans="1:8">
      <c r="A352" s="956" t="s">
        <v>479</v>
      </c>
      <c r="B352" s="955"/>
      <c r="C352" s="955"/>
      <c r="D352" s="955"/>
      <c r="E352" s="955"/>
      <c r="F352" s="955"/>
      <c r="G352" s="955"/>
      <c r="H352" s="955"/>
    </row>
    <row r="353" spans="1:8">
      <c r="A353" s="956" t="s">
        <v>480</v>
      </c>
      <c r="B353" s="955"/>
      <c r="C353" s="955"/>
      <c r="D353" s="955"/>
      <c r="E353" s="955"/>
      <c r="F353" s="955"/>
      <c r="G353" s="955"/>
      <c r="H353" s="955"/>
    </row>
    <row r="354" spans="1:8">
      <c r="A354" s="956" t="s">
        <v>481</v>
      </c>
      <c r="B354" s="955"/>
      <c r="C354" s="955"/>
      <c r="D354" s="955"/>
      <c r="E354" s="955"/>
      <c r="F354" s="955"/>
      <c r="G354" s="955"/>
      <c r="H354" s="955"/>
    </row>
    <row r="355" spans="1:8">
      <c r="A355" s="956" t="s">
        <v>482</v>
      </c>
      <c r="B355" s="955"/>
      <c r="C355" s="955"/>
      <c r="D355" s="955"/>
      <c r="E355" s="955"/>
      <c r="F355" s="955"/>
      <c r="G355" s="955"/>
      <c r="H355" s="955"/>
    </row>
    <row r="356" spans="1:8">
      <c r="A356" s="956" t="s">
        <v>483</v>
      </c>
      <c r="B356" s="955"/>
      <c r="C356" s="955"/>
      <c r="D356" s="955"/>
      <c r="E356" s="955"/>
      <c r="F356" s="955"/>
      <c r="G356" s="955"/>
      <c r="H356" s="955"/>
    </row>
    <row r="357" spans="1:8">
      <c r="A357" s="956" t="s">
        <v>484</v>
      </c>
      <c r="B357" s="955"/>
      <c r="C357" s="955"/>
      <c r="D357" s="955"/>
      <c r="E357" s="955"/>
      <c r="F357" s="955"/>
      <c r="G357" s="955"/>
      <c r="H357" s="955"/>
    </row>
    <row r="358" spans="1:8">
      <c r="A358" s="956" t="s">
        <v>485</v>
      </c>
      <c r="B358" s="955"/>
      <c r="C358" s="955"/>
      <c r="D358" s="955"/>
      <c r="E358" s="955"/>
      <c r="F358" s="955"/>
      <c r="G358" s="955"/>
      <c r="H358" s="955"/>
    </row>
    <row r="359" spans="1:8">
      <c r="A359" s="956" t="s">
        <v>486</v>
      </c>
      <c r="B359" s="955"/>
      <c r="C359" s="955"/>
      <c r="D359" s="955"/>
      <c r="E359" s="955"/>
      <c r="F359" s="955"/>
      <c r="G359" s="955"/>
      <c r="H359" s="955"/>
    </row>
    <row r="360" spans="1:8">
      <c r="A360" s="955"/>
      <c r="B360" s="955"/>
      <c r="C360" s="955"/>
      <c r="D360" s="955"/>
      <c r="E360" s="955"/>
      <c r="F360" s="955"/>
      <c r="G360" s="955"/>
      <c r="H360" s="955"/>
    </row>
    <row r="361" spans="1:8">
      <c r="A361" s="956" t="s">
        <v>444</v>
      </c>
      <c r="B361" s="955"/>
      <c r="C361" s="955"/>
      <c r="D361" s="955"/>
      <c r="E361" s="955"/>
      <c r="F361" s="955"/>
      <c r="G361" s="955"/>
      <c r="H361" s="955"/>
    </row>
    <row r="362" spans="1:8">
      <c r="A362" s="956" t="s">
        <v>448</v>
      </c>
      <c r="B362" s="955"/>
      <c r="C362" s="955"/>
      <c r="D362" s="955"/>
      <c r="E362" s="955"/>
      <c r="F362" s="955"/>
      <c r="G362" s="955"/>
      <c r="H362" s="955"/>
    </row>
    <row r="363" spans="1:8">
      <c r="A363" s="956" t="s">
        <v>449</v>
      </c>
      <c r="B363" s="955"/>
      <c r="C363" s="955"/>
      <c r="D363" s="955"/>
      <c r="E363" s="955"/>
      <c r="F363" s="955"/>
      <c r="G363" s="955"/>
      <c r="H363" s="955"/>
    </row>
    <row r="364" spans="1:8">
      <c r="A364" s="956" t="s">
        <v>450</v>
      </c>
      <c r="B364" s="955"/>
      <c r="C364" s="955"/>
      <c r="D364" s="955"/>
      <c r="E364" s="955"/>
      <c r="F364" s="955"/>
      <c r="G364" s="955"/>
      <c r="H364" s="955"/>
    </row>
    <row r="365" spans="1:8">
      <c r="A365" s="956" t="s">
        <v>451</v>
      </c>
      <c r="B365" s="955"/>
      <c r="C365" s="955"/>
      <c r="D365" s="955"/>
      <c r="E365" s="955"/>
      <c r="F365" s="955"/>
      <c r="G365" s="955"/>
      <c r="H365" s="955"/>
    </row>
    <row r="366" spans="1:8">
      <c r="A366" s="955"/>
      <c r="B366" s="955"/>
      <c r="C366" s="955"/>
      <c r="D366" s="955"/>
      <c r="E366" s="955"/>
      <c r="F366" s="955"/>
      <c r="G366" s="955"/>
      <c r="H366" s="955"/>
    </row>
    <row r="367" spans="1:8">
      <c r="A367" s="956" t="s">
        <v>444</v>
      </c>
      <c r="B367" s="955"/>
      <c r="C367" s="955"/>
      <c r="D367" s="955"/>
      <c r="E367" s="955"/>
      <c r="F367" s="955"/>
      <c r="G367" s="955"/>
      <c r="H367" s="955"/>
    </row>
    <row r="368" spans="1:8">
      <c r="A368" s="956" t="s">
        <v>445</v>
      </c>
      <c r="B368" s="955"/>
      <c r="C368" s="955"/>
      <c r="D368" s="955"/>
      <c r="E368" s="955"/>
      <c r="F368" s="955"/>
      <c r="G368" s="955"/>
      <c r="H368" s="955"/>
    </row>
    <row r="369" spans="1:8">
      <c r="A369" s="956" t="s">
        <v>446</v>
      </c>
      <c r="B369" s="955"/>
      <c r="C369" s="955"/>
      <c r="D369" s="955"/>
      <c r="E369" s="955"/>
      <c r="F369" s="955"/>
      <c r="G369" s="955"/>
      <c r="H369" s="955"/>
    </row>
    <row r="370" spans="1:8">
      <c r="A370" s="956" t="s">
        <v>447</v>
      </c>
      <c r="B370" s="955"/>
      <c r="C370" s="955"/>
      <c r="D370" s="955"/>
      <c r="E370" s="955"/>
      <c r="F370" s="955"/>
      <c r="G370" s="955"/>
      <c r="H370" s="955"/>
    </row>
    <row r="371" spans="1:8">
      <c r="A371" s="955"/>
      <c r="B371" s="955"/>
      <c r="C371" s="955"/>
      <c r="D371" s="955"/>
      <c r="E371" s="955"/>
      <c r="F371" s="955"/>
      <c r="G371" s="955"/>
      <c r="H371" s="955"/>
    </row>
    <row r="372" spans="1:8">
      <c r="A372" s="956" t="s">
        <v>438</v>
      </c>
      <c r="B372" s="955"/>
      <c r="C372" s="955"/>
      <c r="D372" s="955"/>
      <c r="E372" s="955"/>
      <c r="F372" s="955"/>
      <c r="G372" s="955"/>
      <c r="H372" s="955"/>
    </row>
    <row r="373" spans="1:8">
      <c r="A373" s="956" t="s">
        <v>439</v>
      </c>
      <c r="B373" s="955"/>
      <c r="C373" s="955"/>
      <c r="D373" s="955"/>
      <c r="E373" s="955"/>
      <c r="F373" s="955"/>
      <c r="G373" s="955"/>
      <c r="H373" s="955"/>
    </row>
    <row r="374" spans="1:8">
      <c r="A374" s="956" t="s">
        <v>440</v>
      </c>
      <c r="B374" s="955"/>
      <c r="C374" s="955"/>
      <c r="D374" s="955"/>
      <c r="E374" s="955"/>
      <c r="F374" s="955"/>
      <c r="G374" s="955"/>
      <c r="H374" s="955"/>
    </row>
    <row r="375" spans="1:8">
      <c r="A375" s="956" t="s">
        <v>441</v>
      </c>
      <c r="B375" s="955"/>
      <c r="C375" s="955"/>
      <c r="D375" s="955"/>
      <c r="E375" s="955"/>
      <c r="F375" s="955"/>
      <c r="G375" s="955"/>
      <c r="H375" s="955"/>
    </row>
    <row r="376" spans="1:8">
      <c r="A376" s="956" t="s">
        <v>442</v>
      </c>
      <c r="B376" s="955"/>
      <c r="C376" s="955"/>
      <c r="D376" s="955"/>
      <c r="E376" s="955"/>
      <c r="F376" s="955"/>
      <c r="G376" s="955"/>
      <c r="H376" s="955"/>
    </row>
    <row r="377" spans="1:8">
      <c r="A377" s="956" t="s">
        <v>443</v>
      </c>
      <c r="B377" s="955"/>
      <c r="C377" s="955"/>
      <c r="D377" s="955"/>
      <c r="E377" s="955"/>
      <c r="F377" s="955"/>
      <c r="G377" s="955"/>
      <c r="H377" s="955"/>
    </row>
    <row r="378" spans="1:8">
      <c r="A378" s="955"/>
      <c r="B378" s="955"/>
      <c r="C378" s="955"/>
      <c r="D378" s="955"/>
      <c r="E378" s="955"/>
      <c r="F378" s="955"/>
      <c r="G378" s="955"/>
      <c r="H378" s="955"/>
    </row>
    <row r="379" spans="1:8">
      <c r="A379" s="956" t="s">
        <v>433</v>
      </c>
      <c r="B379" s="955"/>
      <c r="C379" s="955"/>
      <c r="D379" s="955"/>
      <c r="E379" s="955"/>
      <c r="F379" s="955"/>
      <c r="G379" s="955"/>
      <c r="H379" s="955"/>
    </row>
    <row r="380" spans="1:8">
      <c r="A380" s="956" t="s">
        <v>434</v>
      </c>
      <c r="B380" s="955"/>
      <c r="C380" s="955"/>
      <c r="D380" s="955"/>
      <c r="E380" s="955"/>
      <c r="F380" s="955"/>
      <c r="G380" s="955"/>
      <c r="H380" s="955"/>
    </row>
    <row r="381" spans="1:8">
      <c r="A381" s="956" t="s">
        <v>435</v>
      </c>
      <c r="B381" s="955"/>
      <c r="C381" s="955"/>
      <c r="D381" s="955"/>
      <c r="E381" s="955"/>
      <c r="F381" s="955"/>
      <c r="G381" s="955"/>
      <c r="H381" s="955"/>
    </row>
    <row r="382" spans="1:8">
      <c r="A382" s="956" t="s">
        <v>436</v>
      </c>
      <c r="B382" s="955"/>
      <c r="C382" s="955"/>
      <c r="D382" s="955"/>
      <c r="E382" s="955"/>
      <c r="F382" s="955"/>
      <c r="G382" s="955"/>
      <c r="H382" s="955"/>
    </row>
    <row r="383" spans="1:8">
      <c r="A383" s="956" t="s">
        <v>437</v>
      </c>
      <c r="B383" s="955"/>
      <c r="C383" s="955"/>
      <c r="D383" s="955"/>
      <c r="E383" s="955"/>
      <c r="F383" s="955"/>
      <c r="G383" s="955"/>
      <c r="H383" s="955"/>
    </row>
    <row r="384" spans="1:8">
      <c r="A384" s="955"/>
      <c r="B384" s="955"/>
      <c r="C384" s="955"/>
      <c r="D384" s="955"/>
      <c r="E384" s="955"/>
      <c r="F384" s="955"/>
      <c r="G384" s="955"/>
      <c r="H384" s="955"/>
    </row>
    <row r="385" spans="1:8">
      <c r="A385" s="956" t="s">
        <v>431</v>
      </c>
      <c r="B385" s="955"/>
      <c r="C385" s="955"/>
      <c r="D385" s="955"/>
      <c r="E385" s="955"/>
      <c r="F385" s="955"/>
      <c r="G385" s="955"/>
      <c r="H385" s="955"/>
    </row>
    <row r="386" spans="1:8">
      <c r="A386" s="956" t="s">
        <v>432</v>
      </c>
      <c r="B386" s="955"/>
      <c r="C386" s="955"/>
      <c r="D386" s="955"/>
      <c r="E386" s="955"/>
      <c r="F386" s="955"/>
      <c r="G386" s="955"/>
      <c r="H386" s="955"/>
    </row>
    <row r="388" spans="1:8">
      <c r="A388" s="951" t="s">
        <v>685</v>
      </c>
    </row>
  </sheetData>
  <mergeCells count="12">
    <mergeCell ref="A129:H129"/>
    <mergeCell ref="A130:H130"/>
    <mergeCell ref="B122:C122"/>
    <mergeCell ref="D122:F122"/>
    <mergeCell ref="G122:H122"/>
    <mergeCell ref="A108:H108"/>
    <mergeCell ref="A109:H109"/>
    <mergeCell ref="A110:H110"/>
    <mergeCell ref="A111:H111"/>
    <mergeCell ref="A113:H113"/>
    <mergeCell ref="A114:H114"/>
    <mergeCell ref="A121:H121"/>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16"/>
  <sheetViews>
    <sheetView workbookViewId="0"/>
  </sheetViews>
  <sheetFormatPr defaultRowHeight="12"/>
  <sheetData>
    <row r="1" spans="1:2">
      <c r="A1" t="s">
        <v>759</v>
      </c>
      <c r="B1" t="s">
        <v>760</v>
      </c>
    </row>
    <row r="2" spans="1:2">
      <c r="A2" s="2" t="s">
        <v>761</v>
      </c>
      <c r="B2">
        <v>-1</v>
      </c>
    </row>
    <row r="3" spans="1:2">
      <c r="A3" s="2" t="s">
        <v>762</v>
      </c>
      <c r="B3">
        <v>2</v>
      </c>
    </row>
    <row r="4" spans="1:2">
      <c r="A4" s="2" t="s">
        <v>763</v>
      </c>
      <c r="B4">
        <v>-1</v>
      </c>
    </row>
    <row r="5" spans="1:2">
      <c r="A5" s="2" t="s">
        <v>232</v>
      </c>
      <c r="B5">
        <v>-1</v>
      </c>
    </row>
    <row r="6" spans="1:2">
      <c r="A6" s="2" t="s">
        <v>235</v>
      </c>
      <c r="B6">
        <v>-1</v>
      </c>
    </row>
    <row r="7" spans="1:2">
      <c r="A7" s="2" t="s">
        <v>764</v>
      </c>
      <c r="B7">
        <v>-1</v>
      </c>
    </row>
    <row r="8" spans="1:2">
      <c r="A8" s="2" t="s">
        <v>765</v>
      </c>
      <c r="B8">
        <v>-1</v>
      </c>
    </row>
    <row r="9" spans="1:2">
      <c r="A9" s="2" t="s">
        <v>766</v>
      </c>
      <c r="B9">
        <v>2</v>
      </c>
    </row>
    <row r="10" spans="1:2">
      <c r="A10" s="2" t="s">
        <v>767</v>
      </c>
      <c r="B10">
        <v>2</v>
      </c>
    </row>
    <row r="11" spans="1:2">
      <c r="A11" s="2" t="s">
        <v>768</v>
      </c>
      <c r="B11">
        <v>-1</v>
      </c>
    </row>
    <row r="12" spans="1:2">
      <c r="A12" s="2" t="s">
        <v>769</v>
      </c>
      <c r="B12">
        <v>-1</v>
      </c>
    </row>
    <row r="13" spans="1:2">
      <c r="A13" s="2" t="s">
        <v>770</v>
      </c>
      <c r="B13">
        <v>-1</v>
      </c>
    </row>
    <row r="14" spans="1:2">
      <c r="A14" s="2" t="s">
        <v>771</v>
      </c>
      <c r="B14">
        <v>-1</v>
      </c>
    </row>
    <row r="15" spans="1:2">
      <c r="A15" s="2" t="s">
        <v>772</v>
      </c>
      <c r="B15">
        <v>-1</v>
      </c>
    </row>
    <row r="16" spans="1:2">
      <c r="A16" s="2" t="s">
        <v>773</v>
      </c>
      <c r="B16">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1:B11"/>
  <sheetViews>
    <sheetView showGridLines="0" showRowColHeaders="0" workbookViewId="0">
      <selection activeCell="N1" sqref="N1"/>
    </sheetView>
  </sheetViews>
  <sheetFormatPr defaultRowHeight="12.75"/>
  <cols>
    <col min="1" max="1" width="9.140625" style="1"/>
    <col min="2" max="2" width="88.28515625" style="1" customWidth="1"/>
    <col min="3" max="257" width="9.140625" style="1"/>
    <col min="258" max="258" width="88.28515625" style="1" customWidth="1"/>
    <col min="259" max="513" width="9.140625" style="1"/>
    <col min="514" max="514" width="88.28515625" style="1" customWidth="1"/>
    <col min="515" max="769" width="9.140625" style="1"/>
    <col min="770" max="770" width="88.28515625" style="1" customWidth="1"/>
    <col min="771" max="1025" width="9.140625" style="1"/>
    <col min="1026" max="1026" width="88.28515625" style="1" customWidth="1"/>
    <col min="1027" max="1281" width="9.140625" style="1"/>
    <col min="1282" max="1282" width="88.28515625" style="1" customWidth="1"/>
    <col min="1283" max="1537" width="9.140625" style="1"/>
    <col min="1538" max="1538" width="88.28515625" style="1" customWidth="1"/>
    <col min="1539" max="1793" width="9.140625" style="1"/>
    <col min="1794" max="1794" width="88.28515625" style="1" customWidth="1"/>
    <col min="1795" max="2049" width="9.140625" style="1"/>
    <col min="2050" max="2050" width="88.28515625" style="1" customWidth="1"/>
    <col min="2051" max="2305" width="9.140625" style="1"/>
    <col min="2306" max="2306" width="88.28515625" style="1" customWidth="1"/>
    <col min="2307" max="2561" width="9.140625" style="1"/>
    <col min="2562" max="2562" width="88.28515625" style="1" customWidth="1"/>
    <col min="2563" max="2817" width="9.140625" style="1"/>
    <col min="2818" max="2818" width="88.28515625" style="1" customWidth="1"/>
    <col min="2819" max="3073" width="9.140625" style="1"/>
    <col min="3074" max="3074" width="88.28515625" style="1" customWidth="1"/>
    <col min="3075" max="3329" width="9.140625" style="1"/>
    <col min="3330" max="3330" width="88.28515625" style="1" customWidth="1"/>
    <col min="3331" max="3585" width="9.140625" style="1"/>
    <col min="3586" max="3586" width="88.28515625" style="1" customWidth="1"/>
    <col min="3587" max="3841" width="9.140625" style="1"/>
    <col min="3842" max="3842" width="88.28515625" style="1" customWidth="1"/>
    <col min="3843" max="4097" width="9.140625" style="1"/>
    <col min="4098" max="4098" width="88.28515625" style="1" customWidth="1"/>
    <col min="4099" max="4353" width="9.140625" style="1"/>
    <col min="4354" max="4354" width="88.28515625" style="1" customWidth="1"/>
    <col min="4355" max="4609" width="9.140625" style="1"/>
    <col min="4610" max="4610" width="88.28515625" style="1" customWidth="1"/>
    <col min="4611" max="4865" width="9.140625" style="1"/>
    <col min="4866" max="4866" width="88.28515625" style="1" customWidth="1"/>
    <col min="4867" max="5121" width="9.140625" style="1"/>
    <col min="5122" max="5122" width="88.28515625" style="1" customWidth="1"/>
    <col min="5123" max="5377" width="9.140625" style="1"/>
    <col min="5378" max="5378" width="88.28515625" style="1" customWidth="1"/>
    <col min="5379" max="5633" width="9.140625" style="1"/>
    <col min="5634" max="5634" width="88.28515625" style="1" customWidth="1"/>
    <col min="5635" max="5889" width="9.140625" style="1"/>
    <col min="5890" max="5890" width="88.28515625" style="1" customWidth="1"/>
    <col min="5891" max="6145" width="9.140625" style="1"/>
    <col min="6146" max="6146" width="88.28515625" style="1" customWidth="1"/>
    <col min="6147" max="6401" width="9.140625" style="1"/>
    <col min="6402" max="6402" width="88.28515625" style="1" customWidth="1"/>
    <col min="6403" max="6657" width="9.140625" style="1"/>
    <col min="6658" max="6658" width="88.28515625" style="1" customWidth="1"/>
    <col min="6659" max="6913" width="9.140625" style="1"/>
    <col min="6914" max="6914" width="88.28515625" style="1" customWidth="1"/>
    <col min="6915" max="7169" width="9.140625" style="1"/>
    <col min="7170" max="7170" width="88.28515625" style="1" customWidth="1"/>
    <col min="7171" max="7425" width="9.140625" style="1"/>
    <col min="7426" max="7426" width="88.28515625" style="1" customWidth="1"/>
    <col min="7427" max="7681" width="9.140625" style="1"/>
    <col min="7682" max="7682" width="88.28515625" style="1" customWidth="1"/>
    <col min="7683" max="7937" width="9.140625" style="1"/>
    <col min="7938" max="7938" width="88.28515625" style="1" customWidth="1"/>
    <col min="7939" max="8193" width="9.140625" style="1"/>
    <col min="8194" max="8194" width="88.28515625" style="1" customWidth="1"/>
    <col min="8195" max="8449" width="9.140625" style="1"/>
    <col min="8450" max="8450" width="88.28515625" style="1" customWidth="1"/>
    <col min="8451" max="8705" width="9.140625" style="1"/>
    <col min="8706" max="8706" width="88.28515625" style="1" customWidth="1"/>
    <col min="8707" max="8961" width="9.140625" style="1"/>
    <col min="8962" max="8962" width="88.28515625" style="1" customWidth="1"/>
    <col min="8963" max="9217" width="9.140625" style="1"/>
    <col min="9218" max="9218" width="88.28515625" style="1" customWidth="1"/>
    <col min="9219" max="9473" width="9.140625" style="1"/>
    <col min="9474" max="9474" width="88.28515625" style="1" customWidth="1"/>
    <col min="9475" max="9729" width="9.140625" style="1"/>
    <col min="9730" max="9730" width="88.28515625" style="1" customWidth="1"/>
    <col min="9731" max="9985" width="9.140625" style="1"/>
    <col min="9986" max="9986" width="88.28515625" style="1" customWidth="1"/>
    <col min="9987" max="10241" width="9.140625" style="1"/>
    <col min="10242" max="10242" width="88.28515625" style="1" customWidth="1"/>
    <col min="10243" max="10497" width="9.140625" style="1"/>
    <col min="10498" max="10498" width="88.28515625" style="1" customWidth="1"/>
    <col min="10499" max="10753" width="9.140625" style="1"/>
    <col min="10754" max="10754" width="88.28515625" style="1" customWidth="1"/>
    <col min="10755" max="11009" width="9.140625" style="1"/>
    <col min="11010" max="11010" width="88.28515625" style="1" customWidth="1"/>
    <col min="11011" max="11265" width="9.140625" style="1"/>
    <col min="11266" max="11266" width="88.28515625" style="1" customWidth="1"/>
    <col min="11267" max="11521" width="9.140625" style="1"/>
    <col min="11522" max="11522" width="88.28515625" style="1" customWidth="1"/>
    <col min="11523" max="11777" width="9.140625" style="1"/>
    <col min="11778" max="11778" width="88.28515625" style="1" customWidth="1"/>
    <col min="11779" max="12033" width="9.140625" style="1"/>
    <col min="12034" max="12034" width="88.28515625" style="1" customWidth="1"/>
    <col min="12035" max="12289" width="9.140625" style="1"/>
    <col min="12290" max="12290" width="88.28515625" style="1" customWidth="1"/>
    <col min="12291" max="12545" width="9.140625" style="1"/>
    <col min="12546" max="12546" width="88.28515625" style="1" customWidth="1"/>
    <col min="12547" max="12801" width="9.140625" style="1"/>
    <col min="12802" max="12802" width="88.28515625" style="1" customWidth="1"/>
    <col min="12803" max="13057" width="9.140625" style="1"/>
    <col min="13058" max="13058" width="88.28515625" style="1" customWidth="1"/>
    <col min="13059" max="13313" width="9.140625" style="1"/>
    <col min="13314" max="13314" width="88.28515625" style="1" customWidth="1"/>
    <col min="13315" max="13569" width="9.140625" style="1"/>
    <col min="13570" max="13570" width="88.28515625" style="1" customWidth="1"/>
    <col min="13571" max="13825" width="9.140625" style="1"/>
    <col min="13826" max="13826" width="88.28515625" style="1" customWidth="1"/>
    <col min="13827" max="14081" width="9.140625" style="1"/>
    <col min="14082" max="14082" width="88.28515625" style="1" customWidth="1"/>
    <col min="14083" max="14337" width="9.140625" style="1"/>
    <col min="14338" max="14338" width="88.28515625" style="1" customWidth="1"/>
    <col min="14339" max="14593" width="9.140625" style="1"/>
    <col min="14594" max="14594" width="88.28515625" style="1" customWidth="1"/>
    <col min="14595" max="14849" width="9.140625" style="1"/>
    <col min="14850" max="14850" width="88.28515625" style="1" customWidth="1"/>
    <col min="14851" max="15105" width="9.140625" style="1"/>
    <col min="15106" max="15106" width="88.28515625" style="1" customWidth="1"/>
    <col min="15107" max="15361" width="9.140625" style="1"/>
    <col min="15362" max="15362" width="88.28515625" style="1" customWidth="1"/>
    <col min="15363" max="15617" width="9.140625" style="1"/>
    <col min="15618" max="15618" width="88.28515625" style="1" customWidth="1"/>
    <col min="15619" max="15873" width="9.140625" style="1"/>
    <col min="15874" max="15874" width="88.28515625" style="1" customWidth="1"/>
    <col min="15875" max="16129" width="9.140625" style="1"/>
    <col min="16130" max="16130" width="88.28515625" style="1" customWidth="1"/>
    <col min="16131" max="16384" width="9.140625" style="1"/>
  </cols>
  <sheetData>
    <row r="1" spans="2:2" ht="32.25" customHeight="1"/>
    <row r="2" spans="2:2" ht="72">
      <c r="B2" s="975" t="s">
        <v>752</v>
      </c>
    </row>
    <row r="3" spans="2:2" ht="72" hidden="1">
      <c r="B3" s="975" t="s">
        <v>753</v>
      </c>
    </row>
    <row r="4" spans="2:2" ht="18">
      <c r="B4" s="975"/>
    </row>
    <row r="5" spans="2:2" ht="54">
      <c r="B5" s="975" t="s">
        <v>754</v>
      </c>
    </row>
    <row r="6" spans="2:2" ht="7.5" customHeight="1">
      <c r="B6" s="975"/>
    </row>
    <row r="7" spans="2:2" ht="18">
      <c r="B7" s="976" t="s">
        <v>755</v>
      </c>
    </row>
    <row r="8" spans="2:2" ht="18">
      <c r="B8" s="976" t="s">
        <v>757</v>
      </c>
    </row>
    <row r="9" spans="2:2" ht="18">
      <c r="B9" s="976" t="s">
        <v>758</v>
      </c>
    </row>
    <row r="10" spans="2:2" ht="18">
      <c r="B10" s="977"/>
    </row>
    <row r="11" spans="2:2" ht="54">
      <c r="B11" s="978" t="s">
        <v>756</v>
      </c>
    </row>
  </sheetData>
  <dataConsolidate/>
  <pageMargins left="0.75" right="0.75" top="1" bottom="1" header="0.5" footer="0.5"/>
  <pageSetup orientation="portrait"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310017" r:id="rId4" name="Button 1">
              <controlPr defaultSize="0" print="0" autoFill="0" autoPict="0" macro="[0]!ApplyCircRefs">
                <anchor moveWithCells="1" sizeWithCells="1">
                  <from>
                    <xdr:col>1</xdr:col>
                    <xdr:colOff>0</xdr:colOff>
                    <xdr:row>11</xdr:row>
                    <xdr:rowOff>152400</xdr:rowOff>
                  </from>
                  <to>
                    <xdr:col>1</xdr:col>
                    <xdr:colOff>2819400</xdr:colOff>
                    <xdr:row>14</xdr:row>
                    <xdr:rowOff>152400</xdr:rowOff>
                  </to>
                </anchor>
              </controlPr>
            </control>
          </mc:Choice>
        </mc:AlternateContent>
        <mc:AlternateContent xmlns:mc="http://schemas.openxmlformats.org/markup-compatibility/2006">
          <mc:Choice Requires="x14">
            <control shapeId="4310018" r:id="rId5" name="Button 2">
              <controlPr defaultSize="0" print="0" autoFill="0" autoPict="0" macro="[0]!JustUnhideSheets">
                <anchor moveWithCells="1" sizeWithCells="1">
                  <from>
                    <xdr:col>1</xdr:col>
                    <xdr:colOff>3067050</xdr:colOff>
                    <xdr:row>11</xdr:row>
                    <xdr:rowOff>152400</xdr:rowOff>
                  </from>
                  <to>
                    <xdr:col>2</xdr:col>
                    <xdr:colOff>0</xdr:colOff>
                    <xdr:row>14</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2:O56"/>
  <sheetViews>
    <sheetView showGridLines="0" zoomScale="85" zoomScaleNormal="85" workbookViewId="0">
      <selection activeCell="E13" sqref="E13"/>
    </sheetView>
  </sheetViews>
  <sheetFormatPr defaultRowHeight="15"/>
  <cols>
    <col min="1" max="1" width="3.5703125" style="159" customWidth="1"/>
    <col min="2" max="15" width="10.5703125" style="159" customWidth="1"/>
    <col min="16" max="16" width="3.5703125" style="159" customWidth="1"/>
    <col min="17" max="16384" width="9.140625" style="159"/>
  </cols>
  <sheetData>
    <row r="2" spans="1:15">
      <c r="A2" s="156"/>
      <c r="B2" s="157" t="s">
        <v>212</v>
      </c>
      <c r="C2" s="5"/>
      <c r="D2" s="158"/>
      <c r="E2" s="158"/>
      <c r="F2" s="158"/>
      <c r="G2" s="158"/>
      <c r="H2" s="158"/>
      <c r="I2" s="158"/>
      <c r="J2" s="158"/>
      <c r="K2" s="158"/>
      <c r="L2" s="158"/>
      <c r="M2" s="158"/>
      <c r="N2" s="158"/>
      <c r="O2" s="158"/>
    </row>
    <row r="3" spans="1:15">
      <c r="A3" s="156"/>
      <c r="B3" s="160" t="s">
        <v>232</v>
      </c>
      <c r="C3" s="5"/>
      <c r="D3" s="158"/>
      <c r="E3" s="158"/>
      <c r="F3" s="158"/>
      <c r="G3" s="158"/>
      <c r="H3" s="158"/>
      <c r="I3" s="158"/>
      <c r="J3" s="158"/>
      <c r="K3" s="158"/>
      <c r="L3" s="158"/>
      <c r="M3" s="158"/>
      <c r="N3" s="158"/>
      <c r="O3" s="158"/>
    </row>
    <row r="4" spans="1:15" ht="15.75" thickBot="1">
      <c r="A4" s="161"/>
      <c r="B4" s="161"/>
      <c r="C4" s="161"/>
      <c r="D4" s="162"/>
      <c r="E4" s="162"/>
      <c r="F4" s="162"/>
      <c r="G4" s="162"/>
      <c r="H4" s="162"/>
      <c r="I4" s="162"/>
      <c r="J4" s="162"/>
      <c r="K4" s="162"/>
      <c r="L4" s="162"/>
      <c r="M4" s="162"/>
      <c r="N4" s="162"/>
      <c r="O4" s="162"/>
    </row>
    <row r="5" spans="1:15" ht="15.75" thickBot="1">
      <c r="A5" s="161"/>
      <c r="B5" s="163" t="s">
        <v>91</v>
      </c>
      <c r="C5" s="164"/>
      <c r="D5" s="165"/>
      <c r="E5" s="166">
        <v>165</v>
      </c>
      <c r="F5" s="162"/>
      <c r="G5" s="163" t="s">
        <v>92</v>
      </c>
      <c r="H5" s="164"/>
      <c r="I5" s="165"/>
      <c r="J5" s="166">
        <v>191</v>
      </c>
      <c r="K5" s="162"/>
      <c r="L5" s="163" t="s">
        <v>90</v>
      </c>
      <c r="M5" s="164"/>
      <c r="N5" s="165"/>
      <c r="O5" s="166">
        <v>241</v>
      </c>
    </row>
    <row r="6" spans="1:15" s="168" customFormat="1">
      <c r="A6" s="167"/>
      <c r="B6" s="168" t="s">
        <v>233</v>
      </c>
      <c r="C6" s="167"/>
      <c r="D6" s="169"/>
      <c r="E6" s="169">
        <f>E5/$E$12-1</f>
        <v>-0.1533251231527093</v>
      </c>
      <c r="F6" s="169"/>
      <c r="G6" s="168" t="s">
        <v>233</v>
      </c>
      <c r="H6" s="167"/>
      <c r="I6" s="169"/>
      <c r="J6" s="169">
        <f>J5/$E$12-1</f>
        <v>-1.9909688013136306E-2</v>
      </c>
      <c r="K6" s="169"/>
      <c r="L6" s="168" t="s">
        <v>233</v>
      </c>
      <c r="M6" s="167"/>
      <c r="N6" s="169"/>
      <c r="O6" s="169">
        <f>O5/$E$12-1</f>
        <v>0.23665845648604278</v>
      </c>
    </row>
    <row r="7" spans="1:15">
      <c r="A7" s="161"/>
      <c r="B7" s="161"/>
      <c r="C7" s="161"/>
      <c r="D7" s="162"/>
      <c r="E7" s="162"/>
      <c r="F7" s="162"/>
      <c r="G7" s="162"/>
      <c r="H7" s="162"/>
      <c r="I7" s="162"/>
      <c r="J7" s="162"/>
      <c r="K7" s="162"/>
      <c r="L7" s="162"/>
      <c r="M7" s="162"/>
      <c r="N7" s="162"/>
      <c r="O7" s="162"/>
    </row>
    <row r="8" spans="1:15">
      <c r="A8" s="161"/>
      <c r="B8" s="170" t="s">
        <v>234</v>
      </c>
      <c r="C8" s="171"/>
      <c r="D8" s="172"/>
      <c r="E8" s="172"/>
      <c r="F8" s="172"/>
      <c r="G8" s="172"/>
      <c r="H8" s="172"/>
      <c r="I8" s="172"/>
      <c r="J8" s="172"/>
      <c r="K8" s="172"/>
      <c r="L8" s="172"/>
      <c r="M8" s="172"/>
      <c r="N8" s="172"/>
      <c r="O8" s="172"/>
    </row>
    <row r="10" spans="1:15">
      <c r="E10" s="174" t="s">
        <v>335</v>
      </c>
      <c r="F10" s="174">
        <v>2017</v>
      </c>
      <c r="G10" s="174" t="s">
        <v>226</v>
      </c>
      <c r="K10" s="175" t="s">
        <v>236</v>
      </c>
      <c r="L10" s="174"/>
      <c r="M10" s="174">
        <v>2017</v>
      </c>
      <c r="N10" s="174" t="s">
        <v>226</v>
      </c>
      <c r="O10" s="174" t="s">
        <v>227</v>
      </c>
    </row>
    <row r="12" spans="1:15" s="176" customFormat="1" ht="15.75" thickBot="1">
      <c r="B12" s="159" t="s">
        <v>95</v>
      </c>
      <c r="C12" s="159"/>
      <c r="D12" s="159"/>
      <c r="E12" s="177">
        <v>194.88</v>
      </c>
      <c r="F12" s="178">
        <f>E12</f>
        <v>194.88</v>
      </c>
      <c r="G12" s="178">
        <f>F12</f>
        <v>194.88</v>
      </c>
      <c r="H12" s="159"/>
      <c r="I12" s="159"/>
      <c r="J12" s="159"/>
      <c r="K12" s="176" t="s">
        <v>343</v>
      </c>
    </row>
    <row r="13" spans="1:15" s="179" customFormat="1">
      <c r="B13" s="159" t="s">
        <v>238</v>
      </c>
      <c r="C13" s="159"/>
      <c r="D13" s="159"/>
      <c r="E13" s="180">
        <f>Financials!CU37</f>
        <v>68.5</v>
      </c>
      <c r="F13" s="180">
        <f>Financials!CU37</f>
        <v>68.5</v>
      </c>
      <c r="G13" s="180">
        <f>Financials!DY37</f>
        <v>67.403847342161839</v>
      </c>
      <c r="H13" s="159"/>
      <c r="I13" s="159"/>
      <c r="J13" s="159"/>
      <c r="K13" s="894" t="s">
        <v>239</v>
      </c>
      <c r="L13" s="886"/>
      <c r="M13" s="888">
        <f ca="1">E20/C26</f>
        <v>6.6429170576092975</v>
      </c>
      <c r="N13" s="888">
        <f>F20/C27</f>
        <v>6.1684787387915652</v>
      </c>
      <c r="O13" s="887">
        <f>G20/C28</f>
        <v>5.5915234245957599</v>
      </c>
    </row>
    <row r="14" spans="1:15" ht="15.75" thickBot="1">
      <c r="B14" s="183" t="s">
        <v>113</v>
      </c>
      <c r="C14" s="183"/>
      <c r="D14" s="183"/>
      <c r="E14" s="184">
        <f>E12*E13</f>
        <v>13349.279999999999</v>
      </c>
      <c r="F14" s="184">
        <f>F12*F13</f>
        <v>13349.279999999999</v>
      </c>
      <c r="G14" s="184">
        <f>G12*G13</f>
        <v>13135.661770040499</v>
      </c>
      <c r="K14" s="181" t="s">
        <v>237</v>
      </c>
      <c r="L14" s="173"/>
      <c r="M14" s="182">
        <f>E12/C40</f>
        <v>11.458176260825235</v>
      </c>
      <c r="N14" s="182">
        <f>F12/C41</f>
        <v>10.290614922477964</v>
      </c>
      <c r="O14" s="890">
        <f>G12/C42</f>
        <v>9.5364994818169251</v>
      </c>
    </row>
    <row r="15" spans="1:15" s="176" customFormat="1" ht="15.75" thickBot="1">
      <c r="B15" s="815" t="s">
        <v>356</v>
      </c>
      <c r="C15" s="159"/>
      <c r="D15" s="159"/>
      <c r="E15" s="180">
        <f>Financials!CU107</f>
        <v>1960.5</v>
      </c>
      <c r="F15" s="180">
        <f>Financials!DX107</f>
        <v>1960.5</v>
      </c>
      <c r="G15" s="180">
        <f>Financials!DY107</f>
        <v>1960.5</v>
      </c>
      <c r="H15" s="159"/>
      <c r="I15" s="159"/>
      <c r="J15" s="159"/>
      <c r="K15" s="185" t="s">
        <v>342</v>
      </c>
      <c r="L15" s="186"/>
      <c r="M15" s="187">
        <f ca="1">E12/C54</f>
        <v>11.354063604240283</v>
      </c>
      <c r="N15" s="187">
        <f>F12/C55</f>
        <v>10.930646965280491</v>
      </c>
      <c r="O15" s="891">
        <f>G12/C56</f>
        <v>10.820177351356502</v>
      </c>
    </row>
    <row r="16" spans="1:15" s="176" customFormat="1">
      <c r="B16" s="815" t="s">
        <v>357</v>
      </c>
      <c r="C16" s="159"/>
      <c r="D16" s="159"/>
      <c r="E16" s="180">
        <f>Financials!CU59</f>
        <v>1500.4</v>
      </c>
      <c r="F16" s="180">
        <f>Financials!DX59</f>
        <v>1500.4</v>
      </c>
      <c r="G16" s="180">
        <f>Financials!DY59</f>
        <v>2140.3585151354864</v>
      </c>
      <c r="H16" s="159"/>
      <c r="I16" s="159"/>
      <c r="J16" s="159"/>
    </row>
    <row r="17" spans="2:15" s="176" customFormat="1" ht="15.75" thickBot="1">
      <c r="B17" s="754" t="s">
        <v>358</v>
      </c>
      <c r="C17" s="159"/>
      <c r="D17" s="159"/>
      <c r="E17" s="180">
        <f>Financials!CU89</f>
        <v>153.4</v>
      </c>
      <c r="F17" s="180">
        <f>Financials!DX89</f>
        <v>153.4</v>
      </c>
      <c r="G17" s="180">
        <f>Financials!DY89</f>
        <v>153.4</v>
      </c>
      <c r="H17" s="159"/>
      <c r="I17" s="159"/>
      <c r="J17" s="159"/>
      <c r="K17" s="176" t="s">
        <v>344</v>
      </c>
      <c r="M17" s="889"/>
      <c r="N17" s="889"/>
    </row>
    <row r="18" spans="2:15" s="176" customFormat="1">
      <c r="B18" s="754" t="s">
        <v>359</v>
      </c>
      <c r="C18" s="159"/>
      <c r="D18" s="159"/>
      <c r="E18" s="879">
        <f>(119.8+84.2)*(1-0.22)</f>
        <v>159.12</v>
      </c>
      <c r="F18" s="881">
        <f>E18</f>
        <v>159.12</v>
      </c>
      <c r="G18" s="881">
        <f>F18</f>
        <v>159.12</v>
      </c>
      <c r="H18" s="159"/>
      <c r="I18" s="159"/>
      <c r="J18" s="159"/>
      <c r="K18" s="894" t="s">
        <v>239</v>
      </c>
      <c r="L18" s="886"/>
      <c r="M18" s="888">
        <f ca="1">E20/C32</f>
        <v>6.6429170576092975</v>
      </c>
      <c r="N18" s="888">
        <f>F20/C33</f>
        <v>6.2805118424554243</v>
      </c>
      <c r="O18" s="887">
        <f>G20/C34</f>
        <v>5.6861761246663178</v>
      </c>
    </row>
    <row r="19" spans="2:15" s="176" customFormat="1" ht="15.75" thickBot="1">
      <c r="B19" s="786" t="s">
        <v>360</v>
      </c>
      <c r="C19" s="159"/>
      <c r="D19" s="159"/>
      <c r="E19" s="880">
        <f>(56.6+41.2)*(1-0.22)*0.5</f>
        <v>38.142000000000003</v>
      </c>
      <c r="F19" s="881">
        <f>E19</f>
        <v>38.142000000000003</v>
      </c>
      <c r="G19" s="881">
        <f>F19</f>
        <v>38.142000000000003</v>
      </c>
      <c r="H19" s="159"/>
      <c r="I19" s="159"/>
      <c r="J19" s="159"/>
      <c r="K19" s="185" t="s">
        <v>237</v>
      </c>
      <c r="L19" s="186"/>
      <c r="M19" s="187">
        <f>E12/C46</f>
        <v>11.458176260825235</v>
      </c>
      <c r="N19" s="187">
        <f>F12/C47</f>
        <v>10.078609846917665</v>
      </c>
      <c r="O19" s="891">
        <f>G12/C48</f>
        <v>9.3719342117918618</v>
      </c>
    </row>
    <row r="20" spans="2:15" s="179" customFormat="1" ht="15.75" thickBot="1">
      <c r="B20" s="183" t="s">
        <v>105</v>
      </c>
      <c r="C20" s="183"/>
      <c r="D20" s="183"/>
      <c r="E20" s="184">
        <f>E14+E15-E16+E17+E18+E19</f>
        <v>14160.041999999999</v>
      </c>
      <c r="F20" s="184">
        <f>F14+F15-F16+F17+F18+F19</f>
        <v>14160.041999999999</v>
      </c>
      <c r="G20" s="184">
        <f>G14+G15-G16+G17+G18+G19</f>
        <v>13306.465254905012</v>
      </c>
      <c r="H20" s="159"/>
      <c r="I20" s="159"/>
      <c r="J20" s="159"/>
    </row>
    <row r="22" spans="2:15">
      <c r="B22" s="605" t="s">
        <v>239</v>
      </c>
      <c r="C22" s="606"/>
      <c r="D22" s="606"/>
      <c r="E22" s="606"/>
      <c r="F22" s="606"/>
      <c r="G22" s="606"/>
      <c r="H22" s="606"/>
      <c r="I22" s="606"/>
      <c r="J22" s="606"/>
      <c r="K22" s="606"/>
      <c r="L22" s="606"/>
      <c r="M22" s="606"/>
      <c r="N22" s="607" t="s">
        <v>241</v>
      </c>
      <c r="O22" s="608">
        <f ca="1">(Financials!EA51/Financials!DX51)^(1/3)-1</f>
        <v>3.7943451229477843E-2</v>
      </c>
    </row>
    <row r="24" spans="2:15">
      <c r="B24" s="188" t="s">
        <v>343</v>
      </c>
    </row>
    <row r="25" spans="2:15">
      <c r="B25" s="609"/>
      <c r="C25" s="610"/>
      <c r="D25" s="611">
        <v>4.5</v>
      </c>
      <c r="E25" s="610">
        <f t="shared" ref="E25:H25" si="0">D25+0.5</f>
        <v>5</v>
      </c>
      <c r="F25" s="610">
        <f t="shared" si="0"/>
        <v>5.5</v>
      </c>
      <c r="G25" s="610">
        <f t="shared" si="0"/>
        <v>6</v>
      </c>
      <c r="H25" s="610">
        <f t="shared" si="0"/>
        <v>6.5</v>
      </c>
      <c r="I25" s="611">
        <v>7</v>
      </c>
    </row>
    <row r="26" spans="2:15">
      <c r="B26" s="871">
        <v>2017</v>
      </c>
      <c r="C26" s="192">
        <f ca="1">Financials!$DX$51</f>
        <v>2131.6000000000031</v>
      </c>
      <c r="D26" s="191">
        <f t="shared" ref="D26:I26" ca="1" si="1">($C26*D$25-$E$15+$E$16-$E$17-$E$18-$E$19)/$E$13</f>
        <v>128.19617518248194</v>
      </c>
      <c r="E26" s="191">
        <f t="shared" ca="1" si="1"/>
        <v>143.75529927007321</v>
      </c>
      <c r="F26" s="191">
        <f t="shared" ca="1" si="1"/>
        <v>159.31442335766448</v>
      </c>
      <c r="G26" s="191">
        <f t="shared" ca="1" si="1"/>
        <v>174.87354744525572</v>
      </c>
      <c r="H26" s="191">
        <f t="shared" ca="1" si="1"/>
        <v>190.432671532847</v>
      </c>
      <c r="I26" s="191">
        <f t="shared" ca="1" si="1"/>
        <v>205.99179562043827</v>
      </c>
      <c r="J26" s="188"/>
    </row>
    <row r="27" spans="2:15">
      <c r="B27" s="189" t="s">
        <v>226</v>
      </c>
      <c r="C27" s="192">
        <f>Financials!$DY$51</f>
        <v>2295.548481176093</v>
      </c>
      <c r="D27" s="191">
        <f t="shared" ref="D27:I27" si="2">($C27*D$25-$F$15+$F$16-$F$17-$F$18-$F$19)/$F$13</f>
        <v>138.96651336193312</v>
      </c>
      <c r="E27" s="191">
        <f t="shared" si="2"/>
        <v>155.72234169168561</v>
      </c>
      <c r="F27" s="191">
        <f t="shared" si="2"/>
        <v>172.47817002143813</v>
      </c>
      <c r="G27" s="191">
        <f t="shared" si="2"/>
        <v>189.23399835119062</v>
      </c>
      <c r="H27" s="191">
        <f t="shared" si="2"/>
        <v>205.98982668094311</v>
      </c>
      <c r="I27" s="191">
        <f t="shared" si="2"/>
        <v>222.74565501069563</v>
      </c>
      <c r="J27" s="179"/>
    </row>
    <row r="28" spans="2:15">
      <c r="B28" s="189" t="s">
        <v>227</v>
      </c>
      <c r="C28" s="192">
        <f>Financials!$DZ$51</f>
        <v>2379.7566860532297</v>
      </c>
      <c r="D28" s="191">
        <f t="shared" ref="D28:I28" si="3">($C28*D$25-$G$15+$G$16-$G$17-$G$18-$G$19)/$G$13</f>
        <v>156.34273143015864</v>
      </c>
      <c r="E28" s="614">
        <f t="shared" si="3"/>
        <v>173.99570510963486</v>
      </c>
      <c r="F28" s="614">
        <f t="shared" si="3"/>
        <v>191.64867878911102</v>
      </c>
      <c r="G28" s="191">
        <f t="shared" si="3"/>
        <v>209.30165246858721</v>
      </c>
      <c r="H28" s="191">
        <f t="shared" si="3"/>
        <v>226.95462614806343</v>
      </c>
      <c r="I28" s="191">
        <f t="shared" si="3"/>
        <v>244.60759982753959</v>
      </c>
    </row>
    <row r="30" spans="2:15">
      <c r="B30" s="188" t="s">
        <v>344</v>
      </c>
    </row>
    <row r="31" spans="2:15">
      <c r="B31" s="609"/>
      <c r="C31" s="610"/>
      <c r="D31" s="610">
        <f t="shared" ref="D31:G31" si="4">D25</f>
        <v>4.5</v>
      </c>
      <c r="E31" s="610">
        <f t="shared" si="4"/>
        <v>5</v>
      </c>
      <c r="F31" s="610">
        <f t="shared" si="4"/>
        <v>5.5</v>
      </c>
      <c r="G31" s="610">
        <f t="shared" si="4"/>
        <v>6</v>
      </c>
      <c r="H31" s="610">
        <f t="shared" ref="H31:I31" si="5">H25</f>
        <v>6.5</v>
      </c>
      <c r="I31" s="610">
        <f t="shared" si="5"/>
        <v>7</v>
      </c>
    </row>
    <row r="32" spans="2:15">
      <c r="B32" s="871">
        <v>2017</v>
      </c>
      <c r="C32" s="925">
        <f ca="1">C26</f>
        <v>2131.6000000000031</v>
      </c>
      <c r="D32" s="191">
        <f t="shared" ref="D32:I32" ca="1" si="6">($C32*D$31-$E$15+$E$16-$E$17-$E$18-$E$19)/$E$13</f>
        <v>128.19617518248194</v>
      </c>
      <c r="E32" s="191">
        <f t="shared" ca="1" si="6"/>
        <v>143.75529927007321</v>
      </c>
      <c r="F32" s="191">
        <f t="shared" ca="1" si="6"/>
        <v>159.31442335766448</v>
      </c>
      <c r="G32" s="191">
        <f t="shared" ca="1" si="6"/>
        <v>174.87354744525572</v>
      </c>
      <c r="H32" s="191">
        <f t="shared" ca="1" si="6"/>
        <v>190.432671532847</v>
      </c>
      <c r="I32" s="191">
        <f t="shared" ca="1" si="6"/>
        <v>205.99179562043827</v>
      </c>
    </row>
    <row r="33" spans="2:15">
      <c r="B33" s="189" t="s">
        <v>226</v>
      </c>
      <c r="C33" s="612">
        <v>2254.6</v>
      </c>
      <c r="D33" s="191">
        <f t="shared" ref="D33:I33" si="7">($C33*D$31-$F$15+$F$16-$F$17-$F$18-$F$19)/$F$13</f>
        <v>136.27646715328464</v>
      </c>
      <c r="E33" s="191">
        <f t="shared" si="7"/>
        <v>152.73340145985401</v>
      </c>
      <c r="F33" s="191">
        <f t="shared" si="7"/>
        <v>169.19033576642335</v>
      </c>
      <c r="G33" s="191">
        <f t="shared" si="7"/>
        <v>185.64727007299268</v>
      </c>
      <c r="H33" s="191">
        <f t="shared" si="7"/>
        <v>202.10420437956202</v>
      </c>
      <c r="I33" s="191">
        <f t="shared" si="7"/>
        <v>218.56113868613136</v>
      </c>
    </row>
    <row r="34" spans="2:15">
      <c r="B34" s="189" t="s">
        <v>227</v>
      </c>
      <c r="C34" s="612">
        <v>2340.143</v>
      </c>
      <c r="D34" s="191">
        <f t="shared" ref="D34:I34" si="8">($C34*D$31-$G$15+$G$16-$G$17-$G$18-$G$19)/$G$13</f>
        <v>153.69805172315876</v>
      </c>
      <c r="E34" s="614">
        <f t="shared" si="8"/>
        <v>171.05717210185716</v>
      </c>
      <c r="F34" s="614">
        <f t="shared" si="8"/>
        <v>188.41629248055563</v>
      </c>
      <c r="G34" s="191">
        <f t="shared" si="8"/>
        <v>205.77541285925403</v>
      </c>
      <c r="H34" s="191">
        <f t="shared" si="8"/>
        <v>223.1345332379525</v>
      </c>
      <c r="I34" s="191">
        <f t="shared" si="8"/>
        <v>240.49365361665087</v>
      </c>
    </row>
    <row r="36" spans="2:15">
      <c r="B36" s="605" t="s">
        <v>237</v>
      </c>
      <c r="C36" s="606"/>
      <c r="D36" s="606"/>
      <c r="E36" s="606"/>
      <c r="F36" s="606"/>
      <c r="G36" s="606"/>
      <c r="H36" s="606"/>
      <c r="I36" s="606"/>
      <c r="J36" s="606"/>
      <c r="K36" s="606"/>
      <c r="L36" s="606"/>
      <c r="M36" s="606"/>
      <c r="N36" s="607" t="s">
        <v>241</v>
      </c>
      <c r="O36" s="608">
        <f>(Financials!EA41/Financials!DX41)^(1/3)-1</f>
        <v>7.940206217398349E-2</v>
      </c>
    </row>
    <row r="38" spans="2:15">
      <c r="B38" s="188" t="s">
        <v>343</v>
      </c>
    </row>
    <row r="39" spans="2:15">
      <c r="B39" s="609"/>
      <c r="C39" s="610"/>
      <c r="D39" s="611">
        <v>8</v>
      </c>
      <c r="E39" s="610">
        <f t="shared" ref="E39:K39" si="9">D39+0.5</f>
        <v>8.5</v>
      </c>
      <c r="F39" s="610">
        <f t="shared" si="9"/>
        <v>9</v>
      </c>
      <c r="G39" s="610">
        <f t="shared" si="9"/>
        <v>9.5</v>
      </c>
      <c r="H39" s="610">
        <f t="shared" si="9"/>
        <v>10</v>
      </c>
      <c r="I39" s="610">
        <f t="shared" si="9"/>
        <v>10.5</v>
      </c>
      <c r="J39" s="610">
        <f t="shared" si="9"/>
        <v>11</v>
      </c>
      <c r="K39" s="610">
        <f t="shared" si="9"/>
        <v>11.5</v>
      </c>
      <c r="L39" s="611">
        <v>12</v>
      </c>
    </row>
    <row r="40" spans="2:15">
      <c r="B40" s="871">
        <v>2017</v>
      </c>
      <c r="C40" s="190">
        <f>Financials!$DX$41</f>
        <v>17.007942238267194</v>
      </c>
      <c r="D40" s="191">
        <f t="shared" ref="D40:L42" si="10">$C40*D$39</f>
        <v>136.06353790613755</v>
      </c>
      <c r="E40" s="191">
        <f t="shared" si="10"/>
        <v>144.56750902527116</v>
      </c>
      <c r="F40" s="191">
        <f t="shared" si="10"/>
        <v>153.07148014440475</v>
      </c>
      <c r="G40" s="191">
        <f t="shared" si="10"/>
        <v>161.57545126353835</v>
      </c>
      <c r="H40" s="191">
        <f t="shared" si="10"/>
        <v>170.07942238267194</v>
      </c>
      <c r="I40" s="191">
        <f t="shared" si="10"/>
        <v>178.58339350180555</v>
      </c>
      <c r="J40" s="191">
        <f t="shared" si="10"/>
        <v>187.08736462093913</v>
      </c>
      <c r="K40" s="191">
        <f t="shared" si="10"/>
        <v>195.59133574007274</v>
      </c>
      <c r="L40" s="191">
        <f t="shared" si="10"/>
        <v>204.09530685920635</v>
      </c>
    </row>
    <row r="41" spans="2:15">
      <c r="B41" s="189" t="s">
        <v>226</v>
      </c>
      <c r="C41" s="190">
        <f>Financials!$DY$41</f>
        <v>18.937643811189584</v>
      </c>
      <c r="D41" s="191">
        <f t="shared" si="10"/>
        <v>151.50115048951668</v>
      </c>
      <c r="E41" s="191">
        <f t="shared" si="10"/>
        <v>160.96997239511145</v>
      </c>
      <c r="F41" s="191">
        <f t="shared" si="10"/>
        <v>170.43879430070626</v>
      </c>
      <c r="G41" s="191">
        <f t="shared" si="10"/>
        <v>179.90761620630104</v>
      </c>
      <c r="H41" s="191">
        <f t="shared" si="10"/>
        <v>189.37643811189585</v>
      </c>
      <c r="I41" s="191">
        <f t="shared" si="10"/>
        <v>198.84526001749063</v>
      </c>
      <c r="J41" s="191">
        <f t="shared" si="10"/>
        <v>208.31408192308544</v>
      </c>
      <c r="K41" s="191">
        <f t="shared" si="10"/>
        <v>217.78290382868022</v>
      </c>
      <c r="L41" s="191">
        <f t="shared" si="10"/>
        <v>227.251725734275</v>
      </c>
    </row>
    <row r="42" spans="2:15">
      <c r="B42" s="189" t="s">
        <v>227</v>
      </c>
      <c r="C42" s="190">
        <f>Financials!$DZ$41</f>
        <v>20.435171246176257</v>
      </c>
      <c r="D42" s="191">
        <f t="shared" si="10"/>
        <v>163.48136996941005</v>
      </c>
      <c r="E42" s="191">
        <f t="shared" si="10"/>
        <v>173.69895559249818</v>
      </c>
      <c r="F42" s="191">
        <f t="shared" si="10"/>
        <v>183.91654121558631</v>
      </c>
      <c r="G42" s="191">
        <f t="shared" si="10"/>
        <v>194.13412683867443</v>
      </c>
      <c r="H42" s="614">
        <f t="shared" si="10"/>
        <v>204.35171246176256</v>
      </c>
      <c r="I42" s="191">
        <f t="shared" si="10"/>
        <v>214.56929808485069</v>
      </c>
      <c r="J42" s="191">
        <f t="shared" si="10"/>
        <v>224.78688370793881</v>
      </c>
      <c r="K42" s="191">
        <f t="shared" si="10"/>
        <v>235.00446933102694</v>
      </c>
      <c r="L42" s="191">
        <f t="shared" si="10"/>
        <v>245.22205495411509</v>
      </c>
    </row>
    <row r="44" spans="2:15">
      <c r="B44" s="188" t="s">
        <v>344</v>
      </c>
    </row>
    <row r="45" spans="2:15">
      <c r="B45" s="609"/>
      <c r="C45" s="610"/>
      <c r="D45" s="610">
        <f t="shared" ref="D45:E45" si="11">D39</f>
        <v>8</v>
      </c>
      <c r="E45" s="610">
        <f t="shared" si="11"/>
        <v>8.5</v>
      </c>
      <c r="F45" s="610">
        <f t="shared" ref="F45" si="12">F39</f>
        <v>9</v>
      </c>
      <c r="G45" s="610">
        <f t="shared" ref="G45:K45" si="13">G39</f>
        <v>9.5</v>
      </c>
      <c r="H45" s="610">
        <f t="shared" si="13"/>
        <v>10</v>
      </c>
      <c r="I45" s="610">
        <f t="shared" si="13"/>
        <v>10.5</v>
      </c>
      <c r="J45" s="610">
        <f t="shared" si="13"/>
        <v>11</v>
      </c>
      <c r="K45" s="610">
        <f t="shared" si="13"/>
        <v>11.5</v>
      </c>
      <c r="L45" s="610">
        <f t="shared" ref="L45" si="14">L39</f>
        <v>12</v>
      </c>
    </row>
    <row r="46" spans="2:15">
      <c r="B46" s="871">
        <v>2017</v>
      </c>
      <c r="C46" s="926">
        <f>C40</f>
        <v>17.007942238267194</v>
      </c>
      <c r="D46" s="191">
        <f t="shared" ref="D46:L48" si="15">$C46*D$45</f>
        <v>136.06353790613755</v>
      </c>
      <c r="E46" s="191">
        <f t="shared" si="15"/>
        <v>144.56750902527116</v>
      </c>
      <c r="F46" s="191">
        <f t="shared" si="15"/>
        <v>153.07148014440475</v>
      </c>
      <c r="G46" s="191">
        <f t="shared" si="15"/>
        <v>161.57545126353835</v>
      </c>
      <c r="H46" s="191">
        <f t="shared" si="15"/>
        <v>170.07942238267194</v>
      </c>
      <c r="I46" s="191">
        <f t="shared" si="15"/>
        <v>178.58339350180555</v>
      </c>
      <c r="J46" s="191">
        <f t="shared" si="15"/>
        <v>187.08736462093913</v>
      </c>
      <c r="K46" s="191">
        <f t="shared" si="15"/>
        <v>195.59133574007274</v>
      </c>
      <c r="L46" s="191">
        <f t="shared" si="15"/>
        <v>204.09530685920635</v>
      </c>
    </row>
    <row r="47" spans="2:15">
      <c r="B47" s="189" t="s">
        <v>226</v>
      </c>
      <c r="C47" s="613">
        <v>19.336000000000002</v>
      </c>
      <c r="D47" s="191">
        <f t="shared" si="15"/>
        <v>154.68800000000002</v>
      </c>
      <c r="E47" s="191">
        <f t="shared" si="15"/>
        <v>164.35600000000002</v>
      </c>
      <c r="F47" s="191">
        <f t="shared" si="15"/>
        <v>174.02400000000003</v>
      </c>
      <c r="G47" s="191">
        <f t="shared" si="15"/>
        <v>183.69200000000001</v>
      </c>
      <c r="H47" s="191">
        <f t="shared" si="15"/>
        <v>193.36</v>
      </c>
      <c r="I47" s="191">
        <f t="shared" si="15"/>
        <v>203.02800000000002</v>
      </c>
      <c r="J47" s="191">
        <f t="shared" si="15"/>
        <v>212.69600000000003</v>
      </c>
      <c r="K47" s="191">
        <f t="shared" si="15"/>
        <v>222.36400000000003</v>
      </c>
      <c r="L47" s="191">
        <f t="shared" si="15"/>
        <v>232.03200000000004</v>
      </c>
    </row>
    <row r="48" spans="2:15">
      <c r="B48" s="189" t="s">
        <v>227</v>
      </c>
      <c r="C48" s="613">
        <v>20.794</v>
      </c>
      <c r="D48" s="191">
        <f t="shared" si="15"/>
        <v>166.352</v>
      </c>
      <c r="E48" s="191">
        <f t="shared" si="15"/>
        <v>176.749</v>
      </c>
      <c r="F48" s="191">
        <f t="shared" si="15"/>
        <v>187.14600000000002</v>
      </c>
      <c r="G48" s="191">
        <f t="shared" si="15"/>
        <v>197.54300000000001</v>
      </c>
      <c r="H48" s="614">
        <f t="shared" si="15"/>
        <v>207.94</v>
      </c>
      <c r="I48" s="191">
        <f t="shared" si="15"/>
        <v>218.33700000000002</v>
      </c>
      <c r="J48" s="191">
        <f t="shared" si="15"/>
        <v>228.73400000000001</v>
      </c>
      <c r="K48" s="191">
        <f t="shared" si="15"/>
        <v>239.131</v>
      </c>
      <c r="L48" s="191">
        <f t="shared" si="15"/>
        <v>249.52800000000002</v>
      </c>
    </row>
    <row r="50" spans="2:15" s="188" customFormat="1">
      <c r="B50" s="605" t="s">
        <v>342</v>
      </c>
      <c r="C50" s="606"/>
      <c r="D50" s="606"/>
      <c r="E50" s="606"/>
      <c r="F50" s="606"/>
      <c r="G50" s="606"/>
      <c r="H50" s="606"/>
      <c r="I50" s="606"/>
      <c r="J50" s="606"/>
      <c r="K50" s="606"/>
      <c r="L50" s="606"/>
      <c r="M50" s="606"/>
      <c r="N50" s="607" t="s">
        <v>241</v>
      </c>
      <c r="O50" s="608">
        <f ca="1">(Financials!EA156/Financials!DX156)^(1/3)-1</f>
        <v>-1.0808218898323063E-2</v>
      </c>
    </row>
    <row r="51" spans="2:15" s="179" customFormat="1">
      <c r="B51" s="159"/>
      <c r="C51" s="159"/>
      <c r="D51" s="159"/>
      <c r="E51" s="159"/>
      <c r="F51" s="159"/>
      <c r="G51" s="159"/>
      <c r="H51" s="159"/>
      <c r="I51" s="159"/>
      <c r="J51" s="159"/>
      <c r="K51" s="159"/>
      <c r="L51" s="159"/>
      <c r="M51" s="159"/>
      <c r="N51" s="159"/>
      <c r="O51" s="159"/>
    </row>
    <row r="52" spans="2:15">
      <c r="B52" s="188" t="s">
        <v>343</v>
      </c>
    </row>
    <row r="53" spans="2:15">
      <c r="B53" s="609"/>
      <c r="C53" s="610"/>
      <c r="D53" s="611">
        <v>10</v>
      </c>
      <c r="E53" s="610">
        <f t="shared" ref="E53:J53" si="16">D53+0.5</f>
        <v>10.5</v>
      </c>
      <c r="F53" s="610">
        <f t="shared" si="16"/>
        <v>11</v>
      </c>
      <c r="G53" s="610">
        <f t="shared" si="16"/>
        <v>11.5</v>
      </c>
      <c r="H53" s="610">
        <f t="shared" si="16"/>
        <v>12</v>
      </c>
      <c r="I53" s="610">
        <f t="shared" si="16"/>
        <v>12.5</v>
      </c>
      <c r="J53" s="610">
        <f t="shared" si="16"/>
        <v>13</v>
      </c>
      <c r="K53" s="610">
        <f t="shared" ref="K53" si="17">J53+0.5</f>
        <v>13.5</v>
      </c>
      <c r="L53" s="610">
        <f t="shared" ref="L53" si="18">K53+0.5</f>
        <v>14</v>
      </c>
      <c r="M53" s="610">
        <f t="shared" ref="M53" si="19">L53+0.5</f>
        <v>14.5</v>
      </c>
      <c r="N53" s="611">
        <v>15</v>
      </c>
    </row>
    <row r="54" spans="2:15">
      <c r="B54" s="871">
        <v>2017</v>
      </c>
      <c r="C54" s="190">
        <f ca="1">Financials!$DX$158</f>
        <v>17.163898916967508</v>
      </c>
      <c r="D54" s="191">
        <f t="shared" ref="D54:N56" ca="1" si="20">$C54*D$53</f>
        <v>171.63898916967509</v>
      </c>
      <c r="E54" s="191">
        <f t="shared" ca="1" si="20"/>
        <v>180.22093862815882</v>
      </c>
      <c r="F54" s="191">
        <f t="shared" ca="1" si="20"/>
        <v>188.80288808664258</v>
      </c>
      <c r="G54" s="191">
        <f t="shared" ca="1" si="20"/>
        <v>197.38483754512635</v>
      </c>
      <c r="H54" s="191">
        <f t="shared" ca="1" si="20"/>
        <v>205.96678700361008</v>
      </c>
      <c r="I54" s="191">
        <f t="shared" ca="1" si="20"/>
        <v>214.54873646209384</v>
      </c>
      <c r="J54" s="191">
        <f t="shared" ca="1" si="20"/>
        <v>223.1306859205776</v>
      </c>
      <c r="K54" s="191">
        <f t="shared" ca="1" si="20"/>
        <v>231.71263537906137</v>
      </c>
      <c r="L54" s="191">
        <f t="shared" ca="1" si="20"/>
        <v>240.2945848375451</v>
      </c>
      <c r="M54" s="191">
        <f t="shared" ca="1" si="20"/>
        <v>248.87653429602886</v>
      </c>
      <c r="N54" s="191">
        <f t="shared" ca="1" si="20"/>
        <v>257.4584837545126</v>
      </c>
    </row>
    <row r="55" spans="2:15" s="179" customFormat="1">
      <c r="B55" s="189" t="s">
        <v>226</v>
      </c>
      <c r="C55" s="190">
        <f>Financials!$DY$158</f>
        <v>17.828770851259414</v>
      </c>
      <c r="D55" s="191">
        <f t="shared" si="20"/>
        <v>178.28770851259412</v>
      </c>
      <c r="E55" s="191">
        <f t="shared" si="20"/>
        <v>187.20209393822384</v>
      </c>
      <c r="F55" s="191">
        <f t="shared" si="20"/>
        <v>196.11647936385356</v>
      </c>
      <c r="G55" s="191">
        <f t="shared" si="20"/>
        <v>205.03086478948325</v>
      </c>
      <c r="H55" s="191">
        <f t="shared" si="20"/>
        <v>213.94525021511296</v>
      </c>
      <c r="I55" s="191">
        <f t="shared" si="20"/>
        <v>222.85963564074268</v>
      </c>
      <c r="J55" s="191">
        <f t="shared" si="20"/>
        <v>231.77402106637237</v>
      </c>
      <c r="K55" s="191">
        <f t="shared" si="20"/>
        <v>240.68840649200209</v>
      </c>
      <c r="L55" s="191">
        <f t="shared" si="20"/>
        <v>249.60279191763181</v>
      </c>
      <c r="M55" s="191">
        <f t="shared" si="20"/>
        <v>258.51717734326149</v>
      </c>
      <c r="N55" s="191">
        <f t="shared" si="20"/>
        <v>267.43156276889118</v>
      </c>
    </row>
    <row r="56" spans="2:15">
      <c r="B56" s="189" t="s">
        <v>227</v>
      </c>
      <c r="C56" s="190">
        <f>Financials!$DZ$158</f>
        <v>18.010795356840276</v>
      </c>
      <c r="D56" s="191">
        <f t="shared" si="20"/>
        <v>180.10795356840276</v>
      </c>
      <c r="E56" s="191">
        <f t="shared" si="20"/>
        <v>189.1133512468229</v>
      </c>
      <c r="F56" s="191">
        <f t="shared" si="20"/>
        <v>198.11874892524304</v>
      </c>
      <c r="G56" s="191">
        <f t="shared" si="20"/>
        <v>207.12414660366318</v>
      </c>
      <c r="H56" s="614">
        <f t="shared" si="20"/>
        <v>216.12954428208332</v>
      </c>
      <c r="I56" s="191">
        <f t="shared" si="20"/>
        <v>225.13494196050345</v>
      </c>
      <c r="J56" s="191">
        <f t="shared" si="20"/>
        <v>234.14033963892359</v>
      </c>
      <c r="K56" s="191">
        <f t="shared" si="20"/>
        <v>243.14573731734373</v>
      </c>
      <c r="L56" s="191">
        <f t="shared" si="20"/>
        <v>252.15113499576387</v>
      </c>
      <c r="M56" s="191">
        <f t="shared" si="20"/>
        <v>261.15653267418401</v>
      </c>
      <c r="N56" s="191">
        <f t="shared" si="20"/>
        <v>270.16193035260414</v>
      </c>
    </row>
  </sheetData>
  <pageMargins left="0" right="0" top="0" bottom="0" header="0" footer="0"/>
  <pageSetup scale="77"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2:IU47"/>
  <sheetViews>
    <sheetView zoomScale="85" zoomScaleNormal="85" workbookViewId="0">
      <selection activeCell="E32" sqref="E32"/>
    </sheetView>
  </sheetViews>
  <sheetFormatPr defaultRowHeight="15"/>
  <cols>
    <col min="1" max="1" width="3.5703125" style="747" customWidth="1"/>
    <col min="2" max="16" width="10.5703125" style="747" customWidth="1"/>
    <col min="17" max="17" width="3.5703125" style="747" customWidth="1"/>
    <col min="18" max="30" width="10.5703125" style="747" customWidth="1"/>
    <col min="31" max="31" width="3.5703125" style="747" customWidth="1"/>
    <col min="32" max="16384" width="9.140625" style="747"/>
  </cols>
  <sheetData>
    <row r="2" spans="1:255">
      <c r="A2" s="746"/>
      <c r="B2" s="157" t="s">
        <v>212</v>
      </c>
      <c r="D2" s="748"/>
      <c r="E2" s="748"/>
      <c r="F2" s="748"/>
      <c r="G2" s="748"/>
      <c r="H2" s="748"/>
      <c r="I2" s="748"/>
      <c r="J2" s="748"/>
      <c r="K2" s="748"/>
      <c r="L2" s="748"/>
      <c r="M2" s="748"/>
      <c r="N2" s="748"/>
      <c r="O2" s="748"/>
      <c r="P2" s="748"/>
    </row>
    <row r="3" spans="1:255">
      <c r="A3" s="746"/>
      <c r="B3" s="749" t="s">
        <v>355</v>
      </c>
      <c r="D3" s="748"/>
      <c r="E3" s="748"/>
      <c r="F3" s="748"/>
      <c r="G3" s="748"/>
      <c r="H3" s="748"/>
      <c r="I3" s="748"/>
      <c r="J3" s="748"/>
      <c r="K3" s="748"/>
      <c r="L3" s="748"/>
      <c r="M3" s="748"/>
      <c r="N3" s="748"/>
      <c r="O3" s="748"/>
      <c r="P3" s="748"/>
    </row>
    <row r="4" spans="1:255">
      <c r="A4" s="750"/>
    </row>
    <row r="5" spans="1:255">
      <c r="A5" s="750"/>
      <c r="B5" s="751" t="s">
        <v>235</v>
      </c>
      <c r="C5" s="752"/>
      <c r="D5" s="753"/>
      <c r="E5" s="753"/>
      <c r="F5" s="753"/>
      <c r="G5" s="753"/>
      <c r="H5" s="753"/>
      <c r="I5" s="753"/>
      <c r="J5" s="753"/>
      <c r="K5" s="753"/>
      <c r="L5" s="753"/>
      <c r="M5" s="753"/>
      <c r="N5" s="753"/>
      <c r="O5" s="753"/>
      <c r="P5" s="753"/>
    </row>
    <row r="6" spans="1:255">
      <c r="B6" s="754"/>
      <c r="C6" s="755"/>
      <c r="D6" s="748"/>
    </row>
    <row r="7" spans="1:255">
      <c r="B7" s="754"/>
      <c r="C7" s="756"/>
      <c r="D7" s="748"/>
      <c r="E7" s="757">
        <v>2018</v>
      </c>
      <c r="F7" s="757">
        <f t="shared" ref="F7:P7" si="0">E7+1</f>
        <v>2019</v>
      </c>
      <c r="G7" s="757">
        <f t="shared" si="0"/>
        <v>2020</v>
      </c>
      <c r="H7" s="757">
        <f t="shared" si="0"/>
        <v>2021</v>
      </c>
      <c r="I7" s="757">
        <f t="shared" si="0"/>
        <v>2022</v>
      </c>
      <c r="J7" s="757">
        <f t="shared" si="0"/>
        <v>2023</v>
      </c>
      <c r="K7" s="757">
        <f t="shared" si="0"/>
        <v>2024</v>
      </c>
      <c r="L7" s="757">
        <f t="shared" si="0"/>
        <v>2025</v>
      </c>
      <c r="M7" s="757">
        <f t="shared" si="0"/>
        <v>2026</v>
      </c>
      <c r="N7" s="757">
        <f t="shared" si="0"/>
        <v>2027</v>
      </c>
      <c r="O7" s="757">
        <f t="shared" si="0"/>
        <v>2028</v>
      </c>
      <c r="P7" s="757">
        <f t="shared" si="0"/>
        <v>2029</v>
      </c>
    </row>
    <row r="8" spans="1:255">
      <c r="B8" s="754"/>
      <c r="C8" s="756"/>
      <c r="D8" s="748"/>
      <c r="E8" s="758"/>
      <c r="F8" s="758"/>
      <c r="G8" s="758"/>
      <c r="H8" s="758"/>
      <c r="I8" s="758"/>
      <c r="J8" s="758"/>
      <c r="K8" s="758"/>
      <c r="L8" s="758"/>
      <c r="M8" s="758"/>
      <c r="N8" s="758"/>
      <c r="O8" s="758"/>
      <c r="P8" s="758"/>
    </row>
    <row r="9" spans="1:255">
      <c r="A9" s="759"/>
      <c r="B9" s="760" t="s">
        <v>143</v>
      </c>
      <c r="C9" s="761"/>
      <c r="D9" s="762"/>
      <c r="E9" s="763">
        <f>Financials!DY6</f>
        <v>21959.685294590308</v>
      </c>
      <c r="F9" s="763">
        <f>Financials!DZ6</f>
        <v>23317.405897728528</v>
      </c>
      <c r="G9" s="763">
        <f>Financials!EA6</f>
        <v>24492.918082705677</v>
      </c>
      <c r="H9" s="763">
        <f>Financials!EB6</f>
        <v>25628.579055530419</v>
      </c>
      <c r="I9" s="763">
        <f>Financials!EC6</f>
        <v>26536.860155608887</v>
      </c>
      <c r="J9" s="763">
        <f>Financials!ED6</f>
        <v>27150.110644374858</v>
      </c>
      <c r="K9" s="764">
        <f t="shared" ref="K9:P9" si="1">J9*(1+K10)</f>
        <v>27750.382863466577</v>
      </c>
      <c r="L9" s="764">
        <f t="shared" si="1"/>
        <v>28336.17634862964</v>
      </c>
      <c r="M9" s="764">
        <f t="shared" si="1"/>
        <v>28905.999397006944</v>
      </c>
      <c r="N9" s="764">
        <f t="shared" si="1"/>
        <v>29458.375236420608</v>
      </c>
      <c r="O9" s="764">
        <f t="shared" si="1"/>
        <v>29991.848262568819</v>
      </c>
      <c r="P9" s="764">
        <f t="shared" si="1"/>
        <v>30504.990308283857</v>
      </c>
      <c r="Q9" s="759"/>
      <c r="R9" s="759"/>
      <c r="S9" s="759"/>
      <c r="T9" s="759"/>
      <c r="U9" s="749"/>
      <c r="V9" s="759"/>
      <c r="W9" s="759"/>
      <c r="X9" s="759"/>
      <c r="Y9" s="759"/>
      <c r="Z9" s="759"/>
      <c r="AA9" s="759"/>
      <c r="AB9" s="759"/>
      <c r="AC9" s="759"/>
      <c r="AD9" s="759"/>
      <c r="AE9" s="759"/>
      <c r="AF9" s="759"/>
      <c r="AG9" s="759"/>
      <c r="AH9" s="759"/>
      <c r="AI9" s="759"/>
      <c r="AJ9" s="759"/>
      <c r="AK9" s="759"/>
      <c r="AL9" s="759"/>
      <c r="AM9" s="759"/>
      <c r="AN9" s="759"/>
      <c r="AO9" s="759"/>
      <c r="AP9" s="759"/>
      <c r="AQ9" s="759"/>
      <c r="AR9" s="759"/>
      <c r="AS9" s="759"/>
      <c r="AT9" s="759"/>
      <c r="AU9" s="759"/>
      <c r="AV9" s="759"/>
      <c r="AW9" s="759"/>
      <c r="AX9" s="759"/>
      <c r="AY9" s="759"/>
      <c r="AZ9" s="759"/>
      <c r="BA9" s="759"/>
      <c r="BB9" s="759"/>
      <c r="BC9" s="759"/>
      <c r="BD9" s="759"/>
      <c r="BE9" s="759"/>
      <c r="BF9" s="759"/>
      <c r="BG9" s="759"/>
      <c r="BH9" s="759"/>
      <c r="BI9" s="759"/>
      <c r="BJ9" s="759"/>
      <c r="BK9" s="759"/>
      <c r="BL9" s="759"/>
      <c r="BM9" s="759"/>
      <c r="BN9" s="759"/>
      <c r="BO9" s="759"/>
      <c r="BP9" s="759"/>
      <c r="BQ9" s="759"/>
      <c r="BR9" s="759"/>
      <c r="BS9" s="759"/>
      <c r="BT9" s="759"/>
      <c r="BU9" s="759"/>
      <c r="BV9" s="759"/>
      <c r="BW9" s="759"/>
      <c r="BX9" s="759"/>
      <c r="BY9" s="759"/>
      <c r="BZ9" s="759"/>
      <c r="CA9" s="759"/>
      <c r="CB9" s="759"/>
      <c r="CC9" s="759"/>
      <c r="CD9" s="759"/>
      <c r="CE9" s="759"/>
      <c r="CF9" s="759"/>
      <c r="CG9" s="759"/>
      <c r="CH9" s="759"/>
      <c r="CI9" s="759"/>
      <c r="CJ9" s="759"/>
      <c r="CK9" s="759"/>
      <c r="CL9" s="759"/>
      <c r="CM9" s="759"/>
      <c r="CN9" s="759"/>
      <c r="CO9" s="759"/>
      <c r="CP9" s="759"/>
      <c r="CQ9" s="759"/>
      <c r="CR9" s="759"/>
      <c r="CS9" s="759"/>
      <c r="CT9" s="759"/>
      <c r="CU9" s="759"/>
      <c r="CV9" s="759"/>
      <c r="CW9" s="759"/>
      <c r="CX9" s="759"/>
      <c r="CY9" s="759"/>
      <c r="CZ9" s="759"/>
      <c r="DA9" s="759"/>
      <c r="DB9" s="759"/>
      <c r="DC9" s="759"/>
      <c r="DD9" s="759"/>
      <c r="DE9" s="759"/>
      <c r="DF9" s="759"/>
      <c r="DG9" s="759"/>
      <c r="DH9" s="759"/>
      <c r="DI9" s="759"/>
      <c r="DJ9" s="759"/>
      <c r="DK9" s="759"/>
      <c r="DL9" s="759"/>
      <c r="DM9" s="759"/>
      <c r="DN9" s="759"/>
      <c r="DO9" s="759"/>
      <c r="DP9" s="759"/>
      <c r="DQ9" s="759"/>
      <c r="DR9" s="759"/>
      <c r="DS9" s="759"/>
      <c r="DT9" s="759"/>
      <c r="DU9" s="759"/>
      <c r="DV9" s="759"/>
      <c r="DW9" s="759"/>
      <c r="DX9" s="759"/>
      <c r="DY9" s="759"/>
      <c r="DZ9" s="759"/>
      <c r="EA9" s="759"/>
      <c r="EB9" s="759"/>
      <c r="EC9" s="759"/>
      <c r="ED9" s="759"/>
      <c r="EE9" s="759"/>
      <c r="EF9" s="759"/>
      <c r="EG9" s="759"/>
      <c r="EH9" s="759"/>
      <c r="EI9" s="759"/>
      <c r="EJ9" s="759"/>
      <c r="EK9" s="759"/>
      <c r="EL9" s="759"/>
      <c r="EM9" s="759"/>
      <c r="EN9" s="759"/>
      <c r="EO9" s="759"/>
      <c r="EP9" s="759"/>
      <c r="EQ9" s="759"/>
      <c r="ER9" s="759"/>
      <c r="ES9" s="759"/>
      <c r="ET9" s="759"/>
      <c r="EU9" s="759"/>
      <c r="EV9" s="759"/>
      <c r="EW9" s="759"/>
      <c r="EX9" s="759"/>
      <c r="EY9" s="759"/>
      <c r="EZ9" s="759"/>
      <c r="FA9" s="759"/>
      <c r="FB9" s="759"/>
      <c r="FC9" s="759"/>
      <c r="FD9" s="759"/>
      <c r="FE9" s="759"/>
      <c r="FF9" s="759"/>
      <c r="FG9" s="759"/>
      <c r="FH9" s="759"/>
      <c r="FI9" s="759"/>
      <c r="FJ9" s="759"/>
      <c r="FK9" s="759"/>
      <c r="FL9" s="759"/>
      <c r="FM9" s="759"/>
      <c r="FN9" s="759"/>
      <c r="FO9" s="759"/>
      <c r="FP9" s="759"/>
      <c r="FQ9" s="759"/>
      <c r="FR9" s="759"/>
      <c r="FS9" s="759"/>
      <c r="FT9" s="759"/>
      <c r="FU9" s="759"/>
      <c r="FV9" s="759"/>
      <c r="FW9" s="759"/>
      <c r="FX9" s="759"/>
      <c r="FY9" s="759"/>
      <c r="FZ9" s="759"/>
      <c r="GA9" s="759"/>
      <c r="GB9" s="759"/>
      <c r="GC9" s="759"/>
      <c r="GD9" s="759"/>
      <c r="GE9" s="759"/>
      <c r="GF9" s="759"/>
      <c r="GG9" s="759"/>
      <c r="GH9" s="759"/>
      <c r="GI9" s="759"/>
      <c r="GJ9" s="759"/>
      <c r="GK9" s="759"/>
      <c r="GL9" s="759"/>
      <c r="GM9" s="759"/>
      <c r="GN9" s="759"/>
      <c r="GO9" s="759"/>
      <c r="GP9" s="759"/>
      <c r="GQ9" s="759"/>
      <c r="GR9" s="759"/>
      <c r="GS9" s="759"/>
      <c r="GT9" s="759"/>
      <c r="GU9" s="759"/>
      <c r="GV9" s="759"/>
      <c r="GW9" s="759"/>
      <c r="GX9" s="759"/>
      <c r="GY9" s="759"/>
      <c r="GZ9" s="759"/>
      <c r="HA9" s="759"/>
      <c r="HB9" s="759"/>
      <c r="HC9" s="759"/>
      <c r="HD9" s="759"/>
      <c r="HE9" s="759"/>
      <c r="HF9" s="759"/>
      <c r="HG9" s="759"/>
      <c r="HH9" s="759"/>
      <c r="HI9" s="759"/>
      <c r="HJ9" s="759"/>
      <c r="HK9" s="759"/>
      <c r="HL9" s="759"/>
      <c r="HM9" s="759"/>
      <c r="HN9" s="759"/>
      <c r="HO9" s="759"/>
      <c r="HP9" s="759"/>
      <c r="HQ9" s="759"/>
      <c r="HR9" s="759"/>
      <c r="HS9" s="759"/>
      <c r="HT9" s="759"/>
      <c r="HU9" s="759"/>
      <c r="HV9" s="759"/>
      <c r="HW9" s="759"/>
      <c r="HX9" s="759"/>
      <c r="HY9" s="759"/>
      <c r="HZ9" s="759"/>
      <c r="IA9" s="759"/>
      <c r="IB9" s="759"/>
      <c r="IC9" s="759"/>
      <c r="ID9" s="759"/>
      <c r="IE9" s="759"/>
      <c r="IF9" s="759"/>
      <c r="IG9" s="759"/>
      <c r="IH9" s="759"/>
      <c r="II9" s="759"/>
      <c r="IJ9" s="759"/>
      <c r="IK9" s="759"/>
      <c r="IL9" s="759"/>
      <c r="IM9" s="759"/>
      <c r="IN9" s="759"/>
      <c r="IO9" s="759"/>
      <c r="IP9" s="759"/>
      <c r="IQ9" s="759"/>
      <c r="IR9" s="759"/>
      <c r="IS9" s="759"/>
      <c r="IT9" s="759"/>
      <c r="IU9" s="759"/>
    </row>
    <row r="10" spans="1:255">
      <c r="A10" s="765"/>
      <c r="B10" s="766" t="s">
        <v>240</v>
      </c>
      <c r="C10" s="767"/>
      <c r="D10" s="768"/>
      <c r="E10" s="769">
        <f>Financials!DY7</f>
        <v>7.2931318443851589E-2</v>
      </c>
      <c r="F10" s="770">
        <f>F9/E9-1</f>
        <v>6.1827871616752628E-2</v>
      </c>
      <c r="G10" s="770">
        <f>G9/F9-1</f>
        <v>5.0413506122122476E-2</v>
      </c>
      <c r="H10" s="770">
        <f t="shared" ref="H10:J10" si="2">H9/G9-1</f>
        <v>4.6366911814669676E-2</v>
      </c>
      <c r="I10" s="770">
        <f t="shared" si="2"/>
        <v>3.5440166156323283E-2</v>
      </c>
      <c r="J10" s="770">
        <f t="shared" si="2"/>
        <v>2.3109383897339297E-2</v>
      </c>
      <c r="K10" s="771">
        <f t="shared" ref="K10:P10" si="3">J10-0.001</f>
        <v>2.2109383897339296E-2</v>
      </c>
      <c r="L10" s="771">
        <f t="shared" si="3"/>
        <v>2.1109383897339296E-2</v>
      </c>
      <c r="M10" s="771">
        <f t="shared" si="3"/>
        <v>2.0109383897339295E-2</v>
      </c>
      <c r="N10" s="771">
        <f t="shared" si="3"/>
        <v>1.9109383897339294E-2</v>
      </c>
      <c r="O10" s="771">
        <f t="shared" si="3"/>
        <v>1.8109383897339293E-2</v>
      </c>
      <c r="P10" s="771">
        <f t="shared" si="3"/>
        <v>1.7109383897339292E-2</v>
      </c>
      <c r="Q10" s="765"/>
      <c r="R10" s="765"/>
      <c r="S10" s="765"/>
      <c r="T10" s="765"/>
      <c r="U10" s="772"/>
      <c r="V10" s="765"/>
      <c r="W10" s="765"/>
      <c r="X10" s="765"/>
      <c r="Y10" s="765"/>
      <c r="Z10" s="765"/>
      <c r="AA10" s="765"/>
      <c r="AB10" s="765"/>
      <c r="AC10" s="765"/>
      <c r="AD10" s="765"/>
      <c r="AE10" s="765"/>
      <c r="AF10" s="765"/>
      <c r="AG10" s="765"/>
      <c r="AH10" s="765"/>
      <c r="AI10" s="765"/>
      <c r="AJ10" s="765"/>
      <c r="AK10" s="765"/>
      <c r="AL10" s="765"/>
      <c r="AM10" s="765"/>
      <c r="AN10" s="765"/>
      <c r="AO10" s="765"/>
      <c r="AP10" s="765"/>
      <c r="AQ10" s="765"/>
      <c r="AR10" s="765"/>
      <c r="AS10" s="765"/>
      <c r="AT10" s="765"/>
      <c r="AU10" s="765"/>
      <c r="AV10" s="765"/>
      <c r="AW10" s="765"/>
      <c r="AX10" s="765"/>
      <c r="AY10" s="765"/>
      <c r="AZ10" s="765"/>
      <c r="BA10" s="765"/>
      <c r="BB10" s="765"/>
      <c r="BC10" s="765"/>
      <c r="BD10" s="765"/>
      <c r="BE10" s="765"/>
      <c r="BF10" s="765"/>
      <c r="BG10" s="765"/>
      <c r="BH10" s="765"/>
      <c r="BI10" s="765"/>
      <c r="BJ10" s="765"/>
      <c r="BK10" s="765"/>
      <c r="BL10" s="765"/>
      <c r="BM10" s="765"/>
      <c r="BN10" s="765"/>
      <c r="BO10" s="765"/>
      <c r="BP10" s="765"/>
      <c r="BQ10" s="765"/>
      <c r="BR10" s="765"/>
      <c r="BS10" s="765"/>
      <c r="BT10" s="765"/>
      <c r="BU10" s="765"/>
      <c r="BV10" s="765"/>
      <c r="BW10" s="765"/>
      <c r="BX10" s="765"/>
      <c r="BY10" s="765"/>
      <c r="BZ10" s="765"/>
      <c r="CA10" s="765"/>
      <c r="CB10" s="765"/>
      <c r="CC10" s="765"/>
      <c r="CD10" s="765"/>
      <c r="CE10" s="765"/>
      <c r="CF10" s="765"/>
      <c r="CG10" s="765"/>
      <c r="CH10" s="765"/>
      <c r="CI10" s="765"/>
      <c r="CJ10" s="765"/>
      <c r="CK10" s="765"/>
      <c r="CL10" s="765"/>
      <c r="CM10" s="765"/>
      <c r="CN10" s="765"/>
      <c r="CO10" s="765"/>
      <c r="CP10" s="765"/>
      <c r="CQ10" s="765"/>
      <c r="CR10" s="765"/>
      <c r="CS10" s="765"/>
      <c r="CT10" s="765"/>
      <c r="CU10" s="765"/>
      <c r="CV10" s="765"/>
      <c r="CW10" s="765"/>
      <c r="CX10" s="765"/>
      <c r="CY10" s="765"/>
      <c r="CZ10" s="765"/>
      <c r="DA10" s="765"/>
      <c r="DB10" s="765"/>
      <c r="DC10" s="765"/>
      <c r="DD10" s="765"/>
      <c r="DE10" s="765"/>
      <c r="DF10" s="765"/>
      <c r="DG10" s="765"/>
      <c r="DH10" s="765"/>
      <c r="DI10" s="765"/>
      <c r="DJ10" s="765"/>
      <c r="DK10" s="765"/>
      <c r="DL10" s="765"/>
      <c r="DM10" s="765"/>
      <c r="DN10" s="765"/>
      <c r="DO10" s="765"/>
      <c r="DP10" s="765"/>
      <c r="DQ10" s="765"/>
      <c r="DR10" s="765"/>
      <c r="DS10" s="765"/>
      <c r="DT10" s="765"/>
      <c r="DU10" s="765"/>
      <c r="DV10" s="765"/>
      <c r="DW10" s="765"/>
      <c r="DX10" s="765"/>
      <c r="DY10" s="765"/>
      <c r="DZ10" s="765"/>
      <c r="EA10" s="765"/>
      <c r="EB10" s="765"/>
      <c r="EC10" s="765"/>
      <c r="ED10" s="765"/>
      <c r="EE10" s="765"/>
      <c r="EF10" s="765"/>
      <c r="EG10" s="765"/>
      <c r="EH10" s="765"/>
      <c r="EI10" s="765"/>
      <c r="EJ10" s="765"/>
      <c r="EK10" s="765"/>
      <c r="EL10" s="765"/>
      <c r="EM10" s="765"/>
      <c r="EN10" s="765"/>
      <c r="EO10" s="765"/>
      <c r="EP10" s="765"/>
      <c r="EQ10" s="765"/>
      <c r="ER10" s="765"/>
      <c r="ES10" s="765"/>
      <c r="ET10" s="765"/>
      <c r="EU10" s="765"/>
      <c r="EV10" s="765"/>
      <c r="EW10" s="765"/>
      <c r="EX10" s="765"/>
      <c r="EY10" s="765"/>
      <c r="EZ10" s="765"/>
      <c r="FA10" s="765"/>
      <c r="FB10" s="765"/>
      <c r="FC10" s="765"/>
      <c r="FD10" s="765"/>
      <c r="FE10" s="765"/>
      <c r="FF10" s="765"/>
      <c r="FG10" s="765"/>
      <c r="FH10" s="765"/>
      <c r="FI10" s="765"/>
      <c r="FJ10" s="765"/>
      <c r="FK10" s="765"/>
      <c r="FL10" s="765"/>
      <c r="FM10" s="765"/>
      <c r="FN10" s="765"/>
      <c r="FO10" s="765"/>
      <c r="FP10" s="765"/>
      <c r="FQ10" s="765"/>
      <c r="FR10" s="765"/>
      <c r="FS10" s="765"/>
      <c r="FT10" s="765"/>
      <c r="FU10" s="765"/>
      <c r="FV10" s="765"/>
      <c r="FW10" s="765"/>
      <c r="FX10" s="765"/>
      <c r="FY10" s="765"/>
      <c r="FZ10" s="765"/>
      <c r="GA10" s="765"/>
      <c r="GB10" s="765"/>
      <c r="GC10" s="765"/>
      <c r="GD10" s="765"/>
      <c r="GE10" s="765"/>
      <c r="GF10" s="765"/>
      <c r="GG10" s="765"/>
      <c r="GH10" s="765"/>
      <c r="GI10" s="765"/>
      <c r="GJ10" s="765"/>
      <c r="GK10" s="765"/>
      <c r="GL10" s="765"/>
      <c r="GM10" s="765"/>
      <c r="GN10" s="765"/>
      <c r="GO10" s="765"/>
      <c r="GP10" s="765"/>
      <c r="GQ10" s="765"/>
      <c r="GR10" s="765"/>
      <c r="GS10" s="765"/>
      <c r="GT10" s="765"/>
      <c r="GU10" s="765"/>
      <c r="GV10" s="765"/>
      <c r="GW10" s="765"/>
      <c r="GX10" s="765"/>
      <c r="GY10" s="765"/>
      <c r="GZ10" s="765"/>
      <c r="HA10" s="765"/>
      <c r="HB10" s="765"/>
      <c r="HC10" s="765"/>
      <c r="HD10" s="765"/>
      <c r="HE10" s="765"/>
      <c r="HF10" s="765"/>
      <c r="HG10" s="765"/>
      <c r="HH10" s="765"/>
      <c r="HI10" s="765"/>
      <c r="HJ10" s="765"/>
      <c r="HK10" s="765"/>
      <c r="HL10" s="765"/>
      <c r="HM10" s="765"/>
      <c r="HN10" s="765"/>
      <c r="HO10" s="765"/>
      <c r="HP10" s="765"/>
      <c r="HQ10" s="765"/>
      <c r="HR10" s="765"/>
      <c r="HS10" s="765"/>
      <c r="HT10" s="765"/>
      <c r="HU10" s="765"/>
      <c r="HV10" s="765"/>
      <c r="HW10" s="765"/>
      <c r="HX10" s="765"/>
      <c r="HY10" s="765"/>
      <c r="HZ10" s="765"/>
      <c r="IA10" s="765"/>
      <c r="IB10" s="765"/>
      <c r="IC10" s="765"/>
      <c r="ID10" s="765"/>
      <c r="IE10" s="765"/>
      <c r="IF10" s="765"/>
      <c r="IG10" s="765"/>
      <c r="IH10" s="765"/>
      <c r="II10" s="765"/>
      <c r="IJ10" s="765"/>
      <c r="IK10" s="765"/>
      <c r="IL10" s="765"/>
      <c r="IM10" s="765"/>
      <c r="IN10" s="765"/>
      <c r="IO10" s="765"/>
      <c r="IP10" s="765"/>
      <c r="IQ10" s="765"/>
      <c r="IR10" s="765"/>
      <c r="IS10" s="765"/>
      <c r="IT10" s="765"/>
      <c r="IU10" s="765"/>
    </row>
    <row r="11" spans="1:255">
      <c r="B11" s="754"/>
      <c r="C11" s="773"/>
      <c r="D11" s="748"/>
      <c r="E11" s="758"/>
      <c r="F11" s="758"/>
      <c r="G11" s="758"/>
      <c r="H11" s="758"/>
      <c r="I11" s="758"/>
      <c r="J11" s="758"/>
      <c r="K11" s="758"/>
      <c r="L11" s="758"/>
      <c r="M11" s="758"/>
      <c r="N11" s="758"/>
      <c r="O11" s="758"/>
      <c r="P11" s="758"/>
    </row>
    <row r="12" spans="1:255">
      <c r="A12" s="759"/>
      <c r="B12" s="760" t="s">
        <v>15</v>
      </c>
      <c r="C12" s="760"/>
      <c r="D12" s="762"/>
      <c r="E12" s="763">
        <f>Financials!DY51</f>
        <v>2295.548481176093</v>
      </c>
      <c r="F12" s="763">
        <f>Financials!DZ51</f>
        <v>2379.7566860532297</v>
      </c>
      <c r="G12" s="763">
        <f>Financials!EA51</f>
        <v>2383.563854352793</v>
      </c>
      <c r="H12" s="763">
        <f>Financials!EB51</f>
        <v>2375.2658082780299</v>
      </c>
      <c r="I12" s="763">
        <f>Financials!EC51</f>
        <v>2343.3528130923005</v>
      </c>
      <c r="J12" s="763">
        <f>Financials!ED51</f>
        <v>2286.1655200153223</v>
      </c>
      <c r="K12" s="764">
        <f t="shared" ref="K12:P12" si="4">K$9*K13</f>
        <v>2298.0247690677879</v>
      </c>
      <c r="L12" s="764">
        <f t="shared" si="4"/>
        <v>2307.0315466614938</v>
      </c>
      <c r="M12" s="764">
        <f t="shared" si="4"/>
        <v>2313.1270370411289</v>
      </c>
      <c r="N12" s="764">
        <f t="shared" si="4"/>
        <v>2316.2619166825561</v>
      </c>
      <c r="O12" s="764">
        <f t="shared" si="4"/>
        <v>2316.39673194442</v>
      </c>
      <c r="P12" s="764">
        <f t="shared" si="4"/>
        <v>2313.5022269800916</v>
      </c>
      <c r="Q12" s="759"/>
      <c r="R12" s="759"/>
      <c r="S12" s="759"/>
      <c r="T12" s="759"/>
      <c r="U12" s="749"/>
      <c r="V12" s="759"/>
      <c r="W12" s="759"/>
      <c r="X12" s="759"/>
      <c r="Y12" s="759"/>
      <c r="Z12" s="759"/>
      <c r="AA12" s="759"/>
      <c r="AB12" s="759"/>
      <c r="AC12" s="759"/>
      <c r="AD12" s="759"/>
      <c r="AE12" s="759"/>
      <c r="AF12" s="759"/>
      <c r="AG12" s="759"/>
      <c r="AH12" s="759"/>
      <c r="AI12" s="759"/>
      <c r="AJ12" s="759"/>
      <c r="AK12" s="759"/>
      <c r="AL12" s="759"/>
      <c r="AM12" s="759"/>
      <c r="AN12" s="759"/>
      <c r="AO12" s="759"/>
      <c r="AP12" s="759"/>
      <c r="AQ12" s="759"/>
      <c r="AR12" s="759"/>
      <c r="AS12" s="759"/>
      <c r="AT12" s="759"/>
      <c r="AU12" s="759"/>
      <c r="AV12" s="759"/>
      <c r="AW12" s="759"/>
      <c r="AX12" s="759"/>
      <c r="AY12" s="759"/>
      <c r="AZ12" s="759"/>
      <c r="BA12" s="759"/>
      <c r="BB12" s="759"/>
      <c r="BC12" s="759"/>
      <c r="BD12" s="759"/>
      <c r="BE12" s="759"/>
      <c r="BF12" s="759"/>
      <c r="BG12" s="759"/>
      <c r="BH12" s="759"/>
      <c r="BI12" s="759"/>
      <c r="BJ12" s="759"/>
      <c r="BK12" s="759"/>
      <c r="BL12" s="759"/>
      <c r="BM12" s="759"/>
      <c r="BN12" s="759"/>
      <c r="BO12" s="759"/>
      <c r="BP12" s="759"/>
      <c r="BQ12" s="759"/>
      <c r="BR12" s="759"/>
      <c r="BS12" s="759"/>
      <c r="BT12" s="759"/>
      <c r="BU12" s="759"/>
      <c r="BV12" s="759"/>
      <c r="BW12" s="759"/>
      <c r="BX12" s="759"/>
      <c r="BY12" s="759"/>
      <c r="BZ12" s="759"/>
      <c r="CA12" s="759"/>
      <c r="CB12" s="759"/>
      <c r="CC12" s="759"/>
      <c r="CD12" s="759"/>
      <c r="CE12" s="759"/>
      <c r="CF12" s="759"/>
      <c r="CG12" s="759"/>
      <c r="CH12" s="759"/>
      <c r="CI12" s="759"/>
      <c r="CJ12" s="759"/>
      <c r="CK12" s="759"/>
      <c r="CL12" s="759"/>
      <c r="CM12" s="759"/>
      <c r="CN12" s="759"/>
      <c r="CO12" s="759"/>
      <c r="CP12" s="759"/>
      <c r="CQ12" s="759"/>
      <c r="CR12" s="759"/>
      <c r="CS12" s="759"/>
      <c r="CT12" s="759"/>
      <c r="CU12" s="759"/>
      <c r="CV12" s="759"/>
      <c r="CW12" s="759"/>
      <c r="CX12" s="759"/>
      <c r="CY12" s="759"/>
      <c r="CZ12" s="759"/>
      <c r="DA12" s="759"/>
      <c r="DB12" s="759"/>
      <c r="DC12" s="759"/>
      <c r="DD12" s="759"/>
      <c r="DE12" s="759"/>
      <c r="DF12" s="759"/>
      <c r="DG12" s="759"/>
      <c r="DH12" s="759"/>
      <c r="DI12" s="759"/>
      <c r="DJ12" s="759"/>
      <c r="DK12" s="759"/>
      <c r="DL12" s="759"/>
      <c r="DM12" s="759"/>
      <c r="DN12" s="759"/>
      <c r="DO12" s="759"/>
      <c r="DP12" s="759"/>
      <c r="DQ12" s="759"/>
      <c r="DR12" s="759"/>
      <c r="DS12" s="759"/>
      <c r="DT12" s="759"/>
      <c r="DU12" s="759"/>
      <c r="DV12" s="759"/>
      <c r="DW12" s="759"/>
      <c r="DX12" s="759"/>
      <c r="DY12" s="759"/>
      <c r="DZ12" s="759"/>
      <c r="EA12" s="759"/>
      <c r="EB12" s="759"/>
      <c r="EC12" s="759"/>
      <c r="ED12" s="759"/>
      <c r="EE12" s="759"/>
      <c r="EF12" s="759"/>
      <c r="EG12" s="759"/>
      <c r="EH12" s="759"/>
      <c r="EI12" s="759"/>
      <c r="EJ12" s="759"/>
      <c r="EK12" s="759"/>
      <c r="EL12" s="759"/>
      <c r="EM12" s="759"/>
      <c r="EN12" s="759"/>
      <c r="EO12" s="759"/>
      <c r="EP12" s="759"/>
      <c r="EQ12" s="759"/>
      <c r="ER12" s="759"/>
      <c r="ES12" s="759"/>
      <c r="ET12" s="759"/>
      <c r="EU12" s="759"/>
      <c r="EV12" s="759"/>
      <c r="EW12" s="759"/>
      <c r="EX12" s="759"/>
      <c r="EY12" s="759"/>
      <c r="EZ12" s="759"/>
      <c r="FA12" s="759"/>
      <c r="FB12" s="759"/>
      <c r="FC12" s="759"/>
      <c r="FD12" s="759"/>
      <c r="FE12" s="759"/>
      <c r="FF12" s="759"/>
      <c r="FG12" s="759"/>
      <c r="FH12" s="759"/>
      <c r="FI12" s="759"/>
      <c r="FJ12" s="759"/>
      <c r="FK12" s="759"/>
      <c r="FL12" s="759"/>
      <c r="FM12" s="759"/>
      <c r="FN12" s="759"/>
      <c r="FO12" s="759"/>
      <c r="FP12" s="759"/>
      <c r="FQ12" s="759"/>
      <c r="FR12" s="759"/>
      <c r="FS12" s="759"/>
      <c r="FT12" s="759"/>
      <c r="FU12" s="759"/>
      <c r="FV12" s="759"/>
      <c r="FW12" s="759"/>
      <c r="FX12" s="759"/>
      <c r="FY12" s="759"/>
      <c r="FZ12" s="759"/>
      <c r="GA12" s="759"/>
      <c r="GB12" s="759"/>
      <c r="GC12" s="759"/>
      <c r="GD12" s="759"/>
      <c r="GE12" s="759"/>
      <c r="GF12" s="759"/>
      <c r="GG12" s="759"/>
      <c r="GH12" s="759"/>
      <c r="GI12" s="759"/>
      <c r="GJ12" s="759"/>
      <c r="GK12" s="759"/>
      <c r="GL12" s="759"/>
      <c r="GM12" s="759"/>
      <c r="GN12" s="759"/>
      <c r="GO12" s="759"/>
      <c r="GP12" s="759"/>
      <c r="GQ12" s="759"/>
      <c r="GR12" s="759"/>
      <c r="GS12" s="759"/>
      <c r="GT12" s="759"/>
      <c r="GU12" s="759"/>
      <c r="GV12" s="759"/>
      <c r="GW12" s="759"/>
      <c r="GX12" s="759"/>
      <c r="GY12" s="759"/>
      <c r="GZ12" s="759"/>
      <c r="HA12" s="759"/>
      <c r="HB12" s="759"/>
      <c r="HC12" s="759"/>
      <c r="HD12" s="759"/>
      <c r="HE12" s="759"/>
      <c r="HF12" s="759"/>
      <c r="HG12" s="759"/>
      <c r="HH12" s="759"/>
      <c r="HI12" s="759"/>
      <c r="HJ12" s="759"/>
      <c r="HK12" s="759"/>
      <c r="HL12" s="759"/>
      <c r="HM12" s="759"/>
      <c r="HN12" s="759"/>
      <c r="HO12" s="759"/>
      <c r="HP12" s="759"/>
      <c r="HQ12" s="759"/>
      <c r="HR12" s="759"/>
      <c r="HS12" s="759"/>
      <c r="HT12" s="759"/>
      <c r="HU12" s="759"/>
      <c r="HV12" s="759"/>
      <c r="HW12" s="759"/>
      <c r="HX12" s="759"/>
      <c r="HY12" s="759"/>
      <c r="HZ12" s="759"/>
      <c r="IA12" s="759"/>
      <c r="IB12" s="759"/>
      <c r="IC12" s="759"/>
      <c r="ID12" s="759"/>
      <c r="IE12" s="759"/>
      <c r="IF12" s="759"/>
      <c r="IG12" s="759"/>
      <c r="IH12" s="759"/>
      <c r="II12" s="759"/>
      <c r="IJ12" s="759"/>
      <c r="IK12" s="759"/>
      <c r="IL12" s="759"/>
      <c r="IM12" s="759"/>
      <c r="IN12" s="759"/>
      <c r="IO12" s="759"/>
      <c r="IP12" s="759"/>
      <c r="IQ12" s="759"/>
      <c r="IR12" s="759"/>
      <c r="IS12" s="759"/>
      <c r="IT12" s="759"/>
      <c r="IU12" s="759"/>
    </row>
    <row r="13" spans="1:255">
      <c r="A13" s="765"/>
      <c r="B13" s="766" t="s">
        <v>203</v>
      </c>
      <c r="C13" s="767"/>
      <c r="D13" s="768"/>
      <c r="E13" s="770">
        <f>E12/E$9</f>
        <v>0.10453467116587474</v>
      </c>
      <c r="F13" s="770">
        <f>F12/F$9</f>
        <v>0.10205923834284904</v>
      </c>
      <c r="G13" s="770">
        <f>G12/G$9</f>
        <v>9.731645066970665E-2</v>
      </c>
      <c r="H13" s="770">
        <f t="shared" ref="H13:J13" si="5">H12/H$9</f>
        <v>9.2680355127432196E-2</v>
      </c>
      <c r="I13" s="770">
        <f t="shared" si="5"/>
        <v>8.8305579460085618E-2</v>
      </c>
      <c r="J13" s="770">
        <f t="shared" si="5"/>
        <v>8.4204648369968438E-2</v>
      </c>
      <c r="K13" s="771">
        <f>K16*J13/J16</f>
        <v>8.2810560862320248E-2</v>
      </c>
      <c r="L13" s="771">
        <f t="shared" ref="L13:P13" si="6">L16*K13/K16</f>
        <v>8.1416473354672059E-2</v>
      </c>
      <c r="M13" s="771">
        <f t="shared" si="6"/>
        <v>8.0022385847023869E-2</v>
      </c>
      <c r="N13" s="771">
        <f t="shared" si="6"/>
        <v>7.862829833937568E-2</v>
      </c>
      <c r="O13" s="771">
        <f t="shared" si="6"/>
        <v>7.723421083172749E-2</v>
      </c>
      <c r="P13" s="771">
        <f t="shared" si="6"/>
        <v>7.58401233240793E-2</v>
      </c>
      <c r="Q13" s="759"/>
      <c r="R13" s="765"/>
      <c r="S13" s="759"/>
      <c r="T13" s="765"/>
      <c r="U13" s="749"/>
      <c r="V13" s="765"/>
      <c r="W13" s="765"/>
      <c r="X13" s="765"/>
      <c r="Y13" s="765"/>
      <c r="Z13" s="765"/>
      <c r="AA13" s="765"/>
      <c r="AB13" s="765"/>
      <c r="AC13" s="765"/>
      <c r="AD13" s="765"/>
      <c r="AE13" s="765"/>
      <c r="AF13" s="765"/>
      <c r="AG13" s="765"/>
      <c r="AH13" s="765"/>
      <c r="AI13" s="765"/>
      <c r="AJ13" s="765"/>
      <c r="AK13" s="765"/>
      <c r="AL13" s="765"/>
      <c r="AM13" s="765"/>
      <c r="AN13" s="765"/>
      <c r="AO13" s="765"/>
      <c r="AP13" s="765"/>
      <c r="AQ13" s="765"/>
      <c r="AR13" s="765"/>
      <c r="AS13" s="765"/>
      <c r="AT13" s="765"/>
      <c r="AU13" s="765"/>
      <c r="AV13" s="765"/>
      <c r="AW13" s="765"/>
      <c r="AX13" s="765"/>
      <c r="AY13" s="765"/>
      <c r="AZ13" s="765"/>
      <c r="BA13" s="765"/>
      <c r="BB13" s="765"/>
      <c r="BC13" s="765"/>
      <c r="BD13" s="765"/>
      <c r="BE13" s="765"/>
      <c r="BF13" s="765"/>
      <c r="BG13" s="765"/>
      <c r="BH13" s="765"/>
      <c r="BI13" s="765"/>
      <c r="BJ13" s="765"/>
      <c r="BK13" s="765"/>
      <c r="BL13" s="765"/>
      <c r="BM13" s="765"/>
      <c r="BN13" s="765"/>
      <c r="BO13" s="765"/>
      <c r="BP13" s="765"/>
      <c r="BQ13" s="765"/>
      <c r="BR13" s="765"/>
      <c r="BS13" s="765"/>
      <c r="BT13" s="765"/>
      <c r="BU13" s="765"/>
      <c r="BV13" s="765"/>
      <c r="BW13" s="765"/>
      <c r="BX13" s="765"/>
      <c r="BY13" s="765"/>
      <c r="BZ13" s="765"/>
      <c r="CA13" s="765"/>
      <c r="CB13" s="765"/>
      <c r="CC13" s="765"/>
      <c r="CD13" s="765"/>
      <c r="CE13" s="765"/>
      <c r="CF13" s="765"/>
      <c r="CG13" s="765"/>
      <c r="CH13" s="765"/>
      <c r="CI13" s="765"/>
      <c r="CJ13" s="765"/>
      <c r="CK13" s="765"/>
      <c r="CL13" s="765"/>
      <c r="CM13" s="765"/>
      <c r="CN13" s="765"/>
      <c r="CO13" s="765"/>
      <c r="CP13" s="765"/>
      <c r="CQ13" s="765"/>
      <c r="CR13" s="765"/>
      <c r="CS13" s="765"/>
      <c r="CT13" s="765"/>
      <c r="CU13" s="765"/>
      <c r="CV13" s="765"/>
      <c r="CW13" s="765"/>
      <c r="CX13" s="765"/>
      <c r="CY13" s="765"/>
      <c r="CZ13" s="765"/>
      <c r="DA13" s="765"/>
      <c r="DB13" s="765"/>
      <c r="DC13" s="765"/>
      <c r="DD13" s="765"/>
      <c r="DE13" s="765"/>
      <c r="DF13" s="765"/>
      <c r="DG13" s="765"/>
      <c r="DH13" s="765"/>
      <c r="DI13" s="765"/>
      <c r="DJ13" s="765"/>
      <c r="DK13" s="765"/>
      <c r="DL13" s="765"/>
      <c r="DM13" s="765"/>
      <c r="DN13" s="765"/>
      <c r="DO13" s="765"/>
      <c r="DP13" s="765"/>
      <c r="DQ13" s="765"/>
      <c r="DR13" s="765"/>
      <c r="DS13" s="765"/>
      <c r="DT13" s="765"/>
      <c r="DU13" s="765"/>
      <c r="DV13" s="765"/>
      <c r="DW13" s="765"/>
      <c r="DX13" s="765"/>
      <c r="DY13" s="765"/>
      <c r="DZ13" s="765"/>
      <c r="EA13" s="765"/>
      <c r="EB13" s="765"/>
      <c r="EC13" s="765"/>
      <c r="ED13" s="765"/>
      <c r="EE13" s="765"/>
      <c r="EF13" s="765"/>
      <c r="EG13" s="765"/>
      <c r="EH13" s="765"/>
      <c r="EI13" s="765"/>
      <c r="EJ13" s="765"/>
      <c r="EK13" s="765"/>
      <c r="EL13" s="765"/>
      <c r="EM13" s="765"/>
      <c r="EN13" s="765"/>
      <c r="EO13" s="765"/>
      <c r="EP13" s="765"/>
      <c r="EQ13" s="765"/>
      <c r="ER13" s="765"/>
      <c r="ES13" s="765"/>
      <c r="ET13" s="765"/>
      <c r="EU13" s="765"/>
      <c r="EV13" s="765"/>
      <c r="EW13" s="765"/>
      <c r="EX13" s="765"/>
      <c r="EY13" s="765"/>
      <c r="EZ13" s="765"/>
      <c r="FA13" s="765"/>
      <c r="FB13" s="765"/>
      <c r="FC13" s="765"/>
      <c r="FD13" s="765"/>
      <c r="FE13" s="765"/>
      <c r="FF13" s="765"/>
      <c r="FG13" s="765"/>
      <c r="FH13" s="765"/>
      <c r="FI13" s="765"/>
      <c r="FJ13" s="765"/>
      <c r="FK13" s="765"/>
      <c r="FL13" s="765"/>
      <c r="FM13" s="765"/>
      <c r="FN13" s="765"/>
      <c r="FO13" s="765"/>
      <c r="FP13" s="765"/>
      <c r="FQ13" s="765"/>
      <c r="FR13" s="765"/>
      <c r="FS13" s="765"/>
      <c r="FT13" s="765"/>
      <c r="FU13" s="765"/>
      <c r="FV13" s="765"/>
      <c r="FW13" s="765"/>
      <c r="FX13" s="765"/>
      <c r="FY13" s="765"/>
      <c r="FZ13" s="765"/>
      <c r="GA13" s="765"/>
      <c r="GB13" s="765"/>
      <c r="GC13" s="765"/>
      <c r="GD13" s="765"/>
      <c r="GE13" s="765"/>
      <c r="GF13" s="765"/>
      <c r="GG13" s="765"/>
      <c r="GH13" s="765"/>
      <c r="GI13" s="765"/>
      <c r="GJ13" s="765"/>
      <c r="GK13" s="765"/>
      <c r="GL13" s="765"/>
      <c r="GM13" s="765"/>
      <c r="GN13" s="765"/>
      <c r="GO13" s="765"/>
      <c r="GP13" s="765"/>
      <c r="GQ13" s="765"/>
      <c r="GR13" s="765"/>
      <c r="GS13" s="765"/>
      <c r="GT13" s="765"/>
      <c r="GU13" s="765"/>
      <c r="GV13" s="765"/>
      <c r="GW13" s="765"/>
      <c r="GX13" s="765"/>
      <c r="GY13" s="765"/>
      <c r="GZ13" s="765"/>
      <c r="HA13" s="765"/>
      <c r="HB13" s="765"/>
      <c r="HC13" s="765"/>
      <c r="HD13" s="765"/>
      <c r="HE13" s="765"/>
      <c r="HF13" s="765"/>
      <c r="HG13" s="765"/>
      <c r="HH13" s="765"/>
      <c r="HI13" s="765"/>
      <c r="HJ13" s="765"/>
      <c r="HK13" s="765"/>
      <c r="HL13" s="765"/>
      <c r="HM13" s="765"/>
      <c r="HN13" s="765"/>
      <c r="HO13" s="765"/>
      <c r="HP13" s="765"/>
      <c r="HQ13" s="765"/>
      <c r="HR13" s="765"/>
      <c r="HS13" s="765"/>
      <c r="HT13" s="765"/>
      <c r="HU13" s="765"/>
      <c r="HV13" s="765"/>
      <c r="HW13" s="765"/>
      <c r="HX13" s="765"/>
      <c r="HY13" s="765"/>
      <c r="HZ13" s="765"/>
      <c r="IA13" s="765"/>
      <c r="IB13" s="765"/>
      <c r="IC13" s="765"/>
      <c r="ID13" s="765"/>
      <c r="IE13" s="765"/>
      <c r="IF13" s="765"/>
      <c r="IG13" s="765"/>
      <c r="IH13" s="765"/>
      <c r="II13" s="765"/>
      <c r="IJ13" s="765"/>
      <c r="IK13" s="765"/>
      <c r="IL13" s="765"/>
      <c r="IM13" s="765"/>
      <c r="IN13" s="765"/>
      <c r="IO13" s="765"/>
      <c r="IP13" s="765"/>
      <c r="IQ13" s="765"/>
      <c r="IR13" s="765"/>
      <c r="IS13" s="765"/>
      <c r="IT13" s="765"/>
      <c r="IU13" s="765"/>
    </row>
    <row r="14" spans="1:255">
      <c r="B14" s="754"/>
      <c r="C14" s="773"/>
      <c r="D14" s="774"/>
      <c r="E14" s="775"/>
      <c r="F14" s="775"/>
      <c r="G14" s="775"/>
      <c r="H14" s="775"/>
      <c r="I14" s="775"/>
      <c r="J14" s="775"/>
      <c r="K14" s="758"/>
      <c r="L14" s="758"/>
      <c r="M14" s="758"/>
      <c r="N14" s="758"/>
      <c r="O14" s="758"/>
      <c r="P14" s="758"/>
      <c r="Q14" s="759"/>
      <c r="S14" s="759"/>
      <c r="U14" s="749"/>
    </row>
    <row r="15" spans="1:255">
      <c r="A15" s="749"/>
      <c r="B15" s="776" t="s">
        <v>167</v>
      </c>
      <c r="C15" s="777"/>
      <c r="D15" s="778"/>
      <c r="E15" s="763">
        <f>Financials!DY15</f>
        <v>1816.4905251204877</v>
      </c>
      <c r="F15" s="763">
        <f>Financials!DZ15</f>
        <v>1868.1430839853529</v>
      </c>
      <c r="G15" s="763">
        <f>Financials!EA15</f>
        <v>1837.9537529511742</v>
      </c>
      <c r="H15" s="763">
        <f>Financials!EB15</f>
        <v>1795.5434047870326</v>
      </c>
      <c r="I15" s="763">
        <f>Financials!EC15</f>
        <v>1729.6532828395586</v>
      </c>
      <c r="J15" s="763">
        <f>Financials!ED15</f>
        <v>1639.9010158781668</v>
      </c>
      <c r="K15" s="764">
        <f t="shared" ref="K15:P15" si="7">K$9*K16</f>
        <v>1648.4078341283873</v>
      </c>
      <c r="L15" s="764">
        <f t="shared" si="7"/>
        <v>1654.8685315697553</v>
      </c>
      <c r="M15" s="764">
        <f t="shared" si="7"/>
        <v>1659.240918773711</v>
      </c>
      <c r="N15" s="764">
        <f t="shared" si="7"/>
        <v>1661.4896152323113</v>
      </c>
      <c r="O15" s="764">
        <f t="shared" si="7"/>
        <v>1661.5863202534267</v>
      </c>
      <c r="P15" s="764">
        <f t="shared" si="7"/>
        <v>1659.5100481769259</v>
      </c>
      <c r="Q15" s="749"/>
      <c r="R15" s="749"/>
      <c r="S15" s="759"/>
      <c r="T15" s="749"/>
      <c r="U15" s="749"/>
      <c r="V15" s="749"/>
      <c r="W15" s="749"/>
      <c r="X15" s="749"/>
      <c r="Y15" s="749"/>
      <c r="Z15" s="749"/>
      <c r="AA15" s="749"/>
      <c r="AB15" s="749"/>
      <c r="AC15" s="749"/>
      <c r="AD15" s="749"/>
      <c r="AE15" s="749"/>
      <c r="AF15" s="749"/>
      <c r="AG15" s="749"/>
      <c r="AH15" s="749"/>
      <c r="AI15" s="749"/>
      <c r="AJ15" s="749"/>
      <c r="AK15" s="749"/>
      <c r="AL15" s="749"/>
      <c r="AM15" s="749"/>
      <c r="AN15" s="749"/>
      <c r="AO15" s="749"/>
      <c r="AP15" s="749"/>
      <c r="AQ15" s="749"/>
      <c r="AR15" s="749"/>
      <c r="AS15" s="749"/>
      <c r="AT15" s="749"/>
      <c r="AU15" s="749"/>
      <c r="AV15" s="749"/>
      <c r="AW15" s="749"/>
      <c r="AX15" s="749"/>
      <c r="AY15" s="749"/>
      <c r="AZ15" s="749"/>
      <c r="BA15" s="749"/>
      <c r="BB15" s="749"/>
      <c r="BC15" s="749"/>
      <c r="BD15" s="749"/>
      <c r="BE15" s="749"/>
      <c r="BF15" s="749"/>
      <c r="BG15" s="749"/>
      <c r="BH15" s="749"/>
      <c r="BI15" s="749"/>
      <c r="BJ15" s="749"/>
      <c r="BK15" s="749"/>
      <c r="BL15" s="749"/>
      <c r="BM15" s="749"/>
      <c r="BN15" s="749"/>
      <c r="BO15" s="749"/>
      <c r="BP15" s="749"/>
      <c r="BQ15" s="749"/>
      <c r="BR15" s="749"/>
      <c r="BS15" s="749"/>
      <c r="BT15" s="749"/>
      <c r="BU15" s="749"/>
      <c r="BV15" s="749"/>
      <c r="BW15" s="749"/>
      <c r="BX15" s="749"/>
      <c r="BY15" s="749"/>
      <c r="BZ15" s="749"/>
      <c r="CA15" s="749"/>
      <c r="CB15" s="749"/>
      <c r="CC15" s="749"/>
      <c r="CD15" s="749"/>
      <c r="CE15" s="749"/>
      <c r="CF15" s="749"/>
      <c r="CG15" s="749"/>
      <c r="CH15" s="749"/>
      <c r="CI15" s="749"/>
      <c r="CJ15" s="749"/>
      <c r="CK15" s="749"/>
      <c r="CL15" s="749"/>
      <c r="CM15" s="749"/>
      <c r="CN15" s="749"/>
      <c r="CO15" s="749"/>
      <c r="CP15" s="749"/>
      <c r="CQ15" s="749"/>
      <c r="CR15" s="749"/>
      <c r="CS15" s="749"/>
      <c r="CT15" s="749"/>
      <c r="CU15" s="749"/>
      <c r="CV15" s="749"/>
      <c r="CW15" s="749"/>
      <c r="CX15" s="749"/>
      <c r="CY15" s="749"/>
      <c r="CZ15" s="749"/>
      <c r="DA15" s="749"/>
      <c r="DB15" s="749"/>
      <c r="DC15" s="749"/>
      <c r="DD15" s="749"/>
      <c r="DE15" s="749"/>
      <c r="DF15" s="749"/>
      <c r="DG15" s="749"/>
      <c r="DH15" s="749"/>
      <c r="DI15" s="749"/>
      <c r="DJ15" s="749"/>
      <c r="DK15" s="749"/>
      <c r="DL15" s="749"/>
      <c r="DM15" s="749"/>
      <c r="DN15" s="749"/>
      <c r="DO15" s="749"/>
      <c r="DP15" s="749"/>
      <c r="DQ15" s="749"/>
      <c r="DR15" s="749"/>
      <c r="DS15" s="749"/>
      <c r="DT15" s="749"/>
      <c r="DU15" s="749"/>
      <c r="DV15" s="749"/>
      <c r="DW15" s="749"/>
      <c r="DX15" s="749"/>
      <c r="DY15" s="749"/>
      <c r="DZ15" s="749"/>
      <c r="EA15" s="749"/>
      <c r="EB15" s="749"/>
      <c r="EC15" s="749"/>
      <c r="ED15" s="749"/>
      <c r="EE15" s="749"/>
      <c r="EF15" s="749"/>
      <c r="EG15" s="749"/>
      <c r="EH15" s="749"/>
      <c r="EI15" s="749"/>
      <c r="EJ15" s="749"/>
      <c r="EK15" s="749"/>
      <c r="EL15" s="749"/>
      <c r="EM15" s="749"/>
      <c r="EN15" s="749"/>
      <c r="EO15" s="749"/>
      <c r="EP15" s="749"/>
      <c r="EQ15" s="749"/>
      <c r="ER15" s="749"/>
      <c r="ES15" s="749"/>
      <c r="ET15" s="749"/>
      <c r="EU15" s="749"/>
      <c r="EV15" s="749"/>
      <c r="EW15" s="749"/>
      <c r="EX15" s="749"/>
      <c r="EY15" s="749"/>
      <c r="EZ15" s="749"/>
      <c r="FA15" s="749"/>
      <c r="FB15" s="749"/>
      <c r="FC15" s="749"/>
      <c r="FD15" s="749"/>
      <c r="FE15" s="749"/>
      <c r="FF15" s="749"/>
      <c r="FG15" s="749"/>
      <c r="FH15" s="749"/>
      <c r="FI15" s="749"/>
      <c r="FJ15" s="749"/>
      <c r="FK15" s="749"/>
      <c r="FL15" s="749"/>
      <c r="FM15" s="749"/>
      <c r="FN15" s="749"/>
      <c r="FO15" s="749"/>
      <c r="FP15" s="749"/>
      <c r="FQ15" s="749"/>
      <c r="FR15" s="749"/>
      <c r="FS15" s="749"/>
      <c r="FT15" s="749"/>
      <c r="FU15" s="749"/>
      <c r="FV15" s="749"/>
      <c r="FW15" s="749"/>
      <c r="FX15" s="749"/>
      <c r="FY15" s="749"/>
      <c r="FZ15" s="749"/>
      <c r="GA15" s="749"/>
      <c r="GB15" s="749"/>
      <c r="GC15" s="749"/>
      <c r="GD15" s="749"/>
      <c r="GE15" s="749"/>
      <c r="GF15" s="749"/>
      <c r="GG15" s="749"/>
      <c r="GH15" s="749"/>
      <c r="GI15" s="749"/>
      <c r="GJ15" s="749"/>
      <c r="GK15" s="749"/>
      <c r="GL15" s="749"/>
      <c r="GM15" s="749"/>
      <c r="GN15" s="749"/>
      <c r="GO15" s="749"/>
      <c r="GP15" s="749"/>
      <c r="GQ15" s="749"/>
      <c r="GR15" s="749"/>
      <c r="GS15" s="749"/>
      <c r="GT15" s="749"/>
      <c r="GU15" s="749"/>
      <c r="GV15" s="749"/>
      <c r="GW15" s="749"/>
      <c r="GX15" s="749"/>
      <c r="GY15" s="749"/>
      <c r="GZ15" s="749"/>
      <c r="HA15" s="749"/>
      <c r="HB15" s="749"/>
      <c r="HC15" s="749"/>
      <c r="HD15" s="749"/>
      <c r="HE15" s="749"/>
      <c r="HF15" s="749"/>
      <c r="HG15" s="749"/>
      <c r="HH15" s="749"/>
      <c r="HI15" s="749"/>
      <c r="HJ15" s="749"/>
      <c r="HK15" s="749"/>
      <c r="HL15" s="749"/>
      <c r="HM15" s="749"/>
      <c r="HN15" s="749"/>
      <c r="HO15" s="749"/>
      <c r="HP15" s="749"/>
      <c r="HQ15" s="749"/>
      <c r="HR15" s="749"/>
      <c r="HS15" s="749"/>
      <c r="HT15" s="749"/>
      <c r="HU15" s="749"/>
      <c r="HV15" s="749"/>
      <c r="HW15" s="749"/>
      <c r="HX15" s="749"/>
      <c r="HY15" s="749"/>
      <c r="HZ15" s="749"/>
      <c r="IA15" s="749"/>
      <c r="IB15" s="749"/>
      <c r="IC15" s="749"/>
      <c r="ID15" s="749"/>
      <c r="IE15" s="749"/>
      <c r="IF15" s="749"/>
      <c r="IG15" s="749"/>
      <c r="IH15" s="749"/>
      <c r="II15" s="749"/>
      <c r="IJ15" s="749"/>
      <c r="IK15" s="749"/>
      <c r="IL15" s="749"/>
      <c r="IM15" s="749"/>
      <c r="IN15" s="749"/>
      <c r="IO15" s="749"/>
      <c r="IP15" s="749"/>
      <c r="IQ15" s="749"/>
      <c r="IR15" s="749"/>
      <c r="IS15" s="749"/>
      <c r="IT15" s="749"/>
      <c r="IU15" s="749"/>
    </row>
    <row r="16" spans="1:255">
      <c r="A16" s="765"/>
      <c r="B16" s="766" t="s">
        <v>203</v>
      </c>
      <c r="C16" s="767"/>
      <c r="D16" s="768"/>
      <c r="E16" s="770">
        <f>E15/E$9</f>
        <v>8.2719333212301266E-2</v>
      </c>
      <c r="F16" s="770">
        <f>F15/F$9</f>
        <v>8.0117963901264785E-2</v>
      </c>
      <c r="G16" s="770">
        <f>G15/G$9</f>
        <v>7.5040211490722444E-2</v>
      </c>
      <c r="H16" s="770">
        <f t="shared" ref="H16:J16" si="8">H15/H$9</f>
        <v>7.0060201187766208E-2</v>
      </c>
      <c r="I16" s="770">
        <f t="shared" si="8"/>
        <v>6.5179274137825066E-2</v>
      </c>
      <c r="J16" s="770">
        <f t="shared" si="8"/>
        <v>6.0401264560515984E-2</v>
      </c>
      <c r="K16" s="771">
        <f t="shared" ref="K16:P16" si="9">J16-0.001</f>
        <v>5.9401264560515983E-2</v>
      </c>
      <c r="L16" s="771">
        <f t="shared" si="9"/>
        <v>5.8401264560515982E-2</v>
      </c>
      <c r="M16" s="771">
        <f t="shared" si="9"/>
        <v>5.7401264560515981E-2</v>
      </c>
      <c r="N16" s="771">
        <f t="shared" si="9"/>
        <v>5.640126456051598E-2</v>
      </c>
      <c r="O16" s="771">
        <f t="shared" si="9"/>
        <v>5.540126456051598E-2</v>
      </c>
      <c r="P16" s="771">
        <f t="shared" si="9"/>
        <v>5.4401264560515979E-2</v>
      </c>
      <c r="Q16" s="749"/>
      <c r="R16" s="765"/>
      <c r="S16" s="759"/>
      <c r="T16" s="765"/>
      <c r="U16" s="749"/>
      <c r="V16" s="765"/>
      <c r="W16" s="765"/>
      <c r="X16" s="765"/>
      <c r="Y16" s="765"/>
      <c r="Z16" s="765"/>
      <c r="AA16" s="765"/>
      <c r="AB16" s="765"/>
      <c r="AC16" s="765"/>
      <c r="AD16" s="765"/>
      <c r="AE16" s="765"/>
      <c r="AF16" s="765"/>
      <c r="AG16" s="765"/>
      <c r="AH16" s="765"/>
      <c r="AI16" s="765"/>
      <c r="AJ16" s="765"/>
      <c r="AK16" s="765"/>
      <c r="AL16" s="765"/>
      <c r="AM16" s="765"/>
      <c r="AN16" s="765"/>
      <c r="AO16" s="765"/>
      <c r="AP16" s="765"/>
      <c r="AQ16" s="765"/>
      <c r="AR16" s="765"/>
      <c r="AS16" s="765"/>
      <c r="AT16" s="765"/>
      <c r="AU16" s="765"/>
      <c r="AV16" s="765"/>
      <c r="AW16" s="765"/>
      <c r="AX16" s="765"/>
      <c r="AY16" s="765"/>
      <c r="AZ16" s="765"/>
      <c r="BA16" s="765"/>
      <c r="BB16" s="765"/>
      <c r="BC16" s="765"/>
      <c r="BD16" s="765"/>
      <c r="BE16" s="765"/>
      <c r="BF16" s="765"/>
      <c r="BG16" s="765"/>
      <c r="BH16" s="765"/>
      <c r="BI16" s="765"/>
      <c r="BJ16" s="765"/>
      <c r="BK16" s="765"/>
      <c r="BL16" s="765"/>
      <c r="BM16" s="765"/>
      <c r="BN16" s="765"/>
      <c r="BO16" s="765"/>
      <c r="BP16" s="765"/>
      <c r="BQ16" s="765"/>
      <c r="BR16" s="765"/>
      <c r="BS16" s="765"/>
      <c r="BT16" s="765"/>
      <c r="BU16" s="765"/>
      <c r="BV16" s="765"/>
      <c r="BW16" s="765"/>
      <c r="BX16" s="765"/>
      <c r="BY16" s="765"/>
      <c r="BZ16" s="765"/>
      <c r="CA16" s="765"/>
      <c r="CB16" s="765"/>
      <c r="CC16" s="765"/>
      <c r="CD16" s="765"/>
      <c r="CE16" s="765"/>
      <c r="CF16" s="765"/>
      <c r="CG16" s="765"/>
      <c r="CH16" s="765"/>
      <c r="CI16" s="765"/>
      <c r="CJ16" s="765"/>
      <c r="CK16" s="765"/>
      <c r="CL16" s="765"/>
      <c r="CM16" s="765"/>
      <c r="CN16" s="765"/>
      <c r="CO16" s="765"/>
      <c r="CP16" s="765"/>
      <c r="CQ16" s="765"/>
      <c r="CR16" s="765"/>
      <c r="CS16" s="765"/>
      <c r="CT16" s="765"/>
      <c r="CU16" s="765"/>
      <c r="CV16" s="765"/>
      <c r="CW16" s="765"/>
      <c r="CX16" s="765"/>
      <c r="CY16" s="765"/>
      <c r="CZ16" s="765"/>
      <c r="DA16" s="765"/>
      <c r="DB16" s="765"/>
      <c r="DC16" s="765"/>
      <c r="DD16" s="765"/>
      <c r="DE16" s="765"/>
      <c r="DF16" s="765"/>
      <c r="DG16" s="765"/>
      <c r="DH16" s="765"/>
      <c r="DI16" s="765"/>
      <c r="DJ16" s="765"/>
      <c r="DK16" s="765"/>
      <c r="DL16" s="765"/>
      <c r="DM16" s="765"/>
      <c r="DN16" s="765"/>
      <c r="DO16" s="765"/>
      <c r="DP16" s="765"/>
      <c r="DQ16" s="765"/>
      <c r="DR16" s="765"/>
      <c r="DS16" s="765"/>
      <c r="DT16" s="765"/>
      <c r="DU16" s="765"/>
      <c r="DV16" s="765"/>
      <c r="DW16" s="765"/>
      <c r="DX16" s="765"/>
      <c r="DY16" s="765"/>
      <c r="DZ16" s="765"/>
      <c r="EA16" s="765"/>
      <c r="EB16" s="765"/>
      <c r="EC16" s="765"/>
      <c r="ED16" s="765"/>
      <c r="EE16" s="765"/>
      <c r="EF16" s="765"/>
      <c r="EG16" s="765"/>
      <c r="EH16" s="765"/>
      <c r="EI16" s="765"/>
      <c r="EJ16" s="765"/>
      <c r="EK16" s="765"/>
      <c r="EL16" s="765"/>
      <c r="EM16" s="765"/>
      <c r="EN16" s="765"/>
      <c r="EO16" s="765"/>
      <c r="EP16" s="765"/>
      <c r="EQ16" s="765"/>
      <c r="ER16" s="765"/>
      <c r="ES16" s="765"/>
      <c r="ET16" s="765"/>
      <c r="EU16" s="765"/>
      <c r="EV16" s="765"/>
      <c r="EW16" s="765"/>
      <c r="EX16" s="765"/>
      <c r="EY16" s="765"/>
      <c r="EZ16" s="765"/>
      <c r="FA16" s="765"/>
      <c r="FB16" s="765"/>
      <c r="FC16" s="765"/>
      <c r="FD16" s="765"/>
      <c r="FE16" s="765"/>
      <c r="FF16" s="765"/>
      <c r="FG16" s="765"/>
      <c r="FH16" s="765"/>
      <c r="FI16" s="765"/>
      <c r="FJ16" s="765"/>
      <c r="FK16" s="765"/>
      <c r="FL16" s="765"/>
      <c r="FM16" s="765"/>
      <c r="FN16" s="765"/>
      <c r="FO16" s="765"/>
      <c r="FP16" s="765"/>
      <c r="FQ16" s="765"/>
      <c r="FR16" s="765"/>
      <c r="FS16" s="765"/>
      <c r="FT16" s="765"/>
      <c r="FU16" s="765"/>
      <c r="FV16" s="765"/>
      <c r="FW16" s="765"/>
      <c r="FX16" s="765"/>
      <c r="FY16" s="765"/>
      <c r="FZ16" s="765"/>
      <c r="GA16" s="765"/>
      <c r="GB16" s="765"/>
      <c r="GC16" s="765"/>
      <c r="GD16" s="765"/>
      <c r="GE16" s="765"/>
      <c r="GF16" s="765"/>
      <c r="GG16" s="765"/>
      <c r="GH16" s="765"/>
      <c r="GI16" s="765"/>
      <c r="GJ16" s="765"/>
      <c r="GK16" s="765"/>
      <c r="GL16" s="765"/>
      <c r="GM16" s="765"/>
      <c r="GN16" s="765"/>
      <c r="GO16" s="765"/>
      <c r="GP16" s="765"/>
      <c r="GQ16" s="765"/>
      <c r="GR16" s="765"/>
      <c r="GS16" s="765"/>
      <c r="GT16" s="765"/>
      <c r="GU16" s="765"/>
      <c r="GV16" s="765"/>
      <c r="GW16" s="765"/>
      <c r="GX16" s="765"/>
      <c r="GY16" s="765"/>
      <c r="GZ16" s="765"/>
      <c r="HA16" s="765"/>
      <c r="HB16" s="765"/>
      <c r="HC16" s="765"/>
      <c r="HD16" s="765"/>
      <c r="HE16" s="765"/>
      <c r="HF16" s="765"/>
      <c r="HG16" s="765"/>
      <c r="HH16" s="765"/>
      <c r="HI16" s="765"/>
      <c r="HJ16" s="765"/>
      <c r="HK16" s="765"/>
      <c r="HL16" s="765"/>
      <c r="HM16" s="765"/>
      <c r="HN16" s="765"/>
      <c r="HO16" s="765"/>
      <c r="HP16" s="765"/>
      <c r="HQ16" s="765"/>
      <c r="HR16" s="765"/>
      <c r="HS16" s="765"/>
      <c r="HT16" s="765"/>
      <c r="HU16" s="765"/>
      <c r="HV16" s="765"/>
      <c r="HW16" s="765"/>
      <c r="HX16" s="765"/>
      <c r="HY16" s="765"/>
      <c r="HZ16" s="765"/>
      <c r="IA16" s="765"/>
      <c r="IB16" s="765"/>
      <c r="IC16" s="765"/>
      <c r="ID16" s="765"/>
      <c r="IE16" s="765"/>
      <c r="IF16" s="765"/>
      <c r="IG16" s="765"/>
      <c r="IH16" s="765"/>
      <c r="II16" s="765"/>
      <c r="IJ16" s="765"/>
      <c r="IK16" s="765"/>
      <c r="IL16" s="765"/>
      <c r="IM16" s="765"/>
      <c r="IN16" s="765"/>
      <c r="IO16" s="765"/>
      <c r="IP16" s="765"/>
      <c r="IQ16" s="765"/>
      <c r="IR16" s="765"/>
      <c r="IS16" s="765"/>
      <c r="IT16" s="765"/>
      <c r="IU16" s="765"/>
    </row>
    <row r="17" spans="1:255">
      <c r="C17" s="779"/>
      <c r="D17" s="779"/>
      <c r="E17" s="758"/>
      <c r="F17" s="758"/>
      <c r="G17" s="758"/>
      <c r="H17" s="758"/>
      <c r="I17" s="758"/>
      <c r="J17" s="758"/>
      <c r="K17" s="758"/>
      <c r="L17" s="758"/>
      <c r="M17" s="758"/>
      <c r="N17" s="758"/>
      <c r="O17" s="758"/>
      <c r="P17" s="758"/>
      <c r="S17" s="759"/>
    </row>
    <row r="18" spans="1:255">
      <c r="B18" s="747" t="s">
        <v>109</v>
      </c>
      <c r="C18" s="779"/>
      <c r="D18" s="779"/>
      <c r="E18" s="782">
        <f t="shared" ref="E18:M18" si="10">-E15*E19</f>
        <v>-399.62791552650731</v>
      </c>
      <c r="F18" s="782">
        <f t="shared" si="10"/>
        <v>-410.99147847677762</v>
      </c>
      <c r="G18" s="782">
        <f t="shared" si="10"/>
        <v>-404.34982564925832</v>
      </c>
      <c r="H18" s="782">
        <f t="shared" ref="H18:J18" si="11">-H15*H19</f>
        <v>-395.01954905314716</v>
      </c>
      <c r="I18" s="782">
        <f t="shared" si="11"/>
        <v>-380.52372222470291</v>
      </c>
      <c r="J18" s="782">
        <f t="shared" si="11"/>
        <v>-360.77822349319672</v>
      </c>
      <c r="K18" s="782">
        <f t="shared" si="10"/>
        <v>-362.64972350824519</v>
      </c>
      <c r="L18" s="782">
        <f t="shared" si="10"/>
        <v>-364.07107694534619</v>
      </c>
      <c r="M18" s="782">
        <f t="shared" si="10"/>
        <v>-365.0330021302164</v>
      </c>
      <c r="N18" s="782">
        <f t="shared" ref="N18:O18" si="12">-N15*N19</f>
        <v>-365.5277153511085</v>
      </c>
      <c r="O18" s="782">
        <f t="shared" si="12"/>
        <v>-365.54899045575388</v>
      </c>
      <c r="P18" s="782">
        <f t="shared" ref="P18" si="13">-P15*P19</f>
        <v>-365.09221059892371</v>
      </c>
      <c r="S18" s="783"/>
      <c r="U18" s="749"/>
    </row>
    <row r="19" spans="1:255">
      <c r="A19" s="765"/>
      <c r="B19" s="766" t="s">
        <v>209</v>
      </c>
      <c r="C19" s="767"/>
      <c r="D19" s="768"/>
      <c r="E19" s="775">
        <f>$E$38</f>
        <v>0.22</v>
      </c>
      <c r="F19" s="775">
        <f t="shared" ref="F19:P19" si="14">$E$38</f>
        <v>0.22</v>
      </c>
      <c r="G19" s="775">
        <f t="shared" si="14"/>
        <v>0.22</v>
      </c>
      <c r="H19" s="775">
        <f t="shared" si="14"/>
        <v>0.22</v>
      </c>
      <c r="I19" s="775">
        <f t="shared" si="14"/>
        <v>0.22</v>
      </c>
      <c r="J19" s="775">
        <f t="shared" si="14"/>
        <v>0.22</v>
      </c>
      <c r="K19" s="775">
        <f t="shared" si="14"/>
        <v>0.22</v>
      </c>
      <c r="L19" s="775">
        <f t="shared" si="14"/>
        <v>0.22</v>
      </c>
      <c r="M19" s="775">
        <f t="shared" si="14"/>
        <v>0.22</v>
      </c>
      <c r="N19" s="775">
        <f t="shared" si="14"/>
        <v>0.22</v>
      </c>
      <c r="O19" s="775">
        <f t="shared" si="14"/>
        <v>0.22</v>
      </c>
      <c r="P19" s="775">
        <f t="shared" si="14"/>
        <v>0.22</v>
      </c>
      <c r="Q19" s="765"/>
      <c r="R19" s="765"/>
      <c r="S19" s="765"/>
      <c r="T19" s="765"/>
      <c r="U19" s="772"/>
      <c r="V19" s="765"/>
      <c r="W19" s="765"/>
      <c r="X19" s="765"/>
      <c r="Y19" s="765"/>
      <c r="Z19" s="765"/>
      <c r="AA19" s="765"/>
      <c r="AB19" s="765"/>
      <c r="AC19" s="765"/>
      <c r="AD19" s="765"/>
      <c r="AE19" s="765"/>
      <c r="AF19" s="765"/>
      <c r="AG19" s="765"/>
      <c r="AH19" s="765"/>
      <c r="AI19" s="765"/>
      <c r="AJ19" s="765"/>
      <c r="AK19" s="765"/>
      <c r="AL19" s="765"/>
      <c r="AM19" s="765"/>
      <c r="AN19" s="765"/>
      <c r="AO19" s="765"/>
      <c r="AP19" s="765"/>
      <c r="AQ19" s="765"/>
      <c r="AR19" s="765"/>
      <c r="AS19" s="765"/>
      <c r="AT19" s="765"/>
      <c r="AU19" s="765"/>
      <c r="AV19" s="765"/>
      <c r="AW19" s="765"/>
      <c r="AX19" s="765"/>
      <c r="AY19" s="765"/>
      <c r="AZ19" s="765"/>
      <c r="BA19" s="765"/>
      <c r="BB19" s="765"/>
      <c r="BC19" s="765"/>
      <c r="BD19" s="765"/>
      <c r="BE19" s="765"/>
      <c r="BF19" s="765"/>
      <c r="BG19" s="765"/>
      <c r="BH19" s="765"/>
      <c r="BI19" s="765"/>
      <c r="BJ19" s="765"/>
      <c r="BK19" s="765"/>
      <c r="BL19" s="765"/>
      <c r="BM19" s="765"/>
      <c r="BN19" s="765"/>
      <c r="BO19" s="765"/>
      <c r="BP19" s="765"/>
      <c r="BQ19" s="765"/>
      <c r="BR19" s="765"/>
      <c r="BS19" s="765"/>
      <c r="BT19" s="765"/>
      <c r="BU19" s="765"/>
      <c r="BV19" s="765"/>
      <c r="BW19" s="765"/>
      <c r="BX19" s="765"/>
      <c r="BY19" s="765"/>
      <c r="BZ19" s="765"/>
      <c r="CA19" s="765"/>
      <c r="CB19" s="765"/>
      <c r="CC19" s="765"/>
      <c r="CD19" s="765"/>
      <c r="CE19" s="765"/>
      <c r="CF19" s="765"/>
      <c r="CG19" s="765"/>
      <c r="CH19" s="765"/>
      <c r="CI19" s="765"/>
      <c r="CJ19" s="765"/>
      <c r="CK19" s="765"/>
      <c r="CL19" s="765"/>
      <c r="CM19" s="765"/>
      <c r="CN19" s="765"/>
      <c r="CO19" s="765"/>
      <c r="CP19" s="765"/>
      <c r="CQ19" s="765"/>
      <c r="CR19" s="765"/>
      <c r="CS19" s="765"/>
      <c r="CT19" s="765"/>
      <c r="CU19" s="765"/>
      <c r="CV19" s="765"/>
      <c r="CW19" s="765"/>
      <c r="CX19" s="765"/>
      <c r="CY19" s="765"/>
      <c r="CZ19" s="765"/>
      <c r="DA19" s="765"/>
      <c r="DB19" s="765"/>
      <c r="DC19" s="765"/>
      <c r="DD19" s="765"/>
      <c r="DE19" s="765"/>
      <c r="DF19" s="765"/>
      <c r="DG19" s="765"/>
      <c r="DH19" s="765"/>
      <c r="DI19" s="765"/>
      <c r="DJ19" s="765"/>
      <c r="DK19" s="765"/>
      <c r="DL19" s="765"/>
      <c r="DM19" s="765"/>
      <c r="DN19" s="765"/>
      <c r="DO19" s="765"/>
      <c r="DP19" s="765"/>
      <c r="DQ19" s="765"/>
      <c r="DR19" s="765"/>
      <c r="DS19" s="765"/>
      <c r="DT19" s="765"/>
      <c r="DU19" s="765"/>
      <c r="DV19" s="765"/>
      <c r="DW19" s="765"/>
      <c r="DX19" s="765"/>
      <c r="DY19" s="765"/>
      <c r="DZ19" s="765"/>
      <c r="EA19" s="765"/>
      <c r="EB19" s="765"/>
      <c r="EC19" s="765"/>
      <c r="ED19" s="765"/>
      <c r="EE19" s="765"/>
      <c r="EF19" s="765"/>
      <c r="EG19" s="765"/>
      <c r="EH19" s="765"/>
      <c r="EI19" s="765"/>
      <c r="EJ19" s="765"/>
      <c r="EK19" s="765"/>
      <c r="EL19" s="765"/>
      <c r="EM19" s="765"/>
      <c r="EN19" s="765"/>
      <c r="EO19" s="765"/>
      <c r="EP19" s="765"/>
      <c r="EQ19" s="765"/>
      <c r="ER19" s="765"/>
      <c r="ES19" s="765"/>
      <c r="ET19" s="765"/>
      <c r="EU19" s="765"/>
      <c r="EV19" s="765"/>
      <c r="EW19" s="765"/>
      <c r="EX19" s="765"/>
      <c r="EY19" s="765"/>
      <c r="EZ19" s="765"/>
      <c r="FA19" s="765"/>
      <c r="FB19" s="765"/>
      <c r="FC19" s="765"/>
      <c r="FD19" s="765"/>
      <c r="FE19" s="765"/>
      <c r="FF19" s="765"/>
      <c r="FG19" s="765"/>
      <c r="FH19" s="765"/>
      <c r="FI19" s="765"/>
      <c r="FJ19" s="765"/>
      <c r="FK19" s="765"/>
      <c r="FL19" s="765"/>
      <c r="FM19" s="765"/>
      <c r="FN19" s="765"/>
      <c r="FO19" s="765"/>
      <c r="FP19" s="765"/>
      <c r="FQ19" s="765"/>
      <c r="FR19" s="765"/>
      <c r="FS19" s="765"/>
      <c r="FT19" s="765"/>
      <c r="FU19" s="765"/>
      <c r="FV19" s="765"/>
      <c r="FW19" s="765"/>
      <c r="FX19" s="765"/>
      <c r="FY19" s="765"/>
      <c r="FZ19" s="765"/>
      <c r="GA19" s="765"/>
      <c r="GB19" s="765"/>
      <c r="GC19" s="765"/>
      <c r="GD19" s="765"/>
      <c r="GE19" s="765"/>
      <c r="GF19" s="765"/>
      <c r="GG19" s="765"/>
      <c r="GH19" s="765"/>
      <c r="GI19" s="765"/>
      <c r="GJ19" s="765"/>
      <c r="GK19" s="765"/>
      <c r="GL19" s="765"/>
      <c r="GM19" s="765"/>
      <c r="GN19" s="765"/>
      <c r="GO19" s="765"/>
      <c r="GP19" s="765"/>
      <c r="GQ19" s="765"/>
      <c r="GR19" s="765"/>
      <c r="GS19" s="765"/>
      <c r="GT19" s="765"/>
      <c r="GU19" s="765"/>
      <c r="GV19" s="765"/>
      <c r="GW19" s="765"/>
      <c r="GX19" s="765"/>
      <c r="GY19" s="765"/>
      <c r="GZ19" s="765"/>
      <c r="HA19" s="765"/>
      <c r="HB19" s="765"/>
      <c r="HC19" s="765"/>
      <c r="HD19" s="765"/>
      <c r="HE19" s="765"/>
      <c r="HF19" s="765"/>
      <c r="HG19" s="765"/>
      <c r="HH19" s="765"/>
      <c r="HI19" s="765"/>
      <c r="HJ19" s="765"/>
      <c r="HK19" s="765"/>
      <c r="HL19" s="765"/>
      <c r="HM19" s="765"/>
      <c r="HN19" s="765"/>
      <c r="HO19" s="765"/>
      <c r="HP19" s="765"/>
      <c r="HQ19" s="765"/>
      <c r="HR19" s="765"/>
      <c r="HS19" s="765"/>
      <c r="HT19" s="765"/>
      <c r="HU19" s="765"/>
      <c r="HV19" s="765"/>
      <c r="HW19" s="765"/>
      <c r="HX19" s="765"/>
      <c r="HY19" s="765"/>
      <c r="HZ19" s="765"/>
      <c r="IA19" s="765"/>
      <c r="IB19" s="765"/>
      <c r="IC19" s="765"/>
      <c r="ID19" s="765"/>
      <c r="IE19" s="765"/>
      <c r="IF19" s="765"/>
      <c r="IG19" s="765"/>
      <c r="IH19" s="765"/>
      <c r="II19" s="765"/>
      <c r="IJ19" s="765"/>
      <c r="IK19" s="765"/>
      <c r="IL19" s="765"/>
      <c r="IM19" s="765"/>
      <c r="IN19" s="765"/>
      <c r="IO19" s="765"/>
      <c r="IP19" s="765"/>
      <c r="IQ19" s="765"/>
      <c r="IR19" s="765"/>
      <c r="IS19" s="765"/>
      <c r="IT19" s="765"/>
      <c r="IU19" s="765"/>
    </row>
    <row r="20" spans="1:255">
      <c r="B20" s="747" t="s">
        <v>186</v>
      </c>
      <c r="C20" s="779"/>
      <c r="D20" s="779"/>
      <c r="E20" s="780">
        <f>Financials!DY129</f>
        <v>92.392705298927012</v>
      </c>
      <c r="F20" s="780">
        <f>Financials!DZ129</f>
        <v>18.612173468696483</v>
      </c>
      <c r="G20" s="780">
        <f>Financials!EA129</f>
        <v>33.430465755529667</v>
      </c>
      <c r="H20" s="780">
        <f>Financials!EB129</f>
        <v>44.1233170225089</v>
      </c>
      <c r="I20" s="780">
        <f>Financials!EC129</f>
        <v>61.62022174923527</v>
      </c>
      <c r="J20" s="780">
        <f>Financials!ED129</f>
        <v>78.923262527566976</v>
      </c>
      <c r="K20" s="781">
        <f t="shared" ref="K20:P20" si="15">J20/J9*K9</f>
        <v>80.668207237219448</v>
      </c>
      <c r="L20" s="781">
        <f t="shared" si="15"/>
        <v>82.371063392100055</v>
      </c>
      <c r="M20" s="781">
        <f t="shared" si="15"/>
        <v>84.027494727883891</v>
      </c>
      <c r="N20" s="781">
        <f t="shared" si="15"/>
        <v>85.633208382570672</v>
      </c>
      <c r="O20" s="781">
        <f t="shared" si="15"/>
        <v>87.183973027531493</v>
      </c>
      <c r="P20" s="781">
        <f t="shared" si="15"/>
        <v>88.675637091754794</v>
      </c>
      <c r="S20" s="783"/>
      <c r="U20" s="749"/>
    </row>
    <row r="21" spans="1:255">
      <c r="B21" s="747" t="s">
        <v>141</v>
      </c>
      <c r="C21" s="779"/>
      <c r="D21" s="779"/>
      <c r="E21" s="780">
        <f>Financials!DY133</f>
        <v>-646.19296506751755</v>
      </c>
      <c r="F21" s="780">
        <f>Financials!DZ133</f>
        <v>-686.14570075136066</v>
      </c>
      <c r="G21" s="780">
        <f>Financials!EA133</f>
        <v>-720.73671123685733</v>
      </c>
      <c r="H21" s="780">
        <f>Financials!EB133</f>
        <v>-754.15504676837179</v>
      </c>
      <c r="I21" s="780">
        <f>Financials!EC133</f>
        <v>-780.88242693347274</v>
      </c>
      <c r="J21" s="780">
        <f>Financials!ED133</f>
        <v>-798.92813871616431</v>
      </c>
      <c r="K21" s="782">
        <f t="shared" ref="K21:M21" si="16">-K9*K22</f>
        <v>-816.59194764142671</v>
      </c>
      <c r="L21" s="782">
        <f t="shared" si="16"/>
        <v>-833.82970055166561</v>
      </c>
      <c r="M21" s="782">
        <f t="shared" si="16"/>
        <v>-850.59750210506263</v>
      </c>
      <c r="N21" s="782">
        <f t="shared" ref="N21:O21" si="17">-N9*N22</f>
        <v>-866.85189631490618</v>
      </c>
      <c r="O21" s="782">
        <f t="shared" si="17"/>
        <v>-882.55005008740932</v>
      </c>
      <c r="P21" s="782">
        <f t="shared" ref="P21" si="18">-P9*P22</f>
        <v>-897.64993770297076</v>
      </c>
      <c r="S21" s="783"/>
      <c r="U21" s="749"/>
    </row>
    <row r="22" spans="1:255">
      <c r="A22" s="765"/>
      <c r="B22" s="766" t="s">
        <v>242</v>
      </c>
      <c r="C22" s="767"/>
      <c r="D22" s="768"/>
      <c r="E22" s="770">
        <f>-E21/E9</f>
        <v>2.942633086033819E-2</v>
      </c>
      <c r="F22" s="770">
        <f>-F21/F9</f>
        <v>2.942633086033819E-2</v>
      </c>
      <c r="G22" s="770">
        <f>-G21/G9</f>
        <v>2.942633086033819E-2</v>
      </c>
      <c r="H22" s="770">
        <f t="shared" ref="H22:J22" si="19">-H21/H9</f>
        <v>2.942633086033819E-2</v>
      </c>
      <c r="I22" s="770">
        <f t="shared" si="19"/>
        <v>2.942633086033819E-2</v>
      </c>
      <c r="J22" s="770">
        <f t="shared" si="19"/>
        <v>2.9426330860338194E-2</v>
      </c>
      <c r="K22" s="771">
        <f t="shared" ref="K22:P22" si="20">J22</f>
        <v>2.9426330860338194E-2</v>
      </c>
      <c r="L22" s="771">
        <f t="shared" si="20"/>
        <v>2.9426330860338194E-2</v>
      </c>
      <c r="M22" s="771">
        <f t="shared" si="20"/>
        <v>2.9426330860338194E-2</v>
      </c>
      <c r="N22" s="771">
        <f t="shared" si="20"/>
        <v>2.9426330860338194E-2</v>
      </c>
      <c r="O22" s="771">
        <f t="shared" si="20"/>
        <v>2.9426330860338194E-2</v>
      </c>
      <c r="P22" s="771">
        <f t="shared" si="20"/>
        <v>2.9426330860338194E-2</v>
      </c>
      <c r="Q22" s="765"/>
      <c r="R22" s="765"/>
      <c r="S22" s="765"/>
      <c r="T22" s="765"/>
      <c r="U22" s="772"/>
      <c r="V22" s="765"/>
      <c r="W22" s="765"/>
      <c r="X22" s="765"/>
      <c r="Y22" s="765"/>
      <c r="Z22" s="765"/>
      <c r="AA22" s="765"/>
      <c r="AB22" s="765"/>
      <c r="AC22" s="765"/>
      <c r="AD22" s="765"/>
      <c r="AE22" s="765"/>
      <c r="AF22" s="765"/>
      <c r="AG22" s="765"/>
      <c r="AH22" s="765"/>
      <c r="AI22" s="765"/>
      <c r="AJ22" s="765"/>
      <c r="AK22" s="765"/>
      <c r="AL22" s="765"/>
      <c r="AM22" s="765"/>
      <c r="AN22" s="765"/>
      <c r="AO22" s="765"/>
      <c r="AP22" s="765"/>
      <c r="AQ22" s="765"/>
      <c r="AR22" s="765"/>
      <c r="AS22" s="765"/>
      <c r="AT22" s="765"/>
      <c r="AU22" s="765"/>
      <c r="AV22" s="765"/>
      <c r="AW22" s="765"/>
      <c r="AX22" s="765"/>
      <c r="AY22" s="765"/>
      <c r="AZ22" s="765"/>
      <c r="BA22" s="765"/>
      <c r="BB22" s="765"/>
      <c r="BC22" s="765"/>
      <c r="BD22" s="765"/>
      <c r="BE22" s="765"/>
      <c r="BF22" s="765"/>
      <c r="BG22" s="765"/>
      <c r="BH22" s="765"/>
      <c r="BI22" s="765"/>
      <c r="BJ22" s="765"/>
      <c r="BK22" s="765"/>
      <c r="BL22" s="765"/>
      <c r="BM22" s="765"/>
      <c r="BN22" s="765"/>
      <c r="BO22" s="765"/>
      <c r="BP22" s="765"/>
      <c r="BQ22" s="765"/>
      <c r="BR22" s="765"/>
      <c r="BS22" s="765"/>
      <c r="BT22" s="765"/>
      <c r="BU22" s="765"/>
      <c r="BV22" s="765"/>
      <c r="BW22" s="765"/>
      <c r="BX22" s="765"/>
      <c r="BY22" s="765"/>
      <c r="BZ22" s="765"/>
      <c r="CA22" s="765"/>
      <c r="CB22" s="765"/>
      <c r="CC22" s="765"/>
      <c r="CD22" s="765"/>
      <c r="CE22" s="765"/>
      <c r="CF22" s="765"/>
      <c r="CG22" s="765"/>
      <c r="CH22" s="765"/>
      <c r="CI22" s="765"/>
      <c r="CJ22" s="765"/>
      <c r="CK22" s="765"/>
      <c r="CL22" s="765"/>
      <c r="CM22" s="765"/>
      <c r="CN22" s="765"/>
      <c r="CO22" s="765"/>
      <c r="CP22" s="765"/>
      <c r="CQ22" s="765"/>
      <c r="CR22" s="765"/>
      <c r="CS22" s="765"/>
      <c r="CT22" s="765"/>
      <c r="CU22" s="765"/>
      <c r="CV22" s="765"/>
      <c r="CW22" s="765"/>
      <c r="CX22" s="765"/>
      <c r="CY22" s="765"/>
      <c r="CZ22" s="765"/>
      <c r="DA22" s="765"/>
      <c r="DB22" s="765"/>
      <c r="DC22" s="765"/>
      <c r="DD22" s="765"/>
      <c r="DE22" s="765"/>
      <c r="DF22" s="765"/>
      <c r="DG22" s="765"/>
      <c r="DH22" s="765"/>
      <c r="DI22" s="765"/>
      <c r="DJ22" s="765"/>
      <c r="DK22" s="765"/>
      <c r="DL22" s="765"/>
      <c r="DM22" s="765"/>
      <c r="DN22" s="765"/>
      <c r="DO22" s="765"/>
      <c r="DP22" s="765"/>
      <c r="DQ22" s="765"/>
      <c r="DR22" s="765"/>
      <c r="DS22" s="765"/>
      <c r="DT22" s="765"/>
      <c r="DU22" s="765"/>
      <c r="DV22" s="765"/>
      <c r="DW22" s="765"/>
      <c r="DX22" s="765"/>
      <c r="DY22" s="765"/>
      <c r="DZ22" s="765"/>
      <c r="EA22" s="765"/>
      <c r="EB22" s="765"/>
      <c r="EC22" s="765"/>
      <c r="ED22" s="765"/>
      <c r="EE22" s="765"/>
      <c r="EF22" s="765"/>
      <c r="EG22" s="765"/>
      <c r="EH22" s="765"/>
      <c r="EI22" s="765"/>
      <c r="EJ22" s="765"/>
      <c r="EK22" s="765"/>
      <c r="EL22" s="765"/>
      <c r="EM22" s="765"/>
      <c r="EN22" s="765"/>
      <c r="EO22" s="765"/>
      <c r="EP22" s="765"/>
      <c r="EQ22" s="765"/>
      <c r="ER22" s="765"/>
      <c r="ES22" s="765"/>
      <c r="ET22" s="765"/>
      <c r="EU22" s="765"/>
      <c r="EV22" s="765"/>
      <c r="EW22" s="765"/>
      <c r="EX22" s="765"/>
      <c r="EY22" s="765"/>
      <c r="EZ22" s="765"/>
      <c r="FA22" s="765"/>
      <c r="FB22" s="765"/>
      <c r="FC22" s="765"/>
      <c r="FD22" s="765"/>
      <c r="FE22" s="765"/>
      <c r="FF22" s="765"/>
      <c r="FG22" s="765"/>
      <c r="FH22" s="765"/>
      <c r="FI22" s="765"/>
      <c r="FJ22" s="765"/>
      <c r="FK22" s="765"/>
      <c r="FL22" s="765"/>
      <c r="FM22" s="765"/>
      <c r="FN22" s="765"/>
      <c r="FO22" s="765"/>
      <c r="FP22" s="765"/>
      <c r="FQ22" s="765"/>
      <c r="FR22" s="765"/>
      <c r="FS22" s="765"/>
      <c r="FT22" s="765"/>
      <c r="FU22" s="765"/>
      <c r="FV22" s="765"/>
      <c r="FW22" s="765"/>
      <c r="FX22" s="765"/>
      <c r="FY22" s="765"/>
      <c r="FZ22" s="765"/>
      <c r="GA22" s="765"/>
      <c r="GB22" s="765"/>
      <c r="GC22" s="765"/>
      <c r="GD22" s="765"/>
      <c r="GE22" s="765"/>
      <c r="GF22" s="765"/>
      <c r="GG22" s="765"/>
      <c r="GH22" s="765"/>
      <c r="GI22" s="765"/>
      <c r="GJ22" s="765"/>
      <c r="GK22" s="765"/>
      <c r="GL22" s="765"/>
      <c r="GM22" s="765"/>
      <c r="GN22" s="765"/>
      <c r="GO22" s="765"/>
      <c r="GP22" s="765"/>
      <c r="GQ22" s="765"/>
      <c r="GR22" s="765"/>
      <c r="GS22" s="765"/>
      <c r="GT22" s="765"/>
      <c r="GU22" s="765"/>
      <c r="GV22" s="765"/>
      <c r="GW22" s="765"/>
      <c r="GX22" s="765"/>
      <c r="GY22" s="765"/>
      <c r="GZ22" s="765"/>
      <c r="HA22" s="765"/>
      <c r="HB22" s="765"/>
      <c r="HC22" s="765"/>
      <c r="HD22" s="765"/>
      <c r="HE22" s="765"/>
      <c r="HF22" s="765"/>
      <c r="HG22" s="765"/>
      <c r="HH22" s="765"/>
      <c r="HI22" s="765"/>
      <c r="HJ22" s="765"/>
      <c r="HK22" s="765"/>
      <c r="HL22" s="765"/>
      <c r="HM22" s="765"/>
      <c r="HN22" s="765"/>
      <c r="HO22" s="765"/>
      <c r="HP22" s="765"/>
      <c r="HQ22" s="765"/>
      <c r="HR22" s="765"/>
      <c r="HS22" s="765"/>
      <c r="HT22" s="765"/>
      <c r="HU22" s="765"/>
      <c r="HV22" s="765"/>
      <c r="HW22" s="765"/>
      <c r="HX22" s="765"/>
      <c r="HY22" s="765"/>
      <c r="HZ22" s="765"/>
      <c r="IA22" s="765"/>
      <c r="IB22" s="765"/>
      <c r="IC22" s="765"/>
      <c r="ID22" s="765"/>
      <c r="IE22" s="765"/>
      <c r="IF22" s="765"/>
      <c r="IG22" s="765"/>
      <c r="IH22" s="765"/>
      <c r="II22" s="765"/>
      <c r="IJ22" s="765"/>
      <c r="IK22" s="765"/>
      <c r="IL22" s="765"/>
      <c r="IM22" s="765"/>
      <c r="IN22" s="765"/>
      <c r="IO22" s="765"/>
      <c r="IP22" s="765"/>
      <c r="IQ22" s="765"/>
      <c r="IR22" s="765"/>
      <c r="IS22" s="765"/>
      <c r="IT22" s="765"/>
      <c r="IU22" s="765"/>
    </row>
    <row r="23" spans="1:255">
      <c r="C23" s="779"/>
      <c r="D23" s="779"/>
      <c r="E23" s="780"/>
      <c r="F23" s="780"/>
      <c r="G23" s="782"/>
      <c r="H23" s="782"/>
      <c r="I23" s="782"/>
      <c r="J23" s="782"/>
      <c r="K23" s="782"/>
      <c r="L23" s="782"/>
      <c r="M23" s="782"/>
      <c r="N23" s="782"/>
      <c r="O23" s="782"/>
      <c r="P23" s="782"/>
    </row>
    <row r="24" spans="1:255">
      <c r="A24" s="749"/>
      <c r="B24" s="749" t="s">
        <v>243</v>
      </c>
      <c r="C24" s="778"/>
      <c r="D24" s="778"/>
      <c r="E24" s="764">
        <f t="shared" ref="E24:M24" si="21">E12+E18+E20+E21</f>
        <v>1342.1203058809951</v>
      </c>
      <c r="F24" s="764">
        <f t="shared" si="21"/>
        <v>1301.231680293788</v>
      </c>
      <c r="G24" s="764">
        <f t="shared" si="21"/>
        <v>1291.9077832222069</v>
      </c>
      <c r="H24" s="764">
        <f t="shared" si="21"/>
        <v>1270.2145294790198</v>
      </c>
      <c r="I24" s="764">
        <f t="shared" si="21"/>
        <v>1243.5668856833602</v>
      </c>
      <c r="J24" s="764">
        <f t="shared" si="21"/>
        <v>1205.3824203335282</v>
      </c>
      <c r="K24" s="764">
        <f t="shared" si="21"/>
        <v>1199.4513051553354</v>
      </c>
      <c r="L24" s="764">
        <f t="shared" si="21"/>
        <v>1191.501832556582</v>
      </c>
      <c r="M24" s="764">
        <f t="shared" si="21"/>
        <v>1181.5240275337337</v>
      </c>
      <c r="N24" s="764">
        <f t="shared" ref="N24:O24" si="22">N12+N18+N20+N21</f>
        <v>1169.515513399112</v>
      </c>
      <c r="O24" s="764">
        <f t="shared" si="22"/>
        <v>1155.4816644287882</v>
      </c>
      <c r="P24" s="764">
        <f t="shared" ref="P24" si="23">P12+P18+P20+P21</f>
        <v>1139.4357157699519</v>
      </c>
      <c r="Q24" s="749"/>
      <c r="R24" s="749"/>
      <c r="S24" s="759"/>
      <c r="T24" s="749"/>
      <c r="U24" s="749"/>
      <c r="V24" s="749"/>
      <c r="W24" s="749"/>
      <c r="X24" s="749"/>
      <c r="Y24" s="749"/>
      <c r="Z24" s="749"/>
      <c r="AA24" s="749"/>
      <c r="AB24" s="749"/>
      <c r="AC24" s="749"/>
      <c r="AD24" s="749"/>
      <c r="AE24" s="749"/>
      <c r="AF24" s="749"/>
      <c r="AG24" s="749"/>
      <c r="AH24" s="749"/>
      <c r="AI24" s="749"/>
      <c r="AJ24" s="749"/>
      <c r="AK24" s="749"/>
      <c r="AL24" s="749"/>
      <c r="AM24" s="749"/>
      <c r="AN24" s="749"/>
      <c r="AO24" s="749"/>
      <c r="AP24" s="749"/>
      <c r="AQ24" s="749"/>
      <c r="AR24" s="749"/>
      <c r="AS24" s="749"/>
      <c r="AT24" s="749"/>
      <c r="AU24" s="749"/>
      <c r="AV24" s="749"/>
      <c r="AW24" s="749"/>
      <c r="AX24" s="749"/>
      <c r="AY24" s="749"/>
      <c r="AZ24" s="749"/>
      <c r="BA24" s="749"/>
      <c r="BB24" s="749"/>
      <c r="BC24" s="749"/>
      <c r="BD24" s="749"/>
      <c r="BE24" s="749"/>
      <c r="BF24" s="749"/>
      <c r="BG24" s="749"/>
      <c r="BH24" s="749"/>
      <c r="BI24" s="749"/>
      <c r="BJ24" s="749"/>
      <c r="BK24" s="749"/>
      <c r="BL24" s="749"/>
      <c r="BM24" s="749"/>
      <c r="BN24" s="749"/>
      <c r="BO24" s="749"/>
      <c r="BP24" s="749"/>
      <c r="BQ24" s="749"/>
      <c r="BR24" s="749"/>
      <c r="BS24" s="749"/>
      <c r="BT24" s="749"/>
      <c r="BU24" s="749"/>
      <c r="BV24" s="749"/>
      <c r="BW24" s="749"/>
      <c r="BX24" s="749"/>
      <c r="BY24" s="749"/>
      <c r="BZ24" s="749"/>
      <c r="CA24" s="749"/>
      <c r="CB24" s="749"/>
      <c r="CC24" s="749"/>
      <c r="CD24" s="749"/>
      <c r="CE24" s="749"/>
      <c r="CF24" s="749"/>
      <c r="CG24" s="749"/>
      <c r="CH24" s="749"/>
      <c r="CI24" s="749"/>
      <c r="CJ24" s="749"/>
      <c r="CK24" s="749"/>
      <c r="CL24" s="749"/>
      <c r="CM24" s="749"/>
      <c r="CN24" s="749"/>
      <c r="CO24" s="749"/>
      <c r="CP24" s="749"/>
      <c r="CQ24" s="749"/>
      <c r="CR24" s="749"/>
      <c r="CS24" s="749"/>
      <c r="CT24" s="749"/>
      <c r="CU24" s="749"/>
      <c r="CV24" s="749"/>
      <c r="CW24" s="749"/>
      <c r="CX24" s="749"/>
      <c r="CY24" s="749"/>
      <c r="CZ24" s="749"/>
      <c r="DA24" s="749"/>
      <c r="DB24" s="749"/>
      <c r="DC24" s="749"/>
      <c r="DD24" s="749"/>
      <c r="DE24" s="749"/>
      <c r="DF24" s="749"/>
      <c r="DG24" s="749"/>
      <c r="DH24" s="749"/>
      <c r="DI24" s="749"/>
      <c r="DJ24" s="749"/>
      <c r="DK24" s="749"/>
      <c r="DL24" s="749"/>
      <c r="DM24" s="749"/>
      <c r="DN24" s="749"/>
      <c r="DO24" s="749"/>
      <c r="DP24" s="749"/>
      <c r="DQ24" s="749"/>
      <c r="DR24" s="749"/>
      <c r="DS24" s="749"/>
      <c r="DT24" s="749"/>
      <c r="DU24" s="749"/>
      <c r="DV24" s="749"/>
      <c r="DW24" s="749"/>
      <c r="DX24" s="749"/>
      <c r="DY24" s="749"/>
      <c r="DZ24" s="749"/>
      <c r="EA24" s="749"/>
      <c r="EB24" s="749"/>
      <c r="EC24" s="749"/>
      <c r="ED24" s="749"/>
      <c r="EE24" s="749"/>
      <c r="EF24" s="749"/>
      <c r="EG24" s="749"/>
      <c r="EH24" s="749"/>
      <c r="EI24" s="749"/>
      <c r="EJ24" s="749"/>
      <c r="EK24" s="749"/>
      <c r="EL24" s="749"/>
      <c r="EM24" s="749"/>
      <c r="EN24" s="749"/>
      <c r="EO24" s="749"/>
      <c r="EP24" s="749"/>
      <c r="EQ24" s="749"/>
      <c r="ER24" s="749"/>
      <c r="ES24" s="749"/>
      <c r="ET24" s="749"/>
      <c r="EU24" s="749"/>
      <c r="EV24" s="749"/>
      <c r="EW24" s="749"/>
      <c r="EX24" s="749"/>
      <c r="EY24" s="749"/>
      <c r="EZ24" s="749"/>
      <c r="FA24" s="749"/>
      <c r="FB24" s="749"/>
      <c r="FC24" s="749"/>
      <c r="FD24" s="749"/>
      <c r="FE24" s="749"/>
      <c r="FF24" s="749"/>
      <c r="FG24" s="749"/>
      <c r="FH24" s="749"/>
      <c r="FI24" s="749"/>
      <c r="FJ24" s="749"/>
      <c r="FK24" s="749"/>
      <c r="FL24" s="749"/>
      <c r="FM24" s="749"/>
      <c r="FN24" s="749"/>
      <c r="FO24" s="749"/>
      <c r="FP24" s="749"/>
      <c r="FQ24" s="749"/>
      <c r="FR24" s="749"/>
      <c r="FS24" s="749"/>
      <c r="FT24" s="749"/>
      <c r="FU24" s="749"/>
      <c r="FV24" s="749"/>
      <c r="FW24" s="749"/>
      <c r="FX24" s="749"/>
      <c r="FY24" s="749"/>
      <c r="FZ24" s="749"/>
      <c r="GA24" s="749"/>
      <c r="GB24" s="749"/>
      <c r="GC24" s="749"/>
      <c r="GD24" s="749"/>
      <c r="GE24" s="749"/>
      <c r="GF24" s="749"/>
      <c r="GG24" s="749"/>
      <c r="GH24" s="749"/>
      <c r="GI24" s="749"/>
      <c r="GJ24" s="749"/>
      <c r="GK24" s="749"/>
      <c r="GL24" s="749"/>
      <c r="GM24" s="749"/>
      <c r="GN24" s="749"/>
      <c r="GO24" s="749"/>
      <c r="GP24" s="749"/>
      <c r="GQ24" s="749"/>
      <c r="GR24" s="749"/>
      <c r="GS24" s="749"/>
      <c r="GT24" s="749"/>
      <c r="GU24" s="749"/>
      <c r="GV24" s="749"/>
      <c r="GW24" s="749"/>
      <c r="GX24" s="749"/>
      <c r="GY24" s="749"/>
      <c r="GZ24" s="749"/>
      <c r="HA24" s="749"/>
      <c r="HB24" s="749"/>
      <c r="HC24" s="749"/>
      <c r="HD24" s="749"/>
      <c r="HE24" s="749"/>
      <c r="HF24" s="749"/>
      <c r="HG24" s="749"/>
      <c r="HH24" s="749"/>
      <c r="HI24" s="749"/>
      <c r="HJ24" s="749"/>
      <c r="HK24" s="749"/>
      <c r="HL24" s="749"/>
      <c r="HM24" s="749"/>
      <c r="HN24" s="749"/>
      <c r="HO24" s="749"/>
      <c r="HP24" s="749"/>
      <c r="HQ24" s="749"/>
      <c r="HR24" s="749"/>
      <c r="HS24" s="749"/>
      <c r="HT24" s="749"/>
      <c r="HU24" s="749"/>
      <c r="HV24" s="749"/>
      <c r="HW24" s="749"/>
      <c r="HX24" s="749"/>
      <c r="HY24" s="749"/>
      <c r="HZ24" s="749"/>
      <c r="IA24" s="749"/>
      <c r="IB24" s="749"/>
      <c r="IC24" s="749"/>
      <c r="ID24" s="749"/>
      <c r="IE24" s="749"/>
      <c r="IF24" s="749"/>
      <c r="IG24" s="749"/>
      <c r="IH24" s="749"/>
      <c r="II24" s="749"/>
      <c r="IJ24" s="749"/>
      <c r="IK24" s="749"/>
      <c r="IL24" s="749"/>
      <c r="IM24" s="749"/>
      <c r="IN24" s="749"/>
      <c r="IO24" s="749"/>
      <c r="IP24" s="749"/>
      <c r="IQ24" s="749"/>
      <c r="IR24" s="749"/>
      <c r="IS24" s="749"/>
      <c r="IT24" s="749"/>
      <c r="IU24" s="749"/>
    </row>
    <row r="25" spans="1:255">
      <c r="A25" s="765"/>
      <c r="B25" s="766" t="s">
        <v>240</v>
      </c>
      <c r="C25" s="767"/>
      <c r="D25" s="768"/>
      <c r="E25" s="770"/>
      <c r="F25" s="770">
        <f t="shared" ref="F25:P25" si="24">F24/E24-1</f>
        <v>-3.0465693282516138E-2</v>
      </c>
      <c r="G25" s="770">
        <f t="shared" si="24"/>
        <v>-7.1654396467475401E-3</v>
      </c>
      <c r="H25" s="770">
        <f t="shared" si="24"/>
        <v>-1.6791642580773813E-2</v>
      </c>
      <c r="I25" s="770">
        <f t="shared" si="24"/>
        <v>-2.0978852923835833E-2</v>
      </c>
      <c r="J25" s="770">
        <f t="shared" si="24"/>
        <v>-3.0705598379494492E-2</v>
      </c>
      <c r="K25" s="770">
        <f>K24/J24-1</f>
        <v>-4.9205257005089376E-3</v>
      </c>
      <c r="L25" s="770">
        <f t="shared" si="24"/>
        <v>-6.6275909364439389E-3</v>
      </c>
      <c r="M25" s="770">
        <f t="shared" si="24"/>
        <v>-8.3741415667311081E-3</v>
      </c>
      <c r="N25" s="770">
        <f t="shared" si="24"/>
        <v>-1.0163580134453842E-2</v>
      </c>
      <c r="O25" s="770">
        <f t="shared" si="24"/>
        <v>-1.1999711683631675E-2</v>
      </c>
      <c r="P25" s="770">
        <f t="shared" si="24"/>
        <v>-1.3886805089865839E-2</v>
      </c>
      <c r="Q25" s="765"/>
      <c r="R25" s="765"/>
      <c r="S25" s="765"/>
      <c r="T25" s="765"/>
      <c r="U25" s="772"/>
      <c r="V25" s="765"/>
      <c r="W25" s="765"/>
      <c r="X25" s="765"/>
      <c r="Y25" s="765"/>
      <c r="Z25" s="765"/>
      <c r="AA25" s="765"/>
      <c r="AB25" s="765"/>
      <c r="AC25" s="765"/>
      <c r="AD25" s="765"/>
      <c r="AE25" s="765"/>
      <c r="AF25" s="765"/>
      <c r="AG25" s="765"/>
      <c r="AH25" s="765"/>
      <c r="AI25" s="765"/>
      <c r="AJ25" s="765"/>
      <c r="AK25" s="765"/>
      <c r="AL25" s="765"/>
      <c r="AM25" s="765"/>
      <c r="AN25" s="765"/>
      <c r="AO25" s="765"/>
      <c r="AP25" s="765"/>
      <c r="AQ25" s="765"/>
      <c r="AR25" s="765"/>
      <c r="AS25" s="765"/>
      <c r="AT25" s="765"/>
      <c r="AU25" s="765"/>
      <c r="AV25" s="765"/>
      <c r="AW25" s="765"/>
      <c r="AX25" s="765"/>
      <c r="AY25" s="765"/>
      <c r="AZ25" s="765"/>
      <c r="BA25" s="765"/>
      <c r="BB25" s="765"/>
      <c r="BC25" s="765"/>
      <c r="BD25" s="765"/>
      <c r="BE25" s="765"/>
      <c r="BF25" s="765"/>
      <c r="BG25" s="765"/>
      <c r="BH25" s="765"/>
      <c r="BI25" s="765"/>
      <c r="BJ25" s="765"/>
      <c r="BK25" s="765"/>
      <c r="BL25" s="765"/>
      <c r="BM25" s="765"/>
      <c r="BN25" s="765"/>
      <c r="BO25" s="765"/>
      <c r="BP25" s="765"/>
      <c r="BQ25" s="765"/>
      <c r="BR25" s="765"/>
      <c r="BS25" s="765"/>
      <c r="BT25" s="765"/>
      <c r="BU25" s="765"/>
      <c r="BV25" s="765"/>
      <c r="BW25" s="765"/>
      <c r="BX25" s="765"/>
      <c r="BY25" s="765"/>
      <c r="BZ25" s="765"/>
      <c r="CA25" s="765"/>
      <c r="CB25" s="765"/>
      <c r="CC25" s="765"/>
      <c r="CD25" s="765"/>
      <c r="CE25" s="765"/>
      <c r="CF25" s="765"/>
      <c r="CG25" s="765"/>
      <c r="CH25" s="765"/>
      <c r="CI25" s="765"/>
      <c r="CJ25" s="765"/>
      <c r="CK25" s="765"/>
      <c r="CL25" s="765"/>
      <c r="CM25" s="765"/>
      <c r="CN25" s="765"/>
      <c r="CO25" s="765"/>
      <c r="CP25" s="765"/>
      <c r="CQ25" s="765"/>
      <c r="CR25" s="765"/>
      <c r="CS25" s="765"/>
      <c r="CT25" s="765"/>
      <c r="CU25" s="765"/>
      <c r="CV25" s="765"/>
      <c r="CW25" s="765"/>
      <c r="CX25" s="765"/>
      <c r="CY25" s="765"/>
      <c r="CZ25" s="765"/>
      <c r="DA25" s="765"/>
      <c r="DB25" s="765"/>
      <c r="DC25" s="765"/>
      <c r="DD25" s="765"/>
      <c r="DE25" s="765"/>
      <c r="DF25" s="765"/>
      <c r="DG25" s="765"/>
      <c r="DH25" s="765"/>
      <c r="DI25" s="765"/>
      <c r="DJ25" s="765"/>
      <c r="DK25" s="765"/>
      <c r="DL25" s="765"/>
      <c r="DM25" s="765"/>
      <c r="DN25" s="765"/>
      <c r="DO25" s="765"/>
      <c r="DP25" s="765"/>
      <c r="DQ25" s="765"/>
      <c r="DR25" s="765"/>
      <c r="DS25" s="765"/>
      <c r="DT25" s="765"/>
      <c r="DU25" s="765"/>
      <c r="DV25" s="765"/>
      <c r="DW25" s="765"/>
      <c r="DX25" s="765"/>
      <c r="DY25" s="765"/>
      <c r="DZ25" s="765"/>
      <c r="EA25" s="765"/>
      <c r="EB25" s="765"/>
      <c r="EC25" s="765"/>
      <c r="ED25" s="765"/>
      <c r="EE25" s="765"/>
      <c r="EF25" s="765"/>
      <c r="EG25" s="765"/>
      <c r="EH25" s="765"/>
      <c r="EI25" s="765"/>
      <c r="EJ25" s="765"/>
      <c r="EK25" s="765"/>
      <c r="EL25" s="765"/>
      <c r="EM25" s="765"/>
      <c r="EN25" s="765"/>
      <c r="EO25" s="765"/>
      <c r="EP25" s="765"/>
      <c r="EQ25" s="765"/>
      <c r="ER25" s="765"/>
      <c r="ES25" s="765"/>
      <c r="ET25" s="765"/>
      <c r="EU25" s="765"/>
      <c r="EV25" s="765"/>
      <c r="EW25" s="765"/>
      <c r="EX25" s="765"/>
      <c r="EY25" s="765"/>
      <c r="EZ25" s="765"/>
      <c r="FA25" s="765"/>
      <c r="FB25" s="765"/>
      <c r="FC25" s="765"/>
      <c r="FD25" s="765"/>
      <c r="FE25" s="765"/>
      <c r="FF25" s="765"/>
      <c r="FG25" s="765"/>
      <c r="FH25" s="765"/>
      <c r="FI25" s="765"/>
      <c r="FJ25" s="765"/>
      <c r="FK25" s="765"/>
      <c r="FL25" s="765"/>
      <c r="FM25" s="765"/>
      <c r="FN25" s="765"/>
      <c r="FO25" s="765"/>
      <c r="FP25" s="765"/>
      <c r="FQ25" s="765"/>
      <c r="FR25" s="765"/>
      <c r="FS25" s="765"/>
      <c r="FT25" s="765"/>
      <c r="FU25" s="765"/>
      <c r="FV25" s="765"/>
      <c r="FW25" s="765"/>
      <c r="FX25" s="765"/>
      <c r="FY25" s="765"/>
      <c r="FZ25" s="765"/>
      <c r="GA25" s="765"/>
      <c r="GB25" s="765"/>
      <c r="GC25" s="765"/>
      <c r="GD25" s="765"/>
      <c r="GE25" s="765"/>
      <c r="GF25" s="765"/>
      <c r="GG25" s="765"/>
      <c r="GH25" s="765"/>
      <c r="GI25" s="765"/>
      <c r="GJ25" s="765"/>
      <c r="GK25" s="765"/>
      <c r="GL25" s="765"/>
      <c r="GM25" s="765"/>
      <c r="GN25" s="765"/>
      <c r="GO25" s="765"/>
      <c r="GP25" s="765"/>
      <c r="GQ25" s="765"/>
      <c r="GR25" s="765"/>
      <c r="GS25" s="765"/>
      <c r="GT25" s="765"/>
      <c r="GU25" s="765"/>
      <c r="GV25" s="765"/>
      <c r="GW25" s="765"/>
      <c r="GX25" s="765"/>
      <c r="GY25" s="765"/>
      <c r="GZ25" s="765"/>
      <c r="HA25" s="765"/>
      <c r="HB25" s="765"/>
      <c r="HC25" s="765"/>
      <c r="HD25" s="765"/>
      <c r="HE25" s="765"/>
      <c r="HF25" s="765"/>
      <c r="HG25" s="765"/>
      <c r="HH25" s="765"/>
      <c r="HI25" s="765"/>
      <c r="HJ25" s="765"/>
      <c r="HK25" s="765"/>
      <c r="HL25" s="765"/>
      <c r="HM25" s="765"/>
      <c r="HN25" s="765"/>
      <c r="HO25" s="765"/>
      <c r="HP25" s="765"/>
      <c r="HQ25" s="765"/>
      <c r="HR25" s="765"/>
      <c r="HS25" s="765"/>
      <c r="HT25" s="765"/>
      <c r="HU25" s="765"/>
      <c r="HV25" s="765"/>
      <c r="HW25" s="765"/>
      <c r="HX25" s="765"/>
      <c r="HY25" s="765"/>
      <c r="HZ25" s="765"/>
      <c r="IA25" s="765"/>
      <c r="IB25" s="765"/>
      <c r="IC25" s="765"/>
      <c r="ID25" s="765"/>
      <c r="IE25" s="765"/>
      <c r="IF25" s="765"/>
      <c r="IG25" s="765"/>
      <c r="IH25" s="765"/>
      <c r="II25" s="765"/>
      <c r="IJ25" s="765"/>
      <c r="IK25" s="765"/>
      <c r="IL25" s="765"/>
      <c r="IM25" s="765"/>
      <c r="IN25" s="765"/>
      <c r="IO25" s="765"/>
      <c r="IP25" s="765"/>
      <c r="IQ25" s="765"/>
      <c r="IR25" s="765"/>
      <c r="IS25" s="765"/>
      <c r="IT25" s="765"/>
      <c r="IU25" s="765"/>
    </row>
    <row r="26" spans="1:255">
      <c r="B26" s="747" t="s">
        <v>244</v>
      </c>
      <c r="C26" s="779"/>
      <c r="D26" s="779"/>
      <c r="E26" s="784"/>
      <c r="F26" s="784">
        <v>0</v>
      </c>
      <c r="G26" s="785">
        <f t="shared" ref="G26:P26" si="25">F26+1</f>
        <v>1</v>
      </c>
      <c r="H26" s="785">
        <f t="shared" si="25"/>
        <v>2</v>
      </c>
      <c r="I26" s="785">
        <f t="shared" si="25"/>
        <v>3</v>
      </c>
      <c r="J26" s="785">
        <f t="shared" si="25"/>
        <v>4</v>
      </c>
      <c r="K26" s="785">
        <f t="shared" si="25"/>
        <v>5</v>
      </c>
      <c r="L26" s="785">
        <f t="shared" si="25"/>
        <v>6</v>
      </c>
      <c r="M26" s="785">
        <f t="shared" si="25"/>
        <v>7</v>
      </c>
      <c r="N26" s="785">
        <f t="shared" si="25"/>
        <v>8</v>
      </c>
      <c r="O26" s="785">
        <f t="shared" si="25"/>
        <v>9</v>
      </c>
      <c r="P26" s="785">
        <f t="shared" si="25"/>
        <v>10</v>
      </c>
    </row>
    <row r="27" spans="1:255">
      <c r="B27" s="786" t="s">
        <v>245</v>
      </c>
      <c r="C27" s="787"/>
      <c r="D27" s="787"/>
      <c r="E27" s="788"/>
      <c r="F27" s="788">
        <f t="shared" ref="F27" si="26">1/((1+$E$43)^F26)</f>
        <v>1</v>
      </c>
      <c r="G27" s="788">
        <f t="shared" ref="G27:M27" si="27">1/((1+$E$43)^G26)</f>
        <v>0.91996654203563244</v>
      </c>
      <c r="H27" s="788">
        <f t="shared" si="27"/>
        <v>0.84633843846499923</v>
      </c>
      <c r="I27" s="788">
        <f t="shared" si="27"/>
        <v>0.77860304662648228</v>
      </c>
      <c r="J27" s="788">
        <f t="shared" si="27"/>
        <v>0.71628875242337331</v>
      </c>
      <c r="K27" s="788">
        <f t="shared" si="27"/>
        <v>0.65896168666594801</v>
      </c>
      <c r="L27" s="788">
        <f t="shared" si="27"/>
        <v>0.60622270421604019</v>
      </c>
      <c r="M27" s="788">
        <f t="shared" si="27"/>
        <v>0.5577046049011205</v>
      </c>
      <c r="N27" s="788">
        <f t="shared" ref="N27:O27" si="28">1/((1+$E$43)^N26)</f>
        <v>0.51306957684823262</v>
      </c>
      <c r="O27" s="788">
        <f t="shared" si="28"/>
        <v>0.47200684443675367</v>
      </c>
      <c r="P27" s="788">
        <f t="shared" ref="P27" si="29">1/((1+$E$43)^P26)</f>
        <v>0.4342305044936311</v>
      </c>
    </row>
    <row r="28" spans="1:255">
      <c r="B28" s="747" t="s">
        <v>246</v>
      </c>
      <c r="C28" s="779"/>
      <c r="D28" s="779"/>
      <c r="E28" s="782"/>
      <c r="F28" s="782">
        <f t="shared" ref="F28" si="30">F24*F27</f>
        <v>1301.231680293788</v>
      </c>
      <c r="G28" s="782">
        <f t="shared" ref="G28:M28" si="31">G24*G27</f>
        <v>1188.5119359598532</v>
      </c>
      <c r="H28" s="782">
        <f t="shared" si="31"/>
        <v>1075.0313813948273</v>
      </c>
      <c r="I28" s="782">
        <f t="shared" si="31"/>
        <v>968.24496587687065</v>
      </c>
      <c r="J28" s="782">
        <f t="shared" si="31"/>
        <v>863.40187005376913</v>
      </c>
      <c r="K28" s="782">
        <f t="shared" si="31"/>
        <v>790.39245511883246</v>
      </c>
      <c r="L28" s="782">
        <f t="shared" si="31"/>
        <v>722.31546301081869</v>
      </c>
      <c r="M28" s="782">
        <f t="shared" si="31"/>
        <v>658.94139095688161</v>
      </c>
      <c r="N28" s="782">
        <f t="shared" ref="N28:O28" si="32">N24*N27</f>
        <v>600.04282957712599</v>
      </c>
      <c r="O28" s="782">
        <f t="shared" si="32"/>
        <v>545.39525423156022</v>
      </c>
      <c r="P28" s="782">
        <f t="shared" ref="P28" si="33">P24*P27</f>
        <v>494.77774569684789</v>
      </c>
    </row>
    <row r="29" spans="1:255">
      <c r="B29" s="747" t="s">
        <v>247</v>
      </c>
      <c r="C29" s="779"/>
      <c r="D29" s="779"/>
      <c r="E29" s="782"/>
      <c r="F29" s="782"/>
      <c r="G29" s="782"/>
      <c r="H29" s="782"/>
      <c r="I29" s="782"/>
      <c r="J29" s="782"/>
      <c r="K29" s="782"/>
      <c r="L29" s="782"/>
      <c r="M29" s="782"/>
      <c r="O29" s="782"/>
      <c r="P29" s="782">
        <f>P24*(1+$E45)/($E43-$E45)*P27</f>
        <v>4102.1419218648944</v>
      </c>
    </row>
    <row r="31" spans="1:255">
      <c r="B31" s="796"/>
      <c r="C31" s="797"/>
      <c r="D31" s="797"/>
      <c r="E31" s="798"/>
      <c r="M31" s="807"/>
      <c r="N31" s="808"/>
      <c r="O31" s="808"/>
      <c r="P31" s="809"/>
    </row>
    <row r="32" spans="1:255">
      <c r="B32" s="791" t="s">
        <v>319</v>
      </c>
      <c r="C32" s="11"/>
      <c r="D32" s="11"/>
      <c r="E32" s="927">
        <v>1.2214726481049809</v>
      </c>
      <c r="M32" s="810" t="s">
        <v>105</v>
      </c>
      <c r="N32" s="811"/>
      <c r="O32" s="811"/>
      <c r="P32" s="812">
        <f>SUM(F28:P29)</f>
        <v>13310.428894036071</v>
      </c>
    </row>
    <row r="33" spans="2:16">
      <c r="B33" s="791" t="s">
        <v>248</v>
      </c>
      <c r="C33" s="11"/>
      <c r="D33" s="11"/>
      <c r="E33" s="799">
        <f>0.085-E34</f>
        <v>6.5500000000000003E-2</v>
      </c>
      <c r="M33" s="813" t="s">
        <v>316</v>
      </c>
      <c r="N33" s="811"/>
      <c r="O33" s="811"/>
      <c r="P33" s="814">
        <f>Valuation!G15</f>
        <v>1960.5</v>
      </c>
    </row>
    <row r="34" spans="2:16">
      <c r="B34" s="791" t="s">
        <v>110</v>
      </c>
      <c r="C34" s="11"/>
      <c r="D34" s="11"/>
      <c r="E34" s="799">
        <v>1.95E-2</v>
      </c>
      <c r="M34" s="813" t="s">
        <v>315</v>
      </c>
      <c r="N34" s="811"/>
      <c r="O34" s="811"/>
      <c r="P34" s="814">
        <f>Valuation!G16</f>
        <v>2140.3585151354864</v>
      </c>
    </row>
    <row r="35" spans="2:16">
      <c r="B35" s="800" t="s">
        <v>103</v>
      </c>
      <c r="C35" s="11"/>
      <c r="D35" s="11"/>
      <c r="E35" s="801">
        <f>E34+E32*E33</f>
        <v>9.9506458450876259E-2</v>
      </c>
      <c r="M35" s="813" t="s">
        <v>361</v>
      </c>
      <c r="N35" s="811"/>
      <c r="O35" s="811"/>
      <c r="P35" s="814">
        <f>Valuation!G17</f>
        <v>153.4</v>
      </c>
    </row>
    <row r="36" spans="2:16">
      <c r="B36" s="800"/>
      <c r="C36" s="11"/>
      <c r="D36" s="11"/>
      <c r="E36" s="801"/>
      <c r="M36" s="813" t="s">
        <v>317</v>
      </c>
      <c r="N36" s="811"/>
      <c r="O36" s="811"/>
      <c r="P36" s="814">
        <f>Valuation!G18</f>
        <v>159.12</v>
      </c>
    </row>
    <row r="37" spans="2:16">
      <c r="B37" s="791" t="s">
        <v>136</v>
      </c>
      <c r="C37" s="11"/>
      <c r="D37" s="11"/>
      <c r="E37" s="816">
        <f>Financials!DY19</f>
        <v>4.1000000000000002E-2</v>
      </c>
      <c r="M37" s="813" t="s">
        <v>318</v>
      </c>
      <c r="N37" s="811"/>
      <c r="O37" s="811"/>
      <c r="P37" s="814">
        <f>Valuation!G19</f>
        <v>38.142000000000003</v>
      </c>
    </row>
    <row r="38" spans="2:16">
      <c r="B38" s="791" t="s">
        <v>104</v>
      </c>
      <c r="C38" s="11"/>
      <c r="D38" s="11"/>
      <c r="E38" s="799">
        <v>0.22</v>
      </c>
      <c r="F38" s="748"/>
      <c r="G38" s="748"/>
      <c r="H38" s="748"/>
      <c r="M38" s="810" t="s">
        <v>113</v>
      </c>
      <c r="N38" s="811"/>
      <c r="O38" s="811"/>
      <c r="P38" s="812">
        <f>P32-P33+P34-P35-P36-P37</f>
        <v>13139.625409171556</v>
      </c>
    </row>
    <row r="39" spans="2:16">
      <c r="B39" s="800" t="s">
        <v>102</v>
      </c>
      <c r="C39" s="11"/>
      <c r="D39" s="11"/>
      <c r="E39" s="801">
        <f>E37*(1-E38)</f>
        <v>3.1980000000000001E-2</v>
      </c>
      <c r="F39" s="748"/>
      <c r="G39" s="748"/>
      <c r="H39" s="748"/>
      <c r="M39" s="810" t="s">
        <v>249</v>
      </c>
      <c r="N39" s="811"/>
      <c r="O39" s="811"/>
      <c r="P39" s="814">
        <f>Valuation!G13</f>
        <v>67.403847342161839</v>
      </c>
    </row>
    <row r="40" spans="2:16">
      <c r="B40" s="800"/>
      <c r="C40" s="11"/>
      <c r="D40" s="11"/>
      <c r="E40" s="801"/>
      <c r="F40" s="748"/>
      <c r="G40" s="748"/>
      <c r="H40" s="748"/>
      <c r="M40" s="791"/>
      <c r="N40" s="11"/>
      <c r="O40" s="11"/>
      <c r="P40" s="792"/>
    </row>
    <row r="41" spans="2:16">
      <c r="B41" s="791" t="s">
        <v>107</v>
      </c>
      <c r="C41" s="11"/>
      <c r="D41" s="11"/>
      <c r="E41" s="816">
        <f>Financials!ED108</f>
        <v>0.18526672107563374</v>
      </c>
      <c r="F41" s="789"/>
      <c r="G41" s="748"/>
      <c r="H41" s="748"/>
      <c r="M41" s="621" t="s">
        <v>114</v>
      </c>
      <c r="N41" s="622"/>
      <c r="O41" s="622"/>
      <c r="P41" s="623">
        <f>P38/P39</f>
        <v>194.93880434555814</v>
      </c>
    </row>
    <row r="42" spans="2:16">
      <c r="B42" s="791" t="s">
        <v>111</v>
      </c>
      <c r="C42" s="11"/>
      <c r="D42" s="11"/>
      <c r="E42" s="802">
        <f>1-E41</f>
        <v>0.8147332789243662</v>
      </c>
      <c r="F42" s="789"/>
      <c r="G42" s="748"/>
      <c r="H42" s="748"/>
      <c r="M42" s="791" t="s">
        <v>233</v>
      </c>
      <c r="N42" s="11"/>
      <c r="O42" s="11"/>
      <c r="P42" s="892">
        <f>P41/Valuation!E12-1</f>
        <v>3.0174643656688538E-4</v>
      </c>
    </row>
    <row r="43" spans="2:16">
      <c r="B43" s="800" t="s">
        <v>250</v>
      </c>
      <c r="C43" s="11"/>
      <c r="D43" s="11"/>
      <c r="E43" s="801">
        <f>E41*E39+E42*E35</f>
        <v>8.6996052907832383E-2</v>
      </c>
      <c r="F43" s="790"/>
      <c r="G43" s="748"/>
      <c r="H43" s="748"/>
      <c r="M43" s="791"/>
      <c r="N43" s="11"/>
      <c r="O43" s="11"/>
      <c r="P43" s="892"/>
    </row>
    <row r="44" spans="2:16">
      <c r="B44" s="800"/>
      <c r="C44" s="11"/>
      <c r="D44" s="11"/>
      <c r="E44" s="801"/>
      <c r="F44" s="748"/>
      <c r="G44" s="748"/>
      <c r="H44" s="748"/>
      <c r="M44" s="791" t="s">
        <v>227</v>
      </c>
      <c r="N44" s="11" t="s">
        <v>239</v>
      </c>
      <c r="O44" s="11"/>
      <c r="P44" s="893">
        <f>P32/Valuation!C28</f>
        <v>5.5931889894639202</v>
      </c>
    </row>
    <row r="45" spans="2:16">
      <c r="B45" s="800" t="s">
        <v>112</v>
      </c>
      <c r="C45" s="11"/>
      <c r="D45" s="11"/>
      <c r="E45" s="803">
        <v>-0.03</v>
      </c>
      <c r="F45" s="748"/>
      <c r="G45" s="748"/>
      <c r="H45" s="748"/>
      <c r="M45" s="791" t="s">
        <v>227</v>
      </c>
      <c r="N45" s="11" t="s">
        <v>237</v>
      </c>
      <c r="O45" s="11"/>
      <c r="P45" s="893">
        <f>P41/Valuation!C42</f>
        <v>9.539377086552884</v>
      </c>
    </row>
    <row r="46" spans="2:16">
      <c r="B46" s="804"/>
      <c r="C46" s="805"/>
      <c r="D46" s="805"/>
      <c r="E46" s="806"/>
      <c r="M46" s="791" t="s">
        <v>227</v>
      </c>
      <c r="N46" s="11" t="s">
        <v>342</v>
      </c>
      <c r="O46" s="11"/>
      <c r="P46" s="893">
        <f>P41/Valuation!C56</f>
        <v>10.823442301315295</v>
      </c>
    </row>
    <row r="47" spans="2:16">
      <c r="M47" s="793"/>
      <c r="N47" s="794"/>
      <c r="O47" s="794"/>
      <c r="P47" s="795"/>
    </row>
  </sheetData>
  <pageMargins left="0.7" right="0.7" top="0.75" bottom="0.75" header="0.3" footer="0.3"/>
  <pageSetup scale="72" orientation="landscape"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B2:N31"/>
  <sheetViews>
    <sheetView zoomScale="85" zoomScaleNormal="85" workbookViewId="0">
      <selection activeCell="N25" sqref="N25"/>
    </sheetView>
  </sheetViews>
  <sheetFormatPr defaultColWidth="10.5703125" defaultRowHeight="15"/>
  <cols>
    <col min="1" max="1" width="3.5703125" style="368" customWidth="1"/>
    <col min="2" max="14" width="10.5703125" style="368" customWidth="1"/>
    <col min="15" max="15" width="3.5703125" style="368" customWidth="1"/>
    <col min="16" max="16" width="10.5703125" style="368"/>
    <col min="17" max="17" width="10.85546875" style="368" bestFit="1" customWidth="1"/>
    <col min="18" max="24" width="10.5703125" style="368"/>
    <col min="25" max="25" width="3.5703125" style="368" customWidth="1"/>
    <col min="26" max="16384" width="10.5703125" style="368"/>
  </cols>
  <sheetData>
    <row r="2" spans="2:14" s="379" customFormat="1">
      <c r="B2" s="483" t="s">
        <v>212</v>
      </c>
      <c r="C2" s="484"/>
      <c r="D2" s="484"/>
      <c r="E2" s="484"/>
      <c r="F2" s="484"/>
      <c r="G2" s="484"/>
      <c r="H2" s="484"/>
      <c r="I2" s="484"/>
      <c r="J2" s="484"/>
      <c r="K2" s="484"/>
      <c r="L2" s="484"/>
      <c r="M2" s="484"/>
      <c r="N2" s="484"/>
    </row>
    <row r="3" spans="2:14" s="379" customFormat="1">
      <c r="B3" s="485" t="s">
        <v>320</v>
      </c>
      <c r="C3" s="486"/>
      <c r="D3" s="486"/>
      <c r="E3" s="486"/>
      <c r="F3" s="486"/>
      <c r="G3" s="486"/>
      <c r="H3" s="486"/>
      <c r="I3" s="486"/>
      <c r="J3" s="486"/>
      <c r="K3" s="486"/>
      <c r="L3" s="486"/>
      <c r="M3" s="486"/>
      <c r="N3" s="486"/>
    </row>
    <row r="5" spans="2:14">
      <c r="E5" s="935" t="s">
        <v>227</v>
      </c>
      <c r="F5" s="936"/>
      <c r="H5" s="935" t="s">
        <v>239</v>
      </c>
      <c r="I5" s="937"/>
      <c r="J5" s="936"/>
      <c r="L5" s="935" t="s">
        <v>105</v>
      </c>
      <c r="M5" s="937"/>
      <c r="N5" s="936"/>
    </row>
    <row r="6" spans="2:14">
      <c r="F6" s="487"/>
      <c r="H6" s="488"/>
      <c r="I6" s="488"/>
    </row>
    <row r="7" spans="2:14">
      <c r="E7" s="489" t="s">
        <v>143</v>
      </c>
      <c r="F7" s="489" t="s">
        <v>15</v>
      </c>
      <c r="G7" s="367"/>
      <c r="H7" s="489" t="s">
        <v>321</v>
      </c>
      <c r="I7" s="489" t="s">
        <v>322</v>
      </c>
      <c r="J7" s="489" t="s">
        <v>323</v>
      </c>
      <c r="L7" s="489" t="s">
        <v>321</v>
      </c>
      <c r="M7" s="489" t="s">
        <v>322</v>
      </c>
      <c r="N7" s="489" t="s">
        <v>323</v>
      </c>
    </row>
    <row r="8" spans="2:14" ht="15" customHeight="1">
      <c r="E8" s="490"/>
      <c r="F8" s="490"/>
      <c r="G8" s="367"/>
      <c r="H8" s="491"/>
      <c r="I8" s="490"/>
      <c r="J8" s="367"/>
      <c r="L8" s="490"/>
      <c r="M8" s="490"/>
      <c r="N8" s="490"/>
    </row>
    <row r="9" spans="2:14">
      <c r="B9" s="368" t="s">
        <v>214</v>
      </c>
      <c r="E9" s="492">
        <f>Segments!DZ47</f>
        <v>18207.09726767477</v>
      </c>
      <c r="F9" s="509">
        <f>Segments!$DZ$74+Financials!$DZ$117*0.68</f>
        <v>1804.4650308201378</v>
      </c>
      <c r="G9" s="367"/>
      <c r="H9" s="493">
        <v>6</v>
      </c>
      <c r="I9" s="493">
        <v>6.5</v>
      </c>
      <c r="J9" s="493">
        <v>7</v>
      </c>
      <c r="K9" s="367"/>
      <c r="L9" s="843">
        <f>$F9*H9</f>
        <v>10826.790184920827</v>
      </c>
      <c r="M9" s="843">
        <f>$F9*I9</f>
        <v>11729.022700330896</v>
      </c>
      <c r="N9" s="843">
        <f>$F9*J9</f>
        <v>12631.255215740965</v>
      </c>
    </row>
    <row r="10" spans="2:14">
      <c r="E10" s="367"/>
      <c r="F10" s="367"/>
      <c r="G10" s="367"/>
      <c r="H10" s="494"/>
      <c r="I10" s="494"/>
      <c r="J10" s="494"/>
      <c r="K10" s="367"/>
      <c r="L10" s="843"/>
      <c r="M10" s="843"/>
      <c r="N10" s="843"/>
    </row>
    <row r="11" spans="2:14">
      <c r="B11" s="368" t="s">
        <v>252</v>
      </c>
      <c r="E11" s="492">
        <f>Segments!DZ57</f>
        <v>5110.308630053757</v>
      </c>
      <c r="F11" s="509">
        <f>Segments!$DY$85+Financials!$DZ$117*0.285</f>
        <v>840.96569846380009</v>
      </c>
      <c r="G11" s="367"/>
      <c r="H11" s="493">
        <v>4</v>
      </c>
      <c r="I11" s="493">
        <v>5.5</v>
      </c>
      <c r="J11" s="493">
        <v>7</v>
      </c>
      <c r="K11" s="367"/>
      <c r="L11" s="843">
        <f>$F11*H11</f>
        <v>3363.8627938552004</v>
      </c>
      <c r="M11" s="843">
        <f>$F11*I11</f>
        <v>4625.3113415509006</v>
      </c>
      <c r="N11" s="843">
        <f>$F11*J11</f>
        <v>5886.7598892466003</v>
      </c>
    </row>
    <row r="12" spans="2:14">
      <c r="E12" s="367"/>
      <c r="F12" s="367"/>
      <c r="G12" s="367"/>
      <c r="H12" s="494"/>
      <c r="I12" s="494"/>
      <c r="J12" s="494"/>
      <c r="K12" s="367"/>
      <c r="L12" s="843"/>
      <c r="M12" s="843"/>
      <c r="N12" s="843"/>
    </row>
    <row r="13" spans="2:14">
      <c r="B13" s="368" t="s">
        <v>48</v>
      </c>
      <c r="E13" s="492"/>
      <c r="F13" s="843">
        <f>F15-F9-F11</f>
        <v>-265.67404323070821</v>
      </c>
      <c r="G13" s="367"/>
      <c r="H13" s="500">
        <f>(L9+L11)/($F9+$F11)</f>
        <v>5.3642126485077668</v>
      </c>
      <c r="I13" s="500">
        <f>(M9+M11)/($F9+$F11)</f>
        <v>6.1821063242538834</v>
      </c>
      <c r="J13" s="500">
        <f>(N9+N11)/($F9+$F11)</f>
        <v>6.9999999999999991</v>
      </c>
      <c r="K13" s="367"/>
      <c r="L13" s="843">
        <f>$F13*H13</f>
        <v>-1425.1320630783641</v>
      </c>
      <c r="M13" s="843">
        <f>$F13*I13</f>
        <v>-1642.4251828466608</v>
      </c>
      <c r="N13" s="843">
        <f>$F13*J13</f>
        <v>-1859.7183026149571</v>
      </c>
    </row>
    <row r="14" spans="2:14">
      <c r="E14" s="367"/>
      <c r="F14" s="367"/>
      <c r="G14" s="367"/>
      <c r="H14" s="494"/>
      <c r="I14" s="494"/>
      <c r="J14" s="494"/>
      <c r="K14" s="367"/>
      <c r="L14" s="843"/>
      <c r="M14" s="843"/>
      <c r="N14" s="843"/>
    </row>
    <row r="15" spans="2:14">
      <c r="B15" s="495" t="s">
        <v>52</v>
      </c>
      <c r="C15" s="496"/>
      <c r="D15" s="496"/>
      <c r="E15" s="497">
        <f>E9+E11+E13</f>
        <v>23317.405897728528</v>
      </c>
      <c r="F15" s="508">
        <f>Financials!DZ51</f>
        <v>2379.7566860532297</v>
      </c>
      <c r="G15" s="498"/>
      <c r="H15" s="499">
        <f>L15/$F15</f>
        <v>5.3642126485077668</v>
      </c>
      <c r="I15" s="499">
        <f>M15/$F15</f>
        <v>6.1821063242538843</v>
      </c>
      <c r="J15" s="499">
        <f>N15/$F15</f>
        <v>6.9999999999999991</v>
      </c>
      <c r="K15" s="498"/>
      <c r="L15" s="882">
        <f>L9+L11+L13</f>
        <v>12765.520915697662</v>
      </c>
      <c r="M15" s="882">
        <f>M9+M11+M13</f>
        <v>14711.908859035137</v>
      </c>
      <c r="N15" s="882">
        <f>N9+N11+N13</f>
        <v>16658.296802372606</v>
      </c>
    </row>
    <row r="16" spans="2:14">
      <c r="F16" s="367"/>
      <c r="G16" s="367"/>
      <c r="H16" s="494"/>
      <c r="I16" s="494"/>
      <c r="J16" s="494"/>
      <c r="K16" s="367"/>
      <c r="L16" s="843"/>
      <c r="M16" s="843"/>
      <c r="N16" s="843"/>
    </row>
    <row r="17" spans="2:14">
      <c r="B17" s="368" t="s">
        <v>142</v>
      </c>
      <c r="G17" s="491"/>
      <c r="H17" s="500"/>
      <c r="J17" s="500"/>
      <c r="K17" s="491"/>
      <c r="L17" s="883"/>
      <c r="M17" s="884">
        <f>-Valuation!G15+Valuation!G16-Valuation!G17-Valuation!G18-Valuation!G19</f>
        <v>-170.80348486451359</v>
      </c>
      <c r="N17" s="885"/>
    </row>
    <row r="18" spans="2:14">
      <c r="L18" s="885"/>
      <c r="M18" s="885"/>
      <c r="N18" s="885"/>
    </row>
    <row r="19" spans="2:14" s="366" customFormat="1">
      <c r="B19" s="366" t="s">
        <v>113</v>
      </c>
      <c r="L19" s="883">
        <f>L15+$M$17</f>
        <v>12594.717430833149</v>
      </c>
      <c r="M19" s="883">
        <f>M15+$M$17</f>
        <v>14541.105374170624</v>
      </c>
      <c r="N19" s="883">
        <f>N15+$M$17</f>
        <v>16487.493317508091</v>
      </c>
    </row>
    <row r="20" spans="2:14">
      <c r="L20" s="885"/>
      <c r="M20" s="885"/>
      <c r="N20" s="885"/>
    </row>
    <row r="21" spans="2:14">
      <c r="B21" s="368" t="s">
        <v>324</v>
      </c>
      <c r="L21" s="885"/>
      <c r="M21" s="884">
        <f>Valuation!G13</f>
        <v>67.403847342161839</v>
      </c>
      <c r="N21" s="885"/>
    </row>
    <row r="23" spans="2:14" ht="15.75" thickBot="1">
      <c r="B23" s="501" t="s">
        <v>320</v>
      </c>
      <c r="C23" s="502"/>
      <c r="D23" s="502"/>
      <c r="E23" s="502"/>
      <c r="F23" s="502"/>
      <c r="G23" s="502"/>
      <c r="H23" s="502"/>
      <c r="I23" s="502"/>
      <c r="J23" s="502"/>
      <c r="K23" s="502"/>
      <c r="L23" s="503">
        <f>L19/$M$21</f>
        <v>186.85457770531468</v>
      </c>
      <c r="M23" s="503">
        <f>M19/$M$21</f>
        <v>215.73108876642721</v>
      </c>
      <c r="N23" s="503">
        <f>N19/$M$21</f>
        <v>244.60759982753959</v>
      </c>
    </row>
    <row r="24" spans="2:14">
      <c r="B24" s="366"/>
      <c r="L24" s="504"/>
      <c r="M24" s="504"/>
      <c r="N24" s="504"/>
    </row>
    <row r="25" spans="2:14" s="895" customFormat="1">
      <c r="B25" s="895" t="s">
        <v>381</v>
      </c>
      <c r="L25" s="896">
        <v>0.1</v>
      </c>
      <c r="M25" s="896">
        <v>0.1</v>
      </c>
      <c r="N25" s="896">
        <v>0</v>
      </c>
    </row>
    <row r="26" spans="2:14">
      <c r="B26" s="366"/>
      <c r="L26" s="504"/>
      <c r="M26" s="504"/>
      <c r="N26" s="504"/>
    </row>
    <row r="27" spans="2:14" ht="15.75" thickBot="1">
      <c r="B27" s="501" t="s">
        <v>325</v>
      </c>
      <c r="C27" s="502"/>
      <c r="D27" s="502"/>
      <c r="E27" s="502"/>
      <c r="F27" s="502"/>
      <c r="G27" s="502"/>
      <c r="H27" s="502"/>
      <c r="I27" s="502"/>
      <c r="J27" s="502"/>
      <c r="K27" s="502"/>
      <c r="L27" s="503">
        <f>L23*(1-L25)</f>
        <v>168.16911993478323</v>
      </c>
      <c r="M27" s="503">
        <f>M23*(1-M25)</f>
        <v>194.15797988978449</v>
      </c>
      <c r="N27" s="503">
        <f>N23*(1-N25)</f>
        <v>244.60759982753959</v>
      </c>
    </row>
    <row r="28" spans="2:14">
      <c r="B28" s="366"/>
      <c r="L28" s="504"/>
      <c r="M28" s="504"/>
      <c r="N28" s="504"/>
    </row>
    <row r="29" spans="2:14">
      <c r="B29" s="368" t="s">
        <v>326</v>
      </c>
      <c r="L29" s="504"/>
      <c r="M29" s="505">
        <f>Valuation!E12</f>
        <v>194.88</v>
      </c>
      <c r="N29" s="504"/>
    </row>
    <row r="31" spans="2:14">
      <c r="B31" s="368" t="s">
        <v>233</v>
      </c>
      <c r="L31" s="506">
        <f>L27/$M$29-1</f>
        <v>-0.13706321872545546</v>
      </c>
      <c r="M31" s="506">
        <f>M27/$M$29-1</f>
        <v>-3.7049471993817473E-3</v>
      </c>
      <c r="N31" s="506">
        <f>N27/$M$29-1</f>
        <v>0.25517036036299046</v>
      </c>
    </row>
  </sheetData>
  <mergeCells count="3">
    <mergeCell ref="E5:F5"/>
    <mergeCell ref="H5:J5"/>
    <mergeCell ref="L5:N5"/>
  </mergeCells>
  <pageMargins left="0" right="0" top="0" bottom="0" header="0" footer="0"/>
  <pageSetup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pageSetUpPr fitToPage="1"/>
  </sheetPr>
  <dimension ref="A1:EK65427"/>
  <sheetViews>
    <sheetView showGridLines="0" zoomScale="85" zoomScaleNormal="85" workbookViewId="0">
      <pane xSplit="3" ySplit="4" topLeftCell="CR5" activePane="bottomRight" state="frozen"/>
      <selection pane="topRight" activeCell="D1" sqref="D1"/>
      <selection pane="bottomLeft" activeCell="A5" sqref="A5"/>
      <selection pane="bottomRight" activeCell="CX5" sqref="CX5"/>
    </sheetView>
  </sheetViews>
  <sheetFormatPr defaultColWidth="10.42578125" defaultRowHeight="15" outlineLevelRow="1" outlineLevelCol="1"/>
  <cols>
    <col min="1" max="1" width="3.5703125" style="108" customWidth="1"/>
    <col min="2" max="2" width="41.42578125" style="108" customWidth="1"/>
    <col min="3" max="3" width="3.5703125" style="108" customWidth="1"/>
    <col min="4" max="90" width="10.5703125" style="108" hidden="1" customWidth="1" outlineLevel="1"/>
    <col min="91" max="91" width="10.5703125" style="111" hidden="1" customWidth="1" outlineLevel="1"/>
    <col min="92" max="92" width="10.5703125" style="116" hidden="1" customWidth="1" outlineLevel="1" collapsed="1"/>
    <col min="93" max="94" width="10.5703125" style="116" hidden="1" customWidth="1" outlineLevel="1"/>
    <col min="95" max="95" width="10.5703125" style="111" hidden="1" customWidth="1" outlineLevel="1"/>
    <col min="96" max="96" width="10.5703125" style="116" customWidth="1" collapsed="1"/>
    <col min="97" max="103" width="10.5703125" style="116" customWidth="1"/>
    <col min="104" max="104" width="3.5703125" customWidth="1"/>
    <col min="105" max="120" width="10.5703125" style="116" hidden="1" customWidth="1" outlineLevel="1"/>
    <col min="121" max="122" width="10.5703125" style="116" hidden="1" customWidth="1" outlineLevel="1" collapsed="1"/>
    <col min="123" max="124" width="10.5703125" style="116" hidden="1" customWidth="1" outlineLevel="1"/>
    <col min="125" max="126" width="10.5703125" style="116" hidden="1" customWidth="1" outlineLevel="1" collapsed="1"/>
    <col min="127" max="127" width="10.5703125" style="116" customWidth="1" collapsed="1"/>
    <col min="128" max="134" width="10.5703125" style="116" customWidth="1"/>
    <col min="135" max="135" width="3.5703125" style="108" customWidth="1"/>
    <col min="136" max="136" width="33.28515625" customWidth="1"/>
    <col min="137" max="137" width="9.140625" customWidth="1"/>
    <col min="138" max="138" width="12.85546875" customWidth="1"/>
    <col min="139" max="141" width="9.140625" customWidth="1"/>
    <col min="142" max="142" width="3.5703125" style="108" customWidth="1"/>
    <col min="143" max="16384" width="10.42578125" style="108"/>
  </cols>
  <sheetData>
    <row r="1" spans="1:141" s="136" customFormat="1">
      <c r="A1" s="131"/>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31"/>
      <c r="AJ1" s="134"/>
      <c r="AK1" s="134"/>
      <c r="AL1" s="134"/>
      <c r="AM1" s="134"/>
      <c r="AN1" s="134"/>
      <c r="AO1" s="134"/>
      <c r="AP1" s="134"/>
      <c r="AQ1" s="134"/>
      <c r="AR1" s="134"/>
      <c r="AS1" s="134"/>
      <c r="AT1" s="134"/>
      <c r="AU1" s="134"/>
      <c r="AV1" s="134"/>
      <c r="AW1" s="134"/>
      <c r="AX1" s="134"/>
      <c r="AY1" s="134"/>
      <c r="AZ1" s="134"/>
      <c r="BA1" s="134"/>
      <c r="BB1" s="134"/>
      <c r="BC1" s="134"/>
      <c r="BD1" s="134"/>
      <c r="BE1" s="134"/>
      <c r="BF1" s="134"/>
      <c r="BG1" s="134"/>
      <c r="BH1" s="134"/>
      <c r="BI1" s="134"/>
      <c r="BJ1" s="134"/>
      <c r="BK1" s="134"/>
      <c r="BL1" s="134"/>
      <c r="BM1" s="134"/>
      <c r="BN1" s="134"/>
      <c r="BO1" s="134"/>
      <c r="BP1" s="134"/>
      <c r="BQ1" s="134"/>
      <c r="BR1" s="134"/>
      <c r="BS1" s="134"/>
      <c r="BT1" s="134"/>
      <c r="BU1" s="134"/>
      <c r="BV1" s="134"/>
      <c r="BW1" s="134"/>
      <c r="BX1" s="134"/>
      <c r="BY1" s="134"/>
      <c r="BZ1" s="134"/>
      <c r="CA1" s="134"/>
      <c r="CB1" s="134"/>
      <c r="CC1" s="134"/>
      <c r="CD1" s="134"/>
      <c r="CE1" s="134"/>
      <c r="CF1" s="134"/>
      <c r="CG1" s="134"/>
      <c r="CH1" s="134"/>
      <c r="CI1" s="134"/>
      <c r="CJ1" s="134"/>
      <c r="CK1" s="134"/>
      <c r="CL1" s="134"/>
      <c r="CM1" s="134"/>
      <c r="CN1" s="134"/>
      <c r="CO1" s="134"/>
      <c r="CP1" s="134"/>
      <c r="CQ1" s="134"/>
      <c r="CR1" s="134"/>
      <c r="CS1" s="134"/>
      <c r="CT1" s="134"/>
      <c r="CU1" s="134"/>
      <c r="CV1" s="134"/>
      <c r="CW1" s="134"/>
      <c r="CX1" s="134"/>
      <c r="CY1" s="134"/>
      <c r="DA1" s="135"/>
      <c r="DB1" s="135"/>
      <c r="DC1" s="135"/>
      <c r="DD1" s="135"/>
      <c r="DE1" s="135"/>
      <c r="DF1" s="135"/>
      <c r="DG1" s="135"/>
      <c r="DH1" s="135"/>
      <c r="DI1" s="135"/>
      <c r="DJ1" s="135"/>
      <c r="DK1" s="135"/>
      <c r="DL1" s="135"/>
      <c r="DM1" s="135"/>
      <c r="DN1" s="135"/>
      <c r="DO1" s="135"/>
      <c r="DP1" s="135"/>
      <c r="DQ1" s="135"/>
      <c r="DR1" s="135"/>
      <c r="DS1" s="135"/>
      <c r="DT1" s="135"/>
      <c r="DU1" s="135"/>
      <c r="DV1" s="135"/>
      <c r="DW1" s="135"/>
      <c r="DX1" s="135"/>
      <c r="DY1" s="135"/>
      <c r="DZ1" s="135"/>
      <c r="EA1" s="135"/>
      <c r="EB1" s="135"/>
      <c r="EC1" s="135"/>
      <c r="ED1" s="135"/>
      <c r="EF1"/>
      <c r="EG1"/>
      <c r="EH1"/>
      <c r="EI1"/>
      <c r="EJ1"/>
      <c r="EK1"/>
    </row>
    <row r="2" spans="1:141" s="136" customFormat="1">
      <c r="A2" s="132"/>
      <c r="B2" s="131"/>
      <c r="C2" s="131"/>
      <c r="D2" s="131"/>
      <c r="E2" s="131"/>
      <c r="F2" s="131"/>
      <c r="G2" s="131"/>
      <c r="H2" s="131"/>
      <c r="I2" s="131"/>
      <c r="J2" s="131"/>
      <c r="K2" s="131"/>
      <c r="L2" s="131"/>
      <c r="M2" s="131"/>
      <c r="N2" s="131"/>
      <c r="O2" s="131"/>
      <c r="P2" s="131"/>
      <c r="Q2" s="131"/>
      <c r="R2" s="131"/>
      <c r="S2" s="131"/>
      <c r="T2" s="131"/>
      <c r="U2" s="131"/>
      <c r="V2" s="131"/>
      <c r="W2" s="131"/>
      <c r="X2" s="131"/>
      <c r="Y2" s="131"/>
      <c r="Z2" s="131"/>
      <c r="AA2" s="131"/>
      <c r="AB2" s="131"/>
      <c r="AC2" s="131"/>
      <c r="AD2" s="131"/>
      <c r="AE2" s="131"/>
      <c r="AF2" s="131"/>
      <c r="AG2" s="131"/>
      <c r="AH2" s="131"/>
      <c r="AI2" s="131"/>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DA2" s="135"/>
      <c r="DB2" s="135"/>
      <c r="DC2" s="135"/>
      <c r="DD2" s="135"/>
      <c r="DE2" s="135"/>
      <c r="DF2" s="135"/>
      <c r="DG2" s="135"/>
      <c r="DH2" s="135"/>
      <c r="DI2" s="135"/>
      <c r="DJ2" s="135"/>
      <c r="DK2" s="135"/>
      <c r="DL2" s="135"/>
      <c r="DM2" s="135"/>
      <c r="DN2" s="135"/>
      <c r="DO2" s="135"/>
      <c r="DP2" s="135"/>
      <c r="DQ2" s="135"/>
      <c r="DR2" s="135"/>
      <c r="DS2" s="135"/>
      <c r="DT2" s="135"/>
      <c r="DU2" s="135"/>
      <c r="DV2" s="135"/>
      <c r="DW2" s="135"/>
      <c r="DX2" s="875"/>
      <c r="DY2" s="876"/>
      <c r="DZ2" s="876"/>
      <c r="EA2" s="876"/>
      <c r="EB2" s="135"/>
      <c r="EC2" s="135"/>
      <c r="ED2" s="135"/>
      <c r="EF2"/>
      <c r="EG2"/>
      <c r="EH2"/>
      <c r="EI2"/>
      <c r="EJ2"/>
      <c r="EK2"/>
    </row>
    <row r="3" spans="1:141" s="136" customFormat="1">
      <c r="A3" s="131"/>
      <c r="B3" s="131"/>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131"/>
      <c r="AC3" s="131"/>
      <c r="AD3" s="131"/>
      <c r="AE3" s="131"/>
      <c r="AF3" s="131"/>
      <c r="AG3" s="131"/>
      <c r="AH3" s="131"/>
      <c r="AI3" s="131"/>
      <c r="AJ3" s="134"/>
      <c r="AK3" s="134"/>
      <c r="AL3" s="134"/>
      <c r="AM3" s="134"/>
      <c r="AN3" s="134"/>
      <c r="AO3" s="134"/>
      <c r="AP3" s="134"/>
      <c r="AQ3" s="134"/>
      <c r="AR3" s="134"/>
      <c r="AS3" s="134"/>
      <c r="AT3" s="134"/>
      <c r="AU3" s="134"/>
      <c r="AV3" s="134"/>
      <c r="AW3" s="134"/>
      <c r="AX3" s="134"/>
      <c r="AY3" s="134"/>
      <c r="AZ3" s="134"/>
      <c r="BA3" s="134"/>
      <c r="BB3" s="134"/>
      <c r="BC3" s="134"/>
      <c r="BD3" s="134"/>
      <c r="BE3" s="134"/>
      <c r="BF3" s="134"/>
      <c r="BG3" s="134"/>
      <c r="BH3" s="134"/>
      <c r="BI3" s="134"/>
      <c r="BJ3" s="134"/>
      <c r="BK3" s="134"/>
      <c r="BL3" s="134"/>
      <c r="BM3" s="134"/>
      <c r="BN3" s="134"/>
      <c r="BO3" s="134"/>
      <c r="BP3" s="134"/>
      <c r="BQ3" s="134"/>
      <c r="BR3" s="134"/>
      <c r="BS3" s="134"/>
      <c r="BT3" s="134"/>
      <c r="BU3" s="134"/>
      <c r="BV3" s="134"/>
      <c r="BW3" s="134"/>
      <c r="BX3" s="134"/>
      <c r="BY3" s="134"/>
      <c r="BZ3" s="134"/>
      <c r="CA3" s="134"/>
      <c r="CB3" s="134"/>
      <c r="CC3" s="134"/>
      <c r="CD3" s="134"/>
      <c r="CE3" s="134"/>
      <c r="CF3" s="134"/>
      <c r="CG3" s="134"/>
      <c r="CH3" s="134"/>
      <c r="CI3" s="134"/>
      <c r="CJ3" s="134"/>
      <c r="CK3" s="134"/>
      <c r="CL3" s="134"/>
      <c r="CM3" s="134"/>
      <c r="CN3" s="134"/>
      <c r="CO3" s="134"/>
      <c r="CP3" s="134"/>
      <c r="CQ3" s="134"/>
      <c r="CR3" s="134"/>
      <c r="CS3" s="134"/>
      <c r="CT3" s="134"/>
      <c r="CU3" s="134"/>
      <c r="CV3" s="134"/>
      <c r="CW3" s="134"/>
      <c r="CX3" s="134"/>
      <c r="CY3" s="134"/>
      <c r="DA3" s="135"/>
      <c r="DB3" s="135"/>
      <c r="DC3" s="135"/>
      <c r="DD3" s="135"/>
      <c r="DE3" s="135"/>
      <c r="DF3" s="135"/>
      <c r="DG3" s="135"/>
      <c r="DH3" s="135"/>
      <c r="DI3" s="135"/>
      <c r="DJ3" s="135"/>
      <c r="DK3" s="135"/>
      <c r="DL3" s="135"/>
      <c r="DM3" s="135"/>
      <c r="DN3" s="135"/>
      <c r="DO3" s="135"/>
      <c r="DP3" s="135"/>
      <c r="DQ3" s="135"/>
      <c r="DR3" s="135"/>
      <c r="DS3" s="135"/>
      <c r="DT3" s="135"/>
      <c r="DU3" s="135"/>
      <c r="DV3" s="135"/>
      <c r="DW3" s="135"/>
      <c r="DX3" s="877"/>
      <c r="DY3" s="877"/>
      <c r="DZ3" s="877"/>
      <c r="EA3" s="877"/>
      <c r="EB3" s="135"/>
      <c r="EC3" s="135"/>
      <c r="ED3" s="135"/>
      <c r="EF3"/>
      <c r="EG3"/>
      <c r="EH3"/>
      <c r="EI3"/>
      <c r="EJ3"/>
      <c r="EK3"/>
    </row>
    <row r="4" spans="1:141" s="570" customFormat="1">
      <c r="A4" s="154"/>
      <c r="B4" s="155"/>
      <c r="C4" s="817"/>
      <c r="D4" s="739" t="s">
        <v>44</v>
      </c>
      <c r="E4" s="740" t="s">
        <v>45</v>
      </c>
      <c r="F4" s="740" t="s">
        <v>46</v>
      </c>
      <c r="G4" s="741" t="s">
        <v>47</v>
      </c>
      <c r="H4" s="740" t="s">
        <v>40</v>
      </c>
      <c r="I4" s="740" t="s">
        <v>41</v>
      </c>
      <c r="J4" s="740" t="s">
        <v>42</v>
      </c>
      <c r="K4" s="741" t="s">
        <v>43</v>
      </c>
      <c r="L4" s="740" t="s">
        <v>36</v>
      </c>
      <c r="M4" s="740" t="s">
        <v>37</v>
      </c>
      <c r="N4" s="740" t="s">
        <v>38</v>
      </c>
      <c r="O4" s="741" t="s">
        <v>39</v>
      </c>
      <c r="P4" s="740" t="s">
        <v>32</v>
      </c>
      <c r="Q4" s="740" t="s">
        <v>33</v>
      </c>
      <c r="R4" s="740" t="s">
        <v>34</v>
      </c>
      <c r="S4" s="741" t="s">
        <v>35</v>
      </c>
      <c r="T4" s="740" t="s">
        <v>28</v>
      </c>
      <c r="U4" s="740" t="s">
        <v>29</v>
      </c>
      <c r="V4" s="740" t="s">
        <v>30</v>
      </c>
      <c r="W4" s="741" t="s">
        <v>31</v>
      </c>
      <c r="X4" s="740" t="s">
        <v>158</v>
      </c>
      <c r="Y4" s="740" t="s">
        <v>159</v>
      </c>
      <c r="Z4" s="740" t="s">
        <v>160</v>
      </c>
      <c r="AA4" s="741" t="s">
        <v>161</v>
      </c>
      <c r="AB4" s="740" t="s">
        <v>154</v>
      </c>
      <c r="AC4" s="740" t="s">
        <v>155</v>
      </c>
      <c r="AD4" s="740" t="s">
        <v>156</v>
      </c>
      <c r="AE4" s="741" t="s">
        <v>157</v>
      </c>
      <c r="AF4" s="740" t="s">
        <v>150</v>
      </c>
      <c r="AG4" s="740" t="s">
        <v>151</v>
      </c>
      <c r="AH4" s="740" t="s">
        <v>152</v>
      </c>
      <c r="AI4" s="741" t="s">
        <v>153</v>
      </c>
      <c r="AJ4" s="740" t="s">
        <v>120</v>
      </c>
      <c r="AK4" s="740" t="s">
        <v>121</v>
      </c>
      <c r="AL4" s="740" t="s">
        <v>122</v>
      </c>
      <c r="AM4" s="741" t="s">
        <v>123</v>
      </c>
      <c r="AN4" s="740" t="s">
        <v>124</v>
      </c>
      <c r="AO4" s="740" t="s">
        <v>125</v>
      </c>
      <c r="AP4" s="740" t="s">
        <v>126</v>
      </c>
      <c r="AQ4" s="741" t="s">
        <v>127</v>
      </c>
      <c r="AR4" s="740" t="s">
        <v>6</v>
      </c>
      <c r="AS4" s="740" t="s">
        <v>7</v>
      </c>
      <c r="AT4" s="740" t="s">
        <v>8</v>
      </c>
      <c r="AU4" s="741" t="s">
        <v>5</v>
      </c>
      <c r="AV4" s="740" t="s">
        <v>128</v>
      </c>
      <c r="AW4" s="740" t="s">
        <v>9</v>
      </c>
      <c r="AX4" s="740" t="s">
        <v>129</v>
      </c>
      <c r="AY4" s="741" t="s">
        <v>10</v>
      </c>
      <c r="AZ4" s="740" t="s">
        <v>130</v>
      </c>
      <c r="BA4" s="740" t="s">
        <v>131</v>
      </c>
      <c r="BB4" s="740" t="s">
        <v>132</v>
      </c>
      <c r="BC4" s="741" t="s">
        <v>133</v>
      </c>
      <c r="BD4" s="740" t="s">
        <v>2</v>
      </c>
      <c r="BE4" s="740" t="s">
        <v>3</v>
      </c>
      <c r="BF4" s="740" t="s">
        <v>4</v>
      </c>
      <c r="BG4" s="741" t="s">
        <v>170</v>
      </c>
      <c r="BH4" s="740" t="s">
        <v>171</v>
      </c>
      <c r="BI4" s="740" t="s">
        <v>172</v>
      </c>
      <c r="BJ4" s="740" t="s">
        <v>173</v>
      </c>
      <c r="BK4" s="741" t="s">
        <v>174</v>
      </c>
      <c r="BL4" s="740" t="s">
        <v>225</v>
      </c>
      <c r="BM4" s="740" t="s">
        <v>175</v>
      </c>
      <c r="BN4" s="740" t="s">
        <v>166</v>
      </c>
      <c r="BO4" s="741" t="s">
        <v>13</v>
      </c>
      <c r="BP4" s="740" t="s">
        <v>148</v>
      </c>
      <c r="BQ4" s="740" t="s">
        <v>67</v>
      </c>
      <c r="BR4" s="740" t="s">
        <v>118</v>
      </c>
      <c r="BS4" s="741" t="s">
        <v>145</v>
      </c>
      <c r="BT4" s="740" t="s">
        <v>117</v>
      </c>
      <c r="BU4" s="740" t="s">
        <v>88</v>
      </c>
      <c r="BV4" s="740" t="s">
        <v>89</v>
      </c>
      <c r="BW4" s="741" t="s">
        <v>119</v>
      </c>
      <c r="BX4" s="740" t="s">
        <v>97</v>
      </c>
      <c r="BY4" s="740" t="s">
        <v>137</v>
      </c>
      <c r="BZ4" s="740" t="s">
        <v>87</v>
      </c>
      <c r="CA4" s="741" t="s">
        <v>11</v>
      </c>
      <c r="CB4" s="740" t="s">
        <v>26</v>
      </c>
      <c r="CC4" s="740" t="s">
        <v>94</v>
      </c>
      <c r="CD4" s="740" t="s">
        <v>147</v>
      </c>
      <c r="CE4" s="741" t="s">
        <v>16</v>
      </c>
      <c r="CF4" s="740" t="s">
        <v>116</v>
      </c>
      <c r="CG4" s="740" t="s">
        <v>180</v>
      </c>
      <c r="CH4" s="740" t="s">
        <v>181</v>
      </c>
      <c r="CI4" s="741" t="s">
        <v>182</v>
      </c>
      <c r="CJ4" s="740" t="s">
        <v>183</v>
      </c>
      <c r="CK4" s="740" t="s">
        <v>184</v>
      </c>
      <c r="CL4" s="740" t="s">
        <v>185</v>
      </c>
      <c r="CM4" s="741" t="s">
        <v>188</v>
      </c>
      <c r="CN4" s="740" t="s">
        <v>189</v>
      </c>
      <c r="CO4" s="740" t="s">
        <v>190</v>
      </c>
      <c r="CP4" s="740" t="s">
        <v>191</v>
      </c>
      <c r="CQ4" s="741" t="s">
        <v>194</v>
      </c>
      <c r="CR4" s="740" t="s">
        <v>192</v>
      </c>
      <c r="CS4" s="740" t="s">
        <v>193</v>
      </c>
      <c r="CT4" s="740" t="s">
        <v>300</v>
      </c>
      <c r="CU4" s="741" t="s">
        <v>335</v>
      </c>
      <c r="CV4" s="740" t="s">
        <v>371</v>
      </c>
      <c r="CW4" s="740" t="s">
        <v>375</v>
      </c>
      <c r="CX4" s="740" t="s">
        <v>376</v>
      </c>
      <c r="CY4" s="741" t="s">
        <v>380</v>
      </c>
      <c r="CZ4" s="569"/>
      <c r="DA4" s="572">
        <v>1994</v>
      </c>
      <c r="DB4" s="572">
        <v>1995</v>
      </c>
      <c r="DC4" s="572">
        <v>1996</v>
      </c>
      <c r="DD4" s="572">
        <v>1997</v>
      </c>
      <c r="DE4" s="572">
        <v>1998</v>
      </c>
      <c r="DF4" s="572">
        <v>1999</v>
      </c>
      <c r="DG4" s="572">
        <v>2000</v>
      </c>
      <c r="DH4" s="572">
        <v>2001</v>
      </c>
      <c r="DI4" s="572">
        <v>2002</v>
      </c>
      <c r="DJ4" s="572">
        <v>2003</v>
      </c>
      <c r="DK4" s="572">
        <v>2004</v>
      </c>
      <c r="DL4" s="572">
        <v>2005</v>
      </c>
      <c r="DM4" s="572">
        <v>2006</v>
      </c>
      <c r="DN4" s="572">
        <v>2007</v>
      </c>
      <c r="DO4" s="572">
        <v>2008</v>
      </c>
      <c r="DP4" s="572">
        <v>2009</v>
      </c>
      <c r="DQ4" s="572">
        <v>2010</v>
      </c>
      <c r="DR4" s="572">
        <v>2011</v>
      </c>
      <c r="DS4" s="572">
        <v>2012</v>
      </c>
      <c r="DT4" s="572">
        <v>2013</v>
      </c>
      <c r="DU4" s="572">
        <v>2014</v>
      </c>
      <c r="DV4" s="572">
        <v>2015</v>
      </c>
      <c r="DW4" s="572">
        <v>2016</v>
      </c>
      <c r="DX4" s="572">
        <v>2017</v>
      </c>
      <c r="DY4" s="572" t="s">
        <v>226</v>
      </c>
      <c r="DZ4" s="572" t="s">
        <v>227</v>
      </c>
      <c r="EA4" s="572" t="s">
        <v>228</v>
      </c>
      <c r="EB4" s="572" t="s">
        <v>377</v>
      </c>
      <c r="EC4" s="572" t="s">
        <v>378</v>
      </c>
      <c r="ED4" s="572" t="s">
        <v>379</v>
      </c>
      <c r="EF4"/>
      <c r="EG4"/>
      <c r="EH4"/>
      <c r="EI4"/>
      <c r="EJ4"/>
      <c r="EK4"/>
    </row>
    <row r="5" spans="1:141">
      <c r="A5" s="133"/>
      <c r="B5" s="112"/>
      <c r="C5" s="112"/>
      <c r="D5" s="140"/>
      <c r="E5" s="111"/>
      <c r="F5" s="111"/>
      <c r="G5" s="141"/>
      <c r="H5" s="111"/>
      <c r="I5" s="111"/>
      <c r="J5" s="111"/>
      <c r="K5" s="141"/>
      <c r="L5" s="111"/>
      <c r="M5" s="111"/>
      <c r="N5" s="111"/>
      <c r="O5" s="141"/>
      <c r="P5" s="111"/>
      <c r="Q5" s="111"/>
      <c r="R5" s="111"/>
      <c r="S5" s="141"/>
      <c r="T5" s="111"/>
      <c r="U5" s="111"/>
      <c r="V5" s="111"/>
      <c r="W5" s="141"/>
      <c r="X5" s="112"/>
      <c r="Y5" s="112"/>
      <c r="Z5" s="112"/>
      <c r="AA5" s="150"/>
      <c r="AB5" s="112"/>
      <c r="AC5" s="112"/>
      <c r="AD5" s="112"/>
      <c r="AE5" s="150"/>
      <c r="AF5" s="112"/>
      <c r="AG5" s="112"/>
      <c r="AH5" s="112"/>
      <c r="AI5" s="150"/>
      <c r="AJ5" s="113"/>
      <c r="AK5" s="113"/>
      <c r="AL5" s="113"/>
      <c r="AM5" s="147"/>
      <c r="AN5" s="113"/>
      <c r="AO5" s="113"/>
      <c r="AP5" s="113"/>
      <c r="AQ5" s="147"/>
      <c r="AR5" s="113"/>
      <c r="AS5" s="113"/>
      <c r="AT5" s="113"/>
      <c r="AU5" s="147"/>
      <c r="AV5" s="113"/>
      <c r="AW5" s="113"/>
      <c r="AX5" s="113"/>
      <c r="AY5" s="147"/>
      <c r="AZ5" s="113"/>
      <c r="BA5" s="113"/>
      <c r="BB5" s="113"/>
      <c r="BC5" s="147"/>
      <c r="BD5" s="113"/>
      <c r="BE5" s="113"/>
      <c r="BF5" s="113"/>
      <c r="BG5" s="147"/>
      <c r="BH5" s="114"/>
      <c r="BI5" s="114"/>
      <c r="BJ5" s="114"/>
      <c r="BK5" s="152"/>
      <c r="BL5" s="114"/>
      <c r="BM5" s="114"/>
      <c r="BN5" s="114"/>
      <c r="BO5" s="152"/>
      <c r="BP5" s="114"/>
      <c r="BQ5" s="114"/>
      <c r="BR5" s="114"/>
      <c r="BS5" s="152"/>
      <c r="BT5" s="114"/>
      <c r="BU5" s="114"/>
      <c r="BV5" s="114"/>
      <c r="BW5" s="152"/>
      <c r="BX5" s="114"/>
      <c r="BY5" s="114"/>
      <c r="BZ5" s="114"/>
      <c r="CA5" s="152"/>
      <c r="CB5" s="115"/>
      <c r="CC5" s="114"/>
      <c r="CD5" s="114"/>
      <c r="CE5" s="152"/>
      <c r="CF5" s="115"/>
      <c r="CG5" s="114"/>
      <c r="CH5" s="114"/>
      <c r="CI5" s="152"/>
      <c r="CJ5" s="115"/>
      <c r="CK5" s="115"/>
      <c r="CL5" s="115"/>
      <c r="CM5" s="147"/>
      <c r="CN5" s="113"/>
      <c r="CO5" s="113"/>
      <c r="CP5" s="113"/>
      <c r="CQ5" s="147"/>
      <c r="CR5" s="113"/>
      <c r="CS5" s="113"/>
      <c r="CT5" s="113"/>
      <c r="CU5" s="147"/>
      <c r="CV5" s="113"/>
      <c r="CW5" s="113"/>
      <c r="CX5" s="113"/>
      <c r="CY5" s="147"/>
      <c r="DA5" s="113"/>
      <c r="DB5" s="113"/>
      <c r="DC5" s="113"/>
      <c r="DD5" s="113"/>
      <c r="DE5" s="113"/>
      <c r="DF5" s="113"/>
      <c r="DG5" s="113"/>
      <c r="DH5" s="113"/>
      <c r="DI5" s="113"/>
      <c r="DJ5" s="113"/>
      <c r="DK5" s="113"/>
      <c r="DL5" s="113"/>
      <c r="DM5" s="113"/>
      <c r="DN5" s="113"/>
      <c r="DO5" s="113"/>
      <c r="DP5" s="113"/>
      <c r="DQ5" s="113"/>
      <c r="DR5" s="113"/>
      <c r="DS5" s="540"/>
      <c r="DT5" s="113"/>
      <c r="DU5" s="127"/>
      <c r="DV5" s="541"/>
      <c r="DW5" s="541"/>
      <c r="DX5" s="111"/>
      <c r="DY5" s="537"/>
      <c r="DZ5" s="537"/>
      <c r="EA5" s="537"/>
      <c r="EB5" s="537"/>
      <c r="EC5" s="537"/>
      <c r="ED5" s="537"/>
      <c r="EE5" s="111"/>
    </row>
    <row r="6" spans="1:141" s="137" customFormat="1">
      <c r="A6" s="193"/>
      <c r="B6" s="138" t="s">
        <v>143</v>
      </c>
      <c r="C6" s="138"/>
      <c r="D6" s="217">
        <v>686.7</v>
      </c>
      <c r="E6" s="218">
        <v>822.1</v>
      </c>
      <c r="F6" s="218">
        <v>698.5</v>
      </c>
      <c r="G6" s="219">
        <v>940.1</v>
      </c>
      <c r="H6" s="218">
        <v>1043.5</v>
      </c>
      <c r="I6" s="218">
        <v>1142.5999999999999</v>
      </c>
      <c r="J6" s="218">
        <v>1080.5999999999999</v>
      </c>
      <c r="K6" s="219">
        <v>1447.7</v>
      </c>
      <c r="L6" s="218">
        <v>1405.8</v>
      </c>
      <c r="M6" s="218">
        <v>1618.7</v>
      </c>
      <c r="N6" s="218">
        <v>1505.6</v>
      </c>
      <c r="O6" s="219">
        <v>1719</v>
      </c>
      <c r="P6" s="218">
        <v>1724</v>
      </c>
      <c r="Q6" s="218">
        <v>1839.3</v>
      </c>
      <c r="R6" s="218">
        <v>1635.9</v>
      </c>
      <c r="S6" s="219">
        <v>2143.6999999999998</v>
      </c>
      <c r="T6" s="218">
        <v>2032.1</v>
      </c>
      <c r="U6" s="218">
        <v>2175</v>
      </c>
      <c r="V6" s="218">
        <v>1946.5</v>
      </c>
      <c r="W6" s="219">
        <v>2905.8</v>
      </c>
      <c r="X6" s="218">
        <v>2687.2</v>
      </c>
      <c r="Y6" s="218">
        <v>3233.6</v>
      </c>
      <c r="Z6" s="218">
        <v>3046.7</v>
      </c>
      <c r="AA6" s="219">
        <v>3461.3</v>
      </c>
      <c r="AB6" s="218">
        <v>3805.1</v>
      </c>
      <c r="AC6" s="218">
        <v>3761.4</v>
      </c>
      <c r="AD6" s="218">
        <v>3144.1</v>
      </c>
      <c r="AE6" s="219">
        <v>3362.2</v>
      </c>
      <c r="AF6" s="218">
        <v>3503.6</v>
      </c>
      <c r="AG6" s="218">
        <v>3609.4</v>
      </c>
      <c r="AH6" s="218">
        <v>3106.7</v>
      </c>
      <c r="AI6" s="219">
        <v>3405</v>
      </c>
      <c r="AJ6" s="218">
        <v>3534.6</v>
      </c>
      <c r="AK6" s="218">
        <v>3792.2</v>
      </c>
      <c r="AL6" s="218">
        <v>3337.4</v>
      </c>
      <c r="AM6" s="219">
        <v>3760.4</v>
      </c>
      <c r="AN6" s="218">
        <v>3898.7</v>
      </c>
      <c r="AO6" s="218">
        <v>4101.2</v>
      </c>
      <c r="AP6" s="218">
        <f>3491.5</f>
        <v>3491.5</v>
      </c>
      <c r="AQ6" s="219">
        <v>4255.3</v>
      </c>
      <c r="AR6" s="218">
        <v>4492.1000000000004</v>
      </c>
      <c r="AS6" s="218">
        <v>4284</v>
      </c>
      <c r="AT6" s="218">
        <v>3897.8</v>
      </c>
      <c r="AU6" s="219">
        <v>4286.1000000000004</v>
      </c>
      <c r="AV6" s="218">
        <v>4286</v>
      </c>
      <c r="AW6" s="218">
        <v>4419.3</v>
      </c>
      <c r="AX6" s="218">
        <v>3986.6</v>
      </c>
      <c r="AY6" s="219">
        <v>4403.3</v>
      </c>
      <c r="AZ6" s="218">
        <v>4678.5</v>
      </c>
      <c r="BA6" s="218">
        <v>4810.2</v>
      </c>
      <c r="BB6" s="218">
        <v>4069.7</v>
      </c>
      <c r="BC6" s="219">
        <v>4280.5</v>
      </c>
      <c r="BD6" s="218">
        <v>4406.1000000000004</v>
      </c>
      <c r="BE6" s="218">
        <v>4155.3</v>
      </c>
      <c r="BF6" s="218">
        <v>3574.6</v>
      </c>
      <c r="BG6" s="219">
        <v>3859</v>
      </c>
      <c r="BH6" s="218">
        <v>3857.6</v>
      </c>
      <c r="BI6" s="218">
        <v>3979</v>
      </c>
      <c r="BJ6" s="218">
        <v>3133.5</v>
      </c>
      <c r="BK6" s="219">
        <v>2600.4</v>
      </c>
      <c r="BL6" s="218">
        <v>2168.3000000000002</v>
      </c>
      <c r="BM6" s="218">
        <v>2281</v>
      </c>
      <c r="BN6" s="218">
        <v>2547.9</v>
      </c>
      <c r="BO6" s="219">
        <v>2742.4</v>
      </c>
      <c r="BP6" s="218">
        <v>2938.5</v>
      </c>
      <c r="BQ6" s="218">
        <v>3039.3</v>
      </c>
      <c r="BR6" s="218">
        <v>2820.3</v>
      </c>
      <c r="BS6" s="219">
        <v>3156.5</v>
      </c>
      <c r="BT6" s="218">
        <v>3511.7</v>
      </c>
      <c r="BU6" s="218">
        <v>3676.3</v>
      </c>
      <c r="BV6" s="218">
        <v>3460</v>
      </c>
      <c r="BW6" s="219">
        <v>3508.5</v>
      </c>
      <c r="BX6" s="218">
        <v>3644</v>
      </c>
      <c r="BY6" s="218">
        <v>3665</v>
      </c>
      <c r="BZ6" s="218">
        <v>3538.6</v>
      </c>
      <c r="CA6" s="219">
        <v>3719.4</v>
      </c>
      <c r="CB6" s="218">
        <v>3947.1</v>
      </c>
      <c r="CC6" s="218">
        <v>4113.1000000000004</v>
      </c>
      <c r="CD6" s="218">
        <v>3917.7</v>
      </c>
      <c r="CE6" s="219">
        <v>4256.1000000000004</v>
      </c>
      <c r="CF6" s="218">
        <v>4359.8</v>
      </c>
      <c r="CG6" s="218">
        <v>4585.1000000000004</v>
      </c>
      <c r="CH6" s="218">
        <v>4232.7</v>
      </c>
      <c r="CI6" s="219">
        <v>4549.7</v>
      </c>
      <c r="CJ6" s="218">
        <v>4521.3999999999996</v>
      </c>
      <c r="CK6" s="218">
        <v>4635.1000000000004</v>
      </c>
      <c r="CL6" s="218">
        <v>4330.3</v>
      </c>
      <c r="CM6" s="219">
        <v>4724.6000000000004</v>
      </c>
      <c r="CN6" s="218">
        <v>4662.8999999999996</v>
      </c>
      <c r="CO6" s="218">
        <v>4724.8</v>
      </c>
      <c r="CP6" s="218">
        <v>4526.3999999999996</v>
      </c>
      <c r="CQ6" s="219">
        <v>4643.5</v>
      </c>
      <c r="CR6" s="218">
        <v>4998.5</v>
      </c>
      <c r="CS6" s="218">
        <v>5123.2</v>
      </c>
      <c r="CT6" s="218">
        <v>4981.5</v>
      </c>
      <c r="CU6" s="219">
        <v>5363.8</v>
      </c>
      <c r="CV6" s="743">
        <f>Segments!CV69</f>
        <v>5473.6802428001392</v>
      </c>
      <c r="CW6" s="743">
        <f>Segments!CW69</f>
        <v>5630.0755737800446</v>
      </c>
      <c r="CX6" s="743">
        <f>Segments!CX69</f>
        <v>5340.584838451522</v>
      </c>
      <c r="CY6" s="742">
        <f>Segments!CY69</f>
        <v>5515.3446395586043</v>
      </c>
      <c r="DA6" s="212">
        <f>SUM(D6:G6)</f>
        <v>3147.4</v>
      </c>
      <c r="DB6" s="212">
        <f>SUM(H6:K6)</f>
        <v>4714.3999999999996</v>
      </c>
      <c r="DC6" s="212">
        <f>SUM(L6:O6)</f>
        <v>6249.1</v>
      </c>
      <c r="DD6" s="212">
        <f>SUM(P6:S6)</f>
        <v>7342.9000000000005</v>
      </c>
      <c r="DE6" s="212">
        <f>SUM(T6:W6)</f>
        <v>9059.4000000000015</v>
      </c>
      <c r="DF6" s="212">
        <f>SUM(X6:AA6)</f>
        <v>12428.8</v>
      </c>
      <c r="DG6" s="212">
        <f>SUM(AB6:AE6)</f>
        <v>14072.8</v>
      </c>
      <c r="DH6" s="212">
        <f>SUM(AF6:AI6)</f>
        <v>13624.7</v>
      </c>
      <c r="DI6" s="212">
        <f>SUM(AJ6:AM6)</f>
        <v>14424.599999999999</v>
      </c>
      <c r="DJ6" s="212">
        <f>SUM(AN6:AQ6)</f>
        <v>15746.7</v>
      </c>
      <c r="DK6" s="212">
        <f>SUM(AR6:AU6)</f>
        <v>16960</v>
      </c>
      <c r="DL6" s="212">
        <f>SUM(AV6:AY6)</f>
        <v>17095.2</v>
      </c>
      <c r="DM6" s="212">
        <f>SUM(AZ6:BC6)</f>
        <v>17838.900000000001</v>
      </c>
      <c r="DN6" s="212">
        <f>SUM(BD6:BG6)</f>
        <v>15995.000000000002</v>
      </c>
      <c r="DO6" s="212">
        <f>SUM(BH6:BK6)</f>
        <v>13570.5</v>
      </c>
      <c r="DP6" s="212">
        <f>SUM(BL6:BO6)</f>
        <v>9739.6</v>
      </c>
      <c r="DQ6" s="212">
        <f>SUM(BP6:BS6)</f>
        <v>11954.6</v>
      </c>
      <c r="DR6" s="212">
        <f>SUM(BT6:BW6)</f>
        <v>14156.5</v>
      </c>
      <c r="DS6" s="212">
        <f>SUM(BX6:CA6)</f>
        <v>14567</v>
      </c>
      <c r="DT6" s="212">
        <f>SUM(CB6:CE6)</f>
        <v>16234.000000000002</v>
      </c>
      <c r="DU6" s="212">
        <f>SUM(CF6:CI6)</f>
        <v>17727.300000000003</v>
      </c>
      <c r="DV6" s="212">
        <f>SUM(CJ6:CM6)</f>
        <v>18211.400000000001</v>
      </c>
      <c r="DW6" s="212">
        <f>SUM(CN6:CQ6)</f>
        <v>18557.599999999999</v>
      </c>
      <c r="DX6" s="212">
        <f>SUM(CR6:CU6)</f>
        <v>20467</v>
      </c>
      <c r="DY6" s="212">
        <f>SUM(CV6:CY6)</f>
        <v>21959.685294590308</v>
      </c>
      <c r="DZ6" s="743">
        <f>Segments!DZ69</f>
        <v>23317.405897728528</v>
      </c>
      <c r="EA6" s="743">
        <f>Segments!EA69</f>
        <v>24492.918082705677</v>
      </c>
      <c r="EB6" s="743">
        <f>Segments!EB69</f>
        <v>25628.579055530419</v>
      </c>
      <c r="EC6" s="743">
        <f>Segments!EC69</f>
        <v>26536.860155608887</v>
      </c>
      <c r="ED6" s="743">
        <f>Segments!ED69</f>
        <v>27150.110644374858</v>
      </c>
      <c r="EE6" s="199"/>
      <c r="EF6"/>
      <c r="EG6"/>
      <c r="EH6"/>
      <c r="EI6"/>
      <c r="EJ6"/>
      <c r="EK6"/>
    </row>
    <row r="7" spans="1:141" s="278" customFormat="1">
      <c r="A7" s="270"/>
      <c r="B7" s="304" t="s">
        <v>240</v>
      </c>
      <c r="C7" s="260"/>
      <c r="D7" s="343"/>
      <c r="E7" s="344"/>
      <c r="F7" s="344"/>
      <c r="G7" s="345"/>
      <c r="H7" s="344">
        <f t="shared" ref="H7:AM7" si="0">H6/D6-1</f>
        <v>0.51958642784330844</v>
      </c>
      <c r="I7" s="344">
        <f t="shared" si="0"/>
        <v>0.389855248753193</v>
      </c>
      <c r="J7" s="344">
        <f t="shared" si="0"/>
        <v>0.54702934860415153</v>
      </c>
      <c r="K7" s="345">
        <f t="shared" si="0"/>
        <v>0.53994255930220181</v>
      </c>
      <c r="L7" s="344">
        <f t="shared" si="0"/>
        <v>0.34719693339722091</v>
      </c>
      <c r="M7" s="344">
        <f t="shared" si="0"/>
        <v>0.41668125328198857</v>
      </c>
      <c r="N7" s="344">
        <f t="shared" si="0"/>
        <v>0.39330001850823626</v>
      </c>
      <c r="O7" s="345">
        <f t="shared" si="0"/>
        <v>0.187400704565863</v>
      </c>
      <c r="P7" s="344">
        <f t="shared" si="0"/>
        <v>0.22634798691136715</v>
      </c>
      <c r="Q7" s="344">
        <f t="shared" si="0"/>
        <v>0.13628220176684991</v>
      </c>
      <c r="R7" s="344">
        <f t="shared" si="0"/>
        <v>8.654357066950058E-2</v>
      </c>
      <c r="S7" s="345">
        <f t="shared" si="0"/>
        <v>0.24706224549156475</v>
      </c>
      <c r="T7" s="344">
        <f t="shared" si="0"/>
        <v>0.17871229698375868</v>
      </c>
      <c r="U7" s="344">
        <f t="shared" si="0"/>
        <v>0.18251508726145826</v>
      </c>
      <c r="V7" s="344">
        <f t="shared" si="0"/>
        <v>0.18986490616785856</v>
      </c>
      <c r="W7" s="345">
        <f t="shared" si="0"/>
        <v>0.35550683397863536</v>
      </c>
      <c r="X7" s="344">
        <f t="shared" si="0"/>
        <v>0.32237586732936374</v>
      </c>
      <c r="Y7" s="344">
        <f t="shared" si="0"/>
        <v>0.48671264367816081</v>
      </c>
      <c r="Z7" s="344">
        <f t="shared" si="0"/>
        <v>0.56521962496789091</v>
      </c>
      <c r="AA7" s="345">
        <f t="shared" si="0"/>
        <v>0.19116938536719652</v>
      </c>
      <c r="AB7" s="344">
        <f t="shared" si="0"/>
        <v>0.41600922893718373</v>
      </c>
      <c r="AC7" s="344">
        <f t="shared" si="0"/>
        <v>0.16322365165759534</v>
      </c>
      <c r="AD7" s="344">
        <f t="shared" si="0"/>
        <v>3.1969015656283961E-2</v>
      </c>
      <c r="AE7" s="345">
        <f t="shared" si="0"/>
        <v>-2.8630861237107563E-2</v>
      </c>
      <c r="AF7" s="344">
        <f t="shared" si="0"/>
        <v>-7.923576252923703E-2</v>
      </c>
      <c r="AG7" s="344">
        <f t="shared" si="0"/>
        <v>-4.0410485457542444E-2</v>
      </c>
      <c r="AH7" s="344">
        <f t="shared" si="0"/>
        <v>-1.1895295951146578E-2</v>
      </c>
      <c r="AI7" s="345">
        <f t="shared" si="0"/>
        <v>1.2729760276009916E-2</v>
      </c>
      <c r="AJ7" s="344">
        <f t="shared" si="0"/>
        <v>8.8480420139285254E-3</v>
      </c>
      <c r="AK7" s="344">
        <f t="shared" si="0"/>
        <v>5.0645536654291501E-2</v>
      </c>
      <c r="AL7" s="344">
        <f t="shared" si="0"/>
        <v>7.425885988347769E-2</v>
      </c>
      <c r="AM7" s="345">
        <f t="shared" si="0"/>
        <v>0.10437591776798838</v>
      </c>
      <c r="AN7" s="344">
        <f t="shared" ref="AN7:BS7" si="1">AN6/AJ6-1</f>
        <v>0.10301024161149774</v>
      </c>
      <c r="AO7" s="344">
        <f t="shared" si="1"/>
        <v>8.1483044143241479E-2</v>
      </c>
      <c r="AP7" s="344">
        <f t="shared" si="1"/>
        <v>4.6173668124887657E-2</v>
      </c>
      <c r="AQ7" s="345">
        <f t="shared" si="1"/>
        <v>0.13160833953834694</v>
      </c>
      <c r="AR7" s="344">
        <f t="shared" si="1"/>
        <v>0.15220458101418433</v>
      </c>
      <c r="AS7" s="344">
        <f t="shared" si="1"/>
        <v>4.4572320296498713E-2</v>
      </c>
      <c r="AT7" s="344">
        <f t="shared" si="1"/>
        <v>0.11636832307031364</v>
      </c>
      <c r="AU7" s="345">
        <f t="shared" si="1"/>
        <v>7.2380325711465243E-3</v>
      </c>
      <c r="AV7" s="344">
        <f t="shared" si="1"/>
        <v>-4.5880545847153953E-2</v>
      </c>
      <c r="AW7" s="344">
        <f t="shared" si="1"/>
        <v>3.1582633053221398E-2</v>
      </c>
      <c r="AX7" s="344">
        <f t="shared" si="1"/>
        <v>2.2782082200215381E-2</v>
      </c>
      <c r="AY7" s="345">
        <f t="shared" si="1"/>
        <v>2.7344205688154766E-2</v>
      </c>
      <c r="AZ7" s="344">
        <f t="shared" si="1"/>
        <v>9.1577228184787751E-2</v>
      </c>
      <c r="BA7" s="344">
        <f t="shared" si="1"/>
        <v>8.8452922408526202E-2</v>
      </c>
      <c r="BB7" s="344">
        <f t="shared" si="1"/>
        <v>2.0844830181106611E-2</v>
      </c>
      <c r="BC7" s="345">
        <f t="shared" si="1"/>
        <v>-2.7888174778007424E-2</v>
      </c>
      <c r="BD7" s="344">
        <f t="shared" si="1"/>
        <v>-5.8223789676178139E-2</v>
      </c>
      <c r="BE7" s="344">
        <f t="shared" si="1"/>
        <v>-0.13614818510664828</v>
      </c>
      <c r="BF7" s="344">
        <f t="shared" si="1"/>
        <v>-0.12165515885691813</v>
      </c>
      <c r="BG7" s="345">
        <f t="shared" si="1"/>
        <v>-9.8469804929330662E-2</v>
      </c>
      <c r="BH7" s="344">
        <f t="shared" si="1"/>
        <v>-0.12448650734209399</v>
      </c>
      <c r="BI7" s="344">
        <f t="shared" si="1"/>
        <v>-4.2427742882583774E-2</v>
      </c>
      <c r="BJ7" s="344">
        <f t="shared" si="1"/>
        <v>-0.12339842220108543</v>
      </c>
      <c r="BK7" s="345">
        <f t="shared" si="1"/>
        <v>-0.32614667012179321</v>
      </c>
      <c r="BL7" s="344">
        <f t="shared" si="1"/>
        <v>-0.4379147656574035</v>
      </c>
      <c r="BM7" s="344">
        <f t="shared" si="1"/>
        <v>-0.42674038703191752</v>
      </c>
      <c r="BN7" s="344">
        <f t="shared" si="1"/>
        <v>-0.18688367640019143</v>
      </c>
      <c r="BO7" s="345">
        <f t="shared" si="1"/>
        <v>5.4606983540993692E-2</v>
      </c>
      <c r="BP7" s="344">
        <f t="shared" si="1"/>
        <v>0.35520915002536535</v>
      </c>
      <c r="BQ7" s="344">
        <f t="shared" si="1"/>
        <v>0.33244191144235002</v>
      </c>
      <c r="BR7" s="344">
        <f t="shared" si="1"/>
        <v>0.10691157423760744</v>
      </c>
      <c r="BS7" s="345">
        <f t="shared" si="1"/>
        <v>0.15099912485414224</v>
      </c>
      <c r="BT7" s="344">
        <f t="shared" ref="BT7:CY7" si="2">BT6/BP6-1</f>
        <v>0.19506550961374836</v>
      </c>
      <c r="BU7" s="344">
        <f t="shared" si="2"/>
        <v>0.20958773401770148</v>
      </c>
      <c r="BV7" s="344">
        <f t="shared" si="2"/>
        <v>0.22681984186079496</v>
      </c>
      <c r="BW7" s="345">
        <f t="shared" si="2"/>
        <v>0.11151591953112616</v>
      </c>
      <c r="BX7" s="344">
        <f t="shared" si="2"/>
        <v>3.7674060996098824E-2</v>
      </c>
      <c r="BY7" s="344">
        <f t="shared" si="2"/>
        <v>-3.0737426216577157E-3</v>
      </c>
      <c r="BZ7" s="344">
        <f t="shared" si="2"/>
        <v>2.2716763005780294E-2</v>
      </c>
      <c r="CA7" s="345">
        <f t="shared" si="2"/>
        <v>6.0111158614792659E-2</v>
      </c>
      <c r="CB7" s="344">
        <f t="shared" si="2"/>
        <v>8.3177826564215129E-2</v>
      </c>
      <c r="CC7" s="344">
        <f t="shared" si="2"/>
        <v>0.12226466575716244</v>
      </c>
      <c r="CD7" s="344">
        <f t="shared" si="2"/>
        <v>0.10713276437008989</v>
      </c>
      <c r="CE7" s="345">
        <f t="shared" si="2"/>
        <v>0.14429746733344095</v>
      </c>
      <c r="CF7" s="344">
        <f t="shared" si="2"/>
        <v>0.10455777659547527</v>
      </c>
      <c r="CG7" s="344">
        <f t="shared" si="2"/>
        <v>0.11475529406044105</v>
      </c>
      <c r="CH7" s="344">
        <f t="shared" si="2"/>
        <v>8.0404318860555879E-2</v>
      </c>
      <c r="CI7" s="345">
        <f t="shared" si="2"/>
        <v>6.8983341556824174E-2</v>
      </c>
      <c r="CJ7" s="344">
        <f t="shared" si="2"/>
        <v>3.7065920455066514E-2</v>
      </c>
      <c r="CK7" s="344">
        <f t="shared" si="2"/>
        <v>1.0904887570609256E-2</v>
      </c>
      <c r="CL7" s="344">
        <f t="shared" si="2"/>
        <v>2.3058567817232589E-2</v>
      </c>
      <c r="CM7" s="345">
        <f t="shared" si="2"/>
        <v>3.8442095083192518E-2</v>
      </c>
      <c r="CN7" s="346">
        <f t="shared" si="2"/>
        <v>3.1295616401999293E-2</v>
      </c>
      <c r="CO7" s="346">
        <f t="shared" si="2"/>
        <v>1.9352333282992795E-2</v>
      </c>
      <c r="CP7" s="346">
        <f t="shared" si="2"/>
        <v>4.5285546036071267E-2</v>
      </c>
      <c r="CQ7" s="345">
        <f t="shared" si="2"/>
        <v>-1.7165474325868901E-2</v>
      </c>
      <c r="CR7" s="346">
        <f t="shared" si="2"/>
        <v>7.1972377704861756E-2</v>
      </c>
      <c r="CS7" s="346">
        <f t="shared" si="2"/>
        <v>8.432102946156439E-2</v>
      </c>
      <c r="CT7" s="346">
        <f t="shared" si="2"/>
        <v>0.10054347826086962</v>
      </c>
      <c r="CU7" s="347">
        <f t="shared" si="2"/>
        <v>0.15512006029934322</v>
      </c>
      <c r="CV7" s="346">
        <f t="shared" si="2"/>
        <v>9.5064567930406962E-2</v>
      </c>
      <c r="CW7" s="346">
        <f t="shared" si="2"/>
        <v>9.8937299691607805E-2</v>
      </c>
      <c r="CX7" s="346">
        <f t="shared" si="2"/>
        <v>7.2083677296300719E-2</v>
      </c>
      <c r="CY7" s="347">
        <f t="shared" si="2"/>
        <v>2.8253223378687409E-2</v>
      </c>
      <c r="DA7" s="344"/>
      <c r="DB7" s="344">
        <f t="shared" ref="DB7:ED7" si="3">DB6/DA6-1</f>
        <v>0.49787125881680105</v>
      </c>
      <c r="DC7" s="344">
        <f t="shared" si="3"/>
        <v>0.32553453249618203</v>
      </c>
      <c r="DD7" s="344">
        <f t="shared" si="3"/>
        <v>0.17503320478148865</v>
      </c>
      <c r="DE7" s="344">
        <f t="shared" si="3"/>
        <v>0.23376322706287711</v>
      </c>
      <c r="DF7" s="344">
        <f t="shared" si="3"/>
        <v>0.37192308541404473</v>
      </c>
      <c r="DG7" s="344">
        <f t="shared" si="3"/>
        <v>0.13227342945417098</v>
      </c>
      <c r="DH7" s="344">
        <f t="shared" si="3"/>
        <v>-3.1841566710249403E-2</v>
      </c>
      <c r="DI7" s="344">
        <f t="shared" si="3"/>
        <v>5.8709549568063624E-2</v>
      </c>
      <c r="DJ7" s="344">
        <f t="shared" si="3"/>
        <v>9.1655921134728313E-2</v>
      </c>
      <c r="DK7" s="344">
        <f t="shared" si="3"/>
        <v>7.7051064667517544E-2</v>
      </c>
      <c r="DL7" s="344">
        <f t="shared" si="3"/>
        <v>7.971698113207637E-3</v>
      </c>
      <c r="DM7" s="344">
        <f t="shared" si="3"/>
        <v>4.3503439561982438E-2</v>
      </c>
      <c r="DN7" s="344">
        <f t="shared" si="3"/>
        <v>-0.10336399665898677</v>
      </c>
      <c r="DO7" s="344">
        <f t="shared" si="3"/>
        <v>-0.1515786183182245</v>
      </c>
      <c r="DP7" s="344">
        <f t="shared" si="3"/>
        <v>-0.28229615710548617</v>
      </c>
      <c r="DQ7" s="344">
        <f t="shared" si="3"/>
        <v>0.22742207072159015</v>
      </c>
      <c r="DR7" s="344">
        <f t="shared" si="3"/>
        <v>0.18418851320830476</v>
      </c>
      <c r="DS7" s="344">
        <f t="shared" si="3"/>
        <v>2.8997280401229064E-2</v>
      </c>
      <c r="DT7" s="344">
        <f t="shared" si="3"/>
        <v>0.11443674057801889</v>
      </c>
      <c r="DU7" s="547">
        <f t="shared" si="3"/>
        <v>9.1985955402242192E-2</v>
      </c>
      <c r="DV7" s="344">
        <f t="shared" si="3"/>
        <v>2.7308163115646433E-2</v>
      </c>
      <c r="DW7" s="548">
        <f t="shared" si="3"/>
        <v>1.9010070615109065E-2</v>
      </c>
      <c r="DX7" s="346">
        <f t="shared" si="3"/>
        <v>0.10289045997327251</v>
      </c>
      <c r="DY7" s="346">
        <f>DY6/DX6-1</f>
        <v>7.2931318443851589E-2</v>
      </c>
      <c r="DZ7" s="346">
        <f t="shared" si="3"/>
        <v>6.1827871616752628E-2</v>
      </c>
      <c r="EA7" s="346">
        <f t="shared" si="3"/>
        <v>5.0413506122122476E-2</v>
      </c>
      <c r="EB7" s="346">
        <f t="shared" si="3"/>
        <v>4.6366911814669676E-2</v>
      </c>
      <c r="EC7" s="346">
        <f t="shared" si="3"/>
        <v>3.5440166156323283E-2</v>
      </c>
      <c r="ED7" s="346">
        <f t="shared" si="3"/>
        <v>2.3109383897339297E-2</v>
      </c>
      <c r="EE7" s="260"/>
      <c r="EF7"/>
      <c r="EG7"/>
      <c r="EH7"/>
      <c r="EI7"/>
      <c r="EJ7"/>
      <c r="EK7"/>
    </row>
    <row r="8" spans="1:141" s="137" customFormat="1">
      <c r="A8" s="193"/>
      <c r="B8" s="200" t="s">
        <v>202</v>
      </c>
      <c r="C8" s="200"/>
      <c r="D8" s="220">
        <v>-636.79999999999995</v>
      </c>
      <c r="E8" s="221">
        <v>-743.5</v>
      </c>
      <c r="F8" s="221">
        <v>-649.6</v>
      </c>
      <c r="G8" s="222">
        <v>-854.1</v>
      </c>
      <c r="H8" s="221">
        <v>-966.9</v>
      </c>
      <c r="I8" s="221">
        <v>-1047.8</v>
      </c>
      <c r="J8" s="221">
        <v>-997.4</v>
      </c>
      <c r="K8" s="222">
        <v>-1299.3</v>
      </c>
      <c r="L8" s="221">
        <v>-1285.2</v>
      </c>
      <c r="M8" s="221">
        <v>-1451.8</v>
      </c>
      <c r="N8" s="221">
        <v>-1361.9</v>
      </c>
      <c r="O8" s="222">
        <v>-1530.5</v>
      </c>
      <c r="P8" s="221">
        <v>-1546.1</v>
      </c>
      <c r="Q8" s="221">
        <v>-1625.8</v>
      </c>
      <c r="R8" s="221">
        <v>-1460.6</v>
      </c>
      <c r="S8" s="222">
        <v>-1901</v>
      </c>
      <c r="T8" s="221">
        <v>-1831.9</v>
      </c>
      <c r="U8" s="221">
        <v>-1943.4</v>
      </c>
      <c r="V8" s="221">
        <v>-1784.5</v>
      </c>
      <c r="W8" s="222">
        <v>-2638.2</v>
      </c>
      <c r="X8" s="221">
        <v>-2468.5</v>
      </c>
      <c r="Y8" s="221">
        <v>-2894.4</v>
      </c>
      <c r="Z8" s="221">
        <v>-2741.8</v>
      </c>
      <c r="AA8" s="222">
        <v>-3054.9</v>
      </c>
      <c r="AB8" s="221">
        <v>-3448.1</v>
      </c>
      <c r="AC8" s="221">
        <v>-3354.4</v>
      </c>
      <c r="AD8" s="221">
        <v>-2844.3</v>
      </c>
      <c r="AE8" s="222">
        <v>-2975.9</v>
      </c>
      <c r="AF8" s="221">
        <v>-3236.2</v>
      </c>
      <c r="AG8" s="221">
        <v>-3295.1</v>
      </c>
      <c r="AH8" s="221">
        <v>-2846.9</v>
      </c>
      <c r="AI8" s="222">
        <v>-3065.3</v>
      </c>
      <c r="AJ8" s="221">
        <v>-3262</v>
      </c>
      <c r="AK8" s="221">
        <v>-3462.9</v>
      </c>
      <c r="AL8" s="221">
        <v>-3053.1</v>
      </c>
      <c r="AM8" s="222">
        <v>-3386.3</v>
      </c>
      <c r="AN8" s="221">
        <v>-3590.1</v>
      </c>
      <c r="AO8" s="221">
        <v>-3748</v>
      </c>
      <c r="AP8" s="221">
        <v>-3187.8</v>
      </c>
      <c r="AQ8" s="222">
        <v>-3874.4</v>
      </c>
      <c r="AR8" s="221">
        <v>-4145.2</v>
      </c>
      <c r="AS8" s="221">
        <v>-3912.4</v>
      </c>
      <c r="AT8" s="221">
        <v>-3577.6</v>
      </c>
      <c r="AU8" s="222">
        <v>-3922.7</v>
      </c>
      <c r="AV8" s="221">
        <v>-4086.1</v>
      </c>
      <c r="AW8" s="221">
        <v>-4176.5</v>
      </c>
      <c r="AX8" s="221">
        <v>-3803.23</v>
      </c>
      <c r="AY8" s="222">
        <v>-4114.3999999999996</v>
      </c>
      <c r="AZ8" s="221">
        <v>-4435.3999999999996</v>
      </c>
      <c r="BA8" s="221">
        <v>-4504.8</v>
      </c>
      <c r="BB8" s="221">
        <v>-3866.8</v>
      </c>
      <c r="BC8" s="222">
        <v>-4008.1</v>
      </c>
      <c r="BD8" s="221">
        <v>-4075.7</v>
      </c>
      <c r="BE8" s="221">
        <v>-3787.8</v>
      </c>
      <c r="BF8" s="221">
        <v>-3272</v>
      </c>
      <c r="BG8" s="222">
        <v>-3535.9</v>
      </c>
      <c r="BH8" s="221">
        <v>-3538.7</v>
      </c>
      <c r="BI8" s="221">
        <v>-3670</v>
      </c>
      <c r="BJ8" s="221">
        <v>-2966.3</v>
      </c>
      <c r="BK8" s="222">
        <v>-2488.5</v>
      </c>
      <c r="BL8" s="221">
        <v>-2134.6</v>
      </c>
      <c r="BM8" s="221">
        <v>-2212</v>
      </c>
      <c r="BN8" s="221">
        <v>-2339</v>
      </c>
      <c r="BO8" s="222">
        <v>-2505.1</v>
      </c>
      <c r="BP8" s="221">
        <v>-2667</v>
      </c>
      <c r="BQ8" s="221">
        <v>-2736</v>
      </c>
      <c r="BR8" s="221">
        <v>-2556.4</v>
      </c>
      <c r="BS8" s="222">
        <v>-2897.7</v>
      </c>
      <c r="BT8" s="221">
        <v>-3188.3</v>
      </c>
      <c r="BU8" s="221">
        <v>-3329.7</v>
      </c>
      <c r="BV8" s="221">
        <v>-3179.5</v>
      </c>
      <c r="BW8" s="222">
        <v>-3191.6</v>
      </c>
      <c r="BX8" s="221">
        <v>-3334.2</v>
      </c>
      <c r="BY8" s="221">
        <v>-3350.4</v>
      </c>
      <c r="BZ8" s="221">
        <v>-3237.6</v>
      </c>
      <c r="CA8" s="222">
        <f>-3417.6+35.8-14.8</f>
        <v>-3396.6</v>
      </c>
      <c r="CB8" s="221">
        <f>-3634.7+18.4+2.6+5.8</f>
        <v>-3607.8999999999996</v>
      </c>
      <c r="CC8" s="221">
        <f>-3775.4+15.7+0.4+1.5+4.9</f>
        <v>-3752.9</v>
      </c>
      <c r="CD8" s="221">
        <f>-3587.5+13.1+0.4</f>
        <v>-3574</v>
      </c>
      <c r="CE8" s="222">
        <f>-3936.7+36.6+2.4+1</f>
        <v>-3896.7</v>
      </c>
      <c r="CF8" s="221">
        <f>-3999.3+25.3+2.6</f>
        <v>-3971.4</v>
      </c>
      <c r="CG8" s="221">
        <f>-4206+43.3-1.4</f>
        <v>-4164.0999999999995</v>
      </c>
      <c r="CH8" s="221">
        <f>-3871.5+21.4+2.7+2.8</f>
        <v>-3844.6</v>
      </c>
      <c r="CI8" s="222">
        <f>-4157.7+24.3-0.6</f>
        <v>-4134</v>
      </c>
      <c r="CJ8" s="221">
        <f>-4095.7+8.4+8.4+15.8+0.3</f>
        <v>-4062.7999999999993</v>
      </c>
      <c r="CK8" s="221">
        <f>-4184.9+51.1+0.2+0.6</f>
        <v>-4132.9999999999991</v>
      </c>
      <c r="CL8" s="221">
        <f>-3877.1+15.5+2.3-0.1</f>
        <v>-3859.3999999999996</v>
      </c>
      <c r="CM8" s="222">
        <f>-4233.9+20.2+0.7</f>
        <v>-4213</v>
      </c>
      <c r="CN8" s="221">
        <f>-4127.2+11.7+1.6</f>
        <v>-4113.8999999999996</v>
      </c>
      <c r="CO8" s="221">
        <f>-4184.4+27.9-2.2</f>
        <v>-4158.7</v>
      </c>
      <c r="CP8" s="221">
        <f>-4012.5+16.8+2</f>
        <v>-3993.7</v>
      </c>
      <c r="CQ8" s="222">
        <f>-4131.4+13.5+34.2+1.3+0.8</f>
        <v>-4081.5999999999995</v>
      </c>
      <c r="CR8" s="221">
        <f>-4416+8.8+1.6+1.7+2.7</f>
        <v>-4401.2</v>
      </c>
      <c r="CS8" s="221">
        <f>-4545.4+23.7+1.1+2.6+2.4</f>
        <v>-4515.5999999999995</v>
      </c>
      <c r="CT8" s="221">
        <f>-4425.6+18.1+0.8+0.7+2.7</f>
        <v>-4403.3</v>
      </c>
      <c r="CU8" s="222">
        <f>-4788.9+25+0.3+15.4+5.6</f>
        <v>-4742.5999999999995</v>
      </c>
      <c r="CV8" s="202">
        <f>CV15-CV14-CV12-CV6</f>
        <v>-4824.6836508820816</v>
      </c>
      <c r="CW8" s="202">
        <f>CW15-CW14-CW12-CW6</f>
        <v>-4968.8074661294968</v>
      </c>
      <c r="CX8" s="202">
        <f>CX15-CX14-CX12-CX6</f>
        <v>-4734.2185107236519</v>
      </c>
      <c r="CY8" s="203">
        <f>CY15-CY14-CY12-CY6</f>
        <v>-4889.6509277739169</v>
      </c>
      <c r="DA8" s="542">
        <v>-2884</v>
      </c>
      <c r="DB8" s="542">
        <v>-4311.3999999999996</v>
      </c>
      <c r="DC8" s="542">
        <v>-5629.4</v>
      </c>
      <c r="DD8" s="542">
        <v>-6533.5</v>
      </c>
      <c r="DE8" s="542">
        <f>SUM(T8:W8)</f>
        <v>-8198</v>
      </c>
      <c r="DF8" s="542">
        <f>SUM(X8:AA8)</f>
        <v>-11159.6</v>
      </c>
      <c r="DG8" s="542">
        <f>SUM(AB8:AE8)</f>
        <v>-12622.699999999999</v>
      </c>
      <c r="DH8" s="542">
        <f>SUM(AF8:AI8)</f>
        <v>-12443.5</v>
      </c>
      <c r="DI8" s="542">
        <f>SUM(AJ8:AM8)</f>
        <v>-13164.3</v>
      </c>
      <c r="DJ8" s="542">
        <f>SUM(AN8:AQ8)</f>
        <v>-14400.300000000001</v>
      </c>
      <c r="DK8" s="542">
        <f>SUM(AR8:AU8)</f>
        <v>-15557.900000000001</v>
      </c>
      <c r="DL8" s="542">
        <f>SUM(AV8:AY8)</f>
        <v>-16180.23</v>
      </c>
      <c r="DM8" s="542">
        <f>SUM(AZ8:BC8)</f>
        <v>-16815.099999999999</v>
      </c>
      <c r="DN8" s="542">
        <f>SUM(BD8:BG8)</f>
        <v>-14671.4</v>
      </c>
      <c r="DO8" s="542">
        <f>SUM(BH8:BK8)</f>
        <v>-12663.5</v>
      </c>
      <c r="DP8" s="542">
        <f>SUM(BL8:BO8)</f>
        <v>-9190.7000000000007</v>
      </c>
      <c r="DQ8" s="542">
        <f>SUM(BP8:BS8)</f>
        <v>-10857.099999999999</v>
      </c>
      <c r="DR8" s="542">
        <f>SUM(BT8:BW8)</f>
        <v>-12889.1</v>
      </c>
      <c r="DS8" s="542">
        <f>SUM(BX8:CA8)</f>
        <v>-13318.800000000001</v>
      </c>
      <c r="DT8" s="542">
        <f>SUM(CB8:CE8)</f>
        <v>-14831.5</v>
      </c>
      <c r="DU8" s="542">
        <f>SUM(CF8:CI8)</f>
        <v>-16114.1</v>
      </c>
      <c r="DV8" s="542">
        <f>SUM(CJ8:CM8)</f>
        <v>-16268.199999999999</v>
      </c>
      <c r="DW8" s="542">
        <f>SUM(CN8:CQ8)</f>
        <v>-16347.899999999998</v>
      </c>
      <c r="DX8" s="542">
        <f>SUM(CR8:CU8)</f>
        <v>-18062.699999999997</v>
      </c>
      <c r="DY8" s="542">
        <f>SUM(CV8:CY8)</f>
        <v>-19417.360555509145</v>
      </c>
      <c r="DZ8" s="542">
        <f>DZ15-DZ14-DZ12-DZ6</f>
        <v>-20681.890520253997</v>
      </c>
      <c r="EA8" s="542">
        <f>EA15-EA14-EA12-EA6</f>
        <v>-21851.628437780157</v>
      </c>
      <c r="EB8" s="542">
        <f>EB15-EB14-EB12-EB6</f>
        <v>-22994.955367546299</v>
      </c>
      <c r="EC8" s="542">
        <f>EC15-EC14-EC12-EC6</f>
        <v>-23941.338654055839</v>
      </c>
      <c r="ED8" s="542">
        <f>ED15-ED14-ED12-ED6</f>
        <v>-24625.5796354429</v>
      </c>
      <c r="EE8" s="199"/>
      <c r="EF8"/>
      <c r="EG8"/>
      <c r="EH8"/>
      <c r="EI8"/>
      <c r="EJ8"/>
      <c r="EK8"/>
    </row>
    <row r="9" spans="1:141" s="243" customFormat="1">
      <c r="A9" s="237"/>
      <c r="B9" s="244" t="s">
        <v>138</v>
      </c>
      <c r="C9" s="238"/>
      <c r="D9" s="239">
        <f t="shared" ref="D9:AI9" si="4">D6+D8</f>
        <v>49.900000000000091</v>
      </c>
      <c r="E9" s="240">
        <f t="shared" si="4"/>
        <v>78.600000000000023</v>
      </c>
      <c r="F9" s="240">
        <f t="shared" si="4"/>
        <v>48.899999999999977</v>
      </c>
      <c r="G9" s="241">
        <f t="shared" si="4"/>
        <v>86</v>
      </c>
      <c r="H9" s="240">
        <f t="shared" si="4"/>
        <v>76.600000000000023</v>
      </c>
      <c r="I9" s="240">
        <f t="shared" si="4"/>
        <v>94.799999999999955</v>
      </c>
      <c r="J9" s="240">
        <f t="shared" si="4"/>
        <v>83.199999999999932</v>
      </c>
      <c r="K9" s="241">
        <f t="shared" si="4"/>
        <v>148.40000000000009</v>
      </c>
      <c r="L9" s="240">
        <f t="shared" si="4"/>
        <v>120.59999999999991</v>
      </c>
      <c r="M9" s="240">
        <f t="shared" si="4"/>
        <v>166.90000000000009</v>
      </c>
      <c r="N9" s="240">
        <f t="shared" si="4"/>
        <v>143.69999999999982</v>
      </c>
      <c r="O9" s="241">
        <f t="shared" si="4"/>
        <v>188.5</v>
      </c>
      <c r="P9" s="240">
        <f t="shared" si="4"/>
        <v>177.90000000000009</v>
      </c>
      <c r="Q9" s="240">
        <f t="shared" si="4"/>
        <v>213.5</v>
      </c>
      <c r="R9" s="240">
        <f t="shared" si="4"/>
        <v>175.30000000000018</v>
      </c>
      <c r="S9" s="241">
        <f t="shared" si="4"/>
        <v>242.69999999999982</v>
      </c>
      <c r="T9" s="240">
        <f t="shared" si="4"/>
        <v>200.19999999999982</v>
      </c>
      <c r="U9" s="240">
        <f t="shared" si="4"/>
        <v>231.59999999999991</v>
      </c>
      <c r="V9" s="240">
        <f t="shared" si="4"/>
        <v>162</v>
      </c>
      <c r="W9" s="241">
        <f t="shared" si="4"/>
        <v>267.60000000000036</v>
      </c>
      <c r="X9" s="240">
        <f t="shared" si="4"/>
        <v>218.69999999999982</v>
      </c>
      <c r="Y9" s="240">
        <f t="shared" si="4"/>
        <v>339.19999999999982</v>
      </c>
      <c r="Z9" s="240">
        <f t="shared" si="4"/>
        <v>304.89999999999964</v>
      </c>
      <c r="AA9" s="241">
        <f t="shared" si="4"/>
        <v>406.40000000000009</v>
      </c>
      <c r="AB9" s="240">
        <f t="shared" si="4"/>
        <v>357</v>
      </c>
      <c r="AC9" s="240">
        <f t="shared" si="4"/>
        <v>407</v>
      </c>
      <c r="AD9" s="240">
        <f t="shared" si="4"/>
        <v>299.79999999999973</v>
      </c>
      <c r="AE9" s="241">
        <f t="shared" si="4"/>
        <v>386.29999999999973</v>
      </c>
      <c r="AF9" s="240">
        <f t="shared" si="4"/>
        <v>267.40000000000009</v>
      </c>
      <c r="AG9" s="240">
        <f t="shared" si="4"/>
        <v>314.30000000000018</v>
      </c>
      <c r="AH9" s="240">
        <f t="shared" si="4"/>
        <v>259.79999999999973</v>
      </c>
      <c r="AI9" s="241">
        <f t="shared" si="4"/>
        <v>339.69999999999982</v>
      </c>
      <c r="AJ9" s="240">
        <f t="shared" ref="AJ9:BO9" si="5">AJ6+AJ8</f>
        <v>272.59999999999991</v>
      </c>
      <c r="AK9" s="240">
        <f t="shared" si="5"/>
        <v>329.29999999999973</v>
      </c>
      <c r="AL9" s="240">
        <f t="shared" si="5"/>
        <v>284.30000000000018</v>
      </c>
      <c r="AM9" s="241">
        <f t="shared" si="5"/>
        <v>374.09999999999991</v>
      </c>
      <c r="AN9" s="240">
        <f t="shared" si="5"/>
        <v>308.59999999999991</v>
      </c>
      <c r="AO9" s="240">
        <f t="shared" si="5"/>
        <v>353.19999999999982</v>
      </c>
      <c r="AP9" s="240">
        <f t="shared" si="5"/>
        <v>303.69999999999982</v>
      </c>
      <c r="AQ9" s="241">
        <f t="shared" si="5"/>
        <v>380.90000000000009</v>
      </c>
      <c r="AR9" s="240">
        <f t="shared" si="5"/>
        <v>346.90000000000055</v>
      </c>
      <c r="AS9" s="240">
        <f t="shared" si="5"/>
        <v>371.59999999999991</v>
      </c>
      <c r="AT9" s="240">
        <f t="shared" si="5"/>
        <v>320.20000000000027</v>
      </c>
      <c r="AU9" s="241">
        <f t="shared" si="5"/>
        <v>363.40000000000055</v>
      </c>
      <c r="AV9" s="240">
        <f t="shared" si="5"/>
        <v>199.90000000000009</v>
      </c>
      <c r="AW9" s="240">
        <f t="shared" si="5"/>
        <v>242.80000000000018</v>
      </c>
      <c r="AX9" s="240">
        <f t="shared" si="5"/>
        <v>183.36999999999989</v>
      </c>
      <c r="AY9" s="241">
        <f t="shared" si="5"/>
        <v>288.90000000000055</v>
      </c>
      <c r="AZ9" s="240">
        <f t="shared" si="5"/>
        <v>243.10000000000036</v>
      </c>
      <c r="BA9" s="240">
        <f t="shared" si="5"/>
        <v>305.39999999999964</v>
      </c>
      <c r="BB9" s="240">
        <f t="shared" si="5"/>
        <v>202.89999999999964</v>
      </c>
      <c r="BC9" s="241">
        <f t="shared" si="5"/>
        <v>272.40000000000009</v>
      </c>
      <c r="BD9" s="240">
        <f t="shared" si="5"/>
        <v>330.40000000000055</v>
      </c>
      <c r="BE9" s="240">
        <f t="shared" si="5"/>
        <v>367.5</v>
      </c>
      <c r="BF9" s="240">
        <f t="shared" si="5"/>
        <v>302.59999999999991</v>
      </c>
      <c r="BG9" s="241">
        <f t="shared" si="5"/>
        <v>323.09999999999991</v>
      </c>
      <c r="BH9" s="240">
        <f t="shared" si="5"/>
        <v>318.90000000000009</v>
      </c>
      <c r="BI9" s="240">
        <f t="shared" si="5"/>
        <v>309</v>
      </c>
      <c r="BJ9" s="240">
        <f t="shared" si="5"/>
        <v>167.19999999999982</v>
      </c>
      <c r="BK9" s="241">
        <f t="shared" si="5"/>
        <v>111.90000000000009</v>
      </c>
      <c r="BL9" s="240">
        <f t="shared" si="5"/>
        <v>33.700000000000273</v>
      </c>
      <c r="BM9" s="240">
        <f t="shared" si="5"/>
        <v>69</v>
      </c>
      <c r="BN9" s="240">
        <f t="shared" si="5"/>
        <v>208.90000000000009</v>
      </c>
      <c r="BO9" s="241">
        <f t="shared" si="5"/>
        <v>237.30000000000018</v>
      </c>
      <c r="BP9" s="240">
        <f t="shared" ref="BP9:CT9" si="6">BP6+BP8</f>
        <v>271.5</v>
      </c>
      <c r="BQ9" s="240">
        <f t="shared" si="6"/>
        <v>303.30000000000018</v>
      </c>
      <c r="BR9" s="240">
        <f t="shared" si="6"/>
        <v>263.90000000000009</v>
      </c>
      <c r="BS9" s="241">
        <f t="shared" si="6"/>
        <v>258.80000000000018</v>
      </c>
      <c r="BT9" s="240">
        <f t="shared" si="6"/>
        <v>323.39999999999964</v>
      </c>
      <c r="BU9" s="240">
        <f t="shared" si="6"/>
        <v>346.60000000000036</v>
      </c>
      <c r="BV9" s="240">
        <f t="shared" si="6"/>
        <v>280.5</v>
      </c>
      <c r="BW9" s="241">
        <f t="shared" si="6"/>
        <v>316.90000000000009</v>
      </c>
      <c r="BX9" s="240">
        <f t="shared" si="6"/>
        <v>309.80000000000018</v>
      </c>
      <c r="BY9" s="240">
        <f t="shared" si="6"/>
        <v>314.59999999999991</v>
      </c>
      <c r="BZ9" s="240">
        <f t="shared" si="6"/>
        <v>301</v>
      </c>
      <c r="CA9" s="241">
        <f t="shared" si="6"/>
        <v>322.80000000000018</v>
      </c>
      <c r="CB9" s="240">
        <f t="shared" si="6"/>
        <v>339.20000000000027</v>
      </c>
      <c r="CC9" s="240">
        <f t="shared" si="6"/>
        <v>360.20000000000027</v>
      </c>
      <c r="CD9" s="240">
        <f t="shared" si="6"/>
        <v>343.69999999999982</v>
      </c>
      <c r="CE9" s="241">
        <f t="shared" si="6"/>
        <v>359.40000000000055</v>
      </c>
      <c r="CF9" s="240">
        <f t="shared" si="6"/>
        <v>388.40000000000009</v>
      </c>
      <c r="CG9" s="240">
        <f t="shared" si="6"/>
        <v>421.00000000000091</v>
      </c>
      <c r="CH9" s="240">
        <f t="shared" si="6"/>
        <v>388.09999999999991</v>
      </c>
      <c r="CI9" s="241">
        <f t="shared" si="6"/>
        <v>415.69999999999982</v>
      </c>
      <c r="CJ9" s="240">
        <f t="shared" si="6"/>
        <v>458.60000000000036</v>
      </c>
      <c r="CK9" s="240">
        <f t="shared" si="6"/>
        <v>502.10000000000127</v>
      </c>
      <c r="CL9" s="240">
        <f t="shared" si="6"/>
        <v>470.90000000000055</v>
      </c>
      <c r="CM9" s="241">
        <f t="shared" si="6"/>
        <v>511.60000000000036</v>
      </c>
      <c r="CN9" s="240">
        <f t="shared" si="6"/>
        <v>549</v>
      </c>
      <c r="CO9" s="240">
        <f t="shared" si="6"/>
        <v>566.10000000000036</v>
      </c>
      <c r="CP9" s="240">
        <f t="shared" si="6"/>
        <v>532.69999999999982</v>
      </c>
      <c r="CQ9" s="241">
        <f t="shared" si="6"/>
        <v>561.90000000000055</v>
      </c>
      <c r="CR9" s="240">
        <f t="shared" si="6"/>
        <v>597.30000000000018</v>
      </c>
      <c r="CS9" s="240">
        <f t="shared" si="6"/>
        <v>607.60000000000036</v>
      </c>
      <c r="CT9" s="240">
        <f t="shared" si="6"/>
        <v>578.19999999999982</v>
      </c>
      <c r="CU9" s="241">
        <f t="shared" ref="CU9" si="7">CU6+CU8</f>
        <v>621.20000000000073</v>
      </c>
      <c r="CV9" s="860">
        <f t="shared" ref="CV9:CY9" si="8">CV6+CV8</f>
        <v>648.99659191805767</v>
      </c>
      <c r="CW9" s="860">
        <f t="shared" si="8"/>
        <v>661.26810765054779</v>
      </c>
      <c r="CX9" s="860">
        <f t="shared" si="8"/>
        <v>606.36632772787016</v>
      </c>
      <c r="CY9" s="242">
        <f t="shared" si="8"/>
        <v>625.69371178468737</v>
      </c>
      <c r="DA9" s="240">
        <f t="shared" ref="DA9:EA9" si="9">DA6+DA8</f>
        <v>263.40000000000009</v>
      </c>
      <c r="DB9" s="240">
        <f t="shared" si="9"/>
        <v>403</v>
      </c>
      <c r="DC9" s="240">
        <f t="shared" si="9"/>
        <v>619.70000000000073</v>
      </c>
      <c r="DD9" s="240">
        <f t="shared" si="9"/>
        <v>809.40000000000055</v>
      </c>
      <c r="DE9" s="240">
        <f t="shared" si="9"/>
        <v>861.40000000000146</v>
      </c>
      <c r="DF9" s="240">
        <f t="shared" si="9"/>
        <v>1269.1999999999989</v>
      </c>
      <c r="DG9" s="240">
        <f t="shared" si="9"/>
        <v>1450.1000000000004</v>
      </c>
      <c r="DH9" s="240">
        <f t="shared" si="9"/>
        <v>1181.2000000000007</v>
      </c>
      <c r="DI9" s="240">
        <f t="shared" si="9"/>
        <v>1260.2999999999993</v>
      </c>
      <c r="DJ9" s="240">
        <f t="shared" si="9"/>
        <v>1346.3999999999996</v>
      </c>
      <c r="DK9" s="240">
        <f t="shared" si="9"/>
        <v>1402.0999999999985</v>
      </c>
      <c r="DL9" s="240">
        <f t="shared" si="9"/>
        <v>914.97000000000116</v>
      </c>
      <c r="DM9" s="240">
        <f t="shared" si="9"/>
        <v>1023.8000000000029</v>
      </c>
      <c r="DN9" s="240">
        <f t="shared" si="9"/>
        <v>1323.6000000000022</v>
      </c>
      <c r="DO9" s="240">
        <f t="shared" si="9"/>
        <v>907</v>
      </c>
      <c r="DP9" s="240">
        <f t="shared" si="9"/>
        <v>548.89999999999964</v>
      </c>
      <c r="DQ9" s="240">
        <f t="shared" si="9"/>
        <v>1097.5000000000018</v>
      </c>
      <c r="DR9" s="240">
        <f t="shared" si="9"/>
        <v>1267.3999999999996</v>
      </c>
      <c r="DS9" s="240">
        <f t="shared" si="9"/>
        <v>1248.1999999999989</v>
      </c>
      <c r="DT9" s="240">
        <f t="shared" si="9"/>
        <v>1402.5000000000018</v>
      </c>
      <c r="DU9" s="240">
        <f t="shared" si="9"/>
        <v>1613.2000000000025</v>
      </c>
      <c r="DV9" s="240">
        <f t="shared" si="9"/>
        <v>1943.2000000000025</v>
      </c>
      <c r="DW9" s="240">
        <f t="shared" si="9"/>
        <v>2209.7000000000007</v>
      </c>
      <c r="DX9" s="240">
        <f t="shared" si="9"/>
        <v>2404.3000000000029</v>
      </c>
      <c r="DY9" s="240">
        <f>DY6+DY8</f>
        <v>2542.324739081163</v>
      </c>
      <c r="DZ9" s="240">
        <f t="shared" si="9"/>
        <v>2635.5153774745304</v>
      </c>
      <c r="EA9" s="240">
        <f t="shared" si="9"/>
        <v>2641.2896449255204</v>
      </c>
      <c r="EB9" s="240">
        <f t="shared" ref="EB9:ED9" si="10">EB6+EB8</f>
        <v>2633.6236879841199</v>
      </c>
      <c r="EC9" s="240">
        <f t="shared" si="10"/>
        <v>2595.5215015530484</v>
      </c>
      <c r="ED9" s="240">
        <f t="shared" si="10"/>
        <v>2524.5310089319573</v>
      </c>
      <c r="EE9" s="238"/>
      <c r="EF9"/>
      <c r="EG9"/>
      <c r="EH9"/>
      <c r="EI9"/>
      <c r="EJ9"/>
      <c r="EK9"/>
    </row>
    <row r="10" spans="1:141" s="265" customFormat="1">
      <c r="A10" s="258"/>
      <c r="B10" s="259" t="s">
        <v>203</v>
      </c>
      <c r="C10" s="260"/>
      <c r="D10" s="266">
        <f t="shared" ref="D10:AI10" si="11">D9/D6</f>
        <v>7.2666375418669119E-2</v>
      </c>
      <c r="E10" s="263">
        <f t="shared" si="11"/>
        <v>9.5608806714511635E-2</v>
      </c>
      <c r="F10" s="263">
        <f t="shared" si="11"/>
        <v>7.0007158196134539E-2</v>
      </c>
      <c r="G10" s="264">
        <f t="shared" si="11"/>
        <v>9.1479629826614187E-2</v>
      </c>
      <c r="H10" s="263">
        <f t="shared" si="11"/>
        <v>7.3406804024916172E-2</v>
      </c>
      <c r="I10" s="263">
        <f t="shared" si="11"/>
        <v>8.2968667950288788E-2</v>
      </c>
      <c r="J10" s="263">
        <f t="shared" si="11"/>
        <v>7.6994262446788767E-2</v>
      </c>
      <c r="K10" s="264">
        <f t="shared" si="11"/>
        <v>0.10250742557159638</v>
      </c>
      <c r="L10" s="263">
        <f t="shared" si="11"/>
        <v>8.5787451984635027E-2</v>
      </c>
      <c r="M10" s="263">
        <f t="shared" si="11"/>
        <v>0.10310743188978816</v>
      </c>
      <c r="N10" s="263">
        <f t="shared" si="11"/>
        <v>9.5443676939426028E-2</v>
      </c>
      <c r="O10" s="264">
        <f t="shared" si="11"/>
        <v>0.10965677719604421</v>
      </c>
      <c r="P10" s="263">
        <f t="shared" si="11"/>
        <v>0.10319025522041769</v>
      </c>
      <c r="Q10" s="263">
        <f t="shared" si="11"/>
        <v>0.11607676833577991</v>
      </c>
      <c r="R10" s="263">
        <f t="shared" si="11"/>
        <v>0.10715813925056554</v>
      </c>
      <c r="S10" s="264">
        <f t="shared" si="11"/>
        <v>0.11321546858235754</v>
      </c>
      <c r="T10" s="263">
        <f t="shared" si="11"/>
        <v>9.8518773682397434E-2</v>
      </c>
      <c r="U10" s="263">
        <f t="shared" si="11"/>
        <v>0.10648275862068961</v>
      </c>
      <c r="V10" s="263">
        <f t="shared" si="11"/>
        <v>8.3226303621885434E-2</v>
      </c>
      <c r="W10" s="264">
        <f t="shared" si="11"/>
        <v>9.2091678711542557E-2</v>
      </c>
      <c r="X10" s="263">
        <f t="shared" si="11"/>
        <v>8.1385829115808217E-2</v>
      </c>
      <c r="Y10" s="263">
        <f t="shared" si="11"/>
        <v>0.10489856506679857</v>
      </c>
      <c r="Z10" s="263">
        <f t="shared" si="11"/>
        <v>0.10007549151541001</v>
      </c>
      <c r="AA10" s="264">
        <f t="shared" si="11"/>
        <v>0.11741253286337505</v>
      </c>
      <c r="AB10" s="263">
        <f t="shared" si="11"/>
        <v>9.3821450158997136E-2</v>
      </c>
      <c r="AC10" s="263">
        <f t="shared" si="11"/>
        <v>0.10820439198170893</v>
      </c>
      <c r="AD10" s="263">
        <f t="shared" si="11"/>
        <v>9.5353201234057355E-2</v>
      </c>
      <c r="AE10" s="264">
        <f t="shared" si="11"/>
        <v>0.1148950092201534</v>
      </c>
      <c r="AF10" s="263">
        <f t="shared" si="11"/>
        <v>7.6321497887886766E-2</v>
      </c>
      <c r="AG10" s="263">
        <f t="shared" si="11"/>
        <v>8.7078184739846007E-2</v>
      </c>
      <c r="AH10" s="263">
        <f t="shared" si="11"/>
        <v>8.3625712170470184E-2</v>
      </c>
      <c r="AI10" s="264">
        <f t="shared" si="11"/>
        <v>9.9765051395007284E-2</v>
      </c>
      <c r="AJ10" s="263">
        <f t="shared" ref="AJ10:BO10" si="12">AJ9/AJ6</f>
        <v>7.7123295422395724E-2</v>
      </c>
      <c r="AK10" s="263">
        <f t="shared" si="12"/>
        <v>8.6836137334528704E-2</v>
      </c>
      <c r="AL10" s="263">
        <f t="shared" si="12"/>
        <v>8.5186072990951087E-2</v>
      </c>
      <c r="AM10" s="264">
        <f t="shared" si="12"/>
        <v>9.9484097436442903E-2</v>
      </c>
      <c r="AN10" s="263">
        <f t="shared" si="12"/>
        <v>7.9154589991535615E-2</v>
      </c>
      <c r="AO10" s="263">
        <f t="shared" si="12"/>
        <v>8.6121135277479721E-2</v>
      </c>
      <c r="AP10" s="263">
        <f t="shared" si="12"/>
        <v>8.6982672203923764E-2</v>
      </c>
      <c r="AQ10" s="264">
        <f t="shared" si="12"/>
        <v>8.9511902803562637E-2</v>
      </c>
      <c r="AR10" s="263">
        <f t="shared" si="12"/>
        <v>7.7224460719930665E-2</v>
      </c>
      <c r="AS10" s="263">
        <f t="shared" si="12"/>
        <v>8.6741363211951431E-2</v>
      </c>
      <c r="AT10" s="263">
        <f t="shared" si="12"/>
        <v>8.2148904510236612E-2</v>
      </c>
      <c r="AU10" s="264">
        <f t="shared" si="12"/>
        <v>8.4785702620097644E-2</v>
      </c>
      <c r="AV10" s="263">
        <f t="shared" si="12"/>
        <v>4.6640223985067682E-2</v>
      </c>
      <c r="AW10" s="263">
        <f t="shared" si="12"/>
        <v>5.4940827732898913E-2</v>
      </c>
      <c r="AX10" s="263">
        <f t="shared" si="12"/>
        <v>4.5996588571715222E-2</v>
      </c>
      <c r="AY10" s="264">
        <f t="shared" si="12"/>
        <v>6.5609883496468679E-2</v>
      </c>
      <c r="AZ10" s="263">
        <f t="shared" si="12"/>
        <v>5.1961098642727445E-2</v>
      </c>
      <c r="BA10" s="263">
        <f t="shared" si="12"/>
        <v>6.3490083572408554E-2</v>
      </c>
      <c r="BB10" s="263">
        <f t="shared" si="12"/>
        <v>4.9856254760793091E-2</v>
      </c>
      <c r="BC10" s="264">
        <f t="shared" si="12"/>
        <v>6.3637425534400202E-2</v>
      </c>
      <c r="BD10" s="263">
        <f t="shared" si="12"/>
        <v>7.498694991035168E-2</v>
      </c>
      <c r="BE10" s="263">
        <f t="shared" si="12"/>
        <v>8.8441267778499741E-2</v>
      </c>
      <c r="BF10" s="263">
        <f t="shared" si="12"/>
        <v>8.4652828288479809E-2</v>
      </c>
      <c r="BG10" s="264">
        <f t="shared" si="12"/>
        <v>8.3726353977714413E-2</v>
      </c>
      <c r="BH10" s="263">
        <f t="shared" si="12"/>
        <v>8.2667980091248469E-2</v>
      </c>
      <c r="BI10" s="263">
        <f t="shared" si="12"/>
        <v>7.7657702940437293E-2</v>
      </c>
      <c r="BJ10" s="263">
        <f t="shared" si="12"/>
        <v>5.3358863890218544E-2</v>
      </c>
      <c r="BK10" s="264">
        <f t="shared" si="12"/>
        <v>4.3031841255191543E-2</v>
      </c>
      <c r="BL10" s="263">
        <f t="shared" si="12"/>
        <v>1.5542129779089734E-2</v>
      </c>
      <c r="BM10" s="263">
        <f t="shared" si="12"/>
        <v>3.0249890398947831E-2</v>
      </c>
      <c r="BN10" s="263">
        <f t="shared" si="12"/>
        <v>8.1989089053730563E-2</v>
      </c>
      <c r="BO10" s="264">
        <f t="shared" si="12"/>
        <v>8.6530046674445804E-2</v>
      </c>
      <c r="BP10" s="263">
        <f t="shared" ref="BP10:CT10" si="13">BP9/BP6</f>
        <v>9.2394078611536493E-2</v>
      </c>
      <c r="BQ10" s="263">
        <f t="shared" si="13"/>
        <v>9.979271542789464E-2</v>
      </c>
      <c r="BR10" s="263">
        <f t="shared" si="13"/>
        <v>9.3571605857532908E-2</v>
      </c>
      <c r="BS10" s="264">
        <f t="shared" si="13"/>
        <v>8.1989545382544021E-2</v>
      </c>
      <c r="BT10" s="263">
        <f t="shared" si="13"/>
        <v>9.2092149101574636E-2</v>
      </c>
      <c r="BU10" s="263">
        <f t="shared" si="13"/>
        <v>9.4279574572260244E-2</v>
      </c>
      <c r="BV10" s="263">
        <f t="shared" si="13"/>
        <v>8.1069364161849705E-2</v>
      </c>
      <c r="BW10" s="264">
        <f t="shared" si="13"/>
        <v>9.0323500071255544E-2</v>
      </c>
      <c r="BX10" s="432">
        <f t="shared" si="13"/>
        <v>8.5016465422612569E-2</v>
      </c>
      <c r="BY10" s="432">
        <f t="shared" si="13"/>
        <v>8.5839017735334214E-2</v>
      </c>
      <c r="BZ10" s="432">
        <f t="shared" si="13"/>
        <v>8.5061888882608946E-2</v>
      </c>
      <c r="CA10" s="433">
        <f t="shared" si="13"/>
        <v>8.6788191643813559E-2</v>
      </c>
      <c r="CB10" s="432">
        <f t="shared" si="13"/>
        <v>8.5936510349370498E-2</v>
      </c>
      <c r="CC10" s="432">
        <f t="shared" si="13"/>
        <v>8.7573849407989166E-2</v>
      </c>
      <c r="CD10" s="432">
        <f t="shared" si="13"/>
        <v>8.7730045690073213E-2</v>
      </c>
      <c r="CE10" s="433">
        <f t="shared" si="13"/>
        <v>8.444350461690292E-2</v>
      </c>
      <c r="CF10" s="432">
        <f t="shared" si="13"/>
        <v>8.9086655351162919E-2</v>
      </c>
      <c r="CG10" s="432">
        <f t="shared" si="13"/>
        <v>9.1819153344529211E-2</v>
      </c>
      <c r="CH10" s="432">
        <f t="shared" si="13"/>
        <v>9.1690882887991099E-2</v>
      </c>
      <c r="CI10" s="433">
        <f t="shared" si="13"/>
        <v>9.1368661670000184E-2</v>
      </c>
      <c r="CJ10" s="432">
        <f t="shared" si="13"/>
        <v>0.10142876100322917</v>
      </c>
      <c r="CK10" s="432">
        <f t="shared" si="13"/>
        <v>0.10832560246812394</v>
      </c>
      <c r="CL10" s="432">
        <f t="shared" si="13"/>
        <v>0.10874535251599209</v>
      </c>
      <c r="CM10" s="433">
        <f t="shared" si="13"/>
        <v>0.10828429919993234</v>
      </c>
      <c r="CN10" s="432">
        <f t="shared" si="13"/>
        <v>0.1177378884385254</v>
      </c>
      <c r="CO10" s="432">
        <f t="shared" si="13"/>
        <v>0.11981459532678639</v>
      </c>
      <c r="CP10" s="432">
        <f t="shared" si="13"/>
        <v>0.11768734535171435</v>
      </c>
      <c r="CQ10" s="433">
        <f t="shared" si="13"/>
        <v>0.12100786045009164</v>
      </c>
      <c r="CR10" s="432">
        <f t="shared" si="13"/>
        <v>0.11949584875462642</v>
      </c>
      <c r="CS10" s="432">
        <f t="shared" si="13"/>
        <v>0.11859775140537172</v>
      </c>
      <c r="CT10" s="432">
        <f t="shared" si="13"/>
        <v>0.11606945699086617</v>
      </c>
      <c r="CU10" s="433">
        <f t="shared" ref="CU10" si="14">CU9/CU6</f>
        <v>0.11581341586188909</v>
      </c>
      <c r="CV10" s="263">
        <f t="shared" ref="CV10:CY10" si="15">CV9/CV6</f>
        <v>0.11856677100780995</v>
      </c>
      <c r="CW10" s="263">
        <f t="shared" si="15"/>
        <v>0.11745279419163658</v>
      </c>
      <c r="CX10" s="263">
        <f t="shared" si="15"/>
        <v>0.11353931190496419</v>
      </c>
      <c r="CY10" s="264">
        <f t="shared" si="15"/>
        <v>0.11344598618496521</v>
      </c>
      <c r="DA10" s="263">
        <f t="shared" ref="DA10:EA10" si="16">DA9/DA6</f>
        <v>8.3688123530533162E-2</v>
      </c>
      <c r="DB10" s="263">
        <f t="shared" si="16"/>
        <v>8.5482776175123037E-2</v>
      </c>
      <c r="DC10" s="263">
        <f t="shared" si="16"/>
        <v>9.9166279944312097E-2</v>
      </c>
      <c r="DD10" s="263">
        <f t="shared" si="16"/>
        <v>0.11022892862493026</v>
      </c>
      <c r="DE10" s="263">
        <f t="shared" si="16"/>
        <v>9.5083559617634872E-2</v>
      </c>
      <c r="DF10" s="263">
        <f t="shared" si="16"/>
        <v>0.10211766220391341</v>
      </c>
      <c r="DG10" s="263">
        <f t="shared" si="16"/>
        <v>0.10304274913307945</v>
      </c>
      <c r="DH10" s="263">
        <f t="shared" si="16"/>
        <v>8.6695486873105507E-2</v>
      </c>
      <c r="DI10" s="263">
        <f t="shared" si="16"/>
        <v>8.7371573561831825E-2</v>
      </c>
      <c r="DJ10" s="263">
        <f t="shared" si="16"/>
        <v>8.5503629331859982E-2</v>
      </c>
      <c r="DK10" s="263">
        <f t="shared" si="16"/>
        <v>8.2670990566037647E-2</v>
      </c>
      <c r="DL10" s="263">
        <f t="shared" si="16"/>
        <v>5.3522041274743852E-2</v>
      </c>
      <c r="DM10" s="263">
        <f t="shared" si="16"/>
        <v>5.7391431085997612E-2</v>
      </c>
      <c r="DN10" s="263">
        <f t="shared" si="16"/>
        <v>8.2750859643638763E-2</v>
      </c>
      <c r="DO10" s="263">
        <f t="shared" si="16"/>
        <v>6.6836151947238492E-2</v>
      </c>
      <c r="DP10" s="263">
        <f t="shared" si="16"/>
        <v>5.6357550618095158E-2</v>
      </c>
      <c r="DQ10" s="263">
        <f t="shared" si="16"/>
        <v>9.1805664765027842E-2</v>
      </c>
      <c r="DR10" s="263">
        <f t="shared" si="16"/>
        <v>8.9527778758873994E-2</v>
      </c>
      <c r="DS10" s="263">
        <f t="shared" si="16"/>
        <v>8.5686826388412088E-2</v>
      </c>
      <c r="DT10" s="263">
        <f t="shared" si="16"/>
        <v>8.6392755944314503E-2</v>
      </c>
      <c r="DU10" s="263">
        <f t="shared" si="16"/>
        <v>9.1000885639663243E-2</v>
      </c>
      <c r="DV10" s="263">
        <f t="shared" si="16"/>
        <v>0.10670239520300484</v>
      </c>
      <c r="DW10" s="263">
        <f t="shared" si="16"/>
        <v>0.11907250937621248</v>
      </c>
      <c r="DX10" s="263">
        <f t="shared" si="16"/>
        <v>0.11747202814286427</v>
      </c>
      <c r="DY10" s="263">
        <f>DY9/DY6</f>
        <v>0.11577236672455665</v>
      </c>
      <c r="DZ10" s="263">
        <f t="shared" si="16"/>
        <v>0.11302781231471679</v>
      </c>
      <c r="EA10" s="263">
        <f t="shared" si="16"/>
        <v>0.10783891229320369</v>
      </c>
      <c r="EB10" s="263">
        <f t="shared" ref="EB10:ED10" si="17">EB9/EB6</f>
        <v>0.10276120585061493</v>
      </c>
      <c r="EC10" s="263">
        <f t="shared" si="17"/>
        <v>9.7808161415225067E-2</v>
      </c>
      <c r="ED10" s="263">
        <f t="shared" si="17"/>
        <v>9.2984188609743529E-2</v>
      </c>
      <c r="EE10" s="260"/>
      <c r="EF10"/>
      <c r="EG10"/>
      <c r="EH10"/>
      <c r="EI10"/>
      <c r="EJ10"/>
      <c r="EK10"/>
    </row>
    <row r="11" spans="1:141">
      <c r="A11" s="133"/>
      <c r="B11" s="111"/>
      <c r="C11" s="111"/>
      <c r="D11" s="140"/>
      <c r="E11" s="111"/>
      <c r="F11" s="111"/>
      <c r="G11" s="141"/>
      <c r="H11" s="111"/>
      <c r="I11" s="111"/>
      <c r="J11" s="111"/>
      <c r="K11" s="141"/>
      <c r="L11" s="111"/>
      <c r="M11" s="111"/>
      <c r="N11" s="111"/>
      <c r="O11" s="141"/>
      <c r="P11" s="111"/>
      <c r="Q11" s="111"/>
      <c r="R11" s="111"/>
      <c r="S11" s="141"/>
      <c r="T11" s="111"/>
      <c r="U11" s="111"/>
      <c r="V11" s="111"/>
      <c r="W11" s="141"/>
      <c r="X11" s="111"/>
      <c r="Y11" s="111"/>
      <c r="Z11" s="111"/>
      <c r="AA11" s="141"/>
      <c r="AB11" s="111"/>
      <c r="AC11" s="111"/>
      <c r="AD11" s="111"/>
      <c r="AE11" s="141"/>
      <c r="AF11" s="111"/>
      <c r="AG11" s="111"/>
      <c r="AH11" s="111"/>
      <c r="AI11" s="141"/>
      <c r="AJ11" s="111"/>
      <c r="AK11" s="111"/>
      <c r="AL11" s="111"/>
      <c r="AM11" s="141"/>
      <c r="AN11" s="111"/>
      <c r="AO11" s="111"/>
      <c r="AP11" s="111"/>
      <c r="AQ11" s="141"/>
      <c r="AR11" s="111"/>
      <c r="AS11" s="111"/>
      <c r="AT11" s="111"/>
      <c r="AU11" s="141"/>
      <c r="AV11" s="111"/>
      <c r="AW11" s="111"/>
      <c r="AX11" s="111"/>
      <c r="AY11" s="141"/>
      <c r="AZ11" s="111"/>
      <c r="BA11" s="111"/>
      <c r="BB11" s="111"/>
      <c r="BC11" s="141"/>
      <c r="BD11" s="111"/>
      <c r="BE11" s="111"/>
      <c r="BF11" s="111"/>
      <c r="BG11" s="141"/>
      <c r="BH11" s="111"/>
      <c r="BI11" s="111"/>
      <c r="BJ11" s="111"/>
      <c r="BK11" s="141"/>
      <c r="BL11" s="111"/>
      <c r="BM11" s="111"/>
      <c r="BN11" s="111"/>
      <c r="BO11" s="141"/>
      <c r="BP11" s="111"/>
      <c r="BQ11" s="111"/>
      <c r="BR11" s="111"/>
      <c r="BS11" s="141"/>
      <c r="BT11" s="111"/>
      <c r="BU11" s="111"/>
      <c r="BV11" s="111"/>
      <c r="BW11" s="141"/>
      <c r="BX11" s="136"/>
      <c r="BY11" s="136"/>
      <c r="BZ11" s="136"/>
      <c r="CA11" s="437"/>
      <c r="CB11" s="136"/>
      <c r="CC11" s="136"/>
      <c r="CD11" s="136"/>
      <c r="CE11" s="437"/>
      <c r="CF11" s="136"/>
      <c r="CG11" s="136"/>
      <c r="CH11" s="136"/>
      <c r="CI11" s="437"/>
      <c r="CJ11" s="136"/>
      <c r="CK11" s="136"/>
      <c r="CL11" s="136"/>
      <c r="CM11" s="437"/>
      <c r="CN11" s="136"/>
      <c r="CO11" s="136"/>
      <c r="CP11" s="136"/>
      <c r="CQ11" s="437"/>
      <c r="CR11" s="136"/>
      <c r="CS11" s="136"/>
      <c r="CT11" s="136"/>
      <c r="CU11" s="437"/>
      <c r="CV11" s="119"/>
      <c r="CW11" s="119"/>
      <c r="CX11" s="119"/>
      <c r="CY11" s="151"/>
      <c r="DA11" s="111"/>
      <c r="DB11" s="111"/>
      <c r="DC11" s="111"/>
      <c r="DD11" s="111"/>
      <c r="DE11" s="111"/>
      <c r="DF11" s="111"/>
      <c r="DG11" s="111"/>
      <c r="DH11" s="111"/>
      <c r="DI11" s="111"/>
      <c r="DJ11" s="111"/>
      <c r="DK11" s="111"/>
      <c r="DL11" s="111"/>
      <c r="DM11" s="111"/>
      <c r="DN11" s="111"/>
      <c r="DO11" s="111"/>
      <c r="DP11" s="111"/>
      <c r="DQ11" s="111"/>
      <c r="DR11" s="111"/>
      <c r="DS11" s="111"/>
      <c r="DT11" s="111"/>
      <c r="DU11" s="111"/>
      <c r="DV11" s="111"/>
      <c r="DW11" s="111"/>
      <c r="DX11" s="111"/>
      <c r="DY11" s="111"/>
      <c r="DZ11" s="111"/>
      <c r="EA11" s="111"/>
      <c r="EB11" s="111"/>
      <c r="EC11" s="111"/>
      <c r="ED11" s="111"/>
      <c r="EE11" s="111"/>
    </row>
    <row r="12" spans="1:141" s="137" customFormat="1">
      <c r="A12" s="193"/>
      <c r="B12" s="138" t="s">
        <v>205</v>
      </c>
      <c r="C12" s="138"/>
      <c r="D12" s="217">
        <v>-16.899999999999999</v>
      </c>
      <c r="E12" s="218">
        <v>-21.4</v>
      </c>
      <c r="F12" s="218">
        <v>-19.8</v>
      </c>
      <c r="G12" s="219">
        <v>-24.5</v>
      </c>
      <c r="H12" s="218">
        <v>-25.8</v>
      </c>
      <c r="I12" s="218">
        <v>-24.3</v>
      </c>
      <c r="J12" s="218">
        <v>-35.1</v>
      </c>
      <c r="K12" s="219">
        <v>-53.7</v>
      </c>
      <c r="L12" s="218">
        <v>-43.3</v>
      </c>
      <c r="M12" s="218">
        <v>-49</v>
      </c>
      <c r="N12" s="218">
        <v>-56.9</v>
      </c>
      <c r="O12" s="219">
        <v>-61.1</v>
      </c>
      <c r="P12" s="218">
        <v>-66.099999999999994</v>
      </c>
      <c r="Q12" s="218">
        <v>-67.2</v>
      </c>
      <c r="R12" s="218">
        <v>-71.2</v>
      </c>
      <c r="S12" s="219">
        <v>-82.4</v>
      </c>
      <c r="T12" s="218">
        <v>-78</v>
      </c>
      <c r="U12" s="218">
        <v>-80.5</v>
      </c>
      <c r="V12" s="218">
        <v>-80.099999999999994</v>
      </c>
      <c r="W12" s="219">
        <v>-98.4</v>
      </c>
      <c r="X12" s="218">
        <v>-84.3</v>
      </c>
      <c r="Y12" s="218">
        <v>-129.1</v>
      </c>
      <c r="Z12" s="218">
        <v>-131.30000000000001</v>
      </c>
      <c r="AA12" s="219">
        <v>-139</v>
      </c>
      <c r="AB12" s="218">
        <v>-141.1</v>
      </c>
      <c r="AC12" s="218">
        <v>-138.9</v>
      </c>
      <c r="AD12" s="218">
        <v>-119.3</v>
      </c>
      <c r="AE12" s="219">
        <v>-125.5</v>
      </c>
      <c r="AF12" s="218">
        <v>-128.6</v>
      </c>
      <c r="AG12" s="218">
        <v>-128.5</v>
      </c>
      <c r="AH12" s="218">
        <v>-122.3</v>
      </c>
      <c r="AI12" s="219">
        <v>-121.9</v>
      </c>
      <c r="AJ12" s="218">
        <v>-131.6</v>
      </c>
      <c r="AK12" s="218">
        <v>-132.9</v>
      </c>
      <c r="AL12" s="218">
        <v>-125.4</v>
      </c>
      <c r="AM12" s="219">
        <v>-127.3</v>
      </c>
      <c r="AN12" s="218">
        <v>-146.69999999999999</v>
      </c>
      <c r="AO12" s="218">
        <v>-141.5</v>
      </c>
      <c r="AP12" s="218">
        <v>-140.6</v>
      </c>
      <c r="AQ12" s="219">
        <v>-144.80000000000001</v>
      </c>
      <c r="AR12" s="218">
        <v>-167.7</v>
      </c>
      <c r="AS12" s="218">
        <v>-158.69999999999999</v>
      </c>
      <c r="AT12" s="218">
        <v>-161.1</v>
      </c>
      <c r="AU12" s="219">
        <v>-146.19999999999999</v>
      </c>
      <c r="AV12" s="218">
        <v>-151.1</v>
      </c>
      <c r="AW12" s="218">
        <v>-155.80000000000001</v>
      </c>
      <c r="AX12" s="218">
        <v>-142.69999999999999</v>
      </c>
      <c r="AY12" s="219">
        <v>-145.1</v>
      </c>
      <c r="AZ12" s="218">
        <v>-163.9</v>
      </c>
      <c r="BA12" s="218">
        <v>-166.1</v>
      </c>
      <c r="BB12" s="218">
        <v>-156.69999999999999</v>
      </c>
      <c r="BC12" s="219">
        <v>-142.80000000000001</v>
      </c>
      <c r="BD12" s="218">
        <v>-149</v>
      </c>
      <c r="BE12" s="218">
        <v>-134</v>
      </c>
      <c r="BF12" s="218">
        <v>-132.19999999999999</v>
      </c>
      <c r="BG12" s="219">
        <v>-144.5</v>
      </c>
      <c r="BH12" s="218">
        <v>-132.4</v>
      </c>
      <c r="BI12" s="218">
        <v>-145.19999999999999</v>
      </c>
      <c r="BJ12" s="218">
        <v>-121.7</v>
      </c>
      <c r="BK12" s="219">
        <v>-89.9</v>
      </c>
      <c r="BL12" s="218">
        <v>-100.4</v>
      </c>
      <c r="BM12" s="218">
        <v>-121.5</v>
      </c>
      <c r="BN12" s="218">
        <v>-98.2</v>
      </c>
      <c r="BO12" s="219">
        <v>-116.7</v>
      </c>
      <c r="BP12" s="218">
        <v>-126.6</v>
      </c>
      <c r="BQ12" s="218">
        <v>-107</v>
      </c>
      <c r="BR12" s="218">
        <v>-107.4</v>
      </c>
      <c r="BS12" s="219">
        <v>-102</v>
      </c>
      <c r="BT12" s="218">
        <v>-111.6</v>
      </c>
      <c r="BU12" s="218">
        <v>-111.8</v>
      </c>
      <c r="BV12" s="218">
        <v>-95.5</v>
      </c>
      <c r="BW12" s="219">
        <v>-134</v>
      </c>
      <c r="BX12" s="356">
        <v>-107.6</v>
      </c>
      <c r="BY12" s="356">
        <v>-110.1</v>
      </c>
      <c r="BZ12" s="356">
        <v>-113.4</v>
      </c>
      <c r="CA12" s="431">
        <f>-132.5+8.7+2.3</f>
        <v>-121.5</v>
      </c>
      <c r="CB12" s="356">
        <f>-129.6</f>
        <v>-129.6</v>
      </c>
      <c r="CC12" s="356">
        <f>-127.9</f>
        <v>-127.9</v>
      </c>
      <c r="CD12" s="356">
        <f>-128.6</f>
        <v>-128.6</v>
      </c>
      <c r="CE12" s="431">
        <f>-142.6</f>
        <v>-142.6</v>
      </c>
      <c r="CF12" s="356">
        <f>-136.7</f>
        <v>-136.69999999999999</v>
      </c>
      <c r="CG12" s="356">
        <f>-138</f>
        <v>-138</v>
      </c>
      <c r="CH12" s="356">
        <v>-128.1</v>
      </c>
      <c r="CI12" s="431">
        <v>-127.1</v>
      </c>
      <c r="CJ12" s="356">
        <f>-151.7</f>
        <v>-151.69999999999999</v>
      </c>
      <c r="CK12" s="356">
        <f>-151.5</f>
        <v>-151.5</v>
      </c>
      <c r="CL12" s="356">
        <v>-137.6</v>
      </c>
      <c r="CM12" s="431">
        <v>-139.69999999999999</v>
      </c>
      <c r="CN12" s="356">
        <v>-149</v>
      </c>
      <c r="CO12" s="356">
        <f>-154.3</f>
        <v>-154.30000000000001</v>
      </c>
      <c r="CP12" s="356">
        <v>-153.6</v>
      </c>
      <c r="CQ12" s="431">
        <v>-165</v>
      </c>
      <c r="CR12" s="356">
        <v>-155.69999999999999</v>
      </c>
      <c r="CS12" s="356">
        <v>-157.19999999999999</v>
      </c>
      <c r="CT12" s="356">
        <v>-158.19999999999999</v>
      </c>
      <c r="CU12" s="431">
        <v>-164.1</v>
      </c>
      <c r="CV12" s="197">
        <f>-CV13*CV6</f>
        <v>-167.46167415703471</v>
      </c>
      <c r="CW12" s="197">
        <f>-CW13*CW6</f>
        <v>-172.24643007891891</v>
      </c>
      <c r="CX12" s="197">
        <f>-CX13*CX6</f>
        <v>-163.38975576827897</v>
      </c>
      <c r="CY12" s="198">
        <f>-CY13*CY6</f>
        <v>-168.73635395644263</v>
      </c>
      <c r="DA12" s="212">
        <v>-82.6</v>
      </c>
      <c r="DB12" s="212">
        <v>-138.9</v>
      </c>
      <c r="DC12" s="212">
        <v>-210.3</v>
      </c>
      <c r="DD12" s="212">
        <v>-286.89999999999998</v>
      </c>
      <c r="DE12" s="212">
        <f>SUM(T12:W12)</f>
        <v>-337</v>
      </c>
      <c r="DF12" s="212">
        <f>SUM(X12:AA12)</f>
        <v>-483.7</v>
      </c>
      <c r="DG12" s="212">
        <f>SUM(AB12:AE12)</f>
        <v>-524.79999999999995</v>
      </c>
      <c r="DH12" s="212">
        <f>SUM(AF12:AI12)</f>
        <v>-501.30000000000007</v>
      </c>
      <c r="DI12" s="212">
        <f>SUM(AJ12:AM12)</f>
        <v>-517.19999999999993</v>
      </c>
      <c r="DJ12" s="212">
        <f>SUM(AN12:AQ12)</f>
        <v>-573.59999999999991</v>
      </c>
      <c r="DK12" s="212">
        <f>SUM(AR12:AU12)</f>
        <v>-633.70000000000005</v>
      </c>
      <c r="DL12" s="212">
        <f>SUM(AV12:AY12)</f>
        <v>-594.69999999999993</v>
      </c>
      <c r="DM12" s="212">
        <f>SUM(AZ12:BC12)</f>
        <v>-629.5</v>
      </c>
      <c r="DN12" s="212">
        <f>SUM(BD12:BG12)</f>
        <v>-559.70000000000005</v>
      </c>
      <c r="DO12" s="212">
        <f>SUM(BH12:BK12)</f>
        <v>-489.20000000000005</v>
      </c>
      <c r="DP12" s="212">
        <f>SUM(BL12:BO12)</f>
        <v>-436.8</v>
      </c>
      <c r="DQ12" s="212">
        <f>SUM(BP12:BS12)</f>
        <v>-443</v>
      </c>
      <c r="DR12" s="212">
        <f>SUM(BT12:BW12)</f>
        <v>-452.9</v>
      </c>
      <c r="DS12" s="212">
        <f>SUM(BX12:CA12)</f>
        <v>-452.6</v>
      </c>
      <c r="DT12" s="354">
        <f>SUM(CB12:CE12)</f>
        <v>-528.70000000000005</v>
      </c>
      <c r="DU12" s="354">
        <f>SUM(CF12:CI12)</f>
        <v>-529.9</v>
      </c>
      <c r="DV12" s="354">
        <f>SUM(CJ12:CM12)</f>
        <v>-580.5</v>
      </c>
      <c r="DW12" s="354">
        <f>SUM(CN12:CQ12)</f>
        <v>-621.9</v>
      </c>
      <c r="DX12" s="212">
        <f>SUM(CR12:CU12)</f>
        <v>-635.19999999999993</v>
      </c>
      <c r="DY12" s="212">
        <f>SUM(CV12:CY12)</f>
        <v>-671.83421396067524</v>
      </c>
      <c r="DZ12" s="212">
        <f>-DZ13*DZ6</f>
        <v>-713.37229348917776</v>
      </c>
      <c r="EA12" s="212">
        <f>-EA13*EA6</f>
        <v>-749.33589197434685</v>
      </c>
      <c r="EB12" s="212">
        <f>-EB13*EB6</f>
        <v>-784.08028319708831</v>
      </c>
      <c r="EC12" s="212">
        <f>-EC13*EC6</f>
        <v>-811.86821871349014</v>
      </c>
      <c r="ED12" s="212">
        <f>-ED13*ED6</f>
        <v>-830.62999305378912</v>
      </c>
      <c r="EE12" s="199"/>
      <c r="EF12"/>
      <c r="EG12"/>
      <c r="EH12"/>
      <c r="EI12"/>
      <c r="EJ12"/>
      <c r="EK12"/>
    </row>
    <row r="13" spans="1:141" s="265" customFormat="1">
      <c r="A13" s="258"/>
      <c r="B13" s="259" t="s">
        <v>206</v>
      </c>
      <c r="C13" s="260"/>
      <c r="D13" s="266">
        <f t="shared" ref="D13:AI13" si="18">-D12/D6</f>
        <v>2.4610455803116351E-2</v>
      </c>
      <c r="E13" s="263">
        <f t="shared" si="18"/>
        <v>2.6030896484612574E-2</v>
      </c>
      <c r="F13" s="263">
        <f t="shared" si="18"/>
        <v>2.8346456692913385E-2</v>
      </c>
      <c r="G13" s="264">
        <f t="shared" si="18"/>
        <v>2.6061057334326135E-2</v>
      </c>
      <c r="H13" s="263">
        <f t="shared" si="18"/>
        <v>2.4724484906564446E-2</v>
      </c>
      <c r="I13" s="263">
        <f t="shared" si="18"/>
        <v>2.1267285139156312E-2</v>
      </c>
      <c r="J13" s="263">
        <f t="shared" si="18"/>
        <v>3.248195446973904E-2</v>
      </c>
      <c r="K13" s="264">
        <f t="shared" si="18"/>
        <v>3.709332043931754E-2</v>
      </c>
      <c r="L13" s="263">
        <f t="shared" si="18"/>
        <v>3.0800967420685728E-2</v>
      </c>
      <c r="M13" s="263">
        <f t="shared" si="18"/>
        <v>3.0271205288194228E-2</v>
      </c>
      <c r="N13" s="263">
        <f t="shared" si="18"/>
        <v>3.7792242295430392E-2</v>
      </c>
      <c r="O13" s="264">
        <f t="shared" si="18"/>
        <v>3.5543920884235018E-2</v>
      </c>
      <c r="P13" s="263">
        <f t="shared" si="18"/>
        <v>3.8341067285382828E-2</v>
      </c>
      <c r="Q13" s="263">
        <f t="shared" si="18"/>
        <v>3.6535638558147121E-2</v>
      </c>
      <c r="R13" s="263">
        <f t="shared" si="18"/>
        <v>4.3523442753224527E-2</v>
      </c>
      <c r="S13" s="264">
        <f t="shared" si="18"/>
        <v>3.8438214302374409E-2</v>
      </c>
      <c r="T13" s="263">
        <f t="shared" si="18"/>
        <v>3.8383937798336695E-2</v>
      </c>
      <c r="U13" s="263">
        <f t="shared" si="18"/>
        <v>3.7011494252873561E-2</v>
      </c>
      <c r="V13" s="263">
        <f t="shared" si="18"/>
        <v>4.1150783457487794E-2</v>
      </c>
      <c r="W13" s="264">
        <f t="shared" si="18"/>
        <v>3.3863307867024572E-2</v>
      </c>
      <c r="X13" s="263">
        <f t="shared" si="18"/>
        <v>3.1370943733253949E-2</v>
      </c>
      <c r="Y13" s="263">
        <f t="shared" si="18"/>
        <v>3.9924542305789214E-2</v>
      </c>
      <c r="Z13" s="263">
        <f t="shared" si="18"/>
        <v>4.3095808579774846E-2</v>
      </c>
      <c r="AA13" s="264">
        <f t="shared" si="18"/>
        <v>4.0158322017739001E-2</v>
      </c>
      <c r="AB13" s="263">
        <f t="shared" si="18"/>
        <v>3.7081811253317915E-2</v>
      </c>
      <c r="AC13" s="263">
        <f t="shared" si="18"/>
        <v>3.6927739671398944E-2</v>
      </c>
      <c r="AD13" s="263">
        <f t="shared" si="18"/>
        <v>3.7944085747908779E-2</v>
      </c>
      <c r="AE13" s="264">
        <f t="shared" si="18"/>
        <v>3.7326750342037952E-2</v>
      </c>
      <c r="AF13" s="263">
        <f t="shared" si="18"/>
        <v>3.6705103322297067E-2</v>
      </c>
      <c r="AG13" s="263">
        <f t="shared" si="18"/>
        <v>3.5601485011359228E-2</v>
      </c>
      <c r="AH13" s="263">
        <f t="shared" si="18"/>
        <v>3.9366530402034312E-2</v>
      </c>
      <c r="AI13" s="264">
        <f t="shared" si="18"/>
        <v>3.580029368575624E-2</v>
      </c>
      <c r="AJ13" s="263">
        <f t="shared" ref="AJ13:BO13" si="19">-AJ12/AJ6</f>
        <v>3.7231935721156566E-2</v>
      </c>
      <c r="AK13" s="263">
        <f t="shared" si="19"/>
        <v>3.5045619956753336E-2</v>
      </c>
      <c r="AL13" s="263">
        <f t="shared" si="19"/>
        <v>3.7574159525379042E-2</v>
      </c>
      <c r="AM13" s="264">
        <f t="shared" si="19"/>
        <v>3.3852781618976702E-2</v>
      </c>
      <c r="AN13" s="263">
        <f t="shared" si="19"/>
        <v>3.7627927257803881E-2</v>
      </c>
      <c r="AO13" s="263">
        <f t="shared" si="19"/>
        <v>3.450209694723496E-2</v>
      </c>
      <c r="AP13" s="263">
        <f t="shared" si="19"/>
        <v>4.026922526134899E-2</v>
      </c>
      <c r="AQ13" s="264">
        <f t="shared" si="19"/>
        <v>3.4028153126689074E-2</v>
      </c>
      <c r="AR13" s="263">
        <f t="shared" si="19"/>
        <v>3.7332205427305712E-2</v>
      </c>
      <c r="AS13" s="263">
        <f t="shared" si="19"/>
        <v>3.7044817927170869E-2</v>
      </c>
      <c r="AT13" s="263">
        <f t="shared" si="19"/>
        <v>4.1331007234850427E-2</v>
      </c>
      <c r="AU13" s="264">
        <f t="shared" si="19"/>
        <v>3.411026340962646E-2</v>
      </c>
      <c r="AV13" s="263">
        <f t="shared" si="19"/>
        <v>3.5254316378908072E-2</v>
      </c>
      <c r="AW13" s="263">
        <f t="shared" si="19"/>
        <v>3.5254452062543844E-2</v>
      </c>
      <c r="AX13" s="263">
        <f t="shared" si="19"/>
        <v>3.5794912958410675E-2</v>
      </c>
      <c r="AY13" s="264">
        <f t="shared" si="19"/>
        <v>3.2952558308541317E-2</v>
      </c>
      <c r="AZ13" s="263">
        <f t="shared" si="19"/>
        <v>3.5032595917494927E-2</v>
      </c>
      <c r="BA13" s="263">
        <f t="shared" si="19"/>
        <v>3.4530788740592906E-2</v>
      </c>
      <c r="BB13" s="263">
        <f t="shared" si="19"/>
        <v>3.8504066638818585E-2</v>
      </c>
      <c r="BC13" s="264">
        <f t="shared" si="19"/>
        <v>3.3360588716271469E-2</v>
      </c>
      <c r="BD13" s="263">
        <f t="shared" si="19"/>
        <v>3.3816754045527787E-2</v>
      </c>
      <c r="BE13" s="263">
        <f t="shared" si="19"/>
        <v>3.2247972468895145E-2</v>
      </c>
      <c r="BF13" s="263">
        <f t="shared" si="19"/>
        <v>3.6983158954848092E-2</v>
      </c>
      <c r="BG13" s="264">
        <f t="shared" si="19"/>
        <v>3.7444933920704845E-2</v>
      </c>
      <c r="BH13" s="263">
        <f t="shared" si="19"/>
        <v>3.4321858150145171E-2</v>
      </c>
      <c r="BI13" s="263">
        <f t="shared" si="19"/>
        <v>3.6491580799195775E-2</v>
      </c>
      <c r="BJ13" s="263">
        <f t="shared" si="19"/>
        <v>3.8838359661720119E-2</v>
      </c>
      <c r="BK13" s="264">
        <f t="shared" si="19"/>
        <v>3.4571604368558682E-2</v>
      </c>
      <c r="BL13" s="263">
        <f t="shared" si="19"/>
        <v>4.6303555781026608E-2</v>
      </c>
      <c r="BM13" s="263">
        <f t="shared" si="19"/>
        <v>5.3266111354669007E-2</v>
      </c>
      <c r="BN13" s="263">
        <f t="shared" si="19"/>
        <v>3.8541544016641158E-2</v>
      </c>
      <c r="BO13" s="264">
        <f t="shared" si="19"/>
        <v>4.2553967327887979E-2</v>
      </c>
      <c r="BP13" s="263">
        <f t="shared" ref="BP13:CT13" si="20">-BP12/BP6</f>
        <v>4.3083205717202651E-2</v>
      </c>
      <c r="BQ13" s="263">
        <f t="shared" si="20"/>
        <v>3.5205474944888626E-2</v>
      </c>
      <c r="BR13" s="263">
        <f t="shared" si="20"/>
        <v>3.808105520689288E-2</v>
      </c>
      <c r="BS13" s="264">
        <f t="shared" si="20"/>
        <v>3.2314272136860445E-2</v>
      </c>
      <c r="BT13" s="263">
        <f t="shared" si="20"/>
        <v>3.1779480023920038E-2</v>
      </c>
      <c r="BU13" s="263">
        <f t="shared" si="20"/>
        <v>3.041101107091369E-2</v>
      </c>
      <c r="BV13" s="263">
        <f t="shared" si="20"/>
        <v>2.7601156069364162E-2</v>
      </c>
      <c r="BW13" s="264">
        <f t="shared" si="20"/>
        <v>3.8192959954396463E-2</v>
      </c>
      <c r="BX13" s="432">
        <f t="shared" si="20"/>
        <v>2.9527991218441272E-2</v>
      </c>
      <c r="BY13" s="432">
        <f t="shared" si="20"/>
        <v>3.0040927694406548E-2</v>
      </c>
      <c r="BZ13" s="432">
        <f t="shared" si="20"/>
        <v>3.2046572090657324E-2</v>
      </c>
      <c r="CA13" s="433">
        <f t="shared" si="20"/>
        <v>3.2666559122439105E-2</v>
      </c>
      <c r="CB13" s="432">
        <f t="shared" si="20"/>
        <v>3.2834232727825492E-2</v>
      </c>
      <c r="CC13" s="432">
        <f t="shared" si="20"/>
        <v>3.1095767182903404E-2</v>
      </c>
      <c r="CD13" s="432">
        <f t="shared" si="20"/>
        <v>3.2825382239579343E-2</v>
      </c>
      <c r="CE13" s="433">
        <f t="shared" si="20"/>
        <v>3.3504851859683743E-2</v>
      </c>
      <c r="CF13" s="432">
        <f t="shared" si="20"/>
        <v>3.1354649295839254E-2</v>
      </c>
      <c r="CG13" s="432">
        <f t="shared" si="20"/>
        <v>3.0097489694881244E-2</v>
      </c>
      <c r="CH13" s="432">
        <f t="shared" si="20"/>
        <v>3.0264370260117655E-2</v>
      </c>
      <c r="CI13" s="433">
        <f t="shared" si="20"/>
        <v>2.7935907862056839E-2</v>
      </c>
      <c r="CJ13" s="432">
        <f t="shared" si="20"/>
        <v>3.3551554828150573E-2</v>
      </c>
      <c r="CK13" s="432">
        <f t="shared" si="20"/>
        <v>3.2685378956225322E-2</v>
      </c>
      <c r="CL13" s="432">
        <f t="shared" si="20"/>
        <v>3.1776089416437656E-2</v>
      </c>
      <c r="CM13" s="433">
        <f t="shared" si="20"/>
        <v>2.9568640731490493E-2</v>
      </c>
      <c r="CN13" s="432">
        <f t="shared" si="20"/>
        <v>3.1954363164554252E-2</v>
      </c>
      <c r="CO13" s="432">
        <f t="shared" si="20"/>
        <v>3.2657466982729429E-2</v>
      </c>
      <c r="CP13" s="432">
        <f t="shared" si="20"/>
        <v>3.3934252386002124E-2</v>
      </c>
      <c r="CQ13" s="433">
        <f t="shared" si="20"/>
        <v>3.5533541509637126E-2</v>
      </c>
      <c r="CR13" s="432">
        <f t="shared" si="20"/>
        <v>3.1149344803441031E-2</v>
      </c>
      <c r="CS13" s="432">
        <f t="shared" si="20"/>
        <v>3.0683947532792005E-2</v>
      </c>
      <c r="CT13" s="432">
        <f t="shared" si="20"/>
        <v>3.1757502760212782E-2</v>
      </c>
      <c r="CU13" s="433">
        <f t="shared" ref="CU13" si="21">-CU12/CU6</f>
        <v>3.0593981878518958E-2</v>
      </c>
      <c r="CV13" s="256">
        <f t="shared" ref="CV13:CY14" si="22">CU13</f>
        <v>3.0593981878518958E-2</v>
      </c>
      <c r="CW13" s="256">
        <f t="shared" si="22"/>
        <v>3.0593981878518958E-2</v>
      </c>
      <c r="CX13" s="256">
        <f t="shared" si="22"/>
        <v>3.0593981878518958E-2</v>
      </c>
      <c r="CY13" s="257">
        <f t="shared" si="22"/>
        <v>3.0593981878518958E-2</v>
      </c>
      <c r="DA13" s="263">
        <f t="shared" ref="DA13:DX13" si="23">-DA12/DA6</f>
        <v>2.624388384063036E-2</v>
      </c>
      <c r="DB13" s="263">
        <f t="shared" si="23"/>
        <v>2.9462922110979131E-2</v>
      </c>
      <c r="DC13" s="263">
        <f t="shared" si="23"/>
        <v>3.3652846009825411E-2</v>
      </c>
      <c r="DD13" s="263">
        <f t="shared" si="23"/>
        <v>3.9071756390526895E-2</v>
      </c>
      <c r="DE13" s="263">
        <f t="shared" si="23"/>
        <v>3.7198931496567098E-2</v>
      </c>
      <c r="DF13" s="263">
        <f t="shared" si="23"/>
        <v>3.8917675077239963E-2</v>
      </c>
      <c r="DG13" s="263">
        <f t="shared" si="23"/>
        <v>3.7291796941617869E-2</v>
      </c>
      <c r="DH13" s="263">
        <f t="shared" si="23"/>
        <v>3.6793470681923277E-2</v>
      </c>
      <c r="DI13" s="263">
        <f t="shared" si="23"/>
        <v>3.5855413668316627E-2</v>
      </c>
      <c r="DJ13" s="263">
        <f t="shared" si="23"/>
        <v>3.6426679875783491E-2</v>
      </c>
      <c r="DK13" s="263">
        <f t="shared" si="23"/>
        <v>3.7364386792452832E-2</v>
      </c>
      <c r="DL13" s="263">
        <f t="shared" si="23"/>
        <v>3.478754270204501E-2</v>
      </c>
      <c r="DM13" s="263">
        <f t="shared" si="23"/>
        <v>3.5288050272158034E-2</v>
      </c>
      <c r="DN13" s="263">
        <f t="shared" si="23"/>
        <v>3.4992185057830569E-2</v>
      </c>
      <c r="DO13" s="263">
        <f t="shared" si="23"/>
        <v>3.604878228510372E-2</v>
      </c>
      <c r="DP13" s="263">
        <f t="shared" si="23"/>
        <v>4.4847837693539776E-2</v>
      </c>
      <c r="DQ13" s="263">
        <f t="shared" si="23"/>
        <v>3.7056865139778829E-2</v>
      </c>
      <c r="DR13" s="263">
        <f t="shared" si="23"/>
        <v>3.1992370995655703E-2</v>
      </c>
      <c r="DS13" s="263">
        <f t="shared" si="23"/>
        <v>3.1070227225921607E-2</v>
      </c>
      <c r="DT13" s="432">
        <f t="shared" si="23"/>
        <v>3.2567451028705188E-2</v>
      </c>
      <c r="DU13" s="432">
        <f t="shared" si="23"/>
        <v>2.9891748884488891E-2</v>
      </c>
      <c r="DV13" s="432">
        <f t="shared" si="23"/>
        <v>3.1875638336426634E-2</v>
      </c>
      <c r="DW13" s="432">
        <f t="shared" si="23"/>
        <v>3.3511876535758933E-2</v>
      </c>
      <c r="DX13" s="263">
        <f t="shared" si="23"/>
        <v>3.1035325157570719E-2</v>
      </c>
      <c r="DY13" s="263">
        <f>-DY12/DY6</f>
        <v>3.0593981878518962E-2</v>
      </c>
      <c r="DZ13" s="256">
        <f>DY13</f>
        <v>3.0593981878518962E-2</v>
      </c>
      <c r="EA13" s="256">
        <f>DZ13</f>
        <v>3.0593981878518962E-2</v>
      </c>
      <c r="EB13" s="256">
        <f>EA13</f>
        <v>3.0593981878518962E-2</v>
      </c>
      <c r="EC13" s="256">
        <f>EB13</f>
        <v>3.0593981878518962E-2</v>
      </c>
      <c r="ED13" s="256">
        <f>EC13</f>
        <v>3.0593981878518962E-2</v>
      </c>
      <c r="EE13" s="260"/>
      <c r="EF13"/>
      <c r="EG13"/>
      <c r="EH13"/>
      <c r="EI13"/>
      <c r="EJ13"/>
      <c r="EK13"/>
    </row>
    <row r="14" spans="1:141" s="137" customFormat="1">
      <c r="A14" s="193"/>
      <c r="B14" s="200" t="s">
        <v>54</v>
      </c>
      <c r="C14" s="200"/>
      <c r="D14" s="220">
        <v>-2.8</v>
      </c>
      <c r="E14" s="221">
        <v>-2.9</v>
      </c>
      <c r="F14" s="221">
        <v>-2.9</v>
      </c>
      <c r="G14" s="222">
        <v>-2.8</v>
      </c>
      <c r="H14" s="221">
        <v>-3.1</v>
      </c>
      <c r="I14" s="221">
        <v>-3.3</v>
      </c>
      <c r="J14" s="221">
        <v>-5.0999999999999996</v>
      </c>
      <c r="K14" s="222">
        <v>-7.8</v>
      </c>
      <c r="L14" s="221">
        <v>-7.3</v>
      </c>
      <c r="M14" s="221">
        <v>-7.4</v>
      </c>
      <c r="N14" s="221">
        <v>-9.3000000000000007</v>
      </c>
      <c r="O14" s="222">
        <v>-9.6</v>
      </c>
      <c r="P14" s="221">
        <v>-9.6999999999999993</v>
      </c>
      <c r="Q14" s="221">
        <v>-9.6999999999999993</v>
      </c>
      <c r="R14" s="221">
        <v>-10.3</v>
      </c>
      <c r="S14" s="222">
        <v>-11.7</v>
      </c>
      <c r="T14" s="221">
        <v>-11.5</v>
      </c>
      <c r="U14" s="221">
        <v>-11.5</v>
      </c>
      <c r="V14" s="221">
        <v>-12.8</v>
      </c>
      <c r="W14" s="222">
        <v>-13.4</v>
      </c>
      <c r="X14" s="221">
        <v>-14</v>
      </c>
      <c r="Y14" s="221">
        <v>-19.3</v>
      </c>
      <c r="Z14" s="221">
        <v>-21.9</v>
      </c>
      <c r="AA14" s="222">
        <v>-21.4</v>
      </c>
      <c r="AB14" s="221">
        <v>-22.2</v>
      </c>
      <c r="AC14" s="221">
        <v>-22.6</v>
      </c>
      <c r="AD14" s="221">
        <v>-22.7</v>
      </c>
      <c r="AE14" s="222">
        <v>-22.4</v>
      </c>
      <c r="AF14" s="221">
        <v>0</v>
      </c>
      <c r="AG14" s="221">
        <v>0</v>
      </c>
      <c r="AH14" s="221">
        <v>0</v>
      </c>
      <c r="AI14" s="222">
        <v>0</v>
      </c>
      <c r="AJ14" s="221">
        <v>0</v>
      </c>
      <c r="AK14" s="221">
        <v>0</v>
      </c>
      <c r="AL14" s="221">
        <v>0</v>
      </c>
      <c r="AM14" s="222">
        <v>0</v>
      </c>
      <c r="AN14" s="221">
        <v>0</v>
      </c>
      <c r="AO14" s="221">
        <v>0</v>
      </c>
      <c r="AP14" s="221">
        <v>0</v>
      </c>
      <c r="AQ14" s="222">
        <v>0</v>
      </c>
      <c r="AR14" s="221">
        <v>0</v>
      </c>
      <c r="AS14" s="221">
        <v>0</v>
      </c>
      <c r="AT14" s="221">
        <v>0</v>
      </c>
      <c r="AU14" s="222">
        <v>0</v>
      </c>
      <c r="AV14" s="221">
        <v>0</v>
      </c>
      <c r="AW14" s="221">
        <v>0</v>
      </c>
      <c r="AX14" s="221">
        <v>0</v>
      </c>
      <c r="AY14" s="222">
        <v>0</v>
      </c>
      <c r="AZ14" s="221">
        <v>0</v>
      </c>
      <c r="BA14" s="221">
        <v>0</v>
      </c>
      <c r="BB14" s="221">
        <v>0</v>
      </c>
      <c r="BC14" s="222">
        <v>0</v>
      </c>
      <c r="BD14" s="221">
        <v>0</v>
      </c>
      <c r="BE14" s="221">
        <v>0</v>
      </c>
      <c r="BF14" s="221">
        <v>0</v>
      </c>
      <c r="BG14" s="222">
        <v>0</v>
      </c>
      <c r="BH14" s="221">
        <v>0</v>
      </c>
      <c r="BI14" s="221">
        <v>0</v>
      </c>
      <c r="BJ14" s="221">
        <v>0</v>
      </c>
      <c r="BK14" s="222">
        <v>-1.2</v>
      </c>
      <c r="BL14" s="221">
        <v>0</v>
      </c>
      <c r="BM14" s="221">
        <v>0</v>
      </c>
      <c r="BN14" s="221">
        <v>0</v>
      </c>
      <c r="BO14" s="222">
        <v>-5.0999999999999996</v>
      </c>
      <c r="BP14" s="221">
        <v>-6.7</v>
      </c>
      <c r="BQ14" s="221">
        <v>-6.6</v>
      </c>
      <c r="BR14" s="221">
        <v>-7</v>
      </c>
      <c r="BS14" s="222">
        <v>-6.9</v>
      </c>
      <c r="BT14" s="221">
        <v>-6.8</v>
      </c>
      <c r="BU14" s="221">
        <v>-7.2</v>
      </c>
      <c r="BV14" s="221">
        <v>-7.1</v>
      </c>
      <c r="BW14" s="222">
        <v>-6.9</v>
      </c>
      <c r="BX14" s="355">
        <v>-6.9</v>
      </c>
      <c r="BY14" s="355">
        <v>-7.3</v>
      </c>
      <c r="BZ14" s="355">
        <v>-8.3000000000000007</v>
      </c>
      <c r="CA14" s="434">
        <v>-10.5</v>
      </c>
      <c r="CB14" s="355">
        <v>-8.6</v>
      </c>
      <c r="CC14" s="355">
        <v>-8.6</v>
      </c>
      <c r="CD14" s="355">
        <v>-8.6</v>
      </c>
      <c r="CE14" s="434">
        <v>-8.6</v>
      </c>
      <c r="CF14" s="355">
        <v>-8.5</v>
      </c>
      <c r="CG14" s="355">
        <f>-8.3</f>
        <v>-8.3000000000000007</v>
      </c>
      <c r="CH14" s="355">
        <v>-8.6</v>
      </c>
      <c r="CI14" s="434">
        <v>-8.3000000000000007</v>
      </c>
      <c r="CJ14" s="355">
        <v>-13.3</v>
      </c>
      <c r="CK14" s="355">
        <f>-13.2</f>
        <v>-13.2</v>
      </c>
      <c r="CL14" s="355">
        <v>-13</v>
      </c>
      <c r="CM14" s="434">
        <v>-13</v>
      </c>
      <c r="CN14" s="355">
        <v>-13.2</v>
      </c>
      <c r="CO14" s="355">
        <v>-13.3</v>
      </c>
      <c r="CP14" s="355">
        <v>-15.2</v>
      </c>
      <c r="CQ14" s="434">
        <v>-11.3</v>
      </c>
      <c r="CR14" s="355">
        <v>-10.1</v>
      </c>
      <c r="CS14" s="355">
        <v>-11.5</v>
      </c>
      <c r="CT14" s="355">
        <v>-12.5</v>
      </c>
      <c r="CU14" s="434">
        <v>-13.5</v>
      </c>
      <c r="CV14" s="218">
        <f t="shared" si="22"/>
        <v>-13.5</v>
      </c>
      <c r="CW14" s="218">
        <f t="shared" si="22"/>
        <v>-13.5</v>
      </c>
      <c r="CX14" s="218">
        <f t="shared" si="22"/>
        <v>-13.5</v>
      </c>
      <c r="CY14" s="219">
        <f t="shared" si="22"/>
        <v>-13.5</v>
      </c>
      <c r="DA14" s="542">
        <v>-11.4</v>
      </c>
      <c r="DB14" s="542">
        <v>-19.3</v>
      </c>
      <c r="DC14" s="542">
        <v>-33.6</v>
      </c>
      <c r="DD14" s="542">
        <v>-41.4</v>
      </c>
      <c r="DE14" s="542">
        <f>SUM(T14:W14)</f>
        <v>-49.199999999999996</v>
      </c>
      <c r="DF14" s="542">
        <f>SUM(X14:AA14)</f>
        <v>-76.599999999999994</v>
      </c>
      <c r="DG14" s="542">
        <f>SUM(AB14:AE14)</f>
        <v>-89.9</v>
      </c>
      <c r="DH14" s="542">
        <f>SUM(AF14:AI14)</f>
        <v>0</v>
      </c>
      <c r="DI14" s="542">
        <f>SUM(AJ14:AM14)</f>
        <v>0</v>
      </c>
      <c r="DJ14" s="542">
        <f>SUM(AN14:AQ14)</f>
        <v>0</v>
      </c>
      <c r="DK14" s="542">
        <f>SUM(AR14:AU14)</f>
        <v>0</v>
      </c>
      <c r="DL14" s="542">
        <f>SUM(AV14:AY14)</f>
        <v>0</v>
      </c>
      <c r="DM14" s="542">
        <f>SUM(AZ14:BC14)</f>
        <v>0</v>
      </c>
      <c r="DN14" s="542">
        <f>SUM(BD14:BG14)</f>
        <v>0</v>
      </c>
      <c r="DO14" s="542">
        <f>SUM(BH14:BK14)</f>
        <v>-1.2</v>
      </c>
      <c r="DP14" s="542">
        <f>SUM(BL14:BO14)</f>
        <v>-5.0999999999999996</v>
      </c>
      <c r="DQ14" s="542">
        <f>SUM(BP14:BS14)</f>
        <v>-27.200000000000003</v>
      </c>
      <c r="DR14" s="542">
        <f>SUM(BT14:BW14)</f>
        <v>-28</v>
      </c>
      <c r="DS14" s="542">
        <f>SUM(BX14:CA14)</f>
        <v>-33</v>
      </c>
      <c r="DT14" s="543">
        <f>SUM(CB14:CE14)</f>
        <v>-34.4</v>
      </c>
      <c r="DU14" s="543">
        <f>SUM(CF14:CI14)</f>
        <v>-33.700000000000003</v>
      </c>
      <c r="DV14" s="543">
        <f>SUM(CJ14:CM14)</f>
        <v>-52.5</v>
      </c>
      <c r="DW14" s="543">
        <f>SUM(CN14:CQ14)</f>
        <v>-53</v>
      </c>
      <c r="DX14" s="542">
        <f>SUM(CR14:CU14)</f>
        <v>-47.6</v>
      </c>
      <c r="DY14" s="542">
        <f>SUM(CV14:CY14)</f>
        <v>-54</v>
      </c>
      <c r="DZ14" s="221">
        <f t="shared" ref="DZ14:ED14" si="24">DY14</f>
        <v>-54</v>
      </c>
      <c r="EA14" s="221">
        <f t="shared" si="24"/>
        <v>-54</v>
      </c>
      <c r="EB14" s="221">
        <f t="shared" si="24"/>
        <v>-54</v>
      </c>
      <c r="EC14" s="221">
        <f t="shared" si="24"/>
        <v>-54</v>
      </c>
      <c r="ED14" s="221">
        <f t="shared" si="24"/>
        <v>-54</v>
      </c>
      <c r="EE14" s="199"/>
      <c r="EF14"/>
      <c r="EG14"/>
      <c r="EH14"/>
      <c r="EI14"/>
      <c r="EJ14"/>
      <c r="EK14"/>
    </row>
    <row r="15" spans="1:141" s="243" customFormat="1">
      <c r="A15" s="237"/>
      <c r="B15" s="246" t="s">
        <v>262</v>
      </c>
      <c r="C15" s="246"/>
      <c r="D15" s="247">
        <f t="shared" ref="D15:AI15" si="25">D9+D14+D12</f>
        <v>30.200000000000095</v>
      </c>
      <c r="E15" s="248">
        <f t="shared" si="25"/>
        <v>54.300000000000018</v>
      </c>
      <c r="F15" s="248">
        <f t="shared" si="25"/>
        <v>26.199999999999978</v>
      </c>
      <c r="G15" s="249">
        <f t="shared" si="25"/>
        <v>58.7</v>
      </c>
      <c r="H15" s="248">
        <f t="shared" si="25"/>
        <v>47.700000000000031</v>
      </c>
      <c r="I15" s="248">
        <f t="shared" si="25"/>
        <v>67.19999999999996</v>
      </c>
      <c r="J15" s="248">
        <f t="shared" si="25"/>
        <v>42.999999999999936</v>
      </c>
      <c r="K15" s="249">
        <f t="shared" si="25"/>
        <v>86.900000000000077</v>
      </c>
      <c r="L15" s="248">
        <f t="shared" si="25"/>
        <v>69.999999999999915</v>
      </c>
      <c r="M15" s="248">
        <f t="shared" si="25"/>
        <v>110.50000000000009</v>
      </c>
      <c r="N15" s="248">
        <f t="shared" si="25"/>
        <v>77.499999999999801</v>
      </c>
      <c r="O15" s="249">
        <f t="shared" si="25"/>
        <v>117.80000000000001</v>
      </c>
      <c r="P15" s="248">
        <f t="shared" si="25"/>
        <v>102.10000000000011</v>
      </c>
      <c r="Q15" s="248">
        <f t="shared" si="25"/>
        <v>136.60000000000002</v>
      </c>
      <c r="R15" s="248">
        <f t="shared" si="25"/>
        <v>93.800000000000168</v>
      </c>
      <c r="S15" s="249">
        <f t="shared" si="25"/>
        <v>148.59999999999982</v>
      </c>
      <c r="T15" s="248">
        <f t="shared" si="25"/>
        <v>110.69999999999982</v>
      </c>
      <c r="U15" s="248">
        <f t="shared" si="25"/>
        <v>139.59999999999991</v>
      </c>
      <c r="V15" s="248">
        <f t="shared" si="25"/>
        <v>69.099999999999994</v>
      </c>
      <c r="W15" s="249">
        <f t="shared" si="25"/>
        <v>155.80000000000035</v>
      </c>
      <c r="X15" s="248">
        <f t="shared" si="25"/>
        <v>120.39999999999982</v>
      </c>
      <c r="Y15" s="248">
        <f t="shared" si="25"/>
        <v>190.79999999999981</v>
      </c>
      <c r="Z15" s="248">
        <f t="shared" si="25"/>
        <v>151.69999999999965</v>
      </c>
      <c r="AA15" s="249">
        <f t="shared" si="25"/>
        <v>246.00000000000011</v>
      </c>
      <c r="AB15" s="248">
        <f t="shared" si="25"/>
        <v>193.70000000000002</v>
      </c>
      <c r="AC15" s="248">
        <f t="shared" si="25"/>
        <v>245.49999999999997</v>
      </c>
      <c r="AD15" s="248">
        <f t="shared" si="25"/>
        <v>157.79999999999973</v>
      </c>
      <c r="AE15" s="249">
        <f t="shared" si="25"/>
        <v>238.39999999999975</v>
      </c>
      <c r="AF15" s="248">
        <f t="shared" si="25"/>
        <v>138.8000000000001</v>
      </c>
      <c r="AG15" s="248">
        <f t="shared" si="25"/>
        <v>185.80000000000018</v>
      </c>
      <c r="AH15" s="248">
        <f t="shared" si="25"/>
        <v>137.49999999999972</v>
      </c>
      <c r="AI15" s="249">
        <f t="shared" si="25"/>
        <v>217.79999999999981</v>
      </c>
      <c r="AJ15" s="248">
        <f t="shared" ref="AJ15:BO15" si="26">AJ9+AJ14+AJ12</f>
        <v>140.99999999999991</v>
      </c>
      <c r="AK15" s="248">
        <f t="shared" si="26"/>
        <v>196.39999999999972</v>
      </c>
      <c r="AL15" s="248">
        <f t="shared" si="26"/>
        <v>158.90000000000018</v>
      </c>
      <c r="AM15" s="249">
        <f t="shared" si="26"/>
        <v>246.7999999999999</v>
      </c>
      <c r="AN15" s="248">
        <f t="shared" si="26"/>
        <v>161.89999999999992</v>
      </c>
      <c r="AO15" s="248">
        <f t="shared" si="26"/>
        <v>211.69999999999982</v>
      </c>
      <c r="AP15" s="248">
        <f t="shared" si="26"/>
        <v>163.09999999999982</v>
      </c>
      <c r="AQ15" s="249">
        <f t="shared" si="26"/>
        <v>236.10000000000008</v>
      </c>
      <c r="AR15" s="248">
        <f t="shared" si="26"/>
        <v>179.20000000000056</v>
      </c>
      <c r="AS15" s="248">
        <f t="shared" si="26"/>
        <v>212.89999999999992</v>
      </c>
      <c r="AT15" s="248">
        <f t="shared" si="26"/>
        <v>159.10000000000028</v>
      </c>
      <c r="AU15" s="249">
        <f t="shared" si="26"/>
        <v>217.20000000000056</v>
      </c>
      <c r="AV15" s="248">
        <f t="shared" si="26"/>
        <v>48.800000000000097</v>
      </c>
      <c r="AW15" s="248">
        <f t="shared" si="26"/>
        <v>87.000000000000171</v>
      </c>
      <c r="AX15" s="248">
        <f t="shared" si="26"/>
        <v>40.669999999999902</v>
      </c>
      <c r="AY15" s="249">
        <f t="shared" si="26"/>
        <v>143.80000000000055</v>
      </c>
      <c r="AZ15" s="248">
        <f t="shared" si="26"/>
        <v>79.200000000000358</v>
      </c>
      <c r="BA15" s="248">
        <f t="shared" si="26"/>
        <v>139.29999999999964</v>
      </c>
      <c r="BB15" s="248">
        <f t="shared" si="26"/>
        <v>46.199999999999648</v>
      </c>
      <c r="BC15" s="249">
        <f t="shared" si="26"/>
        <v>129.60000000000008</v>
      </c>
      <c r="BD15" s="248">
        <f t="shared" si="26"/>
        <v>181.40000000000055</v>
      </c>
      <c r="BE15" s="248">
        <f t="shared" si="26"/>
        <v>233.5</v>
      </c>
      <c r="BF15" s="248">
        <f t="shared" si="26"/>
        <v>170.39999999999992</v>
      </c>
      <c r="BG15" s="249">
        <f t="shared" si="26"/>
        <v>178.59999999999991</v>
      </c>
      <c r="BH15" s="248">
        <f t="shared" si="26"/>
        <v>186.50000000000009</v>
      </c>
      <c r="BI15" s="248">
        <f t="shared" si="26"/>
        <v>163.80000000000001</v>
      </c>
      <c r="BJ15" s="248">
        <f t="shared" si="26"/>
        <v>45.499999999999815</v>
      </c>
      <c r="BK15" s="249">
        <f t="shared" si="26"/>
        <v>20.800000000000082</v>
      </c>
      <c r="BL15" s="248">
        <f t="shared" si="26"/>
        <v>-66.699999999999733</v>
      </c>
      <c r="BM15" s="248">
        <f t="shared" si="26"/>
        <v>-52.5</v>
      </c>
      <c r="BN15" s="248">
        <f t="shared" si="26"/>
        <v>110.70000000000009</v>
      </c>
      <c r="BO15" s="249">
        <f t="shared" si="26"/>
        <v>115.50000000000018</v>
      </c>
      <c r="BP15" s="248">
        <f t="shared" ref="BP15:CT15" si="27">BP9+BP14+BP12</f>
        <v>138.20000000000002</v>
      </c>
      <c r="BQ15" s="248">
        <f t="shared" si="27"/>
        <v>189.70000000000016</v>
      </c>
      <c r="BR15" s="248">
        <f t="shared" si="27"/>
        <v>149.50000000000009</v>
      </c>
      <c r="BS15" s="249">
        <f t="shared" si="27"/>
        <v>149.90000000000018</v>
      </c>
      <c r="BT15" s="248">
        <f t="shared" si="27"/>
        <v>204.99999999999963</v>
      </c>
      <c r="BU15" s="248">
        <f t="shared" si="27"/>
        <v>227.60000000000036</v>
      </c>
      <c r="BV15" s="248">
        <f t="shared" si="27"/>
        <v>177.89999999999998</v>
      </c>
      <c r="BW15" s="249">
        <f t="shared" si="27"/>
        <v>176.00000000000011</v>
      </c>
      <c r="BX15" s="440">
        <f t="shared" si="27"/>
        <v>195.30000000000021</v>
      </c>
      <c r="BY15" s="440">
        <f t="shared" si="27"/>
        <v>197.1999999999999</v>
      </c>
      <c r="BZ15" s="440">
        <f t="shared" si="27"/>
        <v>179.29999999999998</v>
      </c>
      <c r="CA15" s="441">
        <f t="shared" si="27"/>
        <v>190.80000000000018</v>
      </c>
      <c r="CB15" s="440">
        <f t="shared" si="27"/>
        <v>201.00000000000026</v>
      </c>
      <c r="CC15" s="440">
        <f t="shared" si="27"/>
        <v>223.70000000000024</v>
      </c>
      <c r="CD15" s="440">
        <f t="shared" si="27"/>
        <v>206.4999999999998</v>
      </c>
      <c r="CE15" s="441">
        <f t="shared" si="27"/>
        <v>208.20000000000053</v>
      </c>
      <c r="CF15" s="440">
        <f t="shared" si="27"/>
        <v>243.2000000000001</v>
      </c>
      <c r="CG15" s="440">
        <f t="shared" si="27"/>
        <v>274.7000000000009</v>
      </c>
      <c r="CH15" s="440">
        <f t="shared" si="27"/>
        <v>251.39999999999989</v>
      </c>
      <c r="CI15" s="441">
        <f t="shared" si="27"/>
        <v>280.29999999999984</v>
      </c>
      <c r="CJ15" s="440">
        <f t="shared" si="27"/>
        <v>293.60000000000036</v>
      </c>
      <c r="CK15" s="440">
        <f t="shared" si="27"/>
        <v>337.40000000000128</v>
      </c>
      <c r="CL15" s="440">
        <f t="shared" si="27"/>
        <v>320.30000000000052</v>
      </c>
      <c r="CM15" s="441">
        <f t="shared" si="27"/>
        <v>358.90000000000038</v>
      </c>
      <c r="CN15" s="440">
        <f t="shared" si="27"/>
        <v>386.79999999999995</v>
      </c>
      <c r="CO15" s="440">
        <f t="shared" si="27"/>
        <v>398.5000000000004</v>
      </c>
      <c r="CP15" s="440">
        <f t="shared" si="27"/>
        <v>363.89999999999975</v>
      </c>
      <c r="CQ15" s="441">
        <f t="shared" si="27"/>
        <v>385.60000000000059</v>
      </c>
      <c r="CR15" s="440">
        <f t="shared" si="27"/>
        <v>431.50000000000017</v>
      </c>
      <c r="CS15" s="440">
        <f t="shared" si="27"/>
        <v>438.90000000000038</v>
      </c>
      <c r="CT15" s="440">
        <f t="shared" si="27"/>
        <v>407.49999999999983</v>
      </c>
      <c r="CU15" s="441">
        <f t="shared" ref="CU15" si="28">CU9+CU14+CU12</f>
        <v>443.6000000000007</v>
      </c>
      <c r="CV15" s="861">
        <f>Segments!CV100</f>
        <v>468.03491776102334</v>
      </c>
      <c r="CW15" s="861">
        <f>Segments!CW100</f>
        <v>475.52167757162897</v>
      </c>
      <c r="CX15" s="861">
        <f>Segments!CX100</f>
        <v>429.47657195959152</v>
      </c>
      <c r="CY15" s="744">
        <f>Segments!CY100</f>
        <v>443.45735782824499</v>
      </c>
      <c r="DA15" s="240">
        <f t="shared" ref="DA15:DX15" si="29">DA9+DA14+DA12</f>
        <v>169.40000000000009</v>
      </c>
      <c r="DB15" s="240">
        <f t="shared" si="29"/>
        <v>244.79999999999998</v>
      </c>
      <c r="DC15" s="240">
        <f t="shared" si="29"/>
        <v>375.80000000000069</v>
      </c>
      <c r="DD15" s="240">
        <f t="shared" si="29"/>
        <v>481.10000000000059</v>
      </c>
      <c r="DE15" s="240">
        <f t="shared" si="29"/>
        <v>475.20000000000141</v>
      </c>
      <c r="DF15" s="240">
        <f t="shared" si="29"/>
        <v>708.89999999999895</v>
      </c>
      <c r="DG15" s="240">
        <f t="shared" si="29"/>
        <v>835.40000000000032</v>
      </c>
      <c r="DH15" s="240">
        <f t="shared" si="29"/>
        <v>679.90000000000066</v>
      </c>
      <c r="DI15" s="240">
        <f t="shared" si="29"/>
        <v>743.09999999999934</v>
      </c>
      <c r="DJ15" s="240">
        <f t="shared" si="29"/>
        <v>772.79999999999973</v>
      </c>
      <c r="DK15" s="240">
        <f t="shared" si="29"/>
        <v>768.3999999999985</v>
      </c>
      <c r="DL15" s="240">
        <f t="shared" si="29"/>
        <v>320.27000000000123</v>
      </c>
      <c r="DM15" s="240">
        <f t="shared" si="29"/>
        <v>394.30000000000291</v>
      </c>
      <c r="DN15" s="240">
        <f t="shared" si="29"/>
        <v>763.90000000000214</v>
      </c>
      <c r="DO15" s="240">
        <f t="shared" si="29"/>
        <v>416.59999999999991</v>
      </c>
      <c r="DP15" s="240">
        <f t="shared" si="29"/>
        <v>106.9999999999996</v>
      </c>
      <c r="DQ15" s="240">
        <f t="shared" si="29"/>
        <v>627.30000000000177</v>
      </c>
      <c r="DR15" s="240">
        <f t="shared" si="29"/>
        <v>786.49999999999966</v>
      </c>
      <c r="DS15" s="240">
        <f t="shared" si="29"/>
        <v>762.59999999999889</v>
      </c>
      <c r="DT15" s="430">
        <f t="shared" si="29"/>
        <v>839.40000000000168</v>
      </c>
      <c r="DU15" s="430">
        <f t="shared" si="29"/>
        <v>1049.6000000000026</v>
      </c>
      <c r="DV15" s="430">
        <f t="shared" si="29"/>
        <v>1310.2000000000025</v>
      </c>
      <c r="DW15" s="430">
        <f t="shared" si="29"/>
        <v>1534.8000000000006</v>
      </c>
      <c r="DX15" s="240">
        <f t="shared" si="29"/>
        <v>1721.5000000000032</v>
      </c>
      <c r="DY15" s="240">
        <f>DY9+DY14+DY12</f>
        <v>1816.4905251204877</v>
      </c>
      <c r="DZ15" s="745">
        <f>Segments!DZ100</f>
        <v>1868.1430839853529</v>
      </c>
      <c r="EA15" s="745">
        <f>Segments!EA100</f>
        <v>1837.9537529511742</v>
      </c>
      <c r="EB15" s="745">
        <f>Segments!EB100</f>
        <v>1795.5434047870326</v>
      </c>
      <c r="EC15" s="745">
        <f>Segments!EC100</f>
        <v>1729.6532828395586</v>
      </c>
      <c r="ED15" s="745">
        <f>Segments!ED100</f>
        <v>1639.9010158781668</v>
      </c>
      <c r="EE15" s="238"/>
      <c r="EF15"/>
      <c r="EG15"/>
      <c r="EH15"/>
      <c r="EI15"/>
      <c r="EJ15"/>
      <c r="EK15"/>
    </row>
    <row r="16" spans="1:141" s="265" customFormat="1">
      <c r="A16" s="258"/>
      <c r="B16" s="259" t="s">
        <v>203</v>
      </c>
      <c r="C16" s="260"/>
      <c r="D16" s="261"/>
      <c r="E16" s="260"/>
      <c r="F16" s="260"/>
      <c r="G16" s="262"/>
      <c r="H16" s="260"/>
      <c r="I16" s="260"/>
      <c r="J16" s="260"/>
      <c r="K16" s="262"/>
      <c r="L16" s="260"/>
      <c r="M16" s="260"/>
      <c r="N16" s="260"/>
      <c r="O16" s="262"/>
      <c r="P16" s="260"/>
      <c r="Q16" s="260"/>
      <c r="R16" s="260"/>
      <c r="S16" s="262"/>
      <c r="T16" s="260"/>
      <c r="U16" s="260"/>
      <c r="V16" s="260"/>
      <c r="W16" s="262"/>
      <c r="X16" s="260">
        <f t="shared" ref="X16:BC16" si="30">X15/X6</f>
        <v>4.4805001488538193E-2</v>
      </c>
      <c r="Y16" s="260">
        <f t="shared" si="30"/>
        <v>5.9005442850074162E-2</v>
      </c>
      <c r="Z16" s="260">
        <f t="shared" si="30"/>
        <v>4.9791577772671958E-2</v>
      </c>
      <c r="AA16" s="262">
        <f t="shared" si="30"/>
        <v>7.1071562707653219E-2</v>
      </c>
      <c r="AB16" s="260">
        <f t="shared" si="30"/>
        <v>5.0905363853775205E-2</v>
      </c>
      <c r="AC16" s="260">
        <f t="shared" si="30"/>
        <v>6.5268251183070128E-2</v>
      </c>
      <c r="AD16" s="260">
        <f t="shared" si="30"/>
        <v>5.0189243344677247E-2</v>
      </c>
      <c r="AE16" s="262">
        <f t="shared" si="30"/>
        <v>7.0905954434596324E-2</v>
      </c>
      <c r="AF16" s="260">
        <f t="shared" si="30"/>
        <v>3.9616394565589706E-2</v>
      </c>
      <c r="AG16" s="260">
        <f t="shared" si="30"/>
        <v>5.1476699728486779E-2</v>
      </c>
      <c r="AH16" s="260">
        <f t="shared" si="30"/>
        <v>4.4259181768435872E-2</v>
      </c>
      <c r="AI16" s="262">
        <f t="shared" si="30"/>
        <v>6.3964757709251044E-2</v>
      </c>
      <c r="AJ16" s="260">
        <f t="shared" si="30"/>
        <v>3.9891359701239158E-2</v>
      </c>
      <c r="AK16" s="260">
        <f t="shared" si="30"/>
        <v>5.1790517377775361E-2</v>
      </c>
      <c r="AL16" s="260">
        <f t="shared" si="30"/>
        <v>4.7611913465572052E-2</v>
      </c>
      <c r="AM16" s="262">
        <f t="shared" si="30"/>
        <v>6.5631315817466201E-2</v>
      </c>
      <c r="AN16" s="260">
        <f t="shared" si="30"/>
        <v>4.1526662733731741E-2</v>
      </c>
      <c r="AO16" s="260">
        <f t="shared" si="30"/>
        <v>5.1619038330244761E-2</v>
      </c>
      <c r="AP16" s="260">
        <f t="shared" si="30"/>
        <v>4.6713446942574774E-2</v>
      </c>
      <c r="AQ16" s="262">
        <f t="shared" si="30"/>
        <v>5.5483749676873563E-2</v>
      </c>
      <c r="AR16" s="260">
        <f t="shared" si="30"/>
        <v>3.9892255292624954E-2</v>
      </c>
      <c r="AS16" s="260">
        <f t="shared" si="30"/>
        <v>4.9696545284780562E-2</v>
      </c>
      <c r="AT16" s="260">
        <f t="shared" si="30"/>
        <v>4.0817897275386185E-2</v>
      </c>
      <c r="AU16" s="262">
        <f t="shared" si="30"/>
        <v>5.0675439210471185E-2</v>
      </c>
      <c r="AV16" s="260">
        <f t="shared" si="30"/>
        <v>1.1385907606159613E-2</v>
      </c>
      <c r="AW16" s="260">
        <f t="shared" si="30"/>
        <v>1.9686375670355073E-2</v>
      </c>
      <c r="AX16" s="260">
        <f t="shared" si="30"/>
        <v>1.0201675613304546E-2</v>
      </c>
      <c r="AY16" s="262">
        <f t="shared" si="30"/>
        <v>3.2657325187927362E-2</v>
      </c>
      <c r="AZ16" s="260">
        <f t="shared" si="30"/>
        <v>1.6928502725232521E-2</v>
      </c>
      <c r="BA16" s="260">
        <f t="shared" si="30"/>
        <v>2.8959294831815651E-2</v>
      </c>
      <c r="BB16" s="260">
        <f t="shared" si="30"/>
        <v>1.1352188121974506E-2</v>
      </c>
      <c r="BC16" s="262">
        <f t="shared" si="30"/>
        <v>3.0276836818128743E-2</v>
      </c>
      <c r="BD16" s="260">
        <f t="shared" ref="BD16:CI16" si="31">BD15/BD6</f>
        <v>4.1170195864823886E-2</v>
      </c>
      <c r="BE16" s="260">
        <f t="shared" si="31"/>
        <v>5.6193295309604596E-2</v>
      </c>
      <c r="BF16" s="260">
        <f t="shared" si="31"/>
        <v>4.7669669333631717E-2</v>
      </c>
      <c r="BG16" s="262">
        <f t="shared" si="31"/>
        <v>4.6281420057009567E-2</v>
      </c>
      <c r="BH16" s="260">
        <f t="shared" si="31"/>
        <v>4.8346121941103298E-2</v>
      </c>
      <c r="BI16" s="260">
        <f t="shared" si="31"/>
        <v>4.1166122141241518E-2</v>
      </c>
      <c r="BJ16" s="260">
        <f t="shared" si="31"/>
        <v>1.4520504228498425E-2</v>
      </c>
      <c r="BK16" s="262">
        <f t="shared" si="31"/>
        <v>7.9987694200892492E-3</v>
      </c>
      <c r="BL16" s="260">
        <f t="shared" si="31"/>
        <v>-3.0761426001936876E-2</v>
      </c>
      <c r="BM16" s="260">
        <f t="shared" si="31"/>
        <v>-2.3016220955721176E-2</v>
      </c>
      <c r="BN16" s="260">
        <f t="shared" si="31"/>
        <v>4.3447545037089398E-2</v>
      </c>
      <c r="BO16" s="262">
        <f t="shared" si="31"/>
        <v>4.211639439906658E-2</v>
      </c>
      <c r="BP16" s="260">
        <f t="shared" si="31"/>
        <v>4.703079802620385E-2</v>
      </c>
      <c r="BQ16" s="260">
        <f t="shared" si="31"/>
        <v>6.2415687822853998E-2</v>
      </c>
      <c r="BR16" s="260">
        <f t="shared" si="31"/>
        <v>5.3008545190228018E-2</v>
      </c>
      <c r="BS16" s="262">
        <f t="shared" si="31"/>
        <v>4.7489307777601832E-2</v>
      </c>
      <c r="BT16" s="260">
        <f t="shared" si="31"/>
        <v>5.8376284990175595E-2</v>
      </c>
      <c r="BU16" s="260">
        <f t="shared" si="31"/>
        <v>6.1910072627370007E-2</v>
      </c>
      <c r="BV16" s="260">
        <f t="shared" si="31"/>
        <v>5.1416184971098261E-2</v>
      </c>
      <c r="BW16" s="262">
        <f t="shared" si="31"/>
        <v>5.0163887701296886E-2</v>
      </c>
      <c r="BX16" s="435">
        <f t="shared" si="31"/>
        <v>5.3594950603732219E-2</v>
      </c>
      <c r="BY16" s="435">
        <f t="shared" si="31"/>
        <v>5.3806275579808979E-2</v>
      </c>
      <c r="BZ16" s="435">
        <f t="shared" si="31"/>
        <v>5.0669756400836485E-2</v>
      </c>
      <c r="CA16" s="436">
        <f t="shared" si="31"/>
        <v>5.1298596547830345E-2</v>
      </c>
      <c r="CB16" s="435">
        <f t="shared" si="31"/>
        <v>5.0923462795470158E-2</v>
      </c>
      <c r="CC16" s="435">
        <f t="shared" si="31"/>
        <v>5.4387201867204839E-2</v>
      </c>
      <c r="CD16" s="435">
        <f t="shared" si="31"/>
        <v>5.2709497919697736E-2</v>
      </c>
      <c r="CE16" s="436">
        <f t="shared" si="31"/>
        <v>4.8918023542680038E-2</v>
      </c>
      <c r="CF16" s="435">
        <f t="shared" si="31"/>
        <v>5.5782375338318292E-2</v>
      </c>
      <c r="CG16" s="435">
        <f t="shared" si="31"/>
        <v>5.9911452312926848E-2</v>
      </c>
      <c r="CH16" s="435">
        <f t="shared" si="31"/>
        <v>5.9394712594797623E-2</v>
      </c>
      <c r="CI16" s="436">
        <f t="shared" si="31"/>
        <v>6.1608457700507692E-2</v>
      </c>
      <c r="CJ16" s="435">
        <f t="shared" ref="CJ16:CT16" si="32">CJ15/CJ6</f>
        <v>6.4935639403724599E-2</v>
      </c>
      <c r="CK16" s="435">
        <f t="shared" si="32"/>
        <v>7.2792388513732445E-2</v>
      </c>
      <c r="CL16" s="435">
        <f t="shared" si="32"/>
        <v>7.3967161628524694E-2</v>
      </c>
      <c r="CM16" s="436">
        <f t="shared" si="32"/>
        <v>7.5964102781187898E-2</v>
      </c>
      <c r="CN16" s="435">
        <f t="shared" si="32"/>
        <v>8.2952668939930085E-2</v>
      </c>
      <c r="CO16" s="435">
        <f t="shared" si="32"/>
        <v>8.434219437859812E-2</v>
      </c>
      <c r="CP16" s="435">
        <f t="shared" si="32"/>
        <v>8.0395015906680758E-2</v>
      </c>
      <c r="CQ16" s="436">
        <f t="shared" si="32"/>
        <v>8.3040809734036949E-2</v>
      </c>
      <c r="CR16" s="435">
        <f t="shared" si="32"/>
        <v>8.6325897769330834E-2</v>
      </c>
      <c r="CS16" s="435">
        <f t="shared" si="32"/>
        <v>8.566911305434112E-2</v>
      </c>
      <c r="CT16" s="435">
        <f t="shared" si="32"/>
        <v>8.1802669878550602E-2</v>
      </c>
      <c r="CU16" s="436">
        <f t="shared" ref="CU16" si="33">CU15/CU6</f>
        <v>8.270256161676437E-2</v>
      </c>
      <c r="CV16" s="263">
        <f t="shared" ref="CV16:CY16" si="34">CV15/CV6</f>
        <v>8.5506441187655741E-2</v>
      </c>
      <c r="CW16" s="263">
        <f t="shared" si="34"/>
        <v>8.4460975938971755E-2</v>
      </c>
      <c r="CX16" s="263">
        <f t="shared" si="34"/>
        <v>8.0417516985670859E-2</v>
      </c>
      <c r="CY16" s="264">
        <f t="shared" si="34"/>
        <v>8.0404287820486059E-2</v>
      </c>
      <c r="DA16" s="263">
        <f t="shared" ref="DA16:EA16" si="35">DA15/DA6</f>
        <v>5.3822202452818227E-2</v>
      </c>
      <c r="DB16" s="263">
        <f t="shared" si="35"/>
        <v>5.192601391481419E-2</v>
      </c>
      <c r="DC16" s="263">
        <f t="shared" si="35"/>
        <v>6.0136659678993884E-2</v>
      </c>
      <c r="DD16" s="263">
        <f t="shared" si="35"/>
        <v>6.5519072845878407E-2</v>
      </c>
      <c r="DE16" s="263">
        <f t="shared" si="35"/>
        <v>5.2453804887741054E-2</v>
      </c>
      <c r="DF16" s="263">
        <f t="shared" si="35"/>
        <v>5.7036882080329476E-2</v>
      </c>
      <c r="DG16" s="263">
        <f t="shared" si="35"/>
        <v>5.9362742311409269E-2</v>
      </c>
      <c r="DH16" s="263">
        <f t="shared" si="35"/>
        <v>4.9902016191182237E-2</v>
      </c>
      <c r="DI16" s="263">
        <f t="shared" si="35"/>
        <v>5.1516159893515205E-2</v>
      </c>
      <c r="DJ16" s="263">
        <f t="shared" si="35"/>
        <v>4.9076949456076491E-2</v>
      </c>
      <c r="DK16" s="263">
        <f t="shared" si="35"/>
        <v>4.5306603773584815E-2</v>
      </c>
      <c r="DL16" s="263">
        <f t="shared" si="35"/>
        <v>1.8734498572698842E-2</v>
      </c>
      <c r="DM16" s="263">
        <f t="shared" si="35"/>
        <v>2.2103380813839581E-2</v>
      </c>
      <c r="DN16" s="263">
        <f t="shared" si="35"/>
        <v>4.7758674585808195E-2</v>
      </c>
      <c r="DO16" s="263">
        <f t="shared" si="35"/>
        <v>3.069894255922773E-2</v>
      </c>
      <c r="DP16" s="263">
        <f t="shared" si="35"/>
        <v>1.0986077456979711E-2</v>
      </c>
      <c r="DQ16" s="263">
        <f t="shared" si="35"/>
        <v>5.2473524835628275E-2</v>
      </c>
      <c r="DR16" s="263">
        <f t="shared" si="35"/>
        <v>5.5557517748030916E-2</v>
      </c>
      <c r="DS16" s="263">
        <f t="shared" si="35"/>
        <v>5.2351204777922627E-2</v>
      </c>
      <c r="DT16" s="432">
        <f t="shared" si="35"/>
        <v>5.1706295429345912E-2</v>
      </c>
      <c r="DU16" s="432">
        <f t="shared" si="35"/>
        <v>5.9208114038799053E-2</v>
      </c>
      <c r="DV16" s="432">
        <f t="shared" si="35"/>
        <v>7.1943947197909142E-2</v>
      </c>
      <c r="DW16" s="432">
        <f t="shared" si="35"/>
        <v>8.2704660085355902E-2</v>
      </c>
      <c r="DX16" s="263">
        <f t="shared" si="35"/>
        <v>8.4111007964039836E-2</v>
      </c>
      <c r="DY16" s="263">
        <f>DY15/DY6</f>
        <v>8.2719333212301266E-2</v>
      </c>
      <c r="DZ16" s="263">
        <f t="shared" si="35"/>
        <v>8.0117963901264785E-2</v>
      </c>
      <c r="EA16" s="263">
        <f t="shared" si="35"/>
        <v>7.5040211490722444E-2</v>
      </c>
      <c r="EB16" s="263">
        <f t="shared" ref="EB16:ED16" si="36">EB15/EB6</f>
        <v>7.0060201187766208E-2</v>
      </c>
      <c r="EC16" s="263">
        <f t="shared" si="36"/>
        <v>6.5179274137825066E-2</v>
      </c>
      <c r="ED16" s="263">
        <f t="shared" si="36"/>
        <v>6.0401264560515984E-2</v>
      </c>
      <c r="EE16" s="260"/>
      <c r="EF16"/>
      <c r="EG16"/>
      <c r="EH16"/>
      <c r="EI16"/>
      <c r="EJ16"/>
      <c r="EK16"/>
    </row>
    <row r="17" spans="1:141">
      <c r="A17" s="133"/>
      <c r="B17" s="117"/>
      <c r="C17" s="117"/>
      <c r="D17" s="140"/>
      <c r="E17" s="111"/>
      <c r="F17" s="111"/>
      <c r="G17" s="141"/>
      <c r="H17" s="111"/>
      <c r="I17" s="111"/>
      <c r="J17" s="111"/>
      <c r="K17" s="141"/>
      <c r="L17" s="111"/>
      <c r="M17" s="111"/>
      <c r="N17" s="111"/>
      <c r="O17" s="141"/>
      <c r="P17" s="111"/>
      <c r="Q17" s="111"/>
      <c r="R17" s="111"/>
      <c r="S17" s="141"/>
      <c r="T17" s="111"/>
      <c r="U17" s="111"/>
      <c r="V17" s="111"/>
      <c r="W17" s="141"/>
      <c r="X17" s="111"/>
      <c r="Y17" s="111"/>
      <c r="Z17" s="111"/>
      <c r="AA17" s="141"/>
      <c r="AB17" s="111"/>
      <c r="AC17" s="111"/>
      <c r="AD17" s="111"/>
      <c r="AE17" s="141"/>
      <c r="AF17" s="111"/>
      <c r="AG17" s="111"/>
      <c r="AH17" s="111"/>
      <c r="AI17" s="141"/>
      <c r="AJ17" s="111"/>
      <c r="AK17" s="111"/>
      <c r="AL17" s="111"/>
      <c r="AM17" s="141"/>
      <c r="AN17" s="111"/>
      <c r="AO17" s="111"/>
      <c r="AP17" s="111"/>
      <c r="AQ17" s="141"/>
      <c r="AR17" s="111"/>
      <c r="AS17" s="111"/>
      <c r="AT17" s="111"/>
      <c r="AU17" s="141"/>
      <c r="AV17" s="111"/>
      <c r="AW17" s="111"/>
      <c r="AX17" s="111"/>
      <c r="AY17" s="141"/>
      <c r="AZ17" s="111"/>
      <c r="BA17" s="111"/>
      <c r="BB17" s="111"/>
      <c r="BC17" s="141"/>
      <c r="BD17" s="111"/>
      <c r="BE17" s="111"/>
      <c r="BF17" s="111"/>
      <c r="BG17" s="141"/>
      <c r="BH17" s="111"/>
      <c r="BI17" s="111"/>
      <c r="BJ17" s="111"/>
      <c r="BK17" s="141"/>
      <c r="BL17" s="111"/>
      <c r="BM17" s="111"/>
      <c r="BN17" s="111"/>
      <c r="BO17" s="141"/>
      <c r="BP17" s="111"/>
      <c r="BQ17" s="111"/>
      <c r="BR17" s="111"/>
      <c r="BS17" s="141"/>
      <c r="BT17" s="111"/>
      <c r="BU17" s="111"/>
      <c r="BV17" s="111"/>
      <c r="BW17" s="141"/>
      <c r="BX17" s="136"/>
      <c r="BY17" s="136"/>
      <c r="BZ17" s="136"/>
      <c r="CA17" s="437"/>
      <c r="CB17" s="136"/>
      <c r="CC17" s="136"/>
      <c r="CD17" s="136"/>
      <c r="CE17" s="437"/>
      <c r="CF17" s="136"/>
      <c r="CG17" s="136"/>
      <c r="CH17" s="136"/>
      <c r="CI17" s="437"/>
      <c r="CJ17" s="136"/>
      <c r="CK17" s="136"/>
      <c r="CL17" s="136"/>
      <c r="CM17" s="437"/>
      <c r="CN17" s="136"/>
      <c r="CO17" s="136"/>
      <c r="CP17" s="136"/>
      <c r="CQ17" s="437"/>
      <c r="CR17" s="136"/>
      <c r="CS17" s="136"/>
      <c r="CT17" s="136"/>
      <c r="CU17" s="437"/>
      <c r="CV17" s="118"/>
      <c r="CW17" s="118"/>
      <c r="CX17" s="118"/>
      <c r="CY17" s="143"/>
      <c r="DA17" s="118"/>
      <c r="DB17" s="118"/>
      <c r="DC17" s="118"/>
      <c r="DD17" s="118"/>
      <c r="DE17" s="118"/>
      <c r="DF17" s="118"/>
      <c r="DG17" s="118"/>
      <c r="DH17" s="118"/>
      <c r="DI17" s="118"/>
      <c r="DJ17" s="118"/>
      <c r="DK17" s="118"/>
      <c r="DL17" s="118"/>
      <c r="DM17" s="118"/>
      <c r="DN17" s="118"/>
      <c r="DO17" s="118"/>
      <c r="DP17" s="118"/>
      <c r="DQ17" s="118"/>
      <c r="DR17" s="118"/>
      <c r="DS17" s="118"/>
      <c r="DT17" s="544"/>
      <c r="DU17" s="544"/>
      <c r="DV17" s="544"/>
      <c r="DW17" s="544"/>
      <c r="DX17" s="111"/>
      <c r="DY17" s="111"/>
      <c r="DZ17" s="111"/>
      <c r="EA17" s="111"/>
      <c r="EB17" s="111"/>
      <c r="EC17" s="111"/>
      <c r="ED17" s="111"/>
      <c r="EE17" s="111"/>
    </row>
    <row r="18" spans="1:141" s="138" customFormat="1">
      <c r="A18" s="193"/>
      <c r="B18" s="138" t="s">
        <v>149</v>
      </c>
      <c r="D18" s="217">
        <v>-13.9</v>
      </c>
      <c r="E18" s="218">
        <v>-11.1</v>
      </c>
      <c r="F18" s="218">
        <v>-10.199999999999999</v>
      </c>
      <c r="G18" s="219">
        <v>-11.5</v>
      </c>
      <c r="H18" s="218">
        <v>-14.2</v>
      </c>
      <c r="I18" s="218">
        <v>-14.3</v>
      </c>
      <c r="J18" s="218">
        <v>-21.6</v>
      </c>
      <c r="K18" s="219">
        <v>-25.5</v>
      </c>
      <c r="L18" s="218">
        <v>-24.4</v>
      </c>
      <c r="M18" s="218">
        <v>-23.1</v>
      </c>
      <c r="N18" s="218">
        <v>-28.4</v>
      </c>
      <c r="O18" s="219">
        <v>-26.9</v>
      </c>
      <c r="P18" s="218">
        <v>-27.2</v>
      </c>
      <c r="Q18" s="218">
        <v>-26.7</v>
      </c>
      <c r="R18" s="218">
        <v>-22.7</v>
      </c>
      <c r="S18" s="219">
        <v>-24.4</v>
      </c>
      <c r="T18" s="218">
        <v>-24.7</v>
      </c>
      <c r="U18" s="218">
        <v>-25.5</v>
      </c>
      <c r="V18" s="218">
        <v>-29</v>
      </c>
      <c r="W18" s="219">
        <v>-31.3</v>
      </c>
      <c r="X18" s="218">
        <v>-30.1</v>
      </c>
      <c r="Y18" s="218">
        <v>-60.2</v>
      </c>
      <c r="Z18" s="218">
        <v>-71.3</v>
      </c>
      <c r="AA18" s="219">
        <v>-73.5</v>
      </c>
      <c r="AB18" s="218">
        <v>-78.8</v>
      </c>
      <c r="AC18" s="218">
        <v>-80.7</v>
      </c>
      <c r="AD18" s="218">
        <v>-80</v>
      </c>
      <c r="AE18" s="219">
        <v>-76.7</v>
      </c>
      <c r="AF18" s="218">
        <v>-73.5</v>
      </c>
      <c r="AG18" s="218">
        <v>-69.400000000000006</v>
      </c>
      <c r="AH18" s="218">
        <v>-63.8</v>
      </c>
      <c r="AI18" s="219">
        <v>-61.3</v>
      </c>
      <c r="AJ18" s="218">
        <v>-57</v>
      </c>
      <c r="AK18" s="218">
        <v>-53.4</v>
      </c>
      <c r="AL18" s="218">
        <v>-53</v>
      </c>
      <c r="AM18" s="219">
        <v>-50.6</v>
      </c>
      <c r="AN18" s="218">
        <v>-53.1</v>
      </c>
      <c r="AO18" s="218">
        <v>-49.1</v>
      </c>
      <c r="AP18" s="218">
        <v>-44.5</v>
      </c>
      <c r="AQ18" s="219">
        <v>-42.5</v>
      </c>
      <c r="AR18" s="218">
        <v>-39.1</v>
      </c>
      <c r="AS18" s="218">
        <v>-39.200000000000003</v>
      </c>
      <c r="AT18" s="218">
        <v>-43.3</v>
      </c>
      <c r="AU18" s="219">
        <v>-43.9</v>
      </c>
      <c r="AV18" s="218">
        <v>-44.8</v>
      </c>
      <c r="AW18" s="218">
        <v>-43.2</v>
      </c>
      <c r="AX18" s="218">
        <v>-45.1</v>
      </c>
      <c r="AY18" s="219">
        <v>-45.1</v>
      </c>
      <c r="AZ18" s="218">
        <v>-47.7</v>
      </c>
      <c r="BA18" s="218">
        <v>-53.2</v>
      </c>
      <c r="BB18" s="218">
        <v>-56.6</v>
      </c>
      <c r="BC18" s="219">
        <v>-52.3</v>
      </c>
      <c r="BD18" s="218">
        <v>-51.5</v>
      </c>
      <c r="BE18" s="218">
        <v>-51.3</v>
      </c>
      <c r="BF18" s="218">
        <v>-47.5</v>
      </c>
      <c r="BG18" s="219">
        <v>-48.9</v>
      </c>
      <c r="BH18" s="218">
        <v>-47.4</v>
      </c>
      <c r="BI18" s="218">
        <v>-45.6</v>
      </c>
      <c r="BJ18" s="218">
        <v>-46.5</v>
      </c>
      <c r="BK18" s="219">
        <v>-50.8</v>
      </c>
      <c r="BL18" s="218">
        <v>-56.4</v>
      </c>
      <c r="BM18" s="218">
        <v>-62.3</v>
      </c>
      <c r="BN18" s="218">
        <v>-21.5</v>
      </c>
      <c r="BO18" s="219">
        <v>-22.3</v>
      </c>
      <c r="BP18" s="218">
        <v>-19</v>
      </c>
      <c r="BQ18" s="218">
        <v>-13.3</v>
      </c>
      <c r="BR18" s="218">
        <v>-11.9</v>
      </c>
      <c r="BS18" s="219">
        <v>-11.2</v>
      </c>
      <c r="BT18" s="218">
        <v>-3.3</v>
      </c>
      <c r="BU18" s="218">
        <v>-10.7</v>
      </c>
      <c r="BV18" s="218">
        <v>-10.9</v>
      </c>
      <c r="BW18" s="219">
        <v>-14.8</v>
      </c>
      <c r="BX18" s="356">
        <v>-12.5</v>
      </c>
      <c r="BY18" s="356">
        <v>-14</v>
      </c>
      <c r="BZ18" s="356">
        <v>-13.7</v>
      </c>
      <c r="CA18" s="431">
        <v>-9.6999999999999993</v>
      </c>
      <c r="CB18" s="356">
        <f>-16.7</f>
        <v>-16.7</v>
      </c>
      <c r="CC18" s="356">
        <v>-17.399999999999999</v>
      </c>
      <c r="CD18" s="356">
        <v>-17.5</v>
      </c>
      <c r="CE18" s="431">
        <v>-16.8</v>
      </c>
      <c r="CF18" s="356">
        <v>-16.8</v>
      </c>
      <c r="CG18" s="356">
        <v>-14.6</v>
      </c>
      <c r="CH18" s="356">
        <v>-15.7</v>
      </c>
      <c r="CI18" s="431">
        <v>-20.399999999999999</v>
      </c>
      <c r="CJ18" s="356">
        <v>-24.4</v>
      </c>
      <c r="CK18" s="356">
        <v>-20.5</v>
      </c>
      <c r="CL18" s="356">
        <v>-21.4</v>
      </c>
      <c r="CM18" s="431">
        <v>-20.399999999999999</v>
      </c>
      <c r="CN18" s="356">
        <v>-21.1</v>
      </c>
      <c r="CO18" s="356">
        <v>-20.3</v>
      </c>
      <c r="CP18" s="356">
        <v>-20.6</v>
      </c>
      <c r="CQ18" s="431">
        <v>-20.5</v>
      </c>
      <c r="CR18" s="356">
        <v>-20.8</v>
      </c>
      <c r="CS18" s="356">
        <v>-21.4</v>
      </c>
      <c r="CT18" s="356">
        <v>-21.7</v>
      </c>
      <c r="CU18" s="431">
        <v>-21.8</v>
      </c>
      <c r="CV18" s="197">
        <f>-CV19*CU107/4</f>
        <v>-20.095124999999999</v>
      </c>
      <c r="CW18" s="197">
        <f>-CW19*CV107/4</f>
        <v>-20.095124999999999</v>
      </c>
      <c r="CX18" s="197">
        <f>-CX19*CW107/4</f>
        <v>-20.095124999999999</v>
      </c>
      <c r="CY18" s="198">
        <f>-CY19*CX107/4</f>
        <v>-20.095124999999999</v>
      </c>
      <c r="DA18" s="212">
        <v>-46.7</v>
      </c>
      <c r="DB18" s="212">
        <v>-75.599999999999994</v>
      </c>
      <c r="DC18" s="212">
        <v>-102.8</v>
      </c>
      <c r="DD18" s="212">
        <v>-101</v>
      </c>
      <c r="DE18" s="212">
        <f>SUM(T18:W18)</f>
        <v>-110.5</v>
      </c>
      <c r="DF18" s="212">
        <f>SUM(X18:AA18)</f>
        <v>-235.10000000000002</v>
      </c>
      <c r="DG18" s="212">
        <f>SUM(AB18:AE18)</f>
        <v>-316.2</v>
      </c>
      <c r="DH18" s="212">
        <f>SUM(AF18:AI18)</f>
        <v>-268</v>
      </c>
      <c r="DI18" s="212">
        <f>SUM(AJ18:AM18)</f>
        <v>-214</v>
      </c>
      <c r="DJ18" s="212">
        <f>SUM(AN18:AQ18)</f>
        <v>-189.2</v>
      </c>
      <c r="DK18" s="212">
        <f>SUM(AR18:AU18)</f>
        <v>-165.5</v>
      </c>
      <c r="DL18" s="212">
        <f>SUM(AV18:AY18)</f>
        <v>-178.2</v>
      </c>
      <c r="DM18" s="212">
        <f>SUM(AZ18:BC18)</f>
        <v>-209.8</v>
      </c>
      <c r="DN18" s="212">
        <f>SUM(BD18:BG18)</f>
        <v>-199.20000000000002</v>
      </c>
      <c r="DO18" s="212">
        <f>SUM(BH18:BK18)</f>
        <v>-190.3</v>
      </c>
      <c r="DP18" s="212">
        <f>SUM(BL18:BO18)</f>
        <v>-162.5</v>
      </c>
      <c r="DQ18" s="212">
        <f>SUM(BP18:BS18)</f>
        <v>-55.399999999999991</v>
      </c>
      <c r="DR18" s="212">
        <f>SUM(BT18:BW18)</f>
        <v>-39.700000000000003</v>
      </c>
      <c r="DS18" s="212">
        <f>SUM(BX18:CA18)</f>
        <v>-49.900000000000006</v>
      </c>
      <c r="DT18" s="354">
        <f>SUM(CB18:CE18)</f>
        <v>-68.399999999999991</v>
      </c>
      <c r="DU18" s="354">
        <f>SUM(CF18:CI18)</f>
        <v>-67.5</v>
      </c>
      <c r="DV18" s="354">
        <f>SUM(CJ18:CM18)</f>
        <v>-86.699999999999989</v>
      </c>
      <c r="DW18" s="354">
        <f>SUM(CN18:CQ18)</f>
        <v>-82.5</v>
      </c>
      <c r="DX18" s="212">
        <f>SUM(CR18:CU18)</f>
        <v>-85.7</v>
      </c>
      <c r="DY18" s="212">
        <f>SUM(CV18:CY18)</f>
        <v>-80.380499999999998</v>
      </c>
      <c r="DZ18" s="212">
        <f>-DZ19*DY107</f>
        <v>-80.380499999999998</v>
      </c>
      <c r="EA18" s="212">
        <f>-EA19*DZ107</f>
        <v>-80.380499999999998</v>
      </c>
      <c r="EB18" s="212">
        <f>-EB19*EA107</f>
        <v>-80.380499999999998</v>
      </c>
      <c r="EC18" s="212">
        <f>-EC19*EB107</f>
        <v>-80.380499999999998</v>
      </c>
      <c r="ED18" s="212">
        <f>-ED19*EC107</f>
        <v>-80.380499999999998</v>
      </c>
      <c r="EE18" s="199"/>
      <c r="EF18"/>
      <c r="EG18"/>
      <c r="EH18"/>
      <c r="EI18"/>
      <c r="EJ18"/>
      <c r="EK18"/>
    </row>
    <row r="19" spans="1:141" s="265" customFormat="1">
      <c r="A19" s="258"/>
      <c r="B19" s="259" t="s">
        <v>253</v>
      </c>
      <c r="C19" s="260"/>
      <c r="D19" s="266"/>
      <c r="E19" s="263">
        <f>-E18*4/D107</f>
        <v>8.3279095634037154E-2</v>
      </c>
      <c r="F19" s="263">
        <f>-F18*4/E107</f>
        <v>8.913610077622687E-2</v>
      </c>
      <c r="G19" s="264">
        <f>-G18*4/F107</f>
        <v>0.10944563407090173</v>
      </c>
      <c r="H19" s="263">
        <f>-H18*4/DA107</f>
        <v>0.10671977603877986</v>
      </c>
      <c r="I19" s="263">
        <f>-I18*4/H107</f>
        <v>0.10489638730973777</v>
      </c>
      <c r="J19" s="263">
        <f>-J18*4/I107</f>
        <v>0.17962577962577964</v>
      </c>
      <c r="K19" s="264">
        <f>-K18*4/J107</f>
        <v>8.3613410935322582E-2</v>
      </c>
      <c r="L19" s="263">
        <f>-L18*4/DB107</f>
        <v>9.1660405709992468E-2</v>
      </c>
      <c r="M19" s="263">
        <f>-M18*4/L107</f>
        <v>0.1694480102695764</v>
      </c>
      <c r="N19" s="263">
        <f>-N18*4/M107</f>
        <v>8.0175029995059641E-2</v>
      </c>
      <c r="O19" s="264">
        <f>-O18*4/N107</f>
        <v>8.5737051792828686E-2</v>
      </c>
      <c r="P19" s="263">
        <f>-P18*4/DC107</f>
        <v>0.10136016396497113</v>
      </c>
      <c r="Q19" s="263">
        <f>-Q18*4/P107</f>
        <v>0.10452143276570756</v>
      </c>
      <c r="R19" s="263">
        <f>-R18*4/Q107</f>
        <v>8.8301079451521935E-2</v>
      </c>
      <c r="S19" s="264">
        <f>-S18*4/R107</f>
        <v>7.7707006369426748E-2</v>
      </c>
      <c r="T19" s="263">
        <f>-T18*4/DD107</f>
        <v>8.9000990901720575E-2</v>
      </c>
      <c r="U19" s="263">
        <f>-U18*4/T107</f>
        <v>8.1881672954965082E-2</v>
      </c>
      <c r="V19" s="263">
        <f>-V18*4/U107</f>
        <v>8.6373790022338054E-2</v>
      </c>
      <c r="W19" s="264">
        <f>-W18*4/V107</f>
        <v>8.2206172028890356E-2</v>
      </c>
      <c r="X19" s="263">
        <f>-X18*4/DE107</f>
        <v>7.7051068731601169E-2</v>
      </c>
      <c r="Y19" s="263">
        <f>-Y18*4/X107</f>
        <v>0.15983008097703441</v>
      </c>
      <c r="Z19" s="263">
        <f>-Z18*4/Y107</f>
        <v>8.510384339937932E-2</v>
      </c>
      <c r="AA19" s="264">
        <f>-AA18*4/Z107</f>
        <v>7.5745864894110379E-2</v>
      </c>
      <c r="AB19" s="263">
        <f>-AB18*4/DF107</f>
        <v>9.005714285714285E-2</v>
      </c>
      <c r="AC19" s="263">
        <f>-AC18*4/AB107</f>
        <v>9.1080951440422109E-2</v>
      </c>
      <c r="AD19" s="263">
        <f>-AD18*4/AC107</f>
        <v>9.6922704143445601E-2</v>
      </c>
      <c r="AE19" s="264">
        <f>-AE18*4/AD107</f>
        <v>9.2431911303928666E-2</v>
      </c>
      <c r="AF19" s="263">
        <f>-AF18*4/DG107</f>
        <v>9.5451446381610988E-2</v>
      </c>
      <c r="AG19" s="263">
        <f>-AG18*4/AF107</f>
        <v>0.10133605899101995</v>
      </c>
      <c r="AH19" s="263">
        <f>-AH18*4/AG107</f>
        <v>9.9183832102603939E-2</v>
      </c>
      <c r="AI19" s="264">
        <f>-AI18*4/AH107</f>
        <v>9.5901126408010004E-2</v>
      </c>
      <c r="AJ19" s="263">
        <f>-AJ18*4/DH107</f>
        <v>9.1691466259149049E-2</v>
      </c>
      <c r="AK19" s="263">
        <f>-AK18*4/AJ107</f>
        <v>9.3080006972285176E-2</v>
      </c>
      <c r="AL19" s="263">
        <f>-AL18*4/AK107</f>
        <v>9.4613290489579158E-2</v>
      </c>
      <c r="AM19" s="264">
        <f>-AM18*4/AL107</f>
        <v>9.0909090909090912E-2</v>
      </c>
      <c r="AN19" s="263">
        <f>-AN18*4/DI107</f>
        <v>9.7700091996320126E-2</v>
      </c>
      <c r="AO19" s="263">
        <f>-AO18*4/AN107</f>
        <v>9.1399851079672384E-2</v>
      </c>
      <c r="AP19" s="263">
        <f>-AP18*4/AO107</f>
        <v>8.5029139199388551E-2</v>
      </c>
      <c r="AQ19" s="264">
        <f>-AQ18*4/AP107</f>
        <v>8.2608484377277802E-2</v>
      </c>
      <c r="AR19" s="263">
        <f>-AR18*4/DJ107</f>
        <v>7.5253813212721954E-2</v>
      </c>
      <c r="AS19" s="263">
        <f>-AS18*4/AR107</f>
        <v>7.6020556579074944E-2</v>
      </c>
      <c r="AT19" s="263">
        <f>-AT18*4/AS107</f>
        <v>8.4512540255684582E-2</v>
      </c>
      <c r="AU19" s="264">
        <f>-AU18*4/AT107</f>
        <v>7.0499437931588249E-2</v>
      </c>
      <c r="AV19" s="263">
        <f>-AV18*4/DK107</f>
        <v>7.0687546842333623E-2</v>
      </c>
      <c r="AW19" s="263">
        <f>-AW18*4/AV107</f>
        <v>6.8503468780971258E-2</v>
      </c>
      <c r="AX19" s="263">
        <f>-AX18*4/AW107</f>
        <v>9.529846804014791E-2</v>
      </c>
      <c r="AY19" s="264">
        <f>-AY18*4/AX107</f>
        <v>7.703475958664277E-2</v>
      </c>
      <c r="AZ19" s="263">
        <f>-AZ18*4/DL107</f>
        <v>6.7535041766954559E-2</v>
      </c>
      <c r="BA19" s="263">
        <f>-BA18*4/AZ107</f>
        <v>9.4026157652880873E-2</v>
      </c>
      <c r="BB19" s="263">
        <f>-BB18*4/BA107</f>
        <v>9.2726081258191345E-2</v>
      </c>
      <c r="BC19" s="264">
        <f>-BC18*4/BB107</f>
        <v>8.7685472378237914E-2</v>
      </c>
      <c r="BD19" s="263">
        <f>-BD18*4/DM107</f>
        <v>8.2419780747379365E-2</v>
      </c>
      <c r="BE19" s="263">
        <f>-BE18*4/BD107</f>
        <v>8.3087014617159963E-2</v>
      </c>
      <c r="BF19" s="263">
        <f>-BF18*4/BE107</f>
        <v>7.7154227239502951E-2</v>
      </c>
      <c r="BG19" s="264">
        <f>-BG18*4/BF107</f>
        <v>7.9273729431790563E-2</v>
      </c>
      <c r="BH19" s="263">
        <f>-BH18*4/DN107</f>
        <v>7.7242727939379127E-2</v>
      </c>
      <c r="BI19" s="263">
        <f>-BI18*4/BH107</f>
        <v>7.41885625965997E-2</v>
      </c>
      <c r="BJ19" s="263">
        <f>-BJ18*4/BI107</f>
        <v>7.7948202162434005E-2</v>
      </c>
      <c r="BK19" s="264">
        <f>-BK18*4/BJ107</f>
        <v>8.6841318005042925E-2</v>
      </c>
      <c r="BL19" s="263">
        <f>-BL18*4/DO107</f>
        <v>6.3967335828513092E-2</v>
      </c>
      <c r="BM19" s="263">
        <f>-BM18*4/BL107</f>
        <v>7.0745209368346343E-2</v>
      </c>
      <c r="BN19" s="263">
        <f>-BN18*4/BM107</f>
        <v>2.4482591738548696E-2</v>
      </c>
      <c r="BO19" s="264">
        <f>-BO18*4/BN107</f>
        <v>0.1640912435614422</v>
      </c>
      <c r="BP19" s="263">
        <f>-BP18*4/DP107</f>
        <v>7.8165175357399974E-2</v>
      </c>
      <c r="BQ19" s="263">
        <f>-BQ18*4/BP107</f>
        <v>7.1409395973154363E-2</v>
      </c>
      <c r="BR19" s="263">
        <f>-BR18*4/BQ107</f>
        <v>6.6046898848341903E-2</v>
      </c>
      <c r="BS19" s="264">
        <f>-BS18*4/BR107</f>
        <v>6.4137437365783811E-2</v>
      </c>
      <c r="BT19" s="263">
        <f>-BT18*4/DQ107</f>
        <v>1.8884120171673818E-2</v>
      </c>
      <c r="BU19" s="263">
        <f>-BU18*4/BT107</f>
        <v>6.1265387918694528E-2</v>
      </c>
      <c r="BV19" s="263">
        <f>-BV18*4/BU107</f>
        <v>6.25E-2</v>
      </c>
      <c r="BW19" s="264">
        <f>-BW18*4/BV107</f>
        <v>8.5155350978135785E-2</v>
      </c>
      <c r="BX19" s="432">
        <f>-BX18*4/DR107</f>
        <v>7.1901064135749218E-2</v>
      </c>
      <c r="BY19" s="432">
        <f>-BY18*4/BX107</f>
        <v>8.0517613227893609E-2</v>
      </c>
      <c r="BZ19" s="432">
        <f>-BZ18*4/BY107</f>
        <v>7.8780908568142599E-2</v>
      </c>
      <c r="CA19" s="433">
        <f>-CA18*4/BZ107</f>
        <v>6.1961034813158726E-2</v>
      </c>
      <c r="CB19" s="432">
        <f>-CB18*4/DS107</f>
        <v>0.10665815104582468</v>
      </c>
      <c r="CC19" s="432">
        <f>-CC18*4/CB107</f>
        <v>6.5859197577592732E-2</v>
      </c>
      <c r="CD19" s="432">
        <f>-CD18*4/CC107</f>
        <v>6.6231431545084679E-2</v>
      </c>
      <c r="CE19" s="433">
        <f>-CE18*4/CD107</f>
        <v>6.3576158940397351E-2</v>
      </c>
      <c r="CF19" s="432">
        <f>-CF18*4/DT107</f>
        <v>6.3570144735597398E-2</v>
      </c>
      <c r="CG19" s="432">
        <f>-CG18*4/CF107</f>
        <v>5.4650945161894067E-2</v>
      </c>
      <c r="CH19" s="432">
        <f>-CH18*4/CG107</f>
        <v>5.8768482126146361E-2</v>
      </c>
      <c r="CI19" s="433">
        <f>-CI18*4/CH107</f>
        <v>7.6354449330962845E-2</v>
      </c>
      <c r="CJ19" s="432">
        <f>-CJ18*4/DU107</f>
        <v>6.6169491525423729E-2</v>
      </c>
      <c r="CK19" s="432">
        <f>-CK18*4/CJ107</f>
        <v>4.1573717298722369E-2</v>
      </c>
      <c r="CL19" s="432">
        <f>-CL18*4/CK107</f>
        <v>4.347163678838048E-2</v>
      </c>
      <c r="CM19" s="433">
        <f>-CM18*4/CL107</f>
        <v>4.1577499235707735E-2</v>
      </c>
      <c r="CN19" s="432">
        <f>-CN18*4/DV107</f>
        <v>4.3175772457540416E-2</v>
      </c>
      <c r="CO19" s="432">
        <f>-CO18*4/CN107</f>
        <v>4.148148148148148E-2</v>
      </c>
      <c r="CP19" s="432">
        <f>-CP18*4/CO107</f>
        <v>4.2239081402501537E-2</v>
      </c>
      <c r="CQ19" s="433">
        <f>-CQ18*4/CP107</f>
        <v>4.2081494406240379E-2</v>
      </c>
      <c r="CR19" s="432">
        <f>-CR18*4/DW107</f>
        <v>4.2838018741633205E-2</v>
      </c>
      <c r="CS19" s="432">
        <f>-CS18*4/CR107</f>
        <v>4.4169246646026832E-2</v>
      </c>
      <c r="CT19" s="432">
        <f>-CT18*4/CS107</f>
        <v>4.5137805512220484E-2</v>
      </c>
      <c r="CU19" s="433">
        <f>-CU18*4/CT107</f>
        <v>4.4403707098482535E-2</v>
      </c>
      <c r="CV19" s="256">
        <v>4.1000000000000002E-2</v>
      </c>
      <c r="CW19" s="256">
        <f t="shared" ref="CW19:CY20" si="37">CV19</f>
        <v>4.1000000000000002E-2</v>
      </c>
      <c r="CX19" s="256">
        <f t="shared" si="37"/>
        <v>4.1000000000000002E-2</v>
      </c>
      <c r="CY19" s="257">
        <f t="shared" si="37"/>
        <v>4.1000000000000002E-2</v>
      </c>
      <c r="DA19" s="263"/>
      <c r="DB19" s="263">
        <f t="shared" ref="DB19:DX19" si="38">-DB18/DA107</f>
        <v>0.1420425188121788</v>
      </c>
      <c r="DC19" s="263">
        <f t="shared" si="38"/>
        <v>9.654395191585273E-2</v>
      </c>
      <c r="DD19" s="263">
        <f t="shared" si="38"/>
        <v>9.4093534563070624E-2</v>
      </c>
      <c r="DE19" s="263">
        <f t="shared" si="38"/>
        <v>9.9540581929555907E-2</v>
      </c>
      <c r="DF19" s="263">
        <f t="shared" si="38"/>
        <v>0.15045437092026109</v>
      </c>
      <c r="DG19" s="263">
        <f t="shared" si="38"/>
        <v>9.0342857142857141E-2</v>
      </c>
      <c r="DH19" s="263">
        <f t="shared" si="38"/>
        <v>8.7010162007727029E-2</v>
      </c>
      <c r="DI19" s="263">
        <f t="shared" si="38"/>
        <v>8.6061288506394273E-2</v>
      </c>
      <c r="DJ19" s="263">
        <f t="shared" si="38"/>
        <v>8.7028518859245604E-2</v>
      </c>
      <c r="DK19" s="263">
        <f t="shared" si="38"/>
        <v>7.9632391858730708E-2</v>
      </c>
      <c r="DL19" s="263">
        <f t="shared" si="38"/>
        <v>7.0293085085400955E-2</v>
      </c>
      <c r="DM19" s="263">
        <f t="shared" si="38"/>
        <v>7.4260229364292801E-2</v>
      </c>
      <c r="DN19" s="263">
        <f t="shared" si="38"/>
        <v>7.969912779066976E-2</v>
      </c>
      <c r="DO19" s="263">
        <f t="shared" si="38"/>
        <v>7.7527906787256587E-2</v>
      </c>
      <c r="DP19" s="263">
        <f t="shared" si="38"/>
        <v>4.6075762731087669E-2</v>
      </c>
      <c r="DQ19" s="263">
        <f t="shared" si="38"/>
        <v>5.6978298878946815E-2</v>
      </c>
      <c r="DR19" s="263">
        <f t="shared" si="38"/>
        <v>5.6795422031473537E-2</v>
      </c>
      <c r="DS19" s="263">
        <f t="shared" si="38"/>
        <v>7.1757262007477715E-2</v>
      </c>
      <c r="DT19" s="432">
        <f t="shared" si="38"/>
        <v>0.10921283729841928</v>
      </c>
      <c r="DU19" s="432">
        <f t="shared" si="38"/>
        <v>6.3853940024595601E-2</v>
      </c>
      <c r="DV19" s="432">
        <f t="shared" si="38"/>
        <v>5.8779661016949147E-2</v>
      </c>
      <c r="DW19" s="432">
        <f t="shared" si="38"/>
        <v>4.2203806015960715E-2</v>
      </c>
      <c r="DX19" s="263">
        <f t="shared" si="38"/>
        <v>4.4125218824014011E-2</v>
      </c>
      <c r="DY19" s="263">
        <f>-DY18/DX107</f>
        <v>4.1000000000000002E-2</v>
      </c>
      <c r="DZ19" s="256">
        <f t="shared" ref="DZ19:ED20" si="39">DY19</f>
        <v>4.1000000000000002E-2</v>
      </c>
      <c r="EA19" s="256">
        <f t="shared" si="39"/>
        <v>4.1000000000000002E-2</v>
      </c>
      <c r="EB19" s="256">
        <f t="shared" si="39"/>
        <v>4.1000000000000002E-2</v>
      </c>
      <c r="EC19" s="256">
        <f t="shared" si="39"/>
        <v>4.1000000000000002E-2</v>
      </c>
      <c r="ED19" s="256">
        <f t="shared" si="39"/>
        <v>4.1000000000000002E-2</v>
      </c>
      <c r="EE19" s="260"/>
      <c r="EF19"/>
      <c r="EG19"/>
      <c r="EH19"/>
      <c r="EI19"/>
      <c r="EJ19"/>
      <c r="EK19"/>
    </row>
    <row r="20" spans="1:141" s="138" customFormat="1">
      <c r="A20" s="193"/>
      <c r="B20" s="200" t="s">
        <v>345</v>
      </c>
      <c r="C20" s="200"/>
      <c r="D20" s="220">
        <v>-2.5</v>
      </c>
      <c r="E20" s="221">
        <v>-2.1</v>
      </c>
      <c r="F20" s="221">
        <v>-1.8</v>
      </c>
      <c r="G20" s="222">
        <v>-1.6</v>
      </c>
      <c r="H20" s="221">
        <v>-2.1</v>
      </c>
      <c r="I20" s="221">
        <v>-3.7</v>
      </c>
      <c r="J20" s="221">
        <v>-4.4000000000000004</v>
      </c>
      <c r="K20" s="222">
        <v>-1.7</v>
      </c>
      <c r="L20" s="221">
        <v>-3.1</v>
      </c>
      <c r="M20" s="221">
        <v>-3.9</v>
      </c>
      <c r="N20" s="221">
        <v>-7.6</v>
      </c>
      <c r="O20" s="222">
        <v>-5</v>
      </c>
      <c r="P20" s="221">
        <v>-5.5</v>
      </c>
      <c r="Q20" s="221">
        <v>-7.3</v>
      </c>
      <c r="R20" s="221">
        <v>-8.6</v>
      </c>
      <c r="S20" s="222">
        <v>-7.4</v>
      </c>
      <c r="T20" s="221">
        <v>-8</v>
      </c>
      <c r="U20" s="221">
        <v>-5.5</v>
      </c>
      <c r="V20" s="221">
        <v>-4.5</v>
      </c>
      <c r="W20" s="222">
        <v>-4.3</v>
      </c>
      <c r="X20" s="221">
        <v>-7.9</v>
      </c>
      <c r="Y20" s="221">
        <v>-7.3</v>
      </c>
      <c r="Z20" s="221">
        <v>-13.4</v>
      </c>
      <c r="AA20" s="222">
        <v>-15.9</v>
      </c>
      <c r="AB20" s="221">
        <v>-9.8000000000000007</v>
      </c>
      <c r="AC20" s="221">
        <v>-14.5</v>
      </c>
      <c r="AD20" s="221">
        <v>-12.5</v>
      </c>
      <c r="AE20" s="222">
        <v>-13.6</v>
      </c>
      <c r="AF20" s="221">
        <v>-15</v>
      </c>
      <c r="AG20" s="221">
        <v>-14.6</v>
      </c>
      <c r="AH20" s="221">
        <v>-12.5</v>
      </c>
      <c r="AI20" s="222">
        <v>-12.5</v>
      </c>
      <c r="AJ20" s="221">
        <v>-14.2</v>
      </c>
      <c r="AK20" s="221">
        <v>-14.5</v>
      </c>
      <c r="AL20" s="221">
        <v>-13.2</v>
      </c>
      <c r="AM20" s="222">
        <v>-18.7</v>
      </c>
      <c r="AN20" s="221">
        <v>-11.8</v>
      </c>
      <c r="AO20" s="221">
        <v>-13.9</v>
      </c>
      <c r="AP20" s="221">
        <v>-12.9</v>
      </c>
      <c r="AQ20" s="222">
        <v>-10.8</v>
      </c>
      <c r="AR20" s="221">
        <v>-14.1</v>
      </c>
      <c r="AS20" s="221">
        <v>-14.8</v>
      </c>
      <c r="AT20" s="221">
        <v>-10</v>
      </c>
      <c r="AU20" s="222">
        <v>-13.8</v>
      </c>
      <c r="AV20" s="221">
        <v>-6.9</v>
      </c>
      <c r="AW20" s="221">
        <v>-15.2</v>
      </c>
      <c r="AX20" s="221">
        <v>-16.399999999999999</v>
      </c>
      <c r="AY20" s="222">
        <v>-15.1</v>
      </c>
      <c r="AZ20" s="221">
        <v>-18</v>
      </c>
      <c r="BA20" s="221">
        <v>-30.6</v>
      </c>
      <c r="BB20" s="221">
        <v>-9.4</v>
      </c>
      <c r="BC20" s="222">
        <v>-14.1</v>
      </c>
      <c r="BD20" s="221">
        <v>-21.1</v>
      </c>
      <c r="BE20" s="221">
        <v>-0.3</v>
      </c>
      <c r="BF20" s="221">
        <v>-17.5</v>
      </c>
      <c r="BG20" s="222">
        <v>10.3</v>
      </c>
      <c r="BH20" s="221">
        <v>-2</v>
      </c>
      <c r="BI20" s="221">
        <v>2.4</v>
      </c>
      <c r="BJ20" s="221">
        <v>-25.3</v>
      </c>
      <c r="BK20" s="222">
        <v>-67.099999999999994</v>
      </c>
      <c r="BL20" s="221">
        <v>-12.8</v>
      </c>
      <c r="BM20" s="221">
        <v>-5.7</v>
      </c>
      <c r="BN20" s="221">
        <v>-25.9</v>
      </c>
      <c r="BO20" s="222">
        <v>-19.2</v>
      </c>
      <c r="BP20" s="221">
        <v>-21</v>
      </c>
      <c r="BQ20" s="221">
        <v>21</v>
      </c>
      <c r="BR20" s="221">
        <v>-3</v>
      </c>
      <c r="BS20" s="222">
        <v>8.3000000000000007</v>
      </c>
      <c r="BT20" s="221">
        <v>3</v>
      </c>
      <c r="BU20" s="221">
        <v>-4.0999999999999996</v>
      </c>
      <c r="BV20" s="221">
        <v>-11.3</v>
      </c>
      <c r="BW20" s="222">
        <v>2.7</v>
      </c>
      <c r="BX20" s="355">
        <v>7.7</v>
      </c>
      <c r="BY20" s="355">
        <v>-7.8</v>
      </c>
      <c r="BZ20" s="355">
        <v>-4.2</v>
      </c>
      <c r="CA20" s="434">
        <f>5.6-3+11.8-14.2</f>
        <v>0.20000000000000107</v>
      </c>
      <c r="CB20" s="355">
        <f>-10.7+8-18.4-2.6-5.8+18.4+2.6+5.8+3.6</f>
        <v>0.89999999999999813</v>
      </c>
      <c r="CC20" s="355">
        <f>-10.3+9.9-15.7-0.4-1.5-4.9+15.7+0.4+1.5+4.9</f>
        <v>-0.39999999999999858</v>
      </c>
      <c r="CD20" s="355">
        <f>-16.8+9.2-13.1-0.4+13.1+0.4</f>
        <v>-7.6000000000000014</v>
      </c>
      <c r="CE20" s="434">
        <f>-20.3+11.3-36.6-2.4-1+36.6+2.4+1</f>
        <v>-8.9999999999999982</v>
      </c>
      <c r="CF20" s="355">
        <f>-29.2+12-25.3-2.6+25.3+17.5+2.6</f>
        <v>0.29999999999999938</v>
      </c>
      <c r="CG20" s="355">
        <f>-16.8+9.2-43.3+1.4+43.3+1.1-1.4</f>
        <v>-6.5000000000000036</v>
      </c>
      <c r="CH20" s="355">
        <f>-11.1+7.8-21.4-2.7-2.8+22.4+2.7-5.2+3.8</f>
        <v>-6.5000000000000009</v>
      </c>
      <c r="CI20" s="434">
        <f>-17.2+7.3-24.3+0.6+24.3+0.4+4.9+0.9</f>
        <v>-3.1</v>
      </c>
      <c r="CJ20" s="355">
        <f>-30+13.3-8.4-8.4-15.8-0.3+8.4+8.4+15.8+14.3+0.3</f>
        <v>-2.3999999999999959</v>
      </c>
      <c r="CK20" s="355">
        <f>-8.7+8.5-51.1-0.2-0.6+51.1+0.2+1.8+0.6</f>
        <v>1.6</v>
      </c>
      <c r="CL20" s="355">
        <f>-21.7+9.9-15.5-2.3+0.1+17.4+2.3-0.1</f>
        <v>-9.8999999999999968</v>
      </c>
      <c r="CM20" s="434">
        <f>-8.2+18.1-20.2-0.7+20.3+0.7</f>
        <v>10.000000000000004</v>
      </c>
      <c r="CN20" s="355">
        <f>-8.5+16.8-11.7-1.6+11.7+1.3</f>
        <v>8.0000000000000018</v>
      </c>
      <c r="CO20" s="355">
        <f>23.5+19.5-30.3-27.9+2.2+27.9-2.8</f>
        <v>12.099999999999998</v>
      </c>
      <c r="CP20" s="355">
        <f>-14.2+12.9-16.8-2+16.8+0.9</f>
        <v>-2.4000000000000008</v>
      </c>
      <c r="CQ20" s="434">
        <f>-7.2+23.2-13.5-34.2-1.3-0.8+13.2+34.2+1.3+0.6</f>
        <v>15.500000000000005</v>
      </c>
      <c r="CR20" s="355">
        <f>-3.7+15.4-8.8-1.6-1.7-2.7+8.8+1.6+1.7+1.3</f>
        <v>10.299999999999999</v>
      </c>
      <c r="CS20" s="355">
        <f>-5.8+18.4-23.7-1.1-2.6-2.4+23.4+1.1+2.6+1.2</f>
        <v>11.099999999999998</v>
      </c>
      <c r="CT20" s="355">
        <f>21.8+7.5-18.1-0.8-0.7-2.7+17.3+0.8+0.7+21.2-54.2+5.4</f>
        <v>-1.8000000000000025</v>
      </c>
      <c r="CU20" s="434">
        <f>-8.2+10.4</f>
        <v>2.2000000000000011</v>
      </c>
      <c r="CV20" s="221">
        <f>CU20</f>
        <v>2.2000000000000011</v>
      </c>
      <c r="CW20" s="221">
        <f t="shared" si="37"/>
        <v>2.2000000000000011</v>
      </c>
      <c r="CX20" s="221">
        <f t="shared" si="37"/>
        <v>2.2000000000000011</v>
      </c>
      <c r="CY20" s="222">
        <f t="shared" si="37"/>
        <v>2.2000000000000011</v>
      </c>
      <c r="CZ20" s="265"/>
      <c r="DA20" s="542">
        <v>-8</v>
      </c>
      <c r="DB20" s="542">
        <v>-11.9</v>
      </c>
      <c r="DC20" s="542">
        <v>-19.600000000000001</v>
      </c>
      <c r="DD20" s="542">
        <v>-28.8</v>
      </c>
      <c r="DE20" s="542">
        <f>SUM(T20:W20)</f>
        <v>-22.3</v>
      </c>
      <c r="DF20" s="542">
        <f>SUM(X20:AA20)</f>
        <v>-44.5</v>
      </c>
      <c r="DG20" s="542">
        <f>SUM(AB20:AE20)</f>
        <v>-50.4</v>
      </c>
      <c r="DH20" s="542">
        <f>SUM(AF20:AI20)</f>
        <v>-54.6</v>
      </c>
      <c r="DI20" s="542">
        <f>SUM(AJ20:AM20)</f>
        <v>-60.599999999999994</v>
      </c>
      <c r="DJ20" s="542">
        <f>SUM(AN20:AQ20)</f>
        <v>-49.400000000000006</v>
      </c>
      <c r="DK20" s="542">
        <f>SUM(AR20:AU20)</f>
        <v>-52.7</v>
      </c>
      <c r="DL20" s="542">
        <f>SUM(AV20:AY20)</f>
        <v>-53.6</v>
      </c>
      <c r="DM20" s="542">
        <f>SUM(AZ20:BC20)</f>
        <v>-72.099999999999994</v>
      </c>
      <c r="DN20" s="542">
        <f>SUM(BD20:BG20)</f>
        <v>-28.600000000000005</v>
      </c>
      <c r="DO20" s="542">
        <f>SUM(BH20:BK20)</f>
        <v>-92</v>
      </c>
      <c r="DP20" s="542">
        <f>SUM(BL20:BO20)</f>
        <v>-63.599999999999994</v>
      </c>
      <c r="DQ20" s="542">
        <f>SUM(BP20:BS20)</f>
        <v>5.3000000000000007</v>
      </c>
      <c r="DR20" s="542">
        <f>SUM(BT20:BW20)</f>
        <v>-9.6999999999999993</v>
      </c>
      <c r="DS20" s="542">
        <f>SUM(BX20:CA20)</f>
        <v>-4.0999999999999988</v>
      </c>
      <c r="DT20" s="543">
        <f>SUM(CB20:CE20)</f>
        <v>-16.100000000000001</v>
      </c>
      <c r="DU20" s="543">
        <f>SUM(CF20:CI20)</f>
        <v>-15.800000000000006</v>
      </c>
      <c r="DV20" s="543">
        <f>SUM(CJ20:CM20)</f>
        <v>-0.69999999999998863</v>
      </c>
      <c r="DW20" s="543">
        <f>SUM(CN20:CQ20)</f>
        <v>33.200000000000003</v>
      </c>
      <c r="DX20" s="542">
        <f>SUM(CR20:CU20)</f>
        <v>21.799999999999997</v>
      </c>
      <c r="DY20" s="542">
        <f>SUM(CV20:CY20)</f>
        <v>8.8000000000000043</v>
      </c>
      <c r="DZ20" s="221">
        <f t="shared" si="39"/>
        <v>8.8000000000000043</v>
      </c>
      <c r="EA20" s="221">
        <f t="shared" si="39"/>
        <v>8.8000000000000043</v>
      </c>
      <c r="EB20" s="221">
        <f t="shared" si="39"/>
        <v>8.8000000000000043</v>
      </c>
      <c r="EC20" s="221">
        <f t="shared" si="39"/>
        <v>8.8000000000000043</v>
      </c>
      <c r="ED20" s="221">
        <f t="shared" si="39"/>
        <v>8.8000000000000043</v>
      </c>
      <c r="EE20" s="199"/>
      <c r="EF20"/>
      <c r="EG20"/>
      <c r="EH20"/>
      <c r="EI20"/>
      <c r="EJ20"/>
      <c r="EK20"/>
    </row>
    <row r="21" spans="1:141" s="251" customFormat="1">
      <c r="A21" s="245"/>
      <c r="B21" s="246" t="s">
        <v>263</v>
      </c>
      <c r="C21" s="246"/>
      <c r="D21" s="247">
        <f t="shared" ref="D21:AI21" si="40">D15+D20+D18</f>
        <v>13.800000000000095</v>
      </c>
      <c r="E21" s="248">
        <f t="shared" si="40"/>
        <v>41.100000000000016</v>
      </c>
      <c r="F21" s="248">
        <f t="shared" si="40"/>
        <v>14.199999999999978</v>
      </c>
      <c r="G21" s="249">
        <f t="shared" si="40"/>
        <v>45.6</v>
      </c>
      <c r="H21" s="248">
        <f t="shared" si="40"/>
        <v>31.400000000000031</v>
      </c>
      <c r="I21" s="248">
        <f t="shared" si="40"/>
        <v>49.19999999999996</v>
      </c>
      <c r="J21" s="248">
        <f t="shared" si="40"/>
        <v>16.999999999999936</v>
      </c>
      <c r="K21" s="249">
        <f t="shared" si="40"/>
        <v>59.700000000000074</v>
      </c>
      <c r="L21" s="248">
        <f t="shared" si="40"/>
        <v>42.499999999999922</v>
      </c>
      <c r="M21" s="248">
        <f t="shared" si="40"/>
        <v>83.500000000000085</v>
      </c>
      <c r="N21" s="248">
        <f t="shared" si="40"/>
        <v>41.499999999999808</v>
      </c>
      <c r="O21" s="249">
        <f t="shared" si="40"/>
        <v>85.9</v>
      </c>
      <c r="P21" s="248">
        <f t="shared" si="40"/>
        <v>69.400000000000105</v>
      </c>
      <c r="Q21" s="248">
        <f t="shared" si="40"/>
        <v>102.60000000000001</v>
      </c>
      <c r="R21" s="248">
        <f t="shared" si="40"/>
        <v>62.500000000000171</v>
      </c>
      <c r="S21" s="249">
        <f t="shared" si="40"/>
        <v>116.79999999999981</v>
      </c>
      <c r="T21" s="248">
        <f t="shared" si="40"/>
        <v>77.999999999999815</v>
      </c>
      <c r="U21" s="248">
        <f t="shared" si="40"/>
        <v>108.59999999999991</v>
      </c>
      <c r="V21" s="248">
        <f t="shared" si="40"/>
        <v>35.599999999999994</v>
      </c>
      <c r="W21" s="249">
        <f t="shared" si="40"/>
        <v>120.20000000000034</v>
      </c>
      <c r="X21" s="248">
        <f t="shared" si="40"/>
        <v>82.399999999999807</v>
      </c>
      <c r="Y21" s="248">
        <f t="shared" si="40"/>
        <v>123.2999999999998</v>
      </c>
      <c r="Z21" s="248">
        <f t="shared" si="40"/>
        <v>66.999999999999645</v>
      </c>
      <c r="AA21" s="249">
        <f t="shared" si="40"/>
        <v>156.60000000000011</v>
      </c>
      <c r="AB21" s="248">
        <f t="shared" si="40"/>
        <v>105.10000000000001</v>
      </c>
      <c r="AC21" s="248">
        <f t="shared" si="40"/>
        <v>150.29999999999995</v>
      </c>
      <c r="AD21" s="248">
        <f t="shared" si="40"/>
        <v>65.299999999999727</v>
      </c>
      <c r="AE21" s="249">
        <f t="shared" si="40"/>
        <v>148.09999999999974</v>
      </c>
      <c r="AF21" s="248">
        <f t="shared" si="40"/>
        <v>50.300000000000097</v>
      </c>
      <c r="AG21" s="248">
        <f t="shared" si="40"/>
        <v>101.80000000000018</v>
      </c>
      <c r="AH21" s="248">
        <f t="shared" si="40"/>
        <v>61.199999999999719</v>
      </c>
      <c r="AI21" s="249">
        <f t="shared" si="40"/>
        <v>143.99999999999983</v>
      </c>
      <c r="AJ21" s="248">
        <f t="shared" ref="AJ21:BO21" si="41">AJ15+AJ20+AJ18</f>
        <v>69.799999999999912</v>
      </c>
      <c r="AK21" s="248">
        <f t="shared" si="41"/>
        <v>128.49999999999972</v>
      </c>
      <c r="AL21" s="248">
        <f t="shared" si="41"/>
        <v>92.700000000000188</v>
      </c>
      <c r="AM21" s="249">
        <f t="shared" si="41"/>
        <v>177.49999999999991</v>
      </c>
      <c r="AN21" s="248">
        <f t="shared" si="41"/>
        <v>96.999999999999915</v>
      </c>
      <c r="AO21" s="248">
        <f t="shared" si="41"/>
        <v>148.69999999999982</v>
      </c>
      <c r="AP21" s="248">
        <f t="shared" si="41"/>
        <v>105.69999999999982</v>
      </c>
      <c r="AQ21" s="249">
        <f t="shared" si="41"/>
        <v>182.80000000000007</v>
      </c>
      <c r="AR21" s="248">
        <f t="shared" si="41"/>
        <v>126.00000000000057</v>
      </c>
      <c r="AS21" s="248">
        <f t="shared" si="41"/>
        <v>158.89999999999992</v>
      </c>
      <c r="AT21" s="248">
        <f t="shared" si="41"/>
        <v>105.80000000000028</v>
      </c>
      <c r="AU21" s="249">
        <f t="shared" si="41"/>
        <v>159.50000000000054</v>
      </c>
      <c r="AV21" s="248">
        <f t="shared" si="41"/>
        <v>-2.8999999999998991</v>
      </c>
      <c r="AW21" s="248">
        <f t="shared" si="41"/>
        <v>28.600000000000165</v>
      </c>
      <c r="AX21" s="248">
        <f t="shared" si="41"/>
        <v>-20.830000000000098</v>
      </c>
      <c r="AY21" s="249">
        <f t="shared" si="41"/>
        <v>83.600000000000563</v>
      </c>
      <c r="AZ21" s="248">
        <f t="shared" si="41"/>
        <v>13.500000000000355</v>
      </c>
      <c r="BA21" s="248">
        <f t="shared" si="41"/>
        <v>55.499999999999645</v>
      </c>
      <c r="BB21" s="248">
        <f t="shared" si="41"/>
        <v>-19.800000000000352</v>
      </c>
      <c r="BC21" s="249">
        <f t="shared" si="41"/>
        <v>63.200000000000088</v>
      </c>
      <c r="BD21" s="248">
        <f t="shared" si="41"/>
        <v>108.80000000000055</v>
      </c>
      <c r="BE21" s="248">
        <f t="shared" si="41"/>
        <v>181.89999999999998</v>
      </c>
      <c r="BF21" s="248">
        <f t="shared" si="41"/>
        <v>105.39999999999992</v>
      </c>
      <c r="BG21" s="249">
        <f t="shared" si="41"/>
        <v>139.99999999999991</v>
      </c>
      <c r="BH21" s="248">
        <f t="shared" si="41"/>
        <v>137.10000000000008</v>
      </c>
      <c r="BI21" s="248">
        <f t="shared" si="41"/>
        <v>120.60000000000002</v>
      </c>
      <c r="BJ21" s="248">
        <f t="shared" si="41"/>
        <v>-26.300000000000185</v>
      </c>
      <c r="BK21" s="249">
        <f t="shared" si="41"/>
        <v>-97.099999999999909</v>
      </c>
      <c r="BL21" s="248">
        <f t="shared" si="41"/>
        <v>-135.89999999999972</v>
      </c>
      <c r="BM21" s="248">
        <f t="shared" si="41"/>
        <v>-120.5</v>
      </c>
      <c r="BN21" s="248">
        <f t="shared" si="41"/>
        <v>63.300000000000097</v>
      </c>
      <c r="BO21" s="249">
        <f t="shared" si="41"/>
        <v>74.000000000000185</v>
      </c>
      <c r="BP21" s="248">
        <f t="shared" ref="BP21:CT21" si="42">BP15+BP20+BP18</f>
        <v>98.200000000000017</v>
      </c>
      <c r="BQ21" s="248">
        <f t="shared" si="42"/>
        <v>197.40000000000015</v>
      </c>
      <c r="BR21" s="248">
        <f t="shared" si="42"/>
        <v>134.60000000000008</v>
      </c>
      <c r="BS21" s="249">
        <f t="shared" si="42"/>
        <v>147.0000000000002</v>
      </c>
      <c r="BT21" s="248">
        <f t="shared" si="42"/>
        <v>204.69999999999962</v>
      </c>
      <c r="BU21" s="248">
        <f t="shared" si="42"/>
        <v>212.80000000000038</v>
      </c>
      <c r="BV21" s="248">
        <f t="shared" si="42"/>
        <v>155.69999999999996</v>
      </c>
      <c r="BW21" s="249">
        <f t="shared" si="42"/>
        <v>163.90000000000009</v>
      </c>
      <c r="BX21" s="440">
        <f t="shared" si="42"/>
        <v>190.5000000000002</v>
      </c>
      <c r="BY21" s="440">
        <f t="shared" si="42"/>
        <v>175.39999999999989</v>
      </c>
      <c r="BZ21" s="440">
        <f t="shared" si="42"/>
        <v>161.4</v>
      </c>
      <c r="CA21" s="441">
        <f t="shared" si="42"/>
        <v>181.30000000000018</v>
      </c>
      <c r="CB21" s="440">
        <f t="shared" si="42"/>
        <v>185.20000000000027</v>
      </c>
      <c r="CC21" s="440">
        <f t="shared" si="42"/>
        <v>205.90000000000023</v>
      </c>
      <c r="CD21" s="440">
        <f t="shared" si="42"/>
        <v>181.39999999999981</v>
      </c>
      <c r="CE21" s="441">
        <f t="shared" si="42"/>
        <v>182.40000000000052</v>
      </c>
      <c r="CF21" s="440">
        <f t="shared" si="42"/>
        <v>226.7000000000001</v>
      </c>
      <c r="CG21" s="440">
        <f t="shared" si="42"/>
        <v>253.6000000000009</v>
      </c>
      <c r="CH21" s="440">
        <f t="shared" si="42"/>
        <v>229.1999999999999</v>
      </c>
      <c r="CI21" s="441">
        <f t="shared" si="42"/>
        <v>256.79999999999984</v>
      </c>
      <c r="CJ21" s="440">
        <f t="shared" si="42"/>
        <v>266.80000000000041</v>
      </c>
      <c r="CK21" s="440">
        <f t="shared" si="42"/>
        <v>318.50000000000131</v>
      </c>
      <c r="CL21" s="440">
        <f t="shared" si="42"/>
        <v>289.00000000000057</v>
      </c>
      <c r="CM21" s="441">
        <f t="shared" si="42"/>
        <v>348.5000000000004</v>
      </c>
      <c r="CN21" s="440">
        <f t="shared" si="42"/>
        <v>373.69999999999993</v>
      </c>
      <c r="CO21" s="440">
        <f t="shared" si="42"/>
        <v>390.30000000000041</v>
      </c>
      <c r="CP21" s="440">
        <f t="shared" si="42"/>
        <v>340.89999999999975</v>
      </c>
      <c r="CQ21" s="441">
        <f t="shared" si="42"/>
        <v>380.60000000000059</v>
      </c>
      <c r="CR21" s="440">
        <f t="shared" si="42"/>
        <v>421.00000000000017</v>
      </c>
      <c r="CS21" s="440">
        <f t="shared" si="42"/>
        <v>428.60000000000042</v>
      </c>
      <c r="CT21" s="440">
        <f t="shared" si="42"/>
        <v>383.99999999999983</v>
      </c>
      <c r="CU21" s="441">
        <f t="shared" ref="CU21" si="43">CU15+CU20+CU18</f>
        <v>424.00000000000068</v>
      </c>
      <c r="CV21" s="248">
        <f t="shared" ref="CV21:CY21" si="44">CV15+CV20+CV18</f>
        <v>450.13979276102333</v>
      </c>
      <c r="CW21" s="248">
        <f t="shared" si="44"/>
        <v>457.62655257162896</v>
      </c>
      <c r="CX21" s="248">
        <f t="shared" si="44"/>
        <v>411.58144695959152</v>
      </c>
      <c r="CY21" s="249">
        <f t="shared" si="44"/>
        <v>425.56223282824499</v>
      </c>
      <c r="CZ21" s="265"/>
      <c r="DA21" s="248">
        <f t="shared" ref="DA21:EA21" si="45">DA15+DA20+DA18</f>
        <v>114.70000000000009</v>
      </c>
      <c r="DB21" s="248">
        <f t="shared" si="45"/>
        <v>157.29999999999998</v>
      </c>
      <c r="DC21" s="248">
        <f t="shared" si="45"/>
        <v>253.40000000000066</v>
      </c>
      <c r="DD21" s="248">
        <f t="shared" si="45"/>
        <v>351.30000000000058</v>
      </c>
      <c r="DE21" s="248">
        <f t="shared" si="45"/>
        <v>342.4000000000014</v>
      </c>
      <c r="DF21" s="248">
        <f t="shared" si="45"/>
        <v>429.29999999999893</v>
      </c>
      <c r="DG21" s="248">
        <f t="shared" si="45"/>
        <v>468.80000000000035</v>
      </c>
      <c r="DH21" s="248">
        <f t="shared" si="45"/>
        <v>357.30000000000064</v>
      </c>
      <c r="DI21" s="248">
        <f t="shared" si="45"/>
        <v>468.49999999999932</v>
      </c>
      <c r="DJ21" s="248">
        <f t="shared" si="45"/>
        <v>534.19999999999982</v>
      </c>
      <c r="DK21" s="248">
        <f t="shared" si="45"/>
        <v>550.19999999999845</v>
      </c>
      <c r="DL21" s="248">
        <f t="shared" si="45"/>
        <v>88.470000000001221</v>
      </c>
      <c r="DM21" s="248">
        <f t="shared" si="45"/>
        <v>112.40000000000288</v>
      </c>
      <c r="DN21" s="248">
        <f t="shared" si="45"/>
        <v>536.10000000000207</v>
      </c>
      <c r="DO21" s="248">
        <f t="shared" si="45"/>
        <v>134.2999999999999</v>
      </c>
      <c r="DP21" s="248">
        <f t="shared" si="45"/>
        <v>-119.10000000000039</v>
      </c>
      <c r="DQ21" s="248">
        <f t="shared" si="45"/>
        <v>577.20000000000175</v>
      </c>
      <c r="DR21" s="248">
        <f t="shared" si="45"/>
        <v>737.09999999999957</v>
      </c>
      <c r="DS21" s="248">
        <f t="shared" si="45"/>
        <v>708.59999999999889</v>
      </c>
      <c r="DT21" s="440">
        <f t="shared" si="45"/>
        <v>754.90000000000168</v>
      </c>
      <c r="DU21" s="440">
        <f t="shared" si="45"/>
        <v>966.30000000000268</v>
      </c>
      <c r="DV21" s="440">
        <f t="shared" si="45"/>
        <v>1222.8000000000025</v>
      </c>
      <c r="DW21" s="440">
        <f t="shared" si="45"/>
        <v>1485.5000000000007</v>
      </c>
      <c r="DX21" s="248">
        <f t="shared" si="45"/>
        <v>1657.6000000000031</v>
      </c>
      <c r="DY21" s="248">
        <f>DY15+DY20+DY18</f>
        <v>1744.9100251204877</v>
      </c>
      <c r="DZ21" s="248">
        <f t="shared" si="45"/>
        <v>1796.5625839853528</v>
      </c>
      <c r="EA21" s="248">
        <f t="shared" si="45"/>
        <v>1766.3732529511742</v>
      </c>
      <c r="EB21" s="248">
        <f t="shared" ref="EB21:ED21" si="46">EB15+EB20+EB18</f>
        <v>1723.9629047870326</v>
      </c>
      <c r="EC21" s="248">
        <f t="shared" si="46"/>
        <v>1658.0727828395586</v>
      </c>
      <c r="ED21" s="248">
        <f t="shared" si="46"/>
        <v>1568.3205158781668</v>
      </c>
      <c r="EE21" s="246"/>
      <c r="EF21"/>
      <c r="EG21"/>
      <c r="EH21"/>
      <c r="EI21"/>
      <c r="EJ21"/>
      <c r="EK21"/>
    </row>
    <row r="22" spans="1:141">
      <c r="A22" s="133"/>
      <c r="B22" s="120"/>
      <c r="C22" s="120"/>
      <c r="D22" s="144"/>
      <c r="E22" s="121"/>
      <c r="F22" s="121"/>
      <c r="G22" s="145"/>
      <c r="H22" s="121"/>
      <c r="I22" s="121"/>
      <c r="J22" s="121"/>
      <c r="K22" s="145"/>
      <c r="L22" s="121"/>
      <c r="M22" s="121"/>
      <c r="N22" s="121"/>
      <c r="O22" s="145"/>
      <c r="P22" s="121"/>
      <c r="Q22" s="121"/>
      <c r="R22" s="121"/>
      <c r="S22" s="145"/>
      <c r="T22" s="121"/>
      <c r="U22" s="121"/>
      <c r="V22" s="121"/>
      <c r="W22" s="145"/>
      <c r="X22" s="121"/>
      <c r="Y22" s="121"/>
      <c r="Z22" s="121"/>
      <c r="AA22" s="145"/>
      <c r="AB22" s="121"/>
      <c r="AC22" s="121"/>
      <c r="AD22" s="121"/>
      <c r="AE22" s="145"/>
      <c r="AF22" s="121"/>
      <c r="AG22" s="121"/>
      <c r="AH22" s="121"/>
      <c r="AI22" s="145"/>
      <c r="AJ22" s="121"/>
      <c r="AK22" s="121"/>
      <c r="AL22" s="121"/>
      <c r="AM22" s="145"/>
      <c r="AN22" s="121"/>
      <c r="AO22" s="121"/>
      <c r="AP22" s="121"/>
      <c r="AQ22" s="145"/>
      <c r="AR22" s="121"/>
      <c r="AS22" s="121"/>
      <c r="AT22" s="121"/>
      <c r="AU22" s="145"/>
      <c r="AV22" s="121"/>
      <c r="AW22" s="121"/>
      <c r="AX22" s="121"/>
      <c r="AY22" s="145"/>
      <c r="AZ22" s="121"/>
      <c r="BA22" s="121"/>
      <c r="BB22" s="121"/>
      <c r="BC22" s="145"/>
      <c r="BD22" s="121"/>
      <c r="BE22" s="121"/>
      <c r="BF22" s="121"/>
      <c r="BG22" s="145"/>
      <c r="BH22" s="121"/>
      <c r="BI22" s="121"/>
      <c r="BJ22" s="121"/>
      <c r="BK22" s="145"/>
      <c r="BL22" s="121"/>
      <c r="BM22" s="121"/>
      <c r="BN22" s="121"/>
      <c r="BO22" s="145"/>
      <c r="BP22" s="121"/>
      <c r="BQ22" s="121"/>
      <c r="BR22" s="121"/>
      <c r="BS22" s="145"/>
      <c r="BT22" s="121"/>
      <c r="BU22" s="121"/>
      <c r="BV22" s="121"/>
      <c r="BW22" s="145"/>
      <c r="BX22" s="442"/>
      <c r="BY22" s="442"/>
      <c r="BZ22" s="442"/>
      <c r="CA22" s="443"/>
      <c r="CB22" s="442"/>
      <c r="CC22" s="442"/>
      <c r="CD22" s="442"/>
      <c r="CE22" s="443"/>
      <c r="CF22" s="442"/>
      <c r="CG22" s="442"/>
      <c r="CH22" s="442"/>
      <c r="CI22" s="443"/>
      <c r="CJ22" s="442"/>
      <c r="CK22" s="442"/>
      <c r="CL22" s="442"/>
      <c r="CM22" s="443"/>
      <c r="CN22" s="442"/>
      <c r="CO22" s="442"/>
      <c r="CP22" s="442"/>
      <c r="CQ22" s="443"/>
      <c r="CR22" s="442"/>
      <c r="CS22" s="442"/>
      <c r="CT22" s="442"/>
      <c r="CU22" s="443"/>
      <c r="CV22" s="121"/>
      <c r="CW22" s="121"/>
      <c r="CX22" s="121"/>
      <c r="CY22" s="145"/>
      <c r="DA22" s="545"/>
      <c r="DB22" s="545"/>
      <c r="DC22" s="545"/>
      <c r="DD22" s="545"/>
      <c r="DE22" s="545"/>
      <c r="DF22" s="545"/>
      <c r="DG22" s="545"/>
      <c r="DH22" s="545"/>
      <c r="DI22" s="545"/>
      <c r="DJ22" s="545"/>
      <c r="DK22" s="545"/>
      <c r="DL22" s="545"/>
      <c r="DM22" s="545"/>
      <c r="DN22" s="545"/>
      <c r="DO22" s="545"/>
      <c r="DP22" s="545"/>
      <c r="DQ22" s="545"/>
      <c r="DR22" s="545"/>
      <c r="DS22" s="545"/>
      <c r="DT22" s="546"/>
      <c r="DU22" s="546"/>
      <c r="DV22" s="546"/>
      <c r="DW22" s="546"/>
      <c r="DX22" s="119"/>
      <c r="DY22" s="119"/>
      <c r="DZ22" s="119"/>
      <c r="EA22" s="119"/>
      <c r="EB22" s="119"/>
      <c r="EC22" s="119"/>
      <c r="ED22" s="119"/>
      <c r="EE22" s="111"/>
    </row>
    <row r="23" spans="1:141" s="137" customFormat="1">
      <c r="A23" s="193"/>
      <c r="B23" s="138" t="s">
        <v>301</v>
      </c>
      <c r="C23" s="138"/>
      <c r="D23" s="217">
        <v>-7.3</v>
      </c>
      <c r="E23" s="218">
        <v>-20</v>
      </c>
      <c r="F23" s="218">
        <v>-7.9</v>
      </c>
      <c r="G23" s="219">
        <v>-19.8</v>
      </c>
      <c r="H23" s="218">
        <v>-14.4</v>
      </c>
      <c r="I23" s="218">
        <v>-20.3</v>
      </c>
      <c r="J23" s="218">
        <v>-7</v>
      </c>
      <c r="K23" s="219">
        <v>-22.5</v>
      </c>
      <c r="L23" s="218">
        <v>-16.7</v>
      </c>
      <c r="M23" s="218">
        <v>-33.4</v>
      </c>
      <c r="N23" s="218">
        <v>-16.7</v>
      </c>
      <c r="O23" s="219">
        <v>-34.700000000000003</v>
      </c>
      <c r="P23" s="218">
        <v>-27.5</v>
      </c>
      <c r="Q23" s="218">
        <v>-41.5</v>
      </c>
      <c r="R23" s="218">
        <v>-25.9</v>
      </c>
      <c r="S23" s="219">
        <v>-48.2</v>
      </c>
      <c r="T23" s="218">
        <v>-30.7</v>
      </c>
      <c r="U23" s="218">
        <v>-42.9</v>
      </c>
      <c r="V23" s="218">
        <v>-14</v>
      </c>
      <c r="W23" s="219">
        <v>-46.8</v>
      </c>
      <c r="X23" s="218">
        <v>-32.1</v>
      </c>
      <c r="Y23" s="218">
        <v>-48.5</v>
      </c>
      <c r="Z23" s="218">
        <v>-27.7</v>
      </c>
      <c r="AA23" s="219">
        <v>-64.900000000000006</v>
      </c>
      <c r="AB23" s="218">
        <v>-43.1</v>
      </c>
      <c r="AC23" s="218">
        <v>-61.6</v>
      </c>
      <c r="AD23" s="218">
        <v>-26.7</v>
      </c>
      <c r="AE23" s="219">
        <v>-60.8</v>
      </c>
      <c r="AF23" s="218">
        <v>-16</v>
      </c>
      <c r="AG23" s="218">
        <v>-32.4</v>
      </c>
      <c r="AH23" s="218">
        <v>-19.399999999999999</v>
      </c>
      <c r="AI23" s="219">
        <v>-46.2</v>
      </c>
      <c r="AJ23" s="218">
        <v>-23.4</v>
      </c>
      <c r="AK23" s="218">
        <v>-43</v>
      </c>
      <c r="AL23" s="218">
        <v>-31.1</v>
      </c>
      <c r="AM23" s="219">
        <v>-59.5</v>
      </c>
      <c r="AN23" s="218">
        <v>-29.1</v>
      </c>
      <c r="AO23" s="218">
        <v>-44.6</v>
      </c>
      <c r="AP23" s="218">
        <v>-29.6</v>
      </c>
      <c r="AQ23" s="219">
        <v>-50.4</v>
      </c>
      <c r="AR23" s="218">
        <v>-34.6</v>
      </c>
      <c r="AS23" s="218">
        <v>-42.8</v>
      </c>
      <c r="AT23" s="218">
        <v>-29.43</v>
      </c>
      <c r="AU23" s="219">
        <v>-36.5</v>
      </c>
      <c r="AV23" s="218">
        <v>-17.162000000000003</v>
      </c>
      <c r="AW23" s="218">
        <v>-7</v>
      </c>
      <c r="AX23" s="218">
        <v>14.427200000000003</v>
      </c>
      <c r="AY23" s="219">
        <v>-64.25</v>
      </c>
      <c r="AZ23" s="218">
        <v>-8.0749999999999993</v>
      </c>
      <c r="BA23" s="218">
        <v>-40.593461120000001</v>
      </c>
      <c r="BB23" s="218">
        <v>-19.164000000000001</v>
      </c>
      <c r="BC23" s="219">
        <v>-35.262999999999998</v>
      </c>
      <c r="BD23" s="218">
        <v>-42.47</v>
      </c>
      <c r="BE23" s="218">
        <v>-39.299999999999997</v>
      </c>
      <c r="BF23" s="218">
        <v>-34.99</v>
      </c>
      <c r="BG23" s="219">
        <v>-20.9</v>
      </c>
      <c r="BH23" s="218">
        <v>-28</v>
      </c>
      <c r="BI23" s="218">
        <v>-54.99</v>
      </c>
      <c r="BJ23" s="218">
        <v>-36.93</v>
      </c>
      <c r="BK23" s="219">
        <v>-19.27</v>
      </c>
      <c r="BL23" s="218">
        <v>-13.4</v>
      </c>
      <c r="BM23" s="218">
        <v>-14</v>
      </c>
      <c r="BN23" s="218">
        <v>-19.100000000000001</v>
      </c>
      <c r="BO23" s="219">
        <v>-19.7</v>
      </c>
      <c r="BP23" s="218">
        <v>-24.3</v>
      </c>
      <c r="BQ23" s="218">
        <v>-33</v>
      </c>
      <c r="BR23" s="218">
        <v>-8.1999999999999993</v>
      </c>
      <c r="BS23" s="219">
        <v>-11.2</v>
      </c>
      <c r="BT23" s="218">
        <v>-40.299999999999997</v>
      </c>
      <c r="BU23" s="218">
        <v>-39.4</v>
      </c>
      <c r="BV23" s="218">
        <v>-34</v>
      </c>
      <c r="BW23" s="219">
        <v>-25.5</v>
      </c>
      <c r="BX23" s="356">
        <v>-39.6</v>
      </c>
      <c r="BY23" s="356">
        <v>-30.8</v>
      </c>
      <c r="BZ23" s="356">
        <v>-27.5</v>
      </c>
      <c r="CA23" s="431">
        <f>738.4-766.9</f>
        <v>-28.5</v>
      </c>
      <c r="CB23" s="356">
        <f>-37.9-14.5</f>
        <v>-52.4</v>
      </c>
      <c r="CC23" s="356">
        <f>-41.1-21.5</f>
        <v>-62.6</v>
      </c>
      <c r="CD23" s="356">
        <f>-51.2-7.8</f>
        <v>-59</v>
      </c>
      <c r="CE23" s="431">
        <f>-62.5+16</f>
        <v>-46.5</v>
      </c>
      <c r="CF23" s="356">
        <f>-52.7-15.4</f>
        <v>-68.100000000000009</v>
      </c>
      <c r="CG23" s="356">
        <f>-52.8-17.9</f>
        <v>-70.699999999999989</v>
      </c>
      <c r="CH23" s="356">
        <f>-57.6-6.9</f>
        <v>-64.5</v>
      </c>
      <c r="CI23" s="431">
        <f>41.7-108.9</f>
        <v>-67.2</v>
      </c>
      <c r="CJ23" s="356">
        <f>-62.9-14</f>
        <v>-76.900000000000006</v>
      </c>
      <c r="CK23" s="356">
        <f>-71.9-15.8</f>
        <v>-87.7</v>
      </c>
      <c r="CL23" s="356">
        <f>-76.1-2.2</f>
        <v>-78.3</v>
      </c>
      <c r="CM23" s="431">
        <f>-74.6-11.1</f>
        <v>-85.699999999999989</v>
      </c>
      <c r="CN23" s="356">
        <f>-98.2-5</f>
        <v>-103.2</v>
      </c>
      <c r="CO23" s="356">
        <f>-101-7.1</f>
        <v>-108.1</v>
      </c>
      <c r="CP23" s="356">
        <f>-88.2-2.4</f>
        <v>-90.600000000000009</v>
      </c>
      <c r="CQ23" s="431">
        <f>-82.8-9.1</f>
        <v>-91.899999999999991</v>
      </c>
      <c r="CR23" s="356">
        <f>-89.1-19.1</f>
        <v>-108.19999999999999</v>
      </c>
      <c r="CS23" s="356">
        <f>-73.3-35.3</f>
        <v>-108.6</v>
      </c>
      <c r="CT23" s="356">
        <f>-77.8-14</f>
        <v>-91.8</v>
      </c>
      <c r="CU23" s="431">
        <f>42.7+131+42.5-289.7-30.2</f>
        <v>-103.7</v>
      </c>
      <c r="CV23" s="197">
        <f>-CV24*CV21</f>
        <v>-99.030754407425135</v>
      </c>
      <c r="CW23" s="197">
        <f>-CW24*CW21</f>
        <v>-100.67784156575837</v>
      </c>
      <c r="CX23" s="197">
        <f>-CX24*CX21</f>
        <v>-90.547918331110139</v>
      </c>
      <c r="CY23" s="198">
        <f>-CY24*CY21</f>
        <v>-93.623691222213893</v>
      </c>
      <c r="DA23" s="212">
        <v>-55</v>
      </c>
      <c r="DB23" s="212">
        <v>-64.2</v>
      </c>
      <c r="DC23" s="212">
        <v>-101.5</v>
      </c>
      <c r="DD23" s="212">
        <v>-143.1</v>
      </c>
      <c r="DE23" s="212">
        <f>SUM(T23:W23)</f>
        <v>-134.39999999999998</v>
      </c>
      <c r="DF23" s="212">
        <f>SUM(X23:AA23)</f>
        <v>-173.2</v>
      </c>
      <c r="DG23" s="212">
        <f>SUM(AB23:AE23)</f>
        <v>-192.2</v>
      </c>
      <c r="DH23" s="212">
        <f>SUM(AF23:AI23)</f>
        <v>-114</v>
      </c>
      <c r="DI23" s="212">
        <f>SUM(AJ23:AM23)</f>
        <v>-157</v>
      </c>
      <c r="DJ23" s="212">
        <f>SUM(AN23:AQ23)</f>
        <v>-153.70000000000002</v>
      </c>
      <c r="DK23" s="212">
        <f>SUM(AR23:AU23)</f>
        <v>-143.33000000000001</v>
      </c>
      <c r="DL23" s="212">
        <f>SUM(AV23:AY23)</f>
        <v>-73.984800000000007</v>
      </c>
      <c r="DM23" s="212">
        <f>SUM(AZ23:BC23)</f>
        <v>-103.09546112000001</v>
      </c>
      <c r="DN23" s="212">
        <f>SUM(BD23:BG23)</f>
        <v>-137.66</v>
      </c>
      <c r="DO23" s="212">
        <f>SUM(BH23:BK23)</f>
        <v>-139.19000000000003</v>
      </c>
      <c r="DP23" s="212">
        <f>SUM(BL23:BO23)</f>
        <v>-66.2</v>
      </c>
      <c r="DQ23" s="212">
        <f>SUM(BP23:BS23)</f>
        <v>-76.7</v>
      </c>
      <c r="DR23" s="212">
        <f>SUM(BT23:BW23)</f>
        <v>-139.19999999999999</v>
      </c>
      <c r="DS23" s="212">
        <f>SUM(BX23:CA23)</f>
        <v>-126.4</v>
      </c>
      <c r="DT23" s="354">
        <f>SUM(CB23:CE23)</f>
        <v>-220.5</v>
      </c>
      <c r="DU23" s="354">
        <f>SUM(CF23:CI23)</f>
        <v>-270.5</v>
      </c>
      <c r="DV23" s="354">
        <f>SUM(CJ23:CM23)</f>
        <v>-328.6</v>
      </c>
      <c r="DW23" s="354">
        <f>SUM(CN23:CQ23)</f>
        <v>-393.8</v>
      </c>
      <c r="DX23" s="212">
        <f>SUM(CR23:CU23)</f>
        <v>-412.29999999999995</v>
      </c>
      <c r="DY23" s="212">
        <f>SUM(CV23:CY23)</f>
        <v>-383.88020552650755</v>
      </c>
      <c r="DZ23" s="212">
        <f>-DZ24*DZ21</f>
        <v>-395.24376847677786</v>
      </c>
      <c r="EA23" s="212">
        <f>-EA24*EA21</f>
        <v>-388.60211564925856</v>
      </c>
      <c r="EB23" s="212">
        <f>-EB24*EB21</f>
        <v>-379.2718390531474</v>
      </c>
      <c r="EC23" s="212">
        <f>-EC24*EC21</f>
        <v>-364.77601222470315</v>
      </c>
      <c r="ED23" s="212">
        <f>-ED24*ED21</f>
        <v>-345.03051349319691</v>
      </c>
      <c r="EE23" s="199"/>
      <c r="EF23"/>
      <c r="EG23"/>
      <c r="EH23"/>
      <c r="EI23"/>
      <c r="EJ23"/>
      <c r="EK23"/>
    </row>
    <row r="24" spans="1:141" s="265" customFormat="1">
      <c r="A24" s="258"/>
      <c r="B24" s="259" t="s">
        <v>209</v>
      </c>
      <c r="C24" s="260"/>
      <c r="D24" s="266">
        <f t="shared" ref="D24:AI24" si="47">-D23/D21</f>
        <v>0.52898550724637317</v>
      </c>
      <c r="E24" s="263">
        <f t="shared" si="47"/>
        <v>0.48661800486617984</v>
      </c>
      <c r="F24" s="263">
        <f t="shared" si="47"/>
        <v>0.55633802816901501</v>
      </c>
      <c r="G24" s="264">
        <f t="shared" si="47"/>
        <v>0.43421052631578949</v>
      </c>
      <c r="H24" s="263">
        <f t="shared" si="47"/>
        <v>0.45859872611464925</v>
      </c>
      <c r="I24" s="263">
        <f t="shared" si="47"/>
        <v>0.41260162601626049</v>
      </c>
      <c r="J24" s="263">
        <f t="shared" si="47"/>
        <v>0.41176470588235448</v>
      </c>
      <c r="K24" s="264">
        <f t="shared" si="47"/>
        <v>0.37688442211055229</v>
      </c>
      <c r="L24" s="263">
        <f t="shared" si="47"/>
        <v>0.39294117647058896</v>
      </c>
      <c r="M24" s="263">
        <f t="shared" si="47"/>
        <v>0.39999999999999958</v>
      </c>
      <c r="N24" s="263">
        <f t="shared" si="47"/>
        <v>0.40240963855421868</v>
      </c>
      <c r="O24" s="264">
        <f t="shared" si="47"/>
        <v>0.40395809080325962</v>
      </c>
      <c r="P24" s="263">
        <f t="shared" si="47"/>
        <v>0.39625360230547491</v>
      </c>
      <c r="Q24" s="263">
        <f t="shared" si="47"/>
        <v>0.40448343079922022</v>
      </c>
      <c r="R24" s="263">
        <f t="shared" si="47"/>
        <v>0.41439999999999882</v>
      </c>
      <c r="S24" s="264">
        <f t="shared" si="47"/>
        <v>0.41267123287671303</v>
      </c>
      <c r="T24" s="263">
        <f t="shared" si="47"/>
        <v>0.39358974358974452</v>
      </c>
      <c r="U24" s="263">
        <f t="shared" si="47"/>
        <v>0.39502762430939259</v>
      </c>
      <c r="V24" s="263">
        <f t="shared" si="47"/>
        <v>0.39325842696629221</v>
      </c>
      <c r="W24" s="264">
        <f t="shared" si="47"/>
        <v>0.38935108153078091</v>
      </c>
      <c r="X24" s="263">
        <f t="shared" si="47"/>
        <v>0.38956310679611744</v>
      </c>
      <c r="Y24" s="263">
        <f t="shared" si="47"/>
        <v>0.39334955393349619</v>
      </c>
      <c r="Z24" s="263">
        <f t="shared" si="47"/>
        <v>0.41343283582089768</v>
      </c>
      <c r="AA24" s="264">
        <f t="shared" si="47"/>
        <v>0.41443167305236245</v>
      </c>
      <c r="AB24" s="263">
        <f t="shared" si="47"/>
        <v>0.41008563273073262</v>
      </c>
      <c r="AC24" s="263">
        <f t="shared" si="47"/>
        <v>0.40984697272122433</v>
      </c>
      <c r="AD24" s="263">
        <f t="shared" si="47"/>
        <v>0.40888208269525439</v>
      </c>
      <c r="AE24" s="264">
        <f t="shared" si="47"/>
        <v>0.41053342336259357</v>
      </c>
      <c r="AF24" s="263">
        <f t="shared" si="47"/>
        <v>0.31809145129224592</v>
      </c>
      <c r="AG24" s="263">
        <f t="shared" si="47"/>
        <v>0.31827111984282852</v>
      </c>
      <c r="AH24" s="263">
        <f t="shared" si="47"/>
        <v>0.31699346405228901</v>
      </c>
      <c r="AI24" s="264">
        <f t="shared" si="47"/>
        <v>0.32083333333333375</v>
      </c>
      <c r="AJ24" s="263">
        <f t="shared" ref="AJ24:BO24" si="48">-AJ23/AJ21</f>
        <v>0.33524355300859637</v>
      </c>
      <c r="AK24" s="263">
        <f t="shared" si="48"/>
        <v>0.33463035019455328</v>
      </c>
      <c r="AL24" s="263">
        <f t="shared" si="48"/>
        <v>0.33549083063646107</v>
      </c>
      <c r="AM24" s="264">
        <f t="shared" si="48"/>
        <v>0.33521126760563397</v>
      </c>
      <c r="AN24" s="263">
        <f t="shared" si="48"/>
        <v>0.30000000000000027</v>
      </c>
      <c r="AO24" s="263">
        <f t="shared" si="48"/>
        <v>0.29993275050437157</v>
      </c>
      <c r="AP24" s="263">
        <f t="shared" si="48"/>
        <v>0.28003784295175072</v>
      </c>
      <c r="AQ24" s="264">
        <f t="shared" si="48"/>
        <v>0.27571115973741783</v>
      </c>
      <c r="AR24" s="263">
        <f t="shared" si="48"/>
        <v>0.27460317460317335</v>
      </c>
      <c r="AS24" s="263">
        <f t="shared" si="48"/>
        <v>0.26935179358086858</v>
      </c>
      <c r="AT24" s="263">
        <f t="shared" si="48"/>
        <v>0.27816635160680453</v>
      </c>
      <c r="AU24" s="264">
        <f t="shared" si="48"/>
        <v>0.22884012539184875</v>
      </c>
      <c r="AV24" s="263">
        <f t="shared" si="48"/>
        <v>-5.9179310344829652</v>
      </c>
      <c r="AW24" s="263">
        <f t="shared" si="48"/>
        <v>0.24475524475524335</v>
      </c>
      <c r="AX24" s="263">
        <f t="shared" si="48"/>
        <v>0.6926164186269772</v>
      </c>
      <c r="AY24" s="264">
        <f t="shared" si="48"/>
        <v>0.76854066985645419</v>
      </c>
      <c r="AZ24" s="263">
        <f t="shared" si="48"/>
        <v>0.59814814814813233</v>
      </c>
      <c r="BA24" s="263">
        <f t="shared" si="48"/>
        <v>0.73141371387387855</v>
      </c>
      <c r="BB24" s="263">
        <f t="shared" si="48"/>
        <v>-0.96787878787877069</v>
      </c>
      <c r="BC24" s="264">
        <f t="shared" si="48"/>
        <v>0.55795886075949286</v>
      </c>
      <c r="BD24" s="263">
        <f t="shared" si="48"/>
        <v>0.39034926470588038</v>
      </c>
      <c r="BE24" s="263">
        <f t="shared" si="48"/>
        <v>0.2160527762506872</v>
      </c>
      <c r="BF24" s="263">
        <f t="shared" si="48"/>
        <v>0.33197343453510464</v>
      </c>
      <c r="BG24" s="264">
        <f t="shared" si="48"/>
        <v>0.14928571428571435</v>
      </c>
      <c r="BH24" s="263">
        <f t="shared" si="48"/>
        <v>0.20423048869438354</v>
      </c>
      <c r="BI24" s="263">
        <f t="shared" si="48"/>
        <v>0.45597014925373125</v>
      </c>
      <c r="BJ24" s="263">
        <f t="shared" si="48"/>
        <v>-1.4041825095056935</v>
      </c>
      <c r="BK24" s="264">
        <f t="shared" si="48"/>
        <v>-0.19845520082389306</v>
      </c>
      <c r="BL24" s="263">
        <f t="shared" si="48"/>
        <v>-9.8601913171449798E-2</v>
      </c>
      <c r="BM24" s="263">
        <f t="shared" si="48"/>
        <v>-0.11618257261410789</v>
      </c>
      <c r="BN24" s="263">
        <f t="shared" si="48"/>
        <v>0.30173775671405961</v>
      </c>
      <c r="BO24" s="264">
        <f t="shared" si="48"/>
        <v>0.26621621621621555</v>
      </c>
      <c r="BP24" s="263">
        <f t="shared" ref="BP24:CT24" si="49">-BP23/BP21</f>
        <v>0.24745417515274945</v>
      </c>
      <c r="BQ24" s="263">
        <f t="shared" si="49"/>
        <v>0.16717325227963514</v>
      </c>
      <c r="BR24" s="263">
        <f t="shared" si="49"/>
        <v>6.0921248142644831E-2</v>
      </c>
      <c r="BS24" s="264">
        <f t="shared" si="49"/>
        <v>7.6190476190476086E-2</v>
      </c>
      <c r="BT24" s="263">
        <f t="shared" si="49"/>
        <v>0.19687347337567207</v>
      </c>
      <c r="BU24" s="263">
        <f t="shared" si="49"/>
        <v>0.18515037593984929</v>
      </c>
      <c r="BV24" s="263">
        <f t="shared" si="49"/>
        <v>0.21836865767501612</v>
      </c>
      <c r="BW24" s="264">
        <f t="shared" si="49"/>
        <v>0.15558267236119577</v>
      </c>
      <c r="BX24" s="432">
        <f t="shared" si="49"/>
        <v>0.2078740157480313</v>
      </c>
      <c r="BY24" s="432">
        <f t="shared" si="49"/>
        <v>0.17559863169897388</v>
      </c>
      <c r="BZ24" s="432">
        <f t="shared" si="49"/>
        <v>0.17038413878562578</v>
      </c>
      <c r="CA24" s="433">
        <f t="shared" si="49"/>
        <v>0.15719801434087133</v>
      </c>
      <c r="CB24" s="432">
        <f t="shared" si="49"/>
        <v>0.28293736501079869</v>
      </c>
      <c r="CC24" s="432">
        <f t="shared" si="49"/>
        <v>0.30403108305002396</v>
      </c>
      <c r="CD24" s="432">
        <f t="shared" si="49"/>
        <v>0.3252480705622936</v>
      </c>
      <c r="CE24" s="433">
        <f t="shared" si="49"/>
        <v>0.25493421052631504</v>
      </c>
      <c r="CF24" s="432">
        <f t="shared" si="49"/>
        <v>0.30039700044111151</v>
      </c>
      <c r="CG24" s="432">
        <f t="shared" si="49"/>
        <v>0.27878548895898952</v>
      </c>
      <c r="CH24" s="432">
        <f t="shared" si="49"/>
        <v>0.28141361256544517</v>
      </c>
      <c r="CI24" s="433">
        <f t="shared" si="49"/>
        <v>0.2616822429906544</v>
      </c>
      <c r="CJ24" s="432">
        <f t="shared" si="49"/>
        <v>0.28823088455772072</v>
      </c>
      <c r="CK24" s="432">
        <f t="shared" si="49"/>
        <v>0.27535321821035996</v>
      </c>
      <c r="CL24" s="432">
        <f t="shared" si="49"/>
        <v>0.27093425605536275</v>
      </c>
      <c r="CM24" s="433">
        <f t="shared" si="49"/>
        <v>0.24591104734576727</v>
      </c>
      <c r="CN24" s="432">
        <f t="shared" si="49"/>
        <v>0.27615734546427623</v>
      </c>
      <c r="CO24" s="432">
        <f t="shared" si="49"/>
        <v>0.27696643607481392</v>
      </c>
      <c r="CP24" s="432">
        <f t="shared" si="49"/>
        <v>0.2657670871223235</v>
      </c>
      <c r="CQ24" s="433">
        <f t="shared" si="49"/>
        <v>0.24146085128744049</v>
      </c>
      <c r="CR24" s="432">
        <f t="shared" si="49"/>
        <v>0.25700712589073621</v>
      </c>
      <c r="CS24" s="432">
        <f t="shared" si="49"/>
        <v>0.25338310779281353</v>
      </c>
      <c r="CT24" s="432">
        <f t="shared" si="49"/>
        <v>0.23906250000000009</v>
      </c>
      <c r="CU24" s="433">
        <f t="shared" ref="CU24" si="50">-CU23/CU21</f>
        <v>0.24457547169811283</v>
      </c>
      <c r="CV24" s="256">
        <v>0.22</v>
      </c>
      <c r="CW24" s="256">
        <f>CV24</f>
        <v>0.22</v>
      </c>
      <c r="CX24" s="256">
        <f t="shared" ref="CX24:CY24" si="51">CW24</f>
        <v>0.22</v>
      </c>
      <c r="CY24" s="257">
        <f t="shared" si="51"/>
        <v>0.22</v>
      </c>
      <c r="DA24" s="263">
        <f t="shared" ref="DA24:DX24" si="52">-DA23/DA21</f>
        <v>0.47951176983435012</v>
      </c>
      <c r="DB24" s="263">
        <f t="shared" si="52"/>
        <v>0.40813731722822638</v>
      </c>
      <c r="DC24" s="263">
        <f t="shared" si="52"/>
        <v>0.40055248618784428</v>
      </c>
      <c r="DD24" s="263">
        <f t="shared" si="52"/>
        <v>0.40734415029888915</v>
      </c>
      <c r="DE24" s="263">
        <f t="shared" si="52"/>
        <v>0.39252336448597963</v>
      </c>
      <c r="DF24" s="263">
        <f t="shared" si="52"/>
        <v>0.40344747262986352</v>
      </c>
      <c r="DG24" s="263">
        <f t="shared" si="52"/>
        <v>0.40998293515358331</v>
      </c>
      <c r="DH24" s="263">
        <f t="shared" si="52"/>
        <v>0.31905961376994063</v>
      </c>
      <c r="DI24" s="263">
        <f t="shared" si="52"/>
        <v>0.33511205976520858</v>
      </c>
      <c r="DJ24" s="263">
        <f t="shared" si="52"/>
        <v>0.28771995507300652</v>
      </c>
      <c r="DK24" s="263">
        <f t="shared" si="52"/>
        <v>0.26050527081061509</v>
      </c>
      <c r="DL24" s="263">
        <f t="shared" si="52"/>
        <v>0.83626992200744865</v>
      </c>
      <c r="DM24" s="263">
        <f t="shared" si="52"/>
        <v>0.91721940498218302</v>
      </c>
      <c r="DN24" s="263">
        <f t="shared" si="52"/>
        <v>0.25678045140831834</v>
      </c>
      <c r="DO24" s="263">
        <f t="shared" si="52"/>
        <v>1.0364110201042451</v>
      </c>
      <c r="DP24" s="263">
        <f t="shared" si="52"/>
        <v>-0.55583543240973787</v>
      </c>
      <c r="DQ24" s="263">
        <f t="shared" si="52"/>
        <v>0.1328828828828825</v>
      </c>
      <c r="DR24" s="263">
        <f t="shared" si="52"/>
        <v>0.18884818884818894</v>
      </c>
      <c r="DS24" s="263">
        <f t="shared" si="52"/>
        <v>0.17837990403612786</v>
      </c>
      <c r="DT24" s="432">
        <f t="shared" si="52"/>
        <v>0.292091667770565</v>
      </c>
      <c r="DU24" s="432">
        <f t="shared" si="52"/>
        <v>0.27993376798095754</v>
      </c>
      <c r="DV24" s="432">
        <f t="shared" si="52"/>
        <v>0.26872751063133737</v>
      </c>
      <c r="DW24" s="432">
        <f t="shared" si="52"/>
        <v>0.26509592729720621</v>
      </c>
      <c r="DX24" s="263">
        <f t="shared" si="52"/>
        <v>0.24873310810810761</v>
      </c>
      <c r="DY24" s="263">
        <f>-DY23/DY21</f>
        <v>0.22000000000000014</v>
      </c>
      <c r="DZ24" s="256">
        <f>DY24</f>
        <v>0.22000000000000014</v>
      </c>
      <c r="EA24" s="256">
        <f>DZ24</f>
        <v>0.22000000000000014</v>
      </c>
      <c r="EB24" s="256">
        <f>EA24</f>
        <v>0.22000000000000014</v>
      </c>
      <c r="EC24" s="256">
        <f>EB24</f>
        <v>0.22000000000000014</v>
      </c>
      <c r="ED24" s="256">
        <f>EC24</f>
        <v>0.22000000000000014</v>
      </c>
      <c r="EE24" s="260"/>
      <c r="EF24"/>
      <c r="EG24"/>
      <c r="EH24"/>
      <c r="EI24"/>
      <c r="EJ24"/>
      <c r="EK24"/>
    </row>
    <row r="25" spans="1:141" s="137" customFormat="1">
      <c r="A25" s="193"/>
      <c r="B25" s="200" t="s">
        <v>210</v>
      </c>
      <c r="C25" s="200"/>
      <c r="D25" s="220">
        <v>0</v>
      </c>
      <c r="E25" s="221">
        <v>0</v>
      </c>
      <c r="F25" s="221">
        <v>0</v>
      </c>
      <c r="G25" s="222">
        <v>0</v>
      </c>
      <c r="H25" s="221">
        <v>0</v>
      </c>
      <c r="I25" s="221">
        <v>0</v>
      </c>
      <c r="J25" s="221">
        <v>0</v>
      </c>
      <c r="K25" s="222">
        <v>0</v>
      </c>
      <c r="L25" s="221">
        <v>0</v>
      </c>
      <c r="M25" s="221">
        <v>0</v>
      </c>
      <c r="N25" s="221">
        <v>0</v>
      </c>
      <c r="O25" s="222">
        <v>0</v>
      </c>
      <c r="P25" s="221">
        <v>0</v>
      </c>
      <c r="Q25" s="221">
        <v>0</v>
      </c>
      <c r="R25" s="221">
        <v>0</v>
      </c>
      <c r="S25" s="222">
        <v>0</v>
      </c>
      <c r="T25" s="221">
        <v>0</v>
      </c>
      <c r="U25" s="221">
        <v>0</v>
      </c>
      <c r="V25" s="221">
        <v>0</v>
      </c>
      <c r="W25" s="222">
        <v>0</v>
      </c>
      <c r="X25" s="221">
        <v>0</v>
      </c>
      <c r="Y25" s="221">
        <v>0</v>
      </c>
      <c r="Z25" s="221">
        <v>0</v>
      </c>
      <c r="AA25" s="222">
        <v>0</v>
      </c>
      <c r="AB25" s="221">
        <v>0</v>
      </c>
      <c r="AC25" s="221">
        <v>0</v>
      </c>
      <c r="AD25" s="221">
        <v>0</v>
      </c>
      <c r="AE25" s="222">
        <v>0</v>
      </c>
      <c r="AF25" s="221">
        <v>0</v>
      </c>
      <c r="AG25" s="221">
        <v>0</v>
      </c>
      <c r="AH25" s="221">
        <v>0</v>
      </c>
      <c r="AI25" s="222">
        <v>0</v>
      </c>
      <c r="AJ25" s="221">
        <v>0</v>
      </c>
      <c r="AK25" s="221">
        <v>0</v>
      </c>
      <c r="AL25" s="221">
        <v>0</v>
      </c>
      <c r="AM25" s="222">
        <v>0</v>
      </c>
      <c r="AN25" s="221">
        <v>0</v>
      </c>
      <c r="AO25" s="221">
        <v>0</v>
      </c>
      <c r="AP25" s="221">
        <v>0</v>
      </c>
      <c r="AQ25" s="222">
        <v>0</v>
      </c>
      <c r="AR25" s="221">
        <v>0</v>
      </c>
      <c r="AS25" s="221">
        <v>0</v>
      </c>
      <c r="AT25" s="221">
        <v>0</v>
      </c>
      <c r="AU25" s="222">
        <v>0</v>
      </c>
      <c r="AV25" s="221">
        <v>0</v>
      </c>
      <c r="AW25" s="221">
        <v>0</v>
      </c>
      <c r="AX25" s="221">
        <v>0</v>
      </c>
      <c r="AY25" s="222">
        <v>0</v>
      </c>
      <c r="AZ25" s="221">
        <v>0</v>
      </c>
      <c r="BA25" s="221">
        <v>0</v>
      </c>
      <c r="BB25" s="221">
        <v>0</v>
      </c>
      <c r="BC25" s="222">
        <v>0</v>
      </c>
      <c r="BD25" s="221">
        <v>0</v>
      </c>
      <c r="BE25" s="221">
        <v>0</v>
      </c>
      <c r="BF25" s="221">
        <v>0</v>
      </c>
      <c r="BG25" s="222">
        <v>0</v>
      </c>
      <c r="BH25" s="221">
        <v>-4</v>
      </c>
      <c r="BI25" s="221">
        <v>-6.5</v>
      </c>
      <c r="BJ25" s="221">
        <v>-5.8</v>
      </c>
      <c r="BK25" s="222">
        <v>-9.1999999999999993</v>
      </c>
      <c r="BL25" s="221">
        <v>-2</v>
      </c>
      <c r="BM25" s="221">
        <v>-5.2</v>
      </c>
      <c r="BN25" s="221">
        <v>-5.7</v>
      </c>
      <c r="BO25" s="222">
        <v>0.60000000000000142</v>
      </c>
      <c r="BP25" s="221">
        <v>-7.7</v>
      </c>
      <c r="BQ25" s="221">
        <v>-5.5</v>
      </c>
      <c r="BR25" s="221">
        <v>-3.2</v>
      </c>
      <c r="BS25" s="222">
        <v>-6.7</v>
      </c>
      <c r="BT25" s="221">
        <v>-6.7</v>
      </c>
      <c r="BU25" s="221">
        <v>-8.1999999999999993</v>
      </c>
      <c r="BV25" s="221">
        <v>-7.4</v>
      </c>
      <c r="BW25" s="222">
        <v>-7.4</v>
      </c>
      <c r="BX25" s="355">
        <v>-10.3</v>
      </c>
      <c r="BY25" s="355">
        <v>-9.1999999999999993</v>
      </c>
      <c r="BZ25" s="355">
        <v>-6.7</v>
      </c>
      <c r="CA25" s="434">
        <v>-8.1999999999999993</v>
      </c>
      <c r="CB25" s="355">
        <v>-8.4</v>
      </c>
      <c r="CC25" s="355">
        <v>-5</v>
      </c>
      <c r="CD25" s="355">
        <v>-3.9</v>
      </c>
      <c r="CE25" s="434">
        <v>-7.1</v>
      </c>
      <c r="CF25" s="355">
        <v>-6.6</v>
      </c>
      <c r="CG25" s="355">
        <v>-9.3000000000000007</v>
      </c>
      <c r="CH25" s="355">
        <v>-7.8</v>
      </c>
      <c r="CI25" s="434">
        <v>-6.2</v>
      </c>
      <c r="CJ25" s="355">
        <v>-9.4</v>
      </c>
      <c r="CK25" s="355">
        <v>-11</v>
      </c>
      <c r="CL25" s="355">
        <v>-12.3</v>
      </c>
      <c r="CM25" s="434">
        <v>-17.600000000000001</v>
      </c>
      <c r="CN25" s="355">
        <v>-14.1</v>
      </c>
      <c r="CO25" s="355">
        <v>-12.1</v>
      </c>
      <c r="CP25" s="355">
        <v>-20.6</v>
      </c>
      <c r="CQ25" s="434">
        <v>-18.600000000000001</v>
      </c>
      <c r="CR25" s="355">
        <v>-12.7</v>
      </c>
      <c r="CS25" s="355">
        <v>-15.1</v>
      </c>
      <c r="CT25" s="355">
        <v>-19.8</v>
      </c>
      <c r="CU25" s="434">
        <v>-19.899999999999999</v>
      </c>
      <c r="CV25" s="218">
        <f>(CV21+CV23)*CU25/(CU21+CU23)</f>
        <v>-21.814142563960623</v>
      </c>
      <c r="CW25" s="218">
        <f>(CW21+CW23)*CV25/(CV21+CV23)</f>
        <v>-22.176957068425875</v>
      </c>
      <c r="CX25" s="218">
        <f>(CX21+CX23)*CW25/(CW21+CW23)</f>
        <v>-19.945573586346438</v>
      </c>
      <c r="CY25" s="219">
        <f>(CY21+CY23)*CX25/(CX21+CX23)</f>
        <v>-20.623093905588522</v>
      </c>
      <c r="DA25" s="542">
        <v>0</v>
      </c>
      <c r="DB25" s="542">
        <v>0</v>
      </c>
      <c r="DC25" s="542">
        <v>0</v>
      </c>
      <c r="DD25" s="542">
        <v>0</v>
      </c>
      <c r="DE25" s="542">
        <f>SUM(T25:W25)</f>
        <v>0</v>
      </c>
      <c r="DF25" s="542">
        <f>SUM(X25:AA25)</f>
        <v>0</v>
      </c>
      <c r="DG25" s="542">
        <f>SUM(AB25:AE25)</f>
        <v>0</v>
      </c>
      <c r="DH25" s="542">
        <f>SUM(AF25:AI25)</f>
        <v>0</v>
      </c>
      <c r="DI25" s="542">
        <f>SUM(AJ25:AM25)</f>
        <v>0</v>
      </c>
      <c r="DJ25" s="542">
        <f>SUM(AN25:AQ25)</f>
        <v>0</v>
      </c>
      <c r="DK25" s="542">
        <f>SUM(AR25:AU25)</f>
        <v>0</v>
      </c>
      <c r="DL25" s="542">
        <f>SUM(AV25:AY25)</f>
        <v>0</v>
      </c>
      <c r="DM25" s="542">
        <f>SUM(AZ25:BC25)</f>
        <v>0</v>
      </c>
      <c r="DN25" s="542">
        <f>SUM(BD25:BG25)</f>
        <v>0</v>
      </c>
      <c r="DO25" s="542">
        <f>SUM(BH25:BK25)</f>
        <v>-25.5</v>
      </c>
      <c r="DP25" s="542">
        <f>SUM(BL25:BO25)</f>
        <v>-12.299999999999999</v>
      </c>
      <c r="DQ25" s="542">
        <f>SUM(BP25:BS25)</f>
        <v>-23.099999999999998</v>
      </c>
      <c r="DR25" s="542">
        <f>SUM(BT25:BW25)</f>
        <v>-29.699999999999996</v>
      </c>
      <c r="DS25" s="542">
        <f>SUM(BX25:CA25)</f>
        <v>-34.4</v>
      </c>
      <c r="DT25" s="543">
        <f>SUM(CB25:CE25)</f>
        <v>-24.4</v>
      </c>
      <c r="DU25" s="543">
        <f>SUM(CF25:CI25)</f>
        <v>-29.9</v>
      </c>
      <c r="DV25" s="543">
        <f>SUM(CJ25:CM25)</f>
        <v>-50.300000000000004</v>
      </c>
      <c r="DW25" s="543">
        <f>SUM(CN25:CQ25)</f>
        <v>-65.400000000000006</v>
      </c>
      <c r="DX25" s="542">
        <f>SUM(CR25:CU25)</f>
        <v>-67.5</v>
      </c>
      <c r="DY25" s="542">
        <f>SUM(CV25:CY25)</f>
        <v>-84.559767124321453</v>
      </c>
      <c r="DZ25" s="221">
        <f>(DZ21+DZ23)*DY25/(DY21+DY23)</f>
        <v>-87.062892377835141</v>
      </c>
      <c r="EA25" s="221">
        <f t="shared" ref="EA25:ED25" si="53">(EA21+EA23)*DZ25/(DZ21+DZ23)</f>
        <v>-85.599892701555021</v>
      </c>
      <c r="EB25" s="221">
        <f t="shared" si="53"/>
        <v>-83.544652538570929</v>
      </c>
      <c r="EC25" s="221">
        <f t="shared" si="53"/>
        <v>-80.351563331987435</v>
      </c>
      <c r="ED25" s="221">
        <f t="shared" si="53"/>
        <v>-76.002095059197188</v>
      </c>
      <c r="EE25" s="199"/>
      <c r="EF25"/>
      <c r="EG25"/>
      <c r="EH25"/>
      <c r="EI25"/>
      <c r="EJ25"/>
      <c r="EK25"/>
    </row>
    <row r="26" spans="1:141" s="251" customFormat="1">
      <c r="A26" s="245"/>
      <c r="B26" s="246" t="s">
        <v>220</v>
      </c>
      <c r="C26" s="246"/>
      <c r="D26" s="247">
        <f t="shared" ref="D26:AI26" si="54">D21+D23+D25</f>
        <v>6.500000000000095</v>
      </c>
      <c r="E26" s="248">
        <f t="shared" si="54"/>
        <v>21.100000000000016</v>
      </c>
      <c r="F26" s="248">
        <f t="shared" si="54"/>
        <v>6.2999999999999776</v>
      </c>
      <c r="G26" s="249">
        <f t="shared" si="54"/>
        <v>25.8</v>
      </c>
      <c r="H26" s="248">
        <f t="shared" si="54"/>
        <v>17.000000000000028</v>
      </c>
      <c r="I26" s="248">
        <f t="shared" si="54"/>
        <v>28.899999999999959</v>
      </c>
      <c r="J26" s="248">
        <f t="shared" si="54"/>
        <v>9.9999999999999361</v>
      </c>
      <c r="K26" s="249">
        <f t="shared" si="54"/>
        <v>37.200000000000074</v>
      </c>
      <c r="L26" s="248">
        <f t="shared" si="54"/>
        <v>25.799999999999923</v>
      </c>
      <c r="M26" s="248">
        <f t="shared" si="54"/>
        <v>50.100000000000087</v>
      </c>
      <c r="N26" s="248">
        <f t="shared" si="54"/>
        <v>24.799999999999809</v>
      </c>
      <c r="O26" s="249">
        <f t="shared" si="54"/>
        <v>51.2</v>
      </c>
      <c r="P26" s="248">
        <f t="shared" si="54"/>
        <v>41.900000000000105</v>
      </c>
      <c r="Q26" s="248">
        <f t="shared" si="54"/>
        <v>61.100000000000009</v>
      </c>
      <c r="R26" s="248">
        <f t="shared" si="54"/>
        <v>36.600000000000172</v>
      </c>
      <c r="S26" s="249">
        <f t="shared" si="54"/>
        <v>68.59999999999981</v>
      </c>
      <c r="T26" s="248">
        <f t="shared" si="54"/>
        <v>47.299999999999812</v>
      </c>
      <c r="U26" s="248">
        <f t="shared" si="54"/>
        <v>65.699999999999903</v>
      </c>
      <c r="V26" s="248">
        <f t="shared" si="54"/>
        <v>21.599999999999994</v>
      </c>
      <c r="W26" s="249">
        <f t="shared" si="54"/>
        <v>73.400000000000347</v>
      </c>
      <c r="X26" s="248">
        <f t="shared" si="54"/>
        <v>50.299999999999805</v>
      </c>
      <c r="Y26" s="248">
        <f t="shared" si="54"/>
        <v>74.799999999999798</v>
      </c>
      <c r="Z26" s="248">
        <f t="shared" si="54"/>
        <v>39.299999999999642</v>
      </c>
      <c r="AA26" s="249">
        <f t="shared" si="54"/>
        <v>91.700000000000102</v>
      </c>
      <c r="AB26" s="248">
        <f t="shared" si="54"/>
        <v>62.000000000000007</v>
      </c>
      <c r="AC26" s="248">
        <f t="shared" si="54"/>
        <v>88.69999999999996</v>
      </c>
      <c r="AD26" s="248">
        <f t="shared" si="54"/>
        <v>38.599999999999724</v>
      </c>
      <c r="AE26" s="249">
        <f t="shared" si="54"/>
        <v>87.299999999999741</v>
      </c>
      <c r="AF26" s="248">
        <f t="shared" si="54"/>
        <v>34.300000000000097</v>
      </c>
      <c r="AG26" s="248">
        <f t="shared" si="54"/>
        <v>69.400000000000176</v>
      </c>
      <c r="AH26" s="248">
        <f t="shared" si="54"/>
        <v>41.79999999999972</v>
      </c>
      <c r="AI26" s="249">
        <f t="shared" si="54"/>
        <v>97.799999999999827</v>
      </c>
      <c r="AJ26" s="248">
        <f t="shared" ref="AJ26:BO26" si="55">AJ21+AJ23+AJ25</f>
        <v>46.399999999999913</v>
      </c>
      <c r="AK26" s="248">
        <f t="shared" si="55"/>
        <v>85.499999999999716</v>
      </c>
      <c r="AL26" s="248">
        <f t="shared" si="55"/>
        <v>61.600000000000186</v>
      </c>
      <c r="AM26" s="249">
        <f t="shared" si="55"/>
        <v>117.99999999999991</v>
      </c>
      <c r="AN26" s="248">
        <f t="shared" si="55"/>
        <v>67.89999999999992</v>
      </c>
      <c r="AO26" s="248">
        <f t="shared" si="55"/>
        <v>104.09999999999982</v>
      </c>
      <c r="AP26" s="248">
        <f t="shared" si="55"/>
        <v>76.099999999999824</v>
      </c>
      <c r="AQ26" s="249">
        <f t="shared" si="55"/>
        <v>132.40000000000006</v>
      </c>
      <c r="AR26" s="248">
        <f t="shared" si="55"/>
        <v>91.400000000000574</v>
      </c>
      <c r="AS26" s="248">
        <f t="shared" si="55"/>
        <v>116.09999999999992</v>
      </c>
      <c r="AT26" s="248">
        <f t="shared" si="55"/>
        <v>76.370000000000289</v>
      </c>
      <c r="AU26" s="249">
        <f t="shared" si="55"/>
        <v>123.00000000000054</v>
      </c>
      <c r="AV26" s="248">
        <f t="shared" si="55"/>
        <v>-20.061999999999902</v>
      </c>
      <c r="AW26" s="248">
        <f t="shared" si="55"/>
        <v>21.600000000000165</v>
      </c>
      <c r="AX26" s="248">
        <f t="shared" si="55"/>
        <v>-6.4028000000000951</v>
      </c>
      <c r="AY26" s="249">
        <f t="shared" si="55"/>
        <v>19.350000000000563</v>
      </c>
      <c r="AZ26" s="248">
        <f t="shared" si="55"/>
        <v>5.425000000000356</v>
      </c>
      <c r="BA26" s="248">
        <f t="shared" si="55"/>
        <v>14.906538879999644</v>
      </c>
      <c r="BB26" s="248">
        <f t="shared" si="55"/>
        <v>-38.964000000000354</v>
      </c>
      <c r="BC26" s="249">
        <f t="shared" si="55"/>
        <v>27.93700000000009</v>
      </c>
      <c r="BD26" s="248">
        <f t="shared" si="55"/>
        <v>66.330000000000553</v>
      </c>
      <c r="BE26" s="248">
        <f t="shared" si="55"/>
        <v>142.59999999999997</v>
      </c>
      <c r="BF26" s="248">
        <f t="shared" si="55"/>
        <v>70.409999999999911</v>
      </c>
      <c r="BG26" s="249">
        <f t="shared" si="55"/>
        <v>119.09999999999991</v>
      </c>
      <c r="BH26" s="248">
        <f t="shared" si="55"/>
        <v>105.10000000000008</v>
      </c>
      <c r="BI26" s="248">
        <f t="shared" si="55"/>
        <v>59.110000000000014</v>
      </c>
      <c r="BJ26" s="248">
        <f t="shared" si="55"/>
        <v>-69.030000000000186</v>
      </c>
      <c r="BK26" s="249">
        <f t="shared" si="55"/>
        <v>-125.56999999999991</v>
      </c>
      <c r="BL26" s="248">
        <f t="shared" si="55"/>
        <v>-151.29999999999973</v>
      </c>
      <c r="BM26" s="248">
        <f t="shared" si="55"/>
        <v>-139.69999999999999</v>
      </c>
      <c r="BN26" s="248">
        <f t="shared" si="55"/>
        <v>38.500000000000092</v>
      </c>
      <c r="BO26" s="249">
        <f t="shared" si="55"/>
        <v>54.900000000000183</v>
      </c>
      <c r="BP26" s="248">
        <f t="shared" ref="BP26:CT26" si="56">BP21+BP23+BP25</f>
        <v>66.200000000000017</v>
      </c>
      <c r="BQ26" s="248">
        <f t="shared" si="56"/>
        <v>158.90000000000015</v>
      </c>
      <c r="BR26" s="248">
        <f t="shared" si="56"/>
        <v>123.20000000000007</v>
      </c>
      <c r="BS26" s="249">
        <f t="shared" si="56"/>
        <v>129.10000000000022</v>
      </c>
      <c r="BT26" s="248">
        <f t="shared" si="56"/>
        <v>157.69999999999965</v>
      </c>
      <c r="BU26" s="248">
        <f t="shared" si="56"/>
        <v>165.20000000000039</v>
      </c>
      <c r="BV26" s="248">
        <f t="shared" si="56"/>
        <v>114.29999999999995</v>
      </c>
      <c r="BW26" s="249">
        <f t="shared" si="56"/>
        <v>131.00000000000009</v>
      </c>
      <c r="BX26" s="440">
        <f t="shared" si="56"/>
        <v>140.60000000000019</v>
      </c>
      <c r="BY26" s="440">
        <f t="shared" si="56"/>
        <v>135.39999999999989</v>
      </c>
      <c r="BZ26" s="440">
        <f t="shared" si="56"/>
        <v>127.2</v>
      </c>
      <c r="CA26" s="441">
        <f t="shared" si="56"/>
        <v>144.60000000000019</v>
      </c>
      <c r="CB26" s="440">
        <f t="shared" si="56"/>
        <v>124.40000000000026</v>
      </c>
      <c r="CC26" s="440">
        <f t="shared" si="56"/>
        <v>138.30000000000024</v>
      </c>
      <c r="CD26" s="440">
        <f t="shared" si="56"/>
        <v>118.4999999999998</v>
      </c>
      <c r="CE26" s="441">
        <f t="shared" si="56"/>
        <v>128.80000000000052</v>
      </c>
      <c r="CF26" s="440">
        <f t="shared" si="56"/>
        <v>152.00000000000009</v>
      </c>
      <c r="CG26" s="440">
        <f t="shared" si="56"/>
        <v>173.6000000000009</v>
      </c>
      <c r="CH26" s="440">
        <f t="shared" si="56"/>
        <v>156.89999999999989</v>
      </c>
      <c r="CI26" s="441">
        <f t="shared" si="56"/>
        <v>183.39999999999986</v>
      </c>
      <c r="CJ26" s="440">
        <f t="shared" si="56"/>
        <v>180.5000000000004</v>
      </c>
      <c r="CK26" s="440">
        <f t="shared" si="56"/>
        <v>219.80000000000132</v>
      </c>
      <c r="CL26" s="440">
        <f t="shared" si="56"/>
        <v>198.40000000000055</v>
      </c>
      <c r="CM26" s="441">
        <f t="shared" si="56"/>
        <v>245.20000000000041</v>
      </c>
      <c r="CN26" s="440">
        <f t="shared" si="56"/>
        <v>256.39999999999992</v>
      </c>
      <c r="CO26" s="440">
        <f t="shared" si="56"/>
        <v>270.10000000000036</v>
      </c>
      <c r="CP26" s="440">
        <f t="shared" si="56"/>
        <v>229.69999999999973</v>
      </c>
      <c r="CQ26" s="441">
        <f t="shared" si="56"/>
        <v>270.10000000000059</v>
      </c>
      <c r="CR26" s="440">
        <f t="shared" si="56"/>
        <v>300.10000000000019</v>
      </c>
      <c r="CS26" s="440">
        <f t="shared" si="56"/>
        <v>304.90000000000043</v>
      </c>
      <c r="CT26" s="440">
        <f t="shared" si="56"/>
        <v>272.39999999999981</v>
      </c>
      <c r="CU26" s="441">
        <f t="shared" ref="CU26" si="57">CU21+CU23+CU25</f>
        <v>300.40000000000072</v>
      </c>
      <c r="CV26" s="862">
        <f t="shared" ref="CV26:CY26" si="58">CV21+CV23+CV25</f>
        <v>329.29489578963756</v>
      </c>
      <c r="CW26" s="862">
        <f t="shared" si="58"/>
        <v>334.77175393744471</v>
      </c>
      <c r="CX26" s="862">
        <f t="shared" si="58"/>
        <v>301.08795504213492</v>
      </c>
      <c r="CY26" s="250">
        <f t="shared" si="58"/>
        <v>311.31544770044258</v>
      </c>
      <c r="DA26" s="248">
        <f t="shared" ref="DA26:EA26" si="59">DA21+DA23+DA25</f>
        <v>59.700000000000088</v>
      </c>
      <c r="DB26" s="248">
        <f t="shared" si="59"/>
        <v>93.09999999999998</v>
      </c>
      <c r="DC26" s="248">
        <f t="shared" si="59"/>
        <v>151.90000000000066</v>
      </c>
      <c r="DD26" s="248">
        <f t="shared" si="59"/>
        <v>208.20000000000059</v>
      </c>
      <c r="DE26" s="248">
        <f t="shared" si="59"/>
        <v>208.00000000000142</v>
      </c>
      <c r="DF26" s="248">
        <f t="shared" si="59"/>
        <v>256.09999999999894</v>
      </c>
      <c r="DG26" s="248">
        <f t="shared" si="59"/>
        <v>276.60000000000036</v>
      </c>
      <c r="DH26" s="248">
        <f t="shared" si="59"/>
        <v>243.30000000000064</v>
      </c>
      <c r="DI26" s="248">
        <f t="shared" si="59"/>
        <v>311.49999999999932</v>
      </c>
      <c r="DJ26" s="248">
        <f t="shared" si="59"/>
        <v>380.49999999999977</v>
      </c>
      <c r="DK26" s="248">
        <f t="shared" si="59"/>
        <v>406.86999999999841</v>
      </c>
      <c r="DL26" s="248">
        <f t="shared" si="59"/>
        <v>14.485200000001214</v>
      </c>
      <c r="DM26" s="248">
        <f t="shared" si="59"/>
        <v>9.3045388800028661</v>
      </c>
      <c r="DN26" s="248">
        <f t="shared" si="59"/>
        <v>398.4400000000021</v>
      </c>
      <c r="DO26" s="248">
        <f t="shared" si="59"/>
        <v>-30.390000000000128</v>
      </c>
      <c r="DP26" s="248">
        <f t="shared" si="59"/>
        <v>-197.60000000000042</v>
      </c>
      <c r="DQ26" s="248">
        <f t="shared" si="59"/>
        <v>477.40000000000174</v>
      </c>
      <c r="DR26" s="248">
        <f t="shared" si="59"/>
        <v>568.19999999999959</v>
      </c>
      <c r="DS26" s="248">
        <f t="shared" si="59"/>
        <v>547.79999999999893</v>
      </c>
      <c r="DT26" s="440">
        <f t="shared" si="59"/>
        <v>510.00000000000171</v>
      </c>
      <c r="DU26" s="440">
        <f t="shared" si="59"/>
        <v>665.90000000000271</v>
      </c>
      <c r="DV26" s="440">
        <f t="shared" si="59"/>
        <v>843.90000000000248</v>
      </c>
      <c r="DW26" s="440">
        <f t="shared" si="59"/>
        <v>1026.3000000000006</v>
      </c>
      <c r="DX26" s="248">
        <f t="shared" si="59"/>
        <v>1177.8000000000031</v>
      </c>
      <c r="DY26" s="248">
        <f>DY21+DY23+DY25</f>
        <v>1276.4700524696586</v>
      </c>
      <c r="DZ26" s="248">
        <f t="shared" si="59"/>
        <v>1314.2559231307398</v>
      </c>
      <c r="EA26" s="248">
        <f t="shared" si="59"/>
        <v>1292.1712446003605</v>
      </c>
      <c r="EB26" s="248">
        <f t="shared" ref="EB26:ED26" si="60">EB21+EB23+EB25</f>
        <v>1261.1464131953142</v>
      </c>
      <c r="EC26" s="248">
        <f t="shared" si="60"/>
        <v>1212.9452072828681</v>
      </c>
      <c r="ED26" s="248">
        <f t="shared" si="60"/>
        <v>1147.2879073257727</v>
      </c>
      <c r="EE26" s="246"/>
      <c r="EF26"/>
      <c r="EG26"/>
      <c r="EH26"/>
      <c r="EI26"/>
      <c r="EJ26"/>
      <c r="EK26"/>
    </row>
    <row r="27" spans="1:141" s="137" customFormat="1" hidden="1" outlineLevel="1">
      <c r="A27" s="193"/>
      <c r="B27" s="205"/>
      <c r="C27" s="205"/>
      <c r="D27" s="206"/>
      <c r="E27" s="207"/>
      <c r="F27" s="207"/>
      <c r="G27" s="208"/>
      <c r="H27" s="207"/>
      <c r="I27" s="207"/>
      <c r="J27" s="207"/>
      <c r="K27" s="208"/>
      <c r="L27" s="207"/>
      <c r="M27" s="207"/>
      <c r="N27" s="207"/>
      <c r="O27" s="208"/>
      <c r="P27" s="207"/>
      <c r="Q27" s="207"/>
      <c r="R27" s="207"/>
      <c r="S27" s="208"/>
      <c r="T27" s="207"/>
      <c r="U27" s="207"/>
      <c r="V27" s="207"/>
      <c r="W27" s="208"/>
      <c r="X27" s="207"/>
      <c r="Y27" s="207"/>
      <c r="Z27" s="207"/>
      <c r="AA27" s="208"/>
      <c r="AB27" s="207"/>
      <c r="AC27" s="207"/>
      <c r="AD27" s="207"/>
      <c r="AE27" s="208"/>
      <c r="AF27" s="207"/>
      <c r="AG27" s="207"/>
      <c r="AH27" s="207"/>
      <c r="AI27" s="208"/>
      <c r="AJ27" s="207"/>
      <c r="AK27" s="207"/>
      <c r="AL27" s="207"/>
      <c r="AM27" s="208"/>
      <c r="AN27" s="207"/>
      <c r="AO27" s="207"/>
      <c r="AP27" s="207"/>
      <c r="AQ27" s="208"/>
      <c r="AR27" s="207"/>
      <c r="AS27" s="207"/>
      <c r="AT27" s="207"/>
      <c r="AU27" s="208"/>
      <c r="AV27" s="207"/>
      <c r="AW27" s="207"/>
      <c r="AX27" s="207"/>
      <c r="AY27" s="208"/>
      <c r="AZ27" s="207"/>
      <c r="BA27" s="207"/>
      <c r="BB27" s="207"/>
      <c r="BC27" s="208"/>
      <c r="BD27" s="207"/>
      <c r="BE27" s="207"/>
      <c r="BF27" s="207"/>
      <c r="BG27" s="208"/>
      <c r="BH27" s="207"/>
      <c r="BI27" s="207"/>
      <c r="BJ27" s="207"/>
      <c r="BK27" s="208"/>
      <c r="BL27" s="207"/>
      <c r="BM27" s="207"/>
      <c r="BN27" s="207"/>
      <c r="BO27" s="208"/>
      <c r="BP27" s="207"/>
      <c r="BQ27" s="207"/>
      <c r="BR27" s="207"/>
      <c r="BS27" s="208"/>
      <c r="BT27" s="207"/>
      <c r="BU27" s="207"/>
      <c r="BV27" s="207"/>
      <c r="BW27" s="208"/>
      <c r="BX27" s="353"/>
      <c r="BY27" s="353"/>
      <c r="BZ27" s="353"/>
      <c r="CA27" s="444"/>
      <c r="CB27" s="353"/>
      <c r="CC27" s="353"/>
      <c r="CD27" s="353"/>
      <c r="CE27" s="444"/>
      <c r="CF27" s="353"/>
      <c r="CG27" s="353"/>
      <c r="CH27" s="353"/>
      <c r="CI27" s="444"/>
      <c r="CJ27" s="353"/>
      <c r="CK27" s="353"/>
      <c r="CL27" s="353"/>
      <c r="CM27" s="444"/>
      <c r="CN27" s="353"/>
      <c r="CO27" s="353"/>
      <c r="CP27" s="353"/>
      <c r="CQ27" s="444"/>
      <c r="CR27" s="353"/>
      <c r="CS27" s="353"/>
      <c r="CT27" s="353"/>
      <c r="CU27" s="444"/>
      <c r="CV27" s="207"/>
      <c r="CW27" s="207"/>
      <c r="CX27" s="207"/>
      <c r="CY27" s="208"/>
      <c r="DA27" s="207"/>
      <c r="DB27" s="207"/>
      <c r="DC27" s="207"/>
      <c r="DD27" s="207"/>
      <c r="DE27" s="207"/>
      <c r="DF27" s="207"/>
      <c r="DG27" s="207"/>
      <c r="DH27" s="207"/>
      <c r="DI27" s="207"/>
      <c r="DJ27" s="207"/>
      <c r="DK27" s="207"/>
      <c r="DL27" s="207"/>
      <c r="DM27" s="207"/>
      <c r="DN27" s="207"/>
      <c r="DO27" s="207"/>
      <c r="DP27" s="207"/>
      <c r="DQ27" s="207"/>
      <c r="DR27" s="207"/>
      <c r="DS27" s="207"/>
      <c r="DT27" s="353"/>
      <c r="DU27" s="353"/>
      <c r="DV27" s="353"/>
      <c r="DW27" s="353"/>
      <c r="DX27" s="538"/>
      <c r="DY27" s="538"/>
      <c r="DZ27" s="538"/>
      <c r="EA27" s="538"/>
      <c r="EB27" s="538"/>
      <c r="EC27" s="538"/>
      <c r="ED27" s="538"/>
      <c r="EE27" s="199"/>
      <c r="EF27"/>
      <c r="EG27"/>
      <c r="EH27"/>
      <c r="EI27"/>
      <c r="EJ27"/>
      <c r="EK27"/>
    </row>
    <row r="28" spans="1:141" s="138" customFormat="1" hidden="1" outlineLevel="1">
      <c r="A28" s="193"/>
      <c r="B28" s="138" t="s">
        <v>178</v>
      </c>
      <c r="D28" s="217"/>
      <c r="E28" s="218"/>
      <c r="F28" s="218"/>
      <c r="G28" s="219"/>
      <c r="H28" s="218"/>
      <c r="I28" s="218"/>
      <c r="J28" s="218">
        <v>2.6</v>
      </c>
      <c r="K28" s="219"/>
      <c r="L28" s="218"/>
      <c r="M28" s="218"/>
      <c r="N28" s="218"/>
      <c r="O28" s="219"/>
      <c r="P28" s="218"/>
      <c r="Q28" s="218"/>
      <c r="R28" s="218">
        <v>-1</v>
      </c>
      <c r="S28" s="219"/>
      <c r="T28" s="218"/>
      <c r="U28" s="218"/>
      <c r="V28" s="218"/>
      <c r="W28" s="219"/>
      <c r="X28" s="218"/>
      <c r="Y28" s="218"/>
      <c r="Z28" s="218"/>
      <c r="AA28" s="219">
        <v>1</v>
      </c>
      <c r="AB28" s="218"/>
      <c r="AC28" s="218">
        <v>13</v>
      </c>
      <c r="AD28" s="218"/>
      <c r="AE28" s="219">
        <v>-14.9</v>
      </c>
      <c r="AF28" s="218">
        <v>-19.8</v>
      </c>
      <c r="AG28" s="218">
        <v>-24.5</v>
      </c>
      <c r="AH28" s="218">
        <v>-26.1</v>
      </c>
      <c r="AI28" s="219">
        <v>-146.6</v>
      </c>
      <c r="AJ28" s="218">
        <v>-298.5</v>
      </c>
      <c r="AK28" s="218"/>
      <c r="AL28" s="218"/>
      <c r="AM28" s="219"/>
      <c r="AN28" s="218"/>
      <c r="AO28" s="218"/>
      <c r="AP28" s="218"/>
      <c r="AQ28" s="219"/>
      <c r="AR28" s="218"/>
      <c r="AS28" s="218"/>
      <c r="AT28" s="218">
        <v>15.3</v>
      </c>
      <c r="AU28" s="219"/>
      <c r="AV28" s="218">
        <f>17.8+0.26*68.7</f>
        <v>35.662000000000006</v>
      </c>
      <c r="AW28" s="218">
        <f>-0.98364*AW37</f>
        <v>-132.00014424576</v>
      </c>
      <c r="AX28" s="218">
        <f>-670-73.7</f>
        <v>-743.7</v>
      </c>
      <c r="AY28" s="219">
        <f>-342.8*0.75-298.2-(8+42.9+30)*0.75-6.4</f>
        <v>-622.37499999999989</v>
      </c>
      <c r="AZ28" s="218">
        <f>8.6+2.9-(24.6-25.9)*0.75</f>
        <v>12.474999999999998</v>
      </c>
      <c r="BA28" s="218">
        <f>-0.337*BA37</f>
        <v>-45.384819872000001</v>
      </c>
      <c r="BB28" s="218">
        <f>-46.1*0.76</f>
        <v>-35.036000000000001</v>
      </c>
      <c r="BC28" s="219">
        <f>-(607.3+(48.5+42.5+0.8)*(1-0.285))</f>
        <v>-672.9369999999999</v>
      </c>
      <c r="BD28" s="218">
        <f>-(33.8+15.8-36.4+9.4+3.9)*0.62</f>
        <v>-16.429999999999996</v>
      </c>
      <c r="BE28" s="218">
        <f>(-24.4-1.3-5.4-2.3-0.5-0.6-4.2+0.7)*0.5</f>
        <v>-19</v>
      </c>
      <c r="BF28" s="218">
        <f>(17.1-37.3-25.1)*0.65</f>
        <v>-29.445</v>
      </c>
      <c r="BG28" s="219">
        <f>-((2.9+90.4+3.5-1.9)-(3-0.2))</f>
        <v>-92.100000000000009</v>
      </c>
      <c r="BH28" s="218">
        <f>-(23.2+3.7)</f>
        <v>-26.9</v>
      </c>
      <c r="BI28" s="218">
        <f>-58.3*0.7</f>
        <v>-40.809999999999995</v>
      </c>
      <c r="BJ28" s="218">
        <f>-45.8*0.65+0.6</f>
        <v>-29.169999999999998</v>
      </c>
      <c r="BK28" s="219">
        <f>-530-(53.8+6.7+5.7)*65%-SUM(BH28:BJ28)</f>
        <v>-476.15</v>
      </c>
      <c r="BL28" s="218">
        <f>-264.8-BL26</f>
        <v>-113.50000000000028</v>
      </c>
      <c r="BM28" s="218">
        <f>-19.2-14.7</f>
        <v>-33.9</v>
      </c>
      <c r="BN28" s="218">
        <v>-13</v>
      </c>
      <c r="BO28" s="219">
        <v>1173.4000000000001</v>
      </c>
      <c r="BP28" s="218">
        <v>-0.1</v>
      </c>
      <c r="BQ28" s="218">
        <f>159.8-160.4</f>
        <v>-0.59999999999999432</v>
      </c>
      <c r="BR28" s="218">
        <f>-26.7-3.5+2.3</f>
        <v>-27.9</v>
      </c>
      <c r="BS28" s="219">
        <f>117.1-129.1</f>
        <v>-12</v>
      </c>
      <c r="BT28" s="218">
        <f>-2.1+3.9-3.8</f>
        <v>-2</v>
      </c>
      <c r="BU28" s="218">
        <f>-3.4-4+19.7</f>
        <v>12.299999999999999</v>
      </c>
      <c r="BV28" s="218">
        <f>-(19.4-2.8-3)</f>
        <v>-13.599999999999998</v>
      </c>
      <c r="BW28" s="219">
        <f>-56.7-15.2+47.4</f>
        <v>-24.500000000000007</v>
      </c>
      <c r="BX28" s="356">
        <f>-4-2.8+0.3</f>
        <v>-6.5</v>
      </c>
      <c r="BY28" s="356">
        <f>-(3.8-0.5)-(3.4-14.7+1.5)+3.5</f>
        <v>10</v>
      </c>
      <c r="BZ28" s="356">
        <v>0</v>
      </c>
      <c r="CA28" s="431">
        <f>-44.5+12.5-11.8+14.2+766.9</f>
        <v>737.3</v>
      </c>
      <c r="CB28" s="356"/>
      <c r="CC28" s="356"/>
      <c r="CD28" s="356"/>
      <c r="CE28" s="431"/>
      <c r="CF28" s="356"/>
      <c r="CG28" s="356"/>
      <c r="CH28" s="356"/>
      <c r="CI28" s="431"/>
      <c r="CJ28" s="356"/>
      <c r="CK28" s="356"/>
      <c r="CL28" s="356"/>
      <c r="CM28" s="431"/>
      <c r="CN28" s="356"/>
      <c r="CO28" s="356"/>
      <c r="CP28" s="356"/>
      <c r="CQ28" s="431"/>
      <c r="CR28" s="356"/>
      <c r="CS28" s="356"/>
      <c r="CT28" s="356"/>
      <c r="CU28" s="431"/>
      <c r="CV28" s="218"/>
      <c r="CW28" s="218"/>
      <c r="CX28" s="218"/>
      <c r="CY28" s="219"/>
      <c r="DA28" s="212">
        <f>SUM(D28:G28)</f>
        <v>0</v>
      </c>
      <c r="DB28" s="212">
        <f>SUM(H28:K28)</f>
        <v>2.6</v>
      </c>
      <c r="DC28" s="212">
        <f>SUM(L28:O28)</f>
        <v>0</v>
      </c>
      <c r="DD28" s="212">
        <f>SUM(P28:S28)</f>
        <v>-1</v>
      </c>
      <c r="DE28" s="212">
        <f>SUM(T28:W28)</f>
        <v>0</v>
      </c>
      <c r="DF28" s="212">
        <f>SUM(X28:AA28)</f>
        <v>1</v>
      </c>
      <c r="DG28" s="212">
        <f>SUM(AB28:AE28)</f>
        <v>-1.9000000000000004</v>
      </c>
      <c r="DH28" s="212">
        <f>SUM(AF28:AI28)</f>
        <v>-217</v>
      </c>
      <c r="DI28" s="212">
        <f>SUM(AJ28:AM28)</f>
        <v>-298.5</v>
      </c>
      <c r="DJ28" s="212">
        <f>SUM(AN28:AQ28)</f>
        <v>0</v>
      </c>
      <c r="DK28" s="212">
        <f>SUM(AR28:AU28)</f>
        <v>15.3</v>
      </c>
      <c r="DL28" s="212">
        <f>SUM(AV28:AY28)</f>
        <v>-1462.4131442457599</v>
      </c>
      <c r="DM28" s="212">
        <f>SUM(AZ28:BC28)</f>
        <v>-740.88281987199991</v>
      </c>
      <c r="DN28" s="212">
        <f>SUM(BD28:BG28)</f>
        <v>-156.97500000000002</v>
      </c>
      <c r="DO28" s="212">
        <f>SUM(BH28:BK28)</f>
        <v>-573.03</v>
      </c>
      <c r="DP28" s="212">
        <f>SUM(BL28:BO28)</f>
        <v>1012.9999999999998</v>
      </c>
      <c r="DQ28" s="212">
        <f>SUM(BP28:BS28)</f>
        <v>-40.599999999999994</v>
      </c>
      <c r="DR28" s="212">
        <f>SUM(BT28:BW28)</f>
        <v>-27.800000000000004</v>
      </c>
      <c r="DS28" s="212">
        <f>SUM(BX28:CA28)</f>
        <v>740.8</v>
      </c>
      <c r="DT28" s="212">
        <f>SUM(CB28:CE28)</f>
        <v>0</v>
      </c>
      <c r="DU28" s="212">
        <f>SUM(CF28:CI28)</f>
        <v>0</v>
      </c>
      <c r="DV28" s="212">
        <f>SUM(CJ28:CM28)</f>
        <v>0</v>
      </c>
      <c r="DW28" s="212"/>
      <c r="DX28" s="212"/>
      <c r="DY28" s="212"/>
      <c r="DZ28" s="218"/>
      <c r="EA28" s="218"/>
      <c r="EB28" s="218"/>
      <c r="EC28" s="218"/>
      <c r="ED28" s="218"/>
      <c r="EE28" s="199"/>
      <c r="EF28"/>
      <c r="EG28"/>
      <c r="EH28"/>
      <c r="EI28"/>
      <c r="EJ28"/>
      <c r="EK28"/>
    </row>
    <row r="29" spans="1:141" s="287" customFormat="1" hidden="1" outlineLevel="1">
      <c r="A29" s="245"/>
      <c r="B29" s="252" t="s">
        <v>267</v>
      </c>
      <c r="C29" s="246"/>
      <c r="D29" s="247">
        <f t="shared" ref="D29:AI29" si="61">D26+D28</f>
        <v>6.500000000000095</v>
      </c>
      <c r="E29" s="248">
        <f t="shared" si="61"/>
        <v>21.100000000000016</v>
      </c>
      <c r="F29" s="248">
        <f t="shared" si="61"/>
        <v>6.2999999999999776</v>
      </c>
      <c r="G29" s="249">
        <f t="shared" si="61"/>
        <v>25.8</v>
      </c>
      <c r="H29" s="248">
        <f t="shared" si="61"/>
        <v>17.000000000000028</v>
      </c>
      <c r="I29" s="248">
        <f t="shared" si="61"/>
        <v>28.899999999999959</v>
      </c>
      <c r="J29" s="248">
        <f t="shared" si="61"/>
        <v>12.599999999999936</v>
      </c>
      <c r="K29" s="249">
        <f t="shared" si="61"/>
        <v>37.200000000000074</v>
      </c>
      <c r="L29" s="248">
        <f t="shared" si="61"/>
        <v>25.799999999999923</v>
      </c>
      <c r="M29" s="248">
        <f t="shared" si="61"/>
        <v>50.100000000000087</v>
      </c>
      <c r="N29" s="248">
        <f t="shared" si="61"/>
        <v>24.799999999999809</v>
      </c>
      <c r="O29" s="249">
        <f t="shared" si="61"/>
        <v>51.2</v>
      </c>
      <c r="P29" s="248">
        <f t="shared" si="61"/>
        <v>41.900000000000105</v>
      </c>
      <c r="Q29" s="248">
        <f t="shared" si="61"/>
        <v>61.100000000000009</v>
      </c>
      <c r="R29" s="248">
        <f t="shared" si="61"/>
        <v>35.600000000000172</v>
      </c>
      <c r="S29" s="249">
        <f t="shared" si="61"/>
        <v>68.59999999999981</v>
      </c>
      <c r="T29" s="248">
        <f t="shared" si="61"/>
        <v>47.299999999999812</v>
      </c>
      <c r="U29" s="248">
        <f t="shared" si="61"/>
        <v>65.699999999999903</v>
      </c>
      <c r="V29" s="248">
        <f t="shared" si="61"/>
        <v>21.599999999999994</v>
      </c>
      <c r="W29" s="249">
        <f t="shared" si="61"/>
        <v>73.400000000000347</v>
      </c>
      <c r="X29" s="248">
        <f t="shared" si="61"/>
        <v>50.299999999999805</v>
      </c>
      <c r="Y29" s="248">
        <f t="shared" si="61"/>
        <v>74.799999999999798</v>
      </c>
      <c r="Z29" s="248">
        <f t="shared" si="61"/>
        <v>39.299999999999642</v>
      </c>
      <c r="AA29" s="249">
        <f t="shared" si="61"/>
        <v>92.700000000000102</v>
      </c>
      <c r="AB29" s="248">
        <f t="shared" si="61"/>
        <v>62.000000000000007</v>
      </c>
      <c r="AC29" s="248">
        <f t="shared" si="61"/>
        <v>101.69999999999996</v>
      </c>
      <c r="AD29" s="248">
        <f t="shared" si="61"/>
        <v>38.599999999999724</v>
      </c>
      <c r="AE29" s="249">
        <f t="shared" si="61"/>
        <v>72.399999999999736</v>
      </c>
      <c r="AF29" s="248">
        <f t="shared" si="61"/>
        <v>14.500000000000096</v>
      </c>
      <c r="AG29" s="248">
        <f t="shared" si="61"/>
        <v>44.900000000000176</v>
      </c>
      <c r="AH29" s="248">
        <f t="shared" si="61"/>
        <v>15.699999999999719</v>
      </c>
      <c r="AI29" s="249">
        <f t="shared" si="61"/>
        <v>-48.800000000000168</v>
      </c>
      <c r="AJ29" s="248">
        <f t="shared" ref="AJ29:BO29" si="62">AJ26+AJ28</f>
        <v>-252.10000000000008</v>
      </c>
      <c r="AK29" s="248">
        <f t="shared" si="62"/>
        <v>85.499999999999716</v>
      </c>
      <c r="AL29" s="248">
        <f t="shared" si="62"/>
        <v>61.600000000000186</v>
      </c>
      <c r="AM29" s="249">
        <f t="shared" si="62"/>
        <v>117.99999999999991</v>
      </c>
      <c r="AN29" s="248">
        <f t="shared" si="62"/>
        <v>67.89999999999992</v>
      </c>
      <c r="AO29" s="248">
        <f t="shared" si="62"/>
        <v>104.09999999999982</v>
      </c>
      <c r="AP29" s="248">
        <f t="shared" si="62"/>
        <v>76.099999999999824</v>
      </c>
      <c r="AQ29" s="249">
        <f t="shared" si="62"/>
        <v>132.40000000000006</v>
      </c>
      <c r="AR29" s="248">
        <f t="shared" si="62"/>
        <v>91.400000000000574</v>
      </c>
      <c r="AS29" s="248">
        <f t="shared" si="62"/>
        <v>116.09999999999992</v>
      </c>
      <c r="AT29" s="248">
        <f t="shared" si="62"/>
        <v>91.670000000000286</v>
      </c>
      <c r="AU29" s="249">
        <f t="shared" si="62"/>
        <v>123.00000000000054</v>
      </c>
      <c r="AV29" s="248">
        <f t="shared" si="62"/>
        <v>15.600000000000104</v>
      </c>
      <c r="AW29" s="248">
        <f t="shared" si="62"/>
        <v>-110.40014424575983</v>
      </c>
      <c r="AX29" s="248">
        <f t="shared" si="62"/>
        <v>-750.10280000000012</v>
      </c>
      <c r="AY29" s="249">
        <f t="shared" si="62"/>
        <v>-603.0249999999993</v>
      </c>
      <c r="AZ29" s="248">
        <f t="shared" si="62"/>
        <v>17.900000000000354</v>
      </c>
      <c r="BA29" s="248">
        <f t="shared" si="62"/>
        <v>-30.478280992000357</v>
      </c>
      <c r="BB29" s="248">
        <f t="shared" si="62"/>
        <v>-74.000000000000355</v>
      </c>
      <c r="BC29" s="249">
        <f t="shared" si="62"/>
        <v>-644.99999999999977</v>
      </c>
      <c r="BD29" s="248">
        <f t="shared" si="62"/>
        <v>49.90000000000056</v>
      </c>
      <c r="BE29" s="248">
        <f t="shared" si="62"/>
        <v>123.59999999999997</v>
      </c>
      <c r="BF29" s="248">
        <f t="shared" si="62"/>
        <v>40.964999999999911</v>
      </c>
      <c r="BG29" s="249">
        <f t="shared" si="62"/>
        <v>26.999999999999901</v>
      </c>
      <c r="BH29" s="248">
        <f t="shared" si="62"/>
        <v>78.200000000000074</v>
      </c>
      <c r="BI29" s="248">
        <f t="shared" si="62"/>
        <v>18.300000000000018</v>
      </c>
      <c r="BJ29" s="248">
        <f t="shared" si="62"/>
        <v>-98.200000000000188</v>
      </c>
      <c r="BK29" s="249">
        <f t="shared" si="62"/>
        <v>-601.71999999999991</v>
      </c>
      <c r="BL29" s="248">
        <f t="shared" si="62"/>
        <v>-264.8</v>
      </c>
      <c r="BM29" s="248">
        <f t="shared" si="62"/>
        <v>-173.6</v>
      </c>
      <c r="BN29" s="248">
        <f t="shared" si="62"/>
        <v>25.500000000000092</v>
      </c>
      <c r="BO29" s="249">
        <f t="shared" si="62"/>
        <v>1228.3000000000002</v>
      </c>
      <c r="BP29" s="248">
        <f t="shared" ref="BP29:CT29" si="63">BP26+BP28</f>
        <v>66.100000000000023</v>
      </c>
      <c r="BQ29" s="248">
        <f t="shared" si="63"/>
        <v>158.30000000000015</v>
      </c>
      <c r="BR29" s="248">
        <f t="shared" si="63"/>
        <v>95.300000000000068</v>
      </c>
      <c r="BS29" s="249">
        <f t="shared" si="63"/>
        <v>117.10000000000022</v>
      </c>
      <c r="BT29" s="248">
        <f t="shared" si="63"/>
        <v>155.69999999999965</v>
      </c>
      <c r="BU29" s="248">
        <f t="shared" si="63"/>
        <v>177.5000000000004</v>
      </c>
      <c r="BV29" s="248">
        <f t="shared" si="63"/>
        <v>100.69999999999996</v>
      </c>
      <c r="BW29" s="249">
        <f t="shared" si="63"/>
        <v>106.50000000000009</v>
      </c>
      <c r="BX29" s="440">
        <f t="shared" si="63"/>
        <v>134.10000000000019</v>
      </c>
      <c r="BY29" s="440">
        <f t="shared" si="63"/>
        <v>145.39999999999989</v>
      </c>
      <c r="BZ29" s="440">
        <f t="shared" si="63"/>
        <v>127.2</v>
      </c>
      <c r="CA29" s="441">
        <f t="shared" si="63"/>
        <v>881.90000000000009</v>
      </c>
      <c r="CB29" s="440">
        <f t="shared" si="63"/>
        <v>124.40000000000026</v>
      </c>
      <c r="CC29" s="440">
        <f t="shared" si="63"/>
        <v>138.30000000000024</v>
      </c>
      <c r="CD29" s="440">
        <f t="shared" si="63"/>
        <v>118.4999999999998</v>
      </c>
      <c r="CE29" s="441">
        <f t="shared" si="63"/>
        <v>128.80000000000052</v>
      </c>
      <c r="CF29" s="440">
        <f t="shared" si="63"/>
        <v>152.00000000000009</v>
      </c>
      <c r="CG29" s="440">
        <f t="shared" si="63"/>
        <v>173.6000000000009</v>
      </c>
      <c r="CH29" s="440">
        <f t="shared" si="63"/>
        <v>156.89999999999989</v>
      </c>
      <c r="CI29" s="441">
        <f t="shared" si="63"/>
        <v>183.39999999999986</v>
      </c>
      <c r="CJ29" s="440">
        <f t="shared" si="63"/>
        <v>180.5000000000004</v>
      </c>
      <c r="CK29" s="440">
        <f t="shared" si="63"/>
        <v>219.80000000000132</v>
      </c>
      <c r="CL29" s="440">
        <f t="shared" si="63"/>
        <v>198.40000000000055</v>
      </c>
      <c r="CM29" s="441">
        <f t="shared" si="63"/>
        <v>245.20000000000041</v>
      </c>
      <c r="CN29" s="440">
        <f t="shared" si="63"/>
        <v>256.39999999999992</v>
      </c>
      <c r="CO29" s="440">
        <f t="shared" si="63"/>
        <v>270.10000000000036</v>
      </c>
      <c r="CP29" s="440">
        <f t="shared" si="63"/>
        <v>229.69999999999973</v>
      </c>
      <c r="CQ29" s="441">
        <f t="shared" si="63"/>
        <v>270.10000000000059</v>
      </c>
      <c r="CR29" s="440">
        <f t="shared" si="63"/>
        <v>300.10000000000019</v>
      </c>
      <c r="CS29" s="440">
        <f t="shared" si="63"/>
        <v>304.90000000000043</v>
      </c>
      <c r="CT29" s="440">
        <f t="shared" si="63"/>
        <v>272.39999999999981</v>
      </c>
      <c r="CU29" s="441">
        <f t="shared" ref="CU29" si="64">CU26+CU28</f>
        <v>300.40000000000072</v>
      </c>
      <c r="CV29" s="248">
        <f t="shared" ref="CV29:CY29" si="65">CV26+CV28</f>
        <v>329.29489578963756</v>
      </c>
      <c r="CW29" s="248">
        <f t="shared" si="65"/>
        <v>334.77175393744471</v>
      </c>
      <c r="CX29" s="248">
        <f t="shared" si="65"/>
        <v>301.08795504213492</v>
      </c>
      <c r="CY29" s="249">
        <f t="shared" si="65"/>
        <v>311.31544770044258</v>
      </c>
      <c r="DA29" s="248">
        <f t="shared" ref="DA29:EA29" si="66">DA26+DA28</f>
        <v>59.700000000000088</v>
      </c>
      <c r="DB29" s="248">
        <f t="shared" si="66"/>
        <v>95.699999999999974</v>
      </c>
      <c r="DC29" s="248">
        <f t="shared" si="66"/>
        <v>151.90000000000066</v>
      </c>
      <c r="DD29" s="248">
        <f t="shared" si="66"/>
        <v>207.20000000000059</v>
      </c>
      <c r="DE29" s="248">
        <f t="shared" si="66"/>
        <v>208.00000000000142</v>
      </c>
      <c r="DF29" s="248">
        <f t="shared" si="66"/>
        <v>257.09999999999894</v>
      </c>
      <c r="DG29" s="248">
        <f t="shared" si="66"/>
        <v>274.70000000000039</v>
      </c>
      <c r="DH29" s="248">
        <f t="shared" si="66"/>
        <v>26.300000000000637</v>
      </c>
      <c r="DI29" s="248">
        <f t="shared" si="66"/>
        <v>12.999999999999318</v>
      </c>
      <c r="DJ29" s="248">
        <f t="shared" si="66"/>
        <v>380.49999999999977</v>
      </c>
      <c r="DK29" s="248">
        <f t="shared" si="66"/>
        <v>422.16999999999842</v>
      </c>
      <c r="DL29" s="248">
        <f t="shared" si="66"/>
        <v>-1447.9279442457587</v>
      </c>
      <c r="DM29" s="248">
        <f t="shared" si="66"/>
        <v>-731.57828099199708</v>
      </c>
      <c r="DN29" s="248">
        <f t="shared" si="66"/>
        <v>241.46500000000208</v>
      </c>
      <c r="DO29" s="248">
        <f t="shared" si="66"/>
        <v>-603.42000000000007</v>
      </c>
      <c r="DP29" s="248">
        <f t="shared" si="66"/>
        <v>815.39999999999941</v>
      </c>
      <c r="DQ29" s="248">
        <f t="shared" si="66"/>
        <v>436.80000000000177</v>
      </c>
      <c r="DR29" s="248">
        <f t="shared" si="66"/>
        <v>540.39999999999964</v>
      </c>
      <c r="DS29" s="248">
        <f t="shared" si="66"/>
        <v>1288.599999999999</v>
      </c>
      <c r="DT29" s="248">
        <f t="shared" si="66"/>
        <v>510.00000000000171</v>
      </c>
      <c r="DU29" s="248">
        <f t="shared" si="66"/>
        <v>665.90000000000271</v>
      </c>
      <c r="DV29" s="248">
        <f t="shared" si="66"/>
        <v>843.90000000000248</v>
      </c>
      <c r="DW29" s="248">
        <f t="shared" si="66"/>
        <v>1026.3000000000006</v>
      </c>
      <c r="DX29" s="248">
        <f t="shared" si="66"/>
        <v>1177.8000000000031</v>
      </c>
      <c r="DY29" s="248">
        <f t="shared" ref="DY29" si="67">DY26+DY28</f>
        <v>1276.4700524696586</v>
      </c>
      <c r="DZ29" s="248">
        <f t="shared" si="66"/>
        <v>1314.2559231307398</v>
      </c>
      <c r="EA29" s="248">
        <f t="shared" si="66"/>
        <v>1292.1712446003605</v>
      </c>
      <c r="EB29" s="248">
        <f t="shared" ref="EB29:ED29" si="68">EB26+EB28</f>
        <v>1261.1464131953142</v>
      </c>
      <c r="EC29" s="248">
        <f t="shared" si="68"/>
        <v>1212.9452072828681</v>
      </c>
      <c r="ED29" s="248">
        <f t="shared" si="68"/>
        <v>1147.2879073257727</v>
      </c>
      <c r="EE29" s="246"/>
      <c r="EF29"/>
      <c r="EG29"/>
      <c r="EH29"/>
      <c r="EI29"/>
      <c r="EJ29"/>
      <c r="EK29"/>
    </row>
    <row r="30" spans="1:141" s="138" customFormat="1" hidden="1" outlineLevel="1">
      <c r="A30" s="193"/>
      <c r="B30" s="288" t="s">
        <v>264</v>
      </c>
      <c r="C30" s="200"/>
      <c r="D30" s="220"/>
      <c r="E30" s="221"/>
      <c r="F30" s="221"/>
      <c r="G30" s="222"/>
      <c r="H30" s="221"/>
      <c r="I30" s="221"/>
      <c r="J30" s="221"/>
      <c r="K30" s="222"/>
      <c r="L30" s="221"/>
      <c r="M30" s="221"/>
      <c r="N30" s="221"/>
      <c r="O30" s="222"/>
      <c r="P30" s="221"/>
      <c r="Q30" s="221"/>
      <c r="R30" s="221"/>
      <c r="S30" s="222"/>
      <c r="T30" s="221"/>
      <c r="U30" s="221"/>
      <c r="V30" s="221"/>
      <c r="W30" s="222"/>
      <c r="X30" s="221"/>
      <c r="Y30" s="221"/>
      <c r="Z30" s="221"/>
      <c r="AA30" s="222"/>
      <c r="AB30" s="221"/>
      <c r="AC30" s="221"/>
      <c r="AD30" s="221"/>
      <c r="AE30" s="222"/>
      <c r="AF30" s="221"/>
      <c r="AG30" s="221"/>
      <c r="AH30" s="221"/>
      <c r="AI30" s="222"/>
      <c r="AJ30" s="221"/>
      <c r="AK30" s="221"/>
      <c r="AL30" s="221"/>
      <c r="AM30" s="222"/>
      <c r="AN30" s="221"/>
      <c r="AO30" s="221"/>
      <c r="AP30" s="221"/>
      <c r="AQ30" s="222"/>
      <c r="AR30" s="221"/>
      <c r="AS30" s="221"/>
      <c r="AT30" s="221"/>
      <c r="AU30" s="222"/>
      <c r="AV30" s="221"/>
      <c r="AW30" s="221"/>
      <c r="AX30" s="221"/>
      <c r="AY30" s="222"/>
      <c r="AZ30" s="221"/>
      <c r="BA30" s="221"/>
      <c r="BB30" s="221"/>
      <c r="BC30" s="222"/>
      <c r="BD30" s="221"/>
      <c r="BE30" s="221"/>
      <c r="BF30" s="221"/>
      <c r="BG30" s="222"/>
      <c r="BH30" s="221"/>
      <c r="BI30" s="221"/>
      <c r="BJ30" s="221"/>
      <c r="BK30" s="222"/>
      <c r="BL30" s="221"/>
      <c r="BM30" s="221"/>
      <c r="BN30" s="221"/>
      <c r="BO30" s="222"/>
      <c r="BP30" s="221"/>
      <c r="BQ30" s="221"/>
      <c r="BR30" s="221"/>
      <c r="BS30" s="222"/>
      <c r="BT30" s="221">
        <v>0</v>
      </c>
      <c r="BU30" s="221">
        <v>0</v>
      </c>
      <c r="BV30" s="221">
        <v>0</v>
      </c>
      <c r="BW30" s="222">
        <v>0</v>
      </c>
      <c r="BX30" s="355">
        <v>0</v>
      </c>
      <c r="BY30" s="355">
        <v>0</v>
      </c>
      <c r="BZ30" s="355">
        <v>0</v>
      </c>
      <c r="CA30" s="434">
        <v>0</v>
      </c>
      <c r="CB30" s="355"/>
      <c r="CC30" s="355"/>
      <c r="CD30" s="355"/>
      <c r="CE30" s="434"/>
      <c r="CF30" s="355"/>
      <c r="CG30" s="355"/>
      <c r="CH30" s="355"/>
      <c r="CI30" s="434"/>
      <c r="CJ30" s="355"/>
      <c r="CK30" s="355"/>
      <c r="CL30" s="355"/>
      <c r="CM30" s="434"/>
      <c r="CN30" s="355"/>
      <c r="CO30" s="355"/>
      <c r="CP30" s="355"/>
      <c r="CQ30" s="434"/>
      <c r="CR30" s="355"/>
      <c r="CS30" s="355"/>
      <c r="CT30" s="355"/>
      <c r="CU30" s="434"/>
      <c r="CV30" s="218"/>
      <c r="CW30" s="218"/>
      <c r="CX30" s="218"/>
      <c r="CY30" s="219"/>
      <c r="DA30" s="542">
        <f>SUM(D30:G30)</f>
        <v>0</v>
      </c>
      <c r="DB30" s="542">
        <f>SUM(H30:K30)</f>
        <v>0</v>
      </c>
      <c r="DC30" s="542">
        <f>SUM(L30:O30)</f>
        <v>0</v>
      </c>
      <c r="DD30" s="542">
        <f>SUM(P30:S30)</f>
        <v>0</v>
      </c>
      <c r="DE30" s="542">
        <f>SUM(T30:W30)</f>
        <v>0</v>
      </c>
      <c r="DF30" s="542">
        <f>SUM(X30:AA30)</f>
        <v>0</v>
      </c>
      <c r="DG30" s="542">
        <f>SUM(AB30:AE30)</f>
        <v>0</v>
      </c>
      <c r="DH30" s="542">
        <f>SUM(AF30:AI30)</f>
        <v>0</v>
      </c>
      <c r="DI30" s="542">
        <f>SUM(AJ30:AM30)</f>
        <v>0</v>
      </c>
      <c r="DJ30" s="542">
        <f>SUM(AN30:AQ30)</f>
        <v>0</v>
      </c>
      <c r="DK30" s="542">
        <f>SUM(AR30:AU30)</f>
        <v>0</v>
      </c>
      <c r="DL30" s="542">
        <f>SUM(AV30:AY30)</f>
        <v>0</v>
      </c>
      <c r="DM30" s="542">
        <f>SUM(AZ30:BC30)</f>
        <v>0</v>
      </c>
      <c r="DN30" s="542">
        <f>SUM(BD30:BG30)</f>
        <v>0</v>
      </c>
      <c r="DO30" s="542">
        <f>SUM(BH30:BK30)</f>
        <v>0</v>
      </c>
      <c r="DP30" s="542">
        <f>SUM(BL30:BO30)</f>
        <v>0</v>
      </c>
      <c r="DQ30" s="542">
        <f>SUM(BP30:BS30)</f>
        <v>0</v>
      </c>
      <c r="DR30" s="542">
        <f>SUM(BT30:BW30)</f>
        <v>0</v>
      </c>
      <c r="DS30" s="542">
        <f>SUM(BX30:CA30)</f>
        <v>0</v>
      </c>
      <c r="DT30" s="542">
        <f>SUM(CB30:CE30)</f>
        <v>0</v>
      </c>
      <c r="DU30" s="542">
        <f>SUM(CF30:CI30)</f>
        <v>0</v>
      </c>
      <c r="DV30" s="542">
        <f>SUM(CJ30:CM30)</f>
        <v>0</v>
      </c>
      <c r="DW30" s="542"/>
      <c r="DX30" s="542"/>
      <c r="DY30" s="542"/>
      <c r="DZ30" s="221"/>
      <c r="EA30" s="221"/>
      <c r="EB30" s="221"/>
      <c r="EC30" s="221"/>
      <c r="ED30" s="221"/>
      <c r="EE30" s="199"/>
      <c r="EF30"/>
      <c r="EG30"/>
      <c r="EH30"/>
      <c r="EI30"/>
      <c r="EJ30"/>
      <c r="EK30"/>
    </row>
    <row r="31" spans="1:141" s="251" customFormat="1" hidden="1" outlineLevel="1">
      <c r="A31" s="245"/>
      <c r="B31" s="246" t="s">
        <v>176</v>
      </c>
      <c r="C31" s="246"/>
      <c r="D31" s="247">
        <f t="shared" ref="D31:AI31" si="69">D26+D28+D30</f>
        <v>6.500000000000095</v>
      </c>
      <c r="E31" s="248">
        <f t="shared" si="69"/>
        <v>21.100000000000016</v>
      </c>
      <c r="F31" s="248">
        <f t="shared" si="69"/>
        <v>6.2999999999999776</v>
      </c>
      <c r="G31" s="249">
        <f t="shared" si="69"/>
        <v>25.8</v>
      </c>
      <c r="H31" s="248">
        <f t="shared" si="69"/>
        <v>17.000000000000028</v>
      </c>
      <c r="I31" s="248">
        <f t="shared" si="69"/>
        <v>28.899999999999959</v>
      </c>
      <c r="J31" s="248">
        <f t="shared" si="69"/>
        <v>12.599999999999936</v>
      </c>
      <c r="K31" s="249">
        <f t="shared" si="69"/>
        <v>37.200000000000074</v>
      </c>
      <c r="L31" s="248">
        <f t="shared" si="69"/>
        <v>25.799999999999923</v>
      </c>
      <c r="M31" s="248">
        <f t="shared" si="69"/>
        <v>50.100000000000087</v>
      </c>
      <c r="N31" s="248">
        <f t="shared" si="69"/>
        <v>24.799999999999809</v>
      </c>
      <c r="O31" s="249">
        <f t="shared" si="69"/>
        <v>51.2</v>
      </c>
      <c r="P31" s="248">
        <f t="shared" si="69"/>
        <v>41.900000000000105</v>
      </c>
      <c r="Q31" s="248">
        <f t="shared" si="69"/>
        <v>61.100000000000009</v>
      </c>
      <c r="R31" s="248">
        <f t="shared" si="69"/>
        <v>35.600000000000172</v>
      </c>
      <c r="S31" s="249">
        <f t="shared" si="69"/>
        <v>68.59999999999981</v>
      </c>
      <c r="T31" s="248">
        <f t="shared" si="69"/>
        <v>47.299999999999812</v>
      </c>
      <c r="U31" s="248">
        <f t="shared" si="69"/>
        <v>65.699999999999903</v>
      </c>
      <c r="V31" s="248">
        <f t="shared" si="69"/>
        <v>21.599999999999994</v>
      </c>
      <c r="W31" s="249">
        <f t="shared" si="69"/>
        <v>73.400000000000347</v>
      </c>
      <c r="X31" s="248">
        <f t="shared" si="69"/>
        <v>50.299999999999805</v>
      </c>
      <c r="Y31" s="248">
        <f t="shared" si="69"/>
        <v>74.799999999999798</v>
      </c>
      <c r="Z31" s="248">
        <f t="shared" si="69"/>
        <v>39.299999999999642</v>
      </c>
      <c r="AA31" s="249">
        <f t="shared" si="69"/>
        <v>92.700000000000102</v>
      </c>
      <c r="AB31" s="248">
        <f t="shared" si="69"/>
        <v>62.000000000000007</v>
      </c>
      <c r="AC31" s="248">
        <f t="shared" si="69"/>
        <v>101.69999999999996</v>
      </c>
      <c r="AD31" s="248">
        <f t="shared" si="69"/>
        <v>38.599999999999724</v>
      </c>
      <c r="AE31" s="249">
        <f t="shared" si="69"/>
        <v>72.399999999999736</v>
      </c>
      <c r="AF31" s="248">
        <f t="shared" si="69"/>
        <v>14.500000000000096</v>
      </c>
      <c r="AG31" s="248">
        <f t="shared" si="69"/>
        <v>44.900000000000176</v>
      </c>
      <c r="AH31" s="248">
        <f t="shared" si="69"/>
        <v>15.699999999999719</v>
      </c>
      <c r="AI31" s="249">
        <f t="shared" si="69"/>
        <v>-48.800000000000168</v>
      </c>
      <c r="AJ31" s="248">
        <f t="shared" ref="AJ31:BO31" si="70">AJ26+AJ28+AJ30</f>
        <v>-252.10000000000008</v>
      </c>
      <c r="AK31" s="248">
        <f t="shared" si="70"/>
        <v>85.499999999999716</v>
      </c>
      <c r="AL31" s="248">
        <f t="shared" si="70"/>
        <v>61.600000000000186</v>
      </c>
      <c r="AM31" s="249">
        <f t="shared" si="70"/>
        <v>117.99999999999991</v>
      </c>
      <c r="AN31" s="248">
        <f t="shared" si="70"/>
        <v>67.89999999999992</v>
      </c>
      <c r="AO31" s="248">
        <f t="shared" si="70"/>
        <v>104.09999999999982</v>
      </c>
      <c r="AP31" s="248">
        <f t="shared" si="70"/>
        <v>76.099999999999824</v>
      </c>
      <c r="AQ31" s="249">
        <f t="shared" si="70"/>
        <v>132.40000000000006</v>
      </c>
      <c r="AR31" s="248">
        <f t="shared" si="70"/>
        <v>91.400000000000574</v>
      </c>
      <c r="AS31" s="248">
        <f t="shared" si="70"/>
        <v>116.09999999999992</v>
      </c>
      <c r="AT31" s="248">
        <f t="shared" si="70"/>
        <v>91.670000000000286</v>
      </c>
      <c r="AU31" s="249">
        <f t="shared" si="70"/>
        <v>123.00000000000054</v>
      </c>
      <c r="AV31" s="248">
        <f t="shared" si="70"/>
        <v>15.600000000000104</v>
      </c>
      <c r="AW31" s="248">
        <f t="shared" si="70"/>
        <v>-110.40014424575983</v>
      </c>
      <c r="AX31" s="248">
        <f t="shared" si="70"/>
        <v>-750.10280000000012</v>
      </c>
      <c r="AY31" s="249">
        <f t="shared" si="70"/>
        <v>-603.0249999999993</v>
      </c>
      <c r="AZ31" s="248">
        <f t="shared" si="70"/>
        <v>17.900000000000354</v>
      </c>
      <c r="BA31" s="248">
        <f t="shared" si="70"/>
        <v>-30.478280992000357</v>
      </c>
      <c r="BB31" s="248">
        <f t="shared" si="70"/>
        <v>-74.000000000000355</v>
      </c>
      <c r="BC31" s="249">
        <f t="shared" si="70"/>
        <v>-644.99999999999977</v>
      </c>
      <c r="BD31" s="248">
        <f t="shared" si="70"/>
        <v>49.90000000000056</v>
      </c>
      <c r="BE31" s="248">
        <f t="shared" si="70"/>
        <v>123.59999999999997</v>
      </c>
      <c r="BF31" s="248">
        <f t="shared" si="70"/>
        <v>40.964999999999911</v>
      </c>
      <c r="BG31" s="249">
        <f t="shared" si="70"/>
        <v>26.999999999999901</v>
      </c>
      <c r="BH31" s="248">
        <f t="shared" si="70"/>
        <v>78.200000000000074</v>
      </c>
      <c r="BI31" s="248">
        <f t="shared" si="70"/>
        <v>18.300000000000018</v>
      </c>
      <c r="BJ31" s="248">
        <f t="shared" si="70"/>
        <v>-98.200000000000188</v>
      </c>
      <c r="BK31" s="249">
        <f t="shared" si="70"/>
        <v>-601.71999999999991</v>
      </c>
      <c r="BL31" s="248">
        <f t="shared" si="70"/>
        <v>-264.8</v>
      </c>
      <c r="BM31" s="248">
        <f t="shared" si="70"/>
        <v>-173.6</v>
      </c>
      <c r="BN31" s="248">
        <f t="shared" si="70"/>
        <v>25.500000000000092</v>
      </c>
      <c r="BO31" s="249">
        <f t="shared" si="70"/>
        <v>1228.3000000000002</v>
      </c>
      <c r="BP31" s="248">
        <f t="shared" ref="BP31:CT31" si="71">BP26+BP28+BP30</f>
        <v>66.100000000000023</v>
      </c>
      <c r="BQ31" s="248">
        <f t="shared" si="71"/>
        <v>158.30000000000015</v>
      </c>
      <c r="BR31" s="248">
        <f t="shared" si="71"/>
        <v>95.300000000000068</v>
      </c>
      <c r="BS31" s="249">
        <f t="shared" si="71"/>
        <v>117.10000000000022</v>
      </c>
      <c r="BT31" s="248">
        <f t="shared" si="71"/>
        <v>155.69999999999965</v>
      </c>
      <c r="BU31" s="248">
        <f t="shared" si="71"/>
        <v>177.5000000000004</v>
      </c>
      <c r="BV31" s="248">
        <f t="shared" si="71"/>
        <v>100.69999999999996</v>
      </c>
      <c r="BW31" s="249">
        <f t="shared" si="71"/>
        <v>106.50000000000009</v>
      </c>
      <c r="BX31" s="440">
        <f t="shared" si="71"/>
        <v>134.10000000000019</v>
      </c>
      <c r="BY31" s="440">
        <f t="shared" si="71"/>
        <v>145.39999999999989</v>
      </c>
      <c r="BZ31" s="440">
        <f t="shared" si="71"/>
        <v>127.2</v>
      </c>
      <c r="CA31" s="441">
        <f t="shared" si="71"/>
        <v>881.90000000000009</v>
      </c>
      <c r="CB31" s="440">
        <f t="shared" si="71"/>
        <v>124.40000000000026</v>
      </c>
      <c r="CC31" s="440">
        <f t="shared" si="71"/>
        <v>138.30000000000024</v>
      </c>
      <c r="CD31" s="440">
        <f t="shared" si="71"/>
        <v>118.4999999999998</v>
      </c>
      <c r="CE31" s="441">
        <f t="shared" si="71"/>
        <v>128.80000000000052</v>
      </c>
      <c r="CF31" s="440">
        <f t="shared" si="71"/>
        <v>152.00000000000009</v>
      </c>
      <c r="CG31" s="440">
        <f t="shared" si="71"/>
        <v>173.6000000000009</v>
      </c>
      <c r="CH31" s="440">
        <f t="shared" si="71"/>
        <v>156.89999999999989</v>
      </c>
      <c r="CI31" s="441">
        <f t="shared" si="71"/>
        <v>183.39999999999986</v>
      </c>
      <c r="CJ31" s="440">
        <f t="shared" si="71"/>
        <v>180.5000000000004</v>
      </c>
      <c r="CK31" s="440">
        <f t="shared" si="71"/>
        <v>219.80000000000132</v>
      </c>
      <c r="CL31" s="440">
        <f t="shared" si="71"/>
        <v>198.40000000000055</v>
      </c>
      <c r="CM31" s="441">
        <f t="shared" si="71"/>
        <v>245.20000000000041</v>
      </c>
      <c r="CN31" s="440">
        <f t="shared" si="71"/>
        <v>256.39999999999992</v>
      </c>
      <c r="CO31" s="440">
        <f t="shared" si="71"/>
        <v>270.10000000000036</v>
      </c>
      <c r="CP31" s="440">
        <f t="shared" si="71"/>
        <v>229.69999999999973</v>
      </c>
      <c r="CQ31" s="441">
        <f t="shared" si="71"/>
        <v>270.10000000000059</v>
      </c>
      <c r="CR31" s="440">
        <f t="shared" si="71"/>
        <v>300.10000000000019</v>
      </c>
      <c r="CS31" s="440">
        <f t="shared" si="71"/>
        <v>304.90000000000043</v>
      </c>
      <c r="CT31" s="440">
        <f t="shared" si="71"/>
        <v>272.39999999999981</v>
      </c>
      <c r="CU31" s="441">
        <f t="shared" ref="CU31" si="72">CU26+CU28+CU30</f>
        <v>300.40000000000072</v>
      </c>
      <c r="CV31" s="862">
        <f t="shared" ref="CV31:CY31" si="73">CV26+CV28+CV30</f>
        <v>329.29489578963756</v>
      </c>
      <c r="CW31" s="862">
        <f t="shared" si="73"/>
        <v>334.77175393744471</v>
      </c>
      <c r="CX31" s="862">
        <f t="shared" si="73"/>
        <v>301.08795504213492</v>
      </c>
      <c r="CY31" s="250">
        <f t="shared" si="73"/>
        <v>311.31544770044258</v>
      </c>
      <c r="DA31" s="248">
        <f t="shared" ref="DA31:EA31" si="74">DA26+DA28+DA30</f>
        <v>59.700000000000088</v>
      </c>
      <c r="DB31" s="248">
        <f t="shared" si="74"/>
        <v>95.699999999999974</v>
      </c>
      <c r="DC31" s="248">
        <f t="shared" si="74"/>
        <v>151.90000000000066</v>
      </c>
      <c r="DD31" s="248">
        <f t="shared" si="74"/>
        <v>207.20000000000059</v>
      </c>
      <c r="DE31" s="248">
        <f t="shared" si="74"/>
        <v>208.00000000000142</v>
      </c>
      <c r="DF31" s="248">
        <f t="shared" si="74"/>
        <v>257.09999999999894</v>
      </c>
      <c r="DG31" s="248">
        <f t="shared" si="74"/>
        <v>274.70000000000039</v>
      </c>
      <c r="DH31" s="248">
        <f t="shared" si="74"/>
        <v>26.300000000000637</v>
      </c>
      <c r="DI31" s="248">
        <f t="shared" si="74"/>
        <v>12.999999999999318</v>
      </c>
      <c r="DJ31" s="248">
        <f t="shared" si="74"/>
        <v>380.49999999999977</v>
      </c>
      <c r="DK31" s="248">
        <f t="shared" si="74"/>
        <v>422.16999999999842</v>
      </c>
      <c r="DL31" s="248">
        <f t="shared" si="74"/>
        <v>-1447.9279442457587</v>
      </c>
      <c r="DM31" s="248">
        <f t="shared" si="74"/>
        <v>-731.57828099199708</v>
      </c>
      <c r="DN31" s="248">
        <f t="shared" si="74"/>
        <v>241.46500000000208</v>
      </c>
      <c r="DO31" s="248">
        <f t="shared" si="74"/>
        <v>-603.42000000000007</v>
      </c>
      <c r="DP31" s="248">
        <f t="shared" si="74"/>
        <v>815.39999999999941</v>
      </c>
      <c r="DQ31" s="248">
        <f t="shared" si="74"/>
        <v>436.80000000000177</v>
      </c>
      <c r="DR31" s="248">
        <f t="shared" si="74"/>
        <v>540.39999999999964</v>
      </c>
      <c r="DS31" s="248">
        <f t="shared" si="74"/>
        <v>1288.599999999999</v>
      </c>
      <c r="DT31" s="248">
        <f t="shared" si="74"/>
        <v>510.00000000000171</v>
      </c>
      <c r="DU31" s="248">
        <f t="shared" si="74"/>
        <v>665.90000000000271</v>
      </c>
      <c r="DV31" s="248">
        <f t="shared" si="74"/>
        <v>843.90000000000248</v>
      </c>
      <c r="DW31" s="248">
        <f t="shared" si="74"/>
        <v>1026.3000000000006</v>
      </c>
      <c r="DX31" s="248">
        <f t="shared" si="74"/>
        <v>1177.8000000000031</v>
      </c>
      <c r="DY31" s="248">
        <f t="shared" ref="DY31" si="75">DY26+DY28+DY30</f>
        <v>1276.4700524696586</v>
      </c>
      <c r="DZ31" s="248">
        <f t="shared" si="74"/>
        <v>1314.2559231307398</v>
      </c>
      <c r="EA31" s="248">
        <f t="shared" si="74"/>
        <v>1292.1712446003605</v>
      </c>
      <c r="EB31" s="248">
        <f t="shared" ref="EB31:ED31" si="76">EB26+EB28+EB30</f>
        <v>1261.1464131953142</v>
      </c>
      <c r="EC31" s="248">
        <f t="shared" si="76"/>
        <v>1212.9452072828681</v>
      </c>
      <c r="ED31" s="248">
        <f t="shared" si="76"/>
        <v>1147.2879073257727</v>
      </c>
      <c r="EE31" s="246"/>
      <c r="EF31"/>
      <c r="EG31"/>
      <c r="EH31"/>
      <c r="EI31"/>
      <c r="EJ31"/>
      <c r="EK31"/>
    </row>
    <row r="32" spans="1:141" s="137" customFormat="1" collapsed="1">
      <c r="A32" s="193"/>
      <c r="B32" s="138"/>
      <c r="C32" s="138"/>
      <c r="D32" s="209"/>
      <c r="E32" s="138"/>
      <c r="F32" s="138"/>
      <c r="G32" s="210"/>
      <c r="H32" s="138"/>
      <c r="I32" s="138"/>
      <c r="J32" s="138"/>
      <c r="K32" s="210"/>
      <c r="L32" s="138"/>
      <c r="M32" s="138"/>
      <c r="N32" s="138"/>
      <c r="O32" s="210"/>
      <c r="P32" s="138"/>
      <c r="Q32" s="138"/>
      <c r="R32" s="138"/>
      <c r="S32" s="210"/>
      <c r="T32" s="138"/>
      <c r="U32" s="138"/>
      <c r="V32" s="138"/>
      <c r="W32" s="210"/>
      <c r="X32" s="138"/>
      <c r="Y32" s="138"/>
      <c r="Z32" s="138"/>
      <c r="AA32" s="210"/>
      <c r="AB32" s="138"/>
      <c r="AC32" s="138"/>
      <c r="AD32" s="138"/>
      <c r="AE32" s="210"/>
      <c r="AF32" s="138"/>
      <c r="AG32" s="138"/>
      <c r="AH32" s="138"/>
      <c r="AI32" s="210"/>
      <c r="AJ32" s="138"/>
      <c r="AK32" s="138"/>
      <c r="AL32" s="138"/>
      <c r="AM32" s="210"/>
      <c r="AN32" s="138"/>
      <c r="AO32" s="138"/>
      <c r="AP32" s="138"/>
      <c r="AQ32" s="210"/>
      <c r="AR32" s="138"/>
      <c r="AS32" s="138"/>
      <c r="AT32" s="138"/>
      <c r="AU32" s="210"/>
      <c r="AV32" s="138"/>
      <c r="AW32" s="138"/>
      <c r="AX32" s="138"/>
      <c r="AY32" s="210"/>
      <c r="AZ32" s="138"/>
      <c r="BA32" s="138"/>
      <c r="BB32" s="138"/>
      <c r="BC32" s="210"/>
      <c r="BD32" s="138"/>
      <c r="BE32" s="138"/>
      <c r="BF32" s="138"/>
      <c r="BG32" s="210"/>
      <c r="BH32" s="138"/>
      <c r="BI32" s="138"/>
      <c r="BJ32" s="138"/>
      <c r="BK32" s="210"/>
      <c r="BL32" s="138"/>
      <c r="BM32" s="138"/>
      <c r="BN32" s="138"/>
      <c r="BO32" s="210"/>
      <c r="BP32" s="138"/>
      <c r="BQ32" s="138"/>
      <c r="BR32" s="138"/>
      <c r="BS32" s="210"/>
      <c r="BT32" s="138"/>
      <c r="BU32" s="138"/>
      <c r="BV32" s="138"/>
      <c r="BW32" s="210"/>
      <c r="BX32" s="139"/>
      <c r="BY32" s="139"/>
      <c r="BZ32" s="139"/>
      <c r="CA32" s="602"/>
      <c r="CB32" s="139"/>
      <c r="CC32" s="139"/>
      <c r="CD32" s="139"/>
      <c r="CE32" s="602"/>
      <c r="CF32" s="139"/>
      <c r="CG32" s="139"/>
      <c r="CH32" s="139"/>
      <c r="CI32" s="602"/>
      <c r="CJ32" s="139"/>
      <c r="CK32" s="139"/>
      <c r="CL32" s="139"/>
      <c r="CM32" s="602"/>
      <c r="CN32" s="139"/>
      <c r="CO32" s="139"/>
      <c r="CP32" s="139"/>
      <c r="CQ32" s="602"/>
      <c r="CR32" s="139"/>
      <c r="CS32" s="139"/>
      <c r="CT32" s="139"/>
      <c r="CU32" s="602"/>
      <c r="CV32" s="138"/>
      <c r="CW32" s="138"/>
      <c r="CX32" s="138"/>
      <c r="CY32" s="210"/>
      <c r="DA32" s="138"/>
      <c r="DB32" s="138"/>
      <c r="DC32" s="138"/>
      <c r="DD32" s="138"/>
      <c r="DE32" s="138"/>
      <c r="DF32" s="138"/>
      <c r="DG32" s="138"/>
      <c r="DH32" s="138"/>
      <c r="DI32" s="138"/>
      <c r="DJ32" s="138"/>
      <c r="DK32" s="138"/>
      <c r="DL32" s="138"/>
      <c r="DM32" s="138"/>
      <c r="DN32" s="138"/>
      <c r="DO32" s="138"/>
      <c r="DP32" s="138"/>
      <c r="DQ32" s="138"/>
      <c r="DR32" s="138"/>
      <c r="DS32" s="138"/>
      <c r="DT32" s="138"/>
      <c r="DU32" s="138"/>
      <c r="DV32" s="138"/>
      <c r="DW32" s="138"/>
      <c r="DX32" s="226"/>
      <c r="DY32" s="226"/>
      <c r="DZ32" s="226"/>
      <c r="EA32" s="226"/>
      <c r="EB32" s="226"/>
      <c r="EC32" s="226"/>
      <c r="ED32" s="226"/>
      <c r="EE32" s="199"/>
      <c r="EF32"/>
      <c r="EG32"/>
      <c r="EH32"/>
      <c r="EI32"/>
      <c r="EJ32"/>
      <c r="EK32"/>
    </row>
    <row r="33" spans="1:141" s="137" customFormat="1">
      <c r="A33" s="193"/>
      <c r="B33" s="138" t="s">
        <v>346</v>
      </c>
      <c r="C33" s="138"/>
      <c r="D33" s="213">
        <f>D35</f>
        <v>84</v>
      </c>
      <c r="E33" s="197">
        <f t="shared" ref="E33:BP33" si="77">E35</f>
        <v>98.2</v>
      </c>
      <c r="F33" s="197">
        <f t="shared" si="77"/>
        <v>98.8</v>
      </c>
      <c r="G33" s="198">
        <f t="shared" si="77"/>
        <v>99</v>
      </c>
      <c r="H33" s="197">
        <f t="shared" si="77"/>
        <v>98.8</v>
      </c>
      <c r="I33" s="197">
        <f t="shared" si="77"/>
        <v>99.2</v>
      </c>
      <c r="J33" s="197">
        <f t="shared" si="77"/>
        <v>102</v>
      </c>
      <c r="K33" s="198">
        <f t="shared" si="77"/>
        <v>119.8</v>
      </c>
      <c r="L33" s="197">
        <f t="shared" si="77"/>
        <v>120</v>
      </c>
      <c r="M33" s="197">
        <f t="shared" si="77"/>
        <v>120.2</v>
      </c>
      <c r="N33" s="197">
        <f t="shared" si="77"/>
        <v>134</v>
      </c>
      <c r="O33" s="198">
        <f t="shared" si="77"/>
        <v>135.80000000000001</v>
      </c>
      <c r="P33" s="197">
        <f t="shared" si="77"/>
        <v>136</v>
      </c>
      <c r="Q33" s="197">
        <f t="shared" si="77"/>
        <v>136.6</v>
      </c>
      <c r="R33" s="197">
        <f t="shared" si="77"/>
        <v>137</v>
      </c>
      <c r="S33" s="198">
        <f t="shared" si="77"/>
        <v>136.80000000000001</v>
      </c>
      <c r="T33" s="197">
        <f t="shared" si="77"/>
        <v>136.80000000000001</v>
      </c>
      <c r="U33" s="197">
        <f t="shared" si="77"/>
        <v>136.80000000000001</v>
      </c>
      <c r="V33" s="197">
        <f t="shared" si="77"/>
        <v>136.4</v>
      </c>
      <c r="W33" s="198">
        <f t="shared" si="77"/>
        <v>135</v>
      </c>
      <c r="X33" s="197">
        <f t="shared" si="77"/>
        <v>156.80000000000001</v>
      </c>
      <c r="Y33" s="197">
        <f t="shared" si="77"/>
        <v>157</v>
      </c>
      <c r="Z33" s="197">
        <f t="shared" si="77"/>
        <v>157</v>
      </c>
      <c r="AA33" s="198">
        <f t="shared" si="77"/>
        <v>157.19999999999999</v>
      </c>
      <c r="AB33" s="197">
        <f t="shared" si="77"/>
        <v>132.50069999999999</v>
      </c>
      <c r="AC33" s="197">
        <f t="shared" si="77"/>
        <v>131.758948</v>
      </c>
      <c r="AD33" s="197">
        <f t="shared" si="77"/>
        <v>128.87601799999999</v>
      </c>
      <c r="AE33" s="198">
        <f t="shared" si="77"/>
        <v>128.27712600000001</v>
      </c>
      <c r="AF33" s="197">
        <f t="shared" si="77"/>
        <v>127.38498</v>
      </c>
      <c r="AG33" s="197">
        <f t="shared" si="77"/>
        <v>127.81400600000001</v>
      </c>
      <c r="AH33" s="197">
        <f t="shared" si="77"/>
        <v>128.18025600000001</v>
      </c>
      <c r="AI33" s="198">
        <f t="shared" si="77"/>
        <v>128.439886</v>
      </c>
      <c r="AJ33" s="197">
        <f t="shared" si="77"/>
        <v>128.953608</v>
      </c>
      <c r="AK33" s="197">
        <f t="shared" si="77"/>
        <v>131.00474600000001</v>
      </c>
      <c r="AL33" s="197">
        <f t="shared" si="77"/>
        <v>131.42400000000001</v>
      </c>
      <c r="AM33" s="198">
        <f t="shared" si="77"/>
        <v>131.53947000000002</v>
      </c>
      <c r="AN33" s="197">
        <f t="shared" si="77"/>
        <v>131.56126800000001</v>
      </c>
      <c r="AO33" s="197">
        <f t="shared" si="77"/>
        <v>132.07829799999999</v>
      </c>
      <c r="AP33" s="197">
        <f t="shared" si="77"/>
        <v>134.13683</v>
      </c>
      <c r="AQ33" s="198">
        <f t="shared" si="77"/>
        <v>135.74173999999999</v>
      </c>
      <c r="AR33" s="197">
        <f t="shared" si="77"/>
        <v>136.64671199999975</v>
      </c>
      <c r="AS33" s="197">
        <f t="shared" si="77"/>
        <v>137.4</v>
      </c>
      <c r="AT33" s="197">
        <f t="shared" si="77"/>
        <v>136.6</v>
      </c>
      <c r="AU33" s="198">
        <f t="shared" si="77"/>
        <v>135.19999999999999</v>
      </c>
      <c r="AV33" s="197">
        <f t="shared" si="77"/>
        <v>134.4</v>
      </c>
      <c r="AW33" s="197">
        <f t="shared" si="77"/>
        <v>134.195584</v>
      </c>
      <c r="AX33" s="197">
        <f t="shared" si="77"/>
        <v>134.28814600000001</v>
      </c>
      <c r="AY33" s="198">
        <f t="shared" si="77"/>
        <v>134.4</v>
      </c>
      <c r="AZ33" s="197">
        <f t="shared" si="77"/>
        <v>134.43398400000001</v>
      </c>
      <c r="BA33" s="197">
        <f t="shared" si="77"/>
        <v>134.673056</v>
      </c>
      <c r="BB33" s="197">
        <f t="shared" si="77"/>
        <v>134.70567199999999</v>
      </c>
      <c r="BC33" s="198">
        <f t="shared" si="77"/>
        <v>134.70567199999999</v>
      </c>
      <c r="BD33" s="197">
        <f t="shared" si="77"/>
        <v>152.820964</v>
      </c>
      <c r="BE33" s="197">
        <f t="shared" si="77"/>
        <v>153.36270999999999</v>
      </c>
      <c r="BF33" s="197">
        <f t="shared" si="77"/>
        <v>154.05123599999999</v>
      </c>
      <c r="BG33" s="198">
        <f t="shared" si="77"/>
        <v>154.4</v>
      </c>
      <c r="BH33" s="197">
        <f t="shared" si="77"/>
        <v>154.44640799999999</v>
      </c>
      <c r="BI33" s="197">
        <f t="shared" si="77"/>
        <v>154.617096</v>
      </c>
      <c r="BJ33" s="197">
        <f t="shared" si="77"/>
        <v>154.31720999999999</v>
      </c>
      <c r="BK33" s="198">
        <f t="shared" si="77"/>
        <v>154.6</v>
      </c>
      <c r="BL33" s="197">
        <f t="shared" si="77"/>
        <v>155</v>
      </c>
      <c r="BM33" s="197">
        <f t="shared" si="77"/>
        <v>155.039682</v>
      </c>
      <c r="BN33" s="197">
        <f t="shared" si="77"/>
        <v>155.04332400000001</v>
      </c>
      <c r="BO33" s="198">
        <f t="shared" si="77"/>
        <v>69</v>
      </c>
      <c r="BP33" s="197">
        <f t="shared" si="77"/>
        <v>83.761954000000003</v>
      </c>
      <c r="BQ33" s="197">
        <f t="shared" ref="BQ33:CS33" si="78">BQ35</f>
        <v>92.932785999999993</v>
      </c>
      <c r="BR33" s="197">
        <f t="shared" si="78"/>
        <v>99.332229999999996</v>
      </c>
      <c r="BS33" s="198">
        <f t="shared" si="78"/>
        <v>94.814043999999996</v>
      </c>
      <c r="BT33" s="197">
        <f t="shared" si="78"/>
        <v>92.710253499999993</v>
      </c>
      <c r="BU33" s="197">
        <f t="shared" si="78"/>
        <v>92.710253499999993</v>
      </c>
      <c r="BV33" s="197">
        <f t="shared" si="78"/>
        <v>92.710253499999993</v>
      </c>
      <c r="BW33" s="198">
        <f t="shared" si="78"/>
        <v>92.710253499999993</v>
      </c>
      <c r="BX33" s="348">
        <f t="shared" si="78"/>
        <v>92.710253499999993</v>
      </c>
      <c r="BY33" s="348">
        <f t="shared" si="78"/>
        <v>92.710253499999993</v>
      </c>
      <c r="BZ33" s="348">
        <f t="shared" si="78"/>
        <v>92.710253499999993</v>
      </c>
      <c r="CA33" s="603">
        <f t="shared" si="78"/>
        <v>92.710253499999993</v>
      </c>
      <c r="CB33" s="348">
        <f t="shared" si="78"/>
        <v>95.9</v>
      </c>
      <c r="CC33" s="348">
        <f t="shared" si="78"/>
        <v>85.6</v>
      </c>
      <c r="CD33" s="348">
        <f t="shared" si="78"/>
        <v>81.8</v>
      </c>
      <c r="CE33" s="603">
        <f t="shared" si="78"/>
        <v>82.9</v>
      </c>
      <c r="CF33" s="348">
        <f t="shared" si="78"/>
        <v>82.8</v>
      </c>
      <c r="CG33" s="348">
        <f t="shared" si="78"/>
        <v>81.900000000000006</v>
      </c>
      <c r="CH33" s="348">
        <f t="shared" si="78"/>
        <v>81.400000000000006</v>
      </c>
      <c r="CI33" s="603">
        <f t="shared" si="78"/>
        <v>80.900000000000006</v>
      </c>
      <c r="CJ33" s="348">
        <f t="shared" si="78"/>
        <v>79.099999999999994</v>
      </c>
      <c r="CK33" s="348">
        <f t="shared" si="78"/>
        <v>78.099999999999994</v>
      </c>
      <c r="CL33" s="348">
        <f t="shared" si="78"/>
        <v>77.400000000000006</v>
      </c>
      <c r="CM33" s="603">
        <f t="shared" si="78"/>
        <v>76.599999999999994</v>
      </c>
      <c r="CN33" s="348">
        <f t="shared" si="78"/>
        <v>75.5</v>
      </c>
      <c r="CO33" s="348">
        <f t="shared" si="78"/>
        <v>73.900000000000006</v>
      </c>
      <c r="CP33" s="348">
        <f t="shared" si="78"/>
        <v>72.099999999999994</v>
      </c>
      <c r="CQ33" s="603">
        <f t="shared" si="78"/>
        <v>71.099999999999994</v>
      </c>
      <c r="CR33" s="348">
        <f t="shared" si="78"/>
        <v>70.3</v>
      </c>
      <c r="CS33" s="348">
        <f t="shared" si="78"/>
        <v>69.400000000000006</v>
      </c>
      <c r="CT33" s="348">
        <f>CT35</f>
        <v>68.8</v>
      </c>
      <c r="CU33" s="603">
        <f t="shared" ref="CU33" si="79">CU35</f>
        <v>68.5</v>
      </c>
      <c r="CV33" s="197">
        <f>CU33*(1+CV34)-CV48</f>
        <v>67.940156518723867</v>
      </c>
      <c r="CW33" s="197">
        <f>CV33*(1+CW34)-CW48</f>
        <v>67.393902000576162</v>
      </c>
      <c r="CX33" s="197">
        <f>CW33*(1+CX34)-CX48</f>
        <v>66.86090660351158</v>
      </c>
      <c r="CY33" s="198">
        <f>CX33*(1+CY34)-CY48</f>
        <v>66.340848491671466</v>
      </c>
      <c r="DA33" s="212">
        <f>DA35</f>
        <v>94.8</v>
      </c>
      <c r="DB33" s="212">
        <f>DB35</f>
        <v>105</v>
      </c>
      <c r="DC33" s="212">
        <f>DC35</f>
        <v>127.6</v>
      </c>
      <c r="DD33" s="212">
        <f>DD35</f>
        <v>136.6</v>
      </c>
      <c r="DE33" s="212">
        <f>W33</f>
        <v>135</v>
      </c>
      <c r="DF33" s="212">
        <f>AA33</f>
        <v>157.19999999999999</v>
      </c>
      <c r="DG33" s="212">
        <f>AE33</f>
        <v>128.27712600000001</v>
      </c>
      <c r="DH33" s="212">
        <f>AI33</f>
        <v>128.439886</v>
      </c>
      <c r="DI33" s="212">
        <f>AM33</f>
        <v>131.53947000000002</v>
      </c>
      <c r="DJ33" s="212">
        <f>AQ33</f>
        <v>135.74173999999999</v>
      </c>
      <c r="DK33" s="212">
        <f>AU33</f>
        <v>135.19999999999999</v>
      </c>
      <c r="DL33" s="212">
        <f>AY33</f>
        <v>134.4</v>
      </c>
      <c r="DM33" s="212">
        <f>BC33</f>
        <v>134.70567199999999</v>
      </c>
      <c r="DN33" s="212">
        <f>BG33</f>
        <v>154.4</v>
      </c>
      <c r="DO33" s="212">
        <f>BK33</f>
        <v>154.6</v>
      </c>
      <c r="DP33" s="212">
        <f>BO33</f>
        <v>69</v>
      </c>
      <c r="DQ33" s="212">
        <f>BS33</f>
        <v>94.814043999999996</v>
      </c>
      <c r="DR33" s="212">
        <f>BW33</f>
        <v>92.710253499999993</v>
      </c>
      <c r="DS33" s="212">
        <f>CA33</f>
        <v>92.710253499999993</v>
      </c>
      <c r="DT33" s="212">
        <f>CE33</f>
        <v>82.9</v>
      </c>
      <c r="DU33" s="212">
        <f>CI33</f>
        <v>80.900000000000006</v>
      </c>
      <c r="DV33" s="212">
        <f>CM33</f>
        <v>76.599999999999994</v>
      </c>
      <c r="DW33" s="212">
        <f>CQ33</f>
        <v>71.099999999999994</v>
      </c>
      <c r="DX33" s="212">
        <f>CU33</f>
        <v>68.5</v>
      </c>
      <c r="DY33" s="212">
        <f>CY33</f>
        <v>66.340848491671466</v>
      </c>
      <c r="DZ33" s="197">
        <f>DY33*(1+DZ34)-DZ48</f>
        <v>62.286008342391803</v>
      </c>
      <c r="EA33" s="197">
        <f>DZ33*(1+EA34)-EA48</f>
        <v>58.536699648280994</v>
      </c>
      <c r="EB33" s="197">
        <f>EA33*(1+EB34)-EB48</f>
        <v>55.067207982578779</v>
      </c>
      <c r="EC33" s="197">
        <f>EB33*(1+EC34)-EC48</f>
        <v>51.854085061621518</v>
      </c>
      <c r="ED33" s="197">
        <f>EC33*(1+ED34)-ED48</f>
        <v>48.875945580546805</v>
      </c>
      <c r="EE33" s="199"/>
      <c r="EF33"/>
      <c r="EG33"/>
      <c r="EH33"/>
      <c r="EI33"/>
      <c r="EJ33"/>
      <c r="EK33"/>
    </row>
    <row r="34" spans="1:141" s="265" customFormat="1">
      <c r="A34" s="258"/>
      <c r="B34" s="259" t="s">
        <v>314</v>
      </c>
      <c r="C34" s="278"/>
      <c r="D34" s="635"/>
      <c r="E34" s="278">
        <f t="shared" ref="E34:AJ34" si="80">E33/D33-1</f>
        <v>0.16904761904761911</v>
      </c>
      <c r="F34" s="278">
        <f t="shared" si="80"/>
        <v>6.109979633401208E-3</v>
      </c>
      <c r="G34" s="636">
        <f t="shared" si="80"/>
        <v>2.0242914979757831E-3</v>
      </c>
      <c r="H34" s="278">
        <f t="shared" si="80"/>
        <v>-2.0202020202020332E-3</v>
      </c>
      <c r="I34" s="278">
        <f t="shared" si="80"/>
        <v>4.0485829959515662E-3</v>
      </c>
      <c r="J34" s="278">
        <f t="shared" si="80"/>
        <v>2.8225806451612767E-2</v>
      </c>
      <c r="K34" s="636">
        <f t="shared" si="80"/>
        <v>0.17450980392156867</v>
      </c>
      <c r="L34" s="278">
        <f t="shared" si="80"/>
        <v>1.6694490818029983E-3</v>
      </c>
      <c r="M34" s="278">
        <f t="shared" si="80"/>
        <v>1.6666666666667052E-3</v>
      </c>
      <c r="N34" s="278">
        <f t="shared" si="80"/>
        <v>0.11480865224625614</v>
      </c>
      <c r="O34" s="636">
        <f t="shared" si="80"/>
        <v>1.3432835820895717E-2</v>
      </c>
      <c r="P34" s="278">
        <f t="shared" si="80"/>
        <v>1.4727540500736325E-3</v>
      </c>
      <c r="Q34" s="278">
        <f t="shared" si="80"/>
        <v>4.4117647058823373E-3</v>
      </c>
      <c r="R34" s="278">
        <f t="shared" si="80"/>
        <v>2.9282576866764831E-3</v>
      </c>
      <c r="S34" s="636">
        <f t="shared" si="80"/>
        <v>-1.4598540145984717E-3</v>
      </c>
      <c r="T34" s="278">
        <f t="shared" si="80"/>
        <v>0</v>
      </c>
      <c r="U34" s="278">
        <f t="shared" si="80"/>
        <v>0</v>
      </c>
      <c r="V34" s="278">
        <f t="shared" si="80"/>
        <v>-2.9239766081872176E-3</v>
      </c>
      <c r="W34" s="636">
        <f t="shared" si="80"/>
        <v>-1.0263929618768319E-2</v>
      </c>
      <c r="X34" s="278">
        <f t="shared" si="80"/>
        <v>0.16148148148148156</v>
      </c>
      <c r="Y34" s="278">
        <f t="shared" si="80"/>
        <v>1.2755102040815647E-3</v>
      </c>
      <c r="Z34" s="278">
        <f t="shared" si="80"/>
        <v>0</v>
      </c>
      <c r="AA34" s="636">
        <f t="shared" si="80"/>
        <v>1.2738853503184711E-3</v>
      </c>
      <c r="AB34" s="278">
        <f t="shared" si="80"/>
        <v>-0.15712022900763356</v>
      </c>
      <c r="AC34" s="278">
        <f t="shared" si="80"/>
        <v>-5.5980987270255467E-3</v>
      </c>
      <c r="AD34" s="278">
        <f t="shared" si="80"/>
        <v>-2.1880335595879319E-2</v>
      </c>
      <c r="AE34" s="636">
        <f t="shared" si="80"/>
        <v>-4.647039917077378E-3</v>
      </c>
      <c r="AF34" s="278">
        <f t="shared" si="80"/>
        <v>-6.9548330853624885E-3</v>
      </c>
      <c r="AG34" s="278">
        <f t="shared" si="80"/>
        <v>3.3679480893273883E-3</v>
      </c>
      <c r="AH34" s="278">
        <f t="shared" si="80"/>
        <v>2.8654919086097408E-3</v>
      </c>
      <c r="AI34" s="636">
        <f t="shared" si="80"/>
        <v>2.0255069548307247E-3</v>
      </c>
      <c r="AJ34" s="278">
        <f t="shared" si="80"/>
        <v>3.99970769204816E-3</v>
      </c>
      <c r="AK34" s="278">
        <f t="shared" ref="AK34:BP34" si="81">AK33/AJ33-1</f>
        <v>1.5906014820461722E-2</v>
      </c>
      <c r="AL34" s="278">
        <f t="shared" si="81"/>
        <v>3.2002962701824789E-3</v>
      </c>
      <c r="AM34" s="636">
        <f t="shared" si="81"/>
        <v>8.7860664718775183E-4</v>
      </c>
      <c r="AN34" s="278">
        <f t="shared" si="81"/>
        <v>1.6571451899571876E-4</v>
      </c>
      <c r="AO34" s="278">
        <f t="shared" si="81"/>
        <v>3.9299560414693957E-3</v>
      </c>
      <c r="AP34" s="278">
        <f t="shared" si="81"/>
        <v>1.5585694479497425E-2</v>
      </c>
      <c r="AQ34" s="636">
        <f t="shared" si="81"/>
        <v>1.1964722887815249E-2</v>
      </c>
      <c r="AR34" s="278">
        <f t="shared" si="81"/>
        <v>6.6668660649240596E-3</v>
      </c>
      <c r="AS34" s="278">
        <f t="shared" si="81"/>
        <v>5.512668317992464E-3</v>
      </c>
      <c r="AT34" s="278">
        <f t="shared" si="81"/>
        <v>-5.8224163027656983E-3</v>
      </c>
      <c r="AU34" s="636">
        <f t="shared" si="81"/>
        <v>-1.024890190336758E-2</v>
      </c>
      <c r="AV34" s="278">
        <f t="shared" si="81"/>
        <v>-5.9171597633135287E-3</v>
      </c>
      <c r="AW34" s="278">
        <f t="shared" si="81"/>
        <v>-1.5209523809524006E-3</v>
      </c>
      <c r="AX34" s="278">
        <f t="shared" si="81"/>
        <v>6.8975444080199289E-4</v>
      </c>
      <c r="AY34" s="636">
        <f t="shared" si="81"/>
        <v>8.3294023584179477E-4</v>
      </c>
      <c r="AZ34" s="278">
        <f t="shared" si="81"/>
        <v>2.5285714285727678E-4</v>
      </c>
      <c r="BA34" s="278">
        <f t="shared" si="81"/>
        <v>1.7783598528180455E-3</v>
      </c>
      <c r="BB34" s="278">
        <f t="shared" si="81"/>
        <v>2.4218652913021721E-4</v>
      </c>
      <c r="BC34" s="636">
        <f t="shared" si="81"/>
        <v>0</v>
      </c>
      <c r="BD34" s="278">
        <f t="shared" si="81"/>
        <v>0.13448054362551276</v>
      </c>
      <c r="BE34" s="278">
        <f t="shared" si="81"/>
        <v>3.5449717487712196E-3</v>
      </c>
      <c r="BF34" s="278">
        <f t="shared" si="81"/>
        <v>4.4895268217417517E-3</v>
      </c>
      <c r="BG34" s="636">
        <f t="shared" si="81"/>
        <v>2.2639480802348899E-3</v>
      </c>
      <c r="BH34" s="278">
        <f t="shared" si="81"/>
        <v>3.0056994818639104E-4</v>
      </c>
      <c r="BI34" s="278">
        <f t="shared" si="81"/>
        <v>1.1051600500804337E-3</v>
      </c>
      <c r="BJ34" s="278">
        <f t="shared" si="81"/>
        <v>-1.939539725930528E-3</v>
      </c>
      <c r="BK34" s="636">
        <f t="shared" si="81"/>
        <v>1.8325240587229175E-3</v>
      </c>
      <c r="BL34" s="278">
        <f t="shared" si="81"/>
        <v>2.5873221216041742E-3</v>
      </c>
      <c r="BM34" s="278">
        <f t="shared" si="81"/>
        <v>2.5601290322585513E-4</v>
      </c>
      <c r="BN34" s="278">
        <f t="shared" si="81"/>
        <v>2.3490760255873155E-5</v>
      </c>
      <c r="BO34" s="636">
        <f t="shared" si="81"/>
        <v>-0.55496310179727582</v>
      </c>
      <c r="BP34" s="278">
        <f t="shared" si="81"/>
        <v>0.21394136231884064</v>
      </c>
      <c r="BQ34" s="278">
        <f t="shared" ref="BQ34:CU34" si="82">BQ33/BP33-1</f>
        <v>0.1094868441106327</v>
      </c>
      <c r="BR34" s="278">
        <f t="shared" si="82"/>
        <v>6.8860993793944836E-2</v>
      </c>
      <c r="BS34" s="636">
        <f t="shared" si="82"/>
        <v>-4.548559918568218E-2</v>
      </c>
      <c r="BT34" s="278">
        <f t="shared" si="82"/>
        <v>-2.2188595816037604E-2</v>
      </c>
      <c r="BU34" s="278">
        <f t="shared" si="82"/>
        <v>0</v>
      </c>
      <c r="BV34" s="278">
        <f t="shared" si="82"/>
        <v>0</v>
      </c>
      <c r="BW34" s="636">
        <f t="shared" si="82"/>
        <v>0</v>
      </c>
      <c r="BX34" s="435">
        <f t="shared" si="82"/>
        <v>0</v>
      </c>
      <c r="BY34" s="435">
        <f t="shared" si="82"/>
        <v>0</v>
      </c>
      <c r="BZ34" s="435">
        <f t="shared" si="82"/>
        <v>0</v>
      </c>
      <c r="CA34" s="436">
        <f t="shared" si="82"/>
        <v>0</v>
      </c>
      <c r="CB34" s="435">
        <f t="shared" si="82"/>
        <v>3.4405541777533966E-2</v>
      </c>
      <c r="CC34" s="435">
        <f t="shared" si="82"/>
        <v>-0.10740354535974983</v>
      </c>
      <c r="CD34" s="435">
        <f t="shared" si="82"/>
        <v>-4.4392523364485958E-2</v>
      </c>
      <c r="CE34" s="436">
        <f t="shared" si="82"/>
        <v>1.344743276283622E-2</v>
      </c>
      <c r="CF34" s="435">
        <f t="shared" si="82"/>
        <v>-1.2062726176116367E-3</v>
      </c>
      <c r="CG34" s="435">
        <f t="shared" si="82"/>
        <v>-1.0869565217391242E-2</v>
      </c>
      <c r="CH34" s="435">
        <f t="shared" si="82"/>
        <v>-6.1050061050060833E-3</v>
      </c>
      <c r="CI34" s="436">
        <f t="shared" si="82"/>
        <v>-6.14250614250611E-3</v>
      </c>
      <c r="CJ34" s="435">
        <f t="shared" si="82"/>
        <v>-2.2249690976514302E-2</v>
      </c>
      <c r="CK34" s="435">
        <f t="shared" si="82"/>
        <v>-1.2642225031605614E-2</v>
      </c>
      <c r="CL34" s="435">
        <f t="shared" si="82"/>
        <v>-8.9628681177975622E-3</v>
      </c>
      <c r="CM34" s="436">
        <f t="shared" si="82"/>
        <v>-1.0335917312661591E-2</v>
      </c>
      <c r="CN34" s="435">
        <f t="shared" si="82"/>
        <v>-1.4360313315926798E-2</v>
      </c>
      <c r="CO34" s="435">
        <f t="shared" si="82"/>
        <v>-2.1192052980132381E-2</v>
      </c>
      <c r="CP34" s="435">
        <f t="shared" si="82"/>
        <v>-2.43572395128554E-2</v>
      </c>
      <c r="CQ34" s="436">
        <f t="shared" si="82"/>
        <v>-1.3869625520110951E-2</v>
      </c>
      <c r="CR34" s="435">
        <f t="shared" si="82"/>
        <v>-1.1251758087201136E-2</v>
      </c>
      <c r="CS34" s="435">
        <f t="shared" si="82"/>
        <v>-1.2802275960170584E-2</v>
      </c>
      <c r="CT34" s="435">
        <f>CT33/CS33-1</f>
        <v>-8.6455331412105263E-3</v>
      </c>
      <c r="CU34" s="436">
        <f t="shared" si="82"/>
        <v>-4.3604651162790775E-3</v>
      </c>
      <c r="CV34" s="857">
        <v>0</v>
      </c>
      <c r="CW34" s="857">
        <v>0</v>
      </c>
      <c r="CX34" s="857">
        <v>0</v>
      </c>
      <c r="CY34" s="637">
        <v>0</v>
      </c>
      <c r="DA34" s="278"/>
      <c r="DB34" s="435">
        <f t="shared" ref="DB34:DX34" si="83">DB33/DA33-1</f>
        <v>0.10759493670886089</v>
      </c>
      <c r="DC34" s="435">
        <f t="shared" si="83"/>
        <v>0.21523809523809523</v>
      </c>
      <c r="DD34" s="435">
        <f t="shared" si="83"/>
        <v>7.0532915360501658E-2</v>
      </c>
      <c r="DE34" s="435">
        <f t="shared" si="83"/>
        <v>-1.171303074670571E-2</v>
      </c>
      <c r="DF34" s="435">
        <f t="shared" si="83"/>
        <v>0.16444444444444439</v>
      </c>
      <c r="DG34" s="435">
        <f t="shared" si="83"/>
        <v>-0.1839877480916029</v>
      </c>
      <c r="DH34" s="435">
        <f t="shared" si="83"/>
        <v>1.2688154550639652E-3</v>
      </c>
      <c r="DI34" s="435">
        <f t="shared" si="83"/>
        <v>2.4132565798135497E-2</v>
      </c>
      <c r="DJ34" s="435">
        <f t="shared" si="83"/>
        <v>3.1946836945594859E-2</v>
      </c>
      <c r="DK34" s="435">
        <f t="shared" si="83"/>
        <v>-3.9909610706331256E-3</v>
      </c>
      <c r="DL34" s="435">
        <f t="shared" si="83"/>
        <v>-5.9171597633135287E-3</v>
      </c>
      <c r="DM34" s="435">
        <f t="shared" si="83"/>
        <v>2.2743452380951101E-3</v>
      </c>
      <c r="DN34" s="435">
        <f t="shared" si="83"/>
        <v>0.14620266324049092</v>
      </c>
      <c r="DO34" s="435">
        <f t="shared" si="83"/>
        <v>1.2953367875647714E-3</v>
      </c>
      <c r="DP34" s="435">
        <f t="shared" si="83"/>
        <v>-0.55368693402328595</v>
      </c>
      <c r="DQ34" s="435">
        <f t="shared" si="83"/>
        <v>0.37411657971014489</v>
      </c>
      <c r="DR34" s="435">
        <f t="shared" si="83"/>
        <v>-2.2188595816037604E-2</v>
      </c>
      <c r="DS34" s="435">
        <f t="shared" si="83"/>
        <v>0</v>
      </c>
      <c r="DT34" s="435">
        <f t="shared" si="83"/>
        <v>-0.10581627306196495</v>
      </c>
      <c r="DU34" s="435">
        <f t="shared" si="83"/>
        <v>-2.4125452352231624E-2</v>
      </c>
      <c r="DV34" s="435">
        <f t="shared" si="83"/>
        <v>-5.3152039555006358E-2</v>
      </c>
      <c r="DW34" s="435">
        <f t="shared" si="83"/>
        <v>-7.1801566579634435E-2</v>
      </c>
      <c r="DX34" s="435">
        <f t="shared" si="83"/>
        <v>-3.656821378340358E-2</v>
      </c>
      <c r="DY34" s="435">
        <f>DY33/DX33-1</f>
        <v>-3.1520459975599047E-2</v>
      </c>
      <c r="DZ34" s="256">
        <f>DY34</f>
        <v>-3.1520459975599047E-2</v>
      </c>
      <c r="EA34" s="256">
        <f>DZ34</f>
        <v>-3.1520459975599047E-2</v>
      </c>
      <c r="EB34" s="256">
        <f>EA34</f>
        <v>-3.1520459975599047E-2</v>
      </c>
      <c r="EC34" s="256">
        <f>EB34</f>
        <v>-3.1520459975599047E-2</v>
      </c>
      <c r="ED34" s="256">
        <f>EC34</f>
        <v>-3.1520459975599047E-2</v>
      </c>
      <c r="EE34" s="260"/>
      <c r="EF34"/>
      <c r="EG34"/>
      <c r="EH34"/>
      <c r="EI34"/>
      <c r="EJ34"/>
      <c r="EK34"/>
    </row>
    <row r="35" spans="1:141" s="137" customFormat="1">
      <c r="A35" s="193"/>
      <c r="B35" s="138" t="s">
        <v>266</v>
      </c>
      <c r="C35" s="138"/>
      <c r="D35" s="217">
        <f t="shared" ref="D35:W35" si="84">D37</f>
        <v>84</v>
      </c>
      <c r="E35" s="218">
        <f t="shared" si="84"/>
        <v>98.2</v>
      </c>
      <c r="F35" s="218">
        <f t="shared" si="84"/>
        <v>98.8</v>
      </c>
      <c r="G35" s="219">
        <f t="shared" si="84"/>
        <v>99</v>
      </c>
      <c r="H35" s="218">
        <f t="shared" si="84"/>
        <v>98.8</v>
      </c>
      <c r="I35" s="218">
        <f t="shared" si="84"/>
        <v>99.2</v>
      </c>
      <c r="J35" s="218">
        <f t="shared" si="84"/>
        <v>102</v>
      </c>
      <c r="K35" s="219">
        <f t="shared" si="84"/>
        <v>119.8</v>
      </c>
      <c r="L35" s="218">
        <f t="shared" si="84"/>
        <v>120</v>
      </c>
      <c r="M35" s="218">
        <f t="shared" si="84"/>
        <v>120.2</v>
      </c>
      <c r="N35" s="218">
        <f t="shared" si="84"/>
        <v>134</v>
      </c>
      <c r="O35" s="219">
        <f t="shared" si="84"/>
        <v>135.80000000000001</v>
      </c>
      <c r="P35" s="218">
        <f t="shared" si="84"/>
        <v>136</v>
      </c>
      <c r="Q35" s="218">
        <f t="shared" si="84"/>
        <v>136.6</v>
      </c>
      <c r="R35" s="218">
        <f t="shared" si="84"/>
        <v>137</v>
      </c>
      <c r="S35" s="219">
        <f t="shared" si="84"/>
        <v>136.80000000000001</v>
      </c>
      <c r="T35" s="218">
        <f t="shared" si="84"/>
        <v>136.80000000000001</v>
      </c>
      <c r="U35" s="218">
        <f t="shared" si="84"/>
        <v>136.80000000000001</v>
      </c>
      <c r="V35" s="218">
        <f t="shared" si="84"/>
        <v>136.4</v>
      </c>
      <c r="W35" s="219">
        <f t="shared" si="84"/>
        <v>135</v>
      </c>
      <c r="X35" s="218">
        <v>156.80000000000001</v>
      </c>
      <c r="Y35" s="218">
        <v>157</v>
      </c>
      <c r="Z35" s="218">
        <v>157</v>
      </c>
      <c r="AA35" s="219">
        <v>157.19999999999999</v>
      </c>
      <c r="AB35" s="218">
        <v>132.50069999999999</v>
      </c>
      <c r="AC35" s="218">
        <v>131.758948</v>
      </c>
      <c r="AD35" s="218">
        <v>128.87601799999999</v>
      </c>
      <c r="AE35" s="219">
        <v>128.27712600000001</v>
      </c>
      <c r="AF35" s="218">
        <v>127.38498</v>
      </c>
      <c r="AG35" s="218">
        <v>127.81400600000001</v>
      </c>
      <c r="AH35" s="218">
        <v>128.18025600000001</v>
      </c>
      <c r="AI35" s="219">
        <v>128.439886</v>
      </c>
      <c r="AJ35" s="218">
        <v>128.953608</v>
      </c>
      <c r="AK35" s="218">
        <v>131.00474600000001</v>
      </c>
      <c r="AL35" s="218">
        <v>131.42400000000001</v>
      </c>
      <c r="AM35" s="219">
        <v>131.53947000000002</v>
      </c>
      <c r="AN35" s="218">
        <v>131.56126800000001</v>
      </c>
      <c r="AO35" s="218">
        <v>132.07829799999999</v>
      </c>
      <c r="AP35" s="218">
        <v>134.13683</v>
      </c>
      <c r="AQ35" s="219">
        <v>135.74173999999999</v>
      </c>
      <c r="AR35" s="218">
        <v>136.64671199999975</v>
      </c>
      <c r="AS35" s="218">
        <v>137.4</v>
      </c>
      <c r="AT35" s="218">
        <v>136.6</v>
      </c>
      <c r="AU35" s="219">
        <v>135.19999999999999</v>
      </c>
      <c r="AV35" s="218">
        <v>134.4</v>
      </c>
      <c r="AW35" s="218">
        <v>134.195584</v>
      </c>
      <c r="AX35" s="218">
        <v>134.28814600000001</v>
      </c>
      <c r="AY35" s="219">
        <v>134.4</v>
      </c>
      <c r="AZ35" s="218">
        <v>134.43398400000001</v>
      </c>
      <c r="BA35" s="218">
        <v>134.673056</v>
      </c>
      <c r="BB35" s="218">
        <v>134.70567199999999</v>
      </c>
      <c r="BC35" s="219">
        <v>134.70567199999999</v>
      </c>
      <c r="BD35" s="218">
        <v>152.820964</v>
      </c>
      <c r="BE35" s="218">
        <v>153.36270999999999</v>
      </c>
      <c r="BF35" s="218">
        <v>154.05123599999999</v>
      </c>
      <c r="BG35" s="219">
        <v>154.4</v>
      </c>
      <c r="BH35" s="218">
        <v>154.44640799999999</v>
      </c>
      <c r="BI35" s="218">
        <v>154.617096</v>
      </c>
      <c r="BJ35" s="218">
        <v>154.31720999999999</v>
      </c>
      <c r="BK35" s="219">
        <v>154.6</v>
      </c>
      <c r="BL35" s="218">
        <v>155</v>
      </c>
      <c r="BM35" s="218">
        <v>155.039682</v>
      </c>
      <c r="BN35" s="218">
        <v>155.04332400000001</v>
      </c>
      <c r="BO35" s="219">
        <v>69</v>
      </c>
      <c r="BP35" s="218">
        <v>83.761954000000003</v>
      </c>
      <c r="BQ35" s="218">
        <v>92.932785999999993</v>
      </c>
      <c r="BR35" s="218">
        <v>99.332229999999996</v>
      </c>
      <c r="BS35" s="219">
        <f>2*47.407022</f>
        <v>94.814043999999996</v>
      </c>
      <c r="BT35" s="218">
        <f>DQ35</f>
        <v>92.710253499999993</v>
      </c>
      <c r="BU35" s="218">
        <f t="shared" ref="BU35:CA35" si="85">BT35</f>
        <v>92.710253499999993</v>
      </c>
      <c r="BV35" s="218">
        <f t="shared" si="85"/>
        <v>92.710253499999993</v>
      </c>
      <c r="BW35" s="219">
        <f t="shared" si="85"/>
        <v>92.710253499999993</v>
      </c>
      <c r="BX35" s="356">
        <f t="shared" si="85"/>
        <v>92.710253499999993</v>
      </c>
      <c r="BY35" s="356">
        <f t="shared" si="85"/>
        <v>92.710253499999993</v>
      </c>
      <c r="BZ35" s="356">
        <f t="shared" si="85"/>
        <v>92.710253499999993</v>
      </c>
      <c r="CA35" s="431">
        <f t="shared" si="85"/>
        <v>92.710253499999993</v>
      </c>
      <c r="CB35" s="348">
        <f t="shared" ref="CB35:CS35" si="86">CB37</f>
        <v>95.9</v>
      </c>
      <c r="CC35" s="348">
        <f t="shared" si="86"/>
        <v>85.6</v>
      </c>
      <c r="CD35" s="348">
        <f t="shared" si="86"/>
        <v>81.8</v>
      </c>
      <c r="CE35" s="603">
        <f t="shared" si="86"/>
        <v>82.9</v>
      </c>
      <c r="CF35" s="348">
        <f t="shared" si="86"/>
        <v>82.8</v>
      </c>
      <c r="CG35" s="348">
        <f t="shared" si="86"/>
        <v>81.900000000000006</v>
      </c>
      <c r="CH35" s="348">
        <f t="shared" si="86"/>
        <v>81.400000000000006</v>
      </c>
      <c r="CI35" s="603">
        <f t="shared" si="86"/>
        <v>80.900000000000006</v>
      </c>
      <c r="CJ35" s="348">
        <f t="shared" si="86"/>
        <v>79.099999999999994</v>
      </c>
      <c r="CK35" s="348">
        <f t="shared" si="86"/>
        <v>78.099999999999994</v>
      </c>
      <c r="CL35" s="348">
        <f t="shared" si="86"/>
        <v>77.400000000000006</v>
      </c>
      <c r="CM35" s="603">
        <f t="shared" si="86"/>
        <v>76.599999999999994</v>
      </c>
      <c r="CN35" s="348">
        <f t="shared" si="86"/>
        <v>75.5</v>
      </c>
      <c r="CO35" s="348">
        <f t="shared" si="86"/>
        <v>73.900000000000006</v>
      </c>
      <c r="CP35" s="348">
        <f t="shared" si="86"/>
        <v>72.099999999999994</v>
      </c>
      <c r="CQ35" s="603">
        <f t="shared" si="86"/>
        <v>71.099999999999994</v>
      </c>
      <c r="CR35" s="348">
        <f t="shared" si="86"/>
        <v>70.3</v>
      </c>
      <c r="CS35" s="348">
        <f t="shared" si="86"/>
        <v>69.400000000000006</v>
      </c>
      <c r="CT35" s="348">
        <f>CT37</f>
        <v>68.8</v>
      </c>
      <c r="CU35" s="603">
        <f t="shared" ref="CU35" si="87">CU37</f>
        <v>68.5</v>
      </c>
      <c r="CV35" s="197">
        <f>AVERAGE(CU33:CV33)</f>
        <v>68.220078259361941</v>
      </c>
      <c r="CW35" s="197">
        <f>AVERAGE(CV33:CW33)</f>
        <v>67.667029259650008</v>
      </c>
      <c r="CX35" s="197">
        <f>AVERAGE(CW33:CX33)</f>
        <v>67.127404302043871</v>
      </c>
      <c r="CY35" s="198">
        <f>AVERAGE(CX33:CY33)</f>
        <v>66.600877547591523</v>
      </c>
      <c r="DA35" s="212">
        <f>DA37</f>
        <v>94.8</v>
      </c>
      <c r="DB35" s="212">
        <f>DB37</f>
        <v>105</v>
      </c>
      <c r="DC35" s="212">
        <f>DC37</f>
        <v>127.6</v>
      </c>
      <c r="DD35" s="212">
        <f>DD37</f>
        <v>136.6</v>
      </c>
      <c r="DE35" s="212">
        <f>AVERAGE(T35:W35)</f>
        <v>136.25</v>
      </c>
      <c r="DF35" s="212">
        <f>AVERAGE(X35:AA35)</f>
        <v>157</v>
      </c>
      <c r="DG35" s="212">
        <f>AVERAGE(AB35:AE35)</f>
        <v>130.35319799999999</v>
      </c>
      <c r="DH35" s="212">
        <f>AVERAGE(AF35:AI35)</f>
        <v>127.95478199999999</v>
      </c>
      <c r="DI35" s="212">
        <f>AVERAGE(AJ35:AM35)</f>
        <v>130.730456</v>
      </c>
      <c r="DJ35" s="212">
        <f>AVERAGE(AN35:AQ35)</f>
        <v>133.37953399999998</v>
      </c>
      <c r="DK35" s="212">
        <f>AVERAGE(AR35:AU35)</f>
        <v>136.46167799999995</v>
      </c>
      <c r="DL35" s="212">
        <f>AVERAGE(AV35:AY35)</f>
        <v>134.3209325</v>
      </c>
      <c r="DM35" s="212">
        <f>AVERAGE(AZ35:BC35)</f>
        <v>134.62959599999999</v>
      </c>
      <c r="DN35" s="212">
        <f>AVERAGE(BD35:BG35)</f>
        <v>153.6587275</v>
      </c>
      <c r="DO35" s="212">
        <f>AVERAGE(BH35:BK35)</f>
        <v>154.49517849999998</v>
      </c>
      <c r="DP35" s="212">
        <f>AVERAGE(BL35:BO35)</f>
        <v>133.52075149999999</v>
      </c>
      <c r="DQ35" s="212">
        <f>AVERAGE(BP35:BS35)</f>
        <v>92.710253499999993</v>
      </c>
      <c r="DR35" s="212">
        <f>AVERAGE(BT35:BW35)</f>
        <v>92.710253499999993</v>
      </c>
      <c r="DS35" s="212">
        <f>AVERAGE(BX35:CA35)</f>
        <v>92.710253499999993</v>
      </c>
      <c r="DT35" s="212">
        <f>AVERAGE(CB35:CE35)</f>
        <v>86.550000000000011</v>
      </c>
      <c r="DU35" s="212">
        <f>AVERAGE(CF35:CI35)</f>
        <v>81.75</v>
      </c>
      <c r="DV35" s="212">
        <f>AVERAGE(CJ35:CM35)</f>
        <v>77.8</v>
      </c>
      <c r="DW35" s="212">
        <f>AVERAGE(CN35:CQ35)</f>
        <v>73.150000000000006</v>
      </c>
      <c r="DX35" s="212">
        <f>AVERAGE(CR35:CU35)</f>
        <v>69.25</v>
      </c>
      <c r="DY35" s="212">
        <f>AVERAGE(CV35:CY35)</f>
        <v>67.403847342161839</v>
      </c>
      <c r="DZ35" s="197">
        <f>AVERAGE(DY33:DZ33)</f>
        <v>64.313428417031631</v>
      </c>
      <c r="EA35" s="197">
        <f>AVERAGE(DZ33:EA33)</f>
        <v>60.411353995336398</v>
      </c>
      <c r="EB35" s="197">
        <f>AVERAGE(EA33:EB33)</f>
        <v>56.801953815429883</v>
      </c>
      <c r="EC35" s="197">
        <f>AVERAGE(EB33:EC33)</f>
        <v>53.460646522100149</v>
      </c>
      <c r="ED35" s="197">
        <f>AVERAGE(EC33:ED33)</f>
        <v>50.365015321084158</v>
      </c>
      <c r="EE35" s="199"/>
      <c r="EF35"/>
      <c r="EG35"/>
      <c r="EH35"/>
      <c r="EI35"/>
      <c r="EJ35"/>
      <c r="EK35"/>
    </row>
    <row r="36" spans="1:141" s="265" customFormat="1">
      <c r="A36" s="258"/>
      <c r="B36" s="259" t="s">
        <v>347</v>
      </c>
      <c r="C36" s="260"/>
      <c r="D36" s="266">
        <f t="shared" ref="D36:AI36" si="88">D37/D35-1</f>
        <v>0</v>
      </c>
      <c r="E36" s="263">
        <f t="shared" si="88"/>
        <v>0</v>
      </c>
      <c r="F36" s="263">
        <f t="shared" si="88"/>
        <v>0</v>
      </c>
      <c r="G36" s="264">
        <f t="shared" si="88"/>
        <v>0</v>
      </c>
      <c r="H36" s="263">
        <f t="shared" si="88"/>
        <v>0</v>
      </c>
      <c r="I36" s="263">
        <f t="shared" si="88"/>
        <v>0</v>
      </c>
      <c r="J36" s="263">
        <f t="shared" si="88"/>
        <v>0</v>
      </c>
      <c r="K36" s="264">
        <f t="shared" si="88"/>
        <v>0</v>
      </c>
      <c r="L36" s="263">
        <f t="shared" si="88"/>
        <v>0</v>
      </c>
      <c r="M36" s="263">
        <f t="shared" si="88"/>
        <v>0</v>
      </c>
      <c r="N36" s="263">
        <f t="shared" si="88"/>
        <v>0</v>
      </c>
      <c r="O36" s="264">
        <f t="shared" si="88"/>
        <v>0</v>
      </c>
      <c r="P36" s="263">
        <f t="shared" si="88"/>
        <v>0</v>
      </c>
      <c r="Q36" s="263">
        <f t="shared" si="88"/>
        <v>0</v>
      </c>
      <c r="R36" s="263">
        <f t="shared" si="88"/>
        <v>0</v>
      </c>
      <c r="S36" s="264">
        <f t="shared" si="88"/>
        <v>0</v>
      </c>
      <c r="T36" s="263">
        <f t="shared" si="88"/>
        <v>0</v>
      </c>
      <c r="U36" s="263">
        <f t="shared" si="88"/>
        <v>0</v>
      </c>
      <c r="V36" s="263">
        <f t="shared" si="88"/>
        <v>0</v>
      </c>
      <c r="W36" s="264">
        <f t="shared" si="88"/>
        <v>0</v>
      </c>
      <c r="X36" s="263">
        <f t="shared" si="88"/>
        <v>0.1645408163265305</v>
      </c>
      <c r="Y36" s="263">
        <f t="shared" si="88"/>
        <v>0.16815286624203818</v>
      </c>
      <c r="Z36" s="263">
        <f t="shared" si="88"/>
        <v>0.16815286624203818</v>
      </c>
      <c r="AA36" s="264">
        <f t="shared" si="88"/>
        <v>0.17684478371501289</v>
      </c>
      <c r="AB36" s="263">
        <f t="shared" si="88"/>
        <v>1.0767701604595281E-2</v>
      </c>
      <c r="AC36" s="263">
        <f t="shared" si="88"/>
        <v>1.2066079944718311E-2</v>
      </c>
      <c r="AD36" s="263">
        <f t="shared" si="88"/>
        <v>9.5995361992020634E-3</v>
      </c>
      <c r="AE36" s="264">
        <f t="shared" si="88"/>
        <v>8.27916896111347E-3</v>
      </c>
      <c r="AF36" s="263">
        <f t="shared" si="88"/>
        <v>1.5780321981445411E-2</v>
      </c>
      <c r="AG36" s="263">
        <f t="shared" si="88"/>
        <v>2.2954996027586994E-2</v>
      </c>
      <c r="AH36" s="263">
        <f t="shared" si="88"/>
        <v>2.2996334162415533E-2</v>
      </c>
      <c r="AI36" s="264">
        <f t="shared" si="88"/>
        <v>2.1872660335435556E-2</v>
      </c>
      <c r="AJ36" s="263">
        <f t="shared" ref="AJ36:BO36" si="89">AJ37/AJ35-1</f>
        <v>9.3429832533262536E-2</v>
      </c>
      <c r="AK36" s="263">
        <f t="shared" si="89"/>
        <v>9.3452812770615123E-2</v>
      </c>
      <c r="AL36" s="263">
        <f t="shared" si="89"/>
        <v>9.1398055149744417E-2</v>
      </c>
      <c r="AM36" s="264">
        <f t="shared" si="89"/>
        <v>1.9574413672185154E-2</v>
      </c>
      <c r="AN36" s="263">
        <f t="shared" si="89"/>
        <v>9.7667574927903456E-2</v>
      </c>
      <c r="AO36" s="263">
        <f t="shared" si="89"/>
        <v>9.7435613532815379E-2</v>
      </c>
      <c r="AP36" s="263">
        <f t="shared" si="89"/>
        <v>0.10054248337313476</v>
      </c>
      <c r="AQ36" s="264">
        <f t="shared" si="89"/>
        <v>0.10350801455764436</v>
      </c>
      <c r="AR36" s="263">
        <f t="shared" si="89"/>
        <v>0.10332124200690807</v>
      </c>
      <c r="AS36" s="263">
        <f t="shared" si="89"/>
        <v>9.3120538573507883E-2</v>
      </c>
      <c r="AT36" s="263">
        <f t="shared" si="89"/>
        <v>9.1009253294290104E-2</v>
      </c>
      <c r="AU36" s="264">
        <f t="shared" si="89"/>
        <v>9.3195266272189548E-2</v>
      </c>
      <c r="AV36" s="263">
        <f t="shared" si="89"/>
        <v>2.2321428571428603E-2</v>
      </c>
      <c r="AW36" s="263">
        <f t="shared" si="89"/>
        <v>0</v>
      </c>
      <c r="AX36" s="263">
        <f t="shared" si="89"/>
        <v>0</v>
      </c>
      <c r="AY36" s="264">
        <f t="shared" si="89"/>
        <v>0</v>
      </c>
      <c r="AZ36" s="263">
        <f t="shared" si="89"/>
        <v>1.077220176707705E-2</v>
      </c>
      <c r="BA36" s="263">
        <f t="shared" si="89"/>
        <v>0</v>
      </c>
      <c r="BB36" s="263">
        <f t="shared" si="89"/>
        <v>0</v>
      </c>
      <c r="BC36" s="264">
        <f t="shared" si="89"/>
        <v>7.64208948825853E-2</v>
      </c>
      <c r="BD36" s="263">
        <f t="shared" si="89"/>
        <v>1.948035218518851E-2</v>
      </c>
      <c r="BE36" s="263">
        <f t="shared" si="89"/>
        <v>1.9420653169209157E-2</v>
      </c>
      <c r="BF36" s="263">
        <f t="shared" si="89"/>
        <v>1.830101512460458E-2</v>
      </c>
      <c r="BG36" s="264">
        <f t="shared" si="89"/>
        <v>1.4248704663212264E-2</v>
      </c>
      <c r="BH36" s="263">
        <f t="shared" si="89"/>
        <v>1.5401860300953141E-2</v>
      </c>
      <c r="BI36" s="263">
        <f t="shared" si="89"/>
        <v>1.3500007786978463E-2</v>
      </c>
      <c r="BJ36" s="263">
        <f t="shared" si="89"/>
        <v>0</v>
      </c>
      <c r="BK36" s="264">
        <f t="shared" si="89"/>
        <v>0</v>
      </c>
      <c r="BL36" s="263">
        <f t="shared" si="89"/>
        <v>0</v>
      </c>
      <c r="BM36" s="263">
        <f t="shared" si="89"/>
        <v>0</v>
      </c>
      <c r="BN36" s="263">
        <f t="shared" si="89"/>
        <v>1.9168835673299967E-4</v>
      </c>
      <c r="BO36" s="264">
        <f t="shared" si="89"/>
        <v>0.56521739130434789</v>
      </c>
      <c r="BP36" s="263">
        <f t="shared" ref="BP36:CT36" si="90">BP37/BP35-1</f>
        <v>0.28938639611965122</v>
      </c>
      <c r="BQ36" s="263">
        <f t="shared" si="90"/>
        <v>0.16315281885555444</v>
      </c>
      <c r="BR36" s="263">
        <f t="shared" si="90"/>
        <v>8.9273843947729858E-2</v>
      </c>
      <c r="BS36" s="264">
        <f t="shared" si="90"/>
        <v>0.14329054459484936</v>
      </c>
      <c r="BT36" s="432">
        <f t="shared" si="90"/>
        <v>0.16707695120259825</v>
      </c>
      <c r="BU36" s="432">
        <f t="shared" si="90"/>
        <v>0.15844791644324441</v>
      </c>
      <c r="BV36" s="432">
        <f t="shared" si="90"/>
        <v>0.14118984692453673</v>
      </c>
      <c r="BW36" s="433">
        <f t="shared" si="90"/>
        <v>0.12069588937107167</v>
      </c>
      <c r="BX36" s="432">
        <f t="shared" si="90"/>
        <v>9.9123302472687191E-2</v>
      </c>
      <c r="BY36" s="432">
        <f t="shared" si="90"/>
        <v>8.5101120988737344E-2</v>
      </c>
      <c r="BZ36" s="432">
        <f t="shared" si="90"/>
        <v>6.676442212511069E-2</v>
      </c>
      <c r="CA36" s="433">
        <f t="shared" si="90"/>
        <v>5.5978128675918448E-2</v>
      </c>
      <c r="CB36" s="432">
        <f t="shared" si="90"/>
        <v>0</v>
      </c>
      <c r="CC36" s="432">
        <f t="shared" si="90"/>
        <v>0</v>
      </c>
      <c r="CD36" s="432">
        <f t="shared" si="90"/>
        <v>0</v>
      </c>
      <c r="CE36" s="433">
        <f t="shared" si="90"/>
        <v>0</v>
      </c>
      <c r="CF36" s="432">
        <f t="shared" si="90"/>
        <v>0</v>
      </c>
      <c r="CG36" s="432">
        <f t="shared" si="90"/>
        <v>0</v>
      </c>
      <c r="CH36" s="432">
        <f t="shared" si="90"/>
        <v>0</v>
      </c>
      <c r="CI36" s="433">
        <f t="shared" si="90"/>
        <v>0</v>
      </c>
      <c r="CJ36" s="432">
        <f t="shared" si="90"/>
        <v>0</v>
      </c>
      <c r="CK36" s="432">
        <f t="shared" si="90"/>
        <v>0</v>
      </c>
      <c r="CL36" s="432">
        <f t="shared" si="90"/>
        <v>0</v>
      </c>
      <c r="CM36" s="433">
        <f t="shared" si="90"/>
        <v>0</v>
      </c>
      <c r="CN36" s="432">
        <f t="shared" si="90"/>
        <v>0</v>
      </c>
      <c r="CO36" s="432">
        <f t="shared" si="90"/>
        <v>0</v>
      </c>
      <c r="CP36" s="432">
        <f t="shared" si="90"/>
        <v>0</v>
      </c>
      <c r="CQ36" s="433">
        <f t="shared" si="90"/>
        <v>0</v>
      </c>
      <c r="CR36" s="432">
        <f t="shared" si="90"/>
        <v>0</v>
      </c>
      <c r="CS36" s="432">
        <f t="shared" si="90"/>
        <v>0</v>
      </c>
      <c r="CT36" s="432">
        <f t="shared" si="90"/>
        <v>0</v>
      </c>
      <c r="CU36" s="433">
        <f t="shared" ref="CU36" si="91">CU37/CU35-1</f>
        <v>0</v>
      </c>
      <c r="CV36" s="445">
        <v>0</v>
      </c>
      <c r="CW36" s="445">
        <v>0</v>
      </c>
      <c r="CX36" s="445">
        <v>0</v>
      </c>
      <c r="CY36" s="446">
        <v>0</v>
      </c>
      <c r="DA36" s="432">
        <f t="shared" ref="DA36:DX36" si="92">DA37/DA35-1</f>
        <v>0</v>
      </c>
      <c r="DB36" s="432">
        <f t="shared" si="92"/>
        <v>0</v>
      </c>
      <c r="DC36" s="432">
        <f t="shared" si="92"/>
        <v>0</v>
      </c>
      <c r="DD36" s="432">
        <f t="shared" si="92"/>
        <v>0</v>
      </c>
      <c r="DE36" s="432">
        <f t="shared" si="92"/>
        <v>0</v>
      </c>
      <c r="DF36" s="432">
        <f t="shared" si="92"/>
        <v>0.16942675159235665</v>
      </c>
      <c r="DG36" s="432">
        <f t="shared" si="92"/>
        <v>1.0194840022260454E-2</v>
      </c>
      <c r="DH36" s="432">
        <f t="shared" si="92"/>
        <v>2.0908057973167526E-2</v>
      </c>
      <c r="DI36" s="432">
        <f t="shared" si="92"/>
        <v>7.4346833916038912E-2</v>
      </c>
      <c r="DJ36" s="432">
        <f t="shared" si="92"/>
        <v>9.9818927242616207E-2</v>
      </c>
      <c r="DK36" s="432">
        <f t="shared" si="92"/>
        <v>9.5164325181462894E-2</v>
      </c>
      <c r="DL36" s="432">
        <f t="shared" si="92"/>
        <v>5.5836419986139418E-3</v>
      </c>
      <c r="DM36" s="432">
        <f t="shared" si="92"/>
        <v>2.1805157166185252E-2</v>
      </c>
      <c r="DN36" s="432">
        <f t="shared" si="92"/>
        <v>1.7855647346812775E-2</v>
      </c>
      <c r="DO36" s="432">
        <f t="shared" si="92"/>
        <v>7.226914851585553E-3</v>
      </c>
      <c r="DP36" s="432">
        <f t="shared" si="92"/>
        <v>7.3078003908628286E-2</v>
      </c>
      <c r="DQ36" s="432">
        <f t="shared" si="92"/>
        <v>0.16679800686770863</v>
      </c>
      <c r="DR36" s="432">
        <f t="shared" si="92"/>
        <v>0.14685265098536293</v>
      </c>
      <c r="DS36" s="432">
        <f t="shared" si="92"/>
        <v>7.6741743565613252E-2</v>
      </c>
      <c r="DT36" s="432">
        <f t="shared" si="92"/>
        <v>0</v>
      </c>
      <c r="DU36" s="432">
        <f t="shared" si="92"/>
        <v>0</v>
      </c>
      <c r="DV36" s="432">
        <f t="shared" si="92"/>
        <v>0</v>
      </c>
      <c r="DW36" s="432">
        <f t="shared" si="92"/>
        <v>0</v>
      </c>
      <c r="DX36" s="432">
        <f t="shared" si="92"/>
        <v>0</v>
      </c>
      <c r="DY36" s="432">
        <f>DY37/DY35-1</f>
        <v>0</v>
      </c>
      <c r="DZ36" s="256">
        <f>DY36</f>
        <v>0</v>
      </c>
      <c r="EA36" s="256">
        <f>DZ36</f>
        <v>0</v>
      </c>
      <c r="EB36" s="256">
        <f>EA36</f>
        <v>0</v>
      </c>
      <c r="EC36" s="256">
        <f>EB36</f>
        <v>0</v>
      </c>
      <c r="ED36" s="256">
        <f>EC36</f>
        <v>0</v>
      </c>
      <c r="EE36" s="260"/>
      <c r="EF36"/>
      <c r="EG36"/>
      <c r="EH36"/>
      <c r="EI36"/>
      <c r="EJ36"/>
      <c r="EK36"/>
    </row>
    <row r="37" spans="1:141" s="137" customFormat="1">
      <c r="A37" s="193"/>
      <c r="B37" s="138" t="s">
        <v>211</v>
      </c>
      <c r="C37" s="138"/>
      <c r="D37" s="217">
        <v>84</v>
      </c>
      <c r="E37" s="218">
        <v>98.2</v>
      </c>
      <c r="F37" s="218">
        <v>98.8</v>
      </c>
      <c r="G37" s="219">
        <v>99</v>
      </c>
      <c r="H37" s="218">
        <v>98.8</v>
      </c>
      <c r="I37" s="218">
        <v>99.2</v>
      </c>
      <c r="J37" s="218">
        <v>102</v>
      </c>
      <c r="K37" s="219">
        <v>119.8</v>
      </c>
      <c r="L37" s="218">
        <v>120</v>
      </c>
      <c r="M37" s="218">
        <v>120.2</v>
      </c>
      <c r="N37" s="218">
        <v>134</v>
      </c>
      <c r="O37" s="219">
        <v>135.80000000000001</v>
      </c>
      <c r="P37" s="218">
        <v>136</v>
      </c>
      <c r="Q37" s="218">
        <v>136.6</v>
      </c>
      <c r="R37" s="218">
        <v>137</v>
      </c>
      <c r="S37" s="219">
        <v>136.80000000000001</v>
      </c>
      <c r="T37" s="218">
        <v>136.80000000000001</v>
      </c>
      <c r="U37" s="218">
        <v>136.80000000000001</v>
      </c>
      <c r="V37" s="218">
        <v>136.4</v>
      </c>
      <c r="W37" s="219">
        <v>135</v>
      </c>
      <c r="X37" s="218">
        <v>182.6</v>
      </c>
      <c r="Y37" s="218">
        <v>183.4</v>
      </c>
      <c r="Z37" s="218">
        <v>183.4</v>
      </c>
      <c r="AA37" s="219">
        <v>185</v>
      </c>
      <c r="AB37" s="218">
        <v>133.92742799999999</v>
      </c>
      <c r="AC37" s="218">
        <v>133.34876199999999</v>
      </c>
      <c r="AD37" s="218">
        <v>130.113168</v>
      </c>
      <c r="AE37" s="219">
        <v>129.33915400000006</v>
      </c>
      <c r="AF37" s="218">
        <v>129.39515599999999</v>
      </c>
      <c r="AG37" s="218">
        <v>130.74797599999999</v>
      </c>
      <c r="AH37" s="218">
        <v>131.12793199999999</v>
      </c>
      <c r="AI37" s="219">
        <v>131.24920800000007</v>
      </c>
      <c r="AJ37" s="218">
        <v>141.001722</v>
      </c>
      <c r="AK37" s="218">
        <v>143.24750800000001</v>
      </c>
      <c r="AL37" s="218">
        <v>143.43589800000001</v>
      </c>
      <c r="AM37" s="219">
        <v>134.11427800000001</v>
      </c>
      <c r="AN37" s="218">
        <v>144.410538</v>
      </c>
      <c r="AO37" s="218">
        <v>144.947428</v>
      </c>
      <c r="AP37" s="218">
        <v>147.62327999999999</v>
      </c>
      <c r="AQ37" s="219">
        <v>149.79209799999998</v>
      </c>
      <c r="AR37" s="218">
        <v>150.76522</v>
      </c>
      <c r="AS37" s="218">
        <v>150.194762</v>
      </c>
      <c r="AT37" s="218">
        <v>149.03186400000001</v>
      </c>
      <c r="AU37" s="219">
        <v>147.80000000000001</v>
      </c>
      <c r="AV37" s="218">
        <v>137.4</v>
      </c>
      <c r="AW37" s="218">
        <v>134.195584</v>
      </c>
      <c r="AX37" s="218">
        <v>134.28814600000001</v>
      </c>
      <c r="AY37" s="219">
        <v>134.4</v>
      </c>
      <c r="AZ37" s="218">
        <v>135.88213400000001</v>
      </c>
      <c r="BA37" s="218">
        <v>134.673056</v>
      </c>
      <c r="BB37" s="218">
        <v>134.70567199999999</v>
      </c>
      <c r="BC37" s="219">
        <v>145</v>
      </c>
      <c r="BD37" s="218">
        <v>155.79797020000001</v>
      </c>
      <c r="BE37" s="218">
        <v>156.341114</v>
      </c>
      <c r="BF37" s="218">
        <v>156.87053</v>
      </c>
      <c r="BG37" s="219">
        <v>156.6</v>
      </c>
      <c r="BH37" s="218">
        <v>156.82517000000001</v>
      </c>
      <c r="BI37" s="218">
        <v>156.70442800000001</v>
      </c>
      <c r="BJ37" s="218">
        <v>154.31720999999999</v>
      </c>
      <c r="BK37" s="219">
        <v>154.6</v>
      </c>
      <c r="BL37" s="218">
        <v>155</v>
      </c>
      <c r="BM37" s="218">
        <v>155.039682</v>
      </c>
      <c r="BN37" s="218">
        <v>155.07304400000001</v>
      </c>
      <c r="BO37" s="219">
        <v>108</v>
      </c>
      <c r="BP37" s="218">
        <v>108.001524</v>
      </c>
      <c r="BQ37" s="218">
        <v>108.095032</v>
      </c>
      <c r="BR37" s="218">
        <v>108.2</v>
      </c>
      <c r="BS37" s="219">
        <f>2*54.2</f>
        <v>108.4</v>
      </c>
      <c r="BT37" s="218">
        <v>108.2</v>
      </c>
      <c r="BU37" s="218">
        <v>107.4</v>
      </c>
      <c r="BV37" s="218">
        <v>105.8</v>
      </c>
      <c r="BW37" s="219">
        <v>103.9</v>
      </c>
      <c r="BX37" s="356">
        <v>101.9</v>
      </c>
      <c r="BY37" s="356">
        <v>100.6</v>
      </c>
      <c r="BZ37" s="356">
        <v>98.9</v>
      </c>
      <c r="CA37" s="431">
        <v>97.9</v>
      </c>
      <c r="CB37" s="356">
        <v>95.9</v>
      </c>
      <c r="CC37" s="356">
        <v>85.6</v>
      </c>
      <c r="CD37" s="356">
        <v>81.8</v>
      </c>
      <c r="CE37" s="431">
        <v>82.9</v>
      </c>
      <c r="CF37" s="356">
        <v>82.8</v>
      </c>
      <c r="CG37" s="356">
        <v>81.900000000000006</v>
      </c>
      <c r="CH37" s="356">
        <v>81.400000000000006</v>
      </c>
      <c r="CI37" s="431">
        <v>80.900000000000006</v>
      </c>
      <c r="CJ37" s="356">
        <v>79.099999999999994</v>
      </c>
      <c r="CK37" s="356">
        <v>78.099999999999994</v>
      </c>
      <c r="CL37" s="356">
        <v>77.400000000000006</v>
      </c>
      <c r="CM37" s="431">
        <v>76.599999999999994</v>
      </c>
      <c r="CN37" s="356">
        <v>75.5</v>
      </c>
      <c r="CO37" s="356">
        <v>73.900000000000006</v>
      </c>
      <c r="CP37" s="356">
        <v>72.099999999999994</v>
      </c>
      <c r="CQ37" s="431">
        <v>71.099999999999994</v>
      </c>
      <c r="CR37" s="356">
        <v>70.3</v>
      </c>
      <c r="CS37" s="356">
        <v>69.400000000000006</v>
      </c>
      <c r="CT37" s="356">
        <v>68.8</v>
      </c>
      <c r="CU37" s="431">
        <v>68.5</v>
      </c>
      <c r="CV37" s="197">
        <f>CV35*(1+CV36)</f>
        <v>68.220078259361941</v>
      </c>
      <c r="CW37" s="197">
        <f>CW35*(1+CW36)</f>
        <v>67.667029259650008</v>
      </c>
      <c r="CX37" s="197">
        <f>CX35*(1+CX36)</f>
        <v>67.127404302043871</v>
      </c>
      <c r="CY37" s="198">
        <f>CY35*(1+CY36)</f>
        <v>66.600877547591523</v>
      </c>
      <c r="DA37" s="212">
        <v>94.8</v>
      </c>
      <c r="DB37" s="212">
        <v>105</v>
      </c>
      <c r="DC37" s="212">
        <v>127.6</v>
      </c>
      <c r="DD37" s="212">
        <v>136.6</v>
      </c>
      <c r="DE37" s="212">
        <f>AVERAGE(T37:W37)</f>
        <v>136.25</v>
      </c>
      <c r="DF37" s="212">
        <f>AVERAGE(X37:AA37)</f>
        <v>183.6</v>
      </c>
      <c r="DG37" s="212">
        <f>AVERAGE(AB37:AE37)</f>
        <v>131.68212800000003</v>
      </c>
      <c r="DH37" s="212">
        <f>AVERAGE(AF37:AI37)</f>
        <v>130.63006799999999</v>
      </c>
      <c r="DI37" s="212">
        <f>AVERAGE(AJ37:AM37)</f>
        <v>140.44985150000002</v>
      </c>
      <c r="DJ37" s="212">
        <f>AVERAGE(AN37:AQ37)</f>
        <v>146.69333600000002</v>
      </c>
      <c r="DK37" s="212">
        <f>AVERAGE(AR37:AU37)</f>
        <v>149.44796150000002</v>
      </c>
      <c r="DL37" s="212">
        <f>AVERAGE(AV37:AY37)</f>
        <v>135.0709325</v>
      </c>
      <c r="DM37" s="212">
        <f>AVERAGE(AZ37:BC37)</f>
        <v>137.56521550000002</v>
      </c>
      <c r="DN37" s="212">
        <f>AVERAGE(BD37:BG37)</f>
        <v>156.40240355</v>
      </c>
      <c r="DO37" s="212">
        <f>AVERAGE(BH37:BK37)</f>
        <v>155.61170200000001</v>
      </c>
      <c r="DP37" s="212">
        <f>AVERAGE(BL37:BO37)</f>
        <v>143.27818149999999</v>
      </c>
      <c r="DQ37" s="212">
        <f>AVERAGE(BP37:BS37)</f>
        <v>108.174139</v>
      </c>
      <c r="DR37" s="212">
        <f>AVERAGE(BT37:BW37)</f>
        <v>106.32500000000002</v>
      </c>
      <c r="DS37" s="212">
        <f>AVERAGE(BX37:CA37)</f>
        <v>99.824999999999989</v>
      </c>
      <c r="DT37" s="212">
        <f>AVERAGE(CB37:CE37)</f>
        <v>86.550000000000011</v>
      </c>
      <c r="DU37" s="212">
        <f>AVERAGE(CF37:CI37)</f>
        <v>81.75</v>
      </c>
      <c r="DV37" s="212">
        <f>AVERAGE(CJ37:CM37)</f>
        <v>77.8</v>
      </c>
      <c r="DW37" s="212">
        <f>AVERAGE(CN37:CQ37)</f>
        <v>73.150000000000006</v>
      </c>
      <c r="DX37" s="212">
        <f>AVERAGE(CR37:CU37)</f>
        <v>69.25</v>
      </c>
      <c r="DY37" s="212">
        <f>AVERAGE(CV37:CY37)</f>
        <v>67.403847342161839</v>
      </c>
      <c r="DZ37" s="197">
        <f>DZ35*(1+DZ36)</f>
        <v>64.313428417031631</v>
      </c>
      <c r="EA37" s="197">
        <f>EA35*(1+EA36)</f>
        <v>60.411353995336398</v>
      </c>
      <c r="EB37" s="197">
        <f>EB35*(1+EB36)</f>
        <v>56.801953815429883</v>
      </c>
      <c r="EC37" s="197">
        <f>EC35*(1+EC36)</f>
        <v>53.460646522100149</v>
      </c>
      <c r="ED37" s="197">
        <f>ED35*(1+ED36)</f>
        <v>50.365015321084158</v>
      </c>
      <c r="EE37" s="199"/>
      <c r="EF37"/>
      <c r="EG37"/>
      <c r="EH37"/>
      <c r="EI37"/>
      <c r="EJ37"/>
      <c r="EK37"/>
    </row>
    <row r="38" spans="1:141">
      <c r="A38" s="133"/>
      <c r="B38" s="122"/>
      <c r="C38" s="122"/>
      <c r="D38" s="140"/>
      <c r="E38" s="111"/>
      <c r="F38" s="111"/>
      <c r="G38" s="141"/>
      <c r="H38" s="111"/>
      <c r="I38" s="111"/>
      <c r="J38" s="111"/>
      <c r="K38" s="141"/>
      <c r="L38" s="111"/>
      <c r="M38" s="111"/>
      <c r="N38" s="111"/>
      <c r="O38" s="141"/>
      <c r="P38" s="111"/>
      <c r="Q38" s="111"/>
      <c r="R38" s="111"/>
      <c r="S38" s="141"/>
      <c r="T38" s="111"/>
      <c r="U38" s="111"/>
      <c r="V38" s="111"/>
      <c r="W38" s="141"/>
      <c r="X38" s="111"/>
      <c r="Y38" s="111"/>
      <c r="Z38" s="111"/>
      <c r="AA38" s="141"/>
      <c r="AB38" s="111"/>
      <c r="AC38" s="111"/>
      <c r="AD38" s="111"/>
      <c r="AE38" s="141"/>
      <c r="AF38" s="111"/>
      <c r="AG38" s="111"/>
      <c r="AH38" s="111"/>
      <c r="AI38" s="141"/>
      <c r="AJ38" s="111"/>
      <c r="AK38" s="111"/>
      <c r="AL38" s="111"/>
      <c r="AM38" s="141"/>
      <c r="AN38" s="111"/>
      <c r="AO38" s="111"/>
      <c r="AP38" s="111"/>
      <c r="AQ38" s="141"/>
      <c r="AR38" s="111"/>
      <c r="AS38" s="111"/>
      <c r="AT38" s="111"/>
      <c r="AU38" s="141"/>
      <c r="AV38" s="111"/>
      <c r="AW38" s="111"/>
      <c r="AX38" s="111"/>
      <c r="AY38" s="141"/>
      <c r="AZ38" s="111"/>
      <c r="BA38" s="111"/>
      <c r="BB38" s="111"/>
      <c r="BC38" s="141"/>
      <c r="BD38" s="111"/>
      <c r="BE38" s="111"/>
      <c r="BF38" s="111"/>
      <c r="BG38" s="141"/>
      <c r="BH38" s="111"/>
      <c r="BI38" s="111"/>
      <c r="BJ38" s="111"/>
      <c r="BK38" s="141"/>
      <c r="BL38" s="111"/>
      <c r="BM38" s="111"/>
      <c r="BN38" s="111"/>
      <c r="BO38" s="141"/>
      <c r="BP38" s="111"/>
      <c r="BQ38" s="111"/>
      <c r="BR38" s="111"/>
      <c r="BS38" s="141"/>
      <c r="BT38" s="111"/>
      <c r="BU38" s="111"/>
      <c r="BV38" s="111"/>
      <c r="BW38" s="141"/>
      <c r="BX38" s="136"/>
      <c r="BY38" s="136"/>
      <c r="BZ38" s="136"/>
      <c r="CA38" s="437"/>
      <c r="CB38" s="136"/>
      <c r="CC38" s="136"/>
      <c r="CD38" s="136"/>
      <c r="CE38" s="437"/>
      <c r="CF38" s="136"/>
      <c r="CG38" s="136"/>
      <c r="CH38" s="136"/>
      <c r="CI38" s="437"/>
      <c r="CJ38" s="136"/>
      <c r="CK38" s="136"/>
      <c r="CL38" s="136"/>
      <c r="CM38" s="437"/>
      <c r="CN38" s="136"/>
      <c r="CO38" s="136"/>
      <c r="CP38" s="136"/>
      <c r="CQ38" s="437"/>
      <c r="CR38" s="136"/>
      <c r="CS38" s="136"/>
      <c r="CT38" s="136"/>
      <c r="CU38" s="437"/>
      <c r="CV38" s="111"/>
      <c r="CW38" s="111"/>
      <c r="CX38" s="111"/>
      <c r="CY38" s="141"/>
      <c r="DA38" s="111"/>
      <c r="DB38" s="111"/>
      <c r="DC38" s="111"/>
      <c r="DD38" s="111"/>
      <c r="DE38" s="111"/>
      <c r="DF38" s="111"/>
      <c r="DG38" s="111"/>
      <c r="DH38" s="111"/>
      <c r="DI38" s="111"/>
      <c r="DJ38" s="111"/>
      <c r="DK38" s="111"/>
      <c r="DL38" s="111"/>
      <c r="DM38" s="111"/>
      <c r="DN38" s="111"/>
      <c r="DO38" s="111"/>
      <c r="DP38" s="111"/>
      <c r="DQ38" s="111"/>
      <c r="DR38" s="111"/>
      <c r="DS38" s="111"/>
      <c r="DT38" s="111"/>
      <c r="DU38" s="111"/>
      <c r="DV38" s="111"/>
      <c r="DW38" s="111"/>
      <c r="DX38" s="539"/>
      <c r="DY38" s="539"/>
      <c r="DZ38" s="539"/>
      <c r="EA38" s="539"/>
      <c r="EB38" s="539"/>
      <c r="EC38" s="539"/>
      <c r="ED38" s="539"/>
      <c r="EE38" s="111"/>
    </row>
    <row r="39" spans="1:141" s="271" customFormat="1">
      <c r="A39" s="270"/>
      <c r="B39" s="126" t="s">
        <v>135</v>
      </c>
      <c r="C39" s="126"/>
      <c r="D39" s="124">
        <f t="shared" ref="D39:AI39" si="93">D31/D35</f>
        <v>7.7380952380953508E-2</v>
      </c>
      <c r="E39" s="123">
        <f t="shared" si="93"/>
        <v>0.21486761710794314</v>
      </c>
      <c r="F39" s="123">
        <f t="shared" si="93"/>
        <v>6.3765182186234587E-2</v>
      </c>
      <c r="G39" s="146">
        <f t="shared" si="93"/>
        <v>0.26060606060606062</v>
      </c>
      <c r="H39" s="123">
        <f t="shared" si="93"/>
        <v>0.17206477732793551</v>
      </c>
      <c r="I39" s="123">
        <f t="shared" si="93"/>
        <v>0.29133064516128993</v>
      </c>
      <c r="J39" s="123">
        <f t="shared" si="93"/>
        <v>0.12352941176470525</v>
      </c>
      <c r="K39" s="146">
        <f t="shared" si="93"/>
        <v>0.31051752921535958</v>
      </c>
      <c r="L39" s="123">
        <f t="shared" si="93"/>
        <v>0.21499999999999936</v>
      </c>
      <c r="M39" s="123">
        <f t="shared" si="93"/>
        <v>0.41680532445923529</v>
      </c>
      <c r="N39" s="123">
        <f t="shared" si="93"/>
        <v>0.18507462686567022</v>
      </c>
      <c r="O39" s="146">
        <f t="shared" si="93"/>
        <v>0.37702503681885124</v>
      </c>
      <c r="P39" s="123">
        <f t="shared" si="93"/>
        <v>0.30808823529411844</v>
      </c>
      <c r="Q39" s="123">
        <f t="shared" si="93"/>
        <v>0.44729136163982436</v>
      </c>
      <c r="R39" s="123">
        <f t="shared" si="93"/>
        <v>0.25985401459854141</v>
      </c>
      <c r="S39" s="146">
        <f t="shared" si="93"/>
        <v>0.50146198830409217</v>
      </c>
      <c r="T39" s="123">
        <f t="shared" si="93"/>
        <v>0.34576023391812727</v>
      </c>
      <c r="U39" s="123">
        <f t="shared" si="93"/>
        <v>0.48026315789473611</v>
      </c>
      <c r="V39" s="123">
        <f t="shared" si="93"/>
        <v>0.15835777126099701</v>
      </c>
      <c r="W39" s="146">
        <f t="shared" si="93"/>
        <v>0.54370370370370624</v>
      </c>
      <c r="X39" s="123">
        <f t="shared" si="93"/>
        <v>0.32079081632652934</v>
      </c>
      <c r="Y39" s="123">
        <f t="shared" si="93"/>
        <v>0.47643312101910701</v>
      </c>
      <c r="Z39" s="123">
        <f t="shared" si="93"/>
        <v>0.25031847133757734</v>
      </c>
      <c r="AA39" s="146">
        <f t="shared" si="93"/>
        <v>0.58969465648855035</v>
      </c>
      <c r="AB39" s="123">
        <f t="shared" si="93"/>
        <v>0.46792205626083494</v>
      </c>
      <c r="AC39" s="123">
        <f t="shared" si="93"/>
        <v>0.77186408622509617</v>
      </c>
      <c r="AD39" s="123">
        <f t="shared" si="93"/>
        <v>0.29951266805900012</v>
      </c>
      <c r="AE39" s="146">
        <f t="shared" si="93"/>
        <v>0.5644030409599271</v>
      </c>
      <c r="AF39" s="123">
        <f t="shared" si="93"/>
        <v>0.11382817660292521</v>
      </c>
      <c r="AG39" s="123">
        <f t="shared" si="93"/>
        <v>0.35129170429100059</v>
      </c>
      <c r="AH39" s="123">
        <f t="shared" si="93"/>
        <v>0.12248376224182074</v>
      </c>
      <c r="AI39" s="146">
        <f t="shared" si="93"/>
        <v>-0.37994427992563123</v>
      </c>
      <c r="AJ39" s="123">
        <f t="shared" ref="AJ39:BO39" si="94">AJ31/AJ35</f>
        <v>-1.9549666264475523</v>
      </c>
      <c r="AK39" s="123">
        <f t="shared" si="94"/>
        <v>0.65264811093179564</v>
      </c>
      <c r="AL39" s="123">
        <f t="shared" si="94"/>
        <v>0.46871195519844305</v>
      </c>
      <c r="AM39" s="146">
        <f t="shared" si="94"/>
        <v>0.89706914586169384</v>
      </c>
      <c r="AN39" s="123">
        <f t="shared" si="94"/>
        <v>0.51610934610329173</v>
      </c>
      <c r="AO39" s="123">
        <f t="shared" si="94"/>
        <v>0.78816884814793597</v>
      </c>
      <c r="AP39" s="123">
        <f t="shared" si="94"/>
        <v>0.56733113493139675</v>
      </c>
      <c r="AQ39" s="146">
        <f t="shared" si="94"/>
        <v>0.97538163279769419</v>
      </c>
      <c r="AR39" s="123">
        <f t="shared" si="94"/>
        <v>0.66887815054050281</v>
      </c>
      <c r="AS39" s="123">
        <f t="shared" si="94"/>
        <v>0.84497816593886399</v>
      </c>
      <c r="AT39" s="123">
        <f t="shared" si="94"/>
        <v>0.67108345534407243</v>
      </c>
      <c r="AU39" s="146">
        <f t="shared" si="94"/>
        <v>0.90976331360947149</v>
      </c>
      <c r="AV39" s="123">
        <f t="shared" si="94"/>
        <v>0.11607142857142934</v>
      </c>
      <c r="AW39" s="123">
        <f t="shared" si="94"/>
        <v>-0.82268090316414466</v>
      </c>
      <c r="AX39" s="123">
        <f t="shared" si="94"/>
        <v>-5.5857707649042982</v>
      </c>
      <c r="AY39" s="146">
        <f t="shared" si="94"/>
        <v>-4.4867931547618998</v>
      </c>
      <c r="AZ39" s="123">
        <f t="shared" si="94"/>
        <v>0.13315085566459409</v>
      </c>
      <c r="BA39" s="123">
        <f t="shared" si="94"/>
        <v>-0.22631313120272817</v>
      </c>
      <c r="BB39" s="123">
        <f t="shared" si="94"/>
        <v>-0.54934583600904618</v>
      </c>
      <c r="BC39" s="146">
        <f t="shared" si="94"/>
        <v>-4.7882170841328779</v>
      </c>
      <c r="BD39" s="123">
        <f t="shared" si="94"/>
        <v>0.32652588161922969</v>
      </c>
      <c r="BE39" s="123">
        <f t="shared" si="94"/>
        <v>0.8059325503572542</v>
      </c>
      <c r="BF39" s="123">
        <f t="shared" si="94"/>
        <v>0.26591802223514721</v>
      </c>
      <c r="BG39" s="146">
        <f t="shared" si="94"/>
        <v>0.17487046632124287</v>
      </c>
      <c r="BH39" s="123">
        <f t="shared" si="94"/>
        <v>0.50632449800969204</v>
      </c>
      <c r="BI39" s="123">
        <f t="shared" si="94"/>
        <v>0.11835689890334002</v>
      </c>
      <c r="BJ39" s="123">
        <f t="shared" si="94"/>
        <v>-0.63635157737753423</v>
      </c>
      <c r="BK39" s="146">
        <f t="shared" si="94"/>
        <v>-3.892108667529107</v>
      </c>
      <c r="BL39" s="123">
        <f t="shared" si="94"/>
        <v>-1.7083870967741936</v>
      </c>
      <c r="BM39" s="123">
        <f t="shared" si="94"/>
        <v>-1.1197133389373179</v>
      </c>
      <c r="BN39" s="123">
        <f t="shared" si="94"/>
        <v>0.16447015803144216</v>
      </c>
      <c r="BO39" s="146">
        <f t="shared" si="94"/>
        <v>17.801449275362323</v>
      </c>
      <c r="BP39" s="123">
        <f t="shared" ref="BP39:CT39" si="95">BP31/BP35</f>
        <v>0.78914109381927766</v>
      </c>
      <c r="BQ39" s="123">
        <f t="shared" si="95"/>
        <v>1.7033816246507467</v>
      </c>
      <c r="BR39" s="123">
        <f t="shared" si="95"/>
        <v>0.95940662965082002</v>
      </c>
      <c r="BS39" s="146">
        <f t="shared" si="95"/>
        <v>1.2350491030632575</v>
      </c>
      <c r="BT39" s="123">
        <f t="shared" si="95"/>
        <v>1.6794258900392249</v>
      </c>
      <c r="BU39" s="123">
        <f t="shared" si="95"/>
        <v>1.9145670872316234</v>
      </c>
      <c r="BV39" s="123">
        <f t="shared" si="95"/>
        <v>1.0861797503336561</v>
      </c>
      <c r="BW39" s="146">
        <f t="shared" si="95"/>
        <v>1.1487402523389723</v>
      </c>
      <c r="BX39" s="556">
        <f t="shared" si="95"/>
        <v>1.4464419515366789</v>
      </c>
      <c r="BY39" s="556">
        <f t="shared" si="95"/>
        <v>1.5683270675125476</v>
      </c>
      <c r="BZ39" s="556">
        <f t="shared" si="95"/>
        <v>1.3720165267372504</v>
      </c>
      <c r="CA39" s="604">
        <f t="shared" si="95"/>
        <v>9.5124321928426205</v>
      </c>
      <c r="CB39" s="556">
        <f t="shared" si="95"/>
        <v>1.2971845672575626</v>
      </c>
      <c r="CC39" s="556">
        <f t="shared" si="95"/>
        <v>1.6156542056074796</v>
      </c>
      <c r="CD39" s="556">
        <f t="shared" si="95"/>
        <v>1.4486552567237141</v>
      </c>
      <c r="CE39" s="604">
        <f t="shared" si="95"/>
        <v>1.5536791314837215</v>
      </c>
      <c r="CF39" s="556">
        <f t="shared" si="95"/>
        <v>1.8357487922705324</v>
      </c>
      <c r="CG39" s="556">
        <f t="shared" si="95"/>
        <v>2.1196581196581303</v>
      </c>
      <c r="CH39" s="556">
        <f t="shared" si="95"/>
        <v>1.9275184275184261</v>
      </c>
      <c r="CI39" s="604">
        <f t="shared" si="95"/>
        <v>2.2669962917181685</v>
      </c>
      <c r="CJ39" s="556">
        <f t="shared" si="95"/>
        <v>2.2819216182048092</v>
      </c>
      <c r="CK39" s="556">
        <f t="shared" si="95"/>
        <v>2.8143405889884936</v>
      </c>
      <c r="CL39" s="556">
        <f t="shared" si="95"/>
        <v>2.5633074935400586</v>
      </c>
      <c r="CM39" s="604">
        <f t="shared" si="95"/>
        <v>3.2010443864229821</v>
      </c>
      <c r="CN39" s="556">
        <f t="shared" si="95"/>
        <v>3.396026490066224</v>
      </c>
      <c r="CO39" s="556">
        <f t="shared" si="95"/>
        <v>3.6549391069012227</v>
      </c>
      <c r="CP39" s="556">
        <f t="shared" si="95"/>
        <v>3.1858529819694832</v>
      </c>
      <c r="CQ39" s="604">
        <f t="shared" si="95"/>
        <v>3.7988748241912886</v>
      </c>
      <c r="CR39" s="556">
        <f t="shared" si="95"/>
        <v>4.2688477951635875</v>
      </c>
      <c r="CS39" s="556">
        <f t="shared" si="95"/>
        <v>4.3933717579250775</v>
      </c>
      <c r="CT39" s="556">
        <f t="shared" si="95"/>
        <v>3.9593023255813926</v>
      </c>
      <c r="CU39" s="604">
        <f>CU31/CU35</f>
        <v>4.385401459854025</v>
      </c>
      <c r="CV39" s="123">
        <f t="shared" ref="CV39:CY39" si="96">CV31/CV35</f>
        <v>4.8269498392791412</v>
      </c>
      <c r="CW39" s="123">
        <f t="shared" si="96"/>
        <v>4.9473393113338551</v>
      </c>
      <c r="CX39" s="123">
        <f t="shared" si="96"/>
        <v>4.4853209828786351</v>
      </c>
      <c r="CY39" s="146">
        <f t="shared" si="96"/>
        <v>4.6743445306405071</v>
      </c>
      <c r="DA39" s="123">
        <f t="shared" ref="DA39:EA39" si="97">DA31/DA35</f>
        <v>0.62974683544303889</v>
      </c>
      <c r="DB39" s="123">
        <f t="shared" si="97"/>
        <v>0.91142857142857114</v>
      </c>
      <c r="DC39" s="123">
        <f t="shared" si="97"/>
        <v>1.1904388714733594</v>
      </c>
      <c r="DD39" s="123">
        <f t="shared" si="97"/>
        <v>1.5168374816983938</v>
      </c>
      <c r="DE39" s="123">
        <f t="shared" si="97"/>
        <v>1.5266055045871665</v>
      </c>
      <c r="DF39" s="123">
        <f t="shared" si="97"/>
        <v>1.6375796178343882</v>
      </c>
      <c r="DG39" s="123">
        <f t="shared" si="97"/>
        <v>2.1073514437290628</v>
      </c>
      <c r="DH39" s="123">
        <f t="shared" si="97"/>
        <v>0.20554136069725504</v>
      </c>
      <c r="DI39" s="123">
        <f t="shared" si="97"/>
        <v>9.9441250323484817E-2</v>
      </c>
      <c r="DJ39" s="123">
        <f t="shared" si="97"/>
        <v>2.8527615038750986</v>
      </c>
      <c r="DK39" s="123">
        <f t="shared" si="97"/>
        <v>3.0936890575242564</v>
      </c>
      <c r="DL39" s="123">
        <f t="shared" si="97"/>
        <v>-10.779615040609986</v>
      </c>
      <c r="DM39" s="123">
        <f t="shared" si="97"/>
        <v>-5.4340078461796555</v>
      </c>
      <c r="DN39" s="123">
        <f t="shared" si="97"/>
        <v>1.5714369364408676</v>
      </c>
      <c r="DO39" s="123">
        <f t="shared" si="97"/>
        <v>-3.9057529552613199</v>
      </c>
      <c r="DP39" s="123">
        <f t="shared" si="97"/>
        <v>6.106915897638574</v>
      </c>
      <c r="DQ39" s="123">
        <f t="shared" si="97"/>
        <v>4.7114529786071806</v>
      </c>
      <c r="DR39" s="123">
        <f t="shared" si="97"/>
        <v>5.828912979943472</v>
      </c>
      <c r="DS39" s="123">
        <f t="shared" si="97"/>
        <v>13.899217738629083</v>
      </c>
      <c r="DT39" s="123">
        <f t="shared" si="97"/>
        <v>5.8925476603119771</v>
      </c>
      <c r="DU39" s="123">
        <f t="shared" si="97"/>
        <v>8.1455657492355069</v>
      </c>
      <c r="DV39" s="123">
        <f t="shared" si="97"/>
        <v>10.847043701799517</v>
      </c>
      <c r="DW39" s="123">
        <f t="shared" si="97"/>
        <v>14.030075187969933</v>
      </c>
      <c r="DX39" s="123">
        <f t="shared" si="97"/>
        <v>17.007942238267194</v>
      </c>
      <c r="DY39" s="123">
        <f>DY31/DY35</f>
        <v>18.937643811189584</v>
      </c>
      <c r="DZ39" s="123">
        <f t="shared" si="97"/>
        <v>20.435171246176257</v>
      </c>
      <c r="EA39" s="123">
        <f t="shared" si="97"/>
        <v>21.389542844878346</v>
      </c>
      <c r="EB39" s="123">
        <f t="shared" ref="EB39:ED39" si="98">EB31/EB35</f>
        <v>22.202518196702098</v>
      </c>
      <c r="EC39" s="123">
        <f t="shared" si="98"/>
        <v>22.688562263859779</v>
      </c>
      <c r="ED39" s="123">
        <f t="shared" si="98"/>
        <v>22.779461100361999</v>
      </c>
      <c r="EE39" s="126"/>
      <c r="EF39"/>
      <c r="EG39"/>
      <c r="EH39"/>
      <c r="EI39"/>
      <c r="EJ39"/>
      <c r="EK39"/>
    </row>
    <row r="40" spans="1:141" s="271" customFormat="1" ht="15.75" thickBot="1">
      <c r="A40" s="270"/>
      <c r="B40" s="126" t="s">
        <v>163</v>
      </c>
      <c r="C40" s="126"/>
      <c r="D40" s="124">
        <f t="shared" ref="D40:AI40" si="99">D31/D37</f>
        <v>7.7380952380953508E-2</v>
      </c>
      <c r="E40" s="123">
        <f t="shared" si="99"/>
        <v>0.21486761710794314</v>
      </c>
      <c r="F40" s="123">
        <f t="shared" si="99"/>
        <v>6.3765182186234587E-2</v>
      </c>
      <c r="G40" s="146">
        <f t="shared" si="99"/>
        <v>0.26060606060606062</v>
      </c>
      <c r="H40" s="123">
        <f t="shared" si="99"/>
        <v>0.17206477732793551</v>
      </c>
      <c r="I40" s="123">
        <f t="shared" si="99"/>
        <v>0.29133064516128993</v>
      </c>
      <c r="J40" s="123">
        <f t="shared" si="99"/>
        <v>0.12352941176470525</v>
      </c>
      <c r="K40" s="146">
        <f t="shared" si="99"/>
        <v>0.31051752921535958</v>
      </c>
      <c r="L40" s="123">
        <f t="shared" si="99"/>
        <v>0.21499999999999936</v>
      </c>
      <c r="M40" s="123">
        <f t="shared" si="99"/>
        <v>0.41680532445923529</v>
      </c>
      <c r="N40" s="123">
        <f t="shared" si="99"/>
        <v>0.18507462686567022</v>
      </c>
      <c r="O40" s="146">
        <f t="shared" si="99"/>
        <v>0.37702503681885124</v>
      </c>
      <c r="P40" s="123">
        <f t="shared" si="99"/>
        <v>0.30808823529411844</v>
      </c>
      <c r="Q40" s="123">
        <f t="shared" si="99"/>
        <v>0.44729136163982436</v>
      </c>
      <c r="R40" s="123">
        <f t="shared" si="99"/>
        <v>0.25985401459854141</v>
      </c>
      <c r="S40" s="146">
        <f t="shared" si="99"/>
        <v>0.50146198830409217</v>
      </c>
      <c r="T40" s="123">
        <f t="shared" si="99"/>
        <v>0.34576023391812727</v>
      </c>
      <c r="U40" s="123">
        <f t="shared" si="99"/>
        <v>0.48026315789473611</v>
      </c>
      <c r="V40" s="123">
        <f t="shared" si="99"/>
        <v>0.15835777126099701</v>
      </c>
      <c r="W40" s="146">
        <f t="shared" si="99"/>
        <v>0.54370370370370624</v>
      </c>
      <c r="X40" s="123">
        <f t="shared" si="99"/>
        <v>0.27546549835706358</v>
      </c>
      <c r="Y40" s="123">
        <f t="shared" si="99"/>
        <v>0.4078516902944373</v>
      </c>
      <c r="Z40" s="123">
        <f t="shared" si="99"/>
        <v>0.21428571428571233</v>
      </c>
      <c r="AA40" s="146">
        <f t="shared" si="99"/>
        <v>0.50108108108108163</v>
      </c>
      <c r="AB40" s="123">
        <f t="shared" si="99"/>
        <v>0.46293728570670384</v>
      </c>
      <c r="AC40" s="123">
        <f t="shared" si="99"/>
        <v>0.76266174859576097</v>
      </c>
      <c r="AD40" s="123">
        <f t="shared" si="99"/>
        <v>0.29666482334823885</v>
      </c>
      <c r="AE40" s="146">
        <f t="shared" si="99"/>
        <v>0.55976862195959387</v>
      </c>
      <c r="AF40" s="123">
        <f t="shared" si="99"/>
        <v>0.11205983630484666</v>
      </c>
      <c r="AG40" s="123">
        <f t="shared" si="99"/>
        <v>0.34340875762390521</v>
      </c>
      <c r="AH40" s="123">
        <f t="shared" si="99"/>
        <v>0.11973040191009586</v>
      </c>
      <c r="AI40" s="146">
        <f t="shared" si="99"/>
        <v>-0.37181176742796151</v>
      </c>
      <c r="AJ40" s="123">
        <f t="shared" ref="AJ40:BO40" si="100">AJ31/AJ37</f>
        <v>-1.7879214269454105</v>
      </c>
      <c r="AK40" s="123">
        <f t="shared" si="100"/>
        <v>0.59686902197279212</v>
      </c>
      <c r="AL40" s="123">
        <f t="shared" si="100"/>
        <v>0.4294601341708767</v>
      </c>
      <c r="AM40" s="146">
        <f t="shared" si="100"/>
        <v>0.87984666330604933</v>
      </c>
      <c r="AN40" s="123">
        <f t="shared" si="100"/>
        <v>0.47018729339544402</v>
      </c>
      <c r="AO40" s="123">
        <f t="shared" si="100"/>
        <v>0.71819142592857754</v>
      </c>
      <c r="AP40" s="123">
        <f t="shared" si="100"/>
        <v>0.51550134910970569</v>
      </c>
      <c r="AQ40" s="146">
        <f t="shared" si="100"/>
        <v>0.88389175242074569</v>
      </c>
      <c r="AR40" s="123">
        <f t="shared" si="100"/>
        <v>0.60624061703356102</v>
      </c>
      <c r="AS40" s="123">
        <f t="shared" si="100"/>
        <v>0.77299633125687783</v>
      </c>
      <c r="AT40" s="123">
        <f t="shared" si="100"/>
        <v>0.61510335803087235</v>
      </c>
      <c r="AU40" s="146">
        <f t="shared" si="100"/>
        <v>0.83220568335588996</v>
      </c>
      <c r="AV40" s="123">
        <f t="shared" si="100"/>
        <v>0.11353711790393088</v>
      </c>
      <c r="AW40" s="123">
        <f t="shared" si="100"/>
        <v>-0.82268090316414466</v>
      </c>
      <c r="AX40" s="123">
        <f t="shared" si="100"/>
        <v>-5.5857707649042982</v>
      </c>
      <c r="AY40" s="146">
        <f t="shared" si="100"/>
        <v>-4.4867931547618998</v>
      </c>
      <c r="AZ40" s="123">
        <f t="shared" si="100"/>
        <v>0.13173181398520245</v>
      </c>
      <c r="BA40" s="123">
        <f t="shared" si="100"/>
        <v>-0.22631313120272817</v>
      </c>
      <c r="BB40" s="123">
        <f t="shared" si="100"/>
        <v>-0.54934583600904618</v>
      </c>
      <c r="BC40" s="146">
        <f t="shared" si="100"/>
        <v>-4.4482758620689635</v>
      </c>
      <c r="BD40" s="123">
        <f t="shared" si="100"/>
        <v>0.32028658612139321</v>
      </c>
      <c r="BE40" s="123">
        <f t="shared" si="100"/>
        <v>0.79057898998979859</v>
      </c>
      <c r="BF40" s="123">
        <f t="shared" si="100"/>
        <v>0.26113891500207154</v>
      </c>
      <c r="BG40" s="146">
        <f t="shared" si="100"/>
        <v>0.17241379310344765</v>
      </c>
      <c r="BH40" s="123">
        <f t="shared" si="100"/>
        <v>0.49864444591388019</v>
      </c>
      <c r="BI40" s="123">
        <f t="shared" si="100"/>
        <v>0.11678036309222875</v>
      </c>
      <c r="BJ40" s="123">
        <f t="shared" si="100"/>
        <v>-0.63635157737753423</v>
      </c>
      <c r="BK40" s="146">
        <f t="shared" si="100"/>
        <v>-3.892108667529107</v>
      </c>
      <c r="BL40" s="123">
        <f t="shared" si="100"/>
        <v>-1.7083870967741936</v>
      </c>
      <c r="BM40" s="123">
        <f t="shared" si="100"/>
        <v>-1.1197133389373179</v>
      </c>
      <c r="BN40" s="123">
        <f t="shared" si="100"/>
        <v>0.16443863705932082</v>
      </c>
      <c r="BO40" s="146">
        <f t="shared" si="100"/>
        <v>11.37314814814815</v>
      </c>
      <c r="BP40" s="123">
        <f t="shared" ref="BP40:CT40" si="101">BP31/BP37</f>
        <v>0.61202840063627273</v>
      </c>
      <c r="BQ40" s="123">
        <f t="shared" si="101"/>
        <v>1.4644521313430958</v>
      </c>
      <c r="BR40" s="123">
        <f t="shared" si="101"/>
        <v>0.88077634011090633</v>
      </c>
      <c r="BS40" s="146">
        <f t="shared" si="101"/>
        <v>1.0802583025830279</v>
      </c>
      <c r="BT40" s="123">
        <f t="shared" si="101"/>
        <v>1.4390018484288323</v>
      </c>
      <c r="BU40" s="123">
        <f t="shared" si="101"/>
        <v>1.652700186219743</v>
      </c>
      <c r="BV40" s="123">
        <f t="shared" si="101"/>
        <v>0.95179584120982952</v>
      </c>
      <c r="BW40" s="146">
        <f t="shared" si="101"/>
        <v>1.0250240615976909</v>
      </c>
      <c r="BX40" s="556">
        <f t="shared" si="101"/>
        <v>1.3159960745829262</v>
      </c>
      <c r="BY40" s="556">
        <f t="shared" si="101"/>
        <v>1.4453280318091442</v>
      </c>
      <c r="BZ40" s="556">
        <f t="shared" si="101"/>
        <v>1.2861476238624874</v>
      </c>
      <c r="CA40" s="604">
        <f t="shared" si="101"/>
        <v>9.0081716036772228</v>
      </c>
      <c r="CB40" s="556">
        <f t="shared" si="101"/>
        <v>1.2971845672575626</v>
      </c>
      <c r="CC40" s="556">
        <f t="shared" si="101"/>
        <v>1.6156542056074796</v>
      </c>
      <c r="CD40" s="556">
        <f t="shared" si="101"/>
        <v>1.4486552567237141</v>
      </c>
      <c r="CE40" s="604">
        <f t="shared" si="101"/>
        <v>1.5536791314837215</v>
      </c>
      <c r="CF40" s="556">
        <f t="shared" si="101"/>
        <v>1.8357487922705324</v>
      </c>
      <c r="CG40" s="556">
        <f t="shared" si="101"/>
        <v>2.1196581196581303</v>
      </c>
      <c r="CH40" s="556">
        <f t="shared" si="101"/>
        <v>1.9275184275184261</v>
      </c>
      <c r="CI40" s="604">
        <f t="shared" si="101"/>
        <v>2.2669962917181685</v>
      </c>
      <c r="CJ40" s="556">
        <f t="shared" si="101"/>
        <v>2.2819216182048092</v>
      </c>
      <c r="CK40" s="556">
        <f t="shared" si="101"/>
        <v>2.8143405889884936</v>
      </c>
      <c r="CL40" s="556">
        <f t="shared" si="101"/>
        <v>2.5633074935400586</v>
      </c>
      <c r="CM40" s="604">
        <f t="shared" si="101"/>
        <v>3.2010443864229821</v>
      </c>
      <c r="CN40" s="556">
        <f t="shared" si="101"/>
        <v>3.396026490066224</v>
      </c>
      <c r="CO40" s="556">
        <f t="shared" si="101"/>
        <v>3.6549391069012227</v>
      </c>
      <c r="CP40" s="556">
        <f t="shared" si="101"/>
        <v>3.1858529819694832</v>
      </c>
      <c r="CQ40" s="604">
        <f t="shared" si="101"/>
        <v>3.7988748241912886</v>
      </c>
      <c r="CR40" s="556">
        <f t="shared" si="101"/>
        <v>4.2688477951635875</v>
      </c>
      <c r="CS40" s="556">
        <f t="shared" si="101"/>
        <v>4.3933717579250775</v>
      </c>
      <c r="CT40" s="556">
        <f t="shared" si="101"/>
        <v>3.9593023255813926</v>
      </c>
      <c r="CU40" s="604">
        <f>CU31/CU37</f>
        <v>4.385401459854025</v>
      </c>
      <c r="CV40" s="123">
        <f t="shared" ref="CV40:CY40" si="102">CV31/CV37</f>
        <v>4.8269498392791412</v>
      </c>
      <c r="CW40" s="123">
        <f t="shared" si="102"/>
        <v>4.9473393113338551</v>
      </c>
      <c r="CX40" s="123">
        <f t="shared" si="102"/>
        <v>4.4853209828786351</v>
      </c>
      <c r="CY40" s="146">
        <f t="shared" si="102"/>
        <v>4.6743445306405071</v>
      </c>
      <c r="DA40" s="123">
        <f t="shared" ref="DA40:EA40" si="103">DA31/DA37</f>
        <v>0.62974683544303889</v>
      </c>
      <c r="DB40" s="123">
        <f t="shared" si="103"/>
        <v>0.91142857142857114</v>
      </c>
      <c r="DC40" s="123">
        <f t="shared" si="103"/>
        <v>1.1904388714733594</v>
      </c>
      <c r="DD40" s="123">
        <f t="shared" si="103"/>
        <v>1.5168374816983938</v>
      </c>
      <c r="DE40" s="123">
        <f t="shared" si="103"/>
        <v>1.5266055045871665</v>
      </c>
      <c r="DF40" s="123">
        <f t="shared" si="103"/>
        <v>1.4003267973856153</v>
      </c>
      <c r="DG40" s="123">
        <f t="shared" si="103"/>
        <v>2.0860841495514131</v>
      </c>
      <c r="DH40" s="123">
        <f t="shared" si="103"/>
        <v>0.20133190162620629</v>
      </c>
      <c r="DI40" s="123">
        <f t="shared" si="103"/>
        <v>9.2559727626335839E-2</v>
      </c>
      <c r="DJ40" s="123">
        <f t="shared" si="103"/>
        <v>2.5938465261980252</v>
      </c>
      <c r="DK40" s="123">
        <f t="shared" si="103"/>
        <v>2.8248628871394699</v>
      </c>
      <c r="DL40" s="123">
        <f t="shared" si="103"/>
        <v>-10.719759739911167</v>
      </c>
      <c r="DM40" s="123">
        <f t="shared" si="103"/>
        <v>-5.3180469956229377</v>
      </c>
      <c r="DN40" s="123">
        <f t="shared" si="103"/>
        <v>1.5438701357476809</v>
      </c>
      <c r="DO40" s="123">
        <f t="shared" si="103"/>
        <v>-3.8777289384059306</v>
      </c>
      <c r="DP40" s="123">
        <f t="shared" si="103"/>
        <v>5.6910270039964139</v>
      </c>
      <c r="DQ40" s="123">
        <f t="shared" si="103"/>
        <v>4.0379336876441583</v>
      </c>
      <c r="DR40" s="123">
        <f t="shared" si="103"/>
        <v>5.0825299788384628</v>
      </c>
      <c r="DS40" s="123">
        <f t="shared" si="103"/>
        <v>12.908590032556965</v>
      </c>
      <c r="DT40" s="123">
        <f t="shared" si="103"/>
        <v>5.8925476603119771</v>
      </c>
      <c r="DU40" s="123">
        <f t="shared" si="103"/>
        <v>8.1455657492355069</v>
      </c>
      <c r="DV40" s="123">
        <f t="shared" si="103"/>
        <v>10.847043701799517</v>
      </c>
      <c r="DW40" s="123">
        <f t="shared" si="103"/>
        <v>14.030075187969933</v>
      </c>
      <c r="DX40" s="123">
        <f t="shared" si="103"/>
        <v>17.007942238267194</v>
      </c>
      <c r="DY40" s="123">
        <f>DY31/DY37</f>
        <v>18.937643811189584</v>
      </c>
      <c r="DZ40" s="123">
        <f t="shared" si="103"/>
        <v>20.435171246176257</v>
      </c>
      <c r="EA40" s="123">
        <f t="shared" si="103"/>
        <v>21.389542844878346</v>
      </c>
      <c r="EB40" s="123">
        <f t="shared" ref="EB40:ED40" si="104">EB31/EB37</f>
        <v>22.202518196702098</v>
      </c>
      <c r="EC40" s="123">
        <f t="shared" si="104"/>
        <v>22.688562263859779</v>
      </c>
      <c r="ED40" s="123">
        <f t="shared" si="104"/>
        <v>22.779461100361999</v>
      </c>
      <c r="EE40" s="126"/>
      <c r="EF40"/>
      <c r="EG40"/>
      <c r="EH40"/>
      <c r="EI40"/>
      <c r="EJ40"/>
      <c r="EK40"/>
    </row>
    <row r="41" spans="1:141" s="271" customFormat="1" ht="15.75" thickBot="1">
      <c r="A41" s="270"/>
      <c r="B41" s="325" t="s">
        <v>265</v>
      </c>
      <c r="C41" s="326"/>
      <c r="D41" s="327">
        <f t="shared" ref="D41:AI41" si="105">D26/D37</f>
        <v>7.7380952380953508E-2</v>
      </c>
      <c r="E41" s="328">
        <f t="shared" si="105"/>
        <v>0.21486761710794314</v>
      </c>
      <c r="F41" s="328">
        <f t="shared" si="105"/>
        <v>6.3765182186234587E-2</v>
      </c>
      <c r="G41" s="329">
        <f t="shared" si="105"/>
        <v>0.26060606060606062</v>
      </c>
      <c r="H41" s="328">
        <f t="shared" si="105"/>
        <v>0.17206477732793551</v>
      </c>
      <c r="I41" s="328">
        <f t="shared" si="105"/>
        <v>0.29133064516128993</v>
      </c>
      <c r="J41" s="328">
        <f t="shared" si="105"/>
        <v>9.8039215686273884E-2</v>
      </c>
      <c r="K41" s="329">
        <f t="shared" si="105"/>
        <v>0.31051752921535958</v>
      </c>
      <c r="L41" s="328">
        <f t="shared" si="105"/>
        <v>0.21499999999999936</v>
      </c>
      <c r="M41" s="328">
        <f t="shared" si="105"/>
        <v>0.41680532445923529</v>
      </c>
      <c r="N41" s="328">
        <f t="shared" si="105"/>
        <v>0.18507462686567022</v>
      </c>
      <c r="O41" s="329">
        <f t="shared" si="105"/>
        <v>0.37702503681885124</v>
      </c>
      <c r="P41" s="328">
        <f t="shared" si="105"/>
        <v>0.30808823529411844</v>
      </c>
      <c r="Q41" s="328">
        <f t="shared" si="105"/>
        <v>0.44729136163982436</v>
      </c>
      <c r="R41" s="328">
        <f t="shared" si="105"/>
        <v>0.2671532846715341</v>
      </c>
      <c r="S41" s="329">
        <f t="shared" si="105"/>
        <v>0.50146198830409217</v>
      </c>
      <c r="T41" s="328">
        <f t="shared" si="105"/>
        <v>0.34576023391812727</v>
      </c>
      <c r="U41" s="328">
        <f t="shared" si="105"/>
        <v>0.48026315789473611</v>
      </c>
      <c r="V41" s="328">
        <f t="shared" si="105"/>
        <v>0.15835777126099701</v>
      </c>
      <c r="W41" s="329">
        <f t="shared" si="105"/>
        <v>0.54370370370370624</v>
      </c>
      <c r="X41" s="328">
        <f t="shared" si="105"/>
        <v>0.27546549835706358</v>
      </c>
      <c r="Y41" s="328">
        <f t="shared" si="105"/>
        <v>0.4078516902944373</v>
      </c>
      <c r="Z41" s="328">
        <f t="shared" si="105"/>
        <v>0.21428571428571233</v>
      </c>
      <c r="AA41" s="329">
        <f t="shared" si="105"/>
        <v>0.49567567567567622</v>
      </c>
      <c r="AB41" s="328">
        <f t="shared" si="105"/>
        <v>0.46293728570670384</v>
      </c>
      <c r="AC41" s="328">
        <f t="shared" si="105"/>
        <v>0.66517302950289081</v>
      </c>
      <c r="AD41" s="328">
        <f t="shared" si="105"/>
        <v>0.29666482334823885</v>
      </c>
      <c r="AE41" s="329">
        <f t="shared" si="105"/>
        <v>0.67496962288774287</v>
      </c>
      <c r="AF41" s="328">
        <f t="shared" si="105"/>
        <v>0.26507947484525696</v>
      </c>
      <c r="AG41" s="328">
        <f t="shared" si="105"/>
        <v>0.53079215543650315</v>
      </c>
      <c r="AH41" s="328">
        <f t="shared" si="105"/>
        <v>0.31877266241032248</v>
      </c>
      <c r="AI41" s="329">
        <f t="shared" si="105"/>
        <v>0.74514735357488615</v>
      </c>
      <c r="AJ41" s="328">
        <f t="shared" ref="AJ41:BO41" si="106">AJ26/AJ37</f>
        <v>0.32907399528070952</v>
      </c>
      <c r="AK41" s="328">
        <f t="shared" si="106"/>
        <v>0.59686902197279212</v>
      </c>
      <c r="AL41" s="328">
        <f t="shared" si="106"/>
        <v>0.4294601341708767</v>
      </c>
      <c r="AM41" s="329">
        <f t="shared" si="106"/>
        <v>0.87984666330604933</v>
      </c>
      <c r="AN41" s="328">
        <f t="shared" si="106"/>
        <v>0.47018729339544402</v>
      </c>
      <c r="AO41" s="328">
        <f t="shared" si="106"/>
        <v>0.71819142592857754</v>
      </c>
      <c r="AP41" s="328">
        <f t="shared" si="106"/>
        <v>0.51550134910970569</v>
      </c>
      <c r="AQ41" s="329">
        <f t="shared" si="106"/>
        <v>0.88389175242074569</v>
      </c>
      <c r="AR41" s="328">
        <f t="shared" si="106"/>
        <v>0.60624061703356102</v>
      </c>
      <c r="AS41" s="328">
        <f t="shared" si="106"/>
        <v>0.77299633125687783</v>
      </c>
      <c r="AT41" s="328">
        <f t="shared" si="106"/>
        <v>0.51244074891259683</v>
      </c>
      <c r="AU41" s="329">
        <f t="shared" si="106"/>
        <v>0.83220568335588996</v>
      </c>
      <c r="AV41" s="328">
        <f t="shared" si="106"/>
        <v>-0.14601164483260481</v>
      </c>
      <c r="AW41" s="328">
        <f t="shared" si="106"/>
        <v>0.16095909683585538</v>
      </c>
      <c r="AX41" s="328">
        <f t="shared" si="106"/>
        <v>-4.7679562126057611E-2</v>
      </c>
      <c r="AY41" s="329">
        <f t="shared" si="106"/>
        <v>0.14397321428571846</v>
      </c>
      <c r="AZ41" s="328">
        <f t="shared" si="106"/>
        <v>3.992430675250034E-2</v>
      </c>
      <c r="BA41" s="328">
        <f t="shared" si="106"/>
        <v>0.11068686879727184</v>
      </c>
      <c r="BB41" s="328">
        <f t="shared" si="106"/>
        <v>-0.28925285343589952</v>
      </c>
      <c r="BC41" s="329">
        <f t="shared" si="106"/>
        <v>0.192668965517242</v>
      </c>
      <c r="BD41" s="328">
        <f t="shared" si="106"/>
        <v>0.42574367249362627</v>
      </c>
      <c r="BE41" s="328">
        <f t="shared" si="106"/>
        <v>0.9121081227552208</v>
      </c>
      <c r="BF41" s="328">
        <f t="shared" si="106"/>
        <v>0.44884147455866891</v>
      </c>
      <c r="BG41" s="329">
        <f t="shared" si="106"/>
        <v>0.76053639846743237</v>
      </c>
      <c r="BH41" s="328">
        <f t="shared" si="106"/>
        <v>0.6701730340863018</v>
      </c>
      <c r="BI41" s="328">
        <f t="shared" si="106"/>
        <v>0.3772069542285047</v>
      </c>
      <c r="BJ41" s="328">
        <f t="shared" si="106"/>
        <v>-0.44732535016671304</v>
      </c>
      <c r="BK41" s="329">
        <f t="shared" si="106"/>
        <v>-0.81222509702457901</v>
      </c>
      <c r="BL41" s="328">
        <f t="shared" si="106"/>
        <v>-0.9761290322580628</v>
      </c>
      <c r="BM41" s="328">
        <f t="shared" si="106"/>
        <v>-0.90105963968630942</v>
      </c>
      <c r="BN41" s="328">
        <f t="shared" si="106"/>
        <v>0.24827009908956252</v>
      </c>
      <c r="BO41" s="329">
        <f t="shared" si="106"/>
        <v>0.50833333333333508</v>
      </c>
      <c r="BP41" s="328">
        <f t="shared" ref="BP41:CT41" si="107">BP26/BP37</f>
        <v>0.61295431349653928</v>
      </c>
      <c r="BQ41" s="328">
        <f t="shared" si="107"/>
        <v>1.4700028027190013</v>
      </c>
      <c r="BR41" s="328">
        <f t="shared" si="107"/>
        <v>1.1386321626617382</v>
      </c>
      <c r="BS41" s="329">
        <f t="shared" si="107"/>
        <v>1.1909594095940979</v>
      </c>
      <c r="BT41" s="328">
        <f t="shared" si="107"/>
        <v>1.4574861367837306</v>
      </c>
      <c r="BU41" s="328">
        <f t="shared" si="107"/>
        <v>1.5381750465549384</v>
      </c>
      <c r="BV41" s="328">
        <f t="shared" si="107"/>
        <v>1.0803402646502831</v>
      </c>
      <c r="BW41" s="329">
        <f t="shared" si="107"/>
        <v>1.2608277189605397</v>
      </c>
      <c r="BX41" s="328">
        <f t="shared" si="107"/>
        <v>1.3797841020608457</v>
      </c>
      <c r="BY41" s="328">
        <f t="shared" si="107"/>
        <v>1.3459244532803172</v>
      </c>
      <c r="BZ41" s="328">
        <f t="shared" si="107"/>
        <v>1.2861476238624874</v>
      </c>
      <c r="CA41" s="329">
        <f t="shared" si="107"/>
        <v>1.477017364657816</v>
      </c>
      <c r="CB41" s="328">
        <f t="shared" si="107"/>
        <v>1.2971845672575626</v>
      </c>
      <c r="CC41" s="328">
        <f t="shared" si="107"/>
        <v>1.6156542056074796</v>
      </c>
      <c r="CD41" s="328">
        <f t="shared" si="107"/>
        <v>1.4486552567237141</v>
      </c>
      <c r="CE41" s="329">
        <f t="shared" si="107"/>
        <v>1.5536791314837215</v>
      </c>
      <c r="CF41" s="328">
        <f t="shared" si="107"/>
        <v>1.8357487922705324</v>
      </c>
      <c r="CG41" s="328">
        <f t="shared" si="107"/>
        <v>2.1196581196581303</v>
      </c>
      <c r="CH41" s="328">
        <f t="shared" si="107"/>
        <v>1.9275184275184261</v>
      </c>
      <c r="CI41" s="329">
        <f t="shared" si="107"/>
        <v>2.2669962917181685</v>
      </c>
      <c r="CJ41" s="328">
        <f t="shared" si="107"/>
        <v>2.2819216182048092</v>
      </c>
      <c r="CK41" s="328">
        <f t="shared" si="107"/>
        <v>2.8143405889884936</v>
      </c>
      <c r="CL41" s="328">
        <f t="shared" si="107"/>
        <v>2.5633074935400586</v>
      </c>
      <c r="CM41" s="329">
        <f t="shared" si="107"/>
        <v>3.2010443864229821</v>
      </c>
      <c r="CN41" s="328">
        <f t="shared" si="107"/>
        <v>3.396026490066224</v>
      </c>
      <c r="CO41" s="328">
        <f t="shared" si="107"/>
        <v>3.6549391069012227</v>
      </c>
      <c r="CP41" s="328">
        <f t="shared" si="107"/>
        <v>3.1858529819694832</v>
      </c>
      <c r="CQ41" s="329">
        <f t="shared" si="107"/>
        <v>3.7988748241912886</v>
      </c>
      <c r="CR41" s="328">
        <f t="shared" si="107"/>
        <v>4.2688477951635875</v>
      </c>
      <c r="CS41" s="328">
        <f t="shared" si="107"/>
        <v>4.3933717579250775</v>
      </c>
      <c r="CT41" s="328">
        <f t="shared" si="107"/>
        <v>3.9593023255813926</v>
      </c>
      <c r="CU41" s="329">
        <f>CU26/CU37</f>
        <v>4.385401459854025</v>
      </c>
      <c r="CV41" s="328">
        <f t="shared" ref="CV41:CY41" si="108">CV26/CV37</f>
        <v>4.8269498392791412</v>
      </c>
      <c r="CW41" s="328">
        <f t="shared" si="108"/>
        <v>4.9473393113338551</v>
      </c>
      <c r="CX41" s="328">
        <f t="shared" si="108"/>
        <v>4.4853209828786351</v>
      </c>
      <c r="CY41" s="620">
        <f t="shared" si="108"/>
        <v>4.6743445306405071</v>
      </c>
      <c r="DA41" s="328">
        <f t="shared" ref="DA41:EA41" si="109">DA26/DA37</f>
        <v>0.62974683544303889</v>
      </c>
      <c r="DB41" s="328">
        <f t="shared" si="109"/>
        <v>0.88666666666666649</v>
      </c>
      <c r="DC41" s="328">
        <f t="shared" si="109"/>
        <v>1.1904388714733594</v>
      </c>
      <c r="DD41" s="328">
        <f t="shared" si="109"/>
        <v>1.5241581259150849</v>
      </c>
      <c r="DE41" s="328">
        <f t="shared" si="109"/>
        <v>1.5266055045871665</v>
      </c>
      <c r="DF41" s="328">
        <f t="shared" si="109"/>
        <v>1.3948801742919332</v>
      </c>
      <c r="DG41" s="328">
        <f t="shared" si="109"/>
        <v>2.1005128349687689</v>
      </c>
      <c r="DH41" s="328">
        <f t="shared" si="109"/>
        <v>1.8625114701769936</v>
      </c>
      <c r="DI41" s="328">
        <f t="shared" si="109"/>
        <v>2.2178734735080816</v>
      </c>
      <c r="DJ41" s="328">
        <f t="shared" si="109"/>
        <v>2.5938465261980252</v>
      </c>
      <c r="DK41" s="328">
        <f t="shared" si="109"/>
        <v>2.7224861143388588</v>
      </c>
      <c r="DL41" s="328">
        <f t="shared" si="109"/>
        <v>0.10724143034994753</v>
      </c>
      <c r="DM41" s="328">
        <f t="shared" si="109"/>
        <v>6.7637293673289564E-2</v>
      </c>
      <c r="DN41" s="328">
        <f t="shared" si="109"/>
        <v>2.5475311821063258</v>
      </c>
      <c r="DO41" s="328">
        <f t="shared" si="109"/>
        <v>-0.19529379609253375</v>
      </c>
      <c r="DP41" s="328">
        <f t="shared" si="109"/>
        <v>-1.379135315170094</v>
      </c>
      <c r="DQ41" s="328">
        <f t="shared" si="109"/>
        <v>4.41325444707262</v>
      </c>
      <c r="DR41" s="328">
        <f t="shared" si="109"/>
        <v>5.3439924758993609</v>
      </c>
      <c r="DS41" s="328">
        <f t="shared" si="109"/>
        <v>5.4876033057851137</v>
      </c>
      <c r="DT41" s="328">
        <f t="shared" si="109"/>
        <v>5.8925476603119771</v>
      </c>
      <c r="DU41" s="328">
        <f t="shared" si="109"/>
        <v>8.1455657492355069</v>
      </c>
      <c r="DV41" s="328">
        <f t="shared" si="109"/>
        <v>10.847043701799517</v>
      </c>
      <c r="DW41" s="328">
        <f t="shared" si="109"/>
        <v>14.030075187969933</v>
      </c>
      <c r="DX41" s="328">
        <f>DX26/DX37</f>
        <v>17.007942238267194</v>
      </c>
      <c r="DY41" s="328">
        <f>DY26/DY37</f>
        <v>18.937643811189584</v>
      </c>
      <c r="DZ41" s="328">
        <f t="shared" si="109"/>
        <v>20.435171246176257</v>
      </c>
      <c r="EA41" s="328">
        <f t="shared" si="109"/>
        <v>21.389542844878346</v>
      </c>
      <c r="EB41" s="328">
        <f t="shared" ref="EB41:ED41" si="110">EB26/EB37</f>
        <v>22.202518196702098</v>
      </c>
      <c r="EC41" s="328">
        <f t="shared" si="110"/>
        <v>22.688562263859779</v>
      </c>
      <c r="ED41" s="328">
        <f t="shared" si="110"/>
        <v>22.779461100361999</v>
      </c>
      <c r="EE41" s="272"/>
      <c r="EF41"/>
      <c r="EG41"/>
      <c r="EH41"/>
      <c r="EI41"/>
      <c r="EJ41"/>
      <c r="EK41"/>
    </row>
    <row r="42" spans="1:141" s="278" customFormat="1">
      <c r="A42" s="270"/>
      <c r="B42" s="304" t="s">
        <v>240</v>
      </c>
      <c r="C42" s="260"/>
      <c r="D42" s="343"/>
      <c r="E42" s="344"/>
      <c r="F42" s="344"/>
      <c r="G42" s="345"/>
      <c r="H42" s="344">
        <f t="shared" ref="H42:AM42" si="111">H41/D41-1</f>
        <v>1.2236063531609802</v>
      </c>
      <c r="I42" s="344">
        <f t="shared" si="111"/>
        <v>0.35586110686439087</v>
      </c>
      <c r="J42" s="344">
        <f t="shared" si="111"/>
        <v>0.53750389044506264</v>
      </c>
      <c r="K42" s="345">
        <f t="shared" si="111"/>
        <v>0.19152075164033322</v>
      </c>
      <c r="L42" s="344">
        <f t="shared" si="111"/>
        <v>0.2495294117647</v>
      </c>
      <c r="M42" s="344">
        <f t="shared" si="111"/>
        <v>0.43069509295350161</v>
      </c>
      <c r="N42" s="344">
        <f t="shared" si="111"/>
        <v>0.88776119402984821</v>
      </c>
      <c r="O42" s="345">
        <f t="shared" si="111"/>
        <v>0.21418277986285705</v>
      </c>
      <c r="P42" s="344">
        <f t="shared" si="111"/>
        <v>0.43296853625171794</v>
      </c>
      <c r="Q42" s="344">
        <f t="shared" si="111"/>
        <v>7.31421490839681E-2</v>
      </c>
      <c r="R42" s="344">
        <f t="shared" si="111"/>
        <v>0.44348952201555814</v>
      </c>
      <c r="S42" s="345">
        <f t="shared" si="111"/>
        <v>0.33004957054093187</v>
      </c>
      <c r="T42" s="344">
        <f t="shared" si="111"/>
        <v>0.12227665424499246</v>
      </c>
      <c r="U42" s="344">
        <f t="shared" si="111"/>
        <v>7.3714359548624264E-2</v>
      </c>
      <c r="V42" s="344">
        <f t="shared" si="111"/>
        <v>-0.40724003653670793</v>
      </c>
      <c r="W42" s="345">
        <f t="shared" si="111"/>
        <v>8.4237123420805027E-2</v>
      </c>
      <c r="X42" s="344">
        <f t="shared" si="111"/>
        <v>-0.20330485887428229</v>
      </c>
      <c r="Y42" s="344">
        <f t="shared" si="111"/>
        <v>-0.15077456267459499</v>
      </c>
      <c r="Z42" s="344">
        <f t="shared" si="111"/>
        <v>0.35317460317459126</v>
      </c>
      <c r="AA42" s="345">
        <f t="shared" si="111"/>
        <v>-8.8334928934387213E-2</v>
      </c>
      <c r="AB42" s="344">
        <f t="shared" si="111"/>
        <v>0.68056358588557542</v>
      </c>
      <c r="AC42" s="344">
        <f t="shared" si="111"/>
        <v>0.63091889854051475</v>
      </c>
      <c r="AD42" s="344">
        <f t="shared" si="111"/>
        <v>0.38443584229179395</v>
      </c>
      <c r="AE42" s="345">
        <f t="shared" si="111"/>
        <v>0.36171625119119177</v>
      </c>
      <c r="AF42" s="344">
        <f t="shared" si="111"/>
        <v>-0.42739657610296844</v>
      </c>
      <c r="AG42" s="344">
        <f t="shared" si="111"/>
        <v>-0.20202393678952324</v>
      </c>
      <c r="AH42" s="344">
        <f t="shared" si="111"/>
        <v>7.4521268860152201E-2</v>
      </c>
      <c r="AI42" s="345">
        <f t="shared" si="111"/>
        <v>0.10397168747668939</v>
      </c>
      <c r="AJ42" s="344">
        <f t="shared" si="111"/>
        <v>0.24141635436998676</v>
      </c>
      <c r="AK42" s="344">
        <f t="shared" si="111"/>
        <v>0.12448727031760654</v>
      </c>
      <c r="AL42" s="344">
        <f t="shared" si="111"/>
        <v>0.34723012608301351</v>
      </c>
      <c r="AM42" s="345">
        <f t="shared" si="111"/>
        <v>0.18076868834725879</v>
      </c>
      <c r="AN42" s="344">
        <f t="shared" ref="AN42:BS42" si="112">AN41/AJ41-1</f>
        <v>0.42881935412234817</v>
      </c>
      <c r="AO42" s="344">
        <f t="shared" si="112"/>
        <v>0.20326470211971537</v>
      </c>
      <c r="AP42" s="344">
        <f t="shared" si="112"/>
        <v>0.20034738522340767</v>
      </c>
      <c r="AQ42" s="345">
        <f t="shared" si="112"/>
        <v>4.5974932717216532E-3</v>
      </c>
      <c r="AR42" s="344">
        <f t="shared" si="112"/>
        <v>0.28935984776536983</v>
      </c>
      <c r="AS42" s="344">
        <f t="shared" si="112"/>
        <v>7.6309606811917785E-2</v>
      </c>
      <c r="AT42" s="344">
        <f t="shared" si="112"/>
        <v>-5.937133243966608E-3</v>
      </c>
      <c r="AU42" s="345">
        <f t="shared" si="112"/>
        <v>-5.847556437007273E-2</v>
      </c>
      <c r="AV42" s="344">
        <f t="shared" si="112"/>
        <v>-1.2408476778528379</v>
      </c>
      <c r="AW42" s="344">
        <f t="shared" si="112"/>
        <v>-0.79177249577091935</v>
      </c>
      <c r="AX42" s="344">
        <f t="shared" si="112"/>
        <v>-1.093044048950506</v>
      </c>
      <c r="AY42" s="345">
        <f t="shared" si="112"/>
        <v>-0.82699804006968214</v>
      </c>
      <c r="AZ42" s="344">
        <f t="shared" si="112"/>
        <v>-1.2734323471136264</v>
      </c>
      <c r="BA42" s="344">
        <f t="shared" si="112"/>
        <v>-0.31232921299161298</v>
      </c>
      <c r="BB42" s="344">
        <f t="shared" si="112"/>
        <v>5.0666004580989723</v>
      </c>
      <c r="BC42" s="345">
        <f t="shared" si="112"/>
        <v>0.33822785351506846</v>
      </c>
      <c r="BD42" s="344">
        <f t="shared" si="112"/>
        <v>9.6637711991570949</v>
      </c>
      <c r="BE42" s="344">
        <f t="shared" si="112"/>
        <v>7.240436581739333</v>
      </c>
      <c r="BF42" s="344">
        <f t="shared" si="112"/>
        <v>-2.5517270416768261</v>
      </c>
      <c r="BG42" s="345">
        <f t="shared" si="112"/>
        <v>2.9473736542140294</v>
      </c>
      <c r="BH42" s="344">
        <f t="shared" si="112"/>
        <v>0.57412329855902877</v>
      </c>
      <c r="BI42" s="344">
        <f t="shared" si="112"/>
        <v>-0.58644491281464628</v>
      </c>
      <c r="BJ42" s="344">
        <f t="shared" si="112"/>
        <v>-1.9966221383764799</v>
      </c>
      <c r="BK42" s="345">
        <f t="shared" si="112"/>
        <v>-2.0679634776998252</v>
      </c>
      <c r="BL42" s="344">
        <f t="shared" si="112"/>
        <v>-2.4565328394462993</v>
      </c>
      <c r="BM42" s="344">
        <f t="shared" si="112"/>
        <v>-3.3887673055477787</v>
      </c>
      <c r="BN42" s="344">
        <f t="shared" si="112"/>
        <v>-1.5550101262918257</v>
      </c>
      <c r="BO42" s="345">
        <f t="shared" si="112"/>
        <v>-1.6258527779989937</v>
      </c>
      <c r="BP42" s="344">
        <f t="shared" si="112"/>
        <v>-1.6279439431061715</v>
      </c>
      <c r="BQ42" s="344">
        <f t="shared" si="112"/>
        <v>-2.6314156554950801</v>
      </c>
      <c r="BR42" s="344">
        <f t="shared" si="112"/>
        <v>3.586263778188532</v>
      </c>
      <c r="BS42" s="345">
        <f t="shared" si="112"/>
        <v>1.342870969693299</v>
      </c>
      <c r="BT42" s="344">
        <f t="shared" ref="BT42:CY42" si="113">BT41/BP41-1</f>
        <v>1.3778054982102015</v>
      </c>
      <c r="BU42" s="344">
        <f t="shared" si="113"/>
        <v>4.6375587658636919E-2</v>
      </c>
      <c r="BV42" s="344">
        <f t="shared" si="113"/>
        <v>-5.1194670169151246E-2</v>
      </c>
      <c r="BW42" s="345">
        <f t="shared" si="113"/>
        <v>5.8665567275927755E-2</v>
      </c>
      <c r="BX42" s="344">
        <f t="shared" si="113"/>
        <v>-5.3312366246139331E-2</v>
      </c>
      <c r="BY42" s="344">
        <f t="shared" si="113"/>
        <v>-0.12498616051873046</v>
      </c>
      <c r="BZ42" s="344">
        <f t="shared" si="113"/>
        <v>0.19050234999694848</v>
      </c>
      <c r="CA42" s="345">
        <f t="shared" si="113"/>
        <v>0.17146644418280155</v>
      </c>
      <c r="CB42" s="344">
        <f t="shared" si="113"/>
        <v>-5.9864100970515866E-2</v>
      </c>
      <c r="CC42" s="344">
        <f t="shared" si="113"/>
        <v>0.20040482336863041</v>
      </c>
      <c r="CD42" s="344">
        <f t="shared" si="113"/>
        <v>0.12635223970106391</v>
      </c>
      <c r="CE42" s="345">
        <f t="shared" si="113"/>
        <v>5.1903091094440912E-2</v>
      </c>
      <c r="CF42" s="344">
        <f t="shared" si="113"/>
        <v>0.41517933423427422</v>
      </c>
      <c r="CG42" s="344">
        <f t="shared" si="113"/>
        <v>0.31195036184190617</v>
      </c>
      <c r="CH42" s="344">
        <f t="shared" si="113"/>
        <v>0.33055702422791144</v>
      </c>
      <c r="CI42" s="345">
        <f t="shared" si="113"/>
        <v>0.45911484925027501</v>
      </c>
      <c r="CJ42" s="344">
        <f t="shared" si="113"/>
        <v>0.24304677623261894</v>
      </c>
      <c r="CK42" s="344">
        <f t="shared" si="113"/>
        <v>0.32773326174053263</v>
      </c>
      <c r="CL42" s="344">
        <f t="shared" si="113"/>
        <v>0.32984850206603533</v>
      </c>
      <c r="CM42" s="345">
        <f t="shared" si="113"/>
        <v>0.41202012465441373</v>
      </c>
      <c r="CN42" s="346">
        <f t="shared" si="113"/>
        <v>0.4882309992478544</v>
      </c>
      <c r="CO42" s="346">
        <f t="shared" si="113"/>
        <v>0.29868400477244639</v>
      </c>
      <c r="CP42" s="346">
        <f t="shared" si="113"/>
        <v>0.2428680484094623</v>
      </c>
      <c r="CQ42" s="345">
        <f t="shared" si="113"/>
        <v>0.18676105845453583</v>
      </c>
      <c r="CR42" s="346">
        <f t="shared" si="113"/>
        <v>0.25701251378647028</v>
      </c>
      <c r="CS42" s="346">
        <f t="shared" si="113"/>
        <v>0.20203692303096177</v>
      </c>
      <c r="CT42" s="346">
        <f t="shared" si="113"/>
        <v>0.2427762197406127</v>
      </c>
      <c r="CU42" s="347">
        <f t="shared" si="113"/>
        <v>0.15439483078719163</v>
      </c>
      <c r="CV42" s="346">
        <f t="shared" si="113"/>
        <v>0.13073833289344683</v>
      </c>
      <c r="CW42" s="346">
        <f t="shared" si="113"/>
        <v>0.12609166351777334</v>
      </c>
      <c r="CX42" s="346">
        <f t="shared" si="113"/>
        <v>0.13285640096200546</v>
      </c>
      <c r="CY42" s="347">
        <f t="shared" si="113"/>
        <v>6.588748451689086E-2</v>
      </c>
      <c r="DA42" s="344"/>
      <c r="DB42" s="344">
        <f t="shared" ref="DB42:ED42" si="114">DB41/DA41-1</f>
        <v>0.40797319932998088</v>
      </c>
      <c r="DC42" s="344">
        <f t="shared" si="114"/>
        <v>0.34260023098499204</v>
      </c>
      <c r="DD42" s="344">
        <f t="shared" si="114"/>
        <v>0.28033296159818311</v>
      </c>
      <c r="DE42" s="344">
        <f t="shared" si="114"/>
        <v>1.6057249116538941E-3</v>
      </c>
      <c r="DF42" s="344">
        <f t="shared" si="114"/>
        <v>-8.6286424291949104E-2</v>
      </c>
      <c r="DG42" s="344">
        <f t="shared" si="114"/>
        <v>0.50587331706469185</v>
      </c>
      <c r="DH42" s="344">
        <f t="shared" si="114"/>
        <v>-0.11330631302489236</v>
      </c>
      <c r="DI42" s="344">
        <f t="shared" si="114"/>
        <v>0.19079721602859068</v>
      </c>
      <c r="DJ42" s="344">
        <f t="shared" si="114"/>
        <v>0.16951961289985351</v>
      </c>
      <c r="DK42" s="344">
        <f t="shared" si="114"/>
        <v>4.9594140147292798E-2</v>
      </c>
      <c r="DL42" s="344">
        <f t="shared" si="114"/>
        <v>-0.96060900741233324</v>
      </c>
      <c r="DM42" s="344">
        <f t="shared" si="114"/>
        <v>-0.36929884791188206</v>
      </c>
      <c r="DN42" s="344">
        <f t="shared" si="114"/>
        <v>36.66459365467432</v>
      </c>
      <c r="DO42" s="344">
        <f t="shared" si="114"/>
        <v>-1.0766600218534177</v>
      </c>
      <c r="DP42" s="344">
        <f t="shared" si="114"/>
        <v>6.0618490846305972</v>
      </c>
      <c r="DQ42" s="344">
        <f t="shared" si="114"/>
        <v>-4.2000155449056251</v>
      </c>
      <c r="DR42" s="344">
        <f t="shared" si="114"/>
        <v>0.21089607227249574</v>
      </c>
      <c r="DS42" s="344">
        <f t="shared" si="114"/>
        <v>2.6873321871880851E-2</v>
      </c>
      <c r="DT42" s="344">
        <f t="shared" si="114"/>
        <v>7.3792570629142462E-2</v>
      </c>
      <c r="DU42" s="547">
        <f t="shared" si="114"/>
        <v>0.38235042273790376</v>
      </c>
      <c r="DV42" s="344">
        <f t="shared" si="114"/>
        <v>0.33165013158448264</v>
      </c>
      <c r="DW42" s="548">
        <f t="shared" si="114"/>
        <v>0.29344691269588541</v>
      </c>
      <c r="DX42" s="346">
        <f t="shared" si="114"/>
        <v>0.21224883048742527</v>
      </c>
      <c r="DY42" s="346">
        <f t="shared" si="114"/>
        <v>0.11345885033526493</v>
      </c>
      <c r="DZ42" s="346">
        <f t="shared" si="114"/>
        <v>7.9076755794817322E-2</v>
      </c>
      <c r="EA42" s="346">
        <f t="shared" si="114"/>
        <v>4.6702402793941111E-2</v>
      </c>
      <c r="EB42" s="346">
        <f t="shared" si="114"/>
        <v>3.8008075147731191E-2</v>
      </c>
      <c r="EC42" s="346">
        <f t="shared" si="114"/>
        <v>2.1891393708209028E-2</v>
      </c>
      <c r="ED42" s="346">
        <f t="shared" si="114"/>
        <v>4.0063727020291928E-3</v>
      </c>
      <c r="EE42" s="260"/>
      <c r="EF42"/>
      <c r="EG42"/>
      <c r="EH42"/>
      <c r="EI42"/>
      <c r="EJ42"/>
      <c r="EK42"/>
    </row>
    <row r="43" spans="1:141" s="116" customFormat="1">
      <c r="A43" s="133"/>
      <c r="B43" s="111"/>
      <c r="C43" s="111"/>
      <c r="D43" s="124"/>
      <c r="E43" s="123"/>
      <c r="F43" s="123"/>
      <c r="G43" s="146"/>
      <c r="H43" s="123"/>
      <c r="I43" s="123"/>
      <c r="J43" s="123"/>
      <c r="K43" s="146"/>
      <c r="L43" s="123"/>
      <c r="M43" s="123"/>
      <c r="N43" s="123"/>
      <c r="O43" s="146"/>
      <c r="P43" s="123"/>
      <c r="Q43" s="123"/>
      <c r="R43" s="123"/>
      <c r="S43" s="146"/>
      <c r="T43" s="123"/>
      <c r="U43" s="123"/>
      <c r="V43" s="123"/>
      <c r="W43" s="146"/>
      <c r="X43" s="123"/>
      <c r="Y43" s="123"/>
      <c r="Z43" s="123"/>
      <c r="AA43" s="146"/>
      <c r="AB43" s="123"/>
      <c r="AC43" s="123"/>
      <c r="AD43" s="123"/>
      <c r="AE43" s="146"/>
      <c r="AF43" s="123"/>
      <c r="AG43" s="123"/>
      <c r="AH43" s="123"/>
      <c r="AI43" s="146"/>
      <c r="AJ43" s="123"/>
      <c r="AK43" s="123"/>
      <c r="AL43" s="123"/>
      <c r="AM43" s="146"/>
      <c r="AN43" s="123"/>
      <c r="AO43" s="123"/>
      <c r="AP43" s="123"/>
      <c r="AQ43" s="146"/>
      <c r="AR43" s="123"/>
      <c r="AS43" s="123"/>
      <c r="AT43" s="123"/>
      <c r="AU43" s="146"/>
      <c r="AV43" s="123"/>
      <c r="AW43" s="123"/>
      <c r="AX43" s="123"/>
      <c r="AY43" s="146"/>
      <c r="AZ43" s="123"/>
      <c r="BA43" s="123"/>
      <c r="BB43" s="123"/>
      <c r="BC43" s="146"/>
      <c r="BD43" s="123"/>
      <c r="BE43" s="123"/>
      <c r="BF43" s="123"/>
      <c r="BG43" s="146"/>
      <c r="BH43" s="123"/>
      <c r="BI43" s="123"/>
      <c r="BJ43" s="123"/>
      <c r="BK43" s="146"/>
      <c r="BL43" s="123"/>
      <c r="BM43" s="123"/>
      <c r="BN43" s="123"/>
      <c r="BO43" s="146"/>
      <c r="BP43" s="123"/>
      <c r="BQ43" s="123"/>
      <c r="BR43" s="123"/>
      <c r="BS43" s="146"/>
      <c r="BT43" s="123"/>
      <c r="BU43" s="123"/>
      <c r="BV43" s="123"/>
      <c r="BW43" s="146"/>
      <c r="BX43" s="123"/>
      <c r="BY43" s="123"/>
      <c r="BZ43" s="123"/>
      <c r="CA43" s="146"/>
      <c r="CB43" s="123"/>
      <c r="CC43" s="123"/>
      <c r="CD43" s="123"/>
      <c r="CE43" s="146"/>
      <c r="CF43" s="123"/>
      <c r="CG43" s="123"/>
      <c r="CH43" s="123"/>
      <c r="CI43" s="146"/>
      <c r="CJ43" s="123"/>
      <c r="CK43" s="123"/>
      <c r="CL43" s="123"/>
      <c r="CM43" s="146"/>
      <c r="CN43" s="302"/>
      <c r="CO43" s="302"/>
      <c r="CP43" s="302"/>
      <c r="CQ43" s="146"/>
      <c r="CR43" s="302"/>
      <c r="CS43" s="302"/>
      <c r="CT43" s="302"/>
      <c r="CU43" s="303"/>
      <c r="CV43" s="302"/>
      <c r="CW43" s="302"/>
      <c r="CX43" s="302"/>
      <c r="CY43" s="303"/>
      <c r="DA43" s="123"/>
      <c r="DB43" s="123"/>
      <c r="DC43" s="123"/>
      <c r="DD43" s="123"/>
      <c r="DE43" s="123"/>
      <c r="DF43" s="123"/>
      <c r="DG43" s="123"/>
      <c r="DH43" s="123"/>
      <c r="DI43" s="123"/>
      <c r="DJ43" s="123"/>
      <c r="DK43" s="123"/>
      <c r="DL43" s="123"/>
      <c r="DM43" s="123"/>
      <c r="DN43" s="123"/>
      <c r="DO43" s="123"/>
      <c r="DP43" s="123"/>
      <c r="DQ43" s="123"/>
      <c r="DR43" s="123"/>
      <c r="DS43" s="123"/>
      <c r="DT43" s="123"/>
      <c r="DU43" s="549"/>
      <c r="DV43" s="123"/>
      <c r="DW43" s="546"/>
      <c r="DX43" s="302"/>
      <c r="DY43" s="302"/>
      <c r="DZ43" s="302"/>
      <c r="EA43" s="302"/>
      <c r="EB43" s="302"/>
      <c r="EC43" s="302"/>
      <c r="ED43" s="302"/>
      <c r="EE43" s="111"/>
      <c r="EF43"/>
      <c r="EG43"/>
      <c r="EH43"/>
      <c r="EI43"/>
      <c r="EJ43"/>
      <c r="EK43"/>
    </row>
    <row r="44" spans="1:141" s="271" customFormat="1">
      <c r="A44" s="270"/>
      <c r="B44" s="126" t="s">
        <v>286</v>
      </c>
      <c r="C44" s="126"/>
      <c r="D44" s="124"/>
      <c r="E44" s="123"/>
      <c r="F44" s="123"/>
      <c r="G44" s="146"/>
      <c r="H44" s="123"/>
      <c r="I44" s="123"/>
      <c r="J44" s="123"/>
      <c r="K44" s="146"/>
      <c r="L44" s="123"/>
      <c r="M44" s="123"/>
      <c r="N44" s="123"/>
      <c r="O44" s="146"/>
      <c r="P44" s="123"/>
      <c r="Q44" s="123"/>
      <c r="R44" s="123"/>
      <c r="S44" s="146"/>
      <c r="T44" s="123"/>
      <c r="U44" s="123"/>
      <c r="V44" s="123"/>
      <c r="W44" s="146"/>
      <c r="X44" s="123"/>
      <c r="Y44" s="123"/>
      <c r="Z44" s="123"/>
      <c r="AA44" s="146"/>
      <c r="AB44" s="123"/>
      <c r="AC44" s="123"/>
      <c r="AD44" s="123"/>
      <c r="AE44" s="146"/>
      <c r="AF44" s="123"/>
      <c r="AG44" s="123"/>
      <c r="AH44" s="123"/>
      <c r="AI44" s="146"/>
      <c r="AJ44" s="123"/>
      <c r="AK44" s="123"/>
      <c r="AL44" s="123"/>
      <c r="AM44" s="146"/>
      <c r="AN44" s="123"/>
      <c r="AO44" s="123"/>
      <c r="AP44" s="123"/>
      <c r="AQ44" s="146"/>
      <c r="AR44" s="123"/>
      <c r="AS44" s="123"/>
      <c r="AT44" s="123"/>
      <c r="AU44" s="146"/>
      <c r="AV44" s="123"/>
      <c r="AW44" s="123"/>
      <c r="AX44" s="123"/>
      <c r="AY44" s="146"/>
      <c r="AZ44" s="123"/>
      <c r="BA44" s="123"/>
      <c r="BB44" s="123"/>
      <c r="BC44" s="146"/>
      <c r="BD44" s="123"/>
      <c r="BE44" s="123"/>
      <c r="BF44" s="123"/>
      <c r="BG44" s="146"/>
      <c r="BH44" s="123"/>
      <c r="BI44" s="123"/>
      <c r="BJ44" s="123"/>
      <c r="BK44" s="146"/>
      <c r="BL44" s="123"/>
      <c r="BM44" s="123"/>
      <c r="BN44" s="123"/>
      <c r="BO44" s="146"/>
      <c r="BP44" s="123"/>
      <c r="BQ44" s="123"/>
      <c r="BR44" s="123"/>
      <c r="BS44" s="146"/>
      <c r="BT44" s="323">
        <v>0.125</v>
      </c>
      <c r="BU44" s="323">
        <v>0.125</v>
      </c>
      <c r="BV44" s="323">
        <v>0.125</v>
      </c>
      <c r="BW44" s="324">
        <v>0.125</v>
      </c>
      <c r="BX44" s="323">
        <v>0.14000000000000001</v>
      </c>
      <c r="BY44" s="323">
        <v>0.14000000000000001</v>
      </c>
      <c r="BZ44" s="323">
        <v>0.14000000000000001</v>
      </c>
      <c r="CA44" s="324">
        <v>0.14000000000000001</v>
      </c>
      <c r="CB44" s="323">
        <v>0.17</v>
      </c>
      <c r="CC44" s="323">
        <v>0.17</v>
      </c>
      <c r="CD44" s="323">
        <v>0.17</v>
      </c>
      <c r="CE44" s="324">
        <v>0.17</v>
      </c>
      <c r="CF44" s="323">
        <v>0.2</v>
      </c>
      <c r="CG44" s="323">
        <v>0.2</v>
      </c>
      <c r="CH44" s="323">
        <v>0.2</v>
      </c>
      <c r="CI44" s="324">
        <v>0.2</v>
      </c>
      <c r="CJ44" s="323">
        <v>0.25</v>
      </c>
      <c r="CK44" s="323">
        <v>0.25</v>
      </c>
      <c r="CL44" s="323">
        <v>0.25</v>
      </c>
      <c r="CM44" s="324">
        <v>0.25</v>
      </c>
      <c r="CN44" s="323">
        <v>0.3</v>
      </c>
      <c r="CO44" s="323">
        <v>0.3</v>
      </c>
      <c r="CP44" s="323">
        <v>0.3</v>
      </c>
      <c r="CQ44" s="324">
        <v>0.3</v>
      </c>
      <c r="CR44" s="323">
        <v>0.5</v>
      </c>
      <c r="CS44" s="323">
        <v>0.5</v>
      </c>
      <c r="CT44" s="323">
        <v>0.5</v>
      </c>
      <c r="CU44" s="324">
        <v>0.5</v>
      </c>
      <c r="CV44" s="323">
        <v>0.6</v>
      </c>
      <c r="CW44" s="323">
        <f>CV44</f>
        <v>0.6</v>
      </c>
      <c r="CX44" s="323">
        <f t="shared" ref="CX44:CY44" si="115">CW44</f>
        <v>0.6</v>
      </c>
      <c r="CY44" s="324">
        <f t="shared" si="115"/>
        <v>0.6</v>
      </c>
      <c r="DA44" s="123"/>
      <c r="DB44" s="123"/>
      <c r="DC44" s="123"/>
      <c r="DD44" s="123"/>
      <c r="DE44" s="123"/>
      <c r="DF44" s="123"/>
      <c r="DG44" s="123"/>
      <c r="DH44" s="123"/>
      <c r="DI44" s="123"/>
      <c r="DJ44" s="123"/>
      <c r="DK44" s="123"/>
      <c r="DL44" s="123"/>
      <c r="DM44" s="123"/>
      <c r="DN44" s="123"/>
      <c r="DO44" s="123"/>
      <c r="DP44" s="123"/>
      <c r="DQ44" s="123"/>
      <c r="DR44" s="123">
        <f>SUM(BT44:BW44)</f>
        <v>0.5</v>
      </c>
      <c r="DS44" s="123">
        <f>SUM(BX44:CA44)</f>
        <v>0.56000000000000005</v>
      </c>
      <c r="DT44" s="123">
        <f>SUM(CB44:CE44)</f>
        <v>0.68</v>
      </c>
      <c r="DU44" s="123">
        <f>SUM(CF44:CI44)</f>
        <v>0.8</v>
      </c>
      <c r="DV44" s="123">
        <f>SUM(CJ44:CM44)</f>
        <v>1</v>
      </c>
      <c r="DW44" s="123">
        <f>SUM(CN44:CQ44)</f>
        <v>1.2</v>
      </c>
      <c r="DX44" s="123">
        <f>SUM(CR44:CU44)</f>
        <v>2</v>
      </c>
      <c r="DY44" s="123">
        <f>SUM(CV44:CY44)</f>
        <v>2.4</v>
      </c>
      <c r="DZ44" s="323">
        <f>DY44+0.1</f>
        <v>2.5</v>
      </c>
      <c r="EA44" s="323">
        <f t="shared" ref="EA44:ED44" si="116">DZ44+0.1</f>
        <v>2.6</v>
      </c>
      <c r="EB44" s="323">
        <f t="shared" si="116"/>
        <v>2.7</v>
      </c>
      <c r="EC44" s="323">
        <f t="shared" si="116"/>
        <v>2.8000000000000003</v>
      </c>
      <c r="ED44" s="323">
        <f t="shared" si="116"/>
        <v>2.9000000000000004</v>
      </c>
      <c r="EE44" s="126"/>
      <c r="EF44"/>
      <c r="EG44"/>
      <c r="EH44"/>
      <c r="EI44"/>
      <c r="EJ44"/>
      <c r="EK44"/>
    </row>
    <row r="45" spans="1:141" s="265" customFormat="1">
      <c r="A45" s="270"/>
      <c r="B45" s="304" t="s">
        <v>240</v>
      </c>
      <c r="C45" s="260"/>
      <c r="D45" s="343"/>
      <c r="E45" s="344"/>
      <c r="F45" s="344"/>
      <c r="G45" s="345"/>
      <c r="H45" s="344"/>
      <c r="I45" s="344"/>
      <c r="J45" s="344"/>
      <c r="K45" s="345"/>
      <c r="L45" s="344"/>
      <c r="M45" s="344"/>
      <c r="N45" s="344"/>
      <c r="O45" s="345"/>
      <c r="P45" s="344"/>
      <c r="Q45" s="344"/>
      <c r="R45" s="344"/>
      <c r="S45" s="345"/>
      <c r="T45" s="344"/>
      <c r="U45" s="344"/>
      <c r="V45" s="344"/>
      <c r="W45" s="345"/>
      <c r="X45" s="344"/>
      <c r="Y45" s="344"/>
      <c r="Z45" s="344"/>
      <c r="AA45" s="345"/>
      <c r="AB45" s="344"/>
      <c r="AC45" s="344"/>
      <c r="AD45" s="344"/>
      <c r="AE45" s="345"/>
      <c r="AF45" s="344"/>
      <c r="AG45" s="344"/>
      <c r="AH45" s="344"/>
      <c r="AI45" s="345"/>
      <c r="AJ45" s="344"/>
      <c r="AK45" s="344"/>
      <c r="AL45" s="344"/>
      <c r="AM45" s="345"/>
      <c r="AN45" s="344"/>
      <c r="AO45" s="344"/>
      <c r="AP45" s="344"/>
      <c r="AQ45" s="345"/>
      <c r="AR45" s="344"/>
      <c r="AS45" s="344"/>
      <c r="AT45" s="344"/>
      <c r="AU45" s="345"/>
      <c r="AV45" s="344"/>
      <c r="AW45" s="344"/>
      <c r="AX45" s="344"/>
      <c r="AY45" s="345"/>
      <c r="AZ45" s="344"/>
      <c r="BA45" s="344"/>
      <c r="BB45" s="344"/>
      <c r="BC45" s="345"/>
      <c r="BD45" s="344"/>
      <c r="BE45" s="344"/>
      <c r="BF45" s="344"/>
      <c r="BG45" s="345"/>
      <c r="BH45" s="344"/>
      <c r="BI45" s="344"/>
      <c r="BJ45" s="344"/>
      <c r="BK45" s="345"/>
      <c r="BL45" s="344"/>
      <c r="BM45" s="344"/>
      <c r="BN45" s="344"/>
      <c r="BO45" s="345"/>
      <c r="BP45" s="344"/>
      <c r="BQ45" s="344"/>
      <c r="BR45" s="344"/>
      <c r="BS45" s="345"/>
      <c r="BT45" s="344"/>
      <c r="BU45" s="344"/>
      <c r="BV45" s="344"/>
      <c r="BW45" s="345"/>
      <c r="BX45" s="344">
        <f t="shared" ref="BX45:CY45" si="117">BX44/BT44-1</f>
        <v>0.12000000000000011</v>
      </c>
      <c r="BY45" s="344">
        <f t="shared" si="117"/>
        <v>0.12000000000000011</v>
      </c>
      <c r="BZ45" s="344">
        <f t="shared" si="117"/>
        <v>0.12000000000000011</v>
      </c>
      <c r="CA45" s="345">
        <f t="shared" si="117"/>
        <v>0.12000000000000011</v>
      </c>
      <c r="CB45" s="344">
        <f t="shared" si="117"/>
        <v>0.21428571428571419</v>
      </c>
      <c r="CC45" s="344">
        <f t="shared" si="117"/>
        <v>0.21428571428571419</v>
      </c>
      <c r="CD45" s="344">
        <f t="shared" si="117"/>
        <v>0.21428571428571419</v>
      </c>
      <c r="CE45" s="345">
        <f t="shared" si="117"/>
        <v>0.21428571428571419</v>
      </c>
      <c r="CF45" s="344">
        <f t="shared" si="117"/>
        <v>0.17647058823529416</v>
      </c>
      <c r="CG45" s="344">
        <f t="shared" si="117"/>
        <v>0.17647058823529416</v>
      </c>
      <c r="CH45" s="344">
        <f t="shared" si="117"/>
        <v>0.17647058823529416</v>
      </c>
      <c r="CI45" s="345">
        <f t="shared" si="117"/>
        <v>0.17647058823529416</v>
      </c>
      <c r="CJ45" s="344">
        <f t="shared" si="117"/>
        <v>0.25</v>
      </c>
      <c r="CK45" s="344">
        <f t="shared" si="117"/>
        <v>0.25</v>
      </c>
      <c r="CL45" s="344">
        <f t="shared" si="117"/>
        <v>0.25</v>
      </c>
      <c r="CM45" s="345">
        <f t="shared" si="117"/>
        <v>0.25</v>
      </c>
      <c r="CN45" s="346">
        <f t="shared" si="117"/>
        <v>0.19999999999999996</v>
      </c>
      <c r="CO45" s="346">
        <f t="shared" si="117"/>
        <v>0.19999999999999996</v>
      </c>
      <c r="CP45" s="346">
        <f t="shared" si="117"/>
        <v>0.19999999999999996</v>
      </c>
      <c r="CQ45" s="345">
        <f t="shared" si="117"/>
        <v>0.19999999999999996</v>
      </c>
      <c r="CR45" s="346">
        <f t="shared" si="117"/>
        <v>0.66666666666666674</v>
      </c>
      <c r="CS45" s="346">
        <f t="shared" si="117"/>
        <v>0.66666666666666674</v>
      </c>
      <c r="CT45" s="346">
        <f t="shared" si="117"/>
        <v>0.66666666666666674</v>
      </c>
      <c r="CU45" s="347">
        <f t="shared" si="117"/>
        <v>0.66666666666666674</v>
      </c>
      <c r="CV45" s="346">
        <f t="shared" si="117"/>
        <v>0.19999999999999996</v>
      </c>
      <c r="CW45" s="346">
        <f t="shared" si="117"/>
        <v>0.19999999999999996</v>
      </c>
      <c r="CX45" s="346">
        <f t="shared" si="117"/>
        <v>0.19999999999999996</v>
      </c>
      <c r="CY45" s="347">
        <f t="shared" si="117"/>
        <v>0.19999999999999996</v>
      </c>
      <c r="DA45" s="344"/>
      <c r="DB45" s="344"/>
      <c r="DC45" s="344"/>
      <c r="DD45" s="344"/>
      <c r="DE45" s="344"/>
      <c r="DF45" s="344"/>
      <c r="DG45" s="344"/>
      <c r="DH45" s="344"/>
      <c r="DI45" s="344"/>
      <c r="DJ45" s="344"/>
      <c r="DK45" s="344"/>
      <c r="DL45" s="344"/>
      <c r="DM45" s="344"/>
      <c r="DN45" s="344"/>
      <c r="DO45" s="344"/>
      <c r="DP45" s="344"/>
      <c r="DQ45" s="344"/>
      <c r="DR45" s="344"/>
      <c r="DS45" s="344">
        <f t="shared" ref="DS45:ED45" si="118">DS44/DR44-1</f>
        <v>0.12000000000000011</v>
      </c>
      <c r="DT45" s="344">
        <f t="shared" si="118"/>
        <v>0.21428571428571419</v>
      </c>
      <c r="DU45" s="547">
        <f t="shared" si="118"/>
        <v>0.17647058823529416</v>
      </c>
      <c r="DV45" s="344">
        <f t="shared" si="118"/>
        <v>0.25</v>
      </c>
      <c r="DW45" s="548">
        <f t="shared" si="118"/>
        <v>0.19999999999999996</v>
      </c>
      <c r="DX45" s="346">
        <f t="shared" si="118"/>
        <v>0.66666666666666674</v>
      </c>
      <c r="DY45" s="346">
        <f>DY44/DX44-1</f>
        <v>0.19999999999999996</v>
      </c>
      <c r="DZ45" s="346">
        <f t="shared" si="118"/>
        <v>4.1666666666666741E-2</v>
      </c>
      <c r="EA45" s="346">
        <f t="shared" si="118"/>
        <v>4.0000000000000036E-2</v>
      </c>
      <c r="EB45" s="346">
        <f t="shared" si="118"/>
        <v>3.8461538461538547E-2</v>
      </c>
      <c r="EC45" s="346">
        <f t="shared" si="118"/>
        <v>3.7037037037036979E-2</v>
      </c>
      <c r="ED45" s="346">
        <f t="shared" si="118"/>
        <v>3.5714285714285809E-2</v>
      </c>
      <c r="EE45" s="260"/>
      <c r="EF45"/>
      <c r="EG45"/>
      <c r="EH45"/>
      <c r="EI45"/>
      <c r="EJ45"/>
      <c r="EK45"/>
    </row>
    <row r="46" spans="1:141">
      <c r="A46" s="270"/>
      <c r="B46" s="305"/>
      <c r="C46" s="111"/>
      <c r="D46" s="124"/>
      <c r="E46" s="123"/>
      <c r="F46" s="123"/>
      <c r="G46" s="146"/>
      <c r="H46" s="123"/>
      <c r="I46" s="123"/>
      <c r="J46" s="123"/>
      <c r="K46" s="146"/>
      <c r="L46" s="123"/>
      <c r="M46" s="123"/>
      <c r="N46" s="123"/>
      <c r="O46" s="146"/>
      <c r="P46" s="123"/>
      <c r="Q46" s="123"/>
      <c r="R46" s="123"/>
      <c r="S46" s="146"/>
      <c r="T46" s="123"/>
      <c r="U46" s="123"/>
      <c r="V46" s="123"/>
      <c r="W46" s="146"/>
      <c r="X46" s="123"/>
      <c r="Y46" s="123"/>
      <c r="Z46" s="123"/>
      <c r="AA46" s="146"/>
      <c r="AB46" s="123"/>
      <c r="AC46" s="123"/>
      <c r="AD46" s="123"/>
      <c r="AE46" s="146"/>
      <c r="AF46" s="123"/>
      <c r="AG46" s="123"/>
      <c r="AH46" s="123"/>
      <c r="AI46" s="146"/>
      <c r="AJ46" s="123"/>
      <c r="AK46" s="123"/>
      <c r="AL46" s="123"/>
      <c r="AM46" s="146"/>
      <c r="AN46" s="123"/>
      <c r="AO46" s="123"/>
      <c r="AP46" s="123"/>
      <c r="AQ46" s="146"/>
      <c r="AR46" s="123"/>
      <c r="AS46" s="123"/>
      <c r="AT46" s="123"/>
      <c r="AU46" s="146"/>
      <c r="AV46" s="123"/>
      <c r="AW46" s="123"/>
      <c r="AX46" s="123"/>
      <c r="AY46" s="146"/>
      <c r="AZ46" s="123"/>
      <c r="BA46" s="123"/>
      <c r="BB46" s="123"/>
      <c r="BC46" s="146"/>
      <c r="BD46" s="123"/>
      <c r="BE46" s="123"/>
      <c r="BF46" s="123"/>
      <c r="BG46" s="146"/>
      <c r="BH46" s="123"/>
      <c r="BI46" s="123"/>
      <c r="BJ46" s="123"/>
      <c r="BK46" s="146"/>
      <c r="BL46" s="123"/>
      <c r="BM46" s="123"/>
      <c r="BN46" s="123"/>
      <c r="BO46" s="146"/>
      <c r="BP46" s="123"/>
      <c r="BQ46" s="123"/>
      <c r="BR46" s="123"/>
      <c r="BS46" s="146"/>
      <c r="BT46" s="123"/>
      <c r="BU46" s="123"/>
      <c r="BV46" s="123"/>
      <c r="BW46" s="146"/>
      <c r="BX46" s="123"/>
      <c r="BY46" s="123"/>
      <c r="BZ46" s="123"/>
      <c r="CA46" s="146"/>
      <c r="CB46" s="123"/>
      <c r="CC46" s="123"/>
      <c r="CD46" s="123"/>
      <c r="CE46" s="146"/>
      <c r="CF46" s="123"/>
      <c r="CG46" s="123"/>
      <c r="CH46" s="123"/>
      <c r="CI46" s="146"/>
      <c r="CJ46" s="123"/>
      <c r="CK46" s="123"/>
      <c r="CL46" s="123"/>
      <c r="CM46" s="146"/>
      <c r="CN46" s="302"/>
      <c r="CO46" s="302"/>
      <c r="CP46" s="302"/>
      <c r="CQ46" s="146"/>
      <c r="CR46" s="302"/>
      <c r="CS46" s="302"/>
      <c r="CT46" s="302"/>
      <c r="CU46" s="303"/>
      <c r="CV46" s="302"/>
      <c r="CW46" s="302"/>
      <c r="CX46" s="302"/>
      <c r="CY46" s="303"/>
      <c r="DA46" s="123"/>
      <c r="DB46" s="123"/>
      <c r="DC46" s="123"/>
      <c r="DD46" s="123"/>
      <c r="DE46" s="123"/>
      <c r="DF46" s="123"/>
      <c r="DG46" s="123"/>
      <c r="DH46" s="123"/>
      <c r="DI46" s="123"/>
      <c r="DJ46" s="123"/>
      <c r="DK46" s="123"/>
      <c r="DL46" s="123"/>
      <c r="DM46" s="123"/>
      <c r="DN46" s="123"/>
      <c r="DO46" s="123"/>
      <c r="DP46" s="123"/>
      <c r="DQ46" s="123"/>
      <c r="DR46" s="123"/>
      <c r="DS46" s="123"/>
      <c r="DT46" s="123"/>
      <c r="DU46" s="549"/>
      <c r="DV46" s="123"/>
      <c r="DW46" s="546"/>
      <c r="DX46" s="302"/>
      <c r="DY46" s="302"/>
      <c r="DZ46" s="302"/>
      <c r="EA46" s="302"/>
      <c r="EB46" s="302"/>
      <c r="EC46" s="302"/>
      <c r="ED46" s="302"/>
      <c r="EE46" s="111"/>
    </row>
    <row r="47" spans="1:141" s="137" customFormat="1">
      <c r="A47" s="270"/>
      <c r="B47" s="139" t="s">
        <v>287</v>
      </c>
      <c r="C47" s="199"/>
      <c r="D47" s="357"/>
      <c r="E47" s="233"/>
      <c r="F47" s="233"/>
      <c r="G47" s="232"/>
      <c r="H47" s="233"/>
      <c r="I47" s="233"/>
      <c r="J47" s="233"/>
      <c r="K47" s="232"/>
      <c r="L47" s="233"/>
      <c r="M47" s="233"/>
      <c r="N47" s="233"/>
      <c r="O47" s="232"/>
      <c r="P47" s="233"/>
      <c r="Q47" s="233"/>
      <c r="R47" s="233"/>
      <c r="S47" s="232"/>
      <c r="T47" s="233"/>
      <c r="U47" s="233"/>
      <c r="V47" s="233"/>
      <c r="W47" s="232"/>
      <c r="X47" s="233"/>
      <c r="Y47" s="233"/>
      <c r="Z47" s="233"/>
      <c r="AA47" s="232"/>
      <c r="AB47" s="233"/>
      <c r="AC47" s="233"/>
      <c r="AD47" s="233"/>
      <c r="AE47" s="232"/>
      <c r="AF47" s="233"/>
      <c r="AG47" s="233"/>
      <c r="AH47" s="233"/>
      <c r="AI47" s="232"/>
      <c r="AJ47" s="233"/>
      <c r="AK47" s="233"/>
      <c r="AL47" s="233"/>
      <c r="AM47" s="232"/>
      <c r="AN47" s="233"/>
      <c r="AO47" s="233"/>
      <c r="AP47" s="233"/>
      <c r="AQ47" s="232"/>
      <c r="AR47" s="233"/>
      <c r="AS47" s="233"/>
      <c r="AT47" s="233"/>
      <c r="AU47" s="232"/>
      <c r="AV47" s="233"/>
      <c r="AW47" s="233"/>
      <c r="AX47" s="233"/>
      <c r="AY47" s="232"/>
      <c r="AZ47" s="233"/>
      <c r="BA47" s="233"/>
      <c r="BB47" s="233"/>
      <c r="BC47" s="232"/>
      <c r="BD47" s="233"/>
      <c r="BE47" s="233"/>
      <c r="BF47" s="233"/>
      <c r="BG47" s="232"/>
      <c r="BH47" s="233"/>
      <c r="BI47" s="233"/>
      <c r="BJ47" s="233"/>
      <c r="BK47" s="232"/>
      <c r="BL47" s="233"/>
      <c r="BM47" s="233"/>
      <c r="BN47" s="233"/>
      <c r="BO47" s="232"/>
      <c r="BP47" s="233"/>
      <c r="BQ47" s="233"/>
      <c r="BR47" s="233"/>
      <c r="BS47" s="232"/>
      <c r="BT47" s="233">
        <f>BT48*BT49</f>
        <v>27.439126259999998</v>
      </c>
      <c r="BU47" s="233">
        <f>BU48*BU49</f>
        <v>72.613573759999994</v>
      </c>
      <c r="BV47" s="233">
        <f>BV48*BV49</f>
        <v>94.199320019999988</v>
      </c>
      <c r="BW47" s="232">
        <f>DR47-BV47-BU47-BT47</f>
        <v>84.88464931</v>
      </c>
      <c r="BX47" s="233">
        <f>BX48*BX49</f>
        <v>52.504194539999993</v>
      </c>
      <c r="BY47" s="233">
        <f>BY48*BY49</f>
        <v>70.004639220000001</v>
      </c>
      <c r="BZ47" s="233">
        <f>BZ48*BZ49</f>
        <v>50.131740599999993</v>
      </c>
      <c r="CA47" s="232">
        <f>DS47-BZ47-BY47-BX47</f>
        <v>50.175480010000022</v>
      </c>
      <c r="CB47" s="358">
        <f>CB48*CB49</f>
        <v>200.13866744000001</v>
      </c>
      <c r="CC47" s="358">
        <f>CC48*CC49</f>
        <v>640.00000220000004</v>
      </c>
      <c r="CD47" s="233"/>
      <c r="CE47" s="232"/>
      <c r="CF47" s="358"/>
      <c r="CG47" s="358">
        <f>-CG143</f>
        <v>156</v>
      </c>
      <c r="CH47" s="358">
        <f>CH48*CH49</f>
        <v>103.38236634</v>
      </c>
      <c r="CI47" s="232">
        <f>DU47-CH47-CG47-CF47</f>
        <v>96.471894939999999</v>
      </c>
      <c r="CJ47" s="358">
        <f>-CJ143</f>
        <v>112.4</v>
      </c>
      <c r="CK47" s="358">
        <f>-CK143</f>
        <v>122.4</v>
      </c>
      <c r="CL47" s="358">
        <f>CL48*CL49</f>
        <v>148.22915616</v>
      </c>
      <c r="CM47" s="232">
        <f>DV47-CL47-CK47-CJ47</f>
        <v>104.43380114000001</v>
      </c>
      <c r="CN47" s="358">
        <f>CN48*CN49</f>
        <v>154.7371134</v>
      </c>
      <c r="CO47" s="358">
        <f>CO48*CO49</f>
        <v>250.20504431999998</v>
      </c>
      <c r="CP47" s="358">
        <f>CP48*CP49</f>
        <v>152.74920800000001</v>
      </c>
      <c r="CQ47" s="232">
        <f>DW47-CP47-CO47-CN47</f>
        <v>101.16142174000007</v>
      </c>
      <c r="CR47" s="358">
        <f>CR48*CR49</f>
        <v>127.4587265</v>
      </c>
      <c r="CS47" s="358">
        <f>CS48*CS49</f>
        <v>126.87908218</v>
      </c>
      <c r="CT47" s="358">
        <f>CT48*CT49</f>
        <v>77.818165100000016</v>
      </c>
      <c r="CU47" s="364">
        <v>122</v>
      </c>
      <c r="CV47" s="360">
        <v>100</v>
      </c>
      <c r="CW47" s="360">
        <f>CV47</f>
        <v>100</v>
      </c>
      <c r="CX47" s="360">
        <f>CW47</f>
        <v>100</v>
      </c>
      <c r="CY47" s="364">
        <f>CX47</f>
        <v>100</v>
      </c>
      <c r="DA47" s="233"/>
      <c r="DB47" s="233"/>
      <c r="DC47" s="233"/>
      <c r="DD47" s="233"/>
      <c r="DE47" s="233"/>
      <c r="DF47" s="233"/>
      <c r="DG47" s="233"/>
      <c r="DH47" s="233"/>
      <c r="DI47" s="233"/>
      <c r="DJ47" s="233"/>
      <c r="DK47" s="233"/>
      <c r="DL47" s="233"/>
      <c r="DM47" s="233"/>
      <c r="DN47" s="233"/>
      <c r="DO47" s="233"/>
      <c r="DP47" s="233"/>
      <c r="DQ47" s="233"/>
      <c r="DR47" s="550">
        <f t="shared" ref="DR47:DW47" si="119">DR48*DR49</f>
        <v>279.13666934999998</v>
      </c>
      <c r="DS47" s="550">
        <f t="shared" si="119"/>
        <v>222.81605437000002</v>
      </c>
      <c r="DT47" s="550">
        <f t="shared" si="119"/>
        <v>840.06563263999999</v>
      </c>
      <c r="DU47" s="550">
        <f t="shared" si="119"/>
        <v>355.85426128</v>
      </c>
      <c r="DV47" s="550">
        <f t="shared" si="119"/>
        <v>487.46295730000003</v>
      </c>
      <c r="DW47" s="550">
        <f t="shared" si="119"/>
        <v>658.85278746000006</v>
      </c>
      <c r="DX47" s="358">
        <f>SUM(CR47:CU47)</f>
        <v>454.15597378000001</v>
      </c>
      <c r="DY47" s="358">
        <f>SUM(CV47:CY47)</f>
        <v>400</v>
      </c>
      <c r="DZ47" s="360">
        <f>DY47</f>
        <v>400</v>
      </c>
      <c r="EA47" s="360">
        <f>DZ47</f>
        <v>400</v>
      </c>
      <c r="EB47" s="360">
        <f>EA47</f>
        <v>400</v>
      </c>
      <c r="EC47" s="360">
        <f>EB47</f>
        <v>400</v>
      </c>
      <c r="ED47" s="360">
        <f>EC47</f>
        <v>400</v>
      </c>
      <c r="EE47" s="199"/>
      <c r="EF47"/>
      <c r="EG47"/>
      <c r="EH47"/>
      <c r="EI47"/>
      <c r="EJ47"/>
      <c r="EK47"/>
    </row>
    <row r="48" spans="1:141" s="137" customFormat="1">
      <c r="A48" s="270"/>
      <c r="B48" s="306" t="s">
        <v>288</v>
      </c>
      <c r="C48" s="199"/>
      <c r="D48" s="357"/>
      <c r="E48" s="233"/>
      <c r="F48" s="233"/>
      <c r="G48" s="232"/>
      <c r="H48" s="233"/>
      <c r="I48" s="233"/>
      <c r="J48" s="233"/>
      <c r="K48" s="232"/>
      <c r="L48" s="233"/>
      <c r="M48" s="233"/>
      <c r="N48" s="233"/>
      <c r="O48" s="232"/>
      <c r="P48" s="233"/>
      <c r="Q48" s="233"/>
      <c r="R48" s="233"/>
      <c r="S48" s="232"/>
      <c r="T48" s="233"/>
      <c r="U48" s="233"/>
      <c r="V48" s="233"/>
      <c r="W48" s="232"/>
      <c r="X48" s="233"/>
      <c r="Y48" s="233"/>
      <c r="Z48" s="233"/>
      <c r="AA48" s="232"/>
      <c r="AB48" s="233"/>
      <c r="AC48" s="233"/>
      <c r="AD48" s="233"/>
      <c r="AE48" s="232"/>
      <c r="AF48" s="233"/>
      <c r="AG48" s="233"/>
      <c r="AH48" s="233"/>
      <c r="AI48" s="232"/>
      <c r="AJ48" s="233"/>
      <c r="AK48" s="233"/>
      <c r="AL48" s="233"/>
      <c r="AM48" s="232"/>
      <c r="AN48" s="233"/>
      <c r="AO48" s="233"/>
      <c r="AP48" s="233"/>
      <c r="AQ48" s="232"/>
      <c r="AR48" s="233"/>
      <c r="AS48" s="233"/>
      <c r="AT48" s="233"/>
      <c r="AU48" s="232"/>
      <c r="AV48" s="233"/>
      <c r="AW48" s="233"/>
      <c r="AX48" s="233"/>
      <c r="AY48" s="232"/>
      <c r="AZ48" s="233"/>
      <c r="BA48" s="233"/>
      <c r="BB48" s="233"/>
      <c r="BC48" s="232"/>
      <c r="BD48" s="233"/>
      <c r="BE48" s="233"/>
      <c r="BF48" s="233"/>
      <c r="BG48" s="232"/>
      <c r="BH48" s="233"/>
      <c r="BI48" s="233"/>
      <c r="BJ48" s="233"/>
      <c r="BK48" s="232"/>
      <c r="BL48" s="233"/>
      <c r="BM48" s="233"/>
      <c r="BN48" s="233"/>
      <c r="BO48" s="232"/>
      <c r="BP48" s="233"/>
      <c r="BQ48" s="233"/>
      <c r="BR48" s="233"/>
      <c r="BS48" s="232"/>
      <c r="BT48" s="362">
        <v>0.52899799999999997</v>
      </c>
      <c r="BU48" s="362">
        <v>1.459276</v>
      </c>
      <c r="BV48" s="362">
        <v>2.094249</v>
      </c>
      <c r="BW48" s="232">
        <f>DR48-BV48-BU48-BT48</f>
        <v>2.0999059999999994</v>
      </c>
      <c r="BX48" s="362">
        <v>1.151913</v>
      </c>
      <c r="BY48" s="362">
        <v>1.7908580000000001</v>
      </c>
      <c r="BZ48" s="362">
        <v>1.2573799999999999</v>
      </c>
      <c r="CA48" s="232">
        <f>DS48-BZ48-BY48-BX48</f>
        <v>1.1572920000000004</v>
      </c>
      <c r="CB48" s="360">
        <v>3.670922</v>
      </c>
      <c r="CC48" s="360">
        <v>11.862836</v>
      </c>
      <c r="CD48" s="233"/>
      <c r="CE48" s="232"/>
      <c r="CF48" s="360"/>
      <c r="CG48" s="360">
        <v>1.1528320000000001</v>
      </c>
      <c r="CH48" s="360">
        <v>1.0282709999999999</v>
      </c>
      <c r="CI48" s="232">
        <f>DU48-CH48-CG48-CF48</f>
        <v>1.6240110000000003</v>
      </c>
      <c r="CJ48" s="360">
        <v>1.0302610000000001</v>
      </c>
      <c r="CK48" s="360">
        <v>1.065912</v>
      </c>
      <c r="CL48" s="360">
        <v>1.429128</v>
      </c>
      <c r="CM48" s="232">
        <f>DV48-CL48-CK48-CJ48</f>
        <v>0.84186399999999995</v>
      </c>
      <c r="CN48" s="360">
        <v>1.436742</v>
      </c>
      <c r="CO48" s="360">
        <v>2.2565390000000001</v>
      </c>
      <c r="CP48" s="360">
        <v>1.3222750000000001</v>
      </c>
      <c r="CQ48" s="232">
        <f>DW48-CP48-CO48-CN48</f>
        <v>0.80161499999999974</v>
      </c>
      <c r="CR48" s="360">
        <v>0.89696500000000001</v>
      </c>
      <c r="CS48" s="360">
        <v>0.89610199999999995</v>
      </c>
      <c r="CT48" s="360">
        <v>0.52740200000000004</v>
      </c>
      <c r="CU48" s="364">
        <v>0.7</v>
      </c>
      <c r="CV48" s="358">
        <f>CV47/CV49</f>
        <v>0.55984348127612937</v>
      </c>
      <c r="CW48" s="358">
        <f>CW47/CW49</f>
        <v>0.5462545181477122</v>
      </c>
      <c r="CX48" s="358">
        <f>CX47/CX49</f>
        <v>0.53299539706458343</v>
      </c>
      <c r="CY48" s="359">
        <f>CY47/CY49</f>
        <v>0.52005811184011841</v>
      </c>
      <c r="DA48" s="233"/>
      <c r="DB48" s="233"/>
      <c r="DC48" s="233"/>
      <c r="DD48" s="233"/>
      <c r="DE48" s="233"/>
      <c r="DF48" s="233"/>
      <c r="DG48" s="233"/>
      <c r="DH48" s="233"/>
      <c r="DI48" s="233"/>
      <c r="DJ48" s="233"/>
      <c r="DK48" s="233"/>
      <c r="DL48" s="233"/>
      <c r="DM48" s="233"/>
      <c r="DN48" s="233"/>
      <c r="DO48" s="233"/>
      <c r="DP48" s="233"/>
      <c r="DQ48" s="233"/>
      <c r="DR48" s="551">
        <v>6.182429</v>
      </c>
      <c r="DS48" s="551">
        <v>5.357443</v>
      </c>
      <c r="DT48" s="552">
        <v>15.533758000000001</v>
      </c>
      <c r="DU48" s="552">
        <v>3.8051140000000001</v>
      </c>
      <c r="DV48" s="553">
        <v>4.367165</v>
      </c>
      <c r="DW48" s="553">
        <v>5.8171710000000001</v>
      </c>
      <c r="DX48" s="358">
        <f>SUM(CR48:CU48)</f>
        <v>3.0204690000000003</v>
      </c>
      <c r="DY48" s="358">
        <f>SUM(CV48:CY48)</f>
        <v>2.1591515083285433</v>
      </c>
      <c r="DZ48" s="358">
        <f>DZ47/DZ49</f>
        <v>1.96374608965065</v>
      </c>
      <c r="EA48" s="358">
        <f>EA47/EA49</f>
        <v>1.7860250611146238</v>
      </c>
      <c r="EB48" s="358">
        <f>EB47/EB49</f>
        <v>1.6243879673349093</v>
      </c>
      <c r="EC48" s="358">
        <f>EC47/EC49</f>
        <v>1.4773791957743956</v>
      </c>
      <c r="ED48" s="358">
        <f>ED47/ED49</f>
        <v>1.3436748683185675</v>
      </c>
      <c r="EE48" s="199"/>
      <c r="EF48"/>
      <c r="EG48"/>
      <c r="EH48"/>
      <c r="EI48"/>
      <c r="EJ48"/>
      <c r="EK48"/>
    </row>
    <row r="49" spans="1:141" s="271" customFormat="1">
      <c r="A49" s="270"/>
      <c r="B49" s="365" t="s">
        <v>289</v>
      </c>
      <c r="C49" s="126"/>
      <c r="D49" s="124"/>
      <c r="E49" s="123"/>
      <c r="F49" s="123"/>
      <c r="G49" s="146"/>
      <c r="H49" s="123"/>
      <c r="I49" s="123"/>
      <c r="J49" s="123"/>
      <c r="K49" s="146"/>
      <c r="L49" s="123"/>
      <c r="M49" s="123"/>
      <c r="N49" s="123"/>
      <c r="O49" s="146"/>
      <c r="P49" s="123"/>
      <c r="Q49" s="123"/>
      <c r="R49" s="123"/>
      <c r="S49" s="146"/>
      <c r="T49" s="123"/>
      <c r="U49" s="123"/>
      <c r="V49" s="123"/>
      <c r="W49" s="146"/>
      <c r="X49" s="123"/>
      <c r="Y49" s="123"/>
      <c r="Z49" s="123"/>
      <c r="AA49" s="146"/>
      <c r="AB49" s="123"/>
      <c r="AC49" s="123"/>
      <c r="AD49" s="123"/>
      <c r="AE49" s="146"/>
      <c r="AF49" s="123"/>
      <c r="AG49" s="123"/>
      <c r="AH49" s="123"/>
      <c r="AI49" s="146"/>
      <c r="AJ49" s="123"/>
      <c r="AK49" s="123"/>
      <c r="AL49" s="123"/>
      <c r="AM49" s="146"/>
      <c r="AN49" s="123"/>
      <c r="AO49" s="123"/>
      <c r="AP49" s="123"/>
      <c r="AQ49" s="146"/>
      <c r="AR49" s="123"/>
      <c r="AS49" s="123"/>
      <c r="AT49" s="123"/>
      <c r="AU49" s="146"/>
      <c r="AV49" s="123"/>
      <c r="AW49" s="123"/>
      <c r="AX49" s="123"/>
      <c r="AY49" s="146"/>
      <c r="AZ49" s="123"/>
      <c r="BA49" s="123"/>
      <c r="BB49" s="123"/>
      <c r="BC49" s="146"/>
      <c r="BD49" s="123"/>
      <c r="BE49" s="123"/>
      <c r="BF49" s="123"/>
      <c r="BG49" s="146"/>
      <c r="BH49" s="123"/>
      <c r="BI49" s="123"/>
      <c r="BJ49" s="123"/>
      <c r="BK49" s="146"/>
      <c r="BL49" s="123"/>
      <c r="BM49" s="123"/>
      <c r="BN49" s="123"/>
      <c r="BO49" s="146"/>
      <c r="BP49" s="123"/>
      <c r="BQ49" s="123"/>
      <c r="BR49" s="123"/>
      <c r="BS49" s="146"/>
      <c r="BT49" s="323">
        <v>51.87</v>
      </c>
      <c r="BU49" s="323">
        <v>49.76</v>
      </c>
      <c r="BV49" s="323">
        <v>44.98</v>
      </c>
      <c r="BW49" s="146">
        <f>BW47/BW48</f>
        <v>40.423070989844319</v>
      </c>
      <c r="BX49" s="323">
        <v>45.58</v>
      </c>
      <c r="BY49" s="323">
        <v>39.090000000000003</v>
      </c>
      <c r="BZ49" s="323">
        <v>39.869999999999997</v>
      </c>
      <c r="CA49" s="146">
        <f>CA47/CA48</f>
        <v>43.355937835913501</v>
      </c>
      <c r="CB49" s="361">
        <v>54.52</v>
      </c>
      <c r="CC49" s="361">
        <v>53.95</v>
      </c>
      <c r="CD49" s="123"/>
      <c r="CE49" s="146"/>
      <c r="CF49" s="361"/>
      <c r="CG49" s="361">
        <v>87.16</v>
      </c>
      <c r="CH49" s="361">
        <v>100.54</v>
      </c>
      <c r="CI49" s="146">
        <f>CI47/CI48</f>
        <v>59.403473831150144</v>
      </c>
      <c r="CJ49" s="361">
        <v>109.09</v>
      </c>
      <c r="CK49" s="361">
        <v>114.86</v>
      </c>
      <c r="CL49" s="361">
        <v>103.72</v>
      </c>
      <c r="CM49" s="146">
        <f>CM47/CM48</f>
        <v>124.05067937339049</v>
      </c>
      <c r="CN49" s="361">
        <v>107.7</v>
      </c>
      <c r="CO49" s="361">
        <v>110.88</v>
      </c>
      <c r="CP49" s="361">
        <v>115.52</v>
      </c>
      <c r="CQ49" s="146">
        <f>CQ47/CQ48</f>
        <v>126.19701694703829</v>
      </c>
      <c r="CR49" s="361">
        <v>142.1</v>
      </c>
      <c r="CS49" s="361">
        <v>141.59</v>
      </c>
      <c r="CT49" s="361">
        <v>147.55000000000001</v>
      </c>
      <c r="CU49" s="604">
        <f>CU47/CU48</f>
        <v>174.28571428571431</v>
      </c>
      <c r="CV49" s="363">
        <f>CU49*(1+DCF!$E$35/4)</f>
        <v>178.62135283250248</v>
      </c>
      <c r="CW49" s="363">
        <f>CV49*(1+DCF!$E$35/4)</f>
        <v>183.06484738851915</v>
      </c>
      <c r="CX49" s="363">
        <f>CW49*(1+DCF!$E$35/4)</f>
        <v>187.61888104613956</v>
      </c>
      <c r="CY49" s="585">
        <f>CX49*(1+DCF!$E$35/4)</f>
        <v>192.28620364399396</v>
      </c>
      <c r="DA49" s="123"/>
      <c r="DB49" s="123"/>
      <c r="DC49" s="123"/>
      <c r="DD49" s="123"/>
      <c r="DE49" s="123"/>
      <c r="DF49" s="123"/>
      <c r="DG49" s="123"/>
      <c r="DH49" s="123"/>
      <c r="DI49" s="123"/>
      <c r="DJ49" s="123"/>
      <c r="DK49" s="123"/>
      <c r="DL49" s="123"/>
      <c r="DM49" s="123"/>
      <c r="DN49" s="123"/>
      <c r="DO49" s="123"/>
      <c r="DP49" s="123"/>
      <c r="DQ49" s="123"/>
      <c r="DR49" s="554">
        <v>45.15</v>
      </c>
      <c r="DS49" s="554">
        <v>41.59</v>
      </c>
      <c r="DT49" s="555">
        <v>54.08</v>
      </c>
      <c r="DU49" s="555">
        <v>93.52</v>
      </c>
      <c r="DV49" s="323">
        <v>111.62</v>
      </c>
      <c r="DW49" s="323">
        <v>113.26</v>
      </c>
      <c r="DX49" s="556">
        <f>DX47/DX48</f>
        <v>150.35942225528552</v>
      </c>
      <c r="DY49" s="556">
        <f>DY47/DY48</f>
        <v>185.25795825678333</v>
      </c>
      <c r="DZ49" s="363">
        <f>DY49*(1+DCF!$E$35)</f>
        <v>203.69232158275611</v>
      </c>
      <c r="EA49" s="363">
        <f>DZ49*(1+DCF!$E$35)</f>
        <v>223.96102311709316</v>
      </c>
      <c r="EB49" s="363">
        <f>EA49*(1+DCF!$E$35)</f>
        <v>246.24659135850993</v>
      </c>
      <c r="EC49" s="363">
        <f>EB49*(1+DCF!$E$35)</f>
        <v>270.7497175701954</v>
      </c>
      <c r="ED49" s="363">
        <f>EC49*(1+DCF!$E$35)</f>
        <v>297.69106309218051</v>
      </c>
      <c r="EE49" s="126"/>
      <c r="EF49"/>
      <c r="EG49"/>
      <c r="EH49"/>
      <c r="EI49"/>
      <c r="EJ49"/>
      <c r="EK49"/>
    </row>
    <row r="50" spans="1:141">
      <c r="A50" s="133"/>
      <c r="B50" s="307"/>
      <c r="C50" s="111"/>
      <c r="D50" s="124"/>
      <c r="E50" s="123"/>
      <c r="F50" s="123"/>
      <c r="G50" s="146"/>
      <c r="H50" s="123"/>
      <c r="I50" s="123"/>
      <c r="J50" s="123"/>
      <c r="K50" s="146"/>
      <c r="L50" s="123"/>
      <c r="M50" s="123"/>
      <c r="N50" s="123"/>
      <c r="O50" s="146"/>
      <c r="P50" s="123"/>
      <c r="Q50" s="123"/>
      <c r="R50" s="123"/>
      <c r="S50" s="146"/>
      <c r="T50" s="123"/>
      <c r="U50" s="123"/>
      <c r="V50" s="123"/>
      <c r="W50" s="146"/>
      <c r="X50" s="123"/>
      <c r="Y50" s="123"/>
      <c r="Z50" s="123"/>
      <c r="AA50" s="146"/>
      <c r="AB50" s="123"/>
      <c r="AC50" s="123"/>
      <c r="AD50" s="123"/>
      <c r="AE50" s="146"/>
      <c r="AF50" s="123"/>
      <c r="AG50" s="123"/>
      <c r="AH50" s="123"/>
      <c r="AI50" s="146"/>
      <c r="AJ50" s="123"/>
      <c r="AK50" s="123"/>
      <c r="AL50" s="123"/>
      <c r="AM50" s="146"/>
      <c r="AN50" s="123"/>
      <c r="AO50" s="123"/>
      <c r="AP50" s="123"/>
      <c r="AQ50" s="146"/>
      <c r="AR50" s="123"/>
      <c r="AS50" s="123"/>
      <c r="AT50" s="123"/>
      <c r="AU50" s="146"/>
      <c r="AV50" s="123"/>
      <c r="AW50" s="123"/>
      <c r="AX50" s="123"/>
      <c r="AY50" s="146"/>
      <c r="AZ50" s="123"/>
      <c r="BA50" s="123"/>
      <c r="BB50" s="123"/>
      <c r="BC50" s="146"/>
      <c r="BD50" s="123"/>
      <c r="BE50" s="123"/>
      <c r="BF50" s="123"/>
      <c r="BG50" s="146"/>
      <c r="BH50" s="123"/>
      <c r="BI50" s="123"/>
      <c r="BJ50" s="123"/>
      <c r="BK50" s="146"/>
      <c r="BL50" s="123"/>
      <c r="BM50" s="123"/>
      <c r="BN50" s="123"/>
      <c r="BO50" s="146"/>
      <c r="BP50" s="123"/>
      <c r="BQ50" s="123"/>
      <c r="BR50" s="123"/>
      <c r="BS50" s="146"/>
      <c r="BT50" s="123"/>
      <c r="BU50" s="123"/>
      <c r="BV50" s="123"/>
      <c r="BW50" s="146"/>
      <c r="BX50" s="123"/>
      <c r="BY50" s="123"/>
      <c r="BZ50" s="123"/>
      <c r="CA50" s="146"/>
      <c r="CB50" s="123"/>
      <c r="CC50" s="123"/>
      <c r="CD50" s="123"/>
      <c r="CE50" s="146"/>
      <c r="CF50" s="123"/>
      <c r="CG50" s="123"/>
      <c r="CH50" s="123"/>
      <c r="CI50" s="146"/>
      <c r="CJ50" s="123"/>
      <c r="CK50" s="123"/>
      <c r="CL50" s="123"/>
      <c r="CM50" s="146"/>
      <c r="CN50" s="302"/>
      <c r="CO50" s="302"/>
      <c r="CP50" s="302"/>
      <c r="CQ50" s="146"/>
      <c r="CR50" s="302"/>
      <c r="CS50" s="302"/>
      <c r="CT50" s="302"/>
      <c r="CU50" s="303"/>
      <c r="CV50" s="302"/>
      <c r="CW50" s="302"/>
      <c r="CX50" s="302"/>
      <c r="CY50" s="303"/>
      <c r="DA50" s="123"/>
      <c r="DB50" s="123"/>
      <c r="DC50" s="123"/>
      <c r="DD50" s="123"/>
      <c r="DE50" s="123"/>
      <c r="DF50" s="123"/>
      <c r="DG50" s="123"/>
      <c r="DH50" s="123"/>
      <c r="DI50" s="123"/>
      <c r="DJ50" s="123"/>
      <c r="DK50" s="123"/>
      <c r="DL50" s="123"/>
      <c r="DM50" s="123"/>
      <c r="DN50" s="123"/>
      <c r="DO50" s="123"/>
      <c r="DP50" s="123"/>
      <c r="DQ50" s="123"/>
      <c r="DR50" s="123"/>
      <c r="DS50" s="123"/>
      <c r="DT50" s="123"/>
      <c r="DU50" s="549"/>
      <c r="DV50" s="123"/>
      <c r="DW50" s="546"/>
      <c r="DX50" s="302"/>
      <c r="DY50" s="302"/>
      <c r="DZ50" s="302"/>
      <c r="EA50" s="302"/>
      <c r="EB50" s="302"/>
      <c r="EC50" s="302"/>
      <c r="ED50" s="302"/>
      <c r="EE50" s="111"/>
    </row>
    <row r="51" spans="1:141" s="243" customFormat="1">
      <c r="A51" s="237"/>
      <c r="B51" s="244" t="s">
        <v>15</v>
      </c>
      <c r="C51" s="238"/>
      <c r="D51" s="239"/>
      <c r="E51" s="240"/>
      <c r="F51" s="240"/>
      <c r="G51" s="241"/>
      <c r="H51" s="240"/>
      <c r="I51" s="240"/>
      <c r="J51" s="240"/>
      <c r="K51" s="241"/>
      <c r="L51" s="240"/>
      <c r="M51" s="240"/>
      <c r="N51" s="240"/>
      <c r="O51" s="241"/>
      <c r="P51" s="240">
        <f t="shared" ref="P51:AU51" si="120">P15+P117</f>
        <v>145.60000000000011</v>
      </c>
      <c r="Q51" s="240">
        <f t="shared" si="120"/>
        <v>180.40000000000003</v>
      </c>
      <c r="R51" s="240">
        <f t="shared" si="120"/>
        <v>139.50000000000017</v>
      </c>
      <c r="S51" s="241">
        <f t="shared" si="120"/>
        <v>199.99999999999983</v>
      </c>
      <c r="T51" s="240">
        <f t="shared" si="120"/>
        <v>165.59999999999982</v>
      </c>
      <c r="U51" s="240">
        <f t="shared" si="120"/>
        <v>191.1999999999999</v>
      </c>
      <c r="V51" s="240">
        <f t="shared" si="120"/>
        <v>126.3</v>
      </c>
      <c r="W51" s="241">
        <f t="shared" si="120"/>
        <v>211.80000000000035</v>
      </c>
      <c r="X51" s="240">
        <f t="shared" si="120"/>
        <v>182.69999999999982</v>
      </c>
      <c r="Y51" s="240">
        <f t="shared" si="120"/>
        <v>278.5999999999998</v>
      </c>
      <c r="Z51" s="240">
        <f t="shared" si="120"/>
        <v>245.99999999999966</v>
      </c>
      <c r="AA51" s="241">
        <f t="shared" si="120"/>
        <v>342.50000000000011</v>
      </c>
      <c r="AB51" s="240">
        <f t="shared" si="120"/>
        <v>294.5</v>
      </c>
      <c r="AC51" s="240">
        <f t="shared" si="120"/>
        <v>344</v>
      </c>
      <c r="AD51" s="240">
        <f t="shared" si="120"/>
        <v>253.6999999999997</v>
      </c>
      <c r="AE51" s="241">
        <f t="shared" si="120"/>
        <v>245.49999999999977</v>
      </c>
      <c r="AF51" s="240">
        <f t="shared" si="120"/>
        <v>242.40000000000009</v>
      </c>
      <c r="AG51" s="240">
        <f t="shared" si="120"/>
        <v>282.50000000000023</v>
      </c>
      <c r="AH51" s="240">
        <f t="shared" si="120"/>
        <v>231.59999999999968</v>
      </c>
      <c r="AI51" s="241">
        <f t="shared" si="120"/>
        <v>225.39999999999984</v>
      </c>
      <c r="AJ51" s="240">
        <f t="shared" si="120"/>
        <v>215.09999999999991</v>
      </c>
      <c r="AK51" s="240">
        <f t="shared" si="120"/>
        <v>269.99999999999972</v>
      </c>
      <c r="AL51" s="240">
        <f t="shared" si="120"/>
        <v>234.20000000000019</v>
      </c>
      <c r="AM51" s="241">
        <f t="shared" si="120"/>
        <v>324.7999999999999</v>
      </c>
      <c r="AN51" s="240">
        <f t="shared" si="120"/>
        <v>236.29999999999993</v>
      </c>
      <c r="AO51" s="240">
        <f t="shared" si="120"/>
        <v>289.39999999999981</v>
      </c>
      <c r="AP51" s="240">
        <f t="shared" si="120"/>
        <v>245.69999999999982</v>
      </c>
      <c r="AQ51" s="241">
        <f t="shared" si="120"/>
        <v>323.2000000000001</v>
      </c>
      <c r="AR51" s="240">
        <f t="shared" si="120"/>
        <v>262.30000000000052</v>
      </c>
      <c r="AS51" s="240">
        <f t="shared" si="120"/>
        <v>299.89999999999992</v>
      </c>
      <c r="AT51" s="240">
        <f t="shared" si="120"/>
        <v>247.40000000000026</v>
      </c>
      <c r="AU51" s="241">
        <f t="shared" si="120"/>
        <v>313.9000000000006</v>
      </c>
      <c r="AV51" s="240">
        <f t="shared" ref="AV51:CA51" si="121">AV15+AV117</f>
        <v>144.40000000000009</v>
      </c>
      <c r="AW51" s="240">
        <f t="shared" si="121"/>
        <v>182.70000000000019</v>
      </c>
      <c r="AX51" s="240">
        <f t="shared" si="121"/>
        <v>140.26999999999987</v>
      </c>
      <c r="AY51" s="241">
        <f t="shared" si="121"/>
        <v>246.30000000000055</v>
      </c>
      <c r="AZ51" s="240">
        <f t="shared" si="121"/>
        <v>177.00000000000034</v>
      </c>
      <c r="BA51" s="240">
        <f t="shared" si="121"/>
        <v>242.79999999999967</v>
      </c>
      <c r="BB51" s="240">
        <f t="shared" si="121"/>
        <v>144.29999999999961</v>
      </c>
      <c r="BC51" s="241">
        <f t="shared" si="121"/>
        <v>222.40000000000009</v>
      </c>
      <c r="BD51" s="240">
        <f t="shared" si="121"/>
        <v>255.90000000000055</v>
      </c>
      <c r="BE51" s="240">
        <f t="shared" si="121"/>
        <v>309.2</v>
      </c>
      <c r="BF51" s="240">
        <f t="shared" si="121"/>
        <v>241.09999999999994</v>
      </c>
      <c r="BG51" s="241">
        <f t="shared" si="121"/>
        <v>254.59999999999988</v>
      </c>
      <c r="BH51" s="240">
        <f t="shared" si="121"/>
        <v>261.00000000000011</v>
      </c>
      <c r="BI51" s="240">
        <f t="shared" si="121"/>
        <v>241.20000000000002</v>
      </c>
      <c r="BJ51" s="240">
        <f t="shared" si="121"/>
        <v>121.09999999999981</v>
      </c>
      <c r="BK51" s="241">
        <f t="shared" si="121"/>
        <v>92.600000000000094</v>
      </c>
      <c r="BL51" s="240">
        <f t="shared" si="121"/>
        <v>-1.0999999999997385</v>
      </c>
      <c r="BM51" s="240">
        <f t="shared" si="121"/>
        <v>16.400000000000006</v>
      </c>
      <c r="BN51" s="240">
        <f t="shared" si="121"/>
        <v>175.50000000000011</v>
      </c>
      <c r="BO51" s="241">
        <f t="shared" si="121"/>
        <v>179.90000000000015</v>
      </c>
      <c r="BP51" s="240">
        <f t="shared" si="121"/>
        <v>196.70000000000002</v>
      </c>
      <c r="BQ51" s="240">
        <f t="shared" si="121"/>
        <v>246.80000000000015</v>
      </c>
      <c r="BR51" s="240">
        <f t="shared" si="121"/>
        <v>208.2000000000001</v>
      </c>
      <c r="BS51" s="241">
        <f t="shared" si="121"/>
        <v>211.50000000000017</v>
      </c>
      <c r="BT51" s="240">
        <f t="shared" si="121"/>
        <v>266.49999999999966</v>
      </c>
      <c r="BU51" s="240">
        <f t="shared" si="121"/>
        <v>291.90000000000038</v>
      </c>
      <c r="BV51" s="240">
        <f t="shared" si="121"/>
        <v>241.39999999999998</v>
      </c>
      <c r="BW51" s="241">
        <f t="shared" si="121"/>
        <v>233.00000000000011</v>
      </c>
      <c r="BX51" s="240">
        <f t="shared" si="121"/>
        <v>249.00000000000023</v>
      </c>
      <c r="BY51" s="240">
        <f t="shared" si="121"/>
        <v>253.7999999999999</v>
      </c>
      <c r="BZ51" s="240">
        <f t="shared" si="121"/>
        <v>242.59999999999997</v>
      </c>
      <c r="CA51" s="241">
        <f t="shared" si="121"/>
        <v>256.70000000000016</v>
      </c>
      <c r="CB51" s="240">
        <f t="shared" ref="CB51:CT51" si="122">CB15+CB117</f>
        <v>267.40000000000026</v>
      </c>
      <c r="CC51" s="240">
        <f t="shared" si="122"/>
        <v>292.70000000000027</v>
      </c>
      <c r="CD51" s="240">
        <f t="shared" si="122"/>
        <v>279.39999999999981</v>
      </c>
      <c r="CE51" s="241">
        <f t="shared" si="122"/>
        <v>208.20000000000053</v>
      </c>
      <c r="CF51" s="240">
        <f t="shared" si="122"/>
        <v>317.7000000000001</v>
      </c>
      <c r="CG51" s="240">
        <f t="shared" si="122"/>
        <v>352.90000000000089</v>
      </c>
      <c r="CH51" s="240">
        <f t="shared" si="122"/>
        <v>331.2999999999999</v>
      </c>
      <c r="CI51" s="241">
        <f t="shared" si="122"/>
        <v>358.5999999999998</v>
      </c>
      <c r="CJ51" s="240">
        <f t="shared" si="122"/>
        <v>378.10000000000036</v>
      </c>
      <c r="CK51" s="240">
        <f t="shared" si="122"/>
        <v>422.30000000000132</v>
      </c>
      <c r="CL51" s="240">
        <f t="shared" si="122"/>
        <v>408.30000000000052</v>
      </c>
      <c r="CM51" s="241">
        <f t="shared" si="122"/>
        <v>449.30000000000041</v>
      </c>
      <c r="CN51" s="240">
        <f t="shared" si="122"/>
        <v>476.99999999999994</v>
      </c>
      <c r="CO51" s="240">
        <f t="shared" si="122"/>
        <v>493.0000000000004</v>
      </c>
      <c r="CP51" s="240">
        <f t="shared" si="122"/>
        <v>462.59999999999974</v>
      </c>
      <c r="CQ51" s="241">
        <f t="shared" si="122"/>
        <v>480.4000000000006</v>
      </c>
      <c r="CR51" s="240">
        <f t="shared" si="122"/>
        <v>528.4000000000002</v>
      </c>
      <c r="CS51" s="240">
        <f t="shared" si="122"/>
        <v>543.50000000000034</v>
      </c>
      <c r="CT51" s="240">
        <f t="shared" si="122"/>
        <v>519.19999999999982</v>
      </c>
      <c r="CU51" s="241">
        <f t="shared" ref="CU51" ca="1" si="123">CU15+CU117</f>
        <v>540.50000000000068</v>
      </c>
      <c r="CV51" s="240">
        <f t="shared" ref="CV51:CY51" si="124">CV15+CV117</f>
        <v>584.85641776102329</v>
      </c>
      <c r="CW51" s="240">
        <f t="shared" si="124"/>
        <v>594.25480803312655</v>
      </c>
      <c r="CX51" s="240">
        <f t="shared" si="124"/>
        <v>550.21110485882457</v>
      </c>
      <c r="CY51" s="241">
        <f t="shared" si="124"/>
        <v>566.22615052311949</v>
      </c>
      <c r="DA51" s="240"/>
      <c r="DB51" s="240"/>
      <c r="DC51" s="240"/>
      <c r="DD51" s="240">
        <f t="shared" ref="DD51:EA51" si="125">DD15+DD117</f>
        <v>665.50000000000057</v>
      </c>
      <c r="DE51" s="240">
        <f t="shared" si="125"/>
        <v>694.90000000000146</v>
      </c>
      <c r="DF51" s="240">
        <f t="shared" si="125"/>
        <v>1049.7999999999988</v>
      </c>
      <c r="DG51" s="240">
        <f t="shared" si="125"/>
        <v>1137.7000000000003</v>
      </c>
      <c r="DH51" s="240">
        <f t="shared" si="125"/>
        <v>981.90000000000066</v>
      </c>
      <c r="DI51" s="240">
        <f t="shared" si="125"/>
        <v>1044.0999999999995</v>
      </c>
      <c r="DJ51" s="240">
        <f t="shared" si="125"/>
        <v>1094.5999999999997</v>
      </c>
      <c r="DK51" s="240">
        <f t="shared" si="125"/>
        <v>1123.4999999999986</v>
      </c>
      <c r="DL51" s="240">
        <f t="shared" si="125"/>
        <v>713.67000000000121</v>
      </c>
      <c r="DM51" s="240">
        <f t="shared" si="125"/>
        <v>786.50000000000296</v>
      </c>
      <c r="DN51" s="240">
        <f t="shared" si="125"/>
        <v>1060.800000000002</v>
      </c>
      <c r="DO51" s="240">
        <f t="shared" si="125"/>
        <v>715.89999999999986</v>
      </c>
      <c r="DP51" s="240">
        <f t="shared" si="125"/>
        <v>370.69999999999959</v>
      </c>
      <c r="DQ51" s="240">
        <f t="shared" si="125"/>
        <v>863.20000000000175</v>
      </c>
      <c r="DR51" s="240">
        <f t="shared" si="125"/>
        <v>1032.7999999999997</v>
      </c>
      <c r="DS51" s="240">
        <f t="shared" si="125"/>
        <v>1002.0999999999989</v>
      </c>
      <c r="DT51" s="240">
        <f t="shared" si="125"/>
        <v>1047.7000000000016</v>
      </c>
      <c r="DU51" s="240">
        <f t="shared" si="125"/>
        <v>1360.5000000000027</v>
      </c>
      <c r="DV51" s="240">
        <f t="shared" si="125"/>
        <v>1658.0000000000027</v>
      </c>
      <c r="DW51" s="240">
        <f t="shared" si="125"/>
        <v>1913.0000000000007</v>
      </c>
      <c r="DX51" s="240">
        <f t="shared" ca="1" si="125"/>
        <v>2131.6000000000031</v>
      </c>
      <c r="DY51" s="240">
        <f>DY15+DY117</f>
        <v>2295.548481176093</v>
      </c>
      <c r="DZ51" s="240">
        <f t="shared" si="125"/>
        <v>2379.7566860532297</v>
      </c>
      <c r="EA51" s="240">
        <f t="shared" si="125"/>
        <v>2383.563854352793</v>
      </c>
      <c r="EB51" s="240">
        <f t="shared" ref="EB51:ED51" si="126">EB15+EB117</f>
        <v>2375.2658082780299</v>
      </c>
      <c r="EC51" s="240">
        <f t="shared" si="126"/>
        <v>2343.3528130923005</v>
      </c>
      <c r="ED51" s="240">
        <f t="shared" si="126"/>
        <v>2286.1655200153223</v>
      </c>
      <c r="EE51" s="238"/>
      <c r="EF51"/>
      <c r="EG51"/>
      <c r="EH51"/>
      <c r="EI51"/>
      <c r="EJ51"/>
      <c r="EK51"/>
    </row>
    <row r="52" spans="1:141" s="265" customFormat="1">
      <c r="A52" s="258"/>
      <c r="B52" s="259" t="s">
        <v>203</v>
      </c>
      <c r="C52" s="260"/>
      <c r="D52" s="261"/>
      <c r="E52" s="260"/>
      <c r="F52" s="260"/>
      <c r="G52" s="262"/>
      <c r="H52" s="260"/>
      <c r="I52" s="260"/>
      <c r="J52" s="260"/>
      <c r="K52" s="262"/>
      <c r="L52" s="260"/>
      <c r="M52" s="260"/>
      <c r="N52" s="260"/>
      <c r="O52" s="262"/>
      <c r="P52" s="263">
        <f t="shared" ref="P52:AU52" si="127">P51/P6</f>
        <v>8.4454756380510504E-2</v>
      </c>
      <c r="Q52" s="263">
        <f t="shared" si="127"/>
        <v>9.8080791605502107E-2</v>
      </c>
      <c r="R52" s="263">
        <f t="shared" si="127"/>
        <v>8.5274161012286909E-2</v>
      </c>
      <c r="S52" s="264">
        <f t="shared" si="127"/>
        <v>9.3296636656248474E-2</v>
      </c>
      <c r="T52" s="263">
        <f t="shared" si="127"/>
        <v>8.1492052556468589E-2</v>
      </c>
      <c r="U52" s="263">
        <f t="shared" si="127"/>
        <v>8.7908045977011448E-2</v>
      </c>
      <c r="V52" s="263">
        <f t="shared" si="127"/>
        <v>6.4885692268173645E-2</v>
      </c>
      <c r="W52" s="264">
        <f t="shared" si="127"/>
        <v>7.2888705347924951E-2</v>
      </c>
      <c r="X52" s="263">
        <f t="shared" si="127"/>
        <v>6.7988984816909737E-2</v>
      </c>
      <c r="Y52" s="263">
        <f t="shared" si="127"/>
        <v>8.6157842652152344E-2</v>
      </c>
      <c r="Z52" s="263">
        <f t="shared" si="127"/>
        <v>8.0743099090819462E-2</v>
      </c>
      <c r="AA52" s="264">
        <f t="shared" si="127"/>
        <v>9.8951261086874895E-2</v>
      </c>
      <c r="AB52" s="263">
        <f t="shared" si="127"/>
        <v>7.7396126251609687E-2</v>
      </c>
      <c r="AC52" s="263">
        <f t="shared" si="127"/>
        <v>9.1455309193385445E-2</v>
      </c>
      <c r="AD52" s="263">
        <f t="shared" si="127"/>
        <v>8.0690817722082545E-2</v>
      </c>
      <c r="AE52" s="264">
        <f t="shared" si="127"/>
        <v>7.3017667003747483E-2</v>
      </c>
      <c r="AF52" s="263">
        <f t="shared" si="127"/>
        <v>6.9185980134718605E-2</v>
      </c>
      <c r="AG52" s="263">
        <f t="shared" si="127"/>
        <v>7.8267856153377349E-2</v>
      </c>
      <c r="AH52" s="263">
        <f t="shared" si="127"/>
        <v>7.4548556345961858E-2</v>
      </c>
      <c r="AI52" s="264">
        <f t="shared" si="127"/>
        <v>6.6196769456681306E-2</v>
      </c>
      <c r="AJ52" s="263">
        <f t="shared" si="127"/>
        <v>6.0855542352741446E-2</v>
      </c>
      <c r="AK52" s="263">
        <f t="shared" si="127"/>
        <v>7.1198776435841923E-2</v>
      </c>
      <c r="AL52" s="263">
        <f t="shared" si="127"/>
        <v>7.0174387247558034E-2</v>
      </c>
      <c r="AM52" s="264">
        <f t="shared" si="127"/>
        <v>8.6373790022338026E-2</v>
      </c>
      <c r="AN52" s="263">
        <f t="shared" si="127"/>
        <v>6.06099469053787E-2</v>
      </c>
      <c r="AO52" s="263">
        <f t="shared" si="127"/>
        <v>7.0564712766994983E-2</v>
      </c>
      <c r="AP52" s="263">
        <f t="shared" si="127"/>
        <v>7.0370900758986055E-2</v>
      </c>
      <c r="AQ52" s="264">
        <f t="shared" si="127"/>
        <v>7.5952341785538058E-2</v>
      </c>
      <c r="AR52" s="263">
        <f t="shared" si="127"/>
        <v>5.8391398232452638E-2</v>
      </c>
      <c r="AS52" s="263">
        <f t="shared" si="127"/>
        <v>7.0004668534080286E-2</v>
      </c>
      <c r="AT52" s="263">
        <f t="shared" si="127"/>
        <v>6.347170198573561E-2</v>
      </c>
      <c r="AU52" s="264">
        <f t="shared" si="127"/>
        <v>7.3236742026551074E-2</v>
      </c>
      <c r="AV52" s="263">
        <f t="shared" ref="AV52:CA52" si="128">AV51/AV6</f>
        <v>3.3691087260849295E-2</v>
      </c>
      <c r="AW52" s="263">
        <f t="shared" si="128"/>
        <v>4.1341388907745615E-2</v>
      </c>
      <c r="AX52" s="263">
        <f t="shared" si="128"/>
        <v>3.5185370992825933E-2</v>
      </c>
      <c r="AY52" s="264">
        <f t="shared" si="128"/>
        <v>5.5935321236345592E-2</v>
      </c>
      <c r="AZ52" s="263">
        <f t="shared" si="128"/>
        <v>3.7832638666239253E-2</v>
      </c>
      <c r="BA52" s="263">
        <f t="shared" si="128"/>
        <v>5.047607168101112E-2</v>
      </c>
      <c r="BB52" s="263">
        <f t="shared" si="128"/>
        <v>3.545715900434912E-2</v>
      </c>
      <c r="BC52" s="264">
        <f t="shared" si="128"/>
        <v>5.195654713234437E-2</v>
      </c>
      <c r="BD52" s="263">
        <f t="shared" si="128"/>
        <v>5.8078572887587783E-2</v>
      </c>
      <c r="BE52" s="263">
        <f t="shared" si="128"/>
        <v>7.4410993189420738E-2</v>
      </c>
      <c r="BF52" s="263">
        <f t="shared" si="128"/>
        <v>6.7448106081799353E-2</v>
      </c>
      <c r="BG52" s="264">
        <f t="shared" si="128"/>
        <v>6.5975641357864698E-2</v>
      </c>
      <c r="BH52" s="263">
        <f t="shared" si="128"/>
        <v>6.7658647863956894E-2</v>
      </c>
      <c r="BI52" s="263">
        <f t="shared" si="128"/>
        <v>6.0618245790399601E-2</v>
      </c>
      <c r="BJ52" s="263">
        <f t="shared" si="128"/>
        <v>3.8646880485080519E-2</v>
      </c>
      <c r="BK52" s="264">
        <f t="shared" si="128"/>
        <v>3.5609906168281837E-2</v>
      </c>
      <c r="BL52" s="263">
        <f t="shared" si="128"/>
        <v>-5.0730987409479248E-4</v>
      </c>
      <c r="BM52" s="263">
        <f t="shared" si="128"/>
        <v>7.1898290223586167E-3</v>
      </c>
      <c r="BN52" s="263">
        <f t="shared" si="128"/>
        <v>6.8880254327092938E-2</v>
      </c>
      <c r="BO52" s="264">
        <f t="shared" si="128"/>
        <v>6.5599474912485467E-2</v>
      </c>
      <c r="BP52" s="263">
        <f t="shared" si="128"/>
        <v>6.6938914412115025E-2</v>
      </c>
      <c r="BQ52" s="263">
        <f t="shared" si="128"/>
        <v>8.1202908564472126E-2</v>
      </c>
      <c r="BR52" s="263">
        <f t="shared" si="128"/>
        <v>7.3821933836825906E-2</v>
      </c>
      <c r="BS52" s="264">
        <f t="shared" si="128"/>
        <v>6.7004593695548925E-2</v>
      </c>
      <c r="BT52" s="263">
        <f t="shared" si="128"/>
        <v>7.5889170487228319E-2</v>
      </c>
      <c r="BU52" s="263">
        <f t="shared" si="128"/>
        <v>7.9400484182466161E-2</v>
      </c>
      <c r="BV52" s="263">
        <f t="shared" si="128"/>
        <v>6.9768786127167623E-2</v>
      </c>
      <c r="BW52" s="264">
        <f t="shared" si="128"/>
        <v>6.6410146786375981E-2</v>
      </c>
      <c r="BX52" s="263">
        <f t="shared" si="128"/>
        <v>6.8331503841932012E-2</v>
      </c>
      <c r="BY52" s="263">
        <f t="shared" si="128"/>
        <v>6.9249658935879921E-2</v>
      </c>
      <c r="BZ52" s="263">
        <f t="shared" si="128"/>
        <v>6.8558186853557898E-2</v>
      </c>
      <c r="CA52" s="264">
        <f t="shared" si="128"/>
        <v>6.9016508038931057E-2</v>
      </c>
      <c r="CB52" s="263">
        <f t="shared" ref="CB52:CT52" si="129">CB51/CB6</f>
        <v>6.7745940057257301E-2</v>
      </c>
      <c r="CC52" s="263">
        <f t="shared" si="129"/>
        <v>7.1162869854854066E-2</v>
      </c>
      <c r="CD52" s="263">
        <f t="shared" si="129"/>
        <v>7.1317354570283542E-2</v>
      </c>
      <c r="CE52" s="264">
        <f t="shared" si="129"/>
        <v>4.8918023542680038E-2</v>
      </c>
      <c r="CF52" s="263">
        <f t="shared" si="129"/>
        <v>7.2870315152071222E-2</v>
      </c>
      <c r="CG52" s="263">
        <f t="shared" si="129"/>
        <v>7.6966696473359547E-2</v>
      </c>
      <c r="CH52" s="263">
        <f t="shared" si="129"/>
        <v>7.8271552436978739E-2</v>
      </c>
      <c r="CI52" s="264">
        <f t="shared" si="129"/>
        <v>7.8818383629689834E-2</v>
      </c>
      <c r="CJ52" s="263">
        <f t="shared" si="129"/>
        <v>8.3624541071349673E-2</v>
      </c>
      <c r="CK52" s="263">
        <f t="shared" si="129"/>
        <v>9.1109145433755756E-2</v>
      </c>
      <c r="CL52" s="263">
        <f t="shared" si="129"/>
        <v>9.4289079278572038E-2</v>
      </c>
      <c r="CM52" s="264">
        <f t="shared" si="129"/>
        <v>9.5097997714092275E-2</v>
      </c>
      <c r="CN52" s="263">
        <f t="shared" si="129"/>
        <v>0.10229685388921057</v>
      </c>
      <c r="CO52" s="263">
        <f t="shared" si="129"/>
        <v>0.10434304097527945</v>
      </c>
      <c r="CP52" s="263">
        <f t="shared" si="129"/>
        <v>0.10220042417815478</v>
      </c>
      <c r="CQ52" s="264">
        <f t="shared" si="129"/>
        <v>0.10345644449230119</v>
      </c>
      <c r="CR52" s="263">
        <f t="shared" si="129"/>
        <v>0.10571171351405426</v>
      </c>
      <c r="CS52" s="263">
        <f t="shared" si="129"/>
        <v>0.10608603997501569</v>
      </c>
      <c r="CT52" s="263">
        <f t="shared" si="129"/>
        <v>0.10422563484894104</v>
      </c>
      <c r="CU52" s="264">
        <f t="shared" ref="CU52" ca="1" si="130">CU51/CU6</f>
        <v>0.10076811215929019</v>
      </c>
      <c r="CV52" s="263">
        <f t="shared" ref="CV52:CY52" si="131">CV51/CV6</f>
        <v>0.10684884608126682</v>
      </c>
      <c r="CW52" s="263">
        <f t="shared" si="131"/>
        <v>0.10555005883058557</v>
      </c>
      <c r="CX52" s="263">
        <f t="shared" si="131"/>
        <v>0.10302450415118876</v>
      </c>
      <c r="CY52" s="264">
        <f t="shared" si="131"/>
        <v>0.10266378395683264</v>
      </c>
      <c r="CZ52" s="633"/>
      <c r="DA52" s="263"/>
      <c r="DB52" s="263"/>
      <c r="DC52" s="263"/>
      <c r="DD52" s="263">
        <f t="shared" ref="DD52:EA52" si="132">DD51/DD6</f>
        <v>9.0631766740661118E-2</v>
      </c>
      <c r="DE52" s="263">
        <f t="shared" si="132"/>
        <v>7.670485904143777E-2</v>
      </c>
      <c r="DF52" s="263">
        <f t="shared" si="132"/>
        <v>8.4465113285272828E-2</v>
      </c>
      <c r="DG52" s="263">
        <f t="shared" si="132"/>
        <v>8.0843897447558433E-2</v>
      </c>
      <c r="DH52" s="263">
        <f t="shared" si="132"/>
        <v>7.2067641856334491E-2</v>
      </c>
      <c r="DI52" s="263">
        <f t="shared" si="132"/>
        <v>7.2383289657945424E-2</v>
      </c>
      <c r="DJ52" s="263">
        <f t="shared" si="132"/>
        <v>6.9512977322232578E-2</v>
      </c>
      <c r="DK52" s="263">
        <f t="shared" si="132"/>
        <v>6.624410377358482E-2</v>
      </c>
      <c r="DL52" s="263">
        <f t="shared" si="132"/>
        <v>4.1746806121016493E-2</v>
      </c>
      <c r="DM52" s="263">
        <f t="shared" si="132"/>
        <v>4.4089041364658299E-2</v>
      </c>
      <c r="DN52" s="263">
        <f t="shared" si="132"/>
        <v>6.6320725226633445E-2</v>
      </c>
      <c r="DO52" s="263">
        <f t="shared" si="132"/>
        <v>5.2754135809292203E-2</v>
      </c>
      <c r="DP52" s="263">
        <f t="shared" si="132"/>
        <v>3.8061111339274672E-2</v>
      </c>
      <c r="DQ52" s="263">
        <f t="shared" si="132"/>
        <v>7.2206514647081596E-2</v>
      </c>
      <c r="DR52" s="263">
        <f t="shared" si="132"/>
        <v>7.2955885988768385E-2</v>
      </c>
      <c r="DS52" s="263">
        <f t="shared" si="132"/>
        <v>6.8792476144710568E-2</v>
      </c>
      <c r="DT52" s="263">
        <f t="shared" si="132"/>
        <v>6.4537390661574573E-2</v>
      </c>
      <c r="DU52" s="263">
        <f t="shared" si="132"/>
        <v>7.6746035775329721E-2</v>
      </c>
      <c r="DV52" s="263">
        <f t="shared" si="132"/>
        <v>9.1041874869587328E-2</v>
      </c>
      <c r="DW52" s="263">
        <f t="shared" si="132"/>
        <v>0.1030844505755055</v>
      </c>
      <c r="DX52" s="263">
        <f t="shared" ca="1" si="132"/>
        <v>0.10414814090975733</v>
      </c>
      <c r="DY52" s="263">
        <f>DY51/DY6</f>
        <v>0.10453467116587474</v>
      </c>
      <c r="DZ52" s="263">
        <f t="shared" si="132"/>
        <v>0.10205923834284904</v>
      </c>
      <c r="EA52" s="263">
        <f t="shared" si="132"/>
        <v>9.731645066970665E-2</v>
      </c>
      <c r="EB52" s="263">
        <f t="shared" ref="EB52:ED52" si="133">EB51/EB6</f>
        <v>9.2680355127432196E-2</v>
      </c>
      <c r="EC52" s="263">
        <f t="shared" si="133"/>
        <v>8.8305579460085618E-2</v>
      </c>
      <c r="ED52" s="263">
        <f t="shared" si="133"/>
        <v>8.4204648369968438E-2</v>
      </c>
      <c r="EE52" s="260"/>
      <c r="EF52"/>
      <c r="EG52"/>
      <c r="EH52"/>
      <c r="EI52"/>
      <c r="EJ52"/>
      <c r="EK52"/>
    </row>
    <row r="53" spans="1:141" s="265" customFormat="1">
      <c r="A53" s="258"/>
      <c r="B53" s="259" t="s">
        <v>240</v>
      </c>
      <c r="C53" s="260"/>
      <c r="D53" s="261"/>
      <c r="E53" s="260"/>
      <c r="F53" s="260"/>
      <c r="G53" s="262"/>
      <c r="H53" s="260"/>
      <c r="I53" s="260"/>
      <c r="J53" s="260"/>
      <c r="K53" s="262"/>
      <c r="L53" s="260"/>
      <c r="M53" s="260"/>
      <c r="N53" s="260"/>
      <c r="O53" s="262"/>
      <c r="P53" s="263"/>
      <c r="Q53" s="263"/>
      <c r="R53" s="263"/>
      <c r="S53" s="264"/>
      <c r="T53" s="263">
        <f t="shared" ref="T53:AY53" si="134">T51/P51-1</f>
        <v>0.13736263736263532</v>
      </c>
      <c r="U53" s="263">
        <f t="shared" si="134"/>
        <v>5.9866962305985982E-2</v>
      </c>
      <c r="V53" s="263">
        <f t="shared" si="134"/>
        <v>-9.4623655913979587E-2</v>
      </c>
      <c r="W53" s="264">
        <f t="shared" si="134"/>
        <v>5.9000000000002606E-2</v>
      </c>
      <c r="X53" s="263">
        <f t="shared" si="134"/>
        <v>0.10326086956521752</v>
      </c>
      <c r="Y53" s="263">
        <f t="shared" si="134"/>
        <v>0.45711297071129664</v>
      </c>
      <c r="Z53" s="263">
        <f t="shared" si="134"/>
        <v>0.94774346793348907</v>
      </c>
      <c r="AA53" s="264">
        <f t="shared" si="134"/>
        <v>0.61709159584513484</v>
      </c>
      <c r="AB53" s="263">
        <f t="shared" si="134"/>
        <v>0.61193212917351003</v>
      </c>
      <c r="AC53" s="263">
        <f t="shared" si="134"/>
        <v>0.23474515434314513</v>
      </c>
      <c r="AD53" s="263">
        <f t="shared" si="134"/>
        <v>3.1300813008130257E-2</v>
      </c>
      <c r="AE53" s="264">
        <f t="shared" si="134"/>
        <v>-0.28321167883211773</v>
      </c>
      <c r="AF53" s="263">
        <f t="shared" si="134"/>
        <v>-0.17691001697792841</v>
      </c>
      <c r="AG53" s="263">
        <f t="shared" si="134"/>
        <v>-0.17877906976744118</v>
      </c>
      <c r="AH53" s="263">
        <f t="shared" si="134"/>
        <v>-8.7110760741032855E-2</v>
      </c>
      <c r="AI53" s="264">
        <f t="shared" si="134"/>
        <v>-8.1873727087576231E-2</v>
      </c>
      <c r="AJ53" s="263">
        <f t="shared" si="134"/>
        <v>-0.11262376237623828</v>
      </c>
      <c r="AK53" s="263">
        <f t="shared" si="134"/>
        <v>-4.4247787610621203E-2</v>
      </c>
      <c r="AL53" s="263">
        <f t="shared" si="134"/>
        <v>1.1226252158896832E-2</v>
      </c>
      <c r="AM53" s="264">
        <f t="shared" si="134"/>
        <v>0.44099378881987628</v>
      </c>
      <c r="AN53" s="263">
        <f t="shared" si="134"/>
        <v>9.8558809855881169E-2</v>
      </c>
      <c r="AO53" s="263">
        <f t="shared" si="134"/>
        <v>7.1851851851852278E-2</v>
      </c>
      <c r="AP53" s="263">
        <f t="shared" si="134"/>
        <v>4.9103330486761854E-2</v>
      </c>
      <c r="AQ53" s="264">
        <f t="shared" si="134"/>
        <v>-4.9261083743835643E-3</v>
      </c>
      <c r="AR53" s="263">
        <f t="shared" si="134"/>
        <v>0.11002962336013788</v>
      </c>
      <c r="AS53" s="263">
        <f t="shared" si="134"/>
        <v>3.6281962681410151E-2</v>
      </c>
      <c r="AT53" s="263">
        <f t="shared" si="134"/>
        <v>6.9190069190088188E-3</v>
      </c>
      <c r="AU53" s="264">
        <f t="shared" si="134"/>
        <v>-2.8774752475245968E-2</v>
      </c>
      <c r="AV53" s="263">
        <f t="shared" si="134"/>
        <v>-0.44948532215021042</v>
      </c>
      <c r="AW53" s="263">
        <f t="shared" si="134"/>
        <v>-0.39079693231076951</v>
      </c>
      <c r="AX53" s="263">
        <f t="shared" si="134"/>
        <v>-0.43302344381568425</v>
      </c>
      <c r="AY53" s="264">
        <f t="shared" si="134"/>
        <v>-0.21535520866517976</v>
      </c>
      <c r="AZ53" s="263">
        <f t="shared" ref="AZ53:CE53" si="135">AZ51/AV51-1</f>
        <v>0.2257617728531871</v>
      </c>
      <c r="BA53" s="263">
        <f t="shared" si="135"/>
        <v>0.32895457033387743</v>
      </c>
      <c r="BB53" s="263">
        <f t="shared" si="135"/>
        <v>2.8730305838737813E-2</v>
      </c>
      <c r="BC53" s="264">
        <f t="shared" si="135"/>
        <v>-9.7036134794967088E-2</v>
      </c>
      <c r="BD53" s="263">
        <f t="shared" si="135"/>
        <v>0.44576271186440697</v>
      </c>
      <c r="BE53" s="263">
        <f t="shared" si="135"/>
        <v>0.27347611202636091</v>
      </c>
      <c r="BF53" s="263">
        <f t="shared" si="135"/>
        <v>0.67082467082467478</v>
      </c>
      <c r="BG53" s="264">
        <f t="shared" si="135"/>
        <v>0.14478417266186949</v>
      </c>
      <c r="BH53" s="263">
        <f t="shared" si="135"/>
        <v>1.9929660023444873E-2</v>
      </c>
      <c r="BI53" s="263">
        <f t="shared" si="135"/>
        <v>-0.21992238033635181</v>
      </c>
      <c r="BJ53" s="263">
        <f t="shared" si="135"/>
        <v>-0.497718788884281</v>
      </c>
      <c r="BK53" s="264">
        <f t="shared" si="135"/>
        <v>-0.63629222309505051</v>
      </c>
      <c r="BL53" s="263">
        <f t="shared" si="135"/>
        <v>-1.0042145593869722</v>
      </c>
      <c r="BM53" s="263">
        <f t="shared" si="135"/>
        <v>-0.93200663349917079</v>
      </c>
      <c r="BN53" s="263">
        <f t="shared" si="135"/>
        <v>0.4492155243600362</v>
      </c>
      <c r="BO53" s="264">
        <f t="shared" si="135"/>
        <v>0.94276457883369291</v>
      </c>
      <c r="BP53" s="263">
        <f t="shared" si="135"/>
        <v>-179.81818181822433</v>
      </c>
      <c r="BQ53" s="263">
        <f t="shared" si="135"/>
        <v>14.048780487804882</v>
      </c>
      <c r="BR53" s="263">
        <f t="shared" si="135"/>
        <v>0.18632478632478611</v>
      </c>
      <c r="BS53" s="264">
        <f t="shared" si="135"/>
        <v>0.17565314063368542</v>
      </c>
      <c r="BT53" s="263">
        <f t="shared" si="135"/>
        <v>0.35485510930350594</v>
      </c>
      <c r="BU53" s="263">
        <f t="shared" si="135"/>
        <v>0.18273905996758577</v>
      </c>
      <c r="BV53" s="263">
        <f t="shared" si="135"/>
        <v>0.15946205571565741</v>
      </c>
      <c r="BW53" s="264">
        <f t="shared" si="135"/>
        <v>0.10165484633569699</v>
      </c>
      <c r="BX53" s="263">
        <f t="shared" si="135"/>
        <v>-6.5666041275795339E-2</v>
      </c>
      <c r="BY53" s="263">
        <f t="shared" si="135"/>
        <v>-0.13052415210688739</v>
      </c>
      <c r="BZ53" s="263">
        <f t="shared" si="135"/>
        <v>4.9710024855011969E-3</v>
      </c>
      <c r="CA53" s="264">
        <f t="shared" si="135"/>
        <v>0.10171673819742511</v>
      </c>
      <c r="CB53" s="263">
        <f t="shared" si="135"/>
        <v>7.3895582329317255E-2</v>
      </c>
      <c r="CC53" s="263">
        <f t="shared" si="135"/>
        <v>0.15327029156816541</v>
      </c>
      <c r="CD53" s="263">
        <f t="shared" si="135"/>
        <v>0.15169002473206872</v>
      </c>
      <c r="CE53" s="264">
        <f t="shared" si="135"/>
        <v>-0.18893650175301757</v>
      </c>
      <c r="CF53" s="263">
        <f t="shared" ref="CF53:CY53" si="136">CF51/CB51-1</f>
        <v>0.18810770381450936</v>
      </c>
      <c r="CG53" s="263">
        <f t="shared" si="136"/>
        <v>0.20567133583874475</v>
      </c>
      <c r="CH53" s="263">
        <f t="shared" si="136"/>
        <v>0.18575518969219806</v>
      </c>
      <c r="CI53" s="264">
        <f t="shared" si="136"/>
        <v>0.72238232468779473</v>
      </c>
      <c r="CJ53" s="263">
        <f t="shared" si="136"/>
        <v>0.19011646207113708</v>
      </c>
      <c r="CK53" s="263">
        <f t="shared" si="136"/>
        <v>0.19665627656560014</v>
      </c>
      <c r="CL53" s="263">
        <f t="shared" si="136"/>
        <v>0.23241774826441497</v>
      </c>
      <c r="CM53" s="264">
        <f t="shared" si="136"/>
        <v>0.25292805354155234</v>
      </c>
      <c r="CN53" s="263">
        <f t="shared" si="136"/>
        <v>0.26157101295953322</v>
      </c>
      <c r="CO53" s="263">
        <f t="shared" si="136"/>
        <v>0.16741652853421463</v>
      </c>
      <c r="CP53" s="263">
        <f t="shared" si="136"/>
        <v>0.13299044819985095</v>
      </c>
      <c r="CQ53" s="264">
        <f t="shared" si="136"/>
        <v>6.9218784776319042E-2</v>
      </c>
      <c r="CR53" s="263">
        <f t="shared" si="136"/>
        <v>0.10775681341719134</v>
      </c>
      <c r="CS53" s="263">
        <f t="shared" si="136"/>
        <v>0.10243407707910723</v>
      </c>
      <c r="CT53" s="263">
        <f t="shared" si="136"/>
        <v>0.12235192390834437</v>
      </c>
      <c r="CU53" s="264">
        <f t="shared" ca="1" si="136"/>
        <v>0.1251040799333889</v>
      </c>
      <c r="CV53" s="263">
        <f t="shared" si="136"/>
        <v>0.1068440911450097</v>
      </c>
      <c r="CW53" s="263">
        <f t="shared" si="136"/>
        <v>9.3385111376497187E-2</v>
      </c>
      <c r="CX53" s="263">
        <f t="shared" si="136"/>
        <v>5.972863031360709E-2</v>
      </c>
      <c r="CY53" s="264">
        <f t="shared" ca="1" si="136"/>
        <v>4.7596948238887604E-2</v>
      </c>
      <c r="CZ53" s="633"/>
      <c r="DA53" s="263"/>
      <c r="DB53" s="263"/>
      <c r="DC53" s="263"/>
      <c r="DD53" s="263"/>
      <c r="DE53" s="263">
        <f t="shared" ref="DE53:ED53" si="137">DE51/DD51-1</f>
        <v>4.4177310293014083E-2</v>
      </c>
      <c r="DF53" s="263">
        <f t="shared" si="137"/>
        <v>0.51072096704561321</v>
      </c>
      <c r="DG53" s="263">
        <f t="shared" si="137"/>
        <v>8.3730234330350095E-2</v>
      </c>
      <c r="DH53" s="263">
        <f t="shared" si="137"/>
        <v>-0.13694295508481991</v>
      </c>
      <c r="DI53" s="263">
        <f t="shared" si="137"/>
        <v>6.3346572970769621E-2</v>
      </c>
      <c r="DJ53" s="263">
        <f t="shared" si="137"/>
        <v>4.8367014653769136E-2</v>
      </c>
      <c r="DK53" s="263">
        <f t="shared" si="137"/>
        <v>2.6402338753881649E-2</v>
      </c>
      <c r="DL53" s="263">
        <f t="shared" si="137"/>
        <v>-0.36477970627503153</v>
      </c>
      <c r="DM53" s="263">
        <f t="shared" si="137"/>
        <v>0.10204996707161795</v>
      </c>
      <c r="DN53" s="263">
        <f t="shared" si="137"/>
        <v>0.34876033057850986</v>
      </c>
      <c r="DO53" s="263">
        <f t="shared" si="137"/>
        <v>-0.32513197586727138</v>
      </c>
      <c r="DP53" s="263">
        <f t="shared" si="137"/>
        <v>-0.48219025003492155</v>
      </c>
      <c r="DQ53" s="263">
        <f t="shared" si="137"/>
        <v>1.3285675748583832</v>
      </c>
      <c r="DR53" s="263">
        <f t="shared" si="137"/>
        <v>0.1964782205746034</v>
      </c>
      <c r="DS53" s="263">
        <f t="shared" si="137"/>
        <v>-2.9725019364834293E-2</v>
      </c>
      <c r="DT53" s="263">
        <f t="shared" si="137"/>
        <v>4.5504440674586144E-2</v>
      </c>
      <c r="DU53" s="263">
        <f t="shared" si="137"/>
        <v>0.29855874773313018</v>
      </c>
      <c r="DV53" s="263">
        <f t="shared" si="137"/>
        <v>0.21866960676221936</v>
      </c>
      <c r="DW53" s="263">
        <f t="shared" si="137"/>
        <v>0.15379975874547491</v>
      </c>
      <c r="DX53" s="263">
        <f t="shared" ca="1" si="137"/>
        <v>0.11427077888133952</v>
      </c>
      <c r="DY53" s="263">
        <f ca="1">DY51/DX51-1</f>
        <v>7.6913342642188853E-2</v>
      </c>
      <c r="DZ53" s="263">
        <f t="shared" si="137"/>
        <v>3.6683261350243246E-2</v>
      </c>
      <c r="EA53" s="263">
        <f t="shared" si="137"/>
        <v>1.5998140994311072E-3</v>
      </c>
      <c r="EB53" s="263">
        <f t="shared" si="137"/>
        <v>-3.4813609291857173E-3</v>
      </c>
      <c r="EC53" s="263">
        <f t="shared" si="137"/>
        <v>-1.3435546907848983E-2</v>
      </c>
      <c r="ED53" s="263">
        <f t="shared" si="137"/>
        <v>-2.4404047379239291E-2</v>
      </c>
      <c r="EE53" s="260"/>
      <c r="EF53"/>
      <c r="EG53"/>
      <c r="EH53"/>
      <c r="EI53"/>
      <c r="EJ53"/>
      <c r="EK53"/>
    </row>
    <row r="54" spans="1:141">
      <c r="A54" s="133"/>
      <c r="B54" s="307"/>
      <c r="C54" s="111"/>
      <c r="D54" s="124"/>
      <c r="E54" s="123"/>
      <c r="F54" s="123"/>
      <c r="G54" s="146"/>
      <c r="H54" s="123"/>
      <c r="I54" s="123"/>
      <c r="J54" s="123"/>
      <c r="K54" s="146"/>
      <c r="L54" s="123"/>
      <c r="M54" s="123"/>
      <c r="N54" s="123"/>
      <c r="O54" s="146"/>
      <c r="P54" s="123"/>
      <c r="Q54" s="123"/>
      <c r="R54" s="123"/>
      <c r="S54" s="146"/>
      <c r="T54" s="123"/>
      <c r="U54" s="123"/>
      <c r="V54" s="123"/>
      <c r="W54" s="146"/>
      <c r="X54" s="123"/>
      <c r="Y54" s="123"/>
      <c r="Z54" s="123"/>
      <c r="AA54" s="146"/>
      <c r="AB54" s="123"/>
      <c r="AC54" s="123"/>
      <c r="AD54" s="123"/>
      <c r="AE54" s="146"/>
      <c r="AF54" s="123"/>
      <c r="AG54" s="123"/>
      <c r="AH54" s="123"/>
      <c r="AI54" s="146"/>
      <c r="AJ54" s="123"/>
      <c r="AK54" s="123"/>
      <c r="AL54" s="123"/>
      <c r="AM54" s="146"/>
      <c r="AN54" s="123"/>
      <c r="AO54" s="123"/>
      <c r="AP54" s="123"/>
      <c r="AQ54" s="146"/>
      <c r="AR54" s="123"/>
      <c r="AS54" s="123"/>
      <c r="AT54" s="123"/>
      <c r="AU54" s="146"/>
      <c r="AV54" s="123"/>
      <c r="AW54" s="123"/>
      <c r="AX54" s="123"/>
      <c r="AY54" s="146"/>
      <c r="AZ54" s="123"/>
      <c r="BA54" s="123"/>
      <c r="BB54" s="123"/>
      <c r="BC54" s="146"/>
      <c r="BD54" s="123"/>
      <c r="BE54" s="123"/>
      <c r="BF54" s="123"/>
      <c r="BG54" s="146"/>
      <c r="BH54" s="123"/>
      <c r="BI54" s="123"/>
      <c r="BJ54" s="123"/>
      <c r="BK54" s="146"/>
      <c r="BL54" s="123"/>
      <c r="BM54" s="123"/>
      <c r="BN54" s="123"/>
      <c r="BO54" s="146"/>
      <c r="BP54" s="123"/>
      <c r="BQ54" s="123"/>
      <c r="BR54" s="123"/>
      <c r="BS54" s="146"/>
      <c r="BT54" s="123"/>
      <c r="BU54" s="123"/>
      <c r="BV54" s="123"/>
      <c r="BW54" s="146"/>
      <c r="BX54" s="123"/>
      <c r="BY54" s="123"/>
      <c r="BZ54" s="123"/>
      <c r="CA54" s="146"/>
      <c r="CB54" s="123"/>
      <c r="CC54" s="123"/>
      <c r="CD54" s="123"/>
      <c r="CE54" s="146"/>
      <c r="CF54" s="123"/>
      <c r="CG54" s="123"/>
      <c r="CH54" s="123"/>
      <c r="CI54" s="146"/>
      <c r="CJ54" s="123"/>
      <c r="CK54" s="123"/>
      <c r="CL54" s="123"/>
      <c r="CM54" s="146"/>
      <c r="CN54" s="302"/>
      <c r="CO54" s="302"/>
      <c r="CP54" s="302"/>
      <c r="CQ54" s="146"/>
      <c r="CR54" s="302"/>
      <c r="CS54" s="302"/>
      <c r="CT54" s="302"/>
      <c r="CU54" s="303"/>
      <c r="CV54" s="302"/>
      <c r="CW54" s="302"/>
      <c r="CX54" s="302"/>
      <c r="CY54" s="303"/>
      <c r="DA54" s="123"/>
      <c r="DB54" s="123"/>
      <c r="DC54" s="123"/>
      <c r="DD54" s="123"/>
      <c r="DE54" s="123"/>
      <c r="DF54" s="123"/>
      <c r="DG54" s="123"/>
      <c r="DH54" s="123"/>
      <c r="DI54" s="123"/>
      <c r="DJ54" s="123"/>
      <c r="DK54" s="123"/>
      <c r="DL54" s="123"/>
      <c r="DM54" s="123"/>
      <c r="DN54" s="123"/>
      <c r="DO54" s="123"/>
      <c r="DP54" s="123"/>
      <c r="DQ54" s="123"/>
      <c r="DR54" s="123"/>
      <c r="DS54" s="123"/>
      <c r="DT54" s="123"/>
      <c r="DU54" s="549"/>
      <c r="DV54" s="123"/>
      <c r="DW54" s="546"/>
      <c r="DX54" s="302"/>
      <c r="DY54" s="302"/>
      <c r="DZ54" s="302"/>
      <c r="EA54" s="302"/>
      <c r="EB54" s="302"/>
      <c r="EC54" s="302"/>
      <c r="ED54" s="302"/>
      <c r="EE54" s="111"/>
    </row>
    <row r="55" spans="1:141" s="827" customFormat="1">
      <c r="A55" s="823"/>
      <c r="B55" s="244" t="s">
        <v>364</v>
      </c>
      <c r="C55" s="824"/>
      <c r="D55" s="825"/>
      <c r="E55" s="826"/>
      <c r="F55" s="826"/>
      <c r="G55" s="290"/>
      <c r="H55" s="826"/>
      <c r="I55" s="826"/>
      <c r="J55" s="826"/>
      <c r="K55" s="290"/>
      <c r="L55" s="826"/>
      <c r="M55" s="826"/>
      <c r="N55" s="826"/>
      <c r="O55" s="290"/>
      <c r="P55" s="826"/>
      <c r="Q55" s="826"/>
      <c r="R55" s="826"/>
      <c r="S55" s="290"/>
      <c r="T55" s="826"/>
      <c r="U55" s="826"/>
      <c r="V55" s="826"/>
      <c r="W55" s="290"/>
      <c r="X55" s="826"/>
      <c r="Y55" s="826"/>
      <c r="Z55" s="826"/>
      <c r="AA55" s="290"/>
      <c r="AB55" s="826"/>
      <c r="AC55" s="826"/>
      <c r="AD55" s="826"/>
      <c r="AE55" s="290"/>
      <c r="AF55" s="826"/>
      <c r="AG55" s="826"/>
      <c r="AH55" s="826"/>
      <c r="AI55" s="290"/>
      <c r="AJ55" s="826"/>
      <c r="AK55" s="826"/>
      <c r="AL55" s="826"/>
      <c r="AM55" s="290"/>
      <c r="AN55" s="826"/>
      <c r="AO55" s="826"/>
      <c r="AP55" s="826"/>
      <c r="AQ55" s="290"/>
      <c r="AR55" s="826"/>
      <c r="AS55" s="826"/>
      <c r="AT55" s="826"/>
      <c r="AU55" s="290"/>
      <c r="AV55" s="826"/>
      <c r="AW55" s="826"/>
      <c r="AX55" s="826"/>
      <c r="AY55" s="290"/>
      <c r="AZ55" s="826"/>
      <c r="BA55" s="826"/>
      <c r="BB55" s="826"/>
      <c r="BC55" s="290"/>
      <c r="BD55" s="826"/>
      <c r="BE55" s="826"/>
      <c r="BF55" s="826"/>
      <c r="BG55" s="290"/>
      <c r="BH55" s="826"/>
      <c r="BI55" s="826"/>
      <c r="BJ55" s="826"/>
      <c r="BK55" s="290"/>
      <c r="BL55" s="826"/>
      <c r="BM55" s="826"/>
      <c r="BN55" s="826"/>
      <c r="BO55" s="290"/>
      <c r="BP55" s="826"/>
      <c r="BQ55" s="826"/>
      <c r="BR55" s="826"/>
      <c r="BS55" s="290"/>
      <c r="BT55" s="826"/>
      <c r="BU55" s="826"/>
      <c r="BV55" s="826"/>
      <c r="BW55" s="290"/>
      <c r="BX55" s="826"/>
      <c r="BY55" s="826"/>
      <c r="BZ55" s="826"/>
      <c r="CA55" s="290"/>
      <c r="CB55" s="826"/>
      <c r="CC55" s="826"/>
      <c r="CD55" s="826"/>
      <c r="CE55" s="290"/>
      <c r="CF55" s="826"/>
      <c r="CG55" s="826"/>
      <c r="CH55" s="826"/>
      <c r="CI55" s="290"/>
      <c r="CJ55" s="826"/>
      <c r="CK55" s="826"/>
      <c r="CL55" s="826"/>
      <c r="CM55" s="290"/>
      <c r="CN55" s="826"/>
      <c r="CO55" s="826"/>
      <c r="CP55" s="826"/>
      <c r="CQ55" s="290"/>
      <c r="CR55" s="826"/>
      <c r="CS55" s="826"/>
      <c r="CT55" s="826"/>
      <c r="CU55" s="290"/>
      <c r="CV55" s="826"/>
      <c r="CW55" s="826"/>
      <c r="CX55" s="826"/>
      <c r="CY55" s="290"/>
      <c r="DA55" s="826"/>
      <c r="DB55" s="826"/>
      <c r="DC55" s="826"/>
      <c r="DD55" s="826"/>
      <c r="DE55" s="826"/>
      <c r="DF55" s="826"/>
      <c r="DG55" s="826"/>
      <c r="DH55" s="826"/>
      <c r="DI55" s="826"/>
      <c r="DJ55" s="826"/>
      <c r="DK55" s="826">
        <v>110000</v>
      </c>
      <c r="DL55" s="826">
        <v>115000</v>
      </c>
      <c r="DM55" s="826">
        <v>104000</v>
      </c>
      <c r="DN55" s="826">
        <v>91000</v>
      </c>
      <c r="DO55" s="826">
        <v>80000</v>
      </c>
      <c r="DP55" s="826">
        <v>74900</v>
      </c>
      <c r="DQ55" s="826">
        <v>83400</v>
      </c>
      <c r="DR55" s="826">
        <v>97800</v>
      </c>
      <c r="DS55" s="826">
        <v>113400</v>
      </c>
      <c r="DT55" s="826">
        <v>122300</v>
      </c>
      <c r="DU55" s="826">
        <v>125200</v>
      </c>
      <c r="DV55" s="826">
        <v>136200</v>
      </c>
      <c r="DW55" s="826">
        <v>148400</v>
      </c>
      <c r="DX55" s="826"/>
      <c r="DY55" s="826"/>
      <c r="DZ55" s="826"/>
      <c r="EA55" s="826"/>
      <c r="EB55" s="826"/>
      <c r="EC55" s="826"/>
      <c r="ED55" s="826"/>
      <c r="EE55" s="824"/>
      <c r="EF55"/>
      <c r="EG55"/>
      <c r="EH55"/>
      <c r="EI55"/>
      <c r="EJ55"/>
      <c r="EK55"/>
    </row>
    <row r="56" spans="1:141">
      <c r="A56" s="133"/>
      <c r="B56" s="307"/>
      <c r="C56" s="111"/>
      <c r="D56" s="124"/>
      <c r="E56" s="123"/>
      <c r="F56" s="123"/>
      <c r="G56" s="146"/>
      <c r="H56" s="123"/>
      <c r="I56" s="123"/>
      <c r="J56" s="123"/>
      <c r="K56" s="146"/>
      <c r="L56" s="123"/>
      <c r="M56" s="123"/>
      <c r="N56" s="123"/>
      <c r="O56" s="146"/>
      <c r="P56" s="123"/>
      <c r="Q56" s="123"/>
      <c r="R56" s="123"/>
      <c r="S56" s="146"/>
      <c r="T56" s="123"/>
      <c r="U56" s="123"/>
      <c r="V56" s="123"/>
      <c r="W56" s="146"/>
      <c r="X56" s="123"/>
      <c r="Y56" s="123"/>
      <c r="Z56" s="123"/>
      <c r="AA56" s="146"/>
      <c r="AB56" s="123"/>
      <c r="AC56" s="123"/>
      <c r="AD56" s="123"/>
      <c r="AE56" s="146"/>
      <c r="AF56" s="123"/>
      <c r="AG56" s="123"/>
      <c r="AH56" s="123"/>
      <c r="AI56" s="146"/>
      <c r="AJ56" s="123"/>
      <c r="AK56" s="123"/>
      <c r="AL56" s="123"/>
      <c r="AM56" s="146"/>
      <c r="AN56" s="123"/>
      <c r="AO56" s="123"/>
      <c r="AP56" s="123"/>
      <c r="AQ56" s="146"/>
      <c r="AR56" s="123"/>
      <c r="AS56" s="123"/>
      <c r="AT56" s="123"/>
      <c r="AU56" s="146"/>
      <c r="AV56" s="123"/>
      <c r="AW56" s="123"/>
      <c r="AX56" s="123"/>
      <c r="AY56" s="146"/>
      <c r="AZ56" s="123"/>
      <c r="BA56" s="123"/>
      <c r="BB56" s="123"/>
      <c r="BC56" s="146"/>
      <c r="BD56" s="123"/>
      <c r="BE56" s="123"/>
      <c r="BF56" s="123"/>
      <c r="BG56" s="146"/>
      <c r="BH56" s="123"/>
      <c r="BI56" s="123"/>
      <c r="BJ56" s="123"/>
      <c r="BK56" s="146"/>
      <c r="BL56" s="123"/>
      <c r="BM56" s="123"/>
      <c r="BN56" s="123"/>
      <c r="BO56" s="146"/>
      <c r="BP56" s="123"/>
      <c r="BQ56" s="123"/>
      <c r="BR56" s="123"/>
      <c r="BS56" s="146"/>
      <c r="BT56" s="123"/>
      <c r="BU56" s="123"/>
      <c r="BV56" s="123"/>
      <c r="BW56" s="146"/>
      <c r="BX56" s="123"/>
      <c r="BY56" s="123"/>
      <c r="BZ56" s="123"/>
      <c r="CA56" s="146"/>
      <c r="CB56" s="123"/>
      <c r="CC56" s="123"/>
      <c r="CD56" s="123"/>
      <c r="CE56" s="146"/>
      <c r="CF56" s="123"/>
      <c r="CG56" s="123"/>
      <c r="CH56" s="123"/>
      <c r="CI56" s="146"/>
      <c r="CJ56" s="123"/>
      <c r="CK56" s="123"/>
      <c r="CL56" s="123"/>
      <c r="CM56" s="146"/>
      <c r="CN56" s="302"/>
      <c r="CO56" s="302"/>
      <c r="CP56" s="302"/>
      <c r="CQ56" s="146"/>
      <c r="CR56" s="302"/>
      <c r="CS56" s="302"/>
      <c r="CT56" s="302"/>
      <c r="CU56" s="303"/>
      <c r="CV56" s="302"/>
      <c r="CW56" s="302"/>
      <c r="CX56" s="302"/>
      <c r="CY56" s="303"/>
      <c r="DA56" s="123"/>
      <c r="DB56" s="123"/>
      <c r="DC56" s="123"/>
      <c r="DD56" s="123"/>
      <c r="DE56" s="123"/>
      <c r="DF56" s="123"/>
      <c r="DG56" s="123"/>
      <c r="DH56" s="123"/>
      <c r="DI56" s="123"/>
      <c r="DJ56" s="123"/>
      <c r="DK56" s="123"/>
      <c r="DL56" s="123"/>
      <c r="DM56" s="123"/>
      <c r="DN56" s="123"/>
      <c r="DO56" s="123"/>
      <c r="DP56" s="123"/>
      <c r="DQ56" s="123"/>
      <c r="DR56" s="123"/>
      <c r="DS56" s="123"/>
      <c r="DT56" s="123"/>
      <c r="DU56" s="549"/>
      <c r="DV56" s="123"/>
      <c r="DW56" s="546"/>
      <c r="DX56" s="302"/>
      <c r="DY56" s="302"/>
      <c r="DZ56" s="302"/>
      <c r="EA56" s="302"/>
      <c r="EB56" s="302"/>
      <c r="EC56" s="302"/>
      <c r="ED56" s="302"/>
      <c r="EE56" s="111"/>
    </row>
    <row r="57" spans="1:141" s="570" customFormat="1">
      <c r="A57" s="308"/>
      <c r="B57" s="155" t="s">
        <v>229</v>
      </c>
      <c r="C57" s="155"/>
      <c r="D57" s="571" t="str">
        <f>D$4</f>
        <v>1Q94</v>
      </c>
      <c r="E57" s="572" t="str">
        <f t="shared" ref="E57:BP57" si="138">E$4</f>
        <v>2Q94</v>
      </c>
      <c r="F57" s="572" t="str">
        <f t="shared" si="138"/>
        <v>3Q94</v>
      </c>
      <c r="G57" s="573" t="str">
        <f t="shared" si="138"/>
        <v>4Q94</v>
      </c>
      <c r="H57" s="572" t="str">
        <f t="shared" si="138"/>
        <v>1Q95</v>
      </c>
      <c r="I57" s="572" t="str">
        <f t="shared" si="138"/>
        <v>2Q95</v>
      </c>
      <c r="J57" s="572" t="str">
        <f t="shared" si="138"/>
        <v>3Q95</v>
      </c>
      <c r="K57" s="573" t="str">
        <f t="shared" si="138"/>
        <v>4Q95</v>
      </c>
      <c r="L57" s="572" t="str">
        <f t="shared" si="138"/>
        <v>1Q96</v>
      </c>
      <c r="M57" s="572" t="str">
        <f t="shared" si="138"/>
        <v>2Q96</v>
      </c>
      <c r="N57" s="572" t="str">
        <f t="shared" si="138"/>
        <v>3Q96</v>
      </c>
      <c r="O57" s="573" t="str">
        <f t="shared" si="138"/>
        <v>4Q96</v>
      </c>
      <c r="P57" s="572" t="str">
        <f t="shared" si="138"/>
        <v>1Q97</v>
      </c>
      <c r="Q57" s="572" t="str">
        <f t="shared" si="138"/>
        <v>2Q97</v>
      </c>
      <c r="R57" s="572" t="str">
        <f t="shared" si="138"/>
        <v>3Q97</v>
      </c>
      <c r="S57" s="573" t="str">
        <f t="shared" si="138"/>
        <v>4Q97</v>
      </c>
      <c r="T57" s="572" t="str">
        <f t="shared" si="138"/>
        <v>1Q98</v>
      </c>
      <c r="U57" s="572" t="str">
        <f t="shared" si="138"/>
        <v>2Q98</v>
      </c>
      <c r="V57" s="572" t="str">
        <f t="shared" si="138"/>
        <v>3Q98</v>
      </c>
      <c r="W57" s="573" t="str">
        <f t="shared" si="138"/>
        <v>4Q98</v>
      </c>
      <c r="X57" s="572" t="str">
        <f t="shared" si="138"/>
        <v>1Q99</v>
      </c>
      <c r="Y57" s="572" t="str">
        <f t="shared" si="138"/>
        <v>2Q99</v>
      </c>
      <c r="Z57" s="572" t="str">
        <f t="shared" si="138"/>
        <v>3Q99</v>
      </c>
      <c r="AA57" s="573" t="str">
        <f t="shared" si="138"/>
        <v>4Q99</v>
      </c>
      <c r="AB57" s="572" t="str">
        <f t="shared" si="138"/>
        <v>1Q00</v>
      </c>
      <c r="AC57" s="572" t="str">
        <f t="shared" si="138"/>
        <v>2Q00</v>
      </c>
      <c r="AD57" s="572" t="str">
        <f t="shared" si="138"/>
        <v>3Q00</v>
      </c>
      <c r="AE57" s="573" t="str">
        <f t="shared" si="138"/>
        <v>4Q00</v>
      </c>
      <c r="AF57" s="572" t="str">
        <f t="shared" si="138"/>
        <v>1Q01</v>
      </c>
      <c r="AG57" s="572" t="str">
        <f t="shared" si="138"/>
        <v>2Q01</v>
      </c>
      <c r="AH57" s="572" t="str">
        <f t="shared" si="138"/>
        <v>3Q01</v>
      </c>
      <c r="AI57" s="573" t="str">
        <f t="shared" si="138"/>
        <v>4Q01</v>
      </c>
      <c r="AJ57" s="572" t="str">
        <f t="shared" si="138"/>
        <v>1Q02</v>
      </c>
      <c r="AK57" s="572" t="str">
        <f t="shared" si="138"/>
        <v>2Q02</v>
      </c>
      <c r="AL57" s="572" t="str">
        <f t="shared" si="138"/>
        <v>3Q02</v>
      </c>
      <c r="AM57" s="573" t="str">
        <f t="shared" si="138"/>
        <v>4Q02</v>
      </c>
      <c r="AN57" s="572" t="str">
        <f t="shared" si="138"/>
        <v>1Q03</v>
      </c>
      <c r="AO57" s="572" t="str">
        <f t="shared" si="138"/>
        <v>2Q03</v>
      </c>
      <c r="AP57" s="572" t="str">
        <f t="shared" si="138"/>
        <v>3Q03</v>
      </c>
      <c r="AQ57" s="573" t="str">
        <f t="shared" si="138"/>
        <v>4Q03</v>
      </c>
      <c r="AR57" s="572" t="str">
        <f t="shared" si="138"/>
        <v>1Q04</v>
      </c>
      <c r="AS57" s="572" t="str">
        <f t="shared" si="138"/>
        <v>2Q04</v>
      </c>
      <c r="AT57" s="572" t="str">
        <f t="shared" si="138"/>
        <v>3Q04</v>
      </c>
      <c r="AU57" s="573" t="str">
        <f t="shared" si="138"/>
        <v>4Q04</v>
      </c>
      <c r="AV57" s="572" t="str">
        <f t="shared" si="138"/>
        <v>1Q05</v>
      </c>
      <c r="AW57" s="572" t="str">
        <f t="shared" si="138"/>
        <v>2Q05</v>
      </c>
      <c r="AX57" s="572" t="str">
        <f t="shared" si="138"/>
        <v>3Q05</v>
      </c>
      <c r="AY57" s="573" t="str">
        <f t="shared" si="138"/>
        <v>4Q05</v>
      </c>
      <c r="AZ57" s="572" t="str">
        <f t="shared" si="138"/>
        <v>1Q06</v>
      </c>
      <c r="BA57" s="572" t="str">
        <f t="shared" si="138"/>
        <v>2Q06</v>
      </c>
      <c r="BB57" s="572" t="str">
        <f t="shared" si="138"/>
        <v>3Q06</v>
      </c>
      <c r="BC57" s="573" t="str">
        <f t="shared" si="138"/>
        <v>4Q06</v>
      </c>
      <c r="BD57" s="572" t="str">
        <f t="shared" si="138"/>
        <v>1Q07</v>
      </c>
      <c r="BE57" s="572" t="str">
        <f t="shared" si="138"/>
        <v>2Q07</v>
      </c>
      <c r="BF57" s="572" t="str">
        <f t="shared" si="138"/>
        <v>3Q07</v>
      </c>
      <c r="BG57" s="573" t="str">
        <f t="shared" si="138"/>
        <v>4Q07</v>
      </c>
      <c r="BH57" s="572" t="str">
        <f t="shared" si="138"/>
        <v>1Q08</v>
      </c>
      <c r="BI57" s="572" t="str">
        <f t="shared" si="138"/>
        <v>2Q08</v>
      </c>
      <c r="BJ57" s="572" t="str">
        <f t="shared" si="138"/>
        <v>3Q08</v>
      </c>
      <c r="BK57" s="573" t="str">
        <f t="shared" si="138"/>
        <v>4Q08</v>
      </c>
      <c r="BL57" s="572" t="str">
        <f t="shared" si="138"/>
        <v xml:space="preserve">1Q09 </v>
      </c>
      <c r="BM57" s="572" t="str">
        <f t="shared" si="138"/>
        <v>2Q09</v>
      </c>
      <c r="BN57" s="572" t="str">
        <f t="shared" si="138"/>
        <v>3Q09</v>
      </c>
      <c r="BO57" s="573" t="str">
        <f t="shared" si="138"/>
        <v>4Q09</v>
      </c>
      <c r="BP57" s="572" t="str">
        <f t="shared" si="138"/>
        <v>1Q10</v>
      </c>
      <c r="BQ57" s="572" t="str">
        <f t="shared" ref="BQ57:CY57" si="139">BQ$4</f>
        <v>2Q10</v>
      </c>
      <c r="BR57" s="572" t="str">
        <f t="shared" si="139"/>
        <v>3Q10</v>
      </c>
      <c r="BS57" s="573" t="str">
        <f t="shared" si="139"/>
        <v>4Q10</v>
      </c>
      <c r="BT57" s="572" t="str">
        <f t="shared" si="139"/>
        <v>1Q11</v>
      </c>
      <c r="BU57" s="572" t="str">
        <f t="shared" si="139"/>
        <v>2Q11</v>
      </c>
      <c r="BV57" s="572" t="str">
        <f t="shared" si="139"/>
        <v>3Q11</v>
      </c>
      <c r="BW57" s="573" t="str">
        <f t="shared" si="139"/>
        <v>4Q11</v>
      </c>
      <c r="BX57" s="572" t="str">
        <f t="shared" si="139"/>
        <v>1Q12</v>
      </c>
      <c r="BY57" s="572" t="str">
        <f t="shared" si="139"/>
        <v>2Q12</v>
      </c>
      <c r="BZ57" s="572" t="str">
        <f t="shared" si="139"/>
        <v>3Q12</v>
      </c>
      <c r="CA57" s="573" t="str">
        <f t="shared" si="139"/>
        <v>4Q12</v>
      </c>
      <c r="CB57" s="572" t="str">
        <f t="shared" si="139"/>
        <v>1Q13</v>
      </c>
      <c r="CC57" s="572" t="str">
        <f t="shared" si="139"/>
        <v>2Q13</v>
      </c>
      <c r="CD57" s="572" t="str">
        <f t="shared" si="139"/>
        <v>3Q13</v>
      </c>
      <c r="CE57" s="573" t="str">
        <f t="shared" si="139"/>
        <v>4Q13</v>
      </c>
      <c r="CF57" s="572" t="str">
        <f t="shared" si="139"/>
        <v>1Q14</v>
      </c>
      <c r="CG57" s="572" t="str">
        <f t="shared" si="139"/>
        <v>2Q14</v>
      </c>
      <c r="CH57" s="572" t="str">
        <f t="shared" si="139"/>
        <v>3Q14</v>
      </c>
      <c r="CI57" s="573" t="str">
        <f t="shared" si="139"/>
        <v>4Q14</v>
      </c>
      <c r="CJ57" s="572" t="str">
        <f t="shared" si="139"/>
        <v>1Q15</v>
      </c>
      <c r="CK57" s="572" t="str">
        <f t="shared" si="139"/>
        <v>2Q15</v>
      </c>
      <c r="CL57" s="572" t="str">
        <f t="shared" si="139"/>
        <v>3Q15</v>
      </c>
      <c r="CM57" s="573" t="str">
        <f t="shared" si="139"/>
        <v>4Q15</v>
      </c>
      <c r="CN57" s="572" t="str">
        <f t="shared" si="139"/>
        <v>1Q16</v>
      </c>
      <c r="CO57" s="572" t="str">
        <f t="shared" si="139"/>
        <v>2Q16</v>
      </c>
      <c r="CP57" s="572" t="str">
        <f t="shared" si="139"/>
        <v>3Q16</v>
      </c>
      <c r="CQ57" s="573" t="str">
        <f t="shared" si="139"/>
        <v>4Q16</v>
      </c>
      <c r="CR57" s="572" t="str">
        <f t="shared" si="139"/>
        <v>1Q17</v>
      </c>
      <c r="CS57" s="572" t="str">
        <f t="shared" si="139"/>
        <v>2Q17</v>
      </c>
      <c r="CT57" s="572" t="str">
        <f t="shared" si="139"/>
        <v>3Q17</v>
      </c>
      <c r="CU57" s="573" t="str">
        <f t="shared" si="139"/>
        <v>4Q17</v>
      </c>
      <c r="CV57" s="572" t="str">
        <f t="shared" si="139"/>
        <v>1Q18e</v>
      </c>
      <c r="CW57" s="572" t="str">
        <f t="shared" si="139"/>
        <v>2Q18e</v>
      </c>
      <c r="CX57" s="572" t="str">
        <f t="shared" si="139"/>
        <v>3Q18e</v>
      </c>
      <c r="CY57" s="573" t="str">
        <f t="shared" si="139"/>
        <v>4Q18e</v>
      </c>
      <c r="CZ57" s="569"/>
      <c r="DA57" s="572">
        <f t="shared" ref="DA57:ED57" si="140">DA$4</f>
        <v>1994</v>
      </c>
      <c r="DB57" s="572">
        <f t="shared" si="140"/>
        <v>1995</v>
      </c>
      <c r="DC57" s="572">
        <f t="shared" si="140"/>
        <v>1996</v>
      </c>
      <c r="DD57" s="572">
        <f t="shared" si="140"/>
        <v>1997</v>
      </c>
      <c r="DE57" s="572">
        <f t="shared" si="140"/>
        <v>1998</v>
      </c>
      <c r="DF57" s="572">
        <f t="shared" si="140"/>
        <v>1999</v>
      </c>
      <c r="DG57" s="572">
        <f t="shared" si="140"/>
        <v>2000</v>
      </c>
      <c r="DH57" s="572">
        <f t="shared" si="140"/>
        <v>2001</v>
      </c>
      <c r="DI57" s="572">
        <f t="shared" si="140"/>
        <v>2002</v>
      </c>
      <c r="DJ57" s="572">
        <f t="shared" si="140"/>
        <v>2003</v>
      </c>
      <c r="DK57" s="572">
        <f t="shared" si="140"/>
        <v>2004</v>
      </c>
      <c r="DL57" s="572">
        <f t="shared" si="140"/>
        <v>2005</v>
      </c>
      <c r="DM57" s="572">
        <f t="shared" si="140"/>
        <v>2006</v>
      </c>
      <c r="DN57" s="572">
        <f t="shared" si="140"/>
        <v>2007</v>
      </c>
      <c r="DO57" s="572">
        <f t="shared" si="140"/>
        <v>2008</v>
      </c>
      <c r="DP57" s="572">
        <f t="shared" si="140"/>
        <v>2009</v>
      </c>
      <c r="DQ57" s="572">
        <f t="shared" si="140"/>
        <v>2010</v>
      </c>
      <c r="DR57" s="572">
        <f t="shared" si="140"/>
        <v>2011</v>
      </c>
      <c r="DS57" s="572">
        <f t="shared" si="140"/>
        <v>2012</v>
      </c>
      <c r="DT57" s="572">
        <f t="shared" si="140"/>
        <v>2013</v>
      </c>
      <c r="DU57" s="572">
        <f t="shared" si="140"/>
        <v>2014</v>
      </c>
      <c r="DV57" s="572">
        <f t="shared" si="140"/>
        <v>2015</v>
      </c>
      <c r="DW57" s="572">
        <f t="shared" si="140"/>
        <v>2016</v>
      </c>
      <c r="DX57" s="572">
        <f t="shared" si="140"/>
        <v>2017</v>
      </c>
      <c r="DY57" s="572" t="str">
        <f t="shared" si="140"/>
        <v>2018e</v>
      </c>
      <c r="DZ57" s="572" t="str">
        <f t="shared" si="140"/>
        <v>2019e</v>
      </c>
      <c r="EA57" s="572" t="str">
        <f t="shared" si="140"/>
        <v>2020e</v>
      </c>
      <c r="EB57" s="572" t="str">
        <f t="shared" si="140"/>
        <v>2021e</v>
      </c>
      <c r="EC57" s="572" t="str">
        <f t="shared" si="140"/>
        <v>2022e</v>
      </c>
      <c r="ED57" s="572" t="str">
        <f t="shared" si="140"/>
        <v>2023e</v>
      </c>
      <c r="EF57"/>
      <c r="EG57"/>
      <c r="EH57"/>
      <c r="EI57"/>
      <c r="EJ57"/>
      <c r="EK57"/>
    </row>
    <row r="58" spans="1:141">
      <c r="A58" s="133"/>
      <c r="B58" s="117"/>
      <c r="C58" s="117"/>
      <c r="D58" s="142"/>
      <c r="E58" s="118"/>
      <c r="F58" s="118"/>
      <c r="G58" s="143"/>
      <c r="H58" s="118"/>
      <c r="I58" s="118"/>
      <c r="J58" s="118"/>
      <c r="K58" s="143"/>
      <c r="L58" s="118"/>
      <c r="M58" s="118"/>
      <c r="N58" s="118"/>
      <c r="O58" s="143"/>
      <c r="P58" s="118"/>
      <c r="Q58" s="118"/>
      <c r="R58" s="118"/>
      <c r="S58" s="143"/>
      <c r="T58" s="118"/>
      <c r="U58" s="118"/>
      <c r="V58" s="118"/>
      <c r="W58" s="143"/>
      <c r="X58" s="118"/>
      <c r="Y58" s="118"/>
      <c r="Z58" s="118"/>
      <c r="AA58" s="143"/>
      <c r="AB58" s="118"/>
      <c r="AC58" s="118"/>
      <c r="AD58" s="118"/>
      <c r="AE58" s="143"/>
      <c r="AF58" s="118"/>
      <c r="AG58" s="118"/>
      <c r="AH58" s="118"/>
      <c r="AI58" s="143"/>
      <c r="AJ58" s="118"/>
      <c r="AK58" s="118"/>
      <c r="AL58" s="118"/>
      <c r="AM58" s="143"/>
      <c r="AN58" s="118"/>
      <c r="AO58" s="118"/>
      <c r="AP58" s="118"/>
      <c r="AQ58" s="143"/>
      <c r="AR58" s="118"/>
      <c r="AS58" s="118"/>
      <c r="AT58" s="118"/>
      <c r="AU58" s="143"/>
      <c r="AV58" s="118"/>
      <c r="AW58" s="118"/>
      <c r="AX58" s="118"/>
      <c r="AY58" s="143"/>
      <c r="AZ58" s="118"/>
      <c r="BA58" s="118"/>
      <c r="BB58" s="118"/>
      <c r="BC58" s="143"/>
      <c r="BD58" s="118"/>
      <c r="BE58" s="118"/>
      <c r="BF58" s="118"/>
      <c r="BG58" s="143"/>
      <c r="BH58" s="118"/>
      <c r="BI58" s="118"/>
      <c r="BJ58" s="118"/>
      <c r="BK58" s="143"/>
      <c r="BL58" s="118"/>
      <c r="BM58" s="118"/>
      <c r="BN58" s="118"/>
      <c r="BO58" s="143"/>
      <c r="BP58" s="118"/>
      <c r="BQ58" s="118"/>
      <c r="BR58" s="118"/>
      <c r="BS58" s="143"/>
      <c r="BT58" s="128"/>
      <c r="BU58" s="128"/>
      <c r="BV58" s="128"/>
      <c r="BW58" s="148"/>
      <c r="BX58" s="128"/>
      <c r="BY58" s="128"/>
      <c r="BZ58" s="128"/>
      <c r="CA58" s="148"/>
      <c r="CB58" s="128"/>
      <c r="CC58" s="128"/>
      <c r="CD58" s="128"/>
      <c r="CE58" s="148"/>
      <c r="CF58" s="128"/>
      <c r="CG58" s="128"/>
      <c r="CH58" s="128"/>
      <c r="CI58" s="148"/>
      <c r="CJ58" s="128"/>
      <c r="CK58" s="128"/>
      <c r="CL58" s="128"/>
      <c r="CM58" s="148"/>
      <c r="CN58" s="128"/>
      <c r="CO58" s="128"/>
      <c r="CP58" s="128"/>
      <c r="CQ58" s="148"/>
      <c r="CR58" s="128"/>
      <c r="CS58" s="128"/>
      <c r="CT58" s="128"/>
      <c r="CU58" s="148"/>
      <c r="CV58" s="128"/>
      <c r="CW58" s="128"/>
      <c r="CX58" s="128"/>
      <c r="CY58" s="148"/>
      <c r="DA58" s="128"/>
      <c r="DB58" s="128"/>
      <c r="DC58" s="128"/>
      <c r="DD58" s="128"/>
      <c r="DE58" s="128"/>
      <c r="DF58" s="128"/>
      <c r="DG58" s="128"/>
      <c r="DH58" s="128"/>
      <c r="DI58" s="128"/>
      <c r="DJ58" s="128"/>
      <c r="DK58" s="128"/>
      <c r="DL58" s="128"/>
      <c r="DM58" s="128"/>
      <c r="DN58" s="128"/>
      <c r="DO58" s="128"/>
      <c r="DP58" s="128"/>
      <c r="DQ58" s="128"/>
      <c r="DR58" s="128"/>
      <c r="DS58" s="128"/>
      <c r="DT58" s="128"/>
      <c r="DU58" s="128"/>
      <c r="DV58" s="128"/>
      <c r="DW58" s="128"/>
      <c r="DX58" s="111"/>
      <c r="DY58" s="111"/>
      <c r="DZ58" s="111"/>
      <c r="EA58" s="111"/>
      <c r="EB58" s="111"/>
      <c r="EC58" s="111"/>
      <c r="ED58" s="111"/>
      <c r="EE58" s="111"/>
    </row>
    <row r="59" spans="1:141" s="137" customFormat="1">
      <c r="A59" s="193"/>
      <c r="B59" s="138" t="s">
        <v>144</v>
      </c>
      <c r="C59" s="138"/>
      <c r="D59" s="217">
        <v>34.372</v>
      </c>
      <c r="E59" s="218">
        <v>47.133000000000003</v>
      </c>
      <c r="F59" s="218">
        <v>38.9</v>
      </c>
      <c r="G59" s="219">
        <v>31.995999999999999</v>
      </c>
      <c r="H59" s="218">
        <v>16.2</v>
      </c>
      <c r="I59" s="218">
        <v>53</v>
      </c>
      <c r="J59" s="218">
        <v>15.2</v>
      </c>
      <c r="K59" s="219">
        <v>34.1</v>
      </c>
      <c r="L59" s="218">
        <v>16.2</v>
      </c>
      <c r="M59" s="218">
        <v>32</v>
      </c>
      <c r="N59" s="218">
        <v>51.5</v>
      </c>
      <c r="O59" s="219">
        <v>26</v>
      </c>
      <c r="P59" s="218">
        <v>16.3</v>
      </c>
      <c r="Q59" s="218">
        <v>16.5</v>
      </c>
      <c r="R59" s="218">
        <v>8.9</v>
      </c>
      <c r="S59" s="219">
        <v>12.9</v>
      </c>
      <c r="T59" s="218">
        <v>18.3</v>
      </c>
      <c r="U59" s="218">
        <v>28.2</v>
      </c>
      <c r="V59" s="218">
        <v>32.700000000000003</v>
      </c>
      <c r="W59" s="219">
        <v>30</v>
      </c>
      <c r="X59" s="218">
        <v>24.6</v>
      </c>
      <c r="Y59" s="218">
        <v>32.299999999999997</v>
      </c>
      <c r="Z59" s="218">
        <v>71.400000000000006</v>
      </c>
      <c r="AA59" s="219">
        <v>106.9</v>
      </c>
      <c r="AB59" s="218">
        <v>103.1</v>
      </c>
      <c r="AC59" s="218">
        <v>93.6</v>
      </c>
      <c r="AD59" s="218">
        <v>80.7</v>
      </c>
      <c r="AE59" s="219">
        <v>98.8</v>
      </c>
      <c r="AF59" s="218">
        <v>155.80000000000001</v>
      </c>
      <c r="AG59" s="218">
        <v>126.5</v>
      </c>
      <c r="AH59" s="218">
        <v>101.2</v>
      </c>
      <c r="AI59" s="219">
        <v>87.6</v>
      </c>
      <c r="AJ59" s="218">
        <v>83.8</v>
      </c>
      <c r="AK59" s="218">
        <v>99.7</v>
      </c>
      <c r="AL59" s="218">
        <v>86.4</v>
      </c>
      <c r="AM59" s="219">
        <v>91.7</v>
      </c>
      <c r="AN59" s="218">
        <v>89.9</v>
      </c>
      <c r="AO59" s="218">
        <v>103.1</v>
      </c>
      <c r="AP59" s="218">
        <v>102.5</v>
      </c>
      <c r="AQ59" s="219">
        <v>169.3</v>
      </c>
      <c r="AR59" s="218">
        <v>146.69999999999999</v>
      </c>
      <c r="AS59" s="218">
        <v>148.80000000000001</v>
      </c>
      <c r="AT59" s="218">
        <v>501.6</v>
      </c>
      <c r="AU59" s="219">
        <v>584.9</v>
      </c>
      <c r="AV59" s="218">
        <v>525.6</v>
      </c>
      <c r="AW59" s="218">
        <v>132.9</v>
      </c>
      <c r="AX59" s="218">
        <v>135.4</v>
      </c>
      <c r="AY59" s="219">
        <v>197.3</v>
      </c>
      <c r="AZ59" s="218">
        <v>171.2</v>
      </c>
      <c r="BA59" s="218">
        <v>250.6</v>
      </c>
      <c r="BB59" s="218">
        <v>153</v>
      </c>
      <c r="BC59" s="219">
        <v>502.7</v>
      </c>
      <c r="BD59" s="218">
        <v>330.4</v>
      </c>
      <c r="BE59" s="218">
        <v>565.20000000000005</v>
      </c>
      <c r="BF59" s="218">
        <v>602</v>
      </c>
      <c r="BG59" s="219">
        <v>601.29999999999995</v>
      </c>
      <c r="BH59" s="218">
        <v>701.9</v>
      </c>
      <c r="BI59" s="218">
        <v>623.5</v>
      </c>
      <c r="BJ59" s="218">
        <v>523.20000000000005</v>
      </c>
      <c r="BK59" s="219">
        <v>1592.1</v>
      </c>
      <c r="BL59" s="218">
        <v>1234.3</v>
      </c>
      <c r="BM59" s="218">
        <v>1133.5</v>
      </c>
      <c r="BN59" s="218">
        <v>1771.3</v>
      </c>
      <c r="BO59" s="219">
        <v>1554</v>
      </c>
      <c r="BP59" s="218">
        <v>1300.4000000000001</v>
      </c>
      <c r="BQ59" s="218">
        <v>1420.3</v>
      </c>
      <c r="BR59" s="218">
        <v>1513.5</v>
      </c>
      <c r="BS59" s="219">
        <v>1654.1</v>
      </c>
      <c r="BT59" s="218">
        <v>1707.1</v>
      </c>
      <c r="BU59" s="218">
        <v>1771.2</v>
      </c>
      <c r="BV59" s="218">
        <v>1676.5</v>
      </c>
      <c r="BW59" s="219">
        <v>1754.3</v>
      </c>
      <c r="BX59" s="218">
        <v>1630.9</v>
      </c>
      <c r="BY59" s="218">
        <v>1332.4</v>
      </c>
      <c r="BZ59" s="218">
        <v>1269.5999999999999</v>
      </c>
      <c r="CA59" s="219">
        <v>1402.2</v>
      </c>
      <c r="CB59" s="218">
        <v>1601.3</v>
      </c>
      <c r="CC59" s="218">
        <v>841.1</v>
      </c>
      <c r="CD59" s="218">
        <v>884</v>
      </c>
      <c r="CE59" s="219">
        <v>1137.7</v>
      </c>
      <c r="CF59" s="218">
        <v>919.4</v>
      </c>
      <c r="CG59" s="218">
        <v>865.1</v>
      </c>
      <c r="CH59" s="218">
        <v>872.7</v>
      </c>
      <c r="CI59" s="219">
        <v>1094.0999999999999</v>
      </c>
      <c r="CJ59" s="218">
        <v>748.2</v>
      </c>
      <c r="CK59" s="218">
        <v>967.9</v>
      </c>
      <c r="CL59" s="218">
        <v>922.8</v>
      </c>
      <c r="CM59" s="219">
        <v>1196.5999999999999</v>
      </c>
      <c r="CN59" s="218">
        <v>1174.0999999999999</v>
      </c>
      <c r="CO59" s="218">
        <v>1394.7</v>
      </c>
      <c r="CP59" s="218">
        <v>1341.6</v>
      </c>
      <c r="CQ59" s="219">
        <v>1271.5999999999999</v>
      </c>
      <c r="CR59" s="218">
        <v>1209.7</v>
      </c>
      <c r="CS59" s="218">
        <v>1166.7</v>
      </c>
      <c r="CT59" s="218">
        <v>1253.7</v>
      </c>
      <c r="CU59" s="219">
        <v>1500.4</v>
      </c>
      <c r="CV59" s="197">
        <f>CV152</f>
        <v>1510.7506074503863</v>
      </c>
      <c r="CW59" s="197">
        <f>CW152</f>
        <v>1745.859008998234</v>
      </c>
      <c r="CX59" s="197">
        <f>CX152</f>
        <v>1847.6692128704376</v>
      </c>
      <c r="CY59" s="198">
        <f>CY152</f>
        <v>2140.3585151354864</v>
      </c>
      <c r="DA59" s="212">
        <f>G59</f>
        <v>31.995999999999999</v>
      </c>
      <c r="DB59" s="212">
        <f>K59</f>
        <v>34.1</v>
      </c>
      <c r="DC59" s="212">
        <f>O59</f>
        <v>26</v>
      </c>
      <c r="DD59" s="212">
        <f>S59</f>
        <v>12.9</v>
      </c>
      <c r="DE59" s="212">
        <f>W59</f>
        <v>30</v>
      </c>
      <c r="DF59" s="212">
        <f>AA59</f>
        <v>106.9</v>
      </c>
      <c r="DG59" s="212">
        <f>AE59</f>
        <v>98.8</v>
      </c>
      <c r="DH59" s="212">
        <f>AI59</f>
        <v>87.6</v>
      </c>
      <c r="DI59" s="212">
        <f>AM59</f>
        <v>91.7</v>
      </c>
      <c r="DJ59" s="212">
        <f>AQ59</f>
        <v>169.3</v>
      </c>
      <c r="DK59" s="212">
        <f>AU59</f>
        <v>584.9</v>
      </c>
      <c r="DL59" s="212">
        <f>AY59</f>
        <v>197.3</v>
      </c>
      <c r="DM59" s="212">
        <f>BC59</f>
        <v>502.7</v>
      </c>
      <c r="DN59" s="212">
        <f>BG59</f>
        <v>601.29999999999995</v>
      </c>
      <c r="DO59" s="212">
        <f>BK59</f>
        <v>1592.1</v>
      </c>
      <c r="DP59" s="212">
        <f>BO59</f>
        <v>1554</v>
      </c>
      <c r="DQ59" s="212">
        <f>BS59</f>
        <v>1654.1</v>
      </c>
      <c r="DR59" s="212">
        <f>BW59</f>
        <v>1754.3</v>
      </c>
      <c r="DS59" s="212">
        <f>CA59</f>
        <v>1402.2</v>
      </c>
      <c r="DT59" s="212">
        <f>CE59</f>
        <v>1137.7</v>
      </c>
      <c r="DU59" s="212">
        <f>CI59</f>
        <v>1094.0999999999999</v>
      </c>
      <c r="DV59" s="212">
        <f>CM59</f>
        <v>1196.5999999999999</v>
      </c>
      <c r="DW59" s="212">
        <f>CQ59</f>
        <v>1271.5999999999999</v>
      </c>
      <c r="DX59" s="212">
        <f>CU59</f>
        <v>1500.4</v>
      </c>
      <c r="DY59" s="212">
        <f>CY59</f>
        <v>2140.3585151354864</v>
      </c>
      <c r="DZ59" s="212">
        <f ca="1">DZ152</f>
        <v>2737.9109420088598</v>
      </c>
      <c r="EA59" s="212">
        <f ca="1">EA152</f>
        <v>3331.3165221416366</v>
      </c>
      <c r="EB59" s="212">
        <f ca="1">EB152</f>
        <v>3908.7883337804242</v>
      </c>
      <c r="EC59" s="212">
        <f ca="1">EC152</f>
        <v>4466.4810558699164</v>
      </c>
      <c r="ED59" s="212">
        <f ca="1">ED152</f>
        <v>4993.9700467131033</v>
      </c>
      <c r="EE59" s="199"/>
      <c r="EF59"/>
      <c r="EG59"/>
      <c r="EH59"/>
      <c r="EI59"/>
      <c r="EJ59"/>
      <c r="EK59"/>
    </row>
    <row r="60" spans="1:141" s="137" customFormat="1">
      <c r="A60" s="193"/>
      <c r="B60" s="138" t="s">
        <v>254</v>
      </c>
      <c r="C60" s="138"/>
      <c r="D60" s="217">
        <v>328.47199999999998</v>
      </c>
      <c r="E60" s="218">
        <v>396.572</v>
      </c>
      <c r="F60" s="218">
        <v>373.4</v>
      </c>
      <c r="G60" s="219">
        <v>579.81700000000001</v>
      </c>
      <c r="H60" s="218">
        <v>675.2</v>
      </c>
      <c r="I60" s="218">
        <v>700.2</v>
      </c>
      <c r="J60" s="218">
        <v>803.2</v>
      </c>
      <c r="K60" s="219">
        <v>831.9</v>
      </c>
      <c r="L60" s="218">
        <v>675.2</v>
      </c>
      <c r="M60" s="218">
        <v>1052.5</v>
      </c>
      <c r="N60" s="218">
        <v>1047.9000000000001</v>
      </c>
      <c r="O60" s="219">
        <v>909.6</v>
      </c>
      <c r="P60" s="218">
        <v>983.6</v>
      </c>
      <c r="Q60" s="218">
        <v>1102.5999999999999</v>
      </c>
      <c r="R60" s="218">
        <v>1048.2</v>
      </c>
      <c r="S60" s="219">
        <v>1065.8</v>
      </c>
      <c r="T60" s="218">
        <v>1264.0999999999999</v>
      </c>
      <c r="U60" s="218">
        <v>1370.2</v>
      </c>
      <c r="V60" s="218">
        <v>1299.2</v>
      </c>
      <c r="W60" s="219">
        <v>1373.9</v>
      </c>
      <c r="X60" s="218">
        <v>1482.3</v>
      </c>
      <c r="Y60" s="218">
        <v>1968</v>
      </c>
      <c r="Z60" s="218">
        <v>2013.6</v>
      </c>
      <c r="AA60" s="219">
        <v>1874.1</v>
      </c>
      <c r="AB60" s="218">
        <v>2232.8000000000002</v>
      </c>
      <c r="AC60" s="218">
        <v>2115</v>
      </c>
      <c r="AD60" s="218">
        <v>1898.9</v>
      </c>
      <c r="AE60" s="219">
        <v>1639</v>
      </c>
      <c r="AF60" s="218">
        <v>1601.1</v>
      </c>
      <c r="AG60" s="218">
        <v>1632.3</v>
      </c>
      <c r="AH60" s="218">
        <v>1507.6</v>
      </c>
      <c r="AI60" s="219">
        <v>1392.8</v>
      </c>
      <c r="AJ60" s="218">
        <v>1646.4</v>
      </c>
      <c r="AK60" s="218">
        <v>1802.6</v>
      </c>
      <c r="AL60" s="218">
        <v>1773.1</v>
      </c>
      <c r="AM60" s="219">
        <v>1508</v>
      </c>
      <c r="AN60" s="218">
        <v>2037.1</v>
      </c>
      <c r="AO60" s="218">
        <v>2306.3000000000002</v>
      </c>
      <c r="AP60" s="218">
        <v>2252.6</v>
      </c>
      <c r="AQ60" s="219">
        <v>2200.3000000000002</v>
      </c>
      <c r="AR60" s="218">
        <v>2630.3</v>
      </c>
      <c r="AS60" s="218">
        <v>2497.8000000000002</v>
      </c>
      <c r="AT60" s="218">
        <v>2516.1999999999998</v>
      </c>
      <c r="AU60" s="219">
        <v>2584.9</v>
      </c>
      <c r="AV60" s="218">
        <v>2527.8000000000002</v>
      </c>
      <c r="AW60" s="218">
        <v>2251.8000000000002</v>
      </c>
      <c r="AX60" s="218">
        <v>2725.1</v>
      </c>
      <c r="AY60" s="219">
        <v>2000.1</v>
      </c>
      <c r="AZ60" s="218">
        <v>2726.6</v>
      </c>
      <c r="BA60" s="218">
        <v>2747.2</v>
      </c>
      <c r="BB60" s="218">
        <v>2571.8000000000002</v>
      </c>
      <c r="BC60" s="219">
        <v>2006.9</v>
      </c>
      <c r="BD60" s="218">
        <v>2412.6999999999998</v>
      </c>
      <c r="BE60" s="218">
        <v>2537.1999999999998</v>
      </c>
      <c r="BF60" s="218">
        <v>2439.3000000000002</v>
      </c>
      <c r="BG60" s="219">
        <v>2147.6</v>
      </c>
      <c r="BH60" s="218">
        <v>2380.1</v>
      </c>
      <c r="BI60" s="218">
        <v>2454.6999999999998</v>
      </c>
      <c r="BJ60" s="218">
        <v>1985.8</v>
      </c>
      <c r="BK60" s="219">
        <v>1210.7</v>
      </c>
      <c r="BL60" s="218">
        <v>1356.3</v>
      </c>
      <c r="BM60" s="218">
        <v>1406.9</v>
      </c>
      <c r="BN60" s="218">
        <v>1647.8</v>
      </c>
      <c r="BO60" s="219">
        <v>1479.9</v>
      </c>
      <c r="BP60" s="218">
        <v>1874.3</v>
      </c>
      <c r="BQ60" s="218">
        <v>1888.1</v>
      </c>
      <c r="BR60" s="218">
        <v>1929.1</v>
      </c>
      <c r="BS60" s="219">
        <v>1758.4</v>
      </c>
      <c r="BT60" s="218">
        <v>2258.4</v>
      </c>
      <c r="BU60" s="218">
        <v>2279.6999999999998</v>
      </c>
      <c r="BV60" s="218">
        <v>2082.3000000000002</v>
      </c>
      <c r="BW60" s="219">
        <v>1880.1</v>
      </c>
      <c r="BX60" s="218">
        <v>2366.3000000000002</v>
      </c>
      <c r="BY60" s="218">
        <v>2293.3000000000002</v>
      </c>
      <c r="BZ60" s="218">
        <v>2192.8000000000002</v>
      </c>
      <c r="CA60" s="219">
        <v>2040.7</v>
      </c>
      <c r="CB60" s="218">
        <v>2438</v>
      </c>
      <c r="CC60" s="218">
        <v>2468</v>
      </c>
      <c r="CD60" s="218">
        <v>2596.9</v>
      </c>
      <c r="CE60" s="219">
        <v>2278.3000000000002</v>
      </c>
      <c r="CF60" s="218">
        <v>3027.8</v>
      </c>
      <c r="CG60" s="218">
        <v>3064.4</v>
      </c>
      <c r="CH60" s="218">
        <v>2843</v>
      </c>
      <c r="CI60" s="219">
        <v>2471.6999999999998</v>
      </c>
      <c r="CJ60" s="218">
        <v>3170.5</v>
      </c>
      <c r="CK60" s="218">
        <v>3105.5</v>
      </c>
      <c r="CL60" s="218">
        <v>2959.9</v>
      </c>
      <c r="CM60" s="219">
        <v>2590</v>
      </c>
      <c r="CN60" s="218">
        <v>3048.8</v>
      </c>
      <c r="CO60" s="218">
        <v>2987.3</v>
      </c>
      <c r="CP60" s="218">
        <v>3109.5</v>
      </c>
      <c r="CQ60" s="219">
        <v>2746.5</v>
      </c>
      <c r="CR60" s="218">
        <v>3308.8</v>
      </c>
      <c r="CS60" s="218">
        <v>3357.7</v>
      </c>
      <c r="CT60" s="218">
        <v>3357.9</v>
      </c>
      <c r="CU60" s="219">
        <v>3230.8</v>
      </c>
      <c r="CV60" s="197">
        <f>CV101/365*CV95</f>
        <v>3764.8158429593977</v>
      </c>
      <c r="CW60" s="197">
        <f>CW101/365*CW95</f>
        <v>3738.4087624707377</v>
      </c>
      <c r="CX60" s="197">
        <f>CX101/365*CX95</f>
        <v>3681.4978821861641</v>
      </c>
      <c r="CY60" s="198">
        <f>CY101/365*CY95</f>
        <v>3526.5900249834381</v>
      </c>
      <c r="DA60" s="212">
        <f>G60</f>
        <v>579.81700000000001</v>
      </c>
      <c r="DB60" s="212">
        <f>K60</f>
        <v>831.9</v>
      </c>
      <c r="DC60" s="212">
        <f>O60</f>
        <v>909.6</v>
      </c>
      <c r="DD60" s="212">
        <f>S60</f>
        <v>1065.8</v>
      </c>
      <c r="DE60" s="212">
        <f>W60</f>
        <v>1373.9</v>
      </c>
      <c r="DF60" s="212">
        <f>AA60</f>
        <v>1874.1</v>
      </c>
      <c r="DG60" s="212">
        <f>AE60</f>
        <v>1639</v>
      </c>
      <c r="DH60" s="212">
        <f>AI60</f>
        <v>1392.8</v>
      </c>
      <c r="DI60" s="212">
        <f>AM60</f>
        <v>1508</v>
      </c>
      <c r="DJ60" s="212">
        <f>AQ60</f>
        <v>2200.3000000000002</v>
      </c>
      <c r="DK60" s="212">
        <f>AU60</f>
        <v>2584.9</v>
      </c>
      <c r="DL60" s="212">
        <f>AY60</f>
        <v>2000.1</v>
      </c>
      <c r="DM60" s="212">
        <f>BC60</f>
        <v>2006.9</v>
      </c>
      <c r="DN60" s="212">
        <f>BG60</f>
        <v>2147.6</v>
      </c>
      <c r="DO60" s="212">
        <f>BK60</f>
        <v>1210.7</v>
      </c>
      <c r="DP60" s="212">
        <f>BO60</f>
        <v>1479.9</v>
      </c>
      <c r="DQ60" s="212">
        <f>BS60</f>
        <v>1758.4</v>
      </c>
      <c r="DR60" s="212">
        <f>BW60</f>
        <v>1880.1</v>
      </c>
      <c r="DS60" s="212">
        <f>CA60</f>
        <v>2040.7</v>
      </c>
      <c r="DT60" s="212">
        <f>CE60</f>
        <v>2278.3000000000002</v>
      </c>
      <c r="DU60" s="212">
        <f>CI60</f>
        <v>2471.6999999999998</v>
      </c>
      <c r="DV60" s="212">
        <f>CM60</f>
        <v>2590</v>
      </c>
      <c r="DW60" s="212">
        <f>CQ60</f>
        <v>2746.5</v>
      </c>
      <c r="DX60" s="212">
        <f>CU60</f>
        <v>3230.8</v>
      </c>
      <c r="DY60" s="212">
        <f t="shared" ref="DY60:DY62" si="141">CY60</f>
        <v>3526.5900249834381</v>
      </c>
      <c r="DZ60" s="212">
        <f>DZ101/365*DZ95</f>
        <v>3808.5148841224272</v>
      </c>
      <c r="EA60" s="212">
        <f>EA101/365*EA95</f>
        <v>4067.619357707425</v>
      </c>
      <c r="EB60" s="212">
        <f>EB101/365*EB95</f>
        <v>4326.437590845534</v>
      </c>
      <c r="EC60" s="212">
        <f>EC101/365*EC95</f>
        <v>4552.4709843837854</v>
      </c>
      <c r="ED60" s="212">
        <f>ED101/365*ED95</f>
        <v>4732.0596488225183</v>
      </c>
      <c r="EE60" s="199"/>
      <c r="EF60"/>
      <c r="EG60"/>
      <c r="EH60"/>
      <c r="EI60"/>
      <c r="EJ60"/>
      <c r="EK60"/>
    </row>
    <row r="61" spans="1:141" s="137" customFormat="1">
      <c r="A61" s="193"/>
      <c r="B61" s="138" t="s">
        <v>164</v>
      </c>
      <c r="C61" s="138"/>
      <c r="D61" s="217">
        <v>67.521000000000001</v>
      </c>
      <c r="E61" s="218">
        <v>74.552999999999997</v>
      </c>
      <c r="F61" s="218">
        <v>89.3</v>
      </c>
      <c r="G61" s="219">
        <v>126.628</v>
      </c>
      <c r="H61" s="218">
        <v>114.8</v>
      </c>
      <c r="I61" s="218">
        <v>111</v>
      </c>
      <c r="J61" s="218">
        <v>185.9</v>
      </c>
      <c r="K61" s="219">
        <v>196.2</v>
      </c>
      <c r="L61" s="218">
        <v>114.8</v>
      </c>
      <c r="M61" s="218">
        <v>199.5</v>
      </c>
      <c r="N61" s="218">
        <v>202.1</v>
      </c>
      <c r="O61" s="219">
        <v>200</v>
      </c>
      <c r="P61" s="218">
        <v>187.7</v>
      </c>
      <c r="Q61" s="218">
        <v>190.5</v>
      </c>
      <c r="R61" s="218">
        <v>218.7</v>
      </c>
      <c r="S61" s="219">
        <v>231.4</v>
      </c>
      <c r="T61" s="218">
        <v>246.6</v>
      </c>
      <c r="U61" s="218">
        <v>263</v>
      </c>
      <c r="V61" s="218">
        <v>332.7</v>
      </c>
      <c r="W61" s="219">
        <v>349.6</v>
      </c>
      <c r="X61" s="218">
        <v>321.3</v>
      </c>
      <c r="Y61" s="218">
        <v>481.1</v>
      </c>
      <c r="Z61" s="218">
        <v>570.4</v>
      </c>
      <c r="AA61" s="219">
        <v>577.29999999999995</v>
      </c>
      <c r="AB61" s="218">
        <v>552.6</v>
      </c>
      <c r="AC61" s="218">
        <v>495.2</v>
      </c>
      <c r="AD61" s="218">
        <v>545.1</v>
      </c>
      <c r="AE61" s="219">
        <v>538.79999999999995</v>
      </c>
      <c r="AF61" s="218">
        <v>450.6</v>
      </c>
      <c r="AG61" s="218">
        <v>421.2</v>
      </c>
      <c r="AH61" s="218">
        <v>473.8</v>
      </c>
      <c r="AI61" s="219">
        <v>440.3</v>
      </c>
      <c r="AJ61" s="218">
        <v>442.3</v>
      </c>
      <c r="AK61" s="218">
        <v>439.7</v>
      </c>
      <c r="AL61" s="218">
        <v>497.4</v>
      </c>
      <c r="AM61" s="219">
        <v>489.7</v>
      </c>
      <c r="AN61" s="218">
        <v>490.4</v>
      </c>
      <c r="AO61" s="218">
        <v>484.8</v>
      </c>
      <c r="AP61" s="218">
        <v>512.1</v>
      </c>
      <c r="AQ61" s="219">
        <v>550.20000000000005</v>
      </c>
      <c r="AR61" s="218">
        <v>548.20000000000005</v>
      </c>
      <c r="AS61" s="218">
        <v>563.1</v>
      </c>
      <c r="AT61" s="218">
        <v>683.8</v>
      </c>
      <c r="AU61" s="219">
        <v>621.20000000000005</v>
      </c>
      <c r="AV61" s="218">
        <v>620.6</v>
      </c>
      <c r="AW61" s="218">
        <v>580.29999999999995</v>
      </c>
      <c r="AX61" s="218">
        <v>688.9</v>
      </c>
      <c r="AY61" s="219">
        <v>595.6</v>
      </c>
      <c r="AZ61" s="218">
        <v>671.5</v>
      </c>
      <c r="BA61" s="218">
        <v>694</v>
      </c>
      <c r="BB61" s="218">
        <v>748.4</v>
      </c>
      <c r="BC61" s="219">
        <v>581.5</v>
      </c>
      <c r="BD61" s="218">
        <v>599</v>
      </c>
      <c r="BE61" s="218">
        <v>564.70000000000005</v>
      </c>
      <c r="BF61" s="218">
        <v>635.1</v>
      </c>
      <c r="BG61" s="219">
        <v>605.5</v>
      </c>
      <c r="BH61" s="218">
        <v>669.8</v>
      </c>
      <c r="BI61" s="218">
        <v>691</v>
      </c>
      <c r="BJ61" s="218">
        <v>682.3</v>
      </c>
      <c r="BK61" s="219">
        <v>532.20000000000005</v>
      </c>
      <c r="BL61" s="218">
        <v>464.5</v>
      </c>
      <c r="BM61" s="218">
        <v>432.4</v>
      </c>
      <c r="BN61" s="218">
        <v>452.3</v>
      </c>
      <c r="BO61" s="219">
        <v>447.4</v>
      </c>
      <c r="BP61" s="218">
        <v>499.6</v>
      </c>
      <c r="BQ61" s="218">
        <v>510</v>
      </c>
      <c r="BR61" s="218">
        <v>583.4</v>
      </c>
      <c r="BS61" s="219">
        <v>554.20000000000005</v>
      </c>
      <c r="BT61" s="218">
        <v>627</v>
      </c>
      <c r="BU61" s="218">
        <v>657.6</v>
      </c>
      <c r="BV61" s="218">
        <v>708.9</v>
      </c>
      <c r="BW61" s="219">
        <v>637.79999999999995</v>
      </c>
      <c r="BX61" s="218">
        <v>715.5</v>
      </c>
      <c r="BY61" s="218">
        <v>749.9</v>
      </c>
      <c r="BZ61" s="218">
        <v>763.4</v>
      </c>
      <c r="CA61" s="219">
        <v>727.1</v>
      </c>
      <c r="CB61" s="218">
        <v>793.4</v>
      </c>
      <c r="CC61" s="218">
        <v>787.9</v>
      </c>
      <c r="CD61" s="218">
        <v>839.2</v>
      </c>
      <c r="CE61" s="219">
        <v>818.7</v>
      </c>
      <c r="CF61" s="218">
        <v>872</v>
      </c>
      <c r="CG61" s="218">
        <v>881.6</v>
      </c>
      <c r="CH61" s="218">
        <v>899.1</v>
      </c>
      <c r="CI61" s="219">
        <v>853.7</v>
      </c>
      <c r="CJ61" s="218">
        <v>985.8</v>
      </c>
      <c r="CK61" s="218">
        <v>1008.6</v>
      </c>
      <c r="CL61" s="218">
        <v>1043.3</v>
      </c>
      <c r="CM61" s="219">
        <v>947.6</v>
      </c>
      <c r="CN61" s="218">
        <v>1009.7</v>
      </c>
      <c r="CO61" s="218">
        <v>1011.3</v>
      </c>
      <c r="CP61" s="218">
        <v>1063</v>
      </c>
      <c r="CQ61" s="219">
        <v>1020.6</v>
      </c>
      <c r="CR61" s="218">
        <v>1067.8</v>
      </c>
      <c r="CS61" s="218">
        <v>1127.4000000000001</v>
      </c>
      <c r="CT61" s="218">
        <v>1232.9000000000001</v>
      </c>
      <c r="CU61" s="219">
        <v>1205.7</v>
      </c>
      <c r="CV61" s="197">
        <f>-CV102/365*CV97</f>
        <v>1284.6149585948069</v>
      </c>
      <c r="CW61" s="197">
        <f>-CW102/365*CW97</f>
        <v>1316.1085919661825</v>
      </c>
      <c r="CX61" s="197">
        <f>-CX102/365*CX97</f>
        <v>1391.8996681429278</v>
      </c>
      <c r="CY61" s="198">
        <f>-CY102/365*CY97</f>
        <v>1349.3229482682111</v>
      </c>
      <c r="DA61" s="212">
        <f>G61</f>
        <v>126.628</v>
      </c>
      <c r="DB61" s="212">
        <f>K61</f>
        <v>196.2</v>
      </c>
      <c r="DC61" s="212">
        <f>O61</f>
        <v>200</v>
      </c>
      <c r="DD61" s="212">
        <f>S61</f>
        <v>231.4</v>
      </c>
      <c r="DE61" s="212">
        <f>W61</f>
        <v>349.6</v>
      </c>
      <c r="DF61" s="212">
        <f>AA61</f>
        <v>577.29999999999995</v>
      </c>
      <c r="DG61" s="212">
        <f>AE61</f>
        <v>538.79999999999995</v>
      </c>
      <c r="DH61" s="212">
        <f>AI61</f>
        <v>440.3</v>
      </c>
      <c r="DI61" s="212">
        <f>AM61</f>
        <v>489.7</v>
      </c>
      <c r="DJ61" s="212">
        <f>AQ61</f>
        <v>550.20000000000005</v>
      </c>
      <c r="DK61" s="212">
        <f>AU61</f>
        <v>621.20000000000005</v>
      </c>
      <c r="DL61" s="212">
        <f>AY61</f>
        <v>595.6</v>
      </c>
      <c r="DM61" s="212">
        <f>BC61</f>
        <v>581.5</v>
      </c>
      <c r="DN61" s="212">
        <f>BG61</f>
        <v>605.5</v>
      </c>
      <c r="DO61" s="212">
        <f>BK61</f>
        <v>532.20000000000005</v>
      </c>
      <c r="DP61" s="212">
        <f>BO61</f>
        <v>447.4</v>
      </c>
      <c r="DQ61" s="212">
        <f>BS61</f>
        <v>554.20000000000005</v>
      </c>
      <c r="DR61" s="212">
        <f>BW61</f>
        <v>637.79999999999995</v>
      </c>
      <c r="DS61" s="212">
        <f>CA61</f>
        <v>727.1</v>
      </c>
      <c r="DT61" s="212">
        <f>CE61</f>
        <v>818.7</v>
      </c>
      <c r="DU61" s="212">
        <f>CI61</f>
        <v>853.7</v>
      </c>
      <c r="DV61" s="212">
        <f>CM61</f>
        <v>947.6</v>
      </c>
      <c r="DW61" s="212">
        <f>CQ61</f>
        <v>1020.6</v>
      </c>
      <c r="DX61" s="212">
        <f>CU61</f>
        <v>1205.7</v>
      </c>
      <c r="DY61" s="212">
        <f t="shared" si="141"/>
        <v>1349.3229482682111</v>
      </c>
      <c r="DZ61" s="212">
        <f>-DZ102/365*DZ97</f>
        <v>1437.1958234370722</v>
      </c>
      <c r="EA61" s="212">
        <f>-EA102/365*EA97</f>
        <v>1518.4815476767501</v>
      </c>
      <c r="EB61" s="212">
        <f>-EB102/365*EB97</f>
        <v>1597.9319580091055</v>
      </c>
      <c r="EC61" s="212">
        <f>-EC102/365*EC97</f>
        <v>1663.6966474319686</v>
      </c>
      <c r="ED61" s="212">
        <f>-ED102/365*ED97</f>
        <v>1711.244925463463</v>
      </c>
      <c r="EE61" s="199"/>
      <c r="EF61"/>
      <c r="EG61"/>
      <c r="EH61"/>
      <c r="EI61"/>
      <c r="EJ61"/>
      <c r="EK61"/>
    </row>
    <row r="62" spans="1:141" s="137" customFormat="1">
      <c r="A62" s="193"/>
      <c r="B62" s="200" t="s">
        <v>53</v>
      </c>
      <c r="C62" s="200"/>
      <c r="D62" s="220">
        <v>34.719000000000001</v>
      </c>
      <c r="E62" s="221">
        <v>46.908000000000001</v>
      </c>
      <c r="F62" s="221">
        <v>63.7</v>
      </c>
      <c r="G62" s="222">
        <v>79.856999999999999</v>
      </c>
      <c r="H62" s="221">
        <v>98.1</v>
      </c>
      <c r="I62" s="221">
        <v>94.9</v>
      </c>
      <c r="J62" s="221">
        <v>139.80000000000001</v>
      </c>
      <c r="K62" s="222">
        <v>145</v>
      </c>
      <c r="L62" s="221">
        <v>98.1</v>
      </c>
      <c r="M62" s="221">
        <v>215</v>
      </c>
      <c r="N62" s="221">
        <v>207.1</v>
      </c>
      <c r="O62" s="222">
        <v>211.8</v>
      </c>
      <c r="P62" s="221">
        <v>238.6</v>
      </c>
      <c r="Q62" s="221">
        <v>217.5</v>
      </c>
      <c r="R62" s="221">
        <v>232.6</v>
      </c>
      <c r="S62" s="222">
        <v>304.8</v>
      </c>
      <c r="T62" s="221">
        <v>364.6</v>
      </c>
      <c r="U62" s="221">
        <v>368.1</v>
      </c>
      <c r="V62" s="221">
        <v>400.9</v>
      </c>
      <c r="W62" s="222">
        <v>444.5</v>
      </c>
      <c r="X62" s="221">
        <v>482.5</v>
      </c>
      <c r="Y62" s="221">
        <v>720.5</v>
      </c>
      <c r="Z62" s="221">
        <v>780.2</v>
      </c>
      <c r="AA62" s="222">
        <v>603.9</v>
      </c>
      <c r="AB62" s="221">
        <v>674.7</v>
      </c>
      <c r="AC62" s="221">
        <v>620.79999999999995</v>
      </c>
      <c r="AD62" s="221">
        <v>635.20000000000005</v>
      </c>
      <c r="AE62" s="222">
        <v>551.4</v>
      </c>
      <c r="AF62" s="221">
        <v>571.29999999999995</v>
      </c>
      <c r="AG62" s="221">
        <v>525.4</v>
      </c>
      <c r="AH62" s="221">
        <v>421.6</v>
      </c>
      <c r="AI62" s="222">
        <v>446.1</v>
      </c>
      <c r="AJ62" s="221">
        <v>493.6</v>
      </c>
      <c r="AK62" s="221">
        <v>515.79999999999995</v>
      </c>
      <c r="AL62" s="221">
        <v>445.8</v>
      </c>
      <c r="AM62" s="222">
        <v>418.3</v>
      </c>
      <c r="AN62" s="221">
        <v>418.4</v>
      </c>
      <c r="AO62" s="221">
        <v>405.5</v>
      </c>
      <c r="AP62" s="221">
        <v>429.7</v>
      </c>
      <c r="AQ62" s="222">
        <v>455.6</v>
      </c>
      <c r="AR62" s="221">
        <v>460.4</v>
      </c>
      <c r="AS62" s="221">
        <v>554.6</v>
      </c>
      <c r="AT62" s="221">
        <v>496</v>
      </c>
      <c r="AU62" s="222">
        <v>581</v>
      </c>
      <c r="AV62" s="221">
        <v>604.70000000000005</v>
      </c>
      <c r="AW62" s="221">
        <v>644.4</v>
      </c>
      <c r="AX62" s="221">
        <v>613.29999999999995</v>
      </c>
      <c r="AY62" s="222">
        <v>1053.4000000000001</v>
      </c>
      <c r="AZ62" s="221">
        <v>510.5</v>
      </c>
      <c r="BA62" s="221">
        <v>543.20000000000005</v>
      </c>
      <c r="BB62" s="221">
        <v>538.9</v>
      </c>
      <c r="BC62" s="222">
        <v>799.2</v>
      </c>
      <c r="BD62" s="221">
        <v>355.9</v>
      </c>
      <c r="BE62" s="221">
        <v>321</v>
      </c>
      <c r="BF62" s="221">
        <v>329.1</v>
      </c>
      <c r="BG62" s="222">
        <v>363.6</v>
      </c>
      <c r="BH62" s="221">
        <v>382.1</v>
      </c>
      <c r="BI62" s="221">
        <v>438.4</v>
      </c>
      <c r="BJ62" s="221">
        <v>452</v>
      </c>
      <c r="BK62" s="222">
        <v>339.2</v>
      </c>
      <c r="BL62" s="221">
        <v>296.5</v>
      </c>
      <c r="BM62" s="221">
        <v>328.5</v>
      </c>
      <c r="BN62" s="221">
        <v>299.60000000000002</v>
      </c>
      <c r="BO62" s="222">
        <v>305.7</v>
      </c>
      <c r="BP62" s="221">
        <v>337.5</v>
      </c>
      <c r="BQ62" s="221">
        <v>336.8</v>
      </c>
      <c r="BR62" s="221">
        <v>358.5</v>
      </c>
      <c r="BS62" s="222">
        <v>418.8</v>
      </c>
      <c r="BT62" s="221">
        <v>458.1</v>
      </c>
      <c r="BU62" s="221">
        <v>529.70000000000005</v>
      </c>
      <c r="BV62" s="221">
        <v>524</v>
      </c>
      <c r="BW62" s="222">
        <v>489.3</v>
      </c>
      <c r="BX62" s="221">
        <v>532.29999999999995</v>
      </c>
      <c r="BY62" s="221">
        <v>588.70000000000005</v>
      </c>
      <c r="BZ62" s="221">
        <v>618.20000000000005</v>
      </c>
      <c r="CA62" s="222">
        <v>703.5</v>
      </c>
      <c r="CB62" s="221">
        <v>703.6</v>
      </c>
      <c r="CC62" s="221">
        <v>695.4</v>
      </c>
      <c r="CD62" s="221">
        <v>683.5</v>
      </c>
      <c r="CE62" s="222">
        <v>687.8</v>
      </c>
      <c r="CF62" s="221">
        <v>741.8</v>
      </c>
      <c r="CG62" s="221">
        <v>717.2</v>
      </c>
      <c r="CH62" s="221">
        <v>718.2</v>
      </c>
      <c r="CI62" s="222">
        <v>960.1</v>
      </c>
      <c r="CJ62" s="221">
        <v>737.9</v>
      </c>
      <c r="CK62" s="221">
        <v>725.6</v>
      </c>
      <c r="CL62" s="221">
        <v>705.8</v>
      </c>
      <c r="CM62" s="222">
        <v>552.4</v>
      </c>
      <c r="CN62" s="221">
        <v>543.1</v>
      </c>
      <c r="CO62" s="221">
        <v>542.9</v>
      </c>
      <c r="CP62" s="221">
        <v>539.70000000000005</v>
      </c>
      <c r="CQ62" s="222">
        <v>610.6</v>
      </c>
      <c r="CR62" s="221">
        <v>642.6</v>
      </c>
      <c r="CS62" s="221">
        <v>690.1</v>
      </c>
      <c r="CT62" s="221">
        <v>718.5</v>
      </c>
      <c r="CU62" s="222">
        <v>676.1</v>
      </c>
      <c r="CV62" s="221">
        <f>CU62</f>
        <v>676.1</v>
      </c>
      <c r="CW62" s="221">
        <f>CV62</f>
        <v>676.1</v>
      </c>
      <c r="CX62" s="221">
        <f>CW62</f>
        <v>676.1</v>
      </c>
      <c r="CY62" s="222">
        <f>CX62</f>
        <v>676.1</v>
      </c>
      <c r="DA62" s="542">
        <f>G62</f>
        <v>79.856999999999999</v>
      </c>
      <c r="DB62" s="542">
        <f>K62</f>
        <v>145</v>
      </c>
      <c r="DC62" s="542">
        <f>O62</f>
        <v>211.8</v>
      </c>
      <c r="DD62" s="542">
        <f>S62</f>
        <v>304.8</v>
      </c>
      <c r="DE62" s="542">
        <f>W62</f>
        <v>444.5</v>
      </c>
      <c r="DF62" s="542">
        <f>AA62</f>
        <v>603.9</v>
      </c>
      <c r="DG62" s="542">
        <f>AE62</f>
        <v>551.4</v>
      </c>
      <c r="DH62" s="542">
        <f>AI62</f>
        <v>446.1</v>
      </c>
      <c r="DI62" s="542">
        <f>AM62</f>
        <v>418.3</v>
      </c>
      <c r="DJ62" s="542">
        <f>AQ62</f>
        <v>455.6</v>
      </c>
      <c r="DK62" s="542">
        <f>AU62</f>
        <v>581</v>
      </c>
      <c r="DL62" s="542">
        <f>AY62</f>
        <v>1053.4000000000001</v>
      </c>
      <c r="DM62" s="542">
        <f>BC62</f>
        <v>799.2</v>
      </c>
      <c r="DN62" s="542">
        <f>BG62</f>
        <v>363.6</v>
      </c>
      <c r="DO62" s="542">
        <f>BK62</f>
        <v>339.2</v>
      </c>
      <c r="DP62" s="542">
        <f>BO62</f>
        <v>305.7</v>
      </c>
      <c r="DQ62" s="542">
        <f>BS62</f>
        <v>418.8</v>
      </c>
      <c r="DR62" s="542">
        <f>BW62</f>
        <v>489.3</v>
      </c>
      <c r="DS62" s="542">
        <f>CA62</f>
        <v>703.5</v>
      </c>
      <c r="DT62" s="542">
        <f>CE62</f>
        <v>687.8</v>
      </c>
      <c r="DU62" s="542">
        <f>CI62</f>
        <v>960.1</v>
      </c>
      <c r="DV62" s="542">
        <f>CM62</f>
        <v>552.4</v>
      </c>
      <c r="DW62" s="542">
        <f>CQ62</f>
        <v>610.6</v>
      </c>
      <c r="DX62" s="542">
        <f>CU62</f>
        <v>676.1</v>
      </c>
      <c r="DY62" s="542">
        <f t="shared" si="141"/>
        <v>676.1</v>
      </c>
      <c r="DZ62" s="221">
        <f>DY62</f>
        <v>676.1</v>
      </c>
      <c r="EA62" s="221">
        <f>DZ62</f>
        <v>676.1</v>
      </c>
      <c r="EB62" s="221">
        <f>EA62</f>
        <v>676.1</v>
      </c>
      <c r="EC62" s="221">
        <f>EB62</f>
        <v>676.1</v>
      </c>
      <c r="ED62" s="221">
        <f>EC62</f>
        <v>676.1</v>
      </c>
      <c r="EE62" s="199"/>
      <c r="EF62"/>
      <c r="EG62"/>
      <c r="EH62"/>
      <c r="EI62"/>
      <c r="EJ62"/>
      <c r="EK62"/>
    </row>
    <row r="63" spans="1:141" s="137" customFormat="1">
      <c r="A63" s="193"/>
      <c r="B63" s="199" t="s">
        <v>17</v>
      </c>
      <c r="C63" s="199"/>
      <c r="D63" s="213">
        <f t="shared" ref="D63:AC63" si="142">SUM(D59:D62)</f>
        <v>465.084</v>
      </c>
      <c r="E63" s="197">
        <f t="shared" si="142"/>
        <v>565.16600000000005</v>
      </c>
      <c r="F63" s="197">
        <f t="shared" si="142"/>
        <v>565.29999999999995</v>
      </c>
      <c r="G63" s="198">
        <f t="shared" si="142"/>
        <v>818.298</v>
      </c>
      <c r="H63" s="197">
        <f t="shared" si="142"/>
        <v>904.30000000000007</v>
      </c>
      <c r="I63" s="197">
        <f t="shared" si="142"/>
        <v>959.1</v>
      </c>
      <c r="J63" s="197">
        <f t="shared" si="142"/>
        <v>1144.1000000000001</v>
      </c>
      <c r="K63" s="198">
        <f t="shared" si="142"/>
        <v>1207.2</v>
      </c>
      <c r="L63" s="197">
        <f t="shared" si="142"/>
        <v>904.30000000000007</v>
      </c>
      <c r="M63" s="197">
        <f t="shared" si="142"/>
        <v>1499</v>
      </c>
      <c r="N63" s="197">
        <f t="shared" si="142"/>
        <v>1508.6</v>
      </c>
      <c r="O63" s="198">
        <f t="shared" si="142"/>
        <v>1347.3999999999999</v>
      </c>
      <c r="P63" s="197">
        <f t="shared" si="142"/>
        <v>1426.1999999999998</v>
      </c>
      <c r="Q63" s="197">
        <f t="shared" si="142"/>
        <v>1527.1</v>
      </c>
      <c r="R63" s="197">
        <f t="shared" si="142"/>
        <v>1508.4</v>
      </c>
      <c r="S63" s="198">
        <f t="shared" si="142"/>
        <v>1614.9</v>
      </c>
      <c r="T63" s="197">
        <f t="shared" si="142"/>
        <v>1893.6</v>
      </c>
      <c r="U63" s="197">
        <f t="shared" si="142"/>
        <v>2029.5</v>
      </c>
      <c r="V63" s="197">
        <f t="shared" si="142"/>
        <v>2065.5</v>
      </c>
      <c r="W63" s="198">
        <f t="shared" si="142"/>
        <v>2198</v>
      </c>
      <c r="X63" s="197">
        <f t="shared" si="142"/>
        <v>2310.6999999999998</v>
      </c>
      <c r="Y63" s="197">
        <f t="shared" si="142"/>
        <v>3201.9</v>
      </c>
      <c r="Z63" s="197">
        <f t="shared" si="142"/>
        <v>3435.6000000000004</v>
      </c>
      <c r="AA63" s="198">
        <f t="shared" si="142"/>
        <v>3162.2000000000003</v>
      </c>
      <c r="AB63" s="197">
        <f t="shared" si="142"/>
        <v>3563.2</v>
      </c>
      <c r="AC63" s="197">
        <f t="shared" si="142"/>
        <v>3324.5999999999995</v>
      </c>
      <c r="AD63" s="197">
        <f t="shared" ref="AD63:BC63" si="143">SUM(AD59:AD62)</f>
        <v>3159.9000000000005</v>
      </c>
      <c r="AE63" s="198">
        <f t="shared" si="143"/>
        <v>2828</v>
      </c>
      <c r="AF63" s="197">
        <f t="shared" si="143"/>
        <v>2778.8</v>
      </c>
      <c r="AG63" s="197">
        <f t="shared" si="143"/>
        <v>2705.4</v>
      </c>
      <c r="AH63" s="197">
        <f t="shared" si="143"/>
        <v>2504.1999999999998</v>
      </c>
      <c r="AI63" s="198">
        <f t="shared" si="143"/>
        <v>2366.7999999999997</v>
      </c>
      <c r="AJ63" s="197">
        <f t="shared" si="143"/>
        <v>2666.1</v>
      </c>
      <c r="AK63" s="197">
        <f t="shared" si="143"/>
        <v>2857.8</v>
      </c>
      <c r="AL63" s="197">
        <f t="shared" si="143"/>
        <v>2802.7000000000003</v>
      </c>
      <c r="AM63" s="198">
        <f t="shared" si="143"/>
        <v>2507.7000000000003</v>
      </c>
      <c r="AN63" s="197">
        <f t="shared" si="143"/>
        <v>3035.8</v>
      </c>
      <c r="AO63" s="197">
        <f t="shared" si="143"/>
        <v>3299.7000000000003</v>
      </c>
      <c r="AP63" s="197">
        <f t="shared" si="143"/>
        <v>3296.8999999999996</v>
      </c>
      <c r="AQ63" s="198">
        <f t="shared" si="143"/>
        <v>3375.4</v>
      </c>
      <c r="AR63" s="197">
        <f t="shared" si="143"/>
        <v>3785.6</v>
      </c>
      <c r="AS63" s="197">
        <f t="shared" si="143"/>
        <v>3764.3</v>
      </c>
      <c r="AT63" s="197">
        <f t="shared" si="143"/>
        <v>4197.5999999999995</v>
      </c>
      <c r="AU63" s="198">
        <f t="shared" si="143"/>
        <v>4372</v>
      </c>
      <c r="AV63" s="197">
        <f t="shared" si="143"/>
        <v>4278.7</v>
      </c>
      <c r="AW63" s="197">
        <f t="shared" si="143"/>
        <v>3609.4</v>
      </c>
      <c r="AX63" s="197">
        <f t="shared" si="143"/>
        <v>4162.7</v>
      </c>
      <c r="AY63" s="198">
        <f t="shared" si="143"/>
        <v>3846.4</v>
      </c>
      <c r="AZ63" s="197">
        <f t="shared" si="143"/>
        <v>4079.7999999999997</v>
      </c>
      <c r="BA63" s="197">
        <f t="shared" si="143"/>
        <v>4235</v>
      </c>
      <c r="BB63" s="197">
        <f t="shared" si="143"/>
        <v>4012.1000000000004</v>
      </c>
      <c r="BC63" s="198">
        <f t="shared" si="143"/>
        <v>3890.3</v>
      </c>
      <c r="BD63" s="197">
        <f t="shared" ref="BD63:CB63" si="144">SUM(BD59:BD62)</f>
        <v>3698</v>
      </c>
      <c r="BE63" s="197">
        <f t="shared" si="144"/>
        <v>3988.0999999999995</v>
      </c>
      <c r="BF63" s="197">
        <f t="shared" si="144"/>
        <v>4005.5</v>
      </c>
      <c r="BG63" s="198">
        <f t="shared" si="144"/>
        <v>3717.9999999999995</v>
      </c>
      <c r="BH63" s="197">
        <f t="shared" si="144"/>
        <v>4133.9000000000005</v>
      </c>
      <c r="BI63" s="197">
        <f t="shared" si="144"/>
        <v>4207.5999999999995</v>
      </c>
      <c r="BJ63" s="197">
        <f t="shared" si="144"/>
        <v>3643.3</v>
      </c>
      <c r="BK63" s="198">
        <f t="shared" si="144"/>
        <v>3674.2</v>
      </c>
      <c r="BL63" s="197">
        <f t="shared" si="144"/>
        <v>3351.6</v>
      </c>
      <c r="BM63" s="197">
        <f t="shared" si="144"/>
        <v>3301.3</v>
      </c>
      <c r="BN63" s="197">
        <f t="shared" si="144"/>
        <v>4171</v>
      </c>
      <c r="BO63" s="198">
        <f t="shared" si="144"/>
        <v>3787</v>
      </c>
      <c r="BP63" s="197">
        <f t="shared" si="144"/>
        <v>4011.7999999999997</v>
      </c>
      <c r="BQ63" s="197">
        <f t="shared" si="144"/>
        <v>4155.2</v>
      </c>
      <c r="BR63" s="197">
        <f t="shared" si="144"/>
        <v>4384.5</v>
      </c>
      <c r="BS63" s="198">
        <f t="shared" si="144"/>
        <v>4385.5</v>
      </c>
      <c r="BT63" s="197">
        <f t="shared" si="144"/>
        <v>5050.6000000000004</v>
      </c>
      <c r="BU63" s="197">
        <f t="shared" si="144"/>
        <v>5238.2</v>
      </c>
      <c r="BV63" s="197">
        <f t="shared" si="144"/>
        <v>4991.7</v>
      </c>
      <c r="BW63" s="198">
        <f t="shared" si="144"/>
        <v>4761.5</v>
      </c>
      <c r="BX63" s="197">
        <f t="shared" si="144"/>
        <v>5245.0000000000009</v>
      </c>
      <c r="BY63" s="197">
        <f t="shared" si="144"/>
        <v>4964.3</v>
      </c>
      <c r="BZ63" s="197">
        <f t="shared" si="144"/>
        <v>4844</v>
      </c>
      <c r="CA63" s="198">
        <f t="shared" si="144"/>
        <v>4873.5</v>
      </c>
      <c r="CB63" s="197">
        <f t="shared" si="144"/>
        <v>5536.3</v>
      </c>
      <c r="CC63" s="197">
        <f t="shared" ref="CC63:CS63" si="145">SUM(CC59:CC62)</f>
        <v>4792.3999999999996</v>
      </c>
      <c r="CD63" s="197">
        <f t="shared" si="145"/>
        <v>5003.6000000000004</v>
      </c>
      <c r="CE63" s="198">
        <f t="shared" si="145"/>
        <v>4922.5</v>
      </c>
      <c r="CF63" s="197">
        <f t="shared" si="145"/>
        <v>5561.0000000000009</v>
      </c>
      <c r="CG63" s="197">
        <f t="shared" si="145"/>
        <v>5528.3</v>
      </c>
      <c r="CH63" s="197">
        <f t="shared" si="145"/>
        <v>5333</v>
      </c>
      <c r="CI63" s="198">
        <f t="shared" si="145"/>
        <v>5379.6</v>
      </c>
      <c r="CJ63" s="197">
        <f t="shared" si="145"/>
        <v>5642.4</v>
      </c>
      <c r="CK63" s="197">
        <f t="shared" si="145"/>
        <v>5807.6</v>
      </c>
      <c r="CL63" s="197">
        <f t="shared" si="145"/>
        <v>5631.8</v>
      </c>
      <c r="CM63" s="198">
        <f t="shared" si="145"/>
        <v>5286.5999999999995</v>
      </c>
      <c r="CN63" s="197">
        <f t="shared" si="145"/>
        <v>5775.7</v>
      </c>
      <c r="CO63" s="197">
        <f t="shared" si="145"/>
        <v>5936.2</v>
      </c>
      <c r="CP63" s="197">
        <f t="shared" si="145"/>
        <v>6053.8</v>
      </c>
      <c r="CQ63" s="198">
        <f t="shared" si="145"/>
        <v>5649.3</v>
      </c>
      <c r="CR63" s="197">
        <f t="shared" si="145"/>
        <v>6228.9000000000005</v>
      </c>
      <c r="CS63" s="197">
        <f t="shared" si="145"/>
        <v>6341.9</v>
      </c>
      <c r="CT63" s="197">
        <f>SUM(CT59:CT62)</f>
        <v>6563</v>
      </c>
      <c r="CU63" s="198">
        <f>SUM(CU59:CU62)</f>
        <v>6613.0000000000009</v>
      </c>
      <c r="CV63" s="197">
        <f t="shared" ref="CV63:CY63" si="146">SUM(CV59:CV62)</f>
        <v>7236.2814090045913</v>
      </c>
      <c r="CW63" s="197">
        <f t="shared" si="146"/>
        <v>7476.4763634351548</v>
      </c>
      <c r="CX63" s="197">
        <f t="shared" si="146"/>
        <v>7597.1667631995306</v>
      </c>
      <c r="CY63" s="198">
        <f t="shared" si="146"/>
        <v>7692.3714883871362</v>
      </c>
      <c r="DA63" s="212">
        <f t="shared" ref="DA63:EA63" si="147">SUM(DA59:DA62)</f>
        <v>818.298</v>
      </c>
      <c r="DB63" s="212">
        <f t="shared" si="147"/>
        <v>1207.2</v>
      </c>
      <c r="DC63" s="212">
        <f t="shared" si="147"/>
        <v>1347.3999999999999</v>
      </c>
      <c r="DD63" s="212">
        <f t="shared" si="147"/>
        <v>1614.9</v>
      </c>
      <c r="DE63" s="212">
        <f t="shared" si="147"/>
        <v>2198</v>
      </c>
      <c r="DF63" s="212">
        <f t="shared" si="147"/>
        <v>3162.2000000000003</v>
      </c>
      <c r="DG63" s="212">
        <f t="shared" si="147"/>
        <v>2828</v>
      </c>
      <c r="DH63" s="212">
        <f t="shared" si="147"/>
        <v>2366.7999999999997</v>
      </c>
      <c r="DI63" s="212">
        <f t="shared" si="147"/>
        <v>2507.7000000000003</v>
      </c>
      <c r="DJ63" s="212">
        <f t="shared" si="147"/>
        <v>3375.4</v>
      </c>
      <c r="DK63" s="212">
        <f t="shared" si="147"/>
        <v>4372</v>
      </c>
      <c r="DL63" s="212">
        <f t="shared" si="147"/>
        <v>3846.4</v>
      </c>
      <c r="DM63" s="212">
        <f t="shared" si="147"/>
        <v>3890.3</v>
      </c>
      <c r="DN63" s="212">
        <f t="shared" si="147"/>
        <v>3717.9999999999995</v>
      </c>
      <c r="DO63" s="212">
        <f t="shared" si="147"/>
        <v>3674.2</v>
      </c>
      <c r="DP63" s="212">
        <f t="shared" si="147"/>
        <v>3787</v>
      </c>
      <c r="DQ63" s="212">
        <f t="shared" si="147"/>
        <v>4385.5</v>
      </c>
      <c r="DR63" s="212">
        <f t="shared" si="147"/>
        <v>4761.5</v>
      </c>
      <c r="DS63" s="212">
        <f t="shared" si="147"/>
        <v>4873.5</v>
      </c>
      <c r="DT63" s="212">
        <f t="shared" si="147"/>
        <v>4922.5</v>
      </c>
      <c r="DU63" s="212">
        <f t="shared" si="147"/>
        <v>5379.6</v>
      </c>
      <c r="DV63" s="212">
        <f t="shared" si="147"/>
        <v>5286.5999999999995</v>
      </c>
      <c r="DW63" s="212">
        <f t="shared" si="147"/>
        <v>5649.3</v>
      </c>
      <c r="DX63" s="212">
        <f t="shared" si="147"/>
        <v>6613.0000000000009</v>
      </c>
      <c r="DY63" s="212">
        <f>SUM(DY59:DY62)</f>
        <v>7692.3714883871362</v>
      </c>
      <c r="DZ63" s="197">
        <f t="shared" ca="1" si="147"/>
        <v>8659.7216495683588</v>
      </c>
      <c r="EA63" s="197">
        <f t="shared" ca="1" si="147"/>
        <v>9593.5174275258123</v>
      </c>
      <c r="EB63" s="197">
        <f t="shared" ref="EB63:ED63" ca="1" si="148">SUM(EB59:EB62)</f>
        <v>10509.257882635064</v>
      </c>
      <c r="EC63" s="197">
        <f t="shared" ca="1" si="148"/>
        <v>11358.748687685671</v>
      </c>
      <c r="ED63" s="197">
        <f t="shared" ca="1" si="148"/>
        <v>12113.374620999084</v>
      </c>
      <c r="EE63" s="199"/>
      <c r="EF63"/>
      <c r="EG63"/>
      <c r="EH63"/>
      <c r="EI63"/>
      <c r="EJ63"/>
      <c r="EK63"/>
    </row>
    <row r="64" spans="1:141" s="137" customFormat="1">
      <c r="A64" s="193"/>
      <c r="B64" s="199"/>
      <c r="C64" s="199"/>
      <c r="D64" s="223"/>
      <c r="E64" s="199"/>
      <c r="F64" s="199"/>
      <c r="G64" s="211"/>
      <c r="H64" s="199"/>
      <c r="I64" s="199"/>
      <c r="J64" s="199"/>
      <c r="K64" s="211"/>
      <c r="L64" s="199"/>
      <c r="M64" s="199"/>
      <c r="N64" s="199"/>
      <c r="O64" s="211"/>
      <c r="P64" s="199"/>
      <c r="Q64" s="199"/>
      <c r="R64" s="199"/>
      <c r="S64" s="211"/>
      <c r="T64" s="199"/>
      <c r="U64" s="199"/>
      <c r="V64" s="199"/>
      <c r="W64" s="211"/>
      <c r="X64" s="199"/>
      <c r="Y64" s="199"/>
      <c r="Z64" s="199"/>
      <c r="AA64" s="211"/>
      <c r="AB64" s="199"/>
      <c r="AC64" s="199"/>
      <c r="AD64" s="199"/>
      <c r="AE64" s="211"/>
      <c r="AF64" s="199"/>
      <c r="AG64" s="199"/>
      <c r="AH64" s="199"/>
      <c r="AI64" s="211"/>
      <c r="AJ64" s="199"/>
      <c r="AK64" s="199"/>
      <c r="AL64" s="199"/>
      <c r="AM64" s="211"/>
      <c r="AN64" s="199"/>
      <c r="AO64" s="199"/>
      <c r="AP64" s="199"/>
      <c r="AQ64" s="211"/>
      <c r="AR64" s="199"/>
      <c r="AS64" s="199"/>
      <c r="AT64" s="199"/>
      <c r="AU64" s="211"/>
      <c r="AV64" s="199"/>
      <c r="AW64" s="199"/>
      <c r="AX64" s="199"/>
      <c r="AY64" s="211"/>
      <c r="AZ64" s="199"/>
      <c r="BA64" s="199"/>
      <c r="BB64" s="199"/>
      <c r="BC64" s="211"/>
      <c r="BD64" s="199"/>
      <c r="BE64" s="199"/>
      <c r="BF64" s="199"/>
      <c r="BG64" s="211"/>
      <c r="BH64" s="199"/>
      <c r="BI64" s="199"/>
      <c r="BJ64" s="199"/>
      <c r="BK64" s="211"/>
      <c r="BL64" s="199"/>
      <c r="BM64" s="199"/>
      <c r="BN64" s="199"/>
      <c r="BO64" s="211"/>
      <c r="BP64" s="199"/>
      <c r="BQ64" s="199"/>
      <c r="BR64" s="199"/>
      <c r="BS64" s="211"/>
      <c r="BT64" s="199"/>
      <c r="BU64" s="199"/>
      <c r="BV64" s="199"/>
      <c r="BW64" s="211"/>
      <c r="BX64" s="199"/>
      <c r="BY64" s="199"/>
      <c r="BZ64" s="199"/>
      <c r="CA64" s="211"/>
      <c r="CB64" s="199"/>
      <c r="CC64" s="199"/>
      <c r="CD64" s="199"/>
      <c r="CE64" s="211"/>
      <c r="CF64" s="199"/>
      <c r="CG64" s="199"/>
      <c r="CH64" s="199"/>
      <c r="CI64" s="211"/>
      <c r="CJ64" s="199"/>
      <c r="CK64" s="199"/>
      <c r="CL64" s="199"/>
      <c r="CM64" s="211"/>
      <c r="CN64" s="199"/>
      <c r="CO64" s="199"/>
      <c r="CP64" s="199"/>
      <c r="CQ64" s="211"/>
      <c r="CR64" s="199"/>
      <c r="CS64" s="199"/>
      <c r="CT64" s="199"/>
      <c r="CU64" s="211"/>
      <c r="CV64" s="858"/>
      <c r="CW64" s="858"/>
      <c r="CX64" s="858"/>
      <c r="CY64" s="225"/>
      <c r="DA64" s="226"/>
      <c r="DB64" s="226"/>
      <c r="DC64" s="226"/>
      <c r="DD64" s="226"/>
      <c r="DE64" s="226"/>
      <c r="DF64" s="226"/>
      <c r="DG64" s="226"/>
      <c r="DH64" s="226"/>
      <c r="DI64" s="226"/>
      <c r="DJ64" s="226"/>
      <c r="DK64" s="226"/>
      <c r="DL64" s="226"/>
      <c r="DM64" s="226"/>
      <c r="DN64" s="226"/>
      <c r="DO64" s="226"/>
      <c r="DP64" s="226"/>
      <c r="DQ64" s="226"/>
      <c r="DR64" s="226"/>
      <c r="DS64" s="226"/>
      <c r="DT64" s="226"/>
      <c r="DU64" s="226"/>
      <c r="DV64" s="226"/>
      <c r="DW64" s="226"/>
      <c r="DX64" s="226"/>
      <c r="DY64" s="226"/>
      <c r="DZ64" s="199"/>
      <c r="EA64" s="199"/>
      <c r="EB64" s="199"/>
      <c r="EC64" s="199"/>
      <c r="ED64" s="199"/>
      <c r="EE64" s="199"/>
      <c r="EF64"/>
      <c r="EG64"/>
      <c r="EH64"/>
      <c r="EI64"/>
      <c r="EJ64"/>
      <c r="EK64"/>
    </row>
    <row r="65" spans="1:141" s="137" customFormat="1">
      <c r="A65" s="193"/>
      <c r="B65" s="138" t="s">
        <v>255</v>
      </c>
      <c r="C65" s="138"/>
      <c r="D65" s="217">
        <v>232.6</v>
      </c>
      <c r="E65" s="218">
        <v>234.4</v>
      </c>
      <c r="F65" s="218">
        <v>256.3</v>
      </c>
      <c r="G65" s="219">
        <v>354.2</v>
      </c>
      <c r="H65" s="218">
        <v>358</v>
      </c>
      <c r="I65" s="218">
        <v>363.9</v>
      </c>
      <c r="J65" s="218">
        <v>634.9</v>
      </c>
      <c r="K65" s="219">
        <v>642.79999999999995</v>
      </c>
      <c r="L65" s="218">
        <v>358</v>
      </c>
      <c r="M65" s="218">
        <v>778.1</v>
      </c>
      <c r="N65" s="218">
        <v>792.6</v>
      </c>
      <c r="O65" s="219">
        <v>866.3</v>
      </c>
      <c r="P65" s="218">
        <v>841.7</v>
      </c>
      <c r="Q65" s="218">
        <v>868.4</v>
      </c>
      <c r="R65" s="218">
        <v>918.6</v>
      </c>
      <c r="S65" s="219">
        <v>939.1</v>
      </c>
      <c r="T65" s="218">
        <v>943.5</v>
      </c>
      <c r="U65" s="218">
        <v>1017.7</v>
      </c>
      <c r="V65" s="218">
        <v>1132.0999999999999</v>
      </c>
      <c r="W65" s="219">
        <v>1182.3</v>
      </c>
      <c r="X65" s="218">
        <v>1183.2</v>
      </c>
      <c r="Y65" s="218">
        <v>1810.3</v>
      </c>
      <c r="Z65" s="218">
        <v>1870</v>
      </c>
      <c r="AA65" s="219">
        <v>1970</v>
      </c>
      <c r="AB65" s="218">
        <v>1960</v>
      </c>
      <c r="AC65" s="218">
        <v>1912.3</v>
      </c>
      <c r="AD65" s="218">
        <v>1870.3</v>
      </c>
      <c r="AE65" s="219">
        <v>1891.3</v>
      </c>
      <c r="AF65" s="218">
        <v>1822.4</v>
      </c>
      <c r="AG65" s="218">
        <v>1784.6</v>
      </c>
      <c r="AH65" s="218">
        <v>1791.2</v>
      </c>
      <c r="AI65" s="219">
        <v>1715.7</v>
      </c>
      <c r="AJ65" s="218">
        <v>1664.6</v>
      </c>
      <c r="AK65" s="218">
        <v>1681</v>
      </c>
      <c r="AL65" s="218">
        <v>1664.9</v>
      </c>
      <c r="AM65" s="219">
        <v>1710.6</v>
      </c>
      <c r="AN65" s="218">
        <v>1709.3</v>
      </c>
      <c r="AO65" s="218">
        <v>1735.1</v>
      </c>
      <c r="AP65" s="218">
        <v>1717.7</v>
      </c>
      <c r="AQ65" s="219">
        <v>1817.8</v>
      </c>
      <c r="AR65" s="218">
        <v>1779.9</v>
      </c>
      <c r="AS65" s="218">
        <v>1808.5</v>
      </c>
      <c r="AT65" s="218">
        <v>1930.4</v>
      </c>
      <c r="AU65" s="219">
        <v>2019.8</v>
      </c>
      <c r="AV65" s="218">
        <v>2023.9</v>
      </c>
      <c r="AW65" s="218">
        <v>2012.8</v>
      </c>
      <c r="AX65" s="218">
        <v>1976.4</v>
      </c>
      <c r="AY65" s="219">
        <v>1614.7</v>
      </c>
      <c r="AZ65" s="218">
        <v>2002.5</v>
      </c>
      <c r="BA65" s="218">
        <v>2017.1</v>
      </c>
      <c r="BB65" s="218">
        <v>1982</v>
      </c>
      <c r="BC65" s="219">
        <v>1471.7</v>
      </c>
      <c r="BD65" s="218">
        <v>1425.9</v>
      </c>
      <c r="BE65" s="218">
        <v>1370.6</v>
      </c>
      <c r="BF65" s="218">
        <v>1367.6</v>
      </c>
      <c r="BG65" s="219">
        <v>1392.7</v>
      </c>
      <c r="BH65" s="218">
        <v>1402.1</v>
      </c>
      <c r="BI65" s="218">
        <v>1393.9</v>
      </c>
      <c r="BJ65" s="218">
        <v>1321.9</v>
      </c>
      <c r="BK65" s="219">
        <v>1213.5</v>
      </c>
      <c r="BL65" s="218">
        <v>1139.9000000000001</v>
      </c>
      <c r="BM65" s="218">
        <v>1112.3</v>
      </c>
      <c r="BN65" s="218">
        <v>1075.2</v>
      </c>
      <c r="BO65" s="219">
        <v>1050.9000000000001</v>
      </c>
      <c r="BP65" s="218">
        <v>1005.2</v>
      </c>
      <c r="BQ65" s="218">
        <v>957.6</v>
      </c>
      <c r="BR65" s="218">
        <v>990.1</v>
      </c>
      <c r="BS65" s="219">
        <v>994.7</v>
      </c>
      <c r="BT65" s="218">
        <v>1044.8</v>
      </c>
      <c r="BU65" s="218">
        <v>1084.7</v>
      </c>
      <c r="BV65" s="218">
        <v>1058.0999999999999</v>
      </c>
      <c r="BW65" s="219">
        <v>1072</v>
      </c>
      <c r="BX65" s="218">
        <v>1106.5999999999999</v>
      </c>
      <c r="BY65" s="218">
        <v>1222.4000000000001</v>
      </c>
      <c r="BZ65" s="218">
        <v>1299.5999999999999</v>
      </c>
      <c r="CA65" s="219">
        <v>1403.1</v>
      </c>
      <c r="CB65" s="218">
        <v>1423.7</v>
      </c>
      <c r="CC65" s="218">
        <v>1481.3</v>
      </c>
      <c r="CD65" s="218">
        <v>1540</v>
      </c>
      <c r="CE65" s="219">
        <v>1587.2</v>
      </c>
      <c r="CF65" s="218">
        <v>1715.3</v>
      </c>
      <c r="CG65" s="218">
        <v>1654.3</v>
      </c>
      <c r="CH65" s="218">
        <v>1614.4</v>
      </c>
      <c r="CI65" s="219">
        <v>1624.7</v>
      </c>
      <c r="CJ65" s="218">
        <v>1714.6</v>
      </c>
      <c r="CK65" s="218">
        <v>1772.5</v>
      </c>
      <c r="CL65" s="218">
        <v>1781.9</v>
      </c>
      <c r="CM65" s="219">
        <v>1826.5</v>
      </c>
      <c r="CN65" s="218">
        <v>1874</v>
      </c>
      <c r="CO65" s="218">
        <v>1890.3</v>
      </c>
      <c r="CP65" s="218">
        <v>1920.9</v>
      </c>
      <c r="CQ65" s="219">
        <v>2019.3</v>
      </c>
      <c r="CR65" s="218">
        <v>2070.6999999999998</v>
      </c>
      <c r="CS65" s="218">
        <v>2266.6999999999998</v>
      </c>
      <c r="CT65" s="218">
        <v>2378.1</v>
      </c>
      <c r="CU65" s="219">
        <v>2459.4</v>
      </c>
      <c r="CV65" s="197">
        <f>CU65-CV117-CV133</f>
        <v>2499.6448518210009</v>
      </c>
      <c r="CW65" s="197">
        <f>CV65-CW117-CW133</f>
        <v>2541.7796399838544</v>
      </c>
      <c r="CX65" s="197">
        <f>CW65-CX117-CX133</f>
        <v>2584.6061619973589</v>
      </c>
      <c r="CY65" s="198">
        <f>CX65-CY117-CY133</f>
        <v>2626.5350090119114</v>
      </c>
      <c r="DA65" s="212">
        <f>G65</f>
        <v>354.2</v>
      </c>
      <c r="DB65" s="212">
        <f>K65</f>
        <v>642.79999999999995</v>
      </c>
      <c r="DC65" s="212">
        <f>O65</f>
        <v>866.3</v>
      </c>
      <c r="DD65" s="212">
        <f>S65</f>
        <v>939.1</v>
      </c>
      <c r="DE65" s="212">
        <f>W65</f>
        <v>1182.3</v>
      </c>
      <c r="DF65" s="212">
        <f>AA65</f>
        <v>1970</v>
      </c>
      <c r="DG65" s="212">
        <f>AE65</f>
        <v>1891.3</v>
      </c>
      <c r="DH65" s="212">
        <f>AI65</f>
        <v>1715.7</v>
      </c>
      <c r="DI65" s="212">
        <f>AM65</f>
        <v>1710.6</v>
      </c>
      <c r="DJ65" s="212">
        <f>AQ65</f>
        <v>1817.8</v>
      </c>
      <c r="DK65" s="212">
        <f>AU65</f>
        <v>2019.8</v>
      </c>
      <c r="DL65" s="212">
        <f>AY65</f>
        <v>1614.7</v>
      </c>
      <c r="DM65" s="212">
        <f>BC65</f>
        <v>1471.7</v>
      </c>
      <c r="DN65" s="212">
        <f>BG65</f>
        <v>1392.7</v>
      </c>
      <c r="DO65" s="212">
        <f>BK65</f>
        <v>1213.5</v>
      </c>
      <c r="DP65" s="212">
        <f>BO65</f>
        <v>1050.9000000000001</v>
      </c>
      <c r="DQ65" s="212">
        <f>BS65</f>
        <v>994.7</v>
      </c>
      <c r="DR65" s="212">
        <f>BW65</f>
        <v>1072</v>
      </c>
      <c r="DS65" s="212">
        <f>CA65</f>
        <v>1403.1</v>
      </c>
      <c r="DT65" s="212">
        <f>CE65</f>
        <v>1587.2</v>
      </c>
      <c r="DU65" s="212">
        <f>CI65</f>
        <v>1624.7</v>
      </c>
      <c r="DV65" s="212">
        <f>CM65</f>
        <v>1826.5</v>
      </c>
      <c r="DW65" s="212">
        <f>CQ65</f>
        <v>2019.3</v>
      </c>
      <c r="DX65" s="212">
        <f>CU65</f>
        <v>2459.4</v>
      </c>
      <c r="DY65" s="212">
        <f t="shared" ref="DY65:DY67" si="149">CY65</f>
        <v>2626.5350090119114</v>
      </c>
      <c r="DZ65" s="212">
        <f>DY65-DZ117-DZ133</f>
        <v>2801.067107695395</v>
      </c>
      <c r="EA65" s="212">
        <f>DZ65-EA117-EA133</f>
        <v>2976.1937175306334</v>
      </c>
      <c r="EB65" s="212">
        <f>EA65-EB117-EB133</f>
        <v>3150.626360808008</v>
      </c>
      <c r="EC65" s="212">
        <f>EB65-EC117-EC133</f>
        <v>3317.8092574887387</v>
      </c>
      <c r="ED65" s="212">
        <f>EC65-ED117-ED133</f>
        <v>3470.472892067748</v>
      </c>
      <c r="EE65" s="199"/>
      <c r="EF65"/>
      <c r="EG65"/>
      <c r="EH65"/>
      <c r="EI65"/>
      <c r="EJ65"/>
      <c r="EK65"/>
    </row>
    <row r="66" spans="1:141" s="137" customFormat="1">
      <c r="A66" s="193"/>
      <c r="B66" s="138" t="s">
        <v>14</v>
      </c>
      <c r="C66" s="138"/>
      <c r="D66" s="217">
        <v>400.892</v>
      </c>
      <c r="E66" s="218">
        <v>404.21800000000002</v>
      </c>
      <c r="F66" s="218">
        <v>401.8</v>
      </c>
      <c r="G66" s="219">
        <v>529.80899999999997</v>
      </c>
      <c r="H66" s="218">
        <v>496</v>
      </c>
      <c r="I66" s="218">
        <v>494.4</v>
      </c>
      <c r="J66" s="218">
        <v>1094.4000000000001</v>
      </c>
      <c r="K66" s="219">
        <v>1098.4000000000001</v>
      </c>
      <c r="L66" s="218">
        <v>496</v>
      </c>
      <c r="M66" s="218">
        <v>1405.5</v>
      </c>
      <c r="N66" s="218">
        <v>1401.7</v>
      </c>
      <c r="O66" s="219">
        <v>1448.2</v>
      </c>
      <c r="P66" s="218">
        <v>1431.7</v>
      </c>
      <c r="Q66" s="218">
        <v>1452.8</v>
      </c>
      <c r="R66" s="218">
        <v>1685.6</v>
      </c>
      <c r="S66" s="219">
        <v>1692.3</v>
      </c>
      <c r="T66" s="218">
        <v>1669</v>
      </c>
      <c r="U66" s="218">
        <v>1789.5</v>
      </c>
      <c r="V66" s="218">
        <v>2002</v>
      </c>
      <c r="W66" s="219">
        <v>2019.8</v>
      </c>
      <c r="X66" s="218">
        <v>1990.9</v>
      </c>
      <c r="Y66" s="218">
        <v>3315.5</v>
      </c>
      <c r="Z66" s="218">
        <v>3328.3</v>
      </c>
      <c r="AA66" s="219">
        <v>3210.5</v>
      </c>
      <c r="AB66" s="218">
        <v>3221.2</v>
      </c>
      <c r="AC66" s="218">
        <v>3281</v>
      </c>
      <c r="AD66" s="218">
        <v>3260.6</v>
      </c>
      <c r="AE66" s="219">
        <v>3266.6</v>
      </c>
      <c r="AF66" s="218">
        <v>3213.7</v>
      </c>
      <c r="AG66" s="218">
        <v>3182.1</v>
      </c>
      <c r="AH66" s="218">
        <v>3182.3</v>
      </c>
      <c r="AI66" s="219">
        <v>3139.5</v>
      </c>
      <c r="AJ66" s="218">
        <v>3130</v>
      </c>
      <c r="AK66" s="218">
        <v>2828.8</v>
      </c>
      <c r="AL66" s="218">
        <v>2828.9</v>
      </c>
      <c r="AM66" s="219">
        <v>2860.4</v>
      </c>
      <c r="AN66" s="218">
        <v>2864.2</v>
      </c>
      <c r="AO66" s="218">
        <v>2899.2</v>
      </c>
      <c r="AP66" s="218">
        <v>2897.5</v>
      </c>
      <c r="AQ66" s="219">
        <v>2940.1</v>
      </c>
      <c r="AR66" s="218">
        <v>2927.6</v>
      </c>
      <c r="AS66" s="218">
        <v>2928.9</v>
      </c>
      <c r="AT66" s="218">
        <v>2968.1</v>
      </c>
      <c r="AU66" s="219">
        <v>3039.4</v>
      </c>
      <c r="AV66" s="218">
        <v>3022.5</v>
      </c>
      <c r="AW66" s="218">
        <v>2988.9</v>
      </c>
      <c r="AX66" s="218">
        <v>2294.6999999999998</v>
      </c>
      <c r="AY66" s="219">
        <v>1939.8</v>
      </c>
      <c r="AZ66" s="218">
        <v>1939.9</v>
      </c>
      <c r="BA66" s="218">
        <v>1978.2</v>
      </c>
      <c r="BB66" s="218">
        <v>1984.7</v>
      </c>
      <c r="BC66" s="219">
        <v>1996.7</v>
      </c>
      <c r="BD66" s="218">
        <v>2006.6</v>
      </c>
      <c r="BE66" s="218">
        <v>2011.9</v>
      </c>
      <c r="BF66" s="218">
        <v>2039</v>
      </c>
      <c r="BG66" s="219">
        <v>2054</v>
      </c>
      <c r="BH66" s="218">
        <v>2087.5</v>
      </c>
      <c r="BI66" s="218">
        <v>2084.3000000000002</v>
      </c>
      <c r="BJ66" s="218">
        <v>2052.4</v>
      </c>
      <c r="BK66" s="219">
        <v>1480.6</v>
      </c>
      <c r="BL66" s="218">
        <v>1464.5</v>
      </c>
      <c r="BM66" s="218">
        <v>1487.2</v>
      </c>
      <c r="BN66" s="218">
        <v>1511.6</v>
      </c>
      <c r="BO66" s="219">
        <v>621.4</v>
      </c>
      <c r="BP66" s="218">
        <v>609.5</v>
      </c>
      <c r="BQ66" s="218">
        <v>597.5</v>
      </c>
      <c r="BR66" s="218">
        <v>618.29999999999995</v>
      </c>
      <c r="BS66" s="219">
        <v>614.6</v>
      </c>
      <c r="BT66" s="218">
        <v>642</v>
      </c>
      <c r="BU66" s="218">
        <v>651.6</v>
      </c>
      <c r="BV66" s="218">
        <v>632</v>
      </c>
      <c r="BW66" s="219">
        <v>628.6</v>
      </c>
      <c r="BX66" s="218">
        <v>634.9</v>
      </c>
      <c r="BY66" s="218">
        <v>722.6</v>
      </c>
      <c r="BZ66" s="218">
        <v>728.6</v>
      </c>
      <c r="CA66" s="219">
        <v>746.5</v>
      </c>
      <c r="CB66" s="218">
        <v>741.5</v>
      </c>
      <c r="CC66" s="218">
        <v>745.1</v>
      </c>
      <c r="CD66" s="218">
        <v>753.1</v>
      </c>
      <c r="CE66" s="219">
        <v>757.2</v>
      </c>
      <c r="CF66" s="218">
        <v>755.6</v>
      </c>
      <c r="CG66" s="218">
        <v>754.7</v>
      </c>
      <c r="CH66" s="218">
        <v>740.2</v>
      </c>
      <c r="CI66" s="219">
        <v>726.2</v>
      </c>
      <c r="CJ66" s="218">
        <v>1057.9000000000001</v>
      </c>
      <c r="CK66" s="218">
        <v>1054.8</v>
      </c>
      <c r="CL66" s="218">
        <v>1061.0999999999999</v>
      </c>
      <c r="CM66" s="219">
        <v>1053.8</v>
      </c>
      <c r="CN66" s="218">
        <v>1065.3</v>
      </c>
      <c r="CO66" s="218">
        <v>1071.0999999999999</v>
      </c>
      <c r="CP66" s="218">
        <v>1069.4000000000001</v>
      </c>
      <c r="CQ66" s="219">
        <v>1121.3</v>
      </c>
      <c r="CR66" s="218">
        <v>1129.4000000000001</v>
      </c>
      <c r="CS66" s="218">
        <v>1272.0999999999999</v>
      </c>
      <c r="CT66" s="218">
        <v>1387.1</v>
      </c>
      <c r="CU66" s="219">
        <v>1401.3</v>
      </c>
      <c r="CV66" s="218">
        <f>CU66</f>
        <v>1401.3</v>
      </c>
      <c r="CW66" s="218">
        <f>CV66</f>
        <v>1401.3</v>
      </c>
      <c r="CX66" s="218">
        <f>CW66</f>
        <v>1401.3</v>
      </c>
      <c r="CY66" s="219">
        <f>CX66</f>
        <v>1401.3</v>
      </c>
      <c r="DA66" s="212">
        <f>G66</f>
        <v>529.80899999999997</v>
      </c>
      <c r="DB66" s="212">
        <f>K66</f>
        <v>1098.4000000000001</v>
      </c>
      <c r="DC66" s="212">
        <f>O66</f>
        <v>1448.2</v>
      </c>
      <c r="DD66" s="212">
        <f>S66</f>
        <v>1692.3</v>
      </c>
      <c r="DE66" s="212">
        <f>W66</f>
        <v>2019.8</v>
      </c>
      <c r="DF66" s="212">
        <f>AA66</f>
        <v>3210.5</v>
      </c>
      <c r="DG66" s="212">
        <f>AE66</f>
        <v>3266.6</v>
      </c>
      <c r="DH66" s="212">
        <f>AI66</f>
        <v>3139.5</v>
      </c>
      <c r="DI66" s="212">
        <f>AM66</f>
        <v>2860.4</v>
      </c>
      <c r="DJ66" s="212">
        <f>AQ66</f>
        <v>2940.1</v>
      </c>
      <c r="DK66" s="212">
        <f>AU66</f>
        <v>3039.4</v>
      </c>
      <c r="DL66" s="212">
        <f>AY66</f>
        <v>1939.8</v>
      </c>
      <c r="DM66" s="212">
        <f>BC66</f>
        <v>1996.7</v>
      </c>
      <c r="DN66" s="212">
        <f>BG66</f>
        <v>2054</v>
      </c>
      <c r="DO66" s="212">
        <f>BK66</f>
        <v>1480.6</v>
      </c>
      <c r="DP66" s="212">
        <f>BO66</f>
        <v>621.4</v>
      </c>
      <c r="DQ66" s="212">
        <f>BS66</f>
        <v>614.6</v>
      </c>
      <c r="DR66" s="212">
        <f>BW66</f>
        <v>628.6</v>
      </c>
      <c r="DS66" s="212">
        <f>CA66</f>
        <v>746.5</v>
      </c>
      <c r="DT66" s="212">
        <f>CE66</f>
        <v>757.2</v>
      </c>
      <c r="DU66" s="212">
        <f>CI66</f>
        <v>726.2</v>
      </c>
      <c r="DV66" s="212">
        <f>CM66</f>
        <v>1053.8</v>
      </c>
      <c r="DW66" s="212">
        <f>CQ66</f>
        <v>1121.3</v>
      </c>
      <c r="DX66" s="212">
        <f>CU66</f>
        <v>1401.3</v>
      </c>
      <c r="DY66" s="212">
        <f t="shared" si="149"/>
        <v>1401.3</v>
      </c>
      <c r="DZ66" s="218">
        <f>DY66</f>
        <v>1401.3</v>
      </c>
      <c r="EA66" s="218">
        <f>DZ66</f>
        <v>1401.3</v>
      </c>
      <c r="EB66" s="218">
        <f>EA66</f>
        <v>1401.3</v>
      </c>
      <c r="EC66" s="218">
        <f>EB66</f>
        <v>1401.3</v>
      </c>
      <c r="ED66" s="218">
        <f>EC66</f>
        <v>1401.3</v>
      </c>
      <c r="EE66" s="199"/>
      <c r="EF66"/>
      <c r="EG66"/>
      <c r="EH66"/>
      <c r="EI66"/>
      <c r="EJ66"/>
      <c r="EK66"/>
    </row>
    <row r="67" spans="1:141" s="137" customFormat="1">
      <c r="A67" s="193"/>
      <c r="B67" s="200" t="s">
        <v>53</v>
      </c>
      <c r="C67" s="200"/>
      <c r="D67" s="220">
        <v>24.173999999999999</v>
      </c>
      <c r="E67" s="221">
        <v>21.436</v>
      </c>
      <c r="F67" s="221">
        <v>22.2</v>
      </c>
      <c r="G67" s="222">
        <v>12.795</v>
      </c>
      <c r="H67" s="221">
        <v>39.6</v>
      </c>
      <c r="I67" s="221">
        <v>37.700000000000003</v>
      </c>
      <c r="J67" s="221">
        <v>83.6</v>
      </c>
      <c r="K67" s="222">
        <v>112.9</v>
      </c>
      <c r="L67" s="221">
        <v>39.6</v>
      </c>
      <c r="M67" s="221">
        <v>153</v>
      </c>
      <c r="N67" s="221">
        <v>160.5</v>
      </c>
      <c r="O67" s="222">
        <v>154.9</v>
      </c>
      <c r="P67" s="221">
        <v>160.80000000000001</v>
      </c>
      <c r="Q67" s="221">
        <v>166.6</v>
      </c>
      <c r="R67" s="221">
        <v>178.1</v>
      </c>
      <c r="S67" s="222">
        <v>212.8</v>
      </c>
      <c r="T67" s="221">
        <v>230.7</v>
      </c>
      <c r="U67" s="221">
        <v>279.2</v>
      </c>
      <c r="V67" s="221">
        <v>279.7</v>
      </c>
      <c r="W67" s="222">
        <v>277.2</v>
      </c>
      <c r="X67" s="221">
        <v>298.89999999999998</v>
      </c>
      <c r="Y67" s="221">
        <v>375.7</v>
      </c>
      <c r="Z67" s="221">
        <v>391.8</v>
      </c>
      <c r="AA67" s="222">
        <v>382.9</v>
      </c>
      <c r="AB67" s="221">
        <v>377.6</v>
      </c>
      <c r="AC67" s="221">
        <v>391.3</v>
      </c>
      <c r="AD67" s="221">
        <v>390.9</v>
      </c>
      <c r="AE67" s="222">
        <v>389.6</v>
      </c>
      <c r="AF67" s="221">
        <v>371.7</v>
      </c>
      <c r="AG67" s="221">
        <v>337.7</v>
      </c>
      <c r="AH67" s="221">
        <v>334.7</v>
      </c>
      <c r="AI67" s="222">
        <v>357.2</v>
      </c>
      <c r="AJ67" s="221">
        <v>357.7</v>
      </c>
      <c r="AK67" s="221">
        <v>379.4</v>
      </c>
      <c r="AL67" s="221">
        <v>397</v>
      </c>
      <c r="AM67" s="222">
        <v>404.3</v>
      </c>
      <c r="AN67" s="221">
        <v>408.6</v>
      </c>
      <c r="AO67" s="221">
        <v>431</v>
      </c>
      <c r="AP67" s="221">
        <v>441.3</v>
      </c>
      <c r="AQ67" s="222">
        <v>437.7</v>
      </c>
      <c r="AR67" s="221">
        <v>434.8</v>
      </c>
      <c r="AS67" s="221">
        <v>429.3</v>
      </c>
      <c r="AT67" s="221">
        <v>480.4</v>
      </c>
      <c r="AU67" s="222">
        <v>513.20000000000005</v>
      </c>
      <c r="AV67" s="221">
        <v>496.3</v>
      </c>
      <c r="AW67" s="221">
        <v>478.8</v>
      </c>
      <c r="AX67" s="221">
        <v>545.79999999999995</v>
      </c>
      <c r="AY67" s="222">
        <v>887.5</v>
      </c>
      <c r="AZ67" s="221">
        <v>459.1</v>
      </c>
      <c r="BA67" s="221">
        <v>543.70000000000005</v>
      </c>
      <c r="BB67" s="221">
        <v>472.6</v>
      </c>
      <c r="BC67" s="222">
        <v>491.8</v>
      </c>
      <c r="BD67" s="221">
        <v>530.5</v>
      </c>
      <c r="BE67" s="221">
        <v>551.20000000000005</v>
      </c>
      <c r="BF67" s="221">
        <v>532.6</v>
      </c>
      <c r="BG67" s="222">
        <v>635.70000000000005</v>
      </c>
      <c r="BH67" s="221">
        <v>660.1</v>
      </c>
      <c r="BI67" s="221">
        <v>661.8</v>
      </c>
      <c r="BJ67" s="221">
        <v>637.79999999999995</v>
      </c>
      <c r="BK67" s="222">
        <v>504.6</v>
      </c>
      <c r="BL67" s="221">
        <v>482.9</v>
      </c>
      <c r="BM67" s="221">
        <v>471</v>
      </c>
      <c r="BN67" s="221">
        <v>472.5</v>
      </c>
      <c r="BO67" s="222">
        <v>614</v>
      </c>
      <c r="BP67" s="221">
        <v>606.79999999999995</v>
      </c>
      <c r="BQ67" s="221">
        <v>595</v>
      </c>
      <c r="BR67" s="221">
        <v>643.4</v>
      </c>
      <c r="BS67" s="222">
        <v>626.29999999999995</v>
      </c>
      <c r="BT67" s="221">
        <v>625.6</v>
      </c>
      <c r="BU67" s="221">
        <v>564.5</v>
      </c>
      <c r="BV67" s="221">
        <v>534.1</v>
      </c>
      <c r="BW67" s="222">
        <v>548.79999999999995</v>
      </c>
      <c r="BX67" s="221">
        <v>549.5</v>
      </c>
      <c r="BY67" s="221">
        <v>594.29999999999995</v>
      </c>
      <c r="BZ67" s="221">
        <v>590.1</v>
      </c>
      <c r="CA67" s="222">
        <v>1171</v>
      </c>
      <c r="CB67" s="221">
        <v>1122.7</v>
      </c>
      <c r="CC67" s="221">
        <v>1148</v>
      </c>
      <c r="CD67" s="221">
        <v>1167.5</v>
      </c>
      <c r="CE67" s="222">
        <v>1064</v>
      </c>
      <c r="CF67" s="221">
        <v>1046.3</v>
      </c>
      <c r="CG67" s="221">
        <v>1024.5</v>
      </c>
      <c r="CH67" s="221">
        <v>1003.6</v>
      </c>
      <c r="CI67" s="222">
        <v>1419.7</v>
      </c>
      <c r="CJ67" s="221">
        <v>1203.5</v>
      </c>
      <c r="CK67" s="221">
        <v>1190.5</v>
      </c>
      <c r="CL67" s="221">
        <v>1163.9000000000001</v>
      </c>
      <c r="CM67" s="222">
        <v>1238.9000000000001</v>
      </c>
      <c r="CN67" s="221">
        <v>1244.5</v>
      </c>
      <c r="CO67" s="221">
        <v>1242.9000000000001</v>
      </c>
      <c r="CP67" s="221">
        <v>1233.3</v>
      </c>
      <c r="CQ67" s="222">
        <v>1110.7</v>
      </c>
      <c r="CR67" s="221">
        <v>1171.5</v>
      </c>
      <c r="CS67" s="221">
        <v>1356.5</v>
      </c>
      <c r="CT67" s="221">
        <v>1383.8</v>
      </c>
      <c r="CU67" s="222">
        <v>1472.2</v>
      </c>
      <c r="CV67" s="202">
        <f>CU67-CV123</f>
        <v>1472.2</v>
      </c>
      <c r="CW67" s="202">
        <f>CV67-CW123</f>
        <v>1472.2</v>
      </c>
      <c r="CX67" s="202">
        <f>CW67-CX123</f>
        <v>1472.2</v>
      </c>
      <c r="CY67" s="203">
        <f>CX67-CY123</f>
        <v>1472.2</v>
      </c>
      <c r="DA67" s="542">
        <f>G67</f>
        <v>12.795</v>
      </c>
      <c r="DB67" s="542">
        <f>K67</f>
        <v>112.9</v>
      </c>
      <c r="DC67" s="542">
        <f>O67</f>
        <v>154.9</v>
      </c>
      <c r="DD67" s="542">
        <f>S67</f>
        <v>212.8</v>
      </c>
      <c r="DE67" s="542">
        <f>W67</f>
        <v>277.2</v>
      </c>
      <c r="DF67" s="542">
        <f>AA67</f>
        <v>382.9</v>
      </c>
      <c r="DG67" s="542">
        <f>AE67</f>
        <v>389.6</v>
      </c>
      <c r="DH67" s="542">
        <f>AI67</f>
        <v>357.2</v>
      </c>
      <c r="DI67" s="542">
        <f>AM67</f>
        <v>404.3</v>
      </c>
      <c r="DJ67" s="542">
        <f>AQ67</f>
        <v>437.7</v>
      </c>
      <c r="DK67" s="542">
        <f>AU67</f>
        <v>513.20000000000005</v>
      </c>
      <c r="DL67" s="542">
        <f>AY67</f>
        <v>887.5</v>
      </c>
      <c r="DM67" s="542">
        <f>BC67</f>
        <v>491.8</v>
      </c>
      <c r="DN67" s="542">
        <f>BG67</f>
        <v>635.70000000000005</v>
      </c>
      <c r="DO67" s="542">
        <f>BK67</f>
        <v>504.6</v>
      </c>
      <c r="DP67" s="542">
        <f>BO67</f>
        <v>614</v>
      </c>
      <c r="DQ67" s="542">
        <f>BS67</f>
        <v>626.29999999999995</v>
      </c>
      <c r="DR67" s="542">
        <f>BW67</f>
        <v>548.79999999999995</v>
      </c>
      <c r="DS67" s="542">
        <f>CA67</f>
        <v>1171</v>
      </c>
      <c r="DT67" s="542">
        <f>CE67</f>
        <v>1064</v>
      </c>
      <c r="DU67" s="542">
        <f>CI67</f>
        <v>1419.7</v>
      </c>
      <c r="DV67" s="542">
        <f>CM67</f>
        <v>1238.9000000000001</v>
      </c>
      <c r="DW67" s="542">
        <f>CQ67</f>
        <v>1110.7</v>
      </c>
      <c r="DX67" s="202">
        <f>CU67</f>
        <v>1472.2</v>
      </c>
      <c r="DY67" s="202">
        <f t="shared" si="149"/>
        <v>1472.2</v>
      </c>
      <c r="DZ67" s="202">
        <f>DY67-DZ123</f>
        <v>1472.2</v>
      </c>
      <c r="EA67" s="202">
        <f>DZ67-EA123</f>
        <v>1472.2</v>
      </c>
      <c r="EB67" s="202">
        <f>EA67-EB123</f>
        <v>1472.2</v>
      </c>
      <c r="EC67" s="202">
        <f>EB67-EC123</f>
        <v>1472.2</v>
      </c>
      <c r="ED67" s="202">
        <f>EC67-ED123</f>
        <v>1472.2</v>
      </c>
      <c r="EE67" s="199"/>
      <c r="EF67"/>
      <c r="EG67"/>
      <c r="EH67"/>
      <c r="EI67"/>
      <c r="EJ67"/>
      <c r="EK67"/>
    </row>
    <row r="68" spans="1:141" s="283" customFormat="1">
      <c r="A68" s="282"/>
      <c r="B68" s="205" t="s">
        <v>165</v>
      </c>
      <c r="C68" s="205"/>
      <c r="D68" s="206">
        <f t="shared" ref="D68:AC68" si="150">SUM(D65:D67)+D63</f>
        <v>1122.75</v>
      </c>
      <c r="E68" s="207">
        <f t="shared" si="150"/>
        <v>1225.2200000000003</v>
      </c>
      <c r="F68" s="207">
        <f t="shared" si="150"/>
        <v>1245.5999999999999</v>
      </c>
      <c r="G68" s="208">
        <f t="shared" si="150"/>
        <v>1715.1019999999999</v>
      </c>
      <c r="H68" s="207">
        <f t="shared" si="150"/>
        <v>1797.9</v>
      </c>
      <c r="I68" s="207">
        <f t="shared" si="150"/>
        <v>1855.1</v>
      </c>
      <c r="J68" s="207">
        <f t="shared" si="150"/>
        <v>2957</v>
      </c>
      <c r="K68" s="208">
        <f t="shared" si="150"/>
        <v>3061.3</v>
      </c>
      <c r="L68" s="207">
        <f t="shared" si="150"/>
        <v>1797.9</v>
      </c>
      <c r="M68" s="207">
        <f t="shared" si="150"/>
        <v>3835.6</v>
      </c>
      <c r="N68" s="207">
        <f t="shared" si="150"/>
        <v>3863.4</v>
      </c>
      <c r="O68" s="208">
        <f t="shared" si="150"/>
        <v>3816.8</v>
      </c>
      <c r="P68" s="207">
        <f t="shared" si="150"/>
        <v>3860.4</v>
      </c>
      <c r="Q68" s="207">
        <f t="shared" si="150"/>
        <v>4014.8999999999996</v>
      </c>
      <c r="R68" s="207">
        <f t="shared" si="150"/>
        <v>4290.7</v>
      </c>
      <c r="S68" s="208">
        <f t="shared" si="150"/>
        <v>4459.1000000000004</v>
      </c>
      <c r="T68" s="207">
        <f t="shared" si="150"/>
        <v>4736.7999999999993</v>
      </c>
      <c r="U68" s="207">
        <f t="shared" si="150"/>
        <v>5115.8999999999996</v>
      </c>
      <c r="V68" s="207">
        <f t="shared" si="150"/>
        <v>5479.2999999999993</v>
      </c>
      <c r="W68" s="208">
        <f t="shared" si="150"/>
        <v>5677.2999999999993</v>
      </c>
      <c r="X68" s="207">
        <f t="shared" si="150"/>
        <v>5783.7000000000007</v>
      </c>
      <c r="Y68" s="207">
        <f t="shared" si="150"/>
        <v>8703.4</v>
      </c>
      <c r="Z68" s="207">
        <f t="shared" si="150"/>
        <v>9025.7000000000007</v>
      </c>
      <c r="AA68" s="208">
        <f t="shared" si="150"/>
        <v>8725.6</v>
      </c>
      <c r="AB68" s="207">
        <f t="shared" si="150"/>
        <v>9122</v>
      </c>
      <c r="AC68" s="207">
        <f t="shared" si="150"/>
        <v>8909.2000000000007</v>
      </c>
      <c r="AD68" s="207">
        <f t="shared" ref="AD68:BC68" si="151">SUM(AD65:AD67)+AD63</f>
        <v>8681.7000000000007</v>
      </c>
      <c r="AE68" s="208">
        <f t="shared" si="151"/>
        <v>8375.5</v>
      </c>
      <c r="AF68" s="207">
        <f t="shared" si="151"/>
        <v>8186.6</v>
      </c>
      <c r="AG68" s="207">
        <f t="shared" si="151"/>
        <v>8009.7999999999993</v>
      </c>
      <c r="AH68" s="207">
        <f t="shared" si="151"/>
        <v>7812.4</v>
      </c>
      <c r="AI68" s="208">
        <f t="shared" si="151"/>
        <v>7579.1999999999989</v>
      </c>
      <c r="AJ68" s="207">
        <f t="shared" si="151"/>
        <v>7818.4</v>
      </c>
      <c r="AK68" s="207">
        <f t="shared" si="151"/>
        <v>7747</v>
      </c>
      <c r="AL68" s="207">
        <f t="shared" si="151"/>
        <v>7693.5</v>
      </c>
      <c r="AM68" s="208">
        <f t="shared" si="151"/>
        <v>7483</v>
      </c>
      <c r="AN68" s="207">
        <f t="shared" si="151"/>
        <v>8017.9000000000005</v>
      </c>
      <c r="AO68" s="207">
        <f t="shared" si="151"/>
        <v>8365</v>
      </c>
      <c r="AP68" s="207">
        <f t="shared" si="151"/>
        <v>8353.4</v>
      </c>
      <c r="AQ68" s="208">
        <f t="shared" si="151"/>
        <v>8571</v>
      </c>
      <c r="AR68" s="207">
        <f t="shared" si="151"/>
        <v>8927.9</v>
      </c>
      <c r="AS68" s="207">
        <f t="shared" si="151"/>
        <v>8931</v>
      </c>
      <c r="AT68" s="207">
        <f t="shared" si="151"/>
        <v>9576.5</v>
      </c>
      <c r="AU68" s="208">
        <f t="shared" si="151"/>
        <v>9944.4</v>
      </c>
      <c r="AV68" s="207">
        <f t="shared" si="151"/>
        <v>9821.4</v>
      </c>
      <c r="AW68" s="207">
        <f t="shared" si="151"/>
        <v>9089.9</v>
      </c>
      <c r="AX68" s="207">
        <f t="shared" si="151"/>
        <v>8979.6</v>
      </c>
      <c r="AY68" s="208">
        <f t="shared" si="151"/>
        <v>8288.4</v>
      </c>
      <c r="AZ68" s="207">
        <f t="shared" si="151"/>
        <v>8481.2999999999993</v>
      </c>
      <c r="BA68" s="207">
        <f t="shared" si="151"/>
        <v>8774</v>
      </c>
      <c r="BB68" s="207">
        <f t="shared" si="151"/>
        <v>8451.4000000000015</v>
      </c>
      <c r="BC68" s="208">
        <f t="shared" si="151"/>
        <v>7850.5</v>
      </c>
      <c r="BD68" s="207">
        <f t="shared" ref="BD68:CA68" si="152">SUM(BD65:BD67)+BD63</f>
        <v>7661</v>
      </c>
      <c r="BE68" s="207">
        <f t="shared" si="152"/>
        <v>7921.7999999999993</v>
      </c>
      <c r="BF68" s="207">
        <f t="shared" si="152"/>
        <v>7944.7</v>
      </c>
      <c r="BG68" s="208">
        <f t="shared" si="152"/>
        <v>7800.4</v>
      </c>
      <c r="BH68" s="207">
        <f t="shared" si="152"/>
        <v>8283.6</v>
      </c>
      <c r="BI68" s="207">
        <f t="shared" si="152"/>
        <v>8347.5999999999985</v>
      </c>
      <c r="BJ68" s="207">
        <f t="shared" si="152"/>
        <v>7655.4000000000005</v>
      </c>
      <c r="BK68" s="208">
        <f t="shared" si="152"/>
        <v>6872.9</v>
      </c>
      <c r="BL68" s="207">
        <f t="shared" si="152"/>
        <v>6438.9</v>
      </c>
      <c r="BM68" s="207">
        <f t="shared" si="152"/>
        <v>6371.8</v>
      </c>
      <c r="BN68" s="207">
        <f t="shared" si="152"/>
        <v>7230.3</v>
      </c>
      <c r="BO68" s="208">
        <f t="shared" si="152"/>
        <v>6073.3</v>
      </c>
      <c r="BP68" s="207">
        <f t="shared" si="152"/>
        <v>6233.2999999999993</v>
      </c>
      <c r="BQ68" s="207">
        <f t="shared" si="152"/>
        <v>6305.2999999999993</v>
      </c>
      <c r="BR68" s="207">
        <f t="shared" si="152"/>
        <v>6636.3</v>
      </c>
      <c r="BS68" s="208">
        <f t="shared" si="152"/>
        <v>6621.1</v>
      </c>
      <c r="BT68" s="207">
        <f t="shared" si="152"/>
        <v>7363</v>
      </c>
      <c r="BU68" s="207">
        <f t="shared" si="152"/>
        <v>7539</v>
      </c>
      <c r="BV68" s="207">
        <f t="shared" si="152"/>
        <v>7215.9</v>
      </c>
      <c r="BW68" s="208">
        <f t="shared" si="152"/>
        <v>7010.9</v>
      </c>
      <c r="BX68" s="207">
        <f t="shared" si="152"/>
        <v>7536.0000000000009</v>
      </c>
      <c r="BY68" s="207">
        <f t="shared" si="152"/>
        <v>7503.6</v>
      </c>
      <c r="BZ68" s="207">
        <f t="shared" si="152"/>
        <v>7462.2999999999993</v>
      </c>
      <c r="CA68" s="208">
        <f t="shared" si="152"/>
        <v>8194.1</v>
      </c>
      <c r="CB68" s="207">
        <f t="shared" ref="CB68:CM68" si="153">SUM(CB65:CB67)+CB63</f>
        <v>8824.2000000000007</v>
      </c>
      <c r="CC68" s="207">
        <f t="shared" si="153"/>
        <v>8166.7999999999993</v>
      </c>
      <c r="CD68" s="207">
        <f t="shared" si="153"/>
        <v>8464.2000000000007</v>
      </c>
      <c r="CE68" s="208">
        <f t="shared" si="153"/>
        <v>8330.9</v>
      </c>
      <c r="CF68" s="207">
        <f t="shared" si="153"/>
        <v>9078.2000000000007</v>
      </c>
      <c r="CG68" s="207">
        <f t="shared" si="153"/>
        <v>8961.7999999999993</v>
      </c>
      <c r="CH68" s="207">
        <f t="shared" si="153"/>
        <v>8691.2000000000007</v>
      </c>
      <c r="CI68" s="208">
        <f t="shared" si="153"/>
        <v>9150.2000000000007</v>
      </c>
      <c r="CJ68" s="207">
        <f t="shared" si="153"/>
        <v>9618.4</v>
      </c>
      <c r="CK68" s="207">
        <f t="shared" si="153"/>
        <v>9825.4000000000015</v>
      </c>
      <c r="CL68" s="207">
        <f t="shared" si="153"/>
        <v>9638.7000000000007</v>
      </c>
      <c r="CM68" s="208">
        <f t="shared" si="153"/>
        <v>9405.7999999999993</v>
      </c>
      <c r="CN68" s="207">
        <f t="shared" ref="CN68:CR68" si="154">SUM(CN65:CN67)+CN63</f>
        <v>9959.5</v>
      </c>
      <c r="CO68" s="207">
        <f t="shared" si="154"/>
        <v>10140.5</v>
      </c>
      <c r="CP68" s="207">
        <f t="shared" si="154"/>
        <v>10277.400000000001</v>
      </c>
      <c r="CQ68" s="208">
        <f t="shared" si="154"/>
        <v>9900.6</v>
      </c>
      <c r="CR68" s="207">
        <f t="shared" si="154"/>
        <v>10600.5</v>
      </c>
      <c r="CS68" s="207">
        <f>SUM(CS65:CS67)+CS63</f>
        <v>11237.199999999999</v>
      </c>
      <c r="CT68" s="207">
        <f>SUM(CT65:CT67)+CT63</f>
        <v>11712</v>
      </c>
      <c r="CU68" s="208">
        <f>SUM(CU65:CU67)+CU63</f>
        <v>11945.900000000001</v>
      </c>
      <c r="CV68" s="207">
        <f t="shared" ref="CV68:CY68" si="155">SUM(CV65:CV67)+CV63</f>
        <v>12609.426260825592</v>
      </c>
      <c r="CW68" s="207">
        <f t="shared" si="155"/>
        <v>12891.75600341901</v>
      </c>
      <c r="CX68" s="207">
        <f t="shared" si="155"/>
        <v>13055.272925196889</v>
      </c>
      <c r="CY68" s="208">
        <f t="shared" si="155"/>
        <v>13192.406497399046</v>
      </c>
      <c r="DA68" s="557">
        <f t="shared" ref="DA68:EA68" si="156">SUM(DA65:DA67)+DA63</f>
        <v>1715.1019999999999</v>
      </c>
      <c r="DB68" s="557">
        <f t="shared" si="156"/>
        <v>3061.3</v>
      </c>
      <c r="DC68" s="557">
        <f t="shared" si="156"/>
        <v>3816.8</v>
      </c>
      <c r="DD68" s="557">
        <f t="shared" si="156"/>
        <v>4459.1000000000004</v>
      </c>
      <c r="DE68" s="557">
        <f t="shared" si="156"/>
        <v>5677.2999999999993</v>
      </c>
      <c r="DF68" s="557">
        <f t="shared" si="156"/>
        <v>8725.6</v>
      </c>
      <c r="DG68" s="557">
        <f t="shared" si="156"/>
        <v>8375.5</v>
      </c>
      <c r="DH68" s="557">
        <f t="shared" si="156"/>
        <v>7579.1999999999989</v>
      </c>
      <c r="DI68" s="557">
        <f t="shared" si="156"/>
        <v>7483</v>
      </c>
      <c r="DJ68" s="557">
        <f t="shared" si="156"/>
        <v>8571</v>
      </c>
      <c r="DK68" s="557">
        <f t="shared" si="156"/>
        <v>9944.4</v>
      </c>
      <c r="DL68" s="557">
        <f t="shared" si="156"/>
        <v>8288.4</v>
      </c>
      <c r="DM68" s="557">
        <f t="shared" si="156"/>
        <v>7850.5</v>
      </c>
      <c r="DN68" s="557">
        <f t="shared" si="156"/>
        <v>7800.4</v>
      </c>
      <c r="DO68" s="557">
        <f t="shared" si="156"/>
        <v>6872.9</v>
      </c>
      <c r="DP68" s="557">
        <f t="shared" si="156"/>
        <v>6073.3</v>
      </c>
      <c r="DQ68" s="557">
        <f t="shared" si="156"/>
        <v>6621.1</v>
      </c>
      <c r="DR68" s="557">
        <f t="shared" si="156"/>
        <v>7010.9</v>
      </c>
      <c r="DS68" s="557">
        <f t="shared" si="156"/>
        <v>8194.1</v>
      </c>
      <c r="DT68" s="557">
        <f t="shared" si="156"/>
        <v>8330.9</v>
      </c>
      <c r="DU68" s="557">
        <f t="shared" si="156"/>
        <v>9150.2000000000007</v>
      </c>
      <c r="DV68" s="557">
        <f t="shared" si="156"/>
        <v>9405.7999999999993</v>
      </c>
      <c r="DW68" s="557">
        <f t="shared" si="156"/>
        <v>9900.6</v>
      </c>
      <c r="DX68" s="557">
        <f t="shared" si="156"/>
        <v>11945.900000000001</v>
      </c>
      <c r="DY68" s="557">
        <f>SUM(DY65:DY67)+DY63</f>
        <v>13192.406497399046</v>
      </c>
      <c r="DZ68" s="207">
        <f t="shared" ca="1" si="156"/>
        <v>14334.288757263754</v>
      </c>
      <c r="EA68" s="207">
        <f t="shared" ca="1" si="156"/>
        <v>15443.211145056444</v>
      </c>
      <c r="EB68" s="207">
        <f t="shared" ref="EB68:ED68" ca="1" si="157">SUM(EB65:EB67)+EB63</f>
        <v>16533.38424344307</v>
      </c>
      <c r="EC68" s="207">
        <f t="shared" ca="1" si="157"/>
        <v>17550.057945174409</v>
      </c>
      <c r="ED68" s="207">
        <f t="shared" ca="1" si="157"/>
        <v>18457.34751306683</v>
      </c>
      <c r="EE68" s="205"/>
      <c r="EF68"/>
      <c r="EG68"/>
      <c r="EH68"/>
      <c r="EI68"/>
      <c r="EJ68"/>
      <c r="EK68"/>
    </row>
    <row r="69" spans="1:141" s="137" customFormat="1">
      <c r="A69" s="193"/>
      <c r="B69" s="199"/>
      <c r="C69" s="199"/>
      <c r="D69" s="223"/>
      <c r="E69" s="199"/>
      <c r="F69" s="199"/>
      <c r="G69" s="211"/>
      <c r="H69" s="199"/>
      <c r="I69" s="199"/>
      <c r="J69" s="199"/>
      <c r="K69" s="211"/>
      <c r="L69" s="199"/>
      <c r="M69" s="199"/>
      <c r="N69" s="199"/>
      <c r="O69" s="211"/>
      <c r="P69" s="199"/>
      <c r="Q69" s="199"/>
      <c r="R69" s="199"/>
      <c r="S69" s="211"/>
      <c r="T69" s="199"/>
      <c r="U69" s="199"/>
      <c r="V69" s="199"/>
      <c r="W69" s="211"/>
      <c r="X69" s="199"/>
      <c r="Y69" s="199"/>
      <c r="Z69" s="199"/>
      <c r="AA69" s="211"/>
      <c r="AB69" s="199"/>
      <c r="AC69" s="199"/>
      <c r="AD69" s="199"/>
      <c r="AE69" s="211"/>
      <c r="AF69" s="199"/>
      <c r="AG69" s="199"/>
      <c r="AH69" s="199"/>
      <c r="AI69" s="211"/>
      <c r="AJ69" s="199"/>
      <c r="AK69" s="199"/>
      <c r="AL69" s="199"/>
      <c r="AM69" s="211"/>
      <c r="AN69" s="199"/>
      <c r="AO69" s="199"/>
      <c r="AP69" s="199"/>
      <c r="AQ69" s="211"/>
      <c r="AR69" s="199"/>
      <c r="AS69" s="199"/>
      <c r="AT69" s="199"/>
      <c r="AU69" s="211"/>
      <c r="AV69" s="199"/>
      <c r="AW69" s="199"/>
      <c r="AX69" s="199"/>
      <c r="AY69" s="211"/>
      <c r="AZ69" s="199"/>
      <c r="BA69" s="199"/>
      <c r="BB69" s="199"/>
      <c r="BC69" s="211"/>
      <c r="BD69" s="199"/>
      <c r="BE69" s="199"/>
      <c r="BF69" s="199"/>
      <c r="BG69" s="211"/>
      <c r="BH69" s="199"/>
      <c r="BI69" s="199"/>
      <c r="BJ69" s="199"/>
      <c r="BK69" s="211"/>
      <c r="BL69" s="199"/>
      <c r="BM69" s="199"/>
      <c r="BN69" s="199"/>
      <c r="BO69" s="211"/>
      <c r="BP69" s="199"/>
      <c r="BQ69" s="199"/>
      <c r="BR69" s="199"/>
      <c r="BS69" s="211"/>
      <c r="BT69" s="199"/>
      <c r="BU69" s="199"/>
      <c r="BV69" s="199"/>
      <c r="BW69" s="211"/>
      <c r="BX69" s="199"/>
      <c r="BY69" s="199"/>
      <c r="BZ69" s="199"/>
      <c r="CA69" s="211"/>
      <c r="CB69" s="199"/>
      <c r="CC69" s="199"/>
      <c r="CD69" s="199"/>
      <c r="CE69" s="211"/>
      <c r="CF69" s="199"/>
      <c r="CG69" s="199"/>
      <c r="CH69" s="199"/>
      <c r="CI69" s="211"/>
      <c r="CJ69" s="199"/>
      <c r="CK69" s="199"/>
      <c r="CL69" s="199"/>
      <c r="CM69" s="211"/>
      <c r="CN69" s="199"/>
      <c r="CO69" s="199"/>
      <c r="CP69" s="199"/>
      <c r="CQ69" s="211"/>
      <c r="CR69" s="199"/>
      <c r="CS69" s="199"/>
      <c r="CT69" s="199"/>
      <c r="CU69" s="211"/>
      <c r="CV69" s="199"/>
      <c r="CW69" s="199"/>
      <c r="CX69" s="199"/>
      <c r="CY69" s="211"/>
      <c r="DA69" s="226"/>
      <c r="DB69" s="226"/>
      <c r="DC69" s="226"/>
      <c r="DD69" s="226"/>
      <c r="DE69" s="226"/>
      <c r="DF69" s="226"/>
      <c r="DG69" s="226"/>
      <c r="DH69" s="226"/>
      <c r="DI69" s="226"/>
      <c r="DJ69" s="226"/>
      <c r="DK69" s="226"/>
      <c r="DL69" s="226"/>
      <c r="DM69" s="226"/>
      <c r="DN69" s="226"/>
      <c r="DO69" s="226"/>
      <c r="DP69" s="226"/>
      <c r="DQ69" s="226"/>
      <c r="DR69" s="226"/>
      <c r="DS69" s="226"/>
      <c r="DT69" s="226"/>
      <c r="DU69" s="226"/>
      <c r="DV69" s="226"/>
      <c r="DW69" s="226"/>
      <c r="DX69" s="226"/>
      <c r="DY69" s="226"/>
      <c r="DZ69" s="199"/>
      <c r="EA69" s="199"/>
      <c r="EB69" s="199"/>
      <c r="EC69" s="199"/>
      <c r="ED69" s="199"/>
      <c r="EE69" s="199"/>
      <c r="EF69"/>
      <c r="EG69"/>
      <c r="EH69"/>
      <c r="EI69"/>
      <c r="EJ69"/>
      <c r="EK69"/>
    </row>
    <row r="70" spans="1:141" s="137" customFormat="1">
      <c r="A70" s="193"/>
      <c r="B70" s="138" t="s">
        <v>256</v>
      </c>
      <c r="C70" s="138"/>
      <c r="D70" s="217">
        <v>27.093</v>
      </c>
      <c r="E70" s="218">
        <v>72.960999999999999</v>
      </c>
      <c r="F70" s="218">
        <v>16.399999999999999</v>
      </c>
      <c r="G70" s="219">
        <v>111.68700000000001</v>
      </c>
      <c r="H70" s="218">
        <v>23.8</v>
      </c>
      <c r="I70" s="218">
        <v>19.2</v>
      </c>
      <c r="J70" s="218">
        <v>82.5</v>
      </c>
      <c r="K70" s="219">
        <v>16.899999999999999</v>
      </c>
      <c r="L70" s="218">
        <v>23.8</v>
      </c>
      <c r="M70" s="218">
        <v>12.1</v>
      </c>
      <c r="N70" s="218">
        <v>5.5</v>
      </c>
      <c r="O70" s="219">
        <v>10.3</v>
      </c>
      <c r="P70" s="218">
        <v>10.5</v>
      </c>
      <c r="Q70" s="218">
        <v>24.5</v>
      </c>
      <c r="R70" s="218">
        <v>21.5</v>
      </c>
      <c r="S70" s="219">
        <v>37.9</v>
      </c>
      <c r="T70" s="218">
        <v>30.6</v>
      </c>
      <c r="U70" s="218">
        <v>52.2</v>
      </c>
      <c r="V70" s="218">
        <v>45.9</v>
      </c>
      <c r="W70" s="219">
        <v>82.7</v>
      </c>
      <c r="X70" s="218">
        <v>80.3</v>
      </c>
      <c r="Y70" s="218">
        <v>64.400000000000006</v>
      </c>
      <c r="Z70" s="218">
        <v>111.2</v>
      </c>
      <c r="AA70" s="219">
        <v>103.6</v>
      </c>
      <c r="AB70" s="218">
        <v>77.5</v>
      </c>
      <c r="AC70" s="218">
        <v>22.3</v>
      </c>
      <c r="AD70" s="218">
        <v>108.2</v>
      </c>
      <c r="AE70" s="219">
        <v>72.400000000000006</v>
      </c>
      <c r="AF70" s="218">
        <v>3.6</v>
      </c>
      <c r="AG70" s="218">
        <v>33.9</v>
      </c>
      <c r="AH70" s="218">
        <v>21.8</v>
      </c>
      <c r="AI70" s="219">
        <v>63.2</v>
      </c>
      <c r="AJ70" s="218">
        <v>12.5</v>
      </c>
      <c r="AK70" s="218">
        <v>20.100000000000001</v>
      </c>
      <c r="AL70" s="218">
        <v>88</v>
      </c>
      <c r="AM70" s="219">
        <v>37.299999999999997</v>
      </c>
      <c r="AN70" s="218">
        <v>85.2</v>
      </c>
      <c r="AO70" s="218">
        <v>35.1</v>
      </c>
      <c r="AP70" s="218">
        <v>11.3</v>
      </c>
      <c r="AQ70" s="219">
        <v>17.100000000000001</v>
      </c>
      <c r="AR70" s="218">
        <v>9.4</v>
      </c>
      <c r="AS70" s="218">
        <v>6.8</v>
      </c>
      <c r="AT70" s="218">
        <v>24.1</v>
      </c>
      <c r="AU70" s="219">
        <v>35.4</v>
      </c>
      <c r="AV70" s="218">
        <v>40.4</v>
      </c>
      <c r="AW70" s="218">
        <v>49</v>
      </c>
      <c r="AX70" s="218">
        <v>42.7</v>
      </c>
      <c r="AY70" s="219">
        <v>23.4</v>
      </c>
      <c r="AZ70" s="218">
        <v>17.5</v>
      </c>
      <c r="BA70" s="218">
        <v>11.9</v>
      </c>
      <c r="BB70" s="218">
        <v>8.6</v>
      </c>
      <c r="BC70" s="219">
        <v>39.299999999999997</v>
      </c>
      <c r="BD70" s="218">
        <v>11.5</v>
      </c>
      <c r="BE70" s="218">
        <v>9.9</v>
      </c>
      <c r="BF70" s="218">
        <v>12.2</v>
      </c>
      <c r="BG70" s="219">
        <v>13.9</v>
      </c>
      <c r="BH70" s="218">
        <v>13.5</v>
      </c>
      <c r="BI70" s="218">
        <v>30.1</v>
      </c>
      <c r="BJ70" s="218">
        <v>30.8</v>
      </c>
      <c r="BK70" s="219">
        <f>42.5+2177</f>
        <v>2219.5</v>
      </c>
      <c r="BL70" s="218">
        <v>39.799999999999997</v>
      </c>
      <c r="BM70" s="218">
        <f>34.6+2177</f>
        <v>2211.6</v>
      </c>
      <c r="BN70" s="218">
        <f>31.2+500</f>
        <v>531.20000000000005</v>
      </c>
      <c r="BO70" s="219">
        <v>37.1</v>
      </c>
      <c r="BP70" s="218">
        <v>42.9</v>
      </c>
      <c r="BQ70" s="218">
        <v>23.4</v>
      </c>
      <c r="BR70" s="218">
        <v>3.7</v>
      </c>
      <c r="BS70" s="219">
        <v>4.0999999999999996</v>
      </c>
      <c r="BT70" s="218">
        <v>3.6</v>
      </c>
      <c r="BU70" s="218">
        <v>2.5</v>
      </c>
      <c r="BV70" s="218">
        <v>0</v>
      </c>
      <c r="BW70" s="219">
        <f>BV70</f>
        <v>0</v>
      </c>
      <c r="BX70" s="218"/>
      <c r="BY70" s="218"/>
      <c r="BZ70" s="218"/>
      <c r="CA70" s="219"/>
      <c r="CB70" s="218"/>
      <c r="CC70" s="218"/>
      <c r="CD70" s="218"/>
      <c r="CE70" s="219"/>
      <c r="CF70" s="218"/>
      <c r="CG70" s="218"/>
      <c r="CH70" s="218"/>
      <c r="CI70" s="219"/>
      <c r="CJ70" s="218"/>
      <c r="CK70" s="218"/>
      <c r="CL70" s="218"/>
      <c r="CM70" s="219"/>
      <c r="CN70" s="218">
        <v>2.6</v>
      </c>
      <c r="CO70" s="218">
        <v>5</v>
      </c>
      <c r="CP70" s="218">
        <v>8.6999999999999993</v>
      </c>
      <c r="CQ70" s="219">
        <v>8.6</v>
      </c>
      <c r="CR70" s="218">
        <v>10.199999999999999</v>
      </c>
      <c r="CS70" s="218">
        <v>3.9</v>
      </c>
      <c r="CT70" s="218">
        <v>1.8</v>
      </c>
      <c r="CU70" s="219">
        <v>0</v>
      </c>
      <c r="CV70" s="218">
        <f>CU70</f>
        <v>0</v>
      </c>
      <c r="CW70" s="218">
        <f>CV70</f>
        <v>0</v>
      </c>
      <c r="CX70" s="218">
        <f>CW70</f>
        <v>0</v>
      </c>
      <c r="CY70" s="219">
        <f>CX70</f>
        <v>0</v>
      </c>
      <c r="DA70" s="212">
        <f>G70</f>
        <v>111.68700000000001</v>
      </c>
      <c r="DB70" s="212">
        <f>K70</f>
        <v>16.899999999999999</v>
      </c>
      <c r="DC70" s="212">
        <f>O70</f>
        <v>10.3</v>
      </c>
      <c r="DD70" s="212">
        <f>S70</f>
        <v>37.9</v>
      </c>
      <c r="DE70" s="212">
        <f>W70</f>
        <v>82.7</v>
      </c>
      <c r="DF70" s="212">
        <f>AA70</f>
        <v>103.6</v>
      </c>
      <c r="DG70" s="212">
        <f>AE70</f>
        <v>72.400000000000006</v>
      </c>
      <c r="DH70" s="212">
        <f>AI70</f>
        <v>63.2</v>
      </c>
      <c r="DI70" s="212">
        <f>AM70</f>
        <v>37.299999999999997</v>
      </c>
      <c r="DJ70" s="212">
        <f>AQ70</f>
        <v>17.100000000000001</v>
      </c>
      <c r="DK70" s="212">
        <f>AU70</f>
        <v>35.4</v>
      </c>
      <c r="DL70" s="212">
        <f>AY70</f>
        <v>23.4</v>
      </c>
      <c r="DM70" s="212">
        <f>BC70</f>
        <v>39.299999999999997</v>
      </c>
      <c r="DN70" s="212">
        <f>BG70</f>
        <v>13.9</v>
      </c>
      <c r="DO70" s="212">
        <f>BK70</f>
        <v>2219.5</v>
      </c>
      <c r="DP70" s="212">
        <f>BO70</f>
        <v>37.1</v>
      </c>
      <c r="DQ70" s="212">
        <f>BS70</f>
        <v>4.0999999999999996</v>
      </c>
      <c r="DR70" s="212">
        <f>BW70</f>
        <v>0</v>
      </c>
      <c r="DS70" s="212"/>
      <c r="DT70" s="212"/>
      <c r="DU70" s="212"/>
      <c r="DV70" s="212"/>
      <c r="DW70" s="212">
        <f>CQ70</f>
        <v>8.6</v>
      </c>
      <c r="DX70" s="212">
        <f>CU70</f>
        <v>0</v>
      </c>
      <c r="DY70" s="212">
        <f t="shared" ref="DY70:DY73" si="158">CY70</f>
        <v>0</v>
      </c>
      <c r="DZ70" s="218">
        <f>DY70</f>
        <v>0</v>
      </c>
      <c r="EA70" s="218">
        <f>DZ70</f>
        <v>0</v>
      </c>
      <c r="EB70" s="218">
        <f>EA70</f>
        <v>0</v>
      </c>
      <c r="EC70" s="218">
        <f>EB70</f>
        <v>0</v>
      </c>
      <c r="ED70" s="218">
        <f>EC70</f>
        <v>0</v>
      </c>
      <c r="EE70" s="199"/>
      <c r="EF70"/>
      <c r="EG70"/>
      <c r="EH70"/>
      <c r="EI70"/>
      <c r="EJ70"/>
      <c r="EK70"/>
    </row>
    <row r="71" spans="1:141" s="137" customFormat="1">
      <c r="A71" s="193"/>
      <c r="B71" s="138" t="s">
        <v>24</v>
      </c>
      <c r="C71" s="138"/>
      <c r="D71" s="217">
        <v>342.78300000000002</v>
      </c>
      <c r="E71" s="218">
        <v>355.32</v>
      </c>
      <c r="F71" s="218">
        <v>420.1</v>
      </c>
      <c r="G71" s="219">
        <v>656.70100000000002</v>
      </c>
      <c r="H71" s="218">
        <v>712.5</v>
      </c>
      <c r="I71" s="218">
        <v>821.2</v>
      </c>
      <c r="J71" s="218">
        <v>764.3</v>
      </c>
      <c r="K71" s="219">
        <v>857</v>
      </c>
      <c r="L71" s="218">
        <v>712.5</v>
      </c>
      <c r="M71" s="218">
        <v>1021.4</v>
      </c>
      <c r="N71" s="218">
        <v>960.3</v>
      </c>
      <c r="O71" s="219">
        <v>960.5</v>
      </c>
      <c r="P71" s="218">
        <v>1004</v>
      </c>
      <c r="Q71" s="218">
        <v>1050.4000000000001</v>
      </c>
      <c r="R71" s="218">
        <v>1062</v>
      </c>
      <c r="S71" s="219">
        <v>1186.5</v>
      </c>
      <c r="T71" s="218">
        <v>1221.5</v>
      </c>
      <c r="U71" s="218">
        <v>1364.3</v>
      </c>
      <c r="V71" s="218">
        <v>1473.7</v>
      </c>
      <c r="W71" s="219">
        <v>1600.8</v>
      </c>
      <c r="X71" s="218">
        <v>1728.5</v>
      </c>
      <c r="Y71" s="218">
        <v>2030.4</v>
      </c>
      <c r="Z71" s="218">
        <v>1982.5</v>
      </c>
      <c r="AA71" s="219">
        <v>2245.3000000000002</v>
      </c>
      <c r="AB71" s="218">
        <v>2415.1999999999998</v>
      </c>
      <c r="AC71" s="218">
        <v>2396</v>
      </c>
      <c r="AD71" s="218">
        <v>2174.1</v>
      </c>
      <c r="AE71" s="219">
        <v>2174</v>
      </c>
      <c r="AF71" s="218">
        <v>2264.8000000000002</v>
      </c>
      <c r="AG71" s="218">
        <v>2253</v>
      </c>
      <c r="AH71" s="218">
        <v>2141</v>
      </c>
      <c r="AI71" s="219">
        <v>1982.9</v>
      </c>
      <c r="AJ71" s="218">
        <v>2203.6</v>
      </c>
      <c r="AK71" s="218">
        <v>2319.9</v>
      </c>
      <c r="AL71" s="218">
        <v>2191.3000000000002</v>
      </c>
      <c r="AM71" s="219">
        <v>1966.4</v>
      </c>
      <c r="AN71" s="218">
        <v>2278.6999999999998</v>
      </c>
      <c r="AO71" s="218">
        <v>2466.1999999999998</v>
      </c>
      <c r="AP71" s="218">
        <v>2404.8000000000002</v>
      </c>
      <c r="AQ71" s="219">
        <v>2444.1</v>
      </c>
      <c r="AR71" s="218">
        <v>2611.5</v>
      </c>
      <c r="AS71" s="218">
        <v>2570.6</v>
      </c>
      <c r="AT71" s="218">
        <v>2614.4</v>
      </c>
      <c r="AU71" s="219">
        <v>2777.6</v>
      </c>
      <c r="AV71" s="218">
        <v>2773.6</v>
      </c>
      <c r="AW71" s="218">
        <v>2869</v>
      </c>
      <c r="AX71" s="218">
        <v>3036.6</v>
      </c>
      <c r="AY71" s="219">
        <v>2516</v>
      </c>
      <c r="AZ71" s="218">
        <v>3099.3</v>
      </c>
      <c r="BA71" s="218">
        <v>3083.9</v>
      </c>
      <c r="BB71" s="218">
        <v>2888.9</v>
      </c>
      <c r="BC71" s="219">
        <v>2317.4</v>
      </c>
      <c r="BD71" s="218">
        <v>2480.3000000000002</v>
      </c>
      <c r="BE71" s="218">
        <v>2623.2</v>
      </c>
      <c r="BF71" s="218">
        <v>2469.8000000000002</v>
      </c>
      <c r="BG71" s="219">
        <v>2263.8000000000002</v>
      </c>
      <c r="BH71" s="218">
        <v>2497.1999999999998</v>
      </c>
      <c r="BI71" s="218">
        <v>2579.9</v>
      </c>
      <c r="BJ71" s="218">
        <v>2240</v>
      </c>
      <c r="BK71" s="219">
        <v>1453.9</v>
      </c>
      <c r="BL71" s="218">
        <v>1295.5999999999999</v>
      </c>
      <c r="BM71" s="218">
        <v>1308.5</v>
      </c>
      <c r="BN71" s="218">
        <v>1636.2</v>
      </c>
      <c r="BO71" s="219">
        <v>1547.5</v>
      </c>
      <c r="BP71" s="218">
        <v>1802.1</v>
      </c>
      <c r="BQ71" s="218">
        <v>1799</v>
      </c>
      <c r="BR71" s="218">
        <v>1856</v>
      </c>
      <c r="BS71" s="219">
        <v>1838.4</v>
      </c>
      <c r="BT71" s="218">
        <v>2246.6999999999998</v>
      </c>
      <c r="BU71" s="218">
        <v>2311</v>
      </c>
      <c r="BV71" s="218">
        <v>2199.8000000000002</v>
      </c>
      <c r="BW71" s="219">
        <v>2014.3</v>
      </c>
      <c r="BX71" s="218">
        <v>2355.1999999999998</v>
      </c>
      <c r="BY71" s="218">
        <v>2352.1</v>
      </c>
      <c r="BZ71" s="218">
        <v>2264.6</v>
      </c>
      <c r="CA71" s="219">
        <v>2233</v>
      </c>
      <c r="CB71" s="218">
        <v>2491.1</v>
      </c>
      <c r="CC71" s="218">
        <v>2495.1</v>
      </c>
      <c r="CD71" s="218">
        <v>2554.9</v>
      </c>
      <c r="CE71" s="219">
        <v>2438.6999999999998</v>
      </c>
      <c r="CF71" s="218">
        <v>2882</v>
      </c>
      <c r="CG71" s="218">
        <v>2821.1</v>
      </c>
      <c r="CH71" s="218">
        <v>2614.6</v>
      </c>
      <c r="CI71" s="219">
        <v>2525.3000000000002</v>
      </c>
      <c r="CJ71" s="218">
        <v>2761.3</v>
      </c>
      <c r="CK71" s="218">
        <v>2752</v>
      </c>
      <c r="CL71" s="218">
        <v>2576.4</v>
      </c>
      <c r="CM71" s="219">
        <v>2504.4</v>
      </c>
      <c r="CN71" s="218">
        <v>2790</v>
      </c>
      <c r="CO71" s="218">
        <v>2767.1</v>
      </c>
      <c r="CP71" s="218">
        <v>2773.2</v>
      </c>
      <c r="CQ71" s="219">
        <v>2640.5</v>
      </c>
      <c r="CR71" s="218">
        <v>3043</v>
      </c>
      <c r="CS71" s="218">
        <v>3202.9</v>
      </c>
      <c r="CT71" s="218">
        <v>3176</v>
      </c>
      <c r="CU71" s="219">
        <v>3167.2</v>
      </c>
      <c r="CV71" s="197">
        <f>CV101/365*CV96</f>
        <v>3642.363411991571</v>
      </c>
      <c r="CW71" s="197">
        <f>CW101/365*CW96</f>
        <v>3730.5216182033332</v>
      </c>
      <c r="CX71" s="197">
        <f>CX101/365*CX96</f>
        <v>3733.2270275203045</v>
      </c>
      <c r="CY71" s="198">
        <f>CY101/365*CY96</f>
        <v>3699.0056785505758</v>
      </c>
      <c r="DA71" s="212">
        <f>G71</f>
        <v>656.70100000000002</v>
      </c>
      <c r="DB71" s="212">
        <f>K71</f>
        <v>857</v>
      </c>
      <c r="DC71" s="212">
        <f>O71</f>
        <v>960.5</v>
      </c>
      <c r="DD71" s="212">
        <f>S71</f>
        <v>1186.5</v>
      </c>
      <c r="DE71" s="212">
        <f>W71</f>
        <v>1600.8</v>
      </c>
      <c r="DF71" s="212">
        <f>AA71</f>
        <v>2245.3000000000002</v>
      </c>
      <c r="DG71" s="212">
        <f>AE71</f>
        <v>2174</v>
      </c>
      <c r="DH71" s="212">
        <f>AI71</f>
        <v>1982.9</v>
      </c>
      <c r="DI71" s="212">
        <f>AM71</f>
        <v>1966.4</v>
      </c>
      <c r="DJ71" s="212">
        <f>AQ71</f>
        <v>2444.1</v>
      </c>
      <c r="DK71" s="212">
        <f>AU71</f>
        <v>2777.6</v>
      </c>
      <c r="DL71" s="212">
        <f>AY71</f>
        <v>2516</v>
      </c>
      <c r="DM71" s="212">
        <f>BC71</f>
        <v>2317.4</v>
      </c>
      <c r="DN71" s="212">
        <f>BG71</f>
        <v>2263.8000000000002</v>
      </c>
      <c r="DO71" s="212">
        <f>BK71</f>
        <v>1453.9</v>
      </c>
      <c r="DP71" s="212">
        <f>BO71</f>
        <v>1547.5</v>
      </c>
      <c r="DQ71" s="212">
        <f>BS71</f>
        <v>1838.4</v>
      </c>
      <c r="DR71" s="212">
        <f>BW71</f>
        <v>2014.3</v>
      </c>
      <c r="DS71" s="212">
        <f>CA71</f>
        <v>2233</v>
      </c>
      <c r="DT71" s="212">
        <f>CE71</f>
        <v>2438.6999999999998</v>
      </c>
      <c r="DU71" s="212">
        <f>CI71</f>
        <v>2525.3000000000002</v>
      </c>
      <c r="DV71" s="212">
        <f>CM71</f>
        <v>2504.4</v>
      </c>
      <c r="DW71" s="212">
        <f>CQ71</f>
        <v>2640.5</v>
      </c>
      <c r="DX71" s="212">
        <f>CU71</f>
        <v>3167.2</v>
      </c>
      <c r="DY71" s="212">
        <f t="shared" si="158"/>
        <v>3699.0056785505758</v>
      </c>
      <c r="DZ71" s="212">
        <f>DZ101/365*DZ96</f>
        <v>4087.4155863271226</v>
      </c>
      <c r="EA71" s="212">
        <f>EA101/365*EA96</f>
        <v>4461.2362499073279</v>
      </c>
      <c r="EB71" s="212">
        <f>EB101/365*EB96</f>
        <v>4843.6282104003012</v>
      </c>
      <c r="EC71" s="212">
        <f>EC101/365*EC96</f>
        <v>5197.0465151106509</v>
      </c>
      <c r="ED71" s="212">
        <f>ED101/365*ED96</f>
        <v>5503.1067201084452</v>
      </c>
      <c r="EE71" s="199"/>
      <c r="EF71"/>
      <c r="EG71"/>
      <c r="EH71"/>
      <c r="EI71"/>
      <c r="EJ71"/>
      <c r="EK71"/>
    </row>
    <row r="72" spans="1:141" s="137" customFormat="1">
      <c r="A72" s="193"/>
      <c r="B72" s="138" t="s">
        <v>56</v>
      </c>
      <c r="C72" s="138"/>
      <c r="D72" s="217">
        <v>131.58199999999999</v>
      </c>
      <c r="E72" s="218">
        <v>171.89699999999999</v>
      </c>
      <c r="F72" s="218">
        <v>155.9</v>
      </c>
      <c r="G72" s="219">
        <v>211.03800000000001</v>
      </c>
      <c r="H72" s="218">
        <v>218.9</v>
      </c>
      <c r="I72" s="218">
        <v>199.5</v>
      </c>
      <c r="J72" s="218">
        <v>293.3</v>
      </c>
      <c r="K72" s="219">
        <v>392.2</v>
      </c>
      <c r="L72" s="218">
        <v>218.9</v>
      </c>
      <c r="M72" s="218">
        <v>511.6</v>
      </c>
      <c r="N72" s="218">
        <v>479.8</v>
      </c>
      <c r="O72" s="219">
        <v>520.20000000000005</v>
      </c>
      <c r="P72" s="218">
        <v>560.70000000000005</v>
      </c>
      <c r="Q72" s="218">
        <v>601.70000000000005</v>
      </c>
      <c r="R72" s="218">
        <v>588.9</v>
      </c>
      <c r="S72" s="219">
        <v>620.5</v>
      </c>
      <c r="T72" s="218">
        <v>682.4</v>
      </c>
      <c r="U72" s="218">
        <v>752.8</v>
      </c>
      <c r="V72" s="218">
        <v>767.2</v>
      </c>
      <c r="W72" s="219">
        <v>797.5</v>
      </c>
      <c r="X72" s="218">
        <v>811.4</v>
      </c>
      <c r="Y72" s="218">
        <v>1418.9</v>
      </c>
      <c r="Z72" s="218">
        <v>1254.0999999999999</v>
      </c>
      <c r="AA72" s="219">
        <v>1074.9000000000001</v>
      </c>
      <c r="AB72" s="218">
        <v>1266.5</v>
      </c>
      <c r="AC72" s="218">
        <v>1224</v>
      </c>
      <c r="AD72" s="218">
        <v>1240.2</v>
      </c>
      <c r="AE72" s="219">
        <v>969.6</v>
      </c>
      <c r="AF72" s="218">
        <v>982.4</v>
      </c>
      <c r="AG72" s="218">
        <v>978.1</v>
      </c>
      <c r="AH72" s="218">
        <v>904.8</v>
      </c>
      <c r="AI72" s="219">
        <v>1007.2</v>
      </c>
      <c r="AJ72" s="218">
        <v>1143.5</v>
      </c>
      <c r="AK72" s="218">
        <v>1159.9000000000001</v>
      </c>
      <c r="AL72" s="218">
        <v>1203.0999999999999</v>
      </c>
      <c r="AM72" s="219">
        <v>1037.5999999999999</v>
      </c>
      <c r="AN72" s="218">
        <v>1203.4000000000001</v>
      </c>
      <c r="AO72" s="218">
        <v>1218.7</v>
      </c>
      <c r="AP72" s="218">
        <v>1195</v>
      </c>
      <c r="AQ72" s="219">
        <v>1116.9000000000001</v>
      </c>
      <c r="AR72" s="218">
        <v>1214.8</v>
      </c>
      <c r="AS72" s="218">
        <v>1168.4000000000001</v>
      </c>
      <c r="AT72" s="218">
        <v>1250.7</v>
      </c>
      <c r="AU72" s="219">
        <v>1202.0999999999999</v>
      </c>
      <c r="AV72" s="218">
        <v>1158.5</v>
      </c>
      <c r="AW72" s="218">
        <v>1098.3</v>
      </c>
      <c r="AX72" s="218">
        <v>1210.4000000000001</v>
      </c>
      <c r="AY72" s="219">
        <v>1008.6</v>
      </c>
      <c r="AZ72" s="218">
        <v>1145.2</v>
      </c>
      <c r="BA72" s="218">
        <v>1245.2</v>
      </c>
      <c r="BB72" s="218">
        <v>1214.5999999999999</v>
      </c>
      <c r="BC72" s="219">
        <v>1505</v>
      </c>
      <c r="BD72" s="218">
        <v>1169.5</v>
      </c>
      <c r="BE72" s="218">
        <v>1182.9000000000001</v>
      </c>
      <c r="BF72" s="218">
        <v>1251.5</v>
      </c>
      <c r="BG72" s="219">
        <v>1230.0999999999999</v>
      </c>
      <c r="BH72" s="218">
        <v>1311.4</v>
      </c>
      <c r="BI72" s="218">
        <v>1316.4</v>
      </c>
      <c r="BJ72" s="218">
        <v>1186.0999999999999</v>
      </c>
      <c r="BK72" s="219">
        <v>932.1</v>
      </c>
      <c r="BL72" s="218">
        <v>928.7</v>
      </c>
      <c r="BM72" s="218">
        <v>985.4</v>
      </c>
      <c r="BN72" s="218">
        <v>857.6</v>
      </c>
      <c r="BO72" s="219">
        <v>808.1</v>
      </c>
      <c r="BP72" s="218">
        <v>897.9</v>
      </c>
      <c r="BQ72" s="218">
        <v>972.9</v>
      </c>
      <c r="BR72" s="218">
        <v>1031.5</v>
      </c>
      <c r="BS72" s="219">
        <v>976</v>
      </c>
      <c r="BT72" s="218">
        <v>1107.2</v>
      </c>
      <c r="BU72" s="218">
        <v>1073</v>
      </c>
      <c r="BV72" s="218">
        <v>1042.8</v>
      </c>
      <c r="BW72" s="219">
        <v>1049.2</v>
      </c>
      <c r="BX72" s="218">
        <v>1081.8</v>
      </c>
      <c r="BY72" s="218">
        <v>1026</v>
      </c>
      <c r="BZ72" s="218">
        <v>1033.0999999999999</v>
      </c>
      <c r="CA72" s="219">
        <v>983.9</v>
      </c>
      <c r="CB72" s="218">
        <v>1072.9000000000001</v>
      </c>
      <c r="CC72" s="218">
        <v>1097.8</v>
      </c>
      <c r="CD72" s="218">
        <v>1194.7</v>
      </c>
      <c r="CE72" s="219">
        <v>1140.4000000000001</v>
      </c>
      <c r="CF72" s="218">
        <v>1287.4000000000001</v>
      </c>
      <c r="CG72" s="218">
        <v>1323.3</v>
      </c>
      <c r="CH72" s="218">
        <v>1336.3</v>
      </c>
      <c r="CI72" s="219">
        <f>1188.8+243.7</f>
        <v>1432.5</v>
      </c>
      <c r="CJ72" s="218">
        <f>1288+10.6</f>
        <v>1298.5999999999999</v>
      </c>
      <c r="CK72" s="218">
        <f>1409.2+13.7</f>
        <v>1422.9</v>
      </c>
      <c r="CL72" s="218">
        <f>1462.9+16.9</f>
        <v>1479.8000000000002</v>
      </c>
      <c r="CM72" s="219">
        <v>1312.1</v>
      </c>
      <c r="CN72" s="218">
        <v>1450.5</v>
      </c>
      <c r="CO72" s="218">
        <v>1629.8</v>
      </c>
      <c r="CP72" s="218">
        <v>1668.8</v>
      </c>
      <c r="CQ72" s="219">
        <v>1497.6</v>
      </c>
      <c r="CR72" s="218">
        <v>1538.7</v>
      </c>
      <c r="CS72" s="218">
        <v>1693.5</v>
      </c>
      <c r="CT72" s="218">
        <v>1706.2</v>
      </c>
      <c r="CU72" s="219">
        <v>1678.1</v>
      </c>
      <c r="CV72" s="218">
        <f t="shared" ref="CV72:CY73" si="159">CU72</f>
        <v>1678.1</v>
      </c>
      <c r="CW72" s="218">
        <f t="shared" si="159"/>
        <v>1678.1</v>
      </c>
      <c r="CX72" s="218">
        <f t="shared" si="159"/>
        <v>1678.1</v>
      </c>
      <c r="CY72" s="219">
        <f t="shared" si="159"/>
        <v>1678.1</v>
      </c>
      <c r="DA72" s="212">
        <f>G72</f>
        <v>211.03800000000001</v>
      </c>
      <c r="DB72" s="212">
        <f>K72</f>
        <v>392.2</v>
      </c>
      <c r="DC72" s="212">
        <f>O72</f>
        <v>520.20000000000005</v>
      </c>
      <c r="DD72" s="212">
        <f>S72</f>
        <v>620.5</v>
      </c>
      <c r="DE72" s="212">
        <f>W72</f>
        <v>797.5</v>
      </c>
      <c r="DF72" s="212">
        <f>AA72</f>
        <v>1074.9000000000001</v>
      </c>
      <c r="DG72" s="212">
        <f>AE72</f>
        <v>969.6</v>
      </c>
      <c r="DH72" s="212">
        <f>AI72</f>
        <v>1007.2</v>
      </c>
      <c r="DI72" s="212">
        <f>AM72</f>
        <v>1037.5999999999999</v>
      </c>
      <c r="DJ72" s="212">
        <f>AQ72</f>
        <v>1116.9000000000001</v>
      </c>
      <c r="DK72" s="212">
        <f>AU72</f>
        <v>1202.0999999999999</v>
      </c>
      <c r="DL72" s="212">
        <f>AY72</f>
        <v>1008.6</v>
      </c>
      <c r="DM72" s="212">
        <f>BC72</f>
        <v>1505</v>
      </c>
      <c r="DN72" s="212">
        <f>BG72</f>
        <v>1230.0999999999999</v>
      </c>
      <c r="DO72" s="212">
        <f>BK72</f>
        <v>932.1</v>
      </c>
      <c r="DP72" s="212">
        <f>BO72</f>
        <v>808.1</v>
      </c>
      <c r="DQ72" s="212">
        <f>BS72</f>
        <v>976</v>
      </c>
      <c r="DR72" s="212">
        <f>BW72</f>
        <v>1049.2</v>
      </c>
      <c r="DS72" s="212">
        <f>CA72</f>
        <v>983.9</v>
      </c>
      <c r="DT72" s="212">
        <f>CE72</f>
        <v>1140.4000000000001</v>
      </c>
      <c r="DU72" s="212">
        <f>CI72</f>
        <v>1432.5</v>
      </c>
      <c r="DV72" s="212">
        <f>CM72</f>
        <v>1312.1</v>
      </c>
      <c r="DW72" s="212">
        <f>CQ72</f>
        <v>1497.6</v>
      </c>
      <c r="DX72" s="212">
        <f>CU72</f>
        <v>1678.1</v>
      </c>
      <c r="DY72" s="212">
        <f t="shared" si="158"/>
        <v>1678.1</v>
      </c>
      <c r="DZ72" s="218">
        <f t="shared" ref="DZ72:ED73" si="160">DY72</f>
        <v>1678.1</v>
      </c>
      <c r="EA72" s="218">
        <f t="shared" si="160"/>
        <v>1678.1</v>
      </c>
      <c r="EB72" s="218">
        <f t="shared" si="160"/>
        <v>1678.1</v>
      </c>
      <c r="EC72" s="218">
        <f t="shared" si="160"/>
        <v>1678.1</v>
      </c>
      <c r="ED72" s="218">
        <f t="shared" si="160"/>
        <v>1678.1</v>
      </c>
      <c r="EE72" s="199"/>
      <c r="EF72"/>
      <c r="EG72"/>
      <c r="EH72"/>
      <c r="EI72"/>
      <c r="EJ72"/>
      <c r="EK72"/>
    </row>
    <row r="73" spans="1:141" s="137" customFormat="1">
      <c r="A73" s="193"/>
      <c r="B73" s="200" t="s">
        <v>49</v>
      </c>
      <c r="C73" s="200"/>
      <c r="D73" s="220">
        <v>1.17</v>
      </c>
      <c r="E73" s="221">
        <v>1.2170000000000001</v>
      </c>
      <c r="F73" s="221">
        <v>1.3</v>
      </c>
      <c r="G73" s="222">
        <v>1.8520000000000001</v>
      </c>
      <c r="H73" s="221">
        <v>1.6</v>
      </c>
      <c r="I73" s="221">
        <v>1.7</v>
      </c>
      <c r="J73" s="221">
        <v>5.8</v>
      </c>
      <c r="K73" s="222">
        <v>9.9</v>
      </c>
      <c r="L73" s="221">
        <v>1.6</v>
      </c>
      <c r="M73" s="221">
        <v>12.3</v>
      </c>
      <c r="N73" s="221">
        <v>8.5</v>
      </c>
      <c r="O73" s="222">
        <v>8.3000000000000007</v>
      </c>
      <c r="P73" s="221">
        <v>9.6999999999999993</v>
      </c>
      <c r="Q73" s="221">
        <v>9.6999999999999993</v>
      </c>
      <c r="R73" s="221">
        <v>9</v>
      </c>
      <c r="S73" s="222">
        <v>9.1</v>
      </c>
      <c r="T73" s="221">
        <v>12.4</v>
      </c>
      <c r="U73" s="221">
        <v>13</v>
      </c>
      <c r="V73" s="221">
        <v>10.8</v>
      </c>
      <c r="W73" s="222">
        <v>16.5</v>
      </c>
      <c r="X73" s="221">
        <v>14.7</v>
      </c>
      <c r="Y73" s="221">
        <v>13.5</v>
      </c>
      <c r="Z73" s="221">
        <v>13.6</v>
      </c>
      <c r="AA73" s="222">
        <v>71.599999999999994</v>
      </c>
      <c r="AB73" s="221">
        <v>60</v>
      </c>
      <c r="AC73" s="221">
        <v>129.1</v>
      </c>
      <c r="AD73" s="221">
        <v>129.1</v>
      </c>
      <c r="AE73" s="222">
        <v>155.6</v>
      </c>
      <c r="AF73" s="221">
        <v>291.60000000000002</v>
      </c>
      <c r="AG73" s="221">
        <v>131.30000000000001</v>
      </c>
      <c r="AH73" s="221">
        <v>105</v>
      </c>
      <c r="AI73" s="222">
        <v>129.5</v>
      </c>
      <c r="AJ73" s="221">
        <v>79.2</v>
      </c>
      <c r="AK73" s="221">
        <v>107.1</v>
      </c>
      <c r="AL73" s="221">
        <v>3.5</v>
      </c>
      <c r="AM73" s="222">
        <v>3.9</v>
      </c>
      <c r="AN73" s="221">
        <v>3.6</v>
      </c>
      <c r="AO73" s="221">
        <v>3.9</v>
      </c>
      <c r="AP73" s="221">
        <v>4.4000000000000004</v>
      </c>
      <c r="AQ73" s="222">
        <v>4</v>
      </c>
      <c r="AR73" s="221">
        <v>3.4</v>
      </c>
      <c r="AS73" s="221">
        <v>609.6</v>
      </c>
      <c r="AT73" s="221">
        <v>612.6</v>
      </c>
      <c r="AU73" s="222">
        <v>632.79999999999995</v>
      </c>
      <c r="AV73" s="221">
        <v>628.79999999999995</v>
      </c>
      <c r="AW73" s="221">
        <v>5.9</v>
      </c>
      <c r="AX73" s="221">
        <v>7.6</v>
      </c>
      <c r="AY73" s="222">
        <v>558.70000000000005</v>
      </c>
      <c r="AZ73" s="221">
        <v>7.9</v>
      </c>
      <c r="BA73" s="221">
        <v>13.9</v>
      </c>
      <c r="BB73" s="221">
        <v>27.5</v>
      </c>
      <c r="BC73" s="222">
        <v>25.6</v>
      </c>
      <c r="BD73" s="221">
        <v>26.4</v>
      </c>
      <c r="BE73" s="221">
        <v>100.3</v>
      </c>
      <c r="BF73" s="221">
        <v>103.6</v>
      </c>
      <c r="BG73" s="222">
        <v>96.1</v>
      </c>
      <c r="BH73" s="221">
        <v>99.6</v>
      </c>
      <c r="BI73" s="221">
        <v>53.9</v>
      </c>
      <c r="BJ73" s="221">
        <v>11.8</v>
      </c>
      <c r="BK73" s="222">
        <v>4.3</v>
      </c>
      <c r="BL73" s="221">
        <v>2180.6999999999998</v>
      </c>
      <c r="BM73" s="221">
        <f>7.9+1287.6</f>
        <v>1295.5</v>
      </c>
      <c r="BN73" s="221">
        <v>4.2</v>
      </c>
      <c r="BO73" s="222">
        <v>8.1</v>
      </c>
      <c r="BP73" s="221">
        <v>2.9</v>
      </c>
      <c r="BQ73" s="221">
        <v>2</v>
      </c>
      <c r="BR73" s="221">
        <v>0</v>
      </c>
      <c r="BS73" s="222">
        <f>BR73</f>
        <v>0</v>
      </c>
      <c r="BT73" s="221"/>
      <c r="BU73" s="221"/>
      <c r="BV73" s="221"/>
      <c r="BW73" s="222"/>
      <c r="BX73" s="221"/>
      <c r="BY73" s="221"/>
      <c r="BZ73" s="221"/>
      <c r="CA73" s="222"/>
      <c r="CB73" s="221"/>
      <c r="CC73" s="221"/>
      <c r="CD73" s="221"/>
      <c r="CE73" s="222"/>
      <c r="CF73" s="221"/>
      <c r="CG73" s="221"/>
      <c r="CH73" s="221"/>
      <c r="CI73" s="222"/>
      <c r="CJ73" s="221"/>
      <c r="CK73" s="221"/>
      <c r="CL73" s="221"/>
      <c r="CM73" s="222">
        <v>23.1</v>
      </c>
      <c r="CN73" s="221">
        <v>26.4</v>
      </c>
      <c r="CO73" s="221">
        <v>29.4</v>
      </c>
      <c r="CP73" s="221">
        <v>32.6</v>
      </c>
      <c r="CQ73" s="222">
        <v>35.6</v>
      </c>
      <c r="CR73" s="221">
        <v>38.799999999999997</v>
      </c>
      <c r="CS73" s="355">
        <v>42</v>
      </c>
      <c r="CT73" s="221">
        <v>9</v>
      </c>
      <c r="CU73" s="222">
        <v>9</v>
      </c>
      <c r="CV73" s="221">
        <f t="shared" si="159"/>
        <v>9</v>
      </c>
      <c r="CW73" s="221">
        <f t="shared" si="159"/>
        <v>9</v>
      </c>
      <c r="CX73" s="221">
        <f t="shared" si="159"/>
        <v>9</v>
      </c>
      <c r="CY73" s="222">
        <f t="shared" si="159"/>
        <v>9</v>
      </c>
      <c r="DA73" s="542">
        <f>G73</f>
        <v>1.8520000000000001</v>
      </c>
      <c r="DB73" s="542">
        <f>K73</f>
        <v>9.9</v>
      </c>
      <c r="DC73" s="542">
        <f>O73</f>
        <v>8.3000000000000007</v>
      </c>
      <c r="DD73" s="542">
        <f>S73</f>
        <v>9.1</v>
      </c>
      <c r="DE73" s="542">
        <f>W73</f>
        <v>16.5</v>
      </c>
      <c r="DF73" s="542">
        <f>AA73</f>
        <v>71.599999999999994</v>
      </c>
      <c r="DG73" s="542">
        <f>AE73</f>
        <v>155.6</v>
      </c>
      <c r="DH73" s="542">
        <f>AI73</f>
        <v>129.5</v>
      </c>
      <c r="DI73" s="542">
        <f>AM73</f>
        <v>3.9</v>
      </c>
      <c r="DJ73" s="542">
        <f>AQ73</f>
        <v>4</v>
      </c>
      <c r="DK73" s="542">
        <f>AU73</f>
        <v>632.79999999999995</v>
      </c>
      <c r="DL73" s="542">
        <f>AY73</f>
        <v>558.70000000000005</v>
      </c>
      <c r="DM73" s="542">
        <f>BC73</f>
        <v>25.6</v>
      </c>
      <c r="DN73" s="542">
        <f>BG73</f>
        <v>96.1</v>
      </c>
      <c r="DO73" s="542">
        <f>BK73</f>
        <v>4.3</v>
      </c>
      <c r="DP73" s="542">
        <f>BO73</f>
        <v>8.1</v>
      </c>
      <c r="DQ73" s="542">
        <f>BS73</f>
        <v>0</v>
      </c>
      <c r="DR73" s="542"/>
      <c r="DS73" s="542"/>
      <c r="DT73" s="542"/>
      <c r="DU73" s="542"/>
      <c r="DV73" s="542">
        <f>CM73</f>
        <v>23.1</v>
      </c>
      <c r="DW73" s="542">
        <f>CQ73</f>
        <v>35.6</v>
      </c>
      <c r="DX73" s="542">
        <f>CU73</f>
        <v>9</v>
      </c>
      <c r="DY73" s="542">
        <f t="shared" si="158"/>
        <v>9</v>
      </c>
      <c r="DZ73" s="221">
        <f t="shared" si="160"/>
        <v>9</v>
      </c>
      <c r="EA73" s="221">
        <f t="shared" si="160"/>
        <v>9</v>
      </c>
      <c r="EB73" s="221">
        <f t="shared" si="160"/>
        <v>9</v>
      </c>
      <c r="EC73" s="221">
        <f t="shared" si="160"/>
        <v>9</v>
      </c>
      <c r="ED73" s="221">
        <f t="shared" si="160"/>
        <v>9</v>
      </c>
      <c r="EE73" s="199"/>
      <c r="EF73"/>
      <c r="EG73"/>
      <c r="EH73"/>
      <c r="EI73"/>
      <c r="EJ73"/>
      <c r="EK73"/>
    </row>
    <row r="74" spans="1:141" s="137" customFormat="1">
      <c r="A74" s="193"/>
      <c r="B74" s="199" t="s">
        <v>23</v>
      </c>
      <c r="C74" s="199"/>
      <c r="D74" s="213">
        <f t="shared" ref="D74:AC74" si="161">SUM(D70:D73)</f>
        <v>502.62800000000004</v>
      </c>
      <c r="E74" s="197">
        <f t="shared" si="161"/>
        <v>601.39499999999998</v>
      </c>
      <c r="F74" s="197">
        <f t="shared" si="161"/>
        <v>593.69999999999993</v>
      </c>
      <c r="G74" s="198">
        <f t="shared" si="161"/>
        <v>981.27800000000002</v>
      </c>
      <c r="H74" s="197">
        <f t="shared" si="161"/>
        <v>956.8</v>
      </c>
      <c r="I74" s="197">
        <f t="shared" si="161"/>
        <v>1041.6000000000001</v>
      </c>
      <c r="J74" s="197">
        <f t="shared" si="161"/>
        <v>1145.8999999999999</v>
      </c>
      <c r="K74" s="198">
        <f t="shared" si="161"/>
        <v>1276</v>
      </c>
      <c r="L74" s="197">
        <f t="shared" si="161"/>
        <v>956.8</v>
      </c>
      <c r="M74" s="197">
        <f t="shared" si="161"/>
        <v>1557.3999999999999</v>
      </c>
      <c r="N74" s="197">
        <f t="shared" si="161"/>
        <v>1454.1</v>
      </c>
      <c r="O74" s="198">
        <f t="shared" si="161"/>
        <v>1499.3</v>
      </c>
      <c r="P74" s="197">
        <f t="shared" si="161"/>
        <v>1584.9</v>
      </c>
      <c r="Q74" s="197">
        <f t="shared" si="161"/>
        <v>1686.3000000000002</v>
      </c>
      <c r="R74" s="197">
        <f t="shared" si="161"/>
        <v>1681.4</v>
      </c>
      <c r="S74" s="198">
        <f t="shared" si="161"/>
        <v>1854</v>
      </c>
      <c r="T74" s="197">
        <f t="shared" si="161"/>
        <v>1946.9</v>
      </c>
      <c r="U74" s="197">
        <f t="shared" si="161"/>
        <v>2182.3000000000002</v>
      </c>
      <c r="V74" s="197">
        <f t="shared" si="161"/>
        <v>2297.6000000000004</v>
      </c>
      <c r="W74" s="198">
        <f t="shared" si="161"/>
        <v>2497.5</v>
      </c>
      <c r="X74" s="197">
        <f t="shared" si="161"/>
        <v>2634.8999999999996</v>
      </c>
      <c r="Y74" s="197">
        <f t="shared" si="161"/>
        <v>3527.2000000000003</v>
      </c>
      <c r="Z74" s="197">
        <f t="shared" si="161"/>
        <v>3361.3999999999996</v>
      </c>
      <c r="AA74" s="198">
        <f t="shared" si="161"/>
        <v>3495.4</v>
      </c>
      <c r="AB74" s="197">
        <f t="shared" si="161"/>
        <v>3819.2</v>
      </c>
      <c r="AC74" s="197">
        <f t="shared" si="161"/>
        <v>3771.4</v>
      </c>
      <c r="AD74" s="197">
        <f t="shared" ref="AD74:BC74" si="162">SUM(AD70:AD73)</f>
        <v>3651.6</v>
      </c>
      <c r="AE74" s="198">
        <f t="shared" si="162"/>
        <v>3371.6</v>
      </c>
      <c r="AF74" s="197">
        <f t="shared" si="162"/>
        <v>3542.4</v>
      </c>
      <c r="AG74" s="197">
        <f t="shared" si="162"/>
        <v>3396.3</v>
      </c>
      <c r="AH74" s="197">
        <f t="shared" si="162"/>
        <v>3172.6000000000004</v>
      </c>
      <c r="AI74" s="198">
        <f t="shared" si="162"/>
        <v>3182.8</v>
      </c>
      <c r="AJ74" s="197">
        <f t="shared" si="162"/>
        <v>3438.7999999999997</v>
      </c>
      <c r="AK74" s="197">
        <f t="shared" si="162"/>
        <v>3607</v>
      </c>
      <c r="AL74" s="197">
        <f t="shared" si="162"/>
        <v>3485.9</v>
      </c>
      <c r="AM74" s="198">
        <f t="shared" si="162"/>
        <v>3045.2000000000003</v>
      </c>
      <c r="AN74" s="197">
        <f t="shared" si="162"/>
        <v>3570.8999999999996</v>
      </c>
      <c r="AO74" s="197">
        <f t="shared" si="162"/>
        <v>3723.9</v>
      </c>
      <c r="AP74" s="197">
        <f t="shared" si="162"/>
        <v>3615.5000000000005</v>
      </c>
      <c r="AQ74" s="198">
        <f t="shared" si="162"/>
        <v>3582.1</v>
      </c>
      <c r="AR74" s="197">
        <f t="shared" si="162"/>
        <v>3839.1</v>
      </c>
      <c r="AS74" s="197">
        <f t="shared" si="162"/>
        <v>4355.4000000000005</v>
      </c>
      <c r="AT74" s="197">
        <f t="shared" si="162"/>
        <v>4501.8</v>
      </c>
      <c r="AU74" s="198">
        <f t="shared" si="162"/>
        <v>4647.8999999999996</v>
      </c>
      <c r="AV74" s="197">
        <f t="shared" si="162"/>
        <v>4601.3</v>
      </c>
      <c r="AW74" s="197">
        <f t="shared" si="162"/>
        <v>4022.2000000000003</v>
      </c>
      <c r="AX74" s="197">
        <f t="shared" si="162"/>
        <v>4297.3</v>
      </c>
      <c r="AY74" s="198">
        <f t="shared" si="162"/>
        <v>4106.7</v>
      </c>
      <c r="AZ74" s="197">
        <f t="shared" si="162"/>
        <v>4269.8999999999996</v>
      </c>
      <c r="BA74" s="197">
        <f t="shared" si="162"/>
        <v>4354.8999999999996</v>
      </c>
      <c r="BB74" s="197">
        <f t="shared" si="162"/>
        <v>4139.6000000000004</v>
      </c>
      <c r="BC74" s="198">
        <f t="shared" si="162"/>
        <v>3887.3</v>
      </c>
      <c r="BD74" s="197">
        <f t="shared" ref="BD74:CB74" si="163">SUM(BD70:BD73)</f>
        <v>3687.7000000000003</v>
      </c>
      <c r="BE74" s="197">
        <f t="shared" si="163"/>
        <v>3916.3</v>
      </c>
      <c r="BF74" s="197">
        <f t="shared" si="163"/>
        <v>3837.1</v>
      </c>
      <c r="BG74" s="198">
        <f t="shared" si="163"/>
        <v>3603.9</v>
      </c>
      <c r="BH74" s="197">
        <f t="shared" si="163"/>
        <v>3921.7</v>
      </c>
      <c r="BI74" s="197">
        <f t="shared" si="163"/>
        <v>3980.3</v>
      </c>
      <c r="BJ74" s="197">
        <f t="shared" si="163"/>
        <v>3468.7000000000003</v>
      </c>
      <c r="BK74" s="198">
        <f t="shared" si="163"/>
        <v>4609.8</v>
      </c>
      <c r="BL74" s="197">
        <f t="shared" si="163"/>
        <v>4444.7999999999993</v>
      </c>
      <c r="BM74" s="197">
        <f t="shared" si="163"/>
        <v>5801</v>
      </c>
      <c r="BN74" s="197">
        <f t="shared" si="163"/>
        <v>3029.2</v>
      </c>
      <c r="BO74" s="198">
        <f t="shared" si="163"/>
        <v>2400.7999999999997</v>
      </c>
      <c r="BP74" s="197">
        <f t="shared" si="163"/>
        <v>2745.8</v>
      </c>
      <c r="BQ74" s="197">
        <f t="shared" si="163"/>
        <v>2797.3</v>
      </c>
      <c r="BR74" s="197">
        <f t="shared" si="163"/>
        <v>2891.2</v>
      </c>
      <c r="BS74" s="198">
        <f t="shared" si="163"/>
        <v>2818.5</v>
      </c>
      <c r="BT74" s="197">
        <f t="shared" si="163"/>
        <v>3357.5</v>
      </c>
      <c r="BU74" s="197">
        <f t="shared" si="163"/>
        <v>3386.5</v>
      </c>
      <c r="BV74" s="197">
        <f t="shared" si="163"/>
        <v>3242.6000000000004</v>
      </c>
      <c r="BW74" s="198">
        <f t="shared" si="163"/>
        <v>3063.5</v>
      </c>
      <c r="BX74" s="197">
        <f t="shared" si="163"/>
        <v>3437</v>
      </c>
      <c r="BY74" s="197">
        <f t="shared" si="163"/>
        <v>3378.1</v>
      </c>
      <c r="BZ74" s="197">
        <f t="shared" si="163"/>
        <v>3297.7</v>
      </c>
      <c r="CA74" s="198">
        <f t="shared" si="163"/>
        <v>3216.9</v>
      </c>
      <c r="CB74" s="197">
        <f t="shared" si="163"/>
        <v>3564</v>
      </c>
      <c r="CC74" s="197">
        <f t="shared" ref="CC74:CS74" si="164">SUM(CC70:CC73)</f>
        <v>3592.8999999999996</v>
      </c>
      <c r="CD74" s="197">
        <f t="shared" si="164"/>
        <v>3749.6000000000004</v>
      </c>
      <c r="CE74" s="198">
        <f t="shared" si="164"/>
        <v>3579.1</v>
      </c>
      <c r="CF74" s="197">
        <f t="shared" si="164"/>
        <v>4169.3999999999996</v>
      </c>
      <c r="CG74" s="197">
        <f t="shared" si="164"/>
        <v>4144.3999999999996</v>
      </c>
      <c r="CH74" s="197">
        <f t="shared" si="164"/>
        <v>3950.8999999999996</v>
      </c>
      <c r="CI74" s="198">
        <f t="shared" si="164"/>
        <v>3957.8</v>
      </c>
      <c r="CJ74" s="197">
        <f t="shared" si="164"/>
        <v>4059.9</v>
      </c>
      <c r="CK74" s="197">
        <f t="shared" si="164"/>
        <v>4174.8999999999996</v>
      </c>
      <c r="CL74" s="197">
        <f t="shared" si="164"/>
        <v>4056.2000000000003</v>
      </c>
      <c r="CM74" s="198">
        <f t="shared" si="164"/>
        <v>3839.6</v>
      </c>
      <c r="CN74" s="197">
        <f t="shared" si="164"/>
        <v>4269.5</v>
      </c>
      <c r="CO74" s="197">
        <f t="shared" si="164"/>
        <v>4431.2999999999993</v>
      </c>
      <c r="CP74" s="197">
        <f t="shared" si="164"/>
        <v>4483.3</v>
      </c>
      <c r="CQ74" s="198">
        <f t="shared" si="164"/>
        <v>4182.3</v>
      </c>
      <c r="CR74" s="197">
        <f t="shared" si="164"/>
        <v>4630.7</v>
      </c>
      <c r="CS74" s="348">
        <f t="shared" si="164"/>
        <v>4942.3</v>
      </c>
      <c r="CT74" s="197">
        <f>SUM(CT70:CT73)</f>
        <v>4893</v>
      </c>
      <c r="CU74" s="198">
        <f>SUM(CU70:CU73)</f>
        <v>4854.2999999999993</v>
      </c>
      <c r="CV74" s="197">
        <f t="shared" ref="CV74:CY74" si="165">SUM(CV70:CV73)</f>
        <v>5329.4634119915709</v>
      </c>
      <c r="CW74" s="197">
        <f t="shared" si="165"/>
        <v>5417.6216182033331</v>
      </c>
      <c r="CX74" s="197">
        <f t="shared" si="165"/>
        <v>5420.3270275203049</v>
      </c>
      <c r="CY74" s="198">
        <f t="shared" si="165"/>
        <v>5386.1056785505752</v>
      </c>
      <c r="DA74" s="212">
        <f t="shared" ref="DA74:EA74" si="166">SUM(DA70:DA73)</f>
        <v>981.27800000000002</v>
      </c>
      <c r="DB74" s="212">
        <f t="shared" si="166"/>
        <v>1276</v>
      </c>
      <c r="DC74" s="212">
        <f t="shared" si="166"/>
        <v>1499.3</v>
      </c>
      <c r="DD74" s="212">
        <f t="shared" si="166"/>
        <v>1854</v>
      </c>
      <c r="DE74" s="212">
        <f t="shared" si="166"/>
        <v>2497.5</v>
      </c>
      <c r="DF74" s="212">
        <f t="shared" si="166"/>
        <v>3495.4</v>
      </c>
      <c r="DG74" s="212">
        <f t="shared" si="166"/>
        <v>3371.6</v>
      </c>
      <c r="DH74" s="212">
        <f t="shared" si="166"/>
        <v>3182.8</v>
      </c>
      <c r="DI74" s="212">
        <f t="shared" si="166"/>
        <v>3045.2000000000003</v>
      </c>
      <c r="DJ74" s="212">
        <f t="shared" si="166"/>
        <v>3582.1</v>
      </c>
      <c r="DK74" s="212">
        <f t="shared" si="166"/>
        <v>4647.8999999999996</v>
      </c>
      <c r="DL74" s="212">
        <f t="shared" si="166"/>
        <v>4106.7</v>
      </c>
      <c r="DM74" s="212">
        <f t="shared" si="166"/>
        <v>3887.3</v>
      </c>
      <c r="DN74" s="212">
        <f t="shared" si="166"/>
        <v>3603.9</v>
      </c>
      <c r="DO74" s="212">
        <f t="shared" si="166"/>
        <v>4609.8</v>
      </c>
      <c r="DP74" s="212">
        <f t="shared" si="166"/>
        <v>2400.7999999999997</v>
      </c>
      <c r="DQ74" s="212">
        <f t="shared" si="166"/>
        <v>2818.5</v>
      </c>
      <c r="DR74" s="212">
        <f t="shared" si="166"/>
        <v>3063.5</v>
      </c>
      <c r="DS74" s="212">
        <f t="shared" si="166"/>
        <v>3216.9</v>
      </c>
      <c r="DT74" s="212">
        <f t="shared" si="166"/>
        <v>3579.1</v>
      </c>
      <c r="DU74" s="212">
        <f t="shared" si="166"/>
        <v>3957.8</v>
      </c>
      <c r="DV74" s="212">
        <f t="shared" si="166"/>
        <v>3839.6</v>
      </c>
      <c r="DW74" s="212">
        <f t="shared" si="166"/>
        <v>4182.3</v>
      </c>
      <c r="DX74" s="212">
        <f t="shared" si="166"/>
        <v>4854.2999999999993</v>
      </c>
      <c r="DY74" s="212">
        <f t="shared" ref="DY74" si="167">SUM(DY70:DY73)</f>
        <v>5386.1056785505752</v>
      </c>
      <c r="DZ74" s="197">
        <f t="shared" si="166"/>
        <v>5774.5155863271229</v>
      </c>
      <c r="EA74" s="197">
        <f t="shared" si="166"/>
        <v>6148.3362499073282</v>
      </c>
      <c r="EB74" s="197">
        <f t="shared" ref="EB74:ED74" si="168">SUM(EB70:EB73)</f>
        <v>6530.7282104003007</v>
      </c>
      <c r="EC74" s="197">
        <f t="shared" si="168"/>
        <v>6884.1465151106513</v>
      </c>
      <c r="ED74" s="197">
        <f t="shared" si="168"/>
        <v>7190.2067201084446</v>
      </c>
      <c r="EE74" s="199"/>
      <c r="EF74"/>
      <c r="EG74"/>
      <c r="EH74"/>
      <c r="EI74"/>
      <c r="EJ74"/>
      <c r="EK74"/>
    </row>
    <row r="75" spans="1:141" s="137" customFormat="1">
      <c r="A75" s="193"/>
      <c r="B75" s="199"/>
      <c r="C75" s="199"/>
      <c r="D75" s="223"/>
      <c r="E75" s="199"/>
      <c r="F75" s="199"/>
      <c r="G75" s="211"/>
      <c r="H75" s="199"/>
      <c r="I75" s="199"/>
      <c r="J75" s="199"/>
      <c r="K75" s="211"/>
      <c r="L75" s="199"/>
      <c r="M75" s="199"/>
      <c r="N75" s="199"/>
      <c r="O75" s="211"/>
      <c r="P75" s="199"/>
      <c r="Q75" s="199"/>
      <c r="R75" s="199"/>
      <c r="S75" s="211"/>
      <c r="T75" s="199"/>
      <c r="U75" s="199"/>
      <c r="V75" s="199"/>
      <c r="W75" s="211"/>
      <c r="X75" s="199"/>
      <c r="Y75" s="199"/>
      <c r="Z75" s="199"/>
      <c r="AA75" s="211"/>
      <c r="AB75" s="199"/>
      <c r="AC75" s="199"/>
      <c r="AD75" s="199"/>
      <c r="AE75" s="211"/>
      <c r="AF75" s="199"/>
      <c r="AG75" s="199"/>
      <c r="AH75" s="199"/>
      <c r="AI75" s="211"/>
      <c r="AJ75" s="199"/>
      <c r="AK75" s="199"/>
      <c r="AL75" s="199"/>
      <c r="AM75" s="211"/>
      <c r="AN75" s="199"/>
      <c r="AO75" s="199"/>
      <c r="AP75" s="199"/>
      <c r="AQ75" s="211"/>
      <c r="AR75" s="199"/>
      <c r="AS75" s="199"/>
      <c r="AT75" s="199"/>
      <c r="AU75" s="211"/>
      <c r="AV75" s="199"/>
      <c r="AW75" s="199"/>
      <c r="AX75" s="199"/>
      <c r="AY75" s="211"/>
      <c r="AZ75" s="199"/>
      <c r="BA75" s="199"/>
      <c r="BB75" s="199"/>
      <c r="BC75" s="211"/>
      <c r="BD75" s="199"/>
      <c r="BE75" s="199"/>
      <c r="BF75" s="199"/>
      <c r="BG75" s="211"/>
      <c r="BH75" s="199"/>
      <c r="BI75" s="199"/>
      <c r="BJ75" s="199"/>
      <c r="BK75" s="211"/>
      <c r="BL75" s="199"/>
      <c r="BM75" s="199"/>
      <c r="BN75" s="199"/>
      <c r="BO75" s="211"/>
      <c r="BP75" s="199"/>
      <c r="BQ75" s="199"/>
      <c r="BR75" s="199"/>
      <c r="BS75" s="211"/>
      <c r="BT75" s="199"/>
      <c r="BU75" s="199"/>
      <c r="BV75" s="199"/>
      <c r="BW75" s="211"/>
      <c r="BX75" s="199"/>
      <c r="BY75" s="199"/>
      <c r="BZ75" s="199"/>
      <c r="CA75" s="211"/>
      <c r="CB75" s="199"/>
      <c r="CC75" s="199"/>
      <c r="CD75" s="199"/>
      <c r="CE75" s="211"/>
      <c r="CF75" s="199"/>
      <c r="CG75" s="199"/>
      <c r="CH75" s="199"/>
      <c r="CI75" s="211"/>
      <c r="CJ75" s="199"/>
      <c r="CK75" s="199"/>
      <c r="CL75" s="199"/>
      <c r="CM75" s="211"/>
      <c r="CN75" s="199"/>
      <c r="CO75" s="199"/>
      <c r="CP75" s="199"/>
      <c r="CQ75" s="211"/>
      <c r="CR75" s="199"/>
      <c r="CS75" s="139"/>
      <c r="CT75" s="199"/>
      <c r="CU75" s="211"/>
      <c r="CV75" s="199"/>
      <c r="CW75" s="199"/>
      <c r="CX75" s="199"/>
      <c r="CY75" s="211"/>
      <c r="DA75" s="226"/>
      <c r="DB75" s="226"/>
      <c r="DC75" s="226"/>
      <c r="DD75" s="226"/>
      <c r="DE75" s="226"/>
      <c r="DF75" s="226"/>
      <c r="DG75" s="226"/>
      <c r="DH75" s="226"/>
      <c r="DI75" s="226"/>
      <c r="DJ75" s="226"/>
      <c r="DK75" s="226"/>
      <c r="DL75" s="226"/>
      <c r="DM75" s="226"/>
      <c r="DN75" s="226"/>
      <c r="DO75" s="226"/>
      <c r="DP75" s="226"/>
      <c r="DQ75" s="226"/>
      <c r="DR75" s="226"/>
      <c r="DS75" s="226"/>
      <c r="DT75" s="226"/>
      <c r="DU75" s="226"/>
      <c r="DV75" s="226"/>
      <c r="DW75" s="226"/>
      <c r="DX75" s="226"/>
      <c r="DY75" s="226"/>
      <c r="DZ75" s="199"/>
      <c r="EA75" s="199"/>
      <c r="EB75" s="199"/>
      <c r="EC75" s="199"/>
      <c r="ED75" s="199"/>
      <c r="EE75" s="199"/>
      <c r="EF75"/>
      <c r="EG75"/>
      <c r="EH75"/>
      <c r="EI75"/>
      <c r="EJ75"/>
      <c r="EK75"/>
    </row>
    <row r="76" spans="1:141" s="137" customFormat="1">
      <c r="A76" s="193"/>
      <c r="B76" s="138" t="s">
        <v>57</v>
      </c>
      <c r="C76" s="138"/>
      <c r="D76" s="217">
        <v>14.944000000000001</v>
      </c>
      <c r="E76" s="218">
        <v>15.106999999999999</v>
      </c>
      <c r="F76" s="218">
        <v>15.2</v>
      </c>
      <c r="G76" s="219">
        <v>25.292000000000002</v>
      </c>
      <c r="H76" s="218">
        <v>25.4</v>
      </c>
      <c r="I76" s="218">
        <v>24.3</v>
      </c>
      <c r="J76" s="218">
        <v>28.4</v>
      </c>
      <c r="K76" s="219">
        <v>37.299999999999997</v>
      </c>
      <c r="L76" s="218">
        <v>25.4</v>
      </c>
      <c r="M76" s="218">
        <v>45.1</v>
      </c>
      <c r="N76" s="218">
        <v>44.2</v>
      </c>
      <c r="O76" s="219">
        <v>49.6</v>
      </c>
      <c r="P76" s="218">
        <v>43.6</v>
      </c>
      <c r="Q76" s="218">
        <v>43.8</v>
      </c>
      <c r="R76" s="218">
        <v>41.8</v>
      </c>
      <c r="S76" s="219">
        <v>61.7</v>
      </c>
      <c r="T76" s="218">
        <v>67.3</v>
      </c>
      <c r="U76" s="218">
        <v>60.3</v>
      </c>
      <c r="V76" s="218">
        <v>71.099999999999994</v>
      </c>
      <c r="W76" s="219">
        <v>39</v>
      </c>
      <c r="X76" s="218">
        <v>42.9</v>
      </c>
      <c r="Y76" s="218">
        <v>95.2</v>
      </c>
      <c r="Z76" s="218">
        <v>94</v>
      </c>
      <c r="AA76" s="219">
        <v>16.8</v>
      </c>
      <c r="AB76" s="218"/>
      <c r="AC76" s="218"/>
      <c r="AD76" s="218"/>
      <c r="AE76" s="219"/>
      <c r="AF76" s="218"/>
      <c r="AG76" s="218"/>
      <c r="AH76" s="218"/>
      <c r="AI76" s="219"/>
      <c r="AJ76" s="218"/>
      <c r="AK76" s="218"/>
      <c r="AL76" s="218"/>
      <c r="AM76" s="219"/>
      <c r="AN76" s="218"/>
      <c r="AO76" s="218"/>
      <c r="AP76" s="218"/>
      <c r="AQ76" s="219"/>
      <c r="AR76" s="218"/>
      <c r="AS76" s="218"/>
      <c r="AT76" s="218"/>
      <c r="AU76" s="219"/>
      <c r="AV76" s="218"/>
      <c r="AW76" s="218"/>
      <c r="AX76" s="218"/>
      <c r="AY76" s="219"/>
      <c r="AZ76" s="218"/>
      <c r="BA76" s="218"/>
      <c r="BB76" s="218"/>
      <c r="BC76" s="219"/>
      <c r="BD76" s="218"/>
      <c r="BE76" s="218"/>
      <c r="BF76" s="218"/>
      <c r="BG76" s="219"/>
      <c r="BH76" s="218"/>
      <c r="BI76" s="218"/>
      <c r="BJ76" s="218"/>
      <c r="BK76" s="219"/>
      <c r="BL76" s="218"/>
      <c r="BM76" s="218"/>
      <c r="BN76" s="218"/>
      <c r="BO76" s="219"/>
      <c r="BP76" s="218"/>
      <c r="BQ76" s="218"/>
      <c r="BR76" s="218"/>
      <c r="BS76" s="219"/>
      <c r="BT76" s="218"/>
      <c r="BU76" s="218"/>
      <c r="BV76" s="218"/>
      <c r="BW76" s="219"/>
      <c r="BX76" s="218"/>
      <c r="BY76" s="218"/>
      <c r="BZ76" s="218"/>
      <c r="CA76" s="219"/>
      <c r="CB76" s="218"/>
      <c r="CC76" s="218"/>
      <c r="CD76" s="218"/>
      <c r="CE76" s="219"/>
      <c r="CF76" s="218"/>
      <c r="CG76" s="218"/>
      <c r="CH76" s="218"/>
      <c r="CI76" s="219"/>
      <c r="CJ76" s="218"/>
      <c r="CK76" s="218"/>
      <c r="CL76" s="218"/>
      <c r="CM76" s="219"/>
      <c r="CN76" s="218"/>
      <c r="CO76" s="218"/>
      <c r="CP76" s="218"/>
      <c r="CQ76" s="219"/>
      <c r="CR76" s="218"/>
      <c r="CS76" s="356"/>
      <c r="CT76" s="218"/>
      <c r="CU76" s="219"/>
      <c r="CV76" s="197"/>
      <c r="CW76" s="197"/>
      <c r="CX76" s="197"/>
      <c r="CY76" s="198"/>
      <c r="DA76" s="212">
        <f>G76</f>
        <v>25.292000000000002</v>
      </c>
      <c r="DB76" s="212">
        <f>K76</f>
        <v>37.299999999999997</v>
      </c>
      <c r="DC76" s="212">
        <f>O76</f>
        <v>49.6</v>
      </c>
      <c r="DD76" s="212">
        <f>S76</f>
        <v>61.7</v>
      </c>
      <c r="DE76" s="212">
        <f>W76</f>
        <v>39</v>
      </c>
      <c r="DF76" s="212">
        <f>AA76</f>
        <v>16.8</v>
      </c>
      <c r="DG76" s="212"/>
      <c r="DH76" s="212"/>
      <c r="DI76" s="212"/>
      <c r="DJ76" s="212"/>
      <c r="DK76" s="212"/>
      <c r="DL76" s="212"/>
      <c r="DM76" s="212"/>
      <c r="DN76" s="212"/>
      <c r="DO76" s="212"/>
      <c r="DP76" s="212"/>
      <c r="DQ76" s="212"/>
      <c r="DR76" s="212"/>
      <c r="DS76" s="212"/>
      <c r="DT76" s="212"/>
      <c r="DU76" s="212"/>
      <c r="DV76" s="212"/>
      <c r="DW76" s="212"/>
      <c r="DX76" s="212"/>
      <c r="DY76" s="212"/>
      <c r="DZ76" s="212"/>
      <c r="EA76" s="212"/>
      <c r="EB76" s="212"/>
      <c r="EC76" s="212"/>
      <c r="ED76" s="212"/>
      <c r="EE76" s="199"/>
      <c r="EF76"/>
      <c r="EG76"/>
      <c r="EH76"/>
      <c r="EI76"/>
      <c r="EJ76"/>
      <c r="EK76"/>
    </row>
    <row r="77" spans="1:141" s="137" customFormat="1">
      <c r="A77" s="193"/>
      <c r="B77" s="138" t="s">
        <v>18</v>
      </c>
      <c r="C77" s="138"/>
      <c r="D77" s="217">
        <v>504.88400000000001</v>
      </c>
      <c r="E77" s="218">
        <v>383.54899999999998</v>
      </c>
      <c r="F77" s="218">
        <v>402.6</v>
      </c>
      <c r="G77" s="219">
        <v>418.69600000000003</v>
      </c>
      <c r="H77" s="218">
        <v>519.9</v>
      </c>
      <c r="I77" s="218">
        <v>460.1</v>
      </c>
      <c r="J77" s="218">
        <v>1131.5999999999999</v>
      </c>
      <c r="K77" s="219">
        <v>1038</v>
      </c>
      <c r="L77" s="218">
        <v>519.9</v>
      </c>
      <c r="M77" s="218">
        <v>1392.5</v>
      </c>
      <c r="N77" s="218">
        <v>1241</v>
      </c>
      <c r="O77" s="219">
        <v>1054.8</v>
      </c>
      <c r="P77" s="218">
        <v>1001.6</v>
      </c>
      <c r="Q77" s="218">
        <v>994.1</v>
      </c>
      <c r="R77" s="218">
        <v>1225.5</v>
      </c>
      <c r="S77" s="219">
        <v>1063.0999999999999</v>
      </c>
      <c r="T77" s="218">
        <v>1202.7</v>
      </c>
      <c r="U77" s="218">
        <v>1277.8</v>
      </c>
      <c r="V77" s="218">
        <v>1466.3</v>
      </c>
      <c r="W77" s="219">
        <v>1463.4</v>
      </c>
      <c r="X77" s="218">
        <v>1411.6</v>
      </c>
      <c r="Y77" s="218">
        <v>3273.3</v>
      </c>
      <c r="Z77" s="218">
        <v>3756.6</v>
      </c>
      <c r="AA77" s="219">
        <v>3324.8</v>
      </c>
      <c r="AB77" s="218">
        <v>3406.6</v>
      </c>
      <c r="AC77" s="218">
        <v>3150.2</v>
      </c>
      <c r="AD77" s="218">
        <v>3081.9</v>
      </c>
      <c r="AE77" s="219">
        <v>2852.1</v>
      </c>
      <c r="AF77" s="218">
        <v>2444.1999999999998</v>
      </c>
      <c r="AG77" s="218">
        <v>2407.8000000000002</v>
      </c>
      <c r="AH77" s="218">
        <v>2430</v>
      </c>
      <c r="AI77" s="219">
        <v>2293.9</v>
      </c>
      <c r="AJ77" s="218">
        <v>2203.1</v>
      </c>
      <c r="AK77" s="218">
        <v>2113.5</v>
      </c>
      <c r="AL77" s="218">
        <v>2134.9</v>
      </c>
      <c r="AM77" s="219">
        <v>2132.8000000000002</v>
      </c>
      <c r="AN77" s="218">
        <v>2060</v>
      </c>
      <c r="AO77" s="218">
        <v>2054.4</v>
      </c>
      <c r="AP77" s="218">
        <v>2042.2</v>
      </c>
      <c r="AQ77" s="219">
        <v>2057.1999999999998</v>
      </c>
      <c r="AR77" s="218">
        <v>2049.8000000000002</v>
      </c>
      <c r="AS77" s="218">
        <v>1433</v>
      </c>
      <c r="AT77" s="218">
        <v>1854.1</v>
      </c>
      <c r="AU77" s="219">
        <v>1866.9</v>
      </c>
      <c r="AV77" s="218">
        <v>1853.3</v>
      </c>
      <c r="AW77" s="218">
        <v>1838.1</v>
      </c>
      <c r="AX77" s="218">
        <v>2291.5</v>
      </c>
      <c r="AY77" s="219">
        <v>2243.1</v>
      </c>
      <c r="AZ77" s="218">
        <v>2237.8000000000002</v>
      </c>
      <c r="BA77" s="218">
        <v>2415.8000000000002</v>
      </c>
      <c r="BB77" s="218">
        <v>2349.6999999999998</v>
      </c>
      <c r="BC77" s="219">
        <v>2434.5</v>
      </c>
      <c r="BD77" s="218">
        <v>2431.8000000000002</v>
      </c>
      <c r="BE77" s="218">
        <v>2352.4</v>
      </c>
      <c r="BF77" s="218">
        <v>2351.6</v>
      </c>
      <c r="BG77" s="219">
        <v>2344.6</v>
      </c>
      <c r="BH77" s="218">
        <v>2345.5</v>
      </c>
      <c r="BI77" s="218">
        <v>2302.1999999999998</v>
      </c>
      <c r="BJ77" s="218">
        <v>2297.3000000000002</v>
      </c>
      <c r="BK77" s="219">
        <v>1303</v>
      </c>
      <c r="BL77" s="218">
        <v>1302</v>
      </c>
      <c r="BM77" s="218">
        <v>5.6</v>
      </c>
      <c r="BN77" s="218">
        <v>8.1999999999999993</v>
      </c>
      <c r="BO77" s="219">
        <v>927.1</v>
      </c>
      <c r="BP77" s="218">
        <v>699.2</v>
      </c>
      <c r="BQ77" s="218">
        <v>695.3</v>
      </c>
      <c r="BR77" s="218">
        <v>694.8</v>
      </c>
      <c r="BS77" s="219">
        <v>694.9</v>
      </c>
      <c r="BT77" s="218">
        <v>695</v>
      </c>
      <c r="BU77" s="218">
        <v>695.1</v>
      </c>
      <c r="BV77" s="218">
        <v>695.2</v>
      </c>
      <c r="BW77" s="219">
        <v>695.4</v>
      </c>
      <c r="BX77" s="218">
        <v>695.5</v>
      </c>
      <c r="BY77" s="218">
        <v>695.6</v>
      </c>
      <c r="BZ77" s="218">
        <v>626.20000000000005</v>
      </c>
      <c r="CA77" s="219">
        <v>626.29999999999995</v>
      </c>
      <c r="CB77" s="218">
        <v>1056.8</v>
      </c>
      <c r="CC77" s="218">
        <v>1056.9000000000001</v>
      </c>
      <c r="CD77" s="218">
        <v>1057</v>
      </c>
      <c r="CE77" s="219">
        <v>1057.0999999999999</v>
      </c>
      <c r="CF77" s="218">
        <v>1068.5999999999999</v>
      </c>
      <c r="CG77" s="218">
        <v>1068.5999999999999</v>
      </c>
      <c r="CH77" s="218">
        <v>1068.7</v>
      </c>
      <c r="CI77" s="219">
        <v>1475</v>
      </c>
      <c r="CJ77" s="218">
        <v>1972.4</v>
      </c>
      <c r="CK77" s="218">
        <v>1969.1</v>
      </c>
      <c r="CL77" s="218">
        <v>1962.6</v>
      </c>
      <c r="CM77" s="219">
        <v>1931.7</v>
      </c>
      <c r="CN77" s="218">
        <v>1928.5</v>
      </c>
      <c r="CO77" s="218">
        <v>1916.4</v>
      </c>
      <c r="CP77" s="218">
        <v>1907.3</v>
      </c>
      <c r="CQ77" s="219">
        <v>1898</v>
      </c>
      <c r="CR77" s="218">
        <v>1889</v>
      </c>
      <c r="CS77" s="356">
        <v>1877.1</v>
      </c>
      <c r="CT77" s="218">
        <v>1953</v>
      </c>
      <c r="CU77" s="219">
        <v>1951.5</v>
      </c>
      <c r="CV77" s="197">
        <f>CU77+CV138</f>
        <v>1951.5</v>
      </c>
      <c r="CW77" s="197">
        <f>CV77+CW138</f>
        <v>1951.5</v>
      </c>
      <c r="CX77" s="197">
        <f>CW77+CX138</f>
        <v>1951.5</v>
      </c>
      <c r="CY77" s="198">
        <f>CX77+CY138</f>
        <v>1951.5</v>
      </c>
      <c r="DA77" s="212">
        <f>G77</f>
        <v>418.69600000000003</v>
      </c>
      <c r="DB77" s="212">
        <f>K77</f>
        <v>1038</v>
      </c>
      <c r="DC77" s="212">
        <f>O77</f>
        <v>1054.8</v>
      </c>
      <c r="DD77" s="212">
        <f>S77</f>
        <v>1063.0999999999999</v>
      </c>
      <c r="DE77" s="212">
        <f>W77</f>
        <v>1463.4</v>
      </c>
      <c r="DF77" s="212">
        <f>AA77</f>
        <v>3324.8</v>
      </c>
      <c r="DG77" s="212">
        <f>AE77</f>
        <v>2852.1</v>
      </c>
      <c r="DH77" s="212">
        <f>AI77</f>
        <v>2293.9</v>
      </c>
      <c r="DI77" s="212">
        <f>AM77</f>
        <v>2132.8000000000002</v>
      </c>
      <c r="DJ77" s="212">
        <f>AQ77</f>
        <v>2057.1999999999998</v>
      </c>
      <c r="DK77" s="212">
        <f>AU77</f>
        <v>1866.9</v>
      </c>
      <c r="DL77" s="212">
        <f>AY77</f>
        <v>2243.1</v>
      </c>
      <c r="DM77" s="212">
        <f>BC77</f>
        <v>2434.5</v>
      </c>
      <c r="DN77" s="212">
        <f>BG77</f>
        <v>2344.6</v>
      </c>
      <c r="DO77" s="212">
        <f>BK77</f>
        <v>1303</v>
      </c>
      <c r="DP77" s="212">
        <f>BO77</f>
        <v>927.1</v>
      </c>
      <c r="DQ77" s="212">
        <f>BS77</f>
        <v>694.9</v>
      </c>
      <c r="DR77" s="212">
        <f>BW77</f>
        <v>695.4</v>
      </c>
      <c r="DS77" s="212">
        <f>CA77</f>
        <v>626.29999999999995</v>
      </c>
      <c r="DT77" s="212">
        <f>CE77</f>
        <v>1057.0999999999999</v>
      </c>
      <c r="DU77" s="212">
        <f>CI77</f>
        <v>1475</v>
      </c>
      <c r="DV77" s="212">
        <f>CM77</f>
        <v>1931.7</v>
      </c>
      <c r="DW77" s="212">
        <f>CQ77</f>
        <v>1898</v>
      </c>
      <c r="DX77" s="212">
        <f>CU77</f>
        <v>1951.5</v>
      </c>
      <c r="DY77" s="212">
        <f t="shared" ref="DY77:DY78" si="169">CY77</f>
        <v>1951.5</v>
      </c>
      <c r="DZ77" s="212">
        <f>DY77+DZ138</f>
        <v>1951.5</v>
      </c>
      <c r="EA77" s="212">
        <f>DZ77+EA138</f>
        <v>1951.5</v>
      </c>
      <c r="EB77" s="212">
        <f>EA77+EB138</f>
        <v>1951.5</v>
      </c>
      <c r="EC77" s="212">
        <f>EB77+EC138</f>
        <v>1951.5</v>
      </c>
      <c r="ED77" s="212">
        <f>EC77+ED138</f>
        <v>1951.5</v>
      </c>
      <c r="EE77" s="199"/>
      <c r="EF77"/>
      <c r="EG77"/>
      <c r="EH77"/>
      <c r="EI77"/>
      <c r="EJ77"/>
      <c r="EK77"/>
    </row>
    <row r="78" spans="1:141" s="137" customFormat="1">
      <c r="A78" s="193"/>
      <c r="B78" s="200" t="s">
        <v>53</v>
      </c>
      <c r="C78" s="200"/>
      <c r="D78" s="220">
        <v>39.570999999999998</v>
      </c>
      <c r="E78" s="221">
        <v>41.118000000000002</v>
      </c>
      <c r="F78" s="221">
        <v>42.3</v>
      </c>
      <c r="G78" s="222">
        <v>76.3</v>
      </c>
      <c r="H78" s="221">
        <v>78.7</v>
      </c>
      <c r="I78" s="221">
        <v>82.6</v>
      </c>
      <c r="J78" s="221">
        <v>110.6</v>
      </c>
      <c r="K78" s="222">
        <v>130</v>
      </c>
      <c r="L78" s="221">
        <v>78.7</v>
      </c>
      <c r="M78" s="221">
        <v>168.1</v>
      </c>
      <c r="N78" s="221">
        <v>177.4</v>
      </c>
      <c r="O78" s="222">
        <v>194.4</v>
      </c>
      <c r="P78" s="221">
        <v>194.1</v>
      </c>
      <c r="Q78" s="221">
        <v>185.8</v>
      </c>
      <c r="R78" s="221">
        <v>221.5</v>
      </c>
      <c r="S78" s="222">
        <v>273.3</v>
      </c>
      <c r="T78" s="221">
        <v>274.8</v>
      </c>
      <c r="U78" s="221">
        <v>277.3</v>
      </c>
      <c r="V78" s="221">
        <v>334.7</v>
      </c>
      <c r="W78" s="222">
        <v>377.4</v>
      </c>
      <c r="X78" s="221">
        <v>397.1</v>
      </c>
      <c r="Y78" s="221">
        <v>454.1</v>
      </c>
      <c r="Z78" s="221">
        <v>400.4</v>
      </c>
      <c r="AA78" s="222">
        <v>423.3</v>
      </c>
      <c r="AB78" s="221">
        <v>414.3</v>
      </c>
      <c r="AC78" s="221">
        <v>465.1</v>
      </c>
      <c r="AD78" s="221">
        <v>438.3</v>
      </c>
      <c r="AE78" s="222">
        <v>551</v>
      </c>
      <c r="AF78" s="221">
        <v>637.6</v>
      </c>
      <c r="AG78" s="221">
        <v>608.1</v>
      </c>
      <c r="AH78" s="221">
        <v>612.9</v>
      </c>
      <c r="AI78" s="222">
        <v>543.4</v>
      </c>
      <c r="AJ78" s="221">
        <v>556.6</v>
      </c>
      <c r="AK78" s="221">
        <v>578.1</v>
      </c>
      <c r="AL78" s="221">
        <v>578.1</v>
      </c>
      <c r="AM78" s="222">
        <v>642.70000000000005</v>
      </c>
      <c r="AN78" s="221">
        <v>660.5</v>
      </c>
      <c r="AO78" s="221">
        <v>675</v>
      </c>
      <c r="AP78" s="221">
        <v>665.4</v>
      </c>
      <c r="AQ78" s="222">
        <v>674.2</v>
      </c>
      <c r="AR78" s="221">
        <v>698.7</v>
      </c>
      <c r="AS78" s="221">
        <v>708.9</v>
      </c>
      <c r="AT78" s="221">
        <v>708</v>
      </c>
      <c r="AU78" s="222">
        <v>699.5</v>
      </c>
      <c r="AV78" s="221">
        <v>714.9</v>
      </c>
      <c r="AW78" s="221">
        <v>709</v>
      </c>
      <c r="AX78" s="221">
        <v>632.1</v>
      </c>
      <c r="AY78" s="222">
        <v>827.6</v>
      </c>
      <c r="AZ78" s="221">
        <v>839</v>
      </c>
      <c r="BA78" s="221">
        <v>828.8</v>
      </c>
      <c r="BB78" s="221">
        <v>838.9</v>
      </c>
      <c r="BC78" s="222">
        <v>926.7</v>
      </c>
      <c r="BD78" s="221">
        <v>849</v>
      </c>
      <c r="BE78" s="221">
        <v>819.5</v>
      </c>
      <c r="BF78" s="221">
        <v>823.3</v>
      </c>
      <c r="BG78" s="222">
        <v>761.2</v>
      </c>
      <c r="BH78" s="221">
        <v>766.6</v>
      </c>
      <c r="BI78" s="221">
        <v>764.8</v>
      </c>
      <c r="BJ78" s="221">
        <v>757.8</v>
      </c>
      <c r="BK78" s="222">
        <v>712.4</v>
      </c>
      <c r="BL78" s="221">
        <v>733.5</v>
      </c>
      <c r="BM78" s="221">
        <v>735.1</v>
      </c>
      <c r="BN78" s="221">
        <f>641+3611.2</f>
        <v>4252.2</v>
      </c>
      <c r="BO78" s="222">
        <v>563.6</v>
      </c>
      <c r="BP78" s="221">
        <v>547</v>
      </c>
      <c r="BQ78" s="221">
        <v>490.2</v>
      </c>
      <c r="BR78" s="221">
        <v>512.29999999999995</v>
      </c>
      <c r="BS78" s="222">
        <v>538.9</v>
      </c>
      <c r="BT78" s="221">
        <v>546.79999999999995</v>
      </c>
      <c r="BU78" s="221">
        <f>555.5-BU89</f>
        <v>447.1</v>
      </c>
      <c r="BV78" s="221">
        <v>534.9</v>
      </c>
      <c r="BW78" s="222">
        <v>690.9</v>
      </c>
      <c r="BX78" s="221">
        <v>698.1</v>
      </c>
      <c r="BY78" s="221">
        <v>729.4</v>
      </c>
      <c r="BZ78" s="221">
        <v>736.2</v>
      </c>
      <c r="CA78" s="222">
        <v>738.7</v>
      </c>
      <c r="CB78" s="221">
        <v>717.6</v>
      </c>
      <c r="CC78" s="221">
        <v>726.7</v>
      </c>
      <c r="CD78" s="221">
        <v>737.6</v>
      </c>
      <c r="CE78" s="222">
        <v>545.20000000000005</v>
      </c>
      <c r="CF78" s="221">
        <v>517.70000000000005</v>
      </c>
      <c r="CG78" s="221">
        <v>527.6</v>
      </c>
      <c r="CH78" s="221">
        <v>515.79999999999995</v>
      </c>
      <c r="CI78" s="222">
        <v>688.1</v>
      </c>
      <c r="CJ78" s="221">
        <v>694.3</v>
      </c>
      <c r="CK78" s="221">
        <v>703.1</v>
      </c>
      <c r="CL78" s="221">
        <v>695.1</v>
      </c>
      <c r="CM78" s="222">
        <v>616.79999999999995</v>
      </c>
      <c r="CN78" s="221">
        <v>617.1</v>
      </c>
      <c r="CO78" s="221">
        <v>636.70000000000005</v>
      </c>
      <c r="CP78" s="221">
        <v>643.79999999999995</v>
      </c>
      <c r="CQ78" s="222">
        <v>627.4</v>
      </c>
      <c r="CR78" s="221">
        <v>617.29999999999995</v>
      </c>
      <c r="CS78" s="355">
        <v>661.6</v>
      </c>
      <c r="CT78" s="221">
        <v>691</v>
      </c>
      <c r="CU78" s="222">
        <v>694.1</v>
      </c>
      <c r="CV78" s="221">
        <f>CU78</f>
        <v>694.1</v>
      </c>
      <c r="CW78" s="221">
        <f>CV78</f>
        <v>694.1</v>
      </c>
      <c r="CX78" s="221">
        <f>CW78</f>
        <v>694.1</v>
      </c>
      <c r="CY78" s="222">
        <f>CX78</f>
        <v>694.1</v>
      </c>
      <c r="DA78" s="542">
        <f>G78</f>
        <v>76.3</v>
      </c>
      <c r="DB78" s="542">
        <f>K78</f>
        <v>130</v>
      </c>
      <c r="DC78" s="542">
        <f>O78</f>
        <v>194.4</v>
      </c>
      <c r="DD78" s="542">
        <f>S78</f>
        <v>273.3</v>
      </c>
      <c r="DE78" s="542">
        <f>W78</f>
        <v>377.4</v>
      </c>
      <c r="DF78" s="542">
        <f>AA78</f>
        <v>423.3</v>
      </c>
      <c r="DG78" s="542">
        <f>AE78</f>
        <v>551</v>
      </c>
      <c r="DH78" s="542">
        <f>AI78</f>
        <v>543.4</v>
      </c>
      <c r="DI78" s="542">
        <f>AM78</f>
        <v>642.70000000000005</v>
      </c>
      <c r="DJ78" s="542">
        <f>AQ78</f>
        <v>674.2</v>
      </c>
      <c r="DK78" s="542">
        <f>AU78</f>
        <v>699.5</v>
      </c>
      <c r="DL78" s="542">
        <f>AY78</f>
        <v>827.6</v>
      </c>
      <c r="DM78" s="542">
        <f>BC78</f>
        <v>926.7</v>
      </c>
      <c r="DN78" s="542">
        <f>BG78</f>
        <v>761.2</v>
      </c>
      <c r="DO78" s="542">
        <f>BK78</f>
        <v>712.4</v>
      </c>
      <c r="DP78" s="542">
        <f>BO78</f>
        <v>563.6</v>
      </c>
      <c r="DQ78" s="542">
        <f>BS78</f>
        <v>538.9</v>
      </c>
      <c r="DR78" s="542">
        <f>BW78</f>
        <v>690.9</v>
      </c>
      <c r="DS78" s="542">
        <f>CA78</f>
        <v>738.7</v>
      </c>
      <c r="DT78" s="542">
        <f>CE78</f>
        <v>545.20000000000005</v>
      </c>
      <c r="DU78" s="542">
        <f>CI78</f>
        <v>688.1</v>
      </c>
      <c r="DV78" s="542">
        <f>CM78</f>
        <v>616.79999999999995</v>
      </c>
      <c r="DW78" s="542">
        <f>CQ78</f>
        <v>627.4</v>
      </c>
      <c r="DX78" s="542">
        <f>CU78</f>
        <v>694.1</v>
      </c>
      <c r="DY78" s="542">
        <f t="shared" si="169"/>
        <v>694.1</v>
      </c>
      <c r="DZ78" s="221">
        <f>DY78</f>
        <v>694.1</v>
      </c>
      <c r="EA78" s="221">
        <f>DZ78</f>
        <v>694.1</v>
      </c>
      <c r="EB78" s="221">
        <f>EA78</f>
        <v>694.1</v>
      </c>
      <c r="EC78" s="221">
        <f>EB78</f>
        <v>694.1</v>
      </c>
      <c r="ED78" s="221">
        <f>EC78</f>
        <v>694.1</v>
      </c>
      <c r="EE78" s="199"/>
      <c r="EF78"/>
      <c r="EG78"/>
      <c r="EH78"/>
      <c r="EI78"/>
      <c r="EJ78"/>
      <c r="EK78"/>
    </row>
    <row r="79" spans="1:141" s="283" customFormat="1">
      <c r="A79" s="282"/>
      <c r="B79" s="205" t="s">
        <v>257</v>
      </c>
      <c r="C79" s="205"/>
      <c r="D79" s="206">
        <f>SUM(D74:D78)</f>
        <v>1062.027</v>
      </c>
      <c r="E79" s="207">
        <f t="shared" ref="E79:BC79" si="170">SUM(E74:E78)</f>
        <v>1041.1689999999999</v>
      </c>
      <c r="F79" s="207">
        <f t="shared" si="170"/>
        <v>1053.8</v>
      </c>
      <c r="G79" s="208">
        <f t="shared" si="170"/>
        <v>1501.566</v>
      </c>
      <c r="H79" s="207">
        <f t="shared" si="170"/>
        <v>1580.8</v>
      </c>
      <c r="I79" s="207">
        <f t="shared" si="170"/>
        <v>1608.6</v>
      </c>
      <c r="J79" s="207">
        <f t="shared" si="170"/>
        <v>2416.4999999999995</v>
      </c>
      <c r="K79" s="208">
        <f t="shared" si="170"/>
        <v>2481.3000000000002</v>
      </c>
      <c r="L79" s="207">
        <f t="shared" si="170"/>
        <v>1580.8</v>
      </c>
      <c r="M79" s="207">
        <f t="shared" si="170"/>
        <v>3163.1</v>
      </c>
      <c r="N79" s="207">
        <f t="shared" si="170"/>
        <v>2916.7000000000003</v>
      </c>
      <c r="O79" s="208">
        <f t="shared" si="170"/>
        <v>2798.1</v>
      </c>
      <c r="P79" s="207">
        <f t="shared" si="170"/>
        <v>2824.2</v>
      </c>
      <c r="Q79" s="207">
        <f t="shared" si="170"/>
        <v>2910.0000000000005</v>
      </c>
      <c r="R79" s="207">
        <f t="shared" si="170"/>
        <v>3170.2</v>
      </c>
      <c r="S79" s="208">
        <f t="shared" si="170"/>
        <v>3252.1000000000004</v>
      </c>
      <c r="T79" s="207">
        <f t="shared" si="170"/>
        <v>3491.7000000000003</v>
      </c>
      <c r="U79" s="207">
        <f t="shared" si="170"/>
        <v>3797.7000000000007</v>
      </c>
      <c r="V79" s="207">
        <f t="shared" si="170"/>
        <v>4169.7</v>
      </c>
      <c r="W79" s="208">
        <f t="shared" si="170"/>
        <v>4377.3</v>
      </c>
      <c r="X79" s="207">
        <f t="shared" si="170"/>
        <v>4486.5</v>
      </c>
      <c r="Y79" s="207">
        <f t="shared" si="170"/>
        <v>7349.8000000000011</v>
      </c>
      <c r="Z79" s="207">
        <f t="shared" si="170"/>
        <v>7612.4</v>
      </c>
      <c r="AA79" s="208">
        <f t="shared" si="170"/>
        <v>7260.3</v>
      </c>
      <c r="AB79" s="207">
        <f t="shared" si="170"/>
        <v>7640.0999999999995</v>
      </c>
      <c r="AC79" s="207">
        <f t="shared" si="170"/>
        <v>7386.7000000000007</v>
      </c>
      <c r="AD79" s="207">
        <f t="shared" si="170"/>
        <v>7171.8</v>
      </c>
      <c r="AE79" s="208">
        <f t="shared" si="170"/>
        <v>6774.7</v>
      </c>
      <c r="AF79" s="207">
        <f t="shared" si="170"/>
        <v>6624.2000000000007</v>
      </c>
      <c r="AG79" s="207">
        <f t="shared" si="170"/>
        <v>6412.2000000000007</v>
      </c>
      <c r="AH79" s="207">
        <f t="shared" si="170"/>
        <v>6215.5</v>
      </c>
      <c r="AI79" s="208">
        <f t="shared" si="170"/>
        <v>6020.1</v>
      </c>
      <c r="AJ79" s="207">
        <f t="shared" si="170"/>
        <v>6198.5</v>
      </c>
      <c r="AK79" s="207">
        <f t="shared" si="170"/>
        <v>6298.6</v>
      </c>
      <c r="AL79" s="207">
        <f t="shared" si="170"/>
        <v>6198.9000000000005</v>
      </c>
      <c r="AM79" s="208">
        <f t="shared" si="170"/>
        <v>5820.7</v>
      </c>
      <c r="AN79" s="207">
        <f t="shared" si="170"/>
        <v>6291.4</v>
      </c>
      <c r="AO79" s="207">
        <f t="shared" si="170"/>
        <v>6453.3</v>
      </c>
      <c r="AP79" s="207">
        <f t="shared" si="170"/>
        <v>6323.1</v>
      </c>
      <c r="AQ79" s="208">
        <f t="shared" si="170"/>
        <v>6313.4999999999991</v>
      </c>
      <c r="AR79" s="207">
        <f t="shared" si="170"/>
        <v>6587.5999999999995</v>
      </c>
      <c r="AS79" s="207">
        <f t="shared" si="170"/>
        <v>6497.3</v>
      </c>
      <c r="AT79" s="207">
        <f t="shared" si="170"/>
        <v>7063.9</v>
      </c>
      <c r="AU79" s="208">
        <f t="shared" si="170"/>
        <v>7214.2999999999993</v>
      </c>
      <c r="AV79" s="207">
        <f t="shared" si="170"/>
        <v>7169.5</v>
      </c>
      <c r="AW79" s="207">
        <f t="shared" si="170"/>
        <v>6569.3</v>
      </c>
      <c r="AX79" s="207">
        <f t="shared" si="170"/>
        <v>7220.9000000000005</v>
      </c>
      <c r="AY79" s="208">
        <f t="shared" si="170"/>
        <v>7177.4</v>
      </c>
      <c r="AZ79" s="207">
        <f t="shared" si="170"/>
        <v>7346.7</v>
      </c>
      <c r="BA79" s="207">
        <f t="shared" si="170"/>
        <v>7599.5</v>
      </c>
      <c r="BB79" s="207">
        <f t="shared" si="170"/>
        <v>7328.2</v>
      </c>
      <c r="BC79" s="208">
        <f t="shared" si="170"/>
        <v>7248.5</v>
      </c>
      <c r="BD79" s="207">
        <f t="shared" ref="BD79:CS79" si="171">SUM(BD74:BD78)</f>
        <v>6968.5</v>
      </c>
      <c r="BE79" s="207">
        <f t="shared" si="171"/>
        <v>7088.2000000000007</v>
      </c>
      <c r="BF79" s="207">
        <f t="shared" si="171"/>
        <v>7012</v>
      </c>
      <c r="BG79" s="208">
        <f t="shared" si="171"/>
        <v>6709.7</v>
      </c>
      <c r="BH79" s="207">
        <f t="shared" si="171"/>
        <v>7033.8</v>
      </c>
      <c r="BI79" s="207">
        <f t="shared" si="171"/>
        <v>7047.3</v>
      </c>
      <c r="BJ79" s="207">
        <f t="shared" si="171"/>
        <v>6523.8</v>
      </c>
      <c r="BK79" s="208">
        <f t="shared" si="171"/>
        <v>6625.2</v>
      </c>
      <c r="BL79" s="207">
        <f t="shared" si="171"/>
        <v>6480.2999999999993</v>
      </c>
      <c r="BM79" s="207">
        <f t="shared" si="171"/>
        <v>6541.7000000000007</v>
      </c>
      <c r="BN79" s="207">
        <f t="shared" si="171"/>
        <v>7289.5999999999995</v>
      </c>
      <c r="BO79" s="208">
        <f t="shared" si="171"/>
        <v>3891.4999999999995</v>
      </c>
      <c r="BP79" s="207">
        <f t="shared" si="171"/>
        <v>3992</v>
      </c>
      <c r="BQ79" s="207">
        <f t="shared" si="171"/>
        <v>3982.8</v>
      </c>
      <c r="BR79" s="207">
        <f t="shared" si="171"/>
        <v>4098.3</v>
      </c>
      <c r="BS79" s="208">
        <f t="shared" si="171"/>
        <v>4052.3</v>
      </c>
      <c r="BT79" s="207">
        <f t="shared" si="171"/>
        <v>4599.3</v>
      </c>
      <c r="BU79" s="207">
        <f t="shared" si="171"/>
        <v>4528.7</v>
      </c>
      <c r="BV79" s="207">
        <f t="shared" si="171"/>
        <v>4472.7</v>
      </c>
      <c r="BW79" s="208">
        <f t="shared" si="171"/>
        <v>4449.8</v>
      </c>
      <c r="BX79" s="207">
        <f t="shared" si="171"/>
        <v>4830.6000000000004</v>
      </c>
      <c r="BY79" s="207">
        <f t="shared" si="171"/>
        <v>4803.0999999999995</v>
      </c>
      <c r="BZ79" s="207">
        <f t="shared" si="171"/>
        <v>4660.0999999999995</v>
      </c>
      <c r="CA79" s="208">
        <f t="shared" si="171"/>
        <v>4581.8999999999996</v>
      </c>
      <c r="CB79" s="207">
        <f t="shared" si="171"/>
        <v>5338.4000000000005</v>
      </c>
      <c r="CC79" s="207">
        <f t="shared" si="171"/>
        <v>5376.4999999999991</v>
      </c>
      <c r="CD79" s="207">
        <f t="shared" si="171"/>
        <v>5544.2000000000007</v>
      </c>
      <c r="CE79" s="208">
        <f t="shared" si="171"/>
        <v>5181.3999999999996</v>
      </c>
      <c r="CF79" s="207">
        <f t="shared" si="171"/>
        <v>5755.7</v>
      </c>
      <c r="CG79" s="207">
        <f t="shared" si="171"/>
        <v>5740.6</v>
      </c>
      <c r="CH79" s="207">
        <f t="shared" si="171"/>
        <v>5535.4</v>
      </c>
      <c r="CI79" s="208">
        <f t="shared" si="171"/>
        <v>6120.9000000000005</v>
      </c>
      <c r="CJ79" s="207">
        <f t="shared" si="171"/>
        <v>6726.6</v>
      </c>
      <c r="CK79" s="207">
        <f t="shared" si="171"/>
        <v>6847.1</v>
      </c>
      <c r="CL79" s="207">
        <f t="shared" si="171"/>
        <v>6713.9000000000005</v>
      </c>
      <c r="CM79" s="208">
        <f t="shared" si="171"/>
        <v>6388.1</v>
      </c>
      <c r="CN79" s="207">
        <f t="shared" si="171"/>
        <v>6815.1</v>
      </c>
      <c r="CO79" s="207">
        <f t="shared" si="171"/>
        <v>6984.3999999999987</v>
      </c>
      <c r="CP79" s="207">
        <f t="shared" si="171"/>
        <v>7034.4000000000005</v>
      </c>
      <c r="CQ79" s="208">
        <f t="shared" si="171"/>
        <v>6707.7</v>
      </c>
      <c r="CR79" s="207">
        <f t="shared" si="171"/>
        <v>7137</v>
      </c>
      <c r="CS79" s="353">
        <f t="shared" si="171"/>
        <v>7481</v>
      </c>
      <c r="CT79" s="207">
        <f>SUM(CT74:CT78)</f>
        <v>7537</v>
      </c>
      <c r="CU79" s="208">
        <f>SUM(CU74:CU78)</f>
        <v>7499.9</v>
      </c>
      <c r="CV79" s="207">
        <f t="shared" ref="CV79:CY79" si="172">SUM(CV74:CV78)</f>
        <v>7975.0634119915712</v>
      </c>
      <c r="CW79" s="207">
        <f t="shared" si="172"/>
        <v>8063.2216182033335</v>
      </c>
      <c r="CX79" s="207">
        <f t="shared" si="172"/>
        <v>8065.9270275203053</v>
      </c>
      <c r="CY79" s="208">
        <f t="shared" si="172"/>
        <v>8031.7056785505756</v>
      </c>
      <c r="DA79" s="557">
        <f t="shared" ref="DA79:EA79" si="173">SUM(DA74:DA78)</f>
        <v>1501.566</v>
      </c>
      <c r="DB79" s="557">
        <f t="shared" si="173"/>
        <v>2481.3000000000002</v>
      </c>
      <c r="DC79" s="557">
        <f t="shared" si="173"/>
        <v>2798.1</v>
      </c>
      <c r="DD79" s="557">
        <f t="shared" si="173"/>
        <v>3252.1000000000004</v>
      </c>
      <c r="DE79" s="557">
        <f t="shared" si="173"/>
        <v>4377.3</v>
      </c>
      <c r="DF79" s="557">
        <f t="shared" si="173"/>
        <v>7260.3</v>
      </c>
      <c r="DG79" s="557">
        <f t="shared" si="173"/>
        <v>6774.7</v>
      </c>
      <c r="DH79" s="557">
        <f t="shared" si="173"/>
        <v>6020.1</v>
      </c>
      <c r="DI79" s="557">
        <f t="shared" si="173"/>
        <v>5820.7</v>
      </c>
      <c r="DJ79" s="557">
        <f t="shared" si="173"/>
        <v>6313.4999999999991</v>
      </c>
      <c r="DK79" s="557">
        <f t="shared" si="173"/>
        <v>7214.2999999999993</v>
      </c>
      <c r="DL79" s="557">
        <f t="shared" si="173"/>
        <v>7177.4</v>
      </c>
      <c r="DM79" s="557">
        <f t="shared" si="173"/>
        <v>7248.5</v>
      </c>
      <c r="DN79" s="557">
        <f t="shared" si="173"/>
        <v>6709.7</v>
      </c>
      <c r="DO79" s="557">
        <f t="shared" si="173"/>
        <v>6625.2</v>
      </c>
      <c r="DP79" s="557">
        <f t="shared" si="173"/>
        <v>3891.4999999999995</v>
      </c>
      <c r="DQ79" s="557">
        <f t="shared" si="173"/>
        <v>4052.3</v>
      </c>
      <c r="DR79" s="557">
        <f t="shared" si="173"/>
        <v>4449.8</v>
      </c>
      <c r="DS79" s="557">
        <f t="shared" si="173"/>
        <v>4581.8999999999996</v>
      </c>
      <c r="DT79" s="557">
        <f t="shared" si="173"/>
        <v>5181.3999999999996</v>
      </c>
      <c r="DU79" s="557">
        <f t="shared" si="173"/>
        <v>6120.9000000000005</v>
      </c>
      <c r="DV79" s="557">
        <f t="shared" si="173"/>
        <v>6388.1</v>
      </c>
      <c r="DW79" s="557">
        <f t="shared" si="173"/>
        <v>6707.7</v>
      </c>
      <c r="DX79" s="557">
        <f t="shared" si="173"/>
        <v>7499.9</v>
      </c>
      <c r="DY79" s="557">
        <f t="shared" ref="DY79" si="174">SUM(DY74:DY78)</f>
        <v>8031.7056785505756</v>
      </c>
      <c r="DZ79" s="207">
        <f t="shared" si="173"/>
        <v>8420.1155863271233</v>
      </c>
      <c r="EA79" s="207">
        <f t="shared" si="173"/>
        <v>8793.9362499073286</v>
      </c>
      <c r="EB79" s="207">
        <f t="shared" ref="EB79:ED79" si="175">SUM(EB74:EB78)</f>
        <v>9176.328210400301</v>
      </c>
      <c r="EC79" s="207">
        <f t="shared" si="175"/>
        <v>9529.7465151106517</v>
      </c>
      <c r="ED79" s="207">
        <f t="shared" si="175"/>
        <v>9835.806720108445</v>
      </c>
      <c r="EE79" s="205"/>
      <c r="EF79"/>
      <c r="EG79"/>
      <c r="EH79"/>
      <c r="EI79"/>
      <c r="EJ79"/>
      <c r="EK79"/>
    </row>
    <row r="80" spans="1:141" s="137" customFormat="1">
      <c r="A80" s="193"/>
      <c r="B80" s="199"/>
      <c r="C80" s="199"/>
      <c r="D80" s="223"/>
      <c r="E80" s="199"/>
      <c r="F80" s="199"/>
      <c r="G80" s="211"/>
      <c r="H80" s="199"/>
      <c r="I80" s="199"/>
      <c r="J80" s="199"/>
      <c r="K80" s="211"/>
      <c r="L80" s="199"/>
      <c r="M80" s="199"/>
      <c r="N80" s="199"/>
      <c r="O80" s="211"/>
      <c r="P80" s="199"/>
      <c r="Q80" s="199"/>
      <c r="R80" s="199"/>
      <c r="S80" s="211"/>
      <c r="T80" s="199"/>
      <c r="U80" s="199"/>
      <c r="V80" s="199"/>
      <c r="W80" s="211"/>
      <c r="X80" s="199"/>
      <c r="Y80" s="199"/>
      <c r="Z80" s="199"/>
      <c r="AA80" s="211"/>
      <c r="AB80" s="199"/>
      <c r="AC80" s="199"/>
      <c r="AD80" s="199"/>
      <c r="AE80" s="211"/>
      <c r="AF80" s="199"/>
      <c r="AG80" s="199"/>
      <c r="AH80" s="199"/>
      <c r="AI80" s="211"/>
      <c r="AJ80" s="199"/>
      <c r="AK80" s="199"/>
      <c r="AL80" s="199"/>
      <c r="AM80" s="211"/>
      <c r="AN80" s="199"/>
      <c r="AO80" s="199"/>
      <c r="AP80" s="199"/>
      <c r="AQ80" s="211"/>
      <c r="AR80" s="199"/>
      <c r="AS80" s="199"/>
      <c r="AT80" s="199"/>
      <c r="AU80" s="211"/>
      <c r="AV80" s="199"/>
      <c r="AW80" s="199"/>
      <c r="AX80" s="199"/>
      <c r="AY80" s="211"/>
      <c r="AZ80" s="199"/>
      <c r="BA80" s="199"/>
      <c r="BB80" s="199"/>
      <c r="BC80" s="211"/>
      <c r="BD80" s="199"/>
      <c r="BE80" s="199"/>
      <c r="BF80" s="199"/>
      <c r="BG80" s="211"/>
      <c r="BH80" s="199"/>
      <c r="BI80" s="199"/>
      <c r="BJ80" s="199"/>
      <c r="BK80" s="211"/>
      <c r="BL80" s="199"/>
      <c r="BM80" s="199"/>
      <c r="BN80" s="199"/>
      <c r="BO80" s="211"/>
      <c r="BP80" s="199"/>
      <c r="BQ80" s="199"/>
      <c r="BR80" s="199"/>
      <c r="BS80" s="211"/>
      <c r="BT80" s="199"/>
      <c r="BU80" s="199"/>
      <c r="BV80" s="199"/>
      <c r="BW80" s="211"/>
      <c r="BX80" s="199"/>
      <c r="BY80" s="199"/>
      <c r="BZ80" s="199"/>
      <c r="CA80" s="211"/>
      <c r="CB80" s="199"/>
      <c r="CC80" s="199"/>
      <c r="CD80" s="199"/>
      <c r="CE80" s="211"/>
      <c r="CF80" s="199"/>
      <c r="CG80" s="199"/>
      <c r="CH80" s="199"/>
      <c r="CI80" s="211"/>
      <c r="CJ80" s="199"/>
      <c r="CK80" s="199"/>
      <c r="CL80" s="199"/>
      <c r="CM80" s="211"/>
      <c r="CN80" s="199"/>
      <c r="CO80" s="199"/>
      <c r="CP80" s="199"/>
      <c r="CQ80" s="211"/>
      <c r="CR80" s="199"/>
      <c r="CS80" s="139"/>
      <c r="CT80" s="199"/>
      <c r="CU80" s="211"/>
      <c r="CV80" s="199"/>
      <c r="CW80" s="199"/>
      <c r="CX80" s="199"/>
      <c r="CY80" s="211"/>
      <c r="DA80" s="212"/>
      <c r="DB80" s="212"/>
      <c r="DC80" s="212"/>
      <c r="DD80" s="212"/>
      <c r="DE80" s="212"/>
      <c r="DF80" s="212"/>
      <c r="DG80" s="212"/>
      <c r="DH80" s="212"/>
      <c r="DI80" s="212"/>
      <c r="DJ80" s="212"/>
      <c r="DK80" s="212"/>
      <c r="DL80" s="212"/>
      <c r="DM80" s="212"/>
      <c r="DN80" s="212"/>
      <c r="DO80" s="212"/>
      <c r="DP80" s="212"/>
      <c r="DQ80" s="212"/>
      <c r="DR80" s="212"/>
      <c r="DS80" s="212"/>
      <c r="DT80" s="212"/>
      <c r="DU80" s="212"/>
      <c r="DV80" s="212"/>
      <c r="DW80" s="212"/>
      <c r="DX80" s="212"/>
      <c r="DY80" s="212"/>
      <c r="DZ80" s="199"/>
      <c r="EA80" s="199"/>
      <c r="EB80" s="199"/>
      <c r="EC80" s="199"/>
      <c r="ED80" s="199"/>
      <c r="EE80" s="199"/>
      <c r="EF80"/>
      <c r="EG80"/>
      <c r="EH80"/>
      <c r="EI80"/>
      <c r="EJ80"/>
      <c r="EK80"/>
    </row>
    <row r="81" spans="1:141" s="137" customFormat="1">
      <c r="A81" s="193"/>
      <c r="B81" s="138" t="s">
        <v>59</v>
      </c>
      <c r="C81" s="138"/>
      <c r="D81" s="217"/>
      <c r="E81" s="218"/>
      <c r="F81" s="218"/>
      <c r="G81" s="219"/>
      <c r="H81" s="218"/>
      <c r="I81" s="218"/>
      <c r="J81" s="218"/>
      <c r="K81" s="219"/>
      <c r="L81" s="218"/>
      <c r="M81" s="218"/>
      <c r="N81" s="218"/>
      <c r="O81" s="219"/>
      <c r="P81" s="218"/>
      <c r="Q81" s="218"/>
      <c r="R81" s="218"/>
      <c r="S81" s="219"/>
      <c r="T81" s="218"/>
      <c r="U81" s="218"/>
      <c r="V81" s="218"/>
      <c r="W81" s="219">
        <v>0.7</v>
      </c>
      <c r="X81" s="218"/>
      <c r="Y81" s="218"/>
      <c r="Z81" s="218"/>
      <c r="AA81" s="219"/>
      <c r="AB81" s="218"/>
      <c r="AC81" s="218"/>
      <c r="AD81" s="218"/>
      <c r="AE81" s="219">
        <v>0.7</v>
      </c>
      <c r="AF81" s="218"/>
      <c r="AG81" s="218"/>
      <c r="AH81" s="218"/>
      <c r="AI81" s="219"/>
      <c r="AJ81" s="218"/>
      <c r="AK81" s="218"/>
      <c r="AL81" s="218"/>
      <c r="AM81" s="219"/>
      <c r="AN81" s="218"/>
      <c r="AO81" s="218"/>
      <c r="AP81" s="218"/>
      <c r="AQ81" s="219"/>
      <c r="AR81" s="218"/>
      <c r="AS81" s="218"/>
      <c r="AT81" s="218"/>
      <c r="AU81" s="219"/>
      <c r="AV81" s="218"/>
      <c r="AW81" s="218"/>
      <c r="AX81" s="218"/>
      <c r="AY81" s="219"/>
      <c r="AZ81" s="218"/>
      <c r="BA81" s="218"/>
      <c r="BB81" s="218"/>
      <c r="BC81" s="219"/>
      <c r="BD81" s="218"/>
      <c r="BE81" s="218"/>
      <c r="BF81" s="218"/>
      <c r="BG81" s="219"/>
      <c r="BH81" s="218"/>
      <c r="BI81" s="218"/>
      <c r="BJ81" s="218"/>
      <c r="BK81" s="219"/>
      <c r="BL81" s="218"/>
      <c r="BM81" s="218"/>
      <c r="BN81" s="218"/>
      <c r="BO81" s="219">
        <v>408.1</v>
      </c>
      <c r="BP81" s="218">
        <v>213.7</v>
      </c>
      <c r="BQ81" s="218">
        <v>131.6</v>
      </c>
      <c r="BR81" s="218">
        <v>74.2</v>
      </c>
      <c r="BS81" s="219">
        <v>0</v>
      </c>
      <c r="BT81" s="218"/>
      <c r="BU81" s="218"/>
      <c r="BV81" s="218"/>
      <c r="BW81" s="219"/>
      <c r="BX81" s="218"/>
      <c r="BY81" s="218"/>
      <c r="BZ81" s="218"/>
      <c r="CA81" s="219"/>
      <c r="CB81" s="218"/>
      <c r="CC81" s="218"/>
      <c r="CD81" s="218"/>
      <c r="CE81" s="219"/>
      <c r="CF81" s="218"/>
      <c r="CG81" s="218"/>
      <c r="CH81" s="218"/>
      <c r="CI81" s="219"/>
      <c r="CJ81" s="218"/>
      <c r="CK81" s="218"/>
      <c r="CL81" s="218"/>
      <c r="CM81" s="219"/>
      <c r="CN81" s="218"/>
      <c r="CO81" s="218"/>
      <c r="CP81" s="218"/>
      <c r="CQ81" s="219"/>
      <c r="CR81" s="218"/>
      <c r="CS81" s="356"/>
      <c r="CT81" s="218"/>
      <c r="CU81" s="219"/>
      <c r="CV81" s="197"/>
      <c r="CW81" s="197"/>
      <c r="CX81" s="197"/>
      <c r="CY81" s="198"/>
      <c r="DA81" s="212"/>
      <c r="DB81" s="212"/>
      <c r="DC81" s="212"/>
      <c r="DD81" s="212"/>
      <c r="DE81" s="212">
        <f t="shared" ref="DE81:DE86" si="176">W81</f>
        <v>0.7</v>
      </c>
      <c r="DF81" s="212">
        <f t="shared" ref="DF81:DF87" si="177">AA81</f>
        <v>0</v>
      </c>
      <c r="DG81" s="212">
        <f t="shared" ref="DG81:DG87" si="178">AE81</f>
        <v>0.7</v>
      </c>
      <c r="DH81" s="212"/>
      <c r="DI81" s="212"/>
      <c r="DJ81" s="212"/>
      <c r="DK81" s="212"/>
      <c r="DL81" s="212"/>
      <c r="DM81" s="212"/>
      <c r="DN81" s="212"/>
      <c r="DO81" s="212"/>
      <c r="DP81" s="212">
        <f t="shared" ref="DP81:DP86" si="179">BO81</f>
        <v>408.1</v>
      </c>
      <c r="DQ81" s="212">
        <f t="shared" ref="DQ81:DQ86" si="180">BS81</f>
        <v>0</v>
      </c>
      <c r="DR81" s="212"/>
      <c r="DS81" s="212"/>
      <c r="DT81" s="212"/>
      <c r="DU81" s="212"/>
      <c r="DV81" s="212"/>
      <c r="DW81" s="212"/>
      <c r="DX81" s="212"/>
      <c r="DY81" s="212"/>
      <c r="DZ81" s="212"/>
      <c r="EA81" s="212"/>
      <c r="EB81" s="212"/>
      <c r="EC81" s="212"/>
      <c r="ED81" s="212"/>
      <c r="EE81" s="199"/>
      <c r="EF81"/>
      <c r="EG81"/>
      <c r="EH81"/>
      <c r="EI81"/>
      <c r="EJ81"/>
      <c r="EK81"/>
    </row>
    <row r="82" spans="1:141" s="137" customFormat="1">
      <c r="A82" s="193"/>
      <c r="B82" s="138" t="s">
        <v>58</v>
      </c>
      <c r="C82" s="138"/>
      <c r="D82" s="217"/>
      <c r="E82" s="218"/>
      <c r="F82" s="218"/>
      <c r="G82" s="219"/>
      <c r="H82" s="218"/>
      <c r="I82" s="218"/>
      <c r="J82" s="218"/>
      <c r="K82" s="219"/>
      <c r="L82" s="218"/>
      <c r="M82" s="218"/>
      <c r="N82" s="218"/>
      <c r="O82" s="219"/>
      <c r="P82" s="218"/>
      <c r="Q82" s="218"/>
      <c r="R82" s="218"/>
      <c r="S82" s="219"/>
      <c r="T82" s="218"/>
      <c r="U82" s="218"/>
      <c r="V82" s="218"/>
      <c r="W82" s="219">
        <v>859.3</v>
      </c>
      <c r="X82" s="218"/>
      <c r="Y82" s="218"/>
      <c r="Z82" s="218"/>
      <c r="AA82" s="219">
        <v>0.7</v>
      </c>
      <c r="AB82" s="218">
        <v>0.7</v>
      </c>
      <c r="AC82" s="218">
        <v>0.7</v>
      </c>
      <c r="AD82" s="218">
        <v>0.7</v>
      </c>
      <c r="AE82" s="219">
        <v>874.1</v>
      </c>
      <c r="AF82" s="218">
        <v>0.7</v>
      </c>
      <c r="AG82" s="218">
        <v>0.7</v>
      </c>
      <c r="AH82" s="218">
        <v>0.7</v>
      </c>
      <c r="AI82" s="219">
        <v>0.7</v>
      </c>
      <c r="AJ82" s="218">
        <v>0.7</v>
      </c>
      <c r="AK82" s="218">
        <v>0.7</v>
      </c>
      <c r="AL82" s="218">
        <v>0.7</v>
      </c>
      <c r="AM82" s="219">
        <v>0.7</v>
      </c>
      <c r="AN82" s="218">
        <v>0.7</v>
      </c>
      <c r="AO82" s="218">
        <v>0.7</v>
      </c>
      <c r="AP82" s="218">
        <v>0.7</v>
      </c>
      <c r="AQ82" s="219">
        <v>0.7</v>
      </c>
      <c r="AR82" s="218">
        <v>0.7</v>
      </c>
      <c r="AS82" s="218">
        <v>0.7</v>
      </c>
      <c r="AT82" s="218">
        <v>0.7</v>
      </c>
      <c r="AU82" s="219">
        <v>0.7</v>
      </c>
      <c r="AV82" s="218">
        <v>0.7</v>
      </c>
      <c r="AW82" s="218">
        <v>0.7</v>
      </c>
      <c r="AX82" s="218">
        <v>0.7</v>
      </c>
      <c r="AY82" s="219">
        <v>0.7</v>
      </c>
      <c r="AZ82" s="218">
        <v>0.7</v>
      </c>
      <c r="BA82" s="218">
        <v>0.7</v>
      </c>
      <c r="BB82" s="218">
        <v>0.7</v>
      </c>
      <c r="BC82" s="219">
        <v>0.7</v>
      </c>
      <c r="BD82" s="218">
        <v>0.7</v>
      </c>
      <c r="BE82" s="218">
        <v>0.8</v>
      </c>
      <c r="BF82" s="218">
        <v>0.8</v>
      </c>
      <c r="BG82" s="219">
        <v>0.8</v>
      </c>
      <c r="BH82" s="218">
        <v>0.8</v>
      </c>
      <c r="BI82" s="218">
        <v>0.8</v>
      </c>
      <c r="BJ82" s="218">
        <v>0.8</v>
      </c>
      <c r="BK82" s="219">
        <v>0.8</v>
      </c>
      <c r="BL82" s="218">
        <v>0.8</v>
      </c>
      <c r="BM82" s="218">
        <v>0.8</v>
      </c>
      <c r="BN82" s="218">
        <v>0.8</v>
      </c>
      <c r="BO82" s="219">
        <v>0.4</v>
      </c>
      <c r="BP82" s="218">
        <v>0.4</v>
      </c>
      <c r="BQ82" s="218">
        <v>0.5</v>
      </c>
      <c r="BR82" s="218">
        <v>0.5</v>
      </c>
      <c r="BS82" s="219">
        <f>BR82</f>
        <v>0.5</v>
      </c>
      <c r="BT82" s="218">
        <v>1.1000000000000001</v>
      </c>
      <c r="BU82" s="218">
        <f>BT82</f>
        <v>1.1000000000000001</v>
      </c>
      <c r="BV82" s="218">
        <f>BU82</f>
        <v>1.1000000000000001</v>
      </c>
      <c r="BW82" s="219">
        <f>BV82</f>
        <v>1.1000000000000001</v>
      </c>
      <c r="BX82" s="218">
        <v>1.1000000000000001</v>
      </c>
      <c r="BY82" s="218">
        <v>1.1000000000000001</v>
      </c>
      <c r="BZ82" s="218">
        <v>1.1000000000000001</v>
      </c>
      <c r="CA82" s="219">
        <v>1.1000000000000001</v>
      </c>
      <c r="CB82" s="218">
        <f>DS82</f>
        <v>1.1000000000000001</v>
      </c>
      <c r="CC82" s="218">
        <v>1.1000000000000001</v>
      </c>
      <c r="CD82" s="218">
        <v>1.1000000000000001</v>
      </c>
      <c r="CE82" s="219">
        <v>0.9</v>
      </c>
      <c r="CF82" s="218">
        <v>0.9</v>
      </c>
      <c r="CG82" s="218">
        <v>0.9</v>
      </c>
      <c r="CH82" s="218">
        <v>0.9</v>
      </c>
      <c r="CI82" s="219">
        <v>0.8</v>
      </c>
      <c r="CJ82" s="218">
        <v>0.8</v>
      </c>
      <c r="CK82" s="218">
        <v>0.8</v>
      </c>
      <c r="CL82" s="218">
        <v>0.8</v>
      </c>
      <c r="CM82" s="219">
        <v>0.8</v>
      </c>
      <c r="CN82" s="218">
        <v>0.8</v>
      </c>
      <c r="CO82" s="218">
        <v>0.8</v>
      </c>
      <c r="CP82" s="218">
        <v>0.8</v>
      </c>
      <c r="CQ82" s="219">
        <v>0.8</v>
      </c>
      <c r="CR82" s="218">
        <v>0.8</v>
      </c>
      <c r="CS82" s="356">
        <v>0.7</v>
      </c>
      <c r="CT82" s="356">
        <v>0.7</v>
      </c>
      <c r="CU82" s="219">
        <f>CT82</f>
        <v>0.7</v>
      </c>
      <c r="CV82" s="218">
        <f>CU82</f>
        <v>0.7</v>
      </c>
      <c r="CW82" s="218">
        <f>CV82</f>
        <v>0.7</v>
      </c>
      <c r="CX82" s="218">
        <f>CW82</f>
        <v>0.7</v>
      </c>
      <c r="CY82" s="219">
        <f>CX82</f>
        <v>0.7</v>
      </c>
      <c r="DA82" s="212"/>
      <c r="DB82" s="212"/>
      <c r="DC82" s="212"/>
      <c r="DD82" s="212"/>
      <c r="DE82" s="212">
        <f t="shared" si="176"/>
        <v>859.3</v>
      </c>
      <c r="DF82" s="212">
        <f t="shared" si="177"/>
        <v>0.7</v>
      </c>
      <c r="DG82" s="212">
        <f t="shared" si="178"/>
        <v>874.1</v>
      </c>
      <c r="DH82" s="212">
        <f>AI82</f>
        <v>0.7</v>
      </c>
      <c r="DI82" s="212">
        <f>AM82</f>
        <v>0.7</v>
      </c>
      <c r="DJ82" s="212">
        <f>AQ82</f>
        <v>0.7</v>
      </c>
      <c r="DK82" s="212">
        <f>AU82</f>
        <v>0.7</v>
      </c>
      <c r="DL82" s="212">
        <f>AY82</f>
        <v>0.7</v>
      </c>
      <c r="DM82" s="212">
        <f>BC82</f>
        <v>0.7</v>
      </c>
      <c r="DN82" s="212">
        <f>BG82</f>
        <v>0.8</v>
      </c>
      <c r="DO82" s="212">
        <f>BK82</f>
        <v>0.8</v>
      </c>
      <c r="DP82" s="212">
        <f t="shared" si="179"/>
        <v>0.4</v>
      </c>
      <c r="DQ82" s="212">
        <f t="shared" si="180"/>
        <v>0.5</v>
      </c>
      <c r="DR82" s="212">
        <f>BW82</f>
        <v>1.1000000000000001</v>
      </c>
      <c r="DS82" s="212">
        <f>CA82</f>
        <v>1.1000000000000001</v>
      </c>
      <c r="DT82" s="212">
        <f>CE82</f>
        <v>0.9</v>
      </c>
      <c r="DU82" s="212">
        <f>CI82</f>
        <v>0.8</v>
      </c>
      <c r="DV82" s="212">
        <f>CM82</f>
        <v>0.8</v>
      </c>
      <c r="DW82" s="212">
        <f>CQ82</f>
        <v>0.8</v>
      </c>
      <c r="DX82" s="212">
        <f>CU82</f>
        <v>0.7</v>
      </c>
      <c r="DY82" s="212">
        <f t="shared" ref="DY82:DY86" si="181">CY82</f>
        <v>0.7</v>
      </c>
      <c r="DZ82" s="218">
        <f>DY82</f>
        <v>0.7</v>
      </c>
      <c r="EA82" s="218">
        <f>DZ82</f>
        <v>0.7</v>
      </c>
      <c r="EB82" s="218">
        <f>EA82</f>
        <v>0.7</v>
      </c>
      <c r="EC82" s="218">
        <f>EB82</f>
        <v>0.7</v>
      </c>
      <c r="ED82" s="218">
        <f>EC82</f>
        <v>0.7</v>
      </c>
      <c r="EE82" s="199"/>
      <c r="EF82"/>
      <c r="EG82"/>
      <c r="EH82"/>
      <c r="EI82"/>
      <c r="EJ82"/>
      <c r="EK82"/>
    </row>
    <row r="83" spans="1:141" s="137" customFormat="1">
      <c r="A83" s="193"/>
      <c r="B83" s="138" t="s">
        <v>60</v>
      </c>
      <c r="C83" s="138"/>
      <c r="D83" s="217"/>
      <c r="E83" s="218"/>
      <c r="F83" s="218"/>
      <c r="G83" s="219"/>
      <c r="H83" s="218"/>
      <c r="I83" s="218"/>
      <c r="J83" s="218"/>
      <c r="K83" s="219"/>
      <c r="L83" s="218"/>
      <c r="M83" s="218"/>
      <c r="N83" s="218"/>
      <c r="O83" s="219"/>
      <c r="P83" s="218"/>
      <c r="Q83" s="218"/>
      <c r="R83" s="218"/>
      <c r="S83" s="219"/>
      <c r="T83" s="218"/>
      <c r="U83" s="218"/>
      <c r="V83" s="218"/>
      <c r="W83" s="219">
        <v>-0.1</v>
      </c>
      <c r="X83" s="218"/>
      <c r="Y83" s="218"/>
      <c r="Z83" s="218"/>
      <c r="AA83" s="219">
        <v>870.2</v>
      </c>
      <c r="AB83" s="218">
        <v>870.2</v>
      </c>
      <c r="AC83" s="218">
        <v>870.9</v>
      </c>
      <c r="AD83" s="218">
        <v>870.9</v>
      </c>
      <c r="AE83" s="219">
        <v>-0.1</v>
      </c>
      <c r="AF83" s="218">
        <v>874.1</v>
      </c>
      <c r="AG83" s="218">
        <v>874.1</v>
      </c>
      <c r="AH83" s="218">
        <v>874.1</v>
      </c>
      <c r="AI83" s="219">
        <v>888.3</v>
      </c>
      <c r="AJ83" s="218">
        <v>914</v>
      </c>
      <c r="AK83" s="218">
        <v>934.1</v>
      </c>
      <c r="AL83" s="218">
        <v>935.7</v>
      </c>
      <c r="AM83" s="219">
        <v>943.6</v>
      </c>
      <c r="AN83" s="218">
        <v>945.4</v>
      </c>
      <c r="AO83" s="218">
        <v>956.8</v>
      </c>
      <c r="AP83" s="218">
        <v>998.9</v>
      </c>
      <c r="AQ83" s="219">
        <v>1027.7</v>
      </c>
      <c r="AR83" s="218">
        <v>1045.3</v>
      </c>
      <c r="AS83" s="218">
        <v>1045.3</v>
      </c>
      <c r="AT83" s="218">
        <v>1054.9000000000001</v>
      </c>
      <c r="AU83" s="219">
        <v>1064.4000000000001</v>
      </c>
      <c r="AV83" s="218">
        <v>1086</v>
      </c>
      <c r="AW83" s="218">
        <v>1086</v>
      </c>
      <c r="AX83" s="218">
        <v>1102</v>
      </c>
      <c r="AY83" s="219">
        <v>1108.5999999999999</v>
      </c>
      <c r="AZ83" s="218">
        <v>1114.5999999999999</v>
      </c>
      <c r="BA83" s="218">
        <v>1123.2</v>
      </c>
      <c r="BB83" s="218">
        <v>1129.7</v>
      </c>
      <c r="BC83" s="219">
        <v>1338.1</v>
      </c>
      <c r="BD83" s="218">
        <v>1357.3</v>
      </c>
      <c r="BE83" s="218">
        <v>1363.8</v>
      </c>
      <c r="BF83" s="218">
        <v>1381.5</v>
      </c>
      <c r="BG83" s="219">
        <v>1373.3</v>
      </c>
      <c r="BH83" s="218">
        <v>1374.3</v>
      </c>
      <c r="BI83" s="218">
        <v>1378.8</v>
      </c>
      <c r="BJ83" s="218">
        <v>1382</v>
      </c>
      <c r="BK83" s="219">
        <v>1371.7</v>
      </c>
      <c r="BL83" s="218">
        <v>1368.9</v>
      </c>
      <c r="BM83" s="218">
        <v>1370.2</v>
      </c>
      <c r="BN83" s="218">
        <v>1372.4</v>
      </c>
      <c r="BO83" s="219">
        <v>1685.7</v>
      </c>
      <c r="BP83" s="218">
        <v>1886.7</v>
      </c>
      <c r="BQ83" s="218">
        <v>1974</v>
      </c>
      <c r="BR83" s="218">
        <v>2036.1</v>
      </c>
      <c r="BS83" s="219">
        <v>2116.6</v>
      </c>
      <c r="BT83" s="218">
        <v>2125.1</v>
      </c>
      <c r="BU83" s="218">
        <f>BT83</f>
        <v>2125.1</v>
      </c>
      <c r="BV83" s="218">
        <f>BU83+BV143</f>
        <v>2030.8999999999999</v>
      </c>
      <c r="BW83" s="219">
        <f>BV83+BW143</f>
        <v>1945.9999999999998</v>
      </c>
      <c r="BX83" s="218">
        <v>2158</v>
      </c>
      <c r="BY83" s="218">
        <v>2167.9</v>
      </c>
      <c r="BZ83" s="218">
        <v>2167.5</v>
      </c>
      <c r="CA83" s="219">
        <v>2155.6999999999998</v>
      </c>
      <c r="CB83" s="218">
        <f>DS83+CB143</f>
        <v>1955.6</v>
      </c>
      <c r="CC83" s="218">
        <v>2010.2</v>
      </c>
      <c r="CD83" s="218">
        <v>2023.5</v>
      </c>
      <c r="CE83" s="219">
        <v>1652.9</v>
      </c>
      <c r="CF83" s="218">
        <v>1714.4</v>
      </c>
      <c r="CG83" s="218">
        <v>1600.1</v>
      </c>
      <c r="CH83" s="218">
        <v>1613.2</v>
      </c>
      <c r="CI83" s="219">
        <v>1475.2</v>
      </c>
      <c r="CJ83" s="218">
        <v>1404.1</v>
      </c>
      <c r="CK83" s="218">
        <v>1421.6</v>
      </c>
      <c r="CL83" s="218">
        <v>1433</v>
      </c>
      <c r="CM83" s="219">
        <v>1451.9</v>
      </c>
      <c r="CN83" s="218">
        <v>1346.9</v>
      </c>
      <c r="CO83" s="218">
        <v>1364.3</v>
      </c>
      <c r="CP83" s="218">
        <v>1377.8</v>
      </c>
      <c r="CQ83" s="219">
        <v>1385.3</v>
      </c>
      <c r="CR83" s="218">
        <v>1324.7</v>
      </c>
      <c r="CS83" s="356">
        <v>1186.9000000000001</v>
      </c>
      <c r="CT83" s="356">
        <v>1199.3</v>
      </c>
      <c r="CU83" s="198">
        <f>CT83+CU143</f>
        <v>1077.3</v>
      </c>
      <c r="CV83" s="197">
        <f>CU83+CV143</f>
        <v>977.3</v>
      </c>
      <c r="CW83" s="197">
        <f>CV83+CW143</f>
        <v>877.3</v>
      </c>
      <c r="CX83" s="197">
        <f>CW83+CX143</f>
        <v>777.3</v>
      </c>
      <c r="CY83" s="198">
        <f>CX83+CY143</f>
        <v>677.3</v>
      </c>
      <c r="DA83" s="212"/>
      <c r="DB83" s="212"/>
      <c r="DC83" s="212"/>
      <c r="DD83" s="212"/>
      <c r="DE83" s="212">
        <f t="shared" si="176"/>
        <v>-0.1</v>
      </c>
      <c r="DF83" s="212">
        <f t="shared" si="177"/>
        <v>870.2</v>
      </c>
      <c r="DG83" s="212">
        <f t="shared" si="178"/>
        <v>-0.1</v>
      </c>
      <c r="DH83" s="212">
        <f>AI83</f>
        <v>888.3</v>
      </c>
      <c r="DI83" s="212">
        <f>AM83</f>
        <v>943.6</v>
      </c>
      <c r="DJ83" s="212">
        <f>AQ83</f>
        <v>1027.7</v>
      </c>
      <c r="DK83" s="212">
        <f>AU83</f>
        <v>1064.4000000000001</v>
      </c>
      <c r="DL83" s="212">
        <f>AY83</f>
        <v>1108.5999999999999</v>
      </c>
      <c r="DM83" s="212">
        <f>BC83</f>
        <v>1338.1</v>
      </c>
      <c r="DN83" s="212">
        <f>BG83</f>
        <v>1373.3</v>
      </c>
      <c r="DO83" s="212">
        <f>BK83</f>
        <v>1371.7</v>
      </c>
      <c r="DP83" s="212">
        <f t="shared" si="179"/>
        <v>1685.7</v>
      </c>
      <c r="DQ83" s="212">
        <f t="shared" si="180"/>
        <v>2116.6</v>
      </c>
      <c r="DR83" s="212">
        <f>BW83</f>
        <v>1945.9999999999998</v>
      </c>
      <c r="DS83" s="212">
        <f>CA83</f>
        <v>2155.6999999999998</v>
      </c>
      <c r="DT83" s="212">
        <f>CE83</f>
        <v>1652.9</v>
      </c>
      <c r="DU83" s="212">
        <f>CI83</f>
        <v>1475.2</v>
      </c>
      <c r="DV83" s="212">
        <f>CM83</f>
        <v>1451.9</v>
      </c>
      <c r="DW83" s="212">
        <f>CQ83</f>
        <v>1385.3</v>
      </c>
      <c r="DX83" s="212">
        <f>CU83</f>
        <v>1077.3</v>
      </c>
      <c r="DY83" s="212">
        <f t="shared" si="181"/>
        <v>677.3</v>
      </c>
      <c r="DZ83" s="212">
        <f>DY83+DZ143</f>
        <v>277.29999999999995</v>
      </c>
      <c r="EA83" s="212">
        <f>DZ83+EA143</f>
        <v>-122.70000000000005</v>
      </c>
      <c r="EB83" s="212">
        <f>EA83+EB143</f>
        <v>-522.70000000000005</v>
      </c>
      <c r="EC83" s="212">
        <f>EB83+EC143</f>
        <v>-922.7</v>
      </c>
      <c r="ED83" s="212">
        <f>EC83+ED143</f>
        <v>-1322.7</v>
      </c>
      <c r="EE83" s="199"/>
      <c r="EF83"/>
      <c r="EG83"/>
      <c r="EH83"/>
      <c r="EI83"/>
      <c r="EJ83"/>
      <c r="EK83"/>
    </row>
    <row r="84" spans="1:141" s="137" customFormat="1">
      <c r="A84" s="193"/>
      <c r="B84" s="138" t="s">
        <v>61</v>
      </c>
      <c r="C84" s="138"/>
      <c r="D84" s="217"/>
      <c r="E84" s="218"/>
      <c r="F84" s="218"/>
      <c r="G84" s="219"/>
      <c r="H84" s="218"/>
      <c r="I84" s="218"/>
      <c r="J84" s="218"/>
      <c r="K84" s="219"/>
      <c r="L84" s="218"/>
      <c r="M84" s="218"/>
      <c r="N84" s="218"/>
      <c r="O84" s="219"/>
      <c r="P84" s="218"/>
      <c r="Q84" s="218"/>
      <c r="R84" s="218"/>
      <c r="S84" s="219"/>
      <c r="T84" s="218"/>
      <c r="U84" s="218"/>
      <c r="V84" s="218"/>
      <c r="W84" s="219">
        <v>-18.3</v>
      </c>
      <c r="X84" s="218"/>
      <c r="Y84" s="218"/>
      <c r="Z84" s="218"/>
      <c r="AA84" s="219">
        <f>-33.5-0.1</f>
        <v>-33.6</v>
      </c>
      <c r="AB84" s="218">
        <f>-48.2-0.1</f>
        <v>-48.300000000000004</v>
      </c>
      <c r="AC84" s="218">
        <f>-84.4-0.1</f>
        <v>-84.5</v>
      </c>
      <c r="AD84" s="218">
        <v>-87.3</v>
      </c>
      <c r="AE84" s="219">
        <v>-111.4</v>
      </c>
      <c r="AF84" s="218">
        <v>-111.4</v>
      </c>
      <c r="AG84" s="218">
        <v>-111.4</v>
      </c>
      <c r="AH84" s="218">
        <v>-111.4</v>
      </c>
      <c r="AI84" s="219">
        <f>-111.4-0.1</f>
        <v>-111.5</v>
      </c>
      <c r="AJ84" s="218">
        <v>-111.4</v>
      </c>
      <c r="AK84" s="218">
        <v>-111.4</v>
      </c>
      <c r="AL84" s="218">
        <v>-111.4</v>
      </c>
      <c r="AM84" s="219">
        <v>-111.4</v>
      </c>
      <c r="AN84" s="218">
        <v>-112.1</v>
      </c>
      <c r="AO84" s="218">
        <v>-110.9</v>
      </c>
      <c r="AP84" s="218">
        <v>-110.9</v>
      </c>
      <c r="AQ84" s="219">
        <v>-110.8</v>
      </c>
      <c r="AR84" s="218">
        <v>-106.5</v>
      </c>
      <c r="AS84" s="218">
        <v>-106.5</v>
      </c>
      <c r="AT84" s="218">
        <v>-157.1</v>
      </c>
      <c r="AU84" s="219">
        <v>-204.1</v>
      </c>
      <c r="AV84" s="218">
        <v>-226.7</v>
      </c>
      <c r="AW84" s="218">
        <v>-226.7</v>
      </c>
      <c r="AX84" s="218">
        <v>-226.3</v>
      </c>
      <c r="AY84" s="219">
        <v>-225.5</v>
      </c>
      <c r="AZ84" s="218">
        <v>-218.8</v>
      </c>
      <c r="BA84" s="218">
        <v>-218.5</v>
      </c>
      <c r="BB84" s="218">
        <v>-217</v>
      </c>
      <c r="BC84" s="219">
        <v>-210.2</v>
      </c>
      <c r="BD84" s="218">
        <v>-201.9</v>
      </c>
      <c r="BE84" s="218">
        <v>-201.4</v>
      </c>
      <c r="BF84" s="218">
        <v>-199.9</v>
      </c>
      <c r="BG84" s="219">
        <v>-194.5</v>
      </c>
      <c r="BH84" s="218">
        <v>-189.1</v>
      </c>
      <c r="BI84" s="218">
        <v>-188.5</v>
      </c>
      <c r="BJ84" s="218">
        <v>-189.3</v>
      </c>
      <c r="BK84" s="219">
        <v>-176.1</v>
      </c>
      <c r="BL84" s="218">
        <v>-170.4</v>
      </c>
      <c r="BM84" s="218">
        <v>-170.1</v>
      </c>
      <c r="BN84" s="218">
        <v>-170.1</v>
      </c>
      <c r="BO84" s="219"/>
      <c r="BP84" s="218">
        <v>-1.8</v>
      </c>
      <c r="BQ84" s="218">
        <v>-2.8</v>
      </c>
      <c r="BR84" s="218">
        <v>-3.5</v>
      </c>
      <c r="BS84" s="219">
        <v>-13.4</v>
      </c>
      <c r="BT84" s="218">
        <v>-41.8</v>
      </c>
      <c r="BU84" s="218">
        <f>BT84</f>
        <v>-41.8</v>
      </c>
      <c r="BV84" s="218">
        <f>BU84</f>
        <v>-41.8</v>
      </c>
      <c r="BW84" s="219">
        <f>BV84</f>
        <v>-41.8</v>
      </c>
      <c r="BX84" s="218">
        <v>-359</v>
      </c>
      <c r="BY84" s="218">
        <v>-433.6</v>
      </c>
      <c r="BZ84" s="218">
        <v>-483.8</v>
      </c>
      <c r="CA84" s="219">
        <v>-517.9</v>
      </c>
      <c r="CB84" s="218">
        <f>DS84</f>
        <v>-517.9</v>
      </c>
      <c r="CC84" s="218">
        <v>-1353.7</v>
      </c>
      <c r="CD84" s="218">
        <v>-1353</v>
      </c>
      <c r="CE84" s="219">
        <v>-362.1</v>
      </c>
      <c r="CF84" s="218">
        <v>-343</v>
      </c>
      <c r="CG84" s="218">
        <v>-443</v>
      </c>
      <c r="CH84" s="218">
        <v>-544.9</v>
      </c>
      <c r="CI84" s="219">
        <v>-176.9</v>
      </c>
      <c r="CJ84" s="218">
        <v>-251.7</v>
      </c>
      <c r="CK84" s="218">
        <v>-373.3</v>
      </c>
      <c r="CL84" s="218">
        <v>-519.1</v>
      </c>
      <c r="CM84" s="219">
        <v>-623</v>
      </c>
      <c r="CN84" s="218">
        <v>-700.4</v>
      </c>
      <c r="CO84" s="218">
        <v>-949.3</v>
      </c>
      <c r="CP84" s="218">
        <v>-1099.9000000000001</v>
      </c>
      <c r="CQ84" s="219">
        <v>-1200.2</v>
      </c>
      <c r="CR84" s="218">
        <v>-1292.8</v>
      </c>
      <c r="CS84" s="356">
        <v>-527</v>
      </c>
      <c r="CT84" s="356">
        <v>-602.4</v>
      </c>
      <c r="CU84" s="219">
        <f>CT84</f>
        <v>-602.4</v>
      </c>
      <c r="CV84" s="218">
        <f>CU84</f>
        <v>-602.4</v>
      </c>
      <c r="CW84" s="218">
        <f>CV84</f>
        <v>-602.4</v>
      </c>
      <c r="CX84" s="218">
        <f>CW84</f>
        <v>-602.4</v>
      </c>
      <c r="CY84" s="219">
        <f>CX84</f>
        <v>-602.4</v>
      </c>
      <c r="DA84" s="212"/>
      <c r="DB84" s="212"/>
      <c r="DC84" s="212"/>
      <c r="DD84" s="212"/>
      <c r="DE84" s="212">
        <f t="shared" si="176"/>
        <v>-18.3</v>
      </c>
      <c r="DF84" s="212">
        <f t="shared" si="177"/>
        <v>-33.6</v>
      </c>
      <c r="DG84" s="212">
        <f t="shared" si="178"/>
        <v>-111.4</v>
      </c>
      <c r="DH84" s="212">
        <f>AI84</f>
        <v>-111.5</v>
      </c>
      <c r="DI84" s="212">
        <f>AM84</f>
        <v>-111.4</v>
      </c>
      <c r="DJ84" s="212">
        <f>AQ84</f>
        <v>-110.8</v>
      </c>
      <c r="DK84" s="212">
        <f>AU84</f>
        <v>-204.1</v>
      </c>
      <c r="DL84" s="212">
        <f>AY84</f>
        <v>-225.5</v>
      </c>
      <c r="DM84" s="212">
        <f>BC84</f>
        <v>-210.2</v>
      </c>
      <c r="DN84" s="212">
        <f>BG84</f>
        <v>-194.5</v>
      </c>
      <c r="DO84" s="212">
        <f>BK84</f>
        <v>-176.1</v>
      </c>
      <c r="DP84" s="212">
        <f t="shared" si="179"/>
        <v>0</v>
      </c>
      <c r="DQ84" s="212">
        <f t="shared" si="180"/>
        <v>-13.4</v>
      </c>
      <c r="DR84" s="212">
        <f>BW84</f>
        <v>-41.8</v>
      </c>
      <c r="DS84" s="212">
        <f>CA84</f>
        <v>-517.9</v>
      </c>
      <c r="DT84" s="212">
        <f>CE84</f>
        <v>-362.1</v>
      </c>
      <c r="DU84" s="212">
        <f>CI84</f>
        <v>-176.9</v>
      </c>
      <c r="DV84" s="212">
        <f>CM84</f>
        <v>-623</v>
      </c>
      <c r="DW84" s="212">
        <f>CQ84</f>
        <v>-1200.2</v>
      </c>
      <c r="DX84" s="212">
        <f>CU84</f>
        <v>-602.4</v>
      </c>
      <c r="DY84" s="212">
        <f t="shared" si="181"/>
        <v>-602.4</v>
      </c>
      <c r="DZ84" s="218">
        <f>DY84</f>
        <v>-602.4</v>
      </c>
      <c r="EA84" s="218">
        <f>DZ84</f>
        <v>-602.4</v>
      </c>
      <c r="EB84" s="218">
        <f>EA84</f>
        <v>-602.4</v>
      </c>
      <c r="EC84" s="218">
        <f>EB84</f>
        <v>-602.4</v>
      </c>
      <c r="ED84" s="218">
        <f>EC84</f>
        <v>-602.4</v>
      </c>
      <c r="EE84" s="199"/>
      <c r="EF84"/>
      <c r="EG84"/>
      <c r="EH84"/>
      <c r="EI84"/>
      <c r="EJ84"/>
      <c r="EK84"/>
    </row>
    <row r="85" spans="1:141" s="137" customFormat="1">
      <c r="A85" s="193"/>
      <c r="B85" s="138" t="s">
        <v>50</v>
      </c>
      <c r="C85" s="138"/>
      <c r="D85" s="217"/>
      <c r="E85" s="218"/>
      <c r="F85" s="218"/>
      <c r="G85" s="219"/>
      <c r="H85" s="218"/>
      <c r="I85" s="218"/>
      <c r="J85" s="218"/>
      <c r="K85" s="219"/>
      <c r="L85" s="218"/>
      <c r="M85" s="218"/>
      <c r="N85" s="218"/>
      <c r="O85" s="219"/>
      <c r="P85" s="218"/>
      <c r="Q85" s="218"/>
      <c r="R85" s="218"/>
      <c r="S85" s="219"/>
      <c r="T85" s="218"/>
      <c r="U85" s="218"/>
      <c r="V85" s="218"/>
      <c r="W85" s="219">
        <v>504.7</v>
      </c>
      <c r="X85" s="218"/>
      <c r="Y85" s="218"/>
      <c r="Z85" s="218"/>
      <c r="AA85" s="219">
        <v>761.8</v>
      </c>
      <c r="AB85" s="218">
        <v>823.8</v>
      </c>
      <c r="AC85" s="218">
        <v>925.5</v>
      </c>
      <c r="AD85" s="218">
        <v>964.1</v>
      </c>
      <c r="AE85" s="219">
        <v>1036.5</v>
      </c>
      <c r="AF85" s="218">
        <v>1051</v>
      </c>
      <c r="AG85" s="218">
        <v>1095.9000000000001</v>
      </c>
      <c r="AH85" s="218">
        <v>1111.8</v>
      </c>
      <c r="AI85" s="219">
        <v>1062.8</v>
      </c>
      <c r="AJ85" s="218">
        <v>1109.2</v>
      </c>
      <c r="AK85" s="218">
        <v>896.2</v>
      </c>
      <c r="AL85" s="218">
        <v>957.8</v>
      </c>
      <c r="AM85" s="219">
        <v>1075.8</v>
      </c>
      <c r="AN85" s="218">
        <v>1143.7</v>
      </c>
      <c r="AO85" s="218">
        <v>1247.8</v>
      </c>
      <c r="AP85" s="218">
        <v>1323.9</v>
      </c>
      <c r="AQ85" s="219">
        <v>1441.8</v>
      </c>
      <c r="AR85" s="218">
        <v>1505.9</v>
      </c>
      <c r="AS85" s="218">
        <v>1608.2</v>
      </c>
      <c r="AT85" s="218">
        <v>1686.37</v>
      </c>
      <c r="AU85" s="219">
        <v>1795.97</v>
      </c>
      <c r="AV85" s="218">
        <v>1809.3</v>
      </c>
      <c r="AW85" s="218">
        <v>1748.5018436512</v>
      </c>
      <c r="AX85" s="218">
        <v>981.2</v>
      </c>
      <c r="AY85" s="219">
        <v>361.8</v>
      </c>
      <c r="AZ85" s="218">
        <v>362.9</v>
      </c>
      <c r="BA85" s="218">
        <v>356.5</v>
      </c>
      <c r="BB85" s="218">
        <v>282.5</v>
      </c>
      <c r="BC85" s="219">
        <v>-362.5</v>
      </c>
      <c r="BD85" s="218">
        <v>-308</v>
      </c>
      <c r="BE85" s="218">
        <v>-184.5</v>
      </c>
      <c r="BF85" s="218">
        <v>-143.5</v>
      </c>
      <c r="BG85" s="219">
        <v>-116.5</v>
      </c>
      <c r="BH85" s="218">
        <v>-50.6</v>
      </c>
      <c r="BI85" s="218">
        <v>-32.299999999999997</v>
      </c>
      <c r="BJ85" s="218">
        <v>-130.5</v>
      </c>
      <c r="BK85" s="219">
        <v>-818.2</v>
      </c>
      <c r="BL85" s="218">
        <v>-1083</v>
      </c>
      <c r="BM85" s="218">
        <v>-1256.5999999999999</v>
      </c>
      <c r="BN85" s="218">
        <v>-1232</v>
      </c>
      <c r="BO85" s="219">
        <f>-3.8</f>
        <v>-3.8</v>
      </c>
      <c r="BP85" s="218">
        <v>62.3</v>
      </c>
      <c r="BQ85" s="218">
        <v>222.1</v>
      </c>
      <c r="BR85" s="218">
        <v>317.39999999999998</v>
      </c>
      <c r="BS85" s="219">
        <v>434.5</v>
      </c>
      <c r="BT85" s="218">
        <v>577.1</v>
      </c>
      <c r="BU85" s="218">
        <f>BT85+BU29+BU144</f>
        <v>751.70000000000039</v>
      </c>
      <c r="BV85" s="218">
        <f>BU85+BV29+BV144</f>
        <v>839.8000000000003</v>
      </c>
      <c r="BW85" s="219">
        <f>BV85+BW29+BW144</f>
        <v>933.50000000000045</v>
      </c>
      <c r="BX85" s="218">
        <v>1042.0999999999999</v>
      </c>
      <c r="BY85" s="218">
        <v>1173.4000000000001</v>
      </c>
      <c r="BZ85" s="218">
        <v>1280.9000000000001</v>
      </c>
      <c r="CA85" s="219">
        <v>2149</v>
      </c>
      <c r="CB85" s="218">
        <f>3485.8-SUM(CB81:CB84,CB86,CB89)</f>
        <v>2222.7000000000007</v>
      </c>
      <c r="CC85" s="218">
        <v>2364.1999999999998</v>
      </c>
      <c r="CD85" s="218">
        <v>2462.8000000000002</v>
      </c>
      <c r="CE85" s="219">
        <v>1920.3</v>
      </c>
      <c r="CF85" s="218">
        <v>2025.1</v>
      </c>
      <c r="CG85" s="218">
        <v>2156.9</v>
      </c>
      <c r="CH85" s="218">
        <v>2280.1999999999998</v>
      </c>
      <c r="CI85" s="219">
        <v>2161.6999999999998</v>
      </c>
      <c r="CJ85" s="218">
        <v>2288.6999999999998</v>
      </c>
      <c r="CK85" s="218">
        <v>2450.5</v>
      </c>
      <c r="CL85" s="218">
        <v>2612</v>
      </c>
      <c r="CM85" s="219">
        <v>2827.8</v>
      </c>
      <c r="CN85" s="218">
        <v>3050.9</v>
      </c>
      <c r="CO85" s="218">
        <v>3310.8</v>
      </c>
      <c r="CP85" s="218">
        <v>3503.3</v>
      </c>
      <c r="CQ85" s="219">
        <v>3706.9</v>
      </c>
      <c r="CR85" s="218">
        <v>4031.4</v>
      </c>
      <c r="CS85" s="356">
        <v>3572.6</v>
      </c>
      <c r="CT85" s="356">
        <v>3810.3</v>
      </c>
      <c r="CU85" s="198">
        <f>CT85+CU116+CU144</f>
        <v>4076.4500000000007</v>
      </c>
      <c r="CV85" s="197">
        <f>CU85+CV116+CV144</f>
        <v>4364.8128488340217</v>
      </c>
      <c r="CW85" s="197">
        <f>CV85+CW116+CW144</f>
        <v>4658.9843852156764</v>
      </c>
      <c r="CX85" s="197">
        <f>CW85+CX116+CX144</f>
        <v>4919.7958976765849</v>
      </c>
      <c r="CY85" s="198">
        <f>CX85+CY116+CY144</f>
        <v>5191.1508188484731</v>
      </c>
      <c r="DA85" s="212"/>
      <c r="DB85" s="212"/>
      <c r="DC85" s="212"/>
      <c r="DD85" s="212"/>
      <c r="DE85" s="212">
        <f t="shared" si="176"/>
        <v>504.7</v>
      </c>
      <c r="DF85" s="212">
        <f t="shared" si="177"/>
        <v>761.8</v>
      </c>
      <c r="DG85" s="212">
        <f t="shared" si="178"/>
        <v>1036.5</v>
      </c>
      <c r="DH85" s="212">
        <f>AI85</f>
        <v>1062.8</v>
      </c>
      <c r="DI85" s="212">
        <f>AM85</f>
        <v>1075.8</v>
      </c>
      <c r="DJ85" s="212">
        <f>AQ85</f>
        <v>1441.8</v>
      </c>
      <c r="DK85" s="212">
        <f>AU85</f>
        <v>1795.97</v>
      </c>
      <c r="DL85" s="212">
        <f>AY85</f>
        <v>361.8</v>
      </c>
      <c r="DM85" s="212">
        <f>BC85</f>
        <v>-362.5</v>
      </c>
      <c r="DN85" s="212">
        <f>BG85</f>
        <v>-116.5</v>
      </c>
      <c r="DO85" s="212">
        <f>BK85</f>
        <v>-818.2</v>
      </c>
      <c r="DP85" s="212">
        <f t="shared" si="179"/>
        <v>-3.8</v>
      </c>
      <c r="DQ85" s="212">
        <f t="shared" si="180"/>
        <v>434.5</v>
      </c>
      <c r="DR85" s="212">
        <f>BW85</f>
        <v>933.50000000000045</v>
      </c>
      <c r="DS85" s="212">
        <f>CA85</f>
        <v>2149</v>
      </c>
      <c r="DT85" s="212">
        <f>CE85</f>
        <v>1920.3</v>
      </c>
      <c r="DU85" s="212">
        <f>CI85</f>
        <v>2161.6999999999998</v>
      </c>
      <c r="DV85" s="212">
        <f>CM85</f>
        <v>2827.8</v>
      </c>
      <c r="DW85" s="212">
        <f>CQ85</f>
        <v>3706.9</v>
      </c>
      <c r="DX85" s="212">
        <f>CU85</f>
        <v>4076.4500000000007</v>
      </c>
      <c r="DY85" s="212">
        <f t="shared" si="181"/>
        <v>5191.1508188484731</v>
      </c>
      <c r="DZ85" s="212">
        <f>DY85+DZ116+DZ144</f>
        <v>6344.6231709366339</v>
      </c>
      <c r="EA85" s="212">
        <f>DZ85+EA116+EA144</f>
        <v>7479.7248951491192</v>
      </c>
      <c r="EB85" s="212">
        <f>EA85+EB116+EB144</f>
        <v>8587.5060330427714</v>
      </c>
      <c r="EC85" s="212">
        <f>EB85+EC116+EC144</f>
        <v>9650.7614300637597</v>
      </c>
      <c r="ED85" s="212">
        <f>EC85+ED116+ED144</f>
        <v>10651.99079295839</v>
      </c>
      <c r="EE85" s="199"/>
      <c r="EF85"/>
      <c r="EG85"/>
      <c r="EH85"/>
      <c r="EI85"/>
      <c r="EJ85"/>
      <c r="EK85"/>
    </row>
    <row r="86" spans="1:141" s="137" customFormat="1">
      <c r="A86" s="193"/>
      <c r="B86" s="200" t="s">
        <v>259</v>
      </c>
      <c r="C86" s="200"/>
      <c r="D86" s="220"/>
      <c r="E86" s="221"/>
      <c r="F86" s="221"/>
      <c r="G86" s="222"/>
      <c r="H86" s="221"/>
      <c r="I86" s="221"/>
      <c r="J86" s="221"/>
      <c r="K86" s="222"/>
      <c r="L86" s="221"/>
      <c r="M86" s="221"/>
      <c r="N86" s="221"/>
      <c r="O86" s="222"/>
      <c r="P86" s="221"/>
      <c r="Q86" s="221"/>
      <c r="R86" s="221"/>
      <c r="S86" s="222"/>
      <c r="T86" s="221"/>
      <c r="U86" s="221"/>
      <c r="V86" s="221"/>
      <c r="W86" s="222">
        <v>-46.3</v>
      </c>
      <c r="X86" s="221"/>
      <c r="Y86" s="221"/>
      <c r="Z86" s="221"/>
      <c r="AA86" s="222">
        <v>-133.80000000000001</v>
      </c>
      <c r="AB86" s="221">
        <v>-164.5</v>
      </c>
      <c r="AC86" s="221">
        <v>-190.1</v>
      </c>
      <c r="AD86" s="221">
        <v>-238.5</v>
      </c>
      <c r="AE86" s="222">
        <v>-199</v>
      </c>
      <c r="AF86" s="221">
        <v>-252</v>
      </c>
      <c r="AG86" s="221">
        <v>-261.7</v>
      </c>
      <c r="AH86" s="221">
        <v>-278.10000000000002</v>
      </c>
      <c r="AI86" s="222">
        <v>-281.2</v>
      </c>
      <c r="AJ86" s="221">
        <v>-292.60000000000002</v>
      </c>
      <c r="AK86" s="221">
        <v>-271.2</v>
      </c>
      <c r="AL86" s="221">
        <v>-288.2</v>
      </c>
      <c r="AM86" s="222">
        <v>-246.4</v>
      </c>
      <c r="AN86" s="221">
        <v>-251.2</v>
      </c>
      <c r="AO86" s="221">
        <v>-182.7</v>
      </c>
      <c r="AP86" s="221">
        <v>-182.3</v>
      </c>
      <c r="AQ86" s="222">
        <v>-101.9</v>
      </c>
      <c r="AR86" s="221">
        <v>-105.1</v>
      </c>
      <c r="AS86" s="221">
        <v>-114.00000000000091</v>
      </c>
      <c r="AT86" s="221">
        <v>-72.270000000001346</v>
      </c>
      <c r="AU86" s="222">
        <v>73.12999999999829</v>
      </c>
      <c r="AV86" s="221">
        <v>-17.400000000000091</v>
      </c>
      <c r="AW86" s="221">
        <v>-87.901843651200124</v>
      </c>
      <c r="AX86" s="221">
        <v>-98.9</v>
      </c>
      <c r="AY86" s="222">
        <v>-134.6</v>
      </c>
      <c r="AZ86" s="221">
        <v>-124.8</v>
      </c>
      <c r="BA86" s="221">
        <v>-87.4</v>
      </c>
      <c r="BB86" s="221">
        <v>-72.7</v>
      </c>
      <c r="BC86" s="222">
        <v>-164.1</v>
      </c>
      <c r="BD86" s="221">
        <v>-155.6</v>
      </c>
      <c r="BE86" s="221">
        <v>-145.1</v>
      </c>
      <c r="BF86" s="221">
        <v>-106.2</v>
      </c>
      <c r="BG86" s="222">
        <v>27.6</v>
      </c>
      <c r="BH86" s="221">
        <v>114.4</v>
      </c>
      <c r="BI86" s="221">
        <v>141.5</v>
      </c>
      <c r="BJ86" s="221">
        <v>68.599999999999994</v>
      </c>
      <c r="BK86" s="222">
        <v>-179.3</v>
      </c>
      <c r="BL86" s="221">
        <v>-205.7</v>
      </c>
      <c r="BM86" s="221">
        <v>-155.5</v>
      </c>
      <c r="BN86" s="221">
        <v>-77.5</v>
      </c>
      <c r="BO86" s="222">
        <v>-1.3</v>
      </c>
      <c r="BP86" s="221">
        <v>-26.6</v>
      </c>
      <c r="BQ86" s="221">
        <v>-110.9</v>
      </c>
      <c r="BR86" s="221">
        <v>9.6999999999999993</v>
      </c>
      <c r="BS86" s="222">
        <v>-78</v>
      </c>
      <c r="BT86" s="221">
        <v>-6.2</v>
      </c>
      <c r="BU86" s="221">
        <f>2901.9-SUM(BU82:BU85)</f>
        <v>65.800000000000182</v>
      </c>
      <c r="BV86" s="221">
        <f>2743.2-SUM(BV81:BV85)-BV89</f>
        <v>-195.20000000000019</v>
      </c>
      <c r="BW86" s="222">
        <f>2561.1-SUM(BW81:BW85)-BW89</f>
        <v>-386.10000000000025</v>
      </c>
      <c r="BX86" s="221">
        <v>-265.10000000000002</v>
      </c>
      <c r="BY86" s="221">
        <v>-343.3</v>
      </c>
      <c r="BZ86" s="221">
        <v>-298.3</v>
      </c>
      <c r="CA86" s="222">
        <v>-300.8</v>
      </c>
      <c r="CB86" s="221">
        <f>DS86</f>
        <v>-300.8</v>
      </c>
      <c r="CC86" s="221">
        <v>-352.5</v>
      </c>
      <c r="CD86" s="221">
        <v>-320.89999999999998</v>
      </c>
      <c r="CE86" s="222">
        <v>-166.1</v>
      </c>
      <c r="CF86" s="221">
        <v>-175.1</v>
      </c>
      <c r="CG86" s="221">
        <v>-169.1</v>
      </c>
      <c r="CH86" s="221">
        <v>-267.5</v>
      </c>
      <c r="CI86" s="222">
        <v>-502</v>
      </c>
      <c r="CJ86" s="221">
        <v>-629.79999999999995</v>
      </c>
      <c r="CK86" s="221">
        <v>-600.20000000000005</v>
      </c>
      <c r="CL86" s="221">
        <v>-686.4</v>
      </c>
      <c r="CM86" s="222">
        <v>-730.1</v>
      </c>
      <c r="CN86" s="221">
        <v>-660.6</v>
      </c>
      <c r="CO86" s="221">
        <v>-713.8</v>
      </c>
      <c r="CP86" s="221">
        <v>-703.5</v>
      </c>
      <c r="CQ86" s="222">
        <v>-835.6</v>
      </c>
      <c r="CR86" s="221">
        <v>-733.1</v>
      </c>
      <c r="CS86" s="355">
        <v>-611.29999999999995</v>
      </c>
      <c r="CT86" s="355">
        <v>-536.79999999999995</v>
      </c>
      <c r="CU86" s="222">
        <f>CU87-CU85-CU84-CU83-CU82</f>
        <v>-259.45000000000033</v>
      </c>
      <c r="CV86" s="221">
        <f>CU86</f>
        <v>-259.45000000000033</v>
      </c>
      <c r="CW86" s="221">
        <f>CV86</f>
        <v>-259.45000000000033</v>
      </c>
      <c r="CX86" s="221">
        <f>CW86</f>
        <v>-259.45000000000033</v>
      </c>
      <c r="CY86" s="222">
        <f>CX86</f>
        <v>-259.45000000000033</v>
      </c>
      <c r="DA86" s="542"/>
      <c r="DB86" s="542"/>
      <c r="DC86" s="542"/>
      <c r="DD86" s="542"/>
      <c r="DE86" s="542">
        <f t="shared" si="176"/>
        <v>-46.3</v>
      </c>
      <c r="DF86" s="542">
        <f t="shared" si="177"/>
        <v>-133.80000000000001</v>
      </c>
      <c r="DG86" s="542">
        <f t="shared" si="178"/>
        <v>-199</v>
      </c>
      <c r="DH86" s="542">
        <f>AI86</f>
        <v>-281.2</v>
      </c>
      <c r="DI86" s="542">
        <f>AM86</f>
        <v>-246.4</v>
      </c>
      <c r="DJ86" s="542">
        <f>AQ86</f>
        <v>-101.9</v>
      </c>
      <c r="DK86" s="542">
        <f>AU86</f>
        <v>73.12999999999829</v>
      </c>
      <c r="DL86" s="542">
        <f>AY86</f>
        <v>-134.6</v>
      </c>
      <c r="DM86" s="542">
        <f>BC86</f>
        <v>-164.1</v>
      </c>
      <c r="DN86" s="542">
        <f>BG86</f>
        <v>27.6</v>
      </c>
      <c r="DO86" s="542">
        <f>BK86</f>
        <v>-179.3</v>
      </c>
      <c r="DP86" s="542">
        <f t="shared" si="179"/>
        <v>-1.3</v>
      </c>
      <c r="DQ86" s="542">
        <f t="shared" si="180"/>
        <v>-78</v>
      </c>
      <c r="DR86" s="542">
        <f>BW86</f>
        <v>-386.10000000000025</v>
      </c>
      <c r="DS86" s="542">
        <f>CA86</f>
        <v>-300.8</v>
      </c>
      <c r="DT86" s="542">
        <f>CE86</f>
        <v>-166.1</v>
      </c>
      <c r="DU86" s="542">
        <f>CI86</f>
        <v>-502</v>
      </c>
      <c r="DV86" s="542">
        <f>CM86</f>
        <v>-730.1</v>
      </c>
      <c r="DW86" s="542">
        <f>CQ86</f>
        <v>-835.6</v>
      </c>
      <c r="DX86" s="542">
        <f>CU86</f>
        <v>-259.45000000000033</v>
      </c>
      <c r="DY86" s="542">
        <f t="shared" si="181"/>
        <v>-259.45000000000033</v>
      </c>
      <c r="DZ86" s="221">
        <f>DY86</f>
        <v>-259.45000000000033</v>
      </c>
      <c r="EA86" s="221">
        <f>DZ86</f>
        <v>-259.45000000000033</v>
      </c>
      <c r="EB86" s="221">
        <f>EA86</f>
        <v>-259.45000000000033</v>
      </c>
      <c r="EC86" s="221">
        <f>EB86</f>
        <v>-259.45000000000033</v>
      </c>
      <c r="ED86" s="221">
        <f>EC86</f>
        <v>-259.45000000000033</v>
      </c>
      <c r="EE86" s="199"/>
      <c r="EF86"/>
      <c r="EG86"/>
      <c r="EH86"/>
      <c r="EI86"/>
      <c r="EJ86"/>
      <c r="EK86"/>
    </row>
    <row r="87" spans="1:141" s="137" customFormat="1">
      <c r="A87" s="193"/>
      <c r="B87" s="199" t="s">
        <v>258</v>
      </c>
      <c r="C87" s="199"/>
      <c r="D87" s="217">
        <v>60.6</v>
      </c>
      <c r="E87" s="218">
        <v>184.04499999999999</v>
      </c>
      <c r="F87" s="218">
        <v>191.8</v>
      </c>
      <c r="G87" s="219">
        <v>213.55600000000001</v>
      </c>
      <c r="H87" s="218">
        <v>217.1</v>
      </c>
      <c r="I87" s="218">
        <v>246.5</v>
      </c>
      <c r="J87" s="218">
        <v>540.5</v>
      </c>
      <c r="K87" s="219">
        <v>580</v>
      </c>
      <c r="L87" s="218">
        <v>217.1</v>
      </c>
      <c r="M87" s="218">
        <v>672.5</v>
      </c>
      <c r="N87" s="218">
        <v>946.7</v>
      </c>
      <c r="O87" s="219">
        <v>1018.7</v>
      </c>
      <c r="P87" s="218">
        <v>1036.2</v>
      </c>
      <c r="Q87" s="218">
        <v>1104.9000000000001</v>
      </c>
      <c r="R87" s="218">
        <v>1120.5</v>
      </c>
      <c r="S87" s="219">
        <v>1207</v>
      </c>
      <c r="T87" s="218">
        <v>1245.0999999999999</v>
      </c>
      <c r="U87" s="218">
        <v>1318.2</v>
      </c>
      <c r="V87" s="218">
        <v>1309.5999999999999</v>
      </c>
      <c r="W87" s="198">
        <f>SUM(W81:W86)</f>
        <v>1300</v>
      </c>
      <c r="X87" s="218">
        <v>1297.2</v>
      </c>
      <c r="Y87" s="218">
        <v>1353.6</v>
      </c>
      <c r="Z87" s="218">
        <v>1413.3</v>
      </c>
      <c r="AA87" s="198">
        <f>SUM(AA81:AA86)</f>
        <v>1465.3</v>
      </c>
      <c r="AB87" s="197">
        <f>SUM(AB81:AB86)</f>
        <v>1481.9</v>
      </c>
      <c r="AC87" s="197">
        <f>SUM(AC81:AC86)</f>
        <v>1522.5</v>
      </c>
      <c r="AD87" s="197">
        <f>SUM(AD81:AD86)</f>
        <v>1509.9</v>
      </c>
      <c r="AE87" s="198">
        <f>SUM(AE81:AE86)</f>
        <v>1600.8000000000002</v>
      </c>
      <c r="AF87" s="197">
        <f t="shared" ref="AF87:BE87" si="182">SUM(AF81:AF86)</f>
        <v>1562.4</v>
      </c>
      <c r="AG87" s="197">
        <f t="shared" si="182"/>
        <v>1597.6000000000001</v>
      </c>
      <c r="AH87" s="197">
        <f t="shared" si="182"/>
        <v>1597.1</v>
      </c>
      <c r="AI87" s="198">
        <f t="shared" si="182"/>
        <v>1559.1</v>
      </c>
      <c r="AJ87" s="197">
        <f t="shared" si="182"/>
        <v>1619.9</v>
      </c>
      <c r="AK87" s="197">
        <f t="shared" si="182"/>
        <v>1448.4</v>
      </c>
      <c r="AL87" s="197">
        <f t="shared" si="182"/>
        <v>1494.6000000000001</v>
      </c>
      <c r="AM87" s="198">
        <f t="shared" si="182"/>
        <v>1662.3</v>
      </c>
      <c r="AN87" s="197">
        <f t="shared" si="182"/>
        <v>1726.5</v>
      </c>
      <c r="AO87" s="197">
        <f t="shared" si="182"/>
        <v>1911.7</v>
      </c>
      <c r="AP87" s="197">
        <f t="shared" si="182"/>
        <v>2030.3000000000004</v>
      </c>
      <c r="AQ87" s="198">
        <f t="shared" si="182"/>
        <v>2257.5</v>
      </c>
      <c r="AR87" s="197">
        <f t="shared" si="182"/>
        <v>2340.3000000000002</v>
      </c>
      <c r="AS87" s="197">
        <f t="shared" si="182"/>
        <v>2433.6999999999989</v>
      </c>
      <c r="AT87" s="197">
        <f t="shared" si="182"/>
        <v>2512.5999999999985</v>
      </c>
      <c r="AU87" s="198">
        <f t="shared" si="182"/>
        <v>2730.0999999999985</v>
      </c>
      <c r="AV87" s="197">
        <f t="shared" si="182"/>
        <v>2651.9</v>
      </c>
      <c r="AW87" s="197">
        <f t="shared" si="182"/>
        <v>2520.6</v>
      </c>
      <c r="AX87" s="197">
        <f t="shared" si="182"/>
        <v>1758.7</v>
      </c>
      <c r="AY87" s="198">
        <f t="shared" si="182"/>
        <v>1111</v>
      </c>
      <c r="AZ87" s="197">
        <f t="shared" si="182"/>
        <v>1134.6000000000001</v>
      </c>
      <c r="BA87" s="197">
        <f t="shared" si="182"/>
        <v>1174.5</v>
      </c>
      <c r="BB87" s="197">
        <f t="shared" si="182"/>
        <v>1123.2</v>
      </c>
      <c r="BC87" s="198">
        <f t="shared" si="182"/>
        <v>601.99999999999989</v>
      </c>
      <c r="BD87" s="197">
        <f t="shared" si="182"/>
        <v>692.49999999999989</v>
      </c>
      <c r="BE87" s="197">
        <f t="shared" si="182"/>
        <v>833.5999999999998</v>
      </c>
      <c r="BF87" s="197">
        <f t="shared" ref="BF87:CA87" si="183">SUM(BF81:BF86)</f>
        <v>932.69999999999982</v>
      </c>
      <c r="BG87" s="198">
        <f t="shared" si="183"/>
        <v>1090.6999999999998</v>
      </c>
      <c r="BH87" s="197">
        <f t="shared" si="183"/>
        <v>1249.8000000000002</v>
      </c>
      <c r="BI87" s="197">
        <f t="shared" si="183"/>
        <v>1300.3</v>
      </c>
      <c r="BJ87" s="197">
        <f t="shared" si="183"/>
        <v>1131.5999999999999</v>
      </c>
      <c r="BK87" s="198">
        <f t="shared" si="183"/>
        <v>198.90000000000003</v>
      </c>
      <c r="BL87" s="197">
        <f t="shared" si="183"/>
        <v>-89.400000000000034</v>
      </c>
      <c r="BM87" s="197">
        <f t="shared" si="183"/>
        <v>-211.19999999999982</v>
      </c>
      <c r="BN87" s="197">
        <f t="shared" si="183"/>
        <v>-106.39999999999986</v>
      </c>
      <c r="BO87" s="198">
        <f t="shared" si="183"/>
        <v>2089.0999999999995</v>
      </c>
      <c r="BP87" s="197">
        <f t="shared" si="183"/>
        <v>2134.7000000000003</v>
      </c>
      <c r="BQ87" s="197">
        <f t="shared" si="183"/>
        <v>2214.4999999999995</v>
      </c>
      <c r="BR87" s="197">
        <f t="shared" si="183"/>
        <v>2434.3999999999996</v>
      </c>
      <c r="BS87" s="198">
        <f t="shared" si="183"/>
        <v>2460.1999999999998</v>
      </c>
      <c r="BT87" s="197">
        <f t="shared" si="183"/>
        <v>2655.2999999999997</v>
      </c>
      <c r="BU87" s="197">
        <f t="shared" si="183"/>
        <v>2901.9</v>
      </c>
      <c r="BV87" s="197">
        <f t="shared" si="183"/>
        <v>2634.7999999999997</v>
      </c>
      <c r="BW87" s="198">
        <f t="shared" si="183"/>
        <v>2452.6999999999998</v>
      </c>
      <c r="BX87" s="197">
        <f t="shared" si="183"/>
        <v>2577.1</v>
      </c>
      <c r="BY87" s="197">
        <f t="shared" si="183"/>
        <v>2565.5</v>
      </c>
      <c r="BZ87" s="197">
        <f t="shared" si="183"/>
        <v>2667.3999999999996</v>
      </c>
      <c r="CA87" s="198">
        <f t="shared" si="183"/>
        <v>3487.0999999999995</v>
      </c>
      <c r="CB87" s="197">
        <f t="shared" ref="CB87:CM87" si="184">SUM(CB81:CB86)</f>
        <v>3360.7000000000003</v>
      </c>
      <c r="CC87" s="197">
        <f t="shared" si="184"/>
        <v>2669.2999999999997</v>
      </c>
      <c r="CD87" s="197">
        <f t="shared" si="184"/>
        <v>2813.5</v>
      </c>
      <c r="CE87" s="198">
        <f t="shared" si="184"/>
        <v>3045.9</v>
      </c>
      <c r="CF87" s="197">
        <f t="shared" si="184"/>
        <v>3222.3</v>
      </c>
      <c r="CG87" s="197">
        <f t="shared" si="184"/>
        <v>3145.8</v>
      </c>
      <c r="CH87" s="197">
        <f t="shared" si="184"/>
        <v>3081.9</v>
      </c>
      <c r="CI87" s="198">
        <f t="shared" si="184"/>
        <v>2958.7999999999997</v>
      </c>
      <c r="CJ87" s="197">
        <f t="shared" si="184"/>
        <v>2812.0999999999995</v>
      </c>
      <c r="CK87" s="197">
        <f t="shared" si="184"/>
        <v>2899.3999999999996</v>
      </c>
      <c r="CL87" s="197">
        <f t="shared" si="184"/>
        <v>2840.2999999999997</v>
      </c>
      <c r="CM87" s="198">
        <f t="shared" si="184"/>
        <v>2927.4</v>
      </c>
      <c r="CN87" s="197">
        <f t="shared" ref="CN87:CR87" si="185">SUM(CN81:CN86)</f>
        <v>3037.6000000000004</v>
      </c>
      <c r="CO87" s="197">
        <f>SUM(CO81:CO86)</f>
        <v>3012.8</v>
      </c>
      <c r="CP87" s="197">
        <f t="shared" si="185"/>
        <v>3078.5</v>
      </c>
      <c r="CQ87" s="198">
        <f t="shared" si="185"/>
        <v>3057.2000000000003</v>
      </c>
      <c r="CR87" s="197">
        <f t="shared" si="185"/>
        <v>3331.0000000000005</v>
      </c>
      <c r="CS87" s="348">
        <f>SUM(CS81:CS86)</f>
        <v>3621.8999999999996</v>
      </c>
      <c r="CT87" s="348">
        <f>SUM(CT81:CT86)</f>
        <v>3871.1000000000004</v>
      </c>
      <c r="CU87" s="431">
        <v>4292.6000000000004</v>
      </c>
      <c r="CV87" s="197">
        <f t="shared" ref="CV87:CY87" si="186">SUM(CV81:CV86)</f>
        <v>4480.9628488340213</v>
      </c>
      <c r="CW87" s="197">
        <f t="shared" si="186"/>
        <v>4675.134385215676</v>
      </c>
      <c r="CX87" s="197">
        <f t="shared" si="186"/>
        <v>4835.9458976765845</v>
      </c>
      <c r="CY87" s="198">
        <f t="shared" si="186"/>
        <v>5007.3008188484728</v>
      </c>
      <c r="DA87" s="212">
        <f>G87</f>
        <v>213.55600000000001</v>
      </c>
      <c r="DB87" s="212">
        <f>K87</f>
        <v>580</v>
      </c>
      <c r="DC87" s="212">
        <f>O87</f>
        <v>1018.7</v>
      </c>
      <c r="DD87" s="212">
        <f>S87</f>
        <v>1207</v>
      </c>
      <c r="DE87" s="212">
        <f>SUM(DE81:DE86)</f>
        <v>1300</v>
      </c>
      <c r="DF87" s="212">
        <f t="shared" si="177"/>
        <v>1465.3</v>
      </c>
      <c r="DG87" s="212">
        <f t="shared" si="178"/>
        <v>1600.8000000000002</v>
      </c>
      <c r="DH87" s="212">
        <f t="shared" ref="DH87:EA87" si="187">SUM(DH81:DH86)</f>
        <v>1559.1</v>
      </c>
      <c r="DI87" s="212">
        <f t="shared" si="187"/>
        <v>1662.3</v>
      </c>
      <c r="DJ87" s="212">
        <f t="shared" si="187"/>
        <v>2257.5</v>
      </c>
      <c r="DK87" s="212">
        <f t="shared" si="187"/>
        <v>2730.0999999999985</v>
      </c>
      <c r="DL87" s="212">
        <f t="shared" si="187"/>
        <v>1111</v>
      </c>
      <c r="DM87" s="212">
        <f t="shared" si="187"/>
        <v>601.99999999999989</v>
      </c>
      <c r="DN87" s="212">
        <f t="shared" si="187"/>
        <v>1090.6999999999998</v>
      </c>
      <c r="DO87" s="212">
        <f t="shared" si="187"/>
        <v>198.90000000000003</v>
      </c>
      <c r="DP87" s="212">
        <f t="shared" si="187"/>
        <v>2089.0999999999995</v>
      </c>
      <c r="DQ87" s="212">
        <f t="shared" si="187"/>
        <v>2460.1999999999998</v>
      </c>
      <c r="DR87" s="212">
        <f t="shared" si="187"/>
        <v>2452.6999999999998</v>
      </c>
      <c r="DS87" s="212">
        <f t="shared" si="187"/>
        <v>3487.0999999999995</v>
      </c>
      <c r="DT87" s="212">
        <f t="shared" si="187"/>
        <v>3045.9</v>
      </c>
      <c r="DU87" s="212">
        <f t="shared" si="187"/>
        <v>2958.7999999999997</v>
      </c>
      <c r="DV87" s="212">
        <f t="shared" si="187"/>
        <v>2927.4</v>
      </c>
      <c r="DW87" s="212">
        <f t="shared" si="187"/>
        <v>3057.2000000000003</v>
      </c>
      <c r="DX87" s="212">
        <f t="shared" si="187"/>
        <v>4292.6000000000004</v>
      </c>
      <c r="DY87" s="212">
        <f>SUM(DY81:DY86)</f>
        <v>5007.3008188484728</v>
      </c>
      <c r="DZ87" s="197">
        <f t="shared" si="187"/>
        <v>5760.7731709366335</v>
      </c>
      <c r="EA87" s="197">
        <f t="shared" si="187"/>
        <v>6495.8748951491189</v>
      </c>
      <c r="EB87" s="197">
        <f t="shared" ref="EB87:ED87" si="188">SUM(EB81:EB86)</f>
        <v>7203.656033042771</v>
      </c>
      <c r="EC87" s="197">
        <f t="shared" si="188"/>
        <v>7866.9114300637593</v>
      </c>
      <c r="ED87" s="197">
        <f t="shared" si="188"/>
        <v>8468.1407929583893</v>
      </c>
      <c r="EE87" s="199"/>
      <c r="EF87"/>
      <c r="EG87"/>
      <c r="EH87"/>
      <c r="EI87"/>
      <c r="EJ87"/>
      <c r="EK87"/>
    </row>
    <row r="88" spans="1:141" s="137" customFormat="1">
      <c r="A88" s="193"/>
      <c r="B88" s="199"/>
      <c r="C88" s="199"/>
      <c r="D88" s="223"/>
      <c r="E88" s="199"/>
      <c r="F88" s="199"/>
      <c r="G88" s="211"/>
      <c r="H88" s="199"/>
      <c r="I88" s="199"/>
      <c r="J88" s="199"/>
      <c r="K88" s="211"/>
      <c r="L88" s="199"/>
      <c r="M88" s="199"/>
      <c r="N88" s="199"/>
      <c r="O88" s="211"/>
      <c r="P88" s="199"/>
      <c r="Q88" s="199"/>
      <c r="R88" s="199"/>
      <c r="S88" s="211"/>
      <c r="T88" s="199"/>
      <c r="U88" s="199"/>
      <c r="V88" s="199"/>
      <c r="W88" s="211"/>
      <c r="X88" s="199"/>
      <c r="Y88" s="199"/>
      <c r="Z88" s="199"/>
      <c r="AA88" s="211"/>
      <c r="AB88" s="199"/>
      <c r="AC88" s="199"/>
      <c r="AD88" s="199"/>
      <c r="AE88" s="211"/>
      <c r="AF88" s="199"/>
      <c r="AG88" s="199"/>
      <c r="AH88" s="199"/>
      <c r="AI88" s="211"/>
      <c r="AJ88" s="199"/>
      <c r="AK88" s="199"/>
      <c r="AL88" s="199"/>
      <c r="AM88" s="211"/>
      <c r="AN88" s="199"/>
      <c r="AO88" s="199"/>
      <c r="AP88" s="199"/>
      <c r="AQ88" s="211"/>
      <c r="AR88" s="199"/>
      <c r="AS88" s="199"/>
      <c r="AT88" s="199"/>
      <c r="AU88" s="211"/>
      <c r="AV88" s="199"/>
      <c r="AW88" s="199"/>
      <c r="AX88" s="199"/>
      <c r="AY88" s="211"/>
      <c r="AZ88" s="199"/>
      <c r="BA88" s="199"/>
      <c r="BB88" s="199"/>
      <c r="BC88" s="211"/>
      <c r="BD88" s="199"/>
      <c r="BE88" s="199"/>
      <c r="BF88" s="199"/>
      <c r="BG88" s="211"/>
      <c r="BH88" s="199"/>
      <c r="BI88" s="199"/>
      <c r="BJ88" s="199"/>
      <c r="BK88" s="211"/>
      <c r="BL88" s="199"/>
      <c r="BM88" s="199"/>
      <c r="BN88" s="199"/>
      <c r="BO88" s="211"/>
      <c r="BP88" s="199"/>
      <c r="BQ88" s="199"/>
      <c r="BR88" s="199"/>
      <c r="BS88" s="211"/>
      <c r="BT88" s="199"/>
      <c r="BU88" s="199"/>
      <c r="BV88" s="199"/>
      <c r="BW88" s="211"/>
      <c r="BX88" s="199"/>
      <c r="BY88" s="199"/>
      <c r="BZ88" s="199"/>
      <c r="CA88" s="211"/>
      <c r="CB88" s="199"/>
      <c r="CC88" s="199"/>
      <c r="CD88" s="199"/>
      <c r="CE88" s="211"/>
      <c r="CF88" s="199"/>
      <c r="CG88" s="199"/>
      <c r="CH88" s="199"/>
      <c r="CI88" s="211"/>
      <c r="CJ88" s="199"/>
      <c r="CK88" s="199"/>
      <c r="CL88" s="199"/>
      <c r="CM88" s="211"/>
      <c r="CN88" s="199"/>
      <c r="CO88" s="199"/>
      <c r="CP88" s="199"/>
      <c r="CQ88" s="211"/>
      <c r="CR88" s="199"/>
      <c r="CS88" s="199"/>
      <c r="CT88" s="199"/>
      <c r="CU88" s="211"/>
      <c r="CV88" s="229"/>
      <c r="CW88" s="229"/>
      <c r="CX88" s="229"/>
      <c r="CY88" s="230"/>
      <c r="DA88" s="212"/>
      <c r="DB88" s="212"/>
      <c r="DC88" s="212"/>
      <c r="DD88" s="212"/>
      <c r="DE88" s="212"/>
      <c r="DF88" s="212"/>
      <c r="DG88" s="212"/>
      <c r="DH88" s="212"/>
      <c r="DI88" s="212"/>
      <c r="DJ88" s="212"/>
      <c r="DK88" s="212"/>
      <c r="DL88" s="212"/>
      <c r="DM88" s="212"/>
      <c r="DN88" s="212"/>
      <c r="DO88" s="212"/>
      <c r="DP88" s="212"/>
      <c r="DQ88" s="212"/>
      <c r="DR88" s="212"/>
      <c r="DS88" s="212"/>
      <c r="DT88" s="212"/>
      <c r="DU88" s="212"/>
      <c r="DV88" s="212"/>
      <c r="DW88" s="212"/>
      <c r="DX88" s="212"/>
      <c r="DY88" s="212"/>
      <c r="DZ88" s="199"/>
      <c r="EA88" s="199"/>
      <c r="EB88" s="199"/>
      <c r="EC88" s="199"/>
      <c r="ED88" s="199"/>
      <c r="EE88" s="199"/>
      <c r="EF88"/>
      <c r="EG88"/>
      <c r="EH88"/>
      <c r="EI88"/>
      <c r="EJ88"/>
      <c r="EK88"/>
    </row>
    <row r="89" spans="1:141" s="137" customFormat="1">
      <c r="A89" s="193"/>
      <c r="B89" s="200" t="s">
        <v>260</v>
      </c>
      <c r="C89" s="200"/>
      <c r="D89" s="220"/>
      <c r="E89" s="221"/>
      <c r="F89" s="221"/>
      <c r="G89" s="222"/>
      <c r="H89" s="221"/>
      <c r="I89" s="221"/>
      <c r="J89" s="221"/>
      <c r="K89" s="222"/>
      <c r="L89" s="221"/>
      <c r="M89" s="221"/>
      <c r="N89" s="221"/>
      <c r="O89" s="222"/>
      <c r="P89" s="221"/>
      <c r="Q89" s="221"/>
      <c r="R89" s="221"/>
      <c r="S89" s="222"/>
      <c r="T89" s="221"/>
      <c r="U89" s="221"/>
      <c r="V89" s="221"/>
      <c r="W89" s="222"/>
      <c r="X89" s="221"/>
      <c r="Y89" s="221"/>
      <c r="Z89" s="221"/>
      <c r="AA89" s="222"/>
      <c r="AB89" s="221"/>
      <c r="AC89" s="221"/>
      <c r="AD89" s="221"/>
      <c r="AE89" s="222"/>
      <c r="AF89" s="221"/>
      <c r="AG89" s="221"/>
      <c r="AH89" s="221"/>
      <c r="AI89" s="222"/>
      <c r="AJ89" s="221"/>
      <c r="AK89" s="221"/>
      <c r="AL89" s="221"/>
      <c r="AM89" s="222"/>
      <c r="AN89" s="221"/>
      <c r="AO89" s="221"/>
      <c r="AP89" s="221"/>
      <c r="AQ89" s="222"/>
      <c r="AR89" s="221"/>
      <c r="AS89" s="221"/>
      <c r="AT89" s="221"/>
      <c r="AU89" s="222"/>
      <c r="AV89" s="221"/>
      <c r="AW89" s="221"/>
      <c r="AX89" s="221"/>
      <c r="AY89" s="222"/>
      <c r="AZ89" s="221"/>
      <c r="BA89" s="221"/>
      <c r="BB89" s="221"/>
      <c r="BC89" s="222"/>
      <c r="BD89" s="221"/>
      <c r="BE89" s="221"/>
      <c r="BF89" s="221"/>
      <c r="BG89" s="222"/>
      <c r="BH89" s="221"/>
      <c r="BI89" s="221"/>
      <c r="BJ89" s="221"/>
      <c r="BK89" s="222">
        <v>48.8</v>
      </c>
      <c r="BL89" s="221">
        <v>48</v>
      </c>
      <c r="BM89" s="221">
        <v>41.3</v>
      </c>
      <c r="BN89" s="221">
        <v>47.1</v>
      </c>
      <c r="BO89" s="222">
        <v>92.7</v>
      </c>
      <c r="BP89" s="221">
        <v>106.6</v>
      </c>
      <c r="BQ89" s="221">
        <v>108</v>
      </c>
      <c r="BR89" s="221">
        <v>103.6</v>
      </c>
      <c r="BS89" s="222">
        <v>108.6</v>
      </c>
      <c r="BT89" s="221">
        <v>108.4</v>
      </c>
      <c r="BU89" s="221">
        <f>BT89</f>
        <v>108.4</v>
      </c>
      <c r="BV89" s="221">
        <f>BU89</f>
        <v>108.4</v>
      </c>
      <c r="BW89" s="222">
        <f>BV89</f>
        <v>108.4</v>
      </c>
      <c r="BX89" s="221">
        <v>128.30000000000001</v>
      </c>
      <c r="BY89" s="221">
        <v>135</v>
      </c>
      <c r="BZ89" s="221">
        <v>134.80000000000001</v>
      </c>
      <c r="CA89" s="222">
        <v>125.1</v>
      </c>
      <c r="CB89" s="221">
        <f>DS89</f>
        <v>125.1</v>
      </c>
      <c r="CC89" s="221">
        <v>121</v>
      </c>
      <c r="CD89" s="221">
        <v>106.5</v>
      </c>
      <c r="CE89" s="222">
        <v>103.6</v>
      </c>
      <c r="CF89" s="221">
        <v>100.2</v>
      </c>
      <c r="CG89" s="221">
        <v>75.400000000000006</v>
      </c>
      <c r="CH89" s="221">
        <v>73.900000000000006</v>
      </c>
      <c r="CI89" s="222">
        <v>70.5</v>
      </c>
      <c r="CJ89" s="221">
        <v>79.7</v>
      </c>
      <c r="CK89" s="221">
        <v>78.900000000000006</v>
      </c>
      <c r="CL89" s="221">
        <v>84.5</v>
      </c>
      <c r="CM89" s="222">
        <v>90.3</v>
      </c>
      <c r="CN89" s="221">
        <v>106.8</v>
      </c>
      <c r="CO89" s="221">
        <v>143.30000000000001</v>
      </c>
      <c r="CP89" s="221">
        <v>164.5</v>
      </c>
      <c r="CQ89" s="222">
        <v>135.69999999999999</v>
      </c>
      <c r="CR89" s="221">
        <v>132.5</v>
      </c>
      <c r="CS89" s="221">
        <v>134.30000000000001</v>
      </c>
      <c r="CT89" s="221">
        <f>156.2+147.7</f>
        <v>303.89999999999998</v>
      </c>
      <c r="CU89" s="222">
        <v>153.4</v>
      </c>
      <c r="CV89" s="202">
        <f>CU89</f>
        <v>153.4</v>
      </c>
      <c r="CW89" s="202">
        <f>CV89</f>
        <v>153.4</v>
      </c>
      <c r="CX89" s="202">
        <f>CW89</f>
        <v>153.4</v>
      </c>
      <c r="CY89" s="203">
        <f>CX89</f>
        <v>153.4</v>
      </c>
      <c r="DA89" s="542"/>
      <c r="DB89" s="542"/>
      <c r="DC89" s="542"/>
      <c r="DD89" s="542"/>
      <c r="DE89" s="542"/>
      <c r="DF89" s="542"/>
      <c r="DG89" s="542"/>
      <c r="DH89" s="542"/>
      <c r="DI89" s="542"/>
      <c r="DJ89" s="542"/>
      <c r="DK89" s="542"/>
      <c r="DL89" s="542"/>
      <c r="DM89" s="542"/>
      <c r="DN89" s="542"/>
      <c r="DO89" s="542">
        <f>BK89</f>
        <v>48.8</v>
      </c>
      <c r="DP89" s="542">
        <f>BO89</f>
        <v>92.7</v>
      </c>
      <c r="DQ89" s="542">
        <f>BS89</f>
        <v>108.6</v>
      </c>
      <c r="DR89" s="542">
        <f>BW89</f>
        <v>108.4</v>
      </c>
      <c r="DS89" s="542">
        <f>CA89</f>
        <v>125.1</v>
      </c>
      <c r="DT89" s="542">
        <f>CE89</f>
        <v>103.6</v>
      </c>
      <c r="DU89" s="542">
        <f>CI89</f>
        <v>70.5</v>
      </c>
      <c r="DV89" s="542">
        <f>CM89</f>
        <v>90.3</v>
      </c>
      <c r="DW89" s="542">
        <f>CQ89</f>
        <v>135.69999999999999</v>
      </c>
      <c r="DX89" s="542">
        <f>CU89</f>
        <v>153.4</v>
      </c>
      <c r="DY89" s="542">
        <f t="shared" ref="DY89" si="189">CY89</f>
        <v>153.4</v>
      </c>
      <c r="DZ89" s="542">
        <f>DY89</f>
        <v>153.4</v>
      </c>
      <c r="EA89" s="542">
        <f>DZ89</f>
        <v>153.4</v>
      </c>
      <c r="EB89" s="542">
        <f>EA89</f>
        <v>153.4</v>
      </c>
      <c r="EC89" s="542">
        <f>EB89</f>
        <v>153.4</v>
      </c>
      <c r="ED89" s="542">
        <f>EC89</f>
        <v>153.4</v>
      </c>
      <c r="EE89" s="199"/>
      <c r="EF89"/>
      <c r="EG89"/>
      <c r="EH89"/>
      <c r="EI89"/>
      <c r="EJ89"/>
      <c r="EK89"/>
    </row>
    <row r="90" spans="1:141" s="283" customFormat="1">
      <c r="A90" s="282"/>
      <c r="B90" s="205" t="s">
        <v>19</v>
      </c>
      <c r="C90" s="205"/>
      <c r="D90" s="206">
        <f>D79+D87+D89</f>
        <v>1122.627</v>
      </c>
      <c r="E90" s="207">
        <f t="shared" ref="E90:BC90" si="190">E79+E87+E89</f>
        <v>1225.2139999999999</v>
      </c>
      <c r="F90" s="207">
        <f t="shared" si="190"/>
        <v>1245.5999999999999</v>
      </c>
      <c r="G90" s="208">
        <f t="shared" si="190"/>
        <v>1715.1220000000001</v>
      </c>
      <c r="H90" s="207">
        <f t="shared" si="190"/>
        <v>1797.8999999999999</v>
      </c>
      <c r="I90" s="207">
        <f t="shared" si="190"/>
        <v>1855.1</v>
      </c>
      <c r="J90" s="207">
        <f t="shared" si="190"/>
        <v>2956.9999999999995</v>
      </c>
      <c r="K90" s="208">
        <f t="shared" si="190"/>
        <v>3061.3</v>
      </c>
      <c r="L90" s="207">
        <f t="shared" si="190"/>
        <v>1797.8999999999999</v>
      </c>
      <c r="M90" s="207">
        <f t="shared" si="190"/>
        <v>3835.6</v>
      </c>
      <c r="N90" s="207">
        <f t="shared" si="190"/>
        <v>3863.4000000000005</v>
      </c>
      <c r="O90" s="208">
        <f t="shared" si="190"/>
        <v>3816.8</v>
      </c>
      <c r="P90" s="207">
        <f t="shared" si="190"/>
        <v>3860.3999999999996</v>
      </c>
      <c r="Q90" s="207">
        <f t="shared" si="190"/>
        <v>4014.9000000000005</v>
      </c>
      <c r="R90" s="207">
        <f t="shared" si="190"/>
        <v>4290.7</v>
      </c>
      <c r="S90" s="208">
        <f t="shared" si="190"/>
        <v>4459.1000000000004</v>
      </c>
      <c r="T90" s="207">
        <f t="shared" si="190"/>
        <v>4736.8</v>
      </c>
      <c r="U90" s="207">
        <f t="shared" si="190"/>
        <v>5115.9000000000005</v>
      </c>
      <c r="V90" s="207">
        <f t="shared" si="190"/>
        <v>5479.2999999999993</v>
      </c>
      <c r="W90" s="208">
        <f t="shared" si="190"/>
        <v>5677.3</v>
      </c>
      <c r="X90" s="207">
        <f t="shared" si="190"/>
        <v>5783.7</v>
      </c>
      <c r="Y90" s="207">
        <f t="shared" si="190"/>
        <v>8703.4000000000015</v>
      </c>
      <c r="Z90" s="207">
        <f t="shared" si="190"/>
        <v>9025.6999999999989</v>
      </c>
      <c r="AA90" s="208">
        <f t="shared" si="190"/>
        <v>8725.6</v>
      </c>
      <c r="AB90" s="207">
        <f t="shared" si="190"/>
        <v>9122</v>
      </c>
      <c r="AC90" s="207">
        <f t="shared" si="190"/>
        <v>8909.2000000000007</v>
      </c>
      <c r="AD90" s="207">
        <f t="shared" si="190"/>
        <v>8681.7000000000007</v>
      </c>
      <c r="AE90" s="208">
        <f t="shared" si="190"/>
        <v>8375.5</v>
      </c>
      <c r="AF90" s="207">
        <f t="shared" si="190"/>
        <v>8186.6</v>
      </c>
      <c r="AG90" s="207">
        <f t="shared" si="190"/>
        <v>8009.8000000000011</v>
      </c>
      <c r="AH90" s="207">
        <f t="shared" si="190"/>
        <v>7812.6</v>
      </c>
      <c r="AI90" s="208">
        <f t="shared" si="190"/>
        <v>7579.2000000000007</v>
      </c>
      <c r="AJ90" s="207">
        <f t="shared" si="190"/>
        <v>7818.4</v>
      </c>
      <c r="AK90" s="207">
        <f t="shared" si="190"/>
        <v>7747</v>
      </c>
      <c r="AL90" s="207">
        <f t="shared" si="190"/>
        <v>7693.5000000000009</v>
      </c>
      <c r="AM90" s="208">
        <f t="shared" si="190"/>
        <v>7483</v>
      </c>
      <c r="AN90" s="207">
        <f t="shared" si="190"/>
        <v>8017.9</v>
      </c>
      <c r="AO90" s="207">
        <f t="shared" si="190"/>
        <v>8365</v>
      </c>
      <c r="AP90" s="207">
        <f t="shared" si="190"/>
        <v>8353.4000000000015</v>
      </c>
      <c r="AQ90" s="208">
        <f t="shared" si="190"/>
        <v>8571</v>
      </c>
      <c r="AR90" s="207">
        <f t="shared" si="190"/>
        <v>8927.9</v>
      </c>
      <c r="AS90" s="207">
        <f t="shared" si="190"/>
        <v>8931</v>
      </c>
      <c r="AT90" s="207">
        <f t="shared" si="190"/>
        <v>9576.4999999999982</v>
      </c>
      <c r="AU90" s="208">
        <f t="shared" si="190"/>
        <v>9944.3999999999978</v>
      </c>
      <c r="AV90" s="207">
        <f t="shared" si="190"/>
        <v>9821.4</v>
      </c>
      <c r="AW90" s="207">
        <f t="shared" si="190"/>
        <v>9089.9</v>
      </c>
      <c r="AX90" s="207">
        <f t="shared" si="190"/>
        <v>8979.6</v>
      </c>
      <c r="AY90" s="208">
        <f t="shared" si="190"/>
        <v>8288.4</v>
      </c>
      <c r="AZ90" s="207">
        <f t="shared" si="190"/>
        <v>8481.2999999999993</v>
      </c>
      <c r="BA90" s="207">
        <f t="shared" si="190"/>
        <v>8774</v>
      </c>
      <c r="BB90" s="207">
        <f t="shared" si="190"/>
        <v>8451.4</v>
      </c>
      <c r="BC90" s="208">
        <f t="shared" si="190"/>
        <v>7850.5</v>
      </c>
      <c r="BD90" s="207">
        <f t="shared" ref="BD90:CS90" si="191">BD79+BD87+BD89</f>
        <v>7661</v>
      </c>
      <c r="BE90" s="207">
        <f t="shared" si="191"/>
        <v>7921.8</v>
      </c>
      <c r="BF90" s="207">
        <f t="shared" si="191"/>
        <v>7944.7</v>
      </c>
      <c r="BG90" s="208">
        <f t="shared" si="191"/>
        <v>7800.4</v>
      </c>
      <c r="BH90" s="207">
        <f t="shared" si="191"/>
        <v>8283.6</v>
      </c>
      <c r="BI90" s="207">
        <f t="shared" si="191"/>
        <v>8347.6</v>
      </c>
      <c r="BJ90" s="207">
        <f t="shared" si="191"/>
        <v>7655.4</v>
      </c>
      <c r="BK90" s="208">
        <f t="shared" si="191"/>
        <v>6872.9</v>
      </c>
      <c r="BL90" s="207">
        <f t="shared" si="191"/>
        <v>6438.9</v>
      </c>
      <c r="BM90" s="207">
        <f t="shared" si="191"/>
        <v>6371.8000000000011</v>
      </c>
      <c r="BN90" s="207">
        <f t="shared" si="191"/>
        <v>7230.3</v>
      </c>
      <c r="BO90" s="208">
        <f t="shared" si="191"/>
        <v>6073.2999999999984</v>
      </c>
      <c r="BP90" s="207">
        <f t="shared" si="191"/>
        <v>6233.3000000000011</v>
      </c>
      <c r="BQ90" s="207">
        <f t="shared" si="191"/>
        <v>6305.2999999999993</v>
      </c>
      <c r="BR90" s="207">
        <f t="shared" si="191"/>
        <v>6636.3</v>
      </c>
      <c r="BS90" s="208">
        <f t="shared" si="191"/>
        <v>6621.1</v>
      </c>
      <c r="BT90" s="207">
        <f t="shared" si="191"/>
        <v>7363</v>
      </c>
      <c r="BU90" s="207">
        <f t="shared" si="191"/>
        <v>7539</v>
      </c>
      <c r="BV90" s="207">
        <f t="shared" si="191"/>
        <v>7215.9</v>
      </c>
      <c r="BW90" s="208">
        <f t="shared" si="191"/>
        <v>7010.9</v>
      </c>
      <c r="BX90" s="207">
        <f t="shared" si="191"/>
        <v>7536.0000000000009</v>
      </c>
      <c r="BY90" s="207">
        <f t="shared" si="191"/>
        <v>7503.5999999999995</v>
      </c>
      <c r="BZ90" s="207">
        <f t="shared" si="191"/>
        <v>7462.2999999999993</v>
      </c>
      <c r="CA90" s="208">
        <f t="shared" si="191"/>
        <v>8194.0999999999985</v>
      </c>
      <c r="CB90" s="207">
        <f t="shared" si="191"/>
        <v>8824.2000000000007</v>
      </c>
      <c r="CC90" s="207">
        <f t="shared" si="191"/>
        <v>8166.7999999999993</v>
      </c>
      <c r="CD90" s="207">
        <f t="shared" si="191"/>
        <v>8464.2000000000007</v>
      </c>
      <c r="CE90" s="208">
        <f t="shared" si="191"/>
        <v>8330.9</v>
      </c>
      <c r="CF90" s="207">
        <f t="shared" si="191"/>
        <v>9078.2000000000007</v>
      </c>
      <c r="CG90" s="207">
        <f t="shared" si="191"/>
        <v>8961.8000000000011</v>
      </c>
      <c r="CH90" s="207">
        <f t="shared" si="191"/>
        <v>8691.1999999999989</v>
      </c>
      <c r="CI90" s="208">
        <f t="shared" si="191"/>
        <v>9150.2000000000007</v>
      </c>
      <c r="CJ90" s="207">
        <f t="shared" si="191"/>
        <v>9618.4000000000015</v>
      </c>
      <c r="CK90" s="207">
        <f t="shared" si="191"/>
        <v>9825.4</v>
      </c>
      <c r="CL90" s="207">
        <f t="shared" si="191"/>
        <v>9638.7000000000007</v>
      </c>
      <c r="CM90" s="208">
        <f t="shared" si="191"/>
        <v>9405.7999999999993</v>
      </c>
      <c r="CN90" s="207">
        <f t="shared" si="191"/>
        <v>9959.5</v>
      </c>
      <c r="CO90" s="207">
        <f>CO79+CO87+CO89</f>
        <v>10140.499999999998</v>
      </c>
      <c r="CP90" s="207">
        <f t="shared" si="191"/>
        <v>10277.400000000001</v>
      </c>
      <c r="CQ90" s="208">
        <f t="shared" si="191"/>
        <v>9900.6</v>
      </c>
      <c r="CR90" s="207">
        <f t="shared" si="191"/>
        <v>10600.5</v>
      </c>
      <c r="CS90" s="207">
        <f t="shared" si="191"/>
        <v>11237.199999999999</v>
      </c>
      <c r="CT90" s="207">
        <f>CT79+CT87+CT89</f>
        <v>11712</v>
      </c>
      <c r="CU90" s="208">
        <f>CU79+CU87+CU89</f>
        <v>11945.9</v>
      </c>
      <c r="CV90" s="207">
        <f t="shared" ref="CV90:CY90" si="192">CV79+CV87+CV89</f>
        <v>12609.426260825592</v>
      </c>
      <c r="CW90" s="207">
        <f t="shared" si="192"/>
        <v>12891.756003419008</v>
      </c>
      <c r="CX90" s="207">
        <f t="shared" si="192"/>
        <v>13055.27292519689</v>
      </c>
      <c r="CY90" s="208">
        <f t="shared" si="192"/>
        <v>13192.406497399048</v>
      </c>
      <c r="DA90" s="557">
        <f t="shared" ref="DA90:EA90" si="193">DA79+DA87+DA89</f>
        <v>1715.1220000000001</v>
      </c>
      <c r="DB90" s="557">
        <f t="shared" si="193"/>
        <v>3061.3</v>
      </c>
      <c r="DC90" s="557">
        <f t="shared" si="193"/>
        <v>3816.8</v>
      </c>
      <c r="DD90" s="557">
        <f t="shared" si="193"/>
        <v>4459.1000000000004</v>
      </c>
      <c r="DE90" s="557">
        <f t="shared" si="193"/>
        <v>5677.3</v>
      </c>
      <c r="DF90" s="557">
        <f t="shared" si="193"/>
        <v>8725.6</v>
      </c>
      <c r="DG90" s="557">
        <f t="shared" si="193"/>
        <v>8375.5</v>
      </c>
      <c r="DH90" s="557">
        <f t="shared" si="193"/>
        <v>7579.2000000000007</v>
      </c>
      <c r="DI90" s="557">
        <f t="shared" si="193"/>
        <v>7483</v>
      </c>
      <c r="DJ90" s="557">
        <f t="shared" si="193"/>
        <v>8571</v>
      </c>
      <c r="DK90" s="557">
        <f t="shared" si="193"/>
        <v>9944.3999999999978</v>
      </c>
      <c r="DL90" s="557">
        <f t="shared" si="193"/>
        <v>8288.4</v>
      </c>
      <c r="DM90" s="557">
        <f t="shared" si="193"/>
        <v>7850.5</v>
      </c>
      <c r="DN90" s="557">
        <f t="shared" si="193"/>
        <v>7800.4</v>
      </c>
      <c r="DO90" s="557">
        <f t="shared" si="193"/>
        <v>6872.9</v>
      </c>
      <c r="DP90" s="557">
        <f t="shared" si="193"/>
        <v>6073.2999999999984</v>
      </c>
      <c r="DQ90" s="557">
        <f t="shared" si="193"/>
        <v>6621.1</v>
      </c>
      <c r="DR90" s="557">
        <f t="shared" si="193"/>
        <v>7010.9</v>
      </c>
      <c r="DS90" s="557">
        <f t="shared" si="193"/>
        <v>8194.0999999999985</v>
      </c>
      <c r="DT90" s="557">
        <f t="shared" si="193"/>
        <v>8330.9</v>
      </c>
      <c r="DU90" s="557">
        <f t="shared" si="193"/>
        <v>9150.2000000000007</v>
      </c>
      <c r="DV90" s="557">
        <f t="shared" si="193"/>
        <v>9405.7999999999993</v>
      </c>
      <c r="DW90" s="557">
        <f t="shared" si="193"/>
        <v>9900.6</v>
      </c>
      <c r="DX90" s="557">
        <f t="shared" si="193"/>
        <v>11945.9</v>
      </c>
      <c r="DY90" s="557">
        <f t="shared" ref="DY90" si="194">DY79+DY87+DY89</f>
        <v>13192.406497399048</v>
      </c>
      <c r="DZ90" s="207">
        <f t="shared" si="193"/>
        <v>14334.288757263757</v>
      </c>
      <c r="EA90" s="207">
        <f t="shared" si="193"/>
        <v>15443.211145056446</v>
      </c>
      <c r="EB90" s="207">
        <f t="shared" ref="EB90:ED90" si="195">EB79+EB87+EB89</f>
        <v>16533.384243443074</v>
      </c>
      <c r="EC90" s="207">
        <f t="shared" si="195"/>
        <v>17550.057945174412</v>
      </c>
      <c r="ED90" s="207">
        <f t="shared" si="195"/>
        <v>18457.347513066838</v>
      </c>
      <c r="EE90" s="205"/>
      <c r="EF90"/>
      <c r="EG90"/>
      <c r="EH90"/>
      <c r="EI90"/>
      <c r="EJ90"/>
      <c r="EK90"/>
    </row>
    <row r="91" spans="1:141" s="137" customFormat="1">
      <c r="A91" s="193"/>
      <c r="B91" s="199"/>
      <c r="C91" s="199"/>
      <c r="D91" s="213"/>
      <c r="E91" s="197"/>
      <c r="F91" s="197"/>
      <c r="G91" s="198"/>
      <c r="H91" s="197"/>
      <c r="I91" s="197"/>
      <c r="J91" s="197"/>
      <c r="K91" s="198"/>
      <c r="L91" s="197"/>
      <c r="M91" s="197"/>
      <c r="N91" s="197"/>
      <c r="O91" s="198"/>
      <c r="P91" s="197"/>
      <c r="Q91" s="197"/>
      <c r="R91" s="197"/>
      <c r="S91" s="198"/>
      <c r="T91" s="197"/>
      <c r="U91" s="197"/>
      <c r="V91" s="197"/>
      <c r="W91" s="198"/>
      <c r="X91" s="197"/>
      <c r="Y91" s="197"/>
      <c r="Z91" s="197"/>
      <c r="AA91" s="198"/>
      <c r="AB91" s="197"/>
      <c r="AC91" s="197"/>
      <c r="AD91" s="197"/>
      <c r="AE91" s="198"/>
      <c r="AF91" s="197"/>
      <c r="AG91" s="197"/>
      <c r="AH91" s="197"/>
      <c r="AI91" s="198"/>
      <c r="AJ91" s="197"/>
      <c r="AK91" s="197"/>
      <c r="AL91" s="197"/>
      <c r="AM91" s="198"/>
      <c r="AN91" s="197"/>
      <c r="AO91" s="197"/>
      <c r="AP91" s="197"/>
      <c r="AQ91" s="198"/>
      <c r="AR91" s="197"/>
      <c r="AS91" s="197"/>
      <c r="AT91" s="197"/>
      <c r="AU91" s="198"/>
      <c r="AV91" s="197"/>
      <c r="AW91" s="197"/>
      <c r="AX91" s="197"/>
      <c r="AY91" s="198"/>
      <c r="AZ91" s="197"/>
      <c r="BA91" s="197"/>
      <c r="BB91" s="197"/>
      <c r="BC91" s="198"/>
      <c r="BD91" s="197"/>
      <c r="BE91" s="197"/>
      <c r="BF91" s="197"/>
      <c r="BG91" s="198"/>
      <c r="BH91" s="197"/>
      <c r="BI91" s="197"/>
      <c r="BJ91" s="197"/>
      <c r="BK91" s="198"/>
      <c r="BL91" s="197"/>
      <c r="BM91" s="197"/>
      <c r="BN91" s="197"/>
      <c r="BO91" s="198"/>
      <c r="BP91" s="197"/>
      <c r="BQ91" s="197"/>
      <c r="BR91" s="197"/>
      <c r="BS91" s="198"/>
      <c r="BT91" s="197"/>
      <c r="BU91" s="197"/>
      <c r="BV91" s="197"/>
      <c r="BW91" s="198"/>
      <c r="BX91" s="197"/>
      <c r="BY91" s="197"/>
      <c r="BZ91" s="197"/>
      <c r="CA91" s="198"/>
      <c r="CB91" s="197"/>
      <c r="CC91" s="197"/>
      <c r="CD91" s="197"/>
      <c r="CE91" s="198"/>
      <c r="CF91" s="197"/>
      <c r="CG91" s="197"/>
      <c r="CH91" s="197"/>
      <c r="CI91" s="198"/>
      <c r="CJ91" s="197"/>
      <c r="CK91" s="197"/>
      <c r="CL91" s="197"/>
      <c r="CM91" s="198"/>
      <c r="CN91" s="197"/>
      <c r="CO91" s="197"/>
      <c r="CP91" s="197"/>
      <c r="CQ91" s="198"/>
      <c r="CR91" s="197"/>
      <c r="CS91" s="197"/>
      <c r="CT91" s="197"/>
      <c r="CU91" s="198"/>
      <c r="CV91" s="197"/>
      <c r="CW91" s="197"/>
      <c r="CX91" s="197"/>
      <c r="CY91" s="198"/>
      <c r="DA91" s="197"/>
      <c r="DB91" s="197"/>
      <c r="DC91" s="197"/>
      <c r="DD91" s="197"/>
      <c r="DE91" s="197"/>
      <c r="DF91" s="197"/>
      <c r="DG91" s="197"/>
      <c r="DH91" s="197"/>
      <c r="DI91" s="197"/>
      <c r="DJ91" s="197"/>
      <c r="DK91" s="197"/>
      <c r="DL91" s="197"/>
      <c r="DM91" s="197"/>
      <c r="DN91" s="197"/>
      <c r="DO91" s="197"/>
      <c r="DP91" s="197"/>
      <c r="DQ91" s="197"/>
      <c r="DR91" s="197"/>
      <c r="DS91" s="197"/>
      <c r="DT91" s="197"/>
      <c r="DU91" s="197"/>
      <c r="DV91" s="197"/>
      <c r="DW91" s="197"/>
      <c r="DX91" s="197"/>
      <c r="DY91" s="197"/>
      <c r="DZ91" s="197"/>
      <c r="EA91" s="197"/>
      <c r="EB91" s="197"/>
      <c r="EC91" s="197"/>
      <c r="ED91" s="197"/>
      <c r="EE91" s="199"/>
      <c r="EF91"/>
      <c r="EG91"/>
      <c r="EH91"/>
      <c r="EI91"/>
      <c r="EJ91"/>
      <c r="EK91"/>
    </row>
    <row r="92" spans="1:141" s="281" customFormat="1">
      <c r="A92" s="231"/>
      <c r="B92" s="280" t="s">
        <v>20</v>
      </c>
      <c r="C92" s="280"/>
      <c r="D92" s="284">
        <f>ROUND(D68-D90,2)</f>
        <v>0.12</v>
      </c>
      <c r="E92" s="285">
        <f t="shared" ref="E92:BC92" si="196">ROUND(E68-E90,2)</f>
        <v>0.01</v>
      </c>
      <c r="F92" s="285">
        <f t="shared" si="196"/>
        <v>0</v>
      </c>
      <c r="G92" s="286">
        <f t="shared" si="196"/>
        <v>-0.02</v>
      </c>
      <c r="H92" s="285">
        <f t="shared" si="196"/>
        <v>0</v>
      </c>
      <c r="I92" s="285">
        <f t="shared" si="196"/>
        <v>0</v>
      </c>
      <c r="J92" s="285">
        <f t="shared" si="196"/>
        <v>0</v>
      </c>
      <c r="K92" s="286">
        <f t="shared" si="196"/>
        <v>0</v>
      </c>
      <c r="L92" s="285">
        <f t="shared" si="196"/>
        <v>0</v>
      </c>
      <c r="M92" s="285">
        <f t="shared" si="196"/>
        <v>0</v>
      </c>
      <c r="N92" s="285">
        <f t="shared" si="196"/>
        <v>0</v>
      </c>
      <c r="O92" s="286">
        <f t="shared" si="196"/>
        <v>0</v>
      </c>
      <c r="P92" s="285">
        <f t="shared" si="196"/>
        <v>0</v>
      </c>
      <c r="Q92" s="285">
        <f t="shared" si="196"/>
        <v>0</v>
      </c>
      <c r="R92" s="285">
        <f t="shared" si="196"/>
        <v>0</v>
      </c>
      <c r="S92" s="286">
        <f t="shared" si="196"/>
        <v>0</v>
      </c>
      <c r="T92" s="285">
        <f t="shared" si="196"/>
        <v>0</v>
      </c>
      <c r="U92" s="285">
        <f t="shared" si="196"/>
        <v>0</v>
      </c>
      <c r="V92" s="285">
        <f t="shared" si="196"/>
        <v>0</v>
      </c>
      <c r="W92" s="286">
        <f t="shared" si="196"/>
        <v>0</v>
      </c>
      <c r="X92" s="285">
        <f t="shared" si="196"/>
        <v>0</v>
      </c>
      <c r="Y92" s="285">
        <f t="shared" si="196"/>
        <v>0</v>
      </c>
      <c r="Z92" s="285">
        <f t="shared" si="196"/>
        <v>0</v>
      </c>
      <c r="AA92" s="286">
        <f t="shared" si="196"/>
        <v>0</v>
      </c>
      <c r="AB92" s="285">
        <f t="shared" si="196"/>
        <v>0</v>
      </c>
      <c r="AC92" s="285">
        <f t="shared" si="196"/>
        <v>0</v>
      </c>
      <c r="AD92" s="285">
        <f t="shared" si="196"/>
        <v>0</v>
      </c>
      <c r="AE92" s="286">
        <f t="shared" si="196"/>
        <v>0</v>
      </c>
      <c r="AF92" s="285">
        <f t="shared" si="196"/>
        <v>0</v>
      </c>
      <c r="AG92" s="285">
        <f t="shared" si="196"/>
        <v>0</v>
      </c>
      <c r="AH92" s="285">
        <f t="shared" si="196"/>
        <v>-0.2</v>
      </c>
      <c r="AI92" s="286">
        <f t="shared" si="196"/>
        <v>0</v>
      </c>
      <c r="AJ92" s="285">
        <f t="shared" si="196"/>
        <v>0</v>
      </c>
      <c r="AK92" s="285">
        <f t="shared" si="196"/>
        <v>0</v>
      </c>
      <c r="AL92" s="285">
        <f t="shared" si="196"/>
        <v>0</v>
      </c>
      <c r="AM92" s="286">
        <f t="shared" si="196"/>
        <v>0</v>
      </c>
      <c r="AN92" s="285">
        <f t="shared" si="196"/>
        <v>0</v>
      </c>
      <c r="AO92" s="285">
        <f t="shared" si="196"/>
        <v>0</v>
      </c>
      <c r="AP92" s="285">
        <f t="shared" si="196"/>
        <v>0</v>
      </c>
      <c r="AQ92" s="286">
        <f t="shared" si="196"/>
        <v>0</v>
      </c>
      <c r="AR92" s="285">
        <f t="shared" si="196"/>
        <v>0</v>
      </c>
      <c r="AS92" s="285">
        <f t="shared" si="196"/>
        <v>0</v>
      </c>
      <c r="AT92" s="285">
        <f t="shared" si="196"/>
        <v>0</v>
      </c>
      <c r="AU92" s="286">
        <f t="shared" si="196"/>
        <v>0</v>
      </c>
      <c r="AV92" s="285">
        <f t="shared" si="196"/>
        <v>0</v>
      </c>
      <c r="AW92" s="285">
        <f t="shared" si="196"/>
        <v>0</v>
      </c>
      <c r="AX92" s="285">
        <f t="shared" si="196"/>
        <v>0</v>
      </c>
      <c r="AY92" s="286">
        <f t="shared" si="196"/>
        <v>0</v>
      </c>
      <c r="AZ92" s="285">
        <f t="shared" si="196"/>
        <v>0</v>
      </c>
      <c r="BA92" s="285">
        <f t="shared" si="196"/>
        <v>0</v>
      </c>
      <c r="BB92" s="285">
        <f t="shared" si="196"/>
        <v>0</v>
      </c>
      <c r="BC92" s="286">
        <f t="shared" si="196"/>
        <v>0</v>
      </c>
      <c r="BD92" s="285">
        <f t="shared" ref="BD92:CS92" si="197">ROUND(BD68-BD90,2)</f>
        <v>0</v>
      </c>
      <c r="BE92" s="285">
        <f t="shared" si="197"/>
        <v>0</v>
      </c>
      <c r="BF92" s="285">
        <f t="shared" si="197"/>
        <v>0</v>
      </c>
      <c r="BG92" s="286">
        <f t="shared" si="197"/>
        <v>0</v>
      </c>
      <c r="BH92" s="285">
        <f t="shared" si="197"/>
        <v>0</v>
      </c>
      <c r="BI92" s="285">
        <f t="shared" si="197"/>
        <v>0</v>
      </c>
      <c r="BJ92" s="285">
        <f t="shared" si="197"/>
        <v>0</v>
      </c>
      <c r="BK92" s="286">
        <f t="shared" si="197"/>
        <v>0</v>
      </c>
      <c r="BL92" s="285">
        <f t="shared" si="197"/>
        <v>0</v>
      </c>
      <c r="BM92" s="285">
        <f t="shared" si="197"/>
        <v>0</v>
      </c>
      <c r="BN92" s="285">
        <f t="shared" si="197"/>
        <v>0</v>
      </c>
      <c r="BO92" s="286">
        <f t="shared" si="197"/>
        <v>0</v>
      </c>
      <c r="BP92" s="285">
        <f t="shared" si="197"/>
        <v>0</v>
      </c>
      <c r="BQ92" s="285">
        <f t="shared" si="197"/>
        <v>0</v>
      </c>
      <c r="BR92" s="285">
        <f t="shared" si="197"/>
        <v>0</v>
      </c>
      <c r="BS92" s="286">
        <f t="shared" si="197"/>
        <v>0</v>
      </c>
      <c r="BT92" s="285">
        <f t="shared" si="197"/>
        <v>0</v>
      </c>
      <c r="BU92" s="285">
        <f t="shared" si="197"/>
        <v>0</v>
      </c>
      <c r="BV92" s="285">
        <f t="shared" si="197"/>
        <v>0</v>
      </c>
      <c r="BW92" s="286">
        <f t="shared" si="197"/>
        <v>0</v>
      </c>
      <c r="BX92" s="285">
        <f t="shared" si="197"/>
        <v>0</v>
      </c>
      <c r="BY92" s="285">
        <f t="shared" si="197"/>
        <v>0</v>
      </c>
      <c r="BZ92" s="285">
        <f t="shared" si="197"/>
        <v>0</v>
      </c>
      <c r="CA92" s="286">
        <f t="shared" si="197"/>
        <v>0</v>
      </c>
      <c r="CB92" s="285">
        <f t="shared" si="197"/>
        <v>0</v>
      </c>
      <c r="CC92" s="285">
        <f t="shared" si="197"/>
        <v>0</v>
      </c>
      <c r="CD92" s="285">
        <f t="shared" si="197"/>
        <v>0</v>
      </c>
      <c r="CE92" s="286">
        <f t="shared" si="197"/>
        <v>0</v>
      </c>
      <c r="CF92" s="285">
        <f t="shared" si="197"/>
        <v>0</v>
      </c>
      <c r="CG92" s="285">
        <f t="shared" si="197"/>
        <v>0</v>
      </c>
      <c r="CH92" s="285">
        <f t="shared" si="197"/>
        <v>0</v>
      </c>
      <c r="CI92" s="286">
        <f t="shared" si="197"/>
        <v>0</v>
      </c>
      <c r="CJ92" s="285">
        <f t="shared" si="197"/>
        <v>0</v>
      </c>
      <c r="CK92" s="285">
        <f t="shared" si="197"/>
        <v>0</v>
      </c>
      <c r="CL92" s="285">
        <f t="shared" si="197"/>
        <v>0</v>
      </c>
      <c r="CM92" s="286">
        <f t="shared" si="197"/>
        <v>0</v>
      </c>
      <c r="CN92" s="285">
        <f t="shared" si="197"/>
        <v>0</v>
      </c>
      <c r="CO92" s="285">
        <f t="shared" si="197"/>
        <v>0</v>
      </c>
      <c r="CP92" s="285">
        <f t="shared" si="197"/>
        <v>0</v>
      </c>
      <c r="CQ92" s="286">
        <f t="shared" si="197"/>
        <v>0</v>
      </c>
      <c r="CR92" s="285">
        <f t="shared" si="197"/>
        <v>0</v>
      </c>
      <c r="CS92" s="285">
        <f t="shared" si="197"/>
        <v>0</v>
      </c>
      <c r="CT92" s="285">
        <f>ROUND(CT68-CT90,2)</f>
        <v>0</v>
      </c>
      <c r="CU92" s="286">
        <f>ROUND(CU68-CU90,2)</f>
        <v>0</v>
      </c>
      <c r="CV92" s="285">
        <f t="shared" ref="CV92:CY92" si="198">ROUND(CV68-CV90,2)</f>
        <v>0</v>
      </c>
      <c r="CW92" s="285">
        <f t="shared" si="198"/>
        <v>0</v>
      </c>
      <c r="CX92" s="285">
        <f t="shared" si="198"/>
        <v>0</v>
      </c>
      <c r="CY92" s="286">
        <f t="shared" si="198"/>
        <v>0</v>
      </c>
      <c r="DA92" s="285">
        <f t="shared" ref="DA92:EA92" si="199">ROUND(DA68-DA90,2)</f>
        <v>-0.02</v>
      </c>
      <c r="DB92" s="285">
        <f t="shared" si="199"/>
        <v>0</v>
      </c>
      <c r="DC92" s="285">
        <f t="shared" si="199"/>
        <v>0</v>
      </c>
      <c r="DD92" s="285">
        <f t="shared" si="199"/>
        <v>0</v>
      </c>
      <c r="DE92" s="285">
        <f t="shared" si="199"/>
        <v>0</v>
      </c>
      <c r="DF92" s="285">
        <f t="shared" si="199"/>
        <v>0</v>
      </c>
      <c r="DG92" s="285">
        <f t="shared" si="199"/>
        <v>0</v>
      </c>
      <c r="DH92" s="285">
        <f t="shared" si="199"/>
        <v>0</v>
      </c>
      <c r="DI92" s="285">
        <f t="shared" si="199"/>
        <v>0</v>
      </c>
      <c r="DJ92" s="285">
        <f t="shared" si="199"/>
        <v>0</v>
      </c>
      <c r="DK92" s="285">
        <f t="shared" si="199"/>
        <v>0</v>
      </c>
      <c r="DL92" s="285">
        <f t="shared" si="199"/>
        <v>0</v>
      </c>
      <c r="DM92" s="285">
        <f t="shared" si="199"/>
        <v>0</v>
      </c>
      <c r="DN92" s="285">
        <f t="shared" si="199"/>
        <v>0</v>
      </c>
      <c r="DO92" s="285">
        <f t="shared" si="199"/>
        <v>0</v>
      </c>
      <c r="DP92" s="285">
        <f t="shared" si="199"/>
        <v>0</v>
      </c>
      <c r="DQ92" s="285">
        <f t="shared" si="199"/>
        <v>0</v>
      </c>
      <c r="DR92" s="285">
        <f t="shared" si="199"/>
        <v>0</v>
      </c>
      <c r="DS92" s="285">
        <f t="shared" si="199"/>
        <v>0</v>
      </c>
      <c r="DT92" s="285">
        <f t="shared" si="199"/>
        <v>0</v>
      </c>
      <c r="DU92" s="285">
        <f t="shared" si="199"/>
        <v>0</v>
      </c>
      <c r="DV92" s="285">
        <f t="shared" si="199"/>
        <v>0</v>
      </c>
      <c r="DW92" s="285">
        <f t="shared" si="199"/>
        <v>0</v>
      </c>
      <c r="DX92" s="285">
        <f t="shared" si="199"/>
        <v>0</v>
      </c>
      <c r="DY92" s="285">
        <f t="shared" ref="DY92" si="200">ROUND(DY68-DY90,2)</f>
        <v>0</v>
      </c>
      <c r="DZ92" s="285">
        <f t="shared" ca="1" si="199"/>
        <v>0</v>
      </c>
      <c r="EA92" s="285">
        <f t="shared" ca="1" si="199"/>
        <v>0</v>
      </c>
      <c r="EB92" s="285">
        <f t="shared" ref="EB92:ED92" ca="1" si="201">ROUND(EB68-EB90,2)</f>
        <v>0</v>
      </c>
      <c r="EC92" s="285">
        <f t="shared" ca="1" si="201"/>
        <v>0</v>
      </c>
      <c r="ED92" s="285">
        <f t="shared" ca="1" si="201"/>
        <v>0</v>
      </c>
      <c r="EE92" s="280"/>
      <c r="EF92"/>
      <c r="EG92"/>
      <c r="EH92"/>
      <c r="EI92"/>
      <c r="EJ92"/>
      <c r="EK92"/>
    </row>
    <row r="93" spans="1:141" s="137" customFormat="1">
      <c r="A93" s="193"/>
      <c r="B93" s="199"/>
      <c r="C93" s="199"/>
      <c r="D93" s="223"/>
      <c r="E93" s="199"/>
      <c r="F93" s="199"/>
      <c r="G93" s="211"/>
      <c r="H93" s="199"/>
      <c r="I93" s="199"/>
      <c r="J93" s="199"/>
      <c r="K93" s="211"/>
      <c r="L93" s="199"/>
      <c r="M93" s="199"/>
      <c r="N93" s="199"/>
      <c r="O93" s="211"/>
      <c r="P93" s="199"/>
      <c r="Q93" s="199"/>
      <c r="R93" s="199"/>
      <c r="S93" s="211"/>
      <c r="T93" s="199"/>
      <c r="U93" s="199"/>
      <c r="V93" s="199"/>
      <c r="W93" s="211"/>
      <c r="X93" s="199"/>
      <c r="Y93" s="199"/>
      <c r="Z93" s="199"/>
      <c r="AA93" s="211"/>
      <c r="AB93" s="199"/>
      <c r="AC93" s="199"/>
      <c r="AD93" s="199"/>
      <c r="AE93" s="211"/>
      <c r="AF93" s="199"/>
      <c r="AG93" s="199"/>
      <c r="AH93" s="199"/>
      <c r="AI93" s="211"/>
      <c r="AJ93" s="199"/>
      <c r="AK93" s="199"/>
      <c r="AL93" s="199"/>
      <c r="AM93" s="211"/>
      <c r="AN93" s="233"/>
      <c r="AO93" s="233"/>
      <c r="AP93" s="233"/>
      <c r="AQ93" s="232"/>
      <c r="AR93" s="233"/>
      <c r="AS93" s="233"/>
      <c r="AT93" s="233"/>
      <c r="AU93" s="232"/>
      <c r="AV93" s="233"/>
      <c r="AW93" s="233"/>
      <c r="AX93" s="233"/>
      <c r="AY93" s="232"/>
      <c r="AZ93" s="233"/>
      <c r="BA93" s="233"/>
      <c r="BB93" s="233"/>
      <c r="BC93" s="232"/>
      <c r="BD93" s="233"/>
      <c r="BE93" s="233"/>
      <c r="BF93" s="233"/>
      <c r="BG93" s="232"/>
      <c r="BH93" s="233"/>
      <c r="BI93" s="233"/>
      <c r="BJ93" s="233"/>
      <c r="BK93" s="232"/>
      <c r="BL93" s="233"/>
      <c r="BM93" s="233"/>
      <c r="BN93" s="233"/>
      <c r="BO93" s="232"/>
      <c r="BP93" s="233"/>
      <c r="BQ93" s="233"/>
      <c r="BR93" s="233"/>
      <c r="BS93" s="232"/>
      <c r="BT93" s="233"/>
      <c r="BU93" s="233"/>
      <c r="BV93" s="233"/>
      <c r="BW93" s="232"/>
      <c r="BX93" s="233"/>
      <c r="BY93" s="233"/>
      <c r="BZ93" s="233"/>
      <c r="CA93" s="232"/>
      <c r="CB93" s="233"/>
      <c r="CC93" s="233"/>
      <c r="CD93" s="233"/>
      <c r="CE93" s="232"/>
      <c r="CF93" s="233"/>
      <c r="CG93" s="233"/>
      <c r="CH93" s="233"/>
      <c r="CI93" s="232"/>
      <c r="CJ93" s="233"/>
      <c r="CK93" s="233"/>
      <c r="CL93" s="233"/>
      <c r="CM93" s="232"/>
      <c r="CN93" s="318"/>
      <c r="CO93" s="318"/>
      <c r="CP93" s="318"/>
      <c r="CQ93" s="589"/>
      <c r="CR93" s="318"/>
      <c r="CS93" s="318"/>
      <c r="CT93" s="318"/>
      <c r="CU93" s="589"/>
      <c r="CV93" s="318"/>
      <c r="CW93" s="318"/>
      <c r="CX93" s="318"/>
      <c r="CY93" s="589"/>
      <c r="DA93" s="233"/>
      <c r="DB93" s="233"/>
      <c r="DC93" s="233"/>
      <c r="DD93" s="233"/>
      <c r="DE93" s="233"/>
      <c r="DF93" s="233"/>
      <c r="DG93" s="233"/>
      <c r="DH93" s="233"/>
      <c r="DI93" s="233"/>
      <c r="DJ93" s="233"/>
      <c r="DK93" s="233"/>
      <c r="DL93" s="233"/>
      <c r="DM93" s="233"/>
      <c r="DN93" s="233"/>
      <c r="DO93" s="233"/>
      <c r="DP93" s="233"/>
      <c r="DQ93" s="233"/>
      <c r="DR93" s="233"/>
      <c r="DS93" s="233"/>
      <c r="DT93" s="233"/>
      <c r="DU93" s="233"/>
      <c r="DV93" s="558"/>
      <c r="DW93" s="558"/>
      <c r="DX93" s="199"/>
      <c r="DY93" s="199"/>
      <c r="DZ93" s="199"/>
      <c r="EA93" s="199"/>
      <c r="EB93" s="199"/>
      <c r="EC93" s="199"/>
      <c r="ED93" s="199"/>
      <c r="EE93" s="199"/>
      <c r="EF93"/>
      <c r="EG93"/>
      <c r="EH93"/>
      <c r="EI93"/>
      <c r="EJ93"/>
      <c r="EK93"/>
    </row>
    <row r="94" spans="1:141" s="137" customFormat="1">
      <c r="A94" s="193"/>
      <c r="B94" s="309" t="s">
        <v>186</v>
      </c>
      <c r="C94" s="199"/>
      <c r="D94" s="223"/>
      <c r="E94" s="199"/>
      <c r="F94" s="199"/>
      <c r="G94" s="211"/>
      <c r="H94" s="199"/>
      <c r="I94" s="314"/>
      <c r="J94" s="314"/>
      <c r="K94" s="316"/>
      <c r="L94" s="314"/>
      <c r="M94" s="314"/>
      <c r="N94" s="314"/>
      <c r="O94" s="316"/>
      <c r="P94" s="314"/>
      <c r="Q94" s="314"/>
      <c r="R94" s="314"/>
      <c r="S94" s="316"/>
      <c r="T94" s="314"/>
      <c r="U94" s="314"/>
      <c r="V94" s="314"/>
      <c r="W94" s="316"/>
      <c r="X94" s="314"/>
      <c r="Y94" s="314"/>
      <c r="Z94" s="314"/>
      <c r="AA94" s="316"/>
      <c r="AB94" s="314"/>
      <c r="AC94" s="314"/>
      <c r="AD94" s="314"/>
      <c r="AE94" s="316"/>
      <c r="AF94" s="314"/>
      <c r="AG94" s="314"/>
      <c r="AH94" s="314"/>
      <c r="AI94" s="316"/>
      <c r="AJ94" s="314"/>
      <c r="AK94" s="314"/>
      <c r="AL94" s="314"/>
      <c r="AM94" s="316"/>
      <c r="AN94" s="318"/>
      <c r="AO94" s="318"/>
      <c r="AP94" s="318"/>
      <c r="AQ94" s="589"/>
      <c r="AR94" s="318"/>
      <c r="AS94" s="318"/>
      <c r="AT94" s="318"/>
      <c r="AU94" s="589"/>
      <c r="AV94" s="318"/>
      <c r="AW94" s="318"/>
      <c r="AX94" s="318"/>
      <c r="AY94" s="589"/>
      <c r="AZ94" s="318"/>
      <c r="BA94" s="318"/>
      <c r="BB94" s="318"/>
      <c r="BC94" s="589"/>
      <c r="BD94" s="318"/>
      <c r="BE94" s="318"/>
      <c r="BF94" s="318"/>
      <c r="BG94" s="589"/>
      <c r="BH94" s="318"/>
      <c r="BI94" s="318"/>
      <c r="BJ94" s="318"/>
      <c r="BK94" s="589"/>
      <c r="BL94" s="318"/>
      <c r="BM94" s="318"/>
      <c r="BN94" s="318"/>
      <c r="BO94" s="589"/>
      <c r="BP94" s="318"/>
      <c r="BQ94" s="318"/>
      <c r="BR94" s="318"/>
      <c r="BS94" s="589"/>
      <c r="BT94" s="318"/>
      <c r="BU94" s="318"/>
      <c r="BV94" s="318"/>
      <c r="BW94" s="589"/>
      <c r="BX94" s="318"/>
      <c r="BY94" s="318"/>
      <c r="BZ94" s="318"/>
      <c r="CA94" s="589"/>
      <c r="CB94" s="318"/>
      <c r="CC94" s="318"/>
      <c r="CD94" s="318"/>
      <c r="CE94" s="589"/>
      <c r="CF94" s="318"/>
      <c r="CG94" s="318"/>
      <c r="CH94" s="318"/>
      <c r="CI94" s="589"/>
      <c r="CJ94" s="318"/>
      <c r="CK94" s="318"/>
      <c r="CL94" s="318"/>
      <c r="CM94" s="589"/>
      <c r="CN94" s="318"/>
      <c r="CO94" s="318"/>
      <c r="CP94" s="318"/>
      <c r="CQ94" s="589"/>
      <c r="CR94" s="318"/>
      <c r="CS94" s="318"/>
      <c r="CT94" s="318"/>
      <c r="CU94" s="589"/>
      <c r="CV94" s="873"/>
      <c r="CW94" s="318"/>
      <c r="CX94" s="318"/>
      <c r="CY94" s="589"/>
      <c r="DA94" s="233"/>
      <c r="DB94" s="233"/>
      <c r="DC94" s="233"/>
      <c r="DD94" s="233"/>
      <c r="DE94" s="233"/>
      <c r="DF94" s="233"/>
      <c r="DG94" s="233"/>
      <c r="DH94" s="233"/>
      <c r="DI94" s="233"/>
      <c r="DJ94" s="233"/>
      <c r="DK94" s="233"/>
      <c r="DL94" s="233"/>
      <c r="DM94" s="233"/>
      <c r="DN94" s="233"/>
      <c r="DO94" s="233"/>
      <c r="DP94" s="233"/>
      <c r="DQ94" s="233"/>
      <c r="DR94" s="233"/>
      <c r="DS94" s="233"/>
      <c r="DT94" s="233"/>
      <c r="DU94" s="233"/>
      <c r="DV94" s="558"/>
      <c r="DW94" s="558"/>
      <c r="DX94" s="199"/>
      <c r="DY94" s="199"/>
      <c r="DZ94" s="199"/>
      <c r="EA94" s="199"/>
      <c r="EB94" s="199"/>
      <c r="EC94" s="199"/>
      <c r="ED94" s="199"/>
      <c r="EE94" s="199"/>
      <c r="EF94"/>
      <c r="EG94"/>
      <c r="EH94"/>
      <c r="EI94"/>
      <c r="EJ94"/>
      <c r="EK94"/>
    </row>
    <row r="95" spans="1:141" s="320" customFormat="1">
      <c r="A95" s="313"/>
      <c r="B95" s="310" t="s">
        <v>168</v>
      </c>
      <c r="C95" s="314"/>
      <c r="D95" s="315"/>
      <c r="E95" s="314"/>
      <c r="F95" s="314"/>
      <c r="G95" s="316"/>
      <c r="H95" s="314">
        <f t="shared" ref="H95:AE95" si="202">H60/H101*365</f>
        <v>70.329319102790947</v>
      </c>
      <c r="I95" s="314">
        <f t="shared" si="202"/>
        <v>66.821711506784851</v>
      </c>
      <c r="J95" s="314">
        <f t="shared" si="202"/>
        <v>69.689074831225653</v>
      </c>
      <c r="K95" s="316">
        <f t="shared" si="202"/>
        <v>64.407665874766678</v>
      </c>
      <c r="L95" s="314">
        <f t="shared" si="202"/>
        <v>48.544920913191646</v>
      </c>
      <c r="M95" s="314">
        <f t="shared" si="202"/>
        <v>69.183565048263944</v>
      </c>
      <c r="N95" s="314">
        <f t="shared" si="202"/>
        <v>63.983990765833603</v>
      </c>
      <c r="O95" s="316">
        <f t="shared" si="202"/>
        <v>53.12829047382823</v>
      </c>
      <c r="P95" s="314">
        <f t="shared" si="202"/>
        <v>54.666910297991564</v>
      </c>
      <c r="Q95" s="314">
        <f t="shared" si="202"/>
        <v>59.289176328466823</v>
      </c>
      <c r="R95" s="314">
        <f t="shared" si="202"/>
        <v>55.302390795293576</v>
      </c>
      <c r="S95" s="316">
        <f t="shared" si="202"/>
        <v>52.978659657628448</v>
      </c>
      <c r="T95" s="314">
        <f t="shared" si="202"/>
        <v>60.305384917004304</v>
      </c>
      <c r="U95" s="314">
        <f t="shared" si="202"/>
        <v>62.619479885309332</v>
      </c>
      <c r="V95" s="314">
        <f t="shared" si="202"/>
        <v>57.152085618213164</v>
      </c>
      <c r="W95" s="316">
        <f t="shared" si="202"/>
        <v>55.353941762147606</v>
      </c>
      <c r="X95" s="314">
        <f t="shared" si="202"/>
        <v>55.694014102630092</v>
      </c>
      <c r="Y95" s="314">
        <f t="shared" si="202"/>
        <v>66.677186696494033</v>
      </c>
      <c r="Z95" s="314">
        <f t="shared" si="202"/>
        <v>61.900566817986579</v>
      </c>
      <c r="AA95" s="316">
        <f t="shared" si="202"/>
        <v>55.037211959320288</v>
      </c>
      <c r="AB95" s="314">
        <f t="shared" si="202"/>
        <v>60.160186613714046</v>
      </c>
      <c r="AC95" s="314">
        <f t="shared" si="202"/>
        <v>54.849195353298526</v>
      </c>
      <c r="AD95" s="314">
        <f t="shared" si="202"/>
        <v>48.906533351209085</v>
      </c>
      <c r="AE95" s="316">
        <f t="shared" si="202"/>
        <v>42.510019328065489</v>
      </c>
      <c r="AF95" s="314">
        <f t="shared" ref="AF95:AO95" si="203">AF60/AF101*365</f>
        <v>42.436189756958306</v>
      </c>
      <c r="AG95" s="314">
        <f t="shared" si="203"/>
        <v>43.745970791450368</v>
      </c>
      <c r="AH95" s="314">
        <f t="shared" si="203"/>
        <v>40.515244553413005</v>
      </c>
      <c r="AI95" s="316">
        <f t="shared" si="203"/>
        <v>37.312527982267497</v>
      </c>
      <c r="AJ95" s="314">
        <f t="shared" si="203"/>
        <v>44.006239152881214</v>
      </c>
      <c r="AK95" s="314">
        <f t="shared" si="203"/>
        <v>47.54482060917006</v>
      </c>
      <c r="AL95" s="314">
        <f t="shared" si="203"/>
        <v>45.999879168680529</v>
      </c>
      <c r="AM95" s="316">
        <f t="shared" si="203"/>
        <v>38.158423803779655</v>
      </c>
      <c r="AN95" s="318">
        <f t="shared" si="203"/>
        <v>50.277678227295155</v>
      </c>
      <c r="AO95" s="318">
        <f t="shared" si="203"/>
        <v>55.756804016505825</v>
      </c>
      <c r="AP95" s="319">
        <f t="shared" ref="AP95:BO95" si="204">AP60/AP101*365</f>
        <v>53.908325574686266</v>
      </c>
      <c r="AQ95" s="317">
        <f t="shared" si="204"/>
        <v>51.001765449268731</v>
      </c>
      <c r="AR95" s="319">
        <f t="shared" si="204"/>
        <v>58.754811782057644</v>
      </c>
      <c r="AS95" s="319">
        <f t="shared" si="204"/>
        <v>55.177783560997163</v>
      </c>
      <c r="AT95" s="319">
        <f t="shared" si="204"/>
        <v>54.250230371192963</v>
      </c>
      <c r="AU95" s="317">
        <f t="shared" si="204"/>
        <v>55.63021816037736</v>
      </c>
      <c r="AV95" s="319">
        <f t="shared" si="204"/>
        <v>55.070580581237799</v>
      </c>
      <c r="AW95" s="319">
        <f t="shared" si="204"/>
        <v>48.664649598560032</v>
      </c>
      <c r="AX95" s="319">
        <f t="shared" si="204"/>
        <v>58.585316291671575</v>
      </c>
      <c r="AY95" s="317">
        <f t="shared" si="204"/>
        <v>42.704180120735643</v>
      </c>
      <c r="AZ95" s="319">
        <f t="shared" si="204"/>
        <v>56.909084670940146</v>
      </c>
      <c r="BA95" s="319">
        <f t="shared" si="204"/>
        <v>56.085375812423798</v>
      </c>
      <c r="BB95" s="319">
        <f t="shared" si="204"/>
        <v>52.261589938591563</v>
      </c>
      <c r="BC95" s="317">
        <f t="shared" si="204"/>
        <v>41.062985946442886</v>
      </c>
      <c r="BD95" s="319">
        <f t="shared" si="204"/>
        <v>50.131528762132469</v>
      </c>
      <c r="BE95" s="319">
        <f t="shared" si="204"/>
        <v>54.75992809669102</v>
      </c>
      <c r="BF95" s="319">
        <f t="shared" si="204"/>
        <v>54.23473334754668</v>
      </c>
      <c r="BG95" s="317">
        <f t="shared" si="204"/>
        <v>49.007439824945287</v>
      </c>
      <c r="BH95" s="319">
        <f t="shared" si="204"/>
        <v>56.241640501084383</v>
      </c>
      <c r="BI95" s="319">
        <f t="shared" si="204"/>
        <v>58.674116907440634</v>
      </c>
      <c r="BJ95" s="319">
        <f t="shared" si="204"/>
        <v>48.878016872230951</v>
      </c>
      <c r="BK95" s="317">
        <f t="shared" si="204"/>
        <v>32.563685936406173</v>
      </c>
      <c r="BL95" s="319">
        <f t="shared" si="204"/>
        <v>41.666624583375409</v>
      </c>
      <c r="BM95" s="319">
        <f t="shared" si="204"/>
        <v>50.428008877366644</v>
      </c>
      <c r="BN95" s="319">
        <f t="shared" si="204"/>
        <v>62.666395765608065</v>
      </c>
      <c r="BO95" s="317">
        <f t="shared" si="204"/>
        <v>55.460542527413857</v>
      </c>
      <c r="BP95" s="319">
        <f t="shared" ref="BP95:CN95" si="205">BP60/BP101*365</f>
        <v>65.093484176673201</v>
      </c>
      <c r="BQ95" s="319">
        <f t="shared" si="205"/>
        <v>61.159955981931304</v>
      </c>
      <c r="BR95" s="319">
        <f t="shared" si="205"/>
        <v>61.013084355097263</v>
      </c>
      <c r="BS95" s="317">
        <f t="shared" si="205"/>
        <v>53.687785454971312</v>
      </c>
      <c r="BT95" s="319">
        <f t="shared" si="205"/>
        <v>65.798943150433445</v>
      </c>
      <c r="BU95" s="319">
        <f t="shared" si="205"/>
        <v>63.205707644628092</v>
      </c>
      <c r="BV95" s="319">
        <f t="shared" si="205"/>
        <v>55.057372595892652</v>
      </c>
      <c r="BW95" s="317">
        <f t="shared" si="205"/>
        <v>48.475011478825976</v>
      </c>
      <c r="BX95" s="319">
        <f t="shared" si="205"/>
        <v>60.445908683724326</v>
      </c>
      <c r="BY95" s="319">
        <f t="shared" si="205"/>
        <v>58.62752582735073</v>
      </c>
      <c r="BZ95" s="319">
        <f t="shared" si="205"/>
        <v>55.751353083358296</v>
      </c>
      <c r="CA95" s="317">
        <f t="shared" si="205"/>
        <v>51.133074758014686</v>
      </c>
      <c r="CB95" s="319">
        <f t="shared" si="205"/>
        <v>59.842906234658805</v>
      </c>
      <c r="CC95" s="319">
        <f t="shared" si="205"/>
        <v>58.807170555287179</v>
      </c>
      <c r="CD95" s="319">
        <f t="shared" si="205"/>
        <v>60.384174348454835</v>
      </c>
      <c r="CE95" s="317">
        <f t="shared" si="205"/>
        <v>51.224559566342243</v>
      </c>
      <c r="CF95" s="319">
        <f t="shared" si="205"/>
        <v>66.388353247190139</v>
      </c>
      <c r="CG95" s="319">
        <f t="shared" si="205"/>
        <v>65.338255825500767</v>
      </c>
      <c r="CH95" s="319">
        <f t="shared" si="205"/>
        <v>59.522361862370005</v>
      </c>
      <c r="CI95" s="317">
        <f t="shared" si="205"/>
        <v>50.891590936013934</v>
      </c>
      <c r="CJ95" s="319">
        <f t="shared" si="205"/>
        <v>64.689975347841397</v>
      </c>
      <c r="CK95" s="319">
        <f t="shared" si="205"/>
        <v>63.187124071152631</v>
      </c>
      <c r="CL95" s="319">
        <f t="shared" si="205"/>
        <v>59.898733124497546</v>
      </c>
      <c r="CM95" s="317">
        <f t="shared" si="205"/>
        <v>51.909792767167815</v>
      </c>
      <c r="CN95" s="319">
        <f t="shared" si="205"/>
        <v>60.63412321758414</v>
      </c>
      <c r="CO95" s="319">
        <f t="shared" ref="CO95:CT95" si="206">CO60/CO101*365</f>
        <v>59.122059796341077</v>
      </c>
      <c r="CP95" s="319">
        <f t="shared" si="206"/>
        <v>60.893061211350584</v>
      </c>
      <c r="CQ95" s="317">
        <f t="shared" si="206"/>
        <v>54.019512221407943</v>
      </c>
      <c r="CR95" s="319">
        <f t="shared" si="206"/>
        <v>63.923104609065696</v>
      </c>
      <c r="CS95" s="319">
        <f t="shared" si="206"/>
        <v>63.528193617947707</v>
      </c>
      <c r="CT95" s="319">
        <f t="shared" si="206"/>
        <v>62.067763221196451</v>
      </c>
      <c r="CU95" s="317">
        <f t="shared" ref="CU95" si="207">CU60/CU101*365</f>
        <v>57.616748912884162</v>
      </c>
      <c r="CV95" s="874">
        <f>CU95+8</f>
        <v>65.616748912884162</v>
      </c>
      <c r="CW95" s="874">
        <f>CV95-2</f>
        <v>63.616748912884162</v>
      </c>
      <c r="CX95" s="874">
        <f>CW95-2</f>
        <v>61.616748912884162</v>
      </c>
      <c r="CY95" s="865">
        <f>CX95-3</f>
        <v>58.616748912884162</v>
      </c>
      <c r="DA95" s="319"/>
      <c r="DB95" s="319">
        <f t="shared" ref="DB95:DX95" si="208">DB60/DB101*365</f>
        <v>64.407665874766678</v>
      </c>
      <c r="DC95" s="319">
        <f t="shared" si="208"/>
        <v>53.12829047382823</v>
      </c>
      <c r="DD95" s="319">
        <f t="shared" si="208"/>
        <v>52.978659657628448</v>
      </c>
      <c r="DE95" s="319">
        <f t="shared" si="208"/>
        <v>55.353941762147606</v>
      </c>
      <c r="DF95" s="319">
        <f t="shared" si="208"/>
        <v>55.037211959320288</v>
      </c>
      <c r="DG95" s="319">
        <f t="shared" si="208"/>
        <v>42.510019328065489</v>
      </c>
      <c r="DH95" s="319">
        <f t="shared" si="208"/>
        <v>37.312527982267497</v>
      </c>
      <c r="DI95" s="319">
        <f t="shared" si="208"/>
        <v>38.158423803779655</v>
      </c>
      <c r="DJ95" s="319">
        <f t="shared" si="208"/>
        <v>51.001765449268731</v>
      </c>
      <c r="DK95" s="319">
        <f t="shared" si="208"/>
        <v>55.63021816037736</v>
      </c>
      <c r="DL95" s="319">
        <f t="shared" si="208"/>
        <v>42.704180120735643</v>
      </c>
      <c r="DM95" s="319">
        <f t="shared" si="208"/>
        <v>41.062985946442886</v>
      </c>
      <c r="DN95" s="319">
        <f t="shared" si="208"/>
        <v>49.007439824945287</v>
      </c>
      <c r="DO95" s="319">
        <f t="shared" si="208"/>
        <v>32.563685936406173</v>
      </c>
      <c r="DP95" s="319">
        <f t="shared" si="208"/>
        <v>55.460542527413857</v>
      </c>
      <c r="DQ95" s="319">
        <f t="shared" si="208"/>
        <v>53.687785454971312</v>
      </c>
      <c r="DR95" s="319">
        <f t="shared" si="208"/>
        <v>48.475011478825976</v>
      </c>
      <c r="DS95" s="319">
        <f t="shared" si="208"/>
        <v>51.133074758014686</v>
      </c>
      <c r="DT95" s="319">
        <f t="shared" si="208"/>
        <v>51.224559566342243</v>
      </c>
      <c r="DU95" s="319">
        <f t="shared" si="208"/>
        <v>50.891590936013934</v>
      </c>
      <c r="DV95" s="319">
        <f t="shared" si="208"/>
        <v>51.909792767167815</v>
      </c>
      <c r="DW95" s="319">
        <f t="shared" si="208"/>
        <v>54.019512221407943</v>
      </c>
      <c r="DX95" s="319">
        <f t="shared" si="208"/>
        <v>57.616748912884162</v>
      </c>
      <c r="DY95" s="319">
        <f>DY60/DY101*365</f>
        <v>58.616748912884162</v>
      </c>
      <c r="DZ95" s="322">
        <f>DY95+1</f>
        <v>59.616748912884162</v>
      </c>
      <c r="EA95" s="322">
        <f>DZ95+1</f>
        <v>60.616748912884162</v>
      </c>
      <c r="EB95" s="322">
        <f>EA95+1</f>
        <v>61.616748912884162</v>
      </c>
      <c r="EC95" s="322">
        <f>EB95+1</f>
        <v>62.616748912884162</v>
      </c>
      <c r="ED95" s="322">
        <f>EC95+1</f>
        <v>63.616748912884162</v>
      </c>
      <c r="EE95" s="314"/>
      <c r="EF95"/>
      <c r="EG95"/>
      <c r="EH95"/>
      <c r="EI95"/>
      <c r="EJ95"/>
      <c r="EK95"/>
    </row>
    <row r="96" spans="1:141" s="320" customFormat="1">
      <c r="A96" s="313"/>
      <c r="B96" s="310" t="s">
        <v>169</v>
      </c>
      <c r="C96" s="314"/>
      <c r="D96" s="321"/>
      <c r="E96" s="319"/>
      <c r="F96" s="319"/>
      <c r="G96" s="317"/>
      <c r="H96" s="319">
        <f t="shared" ref="H96:AG96" si="209">H71/H101*365</f>
        <v>74.214514011757316</v>
      </c>
      <c r="I96" s="319">
        <f t="shared" si="209"/>
        <v>78.369022406986176</v>
      </c>
      <c r="J96" s="319">
        <f t="shared" si="209"/>
        <v>66.313944090520124</v>
      </c>
      <c r="K96" s="317">
        <f t="shared" si="209"/>
        <v>66.35096724927881</v>
      </c>
      <c r="L96" s="319">
        <f t="shared" si="209"/>
        <v>51.226682687572634</v>
      </c>
      <c r="M96" s="319">
        <f t="shared" si="209"/>
        <v>67.139281083417373</v>
      </c>
      <c r="N96" s="319">
        <f t="shared" si="209"/>
        <v>58.635200240891301</v>
      </c>
      <c r="O96" s="317">
        <f t="shared" si="209"/>
        <v>56.101278584116116</v>
      </c>
      <c r="P96" s="319">
        <f t="shared" si="209"/>
        <v>55.800709576233764</v>
      </c>
      <c r="Q96" s="319">
        <f t="shared" si="209"/>
        <v>56.482269921477922</v>
      </c>
      <c r="R96" s="319">
        <f t="shared" si="209"/>
        <v>56.030470353560176</v>
      </c>
      <c r="S96" s="317">
        <f t="shared" si="209"/>
        <v>58.978400904274871</v>
      </c>
      <c r="T96" s="319">
        <f t="shared" si="209"/>
        <v>58.273101555352234</v>
      </c>
      <c r="U96" s="319">
        <f t="shared" si="209"/>
        <v>62.349844115842586</v>
      </c>
      <c r="V96" s="319">
        <f t="shared" si="209"/>
        <v>64.828377906065839</v>
      </c>
      <c r="W96" s="317">
        <f t="shared" si="209"/>
        <v>64.495661964368495</v>
      </c>
      <c r="X96" s="319">
        <f t="shared" si="209"/>
        <v>64.944412990889901</v>
      </c>
      <c r="Y96" s="319">
        <f t="shared" si="209"/>
        <v>68.791341396626777</v>
      </c>
      <c r="Z96" s="319">
        <f t="shared" si="209"/>
        <v>60.944514162027417</v>
      </c>
      <c r="AA96" s="317">
        <f t="shared" si="209"/>
        <v>65.938344812049436</v>
      </c>
      <c r="AB96" s="319">
        <f t="shared" si="209"/>
        <v>65.074741449947226</v>
      </c>
      <c r="AC96" s="319">
        <f t="shared" si="209"/>
        <v>62.136487974706029</v>
      </c>
      <c r="AD96" s="319">
        <f t="shared" si="209"/>
        <v>55.994362082712968</v>
      </c>
      <c r="AE96" s="317">
        <f t="shared" si="209"/>
        <v>56.386078108123478</v>
      </c>
      <c r="AF96" s="319">
        <f t="shared" si="209"/>
        <v>60.027157929897683</v>
      </c>
      <c r="AG96" s="319">
        <f t="shared" si="209"/>
        <v>60.380856578531947</v>
      </c>
      <c r="AH96" s="319">
        <f t="shared" ref="AH96:BG96" si="210">AH71/AH101*365</f>
        <v>57.537237058143575</v>
      </c>
      <c r="AI96" s="317">
        <f t="shared" si="210"/>
        <v>53.121059546265244</v>
      </c>
      <c r="AJ96" s="319">
        <f t="shared" si="210"/>
        <v>58.899507165505973</v>
      </c>
      <c r="AK96" s="319">
        <f t="shared" si="210"/>
        <v>61.188965567077354</v>
      </c>
      <c r="AL96" s="319">
        <f t="shared" si="210"/>
        <v>56.84932334461093</v>
      </c>
      <c r="AM96" s="317">
        <f t="shared" si="210"/>
        <v>49.757774912302601</v>
      </c>
      <c r="AN96" s="319">
        <f t="shared" si="210"/>
        <v>56.240609384191977</v>
      </c>
      <c r="AO96" s="319">
        <f t="shared" si="210"/>
        <v>59.622525285308356</v>
      </c>
      <c r="AP96" s="319">
        <f t="shared" si="210"/>
        <v>57.550715325404227</v>
      </c>
      <c r="AQ96" s="317">
        <f t="shared" si="210"/>
        <v>56.65291775419611</v>
      </c>
      <c r="AR96" s="319">
        <f t="shared" si="210"/>
        <v>58.334863311730039</v>
      </c>
      <c r="AS96" s="319">
        <f t="shared" si="210"/>
        <v>56.78597582748791</v>
      </c>
      <c r="AT96" s="319">
        <f t="shared" si="210"/>
        <v>56.367459773645535</v>
      </c>
      <c r="AU96" s="317">
        <f t="shared" si="210"/>
        <v>59.777358490566037</v>
      </c>
      <c r="AV96" s="319">
        <f t="shared" si="210"/>
        <v>60.425572553256252</v>
      </c>
      <c r="AW96" s="319">
        <f t="shared" si="210"/>
        <v>62.003232835184612</v>
      </c>
      <c r="AX96" s="319">
        <f t="shared" si="210"/>
        <v>65.282070915302157</v>
      </c>
      <c r="AY96" s="317">
        <f t="shared" si="210"/>
        <v>53.719172633253777</v>
      </c>
      <c r="AZ96" s="319">
        <f t="shared" si="210"/>
        <v>64.688009286527105</v>
      </c>
      <c r="BA96" s="319">
        <f t="shared" si="210"/>
        <v>62.959264148199537</v>
      </c>
      <c r="BB96" s="319">
        <f t="shared" si="210"/>
        <v>58.705384234231722</v>
      </c>
      <c r="BC96" s="317">
        <f t="shared" si="210"/>
        <v>47.416096283963697</v>
      </c>
      <c r="BD96" s="319">
        <f t="shared" si="210"/>
        <v>51.536134118919541</v>
      </c>
      <c r="BE96" s="319">
        <f t="shared" si="210"/>
        <v>56.616050521535506</v>
      </c>
      <c r="BF96" s="319">
        <f t="shared" si="210"/>
        <v>54.912862059513294</v>
      </c>
      <c r="BG96" s="317">
        <f t="shared" si="210"/>
        <v>51.659080962800878</v>
      </c>
      <c r="BH96" s="319">
        <f t="shared" ref="BH96:CF96" si="211">BH71/BH101*365</f>
        <v>59.008707474185087</v>
      </c>
      <c r="BI96" s="319">
        <f t="shared" si="211"/>
        <v>61.666743068198187</v>
      </c>
      <c r="BJ96" s="319">
        <f t="shared" si="211"/>
        <v>55.134836234161213</v>
      </c>
      <c r="BK96" s="317">
        <f t="shared" si="211"/>
        <v>39.104933495449693</v>
      </c>
      <c r="BL96" s="319">
        <f t="shared" si="211"/>
        <v>39.801871864794798</v>
      </c>
      <c r="BM96" s="319">
        <f t="shared" si="211"/>
        <v>46.901023253986956</v>
      </c>
      <c r="BN96" s="319">
        <f t="shared" si="211"/>
        <v>62.22524381095274</v>
      </c>
      <c r="BO96" s="317">
        <f t="shared" si="211"/>
        <v>57.993911454269167</v>
      </c>
      <c r="BP96" s="319">
        <f t="shared" si="211"/>
        <v>62.586014957468272</v>
      </c>
      <c r="BQ96" s="319">
        <f t="shared" si="211"/>
        <v>58.273799487047512</v>
      </c>
      <c r="BR96" s="319">
        <f t="shared" si="211"/>
        <v>58.701096139681987</v>
      </c>
      <c r="BS96" s="317">
        <f t="shared" si="211"/>
        <v>56.130359861475924</v>
      </c>
      <c r="BT96" s="319">
        <f t="shared" si="211"/>
        <v>65.458061271731665</v>
      </c>
      <c r="BU96" s="319">
        <f t="shared" si="211"/>
        <v>64.07351421973749</v>
      </c>
      <c r="BV96" s="319">
        <f t="shared" si="211"/>
        <v>58.164149371581736</v>
      </c>
      <c r="BW96" s="317">
        <f t="shared" si="211"/>
        <v>51.935118143608939</v>
      </c>
      <c r="BX96" s="319">
        <f t="shared" si="211"/>
        <v>60.162364929175304</v>
      </c>
      <c r="BY96" s="319">
        <f t="shared" si="211"/>
        <v>60.130730169847659</v>
      </c>
      <c r="BZ96" s="319">
        <f t="shared" si="211"/>
        <v>57.576848865638986</v>
      </c>
      <c r="CA96" s="317">
        <f t="shared" si="211"/>
        <v>55.951465641518503</v>
      </c>
      <c r="CB96" s="319">
        <f t="shared" si="211"/>
        <v>61.146293568973981</v>
      </c>
      <c r="CC96" s="319">
        <f t="shared" si="211"/>
        <v>59.452905693880474</v>
      </c>
      <c r="CD96" s="319">
        <f t="shared" si="211"/>
        <v>59.407573276932986</v>
      </c>
      <c r="CE96" s="317">
        <f t="shared" si="211"/>
        <v>54.830941234446215</v>
      </c>
      <c r="CF96" s="319">
        <f t="shared" si="211"/>
        <v>63.191503421098467</v>
      </c>
      <c r="CG96" s="319">
        <f t="shared" ref="CG96:CS96" si="212">CG71/CG101*365</f>
        <v>60.150683171035176</v>
      </c>
      <c r="CH96" s="319">
        <f t="shared" si="212"/>
        <v>54.74047390972656</v>
      </c>
      <c r="CI96" s="317">
        <f t="shared" si="212"/>
        <v>51.995199494564872</v>
      </c>
      <c r="CJ96" s="319">
        <f t="shared" si="212"/>
        <v>56.340775564735672</v>
      </c>
      <c r="CK96" s="319">
        <f t="shared" si="212"/>
        <v>55.994514713834171</v>
      </c>
      <c r="CL96" s="319">
        <f t="shared" si="212"/>
        <v>52.13794250547501</v>
      </c>
      <c r="CM96" s="317">
        <f t="shared" si="212"/>
        <v>50.194164095017399</v>
      </c>
      <c r="CN96" s="319">
        <f t="shared" si="212"/>
        <v>55.487143721155775</v>
      </c>
      <c r="CO96" s="319">
        <f t="shared" si="212"/>
        <v>54.764051706375447</v>
      </c>
      <c r="CP96" s="319">
        <f t="shared" si="212"/>
        <v>54.307328300793522</v>
      </c>
      <c r="CQ96" s="317">
        <f t="shared" si="212"/>
        <v>51.934652110186668</v>
      </c>
      <c r="CR96" s="319">
        <f t="shared" si="212"/>
        <v>58.788082484703487</v>
      </c>
      <c r="CS96" s="319">
        <f t="shared" si="212"/>
        <v>60.599354123038019</v>
      </c>
      <c r="CT96" s="319">
        <f>CT71/CT101*365</f>
        <v>58.705505223657617</v>
      </c>
      <c r="CU96" s="317">
        <f>CU71/CU101*365</f>
        <v>56.482532857771041</v>
      </c>
      <c r="CV96" s="874">
        <f>CU96+7</f>
        <v>63.482532857771041</v>
      </c>
      <c r="CW96" s="874">
        <f>CV96</f>
        <v>63.482532857771041</v>
      </c>
      <c r="CX96" s="874">
        <f>CW96-1</f>
        <v>62.482532857771041</v>
      </c>
      <c r="CY96" s="865">
        <f>CX96-1</f>
        <v>61.482532857771041</v>
      </c>
      <c r="DA96" s="319"/>
      <c r="DB96" s="319">
        <f t="shared" ref="DB96:DX96" si="213">DB71/DB101*365</f>
        <v>66.35096724927881</v>
      </c>
      <c r="DC96" s="319">
        <f t="shared" si="213"/>
        <v>56.101278584116116</v>
      </c>
      <c r="DD96" s="319">
        <f t="shared" si="213"/>
        <v>58.978400904274871</v>
      </c>
      <c r="DE96" s="319">
        <f t="shared" si="213"/>
        <v>64.495661964368495</v>
      </c>
      <c r="DF96" s="319">
        <f t="shared" si="213"/>
        <v>65.938344812049436</v>
      </c>
      <c r="DG96" s="319">
        <f t="shared" si="213"/>
        <v>56.386078108123478</v>
      </c>
      <c r="DH96" s="319">
        <f t="shared" si="213"/>
        <v>53.121059546265244</v>
      </c>
      <c r="DI96" s="319">
        <f t="shared" si="213"/>
        <v>49.757774912302601</v>
      </c>
      <c r="DJ96" s="319">
        <f t="shared" si="213"/>
        <v>56.65291775419611</v>
      </c>
      <c r="DK96" s="319">
        <f t="shared" si="213"/>
        <v>59.777358490566037</v>
      </c>
      <c r="DL96" s="319">
        <f t="shared" si="213"/>
        <v>53.719172633253777</v>
      </c>
      <c r="DM96" s="319">
        <f t="shared" si="213"/>
        <v>47.416096283963697</v>
      </c>
      <c r="DN96" s="319">
        <f t="shared" si="213"/>
        <v>51.659080962800878</v>
      </c>
      <c r="DO96" s="319">
        <f t="shared" si="213"/>
        <v>39.104933495449693</v>
      </c>
      <c r="DP96" s="319">
        <f t="shared" si="213"/>
        <v>57.993911454269167</v>
      </c>
      <c r="DQ96" s="319">
        <f t="shared" si="213"/>
        <v>56.130359861475924</v>
      </c>
      <c r="DR96" s="319">
        <f t="shared" si="213"/>
        <v>51.935118143608939</v>
      </c>
      <c r="DS96" s="319">
        <f t="shared" si="213"/>
        <v>55.951465641518503</v>
      </c>
      <c r="DT96" s="319">
        <f t="shared" si="213"/>
        <v>54.830941234446215</v>
      </c>
      <c r="DU96" s="319">
        <f t="shared" si="213"/>
        <v>51.995199494564872</v>
      </c>
      <c r="DV96" s="319">
        <f t="shared" si="213"/>
        <v>50.194164095017399</v>
      </c>
      <c r="DW96" s="319">
        <f t="shared" si="213"/>
        <v>51.934652110186668</v>
      </c>
      <c r="DX96" s="319">
        <f t="shared" si="213"/>
        <v>56.482532857771041</v>
      </c>
      <c r="DY96" s="319">
        <f>DY71/DY101*365</f>
        <v>61.482532857771041</v>
      </c>
      <c r="DZ96" s="322">
        <f>DY96+2.5</f>
        <v>63.982532857771041</v>
      </c>
      <c r="EA96" s="322">
        <f>DZ96+2.5</f>
        <v>66.482532857771048</v>
      </c>
      <c r="EB96" s="322">
        <f>EA96+2.5</f>
        <v>68.982532857771048</v>
      </c>
      <c r="EC96" s="322">
        <f>EB96+2.5</f>
        <v>71.482532857771048</v>
      </c>
      <c r="ED96" s="322">
        <f>EC96+2.5</f>
        <v>73.982532857771048</v>
      </c>
      <c r="EE96" s="314"/>
      <c r="EF96"/>
      <c r="EG96"/>
      <c r="EH96"/>
      <c r="EI96"/>
      <c r="EJ96"/>
      <c r="EK96"/>
    </row>
    <row r="97" spans="1:141" s="320" customFormat="1">
      <c r="A97" s="313"/>
      <c r="B97" s="310" t="s">
        <v>290</v>
      </c>
      <c r="C97" s="314"/>
      <c r="D97" s="321"/>
      <c r="E97" s="319"/>
      <c r="F97" s="319"/>
      <c r="G97" s="317"/>
      <c r="H97" s="319">
        <f t="shared" ref="H97:AG97" si="214">-H61/H102*365</f>
        <v>13.036931022681312</v>
      </c>
      <c r="I97" s="319">
        <f t="shared" si="214"/>
        <v>11.515177353342429</v>
      </c>
      <c r="J97" s="319">
        <f t="shared" si="214"/>
        <v>17.550437121721586</v>
      </c>
      <c r="K97" s="317">
        <f t="shared" si="214"/>
        <v>16.610149835320314</v>
      </c>
      <c r="L97" s="319">
        <f t="shared" si="214"/>
        <v>9.0506944294446718</v>
      </c>
      <c r="M97" s="319">
        <f t="shared" si="214"/>
        <v>14.465999165623698</v>
      </c>
      <c r="N97" s="319">
        <f t="shared" si="214"/>
        <v>13.665017968952611</v>
      </c>
      <c r="O97" s="317">
        <f t="shared" si="214"/>
        <v>12.967634206132093</v>
      </c>
      <c r="P97" s="319">
        <f t="shared" si="214"/>
        <v>11.631071422508192</v>
      </c>
      <c r="Q97" s="319">
        <f t="shared" si="214"/>
        <v>11.465874049766667</v>
      </c>
      <c r="R97" s="319">
        <f t="shared" si="214"/>
        <v>12.952377089079993</v>
      </c>
      <c r="S97" s="317">
        <f t="shared" si="214"/>
        <v>12.927374301675977</v>
      </c>
      <c r="T97" s="319">
        <f t="shared" si="214"/>
        <v>13.199155338524482</v>
      </c>
      <c r="U97" s="319">
        <f t="shared" si="214"/>
        <v>13.450517731788311</v>
      </c>
      <c r="V97" s="319">
        <f t="shared" si="214"/>
        <v>16.276471692043749</v>
      </c>
      <c r="W97" s="317">
        <f t="shared" si="214"/>
        <v>15.565259819468164</v>
      </c>
      <c r="X97" s="319">
        <f t="shared" si="214"/>
        <v>13.274454983813643</v>
      </c>
      <c r="Y97" s="319">
        <f t="shared" si="214"/>
        <v>17.944888407455853</v>
      </c>
      <c r="Z97" s="319">
        <f t="shared" si="214"/>
        <v>19.379869495201479</v>
      </c>
      <c r="AA97" s="317">
        <f t="shared" si="214"/>
        <v>18.881904369332233</v>
      </c>
      <c r="AB97" s="319">
        <f t="shared" si="214"/>
        <v>16.615510083036774</v>
      </c>
      <c r="AC97" s="319">
        <f t="shared" si="214"/>
        <v>14.345990221601369</v>
      </c>
      <c r="AD97" s="319">
        <f t="shared" si="214"/>
        <v>15.664163064786603</v>
      </c>
      <c r="AE97" s="317">
        <f t="shared" si="214"/>
        <v>15.580026460266028</v>
      </c>
      <c r="AF97" s="319">
        <f t="shared" si="214"/>
        <v>13.252086892061754</v>
      </c>
      <c r="AG97" s="319">
        <f t="shared" si="214"/>
        <v>12.446909282273406</v>
      </c>
      <c r="AH97" s="319">
        <f t="shared" ref="AH97:BG97" si="215">-AH61/AH102*365</f>
        <v>13.998348726333766</v>
      </c>
      <c r="AI97" s="317">
        <f t="shared" si="215"/>
        <v>12.915136416603046</v>
      </c>
      <c r="AJ97" s="319">
        <f t="shared" si="215"/>
        <v>12.946957728180413</v>
      </c>
      <c r="AK97" s="319">
        <f t="shared" si="215"/>
        <v>12.699946981506832</v>
      </c>
      <c r="AL97" s="319">
        <f t="shared" si="215"/>
        <v>14.13585293499334</v>
      </c>
      <c r="AM97" s="317">
        <f t="shared" si="215"/>
        <v>13.577668391027247</v>
      </c>
      <c r="AN97" s="319">
        <f t="shared" si="215"/>
        <v>13.266431472532686</v>
      </c>
      <c r="AO97" s="319">
        <f t="shared" si="215"/>
        <v>12.843549265106152</v>
      </c>
      <c r="AP97" s="319">
        <f t="shared" si="215"/>
        <v>13.435437960926382</v>
      </c>
      <c r="AQ97" s="317">
        <f t="shared" si="215"/>
        <v>13.945751130184787</v>
      </c>
      <c r="AR97" s="319">
        <f t="shared" si="215"/>
        <v>13.379314495098759</v>
      </c>
      <c r="AS97" s="319">
        <f t="shared" si="215"/>
        <v>13.59353298324052</v>
      </c>
      <c r="AT97" s="319">
        <f t="shared" si="215"/>
        <v>16.092420178470107</v>
      </c>
      <c r="AU97" s="317">
        <f t="shared" si="215"/>
        <v>14.57381780317395</v>
      </c>
      <c r="AV97" s="319">
        <f t="shared" si="215"/>
        <v>14.615260536299584</v>
      </c>
      <c r="AW97" s="319">
        <f t="shared" si="215"/>
        <v>13.437216502039599</v>
      </c>
      <c r="AX97" s="319">
        <f t="shared" si="215"/>
        <v>15.726805403623723</v>
      </c>
      <c r="AY97" s="317">
        <f t="shared" si="215"/>
        <v>13.435779343062492</v>
      </c>
      <c r="AZ97" s="319">
        <f t="shared" si="215"/>
        <v>14.82785656942454</v>
      </c>
      <c r="BA97" s="319">
        <f t="shared" si="215"/>
        <v>15.026251896003224</v>
      </c>
      <c r="BB97" s="319">
        <f t="shared" si="215"/>
        <v>16.143226919758416</v>
      </c>
      <c r="BC97" s="317">
        <f t="shared" si="215"/>
        <v>12.622434597474889</v>
      </c>
      <c r="BD97" s="319">
        <f t="shared" si="215"/>
        <v>13.286519926589445</v>
      </c>
      <c r="BE97" s="319">
        <f t="shared" si="215"/>
        <v>13.096343973974486</v>
      </c>
      <c r="BF97" s="319">
        <f t="shared" si="215"/>
        <v>15.307555667080486</v>
      </c>
      <c r="BG97" s="317">
        <f t="shared" si="215"/>
        <v>15.063831672505692</v>
      </c>
      <c r="BH97" s="319">
        <f t="shared" ref="BH97:CF97" si="216">-BH61/BH102*365</f>
        <v>17.296595539959245</v>
      </c>
      <c r="BI97" s="319">
        <f t="shared" si="216"/>
        <v>17.994021374655766</v>
      </c>
      <c r="BJ97" s="319">
        <f t="shared" si="216"/>
        <v>18.16361435062614</v>
      </c>
      <c r="BK97" s="317">
        <f t="shared" si="216"/>
        <v>15.33959805740909</v>
      </c>
      <c r="BL97" s="319">
        <f t="shared" si="216"/>
        <v>15.057862763557562</v>
      </c>
      <c r="BM97" s="319">
        <f t="shared" si="216"/>
        <v>16.10239353561736</v>
      </c>
      <c r="BN97" s="319">
        <f t="shared" si="216"/>
        <v>17.995171188454453</v>
      </c>
      <c r="BO97" s="317">
        <f t="shared" si="216"/>
        <v>17.768069896743445</v>
      </c>
      <c r="BP97" s="319">
        <f t="shared" si="216"/>
        <v>18.754718145447441</v>
      </c>
      <c r="BQ97" s="319">
        <f t="shared" si="216"/>
        <v>18.166115291155545</v>
      </c>
      <c r="BR97" s="319">
        <f t="shared" si="216"/>
        <v>20.348893879306225</v>
      </c>
      <c r="BS97" s="317">
        <f t="shared" si="216"/>
        <v>18.631402492378264</v>
      </c>
      <c r="BT97" s="319">
        <f t="shared" si="216"/>
        <v>20.113109048723899</v>
      </c>
      <c r="BU97" s="319">
        <f t="shared" si="216"/>
        <v>20.048613025283782</v>
      </c>
      <c r="BV97" s="319">
        <f t="shared" si="216"/>
        <v>20.543421303353657</v>
      </c>
      <c r="BW97" s="317">
        <f t="shared" si="216"/>
        <v>18.061540371321502</v>
      </c>
      <c r="BX97" s="319">
        <f t="shared" si="216"/>
        <v>20.035097813578826</v>
      </c>
      <c r="BY97" s="319">
        <f t="shared" si="216"/>
        <v>20.965057407875488</v>
      </c>
      <c r="BZ97" s="319">
        <f t="shared" si="216"/>
        <v>21.247922036328145</v>
      </c>
      <c r="CA97" s="317">
        <f t="shared" si="216"/>
        <v>19.926081929302939</v>
      </c>
      <c r="CB97" s="319">
        <f t="shared" si="216"/>
        <v>21.305205076328857</v>
      </c>
      <c r="CC97" s="319">
        <f t="shared" si="216"/>
        <v>20.549017506252238</v>
      </c>
      <c r="CD97" s="319">
        <f t="shared" si="216"/>
        <v>21.373208479283253</v>
      </c>
      <c r="CE97" s="317">
        <f t="shared" si="216"/>
        <v>20.14802953173988</v>
      </c>
      <c r="CF97" s="319">
        <f t="shared" si="216"/>
        <v>20.946363935505101</v>
      </c>
      <c r="CG97" s="319">
        <f t="shared" ref="CG97:CS97" si="217">-CG61/CG102*365</f>
        <v>20.618984762466201</v>
      </c>
      <c r="CH97" s="319">
        <f t="shared" si="217"/>
        <v>20.669876801370552</v>
      </c>
      <c r="CI97" s="317">
        <f t="shared" si="217"/>
        <v>19.337133318025828</v>
      </c>
      <c r="CJ97" s="319">
        <f t="shared" si="217"/>
        <v>22.20338773873068</v>
      </c>
      <c r="CK97" s="319">
        <f t="shared" si="217"/>
        <v>22.760596992778716</v>
      </c>
      <c r="CL97" s="319">
        <f t="shared" si="217"/>
        <v>23.522132038643047</v>
      </c>
      <c r="CM97" s="317">
        <f t="shared" si="217"/>
        <v>21.260741815320689</v>
      </c>
      <c r="CN97" s="319">
        <f t="shared" si="217"/>
        <v>22.583107118565138</v>
      </c>
      <c r="CO97" s="319">
        <f t="shared" si="217"/>
        <v>22.583328234934228</v>
      </c>
      <c r="CP97" s="319">
        <f t="shared" si="217"/>
        <v>23.544385987268875</v>
      </c>
      <c r="CQ97" s="317">
        <f t="shared" si="217"/>
        <v>22.786963463197111</v>
      </c>
      <c r="CR97" s="319">
        <f t="shared" si="217"/>
        <v>23.429054054054053</v>
      </c>
      <c r="CS97" s="319">
        <f t="shared" si="217"/>
        <v>24.217195049464166</v>
      </c>
      <c r="CT97" s="319">
        <f>-CT61/CT102*365</f>
        <v>25.860030916519658</v>
      </c>
      <c r="CU97" s="317">
        <f>-CU61/CU102*365</f>
        <v>24.364048564168154</v>
      </c>
      <c r="CV97" s="874">
        <f>CU97+1</f>
        <v>25.364048564168154</v>
      </c>
      <c r="CW97" s="874">
        <f>CV97</f>
        <v>25.364048564168154</v>
      </c>
      <c r="CX97" s="874">
        <f>CW97+1</f>
        <v>26.364048564168154</v>
      </c>
      <c r="CY97" s="865">
        <f>CX97-1</f>
        <v>25.364048564168154</v>
      </c>
      <c r="DA97" s="319"/>
      <c r="DB97" s="319">
        <f t="shared" ref="DB97:DX97" si="218">-DB61/DB102*365</f>
        <v>16.610149835320314</v>
      </c>
      <c r="DC97" s="319">
        <f t="shared" si="218"/>
        <v>12.967634206132093</v>
      </c>
      <c r="DD97" s="319">
        <f t="shared" si="218"/>
        <v>12.927374301675977</v>
      </c>
      <c r="DE97" s="319">
        <f t="shared" si="218"/>
        <v>15.565259819468164</v>
      </c>
      <c r="DF97" s="319">
        <f t="shared" si="218"/>
        <v>18.881904369332233</v>
      </c>
      <c r="DG97" s="319">
        <f t="shared" si="218"/>
        <v>15.580026460266028</v>
      </c>
      <c r="DH97" s="319">
        <f t="shared" si="218"/>
        <v>12.915136416603046</v>
      </c>
      <c r="DI97" s="319">
        <f t="shared" si="218"/>
        <v>13.577668391027247</v>
      </c>
      <c r="DJ97" s="319">
        <f t="shared" si="218"/>
        <v>13.945751130184787</v>
      </c>
      <c r="DK97" s="319">
        <f t="shared" si="218"/>
        <v>14.57381780317395</v>
      </c>
      <c r="DL97" s="319">
        <f t="shared" si="218"/>
        <v>13.435779343062492</v>
      </c>
      <c r="DM97" s="319">
        <f t="shared" si="218"/>
        <v>12.622434597474889</v>
      </c>
      <c r="DN97" s="319">
        <f t="shared" si="218"/>
        <v>15.063831672505692</v>
      </c>
      <c r="DO97" s="319">
        <f t="shared" si="218"/>
        <v>15.33959805740909</v>
      </c>
      <c r="DP97" s="319">
        <f t="shared" si="218"/>
        <v>17.768069896743445</v>
      </c>
      <c r="DQ97" s="319">
        <f t="shared" si="218"/>
        <v>18.631402492378264</v>
      </c>
      <c r="DR97" s="319">
        <f t="shared" si="218"/>
        <v>18.061540371321502</v>
      </c>
      <c r="DS97" s="319">
        <f t="shared" si="218"/>
        <v>19.926081929302939</v>
      </c>
      <c r="DT97" s="319">
        <f t="shared" si="218"/>
        <v>20.14802953173988</v>
      </c>
      <c r="DU97" s="319">
        <f t="shared" si="218"/>
        <v>19.337133318025828</v>
      </c>
      <c r="DV97" s="319">
        <f t="shared" si="218"/>
        <v>21.260741815320689</v>
      </c>
      <c r="DW97" s="319">
        <f t="shared" si="218"/>
        <v>22.786963463197111</v>
      </c>
      <c r="DX97" s="319">
        <f t="shared" si="218"/>
        <v>24.364048564168154</v>
      </c>
      <c r="DY97" s="319">
        <f>-DY61/DY102*365</f>
        <v>25.364048564168154</v>
      </c>
      <c r="DZ97" s="322">
        <f>DY97</f>
        <v>25.364048564168154</v>
      </c>
      <c r="EA97" s="322">
        <f>DZ97</f>
        <v>25.364048564168154</v>
      </c>
      <c r="EB97" s="322">
        <f>EA97</f>
        <v>25.364048564168154</v>
      </c>
      <c r="EC97" s="322">
        <f>EB97</f>
        <v>25.364048564168154</v>
      </c>
      <c r="ED97" s="322">
        <f>EC97</f>
        <v>25.364048564168154</v>
      </c>
      <c r="EE97" s="314"/>
      <c r="EF97"/>
      <c r="EG97"/>
      <c r="EH97"/>
      <c r="EI97"/>
      <c r="EJ97"/>
      <c r="EK97"/>
    </row>
    <row r="98" spans="1:141" s="265" customFormat="1">
      <c r="A98" s="258"/>
      <c r="B98" s="854" t="s">
        <v>369</v>
      </c>
      <c r="C98" s="260"/>
      <c r="D98" s="266"/>
      <c r="E98" s="263"/>
      <c r="F98" s="263"/>
      <c r="G98" s="264"/>
      <c r="H98" s="263">
        <f>H129/H6</f>
        <v>-3.5314520732957884E-2</v>
      </c>
      <c r="I98" s="263">
        <f t="shared" ref="I98:BT98" si="219">I129/I6</f>
        <v>-4.0886363757229247E-2</v>
      </c>
      <c r="J98" s="263">
        <f t="shared" si="219"/>
        <v>5.7811629932262076E-2</v>
      </c>
      <c r="K98" s="264">
        <f t="shared" si="219"/>
        <v>1.4803415716673632E-2</v>
      </c>
      <c r="L98" s="263">
        <f t="shared" si="219"/>
        <v>-0.12878926149467401</v>
      </c>
      <c r="M98" s="263">
        <f t="shared" si="219"/>
        <v>1.6953118190056041E-3</v>
      </c>
      <c r="N98" s="263">
        <f t="shared" si="219"/>
        <v>-1.5362444326328174E-2</v>
      </c>
      <c r="O98" s="264">
        <f t="shared" si="219"/>
        <v>2.9913382323623651E-2</v>
      </c>
      <c r="P98" s="263">
        <f t="shared" si="219"/>
        <v>-2.1171693735498841E-2</v>
      </c>
      <c r="Q98" s="263">
        <f t="shared" si="219"/>
        <v>-7.231011797966618E-3</v>
      </c>
      <c r="R98" s="263">
        <f t="shared" si="219"/>
        <v>7.7633107158139245E-3</v>
      </c>
      <c r="S98" s="264">
        <f t="shared" si="219"/>
        <v>2.5003498623874569E-2</v>
      </c>
      <c r="T98" s="263">
        <f t="shared" si="219"/>
        <v>-0.10604793071207126</v>
      </c>
      <c r="U98" s="263">
        <f t="shared" si="219"/>
        <v>4.0091954022988215E-2</v>
      </c>
      <c r="V98" s="263">
        <f t="shared" si="219"/>
        <v>4.7418443359876793E-2</v>
      </c>
      <c r="W98" s="264">
        <f t="shared" si="219"/>
        <v>7.6398926285361247E-3</v>
      </c>
      <c r="X98" s="263">
        <f t="shared" si="219"/>
        <v>3.8701994641262279E-3</v>
      </c>
      <c r="Y98" s="263">
        <f t="shared" si="219"/>
        <v>-5.1335972290945057E-3</v>
      </c>
      <c r="Z98" s="263">
        <f t="shared" si="219"/>
        <v>-0.10066629467948927</v>
      </c>
      <c r="AA98" s="264">
        <f t="shared" si="219"/>
        <v>0.13064455551382428</v>
      </c>
      <c r="AB98" s="263">
        <f t="shared" si="219"/>
        <v>-1.5820871987595585E-2</v>
      </c>
      <c r="AC98" s="263">
        <f t="shared" si="219"/>
        <v>3.7220183974052213E-3</v>
      </c>
      <c r="AD98" s="263">
        <f t="shared" si="219"/>
        <v>-1.9115168092617922E-2</v>
      </c>
      <c r="AE98" s="264">
        <f t="shared" si="219"/>
        <v>4.8004282909999384E-2</v>
      </c>
      <c r="AF98" s="263">
        <f t="shared" si="219"/>
        <v>-2.7029341249001016E-2</v>
      </c>
      <c r="AG98" s="263">
        <f t="shared" si="219"/>
        <v>8.1731035629190318E-3</v>
      </c>
      <c r="AH98" s="263">
        <f t="shared" si="219"/>
        <v>-2.01821868864068E-2</v>
      </c>
      <c r="AI98" s="264">
        <f t="shared" si="219"/>
        <v>5.4449339207048468E-2</v>
      </c>
      <c r="AJ98" s="263">
        <f t="shared" si="219"/>
        <v>3.2252588694618766E-3</v>
      </c>
      <c r="AK98" s="263">
        <f t="shared" si="219"/>
        <v>-6.5661093824165226E-3</v>
      </c>
      <c r="AL98" s="263">
        <f t="shared" si="219"/>
        <v>-1.1475999280877332E-2</v>
      </c>
      <c r="AM98" s="264">
        <f t="shared" si="219"/>
        <v>1.0637166258908022E-4</v>
      </c>
      <c r="AN98" s="263">
        <f t="shared" si="219"/>
        <v>3.4370431169364092E-3</v>
      </c>
      <c r="AO98" s="263">
        <f t="shared" si="219"/>
        <v>1.0704184141226977E-2</v>
      </c>
      <c r="AP98" s="263">
        <f t="shared" si="219"/>
        <v>6.5874266074752892E-3</v>
      </c>
      <c r="AQ98" s="264">
        <f t="shared" si="219"/>
        <v>1.8259582168119754E-2</v>
      </c>
      <c r="AR98" s="263">
        <f t="shared" si="219"/>
        <v>-1.4692460096614061E-2</v>
      </c>
      <c r="AS98" s="263">
        <f t="shared" si="219"/>
        <v>9.967320261437913E-3</v>
      </c>
      <c r="AT98" s="263">
        <f t="shared" si="219"/>
        <v>-9.774744727795175E-3</v>
      </c>
      <c r="AU98" s="264">
        <f t="shared" si="219"/>
        <v>-2.3331233522315658E-4</v>
      </c>
      <c r="AV98" s="263">
        <f t="shared" si="219"/>
        <v>1.6542230517965471E-2</v>
      </c>
      <c r="AW98" s="263">
        <f t="shared" si="219"/>
        <v>1.6246916932545881E-2</v>
      </c>
      <c r="AX98" s="263">
        <f t="shared" si="219"/>
        <v>-0.10116389906185722</v>
      </c>
      <c r="AY98" s="264">
        <f t="shared" si="219"/>
        <v>6.1385778847682405E-2</v>
      </c>
      <c r="AZ98" s="263">
        <f t="shared" si="219"/>
        <v>-5.0400769477396593E-2</v>
      </c>
      <c r="BA98" s="263">
        <f t="shared" si="219"/>
        <v>4.1162529624547755E-3</v>
      </c>
      <c r="BB98" s="263">
        <f t="shared" si="219"/>
        <v>-1.3858515369683263E-2</v>
      </c>
      <c r="BC98" s="264">
        <f t="shared" si="219"/>
        <v>3.7916131293073245E-2</v>
      </c>
      <c r="BD98" s="263">
        <f t="shared" si="219"/>
        <v>-3.4134495358707245E-2</v>
      </c>
      <c r="BE98" s="263">
        <f t="shared" si="219"/>
        <v>8.9524222077828116E-3</v>
      </c>
      <c r="BF98" s="263">
        <f t="shared" si="219"/>
        <v>6.5741621440161381E-3</v>
      </c>
      <c r="BG98" s="264">
        <f t="shared" si="219"/>
        <v>5.8046125939362472E-3</v>
      </c>
      <c r="BH98" s="263">
        <f t="shared" si="219"/>
        <v>-3.5566155122355884E-2</v>
      </c>
      <c r="BI98" s="263">
        <f t="shared" si="219"/>
        <v>-6.0819301331992877E-3</v>
      </c>
      <c r="BJ98" s="263">
        <f t="shared" si="219"/>
        <v>5.04228498484124E-3</v>
      </c>
      <c r="BK98" s="264">
        <f t="shared" si="219"/>
        <v>-1.9727734194739274E-2</v>
      </c>
      <c r="BL98" s="263">
        <f t="shared" si="219"/>
        <v>-2.471982659226122E-2</v>
      </c>
      <c r="BM98" s="263">
        <f t="shared" si="219"/>
        <v>7.2775098640946939E-3</v>
      </c>
      <c r="BN98" s="263">
        <f t="shared" si="219"/>
        <v>3.6539895600298279E-2</v>
      </c>
      <c r="BO98" s="264">
        <f t="shared" si="219"/>
        <v>-2.2571470245040831E-2</v>
      </c>
      <c r="BP98" s="263">
        <f t="shared" si="219"/>
        <v>-3.3860813340139538E-2</v>
      </c>
      <c r="BQ98" s="263">
        <f t="shared" si="219"/>
        <v>2.309742374888955E-2</v>
      </c>
      <c r="BR98" s="263">
        <f t="shared" si="219"/>
        <v>-1.1700882884799629E-3</v>
      </c>
      <c r="BS98" s="264">
        <f t="shared" si="219"/>
        <v>2.5629653096784416E-2</v>
      </c>
      <c r="BT98" s="263">
        <f t="shared" si="219"/>
        <v>-2.540080302987157E-2</v>
      </c>
      <c r="BU98" s="263">
        <f t="shared" ref="BU98:CT98" si="220">BU129/BU6</f>
        <v>-1.1506133884612248E-2</v>
      </c>
      <c r="BV98" s="263">
        <f t="shared" si="220"/>
        <v>-5.8959537572254393E-3</v>
      </c>
      <c r="BW98" s="264">
        <f t="shared" si="220"/>
        <v>4.1499216189254659E-2</v>
      </c>
      <c r="BX98" s="263">
        <f t="shared" si="220"/>
        <v>-4.3715697036223931E-2</v>
      </c>
      <c r="BY98" s="263">
        <f t="shared" si="220"/>
        <v>-6.1391541609822527E-3</v>
      </c>
      <c r="BZ98" s="263">
        <f t="shared" si="220"/>
        <v>4.1541852710111314E-3</v>
      </c>
      <c r="CA98" s="264">
        <f t="shared" si="220"/>
        <v>3.1806205301930415E-2</v>
      </c>
      <c r="CB98" s="263">
        <f t="shared" si="220"/>
        <v>-4.0434749562970281E-2</v>
      </c>
      <c r="CC98" s="263">
        <f t="shared" si="220"/>
        <v>-6.3212661982447397E-4</v>
      </c>
      <c r="CD98" s="263">
        <f t="shared" si="220"/>
        <v>1.1486331265793996E-3</v>
      </c>
      <c r="CE98" s="264">
        <f t="shared" si="220"/>
        <v>3.512605436902326E-2</v>
      </c>
      <c r="CF98" s="263">
        <f t="shared" si="220"/>
        <v>-6.578283407495758E-2</v>
      </c>
      <c r="CG98" s="263">
        <f t="shared" si="220"/>
        <v>-7.8733288259797904E-3</v>
      </c>
      <c r="CH98" s="263">
        <f t="shared" si="220"/>
        <v>2.8350698135940324E-4</v>
      </c>
      <c r="CI98" s="264">
        <f t="shared" si="220"/>
        <v>3.9892740180671259E-2</v>
      </c>
      <c r="CJ98" s="263">
        <f t="shared" si="220"/>
        <v>-7.6126863360905933E-2</v>
      </c>
      <c r="CK98" s="263">
        <f t="shared" si="220"/>
        <v>4.0193307587754322E-2</v>
      </c>
      <c r="CL98" s="263">
        <f t="shared" si="220"/>
        <v>-1.7319816179017619E-3</v>
      </c>
      <c r="CM98" s="264">
        <f t="shared" si="220"/>
        <v>4.7284426194810131E-2</v>
      </c>
      <c r="CN98" s="263">
        <f t="shared" si="220"/>
        <v>-1.6620558021831908E-2</v>
      </c>
      <c r="CO98" s="263">
        <f t="shared" si="220"/>
        <v>2.6964104300711136E-2</v>
      </c>
      <c r="CP98" s="263">
        <f t="shared" si="220"/>
        <v>-1.0361435136090493E-2</v>
      </c>
      <c r="CQ98" s="264">
        <f t="shared" si="220"/>
        <v>1.8326693227091639E-2</v>
      </c>
      <c r="CR98" s="263">
        <f t="shared" si="220"/>
        <v>-2.9068720616184859E-2</v>
      </c>
      <c r="CS98" s="263">
        <f t="shared" si="220"/>
        <v>3.2264990630855729E-2</v>
      </c>
      <c r="CT98" s="263">
        <f t="shared" si="220"/>
        <v>-1.0237880156579351E-2</v>
      </c>
      <c r="CU98" s="264">
        <f t="shared" ref="CU98" si="221">CU129/CU6</f>
        <v>2.1887467839964137E-2</v>
      </c>
      <c r="CV98" s="432">
        <f t="shared" ref="CV98:CY98" si="222">CV129/CV6</f>
        <v>-2.5169060568316359E-2</v>
      </c>
      <c r="CW98" s="263">
        <f t="shared" si="222"/>
        <v>1.4754980149098115E-2</v>
      </c>
      <c r="CX98" s="263">
        <f t="shared" si="222"/>
        <v>-3.0286545508544376E-3</v>
      </c>
      <c r="CY98" s="264">
        <f t="shared" si="222"/>
        <v>2.9601636665950944E-2</v>
      </c>
      <c r="DA98" s="263"/>
      <c r="DB98" s="263">
        <f>DB129/DB6</f>
        <v>7.0993259795334418E-5</v>
      </c>
      <c r="DC98" s="263">
        <f t="shared" ref="DC98:EA98" si="223">DC129/DC6</f>
        <v>-2.4006070399129307E-2</v>
      </c>
      <c r="DD98" s="263">
        <f t="shared" si="223"/>
        <v>2.2470685968758821E-3</v>
      </c>
      <c r="DE98" s="263">
        <f t="shared" si="223"/>
        <v>-1.5232796873965362E-3</v>
      </c>
      <c r="DF98" s="263">
        <f t="shared" si="223"/>
        <v>1.1207839855818745E-2</v>
      </c>
      <c r="DG98" s="263">
        <f t="shared" si="223"/>
        <v>3.9153544426126976E-3</v>
      </c>
      <c r="DH98" s="263">
        <f t="shared" si="223"/>
        <v>4.220276409755812E-3</v>
      </c>
      <c r="DI98" s="263">
        <f t="shared" si="223"/>
        <v>-3.5633570428296102E-3</v>
      </c>
      <c r="DJ98" s="263">
        <f t="shared" si="223"/>
        <v>1.0033848361878997E-2</v>
      </c>
      <c r="DK98" s="263">
        <f t="shared" si="223"/>
        <v>-3.6792452830188664E-3</v>
      </c>
      <c r="DL98" s="263">
        <f t="shared" si="223"/>
        <v>5.6741073517712422E-4</v>
      </c>
      <c r="DM98" s="263">
        <f t="shared" si="223"/>
        <v>-6.1719052183710878E-3</v>
      </c>
      <c r="DN98" s="263">
        <f t="shared" si="223"/>
        <v>-4.2075648640200044E-3</v>
      </c>
      <c r="DO98" s="263">
        <f t="shared" si="223"/>
        <v>-1.4509413801996985E-2</v>
      </c>
      <c r="DP98" s="263">
        <f t="shared" si="223"/>
        <v>-5.9550700234095827E-4</v>
      </c>
      <c r="DQ98" s="263">
        <f t="shared" si="223"/>
        <v>4.0402857477456339E-3</v>
      </c>
      <c r="DR98" s="263">
        <f t="shared" si="223"/>
        <v>-4.4502525341716002E-4</v>
      </c>
      <c r="DS98" s="263">
        <f t="shared" si="223"/>
        <v>-3.3500377565730765E-3</v>
      </c>
      <c r="DT98" s="263">
        <f t="shared" si="223"/>
        <v>-5.0511272637674114E-4</v>
      </c>
      <c r="DU98" s="263">
        <f t="shared" si="223"/>
        <v>-7.9087057814782816E-3</v>
      </c>
      <c r="DV98" s="263">
        <f t="shared" si="223"/>
        <v>3.1848183006248816E-3</v>
      </c>
      <c r="DW98" s="263">
        <f t="shared" si="223"/>
        <v>4.7473811268698542E-3</v>
      </c>
      <c r="DX98" s="263">
        <f t="shared" si="223"/>
        <v>4.2214296184101049E-3</v>
      </c>
      <c r="DY98" s="263">
        <f>DY129/DY6</f>
        <v>4.2073783872343395E-3</v>
      </c>
      <c r="DZ98" s="263">
        <f t="shared" si="223"/>
        <v>7.9820943849116571E-4</v>
      </c>
      <c r="EA98" s="263">
        <f t="shared" si="223"/>
        <v>1.3649033423720446E-3</v>
      </c>
      <c r="EB98" s="263">
        <f t="shared" ref="EB98:ED98" si="224">EB129/EB6</f>
        <v>1.7216450793820924E-3</v>
      </c>
      <c r="EC98" s="263">
        <f t="shared" si="224"/>
        <v>2.3220615169956757E-3</v>
      </c>
      <c r="ED98" s="263">
        <f t="shared" si="224"/>
        <v>2.9069223164996136E-3</v>
      </c>
      <c r="EE98" s="260"/>
      <c r="EF98"/>
      <c r="EG98"/>
      <c r="EH98"/>
      <c r="EI98"/>
      <c r="EJ98"/>
      <c r="EK98"/>
    </row>
    <row r="99" spans="1:141" s="137" customFormat="1">
      <c r="A99" s="193"/>
      <c r="B99" s="309"/>
      <c r="C99" s="199"/>
      <c r="D99" s="223"/>
      <c r="E99" s="199"/>
      <c r="F99" s="199"/>
      <c r="G99" s="211"/>
      <c r="H99" s="199"/>
      <c r="I99" s="199"/>
      <c r="J99" s="199"/>
      <c r="K99" s="211"/>
      <c r="L99" s="199"/>
      <c r="M99" s="199"/>
      <c r="N99" s="199"/>
      <c r="O99" s="211"/>
      <c r="P99" s="199"/>
      <c r="Q99" s="199"/>
      <c r="R99" s="199"/>
      <c r="S99" s="211"/>
      <c r="T99" s="199"/>
      <c r="U99" s="199"/>
      <c r="V99" s="199"/>
      <c r="W99" s="211"/>
      <c r="X99" s="199"/>
      <c r="Y99" s="199"/>
      <c r="Z99" s="199"/>
      <c r="AA99" s="211"/>
      <c r="AB99" s="199"/>
      <c r="AC99" s="199"/>
      <c r="AD99" s="199"/>
      <c r="AE99" s="211"/>
      <c r="AF99" s="199"/>
      <c r="AG99" s="199"/>
      <c r="AH99" s="199"/>
      <c r="AI99" s="211"/>
      <c r="AJ99" s="199"/>
      <c r="AK99" s="199"/>
      <c r="AL99" s="199"/>
      <c r="AM99" s="211"/>
      <c r="AN99" s="233"/>
      <c r="AO99" s="233"/>
      <c r="AP99" s="233"/>
      <c r="AQ99" s="232"/>
      <c r="AR99" s="233"/>
      <c r="AS99" s="233"/>
      <c r="AT99" s="233"/>
      <c r="AU99" s="232"/>
      <c r="AV99" s="233"/>
      <c r="AW99" s="233"/>
      <c r="AX99" s="233"/>
      <c r="AY99" s="232"/>
      <c r="AZ99" s="233"/>
      <c r="BA99" s="233"/>
      <c r="BB99" s="233"/>
      <c r="BC99" s="232"/>
      <c r="BD99" s="233"/>
      <c r="BE99" s="233"/>
      <c r="BF99" s="233"/>
      <c r="BG99" s="232"/>
      <c r="BH99" s="233"/>
      <c r="BI99" s="233"/>
      <c r="BJ99" s="233"/>
      <c r="BK99" s="232"/>
      <c r="BL99" s="233"/>
      <c r="BM99" s="233"/>
      <c r="BN99" s="233"/>
      <c r="BO99" s="232"/>
      <c r="BP99" s="233"/>
      <c r="BQ99" s="233"/>
      <c r="BR99" s="233"/>
      <c r="BS99" s="232"/>
      <c r="BT99" s="233"/>
      <c r="BU99" s="233"/>
      <c r="BV99" s="233"/>
      <c r="BW99" s="232"/>
      <c r="BX99" s="233"/>
      <c r="BY99" s="233"/>
      <c r="BZ99" s="233"/>
      <c r="CA99" s="232"/>
      <c r="CB99" s="233"/>
      <c r="CC99" s="233"/>
      <c r="CD99" s="233"/>
      <c r="CE99" s="232"/>
      <c r="CF99" s="233"/>
      <c r="CG99" s="233"/>
      <c r="CH99" s="233"/>
      <c r="CI99" s="232"/>
      <c r="CJ99" s="233"/>
      <c r="CK99" s="233"/>
      <c r="CL99" s="233"/>
      <c r="CM99" s="232"/>
      <c r="CN99" s="233"/>
      <c r="CO99" s="233"/>
      <c r="CP99" s="233"/>
      <c r="CQ99" s="232"/>
      <c r="CR99" s="233"/>
      <c r="CS99" s="233"/>
      <c r="CT99" s="233"/>
      <c r="CU99" s="232"/>
      <c r="CV99" s="233"/>
      <c r="CW99" s="233"/>
      <c r="CX99" s="233"/>
      <c r="CY99" s="232"/>
      <c r="DA99" s="233"/>
      <c r="DB99" s="233"/>
      <c r="DC99" s="233"/>
      <c r="DD99" s="233"/>
      <c r="DE99" s="233"/>
      <c r="DF99" s="233"/>
      <c r="DG99" s="233"/>
      <c r="DH99" s="233"/>
      <c r="DI99" s="233"/>
      <c r="DJ99" s="233"/>
      <c r="DK99" s="233"/>
      <c r="DL99" s="233"/>
      <c r="DM99" s="233"/>
      <c r="DN99" s="233"/>
      <c r="DO99" s="233"/>
      <c r="DP99" s="233"/>
      <c r="DQ99" s="233"/>
      <c r="DR99" s="233"/>
      <c r="DS99" s="233"/>
      <c r="DT99" s="233"/>
      <c r="DU99" s="233"/>
      <c r="DV99" s="558"/>
      <c r="DW99" s="558"/>
      <c r="DX99" s="199"/>
      <c r="DY99" s="199"/>
      <c r="DZ99" s="199"/>
      <c r="EA99" s="199"/>
      <c r="EB99" s="199"/>
      <c r="EC99" s="199"/>
      <c r="ED99" s="199"/>
      <c r="EE99" s="199"/>
      <c r="EF99"/>
      <c r="EG99"/>
      <c r="EH99"/>
      <c r="EI99"/>
      <c r="EJ99"/>
      <c r="EK99"/>
    </row>
    <row r="100" spans="1:141" s="137" customFormat="1">
      <c r="A100" s="193"/>
      <c r="B100" s="311" t="s">
        <v>291</v>
      </c>
      <c r="C100" s="199"/>
      <c r="D100" s="223"/>
      <c r="E100" s="199"/>
      <c r="F100" s="199"/>
      <c r="G100" s="211"/>
      <c r="H100" s="199"/>
      <c r="I100" s="199"/>
      <c r="J100" s="199"/>
      <c r="K100" s="211"/>
      <c r="L100" s="199"/>
      <c r="M100" s="199"/>
      <c r="N100" s="199"/>
      <c r="O100" s="211"/>
      <c r="P100" s="199"/>
      <c r="Q100" s="199"/>
      <c r="R100" s="199"/>
      <c r="S100" s="211"/>
      <c r="T100" s="199"/>
      <c r="U100" s="199"/>
      <c r="V100" s="199"/>
      <c r="W100" s="211"/>
      <c r="X100" s="199"/>
      <c r="Y100" s="199"/>
      <c r="Z100" s="199"/>
      <c r="AA100" s="211"/>
      <c r="AB100" s="199"/>
      <c r="AC100" s="199"/>
      <c r="AD100" s="199"/>
      <c r="AE100" s="211"/>
      <c r="AF100" s="199"/>
      <c r="AG100" s="199"/>
      <c r="AH100" s="199"/>
      <c r="AI100" s="211"/>
      <c r="AJ100" s="199"/>
      <c r="AK100" s="199"/>
      <c r="AL100" s="199"/>
      <c r="AM100" s="211"/>
      <c r="AN100" s="233"/>
      <c r="AO100" s="233"/>
      <c r="AP100" s="233"/>
      <c r="AQ100" s="232"/>
      <c r="AR100" s="233"/>
      <c r="AS100" s="233"/>
      <c r="AT100" s="233"/>
      <c r="AU100" s="232"/>
      <c r="AV100" s="233"/>
      <c r="AW100" s="233"/>
      <c r="AX100" s="233"/>
      <c r="AY100" s="232"/>
      <c r="AZ100" s="233"/>
      <c r="BA100" s="233"/>
      <c r="BB100" s="233"/>
      <c r="BC100" s="232"/>
      <c r="BD100" s="233"/>
      <c r="BE100" s="233"/>
      <c r="BF100" s="233"/>
      <c r="BG100" s="232"/>
      <c r="BH100" s="233"/>
      <c r="BI100" s="233"/>
      <c r="BJ100" s="233"/>
      <c r="BK100" s="232"/>
      <c r="BL100" s="233"/>
      <c r="BM100" s="233"/>
      <c r="BN100" s="233"/>
      <c r="BO100" s="232"/>
      <c r="BP100" s="233"/>
      <c r="BQ100" s="233"/>
      <c r="BR100" s="233"/>
      <c r="BS100" s="232"/>
      <c r="BT100" s="233"/>
      <c r="BU100" s="233"/>
      <c r="BV100" s="233"/>
      <c r="BW100" s="232"/>
      <c r="BX100" s="233"/>
      <c r="BY100" s="233"/>
      <c r="BZ100" s="233"/>
      <c r="CA100" s="232"/>
      <c r="CB100" s="233"/>
      <c r="CC100" s="233"/>
      <c r="CD100" s="233"/>
      <c r="CE100" s="232"/>
      <c r="CF100" s="233"/>
      <c r="CG100" s="233"/>
      <c r="CH100" s="233"/>
      <c r="CI100" s="232"/>
      <c r="CJ100" s="233"/>
      <c r="CK100" s="233"/>
      <c r="CL100" s="233"/>
      <c r="CM100" s="232"/>
      <c r="CN100" s="233"/>
      <c r="CO100" s="233"/>
      <c r="CP100" s="233"/>
      <c r="CQ100" s="232"/>
      <c r="CR100" s="233"/>
      <c r="CS100" s="233"/>
      <c r="CT100" s="233"/>
      <c r="CU100" s="232"/>
      <c r="CV100" s="233"/>
      <c r="CW100" s="233"/>
      <c r="CX100" s="233"/>
      <c r="CY100" s="232"/>
      <c r="DA100" s="233"/>
      <c r="DB100" s="233"/>
      <c r="DC100" s="233"/>
      <c r="DD100" s="233"/>
      <c r="DE100" s="233"/>
      <c r="DF100" s="233"/>
      <c r="DG100" s="233"/>
      <c r="DH100" s="233"/>
      <c r="DI100" s="233"/>
      <c r="DJ100" s="233"/>
      <c r="DK100" s="233"/>
      <c r="DL100" s="233"/>
      <c r="DM100" s="233"/>
      <c r="DN100" s="233"/>
      <c r="DO100" s="233"/>
      <c r="DP100" s="233"/>
      <c r="DQ100" s="233"/>
      <c r="DR100" s="233"/>
      <c r="DS100" s="233"/>
      <c r="DT100" s="233"/>
      <c r="DU100" s="233"/>
      <c r="DV100" s="558"/>
      <c r="DW100" s="558"/>
      <c r="DX100" s="199"/>
      <c r="DY100" s="199"/>
      <c r="DZ100" s="199"/>
      <c r="EA100" s="199"/>
      <c r="EB100" s="199"/>
      <c r="EC100" s="199"/>
      <c r="ED100" s="199"/>
      <c r="EE100" s="199"/>
      <c r="EF100"/>
      <c r="EG100"/>
      <c r="EH100"/>
      <c r="EI100"/>
      <c r="EJ100"/>
      <c r="EK100"/>
    </row>
    <row r="101" spans="1:141" s="137" customFormat="1">
      <c r="A101" s="193"/>
      <c r="B101" s="252" t="s">
        <v>143</v>
      </c>
      <c r="C101" s="199"/>
      <c r="D101" s="223"/>
      <c r="E101" s="199"/>
      <c r="F101" s="199"/>
      <c r="G101" s="211">
        <f>SUM(D6:G6)</f>
        <v>3147.4</v>
      </c>
      <c r="H101" s="212">
        <f t="shared" ref="H101:BS101" si="225">SUM(E6:H6)</f>
        <v>3504.2</v>
      </c>
      <c r="I101" s="212">
        <f t="shared" si="225"/>
        <v>3824.7</v>
      </c>
      <c r="J101" s="212">
        <f t="shared" si="225"/>
        <v>4206.7999999999993</v>
      </c>
      <c r="K101" s="196">
        <f t="shared" si="225"/>
        <v>4714.3999999999996</v>
      </c>
      <c r="L101" s="212">
        <f t="shared" si="225"/>
        <v>5076.7</v>
      </c>
      <c r="M101" s="212">
        <f t="shared" si="225"/>
        <v>5552.8</v>
      </c>
      <c r="N101" s="212">
        <f t="shared" si="225"/>
        <v>5977.7999999999993</v>
      </c>
      <c r="O101" s="196">
        <f t="shared" si="225"/>
        <v>6249.1</v>
      </c>
      <c r="P101" s="212">
        <f t="shared" si="225"/>
        <v>6567.3</v>
      </c>
      <c r="Q101" s="212">
        <f t="shared" si="225"/>
        <v>6787.9000000000005</v>
      </c>
      <c r="R101" s="212">
        <f t="shared" si="225"/>
        <v>6918.2000000000007</v>
      </c>
      <c r="S101" s="196">
        <f t="shared" si="225"/>
        <v>7342.9000000000005</v>
      </c>
      <c r="T101" s="212">
        <f t="shared" si="225"/>
        <v>7651</v>
      </c>
      <c r="U101" s="212">
        <f t="shared" si="225"/>
        <v>7986.7</v>
      </c>
      <c r="V101" s="212">
        <f t="shared" si="225"/>
        <v>8297.2999999999993</v>
      </c>
      <c r="W101" s="196">
        <f t="shared" si="225"/>
        <v>9059.4000000000015</v>
      </c>
      <c r="X101" s="212">
        <f t="shared" si="225"/>
        <v>9714.5</v>
      </c>
      <c r="Y101" s="212">
        <f t="shared" si="225"/>
        <v>10773.1</v>
      </c>
      <c r="Z101" s="212">
        <f t="shared" si="225"/>
        <v>11873.3</v>
      </c>
      <c r="AA101" s="196">
        <f t="shared" si="225"/>
        <v>12428.8</v>
      </c>
      <c r="AB101" s="212">
        <f t="shared" si="225"/>
        <v>13546.699999999999</v>
      </c>
      <c r="AC101" s="212">
        <f t="shared" si="225"/>
        <v>14074.5</v>
      </c>
      <c r="AD101" s="212">
        <f t="shared" si="225"/>
        <v>14171.9</v>
      </c>
      <c r="AE101" s="196">
        <f t="shared" si="225"/>
        <v>14072.8</v>
      </c>
      <c r="AF101" s="212">
        <f t="shared" si="225"/>
        <v>13771.300000000001</v>
      </c>
      <c r="AG101" s="212">
        <f t="shared" si="225"/>
        <v>13619.3</v>
      </c>
      <c r="AH101" s="212">
        <f t="shared" si="225"/>
        <v>13581.899999999998</v>
      </c>
      <c r="AI101" s="196">
        <f t="shared" si="225"/>
        <v>13624.7</v>
      </c>
      <c r="AJ101" s="212">
        <f t="shared" si="225"/>
        <v>13655.7</v>
      </c>
      <c r="AK101" s="212">
        <f t="shared" si="225"/>
        <v>13838.5</v>
      </c>
      <c r="AL101" s="212">
        <f t="shared" si="225"/>
        <v>14069.199999999999</v>
      </c>
      <c r="AM101" s="196">
        <f t="shared" si="225"/>
        <v>14424.599999999999</v>
      </c>
      <c r="AN101" s="199">
        <f t="shared" si="225"/>
        <v>14788.7</v>
      </c>
      <c r="AO101" s="212">
        <f t="shared" si="225"/>
        <v>15097.7</v>
      </c>
      <c r="AP101" s="199">
        <f t="shared" si="225"/>
        <v>15251.8</v>
      </c>
      <c r="AQ101" s="196">
        <f t="shared" si="225"/>
        <v>15746.7</v>
      </c>
      <c r="AR101" s="199">
        <f t="shared" si="225"/>
        <v>16340.1</v>
      </c>
      <c r="AS101" s="212">
        <f t="shared" si="225"/>
        <v>16522.900000000001</v>
      </c>
      <c r="AT101" s="199">
        <f t="shared" si="225"/>
        <v>16929.2</v>
      </c>
      <c r="AU101" s="196">
        <f t="shared" si="225"/>
        <v>16960</v>
      </c>
      <c r="AV101" s="199">
        <f t="shared" si="225"/>
        <v>16753.900000000001</v>
      </c>
      <c r="AW101" s="212">
        <f t="shared" si="225"/>
        <v>16889.2</v>
      </c>
      <c r="AX101" s="199">
        <f t="shared" si="225"/>
        <v>16978</v>
      </c>
      <c r="AY101" s="196">
        <f t="shared" si="225"/>
        <v>17095.2</v>
      </c>
      <c r="AZ101" s="199">
        <f t="shared" si="225"/>
        <v>17487.7</v>
      </c>
      <c r="BA101" s="212">
        <f t="shared" si="225"/>
        <v>17878.599999999999</v>
      </c>
      <c r="BB101" s="199">
        <f t="shared" si="225"/>
        <v>17961.7</v>
      </c>
      <c r="BC101" s="196">
        <f t="shared" si="225"/>
        <v>17838.900000000001</v>
      </c>
      <c r="BD101" s="199">
        <f t="shared" si="225"/>
        <v>17566.5</v>
      </c>
      <c r="BE101" s="212">
        <f t="shared" si="225"/>
        <v>16911.600000000002</v>
      </c>
      <c r="BF101" s="199">
        <f t="shared" si="225"/>
        <v>16416.5</v>
      </c>
      <c r="BG101" s="196">
        <f t="shared" si="225"/>
        <v>15995.000000000002</v>
      </c>
      <c r="BH101" s="199">
        <f t="shared" si="225"/>
        <v>15446.5</v>
      </c>
      <c r="BI101" s="212">
        <f t="shared" si="225"/>
        <v>15270.2</v>
      </c>
      <c r="BJ101" s="199">
        <f t="shared" si="225"/>
        <v>14829.1</v>
      </c>
      <c r="BK101" s="196">
        <f t="shared" si="225"/>
        <v>13570.5</v>
      </c>
      <c r="BL101" s="199">
        <f t="shared" si="225"/>
        <v>11881.2</v>
      </c>
      <c r="BM101" s="212">
        <f t="shared" si="225"/>
        <v>10183.200000000001</v>
      </c>
      <c r="BN101" s="212">
        <f t="shared" si="225"/>
        <v>9597.6</v>
      </c>
      <c r="BO101" s="196">
        <f t="shared" si="225"/>
        <v>9739.6</v>
      </c>
      <c r="BP101" s="199">
        <f t="shared" si="225"/>
        <v>10509.8</v>
      </c>
      <c r="BQ101" s="212">
        <f t="shared" si="225"/>
        <v>11268.099999999999</v>
      </c>
      <c r="BR101" s="212">
        <f t="shared" si="225"/>
        <v>11540.5</v>
      </c>
      <c r="BS101" s="196">
        <f t="shared" si="225"/>
        <v>11954.6</v>
      </c>
      <c r="BT101" s="199">
        <f t="shared" ref="BT101:CY101" si="226">SUM(BQ6:BT6)</f>
        <v>12527.8</v>
      </c>
      <c r="BU101" s="212">
        <f t="shared" si="226"/>
        <v>13164.8</v>
      </c>
      <c r="BV101" s="212">
        <f t="shared" si="226"/>
        <v>13804.5</v>
      </c>
      <c r="BW101" s="196">
        <f t="shared" si="226"/>
        <v>14156.5</v>
      </c>
      <c r="BX101" s="212">
        <f t="shared" si="226"/>
        <v>14288.8</v>
      </c>
      <c r="BY101" s="212">
        <f t="shared" si="226"/>
        <v>14277.5</v>
      </c>
      <c r="BZ101" s="212">
        <f t="shared" si="226"/>
        <v>14356.1</v>
      </c>
      <c r="CA101" s="196">
        <f t="shared" si="226"/>
        <v>14567</v>
      </c>
      <c r="CB101" s="212">
        <f t="shared" si="226"/>
        <v>14870.1</v>
      </c>
      <c r="CC101" s="212">
        <f t="shared" si="226"/>
        <v>15318.2</v>
      </c>
      <c r="CD101" s="212">
        <f t="shared" si="226"/>
        <v>15697.3</v>
      </c>
      <c r="CE101" s="196">
        <f t="shared" si="226"/>
        <v>16234.000000000002</v>
      </c>
      <c r="CF101" s="212">
        <f t="shared" si="226"/>
        <v>16646.7</v>
      </c>
      <c r="CG101" s="212">
        <f t="shared" si="226"/>
        <v>17118.7</v>
      </c>
      <c r="CH101" s="212">
        <f t="shared" si="226"/>
        <v>17433.7</v>
      </c>
      <c r="CI101" s="196">
        <f t="shared" si="226"/>
        <v>17727.300000000003</v>
      </c>
      <c r="CJ101" s="212">
        <f t="shared" si="226"/>
        <v>17888.900000000001</v>
      </c>
      <c r="CK101" s="212">
        <f t="shared" si="226"/>
        <v>17938.900000000001</v>
      </c>
      <c r="CL101" s="212">
        <f t="shared" si="226"/>
        <v>18036.5</v>
      </c>
      <c r="CM101" s="196">
        <f t="shared" si="226"/>
        <v>18211.400000000001</v>
      </c>
      <c r="CN101" s="212">
        <f t="shared" si="226"/>
        <v>18352.900000000001</v>
      </c>
      <c r="CO101" s="212">
        <f t="shared" si="226"/>
        <v>18442.600000000002</v>
      </c>
      <c r="CP101" s="212">
        <f t="shared" si="226"/>
        <v>18638.699999999997</v>
      </c>
      <c r="CQ101" s="196">
        <f t="shared" si="226"/>
        <v>18557.599999999999</v>
      </c>
      <c r="CR101" s="212">
        <f t="shared" si="226"/>
        <v>18893.2</v>
      </c>
      <c r="CS101" s="212">
        <f t="shared" si="226"/>
        <v>19291.599999999999</v>
      </c>
      <c r="CT101" s="212">
        <f t="shared" si="226"/>
        <v>19746.7</v>
      </c>
      <c r="CU101" s="196">
        <f t="shared" si="226"/>
        <v>20467</v>
      </c>
      <c r="CV101" s="212">
        <f t="shared" si="226"/>
        <v>20942.180242800139</v>
      </c>
      <c r="CW101" s="212">
        <f t="shared" si="226"/>
        <v>21449.055816580185</v>
      </c>
      <c r="CX101" s="212">
        <f t="shared" si="226"/>
        <v>21808.140655031708</v>
      </c>
      <c r="CY101" s="196">
        <f t="shared" si="226"/>
        <v>21959.685294590308</v>
      </c>
      <c r="DA101" s="226">
        <f t="shared" ref="DA101:EA101" si="227">DA6</f>
        <v>3147.4</v>
      </c>
      <c r="DB101" s="226">
        <f t="shared" si="227"/>
        <v>4714.3999999999996</v>
      </c>
      <c r="DC101" s="226">
        <f t="shared" si="227"/>
        <v>6249.1</v>
      </c>
      <c r="DD101" s="226">
        <f t="shared" si="227"/>
        <v>7342.9000000000005</v>
      </c>
      <c r="DE101" s="226">
        <f t="shared" si="227"/>
        <v>9059.4000000000015</v>
      </c>
      <c r="DF101" s="226">
        <f t="shared" si="227"/>
        <v>12428.8</v>
      </c>
      <c r="DG101" s="226">
        <f t="shared" si="227"/>
        <v>14072.8</v>
      </c>
      <c r="DH101" s="226">
        <f t="shared" si="227"/>
        <v>13624.7</v>
      </c>
      <c r="DI101" s="226">
        <f t="shared" si="227"/>
        <v>14424.599999999999</v>
      </c>
      <c r="DJ101" s="226">
        <f t="shared" si="227"/>
        <v>15746.7</v>
      </c>
      <c r="DK101" s="226">
        <f t="shared" si="227"/>
        <v>16960</v>
      </c>
      <c r="DL101" s="226">
        <f t="shared" si="227"/>
        <v>17095.2</v>
      </c>
      <c r="DM101" s="226">
        <f t="shared" si="227"/>
        <v>17838.900000000001</v>
      </c>
      <c r="DN101" s="226">
        <f t="shared" si="227"/>
        <v>15995.000000000002</v>
      </c>
      <c r="DO101" s="226">
        <f t="shared" si="227"/>
        <v>13570.5</v>
      </c>
      <c r="DP101" s="226">
        <f t="shared" si="227"/>
        <v>9739.6</v>
      </c>
      <c r="DQ101" s="226">
        <f t="shared" si="227"/>
        <v>11954.6</v>
      </c>
      <c r="DR101" s="226">
        <f t="shared" si="227"/>
        <v>14156.5</v>
      </c>
      <c r="DS101" s="226">
        <f t="shared" si="227"/>
        <v>14567</v>
      </c>
      <c r="DT101" s="226">
        <f t="shared" si="227"/>
        <v>16234.000000000002</v>
      </c>
      <c r="DU101" s="226">
        <f t="shared" si="227"/>
        <v>17727.300000000003</v>
      </c>
      <c r="DV101" s="226">
        <f t="shared" si="227"/>
        <v>18211.400000000001</v>
      </c>
      <c r="DW101" s="226">
        <f t="shared" si="227"/>
        <v>18557.599999999999</v>
      </c>
      <c r="DX101" s="226">
        <f t="shared" si="227"/>
        <v>20467</v>
      </c>
      <c r="DY101" s="226">
        <f>DY6</f>
        <v>21959.685294590308</v>
      </c>
      <c r="DZ101" s="226">
        <f t="shared" si="227"/>
        <v>23317.405897728528</v>
      </c>
      <c r="EA101" s="226">
        <f t="shared" si="227"/>
        <v>24492.918082705677</v>
      </c>
      <c r="EB101" s="226">
        <f t="shared" ref="EB101:ED101" si="228">EB6</f>
        <v>25628.579055530419</v>
      </c>
      <c r="EC101" s="226">
        <f t="shared" si="228"/>
        <v>26536.860155608887</v>
      </c>
      <c r="ED101" s="226">
        <f t="shared" si="228"/>
        <v>27150.110644374858</v>
      </c>
      <c r="EE101" s="199"/>
      <c r="EF101"/>
      <c r="EG101"/>
      <c r="EH101"/>
      <c r="EI101"/>
      <c r="EJ101"/>
      <c r="EK101"/>
    </row>
    <row r="102" spans="1:141" s="137" customFormat="1">
      <c r="A102" s="193"/>
      <c r="B102" s="252" t="s">
        <v>202</v>
      </c>
      <c r="C102" s="199"/>
      <c r="D102" s="223"/>
      <c r="E102" s="199"/>
      <c r="F102" s="199"/>
      <c r="G102" s="211">
        <f>SUM(D8:G8)</f>
        <v>-2884</v>
      </c>
      <c r="H102" s="212">
        <f t="shared" ref="H102:BS102" si="229">SUM(E8:H8)</f>
        <v>-3214.1</v>
      </c>
      <c r="I102" s="212">
        <f t="shared" si="229"/>
        <v>-3518.3999999999996</v>
      </c>
      <c r="J102" s="212">
        <f t="shared" si="229"/>
        <v>-3866.2000000000003</v>
      </c>
      <c r="K102" s="196">
        <f t="shared" si="229"/>
        <v>-4311.3999999999996</v>
      </c>
      <c r="L102" s="212">
        <f t="shared" si="229"/>
        <v>-4629.7</v>
      </c>
      <c r="M102" s="212">
        <f t="shared" si="229"/>
        <v>-5033.7</v>
      </c>
      <c r="N102" s="212">
        <f t="shared" si="229"/>
        <v>-5398.2000000000007</v>
      </c>
      <c r="O102" s="196">
        <f t="shared" si="229"/>
        <v>-5629.4</v>
      </c>
      <c r="P102" s="212">
        <f t="shared" si="229"/>
        <v>-5890.2999999999993</v>
      </c>
      <c r="Q102" s="212">
        <f t="shared" si="229"/>
        <v>-6064.3</v>
      </c>
      <c r="R102" s="212">
        <f t="shared" si="229"/>
        <v>-6163</v>
      </c>
      <c r="S102" s="196">
        <f t="shared" si="229"/>
        <v>-6533.5</v>
      </c>
      <c r="T102" s="212">
        <f t="shared" si="229"/>
        <v>-6819.2999999999993</v>
      </c>
      <c r="U102" s="212">
        <f t="shared" si="229"/>
        <v>-7136.9</v>
      </c>
      <c r="V102" s="212">
        <f t="shared" si="229"/>
        <v>-7460.8</v>
      </c>
      <c r="W102" s="196">
        <f t="shared" si="229"/>
        <v>-8198</v>
      </c>
      <c r="X102" s="212">
        <f t="shared" si="229"/>
        <v>-8834.6</v>
      </c>
      <c r="Y102" s="212">
        <f t="shared" si="229"/>
        <v>-9785.6</v>
      </c>
      <c r="Z102" s="212">
        <f t="shared" si="229"/>
        <v>-10742.900000000001</v>
      </c>
      <c r="AA102" s="196">
        <f t="shared" si="229"/>
        <v>-11159.6</v>
      </c>
      <c r="AB102" s="212">
        <f t="shared" si="229"/>
        <v>-12139.2</v>
      </c>
      <c r="AC102" s="212">
        <f t="shared" si="229"/>
        <v>-12599.2</v>
      </c>
      <c r="AD102" s="212">
        <f t="shared" si="229"/>
        <v>-12701.7</v>
      </c>
      <c r="AE102" s="196">
        <f t="shared" si="229"/>
        <v>-12622.699999999999</v>
      </c>
      <c r="AF102" s="212">
        <f t="shared" si="229"/>
        <v>-12410.8</v>
      </c>
      <c r="AG102" s="212">
        <f t="shared" si="229"/>
        <v>-12351.500000000002</v>
      </c>
      <c r="AH102" s="212">
        <f t="shared" si="229"/>
        <v>-12354.1</v>
      </c>
      <c r="AI102" s="196">
        <f t="shared" si="229"/>
        <v>-12443.5</v>
      </c>
      <c r="AJ102" s="212">
        <f t="shared" si="229"/>
        <v>-12469.3</v>
      </c>
      <c r="AK102" s="212">
        <f t="shared" si="229"/>
        <v>-12637.1</v>
      </c>
      <c r="AL102" s="212">
        <f t="shared" si="229"/>
        <v>-12843.300000000001</v>
      </c>
      <c r="AM102" s="196">
        <f t="shared" si="229"/>
        <v>-13164.3</v>
      </c>
      <c r="AN102" s="199">
        <f t="shared" si="229"/>
        <v>-13492.4</v>
      </c>
      <c r="AO102" s="212">
        <f t="shared" si="229"/>
        <v>-13777.5</v>
      </c>
      <c r="AP102" s="199">
        <f t="shared" si="229"/>
        <v>-13912.2</v>
      </c>
      <c r="AQ102" s="196">
        <f t="shared" si="229"/>
        <v>-14400.300000000001</v>
      </c>
      <c r="AR102" s="199">
        <f t="shared" si="229"/>
        <v>-14955.400000000001</v>
      </c>
      <c r="AS102" s="212">
        <f t="shared" si="229"/>
        <v>-15119.800000000001</v>
      </c>
      <c r="AT102" s="199">
        <f t="shared" si="229"/>
        <v>-15509.6</v>
      </c>
      <c r="AU102" s="196">
        <f t="shared" si="229"/>
        <v>-15557.900000000001</v>
      </c>
      <c r="AV102" s="199">
        <f t="shared" si="229"/>
        <v>-15498.800000000001</v>
      </c>
      <c r="AW102" s="212">
        <f t="shared" si="229"/>
        <v>-15762.9</v>
      </c>
      <c r="AX102" s="199">
        <f t="shared" si="229"/>
        <v>-15988.529999999999</v>
      </c>
      <c r="AY102" s="196">
        <f t="shared" si="229"/>
        <v>-16180.23</v>
      </c>
      <c r="AZ102" s="199">
        <f t="shared" si="229"/>
        <v>-16529.53</v>
      </c>
      <c r="BA102" s="212">
        <f t="shared" si="229"/>
        <v>-16857.829999999998</v>
      </c>
      <c r="BB102" s="199">
        <f t="shared" si="229"/>
        <v>-16921.399999999998</v>
      </c>
      <c r="BC102" s="196">
        <f t="shared" si="229"/>
        <v>-16815.099999999999</v>
      </c>
      <c r="BD102" s="199">
        <f t="shared" si="229"/>
        <v>-16455.400000000001</v>
      </c>
      <c r="BE102" s="212">
        <f t="shared" si="229"/>
        <v>-15738.399999999998</v>
      </c>
      <c r="BF102" s="199">
        <f t="shared" si="229"/>
        <v>-15143.599999999999</v>
      </c>
      <c r="BG102" s="196">
        <f t="shared" si="229"/>
        <v>-14671.4</v>
      </c>
      <c r="BH102" s="199">
        <f t="shared" si="229"/>
        <v>-14134.400000000001</v>
      </c>
      <c r="BI102" s="212">
        <f t="shared" si="229"/>
        <v>-14016.599999999999</v>
      </c>
      <c r="BJ102" s="199">
        <f t="shared" si="229"/>
        <v>-13710.900000000001</v>
      </c>
      <c r="BK102" s="196">
        <f t="shared" si="229"/>
        <v>-12663.5</v>
      </c>
      <c r="BL102" s="199">
        <f t="shared" si="229"/>
        <v>-11259.4</v>
      </c>
      <c r="BM102" s="212">
        <f t="shared" si="229"/>
        <v>-9801.4</v>
      </c>
      <c r="BN102" s="212">
        <f t="shared" si="229"/>
        <v>-9174.1</v>
      </c>
      <c r="BO102" s="196">
        <f t="shared" si="229"/>
        <v>-9190.7000000000007</v>
      </c>
      <c r="BP102" s="199">
        <f t="shared" si="229"/>
        <v>-9723.1</v>
      </c>
      <c r="BQ102" s="212">
        <f t="shared" si="229"/>
        <v>-10247.1</v>
      </c>
      <c r="BR102" s="212">
        <f t="shared" si="229"/>
        <v>-10464.5</v>
      </c>
      <c r="BS102" s="196">
        <f t="shared" si="229"/>
        <v>-10857.099999999999</v>
      </c>
      <c r="BT102" s="199">
        <f t="shared" ref="BT102:CY102" si="230">SUM(BQ8:BT8)</f>
        <v>-11378.4</v>
      </c>
      <c r="BU102" s="212">
        <f t="shared" si="230"/>
        <v>-11972.100000000002</v>
      </c>
      <c r="BV102" s="212">
        <f t="shared" si="230"/>
        <v>-12595.2</v>
      </c>
      <c r="BW102" s="196">
        <f t="shared" si="230"/>
        <v>-12889.1</v>
      </c>
      <c r="BX102" s="212">
        <f t="shared" si="230"/>
        <v>-13035</v>
      </c>
      <c r="BY102" s="212">
        <f t="shared" si="230"/>
        <v>-13055.699999999999</v>
      </c>
      <c r="BZ102" s="212">
        <f t="shared" si="230"/>
        <v>-13113.8</v>
      </c>
      <c r="CA102" s="196">
        <f t="shared" si="230"/>
        <v>-13318.800000000001</v>
      </c>
      <c r="CB102" s="212">
        <f t="shared" si="230"/>
        <v>-13592.5</v>
      </c>
      <c r="CC102" s="212">
        <f t="shared" si="230"/>
        <v>-13994.999999999998</v>
      </c>
      <c r="CD102" s="212">
        <f t="shared" si="230"/>
        <v>-14331.4</v>
      </c>
      <c r="CE102" s="196">
        <f t="shared" si="230"/>
        <v>-14831.5</v>
      </c>
      <c r="CF102" s="212">
        <f t="shared" si="230"/>
        <v>-15194.999999999998</v>
      </c>
      <c r="CG102" s="212">
        <f t="shared" si="230"/>
        <v>-15606.2</v>
      </c>
      <c r="CH102" s="212">
        <f t="shared" si="230"/>
        <v>-15876.800000000001</v>
      </c>
      <c r="CI102" s="196">
        <f t="shared" si="230"/>
        <v>-16114.1</v>
      </c>
      <c r="CJ102" s="212">
        <f t="shared" si="230"/>
        <v>-16205.499999999998</v>
      </c>
      <c r="CK102" s="212">
        <f t="shared" si="230"/>
        <v>-16174.399999999998</v>
      </c>
      <c r="CL102" s="212">
        <f t="shared" si="230"/>
        <v>-16189.199999999999</v>
      </c>
      <c r="CM102" s="196">
        <f t="shared" si="230"/>
        <v>-16268.199999999999</v>
      </c>
      <c r="CN102" s="212">
        <f t="shared" si="230"/>
        <v>-16319.299999999997</v>
      </c>
      <c r="CO102" s="212">
        <f t="shared" si="230"/>
        <v>-16345</v>
      </c>
      <c r="CP102" s="212">
        <f t="shared" si="230"/>
        <v>-16479.3</v>
      </c>
      <c r="CQ102" s="196">
        <f t="shared" si="230"/>
        <v>-16347.899999999998</v>
      </c>
      <c r="CR102" s="212">
        <f t="shared" si="230"/>
        <v>-16635.2</v>
      </c>
      <c r="CS102" s="212">
        <f t="shared" si="230"/>
        <v>-16992.099999999999</v>
      </c>
      <c r="CT102" s="212">
        <f t="shared" si="230"/>
        <v>-17401.699999999997</v>
      </c>
      <c r="CU102" s="196">
        <f t="shared" si="230"/>
        <v>-18062.699999999997</v>
      </c>
      <c r="CV102" s="212">
        <f t="shared" si="230"/>
        <v>-18486.183650882082</v>
      </c>
      <c r="CW102" s="212">
        <f t="shared" si="230"/>
        <v>-18939.391117011579</v>
      </c>
      <c r="CX102" s="212">
        <f t="shared" si="230"/>
        <v>-19270.309627735227</v>
      </c>
      <c r="CY102" s="196">
        <f t="shared" si="230"/>
        <v>-19417.360555509145</v>
      </c>
      <c r="DA102" s="226">
        <f t="shared" ref="DA102:EA102" si="231">DA8</f>
        <v>-2884</v>
      </c>
      <c r="DB102" s="226">
        <f t="shared" si="231"/>
        <v>-4311.3999999999996</v>
      </c>
      <c r="DC102" s="226">
        <f t="shared" si="231"/>
        <v>-5629.4</v>
      </c>
      <c r="DD102" s="226">
        <f t="shared" si="231"/>
        <v>-6533.5</v>
      </c>
      <c r="DE102" s="226">
        <f t="shared" si="231"/>
        <v>-8198</v>
      </c>
      <c r="DF102" s="226">
        <f t="shared" si="231"/>
        <v>-11159.6</v>
      </c>
      <c r="DG102" s="226">
        <f t="shared" si="231"/>
        <v>-12622.699999999999</v>
      </c>
      <c r="DH102" s="226">
        <f t="shared" si="231"/>
        <v>-12443.5</v>
      </c>
      <c r="DI102" s="226">
        <f t="shared" si="231"/>
        <v>-13164.3</v>
      </c>
      <c r="DJ102" s="226">
        <f t="shared" si="231"/>
        <v>-14400.300000000001</v>
      </c>
      <c r="DK102" s="226">
        <f t="shared" si="231"/>
        <v>-15557.900000000001</v>
      </c>
      <c r="DL102" s="226">
        <f t="shared" si="231"/>
        <v>-16180.23</v>
      </c>
      <c r="DM102" s="226">
        <f t="shared" si="231"/>
        <v>-16815.099999999999</v>
      </c>
      <c r="DN102" s="226">
        <f t="shared" si="231"/>
        <v>-14671.4</v>
      </c>
      <c r="DO102" s="226">
        <f t="shared" si="231"/>
        <v>-12663.5</v>
      </c>
      <c r="DP102" s="226">
        <f t="shared" si="231"/>
        <v>-9190.7000000000007</v>
      </c>
      <c r="DQ102" s="226">
        <f t="shared" si="231"/>
        <v>-10857.099999999999</v>
      </c>
      <c r="DR102" s="226">
        <f t="shared" si="231"/>
        <v>-12889.1</v>
      </c>
      <c r="DS102" s="226">
        <f t="shared" si="231"/>
        <v>-13318.800000000001</v>
      </c>
      <c r="DT102" s="226">
        <f t="shared" si="231"/>
        <v>-14831.5</v>
      </c>
      <c r="DU102" s="226">
        <f t="shared" si="231"/>
        <v>-16114.1</v>
      </c>
      <c r="DV102" s="226">
        <f t="shared" si="231"/>
        <v>-16268.199999999999</v>
      </c>
      <c r="DW102" s="226">
        <f t="shared" si="231"/>
        <v>-16347.899999999998</v>
      </c>
      <c r="DX102" s="226">
        <f t="shared" si="231"/>
        <v>-18062.699999999997</v>
      </c>
      <c r="DY102" s="226">
        <f>DY8</f>
        <v>-19417.360555509145</v>
      </c>
      <c r="DZ102" s="226">
        <f t="shared" si="231"/>
        <v>-20681.890520253997</v>
      </c>
      <c r="EA102" s="226">
        <f t="shared" si="231"/>
        <v>-21851.628437780157</v>
      </c>
      <c r="EB102" s="226">
        <f t="shared" ref="EB102:ED102" si="232">EB8</f>
        <v>-22994.955367546299</v>
      </c>
      <c r="EC102" s="226">
        <f t="shared" si="232"/>
        <v>-23941.338654055839</v>
      </c>
      <c r="ED102" s="226">
        <f t="shared" si="232"/>
        <v>-24625.5796354429</v>
      </c>
      <c r="EE102" s="199"/>
      <c r="EF102"/>
      <c r="EG102"/>
      <c r="EH102"/>
      <c r="EI102"/>
      <c r="EJ102"/>
      <c r="EK102"/>
    </row>
    <row r="103" spans="1:141" s="137" customFormat="1">
      <c r="A103" s="193"/>
      <c r="B103" s="306" t="s">
        <v>15</v>
      </c>
      <c r="C103" s="199"/>
      <c r="D103" s="213"/>
      <c r="E103" s="197"/>
      <c r="F103" s="197"/>
      <c r="G103" s="198"/>
      <c r="H103" s="212"/>
      <c r="I103" s="212"/>
      <c r="J103" s="212"/>
      <c r="K103" s="196"/>
      <c r="L103" s="212"/>
      <c r="M103" s="212"/>
      <c r="N103" s="212"/>
      <c r="O103" s="196"/>
      <c r="P103" s="212"/>
      <c r="Q103" s="212"/>
      <c r="R103" s="212"/>
      <c r="S103" s="196">
        <f t="shared" ref="S103:AX103" si="233">S51+R51+Q51+P51</f>
        <v>665.50000000000023</v>
      </c>
      <c r="T103" s="212">
        <f t="shared" si="233"/>
        <v>685.49999999999989</v>
      </c>
      <c r="U103" s="212">
        <f t="shared" si="233"/>
        <v>696.29999999999973</v>
      </c>
      <c r="V103" s="212">
        <f t="shared" si="233"/>
        <v>683.09999999999945</v>
      </c>
      <c r="W103" s="196">
        <f t="shared" si="233"/>
        <v>694.90000000000009</v>
      </c>
      <c r="X103" s="212">
        <f t="shared" si="233"/>
        <v>712.00000000000011</v>
      </c>
      <c r="Y103" s="212">
        <f t="shared" si="233"/>
        <v>799.39999999999986</v>
      </c>
      <c r="Z103" s="212">
        <f t="shared" si="233"/>
        <v>919.09999999999968</v>
      </c>
      <c r="AA103" s="196">
        <f t="shared" si="233"/>
        <v>1049.7999999999993</v>
      </c>
      <c r="AB103" s="212">
        <f t="shared" si="233"/>
        <v>1161.5999999999995</v>
      </c>
      <c r="AC103" s="212">
        <f t="shared" si="233"/>
        <v>1226.9999999999998</v>
      </c>
      <c r="AD103" s="212">
        <f t="shared" si="233"/>
        <v>1234.6999999999998</v>
      </c>
      <c r="AE103" s="196">
        <f t="shared" si="233"/>
        <v>1137.6999999999994</v>
      </c>
      <c r="AF103" s="212">
        <f t="shared" si="233"/>
        <v>1085.5999999999995</v>
      </c>
      <c r="AG103" s="212">
        <f t="shared" si="233"/>
        <v>1024.0999999999999</v>
      </c>
      <c r="AH103" s="212">
        <f t="shared" si="233"/>
        <v>1001.9999999999998</v>
      </c>
      <c r="AI103" s="196">
        <f t="shared" si="233"/>
        <v>981.89999999999986</v>
      </c>
      <c r="AJ103" s="212">
        <f t="shared" si="233"/>
        <v>954.59999999999968</v>
      </c>
      <c r="AK103" s="212">
        <f t="shared" si="233"/>
        <v>942.09999999999911</v>
      </c>
      <c r="AL103" s="212">
        <f t="shared" si="233"/>
        <v>944.6999999999997</v>
      </c>
      <c r="AM103" s="196">
        <f t="shared" si="233"/>
        <v>1044.0999999999997</v>
      </c>
      <c r="AN103" s="199">
        <f t="shared" si="233"/>
        <v>1065.2999999999997</v>
      </c>
      <c r="AO103" s="212">
        <f t="shared" si="233"/>
        <v>1084.6999999999998</v>
      </c>
      <c r="AP103" s="199">
        <f t="shared" si="233"/>
        <v>1096.1999999999996</v>
      </c>
      <c r="AQ103" s="196">
        <f t="shared" si="233"/>
        <v>1094.5999999999997</v>
      </c>
      <c r="AR103" s="199">
        <f t="shared" si="233"/>
        <v>1120.6000000000004</v>
      </c>
      <c r="AS103" s="212">
        <f t="shared" si="233"/>
        <v>1131.1000000000004</v>
      </c>
      <c r="AT103" s="199">
        <f t="shared" si="233"/>
        <v>1132.8000000000009</v>
      </c>
      <c r="AU103" s="196">
        <f t="shared" si="233"/>
        <v>1123.5000000000014</v>
      </c>
      <c r="AV103" s="199">
        <f t="shared" si="233"/>
        <v>1005.6000000000008</v>
      </c>
      <c r="AW103" s="212">
        <f t="shared" si="233"/>
        <v>888.40000000000123</v>
      </c>
      <c r="AX103" s="199">
        <f t="shared" si="233"/>
        <v>781.27000000000066</v>
      </c>
      <c r="AY103" s="196">
        <f t="shared" ref="AY103:CD103" si="234">AY51+AX51+AW51+AV51</f>
        <v>713.67000000000064</v>
      </c>
      <c r="AZ103" s="199">
        <f t="shared" si="234"/>
        <v>746.27000000000089</v>
      </c>
      <c r="BA103" s="212">
        <f t="shared" si="234"/>
        <v>806.37000000000046</v>
      </c>
      <c r="BB103" s="199">
        <f t="shared" si="234"/>
        <v>810.4000000000002</v>
      </c>
      <c r="BC103" s="196">
        <f t="shared" si="234"/>
        <v>786.49999999999966</v>
      </c>
      <c r="BD103" s="199">
        <f t="shared" si="234"/>
        <v>865.39999999999986</v>
      </c>
      <c r="BE103" s="212">
        <f t="shared" si="234"/>
        <v>931.8000000000003</v>
      </c>
      <c r="BF103" s="199">
        <f t="shared" si="234"/>
        <v>1028.6000000000006</v>
      </c>
      <c r="BG103" s="196">
        <f t="shared" si="234"/>
        <v>1060.8000000000004</v>
      </c>
      <c r="BH103" s="199">
        <f t="shared" si="234"/>
        <v>1065.8999999999999</v>
      </c>
      <c r="BI103" s="212">
        <f t="shared" si="234"/>
        <v>997.9</v>
      </c>
      <c r="BJ103" s="199">
        <f t="shared" si="234"/>
        <v>877.89999999999986</v>
      </c>
      <c r="BK103" s="196">
        <f t="shared" si="234"/>
        <v>715.90000000000009</v>
      </c>
      <c r="BL103" s="199">
        <f t="shared" si="234"/>
        <v>453.80000000000018</v>
      </c>
      <c r="BM103" s="212">
        <f t="shared" si="234"/>
        <v>229.00000000000017</v>
      </c>
      <c r="BN103" s="212">
        <f t="shared" si="234"/>
        <v>283.40000000000049</v>
      </c>
      <c r="BO103" s="196">
        <f t="shared" si="234"/>
        <v>370.70000000000056</v>
      </c>
      <c r="BP103" s="199">
        <f t="shared" si="234"/>
        <v>568.50000000000023</v>
      </c>
      <c r="BQ103" s="212">
        <f t="shared" si="234"/>
        <v>798.90000000000043</v>
      </c>
      <c r="BR103" s="212">
        <f t="shared" si="234"/>
        <v>831.60000000000036</v>
      </c>
      <c r="BS103" s="196">
        <f t="shared" si="234"/>
        <v>863.2000000000005</v>
      </c>
      <c r="BT103" s="199">
        <f t="shared" si="234"/>
        <v>933.00000000000011</v>
      </c>
      <c r="BU103" s="212">
        <f t="shared" si="234"/>
        <v>978.10000000000036</v>
      </c>
      <c r="BV103" s="212">
        <f t="shared" si="234"/>
        <v>1011.3000000000002</v>
      </c>
      <c r="BW103" s="196">
        <f t="shared" si="234"/>
        <v>1032.8000000000002</v>
      </c>
      <c r="BX103" s="212">
        <f t="shared" si="234"/>
        <v>1015.3000000000006</v>
      </c>
      <c r="BY103" s="212">
        <f t="shared" si="234"/>
        <v>977.20000000000016</v>
      </c>
      <c r="BZ103" s="212">
        <f t="shared" si="234"/>
        <v>978.4000000000002</v>
      </c>
      <c r="CA103" s="196">
        <f t="shared" si="234"/>
        <v>1002.1000000000003</v>
      </c>
      <c r="CB103" s="212">
        <f t="shared" si="234"/>
        <v>1020.5000000000002</v>
      </c>
      <c r="CC103" s="212">
        <f t="shared" si="234"/>
        <v>1059.4000000000008</v>
      </c>
      <c r="CD103" s="212">
        <f t="shared" si="234"/>
        <v>1096.2000000000007</v>
      </c>
      <c r="CE103" s="196">
        <f t="shared" ref="CE103:CQ103" si="235">CE51+CD51+CC51+CB51</f>
        <v>1047.700000000001</v>
      </c>
      <c r="CF103" s="212">
        <f t="shared" si="235"/>
        <v>1098.0000000000007</v>
      </c>
      <c r="CG103" s="212">
        <f t="shared" si="235"/>
        <v>1158.2000000000014</v>
      </c>
      <c r="CH103" s="212">
        <f t="shared" si="235"/>
        <v>1210.1000000000013</v>
      </c>
      <c r="CI103" s="196">
        <f t="shared" si="235"/>
        <v>1360.5000000000007</v>
      </c>
      <c r="CJ103" s="212">
        <f t="shared" si="235"/>
        <v>1420.900000000001</v>
      </c>
      <c r="CK103" s="212">
        <f t="shared" si="235"/>
        <v>1490.3000000000013</v>
      </c>
      <c r="CL103" s="212">
        <f t="shared" si="235"/>
        <v>1567.300000000002</v>
      </c>
      <c r="CM103" s="196">
        <f t="shared" si="235"/>
        <v>1658.0000000000027</v>
      </c>
      <c r="CN103" s="212">
        <f t="shared" si="235"/>
        <v>1756.9000000000021</v>
      </c>
      <c r="CO103" s="212">
        <f t="shared" si="235"/>
        <v>1827.6000000000013</v>
      </c>
      <c r="CP103" s="212">
        <f t="shared" si="235"/>
        <v>1881.9000000000005</v>
      </c>
      <c r="CQ103" s="196">
        <f t="shared" si="235"/>
        <v>1913.0000000000007</v>
      </c>
      <c r="CR103" s="212">
        <f>CR51+CO51+CQ51+CP51</f>
        <v>1964.4000000000008</v>
      </c>
      <c r="CS103" s="212">
        <f>CS51+CP51+CR51+CQ51</f>
        <v>2014.900000000001</v>
      </c>
      <c r="CT103" s="212">
        <f t="shared" ref="CT103:CY103" si="236">CT51+CS51+CR51+CQ51</f>
        <v>2071.5000000000009</v>
      </c>
      <c r="CU103" s="196">
        <f t="shared" ca="1" si="236"/>
        <v>2131.6000000000008</v>
      </c>
      <c r="CV103" s="212">
        <f t="shared" ca="1" si="236"/>
        <v>2188.056417761024</v>
      </c>
      <c r="CW103" s="212">
        <f t="shared" ca="1" si="236"/>
        <v>2238.8112257941502</v>
      </c>
      <c r="CX103" s="212">
        <f t="shared" ca="1" si="236"/>
        <v>2269.8223306529753</v>
      </c>
      <c r="CY103" s="196">
        <f t="shared" si="236"/>
        <v>2295.5484811760939</v>
      </c>
      <c r="DA103" s="212"/>
      <c r="DB103" s="226"/>
      <c r="DC103" s="226"/>
      <c r="DD103" s="226">
        <f>DD51</f>
        <v>665.50000000000057</v>
      </c>
      <c r="DE103" s="226">
        <f t="shared" ref="DE103:EA103" si="237">DE51</f>
        <v>694.90000000000146</v>
      </c>
      <c r="DF103" s="226">
        <f t="shared" si="237"/>
        <v>1049.7999999999988</v>
      </c>
      <c r="DG103" s="226">
        <f t="shared" si="237"/>
        <v>1137.7000000000003</v>
      </c>
      <c r="DH103" s="226">
        <f t="shared" si="237"/>
        <v>981.90000000000066</v>
      </c>
      <c r="DI103" s="226">
        <f t="shared" si="237"/>
        <v>1044.0999999999995</v>
      </c>
      <c r="DJ103" s="226">
        <f t="shared" si="237"/>
        <v>1094.5999999999997</v>
      </c>
      <c r="DK103" s="226">
        <f t="shared" si="237"/>
        <v>1123.4999999999986</v>
      </c>
      <c r="DL103" s="226">
        <f t="shared" si="237"/>
        <v>713.67000000000121</v>
      </c>
      <c r="DM103" s="226">
        <f t="shared" si="237"/>
        <v>786.50000000000296</v>
      </c>
      <c r="DN103" s="226">
        <f t="shared" si="237"/>
        <v>1060.800000000002</v>
      </c>
      <c r="DO103" s="226">
        <f t="shared" si="237"/>
        <v>715.89999999999986</v>
      </c>
      <c r="DP103" s="226">
        <f t="shared" si="237"/>
        <v>370.69999999999959</v>
      </c>
      <c r="DQ103" s="226">
        <f t="shared" si="237"/>
        <v>863.20000000000175</v>
      </c>
      <c r="DR103" s="226">
        <f t="shared" si="237"/>
        <v>1032.7999999999997</v>
      </c>
      <c r="DS103" s="226">
        <f t="shared" si="237"/>
        <v>1002.0999999999989</v>
      </c>
      <c r="DT103" s="226">
        <f t="shared" si="237"/>
        <v>1047.7000000000016</v>
      </c>
      <c r="DU103" s="226">
        <f t="shared" si="237"/>
        <v>1360.5000000000027</v>
      </c>
      <c r="DV103" s="226">
        <f t="shared" si="237"/>
        <v>1658.0000000000027</v>
      </c>
      <c r="DW103" s="226">
        <f t="shared" si="237"/>
        <v>1913.0000000000007</v>
      </c>
      <c r="DX103" s="226">
        <f t="shared" ca="1" si="237"/>
        <v>2131.6000000000031</v>
      </c>
      <c r="DY103" s="226">
        <f>DY51</f>
        <v>2295.548481176093</v>
      </c>
      <c r="DZ103" s="226">
        <f t="shared" si="237"/>
        <v>2379.7566860532297</v>
      </c>
      <c r="EA103" s="226">
        <f t="shared" si="237"/>
        <v>2383.563854352793</v>
      </c>
      <c r="EB103" s="226">
        <f t="shared" ref="EB103:ED103" si="238">EB51</f>
        <v>2375.2658082780299</v>
      </c>
      <c r="EC103" s="226">
        <f t="shared" si="238"/>
        <v>2343.3528130923005</v>
      </c>
      <c r="ED103" s="226">
        <f t="shared" si="238"/>
        <v>2286.1655200153223</v>
      </c>
      <c r="EE103" s="199"/>
      <c r="EF103"/>
      <c r="EG103"/>
      <c r="EH103"/>
      <c r="EI103"/>
      <c r="EJ103"/>
      <c r="EK103"/>
    </row>
    <row r="104" spans="1:141" s="137" customFormat="1">
      <c r="A104" s="193"/>
      <c r="B104" s="306" t="s">
        <v>362</v>
      </c>
      <c r="C104" s="199"/>
      <c r="D104" s="213"/>
      <c r="E104" s="197"/>
      <c r="F104" s="197"/>
      <c r="G104" s="198">
        <f>D15*(1-D24)+E15*(1-E24)+F15*(1-F24)+G15*(1-G24)</f>
        <v>86.937065784160964</v>
      </c>
      <c r="H104" s="212">
        <f t="shared" ref="H104:BS104" si="239">E15*(1-E24)+F15*(1-F24)+G15*(1-G24)+H15*(1-H24)</f>
        <v>98.537268867332642</v>
      </c>
      <c r="I104" s="212">
        <f t="shared" si="239"/>
        <v>110.13379726327348</v>
      </c>
      <c r="J104" s="212">
        <f t="shared" si="239"/>
        <v>123.8039712483604</v>
      </c>
      <c r="K104" s="196">
        <f t="shared" si="239"/>
        <v>144.74087286169032</v>
      </c>
      <c r="L104" s="212">
        <f t="shared" si="239"/>
        <v>161.41014974441777</v>
      </c>
      <c r="M104" s="212">
        <f t="shared" si="239"/>
        <v>188.23697901271058</v>
      </c>
      <c r="N104" s="212">
        <f t="shared" si="239"/>
        <v>209.25611437769982</v>
      </c>
      <c r="O104" s="196">
        <f t="shared" si="239"/>
        <v>225.32110756248278</v>
      </c>
      <c r="P104" s="212">
        <f t="shared" si="239"/>
        <v>244.46949712003516</v>
      </c>
      <c r="Q104" s="212">
        <f t="shared" si="239"/>
        <v>259.51706047286154</v>
      </c>
      <c r="R104" s="212">
        <f t="shared" si="239"/>
        <v>268.13308746081384</v>
      </c>
      <c r="S104" s="196">
        <f t="shared" si="239"/>
        <v>285.19640535195816</v>
      </c>
      <c r="T104" s="212">
        <f t="shared" si="239"/>
        <v>290.68351353196226</v>
      </c>
      <c r="U104" s="212">
        <f t="shared" si="239"/>
        <v>293.79009382554443</v>
      </c>
      <c r="V104" s="212">
        <f t="shared" si="239"/>
        <v>280.78665652217347</v>
      </c>
      <c r="W104" s="196">
        <f t="shared" si="239"/>
        <v>288.64870322515765</v>
      </c>
      <c r="X104" s="212">
        <f t="shared" si="239"/>
        <v>295.01568978228988</v>
      </c>
      <c r="Y104" s="212">
        <f t="shared" si="239"/>
        <v>326.31045124536996</v>
      </c>
      <c r="Z104" s="212">
        <f t="shared" si="239"/>
        <v>373.36684735471039</v>
      </c>
      <c r="AA104" s="196">
        <f t="shared" si="239"/>
        <v>422.27755428632474</v>
      </c>
      <c r="AB104" s="212">
        <f t="shared" si="239"/>
        <v>463.04736528463445</v>
      </c>
      <c r="AC104" s="212">
        <f t="shared" si="239"/>
        <v>492.18102837208494</v>
      </c>
      <c r="AD104" s="212">
        <f t="shared" si="239"/>
        <v>496.47719691680402</v>
      </c>
      <c r="AE104" s="196">
        <f t="shared" si="239"/>
        <v>492.95622035804274</v>
      </c>
      <c r="AF104" s="212">
        <f t="shared" si="239"/>
        <v>473.33871397862197</v>
      </c>
      <c r="AG104" s="212">
        <f t="shared" si="239"/>
        <v>455.12137171488519</v>
      </c>
      <c r="AH104" s="212">
        <f t="shared" si="239"/>
        <v>455.75636305700652</v>
      </c>
      <c r="AI104" s="196">
        <f t="shared" si="239"/>
        <v>463.15003118664879</v>
      </c>
      <c r="AJ104" s="212">
        <f t="shared" si="239"/>
        <v>462.23178365180024</v>
      </c>
      <c r="AK104" s="212">
        <f t="shared" si="239"/>
        <v>466.24515694038723</v>
      </c>
      <c r="AL104" s="212">
        <f t="shared" si="239"/>
        <v>477.92226525944363</v>
      </c>
      <c r="AM104" s="196">
        <f t="shared" si="239"/>
        <v>494.06962441437327</v>
      </c>
      <c r="AN104" s="199">
        <f t="shared" si="239"/>
        <v>513.66896538858532</v>
      </c>
      <c r="AO104" s="212">
        <f t="shared" si="239"/>
        <v>531.19460288502023</v>
      </c>
      <c r="AP104" s="199">
        <f t="shared" si="239"/>
        <v>543.029923687723</v>
      </c>
      <c r="AQ104" s="196">
        <f t="shared" si="239"/>
        <v>549.96465971878933</v>
      </c>
      <c r="AR104" s="199">
        <f t="shared" si="239"/>
        <v>566.62577082990117</v>
      </c>
      <c r="AS104" s="212">
        <f t="shared" si="239"/>
        <v>573.9765372583098</v>
      </c>
      <c r="AT104" s="199">
        <f t="shared" si="239"/>
        <v>571.39444290309814</v>
      </c>
      <c r="AU104" s="196">
        <f t="shared" si="239"/>
        <v>567.88577248199329</v>
      </c>
      <c r="AV104" s="199">
        <f t="shared" si="239"/>
        <v>775.48969585365091</v>
      </c>
      <c r="AW104" s="212">
        <f t="shared" si="239"/>
        <v>685.64098641331179</v>
      </c>
      <c r="AX104" s="199">
        <f t="shared" si="239"/>
        <v>583.29854320839513</v>
      </c>
      <c r="AY104" s="196">
        <f t="shared" si="239"/>
        <v>449.08647011814617</v>
      </c>
      <c r="AZ104" s="199">
        <f t="shared" si="239"/>
        <v>143.31810230204485</v>
      </c>
      <c r="BA104" s="212">
        <f t="shared" si="239"/>
        <v>115.02587825311952</v>
      </c>
      <c r="BB104" s="199">
        <f t="shared" si="239"/>
        <v>193.44058799867722</v>
      </c>
      <c r="BC104" s="196">
        <f t="shared" si="239"/>
        <v>217.44526796960497</v>
      </c>
      <c r="BD104" s="199">
        <f t="shared" si="239"/>
        <v>296.20924468529051</v>
      </c>
      <c r="BE104" s="212">
        <f t="shared" si="239"/>
        <v>441.84685177338645</v>
      </c>
      <c r="BF104" s="199">
        <f t="shared" si="239"/>
        <v>464.76257852860601</v>
      </c>
      <c r="BG104" s="196">
        <f t="shared" si="239"/>
        <v>559.41161831160764</v>
      </c>
      <c r="BH104" s="199">
        <f t="shared" si="239"/>
        <v>597.23198878775156</v>
      </c>
      <c r="BI104" s="212">
        <f t="shared" si="239"/>
        <v>503.29240159452587</v>
      </c>
      <c r="BJ104" s="199">
        <f t="shared" si="239"/>
        <v>498.85097902181633</v>
      </c>
      <c r="BK104" s="196">
        <f t="shared" si="239"/>
        <v>371.84127577038208</v>
      </c>
      <c r="BL104" s="199">
        <f t="shared" si="239"/>
        <v>150.15351430334911</v>
      </c>
      <c r="BM104" s="212">
        <f t="shared" si="239"/>
        <v>2.4418396888696066</v>
      </c>
      <c r="BN104" s="212">
        <f t="shared" si="239"/>
        <v>-29.650834161885328</v>
      </c>
      <c r="BO104" s="196">
        <f t="shared" si="239"/>
        <v>30.17332468800484</v>
      </c>
      <c r="BP104" s="199">
        <f t="shared" si="239"/>
        <v>207.45190529043026</v>
      </c>
      <c r="BQ104" s="212">
        <f t="shared" si="239"/>
        <v>424.03872439522428</v>
      </c>
      <c r="BR104" s="212">
        <f t="shared" si="239"/>
        <v>487.13336746614527</v>
      </c>
      <c r="BS104" s="196">
        <f t="shared" si="239"/>
        <v>540.86038805816588</v>
      </c>
      <c r="BT104" s="199">
        <f t="shared" ref="BT104:CY104" si="240">BQ15*(1-BQ24)+BR15*(1-BR24)+BS15*(1-BS24)+BT15*(1-BT24)</f>
        <v>601.49949302226264</v>
      </c>
      <c r="BU104" s="212">
        <f t="shared" si="240"/>
        <v>628.97203341579996</v>
      </c>
      <c r="BV104" s="212">
        <f t="shared" si="240"/>
        <v>627.63197581273994</v>
      </c>
      <c r="BW104" s="196">
        <f t="shared" si="240"/>
        <v>637.77037785812172</v>
      </c>
      <c r="BX104" s="212">
        <f t="shared" si="240"/>
        <v>627.83164462454442</v>
      </c>
      <c r="BY104" s="212">
        <f t="shared" si="240"/>
        <v>604.9438200174161</v>
      </c>
      <c r="BZ104" s="212">
        <f t="shared" si="240"/>
        <v>614.64172813353889</v>
      </c>
      <c r="CA104" s="196">
        <f t="shared" si="240"/>
        <v>626.83089733287102</v>
      </c>
      <c r="CB104" s="212">
        <f t="shared" si="240"/>
        <v>616.25828224129111</v>
      </c>
      <c r="CC104" s="212">
        <f t="shared" si="240"/>
        <v>609.37457913403864</v>
      </c>
      <c r="CD104" s="212">
        <f t="shared" si="240"/>
        <v>599.96072864718758</v>
      </c>
      <c r="CE104" s="196">
        <f t="shared" si="240"/>
        <v>594.27680715184738</v>
      </c>
      <c r="CF104" s="212">
        <f t="shared" si="240"/>
        <v>620.2906670117394</v>
      </c>
      <c r="CG104" s="212">
        <f t="shared" si="240"/>
        <v>662.72004647299582</v>
      </c>
      <c r="CH104" s="212">
        <f t="shared" si="240"/>
        <v>704.03639084515657</v>
      </c>
      <c r="CI104" s="196">
        <f t="shared" si="240"/>
        <v>755.86416076645435</v>
      </c>
      <c r="CJ104" s="212">
        <f t="shared" si="240"/>
        <v>794.69612356758603</v>
      </c>
      <c r="CK104" s="212">
        <f t="shared" si="240"/>
        <v>841.07432156044524</v>
      </c>
      <c r="CL104" s="212">
        <f t="shared" si="240"/>
        <v>893.941461544866</v>
      </c>
      <c r="CM104" s="196">
        <f t="shared" si="240"/>
        <v>957.63351936275103</v>
      </c>
      <c r="CN104" s="212">
        <f t="shared" si="240"/>
        <v>1028.6404458433155</v>
      </c>
      <c r="CO104" s="212">
        <f t="shared" si="240"/>
        <v>1072.2734968916768</v>
      </c>
      <c r="CP104" s="212">
        <f t="shared" si="240"/>
        <v>1105.9410961023955</v>
      </c>
      <c r="CQ104" s="196">
        <f t="shared" si="240"/>
        <v>1127.7912667383546</v>
      </c>
      <c r="CR104" s="212">
        <f t="shared" si="240"/>
        <v>1168.4103531420842</v>
      </c>
      <c r="CS104" s="212">
        <f t="shared" si="240"/>
        <v>1207.9716319076315</v>
      </c>
      <c r="CT104" s="212">
        <f t="shared" si="240"/>
        <v>1250.866306161445</v>
      </c>
      <c r="CU104" s="196">
        <f t="shared" si="240"/>
        <v>1293.4799311725994</v>
      </c>
      <c r="CV104" s="212">
        <f t="shared" si="240"/>
        <v>1337.9457418480501</v>
      </c>
      <c r="CW104" s="212">
        <f t="shared" si="240"/>
        <v>1381.1624963641864</v>
      </c>
      <c r="CX104" s="212">
        <f t="shared" si="240"/>
        <v>1406.0721912426679</v>
      </c>
      <c r="CY104" s="196">
        <f t="shared" si="240"/>
        <v>1416.8626095939815</v>
      </c>
      <c r="DA104" s="212">
        <f>DA15*(1-DA24)</f>
        <v>88.170706190061139</v>
      </c>
      <c r="DB104" s="212">
        <f t="shared" ref="DB104:EA104" si="241">DB15*(1-DB24)</f>
        <v>144.88798474253019</v>
      </c>
      <c r="DC104" s="212">
        <f t="shared" si="241"/>
        <v>225.27237569060856</v>
      </c>
      <c r="DD104" s="212">
        <f t="shared" si="241"/>
        <v>285.12672929120475</v>
      </c>
      <c r="DE104" s="212">
        <f t="shared" si="241"/>
        <v>288.67289719626336</v>
      </c>
      <c r="DF104" s="212">
        <f t="shared" si="241"/>
        <v>422.89608665268906</v>
      </c>
      <c r="DG104" s="212">
        <f t="shared" si="241"/>
        <v>492.9002559726967</v>
      </c>
      <c r="DH104" s="212">
        <f t="shared" si="241"/>
        <v>462.97136859781779</v>
      </c>
      <c r="DI104" s="212">
        <f t="shared" si="241"/>
        <v>494.07822838847301</v>
      </c>
      <c r="DJ104" s="212">
        <f t="shared" si="241"/>
        <v>550.45001871958038</v>
      </c>
      <c r="DK104" s="212">
        <f t="shared" si="241"/>
        <v>568.22774990912228</v>
      </c>
      <c r="DL104" s="212">
        <f t="shared" si="241"/>
        <v>52.437832078674624</v>
      </c>
      <c r="DM104" s="212">
        <f t="shared" si="241"/>
        <v>32.640388615525474</v>
      </c>
      <c r="DN104" s="212">
        <f t="shared" si="241"/>
        <v>567.74541316918726</v>
      </c>
      <c r="DO104" s="212">
        <f t="shared" si="241"/>
        <v>-15.168830975428516</v>
      </c>
      <c r="DP104" s="212">
        <f t="shared" si="241"/>
        <v>166.47439126784133</v>
      </c>
      <c r="DQ104" s="212">
        <f t="shared" si="241"/>
        <v>543.94256756756931</v>
      </c>
      <c r="DR104" s="212">
        <f t="shared" si="241"/>
        <v>637.9708994708991</v>
      </c>
      <c r="DS104" s="212">
        <f t="shared" si="241"/>
        <v>626.56748518204802</v>
      </c>
      <c r="DT104" s="212">
        <f t="shared" si="241"/>
        <v>594.21825407338895</v>
      </c>
      <c r="DU104" s="212">
        <f t="shared" si="241"/>
        <v>755.78151712718898</v>
      </c>
      <c r="DV104" s="212">
        <f t="shared" si="241"/>
        <v>958.11321557082363</v>
      </c>
      <c r="DW104" s="212">
        <f t="shared" si="241"/>
        <v>1127.9307707842484</v>
      </c>
      <c r="DX104" s="212">
        <f t="shared" si="241"/>
        <v>1293.3059543918951</v>
      </c>
      <c r="DY104" s="212">
        <f>DY15*(1-DY24)</f>
        <v>1416.8626095939801</v>
      </c>
      <c r="DZ104" s="212">
        <f t="shared" si="241"/>
        <v>1457.1516055085749</v>
      </c>
      <c r="EA104" s="212">
        <f t="shared" si="241"/>
        <v>1433.6039273019155</v>
      </c>
      <c r="EB104" s="212">
        <f t="shared" ref="EB104:ED104" si="242">EB15*(1-EB24)</f>
        <v>1400.5238557338851</v>
      </c>
      <c r="EC104" s="212">
        <f t="shared" si="242"/>
        <v>1349.1295606148553</v>
      </c>
      <c r="ED104" s="212">
        <f t="shared" si="242"/>
        <v>1279.1227923849699</v>
      </c>
      <c r="EE104" s="199"/>
      <c r="EF104"/>
      <c r="EG104"/>
      <c r="EH104"/>
      <c r="EI104"/>
      <c r="EJ104"/>
      <c r="EK104"/>
    </row>
    <row r="105" spans="1:141" s="137" customFormat="1">
      <c r="A105" s="193"/>
      <c r="B105" s="309"/>
      <c r="C105" s="199"/>
      <c r="D105" s="223"/>
      <c r="E105" s="199"/>
      <c r="F105" s="199"/>
      <c r="G105" s="211"/>
      <c r="H105" s="199"/>
      <c r="I105" s="199"/>
      <c r="J105" s="199"/>
      <c r="K105" s="211"/>
      <c r="L105" s="199"/>
      <c r="M105" s="199"/>
      <c r="N105" s="199"/>
      <c r="O105" s="211"/>
      <c r="P105" s="199"/>
      <c r="Q105" s="199"/>
      <c r="R105" s="199"/>
      <c r="S105" s="211"/>
      <c r="T105" s="199"/>
      <c r="U105" s="199"/>
      <c r="V105" s="199"/>
      <c r="W105" s="211"/>
      <c r="X105" s="199"/>
      <c r="Y105" s="199"/>
      <c r="Z105" s="199"/>
      <c r="AA105" s="211"/>
      <c r="AB105" s="199"/>
      <c r="AC105" s="199"/>
      <c r="AD105" s="199"/>
      <c r="AE105" s="211"/>
      <c r="AF105" s="199"/>
      <c r="AG105" s="199"/>
      <c r="AH105" s="199"/>
      <c r="AI105" s="211"/>
      <c r="AJ105" s="199"/>
      <c r="AK105" s="199"/>
      <c r="AL105" s="199"/>
      <c r="AM105" s="211"/>
      <c r="AN105" s="233"/>
      <c r="AO105" s="233"/>
      <c r="AP105" s="233"/>
      <c r="AQ105" s="232"/>
      <c r="AR105" s="233"/>
      <c r="AS105" s="233"/>
      <c r="AT105" s="233"/>
      <c r="AU105" s="232"/>
      <c r="AV105" s="233"/>
      <c r="AW105" s="233"/>
      <c r="AX105" s="233"/>
      <c r="AY105" s="232"/>
      <c r="AZ105" s="233"/>
      <c r="BA105" s="233"/>
      <c r="BB105" s="233"/>
      <c r="BC105" s="232"/>
      <c r="BD105" s="233"/>
      <c r="BE105" s="233"/>
      <c r="BF105" s="233"/>
      <c r="BG105" s="232"/>
      <c r="BH105" s="233"/>
      <c r="BI105" s="233"/>
      <c r="BJ105" s="233"/>
      <c r="BK105" s="232"/>
      <c r="BL105" s="233"/>
      <c r="BM105" s="233"/>
      <c r="BN105" s="233"/>
      <c r="BO105" s="232"/>
      <c r="BP105" s="233"/>
      <c r="BQ105" s="233"/>
      <c r="BR105" s="233"/>
      <c r="BS105" s="232"/>
      <c r="BT105" s="233"/>
      <c r="BU105" s="233"/>
      <c r="BV105" s="233"/>
      <c r="BW105" s="232"/>
      <c r="BX105" s="233"/>
      <c r="BY105" s="233"/>
      <c r="BZ105" s="233"/>
      <c r="CA105" s="232"/>
      <c r="CB105" s="233"/>
      <c r="CC105" s="233"/>
      <c r="CD105" s="233"/>
      <c r="CE105" s="232"/>
      <c r="CF105" s="233"/>
      <c r="CG105" s="233"/>
      <c r="CH105" s="233"/>
      <c r="CI105" s="232"/>
      <c r="CJ105" s="233"/>
      <c r="CK105" s="233"/>
      <c r="CL105" s="233"/>
      <c r="CM105" s="232"/>
      <c r="CN105" s="233"/>
      <c r="CO105" s="233"/>
      <c r="CP105" s="233"/>
      <c r="CQ105" s="232"/>
      <c r="CR105" s="233"/>
      <c r="CS105" s="233"/>
      <c r="CT105" s="233"/>
      <c r="CU105" s="232"/>
      <c r="CV105" s="233"/>
      <c r="CW105" s="233"/>
      <c r="CX105" s="233"/>
      <c r="CY105" s="232"/>
      <c r="DA105" s="233"/>
      <c r="DB105" s="233"/>
      <c r="DC105" s="233"/>
      <c r="DD105" s="233"/>
      <c r="DE105" s="233"/>
      <c r="DF105" s="233"/>
      <c r="DG105" s="233"/>
      <c r="DH105" s="233"/>
      <c r="DI105" s="233"/>
      <c r="DJ105" s="233"/>
      <c r="DK105" s="233"/>
      <c r="DL105" s="233"/>
      <c r="DM105" s="233"/>
      <c r="DN105" s="233"/>
      <c r="DO105" s="233"/>
      <c r="DP105" s="233"/>
      <c r="DQ105" s="233"/>
      <c r="DR105" s="233"/>
      <c r="DS105" s="233"/>
      <c r="DT105" s="233"/>
      <c r="DU105" s="233"/>
      <c r="DV105" s="558"/>
      <c r="DW105" s="558"/>
      <c r="DX105" s="199"/>
      <c r="DY105" s="199"/>
      <c r="DZ105" s="199"/>
      <c r="EA105" s="199"/>
      <c r="EB105" s="199"/>
      <c r="EC105" s="199"/>
      <c r="ED105" s="199"/>
      <c r="EE105" s="199"/>
      <c r="EF105"/>
      <c r="EG105"/>
      <c r="EH105"/>
      <c r="EI105"/>
      <c r="EJ105"/>
      <c r="EK105"/>
    </row>
    <row r="106" spans="1:141" s="137" customFormat="1">
      <c r="A106" s="193"/>
      <c r="B106" s="311" t="s">
        <v>292</v>
      </c>
      <c r="C106" s="199"/>
      <c r="D106" s="223"/>
      <c r="E106" s="199"/>
      <c r="F106" s="199"/>
      <c r="G106" s="211"/>
      <c r="H106" s="199"/>
      <c r="I106" s="199"/>
      <c r="J106" s="199"/>
      <c r="K106" s="211"/>
      <c r="L106" s="199"/>
      <c r="M106" s="199"/>
      <c r="N106" s="199"/>
      <c r="O106" s="211"/>
      <c r="P106" s="199"/>
      <c r="Q106" s="199"/>
      <c r="R106" s="199"/>
      <c r="S106" s="211"/>
      <c r="T106" s="199"/>
      <c r="U106" s="199"/>
      <c r="V106" s="199"/>
      <c r="W106" s="211"/>
      <c r="X106" s="199"/>
      <c r="Y106" s="199"/>
      <c r="Z106" s="199"/>
      <c r="AA106" s="211"/>
      <c r="AB106" s="199"/>
      <c r="AC106" s="199"/>
      <c r="AD106" s="199"/>
      <c r="AE106" s="211"/>
      <c r="AF106" s="199"/>
      <c r="AG106" s="199"/>
      <c r="AH106" s="199"/>
      <c r="AI106" s="211"/>
      <c r="AJ106" s="199"/>
      <c r="AK106" s="199"/>
      <c r="AL106" s="199"/>
      <c r="AM106" s="211"/>
      <c r="AN106" s="233"/>
      <c r="AO106" s="233"/>
      <c r="AP106" s="233"/>
      <c r="AQ106" s="232"/>
      <c r="AR106" s="233"/>
      <c r="AS106" s="233"/>
      <c r="AT106" s="233"/>
      <c r="AU106" s="232"/>
      <c r="AV106" s="233"/>
      <c r="AW106" s="233"/>
      <c r="AX106" s="233"/>
      <c r="AY106" s="232"/>
      <c r="AZ106" s="233"/>
      <c r="BA106" s="233"/>
      <c r="BB106" s="233"/>
      <c r="BC106" s="232"/>
      <c r="BD106" s="233"/>
      <c r="BE106" s="233"/>
      <c r="BF106" s="233"/>
      <c r="BG106" s="232"/>
      <c r="BH106" s="233"/>
      <c r="BI106" s="233"/>
      <c r="BJ106" s="233"/>
      <c r="BK106" s="232"/>
      <c r="BL106" s="233"/>
      <c r="BM106" s="233"/>
      <c r="BN106" s="233"/>
      <c r="BO106" s="232"/>
      <c r="BP106" s="233"/>
      <c r="BQ106" s="233"/>
      <c r="BR106" s="233"/>
      <c r="BS106" s="232"/>
      <c r="BT106" s="233"/>
      <c r="BU106" s="233"/>
      <c r="BV106" s="233"/>
      <c r="BW106" s="232"/>
      <c r="BX106" s="233"/>
      <c r="BY106" s="233"/>
      <c r="BZ106" s="233"/>
      <c r="CA106" s="232"/>
      <c r="CB106" s="233"/>
      <c r="CC106" s="233"/>
      <c r="CD106" s="233"/>
      <c r="CE106" s="232"/>
      <c r="CF106" s="233"/>
      <c r="CG106" s="233"/>
      <c r="CH106" s="233"/>
      <c r="CI106" s="232"/>
      <c r="CJ106" s="233"/>
      <c r="CK106" s="233"/>
      <c r="CL106" s="233"/>
      <c r="CM106" s="232"/>
      <c r="CN106" s="233"/>
      <c r="CO106" s="233"/>
      <c r="CP106" s="233"/>
      <c r="CQ106" s="232"/>
      <c r="CR106" s="233"/>
      <c r="CS106" s="233"/>
      <c r="CT106" s="233"/>
      <c r="CU106" s="232"/>
      <c r="CV106" s="233"/>
      <c r="CW106" s="233"/>
      <c r="CX106" s="233"/>
      <c r="CY106" s="232"/>
      <c r="DA106" s="233"/>
      <c r="DB106" s="233"/>
      <c r="DC106" s="233"/>
      <c r="DD106" s="233"/>
      <c r="DE106" s="233"/>
      <c r="DF106" s="233"/>
      <c r="DG106" s="233"/>
      <c r="DH106" s="233"/>
      <c r="DI106" s="233"/>
      <c r="DJ106" s="233"/>
      <c r="DK106" s="233"/>
      <c r="DL106" s="233"/>
      <c r="DM106" s="233"/>
      <c r="DN106" s="233"/>
      <c r="DO106" s="233"/>
      <c r="DP106" s="233"/>
      <c r="DQ106" s="233"/>
      <c r="DR106" s="233"/>
      <c r="DS106" s="233"/>
      <c r="DT106" s="233"/>
      <c r="DU106" s="233"/>
      <c r="DV106" s="558"/>
      <c r="DW106" s="558"/>
      <c r="DX106" s="199"/>
      <c r="DY106" s="199"/>
      <c r="DZ106" s="199"/>
      <c r="EA106" s="199"/>
      <c r="EB106" s="199"/>
      <c r="EC106" s="199"/>
      <c r="ED106" s="199"/>
      <c r="EE106" s="199"/>
      <c r="EF106"/>
      <c r="EG106"/>
      <c r="EH106"/>
      <c r="EI106"/>
      <c r="EJ106"/>
      <c r="EK106"/>
    </row>
    <row r="107" spans="1:141" s="137" customFormat="1">
      <c r="A107" s="193"/>
      <c r="B107" s="252" t="s">
        <v>187</v>
      </c>
      <c r="C107" s="199"/>
      <c r="D107" s="213">
        <f t="shared" ref="D107:AC107" si="243">D77+D70+D73</f>
        <v>533.14699999999993</v>
      </c>
      <c r="E107" s="197">
        <f t="shared" si="243"/>
        <v>457.72699999999998</v>
      </c>
      <c r="F107" s="197">
        <f t="shared" si="243"/>
        <v>420.3</v>
      </c>
      <c r="G107" s="198">
        <f t="shared" si="243"/>
        <v>532.23500000000001</v>
      </c>
      <c r="H107" s="197">
        <f t="shared" si="243"/>
        <v>545.29999999999995</v>
      </c>
      <c r="I107" s="197">
        <f t="shared" si="243"/>
        <v>481</v>
      </c>
      <c r="J107" s="197">
        <f t="shared" si="243"/>
        <v>1219.8999999999999</v>
      </c>
      <c r="K107" s="198">
        <f t="shared" si="243"/>
        <v>1064.8000000000002</v>
      </c>
      <c r="L107" s="197">
        <f t="shared" si="243"/>
        <v>545.29999999999995</v>
      </c>
      <c r="M107" s="197">
        <f t="shared" si="243"/>
        <v>1416.8999999999999</v>
      </c>
      <c r="N107" s="197">
        <f t="shared" si="243"/>
        <v>1255</v>
      </c>
      <c r="O107" s="198">
        <f t="shared" si="243"/>
        <v>1073.3999999999999</v>
      </c>
      <c r="P107" s="197">
        <f t="shared" si="243"/>
        <v>1021.8000000000001</v>
      </c>
      <c r="Q107" s="197">
        <f t="shared" si="243"/>
        <v>1028.3</v>
      </c>
      <c r="R107" s="197">
        <f t="shared" si="243"/>
        <v>1256</v>
      </c>
      <c r="S107" s="198">
        <f t="shared" si="243"/>
        <v>1110.0999999999999</v>
      </c>
      <c r="T107" s="197">
        <f t="shared" si="243"/>
        <v>1245.7</v>
      </c>
      <c r="U107" s="197">
        <f t="shared" si="243"/>
        <v>1343</v>
      </c>
      <c r="V107" s="197">
        <f t="shared" si="243"/>
        <v>1523</v>
      </c>
      <c r="W107" s="198">
        <f t="shared" si="243"/>
        <v>1562.6000000000001</v>
      </c>
      <c r="X107" s="197">
        <f t="shared" si="243"/>
        <v>1506.6</v>
      </c>
      <c r="Y107" s="197">
        <f t="shared" si="243"/>
        <v>3351.2000000000003</v>
      </c>
      <c r="Z107" s="197">
        <f t="shared" si="243"/>
        <v>3881.3999999999996</v>
      </c>
      <c r="AA107" s="198">
        <f t="shared" si="243"/>
        <v>3500</v>
      </c>
      <c r="AB107" s="197">
        <f t="shared" si="243"/>
        <v>3544.1</v>
      </c>
      <c r="AC107" s="197">
        <f t="shared" si="243"/>
        <v>3301.6</v>
      </c>
      <c r="AD107" s="197">
        <f t="shared" ref="AD107:BC107" si="244">AD77+AD70+AD73</f>
        <v>3319.2</v>
      </c>
      <c r="AE107" s="198">
        <f t="shared" si="244"/>
        <v>3080.1</v>
      </c>
      <c r="AF107" s="197">
        <f t="shared" si="244"/>
        <v>2739.3999999999996</v>
      </c>
      <c r="AG107" s="197">
        <f t="shared" si="244"/>
        <v>2573.0000000000005</v>
      </c>
      <c r="AH107" s="197">
        <f t="shared" si="244"/>
        <v>2556.8000000000002</v>
      </c>
      <c r="AI107" s="198">
        <f t="shared" si="244"/>
        <v>2486.6</v>
      </c>
      <c r="AJ107" s="197">
        <f t="shared" si="244"/>
        <v>2294.7999999999997</v>
      </c>
      <c r="AK107" s="197">
        <f t="shared" si="244"/>
        <v>2240.6999999999998</v>
      </c>
      <c r="AL107" s="197">
        <f t="shared" si="244"/>
        <v>2226.4</v>
      </c>
      <c r="AM107" s="198">
        <f t="shared" si="244"/>
        <v>2174.0000000000005</v>
      </c>
      <c r="AN107" s="197">
        <f t="shared" si="244"/>
        <v>2148.7999999999997</v>
      </c>
      <c r="AO107" s="197">
        <f t="shared" si="244"/>
        <v>2093.4</v>
      </c>
      <c r="AP107" s="197">
        <f t="shared" si="244"/>
        <v>2057.9</v>
      </c>
      <c r="AQ107" s="198">
        <f t="shared" si="244"/>
        <v>2078.2999999999997</v>
      </c>
      <c r="AR107" s="197">
        <f t="shared" si="244"/>
        <v>2062.6000000000004</v>
      </c>
      <c r="AS107" s="197">
        <f t="shared" si="244"/>
        <v>2049.4</v>
      </c>
      <c r="AT107" s="197">
        <f t="shared" si="244"/>
        <v>2490.7999999999997</v>
      </c>
      <c r="AU107" s="198">
        <f t="shared" si="244"/>
        <v>2535.1000000000004</v>
      </c>
      <c r="AV107" s="197">
        <f t="shared" si="244"/>
        <v>2522.5</v>
      </c>
      <c r="AW107" s="197">
        <f t="shared" si="244"/>
        <v>1893</v>
      </c>
      <c r="AX107" s="197">
        <f t="shared" si="244"/>
        <v>2341.7999999999997</v>
      </c>
      <c r="AY107" s="198">
        <f t="shared" si="244"/>
        <v>2825.2</v>
      </c>
      <c r="AZ107" s="197">
        <f t="shared" si="244"/>
        <v>2263.2000000000003</v>
      </c>
      <c r="BA107" s="197">
        <f t="shared" si="244"/>
        <v>2441.6000000000004</v>
      </c>
      <c r="BB107" s="197">
        <f t="shared" si="244"/>
        <v>2385.7999999999997</v>
      </c>
      <c r="BC107" s="198">
        <f t="shared" si="244"/>
        <v>2499.4</v>
      </c>
      <c r="BD107" s="197">
        <f t="shared" ref="BD107:CB107" si="245">BD77+BD70+BD73</f>
        <v>2469.7000000000003</v>
      </c>
      <c r="BE107" s="197">
        <f t="shared" si="245"/>
        <v>2462.6000000000004</v>
      </c>
      <c r="BF107" s="197">
        <f t="shared" si="245"/>
        <v>2467.3999999999996</v>
      </c>
      <c r="BG107" s="198">
        <f t="shared" si="245"/>
        <v>2454.6</v>
      </c>
      <c r="BH107" s="197">
        <f t="shared" si="245"/>
        <v>2458.6</v>
      </c>
      <c r="BI107" s="197">
        <f t="shared" si="245"/>
        <v>2386.1999999999998</v>
      </c>
      <c r="BJ107" s="197">
        <f t="shared" si="245"/>
        <v>2339.9000000000005</v>
      </c>
      <c r="BK107" s="198">
        <f t="shared" si="245"/>
        <v>3526.8</v>
      </c>
      <c r="BL107" s="197">
        <f t="shared" si="245"/>
        <v>3522.5</v>
      </c>
      <c r="BM107" s="197">
        <f t="shared" si="245"/>
        <v>3512.7</v>
      </c>
      <c r="BN107" s="197">
        <f t="shared" si="245"/>
        <v>543.60000000000014</v>
      </c>
      <c r="BO107" s="198">
        <f t="shared" si="245"/>
        <v>972.30000000000007</v>
      </c>
      <c r="BP107" s="197">
        <f t="shared" si="245"/>
        <v>745</v>
      </c>
      <c r="BQ107" s="197">
        <f t="shared" si="245"/>
        <v>720.69999999999993</v>
      </c>
      <c r="BR107" s="197">
        <f t="shared" si="245"/>
        <v>698.5</v>
      </c>
      <c r="BS107" s="198">
        <f t="shared" si="245"/>
        <v>699</v>
      </c>
      <c r="BT107" s="197">
        <f t="shared" si="245"/>
        <v>698.6</v>
      </c>
      <c r="BU107" s="197">
        <f t="shared" si="245"/>
        <v>697.6</v>
      </c>
      <c r="BV107" s="197">
        <f t="shared" si="245"/>
        <v>695.2</v>
      </c>
      <c r="BW107" s="198">
        <f t="shared" si="245"/>
        <v>695.4</v>
      </c>
      <c r="BX107" s="197">
        <f t="shared" si="245"/>
        <v>695.5</v>
      </c>
      <c r="BY107" s="197">
        <f t="shared" si="245"/>
        <v>695.6</v>
      </c>
      <c r="BZ107" s="197">
        <f t="shared" si="245"/>
        <v>626.20000000000005</v>
      </c>
      <c r="CA107" s="198">
        <f t="shared" si="245"/>
        <v>626.29999999999995</v>
      </c>
      <c r="CB107" s="197">
        <f t="shared" si="245"/>
        <v>1056.8</v>
      </c>
      <c r="CC107" s="197">
        <f t="shared" ref="CC107:CS107" si="246">CC77+CC70+CC73</f>
        <v>1056.9000000000001</v>
      </c>
      <c r="CD107" s="197">
        <f t="shared" si="246"/>
        <v>1057</v>
      </c>
      <c r="CE107" s="198">
        <f t="shared" si="246"/>
        <v>1057.0999999999999</v>
      </c>
      <c r="CF107" s="197">
        <f t="shared" si="246"/>
        <v>1068.5999999999999</v>
      </c>
      <c r="CG107" s="197">
        <f t="shared" si="246"/>
        <v>1068.5999999999999</v>
      </c>
      <c r="CH107" s="197">
        <f t="shared" si="246"/>
        <v>1068.7</v>
      </c>
      <c r="CI107" s="198">
        <f t="shared" si="246"/>
        <v>1475</v>
      </c>
      <c r="CJ107" s="197">
        <f t="shared" si="246"/>
        <v>1972.4</v>
      </c>
      <c r="CK107" s="197">
        <f t="shared" si="246"/>
        <v>1969.1</v>
      </c>
      <c r="CL107" s="197">
        <f t="shared" si="246"/>
        <v>1962.6</v>
      </c>
      <c r="CM107" s="198">
        <f t="shared" si="246"/>
        <v>1954.8</v>
      </c>
      <c r="CN107" s="197">
        <f t="shared" si="246"/>
        <v>1957.5</v>
      </c>
      <c r="CO107" s="197">
        <f t="shared" si="246"/>
        <v>1950.8000000000002</v>
      </c>
      <c r="CP107" s="197">
        <f t="shared" si="246"/>
        <v>1948.6</v>
      </c>
      <c r="CQ107" s="198">
        <f t="shared" si="246"/>
        <v>1942.1999999999998</v>
      </c>
      <c r="CR107" s="197">
        <f t="shared" si="246"/>
        <v>1938</v>
      </c>
      <c r="CS107" s="197">
        <f t="shared" si="246"/>
        <v>1923</v>
      </c>
      <c r="CT107" s="197">
        <f>CT77+CT70+CT73</f>
        <v>1963.8</v>
      </c>
      <c r="CU107" s="198">
        <f>CU77+CU70+CU73</f>
        <v>1960.5</v>
      </c>
      <c r="CV107" s="197">
        <f t="shared" ref="CV107:CY107" si="247">CV77+CV70+CV73</f>
        <v>1960.5</v>
      </c>
      <c r="CW107" s="197">
        <f t="shared" si="247"/>
        <v>1960.5</v>
      </c>
      <c r="CX107" s="197">
        <f t="shared" si="247"/>
        <v>1960.5</v>
      </c>
      <c r="CY107" s="198">
        <f t="shared" si="247"/>
        <v>1960.5</v>
      </c>
      <c r="DA107" s="212">
        <f t="shared" ref="DA107:EA107" si="248">DA77+DA70+DA73</f>
        <v>532.23500000000001</v>
      </c>
      <c r="DB107" s="212">
        <f t="shared" si="248"/>
        <v>1064.8000000000002</v>
      </c>
      <c r="DC107" s="212">
        <f t="shared" si="248"/>
        <v>1073.3999999999999</v>
      </c>
      <c r="DD107" s="212">
        <f t="shared" si="248"/>
        <v>1110.0999999999999</v>
      </c>
      <c r="DE107" s="212">
        <f t="shared" si="248"/>
        <v>1562.6000000000001</v>
      </c>
      <c r="DF107" s="212">
        <f t="shared" si="248"/>
        <v>3500</v>
      </c>
      <c r="DG107" s="212">
        <f t="shared" si="248"/>
        <v>3080.1</v>
      </c>
      <c r="DH107" s="212">
        <f t="shared" si="248"/>
        <v>2486.6</v>
      </c>
      <c r="DI107" s="212">
        <f t="shared" si="248"/>
        <v>2174.0000000000005</v>
      </c>
      <c r="DJ107" s="212">
        <f t="shared" si="248"/>
        <v>2078.2999999999997</v>
      </c>
      <c r="DK107" s="212">
        <f t="shared" si="248"/>
        <v>2535.1000000000004</v>
      </c>
      <c r="DL107" s="212">
        <f t="shared" si="248"/>
        <v>2825.2</v>
      </c>
      <c r="DM107" s="212">
        <f t="shared" si="248"/>
        <v>2499.4</v>
      </c>
      <c r="DN107" s="212">
        <f t="shared" si="248"/>
        <v>2454.6</v>
      </c>
      <c r="DO107" s="212">
        <f t="shared" si="248"/>
        <v>3526.8</v>
      </c>
      <c r="DP107" s="212">
        <f t="shared" si="248"/>
        <v>972.30000000000007</v>
      </c>
      <c r="DQ107" s="212">
        <f t="shared" si="248"/>
        <v>699</v>
      </c>
      <c r="DR107" s="212">
        <f t="shared" si="248"/>
        <v>695.4</v>
      </c>
      <c r="DS107" s="212">
        <f t="shared" si="248"/>
        <v>626.29999999999995</v>
      </c>
      <c r="DT107" s="212">
        <f t="shared" si="248"/>
        <v>1057.0999999999999</v>
      </c>
      <c r="DU107" s="212">
        <f t="shared" si="248"/>
        <v>1475</v>
      </c>
      <c r="DV107" s="197">
        <f t="shared" si="248"/>
        <v>1954.8</v>
      </c>
      <c r="DW107" s="197">
        <f t="shared" si="248"/>
        <v>1942.1999999999998</v>
      </c>
      <c r="DX107" s="197">
        <f t="shared" si="248"/>
        <v>1960.5</v>
      </c>
      <c r="DY107" s="197">
        <f>DY77+DY70+DY73</f>
        <v>1960.5</v>
      </c>
      <c r="DZ107" s="197">
        <f t="shared" si="248"/>
        <v>1960.5</v>
      </c>
      <c r="EA107" s="197">
        <f t="shared" si="248"/>
        <v>1960.5</v>
      </c>
      <c r="EB107" s="197">
        <f t="shared" ref="EB107:ED107" si="249">EB77+EB70+EB73</f>
        <v>1960.5</v>
      </c>
      <c r="EC107" s="197">
        <f t="shared" si="249"/>
        <v>1960.5</v>
      </c>
      <c r="ED107" s="197">
        <f t="shared" si="249"/>
        <v>1960.5</v>
      </c>
      <c r="EE107" s="199"/>
      <c r="EF107"/>
      <c r="EG107"/>
      <c r="EH107"/>
      <c r="EI107"/>
      <c r="EJ107"/>
      <c r="EK107"/>
    </row>
    <row r="108" spans="1:141" s="631" customFormat="1">
      <c r="A108" s="625"/>
      <c r="B108" s="626" t="s">
        <v>107</v>
      </c>
      <c r="C108" s="627"/>
      <c r="D108" s="628">
        <f>D107/(D107+D87+D89)</f>
        <v>0.89793632641512289</v>
      </c>
      <c r="E108" s="629">
        <f t="shared" ref="E108:BP108" si="250">E107/(E107+E87+E89)</f>
        <v>0.71322369938233521</v>
      </c>
      <c r="F108" s="629">
        <f t="shared" si="250"/>
        <v>0.68665250776016995</v>
      </c>
      <c r="G108" s="630">
        <f t="shared" si="250"/>
        <v>0.71365167989423306</v>
      </c>
      <c r="H108" s="629">
        <f t="shared" si="250"/>
        <v>0.71524134312696741</v>
      </c>
      <c r="I108" s="629">
        <f t="shared" si="250"/>
        <v>0.66116838487972507</v>
      </c>
      <c r="J108" s="629">
        <f t="shared" si="250"/>
        <v>0.69296750738468527</v>
      </c>
      <c r="K108" s="630">
        <f t="shared" si="250"/>
        <v>0.64737354085603116</v>
      </c>
      <c r="L108" s="629">
        <f t="shared" si="250"/>
        <v>0.71524134312696741</v>
      </c>
      <c r="M108" s="629">
        <f t="shared" si="250"/>
        <v>0.67813726428639809</v>
      </c>
      <c r="N108" s="629">
        <f t="shared" si="250"/>
        <v>0.5700140800290685</v>
      </c>
      <c r="O108" s="630">
        <f t="shared" si="250"/>
        <v>0.51307298886286501</v>
      </c>
      <c r="P108" s="629">
        <f t="shared" si="250"/>
        <v>0.49650145772594756</v>
      </c>
      <c r="Q108" s="629">
        <f t="shared" si="250"/>
        <v>0.48204575285955376</v>
      </c>
      <c r="R108" s="629">
        <f t="shared" si="250"/>
        <v>0.52850831054071112</v>
      </c>
      <c r="S108" s="630">
        <f t="shared" si="250"/>
        <v>0.47909024211298606</v>
      </c>
      <c r="T108" s="629">
        <f t="shared" si="250"/>
        <v>0.50012044323109039</v>
      </c>
      <c r="U108" s="629">
        <f t="shared" si="250"/>
        <v>0.5046595520817676</v>
      </c>
      <c r="V108" s="629">
        <f t="shared" si="250"/>
        <v>0.53766857304243454</v>
      </c>
      <c r="W108" s="630">
        <f t="shared" si="250"/>
        <v>0.54586739327883738</v>
      </c>
      <c r="X108" s="629">
        <f t="shared" si="250"/>
        <v>0.53734217847207355</v>
      </c>
      <c r="Y108" s="629">
        <f t="shared" si="250"/>
        <v>0.71229382758034354</v>
      </c>
      <c r="Z108" s="629">
        <f t="shared" si="250"/>
        <v>0.73307269533684627</v>
      </c>
      <c r="AA108" s="630">
        <f t="shared" si="250"/>
        <v>0.70489195013392947</v>
      </c>
      <c r="AB108" s="629">
        <f t="shared" si="250"/>
        <v>0.70515320334261833</v>
      </c>
      <c r="AC108" s="629">
        <f t="shared" si="250"/>
        <v>0.68439708961257018</v>
      </c>
      <c r="AD108" s="629">
        <f t="shared" si="250"/>
        <v>0.6873330434242404</v>
      </c>
      <c r="AE108" s="630">
        <f t="shared" si="250"/>
        <v>0.65801448439402677</v>
      </c>
      <c r="AF108" s="629">
        <f t="shared" si="250"/>
        <v>0.63680319866102564</v>
      </c>
      <c r="AG108" s="629">
        <f t="shared" si="250"/>
        <v>0.61693761089531485</v>
      </c>
      <c r="AH108" s="629">
        <f t="shared" si="250"/>
        <v>0.61551794698957618</v>
      </c>
      <c r="AI108" s="630">
        <f t="shared" si="250"/>
        <v>0.61462787651086337</v>
      </c>
      <c r="AJ108" s="629">
        <f t="shared" si="250"/>
        <v>0.5862007305796102</v>
      </c>
      <c r="AK108" s="629">
        <f t="shared" si="250"/>
        <v>0.60738391477596154</v>
      </c>
      <c r="AL108" s="629">
        <f t="shared" si="250"/>
        <v>0.59833378124160175</v>
      </c>
      <c r="AM108" s="630">
        <f t="shared" si="250"/>
        <v>0.56669186455699516</v>
      </c>
      <c r="AN108" s="629">
        <f t="shared" si="250"/>
        <v>0.55448610430160239</v>
      </c>
      <c r="AO108" s="629">
        <f t="shared" si="250"/>
        <v>0.52268357843749214</v>
      </c>
      <c r="AP108" s="629">
        <f t="shared" si="250"/>
        <v>0.5033755687099456</v>
      </c>
      <c r="AQ108" s="630">
        <f t="shared" si="250"/>
        <v>0.47933484016790445</v>
      </c>
      <c r="AR108" s="629">
        <f t="shared" si="250"/>
        <v>0.46846396693088649</v>
      </c>
      <c r="AS108" s="629">
        <f t="shared" si="250"/>
        <v>0.45713903325823668</v>
      </c>
      <c r="AT108" s="629">
        <f t="shared" si="250"/>
        <v>0.49782148139265314</v>
      </c>
      <c r="AU108" s="630">
        <f t="shared" si="250"/>
        <v>0.4814821849122542</v>
      </c>
      <c r="AV108" s="629">
        <f t="shared" si="250"/>
        <v>0.48749613481756343</v>
      </c>
      <c r="AW108" s="629">
        <f t="shared" si="250"/>
        <v>0.42890157694399128</v>
      </c>
      <c r="AX108" s="629">
        <f t="shared" si="250"/>
        <v>0.571101085233508</v>
      </c>
      <c r="AY108" s="630">
        <f t="shared" si="250"/>
        <v>0.71774808190640715</v>
      </c>
      <c r="AZ108" s="629">
        <f t="shared" si="250"/>
        <v>0.66607805050326685</v>
      </c>
      <c r="BA108" s="629">
        <f t="shared" si="250"/>
        <v>0.67520256630071074</v>
      </c>
      <c r="BB108" s="629">
        <f t="shared" si="250"/>
        <v>0.6799088059276146</v>
      </c>
      <c r="BC108" s="630">
        <f t="shared" si="250"/>
        <v>0.80589411233636421</v>
      </c>
      <c r="BD108" s="629">
        <f t="shared" si="250"/>
        <v>0.78100689393460254</v>
      </c>
      <c r="BE108" s="629">
        <f t="shared" si="250"/>
        <v>0.74710272434925074</v>
      </c>
      <c r="BF108" s="629">
        <f t="shared" si="250"/>
        <v>0.72568453869003857</v>
      </c>
      <c r="BG108" s="630">
        <f t="shared" si="250"/>
        <v>0.69235325642399803</v>
      </c>
      <c r="BH108" s="629">
        <f t="shared" si="250"/>
        <v>0.66298133966130945</v>
      </c>
      <c r="BI108" s="629">
        <f t="shared" si="250"/>
        <v>0.64728061847280616</v>
      </c>
      <c r="BJ108" s="629">
        <f t="shared" si="250"/>
        <v>0.67403139853089444</v>
      </c>
      <c r="BK108" s="630">
        <f t="shared" si="250"/>
        <v>0.9343754139621141</v>
      </c>
      <c r="BL108" s="629">
        <f t="shared" si="250"/>
        <v>1.0118927925081154</v>
      </c>
      <c r="BM108" s="629">
        <f t="shared" si="250"/>
        <v>1.050825655139404</v>
      </c>
      <c r="BN108" s="629">
        <f t="shared" si="250"/>
        <v>1.1224447656411312</v>
      </c>
      <c r="BO108" s="630">
        <f t="shared" si="250"/>
        <v>0.30826543229447395</v>
      </c>
      <c r="BP108" s="629">
        <f t="shared" si="250"/>
        <v>0.24947259150118875</v>
      </c>
      <c r="BQ108" s="629">
        <f t="shared" ref="BQ108:CT108" si="251">BQ107/(BQ107+BQ87+BQ89)</f>
        <v>0.23682308096740276</v>
      </c>
      <c r="BR108" s="629">
        <f t="shared" si="251"/>
        <v>0.21581955816468409</v>
      </c>
      <c r="BS108" s="630">
        <f t="shared" si="251"/>
        <v>0.21390537976620358</v>
      </c>
      <c r="BT108" s="629">
        <f t="shared" si="251"/>
        <v>0.20177338763249866</v>
      </c>
      <c r="BU108" s="629">
        <f t="shared" si="251"/>
        <v>0.1881388386957577</v>
      </c>
      <c r="BV108" s="629">
        <f t="shared" si="251"/>
        <v>0.20218706375058168</v>
      </c>
      <c r="BW108" s="630">
        <f t="shared" si="251"/>
        <v>0.2135421464762782</v>
      </c>
      <c r="BX108" s="629">
        <f t="shared" si="251"/>
        <v>0.20450468993501719</v>
      </c>
      <c r="BY108" s="629">
        <f t="shared" si="251"/>
        <v>0.20482317952946028</v>
      </c>
      <c r="BZ108" s="629">
        <f t="shared" si="251"/>
        <v>0.18265079920662702</v>
      </c>
      <c r="CA108" s="630">
        <f t="shared" si="251"/>
        <v>0.14776453934174824</v>
      </c>
      <c r="CB108" s="629">
        <f t="shared" si="251"/>
        <v>0.23264209923832163</v>
      </c>
      <c r="CC108" s="629">
        <f t="shared" si="251"/>
        <v>0.27471927635683097</v>
      </c>
      <c r="CD108" s="629">
        <f t="shared" si="251"/>
        <v>0.26577822479255719</v>
      </c>
      <c r="CE108" s="630">
        <f t="shared" si="251"/>
        <v>0.25129558313126987</v>
      </c>
      <c r="CF108" s="629">
        <f t="shared" si="251"/>
        <v>0.24335587893694063</v>
      </c>
      <c r="CG108" s="629">
        <f t="shared" si="251"/>
        <v>0.24910252226211013</v>
      </c>
      <c r="CH108" s="629">
        <f t="shared" si="251"/>
        <v>0.25297668363119896</v>
      </c>
      <c r="CI108" s="630">
        <f t="shared" si="251"/>
        <v>0.32746486690495752</v>
      </c>
      <c r="CJ108" s="629">
        <f t="shared" si="251"/>
        <v>0.4054931951811192</v>
      </c>
      <c r="CK108" s="629">
        <f t="shared" si="251"/>
        <v>0.39800703399765536</v>
      </c>
      <c r="CL108" s="629">
        <f t="shared" si="251"/>
        <v>0.40156320333919876</v>
      </c>
      <c r="CM108" s="630">
        <f t="shared" si="251"/>
        <v>0.39312217194570137</v>
      </c>
      <c r="CN108" s="629">
        <f t="shared" si="251"/>
        <v>0.38368058958427248</v>
      </c>
      <c r="CO108" s="629">
        <f t="shared" si="251"/>
        <v>0.38199298987644165</v>
      </c>
      <c r="CP108" s="629">
        <f t="shared" si="251"/>
        <v>0.37533708298019874</v>
      </c>
      <c r="CQ108" s="630">
        <f t="shared" si="251"/>
        <v>0.3782204825611965</v>
      </c>
      <c r="CR108" s="629">
        <f t="shared" si="251"/>
        <v>0.358789225215218</v>
      </c>
      <c r="CS108" s="629">
        <f t="shared" si="251"/>
        <v>0.33860402873644174</v>
      </c>
      <c r="CT108" s="629">
        <f t="shared" si="251"/>
        <v>0.31989965465563303</v>
      </c>
      <c r="CU108" s="630">
        <f t="shared" ref="CU108" si="252">CU107/(CU107+CU87+CU89)</f>
        <v>0.30601732615312571</v>
      </c>
      <c r="CV108" s="629">
        <f t="shared" ref="CV108:CY108" si="253">CV107/(CV107+CV87+CV89)</f>
        <v>0.29727684182948833</v>
      </c>
      <c r="CW108" s="629">
        <f t="shared" si="253"/>
        <v>0.28877449851621551</v>
      </c>
      <c r="CX108" s="629">
        <f t="shared" si="253"/>
        <v>0.28209258577307711</v>
      </c>
      <c r="CY108" s="630">
        <f t="shared" si="253"/>
        <v>0.27530469226635584</v>
      </c>
      <c r="DA108" s="632">
        <f t="shared" ref="DA108:EA108" si="254">DA107/(DA107+DA87+DA89)</f>
        <v>0.71365167989423306</v>
      </c>
      <c r="DB108" s="632">
        <f t="shared" si="254"/>
        <v>0.64737354085603116</v>
      </c>
      <c r="DC108" s="632">
        <f t="shared" si="254"/>
        <v>0.51307298886286501</v>
      </c>
      <c r="DD108" s="632">
        <f t="shared" si="254"/>
        <v>0.47909024211298606</v>
      </c>
      <c r="DE108" s="632">
        <f t="shared" si="254"/>
        <v>0.54586739327883738</v>
      </c>
      <c r="DF108" s="632">
        <f t="shared" si="254"/>
        <v>0.70489195013392947</v>
      </c>
      <c r="DG108" s="632">
        <f t="shared" si="254"/>
        <v>0.65801448439402677</v>
      </c>
      <c r="DH108" s="632">
        <f t="shared" si="254"/>
        <v>0.61462787651086337</v>
      </c>
      <c r="DI108" s="632">
        <f t="shared" si="254"/>
        <v>0.56669186455699516</v>
      </c>
      <c r="DJ108" s="632">
        <f t="shared" si="254"/>
        <v>0.47933484016790445</v>
      </c>
      <c r="DK108" s="632">
        <f t="shared" si="254"/>
        <v>0.4814821849122542</v>
      </c>
      <c r="DL108" s="632">
        <f t="shared" si="254"/>
        <v>0.71774808190640715</v>
      </c>
      <c r="DM108" s="632">
        <f t="shared" si="254"/>
        <v>0.80589411233636421</v>
      </c>
      <c r="DN108" s="632">
        <f t="shared" si="254"/>
        <v>0.69235325642399803</v>
      </c>
      <c r="DO108" s="632">
        <f t="shared" si="254"/>
        <v>0.9343754139621141</v>
      </c>
      <c r="DP108" s="632">
        <f t="shared" si="254"/>
        <v>0.30826543229447395</v>
      </c>
      <c r="DQ108" s="632">
        <f t="shared" si="254"/>
        <v>0.21390537976620358</v>
      </c>
      <c r="DR108" s="632">
        <f t="shared" si="254"/>
        <v>0.2135421464762782</v>
      </c>
      <c r="DS108" s="632">
        <f t="shared" si="254"/>
        <v>0.14776453934174824</v>
      </c>
      <c r="DT108" s="632">
        <f t="shared" si="254"/>
        <v>0.25129558313126987</v>
      </c>
      <c r="DU108" s="632">
        <f t="shared" si="254"/>
        <v>0.32746486690495752</v>
      </c>
      <c r="DV108" s="629">
        <f t="shared" si="254"/>
        <v>0.39312217194570137</v>
      </c>
      <c r="DW108" s="629">
        <f t="shared" si="254"/>
        <v>0.3782204825611965</v>
      </c>
      <c r="DX108" s="629">
        <f t="shared" si="254"/>
        <v>0.30601732615312571</v>
      </c>
      <c r="DY108" s="629">
        <f>DY107/(DY107+DY87+DY89)</f>
        <v>0.27530469226635584</v>
      </c>
      <c r="DZ108" s="629">
        <f t="shared" si="254"/>
        <v>0.24896271342862769</v>
      </c>
      <c r="EA108" s="629">
        <f t="shared" si="254"/>
        <v>0.22770630171812931</v>
      </c>
      <c r="EB108" s="629">
        <f t="shared" ref="EB108:ED108" si="255">EB107/(EB107+EB87+EB89)</f>
        <v>0.210409252495772</v>
      </c>
      <c r="EC108" s="629">
        <f t="shared" si="255"/>
        <v>0.19642691515989055</v>
      </c>
      <c r="ED108" s="629">
        <f t="shared" si="255"/>
        <v>0.18526672107563374</v>
      </c>
      <c r="EE108" s="627"/>
      <c r="EF108"/>
      <c r="EG108"/>
      <c r="EH108"/>
      <c r="EI108"/>
      <c r="EJ108"/>
      <c r="EK108"/>
    </row>
    <row r="109" spans="1:141" s="137" customFormat="1">
      <c r="A109" s="193"/>
      <c r="B109" s="252" t="s">
        <v>142</v>
      </c>
      <c r="C109" s="199"/>
      <c r="D109" s="213">
        <f t="shared" ref="D109:AC109" si="256">D107-D59</f>
        <v>498.77499999999992</v>
      </c>
      <c r="E109" s="197">
        <f t="shared" si="256"/>
        <v>410.59399999999999</v>
      </c>
      <c r="F109" s="197">
        <f t="shared" si="256"/>
        <v>381.40000000000003</v>
      </c>
      <c r="G109" s="198">
        <f t="shared" si="256"/>
        <v>500.23900000000003</v>
      </c>
      <c r="H109" s="197">
        <f t="shared" si="256"/>
        <v>529.09999999999991</v>
      </c>
      <c r="I109" s="197">
        <f t="shared" si="256"/>
        <v>428</v>
      </c>
      <c r="J109" s="197">
        <f t="shared" si="256"/>
        <v>1204.6999999999998</v>
      </c>
      <c r="K109" s="198">
        <f t="shared" si="256"/>
        <v>1030.7000000000003</v>
      </c>
      <c r="L109" s="197">
        <f t="shared" si="256"/>
        <v>529.09999999999991</v>
      </c>
      <c r="M109" s="197">
        <f t="shared" si="256"/>
        <v>1384.8999999999999</v>
      </c>
      <c r="N109" s="197">
        <f t="shared" si="256"/>
        <v>1203.5</v>
      </c>
      <c r="O109" s="198">
        <f t="shared" si="256"/>
        <v>1047.3999999999999</v>
      </c>
      <c r="P109" s="197">
        <f t="shared" si="256"/>
        <v>1005.5000000000001</v>
      </c>
      <c r="Q109" s="197">
        <f t="shared" si="256"/>
        <v>1011.8</v>
      </c>
      <c r="R109" s="197">
        <f t="shared" si="256"/>
        <v>1247.0999999999999</v>
      </c>
      <c r="S109" s="198">
        <f t="shared" si="256"/>
        <v>1097.1999999999998</v>
      </c>
      <c r="T109" s="197">
        <f t="shared" si="256"/>
        <v>1227.4000000000001</v>
      </c>
      <c r="U109" s="197">
        <f t="shared" si="256"/>
        <v>1314.8</v>
      </c>
      <c r="V109" s="197">
        <f t="shared" si="256"/>
        <v>1490.3</v>
      </c>
      <c r="W109" s="198">
        <f t="shared" si="256"/>
        <v>1532.6000000000001</v>
      </c>
      <c r="X109" s="197">
        <f t="shared" si="256"/>
        <v>1482</v>
      </c>
      <c r="Y109" s="197">
        <f t="shared" si="256"/>
        <v>3318.9</v>
      </c>
      <c r="Z109" s="197">
        <f t="shared" si="256"/>
        <v>3809.9999999999995</v>
      </c>
      <c r="AA109" s="198">
        <f t="shared" si="256"/>
        <v>3393.1</v>
      </c>
      <c r="AB109" s="197">
        <f t="shared" si="256"/>
        <v>3441</v>
      </c>
      <c r="AC109" s="197">
        <f t="shared" si="256"/>
        <v>3208</v>
      </c>
      <c r="AD109" s="197">
        <f t="shared" ref="AD109:BC109" si="257">AD107-AD59</f>
        <v>3238.5</v>
      </c>
      <c r="AE109" s="198">
        <f t="shared" si="257"/>
        <v>2981.2999999999997</v>
      </c>
      <c r="AF109" s="197">
        <f t="shared" si="257"/>
        <v>2583.5999999999995</v>
      </c>
      <c r="AG109" s="197">
        <f t="shared" si="257"/>
        <v>2446.5000000000005</v>
      </c>
      <c r="AH109" s="197">
        <f t="shared" si="257"/>
        <v>2455.6000000000004</v>
      </c>
      <c r="AI109" s="198">
        <f t="shared" si="257"/>
        <v>2399</v>
      </c>
      <c r="AJ109" s="197">
        <f t="shared" si="257"/>
        <v>2210.9999999999995</v>
      </c>
      <c r="AK109" s="197">
        <f t="shared" si="257"/>
        <v>2141</v>
      </c>
      <c r="AL109" s="197">
        <f t="shared" si="257"/>
        <v>2140</v>
      </c>
      <c r="AM109" s="198">
        <f t="shared" si="257"/>
        <v>2082.3000000000006</v>
      </c>
      <c r="AN109" s="197">
        <f t="shared" si="257"/>
        <v>2058.8999999999996</v>
      </c>
      <c r="AO109" s="197">
        <f t="shared" si="257"/>
        <v>1990.3000000000002</v>
      </c>
      <c r="AP109" s="197">
        <f t="shared" si="257"/>
        <v>1955.4</v>
      </c>
      <c r="AQ109" s="198">
        <f t="shared" si="257"/>
        <v>1908.9999999999998</v>
      </c>
      <c r="AR109" s="197">
        <f t="shared" si="257"/>
        <v>1915.9000000000003</v>
      </c>
      <c r="AS109" s="197">
        <f t="shared" si="257"/>
        <v>1900.6000000000001</v>
      </c>
      <c r="AT109" s="197">
        <f t="shared" si="257"/>
        <v>1989.1999999999998</v>
      </c>
      <c r="AU109" s="198">
        <f t="shared" si="257"/>
        <v>1950.2000000000003</v>
      </c>
      <c r="AV109" s="197">
        <f t="shared" si="257"/>
        <v>1996.9</v>
      </c>
      <c r="AW109" s="197">
        <f t="shared" si="257"/>
        <v>1760.1</v>
      </c>
      <c r="AX109" s="197">
        <f t="shared" si="257"/>
        <v>2206.3999999999996</v>
      </c>
      <c r="AY109" s="198">
        <f t="shared" si="257"/>
        <v>2627.8999999999996</v>
      </c>
      <c r="AZ109" s="197">
        <f t="shared" si="257"/>
        <v>2092.0000000000005</v>
      </c>
      <c r="BA109" s="197">
        <f t="shared" si="257"/>
        <v>2191.0000000000005</v>
      </c>
      <c r="BB109" s="197">
        <f t="shared" si="257"/>
        <v>2232.7999999999997</v>
      </c>
      <c r="BC109" s="198">
        <f t="shared" si="257"/>
        <v>1996.7</v>
      </c>
      <c r="BD109" s="197">
        <f t="shared" ref="BD109:CB109" si="258">BD107-BD59</f>
        <v>2139.3000000000002</v>
      </c>
      <c r="BE109" s="197">
        <f t="shared" si="258"/>
        <v>1897.4000000000003</v>
      </c>
      <c r="BF109" s="197">
        <f t="shared" si="258"/>
        <v>1865.3999999999996</v>
      </c>
      <c r="BG109" s="198">
        <f t="shared" si="258"/>
        <v>1853.3</v>
      </c>
      <c r="BH109" s="197">
        <f t="shared" si="258"/>
        <v>1756.6999999999998</v>
      </c>
      <c r="BI109" s="197">
        <f t="shared" si="258"/>
        <v>1762.6999999999998</v>
      </c>
      <c r="BJ109" s="197">
        <f t="shared" si="258"/>
        <v>1816.7000000000005</v>
      </c>
      <c r="BK109" s="198">
        <f t="shared" si="258"/>
        <v>1934.7000000000003</v>
      </c>
      <c r="BL109" s="197">
        <f t="shared" si="258"/>
        <v>2288.1999999999998</v>
      </c>
      <c r="BM109" s="197">
        <f t="shared" si="258"/>
        <v>2379.1999999999998</v>
      </c>
      <c r="BN109" s="197">
        <f t="shared" si="258"/>
        <v>-1227.6999999999998</v>
      </c>
      <c r="BO109" s="198">
        <f t="shared" si="258"/>
        <v>-581.69999999999993</v>
      </c>
      <c r="BP109" s="197">
        <f t="shared" si="258"/>
        <v>-555.40000000000009</v>
      </c>
      <c r="BQ109" s="197">
        <f t="shared" si="258"/>
        <v>-699.6</v>
      </c>
      <c r="BR109" s="197">
        <f t="shared" si="258"/>
        <v>-815</v>
      </c>
      <c r="BS109" s="198">
        <f t="shared" si="258"/>
        <v>-955.09999999999991</v>
      </c>
      <c r="BT109" s="197">
        <f t="shared" si="258"/>
        <v>-1008.4999999999999</v>
      </c>
      <c r="BU109" s="197">
        <f t="shared" si="258"/>
        <v>-1073.5999999999999</v>
      </c>
      <c r="BV109" s="197">
        <f t="shared" si="258"/>
        <v>-981.3</v>
      </c>
      <c r="BW109" s="198">
        <f t="shared" si="258"/>
        <v>-1058.9000000000001</v>
      </c>
      <c r="BX109" s="197">
        <f t="shared" si="258"/>
        <v>-935.40000000000009</v>
      </c>
      <c r="BY109" s="197">
        <f t="shared" si="258"/>
        <v>-636.80000000000007</v>
      </c>
      <c r="BZ109" s="197">
        <f t="shared" si="258"/>
        <v>-643.39999999999986</v>
      </c>
      <c r="CA109" s="198">
        <f t="shared" si="258"/>
        <v>-775.90000000000009</v>
      </c>
      <c r="CB109" s="197">
        <f t="shared" si="258"/>
        <v>-544.5</v>
      </c>
      <c r="CC109" s="197">
        <f t="shared" ref="CC109:CS109" si="259">CC107-CC59</f>
        <v>215.80000000000007</v>
      </c>
      <c r="CD109" s="197">
        <f t="shared" si="259"/>
        <v>173</v>
      </c>
      <c r="CE109" s="198">
        <f t="shared" si="259"/>
        <v>-80.600000000000136</v>
      </c>
      <c r="CF109" s="197">
        <f t="shared" si="259"/>
        <v>149.19999999999993</v>
      </c>
      <c r="CG109" s="197">
        <f t="shared" si="259"/>
        <v>203.49999999999989</v>
      </c>
      <c r="CH109" s="197">
        <f t="shared" si="259"/>
        <v>196</v>
      </c>
      <c r="CI109" s="198">
        <f t="shared" si="259"/>
        <v>380.90000000000009</v>
      </c>
      <c r="CJ109" s="197">
        <f t="shared" si="259"/>
        <v>1224.2</v>
      </c>
      <c r="CK109" s="197">
        <f t="shared" si="259"/>
        <v>1001.1999999999999</v>
      </c>
      <c r="CL109" s="197">
        <f t="shared" si="259"/>
        <v>1039.8</v>
      </c>
      <c r="CM109" s="198">
        <f t="shared" si="259"/>
        <v>758.2</v>
      </c>
      <c r="CN109" s="197">
        <f t="shared" si="259"/>
        <v>783.40000000000009</v>
      </c>
      <c r="CO109" s="197">
        <f t="shared" si="259"/>
        <v>556.10000000000014</v>
      </c>
      <c r="CP109" s="197">
        <f t="shared" si="259"/>
        <v>607</v>
      </c>
      <c r="CQ109" s="198">
        <f t="shared" si="259"/>
        <v>670.59999999999991</v>
      </c>
      <c r="CR109" s="197">
        <f t="shared" si="259"/>
        <v>728.3</v>
      </c>
      <c r="CS109" s="197">
        <f t="shared" si="259"/>
        <v>756.3</v>
      </c>
      <c r="CT109" s="197">
        <f>CT107-CT59</f>
        <v>710.09999999999991</v>
      </c>
      <c r="CU109" s="198">
        <f>CU107-CU59</f>
        <v>460.09999999999991</v>
      </c>
      <c r="CV109" s="197">
        <f t="shared" ref="CV109:CY109" si="260">CV107-CV59</f>
        <v>449.74939254961373</v>
      </c>
      <c r="CW109" s="197">
        <f t="shared" si="260"/>
        <v>214.640991001766</v>
      </c>
      <c r="CX109" s="197">
        <f t="shared" si="260"/>
        <v>112.8307871295624</v>
      </c>
      <c r="CY109" s="198">
        <f t="shared" si="260"/>
        <v>-179.85851513548641</v>
      </c>
      <c r="DA109" s="212">
        <f t="shared" ref="DA109:EA109" si="261">DA107-DA59</f>
        <v>500.23900000000003</v>
      </c>
      <c r="DB109" s="212">
        <f t="shared" si="261"/>
        <v>1030.7000000000003</v>
      </c>
      <c r="DC109" s="212">
        <f t="shared" si="261"/>
        <v>1047.3999999999999</v>
      </c>
      <c r="DD109" s="212">
        <f t="shared" si="261"/>
        <v>1097.1999999999998</v>
      </c>
      <c r="DE109" s="212">
        <f t="shared" si="261"/>
        <v>1532.6000000000001</v>
      </c>
      <c r="DF109" s="212">
        <f t="shared" si="261"/>
        <v>3393.1</v>
      </c>
      <c r="DG109" s="212">
        <f t="shared" si="261"/>
        <v>2981.2999999999997</v>
      </c>
      <c r="DH109" s="212">
        <f t="shared" si="261"/>
        <v>2399</v>
      </c>
      <c r="DI109" s="212">
        <f t="shared" si="261"/>
        <v>2082.3000000000006</v>
      </c>
      <c r="DJ109" s="212">
        <f t="shared" si="261"/>
        <v>1908.9999999999998</v>
      </c>
      <c r="DK109" s="212">
        <f t="shared" si="261"/>
        <v>1950.2000000000003</v>
      </c>
      <c r="DL109" s="212">
        <f t="shared" si="261"/>
        <v>2627.8999999999996</v>
      </c>
      <c r="DM109" s="212">
        <f t="shared" si="261"/>
        <v>1996.7</v>
      </c>
      <c r="DN109" s="212">
        <f t="shared" si="261"/>
        <v>1853.3</v>
      </c>
      <c r="DO109" s="212">
        <f t="shared" si="261"/>
        <v>1934.7000000000003</v>
      </c>
      <c r="DP109" s="212">
        <f t="shared" si="261"/>
        <v>-581.69999999999993</v>
      </c>
      <c r="DQ109" s="212">
        <f t="shared" si="261"/>
        <v>-955.09999999999991</v>
      </c>
      <c r="DR109" s="212">
        <f t="shared" si="261"/>
        <v>-1058.9000000000001</v>
      </c>
      <c r="DS109" s="212">
        <f t="shared" si="261"/>
        <v>-775.90000000000009</v>
      </c>
      <c r="DT109" s="212">
        <f t="shared" si="261"/>
        <v>-80.600000000000136</v>
      </c>
      <c r="DU109" s="212">
        <f t="shared" si="261"/>
        <v>380.90000000000009</v>
      </c>
      <c r="DV109" s="197">
        <f t="shared" si="261"/>
        <v>758.2</v>
      </c>
      <c r="DW109" s="197">
        <f t="shared" si="261"/>
        <v>670.59999999999991</v>
      </c>
      <c r="DX109" s="197">
        <f t="shared" si="261"/>
        <v>460.09999999999991</v>
      </c>
      <c r="DY109" s="197">
        <f>DY107-DY59</f>
        <v>-179.85851513548641</v>
      </c>
      <c r="DZ109" s="197">
        <f t="shared" ca="1" si="261"/>
        <v>-777.41094200885982</v>
      </c>
      <c r="EA109" s="197">
        <f t="shared" ca="1" si="261"/>
        <v>-1370.8165221416366</v>
      </c>
      <c r="EB109" s="197">
        <f t="shared" ref="EB109:ED109" ca="1" si="262">EB107-EB59</f>
        <v>-1948.2883337804242</v>
      </c>
      <c r="EC109" s="197">
        <f t="shared" ca="1" si="262"/>
        <v>-2505.9810558699164</v>
      </c>
      <c r="ED109" s="197">
        <f t="shared" ca="1" si="262"/>
        <v>-3033.4700467131033</v>
      </c>
      <c r="EE109" s="199"/>
      <c r="EF109"/>
      <c r="EG109"/>
      <c r="EH109"/>
      <c r="EI109"/>
      <c r="EJ109"/>
      <c r="EK109"/>
    </row>
    <row r="110" spans="1:141" s="277" customFormat="1">
      <c r="A110" s="273"/>
      <c r="B110" s="312" t="s">
        <v>261</v>
      </c>
      <c r="C110" s="274"/>
      <c r="D110" s="275"/>
      <c r="E110" s="274"/>
      <c r="F110" s="274"/>
      <c r="G110" s="276"/>
      <c r="H110" s="274"/>
      <c r="I110" s="274"/>
      <c r="J110" s="274"/>
      <c r="K110" s="276"/>
      <c r="L110" s="274"/>
      <c r="M110" s="274"/>
      <c r="N110" s="274"/>
      <c r="O110" s="276"/>
      <c r="P110" s="274"/>
      <c r="Q110" s="274"/>
      <c r="R110" s="274"/>
      <c r="S110" s="276"/>
      <c r="T110" s="274">
        <f t="shared" ref="T110:AR110" si="263">T109/T103</f>
        <v>1.7905178701677611</v>
      </c>
      <c r="U110" s="274">
        <f t="shared" si="263"/>
        <v>1.8882665517736614</v>
      </c>
      <c r="V110" s="274">
        <f t="shared" si="263"/>
        <v>2.1816717903674441</v>
      </c>
      <c r="W110" s="276">
        <f t="shared" si="263"/>
        <v>2.2054971938408405</v>
      </c>
      <c r="X110" s="274">
        <f t="shared" si="263"/>
        <v>2.0814606741573032</v>
      </c>
      <c r="Y110" s="274">
        <f t="shared" si="263"/>
        <v>4.1517388041030783</v>
      </c>
      <c r="Z110" s="274">
        <f t="shared" si="263"/>
        <v>4.1453595909041461</v>
      </c>
      <c r="AA110" s="276">
        <f t="shared" si="263"/>
        <v>3.2321394551343134</v>
      </c>
      <c r="AB110" s="274">
        <f t="shared" si="263"/>
        <v>2.9622933884297535</v>
      </c>
      <c r="AC110" s="274">
        <f t="shared" si="263"/>
        <v>2.6145069274653632</v>
      </c>
      <c r="AD110" s="274">
        <f t="shared" si="263"/>
        <v>2.6229043492346324</v>
      </c>
      <c r="AE110" s="276">
        <f t="shared" si="263"/>
        <v>2.6204623362925212</v>
      </c>
      <c r="AF110" s="274">
        <f t="shared" si="263"/>
        <v>2.3798820928518798</v>
      </c>
      <c r="AG110" s="274">
        <f t="shared" si="263"/>
        <v>2.3889268626110738</v>
      </c>
      <c r="AH110" s="274">
        <f t="shared" si="263"/>
        <v>2.4506986027944122</v>
      </c>
      <c r="AI110" s="276">
        <f t="shared" si="263"/>
        <v>2.4432223240655873</v>
      </c>
      <c r="AJ110" s="274">
        <f t="shared" si="263"/>
        <v>2.3161533626649908</v>
      </c>
      <c r="AK110" s="274">
        <f t="shared" si="263"/>
        <v>2.2725825283940155</v>
      </c>
      <c r="AL110" s="274">
        <f t="shared" si="263"/>
        <v>2.2652693976923897</v>
      </c>
      <c r="AM110" s="276">
        <f t="shared" si="263"/>
        <v>1.9943492002681749</v>
      </c>
      <c r="AN110" s="274">
        <f t="shared" si="263"/>
        <v>1.9326950154885949</v>
      </c>
      <c r="AO110" s="274">
        <f t="shared" si="263"/>
        <v>1.8348852217202918</v>
      </c>
      <c r="AP110" s="274">
        <f t="shared" si="263"/>
        <v>1.7837985769020259</v>
      </c>
      <c r="AQ110" s="276">
        <f t="shared" si="263"/>
        <v>1.7440160789329437</v>
      </c>
      <c r="AR110" s="274">
        <f t="shared" si="263"/>
        <v>1.709709084419061</v>
      </c>
      <c r="AS110" s="274">
        <f t="shared" ref="AS110:BR110" si="264">AS109/AS103</f>
        <v>1.6803112014852795</v>
      </c>
      <c r="AT110" s="274">
        <f t="shared" si="264"/>
        <v>1.7560028248587556</v>
      </c>
      <c r="AU110" s="276">
        <f t="shared" si="264"/>
        <v>1.7358255451713378</v>
      </c>
      <c r="AV110" s="274">
        <f t="shared" si="264"/>
        <v>1.9857796340493223</v>
      </c>
      <c r="AW110" s="274">
        <f t="shared" si="264"/>
        <v>1.981202161188651</v>
      </c>
      <c r="AX110" s="274">
        <f t="shared" si="264"/>
        <v>2.8241197025356124</v>
      </c>
      <c r="AY110" s="276">
        <f t="shared" si="264"/>
        <v>3.68223408578194</v>
      </c>
      <c r="AZ110" s="274">
        <f t="shared" si="264"/>
        <v>2.8032749541050799</v>
      </c>
      <c r="BA110" s="274">
        <f t="shared" si="264"/>
        <v>2.7171149720351688</v>
      </c>
      <c r="BB110" s="274">
        <f t="shared" si="264"/>
        <v>2.7551826258637702</v>
      </c>
      <c r="BC110" s="276">
        <f t="shared" si="264"/>
        <v>2.5387158296249215</v>
      </c>
      <c r="BD110" s="274">
        <f t="shared" si="264"/>
        <v>2.4720360526923972</v>
      </c>
      <c r="BE110" s="274">
        <f t="shared" si="264"/>
        <v>2.0362738785147023</v>
      </c>
      <c r="BF110" s="274">
        <f t="shared" si="264"/>
        <v>1.813532957417848</v>
      </c>
      <c r="BG110" s="276">
        <f t="shared" si="264"/>
        <v>1.7470776772247354</v>
      </c>
      <c r="BH110" s="274">
        <f t="shared" si="264"/>
        <v>1.6480908152734779</v>
      </c>
      <c r="BI110" s="274">
        <f t="shared" si="264"/>
        <v>1.7664094598657178</v>
      </c>
      <c r="BJ110" s="274">
        <f t="shared" si="264"/>
        <v>2.0693700877093071</v>
      </c>
      <c r="BK110" s="276">
        <f t="shared" si="264"/>
        <v>2.7024724123480932</v>
      </c>
      <c r="BL110" s="274">
        <f t="shared" si="264"/>
        <v>5.042309387395326</v>
      </c>
      <c r="BM110" s="274">
        <f t="shared" si="264"/>
        <v>10.389519650655012</v>
      </c>
      <c r="BN110" s="274">
        <f t="shared" si="264"/>
        <v>-4.3320395201129065</v>
      </c>
      <c r="BO110" s="276">
        <f t="shared" si="264"/>
        <v>-1.5691934178581037</v>
      </c>
      <c r="BP110" s="274">
        <f t="shared" si="264"/>
        <v>-0.97695690413368486</v>
      </c>
      <c r="BQ110" s="274">
        <f t="shared" si="264"/>
        <v>-0.87570409312805064</v>
      </c>
      <c r="BR110" s="274">
        <f t="shared" si="264"/>
        <v>-0.9800384800384796</v>
      </c>
      <c r="BS110" s="276">
        <f t="shared" ref="BS110:CQ110" si="265">BS109/BS103</f>
        <v>-1.1064643188137158</v>
      </c>
      <c r="BT110" s="274">
        <f t="shared" si="265"/>
        <v>-1.080921757770632</v>
      </c>
      <c r="BU110" s="274">
        <f t="shared" si="265"/>
        <v>-1.0976382782946523</v>
      </c>
      <c r="BV110" s="274">
        <f t="shared" si="265"/>
        <v>-0.97033521210323326</v>
      </c>
      <c r="BW110" s="276">
        <f t="shared" si="265"/>
        <v>-1.025271107668474</v>
      </c>
      <c r="BX110" s="274">
        <f t="shared" si="265"/>
        <v>-0.92130404806461097</v>
      </c>
      <c r="BY110" s="274">
        <f t="shared" si="265"/>
        <v>-0.65165779778960287</v>
      </c>
      <c r="BZ110" s="274">
        <f t="shared" si="265"/>
        <v>-0.65760425183973803</v>
      </c>
      <c r="CA110" s="276">
        <f t="shared" si="265"/>
        <v>-0.77427402454844818</v>
      </c>
      <c r="CB110" s="274">
        <f t="shared" si="265"/>
        <v>-0.53356197942185191</v>
      </c>
      <c r="CC110" s="274">
        <f t="shared" si="265"/>
        <v>0.2037002076647158</v>
      </c>
      <c r="CD110" s="274">
        <f t="shared" si="265"/>
        <v>0.15781791643860599</v>
      </c>
      <c r="CE110" s="276">
        <f t="shared" si="265"/>
        <v>-7.6930419013076318E-2</v>
      </c>
      <c r="CF110" s="274">
        <f t="shared" si="265"/>
        <v>0.13588342440801443</v>
      </c>
      <c r="CG110" s="274">
        <f t="shared" si="265"/>
        <v>0.17570367812122228</v>
      </c>
      <c r="CH110" s="274">
        <f t="shared" si="265"/>
        <v>0.16197008511693231</v>
      </c>
      <c r="CI110" s="276">
        <f t="shared" si="265"/>
        <v>0.27997059904446886</v>
      </c>
      <c r="CJ110" s="274">
        <f t="shared" si="265"/>
        <v>0.86156661271025348</v>
      </c>
      <c r="CK110" s="274">
        <f t="shared" si="265"/>
        <v>0.67181104475608877</v>
      </c>
      <c r="CL110" s="274">
        <f t="shared" si="265"/>
        <v>0.66343393096407743</v>
      </c>
      <c r="CM110" s="276">
        <f t="shared" si="265"/>
        <v>0.45729794933654933</v>
      </c>
      <c r="CN110" s="274">
        <f t="shared" si="265"/>
        <v>0.44589902669474596</v>
      </c>
      <c r="CO110" s="274">
        <f t="shared" si="265"/>
        <v>0.30427883563142905</v>
      </c>
      <c r="CP110" s="274">
        <f t="shared" si="265"/>
        <v>0.32254636271852904</v>
      </c>
      <c r="CQ110" s="276">
        <f t="shared" si="265"/>
        <v>0.35054887611082053</v>
      </c>
      <c r="CR110" s="274">
        <f t="shared" ref="CR110:CY110" si="266">CR109/CR103</f>
        <v>0.37074933822032158</v>
      </c>
      <c r="CS110" s="274">
        <f t="shared" si="266"/>
        <v>0.37535361556404762</v>
      </c>
      <c r="CT110" s="274">
        <f t="shared" si="266"/>
        <v>0.34279507603186077</v>
      </c>
      <c r="CU110" s="276">
        <f t="shared" ca="1" si="266"/>
        <v>0.2158472508913491</v>
      </c>
      <c r="CV110" s="274">
        <f t="shared" ca="1" si="266"/>
        <v>0.20554743876752021</v>
      </c>
      <c r="CW110" s="274">
        <f t="shared" ca="1" si="266"/>
        <v>9.587275091745559E-2</v>
      </c>
      <c r="CX110" s="274">
        <f t="shared" ca="1" si="266"/>
        <v>4.9709083220228781E-2</v>
      </c>
      <c r="CY110" s="276">
        <f t="shared" si="266"/>
        <v>-7.8350998295334748E-2</v>
      </c>
      <c r="DA110" s="274"/>
      <c r="DB110" s="274"/>
      <c r="DC110" s="274"/>
      <c r="DD110" s="274">
        <f t="shared" ref="DD110:EA110" si="267">DD109/DD103</f>
        <v>1.6486851990984206</v>
      </c>
      <c r="DE110" s="274">
        <f t="shared" si="267"/>
        <v>2.2054971938408361</v>
      </c>
      <c r="DF110" s="274">
        <f t="shared" si="267"/>
        <v>3.2321394551343148</v>
      </c>
      <c r="DG110" s="274">
        <f t="shared" si="267"/>
        <v>2.620462336292519</v>
      </c>
      <c r="DH110" s="274">
        <f t="shared" si="267"/>
        <v>2.4432223240655855</v>
      </c>
      <c r="DI110" s="274">
        <f t="shared" si="267"/>
        <v>1.9943492002681753</v>
      </c>
      <c r="DJ110" s="274">
        <f t="shared" si="267"/>
        <v>1.7440160789329437</v>
      </c>
      <c r="DK110" s="274">
        <f t="shared" si="267"/>
        <v>1.735825545171342</v>
      </c>
      <c r="DL110" s="274">
        <f t="shared" si="267"/>
        <v>3.6822340857819373</v>
      </c>
      <c r="DM110" s="274">
        <f t="shared" si="267"/>
        <v>2.5387158296249113</v>
      </c>
      <c r="DN110" s="274">
        <f t="shared" si="267"/>
        <v>1.7470776772247327</v>
      </c>
      <c r="DO110" s="274">
        <f t="shared" si="267"/>
        <v>2.7024724123480941</v>
      </c>
      <c r="DP110" s="274">
        <f t="shared" si="267"/>
        <v>-1.5691934178581077</v>
      </c>
      <c r="DQ110" s="274">
        <f t="shared" si="267"/>
        <v>-1.106464318813714</v>
      </c>
      <c r="DR110" s="274">
        <f t="shared" si="267"/>
        <v>-1.0252711076684744</v>
      </c>
      <c r="DS110" s="274">
        <f t="shared" si="267"/>
        <v>-0.77427402454844918</v>
      </c>
      <c r="DT110" s="274">
        <f t="shared" si="267"/>
        <v>-7.6930419013076276E-2</v>
      </c>
      <c r="DU110" s="274">
        <f t="shared" si="267"/>
        <v>0.27997059904446847</v>
      </c>
      <c r="DV110" s="274">
        <f t="shared" si="267"/>
        <v>0.45729794933654933</v>
      </c>
      <c r="DW110" s="274">
        <f t="shared" si="267"/>
        <v>0.35054887611082053</v>
      </c>
      <c r="DX110" s="274">
        <f t="shared" ca="1" si="267"/>
        <v>0.21584725089134887</v>
      </c>
      <c r="DY110" s="274">
        <f>DY109/DY103</f>
        <v>-7.8350998295334789E-2</v>
      </c>
      <c r="DZ110" s="274">
        <f t="shared" ca="1" si="267"/>
        <v>-0.32667664999743212</v>
      </c>
      <c r="EA110" s="274">
        <f t="shared" ca="1" si="267"/>
        <v>-0.57511214547002487</v>
      </c>
      <c r="EB110" s="274">
        <f t="shared" ref="EB110:ED110" ca="1" si="268">EB109/EB103</f>
        <v>-0.82024012933224222</v>
      </c>
      <c r="EC110" s="274">
        <f t="shared" ca="1" si="268"/>
        <v>-1.0693998111889138</v>
      </c>
      <c r="ED110" s="274">
        <f t="shared" ca="1" si="268"/>
        <v>-1.3268811991761527</v>
      </c>
      <c r="EE110" s="274"/>
      <c r="EF110"/>
      <c r="EG110"/>
      <c r="EH110"/>
      <c r="EI110"/>
      <c r="EJ110"/>
      <c r="EK110"/>
    </row>
    <row r="111" spans="1:141">
      <c r="A111" s="133"/>
      <c r="B111" s="111"/>
      <c r="C111" s="111"/>
      <c r="D111" s="140"/>
      <c r="E111" s="111"/>
      <c r="F111" s="111"/>
      <c r="G111" s="141"/>
      <c r="H111" s="111"/>
      <c r="I111" s="111"/>
      <c r="J111" s="111"/>
      <c r="K111" s="141"/>
      <c r="L111" s="111"/>
      <c r="M111" s="111"/>
      <c r="N111" s="111"/>
      <c r="O111" s="141"/>
      <c r="P111" s="111"/>
      <c r="Q111" s="111"/>
      <c r="R111" s="111"/>
      <c r="S111" s="141"/>
      <c r="T111" s="111"/>
      <c r="U111" s="111"/>
      <c r="V111" s="111"/>
      <c r="W111" s="141"/>
      <c r="X111" s="111"/>
      <c r="Y111" s="111"/>
      <c r="Z111" s="111"/>
      <c r="AA111" s="141"/>
      <c r="AB111" s="111"/>
      <c r="AC111" s="111"/>
      <c r="AD111" s="111"/>
      <c r="AE111" s="141"/>
      <c r="AF111" s="111"/>
      <c r="AG111" s="111"/>
      <c r="AH111" s="111"/>
      <c r="AI111" s="141"/>
      <c r="AJ111" s="111"/>
      <c r="AK111" s="111"/>
      <c r="AL111" s="111"/>
      <c r="AM111" s="141"/>
      <c r="AN111" s="125"/>
      <c r="AO111" s="125"/>
      <c r="AP111" s="125"/>
      <c r="AQ111" s="149"/>
      <c r="AR111" s="125"/>
      <c r="AS111" s="125"/>
      <c r="AT111" s="125"/>
      <c r="AU111" s="149"/>
      <c r="AV111" s="125"/>
      <c r="AW111" s="125"/>
      <c r="AX111" s="125"/>
      <c r="AY111" s="149"/>
      <c r="AZ111" s="125"/>
      <c r="BA111" s="125"/>
      <c r="BB111" s="125"/>
      <c r="BC111" s="149"/>
      <c r="BD111" s="125"/>
      <c r="BE111" s="125"/>
      <c r="BF111" s="125"/>
      <c r="BG111" s="149"/>
      <c r="BH111" s="125"/>
      <c r="BI111" s="125"/>
      <c r="BJ111" s="125"/>
      <c r="BK111" s="149"/>
      <c r="BL111" s="125"/>
      <c r="BM111" s="125"/>
      <c r="BN111" s="125"/>
      <c r="BO111" s="149"/>
      <c r="BP111" s="125"/>
      <c r="BQ111" s="125"/>
      <c r="BR111" s="125"/>
      <c r="BS111" s="149"/>
      <c r="BT111" s="125"/>
      <c r="BU111" s="125"/>
      <c r="BV111" s="125"/>
      <c r="BW111" s="149"/>
      <c r="BX111" s="125"/>
      <c r="BY111" s="125"/>
      <c r="BZ111" s="125"/>
      <c r="CA111" s="149"/>
      <c r="CB111" s="125"/>
      <c r="CC111" s="125"/>
      <c r="CD111" s="125"/>
      <c r="CE111" s="149"/>
      <c r="CF111" s="125"/>
      <c r="CG111" s="125"/>
      <c r="CH111" s="125"/>
      <c r="CI111" s="149"/>
      <c r="CJ111" s="125"/>
      <c r="CK111" s="125"/>
      <c r="CL111" s="125"/>
      <c r="CM111" s="149"/>
      <c r="CN111" s="125"/>
      <c r="CO111" s="125"/>
      <c r="CP111" s="125"/>
      <c r="CQ111" s="149"/>
      <c r="CR111" s="125"/>
      <c r="CS111" s="125"/>
      <c r="CT111" s="125"/>
      <c r="CU111" s="149"/>
      <c r="CV111" s="125"/>
      <c r="CW111" s="125"/>
      <c r="CX111" s="125"/>
      <c r="CY111" s="149"/>
      <c r="DA111" s="539"/>
      <c r="DB111" s="539"/>
      <c r="DC111" s="539"/>
      <c r="DD111" s="539"/>
      <c r="DE111" s="539"/>
      <c r="DF111" s="539"/>
      <c r="DG111" s="539"/>
      <c r="DH111" s="539"/>
      <c r="DI111" s="539"/>
      <c r="DJ111" s="539"/>
      <c r="DK111" s="539"/>
      <c r="DL111" s="539"/>
      <c r="DM111" s="539"/>
      <c r="DN111" s="539"/>
      <c r="DO111" s="539"/>
      <c r="DP111" s="539"/>
      <c r="DQ111" s="539"/>
      <c r="DR111" s="539"/>
      <c r="DS111" s="539"/>
      <c r="DT111" s="539"/>
      <c r="DU111" s="539"/>
      <c r="DV111" s="539"/>
      <c r="DW111" s="539"/>
      <c r="DX111" s="111"/>
      <c r="DY111" s="111"/>
      <c r="DZ111" s="111"/>
      <c r="EA111" s="111"/>
      <c r="EB111" s="111"/>
      <c r="EC111" s="111"/>
      <c r="ED111" s="111"/>
      <c r="EE111" s="111"/>
    </row>
    <row r="112" spans="1:141" s="255" customFormat="1">
      <c r="A112" s="253"/>
      <c r="B112" s="254" t="s">
        <v>363</v>
      </c>
      <c r="C112" s="254"/>
      <c r="D112" s="818"/>
      <c r="E112" s="254"/>
      <c r="F112" s="254"/>
      <c r="G112" s="819">
        <f>G104/(G107+G87+G89)</f>
        <v>0.11657028012427202</v>
      </c>
      <c r="H112" s="254">
        <f t="shared" ref="H112:BS112" si="269">H104/(H107+H87+H89)</f>
        <v>0.1292461553873723</v>
      </c>
      <c r="I112" s="254">
        <f t="shared" si="269"/>
        <v>0.15138666290484326</v>
      </c>
      <c r="J112" s="254">
        <f t="shared" si="269"/>
        <v>7.0327182031561242E-2</v>
      </c>
      <c r="K112" s="819">
        <f t="shared" si="269"/>
        <v>8.7999071535560733E-2</v>
      </c>
      <c r="L112" s="254">
        <f t="shared" si="269"/>
        <v>0.21171320795437798</v>
      </c>
      <c r="M112" s="254">
        <f t="shared" si="269"/>
        <v>9.0091403758356753E-2</v>
      </c>
      <c r="N112" s="254">
        <f t="shared" si="269"/>
        <v>9.504297332865505E-2</v>
      </c>
      <c r="O112" s="819">
        <f t="shared" si="269"/>
        <v>0.10770092613282481</v>
      </c>
      <c r="P112" s="254">
        <f t="shared" si="269"/>
        <v>0.11878984310983244</v>
      </c>
      <c r="Q112" s="254">
        <f t="shared" si="269"/>
        <v>0.12165622561075454</v>
      </c>
      <c r="R112" s="254">
        <f t="shared" si="269"/>
        <v>0.11282688300476071</v>
      </c>
      <c r="S112" s="819">
        <f t="shared" si="269"/>
        <v>0.12308333923954864</v>
      </c>
      <c r="T112" s="254">
        <f t="shared" si="269"/>
        <v>0.11670287198167748</v>
      </c>
      <c r="U112" s="254">
        <f t="shared" si="269"/>
        <v>0.11039760026512267</v>
      </c>
      <c r="V112" s="254">
        <f t="shared" si="269"/>
        <v>9.9126829245983719E-2</v>
      </c>
      <c r="W112" s="819">
        <f t="shared" si="269"/>
        <v>0.10083445232486467</v>
      </c>
      <c r="X112" s="254">
        <f t="shared" si="269"/>
        <v>0.10521994785016402</v>
      </c>
      <c r="Y112" s="254">
        <f t="shared" si="269"/>
        <v>6.9356922981926958E-2</v>
      </c>
      <c r="Z112" s="254">
        <f t="shared" si="269"/>
        <v>7.0517092064651524E-2</v>
      </c>
      <c r="AA112" s="819">
        <f t="shared" si="269"/>
        <v>8.5045728211049623E-2</v>
      </c>
      <c r="AB112" s="254">
        <f t="shared" si="269"/>
        <v>9.2130395002911744E-2</v>
      </c>
      <c r="AC112" s="254">
        <f t="shared" si="269"/>
        <v>0.10202546140670486</v>
      </c>
      <c r="AD112" s="254">
        <f t="shared" si="269"/>
        <v>0.10280946696419706</v>
      </c>
      <c r="AE112" s="819">
        <f t="shared" si="269"/>
        <v>0.10531227335726949</v>
      </c>
      <c r="AF112" s="254">
        <f t="shared" si="269"/>
        <v>0.11003271048831234</v>
      </c>
      <c r="AG112" s="254">
        <f t="shared" si="269"/>
        <v>0.10912611415980558</v>
      </c>
      <c r="AH112" s="254">
        <f t="shared" si="269"/>
        <v>0.10971770217314007</v>
      </c>
      <c r="AI112" s="819">
        <f t="shared" si="269"/>
        <v>0.11447957861103117</v>
      </c>
      <c r="AJ112" s="254">
        <f t="shared" si="269"/>
        <v>0.11807591479597422</v>
      </c>
      <c r="AK112" s="254">
        <f t="shared" si="269"/>
        <v>0.12638452656213908</v>
      </c>
      <c r="AL112" s="254">
        <f t="shared" si="269"/>
        <v>0.12843920055346511</v>
      </c>
      <c r="AM112" s="819">
        <f t="shared" si="269"/>
        <v>0.12878805735066945</v>
      </c>
      <c r="AN112" s="820">
        <f t="shared" si="269"/>
        <v>0.13254947110896842</v>
      </c>
      <c r="AO112" s="820">
        <f t="shared" si="269"/>
        <v>0.13262954804749449</v>
      </c>
      <c r="AP112" s="820">
        <f t="shared" si="269"/>
        <v>0.13282861006988966</v>
      </c>
      <c r="AQ112" s="821">
        <f t="shared" si="269"/>
        <v>0.12684271869523259</v>
      </c>
      <c r="AR112" s="820">
        <f t="shared" si="269"/>
        <v>0.12869376339001593</v>
      </c>
      <c r="AS112" s="820">
        <f t="shared" si="269"/>
        <v>0.12803116978392406</v>
      </c>
      <c r="AT112" s="820">
        <f t="shared" si="269"/>
        <v>0.11420123174303441</v>
      </c>
      <c r="AU112" s="821">
        <f t="shared" si="269"/>
        <v>0.10785644846957256</v>
      </c>
      <c r="AV112" s="820">
        <f t="shared" si="269"/>
        <v>0.14987045760931722</v>
      </c>
      <c r="AW112" s="820">
        <f t="shared" si="269"/>
        <v>0.15534733243005974</v>
      </c>
      <c r="AX112" s="820">
        <f t="shared" si="269"/>
        <v>0.14225058973500673</v>
      </c>
      <c r="AY112" s="821">
        <f t="shared" si="269"/>
        <v>0.11409137496015095</v>
      </c>
      <c r="AZ112" s="820">
        <f t="shared" si="269"/>
        <v>4.2179675761388202E-2</v>
      </c>
      <c r="BA112" s="820">
        <f t="shared" si="269"/>
        <v>3.1809374257658667E-2</v>
      </c>
      <c r="BB112" s="820">
        <f t="shared" si="269"/>
        <v>5.5126984325641837E-2</v>
      </c>
      <c r="BC112" s="821">
        <f t="shared" si="269"/>
        <v>7.0111971357968969E-2</v>
      </c>
      <c r="BD112" s="820">
        <f t="shared" si="269"/>
        <v>9.3671888142840581E-2</v>
      </c>
      <c r="BE112" s="820">
        <f t="shared" si="269"/>
        <v>0.13404734293228154</v>
      </c>
      <c r="BF112" s="820">
        <f t="shared" si="269"/>
        <v>0.13669085571853948</v>
      </c>
      <c r="BG112" s="821">
        <f t="shared" si="269"/>
        <v>0.15778964214921379</v>
      </c>
      <c r="BH112" s="820">
        <f t="shared" si="269"/>
        <v>0.16104842756653856</v>
      </c>
      <c r="BI112" s="820">
        <f t="shared" si="269"/>
        <v>0.13652309822176206</v>
      </c>
      <c r="BJ112" s="820">
        <f t="shared" si="269"/>
        <v>0.14369897134432269</v>
      </c>
      <c r="BK112" s="821">
        <f t="shared" si="269"/>
        <v>9.8514048422408809E-2</v>
      </c>
      <c r="BL112" s="820">
        <f t="shared" si="269"/>
        <v>4.3133927294059092E-2</v>
      </c>
      <c r="BM112" s="820">
        <f t="shared" si="269"/>
        <v>7.3047735098408716E-4</v>
      </c>
      <c r="BN112" s="820">
        <f t="shared" si="269"/>
        <v>-6.1224105227927546E-2</v>
      </c>
      <c r="BO112" s="821">
        <f t="shared" si="269"/>
        <v>9.5663817532750522E-3</v>
      </c>
      <c r="BP112" s="820">
        <f t="shared" si="269"/>
        <v>6.946787171095678E-2</v>
      </c>
      <c r="BQ112" s="820">
        <f t="shared" si="269"/>
        <v>0.13933974907834659</v>
      </c>
      <c r="BR112" s="820">
        <f t="shared" si="269"/>
        <v>0.15051239532400598</v>
      </c>
      <c r="BS112" s="821">
        <f t="shared" si="269"/>
        <v>0.16551208398866696</v>
      </c>
      <c r="BT112" s="820">
        <f t="shared" ref="BT112:CT112" si="270">BT104/(BT107+BT87+BT89)</f>
        <v>0.17372829998043574</v>
      </c>
      <c r="BU112" s="820">
        <f t="shared" si="270"/>
        <v>0.16963025794001993</v>
      </c>
      <c r="BV112" s="820">
        <f t="shared" si="270"/>
        <v>0.18253605625079686</v>
      </c>
      <c r="BW112" s="821">
        <f t="shared" si="270"/>
        <v>0.19584534864367317</v>
      </c>
      <c r="BX112" s="820">
        <f t="shared" si="270"/>
        <v>0.18460749937503143</v>
      </c>
      <c r="BY112" s="820">
        <f t="shared" si="270"/>
        <v>0.17812897736150765</v>
      </c>
      <c r="BZ112" s="820">
        <f t="shared" si="270"/>
        <v>0.17927946801234948</v>
      </c>
      <c r="CA112" s="821">
        <f t="shared" si="270"/>
        <v>0.14788979528910487</v>
      </c>
      <c r="CB112" s="820">
        <f t="shared" si="270"/>
        <v>0.13566201784028772</v>
      </c>
      <c r="CC112" s="820">
        <f t="shared" si="270"/>
        <v>0.15839430732325813</v>
      </c>
      <c r="CD112" s="820">
        <f t="shared" si="270"/>
        <v>0.15085761343907156</v>
      </c>
      <c r="CE112" s="821">
        <f t="shared" si="270"/>
        <v>0.1412724782845641</v>
      </c>
      <c r="CF112" s="820">
        <f t="shared" si="270"/>
        <v>0.14126088383588156</v>
      </c>
      <c r="CG112" s="820">
        <f t="shared" si="270"/>
        <v>0.15448739952282062</v>
      </c>
      <c r="CH112" s="820">
        <f t="shared" si="270"/>
        <v>0.16665555470355228</v>
      </c>
      <c r="CI112" s="821">
        <f t="shared" si="270"/>
        <v>0.16780946223973858</v>
      </c>
      <c r="CJ112" s="820">
        <f t="shared" si="270"/>
        <v>0.16337653130372642</v>
      </c>
      <c r="CK112" s="820">
        <f t="shared" si="270"/>
        <v>0.17000329901775585</v>
      </c>
      <c r="CL112" s="820">
        <f t="shared" si="270"/>
        <v>0.18290736619570039</v>
      </c>
      <c r="CM112" s="821">
        <f t="shared" si="270"/>
        <v>0.19258592646812489</v>
      </c>
      <c r="CN112" s="820">
        <f t="shared" si="270"/>
        <v>0.20161909207223103</v>
      </c>
      <c r="CO112" s="820">
        <f t="shared" si="270"/>
        <v>0.20996563412083194</v>
      </c>
      <c r="CP112" s="820">
        <f t="shared" si="270"/>
        <v>0.21302509748485926</v>
      </c>
      <c r="CQ112" s="821">
        <f t="shared" si="270"/>
        <v>0.21962401252913374</v>
      </c>
      <c r="CR112" s="820">
        <f t="shared" si="270"/>
        <v>0.21631220089643324</v>
      </c>
      <c r="CS112" s="820">
        <f t="shared" si="270"/>
        <v>0.21270101984568804</v>
      </c>
      <c r="CT112" s="820">
        <f t="shared" si="270"/>
        <v>0.20376397767665422</v>
      </c>
      <c r="CU112" s="821">
        <f t="shared" ref="CU112" si="271">CU104/(CU107+CU87+CU89)</f>
        <v>0.20190118335637233</v>
      </c>
      <c r="CV112" s="820">
        <f t="shared" ref="CV112:CY112" si="272">CV104/(CV107+CV87+CV89)</f>
        <v>0.20287696234419803</v>
      </c>
      <c r="CW112" s="820">
        <f t="shared" si="272"/>
        <v>0.20344019752969764</v>
      </c>
      <c r="CX112" s="820">
        <f t="shared" si="272"/>
        <v>0.20231703147730723</v>
      </c>
      <c r="CY112" s="821">
        <f t="shared" si="272"/>
        <v>0.19896400138636927</v>
      </c>
      <c r="CZ112" s="822"/>
      <c r="DA112" s="539">
        <f t="shared" ref="DA112:EA112" si="273">DA104/(DA107+DA87+DA89)</f>
        <v>0.11822441701503657</v>
      </c>
      <c r="DB112" s="539">
        <f t="shared" si="273"/>
        <v>8.808851212459276E-2</v>
      </c>
      <c r="DC112" s="539">
        <f t="shared" si="273"/>
        <v>0.10767763285244901</v>
      </c>
      <c r="DD112" s="539">
        <f t="shared" si="273"/>
        <v>0.12305326886677517</v>
      </c>
      <c r="DE112" s="539">
        <f t="shared" si="273"/>
        <v>0.1008429040719148</v>
      </c>
      <c r="DF112" s="539">
        <f t="shared" si="273"/>
        <v>8.517029920703463E-2</v>
      </c>
      <c r="DG112" s="539">
        <f t="shared" si="273"/>
        <v>0.10530031745448455</v>
      </c>
      <c r="DH112" s="539">
        <f t="shared" si="273"/>
        <v>0.11443541750446592</v>
      </c>
      <c r="DI112" s="539">
        <f t="shared" si="273"/>
        <v>0.12879030012993586</v>
      </c>
      <c r="DJ112" s="539">
        <f t="shared" si="273"/>
        <v>0.12695466089754612</v>
      </c>
      <c r="DK112" s="539">
        <f t="shared" si="273"/>
        <v>0.10792139897992904</v>
      </c>
      <c r="DL112" s="539">
        <f t="shared" si="273"/>
        <v>1.3321943010689149E-2</v>
      </c>
      <c r="DM112" s="539">
        <f t="shared" si="273"/>
        <v>1.052440466096778E-2</v>
      </c>
      <c r="DN112" s="539">
        <f t="shared" si="273"/>
        <v>0.16014030213781269</v>
      </c>
      <c r="DO112" s="539">
        <f t="shared" si="273"/>
        <v>-4.0187656578165361E-3</v>
      </c>
      <c r="DP112" s="539">
        <f t="shared" si="273"/>
        <v>5.2780314913237168E-2</v>
      </c>
      <c r="DQ112" s="539">
        <f t="shared" si="273"/>
        <v>0.16645528109663058</v>
      </c>
      <c r="DR112" s="539">
        <f t="shared" si="273"/>
        <v>0.19590692444983851</v>
      </c>
      <c r="DS112" s="539">
        <f t="shared" si="273"/>
        <v>0.14782764779569377</v>
      </c>
      <c r="DT112" s="539">
        <f t="shared" si="273"/>
        <v>0.14125855894864947</v>
      </c>
      <c r="DU112" s="539">
        <f t="shared" si="273"/>
        <v>0.16779111451883513</v>
      </c>
      <c r="DV112" s="539">
        <f t="shared" si="273"/>
        <v>0.19268239629378051</v>
      </c>
      <c r="DW112" s="539">
        <f t="shared" si="273"/>
        <v>0.21965117929236985</v>
      </c>
      <c r="DX112" s="254">
        <f t="shared" si="273"/>
        <v>0.20187402706499571</v>
      </c>
      <c r="DY112" s="254">
        <f>DY104/(DY107+DY87+DY89)</f>
        <v>0.19896400138636908</v>
      </c>
      <c r="DZ112" s="254">
        <f t="shared" si="273"/>
        <v>0.18504280417459631</v>
      </c>
      <c r="EA112" s="254">
        <f t="shared" si="273"/>
        <v>0.16650887447819693</v>
      </c>
      <c r="EB112" s="254">
        <f t="shared" ref="EB112:ED112" si="274">EB104/(EB107+EB87+EB89)</f>
        <v>0.1503102155508611</v>
      </c>
      <c r="EC112" s="254">
        <f t="shared" si="274"/>
        <v>0.13517233243692661</v>
      </c>
      <c r="ED112" s="254">
        <f t="shared" si="274"/>
        <v>0.12087675878514256</v>
      </c>
      <c r="EE112" s="254"/>
      <c r="EF112"/>
      <c r="EG112"/>
      <c r="EH112"/>
      <c r="EI112"/>
      <c r="EJ112"/>
      <c r="EK112"/>
    </row>
    <row r="113" spans="1:141">
      <c r="A113" s="133"/>
      <c r="B113" s="111"/>
      <c r="C113" s="111"/>
      <c r="D113" s="140"/>
      <c r="E113" s="111"/>
      <c r="F113" s="111"/>
      <c r="G113" s="141"/>
      <c r="H113" s="111"/>
      <c r="I113" s="111"/>
      <c r="J113" s="111"/>
      <c r="K113" s="141"/>
      <c r="L113" s="111"/>
      <c r="M113" s="111"/>
      <c r="N113" s="111"/>
      <c r="O113" s="141"/>
      <c r="P113" s="111"/>
      <c r="Q113" s="111"/>
      <c r="R113" s="111"/>
      <c r="S113" s="141"/>
      <c r="T113" s="111"/>
      <c r="U113" s="111"/>
      <c r="V113" s="111"/>
      <c r="W113" s="141"/>
      <c r="X113" s="111"/>
      <c r="Y113" s="111"/>
      <c r="Z113" s="111"/>
      <c r="AA113" s="141"/>
      <c r="AB113" s="111"/>
      <c r="AC113" s="111"/>
      <c r="AD113" s="111"/>
      <c r="AE113" s="141"/>
      <c r="AF113" s="111"/>
      <c r="AG113" s="111"/>
      <c r="AH113" s="111"/>
      <c r="AI113" s="141"/>
      <c r="AJ113" s="111"/>
      <c r="AK113" s="111"/>
      <c r="AL113" s="111"/>
      <c r="AM113" s="141"/>
      <c r="AN113" s="125"/>
      <c r="AO113" s="125"/>
      <c r="AP113" s="125"/>
      <c r="AQ113" s="149"/>
      <c r="AR113" s="125"/>
      <c r="AS113" s="125"/>
      <c r="AT113" s="125"/>
      <c r="AU113" s="149"/>
      <c r="AV113" s="125"/>
      <c r="AW113" s="125"/>
      <c r="AX113" s="125"/>
      <c r="AY113" s="149"/>
      <c r="AZ113" s="125"/>
      <c r="BA113" s="125"/>
      <c r="BB113" s="125"/>
      <c r="BC113" s="149"/>
      <c r="BD113" s="125"/>
      <c r="BE113" s="125"/>
      <c r="BF113" s="125"/>
      <c r="BG113" s="149"/>
      <c r="BH113" s="125"/>
      <c r="BI113" s="125"/>
      <c r="BJ113" s="125"/>
      <c r="BK113" s="149"/>
      <c r="BL113" s="125"/>
      <c r="BM113" s="125"/>
      <c r="BN113" s="125"/>
      <c r="BO113" s="149"/>
      <c r="BP113" s="125"/>
      <c r="BQ113" s="125"/>
      <c r="BR113" s="125"/>
      <c r="BS113" s="149"/>
      <c r="BT113" s="125"/>
      <c r="BU113" s="125"/>
      <c r="BV113" s="125"/>
      <c r="BW113" s="149"/>
      <c r="BX113" s="125"/>
      <c r="BY113" s="125"/>
      <c r="BZ113" s="125"/>
      <c r="CA113" s="149"/>
      <c r="CB113" s="125"/>
      <c r="CC113" s="125"/>
      <c r="CD113" s="125"/>
      <c r="CE113" s="149"/>
      <c r="CF113" s="125"/>
      <c r="CG113" s="125"/>
      <c r="CH113" s="125"/>
      <c r="CI113" s="149"/>
      <c r="CJ113" s="125"/>
      <c r="CK113" s="125"/>
      <c r="CL113" s="125"/>
      <c r="CM113" s="149"/>
      <c r="CN113" s="125"/>
      <c r="CO113" s="125"/>
      <c r="CP113" s="125"/>
      <c r="CQ113" s="149"/>
      <c r="CR113" s="125"/>
      <c r="CS113" s="125"/>
      <c r="CT113" s="125"/>
      <c r="CU113" s="149"/>
      <c r="CV113" s="125"/>
      <c r="CW113" s="125"/>
      <c r="CX113" s="125"/>
      <c r="CY113" s="149"/>
      <c r="DA113" s="539"/>
      <c r="DB113" s="539"/>
      <c r="DC113" s="539"/>
      <c r="DD113" s="539"/>
      <c r="DE113" s="539"/>
      <c r="DF113" s="539"/>
      <c r="DG113" s="539"/>
      <c r="DH113" s="539"/>
      <c r="DI113" s="539"/>
      <c r="DJ113" s="539"/>
      <c r="DK113" s="539"/>
      <c r="DL113" s="539"/>
      <c r="DM113" s="539"/>
      <c r="DN113" s="539"/>
      <c r="DO113" s="539"/>
      <c r="DP113" s="539"/>
      <c r="DQ113" s="539"/>
      <c r="DR113" s="539"/>
      <c r="DS113" s="539"/>
      <c r="DT113" s="539"/>
      <c r="DU113" s="539"/>
      <c r="DV113" s="539"/>
      <c r="DW113" s="539"/>
      <c r="DX113" s="111"/>
      <c r="DY113" s="111"/>
      <c r="DZ113" s="111"/>
      <c r="EA113" s="111"/>
      <c r="EB113" s="111"/>
      <c r="EC113" s="111"/>
      <c r="ED113" s="111"/>
      <c r="EE113" s="111"/>
    </row>
    <row r="114" spans="1:141" s="570" customFormat="1">
      <c r="A114" s="154"/>
      <c r="B114" s="155" t="s">
        <v>230</v>
      </c>
      <c r="C114" s="155"/>
      <c r="D114" s="571" t="str">
        <f>D$4</f>
        <v>1Q94</v>
      </c>
      <c r="E114" s="572" t="str">
        <f t="shared" ref="E114:BP114" si="275">E$4</f>
        <v>2Q94</v>
      </c>
      <c r="F114" s="572" t="str">
        <f t="shared" si="275"/>
        <v>3Q94</v>
      </c>
      <c r="G114" s="573" t="str">
        <f t="shared" si="275"/>
        <v>4Q94</v>
      </c>
      <c r="H114" s="572" t="str">
        <f t="shared" si="275"/>
        <v>1Q95</v>
      </c>
      <c r="I114" s="572" t="str">
        <f t="shared" si="275"/>
        <v>2Q95</v>
      </c>
      <c r="J114" s="572" t="str">
        <f t="shared" si="275"/>
        <v>3Q95</v>
      </c>
      <c r="K114" s="573" t="str">
        <f t="shared" si="275"/>
        <v>4Q95</v>
      </c>
      <c r="L114" s="572" t="str">
        <f t="shared" si="275"/>
        <v>1Q96</v>
      </c>
      <c r="M114" s="572" t="str">
        <f t="shared" si="275"/>
        <v>2Q96</v>
      </c>
      <c r="N114" s="572" t="str">
        <f t="shared" si="275"/>
        <v>3Q96</v>
      </c>
      <c r="O114" s="573" t="str">
        <f t="shared" si="275"/>
        <v>4Q96</v>
      </c>
      <c r="P114" s="572" t="str">
        <f t="shared" si="275"/>
        <v>1Q97</v>
      </c>
      <c r="Q114" s="572" t="str">
        <f t="shared" si="275"/>
        <v>2Q97</v>
      </c>
      <c r="R114" s="572" t="str">
        <f t="shared" si="275"/>
        <v>3Q97</v>
      </c>
      <c r="S114" s="573" t="str">
        <f t="shared" si="275"/>
        <v>4Q97</v>
      </c>
      <c r="T114" s="572" t="str">
        <f t="shared" si="275"/>
        <v>1Q98</v>
      </c>
      <c r="U114" s="572" t="str">
        <f t="shared" si="275"/>
        <v>2Q98</v>
      </c>
      <c r="V114" s="572" t="str">
        <f t="shared" si="275"/>
        <v>3Q98</v>
      </c>
      <c r="W114" s="573" t="str">
        <f t="shared" si="275"/>
        <v>4Q98</v>
      </c>
      <c r="X114" s="572" t="str">
        <f t="shared" si="275"/>
        <v>1Q99</v>
      </c>
      <c r="Y114" s="572" t="str">
        <f t="shared" si="275"/>
        <v>2Q99</v>
      </c>
      <c r="Z114" s="572" t="str">
        <f t="shared" si="275"/>
        <v>3Q99</v>
      </c>
      <c r="AA114" s="573" t="str">
        <f t="shared" si="275"/>
        <v>4Q99</v>
      </c>
      <c r="AB114" s="572" t="str">
        <f t="shared" si="275"/>
        <v>1Q00</v>
      </c>
      <c r="AC114" s="572" t="str">
        <f t="shared" si="275"/>
        <v>2Q00</v>
      </c>
      <c r="AD114" s="572" t="str">
        <f t="shared" si="275"/>
        <v>3Q00</v>
      </c>
      <c r="AE114" s="573" t="str">
        <f t="shared" si="275"/>
        <v>4Q00</v>
      </c>
      <c r="AF114" s="572" t="str">
        <f t="shared" si="275"/>
        <v>1Q01</v>
      </c>
      <c r="AG114" s="572" t="str">
        <f t="shared" si="275"/>
        <v>2Q01</v>
      </c>
      <c r="AH114" s="572" t="str">
        <f t="shared" si="275"/>
        <v>3Q01</v>
      </c>
      <c r="AI114" s="573" t="str">
        <f t="shared" si="275"/>
        <v>4Q01</v>
      </c>
      <c r="AJ114" s="572" t="str">
        <f t="shared" si="275"/>
        <v>1Q02</v>
      </c>
      <c r="AK114" s="572" t="str">
        <f t="shared" si="275"/>
        <v>2Q02</v>
      </c>
      <c r="AL114" s="572" t="str">
        <f t="shared" si="275"/>
        <v>3Q02</v>
      </c>
      <c r="AM114" s="573" t="str">
        <f t="shared" si="275"/>
        <v>4Q02</v>
      </c>
      <c r="AN114" s="572" t="str">
        <f t="shared" si="275"/>
        <v>1Q03</v>
      </c>
      <c r="AO114" s="572" t="str">
        <f t="shared" si="275"/>
        <v>2Q03</v>
      </c>
      <c r="AP114" s="572" t="str">
        <f t="shared" si="275"/>
        <v>3Q03</v>
      </c>
      <c r="AQ114" s="573" t="str">
        <f t="shared" si="275"/>
        <v>4Q03</v>
      </c>
      <c r="AR114" s="572" t="str">
        <f t="shared" si="275"/>
        <v>1Q04</v>
      </c>
      <c r="AS114" s="572" t="str">
        <f t="shared" si="275"/>
        <v>2Q04</v>
      </c>
      <c r="AT114" s="572" t="str">
        <f t="shared" si="275"/>
        <v>3Q04</v>
      </c>
      <c r="AU114" s="573" t="str">
        <f t="shared" si="275"/>
        <v>4Q04</v>
      </c>
      <c r="AV114" s="572" t="str">
        <f t="shared" si="275"/>
        <v>1Q05</v>
      </c>
      <c r="AW114" s="572" t="str">
        <f t="shared" si="275"/>
        <v>2Q05</v>
      </c>
      <c r="AX114" s="572" t="str">
        <f t="shared" si="275"/>
        <v>3Q05</v>
      </c>
      <c r="AY114" s="573" t="str">
        <f t="shared" si="275"/>
        <v>4Q05</v>
      </c>
      <c r="AZ114" s="572" t="str">
        <f t="shared" si="275"/>
        <v>1Q06</v>
      </c>
      <c r="BA114" s="572" t="str">
        <f t="shared" si="275"/>
        <v>2Q06</v>
      </c>
      <c r="BB114" s="572" t="str">
        <f t="shared" si="275"/>
        <v>3Q06</v>
      </c>
      <c r="BC114" s="573" t="str">
        <f t="shared" si="275"/>
        <v>4Q06</v>
      </c>
      <c r="BD114" s="572" t="str">
        <f t="shared" si="275"/>
        <v>1Q07</v>
      </c>
      <c r="BE114" s="572" t="str">
        <f t="shared" si="275"/>
        <v>2Q07</v>
      </c>
      <c r="BF114" s="572" t="str">
        <f t="shared" si="275"/>
        <v>3Q07</v>
      </c>
      <c r="BG114" s="573" t="str">
        <f t="shared" si="275"/>
        <v>4Q07</v>
      </c>
      <c r="BH114" s="572" t="str">
        <f t="shared" si="275"/>
        <v>1Q08</v>
      </c>
      <c r="BI114" s="572" t="str">
        <f t="shared" si="275"/>
        <v>2Q08</v>
      </c>
      <c r="BJ114" s="572" t="str">
        <f t="shared" si="275"/>
        <v>3Q08</v>
      </c>
      <c r="BK114" s="573" t="str">
        <f t="shared" si="275"/>
        <v>4Q08</v>
      </c>
      <c r="BL114" s="572" t="str">
        <f t="shared" si="275"/>
        <v xml:space="preserve">1Q09 </v>
      </c>
      <c r="BM114" s="572" t="str">
        <f t="shared" si="275"/>
        <v>2Q09</v>
      </c>
      <c r="BN114" s="572" t="str">
        <f t="shared" si="275"/>
        <v>3Q09</v>
      </c>
      <c r="BO114" s="573" t="str">
        <f t="shared" si="275"/>
        <v>4Q09</v>
      </c>
      <c r="BP114" s="572" t="str">
        <f t="shared" si="275"/>
        <v>1Q10</v>
      </c>
      <c r="BQ114" s="572" t="str">
        <f t="shared" ref="BQ114:CY114" si="276">BQ$4</f>
        <v>2Q10</v>
      </c>
      <c r="BR114" s="572" t="str">
        <f t="shared" si="276"/>
        <v>3Q10</v>
      </c>
      <c r="BS114" s="573" t="str">
        <f t="shared" si="276"/>
        <v>4Q10</v>
      </c>
      <c r="BT114" s="572" t="str">
        <f t="shared" si="276"/>
        <v>1Q11</v>
      </c>
      <c r="BU114" s="572" t="str">
        <f t="shared" si="276"/>
        <v>2Q11</v>
      </c>
      <c r="BV114" s="572" t="str">
        <f t="shared" si="276"/>
        <v>3Q11</v>
      </c>
      <c r="BW114" s="573" t="str">
        <f t="shared" si="276"/>
        <v>4Q11</v>
      </c>
      <c r="BX114" s="572" t="str">
        <f t="shared" si="276"/>
        <v>1Q12</v>
      </c>
      <c r="BY114" s="572" t="str">
        <f t="shared" si="276"/>
        <v>2Q12</v>
      </c>
      <c r="BZ114" s="572" t="str">
        <f t="shared" si="276"/>
        <v>3Q12</v>
      </c>
      <c r="CA114" s="573" t="str">
        <f t="shared" si="276"/>
        <v>4Q12</v>
      </c>
      <c r="CB114" s="572" t="str">
        <f t="shared" si="276"/>
        <v>1Q13</v>
      </c>
      <c r="CC114" s="572" t="str">
        <f t="shared" si="276"/>
        <v>2Q13</v>
      </c>
      <c r="CD114" s="572" t="str">
        <f t="shared" si="276"/>
        <v>3Q13</v>
      </c>
      <c r="CE114" s="573" t="str">
        <f t="shared" si="276"/>
        <v>4Q13</v>
      </c>
      <c r="CF114" s="572" t="str">
        <f t="shared" si="276"/>
        <v>1Q14</v>
      </c>
      <c r="CG114" s="572" t="str">
        <f t="shared" si="276"/>
        <v>2Q14</v>
      </c>
      <c r="CH114" s="572" t="str">
        <f t="shared" si="276"/>
        <v>3Q14</v>
      </c>
      <c r="CI114" s="573" t="str">
        <f t="shared" si="276"/>
        <v>4Q14</v>
      </c>
      <c r="CJ114" s="572" t="str">
        <f t="shared" si="276"/>
        <v>1Q15</v>
      </c>
      <c r="CK114" s="572" t="str">
        <f t="shared" si="276"/>
        <v>2Q15</v>
      </c>
      <c r="CL114" s="572" t="str">
        <f t="shared" si="276"/>
        <v>3Q15</v>
      </c>
      <c r="CM114" s="573" t="str">
        <f t="shared" si="276"/>
        <v>4Q15</v>
      </c>
      <c r="CN114" s="572" t="str">
        <f t="shared" si="276"/>
        <v>1Q16</v>
      </c>
      <c r="CO114" s="572" t="str">
        <f t="shared" si="276"/>
        <v>2Q16</v>
      </c>
      <c r="CP114" s="572" t="str">
        <f t="shared" si="276"/>
        <v>3Q16</v>
      </c>
      <c r="CQ114" s="573" t="str">
        <f t="shared" si="276"/>
        <v>4Q16</v>
      </c>
      <c r="CR114" s="572" t="str">
        <f t="shared" si="276"/>
        <v>1Q17</v>
      </c>
      <c r="CS114" s="572" t="str">
        <f t="shared" si="276"/>
        <v>2Q17</v>
      </c>
      <c r="CT114" s="572" t="str">
        <f t="shared" si="276"/>
        <v>3Q17</v>
      </c>
      <c r="CU114" s="573" t="str">
        <f t="shared" si="276"/>
        <v>4Q17</v>
      </c>
      <c r="CV114" s="572" t="str">
        <f t="shared" si="276"/>
        <v>1Q18e</v>
      </c>
      <c r="CW114" s="572" t="str">
        <f t="shared" si="276"/>
        <v>2Q18e</v>
      </c>
      <c r="CX114" s="572" t="str">
        <f t="shared" si="276"/>
        <v>3Q18e</v>
      </c>
      <c r="CY114" s="573" t="str">
        <f t="shared" si="276"/>
        <v>4Q18e</v>
      </c>
      <c r="CZ114" s="569"/>
      <c r="DA114" s="572">
        <f t="shared" ref="DA114:ED114" si="277">DA$4</f>
        <v>1994</v>
      </c>
      <c r="DB114" s="572">
        <f t="shared" si="277"/>
        <v>1995</v>
      </c>
      <c r="DC114" s="572">
        <f t="shared" si="277"/>
        <v>1996</v>
      </c>
      <c r="DD114" s="572">
        <f t="shared" si="277"/>
        <v>1997</v>
      </c>
      <c r="DE114" s="572">
        <f t="shared" si="277"/>
        <v>1998</v>
      </c>
      <c r="DF114" s="572">
        <f t="shared" si="277"/>
        <v>1999</v>
      </c>
      <c r="DG114" s="572">
        <f t="shared" si="277"/>
        <v>2000</v>
      </c>
      <c r="DH114" s="572">
        <f t="shared" si="277"/>
        <v>2001</v>
      </c>
      <c r="DI114" s="572">
        <f t="shared" si="277"/>
        <v>2002</v>
      </c>
      <c r="DJ114" s="572">
        <f t="shared" si="277"/>
        <v>2003</v>
      </c>
      <c r="DK114" s="572">
        <f t="shared" si="277"/>
        <v>2004</v>
      </c>
      <c r="DL114" s="572">
        <f t="shared" si="277"/>
        <v>2005</v>
      </c>
      <c r="DM114" s="572">
        <f t="shared" si="277"/>
        <v>2006</v>
      </c>
      <c r="DN114" s="572">
        <f t="shared" si="277"/>
        <v>2007</v>
      </c>
      <c r="DO114" s="572">
        <f t="shared" si="277"/>
        <v>2008</v>
      </c>
      <c r="DP114" s="572">
        <f t="shared" si="277"/>
        <v>2009</v>
      </c>
      <c r="DQ114" s="572">
        <f t="shared" si="277"/>
        <v>2010</v>
      </c>
      <c r="DR114" s="572">
        <f t="shared" si="277"/>
        <v>2011</v>
      </c>
      <c r="DS114" s="572">
        <f t="shared" si="277"/>
        <v>2012</v>
      </c>
      <c r="DT114" s="572">
        <f t="shared" si="277"/>
        <v>2013</v>
      </c>
      <c r="DU114" s="572">
        <f t="shared" si="277"/>
        <v>2014</v>
      </c>
      <c r="DV114" s="572">
        <f t="shared" si="277"/>
        <v>2015</v>
      </c>
      <c r="DW114" s="572">
        <f t="shared" si="277"/>
        <v>2016</v>
      </c>
      <c r="DX114" s="572">
        <f t="shared" si="277"/>
        <v>2017</v>
      </c>
      <c r="DY114" s="572" t="str">
        <f t="shared" si="277"/>
        <v>2018e</v>
      </c>
      <c r="DZ114" s="572" t="str">
        <f t="shared" si="277"/>
        <v>2019e</v>
      </c>
      <c r="EA114" s="572" t="str">
        <f t="shared" si="277"/>
        <v>2020e</v>
      </c>
      <c r="EB114" s="572" t="str">
        <f t="shared" si="277"/>
        <v>2021e</v>
      </c>
      <c r="EC114" s="572" t="str">
        <f t="shared" si="277"/>
        <v>2022e</v>
      </c>
      <c r="ED114" s="572" t="str">
        <f t="shared" si="277"/>
        <v>2023e</v>
      </c>
      <c r="EF114"/>
      <c r="EG114"/>
      <c r="EH114"/>
      <c r="EI114"/>
      <c r="EJ114"/>
      <c r="EK114"/>
    </row>
    <row r="115" spans="1:141" s="137" customFormat="1">
      <c r="A115" s="193"/>
      <c r="B115" s="205"/>
      <c r="C115" s="205"/>
      <c r="D115" s="223"/>
      <c r="E115" s="199"/>
      <c r="F115" s="199"/>
      <c r="G115" s="211"/>
      <c r="H115" s="199"/>
      <c r="I115" s="199"/>
      <c r="J115" s="199"/>
      <c r="K115" s="211"/>
      <c r="L115" s="199"/>
      <c r="M115" s="199"/>
      <c r="N115" s="199"/>
      <c r="O115" s="211"/>
      <c r="P115" s="199"/>
      <c r="Q115" s="199"/>
      <c r="R115" s="199"/>
      <c r="S115" s="211"/>
      <c r="T115" s="199"/>
      <c r="U115" s="199"/>
      <c r="V115" s="199"/>
      <c r="W115" s="211"/>
      <c r="X115" s="212"/>
      <c r="Y115" s="212"/>
      <c r="Z115" s="212"/>
      <c r="AA115" s="196"/>
      <c r="AB115" s="212"/>
      <c r="AC115" s="212"/>
      <c r="AD115" s="212"/>
      <c r="AE115" s="196"/>
      <c r="AF115" s="212"/>
      <c r="AG115" s="212"/>
      <c r="AH115" s="212"/>
      <c r="AI115" s="196"/>
      <c r="AJ115" s="212"/>
      <c r="AK115" s="212"/>
      <c r="AL115" s="212"/>
      <c r="AM115" s="196"/>
      <c r="AN115" s="212"/>
      <c r="AO115" s="212"/>
      <c r="AP115" s="212"/>
      <c r="AQ115" s="196"/>
      <c r="AR115" s="212"/>
      <c r="AS115" s="212"/>
      <c r="AT115" s="212"/>
      <c r="AU115" s="196"/>
      <c r="AV115" s="212"/>
      <c r="AW115" s="212"/>
      <c r="AX115" s="212"/>
      <c r="AY115" s="196"/>
      <c r="AZ115" s="212"/>
      <c r="BA115" s="212"/>
      <c r="BB115" s="212"/>
      <c r="BC115" s="196"/>
      <c r="BD115" s="212"/>
      <c r="BE115" s="212"/>
      <c r="BF115" s="212"/>
      <c r="BG115" s="196"/>
      <c r="BH115" s="212"/>
      <c r="BI115" s="212"/>
      <c r="BJ115" s="212"/>
      <c r="BK115" s="196"/>
      <c r="BL115" s="212"/>
      <c r="BM115" s="212"/>
      <c r="BN115" s="212"/>
      <c r="BO115" s="196"/>
      <c r="BP115" s="212"/>
      <c r="BQ115" s="212"/>
      <c r="BR115" s="212"/>
      <c r="BS115" s="196"/>
      <c r="BT115" s="212"/>
      <c r="BU115" s="212"/>
      <c r="BV115" s="212"/>
      <c r="BW115" s="196"/>
      <c r="BX115" s="212"/>
      <c r="BY115" s="212"/>
      <c r="BZ115" s="212"/>
      <c r="CA115" s="196"/>
      <c r="CB115" s="212"/>
      <c r="CC115" s="212"/>
      <c r="CD115" s="212"/>
      <c r="CE115" s="196"/>
      <c r="CF115" s="212"/>
      <c r="CG115" s="212"/>
      <c r="CH115" s="212"/>
      <c r="CI115" s="196"/>
      <c r="CJ115" s="212"/>
      <c r="CK115" s="212"/>
      <c r="CL115" s="212"/>
      <c r="CM115" s="196"/>
      <c r="CN115" s="212"/>
      <c r="CO115" s="212"/>
      <c r="CP115" s="212"/>
      <c r="CQ115" s="196"/>
      <c r="CR115" s="212"/>
      <c r="CS115" s="212"/>
      <c r="CT115" s="212"/>
      <c r="CU115" s="196"/>
      <c r="CV115" s="212"/>
      <c r="CW115" s="212"/>
      <c r="CX115" s="212"/>
      <c r="CY115" s="196"/>
      <c r="DA115" s="212"/>
      <c r="DB115" s="212"/>
      <c r="DC115" s="212"/>
      <c r="DD115" s="212"/>
      <c r="DE115" s="212"/>
      <c r="DF115" s="212"/>
      <c r="DG115" s="212"/>
      <c r="DH115" s="212"/>
      <c r="DI115" s="212"/>
      <c r="DJ115" s="212"/>
      <c r="DK115" s="212"/>
      <c r="DL115" s="212"/>
      <c r="DM115" s="212"/>
      <c r="DN115" s="212"/>
      <c r="DO115" s="212"/>
      <c r="DP115" s="212"/>
      <c r="DQ115" s="212"/>
      <c r="DR115" s="212"/>
      <c r="DS115" s="212"/>
      <c r="DT115" s="212"/>
      <c r="DU115" s="212"/>
      <c r="DV115" s="212"/>
      <c r="DW115" s="212"/>
      <c r="DX115" s="199"/>
      <c r="DY115" s="199"/>
      <c r="DZ115" s="199"/>
      <c r="EA115" s="199"/>
      <c r="EB115" s="199"/>
      <c r="EC115" s="199"/>
      <c r="ED115" s="199"/>
      <c r="EE115" s="199"/>
      <c r="EF115"/>
      <c r="EG115"/>
      <c r="EH115"/>
      <c r="EI115"/>
      <c r="EJ115"/>
      <c r="EK115"/>
    </row>
    <row r="116" spans="1:141" s="137" customFormat="1">
      <c r="A116" s="193"/>
      <c r="B116" s="199" t="s">
        <v>176</v>
      </c>
      <c r="C116" s="199"/>
      <c r="D116" s="213">
        <f t="shared" ref="D116:AI116" si="278">D29</f>
        <v>6.500000000000095</v>
      </c>
      <c r="E116" s="197">
        <f t="shared" si="278"/>
        <v>21.100000000000016</v>
      </c>
      <c r="F116" s="197">
        <f t="shared" si="278"/>
        <v>6.2999999999999776</v>
      </c>
      <c r="G116" s="198">
        <f t="shared" si="278"/>
        <v>25.8</v>
      </c>
      <c r="H116" s="197">
        <f t="shared" si="278"/>
        <v>17.000000000000028</v>
      </c>
      <c r="I116" s="197">
        <f t="shared" si="278"/>
        <v>28.899999999999959</v>
      </c>
      <c r="J116" s="197">
        <f t="shared" si="278"/>
        <v>12.599999999999936</v>
      </c>
      <c r="K116" s="198">
        <f t="shared" si="278"/>
        <v>37.200000000000074</v>
      </c>
      <c r="L116" s="197">
        <f t="shared" si="278"/>
        <v>25.799999999999923</v>
      </c>
      <c r="M116" s="197">
        <f t="shared" si="278"/>
        <v>50.100000000000087</v>
      </c>
      <c r="N116" s="197">
        <f t="shared" si="278"/>
        <v>24.799999999999809</v>
      </c>
      <c r="O116" s="198">
        <f t="shared" si="278"/>
        <v>51.2</v>
      </c>
      <c r="P116" s="197">
        <f t="shared" si="278"/>
        <v>41.900000000000105</v>
      </c>
      <c r="Q116" s="197">
        <f t="shared" si="278"/>
        <v>61.100000000000009</v>
      </c>
      <c r="R116" s="197">
        <f t="shared" si="278"/>
        <v>35.600000000000172</v>
      </c>
      <c r="S116" s="198">
        <f t="shared" si="278"/>
        <v>68.59999999999981</v>
      </c>
      <c r="T116" s="197">
        <f t="shared" si="278"/>
        <v>47.299999999999812</v>
      </c>
      <c r="U116" s="197">
        <f t="shared" si="278"/>
        <v>65.699999999999903</v>
      </c>
      <c r="V116" s="197">
        <f t="shared" si="278"/>
        <v>21.599999999999994</v>
      </c>
      <c r="W116" s="198">
        <f t="shared" si="278"/>
        <v>73.400000000000347</v>
      </c>
      <c r="X116" s="197">
        <f t="shared" si="278"/>
        <v>50.299999999999805</v>
      </c>
      <c r="Y116" s="197">
        <f t="shared" si="278"/>
        <v>74.799999999999798</v>
      </c>
      <c r="Z116" s="197">
        <f t="shared" si="278"/>
        <v>39.299999999999642</v>
      </c>
      <c r="AA116" s="198">
        <f t="shared" si="278"/>
        <v>92.700000000000102</v>
      </c>
      <c r="AB116" s="197">
        <f t="shared" si="278"/>
        <v>62.000000000000007</v>
      </c>
      <c r="AC116" s="197">
        <f t="shared" si="278"/>
        <v>101.69999999999996</v>
      </c>
      <c r="AD116" s="197">
        <f t="shared" si="278"/>
        <v>38.599999999999724</v>
      </c>
      <c r="AE116" s="198">
        <f t="shared" si="278"/>
        <v>72.399999999999736</v>
      </c>
      <c r="AF116" s="197">
        <f t="shared" si="278"/>
        <v>14.500000000000096</v>
      </c>
      <c r="AG116" s="197">
        <f t="shared" si="278"/>
        <v>44.900000000000176</v>
      </c>
      <c r="AH116" s="197">
        <f t="shared" si="278"/>
        <v>15.699999999999719</v>
      </c>
      <c r="AI116" s="198">
        <f t="shared" si="278"/>
        <v>-48.800000000000168</v>
      </c>
      <c r="AJ116" s="197">
        <f t="shared" ref="AJ116:BO116" si="279">AJ29</f>
        <v>-252.10000000000008</v>
      </c>
      <c r="AK116" s="197">
        <f t="shared" si="279"/>
        <v>85.499999999999716</v>
      </c>
      <c r="AL116" s="197">
        <f t="shared" si="279"/>
        <v>61.600000000000186</v>
      </c>
      <c r="AM116" s="198">
        <f t="shared" si="279"/>
        <v>117.99999999999991</v>
      </c>
      <c r="AN116" s="197">
        <f t="shared" si="279"/>
        <v>67.89999999999992</v>
      </c>
      <c r="AO116" s="197">
        <f t="shared" si="279"/>
        <v>104.09999999999982</v>
      </c>
      <c r="AP116" s="197">
        <f t="shared" si="279"/>
        <v>76.099999999999824</v>
      </c>
      <c r="AQ116" s="198">
        <f t="shared" si="279"/>
        <v>132.40000000000006</v>
      </c>
      <c r="AR116" s="197">
        <f t="shared" si="279"/>
        <v>91.400000000000574</v>
      </c>
      <c r="AS116" s="197">
        <f t="shared" si="279"/>
        <v>116.09999999999992</v>
      </c>
      <c r="AT116" s="197">
        <f t="shared" si="279"/>
        <v>91.670000000000286</v>
      </c>
      <c r="AU116" s="198">
        <f t="shared" si="279"/>
        <v>123.00000000000054</v>
      </c>
      <c r="AV116" s="197">
        <f t="shared" si="279"/>
        <v>15.600000000000104</v>
      </c>
      <c r="AW116" s="197">
        <f t="shared" si="279"/>
        <v>-110.40014424575983</v>
      </c>
      <c r="AX116" s="197">
        <f t="shared" si="279"/>
        <v>-750.10280000000012</v>
      </c>
      <c r="AY116" s="198">
        <f t="shared" si="279"/>
        <v>-603.0249999999993</v>
      </c>
      <c r="AZ116" s="197">
        <f t="shared" si="279"/>
        <v>17.900000000000354</v>
      </c>
      <c r="BA116" s="197">
        <f t="shared" si="279"/>
        <v>-30.478280992000357</v>
      </c>
      <c r="BB116" s="197">
        <f t="shared" si="279"/>
        <v>-74.000000000000355</v>
      </c>
      <c r="BC116" s="198">
        <f t="shared" si="279"/>
        <v>-644.99999999999977</v>
      </c>
      <c r="BD116" s="197">
        <f t="shared" si="279"/>
        <v>49.90000000000056</v>
      </c>
      <c r="BE116" s="197">
        <f t="shared" si="279"/>
        <v>123.59999999999997</v>
      </c>
      <c r="BF116" s="197">
        <f t="shared" si="279"/>
        <v>40.964999999999911</v>
      </c>
      <c r="BG116" s="198">
        <f t="shared" si="279"/>
        <v>26.999999999999901</v>
      </c>
      <c r="BH116" s="197">
        <f t="shared" si="279"/>
        <v>78.200000000000074</v>
      </c>
      <c r="BI116" s="197">
        <f t="shared" si="279"/>
        <v>18.300000000000018</v>
      </c>
      <c r="BJ116" s="197">
        <f t="shared" si="279"/>
        <v>-98.200000000000188</v>
      </c>
      <c r="BK116" s="198">
        <f t="shared" si="279"/>
        <v>-601.71999999999991</v>
      </c>
      <c r="BL116" s="197">
        <f t="shared" si="279"/>
        <v>-264.8</v>
      </c>
      <c r="BM116" s="197">
        <f t="shared" si="279"/>
        <v>-173.6</v>
      </c>
      <c r="BN116" s="197">
        <f t="shared" si="279"/>
        <v>25.500000000000092</v>
      </c>
      <c r="BO116" s="198">
        <f t="shared" si="279"/>
        <v>1228.3000000000002</v>
      </c>
      <c r="BP116" s="197">
        <f t="shared" ref="BP116:CA116" si="280">BP29</f>
        <v>66.100000000000023</v>
      </c>
      <c r="BQ116" s="197">
        <f t="shared" si="280"/>
        <v>158.30000000000015</v>
      </c>
      <c r="BR116" s="197">
        <f t="shared" si="280"/>
        <v>95.300000000000068</v>
      </c>
      <c r="BS116" s="198">
        <f t="shared" si="280"/>
        <v>117.10000000000022</v>
      </c>
      <c r="BT116" s="197">
        <f t="shared" si="280"/>
        <v>155.69999999999965</v>
      </c>
      <c r="BU116" s="197">
        <f t="shared" si="280"/>
        <v>177.5000000000004</v>
      </c>
      <c r="BV116" s="197">
        <f t="shared" si="280"/>
        <v>100.69999999999996</v>
      </c>
      <c r="BW116" s="198">
        <f t="shared" si="280"/>
        <v>106.50000000000009</v>
      </c>
      <c r="BX116" s="197">
        <f t="shared" si="280"/>
        <v>134.10000000000019</v>
      </c>
      <c r="BY116" s="197">
        <f t="shared" si="280"/>
        <v>145.39999999999989</v>
      </c>
      <c r="BZ116" s="197">
        <f t="shared" si="280"/>
        <v>127.2</v>
      </c>
      <c r="CA116" s="198">
        <f t="shared" si="280"/>
        <v>881.90000000000009</v>
      </c>
      <c r="CB116" s="218">
        <v>116.9</v>
      </c>
      <c r="CC116" s="218">
        <f>259.2-CB116</f>
        <v>142.29999999999998</v>
      </c>
      <c r="CD116" s="218">
        <f>375.9-CC116-CB116</f>
        <v>116.69999999999999</v>
      </c>
      <c r="CE116" s="219">
        <f>455.8-CD116-CC116-CB116</f>
        <v>79.900000000000034</v>
      </c>
      <c r="CF116" s="218">
        <v>128.6</v>
      </c>
      <c r="CG116" s="218">
        <f>286.4-CF116</f>
        <v>157.79999999999998</v>
      </c>
      <c r="CH116" s="218">
        <f>434.3-CG116-CF116</f>
        <v>147.9</v>
      </c>
      <c r="CI116" s="219">
        <f>702.3-CH116-CG116-CF116</f>
        <v>268</v>
      </c>
      <c r="CJ116" s="218">
        <v>156.69999999999999</v>
      </c>
      <c r="CK116" s="218">
        <f>349.6-CJ116</f>
        <v>192.90000000000003</v>
      </c>
      <c r="CL116" s="218">
        <f>542.9-CK116-CJ116</f>
        <v>193.29999999999995</v>
      </c>
      <c r="CM116" s="219">
        <f>795.8-CL116-CK116-CJ116</f>
        <v>252.89999999999998</v>
      </c>
      <c r="CN116" s="218">
        <v>262.5</v>
      </c>
      <c r="CO116" s="218">
        <f>557-CN116</f>
        <v>294.5</v>
      </c>
      <c r="CP116" s="218">
        <f>792-CO116-CN116</f>
        <v>235</v>
      </c>
      <c r="CQ116" s="219">
        <f>1040.5-CP116-CO116-CN116</f>
        <v>248.5</v>
      </c>
      <c r="CR116" s="218">
        <v>318.5</v>
      </c>
      <c r="CS116" s="218">
        <f>645.5-CR116</f>
        <v>327</v>
      </c>
      <c r="CT116" s="218">
        <f>960.5-CS116-CR116</f>
        <v>315</v>
      </c>
      <c r="CU116" s="198">
        <f>CU26</f>
        <v>300.40000000000072</v>
      </c>
      <c r="CV116" s="197">
        <f>CV26</f>
        <v>329.29489578963756</v>
      </c>
      <c r="CW116" s="197">
        <f>CW26</f>
        <v>334.77175393744471</v>
      </c>
      <c r="CX116" s="197">
        <f>CX26</f>
        <v>301.08795504213492</v>
      </c>
      <c r="CY116" s="198">
        <f>CY26</f>
        <v>311.31544770044258</v>
      </c>
      <c r="DA116" s="212">
        <f>SUM(D116:G116)</f>
        <v>59.700000000000088</v>
      </c>
      <c r="DB116" s="212">
        <f>SUM(H116:K116)</f>
        <v>95.7</v>
      </c>
      <c r="DC116" s="212">
        <f>SUM(L116:O116)</f>
        <v>151.89999999999981</v>
      </c>
      <c r="DD116" s="212">
        <f>SUM(P116:S116)</f>
        <v>207.2000000000001</v>
      </c>
      <c r="DE116" s="212">
        <f>SUM(T116:W116)</f>
        <v>208.00000000000006</v>
      </c>
      <c r="DF116" s="212">
        <f>SUM(X116:AA116)</f>
        <v>257.09999999999934</v>
      </c>
      <c r="DG116" s="212">
        <f t="shared" ref="DG116:DS116" si="281">DG29</f>
        <v>274.70000000000039</v>
      </c>
      <c r="DH116" s="212">
        <f t="shared" si="281"/>
        <v>26.300000000000637</v>
      </c>
      <c r="DI116" s="212">
        <f t="shared" si="281"/>
        <v>12.999999999999318</v>
      </c>
      <c r="DJ116" s="212">
        <f t="shared" si="281"/>
        <v>380.49999999999977</v>
      </c>
      <c r="DK116" s="212">
        <f t="shared" si="281"/>
        <v>422.16999999999842</v>
      </c>
      <c r="DL116" s="212">
        <f t="shared" si="281"/>
        <v>-1447.9279442457587</v>
      </c>
      <c r="DM116" s="212">
        <f t="shared" si="281"/>
        <v>-731.57828099199708</v>
      </c>
      <c r="DN116" s="212">
        <f t="shared" si="281"/>
        <v>241.46500000000208</v>
      </c>
      <c r="DO116" s="212">
        <f t="shared" si="281"/>
        <v>-603.42000000000007</v>
      </c>
      <c r="DP116" s="212">
        <f t="shared" si="281"/>
        <v>815.39999999999941</v>
      </c>
      <c r="DQ116" s="212">
        <f t="shared" si="281"/>
        <v>436.80000000000177</v>
      </c>
      <c r="DR116" s="212">
        <f t="shared" si="281"/>
        <v>540.39999999999964</v>
      </c>
      <c r="DS116" s="212">
        <f t="shared" si="281"/>
        <v>1288.599999999999</v>
      </c>
      <c r="DT116" s="212">
        <f>SUM(CB116:CE116)</f>
        <v>455.8</v>
      </c>
      <c r="DU116" s="212">
        <f>SUM(CF116:CI116)</f>
        <v>702.3</v>
      </c>
      <c r="DV116" s="212">
        <f>SUM(CJ116:CM116)</f>
        <v>795.8</v>
      </c>
      <c r="DW116" s="212">
        <f>SUM(CN116:CQ116)</f>
        <v>1040.5</v>
      </c>
      <c r="DX116" s="354">
        <f>SUM(CR116:CU116)</f>
        <v>1260.9000000000008</v>
      </c>
      <c r="DY116" s="354">
        <f>SUM(CV116:CY116)</f>
        <v>1276.4700524696598</v>
      </c>
      <c r="DZ116" s="348">
        <f>DZ26</f>
        <v>1314.2559231307398</v>
      </c>
      <c r="EA116" s="197">
        <f>EA26</f>
        <v>1292.1712446003605</v>
      </c>
      <c r="EB116" s="197">
        <f>EB26</f>
        <v>1261.1464131953142</v>
      </c>
      <c r="EC116" s="197">
        <f>EC26</f>
        <v>1212.9452072828681</v>
      </c>
      <c r="ED116" s="197">
        <f>ED26</f>
        <v>1147.2879073257727</v>
      </c>
      <c r="EE116" s="199"/>
      <c r="EF116"/>
      <c r="EG116"/>
      <c r="EH116"/>
      <c r="EI116"/>
      <c r="EJ116"/>
      <c r="EK116"/>
    </row>
    <row r="117" spans="1:141" s="137" customFormat="1">
      <c r="A117" s="193"/>
      <c r="B117" s="138" t="s">
        <v>219</v>
      </c>
      <c r="C117" s="138"/>
      <c r="D117" s="217"/>
      <c r="E117" s="218"/>
      <c r="F117" s="218"/>
      <c r="G117" s="219"/>
      <c r="H117" s="218"/>
      <c r="I117" s="218"/>
      <c r="J117" s="218"/>
      <c r="K117" s="219"/>
      <c r="L117" s="218"/>
      <c r="M117" s="218"/>
      <c r="N117" s="218"/>
      <c r="O117" s="219"/>
      <c r="P117" s="218">
        <v>43.5</v>
      </c>
      <c r="Q117" s="218">
        <v>43.8</v>
      </c>
      <c r="R117" s="218">
        <v>45.7</v>
      </c>
      <c r="S117" s="219">
        <v>51.4</v>
      </c>
      <c r="T117" s="218">
        <v>54.9</v>
      </c>
      <c r="U117" s="218">
        <v>51.6</v>
      </c>
      <c r="V117" s="218">
        <v>57.2</v>
      </c>
      <c r="W117" s="219">
        <v>56</v>
      </c>
      <c r="X117" s="218">
        <v>62.3</v>
      </c>
      <c r="Y117" s="218">
        <f>150.1-X117</f>
        <v>87.8</v>
      </c>
      <c r="Z117" s="218">
        <f>244.4-SUM(X117:Y117)</f>
        <v>94.300000000000011</v>
      </c>
      <c r="AA117" s="219">
        <f>340.9-SUM(X117:Z117)</f>
        <v>96.499999999999972</v>
      </c>
      <c r="AB117" s="218">
        <v>100.8</v>
      </c>
      <c r="AC117" s="218">
        <f>199.3-AB117</f>
        <v>98.500000000000014</v>
      </c>
      <c r="AD117" s="218">
        <f>295.2-SUM(AB117:AC117)</f>
        <v>95.899999999999977</v>
      </c>
      <c r="AE117" s="219">
        <f>302.3-SUM(AB117:AD117)</f>
        <v>7.1000000000000227</v>
      </c>
      <c r="AF117" s="218">
        <v>103.6</v>
      </c>
      <c r="AG117" s="218">
        <f>200.3-AF117</f>
        <v>96.700000000000017</v>
      </c>
      <c r="AH117" s="218">
        <f>294.4-SUM(AF117:AG117)</f>
        <v>94.099999999999966</v>
      </c>
      <c r="AI117" s="219">
        <f>302-SUM(AF117:AH117)</f>
        <v>7.6000000000000227</v>
      </c>
      <c r="AJ117" s="218">
        <v>74.099999999999994</v>
      </c>
      <c r="AK117" s="218">
        <f>147.7-AJ117</f>
        <v>73.599999999999994</v>
      </c>
      <c r="AL117" s="218">
        <f>223-SUM(AJ117:AK117)</f>
        <v>75.300000000000011</v>
      </c>
      <c r="AM117" s="219">
        <f>301-SUM(AJ117:AL117)</f>
        <v>78</v>
      </c>
      <c r="AN117" s="218">
        <v>74.400000000000006</v>
      </c>
      <c r="AO117" s="218">
        <f>152.1-AN117</f>
        <v>77.699999999999989</v>
      </c>
      <c r="AP117" s="218">
        <f>234.7-SUM(AN117:AO117)</f>
        <v>82.6</v>
      </c>
      <c r="AQ117" s="219">
        <f>321.8-SUM(AN117:AP117)</f>
        <v>87.100000000000023</v>
      </c>
      <c r="AR117" s="218">
        <v>83.1</v>
      </c>
      <c r="AS117" s="218">
        <f>170.1-AR117</f>
        <v>87</v>
      </c>
      <c r="AT117" s="218">
        <f>258.4-SUM(AR117:AS117)</f>
        <v>88.299999999999983</v>
      </c>
      <c r="AU117" s="219">
        <f>355.1-SUM(AR117:AT117)</f>
        <v>96.700000000000045</v>
      </c>
      <c r="AV117" s="218">
        <v>95.6</v>
      </c>
      <c r="AW117" s="218">
        <f>191.3-AV117</f>
        <v>95.700000000000017</v>
      </c>
      <c r="AX117" s="218">
        <f>290.9-AW117-AV117</f>
        <v>99.599999999999966</v>
      </c>
      <c r="AY117" s="219">
        <f>393.4-SUM(AV117:AX117)</f>
        <v>102.5</v>
      </c>
      <c r="AZ117" s="218">
        <v>97.8</v>
      </c>
      <c r="BA117" s="218">
        <f>201.3-AZ117</f>
        <v>103.50000000000001</v>
      </c>
      <c r="BB117" s="218">
        <f>299.4-SUM(AZ117:BA117)</f>
        <v>98.099999999999966</v>
      </c>
      <c r="BC117" s="219">
        <f>392.2-SUM(AZ117:BB117)</f>
        <v>92.800000000000011</v>
      </c>
      <c r="BD117" s="218">
        <v>74.5</v>
      </c>
      <c r="BE117" s="218">
        <f>150.2-BD117</f>
        <v>75.699999999999989</v>
      </c>
      <c r="BF117" s="218">
        <f>220.9-SUM(BD117:BE117)</f>
        <v>70.700000000000017</v>
      </c>
      <c r="BG117" s="219">
        <f>296.9-SUM(BD117:BF117)</f>
        <v>75.999999999999972</v>
      </c>
      <c r="BH117" s="218">
        <v>74.5</v>
      </c>
      <c r="BI117" s="218">
        <f>151.9-BH117</f>
        <v>77.400000000000006</v>
      </c>
      <c r="BJ117" s="218">
        <f>227.5-SUM(BH117:BI117)</f>
        <v>75.599999999999994</v>
      </c>
      <c r="BK117" s="219">
        <f>299.3-SUM(BH117:BJ117)</f>
        <v>71.800000000000011</v>
      </c>
      <c r="BL117" s="218">
        <v>65.599999999999994</v>
      </c>
      <c r="BM117" s="218">
        <f>134.5-BL117</f>
        <v>68.900000000000006</v>
      </c>
      <c r="BN117" s="218">
        <f>199.3-SUM(BL117:BM117)</f>
        <v>64.800000000000011</v>
      </c>
      <c r="BO117" s="219">
        <f>39.8+223.9-SUM(BL117:BN117)</f>
        <v>64.399999999999977</v>
      </c>
      <c r="BP117" s="218">
        <v>58.5</v>
      </c>
      <c r="BQ117" s="218">
        <f>115.6-BP117</f>
        <v>57.099999999999994</v>
      </c>
      <c r="BR117" s="218">
        <f>174.3-SUM(BP117:BQ117)</f>
        <v>58.700000000000017</v>
      </c>
      <c r="BS117" s="219">
        <f>235.9-SUM(BP117:BR117)</f>
        <v>61.599999999999994</v>
      </c>
      <c r="BT117" s="218">
        <v>61.5</v>
      </c>
      <c r="BU117" s="218">
        <v>64.3</v>
      </c>
      <c r="BV117" s="218">
        <v>63.5</v>
      </c>
      <c r="BW117" s="219">
        <f>246.3-SUM(BT117:BV117)</f>
        <v>57</v>
      </c>
      <c r="BX117" s="218">
        <v>53.7</v>
      </c>
      <c r="BY117" s="218">
        <f>110.3-SUM(BX117)</f>
        <v>56.599999999999994</v>
      </c>
      <c r="BZ117" s="218">
        <f>173.6-BX117-BY117</f>
        <v>63.3</v>
      </c>
      <c r="CA117" s="219">
        <f>239.5-((BX117+BY117+BZ117))</f>
        <v>65.900000000000006</v>
      </c>
      <c r="CB117" s="218">
        <v>66.400000000000006</v>
      </c>
      <c r="CC117" s="218">
        <f>135.4-(CB117)</f>
        <v>69</v>
      </c>
      <c r="CD117" s="218">
        <f>208.3-((CB117+CC117))</f>
        <v>72.900000000000006</v>
      </c>
      <c r="CE117" s="219">
        <f>CE178*CD61/4</f>
        <v>0</v>
      </c>
      <c r="CF117" s="218">
        <v>74.5</v>
      </c>
      <c r="CG117" s="218">
        <f>152.7-CF117</f>
        <v>78.199999999999989</v>
      </c>
      <c r="CH117" s="218">
        <f>232.6-((CF117+CG117))</f>
        <v>79.900000000000006</v>
      </c>
      <c r="CI117" s="219">
        <f>310.9-SUM(CF117:CH117)</f>
        <v>78.299999999999983</v>
      </c>
      <c r="CJ117" s="218">
        <v>84.5</v>
      </c>
      <c r="CK117" s="218">
        <f>169.4-CJ117</f>
        <v>84.9</v>
      </c>
      <c r="CL117" s="218">
        <f>257.4-((CJ117+CK117))</f>
        <v>87.999999999999972</v>
      </c>
      <c r="CM117" s="219">
        <f>347.8-CL117-CK117-CJ117</f>
        <v>90.400000000000063</v>
      </c>
      <c r="CN117" s="218">
        <v>90.2</v>
      </c>
      <c r="CO117" s="218">
        <f>184.7-CN117</f>
        <v>94.499999999999986</v>
      </c>
      <c r="CP117" s="218">
        <f>283.4-CO117-CN117</f>
        <v>98.699999999999974</v>
      </c>
      <c r="CQ117" s="219">
        <f>378.2-CP117-CO117-CN117</f>
        <v>94.8</v>
      </c>
      <c r="CR117" s="218">
        <v>96.9</v>
      </c>
      <c r="CS117" s="218">
        <f>201.5-CR117</f>
        <v>104.6</v>
      </c>
      <c r="CT117" s="218">
        <f>313.2-CS117-CR117</f>
        <v>111.69999999999999</v>
      </c>
      <c r="CU117" s="198">
        <f ca="1">CU163*CT65/4</f>
        <v>96.9</v>
      </c>
      <c r="CV117" s="197">
        <f>CV163*CU65/4</f>
        <v>116.8215</v>
      </c>
      <c r="CW117" s="197">
        <f>CW163*CV65/4</f>
        <v>118.73313046149754</v>
      </c>
      <c r="CX117" s="197">
        <f>CX163*CW65/4</f>
        <v>120.73453289923309</v>
      </c>
      <c r="CY117" s="198">
        <f>CY163*CX65/4</f>
        <v>122.76879269487455</v>
      </c>
      <c r="DA117" s="212"/>
      <c r="DB117" s="212"/>
      <c r="DC117" s="212"/>
      <c r="DD117" s="212">
        <f>SUM(P117:S117)</f>
        <v>184.4</v>
      </c>
      <c r="DE117" s="212">
        <f>SUM(T117:W117)</f>
        <v>219.7</v>
      </c>
      <c r="DF117" s="212">
        <f>SUM(X117:AA117)</f>
        <v>340.9</v>
      </c>
      <c r="DG117" s="212">
        <f>SUM(AB117:AE117)</f>
        <v>302.3</v>
      </c>
      <c r="DH117" s="212">
        <f>SUM(AF117:AI117)</f>
        <v>302</v>
      </c>
      <c r="DI117" s="212">
        <f>SUM(AJ117:AM117)</f>
        <v>301</v>
      </c>
      <c r="DJ117" s="212">
        <f t="shared" ref="DJ117:DJ123" si="282">SUM(AN117:AQ117)</f>
        <v>321.8</v>
      </c>
      <c r="DK117" s="212">
        <f t="shared" ref="DK117:DK123" si="283">SUM(AR117:AU117)</f>
        <v>355.1</v>
      </c>
      <c r="DL117" s="212">
        <f t="shared" ref="DL117:DL123" si="284">SUM(AV117:AY117)</f>
        <v>393.4</v>
      </c>
      <c r="DM117" s="212">
        <f t="shared" ref="DM117:DM123" si="285">SUM(AZ117:BC117)</f>
        <v>392.2</v>
      </c>
      <c r="DN117" s="212">
        <f t="shared" ref="DN117:DN123" si="286">SUM(BD117:BG117)</f>
        <v>296.89999999999998</v>
      </c>
      <c r="DO117" s="212">
        <f t="shared" ref="DO117:DO123" si="287">SUM(BH117:BK117)</f>
        <v>299.3</v>
      </c>
      <c r="DP117" s="212">
        <f t="shared" ref="DP117:DP123" si="288">SUM(BL117:BO117)</f>
        <v>263.7</v>
      </c>
      <c r="DQ117" s="212">
        <f>SUM(BP117:BS117)</f>
        <v>235.9</v>
      </c>
      <c r="DR117" s="212">
        <f>SUM(BT117:BW117)</f>
        <v>246.3</v>
      </c>
      <c r="DS117" s="212">
        <f>SUM(BX117:CA117)</f>
        <v>239.5</v>
      </c>
      <c r="DT117" s="212">
        <f>SUM(CB117:CE117)</f>
        <v>208.3</v>
      </c>
      <c r="DU117" s="212">
        <f>SUM(CF117:CI117)</f>
        <v>310.89999999999998</v>
      </c>
      <c r="DV117" s="212">
        <f>SUM(CJ117:CM117)</f>
        <v>347.80000000000007</v>
      </c>
      <c r="DW117" s="212">
        <f>SUM(CN117:CQ117)</f>
        <v>378.2</v>
      </c>
      <c r="DX117" s="354">
        <f ca="1">SUM(CR117:CU117)</f>
        <v>410.1</v>
      </c>
      <c r="DY117" s="354">
        <f t="shared" ref="DY117:DY128" si="289">SUM(CV117:CY117)</f>
        <v>479.05795605560519</v>
      </c>
      <c r="DZ117" s="354">
        <f>DZ163*DY65</f>
        <v>511.61360206787703</v>
      </c>
      <c r="EA117" s="212">
        <f>EA163*DZ65</f>
        <v>545.61010140161886</v>
      </c>
      <c r="EB117" s="212">
        <f>EB163*EA65</f>
        <v>579.72240349099707</v>
      </c>
      <c r="EC117" s="212">
        <f>EC163*EB65</f>
        <v>613.69953025274208</v>
      </c>
      <c r="ED117" s="212">
        <f>ED163*EC65</f>
        <v>646.26450413715543</v>
      </c>
      <c r="EE117" s="199"/>
      <c r="EF117"/>
      <c r="EG117"/>
      <c r="EH117"/>
      <c r="EI117"/>
      <c r="EJ117"/>
      <c r="EK117"/>
    </row>
    <row r="118" spans="1:141" s="137" customFormat="1">
      <c r="A118" s="193"/>
      <c r="B118" s="289" t="s">
        <v>270</v>
      </c>
      <c r="C118" s="138"/>
      <c r="D118" s="217">
        <v>16.465207448546227</v>
      </c>
      <c r="E118" s="218">
        <v>18.29467494282914</v>
      </c>
      <c r="F118" s="218">
        <v>20.254818686703693</v>
      </c>
      <c r="G118" s="219">
        <v>34.890558640967001</v>
      </c>
      <c r="H118" s="218">
        <v>25.743221169552434</v>
      </c>
      <c r="I118" s="218">
        <v>27.311336164652072</v>
      </c>
      <c r="J118" s="218">
        <v>28.356746161385168</v>
      </c>
      <c r="K118" s="219">
        <v>25.220516171185889</v>
      </c>
      <c r="L118" s="218">
        <v>30.316889905259718</v>
      </c>
      <c r="M118" s="218">
        <v>30.316889905259718</v>
      </c>
      <c r="N118" s="218">
        <v>30.904933028422082</v>
      </c>
      <c r="O118" s="219">
        <v>32.799738647500817</v>
      </c>
      <c r="P118" s="218"/>
      <c r="Q118" s="218"/>
      <c r="R118" s="218"/>
      <c r="S118" s="219"/>
      <c r="T118" s="218"/>
      <c r="U118" s="218"/>
      <c r="V118" s="218"/>
      <c r="W118" s="219"/>
      <c r="X118" s="218">
        <v>-16.2</v>
      </c>
      <c r="Y118" s="218">
        <f>-61.1-X118</f>
        <v>-44.900000000000006</v>
      </c>
      <c r="Z118" s="218">
        <f>-119.3-SUM(X118:Y118)</f>
        <v>-58.199999999999989</v>
      </c>
      <c r="AA118" s="219">
        <f>-133.5-SUM(X118:Z118)</f>
        <v>-14.200000000000003</v>
      </c>
      <c r="AB118" s="218">
        <v>-26.2</v>
      </c>
      <c r="AC118" s="218">
        <f>5.1-AB118</f>
        <v>31.299999999999997</v>
      </c>
      <c r="AD118" s="218">
        <f>-3.1-SUM(AB118:AC118)</f>
        <v>-8.1999999999999975</v>
      </c>
      <c r="AE118" s="219">
        <f>23.5-SUM(AB118:AD118)</f>
        <v>26.6</v>
      </c>
      <c r="AF118" s="218">
        <v>-19</v>
      </c>
      <c r="AG118" s="218">
        <f>12.8-AF118</f>
        <v>31.8</v>
      </c>
      <c r="AH118" s="218">
        <f>102.4-SUM(AF118:AG118)</f>
        <v>89.600000000000009</v>
      </c>
      <c r="AI118" s="219">
        <f>110.3-SUM(AF118:AH118)</f>
        <v>7.8999999999999915</v>
      </c>
      <c r="AJ118" s="218">
        <v>1.3</v>
      </c>
      <c r="AK118" s="218">
        <f>16.1-AJ118</f>
        <v>14.8</v>
      </c>
      <c r="AL118" s="218">
        <f>20.5-SUM(AJ118:AK118)</f>
        <v>4.3999999999999986</v>
      </c>
      <c r="AM118" s="219">
        <f>46.5-SUM(AJ118:AL118)</f>
        <v>26</v>
      </c>
      <c r="AN118" s="218">
        <v>-31.7</v>
      </c>
      <c r="AO118" s="218">
        <f>-28.6-AN118</f>
        <v>3.0999999999999979</v>
      </c>
      <c r="AP118" s="218">
        <f>-40.5-SUM(AN118:AO118)</f>
        <v>-11.899999999999999</v>
      </c>
      <c r="AQ118" s="219">
        <f>-7.6-SUM(AN118:AP118)</f>
        <v>32.9</v>
      </c>
      <c r="AR118" s="218">
        <v>-3.6</v>
      </c>
      <c r="AS118" s="218">
        <f>-5.4-AR118</f>
        <v>-1.8000000000000003</v>
      </c>
      <c r="AT118" s="218">
        <f>-5.3-SUM(AR118:AS118)</f>
        <v>0.10000000000000053</v>
      </c>
      <c r="AU118" s="219">
        <f>-32.5-SUM(AR118:AT118)</f>
        <v>-27.2</v>
      </c>
      <c r="AV118" s="218">
        <v>-62.7</v>
      </c>
      <c r="AW118" s="218">
        <f>-87.8-AV118</f>
        <v>-25.099999999999994</v>
      </c>
      <c r="AX118" s="218">
        <f>-100.1-AW118-AV118</f>
        <v>-12.299999999999997</v>
      </c>
      <c r="AY118" s="219">
        <f>-112.5-SUM(AV118:AX118)</f>
        <v>-12.400000000000006</v>
      </c>
      <c r="AZ118" s="218">
        <v>128.6</v>
      </c>
      <c r="BA118" s="218">
        <f>104-AZ118</f>
        <v>-24.599999999999994</v>
      </c>
      <c r="BB118" s="218">
        <f>123.4-SUM(AZ118:BA118)</f>
        <v>19.400000000000006</v>
      </c>
      <c r="BC118" s="219">
        <f>194.9-SUM(AZ118:BB118)</f>
        <v>71.5</v>
      </c>
      <c r="BD118" s="218">
        <v>23.8</v>
      </c>
      <c r="BE118" s="218">
        <f>22.3-BD118</f>
        <v>-1.5</v>
      </c>
      <c r="BF118" s="218">
        <f>23.6-SUM(BD118:BE118)</f>
        <v>1.3000000000000007</v>
      </c>
      <c r="BG118" s="219">
        <f>47.1-SUM(BD118:BF118)</f>
        <v>23.5</v>
      </c>
      <c r="BH118" s="218">
        <v>2.9</v>
      </c>
      <c r="BI118" s="218">
        <f>-4-BH118</f>
        <v>-6.9</v>
      </c>
      <c r="BJ118" s="218">
        <f>-12.4-SUM(BH118:BI118)</f>
        <v>-8.4</v>
      </c>
      <c r="BK118" s="219">
        <f>45-SUM(BH118:BJ118)</f>
        <v>57.4</v>
      </c>
      <c r="BL118" s="218">
        <v>6.3</v>
      </c>
      <c r="BM118" s="218">
        <f>-5.5-BL118</f>
        <v>-11.8</v>
      </c>
      <c r="BN118" s="218">
        <f>-3.4-SUM(BL118:BM118)</f>
        <v>2.100000000000001</v>
      </c>
      <c r="BO118" s="219">
        <f>11-9.6-SUM(BL118:BN118)</f>
        <v>4.8000000000000007</v>
      </c>
      <c r="BP118" s="218">
        <v>2</v>
      </c>
      <c r="BQ118" s="218">
        <f>-11-BP118</f>
        <v>-13</v>
      </c>
      <c r="BR118" s="218">
        <f>-18.3-SUM(BP118:BQ118)</f>
        <v>-7.3000000000000007</v>
      </c>
      <c r="BS118" s="219">
        <f>-40.7-SUM(BP118:BR118)</f>
        <v>-22.400000000000002</v>
      </c>
      <c r="BT118" s="218">
        <v>15.3</v>
      </c>
      <c r="BU118" s="218"/>
      <c r="BV118" s="218">
        <f>0-SUM(BT118:BU118)</f>
        <v>-15.3</v>
      </c>
      <c r="BW118" s="219">
        <f>-11.4-SUM(BT118:BV118)</f>
        <v>-11.4</v>
      </c>
      <c r="BX118" s="218">
        <v>-36.700000000000003</v>
      </c>
      <c r="BY118" s="218">
        <f>-56.1-BX118</f>
        <v>-19.399999999999999</v>
      </c>
      <c r="BZ118" s="218">
        <f>-66.6-BX118-BY118</f>
        <v>-10.499999999999993</v>
      </c>
      <c r="CA118" s="219">
        <f>-36.7-((BX118+BY118+BZ118))</f>
        <v>29.899999999999991</v>
      </c>
      <c r="CB118" s="218">
        <v>20</v>
      </c>
      <c r="CC118" s="218">
        <f>13.3-(CB118)</f>
        <v>-6.6999999999999993</v>
      </c>
      <c r="CD118" s="218">
        <f>-17.2-((CB118+CC118))</f>
        <v>-30.5</v>
      </c>
      <c r="CE118" s="219">
        <f>-36.7-CD118-CC118-CB118</f>
        <v>-19.500000000000004</v>
      </c>
      <c r="CF118" s="218">
        <v>8.3000000000000007</v>
      </c>
      <c r="CG118" s="218">
        <f>14.8-CF118</f>
        <v>6.5</v>
      </c>
      <c r="CH118" s="218">
        <f>-4.4-((CF118+CG118))</f>
        <v>-19.200000000000003</v>
      </c>
      <c r="CI118" s="219">
        <f>7.6-CH118-CG118-CF118</f>
        <v>12.000000000000004</v>
      </c>
      <c r="CJ118" s="218">
        <v>-7.8</v>
      </c>
      <c r="CK118" s="218">
        <f>-21.9-CJ118</f>
        <v>-14.099999999999998</v>
      </c>
      <c r="CL118" s="218">
        <f>-32.2-((CJ118+CK118))</f>
        <v>-10.300000000000004</v>
      </c>
      <c r="CM118" s="219">
        <f>-57.8-CL118-CK118-CJ118</f>
        <v>-25.599999999999991</v>
      </c>
      <c r="CN118" s="218">
        <v>5.2</v>
      </c>
      <c r="CO118" s="218">
        <f>19.6-CN118</f>
        <v>14.400000000000002</v>
      </c>
      <c r="CP118" s="218">
        <f>2.1-CO118-CN118</f>
        <v>-17.500000000000004</v>
      </c>
      <c r="CQ118" s="219">
        <f>-16.9-CP118-CO118-CN118</f>
        <v>-18.999999999999996</v>
      </c>
      <c r="CR118" s="218">
        <v>7.4</v>
      </c>
      <c r="CS118" s="218">
        <f>-8.1-CR118</f>
        <v>-15.5</v>
      </c>
      <c r="CT118" s="218">
        <f>-37.4-CS118-CR118</f>
        <v>-29.299999999999997</v>
      </c>
      <c r="CU118" s="195"/>
      <c r="CV118" s="194"/>
      <c r="CW118" s="194"/>
      <c r="CX118" s="194"/>
      <c r="CY118" s="195"/>
      <c r="DA118" s="212">
        <f>SUM(D118:G118)</f>
        <v>89.905259719046057</v>
      </c>
      <c r="DB118" s="212">
        <f>SUM(H118:K118)</f>
        <v>106.63181966677556</v>
      </c>
      <c r="DC118" s="212">
        <f>SUM(L118:O118)</f>
        <v>124.33845148644234</v>
      </c>
      <c r="DD118" s="212"/>
      <c r="DE118" s="212"/>
      <c r="DF118" s="212">
        <f>SUM(X118:AA118)</f>
        <v>-133.5</v>
      </c>
      <c r="DG118" s="212">
        <f>SUM(AB118:AE118)</f>
        <v>23.5</v>
      </c>
      <c r="DH118" s="212">
        <f>SUM(AF118:AI118)</f>
        <v>110.3</v>
      </c>
      <c r="DI118" s="212">
        <f>SUM(AJ118:AM118)</f>
        <v>46.5</v>
      </c>
      <c r="DJ118" s="212">
        <f t="shared" si="282"/>
        <v>-7.6000000000000014</v>
      </c>
      <c r="DK118" s="212">
        <f t="shared" si="283"/>
        <v>-32.5</v>
      </c>
      <c r="DL118" s="212">
        <f t="shared" si="284"/>
        <v>-112.5</v>
      </c>
      <c r="DM118" s="212">
        <f t="shared" si="285"/>
        <v>194.9</v>
      </c>
      <c r="DN118" s="212">
        <f t="shared" si="286"/>
        <v>47.1</v>
      </c>
      <c r="DO118" s="212">
        <f t="shared" si="287"/>
        <v>45</v>
      </c>
      <c r="DP118" s="212">
        <f t="shared" si="288"/>
        <v>1.4000000000000008</v>
      </c>
      <c r="DQ118" s="212">
        <f>SUM(BP118:BS118)</f>
        <v>-40.700000000000003</v>
      </c>
      <c r="DR118" s="212">
        <f>SUM(BT118:BW118)</f>
        <v>-11.4</v>
      </c>
      <c r="DS118" s="212">
        <f>SUM(BX118:CA118)</f>
        <v>-36.700000000000003</v>
      </c>
      <c r="DT118" s="212">
        <f>SUM(CB118:CE118)</f>
        <v>-36.700000000000003</v>
      </c>
      <c r="DU118" s="212">
        <f>SUM(CF118:CI118)</f>
        <v>7.6000000000000014</v>
      </c>
      <c r="DV118" s="212">
        <f>SUM(CJ118:CM118)</f>
        <v>-57.8</v>
      </c>
      <c r="DW118" s="212">
        <f>SUM(CN118:CQ118)</f>
        <v>-16.899999999999999</v>
      </c>
      <c r="DX118" s="354">
        <f>SUM(CR118:CU118)</f>
        <v>-37.4</v>
      </c>
      <c r="DY118" s="354">
        <f t="shared" si="289"/>
        <v>0</v>
      </c>
      <c r="DZ118" s="349"/>
      <c r="EA118" s="194"/>
      <c r="EB118" s="194"/>
      <c r="EC118" s="194"/>
      <c r="ED118" s="194"/>
      <c r="EE118" s="199"/>
      <c r="EF118"/>
      <c r="EG118"/>
      <c r="EH118"/>
      <c r="EI118"/>
      <c r="EJ118"/>
      <c r="EK118"/>
    </row>
    <row r="119" spans="1:141" s="137" customFormat="1" hidden="1" outlineLevel="1">
      <c r="A119" s="193"/>
      <c r="B119" s="199" t="s">
        <v>260</v>
      </c>
      <c r="C119" s="199"/>
      <c r="D119" s="213"/>
      <c r="E119" s="197"/>
      <c r="F119" s="197"/>
      <c r="G119" s="198"/>
      <c r="H119" s="197"/>
      <c r="I119" s="197"/>
      <c r="J119" s="197"/>
      <c r="K119" s="198"/>
      <c r="L119" s="197"/>
      <c r="M119" s="197"/>
      <c r="N119" s="197"/>
      <c r="O119" s="198"/>
      <c r="P119" s="197"/>
      <c r="Q119" s="197"/>
      <c r="R119" s="197"/>
      <c r="S119" s="198"/>
      <c r="T119" s="197"/>
      <c r="U119" s="197"/>
      <c r="V119" s="197"/>
      <c r="W119" s="198"/>
      <c r="X119" s="197">
        <f t="shared" ref="X119:AI119" si="290">-X30</f>
        <v>0</v>
      </c>
      <c r="Y119" s="197">
        <f t="shared" si="290"/>
        <v>0</v>
      </c>
      <c r="Z119" s="197">
        <f t="shared" si="290"/>
        <v>0</v>
      </c>
      <c r="AA119" s="198">
        <f t="shared" si="290"/>
        <v>0</v>
      </c>
      <c r="AB119" s="197">
        <f t="shared" si="290"/>
        <v>0</v>
      </c>
      <c r="AC119" s="197">
        <f t="shared" si="290"/>
        <v>0</v>
      </c>
      <c r="AD119" s="197">
        <f t="shared" si="290"/>
        <v>0</v>
      </c>
      <c r="AE119" s="198">
        <f t="shared" si="290"/>
        <v>0</v>
      </c>
      <c r="AF119" s="197">
        <f t="shared" si="290"/>
        <v>0</v>
      </c>
      <c r="AG119" s="197">
        <f t="shared" si="290"/>
        <v>0</v>
      </c>
      <c r="AH119" s="197">
        <f t="shared" si="290"/>
        <v>0</v>
      </c>
      <c r="AI119" s="198">
        <f t="shared" si="290"/>
        <v>0</v>
      </c>
      <c r="AJ119" s="197"/>
      <c r="AK119" s="197"/>
      <c r="AL119" s="197"/>
      <c r="AM119" s="198">
        <f>AM30</f>
        <v>0</v>
      </c>
      <c r="AN119" s="197"/>
      <c r="AO119" s="197"/>
      <c r="AP119" s="197"/>
      <c r="AQ119" s="198"/>
      <c r="AR119" s="197">
        <f t="shared" ref="AR119:BG119" si="291">-AR30</f>
        <v>0</v>
      </c>
      <c r="AS119" s="197">
        <f t="shared" si="291"/>
        <v>0</v>
      </c>
      <c r="AT119" s="197">
        <f t="shared" si="291"/>
        <v>0</v>
      </c>
      <c r="AU119" s="198">
        <f t="shared" si="291"/>
        <v>0</v>
      </c>
      <c r="AV119" s="197">
        <f t="shared" si="291"/>
        <v>0</v>
      </c>
      <c r="AW119" s="197">
        <f t="shared" si="291"/>
        <v>0</v>
      </c>
      <c r="AX119" s="197">
        <f t="shared" si="291"/>
        <v>0</v>
      </c>
      <c r="AY119" s="198">
        <f t="shared" si="291"/>
        <v>0</v>
      </c>
      <c r="AZ119" s="197">
        <f t="shared" si="291"/>
        <v>0</v>
      </c>
      <c r="BA119" s="197">
        <f t="shared" si="291"/>
        <v>0</v>
      </c>
      <c r="BB119" s="197">
        <f t="shared" si="291"/>
        <v>0</v>
      </c>
      <c r="BC119" s="198">
        <f t="shared" si="291"/>
        <v>0</v>
      </c>
      <c r="BD119" s="197">
        <f t="shared" si="291"/>
        <v>0</v>
      </c>
      <c r="BE119" s="197">
        <f t="shared" si="291"/>
        <v>0</v>
      </c>
      <c r="BF119" s="197">
        <f t="shared" si="291"/>
        <v>0</v>
      </c>
      <c r="BG119" s="198">
        <f t="shared" si="291"/>
        <v>0</v>
      </c>
      <c r="BH119" s="197">
        <f>-BH25</f>
        <v>4</v>
      </c>
      <c r="BI119" s="197">
        <f>-BI25</f>
        <v>6.5</v>
      </c>
      <c r="BJ119" s="197">
        <f>-BJ25</f>
        <v>5.8</v>
      </c>
      <c r="BK119" s="198">
        <f>-BK25</f>
        <v>9.1999999999999993</v>
      </c>
      <c r="BL119" s="197">
        <v>2</v>
      </c>
      <c r="BM119" s="197">
        <f>-BM25</f>
        <v>5.2</v>
      </c>
      <c r="BN119" s="197">
        <v>4.8</v>
      </c>
      <c r="BO119" s="198">
        <v>-0.7</v>
      </c>
      <c r="BP119" s="197">
        <f>-BP25</f>
        <v>7.7</v>
      </c>
      <c r="BQ119" s="197">
        <f>239.1-BP119-BQ116-BP116</f>
        <v>6.9999999999998295</v>
      </c>
      <c r="BR119" s="197">
        <f>337.6-BR116-BQ116-BQ119-BP116-BP119</f>
        <v>3.1999999999999487</v>
      </c>
      <c r="BS119" s="198">
        <f>461.4-SUM(BP116:BS116)-SUM(BP119:BR119)</f>
        <v>6.699999999999676</v>
      </c>
      <c r="BT119" s="197">
        <f>-BT25</f>
        <v>6.7</v>
      </c>
      <c r="BU119" s="197">
        <f>348.4-BT119-BU116-BT116</f>
        <v>8.4999999999999432</v>
      </c>
      <c r="BV119" s="197">
        <f>456.5-SUM(BT119:BU119)-SUM(BT116:BV116)</f>
        <v>7.4000000000000909</v>
      </c>
      <c r="BW119" s="198">
        <f>570.4-SUM(BT119:BV119)-SUM(BT116:BW116)</f>
        <v>7.3999999999998636</v>
      </c>
      <c r="BX119" s="197">
        <f>-BX25</f>
        <v>10.3</v>
      </c>
      <c r="BY119" s="197">
        <f>-BY25</f>
        <v>9.1999999999999993</v>
      </c>
      <c r="BZ119" s="197">
        <f>427.1-SUM(BX119:BY119)-SUM(BX116:BZ116)</f>
        <v>0.89999999999992042</v>
      </c>
      <c r="CA119" s="198">
        <f>1317.2-SUM(BX116:CA116)-SUM(BX119:BZ119)</f>
        <v>8.1999999999999886</v>
      </c>
      <c r="CB119" s="197"/>
      <c r="CC119" s="197"/>
      <c r="CD119" s="197"/>
      <c r="CE119" s="198"/>
      <c r="CF119" s="197"/>
      <c r="CG119" s="197"/>
      <c r="CH119" s="197"/>
      <c r="CI119" s="198"/>
      <c r="CJ119" s="197"/>
      <c r="CK119" s="197"/>
      <c r="CL119" s="197"/>
      <c r="CM119" s="198"/>
      <c r="CN119" s="197"/>
      <c r="CO119" s="197"/>
      <c r="CP119" s="197"/>
      <c r="CQ119" s="198"/>
      <c r="CR119" s="197"/>
      <c r="CS119" s="197"/>
      <c r="CT119" s="197"/>
      <c r="CU119" s="198"/>
      <c r="CV119" s="197"/>
      <c r="CW119" s="197"/>
      <c r="CX119" s="197"/>
      <c r="CY119" s="198"/>
      <c r="DA119" s="212"/>
      <c r="DB119" s="212"/>
      <c r="DC119" s="212"/>
      <c r="DD119" s="212"/>
      <c r="DE119" s="212"/>
      <c r="DF119" s="212">
        <f>SUM(X119:AA119)</f>
        <v>0</v>
      </c>
      <c r="DG119" s="212">
        <f>SUM(AB119:AE119)</f>
        <v>0</v>
      </c>
      <c r="DH119" s="212">
        <f>SUM(AF119:AI119)</f>
        <v>0</v>
      </c>
      <c r="DI119" s="212">
        <f>SUM(AJ119:AM119)</f>
        <v>0</v>
      </c>
      <c r="DJ119" s="212">
        <f t="shared" si="282"/>
        <v>0</v>
      </c>
      <c r="DK119" s="212">
        <f t="shared" si="283"/>
        <v>0</v>
      </c>
      <c r="DL119" s="212">
        <f t="shared" si="284"/>
        <v>0</v>
      </c>
      <c r="DM119" s="212">
        <f t="shared" si="285"/>
        <v>0</v>
      </c>
      <c r="DN119" s="212">
        <f t="shared" si="286"/>
        <v>0</v>
      </c>
      <c r="DO119" s="212">
        <f t="shared" si="287"/>
        <v>25.5</v>
      </c>
      <c r="DP119" s="212">
        <f t="shared" si="288"/>
        <v>11.3</v>
      </c>
      <c r="DQ119" s="212">
        <f>SUM(BP119:BS119)</f>
        <v>24.599999999999454</v>
      </c>
      <c r="DR119" s="212">
        <f>SUM(BT119:BW119)</f>
        <v>29.999999999999897</v>
      </c>
      <c r="DS119" s="212">
        <f>SUM(BX119:CA119)</f>
        <v>28.599999999999909</v>
      </c>
      <c r="DT119" s="212"/>
      <c r="DU119" s="212"/>
      <c r="DV119" s="212"/>
      <c r="DW119" s="212"/>
      <c r="DX119" s="354"/>
      <c r="DY119" s="354"/>
      <c r="DZ119" s="349"/>
      <c r="EA119" s="194"/>
      <c r="EB119" s="194"/>
      <c r="EC119" s="194"/>
      <c r="ED119" s="194"/>
      <c r="EE119" s="199"/>
      <c r="EF119"/>
      <c r="EG119"/>
      <c r="EH119"/>
      <c r="EI119"/>
      <c r="EJ119"/>
      <c r="EK119"/>
    </row>
    <row r="120" spans="1:141" s="137" customFormat="1" hidden="1" outlineLevel="1">
      <c r="A120" s="193"/>
      <c r="B120" s="138" t="s">
        <v>25</v>
      </c>
      <c r="C120" s="138"/>
      <c r="D120" s="217"/>
      <c r="E120" s="218"/>
      <c r="F120" s="218"/>
      <c r="G120" s="219"/>
      <c r="H120" s="218"/>
      <c r="I120" s="218"/>
      <c r="J120" s="218"/>
      <c r="K120" s="219"/>
      <c r="L120" s="218"/>
      <c r="M120" s="218"/>
      <c r="N120" s="218"/>
      <c r="O120" s="219"/>
      <c r="P120" s="218"/>
      <c r="Q120" s="218"/>
      <c r="R120" s="218"/>
      <c r="S120" s="219"/>
      <c r="T120" s="218"/>
      <c r="U120" s="218"/>
      <c r="V120" s="218"/>
      <c r="W120" s="219"/>
      <c r="X120" s="218"/>
      <c r="Y120" s="218"/>
      <c r="Z120" s="218"/>
      <c r="AA120" s="219"/>
      <c r="AB120" s="218"/>
      <c r="AC120" s="218">
        <f>-36.6-AB120</f>
        <v>-36.6</v>
      </c>
      <c r="AD120" s="218">
        <f>-36.6-SUM(AB120:AC120)</f>
        <v>0</v>
      </c>
      <c r="AE120" s="219">
        <f>89.9-SUM(AB120:AD120)</f>
        <v>126.5</v>
      </c>
      <c r="AF120" s="218">
        <f>0.6-12.4+3.1</f>
        <v>-8.7000000000000011</v>
      </c>
      <c r="AG120" s="218">
        <f>-12.4+3.1-AF120</f>
        <v>-0.59999999999999964</v>
      </c>
      <c r="AH120" s="218">
        <f>-12.4+3.1-SUM(AF120:AG120)</f>
        <v>0</v>
      </c>
      <c r="AI120" s="219">
        <f>90.2-SUM(AF120:AH120)</f>
        <v>99.5</v>
      </c>
      <c r="AJ120" s="218">
        <v>298.5</v>
      </c>
      <c r="AK120" s="218">
        <f>298.5-AJ120</f>
        <v>0</v>
      </c>
      <c r="AL120" s="218">
        <f>298.5-SUM(AJ120:AK120)</f>
        <v>0</v>
      </c>
      <c r="AM120" s="219">
        <f>298.5-SUM(AJ120:AL120)</f>
        <v>0</v>
      </c>
      <c r="AN120" s="218"/>
      <c r="AO120" s="218"/>
      <c r="AP120" s="218"/>
      <c r="AQ120" s="219">
        <f>11.2-SUM(AN120:AP120)</f>
        <v>11.2</v>
      </c>
      <c r="AR120" s="218"/>
      <c r="AS120" s="218"/>
      <c r="AT120" s="218">
        <f>3</f>
        <v>3</v>
      </c>
      <c r="AU120" s="219">
        <f>3-SUM(AR120:AT120)</f>
        <v>0</v>
      </c>
      <c r="AV120" s="218"/>
      <c r="AW120" s="218"/>
      <c r="AX120" s="218">
        <f>670+87.3-AW120-AV120</f>
        <v>757.3</v>
      </c>
      <c r="AY120" s="219">
        <f>1012.8+97.4-SUM(AV120:AX120)</f>
        <v>352.90000000000009</v>
      </c>
      <c r="AZ120" s="218"/>
      <c r="BA120" s="218"/>
      <c r="BB120" s="218">
        <f>28.7-SUM(AZ120:BA120)</f>
        <v>28.7</v>
      </c>
      <c r="BC120" s="219">
        <f>636+15.8-SUM(AZ120:BB120)</f>
        <v>623.09999999999991</v>
      </c>
      <c r="BD120" s="218">
        <v>25.6</v>
      </c>
      <c r="BE120" s="218">
        <f>24.9-BD120</f>
        <v>-0.70000000000000284</v>
      </c>
      <c r="BF120" s="218">
        <f>7.8-SUM(BD120:BE120)</f>
        <v>-17.099999999999998</v>
      </c>
      <c r="BG120" s="219">
        <f>10.7+16.8-SUM(BD120:BF120)</f>
        <v>19.7</v>
      </c>
      <c r="BH120" s="218"/>
      <c r="BI120" s="218">
        <f>0-BH120</f>
        <v>0</v>
      </c>
      <c r="BJ120" s="218">
        <f>0-SUM(BH120:BI120)</f>
        <v>0</v>
      </c>
      <c r="BK120" s="219">
        <f>530+17.5-SUM(BH120:BJ120)</f>
        <v>547.5</v>
      </c>
      <c r="BL120" s="218"/>
      <c r="BM120" s="218"/>
      <c r="BN120" s="218">
        <f>38.6-SUM(BL120:BM120)</f>
        <v>38.6</v>
      </c>
      <c r="BO120" s="219">
        <f>-1474.8+319-SUM(BL120:BN120)</f>
        <v>-1194.3999999999999</v>
      </c>
      <c r="BP120" s="218"/>
      <c r="BQ120" s="218"/>
      <c r="BR120" s="218"/>
      <c r="BS120" s="219"/>
      <c r="BT120" s="218">
        <v>0.3</v>
      </c>
      <c r="BU120" s="218"/>
      <c r="BV120" s="218">
        <f>0-SUM(BT120:BU120)</f>
        <v>-0.3</v>
      </c>
      <c r="BW120" s="219">
        <f>2.2-SUM(BT120:BV120)</f>
        <v>2.2000000000000002</v>
      </c>
      <c r="BX120" s="218"/>
      <c r="BY120" s="218"/>
      <c r="BZ120" s="218"/>
      <c r="CA120" s="219"/>
      <c r="CB120" s="218"/>
      <c r="CC120" s="218"/>
      <c r="CD120" s="218"/>
      <c r="CE120" s="219"/>
      <c r="CF120" s="218"/>
      <c r="CG120" s="218"/>
      <c r="CH120" s="218"/>
      <c r="CI120" s="219"/>
      <c r="CJ120" s="218"/>
      <c r="CK120" s="218"/>
      <c r="CL120" s="218"/>
      <c r="CM120" s="219"/>
      <c r="CN120" s="218"/>
      <c r="CO120" s="218"/>
      <c r="CP120" s="218"/>
      <c r="CQ120" s="219"/>
      <c r="CR120" s="218"/>
      <c r="CS120" s="218"/>
      <c r="CT120" s="218"/>
      <c r="CU120" s="204"/>
      <c r="CV120" s="859"/>
      <c r="CW120" s="859"/>
      <c r="CX120" s="859"/>
      <c r="CY120" s="204"/>
      <c r="DA120" s="212"/>
      <c r="DB120" s="212"/>
      <c r="DC120" s="212"/>
      <c r="DD120" s="212"/>
      <c r="DE120" s="212"/>
      <c r="DF120" s="212"/>
      <c r="DG120" s="212">
        <f>SUM(AB120:AE120)</f>
        <v>89.9</v>
      </c>
      <c r="DH120" s="212">
        <f>SUM(AF120:AI120)</f>
        <v>90.2</v>
      </c>
      <c r="DI120" s="212">
        <f>SUM(AJ120:AM120)</f>
        <v>298.5</v>
      </c>
      <c r="DJ120" s="212">
        <f t="shared" si="282"/>
        <v>11.2</v>
      </c>
      <c r="DK120" s="212">
        <f t="shared" si="283"/>
        <v>3</v>
      </c>
      <c r="DL120" s="212">
        <f t="shared" si="284"/>
        <v>1110.2</v>
      </c>
      <c r="DM120" s="212">
        <f t="shared" si="285"/>
        <v>651.79999999999995</v>
      </c>
      <c r="DN120" s="212">
        <f t="shared" si="286"/>
        <v>27.5</v>
      </c>
      <c r="DO120" s="212">
        <f t="shared" si="287"/>
        <v>547.5</v>
      </c>
      <c r="DP120" s="212">
        <f t="shared" si="288"/>
        <v>-1155.8</v>
      </c>
      <c r="DQ120" s="212"/>
      <c r="DR120" s="212">
        <f>SUM(BT120:BW120)</f>
        <v>2.2000000000000002</v>
      </c>
      <c r="DS120" s="212"/>
      <c r="DT120" s="212"/>
      <c r="DU120" s="212"/>
      <c r="DV120" s="212"/>
      <c r="DW120" s="212"/>
      <c r="DX120" s="354"/>
      <c r="DY120" s="354"/>
      <c r="DZ120" s="349"/>
      <c r="EA120" s="194"/>
      <c r="EB120" s="194"/>
      <c r="EC120" s="194"/>
      <c r="ED120" s="194"/>
      <c r="EE120" s="199"/>
      <c r="EF120"/>
      <c r="EG120"/>
      <c r="EH120"/>
      <c r="EI120"/>
      <c r="EJ120"/>
      <c r="EK120"/>
    </row>
    <row r="121" spans="1:141" s="137" customFormat="1" hidden="1" outlineLevel="1">
      <c r="A121" s="193"/>
      <c r="B121" s="289" t="s">
        <v>269</v>
      </c>
      <c r="C121" s="138"/>
      <c r="D121" s="217"/>
      <c r="E121" s="218"/>
      <c r="F121" s="218"/>
      <c r="G121" s="219"/>
      <c r="H121" s="218"/>
      <c r="I121" s="218"/>
      <c r="J121" s="218"/>
      <c r="K121" s="219"/>
      <c r="L121" s="218"/>
      <c r="M121" s="218"/>
      <c r="N121" s="218"/>
      <c r="O121" s="219"/>
      <c r="P121" s="218"/>
      <c r="Q121" s="218"/>
      <c r="R121" s="218"/>
      <c r="S121" s="219"/>
      <c r="T121" s="218"/>
      <c r="U121" s="218"/>
      <c r="V121" s="218"/>
      <c r="W121" s="219"/>
      <c r="X121" s="218"/>
      <c r="Y121" s="218"/>
      <c r="Z121" s="218"/>
      <c r="AA121" s="219"/>
      <c r="AB121" s="218"/>
      <c r="AC121" s="218"/>
      <c r="AD121" s="218"/>
      <c r="AE121" s="219">
        <f>21.2-SUM(AB121:AD121)</f>
        <v>21.2</v>
      </c>
      <c r="AF121" s="218">
        <v>310.89999999999998</v>
      </c>
      <c r="AG121" s="218">
        <f>310.1-AF121</f>
        <v>-0.79999999999995453</v>
      </c>
      <c r="AH121" s="218">
        <f>298.5-SUM(AF121:AG121)</f>
        <v>-11.600000000000023</v>
      </c>
      <c r="AI121" s="219">
        <f>245-SUM(AF121:AH121)</f>
        <v>-53.5</v>
      </c>
      <c r="AJ121" s="218">
        <v>28.5</v>
      </c>
      <c r="AK121" s="218">
        <f>-5.8-AJ121</f>
        <v>-34.299999999999997</v>
      </c>
      <c r="AL121" s="218">
        <f>-27.4-SUM(AJ121:AK121)</f>
        <v>-21.6</v>
      </c>
      <c r="AM121" s="219">
        <f>-122.2-SUM(AJ121:AL121)</f>
        <v>-94.800000000000011</v>
      </c>
      <c r="AN121" s="218">
        <v>-53.4</v>
      </c>
      <c r="AO121" s="218">
        <f>-139.6-AN121</f>
        <v>-86.199999999999989</v>
      </c>
      <c r="AP121" s="218">
        <f>-190.9-SUM(AN121:AO121)</f>
        <v>-51.300000000000011</v>
      </c>
      <c r="AQ121" s="219">
        <f>-298.1-SUM(AN121:AP121)</f>
        <v>-107.20000000000002</v>
      </c>
      <c r="AR121" s="218">
        <v>-70.400000000000006</v>
      </c>
      <c r="AS121" s="218">
        <f>-70.4-AR121</f>
        <v>0</v>
      </c>
      <c r="AT121" s="218">
        <f>-70.4-SUM(AR121:AS121)</f>
        <v>0</v>
      </c>
      <c r="AU121" s="219">
        <f>-70.4-SUM(AR121:AT121)</f>
        <v>0</v>
      </c>
      <c r="AV121" s="218"/>
      <c r="AW121" s="218">
        <f>267.3-AV121</f>
        <v>267.3</v>
      </c>
      <c r="AX121" s="218">
        <f>279.2-AW121-AV121</f>
        <v>11.899999999999977</v>
      </c>
      <c r="AY121" s="219">
        <f>411.1-SUM(AV121:AX121)</f>
        <v>131.90000000000003</v>
      </c>
      <c r="AZ121" s="218">
        <v>38.1</v>
      </c>
      <c r="BA121" s="218">
        <f>20-AZ121</f>
        <v>-18.100000000000001</v>
      </c>
      <c r="BB121" s="218">
        <f>-23.7-SUM(AZ121:BA121)</f>
        <v>-43.7</v>
      </c>
      <c r="BC121" s="219">
        <f>-178-SUM(AZ121:BB121)</f>
        <v>-154.30000000000001</v>
      </c>
      <c r="BD121" s="218">
        <v>-38.9</v>
      </c>
      <c r="BE121" s="218">
        <f>7.3-BD121</f>
        <v>46.199999999999996</v>
      </c>
      <c r="BF121" s="218">
        <f>-67.3-SUM(BD121:BE121)</f>
        <v>-74.599999999999994</v>
      </c>
      <c r="BG121" s="219">
        <f>-168.9-SUM(BD121:BF121)</f>
        <v>-101.60000000000001</v>
      </c>
      <c r="BH121" s="218">
        <v>111.7</v>
      </c>
      <c r="BI121" s="218">
        <f>114.4-BH121</f>
        <v>2.7000000000000028</v>
      </c>
      <c r="BJ121" s="218">
        <f>133.7-SUM(BH121:BI121)</f>
        <v>19.299999999999983</v>
      </c>
      <c r="BK121" s="219">
        <f>47.2-SUM(BH121:BJ121)</f>
        <v>-86.499999999999986</v>
      </c>
      <c r="BL121" s="218">
        <v>-138.5</v>
      </c>
      <c r="BM121" s="218">
        <f>-138.5-BL121</f>
        <v>0</v>
      </c>
      <c r="BN121" s="218">
        <f>-138.5-SUM(BL121:BM121)</f>
        <v>0</v>
      </c>
      <c r="BO121" s="219">
        <f>-138.5-SUM(BL121:BN121)</f>
        <v>0</v>
      </c>
      <c r="BP121" s="218"/>
      <c r="BQ121" s="218"/>
      <c r="BR121" s="218"/>
      <c r="BS121" s="219"/>
      <c r="BT121" s="218"/>
      <c r="BU121" s="218"/>
      <c r="BV121" s="218"/>
      <c r="BW121" s="219"/>
      <c r="BX121" s="218"/>
      <c r="BY121" s="218"/>
      <c r="BZ121" s="218"/>
      <c r="CA121" s="219"/>
      <c r="CB121" s="218"/>
      <c r="CC121" s="218"/>
      <c r="CD121" s="218"/>
      <c r="CE121" s="219"/>
      <c r="CF121" s="218"/>
      <c r="CG121" s="218"/>
      <c r="CH121" s="218"/>
      <c r="CI121" s="219"/>
      <c r="CJ121" s="218"/>
      <c r="CK121" s="218"/>
      <c r="CL121" s="218"/>
      <c r="CM121" s="219"/>
      <c r="CN121" s="218"/>
      <c r="CO121" s="218"/>
      <c r="CP121" s="218"/>
      <c r="CQ121" s="219"/>
      <c r="CR121" s="218"/>
      <c r="CS121" s="218"/>
      <c r="CT121" s="218"/>
      <c r="CU121" s="204"/>
      <c r="CV121" s="859"/>
      <c r="CW121" s="859"/>
      <c r="CX121" s="859"/>
      <c r="CY121" s="204"/>
      <c r="DA121" s="212"/>
      <c r="DB121" s="212"/>
      <c r="DC121" s="212"/>
      <c r="DD121" s="212"/>
      <c r="DE121" s="212"/>
      <c r="DF121" s="212"/>
      <c r="DG121" s="212">
        <f>SUM(AB121:AE121)</f>
        <v>21.2</v>
      </c>
      <c r="DH121" s="212">
        <f>SUM(AF121:AI121)</f>
        <v>245</v>
      </c>
      <c r="DI121" s="212">
        <f>SUM(AJ121:AM121)</f>
        <v>-122.20000000000002</v>
      </c>
      <c r="DJ121" s="212">
        <f t="shared" si="282"/>
        <v>-298.10000000000002</v>
      </c>
      <c r="DK121" s="212">
        <f t="shared" si="283"/>
        <v>-70.400000000000006</v>
      </c>
      <c r="DL121" s="212">
        <f t="shared" si="284"/>
        <v>411.1</v>
      </c>
      <c r="DM121" s="212">
        <f t="shared" si="285"/>
        <v>-178</v>
      </c>
      <c r="DN121" s="212">
        <f t="shared" si="286"/>
        <v>-168.9</v>
      </c>
      <c r="DO121" s="212">
        <f t="shared" si="287"/>
        <v>47.2</v>
      </c>
      <c r="DP121" s="212">
        <f t="shared" si="288"/>
        <v>-138.5</v>
      </c>
      <c r="DQ121" s="212"/>
      <c r="DR121" s="212"/>
      <c r="DS121" s="212"/>
      <c r="DT121" s="212"/>
      <c r="DU121" s="212"/>
      <c r="DV121" s="212"/>
      <c r="DW121" s="212"/>
      <c r="DX121" s="354"/>
      <c r="DY121" s="354"/>
      <c r="DZ121" s="349"/>
      <c r="EA121" s="194"/>
      <c r="EB121" s="194"/>
      <c r="EC121" s="194"/>
      <c r="ED121" s="194"/>
      <c r="EE121" s="199"/>
      <c r="EF121"/>
      <c r="EG121"/>
      <c r="EH121"/>
      <c r="EI121"/>
      <c r="EJ121"/>
      <c r="EK121"/>
    </row>
    <row r="122" spans="1:141" s="137" customFormat="1" hidden="1" outlineLevel="1">
      <c r="A122" s="193"/>
      <c r="B122" s="138" t="s">
        <v>268</v>
      </c>
      <c r="C122" s="138"/>
      <c r="D122" s="217"/>
      <c r="E122" s="218"/>
      <c r="F122" s="218"/>
      <c r="G122" s="219"/>
      <c r="H122" s="218"/>
      <c r="I122" s="218"/>
      <c r="J122" s="218"/>
      <c r="K122" s="219"/>
      <c r="L122" s="218"/>
      <c r="M122" s="218"/>
      <c r="N122" s="218"/>
      <c r="O122" s="219"/>
      <c r="P122" s="218"/>
      <c r="Q122" s="218"/>
      <c r="R122" s="218"/>
      <c r="S122" s="219"/>
      <c r="T122" s="218"/>
      <c r="U122" s="218"/>
      <c r="V122" s="218"/>
      <c r="W122" s="219"/>
      <c r="X122" s="218"/>
      <c r="Y122" s="218"/>
      <c r="Z122" s="218"/>
      <c r="AA122" s="219"/>
      <c r="AB122" s="218"/>
      <c r="AC122" s="218"/>
      <c r="AD122" s="218"/>
      <c r="AE122" s="219"/>
      <c r="AF122" s="218"/>
      <c r="AG122" s="218"/>
      <c r="AH122" s="218"/>
      <c r="AI122" s="219"/>
      <c r="AJ122" s="218"/>
      <c r="AK122" s="218"/>
      <c r="AL122" s="218"/>
      <c r="AM122" s="219"/>
      <c r="AN122" s="218"/>
      <c r="AO122" s="218"/>
      <c r="AP122" s="218"/>
      <c r="AQ122" s="219">
        <f>-33.1-SUM(AN122:AP122)</f>
        <v>-33.1</v>
      </c>
      <c r="AR122" s="218"/>
      <c r="AS122" s="218"/>
      <c r="AT122" s="218"/>
      <c r="AU122" s="219">
        <f>8.7-SUM(AR122:AT122)</f>
        <v>8.6999999999999993</v>
      </c>
      <c r="AV122" s="218"/>
      <c r="AW122" s="218"/>
      <c r="AX122" s="218"/>
      <c r="AY122" s="219">
        <f>44.7-SUM(AV122:AX122)</f>
        <v>44.7</v>
      </c>
      <c r="AZ122" s="218"/>
      <c r="BA122" s="218"/>
      <c r="BB122" s="218">
        <f>0-SUM(AZ122:BA122)</f>
        <v>0</v>
      </c>
      <c r="BC122" s="219">
        <f>-55-SUM(AZ122:BB122)</f>
        <v>-55</v>
      </c>
      <c r="BD122" s="218"/>
      <c r="BE122" s="218"/>
      <c r="BF122" s="218">
        <f>0-SUM(BD122:BE122)</f>
        <v>0</v>
      </c>
      <c r="BG122" s="219">
        <f>-43.9-SUM(BD122:BF122)</f>
        <v>-43.9</v>
      </c>
      <c r="BH122" s="218"/>
      <c r="BI122" s="218">
        <f>0-BH122</f>
        <v>0</v>
      </c>
      <c r="BJ122" s="218">
        <f>0-SUM(BH122:BI122)</f>
        <v>0</v>
      </c>
      <c r="BK122" s="219">
        <f>30.4-SUM(BH122:BJ122)</f>
        <v>30.4</v>
      </c>
      <c r="BL122" s="218"/>
      <c r="BM122" s="218"/>
      <c r="BN122" s="218">
        <f>0-SUM(BL122:BM122)</f>
        <v>0</v>
      </c>
      <c r="BO122" s="219">
        <f>-2.4+32.2-SUM(BL122:BN122)</f>
        <v>29.800000000000004</v>
      </c>
      <c r="BP122" s="218"/>
      <c r="BQ122" s="218"/>
      <c r="BR122" s="218"/>
      <c r="BS122" s="219"/>
      <c r="BT122" s="218"/>
      <c r="BU122" s="218"/>
      <c r="BV122" s="218"/>
      <c r="BW122" s="219"/>
      <c r="BX122" s="218"/>
      <c r="BY122" s="218"/>
      <c r="BZ122" s="218"/>
      <c r="CA122" s="219"/>
      <c r="CB122" s="218"/>
      <c r="CC122" s="218"/>
      <c r="CD122" s="218"/>
      <c r="CE122" s="219"/>
      <c r="CF122" s="218"/>
      <c r="CG122" s="218"/>
      <c r="CH122" s="218"/>
      <c r="CI122" s="219"/>
      <c r="CJ122" s="218"/>
      <c r="CK122" s="218"/>
      <c r="CL122" s="218"/>
      <c r="CM122" s="219"/>
      <c r="CN122" s="218"/>
      <c r="CO122" s="218"/>
      <c r="CP122" s="218"/>
      <c r="CQ122" s="219"/>
      <c r="CR122" s="218"/>
      <c r="CS122" s="218"/>
      <c r="CT122" s="218"/>
      <c r="CU122" s="198"/>
      <c r="CV122" s="197"/>
      <c r="CW122" s="197"/>
      <c r="CX122" s="197"/>
      <c r="CY122" s="198"/>
      <c r="DA122" s="212"/>
      <c r="DB122" s="212"/>
      <c r="DC122" s="212"/>
      <c r="DD122" s="212"/>
      <c r="DE122" s="212"/>
      <c r="DF122" s="212"/>
      <c r="DG122" s="212"/>
      <c r="DH122" s="212"/>
      <c r="DI122" s="212"/>
      <c r="DJ122" s="212">
        <f t="shared" si="282"/>
        <v>-33.1</v>
      </c>
      <c r="DK122" s="212">
        <f t="shared" si="283"/>
        <v>8.6999999999999993</v>
      </c>
      <c r="DL122" s="212">
        <f t="shared" si="284"/>
        <v>44.7</v>
      </c>
      <c r="DM122" s="212">
        <f t="shared" si="285"/>
        <v>-55</v>
      </c>
      <c r="DN122" s="212">
        <f t="shared" si="286"/>
        <v>-43.9</v>
      </c>
      <c r="DO122" s="212">
        <f t="shared" si="287"/>
        <v>30.4</v>
      </c>
      <c r="DP122" s="212">
        <f t="shared" si="288"/>
        <v>29.800000000000004</v>
      </c>
      <c r="DQ122" s="212"/>
      <c r="DR122" s="212"/>
      <c r="DS122" s="212"/>
      <c r="DT122" s="212"/>
      <c r="DU122" s="212"/>
      <c r="DV122" s="212"/>
      <c r="DW122" s="212"/>
      <c r="DX122" s="354"/>
      <c r="DY122" s="354"/>
      <c r="DZ122" s="354"/>
      <c r="EA122" s="212"/>
      <c r="EB122" s="212"/>
      <c r="EC122" s="212"/>
      <c r="ED122" s="212"/>
      <c r="EE122" s="199"/>
      <c r="EF122"/>
      <c r="EG122"/>
      <c r="EH122"/>
      <c r="EI122"/>
      <c r="EJ122"/>
      <c r="EK122"/>
    </row>
    <row r="123" spans="1:141" s="137" customFormat="1" collapsed="1">
      <c r="A123" s="193"/>
      <c r="B123" s="138" t="s">
        <v>53</v>
      </c>
      <c r="C123" s="138"/>
      <c r="D123" s="217">
        <v>6.190787324403793</v>
      </c>
      <c r="E123" s="218">
        <v>6.190787324403793</v>
      </c>
      <c r="F123" s="218">
        <v>6.190787324403793</v>
      </c>
      <c r="G123" s="219">
        <v>6.190787324403793</v>
      </c>
      <c r="H123" s="218">
        <v>-2.0254818686703331</v>
      </c>
      <c r="I123" s="218">
        <v>0.71871937275402686</v>
      </c>
      <c r="J123" s="218">
        <v>1.3721006207122315</v>
      </c>
      <c r="K123" s="219">
        <v>-5.1617118588696869</v>
      </c>
      <c r="L123" s="218">
        <v>3.0708918654034854</v>
      </c>
      <c r="M123" s="218">
        <v>2.7442012414243813</v>
      </c>
      <c r="N123" s="218">
        <v>8.4939562234564185</v>
      </c>
      <c r="O123" s="219">
        <v>4.5737487357072801</v>
      </c>
      <c r="P123" s="218">
        <v>-4.5999999999999996</v>
      </c>
      <c r="Q123" s="218">
        <v>-15.5</v>
      </c>
      <c r="R123" s="218">
        <v>6.6</v>
      </c>
      <c r="S123" s="219"/>
      <c r="T123" s="218">
        <v>-22.8</v>
      </c>
      <c r="U123" s="218">
        <v>-44.5</v>
      </c>
      <c r="V123" s="218"/>
      <c r="W123" s="219"/>
      <c r="X123" s="218"/>
      <c r="Y123" s="218">
        <f>3.7-X123</f>
        <v>3.7</v>
      </c>
      <c r="Z123" s="218">
        <f>0-SUM(X123:Y123)</f>
        <v>-3.7</v>
      </c>
      <c r="AA123" s="219">
        <f>-43.5-SUM(X123:Z123)</f>
        <v>-43.5</v>
      </c>
      <c r="AB123" s="218">
        <v>-0.5</v>
      </c>
      <c r="AC123" s="218">
        <f>8.8-AB123</f>
        <v>9.3000000000000007</v>
      </c>
      <c r="AD123" s="218">
        <f>4.9-SUM(AB123:AC123)</f>
        <v>-3.9000000000000004</v>
      </c>
      <c r="AE123" s="219">
        <f>-13.6-SUM(AB123:AD123)</f>
        <v>-18.5</v>
      </c>
      <c r="AF123" s="218">
        <v>-0.1</v>
      </c>
      <c r="AG123" s="218">
        <f>-1.5-AF123</f>
        <v>-1.4</v>
      </c>
      <c r="AH123" s="218">
        <f>7.5-SUM(AF123:AG123)</f>
        <v>9</v>
      </c>
      <c r="AI123" s="219">
        <f>-1.5-SUM(AF123:AH123)</f>
        <v>-9</v>
      </c>
      <c r="AJ123" s="218">
        <v>7.2</v>
      </c>
      <c r="AK123" s="218">
        <f>23.9-AJ123</f>
        <v>16.7</v>
      </c>
      <c r="AL123" s="218">
        <f>12.3-SUM(AJ123:AK123)</f>
        <v>-11.599999999999998</v>
      </c>
      <c r="AM123" s="219">
        <f>59.7-SUM(AJ123:AL123)</f>
        <v>47.400000000000006</v>
      </c>
      <c r="AN123" s="218">
        <v>26</v>
      </c>
      <c r="AO123" s="218">
        <f>44.1-AN123</f>
        <v>18.100000000000001</v>
      </c>
      <c r="AP123" s="218">
        <f>27.9-SUM(AN123:AO123)</f>
        <v>-16.200000000000003</v>
      </c>
      <c r="AQ123" s="219">
        <f>62.2-8.6-SUM(AN123:AP123)</f>
        <v>25.700000000000003</v>
      </c>
      <c r="AR123" s="218">
        <v>22.3</v>
      </c>
      <c r="AS123" s="218">
        <f>33.6-AR123</f>
        <v>11.3</v>
      </c>
      <c r="AT123" s="218">
        <f>20.5-SUM(AR123:AS123)</f>
        <v>-13.100000000000001</v>
      </c>
      <c r="AU123" s="219">
        <f>54.8-2.6-SUM(AR123:AT123)</f>
        <v>31.699999999999996</v>
      </c>
      <c r="AV123" s="218">
        <v>-0.9</v>
      </c>
      <c r="AW123" s="218">
        <f>41.4-AV123</f>
        <v>42.3</v>
      </c>
      <c r="AX123" s="218">
        <f>41-AW123-AV123</f>
        <v>-0.39999999999999714</v>
      </c>
      <c r="AY123" s="219">
        <f>51.4+34.3-SUM(AV123:AX123)</f>
        <v>44.699999999999989</v>
      </c>
      <c r="AZ123" s="218">
        <f>-2.9-4.3</f>
        <v>-7.1999999999999993</v>
      </c>
      <c r="BA123" s="218">
        <f>-2.9-3.7-AZ123</f>
        <v>0.59999999999999964</v>
      </c>
      <c r="BB123" s="218">
        <f>-2.9+16.1-SUM(AZ123:BA123)</f>
        <v>19.8</v>
      </c>
      <c r="BC123" s="219">
        <f>47.9-16.2+31.7+47.3+6-19.7-SUM(AZ123:BB123)</f>
        <v>83.799999999999983</v>
      </c>
      <c r="BD123" s="218">
        <v>-26.3</v>
      </c>
      <c r="BE123" s="218">
        <f>-17.5-BD123</f>
        <v>8.8000000000000007</v>
      </c>
      <c r="BF123" s="218">
        <f>-0.3-SUM(BD123:BE123)</f>
        <v>17.2</v>
      </c>
      <c r="BG123" s="219">
        <f>45.5+12.6+85.3+24.4-33.8-SUM(BD123:BF123)</f>
        <v>134.30000000000001</v>
      </c>
      <c r="BH123" s="218">
        <f>5.9-4</f>
        <v>1.9000000000000004</v>
      </c>
      <c r="BI123" s="218">
        <f>1-BH123</f>
        <v>-0.90000000000000036</v>
      </c>
      <c r="BJ123" s="218">
        <f>33.8-SUM(BH123:BI123)</f>
        <v>32.799999999999997</v>
      </c>
      <c r="BK123" s="219">
        <f>37.2-7.5+19.2-23+0.2+29.4-SUM(BH123:BJ123)</f>
        <v>21.700000000000003</v>
      </c>
      <c r="BL123" s="218">
        <v>46.2</v>
      </c>
      <c r="BM123" s="218">
        <f>81.2-BL123</f>
        <v>35</v>
      </c>
      <c r="BN123" s="218">
        <f>6.2-SUM(BL123:BM123)</f>
        <v>-75</v>
      </c>
      <c r="BO123" s="219">
        <f>23.6+13.9-1.7-4.6+8+7.3-35.9-75+5.6-SUM(BL123:BN123)-1.9+64</f>
        <v>-2.9000000000000057</v>
      </c>
      <c r="BP123" s="218">
        <v>4.0999999999999996</v>
      </c>
      <c r="BQ123" s="218">
        <f>-48.4-BP123</f>
        <v>-52.5</v>
      </c>
      <c r="BR123" s="218">
        <f>-76.9-SUM(BP123:BQ123)</f>
        <v>-28.500000000000007</v>
      </c>
      <c r="BS123" s="219">
        <f>-37.2+11.8+7.2-10.9+22.9-53.4-26.9+3.5-SUM(BP123:BR123)</f>
        <v>-6.0999999999999943</v>
      </c>
      <c r="BT123" s="218">
        <v>3.9</v>
      </c>
      <c r="BU123" s="218">
        <f>206.7-BU129-SUM(BU116:BU122)</f>
        <v>-1.3000000000003524</v>
      </c>
      <c r="BV123" s="218">
        <f>22.6-SUM(BT123:BU123)</f>
        <v>20.000000000000355</v>
      </c>
      <c r="BW123" s="219">
        <f>-23.5-55.8+34.6+10.7+21.3+1.8-SUM(BT123:BV123)</f>
        <v>-33.5</v>
      </c>
      <c r="BX123" s="218">
        <v>2.1</v>
      </c>
      <c r="BY123" s="218">
        <f>-11.6-BX123</f>
        <v>-13.7</v>
      </c>
      <c r="BZ123" s="218">
        <f>-6.3-BX123-BY123</f>
        <v>5.2999999999999989</v>
      </c>
      <c r="CA123" s="219">
        <f>(-30.3+3.7+6.5-693.7+39.8-22.8-20.3-24.3)-((BX123+BY123+BZ123))</f>
        <v>-735.1</v>
      </c>
      <c r="CB123" s="218">
        <v>20.100000000000001</v>
      </c>
      <c r="CC123" s="218">
        <f>19.7-(CB123)</f>
        <v>-0.40000000000000213</v>
      </c>
      <c r="CD123" s="218">
        <f>20.3-((CB123+CC123))</f>
        <v>0.60000000000000142</v>
      </c>
      <c r="CE123" s="219">
        <f>820.1-SUM(CB116:CE122)-SUM(CB123:CD123)-SUM(CB129:CE129)</f>
        <v>180.60000000000005</v>
      </c>
      <c r="CF123" s="218">
        <v>21.2</v>
      </c>
      <c r="CG123" s="218">
        <f>44-CF123</f>
        <v>22.8</v>
      </c>
      <c r="CH123" s="218">
        <f>70.9-((CF123+CG123))</f>
        <v>26.900000000000006</v>
      </c>
      <c r="CI123" s="219">
        <f>927.8-SUM(CF116:CI122)-SUM(CF123:CH123)-SUM(CF129:CI129)</f>
        <v>-23.699999999999989</v>
      </c>
      <c r="CJ123" s="218">
        <v>44.2</v>
      </c>
      <c r="CK123" s="218">
        <f>68.8-CJ123</f>
        <v>24.599999999999994</v>
      </c>
      <c r="CL123" s="218">
        <f>83.3-((CJ123+CK123))</f>
        <v>14.5</v>
      </c>
      <c r="CM123" s="219">
        <f>1271.1-SUM(CJ116:CM122)-SUM(CJ123:CL123)-SUM(CJ129:CM129)</f>
        <v>43.99999999999973</v>
      </c>
      <c r="CN123" s="218">
        <v>8.1999999999999993</v>
      </c>
      <c r="CO123" s="218">
        <f>6.4-CN123</f>
        <v>-1.7999999999999989</v>
      </c>
      <c r="CP123" s="218">
        <f>13.4-CO123-CN123</f>
        <v>7</v>
      </c>
      <c r="CQ123" s="219">
        <f>1619.3-SUM(CN116:CQ122)-SUM(CN123:CP123)-SUM(CN129:CQ129)</f>
        <v>115.99999999999977</v>
      </c>
      <c r="CR123" s="218">
        <v>1.4</v>
      </c>
      <c r="CS123" s="218">
        <f>-13.6-CR123</f>
        <v>-15</v>
      </c>
      <c r="CT123" s="218">
        <f>-42.2+21.2-CS123-CR123</f>
        <v>-7.4000000000000039</v>
      </c>
      <c r="CU123" s="219">
        <f ca="1">CU131-CU116-CU117-CU118-CU125-CU126-CU127-CU128</f>
        <v>84.099999999999596</v>
      </c>
      <c r="CV123" s="197"/>
      <c r="CW123" s="197"/>
      <c r="CX123" s="197"/>
      <c r="CY123" s="198"/>
      <c r="DA123" s="212">
        <f>SUM(D123:G123)</f>
        <v>24.763149297615172</v>
      </c>
      <c r="DB123" s="212">
        <f>SUM(H123:K123)</f>
        <v>-5.0963737340737616</v>
      </c>
      <c r="DC123" s="212">
        <f>SUM(L123:O123)</f>
        <v>18.882798065991565</v>
      </c>
      <c r="DD123" s="212">
        <f>SUM(P123:S123)</f>
        <v>-13.500000000000002</v>
      </c>
      <c r="DE123" s="212">
        <f>SUM(T123:W123)</f>
        <v>-67.3</v>
      </c>
      <c r="DF123" s="212">
        <f>SUM(X123:AA123)</f>
        <v>-43.5</v>
      </c>
      <c r="DG123" s="212">
        <f>SUM(AB123:AE123)</f>
        <v>-13.6</v>
      </c>
      <c r="DH123" s="212">
        <f>SUM(AF123:AI123)</f>
        <v>-1.5</v>
      </c>
      <c r="DI123" s="212">
        <f>SUM(AJ123:AM123)</f>
        <v>59.7</v>
      </c>
      <c r="DJ123" s="212">
        <f t="shared" si="282"/>
        <v>53.6</v>
      </c>
      <c r="DK123" s="212">
        <f t="shared" si="283"/>
        <v>52.199999999999996</v>
      </c>
      <c r="DL123" s="212">
        <f t="shared" si="284"/>
        <v>85.699999999999989</v>
      </c>
      <c r="DM123" s="212">
        <f t="shared" si="285"/>
        <v>96.999999999999986</v>
      </c>
      <c r="DN123" s="212">
        <f t="shared" si="286"/>
        <v>134</v>
      </c>
      <c r="DO123" s="212">
        <f t="shared" si="287"/>
        <v>55.5</v>
      </c>
      <c r="DP123" s="212">
        <f t="shared" si="288"/>
        <v>3.2999999999999972</v>
      </c>
      <c r="DQ123" s="212">
        <f>SUM(BP123:BS123)</f>
        <v>-83</v>
      </c>
      <c r="DR123" s="212">
        <f>SUM(BT123:BW123)</f>
        <v>-10.899999999999999</v>
      </c>
      <c r="DS123" s="212">
        <f>SUM(BX123:CA123)</f>
        <v>-741.4</v>
      </c>
      <c r="DT123" s="212">
        <f>SUM(CB123:CE123)</f>
        <v>200.90000000000006</v>
      </c>
      <c r="DU123" s="212">
        <f>SUM(CF123:CI123)</f>
        <v>47.200000000000017</v>
      </c>
      <c r="DV123" s="212">
        <f>SUM(CJ123:CM123)</f>
        <v>127.29999999999973</v>
      </c>
      <c r="DW123" s="212">
        <f>SUM(CN123:CQ123)</f>
        <v>129.39999999999978</v>
      </c>
      <c r="DX123" s="354">
        <f ca="1">SUM(CR123:CU123)</f>
        <v>63.099999999999596</v>
      </c>
      <c r="DY123" s="354">
        <f t="shared" si="289"/>
        <v>0</v>
      </c>
      <c r="DZ123" s="354"/>
      <c r="EA123" s="212"/>
      <c r="EB123" s="212"/>
      <c r="EC123" s="212"/>
      <c r="ED123" s="212"/>
      <c r="EE123" s="199"/>
      <c r="EF123"/>
      <c r="EG123"/>
      <c r="EH123"/>
      <c r="EI123"/>
      <c r="EJ123"/>
      <c r="EK123"/>
    </row>
    <row r="124" spans="1:141" s="138" customFormat="1">
      <c r="A124" s="193"/>
      <c r="D124" s="217"/>
      <c r="E124" s="218"/>
      <c r="F124" s="218"/>
      <c r="G124" s="219"/>
      <c r="H124" s="218"/>
      <c r="I124" s="218"/>
      <c r="J124" s="218"/>
      <c r="K124" s="219"/>
      <c r="L124" s="218"/>
      <c r="M124" s="218"/>
      <c r="N124" s="218"/>
      <c r="O124" s="219"/>
      <c r="P124" s="218"/>
      <c r="Q124" s="218"/>
      <c r="R124" s="218"/>
      <c r="S124" s="219"/>
      <c r="T124" s="218"/>
      <c r="U124" s="218"/>
      <c r="V124" s="218"/>
      <c r="W124" s="219"/>
      <c r="X124" s="218"/>
      <c r="Y124" s="218"/>
      <c r="Z124" s="218"/>
      <c r="AA124" s="219"/>
      <c r="AB124" s="218"/>
      <c r="AC124" s="218"/>
      <c r="AD124" s="218"/>
      <c r="AE124" s="219"/>
      <c r="AF124" s="218"/>
      <c r="AG124" s="218"/>
      <c r="AH124" s="218"/>
      <c r="AI124" s="219"/>
      <c r="AJ124" s="218"/>
      <c r="AK124" s="218"/>
      <c r="AL124" s="218"/>
      <c r="AM124" s="219"/>
      <c r="AN124" s="218"/>
      <c r="AO124" s="218"/>
      <c r="AP124" s="218"/>
      <c r="AQ124" s="219"/>
      <c r="AR124" s="218"/>
      <c r="AS124" s="218"/>
      <c r="AT124" s="218"/>
      <c r="AU124" s="219"/>
      <c r="AV124" s="218"/>
      <c r="AW124" s="218"/>
      <c r="AX124" s="218"/>
      <c r="AY124" s="219"/>
      <c r="AZ124" s="218"/>
      <c r="BA124" s="218"/>
      <c r="BB124" s="218"/>
      <c r="BC124" s="219"/>
      <c r="BD124" s="218"/>
      <c r="BE124" s="218"/>
      <c r="BF124" s="218"/>
      <c r="BG124" s="219"/>
      <c r="BH124" s="218"/>
      <c r="BI124" s="218"/>
      <c r="BJ124" s="218"/>
      <c r="BK124" s="219"/>
      <c r="BL124" s="218"/>
      <c r="BM124" s="218"/>
      <c r="BN124" s="218"/>
      <c r="BO124" s="219"/>
      <c r="BP124" s="218"/>
      <c r="BQ124" s="218"/>
      <c r="BR124" s="218"/>
      <c r="BS124" s="219"/>
      <c r="BT124" s="218"/>
      <c r="BU124" s="218"/>
      <c r="BV124" s="218"/>
      <c r="BW124" s="219"/>
      <c r="BX124" s="218"/>
      <c r="BY124" s="218"/>
      <c r="BZ124" s="218"/>
      <c r="CA124" s="219"/>
      <c r="CB124" s="218"/>
      <c r="CC124" s="218"/>
      <c r="CD124" s="218"/>
      <c r="CE124" s="219"/>
      <c r="CF124" s="218"/>
      <c r="CG124" s="218"/>
      <c r="CH124" s="218"/>
      <c r="CI124" s="219"/>
      <c r="CJ124" s="218"/>
      <c r="CK124" s="218"/>
      <c r="CL124" s="218"/>
      <c r="CM124" s="219"/>
      <c r="CN124" s="218"/>
      <c r="CO124" s="218"/>
      <c r="CP124" s="218"/>
      <c r="CQ124" s="219"/>
      <c r="CR124" s="218"/>
      <c r="CS124" s="218"/>
      <c r="CT124" s="218"/>
      <c r="CU124" s="198"/>
      <c r="CV124" s="197"/>
      <c r="CW124" s="197"/>
      <c r="CX124" s="197"/>
      <c r="CY124" s="198"/>
      <c r="DA124" s="212"/>
      <c r="DB124" s="212"/>
      <c r="DC124" s="212"/>
      <c r="DD124" s="212"/>
      <c r="DE124" s="212"/>
      <c r="DF124" s="212"/>
      <c r="DG124" s="212"/>
      <c r="DH124" s="212"/>
      <c r="DI124" s="212"/>
      <c r="DJ124" s="212"/>
      <c r="DK124" s="212"/>
      <c r="DL124" s="212"/>
      <c r="DM124" s="212"/>
      <c r="DN124" s="212"/>
      <c r="DO124" s="212"/>
      <c r="DP124" s="212"/>
      <c r="DQ124" s="212"/>
      <c r="DR124" s="212"/>
      <c r="DS124" s="212"/>
      <c r="DT124" s="212"/>
      <c r="DU124" s="212"/>
      <c r="DV124" s="212"/>
      <c r="DW124" s="212"/>
      <c r="DX124" s="354"/>
      <c r="DY124" s="354"/>
      <c r="DZ124" s="354"/>
      <c r="EA124" s="212"/>
      <c r="EB124" s="212"/>
      <c r="EC124" s="212"/>
      <c r="ED124" s="212"/>
      <c r="EE124" s="199"/>
      <c r="EF124"/>
      <c r="EG124"/>
      <c r="EH124"/>
      <c r="EI124"/>
      <c r="EJ124"/>
      <c r="EK124"/>
    </row>
    <row r="125" spans="1:141" s="138" customFormat="1">
      <c r="A125" s="193"/>
      <c r="B125" s="507" t="s">
        <v>254</v>
      </c>
      <c r="D125" s="217"/>
      <c r="E125" s="218"/>
      <c r="F125" s="218"/>
      <c r="G125" s="290"/>
      <c r="H125" s="218"/>
      <c r="I125" s="218"/>
      <c r="J125" s="218"/>
      <c r="K125" s="290"/>
      <c r="L125" s="218"/>
      <c r="M125" s="218"/>
      <c r="N125" s="218"/>
      <c r="O125" s="290"/>
      <c r="P125" s="218"/>
      <c r="Q125" s="218"/>
      <c r="R125" s="218"/>
      <c r="S125" s="290"/>
      <c r="T125" s="218"/>
      <c r="U125" s="218"/>
      <c r="V125" s="218"/>
      <c r="W125" s="290"/>
      <c r="X125" s="218">
        <v>-134.9</v>
      </c>
      <c r="Y125" s="218">
        <f>-234.2-X125</f>
        <v>-99.299999999999983</v>
      </c>
      <c r="Z125" s="218">
        <f>-231.1-SUM(X125:Y125)</f>
        <v>3.0999999999999943</v>
      </c>
      <c r="AA125" s="290">
        <f>-91.9-SUM(X125:Z125)</f>
        <v>139.19999999999999</v>
      </c>
      <c r="AB125" s="218">
        <v>-390.9</v>
      </c>
      <c r="AC125" s="218">
        <f>-319.7-AB125</f>
        <v>71.199999999999989</v>
      </c>
      <c r="AD125" s="218">
        <f>-132.1-SUM(AB125:AC125)</f>
        <v>187.6</v>
      </c>
      <c r="AE125" s="290">
        <f>136.2-SUM(AB125:AD125)</f>
        <v>268.29999999999995</v>
      </c>
      <c r="AF125" s="218">
        <v>-320.39999999999998</v>
      </c>
      <c r="AG125" s="218">
        <f>-368.1-AF125</f>
        <v>-47.700000000000045</v>
      </c>
      <c r="AH125" s="218">
        <f>-211.8-SUM(AF125:AG125)</f>
        <v>156.30000000000001</v>
      </c>
      <c r="AI125" s="290">
        <f>-57.5-SUM(AF125:AH125)</f>
        <v>154.30000000000001</v>
      </c>
      <c r="AJ125" s="218">
        <v>-294.60000000000002</v>
      </c>
      <c r="AK125" s="218">
        <f>-330.7-AJ125</f>
        <v>-36.099999999999966</v>
      </c>
      <c r="AL125" s="218">
        <f>-300.7-SUM(AJ125:AK125)</f>
        <v>30</v>
      </c>
      <c r="AM125" s="290">
        <f>118-SUM(AJ125:AL125)</f>
        <v>418.7</v>
      </c>
      <c r="AN125" s="218">
        <v>-461.7</v>
      </c>
      <c r="AO125" s="218">
        <f>-552.3-AN125</f>
        <v>-90.599999999999966</v>
      </c>
      <c r="AP125" s="218">
        <f>-454.5-SUM(AN125:AO125)</f>
        <v>97.799999999999955</v>
      </c>
      <c r="AQ125" s="290">
        <f>-196.5-SUM(AN125:AP125)</f>
        <v>258</v>
      </c>
      <c r="AR125" s="218">
        <v>-400.1</v>
      </c>
      <c r="AS125" s="218">
        <f>-279.4-AR125</f>
        <v>120.70000000000005</v>
      </c>
      <c r="AT125" s="218">
        <f>-222-SUM(AR125:AS125)</f>
        <v>57.399999999999977</v>
      </c>
      <c r="AU125" s="290">
        <f>-147.7-SUM(AR125:AT125)</f>
        <v>74.300000000000011</v>
      </c>
      <c r="AV125" s="218">
        <v>-1.4</v>
      </c>
      <c r="AW125" s="218">
        <f>-84.8-AV125</f>
        <v>-83.399999999999991</v>
      </c>
      <c r="AX125" s="218">
        <f>-548.3-SUM(AV125:AW125)</f>
        <v>-463.49999999999994</v>
      </c>
      <c r="AY125" s="290">
        <f>-250.3-SUM(AV125:AX125)</f>
        <v>297.99999999999994</v>
      </c>
      <c r="AZ125" s="218">
        <v>-428.2</v>
      </c>
      <c r="BA125" s="218">
        <f>-386.8-AZ125</f>
        <v>41.399999999999977</v>
      </c>
      <c r="BB125" s="218">
        <f>-147.5-SUM(AZ125:BA125)</f>
        <v>239.3</v>
      </c>
      <c r="BC125" s="290">
        <f>153.2-SUM(AZ125:BB125)</f>
        <v>300.7</v>
      </c>
      <c r="BD125" s="218">
        <v>-434.2</v>
      </c>
      <c r="BE125" s="218">
        <f>-577.2-BD125</f>
        <v>-143.00000000000006</v>
      </c>
      <c r="BF125" s="218">
        <f>-338.2-SUM(BD125:BE125)</f>
        <v>239.00000000000006</v>
      </c>
      <c r="BG125" s="290">
        <f>78.9-SUM(BD125:BF125)</f>
        <v>417.1</v>
      </c>
      <c r="BH125" s="218">
        <v>-262.10000000000002</v>
      </c>
      <c r="BI125" s="218">
        <f>-272.8-BH125</f>
        <v>-10.699999999999989</v>
      </c>
      <c r="BJ125" s="218">
        <f>99.8-SUM(BH125:BI125)</f>
        <v>372.6</v>
      </c>
      <c r="BK125" s="290">
        <f>867.6-SUM(BH125:BJ125)</f>
        <v>767.8</v>
      </c>
      <c r="BL125" s="218">
        <v>-22.2</v>
      </c>
      <c r="BM125" s="218">
        <f>-41.9-BL125</f>
        <v>-19.7</v>
      </c>
      <c r="BN125" s="218">
        <f>-251.4-SUM(BL125:BM125)</f>
        <v>-209.5</v>
      </c>
      <c r="BO125" s="290">
        <f>337-426-SUM(BL125:BN125)</f>
        <v>162.4</v>
      </c>
      <c r="BP125" s="218">
        <v>-418.3</v>
      </c>
      <c r="BQ125" s="218">
        <f>BP60-BQ60</f>
        <v>-13.799999999999955</v>
      </c>
      <c r="BR125" s="218">
        <f>-442.1-SUM(BP125:BQ125)</f>
        <v>-10.000000000000057</v>
      </c>
      <c r="BS125" s="290">
        <f>-291.3-SUM(BP125:BR125)</f>
        <v>150.80000000000001</v>
      </c>
      <c r="BT125" s="218">
        <v>-448.4</v>
      </c>
      <c r="BU125" s="218">
        <f>-450.8-BT125</f>
        <v>-2.4000000000000341</v>
      </c>
      <c r="BV125" s="218">
        <f>-342.6-SUM(BT125:BU125)</f>
        <v>108.19999999999999</v>
      </c>
      <c r="BW125" s="290">
        <f>-165.8-SUM(BT125:BV125)</f>
        <v>176.8</v>
      </c>
      <c r="BX125" s="218">
        <v>-456.8</v>
      </c>
      <c r="BY125" s="218">
        <f>-399.2-BX125</f>
        <v>57.600000000000023</v>
      </c>
      <c r="BZ125" s="218">
        <f>-276.8-BX125-BY125</f>
        <v>122.39999999999998</v>
      </c>
      <c r="CA125" s="290">
        <f>-111.5-((BX125+BY125+BZ125))</f>
        <v>165.3</v>
      </c>
      <c r="CB125" s="218">
        <v>-432.4</v>
      </c>
      <c r="CC125" s="218">
        <f>-474.5-(CB125)</f>
        <v>-42.100000000000023</v>
      </c>
      <c r="CD125" s="218">
        <f>-567.3-((CB125+CC125))</f>
        <v>-92.799999999999955</v>
      </c>
      <c r="CE125" s="290">
        <f>-239.6-CD125-CC125-CB125</f>
        <v>327.69999999999993</v>
      </c>
      <c r="CF125" s="218">
        <v>-754.5</v>
      </c>
      <c r="CG125" s="218">
        <f>-793.9-CF125</f>
        <v>-39.399999999999977</v>
      </c>
      <c r="CH125" s="218">
        <f>-652.7-((CF125+CG125))</f>
        <v>141.19999999999993</v>
      </c>
      <c r="CI125" s="290">
        <f>-358.7-CH125-CG125-CF125</f>
        <v>294.00000000000006</v>
      </c>
      <c r="CJ125" s="218">
        <v>-677.1</v>
      </c>
      <c r="CK125" s="218">
        <f>-578-CJ125</f>
        <v>99.100000000000023</v>
      </c>
      <c r="CL125" s="218">
        <f>-480.4-((CJ125+CK125))</f>
        <v>97.600000000000023</v>
      </c>
      <c r="CM125" s="290">
        <f>-173.4-CL125-CK125-CJ125</f>
        <v>307</v>
      </c>
      <c r="CN125" s="218">
        <v>-410.5</v>
      </c>
      <c r="CO125" s="218">
        <f>-327.2-CN125</f>
        <v>83.300000000000011</v>
      </c>
      <c r="CP125" s="218">
        <f>-440.2-CO125-CN125</f>
        <v>-113</v>
      </c>
      <c r="CQ125" s="290">
        <f>-176.3-CP125-CO125-CN125</f>
        <v>263.89999999999998</v>
      </c>
      <c r="CR125" s="218">
        <v>-526.6</v>
      </c>
      <c r="CS125" s="218">
        <f>-414.7-CR125</f>
        <v>111.90000000000003</v>
      </c>
      <c r="CT125" s="218">
        <f>-280.6-CS125-CR125</f>
        <v>134.09999999999997</v>
      </c>
      <c r="CU125" s="198">
        <f t="shared" ref="CU125:CY126" si="292">CT60-CU60</f>
        <v>127.09999999999991</v>
      </c>
      <c r="CV125" s="197">
        <f t="shared" si="292"/>
        <v>-534.01584295939756</v>
      </c>
      <c r="CW125" s="197">
        <f t="shared" si="292"/>
        <v>26.407080488660085</v>
      </c>
      <c r="CX125" s="197">
        <f t="shared" si="292"/>
        <v>56.910880284573523</v>
      </c>
      <c r="CY125" s="198">
        <f t="shared" si="292"/>
        <v>154.90785720272606</v>
      </c>
      <c r="DA125" s="212"/>
      <c r="DB125" s="212"/>
      <c r="DC125" s="212"/>
      <c r="DD125" s="212"/>
      <c r="DE125" s="212"/>
      <c r="DF125" s="212">
        <f>SUM(X125:AA125)</f>
        <v>-91.9</v>
      </c>
      <c r="DG125" s="212">
        <f>SUM(AB125:AE125)</f>
        <v>136.19999999999996</v>
      </c>
      <c r="DH125" s="212">
        <f>SUM(AF125:AI125)</f>
        <v>-57.5</v>
      </c>
      <c r="DI125" s="212">
        <f>SUM(AJ125:AM125)</f>
        <v>118</v>
      </c>
      <c r="DJ125" s="212">
        <f>SUM(AN125:AQ125)</f>
        <v>-196.5</v>
      </c>
      <c r="DK125" s="212">
        <f>SUM(AR125:AU125)</f>
        <v>-147.69999999999999</v>
      </c>
      <c r="DL125" s="212">
        <f>SUM(AV125:AY125)</f>
        <v>-250.3</v>
      </c>
      <c r="DM125" s="212">
        <f>SUM(AZ125:BC125)</f>
        <v>153.19999999999999</v>
      </c>
      <c r="DN125" s="212">
        <f>SUM(BD125:BG125)</f>
        <v>78.900000000000034</v>
      </c>
      <c r="DO125" s="212">
        <f>SUM(BH125:BK125)</f>
        <v>867.59999999999991</v>
      </c>
      <c r="DP125" s="212">
        <f>SUM(BL125:BO125)</f>
        <v>-89</v>
      </c>
      <c r="DQ125" s="212">
        <f>SUM(BP125:BS125)</f>
        <v>-291.3</v>
      </c>
      <c r="DR125" s="212">
        <f>SUM(BT125:BW125)</f>
        <v>-165.8</v>
      </c>
      <c r="DS125" s="212">
        <f>SUM(BX125:CA125)</f>
        <v>-111.5</v>
      </c>
      <c r="DT125" s="212">
        <f>SUM(CB125:CE125)</f>
        <v>-239.60000000000002</v>
      </c>
      <c r="DU125" s="212">
        <f>SUM(CF125:CI125)</f>
        <v>-358.7</v>
      </c>
      <c r="DV125" s="212">
        <f>SUM(CJ125:CM125)</f>
        <v>-173.39999999999998</v>
      </c>
      <c r="DW125" s="212">
        <f>SUM(CN125:CQ125)</f>
        <v>-176.3</v>
      </c>
      <c r="DX125" s="354">
        <f>SUM(CR125:CU125)</f>
        <v>-153.50000000000011</v>
      </c>
      <c r="DY125" s="354">
        <f t="shared" si="289"/>
        <v>-295.79002498343789</v>
      </c>
      <c r="DZ125" s="354">
        <f t="shared" ref="DZ125:ED126" si="293">DY60-DZ60</f>
        <v>-281.92485913898918</v>
      </c>
      <c r="EA125" s="212">
        <f t="shared" si="293"/>
        <v>-259.10447358499778</v>
      </c>
      <c r="EB125" s="212">
        <f t="shared" si="293"/>
        <v>-258.81823313810901</v>
      </c>
      <c r="EC125" s="212">
        <f t="shared" si="293"/>
        <v>-226.0333935382514</v>
      </c>
      <c r="ED125" s="212">
        <f t="shared" si="293"/>
        <v>-179.58866443873285</v>
      </c>
      <c r="EE125" s="199"/>
      <c r="EF125"/>
      <c r="EG125"/>
      <c r="EH125"/>
      <c r="EI125"/>
      <c r="EJ125"/>
      <c r="EK125"/>
    </row>
    <row r="126" spans="1:141" s="137" customFormat="1">
      <c r="A126" s="193"/>
      <c r="B126" s="507" t="s">
        <v>164</v>
      </c>
      <c r="C126" s="138"/>
      <c r="D126" s="217"/>
      <c r="E126" s="218"/>
      <c r="F126" s="218"/>
      <c r="G126" s="219"/>
      <c r="H126" s="218"/>
      <c r="I126" s="218"/>
      <c r="J126" s="218"/>
      <c r="K126" s="219"/>
      <c r="L126" s="218"/>
      <c r="M126" s="218"/>
      <c r="N126" s="218"/>
      <c r="O126" s="219"/>
      <c r="P126" s="218"/>
      <c r="Q126" s="218"/>
      <c r="R126" s="218"/>
      <c r="S126" s="219"/>
      <c r="T126" s="218"/>
      <c r="U126" s="218"/>
      <c r="V126" s="218"/>
      <c r="W126" s="219"/>
      <c r="X126" s="218">
        <v>27.2</v>
      </c>
      <c r="Y126" s="218">
        <f>11.1-X126</f>
        <v>-16.100000000000001</v>
      </c>
      <c r="Z126" s="218">
        <f>-71.2-SUM(X126:Y126)</f>
        <v>-82.3</v>
      </c>
      <c r="AA126" s="219">
        <f>-57.2-SUM(X126:Z126)</f>
        <v>14</v>
      </c>
      <c r="AB126" s="218">
        <v>18.600000000000001</v>
      </c>
      <c r="AC126" s="218">
        <f>57-AB126</f>
        <v>38.4</v>
      </c>
      <c r="AD126" s="218">
        <f>-4.9-SUM(AB126:AC126)</f>
        <v>-61.9</v>
      </c>
      <c r="AE126" s="219">
        <f>0.8-SUM(AB126:AD126)</f>
        <v>5.6999999999999984</v>
      </c>
      <c r="AF126" s="218">
        <v>75.400000000000006</v>
      </c>
      <c r="AG126" s="218">
        <f>100.4-AF126</f>
        <v>25</v>
      </c>
      <c r="AH126" s="218">
        <f>51.3-SUM(AF126:AG126)</f>
        <v>-49.100000000000009</v>
      </c>
      <c r="AI126" s="219">
        <f>76-SUM(AF126:AH126)</f>
        <v>24.700000000000003</v>
      </c>
      <c r="AJ126" s="218">
        <v>-9.3000000000000007</v>
      </c>
      <c r="AK126" s="218">
        <f>5.4-AJ126</f>
        <v>14.700000000000001</v>
      </c>
      <c r="AL126" s="218">
        <f>-55.1-SUM(AJ126:AK126)</f>
        <v>-60.5</v>
      </c>
      <c r="AM126" s="219">
        <f>-34.2-SUM(AJ126:AL126)</f>
        <v>20.9</v>
      </c>
      <c r="AN126" s="218">
        <v>1.5</v>
      </c>
      <c r="AO126" s="218">
        <f>23.7-AN126</f>
        <v>22.2</v>
      </c>
      <c r="AP126" s="218">
        <f>-4.3-SUM(AN126:AO126)</f>
        <v>-28</v>
      </c>
      <c r="AQ126" s="219">
        <f>-27.4-SUM(AN126:AP126)</f>
        <v>-23.099999999999998</v>
      </c>
      <c r="AR126" s="218">
        <v>-3.1</v>
      </c>
      <c r="AS126" s="218">
        <f>-14.1-AR126</f>
        <v>-11</v>
      </c>
      <c r="AT126" s="218">
        <f>-89.7-SUM(AR126:AS126)</f>
        <v>-75.600000000000009</v>
      </c>
      <c r="AU126" s="219">
        <f>-7-SUM(AR126:AT126)</f>
        <v>82.7</v>
      </c>
      <c r="AV126" s="218">
        <v>-7</v>
      </c>
      <c r="AW126" s="218">
        <f>18.5-AV126</f>
        <v>25.5</v>
      </c>
      <c r="AX126" s="218">
        <f>-86.8-SUM(AV126:AW126)</f>
        <v>-105.3</v>
      </c>
      <c r="AY126" s="219">
        <f>-76.9-SUM(AV126:AX126)</f>
        <v>9.8999999999999915</v>
      </c>
      <c r="AZ126" s="218">
        <v>14</v>
      </c>
      <c r="BA126" s="218">
        <f>-1.6-AZ126</f>
        <v>-15.6</v>
      </c>
      <c r="BB126" s="218">
        <f>-51.7-SUM(AZ126:BA126)</f>
        <v>-50.1</v>
      </c>
      <c r="BC126" s="219">
        <f>29.4-SUM(AZ126:BB126)</f>
        <v>81.099999999999994</v>
      </c>
      <c r="BD126" s="218">
        <v>-20.6</v>
      </c>
      <c r="BE126" s="218">
        <f>10.7-BD126</f>
        <v>31.3</v>
      </c>
      <c r="BF126" s="218">
        <f>-44.8-SUM(BD126:BE126)</f>
        <v>-55.5</v>
      </c>
      <c r="BG126" s="219">
        <f>-6.9-SUM(BD126:BF126)</f>
        <v>37.9</v>
      </c>
      <c r="BH126" s="218">
        <v>-46.8</v>
      </c>
      <c r="BI126" s="218">
        <f>-63.8-BH126</f>
        <v>-17</v>
      </c>
      <c r="BJ126" s="218">
        <f>-74-SUM(BH126:BI126)</f>
        <v>-10.200000000000003</v>
      </c>
      <c r="BK126" s="219">
        <f>55.6-SUM(BH126:BJ126)</f>
        <v>129.6</v>
      </c>
      <c r="BL126" s="218">
        <v>58.7</v>
      </c>
      <c r="BM126" s="218">
        <f>92.3-BL126</f>
        <v>33.599999999999994</v>
      </c>
      <c r="BN126" s="218">
        <f>80.8-SUM(BL126:BM126)</f>
        <v>-11.5</v>
      </c>
      <c r="BO126" s="219">
        <f>27.2+66-SUM(BL126:BN126)</f>
        <v>12.400000000000006</v>
      </c>
      <c r="BP126" s="218">
        <v>-60</v>
      </c>
      <c r="BQ126" s="218">
        <f>BP61-BQ61</f>
        <v>-10.399999999999977</v>
      </c>
      <c r="BR126" s="218">
        <f>-130.3-SUM(BP126:BQ126)</f>
        <v>-59.900000000000034</v>
      </c>
      <c r="BS126" s="219">
        <f>-106.8-SUM(BP126:BR126)</f>
        <v>23.500000000000014</v>
      </c>
      <c r="BT126" s="218">
        <v>-57.8</v>
      </c>
      <c r="BU126" s="218">
        <f>-84.3-BT126</f>
        <v>-26.5</v>
      </c>
      <c r="BV126" s="218">
        <f>-162.6-SUM(BT126:BU126)</f>
        <v>-78.3</v>
      </c>
      <c r="BW126" s="219">
        <f>-101-SUM(BT126:BV126)</f>
        <v>61.599999999999994</v>
      </c>
      <c r="BX126" s="218">
        <v>-68.099999999999994</v>
      </c>
      <c r="BY126" s="218">
        <f>-92.7-BX126</f>
        <v>-24.600000000000009</v>
      </c>
      <c r="BZ126" s="218">
        <f>-99.6-BX126-BY126</f>
        <v>-6.8999999999999915</v>
      </c>
      <c r="CA126" s="219">
        <f>-60-((BX126+BY126+BZ126))</f>
        <v>39.599999999999994</v>
      </c>
      <c r="CB126" s="218">
        <v>-76.3</v>
      </c>
      <c r="CC126" s="218">
        <f>-79.2-(CB126)</f>
        <v>-2.9000000000000057</v>
      </c>
      <c r="CD126" s="218">
        <f>-121.8-((CB126+CC126))</f>
        <v>-42.599999999999994</v>
      </c>
      <c r="CE126" s="219">
        <f>-102-CD126-CC126-CB126</f>
        <v>19.799999999999997</v>
      </c>
      <c r="CF126" s="218">
        <v>-52.6</v>
      </c>
      <c r="CG126" s="218">
        <f>-62.7-CF126</f>
        <v>-10.100000000000001</v>
      </c>
      <c r="CH126" s="218">
        <f>-111.9-((CF126+CG126))</f>
        <v>-49.2</v>
      </c>
      <c r="CI126" s="219">
        <f>-91.2-CH126-CG126-CF126</f>
        <v>20.700000000000003</v>
      </c>
      <c r="CJ126" s="218">
        <v>-9.5</v>
      </c>
      <c r="CK126" s="218">
        <f>-25.2-CJ126</f>
        <v>-15.7</v>
      </c>
      <c r="CL126" s="218">
        <f>-76.2-((CJ126+CK126))</f>
        <v>-51</v>
      </c>
      <c r="CM126" s="219">
        <f>4.1-CL126-CK126-CJ126</f>
        <v>80.3</v>
      </c>
      <c r="CN126" s="218">
        <v>-41.8</v>
      </c>
      <c r="CO126" s="218">
        <f>-39.8-CN126</f>
        <v>2</v>
      </c>
      <c r="CP126" s="218">
        <f>-87.3-CO126-CN126</f>
        <v>-47.5</v>
      </c>
      <c r="CQ126" s="219">
        <f>-53.5-CP126-CO126-CN126</f>
        <v>33.799999999999997</v>
      </c>
      <c r="CR126" s="218">
        <v>-35.4</v>
      </c>
      <c r="CS126" s="218">
        <f>-42-CR126</f>
        <v>-6.6000000000000014</v>
      </c>
      <c r="CT126" s="218">
        <f>-114.7-CS126-CR126</f>
        <v>-72.699999999999989</v>
      </c>
      <c r="CU126" s="198">
        <f t="shared" si="292"/>
        <v>27.200000000000045</v>
      </c>
      <c r="CV126" s="197">
        <f t="shared" si="292"/>
        <v>-78.914958594806876</v>
      </c>
      <c r="CW126" s="197">
        <f t="shared" si="292"/>
        <v>-31.493633371375608</v>
      </c>
      <c r="CX126" s="197">
        <f t="shared" si="292"/>
        <v>-75.791076176745264</v>
      </c>
      <c r="CY126" s="198">
        <f t="shared" si="292"/>
        <v>42.576719874716673</v>
      </c>
      <c r="DA126" s="212"/>
      <c r="DB126" s="212"/>
      <c r="DC126" s="212"/>
      <c r="DD126" s="212"/>
      <c r="DE126" s="212"/>
      <c r="DF126" s="212">
        <f>SUM(X126:AA126)</f>
        <v>-57.2</v>
      </c>
      <c r="DG126" s="212">
        <f>SUM(AB126:AE126)</f>
        <v>0.79999999999999982</v>
      </c>
      <c r="DH126" s="212">
        <f>SUM(AF126:AI126)</f>
        <v>76</v>
      </c>
      <c r="DI126" s="212">
        <f>SUM(AJ126:AM126)</f>
        <v>-34.200000000000003</v>
      </c>
      <c r="DJ126" s="212">
        <f>SUM(AN126:AQ126)</f>
        <v>-27.4</v>
      </c>
      <c r="DK126" s="212">
        <f>SUM(AR126:AU126)</f>
        <v>-7</v>
      </c>
      <c r="DL126" s="212">
        <f>SUM(AV126:AY126)</f>
        <v>-76.900000000000006</v>
      </c>
      <c r="DM126" s="212">
        <f>SUM(AZ126:BC126)</f>
        <v>29.399999999999991</v>
      </c>
      <c r="DN126" s="212">
        <f>SUM(BD126:BG126)</f>
        <v>-6.8999999999999986</v>
      </c>
      <c r="DO126" s="212">
        <f>SUM(BH126:BK126)</f>
        <v>55.599999999999994</v>
      </c>
      <c r="DP126" s="212">
        <f>SUM(BL126:BO126)</f>
        <v>93.2</v>
      </c>
      <c r="DQ126" s="212">
        <f>SUM(BP126:BS126)</f>
        <v>-106.8</v>
      </c>
      <c r="DR126" s="212">
        <f>SUM(BT126:BW126)</f>
        <v>-101</v>
      </c>
      <c r="DS126" s="212">
        <f>SUM(BX126:CA126)</f>
        <v>-60</v>
      </c>
      <c r="DT126" s="212">
        <f>SUM(CB126:CE126)</f>
        <v>-102</v>
      </c>
      <c r="DU126" s="212">
        <f>SUM(CF126:CI126)</f>
        <v>-91.2</v>
      </c>
      <c r="DV126" s="212">
        <f>SUM(CJ126:CM126)</f>
        <v>4.0999999999999943</v>
      </c>
      <c r="DW126" s="212">
        <f>SUM(CN126:CQ126)</f>
        <v>-53.5</v>
      </c>
      <c r="DX126" s="354">
        <f>SUM(CR126:CU126)</f>
        <v>-87.499999999999943</v>
      </c>
      <c r="DY126" s="354">
        <f t="shared" si="289"/>
        <v>-143.62294826821108</v>
      </c>
      <c r="DZ126" s="354">
        <f t="shared" si="293"/>
        <v>-87.872875168861128</v>
      </c>
      <c r="EA126" s="212">
        <f t="shared" si="293"/>
        <v>-81.285724239677847</v>
      </c>
      <c r="EB126" s="212">
        <f t="shared" si="293"/>
        <v>-79.450410332355432</v>
      </c>
      <c r="EC126" s="212">
        <f t="shared" si="293"/>
        <v>-65.764689422863057</v>
      </c>
      <c r="ED126" s="212">
        <f t="shared" si="293"/>
        <v>-47.548278031494419</v>
      </c>
      <c r="EE126" s="199"/>
      <c r="EF126"/>
      <c r="EG126"/>
      <c r="EH126"/>
      <c r="EI126"/>
      <c r="EJ126"/>
      <c r="EK126"/>
    </row>
    <row r="127" spans="1:141" s="137" customFormat="1">
      <c r="A127" s="193"/>
      <c r="B127" s="507" t="s">
        <v>24</v>
      </c>
      <c r="C127" s="138"/>
      <c r="D127" s="217"/>
      <c r="E127" s="218"/>
      <c r="F127" s="218"/>
      <c r="G127" s="219"/>
      <c r="H127" s="218"/>
      <c r="I127" s="218"/>
      <c r="J127" s="218"/>
      <c r="K127" s="219"/>
      <c r="L127" s="218"/>
      <c r="M127" s="218"/>
      <c r="N127" s="218"/>
      <c r="O127" s="219"/>
      <c r="P127" s="218"/>
      <c r="Q127" s="218"/>
      <c r="R127" s="218"/>
      <c r="S127" s="219"/>
      <c r="T127" s="218"/>
      <c r="U127" s="218"/>
      <c r="V127" s="218"/>
      <c r="W127" s="219"/>
      <c r="X127" s="218">
        <v>139.5</v>
      </c>
      <c r="Y127" s="218">
        <f>128.1-X127</f>
        <v>-11.400000000000006</v>
      </c>
      <c r="Z127" s="218">
        <f>26.9-SUM(X127:Y127)</f>
        <v>-101.19999999999999</v>
      </c>
      <c r="AA127" s="219">
        <f>310.1-SUM(X127:Z127)</f>
        <v>283.20000000000005</v>
      </c>
      <c r="AB127" s="218">
        <v>235.5</v>
      </c>
      <c r="AC127" s="218">
        <f>234-AB127</f>
        <v>-1.5</v>
      </c>
      <c r="AD127" s="218">
        <f>76.5-SUM(AB127:AC127)</f>
        <v>-157.5</v>
      </c>
      <c r="AE127" s="219">
        <f>74.1-SUM(AB127:AD127)</f>
        <v>-2.4000000000000057</v>
      </c>
      <c r="AF127" s="218">
        <v>84.7</v>
      </c>
      <c r="AG127" s="218">
        <f>125.8-AF127</f>
        <v>41.099999999999994</v>
      </c>
      <c r="AH127" s="218">
        <f>17.9-SUM(AF127:AG127)</f>
        <v>-107.9</v>
      </c>
      <c r="AI127" s="219">
        <f>-56.9-SUM(AF127:AH127)</f>
        <v>-74.799999999999983</v>
      </c>
      <c r="AJ127" s="218">
        <v>209.7</v>
      </c>
      <c r="AK127" s="218">
        <f>220.3-AJ127</f>
        <v>10.600000000000023</v>
      </c>
      <c r="AL127" s="218">
        <f>111.1-SUM(AJ127:AK127)</f>
        <v>-109.20000000000002</v>
      </c>
      <c r="AM127" s="219">
        <f>-171.3-SUM(AJ127:AL127)</f>
        <v>-282.39999999999998</v>
      </c>
      <c r="AN127" s="218">
        <v>291.89999999999998</v>
      </c>
      <c r="AO127" s="218">
        <f>401.3-AN127</f>
        <v>109.40000000000003</v>
      </c>
      <c r="AP127" s="218">
        <f>365.1-SUM(AN127:AO127)</f>
        <v>-36.199999999999989</v>
      </c>
      <c r="AQ127" s="219">
        <f>318-SUM(AN127:AP127)</f>
        <v>-47.100000000000023</v>
      </c>
      <c r="AR127" s="218">
        <v>194.9</v>
      </c>
      <c r="AS127" s="218">
        <f>177.1-AR127</f>
        <v>-17.800000000000011</v>
      </c>
      <c r="AT127" s="218">
        <f>160.2-SUM(AR127:AS127)</f>
        <v>-16.900000000000006</v>
      </c>
      <c r="AU127" s="219">
        <f>189.8-SUM(AR127:AT127)</f>
        <v>29.600000000000023</v>
      </c>
      <c r="AV127" s="218">
        <v>53.4</v>
      </c>
      <c r="AW127" s="218">
        <f>233.3-AV127</f>
        <v>179.9</v>
      </c>
      <c r="AX127" s="218">
        <f>396.9-SUM(AV127:AW127)</f>
        <v>163.59999999999997</v>
      </c>
      <c r="AY127" s="219">
        <f>298.1-SUM(AV127:AX127)</f>
        <v>-98.799999999999955</v>
      </c>
      <c r="AZ127" s="218">
        <v>103.9</v>
      </c>
      <c r="BA127" s="218">
        <f>36.2-AZ127</f>
        <v>-67.7</v>
      </c>
      <c r="BB127" s="218">
        <f>-183.1-SUM(AZ127:BA127)</f>
        <v>-219.3</v>
      </c>
      <c r="BC127" s="219">
        <f>-358.9-SUM(AZ127:BB127)</f>
        <v>-175.79999999999995</v>
      </c>
      <c r="BD127" s="218">
        <v>224.5</v>
      </c>
      <c r="BE127" s="218">
        <f>339.4-BD127</f>
        <v>114.89999999999998</v>
      </c>
      <c r="BF127" s="218">
        <f>113.3-SUM(BD127:BE127)</f>
        <v>-226.09999999999997</v>
      </c>
      <c r="BG127" s="219">
        <f>-125.9-SUM(BD127:BF127)</f>
        <v>-239.20000000000002</v>
      </c>
      <c r="BH127" s="218">
        <v>144.19999999999999</v>
      </c>
      <c r="BI127" s="218">
        <f>161.8-BH127</f>
        <v>17.600000000000023</v>
      </c>
      <c r="BJ127" s="218">
        <f>-78.6-SUM(BH127:BI127)</f>
        <v>-240.4</v>
      </c>
      <c r="BK127" s="219">
        <f>-779.2-SUM(BH127:BJ127)</f>
        <v>-700.6</v>
      </c>
      <c r="BL127" s="218">
        <v>-132.30000000000001</v>
      </c>
      <c r="BM127" s="218">
        <f>-152.8-BL127</f>
        <v>-20.5</v>
      </c>
      <c r="BN127" s="218">
        <f>137.2-SUM(BL127:BM127)</f>
        <v>290</v>
      </c>
      <c r="BO127" s="219">
        <f>10.2+50.3-SUM(BL127:BN127)</f>
        <v>-76.699999999999989</v>
      </c>
      <c r="BP127" s="218">
        <v>291.89999999999998</v>
      </c>
      <c r="BQ127" s="218">
        <f>BQ71-BP71</f>
        <v>-3.0999999999999091</v>
      </c>
      <c r="BR127" s="218">
        <f>314.7-SUM(BP127:BQ127)</f>
        <v>25.89999999999992</v>
      </c>
      <c r="BS127" s="219">
        <f>318.4-SUM(BP127:BR127)</f>
        <v>3.6999999999999886</v>
      </c>
      <c r="BT127" s="218">
        <v>343</v>
      </c>
      <c r="BU127" s="218">
        <f>385.6-BT127</f>
        <v>42.600000000000023</v>
      </c>
      <c r="BV127" s="218">
        <f>372.3-SUM(BT127:BU127)</f>
        <v>-13.300000000000011</v>
      </c>
      <c r="BW127" s="219">
        <f>216.7-SUM(BT127:BV127)</f>
        <v>-155.60000000000002</v>
      </c>
      <c r="BX127" s="218">
        <v>309.89999999999998</v>
      </c>
      <c r="BY127" s="218">
        <f>329.8-BX127</f>
        <v>19.900000000000034</v>
      </c>
      <c r="BZ127" s="218">
        <f>223.8-BX127-BY127</f>
        <v>-106</v>
      </c>
      <c r="CA127" s="219">
        <f>174.6-((BX127+BY127+BZ127))</f>
        <v>-49.200000000000017</v>
      </c>
      <c r="CB127" s="218">
        <v>288.2</v>
      </c>
      <c r="CC127" s="218">
        <f>301.4-(CB127)</f>
        <v>13.199999999999989</v>
      </c>
      <c r="CD127" s="218">
        <f>320.1-((CB127+CC127))</f>
        <v>18.700000000000045</v>
      </c>
      <c r="CE127" s="219">
        <f>189.5-CD127-CC127-CB127</f>
        <v>-130.60000000000002</v>
      </c>
      <c r="CF127" s="218">
        <v>449.2</v>
      </c>
      <c r="CG127" s="218">
        <f>392.8-CF127</f>
        <v>-56.399999999999977</v>
      </c>
      <c r="CH127" s="218">
        <f>259.1-((CF127+CG127))</f>
        <v>-133.69999999999999</v>
      </c>
      <c r="CI127" s="219">
        <f>231.3-CH127-CG127-CF127</f>
        <v>-27.800000000000011</v>
      </c>
      <c r="CJ127" s="218">
        <v>278.2</v>
      </c>
      <c r="CK127" s="218">
        <f>241.8-CJ127</f>
        <v>-36.399999999999977</v>
      </c>
      <c r="CL127" s="218">
        <f>103.2-((CJ127+CK127))</f>
        <v>-138.60000000000002</v>
      </c>
      <c r="CM127" s="219">
        <f>76.2-CL127-CK127-CJ127</f>
        <v>-27</v>
      </c>
      <c r="CN127" s="218">
        <v>240.8</v>
      </c>
      <c r="CO127" s="218">
        <f>201.7-CN127</f>
        <v>-39.100000000000023</v>
      </c>
      <c r="CP127" s="218">
        <f>203.6-CO127-CN127</f>
        <v>1.9000000000000057</v>
      </c>
      <c r="CQ127" s="219">
        <f>157.6-SUM(CN127:CP127)</f>
        <v>-46</v>
      </c>
      <c r="CR127" s="218">
        <v>374.7</v>
      </c>
      <c r="CS127" s="218">
        <f>390.3-CR127</f>
        <v>15.600000000000023</v>
      </c>
      <c r="CT127" s="218">
        <f>245.6-CS127-CR127</f>
        <v>-144.70000000000002</v>
      </c>
      <c r="CU127" s="198">
        <f t="shared" ref="CU127:CY128" si="294">CU71-CT71</f>
        <v>-8.8000000000001819</v>
      </c>
      <c r="CV127" s="197">
        <f t="shared" si="294"/>
        <v>475.16341199157114</v>
      </c>
      <c r="CW127" s="197">
        <f t="shared" si="294"/>
        <v>88.158206211762263</v>
      </c>
      <c r="CX127" s="197">
        <f t="shared" si="294"/>
        <v>2.7054093169713269</v>
      </c>
      <c r="CY127" s="198">
        <f t="shared" si="294"/>
        <v>-34.221348969728751</v>
      </c>
      <c r="DA127" s="212"/>
      <c r="DB127" s="212"/>
      <c r="DC127" s="212"/>
      <c r="DD127" s="212"/>
      <c r="DE127" s="212"/>
      <c r="DF127" s="212">
        <f>SUM(X127:AA127)</f>
        <v>310.10000000000002</v>
      </c>
      <c r="DG127" s="212">
        <f>SUM(AB127:AE127)</f>
        <v>74.099999999999994</v>
      </c>
      <c r="DH127" s="212">
        <f>SUM(AF127:AI127)</f>
        <v>-56.899999999999991</v>
      </c>
      <c r="DI127" s="212">
        <f>SUM(AJ127:AM127)</f>
        <v>-171.29999999999998</v>
      </c>
      <c r="DJ127" s="212">
        <f>SUM(AN127:AQ127)</f>
        <v>318</v>
      </c>
      <c r="DK127" s="212">
        <f>SUM(AR127:AU127)</f>
        <v>189.8</v>
      </c>
      <c r="DL127" s="212">
        <f>SUM(AV127:AY127)</f>
        <v>298.10000000000002</v>
      </c>
      <c r="DM127" s="212">
        <f>SUM(AZ127:BC127)</f>
        <v>-358.9</v>
      </c>
      <c r="DN127" s="212">
        <f>SUM(BD127:BG127)</f>
        <v>-125.9</v>
      </c>
      <c r="DO127" s="212">
        <f>SUM(BH127:BK127)</f>
        <v>-779.2</v>
      </c>
      <c r="DP127" s="212">
        <f>SUM(BL127:BO127)</f>
        <v>60.5</v>
      </c>
      <c r="DQ127" s="212">
        <f>SUM(BP127:BS127)</f>
        <v>318.39999999999998</v>
      </c>
      <c r="DR127" s="212">
        <f>SUM(BT127:BW127)</f>
        <v>216.7</v>
      </c>
      <c r="DS127" s="212">
        <f>SUM(BX127:CA127)</f>
        <v>174.6</v>
      </c>
      <c r="DT127" s="212">
        <f>SUM(CB127:CE127)</f>
        <v>189.5</v>
      </c>
      <c r="DU127" s="212">
        <f>SUM(CF127:CI127)</f>
        <v>231.3</v>
      </c>
      <c r="DV127" s="212">
        <f>SUM(CJ127:CM127)</f>
        <v>76.199999999999989</v>
      </c>
      <c r="DW127" s="212">
        <f>SUM(CN127:CQ127)</f>
        <v>157.6</v>
      </c>
      <c r="DX127" s="354">
        <f>SUM(CR127:CU127)</f>
        <v>236.79999999999981</v>
      </c>
      <c r="DY127" s="354">
        <f t="shared" si="289"/>
        <v>531.80567855057598</v>
      </c>
      <c r="DZ127" s="354">
        <f t="shared" ref="DZ127:ED128" si="295">DZ71-DY71</f>
        <v>388.40990777654679</v>
      </c>
      <c r="EA127" s="212">
        <f t="shared" si="295"/>
        <v>373.82066358020529</v>
      </c>
      <c r="EB127" s="212">
        <f t="shared" si="295"/>
        <v>382.39196049297334</v>
      </c>
      <c r="EC127" s="212">
        <f t="shared" si="295"/>
        <v>353.41830471034973</v>
      </c>
      <c r="ED127" s="212">
        <f t="shared" si="295"/>
        <v>306.06020499779424</v>
      </c>
      <c r="EE127" s="199"/>
      <c r="EF127"/>
      <c r="EG127"/>
      <c r="EH127"/>
      <c r="EI127"/>
      <c r="EJ127"/>
      <c r="EK127"/>
    </row>
    <row r="128" spans="1:141" s="137" customFormat="1">
      <c r="A128" s="193"/>
      <c r="B128" s="288" t="s">
        <v>56</v>
      </c>
      <c r="C128" s="200"/>
      <c r="D128" s="220"/>
      <c r="E128" s="221"/>
      <c r="F128" s="221"/>
      <c r="G128" s="222"/>
      <c r="H128" s="221"/>
      <c r="I128" s="221"/>
      <c r="J128" s="221"/>
      <c r="K128" s="222"/>
      <c r="L128" s="221"/>
      <c r="M128" s="221"/>
      <c r="N128" s="221"/>
      <c r="O128" s="222"/>
      <c r="P128" s="221"/>
      <c r="Q128" s="221"/>
      <c r="R128" s="221"/>
      <c r="S128" s="222"/>
      <c r="T128" s="221"/>
      <c r="U128" s="221"/>
      <c r="V128" s="221"/>
      <c r="W128" s="222"/>
      <c r="X128" s="221">
        <v>-21.4</v>
      </c>
      <c r="Y128" s="221">
        <f>88.8-X128</f>
        <v>110.19999999999999</v>
      </c>
      <c r="Z128" s="221">
        <f>-37.5-SUM(X128:Y128)</f>
        <v>-126.29999999999998</v>
      </c>
      <c r="AA128" s="222">
        <f>-21.7-SUM(X128:Z128)</f>
        <v>15.8</v>
      </c>
      <c r="AB128" s="221">
        <v>76.599999999999994</v>
      </c>
      <c r="AC128" s="221">
        <f>-17.5-AB128</f>
        <v>-94.1</v>
      </c>
      <c r="AD128" s="221">
        <f>-45.8-SUM(AB128:AC128)</f>
        <v>-28.299999999999997</v>
      </c>
      <c r="AE128" s="222">
        <f>-156-SUM(AB128:AD128)</f>
        <v>-110.2</v>
      </c>
      <c r="AF128" s="221">
        <v>65.599999999999994</v>
      </c>
      <c r="AG128" s="221">
        <f>76.7-AF128</f>
        <v>11.100000000000009</v>
      </c>
      <c r="AH128" s="221">
        <f>14.7-SUM(AF128:AG128)</f>
        <v>-62</v>
      </c>
      <c r="AI128" s="222">
        <f>95.9-SUM(AF128:AH128)</f>
        <v>81.2</v>
      </c>
      <c r="AJ128" s="221">
        <v>105.6</v>
      </c>
      <c r="AK128" s="221">
        <f>91.5-AJ128</f>
        <v>-14.099999999999994</v>
      </c>
      <c r="AL128" s="221">
        <f>192.9-SUM(AJ128:AK128)</f>
        <v>101.4</v>
      </c>
      <c r="AM128" s="222">
        <f>36.1-SUM(AJ128:AL128)</f>
        <v>-156.80000000000001</v>
      </c>
      <c r="AN128" s="221">
        <v>181.7</v>
      </c>
      <c r="AO128" s="221">
        <f>184.6-AN128</f>
        <v>2.9000000000000057</v>
      </c>
      <c r="AP128" s="221">
        <f>174-SUM(AN128:AO128)</f>
        <v>-10.599999999999994</v>
      </c>
      <c r="AQ128" s="222">
        <f>63.9-SUM(AN128:AP128)</f>
        <v>-110.1</v>
      </c>
      <c r="AR128" s="221">
        <v>142.30000000000001</v>
      </c>
      <c r="AS128" s="221">
        <f>93.1-AR128</f>
        <v>-49.200000000000017</v>
      </c>
      <c r="AT128" s="221">
        <f>90.1-SUM(AR128:AS128)</f>
        <v>-3</v>
      </c>
      <c r="AU128" s="222">
        <f>-97.5-SUM(AR128:AT128)</f>
        <v>-187.6</v>
      </c>
      <c r="AV128" s="221">
        <v>25.9</v>
      </c>
      <c r="AW128" s="221">
        <f>-24.3-AV128</f>
        <v>-50.2</v>
      </c>
      <c r="AX128" s="221">
        <f>-22.4-SUM(AV128:AW128)</f>
        <v>1.9000000000000057</v>
      </c>
      <c r="AY128" s="222">
        <f>38.8-SUM(AV128:AX128)</f>
        <v>61.199999999999996</v>
      </c>
      <c r="AZ128" s="221">
        <v>74.5</v>
      </c>
      <c r="BA128" s="221">
        <f>136.2-AZ128</f>
        <v>61.699999999999989</v>
      </c>
      <c r="BB128" s="221">
        <f>109.9-SUM(AZ128:BA128)</f>
        <v>-26.299999999999983</v>
      </c>
      <c r="BC128" s="222">
        <f>66.2-SUM(AZ128:BB128)</f>
        <v>-43.7</v>
      </c>
      <c r="BD128" s="221">
        <v>79.900000000000006</v>
      </c>
      <c r="BE128" s="221">
        <f>113.9-BD128</f>
        <v>34</v>
      </c>
      <c r="BF128" s="221">
        <f>180-SUM(BD128:BE128)</f>
        <v>66.099999999999994</v>
      </c>
      <c r="BG128" s="222">
        <f>-13.4-SUM(BD128:BF128)</f>
        <v>-193.4</v>
      </c>
      <c r="BH128" s="221">
        <v>27.5</v>
      </c>
      <c r="BI128" s="221">
        <f>13.4-BH128</f>
        <v>-14.1</v>
      </c>
      <c r="BJ128" s="221">
        <f>-92.8-SUM(BH128:BI128)</f>
        <v>-106.2</v>
      </c>
      <c r="BK128" s="222">
        <f>-340.9-SUM(BH128:BJ128)</f>
        <v>-248.09999999999997</v>
      </c>
      <c r="BL128" s="221">
        <v>42.2</v>
      </c>
      <c r="BM128" s="221">
        <f>65.4-BL128</f>
        <v>23.200000000000003</v>
      </c>
      <c r="BN128" s="221">
        <f>89.5-SUM(BL128:BM128)</f>
        <v>24.099999999999994</v>
      </c>
      <c r="BO128" s="222">
        <f>-83.2+12.7-SUM(BL128:BN128)</f>
        <v>-160</v>
      </c>
      <c r="BP128" s="221">
        <v>86.9</v>
      </c>
      <c r="BQ128" s="221">
        <f>-29.3-SUM(BP125:BQ127)-BP128</f>
        <v>97.499999999999858</v>
      </c>
      <c r="BR128" s="221">
        <f>225.1-SUM(BP128:BQ128)</f>
        <v>40.700000000000131</v>
      </c>
      <c r="BS128" s="222">
        <f>128-SUM(BP128:BR128)</f>
        <v>-97.1</v>
      </c>
      <c r="BT128" s="221">
        <v>74</v>
      </c>
      <c r="BU128" s="221">
        <f>18-BT128</f>
        <v>-56</v>
      </c>
      <c r="BV128" s="221">
        <f>-19-SUM(BT128:BU128)</f>
        <v>-37</v>
      </c>
      <c r="BW128" s="222">
        <f>43.8-SUM(BT128:BV128)</f>
        <v>62.8</v>
      </c>
      <c r="BX128" s="221">
        <v>55.7</v>
      </c>
      <c r="BY128" s="221">
        <f>-19.7-BX128</f>
        <v>-75.400000000000006</v>
      </c>
      <c r="BZ128" s="221">
        <f>-14.5-BX128-BY128</f>
        <v>5.2000000000000028</v>
      </c>
      <c r="CA128" s="222">
        <f>-51.9-((BX128+BY128+BZ128))</f>
        <v>-37.4</v>
      </c>
      <c r="CB128" s="221">
        <v>60.9</v>
      </c>
      <c r="CC128" s="221">
        <f>90.1-(CB128)</f>
        <v>29.199999999999996</v>
      </c>
      <c r="CD128" s="221">
        <f>211.3-((CB128+CC128))</f>
        <v>121.20000000000002</v>
      </c>
      <c r="CE128" s="222">
        <f>143.9-CD128-CC128-CB128</f>
        <v>-67.400000000000006</v>
      </c>
      <c r="CF128" s="221">
        <v>71.099999999999994</v>
      </c>
      <c r="CG128" s="221">
        <f>140.9-CF128</f>
        <v>69.800000000000011</v>
      </c>
      <c r="CH128" s="221">
        <f>183.8-((CF128+CG128))</f>
        <v>42.900000000000006</v>
      </c>
      <c r="CI128" s="222">
        <f>78.4-CH128-CG128-CF128</f>
        <v>-105.4</v>
      </c>
      <c r="CJ128" s="221">
        <v>64.2</v>
      </c>
      <c r="CK128" s="221">
        <f>203.5-CJ128</f>
        <v>139.30000000000001</v>
      </c>
      <c r="CL128" s="221">
        <f>288-((CJ128+CK128))</f>
        <v>84.5</v>
      </c>
      <c r="CM128" s="222">
        <f>151.1-CL128-CK128-CJ128</f>
        <v>-136.90000000000003</v>
      </c>
      <c r="CN128" s="221">
        <v>134</v>
      </c>
      <c r="CO128" s="221">
        <f>215.2-CN128</f>
        <v>81.199999999999989</v>
      </c>
      <c r="CP128" s="221">
        <f>326.9-CO128-CN128</f>
        <v>111.69999999999999</v>
      </c>
      <c r="CQ128" s="222">
        <f>160.3-SUM(CN128:CP128)</f>
        <v>-166.59999999999997</v>
      </c>
      <c r="CR128" s="221">
        <v>42</v>
      </c>
      <c r="CS128" s="221">
        <f>86.4-CR128</f>
        <v>44.400000000000006</v>
      </c>
      <c r="CT128" s="221">
        <f>118.7-CS128-CR128</f>
        <v>32.299999999999997</v>
      </c>
      <c r="CU128" s="203">
        <f t="shared" si="294"/>
        <v>-28.100000000000136</v>
      </c>
      <c r="CV128" s="202">
        <f t="shared" si="294"/>
        <v>0</v>
      </c>
      <c r="CW128" s="202">
        <f t="shared" si="294"/>
        <v>0</v>
      </c>
      <c r="CX128" s="202">
        <f t="shared" si="294"/>
        <v>0</v>
      </c>
      <c r="CY128" s="203">
        <f t="shared" si="294"/>
        <v>0</v>
      </c>
      <c r="DA128" s="542"/>
      <c r="DB128" s="542"/>
      <c r="DC128" s="542"/>
      <c r="DD128" s="542"/>
      <c r="DE128" s="542"/>
      <c r="DF128" s="542">
        <f>SUM(X128:AA128)</f>
        <v>-21.7</v>
      </c>
      <c r="DG128" s="542">
        <f>SUM(AB128:AE128)</f>
        <v>-156</v>
      </c>
      <c r="DH128" s="542">
        <f>SUM(AF128:AI128)</f>
        <v>95.9</v>
      </c>
      <c r="DI128" s="542">
        <f>SUM(AJ128:AM128)</f>
        <v>36.099999999999994</v>
      </c>
      <c r="DJ128" s="542">
        <f>SUM(AN128:AQ128)</f>
        <v>63.900000000000006</v>
      </c>
      <c r="DK128" s="542">
        <f>SUM(AR128:AU128)</f>
        <v>-97.5</v>
      </c>
      <c r="DL128" s="542">
        <f>SUM(AV128:AY128)</f>
        <v>38.799999999999997</v>
      </c>
      <c r="DM128" s="542">
        <f>SUM(AZ128:BC128)</f>
        <v>66.2</v>
      </c>
      <c r="DN128" s="542">
        <f>SUM(BD128:BG128)</f>
        <v>-13.400000000000006</v>
      </c>
      <c r="DO128" s="542">
        <f>SUM(BH128:BK128)</f>
        <v>-340.9</v>
      </c>
      <c r="DP128" s="542">
        <f>SUM(BL128:BO128)</f>
        <v>-70.5</v>
      </c>
      <c r="DQ128" s="542">
        <f>SUM(BP128:BS128)</f>
        <v>128</v>
      </c>
      <c r="DR128" s="542">
        <f>SUM(BT128:BW128)</f>
        <v>43.8</v>
      </c>
      <c r="DS128" s="542">
        <f>SUM(BX128:CA128)</f>
        <v>-51.9</v>
      </c>
      <c r="DT128" s="542">
        <f>SUM(CB128:CE128)</f>
        <v>143.9</v>
      </c>
      <c r="DU128" s="542">
        <f>SUM(CF128:CI128)</f>
        <v>78.400000000000006</v>
      </c>
      <c r="DV128" s="542">
        <f>SUM(CJ128:CM128)</f>
        <v>151.09999999999997</v>
      </c>
      <c r="DW128" s="542">
        <f>SUM(CN128:CQ128)</f>
        <v>160.30000000000001</v>
      </c>
      <c r="DX128" s="543">
        <f>SUM(CR128:CU128)</f>
        <v>90.599999999999866</v>
      </c>
      <c r="DY128" s="543">
        <f t="shared" si="289"/>
        <v>0</v>
      </c>
      <c r="DZ128" s="543">
        <f t="shared" si="295"/>
        <v>0</v>
      </c>
      <c r="EA128" s="542">
        <f t="shared" si="295"/>
        <v>0</v>
      </c>
      <c r="EB128" s="542">
        <f t="shared" si="295"/>
        <v>0</v>
      </c>
      <c r="EC128" s="542">
        <f t="shared" si="295"/>
        <v>0</v>
      </c>
      <c r="ED128" s="542">
        <f t="shared" si="295"/>
        <v>0</v>
      </c>
      <c r="EE128" s="199"/>
      <c r="EF128"/>
      <c r="EG128"/>
      <c r="EH128"/>
      <c r="EI128"/>
      <c r="EJ128"/>
      <c r="EK128"/>
    </row>
    <row r="129" spans="1:141" s="138" customFormat="1">
      <c r="A129" s="193"/>
      <c r="B129" s="199" t="s">
        <v>108</v>
      </c>
      <c r="C129" s="199"/>
      <c r="D129" s="217">
        <v>-71.153217902646205</v>
      </c>
      <c r="E129" s="218">
        <v>23.52172492649461</v>
      </c>
      <c r="F129" s="218">
        <v>-5.1617118588696504</v>
      </c>
      <c r="G129" s="219">
        <v>29.206141783730814</v>
      </c>
      <c r="H129" s="218">
        <v>-36.850702384841554</v>
      </c>
      <c r="I129" s="218">
        <v>-46.71675922901013</v>
      </c>
      <c r="J129" s="218">
        <v>62.471247304802397</v>
      </c>
      <c r="K129" s="219">
        <v>21.430904933028419</v>
      </c>
      <c r="L129" s="218">
        <v>-181.0519438092127</v>
      </c>
      <c r="M129" s="218">
        <v>2.7442012414243715</v>
      </c>
      <c r="N129" s="218">
        <v>-23.129696177719698</v>
      </c>
      <c r="O129" s="219">
        <v>51.421104214309054</v>
      </c>
      <c r="P129" s="218">
        <v>-36.5</v>
      </c>
      <c r="Q129" s="218">
        <v>-13.3</v>
      </c>
      <c r="R129" s="218">
        <v>12.7</v>
      </c>
      <c r="S129" s="219">
        <v>53.599999999999909</v>
      </c>
      <c r="T129" s="218">
        <v>-215.5</v>
      </c>
      <c r="U129" s="218">
        <v>87.199999999999363</v>
      </c>
      <c r="V129" s="218">
        <v>92.300000000000182</v>
      </c>
      <c r="W129" s="219">
        <v>22.200000000000273</v>
      </c>
      <c r="X129" s="197">
        <f t="shared" ref="X129:AW129" si="296">SUM(X125:X128)</f>
        <v>10.399999999999999</v>
      </c>
      <c r="Y129" s="197">
        <f t="shared" si="296"/>
        <v>-16.599999999999994</v>
      </c>
      <c r="Z129" s="197">
        <f t="shared" si="296"/>
        <v>-306.69999999999993</v>
      </c>
      <c r="AA129" s="198">
        <f t="shared" si="296"/>
        <v>452.20000000000005</v>
      </c>
      <c r="AB129" s="197">
        <f t="shared" si="296"/>
        <v>-60.19999999999996</v>
      </c>
      <c r="AC129" s="197">
        <f t="shared" si="296"/>
        <v>14</v>
      </c>
      <c r="AD129" s="197">
        <f t="shared" si="296"/>
        <v>-60.100000000000009</v>
      </c>
      <c r="AE129" s="198">
        <f t="shared" si="296"/>
        <v>161.39999999999992</v>
      </c>
      <c r="AF129" s="197">
        <f t="shared" si="296"/>
        <v>-94.69999999999996</v>
      </c>
      <c r="AG129" s="197">
        <f t="shared" si="296"/>
        <v>29.499999999999957</v>
      </c>
      <c r="AH129" s="197">
        <f t="shared" si="296"/>
        <v>-62.7</v>
      </c>
      <c r="AI129" s="198">
        <f t="shared" si="296"/>
        <v>185.40000000000003</v>
      </c>
      <c r="AJ129" s="197">
        <f t="shared" si="296"/>
        <v>11.399999999999949</v>
      </c>
      <c r="AK129" s="197">
        <f t="shared" si="296"/>
        <v>-24.899999999999935</v>
      </c>
      <c r="AL129" s="197">
        <f t="shared" si="296"/>
        <v>-38.300000000000011</v>
      </c>
      <c r="AM129" s="198">
        <f t="shared" si="296"/>
        <v>0.39999999999997726</v>
      </c>
      <c r="AN129" s="197">
        <f t="shared" si="296"/>
        <v>13.399999999999977</v>
      </c>
      <c r="AO129" s="197">
        <f t="shared" si="296"/>
        <v>43.900000000000077</v>
      </c>
      <c r="AP129" s="197">
        <f t="shared" si="296"/>
        <v>22.999999999999972</v>
      </c>
      <c r="AQ129" s="198">
        <f t="shared" si="296"/>
        <v>77.699999999999989</v>
      </c>
      <c r="AR129" s="197">
        <f t="shared" si="296"/>
        <v>-66.000000000000028</v>
      </c>
      <c r="AS129" s="197">
        <f t="shared" si="296"/>
        <v>42.700000000000017</v>
      </c>
      <c r="AT129" s="197">
        <f t="shared" si="296"/>
        <v>-38.100000000000037</v>
      </c>
      <c r="AU129" s="198">
        <f t="shared" si="296"/>
        <v>-0.99999999999997158</v>
      </c>
      <c r="AV129" s="197">
        <f t="shared" si="296"/>
        <v>70.900000000000006</v>
      </c>
      <c r="AW129" s="197">
        <f t="shared" si="296"/>
        <v>71.800000000000011</v>
      </c>
      <c r="AX129" s="197">
        <f t="shared" ref="AX129:BW129" si="297">SUM(AX125:AX128)</f>
        <v>-403.29999999999995</v>
      </c>
      <c r="AY129" s="198">
        <f t="shared" si="297"/>
        <v>270.29999999999995</v>
      </c>
      <c r="AZ129" s="197">
        <f t="shared" si="297"/>
        <v>-235.79999999999995</v>
      </c>
      <c r="BA129" s="197">
        <f t="shared" si="297"/>
        <v>19.799999999999962</v>
      </c>
      <c r="BB129" s="197">
        <f t="shared" si="297"/>
        <v>-56.399999999999977</v>
      </c>
      <c r="BC129" s="198">
        <f t="shared" si="297"/>
        <v>162.30000000000001</v>
      </c>
      <c r="BD129" s="197">
        <f t="shared" si="297"/>
        <v>-150.4</v>
      </c>
      <c r="BE129" s="197">
        <f t="shared" si="297"/>
        <v>37.199999999999918</v>
      </c>
      <c r="BF129" s="197">
        <f t="shared" si="297"/>
        <v>23.500000000000085</v>
      </c>
      <c r="BG129" s="198">
        <f t="shared" si="297"/>
        <v>22.399999999999977</v>
      </c>
      <c r="BH129" s="197">
        <f t="shared" si="297"/>
        <v>-137.20000000000005</v>
      </c>
      <c r="BI129" s="197">
        <f t="shared" si="297"/>
        <v>-24.199999999999967</v>
      </c>
      <c r="BJ129" s="197">
        <f t="shared" si="297"/>
        <v>15.800000000000026</v>
      </c>
      <c r="BK129" s="198">
        <f t="shared" si="297"/>
        <v>-51.300000000000011</v>
      </c>
      <c r="BL129" s="197">
        <f t="shared" si="297"/>
        <v>-53.600000000000009</v>
      </c>
      <c r="BM129" s="197">
        <f t="shared" si="297"/>
        <v>16.599999999999998</v>
      </c>
      <c r="BN129" s="197">
        <f t="shared" si="297"/>
        <v>93.1</v>
      </c>
      <c r="BO129" s="198">
        <f t="shared" si="297"/>
        <v>-61.899999999999977</v>
      </c>
      <c r="BP129" s="197">
        <f t="shared" si="297"/>
        <v>-99.500000000000028</v>
      </c>
      <c r="BQ129" s="197">
        <f t="shared" si="297"/>
        <v>70.200000000000017</v>
      </c>
      <c r="BR129" s="197">
        <f t="shared" si="297"/>
        <v>-3.3000000000000398</v>
      </c>
      <c r="BS129" s="198">
        <f t="shared" si="297"/>
        <v>80.900000000000006</v>
      </c>
      <c r="BT129" s="197">
        <f t="shared" si="297"/>
        <v>-89.199999999999989</v>
      </c>
      <c r="BU129" s="197">
        <f t="shared" si="297"/>
        <v>-42.300000000000011</v>
      </c>
      <c r="BV129" s="197">
        <f t="shared" si="297"/>
        <v>-20.40000000000002</v>
      </c>
      <c r="BW129" s="198">
        <f t="shared" si="297"/>
        <v>145.59999999999997</v>
      </c>
      <c r="BX129" s="197">
        <f t="shared" ref="BX129:CS129" si="298">SUM(BX125:BX128)</f>
        <v>-159.30000000000001</v>
      </c>
      <c r="BY129" s="197">
        <f t="shared" si="298"/>
        <v>-22.499999999999957</v>
      </c>
      <c r="BZ129" s="197">
        <f t="shared" si="298"/>
        <v>14.699999999999989</v>
      </c>
      <c r="CA129" s="198">
        <f t="shared" si="298"/>
        <v>118.29999999999998</v>
      </c>
      <c r="CB129" s="197">
        <f t="shared" si="298"/>
        <v>-159.6</v>
      </c>
      <c r="CC129" s="197">
        <f t="shared" si="298"/>
        <v>-2.6000000000000441</v>
      </c>
      <c r="CD129" s="197">
        <f t="shared" si="298"/>
        <v>4.5000000000001137</v>
      </c>
      <c r="CE129" s="198">
        <f t="shared" si="298"/>
        <v>149.49999999999991</v>
      </c>
      <c r="CF129" s="197">
        <f t="shared" si="298"/>
        <v>-286.80000000000007</v>
      </c>
      <c r="CG129" s="197">
        <f t="shared" si="298"/>
        <v>-36.099999999999937</v>
      </c>
      <c r="CH129" s="197">
        <f t="shared" si="298"/>
        <v>1.199999999999946</v>
      </c>
      <c r="CI129" s="198">
        <f t="shared" si="298"/>
        <v>181.50000000000003</v>
      </c>
      <c r="CJ129" s="197">
        <f t="shared" si="298"/>
        <v>-344.20000000000005</v>
      </c>
      <c r="CK129" s="197">
        <f t="shared" si="298"/>
        <v>186.30000000000007</v>
      </c>
      <c r="CL129" s="197">
        <f t="shared" si="298"/>
        <v>-7.5</v>
      </c>
      <c r="CM129" s="198">
        <f t="shared" si="298"/>
        <v>223.39999999999998</v>
      </c>
      <c r="CN129" s="197">
        <f t="shared" si="298"/>
        <v>-77.5</v>
      </c>
      <c r="CO129" s="197">
        <f t="shared" si="298"/>
        <v>127.39999999999998</v>
      </c>
      <c r="CP129" s="197">
        <f t="shared" si="298"/>
        <v>-46.900000000000006</v>
      </c>
      <c r="CQ129" s="198">
        <f t="shared" si="298"/>
        <v>85.100000000000023</v>
      </c>
      <c r="CR129" s="197">
        <f t="shared" si="298"/>
        <v>-145.30000000000001</v>
      </c>
      <c r="CS129" s="197">
        <f t="shared" si="298"/>
        <v>165.30000000000007</v>
      </c>
      <c r="CT129" s="197">
        <f>SUM(CT125:CT128)</f>
        <v>-51.000000000000043</v>
      </c>
      <c r="CU129" s="198">
        <f>SUM(CU125:CU128)</f>
        <v>117.39999999999964</v>
      </c>
      <c r="CV129" s="197">
        <f t="shared" ref="CV129:CY129" si="299">SUM(CV125:CV128)</f>
        <v>-137.7673895626333</v>
      </c>
      <c r="CW129" s="197">
        <f t="shared" si="299"/>
        <v>83.07165332904674</v>
      </c>
      <c r="CX129" s="197">
        <f t="shared" si="299"/>
        <v>-16.174786575200415</v>
      </c>
      <c r="CY129" s="198">
        <f t="shared" si="299"/>
        <v>163.26322810771399</v>
      </c>
      <c r="DA129" s="354">
        <f>SUM(D129:G129)</f>
        <v>-23.587063051290428</v>
      </c>
      <c r="DB129" s="212">
        <f>SUM(H129:K129)</f>
        <v>0.33469062397912452</v>
      </c>
      <c r="DC129" s="354">
        <f>SUM(L129:O129)</f>
        <v>-150.01633453119896</v>
      </c>
      <c r="DD129" s="212">
        <f>SUM(P129:S129)</f>
        <v>16.499999999999915</v>
      </c>
      <c r="DE129" s="354">
        <f>SUM(T129:W129)</f>
        <v>-13.800000000000182</v>
      </c>
      <c r="DF129" s="212">
        <f t="shared" ref="DF129:EA129" si="300">SUM(DF125:DF128)</f>
        <v>139.30000000000001</v>
      </c>
      <c r="DG129" s="212">
        <f t="shared" si="300"/>
        <v>55.099999999999966</v>
      </c>
      <c r="DH129" s="212">
        <f t="shared" si="300"/>
        <v>57.500000000000014</v>
      </c>
      <c r="DI129" s="212">
        <f t="shared" si="300"/>
        <v>-51.399999999999991</v>
      </c>
      <c r="DJ129" s="212">
        <f t="shared" si="300"/>
        <v>158</v>
      </c>
      <c r="DK129" s="212">
        <f t="shared" si="300"/>
        <v>-62.399999999999977</v>
      </c>
      <c r="DL129" s="212">
        <f t="shared" si="300"/>
        <v>9.6999999999999744</v>
      </c>
      <c r="DM129" s="212">
        <f t="shared" si="300"/>
        <v>-110.10000000000001</v>
      </c>
      <c r="DN129" s="212">
        <f t="shared" si="300"/>
        <v>-67.299999999999983</v>
      </c>
      <c r="DO129" s="212">
        <f t="shared" si="300"/>
        <v>-196.90000000000009</v>
      </c>
      <c r="DP129" s="212">
        <f t="shared" si="300"/>
        <v>-5.7999999999999972</v>
      </c>
      <c r="DQ129" s="212">
        <f t="shared" si="300"/>
        <v>48.299999999999955</v>
      </c>
      <c r="DR129" s="212">
        <f t="shared" si="300"/>
        <v>-6.3000000000000256</v>
      </c>
      <c r="DS129" s="212">
        <f t="shared" si="300"/>
        <v>-48.800000000000004</v>
      </c>
      <c r="DT129" s="212">
        <f t="shared" si="300"/>
        <v>-8.2000000000000171</v>
      </c>
      <c r="DU129" s="212">
        <f t="shared" si="300"/>
        <v>-140.19999999999996</v>
      </c>
      <c r="DV129" s="212">
        <f t="shared" si="300"/>
        <v>57.999999999999972</v>
      </c>
      <c r="DW129" s="212">
        <f t="shared" si="300"/>
        <v>88.1</v>
      </c>
      <c r="DX129" s="354">
        <f t="shared" si="300"/>
        <v>86.399999999999622</v>
      </c>
      <c r="DY129" s="354">
        <f t="shared" ref="DY129" si="301">SUM(DY125:DY128)</f>
        <v>92.392705298927012</v>
      </c>
      <c r="DZ129" s="348">
        <f t="shared" si="300"/>
        <v>18.612173468696483</v>
      </c>
      <c r="EA129" s="197">
        <f t="shared" si="300"/>
        <v>33.430465755529667</v>
      </c>
      <c r="EB129" s="197">
        <f t="shared" ref="EB129:ED129" si="302">SUM(EB125:EB128)</f>
        <v>44.1233170225089</v>
      </c>
      <c r="EC129" s="197">
        <f t="shared" si="302"/>
        <v>61.62022174923527</v>
      </c>
      <c r="ED129" s="197">
        <f t="shared" si="302"/>
        <v>78.923262527566976</v>
      </c>
      <c r="EE129" s="199"/>
      <c r="EF129"/>
      <c r="EG129"/>
      <c r="EH129"/>
      <c r="EI129"/>
      <c r="EJ129"/>
      <c r="EK129"/>
    </row>
    <row r="130" spans="1:141" s="138" customFormat="1">
      <c r="A130" s="193"/>
      <c r="B130" s="214"/>
      <c r="C130" s="214"/>
      <c r="D130" s="575"/>
      <c r="E130" s="235"/>
      <c r="F130" s="235"/>
      <c r="G130" s="234"/>
      <c r="H130" s="235"/>
      <c r="I130" s="235"/>
      <c r="J130" s="235"/>
      <c r="K130" s="234"/>
      <c r="L130" s="235"/>
      <c r="M130" s="235"/>
      <c r="N130" s="235"/>
      <c r="O130" s="234"/>
      <c r="P130" s="235"/>
      <c r="Q130" s="235"/>
      <c r="R130" s="235"/>
      <c r="S130" s="234"/>
      <c r="T130" s="235"/>
      <c r="U130" s="235"/>
      <c r="V130" s="235"/>
      <c r="W130" s="234"/>
      <c r="X130" s="235"/>
      <c r="Y130" s="235"/>
      <c r="Z130" s="235"/>
      <c r="AA130" s="234"/>
      <c r="AB130" s="235"/>
      <c r="AC130" s="235"/>
      <c r="AD130" s="235"/>
      <c r="AE130" s="234"/>
      <c r="AF130" s="235"/>
      <c r="AG130" s="235"/>
      <c r="AH130" s="235"/>
      <c r="AI130" s="234"/>
      <c r="AJ130" s="235"/>
      <c r="AK130" s="235"/>
      <c r="AL130" s="235"/>
      <c r="AM130" s="234"/>
      <c r="AN130" s="235"/>
      <c r="AO130" s="235"/>
      <c r="AP130" s="235"/>
      <c r="AQ130" s="234"/>
      <c r="AR130" s="235"/>
      <c r="AS130" s="235"/>
      <c r="AT130" s="235"/>
      <c r="AU130" s="234"/>
      <c r="AV130" s="235"/>
      <c r="AW130" s="235"/>
      <c r="AX130" s="235"/>
      <c r="AY130" s="234"/>
      <c r="AZ130" s="235"/>
      <c r="BA130" s="235"/>
      <c r="BB130" s="235"/>
      <c r="BC130" s="234"/>
      <c r="BD130" s="235"/>
      <c r="BE130" s="235"/>
      <c r="BF130" s="235"/>
      <c r="BG130" s="234"/>
      <c r="BH130" s="235"/>
      <c r="BI130" s="235"/>
      <c r="BJ130" s="235"/>
      <c r="BK130" s="234"/>
      <c r="BL130" s="235"/>
      <c r="BM130" s="235"/>
      <c r="BN130" s="235"/>
      <c r="BO130" s="234"/>
      <c r="BP130" s="235"/>
      <c r="BQ130" s="235"/>
      <c r="BR130" s="235"/>
      <c r="BS130" s="234"/>
      <c r="BT130" s="235"/>
      <c r="BU130" s="235"/>
      <c r="BV130" s="235"/>
      <c r="BW130" s="234"/>
      <c r="BX130" s="235"/>
      <c r="BY130" s="235"/>
      <c r="BZ130" s="235"/>
      <c r="CA130" s="234"/>
      <c r="CB130" s="235"/>
      <c r="CC130" s="235"/>
      <c r="CD130" s="235"/>
      <c r="CE130" s="234"/>
      <c r="CF130" s="235"/>
      <c r="CG130" s="235"/>
      <c r="CH130" s="235"/>
      <c r="CI130" s="234"/>
      <c r="CJ130" s="235"/>
      <c r="CK130" s="235"/>
      <c r="CL130" s="235"/>
      <c r="CM130" s="234"/>
      <c r="CN130" s="235"/>
      <c r="CO130" s="235"/>
      <c r="CP130" s="235"/>
      <c r="CQ130" s="234"/>
      <c r="CR130" s="235"/>
      <c r="CS130" s="235"/>
      <c r="CT130" s="235"/>
      <c r="CU130" s="234"/>
      <c r="CV130" s="235"/>
      <c r="CW130" s="235"/>
      <c r="CX130" s="235"/>
      <c r="CY130" s="234"/>
      <c r="DA130" s="235"/>
      <c r="DB130" s="235"/>
      <c r="DC130" s="235"/>
      <c r="DD130" s="235"/>
      <c r="DE130" s="235"/>
      <c r="DF130" s="235"/>
      <c r="DG130" s="235"/>
      <c r="DH130" s="235"/>
      <c r="DI130" s="235"/>
      <c r="DJ130" s="235"/>
      <c r="DK130" s="235"/>
      <c r="DL130" s="235"/>
      <c r="DM130" s="235"/>
      <c r="DN130" s="235"/>
      <c r="DO130" s="235"/>
      <c r="DP130" s="235"/>
      <c r="DQ130" s="235"/>
      <c r="DR130" s="235"/>
      <c r="DS130" s="235"/>
      <c r="DT130" s="235"/>
      <c r="DU130" s="235"/>
      <c r="DV130" s="235"/>
      <c r="DW130" s="235"/>
      <c r="DX130" s="350"/>
      <c r="DY130" s="350"/>
      <c r="DZ130" s="139"/>
      <c r="EA130" s="199"/>
      <c r="EB130" s="199"/>
      <c r="EC130" s="199"/>
      <c r="ED130" s="199"/>
      <c r="EE130" s="199"/>
      <c r="EF130"/>
      <c r="EG130"/>
      <c r="EH130"/>
      <c r="EI130"/>
      <c r="EJ130"/>
      <c r="EK130"/>
    </row>
    <row r="131" spans="1:141" s="292" customFormat="1">
      <c r="A131" s="282"/>
      <c r="B131" s="205" t="s">
        <v>271</v>
      </c>
      <c r="C131" s="205"/>
      <c r="D131" s="206">
        <f t="shared" ref="D131:W131" si="303">SUM(D116:D129)</f>
        <v>-41.997223129696089</v>
      </c>
      <c r="E131" s="207">
        <f t="shared" si="303"/>
        <v>69.107187193727555</v>
      </c>
      <c r="F131" s="207">
        <f t="shared" si="303"/>
        <v>27.583894152237811</v>
      </c>
      <c r="G131" s="291">
        <f t="shared" si="303"/>
        <v>96.087487749101612</v>
      </c>
      <c r="H131" s="207">
        <f t="shared" si="303"/>
        <v>3.8670369160405755</v>
      </c>
      <c r="I131" s="207">
        <f t="shared" si="303"/>
        <v>10.213296308395932</v>
      </c>
      <c r="J131" s="207">
        <f t="shared" si="303"/>
        <v>104.80009408689973</v>
      </c>
      <c r="K131" s="291">
        <f t="shared" si="303"/>
        <v>78.689709245344702</v>
      </c>
      <c r="L131" s="207">
        <f t="shared" si="303"/>
        <v>-121.86416203854958</v>
      </c>
      <c r="M131" s="207">
        <f t="shared" si="303"/>
        <v>85.905292388108563</v>
      </c>
      <c r="N131" s="207">
        <f t="shared" si="303"/>
        <v>41.069193074158619</v>
      </c>
      <c r="O131" s="291">
        <f t="shared" si="303"/>
        <v>139.99459159751717</v>
      </c>
      <c r="P131" s="207">
        <f t="shared" si="303"/>
        <v>44.300000000000111</v>
      </c>
      <c r="Q131" s="207">
        <f t="shared" si="303"/>
        <v>76.100000000000009</v>
      </c>
      <c r="R131" s="207">
        <f t="shared" si="303"/>
        <v>100.60000000000018</v>
      </c>
      <c r="S131" s="291">
        <f t="shared" si="303"/>
        <v>173.59999999999971</v>
      </c>
      <c r="T131" s="207">
        <f t="shared" si="303"/>
        <v>-136.10000000000019</v>
      </c>
      <c r="U131" s="207">
        <f t="shared" si="303"/>
        <v>159.99999999999926</v>
      </c>
      <c r="V131" s="207">
        <f t="shared" si="303"/>
        <v>171.10000000000019</v>
      </c>
      <c r="W131" s="291">
        <f t="shared" si="303"/>
        <v>151.60000000000062</v>
      </c>
      <c r="X131" s="207">
        <f t="shared" ref="X131:AW131" si="304">SUM(X116:X128)</f>
        <v>106.79999999999978</v>
      </c>
      <c r="Y131" s="207">
        <f t="shared" si="304"/>
        <v>104.79999999999978</v>
      </c>
      <c r="Z131" s="207">
        <f t="shared" si="304"/>
        <v>-235.00000000000031</v>
      </c>
      <c r="AA131" s="291">
        <f t="shared" si="304"/>
        <v>583.70000000000005</v>
      </c>
      <c r="AB131" s="207">
        <f t="shared" si="304"/>
        <v>75.900000000000034</v>
      </c>
      <c r="AC131" s="207">
        <f t="shared" si="304"/>
        <v>218.19999999999996</v>
      </c>
      <c r="AD131" s="207">
        <f t="shared" si="304"/>
        <v>62.299999999999713</v>
      </c>
      <c r="AE131" s="291">
        <f t="shared" si="304"/>
        <v>396.69999999999965</v>
      </c>
      <c r="AF131" s="207">
        <f t="shared" si="304"/>
        <v>306.50000000000011</v>
      </c>
      <c r="AG131" s="207">
        <f t="shared" si="304"/>
        <v>200.10000000000019</v>
      </c>
      <c r="AH131" s="207">
        <f t="shared" si="304"/>
        <v>134.09999999999965</v>
      </c>
      <c r="AI131" s="291">
        <f t="shared" si="304"/>
        <v>189.09999999999991</v>
      </c>
      <c r="AJ131" s="207">
        <f t="shared" si="304"/>
        <v>168.89999999999986</v>
      </c>
      <c r="AK131" s="207">
        <f t="shared" si="304"/>
        <v>131.39999999999978</v>
      </c>
      <c r="AL131" s="207">
        <f t="shared" si="304"/>
        <v>69.80000000000021</v>
      </c>
      <c r="AM131" s="291">
        <f t="shared" si="304"/>
        <v>174.99999999999994</v>
      </c>
      <c r="AN131" s="207">
        <f t="shared" si="304"/>
        <v>96.599999999999909</v>
      </c>
      <c r="AO131" s="207">
        <f t="shared" si="304"/>
        <v>160.6999999999999</v>
      </c>
      <c r="AP131" s="207">
        <f t="shared" si="304"/>
        <v>102.29999999999976</v>
      </c>
      <c r="AQ131" s="291">
        <f t="shared" si="304"/>
        <v>226.70000000000002</v>
      </c>
      <c r="AR131" s="207">
        <f t="shared" si="304"/>
        <v>56.800000000000551</v>
      </c>
      <c r="AS131" s="207">
        <f t="shared" si="304"/>
        <v>255.29999999999993</v>
      </c>
      <c r="AT131" s="207">
        <f t="shared" si="304"/>
        <v>131.8700000000002</v>
      </c>
      <c r="AU131" s="291">
        <f t="shared" si="304"/>
        <v>231.90000000000063</v>
      </c>
      <c r="AV131" s="207">
        <f t="shared" si="304"/>
        <v>118.50000000000011</v>
      </c>
      <c r="AW131" s="207">
        <f t="shared" si="304"/>
        <v>341.5998557542402</v>
      </c>
      <c r="AX131" s="207">
        <f t="shared" ref="AX131:BW131" si="305">SUM(AX116:AX128)</f>
        <v>-297.30280000000016</v>
      </c>
      <c r="AY131" s="291">
        <f t="shared" si="305"/>
        <v>331.57500000000078</v>
      </c>
      <c r="AZ131" s="207">
        <f t="shared" si="305"/>
        <v>39.400000000000404</v>
      </c>
      <c r="BA131" s="207">
        <f t="shared" si="305"/>
        <v>50.721719007999617</v>
      </c>
      <c r="BB131" s="207">
        <f t="shared" si="305"/>
        <v>-8.1000000000003638</v>
      </c>
      <c r="BC131" s="291">
        <f t="shared" si="305"/>
        <v>179.2000000000001</v>
      </c>
      <c r="BD131" s="207">
        <f t="shared" si="305"/>
        <v>-41.799999999999471</v>
      </c>
      <c r="BE131" s="207">
        <f t="shared" si="305"/>
        <v>289.2999999999999</v>
      </c>
      <c r="BF131" s="207">
        <f t="shared" si="305"/>
        <v>61.96500000000006</v>
      </c>
      <c r="BG131" s="291">
        <f t="shared" si="305"/>
        <v>157.39999999999984</v>
      </c>
      <c r="BH131" s="207">
        <f t="shared" si="305"/>
        <v>136</v>
      </c>
      <c r="BI131" s="207">
        <f t="shared" si="305"/>
        <v>72.900000000000048</v>
      </c>
      <c r="BJ131" s="207">
        <f t="shared" si="305"/>
        <v>42.699999999999832</v>
      </c>
      <c r="BK131" s="291">
        <f t="shared" si="305"/>
        <v>-1.519999999999925</v>
      </c>
      <c r="BL131" s="207">
        <f t="shared" si="305"/>
        <v>-336.8</v>
      </c>
      <c r="BM131" s="207">
        <f t="shared" si="305"/>
        <v>-59.699999999999989</v>
      </c>
      <c r="BN131" s="207">
        <f t="shared" si="305"/>
        <v>153.90000000000009</v>
      </c>
      <c r="BO131" s="291">
        <f t="shared" si="305"/>
        <v>67.400000000000375</v>
      </c>
      <c r="BP131" s="207">
        <f t="shared" si="305"/>
        <v>38.900000000000006</v>
      </c>
      <c r="BQ131" s="207">
        <f t="shared" si="305"/>
        <v>227.1</v>
      </c>
      <c r="BR131" s="207">
        <f t="shared" si="305"/>
        <v>118.1</v>
      </c>
      <c r="BS131" s="291">
        <f t="shared" si="305"/>
        <v>237.79999999999993</v>
      </c>
      <c r="BT131" s="207">
        <f t="shared" si="305"/>
        <v>154.1999999999997</v>
      </c>
      <c r="BU131" s="207">
        <f t="shared" si="305"/>
        <v>206.7</v>
      </c>
      <c r="BV131" s="207">
        <f t="shared" si="305"/>
        <v>155.60000000000036</v>
      </c>
      <c r="BW131" s="291">
        <f t="shared" si="305"/>
        <v>273.7999999999999</v>
      </c>
      <c r="BX131" s="207">
        <f t="shared" ref="BX131:CS131" si="306">SUM(BX116:BX128)</f>
        <v>4.2000000000001165</v>
      </c>
      <c r="BY131" s="207">
        <f t="shared" si="306"/>
        <v>155.59999999999994</v>
      </c>
      <c r="BZ131" s="207">
        <f t="shared" si="306"/>
        <v>200.89999999999992</v>
      </c>
      <c r="CA131" s="291">
        <f t="shared" si="306"/>
        <v>369.1</v>
      </c>
      <c r="CB131" s="207">
        <f t="shared" si="306"/>
        <v>63.800000000000033</v>
      </c>
      <c r="CC131" s="207">
        <f t="shared" si="306"/>
        <v>201.59999999999994</v>
      </c>
      <c r="CD131" s="207">
        <f t="shared" si="306"/>
        <v>164.2000000000001</v>
      </c>
      <c r="CE131" s="291">
        <f t="shared" si="306"/>
        <v>390.5</v>
      </c>
      <c r="CF131" s="207">
        <f t="shared" si="306"/>
        <v>-54.200000000000017</v>
      </c>
      <c r="CG131" s="207">
        <f t="shared" si="306"/>
        <v>229.20000000000002</v>
      </c>
      <c r="CH131" s="207">
        <f t="shared" si="306"/>
        <v>236.69999999999996</v>
      </c>
      <c r="CI131" s="291">
        <f t="shared" si="306"/>
        <v>516.1</v>
      </c>
      <c r="CJ131" s="207">
        <f t="shared" si="306"/>
        <v>-66.600000000000065</v>
      </c>
      <c r="CK131" s="207">
        <f t="shared" si="306"/>
        <v>474.60000000000014</v>
      </c>
      <c r="CL131" s="207">
        <f t="shared" si="306"/>
        <v>277.99999999999994</v>
      </c>
      <c r="CM131" s="291">
        <f t="shared" si="306"/>
        <v>585.09999999999968</v>
      </c>
      <c r="CN131" s="207">
        <f t="shared" si="306"/>
        <v>288.59999999999997</v>
      </c>
      <c r="CO131" s="207">
        <f t="shared" si="306"/>
        <v>529</v>
      </c>
      <c r="CP131" s="207">
        <f t="shared" si="306"/>
        <v>276.29999999999995</v>
      </c>
      <c r="CQ131" s="291">
        <f t="shared" si="306"/>
        <v>525.39999999999986</v>
      </c>
      <c r="CR131" s="207">
        <f t="shared" si="306"/>
        <v>278.89999999999986</v>
      </c>
      <c r="CS131" s="207">
        <f t="shared" si="306"/>
        <v>566.4</v>
      </c>
      <c r="CT131" s="207">
        <f>SUM(CT116:CT128)</f>
        <v>338.99999999999994</v>
      </c>
      <c r="CU131" s="866">
        <v>598.79999999999995</v>
      </c>
      <c r="CV131" s="293">
        <f t="shared" ref="CV131:CY131" si="307">SUM(CV116:CV128)</f>
        <v>308.34900622700428</v>
      </c>
      <c r="CW131" s="293">
        <f t="shared" si="307"/>
        <v>536.57653772798903</v>
      </c>
      <c r="CX131" s="293">
        <f t="shared" si="307"/>
        <v>405.64770136616761</v>
      </c>
      <c r="CY131" s="291">
        <f t="shared" si="307"/>
        <v>597.34746850303111</v>
      </c>
      <c r="DA131" s="557">
        <f>SUM(DA116:DA129)</f>
        <v>150.78134596537092</v>
      </c>
      <c r="DB131" s="557">
        <f>SUM(DB116:DB129)</f>
        <v>197.57013655668095</v>
      </c>
      <c r="DC131" s="557">
        <f>SUM(DC116:DC129)</f>
        <v>145.10491502123475</v>
      </c>
      <c r="DD131" s="557">
        <f>SUM(DD116:DD129)</f>
        <v>394.6</v>
      </c>
      <c r="DE131" s="557">
        <f>SUM(DE116:DE129)</f>
        <v>346.59999999999985</v>
      </c>
      <c r="DF131" s="557">
        <f t="shared" ref="DF131:EA131" si="308">SUM(DF116:DF128)</f>
        <v>560.29999999999927</v>
      </c>
      <c r="DG131" s="557">
        <f t="shared" si="308"/>
        <v>753.10000000000036</v>
      </c>
      <c r="DH131" s="557">
        <f t="shared" si="308"/>
        <v>829.80000000000064</v>
      </c>
      <c r="DI131" s="557">
        <f t="shared" si="308"/>
        <v>545.09999999999934</v>
      </c>
      <c r="DJ131" s="557">
        <f t="shared" si="308"/>
        <v>586.29999999999973</v>
      </c>
      <c r="DK131" s="557">
        <f t="shared" si="308"/>
        <v>675.86999999999853</v>
      </c>
      <c r="DL131" s="557">
        <f t="shared" si="308"/>
        <v>494.37205575424144</v>
      </c>
      <c r="DM131" s="557">
        <f t="shared" si="308"/>
        <v>261.22171900800294</v>
      </c>
      <c r="DN131" s="557">
        <f t="shared" si="308"/>
        <v>466.86500000000217</v>
      </c>
      <c r="DO131" s="557">
        <f t="shared" si="308"/>
        <v>250.07999999999981</v>
      </c>
      <c r="DP131" s="557">
        <f t="shared" si="308"/>
        <v>-175.20000000000044</v>
      </c>
      <c r="DQ131" s="557">
        <f t="shared" si="308"/>
        <v>621.90000000000111</v>
      </c>
      <c r="DR131" s="557">
        <f t="shared" si="308"/>
        <v>790.2999999999995</v>
      </c>
      <c r="DS131" s="557">
        <f t="shared" si="308"/>
        <v>729.79999999999893</v>
      </c>
      <c r="DT131" s="557">
        <f t="shared" si="308"/>
        <v>820.1</v>
      </c>
      <c r="DU131" s="557">
        <f t="shared" si="308"/>
        <v>927.79999999999984</v>
      </c>
      <c r="DV131" s="557">
        <f t="shared" si="308"/>
        <v>1271.0999999999997</v>
      </c>
      <c r="DW131" s="557">
        <f t="shared" si="308"/>
        <v>1619.2999999999997</v>
      </c>
      <c r="DX131" s="559">
        <f t="shared" ca="1" si="308"/>
        <v>1783.1</v>
      </c>
      <c r="DY131" s="559">
        <f t="shared" ref="DY131" si="309">SUM(DY116:DY128)</f>
        <v>1847.920713824192</v>
      </c>
      <c r="DZ131" s="351">
        <f t="shared" si="308"/>
        <v>1844.4816986673134</v>
      </c>
      <c r="EA131" s="293">
        <f t="shared" si="308"/>
        <v>1871.2118117575089</v>
      </c>
      <c r="EB131" s="293">
        <f t="shared" ref="EB131:ED131" si="310">SUM(EB116:EB128)</f>
        <v>1884.9921337088201</v>
      </c>
      <c r="EC131" s="293">
        <f t="shared" si="310"/>
        <v>1888.2649592848454</v>
      </c>
      <c r="ED131" s="293">
        <f t="shared" si="310"/>
        <v>1872.4756739904951</v>
      </c>
      <c r="EE131" s="205"/>
      <c r="EF131"/>
      <c r="EG131"/>
      <c r="EH131"/>
      <c r="EI131"/>
      <c r="EJ131"/>
      <c r="EK131"/>
    </row>
    <row r="132" spans="1:141" s="138" customFormat="1">
      <c r="A132" s="193"/>
      <c r="B132" s="214"/>
      <c r="C132" s="214"/>
      <c r="D132" s="575"/>
      <c r="E132" s="235"/>
      <c r="F132" s="235"/>
      <c r="G132" s="234"/>
      <c r="H132" s="235"/>
      <c r="I132" s="235"/>
      <c r="J132" s="235"/>
      <c r="K132" s="234"/>
      <c r="L132" s="235"/>
      <c r="M132" s="235"/>
      <c r="N132" s="235"/>
      <c r="O132" s="234"/>
      <c r="P132" s="235"/>
      <c r="Q132" s="235"/>
      <c r="R132" s="235"/>
      <c r="S132" s="234"/>
      <c r="T132" s="235"/>
      <c r="U132" s="235"/>
      <c r="V132" s="235"/>
      <c r="W132" s="234"/>
      <c r="X132" s="235"/>
      <c r="Y132" s="235"/>
      <c r="Z132" s="235"/>
      <c r="AA132" s="234"/>
      <c r="AB132" s="235"/>
      <c r="AC132" s="235"/>
      <c r="AD132" s="235"/>
      <c r="AE132" s="234"/>
      <c r="AF132" s="235"/>
      <c r="AG132" s="235"/>
      <c r="AH132" s="235"/>
      <c r="AI132" s="234"/>
      <c r="AJ132" s="235"/>
      <c r="AK132" s="235"/>
      <c r="AL132" s="235"/>
      <c r="AM132" s="234"/>
      <c r="AN132" s="235"/>
      <c r="AO132" s="235"/>
      <c r="AP132" s="235"/>
      <c r="AQ132" s="234"/>
      <c r="AR132" s="235"/>
      <c r="AS132" s="235"/>
      <c r="AT132" s="235"/>
      <c r="AU132" s="234"/>
      <c r="AV132" s="235"/>
      <c r="AW132" s="235"/>
      <c r="AX132" s="235"/>
      <c r="AY132" s="234"/>
      <c r="AZ132" s="235"/>
      <c r="BA132" s="235"/>
      <c r="BB132" s="235"/>
      <c r="BC132" s="234"/>
      <c r="BD132" s="235"/>
      <c r="BE132" s="235"/>
      <c r="BF132" s="235"/>
      <c r="BG132" s="234"/>
      <c r="BH132" s="235"/>
      <c r="BI132" s="235"/>
      <c r="BJ132" s="235"/>
      <c r="BK132" s="234"/>
      <c r="BL132" s="235"/>
      <c r="BM132" s="235"/>
      <c r="BN132" s="235"/>
      <c r="BO132" s="234"/>
      <c r="BP132" s="235"/>
      <c r="BQ132" s="235"/>
      <c r="BR132" s="235"/>
      <c r="BS132" s="234"/>
      <c r="BT132" s="235"/>
      <c r="BU132" s="235"/>
      <c r="BV132" s="235"/>
      <c r="BW132" s="234"/>
      <c r="BX132" s="235"/>
      <c r="BY132" s="235"/>
      <c r="BZ132" s="235"/>
      <c r="CA132" s="234"/>
      <c r="CB132" s="235"/>
      <c r="CC132" s="235"/>
      <c r="CD132" s="235"/>
      <c r="CE132" s="234"/>
      <c r="CF132" s="235"/>
      <c r="CG132" s="235"/>
      <c r="CH132" s="235"/>
      <c r="CI132" s="234"/>
      <c r="CJ132" s="235"/>
      <c r="CK132" s="235"/>
      <c r="CL132" s="235"/>
      <c r="CM132" s="234"/>
      <c r="CN132" s="235"/>
      <c r="CO132" s="235"/>
      <c r="CP132" s="235"/>
      <c r="CQ132" s="234"/>
      <c r="CR132" s="235"/>
      <c r="CS132" s="235"/>
      <c r="CT132" s="235"/>
      <c r="CU132" s="234"/>
      <c r="CV132" s="235"/>
      <c r="CW132" s="235"/>
      <c r="CX132" s="235"/>
      <c r="CY132" s="234"/>
      <c r="DA132" s="235"/>
      <c r="DB132" s="235"/>
      <c r="DC132" s="235"/>
      <c r="DD132" s="235"/>
      <c r="DE132" s="235"/>
      <c r="DF132" s="235"/>
      <c r="DG132" s="235"/>
      <c r="DH132" s="235"/>
      <c r="DI132" s="235"/>
      <c r="DJ132" s="235"/>
      <c r="DK132" s="235"/>
      <c r="DL132" s="235"/>
      <c r="DM132" s="235"/>
      <c r="DN132" s="235"/>
      <c r="DO132" s="235"/>
      <c r="DP132" s="235"/>
      <c r="DQ132" s="235"/>
      <c r="DR132" s="235"/>
      <c r="DS132" s="235"/>
      <c r="DT132" s="235"/>
      <c r="DU132" s="235"/>
      <c r="DV132" s="235"/>
      <c r="DW132" s="235"/>
      <c r="DX132" s="350"/>
      <c r="DY132" s="350"/>
      <c r="DZ132" s="139"/>
      <c r="EA132" s="199"/>
      <c r="EB132" s="199"/>
      <c r="EC132" s="199"/>
      <c r="ED132" s="199"/>
      <c r="EE132" s="199"/>
      <c r="EF132"/>
      <c r="EG132"/>
      <c r="EH132"/>
      <c r="EI132"/>
      <c r="EJ132"/>
      <c r="EK132"/>
    </row>
    <row r="133" spans="1:141" s="137" customFormat="1">
      <c r="A133" s="193"/>
      <c r="B133" s="138" t="s">
        <v>141</v>
      </c>
      <c r="C133" s="138"/>
      <c r="D133" s="217">
        <v>-15.485135577409</v>
      </c>
      <c r="E133" s="218">
        <v>-22.149624305782424</v>
      </c>
      <c r="F133" s="218">
        <v>-39.333551127082657</v>
      </c>
      <c r="G133" s="219">
        <v>-70.826527278747093</v>
      </c>
      <c r="H133" s="218">
        <v>-48.480888598497224</v>
      </c>
      <c r="I133" s="218">
        <v>-41.489709245344656</v>
      </c>
      <c r="J133" s="218">
        <v>-41.171018621365597</v>
      </c>
      <c r="K133" s="219">
        <v>-62.005880431231631</v>
      </c>
      <c r="L133" s="218">
        <v>-38.614831754328655</v>
      </c>
      <c r="M133" s="218">
        <v>-69.715779157138186</v>
      </c>
      <c r="N133" s="218">
        <v>-57.432211695524344</v>
      </c>
      <c r="O133" s="219">
        <v>-50.31035609278014</v>
      </c>
      <c r="P133" s="218">
        <v>-32.6</v>
      </c>
      <c r="Q133" s="218">
        <v>-42.5</v>
      </c>
      <c r="R133" s="218">
        <v>-113.1</v>
      </c>
      <c r="S133" s="219">
        <v>-74.8</v>
      </c>
      <c r="T133" s="218">
        <v>-48.2</v>
      </c>
      <c r="U133" s="218">
        <v>-76.8</v>
      </c>
      <c r="V133" s="218">
        <v>-111.8</v>
      </c>
      <c r="W133" s="219">
        <v>-114.6</v>
      </c>
      <c r="X133" s="218">
        <v>-71.599999999999994</v>
      </c>
      <c r="Y133" s="218">
        <f>-162.6-X133</f>
        <v>-91</v>
      </c>
      <c r="Z133" s="218">
        <f>-257-SUM(X133:Y133)</f>
        <v>-94.4</v>
      </c>
      <c r="AA133" s="219">
        <f>-391.4-SUM(X133:Z133)</f>
        <v>-134.39999999999998</v>
      </c>
      <c r="AB133" s="218">
        <v>-85.4</v>
      </c>
      <c r="AC133" s="218">
        <f>-161.4-AB133</f>
        <v>-76</v>
      </c>
      <c r="AD133" s="218">
        <f>-227.8-SUM(AB133:AC133)</f>
        <v>-66.400000000000006</v>
      </c>
      <c r="AE133" s="219">
        <f>-322.3-SUM(AB133:AD133)</f>
        <v>-94.5</v>
      </c>
      <c r="AF133" s="218">
        <v>-50.8</v>
      </c>
      <c r="AG133" s="218">
        <f>-87.7-AF133</f>
        <v>-36.900000000000006</v>
      </c>
      <c r="AH133" s="218">
        <f>-157.4-SUM(AF133:AG133)</f>
        <v>-69.7</v>
      </c>
      <c r="AI133" s="219">
        <f>-267-SUM(AF133:AH133)</f>
        <v>-109.6</v>
      </c>
      <c r="AJ133" s="218">
        <v>-46.2</v>
      </c>
      <c r="AK133" s="218">
        <f>-102.5-AJ133</f>
        <v>-56.3</v>
      </c>
      <c r="AL133" s="218">
        <f>-173.3-SUM(AJ133:AK133)</f>
        <v>-70.800000000000011</v>
      </c>
      <c r="AM133" s="219">
        <f>-272.6-SUM(AJ133:AL133)</f>
        <v>-99.300000000000011</v>
      </c>
      <c r="AN133" s="218">
        <v>-70.3</v>
      </c>
      <c r="AO133" s="218">
        <f>-137.3-AN133</f>
        <v>-67.000000000000014</v>
      </c>
      <c r="AP133" s="218">
        <f>-214.2-SUM(AN133:AO133)</f>
        <v>-76.899999999999977</v>
      </c>
      <c r="AQ133" s="219">
        <f>-375.6-SUM(AN133:AP133)</f>
        <v>-161.40000000000003</v>
      </c>
      <c r="AR133" s="218">
        <v>-77.3</v>
      </c>
      <c r="AS133" s="218">
        <f>-192.6-AR133</f>
        <v>-115.3</v>
      </c>
      <c r="AT133" s="218">
        <f>-283.7-SUM(AR133:AS133)</f>
        <v>-91.1</v>
      </c>
      <c r="AU133" s="219">
        <f>-429-SUM(AR133:AT133)</f>
        <v>-145.30000000000001</v>
      </c>
      <c r="AV133" s="218">
        <v>-129.4</v>
      </c>
      <c r="AW133" s="218">
        <f>-279.1-AV133</f>
        <v>-149.70000000000002</v>
      </c>
      <c r="AX133" s="218">
        <f>-414.3-SUM(AV133:AW133)</f>
        <v>-135.19999999999999</v>
      </c>
      <c r="AY133" s="219">
        <f>-568.4-SUM(AV133:AX133)</f>
        <v>-154.09999999999997</v>
      </c>
      <c r="AZ133" s="218">
        <v>-92.6</v>
      </c>
      <c r="BA133" s="218">
        <f>-184.7-AZ133</f>
        <v>-92.1</v>
      </c>
      <c r="BB133" s="218">
        <f>-268.5-SUM(AZ133:BA133)</f>
        <v>-83.800000000000011</v>
      </c>
      <c r="BC133" s="219">
        <f>-347.6-SUM(AZ133:BB133)</f>
        <v>-79.100000000000023</v>
      </c>
      <c r="BD133" s="218">
        <v>-29.2</v>
      </c>
      <c r="BE133" s="218">
        <f>-68.3-BD133</f>
        <v>-39.099999999999994</v>
      </c>
      <c r="BF133" s="218">
        <f>-114.1-SUM(BD133:BE133)</f>
        <v>-45.8</v>
      </c>
      <c r="BG133" s="219">
        <f>-202.2-SUM(BD133:BF133)</f>
        <v>-88.1</v>
      </c>
      <c r="BH133" s="218">
        <v>-45.5</v>
      </c>
      <c r="BI133" s="218">
        <f>-95.5-BH133</f>
        <v>-50</v>
      </c>
      <c r="BJ133" s="218">
        <f>-133.8-SUM(BH133:BI133)</f>
        <v>-38.300000000000011</v>
      </c>
      <c r="BK133" s="219">
        <f>-167.7-SUM(BH133:BJ133)</f>
        <v>-33.899999999999977</v>
      </c>
      <c r="BL133" s="218">
        <v>-20.7</v>
      </c>
      <c r="BM133" s="218">
        <f>-42.1-BL133</f>
        <v>-21.400000000000002</v>
      </c>
      <c r="BN133" s="218">
        <f>-62.7-SUM(BL133:BM133)</f>
        <v>-20.6</v>
      </c>
      <c r="BO133" s="219">
        <f>-41.3-77.5-SUM(BL133:BN133)</f>
        <v>-56.099999999999994</v>
      </c>
      <c r="BP133" s="218">
        <v>-34.799999999999997</v>
      </c>
      <c r="BQ133" s="218">
        <f>-76.4-BP133</f>
        <v>-41.600000000000009</v>
      </c>
      <c r="BR133" s="218">
        <f>-115.3-SUM(BP133:BQ133)</f>
        <v>-38.899999999999991</v>
      </c>
      <c r="BS133" s="219">
        <f>-193.3-SUM(BP133:BR133)</f>
        <v>-78.000000000000014</v>
      </c>
      <c r="BT133" s="218">
        <v>-70.5</v>
      </c>
      <c r="BU133" s="218">
        <v>-85.7</v>
      </c>
      <c r="BV133" s="218">
        <v>-91.5</v>
      </c>
      <c r="BW133" s="219">
        <f>-329.5-SUM(BT133:BV133)</f>
        <v>-81.800000000000011</v>
      </c>
      <c r="BX133" s="218">
        <v>-70.3</v>
      </c>
      <c r="BY133" s="218">
        <f>-180.4-BX133</f>
        <v>-110.10000000000001</v>
      </c>
      <c r="BZ133" s="218">
        <f>-300.5-BX133-BY133</f>
        <v>-120.09999999999998</v>
      </c>
      <c r="CA133" s="219">
        <f>-458.3-((BX133+BY133+BZ133))</f>
        <v>-157.80000000000001</v>
      </c>
      <c r="CB133" s="218">
        <v>-98.7</v>
      </c>
      <c r="CC133" s="218">
        <f>-226.4-(CB133)</f>
        <v>-127.7</v>
      </c>
      <c r="CD133" s="218">
        <f>-329.2-((CB133+CC133))</f>
        <v>-102.79999999999998</v>
      </c>
      <c r="CE133" s="219">
        <f>-460.6-CD133-CC133-CB133</f>
        <v>-131.40000000000009</v>
      </c>
      <c r="CF133" s="218">
        <v>-96.4</v>
      </c>
      <c r="CG133" s="218">
        <f>-189.1-CF133</f>
        <v>-92.699999999999989</v>
      </c>
      <c r="CH133" s="218">
        <f>-280.8-((CF133+CG133))</f>
        <v>-91.700000000000017</v>
      </c>
      <c r="CI133" s="219">
        <f>-424.7-SUM(CF133:CH133)</f>
        <v>-143.89999999999998</v>
      </c>
      <c r="CJ133" s="218">
        <v>-98.8</v>
      </c>
      <c r="CK133" s="218">
        <f>-212.9-CJ133</f>
        <v>-114.10000000000001</v>
      </c>
      <c r="CL133" s="218">
        <f>-327.7-((CJ133+CK133))</f>
        <v>-114.79999999999998</v>
      </c>
      <c r="CM133" s="219">
        <v>-158.1</v>
      </c>
      <c r="CN133" s="218">
        <v>-88.1</v>
      </c>
      <c r="CO133" s="218">
        <f>-181.7-CN133</f>
        <v>-93.6</v>
      </c>
      <c r="CP133" s="218">
        <f>-300.3-CN133-CO133</f>
        <v>-118.60000000000002</v>
      </c>
      <c r="CQ133" s="219">
        <f>-528.3-CP133-CO133-CN133</f>
        <v>-227.99999999999991</v>
      </c>
      <c r="CR133" s="218">
        <v>-120.8</v>
      </c>
      <c r="CS133" s="218">
        <f>-274-CR133</f>
        <v>-153.19999999999999</v>
      </c>
      <c r="CT133" s="218">
        <f>-430.2-CS133-CR133</f>
        <v>-156.19999999999999</v>
      </c>
      <c r="CU133" s="219">
        <v>-164.3</v>
      </c>
      <c r="CV133" s="197">
        <f>-CV162*CV101/4</f>
        <v>-157.06635182100104</v>
      </c>
      <c r="CW133" s="197">
        <f>-CW162*CW101/4</f>
        <v>-160.86791862435138</v>
      </c>
      <c r="CX133" s="197">
        <f>-CX162*CX101/4</f>
        <v>-163.5610549127378</v>
      </c>
      <c r="CY133" s="198">
        <f>-CY162*CY101/4</f>
        <v>-164.69763970942731</v>
      </c>
      <c r="DA133" s="212">
        <f>SUM(D133:G133)</f>
        <v>-147.79483828902119</v>
      </c>
      <c r="DB133" s="212">
        <f>SUM(H133:K133)</f>
        <v>-193.14749689643912</v>
      </c>
      <c r="DC133" s="212">
        <f>SUM(L133:O133)</f>
        <v>-216.07317869977129</v>
      </c>
      <c r="DD133" s="212">
        <f>SUM(P133:S133)</f>
        <v>-263</v>
      </c>
      <c r="DE133" s="212">
        <f>SUM(T133:W133)</f>
        <v>-351.4</v>
      </c>
      <c r="DF133" s="212">
        <f>SUM(X133:AA133)</f>
        <v>-391.4</v>
      </c>
      <c r="DG133" s="212">
        <f>SUM(AB133:AE133)</f>
        <v>-322.3</v>
      </c>
      <c r="DH133" s="212">
        <f>SUM(AF133:AI133)</f>
        <v>-267</v>
      </c>
      <c r="DI133" s="212">
        <f>SUM(AJ133:AM133)</f>
        <v>-272.60000000000002</v>
      </c>
      <c r="DJ133" s="212">
        <f>SUM(AN133:AQ133)</f>
        <v>-375.6</v>
      </c>
      <c r="DK133" s="212">
        <f>SUM(AR133:AU133)</f>
        <v>-429</v>
      </c>
      <c r="DL133" s="212">
        <f>SUM(AV133:AY133)</f>
        <v>-568.4</v>
      </c>
      <c r="DM133" s="212">
        <f>SUM(AZ133:BC133)</f>
        <v>-347.6</v>
      </c>
      <c r="DN133" s="212">
        <f>SUM(BD133:BG133)</f>
        <v>-202.2</v>
      </c>
      <c r="DO133" s="212">
        <f>SUM(BH133:BK133)</f>
        <v>-167.7</v>
      </c>
      <c r="DP133" s="212">
        <f>SUM(BL133:BO133)</f>
        <v>-118.8</v>
      </c>
      <c r="DQ133" s="212">
        <f>SUM(BP133:BS133)</f>
        <v>-193.3</v>
      </c>
      <c r="DR133" s="212">
        <f>SUM(BT133:BW133)</f>
        <v>-329.5</v>
      </c>
      <c r="DS133" s="212">
        <f>SUM(BX133:CA133)</f>
        <v>-458.3</v>
      </c>
      <c r="DT133" s="212">
        <f>SUM(CB133:CE133)</f>
        <v>-460.60000000000008</v>
      </c>
      <c r="DU133" s="212">
        <f>SUM(CF133:CI133)</f>
        <v>-424.7</v>
      </c>
      <c r="DV133" s="212">
        <f>SUM(CJ133:CM133)</f>
        <v>-485.79999999999995</v>
      </c>
      <c r="DW133" s="212">
        <f>SUM(CN133:CQ133)</f>
        <v>-528.29999999999995</v>
      </c>
      <c r="DX133" s="354">
        <f>SUM(CR133:CU133)</f>
        <v>-594.5</v>
      </c>
      <c r="DY133" s="354">
        <f t="shared" ref="DY133:DY135" si="311">SUM(CV133:CY133)</f>
        <v>-646.19296506751755</v>
      </c>
      <c r="DZ133" s="354">
        <f>-DZ162*DZ101</f>
        <v>-686.14570075136066</v>
      </c>
      <c r="EA133" s="212">
        <f>-EA162*EA101</f>
        <v>-720.73671123685733</v>
      </c>
      <c r="EB133" s="212">
        <f>-EB162*EB101</f>
        <v>-754.15504676837179</v>
      </c>
      <c r="EC133" s="212">
        <f>-EC162*EC101</f>
        <v>-780.88242693347274</v>
      </c>
      <c r="ED133" s="212">
        <f>-ED162*ED101</f>
        <v>-798.92813871616431</v>
      </c>
      <c r="EE133" s="199"/>
      <c r="EF133"/>
      <c r="EG133"/>
      <c r="EH133"/>
      <c r="EI133"/>
      <c r="EJ133"/>
      <c r="EK133"/>
    </row>
    <row r="134" spans="1:141" s="137" customFormat="1">
      <c r="A134" s="193"/>
      <c r="B134" s="138" t="s">
        <v>272</v>
      </c>
      <c r="C134" s="138"/>
      <c r="D134" s="217">
        <v>-29.402156158118263</v>
      </c>
      <c r="E134" s="218">
        <v>-3.462920614178373</v>
      </c>
      <c r="F134" s="218">
        <v>-46.071377981051903</v>
      </c>
      <c r="G134" s="219">
        <v>-4.7696831100947383</v>
      </c>
      <c r="H134" s="218">
        <v>-23.19503430251552</v>
      </c>
      <c r="I134" s="218">
        <v>-9.1473374714145699</v>
      </c>
      <c r="J134" s="218">
        <v>0</v>
      </c>
      <c r="K134" s="219">
        <v>-34.825220516171186</v>
      </c>
      <c r="L134" s="218">
        <v>0</v>
      </c>
      <c r="M134" s="218">
        <v>-2.2214962430578242</v>
      </c>
      <c r="N134" s="218">
        <v>-6.0111074812152889</v>
      </c>
      <c r="O134" s="219">
        <v>-22.280300555374062</v>
      </c>
      <c r="P134" s="218">
        <v>0</v>
      </c>
      <c r="Q134" s="218">
        <v>-59.1</v>
      </c>
      <c r="R134" s="218">
        <v>-348.1</v>
      </c>
      <c r="S134" s="219"/>
      <c r="T134" s="218">
        <v>0</v>
      </c>
      <c r="U134" s="218">
        <v>-101.1</v>
      </c>
      <c r="V134" s="218">
        <v>0</v>
      </c>
      <c r="W134" s="219">
        <v>0</v>
      </c>
      <c r="X134" s="218">
        <v>-59</v>
      </c>
      <c r="Y134" s="218">
        <f>-2277.6+310-X134</f>
        <v>-1908.6</v>
      </c>
      <c r="Z134" s="218">
        <f>-2450.8+310-SUM(X134:Y134)</f>
        <v>-173.20000000000027</v>
      </c>
      <c r="AA134" s="219">
        <f>-2478.6+310-SUM(X134:Z134)</f>
        <v>-27.799999999999727</v>
      </c>
      <c r="AB134" s="218">
        <v>14.6</v>
      </c>
      <c r="AC134" s="218">
        <f>104.1-AB134</f>
        <v>89.5</v>
      </c>
      <c r="AD134" s="218">
        <f>-11.8+106.7-SUM(AB134:AC134)</f>
        <v>-9.1999999999999886</v>
      </c>
      <c r="AE134" s="219">
        <f>-11.8+116.9-SUM(AB134:AD134)</f>
        <v>10.200000000000003</v>
      </c>
      <c r="AF134" s="218">
        <v>36.299999999999997</v>
      </c>
      <c r="AG134" s="218">
        <f>44.7-AF134</f>
        <v>8.4000000000000057</v>
      </c>
      <c r="AH134" s="218">
        <f>44.7-SUM(AF134:AG134)</f>
        <v>0</v>
      </c>
      <c r="AI134" s="219">
        <f>81.1-SUM(AF134:AH134)</f>
        <v>36.399999999999991</v>
      </c>
      <c r="AJ134" s="218"/>
      <c r="AK134" s="218"/>
      <c r="AL134" s="218">
        <f>-10.7-SUM(AJ134:AK134)</f>
        <v>-10.7</v>
      </c>
      <c r="AM134" s="219">
        <f>-15.2+22.5-SUM(AJ134:AL134)</f>
        <v>18</v>
      </c>
      <c r="AN134" s="218"/>
      <c r="AO134" s="218"/>
      <c r="AP134" s="218">
        <f>-12.4-SUM(AN134:AO134)</f>
        <v>-12.4</v>
      </c>
      <c r="AQ134" s="219">
        <f>-13.7+33.7-SUM(AN134:AP134)</f>
        <v>32.400000000000006</v>
      </c>
      <c r="AR134" s="218">
        <v>0</v>
      </c>
      <c r="AS134" s="218">
        <v>-73.900000000000006</v>
      </c>
      <c r="AT134" s="218">
        <f>-73.9-SUM(AR134:AS134)</f>
        <v>0</v>
      </c>
      <c r="AU134" s="219">
        <f>-103+56.3-SUM(AR134:AT134)</f>
        <v>27.200000000000003</v>
      </c>
      <c r="AV134" s="218"/>
      <c r="AW134" s="218"/>
      <c r="AX134" s="218"/>
      <c r="AY134" s="219">
        <f>-11.8+33.3-SUM(AV134:AX134)</f>
        <v>21.499999999999996</v>
      </c>
      <c r="AZ134" s="218"/>
      <c r="BA134" s="218"/>
      <c r="BB134" s="218">
        <f>0-SUM(AZ134:BA134)</f>
        <v>0</v>
      </c>
      <c r="BC134" s="219">
        <f>-30.5-16.2+82.1-SUM(AZ134:BB134)</f>
        <v>35.399999999999991</v>
      </c>
      <c r="BD134" s="218">
        <v>-57.3</v>
      </c>
      <c r="BE134" s="218">
        <f>-55.9-BD134</f>
        <v>1.3999999999999986</v>
      </c>
      <c r="BF134" s="218">
        <f>-48.3-SUM(BD134:BE134)</f>
        <v>7.6000000000000014</v>
      </c>
      <c r="BG134" s="219">
        <f>-33.4-100.9+10-SUM(BD134:BF134)</f>
        <v>-76.000000000000014</v>
      </c>
      <c r="BH134" s="218"/>
      <c r="BI134" s="218">
        <f>0-BH134</f>
        <v>0</v>
      </c>
      <c r="BJ134" s="218">
        <f>0-SUM(BH134:BI134)</f>
        <v>0</v>
      </c>
      <c r="BK134" s="219">
        <f>-27.9+51.9-SUM(BH134:BJ134)</f>
        <v>24</v>
      </c>
      <c r="BL134" s="218"/>
      <c r="BM134" s="218"/>
      <c r="BN134" s="218">
        <f>0-SUM(BL134:BM134)</f>
        <v>0</v>
      </c>
      <c r="BO134" s="219">
        <f>-4.4+4+29.7-SUM(BL134:BN134)</f>
        <v>29.299999999999997</v>
      </c>
      <c r="BP134" s="218"/>
      <c r="BQ134" s="218"/>
      <c r="BR134" s="218"/>
      <c r="BS134" s="219">
        <f>-12.3-SUM(BP134:BR134)</f>
        <v>-12.3</v>
      </c>
      <c r="BT134" s="218"/>
      <c r="BU134" s="218"/>
      <c r="BV134" s="218"/>
      <c r="BW134" s="219"/>
      <c r="BX134" s="218">
        <v>1</v>
      </c>
      <c r="BY134" s="218">
        <f>-246.1-BX134</f>
        <v>-247.1</v>
      </c>
      <c r="BZ134" s="218">
        <f>-246.1-BX134-BY134</f>
        <v>0</v>
      </c>
      <c r="CA134" s="219">
        <f>-243.9-((BX134+BY134+BZ134))</f>
        <v>2.1999999999999886</v>
      </c>
      <c r="CB134" s="218"/>
      <c r="CC134" s="218"/>
      <c r="CD134" s="218"/>
      <c r="CE134" s="219"/>
      <c r="CF134" s="218"/>
      <c r="CG134" s="218"/>
      <c r="CH134" s="218"/>
      <c r="CI134" s="219">
        <f>-350-CH134-CG134-CF134</f>
        <v>-350</v>
      </c>
      <c r="CJ134" s="218">
        <v>-473.3</v>
      </c>
      <c r="CK134" s="218">
        <f>-465.3-CJ134</f>
        <v>8</v>
      </c>
      <c r="CL134" s="218">
        <f>-465.3-((CJ134+CK134))</f>
        <v>0</v>
      </c>
      <c r="CM134" s="219">
        <f>-499.2-SUM(CJ134:CL134)</f>
        <v>-33.899999999999977</v>
      </c>
      <c r="CN134" s="218"/>
      <c r="CO134" s="218"/>
      <c r="CP134" s="218"/>
      <c r="CQ134" s="219">
        <f>-155.9-CP134-CO134-CN134</f>
        <v>-155.9</v>
      </c>
      <c r="CR134" s="218"/>
      <c r="CS134" s="218">
        <f>-286.8-CR134</f>
        <v>-286.8</v>
      </c>
      <c r="CT134" s="218">
        <f>-286.8-CS134-CR134</f>
        <v>0</v>
      </c>
      <c r="CU134" s="195"/>
      <c r="CV134" s="194"/>
      <c r="CW134" s="194"/>
      <c r="CX134" s="194"/>
      <c r="CY134" s="195"/>
      <c r="DA134" s="212">
        <f>SUM(D134:G134)</f>
        <v>-83.706137863443274</v>
      </c>
      <c r="DB134" s="212">
        <f>SUM(H134:K134)</f>
        <v>-67.167592290101283</v>
      </c>
      <c r="DC134" s="212">
        <f>SUM(L134:O134)</f>
        <v>-30.512904279647174</v>
      </c>
      <c r="DD134" s="212">
        <f>SUM(P134:S134)</f>
        <v>-407.20000000000005</v>
      </c>
      <c r="DE134" s="212">
        <f>SUM(T134:W134)</f>
        <v>-101.1</v>
      </c>
      <c r="DF134" s="212">
        <f>SUM(X134:AA134)</f>
        <v>-2168.6</v>
      </c>
      <c r="DG134" s="212">
        <f>SUM(AB134:AE134)</f>
        <v>105.10000000000001</v>
      </c>
      <c r="DH134" s="212">
        <f>SUM(AF134:AI134)</f>
        <v>81.099999999999994</v>
      </c>
      <c r="DI134" s="212">
        <f>SUM(AJ134:AM134)</f>
        <v>7.3000000000000007</v>
      </c>
      <c r="DJ134" s="212">
        <f>SUM(AN134:AQ134)</f>
        <v>20.000000000000007</v>
      </c>
      <c r="DK134" s="212">
        <f>SUM(AR134:AU134)</f>
        <v>-46.7</v>
      </c>
      <c r="DL134" s="212">
        <f>SUM(AV134:AY134)</f>
        <v>21.499999999999996</v>
      </c>
      <c r="DM134" s="212">
        <f>SUM(AZ134:BC134)</f>
        <v>35.399999999999991</v>
      </c>
      <c r="DN134" s="212">
        <f>SUM(BD134:BG134)</f>
        <v>-124.30000000000001</v>
      </c>
      <c r="DO134" s="212">
        <f>SUM(BH134:BK134)</f>
        <v>24</v>
      </c>
      <c r="DP134" s="212">
        <f>SUM(BL134:BO134)</f>
        <v>29.299999999999997</v>
      </c>
      <c r="DQ134" s="212">
        <f>SUM(BP134:BS134)</f>
        <v>-12.3</v>
      </c>
      <c r="DR134" s="212"/>
      <c r="DS134" s="212">
        <f>SUM(BX134:CA134)</f>
        <v>-243.9</v>
      </c>
      <c r="DT134" s="212"/>
      <c r="DU134" s="212">
        <f>SUM(CF134:CI134)</f>
        <v>-350</v>
      </c>
      <c r="DV134" s="212">
        <f>SUM(CJ134:CM134)</f>
        <v>-499.2</v>
      </c>
      <c r="DW134" s="212">
        <f>SUM(CN134:CQ134)</f>
        <v>-155.9</v>
      </c>
      <c r="DX134" s="354">
        <f>SUM(CR134:CU134)</f>
        <v>-286.8</v>
      </c>
      <c r="DY134" s="354">
        <f t="shared" si="311"/>
        <v>0</v>
      </c>
      <c r="DZ134" s="349"/>
      <c r="EA134" s="194"/>
      <c r="EB134" s="194"/>
      <c r="EC134" s="194"/>
      <c r="ED134" s="194"/>
      <c r="EE134" s="199"/>
      <c r="EF134"/>
      <c r="EG134"/>
      <c r="EH134"/>
      <c r="EI134"/>
      <c r="EJ134"/>
      <c r="EK134"/>
    </row>
    <row r="135" spans="1:141" s="137" customFormat="1">
      <c r="A135" s="193"/>
      <c r="B135" s="200" t="s">
        <v>53</v>
      </c>
      <c r="C135" s="200"/>
      <c r="D135" s="220"/>
      <c r="E135" s="221"/>
      <c r="F135" s="221"/>
      <c r="G135" s="219"/>
      <c r="H135" s="221"/>
      <c r="I135" s="221"/>
      <c r="J135" s="221"/>
      <c r="K135" s="219"/>
      <c r="L135" s="221"/>
      <c r="M135" s="221"/>
      <c r="N135" s="221"/>
      <c r="O135" s="219"/>
      <c r="P135" s="221">
        <v>-3.1</v>
      </c>
      <c r="Q135" s="221">
        <v>4.5</v>
      </c>
      <c r="R135" s="221">
        <v>1.4</v>
      </c>
      <c r="S135" s="219"/>
      <c r="T135" s="221">
        <v>0.5</v>
      </c>
      <c r="U135" s="221">
        <v>0</v>
      </c>
      <c r="V135" s="221">
        <v>0</v>
      </c>
      <c r="W135" s="219">
        <v>0</v>
      </c>
      <c r="X135" s="221"/>
      <c r="Y135" s="221"/>
      <c r="Z135" s="221">
        <f>0-SUM(X135:Y135)</f>
        <v>0</v>
      </c>
      <c r="AA135" s="219">
        <f>21.8-SUM(X135:Z135)</f>
        <v>21.8</v>
      </c>
      <c r="AB135" s="221">
        <v>-8.8000000000000007</v>
      </c>
      <c r="AC135" s="221">
        <f>-7.9-AB135</f>
        <v>0.90000000000000036</v>
      </c>
      <c r="AD135" s="221">
        <f>-7.9-SUM(AB135:AC135)</f>
        <v>0</v>
      </c>
      <c r="AE135" s="219">
        <f>-7.9-SUM(AB135:AD135)</f>
        <v>0</v>
      </c>
      <c r="AF135" s="221"/>
      <c r="AG135" s="221">
        <v>6.4</v>
      </c>
      <c r="AH135" s="221">
        <f>11.9-SUM(AF135:AG135)</f>
        <v>5.5</v>
      </c>
      <c r="AI135" s="219">
        <f>-15.2-SUM(AF135:AH135)</f>
        <v>-27.1</v>
      </c>
      <c r="AJ135" s="221">
        <v>2.9</v>
      </c>
      <c r="AK135" s="221">
        <f>-1.3-AJ135</f>
        <v>-4.2</v>
      </c>
      <c r="AL135" s="221">
        <f>18-SUM(AJ135:AK135)</f>
        <v>19.3</v>
      </c>
      <c r="AM135" s="219">
        <f>6-SUM(AJ135:AL135)</f>
        <v>-12</v>
      </c>
      <c r="AN135" s="221">
        <v>3.4</v>
      </c>
      <c r="AO135" s="221">
        <f>10.5-AN135</f>
        <v>7.1</v>
      </c>
      <c r="AP135" s="221">
        <f>31.5-SUM(AN135:AO135)</f>
        <v>21</v>
      </c>
      <c r="AQ135" s="219">
        <f>8.8-SUM(AN135:AP135)</f>
        <v>-22.7</v>
      </c>
      <c r="AR135" s="221">
        <v>10.3</v>
      </c>
      <c r="AS135" s="221">
        <f>1.6-AR135</f>
        <v>-8.7000000000000011</v>
      </c>
      <c r="AT135" s="221">
        <f>10.4-SUM(AR135:AS135)</f>
        <v>8.8000000000000007</v>
      </c>
      <c r="AU135" s="219">
        <f>3.2-SUM(AR135:AT135)</f>
        <v>-7.2</v>
      </c>
      <c r="AV135" s="221">
        <v>-4.3</v>
      </c>
      <c r="AW135" s="221">
        <f>3.1-AV135</f>
        <v>7.4</v>
      </c>
      <c r="AX135" s="221">
        <f>15.1-SUM(AV135:AW135)</f>
        <v>12</v>
      </c>
      <c r="AY135" s="219">
        <f>5.3-SUM(AV135:AX135)</f>
        <v>-9.8000000000000007</v>
      </c>
      <c r="AZ135" s="221">
        <v>27.9</v>
      </c>
      <c r="BA135" s="221">
        <f>-68.6+35.2-AZ135</f>
        <v>-61.29999999999999</v>
      </c>
      <c r="BB135" s="221">
        <f>21.1-SUM(AZ135:BA135)</f>
        <v>54.499999999999993</v>
      </c>
      <c r="BC135" s="219">
        <f>0-SUM(AZ135:BB135)</f>
        <v>-21.1</v>
      </c>
      <c r="BD135" s="221">
        <v>-28.6</v>
      </c>
      <c r="BE135" s="221">
        <f>-30.1-BD135</f>
        <v>-1.5</v>
      </c>
      <c r="BF135" s="221">
        <f>-28.8-SUM(BD135:BE135)</f>
        <v>1.3000000000000007</v>
      </c>
      <c r="BG135" s="219">
        <f>-13.5-SUM(BD135:BF135)</f>
        <v>15.3</v>
      </c>
      <c r="BH135" s="221">
        <v>13.3</v>
      </c>
      <c r="BI135" s="221">
        <f>10.1-BH135</f>
        <v>-3.2000000000000011</v>
      </c>
      <c r="BJ135" s="221">
        <f>-11.5-SUM(BH135:BI135)</f>
        <v>-21.6</v>
      </c>
      <c r="BK135" s="219">
        <f>-0.7-SUM(BH135:BJ135)</f>
        <v>10.800000000000002</v>
      </c>
      <c r="BL135" s="221">
        <v>8.4</v>
      </c>
      <c r="BM135" s="221">
        <f>9.2-BL135</f>
        <v>0.79999999999999893</v>
      </c>
      <c r="BN135" s="221">
        <f>22.6-SUM(BL135:BM135)</f>
        <v>13.400000000000002</v>
      </c>
      <c r="BO135" s="219">
        <f>-2.2-0.5-SUM(BL135:BN135)</f>
        <v>-25.3</v>
      </c>
      <c r="BP135" s="221">
        <v>4.0999999999999996</v>
      </c>
      <c r="BQ135" s="221">
        <f>2.6-BP135</f>
        <v>-1.4999999999999996</v>
      </c>
      <c r="BR135" s="221">
        <f>2.1-SUM(BP135:BQ135)</f>
        <v>-0.5</v>
      </c>
      <c r="BS135" s="219">
        <f>18.6-5.1-SUM(BP135:BR135)</f>
        <v>11.400000000000002</v>
      </c>
      <c r="BT135" s="221">
        <v>-6.6</v>
      </c>
      <c r="BU135" s="221">
        <f>20.7-BT135</f>
        <v>27.299999999999997</v>
      </c>
      <c r="BV135" s="221">
        <f>22.9-SUM(BT135:BU135)</f>
        <v>2.2000000000000028</v>
      </c>
      <c r="BW135" s="219">
        <f>-8.6+9.9+25-SUM(BT135:BV135)</f>
        <v>3.4000000000000021</v>
      </c>
      <c r="BX135" s="221">
        <v>4.9000000000000004</v>
      </c>
      <c r="BY135" s="221">
        <f>4.5+0.1-BX135</f>
        <v>-0.30000000000000071</v>
      </c>
      <c r="BZ135" s="221">
        <f>11.4-0.9-BX135-BY135</f>
        <v>5.9</v>
      </c>
      <c r="CA135" s="219">
        <f>19.2-4.9-((BX135+BY135+BZ135))</f>
        <v>3.7999999999999989</v>
      </c>
      <c r="CB135" s="221">
        <f>7.1+51.3</f>
        <v>58.4</v>
      </c>
      <c r="CC135" s="221">
        <f>(7.1+40.6)-(CB135)</f>
        <v>-10.699999999999996</v>
      </c>
      <c r="CD135" s="221">
        <f>(7.1+40.7)-((CB135+CC135))</f>
        <v>0.10000000000000142</v>
      </c>
      <c r="CE135" s="219">
        <f>7.1+49.6-CD135-CC135-CB135</f>
        <v>8.8999999999999986</v>
      </c>
      <c r="CF135" s="221">
        <v>-14</v>
      </c>
      <c r="CG135" s="221">
        <f>-14.9-CF135</f>
        <v>-0.90000000000000036</v>
      </c>
      <c r="CH135" s="221">
        <f>(-9)-((CF135+CG135))</f>
        <v>5.9</v>
      </c>
      <c r="CI135" s="219">
        <f>-5.9-CH135-CG135-CF135</f>
        <v>3.0999999999999996</v>
      </c>
      <c r="CJ135" s="221">
        <v>7.9</v>
      </c>
      <c r="CK135" s="221">
        <f>8.3-CJ135</f>
        <v>0.40000000000000036</v>
      </c>
      <c r="CL135" s="221">
        <f>(-10.6)-((CJ135+CK135))</f>
        <v>-18.899999999999999</v>
      </c>
      <c r="CM135" s="219">
        <f>19.7-SUM(CJ135:CL135)</f>
        <v>30.299999999999997</v>
      </c>
      <c r="CN135" s="221">
        <v>-1.8</v>
      </c>
      <c r="CO135" s="221">
        <f>50.5-CN135</f>
        <v>52.3</v>
      </c>
      <c r="CP135" s="221">
        <f>51.8-CO135-CN135</f>
        <v>1.3</v>
      </c>
      <c r="CQ135" s="219">
        <f>47.1-SUM(CN135:CP135)</f>
        <v>-4.6999999999999957</v>
      </c>
      <c r="CR135" s="221">
        <v>-7.8</v>
      </c>
      <c r="CS135" s="221">
        <f>-5.5-CR135</f>
        <v>2.2999999999999998</v>
      </c>
      <c r="CT135" s="221">
        <f>16.9-CS135-CR135</f>
        <v>22.4</v>
      </c>
      <c r="CU135" s="201"/>
      <c r="CV135" s="560"/>
      <c r="CW135" s="560"/>
      <c r="CX135" s="560"/>
      <c r="CY135" s="201"/>
      <c r="DA135" s="542">
        <f>SUM(D135:G135)</f>
        <v>0</v>
      </c>
      <c r="DB135" s="542">
        <f>SUM(H135:K135)</f>
        <v>0</v>
      </c>
      <c r="DC135" s="542">
        <f>SUM(L135:O135)</f>
        <v>0</v>
      </c>
      <c r="DD135" s="542">
        <f>SUM(P135:S135)</f>
        <v>2.8</v>
      </c>
      <c r="DE135" s="542">
        <f>SUM(T135:W135)</f>
        <v>0.5</v>
      </c>
      <c r="DF135" s="542">
        <f>SUM(X135:AA135)</f>
        <v>21.8</v>
      </c>
      <c r="DG135" s="542">
        <f>SUM(AB135:AE135)</f>
        <v>-7.9</v>
      </c>
      <c r="DH135" s="542">
        <f>SUM(AF135:AI135)</f>
        <v>-15.200000000000001</v>
      </c>
      <c r="DI135" s="542">
        <f>SUM(AJ135:AM135)</f>
        <v>6</v>
      </c>
      <c r="DJ135" s="542">
        <f>SUM(AN135:AQ135)</f>
        <v>8.8000000000000007</v>
      </c>
      <c r="DK135" s="542">
        <f>SUM(AR135:AU135)</f>
        <v>3.2</v>
      </c>
      <c r="DL135" s="542">
        <f>SUM(AV135:AY135)</f>
        <v>5.3000000000000007</v>
      </c>
      <c r="DM135" s="542">
        <f>SUM(AZ135:BC135)</f>
        <v>0</v>
      </c>
      <c r="DN135" s="542">
        <f>SUM(BD135:BG135)</f>
        <v>-13.5</v>
      </c>
      <c r="DO135" s="542">
        <f>SUM(BH135:BK135)</f>
        <v>-0.69999999999999929</v>
      </c>
      <c r="DP135" s="542">
        <f>SUM(BL135:BO135)</f>
        <v>-2.6999999999999993</v>
      </c>
      <c r="DQ135" s="542">
        <f>SUM(BP135:BS135)</f>
        <v>13.500000000000002</v>
      </c>
      <c r="DR135" s="542">
        <f>SUM(BT135:BW135)</f>
        <v>26.3</v>
      </c>
      <c r="DS135" s="542">
        <f>SUM(BX135:CA135)</f>
        <v>14.299999999999999</v>
      </c>
      <c r="DT135" s="542">
        <f>SUM(CB135:CE135)</f>
        <v>56.7</v>
      </c>
      <c r="DU135" s="542">
        <f>SUM(CF135:CI135)</f>
        <v>-5.9</v>
      </c>
      <c r="DV135" s="542">
        <f>SUM(CJ135:CM135)</f>
        <v>19.7</v>
      </c>
      <c r="DW135" s="542">
        <f>SUM(CN135:CQ135)</f>
        <v>47.1</v>
      </c>
      <c r="DX135" s="543">
        <f>SUM(CR135:CU135)</f>
        <v>16.899999999999999</v>
      </c>
      <c r="DY135" s="543">
        <f t="shared" si="311"/>
        <v>0</v>
      </c>
      <c r="DZ135" s="352"/>
      <c r="EA135" s="560"/>
      <c r="EB135" s="560"/>
      <c r="EC135" s="560"/>
      <c r="ED135" s="560"/>
      <c r="EE135" s="199"/>
      <c r="EF135"/>
      <c r="EG135"/>
      <c r="EH135"/>
      <c r="EI135"/>
      <c r="EJ135"/>
      <c r="EK135"/>
    </row>
    <row r="136" spans="1:141" s="283" customFormat="1">
      <c r="A136" s="282"/>
      <c r="B136" s="205" t="s">
        <v>273</v>
      </c>
      <c r="C136" s="205"/>
      <c r="D136" s="206">
        <f t="shared" ref="D136:AC136" si="312">SUM(D133:D135)</f>
        <v>-44.887291735527263</v>
      </c>
      <c r="E136" s="207">
        <f t="shared" si="312"/>
        <v>-25.612544919960797</v>
      </c>
      <c r="F136" s="207">
        <f t="shared" si="312"/>
        <v>-85.404929108134553</v>
      </c>
      <c r="G136" s="294">
        <f t="shared" si="312"/>
        <v>-75.596210388841826</v>
      </c>
      <c r="H136" s="207">
        <f t="shared" si="312"/>
        <v>-71.67592290101274</v>
      </c>
      <c r="I136" s="207">
        <f t="shared" si="312"/>
        <v>-50.63704671675923</v>
      </c>
      <c r="J136" s="207">
        <f t="shared" si="312"/>
        <v>-41.171018621365597</v>
      </c>
      <c r="K136" s="294">
        <f t="shared" si="312"/>
        <v>-96.831100947402817</v>
      </c>
      <c r="L136" s="207">
        <f t="shared" si="312"/>
        <v>-38.614831754328655</v>
      </c>
      <c r="M136" s="207">
        <f t="shared" si="312"/>
        <v>-71.937275400196015</v>
      </c>
      <c r="N136" s="207">
        <f t="shared" si="312"/>
        <v>-63.443319176739635</v>
      </c>
      <c r="O136" s="294">
        <f t="shared" si="312"/>
        <v>-72.590656648154209</v>
      </c>
      <c r="P136" s="207">
        <f t="shared" si="312"/>
        <v>-35.700000000000003</v>
      </c>
      <c r="Q136" s="207">
        <f t="shared" si="312"/>
        <v>-97.1</v>
      </c>
      <c r="R136" s="207">
        <f t="shared" si="312"/>
        <v>-459.80000000000007</v>
      </c>
      <c r="S136" s="294">
        <f t="shared" si="312"/>
        <v>-74.8</v>
      </c>
      <c r="T136" s="207">
        <f t="shared" si="312"/>
        <v>-47.7</v>
      </c>
      <c r="U136" s="207">
        <f t="shared" si="312"/>
        <v>-177.89999999999998</v>
      </c>
      <c r="V136" s="207">
        <f t="shared" si="312"/>
        <v>-111.8</v>
      </c>
      <c r="W136" s="294">
        <f t="shared" si="312"/>
        <v>-114.6</v>
      </c>
      <c r="X136" s="207">
        <f t="shared" si="312"/>
        <v>-130.6</v>
      </c>
      <c r="Y136" s="207">
        <f t="shared" si="312"/>
        <v>-1999.6</v>
      </c>
      <c r="Z136" s="207">
        <f t="shared" si="312"/>
        <v>-267.60000000000025</v>
      </c>
      <c r="AA136" s="294">
        <f t="shared" si="312"/>
        <v>-140.39999999999969</v>
      </c>
      <c r="AB136" s="207">
        <f t="shared" si="312"/>
        <v>-79.600000000000009</v>
      </c>
      <c r="AC136" s="207">
        <f t="shared" si="312"/>
        <v>14.4</v>
      </c>
      <c r="AD136" s="207">
        <f t="shared" ref="AD136:BC136" si="313">SUM(AD133:AD135)</f>
        <v>-75.599999999999994</v>
      </c>
      <c r="AE136" s="294">
        <f t="shared" si="313"/>
        <v>-84.3</v>
      </c>
      <c r="AF136" s="207">
        <f t="shared" si="313"/>
        <v>-14.5</v>
      </c>
      <c r="AG136" s="207">
        <f t="shared" si="313"/>
        <v>-22.1</v>
      </c>
      <c r="AH136" s="207">
        <f t="shared" si="313"/>
        <v>-64.2</v>
      </c>
      <c r="AI136" s="294">
        <f t="shared" si="313"/>
        <v>-100.30000000000001</v>
      </c>
      <c r="AJ136" s="207">
        <f t="shared" si="313"/>
        <v>-43.300000000000004</v>
      </c>
      <c r="AK136" s="207">
        <f t="shared" si="313"/>
        <v>-60.5</v>
      </c>
      <c r="AL136" s="207">
        <f t="shared" si="313"/>
        <v>-62.200000000000017</v>
      </c>
      <c r="AM136" s="294">
        <f t="shared" si="313"/>
        <v>-93.300000000000011</v>
      </c>
      <c r="AN136" s="207">
        <f t="shared" si="313"/>
        <v>-66.899999999999991</v>
      </c>
      <c r="AO136" s="207">
        <f t="shared" si="313"/>
        <v>-59.900000000000013</v>
      </c>
      <c r="AP136" s="207">
        <f t="shared" si="313"/>
        <v>-68.299999999999983</v>
      </c>
      <c r="AQ136" s="294">
        <f t="shared" si="313"/>
        <v>-151.70000000000002</v>
      </c>
      <c r="AR136" s="207">
        <f t="shared" si="313"/>
        <v>-67</v>
      </c>
      <c r="AS136" s="207">
        <f t="shared" si="313"/>
        <v>-197.89999999999998</v>
      </c>
      <c r="AT136" s="207">
        <f t="shared" si="313"/>
        <v>-82.3</v>
      </c>
      <c r="AU136" s="294">
        <f t="shared" si="313"/>
        <v>-125.30000000000001</v>
      </c>
      <c r="AV136" s="207">
        <f t="shared" si="313"/>
        <v>-133.70000000000002</v>
      </c>
      <c r="AW136" s="207">
        <f t="shared" si="313"/>
        <v>-142.30000000000001</v>
      </c>
      <c r="AX136" s="207">
        <f t="shared" si="313"/>
        <v>-123.19999999999999</v>
      </c>
      <c r="AY136" s="294">
        <f t="shared" si="313"/>
        <v>-142.39999999999998</v>
      </c>
      <c r="AZ136" s="207">
        <f t="shared" si="313"/>
        <v>-64.699999999999989</v>
      </c>
      <c r="BA136" s="207">
        <f t="shared" si="313"/>
        <v>-153.39999999999998</v>
      </c>
      <c r="BB136" s="207">
        <f t="shared" si="313"/>
        <v>-29.300000000000018</v>
      </c>
      <c r="BC136" s="294">
        <f t="shared" si="313"/>
        <v>-64.80000000000004</v>
      </c>
      <c r="BD136" s="207">
        <f t="shared" ref="BD136:CI136" si="314">SUM(BD133:BD135)</f>
        <v>-115.1</v>
      </c>
      <c r="BE136" s="207">
        <f t="shared" si="314"/>
        <v>-39.199999999999996</v>
      </c>
      <c r="BF136" s="207">
        <f t="shared" si="314"/>
        <v>-36.899999999999991</v>
      </c>
      <c r="BG136" s="294">
        <f t="shared" si="314"/>
        <v>-148.80000000000001</v>
      </c>
      <c r="BH136" s="207">
        <f t="shared" si="314"/>
        <v>-32.200000000000003</v>
      </c>
      <c r="BI136" s="207">
        <f t="shared" si="314"/>
        <v>-53.2</v>
      </c>
      <c r="BJ136" s="207">
        <f t="shared" si="314"/>
        <v>-59.900000000000013</v>
      </c>
      <c r="BK136" s="294">
        <f t="shared" si="314"/>
        <v>0.90000000000002522</v>
      </c>
      <c r="BL136" s="207">
        <f t="shared" si="314"/>
        <v>-12.299999999999999</v>
      </c>
      <c r="BM136" s="207">
        <f t="shared" si="314"/>
        <v>-20.6</v>
      </c>
      <c r="BN136" s="207">
        <f t="shared" si="314"/>
        <v>-7.1999999999999993</v>
      </c>
      <c r="BO136" s="294">
        <f t="shared" si="314"/>
        <v>-52.099999999999994</v>
      </c>
      <c r="BP136" s="207">
        <f t="shared" si="314"/>
        <v>-30.699999999999996</v>
      </c>
      <c r="BQ136" s="207">
        <f t="shared" si="314"/>
        <v>-43.100000000000009</v>
      </c>
      <c r="BR136" s="207">
        <f t="shared" si="314"/>
        <v>-39.399999999999991</v>
      </c>
      <c r="BS136" s="294">
        <f t="shared" si="314"/>
        <v>-78.900000000000006</v>
      </c>
      <c r="BT136" s="207">
        <f t="shared" si="314"/>
        <v>-77.099999999999994</v>
      </c>
      <c r="BU136" s="207">
        <f t="shared" si="314"/>
        <v>-58.400000000000006</v>
      </c>
      <c r="BV136" s="207">
        <f t="shared" si="314"/>
        <v>-89.3</v>
      </c>
      <c r="BW136" s="294">
        <f t="shared" si="314"/>
        <v>-78.400000000000006</v>
      </c>
      <c r="BX136" s="207">
        <f t="shared" si="314"/>
        <v>-64.399999999999991</v>
      </c>
      <c r="BY136" s="207">
        <f t="shared" si="314"/>
        <v>-357.5</v>
      </c>
      <c r="BZ136" s="207">
        <f t="shared" si="314"/>
        <v>-114.19999999999997</v>
      </c>
      <c r="CA136" s="294">
        <f t="shared" si="314"/>
        <v>-151.80000000000001</v>
      </c>
      <c r="CB136" s="207">
        <f>SUM(CB133:CB135)</f>
        <v>-40.300000000000004</v>
      </c>
      <c r="CC136" s="207">
        <f>SUM(CC133:CC135)</f>
        <v>-138.4</v>
      </c>
      <c r="CD136" s="207">
        <f>SUM(CD133:CD135)</f>
        <v>-102.69999999999999</v>
      </c>
      <c r="CE136" s="294">
        <f>SUM(CE133:CE135)</f>
        <v>-122.50000000000009</v>
      </c>
      <c r="CF136" s="207">
        <f t="shared" si="314"/>
        <v>-110.4</v>
      </c>
      <c r="CG136" s="207">
        <f t="shared" si="314"/>
        <v>-93.6</v>
      </c>
      <c r="CH136" s="207">
        <f t="shared" si="314"/>
        <v>-85.800000000000011</v>
      </c>
      <c r="CI136" s="294">
        <f t="shared" si="314"/>
        <v>-490.79999999999995</v>
      </c>
      <c r="CJ136" s="207">
        <f>SUM(CJ133:CJ135)</f>
        <v>-564.20000000000005</v>
      </c>
      <c r="CK136" s="207">
        <f>SUM(CK133:CK135)</f>
        <v>-105.7</v>
      </c>
      <c r="CL136" s="207">
        <f>SUM(CL133:CL135)</f>
        <v>-133.69999999999999</v>
      </c>
      <c r="CM136" s="294">
        <f>SUM(CM133:CM135)</f>
        <v>-161.69999999999999</v>
      </c>
      <c r="CN136" s="207">
        <f t="shared" ref="CN136:CR136" si="315">SUM(CN133:CN135)</f>
        <v>-89.899999999999991</v>
      </c>
      <c r="CO136" s="207">
        <f t="shared" si="315"/>
        <v>-41.3</v>
      </c>
      <c r="CP136" s="207">
        <f t="shared" si="315"/>
        <v>-117.30000000000003</v>
      </c>
      <c r="CQ136" s="294">
        <f t="shared" si="315"/>
        <v>-388.59999999999991</v>
      </c>
      <c r="CR136" s="207">
        <f t="shared" si="315"/>
        <v>-128.6</v>
      </c>
      <c r="CS136" s="207">
        <f>SUM(CS133:CS135)</f>
        <v>-437.7</v>
      </c>
      <c r="CT136" s="207">
        <f>SUM(CT133:CT135)</f>
        <v>-133.79999999999998</v>
      </c>
      <c r="CU136" s="208">
        <f t="shared" ref="CU136" si="316">SUM(CU133:CU135)</f>
        <v>-164.3</v>
      </c>
      <c r="CV136" s="207">
        <f t="shared" ref="CV136:CY136" si="317">SUM(CV133:CV135)</f>
        <v>-157.06635182100104</v>
      </c>
      <c r="CW136" s="207">
        <f t="shared" si="317"/>
        <v>-160.86791862435138</v>
      </c>
      <c r="CX136" s="207">
        <f t="shared" si="317"/>
        <v>-163.5610549127378</v>
      </c>
      <c r="CY136" s="208">
        <f t="shared" si="317"/>
        <v>-164.69763970942731</v>
      </c>
      <c r="DA136" s="557">
        <f t="shared" ref="DA136:EA136" si="318">SUM(DA133:DA135)</f>
        <v>-231.50097615246446</v>
      </c>
      <c r="DB136" s="557">
        <f t="shared" si="318"/>
        <v>-260.31508918654038</v>
      </c>
      <c r="DC136" s="557">
        <f t="shared" si="318"/>
        <v>-246.58608297941845</v>
      </c>
      <c r="DD136" s="557">
        <f t="shared" si="318"/>
        <v>-667.40000000000009</v>
      </c>
      <c r="DE136" s="557">
        <f t="shared" si="318"/>
        <v>-452</v>
      </c>
      <c r="DF136" s="557">
        <f t="shared" si="318"/>
        <v>-2538.1999999999998</v>
      </c>
      <c r="DG136" s="557">
        <f t="shared" si="318"/>
        <v>-225.1</v>
      </c>
      <c r="DH136" s="557">
        <f t="shared" si="318"/>
        <v>-201.1</v>
      </c>
      <c r="DI136" s="557">
        <f t="shared" si="318"/>
        <v>-259.3</v>
      </c>
      <c r="DJ136" s="557">
        <f t="shared" si="318"/>
        <v>-346.8</v>
      </c>
      <c r="DK136" s="557">
        <f t="shared" si="318"/>
        <v>-472.5</v>
      </c>
      <c r="DL136" s="557">
        <f t="shared" si="318"/>
        <v>-541.6</v>
      </c>
      <c r="DM136" s="557">
        <f t="shared" si="318"/>
        <v>-312.20000000000005</v>
      </c>
      <c r="DN136" s="557">
        <f t="shared" si="318"/>
        <v>-340</v>
      </c>
      <c r="DO136" s="557">
        <f t="shared" si="318"/>
        <v>-144.39999999999998</v>
      </c>
      <c r="DP136" s="557">
        <f t="shared" si="318"/>
        <v>-92.2</v>
      </c>
      <c r="DQ136" s="557">
        <f t="shared" si="318"/>
        <v>-192.10000000000002</v>
      </c>
      <c r="DR136" s="557">
        <f t="shared" si="318"/>
        <v>-303.2</v>
      </c>
      <c r="DS136" s="557">
        <f t="shared" si="318"/>
        <v>-687.90000000000009</v>
      </c>
      <c r="DT136" s="557">
        <f t="shared" si="318"/>
        <v>-403.90000000000009</v>
      </c>
      <c r="DU136" s="557">
        <f t="shared" si="318"/>
        <v>-780.6</v>
      </c>
      <c r="DV136" s="557">
        <f t="shared" si="318"/>
        <v>-965.3</v>
      </c>
      <c r="DW136" s="557">
        <f t="shared" si="318"/>
        <v>-637.09999999999991</v>
      </c>
      <c r="DX136" s="561">
        <f t="shared" si="318"/>
        <v>-864.4</v>
      </c>
      <c r="DY136" s="561">
        <f t="shared" ref="DY136" si="319">SUM(DY133:DY135)</f>
        <v>-646.19296506751755</v>
      </c>
      <c r="DZ136" s="353">
        <f t="shared" si="318"/>
        <v>-686.14570075136066</v>
      </c>
      <c r="EA136" s="207">
        <f t="shared" si="318"/>
        <v>-720.73671123685733</v>
      </c>
      <c r="EB136" s="207">
        <f t="shared" ref="EB136:ED136" si="320">SUM(EB133:EB135)</f>
        <v>-754.15504676837179</v>
      </c>
      <c r="EC136" s="207">
        <f t="shared" si="320"/>
        <v>-780.88242693347274</v>
      </c>
      <c r="ED136" s="207">
        <f t="shared" si="320"/>
        <v>-798.92813871616431</v>
      </c>
      <c r="EE136" s="205"/>
      <c r="EF136"/>
      <c r="EG136"/>
      <c r="EH136"/>
      <c r="EI136"/>
      <c r="EJ136"/>
      <c r="EK136"/>
    </row>
    <row r="137" spans="1:141" s="137" customFormat="1">
      <c r="A137" s="193"/>
      <c r="B137" s="199"/>
      <c r="C137" s="199"/>
      <c r="D137" s="576"/>
      <c r="E137" s="212"/>
      <c r="F137" s="212"/>
      <c r="G137" s="196"/>
      <c r="H137" s="212"/>
      <c r="I137" s="212"/>
      <c r="J137" s="212"/>
      <c r="K137" s="196"/>
      <c r="L137" s="212"/>
      <c r="M137" s="212"/>
      <c r="N137" s="212"/>
      <c r="O137" s="196"/>
      <c r="P137" s="212"/>
      <c r="Q137" s="212"/>
      <c r="R137" s="212"/>
      <c r="S137" s="196"/>
      <c r="T137" s="212"/>
      <c r="U137" s="212"/>
      <c r="V137" s="212"/>
      <c r="W137" s="196"/>
      <c r="X137" s="212"/>
      <c r="Y137" s="212"/>
      <c r="Z137" s="212"/>
      <c r="AA137" s="196"/>
      <c r="AB137" s="212"/>
      <c r="AC137" s="212"/>
      <c r="AD137" s="212"/>
      <c r="AE137" s="196"/>
      <c r="AF137" s="212"/>
      <c r="AG137" s="212"/>
      <c r="AH137" s="212"/>
      <c r="AI137" s="196"/>
      <c r="AJ137" s="212"/>
      <c r="AK137" s="212"/>
      <c r="AL137" s="212"/>
      <c r="AM137" s="196"/>
      <c r="AN137" s="212"/>
      <c r="AO137" s="212"/>
      <c r="AP137" s="212"/>
      <c r="AQ137" s="196"/>
      <c r="AR137" s="212"/>
      <c r="AS137" s="212"/>
      <c r="AT137" s="212"/>
      <c r="AU137" s="196"/>
      <c r="AV137" s="212"/>
      <c r="AW137" s="212"/>
      <c r="AX137" s="212"/>
      <c r="AY137" s="196"/>
      <c r="AZ137" s="212"/>
      <c r="BA137" s="212"/>
      <c r="BB137" s="212"/>
      <c r="BC137" s="196"/>
      <c r="BD137" s="212"/>
      <c r="BE137" s="212"/>
      <c r="BF137" s="212"/>
      <c r="BG137" s="196"/>
      <c r="BH137" s="212"/>
      <c r="BI137" s="212"/>
      <c r="BJ137" s="212"/>
      <c r="BK137" s="196"/>
      <c r="BL137" s="212"/>
      <c r="BM137" s="212"/>
      <c r="BN137" s="212"/>
      <c r="BO137" s="196"/>
      <c r="BP137" s="212"/>
      <c r="BQ137" s="212"/>
      <c r="BR137" s="212"/>
      <c r="BS137" s="196"/>
      <c r="BT137" s="212"/>
      <c r="BU137" s="212"/>
      <c r="BV137" s="212"/>
      <c r="BW137" s="196"/>
      <c r="BX137" s="212"/>
      <c r="BY137" s="212"/>
      <c r="BZ137" s="212"/>
      <c r="CA137" s="196"/>
      <c r="CB137" s="212"/>
      <c r="CC137" s="212"/>
      <c r="CD137" s="212"/>
      <c r="CE137" s="196"/>
      <c r="CF137" s="212"/>
      <c r="CG137" s="212"/>
      <c r="CH137" s="212"/>
      <c r="CI137" s="196"/>
      <c r="CJ137" s="212"/>
      <c r="CK137" s="212"/>
      <c r="CL137" s="212"/>
      <c r="CM137" s="196"/>
      <c r="CN137" s="212"/>
      <c r="CO137" s="212"/>
      <c r="CP137" s="212"/>
      <c r="CQ137" s="196"/>
      <c r="CR137" s="212"/>
      <c r="CS137" s="212"/>
      <c r="CT137" s="212"/>
      <c r="CU137" s="196"/>
      <c r="CV137" s="212"/>
      <c r="CW137" s="212"/>
      <c r="CX137" s="212"/>
      <c r="CY137" s="196"/>
      <c r="DA137" s="212"/>
      <c r="DB137" s="212"/>
      <c r="DC137" s="212"/>
      <c r="DD137" s="212"/>
      <c r="DE137" s="212"/>
      <c r="DF137" s="212"/>
      <c r="DG137" s="212"/>
      <c r="DH137" s="212"/>
      <c r="DI137" s="212"/>
      <c r="DJ137" s="212"/>
      <c r="DK137" s="212"/>
      <c r="DL137" s="212"/>
      <c r="DM137" s="212"/>
      <c r="DN137" s="212"/>
      <c r="DO137" s="212"/>
      <c r="DP137" s="212"/>
      <c r="DQ137" s="212"/>
      <c r="DR137" s="212"/>
      <c r="DS137" s="212"/>
      <c r="DT137" s="212"/>
      <c r="DU137" s="212"/>
      <c r="DV137" s="212"/>
      <c r="DW137" s="212"/>
      <c r="DX137" s="139"/>
      <c r="DY137" s="139"/>
      <c r="DZ137" s="139"/>
      <c r="EA137" s="199"/>
      <c r="EB137" s="199"/>
      <c r="EC137" s="199"/>
      <c r="ED137" s="199"/>
      <c r="EE137" s="199"/>
      <c r="EF137"/>
      <c r="EG137"/>
      <c r="EH137"/>
      <c r="EI137"/>
      <c r="EJ137"/>
      <c r="EK137"/>
    </row>
    <row r="138" spans="1:141" s="137" customFormat="1">
      <c r="A138" s="193"/>
      <c r="B138" s="138" t="s">
        <v>18</v>
      </c>
      <c r="C138" s="138"/>
      <c r="D138" s="217">
        <v>0.45737487357072898</v>
      </c>
      <c r="E138" s="218">
        <v>-3.3322443645867361</v>
      </c>
      <c r="F138" s="218">
        <v>-4.0509717373407401</v>
      </c>
      <c r="G138" s="219">
        <v>1.17608624712473</v>
      </c>
      <c r="H138" s="218">
        <v>-19.797451813132962</v>
      </c>
      <c r="I138" s="218">
        <v>9.6700424697811176</v>
      </c>
      <c r="J138" s="218">
        <v>-25.677883044757401</v>
      </c>
      <c r="K138" s="219">
        <v>-5.2923881084612869</v>
      </c>
      <c r="L138" s="218">
        <v>0.58804312316236529</v>
      </c>
      <c r="M138" s="218">
        <v>-16.33453119895459</v>
      </c>
      <c r="N138" s="218">
        <v>-1.8948056190787321</v>
      </c>
      <c r="O138" s="219">
        <v>-9.7353805945769363</v>
      </c>
      <c r="P138" s="218">
        <v>-52.6</v>
      </c>
      <c r="Q138" s="218">
        <v>-56.2</v>
      </c>
      <c r="R138" s="218">
        <v>180.4</v>
      </c>
      <c r="S138" s="219"/>
      <c r="T138" s="218">
        <v>149.9</v>
      </c>
      <c r="U138" s="218">
        <v>75</v>
      </c>
      <c r="V138" s="218">
        <v>188.5</v>
      </c>
      <c r="W138" s="219">
        <v>375.3</v>
      </c>
      <c r="X138" s="218">
        <v>-33.799999999999997</v>
      </c>
      <c r="Y138" s="218">
        <f>1825.6-X138</f>
        <v>1859.3999999999999</v>
      </c>
      <c r="Z138" s="218">
        <f>2306.1-SUM(X138:Y138)</f>
        <v>480.5</v>
      </c>
      <c r="AA138" s="219">
        <f>1400+572.5-38.3-SUM(X138:Z138)</f>
        <v>-371.89999999999986</v>
      </c>
      <c r="AB138" s="218">
        <v>82.1</v>
      </c>
      <c r="AC138" s="218">
        <f>-100.2-AB138</f>
        <v>-182.3</v>
      </c>
      <c r="AD138" s="218">
        <f>-157.5-SUM(AB138:AC138)</f>
        <v>-57.299999999999983</v>
      </c>
      <c r="AE138" s="219">
        <f>-307.8-56.2-SUM(AB138:AD138)</f>
        <v>-206.5</v>
      </c>
      <c r="AF138" s="218">
        <f>223.4-487.9</f>
        <v>-264.5</v>
      </c>
      <c r="AG138" s="218">
        <f>223.4-682.3-AF138</f>
        <v>-194.39999999999998</v>
      </c>
      <c r="AH138" s="218">
        <f>223.4-689.4-SUM(AF138:AG138)</f>
        <v>-7.1000000000000227</v>
      </c>
      <c r="AI138" s="219">
        <f>223.4-345.5-4-SUM(AF138:AH138)</f>
        <v>339.9</v>
      </c>
      <c r="AJ138" s="218">
        <f>250.3-390.7</f>
        <v>-140.39999999999998</v>
      </c>
      <c r="AK138" s="218">
        <f>250.3-456.1-AJ138</f>
        <v>-65.400000000000034</v>
      </c>
      <c r="AL138" s="218">
        <f>250.3-538.4-SUM(AJ138:AK138)</f>
        <v>-82.299999999999955</v>
      </c>
      <c r="AM138" s="219">
        <f>250.3+1.4-SUM(AJ138:AL138)</f>
        <v>539.79999999999995</v>
      </c>
      <c r="AN138" s="218">
        <v>-80.599999999999994</v>
      </c>
      <c r="AO138" s="218">
        <f>-113-AN138</f>
        <v>-32.400000000000006</v>
      </c>
      <c r="AP138" s="218">
        <f>-126.1-SUM(AN138:AO138)</f>
        <v>-13.099999999999994</v>
      </c>
      <c r="AQ138" s="219">
        <f>-10.3-SUM(AN138:AP138)</f>
        <v>115.8</v>
      </c>
      <c r="AR138" s="218">
        <v>-0.7</v>
      </c>
      <c r="AS138" s="218">
        <f>-12.2-AR138</f>
        <v>-11.5</v>
      </c>
      <c r="AT138" s="218">
        <f>399.2-51.5-SUM(AR138:AS138)</f>
        <v>359.9</v>
      </c>
      <c r="AU138" s="219">
        <f>399.2-49.4-SUM(AR138:AT138)</f>
        <v>2.1000000000000227</v>
      </c>
      <c r="AV138" s="218">
        <v>5.0999999999999996</v>
      </c>
      <c r="AW138" s="218">
        <f>-600-22.2-AV138</f>
        <v>-627.30000000000007</v>
      </c>
      <c r="AX138" s="218">
        <f>-600-20.5-SUM(AV138:AW138)</f>
        <v>1.7000000000000455</v>
      </c>
      <c r="AY138" s="219">
        <f>-600-32.7-SUM(AV138:AX138)</f>
        <v>-12.200000000000045</v>
      </c>
      <c r="AZ138" s="218">
        <v>-6.1</v>
      </c>
      <c r="BA138" s="218">
        <f>-447.6-16.6-AZ138</f>
        <v>-458.1</v>
      </c>
      <c r="BB138" s="218">
        <f>-520.9-18.2-SUM(AZ138:BA138)</f>
        <v>-74.899999999999977</v>
      </c>
      <c r="BC138" s="219">
        <f>900-1356.9-36.5-SUM(AZ138:BB138)</f>
        <v>45.699999999999932</v>
      </c>
      <c r="BD138" s="218">
        <v>-3.6</v>
      </c>
      <c r="BE138" s="218">
        <f>-7.6-BD138</f>
        <v>-3.9999999999999996</v>
      </c>
      <c r="BF138" s="218">
        <f>-9.7-SUM(BD138:BE138)</f>
        <v>-2.0999999999999996</v>
      </c>
      <c r="BG138" s="219">
        <f>-2.9-21.5-SUM(BD138:BF138)</f>
        <v>-14.7</v>
      </c>
      <c r="BH138" s="218">
        <f>-2.4</f>
        <v>-2.4</v>
      </c>
      <c r="BI138" s="218">
        <f>-87-4.4-BH138</f>
        <v>-89</v>
      </c>
      <c r="BJ138" s="218">
        <f>-130.8-22.8-SUM(BH138:BI138)</f>
        <v>-62.200000000000017</v>
      </c>
      <c r="BK138" s="219">
        <f>-133.5-5.3-SUM(BH138:BJ138)</f>
        <v>14.800000000000011</v>
      </c>
      <c r="BL138" s="218">
        <v>-1.3</v>
      </c>
      <c r="BM138" s="218">
        <f>-2.6-BL138</f>
        <v>-1.3</v>
      </c>
      <c r="BN138" s="218">
        <f>-0.2-SUM(BL138:BM138)</f>
        <v>2.4</v>
      </c>
      <c r="BO138" s="219">
        <f>-1.9-0.5-SUM(BL138:BN138)</f>
        <v>-2.1999999999999997</v>
      </c>
      <c r="BP138" s="218">
        <f>-1.7+694.5</f>
        <v>692.8</v>
      </c>
      <c r="BQ138" s="218">
        <f>694.5-BP138</f>
        <v>1.7000000000000455</v>
      </c>
      <c r="BR138" s="218">
        <f>694.5-SUM(BP138:BQ138)</f>
        <v>0</v>
      </c>
      <c r="BS138" s="219">
        <f>-9.3-SUM(BP138:BR138)+694.5</f>
        <v>-9.2999999999999545</v>
      </c>
      <c r="BT138" s="218">
        <v>-1.1000000000000001</v>
      </c>
      <c r="BU138" s="218">
        <v>0</v>
      </c>
      <c r="BV138" s="218">
        <f>-1.1-SUM(BT138:BU138)</f>
        <v>0</v>
      </c>
      <c r="BW138" s="219">
        <f>-1.1-SUM(BT138:BV138)</f>
        <v>0</v>
      </c>
      <c r="BX138" s="218">
        <v>0</v>
      </c>
      <c r="BY138" s="218">
        <v>0</v>
      </c>
      <c r="BZ138" s="218">
        <f>-72.1-BX138-BY138</f>
        <v>-72.099999999999994</v>
      </c>
      <c r="CA138" s="219">
        <f>-72.1-((BX138+BY138+BZ138))</f>
        <v>0</v>
      </c>
      <c r="CB138" s="218">
        <f>500-72.1</f>
        <v>427.9</v>
      </c>
      <c r="CC138" s="218">
        <f>(500-72.1)-(CB138)</f>
        <v>0</v>
      </c>
      <c r="CD138" s="218">
        <f>(500-72.1)-((CB138+CC138))</f>
        <v>0</v>
      </c>
      <c r="CE138" s="219">
        <f>500-72.1-CD138-CC138-CB138</f>
        <v>0</v>
      </c>
      <c r="CF138" s="218">
        <f>-327.1+325</f>
        <v>-2.1000000000000227</v>
      </c>
      <c r="CG138" s="218">
        <f>-327.1+325-CF138</f>
        <v>0</v>
      </c>
      <c r="CH138" s="218">
        <f>(325-327.1)-((CF138+CG138))</f>
        <v>0</v>
      </c>
      <c r="CI138" s="219">
        <f>975-327.1-CH138-CG138-CF138</f>
        <v>650</v>
      </c>
      <c r="CJ138" s="218">
        <f>500-5</f>
        <v>495</v>
      </c>
      <c r="CK138" s="218">
        <f>500-5-CJ138</f>
        <v>0</v>
      </c>
      <c r="CL138" s="218">
        <f>(500-3.1-5)-((CJ138+CK138))</f>
        <v>-3.1000000000000227</v>
      </c>
      <c r="CM138" s="219">
        <f>500-5-SUM(CJ138:CL138)</f>
        <v>3.1000000000000227</v>
      </c>
      <c r="CN138" s="218">
        <v>-3.1</v>
      </c>
      <c r="CO138" s="218">
        <f>-9.4-CN138</f>
        <v>-6.3000000000000007</v>
      </c>
      <c r="CP138" s="218">
        <f>(0-15.6+0)-CO138-CN138</f>
        <v>-6.1999999999999993</v>
      </c>
      <c r="CQ138" s="219">
        <f>-21.9-CP138-CO138-CN138</f>
        <v>-6.2999999999999989</v>
      </c>
      <c r="CR138" s="218">
        <v>-6.2</v>
      </c>
      <c r="CS138" s="218">
        <f>-15.6-CR138</f>
        <v>-9.3999999999999986</v>
      </c>
      <c r="CT138" s="218">
        <f>250-468.7+744.7-517-CS138-CR138</f>
        <v>24.599999999999998</v>
      </c>
      <c r="CU138" s="198"/>
      <c r="CV138" s="197"/>
      <c r="CW138" s="197"/>
      <c r="CX138" s="197"/>
      <c r="CY138" s="198"/>
      <c r="DA138" s="212">
        <f>SUM(D138:G138)</f>
        <v>-5.7497549812320168</v>
      </c>
      <c r="DB138" s="212">
        <f>SUM(H138:K138)</f>
        <v>-41.097680496570533</v>
      </c>
      <c r="DC138" s="212">
        <f>SUM(L138:O138)</f>
        <v>-27.376674289447891</v>
      </c>
      <c r="DD138" s="212">
        <f>SUM(P138:S138)</f>
        <v>71.599999999999994</v>
      </c>
      <c r="DE138" s="212">
        <f>SUM(T138:W138)</f>
        <v>788.7</v>
      </c>
      <c r="DF138" s="212">
        <f>SUM(X138:AA138)</f>
        <v>1934.2</v>
      </c>
      <c r="DG138" s="212">
        <f>SUM(AB138:AE138)</f>
        <v>-364</v>
      </c>
      <c r="DH138" s="212">
        <f>SUM(AF138:AI138)</f>
        <v>-126.10000000000002</v>
      </c>
      <c r="DI138" s="212">
        <f>SUM(AJ138:AM138)</f>
        <v>251.7</v>
      </c>
      <c r="DJ138" s="212">
        <f>SUM(AN138:AQ138)</f>
        <v>-10.299999999999997</v>
      </c>
      <c r="DK138" s="212">
        <f>SUM(AR138:AU138)</f>
        <v>349.8</v>
      </c>
      <c r="DL138" s="212">
        <f>SUM(AV138:AY138)</f>
        <v>-632.70000000000005</v>
      </c>
      <c r="DM138" s="212">
        <f>SUM(AZ138:BC138)</f>
        <v>-493.40000000000009</v>
      </c>
      <c r="DN138" s="212">
        <f>SUM(BD138:BG138)</f>
        <v>-24.4</v>
      </c>
      <c r="DO138" s="212">
        <f>SUM(BH138:BK138)</f>
        <v>-138.80000000000001</v>
      </c>
      <c r="DP138" s="212">
        <f>SUM(BL138:BO138)</f>
        <v>-2.4</v>
      </c>
      <c r="DQ138" s="212">
        <f>SUM(BP138:BS138)</f>
        <v>685.2</v>
      </c>
      <c r="DR138" s="212">
        <f>SUM(BT138:BW138)</f>
        <v>-1.1000000000000001</v>
      </c>
      <c r="DS138" s="212">
        <f>SUM(BX138:CA138)</f>
        <v>-72.099999999999994</v>
      </c>
      <c r="DT138" s="212">
        <f>SUM(CB138:CE138)</f>
        <v>427.9</v>
      </c>
      <c r="DU138" s="212">
        <f>SUM(CF138:CI138)</f>
        <v>647.9</v>
      </c>
      <c r="DV138" s="212">
        <f>SUM(CJ138:CM138)</f>
        <v>495</v>
      </c>
      <c r="DW138" s="212">
        <f>SUM(CN138:CQ138)</f>
        <v>-21.9</v>
      </c>
      <c r="DX138" s="354">
        <f>SUM(CR138:CU138)</f>
        <v>9</v>
      </c>
      <c r="DY138" s="354">
        <f t="shared" ref="DY138:DY145" si="321">SUM(CV138:CY138)</f>
        <v>0</v>
      </c>
      <c r="DZ138" s="349"/>
      <c r="EA138" s="194"/>
      <c r="EB138" s="194"/>
      <c r="EC138" s="194"/>
      <c r="ED138" s="194"/>
      <c r="EE138" s="199"/>
      <c r="EF138"/>
      <c r="EG138"/>
      <c r="EH138"/>
      <c r="EI138"/>
      <c r="EJ138"/>
      <c r="EK138"/>
    </row>
    <row r="139" spans="1:141" s="137" customFormat="1">
      <c r="A139" s="193"/>
      <c r="B139" s="138" t="s">
        <v>256</v>
      </c>
      <c r="C139" s="138"/>
      <c r="D139" s="217"/>
      <c r="E139" s="218"/>
      <c r="F139" s="218"/>
      <c r="G139" s="219"/>
      <c r="H139" s="218"/>
      <c r="I139" s="218"/>
      <c r="J139" s="218"/>
      <c r="K139" s="219"/>
      <c r="L139" s="218"/>
      <c r="M139" s="218"/>
      <c r="N139" s="218"/>
      <c r="O139" s="219"/>
      <c r="P139" s="218">
        <v>1.1000000000000001</v>
      </c>
      <c r="Q139" s="218">
        <v>10.8</v>
      </c>
      <c r="R139" s="218">
        <v>4.8</v>
      </c>
      <c r="S139" s="219"/>
      <c r="T139" s="218">
        <v>-7.2</v>
      </c>
      <c r="U139" s="218">
        <v>13.7</v>
      </c>
      <c r="V139" s="218">
        <v>-6.6</v>
      </c>
      <c r="W139" s="219">
        <v>43.2</v>
      </c>
      <c r="X139" s="218">
        <v>-0.4</v>
      </c>
      <c r="Y139" s="218">
        <f>-17.5-X139</f>
        <v>-17.100000000000001</v>
      </c>
      <c r="Z139" s="218">
        <f>25.3-SUM(X139:Y139)</f>
        <v>42.8</v>
      </c>
      <c r="AA139" s="219">
        <f>17.3-SUM(X139:Z139)</f>
        <v>-7.9999999999999964</v>
      </c>
      <c r="AB139" s="218">
        <v>-25.4</v>
      </c>
      <c r="AC139" s="218">
        <f>-80.2-AB139</f>
        <v>-54.800000000000004</v>
      </c>
      <c r="AD139" s="218">
        <f>6.2-SUM(AB139:AC139)</f>
        <v>86.4</v>
      </c>
      <c r="AE139" s="219">
        <f>-32.1-SUM(AB139:AD139)</f>
        <v>-38.300000000000004</v>
      </c>
      <c r="AF139" s="218">
        <v>-68.400000000000006</v>
      </c>
      <c r="AG139" s="218">
        <f>-37.6-AF139</f>
        <v>30.800000000000004</v>
      </c>
      <c r="AH139" s="218">
        <f>-49.8-SUM(AF139:AG139)</f>
        <v>-12.199999999999996</v>
      </c>
      <c r="AI139" s="219">
        <f>-451-8-SUM(AF139:AH139)</f>
        <v>-409.2</v>
      </c>
      <c r="AJ139" s="218">
        <v>-50.4</v>
      </c>
      <c r="AK139" s="218">
        <f>-45.2-AJ139</f>
        <v>5.1999999999999957</v>
      </c>
      <c r="AL139" s="218">
        <f>21.6-SUM(AJ139:AK139)</f>
        <v>66.800000000000011</v>
      </c>
      <c r="AM139" s="219">
        <f>-583.4-31.4-SUM(AJ139:AL139)</f>
        <v>-636.4</v>
      </c>
      <c r="AN139" s="218">
        <v>47.5</v>
      </c>
      <c r="AO139" s="218">
        <f>-5.2-AN139</f>
        <v>-52.7</v>
      </c>
      <c r="AP139" s="218">
        <f>-28.4-SUM(AN139:AO139)</f>
        <v>-23.199999999999996</v>
      </c>
      <c r="AQ139" s="219">
        <f>-132.8-24-SUM(AN139:AP139)</f>
        <v>-128.4</v>
      </c>
      <c r="AR139" s="218">
        <v>-7.5</v>
      </c>
      <c r="AS139" s="218">
        <f>-10-AR139</f>
        <v>-2.5</v>
      </c>
      <c r="AT139" s="218">
        <f>-37-SUM(AR139:AS139)</f>
        <v>-27</v>
      </c>
      <c r="AU139" s="219">
        <f>-29.8-SUM(AR139:AT139)</f>
        <v>7.1999999999999993</v>
      </c>
      <c r="AV139" s="218">
        <v>3.6</v>
      </c>
      <c r="AW139" s="218">
        <f>5.3-AV139</f>
        <v>1.6999999999999997</v>
      </c>
      <c r="AX139" s="218">
        <f>454.6-4.1-SUM(AV139:AW139)</f>
        <v>445.2</v>
      </c>
      <c r="AY139" s="219">
        <f>400-23.8-SUM(AV139:AX139)</f>
        <v>-74.300000000000011</v>
      </c>
      <c r="AZ139" s="218">
        <v>0</v>
      </c>
      <c r="BA139" s="218">
        <f>600-4.9-AZ139</f>
        <v>595.1</v>
      </c>
      <c r="BB139" s="218">
        <f>615.1-8.5-SUM(AZ139:BA139)</f>
        <v>11.5</v>
      </c>
      <c r="BC139" s="219">
        <f>597-11.8-SUM(AZ139:BB139)</f>
        <v>-21.399999999999977</v>
      </c>
      <c r="BD139" s="218">
        <v>-11</v>
      </c>
      <c r="BE139" s="218">
        <f>-3-13-BD139</f>
        <v>-5</v>
      </c>
      <c r="BF139" s="218">
        <f>-3-11.1-SUM(BD139:BE139)</f>
        <v>1.9000000000000004</v>
      </c>
      <c r="BG139" s="219">
        <f>-6-10.2-SUM(BD139:BF139)</f>
        <v>-2.0999999999999996</v>
      </c>
      <c r="BH139" s="218">
        <f>-0.8</f>
        <v>-0.8</v>
      </c>
      <c r="BI139" s="218">
        <f>-1-BH139</f>
        <v>-0.19999999999999996</v>
      </c>
      <c r="BJ139" s="218">
        <f>-3-0.2-SUM(BH139:BI139)</f>
        <v>-2.2000000000000002</v>
      </c>
      <c r="BK139" s="219">
        <f>1186+12.6-SUM(BH139:BJ139)</f>
        <v>1201.8</v>
      </c>
      <c r="BL139" s="218">
        <v>-2.8</v>
      </c>
      <c r="BM139" s="218">
        <f>-9-BL139</f>
        <v>-6.2</v>
      </c>
      <c r="BN139" s="218">
        <f>500-10.5-SUM(BL139:BM139)</f>
        <v>498.5</v>
      </c>
      <c r="BO139" s="219">
        <f>375-50+6.6-11.4-SUM(BL139:BN139)</f>
        <v>-169.29999999999995</v>
      </c>
      <c r="BP139" s="218">
        <f>-375-550+5.6</f>
        <v>-919.4</v>
      </c>
      <c r="BQ139" s="218">
        <f>-375-550-6.1-13.9-BP139</f>
        <v>-25.600000000000023</v>
      </c>
      <c r="BR139" s="218">
        <f>-375-550-9.2-33.8-SUM(BP139:BQ139)</f>
        <v>-23</v>
      </c>
      <c r="BS139" s="219">
        <f>-34-SUM(BP139:BR139)-375-550</f>
        <v>9</v>
      </c>
      <c r="BT139" s="218">
        <v>-0.5</v>
      </c>
      <c r="BU139" s="218">
        <f>-1.6-BT139</f>
        <v>-1.1000000000000001</v>
      </c>
      <c r="BV139" s="218">
        <f>-4.2-SUM(BT139:BU139)</f>
        <v>-2.6</v>
      </c>
      <c r="BW139" s="219">
        <f>-4-SUM(BT139:BV139)</f>
        <v>0.20000000000000018</v>
      </c>
      <c r="BX139" s="218"/>
      <c r="BY139" s="218"/>
      <c r="BZ139" s="218"/>
      <c r="CA139" s="219"/>
      <c r="CB139" s="218"/>
      <c r="CC139" s="218"/>
      <c r="CD139" s="218"/>
      <c r="CE139" s="219"/>
      <c r="CF139" s="218"/>
      <c r="CG139" s="218"/>
      <c r="CH139" s="218"/>
      <c r="CI139" s="219"/>
      <c r="CJ139" s="218"/>
      <c r="CK139" s="218"/>
      <c r="CL139" s="218"/>
      <c r="CM139" s="219">
        <f>-9.4-SUM(CJ139:CL139)</f>
        <v>-9.4</v>
      </c>
      <c r="CN139" s="218">
        <v>2.6</v>
      </c>
      <c r="CO139" s="218">
        <f>5.2-CN139</f>
        <v>2.6</v>
      </c>
      <c r="CP139" s="218">
        <f>8.9-CO139-CN139</f>
        <v>3.7000000000000006</v>
      </c>
      <c r="CQ139" s="219">
        <f>9.1-CP139-CO139-CN139</f>
        <v>0.1999999999999984</v>
      </c>
      <c r="CR139" s="218">
        <v>1.4</v>
      </c>
      <c r="CS139" s="218">
        <f>-4.9-CR139</f>
        <v>-6.3000000000000007</v>
      </c>
      <c r="CT139" s="218">
        <f>-7.2-CS139-CR139</f>
        <v>-2.2999999999999994</v>
      </c>
      <c r="CU139" s="198"/>
      <c r="CV139" s="197"/>
      <c r="CW139" s="197"/>
      <c r="CX139" s="197"/>
      <c r="CY139" s="198"/>
      <c r="DA139" s="212"/>
      <c r="DB139" s="212"/>
      <c r="DC139" s="212"/>
      <c r="DD139" s="212"/>
      <c r="DE139" s="212">
        <f>SUM(T139:W139)</f>
        <v>43.1</v>
      </c>
      <c r="DF139" s="212">
        <f>SUM(X139:AA139)</f>
        <v>17.3</v>
      </c>
      <c r="DG139" s="212">
        <f>SUM(AB139:AE139)</f>
        <v>-32.1</v>
      </c>
      <c r="DH139" s="212">
        <f>SUM(AF139:AI139)</f>
        <v>-459</v>
      </c>
      <c r="DI139" s="212">
        <f>SUM(AJ139:AM139)</f>
        <v>-614.79999999999995</v>
      </c>
      <c r="DJ139" s="212">
        <f>SUM(AN139:AQ139)</f>
        <v>-156.80000000000001</v>
      </c>
      <c r="DK139" s="212">
        <f>SUM(AR139:AU139)</f>
        <v>-29.8</v>
      </c>
      <c r="DL139" s="212">
        <f>SUM(AV139:AY139)</f>
        <v>376.2</v>
      </c>
      <c r="DM139" s="212">
        <f>SUM(AZ139:BC139)</f>
        <v>585.20000000000005</v>
      </c>
      <c r="DN139" s="212">
        <f>SUM(BD139:BG139)</f>
        <v>-16.2</v>
      </c>
      <c r="DO139" s="212">
        <f>SUM(BH139:BK139)</f>
        <v>1198.5999999999999</v>
      </c>
      <c r="DP139" s="212">
        <f>SUM(BL139:BO139)</f>
        <v>320.20000000000005</v>
      </c>
      <c r="DQ139" s="212">
        <f>SUM(BP139:BS139)</f>
        <v>-959</v>
      </c>
      <c r="DR139" s="212">
        <f>SUM(BT139:BW139)</f>
        <v>-4</v>
      </c>
      <c r="DS139" s="212"/>
      <c r="DT139" s="212"/>
      <c r="DU139" s="212"/>
      <c r="DV139" s="212">
        <f>SUM(CJ139:CM139)</f>
        <v>-9.4</v>
      </c>
      <c r="DW139" s="212">
        <f>SUM(CN139:CQ139)</f>
        <v>9.0999999999999979</v>
      </c>
      <c r="DX139" s="354">
        <f>SUM(CR139:CU139)</f>
        <v>-7.1999999999999993</v>
      </c>
      <c r="DY139" s="354">
        <f t="shared" si="321"/>
        <v>0</v>
      </c>
      <c r="DZ139" s="349"/>
      <c r="EA139" s="194"/>
      <c r="EB139" s="194"/>
      <c r="EC139" s="194"/>
      <c r="ED139" s="194"/>
      <c r="EE139" s="199"/>
      <c r="EF139"/>
      <c r="EG139"/>
      <c r="EH139"/>
      <c r="EI139"/>
      <c r="EJ139"/>
      <c r="EK139"/>
    </row>
    <row r="140" spans="1:141" s="137" customFormat="1" hidden="1" outlineLevel="1">
      <c r="A140" s="193"/>
      <c r="B140" s="138" t="s">
        <v>62</v>
      </c>
      <c r="C140" s="138"/>
      <c r="D140" s="217"/>
      <c r="E140" s="218"/>
      <c r="F140" s="218"/>
      <c r="G140" s="219"/>
      <c r="H140" s="218"/>
      <c r="I140" s="218"/>
      <c r="J140" s="218"/>
      <c r="K140" s="219"/>
      <c r="L140" s="218"/>
      <c r="M140" s="218"/>
      <c r="N140" s="218"/>
      <c r="O140" s="219"/>
      <c r="P140" s="218"/>
      <c r="Q140" s="218"/>
      <c r="R140" s="218"/>
      <c r="S140" s="219"/>
      <c r="T140" s="218"/>
      <c r="U140" s="218"/>
      <c r="V140" s="218"/>
      <c r="W140" s="219"/>
      <c r="X140" s="218"/>
      <c r="Y140" s="218"/>
      <c r="Z140" s="218"/>
      <c r="AA140" s="219"/>
      <c r="AB140" s="218"/>
      <c r="AC140" s="218"/>
      <c r="AD140" s="218"/>
      <c r="AE140" s="219"/>
      <c r="AF140" s="218"/>
      <c r="AG140" s="218"/>
      <c r="AH140" s="218"/>
      <c r="AI140" s="219"/>
      <c r="AJ140" s="218"/>
      <c r="AK140" s="218"/>
      <c r="AL140" s="218"/>
      <c r="AM140" s="219"/>
      <c r="AN140" s="218"/>
      <c r="AO140" s="218"/>
      <c r="AP140" s="218"/>
      <c r="AQ140" s="219"/>
      <c r="AR140" s="218"/>
      <c r="AS140" s="218"/>
      <c r="AT140" s="218"/>
      <c r="AU140" s="219"/>
      <c r="AV140" s="218"/>
      <c r="AW140" s="218"/>
      <c r="AX140" s="218"/>
      <c r="AY140" s="219"/>
      <c r="AZ140" s="218"/>
      <c r="BA140" s="218"/>
      <c r="BB140" s="218"/>
      <c r="BC140" s="219"/>
      <c r="BD140" s="218"/>
      <c r="BE140" s="218"/>
      <c r="BF140" s="218"/>
      <c r="BG140" s="219"/>
      <c r="BH140" s="218"/>
      <c r="BI140" s="218"/>
      <c r="BJ140" s="218">
        <f>0-SUM(BH140:BI140)</f>
        <v>0</v>
      </c>
      <c r="BK140" s="219">
        <f>-17.6-SUM(BH140:BJ140)</f>
        <v>-17.600000000000001</v>
      </c>
      <c r="BL140" s="218">
        <v>-7.8</v>
      </c>
      <c r="BM140" s="218">
        <f>0-BL140</f>
        <v>7.8</v>
      </c>
      <c r="BN140" s="218">
        <f>0-SUM(BL140:BM140)</f>
        <v>0</v>
      </c>
      <c r="BO140" s="219">
        <f>0-SUM(BL140:BN140)</f>
        <v>0</v>
      </c>
      <c r="BP140" s="218">
        <v>-16.3</v>
      </c>
      <c r="BQ140" s="218">
        <f>-17.6-BP140</f>
        <v>-1.3000000000000007</v>
      </c>
      <c r="BR140" s="218">
        <f>-17.6-SUM(BP140:BQ140)</f>
        <v>0</v>
      </c>
      <c r="BS140" s="219">
        <f>-17.6-SUM(BP140:BR140)</f>
        <v>0</v>
      </c>
      <c r="BT140" s="218"/>
      <c r="BU140" s="218">
        <v>-4.8</v>
      </c>
      <c r="BV140" s="218">
        <f>-4.8-SUM(BT140:BU140)</f>
        <v>0</v>
      </c>
      <c r="BW140" s="219">
        <f>-4.8-SUM(BT140:BV140)</f>
        <v>0</v>
      </c>
      <c r="BX140" s="218"/>
      <c r="BY140" s="218"/>
      <c r="BZ140" s="218"/>
      <c r="CA140" s="219"/>
      <c r="CB140" s="218">
        <v>-13.4</v>
      </c>
      <c r="CC140" s="218">
        <f>-13.4-(CB140)</f>
        <v>0</v>
      </c>
      <c r="CD140" s="218">
        <f>-13.4-((CB140+CC140))</f>
        <v>0</v>
      </c>
      <c r="CE140" s="219">
        <f>-13.4-CD140-CC140-CB140</f>
        <v>0</v>
      </c>
      <c r="CF140" s="218">
        <v>-3.8</v>
      </c>
      <c r="CG140" s="218">
        <f>-3.8-CF140</f>
        <v>0</v>
      </c>
      <c r="CH140" s="218">
        <f>-3.8-((CF140+CG140))</f>
        <v>0</v>
      </c>
      <c r="CI140" s="219">
        <f>-18.1-CH140-CG140-CF140</f>
        <v>-14.3</v>
      </c>
      <c r="CJ140" s="218"/>
      <c r="CK140" s="218"/>
      <c r="CL140" s="218"/>
      <c r="CM140" s="219"/>
      <c r="CN140" s="218"/>
      <c r="CO140" s="218"/>
      <c r="CP140" s="218"/>
      <c r="CQ140" s="219"/>
      <c r="CR140" s="218"/>
      <c r="CS140" s="218"/>
      <c r="CT140" s="218"/>
      <c r="CU140" s="198"/>
      <c r="CV140" s="197"/>
      <c r="CW140" s="197"/>
      <c r="CX140" s="197"/>
      <c r="CY140" s="198"/>
      <c r="DA140" s="212"/>
      <c r="DB140" s="212"/>
      <c r="DC140" s="212"/>
      <c r="DD140" s="212"/>
      <c r="DE140" s="212"/>
      <c r="DF140" s="212"/>
      <c r="DG140" s="212"/>
      <c r="DH140" s="212"/>
      <c r="DI140" s="212"/>
      <c r="DJ140" s="212"/>
      <c r="DK140" s="212"/>
      <c r="DL140" s="212"/>
      <c r="DM140" s="212"/>
      <c r="DN140" s="212"/>
      <c r="DO140" s="212">
        <f>SUM(BH140:BK140)</f>
        <v>-17.600000000000001</v>
      </c>
      <c r="DP140" s="212">
        <f>SUM(BL140:BO140)</f>
        <v>0</v>
      </c>
      <c r="DQ140" s="212">
        <f>SUM(BP140:BS140)</f>
        <v>-17.600000000000001</v>
      </c>
      <c r="DR140" s="212">
        <f>SUM(BT140:BW140)</f>
        <v>-4.8</v>
      </c>
      <c r="DS140" s="212"/>
      <c r="DT140" s="212">
        <f>SUM(CB140:CE140)</f>
        <v>-13.4</v>
      </c>
      <c r="DU140" s="212">
        <f>SUM(CF140:CI140)</f>
        <v>-18.100000000000001</v>
      </c>
      <c r="DV140" s="212"/>
      <c r="DW140" s="212"/>
      <c r="DX140" s="354"/>
      <c r="DY140" s="354">
        <f t="shared" si="321"/>
        <v>0</v>
      </c>
      <c r="DZ140" s="349"/>
      <c r="EA140" s="194"/>
      <c r="EB140" s="194"/>
      <c r="EC140" s="194"/>
      <c r="ED140" s="194"/>
      <c r="EE140" s="199"/>
      <c r="EF140"/>
      <c r="EG140"/>
      <c r="EH140"/>
      <c r="EI140"/>
      <c r="EJ140"/>
      <c r="EK140"/>
    </row>
    <row r="141" spans="1:141" s="137" customFormat="1" hidden="1" outlineLevel="1">
      <c r="A141" s="193"/>
      <c r="B141" s="138" t="s">
        <v>274</v>
      </c>
      <c r="C141" s="138"/>
      <c r="D141" s="217"/>
      <c r="E141" s="218"/>
      <c r="F141" s="218"/>
      <c r="G141" s="219"/>
      <c r="H141" s="218"/>
      <c r="I141" s="218"/>
      <c r="J141" s="218"/>
      <c r="K141" s="219"/>
      <c r="L141" s="218"/>
      <c r="M141" s="218"/>
      <c r="N141" s="218"/>
      <c r="O141" s="219"/>
      <c r="P141" s="218"/>
      <c r="Q141" s="218"/>
      <c r="R141" s="218"/>
      <c r="S141" s="219"/>
      <c r="T141" s="218"/>
      <c r="U141" s="218"/>
      <c r="V141" s="218"/>
      <c r="W141" s="219"/>
      <c r="X141" s="218"/>
      <c r="Y141" s="218"/>
      <c r="Z141" s="218"/>
      <c r="AA141" s="219"/>
      <c r="AB141" s="218"/>
      <c r="AC141" s="218"/>
      <c r="AD141" s="218"/>
      <c r="AE141" s="219">
        <f>2.1-SUM(AB141:AD141)</f>
        <v>2.1</v>
      </c>
      <c r="AF141" s="218"/>
      <c r="AG141" s="218"/>
      <c r="AH141" s="218"/>
      <c r="AI141" s="219">
        <f>10.1-SUM(AF141:AH141)</f>
        <v>10.1</v>
      </c>
      <c r="AJ141" s="218">
        <v>25.7</v>
      </c>
      <c r="AK141" s="218">
        <f>45.8-AJ141</f>
        <v>20.099999999999998</v>
      </c>
      <c r="AL141" s="218">
        <f>47.4-SUM(AJ141:AK141)</f>
        <v>1.6000000000000014</v>
      </c>
      <c r="AM141" s="219">
        <f>47.4-SUM(AJ141:AL141)</f>
        <v>0</v>
      </c>
      <c r="AN141" s="218">
        <v>1.5</v>
      </c>
      <c r="AO141" s="218">
        <f>11.1-AN141</f>
        <v>9.6</v>
      </c>
      <c r="AP141" s="218">
        <f>42.5-SUM(AN141:AO141)</f>
        <v>31.4</v>
      </c>
      <c r="AQ141" s="219">
        <f>66.4-SUM(AN141:AP141)</f>
        <v>23.900000000000006</v>
      </c>
      <c r="AR141" s="218">
        <v>12.3</v>
      </c>
      <c r="AS141" s="218">
        <f>16.6-AR141</f>
        <v>4.3000000000000007</v>
      </c>
      <c r="AT141" s="218">
        <f>20.1-SUM(AR141:AS141)</f>
        <v>3.5</v>
      </c>
      <c r="AU141" s="219">
        <f>24.4-SUM(AR141:AT141)</f>
        <v>4.2999999999999972</v>
      </c>
      <c r="AV141" s="218">
        <v>2.2000000000000002</v>
      </c>
      <c r="AW141" s="218">
        <f>3-AV141</f>
        <v>0.79999999999999982</v>
      </c>
      <c r="AX141" s="218">
        <f>4.7-SUM(AV141:AW141)</f>
        <v>1.7000000000000002</v>
      </c>
      <c r="AY141" s="219">
        <f>4.7-SUM(AV141:AX141)</f>
        <v>0</v>
      </c>
      <c r="AZ141" s="218"/>
      <c r="BA141" s="218"/>
      <c r="BB141" s="218"/>
      <c r="BC141" s="219"/>
      <c r="BD141" s="218">
        <v>5.7</v>
      </c>
      <c r="BE141" s="218">
        <f>6.7-BD141</f>
        <v>1</v>
      </c>
      <c r="BF141" s="218">
        <f>7.4-SUM(BD141:BE141)</f>
        <v>0.70000000000000018</v>
      </c>
      <c r="BG141" s="219">
        <f>7.6-SUM(BD141:BF141)</f>
        <v>0.19999999999999929</v>
      </c>
      <c r="BH141" s="218"/>
      <c r="BI141" s="218"/>
      <c r="BJ141" s="218"/>
      <c r="BK141" s="219"/>
      <c r="BL141" s="218"/>
      <c r="BM141" s="218"/>
      <c r="BN141" s="218"/>
      <c r="BO141" s="219"/>
      <c r="BP141" s="218"/>
      <c r="BQ141" s="218"/>
      <c r="BR141" s="218"/>
      <c r="BS141" s="219"/>
      <c r="BT141" s="218"/>
      <c r="BU141" s="218"/>
      <c r="BV141" s="218"/>
      <c r="BW141" s="219"/>
      <c r="BX141" s="218"/>
      <c r="BY141" s="218"/>
      <c r="BZ141" s="218"/>
      <c r="CA141" s="219"/>
      <c r="CB141" s="218"/>
      <c r="CC141" s="218"/>
      <c r="CD141" s="218"/>
      <c r="CE141" s="219"/>
      <c r="CF141" s="218"/>
      <c r="CG141" s="218"/>
      <c r="CH141" s="218"/>
      <c r="CI141" s="219"/>
      <c r="CJ141" s="218"/>
      <c r="CK141" s="218"/>
      <c r="CL141" s="218"/>
      <c r="CM141" s="219"/>
      <c r="CN141" s="218"/>
      <c r="CO141" s="218"/>
      <c r="CP141" s="218"/>
      <c r="CQ141" s="219"/>
      <c r="CR141" s="218"/>
      <c r="CS141" s="218"/>
      <c r="CT141" s="218"/>
      <c r="CU141" s="198"/>
      <c r="CV141" s="197"/>
      <c r="CW141" s="197"/>
      <c r="CX141" s="197"/>
      <c r="CY141" s="198"/>
      <c r="DA141" s="212"/>
      <c r="DB141" s="212"/>
      <c r="DC141" s="212"/>
      <c r="DD141" s="212"/>
      <c r="DE141" s="212"/>
      <c r="DF141" s="212"/>
      <c r="DG141" s="212">
        <f>SUM(AB141:AE141)</f>
        <v>2.1</v>
      </c>
      <c r="DH141" s="212">
        <f>SUM(AF141:AI141)</f>
        <v>10.1</v>
      </c>
      <c r="DI141" s="212">
        <f>SUM(AJ141:AM141)</f>
        <v>47.4</v>
      </c>
      <c r="DJ141" s="212">
        <f>SUM(AN141:AQ141)</f>
        <v>66.400000000000006</v>
      </c>
      <c r="DK141" s="212">
        <f>SUM(AR141:AU141)</f>
        <v>24.4</v>
      </c>
      <c r="DL141" s="212">
        <f>SUM(AV141:AY141)</f>
        <v>4.7</v>
      </c>
      <c r="DM141" s="212"/>
      <c r="DN141" s="212">
        <f>SUM(BD141:BG141)</f>
        <v>7.6</v>
      </c>
      <c r="DO141" s="212"/>
      <c r="DP141" s="212"/>
      <c r="DQ141" s="212"/>
      <c r="DR141" s="212"/>
      <c r="DS141" s="212"/>
      <c r="DT141" s="212"/>
      <c r="DU141" s="212"/>
      <c r="DV141" s="212"/>
      <c r="DW141" s="212"/>
      <c r="DX141" s="354"/>
      <c r="DY141" s="354">
        <f t="shared" si="321"/>
        <v>0</v>
      </c>
      <c r="DZ141" s="349"/>
      <c r="EA141" s="194"/>
      <c r="EB141" s="194"/>
      <c r="EC141" s="194"/>
      <c r="ED141" s="194"/>
      <c r="EE141" s="199"/>
      <c r="EF141"/>
      <c r="EG141"/>
      <c r="EH141"/>
      <c r="EI141"/>
      <c r="EJ141"/>
      <c r="EK141"/>
    </row>
    <row r="142" spans="1:141" s="137" customFormat="1" hidden="1" outlineLevel="1">
      <c r="A142" s="193"/>
      <c r="B142" s="138" t="s">
        <v>64</v>
      </c>
      <c r="C142" s="138"/>
      <c r="D142" s="217"/>
      <c r="E142" s="218"/>
      <c r="F142" s="218"/>
      <c r="G142" s="219"/>
      <c r="H142" s="218"/>
      <c r="I142" s="218"/>
      <c r="J142" s="218"/>
      <c r="K142" s="219"/>
      <c r="L142" s="218"/>
      <c r="M142" s="218"/>
      <c r="N142" s="218"/>
      <c r="O142" s="219"/>
      <c r="P142" s="218"/>
      <c r="Q142" s="218"/>
      <c r="R142" s="218"/>
      <c r="S142" s="219"/>
      <c r="T142" s="218"/>
      <c r="U142" s="218"/>
      <c r="V142" s="218"/>
      <c r="W142" s="219"/>
      <c r="X142" s="218">
        <v>0.7</v>
      </c>
      <c r="Y142" s="218">
        <f>0.7-X142</f>
        <v>0</v>
      </c>
      <c r="Z142" s="218">
        <f>113.2-SUM(X142:Y142)</f>
        <v>112.5</v>
      </c>
      <c r="AA142" s="219">
        <f>118.8-SUM(X142:Z142)</f>
        <v>5.5999999999999943</v>
      </c>
      <c r="AB142" s="218">
        <v>-33.4</v>
      </c>
      <c r="AC142" s="218">
        <f>-9.9-AB142</f>
        <v>23.5</v>
      </c>
      <c r="AD142" s="218">
        <f>-30.5-SUM(AB142:AC142)</f>
        <v>-20.6</v>
      </c>
      <c r="AE142" s="219">
        <f>-52.6-SUM(AB142:AD142)</f>
        <v>-22.1</v>
      </c>
      <c r="AF142" s="218">
        <v>59.5</v>
      </c>
      <c r="AG142" s="218">
        <f>26.8-AF142</f>
        <v>-32.700000000000003</v>
      </c>
      <c r="AH142" s="218">
        <f>-12.4-SUM(AF142:AG142)</f>
        <v>-39.199999999999996</v>
      </c>
      <c r="AI142" s="219">
        <f>-70.5-SUM(AF142:AH142)</f>
        <v>-58.1</v>
      </c>
      <c r="AJ142" s="218">
        <v>27.5</v>
      </c>
      <c r="AK142" s="218">
        <f>31.6-AJ142</f>
        <v>4.1000000000000014</v>
      </c>
      <c r="AL142" s="218">
        <f>29.6-SUM(AJ142:AK142)</f>
        <v>-2</v>
      </c>
      <c r="AM142" s="219">
        <f>19.8-SUM(AJ142:AL142)</f>
        <v>-9.8000000000000007</v>
      </c>
      <c r="AN142" s="218">
        <v>8.1999999999999993</v>
      </c>
      <c r="AO142" s="218">
        <f>-13.1-AN142</f>
        <v>-21.299999999999997</v>
      </c>
      <c r="AP142" s="218">
        <f>-33.5-SUM(AN142:AO142)</f>
        <v>-20.400000000000002</v>
      </c>
      <c r="AQ142" s="219">
        <f>-56.8-SUM(AN142:AP142)</f>
        <v>-23.299999999999997</v>
      </c>
      <c r="AR142" s="218"/>
      <c r="AS142" s="218">
        <f>-0.3-AR142</f>
        <v>-0.3</v>
      </c>
      <c r="AT142" s="218">
        <f>3.6-SUM(AR142:AS142)</f>
        <v>3.9</v>
      </c>
      <c r="AU142" s="219">
        <f>-12.6-SUM(AR142:AT142)</f>
        <v>-16.2</v>
      </c>
      <c r="AV142" s="218">
        <v>2.2999999999999998</v>
      </c>
      <c r="AW142" s="218">
        <f>10.5-AV142</f>
        <v>8.1999999999999993</v>
      </c>
      <c r="AX142" s="218">
        <f>3.8-SUM(AV142:AW142)</f>
        <v>-6.7</v>
      </c>
      <c r="AY142" s="219">
        <f>-3.3-SUM(AV142:AX142)</f>
        <v>-7.1</v>
      </c>
      <c r="AZ142" s="218"/>
      <c r="BA142" s="218"/>
      <c r="BB142" s="218"/>
      <c r="BC142" s="219"/>
      <c r="BD142" s="218">
        <v>-13.5</v>
      </c>
      <c r="BE142" s="218">
        <f>-10.5-BD142</f>
        <v>3</v>
      </c>
      <c r="BF142" s="218">
        <f>-8.4-SUM(BD142:BE142)</f>
        <v>2.0999999999999996</v>
      </c>
      <c r="BG142" s="219">
        <f>-16.8-SUM(BD142:BF142)</f>
        <v>-8.4</v>
      </c>
      <c r="BH142" s="218"/>
      <c r="BI142" s="218"/>
      <c r="BJ142" s="218"/>
      <c r="BK142" s="219">
        <v>-86.48</v>
      </c>
      <c r="BL142" s="218"/>
      <c r="BM142" s="218"/>
      <c r="BN142" s="218"/>
      <c r="BO142" s="219"/>
      <c r="BP142" s="218"/>
      <c r="BQ142" s="218"/>
      <c r="BR142" s="218"/>
      <c r="BS142" s="219"/>
      <c r="BT142" s="218"/>
      <c r="BU142" s="218"/>
      <c r="BV142" s="218"/>
      <c r="BW142" s="219"/>
      <c r="BX142" s="218"/>
      <c r="BY142" s="218"/>
      <c r="BZ142" s="218"/>
      <c r="CA142" s="219"/>
      <c r="CB142" s="218"/>
      <c r="CC142" s="218"/>
      <c r="CD142" s="218"/>
      <c r="CE142" s="219"/>
      <c r="CF142" s="218"/>
      <c r="CG142" s="218"/>
      <c r="CH142" s="218"/>
      <c r="CI142" s="219"/>
      <c r="CJ142" s="218"/>
      <c r="CK142" s="218"/>
      <c r="CL142" s="218"/>
      <c r="CM142" s="219"/>
      <c r="CN142" s="218"/>
      <c r="CO142" s="218"/>
      <c r="CP142" s="218"/>
      <c r="CQ142" s="219"/>
      <c r="CR142" s="218"/>
      <c r="CS142" s="218"/>
      <c r="CT142" s="218"/>
      <c r="CU142" s="198"/>
      <c r="CV142" s="197"/>
      <c r="CW142" s="197"/>
      <c r="CX142" s="197"/>
      <c r="CY142" s="198"/>
      <c r="DA142" s="212"/>
      <c r="DB142" s="212"/>
      <c r="DC142" s="212"/>
      <c r="DD142" s="212"/>
      <c r="DE142" s="212"/>
      <c r="DF142" s="212">
        <f>SUM(X142:AA142)</f>
        <v>118.8</v>
      </c>
      <c r="DG142" s="212">
        <f>SUM(AB142:AE142)</f>
        <v>-52.6</v>
      </c>
      <c r="DH142" s="212">
        <f>SUM(AF142:AI142)</f>
        <v>-70.5</v>
      </c>
      <c r="DI142" s="212">
        <f>SUM(AJ142:AM142)</f>
        <v>19.8</v>
      </c>
      <c r="DJ142" s="212">
        <f>SUM(AN142:AQ142)</f>
        <v>-56.8</v>
      </c>
      <c r="DK142" s="212">
        <f>SUM(AR142:AU142)</f>
        <v>-12.6</v>
      </c>
      <c r="DL142" s="212">
        <f>SUM(AV142:AY142)</f>
        <v>-3.3</v>
      </c>
      <c r="DM142" s="212"/>
      <c r="DN142" s="212">
        <f>SUM(BD142:BG142)</f>
        <v>-16.8</v>
      </c>
      <c r="DO142" s="212">
        <f>SUM(BH142:BK142)</f>
        <v>-86.48</v>
      </c>
      <c r="DP142" s="212"/>
      <c r="DQ142" s="212"/>
      <c r="DR142" s="212"/>
      <c r="DS142" s="212"/>
      <c r="DT142" s="212"/>
      <c r="DU142" s="212"/>
      <c r="DV142" s="212"/>
      <c r="DW142" s="212"/>
      <c r="DX142" s="354"/>
      <c r="DY142" s="354">
        <f t="shared" si="321"/>
        <v>0</v>
      </c>
      <c r="DZ142" s="349"/>
      <c r="EA142" s="194"/>
      <c r="EB142" s="194"/>
      <c r="EC142" s="194"/>
      <c r="ED142" s="194"/>
      <c r="EE142" s="199"/>
      <c r="EF142"/>
      <c r="EG142"/>
      <c r="EH142"/>
      <c r="EI142"/>
      <c r="EJ142"/>
      <c r="EK142"/>
    </row>
    <row r="143" spans="1:141" s="137" customFormat="1" collapsed="1">
      <c r="A143" s="193"/>
      <c r="B143" s="138" t="s">
        <v>275</v>
      </c>
      <c r="C143" s="138"/>
      <c r="D143" s="217">
        <v>95.720352825873903</v>
      </c>
      <c r="E143" s="218">
        <v>18.171998693237501</v>
      </c>
      <c r="F143" s="218">
        <v>38.157464880757921</v>
      </c>
      <c r="G143" s="219">
        <v>24.771149297615199</v>
      </c>
      <c r="H143" s="218">
        <v>1.1107481215289121</v>
      </c>
      <c r="I143" s="218">
        <v>2.67887111742855</v>
      </c>
      <c r="J143" s="218">
        <v>0</v>
      </c>
      <c r="K143" s="219">
        <v>124.14243711205489</v>
      </c>
      <c r="L143" s="218">
        <v>296.70042469781117</v>
      </c>
      <c r="M143" s="218">
        <v>6.5338124795818367E-2</v>
      </c>
      <c r="N143" s="218">
        <v>0.130676249591717</v>
      </c>
      <c r="O143" s="219">
        <v>330.61091147484098</v>
      </c>
      <c r="P143" s="218"/>
      <c r="Q143" s="218"/>
      <c r="R143" s="218"/>
      <c r="S143" s="219"/>
      <c r="T143" s="218"/>
      <c r="U143" s="218"/>
      <c r="V143" s="218"/>
      <c r="W143" s="219">
        <v>3.4</v>
      </c>
      <c r="X143" s="218">
        <v>36.9</v>
      </c>
      <c r="Y143" s="218">
        <f>97.9-X143</f>
        <v>61.000000000000007</v>
      </c>
      <c r="Z143" s="218">
        <f>7.5-SUM(X143:Y143)</f>
        <v>-90.4</v>
      </c>
      <c r="AA143" s="219">
        <f>7.7-15.2-SUM(X143:Z143)</f>
        <v>-15</v>
      </c>
      <c r="AB143" s="218">
        <v>-14.7</v>
      </c>
      <c r="AC143" s="218">
        <f>-50.9-AB143</f>
        <v>-36.200000000000003</v>
      </c>
      <c r="AD143" s="218">
        <f>-53.7-SUM(AB143:AC143)</f>
        <v>-2.7999999999999972</v>
      </c>
      <c r="AE143" s="219">
        <f>-77.9-SUM(AB143:AD143)</f>
        <v>-24.200000000000003</v>
      </c>
      <c r="AF143" s="218"/>
      <c r="AG143" s="218"/>
      <c r="AH143" s="218"/>
      <c r="AI143" s="219"/>
      <c r="AJ143" s="218"/>
      <c r="AK143" s="218"/>
      <c r="AL143" s="218"/>
      <c r="AM143" s="219"/>
      <c r="AN143" s="218">
        <v>-1.1000000000000001</v>
      </c>
      <c r="AO143" s="218">
        <f>-1.1-AN143</f>
        <v>0</v>
      </c>
      <c r="AP143" s="218">
        <f>-1.1-SUM(AN143:AO143)</f>
        <v>0</v>
      </c>
      <c r="AQ143" s="219">
        <f>-1.1-SUM(AN143:AP143)</f>
        <v>0</v>
      </c>
      <c r="AR143" s="218"/>
      <c r="AS143" s="218">
        <f>-23.5-AR143</f>
        <v>-23.5</v>
      </c>
      <c r="AT143" s="218">
        <f>-50.6-SUM(AR143:AS143)</f>
        <v>-27.1</v>
      </c>
      <c r="AU143" s="219">
        <f>-97.7-SUM(AR143:AT143)</f>
        <v>-47.1</v>
      </c>
      <c r="AV143" s="218">
        <v>-25.4</v>
      </c>
      <c r="AW143" s="218">
        <f>-25.4-AV143</f>
        <v>0</v>
      </c>
      <c r="AX143" s="218">
        <f>-25.4-SUM(AV143:AW143)</f>
        <v>0</v>
      </c>
      <c r="AY143" s="219">
        <f>-25.4-SUM(AV143:AX143)</f>
        <v>0</v>
      </c>
      <c r="AZ143" s="218"/>
      <c r="BA143" s="218"/>
      <c r="BB143" s="218"/>
      <c r="BC143" s="219">
        <f>199.2-SUM(AZ143:BB143)</f>
        <v>199.2</v>
      </c>
      <c r="BD143" s="218"/>
      <c r="BE143" s="218"/>
      <c r="BF143" s="218"/>
      <c r="BG143" s="219"/>
      <c r="BH143" s="218">
        <v>-1.6</v>
      </c>
      <c r="BI143" s="218">
        <f>-1.6-BH143</f>
        <v>0</v>
      </c>
      <c r="BJ143" s="218">
        <f>-4.2-SUM(BH143:BI143)</f>
        <v>-2.6</v>
      </c>
      <c r="BK143" s="219">
        <f>0-SUM(BH143:BJ143)</f>
        <v>4.2</v>
      </c>
      <c r="BL143" s="218"/>
      <c r="BM143" s="218"/>
      <c r="BN143" s="218">
        <f>0-SUM(BL143:BM143)</f>
        <v>0</v>
      </c>
      <c r="BO143" s="219">
        <f>-50-SUM(BL143:BN143)</f>
        <v>-50</v>
      </c>
      <c r="BP143" s="218"/>
      <c r="BQ143" s="218"/>
      <c r="BR143" s="218"/>
      <c r="BS143" s="219"/>
      <c r="BT143" s="218">
        <v>-27.4</v>
      </c>
      <c r="BU143" s="218">
        <f>-100-BT143</f>
        <v>-72.599999999999994</v>
      </c>
      <c r="BV143" s="218">
        <f>-194.2-SUM(BT143:BU143)</f>
        <v>-94.199999999999989</v>
      </c>
      <c r="BW143" s="219">
        <f>-279.1-SUM(BT143:BV143)</f>
        <v>-84.900000000000034</v>
      </c>
      <c r="BX143" s="218">
        <v>-52.5</v>
      </c>
      <c r="BY143" s="218">
        <f>-122.5-BX143</f>
        <v>-70</v>
      </c>
      <c r="BZ143" s="218">
        <f>-172.6-BX143-BY143</f>
        <v>-50.099999999999994</v>
      </c>
      <c r="CA143" s="219">
        <f>-222.8-((BX143+BY143+BZ143))</f>
        <v>-50.200000000000017</v>
      </c>
      <c r="CB143" s="218">
        <v>-200.1</v>
      </c>
      <c r="CC143" s="218">
        <f>-1000.1-(CB143)</f>
        <v>-800</v>
      </c>
      <c r="CD143" s="218">
        <f>-1000.1-((CB143+CC143))</f>
        <v>0</v>
      </c>
      <c r="CE143" s="219">
        <f>-1000.1-CD143-CC143-CB143</f>
        <v>0</v>
      </c>
      <c r="CF143" s="218"/>
      <c r="CG143" s="218">
        <f>-156-CF143</f>
        <v>-156</v>
      </c>
      <c r="CH143" s="218">
        <f>-259.4-((CF143+CG143))</f>
        <v>-103.39999999999998</v>
      </c>
      <c r="CI143" s="219">
        <f>-411.4-CH143-CG143-CF143</f>
        <v>-152</v>
      </c>
      <c r="CJ143" s="218">
        <v>-112.4</v>
      </c>
      <c r="CK143" s="218">
        <f>-234.8-CJ143</f>
        <v>-122.4</v>
      </c>
      <c r="CL143" s="218">
        <f>-383-((CJ143+CK143))</f>
        <v>-148.19999999999999</v>
      </c>
      <c r="CM143" s="219">
        <f>-487.4-SUM(CJ143:CL143)</f>
        <v>-104.39999999999998</v>
      </c>
      <c r="CN143" s="218">
        <v>-154.69999999999999</v>
      </c>
      <c r="CO143" s="218">
        <f>-367.1-CN143</f>
        <v>-212.40000000000003</v>
      </c>
      <c r="CP143" s="218">
        <f>-557.7-CO143-CN143</f>
        <v>-190.60000000000002</v>
      </c>
      <c r="CQ143" s="219">
        <f>-658.8-SUM(CN143:CP143)</f>
        <v>-101.09999999999991</v>
      </c>
      <c r="CR143" s="218">
        <v>-115.6</v>
      </c>
      <c r="CS143" s="218">
        <f>-239.7-CR143</f>
        <v>-124.1</v>
      </c>
      <c r="CT143" s="218">
        <f>-332.2-CS143-CR143</f>
        <v>-92.5</v>
      </c>
      <c r="CU143" s="198">
        <f>-CU47</f>
        <v>-122</v>
      </c>
      <c r="CV143" s="197">
        <f>-CV47</f>
        <v>-100</v>
      </c>
      <c r="CW143" s="197">
        <f>-CW47</f>
        <v>-100</v>
      </c>
      <c r="CX143" s="197">
        <f>-CX47</f>
        <v>-100</v>
      </c>
      <c r="CY143" s="198">
        <f>-CY47</f>
        <v>-100</v>
      </c>
      <c r="DA143" s="212">
        <f>SUM(D143:G143)</f>
        <v>176.82096569748452</v>
      </c>
      <c r="DB143" s="212">
        <f>SUM(H143:K143)</f>
        <v>127.93205635101235</v>
      </c>
      <c r="DC143" s="212">
        <f>SUM(L143:O143)</f>
        <v>627.50735054703966</v>
      </c>
      <c r="DD143" s="212"/>
      <c r="DE143" s="212">
        <f>SUM(T143:W143)</f>
        <v>3.4</v>
      </c>
      <c r="DF143" s="212">
        <f>SUM(X143:AA143)</f>
        <v>-7.5</v>
      </c>
      <c r="DG143" s="212">
        <f>SUM(AB143:AE143)</f>
        <v>-77.900000000000006</v>
      </c>
      <c r="DH143" s="212"/>
      <c r="DI143" s="212"/>
      <c r="DJ143" s="212">
        <f>SUM(AN143:AQ143)</f>
        <v>-1.1000000000000001</v>
      </c>
      <c r="DK143" s="212">
        <f>SUM(AR143:AU143)</f>
        <v>-97.7</v>
      </c>
      <c r="DL143" s="212">
        <f>SUM(AV143:AY143)</f>
        <v>-25.4</v>
      </c>
      <c r="DM143" s="212">
        <f>SUM(AZ143:BC143)</f>
        <v>199.2</v>
      </c>
      <c r="DN143" s="212"/>
      <c r="DO143" s="212">
        <f>SUM(BH143:BK143)</f>
        <v>0</v>
      </c>
      <c r="DP143" s="212">
        <f>SUM(BL143:BO143)</f>
        <v>-50</v>
      </c>
      <c r="DQ143" s="212"/>
      <c r="DR143" s="212">
        <f>SUM(BT143:BW143)</f>
        <v>-279.10000000000002</v>
      </c>
      <c r="DS143" s="212">
        <f>SUM(BX143:CA143)</f>
        <v>-222.8</v>
      </c>
      <c r="DT143" s="212">
        <f>SUM(CB143:CE143)</f>
        <v>-1000.1</v>
      </c>
      <c r="DU143" s="212">
        <f>SUM(CF143:CI143)</f>
        <v>-411.4</v>
      </c>
      <c r="DV143" s="212">
        <f>SUM(CJ143:CM143)</f>
        <v>-487.4</v>
      </c>
      <c r="DW143" s="212">
        <f>SUM(CN143:CQ143)</f>
        <v>-658.8</v>
      </c>
      <c r="DX143" s="348">
        <f>SUM(CR143:CU143)</f>
        <v>-454.2</v>
      </c>
      <c r="DY143" s="348">
        <f t="shared" si="321"/>
        <v>-400</v>
      </c>
      <c r="DZ143" s="348">
        <f>-DZ47</f>
        <v>-400</v>
      </c>
      <c r="EA143" s="197">
        <f>-EA47</f>
        <v>-400</v>
      </c>
      <c r="EB143" s="197">
        <f>-EB47</f>
        <v>-400</v>
      </c>
      <c r="EC143" s="197">
        <f>-EC47</f>
        <v>-400</v>
      </c>
      <c r="ED143" s="197">
        <f>-ED47</f>
        <v>-400</v>
      </c>
      <c r="EE143" s="199"/>
      <c r="EF143"/>
      <c r="EG143"/>
      <c r="EH143"/>
      <c r="EI143"/>
      <c r="EJ143"/>
      <c r="EK143"/>
    </row>
    <row r="144" spans="1:141" s="137" customFormat="1">
      <c r="A144" s="193"/>
      <c r="B144" s="138" t="s">
        <v>276</v>
      </c>
      <c r="C144" s="138"/>
      <c r="D144" s="217"/>
      <c r="E144" s="218"/>
      <c r="F144" s="218"/>
      <c r="G144" s="219"/>
      <c r="H144" s="218">
        <v>-10.9114748409017</v>
      </c>
      <c r="I144" s="218">
        <v>-11.368833714472395</v>
      </c>
      <c r="J144" s="218">
        <v>-12.414243711205488</v>
      </c>
      <c r="K144" s="219">
        <v>-12.087553087226397</v>
      </c>
      <c r="L144" s="218">
        <v>-10.9114748409017</v>
      </c>
      <c r="M144" s="218">
        <v>-10.976804965697511</v>
      </c>
      <c r="N144" s="218">
        <v>-10.976804965697486</v>
      </c>
      <c r="O144" s="219">
        <v>-12.740934335184582</v>
      </c>
      <c r="P144" s="218"/>
      <c r="Q144" s="218"/>
      <c r="R144" s="218"/>
      <c r="S144" s="219"/>
      <c r="T144" s="218"/>
      <c r="U144" s="218"/>
      <c r="V144" s="218"/>
      <c r="W144" s="219"/>
      <c r="X144" s="218"/>
      <c r="Y144" s="218"/>
      <c r="Z144" s="218"/>
      <c r="AA144" s="219"/>
      <c r="AB144" s="218"/>
      <c r="AC144" s="218"/>
      <c r="AD144" s="218"/>
      <c r="AE144" s="219"/>
      <c r="AF144" s="218"/>
      <c r="AG144" s="218"/>
      <c r="AH144" s="218"/>
      <c r="AI144" s="219"/>
      <c r="AJ144" s="218"/>
      <c r="AK144" s="218"/>
      <c r="AL144" s="218"/>
      <c r="AM144" s="219"/>
      <c r="AN144" s="218"/>
      <c r="AO144" s="218"/>
      <c r="AP144" s="218"/>
      <c r="AQ144" s="219"/>
      <c r="AR144" s="218">
        <v>-27.3</v>
      </c>
      <c r="AS144" s="218">
        <f>-41.1-AR144</f>
        <v>-13.8</v>
      </c>
      <c r="AT144" s="218">
        <f>-54.6-SUM(AR144:AS144)</f>
        <v>-13.5</v>
      </c>
      <c r="AU144" s="219">
        <f>-68-SUM(AR144:AT144)</f>
        <v>-13.399999999999999</v>
      </c>
      <c r="AV144" s="218">
        <v>-16.8</v>
      </c>
      <c r="AW144" s="218">
        <f>-33.6-AV144</f>
        <v>-16.8</v>
      </c>
      <c r="AX144" s="218">
        <f>-50.4-SUM(AV144:AW144)</f>
        <v>-16.799999999999997</v>
      </c>
      <c r="AY144" s="219">
        <f>-67.2-SUM(AV144:AX144)</f>
        <v>-16.800000000000004</v>
      </c>
      <c r="AZ144" s="218">
        <v>-16.8</v>
      </c>
      <c r="BA144" s="218">
        <v>0</v>
      </c>
      <c r="BB144" s="218">
        <f>-16.8-SUM(AZ144:BA144)</f>
        <v>0</v>
      </c>
      <c r="BC144" s="219">
        <f>-16.8-SUM(AZ144:BB144)</f>
        <v>0</v>
      </c>
      <c r="BD144" s="218"/>
      <c r="BE144" s="218"/>
      <c r="BF144" s="218"/>
      <c r="BG144" s="219"/>
      <c r="BH144" s="218">
        <v>-10.199999999999999</v>
      </c>
      <c r="BI144" s="218">
        <f>-14.7-BH144</f>
        <v>-4.5</v>
      </c>
      <c r="BJ144" s="218">
        <f>-16.5-SUM(BH144:BI144)</f>
        <v>-1.8000000000000007</v>
      </c>
      <c r="BK144" s="219">
        <f>-19.4-SUM(BH144:BJ144)</f>
        <v>-2.8999999999999986</v>
      </c>
      <c r="BL144" s="218">
        <v>-3.2</v>
      </c>
      <c r="BM144" s="218">
        <f>-15.4-BL144</f>
        <v>-12.2</v>
      </c>
      <c r="BN144" s="218">
        <f>-15.4-SUM(BL144:BM144)</f>
        <v>0</v>
      </c>
      <c r="BO144" s="219">
        <f>-7-16.8-SUM(BL144:BN144)</f>
        <v>-8.4000000000000021</v>
      </c>
      <c r="BP144" s="218"/>
      <c r="BQ144" s="218">
        <v>-4.5999999999999996</v>
      </c>
      <c r="BR144" s="218">
        <f>-13.9-SUM(BP144:BQ144)</f>
        <v>-9.3000000000000007</v>
      </c>
      <c r="BS144" s="219">
        <f>-16.2-SUM(BP144:BR144)</f>
        <v>-2.2999999999999989</v>
      </c>
      <c r="BT144" s="218">
        <f>-10-12.8</f>
        <v>-22.8</v>
      </c>
      <c r="BU144" s="218">
        <f>-25.7-BT144</f>
        <v>-2.8999999999999986</v>
      </c>
      <c r="BV144" s="218">
        <f>-38.3-SUM(BT144:BU144)</f>
        <v>-12.599999999999998</v>
      </c>
      <c r="BW144" s="219">
        <f>-51.1-SUM(BT144:BV144)</f>
        <v>-12.800000000000004</v>
      </c>
      <c r="BX144" s="218">
        <v>-13.8</v>
      </c>
      <c r="BY144" s="218">
        <f>-27.6-BX144</f>
        <v>-13.8</v>
      </c>
      <c r="BZ144" s="218">
        <f>-40.9-BX144-BY144</f>
        <v>-13.299999999999997</v>
      </c>
      <c r="CA144" s="219">
        <f>-54.6-((BX144+BY144+BZ144))</f>
        <v>-13.700000000000003</v>
      </c>
      <c r="CB144" s="218">
        <f>-16.2</f>
        <v>-16.2</v>
      </c>
      <c r="CC144" s="218">
        <f>-29.6-(CB144)</f>
        <v>-13.400000000000002</v>
      </c>
      <c r="CD144" s="218">
        <f>-44.8-((CB144+CC144))</f>
        <v>-15.199999999999996</v>
      </c>
      <c r="CE144" s="219">
        <f>-58.4-CD144-CC144-CB144</f>
        <v>-13.600000000000001</v>
      </c>
      <c r="CF144" s="218">
        <f>-17.5-5.8</f>
        <v>-23.3</v>
      </c>
      <c r="CG144" s="218">
        <f>-33.6-CF144</f>
        <v>-10.3</v>
      </c>
      <c r="CH144" s="218">
        <f>-49.6-((CF144+CG144))</f>
        <v>-16</v>
      </c>
      <c r="CI144" s="219">
        <f>-65.3-CH144-CG144-CF144</f>
        <v>-15.7</v>
      </c>
      <c r="CJ144" s="218">
        <f>-22</f>
        <v>-22</v>
      </c>
      <c r="CK144" s="218">
        <f>-41.1-CJ144</f>
        <v>-19.100000000000001</v>
      </c>
      <c r="CL144" s="218">
        <f>-60-((CJ144+CK144))</f>
        <v>-18.899999999999999</v>
      </c>
      <c r="CM144" s="219">
        <f>-78.5-SUM(CJ144:CL144)</f>
        <v>-18.5</v>
      </c>
      <c r="CN144" s="218">
        <v>-25.3</v>
      </c>
      <c r="CO144" s="218">
        <f>-47-CN144</f>
        <v>-21.7</v>
      </c>
      <c r="CP144" s="218">
        <f>-68.1-CO144-CN144</f>
        <v>-21.099999999999991</v>
      </c>
      <c r="CQ144" s="219">
        <f>-88.8-SUM(CN144:CP144)</f>
        <v>-20.700000000000003</v>
      </c>
      <c r="CR144" s="218">
        <v>-36.700000000000003</v>
      </c>
      <c r="CS144" s="218">
        <f>-70.7-CR144</f>
        <v>-34</v>
      </c>
      <c r="CT144" s="218">
        <f>-104.4-CS144-CR144</f>
        <v>-33.700000000000003</v>
      </c>
      <c r="CU144" s="198">
        <f>-CU44*CU37</f>
        <v>-34.25</v>
      </c>
      <c r="CV144" s="197">
        <f>-CV44*CV37</f>
        <v>-40.93204695561716</v>
      </c>
      <c r="CW144" s="197">
        <f>-CW44*CW37</f>
        <v>-40.600217555790003</v>
      </c>
      <c r="CX144" s="197">
        <f>-CX44*CX37</f>
        <v>-40.27644258122632</v>
      </c>
      <c r="CY144" s="198">
        <f>-CY44*CY37</f>
        <v>-39.960526528554915</v>
      </c>
      <c r="DA144" s="212"/>
      <c r="DB144" s="212">
        <f>SUM(H144:K144)</f>
        <v>-46.782105353805981</v>
      </c>
      <c r="DC144" s="212">
        <f>SUM(L144:O144)</f>
        <v>-45.606019107481281</v>
      </c>
      <c r="DD144" s="212"/>
      <c r="DE144" s="212"/>
      <c r="DF144" s="212"/>
      <c r="DG144" s="212"/>
      <c r="DH144" s="212"/>
      <c r="DI144" s="212"/>
      <c r="DJ144" s="212"/>
      <c r="DK144" s="212">
        <f>SUM(AR144:AU144)</f>
        <v>-68</v>
      </c>
      <c r="DL144" s="212">
        <f>SUM(AV144:AY144)</f>
        <v>-67.2</v>
      </c>
      <c r="DM144" s="212">
        <f>SUM(AZ144:BC144)</f>
        <v>-16.8</v>
      </c>
      <c r="DN144" s="212"/>
      <c r="DO144" s="212">
        <f>SUM(BH144:BK144)</f>
        <v>-19.399999999999999</v>
      </c>
      <c r="DP144" s="212">
        <f>SUM(BL144:BO144)</f>
        <v>-23.8</v>
      </c>
      <c r="DQ144" s="212">
        <f>SUM(BP144:BS144)</f>
        <v>-16.2</v>
      </c>
      <c r="DR144" s="212">
        <f>SUM(BT144:BW144)</f>
        <v>-51.1</v>
      </c>
      <c r="DS144" s="212">
        <f>SUM(BX144:CA144)</f>
        <v>-54.6</v>
      </c>
      <c r="DT144" s="212">
        <f>SUM(CB144:CE144)</f>
        <v>-58.4</v>
      </c>
      <c r="DU144" s="212">
        <f>SUM(CF144:CI144)</f>
        <v>-65.3</v>
      </c>
      <c r="DV144" s="212">
        <f>SUM(CJ144:CM144)</f>
        <v>-78.5</v>
      </c>
      <c r="DW144" s="212">
        <f>SUM(CN144:CQ144)</f>
        <v>-88.8</v>
      </c>
      <c r="DX144" s="354">
        <f>SUM(CR144:CU144)</f>
        <v>-138.65</v>
      </c>
      <c r="DY144" s="354">
        <f t="shared" si="321"/>
        <v>-161.76923362118839</v>
      </c>
      <c r="DZ144" s="354">
        <f>-DZ44*DZ37</f>
        <v>-160.78357104257907</v>
      </c>
      <c r="EA144" s="212">
        <f>-EA44*EA37</f>
        <v>-157.06952038787463</v>
      </c>
      <c r="EB144" s="212">
        <f>-EB44*EB37</f>
        <v>-153.36527530166069</v>
      </c>
      <c r="EC144" s="212">
        <f>-EC44*EC37</f>
        <v>-149.68981026188044</v>
      </c>
      <c r="ED144" s="212">
        <f>-ED44*ED37</f>
        <v>-146.05854443114407</v>
      </c>
      <c r="EE144" s="199"/>
      <c r="EF144"/>
      <c r="EG144"/>
      <c r="EH144"/>
      <c r="EI144"/>
      <c r="EJ144"/>
      <c r="EK144"/>
    </row>
    <row r="145" spans="1:141" s="137" customFormat="1">
      <c r="A145" s="193"/>
      <c r="B145" s="200" t="s">
        <v>53</v>
      </c>
      <c r="C145" s="200"/>
      <c r="D145" s="220">
        <v>0</v>
      </c>
      <c r="E145" s="221">
        <v>0</v>
      </c>
      <c r="F145" s="221">
        <v>0</v>
      </c>
      <c r="G145" s="219">
        <v>-17.771969944462594</v>
      </c>
      <c r="H145" s="221">
        <v>0</v>
      </c>
      <c r="I145" s="221">
        <v>-12.74093433518458</v>
      </c>
      <c r="J145" s="221">
        <v>0</v>
      </c>
      <c r="K145" s="219">
        <v>23.19503430251552</v>
      </c>
      <c r="L145" s="221">
        <v>0</v>
      </c>
      <c r="M145" s="221">
        <v>0</v>
      </c>
      <c r="N145" s="221">
        <v>0</v>
      </c>
      <c r="O145" s="219">
        <v>0</v>
      </c>
      <c r="P145" s="221">
        <v>18.399999999999999</v>
      </c>
      <c r="Q145" s="221"/>
      <c r="R145" s="221">
        <v>34.1</v>
      </c>
      <c r="S145" s="219"/>
      <c r="T145" s="221">
        <v>49.5</v>
      </c>
      <c r="U145" s="221"/>
      <c r="V145" s="221"/>
      <c r="W145" s="219">
        <v>-38.1</v>
      </c>
      <c r="X145" s="221"/>
      <c r="Y145" s="221"/>
      <c r="Z145" s="221">
        <f>0-SUM(X145:Y145)</f>
        <v>0</v>
      </c>
      <c r="AA145" s="219">
        <f>-24.8-SUM(X145:Z145)</f>
        <v>-24.8</v>
      </c>
      <c r="AB145" s="221"/>
      <c r="AC145" s="221">
        <f>0.7-AB145</f>
        <v>0.7</v>
      </c>
      <c r="AD145" s="221">
        <f>0.7-SUM(AB145:AC145)</f>
        <v>0</v>
      </c>
      <c r="AE145" s="219">
        <f>0.7-SUM(AB145:AD145)</f>
        <v>0</v>
      </c>
      <c r="AF145" s="221"/>
      <c r="AG145" s="221">
        <f>-1.1-AF145</f>
        <v>-1.1000000000000001</v>
      </c>
      <c r="AH145" s="221">
        <f>1.5-SUM(AF145:AG145)</f>
        <v>2.6</v>
      </c>
      <c r="AI145" s="219">
        <f>0-SUM(AF145:AH145)</f>
        <v>-1.5</v>
      </c>
      <c r="AJ145" s="221"/>
      <c r="AK145" s="221"/>
      <c r="AL145" s="221">
        <f>0.6-SUM(AJ145:AK145)</f>
        <v>0.6</v>
      </c>
      <c r="AM145" s="219">
        <f>0.1-SUM(AJ145:AL145)</f>
        <v>-0.5</v>
      </c>
      <c r="AN145" s="221"/>
      <c r="AO145" s="221"/>
      <c r="AP145" s="221"/>
      <c r="AQ145" s="219"/>
      <c r="AR145" s="221">
        <v>11.5</v>
      </c>
      <c r="AS145" s="221">
        <f>0-AR145</f>
        <v>-11.5</v>
      </c>
      <c r="AT145" s="221">
        <f>0-SUM(AR145:AS145)</f>
        <v>0</v>
      </c>
      <c r="AU145" s="219">
        <f>0-SUM(AR145:AT145)</f>
        <v>0</v>
      </c>
      <c r="AV145" s="221">
        <v>0.3</v>
      </c>
      <c r="AW145" s="221">
        <f>0.6-AV145</f>
        <v>0.3</v>
      </c>
      <c r="AX145" s="221">
        <f>0.6-SUM(AV145:AW145)</f>
        <v>0</v>
      </c>
      <c r="AY145" s="219">
        <f>0.7-SUM(AV145:AX145)</f>
        <v>9.9999999999999978E-2</v>
      </c>
      <c r="AZ145" s="221">
        <f>10.3+1.1</f>
        <v>11.4</v>
      </c>
      <c r="BA145" s="221">
        <f>-4.8-AZ145+10.3</f>
        <v>-5.8999999999999986</v>
      </c>
      <c r="BB145" s="221">
        <f>-3.5-SUM(AZ145:BA145)+10.3</f>
        <v>1.2999999999999989</v>
      </c>
      <c r="BC145" s="219">
        <f>-13.8-SUM(AZ145:BB145)+10.3</f>
        <v>-10.3</v>
      </c>
      <c r="BD145" s="221"/>
      <c r="BE145" s="221"/>
      <c r="BF145" s="221"/>
      <c r="BG145" s="219"/>
      <c r="BH145" s="221">
        <v>-1.9</v>
      </c>
      <c r="BI145" s="221">
        <f>-3.8-BH145</f>
        <v>-1.9</v>
      </c>
      <c r="BJ145" s="221">
        <f>-4.1-SUM(BH145:BI145)</f>
        <v>-0.29999999999999982</v>
      </c>
      <c r="BK145" s="219">
        <f>-35.5-SUM(BH145:BJ145)</f>
        <v>-31.4</v>
      </c>
      <c r="BL145" s="221">
        <v>1.5</v>
      </c>
      <c r="BM145" s="221">
        <f>-0.3-21.2-BL145</f>
        <v>-23</v>
      </c>
      <c r="BN145" s="221">
        <f>0.2-57.9-SUM(BL145:BM145)</f>
        <v>-36.199999999999996</v>
      </c>
      <c r="BO145" s="219">
        <f>32.5-10.7-70.6-SUM(BL145:BN145)</f>
        <v>8.8999999999999986</v>
      </c>
      <c r="BP145" s="221">
        <v>0.4</v>
      </c>
      <c r="BQ145" s="221">
        <f>1.1-BP145</f>
        <v>0.70000000000000007</v>
      </c>
      <c r="BR145" s="221">
        <f>-3.4-SUM(BP145:BQ145)</f>
        <v>-4.5</v>
      </c>
      <c r="BS145" s="219">
        <f>-13.1-SUM(BP145:BR145)</f>
        <v>-9.6999999999999993</v>
      </c>
      <c r="BT145" s="221">
        <v>-1.4</v>
      </c>
      <c r="BU145" s="221">
        <f>-18.2-1.6-BT145</f>
        <v>-18.400000000000002</v>
      </c>
      <c r="BV145" s="221">
        <f>-18.5-3.4-SUM(BT145:BU145)</f>
        <v>-2.0999999999999979</v>
      </c>
      <c r="BW145" s="219">
        <f>-18.5-13.7-SUM(BT145:BV145)</f>
        <v>-10.300000000000004</v>
      </c>
      <c r="BX145" s="221">
        <f>-3.2-3.2</f>
        <v>-6.4</v>
      </c>
      <c r="BY145" s="221">
        <f>-4.3+2-BX145</f>
        <v>4.1000000000000005</v>
      </c>
      <c r="BZ145" s="221">
        <f>-4.3-15.4-BX145-BY145</f>
        <v>-17.399999999999999</v>
      </c>
      <c r="CA145" s="219">
        <f>(-23.1-23.5)-((BX145+BY145+BZ145))</f>
        <v>-26.900000000000002</v>
      </c>
      <c r="CB145" s="221">
        <f>-5.1-3.9</f>
        <v>-9</v>
      </c>
      <c r="CC145" s="221">
        <f>(-14.8-9.3)-(CB145)</f>
        <v>-15.100000000000001</v>
      </c>
      <c r="CD145" s="221">
        <f>(-33.4-9.7)-((CB145+CC145))</f>
        <v>-18.999999999999993</v>
      </c>
      <c r="CE145" s="219">
        <f>-44-10.5-CD145-CC145-CB145</f>
        <v>-11.400000000000006</v>
      </c>
      <c r="CF145" s="221">
        <v>-21.1</v>
      </c>
      <c r="CG145" s="221">
        <f>(-6.8-38.2)-CF145</f>
        <v>-23.9</v>
      </c>
      <c r="CH145" s="221">
        <f>(-17.5-39.2)-((CF145+CG145))</f>
        <v>-11.700000000000003</v>
      </c>
      <c r="CI145" s="219">
        <f>-250-25.9-38-CH145-CG145-CF145</f>
        <v>-257.2</v>
      </c>
      <c r="CJ145" s="221">
        <f>-46-0.1</f>
        <v>-46.1</v>
      </c>
      <c r="CK145" s="221">
        <f>(-11.9-48.6)-CJ145</f>
        <v>-14.399999999999999</v>
      </c>
      <c r="CL145" s="221">
        <f>(-16.2-53.6)-((CJ145+CK145))</f>
        <v>-9.2999999999999972</v>
      </c>
      <c r="CM145" s="219">
        <f>-27.8-48.2-SUM(CJ145:CL145)</f>
        <v>-6.2000000000000028</v>
      </c>
      <c r="CN145" s="221">
        <v>-51</v>
      </c>
      <c r="CO145" s="221">
        <f>(-14.3-51.3)-CN145</f>
        <v>-14.599999999999994</v>
      </c>
      <c r="CP145" s="221">
        <f>(-14.8-52.1)-CO145-CN145</f>
        <v>-1.3000000000000114</v>
      </c>
      <c r="CQ145" s="219">
        <f>-79.2-33.3-SUM(CN145:CP145)</f>
        <v>-45.599999999999994</v>
      </c>
      <c r="CR145" s="221">
        <f>-41.7-26.5</f>
        <v>-68.2</v>
      </c>
      <c r="CS145" s="221">
        <f>-27.7-58.3-CR145</f>
        <v>-17.799999999999997</v>
      </c>
      <c r="CT145" s="221">
        <f>-11.7-42.7-56.6-CS145-CR145</f>
        <v>-25</v>
      </c>
      <c r="CU145" s="203"/>
      <c r="CV145" s="202"/>
      <c r="CW145" s="202"/>
      <c r="CX145" s="202"/>
      <c r="CY145" s="203"/>
      <c r="DA145" s="542">
        <f>SUM(D145:G145)</f>
        <v>-17.771969944462594</v>
      </c>
      <c r="DB145" s="542">
        <f>SUM(H145:K145)</f>
        <v>10.45409996733094</v>
      </c>
      <c r="DC145" s="542">
        <f>SUM(L145:O145)</f>
        <v>0</v>
      </c>
      <c r="DD145" s="542">
        <f>SUM(P145:S145)</f>
        <v>52.5</v>
      </c>
      <c r="DE145" s="542">
        <f>SUM(T145:W145)</f>
        <v>11.399999999999999</v>
      </c>
      <c r="DF145" s="542">
        <f>SUM(X145:AA145)</f>
        <v>-24.8</v>
      </c>
      <c r="DG145" s="542">
        <f>SUM(AB145:AE145)</f>
        <v>0.7</v>
      </c>
      <c r="DH145" s="542">
        <f>SUM(AF145:AI145)</f>
        <v>0</v>
      </c>
      <c r="DI145" s="542">
        <f>SUM(AJ145:AM145)</f>
        <v>9.9999999999999978E-2</v>
      </c>
      <c r="DJ145" s="542"/>
      <c r="DK145" s="542">
        <f>SUM(AR145:AU145)</f>
        <v>0</v>
      </c>
      <c r="DL145" s="542">
        <f>SUM(AV145:AY145)</f>
        <v>0.7</v>
      </c>
      <c r="DM145" s="542">
        <f>SUM(AZ145:BC145)</f>
        <v>-3.5</v>
      </c>
      <c r="DN145" s="542"/>
      <c r="DO145" s="542">
        <f>SUM(BH145:BK145)</f>
        <v>-35.5</v>
      </c>
      <c r="DP145" s="542">
        <f>SUM(BL145:BO145)</f>
        <v>-48.8</v>
      </c>
      <c r="DQ145" s="542">
        <f>SUM(BP145:BS145)</f>
        <v>-13.1</v>
      </c>
      <c r="DR145" s="542">
        <f>SUM(BT145:BW145)</f>
        <v>-32.200000000000003</v>
      </c>
      <c r="DS145" s="542">
        <f>SUM(BX145:CA145)</f>
        <v>-46.6</v>
      </c>
      <c r="DT145" s="542">
        <f>SUM(CB145:CE145)</f>
        <v>-54.5</v>
      </c>
      <c r="DU145" s="542">
        <f>SUM(CF145:CI145)</f>
        <v>-313.89999999999998</v>
      </c>
      <c r="DV145" s="542">
        <f>SUM(CJ145:CM145)</f>
        <v>-76</v>
      </c>
      <c r="DW145" s="542">
        <f>SUM(CN145:CQ145)</f>
        <v>-112.5</v>
      </c>
      <c r="DX145" s="543">
        <f>SUM(CR145:CU145)</f>
        <v>-111</v>
      </c>
      <c r="DY145" s="543">
        <f t="shared" si="321"/>
        <v>0</v>
      </c>
      <c r="DZ145" s="352"/>
      <c r="EA145" s="560"/>
      <c r="EB145" s="560"/>
      <c r="EC145" s="560"/>
      <c r="ED145" s="560"/>
      <c r="EE145" s="199"/>
      <c r="EF145"/>
      <c r="EG145"/>
      <c r="EH145"/>
      <c r="EI145"/>
      <c r="EJ145"/>
      <c r="EK145"/>
    </row>
    <row r="146" spans="1:141" s="301" customFormat="1">
      <c r="A146" s="296"/>
      <c r="B146" s="297" t="s">
        <v>277</v>
      </c>
      <c r="C146" s="297"/>
      <c r="D146" s="577">
        <f t="shared" ref="D146:AC146" si="322">SUM(D138:D145)</f>
        <v>96.177727699444631</v>
      </c>
      <c r="E146" s="298">
        <f t="shared" si="322"/>
        <v>14.839754328650766</v>
      </c>
      <c r="F146" s="298">
        <f t="shared" si="322"/>
        <v>34.106493143417183</v>
      </c>
      <c r="G146" s="299">
        <f t="shared" si="322"/>
        <v>8.175265600277335</v>
      </c>
      <c r="H146" s="298">
        <f t="shared" si="322"/>
        <v>-29.598178532505752</v>
      </c>
      <c r="I146" s="298">
        <f t="shared" si="322"/>
        <v>-11.760854462447307</v>
      </c>
      <c r="J146" s="298">
        <f t="shared" si="322"/>
        <v>-38.092126755962887</v>
      </c>
      <c r="K146" s="299">
        <f t="shared" si="322"/>
        <v>129.95753021888274</v>
      </c>
      <c r="L146" s="298">
        <f t="shared" si="322"/>
        <v>286.37699298007186</v>
      </c>
      <c r="M146" s="298">
        <f t="shared" si="322"/>
        <v>-27.245998039856282</v>
      </c>
      <c r="N146" s="298">
        <f t="shared" si="322"/>
        <v>-12.740934335184502</v>
      </c>
      <c r="O146" s="299">
        <f t="shared" si="322"/>
        <v>308.13459654507943</v>
      </c>
      <c r="P146" s="298">
        <f t="shared" si="322"/>
        <v>-33.1</v>
      </c>
      <c r="Q146" s="298">
        <f t="shared" si="322"/>
        <v>-45.400000000000006</v>
      </c>
      <c r="R146" s="298">
        <f t="shared" si="322"/>
        <v>219.3</v>
      </c>
      <c r="S146" s="299">
        <f t="shared" si="322"/>
        <v>0</v>
      </c>
      <c r="T146" s="298">
        <f t="shared" si="322"/>
        <v>192.20000000000002</v>
      </c>
      <c r="U146" s="298">
        <f t="shared" si="322"/>
        <v>88.7</v>
      </c>
      <c r="V146" s="298">
        <f t="shared" si="322"/>
        <v>181.9</v>
      </c>
      <c r="W146" s="299">
        <f t="shared" si="322"/>
        <v>383.79999999999995</v>
      </c>
      <c r="X146" s="298">
        <f t="shared" si="322"/>
        <v>3.4000000000000057</v>
      </c>
      <c r="Y146" s="298">
        <f t="shared" si="322"/>
        <v>1903.3</v>
      </c>
      <c r="Z146" s="298">
        <f t="shared" si="322"/>
        <v>545.4</v>
      </c>
      <c r="AA146" s="299">
        <f t="shared" si="322"/>
        <v>-414.09999999999985</v>
      </c>
      <c r="AB146" s="298">
        <f t="shared" si="322"/>
        <v>8.5999999999999979</v>
      </c>
      <c r="AC146" s="298">
        <f t="shared" si="322"/>
        <v>-249.10000000000002</v>
      </c>
      <c r="AD146" s="298">
        <f t="shared" ref="AD146:BC146" si="323">SUM(AD138:AD145)</f>
        <v>5.7000000000000242</v>
      </c>
      <c r="AE146" s="299">
        <f t="shared" si="323"/>
        <v>-289</v>
      </c>
      <c r="AF146" s="298">
        <f t="shared" si="323"/>
        <v>-273.39999999999998</v>
      </c>
      <c r="AG146" s="298">
        <f t="shared" si="323"/>
        <v>-197.39999999999995</v>
      </c>
      <c r="AH146" s="298">
        <f t="shared" si="323"/>
        <v>-55.900000000000013</v>
      </c>
      <c r="AI146" s="299">
        <f t="shared" si="323"/>
        <v>-118.80000000000001</v>
      </c>
      <c r="AJ146" s="298">
        <f t="shared" si="323"/>
        <v>-137.6</v>
      </c>
      <c r="AK146" s="298">
        <f t="shared" si="323"/>
        <v>-36.000000000000036</v>
      </c>
      <c r="AL146" s="298">
        <f t="shared" si="323"/>
        <v>-15.299999999999942</v>
      </c>
      <c r="AM146" s="299">
        <f t="shared" si="323"/>
        <v>-106.90000000000002</v>
      </c>
      <c r="AN146" s="298">
        <f t="shared" si="323"/>
        <v>-24.499999999999996</v>
      </c>
      <c r="AO146" s="298">
        <f t="shared" si="323"/>
        <v>-96.800000000000011</v>
      </c>
      <c r="AP146" s="298">
        <f t="shared" si="323"/>
        <v>-25.299999999999994</v>
      </c>
      <c r="AQ146" s="299">
        <f t="shared" si="323"/>
        <v>-12</v>
      </c>
      <c r="AR146" s="298">
        <f t="shared" si="323"/>
        <v>-11.7</v>
      </c>
      <c r="AS146" s="298">
        <f t="shared" si="323"/>
        <v>-58.8</v>
      </c>
      <c r="AT146" s="298">
        <f t="shared" si="323"/>
        <v>299.69999999999993</v>
      </c>
      <c r="AU146" s="299">
        <f t="shared" si="323"/>
        <v>-63.09999999999998</v>
      </c>
      <c r="AV146" s="298">
        <f t="shared" si="323"/>
        <v>-28.7</v>
      </c>
      <c r="AW146" s="298">
        <f t="shared" si="323"/>
        <v>-633.1</v>
      </c>
      <c r="AX146" s="298">
        <f t="shared" si="323"/>
        <v>425.1</v>
      </c>
      <c r="AY146" s="299">
        <f t="shared" si="323"/>
        <v>-110.30000000000007</v>
      </c>
      <c r="AZ146" s="298">
        <f t="shared" si="323"/>
        <v>-11.499999999999998</v>
      </c>
      <c r="BA146" s="298">
        <f t="shared" si="323"/>
        <v>131.1</v>
      </c>
      <c r="BB146" s="298">
        <f t="shared" si="323"/>
        <v>-62.09999999999998</v>
      </c>
      <c r="BC146" s="299">
        <f t="shared" si="323"/>
        <v>213.19999999999993</v>
      </c>
      <c r="BD146" s="298">
        <f t="shared" ref="BD146:CB146" si="324">SUM(BD138:BD145)</f>
        <v>-22.4</v>
      </c>
      <c r="BE146" s="298">
        <f t="shared" si="324"/>
        <v>-5</v>
      </c>
      <c r="BF146" s="298">
        <f t="shared" si="324"/>
        <v>2.6000000000000005</v>
      </c>
      <c r="BG146" s="299">
        <f t="shared" si="324"/>
        <v>-25</v>
      </c>
      <c r="BH146" s="298">
        <f t="shared" si="324"/>
        <v>-16.899999999999999</v>
      </c>
      <c r="BI146" s="298">
        <f t="shared" si="324"/>
        <v>-95.600000000000009</v>
      </c>
      <c r="BJ146" s="298">
        <f t="shared" si="324"/>
        <v>-69.100000000000009</v>
      </c>
      <c r="BK146" s="299">
        <f t="shared" si="324"/>
        <v>1082.4199999999998</v>
      </c>
      <c r="BL146" s="298">
        <f t="shared" si="324"/>
        <v>-13.599999999999998</v>
      </c>
      <c r="BM146" s="298">
        <f t="shared" si="324"/>
        <v>-34.9</v>
      </c>
      <c r="BN146" s="298">
        <f t="shared" si="324"/>
        <v>464.7</v>
      </c>
      <c r="BO146" s="299">
        <f t="shared" si="324"/>
        <v>-220.99999999999994</v>
      </c>
      <c r="BP146" s="298">
        <f t="shared" si="324"/>
        <v>-242.50000000000003</v>
      </c>
      <c r="BQ146" s="298">
        <f t="shared" si="324"/>
        <v>-29.099999999999977</v>
      </c>
      <c r="BR146" s="298">
        <f t="shared" si="324"/>
        <v>-36.799999999999997</v>
      </c>
      <c r="BS146" s="299">
        <f t="shared" si="324"/>
        <v>-12.299999999999953</v>
      </c>
      <c r="BT146" s="298">
        <f t="shared" si="324"/>
        <v>-53.199999999999996</v>
      </c>
      <c r="BU146" s="298">
        <f t="shared" si="324"/>
        <v>-99.800000000000011</v>
      </c>
      <c r="BV146" s="298">
        <f t="shared" si="324"/>
        <v>-111.49999999999997</v>
      </c>
      <c r="BW146" s="299">
        <f t="shared" si="324"/>
        <v>-107.80000000000004</v>
      </c>
      <c r="BX146" s="298">
        <f t="shared" si="324"/>
        <v>-72.7</v>
      </c>
      <c r="BY146" s="298">
        <f t="shared" si="324"/>
        <v>-79.7</v>
      </c>
      <c r="BZ146" s="298">
        <f t="shared" si="324"/>
        <v>-152.9</v>
      </c>
      <c r="CA146" s="299">
        <f t="shared" si="324"/>
        <v>-90.800000000000026</v>
      </c>
      <c r="CB146" s="298">
        <f t="shared" si="324"/>
        <v>189.20000000000002</v>
      </c>
      <c r="CC146" s="298">
        <f t="shared" ref="CC146:CS146" si="325">SUM(CC138:CC145)</f>
        <v>-828.5</v>
      </c>
      <c r="CD146" s="298">
        <f t="shared" si="325"/>
        <v>-34.199999999999989</v>
      </c>
      <c r="CE146" s="299">
        <f t="shared" si="325"/>
        <v>-25.000000000000007</v>
      </c>
      <c r="CF146" s="298">
        <f t="shared" si="325"/>
        <v>-50.300000000000026</v>
      </c>
      <c r="CG146" s="298">
        <f t="shared" si="325"/>
        <v>-190.20000000000002</v>
      </c>
      <c r="CH146" s="298">
        <f t="shared" si="325"/>
        <v>-131.09999999999997</v>
      </c>
      <c r="CI146" s="299">
        <f t="shared" si="325"/>
        <v>210.80000000000007</v>
      </c>
      <c r="CJ146" s="298">
        <f t="shared" si="325"/>
        <v>314.5</v>
      </c>
      <c r="CK146" s="298">
        <f t="shared" si="325"/>
        <v>-155.9</v>
      </c>
      <c r="CL146" s="298">
        <f t="shared" si="325"/>
        <v>-179.5</v>
      </c>
      <c r="CM146" s="299">
        <f t="shared" si="325"/>
        <v>-135.39999999999998</v>
      </c>
      <c r="CN146" s="298">
        <f t="shared" si="325"/>
        <v>-231.5</v>
      </c>
      <c r="CO146" s="298">
        <f t="shared" si="325"/>
        <v>-252.4</v>
      </c>
      <c r="CP146" s="298">
        <f t="shared" si="325"/>
        <v>-215.50000000000003</v>
      </c>
      <c r="CQ146" s="299">
        <f t="shared" si="325"/>
        <v>-173.49999999999989</v>
      </c>
      <c r="CR146" s="298">
        <f t="shared" si="325"/>
        <v>-225.3</v>
      </c>
      <c r="CS146" s="298">
        <f t="shared" si="325"/>
        <v>-191.59999999999997</v>
      </c>
      <c r="CT146" s="298">
        <f>SUM(CT138:CT145)</f>
        <v>-128.9</v>
      </c>
      <c r="CU146" s="300">
        <f t="shared" ref="CU146" si="326">SUM(CU138:CU145)</f>
        <v>-156.25</v>
      </c>
      <c r="CV146" s="298">
        <f t="shared" ref="CV146:CY146" si="327">SUM(CV138:CV145)</f>
        <v>-140.93204695561715</v>
      </c>
      <c r="CW146" s="298">
        <f t="shared" si="327"/>
        <v>-140.60021755579001</v>
      </c>
      <c r="CX146" s="298">
        <f t="shared" si="327"/>
        <v>-140.27644258122632</v>
      </c>
      <c r="CY146" s="300">
        <f t="shared" si="327"/>
        <v>-139.96052652855491</v>
      </c>
      <c r="DA146" s="562">
        <f t="shared" ref="DA146:EA146" si="328">SUM(DA138:DA145)</f>
        <v>153.2992407717899</v>
      </c>
      <c r="DB146" s="562">
        <f t="shared" si="328"/>
        <v>50.506370467966775</v>
      </c>
      <c r="DC146" s="562">
        <f t="shared" si="328"/>
        <v>554.52465715011044</v>
      </c>
      <c r="DD146" s="562">
        <f t="shared" si="328"/>
        <v>124.1</v>
      </c>
      <c r="DE146" s="562">
        <f t="shared" si="328"/>
        <v>846.6</v>
      </c>
      <c r="DF146" s="562">
        <f t="shared" si="328"/>
        <v>2038.0000000000002</v>
      </c>
      <c r="DG146" s="562">
        <f t="shared" si="328"/>
        <v>-523.79999999999995</v>
      </c>
      <c r="DH146" s="562">
        <f t="shared" si="328"/>
        <v>-645.5</v>
      </c>
      <c r="DI146" s="562">
        <f t="shared" si="328"/>
        <v>-295.79999999999995</v>
      </c>
      <c r="DJ146" s="562">
        <f t="shared" si="328"/>
        <v>-158.6</v>
      </c>
      <c r="DK146" s="562">
        <f t="shared" si="328"/>
        <v>166.09999999999997</v>
      </c>
      <c r="DL146" s="562">
        <f t="shared" si="328"/>
        <v>-347.00000000000006</v>
      </c>
      <c r="DM146" s="562">
        <f t="shared" si="328"/>
        <v>270.69999999999993</v>
      </c>
      <c r="DN146" s="562">
        <f t="shared" si="328"/>
        <v>-49.8</v>
      </c>
      <c r="DO146" s="562">
        <f t="shared" si="328"/>
        <v>900.82</v>
      </c>
      <c r="DP146" s="562">
        <f t="shared" si="328"/>
        <v>195.20000000000005</v>
      </c>
      <c r="DQ146" s="562">
        <f t="shared" si="328"/>
        <v>-320.7</v>
      </c>
      <c r="DR146" s="562">
        <f t="shared" si="328"/>
        <v>-372.3</v>
      </c>
      <c r="DS146" s="562">
        <f t="shared" si="328"/>
        <v>-396.1</v>
      </c>
      <c r="DT146" s="562">
        <f t="shared" si="328"/>
        <v>-698.5</v>
      </c>
      <c r="DU146" s="562">
        <f t="shared" si="328"/>
        <v>-160.80000000000001</v>
      </c>
      <c r="DV146" s="562">
        <f t="shared" si="328"/>
        <v>-156.29999999999995</v>
      </c>
      <c r="DW146" s="562">
        <f t="shared" si="328"/>
        <v>-872.89999999999986</v>
      </c>
      <c r="DX146" s="563">
        <f t="shared" si="328"/>
        <v>-702.05</v>
      </c>
      <c r="DY146" s="563">
        <f t="shared" ref="DY146" si="329">SUM(DY138:DY145)</f>
        <v>-561.76923362118839</v>
      </c>
      <c r="DZ146" s="564">
        <f t="shared" si="328"/>
        <v>-560.78357104257907</v>
      </c>
      <c r="EA146" s="298">
        <f t="shared" si="328"/>
        <v>-557.0695203878746</v>
      </c>
      <c r="EB146" s="298">
        <f t="shared" ref="EB146:ED146" si="330">SUM(EB138:EB145)</f>
        <v>-553.36527530166063</v>
      </c>
      <c r="EC146" s="298">
        <f t="shared" si="330"/>
        <v>-549.68981026188044</v>
      </c>
      <c r="ED146" s="298">
        <f t="shared" si="330"/>
        <v>-546.05854443114413</v>
      </c>
      <c r="EE146" s="297"/>
      <c r="EF146"/>
      <c r="EG146"/>
      <c r="EH146"/>
      <c r="EI146"/>
      <c r="EJ146"/>
      <c r="EK146"/>
    </row>
    <row r="147" spans="1:141" s="137" customFormat="1">
      <c r="A147" s="193"/>
      <c r="B147" s="205"/>
      <c r="C147" s="205"/>
      <c r="D147" s="576"/>
      <c r="E147" s="212"/>
      <c r="F147" s="212"/>
      <c r="G147" s="196"/>
      <c r="H147" s="212"/>
      <c r="I147" s="212"/>
      <c r="J147" s="212"/>
      <c r="K147" s="196"/>
      <c r="L147" s="212"/>
      <c r="M147" s="212"/>
      <c r="N147" s="212"/>
      <c r="O147" s="196"/>
      <c r="P147" s="212"/>
      <c r="Q147" s="212"/>
      <c r="R147" s="212"/>
      <c r="S147" s="196"/>
      <c r="T147" s="212"/>
      <c r="U147" s="212"/>
      <c r="V147" s="212"/>
      <c r="W147" s="196"/>
      <c r="X147" s="212"/>
      <c r="Y147" s="212"/>
      <c r="Z147" s="212"/>
      <c r="AA147" s="196"/>
      <c r="AB147" s="212"/>
      <c r="AC147" s="212"/>
      <c r="AD147" s="212"/>
      <c r="AE147" s="196"/>
      <c r="AF147" s="212"/>
      <c r="AG147" s="212"/>
      <c r="AH147" s="212"/>
      <c r="AI147" s="196"/>
      <c r="AJ147" s="212"/>
      <c r="AK147" s="212"/>
      <c r="AL147" s="212"/>
      <c r="AM147" s="196"/>
      <c r="AN147" s="212"/>
      <c r="AO147" s="212"/>
      <c r="AP147" s="212"/>
      <c r="AQ147" s="196"/>
      <c r="AR147" s="212"/>
      <c r="AS147" s="212"/>
      <c r="AT147" s="212"/>
      <c r="AU147" s="196"/>
      <c r="AV147" s="212"/>
      <c r="AW147" s="212"/>
      <c r="AX147" s="212"/>
      <c r="AY147" s="196"/>
      <c r="AZ147" s="212"/>
      <c r="BA147" s="212"/>
      <c r="BB147" s="212"/>
      <c r="BC147" s="196"/>
      <c r="BD147" s="212"/>
      <c r="BE147" s="212"/>
      <c r="BF147" s="212"/>
      <c r="BG147" s="196"/>
      <c r="BH147" s="212"/>
      <c r="BI147" s="212"/>
      <c r="BJ147" s="212"/>
      <c r="BK147" s="196"/>
      <c r="BL147" s="212"/>
      <c r="BM147" s="212"/>
      <c r="BN147" s="212"/>
      <c r="BO147" s="196"/>
      <c r="BP147" s="212"/>
      <c r="BQ147" s="212"/>
      <c r="BR147" s="212"/>
      <c r="BS147" s="196"/>
      <c r="BT147" s="212"/>
      <c r="BU147" s="212"/>
      <c r="BV147" s="212"/>
      <c r="BW147" s="196"/>
      <c r="BX147" s="212"/>
      <c r="BY147" s="212"/>
      <c r="BZ147" s="212"/>
      <c r="CA147" s="196"/>
      <c r="CB147" s="212"/>
      <c r="CC147" s="212"/>
      <c r="CD147" s="212"/>
      <c r="CE147" s="196"/>
      <c r="CF147" s="212"/>
      <c r="CG147" s="212"/>
      <c r="CH147" s="212"/>
      <c r="CI147" s="196"/>
      <c r="CJ147" s="212"/>
      <c r="CK147" s="212"/>
      <c r="CL147" s="212"/>
      <c r="CM147" s="196"/>
      <c r="CN147" s="212"/>
      <c r="CO147" s="212"/>
      <c r="CP147" s="212"/>
      <c r="CQ147" s="196"/>
      <c r="CR147" s="212"/>
      <c r="CS147" s="212"/>
      <c r="CT147" s="212"/>
      <c r="CU147" s="196"/>
      <c r="CV147" s="212"/>
      <c r="CW147" s="212"/>
      <c r="CX147" s="212"/>
      <c r="CY147" s="196"/>
      <c r="DA147" s="212"/>
      <c r="DB147" s="212"/>
      <c r="DC147" s="212"/>
      <c r="DD147" s="212"/>
      <c r="DE147" s="212"/>
      <c r="DF147" s="212"/>
      <c r="DG147" s="212"/>
      <c r="DH147" s="212"/>
      <c r="DI147" s="212"/>
      <c r="DJ147" s="212"/>
      <c r="DK147" s="212"/>
      <c r="DL147" s="212"/>
      <c r="DM147" s="212"/>
      <c r="DN147" s="212"/>
      <c r="DO147" s="212"/>
      <c r="DP147" s="212"/>
      <c r="DQ147" s="212"/>
      <c r="DR147" s="212"/>
      <c r="DS147" s="212"/>
      <c r="DT147" s="212"/>
      <c r="DU147" s="212"/>
      <c r="DV147" s="212"/>
      <c r="DW147" s="212"/>
      <c r="DX147" s="212"/>
      <c r="DY147" s="212"/>
      <c r="DZ147" s="199"/>
      <c r="EA147" s="199"/>
      <c r="EB147" s="199"/>
      <c r="EC147" s="199"/>
      <c r="ED147" s="199"/>
      <c r="EE147" s="199"/>
      <c r="EF147"/>
      <c r="EG147"/>
      <c r="EH147"/>
      <c r="EI147"/>
      <c r="EJ147"/>
      <c r="EK147"/>
    </row>
    <row r="148" spans="1:141" s="137" customFormat="1">
      <c r="A148" s="193"/>
      <c r="B148" s="138" t="s">
        <v>278</v>
      </c>
      <c r="C148" s="138"/>
      <c r="D148" s="217"/>
      <c r="E148" s="218"/>
      <c r="F148" s="218"/>
      <c r="G148" s="219"/>
      <c r="H148" s="218"/>
      <c r="I148" s="218"/>
      <c r="J148" s="218"/>
      <c r="K148" s="219"/>
      <c r="L148" s="218"/>
      <c r="M148" s="218"/>
      <c r="N148" s="218"/>
      <c r="O148" s="219"/>
      <c r="P148" s="218">
        <v>14.8</v>
      </c>
      <c r="Q148" s="218"/>
      <c r="R148" s="218"/>
      <c r="S148" s="219"/>
      <c r="T148" s="218">
        <v>-4</v>
      </c>
      <c r="U148" s="218"/>
      <c r="V148" s="218"/>
      <c r="W148" s="219"/>
      <c r="X148" s="218">
        <v>15</v>
      </c>
      <c r="Y148" s="218">
        <f>14.2-X148</f>
        <v>-0.80000000000000071</v>
      </c>
      <c r="Z148" s="218">
        <f>10.5-SUM(X148:Y148)</f>
        <v>-3.6999999999999993</v>
      </c>
      <c r="AA148" s="219">
        <f>16.8-SUM(X148:Z148)</f>
        <v>6.3000000000000007</v>
      </c>
      <c r="AB148" s="218">
        <v>-8.6999999999999993</v>
      </c>
      <c r="AC148" s="218">
        <f>-1.7-AB148</f>
        <v>6.9999999999999991</v>
      </c>
      <c r="AD148" s="218">
        <f>-7-SUM(AB148:AC148)</f>
        <v>-5.3</v>
      </c>
      <c r="AE148" s="219">
        <f>-12.3-SUM(AB148:AD148)</f>
        <v>-5.3000000000000007</v>
      </c>
      <c r="AF148" s="218">
        <v>38.4</v>
      </c>
      <c r="AG148" s="218">
        <f>28.5-AF148</f>
        <v>-9.8999999999999986</v>
      </c>
      <c r="AH148" s="218">
        <f>-10.8-SUM(AF148:AG148)</f>
        <v>-39.299999999999997</v>
      </c>
      <c r="AI148" s="219">
        <f>5.6-SUM(AF148:AH148)</f>
        <v>16.399999999999999</v>
      </c>
      <c r="AJ148" s="218">
        <v>8.1999999999999993</v>
      </c>
      <c r="AK148" s="218">
        <f>-10.8-AJ148</f>
        <v>-19</v>
      </c>
      <c r="AL148" s="218">
        <f>-16.4-SUM(AJ148:AK148)</f>
        <v>-5.5999999999999979</v>
      </c>
      <c r="AM148" s="219">
        <f>14.1-SUM(AJ148:AL148)</f>
        <v>30.5</v>
      </c>
      <c r="AN148" s="218">
        <v>-7</v>
      </c>
      <c r="AO148" s="218">
        <f>2.2-AN148</f>
        <v>9.1999999999999993</v>
      </c>
      <c r="AP148" s="218">
        <f>-7.1-SUM(AN148:AO148)</f>
        <v>-9.2999999999999989</v>
      </c>
      <c r="AQ148" s="219">
        <f>-3.3-SUM(AN148:AP148)</f>
        <v>3.8</v>
      </c>
      <c r="AR148" s="218">
        <v>-0.7</v>
      </c>
      <c r="AS148" s="218">
        <f>2.8-AR148</f>
        <v>3.5</v>
      </c>
      <c r="AT148" s="218">
        <f>6.3-SUM(AR148:AS148)+0.03</f>
        <v>3.53</v>
      </c>
      <c r="AU148" s="219">
        <f>46.1-SUM(AR148:AT148)+0.03</f>
        <v>39.800000000000004</v>
      </c>
      <c r="AV148" s="218">
        <v>-15.4</v>
      </c>
      <c r="AW148" s="218">
        <f>-40.3-AV148+0.000072</f>
        <v>-24.899927999999999</v>
      </c>
      <c r="AX148" s="218">
        <f>-42.4-SUM(AV148:AW148)+0.002872</f>
        <v>-2.0971999999999973</v>
      </c>
      <c r="AY148" s="219">
        <f>-59.4-SUM(AV148:AX148)+0.027872</f>
        <v>-16.975000000000005</v>
      </c>
      <c r="AZ148" s="218">
        <v>10.7</v>
      </c>
      <c r="BA148" s="218">
        <f>37.6-AZ148+0.03914</f>
        <v>26.939140000000002</v>
      </c>
      <c r="BB148" s="218">
        <f>39.5-SUM(AZ148:BA148)+0.03914</f>
        <v>1.9000000000000024</v>
      </c>
      <c r="BC148" s="219">
        <f>44.6-SUM(AZ148:BB148)+0.03914</f>
        <v>5.0999999999999979</v>
      </c>
      <c r="BD148" s="218">
        <v>7</v>
      </c>
      <c r="BE148" s="218">
        <f>-3.3-BD148</f>
        <v>-10.3</v>
      </c>
      <c r="BF148" s="218">
        <f>5.8-SUM(BD148:BE148)+0.035</f>
        <v>9.1350000000000016</v>
      </c>
      <c r="BG148" s="219">
        <f>21.5-SUM(BD148:BF148)+0.035</f>
        <v>15.7</v>
      </c>
      <c r="BH148" s="218">
        <v>13.7</v>
      </c>
      <c r="BI148" s="218">
        <f>11.2-BH148</f>
        <v>-2.5</v>
      </c>
      <c r="BJ148" s="218">
        <f>-2.8-SUM(BH148:BI148)</f>
        <v>-14</v>
      </c>
      <c r="BK148" s="219">
        <f>-15.7-SUM(BH148:BJ148)</f>
        <v>-12.899999999999999</v>
      </c>
      <c r="BL148" s="218">
        <v>4.9000000000000004</v>
      </c>
      <c r="BM148" s="218">
        <f>19.3-BL148</f>
        <v>14.4</v>
      </c>
      <c r="BN148" s="218">
        <f>45.7-SUM(BL148:BM148)</f>
        <v>26.400000000000002</v>
      </c>
      <c r="BO148" s="219">
        <f>-15.1+49.2-SUM(BL148:BN148)</f>
        <v>-11.600000000000001</v>
      </c>
      <c r="BP148" s="218">
        <v>-19.3</v>
      </c>
      <c r="BQ148" s="218">
        <f>-54.3-BP148</f>
        <v>-35</v>
      </c>
      <c r="BR148" s="218">
        <f>-3-SUM(BP148:BQ148)</f>
        <v>51.3</v>
      </c>
      <c r="BS148" s="219">
        <f>-9-SUM(BP148:BR148)</f>
        <v>-6</v>
      </c>
      <c r="BT148" s="218">
        <v>29.1</v>
      </c>
      <c r="BU148" s="218">
        <f>44.7-BT148</f>
        <v>15.600000000000001</v>
      </c>
      <c r="BV148" s="218">
        <f>-4.8-SUM(BT148:BU148)</f>
        <v>-49.5</v>
      </c>
      <c r="BW148" s="219">
        <f>BW59-BV59-BW131-BW136-BW146</f>
        <v>-9.7999999999998977</v>
      </c>
      <c r="BX148" s="218">
        <v>9.5</v>
      </c>
      <c r="BY148" s="218">
        <f>-7.4-BX148</f>
        <v>-16.899999999999999</v>
      </c>
      <c r="BZ148" s="218">
        <f>-4-BX148-BY148</f>
        <v>3.3999999999999986</v>
      </c>
      <c r="CA148" s="219">
        <f>2.1-((BX148+BY148+BZ148))</f>
        <v>6.1</v>
      </c>
      <c r="CB148" s="218">
        <v>-13.6</v>
      </c>
      <c r="CC148" s="218">
        <f>-8.5-(CB148)</f>
        <v>5.0999999999999996</v>
      </c>
      <c r="CD148" s="218">
        <f>7.1-((CB148+CC148))</f>
        <v>15.6</v>
      </c>
      <c r="CE148" s="219">
        <f>17.8-CD148-CC148-CB148</f>
        <v>10.700000000000001</v>
      </c>
      <c r="CF148" s="218">
        <v>-3.4</v>
      </c>
      <c r="CG148" s="218">
        <f>-3.1-CF148</f>
        <v>0.29999999999999982</v>
      </c>
      <c r="CH148" s="218">
        <f>-15.3-((CF148+CG148))</f>
        <v>-12.200000000000001</v>
      </c>
      <c r="CI148" s="219">
        <f>-30-CH148-CG148-CF148</f>
        <v>-14.699999999999998</v>
      </c>
      <c r="CJ148" s="218">
        <v>-29.6</v>
      </c>
      <c r="CK148" s="218">
        <f>-22.9-CJ148</f>
        <v>6.7000000000000028</v>
      </c>
      <c r="CL148" s="218">
        <f>-32.8-((CJ148+CK148))</f>
        <v>-9.8999999999999986</v>
      </c>
      <c r="CM148" s="219">
        <f>-47-SUM(CJ148:CL148)</f>
        <v>-14.200000000000003</v>
      </c>
      <c r="CN148" s="218">
        <v>10.3</v>
      </c>
      <c r="CO148" s="218">
        <f>-4.4-CN148</f>
        <v>-14.700000000000001</v>
      </c>
      <c r="CP148" s="218">
        <f>-1-CO148-CN148</f>
        <v>3.4000000000000004</v>
      </c>
      <c r="CQ148" s="219">
        <f>-34.3-SUM(CN148:CP148)</f>
        <v>-33.299999999999997</v>
      </c>
      <c r="CR148" s="218">
        <v>13.2</v>
      </c>
      <c r="CS148" s="218">
        <f>33-CR148</f>
        <v>19.8</v>
      </c>
      <c r="CT148" s="218">
        <f>43.7-CS148-CR148</f>
        <v>10.700000000000003</v>
      </c>
      <c r="CU148" s="219">
        <f>CU59-CT152-CU131-CU136-CU146</f>
        <v>-31.550000000000352</v>
      </c>
      <c r="CV148" s="194"/>
      <c r="CW148" s="194"/>
      <c r="CX148" s="194"/>
      <c r="CY148" s="195"/>
      <c r="DA148" s="212">
        <f>SUM(D148:G148)</f>
        <v>0</v>
      </c>
      <c r="DB148" s="212">
        <f>SUM(H148:K148)</f>
        <v>0</v>
      </c>
      <c r="DC148" s="212">
        <f>SUM(L148:O148)</f>
        <v>0</v>
      </c>
      <c r="DD148" s="212">
        <f>SUM(P148:S148)</f>
        <v>14.8</v>
      </c>
      <c r="DE148" s="212">
        <f>SUM(T148:W148)</f>
        <v>-4</v>
      </c>
      <c r="DF148" s="212">
        <f>SUM(X148:AA148)</f>
        <v>16.8</v>
      </c>
      <c r="DG148" s="212">
        <f>SUM(AB148:AE148)</f>
        <v>-12.3</v>
      </c>
      <c r="DH148" s="212">
        <f>SUM(AF148:AI148)</f>
        <v>5.6000000000000014</v>
      </c>
      <c r="DI148" s="212">
        <f>SUM(AJ148:AM148)</f>
        <v>14.100000000000001</v>
      </c>
      <c r="DJ148" s="212">
        <f>SUM(AN148:AQ148)</f>
        <v>-3.3</v>
      </c>
      <c r="DK148" s="212">
        <f>SUM(AR148:AU148)</f>
        <v>46.13</v>
      </c>
      <c r="DL148" s="212">
        <f>SUM(AV148:AY148)</f>
        <v>-59.372128000000004</v>
      </c>
      <c r="DM148" s="212">
        <f>SUM(AZ148:BC148)</f>
        <v>44.639139999999998</v>
      </c>
      <c r="DN148" s="212">
        <f>SUM(BD148:BG148)</f>
        <v>21.535</v>
      </c>
      <c r="DO148" s="212">
        <f>SUM(BH148:BK148)</f>
        <v>-15.7</v>
      </c>
      <c r="DP148" s="212">
        <f>SUM(BL148:BO148)</f>
        <v>34.1</v>
      </c>
      <c r="DQ148" s="212">
        <f>SUM(BP148:BS148)</f>
        <v>-9</v>
      </c>
      <c r="DR148" s="212">
        <f>SUM(BT148:BW148)</f>
        <v>-14.599999999999895</v>
      </c>
      <c r="DS148" s="212">
        <f>SUM(BX148:CA148)</f>
        <v>2.0999999999999996</v>
      </c>
      <c r="DT148" s="212">
        <f>SUM(CB148:CE148)</f>
        <v>17.8</v>
      </c>
      <c r="DU148" s="212">
        <f>SUM(CF148:CI148)</f>
        <v>-30</v>
      </c>
      <c r="DV148" s="212">
        <f>SUM(CJ148:CM148)</f>
        <v>-47</v>
      </c>
      <c r="DW148" s="212">
        <f>SUM(CN148:CQ148)</f>
        <v>-34.299999999999997</v>
      </c>
      <c r="DX148" s="212">
        <f>SUM(CR148:CU148)</f>
        <v>12.14999999999965</v>
      </c>
      <c r="DY148" s="212">
        <f>SUM(CV148:CY148)</f>
        <v>0</v>
      </c>
      <c r="DZ148" s="212"/>
      <c r="EA148" s="212"/>
      <c r="EB148" s="212"/>
      <c r="EC148" s="212"/>
      <c r="ED148" s="212"/>
      <c r="EE148" s="199"/>
      <c r="EF148"/>
      <c r="EG148"/>
      <c r="EH148"/>
      <c r="EI148"/>
      <c r="EJ148"/>
      <c r="EK148"/>
    </row>
    <row r="149" spans="1:141" s="137" customFormat="1">
      <c r="A149" s="193"/>
      <c r="B149" s="138"/>
      <c r="C149" s="138"/>
      <c r="D149" s="217"/>
      <c r="E149" s="218"/>
      <c r="F149" s="218"/>
      <c r="G149" s="219"/>
      <c r="H149" s="218"/>
      <c r="I149" s="218"/>
      <c r="J149" s="218"/>
      <c r="K149" s="219"/>
      <c r="L149" s="218"/>
      <c r="M149" s="218"/>
      <c r="N149" s="218"/>
      <c r="O149" s="219"/>
      <c r="P149" s="218"/>
      <c r="Q149" s="218"/>
      <c r="R149" s="218"/>
      <c r="S149" s="219"/>
      <c r="T149" s="218"/>
      <c r="U149" s="218"/>
      <c r="V149" s="218"/>
      <c r="W149" s="219"/>
      <c r="X149" s="218"/>
      <c r="Y149" s="218"/>
      <c r="Z149" s="218"/>
      <c r="AA149" s="219"/>
      <c r="AB149" s="218"/>
      <c r="AC149" s="218"/>
      <c r="AD149" s="218"/>
      <c r="AE149" s="219"/>
      <c r="AF149" s="218"/>
      <c r="AG149" s="218"/>
      <c r="AH149" s="218"/>
      <c r="AI149" s="219"/>
      <c r="AJ149" s="218"/>
      <c r="AK149" s="218"/>
      <c r="AL149" s="218"/>
      <c r="AM149" s="219"/>
      <c r="AN149" s="218"/>
      <c r="AO149" s="218"/>
      <c r="AP149" s="218"/>
      <c r="AQ149" s="219"/>
      <c r="AR149" s="218"/>
      <c r="AS149" s="218"/>
      <c r="AT149" s="218"/>
      <c r="AU149" s="219"/>
      <c r="AV149" s="218"/>
      <c r="AW149" s="218"/>
      <c r="AX149" s="218"/>
      <c r="AY149" s="219"/>
      <c r="AZ149" s="218"/>
      <c r="BA149" s="218"/>
      <c r="BB149" s="218"/>
      <c r="BC149" s="219"/>
      <c r="BD149" s="218"/>
      <c r="BE149" s="218"/>
      <c r="BF149" s="218"/>
      <c r="BG149" s="219"/>
      <c r="BH149" s="218"/>
      <c r="BI149" s="218"/>
      <c r="BJ149" s="218"/>
      <c r="BK149" s="219"/>
      <c r="BL149" s="218"/>
      <c r="BM149" s="218"/>
      <c r="BN149" s="218"/>
      <c r="BO149" s="219"/>
      <c r="BP149" s="218"/>
      <c r="BQ149" s="218"/>
      <c r="BR149" s="218"/>
      <c r="BS149" s="219"/>
      <c r="BT149" s="218"/>
      <c r="BU149" s="218"/>
      <c r="BV149" s="218"/>
      <c r="BW149" s="219"/>
      <c r="BX149" s="218"/>
      <c r="BY149" s="218"/>
      <c r="BZ149" s="218"/>
      <c r="CA149" s="219"/>
      <c r="CB149" s="218"/>
      <c r="CC149" s="218"/>
      <c r="CD149" s="218"/>
      <c r="CE149" s="219"/>
      <c r="CF149" s="218"/>
      <c r="CG149" s="218"/>
      <c r="CH149" s="218"/>
      <c r="CI149" s="219"/>
      <c r="CJ149" s="218"/>
      <c r="CK149" s="218"/>
      <c r="CL149" s="218"/>
      <c r="CM149" s="219"/>
      <c r="CN149" s="218"/>
      <c r="CO149" s="218"/>
      <c r="CP149" s="218"/>
      <c r="CQ149" s="219"/>
      <c r="CR149" s="588"/>
      <c r="CS149" s="588"/>
      <c r="CT149" s="588"/>
      <c r="CU149" s="195"/>
      <c r="CV149" s="194"/>
      <c r="CW149" s="194"/>
      <c r="CX149" s="194"/>
      <c r="CY149" s="195"/>
      <c r="DA149" s="212"/>
      <c r="DB149" s="212"/>
      <c r="DC149" s="212"/>
      <c r="DD149" s="212"/>
      <c r="DE149" s="212"/>
      <c r="DF149" s="212"/>
      <c r="DG149" s="212"/>
      <c r="DH149" s="212"/>
      <c r="DI149" s="212"/>
      <c r="DJ149" s="212"/>
      <c r="DK149" s="212"/>
      <c r="DL149" s="212"/>
      <c r="DM149" s="212"/>
      <c r="DN149" s="212"/>
      <c r="DO149" s="212"/>
      <c r="DP149" s="212"/>
      <c r="DQ149" s="212"/>
      <c r="DR149" s="212"/>
      <c r="DS149" s="212"/>
      <c r="DT149" s="212"/>
      <c r="DU149" s="212"/>
      <c r="DV149" s="212"/>
      <c r="DW149" s="212"/>
      <c r="DX149" s="212"/>
      <c r="DY149" s="212"/>
      <c r="DZ149" s="212"/>
      <c r="EA149" s="212"/>
      <c r="EB149" s="212"/>
      <c r="EC149" s="212"/>
      <c r="ED149" s="212"/>
      <c r="EE149" s="199"/>
      <c r="EF149"/>
      <c r="EG149"/>
      <c r="EH149"/>
      <c r="EI149"/>
      <c r="EJ149"/>
      <c r="EK149"/>
    </row>
    <row r="150" spans="1:141" s="137" customFormat="1">
      <c r="A150" s="193"/>
      <c r="B150" s="199" t="s">
        <v>139</v>
      </c>
      <c r="C150" s="199"/>
      <c r="D150" s="213">
        <f t="shared" ref="D150:AC150" si="331">D146+D136+D131+D148</f>
        <v>9.2932128342212792</v>
      </c>
      <c r="E150" s="197">
        <f t="shared" si="331"/>
        <v>58.334396602417527</v>
      </c>
      <c r="F150" s="197">
        <f t="shared" si="331"/>
        <v>-23.71454181247956</v>
      </c>
      <c r="G150" s="198">
        <f t="shared" si="331"/>
        <v>28.666542960537114</v>
      </c>
      <c r="H150" s="197">
        <f t="shared" si="331"/>
        <v>-97.40706451747792</v>
      </c>
      <c r="I150" s="197">
        <f t="shared" si="331"/>
        <v>-52.184604870810603</v>
      </c>
      <c r="J150" s="197">
        <f t="shared" si="331"/>
        <v>25.536948709571249</v>
      </c>
      <c r="K150" s="198">
        <f t="shared" si="331"/>
        <v>111.81613851682462</v>
      </c>
      <c r="L150" s="197">
        <f t="shared" si="331"/>
        <v>125.89799918719362</v>
      </c>
      <c r="M150" s="197">
        <f t="shared" si="331"/>
        <v>-13.277981051943726</v>
      </c>
      <c r="N150" s="197">
        <f t="shared" si="331"/>
        <v>-35.115060437765521</v>
      </c>
      <c r="O150" s="198">
        <f t="shared" si="331"/>
        <v>375.5385314944424</v>
      </c>
      <c r="P150" s="197">
        <f t="shared" si="331"/>
        <v>-9.6999999999998998</v>
      </c>
      <c r="Q150" s="197">
        <f t="shared" si="331"/>
        <v>-66.399999999999991</v>
      </c>
      <c r="R150" s="197">
        <f t="shared" si="331"/>
        <v>-139.89999999999986</v>
      </c>
      <c r="S150" s="198">
        <f t="shared" si="331"/>
        <v>98.799999999999713</v>
      </c>
      <c r="T150" s="197">
        <f t="shared" si="331"/>
        <v>4.3999999999998067</v>
      </c>
      <c r="U150" s="197">
        <f t="shared" si="331"/>
        <v>70.799999999999287</v>
      </c>
      <c r="V150" s="197">
        <f t="shared" si="331"/>
        <v>241.20000000000022</v>
      </c>
      <c r="W150" s="198">
        <f t="shared" si="331"/>
        <v>420.80000000000052</v>
      </c>
      <c r="X150" s="197">
        <f t="shared" si="331"/>
        <v>-5.4000000000002046</v>
      </c>
      <c r="Y150" s="197">
        <f t="shared" si="331"/>
        <v>7.6999999999998288</v>
      </c>
      <c r="Z150" s="197">
        <f t="shared" si="331"/>
        <v>39.099999999999412</v>
      </c>
      <c r="AA150" s="198">
        <f t="shared" si="331"/>
        <v>35.500000000000497</v>
      </c>
      <c r="AB150" s="197">
        <f t="shared" si="331"/>
        <v>-3.7999999999999794</v>
      </c>
      <c r="AC150" s="197">
        <f t="shared" si="331"/>
        <v>-9.5000000000000568</v>
      </c>
      <c r="AD150" s="197">
        <f t="shared" ref="AD150:BC150" si="332">AD146+AD136+AD131+AD148</f>
        <v>-12.900000000000265</v>
      </c>
      <c r="AE150" s="198">
        <f t="shared" si="332"/>
        <v>18.099999999999635</v>
      </c>
      <c r="AF150" s="197">
        <f t="shared" si="332"/>
        <v>57.000000000000135</v>
      </c>
      <c r="AG150" s="197">
        <f t="shared" si="332"/>
        <v>-29.299999999999748</v>
      </c>
      <c r="AH150" s="197">
        <f t="shared" si="332"/>
        <v>-25.300000000000367</v>
      </c>
      <c r="AI150" s="198">
        <f t="shared" si="332"/>
        <v>-13.600000000000115</v>
      </c>
      <c r="AJ150" s="197">
        <f t="shared" si="332"/>
        <v>-3.8000000000001428</v>
      </c>
      <c r="AK150" s="197">
        <f t="shared" si="332"/>
        <v>15.89999999999975</v>
      </c>
      <c r="AL150" s="197">
        <f t="shared" si="332"/>
        <v>-13.299999999999745</v>
      </c>
      <c r="AM150" s="198">
        <f t="shared" si="332"/>
        <v>5.2999999999998977</v>
      </c>
      <c r="AN150" s="197">
        <f t="shared" si="332"/>
        <v>-1.8000000000000824</v>
      </c>
      <c r="AO150" s="197">
        <f t="shared" si="332"/>
        <v>13.199999999999886</v>
      </c>
      <c r="AP150" s="197">
        <f t="shared" si="332"/>
        <v>-0.60000000000022347</v>
      </c>
      <c r="AQ150" s="198">
        <f t="shared" si="332"/>
        <v>66.8</v>
      </c>
      <c r="AR150" s="197">
        <f t="shared" si="332"/>
        <v>-22.599999999999451</v>
      </c>
      <c r="AS150" s="197">
        <f t="shared" si="332"/>
        <v>2.0999999999999375</v>
      </c>
      <c r="AT150" s="197">
        <f t="shared" si="332"/>
        <v>352.80000000000007</v>
      </c>
      <c r="AU150" s="198">
        <f t="shared" si="332"/>
        <v>83.300000000000665</v>
      </c>
      <c r="AV150" s="197">
        <f t="shared" si="332"/>
        <v>-59.299999999999891</v>
      </c>
      <c r="AW150" s="197">
        <f t="shared" si="332"/>
        <v>-458.70007224575988</v>
      </c>
      <c r="AX150" s="197">
        <f t="shared" si="332"/>
        <v>2.4999999999998757</v>
      </c>
      <c r="AY150" s="198">
        <f t="shared" si="332"/>
        <v>61.90000000000073</v>
      </c>
      <c r="AZ150" s="197">
        <f t="shared" si="332"/>
        <v>-26.099999999999586</v>
      </c>
      <c r="BA150" s="197">
        <f t="shared" si="332"/>
        <v>55.360859007999636</v>
      </c>
      <c r="BB150" s="197">
        <f t="shared" si="332"/>
        <v>-97.600000000000364</v>
      </c>
      <c r="BC150" s="198">
        <f t="shared" si="332"/>
        <v>332.70000000000005</v>
      </c>
      <c r="BD150" s="197">
        <f t="shared" ref="BD150:CB150" si="333">BD146+BD136+BD131+BD148</f>
        <v>-172.29999999999947</v>
      </c>
      <c r="BE150" s="197">
        <f t="shared" si="333"/>
        <v>234.7999999999999</v>
      </c>
      <c r="BF150" s="197">
        <f t="shared" si="333"/>
        <v>36.800000000000068</v>
      </c>
      <c r="BG150" s="198">
        <f t="shared" si="333"/>
        <v>-0.70000000000017693</v>
      </c>
      <c r="BH150" s="197">
        <f t="shared" si="333"/>
        <v>100.60000000000001</v>
      </c>
      <c r="BI150" s="197">
        <f t="shared" si="333"/>
        <v>-78.399999999999963</v>
      </c>
      <c r="BJ150" s="197">
        <f t="shared" si="333"/>
        <v>-100.3000000000002</v>
      </c>
      <c r="BK150" s="198">
        <f t="shared" si="333"/>
        <v>1068.8999999999999</v>
      </c>
      <c r="BL150" s="197">
        <f t="shared" si="333"/>
        <v>-357.8</v>
      </c>
      <c r="BM150" s="197">
        <f t="shared" si="333"/>
        <v>-100.79999999999998</v>
      </c>
      <c r="BN150" s="197">
        <f t="shared" si="333"/>
        <v>637.80000000000007</v>
      </c>
      <c r="BO150" s="198">
        <f t="shared" si="333"/>
        <v>-217.29999999999953</v>
      </c>
      <c r="BP150" s="197">
        <f t="shared" si="333"/>
        <v>-253.60000000000005</v>
      </c>
      <c r="BQ150" s="197">
        <f t="shared" si="333"/>
        <v>119.9</v>
      </c>
      <c r="BR150" s="197">
        <f t="shared" si="333"/>
        <v>93.2</v>
      </c>
      <c r="BS150" s="198">
        <f t="shared" si="333"/>
        <v>140.59999999999997</v>
      </c>
      <c r="BT150" s="197">
        <f t="shared" si="333"/>
        <v>52.999999999999723</v>
      </c>
      <c r="BU150" s="197">
        <f t="shared" si="333"/>
        <v>64.099999999999966</v>
      </c>
      <c r="BV150" s="197">
        <f t="shared" si="333"/>
        <v>-94.699999999999591</v>
      </c>
      <c r="BW150" s="198">
        <f t="shared" si="333"/>
        <v>77.799999999999955</v>
      </c>
      <c r="BX150" s="197">
        <f t="shared" si="333"/>
        <v>-123.39999999999986</v>
      </c>
      <c r="BY150" s="197">
        <f t="shared" si="333"/>
        <v>-298.5</v>
      </c>
      <c r="BZ150" s="197">
        <f t="shared" si="333"/>
        <v>-62.800000000000047</v>
      </c>
      <c r="CA150" s="198">
        <f t="shared" si="333"/>
        <v>132.6</v>
      </c>
      <c r="CB150" s="197">
        <f t="shared" si="333"/>
        <v>199.10000000000005</v>
      </c>
      <c r="CC150" s="197">
        <f t="shared" ref="CC150:CS150" si="334">CC146+CC136+CC131+CC148</f>
        <v>-760.2</v>
      </c>
      <c r="CD150" s="197">
        <f t="shared" si="334"/>
        <v>42.900000000000126</v>
      </c>
      <c r="CE150" s="198">
        <f t="shared" si="334"/>
        <v>253.6999999999999</v>
      </c>
      <c r="CF150" s="197">
        <f t="shared" si="334"/>
        <v>-218.30000000000007</v>
      </c>
      <c r="CG150" s="197">
        <f t="shared" si="334"/>
        <v>-54.3</v>
      </c>
      <c r="CH150" s="197">
        <f t="shared" si="334"/>
        <v>7.5999999999999819</v>
      </c>
      <c r="CI150" s="198">
        <f t="shared" si="334"/>
        <v>221.40000000000015</v>
      </c>
      <c r="CJ150" s="197">
        <f t="shared" si="334"/>
        <v>-345.90000000000015</v>
      </c>
      <c r="CK150" s="197">
        <f t="shared" si="334"/>
        <v>219.7000000000001</v>
      </c>
      <c r="CL150" s="197">
        <f t="shared" si="334"/>
        <v>-45.100000000000044</v>
      </c>
      <c r="CM150" s="198">
        <f t="shared" si="334"/>
        <v>273.79999999999973</v>
      </c>
      <c r="CN150" s="197">
        <f t="shared" si="334"/>
        <v>-22.500000000000011</v>
      </c>
      <c r="CO150" s="197">
        <f t="shared" si="334"/>
        <v>220.60000000000002</v>
      </c>
      <c r="CP150" s="197">
        <f t="shared" si="334"/>
        <v>-53.100000000000115</v>
      </c>
      <c r="CQ150" s="198">
        <f t="shared" si="334"/>
        <v>-69.999999999999929</v>
      </c>
      <c r="CR150" s="197">
        <f t="shared" si="334"/>
        <v>-61.800000000000111</v>
      </c>
      <c r="CS150" s="197">
        <f t="shared" si="334"/>
        <v>-43.09999999999998</v>
      </c>
      <c r="CT150" s="197">
        <f>CT146+CT136+CT131+CT148</f>
        <v>86.999999999999957</v>
      </c>
      <c r="CU150" s="198">
        <f t="shared" ref="CU150" si="335">CU146+CU136+CU131+CU148</f>
        <v>246.69999999999959</v>
      </c>
      <c r="CV150" s="197">
        <f t="shared" ref="CV150:CY150" si="336">CV146+CV136+CV131+CV148</f>
        <v>10.350607450386121</v>
      </c>
      <c r="CW150" s="197">
        <f t="shared" si="336"/>
        <v>235.10840154784762</v>
      </c>
      <c r="CX150" s="197">
        <f t="shared" si="336"/>
        <v>101.81020387220349</v>
      </c>
      <c r="CY150" s="198">
        <f t="shared" si="336"/>
        <v>292.68930226504892</v>
      </c>
      <c r="DA150" s="212">
        <f t="shared" ref="DA150:EA150" si="337">DA146+DA136+DA131+DA148</f>
        <v>72.579610584696354</v>
      </c>
      <c r="DB150" s="212">
        <f t="shared" si="337"/>
        <v>-12.238582161892651</v>
      </c>
      <c r="DC150" s="212">
        <f t="shared" si="337"/>
        <v>453.04348919192671</v>
      </c>
      <c r="DD150" s="212">
        <f t="shared" si="337"/>
        <v>-133.90000000000003</v>
      </c>
      <c r="DE150" s="212">
        <f t="shared" si="337"/>
        <v>737.19999999999982</v>
      </c>
      <c r="DF150" s="212">
        <f t="shared" si="337"/>
        <v>76.899999999999679</v>
      </c>
      <c r="DG150" s="212">
        <f t="shared" si="337"/>
        <v>-8.0999999999996142</v>
      </c>
      <c r="DH150" s="212">
        <f t="shared" si="337"/>
        <v>-11.199999999999385</v>
      </c>
      <c r="DI150" s="212">
        <f t="shared" si="337"/>
        <v>4.099999999999433</v>
      </c>
      <c r="DJ150" s="212">
        <f t="shared" si="337"/>
        <v>77.599999999999753</v>
      </c>
      <c r="DK150" s="212">
        <f t="shared" si="337"/>
        <v>415.59999999999849</v>
      </c>
      <c r="DL150" s="212">
        <f t="shared" si="337"/>
        <v>-453.60007224575872</v>
      </c>
      <c r="DM150" s="212">
        <f t="shared" si="337"/>
        <v>264.36085900800282</v>
      </c>
      <c r="DN150" s="212">
        <f t="shared" si="337"/>
        <v>98.600000000002154</v>
      </c>
      <c r="DO150" s="212">
        <f t="shared" si="337"/>
        <v>990.79999999999984</v>
      </c>
      <c r="DP150" s="212">
        <f t="shared" si="337"/>
        <v>-38.100000000000399</v>
      </c>
      <c r="DQ150" s="212">
        <f t="shared" si="337"/>
        <v>100.10000000000116</v>
      </c>
      <c r="DR150" s="212">
        <f t="shared" si="337"/>
        <v>100.1999999999996</v>
      </c>
      <c r="DS150" s="212">
        <f t="shared" si="337"/>
        <v>-352.10000000000105</v>
      </c>
      <c r="DT150" s="212">
        <f t="shared" si="337"/>
        <v>-264.50000000000006</v>
      </c>
      <c r="DU150" s="212">
        <f t="shared" si="337"/>
        <v>-43.60000000000025</v>
      </c>
      <c r="DV150" s="212">
        <f t="shared" si="337"/>
        <v>102.49999999999977</v>
      </c>
      <c r="DW150" s="212">
        <f t="shared" si="337"/>
        <v>74.999999999999957</v>
      </c>
      <c r="DX150" s="212">
        <f t="shared" ca="1" si="337"/>
        <v>228.79999999999973</v>
      </c>
      <c r="DY150" s="212">
        <f>DY146+DY136+DY131+DY148</f>
        <v>639.9585151354861</v>
      </c>
      <c r="DZ150" s="197">
        <f t="shared" si="337"/>
        <v>597.55242687337363</v>
      </c>
      <c r="EA150" s="197">
        <f t="shared" si="337"/>
        <v>593.405580132777</v>
      </c>
      <c r="EB150" s="197">
        <f t="shared" ref="EB150:ED150" si="338">EB146+EB136+EB131+EB148</f>
        <v>577.47181163878781</v>
      </c>
      <c r="EC150" s="197">
        <f t="shared" si="338"/>
        <v>557.69272208949224</v>
      </c>
      <c r="ED150" s="197">
        <f t="shared" si="338"/>
        <v>527.48899084318668</v>
      </c>
      <c r="EE150" s="199"/>
      <c r="EF150"/>
      <c r="EG150"/>
      <c r="EH150"/>
      <c r="EI150"/>
      <c r="EJ150"/>
      <c r="EK150"/>
    </row>
    <row r="151" spans="1:141" s="138" customFormat="1">
      <c r="A151" s="193"/>
      <c r="B151" s="199" t="s">
        <v>279</v>
      </c>
      <c r="C151" s="199"/>
      <c r="D151" s="213">
        <v>100</v>
      </c>
      <c r="E151" s="197">
        <f>D152</f>
        <v>109.29321283422128</v>
      </c>
      <c r="F151" s="197">
        <f>E152</f>
        <v>167.62760943663881</v>
      </c>
      <c r="G151" s="198">
        <f>F152</f>
        <v>143.91306762415925</v>
      </c>
      <c r="H151" s="197">
        <f>DA152</f>
        <v>172.57961058469635</v>
      </c>
      <c r="I151" s="197">
        <f>H152</f>
        <v>75.172546067218434</v>
      </c>
      <c r="J151" s="197">
        <f>I152</f>
        <v>22.987941196407832</v>
      </c>
      <c r="K151" s="198">
        <f>J152</f>
        <v>48.52488990597908</v>
      </c>
      <c r="L151" s="197">
        <f>DB152</f>
        <v>160.3410284228037</v>
      </c>
      <c r="M151" s="197">
        <f>L152</f>
        <v>286.23902760999732</v>
      </c>
      <c r="N151" s="197">
        <f>M152</f>
        <v>272.96104655805357</v>
      </c>
      <c r="O151" s="198">
        <f>N152</f>
        <v>237.84598612028805</v>
      </c>
      <c r="P151" s="197">
        <v>26</v>
      </c>
      <c r="Q151" s="197">
        <f>P152</f>
        <v>16.3000000000001</v>
      </c>
      <c r="R151" s="197">
        <f>Q152</f>
        <v>-50.099999999999895</v>
      </c>
      <c r="S151" s="198">
        <f>R152</f>
        <v>-189.99999999999977</v>
      </c>
      <c r="T151" s="197">
        <f>DD152</f>
        <v>-107.90000000000003</v>
      </c>
      <c r="U151" s="197">
        <f>T152</f>
        <v>-103.50000000000023</v>
      </c>
      <c r="V151" s="197">
        <f>U152</f>
        <v>-32.700000000000941</v>
      </c>
      <c r="W151" s="198">
        <f>V152</f>
        <v>208.49999999999926</v>
      </c>
      <c r="X151" s="197">
        <v>30</v>
      </c>
      <c r="Y151" s="197">
        <f>X152</f>
        <v>24.599999999999795</v>
      </c>
      <c r="Z151" s="197">
        <f>Y152</f>
        <v>32.299999999999628</v>
      </c>
      <c r="AA151" s="198">
        <f>Z152</f>
        <v>71.399999999999039</v>
      </c>
      <c r="AB151" s="197">
        <v>106.9</v>
      </c>
      <c r="AC151" s="197">
        <f>AB152</f>
        <v>103.10000000000002</v>
      </c>
      <c r="AD151" s="197">
        <f>AC152</f>
        <v>93.599999999999966</v>
      </c>
      <c r="AE151" s="198">
        <f>AD152</f>
        <v>80.699999999999704</v>
      </c>
      <c r="AF151" s="197">
        <v>98.8</v>
      </c>
      <c r="AG151" s="197">
        <f>AF152</f>
        <v>155.80000000000013</v>
      </c>
      <c r="AH151" s="197">
        <f>AG152</f>
        <v>126.50000000000037</v>
      </c>
      <c r="AI151" s="198">
        <f>AH152</f>
        <v>101.2</v>
      </c>
      <c r="AJ151" s="197">
        <v>87.6</v>
      </c>
      <c r="AK151" s="197">
        <f>AJ152</f>
        <v>83.799999999999855</v>
      </c>
      <c r="AL151" s="197">
        <f>AK152</f>
        <v>99.699999999999605</v>
      </c>
      <c r="AM151" s="198">
        <f>AL152</f>
        <v>86.399999999999864</v>
      </c>
      <c r="AN151" s="197">
        <v>91.7</v>
      </c>
      <c r="AO151" s="197">
        <f>AN152</f>
        <v>89.89999999999992</v>
      </c>
      <c r="AP151" s="197">
        <f>AO152</f>
        <v>103.09999999999981</v>
      </c>
      <c r="AQ151" s="198">
        <f>AP152</f>
        <v>102.49999999999959</v>
      </c>
      <c r="AR151" s="197">
        <v>169.3</v>
      </c>
      <c r="AS151" s="197">
        <f>AR152</f>
        <v>146.70000000000056</v>
      </c>
      <c r="AT151" s="197">
        <f>AS152</f>
        <v>148.80000000000049</v>
      </c>
      <c r="AU151" s="198">
        <f>AT152</f>
        <v>501.60000000000059</v>
      </c>
      <c r="AV151" s="197">
        <v>584.9</v>
      </c>
      <c r="AW151" s="197">
        <f>AV152</f>
        <v>525.60000000000014</v>
      </c>
      <c r="AX151" s="197">
        <f>AW152</f>
        <v>66.899927754240252</v>
      </c>
      <c r="AY151" s="198">
        <f>AX152</f>
        <v>69.399927754240125</v>
      </c>
      <c r="AZ151" s="197">
        <f>+DL152</f>
        <v>131.29992775423955</v>
      </c>
      <c r="BA151" s="197">
        <f>AZ152</f>
        <v>105.19992775423997</v>
      </c>
      <c r="BB151" s="197">
        <f>BA152</f>
        <v>160.56078676223962</v>
      </c>
      <c r="BC151" s="198">
        <f>BB152</f>
        <v>62.960786762239252</v>
      </c>
      <c r="BD151" s="197">
        <v>502.7</v>
      </c>
      <c r="BE151" s="197">
        <f>BD152</f>
        <v>330.40000000000055</v>
      </c>
      <c r="BF151" s="197">
        <f>BE152</f>
        <v>565.2000000000005</v>
      </c>
      <c r="BG151" s="198">
        <f>BF152</f>
        <v>602.00000000000057</v>
      </c>
      <c r="BH151" s="197">
        <v>601.29999999999995</v>
      </c>
      <c r="BI151" s="197">
        <f>BH152</f>
        <v>701.9</v>
      </c>
      <c r="BJ151" s="197">
        <f>BI152</f>
        <v>623.5</v>
      </c>
      <c r="BK151" s="198">
        <f>BJ152</f>
        <v>523.19999999999982</v>
      </c>
      <c r="BL151" s="197">
        <v>1592.1</v>
      </c>
      <c r="BM151" s="197">
        <f>BL152</f>
        <v>1234.3</v>
      </c>
      <c r="BN151" s="197">
        <f>BM152</f>
        <v>1133.5</v>
      </c>
      <c r="BO151" s="198">
        <f>BN152</f>
        <v>1771.3000000000002</v>
      </c>
      <c r="BP151" s="197">
        <v>1554</v>
      </c>
      <c r="BQ151" s="197">
        <f>BP152</f>
        <v>1300.3999999999999</v>
      </c>
      <c r="BR151" s="197">
        <f>BQ152</f>
        <v>1420.3</v>
      </c>
      <c r="BS151" s="198">
        <f>BR152</f>
        <v>1513.5</v>
      </c>
      <c r="BT151" s="197">
        <f>DQ152</f>
        <v>1654.1000000000026</v>
      </c>
      <c r="BU151" s="197">
        <f t="shared" ref="BU151:CA151" si="339">BT152</f>
        <v>1707.1000000000024</v>
      </c>
      <c r="BV151" s="197">
        <f t="shared" si="339"/>
        <v>1771.2000000000023</v>
      </c>
      <c r="BW151" s="198">
        <f t="shared" si="339"/>
        <v>1676.5000000000027</v>
      </c>
      <c r="BX151" s="197">
        <f t="shared" si="339"/>
        <v>1754.3000000000027</v>
      </c>
      <c r="BY151" s="197">
        <f t="shared" si="339"/>
        <v>1630.9000000000028</v>
      </c>
      <c r="BZ151" s="197">
        <f t="shared" si="339"/>
        <v>1332.4000000000028</v>
      </c>
      <c r="CA151" s="198">
        <f t="shared" si="339"/>
        <v>1269.6000000000029</v>
      </c>
      <c r="CB151" s="197">
        <f>DS152</f>
        <v>1402.2000000000012</v>
      </c>
      <c r="CC151" s="197">
        <f>CB152</f>
        <v>1601.3000000000013</v>
      </c>
      <c r="CD151" s="197">
        <f>CC152</f>
        <v>841.10000000000127</v>
      </c>
      <c r="CE151" s="198">
        <f>CD152</f>
        <v>884.00000000000136</v>
      </c>
      <c r="CF151" s="197">
        <f>DT152</f>
        <v>1137.7000000000012</v>
      </c>
      <c r="CG151" s="197">
        <f>CF152</f>
        <v>919.40000000000111</v>
      </c>
      <c r="CH151" s="197">
        <f>CG152</f>
        <v>865.10000000000116</v>
      </c>
      <c r="CI151" s="198">
        <f>CH152</f>
        <v>872.70000000000118</v>
      </c>
      <c r="CJ151" s="197">
        <f>DU152</f>
        <v>1094.1000000000008</v>
      </c>
      <c r="CK151" s="197">
        <f>CJ152</f>
        <v>748.20000000000073</v>
      </c>
      <c r="CL151" s="197">
        <f>CK152</f>
        <v>967.90000000000077</v>
      </c>
      <c r="CM151" s="198">
        <f>CL152</f>
        <v>922.80000000000075</v>
      </c>
      <c r="CN151" s="197">
        <f>DV152</f>
        <v>1196.6000000000006</v>
      </c>
      <c r="CO151" s="197">
        <f>CN152</f>
        <v>1174.1000000000006</v>
      </c>
      <c r="CP151" s="197">
        <f>CO152</f>
        <v>1394.7000000000007</v>
      </c>
      <c r="CQ151" s="198">
        <f>CP152</f>
        <v>1341.6000000000006</v>
      </c>
      <c r="CR151" s="197">
        <f>DW152</f>
        <v>1271.6000000000006</v>
      </c>
      <c r="CS151" s="197">
        <f t="shared" ref="CS151:CY151" si="340">CR152</f>
        <v>1209.8000000000004</v>
      </c>
      <c r="CT151" s="197">
        <f t="shared" si="340"/>
        <v>1166.7000000000005</v>
      </c>
      <c r="CU151" s="198">
        <f t="shared" si="340"/>
        <v>1253.7000000000005</v>
      </c>
      <c r="CV151" s="197">
        <f t="shared" si="340"/>
        <v>1500.4</v>
      </c>
      <c r="CW151" s="197">
        <f t="shared" si="340"/>
        <v>1510.7506074503863</v>
      </c>
      <c r="CX151" s="197">
        <f t="shared" si="340"/>
        <v>1745.859008998234</v>
      </c>
      <c r="CY151" s="198">
        <f t="shared" si="340"/>
        <v>1847.6692128704376</v>
      </c>
      <c r="DA151" s="212">
        <f>D151</f>
        <v>100</v>
      </c>
      <c r="DB151" s="212">
        <f>DA152</f>
        <v>172.57961058469635</v>
      </c>
      <c r="DC151" s="212">
        <f>DB152</f>
        <v>160.3410284228037</v>
      </c>
      <c r="DD151" s="212">
        <f>P151</f>
        <v>26</v>
      </c>
      <c r="DE151" s="212">
        <f>DD152</f>
        <v>-107.90000000000003</v>
      </c>
      <c r="DF151" s="212">
        <f>X151</f>
        <v>30</v>
      </c>
      <c r="DG151" s="212">
        <f t="shared" ref="DG151:DM151" si="341">DF152</f>
        <v>106.89999999999968</v>
      </c>
      <c r="DH151" s="212">
        <f t="shared" si="341"/>
        <v>98.800000000000068</v>
      </c>
      <c r="DI151" s="212">
        <f t="shared" si="341"/>
        <v>87.600000000000676</v>
      </c>
      <c r="DJ151" s="212">
        <f t="shared" si="341"/>
        <v>91.700000000000102</v>
      </c>
      <c r="DK151" s="212">
        <f t="shared" si="341"/>
        <v>169.29999999999984</v>
      </c>
      <c r="DL151" s="212">
        <f t="shared" si="341"/>
        <v>584.89999999999827</v>
      </c>
      <c r="DM151" s="212">
        <f t="shared" si="341"/>
        <v>131.29992775423955</v>
      </c>
      <c r="DN151" s="212">
        <f>BD151</f>
        <v>502.7</v>
      </c>
      <c r="DO151" s="212">
        <f t="shared" ref="DO151:ED151" si="342">DN152</f>
        <v>601.30000000000211</v>
      </c>
      <c r="DP151" s="212">
        <f t="shared" si="342"/>
        <v>1592.100000000002</v>
      </c>
      <c r="DQ151" s="212">
        <f t="shared" si="342"/>
        <v>1554.0000000000016</v>
      </c>
      <c r="DR151" s="212">
        <f t="shared" si="342"/>
        <v>1654.1000000000026</v>
      </c>
      <c r="DS151" s="212">
        <f t="shared" si="342"/>
        <v>1754.3000000000022</v>
      </c>
      <c r="DT151" s="212">
        <f t="shared" si="342"/>
        <v>1402.2000000000012</v>
      </c>
      <c r="DU151" s="212">
        <f t="shared" si="342"/>
        <v>1137.7000000000012</v>
      </c>
      <c r="DV151" s="212">
        <f t="shared" si="342"/>
        <v>1094.1000000000008</v>
      </c>
      <c r="DW151" s="212">
        <f t="shared" si="342"/>
        <v>1196.6000000000006</v>
      </c>
      <c r="DX151" s="212">
        <f t="shared" si="342"/>
        <v>1271.6000000000006</v>
      </c>
      <c r="DY151" s="212">
        <f t="shared" ca="1" si="342"/>
        <v>1500.4000000000003</v>
      </c>
      <c r="DZ151" s="212">
        <f t="shared" ca="1" si="342"/>
        <v>2140.3585151354864</v>
      </c>
      <c r="EA151" s="212">
        <f t="shared" ca="1" si="342"/>
        <v>2737.9109420088598</v>
      </c>
      <c r="EB151" s="212">
        <f t="shared" ca="1" si="342"/>
        <v>3331.3165221416366</v>
      </c>
      <c r="EC151" s="212">
        <f t="shared" ca="1" si="342"/>
        <v>3908.7883337804242</v>
      </c>
      <c r="ED151" s="212">
        <f t="shared" ca="1" si="342"/>
        <v>4466.4810558699164</v>
      </c>
      <c r="EE151" s="199"/>
      <c r="EF151"/>
      <c r="EG151"/>
      <c r="EH151"/>
      <c r="EI151"/>
      <c r="EJ151"/>
      <c r="EK151"/>
    </row>
    <row r="152" spans="1:141" s="295" customFormat="1">
      <c r="A152" s="237"/>
      <c r="B152" s="244" t="s">
        <v>280</v>
      </c>
      <c r="C152" s="238"/>
      <c r="D152" s="239">
        <f t="shared" ref="D152:AC152" si="343">D150+D151</f>
        <v>109.29321283422128</v>
      </c>
      <c r="E152" s="240">
        <f t="shared" si="343"/>
        <v>167.62760943663881</v>
      </c>
      <c r="F152" s="240">
        <f t="shared" si="343"/>
        <v>143.91306762415925</v>
      </c>
      <c r="G152" s="241">
        <f t="shared" si="343"/>
        <v>172.57961058469635</v>
      </c>
      <c r="H152" s="240">
        <f t="shared" si="343"/>
        <v>75.172546067218434</v>
      </c>
      <c r="I152" s="240">
        <f t="shared" si="343"/>
        <v>22.987941196407832</v>
      </c>
      <c r="J152" s="240">
        <f t="shared" si="343"/>
        <v>48.52488990597908</v>
      </c>
      <c r="K152" s="241">
        <f t="shared" si="343"/>
        <v>160.3410284228037</v>
      </c>
      <c r="L152" s="240">
        <f t="shared" si="343"/>
        <v>286.23902760999732</v>
      </c>
      <c r="M152" s="240">
        <f t="shared" si="343"/>
        <v>272.96104655805357</v>
      </c>
      <c r="N152" s="240">
        <f t="shared" si="343"/>
        <v>237.84598612028805</v>
      </c>
      <c r="O152" s="241">
        <f t="shared" si="343"/>
        <v>613.38451761473038</v>
      </c>
      <c r="P152" s="240">
        <f t="shared" si="343"/>
        <v>16.3000000000001</v>
      </c>
      <c r="Q152" s="240">
        <f t="shared" si="343"/>
        <v>-50.099999999999895</v>
      </c>
      <c r="R152" s="240">
        <f t="shared" si="343"/>
        <v>-189.99999999999977</v>
      </c>
      <c r="S152" s="241">
        <f t="shared" si="343"/>
        <v>-91.20000000000006</v>
      </c>
      <c r="T152" s="240">
        <f t="shared" si="343"/>
        <v>-103.50000000000023</v>
      </c>
      <c r="U152" s="240">
        <f t="shared" si="343"/>
        <v>-32.700000000000941</v>
      </c>
      <c r="V152" s="240">
        <f t="shared" si="343"/>
        <v>208.49999999999926</v>
      </c>
      <c r="W152" s="241">
        <f t="shared" si="343"/>
        <v>629.29999999999973</v>
      </c>
      <c r="X152" s="240">
        <f t="shared" si="343"/>
        <v>24.599999999999795</v>
      </c>
      <c r="Y152" s="240">
        <f t="shared" si="343"/>
        <v>32.299999999999628</v>
      </c>
      <c r="Z152" s="240">
        <f t="shared" si="343"/>
        <v>71.399999999999039</v>
      </c>
      <c r="AA152" s="241">
        <f t="shared" si="343"/>
        <v>106.89999999999954</v>
      </c>
      <c r="AB152" s="240">
        <f t="shared" si="343"/>
        <v>103.10000000000002</v>
      </c>
      <c r="AC152" s="240">
        <f t="shared" si="343"/>
        <v>93.599999999999966</v>
      </c>
      <c r="AD152" s="240">
        <f t="shared" ref="AD152:BC152" si="344">AD150+AD151</f>
        <v>80.699999999999704</v>
      </c>
      <c r="AE152" s="241">
        <f t="shared" si="344"/>
        <v>98.799999999999343</v>
      </c>
      <c r="AF152" s="240">
        <f t="shared" si="344"/>
        <v>155.80000000000013</v>
      </c>
      <c r="AG152" s="240">
        <f t="shared" si="344"/>
        <v>126.50000000000037</v>
      </c>
      <c r="AH152" s="240">
        <f t="shared" si="344"/>
        <v>101.2</v>
      </c>
      <c r="AI152" s="241">
        <f t="shared" si="344"/>
        <v>87.599999999999881</v>
      </c>
      <c r="AJ152" s="240">
        <f t="shared" si="344"/>
        <v>83.799999999999855</v>
      </c>
      <c r="AK152" s="240">
        <f t="shared" si="344"/>
        <v>99.699999999999605</v>
      </c>
      <c r="AL152" s="240">
        <f t="shared" si="344"/>
        <v>86.399999999999864</v>
      </c>
      <c r="AM152" s="241">
        <f t="shared" si="344"/>
        <v>91.699999999999761</v>
      </c>
      <c r="AN152" s="240">
        <f t="shared" si="344"/>
        <v>89.89999999999992</v>
      </c>
      <c r="AO152" s="240">
        <f t="shared" si="344"/>
        <v>103.09999999999981</v>
      </c>
      <c r="AP152" s="240">
        <f t="shared" si="344"/>
        <v>102.49999999999959</v>
      </c>
      <c r="AQ152" s="241">
        <f t="shared" si="344"/>
        <v>169.29999999999959</v>
      </c>
      <c r="AR152" s="240">
        <f t="shared" si="344"/>
        <v>146.70000000000056</v>
      </c>
      <c r="AS152" s="240">
        <f t="shared" si="344"/>
        <v>148.80000000000049</v>
      </c>
      <c r="AT152" s="240">
        <f t="shared" si="344"/>
        <v>501.60000000000059</v>
      </c>
      <c r="AU152" s="241">
        <f t="shared" si="344"/>
        <v>584.90000000000123</v>
      </c>
      <c r="AV152" s="240">
        <f t="shared" si="344"/>
        <v>525.60000000000014</v>
      </c>
      <c r="AW152" s="240">
        <f t="shared" si="344"/>
        <v>66.899927754240252</v>
      </c>
      <c r="AX152" s="240">
        <f t="shared" si="344"/>
        <v>69.399927754240125</v>
      </c>
      <c r="AY152" s="241">
        <f t="shared" si="344"/>
        <v>131.29992775424085</v>
      </c>
      <c r="AZ152" s="240">
        <f t="shared" si="344"/>
        <v>105.19992775423997</v>
      </c>
      <c r="BA152" s="240">
        <f t="shared" si="344"/>
        <v>160.56078676223962</v>
      </c>
      <c r="BB152" s="240">
        <f t="shared" si="344"/>
        <v>62.960786762239252</v>
      </c>
      <c r="BC152" s="241">
        <f t="shared" si="344"/>
        <v>395.6607867622393</v>
      </c>
      <c r="BD152" s="240">
        <f t="shared" ref="BD152:CB152" si="345">BD150+BD151</f>
        <v>330.40000000000055</v>
      </c>
      <c r="BE152" s="240">
        <f t="shared" si="345"/>
        <v>565.2000000000005</v>
      </c>
      <c r="BF152" s="240">
        <f t="shared" si="345"/>
        <v>602.00000000000057</v>
      </c>
      <c r="BG152" s="241">
        <f t="shared" si="345"/>
        <v>601.30000000000041</v>
      </c>
      <c r="BH152" s="240">
        <f t="shared" si="345"/>
        <v>701.9</v>
      </c>
      <c r="BI152" s="240">
        <f t="shared" si="345"/>
        <v>623.5</v>
      </c>
      <c r="BJ152" s="240">
        <f t="shared" si="345"/>
        <v>523.19999999999982</v>
      </c>
      <c r="BK152" s="241">
        <f t="shared" si="345"/>
        <v>1592.0999999999997</v>
      </c>
      <c r="BL152" s="240">
        <f t="shared" si="345"/>
        <v>1234.3</v>
      </c>
      <c r="BM152" s="240">
        <f t="shared" si="345"/>
        <v>1133.5</v>
      </c>
      <c r="BN152" s="240">
        <f t="shared" si="345"/>
        <v>1771.3000000000002</v>
      </c>
      <c r="BO152" s="241">
        <f t="shared" si="345"/>
        <v>1554.0000000000007</v>
      </c>
      <c r="BP152" s="240">
        <f t="shared" si="345"/>
        <v>1300.3999999999999</v>
      </c>
      <c r="BQ152" s="240">
        <f t="shared" si="345"/>
        <v>1420.3</v>
      </c>
      <c r="BR152" s="240">
        <f t="shared" si="345"/>
        <v>1513.5</v>
      </c>
      <c r="BS152" s="241">
        <f t="shared" si="345"/>
        <v>1654.1</v>
      </c>
      <c r="BT152" s="240">
        <f t="shared" si="345"/>
        <v>1707.1000000000024</v>
      </c>
      <c r="BU152" s="240">
        <f t="shared" si="345"/>
        <v>1771.2000000000023</v>
      </c>
      <c r="BV152" s="240">
        <f t="shared" si="345"/>
        <v>1676.5000000000027</v>
      </c>
      <c r="BW152" s="241">
        <f t="shared" si="345"/>
        <v>1754.3000000000027</v>
      </c>
      <c r="BX152" s="240">
        <f t="shared" si="345"/>
        <v>1630.9000000000028</v>
      </c>
      <c r="BY152" s="240">
        <f t="shared" si="345"/>
        <v>1332.4000000000028</v>
      </c>
      <c r="BZ152" s="240">
        <f t="shared" si="345"/>
        <v>1269.6000000000029</v>
      </c>
      <c r="CA152" s="241">
        <f t="shared" si="345"/>
        <v>1402.2000000000028</v>
      </c>
      <c r="CB152" s="240">
        <f t="shared" si="345"/>
        <v>1601.3000000000013</v>
      </c>
      <c r="CC152" s="240">
        <f t="shared" ref="CC152:CS152" si="346">CC150+CC151</f>
        <v>841.10000000000127</v>
      </c>
      <c r="CD152" s="240">
        <f t="shared" si="346"/>
        <v>884.00000000000136</v>
      </c>
      <c r="CE152" s="241">
        <f t="shared" si="346"/>
        <v>1137.7000000000012</v>
      </c>
      <c r="CF152" s="240">
        <f t="shared" si="346"/>
        <v>919.40000000000111</v>
      </c>
      <c r="CG152" s="240">
        <f t="shared" si="346"/>
        <v>865.10000000000116</v>
      </c>
      <c r="CH152" s="240">
        <f t="shared" si="346"/>
        <v>872.70000000000118</v>
      </c>
      <c r="CI152" s="241">
        <f t="shared" si="346"/>
        <v>1094.1000000000013</v>
      </c>
      <c r="CJ152" s="240">
        <f t="shared" si="346"/>
        <v>748.20000000000073</v>
      </c>
      <c r="CK152" s="240">
        <f t="shared" si="346"/>
        <v>967.90000000000077</v>
      </c>
      <c r="CL152" s="240">
        <f t="shared" si="346"/>
        <v>922.80000000000075</v>
      </c>
      <c r="CM152" s="241">
        <f t="shared" si="346"/>
        <v>1196.6000000000004</v>
      </c>
      <c r="CN152" s="240">
        <f t="shared" si="346"/>
        <v>1174.1000000000006</v>
      </c>
      <c r="CO152" s="240">
        <f t="shared" si="346"/>
        <v>1394.7000000000007</v>
      </c>
      <c r="CP152" s="240">
        <f t="shared" si="346"/>
        <v>1341.6000000000006</v>
      </c>
      <c r="CQ152" s="241">
        <f t="shared" si="346"/>
        <v>1271.6000000000006</v>
      </c>
      <c r="CR152" s="240">
        <f t="shared" si="346"/>
        <v>1209.8000000000004</v>
      </c>
      <c r="CS152" s="240">
        <f t="shared" si="346"/>
        <v>1166.7000000000005</v>
      </c>
      <c r="CT152" s="240">
        <f>CT150+CT151</f>
        <v>1253.7000000000005</v>
      </c>
      <c r="CU152" s="241">
        <f t="shared" ref="CU152" si="347">CU150+CU151</f>
        <v>1500.4</v>
      </c>
      <c r="CV152" s="240">
        <f t="shared" ref="CV152:CY152" si="348">CV150+CV151</f>
        <v>1510.7506074503863</v>
      </c>
      <c r="CW152" s="240">
        <f t="shared" si="348"/>
        <v>1745.859008998234</v>
      </c>
      <c r="CX152" s="240">
        <f t="shared" si="348"/>
        <v>1847.6692128704376</v>
      </c>
      <c r="CY152" s="241">
        <f t="shared" si="348"/>
        <v>2140.3585151354864</v>
      </c>
      <c r="DA152" s="565">
        <f t="shared" ref="DA152:EA152" si="349">DA150+DA151</f>
        <v>172.57961058469635</v>
      </c>
      <c r="DB152" s="565">
        <f t="shared" si="349"/>
        <v>160.3410284228037</v>
      </c>
      <c r="DC152" s="565">
        <f t="shared" si="349"/>
        <v>613.38451761473038</v>
      </c>
      <c r="DD152" s="565">
        <f t="shared" si="349"/>
        <v>-107.90000000000003</v>
      </c>
      <c r="DE152" s="565">
        <f t="shared" si="349"/>
        <v>629.29999999999973</v>
      </c>
      <c r="DF152" s="565">
        <f t="shared" si="349"/>
        <v>106.89999999999968</v>
      </c>
      <c r="DG152" s="565">
        <f t="shared" si="349"/>
        <v>98.800000000000068</v>
      </c>
      <c r="DH152" s="565">
        <f t="shared" si="349"/>
        <v>87.600000000000676</v>
      </c>
      <c r="DI152" s="565">
        <f t="shared" si="349"/>
        <v>91.700000000000102</v>
      </c>
      <c r="DJ152" s="565">
        <f t="shared" si="349"/>
        <v>169.29999999999984</v>
      </c>
      <c r="DK152" s="565">
        <f t="shared" si="349"/>
        <v>584.89999999999827</v>
      </c>
      <c r="DL152" s="565">
        <f t="shared" si="349"/>
        <v>131.29992775423955</v>
      </c>
      <c r="DM152" s="565">
        <f t="shared" si="349"/>
        <v>395.66078676224237</v>
      </c>
      <c r="DN152" s="565">
        <f t="shared" si="349"/>
        <v>601.30000000000211</v>
      </c>
      <c r="DO152" s="565">
        <f t="shared" si="349"/>
        <v>1592.100000000002</v>
      </c>
      <c r="DP152" s="565">
        <f t="shared" si="349"/>
        <v>1554.0000000000016</v>
      </c>
      <c r="DQ152" s="565">
        <f t="shared" si="349"/>
        <v>1654.1000000000026</v>
      </c>
      <c r="DR152" s="565">
        <f t="shared" si="349"/>
        <v>1754.3000000000022</v>
      </c>
      <c r="DS152" s="565">
        <f t="shared" si="349"/>
        <v>1402.2000000000012</v>
      </c>
      <c r="DT152" s="565">
        <f t="shared" si="349"/>
        <v>1137.7000000000012</v>
      </c>
      <c r="DU152" s="565">
        <f t="shared" si="349"/>
        <v>1094.1000000000008</v>
      </c>
      <c r="DV152" s="565">
        <f t="shared" si="349"/>
        <v>1196.6000000000006</v>
      </c>
      <c r="DW152" s="565">
        <f t="shared" si="349"/>
        <v>1271.6000000000006</v>
      </c>
      <c r="DX152" s="565">
        <f t="shared" ca="1" si="349"/>
        <v>1500.4000000000003</v>
      </c>
      <c r="DY152" s="565">
        <f ca="1">DY150+DY151</f>
        <v>2140.3585151354864</v>
      </c>
      <c r="DZ152" s="240">
        <f t="shared" ca="1" si="349"/>
        <v>2737.9109420088598</v>
      </c>
      <c r="EA152" s="240">
        <f t="shared" ca="1" si="349"/>
        <v>3331.3165221416366</v>
      </c>
      <c r="EB152" s="240">
        <f t="shared" ref="EB152:ED152" ca="1" si="350">EB150+EB151</f>
        <v>3908.7883337804242</v>
      </c>
      <c r="EC152" s="240">
        <f t="shared" ca="1" si="350"/>
        <v>4466.4810558699164</v>
      </c>
      <c r="ED152" s="240">
        <f t="shared" ca="1" si="350"/>
        <v>4993.9700467131033</v>
      </c>
      <c r="EE152" s="238"/>
      <c r="EF152"/>
      <c r="EG152"/>
      <c r="EH152"/>
      <c r="EI152"/>
      <c r="EJ152"/>
      <c r="EK152"/>
    </row>
    <row r="153" spans="1:141" s="137" customFormat="1">
      <c r="A153" s="193"/>
      <c r="B153" s="138"/>
      <c r="C153" s="138"/>
      <c r="D153" s="217"/>
      <c r="E153" s="218"/>
      <c r="F153" s="218"/>
      <c r="G153" s="219"/>
      <c r="H153" s="218"/>
      <c r="I153" s="218"/>
      <c r="J153" s="218"/>
      <c r="K153" s="219"/>
      <c r="L153" s="218"/>
      <c r="M153" s="218"/>
      <c r="N153" s="218"/>
      <c r="O153" s="219"/>
      <c r="P153" s="218"/>
      <c r="Q153" s="218"/>
      <c r="R153" s="218"/>
      <c r="S153" s="219"/>
      <c r="T153" s="218"/>
      <c r="U153" s="218"/>
      <c r="V153" s="218"/>
      <c r="W153" s="219"/>
      <c r="X153" s="218"/>
      <c r="Y153" s="218"/>
      <c r="Z153" s="218"/>
      <c r="AA153" s="219"/>
      <c r="AB153" s="218"/>
      <c r="AC153" s="218"/>
      <c r="AD153" s="218"/>
      <c r="AE153" s="219"/>
      <c r="AF153" s="218"/>
      <c r="AG153" s="218"/>
      <c r="AH153" s="218"/>
      <c r="AI153" s="219"/>
      <c r="AJ153" s="218"/>
      <c r="AK153" s="218"/>
      <c r="AL153" s="218"/>
      <c r="AM153" s="219"/>
      <c r="AN153" s="218"/>
      <c r="AO153" s="218"/>
      <c r="AP153" s="218"/>
      <c r="AQ153" s="219"/>
      <c r="AR153" s="218"/>
      <c r="AS153" s="218"/>
      <c r="AT153" s="218"/>
      <c r="AU153" s="219"/>
      <c r="AV153" s="218"/>
      <c r="AW153" s="218"/>
      <c r="AX153" s="218"/>
      <c r="AY153" s="219"/>
      <c r="AZ153" s="218"/>
      <c r="BA153" s="218"/>
      <c r="BB153" s="218"/>
      <c r="BC153" s="219"/>
      <c r="BD153" s="218"/>
      <c r="BE153" s="218"/>
      <c r="BF153" s="218"/>
      <c r="BG153" s="219"/>
      <c r="BH153" s="218"/>
      <c r="BI153" s="218"/>
      <c r="BJ153" s="218"/>
      <c r="BK153" s="219"/>
      <c r="BL153" s="218"/>
      <c r="BM153" s="218"/>
      <c r="BN153" s="218"/>
      <c r="BO153" s="219"/>
      <c r="BP153" s="218"/>
      <c r="BQ153" s="218"/>
      <c r="BR153" s="218"/>
      <c r="BS153" s="219"/>
      <c r="BT153" s="218"/>
      <c r="BU153" s="218"/>
      <c r="BV153" s="218"/>
      <c r="BW153" s="219"/>
      <c r="BX153" s="218"/>
      <c r="BY153" s="218"/>
      <c r="BZ153" s="218"/>
      <c r="CA153" s="219"/>
      <c r="CB153" s="218"/>
      <c r="CC153" s="218"/>
      <c r="CD153" s="218"/>
      <c r="CE153" s="219"/>
      <c r="CF153" s="218"/>
      <c r="CG153" s="218"/>
      <c r="CH153" s="218"/>
      <c r="CI153" s="219"/>
      <c r="CJ153" s="218"/>
      <c r="CK153" s="218"/>
      <c r="CL153" s="218"/>
      <c r="CM153" s="219"/>
      <c r="CN153" s="218"/>
      <c r="CO153" s="218"/>
      <c r="CP153" s="218"/>
      <c r="CQ153" s="219"/>
      <c r="CR153" s="194"/>
      <c r="CS153" s="194"/>
      <c r="CT153" s="194"/>
      <c r="CU153" s="195"/>
      <c r="CV153" s="194"/>
      <c r="CW153" s="194"/>
      <c r="CX153" s="194"/>
      <c r="CY153" s="195"/>
      <c r="DA153" s="212"/>
      <c r="DB153" s="212"/>
      <c r="DC153" s="212"/>
      <c r="DD153" s="212"/>
      <c r="DE153" s="212"/>
      <c r="DF153" s="212"/>
      <c r="DG153" s="212"/>
      <c r="DH153" s="212"/>
      <c r="DI153" s="212"/>
      <c r="DJ153" s="212"/>
      <c r="DK153" s="212"/>
      <c r="DL153" s="212"/>
      <c r="DM153" s="212"/>
      <c r="DN153" s="212"/>
      <c r="DO153" s="212"/>
      <c r="DP153" s="212"/>
      <c r="DQ153" s="212"/>
      <c r="DR153" s="212"/>
      <c r="DS153" s="212"/>
      <c r="DT153" s="212"/>
      <c r="DU153" s="212"/>
      <c r="DV153" s="212"/>
      <c r="DW153" s="212"/>
      <c r="DX153" s="212"/>
      <c r="DY153" s="212"/>
      <c r="DZ153" s="212"/>
      <c r="EA153" s="212"/>
      <c r="EB153" s="212"/>
      <c r="EC153" s="212"/>
      <c r="ED153" s="212"/>
      <c r="EE153" s="199"/>
      <c r="EF153"/>
      <c r="EG153"/>
      <c r="EH153"/>
      <c r="EI153"/>
      <c r="EJ153"/>
      <c r="EK153"/>
    </row>
    <row r="154" spans="1:141" s="137" customFormat="1">
      <c r="A154" s="193"/>
      <c r="B154" s="214" t="s">
        <v>20</v>
      </c>
      <c r="C154" s="214"/>
      <c r="D154" s="578">
        <f>D152-D59</f>
        <v>74.921212834221279</v>
      </c>
      <c r="E154" s="215">
        <f t="shared" ref="E154:BP154" si="351">E152-E59</f>
        <v>120.4946094366388</v>
      </c>
      <c r="F154" s="215">
        <f t="shared" si="351"/>
        <v>105.01306762415925</v>
      </c>
      <c r="G154" s="216">
        <f t="shared" si="351"/>
        <v>140.58361058469634</v>
      </c>
      <c r="H154" s="215">
        <f t="shared" si="351"/>
        <v>58.972546067218431</v>
      </c>
      <c r="I154" s="215">
        <f t="shared" si="351"/>
        <v>-30.012058803592168</v>
      </c>
      <c r="J154" s="215">
        <f t="shared" si="351"/>
        <v>33.324889905979077</v>
      </c>
      <c r="K154" s="216">
        <f t="shared" si="351"/>
        <v>126.24102842280371</v>
      </c>
      <c r="L154" s="215">
        <f t="shared" si="351"/>
        <v>270.03902760999733</v>
      </c>
      <c r="M154" s="215">
        <f t="shared" si="351"/>
        <v>240.96104655805357</v>
      </c>
      <c r="N154" s="215">
        <f t="shared" si="351"/>
        <v>186.34598612028805</v>
      </c>
      <c r="O154" s="216">
        <f t="shared" si="351"/>
        <v>587.38451761473038</v>
      </c>
      <c r="P154" s="215">
        <f t="shared" si="351"/>
        <v>9.9475983006414026E-14</v>
      </c>
      <c r="Q154" s="215">
        <f t="shared" si="351"/>
        <v>-66.599999999999895</v>
      </c>
      <c r="R154" s="215">
        <f t="shared" si="351"/>
        <v>-198.89999999999978</v>
      </c>
      <c r="S154" s="216">
        <f t="shared" si="351"/>
        <v>-104.10000000000007</v>
      </c>
      <c r="T154" s="215">
        <f t="shared" si="351"/>
        <v>-121.80000000000022</v>
      </c>
      <c r="U154" s="215">
        <f t="shared" si="351"/>
        <v>-60.900000000000944</v>
      </c>
      <c r="V154" s="215">
        <f t="shared" si="351"/>
        <v>175.79999999999927</v>
      </c>
      <c r="W154" s="216">
        <f t="shared" si="351"/>
        <v>599.29999999999973</v>
      </c>
      <c r="X154" s="215">
        <f t="shared" si="351"/>
        <v>-2.0605739337042905E-13</v>
      </c>
      <c r="Y154" s="215">
        <f t="shared" si="351"/>
        <v>-3.694822225952521E-13</v>
      </c>
      <c r="Z154" s="215">
        <f t="shared" si="351"/>
        <v>-9.6633812063373625E-13</v>
      </c>
      <c r="AA154" s="216">
        <f t="shared" si="351"/>
        <v>-4.6895820560166612E-13</v>
      </c>
      <c r="AB154" s="215">
        <f t="shared" si="351"/>
        <v>0</v>
      </c>
      <c r="AC154" s="215">
        <f t="shared" si="351"/>
        <v>0</v>
      </c>
      <c r="AD154" s="215">
        <f t="shared" si="351"/>
        <v>-2.9842794901924208E-13</v>
      </c>
      <c r="AE154" s="216">
        <f t="shared" si="351"/>
        <v>-6.5369931689929217E-13</v>
      </c>
      <c r="AF154" s="215">
        <f t="shared" si="351"/>
        <v>0</v>
      </c>
      <c r="AG154" s="215">
        <f t="shared" si="351"/>
        <v>3.694822225952521E-13</v>
      </c>
      <c r="AH154" s="215">
        <f t="shared" si="351"/>
        <v>0</v>
      </c>
      <c r="AI154" s="216">
        <f t="shared" si="351"/>
        <v>-1.1368683772161603E-13</v>
      </c>
      <c r="AJ154" s="215">
        <f t="shared" si="351"/>
        <v>-1.4210854715202004E-13</v>
      </c>
      <c r="AK154" s="215">
        <f t="shared" si="351"/>
        <v>-3.979039320256561E-13</v>
      </c>
      <c r="AL154" s="215">
        <f t="shared" si="351"/>
        <v>-1.4210854715202004E-13</v>
      </c>
      <c r="AM154" s="216">
        <f t="shared" si="351"/>
        <v>-2.4158453015843406E-13</v>
      </c>
      <c r="AN154" s="215">
        <f t="shared" si="351"/>
        <v>0</v>
      </c>
      <c r="AO154" s="215">
        <f t="shared" si="351"/>
        <v>-1.8474111129762605E-13</v>
      </c>
      <c r="AP154" s="215">
        <f t="shared" si="351"/>
        <v>-4.1211478674085811E-13</v>
      </c>
      <c r="AQ154" s="216">
        <f t="shared" si="351"/>
        <v>-4.2632564145606011E-13</v>
      </c>
      <c r="AR154" s="215">
        <f t="shared" si="351"/>
        <v>5.6843418860808015E-13</v>
      </c>
      <c r="AS154" s="215">
        <f t="shared" si="351"/>
        <v>4.8316906031686813E-13</v>
      </c>
      <c r="AT154" s="215">
        <f t="shared" si="351"/>
        <v>5.6843418860808015E-13</v>
      </c>
      <c r="AU154" s="216">
        <f t="shared" si="351"/>
        <v>1.2505552149377763E-12</v>
      </c>
      <c r="AV154" s="215">
        <f t="shared" si="351"/>
        <v>0</v>
      </c>
      <c r="AW154" s="215">
        <f t="shared" si="351"/>
        <v>-66.000072245759753</v>
      </c>
      <c r="AX154" s="215">
        <f t="shared" si="351"/>
        <v>-66.000072245759881</v>
      </c>
      <c r="AY154" s="216">
        <f t="shared" si="351"/>
        <v>-66.000072245759156</v>
      </c>
      <c r="AZ154" s="215">
        <f t="shared" si="351"/>
        <v>-66.000072245760023</v>
      </c>
      <c r="BA154" s="215">
        <f t="shared" si="351"/>
        <v>-90.039213237760379</v>
      </c>
      <c r="BB154" s="215">
        <f t="shared" si="351"/>
        <v>-90.039213237760748</v>
      </c>
      <c r="BC154" s="216">
        <f t="shared" si="351"/>
        <v>-107.03921323776069</v>
      </c>
      <c r="BD154" s="215">
        <f t="shared" si="351"/>
        <v>5.6843418860808015E-13</v>
      </c>
      <c r="BE154" s="215">
        <f t="shared" si="351"/>
        <v>0</v>
      </c>
      <c r="BF154" s="215">
        <f t="shared" si="351"/>
        <v>0</v>
      </c>
      <c r="BG154" s="216">
        <f t="shared" si="351"/>
        <v>0</v>
      </c>
      <c r="BH154" s="215">
        <f t="shared" si="351"/>
        <v>0</v>
      </c>
      <c r="BI154" s="215">
        <f t="shared" si="351"/>
        <v>0</v>
      </c>
      <c r="BJ154" s="215">
        <f t="shared" si="351"/>
        <v>0</v>
      </c>
      <c r="BK154" s="216">
        <f t="shared" si="351"/>
        <v>0</v>
      </c>
      <c r="BL154" s="215">
        <f t="shared" si="351"/>
        <v>0</v>
      </c>
      <c r="BM154" s="215">
        <f t="shared" si="351"/>
        <v>0</v>
      </c>
      <c r="BN154" s="215">
        <f t="shared" si="351"/>
        <v>0</v>
      </c>
      <c r="BO154" s="216">
        <f t="shared" si="351"/>
        <v>0</v>
      </c>
      <c r="BP154" s="215">
        <f t="shared" si="351"/>
        <v>0</v>
      </c>
      <c r="BQ154" s="215">
        <f t="shared" ref="BQ154:CY154" si="352">BQ152-BQ59</f>
        <v>0</v>
      </c>
      <c r="BR154" s="215">
        <f t="shared" si="352"/>
        <v>0</v>
      </c>
      <c r="BS154" s="216">
        <f t="shared" si="352"/>
        <v>0</v>
      </c>
      <c r="BT154" s="215">
        <f t="shared" si="352"/>
        <v>2.5011104298755527E-12</v>
      </c>
      <c r="BU154" s="215">
        <f t="shared" si="352"/>
        <v>2.2737367544323206E-12</v>
      </c>
      <c r="BV154" s="215">
        <f t="shared" si="352"/>
        <v>2.7284841053187847E-12</v>
      </c>
      <c r="BW154" s="216">
        <f t="shared" si="352"/>
        <v>2.7284841053187847E-12</v>
      </c>
      <c r="BX154" s="215">
        <f t="shared" si="352"/>
        <v>2.7284841053187847E-12</v>
      </c>
      <c r="BY154" s="215">
        <f t="shared" si="352"/>
        <v>2.7284841053187847E-12</v>
      </c>
      <c r="BZ154" s="215">
        <f t="shared" si="352"/>
        <v>2.9558577807620168E-12</v>
      </c>
      <c r="CA154" s="216">
        <f t="shared" si="352"/>
        <v>2.7284841053187847E-12</v>
      </c>
      <c r="CB154" s="215">
        <f t="shared" si="352"/>
        <v>0</v>
      </c>
      <c r="CC154" s="215">
        <f t="shared" si="352"/>
        <v>1.2505552149377763E-12</v>
      </c>
      <c r="CD154" s="215">
        <f t="shared" si="352"/>
        <v>1.3642420526593924E-12</v>
      </c>
      <c r="CE154" s="216">
        <f t="shared" si="352"/>
        <v>0</v>
      </c>
      <c r="CF154" s="215">
        <f t="shared" si="352"/>
        <v>1.1368683772161603E-12</v>
      </c>
      <c r="CG154" s="215">
        <f t="shared" si="352"/>
        <v>1.1368683772161603E-12</v>
      </c>
      <c r="CH154" s="215">
        <f t="shared" si="352"/>
        <v>1.1368683772161603E-12</v>
      </c>
      <c r="CI154" s="216">
        <f t="shared" si="352"/>
        <v>0</v>
      </c>
      <c r="CJ154" s="215">
        <f t="shared" si="352"/>
        <v>0</v>
      </c>
      <c r="CK154" s="215">
        <f t="shared" si="352"/>
        <v>0</v>
      </c>
      <c r="CL154" s="215">
        <f t="shared" si="352"/>
        <v>0</v>
      </c>
      <c r="CM154" s="216">
        <f t="shared" si="352"/>
        <v>0</v>
      </c>
      <c r="CN154" s="215">
        <f t="shared" si="352"/>
        <v>0</v>
      </c>
      <c r="CO154" s="215">
        <f t="shared" si="352"/>
        <v>0</v>
      </c>
      <c r="CP154" s="215">
        <f t="shared" si="352"/>
        <v>0</v>
      </c>
      <c r="CQ154" s="216">
        <f t="shared" si="352"/>
        <v>0</v>
      </c>
      <c r="CR154" s="215">
        <f t="shared" si="352"/>
        <v>0.1000000000003638</v>
      </c>
      <c r="CS154" s="215">
        <f t="shared" si="352"/>
        <v>0</v>
      </c>
      <c r="CT154" s="215">
        <f t="shared" si="352"/>
        <v>0</v>
      </c>
      <c r="CU154" s="216">
        <f t="shared" si="352"/>
        <v>0</v>
      </c>
      <c r="CV154" s="215">
        <f t="shared" si="352"/>
        <v>0</v>
      </c>
      <c r="CW154" s="215">
        <f t="shared" si="352"/>
        <v>0</v>
      </c>
      <c r="CX154" s="215">
        <f t="shared" si="352"/>
        <v>0</v>
      </c>
      <c r="CY154" s="216">
        <f t="shared" si="352"/>
        <v>0</v>
      </c>
      <c r="DA154" s="215">
        <f t="shared" ref="DA154:EA154" si="353">DA152-DA59</f>
        <v>140.58361058469634</v>
      </c>
      <c r="DB154" s="215">
        <f t="shared" si="353"/>
        <v>126.24102842280371</v>
      </c>
      <c r="DC154" s="215">
        <f t="shared" si="353"/>
        <v>587.38451761473038</v>
      </c>
      <c r="DD154" s="215">
        <f t="shared" si="353"/>
        <v>-120.80000000000004</v>
      </c>
      <c r="DE154" s="215">
        <f t="shared" si="353"/>
        <v>599.29999999999973</v>
      </c>
      <c r="DF154" s="215">
        <f t="shared" si="353"/>
        <v>-3.2684965844964609E-13</v>
      </c>
      <c r="DG154" s="215">
        <f t="shared" si="353"/>
        <v>0</v>
      </c>
      <c r="DH154" s="215">
        <f t="shared" si="353"/>
        <v>6.8212102632969618E-13</v>
      </c>
      <c r="DI154" s="215">
        <f t="shared" si="353"/>
        <v>0</v>
      </c>
      <c r="DJ154" s="215">
        <f t="shared" si="353"/>
        <v>0</v>
      </c>
      <c r="DK154" s="215">
        <f t="shared" si="353"/>
        <v>-1.7053025658242404E-12</v>
      </c>
      <c r="DL154" s="215">
        <f t="shared" si="353"/>
        <v>-66.000072245760464</v>
      </c>
      <c r="DM154" s="215">
        <f t="shared" si="353"/>
        <v>-107.03921323775762</v>
      </c>
      <c r="DN154" s="215">
        <f t="shared" si="353"/>
        <v>2.1600499167107046E-12</v>
      </c>
      <c r="DO154" s="215">
        <f t="shared" si="353"/>
        <v>2.0463630789890885E-12</v>
      </c>
      <c r="DP154" s="215">
        <f t="shared" si="353"/>
        <v>0</v>
      </c>
      <c r="DQ154" s="215">
        <f t="shared" si="353"/>
        <v>2.7284841053187847E-12</v>
      </c>
      <c r="DR154" s="215">
        <f t="shared" si="353"/>
        <v>2.2737367544323206E-12</v>
      </c>
      <c r="DS154" s="215">
        <f t="shared" si="353"/>
        <v>0</v>
      </c>
      <c r="DT154" s="215">
        <f t="shared" si="353"/>
        <v>0</v>
      </c>
      <c r="DU154" s="215">
        <f t="shared" si="353"/>
        <v>0</v>
      </c>
      <c r="DV154" s="215">
        <f t="shared" si="353"/>
        <v>0</v>
      </c>
      <c r="DW154" s="215">
        <f t="shared" si="353"/>
        <v>0</v>
      </c>
      <c r="DX154" s="215">
        <f t="shared" ca="1" si="353"/>
        <v>0</v>
      </c>
      <c r="DY154" s="215">
        <f t="shared" ca="1" si="353"/>
        <v>0</v>
      </c>
      <c r="DZ154" s="215">
        <f t="shared" ca="1" si="353"/>
        <v>0</v>
      </c>
      <c r="EA154" s="215">
        <f t="shared" ca="1" si="353"/>
        <v>0</v>
      </c>
      <c r="EB154" s="215">
        <f t="shared" ref="EB154:ED154" ca="1" si="354">EB152-EB59</f>
        <v>0</v>
      </c>
      <c r="EC154" s="215">
        <f t="shared" ca="1" si="354"/>
        <v>0</v>
      </c>
      <c r="ED154" s="215">
        <f t="shared" ca="1" si="354"/>
        <v>0</v>
      </c>
      <c r="EE154" s="214"/>
      <c r="EF154"/>
      <c r="EG154"/>
      <c r="EH154"/>
      <c r="EI154"/>
      <c r="EJ154"/>
      <c r="EK154"/>
    </row>
    <row r="155" spans="1:141" s="137" customFormat="1" ht="15.75" thickBot="1">
      <c r="A155" s="193"/>
      <c r="B155" s="138"/>
      <c r="C155" s="138"/>
      <c r="D155" s="217"/>
      <c r="E155" s="218"/>
      <c r="F155" s="218"/>
      <c r="G155" s="219"/>
      <c r="H155" s="218"/>
      <c r="I155" s="218"/>
      <c r="J155" s="218"/>
      <c r="K155" s="219"/>
      <c r="L155" s="218"/>
      <c r="M155" s="218"/>
      <c r="N155" s="218"/>
      <c r="O155" s="219"/>
      <c r="P155" s="218"/>
      <c r="Q155" s="218"/>
      <c r="R155" s="218"/>
      <c r="S155" s="219"/>
      <c r="T155" s="218"/>
      <c r="U155" s="218"/>
      <c r="V155" s="218"/>
      <c r="W155" s="219"/>
      <c r="X155" s="218"/>
      <c r="Y155" s="218"/>
      <c r="Z155" s="218"/>
      <c r="AA155" s="219"/>
      <c r="AB155" s="218"/>
      <c r="AC155" s="218"/>
      <c r="AD155" s="218"/>
      <c r="AE155" s="219"/>
      <c r="AF155" s="218"/>
      <c r="AG155" s="218"/>
      <c r="AH155" s="218"/>
      <c r="AI155" s="219"/>
      <c r="AJ155" s="218"/>
      <c r="AK155" s="218"/>
      <c r="AL155" s="218"/>
      <c r="AM155" s="219"/>
      <c r="AN155" s="218"/>
      <c r="AO155" s="218"/>
      <c r="AP155" s="218"/>
      <c r="AQ155" s="219"/>
      <c r="AR155" s="218"/>
      <c r="AS155" s="218"/>
      <c r="AT155" s="218"/>
      <c r="AU155" s="219"/>
      <c r="AV155" s="218"/>
      <c r="AW155" s="218"/>
      <c r="AX155" s="218"/>
      <c r="AY155" s="219"/>
      <c r="AZ155" s="218"/>
      <c r="BA155" s="218"/>
      <c r="BB155" s="218"/>
      <c r="BC155" s="219"/>
      <c r="BD155" s="218"/>
      <c r="BE155" s="218"/>
      <c r="BF155" s="218"/>
      <c r="BG155" s="219"/>
      <c r="BH155" s="218"/>
      <c r="BI155" s="218"/>
      <c r="BJ155" s="218"/>
      <c r="BK155" s="219"/>
      <c r="BL155" s="218"/>
      <c r="BM155" s="218"/>
      <c r="BN155" s="218"/>
      <c r="BO155" s="219"/>
      <c r="BP155" s="218"/>
      <c r="BQ155" s="218"/>
      <c r="BR155" s="218"/>
      <c r="BS155" s="219"/>
      <c r="BT155" s="218"/>
      <c r="BU155" s="218"/>
      <c r="BV155" s="218"/>
      <c r="BW155" s="219"/>
      <c r="BX155" s="218"/>
      <c r="BY155" s="218"/>
      <c r="BZ155" s="218"/>
      <c r="CA155" s="219"/>
      <c r="CB155" s="218"/>
      <c r="CC155" s="218"/>
      <c r="CD155" s="218"/>
      <c r="CE155" s="219"/>
      <c r="CF155" s="218"/>
      <c r="CG155" s="218"/>
      <c r="CH155" s="218"/>
      <c r="CI155" s="219"/>
      <c r="CJ155" s="218"/>
      <c r="CK155" s="218"/>
      <c r="CL155" s="218"/>
      <c r="CM155" s="219"/>
      <c r="CN155" s="218"/>
      <c r="CO155" s="218"/>
      <c r="CP155" s="218"/>
      <c r="CQ155" s="219"/>
      <c r="CR155" s="194"/>
      <c r="CS155" s="194"/>
      <c r="CT155" s="194"/>
      <c r="CU155" s="195"/>
      <c r="CV155" s="194"/>
      <c r="CW155" s="194"/>
      <c r="CX155" s="194"/>
      <c r="CY155" s="195"/>
      <c r="DA155" s="212"/>
      <c r="DB155" s="212"/>
      <c r="DC155" s="212"/>
      <c r="DD155" s="212"/>
      <c r="DE155" s="212"/>
      <c r="DF155" s="212"/>
      <c r="DG155" s="212"/>
      <c r="DH155" s="212"/>
      <c r="DI155" s="212"/>
      <c r="DJ155" s="212"/>
      <c r="DK155" s="212"/>
      <c r="DL155" s="212"/>
      <c r="DM155" s="212"/>
      <c r="DN155" s="212"/>
      <c r="DO155" s="212"/>
      <c r="DP155" s="212"/>
      <c r="DQ155" s="212"/>
      <c r="DR155" s="212"/>
      <c r="DS155" s="212"/>
      <c r="DT155" s="212"/>
      <c r="DU155" s="212"/>
      <c r="DV155" s="872"/>
      <c r="DW155" s="872"/>
      <c r="DX155" s="872"/>
      <c r="DY155" s="872"/>
      <c r="DZ155" s="212"/>
      <c r="EA155" s="212"/>
      <c r="EB155" s="212"/>
      <c r="EC155" s="212"/>
      <c r="ED155" s="212"/>
      <c r="EE155" s="199"/>
      <c r="EF155"/>
      <c r="EG155"/>
      <c r="EH155"/>
      <c r="EI155"/>
      <c r="EJ155"/>
      <c r="EK155"/>
    </row>
    <row r="156" spans="1:141" s="137" customFormat="1">
      <c r="A156" s="193"/>
      <c r="B156" s="330" t="s">
        <v>177</v>
      </c>
      <c r="C156" s="331"/>
      <c r="D156" s="579">
        <f t="shared" ref="D156:AC156" si="355">D131+D133</f>
        <v>-57.482358707105092</v>
      </c>
      <c r="E156" s="332">
        <f t="shared" si="355"/>
        <v>46.95756288794513</v>
      </c>
      <c r="F156" s="332">
        <f t="shared" si="355"/>
        <v>-11.749656974844847</v>
      </c>
      <c r="G156" s="333">
        <f t="shared" si="355"/>
        <v>25.260960470354519</v>
      </c>
      <c r="H156" s="332">
        <f t="shared" si="355"/>
        <v>-44.613851682456648</v>
      </c>
      <c r="I156" s="332">
        <f t="shared" si="355"/>
        <v>-31.276412936948724</v>
      </c>
      <c r="J156" s="332">
        <f t="shared" si="355"/>
        <v>63.629075465534136</v>
      </c>
      <c r="K156" s="333">
        <f t="shared" si="355"/>
        <v>16.68382881411307</v>
      </c>
      <c r="L156" s="332">
        <f t="shared" si="355"/>
        <v>-160.47899379287824</v>
      </c>
      <c r="M156" s="332">
        <f t="shared" si="355"/>
        <v>16.189513230970377</v>
      </c>
      <c r="N156" s="332">
        <f t="shared" si="355"/>
        <v>-16.363018621365725</v>
      </c>
      <c r="O156" s="333">
        <f t="shared" si="355"/>
        <v>89.684235504737032</v>
      </c>
      <c r="P156" s="332">
        <f t="shared" si="355"/>
        <v>11.700000000000109</v>
      </c>
      <c r="Q156" s="332">
        <f t="shared" si="355"/>
        <v>33.600000000000009</v>
      </c>
      <c r="R156" s="332">
        <f t="shared" si="355"/>
        <v>-12.499999999999815</v>
      </c>
      <c r="S156" s="333">
        <f t="shared" si="355"/>
        <v>98.799999999999713</v>
      </c>
      <c r="T156" s="332">
        <f t="shared" si="355"/>
        <v>-184.30000000000018</v>
      </c>
      <c r="U156" s="332">
        <f t="shared" si="355"/>
        <v>83.199999999999264</v>
      </c>
      <c r="V156" s="332">
        <f t="shared" si="355"/>
        <v>59.300000000000196</v>
      </c>
      <c r="W156" s="333">
        <f t="shared" si="355"/>
        <v>37.000000000000625</v>
      </c>
      <c r="X156" s="332">
        <f t="shared" si="355"/>
        <v>35.19999999999979</v>
      </c>
      <c r="Y156" s="332">
        <f t="shared" si="355"/>
        <v>13.799999999999784</v>
      </c>
      <c r="Z156" s="332">
        <f t="shared" si="355"/>
        <v>-329.40000000000032</v>
      </c>
      <c r="AA156" s="333">
        <f t="shared" si="355"/>
        <v>449.30000000000007</v>
      </c>
      <c r="AB156" s="332">
        <f t="shared" si="355"/>
        <v>-9.4999999999999716</v>
      </c>
      <c r="AC156" s="332">
        <f t="shared" si="355"/>
        <v>142.19999999999996</v>
      </c>
      <c r="AD156" s="332">
        <f t="shared" ref="AD156:BC156" si="356">AD131+AD133</f>
        <v>-4.1000000000002927</v>
      </c>
      <c r="AE156" s="333">
        <f t="shared" si="356"/>
        <v>302.19999999999965</v>
      </c>
      <c r="AF156" s="332">
        <f t="shared" si="356"/>
        <v>255.7000000000001</v>
      </c>
      <c r="AG156" s="332">
        <f t="shared" si="356"/>
        <v>163.20000000000019</v>
      </c>
      <c r="AH156" s="332">
        <f t="shared" si="356"/>
        <v>64.39999999999965</v>
      </c>
      <c r="AI156" s="333">
        <f t="shared" si="356"/>
        <v>79.499999999999915</v>
      </c>
      <c r="AJ156" s="332">
        <f t="shared" si="356"/>
        <v>122.69999999999986</v>
      </c>
      <c r="AK156" s="332">
        <f t="shared" si="356"/>
        <v>75.099999999999781</v>
      </c>
      <c r="AL156" s="332">
        <f t="shared" si="356"/>
        <v>-0.99999999999980105</v>
      </c>
      <c r="AM156" s="333">
        <f t="shared" si="356"/>
        <v>75.699999999999932</v>
      </c>
      <c r="AN156" s="332">
        <f t="shared" si="356"/>
        <v>26.299999999999912</v>
      </c>
      <c r="AO156" s="332">
        <f t="shared" si="356"/>
        <v>93.699999999999889</v>
      </c>
      <c r="AP156" s="332">
        <f t="shared" si="356"/>
        <v>25.399999999999778</v>
      </c>
      <c r="AQ156" s="333">
        <f t="shared" si="356"/>
        <v>65.299999999999983</v>
      </c>
      <c r="AR156" s="332">
        <f t="shared" si="356"/>
        <v>-20.499999999999446</v>
      </c>
      <c r="AS156" s="332">
        <f t="shared" si="356"/>
        <v>139.99999999999994</v>
      </c>
      <c r="AT156" s="332">
        <f t="shared" si="356"/>
        <v>40.770000000000209</v>
      </c>
      <c r="AU156" s="333">
        <f t="shared" si="356"/>
        <v>86.60000000000062</v>
      </c>
      <c r="AV156" s="332">
        <f t="shared" si="356"/>
        <v>-10.899999999999892</v>
      </c>
      <c r="AW156" s="332">
        <f t="shared" si="356"/>
        <v>191.89985575424018</v>
      </c>
      <c r="AX156" s="332">
        <f t="shared" si="356"/>
        <v>-432.50280000000015</v>
      </c>
      <c r="AY156" s="333">
        <f t="shared" si="356"/>
        <v>177.47500000000082</v>
      </c>
      <c r="AZ156" s="332">
        <f t="shared" si="356"/>
        <v>-53.199999999999591</v>
      </c>
      <c r="BA156" s="332">
        <f t="shared" si="356"/>
        <v>-41.378280992000377</v>
      </c>
      <c r="BB156" s="332">
        <f t="shared" si="356"/>
        <v>-91.900000000000375</v>
      </c>
      <c r="BC156" s="333">
        <f t="shared" si="356"/>
        <v>100.10000000000008</v>
      </c>
      <c r="BD156" s="332">
        <f t="shared" ref="BD156:CB156" si="357">BD131+BD133</f>
        <v>-70.999999999999474</v>
      </c>
      <c r="BE156" s="332">
        <f t="shared" si="357"/>
        <v>250.1999999999999</v>
      </c>
      <c r="BF156" s="332">
        <f t="shared" si="357"/>
        <v>16.165000000000063</v>
      </c>
      <c r="BG156" s="333">
        <f t="shared" si="357"/>
        <v>69.299999999999841</v>
      </c>
      <c r="BH156" s="332">
        <f t="shared" si="357"/>
        <v>90.5</v>
      </c>
      <c r="BI156" s="332">
        <f t="shared" si="357"/>
        <v>22.900000000000048</v>
      </c>
      <c r="BJ156" s="332">
        <f t="shared" si="357"/>
        <v>4.3999999999998209</v>
      </c>
      <c r="BK156" s="333">
        <f t="shared" si="357"/>
        <v>-35.419999999999902</v>
      </c>
      <c r="BL156" s="332">
        <f t="shared" si="357"/>
        <v>-357.5</v>
      </c>
      <c r="BM156" s="332">
        <f t="shared" si="357"/>
        <v>-81.099999999999994</v>
      </c>
      <c r="BN156" s="332">
        <f t="shared" si="357"/>
        <v>133.3000000000001</v>
      </c>
      <c r="BO156" s="333">
        <f t="shared" si="357"/>
        <v>11.300000000000381</v>
      </c>
      <c r="BP156" s="332">
        <f t="shared" si="357"/>
        <v>4.1000000000000085</v>
      </c>
      <c r="BQ156" s="332">
        <f t="shared" si="357"/>
        <v>185.5</v>
      </c>
      <c r="BR156" s="332">
        <f t="shared" si="357"/>
        <v>79.2</v>
      </c>
      <c r="BS156" s="333">
        <f t="shared" si="357"/>
        <v>159.7999999999999</v>
      </c>
      <c r="BT156" s="332">
        <f t="shared" si="357"/>
        <v>83.699999999999704</v>
      </c>
      <c r="BU156" s="332">
        <f t="shared" si="357"/>
        <v>120.99999999999999</v>
      </c>
      <c r="BV156" s="332">
        <f t="shared" si="357"/>
        <v>64.100000000000364</v>
      </c>
      <c r="BW156" s="333">
        <f t="shared" si="357"/>
        <v>191.99999999999989</v>
      </c>
      <c r="BX156" s="332">
        <f t="shared" si="357"/>
        <v>-66.099999999999881</v>
      </c>
      <c r="BY156" s="332">
        <f t="shared" si="357"/>
        <v>45.499999999999929</v>
      </c>
      <c r="BZ156" s="332">
        <f t="shared" si="357"/>
        <v>80.79999999999994</v>
      </c>
      <c r="CA156" s="333">
        <f t="shared" si="357"/>
        <v>211.3</v>
      </c>
      <c r="CB156" s="332">
        <f t="shared" si="357"/>
        <v>-34.89999999999997</v>
      </c>
      <c r="CC156" s="332">
        <f t="shared" ref="CC156:CS156" si="358">CC131+CC133</f>
        <v>73.899999999999935</v>
      </c>
      <c r="CD156" s="332">
        <f t="shared" si="358"/>
        <v>61.400000000000119</v>
      </c>
      <c r="CE156" s="333">
        <f t="shared" si="358"/>
        <v>259.09999999999991</v>
      </c>
      <c r="CF156" s="332">
        <f t="shared" si="358"/>
        <v>-150.60000000000002</v>
      </c>
      <c r="CG156" s="332">
        <f t="shared" si="358"/>
        <v>136.50000000000003</v>
      </c>
      <c r="CH156" s="332">
        <f t="shared" si="358"/>
        <v>144.99999999999994</v>
      </c>
      <c r="CI156" s="333">
        <f t="shared" si="358"/>
        <v>372.20000000000005</v>
      </c>
      <c r="CJ156" s="332">
        <f t="shared" si="358"/>
        <v>-165.40000000000006</v>
      </c>
      <c r="CK156" s="332">
        <f t="shared" si="358"/>
        <v>360.50000000000011</v>
      </c>
      <c r="CL156" s="332">
        <f t="shared" si="358"/>
        <v>163.19999999999996</v>
      </c>
      <c r="CM156" s="333">
        <f t="shared" si="358"/>
        <v>426.99999999999966</v>
      </c>
      <c r="CN156" s="332">
        <f t="shared" si="358"/>
        <v>200.49999999999997</v>
      </c>
      <c r="CO156" s="332">
        <f t="shared" si="358"/>
        <v>435.4</v>
      </c>
      <c r="CP156" s="332">
        <f t="shared" si="358"/>
        <v>157.69999999999993</v>
      </c>
      <c r="CQ156" s="333">
        <f t="shared" si="358"/>
        <v>297.39999999999998</v>
      </c>
      <c r="CR156" s="332">
        <f t="shared" si="358"/>
        <v>158.09999999999985</v>
      </c>
      <c r="CS156" s="332">
        <f t="shared" si="358"/>
        <v>413.2</v>
      </c>
      <c r="CT156" s="332">
        <f t="shared" ref="CT156:CY156" si="359">CT131+CT133</f>
        <v>182.79999999999995</v>
      </c>
      <c r="CU156" s="333">
        <f t="shared" si="359"/>
        <v>434.49999999999994</v>
      </c>
      <c r="CV156" s="332">
        <f t="shared" si="359"/>
        <v>151.28265440600325</v>
      </c>
      <c r="CW156" s="332">
        <f t="shared" si="359"/>
        <v>375.70861910363766</v>
      </c>
      <c r="CX156" s="332">
        <f t="shared" si="359"/>
        <v>242.08664645342981</v>
      </c>
      <c r="CY156" s="586">
        <f t="shared" si="359"/>
        <v>432.64982879360377</v>
      </c>
      <c r="DA156" s="332">
        <f t="shared" ref="DA156:EA156" si="360">DA131+DA133</f>
        <v>2.9865076763497314</v>
      </c>
      <c r="DB156" s="332">
        <f t="shared" si="360"/>
        <v>4.4226396602418276</v>
      </c>
      <c r="DC156" s="332">
        <f t="shared" si="360"/>
        <v>-70.968263678536545</v>
      </c>
      <c r="DD156" s="332">
        <f t="shared" si="360"/>
        <v>131.60000000000002</v>
      </c>
      <c r="DE156" s="332">
        <f t="shared" si="360"/>
        <v>-4.8000000000001251</v>
      </c>
      <c r="DF156" s="332">
        <f t="shared" si="360"/>
        <v>168.8999999999993</v>
      </c>
      <c r="DG156" s="332">
        <f t="shared" si="360"/>
        <v>430.80000000000035</v>
      </c>
      <c r="DH156" s="332">
        <f t="shared" si="360"/>
        <v>562.80000000000064</v>
      </c>
      <c r="DI156" s="332">
        <f t="shared" si="360"/>
        <v>272.49999999999932</v>
      </c>
      <c r="DJ156" s="332">
        <f t="shared" si="360"/>
        <v>210.6999999999997</v>
      </c>
      <c r="DK156" s="332">
        <f t="shared" si="360"/>
        <v>246.86999999999853</v>
      </c>
      <c r="DL156" s="332">
        <f t="shared" si="360"/>
        <v>-74.027944245758533</v>
      </c>
      <c r="DM156" s="332">
        <f t="shared" si="360"/>
        <v>-86.378280991997087</v>
      </c>
      <c r="DN156" s="332">
        <f t="shared" si="360"/>
        <v>264.66500000000218</v>
      </c>
      <c r="DO156" s="332">
        <f t="shared" si="360"/>
        <v>82.379999999999825</v>
      </c>
      <c r="DP156" s="332">
        <f t="shared" si="360"/>
        <v>-294.00000000000045</v>
      </c>
      <c r="DQ156" s="332">
        <f t="shared" si="360"/>
        <v>428.6000000000011</v>
      </c>
      <c r="DR156" s="332">
        <f t="shared" si="360"/>
        <v>460.7999999999995</v>
      </c>
      <c r="DS156" s="332">
        <f t="shared" si="360"/>
        <v>271.49999999999892</v>
      </c>
      <c r="DT156" s="332">
        <f t="shared" si="360"/>
        <v>359.49999999999994</v>
      </c>
      <c r="DU156" s="332">
        <f t="shared" si="360"/>
        <v>503.09999999999985</v>
      </c>
      <c r="DV156" s="332">
        <f t="shared" si="360"/>
        <v>785.29999999999973</v>
      </c>
      <c r="DW156" s="332">
        <f t="shared" si="360"/>
        <v>1090.9999999999998</v>
      </c>
      <c r="DX156" s="332">
        <f ca="1">DX131+DX133</f>
        <v>1188.5999999999999</v>
      </c>
      <c r="DY156" s="332">
        <f>DY131+DY133</f>
        <v>1201.7277487566744</v>
      </c>
      <c r="DZ156" s="332">
        <f t="shared" si="360"/>
        <v>1158.3359979159527</v>
      </c>
      <c r="EA156" s="332">
        <f t="shared" si="360"/>
        <v>1150.4751005206517</v>
      </c>
      <c r="EB156" s="332">
        <f t="shared" ref="EB156:ED156" si="361">EB131+EB133</f>
        <v>1130.8370869404484</v>
      </c>
      <c r="EC156" s="332">
        <f t="shared" si="361"/>
        <v>1107.3825323513727</v>
      </c>
      <c r="ED156" s="332">
        <f t="shared" si="361"/>
        <v>1073.5475352743308</v>
      </c>
      <c r="EE156" s="199"/>
      <c r="EF156"/>
      <c r="EG156"/>
      <c r="EH156"/>
      <c r="EI156"/>
      <c r="EJ156"/>
      <c r="EK156"/>
    </row>
    <row r="157" spans="1:141" s="265" customFormat="1">
      <c r="A157" s="258"/>
      <c r="B157" s="829" t="s">
        <v>206</v>
      </c>
      <c r="C157" s="435"/>
      <c r="D157" s="598">
        <f>D156/D6</f>
        <v>-8.3708109373969844E-2</v>
      </c>
      <c r="E157" s="432">
        <f t="shared" ref="E157:BP157" si="362">E156/E6</f>
        <v>5.7119040126438543E-2</v>
      </c>
      <c r="F157" s="432">
        <f t="shared" si="362"/>
        <v>-1.682126982798117E-2</v>
      </c>
      <c r="G157" s="433">
        <f t="shared" si="362"/>
        <v>2.6870503638287968E-2</v>
      </c>
      <c r="H157" s="432">
        <f t="shared" si="362"/>
        <v>-4.2754050486302493E-2</v>
      </c>
      <c r="I157" s="432">
        <f t="shared" si="362"/>
        <v>-2.7373020249386246E-2</v>
      </c>
      <c r="J157" s="432">
        <f t="shared" si="362"/>
        <v>5.8883097784133018E-2</v>
      </c>
      <c r="K157" s="433">
        <f t="shared" si="362"/>
        <v>1.152436887070047E-2</v>
      </c>
      <c r="L157" s="432">
        <f t="shared" si="362"/>
        <v>-0.11415492516209863</v>
      </c>
      <c r="M157" s="432">
        <f t="shared" si="362"/>
        <v>1.0001552623074304E-2</v>
      </c>
      <c r="N157" s="432">
        <f t="shared" si="362"/>
        <v>-1.0868104822904972E-2</v>
      </c>
      <c r="O157" s="433">
        <f t="shared" si="362"/>
        <v>5.217233013655441E-2</v>
      </c>
      <c r="P157" s="432">
        <f t="shared" si="362"/>
        <v>6.7865429234339383E-3</v>
      </c>
      <c r="Q157" s="432">
        <f t="shared" si="362"/>
        <v>1.8267819279073564E-2</v>
      </c>
      <c r="R157" s="432">
        <f t="shared" si="362"/>
        <v>-7.6410538541474508E-3</v>
      </c>
      <c r="S157" s="433">
        <f t="shared" si="362"/>
        <v>4.6088538508186651E-2</v>
      </c>
      <c r="T157" s="432">
        <f t="shared" si="362"/>
        <v>-9.069435559273667E-2</v>
      </c>
      <c r="U157" s="432">
        <f t="shared" si="362"/>
        <v>3.8252873563218055E-2</v>
      </c>
      <c r="V157" s="432">
        <f t="shared" si="362"/>
        <v>3.0464937066529769E-2</v>
      </c>
      <c r="W157" s="433">
        <f t="shared" si="362"/>
        <v>1.27331543808936E-2</v>
      </c>
      <c r="X157" s="432">
        <f t="shared" si="362"/>
        <v>1.3099136647811772E-2</v>
      </c>
      <c r="Y157" s="432">
        <f t="shared" si="362"/>
        <v>4.2676892627411507E-3</v>
      </c>
      <c r="Z157" s="432">
        <f t="shared" si="362"/>
        <v>-0.10811697902648779</v>
      </c>
      <c r="AA157" s="433">
        <f t="shared" si="362"/>
        <v>0.12980672001849017</v>
      </c>
      <c r="AB157" s="432">
        <f t="shared" si="362"/>
        <v>-2.4966492339228855E-3</v>
      </c>
      <c r="AC157" s="432">
        <f t="shared" si="362"/>
        <v>3.7805072579358737E-2</v>
      </c>
      <c r="AD157" s="432">
        <f t="shared" si="362"/>
        <v>-1.3040297700455752E-3</v>
      </c>
      <c r="AE157" s="433">
        <f t="shared" si="362"/>
        <v>8.9881625126405226E-2</v>
      </c>
      <c r="AF157" s="432">
        <f t="shared" si="362"/>
        <v>7.2982075579404074E-2</v>
      </c>
      <c r="AG157" s="432">
        <f t="shared" si="362"/>
        <v>4.5215271236216596E-2</v>
      </c>
      <c r="AH157" s="432">
        <f t="shared" si="362"/>
        <v>2.0729391315543712E-2</v>
      </c>
      <c r="AI157" s="433">
        <f t="shared" si="362"/>
        <v>2.3348017621145349E-2</v>
      </c>
      <c r="AJ157" s="432">
        <f t="shared" si="362"/>
        <v>3.4713970463418738E-2</v>
      </c>
      <c r="AK157" s="432">
        <f t="shared" si="362"/>
        <v>1.9803807816043399E-2</v>
      </c>
      <c r="AL157" s="432">
        <f t="shared" si="362"/>
        <v>-2.9963444597584979E-4</v>
      </c>
      <c r="AM157" s="433">
        <f t="shared" si="362"/>
        <v>2.0130837144984558E-2</v>
      </c>
      <c r="AN157" s="432">
        <f t="shared" si="362"/>
        <v>6.7458383563751799E-3</v>
      </c>
      <c r="AO157" s="432">
        <f t="shared" si="362"/>
        <v>2.284697161806298E-2</v>
      </c>
      <c r="AP157" s="432">
        <f t="shared" si="362"/>
        <v>7.2748102534726557E-3</v>
      </c>
      <c r="AQ157" s="433">
        <f t="shared" si="362"/>
        <v>1.5345569055060742E-2</v>
      </c>
      <c r="AR157" s="432">
        <f t="shared" si="362"/>
        <v>-4.5635671512209083E-3</v>
      </c>
      <c r="AS157" s="432">
        <f t="shared" si="362"/>
        <v>3.2679738562091491E-2</v>
      </c>
      <c r="AT157" s="432">
        <f t="shared" si="362"/>
        <v>1.0459746523680077E-2</v>
      </c>
      <c r="AU157" s="433">
        <f t="shared" si="362"/>
        <v>2.0204848230326079E-2</v>
      </c>
      <c r="AV157" s="432">
        <f t="shared" si="362"/>
        <v>-2.5431637890807029E-3</v>
      </c>
      <c r="AW157" s="432">
        <f t="shared" si="362"/>
        <v>4.3423133924884068E-2</v>
      </c>
      <c r="AX157" s="432">
        <f t="shared" si="362"/>
        <v>-0.10848913861435815</v>
      </c>
      <c r="AY157" s="433">
        <f t="shared" si="362"/>
        <v>4.0304998523834581E-2</v>
      </c>
      <c r="AZ157" s="432">
        <f t="shared" si="362"/>
        <v>-1.1371165971999485E-2</v>
      </c>
      <c r="BA157" s="432">
        <f t="shared" si="362"/>
        <v>-8.6021955411418188E-3</v>
      </c>
      <c r="BB157" s="432">
        <f t="shared" si="362"/>
        <v>-2.2581517065140031E-2</v>
      </c>
      <c r="BC157" s="433">
        <f t="shared" si="362"/>
        <v>2.33851185609158E-2</v>
      </c>
      <c r="BD157" s="432">
        <f t="shared" si="362"/>
        <v>-1.6114023739815134E-2</v>
      </c>
      <c r="BE157" s="432">
        <f t="shared" si="362"/>
        <v>6.0212259042668373E-2</v>
      </c>
      <c r="BF157" s="432">
        <f t="shared" si="362"/>
        <v>4.5221843003413146E-3</v>
      </c>
      <c r="BG157" s="433">
        <f t="shared" si="362"/>
        <v>1.7958020212490242E-2</v>
      </c>
      <c r="BH157" s="432">
        <f t="shared" si="362"/>
        <v>2.3460182496889258E-2</v>
      </c>
      <c r="BI157" s="432">
        <f t="shared" si="362"/>
        <v>5.7552148781100897E-3</v>
      </c>
      <c r="BJ157" s="432">
        <f t="shared" si="362"/>
        <v>1.4041806286899062E-3</v>
      </c>
      <c r="BK157" s="433">
        <f t="shared" si="362"/>
        <v>-1.3620981387478812E-2</v>
      </c>
      <c r="BL157" s="432">
        <f t="shared" si="362"/>
        <v>-0.16487570908084673</v>
      </c>
      <c r="BM157" s="432">
        <f t="shared" si="362"/>
        <v>-3.5554581323980705E-2</v>
      </c>
      <c r="BN157" s="432">
        <f t="shared" si="362"/>
        <v>5.2317594882059774E-2</v>
      </c>
      <c r="BO157" s="433">
        <f t="shared" si="362"/>
        <v>4.1204784130689839E-3</v>
      </c>
      <c r="BP157" s="432">
        <f t="shared" si="362"/>
        <v>1.3952696954228378E-3</v>
      </c>
      <c r="BQ157" s="432">
        <f t="shared" ref="BQ157:CT157" si="363">BQ156/BQ6</f>
        <v>6.1033790675484485E-2</v>
      </c>
      <c r="BR157" s="432">
        <f t="shared" si="363"/>
        <v>2.8082118923518775E-2</v>
      </c>
      <c r="BS157" s="433">
        <f t="shared" si="363"/>
        <v>5.062569301441467E-2</v>
      </c>
      <c r="BT157" s="432">
        <f t="shared" si="363"/>
        <v>2.3834610017939947E-2</v>
      </c>
      <c r="BU157" s="432">
        <f t="shared" si="363"/>
        <v>3.2913527187661502E-2</v>
      </c>
      <c r="BV157" s="432">
        <f t="shared" si="363"/>
        <v>1.8526011560693747E-2</v>
      </c>
      <c r="BW157" s="433">
        <f t="shared" si="363"/>
        <v>5.4724241128687443E-2</v>
      </c>
      <c r="BX157" s="432">
        <f t="shared" si="363"/>
        <v>-1.8139407244785917E-2</v>
      </c>
      <c r="BY157" s="432">
        <f t="shared" si="363"/>
        <v>1.2414733969986338E-2</v>
      </c>
      <c r="BZ157" s="432">
        <f t="shared" si="363"/>
        <v>2.2833889108687035E-2</v>
      </c>
      <c r="CA157" s="433">
        <f t="shared" si="363"/>
        <v>5.6810238210464055E-2</v>
      </c>
      <c r="CB157" s="432">
        <f t="shared" si="363"/>
        <v>-8.8419345848850979E-3</v>
      </c>
      <c r="CC157" s="432">
        <f t="shared" si="363"/>
        <v>1.7966983540395304E-2</v>
      </c>
      <c r="CD157" s="432">
        <f t="shared" si="363"/>
        <v>1.5672460882660777E-2</v>
      </c>
      <c r="CE157" s="433">
        <f t="shared" si="363"/>
        <v>6.0877329010126616E-2</v>
      </c>
      <c r="CF157" s="432">
        <f t="shared" si="363"/>
        <v>-3.4542868938942158E-2</v>
      </c>
      <c r="CG157" s="432">
        <f t="shared" si="363"/>
        <v>2.9770343067762974E-2</v>
      </c>
      <c r="CH157" s="432">
        <f t="shared" si="363"/>
        <v>3.4257093580929418E-2</v>
      </c>
      <c r="CI157" s="433">
        <f t="shared" si="363"/>
        <v>8.1807591709343486E-2</v>
      </c>
      <c r="CJ157" s="432">
        <f t="shared" si="363"/>
        <v>-3.6581589773079154E-2</v>
      </c>
      <c r="CK157" s="432">
        <f t="shared" si="363"/>
        <v>7.7776099760522979E-2</v>
      </c>
      <c r="CL157" s="432">
        <f t="shared" si="363"/>
        <v>3.768792000554233E-2</v>
      </c>
      <c r="CM157" s="433">
        <f t="shared" si="363"/>
        <v>9.0378021419802654E-2</v>
      </c>
      <c r="CN157" s="432">
        <f t="shared" si="363"/>
        <v>4.299899204357803E-2</v>
      </c>
      <c r="CO157" s="432">
        <f t="shared" si="363"/>
        <v>9.2152048763968833E-2</v>
      </c>
      <c r="CP157" s="432">
        <f t="shared" si="363"/>
        <v>3.4840049487451383E-2</v>
      </c>
      <c r="CQ157" s="433">
        <f t="shared" si="363"/>
        <v>6.4046516636158068E-2</v>
      </c>
      <c r="CR157" s="432">
        <f t="shared" si="363"/>
        <v>3.1629488846653966E-2</v>
      </c>
      <c r="CS157" s="432">
        <f t="shared" si="363"/>
        <v>8.0652717051842598E-2</v>
      </c>
      <c r="CT157" s="432">
        <f t="shared" si="363"/>
        <v>3.6695774365151049E-2</v>
      </c>
      <c r="CU157" s="433">
        <f t="shared" ref="CU157" si="364">CU156/CU6</f>
        <v>8.1006003206681818E-2</v>
      </c>
      <c r="CV157" s="432">
        <f t="shared" ref="CV157:CY157" si="365">CV156/CV6</f>
        <v>2.7638197281434993E-2</v>
      </c>
      <c r="CW157" s="432">
        <f t="shared" si="365"/>
        <v>6.6732429108653346E-2</v>
      </c>
      <c r="CX157" s="432">
        <f t="shared" si="365"/>
        <v>4.5329613474246709E-2</v>
      </c>
      <c r="CY157" s="828">
        <f t="shared" si="365"/>
        <v>7.8444749524887156E-2</v>
      </c>
      <c r="DA157" s="432">
        <f t="shared" ref="DA157:EA157" si="366">DA156/DA6</f>
        <v>9.4888087829628621E-4</v>
      </c>
      <c r="DB157" s="432">
        <f t="shared" si="366"/>
        <v>9.3811294337388168E-4</v>
      </c>
      <c r="DC157" s="432">
        <f t="shared" si="366"/>
        <v>-1.1356557532850578E-2</v>
      </c>
      <c r="DD157" s="432">
        <f t="shared" si="366"/>
        <v>1.7922074384779857E-2</v>
      </c>
      <c r="DE157" s="432">
        <f t="shared" si="366"/>
        <v>-5.2983641300749767E-4</v>
      </c>
      <c r="DF157" s="432">
        <f t="shared" si="366"/>
        <v>1.3589405252317143E-2</v>
      </c>
      <c r="DG157" s="432">
        <f t="shared" si="366"/>
        <v>3.0612244897959211E-2</v>
      </c>
      <c r="DH157" s="432">
        <f t="shared" si="366"/>
        <v>4.1307331537575182E-2</v>
      </c>
      <c r="DI157" s="432">
        <f t="shared" si="366"/>
        <v>1.8891338407997404E-2</v>
      </c>
      <c r="DJ157" s="432">
        <f t="shared" si="366"/>
        <v>1.3380581328151276E-2</v>
      </c>
      <c r="DK157" s="432">
        <f t="shared" si="366"/>
        <v>1.4556014150943309E-2</v>
      </c>
      <c r="DL157" s="432">
        <f t="shared" si="366"/>
        <v>-4.330335079189394E-3</v>
      </c>
      <c r="DM157" s="432">
        <f t="shared" si="366"/>
        <v>-4.842130456025712E-3</v>
      </c>
      <c r="DN157" s="432">
        <f t="shared" si="366"/>
        <v>1.6546733354173313E-2</v>
      </c>
      <c r="DO157" s="432">
        <f t="shared" si="366"/>
        <v>6.0705206145683522E-3</v>
      </c>
      <c r="DP157" s="432">
        <f t="shared" si="366"/>
        <v>-3.0186044601421047E-2</v>
      </c>
      <c r="DQ157" s="432">
        <f t="shared" si="366"/>
        <v>3.5852307898215002E-2</v>
      </c>
      <c r="DR157" s="432">
        <f t="shared" si="366"/>
        <v>3.2550418535654962E-2</v>
      </c>
      <c r="DS157" s="432">
        <f t="shared" si="366"/>
        <v>1.8638017436671855E-2</v>
      </c>
      <c r="DT157" s="432">
        <f t="shared" si="366"/>
        <v>2.2144881113711958E-2</v>
      </c>
      <c r="DU157" s="432">
        <f t="shared" si="366"/>
        <v>2.8379956338528696E-2</v>
      </c>
      <c r="DV157" s="432">
        <f t="shared" si="366"/>
        <v>4.3121341577253787E-2</v>
      </c>
      <c r="DW157" s="432">
        <f t="shared" si="366"/>
        <v>5.878992973229296E-2</v>
      </c>
      <c r="DX157" s="432">
        <f t="shared" ca="1" si="366"/>
        <v>5.8073972736600379E-2</v>
      </c>
      <c r="DY157" s="432">
        <f>DY156/DY6</f>
        <v>5.4724270071972107E-2</v>
      </c>
      <c r="DZ157" s="432">
        <f t="shared" si="366"/>
        <v>4.9676880995959863E-2</v>
      </c>
      <c r="EA157" s="432">
        <f t="shared" si="366"/>
        <v>4.6971744919728296E-2</v>
      </c>
      <c r="EB157" s="432">
        <f t="shared" ref="EB157:ED157" si="367">EB156/EB6</f>
        <v>4.4124064954604802E-2</v>
      </c>
      <c r="EC157" s="432">
        <f t="shared" si="367"/>
        <v>4.1729975809414434E-2</v>
      </c>
      <c r="ED157" s="432">
        <f t="shared" si="367"/>
        <v>3.9541184540135776E-2</v>
      </c>
      <c r="EE157" s="260"/>
      <c r="EF157"/>
      <c r="EG157"/>
      <c r="EH157"/>
      <c r="EI157"/>
      <c r="EJ157"/>
      <c r="EK157"/>
    </row>
    <row r="158" spans="1:141" s="271" customFormat="1" ht="15.75" thickBot="1">
      <c r="A158" s="270"/>
      <c r="B158" s="624" t="s">
        <v>281</v>
      </c>
      <c r="C158" s="334"/>
      <c r="D158" s="580">
        <f t="shared" ref="D158:AI158" si="368">D156/D37</f>
        <v>-0.6843137941322035</v>
      </c>
      <c r="E158" s="335">
        <f t="shared" si="368"/>
        <v>0.47818292146583635</v>
      </c>
      <c r="F158" s="335">
        <f t="shared" si="368"/>
        <v>-0.11892365359154704</v>
      </c>
      <c r="G158" s="336">
        <f t="shared" si="368"/>
        <v>0.25516121687226789</v>
      </c>
      <c r="H158" s="335">
        <f t="shared" si="368"/>
        <v>-0.45155720326373128</v>
      </c>
      <c r="I158" s="335">
        <f t="shared" si="368"/>
        <v>-0.31528642073537017</v>
      </c>
      <c r="J158" s="335">
        <f t="shared" si="368"/>
        <v>0.62381446534837393</v>
      </c>
      <c r="K158" s="336">
        <f t="shared" si="368"/>
        <v>0.13926401347339792</v>
      </c>
      <c r="L158" s="335">
        <f t="shared" si="368"/>
        <v>-1.3373249482739853</v>
      </c>
      <c r="M158" s="335">
        <f t="shared" si="368"/>
        <v>0.13468813004135088</v>
      </c>
      <c r="N158" s="335">
        <f t="shared" si="368"/>
        <v>-0.12211207926392333</v>
      </c>
      <c r="O158" s="336">
        <f t="shared" si="368"/>
        <v>0.6604141053367969</v>
      </c>
      <c r="P158" s="335">
        <f t="shared" si="368"/>
        <v>8.6029411764706687E-2</v>
      </c>
      <c r="Q158" s="335">
        <f t="shared" si="368"/>
        <v>0.24597364568081997</v>
      </c>
      <c r="R158" s="335">
        <f t="shared" si="368"/>
        <v>-9.1240875912407413E-2</v>
      </c>
      <c r="S158" s="336">
        <f t="shared" si="368"/>
        <v>0.7222222222222201</v>
      </c>
      <c r="T158" s="335">
        <f t="shared" si="368"/>
        <v>-1.3472222222222234</v>
      </c>
      <c r="U158" s="335">
        <f t="shared" si="368"/>
        <v>0.6081871345029185</v>
      </c>
      <c r="V158" s="335">
        <f t="shared" si="368"/>
        <v>0.43475073313783136</v>
      </c>
      <c r="W158" s="336">
        <f t="shared" si="368"/>
        <v>0.27407407407407869</v>
      </c>
      <c r="X158" s="335">
        <f t="shared" si="368"/>
        <v>0.19277108433734824</v>
      </c>
      <c r="Y158" s="335">
        <f t="shared" si="368"/>
        <v>7.5245365321700022E-2</v>
      </c>
      <c r="Z158" s="335">
        <f t="shared" si="368"/>
        <v>-1.7960741548527825</v>
      </c>
      <c r="AA158" s="336">
        <f t="shared" si="368"/>
        <v>2.4286486486486489</v>
      </c>
      <c r="AB158" s="335">
        <f t="shared" si="368"/>
        <v>-7.0933938938930213E-2</v>
      </c>
      <c r="AC158" s="335">
        <f t="shared" si="368"/>
        <v>1.066376604231241</v>
      </c>
      <c r="AD158" s="335">
        <f t="shared" si="368"/>
        <v>-3.1511030459271366E-2</v>
      </c>
      <c r="AE158" s="336">
        <f t="shared" si="368"/>
        <v>2.336492783925272</v>
      </c>
      <c r="AF158" s="335">
        <f t="shared" si="368"/>
        <v>1.9761172512516629</v>
      </c>
      <c r="AG158" s="335">
        <f t="shared" si="368"/>
        <v>1.2482028784904493</v>
      </c>
      <c r="AH158" s="335">
        <f t="shared" si="368"/>
        <v>0.49112343203887071</v>
      </c>
      <c r="AI158" s="336">
        <f t="shared" si="368"/>
        <v>0.60571794078940178</v>
      </c>
      <c r="AJ158" s="335">
        <f t="shared" ref="AJ158:BO158" si="369">AJ156/AJ37</f>
        <v>0.87020213838239413</v>
      </c>
      <c r="AK158" s="335">
        <f t="shared" si="369"/>
        <v>0.5242674099433533</v>
      </c>
      <c r="AL158" s="335">
        <f t="shared" si="369"/>
        <v>-6.971755424850486E-3</v>
      </c>
      <c r="AM158" s="336">
        <f t="shared" si="369"/>
        <v>0.56444400349379598</v>
      </c>
      <c r="AN158" s="335">
        <f t="shared" si="369"/>
        <v>0.18211967328866202</v>
      </c>
      <c r="AO158" s="335">
        <f t="shared" si="369"/>
        <v>0.64644127386654893</v>
      </c>
      <c r="AP158" s="335">
        <f t="shared" si="369"/>
        <v>0.17205958301427646</v>
      </c>
      <c r="AQ158" s="336">
        <f t="shared" si="369"/>
        <v>0.43593754858817713</v>
      </c>
      <c r="AR158" s="335">
        <f t="shared" si="369"/>
        <v>-0.13597300491452502</v>
      </c>
      <c r="AS158" s="335">
        <f t="shared" si="369"/>
        <v>0.93212305233387527</v>
      </c>
      <c r="AT158" s="335">
        <f t="shared" si="369"/>
        <v>0.27356565841517089</v>
      </c>
      <c r="AU158" s="336">
        <f t="shared" si="369"/>
        <v>0.58592692828146553</v>
      </c>
      <c r="AV158" s="335">
        <f t="shared" si="369"/>
        <v>-7.9330422125181155E-2</v>
      </c>
      <c r="AW158" s="335">
        <f t="shared" si="369"/>
        <v>1.4300012715339439</v>
      </c>
      <c r="AX158" s="335">
        <f t="shared" si="369"/>
        <v>-3.2207072097041247</v>
      </c>
      <c r="AY158" s="336">
        <f t="shared" si="369"/>
        <v>1.3204985119047679</v>
      </c>
      <c r="AZ158" s="335">
        <f t="shared" si="369"/>
        <v>-0.39151578234707141</v>
      </c>
      <c r="BA158" s="335">
        <f t="shared" si="369"/>
        <v>-0.30724988517376761</v>
      </c>
      <c r="BB158" s="335">
        <f t="shared" si="369"/>
        <v>-0.68222813958420681</v>
      </c>
      <c r="BC158" s="336">
        <f t="shared" si="369"/>
        <v>0.69034482758620741</v>
      </c>
      <c r="BD158" s="335">
        <f t="shared" si="369"/>
        <v>-0.45571838907051093</v>
      </c>
      <c r="BE158" s="335">
        <f t="shared" si="369"/>
        <v>1.6003467904162427</v>
      </c>
      <c r="BF158" s="335">
        <f t="shared" si="369"/>
        <v>0.10304676091806449</v>
      </c>
      <c r="BG158" s="336">
        <f t="shared" si="369"/>
        <v>0.44252873563218292</v>
      </c>
      <c r="BH158" s="335">
        <f t="shared" si="369"/>
        <v>0.57707573344253349</v>
      </c>
      <c r="BI158" s="335">
        <f t="shared" si="369"/>
        <v>0.14613498988043941</v>
      </c>
      <c r="BJ158" s="335">
        <f t="shared" si="369"/>
        <v>2.851269796803494E-2</v>
      </c>
      <c r="BK158" s="336">
        <f t="shared" si="369"/>
        <v>-0.22910737386804594</v>
      </c>
      <c r="BL158" s="335">
        <f t="shared" si="369"/>
        <v>-2.306451612903226</v>
      </c>
      <c r="BM158" s="335">
        <f t="shared" si="369"/>
        <v>-0.52309188817866636</v>
      </c>
      <c r="BN158" s="335">
        <f t="shared" si="369"/>
        <v>0.85959491451009429</v>
      </c>
      <c r="BO158" s="336">
        <f t="shared" si="369"/>
        <v>0.10462962962963315</v>
      </c>
      <c r="BP158" s="335">
        <f t="shared" ref="BP158:CT158" si="370">BP156/BP37</f>
        <v>3.7962427270933775E-2</v>
      </c>
      <c r="BQ158" s="335">
        <f t="shared" si="370"/>
        <v>1.7160825670508151</v>
      </c>
      <c r="BR158" s="335">
        <f t="shared" si="370"/>
        <v>0.73197781885397417</v>
      </c>
      <c r="BS158" s="336">
        <f t="shared" si="370"/>
        <v>1.474169741697416</v>
      </c>
      <c r="BT158" s="335">
        <f t="shared" si="370"/>
        <v>0.77356746765249262</v>
      </c>
      <c r="BU158" s="335">
        <f t="shared" si="370"/>
        <v>1.1266294227188081</v>
      </c>
      <c r="BV158" s="335">
        <f t="shared" si="370"/>
        <v>0.60586011342155355</v>
      </c>
      <c r="BW158" s="336">
        <f t="shared" si="370"/>
        <v>1.8479307025986513</v>
      </c>
      <c r="BX158" s="335">
        <f t="shared" si="370"/>
        <v>-0.64867517173699585</v>
      </c>
      <c r="BY158" s="335">
        <f t="shared" si="370"/>
        <v>0.45228628230616236</v>
      </c>
      <c r="BZ158" s="335">
        <f t="shared" si="370"/>
        <v>0.81698685540950389</v>
      </c>
      <c r="CA158" s="336">
        <f t="shared" si="370"/>
        <v>2.1583248212461696</v>
      </c>
      <c r="CB158" s="335">
        <f t="shared" si="370"/>
        <v>-0.36392075078206432</v>
      </c>
      <c r="CC158" s="335">
        <f t="shared" si="370"/>
        <v>0.8633177570093451</v>
      </c>
      <c r="CD158" s="335">
        <f t="shared" si="370"/>
        <v>0.7506112469437668</v>
      </c>
      <c r="CE158" s="336">
        <f t="shared" si="370"/>
        <v>3.1254523522316031</v>
      </c>
      <c r="CF158" s="335">
        <f t="shared" si="370"/>
        <v>-1.8188405797101452</v>
      </c>
      <c r="CG158" s="335">
        <f t="shared" si="370"/>
        <v>1.666666666666667</v>
      </c>
      <c r="CH158" s="335">
        <f t="shared" si="370"/>
        <v>1.7813267813267806</v>
      </c>
      <c r="CI158" s="336">
        <f t="shared" si="370"/>
        <v>4.6007416563658836</v>
      </c>
      <c r="CJ158" s="335">
        <f t="shared" si="370"/>
        <v>-2.091024020227561</v>
      </c>
      <c r="CK158" s="335">
        <f t="shared" si="370"/>
        <v>4.6158770806658147</v>
      </c>
      <c r="CL158" s="335">
        <f t="shared" si="370"/>
        <v>2.108527131782945</v>
      </c>
      <c r="CM158" s="336">
        <f t="shared" si="370"/>
        <v>5.5744125326370719</v>
      </c>
      <c r="CN158" s="335">
        <f t="shared" si="370"/>
        <v>2.6556291390728473</v>
      </c>
      <c r="CO158" s="335">
        <f t="shared" si="370"/>
        <v>5.8917456021650869</v>
      </c>
      <c r="CP158" s="335">
        <f t="shared" si="370"/>
        <v>2.1872399445214969</v>
      </c>
      <c r="CQ158" s="336">
        <f t="shared" si="370"/>
        <v>4.1828410689170186</v>
      </c>
      <c r="CR158" s="335">
        <f t="shared" si="370"/>
        <v>2.248933143669984</v>
      </c>
      <c r="CS158" s="335">
        <f t="shared" si="370"/>
        <v>5.9538904899135439</v>
      </c>
      <c r="CT158" s="335">
        <f t="shared" si="370"/>
        <v>2.6569767441860459</v>
      </c>
      <c r="CU158" s="336">
        <f t="shared" ref="CU158" si="371">CU156/CU37</f>
        <v>6.3430656934306562</v>
      </c>
      <c r="CV158" s="335">
        <f t="shared" ref="CV158:CY158" si="372">CV156/CV37</f>
        <v>2.217567881274638</v>
      </c>
      <c r="CW158" s="335">
        <f t="shared" si="372"/>
        <v>5.552314372513373</v>
      </c>
      <c r="CX158" s="335">
        <f t="shared" si="372"/>
        <v>3.6063758009194888</v>
      </c>
      <c r="CY158" s="587">
        <f t="shared" si="372"/>
        <v>6.4961580796655678</v>
      </c>
      <c r="DA158" s="335">
        <f t="shared" ref="DA158:EA158" si="373">DA156/DA37</f>
        <v>3.1503245531115311E-2</v>
      </c>
      <c r="DB158" s="335">
        <f t="shared" si="373"/>
        <v>4.2120377716588837E-2</v>
      </c>
      <c r="DC158" s="335">
        <f t="shared" si="373"/>
        <v>-0.55617761503555285</v>
      </c>
      <c r="DD158" s="335">
        <f t="shared" si="373"/>
        <v>0.96339677891654485</v>
      </c>
      <c r="DE158" s="335">
        <f t="shared" si="373"/>
        <v>-3.5229357798166057E-2</v>
      </c>
      <c r="DF158" s="335">
        <f t="shared" si="373"/>
        <v>0.91993464052287199</v>
      </c>
      <c r="DG158" s="335">
        <f t="shared" si="373"/>
        <v>3.2715145672615518</v>
      </c>
      <c r="DH158" s="335">
        <f t="shared" si="373"/>
        <v>4.3083495906930143</v>
      </c>
      <c r="DI158" s="335">
        <f t="shared" si="373"/>
        <v>1.9401942906290597</v>
      </c>
      <c r="DJ158" s="335">
        <f t="shared" si="373"/>
        <v>1.4363297321154362</v>
      </c>
      <c r="DK158" s="335">
        <f t="shared" si="373"/>
        <v>1.6518793399533824</v>
      </c>
      <c r="DL158" s="335">
        <f t="shared" si="373"/>
        <v>-0.54806717385887993</v>
      </c>
      <c r="DM158" s="335">
        <f t="shared" si="373"/>
        <v>-0.6279078666655894</v>
      </c>
      <c r="DN158" s="335">
        <f t="shared" si="373"/>
        <v>1.6922054520434011</v>
      </c>
      <c r="DO158" s="335">
        <f t="shared" si="373"/>
        <v>0.52939463383030039</v>
      </c>
      <c r="DP158" s="335">
        <f t="shared" si="373"/>
        <v>-2.0519523413967988</v>
      </c>
      <c r="DQ158" s="335">
        <f t="shared" si="373"/>
        <v>3.9621299874640195</v>
      </c>
      <c r="DR158" s="335">
        <f t="shared" si="373"/>
        <v>4.333881965671285</v>
      </c>
      <c r="DS158" s="335">
        <f t="shared" si="373"/>
        <v>2.7197595792637008</v>
      </c>
      <c r="DT158" s="335">
        <f t="shared" si="373"/>
        <v>4.1536683997689181</v>
      </c>
      <c r="DU158" s="335">
        <f t="shared" si="373"/>
        <v>6.1541284403669705</v>
      </c>
      <c r="DV158" s="335">
        <f t="shared" si="373"/>
        <v>10.093830334190228</v>
      </c>
      <c r="DW158" s="335">
        <f t="shared" si="373"/>
        <v>14.914559125085436</v>
      </c>
      <c r="DX158" s="335">
        <f t="shared" ca="1" si="373"/>
        <v>17.163898916967508</v>
      </c>
      <c r="DY158" s="335">
        <f>DY156/DY37</f>
        <v>17.828770851259414</v>
      </c>
      <c r="DZ158" s="335">
        <f t="shared" si="373"/>
        <v>18.010795356840276</v>
      </c>
      <c r="EA158" s="335">
        <f t="shared" si="373"/>
        <v>19.044021105858103</v>
      </c>
      <c r="EB158" s="335">
        <f t="shared" ref="EB158:ED158" si="374">EB156/EB37</f>
        <v>19.90841883036185</v>
      </c>
      <c r="EC158" s="335">
        <f t="shared" si="374"/>
        <v>20.713975688520541</v>
      </c>
      <c r="ED158" s="335">
        <f t="shared" si="374"/>
        <v>21.31534217611793</v>
      </c>
      <c r="EE158" s="126"/>
      <c r="EF158"/>
      <c r="EG158"/>
      <c r="EH158"/>
      <c r="EI158"/>
      <c r="EJ158"/>
      <c r="EK158"/>
    </row>
    <row r="159" spans="1:141" s="265" customFormat="1">
      <c r="A159" s="258"/>
      <c r="B159" s="304" t="s">
        <v>240</v>
      </c>
      <c r="C159" s="435"/>
      <c r="D159" s="598"/>
      <c r="E159" s="432"/>
      <c r="F159" s="432"/>
      <c r="G159" s="433"/>
      <c r="H159" s="432">
        <f>H158/D158-1</f>
        <v>-0.34013137374154068</v>
      </c>
      <c r="I159" s="432">
        <f t="shared" ref="I159:BT159" si="375">I158/E158-1</f>
        <v>-1.6593427046053457</v>
      </c>
      <c r="J159" s="432">
        <f t="shared" si="375"/>
        <v>-6.2455037035013694</v>
      </c>
      <c r="K159" s="433">
        <f t="shared" si="375"/>
        <v>-0.45421167377833671</v>
      </c>
      <c r="L159" s="432">
        <f t="shared" si="375"/>
        <v>1.9615847972486504</v>
      </c>
      <c r="M159" s="432">
        <f t="shared" si="375"/>
        <v>-1.4271929305651856</v>
      </c>
      <c r="N159" s="432">
        <f t="shared" si="375"/>
        <v>-1.1957506374843823</v>
      </c>
      <c r="O159" s="433">
        <f t="shared" si="375"/>
        <v>3.7421734363770049</v>
      </c>
      <c r="P159" s="432">
        <f t="shared" si="375"/>
        <v>-1.0643294749535184</v>
      </c>
      <c r="Q159" s="432">
        <f t="shared" si="375"/>
        <v>0.82624590307477797</v>
      </c>
      <c r="R159" s="432">
        <f t="shared" si="375"/>
        <v>-0.25281039793609072</v>
      </c>
      <c r="S159" s="433">
        <f t="shared" si="375"/>
        <v>9.3589940593262089E-2</v>
      </c>
      <c r="T159" s="432">
        <f t="shared" si="375"/>
        <v>-16.660018993352196</v>
      </c>
      <c r="U159" s="432">
        <f t="shared" si="375"/>
        <v>1.4725703146755551</v>
      </c>
      <c r="V159" s="432">
        <f t="shared" si="375"/>
        <v>-5.7648680351907018</v>
      </c>
      <c r="W159" s="433">
        <f t="shared" si="375"/>
        <v>-0.62051282051281298</v>
      </c>
      <c r="X159" s="432">
        <f t="shared" si="375"/>
        <v>-1.1430878151782378</v>
      </c>
      <c r="Y159" s="432">
        <f t="shared" si="375"/>
        <v>-0.87627925509604987</v>
      </c>
      <c r="Z159" s="432">
        <f t="shared" si="375"/>
        <v>-5.1312734354455101</v>
      </c>
      <c r="AA159" s="433">
        <f t="shared" si="375"/>
        <v>7.8612856099341109</v>
      </c>
      <c r="AB159" s="432">
        <f t="shared" si="375"/>
        <v>-1.3679698082457028</v>
      </c>
      <c r="AC159" s="432">
        <f t="shared" si="375"/>
        <v>13.171990522899469</v>
      </c>
      <c r="AD159" s="432">
        <f t="shared" si="375"/>
        <v>-0.98245560720634373</v>
      </c>
      <c r="AE159" s="433">
        <f t="shared" si="375"/>
        <v>-3.7945326004506397E-2</v>
      </c>
      <c r="AF159" s="432">
        <f t="shared" si="375"/>
        <v>-28.858557988059555</v>
      </c>
      <c r="AG159" s="432">
        <f t="shared" si="375"/>
        <v>0.1705084990966097</v>
      </c>
      <c r="AH159" s="432">
        <f t="shared" si="375"/>
        <v>-16.585762346733077</v>
      </c>
      <c r="AI159" s="433">
        <f t="shared" si="375"/>
        <v>-0.74075762400951861</v>
      </c>
      <c r="AJ159" s="432">
        <f t="shared" si="375"/>
        <v>-0.55964043235227445</v>
      </c>
      <c r="AK159" s="432">
        <f t="shared" si="375"/>
        <v>-0.57998221364671787</v>
      </c>
      <c r="AL159" s="432">
        <f t="shared" si="375"/>
        <v>-1.0141955259514042</v>
      </c>
      <c r="AM159" s="433">
        <f t="shared" si="375"/>
        <v>-6.8140523032577782E-2</v>
      </c>
      <c r="AN159" s="432">
        <f t="shared" si="375"/>
        <v>-0.79071566793986325</v>
      </c>
      <c r="AO159" s="432">
        <f t="shared" si="375"/>
        <v>0.2330373042573759</v>
      </c>
      <c r="AP159" s="432">
        <f t="shared" si="375"/>
        <v>-25.679520799163203</v>
      </c>
      <c r="AQ159" s="433">
        <f t="shared" si="375"/>
        <v>-0.22766909402914992</v>
      </c>
      <c r="AR159" s="432">
        <f t="shared" si="375"/>
        <v>-1.7466134902351054</v>
      </c>
      <c r="AS159" s="432">
        <f t="shared" si="375"/>
        <v>0.44192997881862106</v>
      </c>
      <c r="AT159" s="432">
        <f t="shared" si="375"/>
        <v>0.58994723585068831</v>
      </c>
      <c r="AU159" s="433">
        <f t="shared" si="375"/>
        <v>0.3440616211634957</v>
      </c>
      <c r="AV159" s="432">
        <f t="shared" si="375"/>
        <v>-0.41657226612701814</v>
      </c>
      <c r="AW159" s="432">
        <f t="shared" si="375"/>
        <v>0.53413357598384392</v>
      </c>
      <c r="AX159" s="432">
        <f t="shared" si="375"/>
        <v>-12.773068404720192</v>
      </c>
      <c r="AY159" s="433">
        <f t="shared" si="375"/>
        <v>1.2536914556526941</v>
      </c>
      <c r="AZ159" s="432">
        <f t="shared" si="375"/>
        <v>3.9352539903200139</v>
      </c>
      <c r="BA159" s="432">
        <f t="shared" si="375"/>
        <v>-1.2148598685119942</v>
      </c>
      <c r="BB159" s="432">
        <f t="shared" si="375"/>
        <v>-0.7881744302839373</v>
      </c>
      <c r="BC159" s="433">
        <f t="shared" si="375"/>
        <v>-0.47720893180681301</v>
      </c>
      <c r="BD159" s="432">
        <f t="shared" si="375"/>
        <v>0.16398472199142433</v>
      </c>
      <c r="BE159" s="432">
        <f t="shared" si="375"/>
        <v>-6.2086163987047671</v>
      </c>
      <c r="BF159" s="432">
        <f t="shared" si="375"/>
        <v>-1.1510444306516991</v>
      </c>
      <c r="BG159" s="433">
        <f t="shared" si="375"/>
        <v>-0.35897435897436092</v>
      </c>
      <c r="BH159" s="432">
        <f t="shared" si="375"/>
        <v>-2.2662989848172348</v>
      </c>
      <c r="BI159" s="432">
        <f t="shared" si="375"/>
        <v>-0.90868542321228363</v>
      </c>
      <c r="BJ159" s="432">
        <f t="shared" si="375"/>
        <v>-0.72330330702285517</v>
      </c>
      <c r="BK159" s="433">
        <f t="shared" si="375"/>
        <v>-1.5177231565329881</v>
      </c>
      <c r="BL159" s="432">
        <f t="shared" si="375"/>
        <v>-4.9967918927107471</v>
      </c>
      <c r="BM159" s="432">
        <f t="shared" si="375"/>
        <v>-4.5795115776627817</v>
      </c>
      <c r="BN159" s="432">
        <f t="shared" si="375"/>
        <v>29.147792940316286</v>
      </c>
      <c r="BO159" s="433">
        <f t="shared" si="375"/>
        <v>-1.4566838153794841</v>
      </c>
      <c r="BP159" s="432">
        <f t="shared" si="375"/>
        <v>-1.0164592342013838</v>
      </c>
      <c r="BQ159" s="432">
        <f t="shared" si="375"/>
        <v>-4.2806522254167945</v>
      </c>
      <c r="BR159" s="432">
        <f t="shared" si="375"/>
        <v>-0.14846190164916517</v>
      </c>
      <c r="BS159" s="433">
        <f t="shared" si="375"/>
        <v>13.089409920647395</v>
      </c>
      <c r="BT159" s="432">
        <f t="shared" si="375"/>
        <v>19.377186688607249</v>
      </c>
      <c r="BU159" s="432">
        <f t="shared" ref="BU159:CY159" si="376">BU158/BQ158-1</f>
        <v>-0.34348763611357902</v>
      </c>
      <c r="BV159" s="432">
        <f t="shared" si="376"/>
        <v>-0.1722971682801504</v>
      </c>
      <c r="BW159" s="433">
        <f t="shared" si="376"/>
        <v>0.25353997598056277</v>
      </c>
      <c r="BX159" s="432">
        <f t="shared" si="376"/>
        <v>-1.8385502220064898</v>
      </c>
      <c r="BY159" s="432">
        <f t="shared" si="376"/>
        <v>-0.59854920066378647</v>
      </c>
      <c r="BZ159" s="432">
        <f t="shared" si="376"/>
        <v>0.34847440409243391</v>
      </c>
      <c r="CA159" s="433">
        <f t="shared" si="376"/>
        <v>0.16796848399727704</v>
      </c>
      <c r="CB159" s="432">
        <f t="shared" si="376"/>
        <v>-0.4389784492482236</v>
      </c>
      <c r="CC159" s="432">
        <f t="shared" si="376"/>
        <v>0.90878607373934606</v>
      </c>
      <c r="CD159" s="432">
        <f t="shared" si="376"/>
        <v>-8.1244401946304445E-2</v>
      </c>
      <c r="CE159" s="433">
        <f t="shared" si="376"/>
        <v>0.44809174294119236</v>
      </c>
      <c r="CF159" s="432">
        <f t="shared" si="376"/>
        <v>3.9979029110086843</v>
      </c>
      <c r="CG159" s="432">
        <f t="shared" si="376"/>
        <v>0.93053676138926678</v>
      </c>
      <c r="CH159" s="432">
        <f t="shared" si="376"/>
        <v>1.3731682526470741</v>
      </c>
      <c r="CI159" s="433">
        <f t="shared" si="376"/>
        <v>0.47202425053157815</v>
      </c>
      <c r="CJ159" s="432">
        <f t="shared" si="376"/>
        <v>0.14964667247571062</v>
      </c>
      <c r="CK159" s="432">
        <f t="shared" si="376"/>
        <v>1.7695262483994885</v>
      </c>
      <c r="CL159" s="432">
        <f t="shared" si="376"/>
        <v>0.18368350708366754</v>
      </c>
      <c r="CM159" s="433">
        <f t="shared" si="376"/>
        <v>0.21163346021047591</v>
      </c>
      <c r="CN159" s="432">
        <f t="shared" si="376"/>
        <v>-2.270013693474378</v>
      </c>
      <c r="CO159" s="432">
        <f t="shared" si="376"/>
        <v>0.27640868662716533</v>
      </c>
      <c r="CP159" s="432">
        <f t="shared" si="376"/>
        <v>3.733070898262203E-2</v>
      </c>
      <c r="CQ159" s="433">
        <f t="shared" si="376"/>
        <v>-0.2496355365830355</v>
      </c>
      <c r="CR159" s="432">
        <f t="shared" si="376"/>
        <v>-0.15314487607439498</v>
      </c>
      <c r="CS159" s="432">
        <f t="shared" si="376"/>
        <v>1.0547788710636219E-2</v>
      </c>
      <c r="CT159" s="432">
        <f t="shared" si="376"/>
        <v>0.21476235419032341</v>
      </c>
      <c r="CU159" s="433">
        <f t="shared" si="376"/>
        <v>0.51644912845635371</v>
      </c>
      <c r="CV159" s="863">
        <f t="shared" si="376"/>
        <v>-1.3946729578702244E-2</v>
      </c>
      <c r="CW159" s="863">
        <f t="shared" si="376"/>
        <v>-6.7447682835362732E-2</v>
      </c>
      <c r="CX159" s="863">
        <f t="shared" si="376"/>
        <v>0.3573230585517555</v>
      </c>
      <c r="CY159" s="830">
        <f t="shared" si="376"/>
        <v>2.4135393457057397E-2</v>
      </c>
      <c r="DA159" s="432"/>
      <c r="DB159" s="432">
        <f>DB158/DA158-1</f>
        <v>0.3370170916195645</v>
      </c>
      <c r="DC159" s="432">
        <f t="shared" ref="DC159:ED159" si="377">DC158/DB158-1</f>
        <v>-14.204478335352295</v>
      </c>
      <c r="DD159" s="432">
        <f t="shared" si="377"/>
        <v>-2.7321746738314183</v>
      </c>
      <c r="DE159" s="432">
        <f t="shared" si="377"/>
        <v>-1.0365678592342666</v>
      </c>
      <c r="DF159" s="432">
        <f t="shared" si="377"/>
        <v>-27.112728077341259</v>
      </c>
      <c r="DG159" s="432">
        <f t="shared" si="377"/>
        <v>2.5562467409663907</v>
      </c>
      <c r="DH159" s="432">
        <f t="shared" si="377"/>
        <v>0.31692813897489502</v>
      </c>
      <c r="DI159" s="432">
        <f t="shared" si="377"/>
        <v>-0.54966646745187364</v>
      </c>
      <c r="DJ159" s="432">
        <f t="shared" si="377"/>
        <v>-0.25969799052973086</v>
      </c>
      <c r="DK159" s="432">
        <f t="shared" si="377"/>
        <v>0.15006972495130566</v>
      </c>
      <c r="DL159" s="432">
        <f t="shared" si="377"/>
        <v>-1.3317840235681784</v>
      </c>
      <c r="DM159" s="432">
        <f t="shared" si="377"/>
        <v>0.14567683783095431</v>
      </c>
      <c r="DN159" s="432">
        <f t="shared" si="377"/>
        <v>-3.6949900485076013</v>
      </c>
      <c r="DO159" s="432">
        <f t="shared" si="377"/>
        <v>-0.68715699787455675</v>
      </c>
      <c r="DP159" s="432">
        <f t="shared" si="377"/>
        <v>-4.8760354001898714</v>
      </c>
      <c r="DQ159" s="432">
        <f t="shared" si="377"/>
        <v>-2.9309074131648352</v>
      </c>
      <c r="DR159" s="432">
        <f t="shared" si="377"/>
        <v>9.3826295296588036E-2</v>
      </c>
      <c r="DS159" s="432">
        <f t="shared" si="377"/>
        <v>-0.37244262746264456</v>
      </c>
      <c r="DT159" s="432">
        <f t="shared" si="377"/>
        <v>0.52721896135150592</v>
      </c>
      <c r="DU159" s="432">
        <f t="shared" si="377"/>
        <v>0.48161284148473293</v>
      </c>
      <c r="DV159" s="432">
        <f t="shared" si="377"/>
        <v>0.64017219204939657</v>
      </c>
      <c r="DW159" s="432">
        <f t="shared" si="377"/>
        <v>0.47759162094950636</v>
      </c>
      <c r="DX159" s="432">
        <f t="shared" ca="1" si="377"/>
        <v>0.15081503737504454</v>
      </c>
      <c r="DY159" s="432">
        <f ca="1">DY158/DX158-1</f>
        <v>3.8736649377178578E-2</v>
      </c>
      <c r="DZ159" s="432">
        <f t="shared" si="377"/>
        <v>1.0209593644982196E-2</v>
      </c>
      <c r="EA159" s="432">
        <f t="shared" si="377"/>
        <v>5.7367025083954415E-2</v>
      </c>
      <c r="EB159" s="432">
        <f t="shared" si="377"/>
        <v>4.5389454238624616E-2</v>
      </c>
      <c r="EC159" s="432">
        <f t="shared" si="377"/>
        <v>4.0463125927919341E-2</v>
      </c>
      <c r="ED159" s="432">
        <f t="shared" si="377"/>
        <v>2.9031920121961985E-2</v>
      </c>
      <c r="EE159" s="260"/>
      <c r="EF159"/>
      <c r="EG159"/>
      <c r="EH159"/>
      <c r="EI159"/>
      <c r="EJ159"/>
      <c r="EK159"/>
    </row>
    <row r="160" spans="1:141" s="137" customFormat="1">
      <c r="A160" s="193"/>
      <c r="B160" s="199"/>
      <c r="C160" s="199"/>
      <c r="D160" s="223"/>
      <c r="E160" s="199"/>
      <c r="F160" s="199"/>
      <c r="G160" s="211"/>
      <c r="H160" s="199"/>
      <c r="I160" s="199"/>
      <c r="J160" s="199"/>
      <c r="K160" s="211"/>
      <c r="L160" s="199"/>
      <c r="M160" s="199"/>
      <c r="N160" s="199"/>
      <c r="O160" s="211"/>
      <c r="P160" s="199"/>
      <c r="Q160" s="199"/>
      <c r="R160" s="199"/>
      <c r="S160" s="211"/>
      <c r="T160" s="199"/>
      <c r="U160" s="199"/>
      <c r="V160" s="199"/>
      <c r="W160" s="211"/>
      <c r="X160" s="199"/>
      <c r="Y160" s="199"/>
      <c r="Z160" s="199"/>
      <c r="AA160" s="211"/>
      <c r="AB160" s="199"/>
      <c r="AC160" s="199"/>
      <c r="AD160" s="199"/>
      <c r="AE160" s="211"/>
      <c r="AF160" s="199"/>
      <c r="AG160" s="199"/>
      <c r="AH160" s="199"/>
      <c r="AI160" s="211"/>
      <c r="AJ160" s="199"/>
      <c r="AK160" s="199"/>
      <c r="AL160" s="199"/>
      <c r="AM160" s="211"/>
      <c r="AN160" s="233"/>
      <c r="AO160" s="233"/>
      <c r="AP160" s="233"/>
      <c r="AQ160" s="232"/>
      <c r="AR160" s="233"/>
      <c r="AS160" s="233"/>
      <c r="AT160" s="233"/>
      <c r="AU160" s="232"/>
      <c r="AV160" s="233"/>
      <c r="AW160" s="233"/>
      <c r="AX160" s="233"/>
      <c r="AY160" s="232"/>
      <c r="AZ160" s="233"/>
      <c r="BA160" s="233"/>
      <c r="BB160" s="233"/>
      <c r="BC160" s="232"/>
      <c r="BD160" s="233"/>
      <c r="BE160" s="233"/>
      <c r="BF160" s="233"/>
      <c r="BG160" s="232"/>
      <c r="BH160" s="233"/>
      <c r="BI160" s="233"/>
      <c r="BJ160" s="233"/>
      <c r="BK160" s="232"/>
      <c r="BL160" s="233"/>
      <c r="BM160" s="233"/>
      <c r="BN160" s="233"/>
      <c r="BO160" s="232"/>
      <c r="BP160" s="233"/>
      <c r="BQ160" s="233"/>
      <c r="BR160" s="233"/>
      <c r="BS160" s="232"/>
      <c r="BT160" s="199"/>
      <c r="BU160" s="199"/>
      <c r="BV160" s="199"/>
      <c r="BW160" s="211"/>
      <c r="BX160" s="199"/>
      <c r="BY160" s="199"/>
      <c r="BZ160" s="199"/>
      <c r="CA160" s="211"/>
      <c r="CB160" s="226"/>
      <c r="CC160" s="199"/>
      <c r="CD160" s="199"/>
      <c r="CE160" s="211"/>
      <c r="CF160" s="226"/>
      <c r="CG160" s="199"/>
      <c r="CH160" s="199"/>
      <c r="CI160" s="211"/>
      <c r="CJ160" s="226"/>
      <c r="CK160" s="226"/>
      <c r="CL160" s="226"/>
      <c r="CM160" s="224"/>
      <c r="CN160" s="228"/>
      <c r="CO160" s="228"/>
      <c r="CP160" s="228"/>
      <c r="CQ160" s="224"/>
      <c r="CR160" s="228"/>
      <c r="CS160" s="228"/>
      <c r="CT160" s="228"/>
      <c r="CU160" s="227"/>
      <c r="CV160" s="228"/>
      <c r="CW160" s="228"/>
      <c r="CX160" s="228"/>
      <c r="CY160" s="227"/>
      <c r="DA160" s="558"/>
      <c r="DB160" s="558"/>
      <c r="DC160" s="558"/>
      <c r="DD160" s="558"/>
      <c r="DE160" s="558"/>
      <c r="DF160" s="558"/>
      <c r="DG160" s="558"/>
      <c r="DH160" s="558"/>
      <c r="DI160" s="558"/>
      <c r="DJ160" s="558"/>
      <c r="DK160" s="558"/>
      <c r="DL160" s="558"/>
      <c r="DM160" s="558"/>
      <c r="DN160" s="558"/>
      <c r="DO160" s="558"/>
      <c r="DP160" s="558"/>
      <c r="DQ160" s="558"/>
      <c r="DR160" s="558"/>
      <c r="DS160" s="558"/>
      <c r="DT160" s="226"/>
      <c r="DU160" s="226"/>
      <c r="DV160" s="566"/>
      <c r="DW160" s="566"/>
      <c r="DX160" s="199"/>
      <c r="DY160" s="199"/>
      <c r="DZ160" s="199"/>
      <c r="EA160" s="199"/>
      <c r="EB160" s="199"/>
      <c r="EC160" s="199"/>
      <c r="ED160" s="199"/>
      <c r="EE160" s="199"/>
      <c r="EF160"/>
      <c r="EG160"/>
      <c r="EH160"/>
      <c r="EI160"/>
      <c r="EJ160"/>
      <c r="EK160"/>
    </row>
    <row r="161" spans="1:141">
      <c r="A161" s="133"/>
      <c r="B161" s="120" t="s">
        <v>293</v>
      </c>
      <c r="C161" s="111"/>
      <c r="D161" s="140"/>
      <c r="E161" s="111"/>
      <c r="F161" s="111"/>
      <c r="G161" s="141"/>
      <c r="H161" s="111"/>
      <c r="I161" s="111"/>
      <c r="J161" s="111"/>
      <c r="K161" s="141"/>
      <c r="L161" s="111"/>
      <c r="M161" s="111"/>
      <c r="N161" s="111"/>
      <c r="O161" s="141"/>
      <c r="P161" s="111"/>
      <c r="Q161" s="111"/>
      <c r="R161" s="111"/>
      <c r="S161" s="141"/>
      <c r="T161" s="111"/>
      <c r="U161" s="111"/>
      <c r="V161" s="111"/>
      <c r="W161" s="141"/>
      <c r="X161" s="111"/>
      <c r="Y161" s="111"/>
      <c r="Z161" s="111"/>
      <c r="AA161" s="141"/>
      <c r="AB161" s="111"/>
      <c r="AC161" s="111"/>
      <c r="AD161" s="111"/>
      <c r="AE161" s="141"/>
      <c r="AF161" s="111"/>
      <c r="AG161" s="111"/>
      <c r="AH161" s="111"/>
      <c r="AI161" s="141"/>
      <c r="AJ161" s="111"/>
      <c r="AK161" s="111"/>
      <c r="AL161" s="111"/>
      <c r="AM161" s="141"/>
      <c r="AN161" s="125"/>
      <c r="AO161" s="125"/>
      <c r="AP161" s="125"/>
      <c r="AQ161" s="149"/>
      <c r="AR161" s="125"/>
      <c r="AS161" s="125"/>
      <c r="AT161" s="125"/>
      <c r="AU161" s="149"/>
      <c r="AV161" s="125"/>
      <c r="AW161" s="125"/>
      <c r="AX161" s="125"/>
      <c r="AY161" s="149"/>
      <c r="AZ161" s="125"/>
      <c r="BA161" s="125"/>
      <c r="BB161" s="125"/>
      <c r="BC161" s="149"/>
      <c r="BD161" s="125"/>
      <c r="BE161" s="125"/>
      <c r="BF161" s="125"/>
      <c r="BG161" s="149"/>
      <c r="BH161" s="125"/>
      <c r="BI161" s="125"/>
      <c r="BJ161" s="125"/>
      <c r="BK161" s="149"/>
      <c r="BL161" s="125"/>
      <c r="BM161" s="125"/>
      <c r="BN161" s="125"/>
      <c r="BO161" s="149"/>
      <c r="BP161" s="125"/>
      <c r="BQ161" s="125"/>
      <c r="BR161" s="125"/>
      <c r="BS161" s="149"/>
      <c r="BT161" s="125"/>
      <c r="BU161" s="125"/>
      <c r="BV161" s="125"/>
      <c r="BW161" s="149"/>
      <c r="BX161" s="125"/>
      <c r="BY161" s="125"/>
      <c r="BZ161" s="125"/>
      <c r="CA161" s="149"/>
      <c r="CB161" s="125"/>
      <c r="CC161" s="125"/>
      <c r="CD161" s="125"/>
      <c r="CE161" s="149"/>
      <c r="CF161" s="125"/>
      <c r="CG161" s="125"/>
      <c r="CH161" s="125"/>
      <c r="CI161" s="149"/>
      <c r="CJ161" s="125"/>
      <c r="CK161" s="125"/>
      <c r="CL161" s="125"/>
      <c r="CM161" s="153"/>
      <c r="CN161" s="125"/>
      <c r="CO161" s="125"/>
      <c r="CP161" s="125"/>
      <c r="CQ161" s="153"/>
      <c r="CR161" s="125"/>
      <c r="CS161" s="125"/>
      <c r="CT161" s="125"/>
      <c r="CU161" s="149"/>
      <c r="CV161" s="125"/>
      <c r="CW161" s="125"/>
      <c r="CX161" s="125"/>
      <c r="CY161" s="149"/>
      <c r="DA161" s="567"/>
      <c r="DB161" s="567"/>
      <c r="DC161" s="567"/>
      <c r="DD161" s="567"/>
      <c r="DE161" s="567"/>
      <c r="DF161" s="567"/>
      <c r="DG161" s="567"/>
      <c r="DH161" s="567"/>
      <c r="DI161" s="567"/>
      <c r="DJ161" s="567"/>
      <c r="DK161" s="567"/>
      <c r="DL161" s="567"/>
      <c r="DM161" s="567"/>
      <c r="DN161" s="567"/>
      <c r="DO161" s="567"/>
      <c r="DP161" s="567"/>
      <c r="DQ161" s="567"/>
      <c r="DR161" s="567"/>
      <c r="DS161" s="567"/>
      <c r="DT161" s="567"/>
      <c r="DU161" s="567"/>
      <c r="DV161" s="567"/>
      <c r="DW161" s="567"/>
      <c r="DX161" s="567"/>
      <c r="DY161" s="567"/>
      <c r="DZ161" s="111"/>
      <c r="EA161" s="111"/>
      <c r="EB161" s="111"/>
      <c r="EC161" s="111"/>
      <c r="ED161" s="111"/>
      <c r="EE161" s="111"/>
    </row>
    <row r="162" spans="1:141" s="255" customFormat="1">
      <c r="A162" s="253"/>
      <c r="B162" s="337" t="s">
        <v>294</v>
      </c>
      <c r="C162" s="254"/>
      <c r="D162" s="267"/>
      <c r="E162" s="268"/>
      <c r="F162" s="268"/>
      <c r="G162" s="269"/>
      <c r="H162" s="268">
        <f t="shared" ref="H162:AM162" si="378">-H133*4/H101</f>
        <v>5.5340321441124621E-2</v>
      </c>
      <c r="I162" s="268">
        <f t="shared" si="378"/>
        <v>4.3391334478881646E-2</v>
      </c>
      <c r="J162" s="268">
        <f t="shared" si="378"/>
        <v>3.914711288520073E-2</v>
      </c>
      <c r="K162" s="269">
        <f t="shared" si="378"/>
        <v>5.2609774674386253E-2</v>
      </c>
      <c r="L162" s="268">
        <f t="shared" si="378"/>
        <v>3.0425143699118449E-2</v>
      </c>
      <c r="M162" s="268">
        <f t="shared" si="378"/>
        <v>5.0220270247182092E-2</v>
      </c>
      <c r="N162" s="268">
        <f t="shared" si="378"/>
        <v>3.8430333363795609E-2</v>
      </c>
      <c r="O162" s="269">
        <f t="shared" si="378"/>
        <v>3.2203265169563705E-2</v>
      </c>
      <c r="P162" s="268">
        <f t="shared" si="378"/>
        <v>1.9855952979154295E-2</v>
      </c>
      <c r="Q162" s="268">
        <f t="shared" si="378"/>
        <v>2.5044564592878502E-2</v>
      </c>
      <c r="R162" s="268">
        <f t="shared" si="378"/>
        <v>6.5392732213581564E-2</v>
      </c>
      <c r="S162" s="269">
        <f t="shared" si="378"/>
        <v>4.0746843890016204E-2</v>
      </c>
      <c r="T162" s="268">
        <f t="shared" si="378"/>
        <v>2.519932035028101E-2</v>
      </c>
      <c r="U162" s="268">
        <f t="shared" si="378"/>
        <v>3.8463946310741605E-2</v>
      </c>
      <c r="V162" s="268">
        <f t="shared" si="378"/>
        <v>5.3897050847866175E-2</v>
      </c>
      <c r="W162" s="269">
        <f t="shared" si="378"/>
        <v>5.0599377442214703E-2</v>
      </c>
      <c r="X162" s="268">
        <f t="shared" si="378"/>
        <v>2.9481702609501257E-2</v>
      </c>
      <c r="Y162" s="268">
        <f t="shared" si="378"/>
        <v>3.3787860504404486E-2</v>
      </c>
      <c r="Z162" s="268">
        <f t="shared" si="378"/>
        <v>3.1802447508274871E-2</v>
      </c>
      <c r="AA162" s="269">
        <f t="shared" si="378"/>
        <v>4.3254376930998963E-2</v>
      </c>
      <c r="AB162" s="268">
        <f t="shared" si="378"/>
        <v>2.5216473384661951E-2</v>
      </c>
      <c r="AC162" s="268">
        <f t="shared" si="378"/>
        <v>2.1599346335571423E-2</v>
      </c>
      <c r="AD162" s="268">
        <f t="shared" si="378"/>
        <v>1.8741312032966646E-2</v>
      </c>
      <c r="AE162" s="269">
        <f t="shared" si="378"/>
        <v>2.6860326303223242E-2</v>
      </c>
      <c r="AF162" s="268">
        <f t="shared" si="378"/>
        <v>1.4755324479170447E-2</v>
      </c>
      <c r="AG162" s="268">
        <f t="shared" si="378"/>
        <v>1.0837561401834164E-2</v>
      </c>
      <c r="AH162" s="268">
        <f t="shared" si="378"/>
        <v>2.0527319447205476E-2</v>
      </c>
      <c r="AI162" s="269">
        <f t="shared" si="378"/>
        <v>3.2176855270207784E-2</v>
      </c>
      <c r="AJ162" s="268">
        <f t="shared" si="378"/>
        <v>1.3532810474746809E-2</v>
      </c>
      <c r="AK162" s="268">
        <f t="shared" si="378"/>
        <v>1.6273440040466814E-2</v>
      </c>
      <c r="AL162" s="268">
        <f t="shared" si="378"/>
        <v>2.0129076280101219E-2</v>
      </c>
      <c r="AM162" s="269">
        <f t="shared" si="378"/>
        <v>2.7536292167547112E-2</v>
      </c>
      <c r="AN162" s="268">
        <f t="shared" ref="AN162:BS162" si="379">-AN133*4/AN101</f>
        <v>1.9014517841324793E-2</v>
      </c>
      <c r="AO162" s="268">
        <f t="shared" si="379"/>
        <v>1.7751048172900512E-2</v>
      </c>
      <c r="AP162" s="268">
        <f t="shared" si="379"/>
        <v>2.0168111304895153E-2</v>
      </c>
      <c r="AQ162" s="269">
        <f t="shared" si="379"/>
        <v>4.0999066471070135E-2</v>
      </c>
      <c r="AR162" s="268">
        <f t="shared" si="379"/>
        <v>1.8922772810447915E-2</v>
      </c>
      <c r="AS162" s="268">
        <f t="shared" si="379"/>
        <v>2.7912775602345834E-2</v>
      </c>
      <c r="AT162" s="268">
        <f t="shared" si="379"/>
        <v>2.1524939158377238E-2</v>
      </c>
      <c r="AU162" s="269">
        <f t="shared" si="379"/>
        <v>3.4268867924528303E-2</v>
      </c>
      <c r="AV162" s="268">
        <f t="shared" si="379"/>
        <v>3.089429923778941E-2</v>
      </c>
      <c r="AW162" s="268">
        <f t="shared" si="379"/>
        <v>3.5454610046657037E-2</v>
      </c>
      <c r="AX162" s="268">
        <f t="shared" si="379"/>
        <v>3.1852986217457885E-2</v>
      </c>
      <c r="AY162" s="269">
        <f t="shared" si="379"/>
        <v>3.6056904862183527E-2</v>
      </c>
      <c r="AZ162" s="268">
        <f t="shared" si="379"/>
        <v>2.1180601222573578E-2</v>
      </c>
      <c r="BA162" s="268">
        <f t="shared" si="379"/>
        <v>2.0605640262660388E-2</v>
      </c>
      <c r="BB162" s="268">
        <f t="shared" si="379"/>
        <v>1.8661930663578616E-2</v>
      </c>
      <c r="BC162" s="269">
        <f t="shared" si="379"/>
        <v>1.7736519628452432E-2</v>
      </c>
      <c r="BD162" s="268">
        <f t="shared" si="379"/>
        <v>6.6490194404121477E-3</v>
      </c>
      <c r="BE162" s="268">
        <f t="shared" si="379"/>
        <v>9.248090068355445E-3</v>
      </c>
      <c r="BF162" s="268">
        <f t="shared" si="379"/>
        <v>1.1159504157402612E-2</v>
      </c>
      <c r="BG162" s="269">
        <f t="shared" si="379"/>
        <v>2.2031884964051261E-2</v>
      </c>
      <c r="BH162" s="268">
        <f t="shared" si="379"/>
        <v>1.1782604473505326E-2</v>
      </c>
      <c r="BI162" s="268">
        <f t="shared" si="379"/>
        <v>1.309740540398947E-2</v>
      </c>
      <c r="BJ162" s="268">
        <f t="shared" si="379"/>
        <v>1.0331038296322774E-2</v>
      </c>
      <c r="BK162" s="269">
        <f t="shared" si="379"/>
        <v>9.9922626284956271E-3</v>
      </c>
      <c r="BL162" s="268">
        <f t="shared" si="379"/>
        <v>6.9689930310069684E-3</v>
      </c>
      <c r="BM162" s="268">
        <f t="shared" si="379"/>
        <v>8.4060020425799353E-3</v>
      </c>
      <c r="BN162" s="268">
        <f t="shared" si="379"/>
        <v>8.5854797032591489E-3</v>
      </c>
      <c r="BO162" s="269">
        <f t="shared" si="379"/>
        <v>2.3039960573329497E-2</v>
      </c>
      <c r="BP162" s="268">
        <f t="shared" si="379"/>
        <v>1.324478106148547E-2</v>
      </c>
      <c r="BQ162" s="268">
        <f t="shared" si="379"/>
        <v>1.4767352082427389E-2</v>
      </c>
      <c r="BR162" s="268">
        <f t="shared" si="379"/>
        <v>1.3482951345262334E-2</v>
      </c>
      <c r="BS162" s="269">
        <f t="shared" si="379"/>
        <v>2.6098740233884869E-2</v>
      </c>
      <c r="BT162" s="268">
        <f t="shared" ref="BT162:BZ162" si="380">-BT133*4/BT101</f>
        <v>2.2509937898114594E-2</v>
      </c>
      <c r="BU162" s="268">
        <f t="shared" si="380"/>
        <v>2.6039134662129315E-2</v>
      </c>
      <c r="BV162" s="268">
        <f t="shared" si="380"/>
        <v>2.6513093556448986E-2</v>
      </c>
      <c r="BW162" s="269">
        <f t="shared" si="380"/>
        <v>2.3113057606046695E-2</v>
      </c>
      <c r="BX162" s="268">
        <f t="shared" si="380"/>
        <v>1.9679749174178376E-2</v>
      </c>
      <c r="BY162" s="268">
        <f t="shared" si="380"/>
        <v>3.0845736298371566E-2</v>
      </c>
      <c r="BZ162" s="268">
        <f t="shared" si="380"/>
        <v>3.3463127172421475E-2</v>
      </c>
      <c r="CA162" s="269">
        <v>3.5000000000000003E-2</v>
      </c>
      <c r="CB162" s="268">
        <f>-CB133*4/CB101</f>
        <v>2.6549922327354893E-2</v>
      </c>
      <c r="CC162" s="268">
        <f>-CC133*4/CC101</f>
        <v>3.3345954485513966E-2</v>
      </c>
      <c r="CD162" s="268">
        <f>-CD133*4/CD101</f>
        <v>2.6195587776241772E-2</v>
      </c>
      <c r="CE162" s="269">
        <v>2.8000000000000001E-2</v>
      </c>
      <c r="CF162" s="268">
        <f>-CF133*4/CF101</f>
        <v>2.3163750172706905E-2</v>
      </c>
      <c r="CG162" s="268">
        <f>-CG133*4/CG101</f>
        <v>2.1660523287399158E-2</v>
      </c>
      <c r="CH162" s="268">
        <f>-CH133*4/CH101</f>
        <v>2.1039710445860605E-2</v>
      </c>
      <c r="CI162" s="269">
        <v>0.04</v>
      </c>
      <c r="CJ162" s="268">
        <f>-CJ133*4/CJ101</f>
        <v>2.2091911744154195E-2</v>
      </c>
      <c r="CK162" s="268">
        <f>-CK133*4/CK101</f>
        <v>2.5441916728450462E-2</v>
      </c>
      <c r="CL162" s="268">
        <f>-CL133*4/CL101</f>
        <v>2.5459484933329633E-2</v>
      </c>
      <c r="CM162" s="269">
        <v>0.04</v>
      </c>
      <c r="CN162" s="268">
        <f>-CN133*4/CN101</f>
        <v>1.9201325131178178E-2</v>
      </c>
      <c r="CO162" s="268">
        <f>-CO133*4/CO101</f>
        <v>2.0300825263249212E-2</v>
      </c>
      <c r="CP162" s="268">
        <f>-CP133*4/CP101</f>
        <v>2.5452418891875515E-2</v>
      </c>
      <c r="CQ162" s="269">
        <v>0.04</v>
      </c>
      <c r="CR162" s="268">
        <f>-CR133*4/CR101</f>
        <v>2.557533927550653E-2</v>
      </c>
      <c r="CS162" s="268">
        <f>-CS133*4/CS101</f>
        <v>3.1765120570611045E-2</v>
      </c>
      <c r="CT162" s="268">
        <f>-CT133*4/CT101</f>
        <v>3.164072984346751E-2</v>
      </c>
      <c r="CU162" s="269">
        <f>-CU133*4/CU101</f>
        <v>3.2110226217814043E-2</v>
      </c>
      <c r="CV162" s="256">
        <v>0.03</v>
      </c>
      <c r="CW162" s="256">
        <f t="shared" ref="CW162:CY162" si="381">CV162</f>
        <v>0.03</v>
      </c>
      <c r="CX162" s="256">
        <f t="shared" si="381"/>
        <v>0.03</v>
      </c>
      <c r="CY162" s="257">
        <f t="shared" si="381"/>
        <v>0.03</v>
      </c>
      <c r="DA162" s="268"/>
      <c r="DB162" s="268">
        <f t="shared" ref="DB162:DX162" si="382">-DB133/DB101</f>
        <v>4.0969687955294237E-2</v>
      </c>
      <c r="DC162" s="268">
        <f t="shared" si="382"/>
        <v>3.4576687634982839E-2</v>
      </c>
      <c r="DD162" s="268">
        <f t="shared" si="382"/>
        <v>3.581691157444606E-2</v>
      </c>
      <c r="DE162" s="268">
        <f t="shared" si="382"/>
        <v>3.8788440735589548E-2</v>
      </c>
      <c r="DF162" s="268">
        <f t="shared" si="382"/>
        <v>3.1491374871266735E-2</v>
      </c>
      <c r="DG162" s="268">
        <f t="shared" si="382"/>
        <v>2.2902336422033997E-2</v>
      </c>
      <c r="DH162" s="268">
        <f t="shared" si="382"/>
        <v>1.9596761763561767E-2</v>
      </c>
      <c r="DI162" s="268">
        <f t="shared" si="382"/>
        <v>1.8898271009248093E-2</v>
      </c>
      <c r="DJ162" s="268">
        <f t="shared" si="382"/>
        <v>2.3852616738745263E-2</v>
      </c>
      <c r="DK162" s="268">
        <f t="shared" si="382"/>
        <v>2.5294811320754718E-2</v>
      </c>
      <c r="DL162" s="268">
        <f t="shared" si="382"/>
        <v>3.3249099162337967E-2</v>
      </c>
      <c r="DM162" s="268">
        <f t="shared" si="382"/>
        <v>1.9485506393331426E-2</v>
      </c>
      <c r="DN162" s="268">
        <f t="shared" si="382"/>
        <v>1.2641450453266643E-2</v>
      </c>
      <c r="DO162" s="268">
        <f t="shared" si="382"/>
        <v>1.235768763125898E-2</v>
      </c>
      <c r="DP162" s="268">
        <f t="shared" si="382"/>
        <v>1.2197626185880323E-2</v>
      </c>
      <c r="DQ162" s="268">
        <f t="shared" si="382"/>
        <v>1.6169507971826744E-2</v>
      </c>
      <c r="DR162" s="268">
        <f t="shared" si="382"/>
        <v>2.3275527143008512E-2</v>
      </c>
      <c r="DS162" s="268">
        <f t="shared" si="382"/>
        <v>3.1461522619619688E-2</v>
      </c>
      <c r="DT162" s="268">
        <f t="shared" si="382"/>
        <v>2.8372551435259335E-2</v>
      </c>
      <c r="DU162" s="268">
        <f t="shared" si="382"/>
        <v>2.3957399039898908E-2</v>
      </c>
      <c r="DV162" s="268">
        <f t="shared" si="382"/>
        <v>2.6675598800751172E-2</v>
      </c>
      <c r="DW162" s="268">
        <f t="shared" si="382"/>
        <v>2.8468120877699701E-2</v>
      </c>
      <c r="DX162" s="268">
        <f t="shared" si="382"/>
        <v>2.9046758196120584E-2</v>
      </c>
      <c r="DY162" s="268">
        <f>-DY133/DY101</f>
        <v>2.942633086033819E-2</v>
      </c>
      <c r="DZ162" s="256">
        <f>DY162</f>
        <v>2.942633086033819E-2</v>
      </c>
      <c r="EA162" s="256">
        <f t="shared" ref="EA162:ED162" si="383">DZ162</f>
        <v>2.942633086033819E-2</v>
      </c>
      <c r="EB162" s="256">
        <f t="shared" si="383"/>
        <v>2.942633086033819E-2</v>
      </c>
      <c r="EC162" s="256">
        <f t="shared" si="383"/>
        <v>2.942633086033819E-2</v>
      </c>
      <c r="ED162" s="256">
        <f t="shared" si="383"/>
        <v>2.942633086033819E-2</v>
      </c>
      <c r="EE162" s="254"/>
      <c r="EF162"/>
      <c r="EG162"/>
      <c r="EH162"/>
      <c r="EI162"/>
      <c r="EJ162"/>
      <c r="EK162"/>
    </row>
    <row r="163" spans="1:141" s="255" customFormat="1">
      <c r="A163" s="253"/>
      <c r="B163" s="337" t="s">
        <v>295</v>
      </c>
      <c r="C163" s="254"/>
      <c r="D163" s="267"/>
      <c r="E163" s="268"/>
      <c r="F163" s="268"/>
      <c r="G163" s="269"/>
      <c r="H163" s="268"/>
      <c r="I163" s="268"/>
      <c r="J163" s="268"/>
      <c r="K163" s="269"/>
      <c r="L163" s="268"/>
      <c r="M163" s="268"/>
      <c r="N163" s="268"/>
      <c r="O163" s="269"/>
      <c r="P163" s="268">
        <f>P117*4/DC65</f>
        <v>0.20085420754934782</v>
      </c>
      <c r="Q163" s="268">
        <f>Q117*4/P65</f>
        <v>0.20815017227040511</v>
      </c>
      <c r="R163" s="268">
        <f>R117*4/Q65</f>
        <v>0.21050207277752189</v>
      </c>
      <c r="S163" s="269">
        <f>S117*4/R65</f>
        <v>0.22381885477901153</v>
      </c>
      <c r="T163" s="268">
        <f>T117*4/DD65</f>
        <v>0.23384091151102118</v>
      </c>
      <c r="U163" s="268">
        <f>U117*4/T65</f>
        <v>0.21875993640699523</v>
      </c>
      <c r="V163" s="268">
        <f>V117*4/U65</f>
        <v>0.22482067406897907</v>
      </c>
      <c r="W163" s="269">
        <f>W117*4/V65</f>
        <v>0.19786237964844097</v>
      </c>
      <c r="X163" s="268">
        <f>X117*4/DE65</f>
        <v>0.2107756068679692</v>
      </c>
      <c r="Y163" s="268">
        <f>Y117*4/X65</f>
        <v>0.29682217714672071</v>
      </c>
      <c r="Z163" s="268">
        <f>Z117*4/Y65</f>
        <v>0.20836325470916425</v>
      </c>
      <c r="AA163" s="269">
        <f>AA117*4/Z65</f>
        <v>0.20641711229946519</v>
      </c>
      <c r="AB163" s="268">
        <f>AB117*4/DF65</f>
        <v>0.20467005076142131</v>
      </c>
      <c r="AC163" s="268">
        <f>AC117*4/AB65</f>
        <v>0.20102040816326533</v>
      </c>
      <c r="AD163" s="268">
        <f>AD117*4/AC65</f>
        <v>0.20059614077289123</v>
      </c>
      <c r="AE163" s="269">
        <f>AE117*4/AD65</f>
        <v>1.518472972250446E-2</v>
      </c>
      <c r="AF163" s="268">
        <f>AF117*4/DG65</f>
        <v>0.21910854967482682</v>
      </c>
      <c r="AG163" s="268">
        <f>AG117*4/AF65</f>
        <v>0.21224758560140478</v>
      </c>
      <c r="AH163" s="268">
        <f>AH117*4/AG65</f>
        <v>0.21091561134147702</v>
      </c>
      <c r="AI163" s="269">
        <f>AI117*4/AH65</f>
        <v>1.6971862438588704E-2</v>
      </c>
      <c r="AJ163" s="268">
        <f>AJ117*4/DH65</f>
        <v>0.17275747508305647</v>
      </c>
      <c r="AK163" s="268">
        <f>AK117*4/AJ65</f>
        <v>0.17685930553886819</v>
      </c>
      <c r="AL163" s="268">
        <f>AL117*4/AK65</f>
        <v>0.1791790600832838</v>
      </c>
      <c r="AM163" s="269">
        <f>AM117*4/AL65</f>
        <v>0.18739864256111477</v>
      </c>
      <c r="AN163" s="268">
        <f>AN117*4/DI65</f>
        <v>0.1739740441950193</v>
      </c>
      <c r="AO163" s="268">
        <f>AO117*4/AN65</f>
        <v>0.18182881881471946</v>
      </c>
      <c r="AP163" s="268">
        <f>AP117*4/AO65</f>
        <v>0.19042130136591551</v>
      </c>
      <c r="AQ163" s="269">
        <f>AQ117*4/AP65</f>
        <v>0.20282936484834377</v>
      </c>
      <c r="AR163" s="268">
        <f>AR117*4/DJ65</f>
        <v>0.18285840026405545</v>
      </c>
      <c r="AS163" s="268">
        <f>AS117*4/AR65</f>
        <v>0.19551660205629529</v>
      </c>
      <c r="AT163" s="268">
        <f>AT117*4/AS65</f>
        <v>0.19529997235277852</v>
      </c>
      <c r="AU163" s="269">
        <f>AU117*4/AT65</f>
        <v>0.2003729796933279</v>
      </c>
      <c r="AV163" s="268">
        <f>AV117*4/DK65</f>
        <v>0.18932567580948609</v>
      </c>
      <c r="AW163" s="268">
        <f>AW117*4/AV65</f>
        <v>0.18913977963338113</v>
      </c>
      <c r="AX163" s="268">
        <f>AX117*4/AW65</f>
        <v>0.197933227344992</v>
      </c>
      <c r="AY163" s="269">
        <f>AY117*4/AX65</f>
        <v>0.20744788504351344</v>
      </c>
      <c r="AZ163" s="268">
        <f>AZ117*4/DL65</f>
        <v>0.24227410664519725</v>
      </c>
      <c r="BA163" s="268">
        <f>BA117*4/AZ65</f>
        <v>0.20674157303370788</v>
      </c>
      <c r="BB163" s="268">
        <f>BB117*4/BA65</f>
        <v>0.1945367111199246</v>
      </c>
      <c r="BC163" s="269">
        <f>BC117*4/BB65</f>
        <v>0.18728557013118066</v>
      </c>
      <c r="BD163" s="268">
        <f>BD117*4/DM65</f>
        <v>0.20248691988856424</v>
      </c>
      <c r="BE163" s="268">
        <f>BE117*4/BD65</f>
        <v>0.21235710779157019</v>
      </c>
      <c r="BF163" s="268">
        <f>BF117*4/BE65</f>
        <v>0.20633299284984685</v>
      </c>
      <c r="BG163" s="269">
        <f>BG117*4/BF65</f>
        <v>0.22228721848493704</v>
      </c>
      <c r="BH163" s="268">
        <f>BH117*4/DN65</f>
        <v>0.21397285847634093</v>
      </c>
      <c r="BI163" s="268">
        <f>BI117*4/BH65</f>
        <v>0.22081163968333217</v>
      </c>
      <c r="BJ163" s="268">
        <f>BJ117*4/BI65</f>
        <v>0.21694526149652052</v>
      </c>
      <c r="BK163" s="269">
        <f>BK117*4/BJ65</f>
        <v>0.21726303048642109</v>
      </c>
      <c r="BL163" s="268">
        <f>BL117*4/DO65</f>
        <v>0.21623403378656775</v>
      </c>
      <c r="BM163" s="268">
        <f>BM117*4/BL65</f>
        <v>0.24177559435038162</v>
      </c>
      <c r="BN163" s="268">
        <f>BN117*4/BM65</f>
        <v>0.23303065719679947</v>
      </c>
      <c r="BO163" s="269">
        <f>BO117*4/BN65</f>
        <v>0.23958333333333323</v>
      </c>
      <c r="BP163" s="268">
        <f>BP117*4/DP65</f>
        <v>0.22266628604053668</v>
      </c>
      <c r="BQ163" s="268">
        <f>BQ117*4/BP65</f>
        <v>0.22721846398726619</v>
      </c>
      <c r="BR163" s="268">
        <f>BR117*4/BQ65</f>
        <v>0.24519632414369263</v>
      </c>
      <c r="BS163" s="269">
        <f>BS117*4/BR65</f>
        <v>0.24886375113624884</v>
      </c>
      <c r="BT163" s="268">
        <f>BT117*4/DQ65</f>
        <v>0.24731074695888206</v>
      </c>
      <c r="BU163" s="268">
        <f>BU117*4/BT65</f>
        <v>0.24617151607963247</v>
      </c>
      <c r="BV163" s="268">
        <f>BV117*4/BU65</f>
        <v>0.23416612888356225</v>
      </c>
      <c r="BW163" s="269">
        <f>BW117*4/BV65</f>
        <v>0.21548057839523677</v>
      </c>
      <c r="BX163" s="268">
        <f>BX117*4/DR65</f>
        <v>0.20037313432835821</v>
      </c>
      <c r="BY163" s="268">
        <f>BY117*4/BX65</f>
        <v>0.20459063799024038</v>
      </c>
      <c r="BZ163" s="268">
        <f>BZ117*4/BY65</f>
        <v>0.20713350785340312</v>
      </c>
      <c r="CA163" s="269">
        <v>0.25</v>
      </c>
      <c r="CB163" s="268">
        <f>CB117*4/DS65</f>
        <v>0.18929513220725538</v>
      </c>
      <c r="CC163" s="268">
        <f>CC117*4/CB65</f>
        <v>0.1938610662358643</v>
      </c>
      <c r="CD163" s="268">
        <f>CD117*4/CC65</f>
        <v>0.19685411462904209</v>
      </c>
      <c r="CE163" s="269">
        <v>0.2</v>
      </c>
      <c r="CF163" s="268">
        <f>CF117*4/DT65</f>
        <v>0.18775201612903225</v>
      </c>
      <c r="CG163" s="268">
        <f>CG117*4/CF65</f>
        <v>0.18235877106045587</v>
      </c>
      <c r="CH163" s="268">
        <f>CH117*4/CG65</f>
        <v>0.1931934957383788</v>
      </c>
      <c r="CI163" s="269">
        <v>0.19</v>
      </c>
      <c r="CJ163" s="268">
        <f>CJ117*4/DU65</f>
        <v>0.20803840709053978</v>
      </c>
      <c r="CK163" s="268">
        <f>CK117*4/CJ65</f>
        <v>0.19806368832380733</v>
      </c>
      <c r="CL163" s="268">
        <f>CL117*4/CK65</f>
        <v>0.19858956276445691</v>
      </c>
      <c r="CM163" s="269">
        <v>0.19</v>
      </c>
      <c r="CN163" s="268">
        <f>CN117*4/DV65</f>
        <v>0.19753627155762388</v>
      </c>
      <c r="CO163" s="268">
        <f>CO117*4/CN65</f>
        <v>0.20170757737459977</v>
      </c>
      <c r="CP163" s="268">
        <f>CP117*4/CO65</f>
        <v>0.20885573718457381</v>
      </c>
      <c r="CQ163" s="269">
        <v>0.19</v>
      </c>
      <c r="CR163" s="268">
        <f>CR117*4/DW65</f>
        <v>0.19194770465012631</v>
      </c>
      <c r="CS163" s="268">
        <f>CS117*4/CR65</f>
        <v>0.20205727531752549</v>
      </c>
      <c r="CT163" s="268">
        <f>CT117*4/CS65</f>
        <v>0.19711474831252482</v>
      </c>
      <c r="CU163" s="269">
        <f ca="1">CU117*4/CT65</f>
        <v>0.1629872587359657</v>
      </c>
      <c r="CV163" s="256">
        <v>0.19</v>
      </c>
      <c r="CW163" s="256">
        <f t="shared" ref="CW163:CY163" si="384">CV163</f>
        <v>0.19</v>
      </c>
      <c r="CX163" s="256">
        <f t="shared" si="384"/>
        <v>0.19</v>
      </c>
      <c r="CY163" s="257">
        <f t="shared" si="384"/>
        <v>0.19</v>
      </c>
      <c r="DA163" s="268"/>
      <c r="DB163" s="268"/>
      <c r="DC163" s="268"/>
      <c r="DD163" s="268">
        <f t="shared" ref="DD163:DX163" si="385">DD117/DC65</f>
        <v>0.21285928662126286</v>
      </c>
      <c r="DE163" s="268">
        <f t="shared" si="385"/>
        <v>0.23394739644340323</v>
      </c>
      <c r="DF163" s="268">
        <f t="shared" si="385"/>
        <v>0.28833629366489044</v>
      </c>
      <c r="DG163" s="268">
        <f t="shared" si="385"/>
        <v>0.15345177664974619</v>
      </c>
      <c r="DH163" s="268">
        <f t="shared" si="385"/>
        <v>0.15967852799661608</v>
      </c>
      <c r="DI163" s="268">
        <f t="shared" si="385"/>
        <v>0.17543859649122806</v>
      </c>
      <c r="DJ163" s="268">
        <f t="shared" si="385"/>
        <v>0.18812112708991</v>
      </c>
      <c r="DK163" s="268">
        <f t="shared" si="385"/>
        <v>0.19534602266475962</v>
      </c>
      <c r="DL163" s="268">
        <f t="shared" si="385"/>
        <v>0.19477175958015644</v>
      </c>
      <c r="DM163" s="268">
        <f t="shared" si="385"/>
        <v>0.24289341673375858</v>
      </c>
      <c r="DN163" s="268">
        <f t="shared" si="385"/>
        <v>0.20173948494937824</v>
      </c>
      <c r="DO163" s="268">
        <f t="shared" si="385"/>
        <v>0.21490629712070081</v>
      </c>
      <c r="DP163" s="268">
        <f t="shared" si="385"/>
        <v>0.21730531520395549</v>
      </c>
      <c r="DQ163" s="268">
        <f t="shared" si="385"/>
        <v>0.22447426015795982</v>
      </c>
      <c r="DR163" s="268">
        <f t="shared" si="385"/>
        <v>0.24761234543078314</v>
      </c>
      <c r="DS163" s="268">
        <f t="shared" si="385"/>
        <v>0.22341417910447761</v>
      </c>
      <c r="DT163" s="268">
        <f t="shared" si="385"/>
        <v>0.14845698809778349</v>
      </c>
      <c r="DU163" s="268">
        <f t="shared" si="385"/>
        <v>0.19587953629032256</v>
      </c>
      <c r="DV163" s="268">
        <f t="shared" si="385"/>
        <v>0.21407028989967383</v>
      </c>
      <c r="DW163" s="268">
        <f t="shared" si="385"/>
        <v>0.20706268820147822</v>
      </c>
      <c r="DX163" s="268">
        <f t="shared" ca="1" si="385"/>
        <v>0.20309017976526519</v>
      </c>
      <c r="DY163" s="268">
        <f>DY117/DX65</f>
        <v>0.1947865154328719</v>
      </c>
      <c r="DZ163" s="256">
        <f>DY163</f>
        <v>0.1947865154328719</v>
      </c>
      <c r="EA163" s="256">
        <f t="shared" ref="EA163:ED163" si="386">DZ163</f>
        <v>0.1947865154328719</v>
      </c>
      <c r="EB163" s="256">
        <f t="shared" si="386"/>
        <v>0.1947865154328719</v>
      </c>
      <c r="EC163" s="256">
        <f t="shared" si="386"/>
        <v>0.1947865154328719</v>
      </c>
      <c r="ED163" s="256">
        <f t="shared" si="386"/>
        <v>0.1947865154328719</v>
      </c>
      <c r="EE163" s="254"/>
      <c r="EF163"/>
      <c r="EG163"/>
      <c r="EH163"/>
      <c r="EI163"/>
      <c r="EJ163"/>
      <c r="EK163"/>
    </row>
    <row r="164" spans="1:141" s="255" customFormat="1">
      <c r="A164" s="338"/>
      <c r="B164" s="337" t="s">
        <v>296</v>
      </c>
      <c r="C164" s="254"/>
      <c r="D164" s="339"/>
      <c r="E164" s="340"/>
      <c r="F164" s="340"/>
      <c r="G164" s="341"/>
      <c r="H164" s="340"/>
      <c r="I164" s="340"/>
      <c r="J164" s="340"/>
      <c r="K164" s="341"/>
      <c r="L164" s="340"/>
      <c r="M164" s="340"/>
      <c r="N164" s="340"/>
      <c r="O164" s="341"/>
      <c r="P164" s="340">
        <f>-P117/P133</f>
        <v>1.3343558282208587</v>
      </c>
      <c r="Q164" s="340">
        <f t="shared" ref="Q164:BG164" si="387">-Q117/Q133</f>
        <v>1.0305882352941176</v>
      </c>
      <c r="R164" s="340">
        <f t="shared" si="387"/>
        <v>0.40406719717064549</v>
      </c>
      <c r="S164" s="341">
        <f t="shared" si="387"/>
        <v>0.68716577540106949</v>
      </c>
      <c r="T164" s="340">
        <f t="shared" si="387"/>
        <v>1.1390041493775933</v>
      </c>
      <c r="U164" s="340">
        <f t="shared" si="387"/>
        <v>0.671875</v>
      </c>
      <c r="V164" s="340">
        <f t="shared" si="387"/>
        <v>0.51162790697674421</v>
      </c>
      <c r="W164" s="341">
        <f t="shared" si="387"/>
        <v>0.48865619546247818</v>
      </c>
      <c r="X164" s="340">
        <f t="shared" si="387"/>
        <v>0.87011173184357549</v>
      </c>
      <c r="Y164" s="340">
        <f t="shared" si="387"/>
        <v>0.96483516483516485</v>
      </c>
      <c r="Z164" s="340">
        <f t="shared" si="387"/>
        <v>0.99894067796610175</v>
      </c>
      <c r="AA164" s="341">
        <f t="shared" si="387"/>
        <v>0.71800595238095233</v>
      </c>
      <c r="AB164" s="340">
        <f t="shared" si="387"/>
        <v>1.180327868852459</v>
      </c>
      <c r="AC164" s="340">
        <f t="shared" si="387"/>
        <v>1.2960526315789476</v>
      </c>
      <c r="AD164" s="340">
        <f t="shared" si="387"/>
        <v>1.4442771084337345</v>
      </c>
      <c r="AE164" s="341">
        <f t="shared" si="387"/>
        <v>7.513227513227537E-2</v>
      </c>
      <c r="AF164" s="340">
        <f t="shared" si="387"/>
        <v>2.0393700787401574</v>
      </c>
      <c r="AG164" s="340">
        <f t="shared" si="387"/>
        <v>2.6205962059620598</v>
      </c>
      <c r="AH164" s="340">
        <f t="shared" si="387"/>
        <v>1.3500717360114771</v>
      </c>
      <c r="AI164" s="341">
        <f t="shared" si="387"/>
        <v>6.9343065693430864E-2</v>
      </c>
      <c r="AJ164" s="340">
        <f t="shared" si="387"/>
        <v>1.6038961038961037</v>
      </c>
      <c r="AK164" s="340">
        <f t="shared" si="387"/>
        <v>1.3072824156305505</v>
      </c>
      <c r="AL164" s="340">
        <f t="shared" si="387"/>
        <v>1.0635593220338984</v>
      </c>
      <c r="AM164" s="341">
        <f t="shared" si="387"/>
        <v>0.78549848942598177</v>
      </c>
      <c r="AN164" s="340">
        <f t="shared" si="387"/>
        <v>1.0583214793741111</v>
      </c>
      <c r="AO164" s="340">
        <f t="shared" si="387"/>
        <v>1.159701492537313</v>
      </c>
      <c r="AP164" s="340">
        <f t="shared" si="387"/>
        <v>1.0741222366710015</v>
      </c>
      <c r="AQ164" s="341">
        <f t="shared" si="387"/>
        <v>0.5396530359355638</v>
      </c>
      <c r="AR164" s="340">
        <f t="shared" si="387"/>
        <v>1.0750323415265199</v>
      </c>
      <c r="AS164" s="340">
        <f t="shared" si="387"/>
        <v>0.75455333911535127</v>
      </c>
      <c r="AT164" s="340">
        <f t="shared" si="387"/>
        <v>0.9692645444566409</v>
      </c>
      <c r="AU164" s="341">
        <f t="shared" si="387"/>
        <v>0.66551961459050268</v>
      </c>
      <c r="AV164" s="340">
        <f t="shared" si="387"/>
        <v>0.73879443585780513</v>
      </c>
      <c r="AW164" s="340">
        <f t="shared" si="387"/>
        <v>0.63927855711422854</v>
      </c>
      <c r="AX164" s="340">
        <f t="shared" si="387"/>
        <v>0.73668639053254414</v>
      </c>
      <c r="AY164" s="341">
        <f t="shared" si="387"/>
        <v>0.66515249837767698</v>
      </c>
      <c r="AZ164" s="340">
        <f t="shared" si="387"/>
        <v>1.0561555075593954</v>
      </c>
      <c r="BA164" s="340">
        <f t="shared" si="387"/>
        <v>1.1237785016286648</v>
      </c>
      <c r="BB164" s="340">
        <f t="shared" si="387"/>
        <v>1.1706443914081139</v>
      </c>
      <c r="BC164" s="341">
        <f t="shared" si="387"/>
        <v>1.173198482932996</v>
      </c>
      <c r="BD164" s="340">
        <f t="shared" si="387"/>
        <v>2.5513698630136985</v>
      </c>
      <c r="BE164" s="340">
        <f t="shared" si="387"/>
        <v>1.9360613810741687</v>
      </c>
      <c r="BF164" s="340">
        <f t="shared" si="387"/>
        <v>1.5436681222707429</v>
      </c>
      <c r="BG164" s="341">
        <f t="shared" si="387"/>
        <v>0.86265607264472166</v>
      </c>
      <c r="BH164" s="340">
        <f t="shared" ref="BH164:CS164" si="388">-BH117/BH133</f>
        <v>1.6373626373626373</v>
      </c>
      <c r="BI164" s="340">
        <f t="shared" si="388"/>
        <v>1.548</v>
      </c>
      <c r="BJ164" s="340">
        <f t="shared" si="388"/>
        <v>1.9738903394255867</v>
      </c>
      <c r="BK164" s="341">
        <f t="shared" si="388"/>
        <v>2.1179941002949869</v>
      </c>
      <c r="BL164" s="340">
        <f t="shared" si="388"/>
        <v>3.1690821256038646</v>
      </c>
      <c r="BM164" s="340">
        <f t="shared" si="388"/>
        <v>3.2196261682242988</v>
      </c>
      <c r="BN164" s="340">
        <f t="shared" si="388"/>
        <v>3.1456310679611654</v>
      </c>
      <c r="BO164" s="341">
        <f t="shared" si="388"/>
        <v>1.1479500891265595</v>
      </c>
      <c r="BP164" s="340">
        <f t="shared" si="388"/>
        <v>1.6810344827586208</v>
      </c>
      <c r="BQ164" s="340">
        <f t="shared" si="388"/>
        <v>1.3725961538461535</v>
      </c>
      <c r="BR164" s="340">
        <f t="shared" si="388"/>
        <v>1.5089974293059134</v>
      </c>
      <c r="BS164" s="341">
        <f t="shared" si="388"/>
        <v>0.78974358974358949</v>
      </c>
      <c r="BT164" s="340">
        <f t="shared" si="388"/>
        <v>0.87234042553191493</v>
      </c>
      <c r="BU164" s="340">
        <f t="shared" si="388"/>
        <v>0.7502917152858809</v>
      </c>
      <c r="BV164" s="340">
        <f t="shared" si="388"/>
        <v>0.69398907103825136</v>
      </c>
      <c r="BW164" s="341">
        <f t="shared" si="388"/>
        <v>0.69682151589242047</v>
      </c>
      <c r="BX164" s="340">
        <f t="shared" si="388"/>
        <v>0.76386913229018494</v>
      </c>
      <c r="BY164" s="340">
        <f t="shared" si="388"/>
        <v>0.51407811080835597</v>
      </c>
      <c r="BZ164" s="340">
        <f t="shared" si="388"/>
        <v>0.52706078268109913</v>
      </c>
      <c r="CA164" s="341">
        <f t="shared" si="388"/>
        <v>0.41761723700887199</v>
      </c>
      <c r="CB164" s="340">
        <f t="shared" si="388"/>
        <v>0.67274569402228979</v>
      </c>
      <c r="CC164" s="340">
        <f t="shared" si="388"/>
        <v>0.54032889584964761</v>
      </c>
      <c r="CD164" s="340">
        <f t="shared" si="388"/>
        <v>0.70914396887159548</v>
      </c>
      <c r="CE164" s="341">
        <f t="shared" si="388"/>
        <v>0</v>
      </c>
      <c r="CF164" s="340">
        <f t="shared" si="388"/>
        <v>0.7728215767634854</v>
      </c>
      <c r="CG164" s="340">
        <f t="shared" si="388"/>
        <v>0.84358144552319303</v>
      </c>
      <c r="CH164" s="340">
        <f t="shared" si="388"/>
        <v>0.87131952017448189</v>
      </c>
      <c r="CI164" s="341">
        <f t="shared" si="388"/>
        <v>0.54412786657400969</v>
      </c>
      <c r="CJ164" s="340">
        <f t="shared" si="388"/>
        <v>0.85526315789473684</v>
      </c>
      <c r="CK164" s="340">
        <f t="shared" si="388"/>
        <v>0.74408413672217355</v>
      </c>
      <c r="CL164" s="340">
        <f t="shared" si="388"/>
        <v>0.76655052264808354</v>
      </c>
      <c r="CM164" s="341">
        <f t="shared" si="388"/>
        <v>0.57179000632511112</v>
      </c>
      <c r="CN164" s="340">
        <f t="shared" si="388"/>
        <v>1.0238365493757096</v>
      </c>
      <c r="CO164" s="340">
        <f t="shared" si="388"/>
        <v>1.0096153846153846</v>
      </c>
      <c r="CP164" s="340">
        <f t="shared" si="388"/>
        <v>0.83220910623945998</v>
      </c>
      <c r="CQ164" s="341">
        <f t="shared" si="388"/>
        <v>0.41578947368421065</v>
      </c>
      <c r="CR164" s="340">
        <f t="shared" si="388"/>
        <v>0.80215231788079477</v>
      </c>
      <c r="CS164" s="340">
        <f t="shared" si="388"/>
        <v>0.68276762402088775</v>
      </c>
      <c r="CT164" s="340">
        <f>-CT117/CT133</f>
        <v>0.71510883482714471</v>
      </c>
      <c r="CU164" s="341">
        <f ca="1">-CU117/CU133</f>
        <v>0.58977480219111378</v>
      </c>
      <c r="CV164" s="340">
        <f t="shared" ref="CV164:CY164" si="389">-CV117/CV133</f>
        <v>0.74377165220679697</v>
      </c>
      <c r="CW164" s="340">
        <f t="shared" si="389"/>
        <v>0.73807836563582119</v>
      </c>
      <c r="CX164" s="340">
        <f t="shared" si="389"/>
        <v>0.73816186233114423</v>
      </c>
      <c r="CY164" s="341">
        <f t="shared" si="389"/>
        <v>0.74541925987204816</v>
      </c>
      <c r="DA164" s="340"/>
      <c r="DB164" s="340"/>
      <c r="DC164" s="340"/>
      <c r="DD164" s="340">
        <f t="shared" ref="DD164:EA164" si="390">-DD117/DD133</f>
        <v>0.70114068441064636</v>
      </c>
      <c r="DE164" s="340">
        <f t="shared" si="390"/>
        <v>0.62521343198634038</v>
      </c>
      <c r="DF164" s="340">
        <f t="shared" si="390"/>
        <v>0.87097598364844153</v>
      </c>
      <c r="DG164" s="340">
        <f t="shared" si="390"/>
        <v>0.93794601303133729</v>
      </c>
      <c r="DH164" s="340">
        <f t="shared" si="390"/>
        <v>1.1310861423220975</v>
      </c>
      <c r="DI164" s="340">
        <f t="shared" si="390"/>
        <v>1.1041819515774027</v>
      </c>
      <c r="DJ164" s="340">
        <f t="shared" si="390"/>
        <v>0.85676251331203401</v>
      </c>
      <c r="DK164" s="340">
        <f t="shared" si="390"/>
        <v>0.82773892773892777</v>
      </c>
      <c r="DL164" s="340">
        <f t="shared" si="390"/>
        <v>0.69211822660098521</v>
      </c>
      <c r="DM164" s="340">
        <f t="shared" si="390"/>
        <v>1.128308400460299</v>
      </c>
      <c r="DN164" s="340">
        <f t="shared" si="390"/>
        <v>1.4683481701285854</v>
      </c>
      <c r="DO164" s="340">
        <f t="shared" si="390"/>
        <v>1.7847346451997617</v>
      </c>
      <c r="DP164" s="340">
        <f t="shared" si="390"/>
        <v>2.2196969696969697</v>
      </c>
      <c r="DQ164" s="340">
        <f t="shared" si="390"/>
        <v>1.2203828246249353</v>
      </c>
      <c r="DR164" s="340">
        <f t="shared" si="390"/>
        <v>0.74749620637329295</v>
      </c>
      <c r="DS164" s="340">
        <f t="shared" si="390"/>
        <v>0.52258346061531746</v>
      </c>
      <c r="DT164" s="340">
        <f t="shared" si="390"/>
        <v>0.45223621363438987</v>
      </c>
      <c r="DU164" s="340">
        <f t="shared" si="390"/>
        <v>0.73204615022368724</v>
      </c>
      <c r="DV164" s="340">
        <f t="shared" si="390"/>
        <v>0.71593248250308794</v>
      </c>
      <c r="DW164" s="340">
        <f t="shared" si="390"/>
        <v>0.71588112814688631</v>
      </c>
      <c r="DX164" s="340">
        <f t="shared" ca="1" si="390"/>
        <v>0.68982338099243068</v>
      </c>
      <c r="DY164" s="340">
        <f>-DY117/DY133</f>
        <v>0.74135433524187433</v>
      </c>
      <c r="DZ164" s="340">
        <f t="shared" si="390"/>
        <v>0.74563405630558777</v>
      </c>
      <c r="EA164" s="340">
        <f t="shared" si="390"/>
        <v>0.75701721987394888</v>
      </c>
      <c r="EB164" s="340">
        <f t="shared" ref="EB164:ED164" si="391">-EB117/EB133</f>
        <v>0.76870453360375202</v>
      </c>
      <c r="EC164" s="340">
        <f t="shared" si="391"/>
        <v>0.78590516201362304</v>
      </c>
      <c r="ED164" s="340">
        <f t="shared" si="391"/>
        <v>0.80891443525279838</v>
      </c>
      <c r="EE164" s="254"/>
      <c r="EF164"/>
      <c r="EG164"/>
      <c r="EH164"/>
      <c r="EI164"/>
      <c r="EJ164"/>
      <c r="EK164"/>
    </row>
    <row r="165" spans="1:141" s="137" customFormat="1">
      <c r="A165" s="193"/>
      <c r="B165" s="199"/>
      <c r="C165" s="199"/>
      <c r="D165" s="223"/>
      <c r="E165" s="199"/>
      <c r="F165" s="199"/>
      <c r="G165" s="211"/>
      <c r="H165" s="199"/>
      <c r="I165" s="199"/>
      <c r="J165" s="199"/>
      <c r="K165" s="211"/>
      <c r="L165" s="199"/>
      <c r="M165" s="199"/>
      <c r="N165" s="199"/>
      <c r="O165" s="211"/>
      <c r="P165" s="199"/>
      <c r="Q165" s="199"/>
      <c r="R165" s="199"/>
      <c r="S165" s="211"/>
      <c r="T165" s="199"/>
      <c r="U165" s="199"/>
      <c r="V165" s="199"/>
      <c r="W165" s="211"/>
      <c r="X165" s="199"/>
      <c r="Y165" s="199"/>
      <c r="Z165" s="199"/>
      <c r="AA165" s="211"/>
      <c r="AB165" s="199"/>
      <c r="AC165" s="199"/>
      <c r="AD165" s="199"/>
      <c r="AE165" s="211"/>
      <c r="AF165" s="199"/>
      <c r="AG165" s="199"/>
      <c r="AH165" s="199"/>
      <c r="AI165" s="211"/>
      <c r="AJ165" s="199"/>
      <c r="AK165" s="199"/>
      <c r="AL165" s="199"/>
      <c r="AM165" s="211"/>
      <c r="AN165" s="233"/>
      <c r="AO165" s="233"/>
      <c r="AP165" s="233"/>
      <c r="AQ165" s="232"/>
      <c r="AR165" s="233"/>
      <c r="AS165" s="233"/>
      <c r="AT165" s="233"/>
      <c r="AU165" s="232"/>
      <c r="AV165" s="233"/>
      <c r="AW165" s="233"/>
      <c r="AX165" s="233"/>
      <c r="AY165" s="232"/>
      <c r="AZ165" s="233"/>
      <c r="BA165" s="233"/>
      <c r="BB165" s="233"/>
      <c r="BC165" s="232"/>
      <c r="BD165" s="233"/>
      <c r="BE165" s="233"/>
      <c r="BF165" s="233"/>
      <c r="BG165" s="232"/>
      <c r="BH165" s="233"/>
      <c r="BI165" s="233"/>
      <c r="BJ165" s="233"/>
      <c r="BK165" s="232"/>
      <c r="BL165" s="233"/>
      <c r="BM165" s="233"/>
      <c r="BN165" s="233"/>
      <c r="BO165" s="232"/>
      <c r="BP165" s="233"/>
      <c r="BQ165" s="233"/>
      <c r="BR165" s="233"/>
      <c r="BS165" s="232"/>
      <c r="BT165" s="199"/>
      <c r="BU165" s="199"/>
      <c r="BV165" s="199"/>
      <c r="BW165" s="211"/>
      <c r="BX165" s="199"/>
      <c r="BY165" s="199"/>
      <c r="BZ165" s="199"/>
      <c r="CA165" s="211"/>
      <c r="CB165" s="226"/>
      <c r="CC165" s="199"/>
      <c r="CD165" s="199"/>
      <c r="CE165" s="211"/>
      <c r="CF165" s="226"/>
      <c r="CG165" s="199"/>
      <c r="CH165" s="199"/>
      <c r="CI165" s="211"/>
      <c r="CJ165" s="226"/>
      <c r="CK165" s="226"/>
      <c r="CL165" s="226"/>
      <c r="CM165" s="224"/>
      <c r="CN165" s="228"/>
      <c r="CO165" s="228"/>
      <c r="CP165" s="228"/>
      <c r="CQ165" s="224"/>
      <c r="CR165" s="228"/>
      <c r="CS165" s="228"/>
      <c r="CT165" s="228"/>
      <c r="CU165" s="227"/>
      <c r="CV165" s="228"/>
      <c r="CW165" s="228"/>
      <c r="CX165" s="228"/>
      <c r="CY165" s="227"/>
      <c r="DA165" s="558"/>
      <c r="DB165" s="558"/>
      <c r="DC165" s="558"/>
      <c r="DD165" s="558"/>
      <c r="DE165" s="558"/>
      <c r="DF165" s="558"/>
      <c r="DG165" s="558"/>
      <c r="DH165" s="558"/>
      <c r="DI165" s="558"/>
      <c r="DJ165" s="558"/>
      <c r="DK165" s="558"/>
      <c r="DL165" s="558"/>
      <c r="DM165" s="558"/>
      <c r="DN165" s="558"/>
      <c r="DO165" s="558"/>
      <c r="DP165" s="558"/>
      <c r="DQ165" s="558"/>
      <c r="DR165" s="558"/>
      <c r="DS165" s="558"/>
      <c r="DT165" s="226"/>
      <c r="DU165" s="226"/>
      <c r="DV165" s="566"/>
      <c r="DW165" s="566"/>
      <c r="DX165" s="199"/>
      <c r="DY165" s="199"/>
      <c r="DZ165" s="199"/>
      <c r="EA165" s="199"/>
      <c r="EB165" s="199"/>
      <c r="EC165" s="199"/>
      <c r="ED165" s="199"/>
      <c r="EE165" s="199"/>
      <c r="EF165"/>
      <c r="EG165"/>
      <c r="EH165"/>
      <c r="EI165"/>
      <c r="EJ165"/>
      <c r="EK165"/>
    </row>
    <row r="166" spans="1:141" s="570" customFormat="1" hidden="1" outlineLevel="1">
      <c r="A166" s="154"/>
      <c r="B166" s="155" t="s">
        <v>297</v>
      </c>
      <c r="C166" s="155"/>
      <c r="D166" s="571" t="str">
        <f>D$4</f>
        <v>1Q94</v>
      </c>
      <c r="E166" s="572" t="str">
        <f t="shared" ref="E166:BP166" si="392">E$4</f>
        <v>2Q94</v>
      </c>
      <c r="F166" s="572" t="str">
        <f t="shared" si="392"/>
        <v>3Q94</v>
      </c>
      <c r="G166" s="573" t="str">
        <f t="shared" si="392"/>
        <v>4Q94</v>
      </c>
      <c r="H166" s="572" t="str">
        <f t="shared" si="392"/>
        <v>1Q95</v>
      </c>
      <c r="I166" s="572" t="str">
        <f t="shared" si="392"/>
        <v>2Q95</v>
      </c>
      <c r="J166" s="572" t="str">
        <f t="shared" si="392"/>
        <v>3Q95</v>
      </c>
      <c r="K166" s="573" t="str">
        <f t="shared" si="392"/>
        <v>4Q95</v>
      </c>
      <c r="L166" s="572" t="str">
        <f t="shared" si="392"/>
        <v>1Q96</v>
      </c>
      <c r="M166" s="572" t="str">
        <f t="shared" si="392"/>
        <v>2Q96</v>
      </c>
      <c r="N166" s="572" t="str">
        <f t="shared" si="392"/>
        <v>3Q96</v>
      </c>
      <c r="O166" s="573" t="str">
        <f t="shared" si="392"/>
        <v>4Q96</v>
      </c>
      <c r="P166" s="572" t="str">
        <f t="shared" si="392"/>
        <v>1Q97</v>
      </c>
      <c r="Q166" s="572" t="str">
        <f t="shared" si="392"/>
        <v>2Q97</v>
      </c>
      <c r="R166" s="572" t="str">
        <f t="shared" si="392"/>
        <v>3Q97</v>
      </c>
      <c r="S166" s="573" t="str">
        <f t="shared" si="392"/>
        <v>4Q97</v>
      </c>
      <c r="T166" s="572" t="str">
        <f t="shared" si="392"/>
        <v>1Q98</v>
      </c>
      <c r="U166" s="572" t="str">
        <f t="shared" si="392"/>
        <v>2Q98</v>
      </c>
      <c r="V166" s="572" t="str">
        <f t="shared" si="392"/>
        <v>3Q98</v>
      </c>
      <c r="W166" s="573" t="str">
        <f t="shared" si="392"/>
        <v>4Q98</v>
      </c>
      <c r="X166" s="572" t="str">
        <f t="shared" si="392"/>
        <v>1Q99</v>
      </c>
      <c r="Y166" s="572" t="str">
        <f t="shared" si="392"/>
        <v>2Q99</v>
      </c>
      <c r="Z166" s="572" t="str">
        <f t="shared" si="392"/>
        <v>3Q99</v>
      </c>
      <c r="AA166" s="573" t="str">
        <f t="shared" si="392"/>
        <v>4Q99</v>
      </c>
      <c r="AB166" s="572" t="str">
        <f t="shared" si="392"/>
        <v>1Q00</v>
      </c>
      <c r="AC166" s="572" t="str">
        <f t="shared" si="392"/>
        <v>2Q00</v>
      </c>
      <c r="AD166" s="572" t="str">
        <f t="shared" si="392"/>
        <v>3Q00</v>
      </c>
      <c r="AE166" s="573" t="str">
        <f t="shared" si="392"/>
        <v>4Q00</v>
      </c>
      <c r="AF166" s="572" t="str">
        <f t="shared" si="392"/>
        <v>1Q01</v>
      </c>
      <c r="AG166" s="572" t="str">
        <f t="shared" si="392"/>
        <v>2Q01</v>
      </c>
      <c r="AH166" s="572" t="str">
        <f t="shared" si="392"/>
        <v>3Q01</v>
      </c>
      <c r="AI166" s="573" t="str">
        <f t="shared" si="392"/>
        <v>4Q01</v>
      </c>
      <c r="AJ166" s="572" t="str">
        <f t="shared" si="392"/>
        <v>1Q02</v>
      </c>
      <c r="AK166" s="572" t="str">
        <f t="shared" si="392"/>
        <v>2Q02</v>
      </c>
      <c r="AL166" s="572" t="str">
        <f t="shared" si="392"/>
        <v>3Q02</v>
      </c>
      <c r="AM166" s="573" t="str">
        <f t="shared" si="392"/>
        <v>4Q02</v>
      </c>
      <c r="AN166" s="572" t="str">
        <f t="shared" si="392"/>
        <v>1Q03</v>
      </c>
      <c r="AO166" s="572" t="str">
        <f t="shared" si="392"/>
        <v>2Q03</v>
      </c>
      <c r="AP166" s="572" t="str">
        <f t="shared" si="392"/>
        <v>3Q03</v>
      </c>
      <c r="AQ166" s="573" t="str">
        <f t="shared" si="392"/>
        <v>4Q03</v>
      </c>
      <c r="AR166" s="572" t="str">
        <f t="shared" si="392"/>
        <v>1Q04</v>
      </c>
      <c r="AS166" s="572" t="str">
        <f t="shared" si="392"/>
        <v>2Q04</v>
      </c>
      <c r="AT166" s="572" t="str">
        <f t="shared" si="392"/>
        <v>3Q04</v>
      </c>
      <c r="AU166" s="573" t="str">
        <f t="shared" si="392"/>
        <v>4Q04</v>
      </c>
      <c r="AV166" s="572" t="str">
        <f t="shared" si="392"/>
        <v>1Q05</v>
      </c>
      <c r="AW166" s="572" t="str">
        <f t="shared" si="392"/>
        <v>2Q05</v>
      </c>
      <c r="AX166" s="572" t="str">
        <f t="shared" si="392"/>
        <v>3Q05</v>
      </c>
      <c r="AY166" s="573" t="str">
        <f t="shared" si="392"/>
        <v>4Q05</v>
      </c>
      <c r="AZ166" s="572" t="str">
        <f t="shared" si="392"/>
        <v>1Q06</v>
      </c>
      <c r="BA166" s="572" t="str">
        <f t="shared" si="392"/>
        <v>2Q06</v>
      </c>
      <c r="BB166" s="572" t="str">
        <f t="shared" si="392"/>
        <v>3Q06</v>
      </c>
      <c r="BC166" s="573" t="str">
        <f t="shared" si="392"/>
        <v>4Q06</v>
      </c>
      <c r="BD166" s="572" t="str">
        <f t="shared" si="392"/>
        <v>1Q07</v>
      </c>
      <c r="BE166" s="572" t="str">
        <f t="shared" si="392"/>
        <v>2Q07</v>
      </c>
      <c r="BF166" s="572" t="str">
        <f t="shared" si="392"/>
        <v>3Q07</v>
      </c>
      <c r="BG166" s="573" t="str">
        <f t="shared" si="392"/>
        <v>4Q07</v>
      </c>
      <c r="BH166" s="572" t="str">
        <f t="shared" si="392"/>
        <v>1Q08</v>
      </c>
      <c r="BI166" s="572" t="str">
        <f t="shared" si="392"/>
        <v>2Q08</v>
      </c>
      <c r="BJ166" s="572" t="str">
        <f t="shared" si="392"/>
        <v>3Q08</v>
      </c>
      <c r="BK166" s="573" t="str">
        <f t="shared" si="392"/>
        <v>4Q08</v>
      </c>
      <c r="BL166" s="572" t="str">
        <f t="shared" si="392"/>
        <v xml:space="preserve">1Q09 </v>
      </c>
      <c r="BM166" s="572" t="str">
        <f t="shared" si="392"/>
        <v>2Q09</v>
      </c>
      <c r="BN166" s="572" t="str">
        <f t="shared" si="392"/>
        <v>3Q09</v>
      </c>
      <c r="BO166" s="573" t="str">
        <f t="shared" si="392"/>
        <v>4Q09</v>
      </c>
      <c r="BP166" s="572" t="str">
        <f t="shared" si="392"/>
        <v>1Q10</v>
      </c>
      <c r="BQ166" s="572" t="str">
        <f t="shared" ref="BQ166:CY166" si="393">BQ$4</f>
        <v>2Q10</v>
      </c>
      <c r="BR166" s="572" t="str">
        <f t="shared" si="393"/>
        <v>3Q10</v>
      </c>
      <c r="BS166" s="573" t="str">
        <f t="shared" si="393"/>
        <v>4Q10</v>
      </c>
      <c r="BT166" s="572" t="str">
        <f t="shared" si="393"/>
        <v>1Q11</v>
      </c>
      <c r="BU166" s="572" t="str">
        <f t="shared" si="393"/>
        <v>2Q11</v>
      </c>
      <c r="BV166" s="572" t="str">
        <f t="shared" si="393"/>
        <v>3Q11</v>
      </c>
      <c r="BW166" s="573" t="str">
        <f t="shared" si="393"/>
        <v>4Q11</v>
      </c>
      <c r="BX166" s="572" t="str">
        <f t="shared" si="393"/>
        <v>1Q12</v>
      </c>
      <c r="BY166" s="572" t="str">
        <f t="shared" si="393"/>
        <v>2Q12</v>
      </c>
      <c r="BZ166" s="572" t="str">
        <f t="shared" si="393"/>
        <v>3Q12</v>
      </c>
      <c r="CA166" s="573" t="str">
        <f t="shared" si="393"/>
        <v>4Q12</v>
      </c>
      <c r="CB166" s="572" t="str">
        <f t="shared" si="393"/>
        <v>1Q13</v>
      </c>
      <c r="CC166" s="572" t="str">
        <f t="shared" si="393"/>
        <v>2Q13</v>
      </c>
      <c r="CD166" s="572" t="str">
        <f t="shared" si="393"/>
        <v>3Q13</v>
      </c>
      <c r="CE166" s="573" t="str">
        <f t="shared" si="393"/>
        <v>4Q13</v>
      </c>
      <c r="CF166" s="572" t="str">
        <f t="shared" si="393"/>
        <v>1Q14</v>
      </c>
      <c r="CG166" s="572" t="str">
        <f t="shared" si="393"/>
        <v>2Q14</v>
      </c>
      <c r="CH166" s="572" t="str">
        <f t="shared" si="393"/>
        <v>3Q14</v>
      </c>
      <c r="CI166" s="573" t="str">
        <f t="shared" si="393"/>
        <v>4Q14</v>
      </c>
      <c r="CJ166" s="572" t="str">
        <f t="shared" si="393"/>
        <v>1Q15</v>
      </c>
      <c r="CK166" s="572" t="str">
        <f t="shared" si="393"/>
        <v>2Q15</v>
      </c>
      <c r="CL166" s="572" t="str">
        <f t="shared" si="393"/>
        <v>3Q15</v>
      </c>
      <c r="CM166" s="573" t="str">
        <f t="shared" si="393"/>
        <v>4Q15</v>
      </c>
      <c r="CN166" s="572" t="str">
        <f t="shared" si="393"/>
        <v>1Q16</v>
      </c>
      <c r="CO166" s="572" t="str">
        <f t="shared" si="393"/>
        <v>2Q16</v>
      </c>
      <c r="CP166" s="572" t="str">
        <f t="shared" si="393"/>
        <v>3Q16</v>
      </c>
      <c r="CQ166" s="573" t="str">
        <f t="shared" si="393"/>
        <v>4Q16</v>
      </c>
      <c r="CR166" s="572" t="str">
        <f t="shared" si="393"/>
        <v>1Q17</v>
      </c>
      <c r="CS166" s="572" t="str">
        <f t="shared" si="393"/>
        <v>2Q17</v>
      </c>
      <c r="CT166" s="572" t="str">
        <f t="shared" si="393"/>
        <v>3Q17</v>
      </c>
      <c r="CU166" s="573" t="str">
        <f t="shared" si="393"/>
        <v>4Q17</v>
      </c>
      <c r="CV166" s="572" t="str">
        <f t="shared" si="393"/>
        <v>1Q18e</v>
      </c>
      <c r="CW166" s="572" t="str">
        <f t="shared" si="393"/>
        <v>2Q18e</v>
      </c>
      <c r="CX166" s="572" t="str">
        <f t="shared" si="393"/>
        <v>3Q18e</v>
      </c>
      <c r="CY166" s="573" t="str">
        <f t="shared" si="393"/>
        <v>4Q18e</v>
      </c>
      <c r="CZ166" s="137"/>
      <c r="DA166" s="572">
        <f t="shared" ref="DA166:ED166" si="394">DA$4</f>
        <v>1994</v>
      </c>
      <c r="DB166" s="572">
        <f t="shared" si="394"/>
        <v>1995</v>
      </c>
      <c r="DC166" s="572">
        <f t="shared" si="394"/>
        <v>1996</v>
      </c>
      <c r="DD166" s="572">
        <f t="shared" si="394"/>
        <v>1997</v>
      </c>
      <c r="DE166" s="572">
        <f t="shared" si="394"/>
        <v>1998</v>
      </c>
      <c r="DF166" s="572">
        <f t="shared" si="394"/>
        <v>1999</v>
      </c>
      <c r="DG166" s="572">
        <f t="shared" si="394"/>
        <v>2000</v>
      </c>
      <c r="DH166" s="572">
        <f t="shared" si="394"/>
        <v>2001</v>
      </c>
      <c r="DI166" s="572">
        <f t="shared" si="394"/>
        <v>2002</v>
      </c>
      <c r="DJ166" s="572">
        <f t="shared" si="394"/>
        <v>2003</v>
      </c>
      <c r="DK166" s="572">
        <f t="shared" si="394"/>
        <v>2004</v>
      </c>
      <c r="DL166" s="572">
        <f t="shared" si="394"/>
        <v>2005</v>
      </c>
      <c r="DM166" s="572">
        <f t="shared" si="394"/>
        <v>2006</v>
      </c>
      <c r="DN166" s="572">
        <f t="shared" si="394"/>
        <v>2007</v>
      </c>
      <c r="DO166" s="572">
        <f t="shared" si="394"/>
        <v>2008</v>
      </c>
      <c r="DP166" s="572">
        <f t="shared" si="394"/>
        <v>2009</v>
      </c>
      <c r="DQ166" s="572">
        <f t="shared" si="394"/>
        <v>2010</v>
      </c>
      <c r="DR166" s="572">
        <f t="shared" si="394"/>
        <v>2011</v>
      </c>
      <c r="DS166" s="572">
        <f t="shared" si="394"/>
        <v>2012</v>
      </c>
      <c r="DT166" s="572">
        <f t="shared" si="394"/>
        <v>2013</v>
      </c>
      <c r="DU166" s="572">
        <f t="shared" si="394"/>
        <v>2014</v>
      </c>
      <c r="DV166" s="572">
        <f t="shared" si="394"/>
        <v>2015</v>
      </c>
      <c r="DW166" s="572">
        <f t="shared" si="394"/>
        <v>2016</v>
      </c>
      <c r="DX166" s="572">
        <f t="shared" si="394"/>
        <v>2017</v>
      </c>
      <c r="DY166" s="572" t="str">
        <f t="shared" si="394"/>
        <v>2018e</v>
      </c>
      <c r="DZ166" s="572" t="str">
        <f t="shared" si="394"/>
        <v>2019e</v>
      </c>
      <c r="EA166" s="572" t="str">
        <f t="shared" si="394"/>
        <v>2020e</v>
      </c>
      <c r="EB166" s="572" t="str">
        <f t="shared" si="394"/>
        <v>2021e</v>
      </c>
      <c r="EC166" s="572" t="str">
        <f t="shared" si="394"/>
        <v>2022e</v>
      </c>
      <c r="ED166" s="572" t="str">
        <f t="shared" si="394"/>
        <v>2023e</v>
      </c>
      <c r="EF166"/>
      <c r="EG166"/>
      <c r="EH166"/>
      <c r="EI166"/>
      <c r="EJ166"/>
      <c r="EK166"/>
    </row>
    <row r="167" spans="1:141" hidden="1" outlineLevel="1">
      <c r="A167" s="133"/>
      <c r="B167" s="111"/>
      <c r="C167" s="111"/>
      <c r="D167" s="140"/>
      <c r="E167" s="111"/>
      <c r="F167" s="111"/>
      <c r="G167" s="141"/>
      <c r="H167" s="111"/>
      <c r="I167" s="111"/>
      <c r="J167" s="111"/>
      <c r="K167" s="141"/>
      <c r="L167" s="111"/>
      <c r="M167" s="111"/>
      <c r="N167" s="111"/>
      <c r="O167" s="141"/>
      <c r="P167" s="111"/>
      <c r="Q167" s="111"/>
      <c r="R167" s="111"/>
      <c r="S167" s="141"/>
      <c r="T167" s="111"/>
      <c r="U167" s="111"/>
      <c r="V167" s="111"/>
      <c r="W167" s="141"/>
      <c r="X167" s="111"/>
      <c r="Y167" s="111"/>
      <c r="Z167" s="111"/>
      <c r="AA167" s="141"/>
      <c r="AB167" s="111"/>
      <c r="AC167" s="111"/>
      <c r="AD167" s="111"/>
      <c r="AE167" s="141"/>
      <c r="AF167" s="111"/>
      <c r="AG167" s="111"/>
      <c r="AH167" s="111"/>
      <c r="AI167" s="141"/>
      <c r="AJ167" s="111"/>
      <c r="AK167" s="111"/>
      <c r="AL167" s="111"/>
      <c r="AM167" s="141"/>
      <c r="AN167" s="111"/>
      <c r="AO167" s="111"/>
      <c r="AP167" s="111"/>
      <c r="AQ167" s="141"/>
      <c r="AR167" s="111"/>
      <c r="AS167" s="111"/>
      <c r="AT167" s="111"/>
      <c r="AU167" s="141"/>
      <c r="AV167" s="111"/>
      <c r="AW167" s="111"/>
      <c r="AX167" s="111"/>
      <c r="AY167" s="141"/>
      <c r="AZ167" s="111"/>
      <c r="BA167" s="111"/>
      <c r="BB167" s="111"/>
      <c r="BC167" s="141"/>
      <c r="BD167" s="111"/>
      <c r="BE167" s="111"/>
      <c r="BF167" s="111"/>
      <c r="BG167" s="141"/>
      <c r="BH167" s="111"/>
      <c r="BI167" s="111"/>
      <c r="BJ167" s="111"/>
      <c r="BK167" s="141"/>
      <c r="BL167" s="111"/>
      <c r="BM167" s="111"/>
      <c r="BN167" s="111"/>
      <c r="BO167" s="141"/>
      <c r="BP167" s="111"/>
      <c r="BQ167" s="111"/>
      <c r="BR167" s="111"/>
      <c r="BS167" s="141"/>
      <c r="BT167" s="111"/>
      <c r="BU167" s="111"/>
      <c r="BV167" s="111"/>
      <c r="BW167" s="141"/>
      <c r="BX167" s="111"/>
      <c r="BY167" s="111"/>
      <c r="BZ167" s="111"/>
      <c r="CA167" s="141"/>
      <c r="CB167" s="129"/>
      <c r="CC167" s="111"/>
      <c r="CD167" s="111"/>
      <c r="CE167" s="141"/>
      <c r="CF167" s="129"/>
      <c r="CG167" s="111"/>
      <c r="CH167" s="111"/>
      <c r="CI167" s="141"/>
      <c r="CJ167" s="129"/>
      <c r="CK167" s="129"/>
      <c r="CL167" s="129"/>
      <c r="CM167" s="130"/>
      <c r="CN167" s="129"/>
      <c r="CO167" s="129"/>
      <c r="CP167" s="129"/>
      <c r="CQ167" s="130"/>
      <c r="CR167" s="129"/>
      <c r="CS167" s="129"/>
      <c r="CT167" s="129"/>
      <c r="CU167" s="130"/>
      <c r="CV167" s="129"/>
      <c r="CW167" s="129"/>
      <c r="CX167" s="129"/>
      <c r="CY167" s="130"/>
      <c r="CZ167" s="137"/>
      <c r="DA167" s="129"/>
      <c r="DB167" s="129"/>
      <c r="DC167" s="129"/>
      <c r="DD167" s="129"/>
      <c r="DE167" s="129"/>
      <c r="DF167" s="129"/>
      <c r="DG167" s="129"/>
      <c r="DH167" s="129"/>
      <c r="DI167" s="129"/>
      <c r="DJ167" s="129"/>
      <c r="DK167" s="129"/>
      <c r="DL167" s="129"/>
      <c r="DM167" s="129"/>
      <c r="DN167" s="129"/>
      <c r="DO167" s="129"/>
      <c r="DP167" s="129"/>
      <c r="DQ167" s="129"/>
      <c r="DR167" s="129"/>
      <c r="DS167" s="129"/>
      <c r="DT167" s="129"/>
      <c r="DU167" s="129"/>
      <c r="DV167" s="129"/>
      <c r="DW167" s="129"/>
      <c r="DX167" s="129"/>
      <c r="DY167" s="111"/>
      <c r="DZ167" s="111"/>
      <c r="EA167" s="111"/>
      <c r="EB167" s="111"/>
      <c r="EC167" s="111"/>
      <c r="ED167" s="111"/>
      <c r="EE167" s="111"/>
    </row>
    <row r="168" spans="1:141" s="255" customFormat="1" hidden="1" outlineLevel="1">
      <c r="A168" s="253"/>
      <c r="B168" s="254" t="s">
        <v>12</v>
      </c>
      <c r="C168" s="254"/>
      <c r="D168" s="342">
        <v>0.35</v>
      </c>
      <c r="E168" s="256">
        <v>0.35</v>
      </c>
      <c r="F168" s="256">
        <v>0.35</v>
      </c>
      <c r="G168" s="257">
        <v>0.35</v>
      </c>
      <c r="H168" s="256">
        <v>0.35</v>
      </c>
      <c r="I168" s="256">
        <v>0.35</v>
      </c>
      <c r="J168" s="256">
        <v>0.35</v>
      </c>
      <c r="K168" s="257">
        <v>0.35</v>
      </c>
      <c r="L168" s="256">
        <v>0.35</v>
      </c>
      <c r="M168" s="256">
        <v>0.35</v>
      </c>
      <c r="N168" s="256">
        <v>0.35</v>
      </c>
      <c r="O168" s="257">
        <v>0.35</v>
      </c>
      <c r="P168" s="256">
        <v>0.35</v>
      </c>
      <c r="Q168" s="256">
        <v>0.35</v>
      </c>
      <c r="R168" s="256">
        <v>0.35</v>
      </c>
      <c r="S168" s="257">
        <v>0.35</v>
      </c>
      <c r="T168" s="256">
        <v>0.35</v>
      </c>
      <c r="U168" s="256">
        <v>0.35</v>
      </c>
      <c r="V168" s="256">
        <v>0.35</v>
      </c>
      <c r="W168" s="257">
        <v>0.35</v>
      </c>
      <c r="X168" s="256">
        <v>0.35</v>
      </c>
      <c r="Y168" s="256">
        <v>0.35</v>
      </c>
      <c r="Z168" s="256">
        <v>0.35</v>
      </c>
      <c r="AA168" s="257">
        <v>0.35</v>
      </c>
      <c r="AB168" s="256">
        <v>0.35</v>
      </c>
      <c r="AC168" s="256">
        <v>0.35</v>
      </c>
      <c r="AD168" s="256">
        <v>0.35</v>
      </c>
      <c r="AE168" s="257">
        <v>0.35</v>
      </c>
      <c r="AF168" s="256">
        <v>0.35</v>
      </c>
      <c r="AG168" s="256">
        <v>0.35</v>
      </c>
      <c r="AH168" s="256">
        <v>0.35</v>
      </c>
      <c r="AI168" s="257">
        <v>0.35</v>
      </c>
      <c r="AJ168" s="256">
        <v>0.35</v>
      </c>
      <c r="AK168" s="256">
        <v>0.35</v>
      </c>
      <c r="AL168" s="256">
        <v>0.35</v>
      </c>
      <c r="AM168" s="257">
        <v>0.35</v>
      </c>
      <c r="AN168" s="256">
        <v>0.35</v>
      </c>
      <c r="AO168" s="256">
        <v>0.35</v>
      </c>
      <c r="AP168" s="256">
        <v>0.35</v>
      </c>
      <c r="AQ168" s="257">
        <v>0.35</v>
      </c>
      <c r="AR168" s="256">
        <v>0.35</v>
      </c>
      <c r="AS168" s="256">
        <v>0.35</v>
      </c>
      <c r="AT168" s="256">
        <v>0.35</v>
      </c>
      <c r="AU168" s="257">
        <v>0.35</v>
      </c>
      <c r="AV168" s="256">
        <v>0.35</v>
      </c>
      <c r="AW168" s="256">
        <v>0.35</v>
      </c>
      <c r="AX168" s="256">
        <v>0.35</v>
      </c>
      <c r="AY168" s="257">
        <v>0.35</v>
      </c>
      <c r="AZ168" s="256">
        <v>0.35</v>
      </c>
      <c r="BA168" s="256">
        <v>0.35</v>
      </c>
      <c r="BB168" s="256">
        <v>0.35</v>
      </c>
      <c r="BC168" s="257">
        <v>0.35</v>
      </c>
      <c r="BD168" s="256">
        <v>0.35</v>
      </c>
      <c r="BE168" s="256">
        <v>0.35</v>
      </c>
      <c r="BF168" s="256">
        <v>0.35</v>
      </c>
      <c r="BG168" s="257">
        <v>0.35</v>
      </c>
      <c r="BH168" s="256">
        <v>0.35</v>
      </c>
      <c r="BI168" s="256">
        <v>0.35</v>
      </c>
      <c r="BJ168" s="256">
        <v>0.35</v>
      </c>
      <c r="BK168" s="257">
        <v>0.35</v>
      </c>
      <c r="BL168" s="256">
        <v>0.35</v>
      </c>
      <c r="BM168" s="256">
        <v>0.35</v>
      </c>
      <c r="BN168" s="256">
        <v>0.35</v>
      </c>
      <c r="BO168" s="257">
        <v>0.35</v>
      </c>
      <c r="BP168" s="256">
        <v>0.35</v>
      </c>
      <c r="BQ168" s="256">
        <v>0.35</v>
      </c>
      <c r="BR168" s="256">
        <v>0.35</v>
      </c>
      <c r="BS168" s="257">
        <v>0.35</v>
      </c>
      <c r="BT168" s="256">
        <v>0.35</v>
      </c>
      <c r="BU168" s="256">
        <v>0.35</v>
      </c>
      <c r="BV168" s="256">
        <v>0.35</v>
      </c>
      <c r="BW168" s="257">
        <v>0.35</v>
      </c>
      <c r="BX168" s="256">
        <v>0.35</v>
      </c>
      <c r="BY168" s="256">
        <v>0.35</v>
      </c>
      <c r="BZ168" s="256">
        <v>0.35</v>
      </c>
      <c r="CA168" s="257">
        <v>0.35</v>
      </c>
      <c r="CB168" s="256">
        <v>0.35</v>
      </c>
      <c r="CC168" s="256">
        <v>0.35</v>
      </c>
      <c r="CD168" s="256">
        <v>0.35</v>
      </c>
      <c r="CE168" s="257">
        <v>0.35</v>
      </c>
      <c r="CF168" s="256">
        <v>0.35</v>
      </c>
      <c r="CG168" s="256">
        <v>0.35</v>
      </c>
      <c r="CH168" s="256">
        <v>0.35</v>
      </c>
      <c r="CI168" s="257">
        <v>0.35</v>
      </c>
      <c r="CJ168" s="256">
        <v>0.35</v>
      </c>
      <c r="CK168" s="256">
        <v>0.35</v>
      </c>
      <c r="CL168" s="256">
        <v>0.35</v>
      </c>
      <c r="CM168" s="257">
        <v>0.35</v>
      </c>
      <c r="CN168" s="256">
        <v>0.35</v>
      </c>
      <c r="CO168" s="256">
        <v>0.35</v>
      </c>
      <c r="CP168" s="256">
        <v>0.35</v>
      </c>
      <c r="CQ168" s="257">
        <v>0.35</v>
      </c>
      <c r="CR168" s="256">
        <v>0.35</v>
      </c>
      <c r="CS168" s="256">
        <v>0.35</v>
      </c>
      <c r="CT168" s="256">
        <v>0.35</v>
      </c>
      <c r="CU168" s="257">
        <v>0.35</v>
      </c>
      <c r="CV168" s="256">
        <v>0.35</v>
      </c>
      <c r="CW168" s="256">
        <v>0.35</v>
      </c>
      <c r="CX168" s="256">
        <v>0.35</v>
      </c>
      <c r="CY168" s="257">
        <v>0.35</v>
      </c>
      <c r="CZ168" s="137"/>
      <c r="DA168" s="256">
        <v>0.35</v>
      </c>
      <c r="DB168" s="256">
        <v>0.35</v>
      </c>
      <c r="DC168" s="256">
        <v>0.35</v>
      </c>
      <c r="DD168" s="256">
        <v>0.35</v>
      </c>
      <c r="DE168" s="256">
        <v>0.35</v>
      </c>
      <c r="DF168" s="256">
        <v>0.35</v>
      </c>
      <c r="DG168" s="256">
        <v>0.35</v>
      </c>
      <c r="DH168" s="256">
        <v>0.35</v>
      </c>
      <c r="DI168" s="256">
        <v>0.35</v>
      </c>
      <c r="DJ168" s="256">
        <v>0.35</v>
      </c>
      <c r="DK168" s="256">
        <v>0.35</v>
      </c>
      <c r="DL168" s="256">
        <v>0.35</v>
      </c>
      <c r="DM168" s="256">
        <v>0.35</v>
      </c>
      <c r="DN168" s="256">
        <v>0.35</v>
      </c>
      <c r="DO168" s="256">
        <v>0.35</v>
      </c>
      <c r="DP168" s="256">
        <v>0.35</v>
      </c>
      <c r="DQ168" s="256">
        <v>0.35</v>
      </c>
      <c r="DR168" s="256">
        <v>0.35</v>
      </c>
      <c r="DS168" s="256">
        <v>0.35</v>
      </c>
      <c r="DT168" s="256">
        <v>0.35</v>
      </c>
      <c r="DU168" s="256">
        <v>0.35</v>
      </c>
      <c r="DV168" s="256">
        <v>0.35</v>
      </c>
      <c r="DW168" s="256">
        <v>0.35</v>
      </c>
      <c r="DX168" s="256">
        <v>0.35</v>
      </c>
      <c r="DY168" s="256">
        <v>0.35</v>
      </c>
      <c r="DZ168" s="256">
        <v>0.35</v>
      </c>
      <c r="EA168" s="256">
        <v>0.35</v>
      </c>
      <c r="EB168" s="256">
        <v>0.35</v>
      </c>
      <c r="EC168" s="256">
        <v>0.35</v>
      </c>
      <c r="ED168" s="256">
        <v>0.35</v>
      </c>
      <c r="EE168" s="254"/>
      <c r="EF168"/>
      <c r="EG168"/>
      <c r="EH168"/>
      <c r="EI168"/>
      <c r="EJ168"/>
      <c r="EK168"/>
    </row>
    <row r="169" spans="1:141" s="137" customFormat="1" hidden="1" outlineLevel="1">
      <c r="A169" s="193"/>
      <c r="B169" s="226" t="s">
        <v>134</v>
      </c>
      <c r="C169" s="226"/>
      <c r="D169" s="236"/>
      <c r="E169" s="229"/>
      <c r="F169" s="229"/>
      <c r="G169" s="230"/>
      <c r="H169" s="229"/>
      <c r="I169" s="229"/>
      <c r="J169" s="229"/>
      <c r="K169" s="230"/>
      <c r="L169" s="229"/>
      <c r="M169" s="229"/>
      <c r="N169" s="229"/>
      <c r="O169" s="230"/>
      <c r="P169" s="229"/>
      <c r="Q169" s="229"/>
      <c r="R169" s="229"/>
      <c r="S169" s="230"/>
      <c r="T169" s="229"/>
      <c r="U169" s="229"/>
      <c r="V169" s="229"/>
      <c r="W169" s="230"/>
      <c r="X169" s="229"/>
      <c r="Y169" s="229"/>
      <c r="Z169" s="197">
        <f t="shared" ref="Z169:BE169" si="395">Z35</f>
        <v>157</v>
      </c>
      <c r="AA169" s="198">
        <f t="shared" si="395"/>
        <v>157.19999999999999</v>
      </c>
      <c r="AB169" s="197">
        <f t="shared" si="395"/>
        <v>132.50069999999999</v>
      </c>
      <c r="AC169" s="197">
        <f t="shared" si="395"/>
        <v>131.758948</v>
      </c>
      <c r="AD169" s="197">
        <f t="shared" si="395"/>
        <v>128.87601799999999</v>
      </c>
      <c r="AE169" s="198">
        <f t="shared" si="395"/>
        <v>128.27712600000001</v>
      </c>
      <c r="AF169" s="197">
        <f t="shared" si="395"/>
        <v>127.38498</v>
      </c>
      <c r="AG169" s="197">
        <f t="shared" si="395"/>
        <v>127.81400600000001</v>
      </c>
      <c r="AH169" s="197">
        <f t="shared" si="395"/>
        <v>128.18025600000001</v>
      </c>
      <c r="AI169" s="198">
        <f t="shared" si="395"/>
        <v>128.439886</v>
      </c>
      <c r="AJ169" s="197">
        <f t="shared" si="395"/>
        <v>128.953608</v>
      </c>
      <c r="AK169" s="197">
        <f t="shared" si="395"/>
        <v>131.00474600000001</v>
      </c>
      <c r="AL169" s="197">
        <f t="shared" si="395"/>
        <v>131.42400000000001</v>
      </c>
      <c r="AM169" s="198">
        <f t="shared" si="395"/>
        <v>131.53947000000002</v>
      </c>
      <c r="AN169" s="197">
        <f t="shared" si="395"/>
        <v>131.56126800000001</v>
      </c>
      <c r="AO169" s="197">
        <f t="shared" si="395"/>
        <v>132.07829799999999</v>
      </c>
      <c r="AP169" s="197">
        <f t="shared" si="395"/>
        <v>134.13683</v>
      </c>
      <c r="AQ169" s="198">
        <f t="shared" si="395"/>
        <v>135.74173999999999</v>
      </c>
      <c r="AR169" s="197">
        <f t="shared" si="395"/>
        <v>136.64671199999975</v>
      </c>
      <c r="AS169" s="197">
        <f t="shared" si="395"/>
        <v>137.4</v>
      </c>
      <c r="AT169" s="197">
        <f t="shared" si="395"/>
        <v>136.6</v>
      </c>
      <c r="AU169" s="198">
        <f t="shared" si="395"/>
        <v>135.19999999999999</v>
      </c>
      <c r="AV169" s="197">
        <f t="shared" si="395"/>
        <v>134.4</v>
      </c>
      <c r="AW169" s="197">
        <f t="shared" si="395"/>
        <v>134.195584</v>
      </c>
      <c r="AX169" s="197">
        <f t="shared" si="395"/>
        <v>134.28814600000001</v>
      </c>
      <c r="AY169" s="198">
        <f t="shared" si="395"/>
        <v>134.4</v>
      </c>
      <c r="AZ169" s="197">
        <f t="shared" si="395"/>
        <v>134.43398400000001</v>
      </c>
      <c r="BA169" s="197">
        <f t="shared" si="395"/>
        <v>134.673056</v>
      </c>
      <c r="BB169" s="197">
        <f t="shared" si="395"/>
        <v>134.70567199999999</v>
      </c>
      <c r="BC169" s="198">
        <f t="shared" si="395"/>
        <v>134.70567199999999</v>
      </c>
      <c r="BD169" s="197">
        <f t="shared" si="395"/>
        <v>152.820964</v>
      </c>
      <c r="BE169" s="197">
        <f t="shared" si="395"/>
        <v>153.36270999999999</v>
      </c>
      <c r="BF169" s="197">
        <f t="shared" ref="BF169:CK169" si="396">BF35</f>
        <v>154.05123599999999</v>
      </c>
      <c r="BG169" s="198">
        <f t="shared" si="396"/>
        <v>154.4</v>
      </c>
      <c r="BH169" s="197">
        <f t="shared" si="396"/>
        <v>154.44640799999999</v>
      </c>
      <c r="BI169" s="197">
        <f t="shared" si="396"/>
        <v>154.617096</v>
      </c>
      <c r="BJ169" s="197">
        <f t="shared" si="396"/>
        <v>154.31720999999999</v>
      </c>
      <c r="BK169" s="198">
        <f t="shared" si="396"/>
        <v>154.6</v>
      </c>
      <c r="BL169" s="197">
        <f t="shared" si="396"/>
        <v>155</v>
      </c>
      <c r="BM169" s="197">
        <f t="shared" si="396"/>
        <v>155.039682</v>
      </c>
      <c r="BN169" s="197">
        <f t="shared" si="396"/>
        <v>155.04332400000001</v>
      </c>
      <c r="BO169" s="198">
        <f t="shared" si="396"/>
        <v>69</v>
      </c>
      <c r="BP169" s="197">
        <f t="shared" si="396"/>
        <v>83.761954000000003</v>
      </c>
      <c r="BQ169" s="197">
        <f t="shared" si="396"/>
        <v>92.932785999999993</v>
      </c>
      <c r="BR169" s="197">
        <f t="shared" si="396"/>
        <v>99.332229999999996</v>
      </c>
      <c r="BS169" s="198">
        <f t="shared" si="396"/>
        <v>94.814043999999996</v>
      </c>
      <c r="BT169" s="197">
        <f t="shared" si="396"/>
        <v>92.710253499999993</v>
      </c>
      <c r="BU169" s="197">
        <f t="shared" si="396"/>
        <v>92.710253499999993</v>
      </c>
      <c r="BV169" s="197">
        <f t="shared" si="396"/>
        <v>92.710253499999993</v>
      </c>
      <c r="BW169" s="198">
        <f t="shared" si="396"/>
        <v>92.710253499999993</v>
      </c>
      <c r="BX169" s="197">
        <f t="shared" si="396"/>
        <v>92.710253499999993</v>
      </c>
      <c r="BY169" s="197">
        <f t="shared" si="396"/>
        <v>92.710253499999993</v>
      </c>
      <c r="BZ169" s="197">
        <f t="shared" si="396"/>
        <v>92.710253499999993</v>
      </c>
      <c r="CA169" s="198">
        <f t="shared" si="396"/>
        <v>92.710253499999993</v>
      </c>
      <c r="CB169" s="197">
        <f t="shared" si="396"/>
        <v>95.9</v>
      </c>
      <c r="CC169" s="197">
        <f t="shared" si="396"/>
        <v>85.6</v>
      </c>
      <c r="CD169" s="197">
        <f t="shared" si="396"/>
        <v>81.8</v>
      </c>
      <c r="CE169" s="198">
        <f t="shared" si="396"/>
        <v>82.9</v>
      </c>
      <c r="CF169" s="197">
        <f t="shared" si="396"/>
        <v>82.8</v>
      </c>
      <c r="CG169" s="197">
        <f t="shared" si="396"/>
        <v>81.900000000000006</v>
      </c>
      <c r="CH169" s="197">
        <f t="shared" si="396"/>
        <v>81.400000000000006</v>
      </c>
      <c r="CI169" s="198">
        <f t="shared" si="396"/>
        <v>80.900000000000006</v>
      </c>
      <c r="CJ169" s="197">
        <f t="shared" si="396"/>
        <v>79.099999999999994</v>
      </c>
      <c r="CK169" s="197">
        <f t="shared" si="396"/>
        <v>78.099999999999994</v>
      </c>
      <c r="CL169" s="197">
        <f t="shared" ref="CL169:CT169" si="397">CL35</f>
        <v>77.400000000000006</v>
      </c>
      <c r="CM169" s="198">
        <f t="shared" si="397"/>
        <v>76.599999999999994</v>
      </c>
      <c r="CN169" s="197">
        <f t="shared" si="397"/>
        <v>75.5</v>
      </c>
      <c r="CO169" s="197">
        <f t="shared" si="397"/>
        <v>73.900000000000006</v>
      </c>
      <c r="CP169" s="197">
        <f t="shared" si="397"/>
        <v>72.099999999999994</v>
      </c>
      <c r="CQ169" s="198">
        <f t="shared" si="397"/>
        <v>71.099999999999994</v>
      </c>
      <c r="CR169" s="197">
        <f t="shared" si="397"/>
        <v>70.3</v>
      </c>
      <c r="CS169" s="197">
        <f t="shared" si="397"/>
        <v>69.400000000000006</v>
      </c>
      <c r="CT169" s="197">
        <f t="shared" si="397"/>
        <v>68.8</v>
      </c>
      <c r="CU169" s="198">
        <f t="shared" ref="CU169" si="398">CU35</f>
        <v>68.5</v>
      </c>
      <c r="CV169" s="197">
        <f t="shared" ref="CV169:CY169" si="399">CV35</f>
        <v>68.220078259361941</v>
      </c>
      <c r="CW169" s="197">
        <f t="shared" si="399"/>
        <v>67.667029259650008</v>
      </c>
      <c r="CX169" s="197">
        <f t="shared" si="399"/>
        <v>67.127404302043871</v>
      </c>
      <c r="CY169" s="198">
        <f t="shared" si="399"/>
        <v>66.600877547591523</v>
      </c>
      <c r="DA169" s="212"/>
      <c r="DB169" s="212"/>
      <c r="DC169" s="212"/>
      <c r="DD169" s="212"/>
      <c r="DE169" s="212"/>
      <c r="DF169" s="197">
        <f t="shared" ref="DF169:EA169" si="400">DF35</f>
        <v>157</v>
      </c>
      <c r="DG169" s="197">
        <f t="shared" si="400"/>
        <v>130.35319799999999</v>
      </c>
      <c r="DH169" s="197">
        <f t="shared" si="400"/>
        <v>127.95478199999999</v>
      </c>
      <c r="DI169" s="197">
        <f t="shared" si="400"/>
        <v>130.730456</v>
      </c>
      <c r="DJ169" s="197">
        <f t="shared" si="400"/>
        <v>133.37953399999998</v>
      </c>
      <c r="DK169" s="197">
        <f t="shared" si="400"/>
        <v>136.46167799999995</v>
      </c>
      <c r="DL169" s="197">
        <f t="shared" si="400"/>
        <v>134.3209325</v>
      </c>
      <c r="DM169" s="197">
        <f t="shared" si="400"/>
        <v>134.62959599999999</v>
      </c>
      <c r="DN169" s="197">
        <f t="shared" si="400"/>
        <v>153.6587275</v>
      </c>
      <c r="DO169" s="197">
        <f t="shared" si="400"/>
        <v>154.49517849999998</v>
      </c>
      <c r="DP169" s="197">
        <f t="shared" si="400"/>
        <v>133.52075149999999</v>
      </c>
      <c r="DQ169" s="197">
        <f t="shared" si="400"/>
        <v>92.710253499999993</v>
      </c>
      <c r="DR169" s="197">
        <f t="shared" si="400"/>
        <v>92.710253499999993</v>
      </c>
      <c r="DS169" s="197">
        <f t="shared" si="400"/>
        <v>92.710253499999993</v>
      </c>
      <c r="DT169" s="197">
        <f t="shared" si="400"/>
        <v>86.550000000000011</v>
      </c>
      <c r="DU169" s="197">
        <f t="shared" si="400"/>
        <v>81.75</v>
      </c>
      <c r="DV169" s="197">
        <f t="shared" si="400"/>
        <v>77.8</v>
      </c>
      <c r="DW169" s="197">
        <f t="shared" si="400"/>
        <v>73.150000000000006</v>
      </c>
      <c r="DX169" s="197">
        <f t="shared" si="400"/>
        <v>69.25</v>
      </c>
      <c r="DY169" s="197">
        <f>DY35</f>
        <v>67.403847342161839</v>
      </c>
      <c r="DZ169" s="197">
        <f t="shared" si="400"/>
        <v>64.313428417031631</v>
      </c>
      <c r="EA169" s="197">
        <f t="shared" si="400"/>
        <v>60.411353995336398</v>
      </c>
      <c r="EB169" s="197">
        <f t="shared" ref="EB169:ED169" si="401">EB35</f>
        <v>56.801953815429883</v>
      </c>
      <c r="EC169" s="197">
        <f t="shared" si="401"/>
        <v>53.460646522100149</v>
      </c>
      <c r="ED169" s="197">
        <f t="shared" si="401"/>
        <v>50.365015321084158</v>
      </c>
      <c r="EE169" s="199"/>
      <c r="EF169"/>
      <c r="EG169"/>
      <c r="EH169"/>
      <c r="EI169"/>
      <c r="EJ169"/>
      <c r="EK169"/>
    </row>
    <row r="170" spans="1:141" s="137" customFormat="1" hidden="1" outlineLevel="1">
      <c r="A170" s="193"/>
      <c r="B170" s="199" t="s">
        <v>140</v>
      </c>
      <c r="C170" s="199"/>
      <c r="D170" s="223">
        <v>0</v>
      </c>
      <c r="E170" s="199">
        <v>0</v>
      </c>
      <c r="F170" s="199">
        <v>0</v>
      </c>
      <c r="G170" s="211">
        <v>0</v>
      </c>
      <c r="H170" s="199">
        <v>0</v>
      </c>
      <c r="I170" s="199">
        <v>0</v>
      </c>
      <c r="J170" s="199">
        <v>0</v>
      </c>
      <c r="K170" s="211">
        <v>0</v>
      </c>
      <c r="L170" s="199">
        <v>0</v>
      </c>
      <c r="M170" s="199">
        <v>0</v>
      </c>
      <c r="N170" s="199">
        <v>0</v>
      </c>
      <c r="O170" s="211">
        <v>0</v>
      </c>
      <c r="P170" s="199">
        <v>0</v>
      </c>
      <c r="Q170" s="199">
        <v>0</v>
      </c>
      <c r="R170" s="199">
        <v>0</v>
      </c>
      <c r="S170" s="211">
        <v>0</v>
      </c>
      <c r="T170" s="199">
        <v>0</v>
      </c>
      <c r="U170" s="199">
        <v>0</v>
      </c>
      <c r="V170" s="199">
        <v>0</v>
      </c>
      <c r="W170" s="211">
        <v>0</v>
      </c>
      <c r="X170" s="199">
        <v>0</v>
      </c>
      <c r="Y170" s="199">
        <v>0</v>
      </c>
      <c r="Z170" s="199">
        <v>0</v>
      </c>
      <c r="AA170" s="211">
        <v>0</v>
      </c>
      <c r="AB170" s="199">
        <v>0</v>
      </c>
      <c r="AC170" s="199">
        <v>0</v>
      </c>
      <c r="AD170" s="199">
        <v>0</v>
      </c>
      <c r="AE170" s="211">
        <v>0</v>
      </c>
      <c r="AF170" s="199">
        <v>0</v>
      </c>
      <c r="AG170" s="199">
        <v>0</v>
      </c>
      <c r="AH170" s="199">
        <v>0</v>
      </c>
      <c r="AI170" s="211">
        <v>0</v>
      </c>
      <c r="AJ170" s="199">
        <v>0</v>
      </c>
      <c r="AK170" s="199">
        <v>0</v>
      </c>
      <c r="AL170" s="199">
        <v>0</v>
      </c>
      <c r="AM170" s="211">
        <v>0</v>
      </c>
      <c r="AN170" s="199">
        <v>0</v>
      </c>
      <c r="AO170" s="199">
        <v>0</v>
      </c>
      <c r="AP170" s="199">
        <v>0</v>
      </c>
      <c r="AQ170" s="211">
        <v>0</v>
      </c>
      <c r="AR170" s="199">
        <v>0</v>
      </c>
      <c r="AS170" s="199">
        <v>0</v>
      </c>
      <c r="AT170" s="199">
        <v>0</v>
      </c>
      <c r="AU170" s="211">
        <v>0</v>
      </c>
      <c r="AV170" s="199">
        <v>0</v>
      </c>
      <c r="AW170" s="199">
        <v>0</v>
      </c>
      <c r="AX170" s="199">
        <v>0</v>
      </c>
      <c r="AY170" s="211">
        <v>0</v>
      </c>
      <c r="AZ170" s="199">
        <v>0</v>
      </c>
      <c r="BA170" s="199">
        <v>0</v>
      </c>
      <c r="BB170" s="199">
        <v>0</v>
      </c>
      <c r="BC170" s="211">
        <v>0</v>
      </c>
      <c r="BD170" s="199">
        <v>0</v>
      </c>
      <c r="BE170" s="199">
        <v>0</v>
      </c>
      <c r="BF170" s="199">
        <v>0</v>
      </c>
      <c r="BG170" s="211">
        <v>0</v>
      </c>
      <c r="BH170" s="199">
        <v>0</v>
      </c>
      <c r="BI170" s="199">
        <v>0</v>
      </c>
      <c r="BJ170" s="199">
        <v>0</v>
      </c>
      <c r="BK170" s="211">
        <v>0</v>
      </c>
      <c r="BL170" s="199">
        <v>0</v>
      </c>
      <c r="BM170" s="199">
        <v>0</v>
      </c>
      <c r="BN170" s="199">
        <v>0</v>
      </c>
      <c r="BO170" s="211">
        <v>0</v>
      </c>
      <c r="BP170" s="199">
        <v>0</v>
      </c>
      <c r="BQ170" s="199">
        <v>0</v>
      </c>
      <c r="BR170" s="199">
        <v>0</v>
      </c>
      <c r="BS170" s="211">
        <v>0</v>
      </c>
      <c r="BT170" s="199">
        <v>0</v>
      </c>
      <c r="BU170" s="199">
        <v>0</v>
      </c>
      <c r="BV170" s="199">
        <v>0</v>
      </c>
      <c r="BW170" s="211">
        <v>0</v>
      </c>
      <c r="BX170" s="199">
        <v>0</v>
      </c>
      <c r="BY170" s="199">
        <v>0</v>
      </c>
      <c r="BZ170" s="199">
        <v>0</v>
      </c>
      <c r="CA170" s="211">
        <v>0</v>
      </c>
      <c r="CB170" s="199">
        <v>0</v>
      </c>
      <c r="CC170" s="199">
        <v>0</v>
      </c>
      <c r="CD170" s="199">
        <v>0</v>
      </c>
      <c r="CE170" s="211">
        <v>0</v>
      </c>
      <c r="CF170" s="199">
        <v>0</v>
      </c>
      <c r="CG170" s="199">
        <v>0</v>
      </c>
      <c r="CH170" s="199">
        <v>0</v>
      </c>
      <c r="CI170" s="211">
        <v>0</v>
      </c>
      <c r="CJ170" s="199">
        <v>0</v>
      </c>
      <c r="CK170" s="199">
        <v>0</v>
      </c>
      <c r="CL170" s="199">
        <v>0</v>
      </c>
      <c r="CM170" s="211">
        <v>0</v>
      </c>
      <c r="CN170" s="199">
        <v>0</v>
      </c>
      <c r="CO170" s="199">
        <v>0</v>
      </c>
      <c r="CP170" s="199">
        <v>0</v>
      </c>
      <c r="CQ170" s="211">
        <v>0</v>
      </c>
      <c r="CR170" s="199">
        <v>0</v>
      </c>
      <c r="CS170" s="199">
        <v>0</v>
      </c>
      <c r="CT170" s="199">
        <v>0</v>
      </c>
      <c r="CU170" s="211">
        <v>0</v>
      </c>
      <c r="CV170" s="199">
        <v>0</v>
      </c>
      <c r="CW170" s="199">
        <v>0</v>
      </c>
      <c r="CX170" s="199">
        <v>0</v>
      </c>
      <c r="CY170" s="211">
        <v>0</v>
      </c>
      <c r="DA170" s="199">
        <v>0</v>
      </c>
      <c r="DB170" s="199">
        <v>0</v>
      </c>
      <c r="DC170" s="199">
        <v>0</v>
      </c>
      <c r="DD170" s="199">
        <v>0</v>
      </c>
      <c r="DE170" s="199">
        <v>0</v>
      </c>
      <c r="DF170" s="199">
        <v>0</v>
      </c>
      <c r="DG170" s="199">
        <v>0</v>
      </c>
      <c r="DH170" s="199">
        <v>0</v>
      </c>
      <c r="DI170" s="199">
        <v>0</v>
      </c>
      <c r="DJ170" s="199">
        <v>0</v>
      </c>
      <c r="DK170" s="199">
        <v>0</v>
      </c>
      <c r="DL170" s="199">
        <v>0</v>
      </c>
      <c r="DM170" s="199">
        <v>0</v>
      </c>
      <c r="DN170" s="199">
        <v>0</v>
      </c>
      <c r="DO170" s="199">
        <v>0</v>
      </c>
      <c r="DP170" s="199">
        <v>0</v>
      </c>
      <c r="DQ170" s="199">
        <v>0</v>
      </c>
      <c r="DR170" s="199">
        <v>0</v>
      </c>
      <c r="DS170" s="199">
        <v>0</v>
      </c>
      <c r="DT170" s="199">
        <v>0</v>
      </c>
      <c r="DU170" s="199">
        <v>0</v>
      </c>
      <c r="DV170" s="199">
        <v>0</v>
      </c>
      <c r="DW170" s="199">
        <v>0</v>
      </c>
      <c r="DX170" s="199">
        <v>0</v>
      </c>
      <c r="DY170" s="199">
        <v>0</v>
      </c>
      <c r="DZ170" s="199">
        <v>0</v>
      </c>
      <c r="EA170" s="199">
        <v>0</v>
      </c>
      <c r="EB170" s="199">
        <v>0</v>
      </c>
      <c r="EC170" s="199">
        <v>0</v>
      </c>
      <c r="ED170" s="199">
        <v>0</v>
      </c>
      <c r="EE170" s="199"/>
      <c r="EF170"/>
      <c r="EG170"/>
      <c r="EH170"/>
      <c r="EI170"/>
      <c r="EJ170"/>
      <c r="EK170"/>
    </row>
    <row r="171" spans="1:141" s="137" customFormat="1" hidden="1" outlineLevel="1">
      <c r="A171" s="193"/>
      <c r="B171" s="199" t="s">
        <v>27</v>
      </c>
      <c r="C171" s="199"/>
      <c r="D171" s="223">
        <f t="shared" ref="D171:AI171" si="402">D31-D25</f>
        <v>6.500000000000095</v>
      </c>
      <c r="E171" s="199">
        <f t="shared" si="402"/>
        <v>21.100000000000016</v>
      </c>
      <c r="F171" s="199">
        <f t="shared" si="402"/>
        <v>6.2999999999999776</v>
      </c>
      <c r="G171" s="211">
        <f t="shared" si="402"/>
        <v>25.8</v>
      </c>
      <c r="H171" s="199">
        <f t="shared" si="402"/>
        <v>17.000000000000028</v>
      </c>
      <c r="I171" s="199">
        <f t="shared" si="402"/>
        <v>28.899999999999959</v>
      </c>
      <c r="J171" s="199">
        <f t="shared" si="402"/>
        <v>12.599999999999936</v>
      </c>
      <c r="K171" s="211">
        <f t="shared" si="402"/>
        <v>37.200000000000074</v>
      </c>
      <c r="L171" s="199">
        <f t="shared" si="402"/>
        <v>25.799999999999923</v>
      </c>
      <c r="M171" s="199">
        <f t="shared" si="402"/>
        <v>50.100000000000087</v>
      </c>
      <c r="N171" s="199">
        <f t="shared" si="402"/>
        <v>24.799999999999809</v>
      </c>
      <c r="O171" s="211">
        <f t="shared" si="402"/>
        <v>51.2</v>
      </c>
      <c r="P171" s="199">
        <f t="shared" si="402"/>
        <v>41.900000000000105</v>
      </c>
      <c r="Q171" s="199">
        <f t="shared" si="402"/>
        <v>61.100000000000009</v>
      </c>
      <c r="R171" s="199">
        <f t="shared" si="402"/>
        <v>35.600000000000172</v>
      </c>
      <c r="S171" s="211">
        <f t="shared" si="402"/>
        <v>68.59999999999981</v>
      </c>
      <c r="T171" s="199">
        <f t="shared" si="402"/>
        <v>47.299999999999812</v>
      </c>
      <c r="U171" s="199">
        <f t="shared" si="402"/>
        <v>65.699999999999903</v>
      </c>
      <c r="V171" s="199">
        <f t="shared" si="402"/>
        <v>21.599999999999994</v>
      </c>
      <c r="W171" s="211">
        <f t="shared" si="402"/>
        <v>73.400000000000347</v>
      </c>
      <c r="X171" s="199">
        <f t="shared" si="402"/>
        <v>50.299999999999805</v>
      </c>
      <c r="Y171" s="199">
        <f t="shared" si="402"/>
        <v>74.799999999999798</v>
      </c>
      <c r="Z171" s="199">
        <f t="shared" si="402"/>
        <v>39.299999999999642</v>
      </c>
      <c r="AA171" s="211">
        <f t="shared" si="402"/>
        <v>92.700000000000102</v>
      </c>
      <c r="AB171" s="199">
        <f t="shared" si="402"/>
        <v>62.000000000000007</v>
      </c>
      <c r="AC171" s="199">
        <f t="shared" si="402"/>
        <v>101.69999999999996</v>
      </c>
      <c r="AD171" s="199">
        <f t="shared" si="402"/>
        <v>38.599999999999724</v>
      </c>
      <c r="AE171" s="211">
        <f t="shared" si="402"/>
        <v>72.399999999999736</v>
      </c>
      <c r="AF171" s="199">
        <f t="shared" si="402"/>
        <v>14.500000000000096</v>
      </c>
      <c r="AG171" s="199">
        <f t="shared" si="402"/>
        <v>44.900000000000176</v>
      </c>
      <c r="AH171" s="199">
        <f t="shared" si="402"/>
        <v>15.699999999999719</v>
      </c>
      <c r="AI171" s="211">
        <f t="shared" si="402"/>
        <v>-48.800000000000168</v>
      </c>
      <c r="AJ171" s="199">
        <f t="shared" ref="AJ171:BO171" si="403">AJ31-AJ25</f>
        <v>-252.10000000000008</v>
      </c>
      <c r="AK171" s="199">
        <f t="shared" si="403"/>
        <v>85.499999999999716</v>
      </c>
      <c r="AL171" s="199">
        <f t="shared" si="403"/>
        <v>61.600000000000186</v>
      </c>
      <c r="AM171" s="211">
        <f t="shared" si="403"/>
        <v>117.99999999999991</v>
      </c>
      <c r="AN171" s="199">
        <f t="shared" si="403"/>
        <v>67.89999999999992</v>
      </c>
      <c r="AO171" s="199">
        <f t="shared" si="403"/>
        <v>104.09999999999982</v>
      </c>
      <c r="AP171" s="199">
        <f t="shared" si="403"/>
        <v>76.099999999999824</v>
      </c>
      <c r="AQ171" s="211">
        <f t="shared" si="403"/>
        <v>132.40000000000006</v>
      </c>
      <c r="AR171" s="199">
        <f t="shared" si="403"/>
        <v>91.400000000000574</v>
      </c>
      <c r="AS171" s="199">
        <f t="shared" si="403"/>
        <v>116.09999999999992</v>
      </c>
      <c r="AT171" s="199">
        <f t="shared" si="403"/>
        <v>91.670000000000286</v>
      </c>
      <c r="AU171" s="211">
        <f t="shared" si="403"/>
        <v>123.00000000000054</v>
      </c>
      <c r="AV171" s="199">
        <f t="shared" si="403"/>
        <v>15.600000000000104</v>
      </c>
      <c r="AW171" s="199">
        <f t="shared" si="403"/>
        <v>-110.40014424575983</v>
      </c>
      <c r="AX171" s="199">
        <f t="shared" si="403"/>
        <v>-750.10280000000012</v>
      </c>
      <c r="AY171" s="211">
        <f t="shared" si="403"/>
        <v>-603.0249999999993</v>
      </c>
      <c r="AZ171" s="199">
        <f t="shared" si="403"/>
        <v>17.900000000000354</v>
      </c>
      <c r="BA171" s="199">
        <f t="shared" si="403"/>
        <v>-30.478280992000357</v>
      </c>
      <c r="BB171" s="199">
        <f t="shared" si="403"/>
        <v>-74.000000000000355</v>
      </c>
      <c r="BC171" s="211">
        <f t="shared" si="403"/>
        <v>-644.99999999999977</v>
      </c>
      <c r="BD171" s="199">
        <f t="shared" si="403"/>
        <v>49.90000000000056</v>
      </c>
      <c r="BE171" s="199">
        <f t="shared" si="403"/>
        <v>123.59999999999997</v>
      </c>
      <c r="BF171" s="199">
        <f t="shared" si="403"/>
        <v>40.964999999999911</v>
      </c>
      <c r="BG171" s="211">
        <f t="shared" si="403"/>
        <v>26.999999999999901</v>
      </c>
      <c r="BH171" s="199">
        <f t="shared" si="403"/>
        <v>82.200000000000074</v>
      </c>
      <c r="BI171" s="199">
        <f t="shared" si="403"/>
        <v>24.800000000000018</v>
      </c>
      <c r="BJ171" s="199">
        <f t="shared" si="403"/>
        <v>-92.40000000000019</v>
      </c>
      <c r="BK171" s="211">
        <f t="shared" si="403"/>
        <v>-592.51999999999987</v>
      </c>
      <c r="BL171" s="199">
        <f t="shared" si="403"/>
        <v>-262.8</v>
      </c>
      <c r="BM171" s="199">
        <f t="shared" si="403"/>
        <v>-168.4</v>
      </c>
      <c r="BN171" s="199">
        <f t="shared" si="403"/>
        <v>31.200000000000092</v>
      </c>
      <c r="BO171" s="211">
        <f t="shared" si="403"/>
        <v>1227.7000000000003</v>
      </c>
      <c r="BP171" s="199">
        <f t="shared" ref="BP171:CT171" si="404">BP31-BP25</f>
        <v>73.800000000000026</v>
      </c>
      <c r="BQ171" s="199">
        <f t="shared" si="404"/>
        <v>163.80000000000015</v>
      </c>
      <c r="BR171" s="199">
        <f t="shared" si="404"/>
        <v>98.500000000000071</v>
      </c>
      <c r="BS171" s="211">
        <f t="shared" si="404"/>
        <v>123.80000000000022</v>
      </c>
      <c r="BT171" s="199">
        <f t="shared" si="404"/>
        <v>162.39999999999964</v>
      </c>
      <c r="BU171" s="199">
        <f t="shared" si="404"/>
        <v>185.70000000000039</v>
      </c>
      <c r="BV171" s="199">
        <f t="shared" si="404"/>
        <v>108.09999999999997</v>
      </c>
      <c r="BW171" s="211">
        <f t="shared" si="404"/>
        <v>113.90000000000009</v>
      </c>
      <c r="BX171" s="199">
        <f t="shared" si="404"/>
        <v>144.4000000000002</v>
      </c>
      <c r="BY171" s="199">
        <f t="shared" si="404"/>
        <v>154.59999999999988</v>
      </c>
      <c r="BZ171" s="199">
        <f t="shared" si="404"/>
        <v>133.9</v>
      </c>
      <c r="CA171" s="211">
        <f t="shared" si="404"/>
        <v>890.10000000000014</v>
      </c>
      <c r="CB171" s="199">
        <f t="shared" si="404"/>
        <v>132.80000000000027</v>
      </c>
      <c r="CC171" s="199">
        <f t="shared" si="404"/>
        <v>143.30000000000024</v>
      </c>
      <c r="CD171" s="199">
        <f t="shared" si="404"/>
        <v>122.39999999999981</v>
      </c>
      <c r="CE171" s="211">
        <f t="shared" si="404"/>
        <v>135.90000000000052</v>
      </c>
      <c r="CF171" s="199">
        <f t="shared" si="404"/>
        <v>158.60000000000008</v>
      </c>
      <c r="CG171" s="199">
        <f t="shared" si="404"/>
        <v>182.90000000000092</v>
      </c>
      <c r="CH171" s="199">
        <f t="shared" si="404"/>
        <v>164.6999999999999</v>
      </c>
      <c r="CI171" s="211">
        <f t="shared" si="404"/>
        <v>189.59999999999985</v>
      </c>
      <c r="CJ171" s="199">
        <f t="shared" si="404"/>
        <v>189.9000000000004</v>
      </c>
      <c r="CK171" s="199">
        <f t="shared" si="404"/>
        <v>230.80000000000132</v>
      </c>
      <c r="CL171" s="199">
        <f t="shared" si="404"/>
        <v>210.70000000000056</v>
      </c>
      <c r="CM171" s="211">
        <f t="shared" si="404"/>
        <v>262.80000000000041</v>
      </c>
      <c r="CN171" s="199">
        <f t="shared" si="404"/>
        <v>270.49999999999994</v>
      </c>
      <c r="CO171" s="199">
        <f t="shared" si="404"/>
        <v>282.20000000000039</v>
      </c>
      <c r="CP171" s="199">
        <f t="shared" si="404"/>
        <v>250.29999999999973</v>
      </c>
      <c r="CQ171" s="211">
        <f t="shared" si="404"/>
        <v>288.70000000000061</v>
      </c>
      <c r="CR171" s="199">
        <f t="shared" si="404"/>
        <v>312.80000000000018</v>
      </c>
      <c r="CS171" s="199">
        <f t="shared" si="404"/>
        <v>320.00000000000045</v>
      </c>
      <c r="CT171" s="199">
        <f t="shared" si="404"/>
        <v>292.19999999999982</v>
      </c>
      <c r="CU171" s="211">
        <f t="shared" ref="CU171" si="405">CU31-CU25</f>
        <v>320.30000000000069</v>
      </c>
      <c r="CV171" s="199">
        <f t="shared" ref="CV171:CY171" si="406">CV31-CV25</f>
        <v>351.10903835359818</v>
      </c>
      <c r="CW171" s="199">
        <f t="shared" si="406"/>
        <v>356.94871100587056</v>
      </c>
      <c r="CX171" s="199">
        <f t="shared" si="406"/>
        <v>321.03352862848135</v>
      </c>
      <c r="CY171" s="211">
        <f t="shared" si="406"/>
        <v>331.93854160603109</v>
      </c>
      <c r="DA171" s="199">
        <f t="shared" ref="DA171:EA171" si="407">DA31-DA25</f>
        <v>59.700000000000088</v>
      </c>
      <c r="DB171" s="199">
        <f t="shared" si="407"/>
        <v>95.699999999999974</v>
      </c>
      <c r="DC171" s="199">
        <f t="shared" si="407"/>
        <v>151.90000000000066</v>
      </c>
      <c r="DD171" s="199">
        <f t="shared" si="407"/>
        <v>207.20000000000059</v>
      </c>
      <c r="DE171" s="199">
        <f t="shared" si="407"/>
        <v>208.00000000000142</v>
      </c>
      <c r="DF171" s="199">
        <f t="shared" si="407"/>
        <v>257.09999999999894</v>
      </c>
      <c r="DG171" s="199">
        <f t="shared" si="407"/>
        <v>274.70000000000039</v>
      </c>
      <c r="DH171" s="199">
        <f t="shared" si="407"/>
        <v>26.300000000000637</v>
      </c>
      <c r="DI171" s="199">
        <f t="shared" si="407"/>
        <v>12.999999999999318</v>
      </c>
      <c r="DJ171" s="199">
        <f t="shared" si="407"/>
        <v>380.49999999999977</v>
      </c>
      <c r="DK171" s="199">
        <f t="shared" si="407"/>
        <v>422.16999999999842</v>
      </c>
      <c r="DL171" s="199">
        <f t="shared" si="407"/>
        <v>-1447.9279442457587</v>
      </c>
      <c r="DM171" s="199">
        <f t="shared" si="407"/>
        <v>-731.57828099199708</v>
      </c>
      <c r="DN171" s="199">
        <f t="shared" si="407"/>
        <v>241.46500000000208</v>
      </c>
      <c r="DO171" s="199">
        <f t="shared" si="407"/>
        <v>-577.92000000000007</v>
      </c>
      <c r="DP171" s="199">
        <f t="shared" si="407"/>
        <v>827.69999999999936</v>
      </c>
      <c r="DQ171" s="199">
        <f t="shared" si="407"/>
        <v>459.9000000000018</v>
      </c>
      <c r="DR171" s="199">
        <f t="shared" si="407"/>
        <v>570.09999999999968</v>
      </c>
      <c r="DS171" s="199">
        <f t="shared" si="407"/>
        <v>1322.9999999999991</v>
      </c>
      <c r="DT171" s="199">
        <f t="shared" si="407"/>
        <v>534.40000000000168</v>
      </c>
      <c r="DU171" s="199">
        <f t="shared" si="407"/>
        <v>695.80000000000268</v>
      </c>
      <c r="DV171" s="199">
        <f t="shared" si="407"/>
        <v>894.20000000000243</v>
      </c>
      <c r="DW171" s="199">
        <f t="shared" si="407"/>
        <v>1091.7000000000007</v>
      </c>
      <c r="DX171" s="199">
        <f t="shared" si="407"/>
        <v>1245.3000000000031</v>
      </c>
      <c r="DY171" s="199">
        <f>DY31-DY25</f>
        <v>1361.0298195939802</v>
      </c>
      <c r="DZ171" s="199">
        <f t="shared" si="407"/>
        <v>1401.318815508575</v>
      </c>
      <c r="EA171" s="199">
        <f t="shared" si="407"/>
        <v>1377.7711373019156</v>
      </c>
      <c r="EB171" s="199">
        <f t="shared" ref="EB171:ED171" si="408">EB31-EB25</f>
        <v>1344.6910657338851</v>
      </c>
      <c r="EC171" s="199">
        <f t="shared" si="408"/>
        <v>1293.2967706148554</v>
      </c>
      <c r="ED171" s="199">
        <f t="shared" si="408"/>
        <v>1223.29000238497</v>
      </c>
      <c r="EE171" s="199"/>
      <c r="EF171"/>
      <c r="EG171"/>
      <c r="EH171"/>
      <c r="EI171"/>
      <c r="EJ171"/>
      <c r="EK171"/>
    </row>
    <row r="172" spans="1:141" hidden="1" outlineLevel="1">
      <c r="A172" s="133"/>
      <c r="B172" s="111"/>
      <c r="C172" s="111"/>
      <c r="D172" s="140"/>
      <c r="E172" s="111"/>
      <c r="F172" s="111"/>
      <c r="G172" s="141"/>
      <c r="H172" s="111"/>
      <c r="I172" s="111"/>
      <c r="J172" s="111"/>
      <c r="K172" s="141"/>
      <c r="L172" s="111"/>
      <c r="M172" s="111"/>
      <c r="N172" s="111"/>
      <c r="O172" s="141"/>
      <c r="P172" s="111"/>
      <c r="Q172" s="111"/>
      <c r="R172" s="111"/>
      <c r="S172" s="141"/>
      <c r="T172" s="111"/>
      <c r="U172" s="111"/>
      <c r="V172" s="111"/>
      <c r="W172" s="141"/>
      <c r="X172" s="111"/>
      <c r="Y172" s="111"/>
      <c r="Z172" s="111"/>
      <c r="AA172" s="141"/>
      <c r="AB172" s="111"/>
      <c r="AC172" s="111"/>
      <c r="AD172" s="111"/>
      <c r="AE172" s="141"/>
      <c r="AF172" s="111"/>
      <c r="AG172" s="111"/>
      <c r="AH172" s="111"/>
      <c r="AI172" s="141"/>
      <c r="AJ172" s="111"/>
      <c r="AK172" s="111"/>
      <c r="AL172" s="111"/>
      <c r="AM172" s="141"/>
      <c r="AN172" s="111"/>
      <c r="AO172" s="111"/>
      <c r="AP172" s="111"/>
      <c r="AQ172" s="141"/>
      <c r="AR172" s="111"/>
      <c r="AS172" s="111"/>
      <c r="AT172" s="111"/>
      <c r="AU172" s="141"/>
      <c r="AV172" s="111"/>
      <c r="AW172" s="111"/>
      <c r="AX172" s="111"/>
      <c r="AY172" s="141"/>
      <c r="AZ172" s="111"/>
      <c r="BA172" s="111"/>
      <c r="BB172" s="111"/>
      <c r="BC172" s="141"/>
      <c r="BD172" s="111"/>
      <c r="BE172" s="111"/>
      <c r="BF172" s="111"/>
      <c r="BG172" s="141"/>
      <c r="BH172" s="111"/>
      <c r="BI172" s="111"/>
      <c r="BJ172" s="111"/>
      <c r="BK172" s="141"/>
      <c r="BL172" s="111"/>
      <c r="BM172" s="111"/>
      <c r="BN172" s="111"/>
      <c r="BO172" s="141"/>
      <c r="BP172" s="111"/>
      <c r="BQ172" s="111"/>
      <c r="BR172" s="111"/>
      <c r="BS172" s="141"/>
      <c r="BT172" s="111"/>
      <c r="BU172" s="111"/>
      <c r="BV172" s="111"/>
      <c r="BW172" s="141"/>
      <c r="BX172" s="111"/>
      <c r="BY172" s="111"/>
      <c r="BZ172" s="111"/>
      <c r="CA172" s="141"/>
      <c r="CB172" s="111"/>
      <c r="CC172" s="111"/>
      <c r="CD172" s="111"/>
      <c r="CE172" s="141"/>
      <c r="CF172" s="111"/>
      <c r="CG172" s="111"/>
      <c r="CH172" s="111"/>
      <c r="CI172" s="141"/>
      <c r="CJ172" s="111"/>
      <c r="CK172" s="111"/>
      <c r="CL172" s="111"/>
      <c r="CM172" s="141"/>
      <c r="CN172" s="111"/>
      <c r="CO172" s="111"/>
      <c r="CP172" s="111"/>
      <c r="CQ172" s="141"/>
      <c r="CR172" s="111"/>
      <c r="CS172" s="111"/>
      <c r="CT172" s="111"/>
      <c r="CU172" s="141"/>
      <c r="CV172" s="111"/>
      <c r="CW172" s="111"/>
      <c r="CX172" s="111"/>
      <c r="CY172" s="141"/>
      <c r="CZ172" s="137"/>
      <c r="DA172" s="111"/>
      <c r="DB172" s="111"/>
      <c r="DC172" s="111"/>
      <c r="DD172" s="111"/>
      <c r="DE172" s="111"/>
      <c r="DF172" s="111"/>
      <c r="DG172" s="111"/>
      <c r="DH172" s="111"/>
      <c r="DI172" s="111"/>
      <c r="DJ172" s="111"/>
      <c r="DK172" s="111"/>
      <c r="DL172" s="111"/>
      <c r="DM172" s="111"/>
      <c r="DN172" s="111"/>
      <c r="DO172" s="111"/>
      <c r="DP172" s="111"/>
      <c r="DQ172" s="111"/>
      <c r="DR172" s="111"/>
      <c r="DS172" s="111"/>
      <c r="DT172" s="111"/>
      <c r="DU172" s="111"/>
      <c r="DV172" s="111"/>
      <c r="DW172" s="111"/>
      <c r="DX172" s="568"/>
      <c r="DY172" s="111"/>
      <c r="DZ172" s="111"/>
      <c r="EA172" s="111"/>
      <c r="EB172" s="111"/>
      <c r="EC172" s="111"/>
      <c r="ED172" s="111"/>
      <c r="EE172" s="111"/>
    </row>
    <row r="173" spans="1:141" customFormat="1" ht="12" collapsed="1"/>
    <row r="174" spans="1:141" s="116" customFormat="1">
      <c r="A174" s="136"/>
      <c r="D174" s="581"/>
      <c r="E174" s="582"/>
      <c r="F174" s="582"/>
      <c r="G174" s="583"/>
      <c r="H174" s="582"/>
      <c r="I174" s="582"/>
      <c r="J174" s="582"/>
      <c r="K174" s="583"/>
      <c r="L174" s="582"/>
      <c r="M174" s="582"/>
      <c r="N174" s="582"/>
      <c r="O174" s="583"/>
      <c r="P174" s="582"/>
      <c r="Q174" s="582"/>
      <c r="R174" s="582"/>
      <c r="S174" s="583"/>
      <c r="T174" s="582"/>
      <c r="U174" s="582"/>
      <c r="V174" s="582"/>
      <c r="W174" s="583"/>
      <c r="X174" s="582"/>
      <c r="Y174" s="582"/>
      <c r="Z174" s="582"/>
      <c r="AA174" s="583"/>
      <c r="AB174" s="582"/>
      <c r="AC174" s="582"/>
      <c r="AD174" s="582"/>
      <c r="AE174" s="583"/>
      <c r="AF174" s="582"/>
      <c r="AG174" s="582"/>
      <c r="AH174" s="582"/>
      <c r="AI174" s="583"/>
      <c r="AJ174" s="582"/>
      <c r="AK174" s="582"/>
      <c r="AL174" s="582"/>
      <c r="AM174" s="583"/>
      <c r="AN174" s="582"/>
      <c r="AO174" s="582"/>
      <c r="AP174" s="582"/>
      <c r="AQ174" s="583"/>
      <c r="AR174" s="582"/>
      <c r="AS174" s="582"/>
      <c r="AT174" s="582"/>
      <c r="AU174" s="583"/>
      <c r="AV174" s="582"/>
      <c r="AW174" s="582"/>
      <c r="AX174" s="582"/>
      <c r="AY174" s="583"/>
      <c r="AZ174" s="582"/>
      <c r="BA174" s="582"/>
      <c r="BB174" s="582"/>
      <c r="BC174" s="583"/>
      <c r="BD174" s="582"/>
      <c r="BE174" s="582"/>
      <c r="BF174" s="582"/>
      <c r="BG174" s="583"/>
      <c r="BH174" s="582"/>
      <c r="BI174" s="582"/>
      <c r="BJ174" s="582"/>
      <c r="BK174" s="583"/>
      <c r="BL174" s="582"/>
      <c r="BM174" s="582"/>
      <c r="BN174" s="582"/>
      <c r="BO174" s="583"/>
      <c r="BP174" s="582"/>
      <c r="BQ174" s="582"/>
      <c r="BR174" s="582"/>
      <c r="BS174" s="583"/>
      <c r="BT174" s="582"/>
      <c r="BU174" s="582"/>
      <c r="BV174" s="582"/>
      <c r="BW174" s="583"/>
      <c r="BX174" s="582"/>
      <c r="BY174" s="582"/>
      <c r="BZ174" s="582"/>
      <c r="CA174" s="583"/>
      <c r="CB174" s="582"/>
      <c r="CC174" s="582"/>
      <c r="CD174" s="582"/>
      <c r="CE174" s="583"/>
      <c r="CF174" s="582"/>
      <c r="CG174" s="582"/>
      <c r="CH174" s="582"/>
      <c r="CI174" s="583"/>
      <c r="CJ174" s="582"/>
      <c r="CK174" s="582"/>
      <c r="CL174" s="582"/>
      <c r="CM174" s="584"/>
      <c r="CN174" s="582"/>
      <c r="CO174" s="582"/>
      <c r="CP174" s="582"/>
      <c r="CQ174" s="584"/>
      <c r="CR174" s="582"/>
      <c r="CS174" s="582"/>
      <c r="CT174" s="582"/>
      <c r="CU174" s="583"/>
      <c r="CV174" s="582"/>
      <c r="CW174" s="582"/>
      <c r="CX174" s="582"/>
      <c r="CY174" s="583"/>
      <c r="EF174"/>
      <c r="EG174"/>
      <c r="EH174"/>
      <c r="EI174"/>
      <c r="EJ174"/>
      <c r="EK174"/>
    </row>
    <row r="175" spans="1:141" s="116" customFormat="1">
      <c r="A175" s="136"/>
      <c r="CM175" s="111"/>
      <c r="CQ175" s="111"/>
      <c r="EF175"/>
      <c r="EG175"/>
      <c r="EH175"/>
      <c r="EI175"/>
      <c r="EJ175"/>
      <c r="EK175"/>
    </row>
    <row r="176" spans="1:141" s="116" customFormat="1">
      <c r="A176" s="136"/>
      <c r="CM176" s="111"/>
      <c r="CQ176" s="111"/>
      <c r="EF176"/>
      <c r="EG176"/>
      <c r="EH176"/>
      <c r="EI176"/>
      <c r="EJ176"/>
      <c r="EK176"/>
    </row>
    <row r="177" spans="1:141" s="116" customFormat="1">
      <c r="A177" s="136"/>
      <c r="CM177" s="111"/>
      <c r="CQ177" s="111"/>
      <c r="EF177"/>
      <c r="EG177"/>
      <c r="EH177"/>
      <c r="EI177"/>
      <c r="EJ177"/>
      <c r="EK177"/>
    </row>
    <row r="178" spans="1:141" s="116" customFormat="1">
      <c r="A178" s="136"/>
      <c r="CM178" s="111"/>
      <c r="CQ178" s="111"/>
      <c r="EF178"/>
      <c r="EG178"/>
      <c r="EH178"/>
      <c r="EI178"/>
      <c r="EJ178"/>
      <c r="EK178"/>
    </row>
    <row r="179" spans="1:141" s="116" customFormat="1">
      <c r="A179" s="136"/>
      <c r="CM179" s="111"/>
      <c r="CQ179" s="111"/>
      <c r="EF179"/>
      <c r="EG179"/>
      <c r="EH179"/>
      <c r="EI179"/>
      <c r="EJ179"/>
      <c r="EK179"/>
    </row>
    <row r="180" spans="1:141" s="116" customFormat="1">
      <c r="A180" s="136"/>
      <c r="CM180" s="111"/>
      <c r="CQ180" s="111"/>
      <c r="EF180"/>
      <c r="EG180"/>
      <c r="EH180"/>
      <c r="EI180"/>
      <c r="EJ180"/>
      <c r="EK180"/>
    </row>
    <row r="181" spans="1:141" s="116" customFormat="1">
      <c r="A181" s="136"/>
      <c r="CM181" s="111"/>
      <c r="CQ181" s="111"/>
      <c r="EF181"/>
      <c r="EG181"/>
      <c r="EH181"/>
      <c r="EI181"/>
      <c r="EJ181"/>
      <c r="EK181"/>
    </row>
    <row r="182" spans="1:141" s="116" customFormat="1">
      <c r="A182" s="136"/>
      <c r="CM182" s="111"/>
      <c r="CQ182" s="111"/>
      <c r="EF182"/>
      <c r="EG182"/>
      <c r="EH182"/>
      <c r="EI182"/>
      <c r="EJ182"/>
      <c r="EK182"/>
    </row>
    <row r="183" spans="1:141" s="116" customFormat="1">
      <c r="A183" s="136"/>
      <c r="CM183" s="111"/>
      <c r="CQ183" s="111"/>
      <c r="EF183"/>
      <c r="EG183"/>
      <c r="EH183"/>
      <c r="EI183"/>
      <c r="EJ183"/>
      <c r="EK183"/>
    </row>
    <row r="184" spans="1:141" s="116" customFormat="1">
      <c r="A184" s="136"/>
      <c r="CM184" s="111"/>
      <c r="CQ184" s="111"/>
      <c r="EF184"/>
      <c r="EG184"/>
      <c r="EH184"/>
      <c r="EI184"/>
      <c r="EJ184"/>
      <c r="EK184"/>
    </row>
    <row r="185" spans="1:141" s="116" customFormat="1">
      <c r="A185" s="136"/>
      <c r="CM185" s="111"/>
      <c r="CQ185" s="111"/>
      <c r="EF185"/>
      <c r="EG185"/>
      <c r="EH185"/>
      <c r="EI185"/>
      <c r="EJ185"/>
      <c r="EK185"/>
    </row>
    <row r="186" spans="1:141" s="116" customFormat="1">
      <c r="A186" s="136"/>
      <c r="CM186" s="111"/>
      <c r="CQ186" s="111"/>
      <c r="EF186"/>
      <c r="EG186"/>
      <c r="EH186"/>
      <c r="EI186"/>
      <c r="EJ186"/>
      <c r="EK186"/>
    </row>
    <row r="187" spans="1:141" s="116" customFormat="1">
      <c r="A187" s="136"/>
      <c r="CM187" s="111"/>
      <c r="CQ187" s="111"/>
      <c r="EF187"/>
      <c r="EG187"/>
      <c r="EH187"/>
      <c r="EI187"/>
      <c r="EJ187"/>
      <c r="EK187"/>
    </row>
    <row r="188" spans="1:141" s="116" customFormat="1">
      <c r="A188" s="136"/>
      <c r="CM188" s="111"/>
      <c r="CQ188" s="111"/>
      <c r="EF188"/>
      <c r="EG188"/>
      <c r="EH188"/>
      <c r="EI188"/>
      <c r="EJ188"/>
      <c r="EK188"/>
    </row>
    <row r="189" spans="1:141" s="116" customFormat="1">
      <c r="A189" s="136"/>
      <c r="CM189" s="111"/>
      <c r="CQ189" s="111"/>
      <c r="EF189"/>
      <c r="EG189"/>
      <c r="EH189"/>
      <c r="EI189"/>
      <c r="EJ189"/>
      <c r="EK189"/>
    </row>
    <row r="190" spans="1:141" s="116" customFormat="1">
      <c r="A190" s="136"/>
      <c r="CM190" s="111"/>
      <c r="CQ190" s="111"/>
      <c r="EF190"/>
      <c r="EG190"/>
      <c r="EH190"/>
      <c r="EI190"/>
      <c r="EJ190"/>
      <c r="EK190"/>
    </row>
    <row r="191" spans="1:141" s="116" customFormat="1">
      <c r="A191" s="136"/>
      <c r="CM191" s="111"/>
      <c r="CQ191" s="111"/>
      <c r="EF191"/>
      <c r="EG191"/>
      <c r="EH191"/>
      <c r="EI191"/>
      <c r="EJ191"/>
      <c r="EK191"/>
    </row>
    <row r="192" spans="1:141" s="116" customFormat="1">
      <c r="A192" s="136"/>
      <c r="CM192" s="111"/>
      <c r="CQ192" s="111"/>
      <c r="EF192"/>
      <c r="EG192"/>
      <c r="EH192"/>
      <c r="EI192"/>
      <c r="EJ192"/>
      <c r="EK192"/>
    </row>
    <row r="193" spans="1:141" s="116" customFormat="1">
      <c r="A193" s="136"/>
      <c r="CM193" s="111"/>
      <c r="CQ193" s="111"/>
      <c r="EF193"/>
      <c r="EG193"/>
      <c r="EH193"/>
      <c r="EI193"/>
      <c r="EJ193"/>
      <c r="EK193"/>
    </row>
    <row r="194" spans="1:141" s="116" customFormat="1">
      <c r="A194" s="136"/>
      <c r="CM194" s="111"/>
      <c r="CQ194" s="111"/>
      <c r="EF194"/>
      <c r="EG194"/>
      <c r="EH194"/>
      <c r="EI194"/>
      <c r="EJ194"/>
      <c r="EK194"/>
    </row>
    <row r="195" spans="1:141" s="116" customFormat="1">
      <c r="A195" s="136"/>
      <c r="CM195" s="111"/>
      <c r="CQ195" s="111"/>
      <c r="EF195"/>
      <c r="EG195"/>
      <c r="EH195"/>
      <c r="EI195"/>
      <c r="EJ195"/>
      <c r="EK195"/>
    </row>
    <row r="196" spans="1:141" s="116" customFormat="1">
      <c r="A196" s="136"/>
      <c r="CM196" s="111"/>
      <c r="CQ196" s="111"/>
      <c r="EF196"/>
      <c r="EG196"/>
      <c r="EH196"/>
      <c r="EI196"/>
      <c r="EJ196"/>
      <c r="EK196"/>
    </row>
    <row r="197" spans="1:141" s="116" customFormat="1">
      <c r="A197" s="136"/>
      <c r="CM197" s="111"/>
      <c r="CQ197" s="111"/>
      <c r="EF197"/>
      <c r="EG197"/>
      <c r="EH197"/>
      <c r="EI197"/>
      <c r="EJ197"/>
      <c r="EK197"/>
    </row>
    <row r="198" spans="1:141" s="116" customFormat="1">
      <c r="A198" s="136"/>
      <c r="CM198" s="111"/>
      <c r="CQ198" s="111"/>
      <c r="EF198"/>
      <c r="EG198"/>
      <c r="EH198"/>
      <c r="EI198"/>
      <c r="EJ198"/>
      <c r="EK198"/>
    </row>
    <row r="199" spans="1:141" s="116" customFormat="1">
      <c r="A199" s="136"/>
      <c r="CM199" s="111"/>
      <c r="CQ199" s="111"/>
      <c r="EF199"/>
      <c r="EG199"/>
      <c r="EH199"/>
      <c r="EI199"/>
      <c r="EJ199"/>
      <c r="EK199"/>
    </row>
    <row r="200" spans="1:141" s="116" customFormat="1">
      <c r="A200" s="136"/>
      <c r="CM200" s="111"/>
      <c r="CQ200" s="111"/>
      <c r="EF200"/>
      <c r="EG200"/>
      <c r="EH200"/>
      <c r="EI200"/>
      <c r="EJ200"/>
      <c r="EK200"/>
    </row>
    <row r="201" spans="1:141" s="116" customFormat="1">
      <c r="A201" s="136"/>
      <c r="CM201" s="111"/>
      <c r="CQ201" s="111"/>
      <c r="EF201"/>
      <c r="EG201"/>
      <c r="EH201"/>
      <c r="EI201"/>
      <c r="EJ201"/>
      <c r="EK201"/>
    </row>
    <row r="202" spans="1:141" s="116" customFormat="1">
      <c r="A202" s="136"/>
      <c r="CM202" s="111"/>
      <c r="CQ202" s="111"/>
      <c r="EF202"/>
      <c r="EG202"/>
      <c r="EH202"/>
      <c r="EI202"/>
      <c r="EJ202"/>
      <c r="EK202"/>
    </row>
    <row r="203" spans="1:141" s="116" customFormat="1">
      <c r="A203" s="136"/>
      <c r="CM203" s="111"/>
      <c r="CQ203" s="111"/>
      <c r="EF203"/>
      <c r="EG203"/>
      <c r="EH203"/>
      <c r="EI203"/>
      <c r="EJ203"/>
      <c r="EK203"/>
    </row>
    <row r="204" spans="1:141" s="116" customFormat="1">
      <c r="A204" s="136"/>
      <c r="CM204" s="111"/>
      <c r="CQ204" s="111"/>
      <c r="EF204"/>
      <c r="EG204"/>
      <c r="EH204"/>
      <c r="EI204"/>
      <c r="EJ204"/>
      <c r="EK204"/>
    </row>
    <row r="205" spans="1:141" s="116" customFormat="1">
      <c r="A205" s="136"/>
      <c r="CM205" s="111"/>
      <c r="CQ205" s="111"/>
      <c r="EF205"/>
      <c r="EG205"/>
      <c r="EH205"/>
      <c r="EI205"/>
      <c r="EJ205"/>
      <c r="EK205"/>
    </row>
    <row r="206" spans="1:141" s="116" customFormat="1">
      <c r="A206" s="136"/>
      <c r="CM206" s="111"/>
      <c r="CQ206" s="111"/>
      <c r="EF206"/>
      <c r="EG206"/>
      <c r="EH206"/>
      <c r="EI206"/>
      <c r="EJ206"/>
      <c r="EK206"/>
    </row>
    <row r="207" spans="1:141" s="116" customFormat="1">
      <c r="A207" s="136"/>
      <c r="CM207" s="111"/>
      <c r="CQ207" s="111"/>
      <c r="EF207"/>
      <c r="EG207"/>
      <c r="EH207"/>
      <c r="EI207"/>
      <c r="EJ207"/>
      <c r="EK207"/>
    </row>
    <row r="208" spans="1:141" s="116" customFormat="1">
      <c r="A208" s="136"/>
      <c r="CM208" s="111"/>
      <c r="CQ208" s="111"/>
      <c r="EF208"/>
      <c r="EG208"/>
      <c r="EH208"/>
      <c r="EI208"/>
      <c r="EJ208"/>
      <c r="EK208"/>
    </row>
    <row r="209" spans="1:141" s="116" customFormat="1">
      <c r="A209" s="136"/>
      <c r="CM209" s="111"/>
      <c r="CQ209" s="111"/>
      <c r="EF209"/>
      <c r="EG209"/>
      <c r="EH209"/>
      <c r="EI209"/>
      <c r="EJ209"/>
      <c r="EK209"/>
    </row>
    <row r="210" spans="1:141" s="116" customFormat="1">
      <c r="A210" s="136"/>
      <c r="CM210" s="111"/>
      <c r="CQ210" s="111"/>
      <c r="EF210"/>
      <c r="EG210"/>
      <c r="EH210"/>
      <c r="EI210"/>
      <c r="EJ210"/>
      <c r="EK210"/>
    </row>
    <row r="211" spans="1:141" s="116" customFormat="1">
      <c r="A211" s="136"/>
      <c r="CM211" s="111"/>
      <c r="CQ211" s="111"/>
      <c r="EF211"/>
      <c r="EG211"/>
      <c r="EH211"/>
      <c r="EI211"/>
      <c r="EJ211"/>
      <c r="EK211"/>
    </row>
    <row r="212" spans="1:141" s="116" customFormat="1">
      <c r="A212" s="136"/>
      <c r="CM212" s="111"/>
      <c r="CQ212" s="111"/>
      <c r="EF212"/>
      <c r="EG212"/>
      <c r="EH212"/>
      <c r="EI212"/>
      <c r="EJ212"/>
      <c r="EK212"/>
    </row>
    <row r="213" spans="1:141" s="116" customFormat="1">
      <c r="A213" s="136"/>
      <c r="CM213" s="111"/>
      <c r="CQ213" s="111"/>
      <c r="EF213"/>
      <c r="EG213"/>
      <c r="EH213"/>
      <c r="EI213"/>
      <c r="EJ213"/>
      <c r="EK213"/>
    </row>
    <row r="214" spans="1:141" s="116" customFormat="1">
      <c r="A214" s="136"/>
      <c r="CM214" s="111"/>
      <c r="CQ214" s="111"/>
      <c r="EF214"/>
      <c r="EG214"/>
      <c r="EH214"/>
      <c r="EI214"/>
      <c r="EJ214"/>
      <c r="EK214"/>
    </row>
    <row r="215" spans="1:141" s="116" customFormat="1">
      <c r="A215" s="136"/>
      <c r="CM215" s="111"/>
      <c r="CQ215" s="111"/>
      <c r="EF215"/>
      <c r="EG215"/>
      <c r="EH215"/>
      <c r="EI215"/>
      <c r="EJ215"/>
      <c r="EK215"/>
    </row>
    <row r="216" spans="1:141" s="116" customFormat="1">
      <c r="A216" s="136"/>
      <c r="CM216" s="111"/>
      <c r="CQ216" s="111"/>
      <c r="EF216"/>
      <c r="EG216"/>
      <c r="EH216"/>
      <c r="EI216"/>
      <c r="EJ216"/>
      <c r="EK216"/>
    </row>
    <row r="217" spans="1:141" s="116" customFormat="1">
      <c r="A217" s="136"/>
      <c r="CM217" s="111"/>
      <c r="CQ217" s="111"/>
      <c r="EF217"/>
      <c r="EG217"/>
      <c r="EH217"/>
      <c r="EI217"/>
      <c r="EJ217"/>
      <c r="EK217"/>
    </row>
    <row r="218" spans="1:141" s="116" customFormat="1">
      <c r="A218" s="136"/>
      <c r="CM218" s="111"/>
      <c r="CQ218" s="111"/>
      <c r="EF218"/>
      <c r="EG218"/>
      <c r="EH218"/>
      <c r="EI218"/>
      <c r="EJ218"/>
      <c r="EK218"/>
    </row>
    <row r="219" spans="1:141" s="116" customFormat="1">
      <c r="A219" s="136"/>
      <c r="CM219" s="111"/>
      <c r="CQ219" s="111"/>
      <c r="EF219"/>
      <c r="EG219"/>
      <c r="EH219"/>
      <c r="EI219"/>
      <c r="EJ219"/>
      <c r="EK219"/>
    </row>
    <row r="220" spans="1:141" s="116" customFormat="1">
      <c r="A220" s="136"/>
      <c r="CM220" s="111"/>
      <c r="CQ220" s="111"/>
      <c r="EF220"/>
      <c r="EG220"/>
      <c r="EH220"/>
      <c r="EI220"/>
      <c r="EJ220"/>
      <c r="EK220"/>
    </row>
    <row r="221" spans="1:141" s="116" customFormat="1">
      <c r="A221" s="136"/>
      <c r="CM221" s="111"/>
      <c r="CQ221" s="111"/>
      <c r="EF221"/>
      <c r="EG221"/>
      <c r="EH221"/>
      <c r="EI221"/>
      <c r="EJ221"/>
      <c r="EK221"/>
    </row>
    <row r="222" spans="1:141" s="116" customFormat="1">
      <c r="A222" s="136"/>
      <c r="CM222" s="111"/>
      <c r="CQ222" s="111"/>
      <c r="EF222"/>
      <c r="EG222"/>
      <c r="EH222"/>
      <c r="EI222"/>
      <c r="EJ222"/>
      <c r="EK222"/>
    </row>
    <row r="223" spans="1:141" s="116" customFormat="1">
      <c r="A223" s="136"/>
      <c r="CM223" s="111"/>
      <c r="CQ223" s="111"/>
      <c r="EF223"/>
      <c r="EG223"/>
      <c r="EH223"/>
      <c r="EI223"/>
      <c r="EJ223"/>
      <c r="EK223"/>
    </row>
    <row r="224" spans="1:141" s="116" customFormat="1">
      <c r="A224" s="136"/>
      <c r="CM224" s="111"/>
      <c r="CQ224" s="111"/>
      <c r="EF224"/>
      <c r="EG224"/>
      <c r="EH224"/>
      <c r="EI224"/>
      <c r="EJ224"/>
      <c r="EK224"/>
    </row>
    <row r="225" spans="1:141" s="116" customFormat="1">
      <c r="A225" s="136"/>
      <c r="CM225" s="111"/>
      <c r="CQ225" s="111"/>
      <c r="EF225"/>
      <c r="EG225"/>
      <c r="EH225"/>
      <c r="EI225"/>
      <c r="EJ225"/>
      <c r="EK225"/>
    </row>
    <row r="226" spans="1:141" s="116" customFormat="1">
      <c r="A226" s="136"/>
      <c r="CM226" s="111"/>
      <c r="CQ226" s="111"/>
      <c r="EF226"/>
      <c r="EG226"/>
      <c r="EH226"/>
      <c r="EI226"/>
      <c r="EJ226"/>
      <c r="EK226"/>
    </row>
    <row r="227" spans="1:141" s="116" customFormat="1">
      <c r="A227" s="136"/>
      <c r="CM227" s="111"/>
      <c r="CQ227" s="111"/>
      <c r="EF227"/>
      <c r="EG227"/>
      <c r="EH227"/>
      <c r="EI227"/>
      <c r="EJ227"/>
      <c r="EK227"/>
    </row>
    <row r="228" spans="1:141" s="116" customFormat="1">
      <c r="A228" s="136"/>
      <c r="CM228" s="111"/>
      <c r="CQ228" s="111"/>
      <c r="EF228"/>
      <c r="EG228"/>
      <c r="EH228"/>
      <c r="EI228"/>
      <c r="EJ228"/>
      <c r="EK228"/>
    </row>
    <row r="229" spans="1:141" s="116" customFormat="1">
      <c r="A229" s="136"/>
      <c r="CM229" s="111"/>
      <c r="CQ229" s="111"/>
      <c r="EF229"/>
      <c r="EG229"/>
      <c r="EH229"/>
      <c r="EI229"/>
      <c r="EJ229"/>
      <c r="EK229"/>
    </row>
    <row r="230" spans="1:141" s="116" customFormat="1">
      <c r="A230" s="136"/>
      <c r="CM230" s="111"/>
      <c r="CQ230" s="111"/>
      <c r="EF230"/>
      <c r="EG230"/>
      <c r="EH230"/>
      <c r="EI230"/>
      <c r="EJ230"/>
      <c r="EK230"/>
    </row>
    <row r="231" spans="1:141" s="116" customFormat="1">
      <c r="A231" s="136"/>
      <c r="CM231" s="111"/>
      <c r="CQ231" s="111"/>
      <c r="EF231"/>
      <c r="EG231"/>
      <c r="EH231"/>
      <c r="EI231"/>
      <c r="EJ231"/>
      <c r="EK231"/>
    </row>
    <row r="232" spans="1:141" s="116" customFormat="1">
      <c r="A232" s="136"/>
      <c r="CM232" s="111"/>
      <c r="CQ232" s="111"/>
      <c r="EF232"/>
      <c r="EG232"/>
      <c r="EH232"/>
      <c r="EI232"/>
      <c r="EJ232"/>
      <c r="EK232"/>
    </row>
    <row r="233" spans="1:141" s="116" customFormat="1">
      <c r="A233" s="136"/>
      <c r="CM233" s="111"/>
      <c r="CQ233" s="111"/>
      <c r="EF233"/>
      <c r="EG233"/>
      <c r="EH233"/>
      <c r="EI233"/>
      <c r="EJ233"/>
      <c r="EK233"/>
    </row>
    <row r="234" spans="1:141" s="116" customFormat="1">
      <c r="A234" s="136"/>
      <c r="CM234" s="111"/>
      <c r="CQ234" s="111"/>
      <c r="EF234"/>
      <c r="EG234"/>
      <c r="EH234"/>
      <c r="EI234"/>
      <c r="EJ234"/>
      <c r="EK234"/>
    </row>
    <row r="235" spans="1:141" s="116" customFormat="1">
      <c r="A235" s="136"/>
      <c r="CM235" s="111"/>
      <c r="CQ235" s="111"/>
      <c r="EF235"/>
      <c r="EG235"/>
      <c r="EH235"/>
      <c r="EI235"/>
      <c r="EJ235"/>
      <c r="EK235"/>
    </row>
    <row r="236" spans="1:141" s="116" customFormat="1">
      <c r="A236" s="136"/>
      <c r="CM236" s="111"/>
      <c r="CQ236" s="111"/>
      <c r="EF236"/>
      <c r="EG236"/>
      <c r="EH236"/>
      <c r="EI236"/>
      <c r="EJ236"/>
      <c r="EK236"/>
    </row>
    <row r="237" spans="1:141" s="116" customFormat="1">
      <c r="A237" s="136"/>
      <c r="CM237" s="111"/>
      <c r="CQ237" s="111"/>
      <c r="EF237"/>
      <c r="EG237"/>
      <c r="EH237"/>
      <c r="EI237"/>
      <c r="EJ237"/>
      <c r="EK237"/>
    </row>
    <row r="238" spans="1:141" s="116" customFormat="1">
      <c r="A238" s="136"/>
      <c r="CM238" s="111"/>
      <c r="CQ238" s="111"/>
      <c r="EF238"/>
      <c r="EG238"/>
      <c r="EH238"/>
      <c r="EI238"/>
      <c r="EJ238"/>
      <c r="EK238"/>
    </row>
    <row r="239" spans="1:141" s="116" customFormat="1">
      <c r="A239" s="136"/>
      <c r="CM239" s="111"/>
      <c r="CQ239" s="111"/>
      <c r="EF239"/>
      <c r="EG239"/>
      <c r="EH239"/>
      <c r="EI239"/>
      <c r="EJ239"/>
      <c r="EK239"/>
    </row>
    <row r="240" spans="1:141" s="116" customFormat="1">
      <c r="A240" s="136"/>
      <c r="CM240" s="111"/>
      <c r="CQ240" s="111"/>
      <c r="EF240"/>
      <c r="EG240"/>
      <c r="EH240"/>
      <c r="EI240"/>
      <c r="EJ240"/>
      <c r="EK240"/>
    </row>
    <row r="241" spans="1:141" s="116" customFormat="1">
      <c r="A241" s="136"/>
      <c r="CM241" s="111"/>
      <c r="CQ241" s="111"/>
      <c r="EF241"/>
      <c r="EG241"/>
      <c r="EH241"/>
      <c r="EI241"/>
      <c r="EJ241"/>
      <c r="EK241"/>
    </row>
    <row r="242" spans="1:141" s="116" customFormat="1">
      <c r="A242" s="136"/>
      <c r="CM242" s="111"/>
      <c r="CQ242" s="111"/>
      <c r="EF242"/>
      <c r="EG242"/>
      <c r="EH242"/>
      <c r="EI242"/>
      <c r="EJ242"/>
      <c r="EK242"/>
    </row>
    <row r="243" spans="1:141" s="116" customFormat="1">
      <c r="A243" s="136"/>
      <c r="CM243" s="111"/>
      <c r="CQ243" s="111"/>
      <c r="EF243"/>
      <c r="EG243"/>
      <c r="EH243"/>
      <c r="EI243"/>
      <c r="EJ243"/>
      <c r="EK243"/>
    </row>
    <row r="244" spans="1:141" s="116" customFormat="1">
      <c r="A244" s="136"/>
      <c r="CM244" s="111"/>
      <c r="CQ244" s="111"/>
      <c r="EF244"/>
      <c r="EG244"/>
      <c r="EH244"/>
      <c r="EI244"/>
      <c r="EJ244"/>
      <c r="EK244"/>
    </row>
    <row r="245" spans="1:141" s="116" customFormat="1">
      <c r="A245" s="136"/>
      <c r="CM245" s="111"/>
      <c r="CQ245" s="111"/>
      <c r="EF245"/>
      <c r="EG245"/>
      <c r="EH245"/>
      <c r="EI245"/>
      <c r="EJ245"/>
      <c r="EK245"/>
    </row>
    <row r="246" spans="1:141" s="116" customFormat="1">
      <c r="A246" s="136"/>
      <c r="CM246" s="111"/>
      <c r="CQ246" s="111"/>
      <c r="EF246"/>
      <c r="EG246"/>
      <c r="EH246"/>
      <c r="EI246"/>
      <c r="EJ246"/>
      <c r="EK246"/>
    </row>
    <row r="247" spans="1:141" s="116" customFormat="1">
      <c r="A247" s="136"/>
      <c r="CM247" s="111"/>
      <c r="CQ247" s="111"/>
      <c r="EF247"/>
      <c r="EG247"/>
      <c r="EH247"/>
      <c r="EI247"/>
      <c r="EJ247"/>
      <c r="EK247"/>
    </row>
    <row r="248" spans="1:141" s="116" customFormat="1">
      <c r="A248" s="136"/>
      <c r="CM248" s="111"/>
      <c r="CQ248" s="111"/>
      <c r="EF248"/>
      <c r="EG248"/>
      <c r="EH248"/>
      <c r="EI248"/>
      <c r="EJ248"/>
      <c r="EK248"/>
    </row>
    <row r="249" spans="1:141" s="116" customFormat="1">
      <c r="A249" s="136"/>
      <c r="CM249" s="111"/>
      <c r="CQ249" s="111"/>
      <c r="EF249"/>
      <c r="EG249"/>
      <c r="EH249"/>
      <c r="EI249"/>
      <c r="EJ249"/>
      <c r="EK249"/>
    </row>
    <row r="250" spans="1:141" s="116" customFormat="1">
      <c r="A250" s="136"/>
      <c r="CM250" s="111"/>
      <c r="CQ250" s="111"/>
      <c r="EF250"/>
      <c r="EG250"/>
      <c r="EH250"/>
      <c r="EI250"/>
      <c r="EJ250"/>
      <c r="EK250"/>
    </row>
    <row r="251" spans="1:141" s="116" customFormat="1">
      <c r="A251" s="136"/>
      <c r="CM251" s="111"/>
      <c r="CQ251" s="111"/>
      <c r="EF251"/>
      <c r="EG251"/>
      <c r="EH251"/>
      <c r="EI251"/>
      <c r="EJ251"/>
      <c r="EK251"/>
    </row>
    <row r="252" spans="1:141" s="116" customFormat="1">
      <c r="A252" s="136"/>
      <c r="CM252" s="111"/>
      <c r="CQ252" s="111"/>
      <c r="EF252"/>
      <c r="EG252"/>
      <c r="EH252"/>
      <c r="EI252"/>
      <c r="EJ252"/>
      <c r="EK252"/>
    </row>
    <row r="253" spans="1:141" s="116" customFormat="1">
      <c r="A253" s="136"/>
      <c r="CM253" s="111"/>
      <c r="CQ253" s="111"/>
      <c r="EF253"/>
      <c r="EG253"/>
      <c r="EH253"/>
      <c r="EI253"/>
      <c r="EJ253"/>
      <c r="EK253"/>
    </row>
    <row r="254" spans="1:141" s="116" customFormat="1">
      <c r="A254" s="136"/>
      <c r="CM254" s="111"/>
      <c r="CQ254" s="111"/>
      <c r="EF254"/>
      <c r="EG254"/>
      <c r="EH254"/>
      <c r="EI254"/>
      <c r="EJ254"/>
      <c r="EK254"/>
    </row>
    <row r="255" spans="1:141" s="116" customFormat="1">
      <c r="A255" s="136"/>
      <c r="CM255" s="111"/>
      <c r="CQ255" s="111"/>
      <c r="EF255"/>
      <c r="EG255"/>
      <c r="EH255"/>
      <c r="EI255"/>
      <c r="EJ255"/>
      <c r="EK255"/>
    </row>
    <row r="256" spans="1:141" s="116" customFormat="1">
      <c r="A256" s="136"/>
      <c r="CM256" s="111"/>
      <c r="CQ256" s="111"/>
      <c r="EF256"/>
      <c r="EG256"/>
      <c r="EH256"/>
      <c r="EI256"/>
      <c r="EJ256"/>
      <c r="EK256"/>
    </row>
    <row r="257" spans="1:141" s="116" customFormat="1">
      <c r="A257" s="136"/>
      <c r="CM257" s="111"/>
      <c r="CQ257" s="111"/>
      <c r="EF257"/>
      <c r="EG257"/>
      <c r="EH257"/>
      <c r="EI257"/>
      <c r="EJ257"/>
      <c r="EK257"/>
    </row>
    <row r="258" spans="1:141" s="116" customFormat="1">
      <c r="A258" s="136"/>
      <c r="CM258" s="111"/>
      <c r="CQ258" s="111"/>
      <c r="EF258"/>
      <c r="EG258"/>
      <c r="EH258"/>
      <c r="EI258"/>
      <c r="EJ258"/>
      <c r="EK258"/>
    </row>
    <row r="259" spans="1:141" s="116" customFormat="1">
      <c r="A259" s="136"/>
      <c r="CM259" s="111"/>
      <c r="CQ259" s="111"/>
      <c r="EF259"/>
      <c r="EG259"/>
      <c r="EH259"/>
      <c r="EI259"/>
      <c r="EJ259"/>
      <c r="EK259"/>
    </row>
    <row r="260" spans="1:141" s="116" customFormat="1">
      <c r="A260" s="136"/>
      <c r="CM260" s="111"/>
      <c r="CQ260" s="111"/>
      <c r="EF260"/>
      <c r="EG260"/>
      <c r="EH260"/>
      <c r="EI260"/>
      <c r="EJ260"/>
      <c r="EK260"/>
    </row>
    <row r="261" spans="1:141" s="116" customFormat="1">
      <c r="A261" s="136"/>
      <c r="CM261" s="111"/>
      <c r="CQ261" s="111"/>
      <c r="EF261"/>
      <c r="EG261"/>
      <c r="EH261"/>
      <c r="EI261"/>
      <c r="EJ261"/>
      <c r="EK261"/>
    </row>
    <row r="262" spans="1:141" s="116" customFormat="1">
      <c r="A262" s="136"/>
      <c r="CM262" s="111"/>
      <c r="CQ262" s="111"/>
      <c r="EF262"/>
      <c r="EG262"/>
      <c r="EH262"/>
      <c r="EI262"/>
      <c r="EJ262"/>
      <c r="EK262"/>
    </row>
    <row r="263" spans="1:141" s="116" customFormat="1">
      <c r="A263" s="136"/>
      <c r="CM263" s="111"/>
      <c r="CQ263" s="111"/>
      <c r="EF263"/>
      <c r="EG263"/>
      <c r="EH263"/>
      <c r="EI263"/>
      <c r="EJ263"/>
      <c r="EK263"/>
    </row>
    <row r="264" spans="1:141" s="116" customFormat="1">
      <c r="A264" s="136"/>
      <c r="CM264" s="111"/>
      <c r="CQ264" s="111"/>
      <c r="EF264"/>
      <c r="EG264"/>
      <c r="EH264"/>
      <c r="EI264"/>
      <c r="EJ264"/>
      <c r="EK264"/>
    </row>
    <row r="265" spans="1:141" s="116" customFormat="1">
      <c r="A265" s="136"/>
      <c r="CM265" s="111"/>
      <c r="CQ265" s="111"/>
      <c r="EF265"/>
      <c r="EG265"/>
      <c r="EH265"/>
      <c r="EI265"/>
      <c r="EJ265"/>
      <c r="EK265"/>
    </row>
    <row r="266" spans="1:141" s="116" customFormat="1">
      <c r="A266" s="136"/>
      <c r="CM266" s="111"/>
      <c r="CQ266" s="111"/>
      <c r="EF266"/>
      <c r="EG266"/>
      <c r="EH266"/>
      <c r="EI266"/>
      <c r="EJ266"/>
      <c r="EK266"/>
    </row>
    <row r="267" spans="1:141" s="116" customFormat="1">
      <c r="A267" s="136"/>
      <c r="CM267" s="111"/>
      <c r="CQ267" s="111"/>
      <c r="EF267"/>
      <c r="EG267"/>
      <c r="EH267"/>
      <c r="EI267"/>
      <c r="EJ267"/>
      <c r="EK267"/>
    </row>
    <row r="268" spans="1:141" s="116" customFormat="1">
      <c r="A268" s="136"/>
      <c r="CM268" s="111"/>
      <c r="CQ268" s="111"/>
      <c r="EF268"/>
      <c r="EG268"/>
      <c r="EH268"/>
      <c r="EI268"/>
      <c r="EJ268"/>
      <c r="EK268"/>
    </row>
    <row r="269" spans="1:141" s="116" customFormat="1">
      <c r="A269" s="136"/>
      <c r="CM269" s="111"/>
      <c r="CQ269" s="111"/>
      <c r="EF269"/>
      <c r="EG269"/>
      <c r="EH269"/>
      <c r="EI269"/>
      <c r="EJ269"/>
      <c r="EK269"/>
    </row>
    <row r="270" spans="1:141" s="116" customFormat="1">
      <c r="A270" s="136"/>
      <c r="CM270" s="111"/>
      <c r="CQ270" s="111"/>
      <c r="EF270"/>
      <c r="EG270"/>
      <c r="EH270"/>
      <c r="EI270"/>
      <c r="EJ270"/>
      <c r="EK270"/>
    </row>
    <row r="271" spans="1:141" s="116" customFormat="1">
      <c r="A271" s="136"/>
      <c r="CM271" s="111"/>
      <c r="CQ271" s="111"/>
      <c r="EF271"/>
      <c r="EG271"/>
      <c r="EH271"/>
      <c r="EI271"/>
      <c r="EJ271"/>
      <c r="EK271"/>
    </row>
    <row r="272" spans="1:141" s="116" customFormat="1">
      <c r="A272" s="136"/>
      <c r="CM272" s="111"/>
      <c r="CQ272" s="111"/>
      <c r="EF272"/>
      <c r="EG272"/>
      <c r="EH272"/>
      <c r="EI272"/>
      <c r="EJ272"/>
      <c r="EK272"/>
    </row>
    <row r="273" spans="1:141" s="116" customFormat="1">
      <c r="A273" s="136"/>
      <c r="CM273" s="111"/>
      <c r="CQ273" s="111"/>
      <c r="EF273"/>
      <c r="EG273"/>
      <c r="EH273"/>
      <c r="EI273"/>
      <c r="EJ273"/>
      <c r="EK273"/>
    </row>
    <row r="274" spans="1:141" s="116" customFormat="1">
      <c r="A274" s="136"/>
      <c r="CM274" s="111"/>
      <c r="CQ274" s="111"/>
      <c r="EF274"/>
      <c r="EG274"/>
      <c r="EH274"/>
      <c r="EI274"/>
      <c r="EJ274"/>
      <c r="EK274"/>
    </row>
    <row r="275" spans="1:141" s="116" customFormat="1">
      <c r="A275" s="136"/>
      <c r="CM275" s="111"/>
      <c r="CQ275" s="111"/>
      <c r="EF275"/>
      <c r="EG275"/>
      <c r="EH275"/>
      <c r="EI275"/>
      <c r="EJ275"/>
      <c r="EK275"/>
    </row>
    <row r="276" spans="1:141" s="116" customFormat="1">
      <c r="A276" s="136"/>
      <c r="CM276" s="111"/>
      <c r="CQ276" s="111"/>
      <c r="EF276"/>
      <c r="EG276"/>
      <c r="EH276"/>
      <c r="EI276"/>
      <c r="EJ276"/>
      <c r="EK276"/>
    </row>
    <row r="277" spans="1:141" s="116" customFormat="1">
      <c r="A277" s="136"/>
      <c r="CM277" s="111"/>
      <c r="CQ277" s="111"/>
      <c r="EF277"/>
      <c r="EG277"/>
      <c r="EH277"/>
      <c r="EI277"/>
      <c r="EJ277"/>
      <c r="EK277"/>
    </row>
    <row r="278" spans="1:141" s="116" customFormat="1">
      <c r="A278" s="136"/>
      <c r="CM278" s="111"/>
      <c r="CQ278" s="111"/>
      <c r="EF278"/>
      <c r="EG278"/>
      <c r="EH278"/>
      <c r="EI278"/>
      <c r="EJ278"/>
      <c r="EK278"/>
    </row>
    <row r="279" spans="1:141" s="116" customFormat="1">
      <c r="A279" s="136"/>
      <c r="CM279" s="111"/>
      <c r="CQ279" s="111"/>
      <c r="EF279"/>
      <c r="EG279"/>
      <c r="EH279"/>
      <c r="EI279"/>
      <c r="EJ279"/>
      <c r="EK279"/>
    </row>
    <row r="280" spans="1:141" s="116" customFormat="1">
      <c r="A280" s="136"/>
      <c r="CM280" s="111"/>
      <c r="CQ280" s="111"/>
      <c r="EF280"/>
      <c r="EG280"/>
      <c r="EH280"/>
      <c r="EI280"/>
      <c r="EJ280"/>
      <c r="EK280"/>
    </row>
    <row r="281" spans="1:141" s="116" customFormat="1">
      <c r="A281" s="136"/>
      <c r="CM281" s="111"/>
      <c r="CQ281" s="111"/>
      <c r="EF281"/>
      <c r="EG281"/>
      <c r="EH281"/>
      <c r="EI281"/>
      <c r="EJ281"/>
      <c r="EK281"/>
    </row>
    <row r="282" spans="1:141" s="116" customFormat="1">
      <c r="A282" s="136"/>
      <c r="CM282" s="111"/>
      <c r="CQ282" s="111"/>
      <c r="EF282"/>
      <c r="EG282"/>
      <c r="EH282"/>
      <c r="EI282"/>
      <c r="EJ282"/>
      <c r="EK282"/>
    </row>
    <row r="283" spans="1:141" s="116" customFormat="1">
      <c r="A283" s="136"/>
      <c r="CM283" s="111"/>
      <c r="CQ283" s="111"/>
      <c r="EF283"/>
      <c r="EG283"/>
      <c r="EH283"/>
      <c r="EI283"/>
      <c r="EJ283"/>
      <c r="EK283"/>
    </row>
    <row r="284" spans="1:141" s="116" customFormat="1">
      <c r="A284" s="136"/>
      <c r="CM284" s="111"/>
      <c r="CQ284" s="111"/>
      <c r="EF284"/>
      <c r="EG284"/>
      <c r="EH284"/>
      <c r="EI284"/>
      <c r="EJ284"/>
      <c r="EK284"/>
    </row>
    <row r="285" spans="1:141" s="116" customFormat="1">
      <c r="A285" s="136"/>
      <c r="CM285" s="111"/>
      <c r="CQ285" s="111"/>
      <c r="EF285"/>
      <c r="EG285"/>
      <c r="EH285"/>
      <c r="EI285"/>
      <c r="EJ285"/>
      <c r="EK285"/>
    </row>
    <row r="286" spans="1:141" s="116" customFormat="1">
      <c r="A286" s="136"/>
      <c r="CM286" s="111"/>
      <c r="CQ286" s="111"/>
      <c r="EF286"/>
      <c r="EG286"/>
      <c r="EH286"/>
      <c r="EI286"/>
      <c r="EJ286"/>
      <c r="EK286"/>
    </row>
    <row r="287" spans="1:141" s="116" customFormat="1">
      <c r="A287" s="136"/>
      <c r="CM287" s="111"/>
      <c r="CQ287" s="111"/>
      <c r="EF287"/>
      <c r="EG287"/>
      <c r="EH287"/>
      <c r="EI287"/>
      <c r="EJ287"/>
      <c r="EK287"/>
    </row>
    <row r="288" spans="1:141" s="116" customFormat="1">
      <c r="A288" s="136"/>
      <c r="CM288" s="111"/>
      <c r="CQ288" s="111"/>
      <c r="EF288"/>
      <c r="EG288"/>
      <c r="EH288"/>
      <c r="EI288"/>
      <c r="EJ288"/>
      <c r="EK288"/>
    </row>
    <row r="289" spans="1:141" s="116" customFormat="1">
      <c r="A289" s="136"/>
      <c r="CM289" s="111"/>
      <c r="CQ289" s="111"/>
      <c r="EF289"/>
      <c r="EG289"/>
      <c r="EH289"/>
      <c r="EI289"/>
      <c r="EJ289"/>
      <c r="EK289"/>
    </row>
    <row r="290" spans="1:141" s="116" customFormat="1">
      <c r="A290" s="136"/>
      <c r="CM290" s="111"/>
      <c r="CQ290" s="111"/>
      <c r="EF290"/>
      <c r="EG290"/>
      <c r="EH290"/>
      <c r="EI290"/>
      <c r="EJ290"/>
      <c r="EK290"/>
    </row>
    <row r="291" spans="1:141" s="116" customFormat="1">
      <c r="A291" s="136"/>
      <c r="CM291" s="111"/>
      <c r="CQ291" s="111"/>
      <c r="EF291"/>
      <c r="EG291"/>
      <c r="EH291"/>
      <c r="EI291"/>
      <c r="EJ291"/>
      <c r="EK291"/>
    </row>
    <row r="292" spans="1:141" s="116" customFormat="1">
      <c r="A292" s="136"/>
      <c r="CM292" s="111"/>
      <c r="CQ292" s="111"/>
      <c r="EF292"/>
      <c r="EG292"/>
      <c r="EH292"/>
      <c r="EI292"/>
      <c r="EJ292"/>
      <c r="EK292"/>
    </row>
    <row r="293" spans="1:141" s="116" customFormat="1">
      <c r="A293" s="136"/>
      <c r="CM293" s="111"/>
      <c r="CQ293" s="111"/>
      <c r="EF293"/>
      <c r="EG293"/>
      <c r="EH293"/>
      <c r="EI293"/>
      <c r="EJ293"/>
      <c r="EK293"/>
    </row>
    <row r="294" spans="1:141" s="116" customFormat="1">
      <c r="A294" s="136"/>
      <c r="CM294" s="111"/>
      <c r="CQ294" s="111"/>
      <c r="EF294"/>
      <c r="EG294"/>
      <c r="EH294"/>
      <c r="EI294"/>
      <c r="EJ294"/>
      <c r="EK294"/>
    </row>
    <row r="295" spans="1:141" s="116" customFormat="1">
      <c r="A295" s="136"/>
      <c r="CM295" s="111"/>
      <c r="CQ295" s="111"/>
      <c r="EF295"/>
      <c r="EG295"/>
      <c r="EH295"/>
      <c r="EI295"/>
      <c r="EJ295"/>
      <c r="EK295"/>
    </row>
    <row r="296" spans="1:141" s="116" customFormat="1">
      <c r="A296" s="136"/>
      <c r="CM296" s="111"/>
      <c r="CQ296" s="111"/>
      <c r="EF296"/>
      <c r="EG296"/>
      <c r="EH296"/>
      <c r="EI296"/>
      <c r="EJ296"/>
      <c r="EK296"/>
    </row>
    <row r="297" spans="1:141" s="116" customFormat="1">
      <c r="A297" s="136"/>
      <c r="CM297" s="111"/>
      <c r="CQ297" s="111"/>
      <c r="EF297"/>
      <c r="EG297"/>
      <c r="EH297"/>
      <c r="EI297"/>
      <c r="EJ297"/>
      <c r="EK297"/>
    </row>
    <row r="298" spans="1:141" s="116" customFormat="1">
      <c r="A298" s="136"/>
      <c r="CM298" s="111"/>
      <c r="CQ298" s="111"/>
      <c r="EF298"/>
      <c r="EG298"/>
      <c r="EH298"/>
      <c r="EI298"/>
      <c r="EJ298"/>
      <c r="EK298"/>
    </row>
    <row r="299" spans="1:141" s="116" customFormat="1">
      <c r="A299" s="136"/>
      <c r="CM299" s="111"/>
      <c r="CQ299" s="111"/>
      <c r="EF299"/>
      <c r="EG299"/>
      <c r="EH299"/>
      <c r="EI299"/>
      <c r="EJ299"/>
      <c r="EK299"/>
    </row>
    <row r="300" spans="1:141" s="116" customFormat="1">
      <c r="A300" s="136"/>
      <c r="CM300" s="111"/>
      <c r="CQ300" s="111"/>
      <c r="EF300"/>
      <c r="EG300"/>
      <c r="EH300"/>
      <c r="EI300"/>
      <c r="EJ300"/>
      <c r="EK300"/>
    </row>
    <row r="301" spans="1:141" s="116" customFormat="1">
      <c r="A301" s="136"/>
      <c r="CM301" s="111"/>
      <c r="CQ301" s="111"/>
      <c r="EF301"/>
      <c r="EG301"/>
      <c r="EH301"/>
      <c r="EI301"/>
      <c r="EJ301"/>
      <c r="EK301"/>
    </row>
    <row r="302" spans="1:141" s="116" customFormat="1">
      <c r="A302" s="136"/>
      <c r="CM302" s="111"/>
      <c r="CQ302" s="111"/>
      <c r="EF302"/>
      <c r="EG302"/>
      <c r="EH302"/>
      <c r="EI302"/>
      <c r="EJ302"/>
      <c r="EK302"/>
    </row>
    <row r="303" spans="1:141" s="116" customFormat="1">
      <c r="A303" s="136"/>
      <c r="CM303" s="111"/>
      <c r="CQ303" s="111"/>
      <c r="EF303"/>
      <c r="EG303"/>
      <c r="EH303"/>
      <c r="EI303"/>
      <c r="EJ303"/>
      <c r="EK303"/>
    </row>
    <row r="304" spans="1:141" s="116" customFormat="1">
      <c r="A304" s="136"/>
      <c r="CM304" s="111"/>
      <c r="CQ304" s="111"/>
      <c r="EF304"/>
      <c r="EG304"/>
      <c r="EH304"/>
      <c r="EI304"/>
      <c r="EJ304"/>
      <c r="EK304"/>
    </row>
    <row r="305" spans="1:141" s="116" customFormat="1">
      <c r="A305" s="136"/>
      <c r="CM305" s="111"/>
      <c r="CQ305" s="111"/>
      <c r="EF305"/>
      <c r="EG305"/>
      <c r="EH305"/>
      <c r="EI305"/>
      <c r="EJ305"/>
      <c r="EK305"/>
    </row>
    <row r="306" spans="1:141" s="116" customFormat="1">
      <c r="A306" s="136"/>
      <c r="CM306" s="111"/>
      <c r="CQ306" s="111"/>
      <c r="EF306"/>
      <c r="EG306"/>
      <c r="EH306"/>
      <c r="EI306"/>
      <c r="EJ306"/>
      <c r="EK306"/>
    </row>
    <row r="307" spans="1:141" s="116" customFormat="1">
      <c r="A307" s="136"/>
      <c r="CM307" s="111"/>
      <c r="CQ307" s="111"/>
      <c r="EF307"/>
      <c r="EG307"/>
      <c r="EH307"/>
      <c r="EI307"/>
      <c r="EJ307"/>
      <c r="EK307"/>
    </row>
    <row r="308" spans="1:141" s="116" customFormat="1">
      <c r="A308" s="136"/>
      <c r="CM308" s="111"/>
      <c r="CQ308" s="111"/>
      <c r="EF308"/>
      <c r="EG308"/>
      <c r="EH308"/>
      <c r="EI308"/>
      <c r="EJ308"/>
      <c r="EK308"/>
    </row>
    <row r="309" spans="1:141" s="116" customFormat="1">
      <c r="A309" s="136"/>
      <c r="CM309" s="111"/>
      <c r="CQ309" s="111"/>
      <c r="EF309"/>
      <c r="EG309"/>
      <c r="EH309"/>
      <c r="EI309"/>
      <c r="EJ309"/>
      <c r="EK309"/>
    </row>
    <row r="310" spans="1:141" s="116" customFormat="1">
      <c r="A310" s="136"/>
      <c r="CM310" s="111"/>
      <c r="CQ310" s="111"/>
      <c r="EF310"/>
      <c r="EG310"/>
      <c r="EH310"/>
      <c r="EI310"/>
      <c r="EJ310"/>
      <c r="EK310"/>
    </row>
    <row r="311" spans="1:141" s="116" customFormat="1">
      <c r="A311" s="136"/>
      <c r="CM311" s="111"/>
      <c r="CQ311" s="111"/>
      <c r="EF311"/>
      <c r="EG311"/>
      <c r="EH311"/>
      <c r="EI311"/>
      <c r="EJ311"/>
      <c r="EK311"/>
    </row>
    <row r="312" spans="1:141" s="116" customFormat="1">
      <c r="A312" s="136"/>
      <c r="CM312" s="111"/>
      <c r="CQ312" s="111"/>
      <c r="EF312"/>
      <c r="EG312"/>
      <c r="EH312"/>
      <c r="EI312"/>
      <c r="EJ312"/>
      <c r="EK312"/>
    </row>
    <row r="313" spans="1:141" s="116" customFormat="1">
      <c r="A313" s="136"/>
      <c r="CM313" s="111"/>
      <c r="CQ313" s="111"/>
      <c r="EF313"/>
      <c r="EG313"/>
      <c r="EH313"/>
      <c r="EI313"/>
      <c r="EJ313"/>
      <c r="EK313"/>
    </row>
    <row r="314" spans="1:141" s="116" customFormat="1">
      <c r="A314" s="136"/>
      <c r="CM314" s="111"/>
      <c r="CQ314" s="111"/>
      <c r="EF314"/>
      <c r="EG314"/>
      <c r="EH314"/>
      <c r="EI314"/>
      <c r="EJ314"/>
      <c r="EK314"/>
    </row>
    <row r="315" spans="1:141" s="116" customFormat="1">
      <c r="A315" s="136"/>
      <c r="CM315" s="111"/>
      <c r="CQ315" s="111"/>
      <c r="EF315"/>
      <c r="EG315"/>
      <c r="EH315"/>
      <c r="EI315"/>
      <c r="EJ315"/>
      <c r="EK315"/>
    </row>
    <row r="316" spans="1:141" s="116" customFormat="1">
      <c r="A316" s="136"/>
      <c r="CM316" s="111"/>
      <c r="CQ316" s="111"/>
      <c r="EF316"/>
      <c r="EG316"/>
      <c r="EH316"/>
      <c r="EI316"/>
      <c r="EJ316"/>
      <c r="EK316"/>
    </row>
    <row r="317" spans="1:141" s="116" customFormat="1">
      <c r="A317" s="136"/>
      <c r="CM317" s="111"/>
      <c r="CQ317" s="111"/>
      <c r="EF317"/>
      <c r="EG317"/>
      <c r="EH317"/>
      <c r="EI317"/>
      <c r="EJ317"/>
      <c r="EK317"/>
    </row>
    <row r="318" spans="1:141" s="116" customFormat="1">
      <c r="A318" s="136"/>
      <c r="CM318" s="111"/>
      <c r="CQ318" s="111"/>
      <c r="EF318"/>
      <c r="EG318"/>
      <c r="EH318"/>
      <c r="EI318"/>
      <c r="EJ318"/>
      <c r="EK318"/>
    </row>
    <row r="319" spans="1:141" s="116" customFormat="1">
      <c r="A319" s="136"/>
      <c r="CM319" s="111"/>
      <c r="CQ319" s="111"/>
      <c r="EF319"/>
      <c r="EG319"/>
      <c r="EH319"/>
      <c r="EI319"/>
      <c r="EJ319"/>
      <c r="EK319"/>
    </row>
    <row r="320" spans="1:141" s="116" customFormat="1">
      <c r="A320" s="136"/>
      <c r="CM320" s="111"/>
      <c r="CQ320" s="111"/>
      <c r="EF320"/>
      <c r="EG320"/>
      <c r="EH320"/>
      <c r="EI320"/>
      <c r="EJ320"/>
      <c r="EK320"/>
    </row>
    <row r="321" spans="1:141" s="116" customFormat="1">
      <c r="A321" s="136"/>
      <c r="CM321" s="111"/>
      <c r="CQ321" s="111"/>
      <c r="EF321"/>
      <c r="EG321"/>
      <c r="EH321"/>
      <c r="EI321"/>
      <c r="EJ321"/>
      <c r="EK321"/>
    </row>
    <row r="322" spans="1:141" s="116" customFormat="1">
      <c r="A322" s="136"/>
      <c r="CM322" s="111"/>
      <c r="CQ322" s="111"/>
      <c r="EF322"/>
      <c r="EG322"/>
      <c r="EH322"/>
      <c r="EI322"/>
      <c r="EJ322"/>
      <c r="EK322"/>
    </row>
    <row r="323" spans="1:141" s="116" customFormat="1">
      <c r="A323" s="136"/>
      <c r="CM323" s="111"/>
      <c r="CQ323" s="111"/>
      <c r="EF323"/>
      <c r="EG323"/>
      <c r="EH323"/>
      <c r="EI323"/>
      <c r="EJ323"/>
      <c r="EK323"/>
    </row>
    <row r="324" spans="1:141" s="116" customFormat="1">
      <c r="A324" s="136"/>
      <c r="CM324" s="111"/>
      <c r="CQ324" s="111"/>
      <c r="EF324"/>
      <c r="EG324"/>
      <c r="EH324"/>
      <c r="EI324"/>
      <c r="EJ324"/>
      <c r="EK324"/>
    </row>
    <row r="325" spans="1:141" s="116" customFormat="1">
      <c r="A325" s="136"/>
      <c r="CM325" s="111"/>
      <c r="CQ325" s="111"/>
      <c r="EF325"/>
      <c r="EG325"/>
      <c r="EH325"/>
      <c r="EI325"/>
      <c r="EJ325"/>
      <c r="EK325"/>
    </row>
    <row r="326" spans="1:141" s="116" customFormat="1">
      <c r="A326" s="136"/>
      <c r="CM326" s="111"/>
      <c r="CQ326" s="111"/>
      <c r="EF326"/>
      <c r="EG326"/>
      <c r="EH326"/>
      <c r="EI326"/>
      <c r="EJ326"/>
      <c r="EK326"/>
    </row>
    <row r="327" spans="1:141" s="116" customFormat="1">
      <c r="A327" s="136"/>
      <c r="CM327" s="111"/>
      <c r="CQ327" s="111"/>
      <c r="EF327"/>
      <c r="EG327"/>
      <c r="EH327"/>
      <c r="EI327"/>
      <c r="EJ327"/>
      <c r="EK327"/>
    </row>
    <row r="328" spans="1:141" s="116" customFormat="1">
      <c r="A328" s="136"/>
      <c r="CM328" s="111"/>
      <c r="CQ328" s="111"/>
      <c r="EF328"/>
      <c r="EG328"/>
      <c r="EH328"/>
      <c r="EI328"/>
      <c r="EJ328"/>
      <c r="EK328"/>
    </row>
    <row r="329" spans="1:141" s="116" customFormat="1">
      <c r="A329" s="136"/>
      <c r="CM329" s="111"/>
      <c r="CQ329" s="111"/>
      <c r="EF329"/>
      <c r="EG329"/>
      <c r="EH329"/>
      <c r="EI329"/>
      <c r="EJ329"/>
      <c r="EK329"/>
    </row>
    <row r="330" spans="1:141" s="116" customFormat="1">
      <c r="A330" s="136"/>
      <c r="CM330" s="111"/>
      <c r="CQ330" s="111"/>
      <c r="EF330"/>
      <c r="EG330"/>
      <c r="EH330"/>
      <c r="EI330"/>
      <c r="EJ330"/>
      <c r="EK330"/>
    </row>
    <row r="331" spans="1:141" s="116" customFormat="1">
      <c r="A331" s="136"/>
      <c r="CM331" s="111"/>
      <c r="CQ331" s="111"/>
      <c r="EF331"/>
      <c r="EG331"/>
      <c r="EH331"/>
      <c r="EI331"/>
      <c r="EJ331"/>
      <c r="EK331"/>
    </row>
    <row r="332" spans="1:141" s="116" customFormat="1">
      <c r="A332" s="136"/>
      <c r="CM332" s="111"/>
      <c r="CQ332" s="111"/>
      <c r="EF332"/>
      <c r="EG332"/>
      <c r="EH332"/>
      <c r="EI332"/>
      <c r="EJ332"/>
      <c r="EK332"/>
    </row>
    <row r="333" spans="1:141" s="116" customFormat="1">
      <c r="A333" s="136"/>
      <c r="CM333" s="111"/>
      <c r="CQ333" s="111"/>
      <c r="EF333"/>
      <c r="EG333"/>
      <c r="EH333"/>
      <c r="EI333"/>
      <c r="EJ333"/>
      <c r="EK333"/>
    </row>
    <row r="334" spans="1:141" s="116" customFormat="1">
      <c r="A334" s="136"/>
      <c r="CM334" s="111"/>
      <c r="CQ334" s="111"/>
      <c r="EF334"/>
      <c r="EG334"/>
      <c r="EH334"/>
      <c r="EI334"/>
      <c r="EJ334"/>
      <c r="EK334"/>
    </row>
    <row r="335" spans="1:141" s="116" customFormat="1">
      <c r="A335" s="136"/>
      <c r="CM335" s="111"/>
      <c r="CQ335" s="111"/>
      <c r="EF335"/>
      <c r="EG335"/>
      <c r="EH335"/>
      <c r="EI335"/>
      <c r="EJ335"/>
      <c r="EK335"/>
    </row>
    <row r="336" spans="1:141" s="116" customFormat="1">
      <c r="A336" s="136"/>
      <c r="CM336" s="111"/>
      <c r="CQ336" s="111"/>
      <c r="EF336"/>
      <c r="EG336"/>
      <c r="EH336"/>
      <c r="EI336"/>
      <c r="EJ336"/>
      <c r="EK336"/>
    </row>
    <row r="337" spans="1:141" s="116" customFormat="1">
      <c r="A337" s="136"/>
      <c r="CM337" s="111"/>
      <c r="CQ337" s="111"/>
      <c r="EF337"/>
      <c r="EG337"/>
      <c r="EH337"/>
      <c r="EI337"/>
      <c r="EJ337"/>
      <c r="EK337"/>
    </row>
    <row r="338" spans="1:141" s="116" customFormat="1">
      <c r="A338" s="136"/>
      <c r="CM338" s="111"/>
      <c r="CQ338" s="111"/>
      <c r="EF338"/>
      <c r="EG338"/>
      <c r="EH338"/>
      <c r="EI338"/>
      <c r="EJ338"/>
      <c r="EK338"/>
    </row>
    <row r="339" spans="1:141" s="116" customFormat="1">
      <c r="A339" s="136"/>
      <c r="CM339" s="111"/>
      <c r="CQ339" s="111"/>
      <c r="EF339"/>
      <c r="EG339"/>
      <c r="EH339"/>
      <c r="EI339"/>
      <c r="EJ339"/>
      <c r="EK339"/>
    </row>
    <row r="340" spans="1:141" s="116" customFormat="1">
      <c r="A340" s="136"/>
      <c r="CM340" s="111"/>
      <c r="CQ340" s="111"/>
      <c r="EF340"/>
      <c r="EG340"/>
      <c r="EH340"/>
      <c r="EI340"/>
      <c r="EJ340"/>
      <c r="EK340"/>
    </row>
    <row r="341" spans="1:141" s="116" customFormat="1">
      <c r="A341" s="136"/>
      <c r="CM341" s="111"/>
      <c r="CQ341" s="111"/>
      <c r="EF341"/>
      <c r="EG341"/>
      <c r="EH341"/>
      <c r="EI341"/>
      <c r="EJ341"/>
      <c r="EK341"/>
    </row>
    <row r="342" spans="1:141" s="116" customFormat="1">
      <c r="A342" s="136"/>
      <c r="CM342" s="111"/>
      <c r="CQ342" s="111"/>
      <c r="EF342"/>
      <c r="EG342"/>
      <c r="EH342"/>
      <c r="EI342"/>
      <c r="EJ342"/>
      <c r="EK342"/>
    </row>
    <row r="343" spans="1:141" s="116" customFormat="1">
      <c r="A343" s="136"/>
      <c r="CM343" s="111"/>
      <c r="CQ343" s="111"/>
      <c r="EF343"/>
      <c r="EG343"/>
      <c r="EH343"/>
      <c r="EI343"/>
      <c r="EJ343"/>
      <c r="EK343"/>
    </row>
    <row r="344" spans="1:141" s="116" customFormat="1">
      <c r="A344" s="136"/>
      <c r="CM344" s="111"/>
      <c r="CQ344" s="111"/>
      <c r="EF344"/>
      <c r="EG344"/>
      <c r="EH344"/>
      <c r="EI344"/>
      <c r="EJ344"/>
      <c r="EK344"/>
    </row>
    <row r="345" spans="1:141" s="116" customFormat="1">
      <c r="A345" s="136"/>
      <c r="CM345" s="111"/>
      <c r="CQ345" s="111"/>
      <c r="EF345"/>
      <c r="EG345"/>
      <c r="EH345"/>
      <c r="EI345"/>
      <c r="EJ345"/>
      <c r="EK345"/>
    </row>
    <row r="346" spans="1:141" s="116" customFormat="1">
      <c r="A346" s="136"/>
      <c r="CM346" s="111"/>
      <c r="CQ346" s="111"/>
      <c r="EF346"/>
      <c r="EG346"/>
      <c r="EH346"/>
      <c r="EI346"/>
      <c r="EJ346"/>
      <c r="EK346"/>
    </row>
    <row r="347" spans="1:141" s="116" customFormat="1">
      <c r="A347" s="136"/>
      <c r="CM347" s="111"/>
      <c r="CQ347" s="111"/>
      <c r="EF347"/>
      <c r="EG347"/>
      <c r="EH347"/>
      <c r="EI347"/>
      <c r="EJ347"/>
      <c r="EK347"/>
    </row>
    <row r="348" spans="1:141" s="116" customFormat="1">
      <c r="A348" s="136"/>
      <c r="CM348" s="111"/>
      <c r="CQ348" s="111"/>
      <c r="EF348"/>
      <c r="EG348"/>
      <c r="EH348"/>
      <c r="EI348"/>
      <c r="EJ348"/>
      <c r="EK348"/>
    </row>
    <row r="349" spans="1:141" s="116" customFormat="1">
      <c r="A349" s="136"/>
      <c r="CM349" s="111"/>
      <c r="CQ349" s="111"/>
      <c r="EF349"/>
      <c r="EG349"/>
      <c r="EH349"/>
      <c r="EI349"/>
      <c r="EJ349"/>
      <c r="EK349"/>
    </row>
    <row r="350" spans="1:141" s="116" customFormat="1">
      <c r="A350" s="136"/>
      <c r="CM350" s="111"/>
      <c r="CQ350" s="111"/>
      <c r="EF350"/>
      <c r="EG350"/>
      <c r="EH350"/>
      <c r="EI350"/>
      <c r="EJ350"/>
      <c r="EK350"/>
    </row>
    <row r="351" spans="1:141" s="116" customFormat="1">
      <c r="A351" s="136"/>
      <c r="CM351" s="111"/>
      <c r="CQ351" s="111"/>
      <c r="EF351"/>
      <c r="EG351"/>
      <c r="EH351"/>
      <c r="EI351"/>
      <c r="EJ351"/>
      <c r="EK351"/>
    </row>
    <row r="352" spans="1:141" s="116" customFormat="1">
      <c r="A352" s="136"/>
      <c r="CM352" s="111"/>
      <c r="CQ352" s="111"/>
      <c r="EF352"/>
      <c r="EG352"/>
      <c r="EH352"/>
      <c r="EI352"/>
      <c r="EJ352"/>
      <c r="EK352"/>
    </row>
    <row r="353" spans="1:141" s="116" customFormat="1">
      <c r="A353" s="136"/>
      <c r="CM353" s="111"/>
      <c r="CQ353" s="111"/>
      <c r="EF353"/>
      <c r="EG353"/>
      <c r="EH353"/>
      <c r="EI353"/>
      <c r="EJ353"/>
      <c r="EK353"/>
    </row>
    <row r="354" spans="1:141" s="116" customFormat="1">
      <c r="A354" s="136"/>
      <c r="CM354" s="111"/>
      <c r="CQ354" s="111"/>
      <c r="EF354"/>
      <c r="EG354"/>
      <c r="EH354"/>
      <c r="EI354"/>
      <c r="EJ354"/>
      <c r="EK354"/>
    </row>
    <row r="355" spans="1:141" s="116" customFormat="1">
      <c r="A355" s="136"/>
      <c r="CM355" s="111"/>
      <c r="CQ355" s="111"/>
      <c r="EF355"/>
      <c r="EG355"/>
      <c r="EH355"/>
      <c r="EI355"/>
      <c r="EJ355"/>
      <c r="EK355"/>
    </row>
    <row r="356" spans="1:141" s="116" customFormat="1">
      <c r="A356" s="136"/>
      <c r="CM356" s="111"/>
      <c r="CQ356" s="111"/>
      <c r="EF356"/>
      <c r="EG356"/>
      <c r="EH356"/>
      <c r="EI356"/>
      <c r="EJ356"/>
      <c r="EK356"/>
    </row>
    <row r="357" spans="1:141" s="116" customFormat="1">
      <c r="A357" s="136"/>
      <c r="CM357" s="111"/>
      <c r="CQ357" s="111"/>
      <c r="EF357"/>
      <c r="EG357"/>
      <c r="EH357"/>
      <c r="EI357"/>
      <c r="EJ357"/>
      <c r="EK357"/>
    </row>
    <row r="358" spans="1:141" s="116" customFormat="1">
      <c r="A358" s="136"/>
      <c r="CM358" s="111"/>
      <c r="CQ358" s="111"/>
      <c r="EF358"/>
      <c r="EG358"/>
      <c r="EH358"/>
      <c r="EI358"/>
      <c r="EJ358"/>
      <c r="EK358"/>
    </row>
    <row r="359" spans="1:141" s="116" customFormat="1">
      <c r="A359" s="136"/>
      <c r="CM359" s="111"/>
      <c r="CQ359" s="111"/>
      <c r="EF359"/>
      <c r="EG359"/>
      <c r="EH359"/>
      <c r="EI359"/>
      <c r="EJ359"/>
      <c r="EK359"/>
    </row>
    <row r="360" spans="1:141" s="116" customFormat="1">
      <c r="A360" s="136"/>
      <c r="CM360" s="111"/>
      <c r="CQ360" s="111"/>
      <c r="EF360"/>
      <c r="EG360"/>
      <c r="EH360"/>
      <c r="EI360"/>
      <c r="EJ360"/>
      <c r="EK360"/>
    </row>
    <row r="361" spans="1:141" s="116" customFormat="1">
      <c r="A361" s="136"/>
      <c r="CM361" s="111"/>
      <c r="CQ361" s="111"/>
      <c r="EF361"/>
      <c r="EG361"/>
      <c r="EH361"/>
      <c r="EI361"/>
      <c r="EJ361"/>
      <c r="EK361"/>
    </row>
    <row r="362" spans="1:141" s="116" customFormat="1">
      <c r="A362" s="136"/>
      <c r="CM362" s="111"/>
      <c r="CQ362" s="111"/>
      <c r="EF362"/>
      <c r="EG362"/>
      <c r="EH362"/>
      <c r="EI362"/>
      <c r="EJ362"/>
      <c r="EK362"/>
    </row>
    <row r="363" spans="1:141" s="116" customFormat="1">
      <c r="A363" s="136"/>
      <c r="CM363" s="111"/>
      <c r="CQ363" s="111"/>
      <c r="EF363"/>
      <c r="EG363"/>
      <c r="EH363"/>
      <c r="EI363"/>
      <c r="EJ363"/>
      <c r="EK363"/>
    </row>
    <row r="364" spans="1:141" s="116" customFormat="1">
      <c r="A364" s="136"/>
      <c r="CM364" s="111"/>
      <c r="CQ364" s="111"/>
      <c r="EF364"/>
      <c r="EG364"/>
      <c r="EH364"/>
      <c r="EI364"/>
      <c r="EJ364"/>
      <c r="EK364"/>
    </row>
    <row r="365" spans="1:141" s="116" customFormat="1">
      <c r="A365" s="136"/>
      <c r="CM365" s="111"/>
      <c r="CQ365" s="111"/>
      <c r="EF365"/>
      <c r="EG365"/>
      <c r="EH365"/>
      <c r="EI365"/>
      <c r="EJ365"/>
      <c r="EK365"/>
    </row>
    <row r="366" spans="1:141" s="116" customFormat="1">
      <c r="A366" s="136"/>
      <c r="CM366" s="111"/>
      <c r="CQ366" s="111"/>
      <c r="EF366"/>
      <c r="EG366"/>
      <c r="EH366"/>
      <c r="EI366"/>
      <c r="EJ366"/>
      <c r="EK366"/>
    </row>
    <row r="367" spans="1:141" s="116" customFormat="1">
      <c r="A367" s="136"/>
      <c r="CM367" s="111"/>
      <c r="CQ367" s="111"/>
      <c r="EF367"/>
      <c r="EG367"/>
      <c r="EH367"/>
      <c r="EI367"/>
      <c r="EJ367"/>
      <c r="EK367"/>
    </row>
    <row r="368" spans="1:141" s="116" customFormat="1">
      <c r="A368" s="136"/>
      <c r="CM368" s="111"/>
      <c r="CQ368" s="111"/>
      <c r="EF368"/>
      <c r="EG368"/>
      <c r="EH368"/>
      <c r="EI368"/>
      <c r="EJ368"/>
      <c r="EK368"/>
    </row>
    <row r="369" spans="1:141" s="116" customFormat="1">
      <c r="A369" s="136"/>
      <c r="CM369" s="111"/>
      <c r="CQ369" s="111"/>
      <c r="EF369"/>
      <c r="EG369"/>
      <c r="EH369"/>
      <c r="EI369"/>
      <c r="EJ369"/>
      <c r="EK369"/>
    </row>
    <row r="370" spans="1:141" s="116" customFormat="1">
      <c r="A370" s="136"/>
      <c r="CM370" s="111"/>
      <c r="CQ370" s="111"/>
      <c r="EF370"/>
      <c r="EG370"/>
      <c r="EH370"/>
      <c r="EI370"/>
      <c r="EJ370"/>
      <c r="EK370"/>
    </row>
    <row r="371" spans="1:141" s="116" customFormat="1">
      <c r="A371" s="136"/>
      <c r="CM371" s="111"/>
      <c r="CQ371" s="111"/>
      <c r="EF371"/>
      <c r="EG371"/>
      <c r="EH371"/>
      <c r="EI371"/>
      <c r="EJ371"/>
      <c r="EK371"/>
    </row>
    <row r="372" spans="1:141" s="116" customFormat="1">
      <c r="A372" s="136"/>
      <c r="CM372" s="111"/>
      <c r="CQ372" s="111"/>
      <c r="EF372"/>
      <c r="EG372"/>
      <c r="EH372"/>
      <c r="EI372"/>
      <c r="EJ372"/>
      <c r="EK372"/>
    </row>
    <row r="373" spans="1:141" s="116" customFormat="1">
      <c r="A373" s="136"/>
      <c r="CM373" s="111"/>
      <c r="CQ373" s="111"/>
      <c r="EF373"/>
      <c r="EG373"/>
      <c r="EH373"/>
      <c r="EI373"/>
      <c r="EJ373"/>
      <c r="EK373"/>
    </row>
    <row r="374" spans="1:141" s="116" customFormat="1">
      <c r="A374" s="136"/>
      <c r="CM374" s="111"/>
      <c r="CQ374" s="111"/>
      <c r="EF374"/>
      <c r="EG374"/>
      <c r="EH374"/>
      <c r="EI374"/>
      <c r="EJ374"/>
      <c r="EK374"/>
    </row>
    <row r="375" spans="1:141" s="116" customFormat="1">
      <c r="A375" s="136"/>
      <c r="CM375" s="111"/>
      <c r="CQ375" s="111"/>
      <c r="EF375"/>
      <c r="EG375"/>
      <c r="EH375"/>
      <c r="EI375"/>
      <c r="EJ375"/>
      <c r="EK375"/>
    </row>
    <row r="376" spans="1:141" s="116" customFormat="1">
      <c r="A376" s="136"/>
      <c r="CM376" s="111"/>
      <c r="CQ376" s="111"/>
      <c r="EF376"/>
      <c r="EG376"/>
      <c r="EH376"/>
      <c r="EI376"/>
      <c r="EJ376"/>
      <c r="EK376"/>
    </row>
    <row r="377" spans="1:141" s="116" customFormat="1">
      <c r="A377" s="136"/>
      <c r="CM377" s="111"/>
      <c r="CQ377" s="111"/>
      <c r="EF377"/>
      <c r="EG377"/>
      <c r="EH377"/>
      <c r="EI377"/>
      <c r="EJ377"/>
      <c r="EK377"/>
    </row>
    <row r="378" spans="1:141" s="116" customFormat="1">
      <c r="A378" s="136"/>
      <c r="CM378" s="111"/>
      <c r="CQ378" s="111"/>
      <c r="EF378"/>
      <c r="EG378"/>
      <c r="EH378"/>
      <c r="EI378"/>
      <c r="EJ378"/>
      <c r="EK378"/>
    </row>
    <row r="379" spans="1:141" s="116" customFormat="1">
      <c r="A379" s="136"/>
      <c r="CM379" s="111"/>
      <c r="CQ379" s="111"/>
      <c r="EF379"/>
      <c r="EG379"/>
      <c r="EH379"/>
      <c r="EI379"/>
      <c r="EJ379"/>
      <c r="EK379"/>
    </row>
    <row r="380" spans="1:141" s="116" customFormat="1">
      <c r="A380" s="136"/>
      <c r="CM380" s="111"/>
      <c r="CQ380" s="111"/>
      <c r="EF380"/>
      <c r="EG380"/>
      <c r="EH380"/>
      <c r="EI380"/>
      <c r="EJ380"/>
      <c r="EK380"/>
    </row>
    <row r="381" spans="1:141" s="116" customFormat="1">
      <c r="A381" s="136"/>
      <c r="CM381" s="111"/>
      <c r="CQ381" s="111"/>
      <c r="EF381"/>
      <c r="EG381"/>
      <c r="EH381"/>
      <c r="EI381"/>
      <c r="EJ381"/>
      <c r="EK381"/>
    </row>
    <row r="382" spans="1:141" s="116" customFormat="1">
      <c r="A382" s="136"/>
      <c r="CM382" s="111"/>
      <c r="CQ382" s="111"/>
      <c r="EF382"/>
      <c r="EG382"/>
      <c r="EH382"/>
      <c r="EI382"/>
      <c r="EJ382"/>
      <c r="EK382"/>
    </row>
    <row r="383" spans="1:141" s="116" customFormat="1">
      <c r="A383" s="136"/>
      <c r="CM383" s="111"/>
      <c r="CQ383" s="111"/>
      <c r="EF383"/>
      <c r="EG383"/>
      <c r="EH383"/>
      <c r="EI383"/>
      <c r="EJ383"/>
      <c r="EK383"/>
    </row>
    <row r="384" spans="1:141" s="116" customFormat="1">
      <c r="A384" s="136"/>
      <c r="CM384" s="111"/>
      <c r="CQ384" s="111"/>
      <c r="EF384"/>
      <c r="EG384"/>
      <c r="EH384"/>
      <c r="EI384"/>
      <c r="EJ384"/>
      <c r="EK384"/>
    </row>
    <row r="385" spans="1:141" s="116" customFormat="1">
      <c r="A385" s="136"/>
      <c r="CM385" s="111"/>
      <c r="CQ385" s="111"/>
      <c r="EF385"/>
      <c r="EG385"/>
      <c r="EH385"/>
      <c r="EI385"/>
      <c r="EJ385"/>
      <c r="EK385"/>
    </row>
    <row r="386" spans="1:141" s="116" customFormat="1">
      <c r="A386" s="136"/>
      <c r="CM386" s="111"/>
      <c r="CQ386" s="111"/>
      <c r="EF386"/>
      <c r="EG386"/>
      <c r="EH386"/>
      <c r="EI386"/>
      <c r="EJ386"/>
      <c r="EK386"/>
    </row>
    <row r="387" spans="1:141" s="116" customFormat="1">
      <c r="A387" s="136"/>
      <c r="CM387" s="111"/>
      <c r="CQ387" s="111"/>
      <c r="EF387"/>
      <c r="EG387"/>
      <c r="EH387"/>
      <c r="EI387"/>
      <c r="EJ387"/>
      <c r="EK387"/>
    </row>
    <row r="388" spans="1:141" s="116" customFormat="1">
      <c r="A388" s="136"/>
      <c r="CM388" s="111"/>
      <c r="CQ388" s="111"/>
      <c r="EF388"/>
      <c r="EG388"/>
      <c r="EH388"/>
      <c r="EI388"/>
      <c r="EJ388"/>
      <c r="EK388"/>
    </row>
    <row r="389" spans="1:141" s="116" customFormat="1">
      <c r="A389" s="136"/>
      <c r="CM389" s="111"/>
      <c r="CQ389" s="111"/>
      <c r="EF389"/>
      <c r="EG389"/>
      <c r="EH389"/>
      <c r="EI389"/>
      <c r="EJ389"/>
      <c r="EK389"/>
    </row>
    <row r="390" spans="1:141" s="116" customFormat="1">
      <c r="A390" s="136"/>
      <c r="CM390" s="111"/>
      <c r="CQ390" s="111"/>
      <c r="EF390"/>
      <c r="EG390"/>
      <c r="EH390"/>
      <c r="EI390"/>
      <c r="EJ390"/>
      <c r="EK390"/>
    </row>
    <row r="391" spans="1:141" s="116" customFormat="1">
      <c r="A391" s="136"/>
      <c r="CM391" s="111"/>
      <c r="CQ391" s="111"/>
      <c r="EF391"/>
      <c r="EG391"/>
      <c r="EH391"/>
      <c r="EI391"/>
      <c r="EJ391"/>
      <c r="EK391"/>
    </row>
    <row r="392" spans="1:141" s="116" customFormat="1">
      <c r="A392" s="136"/>
      <c r="CM392" s="111"/>
      <c r="CQ392" s="111"/>
      <c r="EF392"/>
      <c r="EG392"/>
      <c r="EH392"/>
      <c r="EI392"/>
      <c r="EJ392"/>
      <c r="EK392"/>
    </row>
    <row r="393" spans="1:141" s="116" customFormat="1">
      <c r="A393" s="136"/>
      <c r="CM393" s="111"/>
      <c r="CQ393" s="111"/>
      <c r="EF393"/>
      <c r="EG393"/>
      <c r="EH393"/>
      <c r="EI393"/>
      <c r="EJ393"/>
      <c r="EK393"/>
    </row>
    <row r="394" spans="1:141" s="116" customFormat="1">
      <c r="A394" s="136"/>
      <c r="CM394" s="111"/>
      <c r="CQ394" s="111"/>
      <c r="EF394"/>
      <c r="EG394"/>
      <c r="EH394"/>
      <c r="EI394"/>
      <c r="EJ394"/>
      <c r="EK394"/>
    </row>
    <row r="395" spans="1:141" s="116" customFormat="1">
      <c r="A395" s="136"/>
      <c r="CM395" s="111"/>
      <c r="CQ395" s="111"/>
      <c r="EF395"/>
      <c r="EG395"/>
      <c r="EH395"/>
      <c r="EI395"/>
      <c r="EJ395"/>
      <c r="EK395"/>
    </row>
    <row r="396" spans="1:141" s="116" customFormat="1">
      <c r="A396" s="136"/>
      <c r="CM396" s="111"/>
      <c r="CQ396" s="111"/>
      <c r="EF396"/>
      <c r="EG396"/>
      <c r="EH396"/>
      <c r="EI396"/>
      <c r="EJ396"/>
      <c r="EK396"/>
    </row>
    <row r="397" spans="1:141" s="116" customFormat="1">
      <c r="A397" s="136"/>
      <c r="CM397" s="111"/>
      <c r="CQ397" s="111"/>
      <c r="EF397"/>
      <c r="EG397"/>
      <c r="EH397"/>
      <c r="EI397"/>
      <c r="EJ397"/>
      <c r="EK397"/>
    </row>
    <row r="398" spans="1:141" s="116" customFormat="1">
      <c r="A398" s="136"/>
      <c r="CM398" s="111"/>
      <c r="CQ398" s="111"/>
      <c r="EF398"/>
      <c r="EG398"/>
      <c r="EH398"/>
      <c r="EI398"/>
      <c r="EJ398"/>
      <c r="EK398"/>
    </row>
    <row r="399" spans="1:141" s="116" customFormat="1">
      <c r="A399" s="136"/>
      <c r="CM399" s="111"/>
      <c r="CQ399" s="111"/>
      <c r="EF399"/>
      <c r="EG399"/>
      <c r="EH399"/>
      <c r="EI399"/>
      <c r="EJ399"/>
      <c r="EK399"/>
    </row>
    <row r="400" spans="1:141" s="116" customFormat="1">
      <c r="A400" s="136"/>
      <c r="CM400" s="111"/>
      <c r="CQ400" s="111"/>
      <c r="EF400"/>
      <c r="EG400"/>
      <c r="EH400"/>
      <c r="EI400"/>
      <c r="EJ400"/>
      <c r="EK400"/>
    </row>
    <row r="401" spans="1:141" s="116" customFormat="1">
      <c r="A401" s="136"/>
      <c r="CM401" s="111"/>
      <c r="CQ401" s="111"/>
      <c r="EF401"/>
      <c r="EG401"/>
      <c r="EH401"/>
      <c r="EI401"/>
      <c r="EJ401"/>
      <c r="EK401"/>
    </row>
    <row r="402" spans="1:141" s="116" customFormat="1">
      <c r="A402" s="136"/>
      <c r="CM402" s="111"/>
      <c r="CQ402" s="111"/>
      <c r="EF402"/>
      <c r="EG402"/>
      <c r="EH402"/>
      <c r="EI402"/>
      <c r="EJ402"/>
      <c r="EK402"/>
    </row>
    <row r="403" spans="1:141" s="116" customFormat="1">
      <c r="A403" s="136"/>
      <c r="CM403" s="111"/>
      <c r="CQ403" s="111"/>
      <c r="EF403"/>
      <c r="EG403"/>
      <c r="EH403"/>
      <c r="EI403"/>
      <c r="EJ403"/>
      <c r="EK403"/>
    </row>
    <row r="404" spans="1:141" s="116" customFormat="1">
      <c r="A404" s="136"/>
      <c r="CM404" s="111"/>
      <c r="CQ404" s="111"/>
      <c r="EF404"/>
      <c r="EG404"/>
      <c r="EH404"/>
      <c r="EI404"/>
      <c r="EJ404"/>
      <c r="EK404"/>
    </row>
    <row r="405" spans="1:141" s="116" customFormat="1">
      <c r="A405" s="136"/>
      <c r="CM405" s="111"/>
      <c r="CQ405" s="111"/>
      <c r="EF405"/>
      <c r="EG405"/>
      <c r="EH405"/>
      <c r="EI405"/>
      <c r="EJ405"/>
      <c r="EK405"/>
    </row>
    <row r="406" spans="1:141" s="116" customFormat="1">
      <c r="A406" s="136"/>
      <c r="CM406" s="111"/>
      <c r="CQ406" s="111"/>
      <c r="EF406"/>
      <c r="EG406"/>
      <c r="EH406"/>
      <c r="EI406"/>
      <c r="EJ406"/>
      <c r="EK406"/>
    </row>
    <row r="407" spans="1:141" s="116" customFormat="1">
      <c r="A407" s="136"/>
      <c r="CM407" s="111"/>
      <c r="CQ407" s="111"/>
      <c r="EF407"/>
      <c r="EG407"/>
      <c r="EH407"/>
      <c r="EI407"/>
      <c r="EJ407"/>
      <c r="EK407"/>
    </row>
    <row r="408" spans="1:141" s="116" customFormat="1">
      <c r="A408" s="136"/>
      <c r="CM408" s="111"/>
      <c r="CQ408" s="111"/>
      <c r="EF408"/>
      <c r="EG408"/>
      <c r="EH408"/>
      <c r="EI408"/>
      <c r="EJ408"/>
      <c r="EK408"/>
    </row>
    <row r="409" spans="1:141" s="116" customFormat="1">
      <c r="A409" s="136"/>
      <c r="CM409" s="111"/>
      <c r="CQ409" s="111"/>
      <c r="EF409"/>
      <c r="EG409"/>
      <c r="EH409"/>
      <c r="EI409"/>
      <c r="EJ409"/>
      <c r="EK409"/>
    </row>
    <row r="410" spans="1:141" s="116" customFormat="1">
      <c r="A410" s="136"/>
      <c r="CM410" s="111"/>
      <c r="CQ410" s="111"/>
      <c r="EF410"/>
      <c r="EG410"/>
      <c r="EH410"/>
      <c r="EI410"/>
      <c r="EJ410"/>
      <c r="EK410"/>
    </row>
    <row r="411" spans="1:141" s="116" customFormat="1">
      <c r="A411" s="136"/>
      <c r="CM411" s="111"/>
      <c r="CQ411" s="111"/>
      <c r="EF411"/>
      <c r="EG411"/>
      <c r="EH411"/>
      <c r="EI411"/>
      <c r="EJ411"/>
      <c r="EK411"/>
    </row>
    <row r="412" spans="1:141" s="116" customFormat="1">
      <c r="A412" s="136"/>
      <c r="CM412" s="111"/>
      <c r="CQ412" s="111"/>
      <c r="EF412"/>
      <c r="EG412"/>
      <c r="EH412"/>
      <c r="EI412"/>
      <c r="EJ412"/>
      <c r="EK412"/>
    </row>
    <row r="413" spans="1:141" s="116" customFormat="1">
      <c r="A413" s="136"/>
      <c r="CM413" s="111"/>
      <c r="CQ413" s="111"/>
      <c r="EF413"/>
      <c r="EG413"/>
      <c r="EH413"/>
      <c r="EI413"/>
      <c r="EJ413"/>
      <c r="EK413"/>
    </row>
    <row r="414" spans="1:141" s="116" customFormat="1">
      <c r="A414" s="136"/>
      <c r="CM414" s="111"/>
      <c r="CQ414" s="111"/>
      <c r="EF414"/>
      <c r="EG414"/>
      <c r="EH414"/>
      <c r="EI414"/>
      <c r="EJ414"/>
      <c r="EK414"/>
    </row>
    <row r="415" spans="1:141" s="116" customFormat="1">
      <c r="A415" s="136"/>
      <c r="CM415" s="111"/>
      <c r="CQ415" s="111"/>
      <c r="EF415"/>
      <c r="EG415"/>
      <c r="EH415"/>
      <c r="EI415"/>
      <c r="EJ415"/>
      <c r="EK415"/>
    </row>
    <row r="416" spans="1:141" s="116" customFormat="1">
      <c r="A416" s="136"/>
      <c r="CM416" s="111"/>
      <c r="CQ416" s="111"/>
      <c r="EF416"/>
      <c r="EG416"/>
      <c r="EH416"/>
      <c r="EI416"/>
      <c r="EJ416"/>
      <c r="EK416"/>
    </row>
    <row r="417" spans="1:141" s="116" customFormat="1">
      <c r="A417" s="136"/>
      <c r="CM417" s="111"/>
      <c r="CQ417" s="111"/>
      <c r="EF417"/>
      <c r="EG417"/>
      <c r="EH417"/>
      <c r="EI417"/>
      <c r="EJ417"/>
      <c r="EK417"/>
    </row>
    <row r="418" spans="1:141" s="116" customFormat="1">
      <c r="A418" s="136"/>
      <c r="CM418" s="111"/>
      <c r="CQ418" s="111"/>
      <c r="EF418"/>
      <c r="EG418"/>
      <c r="EH418"/>
      <c r="EI418"/>
      <c r="EJ418"/>
      <c r="EK418"/>
    </row>
    <row r="419" spans="1:141" s="116" customFormat="1">
      <c r="A419" s="136"/>
      <c r="CM419" s="111"/>
      <c r="CQ419" s="111"/>
      <c r="EF419"/>
      <c r="EG419"/>
      <c r="EH419"/>
      <c r="EI419"/>
      <c r="EJ419"/>
      <c r="EK419"/>
    </row>
    <row r="420" spans="1:141" s="116" customFormat="1">
      <c r="A420" s="136"/>
      <c r="CM420" s="111"/>
      <c r="CQ420" s="111"/>
      <c r="EF420"/>
      <c r="EG420"/>
      <c r="EH420"/>
      <c r="EI420"/>
      <c r="EJ420"/>
      <c r="EK420"/>
    </row>
    <row r="421" spans="1:141" s="116" customFormat="1">
      <c r="A421" s="136"/>
      <c r="CM421" s="111"/>
      <c r="CQ421" s="111"/>
      <c r="EF421"/>
      <c r="EG421"/>
      <c r="EH421"/>
      <c r="EI421"/>
      <c r="EJ421"/>
      <c r="EK421"/>
    </row>
    <row r="422" spans="1:141" s="116" customFormat="1">
      <c r="A422" s="136"/>
      <c r="CM422" s="111"/>
      <c r="CQ422" s="111"/>
      <c r="EF422"/>
      <c r="EG422"/>
      <c r="EH422"/>
      <c r="EI422"/>
      <c r="EJ422"/>
      <c r="EK422"/>
    </row>
    <row r="423" spans="1:141" s="116" customFormat="1">
      <c r="A423" s="136"/>
      <c r="CM423" s="111"/>
      <c r="CQ423" s="111"/>
      <c r="EF423"/>
      <c r="EG423"/>
      <c r="EH423"/>
      <c r="EI423"/>
      <c r="EJ423"/>
      <c r="EK423"/>
    </row>
    <row r="424" spans="1:141" s="116" customFormat="1">
      <c r="A424" s="136"/>
      <c r="CM424" s="111"/>
      <c r="CQ424" s="111"/>
      <c r="EF424"/>
      <c r="EG424"/>
      <c r="EH424"/>
      <c r="EI424"/>
      <c r="EJ424"/>
      <c r="EK424"/>
    </row>
    <row r="425" spans="1:141" s="116" customFormat="1">
      <c r="A425" s="136"/>
      <c r="CM425" s="111"/>
      <c r="CQ425" s="111"/>
      <c r="EF425"/>
      <c r="EG425"/>
      <c r="EH425"/>
      <c r="EI425"/>
      <c r="EJ425"/>
      <c r="EK425"/>
    </row>
    <row r="426" spans="1:141" s="116" customFormat="1">
      <c r="A426" s="136"/>
      <c r="CM426" s="111"/>
      <c r="CQ426" s="111"/>
      <c r="EF426"/>
      <c r="EG426"/>
      <c r="EH426"/>
      <c r="EI426"/>
      <c r="EJ426"/>
      <c r="EK426"/>
    </row>
    <row r="427" spans="1:141" s="116" customFormat="1">
      <c r="A427" s="136"/>
      <c r="CM427" s="111"/>
      <c r="CQ427" s="111"/>
      <c r="EF427"/>
      <c r="EG427"/>
      <c r="EH427"/>
      <c r="EI427"/>
      <c r="EJ427"/>
      <c r="EK427"/>
    </row>
    <row r="428" spans="1:141" s="116" customFormat="1">
      <c r="A428" s="136"/>
      <c r="CM428" s="111"/>
      <c r="CQ428" s="111"/>
      <c r="EF428"/>
      <c r="EG428"/>
      <c r="EH428"/>
      <c r="EI428"/>
      <c r="EJ428"/>
      <c r="EK428"/>
    </row>
    <row r="429" spans="1:141" s="116" customFormat="1">
      <c r="A429" s="136"/>
      <c r="CM429" s="111"/>
      <c r="CQ429" s="111"/>
      <c r="EF429"/>
      <c r="EG429"/>
      <c r="EH429"/>
      <c r="EI429"/>
      <c r="EJ429"/>
      <c r="EK429"/>
    </row>
    <row r="430" spans="1:141" s="116" customFormat="1">
      <c r="A430" s="136"/>
      <c r="CM430" s="111"/>
      <c r="CQ430" s="111"/>
      <c r="EF430"/>
      <c r="EG430"/>
      <c r="EH430"/>
      <c r="EI430"/>
      <c r="EJ430"/>
      <c r="EK430"/>
    </row>
    <row r="431" spans="1:141" s="116" customFormat="1">
      <c r="A431" s="136"/>
      <c r="CM431" s="111"/>
      <c r="CQ431" s="111"/>
      <c r="EF431"/>
      <c r="EG431"/>
      <c r="EH431"/>
      <c r="EI431"/>
      <c r="EJ431"/>
      <c r="EK431"/>
    </row>
    <row r="432" spans="1:141" s="116" customFormat="1">
      <c r="A432" s="136"/>
      <c r="CM432" s="111"/>
      <c r="CQ432" s="111"/>
      <c r="EF432"/>
      <c r="EG432"/>
      <c r="EH432"/>
      <c r="EI432"/>
      <c r="EJ432"/>
      <c r="EK432"/>
    </row>
    <row r="433" spans="1:141" s="116" customFormat="1">
      <c r="A433" s="136"/>
      <c r="CM433" s="111"/>
      <c r="CQ433" s="111"/>
      <c r="EF433"/>
      <c r="EG433"/>
      <c r="EH433"/>
      <c r="EI433"/>
      <c r="EJ433"/>
      <c r="EK433"/>
    </row>
    <row r="434" spans="1:141" s="116" customFormat="1">
      <c r="A434" s="136"/>
      <c r="CM434" s="111"/>
      <c r="CQ434" s="111"/>
      <c r="EF434"/>
      <c r="EG434"/>
      <c r="EH434"/>
      <c r="EI434"/>
      <c r="EJ434"/>
      <c r="EK434"/>
    </row>
    <row r="435" spans="1:141" s="116" customFormat="1">
      <c r="A435" s="136"/>
      <c r="CM435" s="111"/>
      <c r="CQ435" s="111"/>
      <c r="EF435"/>
      <c r="EG435"/>
      <c r="EH435"/>
      <c r="EI435"/>
      <c r="EJ435"/>
      <c r="EK435"/>
    </row>
    <row r="436" spans="1:141" s="116" customFormat="1">
      <c r="A436" s="136"/>
      <c r="CM436" s="111"/>
      <c r="CQ436" s="111"/>
      <c r="EF436"/>
      <c r="EG436"/>
      <c r="EH436"/>
      <c r="EI436"/>
      <c r="EJ436"/>
      <c r="EK436"/>
    </row>
    <row r="437" spans="1:141" s="116" customFormat="1">
      <c r="A437" s="136"/>
      <c r="CM437" s="111"/>
      <c r="CQ437" s="111"/>
      <c r="EF437"/>
      <c r="EG437"/>
      <c r="EH437"/>
      <c r="EI437"/>
      <c r="EJ437"/>
      <c r="EK437"/>
    </row>
    <row r="438" spans="1:141" s="116" customFormat="1">
      <c r="A438" s="136"/>
      <c r="CM438" s="111"/>
      <c r="CQ438" s="111"/>
      <c r="EF438"/>
      <c r="EG438"/>
      <c r="EH438"/>
      <c r="EI438"/>
      <c r="EJ438"/>
      <c r="EK438"/>
    </row>
    <row r="439" spans="1:141" s="116" customFormat="1">
      <c r="A439" s="136"/>
      <c r="CM439" s="111"/>
      <c r="CQ439" s="111"/>
      <c r="EF439"/>
      <c r="EG439"/>
      <c r="EH439"/>
      <c r="EI439"/>
      <c r="EJ439"/>
      <c r="EK439"/>
    </row>
    <row r="440" spans="1:141" s="116" customFormat="1">
      <c r="A440" s="136"/>
      <c r="CM440" s="111"/>
      <c r="CQ440" s="111"/>
      <c r="EF440"/>
      <c r="EG440"/>
      <c r="EH440"/>
      <c r="EI440"/>
      <c r="EJ440"/>
      <c r="EK440"/>
    </row>
    <row r="441" spans="1:141" s="116" customFormat="1">
      <c r="A441" s="136"/>
      <c r="CM441" s="111"/>
      <c r="CQ441" s="111"/>
      <c r="EF441"/>
      <c r="EG441"/>
      <c r="EH441"/>
      <c r="EI441"/>
      <c r="EJ441"/>
      <c r="EK441"/>
    </row>
    <row r="442" spans="1:141" s="116" customFormat="1">
      <c r="A442" s="136"/>
      <c r="CM442" s="111"/>
      <c r="CQ442" s="111"/>
      <c r="EF442"/>
      <c r="EG442"/>
      <c r="EH442"/>
      <c r="EI442"/>
      <c r="EJ442"/>
      <c r="EK442"/>
    </row>
    <row r="443" spans="1:141" s="116" customFormat="1">
      <c r="A443" s="136"/>
      <c r="CM443" s="111"/>
      <c r="CQ443" s="111"/>
      <c r="EF443"/>
      <c r="EG443"/>
      <c r="EH443"/>
      <c r="EI443"/>
      <c r="EJ443"/>
      <c r="EK443"/>
    </row>
    <row r="444" spans="1:141" s="116" customFormat="1">
      <c r="A444" s="136"/>
      <c r="CM444" s="111"/>
      <c r="CQ444" s="111"/>
      <c r="EF444"/>
      <c r="EG444"/>
      <c r="EH444"/>
      <c r="EI444"/>
      <c r="EJ444"/>
      <c r="EK444"/>
    </row>
    <row r="445" spans="1:141" s="116" customFormat="1">
      <c r="A445" s="136"/>
      <c r="CM445" s="111"/>
      <c r="CQ445" s="111"/>
      <c r="EF445"/>
      <c r="EG445"/>
      <c r="EH445"/>
      <c r="EI445"/>
      <c r="EJ445"/>
      <c r="EK445"/>
    </row>
    <row r="446" spans="1:141" s="116" customFormat="1">
      <c r="A446" s="136"/>
      <c r="CM446" s="111"/>
      <c r="CQ446" s="111"/>
      <c r="EF446"/>
      <c r="EG446"/>
      <c r="EH446"/>
      <c r="EI446"/>
      <c r="EJ446"/>
      <c r="EK446"/>
    </row>
    <row r="447" spans="1:141" s="116" customFormat="1">
      <c r="A447" s="136"/>
      <c r="CM447" s="111"/>
      <c r="CQ447" s="111"/>
      <c r="EF447"/>
      <c r="EG447"/>
      <c r="EH447"/>
      <c r="EI447"/>
      <c r="EJ447"/>
      <c r="EK447"/>
    </row>
    <row r="448" spans="1:141" s="116" customFormat="1">
      <c r="A448" s="136"/>
      <c r="CM448" s="111"/>
      <c r="CQ448" s="111"/>
      <c r="EF448"/>
      <c r="EG448"/>
      <c r="EH448"/>
      <c r="EI448"/>
      <c r="EJ448"/>
      <c r="EK448"/>
    </row>
    <row r="449" spans="1:141" s="116" customFormat="1">
      <c r="A449" s="136"/>
      <c r="CM449" s="111"/>
      <c r="CQ449" s="111"/>
      <c r="EF449"/>
      <c r="EG449"/>
      <c r="EH449"/>
      <c r="EI449"/>
      <c r="EJ449"/>
      <c r="EK449"/>
    </row>
    <row r="450" spans="1:141" s="116" customFormat="1">
      <c r="A450" s="136"/>
      <c r="CM450" s="111"/>
      <c r="CQ450" s="111"/>
      <c r="EF450"/>
      <c r="EG450"/>
      <c r="EH450"/>
      <c r="EI450"/>
      <c r="EJ450"/>
      <c r="EK450"/>
    </row>
    <row r="451" spans="1:141" s="116" customFormat="1">
      <c r="A451" s="136"/>
      <c r="CM451" s="111"/>
      <c r="CQ451" s="111"/>
      <c r="EF451"/>
      <c r="EG451"/>
      <c r="EH451"/>
      <c r="EI451"/>
      <c r="EJ451"/>
      <c r="EK451"/>
    </row>
    <row r="452" spans="1:141" s="116" customFormat="1">
      <c r="A452" s="136"/>
      <c r="CM452" s="111"/>
      <c r="CQ452" s="111"/>
      <c r="EF452"/>
      <c r="EG452"/>
      <c r="EH452"/>
      <c r="EI452"/>
      <c r="EJ452"/>
      <c r="EK452"/>
    </row>
    <row r="453" spans="1:141" s="116" customFormat="1">
      <c r="A453" s="136"/>
      <c r="CM453" s="111"/>
      <c r="CQ453" s="111"/>
      <c r="EF453"/>
      <c r="EG453"/>
      <c r="EH453"/>
      <c r="EI453"/>
      <c r="EJ453"/>
      <c r="EK453"/>
    </row>
    <row r="454" spans="1:141" s="116" customFormat="1">
      <c r="A454" s="136"/>
      <c r="CM454" s="111"/>
      <c r="CQ454" s="111"/>
      <c r="EF454"/>
      <c r="EG454"/>
      <c r="EH454"/>
      <c r="EI454"/>
      <c r="EJ454"/>
      <c r="EK454"/>
    </row>
    <row r="455" spans="1:141" s="116" customFormat="1">
      <c r="A455" s="136"/>
      <c r="CM455" s="111"/>
      <c r="CQ455" s="111"/>
      <c r="EF455"/>
      <c r="EG455"/>
      <c r="EH455"/>
      <c r="EI455"/>
      <c r="EJ455"/>
      <c r="EK455"/>
    </row>
    <row r="456" spans="1:141" s="116" customFormat="1">
      <c r="A456" s="136"/>
      <c r="CM456" s="111"/>
      <c r="CQ456" s="111"/>
      <c r="EF456"/>
      <c r="EG456"/>
      <c r="EH456"/>
      <c r="EI456"/>
      <c r="EJ456"/>
      <c r="EK456"/>
    </row>
    <row r="457" spans="1:141" s="116" customFormat="1">
      <c r="A457" s="136"/>
      <c r="CM457" s="111"/>
      <c r="CQ457" s="111"/>
      <c r="EF457"/>
      <c r="EG457"/>
      <c r="EH457"/>
      <c r="EI457"/>
      <c r="EJ457"/>
      <c r="EK457"/>
    </row>
    <row r="458" spans="1:141" s="116" customFormat="1">
      <c r="A458" s="136"/>
      <c r="CM458" s="111"/>
      <c r="CQ458" s="111"/>
      <c r="EF458"/>
      <c r="EG458"/>
      <c r="EH458"/>
      <c r="EI458"/>
      <c r="EJ458"/>
      <c r="EK458"/>
    </row>
    <row r="459" spans="1:141" s="116" customFormat="1">
      <c r="A459" s="136"/>
      <c r="CM459" s="111"/>
      <c r="CQ459" s="111"/>
      <c r="EF459"/>
      <c r="EG459"/>
      <c r="EH459"/>
      <c r="EI459"/>
      <c r="EJ459"/>
      <c r="EK459"/>
    </row>
    <row r="460" spans="1:141" s="116" customFormat="1">
      <c r="A460" s="136"/>
      <c r="CM460" s="111"/>
      <c r="CQ460" s="111"/>
      <c r="EF460"/>
      <c r="EG460"/>
      <c r="EH460"/>
      <c r="EI460"/>
      <c r="EJ460"/>
      <c r="EK460"/>
    </row>
    <row r="461" spans="1:141" s="116" customFormat="1">
      <c r="A461" s="136"/>
      <c r="CM461" s="111"/>
      <c r="CQ461" s="111"/>
      <c r="EF461"/>
      <c r="EG461"/>
      <c r="EH461"/>
      <c r="EI461"/>
      <c r="EJ461"/>
      <c r="EK461"/>
    </row>
    <row r="462" spans="1:141" s="116" customFormat="1">
      <c r="A462" s="136"/>
      <c r="CM462" s="111"/>
      <c r="CQ462" s="111"/>
      <c r="EF462"/>
      <c r="EG462"/>
      <c r="EH462"/>
      <c r="EI462"/>
      <c r="EJ462"/>
      <c r="EK462"/>
    </row>
    <row r="463" spans="1:141" s="116" customFormat="1">
      <c r="A463" s="136"/>
      <c r="CM463" s="111"/>
      <c r="CQ463" s="111"/>
      <c r="EF463"/>
      <c r="EG463"/>
      <c r="EH463"/>
      <c r="EI463"/>
      <c r="EJ463"/>
      <c r="EK463"/>
    </row>
    <row r="464" spans="1:141" s="116" customFormat="1">
      <c r="A464" s="136"/>
      <c r="CM464" s="111"/>
      <c r="CQ464" s="111"/>
      <c r="EF464"/>
      <c r="EG464"/>
      <c r="EH464"/>
      <c r="EI464"/>
      <c r="EJ464"/>
      <c r="EK464"/>
    </row>
    <row r="465" spans="1:141" s="116" customFormat="1">
      <c r="A465" s="136"/>
      <c r="CM465" s="111"/>
      <c r="CQ465" s="111"/>
      <c r="EF465"/>
      <c r="EG465"/>
      <c r="EH465"/>
      <c r="EI465"/>
      <c r="EJ465"/>
      <c r="EK465"/>
    </row>
    <row r="466" spans="1:141" s="116" customFormat="1">
      <c r="A466" s="136"/>
      <c r="CM466" s="111"/>
      <c r="CQ466" s="111"/>
      <c r="EF466"/>
      <c r="EG466"/>
      <c r="EH466"/>
      <c r="EI466"/>
      <c r="EJ466"/>
      <c r="EK466"/>
    </row>
    <row r="467" spans="1:141" s="116" customFormat="1">
      <c r="A467" s="136"/>
      <c r="CM467" s="111"/>
      <c r="CQ467" s="111"/>
      <c r="EF467"/>
      <c r="EG467"/>
      <c r="EH467"/>
      <c r="EI467"/>
      <c r="EJ467"/>
      <c r="EK467"/>
    </row>
    <row r="468" spans="1:141" s="116" customFormat="1">
      <c r="A468" s="136"/>
      <c r="CM468" s="111"/>
      <c r="CQ468" s="111"/>
      <c r="EF468"/>
      <c r="EG468"/>
      <c r="EH468"/>
      <c r="EI468"/>
      <c r="EJ468"/>
      <c r="EK468"/>
    </row>
    <row r="469" spans="1:141" s="116" customFormat="1">
      <c r="A469" s="136"/>
      <c r="CM469" s="111"/>
      <c r="CQ469" s="111"/>
      <c r="EF469"/>
      <c r="EG469"/>
      <c r="EH469"/>
      <c r="EI469"/>
      <c r="EJ469"/>
      <c r="EK469"/>
    </row>
    <row r="470" spans="1:141" s="116" customFormat="1">
      <c r="A470" s="136"/>
      <c r="CM470" s="111"/>
      <c r="CQ470" s="111"/>
      <c r="EF470"/>
      <c r="EG470"/>
      <c r="EH470"/>
      <c r="EI470"/>
      <c r="EJ470"/>
      <c r="EK470"/>
    </row>
    <row r="471" spans="1:141" s="116" customFormat="1">
      <c r="A471" s="136"/>
      <c r="CM471" s="111"/>
      <c r="CQ471" s="111"/>
      <c r="EF471"/>
      <c r="EG471"/>
      <c r="EH471"/>
      <c r="EI471"/>
      <c r="EJ471"/>
      <c r="EK471"/>
    </row>
    <row r="472" spans="1:141" s="116" customFormat="1">
      <c r="A472" s="136"/>
      <c r="CM472" s="111"/>
      <c r="CQ472" s="111"/>
      <c r="EF472"/>
      <c r="EG472"/>
      <c r="EH472"/>
      <c r="EI472"/>
      <c r="EJ472"/>
      <c r="EK472"/>
    </row>
    <row r="473" spans="1:141" s="116" customFormat="1">
      <c r="A473" s="136"/>
      <c r="CM473" s="111"/>
      <c r="CQ473" s="111"/>
      <c r="EF473"/>
      <c r="EG473"/>
      <c r="EH473"/>
      <c r="EI473"/>
      <c r="EJ473"/>
      <c r="EK473"/>
    </row>
    <row r="474" spans="1:141" s="116" customFormat="1">
      <c r="A474" s="136"/>
      <c r="CM474" s="111"/>
      <c r="CQ474" s="111"/>
      <c r="EF474"/>
      <c r="EG474"/>
      <c r="EH474"/>
      <c r="EI474"/>
      <c r="EJ474"/>
      <c r="EK474"/>
    </row>
    <row r="475" spans="1:141" s="116" customFormat="1">
      <c r="A475" s="136"/>
      <c r="CM475" s="111"/>
      <c r="CQ475" s="111"/>
      <c r="EF475"/>
      <c r="EG475"/>
      <c r="EH475"/>
      <c r="EI475"/>
      <c r="EJ475"/>
      <c r="EK475"/>
    </row>
    <row r="476" spans="1:141" s="116" customFormat="1">
      <c r="A476" s="136"/>
      <c r="CM476" s="111"/>
      <c r="CQ476" s="111"/>
      <c r="EF476"/>
      <c r="EG476"/>
      <c r="EH476"/>
      <c r="EI476"/>
      <c r="EJ476"/>
      <c r="EK476"/>
    </row>
    <row r="477" spans="1:141" s="116" customFormat="1">
      <c r="A477" s="136"/>
      <c r="CM477" s="111"/>
      <c r="CQ477" s="111"/>
      <c r="EF477"/>
      <c r="EG477"/>
      <c r="EH477"/>
      <c r="EI477"/>
      <c r="EJ477"/>
      <c r="EK477"/>
    </row>
    <row r="478" spans="1:141" s="116" customFormat="1">
      <c r="A478" s="136"/>
      <c r="CM478" s="111"/>
      <c r="CQ478" s="111"/>
      <c r="EF478"/>
      <c r="EG478"/>
      <c r="EH478"/>
      <c r="EI478"/>
      <c r="EJ478"/>
      <c r="EK478"/>
    </row>
    <row r="479" spans="1:141" s="116" customFormat="1">
      <c r="A479" s="136"/>
      <c r="CM479" s="111"/>
      <c r="CQ479" s="111"/>
      <c r="EF479"/>
      <c r="EG479"/>
      <c r="EH479"/>
      <c r="EI479"/>
      <c r="EJ479"/>
      <c r="EK479"/>
    </row>
    <row r="480" spans="1:141" s="116" customFormat="1">
      <c r="A480" s="136"/>
      <c r="CM480" s="111"/>
      <c r="CQ480" s="111"/>
      <c r="EF480"/>
      <c r="EG480"/>
      <c r="EH480"/>
      <c r="EI480"/>
      <c r="EJ480"/>
      <c r="EK480"/>
    </row>
    <row r="481" spans="1:141" s="116" customFormat="1">
      <c r="A481" s="136"/>
      <c r="CM481" s="111"/>
      <c r="CQ481" s="111"/>
      <c r="EF481"/>
      <c r="EG481"/>
      <c r="EH481"/>
      <c r="EI481"/>
      <c r="EJ481"/>
      <c r="EK481"/>
    </row>
    <row r="482" spans="1:141" s="116" customFormat="1">
      <c r="A482" s="136"/>
      <c r="CM482" s="111"/>
      <c r="CQ482" s="111"/>
      <c r="EF482"/>
      <c r="EG482"/>
      <c r="EH482"/>
      <c r="EI482"/>
      <c r="EJ482"/>
      <c r="EK482"/>
    </row>
    <row r="483" spans="1:141" s="116" customFormat="1">
      <c r="A483" s="136"/>
      <c r="CM483" s="111"/>
      <c r="CQ483" s="111"/>
      <c r="EF483"/>
      <c r="EG483"/>
      <c r="EH483"/>
      <c r="EI483"/>
      <c r="EJ483"/>
      <c r="EK483"/>
    </row>
    <row r="484" spans="1:141" s="116" customFormat="1">
      <c r="A484" s="136"/>
      <c r="CM484" s="111"/>
      <c r="CQ484" s="111"/>
      <c r="EF484"/>
      <c r="EG484"/>
      <c r="EH484"/>
      <c r="EI484"/>
      <c r="EJ484"/>
      <c r="EK484"/>
    </row>
    <row r="485" spans="1:141" s="116" customFormat="1">
      <c r="A485" s="136"/>
      <c r="CM485" s="111"/>
      <c r="CQ485" s="111"/>
      <c r="EF485"/>
      <c r="EG485"/>
      <c r="EH485"/>
      <c r="EI485"/>
      <c r="EJ485"/>
      <c r="EK485"/>
    </row>
    <row r="486" spans="1:141" s="116" customFormat="1">
      <c r="A486" s="136"/>
      <c r="CM486" s="111"/>
      <c r="CQ486" s="111"/>
      <c r="EF486"/>
      <c r="EG486"/>
      <c r="EH486"/>
      <c r="EI486"/>
      <c r="EJ486"/>
      <c r="EK486"/>
    </row>
    <row r="487" spans="1:141" s="116" customFormat="1">
      <c r="A487" s="136"/>
      <c r="CM487" s="111"/>
      <c r="CQ487" s="111"/>
      <c r="EF487"/>
      <c r="EG487"/>
      <c r="EH487"/>
      <c r="EI487"/>
      <c r="EJ487"/>
      <c r="EK487"/>
    </row>
    <row r="488" spans="1:141" s="116" customFormat="1">
      <c r="A488" s="136"/>
      <c r="CM488" s="111"/>
      <c r="CQ488" s="111"/>
      <c r="EF488"/>
      <c r="EG488"/>
      <c r="EH488"/>
      <c r="EI488"/>
      <c r="EJ488"/>
      <c r="EK488"/>
    </row>
    <row r="489" spans="1:141" s="116" customFormat="1">
      <c r="A489" s="136"/>
      <c r="CM489" s="111"/>
      <c r="CQ489" s="111"/>
      <c r="EF489"/>
      <c r="EG489"/>
      <c r="EH489"/>
      <c r="EI489"/>
      <c r="EJ489"/>
      <c r="EK489"/>
    </row>
    <row r="490" spans="1:141" s="116" customFormat="1">
      <c r="A490" s="136"/>
      <c r="CM490" s="111"/>
      <c r="CQ490" s="111"/>
      <c r="EF490"/>
      <c r="EG490"/>
      <c r="EH490"/>
      <c r="EI490"/>
      <c r="EJ490"/>
      <c r="EK490"/>
    </row>
    <row r="491" spans="1:141" s="116" customFormat="1">
      <c r="A491" s="136"/>
      <c r="CM491" s="111"/>
      <c r="CQ491" s="111"/>
      <c r="EF491"/>
      <c r="EG491"/>
      <c r="EH491"/>
      <c r="EI491"/>
      <c r="EJ491"/>
      <c r="EK491"/>
    </row>
    <row r="492" spans="1:141" s="116" customFormat="1">
      <c r="A492" s="136"/>
      <c r="CM492" s="111"/>
      <c r="CQ492" s="111"/>
      <c r="EF492"/>
      <c r="EG492"/>
      <c r="EH492"/>
      <c r="EI492"/>
      <c r="EJ492"/>
      <c r="EK492"/>
    </row>
    <row r="493" spans="1:141" s="116" customFormat="1">
      <c r="A493" s="136"/>
      <c r="CM493" s="111"/>
      <c r="CQ493" s="111"/>
      <c r="EF493"/>
      <c r="EG493"/>
      <c r="EH493"/>
      <c r="EI493"/>
      <c r="EJ493"/>
      <c r="EK493"/>
    </row>
    <row r="494" spans="1:141" s="116" customFormat="1">
      <c r="A494" s="136"/>
      <c r="CM494" s="111"/>
      <c r="CQ494" s="111"/>
      <c r="EF494"/>
      <c r="EG494"/>
      <c r="EH494"/>
      <c r="EI494"/>
      <c r="EJ494"/>
      <c r="EK494"/>
    </row>
    <row r="495" spans="1:141" s="116" customFormat="1">
      <c r="A495" s="136"/>
      <c r="CM495" s="111"/>
      <c r="CQ495" s="111"/>
      <c r="EF495"/>
      <c r="EG495"/>
      <c r="EH495"/>
      <c r="EI495"/>
      <c r="EJ495"/>
      <c r="EK495"/>
    </row>
    <row r="496" spans="1:141" s="116" customFormat="1">
      <c r="A496" s="136"/>
      <c r="CM496" s="111"/>
      <c r="CQ496" s="111"/>
      <c r="EF496"/>
      <c r="EG496"/>
      <c r="EH496"/>
      <c r="EI496"/>
      <c r="EJ496"/>
      <c r="EK496"/>
    </row>
    <row r="497" spans="1:141" s="116" customFormat="1">
      <c r="A497" s="136"/>
      <c r="CM497" s="111"/>
      <c r="CQ497" s="111"/>
      <c r="EF497"/>
      <c r="EG497"/>
      <c r="EH497"/>
      <c r="EI497"/>
      <c r="EJ497"/>
      <c r="EK497"/>
    </row>
    <row r="498" spans="1:141" s="116" customFormat="1">
      <c r="A498" s="136"/>
      <c r="CM498" s="111"/>
      <c r="CQ498" s="111"/>
      <c r="EF498"/>
      <c r="EG498"/>
      <c r="EH498"/>
      <c r="EI498"/>
      <c r="EJ498"/>
      <c r="EK498"/>
    </row>
    <row r="499" spans="1:141" s="116" customFormat="1">
      <c r="A499" s="136"/>
      <c r="CM499" s="111"/>
      <c r="CQ499" s="111"/>
      <c r="EF499"/>
      <c r="EG499"/>
      <c r="EH499"/>
      <c r="EI499"/>
      <c r="EJ499"/>
      <c r="EK499"/>
    </row>
    <row r="500" spans="1:141" s="116" customFormat="1">
      <c r="A500" s="136"/>
      <c r="CM500" s="111"/>
      <c r="CQ500" s="111"/>
      <c r="EF500"/>
      <c r="EG500"/>
      <c r="EH500"/>
      <c r="EI500"/>
      <c r="EJ500"/>
      <c r="EK500"/>
    </row>
    <row r="501" spans="1:141" s="116" customFormat="1">
      <c r="A501" s="136"/>
      <c r="CM501" s="111"/>
      <c r="CQ501" s="111"/>
      <c r="EF501"/>
      <c r="EG501"/>
      <c r="EH501"/>
      <c r="EI501"/>
      <c r="EJ501"/>
      <c r="EK501"/>
    </row>
    <row r="502" spans="1:141" s="116" customFormat="1">
      <c r="A502" s="136"/>
      <c r="CM502" s="111"/>
      <c r="CQ502" s="111"/>
      <c r="EF502"/>
      <c r="EG502"/>
      <c r="EH502"/>
      <c r="EI502"/>
      <c r="EJ502"/>
      <c r="EK502"/>
    </row>
    <row r="503" spans="1:141" s="116" customFormat="1">
      <c r="A503" s="136"/>
      <c r="CM503" s="111"/>
      <c r="CQ503" s="111"/>
      <c r="EF503"/>
      <c r="EG503"/>
      <c r="EH503"/>
      <c r="EI503"/>
      <c r="EJ503"/>
      <c r="EK503"/>
    </row>
    <row r="504" spans="1:141" s="116" customFormat="1">
      <c r="A504" s="136"/>
      <c r="CM504" s="111"/>
      <c r="CQ504" s="111"/>
      <c r="EF504"/>
      <c r="EG504"/>
      <c r="EH504"/>
      <c r="EI504"/>
      <c r="EJ504"/>
      <c r="EK504"/>
    </row>
    <row r="505" spans="1:141" s="116" customFormat="1">
      <c r="A505" s="136"/>
      <c r="CM505" s="111"/>
      <c r="CQ505" s="111"/>
      <c r="EF505"/>
      <c r="EG505"/>
      <c r="EH505"/>
      <c r="EI505"/>
      <c r="EJ505"/>
      <c r="EK505"/>
    </row>
    <row r="506" spans="1:141" s="116" customFormat="1">
      <c r="A506" s="136"/>
      <c r="CM506" s="111"/>
      <c r="CQ506" s="111"/>
      <c r="EF506"/>
      <c r="EG506"/>
      <c r="EH506"/>
      <c r="EI506"/>
      <c r="EJ506"/>
      <c r="EK506"/>
    </row>
    <row r="507" spans="1:141" s="116" customFormat="1">
      <c r="A507" s="136"/>
      <c r="CM507" s="111"/>
      <c r="CQ507" s="111"/>
      <c r="EF507"/>
      <c r="EG507"/>
      <c r="EH507"/>
      <c r="EI507"/>
      <c r="EJ507"/>
      <c r="EK507"/>
    </row>
    <row r="508" spans="1:141" s="116" customFormat="1">
      <c r="A508" s="136"/>
      <c r="CM508" s="111"/>
      <c r="CQ508" s="111"/>
      <c r="EF508"/>
      <c r="EG508"/>
      <c r="EH508"/>
      <c r="EI508"/>
      <c r="EJ508"/>
      <c r="EK508"/>
    </row>
    <row r="509" spans="1:141" s="116" customFormat="1">
      <c r="A509" s="136"/>
      <c r="CM509" s="111"/>
      <c r="CQ509" s="111"/>
      <c r="EF509"/>
      <c r="EG509"/>
      <c r="EH509"/>
      <c r="EI509"/>
      <c r="EJ509"/>
      <c r="EK509"/>
    </row>
    <row r="510" spans="1:141" s="116" customFormat="1">
      <c r="A510" s="136"/>
      <c r="CM510" s="111"/>
      <c r="CQ510" s="111"/>
      <c r="EF510"/>
      <c r="EG510"/>
      <c r="EH510"/>
      <c r="EI510"/>
      <c r="EJ510"/>
      <c r="EK510"/>
    </row>
    <row r="511" spans="1:141" s="116" customFormat="1">
      <c r="A511" s="136"/>
      <c r="CM511" s="111"/>
      <c r="CQ511" s="111"/>
      <c r="EF511"/>
      <c r="EG511"/>
      <c r="EH511"/>
      <c r="EI511"/>
      <c r="EJ511"/>
      <c r="EK511"/>
    </row>
    <row r="512" spans="1:141" s="116" customFormat="1">
      <c r="A512" s="136"/>
      <c r="CM512" s="111"/>
      <c r="CQ512" s="111"/>
      <c r="EF512"/>
      <c r="EG512"/>
      <c r="EH512"/>
      <c r="EI512"/>
      <c r="EJ512"/>
      <c r="EK512"/>
    </row>
    <row r="513" spans="1:141" s="116" customFormat="1">
      <c r="A513" s="136"/>
      <c r="CM513" s="111"/>
      <c r="CQ513" s="111"/>
      <c r="EF513"/>
      <c r="EG513"/>
      <c r="EH513"/>
      <c r="EI513"/>
      <c r="EJ513"/>
      <c r="EK513"/>
    </row>
    <row r="514" spans="1:141" s="116" customFormat="1">
      <c r="A514" s="136"/>
      <c r="CM514" s="111"/>
      <c r="CQ514" s="111"/>
      <c r="EF514"/>
      <c r="EG514"/>
      <c r="EH514"/>
      <c r="EI514"/>
      <c r="EJ514"/>
      <c r="EK514"/>
    </row>
    <row r="515" spans="1:141" s="116" customFormat="1">
      <c r="A515" s="136"/>
      <c r="CM515" s="111"/>
      <c r="CQ515" s="111"/>
      <c r="EF515"/>
      <c r="EG515"/>
      <c r="EH515"/>
      <c r="EI515"/>
      <c r="EJ515"/>
      <c r="EK515"/>
    </row>
    <row r="516" spans="1:141" s="116" customFormat="1">
      <c r="A516" s="136"/>
      <c r="CM516" s="111"/>
      <c r="CQ516" s="111"/>
      <c r="EF516"/>
      <c r="EG516"/>
      <c r="EH516"/>
      <c r="EI516"/>
      <c r="EJ516"/>
      <c r="EK516"/>
    </row>
    <row r="517" spans="1:141" s="116" customFormat="1">
      <c r="A517" s="136"/>
      <c r="CM517" s="111"/>
      <c r="CQ517" s="111"/>
      <c r="EF517"/>
      <c r="EG517"/>
      <c r="EH517"/>
      <c r="EI517"/>
      <c r="EJ517"/>
      <c r="EK517"/>
    </row>
    <row r="518" spans="1:141" s="116" customFormat="1">
      <c r="A518" s="136"/>
      <c r="CM518" s="111"/>
      <c r="CQ518" s="111"/>
      <c r="EF518"/>
      <c r="EG518"/>
      <c r="EH518"/>
      <c r="EI518"/>
      <c r="EJ518"/>
      <c r="EK518"/>
    </row>
    <row r="519" spans="1:141" s="116" customFormat="1">
      <c r="A519" s="136"/>
      <c r="CM519" s="111"/>
      <c r="CQ519" s="111"/>
      <c r="EF519"/>
      <c r="EG519"/>
      <c r="EH519"/>
      <c r="EI519"/>
      <c r="EJ519"/>
      <c r="EK519"/>
    </row>
    <row r="520" spans="1:141" s="116" customFormat="1">
      <c r="A520" s="136"/>
      <c r="CM520" s="111"/>
      <c r="CQ520" s="111"/>
      <c r="EF520"/>
      <c r="EG520"/>
      <c r="EH520"/>
      <c r="EI520"/>
      <c r="EJ520"/>
      <c r="EK520"/>
    </row>
    <row r="521" spans="1:141" s="116" customFormat="1">
      <c r="A521" s="136"/>
      <c r="CM521" s="111"/>
      <c r="CQ521" s="111"/>
      <c r="EF521"/>
      <c r="EG521"/>
      <c r="EH521"/>
      <c r="EI521"/>
      <c r="EJ521"/>
      <c r="EK521"/>
    </row>
    <row r="522" spans="1:141" s="116" customFormat="1">
      <c r="A522" s="136"/>
      <c r="CM522" s="111"/>
      <c r="CQ522" s="111"/>
      <c r="EF522"/>
      <c r="EG522"/>
      <c r="EH522"/>
      <c r="EI522"/>
      <c r="EJ522"/>
      <c r="EK522"/>
    </row>
    <row r="523" spans="1:141" s="116" customFormat="1">
      <c r="A523" s="136"/>
      <c r="CM523" s="111"/>
      <c r="CQ523" s="111"/>
      <c r="EF523"/>
      <c r="EG523"/>
      <c r="EH523"/>
      <c r="EI523"/>
      <c r="EJ523"/>
      <c r="EK523"/>
    </row>
    <row r="524" spans="1:141" s="116" customFormat="1">
      <c r="A524" s="136"/>
      <c r="CM524" s="111"/>
      <c r="CQ524" s="111"/>
      <c r="EF524"/>
      <c r="EG524"/>
      <c r="EH524"/>
      <c r="EI524"/>
      <c r="EJ524"/>
      <c r="EK524"/>
    </row>
    <row r="525" spans="1:141" s="116" customFormat="1">
      <c r="A525" s="136"/>
      <c r="CM525" s="111"/>
      <c r="CQ525" s="111"/>
      <c r="EF525"/>
      <c r="EG525"/>
      <c r="EH525"/>
      <c r="EI525"/>
      <c r="EJ525"/>
      <c r="EK525"/>
    </row>
    <row r="526" spans="1:141" s="116" customFormat="1">
      <c r="A526" s="136"/>
      <c r="CM526" s="111"/>
      <c r="CQ526" s="111"/>
      <c r="EF526"/>
      <c r="EG526"/>
      <c r="EH526"/>
      <c r="EI526"/>
      <c r="EJ526"/>
      <c r="EK526"/>
    </row>
    <row r="527" spans="1:141" s="116" customFormat="1">
      <c r="A527" s="136"/>
      <c r="CM527" s="111"/>
      <c r="CQ527" s="111"/>
      <c r="EF527"/>
      <c r="EG527"/>
      <c r="EH527"/>
      <c r="EI527"/>
      <c r="EJ527"/>
      <c r="EK527"/>
    </row>
    <row r="528" spans="1:141" s="116" customFormat="1">
      <c r="A528" s="136"/>
      <c r="CM528" s="111"/>
      <c r="CQ528" s="111"/>
      <c r="EF528"/>
      <c r="EG528"/>
      <c r="EH528"/>
      <c r="EI528"/>
      <c r="EJ528"/>
      <c r="EK528"/>
    </row>
    <row r="529" spans="1:141" s="116" customFormat="1">
      <c r="A529" s="136"/>
      <c r="CM529" s="111"/>
      <c r="CQ529" s="111"/>
      <c r="EF529"/>
      <c r="EG529"/>
      <c r="EH529"/>
      <c r="EI529"/>
      <c r="EJ529"/>
      <c r="EK529"/>
    </row>
    <row r="530" spans="1:141" s="116" customFormat="1">
      <c r="A530" s="136"/>
      <c r="CM530" s="111"/>
      <c r="CQ530" s="111"/>
      <c r="EF530"/>
      <c r="EG530"/>
      <c r="EH530"/>
      <c r="EI530"/>
      <c r="EJ530"/>
      <c r="EK530"/>
    </row>
    <row r="531" spans="1:141" s="116" customFormat="1">
      <c r="A531" s="136"/>
      <c r="CM531" s="111"/>
      <c r="CQ531" s="111"/>
      <c r="EF531"/>
      <c r="EG531"/>
      <c r="EH531"/>
      <c r="EI531"/>
      <c r="EJ531"/>
      <c r="EK531"/>
    </row>
    <row r="532" spans="1:141" s="116" customFormat="1">
      <c r="A532" s="136"/>
      <c r="CM532" s="111"/>
      <c r="CQ532" s="111"/>
      <c r="EF532"/>
      <c r="EG532"/>
      <c r="EH532"/>
      <c r="EI532"/>
      <c r="EJ532"/>
      <c r="EK532"/>
    </row>
    <row r="533" spans="1:141" s="116" customFormat="1">
      <c r="A533" s="136"/>
      <c r="CM533" s="111"/>
      <c r="CQ533" s="111"/>
      <c r="EF533"/>
      <c r="EG533"/>
      <c r="EH533"/>
      <c r="EI533"/>
      <c r="EJ533"/>
      <c r="EK533"/>
    </row>
    <row r="534" spans="1:141" s="116" customFormat="1">
      <c r="A534" s="136"/>
      <c r="CM534" s="111"/>
      <c r="CQ534" s="111"/>
      <c r="EF534"/>
      <c r="EG534"/>
      <c r="EH534"/>
      <c r="EI534"/>
      <c r="EJ534"/>
      <c r="EK534"/>
    </row>
    <row r="535" spans="1:141" s="116" customFormat="1">
      <c r="A535" s="136"/>
      <c r="CM535" s="111"/>
      <c r="CQ535" s="111"/>
      <c r="EF535"/>
      <c r="EG535"/>
      <c r="EH535"/>
      <c r="EI535"/>
      <c r="EJ535"/>
      <c r="EK535"/>
    </row>
    <row r="536" spans="1:141" s="116" customFormat="1">
      <c r="A536" s="136"/>
      <c r="CM536" s="111"/>
      <c r="CQ536" s="111"/>
      <c r="EF536"/>
      <c r="EG536"/>
      <c r="EH536"/>
      <c r="EI536"/>
      <c r="EJ536"/>
      <c r="EK536"/>
    </row>
    <row r="537" spans="1:141" s="116" customFormat="1">
      <c r="A537" s="136"/>
      <c r="CM537" s="111"/>
      <c r="CQ537" s="111"/>
      <c r="EF537"/>
      <c r="EG537"/>
      <c r="EH537"/>
      <c r="EI537"/>
      <c r="EJ537"/>
      <c r="EK537"/>
    </row>
    <row r="538" spans="1:141" s="116" customFormat="1">
      <c r="A538" s="136"/>
      <c r="CM538" s="111"/>
      <c r="CQ538" s="111"/>
      <c r="EF538"/>
      <c r="EG538"/>
      <c r="EH538"/>
      <c r="EI538"/>
      <c r="EJ538"/>
      <c r="EK538"/>
    </row>
    <row r="539" spans="1:141" s="116" customFormat="1">
      <c r="A539" s="136"/>
      <c r="CM539" s="111"/>
      <c r="CQ539" s="111"/>
      <c r="EF539"/>
      <c r="EG539"/>
      <c r="EH539"/>
      <c r="EI539"/>
      <c r="EJ539"/>
      <c r="EK539"/>
    </row>
    <row r="540" spans="1:141" s="116" customFormat="1">
      <c r="A540" s="136"/>
      <c r="CM540" s="111"/>
      <c r="CQ540" s="111"/>
      <c r="EF540"/>
      <c r="EG540"/>
      <c r="EH540"/>
      <c r="EI540"/>
      <c r="EJ540"/>
      <c r="EK540"/>
    </row>
    <row r="541" spans="1:141" s="116" customFormat="1">
      <c r="A541" s="136"/>
      <c r="CM541" s="111"/>
      <c r="CQ541" s="111"/>
      <c r="EF541"/>
      <c r="EG541"/>
      <c r="EH541"/>
      <c r="EI541"/>
      <c r="EJ541"/>
      <c r="EK541"/>
    </row>
    <row r="542" spans="1:141" s="116" customFormat="1">
      <c r="A542" s="136"/>
      <c r="CM542" s="111"/>
      <c r="CQ542" s="111"/>
      <c r="EF542"/>
      <c r="EG542"/>
      <c r="EH542"/>
      <c r="EI542"/>
      <c r="EJ542"/>
      <c r="EK542"/>
    </row>
    <row r="543" spans="1:141" s="116" customFormat="1">
      <c r="A543" s="136"/>
      <c r="CM543" s="111"/>
      <c r="CQ543" s="111"/>
      <c r="EF543"/>
      <c r="EG543"/>
      <c r="EH543"/>
      <c r="EI543"/>
      <c r="EJ543"/>
      <c r="EK543"/>
    </row>
    <row r="544" spans="1:141" s="116" customFormat="1">
      <c r="A544" s="136"/>
      <c r="CM544" s="111"/>
      <c r="CQ544" s="111"/>
      <c r="EF544"/>
      <c r="EG544"/>
      <c r="EH544"/>
      <c r="EI544"/>
      <c r="EJ544"/>
      <c r="EK544"/>
    </row>
    <row r="545" spans="1:141" s="116" customFormat="1">
      <c r="A545" s="136"/>
      <c r="CM545" s="111"/>
      <c r="CQ545" s="111"/>
      <c r="EF545"/>
      <c r="EG545"/>
      <c r="EH545"/>
      <c r="EI545"/>
      <c r="EJ545"/>
      <c r="EK545"/>
    </row>
    <row r="546" spans="1:141" s="116" customFormat="1">
      <c r="A546" s="136"/>
      <c r="CM546" s="111"/>
      <c r="CQ546" s="111"/>
      <c r="EF546"/>
      <c r="EG546"/>
      <c r="EH546"/>
      <c r="EI546"/>
      <c r="EJ546"/>
      <c r="EK546"/>
    </row>
    <row r="547" spans="1:141" s="116" customFormat="1">
      <c r="A547" s="136"/>
      <c r="CM547" s="111"/>
      <c r="CQ547" s="111"/>
      <c r="EF547"/>
      <c r="EG547"/>
      <c r="EH547"/>
      <c r="EI547"/>
      <c r="EJ547"/>
      <c r="EK547"/>
    </row>
    <row r="548" spans="1:141" s="116" customFormat="1">
      <c r="A548" s="136"/>
      <c r="CM548" s="111"/>
      <c r="CQ548" s="111"/>
      <c r="EF548"/>
      <c r="EG548"/>
      <c r="EH548"/>
      <c r="EI548"/>
      <c r="EJ548"/>
      <c r="EK548"/>
    </row>
    <row r="549" spans="1:141" s="116" customFormat="1">
      <c r="A549" s="136"/>
      <c r="CM549" s="111"/>
      <c r="CQ549" s="111"/>
      <c r="EF549"/>
      <c r="EG549"/>
      <c r="EH549"/>
      <c r="EI549"/>
      <c r="EJ549"/>
      <c r="EK549"/>
    </row>
    <row r="550" spans="1:141" s="116" customFormat="1">
      <c r="A550" s="136"/>
      <c r="CM550" s="111"/>
      <c r="CQ550" s="111"/>
      <c r="EF550"/>
      <c r="EG550"/>
      <c r="EH550"/>
      <c r="EI550"/>
      <c r="EJ550"/>
      <c r="EK550"/>
    </row>
    <row r="551" spans="1:141" s="116" customFormat="1">
      <c r="A551" s="136"/>
      <c r="CM551" s="111"/>
      <c r="CQ551" s="111"/>
      <c r="EF551"/>
      <c r="EG551"/>
      <c r="EH551"/>
      <c r="EI551"/>
      <c r="EJ551"/>
      <c r="EK551"/>
    </row>
    <row r="552" spans="1:141" s="116" customFormat="1">
      <c r="A552" s="136"/>
      <c r="CM552" s="111"/>
      <c r="CQ552" s="111"/>
      <c r="EF552"/>
      <c r="EG552"/>
      <c r="EH552"/>
      <c r="EI552"/>
      <c r="EJ552"/>
      <c r="EK552"/>
    </row>
    <row r="553" spans="1:141" s="116" customFormat="1">
      <c r="A553" s="136"/>
      <c r="CM553" s="111"/>
      <c r="CQ553" s="111"/>
      <c r="EF553"/>
      <c r="EG553"/>
      <c r="EH553"/>
      <c r="EI553"/>
      <c r="EJ553"/>
      <c r="EK553"/>
    </row>
    <row r="554" spans="1:141" s="116" customFormat="1">
      <c r="A554" s="136"/>
      <c r="CM554" s="111"/>
      <c r="CQ554" s="111"/>
      <c r="EF554"/>
      <c r="EG554"/>
      <c r="EH554"/>
      <c r="EI554"/>
      <c r="EJ554"/>
      <c r="EK554"/>
    </row>
    <row r="555" spans="1:141" s="116" customFormat="1">
      <c r="A555" s="136"/>
      <c r="CM555" s="111"/>
      <c r="CQ555" s="111"/>
      <c r="EF555"/>
      <c r="EG555"/>
      <c r="EH555"/>
      <c r="EI555"/>
      <c r="EJ555"/>
      <c r="EK555"/>
    </row>
    <row r="556" spans="1:141" s="116" customFormat="1">
      <c r="A556" s="136"/>
      <c r="CM556" s="111"/>
      <c r="CQ556" s="111"/>
      <c r="EF556"/>
      <c r="EG556"/>
      <c r="EH556"/>
      <c r="EI556"/>
      <c r="EJ556"/>
      <c r="EK556"/>
    </row>
    <row r="557" spans="1:141" s="116" customFormat="1">
      <c r="A557" s="136"/>
      <c r="CM557" s="111"/>
      <c r="CQ557" s="111"/>
      <c r="EF557"/>
      <c r="EG557"/>
      <c r="EH557"/>
      <c r="EI557"/>
      <c r="EJ557"/>
      <c r="EK557"/>
    </row>
    <row r="558" spans="1:141" s="116" customFormat="1">
      <c r="A558" s="136"/>
      <c r="CM558" s="111"/>
      <c r="CQ558" s="111"/>
      <c r="EF558"/>
      <c r="EG558"/>
      <c r="EH558"/>
      <c r="EI558"/>
      <c r="EJ558"/>
      <c r="EK558"/>
    </row>
    <row r="559" spans="1:141" s="116" customFormat="1">
      <c r="A559" s="136"/>
      <c r="CM559" s="111"/>
      <c r="CQ559" s="111"/>
      <c r="EF559"/>
      <c r="EG559"/>
      <c r="EH559"/>
      <c r="EI559"/>
      <c r="EJ559"/>
      <c r="EK559"/>
    </row>
    <row r="560" spans="1:141" s="116" customFormat="1">
      <c r="A560" s="136"/>
      <c r="CM560" s="111"/>
      <c r="CQ560" s="111"/>
      <c r="EF560"/>
      <c r="EG560"/>
      <c r="EH560"/>
      <c r="EI560"/>
      <c r="EJ560"/>
      <c r="EK560"/>
    </row>
    <row r="561" spans="1:141" s="116" customFormat="1">
      <c r="A561" s="136"/>
      <c r="CM561" s="111"/>
      <c r="CQ561" s="111"/>
      <c r="EF561"/>
      <c r="EG561"/>
      <c r="EH561"/>
      <c r="EI561"/>
      <c r="EJ561"/>
      <c r="EK561"/>
    </row>
    <row r="562" spans="1:141" s="116" customFormat="1">
      <c r="A562" s="136"/>
      <c r="CM562" s="111"/>
      <c r="CQ562" s="111"/>
      <c r="EF562"/>
      <c r="EG562"/>
      <c r="EH562"/>
      <c r="EI562"/>
      <c r="EJ562"/>
      <c r="EK562"/>
    </row>
    <row r="563" spans="1:141" s="116" customFormat="1">
      <c r="A563" s="136"/>
      <c r="CM563" s="111"/>
      <c r="CQ563" s="111"/>
      <c r="EF563"/>
      <c r="EG563"/>
      <c r="EH563"/>
      <c r="EI563"/>
      <c r="EJ563"/>
      <c r="EK563"/>
    </row>
    <row r="564" spans="1:141" s="116" customFormat="1">
      <c r="A564" s="136"/>
      <c r="CM564" s="111"/>
      <c r="CQ564" s="111"/>
      <c r="EF564"/>
      <c r="EG564"/>
      <c r="EH564"/>
      <c r="EI564"/>
      <c r="EJ564"/>
      <c r="EK564"/>
    </row>
    <row r="565" spans="1:141" s="116" customFormat="1">
      <c r="A565" s="136"/>
      <c r="CM565" s="111"/>
      <c r="CQ565" s="111"/>
      <c r="EF565"/>
      <c r="EG565"/>
      <c r="EH565"/>
      <c r="EI565"/>
      <c r="EJ565"/>
      <c r="EK565"/>
    </row>
    <row r="566" spans="1:141" s="116" customFormat="1">
      <c r="A566" s="136"/>
      <c r="CM566" s="111"/>
      <c r="CQ566" s="111"/>
      <c r="EF566"/>
      <c r="EG566"/>
      <c r="EH566"/>
      <c r="EI566"/>
      <c r="EJ566"/>
      <c r="EK566"/>
    </row>
    <row r="567" spans="1:141" s="116" customFormat="1">
      <c r="A567" s="136"/>
      <c r="CM567" s="111"/>
      <c r="CQ567" s="111"/>
      <c r="EF567"/>
      <c r="EG567"/>
      <c r="EH567"/>
      <c r="EI567"/>
      <c r="EJ567"/>
      <c r="EK567"/>
    </row>
    <row r="568" spans="1:141" s="116" customFormat="1">
      <c r="A568" s="136"/>
      <c r="CM568" s="111"/>
      <c r="CQ568" s="111"/>
      <c r="EF568"/>
      <c r="EG568"/>
      <c r="EH568"/>
      <c r="EI568"/>
      <c r="EJ568"/>
      <c r="EK568"/>
    </row>
    <row r="569" spans="1:141" s="116" customFormat="1">
      <c r="A569" s="136"/>
      <c r="CM569" s="111"/>
      <c r="CQ569" s="111"/>
      <c r="EF569"/>
      <c r="EG569"/>
      <c r="EH569"/>
      <c r="EI569"/>
      <c r="EJ569"/>
      <c r="EK569"/>
    </row>
    <row r="570" spans="1:141" s="116" customFormat="1">
      <c r="A570" s="136"/>
      <c r="CM570" s="111"/>
      <c r="CQ570" s="111"/>
      <c r="EF570"/>
      <c r="EG570"/>
      <c r="EH570"/>
      <c r="EI570"/>
      <c r="EJ570"/>
      <c r="EK570"/>
    </row>
    <row r="571" spans="1:141" s="116" customFormat="1">
      <c r="A571" s="136"/>
      <c r="CM571" s="111"/>
      <c r="CQ571" s="111"/>
      <c r="EF571"/>
      <c r="EG571"/>
      <c r="EH571"/>
      <c r="EI571"/>
      <c r="EJ571"/>
      <c r="EK571"/>
    </row>
    <row r="572" spans="1:141" s="116" customFormat="1">
      <c r="A572" s="136"/>
      <c r="CM572" s="111"/>
      <c r="CQ572" s="111"/>
      <c r="EF572"/>
      <c r="EG572"/>
      <c r="EH572"/>
      <c r="EI572"/>
      <c r="EJ572"/>
      <c r="EK572"/>
    </row>
    <row r="573" spans="1:141" s="116" customFormat="1">
      <c r="A573" s="136"/>
      <c r="CM573" s="111"/>
      <c r="CQ573" s="111"/>
      <c r="EF573"/>
      <c r="EG573"/>
      <c r="EH573"/>
      <c r="EI573"/>
      <c r="EJ573"/>
      <c r="EK573"/>
    </row>
    <row r="574" spans="1:141" s="116" customFormat="1">
      <c r="A574" s="136"/>
      <c r="CM574" s="111"/>
      <c r="CQ574" s="111"/>
      <c r="EF574"/>
      <c r="EG574"/>
      <c r="EH574"/>
      <c r="EI574"/>
      <c r="EJ574"/>
      <c r="EK574"/>
    </row>
    <row r="575" spans="1:141" s="116" customFormat="1">
      <c r="A575" s="136"/>
      <c r="CM575" s="111"/>
      <c r="CQ575" s="111"/>
      <c r="EF575"/>
      <c r="EG575"/>
      <c r="EH575"/>
      <c r="EI575"/>
      <c r="EJ575"/>
      <c r="EK575"/>
    </row>
    <row r="576" spans="1:141" s="116" customFormat="1">
      <c r="A576" s="136"/>
      <c r="CM576" s="111"/>
      <c r="CQ576" s="111"/>
      <c r="EF576"/>
      <c r="EG576"/>
      <c r="EH576"/>
      <c r="EI576"/>
      <c r="EJ576"/>
      <c r="EK576"/>
    </row>
    <row r="577" spans="1:141" s="116" customFormat="1">
      <c r="A577" s="136"/>
      <c r="CM577" s="111"/>
      <c r="CQ577" s="111"/>
      <c r="EF577"/>
      <c r="EG577"/>
      <c r="EH577"/>
      <c r="EI577"/>
      <c r="EJ577"/>
      <c r="EK577"/>
    </row>
    <row r="578" spans="1:141" s="116" customFormat="1">
      <c r="A578" s="136"/>
      <c r="CM578" s="111"/>
      <c r="CQ578" s="111"/>
      <c r="EF578"/>
      <c r="EG578"/>
      <c r="EH578"/>
      <c r="EI578"/>
      <c r="EJ578"/>
      <c r="EK578"/>
    </row>
    <row r="579" spans="1:141" s="116" customFormat="1">
      <c r="A579" s="136"/>
      <c r="CM579" s="111"/>
      <c r="CQ579" s="111"/>
      <c r="EF579"/>
      <c r="EG579"/>
      <c r="EH579"/>
      <c r="EI579"/>
      <c r="EJ579"/>
      <c r="EK579"/>
    </row>
    <row r="580" spans="1:141" s="116" customFormat="1">
      <c r="A580" s="136"/>
      <c r="CM580" s="111"/>
      <c r="CQ580" s="111"/>
      <c r="EF580"/>
      <c r="EG580"/>
      <c r="EH580"/>
      <c r="EI580"/>
      <c r="EJ580"/>
      <c r="EK580"/>
    </row>
    <row r="581" spans="1:141" s="116" customFormat="1">
      <c r="A581" s="136"/>
      <c r="CM581" s="111"/>
      <c r="CQ581" s="111"/>
      <c r="EF581"/>
      <c r="EG581"/>
      <c r="EH581"/>
      <c r="EI581"/>
      <c r="EJ581"/>
      <c r="EK581"/>
    </row>
    <row r="582" spans="1:141" s="116" customFormat="1">
      <c r="A582" s="136"/>
      <c r="CM582" s="111"/>
      <c r="CQ582" s="111"/>
      <c r="EF582"/>
      <c r="EG582"/>
      <c r="EH582"/>
      <c r="EI582"/>
      <c r="EJ582"/>
      <c r="EK582"/>
    </row>
    <row r="583" spans="1:141" s="116" customFormat="1">
      <c r="A583" s="136"/>
      <c r="CM583" s="111"/>
      <c r="CQ583" s="111"/>
      <c r="EF583"/>
      <c r="EG583"/>
      <c r="EH583"/>
      <c r="EI583"/>
      <c r="EJ583"/>
      <c r="EK583"/>
    </row>
    <row r="584" spans="1:141" s="116" customFormat="1">
      <c r="A584" s="136"/>
      <c r="CM584" s="111"/>
      <c r="CQ584" s="111"/>
      <c r="EF584"/>
      <c r="EG584"/>
      <c r="EH584"/>
      <c r="EI584"/>
      <c r="EJ584"/>
      <c r="EK584"/>
    </row>
    <row r="585" spans="1:141" s="116" customFormat="1">
      <c r="A585" s="136"/>
      <c r="CM585" s="111"/>
      <c r="CQ585" s="111"/>
      <c r="EF585"/>
      <c r="EG585"/>
      <c r="EH585"/>
      <c r="EI585"/>
      <c r="EJ585"/>
      <c r="EK585"/>
    </row>
    <row r="586" spans="1:141" s="116" customFormat="1">
      <c r="A586" s="136"/>
      <c r="CM586" s="111"/>
      <c r="CQ586" s="111"/>
      <c r="EF586"/>
      <c r="EG586"/>
      <c r="EH586"/>
      <c r="EI586"/>
      <c r="EJ586"/>
      <c r="EK586"/>
    </row>
    <row r="587" spans="1:141" s="116" customFormat="1">
      <c r="A587" s="136"/>
      <c r="CM587" s="111"/>
      <c r="CQ587" s="111"/>
      <c r="EF587"/>
      <c r="EG587"/>
      <c r="EH587"/>
      <c r="EI587"/>
      <c r="EJ587"/>
      <c r="EK587"/>
    </row>
    <row r="588" spans="1:141" s="116" customFormat="1">
      <c r="A588" s="136"/>
      <c r="CM588" s="111"/>
      <c r="CQ588" s="111"/>
      <c r="EF588"/>
      <c r="EG588"/>
      <c r="EH588"/>
      <c r="EI588"/>
      <c r="EJ588"/>
      <c r="EK588"/>
    </row>
    <row r="589" spans="1:141" s="116" customFormat="1">
      <c r="A589" s="136"/>
      <c r="CM589" s="111"/>
      <c r="CQ589" s="111"/>
      <c r="EF589"/>
      <c r="EG589"/>
      <c r="EH589"/>
      <c r="EI589"/>
      <c r="EJ589"/>
      <c r="EK589"/>
    </row>
    <row r="590" spans="1:141" s="116" customFormat="1">
      <c r="A590" s="136"/>
      <c r="CM590" s="111"/>
      <c r="CQ590" s="111"/>
      <c r="EF590"/>
      <c r="EG590"/>
      <c r="EH590"/>
      <c r="EI590"/>
      <c r="EJ590"/>
      <c r="EK590"/>
    </row>
    <row r="591" spans="1:141" s="116" customFormat="1">
      <c r="A591" s="136"/>
      <c r="CM591" s="111"/>
      <c r="CQ591" s="111"/>
      <c r="EF591"/>
      <c r="EG591"/>
      <c r="EH591"/>
      <c r="EI591"/>
      <c r="EJ591"/>
      <c r="EK591"/>
    </row>
    <row r="592" spans="1:141" s="116" customFormat="1">
      <c r="A592" s="136"/>
      <c r="CM592" s="111"/>
      <c r="CQ592" s="111"/>
      <c r="EF592"/>
      <c r="EG592"/>
      <c r="EH592"/>
      <c r="EI592"/>
      <c r="EJ592"/>
      <c r="EK592"/>
    </row>
    <row r="593" spans="1:141" s="116" customFormat="1">
      <c r="A593" s="136"/>
      <c r="CM593" s="111"/>
      <c r="CQ593" s="111"/>
      <c r="EF593"/>
      <c r="EG593"/>
      <c r="EH593"/>
      <c r="EI593"/>
      <c r="EJ593"/>
      <c r="EK593"/>
    </row>
    <row r="594" spans="1:141" s="116" customFormat="1">
      <c r="A594" s="136"/>
      <c r="CM594" s="111"/>
      <c r="CQ594" s="111"/>
      <c r="EF594"/>
      <c r="EG594"/>
      <c r="EH594"/>
      <c r="EI594"/>
      <c r="EJ594"/>
      <c r="EK594"/>
    </row>
    <row r="595" spans="1:141" s="116" customFormat="1">
      <c r="A595" s="136"/>
      <c r="CM595" s="111"/>
      <c r="CQ595" s="111"/>
      <c r="EF595"/>
      <c r="EG595"/>
      <c r="EH595"/>
      <c r="EI595"/>
      <c r="EJ595"/>
      <c r="EK595"/>
    </row>
    <row r="596" spans="1:141" s="116" customFormat="1">
      <c r="A596" s="136"/>
      <c r="CM596" s="111"/>
      <c r="CQ596" s="111"/>
      <c r="EF596"/>
      <c r="EG596"/>
      <c r="EH596"/>
      <c r="EI596"/>
      <c r="EJ596"/>
      <c r="EK596"/>
    </row>
    <row r="597" spans="1:141" s="116" customFormat="1">
      <c r="A597" s="136"/>
      <c r="CM597" s="111"/>
      <c r="CQ597" s="111"/>
      <c r="EF597"/>
      <c r="EG597"/>
      <c r="EH597"/>
      <c r="EI597"/>
      <c r="EJ597"/>
      <c r="EK597"/>
    </row>
    <row r="598" spans="1:141" s="116" customFormat="1">
      <c r="A598" s="136"/>
      <c r="CM598" s="111"/>
      <c r="CQ598" s="111"/>
      <c r="EF598"/>
      <c r="EG598"/>
      <c r="EH598"/>
      <c r="EI598"/>
      <c r="EJ598"/>
      <c r="EK598"/>
    </row>
    <row r="599" spans="1:141" s="116" customFormat="1">
      <c r="A599" s="136"/>
      <c r="CM599" s="111"/>
      <c r="CQ599" s="111"/>
      <c r="EF599"/>
      <c r="EG599"/>
      <c r="EH599"/>
      <c r="EI599"/>
      <c r="EJ599"/>
      <c r="EK599"/>
    </row>
    <row r="600" spans="1:141" s="116" customFormat="1">
      <c r="A600" s="136"/>
      <c r="CM600" s="111"/>
      <c r="CQ600" s="111"/>
      <c r="EF600"/>
      <c r="EG600"/>
      <c r="EH600"/>
      <c r="EI600"/>
      <c r="EJ600"/>
      <c r="EK600"/>
    </row>
    <row r="601" spans="1:141" s="116" customFormat="1">
      <c r="A601" s="136"/>
      <c r="CM601" s="111"/>
      <c r="CQ601" s="111"/>
      <c r="EF601"/>
      <c r="EG601"/>
      <c r="EH601"/>
      <c r="EI601"/>
      <c r="EJ601"/>
      <c r="EK601"/>
    </row>
    <row r="602" spans="1:141" s="116" customFormat="1">
      <c r="A602" s="136"/>
      <c r="CM602" s="111"/>
      <c r="CQ602" s="111"/>
      <c r="EF602"/>
      <c r="EG602"/>
      <c r="EH602"/>
      <c r="EI602"/>
      <c r="EJ602"/>
      <c r="EK602"/>
    </row>
    <row r="603" spans="1:141" s="116" customFormat="1">
      <c r="A603" s="136"/>
      <c r="CM603" s="111"/>
      <c r="CQ603" s="111"/>
      <c r="EF603"/>
      <c r="EG603"/>
      <c r="EH603"/>
      <c r="EI603"/>
      <c r="EJ603"/>
      <c r="EK603"/>
    </row>
    <row r="604" spans="1:141" s="116" customFormat="1">
      <c r="A604" s="136"/>
      <c r="CM604" s="111"/>
      <c r="CQ604" s="111"/>
      <c r="EF604"/>
      <c r="EG604"/>
      <c r="EH604"/>
      <c r="EI604"/>
      <c r="EJ604"/>
      <c r="EK604"/>
    </row>
    <row r="605" spans="1:141" s="116" customFormat="1">
      <c r="A605" s="136"/>
      <c r="CM605" s="111"/>
      <c r="CQ605" s="111"/>
      <c r="EF605"/>
      <c r="EG605"/>
      <c r="EH605"/>
      <c r="EI605"/>
      <c r="EJ605"/>
      <c r="EK605"/>
    </row>
    <row r="606" spans="1:141" s="116" customFormat="1">
      <c r="A606" s="136"/>
      <c r="CM606" s="111"/>
      <c r="CQ606" s="111"/>
      <c r="EF606"/>
      <c r="EG606"/>
      <c r="EH606"/>
      <c r="EI606"/>
      <c r="EJ606"/>
      <c r="EK606"/>
    </row>
    <row r="607" spans="1:141" s="116" customFormat="1">
      <c r="A607" s="136"/>
      <c r="CM607" s="111"/>
      <c r="CQ607" s="111"/>
      <c r="EF607"/>
      <c r="EG607"/>
      <c r="EH607"/>
      <c r="EI607"/>
      <c r="EJ607"/>
      <c r="EK607"/>
    </row>
    <row r="608" spans="1:141" s="116" customFormat="1">
      <c r="A608" s="136"/>
      <c r="CM608" s="111"/>
      <c r="CQ608" s="111"/>
      <c r="EF608"/>
      <c r="EG608"/>
      <c r="EH608"/>
      <c r="EI608"/>
      <c r="EJ608"/>
      <c r="EK608"/>
    </row>
    <row r="609" spans="1:141" s="116" customFormat="1">
      <c r="A609" s="136"/>
      <c r="CM609" s="111"/>
      <c r="CQ609" s="111"/>
      <c r="EF609"/>
      <c r="EG609"/>
      <c r="EH609"/>
      <c r="EI609"/>
      <c r="EJ609"/>
      <c r="EK609"/>
    </row>
    <row r="610" spans="1:141" s="116" customFormat="1">
      <c r="A610" s="136"/>
      <c r="CM610" s="111"/>
      <c r="CQ610" s="111"/>
      <c r="EF610"/>
      <c r="EG610"/>
      <c r="EH610"/>
      <c r="EI610"/>
      <c r="EJ610"/>
      <c r="EK610"/>
    </row>
    <row r="611" spans="1:141" s="116" customFormat="1">
      <c r="A611" s="136"/>
      <c r="CM611" s="111"/>
      <c r="CQ611" s="111"/>
      <c r="EF611"/>
      <c r="EG611"/>
      <c r="EH611"/>
      <c r="EI611"/>
      <c r="EJ611"/>
      <c r="EK611"/>
    </row>
    <row r="612" spans="1:141" s="116" customFormat="1">
      <c r="A612" s="136"/>
      <c r="CM612" s="111"/>
      <c r="CQ612" s="111"/>
      <c r="EF612"/>
      <c r="EG612"/>
      <c r="EH612"/>
      <c r="EI612"/>
      <c r="EJ612"/>
      <c r="EK612"/>
    </row>
    <row r="613" spans="1:141" s="116" customFormat="1">
      <c r="A613" s="136"/>
      <c r="CM613" s="111"/>
      <c r="CQ613" s="111"/>
      <c r="EF613"/>
      <c r="EG613"/>
      <c r="EH613"/>
      <c r="EI613"/>
      <c r="EJ613"/>
      <c r="EK613"/>
    </row>
    <row r="614" spans="1:141" s="116" customFormat="1">
      <c r="A614" s="136"/>
      <c r="CM614" s="111"/>
      <c r="CQ614" s="111"/>
      <c r="EF614"/>
      <c r="EG614"/>
      <c r="EH614"/>
      <c r="EI614"/>
      <c r="EJ614"/>
      <c r="EK614"/>
    </row>
    <row r="615" spans="1:141" s="116" customFormat="1">
      <c r="A615" s="136"/>
      <c r="CM615" s="111"/>
      <c r="CQ615" s="111"/>
      <c r="EF615"/>
      <c r="EG615"/>
      <c r="EH615"/>
      <c r="EI615"/>
      <c r="EJ615"/>
      <c r="EK615"/>
    </row>
    <row r="616" spans="1:141" s="116" customFormat="1">
      <c r="A616" s="136"/>
      <c r="CM616" s="111"/>
      <c r="CQ616" s="111"/>
      <c r="EF616"/>
      <c r="EG616"/>
      <c r="EH616"/>
      <c r="EI616"/>
      <c r="EJ616"/>
      <c r="EK616"/>
    </row>
    <row r="617" spans="1:141" s="116" customFormat="1">
      <c r="A617" s="136"/>
      <c r="CM617" s="111"/>
      <c r="CQ617" s="111"/>
      <c r="EF617"/>
      <c r="EG617"/>
      <c r="EH617"/>
      <c r="EI617"/>
      <c r="EJ617"/>
      <c r="EK617"/>
    </row>
    <row r="618" spans="1:141" s="116" customFormat="1">
      <c r="A618" s="136"/>
      <c r="CM618" s="111"/>
      <c r="CQ618" s="111"/>
      <c r="EF618"/>
      <c r="EG618"/>
      <c r="EH618"/>
      <c r="EI618"/>
      <c r="EJ618"/>
      <c r="EK618"/>
    </row>
    <row r="619" spans="1:141" s="116" customFormat="1">
      <c r="A619" s="136"/>
      <c r="CM619" s="111"/>
      <c r="CQ619" s="111"/>
      <c r="EF619"/>
      <c r="EG619"/>
      <c r="EH619"/>
      <c r="EI619"/>
      <c r="EJ619"/>
      <c r="EK619"/>
    </row>
    <row r="620" spans="1:141" s="116" customFormat="1">
      <c r="A620" s="136"/>
      <c r="CM620" s="111"/>
      <c r="CQ620" s="111"/>
      <c r="EF620"/>
      <c r="EG620"/>
      <c r="EH620"/>
      <c r="EI620"/>
      <c r="EJ620"/>
      <c r="EK620"/>
    </row>
    <row r="621" spans="1:141" s="116" customFormat="1">
      <c r="A621" s="136"/>
      <c r="CM621" s="111"/>
      <c r="CQ621" s="111"/>
      <c r="EF621"/>
      <c r="EG621"/>
      <c r="EH621"/>
      <c r="EI621"/>
      <c r="EJ621"/>
      <c r="EK621"/>
    </row>
    <row r="622" spans="1:141" s="116" customFormat="1">
      <c r="A622" s="136"/>
      <c r="CM622" s="111"/>
      <c r="CQ622" s="111"/>
      <c r="EF622"/>
      <c r="EG622"/>
      <c r="EH622"/>
      <c r="EI622"/>
      <c r="EJ622"/>
      <c r="EK622"/>
    </row>
    <row r="623" spans="1:141" s="116" customFormat="1">
      <c r="A623" s="136"/>
      <c r="CM623" s="111"/>
      <c r="CQ623" s="111"/>
      <c r="EF623"/>
      <c r="EG623"/>
      <c r="EH623"/>
      <c r="EI623"/>
      <c r="EJ623"/>
      <c r="EK623"/>
    </row>
    <row r="624" spans="1:141" s="116" customFormat="1">
      <c r="A624" s="136"/>
      <c r="CM624" s="111"/>
      <c r="CQ624" s="111"/>
      <c r="EF624"/>
      <c r="EG624"/>
      <c r="EH624"/>
      <c r="EI624"/>
      <c r="EJ624"/>
      <c r="EK624"/>
    </row>
    <row r="625" spans="1:141" s="116" customFormat="1">
      <c r="A625" s="136"/>
      <c r="CM625" s="111"/>
      <c r="CQ625" s="111"/>
      <c r="EF625"/>
      <c r="EG625"/>
      <c r="EH625"/>
      <c r="EI625"/>
      <c r="EJ625"/>
      <c r="EK625"/>
    </row>
    <row r="626" spans="1:141" s="116" customFormat="1">
      <c r="A626" s="136"/>
      <c r="CM626" s="111"/>
      <c r="CQ626" s="111"/>
      <c r="EF626"/>
      <c r="EG626"/>
      <c r="EH626"/>
      <c r="EI626"/>
      <c r="EJ626"/>
      <c r="EK626"/>
    </row>
    <row r="627" spans="1:141" s="116" customFormat="1">
      <c r="A627" s="136"/>
      <c r="CM627" s="111"/>
      <c r="CQ627" s="111"/>
      <c r="EF627"/>
      <c r="EG627"/>
      <c r="EH627"/>
      <c r="EI627"/>
      <c r="EJ627"/>
      <c r="EK627"/>
    </row>
    <row r="628" spans="1:141" s="116" customFormat="1">
      <c r="A628" s="136"/>
      <c r="CM628" s="111"/>
      <c r="CQ628" s="111"/>
      <c r="EF628"/>
      <c r="EG628"/>
      <c r="EH628"/>
      <c r="EI628"/>
      <c r="EJ628"/>
      <c r="EK628"/>
    </row>
    <row r="629" spans="1:141" s="116" customFormat="1">
      <c r="A629" s="136"/>
      <c r="CM629" s="111"/>
      <c r="CQ629" s="111"/>
      <c r="EF629"/>
      <c r="EG629"/>
      <c r="EH629"/>
      <c r="EI629"/>
      <c r="EJ629"/>
      <c r="EK629"/>
    </row>
    <row r="630" spans="1:141" s="116" customFormat="1">
      <c r="A630" s="136"/>
      <c r="CM630" s="111"/>
      <c r="CQ630" s="111"/>
      <c r="EF630"/>
      <c r="EG630"/>
      <c r="EH630"/>
      <c r="EI630"/>
      <c r="EJ630"/>
      <c r="EK630"/>
    </row>
    <row r="631" spans="1:141" s="116" customFormat="1">
      <c r="A631" s="136"/>
      <c r="CM631" s="111"/>
      <c r="CQ631" s="111"/>
      <c r="EF631"/>
      <c r="EG631"/>
      <c r="EH631"/>
      <c r="EI631"/>
      <c r="EJ631"/>
      <c r="EK631"/>
    </row>
    <row r="632" spans="1:141" s="116" customFormat="1">
      <c r="A632" s="136"/>
      <c r="CM632" s="111"/>
      <c r="CQ632" s="111"/>
      <c r="EF632"/>
      <c r="EG632"/>
      <c r="EH632"/>
      <c r="EI632"/>
      <c r="EJ632"/>
      <c r="EK632"/>
    </row>
    <row r="633" spans="1:141" s="116" customFormat="1">
      <c r="A633" s="136"/>
      <c r="CM633" s="111"/>
      <c r="CQ633" s="111"/>
      <c r="EF633"/>
      <c r="EG633"/>
      <c r="EH633"/>
      <c r="EI633"/>
      <c r="EJ633"/>
      <c r="EK633"/>
    </row>
    <row r="634" spans="1:141" s="116" customFormat="1">
      <c r="A634" s="136"/>
      <c r="CM634" s="111"/>
      <c r="CQ634" s="111"/>
      <c r="EF634"/>
      <c r="EG634"/>
      <c r="EH634"/>
      <c r="EI634"/>
      <c r="EJ634"/>
      <c r="EK634"/>
    </row>
    <row r="635" spans="1:141" s="116" customFormat="1">
      <c r="A635" s="136"/>
      <c r="CM635" s="111"/>
      <c r="CQ635" s="111"/>
      <c r="EF635"/>
      <c r="EG635"/>
      <c r="EH635"/>
      <c r="EI635"/>
      <c r="EJ635"/>
      <c r="EK635"/>
    </row>
    <row r="636" spans="1:141" s="116" customFormat="1">
      <c r="A636" s="136"/>
      <c r="CM636" s="111"/>
      <c r="CQ636" s="111"/>
      <c r="EF636"/>
      <c r="EG636"/>
      <c r="EH636"/>
      <c r="EI636"/>
      <c r="EJ636"/>
      <c r="EK636"/>
    </row>
    <row r="637" spans="1:141" s="116" customFormat="1">
      <c r="A637" s="136"/>
      <c r="CM637" s="111"/>
      <c r="CQ637" s="111"/>
      <c r="EF637"/>
      <c r="EG637"/>
      <c r="EH637"/>
      <c r="EI637"/>
      <c r="EJ637"/>
      <c r="EK637"/>
    </row>
    <row r="638" spans="1:141" s="116" customFormat="1">
      <c r="A638" s="136"/>
      <c r="CM638" s="111"/>
      <c r="CQ638" s="111"/>
      <c r="EF638"/>
      <c r="EG638"/>
      <c r="EH638"/>
      <c r="EI638"/>
      <c r="EJ638"/>
      <c r="EK638"/>
    </row>
    <row r="639" spans="1:141" s="116" customFormat="1">
      <c r="A639" s="136"/>
      <c r="CM639" s="111"/>
      <c r="CQ639" s="111"/>
      <c r="EF639"/>
      <c r="EG639"/>
      <c r="EH639"/>
      <c r="EI639"/>
      <c r="EJ639"/>
      <c r="EK639"/>
    </row>
    <row r="640" spans="1:141" s="116" customFormat="1">
      <c r="A640" s="136"/>
      <c r="CM640" s="111"/>
      <c r="CQ640" s="111"/>
      <c r="EF640"/>
      <c r="EG640"/>
      <c r="EH640"/>
      <c r="EI640"/>
      <c r="EJ640"/>
      <c r="EK640"/>
    </row>
    <row r="641" spans="1:141" s="116" customFormat="1">
      <c r="A641" s="136"/>
      <c r="CM641" s="111"/>
      <c r="CQ641" s="111"/>
      <c r="EF641"/>
      <c r="EG641"/>
      <c r="EH641"/>
      <c r="EI641"/>
      <c r="EJ641"/>
      <c r="EK641"/>
    </row>
    <row r="642" spans="1:141" s="116" customFormat="1">
      <c r="A642" s="136"/>
      <c r="CM642" s="111"/>
      <c r="CQ642" s="111"/>
      <c r="EF642"/>
      <c r="EG642"/>
      <c r="EH642"/>
      <c r="EI642"/>
      <c r="EJ642"/>
      <c r="EK642"/>
    </row>
    <row r="643" spans="1:141" s="116" customFormat="1">
      <c r="A643" s="136"/>
      <c r="CM643" s="111"/>
      <c r="CQ643" s="111"/>
      <c r="EF643"/>
      <c r="EG643"/>
      <c r="EH643"/>
      <c r="EI643"/>
      <c r="EJ643"/>
      <c r="EK643"/>
    </row>
    <row r="644" spans="1:141" s="116" customFormat="1">
      <c r="A644" s="136"/>
      <c r="CM644" s="111"/>
      <c r="CQ644" s="111"/>
      <c r="EF644"/>
      <c r="EG644"/>
      <c r="EH644"/>
      <c r="EI644"/>
      <c r="EJ644"/>
      <c r="EK644"/>
    </row>
    <row r="645" spans="1:141" s="116" customFormat="1">
      <c r="A645" s="136"/>
      <c r="CM645" s="111"/>
      <c r="CQ645" s="111"/>
      <c r="EF645"/>
      <c r="EG645"/>
      <c r="EH645"/>
      <c r="EI645"/>
      <c r="EJ645"/>
      <c r="EK645"/>
    </row>
    <row r="646" spans="1:141" s="116" customFormat="1">
      <c r="A646" s="136"/>
      <c r="CM646" s="111"/>
      <c r="CQ646" s="111"/>
      <c r="EF646"/>
      <c r="EG646"/>
      <c r="EH646"/>
      <c r="EI646"/>
      <c r="EJ646"/>
      <c r="EK646"/>
    </row>
    <row r="647" spans="1:141" s="116" customFormat="1">
      <c r="A647" s="136"/>
      <c r="CM647" s="111"/>
      <c r="CQ647" s="111"/>
      <c r="EF647"/>
      <c r="EG647"/>
      <c r="EH647"/>
      <c r="EI647"/>
      <c r="EJ647"/>
      <c r="EK647"/>
    </row>
    <row r="648" spans="1:141" s="116" customFormat="1">
      <c r="A648" s="136"/>
      <c r="CM648" s="111"/>
      <c r="CQ648" s="111"/>
      <c r="EF648"/>
      <c r="EG648"/>
      <c r="EH648"/>
      <c r="EI648"/>
      <c r="EJ648"/>
      <c r="EK648"/>
    </row>
    <row r="649" spans="1:141" s="116" customFormat="1">
      <c r="A649" s="136"/>
      <c r="CM649" s="111"/>
      <c r="CQ649" s="111"/>
      <c r="EF649"/>
      <c r="EG649"/>
      <c r="EH649"/>
      <c r="EI649"/>
      <c r="EJ649"/>
      <c r="EK649"/>
    </row>
    <row r="650" spans="1:141" s="116" customFormat="1">
      <c r="A650" s="136"/>
      <c r="CM650" s="111"/>
      <c r="CQ650" s="111"/>
      <c r="EF650"/>
      <c r="EG650"/>
      <c r="EH650"/>
      <c r="EI650"/>
      <c r="EJ650"/>
      <c r="EK650"/>
    </row>
    <row r="651" spans="1:141" s="116" customFormat="1">
      <c r="A651" s="136"/>
      <c r="CM651" s="111"/>
      <c r="CQ651" s="111"/>
      <c r="EF651"/>
      <c r="EG651"/>
      <c r="EH651"/>
      <c r="EI651"/>
      <c r="EJ651"/>
      <c r="EK651"/>
    </row>
    <row r="652" spans="1:141" s="116" customFormat="1">
      <c r="A652" s="136"/>
      <c r="CM652" s="111"/>
      <c r="CQ652" s="111"/>
      <c r="EF652"/>
      <c r="EG652"/>
      <c r="EH652"/>
      <c r="EI652"/>
      <c r="EJ652"/>
      <c r="EK652"/>
    </row>
    <row r="653" spans="1:141" s="116" customFormat="1">
      <c r="A653" s="136"/>
      <c r="CM653" s="111"/>
      <c r="CQ653" s="111"/>
      <c r="EF653"/>
      <c r="EG653"/>
      <c r="EH653"/>
      <c r="EI653"/>
      <c r="EJ653"/>
      <c r="EK653"/>
    </row>
    <row r="654" spans="1:141" s="116" customFormat="1">
      <c r="A654" s="136"/>
      <c r="CM654" s="111"/>
      <c r="CQ654" s="111"/>
      <c r="EF654"/>
      <c r="EG654"/>
      <c r="EH654"/>
      <c r="EI654"/>
      <c r="EJ654"/>
      <c r="EK654"/>
    </row>
    <row r="655" spans="1:141" s="116" customFormat="1">
      <c r="A655" s="136"/>
      <c r="CM655" s="111"/>
      <c r="CQ655" s="111"/>
      <c r="EF655"/>
      <c r="EG655"/>
      <c r="EH655"/>
      <c r="EI655"/>
      <c r="EJ655"/>
      <c r="EK655"/>
    </row>
    <row r="656" spans="1:141" s="116" customFormat="1">
      <c r="A656" s="136"/>
      <c r="CM656" s="111"/>
      <c r="CQ656" s="111"/>
      <c r="EF656"/>
      <c r="EG656"/>
      <c r="EH656"/>
      <c r="EI656"/>
      <c r="EJ656"/>
      <c r="EK656"/>
    </row>
    <row r="657" spans="1:141" s="116" customFormat="1">
      <c r="A657" s="136"/>
      <c r="CM657" s="111"/>
      <c r="CQ657" s="111"/>
      <c r="EF657"/>
      <c r="EG657"/>
      <c r="EH657"/>
      <c r="EI657"/>
      <c r="EJ657"/>
      <c r="EK657"/>
    </row>
    <row r="658" spans="1:141" s="116" customFormat="1">
      <c r="A658" s="136"/>
      <c r="CM658" s="111"/>
      <c r="CQ658" s="111"/>
      <c r="EF658"/>
      <c r="EG658"/>
      <c r="EH658"/>
      <c r="EI658"/>
      <c r="EJ658"/>
      <c r="EK658"/>
    </row>
    <row r="659" spans="1:141" s="116" customFormat="1">
      <c r="A659" s="136"/>
      <c r="CM659" s="111"/>
      <c r="CQ659" s="111"/>
      <c r="EF659"/>
      <c r="EG659"/>
      <c r="EH659"/>
      <c r="EI659"/>
      <c r="EJ659"/>
      <c r="EK659"/>
    </row>
    <row r="660" spans="1:141" s="116" customFormat="1">
      <c r="A660" s="136"/>
      <c r="CM660" s="111"/>
      <c r="CQ660" s="111"/>
      <c r="EF660"/>
      <c r="EG660"/>
      <c r="EH660"/>
      <c r="EI660"/>
      <c r="EJ660"/>
      <c r="EK660"/>
    </row>
    <row r="661" spans="1:141" s="116" customFormat="1">
      <c r="A661" s="136"/>
      <c r="CM661" s="111"/>
      <c r="CQ661" s="111"/>
      <c r="EF661"/>
      <c r="EG661"/>
      <c r="EH661"/>
      <c r="EI661"/>
      <c r="EJ661"/>
      <c r="EK661"/>
    </row>
    <row r="662" spans="1:141" s="116" customFormat="1">
      <c r="A662" s="136"/>
      <c r="CM662" s="111"/>
      <c r="CQ662" s="111"/>
      <c r="EF662"/>
      <c r="EG662"/>
      <c r="EH662"/>
      <c r="EI662"/>
      <c r="EJ662"/>
      <c r="EK662"/>
    </row>
    <row r="663" spans="1:141" s="116" customFormat="1">
      <c r="A663" s="136"/>
      <c r="CM663" s="111"/>
      <c r="CQ663" s="111"/>
      <c r="EF663"/>
      <c r="EG663"/>
      <c r="EH663"/>
      <c r="EI663"/>
      <c r="EJ663"/>
      <c r="EK663"/>
    </row>
    <row r="664" spans="1:141" s="116" customFormat="1">
      <c r="A664" s="136"/>
      <c r="CM664" s="111"/>
      <c r="CQ664" s="111"/>
      <c r="EF664"/>
      <c r="EG664"/>
      <c r="EH664"/>
      <c r="EI664"/>
      <c r="EJ664"/>
      <c r="EK664"/>
    </row>
    <row r="665" spans="1:141" s="116" customFormat="1">
      <c r="A665" s="136"/>
      <c r="CM665" s="111"/>
      <c r="CQ665" s="111"/>
      <c r="EF665"/>
      <c r="EG665"/>
      <c r="EH665"/>
      <c r="EI665"/>
      <c r="EJ665"/>
      <c r="EK665"/>
    </row>
    <row r="666" spans="1:141" s="116" customFormat="1">
      <c r="A666" s="136"/>
      <c r="CM666" s="111"/>
      <c r="CQ666" s="111"/>
      <c r="EF666"/>
      <c r="EG666"/>
      <c r="EH666"/>
      <c r="EI666"/>
      <c r="EJ666"/>
      <c r="EK666"/>
    </row>
    <row r="667" spans="1:141" s="116" customFormat="1">
      <c r="A667" s="136"/>
      <c r="CM667" s="111"/>
      <c r="CQ667" s="111"/>
      <c r="EF667"/>
      <c r="EG667"/>
      <c r="EH667"/>
      <c r="EI667"/>
      <c r="EJ667"/>
      <c r="EK667"/>
    </row>
    <row r="668" spans="1:141" s="116" customFormat="1">
      <c r="A668" s="136"/>
      <c r="CM668" s="111"/>
      <c r="CQ668" s="111"/>
      <c r="EF668"/>
      <c r="EG668"/>
      <c r="EH668"/>
      <c r="EI668"/>
      <c r="EJ668"/>
      <c r="EK668"/>
    </row>
    <row r="669" spans="1:141" s="116" customFormat="1">
      <c r="A669" s="136"/>
      <c r="CM669" s="111"/>
      <c r="CQ669" s="111"/>
      <c r="EF669"/>
      <c r="EG669"/>
      <c r="EH669"/>
      <c r="EI669"/>
      <c r="EJ669"/>
      <c r="EK669"/>
    </row>
    <row r="670" spans="1:141" s="116" customFormat="1">
      <c r="A670" s="136"/>
      <c r="CM670" s="111"/>
      <c r="CQ670" s="111"/>
      <c r="EF670"/>
      <c r="EG670"/>
      <c r="EH670"/>
      <c r="EI670"/>
      <c r="EJ670"/>
      <c r="EK670"/>
    </row>
    <row r="671" spans="1:141" s="116" customFormat="1">
      <c r="A671" s="136"/>
      <c r="CM671" s="111"/>
      <c r="CQ671" s="111"/>
      <c r="EF671"/>
      <c r="EG671"/>
      <c r="EH671"/>
      <c r="EI671"/>
      <c r="EJ671"/>
      <c r="EK671"/>
    </row>
    <row r="672" spans="1:141" s="116" customFormat="1">
      <c r="A672" s="136"/>
      <c r="CM672" s="111"/>
      <c r="CQ672" s="111"/>
      <c r="EF672"/>
      <c r="EG672"/>
      <c r="EH672"/>
      <c r="EI672"/>
      <c r="EJ672"/>
      <c r="EK672"/>
    </row>
    <row r="673" spans="1:141" s="116" customFormat="1">
      <c r="A673" s="136"/>
      <c r="CM673" s="111"/>
      <c r="CQ673" s="111"/>
      <c r="EF673"/>
      <c r="EG673"/>
      <c r="EH673"/>
      <c r="EI673"/>
      <c r="EJ673"/>
      <c r="EK673"/>
    </row>
    <row r="674" spans="1:141" s="116" customFormat="1">
      <c r="A674" s="136"/>
      <c r="CM674" s="111"/>
      <c r="CQ674" s="111"/>
      <c r="EF674"/>
      <c r="EG674"/>
      <c r="EH674"/>
      <c r="EI674"/>
      <c r="EJ674"/>
      <c r="EK674"/>
    </row>
    <row r="675" spans="1:141" s="116" customFormat="1">
      <c r="A675" s="136"/>
      <c r="CM675" s="111"/>
      <c r="CQ675" s="111"/>
      <c r="EF675"/>
      <c r="EG675"/>
      <c r="EH675"/>
      <c r="EI675"/>
      <c r="EJ675"/>
      <c r="EK675"/>
    </row>
    <row r="676" spans="1:141" s="116" customFormat="1">
      <c r="A676" s="136"/>
      <c r="CM676" s="111"/>
      <c r="CQ676" s="111"/>
      <c r="EF676"/>
      <c r="EG676"/>
      <c r="EH676"/>
      <c r="EI676"/>
      <c r="EJ676"/>
      <c r="EK676"/>
    </row>
    <row r="677" spans="1:141" s="116" customFormat="1">
      <c r="A677" s="136"/>
      <c r="CM677" s="111"/>
      <c r="CQ677" s="111"/>
      <c r="EF677"/>
      <c r="EG677"/>
      <c r="EH677"/>
      <c r="EI677"/>
      <c r="EJ677"/>
      <c r="EK677"/>
    </row>
    <row r="678" spans="1:141" s="116" customFormat="1">
      <c r="A678" s="136"/>
      <c r="CM678" s="111"/>
      <c r="CQ678" s="111"/>
      <c r="EF678"/>
      <c r="EG678"/>
      <c r="EH678"/>
      <c r="EI678"/>
      <c r="EJ678"/>
      <c r="EK678"/>
    </row>
    <row r="679" spans="1:141" s="116" customFormat="1">
      <c r="A679" s="136"/>
      <c r="CM679" s="111"/>
      <c r="CQ679" s="111"/>
      <c r="EF679"/>
      <c r="EG679"/>
      <c r="EH679"/>
      <c r="EI679"/>
      <c r="EJ679"/>
      <c r="EK679"/>
    </row>
    <row r="680" spans="1:141" s="116" customFormat="1">
      <c r="A680" s="136"/>
      <c r="CM680" s="111"/>
      <c r="CQ680" s="111"/>
      <c r="EF680"/>
      <c r="EG680"/>
      <c r="EH680"/>
      <c r="EI680"/>
      <c r="EJ680"/>
      <c r="EK680"/>
    </row>
    <row r="681" spans="1:141" s="116" customFormat="1">
      <c r="A681" s="136"/>
      <c r="CM681" s="111"/>
      <c r="CQ681" s="111"/>
      <c r="EF681"/>
      <c r="EG681"/>
      <c r="EH681"/>
      <c r="EI681"/>
      <c r="EJ681"/>
      <c r="EK681"/>
    </row>
    <row r="682" spans="1:141" s="116" customFormat="1">
      <c r="A682" s="136"/>
      <c r="CM682" s="111"/>
      <c r="CQ682" s="111"/>
      <c r="EF682"/>
      <c r="EG682"/>
      <c r="EH682"/>
      <c r="EI682"/>
      <c r="EJ682"/>
      <c r="EK682"/>
    </row>
    <row r="683" spans="1:141" s="116" customFormat="1">
      <c r="A683" s="136"/>
      <c r="CM683" s="111"/>
      <c r="CQ683" s="111"/>
      <c r="EF683"/>
      <c r="EG683"/>
      <c r="EH683"/>
      <c r="EI683"/>
      <c r="EJ683"/>
      <c r="EK683"/>
    </row>
    <row r="684" spans="1:141" s="116" customFormat="1">
      <c r="A684" s="136"/>
      <c r="CM684" s="111"/>
      <c r="CQ684" s="111"/>
      <c r="EF684"/>
      <c r="EG684"/>
      <c r="EH684"/>
      <c r="EI684"/>
      <c r="EJ684"/>
      <c r="EK684"/>
    </row>
    <row r="685" spans="1:141" s="116" customFormat="1">
      <c r="A685" s="136"/>
      <c r="CM685" s="111"/>
      <c r="CQ685" s="111"/>
      <c r="EF685"/>
      <c r="EG685"/>
      <c r="EH685"/>
      <c r="EI685"/>
      <c r="EJ685"/>
      <c r="EK685"/>
    </row>
    <row r="686" spans="1:141" s="116" customFormat="1">
      <c r="A686" s="136"/>
      <c r="CM686" s="111"/>
      <c r="CQ686" s="111"/>
      <c r="EF686"/>
      <c r="EG686"/>
      <c r="EH686"/>
      <c r="EI686"/>
      <c r="EJ686"/>
      <c r="EK686"/>
    </row>
    <row r="687" spans="1:141" s="116" customFormat="1">
      <c r="A687" s="136"/>
      <c r="CM687" s="111"/>
      <c r="CQ687" s="111"/>
      <c r="EF687"/>
      <c r="EG687"/>
      <c r="EH687"/>
      <c r="EI687"/>
      <c r="EJ687"/>
      <c r="EK687"/>
    </row>
    <row r="688" spans="1:141" s="116" customFormat="1">
      <c r="A688" s="136"/>
      <c r="CM688" s="111"/>
      <c r="CQ688" s="111"/>
      <c r="EF688"/>
      <c r="EG688"/>
      <c r="EH688"/>
      <c r="EI688"/>
      <c r="EJ688"/>
      <c r="EK688"/>
    </row>
    <row r="689" spans="1:141" s="116" customFormat="1">
      <c r="A689" s="136"/>
      <c r="CM689" s="111"/>
      <c r="CQ689" s="111"/>
      <c r="EF689"/>
      <c r="EG689"/>
      <c r="EH689"/>
      <c r="EI689"/>
      <c r="EJ689"/>
      <c r="EK689"/>
    </row>
    <row r="690" spans="1:141" s="116" customFormat="1">
      <c r="A690" s="136"/>
      <c r="CM690" s="111"/>
      <c r="CQ690" s="111"/>
      <c r="EF690"/>
      <c r="EG690"/>
      <c r="EH690"/>
      <c r="EI690"/>
      <c r="EJ690"/>
      <c r="EK690"/>
    </row>
    <row r="691" spans="1:141" s="116" customFormat="1">
      <c r="A691" s="136"/>
      <c r="CM691" s="111"/>
      <c r="CQ691" s="111"/>
      <c r="EF691"/>
      <c r="EG691"/>
      <c r="EH691"/>
      <c r="EI691"/>
      <c r="EJ691"/>
      <c r="EK691"/>
    </row>
    <row r="692" spans="1:141" s="116" customFormat="1">
      <c r="A692" s="136"/>
      <c r="CM692" s="111"/>
      <c r="CQ692" s="111"/>
      <c r="EF692"/>
      <c r="EG692"/>
      <c r="EH692"/>
      <c r="EI692"/>
      <c r="EJ692"/>
      <c r="EK692"/>
    </row>
    <row r="693" spans="1:141" s="116" customFormat="1">
      <c r="A693" s="136"/>
      <c r="CM693" s="111"/>
      <c r="CQ693" s="111"/>
      <c r="EF693"/>
      <c r="EG693"/>
      <c r="EH693"/>
      <c r="EI693"/>
      <c r="EJ693"/>
      <c r="EK693"/>
    </row>
    <row r="694" spans="1:141" s="116" customFormat="1">
      <c r="A694" s="136"/>
      <c r="CM694" s="111"/>
      <c r="CQ694" s="111"/>
      <c r="EF694"/>
      <c r="EG694"/>
      <c r="EH694"/>
      <c r="EI694"/>
      <c r="EJ694"/>
      <c r="EK694"/>
    </row>
    <row r="695" spans="1:141" s="116" customFormat="1">
      <c r="A695" s="136"/>
      <c r="CM695" s="111"/>
      <c r="CQ695" s="111"/>
      <c r="EF695"/>
      <c r="EG695"/>
      <c r="EH695"/>
      <c r="EI695"/>
      <c r="EJ695"/>
      <c r="EK695"/>
    </row>
    <row r="696" spans="1:141" s="116" customFormat="1">
      <c r="A696" s="136"/>
      <c r="CM696" s="111"/>
      <c r="CQ696" s="111"/>
      <c r="EF696"/>
      <c r="EG696"/>
      <c r="EH696"/>
      <c r="EI696"/>
      <c r="EJ696"/>
      <c r="EK696"/>
    </row>
    <row r="697" spans="1:141" s="116" customFormat="1">
      <c r="A697" s="136"/>
      <c r="CM697" s="111"/>
      <c r="CQ697" s="111"/>
      <c r="EF697"/>
      <c r="EG697"/>
      <c r="EH697"/>
      <c r="EI697"/>
      <c r="EJ697"/>
      <c r="EK697"/>
    </row>
    <row r="698" spans="1:141" s="116" customFormat="1">
      <c r="A698" s="136"/>
      <c r="CM698" s="111"/>
      <c r="CQ698" s="111"/>
      <c r="EF698"/>
      <c r="EG698"/>
      <c r="EH698"/>
      <c r="EI698"/>
      <c r="EJ698"/>
      <c r="EK698"/>
    </row>
    <row r="699" spans="1:141" s="116" customFormat="1">
      <c r="A699" s="136"/>
      <c r="CM699" s="111"/>
      <c r="CQ699" s="111"/>
      <c r="EF699"/>
      <c r="EG699"/>
      <c r="EH699"/>
      <c r="EI699"/>
      <c r="EJ699"/>
      <c r="EK699"/>
    </row>
    <row r="700" spans="1:141" s="116" customFormat="1">
      <c r="A700" s="136"/>
      <c r="CM700" s="111"/>
      <c r="CQ700" s="111"/>
      <c r="EF700"/>
      <c r="EG700"/>
      <c r="EH700"/>
      <c r="EI700"/>
      <c r="EJ700"/>
      <c r="EK700"/>
    </row>
    <row r="701" spans="1:141" s="116" customFormat="1">
      <c r="A701" s="136"/>
      <c r="CM701" s="111"/>
      <c r="CQ701" s="111"/>
      <c r="EF701"/>
      <c r="EG701"/>
      <c r="EH701"/>
      <c r="EI701"/>
      <c r="EJ701"/>
      <c r="EK701"/>
    </row>
    <row r="702" spans="1:141" s="116" customFormat="1">
      <c r="A702" s="136"/>
      <c r="CM702" s="111"/>
      <c r="CQ702" s="111"/>
      <c r="EF702"/>
      <c r="EG702"/>
      <c r="EH702"/>
      <c r="EI702"/>
      <c r="EJ702"/>
      <c r="EK702"/>
    </row>
    <row r="703" spans="1:141" s="116" customFormat="1">
      <c r="A703" s="136"/>
      <c r="CM703" s="111"/>
      <c r="CQ703" s="111"/>
      <c r="EF703"/>
      <c r="EG703"/>
      <c r="EH703"/>
      <c r="EI703"/>
      <c r="EJ703"/>
      <c r="EK703"/>
    </row>
    <row r="704" spans="1:141" s="116" customFormat="1">
      <c r="A704" s="136"/>
      <c r="CM704" s="111"/>
      <c r="CQ704" s="111"/>
      <c r="EF704"/>
      <c r="EG704"/>
      <c r="EH704"/>
      <c r="EI704"/>
      <c r="EJ704"/>
      <c r="EK704"/>
    </row>
    <row r="705" spans="1:141" s="116" customFormat="1">
      <c r="A705" s="136"/>
      <c r="CM705" s="111"/>
      <c r="CQ705" s="111"/>
      <c r="EF705"/>
      <c r="EG705"/>
      <c r="EH705"/>
      <c r="EI705"/>
      <c r="EJ705"/>
      <c r="EK705"/>
    </row>
    <row r="706" spans="1:141" s="116" customFormat="1">
      <c r="A706" s="136"/>
      <c r="CM706" s="111"/>
      <c r="CQ706" s="111"/>
      <c r="EF706"/>
      <c r="EG706"/>
      <c r="EH706"/>
      <c r="EI706"/>
      <c r="EJ706"/>
      <c r="EK706"/>
    </row>
    <row r="707" spans="1:141" s="116" customFormat="1">
      <c r="A707" s="136"/>
      <c r="CM707" s="111"/>
      <c r="CQ707" s="111"/>
      <c r="EF707"/>
      <c r="EG707"/>
      <c r="EH707"/>
      <c r="EI707"/>
      <c r="EJ707"/>
      <c r="EK707"/>
    </row>
    <row r="708" spans="1:141" s="116" customFormat="1">
      <c r="A708" s="136"/>
      <c r="CM708" s="111"/>
      <c r="CQ708" s="111"/>
      <c r="EF708"/>
      <c r="EG708"/>
      <c r="EH708"/>
      <c r="EI708"/>
      <c r="EJ708"/>
      <c r="EK708"/>
    </row>
    <row r="709" spans="1:141" s="116" customFormat="1">
      <c r="A709" s="136"/>
      <c r="CM709" s="111"/>
      <c r="CQ709" s="111"/>
      <c r="EF709"/>
      <c r="EG709"/>
      <c r="EH709"/>
      <c r="EI709"/>
      <c r="EJ709"/>
      <c r="EK709"/>
    </row>
    <row r="710" spans="1:141" s="116" customFormat="1">
      <c r="A710" s="136"/>
      <c r="CM710" s="111"/>
      <c r="CQ710" s="111"/>
      <c r="EF710"/>
      <c r="EG710"/>
      <c r="EH710"/>
      <c r="EI710"/>
      <c r="EJ710"/>
      <c r="EK710"/>
    </row>
    <row r="711" spans="1:141" s="116" customFormat="1">
      <c r="A711" s="136"/>
      <c r="CM711" s="111"/>
      <c r="CQ711" s="111"/>
      <c r="EF711"/>
      <c r="EG711"/>
      <c r="EH711"/>
      <c r="EI711"/>
      <c r="EJ711"/>
      <c r="EK711"/>
    </row>
    <row r="712" spans="1:141" s="116" customFormat="1">
      <c r="A712" s="136"/>
      <c r="CM712" s="111"/>
      <c r="CQ712" s="111"/>
      <c r="EF712"/>
      <c r="EG712"/>
      <c r="EH712"/>
      <c r="EI712"/>
      <c r="EJ712"/>
      <c r="EK712"/>
    </row>
    <row r="713" spans="1:141" s="116" customFormat="1">
      <c r="A713" s="136"/>
      <c r="CM713" s="111"/>
      <c r="CQ713" s="111"/>
      <c r="EF713"/>
      <c r="EG713"/>
      <c r="EH713"/>
      <c r="EI713"/>
      <c r="EJ713"/>
      <c r="EK713"/>
    </row>
    <row r="714" spans="1:141" s="116" customFormat="1">
      <c r="A714" s="136"/>
      <c r="CM714" s="111"/>
      <c r="CQ714" s="111"/>
      <c r="EF714"/>
      <c r="EG714"/>
      <c r="EH714"/>
      <c r="EI714"/>
      <c r="EJ714"/>
      <c r="EK714"/>
    </row>
    <row r="715" spans="1:141" s="116" customFormat="1">
      <c r="A715" s="136"/>
      <c r="CM715" s="111"/>
      <c r="CQ715" s="111"/>
      <c r="EF715"/>
      <c r="EG715"/>
      <c r="EH715"/>
      <c r="EI715"/>
      <c r="EJ715"/>
      <c r="EK715"/>
    </row>
    <row r="716" spans="1:141" s="116" customFormat="1">
      <c r="A716" s="136"/>
      <c r="CM716" s="111"/>
      <c r="CQ716" s="111"/>
      <c r="EF716"/>
      <c r="EG716"/>
      <c r="EH716"/>
      <c r="EI716"/>
      <c r="EJ716"/>
      <c r="EK716"/>
    </row>
    <row r="717" spans="1:141" s="116" customFormat="1">
      <c r="A717" s="136"/>
      <c r="CM717" s="111"/>
      <c r="CQ717" s="111"/>
      <c r="EF717"/>
      <c r="EG717"/>
      <c r="EH717"/>
      <c r="EI717"/>
      <c r="EJ717"/>
      <c r="EK717"/>
    </row>
    <row r="718" spans="1:141" s="116" customFormat="1">
      <c r="A718" s="136"/>
      <c r="CM718" s="111"/>
      <c r="CQ718" s="111"/>
      <c r="EF718"/>
      <c r="EG718"/>
      <c r="EH718"/>
      <c r="EI718"/>
      <c r="EJ718"/>
      <c r="EK718"/>
    </row>
    <row r="719" spans="1:141" s="116" customFormat="1">
      <c r="A719" s="136"/>
      <c r="CM719" s="111"/>
      <c r="CQ719" s="111"/>
      <c r="EF719"/>
      <c r="EG719"/>
      <c r="EH719"/>
      <c r="EI719"/>
      <c r="EJ719"/>
      <c r="EK719"/>
    </row>
    <row r="720" spans="1:141" s="116" customFormat="1">
      <c r="A720" s="136"/>
      <c r="CM720" s="111"/>
      <c r="CQ720" s="111"/>
      <c r="EF720"/>
      <c r="EG720"/>
      <c r="EH720"/>
      <c r="EI720"/>
      <c r="EJ720"/>
      <c r="EK720"/>
    </row>
    <row r="721" spans="1:141" s="116" customFormat="1">
      <c r="A721" s="136"/>
      <c r="CM721" s="111"/>
      <c r="CQ721" s="111"/>
      <c r="EF721"/>
      <c r="EG721"/>
      <c r="EH721"/>
      <c r="EI721"/>
      <c r="EJ721"/>
      <c r="EK721"/>
    </row>
    <row r="722" spans="1:141" s="116" customFormat="1">
      <c r="A722" s="136"/>
      <c r="CM722" s="111"/>
      <c r="CQ722" s="111"/>
      <c r="EF722"/>
      <c r="EG722"/>
      <c r="EH722"/>
      <c r="EI722"/>
      <c r="EJ722"/>
      <c r="EK722"/>
    </row>
    <row r="723" spans="1:141" s="116" customFormat="1">
      <c r="A723" s="136"/>
      <c r="CM723" s="111"/>
      <c r="CQ723" s="111"/>
      <c r="EF723"/>
      <c r="EG723"/>
      <c r="EH723"/>
      <c r="EI723"/>
      <c r="EJ723"/>
      <c r="EK723"/>
    </row>
    <row r="724" spans="1:141" s="116" customFormat="1">
      <c r="A724" s="136"/>
      <c r="CM724" s="111"/>
      <c r="CQ724" s="111"/>
      <c r="EF724"/>
      <c r="EG724"/>
      <c r="EH724"/>
      <c r="EI724"/>
      <c r="EJ724"/>
      <c r="EK724"/>
    </row>
    <row r="725" spans="1:141" s="116" customFormat="1">
      <c r="A725" s="136"/>
      <c r="CM725" s="111"/>
      <c r="CQ725" s="111"/>
      <c r="EF725"/>
      <c r="EG725"/>
      <c r="EH725"/>
      <c r="EI725"/>
      <c r="EJ725"/>
      <c r="EK725"/>
    </row>
    <row r="726" spans="1:141" s="116" customFormat="1">
      <c r="A726" s="136"/>
      <c r="CM726" s="111"/>
      <c r="CQ726" s="111"/>
      <c r="EF726"/>
      <c r="EG726"/>
      <c r="EH726"/>
      <c r="EI726"/>
      <c r="EJ726"/>
      <c r="EK726"/>
    </row>
    <row r="727" spans="1:141" s="116" customFormat="1">
      <c r="A727" s="136"/>
      <c r="CM727" s="111"/>
      <c r="CQ727" s="111"/>
      <c r="EF727"/>
      <c r="EG727"/>
      <c r="EH727"/>
      <c r="EI727"/>
      <c r="EJ727"/>
      <c r="EK727"/>
    </row>
    <row r="728" spans="1:141" s="116" customFormat="1">
      <c r="A728" s="136"/>
      <c r="CM728" s="111"/>
      <c r="CQ728" s="111"/>
      <c r="EF728"/>
      <c r="EG728"/>
      <c r="EH728"/>
      <c r="EI728"/>
      <c r="EJ728"/>
      <c r="EK728"/>
    </row>
    <row r="729" spans="1:141" s="116" customFormat="1">
      <c r="A729" s="136"/>
      <c r="CM729" s="111"/>
      <c r="CQ729" s="111"/>
      <c r="EF729"/>
      <c r="EG729"/>
      <c r="EH729"/>
      <c r="EI729"/>
      <c r="EJ729"/>
      <c r="EK729"/>
    </row>
    <row r="730" spans="1:141" s="116" customFormat="1">
      <c r="A730" s="136"/>
      <c r="CM730" s="111"/>
      <c r="CQ730" s="111"/>
      <c r="EF730"/>
      <c r="EG730"/>
      <c r="EH730"/>
      <c r="EI730"/>
      <c r="EJ730"/>
      <c r="EK730"/>
    </row>
    <row r="731" spans="1:141" s="116" customFormat="1">
      <c r="A731" s="136"/>
      <c r="CM731" s="111"/>
      <c r="CQ731" s="111"/>
      <c r="EF731"/>
      <c r="EG731"/>
      <c r="EH731"/>
      <c r="EI731"/>
      <c r="EJ731"/>
      <c r="EK731"/>
    </row>
    <row r="732" spans="1:141" s="116" customFormat="1">
      <c r="A732" s="136"/>
      <c r="CM732" s="111"/>
      <c r="CQ732" s="111"/>
      <c r="EF732"/>
      <c r="EG732"/>
      <c r="EH732"/>
      <c r="EI732"/>
      <c r="EJ732"/>
      <c r="EK732"/>
    </row>
    <row r="733" spans="1:141" s="116" customFormat="1">
      <c r="A733" s="136"/>
      <c r="CM733" s="111"/>
      <c r="CQ733" s="111"/>
      <c r="EF733"/>
      <c r="EG733"/>
      <c r="EH733"/>
      <c r="EI733"/>
      <c r="EJ733"/>
      <c r="EK733"/>
    </row>
    <row r="734" spans="1:141" s="116" customFormat="1">
      <c r="A734" s="136"/>
      <c r="CM734" s="111"/>
      <c r="CQ734" s="111"/>
      <c r="EF734"/>
      <c r="EG734"/>
      <c r="EH734"/>
      <c r="EI734"/>
      <c r="EJ734"/>
      <c r="EK734"/>
    </row>
    <row r="735" spans="1:141" s="116" customFormat="1">
      <c r="A735" s="136"/>
      <c r="CM735" s="111"/>
      <c r="CQ735" s="111"/>
      <c r="EF735"/>
      <c r="EG735"/>
      <c r="EH735"/>
      <c r="EI735"/>
      <c r="EJ735"/>
      <c r="EK735"/>
    </row>
    <row r="736" spans="1:141" s="116" customFormat="1">
      <c r="A736" s="136"/>
      <c r="CM736" s="111"/>
      <c r="CQ736" s="111"/>
      <c r="EF736"/>
      <c r="EG736"/>
      <c r="EH736"/>
      <c r="EI736"/>
      <c r="EJ736"/>
      <c r="EK736"/>
    </row>
    <row r="737" spans="1:141" s="116" customFormat="1">
      <c r="A737" s="136"/>
      <c r="CM737" s="111"/>
      <c r="CQ737" s="111"/>
      <c r="EF737"/>
      <c r="EG737"/>
      <c r="EH737"/>
      <c r="EI737"/>
      <c r="EJ737"/>
      <c r="EK737"/>
    </row>
    <row r="738" spans="1:141" s="116" customFormat="1">
      <c r="A738" s="136"/>
      <c r="CM738" s="111"/>
      <c r="CQ738" s="111"/>
      <c r="EF738"/>
      <c r="EG738"/>
      <c r="EH738"/>
      <c r="EI738"/>
      <c r="EJ738"/>
      <c r="EK738"/>
    </row>
    <row r="739" spans="1:141" s="116" customFormat="1">
      <c r="A739" s="136"/>
      <c r="CM739" s="111"/>
      <c r="CQ739" s="111"/>
      <c r="EF739"/>
      <c r="EG739"/>
      <c r="EH739"/>
      <c r="EI739"/>
      <c r="EJ739"/>
      <c r="EK739"/>
    </row>
    <row r="740" spans="1:141" s="116" customFormat="1">
      <c r="A740" s="136"/>
      <c r="CM740" s="111"/>
      <c r="CQ740" s="111"/>
      <c r="EF740"/>
      <c r="EG740"/>
      <c r="EH740"/>
      <c r="EI740"/>
      <c r="EJ740"/>
      <c r="EK740"/>
    </row>
    <row r="741" spans="1:141" s="116" customFormat="1">
      <c r="A741" s="136"/>
      <c r="CM741" s="111"/>
      <c r="CQ741" s="111"/>
      <c r="EF741"/>
      <c r="EG741"/>
      <c r="EH741"/>
      <c r="EI741"/>
      <c r="EJ741"/>
      <c r="EK741"/>
    </row>
    <row r="742" spans="1:141" s="116" customFormat="1">
      <c r="A742" s="136"/>
      <c r="CM742" s="111"/>
      <c r="CQ742" s="111"/>
      <c r="EF742"/>
      <c r="EG742"/>
      <c r="EH742"/>
      <c r="EI742"/>
      <c r="EJ742"/>
      <c r="EK742"/>
    </row>
    <row r="743" spans="1:141" s="116" customFormat="1">
      <c r="A743" s="136"/>
      <c r="CM743" s="111"/>
      <c r="CQ743" s="111"/>
      <c r="EF743"/>
      <c r="EG743"/>
      <c r="EH743"/>
      <c r="EI743"/>
      <c r="EJ743"/>
      <c r="EK743"/>
    </row>
    <row r="744" spans="1:141" s="116" customFormat="1">
      <c r="A744" s="136"/>
      <c r="CM744" s="111"/>
      <c r="CQ744" s="111"/>
      <c r="EF744"/>
      <c r="EG744"/>
      <c r="EH744"/>
      <c r="EI744"/>
      <c r="EJ744"/>
      <c r="EK744"/>
    </row>
    <row r="745" spans="1:141" s="116" customFormat="1">
      <c r="A745" s="136"/>
      <c r="CM745" s="111"/>
      <c r="CQ745" s="111"/>
      <c r="EF745"/>
      <c r="EG745"/>
      <c r="EH745"/>
      <c r="EI745"/>
      <c r="EJ745"/>
      <c r="EK745"/>
    </row>
    <row r="746" spans="1:141" s="116" customFormat="1">
      <c r="A746" s="136"/>
      <c r="CM746" s="111"/>
      <c r="CQ746" s="111"/>
      <c r="EF746"/>
      <c r="EG746"/>
      <c r="EH746"/>
      <c r="EI746"/>
      <c r="EJ746"/>
      <c r="EK746"/>
    </row>
    <row r="747" spans="1:141" s="116" customFormat="1">
      <c r="A747" s="136"/>
      <c r="CM747" s="111"/>
      <c r="CQ747" s="111"/>
      <c r="EF747"/>
      <c r="EG747"/>
      <c r="EH747"/>
      <c r="EI747"/>
      <c r="EJ747"/>
      <c r="EK747"/>
    </row>
    <row r="748" spans="1:141" s="116" customFormat="1">
      <c r="A748" s="136"/>
      <c r="CM748" s="111"/>
      <c r="CQ748" s="111"/>
      <c r="EF748"/>
      <c r="EG748"/>
      <c r="EH748"/>
      <c r="EI748"/>
      <c r="EJ748"/>
      <c r="EK748"/>
    </row>
    <row r="749" spans="1:141" s="116" customFormat="1">
      <c r="A749" s="136"/>
      <c r="CM749" s="111"/>
      <c r="CQ749" s="111"/>
      <c r="EF749"/>
      <c r="EG749"/>
      <c r="EH749"/>
      <c r="EI749"/>
      <c r="EJ749"/>
      <c r="EK749"/>
    </row>
    <row r="750" spans="1:141" s="116" customFormat="1">
      <c r="A750" s="136"/>
      <c r="CM750" s="111"/>
      <c r="CQ750" s="111"/>
      <c r="EF750"/>
      <c r="EG750"/>
      <c r="EH750"/>
      <c r="EI750"/>
      <c r="EJ750"/>
      <c r="EK750"/>
    </row>
    <row r="751" spans="1:141" s="116" customFormat="1">
      <c r="A751" s="136"/>
      <c r="CM751" s="111"/>
      <c r="CQ751" s="111"/>
      <c r="EF751"/>
      <c r="EG751"/>
      <c r="EH751"/>
      <c r="EI751"/>
      <c r="EJ751"/>
      <c r="EK751"/>
    </row>
    <row r="752" spans="1:141" s="116" customFormat="1">
      <c r="A752" s="136"/>
      <c r="CM752" s="111"/>
      <c r="CQ752" s="111"/>
      <c r="EF752"/>
      <c r="EG752"/>
      <c r="EH752"/>
      <c r="EI752"/>
      <c r="EJ752"/>
      <c r="EK752"/>
    </row>
    <row r="753" spans="1:141" s="116" customFormat="1">
      <c r="A753" s="136"/>
      <c r="CM753" s="111"/>
      <c r="CQ753" s="111"/>
      <c r="EF753"/>
      <c r="EG753"/>
      <c r="EH753"/>
      <c r="EI753"/>
      <c r="EJ753"/>
      <c r="EK753"/>
    </row>
    <row r="754" spans="1:141" s="116" customFormat="1">
      <c r="A754" s="136"/>
      <c r="CM754" s="111"/>
      <c r="CQ754" s="111"/>
      <c r="EF754"/>
      <c r="EG754"/>
      <c r="EH754"/>
      <c r="EI754"/>
      <c r="EJ754"/>
      <c r="EK754"/>
    </row>
    <row r="755" spans="1:141" s="116" customFormat="1">
      <c r="A755" s="136"/>
      <c r="CM755" s="111"/>
      <c r="CQ755" s="111"/>
      <c r="EF755"/>
      <c r="EG755"/>
      <c r="EH755"/>
      <c r="EI755"/>
      <c r="EJ755"/>
      <c r="EK755"/>
    </row>
    <row r="756" spans="1:141" s="116" customFormat="1">
      <c r="A756" s="136"/>
      <c r="CM756" s="111"/>
      <c r="CQ756" s="111"/>
      <c r="EF756"/>
      <c r="EG756"/>
      <c r="EH756"/>
      <c r="EI756"/>
      <c r="EJ756"/>
      <c r="EK756"/>
    </row>
    <row r="757" spans="1:141" s="116" customFormat="1">
      <c r="A757" s="136"/>
      <c r="CM757" s="111"/>
      <c r="CQ757" s="111"/>
      <c r="EF757"/>
      <c r="EG757"/>
      <c r="EH757"/>
      <c r="EI757"/>
      <c r="EJ757"/>
      <c r="EK757"/>
    </row>
    <row r="758" spans="1:141" s="116" customFormat="1">
      <c r="A758" s="136"/>
      <c r="CM758" s="111"/>
      <c r="CQ758" s="111"/>
      <c r="EF758"/>
      <c r="EG758"/>
      <c r="EH758"/>
      <c r="EI758"/>
      <c r="EJ758"/>
      <c r="EK758"/>
    </row>
    <row r="759" spans="1:141" s="116" customFormat="1">
      <c r="A759" s="136"/>
      <c r="CM759" s="111"/>
      <c r="CQ759" s="111"/>
      <c r="EF759"/>
      <c r="EG759"/>
      <c r="EH759"/>
      <c r="EI759"/>
      <c r="EJ759"/>
      <c r="EK759"/>
    </row>
    <row r="760" spans="1:141" s="116" customFormat="1">
      <c r="A760" s="136"/>
      <c r="CM760" s="111"/>
      <c r="CQ760" s="111"/>
      <c r="EF760"/>
      <c r="EG760"/>
      <c r="EH760"/>
      <c r="EI760"/>
      <c r="EJ760"/>
      <c r="EK760"/>
    </row>
    <row r="761" spans="1:141" s="116" customFormat="1">
      <c r="A761" s="136"/>
      <c r="CM761" s="111"/>
      <c r="CQ761" s="111"/>
      <c r="EF761"/>
      <c r="EG761"/>
      <c r="EH761"/>
      <c r="EI761"/>
      <c r="EJ761"/>
      <c r="EK761"/>
    </row>
    <row r="762" spans="1:141" s="116" customFormat="1">
      <c r="A762" s="136"/>
      <c r="CM762" s="111"/>
      <c r="CQ762" s="111"/>
      <c r="EF762"/>
      <c r="EG762"/>
      <c r="EH762"/>
      <c r="EI762"/>
      <c r="EJ762"/>
      <c r="EK762"/>
    </row>
    <row r="763" spans="1:141" s="116" customFormat="1">
      <c r="A763" s="136"/>
      <c r="CM763" s="111"/>
      <c r="CQ763" s="111"/>
      <c r="EF763"/>
      <c r="EG763"/>
      <c r="EH763"/>
      <c r="EI763"/>
      <c r="EJ763"/>
      <c r="EK763"/>
    </row>
    <row r="764" spans="1:141" s="116" customFormat="1">
      <c r="A764" s="136"/>
      <c r="CM764" s="111"/>
      <c r="CQ764" s="111"/>
      <c r="EF764"/>
      <c r="EG764"/>
      <c r="EH764"/>
      <c r="EI764"/>
      <c r="EJ764"/>
      <c r="EK764"/>
    </row>
    <row r="765" spans="1:141" s="116" customFormat="1">
      <c r="A765" s="136"/>
      <c r="CM765" s="111"/>
      <c r="CQ765" s="111"/>
      <c r="EF765"/>
      <c r="EG765"/>
      <c r="EH765"/>
      <c r="EI765"/>
      <c r="EJ765"/>
      <c r="EK765"/>
    </row>
    <row r="766" spans="1:141" s="116" customFormat="1">
      <c r="A766" s="136"/>
      <c r="CM766" s="111"/>
      <c r="CQ766" s="111"/>
      <c r="EF766"/>
      <c r="EG766"/>
      <c r="EH766"/>
      <c r="EI766"/>
      <c r="EJ766"/>
      <c r="EK766"/>
    </row>
    <row r="767" spans="1:141" s="116" customFormat="1">
      <c r="A767" s="136"/>
      <c r="CM767" s="111"/>
      <c r="CQ767" s="111"/>
      <c r="EF767"/>
      <c r="EG767"/>
      <c r="EH767"/>
      <c r="EI767"/>
      <c r="EJ767"/>
      <c r="EK767"/>
    </row>
    <row r="768" spans="1:141" s="116" customFormat="1">
      <c r="A768" s="136"/>
      <c r="CM768" s="111"/>
      <c r="CQ768" s="111"/>
      <c r="EF768"/>
      <c r="EG768"/>
      <c r="EH768"/>
      <c r="EI768"/>
      <c r="EJ768"/>
      <c r="EK768"/>
    </row>
    <row r="769" spans="1:141" s="116" customFormat="1">
      <c r="A769" s="136"/>
      <c r="CM769" s="111"/>
      <c r="CQ769" s="111"/>
      <c r="EF769"/>
      <c r="EG769"/>
      <c r="EH769"/>
      <c r="EI769"/>
      <c r="EJ769"/>
      <c r="EK769"/>
    </row>
    <row r="770" spans="1:141" s="116" customFormat="1">
      <c r="A770" s="136"/>
      <c r="CM770" s="111"/>
      <c r="CQ770" s="111"/>
      <c r="EF770"/>
      <c r="EG770"/>
      <c r="EH770"/>
      <c r="EI770"/>
      <c r="EJ770"/>
      <c r="EK770"/>
    </row>
    <row r="771" spans="1:141" s="116" customFormat="1">
      <c r="A771" s="136"/>
      <c r="CM771" s="111"/>
      <c r="CQ771" s="111"/>
      <c r="EF771"/>
      <c r="EG771"/>
      <c r="EH771"/>
      <c r="EI771"/>
      <c r="EJ771"/>
      <c r="EK771"/>
    </row>
    <row r="772" spans="1:141" s="116" customFormat="1">
      <c r="A772" s="136"/>
      <c r="CM772" s="111"/>
      <c r="CQ772" s="111"/>
      <c r="EF772"/>
      <c r="EG772"/>
      <c r="EH772"/>
      <c r="EI772"/>
      <c r="EJ772"/>
      <c r="EK772"/>
    </row>
    <row r="773" spans="1:141" s="116" customFormat="1">
      <c r="A773" s="136"/>
      <c r="CM773" s="111"/>
      <c r="CQ773" s="111"/>
      <c r="EF773"/>
      <c r="EG773"/>
      <c r="EH773"/>
      <c r="EI773"/>
      <c r="EJ773"/>
      <c r="EK773"/>
    </row>
    <row r="774" spans="1:141" s="116" customFormat="1">
      <c r="A774" s="136"/>
      <c r="CM774" s="111"/>
      <c r="CQ774" s="111"/>
      <c r="EF774"/>
      <c r="EG774"/>
      <c r="EH774"/>
      <c r="EI774"/>
      <c r="EJ774"/>
      <c r="EK774"/>
    </row>
    <row r="775" spans="1:141" s="116" customFormat="1">
      <c r="A775" s="136"/>
      <c r="CM775" s="111"/>
      <c r="CQ775" s="111"/>
      <c r="EF775"/>
      <c r="EG775"/>
      <c r="EH775"/>
      <c r="EI775"/>
      <c r="EJ775"/>
      <c r="EK775"/>
    </row>
    <row r="776" spans="1:141" s="116" customFormat="1">
      <c r="A776" s="136"/>
      <c r="CM776" s="111"/>
      <c r="CQ776" s="111"/>
      <c r="EF776"/>
      <c r="EG776"/>
      <c r="EH776"/>
      <c r="EI776"/>
      <c r="EJ776"/>
      <c r="EK776"/>
    </row>
    <row r="777" spans="1:141" s="116" customFormat="1">
      <c r="A777" s="136"/>
      <c r="CM777" s="111"/>
      <c r="CQ777" s="111"/>
      <c r="EF777"/>
      <c r="EG777"/>
      <c r="EH777"/>
      <c r="EI777"/>
      <c r="EJ777"/>
      <c r="EK777"/>
    </row>
    <row r="778" spans="1:141" s="116" customFormat="1">
      <c r="A778" s="136"/>
      <c r="CM778" s="111"/>
      <c r="CQ778" s="111"/>
      <c r="EF778"/>
      <c r="EG778"/>
      <c r="EH778"/>
      <c r="EI778"/>
      <c r="EJ778"/>
      <c r="EK778"/>
    </row>
    <row r="779" spans="1:141" s="116" customFormat="1">
      <c r="A779" s="136"/>
      <c r="CM779" s="111"/>
      <c r="CQ779" s="111"/>
      <c r="EF779"/>
      <c r="EG779"/>
      <c r="EH779"/>
      <c r="EI779"/>
      <c r="EJ779"/>
      <c r="EK779"/>
    </row>
    <row r="780" spans="1:141" s="116" customFormat="1">
      <c r="A780" s="136"/>
      <c r="CM780" s="111"/>
      <c r="CQ780" s="111"/>
      <c r="EF780"/>
      <c r="EG780"/>
      <c r="EH780"/>
      <c r="EI780"/>
      <c r="EJ780"/>
      <c r="EK780"/>
    </row>
    <row r="781" spans="1:141" s="116" customFormat="1">
      <c r="A781" s="136"/>
      <c r="CM781" s="111"/>
      <c r="CQ781" s="111"/>
      <c r="EF781"/>
      <c r="EG781"/>
      <c r="EH781"/>
      <c r="EI781"/>
      <c r="EJ781"/>
      <c r="EK781"/>
    </row>
    <row r="782" spans="1:141" s="116" customFormat="1">
      <c r="A782" s="136"/>
      <c r="CM782" s="111"/>
      <c r="CQ782" s="111"/>
      <c r="EF782"/>
      <c r="EG782"/>
      <c r="EH782"/>
      <c r="EI782"/>
      <c r="EJ782"/>
      <c r="EK782"/>
    </row>
    <row r="783" spans="1:141" s="116" customFormat="1">
      <c r="A783" s="136"/>
      <c r="CM783" s="111"/>
      <c r="CQ783" s="111"/>
      <c r="EF783"/>
      <c r="EG783"/>
      <c r="EH783"/>
      <c r="EI783"/>
      <c r="EJ783"/>
      <c r="EK783"/>
    </row>
    <row r="784" spans="1:141" s="116" customFormat="1">
      <c r="A784" s="136"/>
      <c r="CM784" s="111"/>
      <c r="CQ784" s="111"/>
      <c r="EF784"/>
      <c r="EG784"/>
      <c r="EH784"/>
      <c r="EI784"/>
      <c r="EJ784"/>
      <c r="EK784"/>
    </row>
    <row r="785" spans="1:141" s="116" customFormat="1">
      <c r="A785" s="136"/>
      <c r="CM785" s="111"/>
      <c r="CQ785" s="111"/>
      <c r="EF785"/>
      <c r="EG785"/>
      <c r="EH785"/>
      <c r="EI785"/>
      <c r="EJ785"/>
      <c r="EK785"/>
    </row>
    <row r="786" spans="1:141" s="116" customFormat="1">
      <c r="A786" s="136"/>
      <c r="CM786" s="111"/>
      <c r="CQ786" s="111"/>
      <c r="EF786"/>
      <c r="EG786"/>
      <c r="EH786"/>
      <c r="EI786"/>
      <c r="EJ786"/>
      <c r="EK786"/>
    </row>
    <row r="787" spans="1:141" s="116" customFormat="1">
      <c r="A787" s="136"/>
      <c r="CM787" s="111"/>
      <c r="CQ787" s="111"/>
      <c r="EF787"/>
      <c r="EG787"/>
      <c r="EH787"/>
      <c r="EI787"/>
      <c r="EJ787"/>
      <c r="EK787"/>
    </row>
    <row r="788" spans="1:141" s="116" customFormat="1">
      <c r="A788" s="136"/>
      <c r="CM788" s="111"/>
      <c r="CQ788" s="111"/>
      <c r="EF788"/>
      <c r="EG788"/>
      <c r="EH788"/>
      <c r="EI788"/>
      <c r="EJ788"/>
      <c r="EK788"/>
    </row>
    <row r="789" spans="1:141" s="116" customFormat="1">
      <c r="A789" s="136"/>
      <c r="CM789" s="111"/>
      <c r="CQ789" s="111"/>
      <c r="EF789"/>
      <c r="EG789"/>
      <c r="EH789"/>
      <c r="EI789"/>
      <c r="EJ789"/>
      <c r="EK789"/>
    </row>
    <row r="790" spans="1:141" s="116" customFormat="1">
      <c r="A790" s="136"/>
      <c r="CM790" s="111"/>
      <c r="CQ790" s="111"/>
      <c r="EF790"/>
      <c r="EG790"/>
      <c r="EH790"/>
      <c r="EI790"/>
      <c r="EJ790"/>
      <c r="EK790"/>
    </row>
    <row r="791" spans="1:141" s="116" customFormat="1">
      <c r="A791" s="136"/>
      <c r="CM791" s="111"/>
      <c r="CQ791" s="111"/>
      <c r="EF791"/>
      <c r="EG791"/>
      <c r="EH791"/>
      <c r="EI791"/>
      <c r="EJ791"/>
      <c r="EK791"/>
    </row>
    <row r="792" spans="1:141" s="116" customFormat="1">
      <c r="A792" s="136"/>
      <c r="CM792" s="111"/>
      <c r="CQ792" s="111"/>
      <c r="EF792"/>
      <c r="EG792"/>
      <c r="EH792"/>
      <c r="EI792"/>
      <c r="EJ792"/>
      <c r="EK792"/>
    </row>
    <row r="793" spans="1:141" s="116" customFormat="1">
      <c r="A793" s="136"/>
      <c r="CM793" s="111"/>
      <c r="CQ793" s="111"/>
      <c r="EF793"/>
      <c r="EG793"/>
      <c r="EH793"/>
      <c r="EI793"/>
      <c r="EJ793"/>
      <c r="EK793"/>
    </row>
    <row r="794" spans="1:141" s="116" customFormat="1">
      <c r="A794" s="136"/>
      <c r="CM794" s="111"/>
      <c r="CQ794" s="111"/>
      <c r="EF794"/>
      <c r="EG794"/>
      <c r="EH794"/>
      <c r="EI794"/>
      <c r="EJ794"/>
      <c r="EK794"/>
    </row>
    <row r="795" spans="1:141" s="116" customFormat="1">
      <c r="A795" s="136"/>
      <c r="CM795" s="111"/>
      <c r="CQ795" s="111"/>
      <c r="EF795"/>
      <c r="EG795"/>
      <c r="EH795"/>
      <c r="EI795"/>
      <c r="EJ795"/>
      <c r="EK795"/>
    </row>
    <row r="796" spans="1:141" s="116" customFormat="1">
      <c r="A796" s="136"/>
      <c r="CM796" s="111"/>
      <c r="CQ796" s="111"/>
      <c r="EF796"/>
      <c r="EG796"/>
      <c r="EH796"/>
      <c r="EI796"/>
      <c r="EJ796"/>
      <c r="EK796"/>
    </row>
    <row r="797" spans="1:141" s="116" customFormat="1">
      <c r="A797" s="136"/>
      <c r="CM797" s="111"/>
      <c r="CQ797" s="111"/>
      <c r="EF797"/>
      <c r="EG797"/>
      <c r="EH797"/>
      <c r="EI797"/>
      <c r="EJ797"/>
      <c r="EK797"/>
    </row>
    <row r="798" spans="1:141" s="116" customFormat="1">
      <c r="A798" s="136"/>
      <c r="CM798" s="111"/>
      <c r="CQ798" s="111"/>
      <c r="EF798"/>
      <c r="EG798"/>
      <c r="EH798"/>
      <c r="EI798"/>
      <c r="EJ798"/>
      <c r="EK798"/>
    </row>
    <row r="799" spans="1:141" s="116" customFormat="1">
      <c r="A799" s="136"/>
      <c r="CM799" s="111"/>
      <c r="CQ799" s="111"/>
      <c r="EF799"/>
      <c r="EG799"/>
      <c r="EH799"/>
      <c r="EI799"/>
      <c r="EJ799"/>
      <c r="EK799"/>
    </row>
    <row r="800" spans="1:141" s="116" customFormat="1">
      <c r="A800" s="136"/>
      <c r="CM800" s="111"/>
      <c r="CQ800" s="111"/>
      <c r="EF800"/>
      <c r="EG800"/>
      <c r="EH800"/>
      <c r="EI800"/>
      <c r="EJ800"/>
      <c r="EK800"/>
    </row>
    <row r="801" spans="1:141" s="116" customFormat="1">
      <c r="A801" s="136"/>
      <c r="CM801" s="111"/>
      <c r="CQ801" s="111"/>
      <c r="EF801"/>
      <c r="EG801"/>
      <c r="EH801"/>
      <c r="EI801"/>
      <c r="EJ801"/>
      <c r="EK801"/>
    </row>
    <row r="802" spans="1:141" s="116" customFormat="1">
      <c r="A802" s="136"/>
      <c r="CM802" s="111"/>
      <c r="CQ802" s="111"/>
      <c r="EF802"/>
      <c r="EG802"/>
      <c r="EH802"/>
      <c r="EI802"/>
      <c r="EJ802"/>
      <c r="EK802"/>
    </row>
    <row r="803" spans="1:141" s="116" customFormat="1">
      <c r="A803" s="136"/>
      <c r="CM803" s="111"/>
      <c r="CQ803" s="111"/>
      <c r="EF803"/>
      <c r="EG803"/>
      <c r="EH803"/>
      <c r="EI803"/>
      <c r="EJ803"/>
      <c r="EK803"/>
    </row>
    <row r="804" spans="1:141" s="116" customFormat="1">
      <c r="A804" s="136"/>
      <c r="CM804" s="111"/>
      <c r="CQ804" s="111"/>
      <c r="EF804"/>
      <c r="EG804"/>
      <c r="EH804"/>
      <c r="EI804"/>
      <c r="EJ804"/>
      <c r="EK804"/>
    </row>
    <row r="805" spans="1:141" s="116" customFormat="1">
      <c r="A805" s="136"/>
      <c r="CM805" s="111"/>
      <c r="CQ805" s="111"/>
      <c r="EF805"/>
      <c r="EG805"/>
      <c r="EH805"/>
      <c r="EI805"/>
      <c r="EJ805"/>
      <c r="EK805"/>
    </row>
    <row r="806" spans="1:141" s="116" customFormat="1">
      <c r="A806" s="136"/>
      <c r="CM806" s="111"/>
      <c r="CQ806" s="111"/>
      <c r="EF806"/>
      <c r="EG806"/>
      <c r="EH806"/>
      <c r="EI806"/>
      <c r="EJ806"/>
      <c r="EK806"/>
    </row>
    <row r="807" spans="1:141" s="116" customFormat="1">
      <c r="A807" s="136"/>
      <c r="CM807" s="111"/>
      <c r="CQ807" s="111"/>
      <c r="EF807"/>
      <c r="EG807"/>
      <c r="EH807"/>
      <c r="EI807"/>
      <c r="EJ807"/>
      <c r="EK807"/>
    </row>
    <row r="808" spans="1:141" s="116" customFormat="1">
      <c r="A808" s="136"/>
      <c r="CM808" s="111"/>
      <c r="CQ808" s="111"/>
      <c r="EF808"/>
      <c r="EG808"/>
      <c r="EH808"/>
      <c r="EI808"/>
      <c r="EJ808"/>
      <c r="EK808"/>
    </row>
    <row r="809" spans="1:141" s="116" customFormat="1">
      <c r="A809" s="136"/>
      <c r="CM809" s="111"/>
      <c r="CQ809" s="111"/>
      <c r="EF809"/>
      <c r="EG809"/>
      <c r="EH809"/>
      <c r="EI809"/>
      <c r="EJ809"/>
      <c r="EK809"/>
    </row>
    <row r="810" spans="1:141" s="116" customFormat="1">
      <c r="A810" s="136"/>
      <c r="CM810" s="111"/>
      <c r="CQ810" s="111"/>
      <c r="EF810"/>
      <c r="EG810"/>
      <c r="EH810"/>
      <c r="EI810"/>
      <c r="EJ810"/>
      <c r="EK810"/>
    </row>
    <row r="811" spans="1:141" s="116" customFormat="1">
      <c r="A811" s="136"/>
      <c r="CM811" s="111"/>
      <c r="CQ811" s="111"/>
      <c r="EF811"/>
      <c r="EG811"/>
      <c r="EH811"/>
      <c r="EI811"/>
      <c r="EJ811"/>
      <c r="EK811"/>
    </row>
    <row r="812" spans="1:141" s="116" customFormat="1">
      <c r="A812" s="136"/>
      <c r="CM812" s="111"/>
      <c r="CQ812" s="111"/>
      <c r="EF812"/>
      <c r="EG812"/>
      <c r="EH812"/>
      <c r="EI812"/>
      <c r="EJ812"/>
      <c r="EK812"/>
    </row>
    <row r="813" spans="1:141" s="116" customFormat="1">
      <c r="A813" s="136"/>
      <c r="CM813" s="111"/>
      <c r="CQ813" s="111"/>
      <c r="EF813"/>
      <c r="EG813"/>
      <c r="EH813"/>
      <c r="EI813"/>
      <c r="EJ813"/>
      <c r="EK813"/>
    </row>
    <row r="814" spans="1:141" s="116" customFormat="1">
      <c r="A814" s="136"/>
      <c r="CM814" s="111"/>
      <c r="CQ814" s="111"/>
      <c r="EF814"/>
      <c r="EG814"/>
      <c r="EH814"/>
      <c r="EI814"/>
      <c r="EJ814"/>
      <c r="EK814"/>
    </row>
    <row r="815" spans="1:141" s="116" customFormat="1">
      <c r="A815" s="136"/>
      <c r="CM815" s="111"/>
      <c r="CQ815" s="111"/>
      <c r="EF815"/>
      <c r="EG815"/>
      <c r="EH815"/>
      <c r="EI815"/>
      <c r="EJ815"/>
      <c r="EK815"/>
    </row>
    <row r="816" spans="1:141" s="116" customFormat="1">
      <c r="A816" s="136"/>
      <c r="CM816" s="111"/>
      <c r="CQ816" s="111"/>
      <c r="EF816"/>
      <c r="EG816"/>
      <c r="EH816"/>
      <c r="EI816"/>
      <c r="EJ816"/>
      <c r="EK816"/>
    </row>
    <row r="817" spans="1:141" s="116" customFormat="1">
      <c r="A817" s="136"/>
      <c r="CM817" s="111"/>
      <c r="CQ817" s="111"/>
      <c r="EF817"/>
      <c r="EG817"/>
      <c r="EH817"/>
      <c r="EI817"/>
      <c r="EJ817"/>
      <c r="EK817"/>
    </row>
    <row r="818" spans="1:141" s="116" customFormat="1">
      <c r="A818" s="136"/>
      <c r="CM818" s="111"/>
      <c r="CQ818" s="111"/>
      <c r="EF818"/>
      <c r="EG818"/>
      <c r="EH818"/>
      <c r="EI818"/>
      <c r="EJ818"/>
      <c r="EK818"/>
    </row>
    <row r="819" spans="1:141" s="116" customFormat="1">
      <c r="A819" s="136"/>
      <c r="CM819" s="111"/>
      <c r="CQ819" s="111"/>
      <c r="EF819"/>
      <c r="EG819"/>
      <c r="EH819"/>
      <c r="EI819"/>
      <c r="EJ819"/>
      <c r="EK819"/>
    </row>
    <row r="820" spans="1:141" s="116" customFormat="1">
      <c r="A820" s="136"/>
      <c r="CM820" s="111"/>
      <c r="CQ820" s="111"/>
      <c r="EF820"/>
      <c r="EG820"/>
      <c r="EH820"/>
      <c r="EI820"/>
      <c r="EJ820"/>
      <c r="EK820"/>
    </row>
    <row r="821" spans="1:141" s="116" customFormat="1">
      <c r="A821" s="136"/>
      <c r="CM821" s="111"/>
      <c r="CQ821" s="111"/>
      <c r="EF821"/>
      <c r="EG821"/>
      <c r="EH821"/>
      <c r="EI821"/>
      <c r="EJ821"/>
      <c r="EK821"/>
    </row>
    <row r="822" spans="1:141" s="116" customFormat="1">
      <c r="A822" s="136"/>
      <c r="CM822" s="111"/>
      <c r="CQ822" s="111"/>
      <c r="EF822"/>
      <c r="EG822"/>
      <c r="EH822"/>
      <c r="EI822"/>
      <c r="EJ822"/>
      <c r="EK822"/>
    </row>
    <row r="823" spans="1:141" s="116" customFormat="1">
      <c r="A823" s="136"/>
      <c r="CM823" s="111"/>
      <c r="CQ823" s="111"/>
      <c r="EF823"/>
      <c r="EG823"/>
      <c r="EH823"/>
      <c r="EI823"/>
      <c r="EJ823"/>
      <c r="EK823"/>
    </row>
    <row r="824" spans="1:141" s="116" customFormat="1">
      <c r="A824" s="136"/>
      <c r="CM824" s="111"/>
      <c r="CQ824" s="111"/>
      <c r="EF824"/>
      <c r="EG824"/>
      <c r="EH824"/>
      <c r="EI824"/>
      <c r="EJ824"/>
      <c r="EK824"/>
    </row>
    <row r="825" spans="1:141" s="116" customFormat="1">
      <c r="A825" s="136"/>
      <c r="CM825" s="111"/>
      <c r="CQ825" s="111"/>
      <c r="EF825"/>
      <c r="EG825"/>
      <c r="EH825"/>
      <c r="EI825"/>
      <c r="EJ825"/>
      <c r="EK825"/>
    </row>
    <row r="826" spans="1:141" s="116" customFormat="1">
      <c r="A826" s="136"/>
      <c r="CM826" s="111"/>
      <c r="CQ826" s="111"/>
      <c r="EF826"/>
      <c r="EG826"/>
      <c r="EH826"/>
      <c r="EI826"/>
      <c r="EJ826"/>
      <c r="EK826"/>
    </row>
    <row r="827" spans="1:141" s="116" customFormat="1">
      <c r="A827" s="136"/>
      <c r="CM827" s="111"/>
      <c r="CQ827" s="111"/>
      <c r="EF827"/>
      <c r="EG827"/>
      <c r="EH827"/>
      <c r="EI827"/>
      <c r="EJ827"/>
      <c r="EK827"/>
    </row>
    <row r="828" spans="1:141" s="116" customFormat="1">
      <c r="A828" s="136"/>
      <c r="CM828" s="111"/>
      <c r="CQ828" s="111"/>
      <c r="EF828"/>
      <c r="EG828"/>
      <c r="EH828"/>
      <c r="EI828"/>
      <c r="EJ828"/>
      <c r="EK828"/>
    </row>
    <row r="829" spans="1:141" s="116" customFormat="1">
      <c r="A829" s="136"/>
      <c r="CM829" s="111"/>
      <c r="CQ829" s="111"/>
      <c r="EF829"/>
      <c r="EG829"/>
      <c r="EH829"/>
      <c r="EI829"/>
      <c r="EJ829"/>
      <c r="EK829"/>
    </row>
    <row r="830" spans="1:141" s="116" customFormat="1">
      <c r="A830" s="136"/>
      <c r="CM830" s="111"/>
      <c r="CQ830" s="111"/>
      <c r="EF830"/>
      <c r="EG830"/>
      <c r="EH830"/>
      <c r="EI830"/>
      <c r="EJ830"/>
      <c r="EK830"/>
    </row>
    <row r="831" spans="1:141" s="116" customFormat="1">
      <c r="A831" s="136"/>
      <c r="CM831" s="111"/>
      <c r="CQ831" s="111"/>
      <c r="EF831"/>
      <c r="EG831"/>
      <c r="EH831"/>
      <c r="EI831"/>
      <c r="EJ831"/>
      <c r="EK831"/>
    </row>
    <row r="832" spans="1:141" s="116" customFormat="1">
      <c r="A832" s="136"/>
      <c r="CM832" s="111"/>
      <c r="CQ832" s="111"/>
      <c r="EF832"/>
      <c r="EG832"/>
      <c r="EH832"/>
      <c r="EI832"/>
      <c r="EJ832"/>
      <c r="EK832"/>
    </row>
    <row r="833" spans="1:141" s="116" customFormat="1">
      <c r="A833" s="136"/>
      <c r="CM833" s="111"/>
      <c r="CQ833" s="111"/>
      <c r="EF833"/>
      <c r="EG833"/>
      <c r="EH833"/>
      <c r="EI833"/>
      <c r="EJ833"/>
      <c r="EK833"/>
    </row>
    <row r="834" spans="1:141" s="116" customFormat="1">
      <c r="A834" s="136"/>
      <c r="CM834" s="111"/>
      <c r="CQ834" s="111"/>
      <c r="EF834"/>
      <c r="EG834"/>
      <c r="EH834"/>
      <c r="EI834"/>
      <c r="EJ834"/>
      <c r="EK834"/>
    </row>
    <row r="835" spans="1:141" s="116" customFormat="1">
      <c r="A835" s="136"/>
      <c r="CM835" s="111"/>
      <c r="CQ835" s="111"/>
      <c r="EF835"/>
      <c r="EG835"/>
      <c r="EH835"/>
      <c r="EI835"/>
      <c r="EJ835"/>
      <c r="EK835"/>
    </row>
    <row r="836" spans="1:141" s="116" customFormat="1">
      <c r="A836" s="136"/>
      <c r="CM836" s="111"/>
      <c r="CQ836" s="111"/>
      <c r="EF836"/>
      <c r="EG836"/>
      <c r="EH836"/>
      <c r="EI836"/>
      <c r="EJ836"/>
      <c r="EK836"/>
    </row>
    <row r="837" spans="1:141" s="116" customFormat="1">
      <c r="A837" s="136"/>
      <c r="CM837" s="111"/>
      <c r="CQ837" s="111"/>
      <c r="EF837"/>
      <c r="EG837"/>
      <c r="EH837"/>
      <c r="EI837"/>
      <c r="EJ837"/>
      <c r="EK837"/>
    </row>
    <row r="838" spans="1:141" s="116" customFormat="1">
      <c r="A838" s="136"/>
      <c r="CM838" s="111"/>
      <c r="CQ838" s="111"/>
      <c r="EF838"/>
      <c r="EG838"/>
      <c r="EH838"/>
      <c r="EI838"/>
      <c r="EJ838"/>
      <c r="EK838"/>
    </row>
    <row r="839" spans="1:141" s="116" customFormat="1">
      <c r="A839" s="136"/>
      <c r="CM839" s="111"/>
      <c r="CQ839" s="111"/>
      <c r="EF839"/>
      <c r="EG839"/>
      <c r="EH839"/>
      <c r="EI839"/>
      <c r="EJ839"/>
      <c r="EK839"/>
    </row>
    <row r="840" spans="1:141" s="116" customFormat="1">
      <c r="A840" s="136"/>
      <c r="CM840" s="111"/>
      <c r="CQ840" s="111"/>
      <c r="EF840"/>
      <c r="EG840"/>
      <c r="EH840"/>
      <c r="EI840"/>
      <c r="EJ840"/>
      <c r="EK840"/>
    </row>
    <row r="841" spans="1:141" s="116" customFormat="1">
      <c r="A841" s="136"/>
      <c r="CM841" s="111"/>
      <c r="CQ841" s="111"/>
      <c r="EF841"/>
      <c r="EG841"/>
      <c r="EH841"/>
      <c r="EI841"/>
      <c r="EJ841"/>
      <c r="EK841"/>
    </row>
    <row r="842" spans="1:141" s="116" customFormat="1">
      <c r="A842" s="136"/>
      <c r="CM842" s="111"/>
      <c r="CQ842" s="111"/>
      <c r="EF842"/>
      <c r="EG842"/>
      <c r="EH842"/>
      <c r="EI842"/>
      <c r="EJ842"/>
      <c r="EK842"/>
    </row>
    <row r="843" spans="1:141" s="116" customFormat="1">
      <c r="A843" s="136"/>
      <c r="CM843" s="111"/>
      <c r="CQ843" s="111"/>
      <c r="EF843"/>
      <c r="EG843"/>
      <c r="EH843"/>
      <c r="EI843"/>
      <c r="EJ843"/>
      <c r="EK843"/>
    </row>
    <row r="844" spans="1:141" s="116" customFormat="1">
      <c r="A844" s="136"/>
      <c r="CM844" s="111"/>
      <c r="CQ844" s="111"/>
      <c r="EF844"/>
      <c r="EG844"/>
      <c r="EH844"/>
      <c r="EI844"/>
      <c r="EJ844"/>
      <c r="EK844"/>
    </row>
    <row r="845" spans="1:141" s="116" customFormat="1">
      <c r="A845" s="136"/>
      <c r="CM845" s="111"/>
      <c r="CQ845" s="111"/>
      <c r="EF845"/>
      <c r="EG845"/>
      <c r="EH845"/>
      <c r="EI845"/>
      <c r="EJ845"/>
      <c r="EK845"/>
    </row>
    <row r="846" spans="1:141" s="116" customFormat="1">
      <c r="A846" s="136"/>
      <c r="CM846" s="111"/>
      <c r="CQ846" s="111"/>
      <c r="EF846"/>
      <c r="EG846"/>
      <c r="EH846"/>
      <c r="EI846"/>
      <c r="EJ846"/>
      <c r="EK846"/>
    </row>
    <row r="847" spans="1:141" s="116" customFormat="1">
      <c r="A847" s="136"/>
      <c r="CM847" s="111"/>
      <c r="CQ847" s="111"/>
      <c r="EF847"/>
      <c r="EG847"/>
      <c r="EH847"/>
      <c r="EI847"/>
      <c r="EJ847"/>
      <c r="EK847"/>
    </row>
    <row r="848" spans="1:141" s="116" customFormat="1">
      <c r="A848" s="136"/>
      <c r="CM848" s="111"/>
      <c r="CQ848" s="111"/>
      <c r="EF848"/>
      <c r="EG848"/>
      <c r="EH848"/>
      <c r="EI848"/>
      <c r="EJ848"/>
      <c r="EK848"/>
    </row>
    <row r="849" spans="1:141" s="116" customFormat="1">
      <c r="A849" s="136"/>
      <c r="CM849" s="111"/>
      <c r="CQ849" s="111"/>
      <c r="EF849"/>
      <c r="EG849"/>
      <c r="EH849"/>
      <c r="EI849"/>
      <c r="EJ849"/>
      <c r="EK849"/>
    </row>
    <row r="850" spans="1:141" s="116" customFormat="1">
      <c r="A850" s="136"/>
      <c r="CM850" s="111"/>
      <c r="CQ850" s="111"/>
      <c r="EF850"/>
      <c r="EG850"/>
      <c r="EH850"/>
      <c r="EI850"/>
      <c r="EJ850"/>
      <c r="EK850"/>
    </row>
    <row r="851" spans="1:141" s="116" customFormat="1">
      <c r="A851" s="136"/>
      <c r="CM851" s="111"/>
      <c r="CQ851" s="111"/>
      <c r="EF851"/>
      <c r="EG851"/>
      <c r="EH851"/>
      <c r="EI851"/>
      <c r="EJ851"/>
      <c r="EK851"/>
    </row>
    <row r="852" spans="1:141" s="116" customFormat="1">
      <c r="A852" s="136"/>
      <c r="CM852" s="111"/>
      <c r="CQ852" s="111"/>
      <c r="EF852"/>
      <c r="EG852"/>
      <c r="EH852"/>
      <c r="EI852"/>
      <c r="EJ852"/>
      <c r="EK852"/>
    </row>
    <row r="853" spans="1:141" s="116" customFormat="1">
      <c r="A853" s="136"/>
      <c r="CM853" s="111"/>
      <c r="CQ853" s="111"/>
      <c r="EF853"/>
      <c r="EG853"/>
      <c r="EH853"/>
      <c r="EI853"/>
      <c r="EJ853"/>
      <c r="EK853"/>
    </row>
    <row r="854" spans="1:141" s="116" customFormat="1">
      <c r="A854" s="136"/>
      <c r="CM854" s="111"/>
      <c r="CQ854" s="111"/>
      <c r="EF854"/>
      <c r="EG854"/>
      <c r="EH854"/>
      <c r="EI854"/>
      <c r="EJ854"/>
      <c r="EK854"/>
    </row>
    <row r="855" spans="1:141" s="116" customFormat="1">
      <c r="A855" s="136"/>
      <c r="CM855" s="111"/>
      <c r="CQ855" s="111"/>
      <c r="EF855"/>
      <c r="EG855"/>
      <c r="EH855"/>
      <c r="EI855"/>
      <c r="EJ855"/>
      <c r="EK855"/>
    </row>
    <row r="856" spans="1:141" s="116" customFormat="1">
      <c r="A856" s="136"/>
      <c r="CM856" s="111"/>
      <c r="CQ856" s="111"/>
      <c r="EF856"/>
      <c r="EG856"/>
      <c r="EH856"/>
      <c r="EI856"/>
      <c r="EJ856"/>
      <c r="EK856"/>
    </row>
    <row r="857" spans="1:141" s="116" customFormat="1">
      <c r="A857" s="136"/>
      <c r="CM857" s="111"/>
      <c r="CQ857" s="111"/>
      <c r="EF857"/>
      <c r="EG857"/>
      <c r="EH857"/>
      <c r="EI857"/>
      <c r="EJ857"/>
      <c r="EK857"/>
    </row>
    <row r="858" spans="1:141" s="116" customFormat="1">
      <c r="A858" s="136"/>
      <c r="CM858" s="111"/>
      <c r="CQ858" s="111"/>
      <c r="EF858"/>
      <c r="EG858"/>
      <c r="EH858"/>
      <c r="EI858"/>
      <c r="EJ858"/>
      <c r="EK858"/>
    </row>
    <row r="859" spans="1:141" s="116" customFormat="1">
      <c r="A859" s="136"/>
      <c r="CM859" s="111"/>
      <c r="CQ859" s="111"/>
      <c r="EF859"/>
      <c r="EG859"/>
      <c r="EH859"/>
      <c r="EI859"/>
      <c r="EJ859"/>
      <c r="EK859"/>
    </row>
    <row r="860" spans="1:141" s="116" customFormat="1">
      <c r="A860" s="136"/>
      <c r="CM860" s="111"/>
      <c r="CQ860" s="111"/>
      <c r="EF860"/>
      <c r="EG860"/>
      <c r="EH860"/>
      <c r="EI860"/>
      <c r="EJ860"/>
      <c r="EK860"/>
    </row>
    <row r="861" spans="1:141" s="116" customFormat="1">
      <c r="A861" s="136"/>
      <c r="CM861" s="111"/>
      <c r="CQ861" s="111"/>
      <c r="EF861"/>
      <c r="EG861"/>
      <c r="EH861"/>
      <c r="EI861"/>
      <c r="EJ861"/>
      <c r="EK861"/>
    </row>
    <row r="862" spans="1:141" s="116" customFormat="1">
      <c r="A862" s="136"/>
      <c r="CM862" s="111"/>
      <c r="CQ862" s="111"/>
      <c r="EF862"/>
      <c r="EG862"/>
      <c r="EH862"/>
      <c r="EI862"/>
      <c r="EJ862"/>
      <c r="EK862"/>
    </row>
    <row r="863" spans="1:141" s="116" customFormat="1">
      <c r="A863" s="136"/>
      <c r="CM863" s="111"/>
      <c r="CQ863" s="111"/>
      <c r="EF863"/>
      <c r="EG863"/>
      <c r="EH863"/>
      <c r="EI863"/>
      <c r="EJ863"/>
      <c r="EK863"/>
    </row>
    <row r="864" spans="1:141" s="116" customFormat="1">
      <c r="A864" s="136"/>
      <c r="CM864" s="111"/>
      <c r="CQ864" s="111"/>
      <c r="EF864"/>
      <c r="EG864"/>
      <c r="EH864"/>
      <c r="EI864"/>
      <c r="EJ864"/>
      <c r="EK864"/>
    </row>
    <row r="865" spans="1:141" s="116" customFormat="1">
      <c r="A865" s="136"/>
      <c r="CM865" s="111"/>
      <c r="CQ865" s="111"/>
      <c r="EF865"/>
      <c r="EG865"/>
      <c r="EH865"/>
      <c r="EI865"/>
      <c r="EJ865"/>
      <c r="EK865"/>
    </row>
    <row r="866" spans="1:141" s="116" customFormat="1">
      <c r="A866" s="136"/>
      <c r="CM866" s="111"/>
      <c r="CQ866" s="111"/>
      <c r="EF866"/>
      <c r="EG866"/>
      <c r="EH866"/>
      <c r="EI866"/>
      <c r="EJ866"/>
      <c r="EK866"/>
    </row>
    <row r="867" spans="1:141" s="116" customFormat="1">
      <c r="A867" s="136"/>
      <c r="CM867" s="111"/>
      <c r="CQ867" s="111"/>
      <c r="EF867"/>
      <c r="EG867"/>
      <c r="EH867"/>
      <c r="EI867"/>
      <c r="EJ867"/>
      <c r="EK867"/>
    </row>
    <row r="868" spans="1:141" s="116" customFormat="1">
      <c r="A868" s="136"/>
      <c r="CM868" s="111"/>
      <c r="CQ868" s="111"/>
      <c r="EF868"/>
      <c r="EG868"/>
      <c r="EH868"/>
      <c r="EI868"/>
      <c r="EJ868"/>
      <c r="EK868"/>
    </row>
    <row r="869" spans="1:141" s="116" customFormat="1">
      <c r="A869" s="136"/>
      <c r="CM869" s="111"/>
      <c r="CQ869" s="111"/>
      <c r="EF869"/>
      <c r="EG869"/>
      <c r="EH869"/>
      <c r="EI869"/>
      <c r="EJ869"/>
      <c r="EK869"/>
    </row>
    <row r="870" spans="1:141" s="116" customFormat="1">
      <c r="A870" s="136"/>
      <c r="CM870" s="111"/>
      <c r="CQ870" s="111"/>
      <c r="EF870"/>
      <c r="EG870"/>
      <c r="EH870"/>
      <c r="EI870"/>
      <c r="EJ870"/>
      <c r="EK870"/>
    </row>
    <row r="871" spans="1:141" s="116" customFormat="1">
      <c r="A871" s="136"/>
      <c r="CM871" s="111"/>
      <c r="CQ871" s="111"/>
      <c r="EF871"/>
      <c r="EG871"/>
      <c r="EH871"/>
      <c r="EI871"/>
      <c r="EJ871"/>
      <c r="EK871"/>
    </row>
    <row r="872" spans="1:141" s="116" customFormat="1">
      <c r="A872" s="136"/>
      <c r="CM872" s="111"/>
      <c r="CQ872" s="111"/>
      <c r="EF872"/>
      <c r="EG872"/>
      <c r="EH872"/>
      <c r="EI872"/>
      <c r="EJ872"/>
      <c r="EK872"/>
    </row>
    <row r="873" spans="1:141" s="116" customFormat="1">
      <c r="A873" s="136"/>
      <c r="CM873" s="111"/>
      <c r="CQ873" s="111"/>
      <c r="EF873"/>
      <c r="EG873"/>
      <c r="EH873"/>
      <c r="EI873"/>
      <c r="EJ873"/>
      <c r="EK873"/>
    </row>
    <row r="874" spans="1:141" s="116" customFormat="1">
      <c r="A874" s="136"/>
      <c r="CM874" s="111"/>
      <c r="CQ874" s="111"/>
      <c r="EF874"/>
      <c r="EG874"/>
      <c r="EH874"/>
      <c r="EI874"/>
      <c r="EJ874"/>
      <c r="EK874"/>
    </row>
    <row r="875" spans="1:141" s="116" customFormat="1">
      <c r="A875" s="136"/>
      <c r="CM875" s="111"/>
      <c r="CQ875" s="111"/>
      <c r="EF875"/>
      <c r="EG875"/>
      <c r="EH875"/>
      <c r="EI875"/>
      <c r="EJ875"/>
      <c r="EK875"/>
    </row>
    <row r="876" spans="1:141" s="116" customFormat="1">
      <c r="A876" s="136"/>
      <c r="CM876" s="111"/>
      <c r="CQ876" s="111"/>
      <c r="EF876"/>
      <c r="EG876"/>
      <c r="EH876"/>
      <c r="EI876"/>
      <c r="EJ876"/>
      <c r="EK876"/>
    </row>
    <row r="877" spans="1:141" s="116" customFormat="1">
      <c r="A877" s="136"/>
      <c r="CM877" s="111"/>
      <c r="CQ877" s="111"/>
      <c r="EF877"/>
      <c r="EG877"/>
      <c r="EH877"/>
      <c r="EI877"/>
      <c r="EJ877"/>
      <c r="EK877"/>
    </row>
    <row r="878" spans="1:141" s="116" customFormat="1">
      <c r="A878" s="136"/>
      <c r="CM878" s="111"/>
      <c r="CQ878" s="111"/>
      <c r="EF878"/>
      <c r="EG878"/>
      <c r="EH878"/>
      <c r="EI878"/>
      <c r="EJ878"/>
      <c r="EK878"/>
    </row>
    <row r="879" spans="1:141" s="116" customFormat="1">
      <c r="A879" s="136"/>
      <c r="CM879" s="111"/>
      <c r="CQ879" s="111"/>
      <c r="EF879"/>
      <c r="EG879"/>
      <c r="EH879"/>
      <c r="EI879"/>
      <c r="EJ879"/>
      <c r="EK879"/>
    </row>
    <row r="880" spans="1:141" s="116" customFormat="1">
      <c r="A880" s="136"/>
      <c r="CM880" s="111"/>
      <c r="CQ880" s="111"/>
      <c r="EF880"/>
      <c r="EG880"/>
      <c r="EH880"/>
      <c r="EI880"/>
      <c r="EJ880"/>
      <c r="EK880"/>
    </row>
    <row r="881" spans="1:141" s="116" customFormat="1">
      <c r="A881" s="136"/>
      <c r="CM881" s="111"/>
      <c r="CQ881" s="111"/>
      <c r="EF881"/>
      <c r="EG881"/>
      <c r="EH881"/>
      <c r="EI881"/>
      <c r="EJ881"/>
      <c r="EK881"/>
    </row>
    <row r="882" spans="1:141" s="116" customFormat="1">
      <c r="A882" s="136"/>
      <c r="CM882" s="111"/>
      <c r="CQ882" s="111"/>
      <c r="EF882"/>
      <c r="EG882"/>
      <c r="EH882"/>
      <c r="EI882"/>
      <c r="EJ882"/>
      <c r="EK882"/>
    </row>
    <row r="883" spans="1:141" s="116" customFormat="1">
      <c r="A883" s="136"/>
      <c r="CM883" s="111"/>
      <c r="CQ883" s="111"/>
      <c r="EF883"/>
      <c r="EG883"/>
      <c r="EH883"/>
      <c r="EI883"/>
      <c r="EJ883"/>
      <c r="EK883"/>
    </row>
    <row r="884" spans="1:141" s="116" customFormat="1">
      <c r="A884" s="136"/>
      <c r="CM884" s="111"/>
      <c r="CQ884" s="111"/>
      <c r="EF884"/>
      <c r="EG884"/>
      <c r="EH884"/>
      <c r="EI884"/>
      <c r="EJ884"/>
      <c r="EK884"/>
    </row>
    <row r="885" spans="1:141" s="116" customFormat="1">
      <c r="A885" s="136"/>
      <c r="CM885" s="111"/>
      <c r="CQ885" s="111"/>
      <c r="EF885"/>
      <c r="EG885"/>
      <c r="EH885"/>
      <c r="EI885"/>
      <c r="EJ885"/>
      <c r="EK885"/>
    </row>
    <row r="886" spans="1:141" s="116" customFormat="1">
      <c r="A886" s="136"/>
      <c r="CM886" s="111"/>
      <c r="CQ886" s="111"/>
      <c r="EF886"/>
      <c r="EG886"/>
      <c r="EH886"/>
      <c r="EI886"/>
      <c r="EJ886"/>
      <c r="EK886"/>
    </row>
    <row r="887" spans="1:141" s="116" customFormat="1">
      <c r="A887" s="136"/>
      <c r="CM887" s="111"/>
      <c r="CQ887" s="111"/>
      <c r="EF887"/>
      <c r="EG887"/>
      <c r="EH887"/>
      <c r="EI887"/>
      <c r="EJ887"/>
      <c r="EK887"/>
    </row>
    <row r="888" spans="1:141" s="116" customFormat="1">
      <c r="A888" s="136"/>
      <c r="CM888" s="111"/>
      <c r="CQ888" s="111"/>
      <c r="EF888"/>
      <c r="EG888"/>
      <c r="EH888"/>
      <c r="EI888"/>
      <c r="EJ888"/>
      <c r="EK888"/>
    </row>
    <row r="889" spans="1:141" s="116" customFormat="1">
      <c r="A889" s="136"/>
      <c r="CM889" s="111"/>
      <c r="CQ889" s="111"/>
      <c r="EF889"/>
      <c r="EG889"/>
      <c r="EH889"/>
      <c r="EI889"/>
      <c r="EJ889"/>
      <c r="EK889"/>
    </row>
    <row r="890" spans="1:141" s="116" customFormat="1">
      <c r="A890" s="136"/>
      <c r="CM890" s="111"/>
      <c r="CQ890" s="111"/>
      <c r="EF890"/>
      <c r="EG890"/>
      <c r="EH890"/>
      <c r="EI890"/>
      <c r="EJ890"/>
      <c r="EK890"/>
    </row>
    <row r="891" spans="1:141" s="116" customFormat="1">
      <c r="A891" s="136"/>
      <c r="CM891" s="111"/>
      <c r="CQ891" s="111"/>
      <c r="EF891"/>
      <c r="EG891"/>
      <c r="EH891"/>
      <c r="EI891"/>
      <c r="EJ891"/>
      <c r="EK891"/>
    </row>
    <row r="892" spans="1:141" s="116" customFormat="1">
      <c r="A892" s="136"/>
      <c r="CM892" s="111"/>
      <c r="CQ892" s="111"/>
      <c r="EF892"/>
      <c r="EG892"/>
      <c r="EH892"/>
      <c r="EI892"/>
      <c r="EJ892"/>
      <c r="EK892"/>
    </row>
    <row r="893" spans="1:141" s="116" customFormat="1">
      <c r="A893" s="136"/>
      <c r="CM893" s="111"/>
      <c r="CQ893" s="111"/>
      <c r="EF893"/>
      <c r="EG893"/>
      <c r="EH893"/>
      <c r="EI893"/>
      <c r="EJ893"/>
      <c r="EK893"/>
    </row>
    <row r="894" spans="1:141" s="116" customFormat="1">
      <c r="A894" s="136"/>
      <c r="CM894" s="111"/>
      <c r="CQ894" s="111"/>
      <c r="EF894"/>
      <c r="EG894"/>
      <c r="EH894"/>
      <c r="EI894"/>
      <c r="EJ894"/>
      <c r="EK894"/>
    </row>
    <row r="895" spans="1:141" s="116" customFormat="1">
      <c r="A895" s="136"/>
      <c r="CM895" s="111"/>
      <c r="CQ895" s="111"/>
      <c r="EF895"/>
      <c r="EG895"/>
      <c r="EH895"/>
      <c r="EI895"/>
      <c r="EJ895"/>
      <c r="EK895"/>
    </row>
    <row r="896" spans="1:141" s="116" customFormat="1">
      <c r="A896" s="136"/>
      <c r="CM896" s="111"/>
      <c r="CQ896" s="111"/>
      <c r="EF896"/>
      <c r="EG896"/>
      <c r="EH896"/>
      <c r="EI896"/>
      <c r="EJ896"/>
      <c r="EK896"/>
    </row>
    <row r="897" spans="1:141" s="116" customFormat="1">
      <c r="A897" s="136"/>
      <c r="CM897" s="111"/>
      <c r="CQ897" s="111"/>
      <c r="EF897"/>
      <c r="EG897"/>
      <c r="EH897"/>
      <c r="EI897"/>
      <c r="EJ897"/>
      <c r="EK897"/>
    </row>
    <row r="898" spans="1:141" s="116" customFormat="1">
      <c r="A898" s="136"/>
      <c r="CM898" s="111"/>
      <c r="CQ898" s="111"/>
      <c r="EF898"/>
      <c r="EG898"/>
      <c r="EH898"/>
      <c r="EI898"/>
      <c r="EJ898"/>
      <c r="EK898"/>
    </row>
    <row r="899" spans="1:141" s="116" customFormat="1">
      <c r="A899" s="136"/>
      <c r="CM899" s="111"/>
      <c r="CQ899" s="111"/>
      <c r="EF899"/>
      <c r="EG899"/>
      <c r="EH899"/>
      <c r="EI899"/>
      <c r="EJ899"/>
      <c r="EK899"/>
    </row>
    <row r="900" spans="1:141" s="116" customFormat="1">
      <c r="A900" s="136"/>
      <c r="CM900" s="111"/>
      <c r="CQ900" s="111"/>
      <c r="EF900"/>
      <c r="EG900"/>
      <c r="EH900"/>
      <c r="EI900"/>
      <c r="EJ900"/>
      <c r="EK900"/>
    </row>
    <row r="901" spans="1:141" s="116" customFormat="1">
      <c r="A901" s="136"/>
      <c r="CM901" s="111"/>
      <c r="CQ901" s="111"/>
      <c r="EF901"/>
      <c r="EG901"/>
      <c r="EH901"/>
      <c r="EI901"/>
      <c r="EJ901"/>
      <c r="EK901"/>
    </row>
    <row r="902" spans="1:141" s="116" customFormat="1">
      <c r="A902" s="136"/>
      <c r="CM902" s="111"/>
      <c r="CQ902" s="111"/>
      <c r="EF902"/>
      <c r="EG902"/>
      <c r="EH902"/>
      <c r="EI902"/>
      <c r="EJ902"/>
      <c r="EK902"/>
    </row>
    <row r="903" spans="1:141" s="116" customFormat="1">
      <c r="A903" s="136"/>
      <c r="CM903" s="111"/>
      <c r="CQ903" s="111"/>
      <c r="EF903"/>
      <c r="EG903"/>
      <c r="EH903"/>
      <c r="EI903"/>
      <c r="EJ903"/>
      <c r="EK903"/>
    </row>
    <row r="904" spans="1:141" s="116" customFormat="1">
      <c r="A904" s="136"/>
      <c r="CM904" s="111"/>
      <c r="CQ904" s="111"/>
      <c r="EF904"/>
      <c r="EG904"/>
      <c r="EH904"/>
      <c r="EI904"/>
      <c r="EJ904"/>
      <c r="EK904"/>
    </row>
    <row r="905" spans="1:141" s="116" customFormat="1">
      <c r="A905" s="136"/>
      <c r="CM905" s="111"/>
      <c r="CQ905" s="111"/>
      <c r="EF905"/>
      <c r="EG905"/>
      <c r="EH905"/>
      <c r="EI905"/>
      <c r="EJ905"/>
      <c r="EK905"/>
    </row>
    <row r="906" spans="1:141" s="116" customFormat="1">
      <c r="A906" s="136"/>
      <c r="CM906" s="111"/>
      <c r="CQ906" s="111"/>
      <c r="EF906"/>
      <c r="EG906"/>
      <c r="EH906"/>
      <c r="EI906"/>
      <c r="EJ906"/>
      <c r="EK906"/>
    </row>
    <row r="907" spans="1:141" s="116" customFormat="1">
      <c r="A907" s="136"/>
      <c r="CM907" s="111"/>
      <c r="CQ907" s="111"/>
      <c r="EF907"/>
      <c r="EG907"/>
      <c r="EH907"/>
      <c r="EI907"/>
      <c r="EJ907"/>
      <c r="EK907"/>
    </row>
    <row r="908" spans="1:141" s="116" customFormat="1">
      <c r="A908" s="136"/>
      <c r="CM908" s="111"/>
      <c r="CQ908" s="111"/>
      <c r="EF908"/>
      <c r="EG908"/>
      <c r="EH908"/>
      <c r="EI908"/>
      <c r="EJ908"/>
      <c r="EK908"/>
    </row>
    <row r="909" spans="1:141" s="116" customFormat="1">
      <c r="A909" s="136"/>
      <c r="CM909" s="111"/>
      <c r="CQ909" s="111"/>
      <c r="EF909"/>
      <c r="EG909"/>
      <c r="EH909"/>
      <c r="EI909"/>
      <c r="EJ909"/>
      <c r="EK909"/>
    </row>
    <row r="910" spans="1:141" s="116" customFormat="1">
      <c r="A910" s="136"/>
      <c r="CM910" s="111"/>
      <c r="CQ910" s="111"/>
      <c r="EF910"/>
      <c r="EG910"/>
      <c r="EH910"/>
      <c r="EI910"/>
      <c r="EJ910"/>
      <c r="EK910"/>
    </row>
    <row r="911" spans="1:141" s="116" customFormat="1">
      <c r="A911" s="136"/>
      <c r="CM911" s="111"/>
      <c r="CQ911" s="111"/>
      <c r="EF911"/>
      <c r="EG911"/>
      <c r="EH911"/>
      <c r="EI911"/>
      <c r="EJ911"/>
      <c r="EK911"/>
    </row>
    <row r="912" spans="1:141" s="116" customFormat="1">
      <c r="A912" s="136"/>
      <c r="CM912" s="111"/>
      <c r="CQ912" s="111"/>
      <c r="EF912"/>
      <c r="EG912"/>
      <c r="EH912"/>
      <c r="EI912"/>
      <c r="EJ912"/>
      <c r="EK912"/>
    </row>
    <row r="913" spans="1:141" s="116" customFormat="1">
      <c r="A913" s="136"/>
      <c r="CM913" s="111"/>
      <c r="CQ913" s="111"/>
      <c r="EF913"/>
      <c r="EG913"/>
      <c r="EH913"/>
      <c r="EI913"/>
      <c r="EJ913"/>
      <c r="EK913"/>
    </row>
    <row r="914" spans="1:141" s="116" customFormat="1">
      <c r="A914" s="136"/>
      <c r="CM914" s="111"/>
      <c r="CQ914" s="111"/>
      <c r="EF914"/>
      <c r="EG914"/>
      <c r="EH914"/>
      <c r="EI914"/>
      <c r="EJ914"/>
      <c r="EK914"/>
    </row>
    <row r="915" spans="1:141" s="116" customFormat="1">
      <c r="A915" s="136"/>
      <c r="CM915" s="111"/>
      <c r="CQ915" s="111"/>
      <c r="EF915"/>
      <c r="EG915"/>
      <c r="EH915"/>
      <c r="EI915"/>
      <c r="EJ915"/>
      <c r="EK915"/>
    </row>
    <row r="916" spans="1:141" s="116" customFormat="1">
      <c r="A916" s="136"/>
      <c r="CM916" s="111"/>
      <c r="CQ916" s="111"/>
      <c r="EF916"/>
      <c r="EG916"/>
      <c r="EH916"/>
      <c r="EI916"/>
      <c r="EJ916"/>
      <c r="EK916"/>
    </row>
    <row r="917" spans="1:141" s="116" customFormat="1">
      <c r="A917" s="136"/>
      <c r="CM917" s="111"/>
      <c r="CQ917" s="111"/>
      <c r="EF917"/>
      <c r="EG917"/>
      <c r="EH917"/>
      <c r="EI917"/>
      <c r="EJ917"/>
      <c r="EK917"/>
    </row>
    <row r="918" spans="1:141" s="116" customFormat="1">
      <c r="A918" s="136"/>
      <c r="CM918" s="111"/>
      <c r="CQ918" s="111"/>
      <c r="EF918"/>
      <c r="EG918"/>
      <c r="EH918"/>
      <c r="EI918"/>
      <c r="EJ918"/>
      <c r="EK918"/>
    </row>
    <row r="919" spans="1:141" s="116" customFormat="1">
      <c r="A919" s="136"/>
      <c r="CM919" s="111"/>
      <c r="CQ919" s="111"/>
      <c r="EF919"/>
      <c r="EG919"/>
      <c r="EH919"/>
      <c r="EI919"/>
      <c r="EJ919"/>
      <c r="EK919"/>
    </row>
    <row r="920" spans="1:141" s="116" customFormat="1">
      <c r="A920" s="136"/>
      <c r="CM920" s="111"/>
      <c r="CQ920" s="111"/>
      <c r="EF920"/>
      <c r="EG920"/>
      <c r="EH920"/>
      <c r="EI920"/>
      <c r="EJ920"/>
      <c r="EK920"/>
    </row>
    <row r="921" spans="1:141" s="116" customFormat="1">
      <c r="A921" s="136"/>
      <c r="CM921" s="111"/>
      <c r="CQ921" s="111"/>
      <c r="EF921"/>
      <c r="EG921"/>
      <c r="EH921"/>
      <c r="EI921"/>
      <c r="EJ921"/>
      <c r="EK921"/>
    </row>
    <row r="922" spans="1:141" s="116" customFormat="1">
      <c r="A922" s="136"/>
      <c r="CM922" s="111"/>
      <c r="CQ922" s="111"/>
      <c r="EF922"/>
      <c r="EG922"/>
      <c r="EH922"/>
      <c r="EI922"/>
      <c r="EJ922"/>
      <c r="EK922"/>
    </row>
    <row r="923" spans="1:141" s="116" customFormat="1">
      <c r="A923" s="136"/>
      <c r="CM923" s="111"/>
      <c r="CQ923" s="111"/>
      <c r="EF923"/>
      <c r="EG923"/>
      <c r="EH923"/>
      <c r="EI923"/>
      <c r="EJ923"/>
      <c r="EK923"/>
    </row>
    <row r="924" spans="1:141" s="116" customFormat="1">
      <c r="A924" s="136"/>
      <c r="CM924" s="111"/>
      <c r="CQ924" s="111"/>
      <c r="EF924"/>
      <c r="EG924"/>
      <c r="EH924"/>
      <c r="EI924"/>
      <c r="EJ924"/>
      <c r="EK924"/>
    </row>
    <row r="925" spans="1:141" s="116" customFormat="1">
      <c r="A925" s="136"/>
      <c r="CM925" s="111"/>
      <c r="CQ925" s="111"/>
      <c r="EF925"/>
      <c r="EG925"/>
      <c r="EH925"/>
      <c r="EI925"/>
      <c r="EJ925"/>
      <c r="EK925"/>
    </row>
    <row r="926" spans="1:141" s="116" customFormat="1">
      <c r="A926" s="136"/>
      <c r="CM926" s="111"/>
      <c r="CQ926" s="111"/>
      <c r="EF926"/>
      <c r="EG926"/>
      <c r="EH926"/>
      <c r="EI926"/>
      <c r="EJ926"/>
      <c r="EK926"/>
    </row>
    <row r="927" spans="1:141" s="116" customFormat="1">
      <c r="A927" s="136"/>
      <c r="CM927" s="111"/>
      <c r="CQ927" s="111"/>
      <c r="EF927"/>
      <c r="EG927"/>
      <c r="EH927"/>
      <c r="EI927"/>
      <c r="EJ927"/>
      <c r="EK927"/>
    </row>
    <row r="928" spans="1:141" s="116" customFormat="1">
      <c r="A928" s="136"/>
      <c r="CM928" s="111"/>
      <c r="CQ928" s="111"/>
      <c r="EF928"/>
      <c r="EG928"/>
      <c r="EH928"/>
      <c r="EI928"/>
      <c r="EJ928"/>
      <c r="EK928"/>
    </row>
    <row r="929" spans="1:141" s="116" customFormat="1">
      <c r="A929" s="136"/>
      <c r="CM929" s="111"/>
      <c r="CQ929" s="111"/>
      <c r="EF929"/>
      <c r="EG929"/>
      <c r="EH929"/>
      <c r="EI929"/>
      <c r="EJ929"/>
      <c r="EK929"/>
    </row>
    <row r="930" spans="1:141" s="116" customFormat="1">
      <c r="A930" s="136"/>
      <c r="CM930" s="111"/>
      <c r="CQ930" s="111"/>
      <c r="EF930"/>
      <c r="EG930"/>
      <c r="EH930"/>
      <c r="EI930"/>
      <c r="EJ930"/>
      <c r="EK930"/>
    </row>
    <row r="931" spans="1:141" s="116" customFormat="1">
      <c r="A931" s="136"/>
      <c r="CM931" s="111"/>
      <c r="CQ931" s="111"/>
      <c r="EF931"/>
      <c r="EG931"/>
      <c r="EH931"/>
      <c r="EI931"/>
      <c r="EJ931"/>
      <c r="EK931"/>
    </row>
    <row r="932" spans="1:141" s="116" customFormat="1">
      <c r="A932" s="136"/>
      <c r="CM932" s="111"/>
      <c r="CQ932" s="111"/>
      <c r="EF932"/>
      <c r="EG932"/>
      <c r="EH932"/>
      <c r="EI932"/>
      <c r="EJ932"/>
      <c r="EK932"/>
    </row>
    <row r="933" spans="1:141" s="116" customFormat="1">
      <c r="A933" s="136"/>
      <c r="CM933" s="111"/>
      <c r="CQ933" s="111"/>
      <c r="EF933"/>
      <c r="EG933"/>
      <c r="EH933"/>
      <c r="EI933"/>
      <c r="EJ933"/>
      <c r="EK933"/>
    </row>
    <row r="934" spans="1:141" s="116" customFormat="1">
      <c r="A934" s="136"/>
      <c r="CM934" s="111"/>
      <c r="CQ934" s="111"/>
      <c r="EF934"/>
      <c r="EG934"/>
      <c r="EH934"/>
      <c r="EI934"/>
      <c r="EJ934"/>
      <c r="EK934"/>
    </row>
    <row r="935" spans="1:141" s="116" customFormat="1">
      <c r="A935" s="136"/>
      <c r="CM935" s="111"/>
      <c r="CQ935" s="111"/>
      <c r="EF935"/>
      <c r="EG935"/>
      <c r="EH935"/>
      <c r="EI935"/>
      <c r="EJ935"/>
      <c r="EK935"/>
    </row>
    <row r="936" spans="1:141" s="116" customFormat="1">
      <c r="A936" s="136"/>
      <c r="CM936" s="111"/>
      <c r="CQ936" s="111"/>
      <c r="EF936"/>
      <c r="EG936"/>
      <c r="EH936"/>
      <c r="EI936"/>
      <c r="EJ936"/>
      <c r="EK936"/>
    </row>
    <row r="937" spans="1:141" s="116" customFormat="1">
      <c r="A937" s="136"/>
      <c r="CM937" s="111"/>
      <c r="CQ937" s="111"/>
      <c r="EF937"/>
      <c r="EG937"/>
      <c r="EH937"/>
      <c r="EI937"/>
      <c r="EJ937"/>
      <c r="EK937"/>
    </row>
    <row r="938" spans="1:141" s="116" customFormat="1">
      <c r="A938" s="136"/>
      <c r="CM938" s="111"/>
      <c r="CQ938" s="111"/>
      <c r="EF938"/>
      <c r="EG938"/>
      <c r="EH938"/>
      <c r="EI938"/>
      <c r="EJ938"/>
      <c r="EK938"/>
    </row>
    <row r="939" spans="1:141" s="116" customFormat="1">
      <c r="A939" s="136"/>
      <c r="CM939" s="111"/>
      <c r="CQ939" s="111"/>
      <c r="EF939"/>
      <c r="EG939"/>
      <c r="EH939"/>
      <c r="EI939"/>
      <c r="EJ939"/>
      <c r="EK939"/>
    </row>
    <row r="940" spans="1:141" s="116" customFormat="1">
      <c r="A940" s="136"/>
      <c r="CM940" s="111"/>
      <c r="CQ940" s="111"/>
      <c r="EF940"/>
      <c r="EG940"/>
      <c r="EH940"/>
      <c r="EI940"/>
      <c r="EJ940"/>
      <c r="EK940"/>
    </row>
    <row r="941" spans="1:141" s="116" customFormat="1">
      <c r="A941" s="136"/>
      <c r="CM941" s="111"/>
      <c r="CQ941" s="111"/>
      <c r="EF941"/>
      <c r="EG941"/>
      <c r="EH941"/>
      <c r="EI941"/>
      <c r="EJ941"/>
      <c r="EK941"/>
    </row>
    <row r="942" spans="1:141" s="116" customFormat="1">
      <c r="A942" s="136"/>
      <c r="CM942" s="111"/>
      <c r="CQ942" s="111"/>
      <c r="EF942"/>
      <c r="EG942"/>
      <c r="EH942"/>
      <c r="EI942"/>
      <c r="EJ942"/>
      <c r="EK942"/>
    </row>
    <row r="943" spans="1:141" s="116" customFormat="1">
      <c r="A943" s="136"/>
      <c r="CM943" s="111"/>
      <c r="CQ943" s="111"/>
      <c r="EF943"/>
      <c r="EG943"/>
      <c r="EH943"/>
      <c r="EI943"/>
      <c r="EJ943"/>
      <c r="EK943"/>
    </row>
    <row r="944" spans="1:141" s="116" customFormat="1">
      <c r="A944" s="136"/>
      <c r="CM944" s="111"/>
      <c r="CQ944" s="111"/>
      <c r="EF944"/>
      <c r="EG944"/>
      <c r="EH944"/>
      <c r="EI944"/>
      <c r="EJ944"/>
      <c r="EK944"/>
    </row>
    <row r="945" spans="1:141" s="116" customFormat="1">
      <c r="A945" s="136"/>
      <c r="CM945" s="111"/>
      <c r="CQ945" s="111"/>
      <c r="EF945"/>
      <c r="EG945"/>
      <c r="EH945"/>
      <c r="EI945"/>
      <c r="EJ945"/>
      <c r="EK945"/>
    </row>
    <row r="946" spans="1:141" s="116" customFormat="1">
      <c r="A946" s="136"/>
      <c r="CM946" s="111"/>
      <c r="CQ946" s="111"/>
      <c r="EF946"/>
      <c r="EG946"/>
      <c r="EH946"/>
      <c r="EI946"/>
      <c r="EJ946"/>
      <c r="EK946"/>
    </row>
    <row r="947" spans="1:141" s="116" customFormat="1">
      <c r="A947" s="136"/>
      <c r="CM947" s="111"/>
      <c r="CQ947" s="111"/>
      <c r="EF947"/>
      <c r="EG947"/>
      <c r="EH947"/>
      <c r="EI947"/>
      <c r="EJ947"/>
      <c r="EK947"/>
    </row>
    <row r="948" spans="1:141" s="116" customFormat="1">
      <c r="A948" s="136"/>
      <c r="CM948" s="111"/>
      <c r="CQ948" s="111"/>
      <c r="EF948"/>
      <c r="EG948"/>
      <c r="EH948"/>
      <c r="EI948"/>
      <c r="EJ948"/>
      <c r="EK948"/>
    </row>
    <row r="949" spans="1:141" s="116" customFormat="1">
      <c r="A949" s="136"/>
      <c r="CM949" s="111"/>
      <c r="CQ949" s="111"/>
      <c r="EF949"/>
      <c r="EG949"/>
      <c r="EH949"/>
      <c r="EI949"/>
      <c r="EJ949"/>
      <c r="EK949"/>
    </row>
    <row r="950" spans="1:141" s="116" customFormat="1">
      <c r="A950" s="136"/>
      <c r="CM950" s="111"/>
      <c r="CQ950" s="111"/>
      <c r="EF950"/>
      <c r="EG950"/>
      <c r="EH950"/>
      <c r="EI950"/>
      <c r="EJ950"/>
      <c r="EK950"/>
    </row>
    <row r="951" spans="1:141" s="116" customFormat="1">
      <c r="A951" s="136"/>
      <c r="CM951" s="111"/>
      <c r="CQ951" s="111"/>
      <c r="EF951"/>
      <c r="EG951"/>
      <c r="EH951"/>
      <c r="EI951"/>
      <c r="EJ951"/>
      <c r="EK951"/>
    </row>
    <row r="952" spans="1:141" s="116" customFormat="1">
      <c r="A952" s="136"/>
      <c r="CM952" s="111"/>
      <c r="CQ952" s="111"/>
      <c r="EF952"/>
      <c r="EG952"/>
      <c r="EH952"/>
      <c r="EI952"/>
      <c r="EJ952"/>
      <c r="EK952"/>
    </row>
    <row r="953" spans="1:141" s="116" customFormat="1">
      <c r="A953" s="136"/>
      <c r="CM953" s="111"/>
      <c r="CQ953" s="111"/>
      <c r="EF953"/>
      <c r="EG953"/>
      <c r="EH953"/>
      <c r="EI953"/>
      <c r="EJ953"/>
      <c r="EK953"/>
    </row>
    <row r="954" spans="1:141" s="116" customFormat="1">
      <c r="A954" s="136"/>
      <c r="CM954" s="111"/>
      <c r="CQ954" s="111"/>
      <c r="EF954"/>
      <c r="EG954"/>
      <c r="EH954"/>
      <c r="EI954"/>
      <c r="EJ954"/>
      <c r="EK954"/>
    </row>
    <row r="955" spans="1:141" s="116" customFormat="1">
      <c r="A955" s="136"/>
      <c r="CM955" s="111"/>
      <c r="CQ955" s="111"/>
      <c r="EF955"/>
      <c r="EG955"/>
      <c r="EH955"/>
      <c r="EI955"/>
      <c r="EJ955"/>
      <c r="EK955"/>
    </row>
    <row r="956" spans="1:141" s="116" customFormat="1">
      <c r="A956" s="136"/>
      <c r="CM956" s="111"/>
      <c r="CQ956" s="111"/>
      <c r="EF956"/>
      <c r="EG956"/>
      <c r="EH956"/>
      <c r="EI956"/>
      <c r="EJ956"/>
      <c r="EK956"/>
    </row>
    <row r="957" spans="1:141" s="116" customFormat="1">
      <c r="A957" s="136"/>
      <c r="CM957" s="111"/>
      <c r="CQ957" s="111"/>
      <c r="EF957"/>
      <c r="EG957"/>
      <c r="EH957"/>
      <c r="EI957"/>
      <c r="EJ957"/>
      <c r="EK957"/>
    </row>
    <row r="958" spans="1:141" s="116" customFormat="1">
      <c r="A958" s="136"/>
      <c r="CM958" s="111"/>
      <c r="CQ958" s="111"/>
      <c r="EF958"/>
      <c r="EG958"/>
      <c r="EH958"/>
      <c r="EI958"/>
      <c r="EJ958"/>
      <c r="EK958"/>
    </row>
    <row r="959" spans="1:141" s="116" customFormat="1">
      <c r="A959" s="136"/>
      <c r="CM959" s="111"/>
      <c r="CQ959" s="111"/>
      <c r="EF959"/>
      <c r="EG959"/>
      <c r="EH959"/>
      <c r="EI959"/>
      <c r="EJ959"/>
      <c r="EK959"/>
    </row>
    <row r="960" spans="1:141" s="116" customFormat="1">
      <c r="A960" s="136"/>
      <c r="CM960" s="111"/>
      <c r="CQ960" s="111"/>
      <c r="EF960"/>
      <c r="EG960"/>
      <c r="EH960"/>
      <c r="EI960"/>
      <c r="EJ960"/>
      <c r="EK960"/>
    </row>
    <row r="961" spans="1:141" s="116" customFormat="1">
      <c r="A961" s="136"/>
      <c r="CM961" s="111"/>
      <c r="CQ961" s="111"/>
      <c r="EF961"/>
      <c r="EG961"/>
      <c r="EH961"/>
      <c r="EI961"/>
      <c r="EJ961"/>
      <c r="EK961"/>
    </row>
    <row r="962" spans="1:141" s="116" customFormat="1">
      <c r="A962" s="136"/>
      <c r="CM962" s="111"/>
      <c r="CQ962" s="111"/>
      <c r="EF962"/>
      <c r="EG962"/>
      <c r="EH962"/>
      <c r="EI962"/>
      <c r="EJ962"/>
      <c r="EK962"/>
    </row>
    <row r="963" spans="1:141" s="116" customFormat="1">
      <c r="A963" s="136"/>
      <c r="CM963" s="111"/>
      <c r="CQ963" s="111"/>
      <c r="EF963"/>
      <c r="EG963"/>
      <c r="EH963"/>
      <c r="EI963"/>
      <c r="EJ963"/>
      <c r="EK963"/>
    </row>
    <row r="964" spans="1:141" s="116" customFormat="1">
      <c r="A964" s="136"/>
      <c r="CM964" s="111"/>
      <c r="CQ964" s="111"/>
      <c r="EF964"/>
      <c r="EG964"/>
      <c r="EH964"/>
      <c r="EI964"/>
      <c r="EJ964"/>
      <c r="EK964"/>
    </row>
    <row r="965" spans="1:141" s="116" customFormat="1">
      <c r="A965" s="136"/>
      <c r="CM965" s="111"/>
      <c r="CQ965" s="111"/>
      <c r="EF965"/>
      <c r="EG965"/>
      <c r="EH965"/>
      <c r="EI965"/>
      <c r="EJ965"/>
      <c r="EK965"/>
    </row>
    <row r="966" spans="1:141" s="116" customFormat="1">
      <c r="A966" s="136"/>
      <c r="CM966" s="111"/>
      <c r="CQ966" s="111"/>
      <c r="EF966"/>
      <c r="EG966"/>
      <c r="EH966"/>
      <c r="EI966"/>
      <c r="EJ966"/>
      <c r="EK966"/>
    </row>
    <row r="967" spans="1:141" s="116" customFormat="1">
      <c r="A967" s="136"/>
      <c r="CM967" s="111"/>
      <c r="CQ967" s="111"/>
      <c r="EF967"/>
      <c r="EG967"/>
      <c r="EH967"/>
      <c r="EI967"/>
      <c r="EJ967"/>
      <c r="EK967"/>
    </row>
    <row r="968" spans="1:141" s="116" customFormat="1">
      <c r="A968" s="136"/>
      <c r="CM968" s="111"/>
      <c r="CQ968" s="111"/>
      <c r="EF968"/>
      <c r="EG968"/>
      <c r="EH968"/>
      <c r="EI968"/>
      <c r="EJ968"/>
      <c r="EK968"/>
    </row>
    <row r="969" spans="1:141" s="116" customFormat="1">
      <c r="A969" s="136"/>
      <c r="CM969" s="111"/>
      <c r="CQ969" s="111"/>
      <c r="EF969"/>
      <c r="EG969"/>
      <c r="EH969"/>
      <c r="EI969"/>
      <c r="EJ969"/>
      <c r="EK969"/>
    </row>
    <row r="970" spans="1:141" s="116" customFormat="1">
      <c r="A970" s="136"/>
      <c r="CM970" s="111"/>
      <c r="CQ970" s="111"/>
      <c r="EF970"/>
      <c r="EG970"/>
      <c r="EH970"/>
      <c r="EI970"/>
      <c r="EJ970"/>
      <c r="EK970"/>
    </row>
    <row r="971" spans="1:141" s="116" customFormat="1">
      <c r="A971" s="136"/>
      <c r="CM971" s="111"/>
      <c r="CQ971" s="111"/>
      <c r="EF971"/>
      <c r="EG971"/>
      <c r="EH971"/>
      <c r="EI971"/>
      <c r="EJ971"/>
      <c r="EK971"/>
    </row>
    <row r="972" spans="1:141" s="116" customFormat="1">
      <c r="A972" s="136"/>
      <c r="CM972" s="111"/>
      <c r="CQ972" s="111"/>
      <c r="EF972"/>
      <c r="EG972"/>
      <c r="EH972"/>
      <c r="EI972"/>
      <c r="EJ972"/>
      <c r="EK972"/>
    </row>
    <row r="973" spans="1:141" s="116" customFormat="1">
      <c r="A973" s="136"/>
      <c r="CM973" s="111"/>
      <c r="CQ973" s="111"/>
      <c r="EF973"/>
      <c r="EG973"/>
      <c r="EH973"/>
      <c r="EI973"/>
      <c r="EJ973"/>
      <c r="EK973"/>
    </row>
    <row r="974" spans="1:141" s="116" customFormat="1">
      <c r="A974" s="136"/>
      <c r="CM974" s="111"/>
      <c r="CQ974" s="111"/>
      <c r="EF974"/>
      <c r="EG974"/>
      <c r="EH974"/>
      <c r="EI974"/>
      <c r="EJ974"/>
      <c r="EK974"/>
    </row>
    <row r="975" spans="1:141" s="116" customFormat="1">
      <c r="A975" s="136"/>
      <c r="CM975" s="111"/>
      <c r="CQ975" s="111"/>
      <c r="EF975"/>
      <c r="EG975"/>
      <c r="EH975"/>
      <c r="EI975"/>
      <c r="EJ975"/>
      <c r="EK975"/>
    </row>
    <row r="976" spans="1:141" s="116" customFormat="1">
      <c r="A976" s="136"/>
      <c r="CM976" s="111"/>
      <c r="CQ976" s="111"/>
      <c r="EF976"/>
      <c r="EG976"/>
      <c r="EH976"/>
      <c r="EI976"/>
      <c r="EJ976"/>
      <c r="EK976"/>
    </row>
    <row r="977" spans="1:141" s="116" customFormat="1">
      <c r="A977" s="136"/>
      <c r="CM977" s="111"/>
      <c r="CQ977" s="111"/>
      <c r="EF977"/>
      <c r="EG977"/>
      <c r="EH977"/>
      <c r="EI977"/>
      <c r="EJ977"/>
      <c r="EK977"/>
    </row>
    <row r="978" spans="1:141" s="116" customFormat="1">
      <c r="A978" s="136"/>
      <c r="CM978" s="111"/>
      <c r="CQ978" s="111"/>
      <c r="EF978"/>
      <c r="EG978"/>
      <c r="EH978"/>
      <c r="EI978"/>
      <c r="EJ978"/>
      <c r="EK978"/>
    </row>
    <row r="979" spans="1:141" s="116" customFormat="1">
      <c r="A979" s="136"/>
      <c r="CM979" s="111"/>
      <c r="CQ979" s="111"/>
      <c r="EF979"/>
      <c r="EG979"/>
      <c r="EH979"/>
      <c r="EI979"/>
      <c r="EJ979"/>
      <c r="EK979"/>
    </row>
    <row r="980" spans="1:141" s="116" customFormat="1">
      <c r="A980" s="136"/>
      <c r="CM980" s="111"/>
      <c r="CQ980" s="111"/>
      <c r="EF980"/>
      <c r="EG980"/>
      <c r="EH980"/>
      <c r="EI980"/>
      <c r="EJ980"/>
      <c r="EK980"/>
    </row>
    <row r="981" spans="1:141" s="116" customFormat="1">
      <c r="A981" s="136"/>
      <c r="CM981" s="111"/>
      <c r="CQ981" s="111"/>
      <c r="EF981"/>
      <c r="EG981"/>
      <c r="EH981"/>
      <c r="EI981"/>
      <c r="EJ981"/>
      <c r="EK981"/>
    </row>
    <row r="982" spans="1:141" s="116" customFormat="1">
      <c r="A982" s="136"/>
      <c r="CM982" s="111"/>
      <c r="CQ982" s="111"/>
      <c r="EF982"/>
      <c r="EG982"/>
      <c r="EH982"/>
      <c r="EI982"/>
      <c r="EJ982"/>
      <c r="EK982"/>
    </row>
    <row r="983" spans="1:141" s="116" customFormat="1">
      <c r="A983" s="136"/>
      <c r="CM983" s="111"/>
      <c r="CQ983" s="111"/>
      <c r="EF983"/>
      <c r="EG983"/>
      <c r="EH983"/>
      <c r="EI983"/>
      <c r="EJ983"/>
      <c r="EK983"/>
    </row>
    <row r="984" spans="1:141" s="116" customFormat="1">
      <c r="A984" s="136"/>
      <c r="CM984" s="111"/>
      <c r="CQ984" s="111"/>
      <c r="EF984"/>
      <c r="EG984"/>
      <c r="EH984"/>
      <c r="EI984"/>
      <c r="EJ984"/>
      <c r="EK984"/>
    </row>
    <row r="985" spans="1:141" s="116" customFormat="1">
      <c r="A985" s="136"/>
      <c r="CM985" s="111"/>
      <c r="CQ985" s="111"/>
      <c r="EF985"/>
      <c r="EG985"/>
      <c r="EH985"/>
      <c r="EI985"/>
      <c r="EJ985"/>
      <c r="EK985"/>
    </row>
    <row r="986" spans="1:141" s="116" customFormat="1">
      <c r="A986" s="136"/>
      <c r="CM986" s="111"/>
      <c r="CQ986" s="111"/>
      <c r="EF986"/>
      <c r="EG986"/>
      <c r="EH986"/>
      <c r="EI986"/>
      <c r="EJ986"/>
      <c r="EK986"/>
    </row>
    <row r="987" spans="1:141" s="116" customFormat="1">
      <c r="A987" s="136"/>
      <c r="CM987" s="111"/>
      <c r="CQ987" s="111"/>
      <c r="EF987"/>
      <c r="EG987"/>
      <c r="EH987"/>
      <c r="EI987"/>
      <c r="EJ987"/>
      <c r="EK987"/>
    </row>
    <row r="988" spans="1:141" s="116" customFormat="1">
      <c r="A988" s="136"/>
      <c r="CM988" s="111"/>
      <c r="CQ988" s="111"/>
      <c r="EF988"/>
      <c r="EG988"/>
      <c r="EH988"/>
      <c r="EI988"/>
      <c r="EJ988"/>
      <c r="EK988"/>
    </row>
    <row r="989" spans="1:141" s="116" customFormat="1">
      <c r="A989" s="136"/>
      <c r="CM989" s="111"/>
      <c r="CQ989" s="111"/>
      <c r="EF989"/>
      <c r="EG989"/>
      <c r="EH989"/>
      <c r="EI989"/>
      <c r="EJ989"/>
      <c r="EK989"/>
    </row>
    <row r="990" spans="1:141" s="116" customFormat="1">
      <c r="A990" s="136"/>
      <c r="CM990" s="111"/>
      <c r="CQ990" s="111"/>
      <c r="EF990"/>
      <c r="EG990"/>
      <c r="EH990"/>
      <c r="EI990"/>
      <c r="EJ990"/>
      <c r="EK990"/>
    </row>
    <row r="991" spans="1:141" s="116" customFormat="1">
      <c r="A991" s="136"/>
      <c r="CM991" s="111"/>
      <c r="CQ991" s="111"/>
      <c r="EF991"/>
      <c r="EG991"/>
      <c r="EH991"/>
      <c r="EI991"/>
      <c r="EJ991"/>
      <c r="EK991"/>
    </row>
    <row r="992" spans="1:141" s="116" customFormat="1">
      <c r="A992" s="136"/>
      <c r="CM992" s="111"/>
      <c r="CQ992" s="111"/>
      <c r="EF992"/>
      <c r="EG992"/>
      <c r="EH992"/>
      <c r="EI992"/>
      <c r="EJ992"/>
      <c r="EK992"/>
    </row>
    <row r="993" spans="1:141" s="116" customFormat="1">
      <c r="A993" s="136"/>
      <c r="CM993" s="111"/>
      <c r="CQ993" s="111"/>
      <c r="EF993"/>
      <c r="EG993"/>
      <c r="EH993"/>
      <c r="EI993"/>
      <c r="EJ993"/>
      <c r="EK993"/>
    </row>
    <row r="994" spans="1:141" s="116" customFormat="1">
      <c r="A994" s="136"/>
      <c r="CM994" s="111"/>
      <c r="CQ994" s="111"/>
      <c r="EF994"/>
      <c r="EG994"/>
      <c r="EH994"/>
      <c r="EI994"/>
      <c r="EJ994"/>
      <c r="EK994"/>
    </row>
    <row r="995" spans="1:141" s="116" customFormat="1">
      <c r="A995" s="136"/>
      <c r="CM995" s="111"/>
      <c r="CQ995" s="111"/>
      <c r="EF995"/>
      <c r="EG995"/>
      <c r="EH995"/>
      <c r="EI995"/>
      <c r="EJ995"/>
      <c r="EK995"/>
    </row>
    <row r="996" spans="1:141" s="116" customFormat="1">
      <c r="A996" s="136"/>
      <c r="CM996" s="111"/>
      <c r="CQ996" s="111"/>
      <c r="EF996"/>
      <c r="EG996"/>
      <c r="EH996"/>
      <c r="EI996"/>
      <c r="EJ996"/>
      <c r="EK996"/>
    </row>
    <row r="997" spans="1:141" s="116" customFormat="1">
      <c r="A997" s="136"/>
      <c r="CM997" s="111"/>
      <c r="CQ997" s="111"/>
      <c r="EF997"/>
      <c r="EG997"/>
      <c r="EH997"/>
      <c r="EI997"/>
      <c r="EJ997"/>
      <c r="EK997"/>
    </row>
    <row r="998" spans="1:141" s="116" customFormat="1">
      <c r="A998" s="136"/>
      <c r="CM998" s="111"/>
      <c r="CQ998" s="111"/>
      <c r="EF998"/>
      <c r="EG998"/>
      <c r="EH998"/>
      <c r="EI998"/>
      <c r="EJ998"/>
      <c r="EK998"/>
    </row>
    <row r="999" spans="1:141" s="116" customFormat="1">
      <c r="A999" s="136"/>
      <c r="CM999" s="111"/>
      <c r="CQ999" s="111"/>
      <c r="EF999"/>
      <c r="EG999"/>
      <c r="EH999"/>
      <c r="EI999"/>
      <c r="EJ999"/>
      <c r="EK999"/>
    </row>
    <row r="1000" spans="1:141" s="116" customFormat="1">
      <c r="A1000" s="136"/>
      <c r="CM1000" s="111"/>
      <c r="CQ1000" s="111"/>
      <c r="EF1000"/>
      <c r="EG1000"/>
      <c r="EH1000"/>
      <c r="EI1000"/>
      <c r="EJ1000"/>
      <c r="EK1000"/>
    </row>
    <row r="1001" spans="1:141" s="116" customFormat="1">
      <c r="A1001" s="136"/>
      <c r="CM1001" s="111"/>
      <c r="CQ1001" s="111"/>
      <c r="EF1001"/>
      <c r="EG1001"/>
      <c r="EH1001"/>
      <c r="EI1001"/>
      <c r="EJ1001"/>
      <c r="EK1001"/>
    </row>
    <row r="1002" spans="1:141" s="116" customFormat="1">
      <c r="A1002" s="136"/>
      <c r="CM1002" s="111"/>
      <c r="CQ1002" s="111"/>
      <c r="EF1002"/>
      <c r="EG1002"/>
      <c r="EH1002"/>
      <c r="EI1002"/>
      <c r="EJ1002"/>
      <c r="EK1002"/>
    </row>
    <row r="1003" spans="1:141" s="116" customFormat="1">
      <c r="A1003" s="136"/>
      <c r="CM1003" s="111"/>
      <c r="CQ1003" s="111"/>
      <c r="EF1003"/>
      <c r="EG1003"/>
      <c r="EH1003"/>
      <c r="EI1003"/>
      <c r="EJ1003"/>
      <c r="EK1003"/>
    </row>
    <row r="1004" spans="1:141" s="116" customFormat="1">
      <c r="A1004" s="136"/>
      <c r="CM1004" s="111"/>
      <c r="CQ1004" s="111"/>
      <c r="EF1004"/>
      <c r="EG1004"/>
      <c r="EH1004"/>
      <c r="EI1004"/>
      <c r="EJ1004"/>
      <c r="EK1004"/>
    </row>
    <row r="1005" spans="1:141" s="116" customFormat="1">
      <c r="A1005" s="136"/>
      <c r="CM1005" s="111"/>
      <c r="CQ1005" s="111"/>
      <c r="EF1005"/>
      <c r="EG1005"/>
      <c r="EH1005"/>
      <c r="EI1005"/>
      <c r="EJ1005"/>
      <c r="EK1005"/>
    </row>
    <row r="1006" spans="1:141" s="116" customFormat="1">
      <c r="A1006" s="136"/>
      <c r="CM1006" s="111"/>
      <c r="CQ1006" s="111"/>
      <c r="EF1006"/>
      <c r="EG1006"/>
      <c r="EH1006"/>
      <c r="EI1006"/>
      <c r="EJ1006"/>
      <c r="EK1006"/>
    </row>
    <row r="1007" spans="1:141" s="116" customFormat="1">
      <c r="A1007" s="136"/>
      <c r="CM1007" s="111"/>
      <c r="CQ1007" s="111"/>
      <c r="EF1007"/>
      <c r="EG1007"/>
      <c r="EH1007"/>
      <c r="EI1007"/>
      <c r="EJ1007"/>
      <c r="EK1007"/>
    </row>
    <row r="1008" spans="1:141" s="116" customFormat="1">
      <c r="A1008" s="136"/>
      <c r="CM1008" s="111"/>
      <c r="CQ1008" s="111"/>
      <c r="EF1008"/>
      <c r="EG1008"/>
      <c r="EH1008"/>
      <c r="EI1008"/>
      <c r="EJ1008"/>
      <c r="EK1008"/>
    </row>
    <row r="1009" spans="1:141" s="116" customFormat="1">
      <c r="A1009" s="136"/>
      <c r="CM1009" s="111"/>
      <c r="CQ1009" s="111"/>
      <c r="EF1009"/>
      <c r="EG1009"/>
      <c r="EH1009"/>
      <c r="EI1009"/>
      <c r="EJ1009"/>
      <c r="EK1009"/>
    </row>
    <row r="1010" spans="1:141" s="116" customFormat="1">
      <c r="A1010" s="136"/>
      <c r="CM1010" s="111"/>
      <c r="CQ1010" s="111"/>
      <c r="EF1010"/>
      <c r="EG1010"/>
      <c r="EH1010"/>
      <c r="EI1010"/>
      <c r="EJ1010"/>
      <c r="EK1010"/>
    </row>
    <row r="1011" spans="1:141" s="116" customFormat="1">
      <c r="A1011" s="136"/>
      <c r="CM1011" s="111"/>
      <c r="CQ1011" s="111"/>
      <c r="EF1011"/>
      <c r="EG1011"/>
      <c r="EH1011"/>
      <c r="EI1011"/>
      <c r="EJ1011"/>
      <c r="EK1011"/>
    </row>
    <row r="1012" spans="1:141" s="116" customFormat="1">
      <c r="A1012" s="136"/>
      <c r="CM1012" s="111"/>
      <c r="CQ1012" s="111"/>
      <c r="EF1012"/>
      <c r="EG1012"/>
      <c r="EH1012"/>
      <c r="EI1012"/>
      <c r="EJ1012"/>
      <c r="EK1012"/>
    </row>
    <row r="1013" spans="1:141" s="116" customFormat="1">
      <c r="A1013" s="136"/>
      <c r="CM1013" s="111"/>
      <c r="CQ1013" s="111"/>
      <c r="EF1013"/>
      <c r="EG1013"/>
      <c r="EH1013"/>
      <c r="EI1013"/>
      <c r="EJ1013"/>
      <c r="EK1013"/>
    </row>
    <row r="1014" spans="1:141" s="116" customFormat="1">
      <c r="A1014" s="136"/>
      <c r="CM1014" s="111"/>
      <c r="CQ1014" s="111"/>
      <c r="EF1014"/>
      <c r="EG1014"/>
      <c r="EH1014"/>
      <c r="EI1014"/>
      <c r="EJ1014"/>
      <c r="EK1014"/>
    </row>
    <row r="1015" spans="1:141" s="116" customFormat="1">
      <c r="A1015" s="136"/>
      <c r="CM1015" s="111"/>
      <c r="CQ1015" s="111"/>
      <c r="EF1015"/>
      <c r="EG1015"/>
      <c r="EH1015"/>
      <c r="EI1015"/>
      <c r="EJ1015"/>
      <c r="EK1015"/>
    </row>
    <row r="1016" spans="1:141" s="116" customFormat="1">
      <c r="A1016" s="136"/>
      <c r="CM1016" s="111"/>
      <c r="CQ1016" s="111"/>
      <c r="EF1016"/>
      <c r="EG1016"/>
      <c r="EH1016"/>
      <c r="EI1016"/>
      <c r="EJ1016"/>
      <c r="EK1016"/>
    </row>
    <row r="1017" spans="1:141" s="116" customFormat="1">
      <c r="A1017" s="136"/>
      <c r="CM1017" s="111"/>
      <c r="CQ1017" s="111"/>
      <c r="EF1017"/>
      <c r="EG1017"/>
      <c r="EH1017"/>
      <c r="EI1017"/>
      <c r="EJ1017"/>
      <c r="EK1017"/>
    </row>
    <row r="1018" spans="1:141" s="116" customFormat="1">
      <c r="A1018" s="136"/>
      <c r="CM1018" s="111"/>
      <c r="CQ1018" s="111"/>
      <c r="EF1018"/>
      <c r="EG1018"/>
      <c r="EH1018"/>
      <c r="EI1018"/>
      <c r="EJ1018"/>
      <c r="EK1018"/>
    </row>
    <row r="1019" spans="1:141" s="116" customFormat="1">
      <c r="A1019" s="136"/>
      <c r="CM1019" s="111"/>
      <c r="CQ1019" s="111"/>
      <c r="EF1019"/>
      <c r="EG1019"/>
      <c r="EH1019"/>
      <c r="EI1019"/>
      <c r="EJ1019"/>
      <c r="EK1019"/>
    </row>
    <row r="1020" spans="1:141" s="116" customFormat="1">
      <c r="A1020" s="136"/>
      <c r="CM1020" s="111"/>
      <c r="CQ1020" s="111"/>
      <c r="EF1020"/>
      <c r="EG1020"/>
      <c r="EH1020"/>
      <c r="EI1020"/>
      <c r="EJ1020"/>
      <c r="EK1020"/>
    </row>
    <row r="1021" spans="1:141" s="116" customFormat="1">
      <c r="A1021" s="136"/>
      <c r="CM1021" s="111"/>
      <c r="CQ1021" s="111"/>
      <c r="EF1021"/>
      <c r="EG1021"/>
      <c r="EH1021"/>
      <c r="EI1021"/>
      <c r="EJ1021"/>
      <c r="EK1021"/>
    </row>
    <row r="1022" spans="1:141" s="116" customFormat="1">
      <c r="A1022" s="136"/>
      <c r="CM1022" s="111"/>
      <c r="CQ1022" s="111"/>
      <c r="EF1022"/>
      <c r="EG1022"/>
      <c r="EH1022"/>
      <c r="EI1022"/>
      <c r="EJ1022"/>
      <c r="EK1022"/>
    </row>
    <row r="1023" spans="1:141" s="116" customFormat="1">
      <c r="A1023" s="136"/>
      <c r="CM1023" s="111"/>
      <c r="CQ1023" s="111"/>
      <c r="EF1023"/>
      <c r="EG1023"/>
      <c r="EH1023"/>
      <c r="EI1023"/>
      <c r="EJ1023"/>
      <c r="EK1023"/>
    </row>
    <row r="1024" spans="1:141" s="116" customFormat="1">
      <c r="A1024" s="136"/>
      <c r="CM1024" s="111"/>
      <c r="CQ1024" s="111"/>
      <c r="EF1024"/>
      <c r="EG1024"/>
      <c r="EH1024"/>
      <c r="EI1024"/>
      <c r="EJ1024"/>
      <c r="EK1024"/>
    </row>
    <row r="1025" spans="1:141" s="116" customFormat="1">
      <c r="A1025" s="136"/>
      <c r="CM1025" s="111"/>
      <c r="CQ1025" s="111"/>
      <c r="EF1025"/>
      <c r="EG1025"/>
      <c r="EH1025"/>
      <c r="EI1025"/>
      <c r="EJ1025"/>
      <c r="EK1025"/>
    </row>
    <row r="1026" spans="1:141" s="116" customFormat="1">
      <c r="A1026" s="136"/>
      <c r="CM1026" s="111"/>
      <c r="CQ1026" s="111"/>
      <c r="EF1026"/>
      <c r="EG1026"/>
      <c r="EH1026"/>
      <c r="EI1026"/>
      <c r="EJ1026"/>
      <c r="EK1026"/>
    </row>
    <row r="1027" spans="1:141" s="116" customFormat="1">
      <c r="A1027" s="136"/>
      <c r="CM1027" s="111"/>
      <c r="CQ1027" s="111"/>
      <c r="EF1027"/>
      <c r="EG1027"/>
      <c r="EH1027"/>
      <c r="EI1027"/>
      <c r="EJ1027"/>
      <c r="EK1027"/>
    </row>
    <row r="1028" spans="1:141" s="116" customFormat="1">
      <c r="A1028" s="136"/>
      <c r="CM1028" s="111"/>
      <c r="CQ1028" s="111"/>
      <c r="EF1028"/>
      <c r="EG1028"/>
      <c r="EH1028"/>
      <c r="EI1028"/>
      <c r="EJ1028"/>
      <c r="EK1028"/>
    </row>
    <row r="1029" spans="1:141" s="116" customFormat="1">
      <c r="A1029" s="136"/>
      <c r="CM1029" s="111"/>
      <c r="CQ1029" s="111"/>
      <c r="EF1029"/>
      <c r="EG1029"/>
      <c r="EH1029"/>
      <c r="EI1029"/>
      <c r="EJ1029"/>
      <c r="EK1029"/>
    </row>
    <row r="1030" spans="1:141" s="116" customFormat="1">
      <c r="A1030" s="136"/>
      <c r="CM1030" s="111"/>
      <c r="CQ1030" s="111"/>
      <c r="EF1030"/>
      <c r="EG1030"/>
      <c r="EH1030"/>
      <c r="EI1030"/>
      <c r="EJ1030"/>
      <c r="EK1030"/>
    </row>
    <row r="1031" spans="1:141" s="116" customFormat="1">
      <c r="A1031" s="136"/>
      <c r="CM1031" s="111"/>
      <c r="CQ1031" s="111"/>
      <c r="EF1031"/>
      <c r="EG1031"/>
      <c r="EH1031"/>
      <c r="EI1031"/>
      <c r="EJ1031"/>
      <c r="EK1031"/>
    </row>
    <row r="1032" spans="1:141" s="116" customFormat="1">
      <c r="A1032" s="136"/>
      <c r="CM1032" s="111"/>
      <c r="CQ1032" s="111"/>
      <c r="EF1032"/>
      <c r="EG1032"/>
      <c r="EH1032"/>
      <c r="EI1032"/>
      <c r="EJ1032"/>
      <c r="EK1032"/>
    </row>
    <row r="1033" spans="1:141" s="116" customFormat="1">
      <c r="A1033" s="136"/>
      <c r="CM1033" s="111"/>
      <c r="CQ1033" s="111"/>
      <c r="EF1033"/>
      <c r="EG1033"/>
      <c r="EH1033"/>
      <c r="EI1033"/>
      <c r="EJ1033"/>
      <c r="EK1033"/>
    </row>
    <row r="1034" spans="1:141" s="116" customFormat="1">
      <c r="A1034" s="136"/>
      <c r="CM1034" s="111"/>
      <c r="CQ1034" s="111"/>
      <c r="EF1034"/>
      <c r="EG1034"/>
      <c r="EH1034"/>
      <c r="EI1034"/>
      <c r="EJ1034"/>
      <c r="EK1034"/>
    </row>
    <row r="1035" spans="1:141" s="116" customFormat="1">
      <c r="A1035" s="136"/>
      <c r="CM1035" s="111"/>
      <c r="CQ1035" s="111"/>
      <c r="EF1035"/>
      <c r="EG1035"/>
      <c r="EH1035"/>
      <c r="EI1035"/>
      <c r="EJ1035"/>
      <c r="EK1035"/>
    </row>
    <row r="1036" spans="1:141" s="116" customFormat="1">
      <c r="A1036" s="136"/>
      <c r="CM1036" s="111"/>
      <c r="CQ1036" s="111"/>
      <c r="EF1036"/>
      <c r="EG1036"/>
      <c r="EH1036"/>
      <c r="EI1036"/>
      <c r="EJ1036"/>
      <c r="EK1036"/>
    </row>
    <row r="1037" spans="1:141" s="116" customFormat="1">
      <c r="A1037" s="136"/>
      <c r="CM1037" s="111"/>
      <c r="CQ1037" s="111"/>
      <c r="EF1037"/>
      <c r="EG1037"/>
      <c r="EH1037"/>
      <c r="EI1037"/>
      <c r="EJ1037"/>
      <c r="EK1037"/>
    </row>
    <row r="1038" spans="1:141" s="116" customFormat="1">
      <c r="A1038" s="136"/>
      <c r="CM1038" s="111"/>
      <c r="CQ1038" s="111"/>
      <c r="EF1038"/>
      <c r="EG1038"/>
      <c r="EH1038"/>
      <c r="EI1038"/>
      <c r="EJ1038"/>
      <c r="EK1038"/>
    </row>
    <row r="1039" spans="1:141" s="116" customFormat="1">
      <c r="A1039" s="136"/>
      <c r="CM1039" s="111"/>
      <c r="CQ1039" s="111"/>
      <c r="EF1039"/>
      <c r="EG1039"/>
      <c r="EH1039"/>
      <c r="EI1039"/>
      <c r="EJ1039"/>
      <c r="EK1039"/>
    </row>
    <row r="1040" spans="1:141" s="116" customFormat="1">
      <c r="A1040" s="136"/>
      <c r="CM1040" s="111"/>
      <c r="CQ1040" s="111"/>
      <c r="EF1040"/>
      <c r="EG1040"/>
      <c r="EH1040"/>
      <c r="EI1040"/>
      <c r="EJ1040"/>
      <c r="EK1040"/>
    </row>
    <row r="1041" spans="1:141" s="116" customFormat="1">
      <c r="A1041" s="136"/>
      <c r="CM1041" s="111"/>
      <c r="CQ1041" s="111"/>
      <c r="EF1041"/>
      <c r="EG1041"/>
      <c r="EH1041"/>
      <c r="EI1041"/>
      <c r="EJ1041"/>
      <c r="EK1041"/>
    </row>
    <row r="1042" spans="1:141" s="116" customFormat="1">
      <c r="A1042" s="136"/>
      <c r="CM1042" s="111"/>
      <c r="CQ1042" s="111"/>
      <c r="EF1042"/>
      <c r="EG1042"/>
      <c r="EH1042"/>
      <c r="EI1042"/>
      <c r="EJ1042"/>
      <c r="EK1042"/>
    </row>
    <row r="1043" spans="1:141" s="116" customFormat="1">
      <c r="A1043" s="136"/>
      <c r="CM1043" s="111"/>
      <c r="CQ1043" s="111"/>
      <c r="EF1043"/>
      <c r="EG1043"/>
      <c r="EH1043"/>
      <c r="EI1043"/>
      <c r="EJ1043"/>
      <c r="EK1043"/>
    </row>
    <row r="1044" spans="1:141" s="116" customFormat="1">
      <c r="A1044" s="136"/>
      <c r="CM1044" s="111"/>
      <c r="CQ1044" s="111"/>
      <c r="EF1044"/>
      <c r="EG1044"/>
      <c r="EH1044"/>
      <c r="EI1044"/>
      <c r="EJ1044"/>
      <c r="EK1044"/>
    </row>
    <row r="1045" spans="1:141" s="116" customFormat="1">
      <c r="A1045" s="136"/>
      <c r="CM1045" s="111"/>
      <c r="CQ1045" s="111"/>
      <c r="EF1045"/>
      <c r="EG1045"/>
      <c r="EH1045"/>
      <c r="EI1045"/>
      <c r="EJ1045"/>
      <c r="EK1045"/>
    </row>
    <row r="1046" spans="1:141" s="116" customFormat="1">
      <c r="A1046" s="136"/>
      <c r="CM1046" s="111"/>
      <c r="CQ1046" s="111"/>
      <c r="EF1046"/>
      <c r="EG1046"/>
      <c r="EH1046"/>
      <c r="EI1046"/>
      <c r="EJ1046"/>
      <c r="EK1046"/>
    </row>
    <row r="1047" spans="1:141" s="116" customFormat="1">
      <c r="A1047" s="136"/>
      <c r="CM1047" s="111"/>
      <c r="CQ1047" s="111"/>
      <c r="EF1047"/>
      <c r="EG1047"/>
      <c r="EH1047"/>
      <c r="EI1047"/>
      <c r="EJ1047"/>
      <c r="EK1047"/>
    </row>
    <row r="1048" spans="1:141" s="116" customFormat="1">
      <c r="A1048" s="136"/>
      <c r="CM1048" s="111"/>
      <c r="CQ1048" s="111"/>
      <c r="EF1048"/>
      <c r="EG1048"/>
      <c r="EH1048"/>
      <c r="EI1048"/>
      <c r="EJ1048"/>
      <c r="EK1048"/>
    </row>
    <row r="1049" spans="1:141" s="116" customFormat="1">
      <c r="A1049" s="136"/>
      <c r="CM1049" s="111"/>
      <c r="CQ1049" s="111"/>
      <c r="EF1049"/>
      <c r="EG1049"/>
      <c r="EH1049"/>
      <c r="EI1049"/>
      <c r="EJ1049"/>
      <c r="EK1049"/>
    </row>
    <row r="1050" spans="1:141" s="116" customFormat="1">
      <c r="A1050" s="136"/>
      <c r="CM1050" s="111"/>
      <c r="CQ1050" s="111"/>
      <c r="EF1050"/>
      <c r="EG1050"/>
      <c r="EH1050"/>
      <c r="EI1050"/>
      <c r="EJ1050"/>
      <c r="EK1050"/>
    </row>
    <row r="1051" spans="1:141" s="116" customFormat="1">
      <c r="A1051" s="136"/>
      <c r="CM1051" s="111"/>
      <c r="CQ1051" s="111"/>
      <c r="EF1051"/>
      <c r="EG1051"/>
      <c r="EH1051"/>
      <c r="EI1051"/>
      <c r="EJ1051"/>
      <c r="EK1051"/>
    </row>
    <row r="1052" spans="1:141" s="116" customFormat="1">
      <c r="A1052" s="136"/>
      <c r="CM1052" s="111"/>
      <c r="CQ1052" s="111"/>
      <c r="EF1052"/>
      <c r="EG1052"/>
      <c r="EH1052"/>
      <c r="EI1052"/>
      <c r="EJ1052"/>
      <c r="EK1052"/>
    </row>
    <row r="1053" spans="1:141" s="116" customFormat="1">
      <c r="A1053" s="136"/>
      <c r="CM1053" s="111"/>
      <c r="CQ1053" s="111"/>
      <c r="EF1053"/>
      <c r="EG1053"/>
      <c r="EH1053"/>
      <c r="EI1053"/>
      <c r="EJ1053"/>
      <c r="EK1053"/>
    </row>
    <row r="1054" spans="1:141" s="116" customFormat="1">
      <c r="A1054" s="136"/>
      <c r="CM1054" s="111"/>
      <c r="CQ1054" s="111"/>
      <c r="EF1054"/>
      <c r="EG1054"/>
      <c r="EH1054"/>
      <c r="EI1054"/>
      <c r="EJ1054"/>
      <c r="EK1054"/>
    </row>
    <row r="1055" spans="1:141" s="116" customFormat="1">
      <c r="A1055" s="136"/>
      <c r="CM1055" s="111"/>
      <c r="CQ1055" s="111"/>
      <c r="EF1055"/>
      <c r="EG1055"/>
      <c r="EH1055"/>
      <c r="EI1055"/>
      <c r="EJ1055"/>
      <c r="EK1055"/>
    </row>
    <row r="1056" spans="1:141" s="116" customFormat="1">
      <c r="A1056" s="136"/>
      <c r="CM1056" s="111"/>
      <c r="CQ1056" s="111"/>
      <c r="EF1056"/>
      <c r="EG1056"/>
      <c r="EH1056"/>
      <c r="EI1056"/>
      <c r="EJ1056"/>
      <c r="EK1056"/>
    </row>
    <row r="1057" spans="1:141" s="116" customFormat="1">
      <c r="A1057" s="136"/>
      <c r="CM1057" s="111"/>
      <c r="CQ1057" s="111"/>
      <c r="EF1057"/>
      <c r="EG1057"/>
      <c r="EH1057"/>
      <c r="EI1057"/>
      <c r="EJ1057"/>
      <c r="EK1057"/>
    </row>
    <row r="1058" spans="1:141" s="116" customFormat="1">
      <c r="A1058" s="136"/>
      <c r="CM1058" s="111"/>
      <c r="CQ1058" s="111"/>
      <c r="EF1058"/>
      <c r="EG1058"/>
      <c r="EH1058"/>
      <c r="EI1058"/>
      <c r="EJ1058"/>
      <c r="EK1058"/>
    </row>
    <row r="1059" spans="1:141" s="116" customFormat="1">
      <c r="A1059" s="136"/>
      <c r="CM1059" s="111"/>
      <c r="CQ1059" s="111"/>
      <c r="EF1059"/>
      <c r="EG1059"/>
      <c r="EH1059"/>
      <c r="EI1059"/>
      <c r="EJ1059"/>
      <c r="EK1059"/>
    </row>
    <row r="1060" spans="1:141" s="116" customFormat="1">
      <c r="A1060" s="136"/>
      <c r="CM1060" s="111"/>
      <c r="CQ1060" s="111"/>
      <c r="EF1060"/>
      <c r="EG1060"/>
      <c r="EH1060"/>
      <c r="EI1060"/>
      <c r="EJ1060"/>
      <c r="EK1060"/>
    </row>
    <row r="1061" spans="1:141" s="116" customFormat="1">
      <c r="A1061" s="136"/>
      <c r="CM1061" s="111"/>
      <c r="CQ1061" s="111"/>
      <c r="EF1061"/>
      <c r="EG1061"/>
      <c r="EH1061"/>
      <c r="EI1061"/>
      <c r="EJ1061"/>
      <c r="EK1061"/>
    </row>
    <row r="1062" spans="1:141" s="116" customFormat="1">
      <c r="A1062" s="136"/>
      <c r="CM1062" s="111"/>
      <c r="CQ1062" s="111"/>
      <c r="EF1062"/>
      <c r="EG1062"/>
      <c r="EH1062"/>
      <c r="EI1062"/>
      <c r="EJ1062"/>
      <c r="EK1062"/>
    </row>
    <row r="1063" spans="1:141" s="116" customFormat="1">
      <c r="A1063" s="136"/>
      <c r="CM1063" s="111"/>
      <c r="CQ1063" s="111"/>
      <c r="EF1063"/>
      <c r="EG1063"/>
      <c r="EH1063"/>
      <c r="EI1063"/>
      <c r="EJ1063"/>
      <c r="EK1063"/>
    </row>
    <row r="1064" spans="1:141" s="116" customFormat="1">
      <c r="A1064" s="136"/>
      <c r="CM1064" s="111"/>
      <c r="CQ1064" s="111"/>
      <c r="EF1064"/>
      <c r="EG1064"/>
      <c r="EH1064"/>
      <c r="EI1064"/>
      <c r="EJ1064"/>
      <c r="EK1064"/>
    </row>
    <row r="1065" spans="1:141" s="116" customFormat="1">
      <c r="A1065" s="136"/>
      <c r="CM1065" s="111"/>
      <c r="CQ1065" s="111"/>
      <c r="EF1065"/>
      <c r="EG1065"/>
      <c r="EH1065"/>
      <c r="EI1065"/>
      <c r="EJ1065"/>
      <c r="EK1065"/>
    </row>
    <row r="1066" spans="1:141" s="116" customFormat="1">
      <c r="A1066" s="136"/>
      <c r="CM1066" s="111"/>
      <c r="CQ1066" s="111"/>
      <c r="EF1066"/>
      <c r="EG1066"/>
      <c r="EH1066"/>
      <c r="EI1066"/>
      <c r="EJ1066"/>
      <c r="EK1066"/>
    </row>
    <row r="1067" spans="1:141" s="116" customFormat="1">
      <c r="A1067" s="136"/>
      <c r="CM1067" s="111"/>
      <c r="CQ1067" s="111"/>
      <c r="EF1067"/>
      <c r="EG1067"/>
      <c r="EH1067"/>
      <c r="EI1067"/>
      <c r="EJ1067"/>
      <c r="EK1067"/>
    </row>
    <row r="1068" spans="1:141" s="116" customFormat="1">
      <c r="A1068" s="136"/>
      <c r="CM1068" s="111"/>
      <c r="CQ1068" s="111"/>
      <c r="EF1068"/>
      <c r="EG1068"/>
      <c r="EH1068"/>
      <c r="EI1068"/>
      <c r="EJ1068"/>
      <c r="EK1068"/>
    </row>
    <row r="1069" spans="1:141" s="116" customFormat="1">
      <c r="A1069" s="136"/>
      <c r="CM1069" s="111"/>
      <c r="CQ1069" s="111"/>
      <c r="EF1069"/>
      <c r="EG1069"/>
      <c r="EH1069"/>
      <c r="EI1069"/>
      <c r="EJ1069"/>
      <c r="EK1069"/>
    </row>
    <row r="1070" spans="1:141" s="116" customFormat="1">
      <c r="A1070" s="136"/>
      <c r="CM1070" s="111"/>
      <c r="CQ1070" s="111"/>
      <c r="EF1070"/>
      <c r="EG1070"/>
      <c r="EH1070"/>
      <c r="EI1070"/>
      <c r="EJ1070"/>
      <c r="EK1070"/>
    </row>
    <row r="1071" spans="1:141" s="116" customFormat="1">
      <c r="A1071" s="136"/>
      <c r="CM1071" s="111"/>
      <c r="CQ1071" s="111"/>
      <c r="EF1071"/>
      <c r="EG1071"/>
      <c r="EH1071"/>
      <c r="EI1071"/>
      <c r="EJ1071"/>
      <c r="EK1071"/>
    </row>
    <row r="1072" spans="1:141" s="116" customFormat="1">
      <c r="A1072" s="136"/>
      <c r="CM1072" s="111"/>
      <c r="CQ1072" s="111"/>
      <c r="EF1072"/>
      <c r="EG1072"/>
      <c r="EH1072"/>
      <c r="EI1072"/>
      <c r="EJ1072"/>
      <c r="EK1072"/>
    </row>
    <row r="1073" spans="1:141" s="116" customFormat="1">
      <c r="A1073" s="136"/>
      <c r="CM1073" s="111"/>
      <c r="CQ1073" s="111"/>
      <c r="EF1073"/>
      <c r="EG1073"/>
      <c r="EH1073"/>
      <c r="EI1073"/>
      <c r="EJ1073"/>
      <c r="EK1073"/>
    </row>
    <row r="1074" spans="1:141" s="116" customFormat="1">
      <c r="A1074" s="136"/>
      <c r="CM1074" s="111"/>
      <c r="CQ1074" s="111"/>
      <c r="EF1074"/>
      <c r="EG1074"/>
      <c r="EH1074"/>
      <c r="EI1074"/>
      <c r="EJ1074"/>
      <c r="EK1074"/>
    </row>
    <row r="1075" spans="1:141" s="116" customFormat="1">
      <c r="A1075" s="136"/>
      <c r="CM1075" s="111"/>
      <c r="CQ1075" s="111"/>
      <c r="EF1075"/>
      <c r="EG1075"/>
      <c r="EH1075"/>
      <c r="EI1075"/>
      <c r="EJ1075"/>
      <c r="EK1075"/>
    </row>
    <row r="1076" spans="1:141" s="116" customFormat="1">
      <c r="A1076" s="136"/>
      <c r="CM1076" s="111"/>
      <c r="CQ1076" s="111"/>
      <c r="EF1076"/>
      <c r="EG1076"/>
      <c r="EH1076"/>
      <c r="EI1076"/>
      <c r="EJ1076"/>
      <c r="EK1076"/>
    </row>
    <row r="1077" spans="1:141" s="116" customFormat="1">
      <c r="A1077" s="136"/>
      <c r="CM1077" s="111"/>
      <c r="CQ1077" s="111"/>
      <c r="EF1077"/>
      <c r="EG1077"/>
      <c r="EH1077"/>
      <c r="EI1077"/>
      <c r="EJ1077"/>
      <c r="EK1077"/>
    </row>
    <row r="1078" spans="1:141" s="116" customFormat="1">
      <c r="A1078" s="136"/>
      <c r="CM1078" s="111"/>
      <c r="CQ1078" s="111"/>
      <c r="EF1078"/>
      <c r="EG1078"/>
      <c r="EH1078"/>
      <c r="EI1078"/>
      <c r="EJ1078"/>
      <c r="EK1078"/>
    </row>
    <row r="1079" spans="1:141" s="116" customFormat="1">
      <c r="A1079" s="136"/>
      <c r="CM1079" s="111"/>
      <c r="CQ1079" s="111"/>
      <c r="EF1079"/>
      <c r="EG1079"/>
      <c r="EH1079"/>
      <c r="EI1079"/>
      <c r="EJ1079"/>
      <c r="EK1079"/>
    </row>
    <row r="1080" spans="1:141" s="116" customFormat="1">
      <c r="A1080" s="136"/>
      <c r="CM1080" s="111"/>
      <c r="CQ1080" s="111"/>
      <c r="EF1080"/>
      <c r="EG1080"/>
      <c r="EH1080"/>
      <c r="EI1080"/>
      <c r="EJ1080"/>
      <c r="EK1080"/>
    </row>
    <row r="1081" spans="1:141" s="116" customFormat="1">
      <c r="A1081" s="136"/>
      <c r="CM1081" s="111"/>
      <c r="CQ1081" s="111"/>
      <c r="EF1081"/>
      <c r="EG1081"/>
      <c r="EH1081"/>
      <c r="EI1081"/>
      <c r="EJ1081"/>
      <c r="EK1081"/>
    </row>
    <row r="1082" spans="1:141" s="116" customFormat="1">
      <c r="A1082" s="136"/>
      <c r="CM1082" s="111"/>
      <c r="CQ1082" s="111"/>
      <c r="EF1082"/>
      <c r="EG1082"/>
      <c r="EH1082"/>
      <c r="EI1082"/>
      <c r="EJ1082"/>
      <c r="EK1082"/>
    </row>
    <row r="1083" spans="1:141" s="116" customFormat="1">
      <c r="A1083" s="136"/>
      <c r="CM1083" s="111"/>
      <c r="CQ1083" s="111"/>
      <c r="EF1083"/>
      <c r="EG1083"/>
      <c r="EH1083"/>
      <c r="EI1083"/>
      <c r="EJ1083"/>
      <c r="EK1083"/>
    </row>
    <row r="1084" spans="1:141" s="116" customFormat="1">
      <c r="A1084" s="136"/>
      <c r="CM1084" s="111"/>
      <c r="CQ1084" s="111"/>
      <c r="EF1084"/>
      <c r="EG1084"/>
      <c r="EH1084"/>
      <c r="EI1084"/>
      <c r="EJ1084"/>
      <c r="EK1084"/>
    </row>
    <row r="1085" spans="1:141" s="116" customFormat="1">
      <c r="A1085" s="136"/>
      <c r="CM1085" s="111"/>
      <c r="CQ1085" s="111"/>
      <c r="EF1085"/>
      <c r="EG1085"/>
      <c r="EH1085"/>
      <c r="EI1085"/>
      <c r="EJ1085"/>
      <c r="EK1085"/>
    </row>
    <row r="1086" spans="1:141" s="116" customFormat="1">
      <c r="A1086" s="136"/>
      <c r="CM1086" s="111"/>
      <c r="CQ1086" s="111"/>
      <c r="EF1086"/>
      <c r="EG1086"/>
      <c r="EH1086"/>
      <c r="EI1086"/>
      <c r="EJ1086"/>
      <c r="EK1086"/>
    </row>
    <row r="1087" spans="1:141" s="116" customFormat="1">
      <c r="A1087" s="136"/>
      <c r="CM1087" s="111"/>
      <c r="CQ1087" s="111"/>
      <c r="EF1087"/>
      <c r="EG1087"/>
      <c r="EH1087"/>
      <c r="EI1087"/>
      <c r="EJ1087"/>
      <c r="EK1087"/>
    </row>
    <row r="1088" spans="1:141" s="116" customFormat="1">
      <c r="A1088" s="136"/>
      <c r="CM1088" s="111"/>
      <c r="CQ1088" s="111"/>
      <c r="EF1088"/>
      <c r="EG1088"/>
      <c r="EH1088"/>
      <c r="EI1088"/>
      <c r="EJ1088"/>
      <c r="EK1088"/>
    </row>
    <row r="1089" spans="1:141" s="116" customFormat="1">
      <c r="A1089" s="136"/>
      <c r="CM1089" s="111"/>
      <c r="CQ1089" s="111"/>
      <c r="EF1089"/>
      <c r="EG1089"/>
      <c r="EH1089"/>
      <c r="EI1089"/>
      <c r="EJ1089"/>
      <c r="EK1089"/>
    </row>
    <row r="1090" spans="1:141" s="116" customFormat="1">
      <c r="A1090" s="136"/>
      <c r="CM1090" s="111"/>
      <c r="CQ1090" s="111"/>
      <c r="EF1090"/>
      <c r="EG1090"/>
      <c r="EH1090"/>
      <c r="EI1090"/>
      <c r="EJ1090"/>
      <c r="EK1090"/>
    </row>
    <row r="1091" spans="1:141" s="116" customFormat="1">
      <c r="A1091" s="136"/>
      <c r="CM1091" s="111"/>
      <c r="CQ1091" s="111"/>
      <c r="EF1091"/>
      <c r="EG1091"/>
      <c r="EH1091"/>
      <c r="EI1091"/>
      <c r="EJ1091"/>
      <c r="EK1091"/>
    </row>
    <row r="1092" spans="1:141" s="116" customFormat="1">
      <c r="A1092" s="136"/>
      <c r="CM1092" s="111"/>
      <c r="CQ1092" s="111"/>
      <c r="EF1092"/>
      <c r="EG1092"/>
      <c r="EH1092"/>
      <c r="EI1092"/>
      <c r="EJ1092"/>
      <c r="EK1092"/>
    </row>
    <row r="1093" spans="1:141" s="116" customFormat="1">
      <c r="A1093" s="136"/>
      <c r="CM1093" s="111"/>
      <c r="CQ1093" s="111"/>
      <c r="EF1093"/>
      <c r="EG1093"/>
      <c r="EH1093"/>
      <c r="EI1093"/>
      <c r="EJ1093"/>
      <c r="EK1093"/>
    </row>
    <row r="1094" spans="1:141" s="116" customFormat="1">
      <c r="A1094" s="136"/>
      <c r="CM1094" s="111"/>
      <c r="CQ1094" s="111"/>
      <c r="EF1094"/>
      <c r="EG1094"/>
      <c r="EH1094"/>
      <c r="EI1094"/>
      <c r="EJ1094"/>
      <c r="EK1094"/>
    </row>
    <row r="1095" spans="1:141" s="116" customFormat="1">
      <c r="A1095" s="136"/>
      <c r="CM1095" s="111"/>
      <c r="CQ1095" s="111"/>
      <c r="EF1095"/>
      <c r="EG1095"/>
      <c r="EH1095"/>
      <c r="EI1095"/>
      <c r="EJ1095"/>
      <c r="EK1095"/>
    </row>
    <row r="1096" spans="1:141" s="116" customFormat="1">
      <c r="A1096" s="136"/>
      <c r="CM1096" s="111"/>
      <c r="CQ1096" s="111"/>
      <c r="EF1096"/>
      <c r="EG1096"/>
      <c r="EH1096"/>
      <c r="EI1096"/>
      <c r="EJ1096"/>
      <c r="EK1096"/>
    </row>
    <row r="1097" spans="1:141" s="116" customFormat="1">
      <c r="A1097" s="136"/>
      <c r="CM1097" s="111"/>
      <c r="CQ1097" s="111"/>
      <c r="EF1097"/>
      <c r="EG1097"/>
      <c r="EH1097"/>
      <c r="EI1097"/>
      <c r="EJ1097"/>
      <c r="EK1097"/>
    </row>
    <row r="1098" spans="1:141" s="116" customFormat="1">
      <c r="A1098" s="136"/>
      <c r="CM1098" s="111"/>
      <c r="CQ1098" s="111"/>
      <c r="EF1098"/>
      <c r="EG1098"/>
      <c r="EH1098"/>
      <c r="EI1098"/>
      <c r="EJ1098"/>
      <c r="EK1098"/>
    </row>
    <row r="1099" spans="1:141" s="116" customFormat="1">
      <c r="A1099" s="136"/>
      <c r="CM1099" s="111"/>
      <c r="CQ1099" s="111"/>
      <c r="EF1099"/>
      <c r="EG1099"/>
      <c r="EH1099"/>
      <c r="EI1099"/>
      <c r="EJ1099"/>
      <c r="EK1099"/>
    </row>
    <row r="1100" spans="1:141" s="116" customFormat="1">
      <c r="A1100" s="136"/>
      <c r="CM1100" s="111"/>
      <c r="CQ1100" s="111"/>
      <c r="EF1100"/>
      <c r="EG1100"/>
      <c r="EH1100"/>
      <c r="EI1100"/>
      <c r="EJ1100"/>
      <c r="EK1100"/>
    </row>
    <row r="1101" spans="1:141" s="116" customFormat="1">
      <c r="A1101" s="136"/>
      <c r="CM1101" s="111"/>
      <c r="CQ1101" s="111"/>
      <c r="EF1101"/>
      <c r="EG1101"/>
      <c r="EH1101"/>
      <c r="EI1101"/>
      <c r="EJ1101"/>
      <c r="EK1101"/>
    </row>
    <row r="1102" spans="1:141" s="116" customFormat="1">
      <c r="A1102" s="136"/>
      <c r="CM1102" s="111"/>
      <c r="CQ1102" s="111"/>
      <c r="EF1102"/>
      <c r="EG1102"/>
      <c r="EH1102"/>
      <c r="EI1102"/>
      <c r="EJ1102"/>
      <c r="EK1102"/>
    </row>
    <row r="1103" spans="1:141" s="116" customFormat="1">
      <c r="A1103" s="136"/>
      <c r="CM1103" s="111"/>
      <c r="CQ1103" s="111"/>
      <c r="EF1103"/>
      <c r="EG1103"/>
      <c r="EH1103"/>
      <c r="EI1103"/>
      <c r="EJ1103"/>
      <c r="EK1103"/>
    </row>
    <row r="1104" spans="1:141" s="116" customFormat="1">
      <c r="A1104" s="136"/>
      <c r="CM1104" s="111"/>
      <c r="CQ1104" s="111"/>
      <c r="EF1104"/>
      <c r="EG1104"/>
      <c r="EH1104"/>
      <c r="EI1104"/>
      <c r="EJ1104"/>
      <c r="EK1104"/>
    </row>
    <row r="1105" spans="1:141" s="116" customFormat="1">
      <c r="A1105" s="136"/>
      <c r="CM1105" s="111"/>
      <c r="CQ1105" s="111"/>
      <c r="EF1105"/>
      <c r="EG1105"/>
      <c r="EH1105"/>
      <c r="EI1105"/>
      <c r="EJ1105"/>
      <c r="EK1105"/>
    </row>
    <row r="1106" spans="1:141" s="116" customFormat="1">
      <c r="A1106" s="136"/>
      <c r="CM1106" s="111"/>
      <c r="CQ1106" s="111"/>
      <c r="EF1106"/>
      <c r="EG1106"/>
      <c r="EH1106"/>
      <c r="EI1106"/>
      <c r="EJ1106"/>
      <c r="EK1106"/>
    </row>
    <row r="1107" spans="1:141" s="116" customFormat="1">
      <c r="A1107" s="136"/>
      <c r="CM1107" s="111"/>
      <c r="CQ1107" s="111"/>
      <c r="EF1107"/>
      <c r="EG1107"/>
      <c r="EH1107"/>
      <c r="EI1107"/>
      <c r="EJ1107"/>
      <c r="EK1107"/>
    </row>
    <row r="1108" spans="1:141" s="116" customFormat="1">
      <c r="A1108" s="136"/>
      <c r="CM1108" s="111"/>
      <c r="CQ1108" s="111"/>
      <c r="EF1108"/>
      <c r="EG1108"/>
      <c r="EH1108"/>
      <c r="EI1108"/>
      <c r="EJ1108"/>
      <c r="EK1108"/>
    </row>
    <row r="1109" spans="1:141" s="116" customFormat="1">
      <c r="A1109" s="136"/>
      <c r="CM1109" s="111"/>
      <c r="CQ1109" s="111"/>
      <c r="EF1109"/>
      <c r="EG1109"/>
      <c r="EH1109"/>
      <c r="EI1109"/>
      <c r="EJ1109"/>
      <c r="EK1109"/>
    </row>
    <row r="1110" spans="1:141" s="116" customFormat="1">
      <c r="A1110" s="136"/>
      <c r="CM1110" s="111"/>
      <c r="CQ1110" s="111"/>
      <c r="EF1110"/>
      <c r="EG1110"/>
      <c r="EH1110"/>
      <c r="EI1110"/>
      <c r="EJ1110"/>
      <c r="EK1110"/>
    </row>
    <row r="1111" spans="1:141" s="116" customFormat="1">
      <c r="A1111" s="136"/>
      <c r="CM1111" s="111"/>
      <c r="CQ1111" s="111"/>
      <c r="EF1111"/>
      <c r="EG1111"/>
      <c r="EH1111"/>
      <c r="EI1111"/>
      <c r="EJ1111"/>
      <c r="EK1111"/>
    </row>
    <row r="1112" spans="1:141" s="116" customFormat="1">
      <c r="A1112" s="136"/>
      <c r="CM1112" s="111"/>
      <c r="CQ1112" s="111"/>
      <c r="EF1112"/>
      <c r="EG1112"/>
      <c r="EH1112"/>
      <c r="EI1112"/>
      <c r="EJ1112"/>
      <c r="EK1112"/>
    </row>
    <row r="1113" spans="1:141" s="116" customFormat="1">
      <c r="A1113" s="136"/>
      <c r="CM1113" s="111"/>
      <c r="CQ1113" s="111"/>
      <c r="EF1113"/>
      <c r="EG1113"/>
      <c r="EH1113"/>
      <c r="EI1113"/>
      <c r="EJ1113"/>
      <c r="EK1113"/>
    </row>
    <row r="1114" spans="1:141" s="116" customFormat="1">
      <c r="A1114" s="136"/>
      <c r="CM1114" s="111"/>
      <c r="CQ1114" s="111"/>
      <c r="EF1114"/>
      <c r="EG1114"/>
      <c r="EH1114"/>
      <c r="EI1114"/>
      <c r="EJ1114"/>
      <c r="EK1114"/>
    </row>
    <row r="1115" spans="1:141" s="116" customFormat="1">
      <c r="A1115" s="136"/>
      <c r="CM1115" s="111"/>
      <c r="CQ1115" s="111"/>
      <c r="EF1115"/>
      <c r="EG1115"/>
      <c r="EH1115"/>
      <c r="EI1115"/>
      <c r="EJ1115"/>
      <c r="EK1115"/>
    </row>
    <row r="1116" spans="1:141" s="116" customFormat="1">
      <c r="A1116" s="136"/>
      <c r="CM1116" s="111"/>
      <c r="CQ1116" s="111"/>
      <c r="EF1116"/>
      <c r="EG1116"/>
      <c r="EH1116"/>
      <c r="EI1116"/>
      <c r="EJ1116"/>
      <c r="EK1116"/>
    </row>
    <row r="1117" spans="1:141" s="116" customFormat="1">
      <c r="A1117" s="136"/>
      <c r="CM1117" s="111"/>
      <c r="CQ1117" s="111"/>
      <c r="EF1117"/>
      <c r="EG1117"/>
      <c r="EH1117"/>
      <c r="EI1117"/>
      <c r="EJ1117"/>
      <c r="EK1117"/>
    </row>
    <row r="1118" spans="1:141" s="116" customFormat="1">
      <c r="A1118" s="136"/>
      <c r="CM1118" s="111"/>
      <c r="CQ1118" s="111"/>
      <c r="EF1118"/>
      <c r="EG1118"/>
      <c r="EH1118"/>
      <c r="EI1118"/>
      <c r="EJ1118"/>
      <c r="EK1118"/>
    </row>
    <row r="1119" spans="1:141" s="116" customFormat="1">
      <c r="A1119" s="136"/>
      <c r="CM1119" s="111"/>
      <c r="CQ1119" s="111"/>
      <c r="EF1119"/>
      <c r="EG1119"/>
      <c r="EH1119"/>
      <c r="EI1119"/>
      <c r="EJ1119"/>
      <c r="EK1119"/>
    </row>
    <row r="1120" spans="1:141" s="116" customFormat="1">
      <c r="A1120" s="136"/>
      <c r="CM1120" s="111"/>
      <c r="CQ1120" s="111"/>
      <c r="EF1120"/>
      <c r="EG1120"/>
      <c r="EH1120"/>
      <c r="EI1120"/>
      <c r="EJ1120"/>
      <c r="EK1120"/>
    </row>
    <row r="1121" spans="1:141" s="116" customFormat="1">
      <c r="A1121" s="136"/>
      <c r="CM1121" s="111"/>
      <c r="CQ1121" s="111"/>
      <c r="EF1121"/>
      <c r="EG1121"/>
      <c r="EH1121"/>
      <c r="EI1121"/>
      <c r="EJ1121"/>
      <c r="EK1121"/>
    </row>
    <row r="1122" spans="1:141" s="116" customFormat="1">
      <c r="A1122" s="136"/>
      <c r="CM1122" s="111"/>
      <c r="CQ1122" s="111"/>
      <c r="EF1122"/>
      <c r="EG1122"/>
      <c r="EH1122"/>
      <c r="EI1122"/>
      <c r="EJ1122"/>
      <c r="EK1122"/>
    </row>
    <row r="1123" spans="1:141" s="116" customFormat="1">
      <c r="A1123" s="136"/>
      <c r="CM1123" s="111"/>
      <c r="CQ1123" s="111"/>
      <c r="EF1123"/>
      <c r="EG1123"/>
      <c r="EH1123"/>
      <c r="EI1123"/>
      <c r="EJ1123"/>
      <c r="EK1123"/>
    </row>
    <row r="1124" spans="1:141" s="116" customFormat="1">
      <c r="A1124" s="136"/>
      <c r="CM1124" s="111"/>
      <c r="CQ1124" s="111"/>
      <c r="EF1124"/>
      <c r="EG1124"/>
      <c r="EH1124"/>
      <c r="EI1124"/>
      <c r="EJ1124"/>
      <c r="EK1124"/>
    </row>
    <row r="1125" spans="1:141" s="116" customFormat="1">
      <c r="A1125" s="136"/>
      <c r="CM1125" s="111"/>
      <c r="CQ1125" s="111"/>
      <c r="EF1125"/>
      <c r="EG1125"/>
      <c r="EH1125"/>
      <c r="EI1125"/>
      <c r="EJ1125"/>
      <c r="EK1125"/>
    </row>
    <row r="1126" spans="1:141" s="116" customFormat="1">
      <c r="A1126" s="136"/>
      <c r="CM1126" s="111"/>
      <c r="CQ1126" s="111"/>
      <c r="EF1126"/>
      <c r="EG1126"/>
      <c r="EH1126"/>
      <c r="EI1126"/>
      <c r="EJ1126"/>
      <c r="EK1126"/>
    </row>
    <row r="1127" spans="1:141" s="116" customFormat="1">
      <c r="A1127" s="136"/>
      <c r="CM1127" s="111"/>
      <c r="CQ1127" s="111"/>
      <c r="EF1127"/>
      <c r="EG1127"/>
      <c r="EH1127"/>
      <c r="EI1127"/>
      <c r="EJ1127"/>
      <c r="EK1127"/>
    </row>
    <row r="1128" spans="1:141" s="116" customFormat="1">
      <c r="A1128" s="136"/>
      <c r="CM1128" s="111"/>
      <c r="CQ1128" s="111"/>
      <c r="EF1128"/>
      <c r="EG1128"/>
      <c r="EH1128"/>
      <c r="EI1128"/>
      <c r="EJ1128"/>
      <c r="EK1128"/>
    </row>
    <row r="1129" spans="1:141" s="116" customFormat="1">
      <c r="A1129" s="136"/>
      <c r="CM1129" s="111"/>
      <c r="CQ1129" s="111"/>
      <c r="EF1129"/>
      <c r="EG1129"/>
      <c r="EH1129"/>
      <c r="EI1129"/>
      <c r="EJ1129"/>
      <c r="EK1129"/>
    </row>
    <row r="1130" spans="1:141" s="116" customFormat="1">
      <c r="A1130" s="136"/>
      <c r="CM1130" s="111"/>
      <c r="CQ1130" s="111"/>
      <c r="EF1130"/>
      <c r="EG1130"/>
      <c r="EH1130"/>
      <c r="EI1130"/>
      <c r="EJ1130"/>
      <c r="EK1130"/>
    </row>
    <row r="1131" spans="1:141" s="116" customFormat="1">
      <c r="A1131" s="136"/>
      <c r="CM1131" s="111"/>
      <c r="CQ1131" s="111"/>
      <c r="EF1131"/>
      <c r="EG1131"/>
      <c r="EH1131"/>
      <c r="EI1131"/>
      <c r="EJ1131"/>
      <c r="EK1131"/>
    </row>
    <row r="1132" spans="1:141" s="116" customFormat="1">
      <c r="A1132" s="136"/>
      <c r="CM1132" s="111"/>
      <c r="CQ1132" s="111"/>
      <c r="EF1132"/>
      <c r="EG1132"/>
      <c r="EH1132"/>
      <c r="EI1132"/>
      <c r="EJ1132"/>
      <c r="EK1132"/>
    </row>
    <row r="1133" spans="1:141" s="116" customFormat="1">
      <c r="A1133" s="136"/>
      <c r="CM1133" s="111"/>
      <c r="CQ1133" s="111"/>
      <c r="EF1133"/>
      <c r="EG1133"/>
      <c r="EH1133"/>
      <c r="EI1133"/>
      <c r="EJ1133"/>
      <c r="EK1133"/>
    </row>
    <row r="1134" spans="1:141" s="116" customFormat="1">
      <c r="A1134" s="136"/>
      <c r="CM1134" s="111"/>
      <c r="CQ1134" s="111"/>
      <c r="EF1134"/>
      <c r="EG1134"/>
      <c r="EH1134"/>
      <c r="EI1134"/>
      <c r="EJ1134"/>
      <c r="EK1134"/>
    </row>
    <row r="1135" spans="1:141" s="116" customFormat="1">
      <c r="A1135" s="136"/>
      <c r="CM1135" s="111"/>
      <c r="CQ1135" s="111"/>
      <c r="EF1135"/>
      <c r="EG1135"/>
      <c r="EH1135"/>
      <c r="EI1135"/>
      <c r="EJ1135"/>
      <c r="EK1135"/>
    </row>
    <row r="1136" spans="1:141" s="116" customFormat="1">
      <c r="A1136" s="136"/>
      <c r="CM1136" s="111"/>
      <c r="CQ1136" s="111"/>
      <c r="EF1136"/>
      <c r="EG1136"/>
      <c r="EH1136"/>
      <c r="EI1136"/>
      <c r="EJ1136"/>
      <c r="EK1136"/>
    </row>
    <row r="1137" spans="1:141" s="116" customFormat="1">
      <c r="A1137" s="136"/>
      <c r="CM1137" s="111"/>
      <c r="CQ1137" s="111"/>
      <c r="EF1137"/>
      <c r="EG1137"/>
      <c r="EH1137"/>
      <c r="EI1137"/>
      <c r="EJ1137"/>
      <c r="EK1137"/>
    </row>
    <row r="1138" spans="1:141" s="116" customFormat="1">
      <c r="A1138" s="136"/>
      <c r="CM1138" s="111"/>
      <c r="CQ1138" s="111"/>
      <c r="EF1138"/>
      <c r="EG1138"/>
      <c r="EH1138"/>
      <c r="EI1138"/>
      <c r="EJ1138"/>
      <c r="EK1138"/>
    </row>
    <row r="1139" spans="1:141" s="116" customFormat="1">
      <c r="A1139" s="136"/>
      <c r="CM1139" s="111"/>
      <c r="CQ1139" s="111"/>
      <c r="EF1139"/>
      <c r="EG1139"/>
      <c r="EH1139"/>
      <c r="EI1139"/>
      <c r="EJ1139"/>
      <c r="EK1139"/>
    </row>
    <row r="1140" spans="1:141" s="116" customFormat="1">
      <c r="A1140" s="136"/>
      <c r="CM1140" s="111"/>
      <c r="CQ1140" s="111"/>
      <c r="EF1140"/>
      <c r="EG1140"/>
      <c r="EH1140"/>
      <c r="EI1140"/>
      <c r="EJ1140"/>
      <c r="EK1140"/>
    </row>
    <row r="1141" spans="1:141" s="116" customFormat="1">
      <c r="A1141" s="136"/>
      <c r="CM1141" s="111"/>
      <c r="CQ1141" s="111"/>
      <c r="EF1141"/>
      <c r="EG1141"/>
      <c r="EH1141"/>
      <c r="EI1141"/>
      <c r="EJ1141"/>
      <c r="EK1141"/>
    </row>
    <row r="1142" spans="1:141" s="116" customFormat="1">
      <c r="A1142" s="136"/>
      <c r="CM1142" s="111"/>
      <c r="CQ1142" s="111"/>
      <c r="EF1142"/>
      <c r="EG1142"/>
      <c r="EH1142"/>
      <c r="EI1142"/>
      <c r="EJ1142"/>
      <c r="EK1142"/>
    </row>
    <row r="1143" spans="1:141" s="116" customFormat="1">
      <c r="A1143" s="136"/>
      <c r="CM1143" s="111"/>
      <c r="CQ1143" s="111"/>
      <c r="EF1143"/>
      <c r="EG1143"/>
      <c r="EH1143"/>
      <c r="EI1143"/>
      <c r="EJ1143"/>
      <c r="EK1143"/>
    </row>
    <row r="1144" spans="1:141" s="116" customFormat="1">
      <c r="A1144" s="136"/>
      <c r="CM1144" s="111"/>
      <c r="CQ1144" s="111"/>
      <c r="EF1144"/>
      <c r="EG1144"/>
      <c r="EH1144"/>
      <c r="EI1144"/>
      <c r="EJ1144"/>
      <c r="EK1144"/>
    </row>
    <row r="1145" spans="1:141" s="116" customFormat="1">
      <c r="A1145" s="136"/>
      <c r="CM1145" s="111"/>
      <c r="CQ1145" s="111"/>
      <c r="EF1145"/>
      <c r="EG1145"/>
      <c r="EH1145"/>
      <c r="EI1145"/>
      <c r="EJ1145"/>
      <c r="EK1145"/>
    </row>
    <row r="1146" spans="1:141" s="116" customFormat="1">
      <c r="A1146" s="136"/>
      <c r="CM1146" s="111"/>
      <c r="CQ1146" s="111"/>
      <c r="EF1146"/>
      <c r="EG1146"/>
      <c r="EH1146"/>
      <c r="EI1146"/>
      <c r="EJ1146"/>
      <c r="EK1146"/>
    </row>
    <row r="1147" spans="1:141" s="116" customFormat="1">
      <c r="A1147" s="136"/>
      <c r="CM1147" s="111"/>
      <c r="CQ1147" s="111"/>
      <c r="EF1147"/>
      <c r="EG1147"/>
      <c r="EH1147"/>
      <c r="EI1147"/>
      <c r="EJ1147"/>
      <c r="EK1147"/>
    </row>
    <row r="1148" spans="1:141" s="116" customFormat="1">
      <c r="A1148" s="136"/>
      <c r="CM1148" s="111"/>
      <c r="CQ1148" s="111"/>
      <c r="EF1148"/>
      <c r="EG1148"/>
      <c r="EH1148"/>
      <c r="EI1148"/>
      <c r="EJ1148"/>
      <c r="EK1148"/>
    </row>
    <row r="1149" spans="1:141" s="116" customFormat="1">
      <c r="A1149" s="136"/>
      <c r="CM1149" s="111"/>
      <c r="CQ1149" s="111"/>
      <c r="EF1149"/>
      <c r="EG1149"/>
      <c r="EH1149"/>
      <c r="EI1149"/>
      <c r="EJ1149"/>
      <c r="EK1149"/>
    </row>
    <row r="1150" spans="1:141" s="116" customFormat="1">
      <c r="A1150" s="136"/>
      <c r="CM1150" s="111"/>
      <c r="CQ1150" s="111"/>
      <c r="EF1150"/>
      <c r="EG1150"/>
      <c r="EH1150"/>
      <c r="EI1150"/>
      <c r="EJ1150"/>
      <c r="EK1150"/>
    </row>
    <row r="1151" spans="1:141" s="116" customFormat="1">
      <c r="A1151" s="136"/>
      <c r="CM1151" s="111"/>
      <c r="CQ1151" s="111"/>
      <c r="EF1151"/>
      <c r="EG1151"/>
      <c r="EH1151"/>
      <c r="EI1151"/>
      <c r="EJ1151"/>
      <c r="EK1151"/>
    </row>
    <row r="1152" spans="1:141" s="116" customFormat="1">
      <c r="A1152" s="136"/>
      <c r="CM1152" s="111"/>
      <c r="CQ1152" s="111"/>
      <c r="EF1152"/>
      <c r="EG1152"/>
      <c r="EH1152"/>
      <c r="EI1152"/>
      <c r="EJ1152"/>
      <c r="EK1152"/>
    </row>
    <row r="1153" spans="1:141" s="116" customFormat="1">
      <c r="A1153" s="136"/>
      <c r="CM1153" s="111"/>
      <c r="CQ1153" s="111"/>
      <c r="EF1153"/>
      <c r="EG1153"/>
      <c r="EH1153"/>
      <c r="EI1153"/>
      <c r="EJ1153"/>
      <c r="EK1153"/>
    </row>
    <row r="1154" spans="1:141" s="116" customFormat="1">
      <c r="A1154" s="136"/>
      <c r="CM1154" s="111"/>
      <c r="CQ1154" s="111"/>
      <c r="EF1154"/>
      <c r="EG1154"/>
      <c r="EH1154"/>
      <c r="EI1154"/>
      <c r="EJ1154"/>
      <c r="EK1154"/>
    </row>
    <row r="1155" spans="1:141" s="116" customFormat="1">
      <c r="A1155" s="136"/>
      <c r="CM1155" s="111"/>
      <c r="CQ1155" s="111"/>
      <c r="EF1155"/>
      <c r="EG1155"/>
      <c r="EH1155"/>
      <c r="EI1155"/>
      <c r="EJ1155"/>
      <c r="EK1155"/>
    </row>
    <row r="1156" spans="1:141" s="116" customFormat="1">
      <c r="A1156" s="136"/>
      <c r="CM1156" s="111"/>
      <c r="CQ1156" s="111"/>
      <c r="EF1156"/>
      <c r="EG1156"/>
      <c r="EH1156"/>
      <c r="EI1156"/>
      <c r="EJ1156"/>
      <c r="EK1156"/>
    </row>
    <row r="1157" spans="1:141" s="116" customFormat="1">
      <c r="A1157" s="136"/>
      <c r="CM1157" s="111"/>
      <c r="CQ1157" s="111"/>
      <c r="EF1157"/>
      <c r="EG1157"/>
      <c r="EH1157"/>
      <c r="EI1157"/>
      <c r="EJ1157"/>
      <c r="EK1157"/>
    </row>
    <row r="1158" spans="1:141" s="116" customFormat="1">
      <c r="A1158" s="136"/>
      <c r="CM1158" s="111"/>
      <c r="CQ1158" s="111"/>
      <c r="EF1158"/>
      <c r="EG1158"/>
      <c r="EH1158"/>
      <c r="EI1158"/>
      <c r="EJ1158"/>
      <c r="EK1158"/>
    </row>
    <row r="1159" spans="1:141" s="116" customFormat="1">
      <c r="A1159" s="136"/>
      <c r="CM1159" s="111"/>
      <c r="CQ1159" s="111"/>
      <c r="EF1159"/>
      <c r="EG1159"/>
      <c r="EH1159"/>
      <c r="EI1159"/>
      <c r="EJ1159"/>
      <c r="EK1159"/>
    </row>
    <row r="1160" spans="1:141" s="116" customFormat="1">
      <c r="A1160" s="136"/>
      <c r="CM1160" s="111"/>
      <c r="CQ1160" s="111"/>
      <c r="EF1160"/>
      <c r="EG1160"/>
      <c r="EH1160"/>
      <c r="EI1160"/>
      <c r="EJ1160"/>
      <c r="EK1160"/>
    </row>
    <row r="1161" spans="1:141" s="116" customFormat="1">
      <c r="A1161" s="136"/>
      <c r="CM1161" s="111"/>
      <c r="CQ1161" s="111"/>
      <c r="EF1161"/>
      <c r="EG1161"/>
      <c r="EH1161"/>
      <c r="EI1161"/>
      <c r="EJ1161"/>
      <c r="EK1161"/>
    </row>
    <row r="1162" spans="1:141" s="116" customFormat="1">
      <c r="A1162" s="136"/>
      <c r="CM1162" s="111"/>
      <c r="CQ1162" s="111"/>
      <c r="EF1162"/>
      <c r="EG1162"/>
      <c r="EH1162"/>
      <c r="EI1162"/>
      <c r="EJ1162"/>
      <c r="EK1162"/>
    </row>
    <row r="1163" spans="1:141" s="116" customFormat="1">
      <c r="A1163" s="136"/>
      <c r="CM1163" s="111"/>
      <c r="CQ1163" s="111"/>
      <c r="EF1163"/>
      <c r="EG1163"/>
      <c r="EH1163"/>
      <c r="EI1163"/>
      <c r="EJ1163"/>
      <c r="EK1163"/>
    </row>
    <row r="1164" spans="1:141" s="116" customFormat="1">
      <c r="A1164" s="136"/>
      <c r="CM1164" s="111"/>
      <c r="CQ1164" s="111"/>
      <c r="EF1164"/>
      <c r="EG1164"/>
      <c r="EH1164"/>
      <c r="EI1164"/>
      <c r="EJ1164"/>
      <c r="EK1164"/>
    </row>
    <row r="1165" spans="1:141" s="116" customFormat="1">
      <c r="A1165" s="136"/>
      <c r="CM1165" s="111"/>
      <c r="CQ1165" s="111"/>
      <c r="EF1165"/>
      <c r="EG1165"/>
      <c r="EH1165"/>
      <c r="EI1165"/>
      <c r="EJ1165"/>
      <c r="EK1165"/>
    </row>
    <row r="1166" spans="1:141" s="116" customFormat="1">
      <c r="A1166" s="136"/>
      <c r="CM1166" s="111"/>
      <c r="CQ1166" s="111"/>
      <c r="EF1166"/>
      <c r="EG1166"/>
      <c r="EH1166"/>
      <c r="EI1166"/>
      <c r="EJ1166"/>
      <c r="EK1166"/>
    </row>
    <row r="1167" spans="1:141" s="116" customFormat="1">
      <c r="A1167" s="136"/>
      <c r="CM1167" s="111"/>
      <c r="CQ1167" s="111"/>
      <c r="EF1167"/>
      <c r="EG1167"/>
      <c r="EH1167"/>
      <c r="EI1167"/>
      <c r="EJ1167"/>
      <c r="EK1167"/>
    </row>
    <row r="1168" spans="1:141" s="116" customFormat="1">
      <c r="A1168" s="136"/>
      <c r="CM1168" s="111"/>
      <c r="CQ1168" s="111"/>
      <c r="EF1168"/>
      <c r="EG1168"/>
      <c r="EH1168"/>
      <c r="EI1168"/>
      <c r="EJ1168"/>
      <c r="EK1168"/>
    </row>
    <row r="1169" spans="1:141" s="116" customFormat="1">
      <c r="A1169" s="136"/>
      <c r="CM1169" s="111"/>
      <c r="CQ1169" s="111"/>
      <c r="EF1169"/>
      <c r="EG1169"/>
      <c r="EH1169"/>
      <c r="EI1169"/>
      <c r="EJ1169"/>
      <c r="EK1169"/>
    </row>
    <row r="1170" spans="1:141" s="116" customFormat="1">
      <c r="A1170" s="136"/>
      <c r="CM1170" s="111"/>
      <c r="CQ1170" s="111"/>
      <c r="EF1170"/>
      <c r="EG1170"/>
      <c r="EH1170"/>
      <c r="EI1170"/>
      <c r="EJ1170"/>
      <c r="EK1170"/>
    </row>
    <row r="1171" spans="1:141" s="116" customFormat="1">
      <c r="A1171" s="136"/>
      <c r="CM1171" s="111"/>
      <c r="CQ1171" s="111"/>
      <c r="EF1171"/>
      <c r="EG1171"/>
      <c r="EH1171"/>
      <c r="EI1171"/>
      <c r="EJ1171"/>
      <c r="EK1171"/>
    </row>
    <row r="1172" spans="1:141" s="116" customFormat="1">
      <c r="A1172" s="136"/>
      <c r="CM1172" s="111"/>
      <c r="CQ1172" s="111"/>
      <c r="EF1172"/>
      <c r="EG1172"/>
      <c r="EH1172"/>
      <c r="EI1172"/>
      <c r="EJ1172"/>
      <c r="EK1172"/>
    </row>
    <row r="1173" spans="1:141" s="116" customFormat="1">
      <c r="A1173" s="136"/>
      <c r="CM1173" s="111"/>
      <c r="CQ1173" s="111"/>
      <c r="EF1173"/>
      <c r="EG1173"/>
      <c r="EH1173"/>
      <c r="EI1173"/>
      <c r="EJ1173"/>
      <c r="EK1173"/>
    </row>
    <row r="1174" spans="1:141" s="116" customFormat="1">
      <c r="A1174" s="136"/>
      <c r="CM1174" s="111"/>
      <c r="CQ1174" s="111"/>
      <c r="EF1174"/>
      <c r="EG1174"/>
      <c r="EH1174"/>
      <c r="EI1174"/>
      <c r="EJ1174"/>
      <c r="EK1174"/>
    </row>
    <row r="1175" spans="1:141" s="116" customFormat="1">
      <c r="A1175" s="136"/>
      <c r="CM1175" s="111"/>
      <c r="CQ1175" s="111"/>
      <c r="EF1175"/>
      <c r="EG1175"/>
      <c r="EH1175"/>
      <c r="EI1175"/>
      <c r="EJ1175"/>
      <c r="EK1175"/>
    </row>
    <row r="1176" spans="1:141" s="116" customFormat="1">
      <c r="A1176" s="136"/>
      <c r="CM1176" s="111"/>
      <c r="CQ1176" s="111"/>
      <c r="EF1176"/>
      <c r="EG1176"/>
      <c r="EH1176"/>
      <c r="EI1176"/>
      <c r="EJ1176"/>
      <c r="EK1176"/>
    </row>
    <row r="1177" spans="1:141" s="116" customFormat="1">
      <c r="A1177" s="136"/>
      <c r="CM1177" s="111"/>
      <c r="CQ1177" s="111"/>
      <c r="EF1177"/>
      <c r="EG1177"/>
      <c r="EH1177"/>
      <c r="EI1177"/>
      <c r="EJ1177"/>
      <c r="EK1177"/>
    </row>
    <row r="1178" spans="1:141" s="116" customFormat="1">
      <c r="A1178" s="136"/>
      <c r="CM1178" s="111"/>
      <c r="CQ1178" s="111"/>
      <c r="EF1178"/>
      <c r="EG1178"/>
      <c r="EH1178"/>
      <c r="EI1178"/>
      <c r="EJ1178"/>
      <c r="EK1178"/>
    </row>
    <row r="1179" spans="1:141" s="116" customFormat="1">
      <c r="A1179" s="136"/>
      <c r="CM1179" s="111"/>
      <c r="CQ1179" s="111"/>
      <c r="EF1179"/>
      <c r="EG1179"/>
      <c r="EH1179"/>
      <c r="EI1179"/>
      <c r="EJ1179"/>
      <c r="EK1179"/>
    </row>
    <row r="1180" spans="1:141" s="116" customFormat="1">
      <c r="A1180" s="136"/>
      <c r="CM1180" s="111"/>
      <c r="CQ1180" s="111"/>
      <c r="EF1180"/>
      <c r="EG1180"/>
      <c r="EH1180"/>
      <c r="EI1180"/>
      <c r="EJ1180"/>
      <c r="EK1180"/>
    </row>
    <row r="1181" spans="1:141" s="116" customFormat="1">
      <c r="A1181" s="136"/>
      <c r="CM1181" s="111"/>
      <c r="CQ1181" s="111"/>
      <c r="EF1181"/>
      <c r="EG1181"/>
      <c r="EH1181"/>
      <c r="EI1181"/>
      <c r="EJ1181"/>
      <c r="EK1181"/>
    </row>
    <row r="1182" spans="1:141" s="116" customFormat="1">
      <c r="A1182" s="136"/>
      <c r="CM1182" s="111"/>
      <c r="CQ1182" s="111"/>
      <c r="EF1182"/>
      <c r="EG1182"/>
      <c r="EH1182"/>
      <c r="EI1182"/>
      <c r="EJ1182"/>
      <c r="EK1182"/>
    </row>
    <row r="1183" spans="1:141" s="116" customFormat="1">
      <c r="A1183" s="136"/>
      <c r="CM1183" s="111"/>
      <c r="CQ1183" s="111"/>
      <c r="EF1183"/>
      <c r="EG1183"/>
      <c r="EH1183"/>
      <c r="EI1183"/>
      <c r="EJ1183"/>
      <c r="EK1183"/>
    </row>
    <row r="1184" spans="1:141" s="116" customFormat="1">
      <c r="A1184" s="136"/>
      <c r="CM1184" s="111"/>
      <c r="CQ1184" s="111"/>
      <c r="EF1184"/>
      <c r="EG1184"/>
      <c r="EH1184"/>
      <c r="EI1184"/>
      <c r="EJ1184"/>
      <c r="EK1184"/>
    </row>
    <row r="1185" spans="1:141" s="116" customFormat="1">
      <c r="A1185" s="136"/>
      <c r="CM1185" s="111"/>
      <c r="CQ1185" s="111"/>
      <c r="EF1185"/>
      <c r="EG1185"/>
      <c r="EH1185"/>
      <c r="EI1185"/>
      <c r="EJ1185"/>
      <c r="EK1185"/>
    </row>
    <row r="1186" spans="1:141" s="116" customFormat="1">
      <c r="A1186" s="136"/>
      <c r="CM1186" s="111"/>
      <c r="CQ1186" s="111"/>
      <c r="EF1186"/>
      <c r="EG1186"/>
      <c r="EH1186"/>
      <c r="EI1186"/>
      <c r="EJ1186"/>
      <c r="EK1186"/>
    </row>
    <row r="1187" spans="1:141" s="116" customFormat="1">
      <c r="A1187" s="136"/>
      <c r="CM1187" s="111"/>
      <c r="CQ1187" s="111"/>
      <c r="EF1187"/>
      <c r="EG1187"/>
      <c r="EH1187"/>
      <c r="EI1187"/>
      <c r="EJ1187"/>
      <c r="EK1187"/>
    </row>
    <row r="1188" spans="1:141" s="116" customFormat="1">
      <c r="A1188" s="136"/>
      <c r="CM1188" s="111"/>
      <c r="CQ1188" s="111"/>
      <c r="EF1188"/>
      <c r="EG1188"/>
      <c r="EH1188"/>
      <c r="EI1188"/>
      <c r="EJ1188"/>
      <c r="EK1188"/>
    </row>
    <row r="1189" spans="1:141" s="116" customFormat="1">
      <c r="A1189" s="136"/>
      <c r="CM1189" s="111"/>
      <c r="CQ1189" s="111"/>
      <c r="EF1189"/>
      <c r="EG1189"/>
      <c r="EH1189"/>
      <c r="EI1189"/>
      <c r="EJ1189"/>
      <c r="EK1189"/>
    </row>
    <row r="1190" spans="1:141" s="116" customFormat="1">
      <c r="A1190" s="136"/>
      <c r="CM1190" s="111"/>
      <c r="CQ1190" s="111"/>
      <c r="EF1190"/>
      <c r="EG1190"/>
      <c r="EH1190"/>
      <c r="EI1190"/>
      <c r="EJ1190"/>
      <c r="EK1190"/>
    </row>
    <row r="1191" spans="1:141" s="116" customFormat="1">
      <c r="A1191" s="136"/>
      <c r="CM1191" s="111"/>
      <c r="CQ1191" s="111"/>
      <c r="EF1191"/>
      <c r="EG1191"/>
      <c r="EH1191"/>
      <c r="EI1191"/>
      <c r="EJ1191"/>
      <c r="EK1191"/>
    </row>
    <row r="1192" spans="1:141" s="116" customFormat="1">
      <c r="A1192" s="136"/>
      <c r="CM1192" s="111"/>
      <c r="CQ1192" s="111"/>
      <c r="EF1192"/>
      <c r="EG1192"/>
      <c r="EH1192"/>
      <c r="EI1192"/>
      <c r="EJ1192"/>
      <c r="EK1192"/>
    </row>
    <row r="1193" spans="1:141" s="116" customFormat="1">
      <c r="A1193" s="136"/>
      <c r="CM1193" s="111"/>
      <c r="CQ1193" s="111"/>
      <c r="EF1193"/>
      <c r="EG1193"/>
      <c r="EH1193"/>
      <c r="EI1193"/>
      <c r="EJ1193"/>
      <c r="EK1193"/>
    </row>
    <row r="1194" spans="1:141" s="116" customFormat="1">
      <c r="A1194" s="136"/>
      <c r="CM1194" s="111"/>
      <c r="CQ1194" s="111"/>
      <c r="EF1194"/>
      <c r="EG1194"/>
      <c r="EH1194"/>
      <c r="EI1194"/>
      <c r="EJ1194"/>
      <c r="EK1194"/>
    </row>
    <row r="1195" spans="1:141" s="116" customFormat="1">
      <c r="A1195" s="136"/>
      <c r="CM1195" s="111"/>
      <c r="CQ1195" s="111"/>
      <c r="EF1195"/>
      <c r="EG1195"/>
      <c r="EH1195"/>
      <c r="EI1195"/>
      <c r="EJ1195"/>
      <c r="EK1195"/>
    </row>
    <row r="1196" spans="1:141" s="116" customFormat="1">
      <c r="A1196" s="136"/>
      <c r="CM1196" s="111"/>
      <c r="CQ1196" s="111"/>
      <c r="EF1196"/>
      <c r="EG1196"/>
      <c r="EH1196"/>
      <c r="EI1196"/>
      <c r="EJ1196"/>
      <c r="EK1196"/>
    </row>
    <row r="1197" spans="1:141" s="116" customFormat="1">
      <c r="A1197" s="136"/>
      <c r="CM1197" s="111"/>
      <c r="CQ1197" s="111"/>
      <c r="EF1197"/>
      <c r="EG1197"/>
      <c r="EH1197"/>
      <c r="EI1197"/>
      <c r="EJ1197"/>
      <c r="EK1197"/>
    </row>
    <row r="1198" spans="1:141" s="116" customFormat="1">
      <c r="A1198" s="136"/>
      <c r="CM1198" s="111"/>
      <c r="CQ1198" s="111"/>
      <c r="EF1198"/>
      <c r="EG1198"/>
      <c r="EH1198"/>
      <c r="EI1198"/>
      <c r="EJ1198"/>
      <c r="EK1198"/>
    </row>
    <row r="1199" spans="1:141" s="116" customFormat="1">
      <c r="A1199" s="136"/>
      <c r="CM1199" s="111"/>
      <c r="CQ1199" s="111"/>
      <c r="EF1199"/>
      <c r="EG1199"/>
      <c r="EH1199"/>
      <c r="EI1199"/>
      <c r="EJ1199"/>
      <c r="EK1199"/>
    </row>
    <row r="1200" spans="1:141" s="116" customFormat="1">
      <c r="A1200" s="136"/>
      <c r="CM1200" s="111"/>
      <c r="CQ1200" s="111"/>
      <c r="EF1200"/>
      <c r="EG1200"/>
      <c r="EH1200"/>
      <c r="EI1200"/>
      <c r="EJ1200"/>
      <c r="EK1200"/>
    </row>
    <row r="1201" spans="1:141" s="116" customFormat="1">
      <c r="A1201" s="136"/>
      <c r="CM1201" s="111"/>
      <c r="CQ1201" s="111"/>
      <c r="EF1201"/>
      <c r="EG1201"/>
      <c r="EH1201"/>
      <c r="EI1201"/>
      <c r="EJ1201"/>
      <c r="EK1201"/>
    </row>
    <row r="1202" spans="1:141" s="116" customFormat="1">
      <c r="A1202" s="136"/>
      <c r="CM1202" s="111"/>
      <c r="CQ1202" s="111"/>
      <c r="EF1202"/>
      <c r="EG1202"/>
      <c r="EH1202"/>
      <c r="EI1202"/>
      <c r="EJ1202"/>
      <c r="EK1202"/>
    </row>
    <row r="1203" spans="1:141" s="116" customFormat="1">
      <c r="A1203" s="136"/>
      <c r="CM1203" s="111"/>
      <c r="CQ1203" s="111"/>
      <c r="EF1203"/>
      <c r="EG1203"/>
      <c r="EH1203"/>
      <c r="EI1203"/>
      <c r="EJ1203"/>
      <c r="EK1203"/>
    </row>
    <row r="1204" spans="1:141" s="116" customFormat="1">
      <c r="A1204" s="136"/>
      <c r="CM1204" s="111"/>
      <c r="CQ1204" s="111"/>
      <c r="EF1204"/>
      <c r="EG1204"/>
      <c r="EH1204"/>
      <c r="EI1204"/>
      <c r="EJ1204"/>
      <c r="EK1204"/>
    </row>
    <row r="1205" spans="1:141" s="116" customFormat="1">
      <c r="A1205" s="136"/>
      <c r="CM1205" s="111"/>
      <c r="CQ1205" s="111"/>
      <c r="EF1205"/>
      <c r="EG1205"/>
      <c r="EH1205"/>
      <c r="EI1205"/>
      <c r="EJ1205"/>
      <c r="EK1205"/>
    </row>
    <row r="1206" spans="1:141" s="116" customFormat="1">
      <c r="A1206" s="136"/>
      <c r="CM1206" s="111"/>
      <c r="CQ1206" s="111"/>
      <c r="EF1206"/>
      <c r="EG1206"/>
      <c r="EH1206"/>
      <c r="EI1206"/>
      <c r="EJ1206"/>
      <c r="EK1206"/>
    </row>
    <row r="1207" spans="1:141" s="116" customFormat="1">
      <c r="A1207" s="136"/>
      <c r="CM1207" s="111"/>
      <c r="CQ1207" s="111"/>
      <c r="EF1207"/>
      <c r="EG1207"/>
      <c r="EH1207"/>
      <c r="EI1207"/>
      <c r="EJ1207"/>
      <c r="EK1207"/>
    </row>
    <row r="1208" spans="1:141" s="116" customFormat="1">
      <c r="A1208" s="136"/>
      <c r="CM1208" s="111"/>
      <c r="CQ1208" s="111"/>
      <c r="EF1208"/>
      <c r="EG1208"/>
      <c r="EH1208"/>
      <c r="EI1208"/>
      <c r="EJ1208"/>
      <c r="EK1208"/>
    </row>
    <row r="1209" spans="1:141" s="116" customFormat="1">
      <c r="A1209" s="136"/>
      <c r="CM1209" s="111"/>
      <c r="CQ1209" s="111"/>
      <c r="EF1209"/>
      <c r="EG1209"/>
      <c r="EH1209"/>
      <c r="EI1209"/>
      <c r="EJ1209"/>
      <c r="EK1209"/>
    </row>
    <row r="1210" spans="1:141" s="116" customFormat="1">
      <c r="A1210" s="136"/>
      <c r="CM1210" s="111"/>
      <c r="CQ1210" s="111"/>
      <c r="EF1210"/>
      <c r="EG1210"/>
      <c r="EH1210"/>
      <c r="EI1210"/>
      <c r="EJ1210"/>
      <c r="EK1210"/>
    </row>
    <row r="1211" spans="1:141" s="116" customFormat="1">
      <c r="A1211" s="136"/>
      <c r="CM1211" s="111"/>
      <c r="CQ1211" s="111"/>
      <c r="EF1211"/>
      <c r="EG1211"/>
      <c r="EH1211"/>
      <c r="EI1211"/>
      <c r="EJ1211"/>
      <c r="EK1211"/>
    </row>
    <row r="1212" spans="1:141" s="116" customFormat="1">
      <c r="A1212" s="136"/>
      <c r="CM1212" s="111"/>
      <c r="CQ1212" s="111"/>
      <c r="EF1212"/>
      <c r="EG1212"/>
      <c r="EH1212"/>
      <c r="EI1212"/>
      <c r="EJ1212"/>
      <c r="EK1212"/>
    </row>
    <row r="1213" spans="1:141" s="116" customFormat="1">
      <c r="A1213" s="136"/>
      <c r="CM1213" s="111"/>
      <c r="CQ1213" s="111"/>
      <c r="EF1213"/>
      <c r="EG1213"/>
      <c r="EH1213"/>
      <c r="EI1213"/>
      <c r="EJ1213"/>
      <c r="EK1213"/>
    </row>
    <row r="1214" spans="1:141" s="116" customFormat="1">
      <c r="A1214" s="136"/>
      <c r="CM1214" s="111"/>
      <c r="CQ1214" s="111"/>
      <c r="EF1214"/>
      <c r="EG1214"/>
      <c r="EH1214"/>
      <c r="EI1214"/>
      <c r="EJ1214"/>
      <c r="EK1214"/>
    </row>
    <row r="1215" spans="1:141" s="116" customFormat="1">
      <c r="A1215" s="136"/>
      <c r="CM1215" s="111"/>
      <c r="CQ1215" s="111"/>
      <c r="EF1215"/>
      <c r="EG1215"/>
      <c r="EH1215"/>
      <c r="EI1215"/>
      <c r="EJ1215"/>
      <c r="EK1215"/>
    </row>
    <row r="1216" spans="1:141" s="116" customFormat="1">
      <c r="A1216" s="136"/>
      <c r="CM1216" s="111"/>
      <c r="CQ1216" s="111"/>
      <c r="EF1216"/>
      <c r="EG1216"/>
      <c r="EH1216"/>
      <c r="EI1216"/>
      <c r="EJ1216"/>
      <c r="EK1216"/>
    </row>
    <row r="1217" spans="1:141" s="116" customFormat="1">
      <c r="A1217" s="136"/>
      <c r="CM1217" s="111"/>
      <c r="CQ1217" s="111"/>
      <c r="EF1217"/>
      <c r="EG1217"/>
      <c r="EH1217"/>
      <c r="EI1217"/>
      <c r="EJ1217"/>
      <c r="EK1217"/>
    </row>
    <row r="1218" spans="1:141" s="116" customFormat="1">
      <c r="A1218" s="136"/>
      <c r="CM1218" s="111"/>
      <c r="CQ1218" s="111"/>
      <c r="EF1218"/>
      <c r="EG1218"/>
      <c r="EH1218"/>
      <c r="EI1218"/>
      <c r="EJ1218"/>
      <c r="EK1218"/>
    </row>
    <row r="1219" spans="1:141" s="116" customFormat="1">
      <c r="A1219" s="136"/>
      <c r="CM1219" s="111"/>
      <c r="CQ1219" s="111"/>
      <c r="EF1219"/>
      <c r="EG1219"/>
      <c r="EH1219"/>
      <c r="EI1219"/>
      <c r="EJ1219"/>
      <c r="EK1219"/>
    </row>
    <row r="1220" spans="1:141" s="116" customFormat="1">
      <c r="A1220" s="136"/>
      <c r="CM1220" s="111"/>
      <c r="CQ1220" s="111"/>
      <c r="EF1220"/>
      <c r="EG1220"/>
      <c r="EH1220"/>
      <c r="EI1220"/>
      <c r="EJ1220"/>
      <c r="EK1220"/>
    </row>
    <row r="1221" spans="1:141" s="116" customFormat="1">
      <c r="A1221" s="136"/>
      <c r="CM1221" s="111"/>
      <c r="CQ1221" s="111"/>
      <c r="EF1221"/>
      <c r="EG1221"/>
      <c r="EH1221"/>
      <c r="EI1221"/>
      <c r="EJ1221"/>
      <c r="EK1221"/>
    </row>
    <row r="1222" spans="1:141" s="116" customFormat="1">
      <c r="A1222" s="136"/>
      <c r="CM1222" s="111"/>
      <c r="CQ1222" s="111"/>
      <c r="EF1222"/>
      <c r="EG1222"/>
      <c r="EH1222"/>
      <c r="EI1222"/>
      <c r="EJ1222"/>
      <c r="EK1222"/>
    </row>
    <row r="1223" spans="1:141" s="116" customFormat="1">
      <c r="A1223" s="136"/>
      <c r="CM1223" s="111"/>
      <c r="CQ1223" s="111"/>
      <c r="EF1223"/>
      <c r="EG1223"/>
      <c r="EH1223"/>
      <c r="EI1223"/>
      <c r="EJ1223"/>
      <c r="EK1223"/>
    </row>
    <row r="1224" spans="1:141" s="116" customFormat="1">
      <c r="A1224" s="136"/>
      <c r="CM1224" s="111"/>
      <c r="CQ1224" s="111"/>
      <c r="EF1224"/>
      <c r="EG1224"/>
      <c r="EH1224"/>
      <c r="EI1224"/>
      <c r="EJ1224"/>
      <c r="EK1224"/>
    </row>
    <row r="1225" spans="1:141" s="116" customFormat="1">
      <c r="A1225" s="136"/>
      <c r="CM1225" s="111"/>
      <c r="CQ1225" s="111"/>
      <c r="EF1225"/>
      <c r="EG1225"/>
      <c r="EH1225"/>
      <c r="EI1225"/>
      <c r="EJ1225"/>
      <c r="EK1225"/>
    </row>
    <row r="1226" spans="1:141" s="116" customFormat="1">
      <c r="A1226" s="136"/>
      <c r="CM1226" s="111"/>
      <c r="CQ1226" s="111"/>
      <c r="EF1226"/>
      <c r="EG1226"/>
      <c r="EH1226"/>
      <c r="EI1226"/>
      <c r="EJ1226"/>
      <c r="EK1226"/>
    </row>
    <row r="1227" spans="1:141" s="116" customFormat="1">
      <c r="A1227" s="136"/>
      <c r="CM1227" s="111"/>
      <c r="CQ1227" s="111"/>
      <c r="EF1227"/>
      <c r="EG1227"/>
      <c r="EH1227"/>
      <c r="EI1227"/>
      <c r="EJ1227"/>
      <c r="EK1227"/>
    </row>
    <row r="1228" spans="1:141" s="116" customFormat="1">
      <c r="A1228" s="136"/>
      <c r="CM1228" s="111"/>
      <c r="CQ1228" s="111"/>
      <c r="EF1228"/>
      <c r="EG1228"/>
      <c r="EH1228"/>
      <c r="EI1228"/>
      <c r="EJ1228"/>
      <c r="EK1228"/>
    </row>
    <row r="1229" spans="1:141" s="116" customFormat="1">
      <c r="A1229" s="136"/>
      <c r="CM1229" s="111"/>
      <c r="CQ1229" s="111"/>
      <c r="EF1229"/>
      <c r="EG1229"/>
      <c r="EH1229"/>
      <c r="EI1229"/>
      <c r="EJ1229"/>
      <c r="EK1229"/>
    </row>
    <row r="1230" spans="1:141" s="116" customFormat="1">
      <c r="A1230" s="136"/>
      <c r="CM1230" s="111"/>
      <c r="CQ1230" s="111"/>
      <c r="EF1230"/>
      <c r="EG1230"/>
      <c r="EH1230"/>
      <c r="EI1230"/>
      <c r="EJ1230"/>
      <c r="EK1230"/>
    </row>
    <row r="1231" spans="1:141" s="116" customFormat="1">
      <c r="A1231" s="136"/>
      <c r="CM1231" s="111"/>
      <c r="CQ1231" s="111"/>
      <c r="EF1231"/>
      <c r="EG1231"/>
      <c r="EH1231"/>
      <c r="EI1231"/>
      <c r="EJ1231"/>
      <c r="EK1231"/>
    </row>
    <row r="1232" spans="1:141" s="116" customFormat="1">
      <c r="A1232" s="136"/>
      <c r="CM1232" s="111"/>
      <c r="CQ1232" s="111"/>
      <c r="EF1232"/>
      <c r="EG1232"/>
      <c r="EH1232"/>
      <c r="EI1232"/>
      <c r="EJ1232"/>
      <c r="EK1232"/>
    </row>
    <row r="1233" spans="1:141" s="116" customFormat="1">
      <c r="A1233" s="136"/>
      <c r="CM1233" s="111"/>
      <c r="CQ1233" s="111"/>
      <c r="EF1233"/>
      <c r="EG1233"/>
      <c r="EH1233"/>
      <c r="EI1233"/>
      <c r="EJ1233"/>
      <c r="EK1233"/>
    </row>
    <row r="1234" spans="1:141" s="116" customFormat="1">
      <c r="A1234" s="136"/>
      <c r="CM1234" s="111"/>
      <c r="CQ1234" s="111"/>
      <c r="EF1234"/>
      <c r="EG1234"/>
      <c r="EH1234"/>
      <c r="EI1234"/>
      <c r="EJ1234"/>
      <c r="EK1234"/>
    </row>
    <row r="1235" spans="1:141" s="116" customFormat="1">
      <c r="A1235" s="136"/>
      <c r="CM1235" s="111"/>
      <c r="CQ1235" s="111"/>
      <c r="EF1235"/>
      <c r="EG1235"/>
      <c r="EH1235"/>
      <c r="EI1235"/>
      <c r="EJ1235"/>
      <c r="EK1235"/>
    </row>
    <row r="1236" spans="1:141" s="116" customFormat="1">
      <c r="A1236" s="136"/>
      <c r="CM1236" s="111"/>
      <c r="CQ1236" s="111"/>
      <c r="EF1236"/>
      <c r="EG1236"/>
      <c r="EH1236"/>
      <c r="EI1236"/>
      <c r="EJ1236"/>
      <c r="EK1236"/>
    </row>
    <row r="1237" spans="1:141" s="116" customFormat="1">
      <c r="A1237" s="136"/>
      <c r="CM1237" s="111"/>
      <c r="CQ1237" s="111"/>
      <c r="EF1237"/>
      <c r="EG1237"/>
      <c r="EH1237"/>
      <c r="EI1237"/>
      <c r="EJ1237"/>
      <c r="EK1237"/>
    </row>
    <row r="1238" spans="1:141" s="116" customFormat="1">
      <c r="A1238" s="136"/>
      <c r="CM1238" s="111"/>
      <c r="CQ1238" s="111"/>
      <c r="EF1238"/>
      <c r="EG1238"/>
      <c r="EH1238"/>
      <c r="EI1238"/>
      <c r="EJ1238"/>
      <c r="EK1238"/>
    </row>
    <row r="1239" spans="1:141" s="116" customFormat="1">
      <c r="A1239" s="136"/>
      <c r="CM1239" s="111"/>
      <c r="CQ1239" s="111"/>
      <c r="EF1239"/>
      <c r="EG1239"/>
      <c r="EH1239"/>
      <c r="EI1239"/>
      <c r="EJ1239"/>
      <c r="EK1239"/>
    </row>
    <row r="1240" spans="1:141" s="116" customFormat="1">
      <c r="A1240" s="136"/>
      <c r="CM1240" s="111"/>
      <c r="CQ1240" s="111"/>
      <c r="EF1240"/>
      <c r="EG1240"/>
      <c r="EH1240"/>
      <c r="EI1240"/>
      <c r="EJ1240"/>
      <c r="EK1240"/>
    </row>
    <row r="1241" spans="1:141" s="116" customFormat="1">
      <c r="A1241" s="136"/>
      <c r="CM1241" s="111"/>
      <c r="CQ1241" s="111"/>
      <c r="EF1241"/>
      <c r="EG1241"/>
      <c r="EH1241"/>
      <c r="EI1241"/>
      <c r="EJ1241"/>
      <c r="EK1241"/>
    </row>
    <row r="1242" spans="1:141" s="116" customFormat="1">
      <c r="A1242" s="136"/>
      <c r="CM1242" s="111"/>
      <c r="CQ1242" s="111"/>
      <c r="EF1242"/>
      <c r="EG1242"/>
      <c r="EH1242"/>
      <c r="EI1242"/>
      <c r="EJ1242"/>
      <c r="EK1242"/>
    </row>
    <row r="1243" spans="1:141" s="116" customFormat="1">
      <c r="A1243" s="136"/>
      <c r="CM1243" s="111"/>
      <c r="CQ1243" s="111"/>
      <c r="EF1243"/>
      <c r="EG1243"/>
      <c r="EH1243"/>
      <c r="EI1243"/>
      <c r="EJ1243"/>
      <c r="EK1243"/>
    </row>
    <row r="1244" spans="1:141" s="116" customFormat="1">
      <c r="A1244" s="136"/>
      <c r="CM1244" s="111"/>
      <c r="CQ1244" s="111"/>
      <c r="EF1244"/>
      <c r="EG1244"/>
      <c r="EH1244"/>
      <c r="EI1244"/>
      <c r="EJ1244"/>
      <c r="EK1244"/>
    </row>
    <row r="1245" spans="1:141" s="116" customFormat="1">
      <c r="A1245" s="136"/>
      <c r="CM1245" s="111"/>
      <c r="CQ1245" s="111"/>
      <c r="EF1245"/>
      <c r="EG1245"/>
      <c r="EH1245"/>
      <c r="EI1245"/>
      <c r="EJ1245"/>
      <c r="EK1245"/>
    </row>
    <row r="1246" spans="1:141" s="116" customFormat="1">
      <c r="A1246" s="136"/>
      <c r="CM1246" s="111"/>
      <c r="CQ1246" s="111"/>
      <c r="EF1246"/>
      <c r="EG1246"/>
      <c r="EH1246"/>
      <c r="EI1246"/>
      <c r="EJ1246"/>
      <c r="EK1246"/>
    </row>
    <row r="1247" spans="1:141" s="116" customFormat="1">
      <c r="A1247" s="136"/>
      <c r="CM1247" s="111"/>
      <c r="CQ1247" s="111"/>
      <c r="EF1247"/>
      <c r="EG1247"/>
      <c r="EH1247"/>
      <c r="EI1247"/>
      <c r="EJ1247"/>
      <c r="EK1247"/>
    </row>
    <row r="1248" spans="1:141" s="116" customFormat="1">
      <c r="A1248" s="136"/>
      <c r="CM1248" s="111"/>
      <c r="CQ1248" s="111"/>
      <c r="EF1248"/>
      <c r="EG1248"/>
      <c r="EH1248"/>
      <c r="EI1248"/>
      <c r="EJ1248"/>
      <c r="EK1248"/>
    </row>
    <row r="1249" spans="1:141" s="116" customFormat="1">
      <c r="A1249" s="136"/>
      <c r="CM1249" s="111"/>
      <c r="CQ1249" s="111"/>
      <c r="EF1249"/>
      <c r="EG1249"/>
      <c r="EH1249"/>
      <c r="EI1249"/>
      <c r="EJ1249"/>
      <c r="EK1249"/>
    </row>
    <row r="1250" spans="1:141" s="116" customFormat="1">
      <c r="A1250" s="136"/>
      <c r="CM1250" s="111"/>
      <c r="CQ1250" s="111"/>
      <c r="EF1250"/>
      <c r="EG1250"/>
      <c r="EH1250"/>
      <c r="EI1250"/>
      <c r="EJ1250"/>
      <c r="EK1250"/>
    </row>
    <row r="1251" spans="1:141" s="116" customFormat="1">
      <c r="A1251" s="136"/>
      <c r="CM1251" s="111"/>
      <c r="CQ1251" s="111"/>
      <c r="EF1251"/>
      <c r="EG1251"/>
      <c r="EH1251"/>
      <c r="EI1251"/>
      <c r="EJ1251"/>
      <c r="EK1251"/>
    </row>
    <row r="1252" spans="1:141" s="116" customFormat="1">
      <c r="A1252" s="136"/>
      <c r="CM1252" s="111"/>
      <c r="CQ1252" s="111"/>
      <c r="EF1252"/>
      <c r="EG1252"/>
      <c r="EH1252"/>
      <c r="EI1252"/>
      <c r="EJ1252"/>
      <c r="EK1252"/>
    </row>
    <row r="1253" spans="1:141" s="116" customFormat="1">
      <c r="A1253" s="136"/>
      <c r="CM1253" s="111"/>
      <c r="CQ1253" s="111"/>
      <c r="EF1253"/>
      <c r="EG1253"/>
      <c r="EH1253"/>
      <c r="EI1253"/>
      <c r="EJ1253"/>
      <c r="EK1253"/>
    </row>
    <row r="1254" spans="1:141" s="116" customFormat="1">
      <c r="A1254" s="136"/>
      <c r="CM1254" s="111"/>
      <c r="CQ1254" s="111"/>
      <c r="EF1254"/>
      <c r="EG1254"/>
      <c r="EH1254"/>
      <c r="EI1254"/>
      <c r="EJ1254"/>
      <c r="EK1254"/>
    </row>
    <row r="1255" spans="1:141" s="116" customFormat="1">
      <c r="A1255" s="136"/>
      <c r="CM1255" s="111"/>
      <c r="CQ1255" s="111"/>
      <c r="EF1255"/>
      <c r="EG1255"/>
      <c r="EH1255"/>
      <c r="EI1255"/>
      <c r="EJ1255"/>
      <c r="EK1255"/>
    </row>
    <row r="1256" spans="1:141" s="116" customFormat="1">
      <c r="A1256" s="136"/>
      <c r="CM1256" s="111"/>
      <c r="CQ1256" s="111"/>
      <c r="EF1256"/>
      <c r="EG1256"/>
      <c r="EH1256"/>
      <c r="EI1256"/>
      <c r="EJ1256"/>
      <c r="EK1256"/>
    </row>
    <row r="1257" spans="1:141" s="116" customFormat="1">
      <c r="A1257" s="136"/>
      <c r="CM1257" s="111"/>
      <c r="CQ1257" s="111"/>
      <c r="EF1257"/>
      <c r="EG1257"/>
      <c r="EH1257"/>
      <c r="EI1257"/>
      <c r="EJ1257"/>
      <c r="EK1257"/>
    </row>
    <row r="1258" spans="1:141" s="116" customFormat="1">
      <c r="A1258" s="136"/>
      <c r="CM1258" s="111"/>
      <c r="CQ1258" s="111"/>
      <c r="EF1258"/>
      <c r="EG1258"/>
      <c r="EH1258"/>
      <c r="EI1258"/>
      <c r="EJ1258"/>
      <c r="EK1258"/>
    </row>
    <row r="1259" spans="1:141" s="116" customFormat="1">
      <c r="A1259" s="136"/>
      <c r="CM1259" s="111"/>
      <c r="CQ1259" s="111"/>
      <c r="EF1259"/>
      <c r="EG1259"/>
      <c r="EH1259"/>
      <c r="EI1259"/>
      <c r="EJ1259"/>
      <c r="EK1259"/>
    </row>
    <row r="1260" spans="1:141" s="116" customFormat="1">
      <c r="A1260" s="136"/>
      <c r="CM1260" s="111"/>
      <c r="CQ1260" s="111"/>
      <c r="EF1260"/>
      <c r="EG1260"/>
      <c r="EH1260"/>
      <c r="EI1260"/>
      <c r="EJ1260"/>
      <c r="EK1260"/>
    </row>
    <row r="1261" spans="1:141" s="116" customFormat="1">
      <c r="A1261" s="136"/>
      <c r="CM1261" s="111"/>
      <c r="CQ1261" s="111"/>
      <c r="EF1261"/>
      <c r="EG1261"/>
      <c r="EH1261"/>
      <c r="EI1261"/>
      <c r="EJ1261"/>
      <c r="EK1261"/>
    </row>
    <row r="1262" spans="1:141" s="116" customFormat="1">
      <c r="A1262" s="136"/>
      <c r="CM1262" s="111"/>
      <c r="CQ1262" s="111"/>
      <c r="EF1262"/>
      <c r="EG1262"/>
      <c r="EH1262"/>
      <c r="EI1262"/>
      <c r="EJ1262"/>
      <c r="EK1262"/>
    </row>
    <row r="1263" spans="1:141" s="116" customFormat="1">
      <c r="A1263" s="136"/>
      <c r="CM1263" s="111"/>
      <c r="CQ1263" s="111"/>
      <c r="EF1263"/>
      <c r="EG1263"/>
      <c r="EH1263"/>
      <c r="EI1263"/>
      <c r="EJ1263"/>
      <c r="EK1263"/>
    </row>
    <row r="1264" spans="1:141" s="116" customFormat="1">
      <c r="A1264" s="136"/>
      <c r="CM1264" s="111"/>
      <c r="CQ1264" s="111"/>
      <c r="EF1264"/>
      <c r="EG1264"/>
      <c r="EH1264"/>
      <c r="EI1264"/>
      <c r="EJ1264"/>
      <c r="EK1264"/>
    </row>
    <row r="1265" spans="1:141" s="116" customFormat="1">
      <c r="A1265" s="136"/>
      <c r="CM1265" s="111"/>
      <c r="CQ1265" s="111"/>
      <c r="EF1265"/>
      <c r="EG1265"/>
      <c r="EH1265"/>
      <c r="EI1265"/>
      <c r="EJ1265"/>
      <c r="EK1265"/>
    </row>
    <row r="1266" spans="1:141" s="116" customFormat="1">
      <c r="A1266" s="136"/>
      <c r="CM1266" s="111"/>
      <c r="CQ1266" s="111"/>
      <c r="EF1266"/>
      <c r="EG1266"/>
      <c r="EH1266"/>
      <c r="EI1266"/>
      <c r="EJ1266"/>
      <c r="EK1266"/>
    </row>
    <row r="1267" spans="1:141" s="116" customFormat="1">
      <c r="A1267" s="136"/>
      <c r="CM1267" s="111"/>
      <c r="CQ1267" s="111"/>
      <c r="EF1267"/>
      <c r="EG1267"/>
      <c r="EH1267"/>
      <c r="EI1267"/>
      <c r="EJ1267"/>
      <c r="EK1267"/>
    </row>
    <row r="1268" spans="1:141" s="116" customFormat="1">
      <c r="A1268" s="136"/>
      <c r="CM1268" s="111"/>
      <c r="CQ1268" s="111"/>
      <c r="EF1268"/>
      <c r="EG1268"/>
      <c r="EH1268"/>
      <c r="EI1268"/>
      <c r="EJ1268"/>
      <c r="EK1268"/>
    </row>
    <row r="1269" spans="1:141" s="116" customFormat="1">
      <c r="A1269" s="136"/>
      <c r="CM1269" s="111"/>
      <c r="CQ1269" s="111"/>
      <c r="EF1269"/>
      <c r="EG1269"/>
      <c r="EH1269"/>
      <c r="EI1269"/>
      <c r="EJ1269"/>
      <c r="EK1269"/>
    </row>
    <row r="1270" spans="1:141" s="116" customFormat="1">
      <c r="A1270" s="136"/>
      <c r="CM1270" s="111"/>
      <c r="CQ1270" s="111"/>
      <c r="EF1270"/>
      <c r="EG1270"/>
      <c r="EH1270"/>
      <c r="EI1270"/>
      <c r="EJ1270"/>
      <c r="EK1270"/>
    </row>
    <row r="1271" spans="1:141" s="116" customFormat="1">
      <c r="A1271" s="136"/>
      <c r="CM1271" s="111"/>
      <c r="CQ1271" s="111"/>
      <c r="EF1271"/>
      <c r="EG1271"/>
      <c r="EH1271"/>
      <c r="EI1271"/>
      <c r="EJ1271"/>
      <c r="EK1271"/>
    </row>
    <row r="1272" spans="1:141" s="116" customFormat="1">
      <c r="A1272" s="136"/>
      <c r="CM1272" s="111"/>
      <c r="CQ1272" s="111"/>
      <c r="EF1272"/>
      <c r="EG1272"/>
      <c r="EH1272"/>
      <c r="EI1272"/>
      <c r="EJ1272"/>
      <c r="EK1272"/>
    </row>
    <row r="1273" spans="1:141" s="116" customFormat="1">
      <c r="A1273" s="136"/>
      <c r="CM1273" s="111"/>
      <c r="CQ1273" s="111"/>
      <c r="EF1273"/>
      <c r="EG1273"/>
      <c r="EH1273"/>
      <c r="EI1273"/>
      <c r="EJ1273"/>
      <c r="EK1273"/>
    </row>
    <row r="1274" spans="1:141" s="116" customFormat="1">
      <c r="A1274" s="136"/>
      <c r="CM1274" s="111"/>
      <c r="CQ1274" s="111"/>
      <c r="EF1274"/>
      <c r="EG1274"/>
      <c r="EH1274"/>
      <c r="EI1274"/>
      <c r="EJ1274"/>
      <c r="EK1274"/>
    </row>
    <row r="1275" spans="1:141" s="116" customFormat="1">
      <c r="A1275" s="136"/>
      <c r="CM1275" s="111"/>
      <c r="CQ1275" s="111"/>
      <c r="EF1275"/>
      <c r="EG1275"/>
      <c r="EH1275"/>
      <c r="EI1275"/>
      <c r="EJ1275"/>
      <c r="EK1275"/>
    </row>
    <row r="1276" spans="1:141" s="116" customFormat="1">
      <c r="A1276" s="136"/>
      <c r="CM1276" s="111"/>
      <c r="CQ1276" s="111"/>
      <c r="EF1276"/>
      <c r="EG1276"/>
      <c r="EH1276"/>
      <c r="EI1276"/>
      <c r="EJ1276"/>
      <c r="EK1276"/>
    </row>
    <row r="1277" spans="1:141" s="116" customFormat="1">
      <c r="A1277" s="136"/>
      <c r="CM1277" s="111"/>
      <c r="CQ1277" s="111"/>
      <c r="EF1277"/>
      <c r="EG1277"/>
      <c r="EH1277"/>
      <c r="EI1277"/>
      <c r="EJ1277"/>
      <c r="EK1277"/>
    </row>
    <row r="1278" spans="1:141" s="116" customFormat="1">
      <c r="A1278" s="136"/>
      <c r="CM1278" s="111"/>
      <c r="CQ1278" s="111"/>
      <c r="EF1278"/>
      <c r="EG1278"/>
      <c r="EH1278"/>
      <c r="EI1278"/>
      <c r="EJ1278"/>
      <c r="EK1278"/>
    </row>
    <row r="1279" spans="1:141" s="116" customFormat="1">
      <c r="A1279" s="136"/>
      <c r="CM1279" s="111"/>
      <c r="CQ1279" s="111"/>
      <c r="EF1279"/>
      <c r="EG1279"/>
      <c r="EH1279"/>
      <c r="EI1279"/>
      <c r="EJ1279"/>
      <c r="EK1279"/>
    </row>
    <row r="1280" spans="1:141" s="116" customFormat="1">
      <c r="A1280" s="136"/>
      <c r="CM1280" s="111"/>
      <c r="CQ1280" s="111"/>
      <c r="EF1280"/>
      <c r="EG1280"/>
      <c r="EH1280"/>
      <c r="EI1280"/>
      <c r="EJ1280"/>
      <c r="EK1280"/>
    </row>
    <row r="1281" spans="1:141" s="116" customFormat="1">
      <c r="A1281" s="136"/>
      <c r="CM1281" s="111"/>
      <c r="CQ1281" s="111"/>
      <c r="EF1281"/>
      <c r="EG1281"/>
      <c r="EH1281"/>
      <c r="EI1281"/>
      <c r="EJ1281"/>
      <c r="EK1281"/>
    </row>
    <row r="1282" spans="1:141" s="116" customFormat="1">
      <c r="A1282" s="136"/>
      <c r="CM1282" s="111"/>
      <c r="CQ1282" s="111"/>
      <c r="EF1282"/>
      <c r="EG1282"/>
      <c r="EH1282"/>
      <c r="EI1282"/>
      <c r="EJ1282"/>
      <c r="EK1282"/>
    </row>
    <row r="1283" spans="1:141" s="116" customFormat="1">
      <c r="A1283" s="136"/>
      <c r="CM1283" s="111"/>
      <c r="CQ1283" s="111"/>
      <c r="EF1283"/>
      <c r="EG1283"/>
      <c r="EH1283"/>
      <c r="EI1283"/>
      <c r="EJ1283"/>
      <c r="EK1283"/>
    </row>
    <row r="1284" spans="1:141" s="116" customFormat="1">
      <c r="A1284" s="136"/>
      <c r="CM1284" s="111"/>
      <c r="CQ1284" s="111"/>
      <c r="EF1284"/>
      <c r="EG1284"/>
      <c r="EH1284"/>
      <c r="EI1284"/>
      <c r="EJ1284"/>
      <c r="EK1284"/>
    </row>
    <row r="1285" spans="1:141" s="116" customFormat="1">
      <c r="A1285" s="136"/>
      <c r="CM1285" s="111"/>
      <c r="CQ1285" s="111"/>
      <c r="EF1285"/>
      <c r="EG1285"/>
      <c r="EH1285"/>
      <c r="EI1285"/>
      <c r="EJ1285"/>
      <c r="EK1285"/>
    </row>
    <row r="1286" spans="1:141" s="116" customFormat="1">
      <c r="A1286" s="136"/>
      <c r="CM1286" s="111"/>
      <c r="CQ1286" s="111"/>
      <c r="EF1286"/>
      <c r="EG1286"/>
      <c r="EH1286"/>
      <c r="EI1286"/>
      <c r="EJ1286"/>
      <c r="EK1286"/>
    </row>
    <row r="1287" spans="1:141" s="116" customFormat="1">
      <c r="A1287" s="136"/>
      <c r="CM1287" s="111"/>
      <c r="CQ1287" s="111"/>
      <c r="EF1287"/>
      <c r="EG1287"/>
      <c r="EH1287"/>
      <c r="EI1287"/>
      <c r="EJ1287"/>
      <c r="EK1287"/>
    </row>
    <row r="1288" spans="1:141" s="116" customFormat="1">
      <c r="A1288" s="136"/>
      <c r="CM1288" s="111"/>
      <c r="CQ1288" s="111"/>
      <c r="EF1288"/>
      <c r="EG1288"/>
      <c r="EH1288"/>
      <c r="EI1288"/>
      <c r="EJ1288"/>
      <c r="EK1288"/>
    </row>
    <row r="1289" spans="1:141" s="116" customFormat="1">
      <c r="A1289" s="136"/>
      <c r="CM1289" s="111"/>
      <c r="CQ1289" s="111"/>
      <c r="EF1289"/>
      <c r="EG1289"/>
      <c r="EH1289"/>
      <c r="EI1289"/>
      <c r="EJ1289"/>
      <c r="EK1289"/>
    </row>
    <row r="1290" spans="1:141" s="116" customFormat="1">
      <c r="A1290" s="136"/>
      <c r="CM1290" s="111"/>
      <c r="CQ1290" s="111"/>
      <c r="EF1290"/>
      <c r="EG1290"/>
      <c r="EH1290"/>
      <c r="EI1290"/>
      <c r="EJ1290"/>
      <c r="EK1290"/>
    </row>
    <row r="1291" spans="1:141" s="116" customFormat="1">
      <c r="A1291" s="136"/>
      <c r="CM1291" s="111"/>
      <c r="CQ1291" s="111"/>
      <c r="EF1291"/>
      <c r="EG1291"/>
      <c r="EH1291"/>
      <c r="EI1291"/>
      <c r="EJ1291"/>
      <c r="EK1291"/>
    </row>
    <row r="1292" spans="1:141" s="116" customFormat="1">
      <c r="A1292" s="136"/>
      <c r="CM1292" s="111"/>
      <c r="CQ1292" s="111"/>
      <c r="EF1292"/>
      <c r="EG1292"/>
      <c r="EH1292"/>
      <c r="EI1292"/>
      <c r="EJ1292"/>
      <c r="EK1292"/>
    </row>
    <row r="1293" spans="1:141" s="116" customFormat="1">
      <c r="A1293" s="136"/>
      <c r="CM1293" s="111"/>
      <c r="CQ1293" s="111"/>
      <c r="EF1293"/>
      <c r="EG1293"/>
      <c r="EH1293"/>
      <c r="EI1293"/>
      <c r="EJ1293"/>
      <c r="EK1293"/>
    </row>
    <row r="1294" spans="1:141" s="116" customFormat="1">
      <c r="A1294" s="136"/>
      <c r="CM1294" s="111"/>
      <c r="CQ1294" s="111"/>
      <c r="EF1294"/>
      <c r="EG1294"/>
      <c r="EH1294"/>
      <c r="EI1294"/>
      <c r="EJ1294"/>
      <c r="EK1294"/>
    </row>
    <row r="1295" spans="1:141" s="116" customFormat="1">
      <c r="A1295" s="136"/>
      <c r="CM1295" s="111"/>
      <c r="CQ1295" s="111"/>
      <c r="EF1295"/>
      <c r="EG1295"/>
      <c r="EH1295"/>
      <c r="EI1295"/>
      <c r="EJ1295"/>
      <c r="EK1295"/>
    </row>
    <row r="1296" spans="1:141" s="116" customFormat="1">
      <c r="A1296" s="136"/>
      <c r="CM1296" s="111"/>
      <c r="CQ1296" s="111"/>
      <c r="EF1296"/>
      <c r="EG1296"/>
      <c r="EH1296"/>
      <c r="EI1296"/>
      <c r="EJ1296"/>
      <c r="EK1296"/>
    </row>
    <row r="1297" spans="1:141" s="116" customFormat="1">
      <c r="A1297" s="136"/>
      <c r="CM1297" s="111"/>
      <c r="CQ1297" s="111"/>
      <c r="EF1297"/>
      <c r="EG1297"/>
      <c r="EH1297"/>
      <c r="EI1297"/>
      <c r="EJ1297"/>
      <c r="EK1297"/>
    </row>
    <row r="1298" spans="1:141" s="116" customFormat="1">
      <c r="A1298" s="136"/>
      <c r="CM1298" s="111"/>
      <c r="CQ1298" s="111"/>
      <c r="EF1298"/>
      <c r="EG1298"/>
      <c r="EH1298"/>
      <c r="EI1298"/>
      <c r="EJ1298"/>
      <c r="EK1298"/>
    </row>
    <row r="1299" spans="1:141" s="116" customFormat="1">
      <c r="A1299" s="136"/>
      <c r="CM1299" s="111"/>
      <c r="CQ1299" s="111"/>
      <c r="EF1299"/>
      <c r="EG1299"/>
      <c r="EH1299"/>
      <c r="EI1299"/>
      <c r="EJ1299"/>
      <c r="EK1299"/>
    </row>
    <row r="1300" spans="1:141" s="116" customFormat="1">
      <c r="A1300" s="136"/>
      <c r="CM1300" s="111"/>
      <c r="CQ1300" s="111"/>
      <c r="EF1300"/>
      <c r="EG1300"/>
      <c r="EH1300"/>
      <c r="EI1300"/>
      <c r="EJ1300"/>
      <c r="EK1300"/>
    </row>
    <row r="1301" spans="1:141" s="116" customFormat="1">
      <c r="A1301" s="136"/>
      <c r="CM1301" s="111"/>
      <c r="CQ1301" s="111"/>
      <c r="EF1301"/>
      <c r="EG1301"/>
      <c r="EH1301"/>
      <c r="EI1301"/>
      <c r="EJ1301"/>
      <c r="EK1301"/>
    </row>
    <row r="1302" spans="1:141" s="116" customFormat="1">
      <c r="A1302" s="136"/>
      <c r="CM1302" s="111"/>
      <c r="CQ1302" s="111"/>
      <c r="EF1302"/>
      <c r="EG1302"/>
      <c r="EH1302"/>
      <c r="EI1302"/>
      <c r="EJ1302"/>
      <c r="EK1302"/>
    </row>
    <row r="1303" spans="1:141" s="116" customFormat="1">
      <c r="A1303" s="136"/>
      <c r="CM1303" s="111"/>
      <c r="CQ1303" s="111"/>
      <c r="EF1303"/>
      <c r="EG1303"/>
      <c r="EH1303"/>
      <c r="EI1303"/>
      <c r="EJ1303"/>
      <c r="EK1303"/>
    </row>
    <row r="1304" spans="1:141" s="116" customFormat="1">
      <c r="A1304" s="136"/>
      <c r="CM1304" s="111"/>
      <c r="CQ1304" s="111"/>
      <c r="EF1304"/>
      <c r="EG1304"/>
      <c r="EH1304"/>
      <c r="EI1304"/>
      <c r="EJ1304"/>
      <c r="EK1304"/>
    </row>
    <row r="1305" spans="1:141" s="116" customFormat="1">
      <c r="A1305" s="136"/>
      <c r="CM1305" s="111"/>
      <c r="CQ1305" s="111"/>
      <c r="EF1305"/>
      <c r="EG1305"/>
      <c r="EH1305"/>
      <c r="EI1305"/>
      <c r="EJ1305"/>
      <c r="EK1305"/>
    </row>
    <row r="1306" spans="1:141" s="116" customFormat="1">
      <c r="A1306" s="136"/>
      <c r="CM1306" s="111"/>
      <c r="CQ1306" s="111"/>
      <c r="EF1306"/>
      <c r="EG1306"/>
      <c r="EH1306"/>
      <c r="EI1306"/>
      <c r="EJ1306"/>
      <c r="EK1306"/>
    </row>
    <row r="1307" spans="1:141" s="116" customFormat="1">
      <c r="A1307" s="136"/>
      <c r="CM1307" s="111"/>
      <c r="CQ1307" s="111"/>
      <c r="EF1307"/>
      <c r="EG1307"/>
      <c r="EH1307"/>
      <c r="EI1307"/>
      <c r="EJ1307"/>
      <c r="EK1307"/>
    </row>
    <row r="1308" spans="1:141" s="116" customFormat="1">
      <c r="A1308" s="136"/>
      <c r="CM1308" s="111"/>
      <c r="CQ1308" s="111"/>
      <c r="EF1308"/>
      <c r="EG1308"/>
      <c r="EH1308"/>
      <c r="EI1308"/>
      <c r="EJ1308"/>
      <c r="EK1308"/>
    </row>
    <row r="1309" spans="1:141" s="116" customFormat="1">
      <c r="A1309" s="136"/>
      <c r="CM1309" s="111"/>
      <c r="CQ1309" s="111"/>
      <c r="EF1309"/>
      <c r="EG1309"/>
      <c r="EH1309"/>
      <c r="EI1309"/>
      <c r="EJ1309"/>
      <c r="EK1309"/>
    </row>
    <row r="1310" spans="1:141" s="116" customFormat="1">
      <c r="A1310" s="136"/>
      <c r="CM1310" s="111"/>
      <c r="CQ1310" s="111"/>
      <c r="EF1310"/>
      <c r="EG1310"/>
      <c r="EH1310"/>
      <c r="EI1310"/>
      <c r="EJ1310"/>
      <c r="EK1310"/>
    </row>
    <row r="1311" spans="1:141" s="116" customFormat="1">
      <c r="A1311" s="136"/>
      <c r="CM1311" s="111"/>
      <c r="CQ1311" s="111"/>
      <c r="EF1311"/>
      <c r="EG1311"/>
      <c r="EH1311"/>
      <c r="EI1311"/>
      <c r="EJ1311"/>
      <c r="EK1311"/>
    </row>
    <row r="1312" spans="1:141" s="116" customFormat="1">
      <c r="A1312" s="136"/>
      <c r="CM1312" s="111"/>
      <c r="CQ1312" s="111"/>
      <c r="EF1312"/>
      <c r="EG1312"/>
      <c r="EH1312"/>
      <c r="EI1312"/>
      <c r="EJ1312"/>
      <c r="EK1312"/>
    </row>
    <row r="1313" spans="1:141" s="116" customFormat="1">
      <c r="A1313" s="136"/>
      <c r="CM1313" s="111"/>
      <c r="CQ1313" s="111"/>
      <c r="EF1313"/>
      <c r="EG1313"/>
      <c r="EH1313"/>
      <c r="EI1313"/>
      <c r="EJ1313"/>
      <c r="EK1313"/>
    </row>
    <row r="1314" spans="1:141" s="116" customFormat="1">
      <c r="A1314" s="136"/>
      <c r="CM1314" s="111"/>
      <c r="CQ1314" s="111"/>
      <c r="EF1314"/>
      <c r="EG1314"/>
      <c r="EH1314"/>
      <c r="EI1314"/>
      <c r="EJ1314"/>
      <c r="EK1314"/>
    </row>
    <row r="1315" spans="1:141" s="116" customFormat="1">
      <c r="A1315" s="136"/>
      <c r="CM1315" s="111"/>
      <c r="CQ1315" s="111"/>
      <c r="EF1315"/>
      <c r="EG1315"/>
      <c r="EH1315"/>
      <c r="EI1315"/>
      <c r="EJ1315"/>
      <c r="EK1315"/>
    </row>
    <row r="1316" spans="1:141" s="116" customFormat="1">
      <c r="A1316" s="136"/>
      <c r="CM1316" s="111"/>
      <c r="CQ1316" s="111"/>
      <c r="EF1316"/>
      <c r="EG1316"/>
      <c r="EH1316"/>
      <c r="EI1316"/>
      <c r="EJ1316"/>
      <c r="EK1316"/>
    </row>
    <row r="1317" spans="1:141" s="116" customFormat="1">
      <c r="A1317" s="136"/>
      <c r="CM1317" s="111"/>
      <c r="CQ1317" s="111"/>
      <c r="EF1317"/>
      <c r="EG1317"/>
      <c r="EH1317"/>
      <c r="EI1317"/>
      <c r="EJ1317"/>
      <c r="EK1317"/>
    </row>
    <row r="1318" spans="1:141" s="116" customFormat="1">
      <c r="A1318" s="136"/>
      <c r="CM1318" s="111"/>
      <c r="CQ1318" s="111"/>
      <c r="EF1318"/>
      <c r="EG1318"/>
      <c r="EH1318"/>
      <c r="EI1318"/>
      <c r="EJ1318"/>
      <c r="EK1318"/>
    </row>
    <row r="1319" spans="1:141" s="116" customFormat="1">
      <c r="A1319" s="136"/>
      <c r="CM1319" s="111"/>
      <c r="CQ1319" s="111"/>
      <c r="EF1319"/>
      <c r="EG1319"/>
      <c r="EH1319"/>
      <c r="EI1319"/>
      <c r="EJ1319"/>
      <c r="EK1319"/>
    </row>
    <row r="1320" spans="1:141" s="116" customFormat="1">
      <c r="A1320" s="136"/>
      <c r="CM1320" s="111"/>
      <c r="CQ1320" s="111"/>
      <c r="EF1320"/>
      <c r="EG1320"/>
      <c r="EH1320"/>
      <c r="EI1320"/>
      <c r="EJ1320"/>
      <c r="EK1320"/>
    </row>
    <row r="1321" spans="1:141" s="116" customFormat="1">
      <c r="A1321" s="136"/>
      <c r="CM1321" s="111"/>
      <c r="CQ1321" s="111"/>
      <c r="EF1321"/>
      <c r="EG1321"/>
      <c r="EH1321"/>
      <c r="EI1321"/>
      <c r="EJ1321"/>
      <c r="EK1321"/>
    </row>
    <row r="1322" spans="1:141" s="116" customFormat="1">
      <c r="A1322" s="136"/>
      <c r="CM1322" s="111"/>
      <c r="CQ1322" s="111"/>
      <c r="EF1322"/>
      <c r="EG1322"/>
      <c r="EH1322"/>
      <c r="EI1322"/>
      <c r="EJ1322"/>
      <c r="EK1322"/>
    </row>
    <row r="1323" spans="1:141" s="116" customFormat="1">
      <c r="A1323" s="136"/>
      <c r="CM1323" s="111"/>
      <c r="CQ1323" s="111"/>
      <c r="EF1323"/>
      <c r="EG1323"/>
      <c r="EH1323"/>
      <c r="EI1323"/>
      <c r="EJ1323"/>
      <c r="EK1323"/>
    </row>
    <row r="1324" spans="1:141" s="116" customFormat="1">
      <c r="A1324" s="136"/>
      <c r="CM1324" s="111"/>
      <c r="CQ1324" s="111"/>
      <c r="EF1324"/>
      <c r="EG1324"/>
      <c r="EH1324"/>
      <c r="EI1324"/>
      <c r="EJ1324"/>
      <c r="EK1324"/>
    </row>
    <row r="1325" spans="1:141" s="116" customFormat="1">
      <c r="A1325" s="136"/>
      <c r="CM1325" s="111"/>
      <c r="CQ1325" s="111"/>
      <c r="EF1325"/>
      <c r="EG1325"/>
      <c r="EH1325"/>
      <c r="EI1325"/>
      <c r="EJ1325"/>
      <c r="EK1325"/>
    </row>
    <row r="1326" spans="1:141" s="116" customFormat="1">
      <c r="A1326" s="136"/>
      <c r="CM1326" s="111"/>
      <c r="CQ1326" s="111"/>
      <c r="EF1326"/>
      <c r="EG1326"/>
      <c r="EH1326"/>
      <c r="EI1326"/>
      <c r="EJ1326"/>
      <c r="EK1326"/>
    </row>
    <row r="1327" spans="1:141" s="116" customFormat="1">
      <c r="A1327" s="136"/>
      <c r="CM1327" s="111"/>
      <c r="CQ1327" s="111"/>
      <c r="EF1327"/>
      <c r="EG1327"/>
      <c r="EH1327"/>
      <c r="EI1327"/>
      <c r="EJ1327"/>
      <c r="EK1327"/>
    </row>
    <row r="1328" spans="1:141" s="116" customFormat="1">
      <c r="A1328" s="136"/>
      <c r="CM1328" s="111"/>
      <c r="CQ1328" s="111"/>
      <c r="EF1328"/>
      <c r="EG1328"/>
      <c r="EH1328"/>
      <c r="EI1328"/>
      <c r="EJ1328"/>
      <c r="EK1328"/>
    </row>
    <row r="1329" spans="1:141" s="116" customFormat="1">
      <c r="A1329" s="136"/>
      <c r="CM1329" s="111"/>
      <c r="CQ1329" s="111"/>
      <c r="EF1329"/>
      <c r="EG1329"/>
      <c r="EH1329"/>
      <c r="EI1329"/>
      <c r="EJ1329"/>
      <c r="EK1329"/>
    </row>
    <row r="1330" spans="1:141" s="116" customFormat="1">
      <c r="A1330" s="136"/>
      <c r="CM1330" s="111"/>
      <c r="CQ1330" s="111"/>
      <c r="EF1330"/>
      <c r="EG1330"/>
      <c r="EH1330"/>
      <c r="EI1330"/>
      <c r="EJ1330"/>
      <c r="EK1330"/>
    </row>
    <row r="1331" spans="1:141" s="116" customFormat="1">
      <c r="A1331" s="136"/>
      <c r="CM1331" s="111"/>
      <c r="CQ1331" s="111"/>
      <c r="EF1331"/>
      <c r="EG1331"/>
      <c r="EH1331"/>
      <c r="EI1331"/>
      <c r="EJ1331"/>
      <c r="EK1331"/>
    </row>
    <row r="1332" spans="1:141" s="116" customFormat="1">
      <c r="A1332" s="136"/>
      <c r="CM1332" s="111"/>
      <c r="CQ1332" s="111"/>
      <c r="EF1332"/>
      <c r="EG1332"/>
      <c r="EH1332"/>
      <c r="EI1332"/>
      <c r="EJ1332"/>
      <c r="EK1332"/>
    </row>
    <row r="1333" spans="1:141" s="116" customFormat="1">
      <c r="A1333" s="136"/>
      <c r="CM1333" s="111"/>
      <c r="CQ1333" s="111"/>
      <c r="EF1333"/>
      <c r="EG1333"/>
      <c r="EH1333"/>
      <c r="EI1333"/>
      <c r="EJ1333"/>
      <c r="EK1333"/>
    </row>
    <row r="1334" spans="1:141" s="116" customFormat="1">
      <c r="A1334" s="136"/>
      <c r="CM1334" s="111"/>
      <c r="CQ1334" s="111"/>
      <c r="EF1334"/>
      <c r="EG1334"/>
      <c r="EH1334"/>
      <c r="EI1334"/>
      <c r="EJ1334"/>
      <c r="EK1334"/>
    </row>
    <row r="1335" spans="1:141" s="116" customFormat="1">
      <c r="A1335" s="136"/>
      <c r="CM1335" s="111"/>
      <c r="CQ1335" s="111"/>
      <c r="EF1335"/>
      <c r="EG1335"/>
      <c r="EH1335"/>
      <c r="EI1335"/>
      <c r="EJ1335"/>
      <c r="EK1335"/>
    </row>
    <row r="1336" spans="1:141" s="116" customFormat="1">
      <c r="A1336" s="136"/>
      <c r="CM1336" s="111"/>
      <c r="CQ1336" s="111"/>
      <c r="EF1336"/>
      <c r="EG1336"/>
      <c r="EH1336"/>
      <c r="EI1336"/>
      <c r="EJ1336"/>
      <c r="EK1336"/>
    </row>
    <row r="1337" spans="1:141" s="116" customFormat="1">
      <c r="A1337" s="136"/>
      <c r="CM1337" s="111"/>
      <c r="CQ1337" s="111"/>
      <c r="EF1337"/>
      <c r="EG1337"/>
      <c r="EH1337"/>
      <c r="EI1337"/>
      <c r="EJ1337"/>
      <c r="EK1337"/>
    </row>
    <row r="1338" spans="1:141" s="116" customFormat="1">
      <c r="A1338" s="136"/>
      <c r="CM1338" s="111"/>
      <c r="CQ1338" s="111"/>
      <c r="EF1338"/>
      <c r="EG1338"/>
      <c r="EH1338"/>
      <c r="EI1338"/>
      <c r="EJ1338"/>
      <c r="EK1338"/>
    </row>
    <row r="1339" spans="1:141" s="116" customFormat="1">
      <c r="A1339" s="136"/>
      <c r="CM1339" s="111"/>
      <c r="CQ1339" s="111"/>
      <c r="EF1339"/>
      <c r="EG1339"/>
      <c r="EH1339"/>
      <c r="EI1339"/>
      <c r="EJ1339"/>
      <c r="EK1339"/>
    </row>
    <row r="1340" spans="1:141" s="116" customFormat="1">
      <c r="A1340" s="136"/>
      <c r="CM1340" s="111"/>
      <c r="CQ1340" s="111"/>
      <c r="EF1340"/>
      <c r="EG1340"/>
      <c r="EH1340"/>
      <c r="EI1340"/>
      <c r="EJ1340"/>
      <c r="EK1340"/>
    </row>
    <row r="1341" spans="1:141" s="116" customFormat="1">
      <c r="A1341" s="136"/>
      <c r="CM1341" s="111"/>
      <c r="CQ1341" s="111"/>
      <c r="EF1341"/>
      <c r="EG1341"/>
      <c r="EH1341"/>
      <c r="EI1341"/>
      <c r="EJ1341"/>
      <c r="EK1341"/>
    </row>
    <row r="1342" spans="1:141" s="116" customFormat="1">
      <c r="A1342" s="136"/>
      <c r="CM1342" s="111"/>
      <c r="CQ1342" s="111"/>
      <c r="EF1342"/>
      <c r="EG1342"/>
      <c r="EH1342"/>
      <c r="EI1342"/>
      <c r="EJ1342"/>
      <c r="EK1342"/>
    </row>
    <row r="1343" spans="1:141" s="116" customFormat="1">
      <c r="A1343" s="136"/>
      <c r="CM1343" s="111"/>
      <c r="CQ1343" s="111"/>
      <c r="EF1343"/>
      <c r="EG1343"/>
      <c r="EH1343"/>
      <c r="EI1343"/>
      <c r="EJ1343"/>
      <c r="EK1343"/>
    </row>
    <row r="1344" spans="1:141" s="116" customFormat="1">
      <c r="A1344" s="136"/>
      <c r="CM1344" s="111"/>
      <c r="CQ1344" s="111"/>
      <c r="EF1344"/>
      <c r="EG1344"/>
      <c r="EH1344"/>
      <c r="EI1344"/>
      <c r="EJ1344"/>
      <c r="EK1344"/>
    </row>
    <row r="1345" spans="1:141" s="116" customFormat="1">
      <c r="A1345" s="136"/>
      <c r="CM1345" s="111"/>
      <c r="CQ1345" s="111"/>
      <c r="EF1345"/>
      <c r="EG1345"/>
      <c r="EH1345"/>
      <c r="EI1345"/>
      <c r="EJ1345"/>
      <c r="EK1345"/>
    </row>
    <row r="1346" spans="1:141" s="116" customFormat="1">
      <c r="A1346" s="136"/>
      <c r="CM1346" s="111"/>
      <c r="CQ1346" s="111"/>
      <c r="EF1346"/>
      <c r="EG1346"/>
      <c r="EH1346"/>
      <c r="EI1346"/>
      <c r="EJ1346"/>
      <c r="EK1346"/>
    </row>
    <row r="1347" spans="1:141" s="116" customFormat="1">
      <c r="A1347" s="136"/>
      <c r="CM1347" s="111"/>
      <c r="CQ1347" s="111"/>
      <c r="EF1347"/>
      <c r="EG1347"/>
      <c r="EH1347"/>
      <c r="EI1347"/>
      <c r="EJ1347"/>
      <c r="EK1347"/>
    </row>
    <row r="1348" spans="1:141" s="116" customFormat="1">
      <c r="A1348" s="136"/>
      <c r="CM1348" s="111"/>
      <c r="CQ1348" s="111"/>
      <c r="EF1348"/>
      <c r="EG1348"/>
      <c r="EH1348"/>
      <c r="EI1348"/>
      <c r="EJ1348"/>
      <c r="EK1348"/>
    </row>
    <row r="1349" spans="1:141" s="116" customFormat="1">
      <c r="A1349" s="136"/>
      <c r="CM1349" s="111"/>
      <c r="CQ1349" s="111"/>
      <c r="EF1349"/>
      <c r="EG1349"/>
      <c r="EH1349"/>
      <c r="EI1349"/>
      <c r="EJ1349"/>
      <c r="EK1349"/>
    </row>
    <row r="1350" spans="1:141" s="116" customFormat="1">
      <c r="A1350" s="136"/>
      <c r="CM1350" s="111"/>
      <c r="CQ1350" s="111"/>
      <c r="EF1350"/>
      <c r="EG1350"/>
      <c r="EH1350"/>
      <c r="EI1350"/>
      <c r="EJ1350"/>
      <c r="EK1350"/>
    </row>
    <row r="1351" spans="1:141" s="116" customFormat="1">
      <c r="A1351" s="136"/>
      <c r="CM1351" s="111"/>
      <c r="CQ1351" s="111"/>
      <c r="EF1351"/>
      <c r="EG1351"/>
      <c r="EH1351"/>
      <c r="EI1351"/>
      <c r="EJ1351"/>
      <c r="EK1351"/>
    </row>
    <row r="1352" spans="1:141" s="116" customFormat="1">
      <c r="A1352" s="136"/>
      <c r="CM1352" s="111"/>
      <c r="CQ1352" s="111"/>
      <c r="EF1352"/>
      <c r="EG1352"/>
      <c r="EH1352"/>
      <c r="EI1352"/>
      <c r="EJ1352"/>
      <c r="EK1352"/>
    </row>
    <row r="1353" spans="1:141" s="116" customFormat="1">
      <c r="A1353" s="136"/>
      <c r="CM1353" s="111"/>
      <c r="CQ1353" s="111"/>
      <c r="EF1353"/>
      <c r="EG1353"/>
      <c r="EH1353"/>
      <c r="EI1353"/>
      <c r="EJ1353"/>
      <c r="EK1353"/>
    </row>
    <row r="1354" spans="1:141" s="116" customFormat="1">
      <c r="A1354" s="136"/>
      <c r="CM1354" s="111"/>
      <c r="CQ1354" s="111"/>
      <c r="EF1354"/>
      <c r="EG1354"/>
      <c r="EH1354"/>
      <c r="EI1354"/>
      <c r="EJ1354"/>
      <c r="EK1354"/>
    </row>
    <row r="1355" spans="1:141" s="116" customFormat="1">
      <c r="A1355" s="136"/>
      <c r="CM1355" s="111"/>
      <c r="CQ1355" s="111"/>
      <c r="EF1355"/>
      <c r="EG1355"/>
      <c r="EH1355"/>
      <c r="EI1355"/>
      <c r="EJ1355"/>
      <c r="EK1355"/>
    </row>
    <row r="1356" spans="1:141" s="116" customFormat="1">
      <c r="A1356" s="136"/>
      <c r="CM1356" s="111"/>
      <c r="CQ1356" s="111"/>
      <c r="EF1356"/>
      <c r="EG1356"/>
      <c r="EH1356"/>
      <c r="EI1356"/>
      <c r="EJ1356"/>
      <c r="EK1356"/>
    </row>
    <row r="1357" spans="1:141" s="116" customFormat="1">
      <c r="A1357" s="136"/>
      <c r="CM1357" s="111"/>
      <c r="CQ1357" s="111"/>
      <c r="EF1357"/>
      <c r="EG1357"/>
      <c r="EH1357"/>
      <c r="EI1357"/>
      <c r="EJ1357"/>
      <c r="EK1357"/>
    </row>
    <row r="1358" spans="1:141" s="116" customFormat="1">
      <c r="A1358" s="136"/>
      <c r="CM1358" s="111"/>
      <c r="CQ1358" s="111"/>
      <c r="EF1358"/>
      <c r="EG1358"/>
      <c r="EH1358"/>
      <c r="EI1358"/>
      <c r="EJ1358"/>
      <c r="EK1358"/>
    </row>
    <row r="1359" spans="1:141" s="116" customFormat="1">
      <c r="A1359" s="136"/>
      <c r="CM1359" s="111"/>
      <c r="CQ1359" s="111"/>
      <c r="EF1359"/>
      <c r="EG1359"/>
      <c r="EH1359"/>
      <c r="EI1359"/>
      <c r="EJ1359"/>
      <c r="EK1359"/>
    </row>
    <row r="1360" spans="1:141" s="116" customFormat="1">
      <c r="A1360" s="136"/>
      <c r="CM1360" s="111"/>
      <c r="CQ1360" s="111"/>
      <c r="EF1360"/>
      <c r="EG1360"/>
      <c r="EH1360"/>
      <c r="EI1360"/>
      <c r="EJ1360"/>
      <c r="EK1360"/>
    </row>
    <row r="1361" spans="1:141" s="116" customFormat="1">
      <c r="A1361" s="136"/>
      <c r="CM1361" s="111"/>
      <c r="CQ1361" s="111"/>
      <c r="EF1361"/>
      <c r="EG1361"/>
      <c r="EH1361"/>
      <c r="EI1361"/>
      <c r="EJ1361"/>
      <c r="EK1361"/>
    </row>
    <row r="1362" spans="1:141" s="116" customFormat="1">
      <c r="A1362" s="136"/>
      <c r="CM1362" s="111"/>
      <c r="CQ1362" s="111"/>
      <c r="EF1362"/>
      <c r="EG1362"/>
      <c r="EH1362"/>
      <c r="EI1362"/>
      <c r="EJ1362"/>
      <c r="EK1362"/>
    </row>
    <row r="1363" spans="1:141" s="116" customFormat="1">
      <c r="A1363" s="136"/>
      <c r="CM1363" s="111"/>
      <c r="CQ1363" s="111"/>
      <c r="EF1363"/>
      <c r="EG1363"/>
      <c r="EH1363"/>
      <c r="EI1363"/>
      <c r="EJ1363"/>
      <c r="EK1363"/>
    </row>
    <row r="1364" spans="1:141" s="116" customFormat="1">
      <c r="A1364" s="136"/>
      <c r="CM1364" s="111"/>
      <c r="CQ1364" s="111"/>
      <c r="EF1364"/>
      <c r="EG1364"/>
      <c r="EH1364"/>
      <c r="EI1364"/>
      <c r="EJ1364"/>
      <c r="EK1364"/>
    </row>
    <row r="1365" spans="1:141" s="116" customFormat="1">
      <c r="A1365" s="136"/>
      <c r="CM1365" s="111"/>
      <c r="CQ1365" s="111"/>
      <c r="EF1365"/>
      <c r="EG1365"/>
      <c r="EH1365"/>
      <c r="EI1365"/>
      <c r="EJ1365"/>
      <c r="EK1365"/>
    </row>
    <row r="1366" spans="1:141" s="116" customFormat="1">
      <c r="A1366" s="136"/>
      <c r="CM1366" s="111"/>
      <c r="CQ1366" s="111"/>
      <c r="EF1366"/>
      <c r="EG1366"/>
      <c r="EH1366"/>
      <c r="EI1366"/>
      <c r="EJ1366"/>
      <c r="EK1366"/>
    </row>
    <row r="1367" spans="1:141" s="116" customFormat="1">
      <c r="A1367" s="136"/>
      <c r="CM1367" s="111"/>
      <c r="CQ1367" s="111"/>
      <c r="EF1367"/>
      <c r="EG1367"/>
      <c r="EH1367"/>
      <c r="EI1367"/>
      <c r="EJ1367"/>
      <c r="EK1367"/>
    </row>
    <row r="1368" spans="1:141" s="116" customFormat="1">
      <c r="A1368" s="136"/>
      <c r="CM1368" s="111"/>
      <c r="CQ1368" s="111"/>
      <c r="EF1368"/>
      <c r="EG1368"/>
      <c r="EH1368"/>
      <c r="EI1368"/>
      <c r="EJ1368"/>
      <c r="EK1368"/>
    </row>
    <row r="1369" spans="1:141" s="116" customFormat="1">
      <c r="A1369" s="136"/>
      <c r="CM1369" s="111"/>
      <c r="CQ1369" s="111"/>
      <c r="EF1369"/>
      <c r="EG1369"/>
      <c r="EH1369"/>
      <c r="EI1369"/>
      <c r="EJ1369"/>
      <c r="EK1369"/>
    </row>
    <row r="1370" spans="1:141" s="116" customFormat="1">
      <c r="A1370" s="136"/>
      <c r="CM1370" s="111"/>
      <c r="CQ1370" s="111"/>
      <c r="EF1370"/>
      <c r="EG1370"/>
      <c r="EH1370"/>
      <c r="EI1370"/>
      <c r="EJ1370"/>
      <c r="EK1370"/>
    </row>
    <row r="1371" spans="1:141" s="116" customFormat="1">
      <c r="A1371" s="136"/>
      <c r="CM1371" s="111"/>
      <c r="CQ1371" s="111"/>
      <c r="EF1371"/>
      <c r="EG1371"/>
      <c r="EH1371"/>
      <c r="EI1371"/>
      <c r="EJ1371"/>
      <c r="EK1371"/>
    </row>
    <row r="1372" spans="1:141" s="116" customFormat="1">
      <c r="A1372" s="136"/>
      <c r="CM1372" s="111"/>
      <c r="CQ1372" s="111"/>
      <c r="EF1372"/>
      <c r="EG1372"/>
      <c r="EH1372"/>
      <c r="EI1372"/>
      <c r="EJ1372"/>
      <c r="EK1372"/>
    </row>
    <row r="1373" spans="1:141" s="116" customFormat="1">
      <c r="A1373" s="136"/>
      <c r="CM1373" s="111"/>
      <c r="CQ1373" s="111"/>
      <c r="EF1373"/>
      <c r="EG1373"/>
      <c r="EH1373"/>
      <c r="EI1373"/>
      <c r="EJ1373"/>
      <c r="EK1373"/>
    </row>
    <row r="1374" spans="1:141" s="116" customFormat="1">
      <c r="A1374" s="136"/>
      <c r="CM1374" s="111"/>
      <c r="CQ1374" s="111"/>
      <c r="EF1374"/>
      <c r="EG1374"/>
      <c r="EH1374"/>
      <c r="EI1374"/>
      <c r="EJ1374"/>
      <c r="EK1374"/>
    </row>
    <row r="1375" spans="1:141" s="116" customFormat="1">
      <c r="A1375" s="136"/>
      <c r="CM1375" s="111"/>
      <c r="CQ1375" s="111"/>
      <c r="EF1375"/>
      <c r="EG1375"/>
      <c r="EH1375"/>
      <c r="EI1375"/>
      <c r="EJ1375"/>
      <c r="EK1375"/>
    </row>
    <row r="1376" spans="1:141" s="116" customFormat="1">
      <c r="A1376" s="136"/>
      <c r="CM1376" s="111"/>
      <c r="CQ1376" s="111"/>
      <c r="EF1376"/>
      <c r="EG1376"/>
      <c r="EH1376"/>
      <c r="EI1376"/>
      <c r="EJ1376"/>
      <c r="EK1376"/>
    </row>
    <row r="1377" spans="1:141" s="116" customFormat="1">
      <c r="A1377" s="136"/>
      <c r="CM1377" s="111"/>
      <c r="CQ1377" s="111"/>
      <c r="EF1377"/>
      <c r="EG1377"/>
      <c r="EH1377"/>
      <c r="EI1377"/>
      <c r="EJ1377"/>
      <c r="EK1377"/>
    </row>
    <row r="1378" spans="1:141" s="116" customFormat="1">
      <c r="A1378" s="136"/>
      <c r="CM1378" s="111"/>
      <c r="CQ1378" s="111"/>
      <c r="EF1378"/>
      <c r="EG1378"/>
      <c r="EH1378"/>
      <c r="EI1378"/>
      <c r="EJ1378"/>
      <c r="EK1378"/>
    </row>
    <row r="1379" spans="1:141" s="116" customFormat="1">
      <c r="A1379" s="136"/>
      <c r="CM1379" s="111"/>
      <c r="CQ1379" s="111"/>
      <c r="EF1379"/>
      <c r="EG1379"/>
      <c r="EH1379"/>
      <c r="EI1379"/>
      <c r="EJ1379"/>
      <c r="EK1379"/>
    </row>
    <row r="1380" spans="1:141" s="116" customFormat="1">
      <c r="A1380" s="136"/>
      <c r="CM1380" s="111"/>
      <c r="CQ1380" s="111"/>
      <c r="EF1380"/>
      <c r="EG1380"/>
      <c r="EH1380"/>
      <c r="EI1380"/>
      <c r="EJ1380"/>
      <c r="EK1380"/>
    </row>
    <row r="1381" spans="1:141" s="116" customFormat="1">
      <c r="A1381" s="136"/>
      <c r="CM1381" s="111"/>
      <c r="CQ1381" s="111"/>
      <c r="EF1381"/>
      <c r="EG1381"/>
      <c r="EH1381"/>
      <c r="EI1381"/>
      <c r="EJ1381"/>
      <c r="EK1381"/>
    </row>
    <row r="1382" spans="1:141" s="116" customFormat="1">
      <c r="A1382" s="136"/>
      <c r="CM1382" s="111"/>
      <c r="CQ1382" s="111"/>
      <c r="EF1382"/>
      <c r="EG1382"/>
      <c r="EH1382"/>
      <c r="EI1382"/>
      <c r="EJ1382"/>
      <c r="EK1382"/>
    </row>
    <row r="1383" spans="1:141" s="116" customFormat="1">
      <c r="A1383" s="136"/>
      <c r="CM1383" s="111"/>
      <c r="CQ1383" s="111"/>
      <c r="EF1383"/>
      <c r="EG1383"/>
      <c r="EH1383"/>
      <c r="EI1383"/>
      <c r="EJ1383"/>
      <c r="EK1383"/>
    </row>
    <row r="1384" spans="1:141" s="116" customFormat="1">
      <c r="A1384" s="136"/>
      <c r="CM1384" s="111"/>
      <c r="CQ1384" s="111"/>
      <c r="EF1384"/>
      <c r="EG1384"/>
      <c r="EH1384"/>
      <c r="EI1384"/>
      <c r="EJ1384"/>
      <c r="EK1384"/>
    </row>
    <row r="1385" spans="1:141" s="116" customFormat="1">
      <c r="A1385" s="136"/>
      <c r="CM1385" s="111"/>
      <c r="CQ1385" s="111"/>
      <c r="EF1385"/>
      <c r="EG1385"/>
      <c r="EH1385"/>
      <c r="EI1385"/>
      <c r="EJ1385"/>
      <c r="EK1385"/>
    </row>
    <row r="1386" spans="1:141" s="116" customFormat="1">
      <c r="A1386" s="136"/>
      <c r="CM1386" s="111"/>
      <c r="CQ1386" s="111"/>
      <c r="EF1386"/>
      <c r="EG1386"/>
      <c r="EH1386"/>
      <c r="EI1386"/>
      <c r="EJ1386"/>
      <c r="EK1386"/>
    </row>
    <row r="1387" spans="1:141" s="116" customFormat="1">
      <c r="A1387" s="136"/>
      <c r="CM1387" s="111"/>
      <c r="CQ1387" s="111"/>
      <c r="EF1387"/>
      <c r="EG1387"/>
      <c r="EH1387"/>
      <c r="EI1387"/>
      <c r="EJ1387"/>
      <c r="EK1387"/>
    </row>
    <row r="1388" spans="1:141" s="116" customFormat="1">
      <c r="A1388" s="136"/>
      <c r="CM1388" s="111"/>
      <c r="CQ1388" s="111"/>
      <c r="EF1388"/>
      <c r="EG1388"/>
      <c r="EH1388"/>
      <c r="EI1388"/>
      <c r="EJ1388"/>
      <c r="EK1388"/>
    </row>
    <row r="1389" spans="1:141" s="116" customFormat="1">
      <c r="A1389" s="136"/>
      <c r="CM1389" s="111"/>
      <c r="CQ1389" s="111"/>
      <c r="EF1389"/>
      <c r="EG1389"/>
      <c r="EH1389"/>
      <c r="EI1389"/>
      <c r="EJ1389"/>
      <c r="EK1389"/>
    </row>
    <row r="1390" spans="1:141" s="116" customFormat="1">
      <c r="A1390" s="136"/>
      <c r="CM1390" s="111"/>
      <c r="CQ1390" s="111"/>
      <c r="EF1390"/>
      <c r="EG1390"/>
      <c r="EH1390"/>
      <c r="EI1390"/>
      <c r="EJ1390"/>
      <c r="EK1390"/>
    </row>
    <row r="1391" spans="1:141" s="116" customFormat="1">
      <c r="A1391" s="136"/>
      <c r="CM1391" s="111"/>
      <c r="CQ1391" s="111"/>
      <c r="EF1391"/>
      <c r="EG1391"/>
      <c r="EH1391"/>
      <c r="EI1391"/>
      <c r="EJ1391"/>
      <c r="EK1391"/>
    </row>
    <row r="1392" spans="1:141" s="116" customFormat="1">
      <c r="A1392" s="136"/>
      <c r="CM1392" s="111"/>
      <c r="CQ1392" s="111"/>
      <c r="EF1392"/>
      <c r="EG1392"/>
      <c r="EH1392"/>
      <c r="EI1392"/>
      <c r="EJ1392"/>
      <c r="EK1392"/>
    </row>
    <row r="1393" spans="1:141" s="116" customFormat="1">
      <c r="A1393" s="136"/>
      <c r="CM1393" s="111"/>
      <c r="CQ1393" s="111"/>
      <c r="EF1393"/>
      <c r="EG1393"/>
      <c r="EH1393"/>
      <c r="EI1393"/>
      <c r="EJ1393"/>
      <c r="EK1393"/>
    </row>
    <row r="1394" spans="1:141" s="116" customFormat="1">
      <c r="A1394" s="136"/>
      <c r="CM1394" s="111"/>
      <c r="CQ1394" s="111"/>
      <c r="EF1394"/>
      <c r="EG1394"/>
      <c r="EH1394"/>
      <c r="EI1394"/>
      <c r="EJ1394"/>
      <c r="EK1394"/>
    </row>
    <row r="1395" spans="1:141" s="116" customFormat="1">
      <c r="A1395" s="136"/>
      <c r="CM1395" s="111"/>
      <c r="CQ1395" s="111"/>
      <c r="EF1395"/>
      <c r="EG1395"/>
      <c r="EH1395"/>
      <c r="EI1395"/>
      <c r="EJ1395"/>
      <c r="EK1395"/>
    </row>
    <row r="1396" spans="1:141" s="116" customFormat="1">
      <c r="A1396" s="136"/>
      <c r="CM1396" s="111"/>
      <c r="CQ1396" s="111"/>
      <c r="EF1396"/>
      <c r="EG1396"/>
      <c r="EH1396"/>
      <c r="EI1396"/>
      <c r="EJ1396"/>
      <c r="EK1396"/>
    </row>
    <row r="1397" spans="1:141" s="116" customFormat="1">
      <c r="A1397" s="136"/>
      <c r="CM1397" s="111"/>
      <c r="CQ1397" s="111"/>
      <c r="EF1397"/>
      <c r="EG1397"/>
      <c r="EH1397"/>
      <c r="EI1397"/>
      <c r="EJ1397"/>
      <c r="EK1397"/>
    </row>
    <row r="1398" spans="1:141" s="116" customFormat="1">
      <c r="A1398" s="136"/>
      <c r="CM1398" s="111"/>
      <c r="CQ1398" s="111"/>
      <c r="EF1398"/>
      <c r="EG1398"/>
      <c r="EH1398"/>
      <c r="EI1398"/>
      <c r="EJ1398"/>
      <c r="EK1398"/>
    </row>
    <row r="1399" spans="1:141" s="116" customFormat="1">
      <c r="A1399" s="136"/>
      <c r="CM1399" s="111"/>
      <c r="CQ1399" s="111"/>
      <c r="EF1399"/>
      <c r="EG1399"/>
      <c r="EH1399"/>
      <c r="EI1399"/>
      <c r="EJ1399"/>
      <c r="EK1399"/>
    </row>
    <row r="1400" spans="1:141" s="116" customFormat="1">
      <c r="A1400" s="136"/>
      <c r="CM1400" s="111"/>
      <c r="CQ1400" s="111"/>
      <c r="EF1400"/>
      <c r="EG1400"/>
      <c r="EH1400"/>
      <c r="EI1400"/>
      <c r="EJ1400"/>
      <c r="EK1400"/>
    </row>
    <row r="1401" spans="1:141" s="116" customFormat="1">
      <c r="A1401" s="136"/>
      <c r="CM1401" s="111"/>
      <c r="CQ1401" s="111"/>
      <c r="EF1401"/>
      <c r="EG1401"/>
      <c r="EH1401"/>
      <c r="EI1401"/>
      <c r="EJ1401"/>
      <c r="EK1401"/>
    </row>
    <row r="1402" spans="1:141" s="116" customFormat="1">
      <c r="A1402" s="136"/>
      <c r="CM1402" s="111"/>
      <c r="CQ1402" s="111"/>
      <c r="EF1402"/>
      <c r="EG1402"/>
      <c r="EH1402"/>
      <c r="EI1402"/>
      <c r="EJ1402"/>
      <c r="EK1402"/>
    </row>
    <row r="1403" spans="1:141" s="116" customFormat="1">
      <c r="A1403" s="136"/>
      <c r="CM1403" s="111"/>
      <c r="CQ1403" s="111"/>
      <c r="EF1403"/>
      <c r="EG1403"/>
      <c r="EH1403"/>
      <c r="EI1403"/>
      <c r="EJ1403"/>
      <c r="EK1403"/>
    </row>
    <row r="1404" spans="1:141" s="116" customFormat="1">
      <c r="A1404" s="136"/>
      <c r="CM1404" s="111"/>
      <c r="CQ1404" s="111"/>
      <c r="EF1404"/>
      <c r="EG1404"/>
      <c r="EH1404"/>
      <c r="EI1404"/>
      <c r="EJ1404"/>
      <c r="EK1404"/>
    </row>
    <row r="1405" spans="1:141" s="116" customFormat="1">
      <c r="A1405" s="136"/>
      <c r="CM1405" s="111"/>
      <c r="CQ1405" s="111"/>
      <c r="EF1405"/>
      <c r="EG1405"/>
      <c r="EH1405"/>
      <c r="EI1405"/>
      <c r="EJ1405"/>
      <c r="EK1405"/>
    </row>
    <row r="1406" spans="1:141" s="116" customFormat="1">
      <c r="A1406" s="136"/>
      <c r="CM1406" s="111"/>
      <c r="CQ1406" s="111"/>
      <c r="EF1406"/>
      <c r="EG1406"/>
      <c r="EH1406"/>
      <c r="EI1406"/>
      <c r="EJ1406"/>
      <c r="EK1406"/>
    </row>
    <row r="1407" spans="1:141" s="116" customFormat="1">
      <c r="A1407" s="136"/>
      <c r="CM1407" s="111"/>
      <c r="CQ1407" s="111"/>
      <c r="EF1407"/>
      <c r="EG1407"/>
      <c r="EH1407"/>
      <c r="EI1407"/>
      <c r="EJ1407"/>
      <c r="EK1407"/>
    </row>
    <row r="1408" spans="1:141" s="116" customFormat="1">
      <c r="A1408" s="136"/>
      <c r="CM1408" s="111"/>
      <c r="CQ1408" s="111"/>
      <c r="EF1408"/>
      <c r="EG1408"/>
      <c r="EH1408"/>
      <c r="EI1408"/>
      <c r="EJ1408"/>
      <c r="EK1408"/>
    </row>
    <row r="1409" spans="1:141" s="116" customFormat="1">
      <c r="A1409" s="136"/>
      <c r="CM1409" s="111"/>
      <c r="CQ1409" s="111"/>
      <c r="EF1409"/>
      <c r="EG1409"/>
      <c r="EH1409"/>
      <c r="EI1409"/>
      <c r="EJ1409"/>
      <c r="EK1409"/>
    </row>
    <row r="1410" spans="1:141" s="116" customFormat="1">
      <c r="A1410" s="136"/>
      <c r="CM1410" s="111"/>
      <c r="CQ1410" s="111"/>
      <c r="EF1410"/>
      <c r="EG1410"/>
      <c r="EH1410"/>
      <c r="EI1410"/>
      <c r="EJ1410"/>
      <c r="EK1410"/>
    </row>
    <row r="1411" spans="1:141" s="116" customFormat="1">
      <c r="A1411" s="136"/>
      <c r="CM1411" s="111"/>
      <c r="CQ1411" s="111"/>
      <c r="EF1411"/>
      <c r="EG1411"/>
      <c r="EH1411"/>
      <c r="EI1411"/>
      <c r="EJ1411"/>
      <c r="EK1411"/>
    </row>
    <row r="1412" spans="1:141" s="116" customFormat="1">
      <c r="A1412" s="136"/>
      <c r="CM1412" s="111"/>
      <c r="CQ1412" s="111"/>
      <c r="EF1412"/>
      <c r="EG1412"/>
      <c r="EH1412"/>
      <c r="EI1412"/>
      <c r="EJ1412"/>
      <c r="EK1412"/>
    </row>
    <row r="1413" spans="1:141" s="116" customFormat="1">
      <c r="A1413" s="136"/>
      <c r="CM1413" s="111"/>
      <c r="CQ1413" s="111"/>
      <c r="EF1413"/>
      <c r="EG1413"/>
      <c r="EH1413"/>
      <c r="EI1413"/>
      <c r="EJ1413"/>
      <c r="EK1413"/>
    </row>
    <row r="1414" spans="1:141" s="116" customFormat="1">
      <c r="A1414" s="136"/>
      <c r="CM1414" s="111"/>
      <c r="CQ1414" s="111"/>
      <c r="EF1414"/>
      <c r="EG1414"/>
      <c r="EH1414"/>
      <c r="EI1414"/>
      <c r="EJ1414"/>
      <c r="EK1414"/>
    </row>
    <row r="1415" spans="1:141" s="116" customFormat="1">
      <c r="A1415" s="136"/>
      <c r="CM1415" s="111"/>
      <c r="CQ1415" s="111"/>
      <c r="EF1415"/>
      <c r="EG1415"/>
      <c r="EH1415"/>
      <c r="EI1415"/>
      <c r="EJ1415"/>
      <c r="EK1415"/>
    </row>
    <row r="1416" spans="1:141" s="116" customFormat="1">
      <c r="A1416" s="136"/>
      <c r="CM1416" s="111"/>
      <c r="CQ1416" s="111"/>
      <c r="EF1416"/>
      <c r="EG1416"/>
      <c r="EH1416"/>
      <c r="EI1416"/>
      <c r="EJ1416"/>
      <c r="EK1416"/>
    </row>
    <row r="1417" spans="1:141" s="116" customFormat="1">
      <c r="A1417" s="136"/>
      <c r="CM1417" s="111"/>
      <c r="CQ1417" s="111"/>
      <c r="EF1417"/>
      <c r="EG1417"/>
      <c r="EH1417"/>
      <c r="EI1417"/>
      <c r="EJ1417"/>
      <c r="EK1417"/>
    </row>
    <row r="1418" spans="1:141" s="116" customFormat="1">
      <c r="A1418" s="136"/>
      <c r="CM1418" s="111"/>
      <c r="CQ1418" s="111"/>
      <c r="EF1418"/>
      <c r="EG1418"/>
      <c r="EH1418"/>
      <c r="EI1418"/>
      <c r="EJ1418"/>
      <c r="EK1418"/>
    </row>
    <row r="1419" spans="1:141" s="116" customFormat="1">
      <c r="A1419" s="136"/>
      <c r="CM1419" s="111"/>
      <c r="CQ1419" s="111"/>
      <c r="EF1419"/>
      <c r="EG1419"/>
      <c r="EH1419"/>
      <c r="EI1419"/>
      <c r="EJ1419"/>
      <c r="EK1419"/>
    </row>
    <row r="1420" spans="1:141" s="116" customFormat="1">
      <c r="A1420" s="136"/>
      <c r="CM1420" s="111"/>
      <c r="CQ1420" s="111"/>
      <c r="EF1420"/>
      <c r="EG1420"/>
      <c r="EH1420"/>
      <c r="EI1420"/>
      <c r="EJ1420"/>
      <c r="EK1420"/>
    </row>
    <row r="1421" spans="1:141" s="116" customFormat="1">
      <c r="A1421" s="136"/>
      <c r="CM1421" s="111"/>
      <c r="CQ1421" s="111"/>
      <c r="EF1421"/>
      <c r="EG1421"/>
      <c r="EH1421"/>
      <c r="EI1421"/>
      <c r="EJ1421"/>
      <c r="EK1421"/>
    </row>
    <row r="1422" spans="1:141" s="116" customFormat="1">
      <c r="A1422" s="136"/>
      <c r="CM1422" s="111"/>
      <c r="CQ1422" s="111"/>
      <c r="EF1422"/>
      <c r="EG1422"/>
      <c r="EH1422"/>
      <c r="EI1422"/>
      <c r="EJ1422"/>
      <c r="EK1422"/>
    </row>
    <row r="1423" spans="1:141" s="116" customFormat="1">
      <c r="A1423" s="136"/>
      <c r="CM1423" s="111"/>
      <c r="CQ1423" s="111"/>
      <c r="EF1423"/>
      <c r="EG1423"/>
      <c r="EH1423"/>
      <c r="EI1423"/>
      <c r="EJ1423"/>
      <c r="EK1423"/>
    </row>
    <row r="1424" spans="1:141" s="116" customFormat="1">
      <c r="A1424" s="136"/>
      <c r="CM1424" s="111"/>
      <c r="CQ1424" s="111"/>
      <c r="EF1424"/>
      <c r="EG1424"/>
      <c r="EH1424"/>
      <c r="EI1424"/>
      <c r="EJ1424"/>
      <c r="EK1424"/>
    </row>
    <row r="1425" spans="1:141" s="116" customFormat="1">
      <c r="A1425" s="136"/>
      <c r="CM1425" s="111"/>
      <c r="CQ1425" s="111"/>
      <c r="EF1425"/>
      <c r="EG1425"/>
      <c r="EH1425"/>
      <c r="EI1425"/>
      <c r="EJ1425"/>
      <c r="EK1425"/>
    </row>
    <row r="1426" spans="1:141" s="116" customFormat="1">
      <c r="A1426" s="136"/>
      <c r="CM1426" s="111"/>
      <c r="CQ1426" s="111"/>
      <c r="EF1426"/>
      <c r="EG1426"/>
      <c r="EH1426"/>
      <c r="EI1426"/>
      <c r="EJ1426"/>
      <c r="EK1426"/>
    </row>
    <row r="1427" spans="1:141" s="116" customFormat="1">
      <c r="A1427" s="136"/>
      <c r="CM1427" s="111"/>
      <c r="CQ1427" s="111"/>
      <c r="EF1427"/>
      <c r="EG1427"/>
      <c r="EH1427"/>
      <c r="EI1427"/>
      <c r="EJ1427"/>
      <c r="EK1427"/>
    </row>
    <row r="1428" spans="1:141" s="116" customFormat="1">
      <c r="A1428" s="136"/>
      <c r="CM1428" s="111"/>
      <c r="CQ1428" s="111"/>
      <c r="EF1428"/>
      <c r="EG1428"/>
      <c r="EH1428"/>
      <c r="EI1428"/>
      <c r="EJ1428"/>
      <c r="EK1428"/>
    </row>
    <row r="1429" spans="1:141" s="116" customFormat="1">
      <c r="A1429" s="136"/>
      <c r="CM1429" s="111"/>
      <c r="CQ1429" s="111"/>
      <c r="EF1429"/>
      <c r="EG1429"/>
      <c r="EH1429"/>
      <c r="EI1429"/>
      <c r="EJ1429"/>
      <c r="EK1429"/>
    </row>
    <row r="1430" spans="1:141" s="116" customFormat="1">
      <c r="A1430" s="136"/>
      <c r="CM1430" s="111"/>
      <c r="CQ1430" s="111"/>
      <c r="EF1430"/>
      <c r="EG1430"/>
      <c r="EH1430"/>
      <c r="EI1430"/>
      <c r="EJ1430"/>
      <c r="EK1430"/>
    </row>
    <row r="1431" spans="1:141" s="116" customFormat="1">
      <c r="A1431" s="136"/>
      <c r="CM1431" s="111"/>
      <c r="CQ1431" s="111"/>
      <c r="EF1431"/>
      <c r="EG1431"/>
      <c r="EH1431"/>
      <c r="EI1431"/>
      <c r="EJ1431"/>
      <c r="EK1431"/>
    </row>
    <row r="1432" spans="1:141" s="116" customFormat="1">
      <c r="A1432" s="136"/>
      <c r="CM1432" s="111"/>
      <c r="CQ1432" s="111"/>
      <c r="EF1432"/>
      <c r="EG1432"/>
      <c r="EH1432"/>
      <c r="EI1432"/>
      <c r="EJ1432"/>
      <c r="EK1432"/>
    </row>
    <row r="1433" spans="1:141" s="116" customFormat="1">
      <c r="A1433" s="136"/>
      <c r="CM1433" s="111"/>
      <c r="CQ1433" s="111"/>
      <c r="EF1433"/>
      <c r="EG1433"/>
      <c r="EH1433"/>
      <c r="EI1433"/>
      <c r="EJ1433"/>
      <c r="EK1433"/>
    </row>
    <row r="1434" spans="1:141" s="116" customFormat="1">
      <c r="A1434" s="136"/>
      <c r="CM1434" s="111"/>
      <c r="CQ1434" s="111"/>
      <c r="EF1434"/>
      <c r="EG1434"/>
      <c r="EH1434"/>
      <c r="EI1434"/>
      <c r="EJ1434"/>
      <c r="EK1434"/>
    </row>
    <row r="1435" spans="1:141" s="116" customFormat="1">
      <c r="A1435" s="136"/>
      <c r="CM1435" s="111"/>
      <c r="CQ1435" s="111"/>
      <c r="EF1435"/>
      <c r="EG1435"/>
      <c r="EH1435"/>
      <c r="EI1435"/>
      <c r="EJ1435"/>
      <c r="EK1435"/>
    </row>
    <row r="1436" spans="1:141" s="116" customFormat="1">
      <c r="A1436" s="136"/>
      <c r="CM1436" s="111"/>
      <c r="CQ1436" s="111"/>
      <c r="EF1436"/>
      <c r="EG1436"/>
      <c r="EH1436"/>
      <c r="EI1436"/>
      <c r="EJ1436"/>
      <c r="EK1436"/>
    </row>
    <row r="1437" spans="1:141" s="116" customFormat="1">
      <c r="A1437" s="136"/>
      <c r="CM1437" s="111"/>
      <c r="CQ1437" s="111"/>
      <c r="EF1437"/>
      <c r="EG1437"/>
      <c r="EH1437"/>
      <c r="EI1437"/>
      <c r="EJ1437"/>
      <c r="EK1437"/>
    </row>
    <row r="1438" spans="1:141" s="116" customFormat="1">
      <c r="A1438" s="136"/>
      <c r="CM1438" s="111"/>
      <c r="CQ1438" s="111"/>
      <c r="EF1438"/>
      <c r="EG1438"/>
      <c r="EH1438"/>
      <c r="EI1438"/>
      <c r="EJ1438"/>
      <c r="EK1438"/>
    </row>
    <row r="1439" spans="1:141" s="116" customFormat="1">
      <c r="A1439" s="136"/>
      <c r="CM1439" s="111"/>
      <c r="CQ1439" s="111"/>
      <c r="EF1439"/>
      <c r="EG1439"/>
      <c r="EH1439"/>
      <c r="EI1439"/>
      <c r="EJ1439"/>
      <c r="EK1439"/>
    </row>
    <row r="1440" spans="1:141" s="116" customFormat="1">
      <c r="A1440" s="136"/>
      <c r="CM1440" s="111"/>
      <c r="CQ1440" s="111"/>
      <c r="EF1440"/>
      <c r="EG1440"/>
      <c r="EH1440"/>
      <c r="EI1440"/>
      <c r="EJ1440"/>
      <c r="EK1440"/>
    </row>
    <row r="1441" spans="1:141" s="116" customFormat="1">
      <c r="A1441" s="136"/>
      <c r="CM1441" s="111"/>
      <c r="CQ1441" s="111"/>
      <c r="EF1441"/>
      <c r="EG1441"/>
      <c r="EH1441"/>
      <c r="EI1441"/>
      <c r="EJ1441"/>
      <c r="EK1441"/>
    </row>
    <row r="1442" spans="1:141" s="116" customFormat="1">
      <c r="A1442" s="136"/>
      <c r="CM1442" s="111"/>
      <c r="CQ1442" s="111"/>
      <c r="EF1442"/>
      <c r="EG1442"/>
      <c r="EH1442"/>
      <c r="EI1442"/>
      <c r="EJ1442"/>
      <c r="EK1442"/>
    </row>
    <row r="1443" spans="1:141" s="116" customFormat="1">
      <c r="A1443" s="136"/>
      <c r="CM1443" s="111"/>
      <c r="CQ1443" s="111"/>
      <c r="EF1443"/>
      <c r="EG1443"/>
      <c r="EH1443"/>
      <c r="EI1443"/>
      <c r="EJ1443"/>
      <c r="EK1443"/>
    </row>
    <row r="1444" spans="1:141" s="116" customFormat="1">
      <c r="A1444" s="136"/>
      <c r="CM1444" s="111"/>
      <c r="CQ1444" s="111"/>
      <c r="EF1444"/>
      <c r="EG1444"/>
      <c r="EH1444"/>
      <c r="EI1444"/>
      <c r="EJ1444"/>
      <c r="EK1444"/>
    </row>
    <row r="1445" spans="1:141" s="116" customFormat="1">
      <c r="A1445" s="136"/>
      <c r="CM1445" s="111"/>
      <c r="CQ1445" s="111"/>
      <c r="EF1445"/>
      <c r="EG1445"/>
      <c r="EH1445"/>
      <c r="EI1445"/>
      <c r="EJ1445"/>
      <c r="EK1445"/>
    </row>
    <row r="1446" spans="1:141" s="116" customFormat="1">
      <c r="A1446" s="136"/>
      <c r="CM1446" s="111"/>
      <c r="CQ1446" s="111"/>
      <c r="EF1446"/>
      <c r="EG1446"/>
      <c r="EH1446"/>
      <c r="EI1446"/>
      <c r="EJ1446"/>
      <c r="EK1446"/>
    </row>
    <row r="1447" spans="1:141" s="116" customFormat="1">
      <c r="A1447" s="136"/>
      <c r="CM1447" s="111"/>
      <c r="CQ1447" s="111"/>
      <c r="EF1447"/>
      <c r="EG1447"/>
      <c r="EH1447"/>
      <c r="EI1447"/>
      <c r="EJ1447"/>
      <c r="EK1447"/>
    </row>
    <row r="1448" spans="1:141" s="116" customFormat="1">
      <c r="A1448" s="136"/>
      <c r="CM1448" s="111"/>
      <c r="CQ1448" s="111"/>
      <c r="EF1448"/>
      <c r="EG1448"/>
      <c r="EH1448"/>
      <c r="EI1448"/>
      <c r="EJ1448"/>
      <c r="EK1448"/>
    </row>
    <row r="1449" spans="1:141" s="116" customFormat="1">
      <c r="A1449" s="136"/>
      <c r="CM1449" s="111"/>
      <c r="CQ1449" s="111"/>
      <c r="EF1449"/>
      <c r="EG1449"/>
      <c r="EH1449"/>
      <c r="EI1449"/>
      <c r="EJ1449"/>
      <c r="EK1449"/>
    </row>
    <row r="1450" spans="1:141" s="116" customFormat="1">
      <c r="A1450" s="136"/>
      <c r="CM1450" s="111"/>
      <c r="CQ1450" s="111"/>
      <c r="EF1450"/>
      <c r="EG1450"/>
      <c r="EH1450"/>
      <c r="EI1450"/>
      <c r="EJ1450"/>
      <c r="EK1450"/>
    </row>
    <row r="1451" spans="1:141" s="116" customFormat="1">
      <c r="A1451" s="136"/>
      <c r="CM1451" s="111"/>
      <c r="CQ1451" s="111"/>
      <c r="EF1451"/>
      <c r="EG1451"/>
      <c r="EH1451"/>
      <c r="EI1451"/>
      <c r="EJ1451"/>
      <c r="EK1451"/>
    </row>
    <row r="1452" spans="1:141" s="116" customFormat="1">
      <c r="A1452" s="136"/>
      <c r="CM1452" s="111"/>
      <c r="CQ1452" s="111"/>
      <c r="EF1452"/>
      <c r="EG1452"/>
      <c r="EH1452"/>
      <c r="EI1452"/>
      <c r="EJ1452"/>
      <c r="EK1452"/>
    </row>
    <row r="1453" spans="1:141" s="116" customFormat="1">
      <c r="A1453" s="136"/>
      <c r="CM1453" s="111"/>
      <c r="CQ1453" s="111"/>
      <c r="EF1453"/>
      <c r="EG1453"/>
      <c r="EH1453"/>
      <c r="EI1453"/>
      <c r="EJ1453"/>
      <c r="EK1453"/>
    </row>
    <row r="1454" spans="1:141" s="116" customFormat="1">
      <c r="A1454" s="136"/>
      <c r="CM1454" s="111"/>
      <c r="CQ1454" s="111"/>
      <c r="EF1454"/>
      <c r="EG1454"/>
      <c r="EH1454"/>
      <c r="EI1454"/>
      <c r="EJ1454"/>
      <c r="EK1454"/>
    </row>
    <row r="1455" spans="1:141" s="116" customFormat="1">
      <c r="A1455" s="136"/>
      <c r="CM1455" s="111"/>
      <c r="CQ1455" s="111"/>
      <c r="EF1455"/>
      <c r="EG1455"/>
      <c r="EH1455"/>
      <c r="EI1455"/>
      <c r="EJ1455"/>
      <c r="EK1455"/>
    </row>
    <row r="1456" spans="1:141" s="116" customFormat="1">
      <c r="A1456" s="136"/>
      <c r="CM1456" s="111"/>
      <c r="CQ1456" s="111"/>
      <c r="EF1456"/>
      <c r="EG1456"/>
      <c r="EH1456"/>
      <c r="EI1456"/>
      <c r="EJ1456"/>
      <c r="EK1456"/>
    </row>
    <row r="1457" spans="1:141" s="116" customFormat="1">
      <c r="A1457" s="136"/>
      <c r="CM1457" s="111"/>
      <c r="CQ1457" s="111"/>
      <c r="EF1457"/>
      <c r="EG1457"/>
      <c r="EH1457"/>
      <c r="EI1457"/>
      <c r="EJ1457"/>
      <c r="EK1457"/>
    </row>
    <row r="1458" spans="1:141" s="116" customFormat="1">
      <c r="A1458" s="136"/>
      <c r="CM1458" s="111"/>
      <c r="CQ1458" s="111"/>
      <c r="EF1458"/>
      <c r="EG1458"/>
      <c r="EH1458"/>
      <c r="EI1458"/>
      <c r="EJ1458"/>
      <c r="EK1458"/>
    </row>
    <row r="1459" spans="1:141" s="116" customFormat="1">
      <c r="A1459" s="136"/>
      <c r="CM1459" s="111"/>
      <c r="CQ1459" s="111"/>
      <c r="EF1459"/>
      <c r="EG1459"/>
      <c r="EH1459"/>
      <c r="EI1459"/>
      <c r="EJ1459"/>
      <c r="EK1459"/>
    </row>
    <row r="1460" spans="1:141" s="116" customFormat="1">
      <c r="A1460" s="136"/>
      <c r="CM1460" s="111"/>
      <c r="CQ1460" s="111"/>
      <c r="EF1460"/>
      <c r="EG1460"/>
      <c r="EH1460"/>
      <c r="EI1460"/>
      <c r="EJ1460"/>
      <c r="EK1460"/>
    </row>
    <row r="1461" spans="1:141" s="116" customFormat="1">
      <c r="A1461" s="136"/>
      <c r="CM1461" s="111"/>
      <c r="CQ1461" s="111"/>
      <c r="EF1461"/>
      <c r="EG1461"/>
      <c r="EH1461"/>
      <c r="EI1461"/>
      <c r="EJ1461"/>
      <c r="EK1461"/>
    </row>
    <row r="1462" spans="1:141" s="116" customFormat="1">
      <c r="A1462" s="136"/>
      <c r="CM1462" s="111"/>
      <c r="CQ1462" s="111"/>
      <c r="EF1462"/>
      <c r="EG1462"/>
      <c r="EH1462"/>
      <c r="EI1462"/>
      <c r="EJ1462"/>
      <c r="EK1462"/>
    </row>
    <row r="1463" spans="1:141" s="116" customFormat="1">
      <c r="A1463" s="136"/>
      <c r="CM1463" s="111"/>
      <c r="CQ1463" s="111"/>
      <c r="EF1463"/>
      <c r="EG1463"/>
      <c r="EH1463"/>
      <c r="EI1463"/>
      <c r="EJ1463"/>
      <c r="EK1463"/>
    </row>
    <row r="1464" spans="1:141" s="116" customFormat="1">
      <c r="A1464" s="136"/>
      <c r="CM1464" s="111"/>
      <c r="CQ1464" s="111"/>
      <c r="EF1464"/>
      <c r="EG1464"/>
      <c r="EH1464"/>
      <c r="EI1464"/>
      <c r="EJ1464"/>
      <c r="EK1464"/>
    </row>
    <row r="1465" spans="1:141" s="116" customFormat="1">
      <c r="A1465" s="136"/>
      <c r="CM1465" s="111"/>
      <c r="CQ1465" s="111"/>
      <c r="EF1465"/>
      <c r="EG1465"/>
      <c r="EH1465"/>
      <c r="EI1465"/>
      <c r="EJ1465"/>
      <c r="EK1465"/>
    </row>
    <row r="1466" spans="1:141" s="116" customFormat="1">
      <c r="A1466" s="136"/>
      <c r="CM1466" s="111"/>
      <c r="CQ1466" s="111"/>
      <c r="EF1466"/>
      <c r="EG1466"/>
      <c r="EH1466"/>
      <c r="EI1466"/>
      <c r="EJ1466"/>
      <c r="EK1466"/>
    </row>
    <row r="1467" spans="1:141" s="116" customFormat="1">
      <c r="A1467" s="136"/>
      <c r="CM1467" s="111"/>
      <c r="CQ1467" s="111"/>
      <c r="EF1467"/>
      <c r="EG1467"/>
      <c r="EH1467"/>
      <c r="EI1467"/>
      <c r="EJ1467"/>
      <c r="EK1467"/>
    </row>
    <row r="1468" spans="1:141" s="116" customFormat="1">
      <c r="A1468" s="136"/>
      <c r="CM1468" s="111"/>
      <c r="CQ1468" s="111"/>
      <c r="EF1468"/>
      <c r="EG1468"/>
      <c r="EH1468"/>
      <c r="EI1468"/>
      <c r="EJ1468"/>
      <c r="EK1468"/>
    </row>
    <row r="1469" spans="1:141" s="116" customFormat="1">
      <c r="A1469" s="136"/>
      <c r="CM1469" s="111"/>
      <c r="CQ1469" s="111"/>
      <c r="EF1469"/>
      <c r="EG1469"/>
      <c r="EH1469"/>
      <c r="EI1469"/>
      <c r="EJ1469"/>
      <c r="EK1469"/>
    </row>
    <row r="1470" spans="1:141" s="116" customFormat="1">
      <c r="A1470" s="136"/>
      <c r="CM1470" s="111"/>
      <c r="CQ1470" s="111"/>
      <c r="EF1470"/>
      <c r="EG1470"/>
      <c r="EH1470"/>
      <c r="EI1470"/>
      <c r="EJ1470"/>
      <c r="EK1470"/>
    </row>
    <row r="1471" spans="1:141" s="116" customFormat="1">
      <c r="A1471" s="136"/>
      <c r="CM1471" s="111"/>
      <c r="CQ1471" s="111"/>
      <c r="EF1471"/>
      <c r="EG1471"/>
      <c r="EH1471"/>
      <c r="EI1471"/>
      <c r="EJ1471"/>
      <c r="EK1471"/>
    </row>
    <row r="1472" spans="1:141" s="116" customFormat="1">
      <c r="A1472" s="136"/>
      <c r="CM1472" s="111"/>
      <c r="CQ1472" s="111"/>
      <c r="EF1472"/>
      <c r="EG1472"/>
      <c r="EH1472"/>
      <c r="EI1472"/>
      <c r="EJ1472"/>
      <c r="EK1472"/>
    </row>
    <row r="1473" spans="1:141" s="116" customFormat="1">
      <c r="A1473" s="136"/>
      <c r="CM1473" s="111"/>
      <c r="CQ1473" s="111"/>
      <c r="EF1473"/>
      <c r="EG1473"/>
      <c r="EH1473"/>
      <c r="EI1473"/>
      <c r="EJ1473"/>
      <c r="EK1473"/>
    </row>
    <row r="1474" spans="1:141" s="116" customFormat="1">
      <c r="A1474" s="136"/>
      <c r="CM1474" s="111"/>
      <c r="CQ1474" s="111"/>
      <c r="EF1474"/>
      <c r="EG1474"/>
      <c r="EH1474"/>
      <c r="EI1474"/>
      <c r="EJ1474"/>
      <c r="EK1474"/>
    </row>
    <row r="1475" spans="1:141" s="116" customFormat="1">
      <c r="A1475" s="136"/>
      <c r="CM1475" s="111"/>
      <c r="CQ1475" s="111"/>
      <c r="EF1475"/>
      <c r="EG1475"/>
      <c r="EH1475"/>
      <c r="EI1475"/>
      <c r="EJ1475"/>
      <c r="EK1475"/>
    </row>
    <row r="1476" spans="1:141" s="116" customFormat="1">
      <c r="A1476" s="136"/>
      <c r="CM1476" s="111"/>
      <c r="CQ1476" s="111"/>
      <c r="EF1476"/>
      <c r="EG1476"/>
      <c r="EH1476"/>
      <c r="EI1476"/>
      <c r="EJ1476"/>
      <c r="EK1476"/>
    </row>
    <row r="1477" spans="1:141" s="116" customFormat="1">
      <c r="A1477" s="136"/>
      <c r="CM1477" s="111"/>
      <c r="CQ1477" s="111"/>
      <c r="EF1477"/>
      <c r="EG1477"/>
      <c r="EH1477"/>
      <c r="EI1477"/>
      <c r="EJ1477"/>
      <c r="EK1477"/>
    </row>
    <row r="1478" spans="1:141" s="116" customFormat="1">
      <c r="A1478" s="136"/>
      <c r="CM1478" s="111"/>
      <c r="CQ1478" s="111"/>
      <c r="EF1478"/>
      <c r="EG1478"/>
      <c r="EH1478"/>
      <c r="EI1478"/>
      <c r="EJ1478"/>
      <c r="EK1478"/>
    </row>
    <row r="1479" spans="1:141" s="116" customFormat="1">
      <c r="A1479" s="136"/>
      <c r="CM1479" s="111"/>
      <c r="CQ1479" s="111"/>
      <c r="EF1479"/>
      <c r="EG1479"/>
      <c r="EH1479"/>
      <c r="EI1479"/>
      <c r="EJ1479"/>
      <c r="EK1479"/>
    </row>
    <row r="1480" spans="1:141" s="116" customFormat="1">
      <c r="A1480" s="136"/>
      <c r="CM1480" s="111"/>
      <c r="CQ1480" s="111"/>
      <c r="EF1480"/>
      <c r="EG1480"/>
      <c r="EH1480"/>
      <c r="EI1480"/>
      <c r="EJ1480"/>
      <c r="EK1480"/>
    </row>
    <row r="1481" spans="1:141" s="116" customFormat="1">
      <c r="A1481" s="136"/>
      <c r="CM1481" s="111"/>
      <c r="CQ1481" s="111"/>
      <c r="EF1481"/>
      <c r="EG1481"/>
      <c r="EH1481"/>
      <c r="EI1481"/>
      <c r="EJ1481"/>
      <c r="EK1481"/>
    </row>
    <row r="1482" spans="1:141" s="116" customFormat="1">
      <c r="A1482" s="136"/>
      <c r="CM1482" s="111"/>
      <c r="CQ1482" s="111"/>
      <c r="EF1482"/>
      <c r="EG1482"/>
      <c r="EH1482"/>
      <c r="EI1482"/>
      <c r="EJ1482"/>
      <c r="EK1482"/>
    </row>
    <row r="1483" spans="1:141" s="116" customFormat="1">
      <c r="A1483" s="136"/>
      <c r="CM1483" s="111"/>
      <c r="CQ1483" s="111"/>
      <c r="EF1483"/>
      <c r="EG1483"/>
      <c r="EH1483"/>
      <c r="EI1483"/>
      <c r="EJ1483"/>
      <c r="EK1483"/>
    </row>
    <row r="1484" spans="1:141" s="116" customFormat="1">
      <c r="A1484" s="136"/>
      <c r="CM1484" s="111"/>
      <c r="CQ1484" s="111"/>
      <c r="EF1484"/>
      <c r="EG1484"/>
      <c r="EH1484"/>
      <c r="EI1484"/>
      <c r="EJ1484"/>
      <c r="EK1484"/>
    </row>
    <row r="1485" spans="1:141" s="116" customFormat="1">
      <c r="A1485" s="136"/>
      <c r="CM1485" s="111"/>
      <c r="CQ1485" s="111"/>
      <c r="EF1485"/>
      <c r="EG1485"/>
      <c r="EH1485"/>
      <c r="EI1485"/>
      <c r="EJ1485"/>
      <c r="EK1485"/>
    </row>
    <row r="1486" spans="1:141" s="116" customFormat="1">
      <c r="A1486" s="136"/>
      <c r="CM1486" s="111"/>
      <c r="CQ1486" s="111"/>
      <c r="EF1486"/>
      <c r="EG1486"/>
      <c r="EH1486"/>
      <c r="EI1486"/>
      <c r="EJ1486"/>
      <c r="EK1486"/>
    </row>
    <row r="1487" spans="1:141" s="116" customFormat="1">
      <c r="A1487" s="136"/>
      <c r="CM1487" s="111"/>
      <c r="CQ1487" s="111"/>
      <c r="EF1487"/>
      <c r="EG1487"/>
      <c r="EH1487"/>
      <c r="EI1487"/>
      <c r="EJ1487"/>
      <c r="EK1487"/>
    </row>
    <row r="1488" spans="1:141" s="116" customFormat="1">
      <c r="A1488" s="136"/>
      <c r="CM1488" s="111"/>
      <c r="CQ1488" s="111"/>
      <c r="EF1488"/>
      <c r="EG1488"/>
      <c r="EH1488"/>
      <c r="EI1488"/>
      <c r="EJ1488"/>
      <c r="EK1488"/>
    </row>
    <row r="1489" spans="1:141" s="116" customFormat="1">
      <c r="A1489" s="136"/>
      <c r="CM1489" s="111"/>
      <c r="CQ1489" s="111"/>
      <c r="EF1489"/>
      <c r="EG1489"/>
      <c r="EH1489"/>
      <c r="EI1489"/>
      <c r="EJ1489"/>
      <c r="EK1489"/>
    </row>
    <row r="1490" spans="1:141" s="116" customFormat="1">
      <c r="A1490" s="136"/>
      <c r="CM1490" s="111"/>
      <c r="CQ1490" s="111"/>
      <c r="EF1490"/>
      <c r="EG1490"/>
      <c r="EH1490"/>
      <c r="EI1490"/>
      <c r="EJ1490"/>
      <c r="EK1490"/>
    </row>
    <row r="1491" spans="1:141" s="116" customFormat="1">
      <c r="A1491" s="136"/>
      <c r="CM1491" s="111"/>
      <c r="CQ1491" s="111"/>
      <c r="EF1491"/>
      <c r="EG1491"/>
      <c r="EH1491"/>
      <c r="EI1491"/>
      <c r="EJ1491"/>
      <c r="EK1491"/>
    </row>
    <row r="1492" spans="1:141" s="116" customFormat="1">
      <c r="A1492" s="136"/>
      <c r="CM1492" s="111"/>
      <c r="CQ1492" s="111"/>
      <c r="EF1492"/>
      <c r="EG1492"/>
      <c r="EH1492"/>
      <c r="EI1492"/>
      <c r="EJ1492"/>
      <c r="EK1492"/>
    </row>
    <row r="1493" spans="1:141" s="116" customFormat="1">
      <c r="A1493" s="136"/>
      <c r="CM1493" s="111"/>
      <c r="CQ1493" s="111"/>
      <c r="EF1493"/>
      <c r="EG1493"/>
      <c r="EH1493"/>
      <c r="EI1493"/>
      <c r="EJ1493"/>
      <c r="EK1493"/>
    </row>
    <row r="1494" spans="1:141" s="116" customFormat="1">
      <c r="A1494" s="136"/>
      <c r="CM1494" s="111"/>
      <c r="CQ1494" s="111"/>
      <c r="EF1494"/>
      <c r="EG1494"/>
      <c r="EH1494"/>
      <c r="EI1494"/>
      <c r="EJ1494"/>
      <c r="EK1494"/>
    </row>
    <row r="1495" spans="1:141" s="116" customFormat="1">
      <c r="A1495" s="136"/>
      <c r="CM1495" s="111"/>
      <c r="CQ1495" s="111"/>
      <c r="EF1495"/>
      <c r="EG1495"/>
      <c r="EH1495"/>
      <c r="EI1495"/>
      <c r="EJ1495"/>
      <c r="EK1495"/>
    </row>
    <row r="1496" spans="1:141" s="116" customFormat="1">
      <c r="A1496" s="136"/>
      <c r="CM1496" s="111"/>
      <c r="CQ1496" s="111"/>
      <c r="EF1496"/>
      <c r="EG1496"/>
      <c r="EH1496"/>
      <c r="EI1496"/>
      <c r="EJ1496"/>
      <c r="EK1496"/>
    </row>
    <row r="1497" spans="1:141" s="116" customFormat="1">
      <c r="A1497" s="136"/>
      <c r="CM1497" s="111"/>
      <c r="CQ1497" s="111"/>
      <c r="EF1497"/>
      <c r="EG1497"/>
      <c r="EH1497"/>
      <c r="EI1497"/>
      <c r="EJ1497"/>
      <c r="EK1497"/>
    </row>
    <row r="1498" spans="1:141" s="116" customFormat="1">
      <c r="A1498" s="136"/>
      <c r="CM1498" s="111"/>
      <c r="CQ1498" s="111"/>
      <c r="EF1498"/>
      <c r="EG1498"/>
      <c r="EH1498"/>
      <c r="EI1498"/>
      <c r="EJ1498"/>
      <c r="EK1498"/>
    </row>
    <row r="1499" spans="1:141" s="116" customFormat="1">
      <c r="A1499" s="136"/>
      <c r="CM1499" s="111"/>
      <c r="CQ1499" s="111"/>
      <c r="EF1499"/>
      <c r="EG1499"/>
      <c r="EH1499"/>
      <c r="EI1499"/>
      <c r="EJ1499"/>
      <c r="EK1499"/>
    </row>
    <row r="1500" spans="1:141" s="116" customFormat="1">
      <c r="A1500" s="136"/>
      <c r="CM1500" s="111"/>
      <c r="CQ1500" s="111"/>
      <c r="EF1500"/>
      <c r="EG1500"/>
      <c r="EH1500"/>
      <c r="EI1500"/>
      <c r="EJ1500"/>
      <c r="EK1500"/>
    </row>
    <row r="1501" spans="1:141" s="116" customFormat="1">
      <c r="A1501" s="136"/>
      <c r="CM1501" s="111"/>
      <c r="CQ1501" s="111"/>
      <c r="EF1501"/>
      <c r="EG1501"/>
      <c r="EH1501"/>
      <c r="EI1501"/>
      <c r="EJ1501"/>
      <c r="EK1501"/>
    </row>
    <row r="1502" spans="1:141" s="116" customFormat="1">
      <c r="A1502" s="136"/>
      <c r="CM1502" s="111"/>
      <c r="CQ1502" s="111"/>
      <c r="EF1502"/>
      <c r="EG1502"/>
      <c r="EH1502"/>
      <c r="EI1502"/>
      <c r="EJ1502"/>
      <c r="EK1502"/>
    </row>
    <row r="1503" spans="1:141" s="116" customFormat="1">
      <c r="A1503" s="136"/>
      <c r="CM1503" s="111"/>
      <c r="CQ1503" s="111"/>
      <c r="EF1503"/>
      <c r="EG1503"/>
      <c r="EH1503"/>
      <c r="EI1503"/>
      <c r="EJ1503"/>
      <c r="EK1503"/>
    </row>
    <row r="1504" spans="1:141" s="116" customFormat="1">
      <c r="A1504" s="136"/>
      <c r="CM1504" s="111"/>
      <c r="CQ1504" s="111"/>
      <c r="EF1504"/>
      <c r="EG1504"/>
      <c r="EH1504"/>
      <c r="EI1504"/>
      <c r="EJ1504"/>
      <c r="EK1504"/>
    </row>
    <row r="1505" spans="1:141" s="116" customFormat="1">
      <c r="A1505" s="136"/>
      <c r="CM1505" s="111"/>
      <c r="CQ1505" s="111"/>
      <c r="EF1505"/>
      <c r="EG1505"/>
      <c r="EH1505"/>
      <c r="EI1505"/>
      <c r="EJ1505"/>
      <c r="EK1505"/>
    </row>
    <row r="1506" spans="1:141" s="116" customFormat="1">
      <c r="A1506" s="136"/>
      <c r="CM1506" s="111"/>
      <c r="CQ1506" s="111"/>
      <c r="EF1506"/>
      <c r="EG1506"/>
      <c r="EH1506"/>
      <c r="EI1506"/>
      <c r="EJ1506"/>
      <c r="EK1506"/>
    </row>
    <row r="1507" spans="1:141" s="116" customFormat="1">
      <c r="A1507" s="136"/>
      <c r="CM1507" s="111"/>
      <c r="CQ1507" s="111"/>
      <c r="EF1507"/>
      <c r="EG1507"/>
      <c r="EH1507"/>
      <c r="EI1507"/>
      <c r="EJ1507"/>
      <c r="EK1507"/>
    </row>
    <row r="1508" spans="1:141" s="116" customFormat="1">
      <c r="A1508" s="136"/>
      <c r="CM1508" s="111"/>
      <c r="CQ1508" s="111"/>
      <c r="EF1508"/>
      <c r="EG1508"/>
      <c r="EH1508"/>
      <c r="EI1508"/>
      <c r="EJ1508"/>
      <c r="EK1508"/>
    </row>
    <row r="1509" spans="1:141" s="116" customFormat="1">
      <c r="A1509" s="136"/>
      <c r="CM1509" s="111"/>
      <c r="CQ1509" s="111"/>
      <c r="EF1509"/>
      <c r="EG1509"/>
      <c r="EH1509"/>
      <c r="EI1509"/>
      <c r="EJ1509"/>
      <c r="EK1509"/>
    </row>
    <row r="1510" spans="1:141" s="116" customFormat="1">
      <c r="A1510" s="136"/>
      <c r="CM1510" s="111"/>
      <c r="CQ1510" s="111"/>
      <c r="EF1510"/>
      <c r="EG1510"/>
      <c r="EH1510"/>
      <c r="EI1510"/>
      <c r="EJ1510"/>
      <c r="EK1510"/>
    </row>
    <row r="1511" spans="1:141" s="116" customFormat="1">
      <c r="A1511" s="136"/>
      <c r="CM1511" s="111"/>
      <c r="CQ1511" s="111"/>
      <c r="EF1511"/>
      <c r="EG1511"/>
      <c r="EH1511"/>
      <c r="EI1511"/>
      <c r="EJ1511"/>
      <c r="EK1511"/>
    </row>
    <row r="1512" spans="1:141" s="116" customFormat="1">
      <c r="A1512" s="136"/>
      <c r="CM1512" s="111"/>
      <c r="CQ1512" s="111"/>
      <c r="EF1512"/>
      <c r="EG1512"/>
      <c r="EH1512"/>
      <c r="EI1512"/>
      <c r="EJ1512"/>
      <c r="EK1512"/>
    </row>
    <row r="1513" spans="1:141" s="116" customFormat="1">
      <c r="A1513" s="136"/>
      <c r="CM1513" s="111"/>
      <c r="CQ1513" s="111"/>
      <c r="EF1513"/>
      <c r="EG1513"/>
      <c r="EH1513"/>
      <c r="EI1513"/>
      <c r="EJ1513"/>
      <c r="EK1513"/>
    </row>
    <row r="1514" spans="1:141" s="116" customFormat="1">
      <c r="A1514" s="136"/>
      <c r="CM1514" s="111"/>
      <c r="CQ1514" s="111"/>
      <c r="EF1514"/>
      <c r="EG1514"/>
      <c r="EH1514"/>
      <c r="EI1514"/>
      <c r="EJ1514"/>
      <c r="EK1514"/>
    </row>
    <row r="1515" spans="1:141" s="116" customFormat="1">
      <c r="A1515" s="136"/>
      <c r="CM1515" s="111"/>
      <c r="CQ1515" s="111"/>
      <c r="EF1515"/>
      <c r="EG1515"/>
      <c r="EH1515"/>
      <c r="EI1515"/>
      <c r="EJ1515"/>
      <c r="EK1515"/>
    </row>
    <row r="1516" spans="1:141" s="116" customFormat="1">
      <c r="A1516" s="136"/>
      <c r="CM1516" s="111"/>
      <c r="CQ1516" s="111"/>
      <c r="EF1516"/>
      <c r="EG1516"/>
      <c r="EH1516"/>
      <c r="EI1516"/>
      <c r="EJ1516"/>
      <c r="EK1516"/>
    </row>
    <row r="1517" spans="1:141" s="116" customFormat="1">
      <c r="A1517" s="136"/>
      <c r="CM1517" s="111"/>
      <c r="CQ1517" s="111"/>
      <c r="EF1517"/>
      <c r="EG1517"/>
      <c r="EH1517"/>
      <c r="EI1517"/>
      <c r="EJ1517"/>
      <c r="EK1517"/>
    </row>
    <row r="1518" spans="1:141" s="116" customFormat="1">
      <c r="A1518" s="136"/>
      <c r="CM1518" s="111"/>
      <c r="CQ1518" s="111"/>
      <c r="EF1518"/>
      <c r="EG1518"/>
      <c r="EH1518"/>
      <c r="EI1518"/>
      <c r="EJ1518"/>
      <c r="EK1518"/>
    </row>
    <row r="1519" spans="1:141" s="116" customFormat="1">
      <c r="A1519" s="136"/>
      <c r="CM1519" s="111"/>
      <c r="CQ1519" s="111"/>
      <c r="EF1519"/>
      <c r="EG1519"/>
      <c r="EH1519"/>
      <c r="EI1519"/>
      <c r="EJ1519"/>
      <c r="EK1519"/>
    </row>
    <row r="1520" spans="1:141" s="116" customFormat="1">
      <c r="A1520" s="136"/>
      <c r="CM1520" s="111"/>
      <c r="CQ1520" s="111"/>
      <c r="EF1520"/>
      <c r="EG1520"/>
      <c r="EH1520"/>
      <c r="EI1520"/>
      <c r="EJ1520"/>
      <c r="EK1520"/>
    </row>
    <row r="1521" spans="1:141" s="116" customFormat="1">
      <c r="A1521" s="136"/>
      <c r="CM1521" s="111"/>
      <c r="CQ1521" s="111"/>
      <c r="EF1521"/>
      <c r="EG1521"/>
      <c r="EH1521"/>
      <c r="EI1521"/>
      <c r="EJ1521"/>
      <c r="EK1521"/>
    </row>
    <row r="1522" spans="1:141" s="116" customFormat="1">
      <c r="A1522" s="136"/>
      <c r="CM1522" s="111"/>
      <c r="CQ1522" s="111"/>
      <c r="EF1522"/>
      <c r="EG1522"/>
      <c r="EH1522"/>
      <c r="EI1522"/>
      <c r="EJ1522"/>
      <c r="EK1522"/>
    </row>
    <row r="1523" spans="1:141" s="116" customFormat="1">
      <c r="A1523" s="136"/>
      <c r="CM1523" s="111"/>
      <c r="CQ1523" s="111"/>
      <c r="EF1523"/>
      <c r="EG1523"/>
      <c r="EH1523"/>
      <c r="EI1523"/>
      <c r="EJ1523"/>
      <c r="EK1523"/>
    </row>
    <row r="1524" spans="1:141" s="116" customFormat="1">
      <c r="A1524" s="136"/>
      <c r="CM1524" s="111"/>
      <c r="CQ1524" s="111"/>
      <c r="EF1524"/>
      <c r="EG1524"/>
      <c r="EH1524"/>
      <c r="EI1524"/>
      <c r="EJ1524"/>
      <c r="EK1524"/>
    </row>
    <row r="1525" spans="1:141" s="116" customFormat="1">
      <c r="A1525" s="136"/>
      <c r="CM1525" s="111"/>
      <c r="CQ1525" s="111"/>
      <c r="EF1525"/>
      <c r="EG1525"/>
      <c r="EH1525"/>
      <c r="EI1525"/>
      <c r="EJ1525"/>
      <c r="EK1525"/>
    </row>
    <row r="1526" spans="1:141" s="116" customFormat="1">
      <c r="A1526" s="136"/>
      <c r="CM1526" s="111"/>
      <c r="CQ1526" s="111"/>
      <c r="EF1526"/>
      <c r="EG1526"/>
      <c r="EH1526"/>
      <c r="EI1526"/>
      <c r="EJ1526"/>
      <c r="EK1526"/>
    </row>
    <row r="1527" spans="1:141" s="116" customFormat="1">
      <c r="A1527" s="136"/>
      <c r="CM1527" s="111"/>
      <c r="CQ1527" s="111"/>
      <c r="EF1527"/>
      <c r="EG1527"/>
      <c r="EH1527"/>
      <c r="EI1527"/>
      <c r="EJ1527"/>
      <c r="EK1527"/>
    </row>
    <row r="1528" spans="1:141" s="116" customFormat="1">
      <c r="A1528" s="136"/>
      <c r="CM1528" s="111"/>
      <c r="CQ1528" s="111"/>
      <c r="EF1528"/>
      <c r="EG1528"/>
      <c r="EH1528"/>
      <c r="EI1528"/>
      <c r="EJ1528"/>
      <c r="EK1528"/>
    </row>
    <row r="1529" spans="1:141" s="116" customFormat="1">
      <c r="A1529" s="136"/>
      <c r="CM1529" s="111"/>
      <c r="CQ1529" s="111"/>
      <c r="EF1529"/>
      <c r="EG1529"/>
      <c r="EH1529"/>
      <c r="EI1529"/>
      <c r="EJ1529"/>
      <c r="EK1529"/>
    </row>
    <row r="1530" spans="1:141" s="116" customFormat="1">
      <c r="A1530" s="136"/>
      <c r="CM1530" s="111"/>
      <c r="CQ1530" s="111"/>
      <c r="EF1530"/>
      <c r="EG1530"/>
      <c r="EH1530"/>
      <c r="EI1530"/>
      <c r="EJ1530"/>
      <c r="EK1530"/>
    </row>
    <row r="1531" spans="1:141" s="116" customFormat="1">
      <c r="A1531" s="136"/>
      <c r="CM1531" s="111"/>
      <c r="CQ1531" s="111"/>
      <c r="EF1531"/>
      <c r="EG1531"/>
      <c r="EH1531"/>
      <c r="EI1531"/>
      <c r="EJ1531"/>
      <c r="EK1531"/>
    </row>
    <row r="1532" spans="1:141" s="116" customFormat="1">
      <c r="A1532" s="136"/>
      <c r="CM1532" s="111"/>
      <c r="CQ1532" s="111"/>
      <c r="EF1532"/>
      <c r="EG1532"/>
      <c r="EH1532"/>
      <c r="EI1532"/>
      <c r="EJ1532"/>
      <c r="EK1532"/>
    </row>
    <row r="1533" spans="1:141" s="116" customFormat="1">
      <c r="A1533" s="136"/>
      <c r="CM1533" s="111"/>
      <c r="CQ1533" s="111"/>
      <c r="EF1533"/>
      <c r="EG1533"/>
      <c r="EH1533"/>
      <c r="EI1533"/>
      <c r="EJ1533"/>
      <c r="EK1533"/>
    </row>
    <row r="1534" spans="1:141" s="116" customFormat="1">
      <c r="A1534" s="136"/>
      <c r="CM1534" s="111"/>
      <c r="CQ1534" s="111"/>
      <c r="EF1534"/>
      <c r="EG1534"/>
      <c r="EH1534"/>
      <c r="EI1534"/>
      <c r="EJ1534"/>
      <c r="EK1534"/>
    </row>
    <row r="1535" spans="1:141" s="116" customFormat="1">
      <c r="A1535" s="136"/>
      <c r="CM1535" s="111"/>
      <c r="CQ1535" s="111"/>
      <c r="EF1535"/>
      <c r="EG1535"/>
      <c r="EH1535"/>
      <c r="EI1535"/>
      <c r="EJ1535"/>
      <c r="EK1535"/>
    </row>
    <row r="1536" spans="1:141" s="116" customFormat="1">
      <c r="A1536" s="136"/>
      <c r="CM1536" s="111"/>
      <c r="CQ1536" s="111"/>
      <c r="EF1536"/>
      <c r="EG1536"/>
      <c r="EH1536"/>
      <c r="EI1536"/>
      <c r="EJ1536"/>
      <c r="EK1536"/>
    </row>
    <row r="1537" spans="1:141" s="116" customFormat="1">
      <c r="A1537" s="136"/>
      <c r="CM1537" s="111"/>
      <c r="CQ1537" s="111"/>
      <c r="EF1537"/>
      <c r="EG1537"/>
      <c r="EH1537"/>
      <c r="EI1537"/>
      <c r="EJ1537"/>
      <c r="EK1537"/>
    </row>
    <row r="1538" spans="1:141" s="116" customFormat="1">
      <c r="A1538" s="136"/>
      <c r="CM1538" s="111"/>
      <c r="CQ1538" s="111"/>
      <c r="EF1538"/>
      <c r="EG1538"/>
      <c r="EH1538"/>
      <c r="EI1538"/>
      <c r="EJ1538"/>
      <c r="EK1538"/>
    </row>
    <row r="1539" spans="1:141" s="116" customFormat="1">
      <c r="A1539" s="136"/>
      <c r="CM1539" s="111"/>
      <c r="CQ1539" s="111"/>
      <c r="EF1539"/>
      <c r="EG1539"/>
      <c r="EH1539"/>
      <c r="EI1539"/>
      <c r="EJ1539"/>
      <c r="EK1539"/>
    </row>
    <row r="1540" spans="1:141" s="116" customFormat="1">
      <c r="A1540" s="136"/>
      <c r="CM1540" s="111"/>
      <c r="CQ1540" s="111"/>
      <c r="EF1540"/>
      <c r="EG1540"/>
      <c r="EH1540"/>
      <c r="EI1540"/>
      <c r="EJ1540"/>
      <c r="EK1540"/>
    </row>
    <row r="1541" spans="1:141" s="116" customFormat="1">
      <c r="A1541" s="136"/>
      <c r="CM1541" s="111"/>
      <c r="CQ1541" s="111"/>
      <c r="EF1541"/>
      <c r="EG1541"/>
      <c r="EH1541"/>
      <c r="EI1541"/>
      <c r="EJ1541"/>
      <c r="EK1541"/>
    </row>
    <row r="1542" spans="1:141" s="116" customFormat="1">
      <c r="A1542" s="136"/>
      <c r="CM1542" s="111"/>
      <c r="CQ1542" s="111"/>
      <c r="EF1542"/>
      <c r="EG1542"/>
      <c r="EH1542"/>
      <c r="EI1542"/>
      <c r="EJ1542"/>
      <c r="EK1542"/>
    </row>
    <row r="1543" spans="1:141" s="116" customFormat="1">
      <c r="A1543" s="136"/>
      <c r="CM1543" s="111"/>
      <c r="CQ1543" s="111"/>
      <c r="EF1543"/>
      <c r="EG1543"/>
      <c r="EH1543"/>
      <c r="EI1543"/>
      <c r="EJ1543"/>
      <c r="EK1543"/>
    </row>
    <row r="1544" spans="1:141" s="116" customFormat="1">
      <c r="A1544" s="136"/>
      <c r="CM1544" s="111"/>
      <c r="CQ1544" s="111"/>
      <c r="EF1544"/>
      <c r="EG1544"/>
      <c r="EH1544"/>
      <c r="EI1544"/>
      <c r="EJ1544"/>
      <c r="EK1544"/>
    </row>
    <row r="1545" spans="1:141" s="116" customFormat="1">
      <c r="A1545" s="136"/>
      <c r="CM1545" s="111"/>
      <c r="CQ1545" s="111"/>
      <c r="EF1545"/>
      <c r="EG1545"/>
      <c r="EH1545"/>
      <c r="EI1545"/>
      <c r="EJ1545"/>
      <c r="EK1545"/>
    </row>
    <row r="1546" spans="1:141" s="116" customFormat="1">
      <c r="A1546" s="136"/>
      <c r="CM1546" s="111"/>
      <c r="CQ1546" s="111"/>
      <c r="EF1546"/>
      <c r="EG1546"/>
      <c r="EH1546"/>
      <c r="EI1546"/>
      <c r="EJ1546"/>
      <c r="EK1546"/>
    </row>
    <row r="1547" spans="1:141" s="116" customFormat="1">
      <c r="A1547" s="136"/>
      <c r="CM1547" s="111"/>
      <c r="CQ1547" s="111"/>
      <c r="EF1547"/>
      <c r="EG1547"/>
      <c r="EH1547"/>
      <c r="EI1547"/>
      <c r="EJ1547"/>
      <c r="EK1547"/>
    </row>
    <row r="1548" spans="1:141" s="116" customFormat="1">
      <c r="A1548" s="136"/>
      <c r="CM1548" s="111"/>
      <c r="CQ1548" s="111"/>
      <c r="EF1548"/>
      <c r="EG1548"/>
      <c r="EH1548"/>
      <c r="EI1548"/>
      <c r="EJ1548"/>
      <c r="EK1548"/>
    </row>
    <row r="1549" spans="1:141" s="116" customFormat="1">
      <c r="A1549" s="136"/>
      <c r="CM1549" s="111"/>
      <c r="CQ1549" s="111"/>
      <c r="EF1549"/>
      <c r="EG1549"/>
      <c r="EH1549"/>
      <c r="EI1549"/>
      <c r="EJ1549"/>
      <c r="EK1549"/>
    </row>
    <row r="1550" spans="1:141" s="116" customFormat="1">
      <c r="A1550" s="136"/>
      <c r="CM1550" s="111"/>
      <c r="CQ1550" s="111"/>
      <c r="EF1550"/>
      <c r="EG1550"/>
      <c r="EH1550"/>
      <c r="EI1550"/>
      <c r="EJ1550"/>
      <c r="EK1550"/>
    </row>
    <row r="1551" spans="1:141" s="116" customFormat="1">
      <c r="A1551" s="136"/>
      <c r="CM1551" s="111"/>
      <c r="CQ1551" s="111"/>
      <c r="EF1551"/>
      <c r="EG1551"/>
      <c r="EH1551"/>
      <c r="EI1551"/>
      <c r="EJ1551"/>
      <c r="EK1551"/>
    </row>
    <row r="1552" spans="1:141" s="116" customFormat="1">
      <c r="A1552" s="136"/>
      <c r="CM1552" s="111"/>
      <c r="CQ1552" s="111"/>
      <c r="EF1552"/>
      <c r="EG1552"/>
      <c r="EH1552"/>
      <c r="EI1552"/>
      <c r="EJ1552"/>
      <c r="EK1552"/>
    </row>
    <row r="1553" spans="1:141" s="116" customFormat="1">
      <c r="A1553" s="136"/>
      <c r="CM1553" s="111"/>
      <c r="CQ1553" s="111"/>
      <c r="EF1553"/>
      <c r="EG1553"/>
      <c r="EH1553"/>
      <c r="EI1553"/>
      <c r="EJ1553"/>
      <c r="EK1553"/>
    </row>
    <row r="1554" spans="1:141" s="116" customFormat="1">
      <c r="A1554" s="136"/>
      <c r="CM1554" s="111"/>
      <c r="CQ1554" s="111"/>
      <c r="EF1554"/>
      <c r="EG1554"/>
      <c r="EH1554"/>
      <c r="EI1554"/>
      <c r="EJ1554"/>
      <c r="EK1554"/>
    </row>
    <row r="1555" spans="1:141" s="116" customFormat="1">
      <c r="A1555" s="136"/>
      <c r="CM1555" s="111"/>
      <c r="CQ1555" s="111"/>
      <c r="EF1555"/>
      <c r="EG1555"/>
      <c r="EH1555"/>
      <c r="EI1555"/>
      <c r="EJ1555"/>
      <c r="EK1555"/>
    </row>
    <row r="1556" spans="1:141" s="116" customFormat="1">
      <c r="A1556" s="136"/>
      <c r="CM1556" s="111"/>
      <c r="CQ1556" s="111"/>
      <c r="EF1556"/>
      <c r="EG1556"/>
      <c r="EH1556"/>
      <c r="EI1556"/>
      <c r="EJ1556"/>
      <c r="EK1556"/>
    </row>
    <row r="1557" spans="1:141" s="116" customFormat="1">
      <c r="A1557" s="136"/>
      <c r="CM1557" s="111"/>
      <c r="CQ1557" s="111"/>
      <c r="EF1557"/>
      <c r="EG1557"/>
      <c r="EH1557"/>
      <c r="EI1557"/>
      <c r="EJ1557"/>
      <c r="EK1557"/>
    </row>
    <row r="1558" spans="1:141" s="116" customFormat="1">
      <c r="A1558" s="136"/>
      <c r="CM1558" s="111"/>
      <c r="CQ1558" s="111"/>
      <c r="EF1558"/>
      <c r="EG1558"/>
      <c r="EH1558"/>
      <c r="EI1558"/>
      <c r="EJ1558"/>
      <c r="EK1558"/>
    </row>
    <row r="1559" spans="1:141" s="116" customFormat="1">
      <c r="A1559" s="136"/>
      <c r="CM1559" s="111"/>
      <c r="CQ1559" s="111"/>
      <c r="EF1559"/>
      <c r="EG1559"/>
      <c r="EH1559"/>
      <c r="EI1559"/>
      <c r="EJ1559"/>
      <c r="EK1559"/>
    </row>
    <row r="1560" spans="1:141" s="116" customFormat="1">
      <c r="A1560" s="136"/>
      <c r="CM1560" s="111"/>
      <c r="CQ1560" s="111"/>
      <c r="EF1560"/>
      <c r="EG1560"/>
      <c r="EH1560"/>
      <c r="EI1560"/>
      <c r="EJ1560"/>
      <c r="EK1560"/>
    </row>
    <row r="1561" spans="1:141" s="116" customFormat="1">
      <c r="A1561" s="136"/>
      <c r="CM1561" s="111"/>
      <c r="CQ1561" s="111"/>
      <c r="EF1561"/>
      <c r="EG1561"/>
      <c r="EH1561"/>
      <c r="EI1561"/>
      <c r="EJ1561"/>
      <c r="EK1561"/>
    </row>
    <row r="1562" spans="1:141" s="116" customFormat="1">
      <c r="A1562" s="136"/>
      <c r="CM1562" s="111"/>
      <c r="CQ1562" s="111"/>
      <c r="EF1562"/>
      <c r="EG1562"/>
      <c r="EH1562"/>
      <c r="EI1562"/>
      <c r="EJ1562"/>
      <c r="EK1562"/>
    </row>
    <row r="1563" spans="1:141" s="116" customFormat="1">
      <c r="A1563" s="136"/>
      <c r="CM1563" s="111"/>
      <c r="CQ1563" s="111"/>
      <c r="EF1563"/>
      <c r="EG1563"/>
      <c r="EH1563"/>
      <c r="EI1563"/>
      <c r="EJ1563"/>
      <c r="EK1563"/>
    </row>
    <row r="1564" spans="1:141" s="116" customFormat="1">
      <c r="A1564" s="136"/>
      <c r="CM1564" s="111"/>
      <c r="CQ1564" s="111"/>
      <c r="EF1564"/>
      <c r="EG1564"/>
      <c r="EH1564"/>
      <c r="EI1564"/>
      <c r="EJ1564"/>
      <c r="EK1564"/>
    </row>
    <row r="1565" spans="1:141" s="116" customFormat="1">
      <c r="A1565" s="136"/>
      <c r="CM1565" s="111"/>
      <c r="CQ1565" s="111"/>
      <c r="EF1565"/>
      <c r="EG1565"/>
      <c r="EH1565"/>
      <c r="EI1565"/>
      <c r="EJ1565"/>
      <c r="EK1565"/>
    </row>
    <row r="1566" spans="1:141" s="116" customFormat="1">
      <c r="A1566" s="136"/>
      <c r="CM1566" s="111"/>
      <c r="CQ1566" s="111"/>
      <c r="EF1566"/>
      <c r="EG1566"/>
      <c r="EH1566"/>
      <c r="EI1566"/>
      <c r="EJ1566"/>
      <c r="EK1566"/>
    </row>
    <row r="1567" spans="1:141" s="116" customFormat="1">
      <c r="A1567" s="136"/>
      <c r="CM1567" s="111"/>
      <c r="CQ1567" s="111"/>
      <c r="EF1567"/>
      <c r="EG1567"/>
      <c r="EH1567"/>
      <c r="EI1567"/>
      <c r="EJ1567"/>
      <c r="EK1567"/>
    </row>
    <row r="1568" spans="1:141" s="116" customFormat="1">
      <c r="A1568" s="136"/>
      <c r="CM1568" s="111"/>
      <c r="CQ1568" s="111"/>
      <c r="EF1568"/>
      <c r="EG1568"/>
      <c r="EH1568"/>
      <c r="EI1568"/>
      <c r="EJ1568"/>
      <c r="EK1568"/>
    </row>
    <row r="1569" spans="1:141" s="116" customFormat="1">
      <c r="A1569" s="136"/>
      <c r="CM1569" s="111"/>
      <c r="CQ1569" s="111"/>
      <c r="EF1569"/>
      <c r="EG1569"/>
      <c r="EH1569"/>
      <c r="EI1569"/>
      <c r="EJ1569"/>
      <c r="EK1569"/>
    </row>
    <row r="1570" spans="1:141" s="116" customFormat="1">
      <c r="A1570" s="136"/>
      <c r="CM1570" s="111"/>
      <c r="CQ1570" s="111"/>
      <c r="EF1570"/>
      <c r="EG1570"/>
      <c r="EH1570"/>
      <c r="EI1570"/>
      <c r="EJ1570"/>
      <c r="EK1570"/>
    </row>
    <row r="1571" spans="1:141" s="116" customFormat="1">
      <c r="A1571" s="136"/>
      <c r="CM1571" s="111"/>
      <c r="CQ1571" s="111"/>
      <c r="EF1571"/>
      <c r="EG1571"/>
      <c r="EH1571"/>
      <c r="EI1571"/>
      <c r="EJ1571"/>
      <c r="EK1571"/>
    </row>
    <row r="1572" spans="1:141" s="116" customFormat="1">
      <c r="A1572" s="136"/>
      <c r="CM1572" s="111"/>
      <c r="CQ1572" s="111"/>
      <c r="EF1572"/>
      <c r="EG1572"/>
      <c r="EH1572"/>
      <c r="EI1572"/>
      <c r="EJ1572"/>
      <c r="EK1572"/>
    </row>
    <row r="1573" spans="1:141" s="116" customFormat="1">
      <c r="A1573" s="136"/>
      <c r="CM1573" s="111"/>
      <c r="CQ1573" s="111"/>
      <c r="EF1573"/>
      <c r="EG1573"/>
      <c r="EH1573"/>
      <c r="EI1573"/>
      <c r="EJ1573"/>
      <c r="EK1573"/>
    </row>
    <row r="1574" spans="1:141" s="116" customFormat="1">
      <c r="A1574" s="136"/>
      <c r="CM1574" s="111"/>
      <c r="CQ1574" s="111"/>
      <c r="EF1574"/>
      <c r="EG1574"/>
      <c r="EH1574"/>
      <c r="EI1574"/>
      <c r="EJ1574"/>
      <c r="EK1574"/>
    </row>
    <row r="1575" spans="1:141" s="116" customFormat="1">
      <c r="A1575" s="136"/>
      <c r="CM1575" s="111"/>
      <c r="CQ1575" s="111"/>
      <c r="EF1575"/>
      <c r="EG1575"/>
      <c r="EH1575"/>
      <c r="EI1575"/>
      <c r="EJ1575"/>
      <c r="EK1575"/>
    </row>
    <row r="1576" spans="1:141" s="116" customFormat="1">
      <c r="A1576" s="136"/>
      <c r="CM1576" s="111"/>
      <c r="CQ1576" s="111"/>
      <c r="EF1576"/>
      <c r="EG1576"/>
      <c r="EH1576"/>
      <c r="EI1576"/>
      <c r="EJ1576"/>
      <c r="EK1576"/>
    </row>
    <row r="1577" spans="1:141" s="116" customFormat="1">
      <c r="A1577" s="136"/>
      <c r="CM1577" s="111"/>
      <c r="CQ1577" s="111"/>
      <c r="EF1577"/>
      <c r="EG1577"/>
      <c r="EH1577"/>
      <c r="EI1577"/>
      <c r="EJ1577"/>
      <c r="EK1577"/>
    </row>
    <row r="1578" spans="1:141" s="116" customFormat="1">
      <c r="A1578" s="136"/>
      <c r="CM1578" s="111"/>
      <c r="CQ1578" s="111"/>
      <c r="EF1578"/>
      <c r="EG1578"/>
      <c r="EH1578"/>
      <c r="EI1578"/>
      <c r="EJ1578"/>
      <c r="EK1578"/>
    </row>
    <row r="1579" spans="1:141" s="116" customFormat="1">
      <c r="A1579" s="136"/>
      <c r="CM1579" s="111"/>
      <c r="CQ1579" s="111"/>
      <c r="EF1579"/>
      <c r="EG1579"/>
      <c r="EH1579"/>
      <c r="EI1579"/>
      <c r="EJ1579"/>
      <c r="EK1579"/>
    </row>
    <row r="1580" spans="1:141" s="116" customFormat="1">
      <c r="A1580" s="136"/>
      <c r="CM1580" s="111"/>
      <c r="CQ1580" s="111"/>
      <c r="EF1580"/>
      <c r="EG1580"/>
      <c r="EH1580"/>
      <c r="EI1580"/>
      <c r="EJ1580"/>
      <c r="EK1580"/>
    </row>
    <row r="1581" spans="1:141" s="116" customFormat="1">
      <c r="A1581" s="136"/>
      <c r="CM1581" s="111"/>
      <c r="CQ1581" s="111"/>
      <c r="EF1581"/>
      <c r="EG1581"/>
      <c r="EH1581"/>
      <c r="EI1581"/>
      <c r="EJ1581"/>
      <c r="EK1581"/>
    </row>
    <row r="1582" spans="1:141" s="116" customFormat="1">
      <c r="A1582" s="136"/>
      <c r="CM1582" s="111"/>
      <c r="CQ1582" s="111"/>
      <c r="EF1582"/>
      <c r="EG1582"/>
      <c r="EH1582"/>
      <c r="EI1582"/>
      <c r="EJ1582"/>
      <c r="EK1582"/>
    </row>
    <row r="1583" spans="1:141" s="116" customFormat="1">
      <c r="A1583" s="136"/>
      <c r="CM1583" s="111"/>
      <c r="CQ1583" s="111"/>
      <c r="EF1583"/>
      <c r="EG1583"/>
      <c r="EH1583"/>
      <c r="EI1583"/>
      <c r="EJ1583"/>
      <c r="EK1583"/>
    </row>
    <row r="1584" spans="1:141" s="116" customFormat="1">
      <c r="A1584" s="136"/>
      <c r="CM1584" s="111"/>
      <c r="CQ1584" s="111"/>
      <c r="EF1584"/>
      <c r="EG1584"/>
      <c r="EH1584"/>
      <c r="EI1584"/>
      <c r="EJ1584"/>
      <c r="EK1584"/>
    </row>
    <row r="1585" spans="1:141" s="116" customFormat="1">
      <c r="A1585" s="136"/>
      <c r="CM1585" s="111"/>
      <c r="CQ1585" s="111"/>
      <c r="EF1585"/>
      <c r="EG1585"/>
      <c r="EH1585"/>
      <c r="EI1585"/>
      <c r="EJ1585"/>
      <c r="EK1585"/>
    </row>
    <row r="1586" spans="1:141" s="116" customFormat="1">
      <c r="A1586" s="136"/>
      <c r="CM1586" s="111"/>
      <c r="CQ1586" s="111"/>
      <c r="EF1586"/>
      <c r="EG1586"/>
      <c r="EH1586"/>
      <c r="EI1586"/>
      <c r="EJ1586"/>
      <c r="EK1586"/>
    </row>
    <row r="1587" spans="1:141" s="116" customFormat="1">
      <c r="A1587" s="136"/>
      <c r="CM1587" s="111"/>
      <c r="CQ1587" s="111"/>
      <c r="EF1587"/>
      <c r="EG1587"/>
      <c r="EH1587"/>
      <c r="EI1587"/>
      <c r="EJ1587"/>
      <c r="EK1587"/>
    </row>
    <row r="1588" spans="1:141" s="116" customFormat="1">
      <c r="A1588" s="136"/>
      <c r="CM1588" s="111"/>
      <c r="CQ1588" s="111"/>
      <c r="EF1588"/>
      <c r="EG1588"/>
      <c r="EH1588"/>
      <c r="EI1588"/>
      <c r="EJ1588"/>
      <c r="EK1588"/>
    </row>
    <row r="1589" spans="1:141" s="116" customFormat="1">
      <c r="A1589" s="136"/>
      <c r="CM1589" s="111"/>
      <c r="CQ1589" s="111"/>
      <c r="EF1589"/>
      <c r="EG1589"/>
      <c r="EH1589"/>
      <c r="EI1589"/>
      <c r="EJ1589"/>
      <c r="EK1589"/>
    </row>
    <row r="1590" spans="1:141" s="116" customFormat="1">
      <c r="A1590" s="136"/>
      <c r="CM1590" s="111"/>
      <c r="CQ1590" s="111"/>
      <c r="EF1590"/>
      <c r="EG1590"/>
      <c r="EH1590"/>
      <c r="EI1590"/>
      <c r="EJ1590"/>
      <c r="EK1590"/>
    </row>
    <row r="1591" spans="1:141" s="116" customFormat="1">
      <c r="A1591" s="136"/>
      <c r="CM1591" s="111"/>
      <c r="CQ1591" s="111"/>
      <c r="EF1591"/>
      <c r="EG1591"/>
      <c r="EH1591"/>
      <c r="EI1591"/>
      <c r="EJ1591"/>
      <c r="EK1591"/>
    </row>
    <row r="1592" spans="1:141" s="116" customFormat="1">
      <c r="A1592" s="136"/>
      <c r="CM1592" s="111"/>
      <c r="CQ1592" s="111"/>
      <c r="EF1592"/>
      <c r="EG1592"/>
      <c r="EH1592"/>
      <c r="EI1592"/>
      <c r="EJ1592"/>
      <c r="EK1592"/>
    </row>
    <row r="1593" spans="1:141" s="116" customFormat="1">
      <c r="A1593" s="136"/>
      <c r="CM1593" s="111"/>
      <c r="CQ1593" s="111"/>
      <c r="EF1593"/>
      <c r="EG1593"/>
      <c r="EH1593"/>
      <c r="EI1593"/>
      <c r="EJ1593"/>
      <c r="EK1593"/>
    </row>
    <row r="1594" spans="1:141" s="116" customFormat="1">
      <c r="A1594" s="136"/>
      <c r="CM1594" s="111"/>
      <c r="CQ1594" s="111"/>
      <c r="EF1594"/>
      <c r="EG1594"/>
      <c r="EH1594"/>
      <c r="EI1594"/>
      <c r="EJ1594"/>
      <c r="EK1594"/>
    </row>
    <row r="1595" spans="1:141" s="116" customFormat="1">
      <c r="A1595" s="136"/>
      <c r="CM1595" s="111"/>
      <c r="CQ1595" s="111"/>
      <c r="EF1595"/>
      <c r="EG1595"/>
      <c r="EH1595"/>
      <c r="EI1595"/>
      <c r="EJ1595"/>
      <c r="EK1595"/>
    </row>
    <row r="1596" spans="1:141" s="116" customFormat="1">
      <c r="A1596" s="136"/>
      <c r="CM1596" s="111"/>
      <c r="CQ1596" s="111"/>
      <c r="EF1596"/>
      <c r="EG1596"/>
      <c r="EH1596"/>
      <c r="EI1596"/>
      <c r="EJ1596"/>
      <c r="EK1596"/>
    </row>
    <row r="1597" spans="1:141" s="116" customFormat="1">
      <c r="A1597" s="136"/>
      <c r="CM1597" s="111"/>
      <c r="CQ1597" s="111"/>
      <c r="EF1597"/>
      <c r="EG1597"/>
      <c r="EH1597"/>
      <c r="EI1597"/>
      <c r="EJ1597"/>
      <c r="EK1597"/>
    </row>
    <row r="1598" spans="1:141" s="116" customFormat="1">
      <c r="A1598" s="136"/>
      <c r="CM1598" s="111"/>
      <c r="CQ1598" s="111"/>
      <c r="EF1598"/>
      <c r="EG1598"/>
      <c r="EH1598"/>
      <c r="EI1598"/>
      <c r="EJ1598"/>
      <c r="EK1598"/>
    </row>
    <row r="1599" spans="1:141" s="116" customFormat="1">
      <c r="A1599" s="136"/>
      <c r="CM1599" s="111"/>
      <c r="CQ1599" s="111"/>
      <c r="EF1599"/>
      <c r="EG1599"/>
      <c r="EH1599"/>
      <c r="EI1599"/>
      <c r="EJ1599"/>
      <c r="EK1599"/>
    </row>
    <row r="1600" spans="1:141" s="116" customFormat="1">
      <c r="A1600" s="136"/>
      <c r="CM1600" s="111"/>
      <c r="CQ1600" s="111"/>
      <c r="EF1600"/>
      <c r="EG1600"/>
      <c r="EH1600"/>
      <c r="EI1600"/>
      <c r="EJ1600"/>
      <c r="EK1600"/>
    </row>
    <row r="1601" spans="1:141" s="116" customFormat="1">
      <c r="A1601" s="136"/>
      <c r="CM1601" s="111"/>
      <c r="CQ1601" s="111"/>
      <c r="EF1601"/>
      <c r="EG1601"/>
      <c r="EH1601"/>
      <c r="EI1601"/>
      <c r="EJ1601"/>
      <c r="EK1601"/>
    </row>
    <row r="1602" spans="1:141" s="116" customFormat="1">
      <c r="A1602" s="136"/>
      <c r="CM1602" s="111"/>
      <c r="CQ1602" s="111"/>
      <c r="EF1602"/>
      <c r="EG1602"/>
      <c r="EH1602"/>
      <c r="EI1602"/>
      <c r="EJ1602"/>
      <c r="EK1602"/>
    </row>
    <row r="1603" spans="1:141" s="116" customFormat="1">
      <c r="A1603" s="136"/>
      <c r="CM1603" s="111"/>
      <c r="CQ1603" s="111"/>
      <c r="EF1603"/>
      <c r="EG1603"/>
      <c r="EH1603"/>
      <c r="EI1603"/>
      <c r="EJ1603"/>
      <c r="EK1603"/>
    </row>
    <row r="1604" spans="1:141" s="116" customFormat="1">
      <c r="A1604" s="136"/>
      <c r="CM1604" s="111"/>
      <c r="CQ1604" s="111"/>
      <c r="EF1604"/>
      <c r="EG1604"/>
      <c r="EH1604"/>
      <c r="EI1604"/>
      <c r="EJ1604"/>
      <c r="EK1604"/>
    </row>
    <row r="1605" spans="1:141" s="116" customFormat="1">
      <c r="A1605" s="136"/>
      <c r="CM1605" s="111"/>
      <c r="CQ1605" s="111"/>
      <c r="EF1605"/>
      <c r="EG1605"/>
      <c r="EH1605"/>
      <c r="EI1605"/>
      <c r="EJ1605"/>
      <c r="EK1605"/>
    </row>
    <row r="1606" spans="1:141" s="116" customFormat="1">
      <c r="A1606" s="136"/>
      <c r="CM1606" s="111"/>
      <c r="CQ1606" s="111"/>
      <c r="EF1606"/>
      <c r="EG1606"/>
      <c r="EH1606"/>
      <c r="EI1606"/>
      <c r="EJ1606"/>
      <c r="EK1606"/>
    </row>
    <row r="1607" spans="1:141" s="116" customFormat="1">
      <c r="A1607" s="136"/>
      <c r="CM1607" s="111"/>
      <c r="CQ1607" s="111"/>
      <c r="EF1607"/>
      <c r="EG1607"/>
      <c r="EH1607"/>
      <c r="EI1607"/>
      <c r="EJ1607"/>
      <c r="EK1607"/>
    </row>
    <row r="1608" spans="1:141" s="116" customFormat="1">
      <c r="A1608" s="136"/>
      <c r="CM1608" s="111"/>
      <c r="CQ1608" s="111"/>
      <c r="EF1608"/>
      <c r="EG1608"/>
      <c r="EH1608"/>
      <c r="EI1608"/>
      <c r="EJ1608"/>
      <c r="EK1608"/>
    </row>
    <row r="1609" spans="1:141" s="116" customFormat="1">
      <c r="A1609" s="136"/>
      <c r="CM1609" s="111"/>
      <c r="CQ1609" s="111"/>
      <c r="EF1609"/>
      <c r="EG1609"/>
      <c r="EH1609"/>
      <c r="EI1609"/>
      <c r="EJ1609"/>
      <c r="EK1609"/>
    </row>
    <row r="1610" spans="1:141" s="116" customFormat="1">
      <c r="A1610" s="136"/>
      <c r="CM1610" s="111"/>
      <c r="CQ1610" s="111"/>
      <c r="EF1610"/>
      <c r="EG1610"/>
      <c r="EH1610"/>
      <c r="EI1610"/>
      <c r="EJ1610"/>
      <c r="EK1610"/>
    </row>
    <row r="1611" spans="1:141" s="116" customFormat="1">
      <c r="A1611" s="136"/>
      <c r="CM1611" s="111"/>
      <c r="CQ1611" s="111"/>
      <c r="EF1611"/>
      <c r="EG1611"/>
      <c r="EH1611"/>
      <c r="EI1611"/>
      <c r="EJ1611"/>
      <c r="EK1611"/>
    </row>
    <row r="1612" spans="1:141" s="116" customFormat="1">
      <c r="A1612" s="136"/>
      <c r="CM1612" s="111"/>
      <c r="CQ1612" s="111"/>
      <c r="EF1612"/>
      <c r="EG1612"/>
      <c r="EH1612"/>
      <c r="EI1612"/>
      <c r="EJ1612"/>
      <c r="EK1612"/>
    </row>
    <row r="1613" spans="1:141" s="116" customFormat="1">
      <c r="A1613" s="136"/>
      <c r="CM1613" s="111"/>
      <c r="CQ1613" s="111"/>
      <c r="EF1613"/>
      <c r="EG1613"/>
      <c r="EH1613"/>
      <c r="EI1613"/>
      <c r="EJ1613"/>
      <c r="EK1613"/>
    </row>
    <row r="1614" spans="1:141" s="116" customFormat="1">
      <c r="A1614" s="136"/>
      <c r="CM1614" s="111"/>
      <c r="CQ1614" s="111"/>
      <c r="EF1614"/>
      <c r="EG1614"/>
      <c r="EH1614"/>
      <c r="EI1614"/>
      <c r="EJ1614"/>
      <c r="EK1614"/>
    </row>
    <row r="1615" spans="1:141" s="116" customFormat="1">
      <c r="A1615" s="136"/>
      <c r="CM1615" s="111"/>
      <c r="CQ1615" s="111"/>
      <c r="EF1615"/>
      <c r="EG1615"/>
      <c r="EH1615"/>
      <c r="EI1615"/>
      <c r="EJ1615"/>
      <c r="EK1615"/>
    </row>
    <row r="1616" spans="1:141" s="116" customFormat="1">
      <c r="A1616" s="136"/>
      <c r="CM1616" s="111"/>
      <c r="CQ1616" s="111"/>
      <c r="EF1616"/>
      <c r="EG1616"/>
      <c r="EH1616"/>
      <c r="EI1616"/>
      <c r="EJ1616"/>
      <c r="EK1616"/>
    </row>
    <row r="1617" spans="1:141" s="116" customFormat="1">
      <c r="A1617" s="136"/>
      <c r="CM1617" s="111"/>
      <c r="CQ1617" s="111"/>
      <c r="EF1617"/>
      <c r="EG1617"/>
      <c r="EH1617"/>
      <c r="EI1617"/>
      <c r="EJ1617"/>
      <c r="EK1617"/>
    </row>
    <row r="1618" spans="1:141" s="116" customFormat="1">
      <c r="A1618" s="136"/>
      <c r="CM1618" s="111"/>
      <c r="CQ1618" s="111"/>
      <c r="EF1618"/>
      <c r="EG1618"/>
      <c r="EH1618"/>
      <c r="EI1618"/>
      <c r="EJ1618"/>
      <c r="EK1618"/>
    </row>
    <row r="1619" spans="1:141" s="116" customFormat="1">
      <c r="A1619" s="136"/>
      <c r="CM1619" s="111"/>
      <c r="CQ1619" s="111"/>
      <c r="EF1619"/>
      <c r="EG1619"/>
      <c r="EH1619"/>
      <c r="EI1619"/>
      <c r="EJ1619"/>
      <c r="EK1619"/>
    </row>
    <row r="1620" spans="1:141" s="116" customFormat="1">
      <c r="A1620" s="136"/>
      <c r="CM1620" s="111"/>
      <c r="CQ1620" s="111"/>
      <c r="EF1620"/>
      <c r="EG1620"/>
      <c r="EH1620"/>
      <c r="EI1620"/>
      <c r="EJ1620"/>
      <c r="EK1620"/>
    </row>
    <row r="1621" spans="1:141" s="116" customFormat="1">
      <c r="A1621" s="136"/>
      <c r="CM1621" s="111"/>
      <c r="CQ1621" s="111"/>
      <c r="EF1621"/>
      <c r="EG1621"/>
      <c r="EH1621"/>
      <c r="EI1621"/>
      <c r="EJ1621"/>
      <c r="EK1621"/>
    </row>
    <row r="1622" spans="1:141" s="116" customFormat="1">
      <c r="A1622" s="136"/>
      <c r="CM1622" s="111"/>
      <c r="CQ1622" s="111"/>
      <c r="EF1622"/>
      <c r="EG1622"/>
      <c r="EH1622"/>
      <c r="EI1622"/>
      <c r="EJ1622"/>
      <c r="EK1622"/>
    </row>
    <row r="1623" spans="1:141" s="116" customFormat="1">
      <c r="A1623" s="136"/>
      <c r="CM1623" s="111"/>
      <c r="CQ1623" s="111"/>
      <c r="EF1623"/>
      <c r="EG1623"/>
      <c r="EH1623"/>
      <c r="EI1623"/>
      <c r="EJ1623"/>
      <c r="EK1623"/>
    </row>
    <row r="1624" spans="1:141" s="116" customFormat="1">
      <c r="A1624" s="136"/>
      <c r="CM1624" s="111"/>
      <c r="CQ1624" s="111"/>
      <c r="EF1624"/>
      <c r="EG1624"/>
      <c r="EH1624"/>
      <c r="EI1624"/>
      <c r="EJ1624"/>
      <c r="EK1624"/>
    </row>
    <row r="1625" spans="1:141" s="116" customFormat="1">
      <c r="A1625" s="136"/>
      <c r="CM1625" s="111"/>
      <c r="CQ1625" s="111"/>
      <c r="EF1625"/>
      <c r="EG1625"/>
      <c r="EH1625"/>
      <c r="EI1625"/>
      <c r="EJ1625"/>
      <c r="EK1625"/>
    </row>
    <row r="1626" spans="1:141" s="116" customFormat="1">
      <c r="A1626" s="136"/>
      <c r="CM1626" s="111"/>
      <c r="CQ1626" s="111"/>
      <c r="EF1626"/>
      <c r="EG1626"/>
      <c r="EH1626"/>
      <c r="EI1626"/>
      <c r="EJ1626"/>
      <c r="EK1626"/>
    </row>
    <row r="1627" spans="1:141" s="116" customFormat="1">
      <c r="A1627" s="136"/>
      <c r="CM1627" s="111"/>
      <c r="CQ1627" s="111"/>
      <c r="EF1627"/>
      <c r="EG1627"/>
      <c r="EH1627"/>
      <c r="EI1627"/>
      <c r="EJ1627"/>
      <c r="EK1627"/>
    </row>
    <row r="1628" spans="1:141" s="116" customFormat="1">
      <c r="A1628" s="136"/>
      <c r="CM1628" s="111"/>
      <c r="CQ1628" s="111"/>
      <c r="EF1628"/>
      <c r="EG1628"/>
      <c r="EH1628"/>
      <c r="EI1628"/>
      <c r="EJ1628"/>
      <c r="EK1628"/>
    </row>
    <row r="1629" spans="1:141" s="116" customFormat="1">
      <c r="A1629" s="136"/>
      <c r="CM1629" s="111"/>
      <c r="CQ1629" s="111"/>
      <c r="EF1629"/>
      <c r="EG1629"/>
      <c r="EH1629"/>
      <c r="EI1629"/>
      <c r="EJ1629"/>
      <c r="EK1629"/>
    </row>
    <row r="1630" spans="1:141" s="116" customFormat="1">
      <c r="A1630" s="136"/>
      <c r="CM1630" s="111"/>
      <c r="CQ1630" s="111"/>
      <c r="EF1630"/>
      <c r="EG1630"/>
      <c r="EH1630"/>
      <c r="EI1630"/>
      <c r="EJ1630"/>
      <c r="EK1630"/>
    </row>
    <row r="1631" spans="1:141" s="116" customFormat="1">
      <c r="A1631" s="136"/>
      <c r="CM1631" s="111"/>
      <c r="CQ1631" s="111"/>
      <c r="EF1631"/>
      <c r="EG1631"/>
      <c r="EH1631"/>
      <c r="EI1631"/>
      <c r="EJ1631"/>
      <c r="EK1631"/>
    </row>
    <row r="1632" spans="1:141" s="116" customFormat="1">
      <c r="A1632" s="136"/>
      <c r="CM1632" s="111"/>
      <c r="CQ1632" s="111"/>
      <c r="EF1632"/>
      <c r="EG1632"/>
      <c r="EH1632"/>
      <c r="EI1632"/>
      <c r="EJ1632"/>
      <c r="EK1632"/>
    </row>
    <row r="1633" spans="1:141" s="116" customFormat="1">
      <c r="A1633" s="136"/>
      <c r="CM1633" s="111"/>
      <c r="CQ1633" s="111"/>
      <c r="EF1633"/>
      <c r="EG1633"/>
      <c r="EH1633"/>
      <c r="EI1633"/>
      <c r="EJ1633"/>
      <c r="EK1633"/>
    </row>
    <row r="1634" spans="1:141" s="116" customFormat="1">
      <c r="A1634" s="136"/>
      <c r="CM1634" s="111"/>
      <c r="CQ1634" s="111"/>
      <c r="EF1634"/>
      <c r="EG1634"/>
      <c r="EH1634"/>
      <c r="EI1634"/>
      <c r="EJ1634"/>
      <c r="EK1634"/>
    </row>
    <row r="1635" spans="1:141" s="116" customFormat="1">
      <c r="A1635" s="136"/>
      <c r="CM1635" s="111"/>
      <c r="CQ1635" s="111"/>
      <c r="EF1635"/>
      <c r="EG1635"/>
      <c r="EH1635"/>
      <c r="EI1635"/>
      <c r="EJ1635"/>
      <c r="EK1635"/>
    </row>
    <row r="1636" spans="1:141" s="116" customFormat="1">
      <c r="A1636" s="136"/>
      <c r="CM1636" s="111"/>
      <c r="CQ1636" s="111"/>
      <c r="EF1636"/>
      <c r="EG1636"/>
      <c r="EH1636"/>
      <c r="EI1636"/>
      <c r="EJ1636"/>
      <c r="EK1636"/>
    </row>
    <row r="1637" spans="1:141" s="116" customFormat="1">
      <c r="A1637" s="136"/>
      <c r="CM1637" s="111"/>
      <c r="CQ1637" s="111"/>
      <c r="EF1637"/>
      <c r="EG1637"/>
      <c r="EH1637"/>
      <c r="EI1637"/>
      <c r="EJ1637"/>
      <c r="EK1637"/>
    </row>
    <row r="1638" spans="1:141" s="116" customFormat="1">
      <c r="A1638" s="136"/>
      <c r="CM1638" s="111"/>
      <c r="CQ1638" s="111"/>
      <c r="EF1638"/>
      <c r="EG1638"/>
      <c r="EH1638"/>
      <c r="EI1638"/>
      <c r="EJ1638"/>
      <c r="EK1638"/>
    </row>
    <row r="1639" spans="1:141" s="116" customFormat="1">
      <c r="A1639" s="136"/>
      <c r="CM1639" s="111"/>
      <c r="CQ1639" s="111"/>
      <c r="EF1639"/>
      <c r="EG1639"/>
      <c r="EH1639"/>
      <c r="EI1639"/>
      <c r="EJ1639"/>
      <c r="EK1639"/>
    </row>
    <row r="1640" spans="1:141" s="116" customFormat="1">
      <c r="A1640" s="136"/>
      <c r="CM1640" s="111"/>
      <c r="CQ1640" s="111"/>
      <c r="EF1640"/>
      <c r="EG1640"/>
      <c r="EH1640"/>
      <c r="EI1640"/>
      <c r="EJ1640"/>
      <c r="EK1640"/>
    </row>
    <row r="1641" spans="1:141" s="116" customFormat="1">
      <c r="A1641" s="136"/>
      <c r="CM1641" s="111"/>
      <c r="CQ1641" s="111"/>
      <c r="EF1641"/>
      <c r="EG1641"/>
      <c r="EH1641"/>
      <c r="EI1641"/>
      <c r="EJ1641"/>
      <c r="EK1641"/>
    </row>
    <row r="1642" spans="1:141" s="116" customFormat="1">
      <c r="A1642" s="136"/>
      <c r="CM1642" s="111"/>
      <c r="CQ1642" s="111"/>
      <c r="EF1642"/>
      <c r="EG1642"/>
      <c r="EH1642"/>
      <c r="EI1642"/>
      <c r="EJ1642"/>
      <c r="EK1642"/>
    </row>
    <row r="1643" spans="1:141" s="116" customFormat="1">
      <c r="A1643" s="136"/>
      <c r="CM1643" s="111"/>
      <c r="CQ1643" s="111"/>
      <c r="EF1643"/>
      <c r="EG1643"/>
      <c r="EH1643"/>
      <c r="EI1643"/>
      <c r="EJ1643"/>
      <c r="EK1643"/>
    </row>
    <row r="1644" spans="1:141" s="116" customFormat="1">
      <c r="A1644" s="136"/>
      <c r="CM1644" s="111"/>
      <c r="CQ1644" s="111"/>
      <c r="EF1644"/>
      <c r="EG1644"/>
      <c r="EH1644"/>
      <c r="EI1644"/>
      <c r="EJ1644"/>
      <c r="EK1644"/>
    </row>
    <row r="1645" spans="1:141" s="116" customFormat="1">
      <c r="A1645" s="136"/>
      <c r="CM1645" s="111"/>
      <c r="CQ1645" s="111"/>
      <c r="EF1645"/>
      <c r="EG1645"/>
      <c r="EH1645"/>
      <c r="EI1645"/>
      <c r="EJ1645"/>
      <c r="EK1645"/>
    </row>
    <row r="1646" spans="1:141" s="116" customFormat="1">
      <c r="A1646" s="136"/>
      <c r="CM1646" s="111"/>
      <c r="CQ1646" s="111"/>
      <c r="EF1646"/>
      <c r="EG1646"/>
      <c r="EH1646"/>
      <c r="EI1646"/>
      <c r="EJ1646"/>
      <c r="EK1646"/>
    </row>
    <row r="1647" spans="1:141" s="116" customFormat="1">
      <c r="A1647" s="136"/>
      <c r="CM1647" s="111"/>
      <c r="CQ1647" s="111"/>
      <c r="EF1647"/>
      <c r="EG1647"/>
      <c r="EH1647"/>
      <c r="EI1647"/>
      <c r="EJ1647"/>
      <c r="EK1647"/>
    </row>
    <row r="1648" spans="1:141" s="116" customFormat="1">
      <c r="A1648" s="136"/>
      <c r="CM1648" s="111"/>
      <c r="CQ1648" s="111"/>
      <c r="EF1648"/>
      <c r="EG1648"/>
      <c r="EH1648"/>
      <c r="EI1648"/>
      <c r="EJ1648"/>
      <c r="EK1648"/>
    </row>
    <row r="1649" spans="1:141" s="116" customFormat="1">
      <c r="A1649" s="136"/>
      <c r="CM1649" s="111"/>
      <c r="CQ1649" s="111"/>
      <c r="EF1649"/>
      <c r="EG1649"/>
      <c r="EH1649"/>
      <c r="EI1649"/>
      <c r="EJ1649"/>
      <c r="EK1649"/>
    </row>
    <row r="1650" spans="1:141" s="116" customFormat="1">
      <c r="A1650" s="136"/>
      <c r="CM1650" s="111"/>
      <c r="CQ1650" s="111"/>
      <c r="EF1650"/>
      <c r="EG1650"/>
      <c r="EH1650"/>
      <c r="EI1650"/>
      <c r="EJ1650"/>
      <c r="EK1650"/>
    </row>
    <row r="1651" spans="1:141" s="116" customFormat="1">
      <c r="A1651" s="136"/>
      <c r="CM1651" s="111"/>
      <c r="CQ1651" s="111"/>
      <c r="EF1651"/>
      <c r="EG1651"/>
      <c r="EH1651"/>
      <c r="EI1651"/>
      <c r="EJ1651"/>
      <c r="EK1651"/>
    </row>
    <row r="1652" spans="1:141" s="116" customFormat="1">
      <c r="A1652" s="136"/>
      <c r="CM1652" s="111"/>
      <c r="CQ1652" s="111"/>
      <c r="EF1652"/>
      <c r="EG1652"/>
      <c r="EH1652"/>
      <c r="EI1652"/>
      <c r="EJ1652"/>
      <c r="EK1652"/>
    </row>
    <row r="1653" spans="1:141" s="116" customFormat="1">
      <c r="A1653" s="136"/>
      <c r="CM1653" s="111"/>
      <c r="CQ1653" s="111"/>
      <c r="EF1653"/>
      <c r="EG1653"/>
      <c r="EH1653"/>
      <c r="EI1653"/>
      <c r="EJ1653"/>
      <c r="EK1653"/>
    </row>
    <row r="1654" spans="1:141" s="116" customFormat="1">
      <c r="A1654" s="136"/>
      <c r="CM1654" s="111"/>
      <c r="CQ1654" s="111"/>
      <c r="EF1654"/>
      <c r="EG1654"/>
      <c r="EH1654"/>
      <c r="EI1654"/>
      <c r="EJ1654"/>
      <c r="EK1654"/>
    </row>
    <row r="1655" spans="1:141" s="116" customFormat="1">
      <c r="A1655" s="136"/>
      <c r="CM1655" s="111"/>
      <c r="CQ1655" s="111"/>
      <c r="EF1655"/>
      <c r="EG1655"/>
      <c r="EH1655"/>
      <c r="EI1655"/>
      <c r="EJ1655"/>
      <c r="EK1655"/>
    </row>
    <row r="1656" spans="1:141" s="116" customFormat="1">
      <c r="A1656" s="136"/>
      <c r="CM1656" s="111"/>
      <c r="CQ1656" s="111"/>
      <c r="EF1656"/>
      <c r="EG1656"/>
      <c r="EH1656"/>
      <c r="EI1656"/>
      <c r="EJ1656"/>
      <c r="EK1656"/>
    </row>
    <row r="1657" spans="1:141" s="116" customFormat="1">
      <c r="A1657" s="136"/>
      <c r="CM1657" s="111"/>
      <c r="CQ1657" s="111"/>
      <c r="EF1657"/>
      <c r="EG1657"/>
      <c r="EH1657"/>
      <c r="EI1657"/>
      <c r="EJ1657"/>
      <c r="EK1657"/>
    </row>
    <row r="1658" spans="1:141" s="116" customFormat="1">
      <c r="A1658" s="136"/>
      <c r="CM1658" s="111"/>
      <c r="CQ1658" s="111"/>
      <c r="EF1658"/>
      <c r="EG1658"/>
      <c r="EH1658"/>
      <c r="EI1658"/>
      <c r="EJ1658"/>
      <c r="EK1658"/>
    </row>
    <row r="1659" spans="1:141" s="116" customFormat="1">
      <c r="A1659" s="136"/>
      <c r="CM1659" s="111"/>
      <c r="CQ1659" s="111"/>
      <c r="EF1659"/>
      <c r="EG1659"/>
      <c r="EH1659"/>
      <c r="EI1659"/>
      <c r="EJ1659"/>
      <c r="EK1659"/>
    </row>
    <row r="1660" spans="1:141" s="116" customFormat="1">
      <c r="A1660" s="136"/>
      <c r="CM1660" s="111"/>
      <c r="CQ1660" s="111"/>
      <c r="EF1660"/>
      <c r="EG1660"/>
      <c r="EH1660"/>
      <c r="EI1660"/>
      <c r="EJ1660"/>
      <c r="EK1660"/>
    </row>
    <row r="1661" spans="1:141" s="116" customFormat="1">
      <c r="A1661" s="136"/>
      <c r="CM1661" s="111"/>
      <c r="CQ1661" s="111"/>
      <c r="EF1661"/>
      <c r="EG1661"/>
      <c r="EH1661"/>
      <c r="EI1661"/>
      <c r="EJ1661"/>
      <c r="EK1661"/>
    </row>
    <row r="1662" spans="1:141" s="116" customFormat="1">
      <c r="A1662" s="136"/>
      <c r="CM1662" s="111"/>
      <c r="CQ1662" s="111"/>
      <c r="EF1662"/>
      <c r="EG1662"/>
      <c r="EH1662"/>
      <c r="EI1662"/>
      <c r="EJ1662"/>
      <c r="EK1662"/>
    </row>
    <row r="1663" spans="1:141" s="116" customFormat="1">
      <c r="A1663" s="136"/>
      <c r="CM1663" s="111"/>
      <c r="CQ1663" s="111"/>
      <c r="EF1663"/>
      <c r="EG1663"/>
      <c r="EH1663"/>
      <c r="EI1663"/>
      <c r="EJ1663"/>
      <c r="EK1663"/>
    </row>
    <row r="1664" spans="1:141" s="116" customFormat="1">
      <c r="A1664" s="136"/>
      <c r="CM1664" s="111"/>
      <c r="CQ1664" s="111"/>
      <c r="EF1664"/>
      <c r="EG1664"/>
      <c r="EH1664"/>
      <c r="EI1664"/>
      <c r="EJ1664"/>
      <c r="EK1664"/>
    </row>
    <row r="1665" spans="1:141" s="116" customFormat="1">
      <c r="A1665" s="136"/>
      <c r="CM1665" s="111"/>
      <c r="CQ1665" s="111"/>
      <c r="EF1665"/>
      <c r="EG1665"/>
      <c r="EH1665"/>
      <c r="EI1665"/>
      <c r="EJ1665"/>
      <c r="EK1665"/>
    </row>
    <row r="1666" spans="1:141" s="116" customFormat="1">
      <c r="A1666" s="136"/>
      <c r="CM1666" s="111"/>
      <c r="CQ1666" s="111"/>
      <c r="EF1666"/>
      <c r="EG1666"/>
      <c r="EH1666"/>
      <c r="EI1666"/>
      <c r="EJ1666"/>
      <c r="EK1666"/>
    </row>
    <row r="1667" spans="1:141" s="116" customFormat="1">
      <c r="A1667" s="136"/>
      <c r="CM1667" s="111"/>
      <c r="CQ1667" s="111"/>
      <c r="EF1667"/>
      <c r="EG1667"/>
      <c r="EH1667"/>
      <c r="EI1667"/>
      <c r="EJ1667"/>
      <c r="EK1667"/>
    </row>
    <row r="1668" spans="1:141" s="116" customFormat="1">
      <c r="A1668" s="136"/>
      <c r="CM1668" s="111"/>
      <c r="CQ1668" s="111"/>
      <c r="EF1668"/>
      <c r="EG1668"/>
      <c r="EH1668"/>
      <c r="EI1668"/>
      <c r="EJ1668"/>
      <c r="EK1668"/>
    </row>
    <row r="1669" spans="1:141" s="116" customFormat="1">
      <c r="A1669" s="136"/>
      <c r="CM1669" s="111"/>
      <c r="CQ1669" s="111"/>
      <c r="EF1669"/>
      <c r="EG1669"/>
      <c r="EH1669"/>
      <c r="EI1669"/>
      <c r="EJ1669"/>
      <c r="EK1669"/>
    </row>
    <row r="1670" spans="1:141" s="116" customFormat="1">
      <c r="A1670" s="136"/>
      <c r="CM1670" s="111"/>
      <c r="CQ1670" s="111"/>
      <c r="EF1670"/>
      <c r="EG1670"/>
      <c r="EH1670"/>
      <c r="EI1670"/>
      <c r="EJ1670"/>
      <c r="EK1670"/>
    </row>
    <row r="1671" spans="1:141" s="116" customFormat="1">
      <c r="A1671" s="136"/>
      <c r="CM1671" s="111"/>
      <c r="CQ1671" s="111"/>
      <c r="EF1671"/>
      <c r="EG1671"/>
      <c r="EH1671"/>
      <c r="EI1671"/>
      <c r="EJ1671"/>
      <c r="EK1671"/>
    </row>
    <row r="1672" spans="1:141" s="116" customFormat="1">
      <c r="A1672" s="136"/>
      <c r="CM1672" s="111"/>
      <c r="CQ1672" s="111"/>
      <c r="EF1672"/>
      <c r="EG1672"/>
      <c r="EH1672"/>
      <c r="EI1672"/>
      <c r="EJ1672"/>
      <c r="EK1672"/>
    </row>
    <row r="1673" spans="1:141" s="116" customFormat="1">
      <c r="A1673" s="136"/>
      <c r="CM1673" s="111"/>
      <c r="CQ1673" s="111"/>
      <c r="EF1673"/>
      <c r="EG1673"/>
      <c r="EH1673"/>
      <c r="EI1673"/>
      <c r="EJ1673"/>
      <c r="EK1673"/>
    </row>
    <row r="1674" spans="1:141" s="116" customFormat="1">
      <c r="A1674" s="136"/>
      <c r="CM1674" s="111"/>
      <c r="CQ1674" s="111"/>
      <c r="EF1674"/>
      <c r="EG1674"/>
      <c r="EH1674"/>
      <c r="EI1674"/>
      <c r="EJ1674"/>
      <c r="EK1674"/>
    </row>
    <row r="1675" spans="1:141" s="116" customFormat="1">
      <c r="A1675" s="136"/>
      <c r="CM1675" s="111"/>
      <c r="CQ1675" s="111"/>
      <c r="EF1675"/>
      <c r="EG1675"/>
      <c r="EH1675"/>
      <c r="EI1675"/>
      <c r="EJ1675"/>
      <c r="EK1675"/>
    </row>
    <row r="1676" spans="1:141" s="116" customFormat="1">
      <c r="A1676" s="136"/>
      <c r="CM1676" s="111"/>
      <c r="CQ1676" s="111"/>
      <c r="EF1676"/>
      <c r="EG1676"/>
      <c r="EH1676"/>
      <c r="EI1676"/>
      <c r="EJ1676"/>
      <c r="EK1676"/>
    </row>
    <row r="1677" spans="1:141" s="116" customFormat="1">
      <c r="A1677" s="136"/>
      <c r="CM1677" s="111"/>
      <c r="CQ1677" s="111"/>
      <c r="EF1677"/>
      <c r="EG1677"/>
      <c r="EH1677"/>
      <c r="EI1677"/>
      <c r="EJ1677"/>
      <c r="EK1677"/>
    </row>
    <row r="1678" spans="1:141" s="116" customFormat="1">
      <c r="A1678" s="136"/>
      <c r="CM1678" s="111"/>
      <c r="CQ1678" s="111"/>
      <c r="EF1678"/>
      <c r="EG1678"/>
      <c r="EH1678"/>
      <c r="EI1678"/>
      <c r="EJ1678"/>
      <c r="EK1678"/>
    </row>
    <row r="1679" spans="1:141" s="116" customFormat="1">
      <c r="A1679" s="136"/>
      <c r="CM1679" s="111"/>
      <c r="CQ1679" s="111"/>
      <c r="EF1679"/>
      <c r="EG1679"/>
      <c r="EH1679"/>
      <c r="EI1679"/>
      <c r="EJ1679"/>
      <c r="EK1679"/>
    </row>
    <row r="1680" spans="1:141" s="116" customFormat="1">
      <c r="A1680" s="136"/>
      <c r="CM1680" s="111"/>
      <c r="CQ1680" s="111"/>
      <c r="EF1680"/>
      <c r="EG1680"/>
      <c r="EH1680"/>
      <c r="EI1680"/>
      <c r="EJ1680"/>
      <c r="EK1680"/>
    </row>
    <row r="1681" spans="1:141" s="116" customFormat="1">
      <c r="A1681" s="136"/>
      <c r="CM1681" s="111"/>
      <c r="CQ1681" s="111"/>
      <c r="EF1681"/>
      <c r="EG1681"/>
      <c r="EH1681"/>
      <c r="EI1681"/>
      <c r="EJ1681"/>
      <c r="EK1681"/>
    </row>
    <row r="1682" spans="1:141" s="116" customFormat="1">
      <c r="A1682" s="136"/>
      <c r="CM1682" s="111"/>
      <c r="CQ1682" s="111"/>
      <c r="EF1682"/>
      <c r="EG1682"/>
      <c r="EH1682"/>
      <c r="EI1682"/>
      <c r="EJ1682"/>
      <c r="EK1682"/>
    </row>
    <row r="1683" spans="1:141" s="116" customFormat="1">
      <c r="A1683" s="136"/>
      <c r="CM1683" s="111"/>
      <c r="CQ1683" s="111"/>
      <c r="EF1683"/>
      <c r="EG1683"/>
      <c r="EH1683"/>
      <c r="EI1683"/>
      <c r="EJ1683"/>
      <c r="EK1683"/>
    </row>
    <row r="1684" spans="1:141" s="116" customFormat="1">
      <c r="A1684" s="136"/>
      <c r="CM1684" s="111"/>
      <c r="CQ1684" s="111"/>
      <c r="EF1684"/>
      <c r="EG1684"/>
      <c r="EH1684"/>
      <c r="EI1684"/>
      <c r="EJ1684"/>
      <c r="EK1684"/>
    </row>
    <row r="1685" spans="1:141" s="116" customFormat="1">
      <c r="A1685" s="136"/>
      <c r="CM1685" s="111"/>
      <c r="CQ1685" s="111"/>
      <c r="EF1685"/>
      <c r="EG1685"/>
      <c r="EH1685"/>
      <c r="EI1685"/>
      <c r="EJ1685"/>
      <c r="EK1685"/>
    </row>
    <row r="1686" spans="1:141" s="116" customFormat="1">
      <c r="A1686" s="136"/>
      <c r="CM1686" s="111"/>
      <c r="CQ1686" s="111"/>
      <c r="EF1686"/>
      <c r="EG1686"/>
      <c r="EH1686"/>
      <c r="EI1686"/>
      <c r="EJ1686"/>
      <c r="EK1686"/>
    </row>
    <row r="1687" spans="1:141" s="116" customFormat="1">
      <c r="A1687" s="136"/>
      <c r="CM1687" s="111"/>
      <c r="CQ1687" s="111"/>
      <c r="EF1687"/>
      <c r="EG1687"/>
      <c r="EH1687"/>
      <c r="EI1687"/>
      <c r="EJ1687"/>
      <c r="EK1687"/>
    </row>
    <row r="1688" spans="1:141" s="116" customFormat="1">
      <c r="A1688" s="136"/>
      <c r="CM1688" s="111"/>
      <c r="CQ1688" s="111"/>
      <c r="EF1688"/>
      <c r="EG1688"/>
      <c r="EH1688"/>
      <c r="EI1688"/>
      <c r="EJ1688"/>
      <c r="EK1688"/>
    </row>
    <row r="1689" spans="1:141" s="116" customFormat="1">
      <c r="A1689" s="136"/>
      <c r="CM1689" s="111"/>
      <c r="CQ1689" s="111"/>
      <c r="EF1689"/>
      <c r="EG1689"/>
      <c r="EH1689"/>
      <c r="EI1689"/>
      <c r="EJ1689"/>
      <c r="EK1689"/>
    </row>
    <row r="1690" spans="1:141" s="116" customFormat="1">
      <c r="A1690" s="136"/>
      <c r="CM1690" s="111"/>
      <c r="CQ1690" s="111"/>
      <c r="EF1690"/>
      <c r="EG1690"/>
      <c r="EH1690"/>
      <c r="EI1690"/>
      <c r="EJ1690"/>
      <c r="EK1690"/>
    </row>
    <row r="1691" spans="1:141" s="116" customFormat="1">
      <c r="A1691" s="136"/>
      <c r="CM1691" s="111"/>
      <c r="CQ1691" s="111"/>
      <c r="EF1691"/>
      <c r="EG1691"/>
      <c r="EH1691"/>
      <c r="EI1691"/>
      <c r="EJ1691"/>
      <c r="EK1691"/>
    </row>
    <row r="1692" spans="1:141" s="116" customFormat="1">
      <c r="A1692" s="136"/>
      <c r="CM1692" s="111"/>
      <c r="CQ1692" s="111"/>
      <c r="EF1692"/>
      <c r="EG1692"/>
      <c r="EH1692"/>
      <c r="EI1692"/>
      <c r="EJ1692"/>
      <c r="EK1692"/>
    </row>
    <row r="1693" spans="1:141" s="116" customFormat="1">
      <c r="A1693" s="136"/>
      <c r="CM1693" s="111"/>
      <c r="CQ1693" s="111"/>
      <c r="EF1693"/>
      <c r="EG1693"/>
      <c r="EH1693"/>
      <c r="EI1693"/>
      <c r="EJ1693"/>
      <c r="EK1693"/>
    </row>
    <row r="1694" spans="1:141" s="116" customFormat="1">
      <c r="A1694" s="136"/>
      <c r="CM1694" s="111"/>
      <c r="CQ1694" s="111"/>
      <c r="EF1694"/>
      <c r="EG1694"/>
      <c r="EH1694"/>
      <c r="EI1694"/>
      <c r="EJ1694"/>
      <c r="EK1694"/>
    </row>
    <row r="1695" spans="1:141" s="116" customFormat="1">
      <c r="A1695" s="136"/>
      <c r="CM1695" s="111"/>
      <c r="CQ1695" s="111"/>
      <c r="EF1695"/>
      <c r="EG1695"/>
      <c r="EH1695"/>
      <c r="EI1695"/>
      <c r="EJ1695"/>
      <c r="EK1695"/>
    </row>
    <row r="1696" spans="1:141" s="116" customFormat="1">
      <c r="A1696" s="136"/>
      <c r="CM1696" s="111"/>
      <c r="CQ1696" s="111"/>
      <c r="EF1696"/>
      <c r="EG1696"/>
      <c r="EH1696"/>
      <c r="EI1696"/>
      <c r="EJ1696"/>
      <c r="EK1696"/>
    </row>
    <row r="1697" spans="1:141" s="116" customFormat="1">
      <c r="A1697" s="136"/>
      <c r="CM1697" s="111"/>
      <c r="CQ1697" s="111"/>
      <c r="EF1697"/>
      <c r="EG1697"/>
      <c r="EH1697"/>
      <c r="EI1697"/>
      <c r="EJ1697"/>
      <c r="EK1697"/>
    </row>
    <row r="1698" spans="1:141" s="116" customFormat="1">
      <c r="A1698" s="136"/>
      <c r="CM1698" s="111"/>
      <c r="CQ1698" s="111"/>
      <c r="EF1698"/>
      <c r="EG1698"/>
      <c r="EH1698"/>
      <c r="EI1698"/>
      <c r="EJ1698"/>
      <c r="EK1698"/>
    </row>
    <row r="1699" spans="1:141" s="116" customFormat="1">
      <c r="A1699" s="136"/>
      <c r="CM1699" s="111"/>
      <c r="CQ1699" s="111"/>
      <c r="EF1699"/>
      <c r="EG1699"/>
      <c r="EH1699"/>
      <c r="EI1699"/>
      <c r="EJ1699"/>
      <c r="EK1699"/>
    </row>
    <row r="1700" spans="1:141" s="116" customFormat="1">
      <c r="A1700" s="136"/>
      <c r="CM1700" s="111"/>
      <c r="CQ1700" s="111"/>
      <c r="EF1700"/>
      <c r="EG1700"/>
      <c r="EH1700"/>
      <c r="EI1700"/>
      <c r="EJ1700"/>
      <c r="EK1700"/>
    </row>
    <row r="1701" spans="1:141" s="116" customFormat="1">
      <c r="A1701" s="136"/>
      <c r="CM1701" s="111"/>
      <c r="CQ1701" s="111"/>
      <c r="EF1701"/>
      <c r="EG1701"/>
      <c r="EH1701"/>
      <c r="EI1701"/>
      <c r="EJ1701"/>
      <c r="EK1701"/>
    </row>
    <row r="1702" spans="1:141" s="116" customFormat="1">
      <c r="A1702" s="136"/>
      <c r="CM1702" s="111"/>
      <c r="CQ1702" s="111"/>
      <c r="EF1702"/>
      <c r="EG1702"/>
      <c r="EH1702"/>
      <c r="EI1702"/>
      <c r="EJ1702"/>
      <c r="EK1702"/>
    </row>
    <row r="1703" spans="1:141" s="116" customFormat="1">
      <c r="A1703" s="136"/>
      <c r="CM1703" s="111"/>
      <c r="CQ1703" s="111"/>
      <c r="EF1703"/>
      <c r="EG1703"/>
      <c r="EH1703"/>
      <c r="EI1703"/>
      <c r="EJ1703"/>
      <c r="EK1703"/>
    </row>
    <row r="1704" spans="1:141" s="116" customFormat="1">
      <c r="A1704" s="136"/>
      <c r="CM1704" s="111"/>
      <c r="CQ1704" s="111"/>
      <c r="EF1704"/>
      <c r="EG1704"/>
      <c r="EH1704"/>
      <c r="EI1704"/>
      <c r="EJ1704"/>
      <c r="EK1704"/>
    </row>
    <row r="1705" spans="1:141" s="116" customFormat="1">
      <c r="A1705" s="136"/>
      <c r="CM1705" s="111"/>
      <c r="CQ1705" s="111"/>
      <c r="EF1705"/>
      <c r="EG1705"/>
      <c r="EH1705"/>
      <c r="EI1705"/>
      <c r="EJ1705"/>
      <c r="EK1705"/>
    </row>
    <row r="1706" spans="1:141" s="116" customFormat="1">
      <c r="A1706" s="136"/>
      <c r="CM1706" s="111"/>
      <c r="CQ1706" s="111"/>
      <c r="EF1706"/>
      <c r="EG1706"/>
      <c r="EH1706"/>
      <c r="EI1706"/>
      <c r="EJ1706"/>
      <c r="EK1706"/>
    </row>
    <row r="1707" spans="1:141" s="116" customFormat="1">
      <c r="A1707" s="136"/>
      <c r="CM1707" s="111"/>
      <c r="CQ1707" s="111"/>
      <c r="EF1707"/>
      <c r="EG1707"/>
      <c r="EH1707"/>
      <c r="EI1707"/>
      <c r="EJ1707"/>
      <c r="EK1707"/>
    </row>
    <row r="1708" spans="1:141" s="116" customFormat="1">
      <c r="A1708" s="136"/>
      <c r="CM1708" s="111"/>
      <c r="CQ1708" s="111"/>
      <c r="EF1708"/>
      <c r="EG1708"/>
      <c r="EH1708"/>
      <c r="EI1708"/>
      <c r="EJ1708"/>
      <c r="EK1708"/>
    </row>
    <row r="1709" spans="1:141" s="116" customFormat="1">
      <c r="A1709" s="136"/>
      <c r="CM1709" s="111"/>
      <c r="CQ1709" s="111"/>
      <c r="EF1709"/>
      <c r="EG1709"/>
      <c r="EH1709"/>
      <c r="EI1709"/>
      <c r="EJ1709"/>
      <c r="EK1709"/>
    </row>
    <row r="1710" spans="1:141" s="116" customFormat="1">
      <c r="A1710" s="136"/>
      <c r="CM1710" s="111"/>
      <c r="CQ1710" s="111"/>
      <c r="EF1710"/>
      <c r="EG1710"/>
      <c r="EH1710"/>
      <c r="EI1710"/>
      <c r="EJ1710"/>
      <c r="EK1710"/>
    </row>
    <row r="1711" spans="1:141" s="116" customFormat="1">
      <c r="A1711" s="136"/>
      <c r="CM1711" s="111"/>
      <c r="CQ1711" s="111"/>
      <c r="EF1711"/>
      <c r="EG1711"/>
      <c r="EH1711"/>
      <c r="EI1711"/>
      <c r="EJ1711"/>
      <c r="EK1711"/>
    </row>
    <row r="1712" spans="1:141" s="116" customFormat="1">
      <c r="A1712" s="136"/>
      <c r="CM1712" s="111"/>
      <c r="CQ1712" s="111"/>
      <c r="EF1712"/>
      <c r="EG1712"/>
      <c r="EH1712"/>
      <c r="EI1712"/>
      <c r="EJ1712"/>
      <c r="EK1712"/>
    </row>
    <row r="1713" spans="1:141" s="116" customFormat="1">
      <c r="A1713" s="136"/>
      <c r="CM1713" s="111"/>
      <c r="CQ1713" s="111"/>
      <c r="EF1713"/>
      <c r="EG1713"/>
      <c r="EH1713"/>
      <c r="EI1713"/>
      <c r="EJ1713"/>
      <c r="EK1713"/>
    </row>
    <row r="1714" spans="1:141" s="116" customFormat="1">
      <c r="A1714" s="136"/>
      <c r="CM1714" s="111"/>
      <c r="CQ1714" s="111"/>
      <c r="EF1714"/>
      <c r="EG1714"/>
      <c r="EH1714"/>
      <c r="EI1714"/>
      <c r="EJ1714"/>
      <c r="EK1714"/>
    </row>
    <row r="1715" spans="1:141" s="116" customFormat="1">
      <c r="A1715" s="136"/>
      <c r="CM1715" s="111"/>
      <c r="CQ1715" s="111"/>
      <c r="EF1715"/>
      <c r="EG1715"/>
      <c r="EH1715"/>
      <c r="EI1715"/>
      <c r="EJ1715"/>
      <c r="EK1715"/>
    </row>
    <row r="1716" spans="1:141" s="116" customFormat="1">
      <c r="A1716" s="136"/>
      <c r="CM1716" s="111"/>
      <c r="CQ1716" s="111"/>
      <c r="EF1716"/>
      <c r="EG1716"/>
      <c r="EH1716"/>
      <c r="EI1716"/>
      <c r="EJ1716"/>
      <c r="EK1716"/>
    </row>
    <row r="1717" spans="1:141" s="116" customFormat="1">
      <c r="A1717" s="136"/>
      <c r="CM1717" s="111"/>
      <c r="CQ1717" s="111"/>
      <c r="EF1717"/>
      <c r="EG1717"/>
      <c r="EH1717"/>
      <c r="EI1717"/>
      <c r="EJ1717"/>
      <c r="EK1717"/>
    </row>
    <row r="1718" spans="1:141" s="116" customFormat="1">
      <c r="A1718" s="136"/>
      <c r="CM1718" s="111"/>
      <c r="CQ1718" s="111"/>
      <c r="EF1718"/>
      <c r="EG1718"/>
      <c r="EH1718"/>
      <c r="EI1718"/>
      <c r="EJ1718"/>
      <c r="EK1718"/>
    </row>
    <row r="1719" spans="1:141" s="116" customFormat="1">
      <c r="A1719" s="136"/>
      <c r="CM1719" s="111"/>
      <c r="CQ1719" s="111"/>
      <c r="EF1719"/>
      <c r="EG1719"/>
      <c r="EH1719"/>
      <c r="EI1719"/>
      <c r="EJ1719"/>
      <c r="EK1719"/>
    </row>
    <row r="1720" spans="1:141" s="116" customFormat="1">
      <c r="A1720" s="136"/>
      <c r="CM1720" s="111"/>
      <c r="CQ1720" s="111"/>
      <c r="EF1720"/>
      <c r="EG1720"/>
      <c r="EH1720"/>
      <c r="EI1720"/>
      <c r="EJ1720"/>
      <c r="EK1720"/>
    </row>
    <row r="1721" spans="1:141" s="116" customFormat="1">
      <c r="A1721" s="136"/>
      <c r="CM1721" s="111"/>
      <c r="CQ1721" s="111"/>
      <c r="EF1721"/>
      <c r="EG1721"/>
      <c r="EH1721"/>
      <c r="EI1721"/>
      <c r="EJ1721"/>
      <c r="EK1721"/>
    </row>
    <row r="1722" spans="1:141" s="116" customFormat="1">
      <c r="A1722" s="136"/>
      <c r="CM1722" s="111"/>
      <c r="CQ1722" s="111"/>
      <c r="EF1722"/>
      <c r="EG1722"/>
      <c r="EH1722"/>
      <c r="EI1722"/>
      <c r="EJ1722"/>
      <c r="EK1722"/>
    </row>
    <row r="1723" spans="1:141" s="116" customFormat="1">
      <c r="A1723" s="136"/>
      <c r="CM1723" s="111"/>
      <c r="CQ1723" s="111"/>
      <c r="EF1723"/>
      <c r="EG1723"/>
      <c r="EH1723"/>
      <c r="EI1723"/>
      <c r="EJ1723"/>
      <c r="EK1723"/>
    </row>
    <row r="1724" spans="1:141" s="116" customFormat="1">
      <c r="A1724" s="136"/>
      <c r="CM1724" s="111"/>
      <c r="CQ1724" s="111"/>
      <c r="EF1724"/>
      <c r="EG1724"/>
      <c r="EH1724"/>
      <c r="EI1724"/>
      <c r="EJ1724"/>
      <c r="EK1724"/>
    </row>
    <row r="1725" spans="1:141" s="116" customFormat="1">
      <c r="A1725" s="136"/>
      <c r="CM1725" s="111"/>
      <c r="CQ1725" s="111"/>
      <c r="EF1725"/>
      <c r="EG1725"/>
      <c r="EH1725"/>
      <c r="EI1725"/>
      <c r="EJ1725"/>
      <c r="EK1725"/>
    </row>
    <row r="1726" spans="1:141" s="116" customFormat="1">
      <c r="A1726" s="136"/>
      <c r="CM1726" s="111"/>
      <c r="CQ1726" s="111"/>
      <c r="EF1726"/>
      <c r="EG1726"/>
      <c r="EH1726"/>
      <c r="EI1726"/>
      <c r="EJ1726"/>
      <c r="EK1726"/>
    </row>
    <row r="1727" spans="1:141" s="116" customFormat="1">
      <c r="A1727" s="136"/>
      <c r="CM1727" s="111"/>
      <c r="CQ1727" s="111"/>
      <c r="EF1727"/>
      <c r="EG1727"/>
      <c r="EH1727"/>
      <c r="EI1727"/>
      <c r="EJ1727"/>
      <c r="EK1727"/>
    </row>
    <row r="1728" spans="1:141" s="116" customFormat="1">
      <c r="A1728" s="136"/>
      <c r="CM1728" s="111"/>
      <c r="CQ1728" s="111"/>
      <c r="EF1728"/>
      <c r="EG1728"/>
      <c r="EH1728"/>
      <c r="EI1728"/>
      <c r="EJ1728"/>
      <c r="EK1728"/>
    </row>
    <row r="1729" spans="1:141" s="116" customFormat="1">
      <c r="A1729" s="136"/>
      <c r="CM1729" s="111"/>
      <c r="CQ1729" s="111"/>
      <c r="EF1729"/>
      <c r="EG1729"/>
      <c r="EH1729"/>
      <c r="EI1729"/>
      <c r="EJ1729"/>
      <c r="EK1729"/>
    </row>
    <row r="1730" spans="1:141" s="116" customFormat="1">
      <c r="A1730" s="136"/>
      <c r="CM1730" s="111"/>
      <c r="CQ1730" s="111"/>
      <c r="EF1730"/>
      <c r="EG1730"/>
      <c r="EH1730"/>
      <c r="EI1730"/>
      <c r="EJ1730"/>
      <c r="EK1730"/>
    </row>
    <row r="1731" spans="1:141" s="116" customFormat="1">
      <c r="A1731" s="136"/>
      <c r="CM1731" s="111"/>
      <c r="CQ1731" s="111"/>
      <c r="EF1731"/>
      <c r="EG1731"/>
      <c r="EH1731"/>
      <c r="EI1731"/>
      <c r="EJ1731"/>
      <c r="EK1731"/>
    </row>
    <row r="1732" spans="1:141" s="116" customFormat="1">
      <c r="A1732" s="136"/>
      <c r="CM1732" s="111"/>
      <c r="CQ1732" s="111"/>
      <c r="EF1732"/>
      <c r="EG1732"/>
      <c r="EH1732"/>
      <c r="EI1732"/>
      <c r="EJ1732"/>
      <c r="EK1732"/>
    </row>
    <row r="1733" spans="1:141" s="116" customFormat="1">
      <c r="A1733" s="136"/>
      <c r="CM1733" s="111"/>
      <c r="CQ1733" s="111"/>
      <c r="EF1733"/>
      <c r="EG1733"/>
      <c r="EH1733"/>
      <c r="EI1733"/>
      <c r="EJ1733"/>
      <c r="EK1733"/>
    </row>
    <row r="1734" spans="1:141" s="116" customFormat="1">
      <c r="A1734" s="136"/>
      <c r="CM1734" s="111"/>
      <c r="CQ1734" s="111"/>
      <c r="EF1734"/>
      <c r="EG1734"/>
      <c r="EH1734"/>
      <c r="EI1734"/>
      <c r="EJ1734"/>
      <c r="EK1734"/>
    </row>
    <row r="1735" spans="1:141" s="116" customFormat="1">
      <c r="A1735" s="136"/>
      <c r="CM1735" s="111"/>
      <c r="CQ1735" s="111"/>
      <c r="EF1735"/>
      <c r="EG1735"/>
      <c r="EH1735"/>
      <c r="EI1735"/>
      <c r="EJ1735"/>
      <c r="EK1735"/>
    </row>
    <row r="1736" spans="1:141" s="116" customFormat="1">
      <c r="A1736" s="136"/>
      <c r="CM1736" s="111"/>
      <c r="CQ1736" s="111"/>
      <c r="EF1736"/>
      <c r="EG1736"/>
      <c r="EH1736"/>
      <c r="EI1736"/>
      <c r="EJ1736"/>
      <c r="EK1736"/>
    </row>
    <row r="1737" spans="1:141" s="116" customFormat="1">
      <c r="A1737" s="136"/>
      <c r="CM1737" s="111"/>
      <c r="CQ1737" s="111"/>
      <c r="EF1737"/>
      <c r="EG1737"/>
      <c r="EH1737"/>
      <c r="EI1737"/>
      <c r="EJ1737"/>
      <c r="EK1737"/>
    </row>
    <row r="1738" spans="1:141" s="116" customFormat="1">
      <c r="A1738" s="136"/>
      <c r="CM1738" s="111"/>
      <c r="CQ1738" s="111"/>
      <c r="EF1738"/>
      <c r="EG1738"/>
      <c r="EH1738"/>
      <c r="EI1738"/>
      <c r="EJ1738"/>
      <c r="EK1738"/>
    </row>
    <row r="1739" spans="1:141" s="116" customFormat="1">
      <c r="A1739" s="136"/>
      <c r="CM1739" s="111"/>
      <c r="CQ1739" s="111"/>
      <c r="EF1739"/>
      <c r="EG1739"/>
      <c r="EH1739"/>
      <c r="EI1739"/>
      <c r="EJ1739"/>
      <c r="EK1739"/>
    </row>
    <row r="1740" spans="1:141" s="116" customFormat="1">
      <c r="A1740" s="136"/>
      <c r="CM1740" s="111"/>
      <c r="CQ1740" s="111"/>
      <c r="EF1740"/>
      <c r="EG1740"/>
      <c r="EH1740"/>
      <c r="EI1740"/>
      <c r="EJ1740"/>
      <c r="EK1740"/>
    </row>
    <row r="1741" spans="1:141" s="116" customFormat="1">
      <c r="A1741" s="136"/>
      <c r="CM1741" s="111"/>
      <c r="CQ1741" s="111"/>
      <c r="EF1741"/>
      <c r="EG1741"/>
      <c r="EH1741"/>
      <c r="EI1741"/>
      <c r="EJ1741"/>
      <c r="EK1741"/>
    </row>
    <row r="1742" spans="1:141" s="116" customFormat="1">
      <c r="A1742" s="136"/>
      <c r="CM1742" s="111"/>
      <c r="CQ1742" s="111"/>
      <c r="EF1742"/>
      <c r="EG1742"/>
      <c r="EH1742"/>
      <c r="EI1742"/>
      <c r="EJ1742"/>
      <c r="EK1742"/>
    </row>
    <row r="1743" spans="1:141" s="116" customFormat="1">
      <c r="A1743" s="136"/>
      <c r="CM1743" s="111"/>
      <c r="CQ1743" s="111"/>
      <c r="EF1743"/>
      <c r="EG1743"/>
      <c r="EH1743"/>
      <c r="EI1743"/>
      <c r="EJ1743"/>
      <c r="EK1743"/>
    </row>
    <row r="1744" spans="1:141" s="116" customFormat="1">
      <c r="A1744" s="136"/>
      <c r="CM1744" s="111"/>
      <c r="CQ1744" s="111"/>
      <c r="EF1744"/>
      <c r="EG1744"/>
      <c r="EH1744"/>
      <c r="EI1744"/>
      <c r="EJ1744"/>
      <c r="EK1744"/>
    </row>
    <row r="1745" spans="1:141" s="116" customFormat="1">
      <c r="A1745" s="136"/>
      <c r="CM1745" s="111"/>
      <c r="CQ1745" s="111"/>
      <c r="EF1745"/>
      <c r="EG1745"/>
      <c r="EH1745"/>
      <c r="EI1745"/>
      <c r="EJ1745"/>
      <c r="EK1745"/>
    </row>
    <row r="1746" spans="1:141" s="116" customFormat="1">
      <c r="A1746" s="136"/>
      <c r="CM1746" s="111"/>
      <c r="CQ1746" s="111"/>
      <c r="EF1746"/>
      <c r="EG1746"/>
      <c r="EH1746"/>
      <c r="EI1746"/>
      <c r="EJ1746"/>
      <c r="EK1746"/>
    </row>
    <row r="1747" spans="1:141" s="116" customFormat="1">
      <c r="A1747" s="136"/>
      <c r="CM1747" s="111"/>
      <c r="CQ1747" s="111"/>
      <c r="EF1747"/>
      <c r="EG1747"/>
      <c r="EH1747"/>
      <c r="EI1747"/>
      <c r="EJ1747"/>
      <c r="EK1747"/>
    </row>
    <row r="1748" spans="1:141" s="116" customFormat="1">
      <c r="A1748" s="136"/>
      <c r="CM1748" s="111"/>
      <c r="CQ1748" s="111"/>
      <c r="EF1748"/>
      <c r="EG1748"/>
      <c r="EH1748"/>
      <c r="EI1748"/>
      <c r="EJ1748"/>
      <c r="EK1748"/>
    </row>
    <row r="1749" spans="1:141" s="116" customFormat="1">
      <c r="A1749" s="136"/>
      <c r="CM1749" s="111"/>
      <c r="CQ1749" s="111"/>
      <c r="EF1749"/>
      <c r="EG1749"/>
      <c r="EH1749"/>
      <c r="EI1749"/>
      <c r="EJ1749"/>
      <c r="EK1749"/>
    </row>
    <row r="1750" spans="1:141" s="116" customFormat="1">
      <c r="A1750" s="136"/>
      <c r="CM1750" s="111"/>
      <c r="CQ1750" s="111"/>
      <c r="EF1750"/>
      <c r="EG1750"/>
      <c r="EH1750"/>
      <c r="EI1750"/>
      <c r="EJ1750"/>
      <c r="EK1750"/>
    </row>
    <row r="1751" spans="1:141" s="116" customFormat="1">
      <c r="A1751" s="136"/>
      <c r="CM1751" s="111"/>
      <c r="CQ1751" s="111"/>
      <c r="EF1751"/>
      <c r="EG1751"/>
      <c r="EH1751"/>
      <c r="EI1751"/>
      <c r="EJ1751"/>
      <c r="EK1751"/>
    </row>
    <row r="1752" spans="1:141" s="116" customFormat="1">
      <c r="A1752" s="136"/>
      <c r="CM1752" s="111"/>
      <c r="CQ1752" s="111"/>
      <c r="EF1752"/>
      <c r="EG1752"/>
      <c r="EH1752"/>
      <c r="EI1752"/>
      <c r="EJ1752"/>
      <c r="EK1752"/>
    </row>
    <row r="1753" spans="1:141" s="116" customFormat="1">
      <c r="A1753" s="136"/>
      <c r="CM1753" s="111"/>
      <c r="CQ1753" s="111"/>
      <c r="EF1753"/>
      <c r="EG1753"/>
      <c r="EH1753"/>
      <c r="EI1753"/>
      <c r="EJ1753"/>
      <c r="EK1753"/>
    </row>
    <row r="1754" spans="1:141" s="116" customFormat="1">
      <c r="A1754" s="136"/>
      <c r="CM1754" s="111"/>
      <c r="CQ1754" s="111"/>
      <c r="EF1754"/>
      <c r="EG1754"/>
      <c r="EH1754"/>
      <c r="EI1754"/>
      <c r="EJ1754"/>
      <c r="EK1754"/>
    </row>
    <row r="1755" spans="1:141" s="116" customFormat="1">
      <c r="A1755" s="136"/>
      <c r="CM1755" s="111"/>
      <c r="CQ1755" s="111"/>
      <c r="EF1755"/>
      <c r="EG1755"/>
      <c r="EH1755"/>
      <c r="EI1755"/>
      <c r="EJ1755"/>
      <c r="EK1755"/>
    </row>
    <row r="1756" spans="1:141" s="116" customFormat="1">
      <c r="A1756" s="136"/>
      <c r="CM1756" s="111"/>
      <c r="CQ1756" s="111"/>
      <c r="EF1756"/>
      <c r="EG1756"/>
      <c r="EH1756"/>
      <c r="EI1756"/>
      <c r="EJ1756"/>
      <c r="EK1756"/>
    </row>
    <row r="1757" spans="1:141" s="116" customFormat="1">
      <c r="A1757" s="136"/>
      <c r="CM1757" s="111"/>
      <c r="CQ1757" s="111"/>
      <c r="EF1757"/>
      <c r="EG1757"/>
      <c r="EH1757"/>
      <c r="EI1757"/>
      <c r="EJ1757"/>
      <c r="EK1757"/>
    </row>
    <row r="1758" spans="1:141" s="116" customFormat="1">
      <c r="A1758" s="136"/>
      <c r="CM1758" s="111"/>
      <c r="CQ1758" s="111"/>
      <c r="EF1758"/>
      <c r="EG1758"/>
      <c r="EH1758"/>
      <c r="EI1758"/>
      <c r="EJ1758"/>
      <c r="EK1758"/>
    </row>
    <row r="1759" spans="1:141" s="116" customFormat="1">
      <c r="A1759" s="136"/>
      <c r="CM1759" s="111"/>
      <c r="CQ1759" s="111"/>
      <c r="EF1759"/>
      <c r="EG1759"/>
      <c r="EH1759"/>
      <c r="EI1759"/>
      <c r="EJ1759"/>
      <c r="EK1759"/>
    </row>
    <row r="1760" spans="1:141" s="116" customFormat="1">
      <c r="A1760" s="136"/>
      <c r="CM1760" s="111"/>
      <c r="CQ1760" s="111"/>
      <c r="EF1760"/>
      <c r="EG1760"/>
      <c r="EH1760"/>
      <c r="EI1760"/>
      <c r="EJ1760"/>
      <c r="EK1760"/>
    </row>
    <row r="1761" spans="1:141" s="116" customFormat="1">
      <c r="A1761" s="136"/>
      <c r="CM1761" s="111"/>
      <c r="CQ1761" s="111"/>
      <c r="EF1761"/>
      <c r="EG1761"/>
      <c r="EH1761"/>
      <c r="EI1761"/>
      <c r="EJ1761"/>
      <c r="EK1761"/>
    </row>
    <row r="1762" spans="1:141" s="116" customFormat="1">
      <c r="A1762" s="136"/>
      <c r="CM1762" s="111"/>
      <c r="CQ1762" s="111"/>
      <c r="EF1762"/>
      <c r="EG1762"/>
      <c r="EH1762"/>
      <c r="EI1762"/>
      <c r="EJ1762"/>
      <c r="EK1762"/>
    </row>
    <row r="1763" spans="1:141" s="116" customFormat="1">
      <c r="A1763" s="136"/>
      <c r="CM1763" s="111"/>
      <c r="CQ1763" s="111"/>
      <c r="EF1763"/>
      <c r="EG1763"/>
      <c r="EH1763"/>
      <c r="EI1763"/>
      <c r="EJ1763"/>
      <c r="EK1763"/>
    </row>
    <row r="1764" spans="1:141" s="116" customFormat="1">
      <c r="A1764" s="136"/>
      <c r="CM1764" s="111"/>
      <c r="CQ1764" s="111"/>
      <c r="EF1764"/>
      <c r="EG1764"/>
      <c r="EH1764"/>
      <c r="EI1764"/>
      <c r="EJ1764"/>
      <c r="EK1764"/>
    </row>
    <row r="1765" spans="1:141" s="116" customFormat="1">
      <c r="A1765" s="136"/>
      <c r="CM1765" s="111"/>
      <c r="CQ1765" s="111"/>
      <c r="EF1765"/>
      <c r="EG1765"/>
      <c r="EH1765"/>
      <c r="EI1765"/>
      <c r="EJ1765"/>
      <c r="EK1765"/>
    </row>
    <row r="1766" spans="1:141" s="116" customFormat="1">
      <c r="A1766" s="136"/>
      <c r="CM1766" s="111"/>
      <c r="CQ1766" s="111"/>
      <c r="EF1766"/>
      <c r="EG1766"/>
      <c r="EH1766"/>
      <c r="EI1766"/>
      <c r="EJ1766"/>
      <c r="EK1766"/>
    </row>
    <row r="1767" spans="1:141" s="116" customFormat="1">
      <c r="A1767" s="136"/>
      <c r="CM1767" s="111"/>
      <c r="CQ1767" s="111"/>
      <c r="EF1767"/>
      <c r="EG1767"/>
      <c r="EH1767"/>
      <c r="EI1767"/>
      <c r="EJ1767"/>
      <c r="EK1767"/>
    </row>
    <row r="1768" spans="1:141" s="116" customFormat="1">
      <c r="A1768" s="136"/>
      <c r="CM1768" s="111"/>
      <c r="CQ1768" s="111"/>
      <c r="EF1768"/>
      <c r="EG1768"/>
      <c r="EH1768"/>
      <c r="EI1768"/>
      <c r="EJ1768"/>
      <c r="EK1768"/>
    </row>
    <row r="1769" spans="1:141" s="116" customFormat="1">
      <c r="A1769" s="136"/>
      <c r="CM1769" s="111"/>
      <c r="CQ1769" s="111"/>
      <c r="EF1769"/>
      <c r="EG1769"/>
      <c r="EH1769"/>
      <c r="EI1769"/>
      <c r="EJ1769"/>
      <c r="EK1769"/>
    </row>
    <row r="1770" spans="1:141" s="116" customFormat="1">
      <c r="A1770" s="136"/>
      <c r="CM1770" s="111"/>
      <c r="CQ1770" s="111"/>
      <c r="EF1770"/>
      <c r="EG1770"/>
      <c r="EH1770"/>
      <c r="EI1770"/>
      <c r="EJ1770"/>
      <c r="EK1770"/>
    </row>
    <row r="1771" spans="1:141" s="116" customFormat="1">
      <c r="A1771" s="136"/>
      <c r="CM1771" s="111"/>
      <c r="CQ1771" s="111"/>
      <c r="EF1771"/>
      <c r="EG1771"/>
      <c r="EH1771"/>
      <c r="EI1771"/>
      <c r="EJ1771"/>
      <c r="EK1771"/>
    </row>
    <row r="1772" spans="1:141" s="116" customFormat="1">
      <c r="A1772" s="136"/>
      <c r="CM1772" s="111"/>
      <c r="CQ1772" s="111"/>
      <c r="EF1772"/>
      <c r="EG1772"/>
      <c r="EH1772"/>
      <c r="EI1772"/>
      <c r="EJ1772"/>
      <c r="EK1772"/>
    </row>
    <row r="1773" spans="1:141" s="116" customFormat="1">
      <c r="A1773" s="136"/>
      <c r="CM1773" s="111"/>
      <c r="CQ1773" s="111"/>
      <c r="EF1773"/>
      <c r="EG1773"/>
      <c r="EH1773"/>
      <c r="EI1773"/>
      <c r="EJ1773"/>
      <c r="EK1773"/>
    </row>
    <row r="1774" spans="1:141" s="116" customFormat="1">
      <c r="A1774" s="136"/>
      <c r="CM1774" s="111"/>
      <c r="CQ1774" s="111"/>
      <c r="EF1774"/>
      <c r="EG1774"/>
      <c r="EH1774"/>
      <c r="EI1774"/>
      <c r="EJ1774"/>
      <c r="EK1774"/>
    </row>
    <row r="1775" spans="1:141" s="116" customFormat="1">
      <c r="A1775" s="136"/>
      <c r="CM1775" s="111"/>
      <c r="CQ1775" s="111"/>
      <c r="EF1775"/>
      <c r="EG1775"/>
      <c r="EH1775"/>
      <c r="EI1775"/>
      <c r="EJ1775"/>
      <c r="EK1775"/>
    </row>
    <row r="1776" spans="1:141" s="116" customFormat="1">
      <c r="A1776" s="136"/>
      <c r="CM1776" s="111"/>
      <c r="CQ1776" s="111"/>
      <c r="EF1776"/>
      <c r="EG1776"/>
      <c r="EH1776"/>
      <c r="EI1776"/>
      <c r="EJ1776"/>
      <c r="EK1776"/>
    </row>
    <row r="1777" spans="1:141" s="116" customFormat="1">
      <c r="A1777" s="136"/>
      <c r="CM1777" s="111"/>
      <c r="CQ1777" s="111"/>
      <c r="EF1777"/>
      <c r="EG1777"/>
      <c r="EH1777"/>
      <c r="EI1777"/>
      <c r="EJ1777"/>
      <c r="EK1777"/>
    </row>
    <row r="1778" spans="1:141" s="116" customFormat="1">
      <c r="A1778" s="136"/>
      <c r="CM1778" s="111"/>
      <c r="CQ1778" s="111"/>
      <c r="EF1778"/>
      <c r="EG1778"/>
      <c r="EH1778"/>
      <c r="EI1778"/>
      <c r="EJ1778"/>
      <c r="EK1778"/>
    </row>
    <row r="1779" spans="1:141" s="116" customFormat="1">
      <c r="A1779" s="136"/>
      <c r="CM1779" s="111"/>
      <c r="CQ1779" s="111"/>
      <c r="EF1779"/>
      <c r="EG1779"/>
      <c r="EH1779"/>
      <c r="EI1779"/>
      <c r="EJ1779"/>
      <c r="EK1779"/>
    </row>
    <row r="1780" spans="1:141" s="116" customFormat="1">
      <c r="A1780" s="136"/>
      <c r="CM1780" s="111"/>
      <c r="CQ1780" s="111"/>
      <c r="EF1780"/>
      <c r="EG1780"/>
      <c r="EH1780"/>
      <c r="EI1780"/>
      <c r="EJ1780"/>
      <c r="EK1780"/>
    </row>
    <row r="1781" spans="1:141" s="116" customFormat="1">
      <c r="A1781" s="136"/>
      <c r="CM1781" s="111"/>
      <c r="CQ1781" s="111"/>
      <c r="EF1781"/>
      <c r="EG1781"/>
      <c r="EH1781"/>
      <c r="EI1781"/>
      <c r="EJ1781"/>
      <c r="EK1781"/>
    </row>
    <row r="1782" spans="1:141" s="116" customFormat="1">
      <c r="A1782" s="136"/>
      <c r="CM1782" s="111"/>
      <c r="CQ1782" s="111"/>
      <c r="EF1782"/>
      <c r="EG1782"/>
      <c r="EH1782"/>
      <c r="EI1782"/>
      <c r="EJ1782"/>
      <c r="EK1782"/>
    </row>
    <row r="1783" spans="1:141" s="116" customFormat="1">
      <c r="A1783" s="136"/>
      <c r="CM1783" s="111"/>
      <c r="CQ1783" s="111"/>
      <c r="EF1783"/>
      <c r="EG1783"/>
      <c r="EH1783"/>
      <c r="EI1783"/>
      <c r="EJ1783"/>
      <c r="EK1783"/>
    </row>
    <row r="1784" spans="1:141" s="116" customFormat="1">
      <c r="A1784" s="136"/>
      <c r="CM1784" s="111"/>
      <c r="CQ1784" s="111"/>
      <c r="EF1784"/>
      <c r="EG1784"/>
      <c r="EH1784"/>
      <c r="EI1784"/>
      <c r="EJ1784"/>
      <c r="EK1784"/>
    </row>
    <row r="1785" spans="1:141" s="116" customFormat="1">
      <c r="A1785" s="136"/>
      <c r="CM1785" s="111"/>
      <c r="CQ1785" s="111"/>
      <c r="EF1785"/>
      <c r="EG1785"/>
      <c r="EH1785"/>
      <c r="EI1785"/>
      <c r="EJ1785"/>
      <c r="EK1785"/>
    </row>
    <row r="1786" spans="1:141" s="116" customFormat="1">
      <c r="A1786" s="136"/>
      <c r="CM1786" s="111"/>
      <c r="CQ1786" s="111"/>
      <c r="EF1786"/>
      <c r="EG1786"/>
      <c r="EH1786"/>
      <c r="EI1786"/>
      <c r="EJ1786"/>
      <c r="EK1786"/>
    </row>
    <row r="1787" spans="1:141" s="116" customFormat="1">
      <c r="A1787" s="136"/>
      <c r="CM1787" s="111"/>
      <c r="CQ1787" s="111"/>
      <c r="EF1787"/>
      <c r="EG1787"/>
      <c r="EH1787"/>
      <c r="EI1787"/>
      <c r="EJ1787"/>
      <c r="EK1787"/>
    </row>
    <row r="1788" spans="1:141" s="116" customFormat="1">
      <c r="A1788" s="136"/>
      <c r="CM1788" s="111"/>
      <c r="CQ1788" s="111"/>
      <c r="EF1788"/>
      <c r="EG1788"/>
      <c r="EH1788"/>
      <c r="EI1788"/>
      <c r="EJ1788"/>
      <c r="EK1788"/>
    </row>
    <row r="1789" spans="1:141" s="116" customFormat="1">
      <c r="A1789" s="136"/>
      <c r="CM1789" s="111"/>
      <c r="CQ1789" s="111"/>
      <c r="EF1789"/>
      <c r="EG1789"/>
      <c r="EH1789"/>
      <c r="EI1789"/>
      <c r="EJ1789"/>
      <c r="EK1789"/>
    </row>
    <row r="1790" spans="1:141" s="116" customFormat="1">
      <c r="A1790" s="136"/>
      <c r="CM1790" s="111"/>
      <c r="CQ1790" s="111"/>
      <c r="EF1790"/>
      <c r="EG1790"/>
      <c r="EH1790"/>
      <c r="EI1790"/>
      <c r="EJ1790"/>
      <c r="EK1790"/>
    </row>
    <row r="1791" spans="1:141" s="116" customFormat="1">
      <c r="A1791" s="136"/>
      <c r="CM1791" s="111"/>
      <c r="CQ1791" s="111"/>
      <c r="EF1791"/>
      <c r="EG1791"/>
      <c r="EH1791"/>
      <c r="EI1791"/>
      <c r="EJ1791"/>
      <c r="EK1791"/>
    </row>
    <row r="1792" spans="1:141" s="116" customFormat="1">
      <c r="A1792" s="136"/>
      <c r="CM1792" s="111"/>
      <c r="CQ1792" s="111"/>
      <c r="EF1792"/>
      <c r="EG1792"/>
      <c r="EH1792"/>
      <c r="EI1792"/>
      <c r="EJ1792"/>
      <c r="EK1792"/>
    </row>
    <row r="1793" spans="1:141" s="116" customFormat="1">
      <c r="A1793" s="136"/>
      <c r="CM1793" s="111"/>
      <c r="CQ1793" s="111"/>
      <c r="EF1793"/>
      <c r="EG1793"/>
      <c r="EH1793"/>
      <c r="EI1793"/>
      <c r="EJ1793"/>
      <c r="EK1793"/>
    </row>
    <row r="1794" spans="1:141" s="116" customFormat="1">
      <c r="A1794" s="136"/>
      <c r="CM1794" s="111"/>
      <c r="CQ1794" s="111"/>
      <c r="EF1794"/>
      <c r="EG1794"/>
      <c r="EH1794"/>
      <c r="EI1794"/>
      <c r="EJ1794"/>
      <c r="EK1794"/>
    </row>
    <row r="1795" spans="1:141" s="116" customFormat="1">
      <c r="A1795" s="136"/>
      <c r="CM1795" s="111"/>
      <c r="CQ1795" s="111"/>
      <c r="EF1795"/>
      <c r="EG1795"/>
      <c r="EH1795"/>
      <c r="EI1795"/>
      <c r="EJ1795"/>
      <c r="EK1795"/>
    </row>
    <row r="1796" spans="1:141" s="116" customFormat="1">
      <c r="A1796" s="136"/>
      <c r="CM1796" s="111"/>
      <c r="CQ1796" s="111"/>
      <c r="EF1796"/>
      <c r="EG1796"/>
      <c r="EH1796"/>
      <c r="EI1796"/>
      <c r="EJ1796"/>
      <c r="EK1796"/>
    </row>
    <row r="1797" spans="1:141" s="116" customFormat="1">
      <c r="A1797" s="136"/>
      <c r="CM1797" s="111"/>
      <c r="CQ1797" s="111"/>
      <c r="EF1797"/>
      <c r="EG1797"/>
      <c r="EH1797"/>
      <c r="EI1797"/>
      <c r="EJ1797"/>
      <c r="EK1797"/>
    </row>
    <row r="1798" spans="1:141" s="116" customFormat="1">
      <c r="A1798" s="136"/>
      <c r="CM1798" s="111"/>
      <c r="CQ1798" s="111"/>
      <c r="EF1798"/>
      <c r="EG1798"/>
      <c r="EH1798"/>
      <c r="EI1798"/>
      <c r="EJ1798"/>
      <c r="EK1798"/>
    </row>
    <row r="1799" spans="1:141" s="116" customFormat="1">
      <c r="A1799" s="136"/>
      <c r="CM1799" s="111"/>
      <c r="CQ1799" s="111"/>
      <c r="EF1799"/>
      <c r="EG1799"/>
      <c r="EH1799"/>
      <c r="EI1799"/>
      <c r="EJ1799"/>
      <c r="EK1799"/>
    </row>
    <row r="1800" spans="1:141" s="116" customFormat="1">
      <c r="A1800" s="136"/>
      <c r="CM1800" s="111"/>
      <c r="CQ1800" s="111"/>
      <c r="EF1800"/>
      <c r="EG1800"/>
      <c r="EH1800"/>
      <c r="EI1800"/>
      <c r="EJ1800"/>
      <c r="EK1800"/>
    </row>
    <row r="1801" spans="1:141" s="116" customFormat="1">
      <c r="A1801" s="136"/>
      <c r="CM1801" s="111"/>
      <c r="CQ1801" s="111"/>
      <c r="EF1801"/>
      <c r="EG1801"/>
      <c r="EH1801"/>
      <c r="EI1801"/>
      <c r="EJ1801"/>
      <c r="EK1801"/>
    </row>
    <row r="1802" spans="1:141" s="116" customFormat="1">
      <c r="A1802" s="136"/>
      <c r="CM1802" s="111"/>
      <c r="CQ1802" s="111"/>
      <c r="EF1802"/>
      <c r="EG1802"/>
      <c r="EH1802"/>
      <c r="EI1802"/>
      <c r="EJ1802"/>
      <c r="EK1802"/>
    </row>
    <row r="1803" spans="1:141" s="116" customFormat="1">
      <c r="A1803" s="136"/>
      <c r="CM1803" s="111"/>
      <c r="CQ1803" s="111"/>
      <c r="EF1803"/>
      <c r="EG1803"/>
      <c r="EH1803"/>
      <c r="EI1803"/>
      <c r="EJ1803"/>
      <c r="EK1803"/>
    </row>
    <row r="1804" spans="1:141" s="116" customFormat="1">
      <c r="A1804" s="136"/>
      <c r="CM1804" s="111"/>
      <c r="CQ1804" s="111"/>
      <c r="EF1804"/>
      <c r="EG1804"/>
      <c r="EH1804"/>
      <c r="EI1804"/>
      <c r="EJ1804"/>
      <c r="EK1804"/>
    </row>
    <row r="1805" spans="1:141" s="116" customFormat="1">
      <c r="A1805" s="136"/>
      <c r="CM1805" s="111"/>
      <c r="CQ1805" s="111"/>
      <c r="EF1805"/>
      <c r="EG1805"/>
      <c r="EH1805"/>
      <c r="EI1805"/>
      <c r="EJ1805"/>
      <c r="EK1805"/>
    </row>
    <row r="1806" spans="1:141" s="116" customFormat="1">
      <c r="A1806" s="136"/>
      <c r="CM1806" s="111"/>
      <c r="CQ1806" s="111"/>
      <c r="EF1806"/>
      <c r="EG1806"/>
      <c r="EH1806"/>
      <c r="EI1806"/>
      <c r="EJ1806"/>
      <c r="EK1806"/>
    </row>
    <row r="1807" spans="1:141" s="116" customFormat="1">
      <c r="A1807" s="136"/>
      <c r="CM1807" s="111"/>
      <c r="CQ1807" s="111"/>
      <c r="EF1807"/>
      <c r="EG1807"/>
      <c r="EH1807"/>
      <c r="EI1807"/>
      <c r="EJ1807"/>
      <c r="EK1807"/>
    </row>
    <row r="1808" spans="1:141" s="116" customFormat="1">
      <c r="A1808" s="136"/>
      <c r="CM1808" s="111"/>
      <c r="CQ1808" s="111"/>
      <c r="EF1808"/>
      <c r="EG1808"/>
      <c r="EH1808"/>
      <c r="EI1808"/>
      <c r="EJ1808"/>
      <c r="EK1808"/>
    </row>
    <row r="1809" spans="1:141" s="116" customFormat="1">
      <c r="A1809" s="136"/>
      <c r="CM1809" s="111"/>
      <c r="CQ1809" s="111"/>
      <c r="EF1809"/>
      <c r="EG1809"/>
      <c r="EH1809"/>
      <c r="EI1809"/>
      <c r="EJ1809"/>
      <c r="EK1809"/>
    </row>
    <row r="1810" spans="1:141" s="116" customFormat="1">
      <c r="A1810" s="136"/>
      <c r="CM1810" s="111"/>
      <c r="CQ1810" s="111"/>
      <c r="EF1810"/>
      <c r="EG1810"/>
      <c r="EH1810"/>
      <c r="EI1810"/>
      <c r="EJ1810"/>
      <c r="EK1810"/>
    </row>
    <row r="1811" spans="1:141" s="116" customFormat="1">
      <c r="A1811" s="136"/>
      <c r="CM1811" s="111"/>
      <c r="CQ1811" s="111"/>
      <c r="EF1811"/>
      <c r="EG1811"/>
      <c r="EH1811"/>
      <c r="EI1811"/>
      <c r="EJ1811"/>
      <c r="EK1811"/>
    </row>
    <row r="1812" spans="1:141" s="116" customFormat="1">
      <c r="A1812" s="136"/>
      <c r="CM1812" s="111"/>
      <c r="CQ1812" s="111"/>
      <c r="EF1812"/>
      <c r="EG1812"/>
      <c r="EH1812"/>
      <c r="EI1812"/>
      <c r="EJ1812"/>
      <c r="EK1812"/>
    </row>
    <row r="1813" spans="1:141" s="116" customFormat="1">
      <c r="A1813" s="136"/>
      <c r="CM1813" s="111"/>
      <c r="CQ1813" s="111"/>
      <c r="EF1813"/>
      <c r="EG1813"/>
      <c r="EH1813"/>
      <c r="EI1813"/>
      <c r="EJ1813"/>
      <c r="EK1813"/>
    </row>
    <row r="1814" spans="1:141" s="116" customFormat="1">
      <c r="A1814" s="136"/>
      <c r="CM1814" s="111"/>
      <c r="CQ1814" s="111"/>
      <c r="EF1814"/>
      <c r="EG1814"/>
      <c r="EH1814"/>
      <c r="EI1814"/>
      <c r="EJ1814"/>
      <c r="EK1814"/>
    </row>
    <row r="1815" spans="1:141" s="116" customFormat="1">
      <c r="A1815" s="136"/>
      <c r="CM1815" s="111"/>
      <c r="CQ1815" s="111"/>
      <c r="EF1815"/>
      <c r="EG1815"/>
      <c r="EH1815"/>
      <c r="EI1815"/>
      <c r="EJ1815"/>
      <c r="EK1815"/>
    </row>
    <row r="1816" spans="1:141" s="116" customFormat="1">
      <c r="A1816" s="136"/>
      <c r="CM1816" s="111"/>
      <c r="CQ1816" s="111"/>
      <c r="EF1816"/>
      <c r="EG1816"/>
      <c r="EH1816"/>
      <c r="EI1816"/>
      <c r="EJ1816"/>
      <c r="EK1816"/>
    </row>
    <row r="1817" spans="1:141" s="116" customFormat="1">
      <c r="A1817" s="136"/>
      <c r="CM1817" s="111"/>
      <c r="CQ1817" s="111"/>
      <c r="EF1817"/>
      <c r="EG1817"/>
      <c r="EH1817"/>
      <c r="EI1817"/>
      <c r="EJ1817"/>
      <c r="EK1817"/>
    </row>
    <row r="1818" spans="1:141" s="116" customFormat="1">
      <c r="A1818" s="136"/>
      <c r="CM1818" s="111"/>
      <c r="CQ1818" s="111"/>
      <c r="EF1818"/>
      <c r="EG1818"/>
      <c r="EH1818"/>
      <c r="EI1818"/>
      <c r="EJ1818"/>
      <c r="EK1818"/>
    </row>
    <row r="1819" spans="1:141" s="116" customFormat="1">
      <c r="A1819" s="136"/>
      <c r="CM1819" s="111"/>
      <c r="CQ1819" s="111"/>
      <c r="EF1819"/>
      <c r="EG1819"/>
      <c r="EH1819"/>
      <c r="EI1819"/>
      <c r="EJ1819"/>
      <c r="EK1819"/>
    </row>
    <row r="1820" spans="1:141" s="116" customFormat="1">
      <c r="A1820" s="136"/>
      <c r="CM1820" s="111"/>
      <c r="CQ1820" s="111"/>
      <c r="EF1820"/>
      <c r="EG1820"/>
      <c r="EH1820"/>
      <c r="EI1820"/>
      <c r="EJ1820"/>
      <c r="EK1820"/>
    </row>
    <row r="1821" spans="1:141" s="116" customFormat="1">
      <c r="A1821" s="136"/>
      <c r="CM1821" s="111"/>
      <c r="CQ1821" s="111"/>
      <c r="EF1821"/>
      <c r="EG1821"/>
      <c r="EH1821"/>
      <c r="EI1821"/>
      <c r="EJ1821"/>
      <c r="EK1821"/>
    </row>
    <row r="1822" spans="1:141" s="116" customFormat="1">
      <c r="A1822" s="136"/>
      <c r="CM1822" s="111"/>
      <c r="CQ1822" s="111"/>
      <c r="EF1822"/>
      <c r="EG1822"/>
      <c r="EH1822"/>
      <c r="EI1822"/>
      <c r="EJ1822"/>
      <c r="EK1822"/>
    </row>
    <row r="1823" spans="1:141" s="116" customFormat="1">
      <c r="A1823" s="136"/>
      <c r="CM1823" s="111"/>
      <c r="CQ1823" s="111"/>
      <c r="EF1823"/>
      <c r="EG1823"/>
      <c r="EH1823"/>
      <c r="EI1823"/>
      <c r="EJ1823"/>
      <c r="EK1823"/>
    </row>
    <row r="1824" spans="1:141" s="116" customFormat="1">
      <c r="A1824" s="136"/>
      <c r="CM1824" s="111"/>
      <c r="CQ1824" s="111"/>
      <c r="EF1824"/>
      <c r="EG1824"/>
      <c r="EH1824"/>
      <c r="EI1824"/>
      <c r="EJ1824"/>
      <c r="EK1824"/>
    </row>
    <row r="1825" spans="1:141" s="116" customFormat="1">
      <c r="A1825" s="136"/>
      <c r="CM1825" s="111"/>
      <c r="CQ1825" s="111"/>
      <c r="EF1825"/>
      <c r="EG1825"/>
      <c r="EH1825"/>
      <c r="EI1825"/>
      <c r="EJ1825"/>
      <c r="EK1825"/>
    </row>
    <row r="1826" spans="1:141" s="116" customFormat="1">
      <c r="A1826" s="136"/>
      <c r="CM1826" s="111"/>
      <c r="CQ1826" s="111"/>
      <c r="EF1826"/>
      <c r="EG1826"/>
      <c r="EH1826"/>
      <c r="EI1826"/>
      <c r="EJ1826"/>
      <c r="EK1826"/>
    </row>
    <row r="1827" spans="1:141" s="116" customFormat="1">
      <c r="A1827" s="136"/>
      <c r="CM1827" s="111"/>
      <c r="CQ1827" s="111"/>
      <c r="EF1827"/>
      <c r="EG1827"/>
      <c r="EH1827"/>
      <c r="EI1827"/>
      <c r="EJ1827"/>
      <c r="EK1827"/>
    </row>
    <row r="1828" spans="1:141" s="116" customFormat="1">
      <c r="A1828" s="136"/>
      <c r="CM1828" s="111"/>
      <c r="CQ1828" s="111"/>
      <c r="EF1828"/>
      <c r="EG1828"/>
      <c r="EH1828"/>
      <c r="EI1828"/>
      <c r="EJ1828"/>
      <c r="EK1828"/>
    </row>
    <row r="1829" spans="1:141" s="116" customFormat="1">
      <c r="A1829" s="136"/>
      <c r="CM1829" s="111"/>
      <c r="CQ1829" s="111"/>
      <c r="EF1829"/>
      <c r="EG1829"/>
      <c r="EH1829"/>
      <c r="EI1829"/>
      <c r="EJ1829"/>
      <c r="EK1829"/>
    </row>
    <row r="1830" spans="1:141" s="116" customFormat="1">
      <c r="A1830" s="136"/>
      <c r="CM1830" s="111"/>
      <c r="CQ1830" s="111"/>
      <c r="EF1830"/>
      <c r="EG1830"/>
      <c r="EH1830"/>
      <c r="EI1830"/>
      <c r="EJ1830"/>
      <c r="EK1830"/>
    </row>
    <row r="1831" spans="1:141" s="116" customFormat="1">
      <c r="A1831" s="136"/>
      <c r="CM1831" s="111"/>
      <c r="CQ1831" s="111"/>
      <c r="EF1831"/>
      <c r="EG1831"/>
      <c r="EH1831"/>
      <c r="EI1831"/>
      <c r="EJ1831"/>
      <c r="EK1831"/>
    </row>
    <row r="1832" spans="1:141" s="116" customFormat="1">
      <c r="A1832" s="136"/>
      <c r="CM1832" s="111"/>
      <c r="CQ1832" s="111"/>
      <c r="EF1832"/>
      <c r="EG1832"/>
      <c r="EH1832"/>
      <c r="EI1832"/>
      <c r="EJ1832"/>
      <c r="EK1832"/>
    </row>
    <row r="1833" spans="1:141" s="116" customFormat="1">
      <c r="A1833" s="136"/>
      <c r="CM1833" s="111"/>
      <c r="CQ1833" s="111"/>
      <c r="EF1833"/>
      <c r="EG1833"/>
      <c r="EH1833"/>
      <c r="EI1833"/>
      <c r="EJ1833"/>
      <c r="EK1833"/>
    </row>
    <row r="1834" spans="1:141" s="116" customFormat="1">
      <c r="A1834" s="136"/>
      <c r="CM1834" s="111"/>
      <c r="CQ1834" s="111"/>
      <c r="EF1834"/>
      <c r="EG1834"/>
      <c r="EH1834"/>
      <c r="EI1834"/>
      <c r="EJ1834"/>
      <c r="EK1834"/>
    </row>
    <row r="1835" spans="1:141" s="116" customFormat="1">
      <c r="A1835" s="136"/>
      <c r="CM1835" s="111"/>
      <c r="CQ1835" s="111"/>
      <c r="EF1835"/>
      <c r="EG1835"/>
      <c r="EH1835"/>
      <c r="EI1835"/>
      <c r="EJ1835"/>
      <c r="EK1835"/>
    </row>
    <row r="1836" spans="1:141" s="116" customFormat="1">
      <c r="A1836" s="136"/>
      <c r="CM1836" s="111"/>
      <c r="CQ1836" s="111"/>
      <c r="EF1836"/>
      <c r="EG1836"/>
      <c r="EH1836"/>
      <c r="EI1836"/>
      <c r="EJ1836"/>
      <c r="EK1836"/>
    </row>
    <row r="1837" spans="1:141" s="116" customFormat="1">
      <c r="A1837" s="136"/>
      <c r="CM1837" s="111"/>
      <c r="CQ1837" s="111"/>
      <c r="EF1837"/>
      <c r="EG1837"/>
      <c r="EH1837"/>
      <c r="EI1837"/>
      <c r="EJ1837"/>
      <c r="EK1837"/>
    </row>
    <row r="1838" spans="1:141" s="116" customFormat="1">
      <c r="A1838" s="136"/>
      <c r="CM1838" s="111"/>
      <c r="CQ1838" s="111"/>
      <c r="EF1838"/>
      <c r="EG1838"/>
      <c r="EH1838"/>
      <c r="EI1838"/>
      <c r="EJ1838"/>
      <c r="EK1838"/>
    </row>
    <row r="1839" spans="1:141" s="116" customFormat="1">
      <c r="A1839" s="136"/>
      <c r="CM1839" s="111"/>
      <c r="CQ1839" s="111"/>
      <c r="EF1839"/>
      <c r="EG1839"/>
      <c r="EH1839"/>
      <c r="EI1839"/>
      <c r="EJ1839"/>
      <c r="EK1839"/>
    </row>
    <row r="1840" spans="1:141" s="116" customFormat="1">
      <c r="A1840" s="136"/>
      <c r="CM1840" s="111"/>
      <c r="CQ1840" s="111"/>
      <c r="EF1840"/>
      <c r="EG1840"/>
      <c r="EH1840"/>
      <c r="EI1840"/>
      <c r="EJ1840"/>
      <c r="EK1840"/>
    </row>
    <row r="1841" spans="1:141" s="116" customFormat="1">
      <c r="A1841" s="136"/>
      <c r="CM1841" s="111"/>
      <c r="CQ1841" s="111"/>
      <c r="EF1841"/>
      <c r="EG1841"/>
      <c r="EH1841"/>
      <c r="EI1841"/>
      <c r="EJ1841"/>
      <c r="EK1841"/>
    </row>
    <row r="1842" spans="1:141" s="116" customFormat="1">
      <c r="A1842" s="136"/>
      <c r="CM1842" s="111"/>
      <c r="CQ1842" s="111"/>
      <c r="EF1842"/>
      <c r="EG1842"/>
      <c r="EH1842"/>
      <c r="EI1842"/>
      <c r="EJ1842"/>
      <c r="EK1842"/>
    </row>
    <row r="1843" spans="1:141" s="116" customFormat="1">
      <c r="A1843" s="136"/>
      <c r="CM1843" s="111"/>
      <c r="CQ1843" s="111"/>
      <c r="EF1843"/>
      <c r="EG1843"/>
      <c r="EH1843"/>
      <c r="EI1843"/>
      <c r="EJ1843"/>
      <c r="EK1843"/>
    </row>
    <row r="1844" spans="1:141" s="116" customFormat="1">
      <c r="A1844" s="136"/>
      <c r="CM1844" s="111"/>
      <c r="CQ1844" s="111"/>
      <c r="EF1844"/>
      <c r="EG1844"/>
      <c r="EH1844"/>
      <c r="EI1844"/>
      <c r="EJ1844"/>
      <c r="EK1844"/>
    </row>
    <row r="1845" spans="1:141" s="116" customFormat="1">
      <c r="A1845" s="136"/>
      <c r="CM1845" s="111"/>
      <c r="CQ1845" s="111"/>
      <c r="EF1845"/>
      <c r="EG1845"/>
      <c r="EH1845"/>
      <c r="EI1845"/>
      <c r="EJ1845"/>
      <c r="EK1845"/>
    </row>
    <row r="1846" spans="1:141" s="116" customFormat="1">
      <c r="A1846" s="136"/>
      <c r="CM1846" s="111"/>
      <c r="CQ1846" s="111"/>
      <c r="EF1846"/>
      <c r="EG1846"/>
      <c r="EH1846"/>
      <c r="EI1846"/>
      <c r="EJ1846"/>
      <c r="EK1846"/>
    </row>
    <row r="1847" spans="1:141" s="116" customFormat="1">
      <c r="A1847" s="136"/>
      <c r="CM1847" s="111"/>
      <c r="CQ1847" s="111"/>
      <c r="EF1847"/>
      <c r="EG1847"/>
      <c r="EH1847"/>
      <c r="EI1847"/>
      <c r="EJ1847"/>
      <c r="EK1847"/>
    </row>
    <row r="1848" spans="1:141" s="116" customFormat="1">
      <c r="A1848" s="136"/>
      <c r="CM1848" s="111"/>
      <c r="CQ1848" s="111"/>
      <c r="EF1848"/>
      <c r="EG1848"/>
      <c r="EH1848"/>
      <c r="EI1848"/>
      <c r="EJ1848"/>
      <c r="EK1848"/>
    </row>
    <row r="1849" spans="1:141" s="116" customFormat="1">
      <c r="A1849" s="136"/>
      <c r="CM1849" s="111"/>
      <c r="CQ1849" s="111"/>
      <c r="EF1849"/>
      <c r="EG1849"/>
      <c r="EH1849"/>
      <c r="EI1849"/>
      <c r="EJ1849"/>
      <c r="EK1849"/>
    </row>
    <row r="1850" spans="1:141" s="116" customFormat="1">
      <c r="A1850" s="136"/>
      <c r="CM1850" s="111"/>
      <c r="CQ1850" s="111"/>
      <c r="EF1850"/>
      <c r="EG1850"/>
      <c r="EH1850"/>
      <c r="EI1850"/>
      <c r="EJ1850"/>
      <c r="EK1850"/>
    </row>
    <row r="1851" spans="1:141" s="116" customFormat="1">
      <c r="A1851" s="136"/>
      <c r="CM1851" s="111"/>
      <c r="CQ1851" s="111"/>
      <c r="EF1851"/>
      <c r="EG1851"/>
      <c r="EH1851"/>
      <c r="EI1851"/>
      <c r="EJ1851"/>
      <c r="EK1851"/>
    </row>
    <row r="1852" spans="1:141" s="116" customFormat="1">
      <c r="A1852" s="136"/>
      <c r="CM1852" s="111"/>
      <c r="CQ1852" s="111"/>
      <c r="EF1852"/>
      <c r="EG1852"/>
      <c r="EH1852"/>
      <c r="EI1852"/>
      <c r="EJ1852"/>
      <c r="EK1852"/>
    </row>
    <row r="1853" spans="1:141" s="116" customFormat="1">
      <c r="A1853" s="136"/>
      <c r="CM1853" s="111"/>
      <c r="CQ1853" s="111"/>
      <c r="EF1853"/>
      <c r="EG1853"/>
      <c r="EH1853"/>
      <c r="EI1853"/>
      <c r="EJ1853"/>
      <c r="EK1853"/>
    </row>
    <row r="1854" spans="1:141" s="116" customFormat="1">
      <c r="A1854" s="136"/>
      <c r="CM1854" s="111"/>
      <c r="CQ1854" s="111"/>
      <c r="EF1854"/>
      <c r="EG1854"/>
      <c r="EH1854"/>
      <c r="EI1854"/>
      <c r="EJ1854"/>
      <c r="EK1854"/>
    </row>
    <row r="1855" spans="1:141" s="116" customFormat="1">
      <c r="A1855" s="136"/>
      <c r="CM1855" s="111"/>
      <c r="CQ1855" s="111"/>
      <c r="EF1855"/>
      <c r="EG1855"/>
      <c r="EH1855"/>
      <c r="EI1855"/>
      <c r="EJ1855"/>
      <c r="EK1855"/>
    </row>
    <row r="1856" spans="1:141" s="116" customFormat="1">
      <c r="A1856" s="136"/>
      <c r="CM1856" s="111"/>
      <c r="CQ1856" s="111"/>
      <c r="EF1856"/>
      <c r="EG1856"/>
      <c r="EH1856"/>
      <c r="EI1856"/>
      <c r="EJ1856"/>
      <c r="EK1856"/>
    </row>
    <row r="1857" spans="1:141" s="116" customFormat="1">
      <c r="A1857" s="136"/>
      <c r="CM1857" s="111"/>
      <c r="CQ1857" s="111"/>
      <c r="EF1857"/>
      <c r="EG1857"/>
      <c r="EH1857"/>
      <c r="EI1857"/>
      <c r="EJ1857"/>
      <c r="EK1857"/>
    </row>
    <row r="1858" spans="1:141" s="116" customFormat="1">
      <c r="A1858" s="136"/>
      <c r="CM1858" s="111"/>
      <c r="CQ1858" s="111"/>
      <c r="EF1858"/>
      <c r="EG1858"/>
      <c r="EH1858"/>
      <c r="EI1858"/>
      <c r="EJ1858"/>
      <c r="EK1858"/>
    </row>
    <row r="1859" spans="1:141" s="116" customFormat="1">
      <c r="A1859" s="136"/>
      <c r="CM1859" s="111"/>
      <c r="CQ1859" s="111"/>
      <c r="EF1859"/>
      <c r="EG1859"/>
      <c r="EH1859"/>
      <c r="EI1859"/>
      <c r="EJ1859"/>
      <c r="EK1859"/>
    </row>
    <row r="1860" spans="1:141" s="116" customFormat="1">
      <c r="A1860" s="136"/>
      <c r="CM1860" s="111"/>
      <c r="CQ1860" s="111"/>
      <c r="EF1860"/>
      <c r="EG1860"/>
      <c r="EH1860"/>
      <c r="EI1860"/>
      <c r="EJ1860"/>
      <c r="EK1860"/>
    </row>
    <row r="1861" spans="1:141" s="116" customFormat="1">
      <c r="A1861" s="136"/>
      <c r="CM1861" s="111"/>
      <c r="CQ1861" s="111"/>
      <c r="EF1861"/>
      <c r="EG1861"/>
      <c r="EH1861"/>
      <c r="EI1861"/>
      <c r="EJ1861"/>
      <c r="EK1861"/>
    </row>
    <row r="1862" spans="1:141" s="116" customFormat="1">
      <c r="A1862" s="136"/>
      <c r="CM1862" s="111"/>
      <c r="CQ1862" s="111"/>
      <c r="EF1862"/>
      <c r="EG1862"/>
      <c r="EH1862"/>
      <c r="EI1862"/>
      <c r="EJ1862"/>
      <c r="EK1862"/>
    </row>
    <row r="1863" spans="1:141" s="116" customFormat="1">
      <c r="A1863" s="136"/>
      <c r="CM1863" s="111"/>
      <c r="CQ1863" s="111"/>
      <c r="EF1863"/>
      <c r="EG1863"/>
      <c r="EH1863"/>
      <c r="EI1863"/>
      <c r="EJ1863"/>
      <c r="EK1863"/>
    </row>
    <row r="1864" spans="1:141" s="116" customFormat="1">
      <c r="A1864" s="136"/>
      <c r="CM1864" s="111"/>
      <c r="CQ1864" s="111"/>
      <c r="EF1864"/>
      <c r="EG1864"/>
      <c r="EH1864"/>
      <c r="EI1864"/>
      <c r="EJ1864"/>
      <c r="EK1864"/>
    </row>
    <row r="1865" spans="1:141" s="116" customFormat="1">
      <c r="A1865" s="136"/>
      <c r="CM1865" s="111"/>
      <c r="CQ1865" s="111"/>
      <c r="EF1865"/>
      <c r="EG1865"/>
      <c r="EH1865"/>
      <c r="EI1865"/>
      <c r="EJ1865"/>
      <c r="EK1865"/>
    </row>
    <row r="1866" spans="1:141" s="116" customFormat="1">
      <c r="A1866" s="136"/>
      <c r="CM1866" s="111"/>
      <c r="CQ1866" s="111"/>
      <c r="EF1866"/>
      <c r="EG1866"/>
      <c r="EH1866"/>
      <c r="EI1866"/>
      <c r="EJ1866"/>
      <c r="EK1866"/>
    </row>
    <row r="1867" spans="1:141" s="116" customFormat="1">
      <c r="A1867" s="136"/>
      <c r="CM1867" s="111"/>
      <c r="CQ1867" s="111"/>
      <c r="EF1867"/>
      <c r="EG1867"/>
      <c r="EH1867"/>
      <c r="EI1867"/>
      <c r="EJ1867"/>
      <c r="EK1867"/>
    </row>
    <row r="1868" spans="1:141" s="116" customFormat="1">
      <c r="A1868" s="136"/>
      <c r="CM1868" s="111"/>
      <c r="CQ1868" s="111"/>
      <c r="EF1868"/>
      <c r="EG1868"/>
      <c r="EH1868"/>
      <c r="EI1868"/>
      <c r="EJ1868"/>
      <c r="EK1868"/>
    </row>
    <row r="1869" spans="1:141" s="116" customFormat="1">
      <c r="A1869" s="136"/>
      <c r="CM1869" s="111"/>
      <c r="CQ1869" s="111"/>
      <c r="EF1869"/>
      <c r="EG1869"/>
      <c r="EH1869"/>
      <c r="EI1869"/>
      <c r="EJ1869"/>
      <c r="EK1869"/>
    </row>
    <row r="1870" spans="1:141" s="116" customFormat="1">
      <c r="A1870" s="136"/>
      <c r="CM1870" s="111"/>
      <c r="CQ1870" s="111"/>
      <c r="EF1870"/>
      <c r="EG1870"/>
      <c r="EH1870"/>
      <c r="EI1870"/>
      <c r="EJ1870"/>
      <c r="EK1870"/>
    </row>
    <row r="1871" spans="1:141" s="116" customFormat="1">
      <c r="A1871" s="136"/>
      <c r="CM1871" s="111"/>
      <c r="CQ1871" s="111"/>
      <c r="EF1871"/>
      <c r="EG1871"/>
      <c r="EH1871"/>
      <c r="EI1871"/>
      <c r="EJ1871"/>
      <c r="EK1871"/>
    </row>
    <row r="1872" spans="1:141" s="116" customFormat="1">
      <c r="A1872" s="136"/>
      <c r="CM1872" s="111"/>
      <c r="CQ1872" s="111"/>
      <c r="EF1872"/>
      <c r="EG1872"/>
      <c r="EH1872"/>
      <c r="EI1872"/>
      <c r="EJ1872"/>
      <c r="EK1872"/>
    </row>
    <row r="1873" spans="1:141" s="116" customFormat="1">
      <c r="A1873" s="136"/>
      <c r="CM1873" s="111"/>
      <c r="CQ1873" s="111"/>
      <c r="EF1873"/>
      <c r="EG1873"/>
      <c r="EH1873"/>
      <c r="EI1873"/>
      <c r="EJ1873"/>
      <c r="EK1873"/>
    </row>
    <row r="1874" spans="1:141" s="116" customFormat="1">
      <c r="A1874" s="136"/>
      <c r="CM1874" s="111"/>
      <c r="CQ1874" s="111"/>
      <c r="EF1874"/>
      <c r="EG1874"/>
      <c r="EH1874"/>
      <c r="EI1874"/>
      <c r="EJ1874"/>
      <c r="EK1874"/>
    </row>
    <row r="1875" spans="1:141" s="116" customFormat="1">
      <c r="A1875" s="136"/>
      <c r="CM1875" s="111"/>
      <c r="CQ1875" s="111"/>
      <c r="EF1875"/>
      <c r="EG1875"/>
      <c r="EH1875"/>
      <c r="EI1875"/>
      <c r="EJ1875"/>
      <c r="EK1875"/>
    </row>
    <row r="1876" spans="1:141" s="116" customFormat="1">
      <c r="A1876" s="136"/>
      <c r="CM1876" s="111"/>
      <c r="CQ1876" s="111"/>
      <c r="EF1876"/>
      <c r="EG1876"/>
      <c r="EH1876"/>
      <c r="EI1876"/>
      <c r="EJ1876"/>
      <c r="EK1876"/>
    </row>
    <row r="1877" spans="1:141" s="116" customFormat="1">
      <c r="A1877" s="136"/>
      <c r="CM1877" s="111"/>
      <c r="CQ1877" s="111"/>
      <c r="EF1877"/>
      <c r="EG1877"/>
      <c r="EH1877"/>
      <c r="EI1877"/>
      <c r="EJ1877"/>
      <c r="EK1877"/>
    </row>
    <row r="1878" spans="1:141" s="116" customFormat="1">
      <c r="A1878" s="136"/>
      <c r="CM1878" s="111"/>
      <c r="CQ1878" s="111"/>
      <c r="EF1878"/>
      <c r="EG1878"/>
      <c r="EH1878"/>
      <c r="EI1878"/>
      <c r="EJ1878"/>
      <c r="EK1878"/>
    </row>
    <row r="1879" spans="1:141" s="116" customFormat="1">
      <c r="A1879" s="136"/>
      <c r="CM1879" s="111"/>
      <c r="CQ1879" s="111"/>
      <c r="EF1879"/>
      <c r="EG1879"/>
      <c r="EH1879"/>
      <c r="EI1879"/>
      <c r="EJ1879"/>
      <c r="EK1879"/>
    </row>
    <row r="1880" spans="1:141" s="116" customFormat="1">
      <c r="A1880" s="136"/>
      <c r="CM1880" s="111"/>
      <c r="CQ1880" s="111"/>
      <c r="EF1880"/>
      <c r="EG1880"/>
      <c r="EH1880"/>
      <c r="EI1880"/>
      <c r="EJ1880"/>
      <c r="EK1880"/>
    </row>
    <row r="1881" spans="1:141" s="116" customFormat="1">
      <c r="A1881" s="136"/>
      <c r="CM1881" s="111"/>
      <c r="CQ1881" s="111"/>
      <c r="EF1881"/>
      <c r="EG1881"/>
      <c r="EH1881"/>
      <c r="EI1881"/>
      <c r="EJ1881"/>
      <c r="EK1881"/>
    </row>
    <row r="1882" spans="1:141" s="116" customFormat="1">
      <c r="A1882" s="136"/>
      <c r="CM1882" s="111"/>
      <c r="CQ1882" s="111"/>
      <c r="EF1882"/>
      <c r="EG1882"/>
      <c r="EH1882"/>
      <c r="EI1882"/>
      <c r="EJ1882"/>
      <c r="EK1882"/>
    </row>
    <row r="1883" spans="1:141" s="116" customFormat="1">
      <c r="A1883" s="136"/>
      <c r="CM1883" s="111"/>
      <c r="CQ1883" s="111"/>
      <c r="EF1883"/>
      <c r="EG1883"/>
      <c r="EH1883"/>
      <c r="EI1883"/>
      <c r="EJ1883"/>
      <c r="EK1883"/>
    </row>
    <row r="1884" spans="1:141" s="116" customFormat="1">
      <c r="A1884" s="136"/>
      <c r="CM1884" s="111"/>
      <c r="CQ1884" s="111"/>
      <c r="EF1884"/>
      <c r="EG1884"/>
      <c r="EH1884"/>
      <c r="EI1884"/>
      <c r="EJ1884"/>
      <c r="EK1884"/>
    </row>
    <row r="1885" spans="1:141" s="116" customFormat="1">
      <c r="A1885" s="136"/>
      <c r="CM1885" s="111"/>
      <c r="CQ1885" s="111"/>
      <c r="EF1885"/>
      <c r="EG1885"/>
      <c r="EH1885"/>
      <c r="EI1885"/>
      <c r="EJ1885"/>
      <c r="EK1885"/>
    </row>
    <row r="1886" spans="1:141" s="116" customFormat="1">
      <c r="A1886" s="136"/>
      <c r="CM1886" s="111"/>
      <c r="CQ1886" s="111"/>
      <c r="EF1886"/>
      <c r="EG1886"/>
      <c r="EH1886"/>
      <c r="EI1886"/>
      <c r="EJ1886"/>
      <c r="EK1886"/>
    </row>
    <row r="1887" spans="1:141" s="116" customFormat="1">
      <c r="A1887" s="136"/>
      <c r="CM1887" s="111"/>
      <c r="CQ1887" s="111"/>
      <c r="EF1887"/>
      <c r="EG1887"/>
      <c r="EH1887"/>
      <c r="EI1887"/>
      <c r="EJ1887"/>
      <c r="EK1887"/>
    </row>
    <row r="1888" spans="1:141" s="116" customFormat="1">
      <c r="A1888" s="136"/>
      <c r="CM1888" s="111"/>
      <c r="CQ1888" s="111"/>
      <c r="EF1888"/>
      <c r="EG1888"/>
      <c r="EH1888"/>
      <c r="EI1888"/>
      <c r="EJ1888"/>
      <c r="EK1888"/>
    </row>
    <row r="1889" spans="1:141" s="116" customFormat="1">
      <c r="A1889" s="136"/>
      <c r="CM1889" s="111"/>
      <c r="CQ1889" s="111"/>
      <c r="EF1889"/>
      <c r="EG1889"/>
      <c r="EH1889"/>
      <c r="EI1889"/>
      <c r="EJ1889"/>
      <c r="EK1889"/>
    </row>
    <row r="1890" spans="1:141" s="116" customFormat="1">
      <c r="A1890" s="136"/>
      <c r="CM1890" s="111"/>
      <c r="CQ1890" s="111"/>
      <c r="EF1890"/>
      <c r="EG1890"/>
      <c r="EH1890"/>
      <c r="EI1890"/>
      <c r="EJ1890"/>
      <c r="EK1890"/>
    </row>
    <row r="1891" spans="1:141" s="116" customFormat="1">
      <c r="A1891" s="136"/>
      <c r="CM1891" s="111"/>
      <c r="CQ1891" s="111"/>
      <c r="EF1891"/>
      <c r="EG1891"/>
      <c r="EH1891"/>
      <c r="EI1891"/>
      <c r="EJ1891"/>
      <c r="EK1891"/>
    </row>
    <row r="1892" spans="1:141" s="116" customFormat="1">
      <c r="A1892" s="136"/>
      <c r="CM1892" s="111"/>
      <c r="CQ1892" s="111"/>
      <c r="EF1892"/>
      <c r="EG1892"/>
      <c r="EH1892"/>
      <c r="EI1892"/>
      <c r="EJ1892"/>
      <c r="EK1892"/>
    </row>
    <row r="1893" spans="1:141" s="116" customFormat="1">
      <c r="A1893" s="136"/>
      <c r="CM1893" s="111"/>
      <c r="CQ1893" s="111"/>
      <c r="EF1893"/>
      <c r="EG1893"/>
      <c r="EH1893"/>
      <c r="EI1893"/>
      <c r="EJ1893"/>
      <c r="EK1893"/>
    </row>
    <row r="1894" spans="1:141" s="116" customFormat="1">
      <c r="A1894" s="136"/>
      <c r="CM1894" s="111"/>
      <c r="CQ1894" s="111"/>
      <c r="EF1894"/>
      <c r="EG1894"/>
      <c r="EH1894"/>
      <c r="EI1894"/>
      <c r="EJ1894"/>
      <c r="EK1894"/>
    </row>
    <row r="1895" spans="1:141" s="116" customFormat="1">
      <c r="A1895" s="136"/>
      <c r="CM1895" s="111"/>
      <c r="CQ1895" s="111"/>
      <c r="EF1895"/>
      <c r="EG1895"/>
      <c r="EH1895"/>
      <c r="EI1895"/>
      <c r="EJ1895"/>
      <c r="EK1895"/>
    </row>
    <row r="1896" spans="1:141" s="116" customFormat="1">
      <c r="A1896" s="136"/>
      <c r="CM1896" s="111"/>
      <c r="CQ1896" s="111"/>
      <c r="EF1896"/>
      <c r="EG1896"/>
      <c r="EH1896"/>
      <c r="EI1896"/>
      <c r="EJ1896"/>
      <c r="EK1896"/>
    </row>
    <row r="1897" spans="1:141" s="116" customFormat="1">
      <c r="A1897" s="136"/>
      <c r="CM1897" s="111"/>
      <c r="CQ1897" s="111"/>
      <c r="EF1897"/>
      <c r="EG1897"/>
      <c r="EH1897"/>
      <c r="EI1897"/>
      <c r="EJ1897"/>
      <c r="EK1897"/>
    </row>
    <row r="1898" spans="1:141" s="116" customFormat="1">
      <c r="A1898" s="136"/>
      <c r="CM1898" s="111"/>
      <c r="CQ1898" s="111"/>
      <c r="EF1898"/>
      <c r="EG1898"/>
      <c r="EH1898"/>
      <c r="EI1898"/>
      <c r="EJ1898"/>
      <c r="EK1898"/>
    </row>
    <row r="1899" spans="1:141" s="116" customFormat="1">
      <c r="A1899" s="136"/>
      <c r="CM1899" s="111"/>
      <c r="CQ1899" s="111"/>
      <c r="EF1899"/>
      <c r="EG1899"/>
      <c r="EH1899"/>
      <c r="EI1899"/>
      <c r="EJ1899"/>
      <c r="EK1899"/>
    </row>
    <row r="1900" spans="1:141" s="116" customFormat="1">
      <c r="A1900" s="136"/>
      <c r="CM1900" s="111"/>
      <c r="CQ1900" s="111"/>
      <c r="EF1900"/>
      <c r="EG1900"/>
      <c r="EH1900"/>
      <c r="EI1900"/>
      <c r="EJ1900"/>
      <c r="EK1900"/>
    </row>
    <row r="1901" spans="1:141" s="116" customFormat="1">
      <c r="A1901" s="136"/>
      <c r="CM1901" s="111"/>
      <c r="CQ1901" s="111"/>
      <c r="EF1901"/>
      <c r="EG1901"/>
      <c r="EH1901"/>
      <c r="EI1901"/>
      <c r="EJ1901"/>
      <c r="EK1901"/>
    </row>
    <row r="1902" spans="1:141" s="116" customFormat="1">
      <c r="A1902" s="136"/>
      <c r="CM1902" s="111"/>
      <c r="CQ1902" s="111"/>
      <c r="EF1902"/>
      <c r="EG1902"/>
      <c r="EH1902"/>
      <c r="EI1902"/>
      <c r="EJ1902"/>
      <c r="EK1902"/>
    </row>
    <row r="1903" spans="1:141" s="116" customFormat="1">
      <c r="A1903" s="136"/>
      <c r="CM1903" s="111"/>
      <c r="CQ1903" s="111"/>
      <c r="EF1903"/>
      <c r="EG1903"/>
      <c r="EH1903"/>
      <c r="EI1903"/>
      <c r="EJ1903"/>
      <c r="EK1903"/>
    </row>
    <row r="1904" spans="1:141" s="116" customFormat="1">
      <c r="A1904" s="136"/>
      <c r="CM1904" s="111"/>
      <c r="CQ1904" s="111"/>
      <c r="EF1904"/>
      <c r="EG1904"/>
      <c r="EH1904"/>
      <c r="EI1904"/>
      <c r="EJ1904"/>
      <c r="EK1904"/>
    </row>
    <row r="1905" spans="1:141" s="116" customFormat="1">
      <c r="A1905" s="136"/>
      <c r="CM1905" s="111"/>
      <c r="CQ1905" s="111"/>
      <c r="EF1905"/>
      <c r="EG1905"/>
      <c r="EH1905"/>
      <c r="EI1905"/>
      <c r="EJ1905"/>
      <c r="EK1905"/>
    </row>
    <row r="1906" spans="1:141" s="116" customFormat="1">
      <c r="A1906" s="136"/>
      <c r="CM1906" s="111"/>
      <c r="CQ1906" s="111"/>
      <c r="EF1906"/>
      <c r="EG1906"/>
      <c r="EH1906"/>
      <c r="EI1906"/>
      <c r="EJ1906"/>
      <c r="EK1906"/>
    </row>
    <row r="1907" spans="1:141" s="116" customFormat="1">
      <c r="A1907" s="136"/>
      <c r="CM1907" s="111"/>
      <c r="CQ1907" s="111"/>
      <c r="EF1907"/>
      <c r="EG1907"/>
      <c r="EH1907"/>
      <c r="EI1907"/>
      <c r="EJ1907"/>
      <c r="EK1907"/>
    </row>
    <row r="1908" spans="1:141" s="116" customFormat="1">
      <c r="A1908" s="136"/>
      <c r="CM1908" s="111"/>
      <c r="CQ1908" s="111"/>
      <c r="EF1908"/>
      <c r="EG1908"/>
      <c r="EH1908"/>
      <c r="EI1908"/>
      <c r="EJ1908"/>
      <c r="EK1908"/>
    </row>
    <row r="1909" spans="1:141" s="116" customFormat="1">
      <c r="A1909" s="136"/>
      <c r="CM1909" s="111"/>
      <c r="CQ1909" s="111"/>
      <c r="EF1909"/>
      <c r="EG1909"/>
      <c r="EH1909"/>
      <c r="EI1909"/>
      <c r="EJ1909"/>
      <c r="EK1909"/>
    </row>
    <row r="1910" spans="1:141" s="116" customFormat="1">
      <c r="A1910" s="136"/>
      <c r="CM1910" s="111"/>
      <c r="CQ1910" s="111"/>
      <c r="EF1910"/>
      <c r="EG1910"/>
      <c r="EH1910"/>
      <c r="EI1910"/>
      <c r="EJ1910"/>
      <c r="EK1910"/>
    </row>
    <row r="1911" spans="1:141" s="116" customFormat="1">
      <c r="A1911" s="136"/>
      <c r="CM1911" s="111"/>
      <c r="CQ1911" s="111"/>
      <c r="EF1911"/>
      <c r="EG1911"/>
      <c r="EH1911"/>
      <c r="EI1911"/>
      <c r="EJ1911"/>
      <c r="EK1911"/>
    </row>
    <row r="1912" spans="1:141" s="116" customFormat="1">
      <c r="A1912" s="136"/>
      <c r="CM1912" s="111"/>
      <c r="CQ1912" s="111"/>
      <c r="EF1912"/>
      <c r="EG1912"/>
      <c r="EH1912"/>
      <c r="EI1912"/>
      <c r="EJ1912"/>
      <c r="EK1912"/>
    </row>
    <row r="1913" spans="1:141" s="116" customFormat="1">
      <c r="A1913" s="136"/>
      <c r="CM1913" s="111"/>
      <c r="CQ1913" s="111"/>
      <c r="EF1913"/>
      <c r="EG1913"/>
      <c r="EH1913"/>
      <c r="EI1913"/>
      <c r="EJ1913"/>
      <c r="EK1913"/>
    </row>
    <row r="1914" spans="1:141" s="116" customFormat="1">
      <c r="A1914" s="136"/>
      <c r="CM1914" s="111"/>
      <c r="CQ1914" s="111"/>
      <c r="EF1914"/>
      <c r="EG1914"/>
      <c r="EH1914"/>
      <c r="EI1914"/>
      <c r="EJ1914"/>
      <c r="EK1914"/>
    </row>
    <row r="1915" spans="1:141" s="116" customFormat="1">
      <c r="A1915" s="136"/>
      <c r="CM1915" s="111"/>
      <c r="CQ1915" s="111"/>
      <c r="EF1915"/>
      <c r="EG1915"/>
      <c r="EH1915"/>
      <c r="EI1915"/>
      <c r="EJ1915"/>
      <c r="EK1915"/>
    </row>
    <row r="1916" spans="1:141" s="116" customFormat="1">
      <c r="A1916" s="136"/>
      <c r="CM1916" s="111"/>
      <c r="CQ1916" s="111"/>
      <c r="EF1916"/>
      <c r="EG1916"/>
      <c r="EH1916"/>
      <c r="EI1916"/>
      <c r="EJ1916"/>
      <c r="EK1916"/>
    </row>
    <row r="1917" spans="1:141" s="116" customFormat="1">
      <c r="A1917" s="136"/>
      <c r="CM1917" s="111"/>
      <c r="CQ1917" s="111"/>
      <c r="EF1917"/>
      <c r="EG1917"/>
      <c r="EH1917"/>
      <c r="EI1917"/>
      <c r="EJ1917"/>
      <c r="EK1917"/>
    </row>
    <row r="1918" spans="1:141" s="116" customFormat="1">
      <c r="A1918" s="136"/>
      <c r="CM1918" s="111"/>
      <c r="CQ1918" s="111"/>
      <c r="EF1918"/>
      <c r="EG1918"/>
      <c r="EH1918"/>
      <c r="EI1918"/>
      <c r="EJ1918"/>
      <c r="EK1918"/>
    </row>
    <row r="1919" spans="1:141" s="116" customFormat="1">
      <c r="A1919" s="136"/>
      <c r="CM1919" s="111"/>
      <c r="CQ1919" s="111"/>
      <c r="EF1919"/>
      <c r="EG1919"/>
      <c r="EH1919"/>
      <c r="EI1919"/>
      <c r="EJ1919"/>
      <c r="EK1919"/>
    </row>
    <row r="1920" spans="1:141" s="116" customFormat="1">
      <c r="A1920" s="136"/>
      <c r="CM1920" s="111"/>
      <c r="CQ1920" s="111"/>
      <c r="EF1920"/>
      <c r="EG1920"/>
      <c r="EH1920"/>
      <c r="EI1920"/>
      <c r="EJ1920"/>
      <c r="EK1920"/>
    </row>
    <row r="1921" spans="1:141" s="116" customFormat="1">
      <c r="A1921" s="136"/>
      <c r="CM1921" s="111"/>
      <c r="CQ1921" s="111"/>
      <c r="EF1921"/>
      <c r="EG1921"/>
      <c r="EH1921"/>
      <c r="EI1921"/>
      <c r="EJ1921"/>
      <c r="EK1921"/>
    </row>
    <row r="1922" spans="1:141" s="116" customFormat="1">
      <c r="A1922" s="136"/>
      <c r="CM1922" s="111"/>
      <c r="CQ1922" s="111"/>
      <c r="EF1922"/>
      <c r="EG1922"/>
      <c r="EH1922"/>
      <c r="EI1922"/>
      <c r="EJ1922"/>
      <c r="EK1922"/>
    </row>
    <row r="1923" spans="1:141" s="116" customFormat="1">
      <c r="A1923" s="136"/>
      <c r="CM1923" s="111"/>
      <c r="CQ1923" s="111"/>
      <c r="EF1923"/>
      <c r="EG1923"/>
      <c r="EH1923"/>
      <c r="EI1923"/>
      <c r="EJ1923"/>
      <c r="EK1923"/>
    </row>
    <row r="1924" spans="1:141" s="116" customFormat="1">
      <c r="A1924" s="136"/>
      <c r="CM1924" s="111"/>
      <c r="CQ1924" s="111"/>
      <c r="EF1924"/>
      <c r="EG1924"/>
      <c r="EH1924"/>
      <c r="EI1924"/>
      <c r="EJ1924"/>
      <c r="EK1924"/>
    </row>
    <row r="1925" spans="1:141" s="116" customFormat="1">
      <c r="A1925" s="136"/>
      <c r="CM1925" s="111"/>
      <c r="CQ1925" s="111"/>
      <c r="EF1925"/>
      <c r="EG1925"/>
      <c r="EH1925"/>
      <c r="EI1925"/>
      <c r="EJ1925"/>
      <c r="EK1925"/>
    </row>
    <row r="1926" spans="1:141" s="116" customFormat="1">
      <c r="A1926" s="136"/>
      <c r="CM1926" s="111"/>
      <c r="CQ1926" s="111"/>
      <c r="EF1926"/>
      <c r="EG1926"/>
      <c r="EH1926"/>
      <c r="EI1926"/>
      <c r="EJ1926"/>
      <c r="EK1926"/>
    </row>
    <row r="1927" spans="1:141" s="116" customFormat="1">
      <c r="A1927" s="136"/>
      <c r="CM1927" s="111"/>
      <c r="CQ1927" s="111"/>
      <c r="EF1927"/>
      <c r="EG1927"/>
      <c r="EH1927"/>
      <c r="EI1927"/>
      <c r="EJ1927"/>
      <c r="EK1927"/>
    </row>
    <row r="1928" spans="1:141" s="116" customFormat="1">
      <c r="A1928" s="136"/>
      <c r="CM1928" s="111"/>
      <c r="CQ1928" s="111"/>
      <c r="EF1928"/>
      <c r="EG1928"/>
      <c r="EH1928"/>
      <c r="EI1928"/>
      <c r="EJ1928"/>
      <c r="EK1928"/>
    </row>
    <row r="1929" spans="1:141" s="116" customFormat="1">
      <c r="A1929" s="136"/>
      <c r="CM1929" s="111"/>
      <c r="CQ1929" s="111"/>
      <c r="EF1929"/>
      <c r="EG1929"/>
      <c r="EH1929"/>
      <c r="EI1929"/>
      <c r="EJ1929"/>
      <c r="EK1929"/>
    </row>
    <row r="1930" spans="1:141" s="116" customFormat="1">
      <c r="A1930" s="136"/>
      <c r="CM1930" s="111"/>
      <c r="CQ1930" s="111"/>
      <c r="EF1930"/>
      <c r="EG1930"/>
      <c r="EH1930"/>
      <c r="EI1930"/>
      <c r="EJ1930"/>
      <c r="EK1930"/>
    </row>
    <row r="1931" spans="1:141" s="116" customFormat="1">
      <c r="A1931" s="136"/>
      <c r="CM1931" s="111"/>
      <c r="CQ1931" s="111"/>
      <c r="EF1931"/>
      <c r="EG1931"/>
      <c r="EH1931"/>
      <c r="EI1931"/>
      <c r="EJ1931"/>
      <c r="EK1931"/>
    </row>
    <row r="1932" spans="1:141" s="116" customFormat="1">
      <c r="A1932" s="136"/>
      <c r="CM1932" s="111"/>
      <c r="CQ1932" s="111"/>
      <c r="EF1932"/>
      <c r="EG1932"/>
      <c r="EH1932"/>
      <c r="EI1932"/>
      <c r="EJ1932"/>
      <c r="EK1932"/>
    </row>
    <row r="1933" spans="1:141" s="116" customFormat="1">
      <c r="A1933" s="136"/>
      <c r="CM1933" s="111"/>
      <c r="CQ1933" s="111"/>
      <c r="EF1933"/>
      <c r="EG1933"/>
      <c r="EH1933"/>
      <c r="EI1933"/>
      <c r="EJ1933"/>
      <c r="EK1933"/>
    </row>
    <row r="1934" spans="1:141" s="116" customFormat="1">
      <c r="A1934" s="136"/>
      <c r="CM1934" s="111"/>
      <c r="CQ1934" s="111"/>
      <c r="EF1934"/>
      <c r="EG1934"/>
      <c r="EH1934"/>
      <c r="EI1934"/>
      <c r="EJ1934"/>
      <c r="EK1934"/>
    </row>
    <row r="1935" spans="1:141" s="116" customFormat="1">
      <c r="A1935" s="136"/>
      <c r="CM1935" s="111"/>
      <c r="CQ1935" s="111"/>
      <c r="EF1935"/>
      <c r="EG1935"/>
      <c r="EH1935"/>
      <c r="EI1935"/>
      <c r="EJ1935"/>
      <c r="EK1935"/>
    </row>
    <row r="1936" spans="1:141" s="116" customFormat="1">
      <c r="A1936" s="136"/>
      <c r="CM1936" s="111"/>
      <c r="CQ1936" s="111"/>
      <c r="EF1936"/>
      <c r="EG1936"/>
      <c r="EH1936"/>
      <c r="EI1936"/>
      <c r="EJ1936"/>
      <c r="EK1936"/>
    </row>
    <row r="1937" spans="1:141" s="116" customFormat="1">
      <c r="A1937" s="136"/>
      <c r="CM1937" s="111"/>
      <c r="CQ1937" s="111"/>
      <c r="EF1937"/>
      <c r="EG1937"/>
      <c r="EH1937"/>
      <c r="EI1937"/>
      <c r="EJ1937"/>
      <c r="EK1937"/>
    </row>
    <row r="1938" spans="1:141" s="116" customFormat="1">
      <c r="A1938" s="136"/>
      <c r="CM1938" s="111"/>
      <c r="CQ1938" s="111"/>
      <c r="EF1938"/>
      <c r="EG1938"/>
      <c r="EH1938"/>
      <c r="EI1938"/>
      <c r="EJ1938"/>
      <c r="EK1938"/>
    </row>
    <row r="1939" spans="1:141" s="116" customFormat="1">
      <c r="A1939" s="136"/>
      <c r="CM1939" s="111"/>
      <c r="CQ1939" s="111"/>
      <c r="EF1939"/>
      <c r="EG1939"/>
      <c r="EH1939"/>
      <c r="EI1939"/>
      <c r="EJ1939"/>
      <c r="EK1939"/>
    </row>
    <row r="1940" spans="1:141" s="116" customFormat="1">
      <c r="A1940" s="136"/>
      <c r="CM1940" s="111"/>
      <c r="CQ1940" s="111"/>
      <c r="EF1940"/>
      <c r="EG1940"/>
      <c r="EH1940"/>
      <c r="EI1940"/>
      <c r="EJ1940"/>
      <c r="EK1940"/>
    </row>
    <row r="1941" spans="1:141" s="116" customFormat="1">
      <c r="A1941" s="136"/>
      <c r="CM1941" s="111"/>
      <c r="CQ1941" s="111"/>
      <c r="EF1941"/>
      <c r="EG1941"/>
      <c r="EH1941"/>
      <c r="EI1941"/>
      <c r="EJ1941"/>
      <c r="EK1941"/>
    </row>
    <row r="1942" spans="1:141" s="116" customFormat="1">
      <c r="A1942" s="136"/>
      <c r="CM1942" s="111"/>
      <c r="CQ1942" s="111"/>
      <c r="EF1942"/>
      <c r="EG1942"/>
      <c r="EH1942"/>
      <c r="EI1942"/>
      <c r="EJ1942"/>
      <c r="EK1942"/>
    </row>
    <row r="1943" spans="1:141" s="116" customFormat="1">
      <c r="A1943" s="136"/>
      <c r="CM1943" s="111"/>
      <c r="CQ1943" s="111"/>
      <c r="EF1943"/>
      <c r="EG1943"/>
      <c r="EH1943"/>
      <c r="EI1943"/>
      <c r="EJ1943"/>
      <c r="EK1943"/>
    </row>
    <row r="1944" spans="1:141" s="116" customFormat="1">
      <c r="A1944" s="136"/>
      <c r="CM1944" s="111"/>
      <c r="CQ1944" s="111"/>
      <c r="EF1944"/>
      <c r="EG1944"/>
      <c r="EH1944"/>
      <c r="EI1944"/>
      <c r="EJ1944"/>
      <c r="EK1944"/>
    </row>
    <row r="1945" spans="1:141" s="116" customFormat="1">
      <c r="A1945" s="136"/>
      <c r="CM1945" s="111"/>
      <c r="CQ1945" s="111"/>
      <c r="EF1945"/>
      <c r="EG1945"/>
      <c r="EH1945"/>
      <c r="EI1945"/>
      <c r="EJ1945"/>
      <c r="EK1945"/>
    </row>
    <row r="1946" spans="1:141" s="116" customFormat="1">
      <c r="A1946" s="136"/>
      <c r="CM1946" s="111"/>
      <c r="CQ1946" s="111"/>
      <c r="EF1946"/>
      <c r="EG1946"/>
      <c r="EH1946"/>
      <c r="EI1946"/>
      <c r="EJ1946"/>
      <c r="EK1946"/>
    </row>
    <row r="1947" spans="1:141" s="116" customFormat="1">
      <c r="A1947" s="136"/>
      <c r="CM1947" s="111"/>
      <c r="CQ1947" s="111"/>
      <c r="EF1947"/>
      <c r="EG1947"/>
      <c r="EH1947"/>
      <c r="EI1947"/>
      <c r="EJ1947"/>
      <c r="EK1947"/>
    </row>
    <row r="1948" spans="1:141" s="116" customFormat="1">
      <c r="A1948" s="136"/>
      <c r="CM1948" s="111"/>
      <c r="CQ1948" s="111"/>
      <c r="EF1948"/>
      <c r="EG1948"/>
      <c r="EH1948"/>
      <c r="EI1948"/>
      <c r="EJ1948"/>
      <c r="EK1948"/>
    </row>
    <row r="1949" spans="1:141" s="116" customFormat="1">
      <c r="A1949" s="136"/>
      <c r="CM1949" s="111"/>
      <c r="CQ1949" s="111"/>
      <c r="EF1949"/>
      <c r="EG1949"/>
      <c r="EH1949"/>
      <c r="EI1949"/>
      <c r="EJ1949"/>
      <c r="EK1949"/>
    </row>
    <row r="1950" spans="1:141" s="116" customFormat="1">
      <c r="A1950" s="136"/>
      <c r="CM1950" s="111"/>
      <c r="CQ1950" s="111"/>
      <c r="EF1950"/>
      <c r="EG1950"/>
      <c r="EH1950"/>
      <c r="EI1950"/>
      <c r="EJ1950"/>
      <c r="EK1950"/>
    </row>
    <row r="1951" spans="1:141" s="116" customFormat="1">
      <c r="A1951" s="136"/>
      <c r="CM1951" s="111"/>
      <c r="CQ1951" s="111"/>
      <c r="EF1951"/>
      <c r="EG1951"/>
      <c r="EH1951"/>
      <c r="EI1951"/>
      <c r="EJ1951"/>
      <c r="EK1951"/>
    </row>
    <row r="1952" spans="1:141" s="116" customFormat="1">
      <c r="A1952" s="136"/>
      <c r="CM1952" s="111"/>
      <c r="CQ1952" s="111"/>
      <c r="EF1952"/>
      <c r="EG1952"/>
      <c r="EH1952"/>
      <c r="EI1952"/>
      <c r="EJ1952"/>
      <c r="EK1952"/>
    </row>
    <row r="1953" spans="1:141" s="116" customFormat="1">
      <c r="A1953" s="136"/>
      <c r="CM1953" s="111"/>
      <c r="CQ1953" s="111"/>
      <c r="EF1953"/>
      <c r="EG1953"/>
      <c r="EH1953"/>
      <c r="EI1953"/>
      <c r="EJ1953"/>
      <c r="EK1953"/>
    </row>
    <row r="1954" spans="1:141" s="116" customFormat="1">
      <c r="A1954" s="136"/>
      <c r="CM1954" s="111"/>
      <c r="CQ1954" s="111"/>
      <c r="EF1954"/>
      <c r="EG1954"/>
      <c r="EH1954"/>
      <c r="EI1954"/>
      <c r="EJ1954"/>
      <c r="EK1954"/>
    </row>
    <row r="1955" spans="1:141" s="116" customFormat="1">
      <c r="A1955" s="136"/>
      <c r="CM1955" s="111"/>
      <c r="CQ1955" s="111"/>
      <c r="EF1955"/>
      <c r="EG1955"/>
      <c r="EH1955"/>
      <c r="EI1955"/>
      <c r="EJ1955"/>
      <c r="EK1955"/>
    </row>
    <row r="1956" spans="1:141" s="116" customFormat="1">
      <c r="A1956" s="136"/>
      <c r="CM1956" s="111"/>
      <c r="CQ1956" s="111"/>
      <c r="EF1956"/>
      <c r="EG1956"/>
      <c r="EH1956"/>
      <c r="EI1956"/>
      <c r="EJ1956"/>
      <c r="EK1956"/>
    </row>
    <row r="1957" spans="1:141" s="116" customFormat="1">
      <c r="A1957" s="136"/>
      <c r="CM1957" s="111"/>
      <c r="CQ1957" s="111"/>
      <c r="EF1957"/>
      <c r="EG1957"/>
      <c r="EH1957"/>
      <c r="EI1957"/>
      <c r="EJ1957"/>
      <c r="EK1957"/>
    </row>
    <row r="1958" spans="1:141" s="116" customFormat="1">
      <c r="A1958" s="136"/>
      <c r="CM1958" s="111"/>
      <c r="CQ1958" s="111"/>
      <c r="EF1958"/>
      <c r="EG1958"/>
      <c r="EH1958"/>
      <c r="EI1958"/>
      <c r="EJ1958"/>
      <c r="EK1958"/>
    </row>
    <row r="1959" spans="1:141" s="116" customFormat="1">
      <c r="A1959" s="136"/>
      <c r="CM1959" s="111"/>
      <c r="CQ1959" s="111"/>
      <c r="EF1959"/>
      <c r="EG1959"/>
      <c r="EH1959"/>
      <c r="EI1959"/>
      <c r="EJ1959"/>
      <c r="EK1959"/>
    </row>
    <row r="1960" spans="1:141" s="116" customFormat="1">
      <c r="A1960" s="136"/>
      <c r="CM1960" s="111"/>
      <c r="CQ1960" s="111"/>
      <c r="EF1960"/>
      <c r="EG1960"/>
      <c r="EH1960"/>
      <c r="EI1960"/>
      <c r="EJ1960"/>
      <c r="EK1960"/>
    </row>
    <row r="1961" spans="1:141" s="116" customFormat="1">
      <c r="A1961" s="136"/>
      <c r="CM1961" s="111"/>
      <c r="CQ1961" s="111"/>
      <c r="EF1961"/>
      <c r="EG1961"/>
      <c r="EH1961"/>
      <c r="EI1961"/>
      <c r="EJ1961"/>
      <c r="EK1961"/>
    </row>
    <row r="1962" spans="1:141" s="116" customFormat="1">
      <c r="A1962" s="136"/>
      <c r="CM1962" s="111"/>
      <c r="CQ1962" s="111"/>
      <c r="EF1962"/>
      <c r="EG1962"/>
      <c r="EH1962"/>
      <c r="EI1962"/>
      <c r="EJ1962"/>
      <c r="EK1962"/>
    </row>
    <row r="1963" spans="1:141" s="116" customFormat="1">
      <c r="A1963" s="136"/>
      <c r="CM1963" s="111"/>
      <c r="CQ1963" s="111"/>
      <c r="EF1963"/>
      <c r="EG1963"/>
      <c r="EH1963"/>
      <c r="EI1963"/>
      <c r="EJ1963"/>
      <c r="EK1963"/>
    </row>
    <row r="1964" spans="1:141" s="116" customFormat="1">
      <c r="A1964" s="136"/>
      <c r="CM1964" s="111"/>
      <c r="CQ1964" s="111"/>
      <c r="EF1964"/>
      <c r="EG1964"/>
      <c r="EH1964"/>
      <c r="EI1964"/>
      <c r="EJ1964"/>
      <c r="EK1964"/>
    </row>
    <row r="1965" spans="1:141" s="116" customFormat="1">
      <c r="A1965" s="136"/>
      <c r="CM1965" s="111"/>
      <c r="CQ1965" s="111"/>
      <c r="EF1965"/>
      <c r="EG1965"/>
      <c r="EH1965"/>
      <c r="EI1965"/>
      <c r="EJ1965"/>
      <c r="EK1965"/>
    </row>
    <row r="1966" spans="1:141" s="116" customFormat="1">
      <c r="A1966" s="136"/>
      <c r="CM1966" s="111"/>
      <c r="CQ1966" s="111"/>
      <c r="EF1966"/>
      <c r="EG1966"/>
      <c r="EH1966"/>
      <c r="EI1966"/>
      <c r="EJ1966"/>
      <c r="EK1966"/>
    </row>
    <row r="1967" spans="1:141" s="116" customFormat="1">
      <c r="A1967" s="136"/>
      <c r="CM1967" s="111"/>
      <c r="CQ1967" s="111"/>
      <c r="EF1967"/>
      <c r="EG1967"/>
      <c r="EH1967"/>
      <c r="EI1967"/>
      <c r="EJ1967"/>
      <c r="EK1967"/>
    </row>
    <row r="1968" spans="1:141" s="116" customFormat="1">
      <c r="A1968" s="136"/>
      <c r="CM1968" s="111"/>
      <c r="CQ1968" s="111"/>
      <c r="EF1968"/>
      <c r="EG1968"/>
      <c r="EH1968"/>
      <c r="EI1968"/>
      <c r="EJ1968"/>
      <c r="EK1968"/>
    </row>
    <row r="1969" spans="1:141" s="116" customFormat="1">
      <c r="A1969" s="136"/>
      <c r="CM1969" s="111"/>
      <c r="CQ1969" s="111"/>
      <c r="EF1969"/>
      <c r="EG1969"/>
      <c r="EH1969"/>
      <c r="EI1969"/>
      <c r="EJ1969"/>
      <c r="EK1969"/>
    </row>
    <row r="1970" spans="1:141" s="116" customFormat="1">
      <c r="A1970" s="136"/>
      <c r="CM1970" s="111"/>
      <c r="CQ1970" s="111"/>
      <c r="EF1970"/>
      <c r="EG1970"/>
      <c r="EH1970"/>
      <c r="EI1970"/>
      <c r="EJ1970"/>
      <c r="EK1970"/>
    </row>
    <row r="1971" spans="1:141" s="116" customFormat="1">
      <c r="A1971" s="136"/>
      <c r="CM1971" s="111"/>
      <c r="CQ1971" s="111"/>
      <c r="EF1971"/>
      <c r="EG1971"/>
      <c r="EH1971"/>
      <c r="EI1971"/>
      <c r="EJ1971"/>
      <c r="EK1971"/>
    </row>
    <row r="1972" spans="1:141" s="116" customFormat="1">
      <c r="A1972" s="136"/>
      <c r="CM1972" s="111"/>
      <c r="CQ1972" s="111"/>
      <c r="EF1972"/>
      <c r="EG1972"/>
      <c r="EH1972"/>
      <c r="EI1972"/>
      <c r="EJ1972"/>
      <c r="EK1972"/>
    </row>
    <row r="1973" spans="1:141" s="116" customFormat="1">
      <c r="A1973" s="136"/>
      <c r="CM1973" s="111"/>
      <c r="CQ1973" s="111"/>
      <c r="EF1973"/>
      <c r="EG1973"/>
      <c r="EH1973"/>
      <c r="EI1973"/>
      <c r="EJ1973"/>
      <c r="EK1973"/>
    </row>
    <row r="1974" spans="1:141" s="116" customFormat="1">
      <c r="A1974" s="136"/>
      <c r="CM1974" s="111"/>
      <c r="CQ1974" s="111"/>
      <c r="EF1974"/>
      <c r="EG1974"/>
      <c r="EH1974"/>
      <c r="EI1974"/>
      <c r="EJ1974"/>
      <c r="EK1974"/>
    </row>
    <row r="1975" spans="1:141" s="116" customFormat="1">
      <c r="A1975" s="136"/>
      <c r="CM1975" s="111"/>
      <c r="CQ1975" s="111"/>
      <c r="EF1975"/>
      <c r="EG1975"/>
      <c r="EH1975"/>
      <c r="EI1975"/>
      <c r="EJ1975"/>
      <c r="EK1975"/>
    </row>
    <row r="1976" spans="1:141" s="116" customFormat="1">
      <c r="A1976" s="136"/>
      <c r="CM1976" s="111"/>
      <c r="CQ1976" s="111"/>
      <c r="EF1976"/>
      <c r="EG1976"/>
      <c r="EH1976"/>
      <c r="EI1976"/>
      <c r="EJ1976"/>
      <c r="EK1976"/>
    </row>
    <row r="1977" spans="1:141" s="116" customFormat="1">
      <c r="A1977" s="136"/>
      <c r="CM1977" s="111"/>
      <c r="CQ1977" s="111"/>
      <c r="EF1977"/>
      <c r="EG1977"/>
      <c r="EH1977"/>
      <c r="EI1977"/>
      <c r="EJ1977"/>
      <c r="EK1977"/>
    </row>
    <row r="1978" spans="1:141" s="116" customFormat="1">
      <c r="A1978" s="136"/>
      <c r="CM1978" s="111"/>
      <c r="CQ1978" s="111"/>
      <c r="EF1978"/>
      <c r="EG1978"/>
      <c r="EH1978"/>
      <c r="EI1978"/>
      <c r="EJ1978"/>
      <c r="EK1978"/>
    </row>
    <row r="1979" spans="1:141" s="116" customFormat="1">
      <c r="A1979" s="136"/>
      <c r="CM1979" s="111"/>
      <c r="CQ1979" s="111"/>
      <c r="EF1979"/>
      <c r="EG1979"/>
      <c r="EH1979"/>
      <c r="EI1979"/>
      <c r="EJ1979"/>
      <c r="EK1979"/>
    </row>
    <row r="1980" spans="1:141" s="116" customFormat="1">
      <c r="A1980" s="136"/>
      <c r="CM1980" s="111"/>
      <c r="CQ1980" s="111"/>
      <c r="EF1980"/>
      <c r="EG1980"/>
      <c r="EH1980"/>
      <c r="EI1980"/>
      <c r="EJ1980"/>
      <c r="EK1980"/>
    </row>
    <row r="1981" spans="1:141" s="116" customFormat="1">
      <c r="A1981" s="136"/>
      <c r="CM1981" s="111"/>
      <c r="CQ1981" s="111"/>
      <c r="EF1981"/>
      <c r="EG1981"/>
      <c r="EH1981"/>
      <c r="EI1981"/>
      <c r="EJ1981"/>
      <c r="EK1981"/>
    </row>
    <row r="1982" spans="1:141" s="116" customFormat="1">
      <c r="A1982" s="136"/>
      <c r="CM1982" s="111"/>
      <c r="CQ1982" s="111"/>
      <c r="EF1982"/>
      <c r="EG1982"/>
      <c r="EH1982"/>
      <c r="EI1982"/>
      <c r="EJ1982"/>
      <c r="EK1982"/>
    </row>
    <row r="1983" spans="1:141" s="116" customFormat="1">
      <c r="A1983" s="136"/>
      <c r="CM1983" s="111"/>
      <c r="CQ1983" s="111"/>
      <c r="EF1983"/>
      <c r="EG1983"/>
      <c r="EH1983"/>
      <c r="EI1983"/>
      <c r="EJ1983"/>
      <c r="EK1983"/>
    </row>
    <row r="1984" spans="1:141" s="116" customFormat="1">
      <c r="A1984" s="136"/>
      <c r="CM1984" s="111"/>
      <c r="CQ1984" s="111"/>
      <c r="EF1984"/>
      <c r="EG1984"/>
      <c r="EH1984"/>
      <c r="EI1984"/>
      <c r="EJ1984"/>
      <c r="EK1984"/>
    </row>
    <row r="1985" spans="1:141" s="116" customFormat="1">
      <c r="A1985" s="136"/>
      <c r="CM1985" s="111"/>
      <c r="CQ1985" s="111"/>
      <c r="EF1985"/>
      <c r="EG1985"/>
      <c r="EH1985"/>
      <c r="EI1985"/>
      <c r="EJ1985"/>
      <c r="EK1985"/>
    </row>
    <row r="1986" spans="1:141" s="116" customFormat="1">
      <c r="A1986" s="136"/>
      <c r="CM1986" s="111"/>
      <c r="CQ1986" s="111"/>
      <c r="EF1986"/>
      <c r="EG1986"/>
      <c r="EH1986"/>
      <c r="EI1986"/>
      <c r="EJ1986"/>
      <c r="EK1986"/>
    </row>
    <row r="1987" spans="1:141" s="116" customFormat="1">
      <c r="A1987" s="136"/>
      <c r="CM1987" s="111"/>
      <c r="CQ1987" s="111"/>
      <c r="EF1987"/>
      <c r="EG1987"/>
      <c r="EH1987"/>
      <c r="EI1987"/>
      <c r="EJ1987"/>
      <c r="EK1987"/>
    </row>
    <row r="1988" spans="1:141" s="116" customFormat="1">
      <c r="A1988" s="136"/>
      <c r="CM1988" s="111"/>
      <c r="CQ1988" s="111"/>
      <c r="EF1988"/>
      <c r="EG1988"/>
      <c r="EH1988"/>
      <c r="EI1988"/>
      <c r="EJ1988"/>
      <c r="EK1988"/>
    </row>
    <row r="1989" spans="1:141" s="116" customFormat="1">
      <c r="A1989" s="136"/>
      <c r="CM1989" s="111"/>
      <c r="CQ1989" s="111"/>
      <c r="EF1989"/>
      <c r="EG1989"/>
      <c r="EH1989"/>
      <c r="EI1989"/>
      <c r="EJ1989"/>
      <c r="EK1989"/>
    </row>
    <row r="1990" spans="1:141" s="116" customFormat="1">
      <c r="A1990" s="136"/>
      <c r="CM1990" s="111"/>
      <c r="CQ1990" s="111"/>
      <c r="EF1990"/>
      <c r="EG1990"/>
      <c r="EH1990"/>
      <c r="EI1990"/>
      <c r="EJ1990"/>
      <c r="EK1990"/>
    </row>
    <row r="1991" spans="1:141" s="116" customFormat="1">
      <c r="A1991" s="136"/>
      <c r="CM1991" s="111"/>
      <c r="CQ1991" s="111"/>
      <c r="EF1991"/>
      <c r="EG1991"/>
      <c r="EH1991"/>
      <c r="EI1991"/>
      <c r="EJ1991"/>
      <c r="EK1991"/>
    </row>
    <row r="1992" spans="1:141" s="116" customFormat="1">
      <c r="A1992" s="136"/>
      <c r="CM1992" s="111"/>
      <c r="CQ1992" s="111"/>
      <c r="EF1992"/>
      <c r="EG1992"/>
      <c r="EH1992"/>
      <c r="EI1992"/>
      <c r="EJ1992"/>
      <c r="EK1992"/>
    </row>
    <row r="1993" spans="1:141" s="116" customFormat="1">
      <c r="A1993" s="136"/>
      <c r="CM1993" s="111"/>
      <c r="CQ1993" s="111"/>
      <c r="EF1993"/>
      <c r="EG1993"/>
      <c r="EH1993"/>
      <c r="EI1993"/>
      <c r="EJ1993"/>
      <c r="EK1993"/>
    </row>
    <row r="1994" spans="1:141" s="116" customFormat="1">
      <c r="A1994" s="136"/>
      <c r="CM1994" s="111"/>
      <c r="CQ1994" s="111"/>
      <c r="EF1994"/>
      <c r="EG1994"/>
      <c r="EH1994"/>
      <c r="EI1994"/>
      <c r="EJ1994"/>
      <c r="EK1994"/>
    </row>
    <row r="1995" spans="1:141" s="116" customFormat="1">
      <c r="A1995" s="136"/>
      <c r="CM1995" s="111"/>
      <c r="CQ1995" s="111"/>
      <c r="EF1995"/>
      <c r="EG1995"/>
      <c r="EH1995"/>
      <c r="EI1995"/>
      <c r="EJ1995"/>
      <c r="EK1995"/>
    </row>
    <row r="1996" spans="1:141" s="116" customFormat="1">
      <c r="A1996" s="136"/>
      <c r="CM1996" s="111"/>
      <c r="CQ1996" s="111"/>
      <c r="EF1996"/>
      <c r="EG1996"/>
      <c r="EH1996"/>
      <c r="EI1996"/>
      <c r="EJ1996"/>
      <c r="EK1996"/>
    </row>
    <row r="1997" spans="1:141" s="116" customFormat="1">
      <c r="A1997" s="136"/>
      <c r="CM1997" s="111"/>
      <c r="CQ1997" s="111"/>
      <c r="EF1997"/>
      <c r="EG1997"/>
      <c r="EH1997"/>
      <c r="EI1997"/>
      <c r="EJ1997"/>
      <c r="EK1997"/>
    </row>
    <row r="1998" spans="1:141" s="116" customFormat="1">
      <c r="A1998" s="136"/>
      <c r="CM1998" s="111"/>
      <c r="CQ1998" s="111"/>
      <c r="EF1998"/>
      <c r="EG1998"/>
      <c r="EH1998"/>
      <c r="EI1998"/>
      <c r="EJ1998"/>
      <c r="EK1998"/>
    </row>
    <row r="1999" spans="1:141" s="116" customFormat="1">
      <c r="A1999" s="136"/>
      <c r="CM1999" s="111"/>
      <c r="CQ1999" s="111"/>
      <c r="EF1999"/>
      <c r="EG1999"/>
      <c r="EH1999"/>
      <c r="EI1999"/>
      <c r="EJ1999"/>
      <c r="EK1999"/>
    </row>
    <row r="2000" spans="1:141" s="116" customFormat="1">
      <c r="A2000" s="136"/>
      <c r="CM2000" s="111"/>
      <c r="CQ2000" s="111"/>
      <c r="EF2000"/>
      <c r="EG2000"/>
      <c r="EH2000"/>
      <c r="EI2000"/>
      <c r="EJ2000"/>
      <c r="EK2000"/>
    </row>
    <row r="2001" spans="1:141" s="116" customFormat="1">
      <c r="A2001" s="136"/>
      <c r="CM2001" s="111"/>
      <c r="CQ2001" s="111"/>
      <c r="EF2001"/>
      <c r="EG2001"/>
      <c r="EH2001"/>
      <c r="EI2001"/>
      <c r="EJ2001"/>
      <c r="EK2001"/>
    </row>
    <row r="2002" spans="1:141" s="116" customFormat="1">
      <c r="A2002" s="136"/>
      <c r="CM2002" s="111"/>
      <c r="CQ2002" s="111"/>
      <c r="EF2002"/>
      <c r="EG2002"/>
      <c r="EH2002"/>
      <c r="EI2002"/>
      <c r="EJ2002"/>
      <c r="EK2002"/>
    </row>
    <row r="2003" spans="1:141" s="116" customFormat="1">
      <c r="A2003" s="136"/>
      <c r="CM2003" s="111"/>
      <c r="CQ2003" s="111"/>
      <c r="EF2003"/>
      <c r="EG2003"/>
      <c r="EH2003"/>
      <c r="EI2003"/>
      <c r="EJ2003"/>
      <c r="EK2003"/>
    </row>
    <row r="2004" spans="1:141" s="116" customFormat="1">
      <c r="A2004" s="136"/>
      <c r="CM2004" s="111"/>
      <c r="CQ2004" s="111"/>
      <c r="EF2004"/>
      <c r="EG2004"/>
      <c r="EH2004"/>
      <c r="EI2004"/>
      <c r="EJ2004"/>
      <c r="EK2004"/>
    </row>
    <row r="2005" spans="1:141" s="116" customFormat="1">
      <c r="A2005" s="136"/>
      <c r="CM2005" s="111"/>
      <c r="CQ2005" s="111"/>
      <c r="EF2005"/>
      <c r="EG2005"/>
      <c r="EH2005"/>
      <c r="EI2005"/>
      <c r="EJ2005"/>
      <c r="EK2005"/>
    </row>
    <row r="2006" spans="1:141" s="116" customFormat="1">
      <c r="A2006" s="136"/>
      <c r="CM2006" s="111"/>
      <c r="CQ2006" s="111"/>
      <c r="EF2006"/>
      <c r="EG2006"/>
      <c r="EH2006"/>
      <c r="EI2006"/>
      <c r="EJ2006"/>
      <c r="EK2006"/>
    </row>
    <row r="2007" spans="1:141" s="116" customFormat="1">
      <c r="A2007" s="136"/>
      <c r="CM2007" s="111"/>
      <c r="CQ2007" s="111"/>
      <c r="EF2007"/>
      <c r="EG2007"/>
      <c r="EH2007"/>
      <c r="EI2007"/>
      <c r="EJ2007"/>
      <c r="EK2007"/>
    </row>
    <row r="2008" spans="1:141" s="116" customFormat="1">
      <c r="A2008" s="136"/>
      <c r="CM2008" s="111"/>
      <c r="CQ2008" s="111"/>
      <c r="EF2008"/>
      <c r="EG2008"/>
      <c r="EH2008"/>
      <c r="EI2008"/>
      <c r="EJ2008"/>
      <c r="EK2008"/>
    </row>
    <row r="2009" spans="1:141" s="116" customFormat="1">
      <c r="A2009" s="136"/>
      <c r="CM2009" s="111"/>
      <c r="CQ2009" s="111"/>
      <c r="EF2009"/>
      <c r="EG2009"/>
      <c r="EH2009"/>
      <c r="EI2009"/>
      <c r="EJ2009"/>
      <c r="EK2009"/>
    </row>
    <row r="2010" spans="1:141" s="116" customFormat="1">
      <c r="A2010" s="136"/>
      <c r="CM2010" s="111"/>
      <c r="CQ2010" s="111"/>
      <c r="EF2010"/>
      <c r="EG2010"/>
      <c r="EH2010"/>
      <c r="EI2010"/>
      <c r="EJ2010"/>
      <c r="EK2010"/>
    </row>
    <row r="2011" spans="1:141" s="116" customFormat="1">
      <c r="A2011" s="136"/>
      <c r="CM2011" s="111"/>
      <c r="CQ2011" s="111"/>
      <c r="EF2011"/>
      <c r="EG2011"/>
      <c r="EH2011"/>
      <c r="EI2011"/>
      <c r="EJ2011"/>
      <c r="EK2011"/>
    </row>
    <row r="2012" spans="1:141" s="116" customFormat="1">
      <c r="A2012" s="136"/>
      <c r="CM2012" s="111"/>
      <c r="CQ2012" s="111"/>
      <c r="EF2012"/>
      <c r="EG2012"/>
      <c r="EH2012"/>
      <c r="EI2012"/>
      <c r="EJ2012"/>
      <c r="EK2012"/>
    </row>
    <row r="2013" spans="1:141" s="116" customFormat="1">
      <c r="A2013" s="136"/>
      <c r="CM2013" s="111"/>
      <c r="CQ2013" s="111"/>
      <c r="EF2013"/>
      <c r="EG2013"/>
      <c r="EH2013"/>
      <c r="EI2013"/>
      <c r="EJ2013"/>
      <c r="EK2013"/>
    </row>
    <row r="2014" spans="1:141" s="116" customFormat="1">
      <c r="A2014" s="136"/>
      <c r="CM2014" s="111"/>
      <c r="CQ2014" s="111"/>
      <c r="EF2014"/>
      <c r="EG2014"/>
      <c r="EH2014"/>
      <c r="EI2014"/>
      <c r="EJ2014"/>
      <c r="EK2014"/>
    </row>
    <row r="2015" spans="1:141" s="116" customFormat="1">
      <c r="A2015" s="136"/>
      <c r="CM2015" s="111"/>
      <c r="CQ2015" s="111"/>
      <c r="EF2015"/>
      <c r="EG2015"/>
      <c r="EH2015"/>
      <c r="EI2015"/>
      <c r="EJ2015"/>
      <c r="EK2015"/>
    </row>
    <row r="2016" spans="1:141" s="116" customFormat="1">
      <c r="A2016" s="136"/>
      <c r="CM2016" s="111"/>
      <c r="CQ2016" s="111"/>
      <c r="EF2016"/>
      <c r="EG2016"/>
      <c r="EH2016"/>
      <c r="EI2016"/>
      <c r="EJ2016"/>
      <c r="EK2016"/>
    </row>
    <row r="2017" spans="1:141" s="116" customFormat="1">
      <c r="A2017" s="136"/>
      <c r="CM2017" s="111"/>
      <c r="CQ2017" s="111"/>
      <c r="EF2017"/>
      <c r="EG2017"/>
      <c r="EH2017"/>
      <c r="EI2017"/>
      <c r="EJ2017"/>
      <c r="EK2017"/>
    </row>
    <row r="2018" spans="1:141" s="116" customFormat="1">
      <c r="A2018" s="136"/>
      <c r="CM2018" s="111"/>
      <c r="CQ2018" s="111"/>
      <c r="EF2018"/>
      <c r="EG2018"/>
      <c r="EH2018"/>
      <c r="EI2018"/>
      <c r="EJ2018"/>
      <c r="EK2018"/>
    </row>
    <row r="2019" spans="1:141" s="116" customFormat="1">
      <c r="A2019" s="136"/>
      <c r="CM2019" s="111"/>
      <c r="CQ2019" s="111"/>
      <c r="EF2019"/>
      <c r="EG2019"/>
      <c r="EH2019"/>
      <c r="EI2019"/>
      <c r="EJ2019"/>
      <c r="EK2019"/>
    </row>
    <row r="2020" spans="1:141" s="116" customFormat="1">
      <c r="A2020" s="136"/>
      <c r="CM2020" s="111"/>
      <c r="CQ2020" s="111"/>
      <c r="EF2020"/>
      <c r="EG2020"/>
      <c r="EH2020"/>
      <c r="EI2020"/>
      <c r="EJ2020"/>
      <c r="EK2020"/>
    </row>
    <row r="2021" spans="1:141" s="116" customFormat="1">
      <c r="A2021" s="136"/>
      <c r="CM2021" s="111"/>
      <c r="CQ2021" s="111"/>
      <c r="EF2021"/>
      <c r="EG2021"/>
      <c r="EH2021"/>
      <c r="EI2021"/>
      <c r="EJ2021"/>
      <c r="EK2021"/>
    </row>
    <row r="2022" spans="1:141" s="116" customFormat="1">
      <c r="A2022" s="136"/>
      <c r="CM2022" s="111"/>
      <c r="CQ2022" s="111"/>
      <c r="EF2022"/>
      <c r="EG2022"/>
      <c r="EH2022"/>
      <c r="EI2022"/>
      <c r="EJ2022"/>
      <c r="EK2022"/>
    </row>
    <row r="2023" spans="1:141" s="116" customFormat="1">
      <c r="A2023" s="136"/>
      <c r="CM2023" s="111"/>
      <c r="CQ2023" s="111"/>
      <c r="EF2023"/>
      <c r="EG2023"/>
      <c r="EH2023"/>
      <c r="EI2023"/>
      <c r="EJ2023"/>
      <c r="EK2023"/>
    </row>
    <row r="2024" spans="1:141" s="116" customFormat="1">
      <c r="A2024" s="136"/>
      <c r="CM2024" s="111"/>
      <c r="CQ2024" s="111"/>
      <c r="EF2024"/>
      <c r="EG2024"/>
      <c r="EH2024"/>
      <c r="EI2024"/>
      <c r="EJ2024"/>
      <c r="EK2024"/>
    </row>
    <row r="2025" spans="1:141" s="116" customFormat="1">
      <c r="A2025" s="136"/>
      <c r="CM2025" s="111"/>
      <c r="CQ2025" s="111"/>
      <c r="EF2025"/>
      <c r="EG2025"/>
      <c r="EH2025"/>
      <c r="EI2025"/>
      <c r="EJ2025"/>
      <c r="EK2025"/>
    </row>
    <row r="2026" spans="1:141" s="116" customFormat="1">
      <c r="A2026" s="136"/>
      <c r="CM2026" s="111"/>
      <c r="CQ2026" s="111"/>
      <c r="EF2026"/>
      <c r="EG2026"/>
      <c r="EH2026"/>
      <c r="EI2026"/>
      <c r="EJ2026"/>
      <c r="EK2026"/>
    </row>
    <row r="2027" spans="1:141" s="116" customFormat="1">
      <c r="A2027" s="136"/>
      <c r="CM2027" s="111"/>
      <c r="CQ2027" s="111"/>
      <c r="EF2027"/>
      <c r="EG2027"/>
      <c r="EH2027"/>
      <c r="EI2027"/>
      <c r="EJ2027"/>
      <c r="EK2027"/>
    </row>
    <row r="2028" spans="1:141" s="116" customFormat="1">
      <c r="A2028" s="136"/>
      <c r="CM2028" s="111"/>
      <c r="CQ2028" s="111"/>
      <c r="EF2028"/>
      <c r="EG2028"/>
      <c r="EH2028"/>
      <c r="EI2028"/>
      <c r="EJ2028"/>
      <c r="EK2028"/>
    </row>
    <row r="2029" spans="1:141" s="116" customFormat="1">
      <c r="A2029" s="136"/>
      <c r="CM2029" s="111"/>
      <c r="CQ2029" s="111"/>
      <c r="EF2029"/>
      <c r="EG2029"/>
      <c r="EH2029"/>
      <c r="EI2029"/>
      <c r="EJ2029"/>
      <c r="EK2029"/>
    </row>
    <row r="2030" spans="1:141" s="116" customFormat="1">
      <c r="A2030" s="136"/>
      <c r="CM2030" s="111"/>
      <c r="CQ2030" s="111"/>
      <c r="EF2030"/>
      <c r="EG2030"/>
      <c r="EH2030"/>
      <c r="EI2030"/>
      <c r="EJ2030"/>
      <c r="EK2030"/>
    </row>
    <row r="2031" spans="1:141" s="116" customFormat="1">
      <c r="A2031" s="136"/>
      <c r="CM2031" s="111"/>
      <c r="CQ2031" s="111"/>
      <c r="EF2031"/>
      <c r="EG2031"/>
      <c r="EH2031"/>
      <c r="EI2031"/>
      <c r="EJ2031"/>
      <c r="EK2031"/>
    </row>
    <row r="2032" spans="1:141" s="116" customFormat="1">
      <c r="A2032" s="136"/>
      <c r="CM2032" s="111"/>
      <c r="CQ2032" s="111"/>
      <c r="EF2032"/>
      <c r="EG2032"/>
      <c r="EH2032"/>
      <c r="EI2032"/>
      <c r="EJ2032"/>
      <c r="EK2032"/>
    </row>
    <row r="2033" spans="1:141" s="116" customFormat="1">
      <c r="A2033" s="136"/>
      <c r="CM2033" s="111"/>
      <c r="CQ2033" s="111"/>
      <c r="EF2033"/>
      <c r="EG2033"/>
      <c r="EH2033"/>
      <c r="EI2033"/>
      <c r="EJ2033"/>
      <c r="EK2033"/>
    </row>
    <row r="2034" spans="1:141" s="116" customFormat="1">
      <c r="A2034" s="136"/>
      <c r="CM2034" s="111"/>
      <c r="CQ2034" s="111"/>
      <c r="EF2034"/>
      <c r="EG2034"/>
      <c r="EH2034"/>
      <c r="EI2034"/>
      <c r="EJ2034"/>
      <c r="EK2034"/>
    </row>
    <row r="2035" spans="1:141" s="116" customFormat="1">
      <c r="A2035" s="136"/>
      <c r="CM2035" s="111"/>
      <c r="CQ2035" s="111"/>
      <c r="EF2035"/>
      <c r="EG2035"/>
      <c r="EH2035"/>
      <c r="EI2035"/>
      <c r="EJ2035"/>
      <c r="EK2035"/>
    </row>
    <row r="2036" spans="1:141" s="116" customFormat="1">
      <c r="A2036" s="136"/>
      <c r="CM2036" s="111"/>
      <c r="CQ2036" s="111"/>
      <c r="EF2036"/>
      <c r="EG2036"/>
      <c r="EH2036"/>
      <c r="EI2036"/>
      <c r="EJ2036"/>
      <c r="EK2036"/>
    </row>
    <row r="2037" spans="1:141" s="116" customFormat="1">
      <c r="A2037" s="136"/>
      <c r="CM2037" s="111"/>
      <c r="CQ2037" s="111"/>
      <c r="EF2037"/>
      <c r="EG2037"/>
      <c r="EH2037"/>
      <c r="EI2037"/>
      <c r="EJ2037"/>
      <c r="EK2037"/>
    </row>
    <row r="2038" spans="1:141" s="116" customFormat="1">
      <c r="A2038" s="136"/>
      <c r="CM2038" s="111"/>
      <c r="CQ2038" s="111"/>
      <c r="EF2038"/>
      <c r="EG2038"/>
      <c r="EH2038"/>
      <c r="EI2038"/>
      <c r="EJ2038"/>
      <c r="EK2038"/>
    </row>
    <row r="2039" spans="1:141" s="116" customFormat="1">
      <c r="A2039" s="136"/>
      <c r="CM2039" s="111"/>
      <c r="CQ2039" s="111"/>
      <c r="EF2039"/>
      <c r="EG2039"/>
      <c r="EH2039"/>
      <c r="EI2039"/>
      <c r="EJ2039"/>
      <c r="EK2039"/>
    </row>
    <row r="2040" spans="1:141" s="116" customFormat="1">
      <c r="A2040" s="136"/>
      <c r="CM2040" s="111"/>
      <c r="CQ2040" s="111"/>
      <c r="EF2040"/>
      <c r="EG2040"/>
      <c r="EH2040"/>
      <c r="EI2040"/>
      <c r="EJ2040"/>
      <c r="EK2040"/>
    </row>
    <row r="2041" spans="1:141" s="116" customFormat="1">
      <c r="A2041" s="136"/>
      <c r="CM2041" s="111"/>
      <c r="CQ2041" s="111"/>
      <c r="EF2041"/>
      <c r="EG2041"/>
      <c r="EH2041"/>
      <c r="EI2041"/>
      <c r="EJ2041"/>
      <c r="EK2041"/>
    </row>
    <row r="2042" spans="1:141" s="116" customFormat="1">
      <c r="A2042" s="136"/>
      <c r="CM2042" s="111"/>
      <c r="CQ2042" s="111"/>
      <c r="EF2042"/>
      <c r="EG2042"/>
      <c r="EH2042"/>
      <c r="EI2042"/>
      <c r="EJ2042"/>
      <c r="EK2042"/>
    </row>
    <row r="2043" spans="1:141" s="116" customFormat="1">
      <c r="A2043" s="136"/>
      <c r="CM2043" s="111"/>
      <c r="CQ2043" s="111"/>
      <c r="EF2043"/>
      <c r="EG2043"/>
      <c r="EH2043"/>
      <c r="EI2043"/>
      <c r="EJ2043"/>
      <c r="EK2043"/>
    </row>
    <row r="2044" spans="1:141" s="116" customFormat="1">
      <c r="A2044" s="136"/>
      <c r="CM2044" s="111"/>
      <c r="CQ2044" s="111"/>
      <c r="EF2044"/>
      <c r="EG2044"/>
      <c r="EH2044"/>
      <c r="EI2044"/>
      <c r="EJ2044"/>
      <c r="EK2044"/>
    </row>
    <row r="2045" spans="1:141" s="116" customFormat="1">
      <c r="A2045" s="136"/>
      <c r="CM2045" s="111"/>
      <c r="CQ2045" s="111"/>
      <c r="EF2045"/>
      <c r="EG2045"/>
      <c r="EH2045"/>
      <c r="EI2045"/>
      <c r="EJ2045"/>
      <c r="EK2045"/>
    </row>
    <row r="2046" spans="1:141" s="116" customFormat="1">
      <c r="A2046" s="136"/>
      <c r="CM2046" s="111"/>
      <c r="CQ2046" s="111"/>
      <c r="EF2046"/>
      <c r="EG2046"/>
      <c r="EH2046"/>
      <c r="EI2046"/>
      <c r="EJ2046"/>
      <c r="EK2046"/>
    </row>
    <row r="2047" spans="1:141" s="116" customFormat="1">
      <c r="A2047" s="136"/>
      <c r="CM2047" s="111"/>
      <c r="CQ2047" s="111"/>
      <c r="EF2047"/>
      <c r="EG2047"/>
      <c r="EH2047"/>
      <c r="EI2047"/>
      <c r="EJ2047"/>
      <c r="EK2047"/>
    </row>
    <row r="2048" spans="1:141" s="116" customFormat="1">
      <c r="A2048" s="136"/>
      <c r="CM2048" s="111"/>
      <c r="CQ2048" s="111"/>
      <c r="EF2048"/>
      <c r="EG2048"/>
      <c r="EH2048"/>
      <c r="EI2048"/>
      <c r="EJ2048"/>
      <c r="EK2048"/>
    </row>
    <row r="2049" spans="1:141" s="116" customFormat="1">
      <c r="A2049" s="136"/>
      <c r="CM2049" s="111"/>
      <c r="CQ2049" s="111"/>
      <c r="EF2049"/>
      <c r="EG2049"/>
      <c r="EH2049"/>
      <c r="EI2049"/>
      <c r="EJ2049"/>
      <c r="EK2049"/>
    </row>
    <row r="2050" spans="1:141" s="116" customFormat="1">
      <c r="A2050" s="136"/>
      <c r="CM2050" s="111"/>
      <c r="CQ2050" s="111"/>
      <c r="EF2050"/>
      <c r="EG2050"/>
      <c r="EH2050"/>
      <c r="EI2050"/>
      <c r="EJ2050"/>
      <c r="EK2050"/>
    </row>
    <row r="2051" spans="1:141" s="116" customFormat="1">
      <c r="A2051" s="136"/>
      <c r="CM2051" s="111"/>
      <c r="CQ2051" s="111"/>
      <c r="EF2051"/>
      <c r="EG2051"/>
      <c r="EH2051"/>
      <c r="EI2051"/>
      <c r="EJ2051"/>
      <c r="EK2051"/>
    </row>
    <row r="2052" spans="1:141" s="116" customFormat="1">
      <c r="A2052" s="136"/>
      <c r="CM2052" s="111"/>
      <c r="CQ2052" s="111"/>
      <c r="EF2052"/>
      <c r="EG2052"/>
      <c r="EH2052"/>
      <c r="EI2052"/>
      <c r="EJ2052"/>
      <c r="EK2052"/>
    </row>
    <row r="2053" spans="1:141" s="116" customFormat="1">
      <c r="A2053" s="136"/>
      <c r="CM2053" s="111"/>
      <c r="CQ2053" s="111"/>
      <c r="EF2053"/>
      <c r="EG2053"/>
      <c r="EH2053"/>
      <c r="EI2053"/>
      <c r="EJ2053"/>
      <c r="EK2053"/>
    </row>
    <row r="2054" spans="1:141" s="116" customFormat="1">
      <c r="A2054" s="136"/>
      <c r="CM2054" s="111"/>
      <c r="CQ2054" s="111"/>
      <c r="EF2054"/>
      <c r="EG2054"/>
      <c r="EH2054"/>
      <c r="EI2054"/>
      <c r="EJ2054"/>
      <c r="EK2054"/>
    </row>
    <row r="2055" spans="1:141" s="116" customFormat="1">
      <c r="A2055" s="136"/>
      <c r="CM2055" s="111"/>
      <c r="CQ2055" s="111"/>
      <c r="EF2055"/>
      <c r="EG2055"/>
      <c r="EH2055"/>
      <c r="EI2055"/>
      <c r="EJ2055"/>
      <c r="EK2055"/>
    </row>
    <row r="2056" spans="1:141" s="116" customFormat="1">
      <c r="A2056" s="136"/>
      <c r="CM2056" s="111"/>
      <c r="CQ2056" s="111"/>
      <c r="EF2056"/>
      <c r="EG2056"/>
      <c r="EH2056"/>
      <c r="EI2056"/>
      <c r="EJ2056"/>
      <c r="EK2056"/>
    </row>
    <row r="2057" spans="1:141" s="116" customFormat="1">
      <c r="A2057" s="136"/>
      <c r="CM2057" s="111"/>
      <c r="CQ2057" s="111"/>
      <c r="EF2057"/>
      <c r="EG2057"/>
      <c r="EH2057"/>
      <c r="EI2057"/>
      <c r="EJ2057"/>
      <c r="EK2057"/>
    </row>
    <row r="2058" spans="1:141" s="116" customFormat="1">
      <c r="A2058" s="136"/>
      <c r="CM2058" s="111"/>
      <c r="CQ2058" s="111"/>
      <c r="EF2058"/>
      <c r="EG2058"/>
      <c r="EH2058"/>
      <c r="EI2058"/>
      <c r="EJ2058"/>
      <c r="EK2058"/>
    </row>
    <row r="2059" spans="1:141" s="116" customFormat="1">
      <c r="A2059" s="136"/>
      <c r="CM2059" s="111"/>
      <c r="CQ2059" s="111"/>
      <c r="EF2059"/>
      <c r="EG2059"/>
      <c r="EH2059"/>
      <c r="EI2059"/>
      <c r="EJ2059"/>
      <c r="EK2059"/>
    </row>
    <row r="2060" spans="1:141" s="116" customFormat="1">
      <c r="A2060" s="136"/>
      <c r="CM2060" s="111"/>
      <c r="CQ2060" s="111"/>
      <c r="EF2060"/>
      <c r="EG2060"/>
      <c r="EH2060"/>
      <c r="EI2060"/>
      <c r="EJ2060"/>
      <c r="EK2060"/>
    </row>
    <row r="2061" spans="1:141" s="116" customFormat="1">
      <c r="A2061" s="136"/>
      <c r="CM2061" s="111"/>
      <c r="CQ2061" s="111"/>
      <c r="EF2061"/>
      <c r="EG2061"/>
      <c r="EH2061"/>
      <c r="EI2061"/>
      <c r="EJ2061"/>
      <c r="EK2061"/>
    </row>
    <row r="2062" spans="1:141" s="116" customFormat="1">
      <c r="A2062" s="136"/>
      <c r="CM2062" s="111"/>
      <c r="CQ2062" s="111"/>
      <c r="EF2062"/>
      <c r="EG2062"/>
      <c r="EH2062"/>
      <c r="EI2062"/>
      <c r="EJ2062"/>
      <c r="EK2062"/>
    </row>
    <row r="2063" spans="1:141" s="116" customFormat="1">
      <c r="A2063" s="136"/>
      <c r="CM2063" s="111"/>
      <c r="CQ2063" s="111"/>
      <c r="EF2063"/>
      <c r="EG2063"/>
      <c r="EH2063"/>
      <c r="EI2063"/>
      <c r="EJ2063"/>
      <c r="EK2063"/>
    </row>
    <row r="2064" spans="1:141" s="116" customFormat="1">
      <c r="A2064" s="136"/>
      <c r="CM2064" s="111"/>
      <c r="CQ2064" s="111"/>
      <c r="EF2064"/>
      <c r="EG2064"/>
      <c r="EH2064"/>
      <c r="EI2064"/>
      <c r="EJ2064"/>
      <c r="EK2064"/>
    </row>
    <row r="2065" spans="1:141" s="116" customFormat="1">
      <c r="A2065" s="136"/>
      <c r="CM2065" s="111"/>
      <c r="CQ2065" s="111"/>
      <c r="EF2065"/>
      <c r="EG2065"/>
      <c r="EH2065"/>
      <c r="EI2065"/>
      <c r="EJ2065"/>
      <c r="EK2065"/>
    </row>
    <row r="2066" spans="1:141" s="116" customFormat="1">
      <c r="A2066" s="136"/>
      <c r="CM2066" s="111"/>
      <c r="CQ2066" s="111"/>
      <c r="EF2066"/>
      <c r="EG2066"/>
      <c r="EH2066"/>
      <c r="EI2066"/>
      <c r="EJ2066"/>
      <c r="EK2066"/>
    </row>
    <row r="2067" spans="1:141" s="116" customFormat="1">
      <c r="A2067" s="136"/>
      <c r="CM2067" s="111"/>
      <c r="CQ2067" s="111"/>
      <c r="EF2067"/>
      <c r="EG2067"/>
      <c r="EH2067"/>
      <c r="EI2067"/>
      <c r="EJ2067"/>
      <c r="EK2067"/>
    </row>
    <row r="2068" spans="1:141" s="116" customFormat="1">
      <c r="A2068" s="136"/>
      <c r="CM2068" s="111"/>
      <c r="CQ2068" s="111"/>
      <c r="EF2068"/>
      <c r="EG2068"/>
      <c r="EH2068"/>
      <c r="EI2068"/>
      <c r="EJ2068"/>
      <c r="EK2068"/>
    </row>
    <row r="2069" spans="1:141" s="116" customFormat="1">
      <c r="A2069" s="136"/>
      <c r="CM2069" s="111"/>
      <c r="CQ2069" s="111"/>
      <c r="EF2069"/>
      <c r="EG2069"/>
      <c r="EH2069"/>
      <c r="EI2069"/>
      <c r="EJ2069"/>
      <c r="EK2069"/>
    </row>
    <row r="2070" spans="1:141" s="116" customFormat="1">
      <c r="A2070" s="136"/>
      <c r="CM2070" s="111"/>
      <c r="CQ2070" s="111"/>
      <c r="EF2070"/>
      <c r="EG2070"/>
      <c r="EH2070"/>
      <c r="EI2070"/>
      <c r="EJ2070"/>
      <c r="EK2070"/>
    </row>
    <row r="2071" spans="1:141" s="116" customFormat="1">
      <c r="A2071" s="136"/>
      <c r="CM2071" s="111"/>
      <c r="CQ2071" s="111"/>
      <c r="EF2071"/>
      <c r="EG2071"/>
      <c r="EH2071"/>
      <c r="EI2071"/>
      <c r="EJ2071"/>
      <c r="EK2071"/>
    </row>
    <row r="2072" spans="1:141" s="116" customFormat="1">
      <c r="A2072" s="136"/>
      <c r="CM2072" s="111"/>
      <c r="CQ2072" s="111"/>
      <c r="EF2072"/>
      <c r="EG2072"/>
      <c r="EH2072"/>
      <c r="EI2072"/>
      <c r="EJ2072"/>
      <c r="EK2072"/>
    </row>
    <row r="2073" spans="1:141" s="116" customFormat="1">
      <c r="A2073" s="136"/>
      <c r="CM2073" s="111"/>
      <c r="CQ2073" s="111"/>
      <c r="EF2073"/>
      <c r="EG2073"/>
      <c r="EH2073"/>
      <c r="EI2073"/>
      <c r="EJ2073"/>
      <c r="EK2073"/>
    </row>
    <row r="2074" spans="1:141" s="116" customFormat="1">
      <c r="A2074" s="136"/>
      <c r="CM2074" s="111"/>
      <c r="CQ2074" s="111"/>
      <c r="EF2074"/>
      <c r="EG2074"/>
      <c r="EH2074"/>
      <c r="EI2074"/>
      <c r="EJ2074"/>
      <c r="EK2074"/>
    </row>
    <row r="2075" spans="1:141" s="116" customFormat="1">
      <c r="A2075" s="136"/>
      <c r="CM2075" s="111"/>
      <c r="CQ2075" s="111"/>
      <c r="EF2075"/>
      <c r="EG2075"/>
      <c r="EH2075"/>
      <c r="EI2075"/>
      <c r="EJ2075"/>
      <c r="EK2075"/>
    </row>
    <row r="2076" spans="1:141" s="116" customFormat="1">
      <c r="A2076" s="136"/>
      <c r="CM2076" s="111"/>
      <c r="CQ2076" s="111"/>
      <c r="EF2076"/>
      <c r="EG2076"/>
      <c r="EH2076"/>
      <c r="EI2076"/>
      <c r="EJ2076"/>
      <c r="EK2076"/>
    </row>
    <row r="2077" spans="1:141" s="116" customFormat="1">
      <c r="A2077" s="136"/>
      <c r="CM2077" s="111"/>
      <c r="CQ2077" s="111"/>
      <c r="EF2077"/>
      <c r="EG2077"/>
      <c r="EH2077"/>
      <c r="EI2077"/>
      <c r="EJ2077"/>
      <c r="EK2077"/>
    </row>
    <row r="2078" spans="1:141" s="116" customFormat="1">
      <c r="A2078" s="136"/>
      <c r="CM2078" s="111"/>
      <c r="CQ2078" s="111"/>
      <c r="EF2078"/>
      <c r="EG2078"/>
      <c r="EH2078"/>
      <c r="EI2078"/>
      <c r="EJ2078"/>
      <c r="EK2078"/>
    </row>
    <row r="2079" spans="1:141" s="116" customFormat="1">
      <c r="A2079" s="136"/>
      <c r="CM2079" s="111"/>
      <c r="CQ2079" s="111"/>
      <c r="EF2079"/>
      <c r="EG2079"/>
      <c r="EH2079"/>
      <c r="EI2079"/>
      <c r="EJ2079"/>
      <c r="EK2079"/>
    </row>
    <row r="2080" spans="1:141" s="116" customFormat="1">
      <c r="A2080" s="136"/>
      <c r="CM2080" s="111"/>
      <c r="CQ2080" s="111"/>
      <c r="EF2080"/>
      <c r="EG2080"/>
      <c r="EH2080"/>
      <c r="EI2080"/>
      <c r="EJ2080"/>
      <c r="EK2080"/>
    </row>
    <row r="2081" spans="1:141" s="116" customFormat="1">
      <c r="A2081" s="136"/>
      <c r="CM2081" s="111"/>
      <c r="CQ2081" s="111"/>
      <c r="EF2081"/>
      <c r="EG2081"/>
      <c r="EH2081"/>
      <c r="EI2081"/>
      <c r="EJ2081"/>
      <c r="EK2081"/>
    </row>
    <row r="2082" spans="1:141" s="116" customFormat="1">
      <c r="A2082" s="136"/>
      <c r="CM2082" s="111"/>
      <c r="CQ2082" s="111"/>
      <c r="EF2082"/>
      <c r="EG2082"/>
      <c r="EH2082"/>
      <c r="EI2082"/>
      <c r="EJ2082"/>
      <c r="EK2082"/>
    </row>
    <row r="2083" spans="1:141" s="116" customFormat="1">
      <c r="A2083" s="136"/>
      <c r="CM2083" s="111"/>
      <c r="CQ2083" s="111"/>
      <c r="EF2083"/>
      <c r="EG2083"/>
      <c r="EH2083"/>
      <c r="EI2083"/>
      <c r="EJ2083"/>
      <c r="EK2083"/>
    </row>
    <row r="2084" spans="1:141" s="116" customFormat="1">
      <c r="A2084" s="136"/>
      <c r="CM2084" s="111"/>
      <c r="CQ2084" s="111"/>
      <c r="EF2084"/>
      <c r="EG2084"/>
      <c r="EH2084"/>
      <c r="EI2084"/>
      <c r="EJ2084"/>
      <c r="EK2084"/>
    </row>
    <row r="2085" spans="1:141" s="116" customFormat="1">
      <c r="A2085" s="136"/>
      <c r="CM2085" s="111"/>
      <c r="CQ2085" s="111"/>
      <c r="EF2085"/>
      <c r="EG2085"/>
      <c r="EH2085"/>
      <c r="EI2085"/>
      <c r="EJ2085"/>
      <c r="EK2085"/>
    </row>
    <row r="2086" spans="1:141" s="116" customFormat="1">
      <c r="A2086" s="136"/>
      <c r="CM2086" s="111"/>
      <c r="CQ2086" s="111"/>
      <c r="EF2086"/>
      <c r="EG2086"/>
      <c r="EH2086"/>
      <c r="EI2086"/>
      <c r="EJ2086"/>
      <c r="EK2086"/>
    </row>
    <row r="2087" spans="1:141" s="116" customFormat="1">
      <c r="A2087" s="136"/>
      <c r="CM2087" s="111"/>
      <c r="CQ2087" s="111"/>
      <c r="EF2087"/>
      <c r="EG2087"/>
      <c r="EH2087"/>
      <c r="EI2087"/>
      <c r="EJ2087"/>
      <c r="EK2087"/>
    </row>
    <row r="2088" spans="1:141" s="116" customFormat="1">
      <c r="A2088" s="136"/>
      <c r="CM2088" s="111"/>
      <c r="CQ2088" s="111"/>
      <c r="EF2088"/>
      <c r="EG2088"/>
      <c r="EH2088"/>
      <c r="EI2088"/>
      <c r="EJ2088"/>
      <c r="EK2088"/>
    </row>
    <row r="2089" spans="1:141" s="116" customFormat="1">
      <c r="A2089" s="136"/>
      <c r="CM2089" s="111"/>
      <c r="CQ2089" s="111"/>
      <c r="EF2089"/>
      <c r="EG2089"/>
      <c r="EH2089"/>
      <c r="EI2089"/>
      <c r="EJ2089"/>
      <c r="EK2089"/>
    </row>
    <row r="2090" spans="1:141" s="116" customFormat="1">
      <c r="A2090" s="136"/>
      <c r="CM2090" s="111"/>
      <c r="CQ2090" s="111"/>
      <c r="EF2090"/>
      <c r="EG2090"/>
      <c r="EH2090"/>
      <c r="EI2090"/>
      <c r="EJ2090"/>
      <c r="EK2090"/>
    </row>
    <row r="2091" spans="1:141" s="116" customFormat="1">
      <c r="A2091" s="136"/>
      <c r="CM2091" s="111"/>
      <c r="CQ2091" s="111"/>
      <c r="EF2091"/>
      <c r="EG2091"/>
      <c r="EH2091"/>
      <c r="EI2091"/>
      <c r="EJ2091"/>
      <c r="EK2091"/>
    </row>
    <row r="2092" spans="1:141" s="116" customFormat="1">
      <c r="A2092" s="136"/>
      <c r="CM2092" s="111"/>
      <c r="CQ2092" s="111"/>
      <c r="EF2092"/>
      <c r="EG2092"/>
      <c r="EH2092"/>
      <c r="EI2092"/>
      <c r="EJ2092"/>
      <c r="EK2092"/>
    </row>
    <row r="2093" spans="1:141" s="116" customFormat="1">
      <c r="A2093" s="136"/>
      <c r="CM2093" s="111"/>
      <c r="CQ2093" s="111"/>
      <c r="EF2093"/>
      <c r="EG2093"/>
      <c r="EH2093"/>
      <c r="EI2093"/>
      <c r="EJ2093"/>
      <c r="EK2093"/>
    </row>
    <row r="2094" spans="1:141" s="116" customFormat="1">
      <c r="A2094" s="136"/>
      <c r="CM2094" s="111"/>
      <c r="CQ2094" s="111"/>
      <c r="EF2094"/>
      <c r="EG2094"/>
      <c r="EH2094"/>
      <c r="EI2094"/>
      <c r="EJ2094"/>
      <c r="EK2094"/>
    </row>
    <row r="2095" spans="1:141" s="116" customFormat="1">
      <c r="A2095" s="136"/>
      <c r="CM2095" s="111"/>
      <c r="CQ2095" s="111"/>
      <c r="EF2095"/>
      <c r="EG2095"/>
      <c r="EH2095"/>
      <c r="EI2095"/>
      <c r="EJ2095"/>
      <c r="EK2095"/>
    </row>
    <row r="2096" spans="1:141" s="116" customFormat="1">
      <c r="A2096" s="136"/>
      <c r="CM2096" s="111"/>
      <c r="CQ2096" s="111"/>
      <c r="EF2096"/>
      <c r="EG2096"/>
      <c r="EH2096"/>
      <c r="EI2096"/>
      <c r="EJ2096"/>
      <c r="EK2096"/>
    </row>
    <row r="2097" spans="1:141" s="116" customFormat="1">
      <c r="A2097" s="136"/>
      <c r="CM2097" s="111"/>
      <c r="CQ2097" s="111"/>
      <c r="EF2097"/>
      <c r="EG2097"/>
      <c r="EH2097"/>
      <c r="EI2097"/>
      <c r="EJ2097"/>
      <c r="EK2097"/>
    </row>
    <row r="2098" spans="1:141" s="116" customFormat="1">
      <c r="A2098" s="136"/>
      <c r="CM2098" s="111"/>
      <c r="CQ2098" s="111"/>
      <c r="EF2098"/>
      <c r="EG2098"/>
      <c r="EH2098"/>
      <c r="EI2098"/>
      <c r="EJ2098"/>
      <c r="EK2098"/>
    </row>
    <row r="2099" spans="1:141" s="116" customFormat="1">
      <c r="A2099" s="136"/>
      <c r="CM2099" s="111"/>
      <c r="CQ2099" s="111"/>
      <c r="EF2099"/>
      <c r="EG2099"/>
      <c r="EH2099"/>
      <c r="EI2099"/>
      <c r="EJ2099"/>
      <c r="EK2099"/>
    </row>
    <row r="2100" spans="1:141" s="116" customFormat="1">
      <c r="A2100" s="136"/>
      <c r="CM2100" s="111"/>
      <c r="CQ2100" s="111"/>
      <c r="EF2100"/>
      <c r="EG2100"/>
      <c r="EH2100"/>
      <c r="EI2100"/>
      <c r="EJ2100"/>
      <c r="EK2100"/>
    </row>
    <row r="2101" spans="1:141" s="116" customFormat="1">
      <c r="A2101" s="136"/>
      <c r="CM2101" s="111"/>
      <c r="CQ2101" s="111"/>
      <c r="EF2101"/>
      <c r="EG2101"/>
      <c r="EH2101"/>
      <c r="EI2101"/>
      <c r="EJ2101"/>
      <c r="EK2101"/>
    </row>
    <row r="2102" spans="1:141" s="116" customFormat="1">
      <c r="A2102" s="136"/>
      <c r="CM2102" s="111"/>
      <c r="CQ2102" s="111"/>
      <c r="EF2102"/>
      <c r="EG2102"/>
      <c r="EH2102"/>
      <c r="EI2102"/>
      <c r="EJ2102"/>
      <c r="EK2102"/>
    </row>
    <row r="2103" spans="1:141" s="116" customFormat="1">
      <c r="A2103" s="136"/>
      <c r="CM2103" s="111"/>
      <c r="CQ2103" s="111"/>
      <c r="EF2103"/>
      <c r="EG2103"/>
      <c r="EH2103"/>
      <c r="EI2103"/>
      <c r="EJ2103"/>
      <c r="EK2103"/>
    </row>
    <row r="2104" spans="1:141" s="116" customFormat="1">
      <c r="A2104" s="136"/>
      <c r="CM2104" s="111"/>
      <c r="CQ2104" s="111"/>
      <c r="EF2104"/>
      <c r="EG2104"/>
      <c r="EH2104"/>
      <c r="EI2104"/>
      <c r="EJ2104"/>
      <c r="EK2104"/>
    </row>
    <row r="2105" spans="1:141" s="116" customFormat="1">
      <c r="A2105" s="136"/>
      <c r="CM2105" s="111"/>
      <c r="CQ2105" s="111"/>
      <c r="EF2105"/>
      <c r="EG2105"/>
      <c r="EH2105"/>
      <c r="EI2105"/>
      <c r="EJ2105"/>
      <c r="EK2105"/>
    </row>
    <row r="2106" spans="1:141" s="116" customFormat="1">
      <c r="A2106" s="136"/>
      <c r="CM2106" s="111"/>
      <c r="CQ2106" s="111"/>
      <c r="EF2106"/>
      <c r="EG2106"/>
      <c r="EH2106"/>
      <c r="EI2106"/>
      <c r="EJ2106"/>
      <c r="EK2106"/>
    </row>
    <row r="2107" spans="1:141" s="116" customFormat="1">
      <c r="A2107" s="136"/>
      <c r="CM2107" s="111"/>
      <c r="CQ2107" s="111"/>
      <c r="EF2107"/>
      <c r="EG2107"/>
      <c r="EH2107"/>
      <c r="EI2107"/>
      <c r="EJ2107"/>
      <c r="EK2107"/>
    </row>
    <row r="2108" spans="1:141" s="116" customFormat="1">
      <c r="A2108" s="136"/>
      <c r="CM2108" s="111"/>
      <c r="CQ2108" s="111"/>
      <c r="EF2108"/>
      <c r="EG2108"/>
      <c r="EH2108"/>
      <c r="EI2108"/>
      <c r="EJ2108"/>
      <c r="EK2108"/>
    </row>
    <row r="2109" spans="1:141" s="116" customFormat="1">
      <c r="A2109" s="136"/>
      <c r="CM2109" s="111"/>
      <c r="CQ2109" s="111"/>
      <c r="EF2109"/>
      <c r="EG2109"/>
      <c r="EH2109"/>
      <c r="EI2109"/>
      <c r="EJ2109"/>
      <c r="EK2109"/>
    </row>
    <row r="2110" spans="1:141" s="116" customFormat="1">
      <c r="A2110" s="136"/>
      <c r="CM2110" s="111"/>
      <c r="CQ2110" s="111"/>
      <c r="EF2110"/>
      <c r="EG2110"/>
      <c r="EH2110"/>
      <c r="EI2110"/>
      <c r="EJ2110"/>
      <c r="EK2110"/>
    </row>
    <row r="2111" spans="1:141" s="116" customFormat="1">
      <c r="A2111" s="136"/>
      <c r="CM2111" s="111"/>
      <c r="CQ2111" s="111"/>
      <c r="EF2111"/>
      <c r="EG2111"/>
      <c r="EH2111"/>
      <c r="EI2111"/>
      <c r="EJ2111"/>
      <c r="EK2111"/>
    </row>
    <row r="2112" spans="1:141" s="116" customFormat="1">
      <c r="A2112" s="136"/>
      <c r="CM2112" s="111"/>
      <c r="CQ2112" s="111"/>
      <c r="EF2112"/>
      <c r="EG2112"/>
      <c r="EH2112"/>
      <c r="EI2112"/>
      <c r="EJ2112"/>
      <c r="EK2112"/>
    </row>
    <row r="2113" spans="1:141" s="116" customFormat="1">
      <c r="A2113" s="136"/>
      <c r="CM2113" s="111"/>
      <c r="CQ2113" s="111"/>
      <c r="EF2113"/>
      <c r="EG2113"/>
      <c r="EH2113"/>
      <c r="EI2113"/>
      <c r="EJ2113"/>
      <c r="EK2113"/>
    </row>
    <row r="2114" spans="1:141" s="116" customFormat="1">
      <c r="A2114" s="136"/>
      <c r="CM2114" s="111"/>
      <c r="CQ2114" s="111"/>
      <c r="EF2114"/>
      <c r="EG2114"/>
      <c r="EH2114"/>
      <c r="EI2114"/>
      <c r="EJ2114"/>
      <c r="EK2114"/>
    </row>
    <row r="2115" spans="1:141" s="116" customFormat="1">
      <c r="A2115" s="136"/>
      <c r="CM2115" s="111"/>
      <c r="CQ2115" s="111"/>
      <c r="EF2115"/>
      <c r="EG2115"/>
      <c r="EH2115"/>
      <c r="EI2115"/>
      <c r="EJ2115"/>
      <c r="EK2115"/>
    </row>
    <row r="2116" spans="1:141" s="116" customFormat="1">
      <c r="A2116" s="136"/>
      <c r="CM2116" s="111"/>
      <c r="CQ2116" s="111"/>
      <c r="EF2116"/>
      <c r="EG2116"/>
      <c r="EH2116"/>
      <c r="EI2116"/>
      <c r="EJ2116"/>
      <c r="EK2116"/>
    </row>
    <row r="2117" spans="1:141" s="116" customFormat="1">
      <c r="A2117" s="136"/>
      <c r="CM2117" s="111"/>
      <c r="CQ2117" s="111"/>
      <c r="EF2117"/>
      <c r="EG2117"/>
      <c r="EH2117"/>
      <c r="EI2117"/>
      <c r="EJ2117"/>
      <c r="EK2117"/>
    </row>
    <row r="2118" spans="1:141" s="116" customFormat="1">
      <c r="A2118" s="136"/>
      <c r="CM2118" s="111"/>
      <c r="CQ2118" s="111"/>
      <c r="EF2118"/>
      <c r="EG2118"/>
      <c r="EH2118"/>
      <c r="EI2118"/>
      <c r="EJ2118"/>
      <c r="EK2118"/>
    </row>
    <row r="2119" spans="1:141" s="116" customFormat="1">
      <c r="A2119" s="136"/>
      <c r="CM2119" s="111"/>
      <c r="CQ2119" s="111"/>
      <c r="EF2119"/>
      <c r="EG2119"/>
      <c r="EH2119"/>
      <c r="EI2119"/>
      <c r="EJ2119"/>
      <c r="EK2119"/>
    </row>
    <row r="2120" spans="1:141" s="116" customFormat="1">
      <c r="A2120" s="136"/>
      <c r="CM2120" s="111"/>
      <c r="CQ2120" s="111"/>
      <c r="EF2120"/>
      <c r="EG2120"/>
      <c r="EH2120"/>
      <c r="EI2120"/>
      <c r="EJ2120"/>
      <c r="EK2120"/>
    </row>
    <row r="2121" spans="1:141" s="116" customFormat="1">
      <c r="A2121" s="136"/>
      <c r="CM2121" s="111"/>
      <c r="CQ2121" s="111"/>
      <c r="EF2121"/>
      <c r="EG2121"/>
      <c r="EH2121"/>
      <c r="EI2121"/>
      <c r="EJ2121"/>
      <c r="EK2121"/>
    </row>
    <row r="2122" spans="1:141" s="116" customFormat="1">
      <c r="A2122" s="136"/>
      <c r="CM2122" s="111"/>
      <c r="CQ2122" s="111"/>
      <c r="EF2122"/>
      <c r="EG2122"/>
      <c r="EH2122"/>
      <c r="EI2122"/>
      <c r="EJ2122"/>
      <c r="EK2122"/>
    </row>
    <row r="2123" spans="1:141" s="116" customFormat="1">
      <c r="A2123" s="136"/>
      <c r="CM2123" s="111"/>
      <c r="CQ2123" s="111"/>
      <c r="EF2123"/>
      <c r="EG2123"/>
      <c r="EH2123"/>
      <c r="EI2123"/>
      <c r="EJ2123"/>
      <c r="EK2123"/>
    </row>
    <row r="2124" spans="1:141" s="116" customFormat="1">
      <c r="A2124" s="136"/>
      <c r="CM2124" s="111"/>
      <c r="CQ2124" s="111"/>
      <c r="EF2124"/>
      <c r="EG2124"/>
      <c r="EH2124"/>
      <c r="EI2124"/>
      <c r="EJ2124"/>
      <c r="EK2124"/>
    </row>
    <row r="2125" spans="1:141" s="116" customFormat="1">
      <c r="A2125" s="136"/>
      <c r="CM2125" s="111"/>
      <c r="CQ2125" s="111"/>
      <c r="EF2125"/>
      <c r="EG2125"/>
      <c r="EH2125"/>
      <c r="EI2125"/>
      <c r="EJ2125"/>
      <c r="EK2125"/>
    </row>
    <row r="2126" spans="1:141" s="116" customFormat="1">
      <c r="A2126" s="136"/>
      <c r="CM2126" s="111"/>
      <c r="CQ2126" s="111"/>
      <c r="EF2126"/>
      <c r="EG2126"/>
      <c r="EH2126"/>
      <c r="EI2126"/>
      <c r="EJ2126"/>
      <c r="EK2126"/>
    </row>
    <row r="2127" spans="1:141" s="116" customFormat="1">
      <c r="A2127" s="136"/>
      <c r="CM2127" s="111"/>
      <c r="CQ2127" s="111"/>
      <c r="EF2127"/>
      <c r="EG2127"/>
      <c r="EH2127"/>
      <c r="EI2127"/>
      <c r="EJ2127"/>
      <c r="EK2127"/>
    </row>
    <row r="2128" spans="1:141" s="116" customFormat="1">
      <c r="A2128" s="136"/>
      <c r="CM2128" s="111"/>
      <c r="CQ2128" s="111"/>
      <c r="EF2128"/>
      <c r="EG2128"/>
      <c r="EH2128"/>
      <c r="EI2128"/>
      <c r="EJ2128"/>
      <c r="EK2128"/>
    </row>
    <row r="2129" spans="1:141" s="116" customFormat="1">
      <c r="A2129" s="136"/>
      <c r="CM2129" s="111"/>
      <c r="CQ2129" s="111"/>
      <c r="EF2129"/>
      <c r="EG2129"/>
      <c r="EH2129"/>
      <c r="EI2129"/>
      <c r="EJ2129"/>
      <c r="EK2129"/>
    </row>
    <row r="2130" spans="1:141" s="116" customFormat="1">
      <c r="A2130" s="136"/>
      <c r="CM2130" s="111"/>
      <c r="CQ2130" s="111"/>
      <c r="EF2130"/>
      <c r="EG2130"/>
      <c r="EH2130"/>
      <c r="EI2130"/>
      <c r="EJ2130"/>
      <c r="EK2130"/>
    </row>
    <row r="2131" spans="1:141" s="116" customFormat="1">
      <c r="A2131" s="136"/>
      <c r="CM2131" s="111"/>
      <c r="CQ2131" s="111"/>
      <c r="EF2131"/>
      <c r="EG2131"/>
      <c r="EH2131"/>
      <c r="EI2131"/>
      <c r="EJ2131"/>
      <c r="EK2131"/>
    </row>
    <row r="2132" spans="1:141" s="116" customFormat="1">
      <c r="A2132" s="136"/>
      <c r="CM2132" s="111"/>
      <c r="CQ2132" s="111"/>
      <c r="EF2132"/>
      <c r="EG2132"/>
      <c r="EH2132"/>
      <c r="EI2132"/>
      <c r="EJ2132"/>
      <c r="EK2132"/>
    </row>
    <row r="2133" spans="1:141" s="116" customFormat="1">
      <c r="A2133" s="136"/>
      <c r="CM2133" s="111"/>
      <c r="CQ2133" s="111"/>
      <c r="EF2133"/>
      <c r="EG2133"/>
      <c r="EH2133"/>
      <c r="EI2133"/>
      <c r="EJ2133"/>
      <c r="EK2133"/>
    </row>
    <row r="2134" spans="1:141" s="116" customFormat="1">
      <c r="A2134" s="136"/>
      <c r="CM2134" s="111"/>
      <c r="CQ2134" s="111"/>
      <c r="EF2134"/>
      <c r="EG2134"/>
      <c r="EH2134"/>
      <c r="EI2134"/>
      <c r="EJ2134"/>
      <c r="EK2134"/>
    </row>
    <row r="2135" spans="1:141" s="116" customFormat="1">
      <c r="A2135" s="136"/>
      <c r="CM2135" s="111"/>
      <c r="CQ2135" s="111"/>
      <c r="EF2135"/>
      <c r="EG2135"/>
      <c r="EH2135"/>
      <c r="EI2135"/>
      <c r="EJ2135"/>
      <c r="EK2135"/>
    </row>
    <row r="2136" spans="1:141" s="116" customFormat="1">
      <c r="A2136" s="136"/>
      <c r="CM2136" s="111"/>
      <c r="CQ2136" s="111"/>
      <c r="EF2136"/>
      <c r="EG2136"/>
      <c r="EH2136"/>
      <c r="EI2136"/>
      <c r="EJ2136"/>
      <c r="EK2136"/>
    </row>
    <row r="2137" spans="1:141" s="116" customFormat="1">
      <c r="A2137" s="136"/>
      <c r="CM2137" s="111"/>
      <c r="CQ2137" s="111"/>
      <c r="EF2137"/>
      <c r="EG2137"/>
      <c r="EH2137"/>
      <c r="EI2137"/>
      <c r="EJ2137"/>
      <c r="EK2137"/>
    </row>
    <row r="2138" spans="1:141" s="116" customFormat="1">
      <c r="A2138" s="136"/>
      <c r="CM2138" s="111"/>
      <c r="CQ2138" s="111"/>
      <c r="EF2138"/>
      <c r="EG2138"/>
      <c r="EH2138"/>
      <c r="EI2138"/>
      <c r="EJ2138"/>
      <c r="EK2138"/>
    </row>
    <row r="2139" spans="1:141" s="116" customFormat="1">
      <c r="A2139" s="136"/>
      <c r="CM2139" s="111"/>
      <c r="CQ2139" s="111"/>
      <c r="EF2139"/>
      <c r="EG2139"/>
      <c r="EH2139"/>
      <c r="EI2139"/>
      <c r="EJ2139"/>
      <c r="EK2139"/>
    </row>
    <row r="2140" spans="1:141" s="116" customFormat="1">
      <c r="A2140" s="136"/>
      <c r="CM2140" s="111"/>
      <c r="CQ2140" s="111"/>
      <c r="EF2140"/>
      <c r="EG2140"/>
      <c r="EH2140"/>
      <c r="EI2140"/>
      <c r="EJ2140"/>
      <c r="EK2140"/>
    </row>
    <row r="2141" spans="1:141" s="116" customFormat="1">
      <c r="A2141" s="136"/>
      <c r="CM2141" s="111"/>
      <c r="CQ2141" s="111"/>
      <c r="EF2141"/>
      <c r="EG2141"/>
      <c r="EH2141"/>
      <c r="EI2141"/>
      <c r="EJ2141"/>
      <c r="EK2141"/>
    </row>
    <row r="2142" spans="1:141" s="116" customFormat="1">
      <c r="A2142" s="136"/>
      <c r="CM2142" s="111"/>
      <c r="CQ2142" s="111"/>
      <c r="EF2142"/>
      <c r="EG2142"/>
      <c r="EH2142"/>
      <c r="EI2142"/>
      <c r="EJ2142"/>
      <c r="EK2142"/>
    </row>
    <row r="2143" spans="1:141" s="116" customFormat="1">
      <c r="A2143" s="136"/>
      <c r="CM2143" s="111"/>
      <c r="CQ2143" s="111"/>
      <c r="EF2143"/>
      <c r="EG2143"/>
      <c r="EH2143"/>
      <c r="EI2143"/>
      <c r="EJ2143"/>
      <c r="EK2143"/>
    </row>
    <row r="2144" spans="1:141" s="116" customFormat="1">
      <c r="A2144" s="136"/>
      <c r="CM2144" s="111"/>
      <c r="CQ2144" s="111"/>
      <c r="EF2144"/>
      <c r="EG2144"/>
      <c r="EH2144"/>
      <c r="EI2144"/>
      <c r="EJ2144"/>
      <c r="EK2144"/>
    </row>
    <row r="2145" spans="1:141" s="116" customFormat="1">
      <c r="A2145" s="136"/>
      <c r="CM2145" s="111"/>
      <c r="CQ2145" s="111"/>
      <c r="EF2145"/>
      <c r="EG2145"/>
      <c r="EH2145"/>
      <c r="EI2145"/>
      <c r="EJ2145"/>
      <c r="EK2145"/>
    </row>
    <row r="2146" spans="1:141" s="116" customFormat="1">
      <c r="A2146" s="136"/>
      <c r="CM2146" s="111"/>
      <c r="CQ2146" s="111"/>
      <c r="EF2146"/>
      <c r="EG2146"/>
      <c r="EH2146"/>
      <c r="EI2146"/>
      <c r="EJ2146"/>
      <c r="EK2146"/>
    </row>
    <row r="2147" spans="1:141" s="116" customFormat="1">
      <c r="A2147" s="136"/>
      <c r="CM2147" s="111"/>
      <c r="CQ2147" s="111"/>
      <c r="EF2147"/>
      <c r="EG2147"/>
      <c r="EH2147"/>
      <c r="EI2147"/>
      <c r="EJ2147"/>
      <c r="EK2147"/>
    </row>
    <row r="2148" spans="1:141" s="116" customFormat="1">
      <c r="A2148" s="136"/>
      <c r="CM2148" s="111"/>
      <c r="CQ2148" s="111"/>
      <c r="EF2148"/>
      <c r="EG2148"/>
      <c r="EH2148"/>
      <c r="EI2148"/>
      <c r="EJ2148"/>
      <c r="EK2148"/>
    </row>
    <row r="2149" spans="1:141" s="116" customFormat="1">
      <c r="A2149" s="136"/>
      <c r="CM2149" s="111"/>
      <c r="CQ2149" s="111"/>
      <c r="EF2149"/>
      <c r="EG2149"/>
      <c r="EH2149"/>
      <c r="EI2149"/>
      <c r="EJ2149"/>
      <c r="EK2149"/>
    </row>
    <row r="2150" spans="1:141" s="116" customFormat="1">
      <c r="A2150" s="136"/>
      <c r="CM2150" s="111"/>
      <c r="CQ2150" s="111"/>
      <c r="EF2150"/>
      <c r="EG2150"/>
      <c r="EH2150"/>
      <c r="EI2150"/>
      <c r="EJ2150"/>
      <c r="EK2150"/>
    </row>
    <row r="2151" spans="1:141" s="116" customFormat="1">
      <c r="A2151" s="136"/>
      <c r="CM2151" s="111"/>
      <c r="CQ2151" s="111"/>
      <c r="EF2151"/>
      <c r="EG2151"/>
      <c r="EH2151"/>
      <c r="EI2151"/>
      <c r="EJ2151"/>
      <c r="EK2151"/>
    </row>
    <row r="2152" spans="1:141" s="116" customFormat="1">
      <c r="A2152" s="136"/>
      <c r="CM2152" s="111"/>
      <c r="CQ2152" s="111"/>
      <c r="EF2152"/>
      <c r="EG2152"/>
      <c r="EH2152"/>
      <c r="EI2152"/>
      <c r="EJ2152"/>
      <c r="EK2152"/>
    </row>
    <row r="2153" spans="1:141" s="116" customFormat="1">
      <c r="A2153" s="136"/>
      <c r="CM2153" s="111"/>
      <c r="CQ2153" s="111"/>
      <c r="EF2153"/>
      <c r="EG2153"/>
      <c r="EH2153"/>
      <c r="EI2153"/>
      <c r="EJ2153"/>
      <c r="EK2153"/>
    </row>
    <row r="2154" spans="1:141" s="116" customFormat="1">
      <c r="A2154" s="136"/>
      <c r="CM2154" s="111"/>
      <c r="CQ2154" s="111"/>
      <c r="EF2154"/>
      <c r="EG2154"/>
      <c r="EH2154"/>
      <c r="EI2154"/>
      <c r="EJ2154"/>
      <c r="EK2154"/>
    </row>
    <row r="2155" spans="1:141" s="116" customFormat="1">
      <c r="A2155" s="136"/>
      <c r="CM2155" s="111"/>
      <c r="CQ2155" s="111"/>
      <c r="EF2155"/>
      <c r="EG2155"/>
      <c r="EH2155"/>
      <c r="EI2155"/>
      <c r="EJ2155"/>
      <c r="EK2155"/>
    </row>
    <row r="2156" spans="1:141" s="116" customFormat="1">
      <c r="A2156" s="136"/>
      <c r="CM2156" s="111"/>
      <c r="CQ2156" s="111"/>
      <c r="EF2156"/>
      <c r="EG2156"/>
      <c r="EH2156"/>
      <c r="EI2156"/>
      <c r="EJ2156"/>
      <c r="EK2156"/>
    </row>
    <row r="2157" spans="1:141" s="116" customFormat="1">
      <c r="A2157" s="136"/>
      <c r="CM2157" s="111"/>
      <c r="CQ2157" s="111"/>
      <c r="EF2157"/>
      <c r="EG2157"/>
      <c r="EH2157"/>
      <c r="EI2157"/>
      <c r="EJ2157"/>
      <c r="EK2157"/>
    </row>
    <row r="2158" spans="1:141" s="116" customFormat="1">
      <c r="A2158" s="136"/>
      <c r="CM2158" s="111"/>
      <c r="CQ2158" s="111"/>
      <c r="EF2158"/>
      <c r="EG2158"/>
      <c r="EH2158"/>
      <c r="EI2158"/>
      <c r="EJ2158"/>
      <c r="EK2158"/>
    </row>
    <row r="2159" spans="1:141" s="116" customFormat="1">
      <c r="A2159" s="136"/>
      <c r="CM2159" s="111"/>
      <c r="CQ2159" s="111"/>
      <c r="EF2159"/>
      <c r="EG2159"/>
      <c r="EH2159"/>
      <c r="EI2159"/>
      <c r="EJ2159"/>
      <c r="EK2159"/>
    </row>
    <row r="2160" spans="1:141" s="116" customFormat="1">
      <c r="A2160" s="136"/>
      <c r="CM2160" s="111"/>
      <c r="CQ2160" s="111"/>
      <c r="EF2160"/>
      <c r="EG2160"/>
      <c r="EH2160"/>
      <c r="EI2160"/>
      <c r="EJ2160"/>
      <c r="EK2160"/>
    </row>
    <row r="2161" spans="1:141" s="116" customFormat="1">
      <c r="A2161" s="136"/>
      <c r="CM2161" s="111"/>
      <c r="CQ2161" s="111"/>
      <c r="EF2161"/>
      <c r="EG2161"/>
      <c r="EH2161"/>
      <c r="EI2161"/>
      <c r="EJ2161"/>
      <c r="EK2161"/>
    </row>
    <row r="2162" spans="1:141" s="116" customFormat="1">
      <c r="A2162" s="136"/>
      <c r="CM2162" s="111"/>
      <c r="CQ2162" s="111"/>
      <c r="EF2162"/>
      <c r="EG2162"/>
      <c r="EH2162"/>
      <c r="EI2162"/>
      <c r="EJ2162"/>
      <c r="EK2162"/>
    </row>
    <row r="2163" spans="1:141" s="116" customFormat="1">
      <c r="A2163" s="136"/>
      <c r="CM2163" s="111"/>
      <c r="CQ2163" s="111"/>
      <c r="EF2163"/>
      <c r="EG2163"/>
      <c r="EH2163"/>
      <c r="EI2163"/>
      <c r="EJ2163"/>
      <c r="EK2163"/>
    </row>
    <row r="2164" spans="1:141" s="116" customFormat="1">
      <c r="A2164" s="136"/>
      <c r="CM2164" s="111"/>
      <c r="CQ2164" s="111"/>
      <c r="EF2164"/>
      <c r="EG2164"/>
      <c r="EH2164"/>
      <c r="EI2164"/>
      <c r="EJ2164"/>
      <c r="EK2164"/>
    </row>
    <row r="2165" spans="1:141" s="116" customFormat="1">
      <c r="A2165" s="136"/>
      <c r="CM2165" s="111"/>
      <c r="CQ2165" s="111"/>
      <c r="EF2165"/>
      <c r="EG2165"/>
      <c r="EH2165"/>
      <c r="EI2165"/>
      <c r="EJ2165"/>
      <c r="EK2165"/>
    </row>
    <row r="2166" spans="1:141" s="116" customFormat="1">
      <c r="A2166" s="136"/>
      <c r="CM2166" s="111"/>
      <c r="CQ2166" s="111"/>
      <c r="EF2166"/>
      <c r="EG2166"/>
      <c r="EH2166"/>
      <c r="EI2166"/>
      <c r="EJ2166"/>
      <c r="EK2166"/>
    </row>
    <row r="2167" spans="1:141" s="116" customFormat="1">
      <c r="A2167" s="136"/>
      <c r="CM2167" s="111"/>
      <c r="CQ2167" s="111"/>
      <c r="EF2167"/>
      <c r="EG2167"/>
      <c r="EH2167"/>
      <c r="EI2167"/>
      <c r="EJ2167"/>
      <c r="EK2167"/>
    </row>
    <row r="2168" spans="1:141" s="116" customFormat="1">
      <c r="A2168" s="136"/>
      <c r="CM2168" s="111"/>
      <c r="CQ2168" s="111"/>
      <c r="EF2168"/>
      <c r="EG2168"/>
      <c r="EH2168"/>
      <c r="EI2168"/>
      <c r="EJ2168"/>
      <c r="EK2168"/>
    </row>
    <row r="2169" spans="1:141" s="116" customFormat="1">
      <c r="A2169" s="136"/>
      <c r="CM2169" s="111"/>
      <c r="CQ2169" s="111"/>
      <c r="EF2169"/>
      <c r="EG2169"/>
      <c r="EH2169"/>
      <c r="EI2169"/>
      <c r="EJ2169"/>
      <c r="EK2169"/>
    </row>
    <row r="2170" spans="1:141" s="116" customFormat="1">
      <c r="A2170" s="136"/>
      <c r="CM2170" s="111"/>
      <c r="CQ2170" s="111"/>
      <c r="EF2170"/>
      <c r="EG2170"/>
      <c r="EH2170"/>
      <c r="EI2170"/>
      <c r="EJ2170"/>
      <c r="EK2170"/>
    </row>
    <row r="2171" spans="1:141" s="116" customFormat="1">
      <c r="A2171" s="136"/>
      <c r="CM2171" s="111"/>
      <c r="CQ2171" s="111"/>
      <c r="EF2171"/>
      <c r="EG2171"/>
      <c r="EH2171"/>
      <c r="EI2171"/>
      <c r="EJ2171"/>
      <c r="EK2171"/>
    </row>
    <row r="2172" spans="1:141" s="116" customFormat="1">
      <c r="A2172" s="136"/>
      <c r="CM2172" s="111"/>
      <c r="CQ2172" s="111"/>
      <c r="EF2172"/>
      <c r="EG2172"/>
      <c r="EH2172"/>
      <c r="EI2172"/>
      <c r="EJ2172"/>
      <c r="EK2172"/>
    </row>
    <row r="2173" spans="1:141" s="116" customFormat="1">
      <c r="A2173" s="136"/>
      <c r="CM2173" s="111"/>
      <c r="CQ2173" s="111"/>
      <c r="EF2173"/>
      <c r="EG2173"/>
      <c r="EH2173"/>
      <c r="EI2173"/>
      <c r="EJ2173"/>
      <c r="EK2173"/>
    </row>
    <row r="2174" spans="1:141" s="116" customFormat="1">
      <c r="A2174" s="136"/>
      <c r="CM2174" s="111"/>
      <c r="CQ2174" s="111"/>
      <c r="EF2174"/>
      <c r="EG2174"/>
      <c r="EH2174"/>
      <c r="EI2174"/>
      <c r="EJ2174"/>
      <c r="EK2174"/>
    </row>
    <row r="2175" spans="1:141" s="116" customFormat="1">
      <c r="A2175" s="136"/>
      <c r="CM2175" s="111"/>
      <c r="CQ2175" s="111"/>
      <c r="EF2175"/>
      <c r="EG2175"/>
      <c r="EH2175"/>
      <c r="EI2175"/>
      <c r="EJ2175"/>
      <c r="EK2175"/>
    </row>
    <row r="2176" spans="1:141" s="116" customFormat="1">
      <c r="A2176" s="136"/>
      <c r="CM2176" s="111"/>
      <c r="CQ2176" s="111"/>
      <c r="EF2176"/>
      <c r="EG2176"/>
      <c r="EH2176"/>
      <c r="EI2176"/>
      <c r="EJ2176"/>
      <c r="EK2176"/>
    </row>
    <row r="2177" spans="1:141" s="116" customFormat="1">
      <c r="A2177" s="136"/>
      <c r="CM2177" s="111"/>
      <c r="CQ2177" s="111"/>
      <c r="EF2177"/>
      <c r="EG2177"/>
      <c r="EH2177"/>
      <c r="EI2177"/>
      <c r="EJ2177"/>
      <c r="EK2177"/>
    </row>
    <row r="2178" spans="1:141" s="116" customFormat="1">
      <c r="A2178" s="136"/>
      <c r="CM2178" s="111"/>
      <c r="CQ2178" s="111"/>
      <c r="EF2178"/>
      <c r="EG2178"/>
      <c r="EH2178"/>
      <c r="EI2178"/>
      <c r="EJ2178"/>
      <c r="EK2178"/>
    </row>
    <row r="2179" spans="1:141" s="116" customFormat="1">
      <c r="A2179" s="136"/>
      <c r="CM2179" s="111"/>
      <c r="CQ2179" s="111"/>
      <c r="EF2179"/>
      <c r="EG2179"/>
      <c r="EH2179"/>
      <c r="EI2179"/>
      <c r="EJ2179"/>
      <c r="EK2179"/>
    </row>
    <row r="2180" spans="1:141" s="116" customFormat="1">
      <c r="A2180" s="136"/>
      <c r="CM2180" s="111"/>
      <c r="CQ2180" s="111"/>
      <c r="EF2180"/>
      <c r="EG2180"/>
      <c r="EH2180"/>
      <c r="EI2180"/>
      <c r="EJ2180"/>
      <c r="EK2180"/>
    </row>
    <row r="2181" spans="1:141" s="116" customFormat="1">
      <c r="A2181" s="136"/>
      <c r="CM2181" s="111"/>
      <c r="CQ2181" s="111"/>
      <c r="EF2181"/>
      <c r="EG2181"/>
      <c r="EH2181"/>
      <c r="EI2181"/>
      <c r="EJ2181"/>
      <c r="EK2181"/>
    </row>
    <row r="2182" spans="1:141" s="116" customFormat="1">
      <c r="A2182" s="136"/>
      <c r="CM2182" s="111"/>
      <c r="CQ2182" s="111"/>
      <c r="EF2182"/>
      <c r="EG2182"/>
      <c r="EH2182"/>
      <c r="EI2182"/>
      <c r="EJ2182"/>
      <c r="EK2182"/>
    </row>
    <row r="2183" spans="1:141" s="116" customFormat="1">
      <c r="A2183" s="136"/>
      <c r="CM2183" s="111"/>
      <c r="CQ2183" s="111"/>
      <c r="EF2183"/>
      <c r="EG2183"/>
      <c r="EH2183"/>
      <c r="EI2183"/>
      <c r="EJ2183"/>
      <c r="EK2183"/>
    </row>
    <row r="2184" spans="1:141" s="116" customFormat="1">
      <c r="A2184" s="136"/>
      <c r="CM2184" s="111"/>
      <c r="CQ2184" s="111"/>
      <c r="EF2184"/>
      <c r="EG2184"/>
      <c r="EH2184"/>
      <c r="EI2184"/>
      <c r="EJ2184"/>
      <c r="EK2184"/>
    </row>
    <row r="2185" spans="1:141" s="116" customFormat="1">
      <c r="A2185" s="136"/>
      <c r="CM2185" s="111"/>
      <c r="CQ2185" s="111"/>
      <c r="EF2185"/>
      <c r="EG2185"/>
      <c r="EH2185"/>
      <c r="EI2185"/>
      <c r="EJ2185"/>
      <c r="EK2185"/>
    </row>
    <row r="2186" spans="1:141" s="116" customFormat="1">
      <c r="A2186" s="136"/>
      <c r="CM2186" s="111"/>
      <c r="CQ2186" s="111"/>
      <c r="EF2186"/>
      <c r="EG2186"/>
      <c r="EH2186"/>
      <c r="EI2186"/>
      <c r="EJ2186"/>
      <c r="EK2186"/>
    </row>
    <row r="2187" spans="1:141" s="116" customFormat="1">
      <c r="A2187" s="136"/>
      <c r="CM2187" s="111"/>
      <c r="CQ2187" s="111"/>
      <c r="EF2187"/>
      <c r="EG2187"/>
      <c r="EH2187"/>
      <c r="EI2187"/>
      <c r="EJ2187"/>
      <c r="EK2187"/>
    </row>
    <row r="2188" spans="1:141" s="116" customFormat="1">
      <c r="A2188" s="136"/>
      <c r="CM2188" s="111"/>
      <c r="CQ2188" s="111"/>
      <c r="EF2188"/>
      <c r="EG2188"/>
      <c r="EH2188"/>
      <c r="EI2188"/>
      <c r="EJ2188"/>
      <c r="EK2188"/>
    </row>
    <row r="2189" spans="1:141" s="116" customFormat="1">
      <c r="A2189" s="136"/>
      <c r="CM2189" s="111"/>
      <c r="CQ2189" s="111"/>
      <c r="EF2189"/>
      <c r="EG2189"/>
      <c r="EH2189"/>
      <c r="EI2189"/>
      <c r="EJ2189"/>
      <c r="EK2189"/>
    </row>
    <row r="2190" spans="1:141" s="116" customFormat="1">
      <c r="A2190" s="136"/>
      <c r="CM2190" s="111"/>
      <c r="CQ2190" s="111"/>
      <c r="EF2190"/>
      <c r="EG2190"/>
      <c r="EH2190"/>
      <c r="EI2190"/>
      <c r="EJ2190"/>
      <c r="EK2190"/>
    </row>
    <row r="2191" spans="1:141" s="116" customFormat="1">
      <c r="A2191" s="136"/>
      <c r="CM2191" s="111"/>
      <c r="CQ2191" s="111"/>
      <c r="EF2191"/>
      <c r="EG2191"/>
      <c r="EH2191"/>
      <c r="EI2191"/>
      <c r="EJ2191"/>
      <c r="EK2191"/>
    </row>
    <row r="2192" spans="1:141" s="116" customFormat="1">
      <c r="A2192" s="136"/>
      <c r="CM2192" s="111"/>
      <c r="CQ2192" s="111"/>
      <c r="EF2192"/>
      <c r="EG2192"/>
      <c r="EH2192"/>
      <c r="EI2192"/>
      <c r="EJ2192"/>
      <c r="EK2192"/>
    </row>
    <row r="2193" spans="1:141" s="116" customFormat="1">
      <c r="A2193" s="136"/>
      <c r="CM2193" s="111"/>
      <c r="CQ2193" s="111"/>
      <c r="EF2193"/>
      <c r="EG2193"/>
      <c r="EH2193"/>
      <c r="EI2193"/>
      <c r="EJ2193"/>
      <c r="EK2193"/>
    </row>
    <row r="2194" spans="1:141" s="116" customFormat="1">
      <c r="A2194" s="136"/>
      <c r="CM2194" s="111"/>
      <c r="CQ2194" s="111"/>
      <c r="EF2194"/>
      <c r="EG2194"/>
      <c r="EH2194"/>
      <c r="EI2194"/>
      <c r="EJ2194"/>
      <c r="EK2194"/>
    </row>
    <row r="2195" spans="1:141" s="116" customFormat="1">
      <c r="A2195" s="136"/>
      <c r="CM2195" s="111"/>
      <c r="CQ2195" s="111"/>
      <c r="EF2195"/>
      <c r="EG2195"/>
      <c r="EH2195"/>
      <c r="EI2195"/>
      <c r="EJ2195"/>
      <c r="EK2195"/>
    </row>
    <row r="2196" spans="1:141" s="116" customFormat="1">
      <c r="A2196" s="136"/>
      <c r="CM2196" s="111"/>
      <c r="CQ2196" s="111"/>
      <c r="EF2196"/>
      <c r="EG2196"/>
      <c r="EH2196"/>
      <c r="EI2196"/>
      <c r="EJ2196"/>
      <c r="EK2196"/>
    </row>
    <row r="2197" spans="1:141" s="116" customFormat="1">
      <c r="A2197" s="136"/>
      <c r="CM2197" s="111"/>
      <c r="CQ2197" s="111"/>
      <c r="EF2197"/>
      <c r="EG2197"/>
      <c r="EH2197"/>
      <c r="EI2197"/>
      <c r="EJ2197"/>
      <c r="EK2197"/>
    </row>
    <row r="2198" spans="1:141" s="116" customFormat="1">
      <c r="A2198" s="136"/>
      <c r="CM2198" s="111"/>
      <c r="CQ2198" s="111"/>
      <c r="EF2198"/>
      <c r="EG2198"/>
      <c r="EH2198"/>
      <c r="EI2198"/>
      <c r="EJ2198"/>
      <c r="EK2198"/>
    </row>
    <row r="2199" spans="1:141" s="116" customFormat="1">
      <c r="A2199" s="136"/>
      <c r="CM2199" s="111"/>
      <c r="CQ2199" s="111"/>
      <c r="EF2199"/>
      <c r="EG2199"/>
      <c r="EH2199"/>
      <c r="EI2199"/>
      <c r="EJ2199"/>
      <c r="EK2199"/>
    </row>
    <row r="2200" spans="1:141" s="116" customFormat="1">
      <c r="A2200" s="136"/>
      <c r="CM2200" s="111"/>
      <c r="CQ2200" s="111"/>
      <c r="EF2200"/>
      <c r="EG2200"/>
      <c r="EH2200"/>
      <c r="EI2200"/>
      <c r="EJ2200"/>
      <c r="EK2200"/>
    </row>
    <row r="2201" spans="1:141" s="116" customFormat="1">
      <c r="A2201" s="136"/>
      <c r="CM2201" s="111"/>
      <c r="CQ2201" s="111"/>
      <c r="EF2201"/>
      <c r="EG2201"/>
      <c r="EH2201"/>
      <c r="EI2201"/>
      <c r="EJ2201"/>
      <c r="EK2201"/>
    </row>
    <row r="2202" spans="1:141" s="116" customFormat="1">
      <c r="A2202" s="136"/>
      <c r="CM2202" s="111"/>
      <c r="CQ2202" s="111"/>
      <c r="EF2202"/>
      <c r="EG2202"/>
      <c r="EH2202"/>
      <c r="EI2202"/>
      <c r="EJ2202"/>
      <c r="EK2202"/>
    </row>
    <row r="2203" spans="1:141" s="116" customFormat="1">
      <c r="A2203" s="136"/>
      <c r="CM2203" s="111"/>
      <c r="CQ2203" s="111"/>
      <c r="EF2203"/>
      <c r="EG2203"/>
      <c r="EH2203"/>
      <c r="EI2203"/>
      <c r="EJ2203"/>
      <c r="EK2203"/>
    </row>
    <row r="2204" spans="1:141" s="116" customFormat="1">
      <c r="A2204" s="136"/>
      <c r="CM2204" s="111"/>
      <c r="CQ2204" s="111"/>
      <c r="EF2204"/>
      <c r="EG2204"/>
      <c r="EH2204"/>
      <c r="EI2204"/>
      <c r="EJ2204"/>
      <c r="EK2204"/>
    </row>
    <row r="2205" spans="1:141" s="116" customFormat="1">
      <c r="A2205" s="136"/>
      <c r="CM2205" s="111"/>
      <c r="CQ2205" s="111"/>
      <c r="EF2205"/>
      <c r="EG2205"/>
      <c r="EH2205"/>
      <c r="EI2205"/>
      <c r="EJ2205"/>
      <c r="EK2205"/>
    </row>
    <row r="2206" spans="1:141" s="116" customFormat="1">
      <c r="A2206" s="136"/>
      <c r="CM2206" s="111"/>
      <c r="CQ2206" s="111"/>
      <c r="EF2206"/>
      <c r="EG2206"/>
      <c r="EH2206"/>
      <c r="EI2206"/>
      <c r="EJ2206"/>
      <c r="EK2206"/>
    </row>
    <row r="2207" spans="1:141" s="116" customFormat="1">
      <c r="A2207" s="136"/>
      <c r="CM2207" s="111"/>
      <c r="CQ2207" s="111"/>
      <c r="EF2207"/>
      <c r="EG2207"/>
      <c r="EH2207"/>
      <c r="EI2207"/>
      <c r="EJ2207"/>
      <c r="EK2207"/>
    </row>
    <row r="2208" spans="1:141" s="116" customFormat="1">
      <c r="A2208" s="136"/>
      <c r="CM2208" s="111"/>
      <c r="CQ2208" s="111"/>
      <c r="EF2208"/>
      <c r="EG2208"/>
      <c r="EH2208"/>
      <c r="EI2208"/>
      <c r="EJ2208"/>
      <c r="EK2208"/>
    </row>
    <row r="2209" spans="1:141" s="116" customFormat="1">
      <c r="A2209" s="136"/>
      <c r="CM2209" s="111"/>
      <c r="CQ2209" s="111"/>
      <c r="EF2209"/>
      <c r="EG2209"/>
      <c r="EH2209"/>
      <c r="EI2209"/>
      <c r="EJ2209"/>
      <c r="EK2209"/>
    </row>
    <row r="2210" spans="1:141" s="116" customFormat="1">
      <c r="A2210" s="136"/>
      <c r="CM2210" s="111"/>
      <c r="CQ2210" s="111"/>
      <c r="EF2210"/>
      <c r="EG2210"/>
      <c r="EH2210"/>
      <c r="EI2210"/>
      <c r="EJ2210"/>
      <c r="EK2210"/>
    </row>
    <row r="2211" spans="1:141" s="116" customFormat="1">
      <c r="A2211" s="136"/>
      <c r="CM2211" s="111"/>
      <c r="CQ2211" s="111"/>
      <c r="EF2211"/>
      <c r="EG2211"/>
      <c r="EH2211"/>
      <c r="EI2211"/>
      <c r="EJ2211"/>
      <c r="EK2211"/>
    </row>
    <row r="2212" spans="1:141" s="116" customFormat="1">
      <c r="A2212" s="136"/>
      <c r="CM2212" s="111"/>
      <c r="CQ2212" s="111"/>
      <c r="EF2212"/>
      <c r="EG2212"/>
      <c r="EH2212"/>
      <c r="EI2212"/>
      <c r="EJ2212"/>
      <c r="EK2212"/>
    </row>
    <row r="2213" spans="1:141" s="116" customFormat="1">
      <c r="A2213" s="136"/>
      <c r="CM2213" s="111"/>
      <c r="CQ2213" s="111"/>
      <c r="EF2213"/>
      <c r="EG2213"/>
      <c r="EH2213"/>
      <c r="EI2213"/>
      <c r="EJ2213"/>
      <c r="EK2213"/>
    </row>
    <row r="2214" spans="1:141" s="116" customFormat="1">
      <c r="A2214" s="136"/>
      <c r="CM2214" s="111"/>
      <c r="CQ2214" s="111"/>
      <c r="EF2214"/>
      <c r="EG2214"/>
      <c r="EH2214"/>
      <c r="EI2214"/>
      <c r="EJ2214"/>
      <c r="EK2214"/>
    </row>
    <row r="2215" spans="1:141" s="116" customFormat="1">
      <c r="A2215" s="136"/>
      <c r="CM2215" s="111"/>
      <c r="CQ2215" s="111"/>
      <c r="EF2215"/>
      <c r="EG2215"/>
      <c r="EH2215"/>
      <c r="EI2215"/>
      <c r="EJ2215"/>
      <c r="EK2215"/>
    </row>
    <row r="2216" spans="1:141" s="116" customFormat="1">
      <c r="A2216" s="136"/>
      <c r="CM2216" s="111"/>
      <c r="CQ2216" s="111"/>
      <c r="EF2216"/>
      <c r="EG2216"/>
      <c r="EH2216"/>
      <c r="EI2216"/>
      <c r="EJ2216"/>
      <c r="EK2216"/>
    </row>
    <row r="2217" spans="1:141" s="116" customFormat="1">
      <c r="A2217" s="136"/>
      <c r="CM2217" s="111"/>
      <c r="CQ2217" s="111"/>
      <c r="EF2217"/>
      <c r="EG2217"/>
      <c r="EH2217"/>
      <c r="EI2217"/>
      <c r="EJ2217"/>
      <c r="EK2217"/>
    </row>
    <row r="2218" spans="1:141" s="116" customFormat="1">
      <c r="A2218" s="136"/>
      <c r="CM2218" s="111"/>
      <c r="CQ2218" s="111"/>
      <c r="EF2218"/>
      <c r="EG2218"/>
      <c r="EH2218"/>
      <c r="EI2218"/>
      <c r="EJ2218"/>
      <c r="EK2218"/>
    </row>
    <row r="2219" spans="1:141" s="116" customFormat="1">
      <c r="A2219" s="136"/>
      <c r="CM2219" s="111"/>
      <c r="CQ2219" s="111"/>
      <c r="EF2219"/>
      <c r="EG2219"/>
      <c r="EH2219"/>
      <c r="EI2219"/>
      <c r="EJ2219"/>
      <c r="EK2219"/>
    </row>
    <row r="2220" spans="1:141" s="116" customFormat="1">
      <c r="A2220" s="136"/>
      <c r="CM2220" s="111"/>
      <c r="CQ2220" s="111"/>
      <c r="EF2220"/>
      <c r="EG2220"/>
      <c r="EH2220"/>
      <c r="EI2220"/>
      <c r="EJ2220"/>
      <c r="EK2220"/>
    </row>
    <row r="2221" spans="1:141" s="116" customFormat="1">
      <c r="A2221" s="136"/>
      <c r="CM2221" s="111"/>
      <c r="CQ2221" s="111"/>
      <c r="EF2221"/>
      <c r="EG2221"/>
      <c r="EH2221"/>
      <c r="EI2221"/>
      <c r="EJ2221"/>
      <c r="EK2221"/>
    </row>
    <row r="2222" spans="1:141" s="116" customFormat="1">
      <c r="A2222" s="136"/>
      <c r="CM2222" s="111"/>
      <c r="CQ2222" s="111"/>
      <c r="EF2222"/>
      <c r="EG2222"/>
      <c r="EH2222"/>
      <c r="EI2222"/>
      <c r="EJ2222"/>
      <c r="EK2222"/>
    </row>
    <row r="2223" spans="1:141" s="116" customFormat="1">
      <c r="A2223" s="136"/>
      <c r="CM2223" s="111"/>
      <c r="CQ2223" s="111"/>
      <c r="EF2223"/>
      <c r="EG2223"/>
      <c r="EH2223"/>
      <c r="EI2223"/>
      <c r="EJ2223"/>
      <c r="EK2223"/>
    </row>
    <row r="2224" spans="1:141" s="116" customFormat="1">
      <c r="A2224" s="136"/>
      <c r="CM2224" s="111"/>
      <c r="CQ2224" s="111"/>
      <c r="EF2224"/>
      <c r="EG2224"/>
      <c r="EH2224"/>
      <c r="EI2224"/>
      <c r="EJ2224"/>
      <c r="EK2224"/>
    </row>
    <row r="2225" spans="1:141" s="116" customFormat="1">
      <c r="A2225" s="136"/>
      <c r="CM2225" s="111"/>
      <c r="CQ2225" s="111"/>
      <c r="EF2225"/>
      <c r="EG2225"/>
      <c r="EH2225"/>
      <c r="EI2225"/>
      <c r="EJ2225"/>
      <c r="EK2225"/>
    </row>
    <row r="2226" spans="1:141" s="116" customFormat="1">
      <c r="A2226" s="136"/>
      <c r="CM2226" s="111"/>
      <c r="CQ2226" s="111"/>
      <c r="EF2226"/>
      <c r="EG2226"/>
      <c r="EH2226"/>
      <c r="EI2226"/>
      <c r="EJ2226"/>
      <c r="EK2226"/>
    </row>
    <row r="2227" spans="1:141" s="116" customFormat="1">
      <c r="A2227" s="136"/>
      <c r="CM2227" s="111"/>
      <c r="CQ2227" s="111"/>
      <c r="EF2227"/>
      <c r="EG2227"/>
      <c r="EH2227"/>
      <c r="EI2227"/>
      <c r="EJ2227"/>
      <c r="EK2227"/>
    </row>
    <row r="2228" spans="1:141" s="116" customFormat="1">
      <c r="A2228" s="136"/>
      <c r="CM2228" s="111"/>
      <c r="CQ2228" s="111"/>
      <c r="EF2228"/>
      <c r="EG2228"/>
      <c r="EH2228"/>
      <c r="EI2228"/>
      <c r="EJ2228"/>
      <c r="EK2228"/>
    </row>
    <row r="2229" spans="1:141" s="116" customFormat="1">
      <c r="A2229" s="136"/>
      <c r="CM2229" s="111"/>
      <c r="CQ2229" s="111"/>
      <c r="EF2229"/>
      <c r="EG2229"/>
      <c r="EH2229"/>
      <c r="EI2229"/>
      <c r="EJ2229"/>
      <c r="EK2229"/>
    </row>
    <row r="2230" spans="1:141" s="116" customFormat="1">
      <c r="A2230" s="136"/>
      <c r="CM2230" s="111"/>
      <c r="CQ2230" s="111"/>
      <c r="EF2230"/>
      <c r="EG2230"/>
      <c r="EH2230"/>
      <c r="EI2230"/>
      <c r="EJ2230"/>
      <c r="EK2230"/>
    </row>
    <row r="2231" spans="1:141" s="116" customFormat="1">
      <c r="A2231" s="136"/>
      <c r="CM2231" s="111"/>
      <c r="CQ2231" s="111"/>
      <c r="EF2231"/>
      <c r="EG2231"/>
      <c r="EH2231"/>
      <c r="EI2231"/>
      <c r="EJ2231"/>
      <c r="EK2231"/>
    </row>
    <row r="2232" spans="1:141" s="116" customFormat="1">
      <c r="A2232" s="136"/>
      <c r="CM2232" s="111"/>
      <c r="CQ2232" s="111"/>
      <c r="EF2232"/>
      <c r="EG2232"/>
      <c r="EH2232"/>
      <c r="EI2232"/>
      <c r="EJ2232"/>
      <c r="EK2232"/>
    </row>
    <row r="2233" spans="1:141" s="116" customFormat="1">
      <c r="A2233" s="136"/>
      <c r="CM2233" s="111"/>
      <c r="CQ2233" s="111"/>
      <c r="EF2233"/>
      <c r="EG2233"/>
      <c r="EH2233"/>
      <c r="EI2233"/>
      <c r="EJ2233"/>
      <c r="EK2233"/>
    </row>
    <row r="2234" spans="1:141" s="116" customFormat="1">
      <c r="A2234" s="136"/>
      <c r="CM2234" s="111"/>
      <c r="CQ2234" s="111"/>
      <c r="EF2234"/>
      <c r="EG2234"/>
      <c r="EH2234"/>
      <c r="EI2234"/>
      <c r="EJ2234"/>
      <c r="EK2234"/>
    </row>
    <row r="2235" spans="1:141" s="116" customFormat="1">
      <c r="A2235" s="136"/>
      <c r="CM2235" s="111"/>
      <c r="CQ2235" s="111"/>
      <c r="EF2235"/>
      <c r="EG2235"/>
      <c r="EH2235"/>
      <c r="EI2235"/>
      <c r="EJ2235"/>
      <c r="EK2235"/>
    </row>
    <row r="2236" spans="1:141" s="116" customFormat="1">
      <c r="A2236" s="136"/>
      <c r="CM2236" s="111"/>
      <c r="CQ2236" s="111"/>
      <c r="EF2236"/>
      <c r="EG2236"/>
      <c r="EH2236"/>
      <c r="EI2236"/>
      <c r="EJ2236"/>
      <c r="EK2236"/>
    </row>
    <row r="2237" spans="1:141" s="116" customFormat="1">
      <c r="A2237" s="136"/>
      <c r="CM2237" s="111"/>
      <c r="CQ2237" s="111"/>
      <c r="EF2237"/>
      <c r="EG2237"/>
      <c r="EH2237"/>
      <c r="EI2237"/>
      <c r="EJ2237"/>
      <c r="EK2237"/>
    </row>
    <row r="2238" spans="1:141" s="116" customFormat="1">
      <c r="A2238" s="136"/>
      <c r="CM2238" s="111"/>
      <c r="CQ2238" s="111"/>
      <c r="EF2238"/>
      <c r="EG2238"/>
      <c r="EH2238"/>
      <c r="EI2238"/>
      <c r="EJ2238"/>
      <c r="EK2238"/>
    </row>
    <row r="2239" spans="1:141" s="116" customFormat="1">
      <c r="A2239" s="136"/>
      <c r="CM2239" s="111"/>
      <c r="CQ2239" s="111"/>
      <c r="EF2239"/>
      <c r="EG2239"/>
      <c r="EH2239"/>
      <c r="EI2239"/>
      <c r="EJ2239"/>
      <c r="EK2239"/>
    </row>
    <row r="2240" spans="1:141" s="116" customFormat="1">
      <c r="A2240" s="136"/>
      <c r="CM2240" s="111"/>
      <c r="CQ2240" s="111"/>
      <c r="EF2240"/>
      <c r="EG2240"/>
      <c r="EH2240"/>
      <c r="EI2240"/>
      <c r="EJ2240"/>
      <c r="EK2240"/>
    </row>
    <row r="2241" spans="1:141" s="116" customFormat="1">
      <c r="A2241" s="136"/>
      <c r="CM2241" s="111"/>
      <c r="CQ2241" s="111"/>
      <c r="EF2241"/>
      <c r="EG2241"/>
      <c r="EH2241"/>
      <c r="EI2241"/>
      <c r="EJ2241"/>
      <c r="EK2241"/>
    </row>
    <row r="2242" spans="1:141" s="116" customFormat="1">
      <c r="A2242" s="136"/>
      <c r="CM2242" s="111"/>
      <c r="CQ2242" s="111"/>
      <c r="EF2242"/>
      <c r="EG2242"/>
      <c r="EH2242"/>
      <c r="EI2242"/>
      <c r="EJ2242"/>
      <c r="EK2242"/>
    </row>
    <row r="2243" spans="1:141" s="116" customFormat="1">
      <c r="A2243" s="136"/>
      <c r="CM2243" s="111"/>
      <c r="CQ2243" s="111"/>
      <c r="EF2243"/>
      <c r="EG2243"/>
      <c r="EH2243"/>
      <c r="EI2243"/>
      <c r="EJ2243"/>
      <c r="EK2243"/>
    </row>
    <row r="2244" spans="1:141" s="116" customFormat="1">
      <c r="A2244" s="136"/>
      <c r="CM2244" s="111"/>
      <c r="CQ2244" s="111"/>
      <c r="EF2244"/>
      <c r="EG2244"/>
      <c r="EH2244"/>
      <c r="EI2244"/>
      <c r="EJ2244"/>
      <c r="EK2244"/>
    </row>
    <row r="2245" spans="1:141" s="116" customFormat="1">
      <c r="A2245" s="136"/>
      <c r="CM2245" s="111"/>
      <c r="CQ2245" s="111"/>
      <c r="EF2245"/>
      <c r="EG2245"/>
      <c r="EH2245"/>
      <c r="EI2245"/>
      <c r="EJ2245"/>
      <c r="EK2245"/>
    </row>
    <row r="2246" spans="1:141" s="116" customFormat="1">
      <c r="A2246" s="136"/>
      <c r="CM2246" s="111"/>
      <c r="CQ2246" s="111"/>
      <c r="EF2246"/>
      <c r="EG2246"/>
      <c r="EH2246"/>
      <c r="EI2246"/>
      <c r="EJ2246"/>
      <c r="EK2246"/>
    </row>
    <row r="2247" spans="1:141" s="116" customFormat="1">
      <c r="A2247" s="136"/>
      <c r="CM2247" s="111"/>
      <c r="CQ2247" s="111"/>
      <c r="EF2247"/>
      <c r="EG2247"/>
      <c r="EH2247"/>
      <c r="EI2247"/>
      <c r="EJ2247"/>
      <c r="EK2247"/>
    </row>
    <row r="2248" spans="1:141" s="116" customFormat="1">
      <c r="A2248" s="136"/>
      <c r="CM2248" s="111"/>
      <c r="CQ2248" s="111"/>
      <c r="EF2248"/>
      <c r="EG2248"/>
      <c r="EH2248"/>
      <c r="EI2248"/>
      <c r="EJ2248"/>
      <c r="EK2248"/>
    </row>
    <row r="2249" spans="1:141" s="116" customFormat="1">
      <c r="A2249" s="136"/>
      <c r="CM2249" s="111"/>
      <c r="CQ2249" s="111"/>
      <c r="EF2249"/>
      <c r="EG2249"/>
      <c r="EH2249"/>
      <c r="EI2249"/>
      <c r="EJ2249"/>
      <c r="EK2249"/>
    </row>
    <row r="2250" spans="1:141" s="116" customFormat="1">
      <c r="A2250" s="136"/>
      <c r="CM2250" s="111"/>
      <c r="CQ2250" s="111"/>
      <c r="EF2250"/>
      <c r="EG2250"/>
      <c r="EH2250"/>
      <c r="EI2250"/>
      <c r="EJ2250"/>
      <c r="EK2250"/>
    </row>
    <row r="2251" spans="1:141" s="116" customFormat="1">
      <c r="A2251" s="136"/>
      <c r="CM2251" s="111"/>
      <c r="CQ2251" s="111"/>
      <c r="EF2251"/>
      <c r="EG2251"/>
      <c r="EH2251"/>
      <c r="EI2251"/>
      <c r="EJ2251"/>
      <c r="EK2251"/>
    </row>
    <row r="2252" spans="1:141" s="116" customFormat="1">
      <c r="A2252" s="136"/>
      <c r="CM2252" s="111"/>
      <c r="CQ2252" s="111"/>
      <c r="EF2252"/>
      <c r="EG2252"/>
      <c r="EH2252"/>
      <c r="EI2252"/>
      <c r="EJ2252"/>
      <c r="EK2252"/>
    </row>
    <row r="2253" spans="1:141" s="116" customFormat="1">
      <c r="A2253" s="136"/>
      <c r="CM2253" s="111"/>
      <c r="CQ2253" s="111"/>
      <c r="EF2253"/>
      <c r="EG2253"/>
      <c r="EH2253"/>
      <c r="EI2253"/>
      <c r="EJ2253"/>
      <c r="EK2253"/>
    </row>
    <row r="2254" spans="1:141" s="116" customFormat="1">
      <c r="A2254" s="136"/>
      <c r="CM2254" s="111"/>
      <c r="CQ2254" s="111"/>
      <c r="EF2254"/>
      <c r="EG2254"/>
      <c r="EH2254"/>
      <c r="EI2254"/>
      <c r="EJ2254"/>
      <c r="EK2254"/>
    </row>
    <row r="2255" spans="1:141" s="116" customFormat="1">
      <c r="A2255" s="136"/>
      <c r="CM2255" s="111"/>
      <c r="CQ2255" s="111"/>
      <c r="EF2255"/>
      <c r="EG2255"/>
      <c r="EH2255"/>
      <c r="EI2255"/>
      <c r="EJ2255"/>
      <c r="EK2255"/>
    </row>
    <row r="2256" spans="1:141" s="116" customFormat="1">
      <c r="A2256" s="136"/>
      <c r="CM2256" s="111"/>
      <c r="CQ2256" s="111"/>
      <c r="EF2256"/>
      <c r="EG2256"/>
      <c r="EH2256"/>
      <c r="EI2256"/>
      <c r="EJ2256"/>
      <c r="EK2256"/>
    </row>
    <row r="2257" spans="1:141" s="116" customFormat="1">
      <c r="A2257" s="136"/>
      <c r="CM2257" s="111"/>
      <c r="CQ2257" s="111"/>
      <c r="EF2257"/>
      <c r="EG2257"/>
      <c r="EH2257"/>
      <c r="EI2257"/>
      <c r="EJ2257"/>
      <c r="EK2257"/>
    </row>
    <row r="2258" spans="1:141" s="116" customFormat="1">
      <c r="A2258" s="136"/>
      <c r="CM2258" s="111"/>
      <c r="CQ2258" s="111"/>
      <c r="EF2258"/>
      <c r="EG2258"/>
      <c r="EH2258"/>
      <c r="EI2258"/>
      <c r="EJ2258"/>
      <c r="EK2258"/>
    </row>
    <row r="2259" spans="1:141" s="116" customFormat="1">
      <c r="A2259" s="136"/>
      <c r="CM2259" s="111"/>
      <c r="CQ2259" s="111"/>
      <c r="EF2259"/>
      <c r="EG2259"/>
      <c r="EH2259"/>
      <c r="EI2259"/>
      <c r="EJ2259"/>
      <c r="EK2259"/>
    </row>
    <row r="2260" spans="1:141" s="116" customFormat="1">
      <c r="A2260" s="136"/>
      <c r="CM2260" s="111"/>
      <c r="CQ2260" s="111"/>
      <c r="EF2260"/>
      <c r="EG2260"/>
      <c r="EH2260"/>
      <c r="EI2260"/>
      <c r="EJ2260"/>
      <c r="EK2260"/>
    </row>
    <row r="2261" spans="1:141" s="116" customFormat="1">
      <c r="A2261" s="136"/>
      <c r="CM2261" s="111"/>
      <c r="CQ2261" s="111"/>
      <c r="EF2261"/>
      <c r="EG2261"/>
      <c r="EH2261"/>
      <c r="EI2261"/>
      <c r="EJ2261"/>
      <c r="EK2261"/>
    </row>
    <row r="2262" spans="1:141" s="116" customFormat="1">
      <c r="A2262" s="136"/>
      <c r="CM2262" s="111"/>
      <c r="CQ2262" s="111"/>
      <c r="EF2262"/>
      <c r="EG2262"/>
      <c r="EH2262"/>
      <c r="EI2262"/>
      <c r="EJ2262"/>
      <c r="EK2262"/>
    </row>
    <row r="2263" spans="1:141" s="116" customFormat="1">
      <c r="A2263" s="136"/>
      <c r="CM2263" s="111"/>
      <c r="CQ2263" s="111"/>
      <c r="EF2263"/>
      <c r="EG2263"/>
      <c r="EH2263"/>
      <c r="EI2263"/>
      <c r="EJ2263"/>
      <c r="EK2263"/>
    </row>
    <row r="2264" spans="1:141" s="116" customFormat="1">
      <c r="A2264" s="136"/>
      <c r="CM2264" s="111"/>
      <c r="CQ2264" s="111"/>
      <c r="EF2264"/>
      <c r="EG2264"/>
      <c r="EH2264"/>
      <c r="EI2264"/>
      <c r="EJ2264"/>
      <c r="EK2264"/>
    </row>
    <row r="2265" spans="1:141" s="116" customFormat="1">
      <c r="A2265" s="136"/>
      <c r="CM2265" s="111"/>
      <c r="CQ2265" s="111"/>
      <c r="EF2265"/>
      <c r="EG2265"/>
      <c r="EH2265"/>
      <c r="EI2265"/>
      <c r="EJ2265"/>
      <c r="EK2265"/>
    </row>
    <row r="2266" spans="1:141" s="116" customFormat="1">
      <c r="A2266" s="136"/>
      <c r="CM2266" s="111"/>
      <c r="CQ2266" s="111"/>
      <c r="EF2266"/>
      <c r="EG2266"/>
      <c r="EH2266"/>
      <c r="EI2266"/>
      <c r="EJ2266"/>
      <c r="EK2266"/>
    </row>
    <row r="2267" spans="1:141" s="116" customFormat="1">
      <c r="A2267" s="136"/>
      <c r="CM2267" s="111"/>
      <c r="CQ2267" s="111"/>
      <c r="EF2267"/>
      <c r="EG2267"/>
      <c r="EH2267"/>
      <c r="EI2267"/>
      <c r="EJ2267"/>
      <c r="EK2267"/>
    </row>
    <row r="2268" spans="1:141" s="116" customFormat="1">
      <c r="A2268" s="136"/>
      <c r="CM2268" s="111"/>
      <c r="CQ2268" s="111"/>
      <c r="EF2268"/>
      <c r="EG2268"/>
      <c r="EH2268"/>
      <c r="EI2268"/>
      <c r="EJ2268"/>
      <c r="EK2268"/>
    </row>
    <row r="2269" spans="1:141" s="116" customFormat="1">
      <c r="A2269" s="136"/>
      <c r="CM2269" s="111"/>
      <c r="CQ2269" s="111"/>
      <c r="EF2269"/>
      <c r="EG2269"/>
      <c r="EH2269"/>
      <c r="EI2269"/>
      <c r="EJ2269"/>
      <c r="EK2269"/>
    </row>
    <row r="2270" spans="1:141" s="116" customFormat="1">
      <c r="A2270" s="136"/>
      <c r="CM2270" s="111"/>
      <c r="CQ2270" s="111"/>
      <c r="EF2270"/>
      <c r="EG2270"/>
      <c r="EH2270"/>
      <c r="EI2270"/>
      <c r="EJ2270"/>
      <c r="EK2270"/>
    </row>
    <row r="2271" spans="1:141" s="116" customFormat="1">
      <c r="A2271" s="136"/>
      <c r="CM2271" s="111"/>
      <c r="CQ2271" s="111"/>
      <c r="EF2271"/>
      <c r="EG2271"/>
      <c r="EH2271"/>
      <c r="EI2271"/>
      <c r="EJ2271"/>
      <c r="EK2271"/>
    </row>
    <row r="2272" spans="1:141" s="116" customFormat="1">
      <c r="A2272" s="136"/>
      <c r="CM2272" s="111"/>
      <c r="CQ2272" s="111"/>
      <c r="EF2272"/>
      <c r="EG2272"/>
      <c r="EH2272"/>
      <c r="EI2272"/>
      <c r="EJ2272"/>
      <c r="EK2272"/>
    </row>
    <row r="2273" spans="1:141" s="116" customFormat="1">
      <c r="A2273" s="136"/>
      <c r="CM2273" s="111"/>
      <c r="CQ2273" s="111"/>
      <c r="EF2273"/>
      <c r="EG2273"/>
      <c r="EH2273"/>
      <c r="EI2273"/>
      <c r="EJ2273"/>
      <c r="EK2273"/>
    </row>
    <row r="2274" spans="1:141" s="116" customFormat="1">
      <c r="A2274" s="136"/>
      <c r="CM2274" s="111"/>
      <c r="CQ2274" s="111"/>
      <c r="EF2274"/>
      <c r="EG2274"/>
      <c r="EH2274"/>
      <c r="EI2274"/>
      <c r="EJ2274"/>
      <c r="EK2274"/>
    </row>
    <row r="2275" spans="1:141" s="116" customFormat="1">
      <c r="A2275" s="136"/>
      <c r="CM2275" s="111"/>
      <c r="CQ2275" s="111"/>
      <c r="EF2275"/>
      <c r="EG2275"/>
      <c r="EH2275"/>
      <c r="EI2275"/>
      <c r="EJ2275"/>
      <c r="EK2275"/>
    </row>
    <row r="2276" spans="1:141" s="116" customFormat="1">
      <c r="A2276" s="136"/>
      <c r="CM2276" s="111"/>
      <c r="CQ2276" s="111"/>
      <c r="EF2276"/>
      <c r="EG2276"/>
      <c r="EH2276"/>
      <c r="EI2276"/>
      <c r="EJ2276"/>
      <c r="EK2276"/>
    </row>
    <row r="2277" spans="1:141" s="116" customFormat="1">
      <c r="A2277" s="136"/>
      <c r="CM2277" s="111"/>
      <c r="CQ2277" s="111"/>
      <c r="EF2277"/>
      <c r="EG2277"/>
      <c r="EH2277"/>
      <c r="EI2277"/>
      <c r="EJ2277"/>
      <c r="EK2277"/>
    </row>
    <row r="2278" spans="1:141" s="116" customFormat="1">
      <c r="A2278" s="136"/>
      <c r="CM2278" s="111"/>
      <c r="CQ2278" s="111"/>
      <c r="EF2278"/>
      <c r="EG2278"/>
      <c r="EH2278"/>
      <c r="EI2278"/>
      <c r="EJ2278"/>
      <c r="EK2278"/>
    </row>
    <row r="2279" spans="1:141" s="116" customFormat="1">
      <c r="A2279" s="136"/>
      <c r="CM2279" s="111"/>
      <c r="CQ2279" s="111"/>
      <c r="EF2279"/>
      <c r="EG2279"/>
      <c r="EH2279"/>
      <c r="EI2279"/>
      <c r="EJ2279"/>
      <c r="EK2279"/>
    </row>
    <row r="2280" spans="1:141" s="116" customFormat="1">
      <c r="A2280" s="136"/>
      <c r="CM2280" s="111"/>
      <c r="CQ2280" s="111"/>
      <c r="EF2280"/>
      <c r="EG2280"/>
      <c r="EH2280"/>
      <c r="EI2280"/>
      <c r="EJ2280"/>
      <c r="EK2280"/>
    </row>
    <row r="2281" spans="1:141" s="116" customFormat="1">
      <c r="A2281" s="136"/>
      <c r="CM2281" s="111"/>
      <c r="CQ2281" s="111"/>
      <c r="EF2281"/>
      <c r="EG2281"/>
      <c r="EH2281"/>
      <c r="EI2281"/>
      <c r="EJ2281"/>
      <c r="EK2281"/>
    </row>
    <row r="2282" spans="1:141" s="116" customFormat="1">
      <c r="A2282" s="136"/>
      <c r="CM2282" s="111"/>
      <c r="CQ2282" s="111"/>
      <c r="EF2282"/>
      <c r="EG2282"/>
      <c r="EH2282"/>
      <c r="EI2282"/>
      <c r="EJ2282"/>
      <c r="EK2282"/>
    </row>
    <row r="2283" spans="1:141" s="116" customFormat="1">
      <c r="A2283" s="136"/>
      <c r="CM2283" s="111"/>
      <c r="CQ2283" s="111"/>
      <c r="EF2283"/>
      <c r="EG2283"/>
      <c r="EH2283"/>
      <c r="EI2283"/>
      <c r="EJ2283"/>
      <c r="EK2283"/>
    </row>
    <row r="2284" spans="1:141" s="116" customFormat="1">
      <c r="A2284" s="136"/>
      <c r="CM2284" s="111"/>
      <c r="CQ2284" s="111"/>
      <c r="EF2284"/>
      <c r="EG2284"/>
      <c r="EH2284"/>
      <c r="EI2284"/>
      <c r="EJ2284"/>
      <c r="EK2284"/>
    </row>
    <row r="2285" spans="1:141" s="116" customFormat="1">
      <c r="A2285" s="136"/>
      <c r="CM2285" s="111"/>
      <c r="CQ2285" s="111"/>
      <c r="EF2285"/>
      <c r="EG2285"/>
      <c r="EH2285"/>
      <c r="EI2285"/>
      <c r="EJ2285"/>
      <c r="EK2285"/>
    </row>
    <row r="2286" spans="1:141" s="116" customFormat="1">
      <c r="A2286" s="136"/>
      <c r="CM2286" s="111"/>
      <c r="CQ2286" s="111"/>
      <c r="EF2286"/>
      <c r="EG2286"/>
      <c r="EH2286"/>
      <c r="EI2286"/>
      <c r="EJ2286"/>
      <c r="EK2286"/>
    </row>
    <row r="2287" spans="1:141" s="116" customFormat="1">
      <c r="A2287" s="136"/>
      <c r="CM2287" s="111"/>
      <c r="CQ2287" s="111"/>
      <c r="EF2287"/>
      <c r="EG2287"/>
      <c r="EH2287"/>
      <c r="EI2287"/>
      <c r="EJ2287"/>
      <c r="EK2287"/>
    </row>
    <row r="2288" spans="1:141" s="116" customFormat="1">
      <c r="A2288" s="136"/>
      <c r="CM2288" s="111"/>
      <c r="CQ2288" s="111"/>
      <c r="EF2288"/>
      <c r="EG2288"/>
      <c r="EH2288"/>
      <c r="EI2288"/>
      <c r="EJ2288"/>
      <c r="EK2288"/>
    </row>
    <row r="2289" spans="1:141" s="116" customFormat="1">
      <c r="A2289" s="136"/>
      <c r="CM2289" s="111"/>
      <c r="CQ2289" s="111"/>
      <c r="EF2289"/>
      <c r="EG2289"/>
      <c r="EH2289"/>
      <c r="EI2289"/>
      <c r="EJ2289"/>
      <c r="EK2289"/>
    </row>
    <row r="2290" spans="1:141" s="116" customFormat="1">
      <c r="A2290" s="136"/>
      <c r="CM2290" s="111"/>
      <c r="CQ2290" s="111"/>
      <c r="EF2290"/>
      <c r="EG2290"/>
      <c r="EH2290"/>
      <c r="EI2290"/>
      <c r="EJ2290"/>
      <c r="EK2290"/>
    </row>
    <row r="2291" spans="1:141" s="116" customFormat="1">
      <c r="A2291" s="136"/>
      <c r="CM2291" s="111"/>
      <c r="CQ2291" s="111"/>
      <c r="EF2291"/>
      <c r="EG2291"/>
      <c r="EH2291"/>
      <c r="EI2291"/>
      <c r="EJ2291"/>
      <c r="EK2291"/>
    </row>
    <row r="2292" spans="1:141" s="116" customFormat="1">
      <c r="A2292" s="136"/>
      <c r="CM2292" s="111"/>
      <c r="CQ2292" s="111"/>
      <c r="EF2292"/>
      <c r="EG2292"/>
      <c r="EH2292"/>
      <c r="EI2292"/>
      <c r="EJ2292"/>
      <c r="EK2292"/>
    </row>
    <row r="2293" spans="1:141" s="116" customFormat="1">
      <c r="A2293" s="136"/>
      <c r="CM2293" s="111"/>
      <c r="CQ2293" s="111"/>
      <c r="EF2293"/>
      <c r="EG2293"/>
      <c r="EH2293"/>
      <c r="EI2293"/>
      <c r="EJ2293"/>
      <c r="EK2293"/>
    </row>
    <row r="2294" spans="1:141" s="116" customFormat="1">
      <c r="A2294" s="136"/>
      <c r="CM2294" s="111"/>
      <c r="CQ2294" s="111"/>
      <c r="EF2294"/>
      <c r="EG2294"/>
      <c r="EH2294"/>
      <c r="EI2294"/>
      <c r="EJ2294"/>
      <c r="EK2294"/>
    </row>
    <row r="2295" spans="1:141" s="116" customFormat="1">
      <c r="A2295" s="136"/>
      <c r="CM2295" s="111"/>
      <c r="CQ2295" s="111"/>
      <c r="EF2295"/>
      <c r="EG2295"/>
      <c r="EH2295"/>
      <c r="EI2295"/>
      <c r="EJ2295"/>
      <c r="EK2295"/>
    </row>
    <row r="2296" spans="1:141" s="116" customFormat="1">
      <c r="A2296" s="136"/>
      <c r="CM2296" s="111"/>
      <c r="CQ2296" s="111"/>
      <c r="EF2296"/>
      <c r="EG2296"/>
      <c r="EH2296"/>
      <c r="EI2296"/>
      <c r="EJ2296"/>
      <c r="EK2296"/>
    </row>
    <row r="2297" spans="1:141" s="116" customFormat="1">
      <c r="A2297" s="136"/>
      <c r="CM2297" s="111"/>
      <c r="CQ2297" s="111"/>
      <c r="EF2297"/>
      <c r="EG2297"/>
      <c r="EH2297"/>
      <c r="EI2297"/>
      <c r="EJ2297"/>
      <c r="EK2297"/>
    </row>
    <row r="2298" spans="1:141" s="116" customFormat="1">
      <c r="A2298" s="136"/>
      <c r="CM2298" s="111"/>
      <c r="CQ2298" s="111"/>
      <c r="EF2298"/>
      <c r="EG2298"/>
      <c r="EH2298"/>
      <c r="EI2298"/>
      <c r="EJ2298"/>
      <c r="EK2298"/>
    </row>
    <row r="2299" spans="1:141" s="116" customFormat="1">
      <c r="A2299" s="136"/>
      <c r="CM2299" s="111"/>
      <c r="CQ2299" s="111"/>
      <c r="EF2299"/>
      <c r="EG2299"/>
      <c r="EH2299"/>
      <c r="EI2299"/>
      <c r="EJ2299"/>
      <c r="EK2299"/>
    </row>
    <row r="2300" spans="1:141" s="116" customFormat="1">
      <c r="A2300" s="136"/>
      <c r="CM2300" s="111"/>
      <c r="CQ2300" s="111"/>
      <c r="EF2300"/>
      <c r="EG2300"/>
      <c r="EH2300"/>
      <c r="EI2300"/>
      <c r="EJ2300"/>
      <c r="EK2300"/>
    </row>
    <row r="2301" spans="1:141" s="116" customFormat="1">
      <c r="A2301" s="136"/>
      <c r="CM2301" s="111"/>
      <c r="CQ2301" s="111"/>
      <c r="EF2301"/>
      <c r="EG2301"/>
      <c r="EH2301"/>
      <c r="EI2301"/>
      <c r="EJ2301"/>
      <c r="EK2301"/>
    </row>
    <row r="2302" spans="1:141" s="116" customFormat="1">
      <c r="A2302" s="136"/>
      <c r="CM2302" s="111"/>
      <c r="CQ2302" s="111"/>
      <c r="EF2302"/>
      <c r="EG2302"/>
      <c r="EH2302"/>
      <c r="EI2302"/>
      <c r="EJ2302"/>
      <c r="EK2302"/>
    </row>
    <row r="2303" spans="1:141" s="116" customFormat="1">
      <c r="A2303" s="136"/>
      <c r="CM2303" s="111"/>
      <c r="CQ2303" s="111"/>
      <c r="EF2303"/>
      <c r="EG2303"/>
      <c r="EH2303"/>
      <c r="EI2303"/>
      <c r="EJ2303"/>
      <c r="EK2303"/>
    </row>
    <row r="2304" spans="1:141" s="116" customFormat="1">
      <c r="A2304" s="136"/>
      <c r="CM2304" s="111"/>
      <c r="CQ2304" s="111"/>
      <c r="EF2304"/>
      <c r="EG2304"/>
      <c r="EH2304"/>
      <c r="EI2304"/>
      <c r="EJ2304"/>
      <c r="EK2304"/>
    </row>
    <row r="2305" spans="1:141" s="116" customFormat="1">
      <c r="A2305" s="136"/>
      <c r="CM2305" s="111"/>
      <c r="CQ2305" s="111"/>
      <c r="EF2305"/>
      <c r="EG2305"/>
      <c r="EH2305"/>
      <c r="EI2305"/>
      <c r="EJ2305"/>
      <c r="EK2305"/>
    </row>
    <row r="2306" spans="1:141" s="116" customFormat="1">
      <c r="A2306" s="136"/>
      <c r="CM2306" s="111"/>
      <c r="CQ2306" s="111"/>
      <c r="EF2306"/>
      <c r="EG2306"/>
      <c r="EH2306"/>
      <c r="EI2306"/>
      <c r="EJ2306"/>
      <c r="EK2306"/>
    </row>
    <row r="2307" spans="1:141" s="116" customFormat="1">
      <c r="A2307" s="136"/>
      <c r="CM2307" s="111"/>
      <c r="CQ2307" s="111"/>
      <c r="EF2307"/>
      <c r="EG2307"/>
      <c r="EH2307"/>
      <c r="EI2307"/>
      <c r="EJ2307"/>
      <c r="EK2307"/>
    </row>
    <row r="2308" spans="1:141" s="116" customFormat="1">
      <c r="A2308" s="136"/>
      <c r="CM2308" s="111"/>
      <c r="CQ2308" s="111"/>
      <c r="EF2308"/>
      <c r="EG2308"/>
      <c r="EH2308"/>
      <c r="EI2308"/>
      <c r="EJ2308"/>
      <c r="EK2308"/>
    </row>
    <row r="2309" spans="1:141" s="116" customFormat="1">
      <c r="A2309" s="136"/>
      <c r="CM2309" s="111"/>
      <c r="CQ2309" s="111"/>
      <c r="EF2309"/>
      <c r="EG2309"/>
      <c r="EH2309"/>
      <c r="EI2309"/>
      <c r="EJ2309"/>
      <c r="EK2309"/>
    </row>
    <row r="2310" spans="1:141" s="116" customFormat="1">
      <c r="A2310" s="136"/>
      <c r="CM2310" s="111"/>
      <c r="CQ2310" s="111"/>
      <c r="EF2310"/>
      <c r="EG2310"/>
      <c r="EH2310"/>
      <c r="EI2310"/>
      <c r="EJ2310"/>
      <c r="EK2310"/>
    </row>
    <row r="2311" spans="1:141" s="116" customFormat="1">
      <c r="A2311" s="136"/>
      <c r="CM2311" s="111"/>
      <c r="CQ2311" s="111"/>
      <c r="EF2311"/>
      <c r="EG2311"/>
      <c r="EH2311"/>
      <c r="EI2311"/>
      <c r="EJ2311"/>
      <c r="EK2311"/>
    </row>
    <row r="2312" spans="1:141" s="116" customFormat="1">
      <c r="A2312" s="136"/>
      <c r="CM2312" s="111"/>
      <c r="CQ2312" s="111"/>
      <c r="EF2312"/>
      <c r="EG2312"/>
      <c r="EH2312"/>
      <c r="EI2312"/>
      <c r="EJ2312"/>
      <c r="EK2312"/>
    </row>
    <row r="2313" spans="1:141" s="116" customFormat="1">
      <c r="A2313" s="136"/>
      <c r="CM2313" s="111"/>
      <c r="CQ2313" s="111"/>
      <c r="EF2313"/>
      <c r="EG2313"/>
      <c r="EH2313"/>
      <c r="EI2313"/>
      <c r="EJ2313"/>
      <c r="EK2313"/>
    </row>
    <row r="2314" spans="1:141" s="116" customFormat="1">
      <c r="A2314" s="136"/>
      <c r="CM2314" s="111"/>
      <c r="CQ2314" s="111"/>
      <c r="EF2314"/>
      <c r="EG2314"/>
      <c r="EH2314"/>
      <c r="EI2314"/>
      <c r="EJ2314"/>
      <c r="EK2314"/>
    </row>
    <row r="2315" spans="1:141" s="116" customFormat="1">
      <c r="A2315" s="136"/>
      <c r="CM2315" s="111"/>
      <c r="CQ2315" s="111"/>
      <c r="EF2315"/>
      <c r="EG2315"/>
      <c r="EH2315"/>
      <c r="EI2315"/>
      <c r="EJ2315"/>
      <c r="EK2315"/>
    </row>
    <row r="2316" spans="1:141" s="116" customFormat="1">
      <c r="A2316" s="136"/>
      <c r="CM2316" s="111"/>
      <c r="CQ2316" s="111"/>
      <c r="EF2316"/>
      <c r="EG2316"/>
      <c r="EH2316"/>
      <c r="EI2316"/>
      <c r="EJ2316"/>
      <c r="EK2316"/>
    </row>
    <row r="2317" spans="1:141" s="116" customFormat="1">
      <c r="A2317" s="136"/>
      <c r="CM2317" s="111"/>
      <c r="CQ2317" s="111"/>
      <c r="EF2317"/>
      <c r="EG2317"/>
      <c r="EH2317"/>
      <c r="EI2317"/>
      <c r="EJ2317"/>
      <c r="EK2317"/>
    </row>
    <row r="2318" spans="1:141" s="116" customFormat="1">
      <c r="A2318" s="136"/>
      <c r="CM2318" s="111"/>
      <c r="CQ2318" s="111"/>
      <c r="EF2318"/>
      <c r="EG2318"/>
      <c r="EH2318"/>
      <c r="EI2318"/>
      <c r="EJ2318"/>
      <c r="EK2318"/>
    </row>
    <row r="2319" spans="1:141" s="116" customFormat="1">
      <c r="A2319" s="136"/>
      <c r="CM2319" s="111"/>
      <c r="CQ2319" s="111"/>
      <c r="EF2319"/>
      <c r="EG2319"/>
      <c r="EH2319"/>
      <c r="EI2319"/>
      <c r="EJ2319"/>
      <c r="EK2319"/>
    </row>
    <row r="2320" spans="1:141" s="116" customFormat="1">
      <c r="A2320" s="136"/>
      <c r="CM2320" s="111"/>
      <c r="CQ2320" s="111"/>
      <c r="EF2320"/>
      <c r="EG2320"/>
      <c r="EH2320"/>
      <c r="EI2320"/>
      <c r="EJ2320"/>
      <c r="EK2320"/>
    </row>
    <row r="2321" spans="1:141" s="116" customFormat="1">
      <c r="A2321" s="136"/>
      <c r="CM2321" s="111"/>
      <c r="CQ2321" s="111"/>
      <c r="EF2321"/>
      <c r="EG2321"/>
      <c r="EH2321"/>
      <c r="EI2321"/>
      <c r="EJ2321"/>
      <c r="EK2321"/>
    </row>
    <row r="2322" spans="1:141" s="116" customFormat="1">
      <c r="A2322" s="136"/>
      <c r="CM2322" s="111"/>
      <c r="CQ2322" s="111"/>
      <c r="EF2322"/>
      <c r="EG2322"/>
      <c r="EH2322"/>
      <c r="EI2322"/>
      <c r="EJ2322"/>
      <c r="EK2322"/>
    </row>
    <row r="2323" spans="1:141" s="116" customFormat="1">
      <c r="A2323" s="136"/>
      <c r="CM2323" s="111"/>
      <c r="CQ2323" s="111"/>
      <c r="EF2323"/>
      <c r="EG2323"/>
      <c r="EH2323"/>
      <c r="EI2323"/>
      <c r="EJ2323"/>
      <c r="EK2323"/>
    </row>
    <row r="2324" spans="1:141" s="116" customFormat="1">
      <c r="A2324" s="136"/>
      <c r="CM2324" s="111"/>
      <c r="CQ2324" s="111"/>
      <c r="EF2324"/>
      <c r="EG2324"/>
      <c r="EH2324"/>
      <c r="EI2324"/>
      <c r="EJ2324"/>
      <c r="EK2324"/>
    </row>
    <row r="2325" spans="1:141" s="116" customFormat="1">
      <c r="A2325" s="136"/>
      <c r="CM2325" s="111"/>
      <c r="CQ2325" s="111"/>
      <c r="EF2325"/>
      <c r="EG2325"/>
      <c r="EH2325"/>
      <c r="EI2325"/>
      <c r="EJ2325"/>
      <c r="EK2325"/>
    </row>
    <row r="2326" spans="1:141" s="116" customFormat="1">
      <c r="A2326" s="136"/>
      <c r="CM2326" s="111"/>
      <c r="CQ2326" s="111"/>
      <c r="EF2326"/>
      <c r="EG2326"/>
      <c r="EH2326"/>
      <c r="EI2326"/>
      <c r="EJ2326"/>
      <c r="EK2326"/>
    </row>
    <row r="2327" spans="1:141" s="116" customFormat="1">
      <c r="A2327" s="136"/>
      <c r="CM2327" s="111"/>
      <c r="CQ2327" s="111"/>
      <c r="EF2327"/>
      <c r="EG2327"/>
      <c r="EH2327"/>
      <c r="EI2327"/>
      <c r="EJ2327"/>
      <c r="EK2327"/>
    </row>
    <row r="2328" spans="1:141" s="116" customFormat="1">
      <c r="A2328" s="136"/>
      <c r="CM2328" s="111"/>
      <c r="CQ2328" s="111"/>
      <c r="EF2328"/>
      <c r="EG2328"/>
      <c r="EH2328"/>
      <c r="EI2328"/>
      <c r="EJ2328"/>
      <c r="EK2328"/>
    </row>
    <row r="2329" spans="1:141" s="116" customFormat="1">
      <c r="A2329" s="136"/>
      <c r="CM2329" s="111"/>
      <c r="CQ2329" s="111"/>
      <c r="EF2329"/>
      <c r="EG2329"/>
      <c r="EH2329"/>
      <c r="EI2329"/>
      <c r="EJ2329"/>
      <c r="EK2329"/>
    </row>
    <row r="2330" spans="1:141" s="116" customFormat="1">
      <c r="A2330" s="136"/>
      <c r="CM2330" s="111"/>
      <c r="CQ2330" s="111"/>
      <c r="EF2330"/>
      <c r="EG2330"/>
      <c r="EH2330"/>
      <c r="EI2330"/>
      <c r="EJ2330"/>
      <c r="EK2330"/>
    </row>
    <row r="2331" spans="1:141" s="116" customFormat="1">
      <c r="A2331" s="136"/>
      <c r="CM2331" s="111"/>
      <c r="CQ2331" s="111"/>
      <c r="EF2331"/>
      <c r="EG2331"/>
      <c r="EH2331"/>
      <c r="EI2331"/>
      <c r="EJ2331"/>
      <c r="EK2331"/>
    </row>
    <row r="2332" spans="1:141" s="116" customFormat="1">
      <c r="A2332" s="136"/>
      <c r="CM2332" s="111"/>
      <c r="CQ2332" s="111"/>
      <c r="EF2332"/>
      <c r="EG2332"/>
      <c r="EH2332"/>
      <c r="EI2332"/>
      <c r="EJ2332"/>
      <c r="EK2332"/>
    </row>
    <row r="2333" spans="1:141" s="116" customFormat="1">
      <c r="A2333" s="136"/>
      <c r="CM2333" s="111"/>
      <c r="CQ2333" s="111"/>
      <c r="EF2333"/>
      <c r="EG2333"/>
      <c r="EH2333"/>
      <c r="EI2333"/>
      <c r="EJ2333"/>
      <c r="EK2333"/>
    </row>
    <row r="2334" spans="1:141" s="116" customFormat="1">
      <c r="A2334" s="136"/>
      <c r="CM2334" s="111"/>
      <c r="CQ2334" s="111"/>
      <c r="EF2334"/>
      <c r="EG2334"/>
      <c r="EH2334"/>
      <c r="EI2334"/>
      <c r="EJ2334"/>
      <c r="EK2334"/>
    </row>
    <row r="2335" spans="1:141" s="116" customFormat="1">
      <c r="A2335" s="136"/>
      <c r="CM2335" s="111"/>
      <c r="CQ2335" s="111"/>
      <c r="EF2335"/>
      <c r="EG2335"/>
      <c r="EH2335"/>
      <c r="EI2335"/>
      <c r="EJ2335"/>
      <c r="EK2335"/>
    </row>
    <row r="2336" spans="1:141" s="116" customFormat="1">
      <c r="A2336" s="136"/>
      <c r="CM2336" s="111"/>
      <c r="CQ2336" s="111"/>
      <c r="EF2336"/>
      <c r="EG2336"/>
      <c r="EH2336"/>
      <c r="EI2336"/>
      <c r="EJ2336"/>
      <c r="EK2336"/>
    </row>
    <row r="2337" spans="1:141" s="116" customFormat="1">
      <c r="A2337" s="136"/>
      <c r="CM2337" s="111"/>
      <c r="CQ2337" s="111"/>
      <c r="EF2337"/>
      <c r="EG2337"/>
      <c r="EH2337"/>
      <c r="EI2337"/>
      <c r="EJ2337"/>
      <c r="EK2337"/>
    </row>
    <row r="2338" spans="1:141" s="116" customFormat="1">
      <c r="A2338" s="136"/>
      <c r="CM2338" s="111"/>
      <c r="CQ2338" s="111"/>
      <c r="EF2338"/>
      <c r="EG2338"/>
      <c r="EH2338"/>
      <c r="EI2338"/>
      <c r="EJ2338"/>
      <c r="EK2338"/>
    </row>
    <row r="2339" spans="1:141" s="116" customFormat="1">
      <c r="A2339" s="136"/>
      <c r="CM2339" s="111"/>
      <c r="CQ2339" s="111"/>
      <c r="EF2339"/>
      <c r="EG2339"/>
      <c r="EH2339"/>
      <c r="EI2339"/>
      <c r="EJ2339"/>
      <c r="EK2339"/>
    </row>
    <row r="2340" spans="1:141" s="116" customFormat="1">
      <c r="A2340" s="136"/>
      <c r="CM2340" s="111"/>
      <c r="CQ2340" s="111"/>
      <c r="EF2340"/>
      <c r="EG2340"/>
      <c r="EH2340"/>
      <c r="EI2340"/>
      <c r="EJ2340"/>
      <c r="EK2340"/>
    </row>
    <row r="2341" spans="1:141" s="116" customFormat="1">
      <c r="A2341" s="136"/>
      <c r="CM2341" s="111"/>
      <c r="CQ2341" s="111"/>
      <c r="EF2341"/>
      <c r="EG2341"/>
      <c r="EH2341"/>
      <c r="EI2341"/>
      <c r="EJ2341"/>
      <c r="EK2341"/>
    </row>
    <row r="2342" spans="1:141" s="116" customFormat="1">
      <c r="A2342" s="136"/>
      <c r="CM2342" s="111"/>
      <c r="CQ2342" s="111"/>
      <c r="EF2342"/>
      <c r="EG2342"/>
      <c r="EH2342"/>
      <c r="EI2342"/>
      <c r="EJ2342"/>
      <c r="EK2342"/>
    </row>
    <row r="2343" spans="1:141" s="116" customFormat="1">
      <c r="A2343" s="136"/>
      <c r="CM2343" s="111"/>
      <c r="CQ2343" s="111"/>
      <c r="EF2343"/>
      <c r="EG2343"/>
      <c r="EH2343"/>
      <c r="EI2343"/>
      <c r="EJ2343"/>
      <c r="EK2343"/>
    </row>
    <row r="2344" spans="1:141" s="116" customFormat="1">
      <c r="A2344" s="136"/>
      <c r="CM2344" s="111"/>
      <c r="CQ2344" s="111"/>
      <c r="EF2344"/>
      <c r="EG2344"/>
      <c r="EH2344"/>
      <c r="EI2344"/>
      <c r="EJ2344"/>
      <c r="EK2344"/>
    </row>
    <row r="2345" spans="1:141" s="116" customFormat="1">
      <c r="A2345" s="136"/>
      <c r="CM2345" s="111"/>
      <c r="CQ2345" s="111"/>
      <c r="EF2345"/>
      <c r="EG2345"/>
      <c r="EH2345"/>
      <c r="EI2345"/>
      <c r="EJ2345"/>
      <c r="EK2345"/>
    </row>
    <row r="2346" spans="1:141" s="116" customFormat="1">
      <c r="A2346" s="136"/>
      <c r="CM2346" s="111"/>
      <c r="CQ2346" s="111"/>
      <c r="EF2346"/>
      <c r="EG2346"/>
      <c r="EH2346"/>
      <c r="EI2346"/>
      <c r="EJ2346"/>
      <c r="EK2346"/>
    </row>
    <row r="2347" spans="1:141" s="116" customFormat="1">
      <c r="A2347" s="136"/>
      <c r="CM2347" s="111"/>
      <c r="CQ2347" s="111"/>
      <c r="EF2347"/>
      <c r="EG2347"/>
      <c r="EH2347"/>
      <c r="EI2347"/>
      <c r="EJ2347"/>
      <c r="EK2347"/>
    </row>
    <row r="2348" spans="1:141" s="116" customFormat="1">
      <c r="A2348" s="136"/>
      <c r="CM2348" s="111"/>
      <c r="CQ2348" s="111"/>
      <c r="EF2348"/>
      <c r="EG2348"/>
      <c r="EH2348"/>
      <c r="EI2348"/>
      <c r="EJ2348"/>
      <c r="EK2348"/>
    </row>
    <row r="2349" spans="1:141" s="116" customFormat="1">
      <c r="A2349" s="136"/>
      <c r="CM2349" s="111"/>
      <c r="CQ2349" s="111"/>
      <c r="EF2349"/>
      <c r="EG2349"/>
      <c r="EH2349"/>
      <c r="EI2349"/>
      <c r="EJ2349"/>
      <c r="EK2349"/>
    </row>
    <row r="2350" spans="1:141" s="116" customFormat="1">
      <c r="A2350" s="136"/>
      <c r="CM2350" s="111"/>
      <c r="CQ2350" s="111"/>
      <c r="EF2350"/>
      <c r="EG2350"/>
      <c r="EH2350"/>
      <c r="EI2350"/>
      <c r="EJ2350"/>
      <c r="EK2350"/>
    </row>
    <row r="2351" spans="1:141" s="116" customFormat="1">
      <c r="A2351" s="136"/>
      <c r="CM2351" s="111"/>
      <c r="CQ2351" s="111"/>
      <c r="EF2351"/>
      <c r="EG2351"/>
      <c r="EH2351"/>
      <c r="EI2351"/>
      <c r="EJ2351"/>
      <c r="EK2351"/>
    </row>
    <row r="2352" spans="1:141" s="116" customFormat="1">
      <c r="A2352" s="136"/>
      <c r="CM2352" s="111"/>
      <c r="CQ2352" s="111"/>
      <c r="EF2352"/>
      <c r="EG2352"/>
      <c r="EH2352"/>
      <c r="EI2352"/>
      <c r="EJ2352"/>
      <c r="EK2352"/>
    </row>
    <row r="2353" spans="1:141" s="116" customFormat="1">
      <c r="A2353" s="136"/>
      <c r="CM2353" s="111"/>
      <c r="CQ2353" s="111"/>
      <c r="EF2353"/>
      <c r="EG2353"/>
      <c r="EH2353"/>
      <c r="EI2353"/>
      <c r="EJ2353"/>
      <c r="EK2353"/>
    </row>
    <row r="2354" spans="1:141" s="116" customFormat="1">
      <c r="A2354" s="136"/>
      <c r="CM2354" s="111"/>
      <c r="CQ2354" s="111"/>
      <c r="EF2354"/>
      <c r="EG2354"/>
      <c r="EH2354"/>
      <c r="EI2354"/>
      <c r="EJ2354"/>
      <c r="EK2354"/>
    </row>
    <row r="2355" spans="1:141" s="116" customFormat="1">
      <c r="A2355" s="136"/>
      <c r="CM2355" s="111"/>
      <c r="CQ2355" s="111"/>
      <c r="EF2355"/>
      <c r="EG2355"/>
      <c r="EH2355"/>
      <c r="EI2355"/>
      <c r="EJ2355"/>
      <c r="EK2355"/>
    </row>
    <row r="2356" spans="1:141" s="116" customFormat="1">
      <c r="A2356" s="136"/>
      <c r="CM2356" s="111"/>
      <c r="CQ2356" s="111"/>
      <c r="EF2356"/>
      <c r="EG2356"/>
      <c r="EH2356"/>
      <c r="EI2356"/>
      <c r="EJ2356"/>
      <c r="EK2356"/>
    </row>
    <row r="2357" spans="1:141" s="116" customFormat="1">
      <c r="A2357" s="136"/>
      <c r="CM2357" s="111"/>
      <c r="CQ2357" s="111"/>
      <c r="EF2357"/>
      <c r="EG2357"/>
      <c r="EH2357"/>
      <c r="EI2357"/>
      <c r="EJ2357"/>
      <c r="EK2357"/>
    </row>
    <row r="2358" spans="1:141" s="116" customFormat="1">
      <c r="A2358" s="136"/>
      <c r="CM2358" s="111"/>
      <c r="CQ2358" s="111"/>
      <c r="EF2358"/>
      <c r="EG2358"/>
      <c r="EH2358"/>
      <c r="EI2358"/>
      <c r="EJ2358"/>
      <c r="EK2358"/>
    </row>
    <row r="2359" spans="1:141" s="116" customFormat="1">
      <c r="A2359" s="136"/>
      <c r="CM2359" s="111"/>
      <c r="CQ2359" s="111"/>
      <c r="EF2359"/>
      <c r="EG2359"/>
      <c r="EH2359"/>
      <c r="EI2359"/>
      <c r="EJ2359"/>
      <c r="EK2359"/>
    </row>
    <row r="2360" spans="1:141" s="116" customFormat="1">
      <c r="A2360" s="136"/>
      <c r="CM2360" s="111"/>
      <c r="CQ2360" s="111"/>
      <c r="EF2360"/>
      <c r="EG2360"/>
      <c r="EH2360"/>
      <c r="EI2360"/>
      <c r="EJ2360"/>
      <c r="EK2360"/>
    </row>
    <row r="2361" spans="1:141" s="116" customFormat="1">
      <c r="A2361" s="136"/>
      <c r="CM2361" s="111"/>
      <c r="CQ2361" s="111"/>
      <c r="EF2361"/>
      <c r="EG2361"/>
      <c r="EH2361"/>
      <c r="EI2361"/>
      <c r="EJ2361"/>
      <c r="EK2361"/>
    </row>
    <row r="2362" spans="1:141" s="116" customFormat="1">
      <c r="A2362" s="136"/>
      <c r="CM2362" s="111"/>
      <c r="CQ2362" s="111"/>
      <c r="EF2362"/>
      <c r="EG2362"/>
      <c r="EH2362"/>
      <c r="EI2362"/>
      <c r="EJ2362"/>
      <c r="EK2362"/>
    </row>
    <row r="2363" spans="1:141" s="116" customFormat="1">
      <c r="A2363" s="136"/>
      <c r="CM2363" s="111"/>
      <c r="CQ2363" s="111"/>
      <c r="EF2363"/>
      <c r="EG2363"/>
      <c r="EH2363"/>
      <c r="EI2363"/>
      <c r="EJ2363"/>
      <c r="EK2363"/>
    </row>
    <row r="2364" spans="1:141" s="116" customFormat="1">
      <c r="A2364" s="136"/>
      <c r="CM2364" s="111"/>
      <c r="CQ2364" s="111"/>
      <c r="EF2364"/>
      <c r="EG2364"/>
      <c r="EH2364"/>
      <c r="EI2364"/>
      <c r="EJ2364"/>
      <c r="EK2364"/>
    </row>
    <row r="2365" spans="1:141" s="116" customFormat="1">
      <c r="A2365" s="136"/>
      <c r="CM2365" s="111"/>
      <c r="CQ2365" s="111"/>
      <c r="EF2365"/>
      <c r="EG2365"/>
      <c r="EH2365"/>
      <c r="EI2365"/>
      <c r="EJ2365"/>
      <c r="EK2365"/>
    </row>
    <row r="2366" spans="1:141" s="116" customFormat="1">
      <c r="A2366" s="136"/>
      <c r="CM2366" s="111"/>
      <c r="CQ2366" s="111"/>
      <c r="EF2366"/>
      <c r="EG2366"/>
      <c r="EH2366"/>
      <c r="EI2366"/>
      <c r="EJ2366"/>
      <c r="EK2366"/>
    </row>
    <row r="2367" spans="1:141" s="116" customFormat="1">
      <c r="A2367" s="136"/>
      <c r="CM2367" s="111"/>
      <c r="CQ2367" s="111"/>
      <c r="EF2367"/>
      <c r="EG2367"/>
      <c r="EH2367"/>
      <c r="EI2367"/>
      <c r="EJ2367"/>
      <c r="EK2367"/>
    </row>
    <row r="2368" spans="1:141" s="116" customFormat="1">
      <c r="A2368" s="136"/>
      <c r="CM2368" s="111"/>
      <c r="CQ2368" s="111"/>
      <c r="EF2368"/>
      <c r="EG2368"/>
      <c r="EH2368"/>
      <c r="EI2368"/>
      <c r="EJ2368"/>
      <c r="EK2368"/>
    </row>
    <row r="2369" spans="1:141" s="116" customFormat="1">
      <c r="A2369" s="136"/>
      <c r="CM2369" s="111"/>
      <c r="CQ2369" s="111"/>
      <c r="EF2369"/>
      <c r="EG2369"/>
      <c r="EH2369"/>
      <c r="EI2369"/>
      <c r="EJ2369"/>
      <c r="EK2369"/>
    </row>
    <row r="2370" spans="1:141" s="116" customFormat="1">
      <c r="A2370" s="136"/>
      <c r="CM2370" s="111"/>
      <c r="CQ2370" s="111"/>
      <c r="EF2370"/>
      <c r="EG2370"/>
      <c r="EH2370"/>
      <c r="EI2370"/>
      <c r="EJ2370"/>
      <c r="EK2370"/>
    </row>
    <row r="2371" spans="1:141" s="116" customFormat="1">
      <c r="A2371" s="136"/>
      <c r="CM2371" s="111"/>
      <c r="CQ2371" s="111"/>
      <c r="EF2371"/>
      <c r="EG2371"/>
      <c r="EH2371"/>
      <c r="EI2371"/>
      <c r="EJ2371"/>
      <c r="EK2371"/>
    </row>
    <row r="2372" spans="1:141" s="116" customFormat="1">
      <c r="A2372" s="136"/>
      <c r="CM2372" s="111"/>
      <c r="CQ2372" s="111"/>
      <c r="EF2372"/>
      <c r="EG2372"/>
      <c r="EH2372"/>
      <c r="EI2372"/>
      <c r="EJ2372"/>
      <c r="EK2372"/>
    </row>
    <row r="2373" spans="1:141" s="116" customFormat="1">
      <c r="A2373" s="136"/>
      <c r="CM2373" s="111"/>
      <c r="CQ2373" s="111"/>
      <c r="EF2373"/>
      <c r="EG2373"/>
      <c r="EH2373"/>
      <c r="EI2373"/>
      <c r="EJ2373"/>
      <c r="EK2373"/>
    </row>
    <row r="2374" spans="1:141" s="116" customFormat="1">
      <c r="A2374" s="136"/>
      <c r="CM2374" s="111"/>
      <c r="CQ2374" s="111"/>
      <c r="EF2374"/>
      <c r="EG2374"/>
      <c r="EH2374"/>
      <c r="EI2374"/>
      <c r="EJ2374"/>
      <c r="EK2374"/>
    </row>
    <row r="2375" spans="1:141" s="116" customFormat="1">
      <c r="A2375" s="136"/>
      <c r="CM2375" s="111"/>
      <c r="CQ2375" s="111"/>
      <c r="EF2375"/>
      <c r="EG2375"/>
      <c r="EH2375"/>
      <c r="EI2375"/>
      <c r="EJ2375"/>
      <c r="EK2375"/>
    </row>
    <row r="2376" spans="1:141" s="116" customFormat="1">
      <c r="A2376" s="136"/>
      <c r="CM2376" s="111"/>
      <c r="CQ2376" s="111"/>
      <c r="EF2376"/>
      <c r="EG2376"/>
      <c r="EH2376"/>
      <c r="EI2376"/>
      <c r="EJ2376"/>
      <c r="EK2376"/>
    </row>
    <row r="2377" spans="1:141" s="116" customFormat="1">
      <c r="A2377" s="136"/>
      <c r="CM2377" s="111"/>
      <c r="CQ2377" s="111"/>
      <c r="EF2377"/>
      <c r="EG2377"/>
      <c r="EH2377"/>
      <c r="EI2377"/>
      <c r="EJ2377"/>
      <c r="EK2377"/>
    </row>
    <row r="2378" spans="1:141" s="116" customFormat="1">
      <c r="A2378" s="136"/>
      <c r="CM2378" s="111"/>
      <c r="CQ2378" s="111"/>
      <c r="EF2378"/>
      <c r="EG2378"/>
      <c r="EH2378"/>
      <c r="EI2378"/>
      <c r="EJ2378"/>
      <c r="EK2378"/>
    </row>
    <row r="2379" spans="1:141" s="116" customFormat="1">
      <c r="A2379" s="136"/>
      <c r="CM2379" s="111"/>
      <c r="CQ2379" s="111"/>
      <c r="EF2379"/>
      <c r="EG2379"/>
      <c r="EH2379"/>
      <c r="EI2379"/>
      <c r="EJ2379"/>
      <c r="EK2379"/>
    </row>
    <row r="2380" spans="1:141" s="116" customFormat="1">
      <c r="A2380" s="136"/>
      <c r="CM2380" s="111"/>
      <c r="CQ2380" s="111"/>
      <c r="EF2380"/>
      <c r="EG2380"/>
      <c r="EH2380"/>
      <c r="EI2380"/>
      <c r="EJ2380"/>
      <c r="EK2380"/>
    </row>
    <row r="2381" spans="1:141" s="116" customFormat="1">
      <c r="A2381" s="136"/>
      <c r="CM2381" s="111"/>
      <c r="CQ2381" s="111"/>
      <c r="EF2381"/>
      <c r="EG2381"/>
      <c r="EH2381"/>
      <c r="EI2381"/>
      <c r="EJ2381"/>
      <c r="EK2381"/>
    </row>
    <row r="2382" spans="1:141" s="116" customFormat="1">
      <c r="A2382" s="136"/>
      <c r="CM2382" s="111"/>
      <c r="CQ2382" s="111"/>
      <c r="EF2382"/>
      <c r="EG2382"/>
      <c r="EH2382"/>
      <c r="EI2382"/>
      <c r="EJ2382"/>
      <c r="EK2382"/>
    </row>
    <row r="2383" spans="1:141" s="116" customFormat="1">
      <c r="A2383" s="136"/>
      <c r="CM2383" s="111"/>
      <c r="CQ2383" s="111"/>
      <c r="EF2383"/>
      <c r="EG2383"/>
      <c r="EH2383"/>
      <c r="EI2383"/>
      <c r="EJ2383"/>
      <c r="EK2383"/>
    </row>
    <row r="2384" spans="1:141" s="116" customFormat="1">
      <c r="A2384" s="136"/>
      <c r="CM2384" s="111"/>
      <c r="CQ2384" s="111"/>
      <c r="EF2384"/>
      <c r="EG2384"/>
      <c r="EH2384"/>
      <c r="EI2384"/>
      <c r="EJ2384"/>
      <c r="EK2384"/>
    </row>
    <row r="2385" spans="1:141" s="116" customFormat="1">
      <c r="A2385" s="136"/>
      <c r="CM2385" s="111"/>
      <c r="CQ2385" s="111"/>
      <c r="EF2385"/>
      <c r="EG2385"/>
      <c r="EH2385"/>
      <c r="EI2385"/>
      <c r="EJ2385"/>
      <c r="EK2385"/>
    </row>
    <row r="2386" spans="1:141" s="116" customFormat="1">
      <c r="A2386" s="136"/>
      <c r="CM2386" s="111"/>
      <c r="CQ2386" s="111"/>
      <c r="EF2386"/>
      <c r="EG2386"/>
      <c r="EH2386"/>
      <c r="EI2386"/>
      <c r="EJ2386"/>
      <c r="EK2386"/>
    </row>
    <row r="2387" spans="1:141" s="116" customFormat="1">
      <c r="A2387" s="136"/>
      <c r="CM2387" s="111"/>
      <c r="CQ2387" s="111"/>
      <c r="EF2387"/>
      <c r="EG2387"/>
      <c r="EH2387"/>
      <c r="EI2387"/>
      <c r="EJ2387"/>
      <c r="EK2387"/>
    </row>
    <row r="2388" spans="1:141" s="116" customFormat="1">
      <c r="A2388" s="136"/>
      <c r="CM2388" s="111"/>
      <c r="CQ2388" s="111"/>
      <c r="EF2388"/>
      <c r="EG2388"/>
      <c r="EH2388"/>
      <c r="EI2388"/>
      <c r="EJ2388"/>
      <c r="EK2388"/>
    </row>
    <row r="2389" spans="1:141" s="116" customFormat="1">
      <c r="A2389" s="136"/>
      <c r="CM2389" s="111"/>
      <c r="CQ2389" s="111"/>
      <c r="EF2389"/>
      <c r="EG2389"/>
      <c r="EH2389"/>
      <c r="EI2389"/>
      <c r="EJ2389"/>
      <c r="EK2389"/>
    </row>
    <row r="2390" spans="1:141" s="116" customFormat="1">
      <c r="A2390" s="136"/>
      <c r="CM2390" s="111"/>
      <c r="CQ2390" s="111"/>
      <c r="EF2390"/>
      <c r="EG2390"/>
      <c r="EH2390"/>
      <c r="EI2390"/>
      <c r="EJ2390"/>
      <c r="EK2390"/>
    </row>
    <row r="2391" spans="1:141" s="116" customFormat="1">
      <c r="A2391" s="136"/>
      <c r="CM2391" s="111"/>
      <c r="CQ2391" s="111"/>
      <c r="EF2391"/>
      <c r="EG2391"/>
      <c r="EH2391"/>
      <c r="EI2391"/>
      <c r="EJ2391"/>
      <c r="EK2391"/>
    </row>
    <row r="2392" spans="1:141" s="116" customFormat="1">
      <c r="A2392" s="136"/>
      <c r="CM2392" s="111"/>
      <c r="CQ2392" s="111"/>
      <c r="EF2392"/>
      <c r="EG2392"/>
      <c r="EH2392"/>
      <c r="EI2392"/>
      <c r="EJ2392"/>
      <c r="EK2392"/>
    </row>
    <row r="2393" spans="1:141" s="116" customFormat="1">
      <c r="A2393" s="136"/>
      <c r="CM2393" s="111"/>
      <c r="CQ2393" s="111"/>
      <c r="EF2393"/>
      <c r="EG2393"/>
      <c r="EH2393"/>
      <c r="EI2393"/>
      <c r="EJ2393"/>
      <c r="EK2393"/>
    </row>
    <row r="2394" spans="1:141" s="116" customFormat="1">
      <c r="A2394" s="136"/>
      <c r="CM2394" s="111"/>
      <c r="CQ2394" s="111"/>
      <c r="EF2394"/>
      <c r="EG2394"/>
      <c r="EH2394"/>
      <c r="EI2394"/>
      <c r="EJ2394"/>
      <c r="EK2394"/>
    </row>
    <row r="2395" spans="1:141" s="116" customFormat="1">
      <c r="A2395" s="136"/>
      <c r="CM2395" s="111"/>
      <c r="CQ2395" s="111"/>
      <c r="EF2395"/>
      <c r="EG2395"/>
      <c r="EH2395"/>
      <c r="EI2395"/>
      <c r="EJ2395"/>
      <c r="EK2395"/>
    </row>
    <row r="2396" spans="1:141" s="116" customFormat="1">
      <c r="A2396" s="136"/>
      <c r="CM2396" s="111"/>
      <c r="CQ2396" s="111"/>
      <c r="EF2396"/>
      <c r="EG2396"/>
      <c r="EH2396"/>
      <c r="EI2396"/>
      <c r="EJ2396"/>
      <c r="EK2396"/>
    </row>
    <row r="2397" spans="1:141" s="116" customFormat="1">
      <c r="A2397" s="136"/>
      <c r="CM2397" s="111"/>
      <c r="CQ2397" s="111"/>
      <c r="EF2397"/>
      <c r="EG2397"/>
      <c r="EH2397"/>
      <c r="EI2397"/>
      <c r="EJ2397"/>
      <c r="EK2397"/>
    </row>
    <row r="2398" spans="1:141" s="116" customFormat="1">
      <c r="A2398" s="136"/>
      <c r="CM2398" s="111"/>
      <c r="CQ2398" s="111"/>
      <c r="EF2398"/>
      <c r="EG2398"/>
      <c r="EH2398"/>
      <c r="EI2398"/>
      <c r="EJ2398"/>
      <c r="EK2398"/>
    </row>
    <row r="2399" spans="1:141" s="116" customFormat="1">
      <c r="A2399" s="136"/>
      <c r="CM2399" s="111"/>
      <c r="CQ2399" s="111"/>
      <c r="EF2399"/>
      <c r="EG2399"/>
      <c r="EH2399"/>
      <c r="EI2399"/>
      <c r="EJ2399"/>
      <c r="EK2399"/>
    </row>
    <row r="2400" spans="1:141" s="116" customFormat="1">
      <c r="A2400" s="136"/>
      <c r="CM2400" s="111"/>
      <c r="CQ2400" s="111"/>
      <c r="EF2400"/>
      <c r="EG2400"/>
      <c r="EH2400"/>
      <c r="EI2400"/>
      <c r="EJ2400"/>
      <c r="EK2400"/>
    </row>
    <row r="2401" spans="1:141" s="116" customFormat="1">
      <c r="A2401" s="136"/>
      <c r="CM2401" s="111"/>
      <c r="CQ2401" s="111"/>
      <c r="EF2401"/>
      <c r="EG2401"/>
      <c r="EH2401"/>
      <c r="EI2401"/>
      <c r="EJ2401"/>
      <c r="EK2401"/>
    </row>
    <row r="2402" spans="1:141" s="116" customFormat="1">
      <c r="A2402" s="136"/>
      <c r="CM2402" s="111"/>
      <c r="CQ2402" s="111"/>
      <c r="EF2402"/>
      <c r="EG2402"/>
      <c r="EH2402"/>
      <c r="EI2402"/>
      <c r="EJ2402"/>
      <c r="EK2402"/>
    </row>
    <row r="2403" spans="1:141" s="116" customFormat="1">
      <c r="A2403" s="136"/>
      <c r="CM2403" s="111"/>
      <c r="CQ2403" s="111"/>
      <c r="EF2403"/>
      <c r="EG2403"/>
      <c r="EH2403"/>
      <c r="EI2403"/>
      <c r="EJ2403"/>
      <c r="EK2403"/>
    </row>
    <row r="2404" spans="1:141" s="116" customFormat="1">
      <c r="A2404" s="136"/>
      <c r="CM2404" s="111"/>
      <c r="CQ2404" s="111"/>
      <c r="EF2404"/>
      <c r="EG2404"/>
      <c r="EH2404"/>
      <c r="EI2404"/>
      <c r="EJ2404"/>
      <c r="EK2404"/>
    </row>
    <row r="2405" spans="1:141" s="116" customFormat="1">
      <c r="A2405" s="136"/>
      <c r="CM2405" s="111"/>
      <c r="CQ2405" s="111"/>
      <c r="EF2405"/>
      <c r="EG2405"/>
      <c r="EH2405"/>
      <c r="EI2405"/>
      <c r="EJ2405"/>
      <c r="EK2405"/>
    </row>
    <row r="2406" spans="1:141" s="116" customFormat="1">
      <c r="A2406" s="136"/>
      <c r="CM2406" s="111"/>
      <c r="CQ2406" s="111"/>
      <c r="EF2406"/>
      <c r="EG2406"/>
      <c r="EH2406"/>
      <c r="EI2406"/>
      <c r="EJ2406"/>
      <c r="EK2406"/>
    </row>
    <row r="2407" spans="1:141" s="116" customFormat="1">
      <c r="A2407" s="136"/>
      <c r="CM2407" s="111"/>
      <c r="CQ2407" s="111"/>
      <c r="EF2407"/>
      <c r="EG2407"/>
      <c r="EH2407"/>
      <c r="EI2407"/>
      <c r="EJ2407"/>
      <c r="EK2407"/>
    </row>
    <row r="2408" spans="1:141" s="116" customFormat="1">
      <c r="A2408" s="136"/>
      <c r="CM2408" s="111"/>
      <c r="CQ2408" s="111"/>
      <c r="EF2408"/>
      <c r="EG2408"/>
      <c r="EH2408"/>
      <c r="EI2408"/>
      <c r="EJ2408"/>
      <c r="EK2408"/>
    </row>
    <row r="2409" spans="1:141" s="116" customFormat="1">
      <c r="A2409" s="136"/>
      <c r="CM2409" s="111"/>
      <c r="CQ2409" s="111"/>
      <c r="EF2409"/>
      <c r="EG2409"/>
      <c r="EH2409"/>
      <c r="EI2409"/>
      <c r="EJ2409"/>
      <c r="EK2409"/>
    </row>
    <row r="2410" spans="1:141" s="116" customFormat="1">
      <c r="A2410" s="136"/>
      <c r="CM2410" s="111"/>
      <c r="CQ2410" s="111"/>
      <c r="EF2410"/>
      <c r="EG2410"/>
      <c r="EH2410"/>
      <c r="EI2410"/>
      <c r="EJ2410"/>
      <c r="EK2410"/>
    </row>
    <row r="2411" spans="1:141" s="116" customFormat="1">
      <c r="A2411" s="136"/>
      <c r="CM2411" s="111"/>
      <c r="CQ2411" s="111"/>
      <c r="EF2411"/>
      <c r="EG2411"/>
      <c r="EH2411"/>
      <c r="EI2411"/>
      <c r="EJ2411"/>
      <c r="EK2411"/>
    </row>
    <row r="2412" spans="1:141" s="116" customFormat="1">
      <c r="A2412" s="136"/>
      <c r="CM2412" s="111"/>
      <c r="CQ2412" s="111"/>
      <c r="EF2412"/>
      <c r="EG2412"/>
      <c r="EH2412"/>
      <c r="EI2412"/>
      <c r="EJ2412"/>
      <c r="EK2412"/>
    </row>
    <row r="2413" spans="1:141" s="116" customFormat="1">
      <c r="A2413" s="136"/>
      <c r="CM2413" s="111"/>
      <c r="CQ2413" s="111"/>
      <c r="EF2413"/>
      <c r="EG2413"/>
      <c r="EH2413"/>
      <c r="EI2413"/>
      <c r="EJ2413"/>
      <c r="EK2413"/>
    </row>
    <row r="2414" spans="1:141" s="116" customFormat="1">
      <c r="A2414" s="136"/>
      <c r="CM2414" s="111"/>
      <c r="CQ2414" s="111"/>
      <c r="EF2414"/>
      <c r="EG2414"/>
      <c r="EH2414"/>
      <c r="EI2414"/>
      <c r="EJ2414"/>
      <c r="EK2414"/>
    </row>
    <row r="2415" spans="1:141" s="116" customFormat="1">
      <c r="A2415" s="136"/>
      <c r="CM2415" s="111"/>
      <c r="CQ2415" s="111"/>
      <c r="EF2415"/>
      <c r="EG2415"/>
      <c r="EH2415"/>
      <c r="EI2415"/>
      <c r="EJ2415"/>
      <c r="EK2415"/>
    </row>
    <row r="2416" spans="1:141" s="116" customFormat="1">
      <c r="A2416" s="136"/>
      <c r="CM2416" s="111"/>
      <c r="CQ2416" s="111"/>
      <c r="EF2416"/>
      <c r="EG2416"/>
      <c r="EH2416"/>
      <c r="EI2416"/>
      <c r="EJ2416"/>
      <c r="EK2416"/>
    </row>
    <row r="2417" spans="1:141" s="116" customFormat="1">
      <c r="A2417" s="136"/>
      <c r="CM2417" s="111"/>
      <c r="CQ2417" s="111"/>
      <c r="EF2417"/>
      <c r="EG2417"/>
      <c r="EH2417"/>
      <c r="EI2417"/>
      <c r="EJ2417"/>
      <c r="EK2417"/>
    </row>
    <row r="2418" spans="1:141" s="116" customFormat="1">
      <c r="A2418" s="136"/>
      <c r="CM2418" s="111"/>
      <c r="CQ2418" s="111"/>
      <c r="EF2418"/>
      <c r="EG2418"/>
      <c r="EH2418"/>
      <c r="EI2418"/>
      <c r="EJ2418"/>
      <c r="EK2418"/>
    </row>
    <row r="2419" spans="1:141" s="116" customFormat="1">
      <c r="A2419" s="136"/>
      <c r="CM2419" s="111"/>
      <c r="CQ2419" s="111"/>
      <c r="EF2419"/>
      <c r="EG2419"/>
      <c r="EH2419"/>
      <c r="EI2419"/>
      <c r="EJ2419"/>
      <c r="EK2419"/>
    </row>
    <row r="2420" spans="1:141" s="116" customFormat="1">
      <c r="A2420" s="136"/>
      <c r="CM2420" s="111"/>
      <c r="CQ2420" s="111"/>
      <c r="EF2420"/>
      <c r="EG2420"/>
      <c r="EH2420"/>
      <c r="EI2420"/>
      <c r="EJ2420"/>
      <c r="EK2420"/>
    </row>
    <row r="2421" spans="1:141" s="116" customFormat="1">
      <c r="A2421" s="136"/>
      <c r="CM2421" s="111"/>
      <c r="CQ2421" s="111"/>
      <c r="EF2421"/>
      <c r="EG2421"/>
      <c r="EH2421"/>
      <c r="EI2421"/>
      <c r="EJ2421"/>
      <c r="EK2421"/>
    </row>
    <row r="2422" spans="1:141" s="116" customFormat="1">
      <c r="A2422" s="136"/>
      <c r="CM2422" s="111"/>
      <c r="CQ2422" s="111"/>
      <c r="EF2422"/>
      <c r="EG2422"/>
      <c r="EH2422"/>
      <c r="EI2422"/>
      <c r="EJ2422"/>
      <c r="EK2422"/>
    </row>
    <row r="2423" spans="1:141" s="116" customFormat="1">
      <c r="A2423" s="136"/>
      <c r="CM2423" s="111"/>
      <c r="CQ2423" s="111"/>
      <c r="EF2423"/>
      <c r="EG2423"/>
      <c r="EH2423"/>
      <c r="EI2423"/>
      <c r="EJ2423"/>
      <c r="EK2423"/>
    </row>
    <row r="2424" spans="1:141" s="116" customFormat="1">
      <c r="A2424" s="136"/>
      <c r="CM2424" s="111"/>
      <c r="CQ2424" s="111"/>
      <c r="EF2424"/>
      <c r="EG2424"/>
      <c r="EH2424"/>
      <c r="EI2424"/>
      <c r="EJ2424"/>
      <c r="EK2424"/>
    </row>
    <row r="2425" spans="1:141" s="116" customFormat="1">
      <c r="A2425" s="136"/>
      <c r="CM2425" s="111"/>
      <c r="CQ2425" s="111"/>
      <c r="EF2425"/>
      <c r="EG2425"/>
      <c r="EH2425"/>
      <c r="EI2425"/>
      <c r="EJ2425"/>
      <c r="EK2425"/>
    </row>
    <row r="2426" spans="1:141" s="116" customFormat="1">
      <c r="A2426" s="136"/>
      <c r="CM2426" s="111"/>
      <c r="CQ2426" s="111"/>
      <c r="EF2426"/>
      <c r="EG2426"/>
      <c r="EH2426"/>
      <c r="EI2426"/>
      <c r="EJ2426"/>
      <c r="EK2426"/>
    </row>
    <row r="2427" spans="1:141" s="116" customFormat="1">
      <c r="A2427" s="136"/>
      <c r="CM2427" s="111"/>
      <c r="CQ2427" s="111"/>
      <c r="EF2427"/>
      <c r="EG2427"/>
      <c r="EH2427"/>
      <c r="EI2427"/>
      <c r="EJ2427"/>
      <c r="EK2427"/>
    </row>
    <row r="2428" spans="1:141" s="116" customFormat="1">
      <c r="A2428" s="136"/>
      <c r="CM2428" s="111"/>
      <c r="CQ2428" s="111"/>
      <c r="EF2428"/>
      <c r="EG2428"/>
      <c r="EH2428"/>
      <c r="EI2428"/>
      <c r="EJ2428"/>
      <c r="EK2428"/>
    </row>
    <row r="2429" spans="1:141" s="116" customFormat="1">
      <c r="A2429" s="136"/>
      <c r="CM2429" s="111"/>
      <c r="CQ2429" s="111"/>
      <c r="EF2429"/>
      <c r="EG2429"/>
      <c r="EH2429"/>
      <c r="EI2429"/>
      <c r="EJ2429"/>
      <c r="EK2429"/>
    </row>
    <row r="2430" spans="1:141" s="116" customFormat="1">
      <c r="A2430" s="136"/>
      <c r="CM2430" s="111"/>
      <c r="CQ2430" s="111"/>
      <c r="EF2430"/>
      <c r="EG2430"/>
      <c r="EH2430"/>
      <c r="EI2430"/>
      <c r="EJ2430"/>
      <c r="EK2430"/>
    </row>
    <row r="2431" spans="1:141" s="116" customFormat="1">
      <c r="A2431" s="136"/>
      <c r="CM2431" s="111"/>
      <c r="CQ2431" s="111"/>
      <c r="EF2431"/>
      <c r="EG2431"/>
      <c r="EH2431"/>
      <c r="EI2431"/>
      <c r="EJ2431"/>
      <c r="EK2431"/>
    </row>
    <row r="2432" spans="1:141" s="116" customFormat="1">
      <c r="A2432" s="136"/>
      <c r="CM2432" s="111"/>
      <c r="CQ2432" s="111"/>
      <c r="EF2432"/>
      <c r="EG2432"/>
      <c r="EH2432"/>
      <c r="EI2432"/>
      <c r="EJ2432"/>
      <c r="EK2432"/>
    </row>
    <row r="2433" spans="1:141" s="116" customFormat="1">
      <c r="A2433" s="136"/>
      <c r="CM2433" s="111"/>
      <c r="CQ2433" s="111"/>
      <c r="EF2433"/>
      <c r="EG2433"/>
      <c r="EH2433"/>
      <c r="EI2433"/>
      <c r="EJ2433"/>
      <c r="EK2433"/>
    </row>
    <row r="2434" spans="1:141" s="116" customFormat="1">
      <c r="A2434" s="136"/>
      <c r="CM2434" s="111"/>
      <c r="CQ2434" s="111"/>
      <c r="EF2434"/>
      <c r="EG2434"/>
      <c r="EH2434"/>
      <c r="EI2434"/>
      <c r="EJ2434"/>
      <c r="EK2434"/>
    </row>
    <row r="2435" spans="1:141" s="116" customFormat="1">
      <c r="A2435" s="136"/>
      <c r="CM2435" s="111"/>
      <c r="CQ2435" s="111"/>
      <c r="EF2435"/>
      <c r="EG2435"/>
      <c r="EH2435"/>
      <c r="EI2435"/>
      <c r="EJ2435"/>
      <c r="EK2435"/>
    </row>
    <row r="2436" spans="1:141" s="116" customFormat="1">
      <c r="A2436" s="136"/>
      <c r="CM2436" s="111"/>
      <c r="CQ2436" s="111"/>
      <c r="EF2436"/>
      <c r="EG2436"/>
      <c r="EH2436"/>
      <c r="EI2436"/>
      <c r="EJ2436"/>
      <c r="EK2436"/>
    </row>
    <row r="2437" spans="1:141" s="116" customFormat="1">
      <c r="A2437" s="136"/>
      <c r="CM2437" s="111"/>
      <c r="CQ2437" s="111"/>
      <c r="EF2437"/>
      <c r="EG2437"/>
      <c r="EH2437"/>
      <c r="EI2437"/>
      <c r="EJ2437"/>
      <c r="EK2437"/>
    </row>
    <row r="2438" spans="1:141" s="116" customFormat="1">
      <c r="A2438" s="136"/>
      <c r="CM2438" s="111"/>
      <c r="CQ2438" s="111"/>
      <c r="EF2438"/>
      <c r="EG2438"/>
      <c r="EH2438"/>
      <c r="EI2438"/>
      <c r="EJ2438"/>
      <c r="EK2438"/>
    </row>
    <row r="2439" spans="1:141" s="116" customFormat="1">
      <c r="A2439" s="136"/>
      <c r="CM2439" s="111"/>
      <c r="CQ2439" s="111"/>
      <c r="EF2439"/>
      <c r="EG2439"/>
      <c r="EH2439"/>
      <c r="EI2439"/>
      <c r="EJ2439"/>
      <c r="EK2439"/>
    </row>
    <row r="2440" spans="1:141" s="116" customFormat="1">
      <c r="A2440" s="136"/>
      <c r="CM2440" s="111"/>
      <c r="CQ2440" s="111"/>
      <c r="EF2440"/>
      <c r="EG2440"/>
      <c r="EH2440"/>
      <c r="EI2440"/>
      <c r="EJ2440"/>
      <c r="EK2440"/>
    </row>
    <row r="2441" spans="1:141" s="116" customFormat="1">
      <c r="A2441" s="136"/>
      <c r="CM2441" s="111"/>
      <c r="CQ2441" s="111"/>
      <c r="EF2441"/>
      <c r="EG2441"/>
      <c r="EH2441"/>
      <c r="EI2441"/>
      <c r="EJ2441"/>
      <c r="EK2441"/>
    </row>
    <row r="2442" spans="1:141" s="116" customFormat="1">
      <c r="A2442" s="136"/>
      <c r="CM2442" s="111"/>
      <c r="CQ2442" s="111"/>
      <c r="EF2442"/>
      <c r="EG2442"/>
      <c r="EH2442"/>
      <c r="EI2442"/>
      <c r="EJ2442"/>
      <c r="EK2442"/>
    </row>
    <row r="2443" spans="1:141" s="116" customFormat="1">
      <c r="A2443" s="136"/>
      <c r="CM2443" s="111"/>
      <c r="CQ2443" s="111"/>
      <c r="EF2443"/>
      <c r="EG2443"/>
      <c r="EH2443"/>
      <c r="EI2443"/>
      <c r="EJ2443"/>
      <c r="EK2443"/>
    </row>
    <row r="2444" spans="1:141" s="116" customFormat="1">
      <c r="A2444" s="136"/>
      <c r="CM2444" s="111"/>
      <c r="CQ2444" s="111"/>
      <c r="EF2444"/>
      <c r="EG2444"/>
      <c r="EH2444"/>
      <c r="EI2444"/>
      <c r="EJ2444"/>
      <c r="EK2444"/>
    </row>
    <row r="2445" spans="1:141" s="116" customFormat="1">
      <c r="A2445" s="136"/>
      <c r="CM2445" s="111"/>
      <c r="CQ2445" s="111"/>
      <c r="EF2445"/>
      <c r="EG2445"/>
      <c r="EH2445"/>
      <c r="EI2445"/>
      <c r="EJ2445"/>
      <c r="EK2445"/>
    </row>
    <row r="2446" spans="1:141" s="116" customFormat="1">
      <c r="A2446" s="136"/>
      <c r="CM2446" s="111"/>
      <c r="CQ2446" s="111"/>
      <c r="EF2446"/>
      <c r="EG2446"/>
      <c r="EH2446"/>
      <c r="EI2446"/>
      <c r="EJ2446"/>
      <c r="EK2446"/>
    </row>
    <row r="2447" spans="1:141" s="116" customFormat="1">
      <c r="A2447" s="136"/>
      <c r="CM2447" s="111"/>
      <c r="CQ2447" s="111"/>
      <c r="EF2447"/>
      <c r="EG2447"/>
      <c r="EH2447"/>
      <c r="EI2447"/>
      <c r="EJ2447"/>
      <c r="EK2447"/>
    </row>
    <row r="2448" spans="1:141" s="116" customFormat="1">
      <c r="A2448" s="136"/>
      <c r="CM2448" s="111"/>
      <c r="CQ2448" s="111"/>
      <c r="EF2448"/>
      <c r="EG2448"/>
      <c r="EH2448"/>
      <c r="EI2448"/>
      <c r="EJ2448"/>
      <c r="EK2448"/>
    </row>
    <row r="2449" spans="1:141" s="116" customFormat="1">
      <c r="A2449" s="136"/>
      <c r="CM2449" s="111"/>
      <c r="CQ2449" s="111"/>
      <c r="EF2449"/>
      <c r="EG2449"/>
      <c r="EH2449"/>
      <c r="EI2449"/>
      <c r="EJ2449"/>
      <c r="EK2449"/>
    </row>
    <row r="2450" spans="1:141" s="116" customFormat="1">
      <c r="A2450" s="136"/>
      <c r="CM2450" s="111"/>
      <c r="CQ2450" s="111"/>
      <c r="EF2450"/>
      <c r="EG2450"/>
      <c r="EH2450"/>
      <c r="EI2450"/>
      <c r="EJ2450"/>
      <c r="EK2450"/>
    </row>
    <row r="2451" spans="1:141" s="116" customFormat="1">
      <c r="A2451" s="136"/>
      <c r="CM2451" s="111"/>
      <c r="CQ2451" s="111"/>
      <c r="EF2451"/>
      <c r="EG2451"/>
      <c r="EH2451"/>
      <c r="EI2451"/>
      <c r="EJ2451"/>
      <c r="EK2451"/>
    </row>
    <row r="2452" spans="1:141" s="116" customFormat="1">
      <c r="A2452" s="136"/>
      <c r="CM2452" s="111"/>
      <c r="CQ2452" s="111"/>
      <c r="EF2452"/>
      <c r="EG2452"/>
      <c r="EH2452"/>
      <c r="EI2452"/>
      <c r="EJ2452"/>
      <c r="EK2452"/>
    </row>
    <row r="2453" spans="1:141" s="116" customFormat="1">
      <c r="A2453" s="136"/>
      <c r="CM2453" s="111"/>
      <c r="CQ2453" s="111"/>
      <c r="EF2453"/>
      <c r="EG2453"/>
      <c r="EH2453"/>
      <c r="EI2453"/>
      <c r="EJ2453"/>
      <c r="EK2453"/>
    </row>
    <row r="2454" spans="1:141" s="116" customFormat="1">
      <c r="A2454" s="136"/>
      <c r="CM2454" s="111"/>
      <c r="CQ2454" s="111"/>
      <c r="EF2454"/>
      <c r="EG2454"/>
      <c r="EH2454"/>
      <c r="EI2454"/>
      <c r="EJ2454"/>
      <c r="EK2454"/>
    </row>
    <row r="2455" spans="1:141" s="116" customFormat="1">
      <c r="A2455" s="136"/>
      <c r="CM2455" s="111"/>
      <c r="CQ2455" s="111"/>
      <c r="EF2455"/>
      <c r="EG2455"/>
      <c r="EH2455"/>
      <c r="EI2455"/>
      <c r="EJ2455"/>
      <c r="EK2455"/>
    </row>
    <row r="2456" spans="1:141" s="116" customFormat="1">
      <c r="A2456" s="136"/>
      <c r="CM2456" s="111"/>
      <c r="CQ2456" s="111"/>
      <c r="EF2456"/>
      <c r="EG2456"/>
      <c r="EH2456"/>
      <c r="EI2456"/>
      <c r="EJ2456"/>
      <c r="EK2456"/>
    </row>
    <row r="2457" spans="1:141" s="116" customFormat="1">
      <c r="A2457" s="136"/>
      <c r="CM2457" s="111"/>
      <c r="CQ2457" s="111"/>
      <c r="EF2457"/>
      <c r="EG2457"/>
      <c r="EH2457"/>
      <c r="EI2457"/>
      <c r="EJ2457"/>
      <c r="EK2457"/>
    </row>
    <row r="2458" spans="1:141" s="116" customFormat="1">
      <c r="A2458" s="136"/>
      <c r="CM2458" s="111"/>
      <c r="CQ2458" s="111"/>
      <c r="EF2458"/>
      <c r="EG2458"/>
      <c r="EH2458"/>
      <c r="EI2458"/>
      <c r="EJ2458"/>
      <c r="EK2458"/>
    </row>
    <row r="2459" spans="1:141" s="116" customFormat="1">
      <c r="A2459" s="136"/>
      <c r="CM2459" s="111"/>
      <c r="CQ2459" s="111"/>
      <c r="EF2459"/>
      <c r="EG2459"/>
      <c r="EH2459"/>
      <c r="EI2459"/>
      <c r="EJ2459"/>
      <c r="EK2459"/>
    </row>
    <row r="2460" spans="1:141" s="116" customFormat="1">
      <c r="A2460" s="136"/>
      <c r="CM2460" s="111"/>
      <c r="CQ2460" s="111"/>
      <c r="EF2460"/>
      <c r="EG2460"/>
      <c r="EH2460"/>
      <c r="EI2460"/>
      <c r="EJ2460"/>
      <c r="EK2460"/>
    </row>
    <row r="2461" spans="1:141" s="116" customFormat="1">
      <c r="A2461" s="136"/>
      <c r="CM2461" s="111"/>
      <c r="CQ2461" s="111"/>
      <c r="EF2461"/>
      <c r="EG2461"/>
      <c r="EH2461"/>
      <c r="EI2461"/>
      <c r="EJ2461"/>
      <c r="EK2461"/>
    </row>
    <row r="2462" spans="1:141" s="116" customFormat="1">
      <c r="A2462" s="136"/>
      <c r="CM2462" s="111"/>
      <c r="CQ2462" s="111"/>
      <c r="EF2462"/>
      <c r="EG2462"/>
      <c r="EH2462"/>
      <c r="EI2462"/>
      <c r="EJ2462"/>
      <c r="EK2462"/>
    </row>
    <row r="2463" spans="1:141" s="116" customFormat="1">
      <c r="A2463" s="136"/>
      <c r="CM2463" s="111"/>
      <c r="CQ2463" s="111"/>
      <c r="EF2463"/>
      <c r="EG2463"/>
      <c r="EH2463"/>
      <c r="EI2463"/>
      <c r="EJ2463"/>
      <c r="EK2463"/>
    </row>
    <row r="2464" spans="1:141" s="116" customFormat="1">
      <c r="A2464" s="136"/>
      <c r="CM2464" s="111"/>
      <c r="CQ2464" s="111"/>
      <c r="EF2464"/>
      <c r="EG2464"/>
      <c r="EH2464"/>
      <c r="EI2464"/>
      <c r="EJ2464"/>
      <c r="EK2464"/>
    </row>
    <row r="2465" spans="1:141" s="116" customFormat="1">
      <c r="A2465" s="136"/>
      <c r="CM2465" s="111"/>
      <c r="CQ2465" s="111"/>
      <c r="EF2465"/>
      <c r="EG2465"/>
      <c r="EH2465"/>
      <c r="EI2465"/>
      <c r="EJ2465"/>
      <c r="EK2465"/>
    </row>
    <row r="2466" spans="1:141" s="116" customFormat="1">
      <c r="A2466" s="136"/>
      <c r="CM2466" s="111"/>
      <c r="CQ2466" s="111"/>
      <c r="EF2466"/>
      <c r="EG2466"/>
      <c r="EH2466"/>
      <c r="EI2466"/>
      <c r="EJ2466"/>
      <c r="EK2466"/>
    </row>
    <row r="2467" spans="1:141" s="116" customFormat="1">
      <c r="A2467" s="136"/>
      <c r="CM2467" s="111"/>
      <c r="CQ2467" s="111"/>
      <c r="EF2467"/>
      <c r="EG2467"/>
      <c r="EH2467"/>
      <c r="EI2467"/>
      <c r="EJ2467"/>
      <c r="EK2467"/>
    </row>
    <row r="2468" spans="1:141" s="116" customFormat="1">
      <c r="A2468" s="136"/>
      <c r="CM2468" s="111"/>
      <c r="CQ2468" s="111"/>
      <c r="EF2468"/>
      <c r="EG2468"/>
      <c r="EH2468"/>
      <c r="EI2468"/>
      <c r="EJ2468"/>
      <c r="EK2468"/>
    </row>
    <row r="2469" spans="1:141" s="116" customFormat="1">
      <c r="A2469" s="136"/>
      <c r="CM2469" s="111"/>
      <c r="CQ2469" s="111"/>
      <c r="EF2469"/>
      <c r="EG2469"/>
      <c r="EH2469"/>
      <c r="EI2469"/>
      <c r="EJ2469"/>
      <c r="EK2469"/>
    </row>
    <row r="2470" spans="1:141" s="116" customFormat="1">
      <c r="A2470" s="136"/>
      <c r="CM2470" s="111"/>
      <c r="CQ2470" s="111"/>
      <c r="EF2470"/>
      <c r="EG2470"/>
      <c r="EH2470"/>
      <c r="EI2470"/>
      <c r="EJ2470"/>
      <c r="EK2470"/>
    </row>
    <row r="2471" spans="1:141" s="116" customFormat="1">
      <c r="A2471" s="136"/>
      <c r="CM2471" s="111"/>
      <c r="CQ2471" s="111"/>
      <c r="EF2471"/>
      <c r="EG2471"/>
      <c r="EH2471"/>
      <c r="EI2471"/>
      <c r="EJ2471"/>
      <c r="EK2471"/>
    </row>
    <row r="2472" spans="1:141" s="116" customFormat="1">
      <c r="A2472" s="136"/>
      <c r="CM2472" s="111"/>
      <c r="CQ2472" s="111"/>
      <c r="EF2472"/>
      <c r="EG2472"/>
      <c r="EH2472"/>
      <c r="EI2472"/>
      <c r="EJ2472"/>
      <c r="EK2472"/>
    </row>
    <row r="2473" spans="1:141" s="116" customFormat="1">
      <c r="A2473" s="136"/>
      <c r="CM2473" s="111"/>
      <c r="CQ2473" s="111"/>
      <c r="EF2473"/>
      <c r="EG2473"/>
      <c r="EH2473"/>
      <c r="EI2473"/>
      <c r="EJ2473"/>
      <c r="EK2473"/>
    </row>
    <row r="2474" spans="1:141" s="116" customFormat="1">
      <c r="A2474" s="136"/>
      <c r="CM2474" s="111"/>
      <c r="CQ2474" s="111"/>
      <c r="EF2474"/>
      <c r="EG2474"/>
      <c r="EH2474"/>
      <c r="EI2474"/>
      <c r="EJ2474"/>
      <c r="EK2474"/>
    </row>
    <row r="2475" spans="1:141" s="116" customFormat="1">
      <c r="A2475" s="136"/>
      <c r="CM2475" s="111"/>
      <c r="CQ2475" s="111"/>
      <c r="EF2475"/>
      <c r="EG2475"/>
      <c r="EH2475"/>
      <c r="EI2475"/>
      <c r="EJ2475"/>
      <c r="EK2475"/>
    </row>
    <row r="2476" spans="1:141" s="116" customFormat="1">
      <c r="A2476" s="136"/>
      <c r="CM2476" s="111"/>
      <c r="CQ2476" s="111"/>
      <c r="EF2476"/>
      <c r="EG2476"/>
      <c r="EH2476"/>
      <c r="EI2476"/>
      <c r="EJ2476"/>
      <c r="EK2476"/>
    </row>
    <row r="2477" spans="1:141" s="116" customFormat="1">
      <c r="A2477" s="136"/>
      <c r="CM2477" s="111"/>
      <c r="CQ2477" s="111"/>
      <c r="EF2477"/>
      <c r="EG2477"/>
      <c r="EH2477"/>
      <c r="EI2477"/>
      <c r="EJ2477"/>
      <c r="EK2477"/>
    </row>
    <row r="2478" spans="1:141" s="116" customFormat="1">
      <c r="A2478" s="136"/>
      <c r="CM2478" s="111"/>
      <c r="CQ2478" s="111"/>
      <c r="EF2478"/>
      <c r="EG2478"/>
      <c r="EH2478"/>
      <c r="EI2478"/>
      <c r="EJ2478"/>
      <c r="EK2478"/>
    </row>
    <row r="2479" spans="1:141" s="116" customFormat="1">
      <c r="A2479" s="136"/>
      <c r="CM2479" s="111"/>
      <c r="CQ2479" s="111"/>
      <c r="EF2479"/>
      <c r="EG2479"/>
      <c r="EH2479"/>
      <c r="EI2479"/>
      <c r="EJ2479"/>
      <c r="EK2479"/>
    </row>
    <row r="2480" spans="1:141" s="116" customFormat="1">
      <c r="A2480" s="136"/>
      <c r="CM2480" s="111"/>
      <c r="CQ2480" s="111"/>
      <c r="EF2480"/>
      <c r="EG2480"/>
      <c r="EH2480"/>
      <c r="EI2480"/>
      <c r="EJ2480"/>
      <c r="EK2480"/>
    </row>
    <row r="2481" spans="1:141" s="116" customFormat="1">
      <c r="A2481" s="136"/>
      <c r="CM2481" s="111"/>
      <c r="CQ2481" s="111"/>
      <c r="EF2481"/>
      <c r="EG2481"/>
      <c r="EH2481"/>
      <c r="EI2481"/>
      <c r="EJ2481"/>
      <c r="EK2481"/>
    </row>
    <row r="2482" spans="1:141" s="116" customFormat="1">
      <c r="A2482" s="136"/>
      <c r="CM2482" s="111"/>
      <c r="CQ2482" s="111"/>
      <c r="EF2482"/>
      <c r="EG2482"/>
      <c r="EH2482"/>
      <c r="EI2482"/>
      <c r="EJ2482"/>
      <c r="EK2482"/>
    </row>
    <row r="2483" spans="1:141" s="116" customFormat="1">
      <c r="A2483" s="136"/>
      <c r="CM2483" s="111"/>
      <c r="CQ2483" s="111"/>
      <c r="EF2483"/>
      <c r="EG2483"/>
      <c r="EH2483"/>
      <c r="EI2483"/>
      <c r="EJ2483"/>
      <c r="EK2483"/>
    </row>
    <row r="2484" spans="1:141" s="116" customFormat="1">
      <c r="A2484" s="136"/>
      <c r="CM2484" s="111"/>
      <c r="CQ2484" s="111"/>
      <c r="EF2484"/>
      <c r="EG2484"/>
      <c r="EH2484"/>
      <c r="EI2484"/>
      <c r="EJ2484"/>
      <c r="EK2484"/>
    </row>
    <row r="2485" spans="1:141" s="116" customFormat="1">
      <c r="A2485" s="136"/>
      <c r="CM2485" s="111"/>
      <c r="CQ2485" s="111"/>
      <c r="EF2485"/>
      <c r="EG2485"/>
      <c r="EH2485"/>
      <c r="EI2485"/>
      <c r="EJ2485"/>
      <c r="EK2485"/>
    </row>
    <row r="2486" spans="1:141" s="116" customFormat="1">
      <c r="A2486" s="136"/>
      <c r="CM2486" s="111"/>
      <c r="CQ2486" s="111"/>
      <c r="EF2486"/>
      <c r="EG2486"/>
      <c r="EH2486"/>
      <c r="EI2486"/>
      <c r="EJ2486"/>
      <c r="EK2486"/>
    </row>
    <row r="2487" spans="1:141" s="116" customFormat="1">
      <c r="A2487" s="136"/>
      <c r="CM2487" s="111"/>
      <c r="CQ2487" s="111"/>
      <c r="EF2487"/>
      <c r="EG2487"/>
      <c r="EH2487"/>
      <c r="EI2487"/>
      <c r="EJ2487"/>
      <c r="EK2487"/>
    </row>
    <row r="2488" spans="1:141" s="116" customFormat="1">
      <c r="A2488" s="136"/>
      <c r="CM2488" s="111"/>
      <c r="CQ2488" s="111"/>
      <c r="EF2488"/>
      <c r="EG2488"/>
      <c r="EH2488"/>
      <c r="EI2488"/>
      <c r="EJ2488"/>
      <c r="EK2488"/>
    </row>
    <row r="2489" spans="1:141" s="116" customFormat="1">
      <c r="A2489" s="136"/>
      <c r="CM2489" s="111"/>
      <c r="CQ2489" s="111"/>
      <c r="EF2489"/>
      <c r="EG2489"/>
      <c r="EH2489"/>
      <c r="EI2489"/>
      <c r="EJ2489"/>
      <c r="EK2489"/>
    </row>
    <row r="2490" spans="1:141" s="116" customFormat="1">
      <c r="A2490" s="136"/>
      <c r="CM2490" s="111"/>
      <c r="CQ2490" s="111"/>
      <c r="EF2490"/>
      <c r="EG2490"/>
      <c r="EH2490"/>
      <c r="EI2490"/>
      <c r="EJ2490"/>
      <c r="EK2490"/>
    </row>
    <row r="2491" spans="1:141" s="116" customFormat="1">
      <c r="A2491" s="136"/>
      <c r="CM2491" s="111"/>
      <c r="CQ2491" s="111"/>
      <c r="EF2491"/>
      <c r="EG2491"/>
      <c r="EH2491"/>
      <c r="EI2491"/>
      <c r="EJ2491"/>
      <c r="EK2491"/>
    </row>
    <row r="2492" spans="1:141" s="116" customFormat="1">
      <c r="A2492" s="136"/>
      <c r="CM2492" s="111"/>
      <c r="CQ2492" s="111"/>
      <c r="EF2492"/>
      <c r="EG2492"/>
      <c r="EH2492"/>
      <c r="EI2492"/>
      <c r="EJ2492"/>
      <c r="EK2492"/>
    </row>
    <row r="2493" spans="1:141" s="116" customFormat="1">
      <c r="A2493" s="136"/>
      <c r="CM2493" s="111"/>
      <c r="CQ2493" s="111"/>
      <c r="EF2493"/>
      <c r="EG2493"/>
      <c r="EH2493"/>
      <c r="EI2493"/>
      <c r="EJ2493"/>
      <c r="EK2493"/>
    </row>
    <row r="2494" spans="1:141" s="116" customFormat="1">
      <c r="A2494" s="136"/>
      <c r="CM2494" s="111"/>
      <c r="CQ2494" s="111"/>
      <c r="EF2494"/>
      <c r="EG2494"/>
      <c r="EH2494"/>
      <c r="EI2494"/>
      <c r="EJ2494"/>
      <c r="EK2494"/>
    </row>
    <row r="2495" spans="1:141" s="116" customFormat="1">
      <c r="A2495" s="136"/>
      <c r="CM2495" s="111"/>
      <c r="CQ2495" s="111"/>
      <c r="EF2495"/>
      <c r="EG2495"/>
      <c r="EH2495"/>
      <c r="EI2495"/>
      <c r="EJ2495"/>
      <c r="EK2495"/>
    </row>
    <row r="2496" spans="1:141" s="116" customFormat="1">
      <c r="A2496" s="136"/>
      <c r="CM2496" s="111"/>
      <c r="CQ2496" s="111"/>
      <c r="EF2496"/>
      <c r="EG2496"/>
      <c r="EH2496"/>
      <c r="EI2496"/>
      <c r="EJ2496"/>
      <c r="EK2496"/>
    </row>
    <row r="2497" spans="1:141" s="116" customFormat="1">
      <c r="A2497" s="136"/>
      <c r="CM2497" s="111"/>
      <c r="CQ2497" s="111"/>
      <c r="EF2497"/>
      <c r="EG2497"/>
      <c r="EH2497"/>
      <c r="EI2497"/>
      <c r="EJ2497"/>
      <c r="EK2497"/>
    </row>
    <row r="2498" spans="1:141" s="116" customFormat="1">
      <c r="A2498" s="136"/>
      <c r="CM2498" s="111"/>
      <c r="CQ2498" s="111"/>
      <c r="EF2498"/>
      <c r="EG2498"/>
      <c r="EH2498"/>
      <c r="EI2498"/>
      <c r="EJ2498"/>
      <c r="EK2498"/>
    </row>
    <row r="2499" spans="1:141" s="116" customFormat="1">
      <c r="A2499" s="136"/>
      <c r="CM2499" s="111"/>
      <c r="CQ2499" s="111"/>
      <c r="EF2499"/>
      <c r="EG2499"/>
      <c r="EH2499"/>
      <c r="EI2499"/>
      <c r="EJ2499"/>
      <c r="EK2499"/>
    </row>
    <row r="2500" spans="1:141" s="116" customFormat="1">
      <c r="A2500" s="136"/>
      <c r="CM2500" s="111"/>
      <c r="CQ2500" s="111"/>
      <c r="EF2500"/>
      <c r="EG2500"/>
      <c r="EH2500"/>
      <c r="EI2500"/>
      <c r="EJ2500"/>
      <c r="EK2500"/>
    </row>
    <row r="2501" spans="1:141" s="116" customFormat="1">
      <c r="A2501" s="136"/>
      <c r="CM2501" s="111"/>
      <c r="CQ2501" s="111"/>
      <c r="EF2501"/>
      <c r="EG2501"/>
      <c r="EH2501"/>
      <c r="EI2501"/>
      <c r="EJ2501"/>
      <c r="EK2501"/>
    </row>
    <row r="2502" spans="1:141" s="116" customFormat="1">
      <c r="A2502" s="136"/>
      <c r="CM2502" s="111"/>
      <c r="CQ2502" s="111"/>
      <c r="EF2502"/>
      <c r="EG2502"/>
      <c r="EH2502"/>
      <c r="EI2502"/>
      <c r="EJ2502"/>
      <c r="EK2502"/>
    </row>
    <row r="2503" spans="1:141" s="116" customFormat="1">
      <c r="A2503" s="136"/>
      <c r="CM2503" s="111"/>
      <c r="CQ2503" s="111"/>
      <c r="EF2503"/>
      <c r="EG2503"/>
      <c r="EH2503"/>
      <c r="EI2503"/>
      <c r="EJ2503"/>
      <c r="EK2503"/>
    </row>
    <row r="2504" spans="1:141" s="116" customFormat="1">
      <c r="A2504" s="136"/>
      <c r="CM2504" s="111"/>
      <c r="CQ2504" s="111"/>
      <c r="EF2504"/>
      <c r="EG2504"/>
      <c r="EH2504"/>
      <c r="EI2504"/>
      <c r="EJ2504"/>
      <c r="EK2504"/>
    </row>
    <row r="2505" spans="1:141" s="116" customFormat="1">
      <c r="A2505" s="136"/>
      <c r="CM2505" s="111"/>
      <c r="CQ2505" s="111"/>
      <c r="EF2505"/>
      <c r="EG2505"/>
      <c r="EH2505"/>
      <c r="EI2505"/>
      <c r="EJ2505"/>
      <c r="EK2505"/>
    </row>
    <row r="2506" spans="1:141" s="116" customFormat="1">
      <c r="A2506" s="136"/>
      <c r="CM2506" s="111"/>
      <c r="CQ2506" s="111"/>
      <c r="EF2506"/>
      <c r="EG2506"/>
      <c r="EH2506"/>
      <c r="EI2506"/>
      <c r="EJ2506"/>
      <c r="EK2506"/>
    </row>
    <row r="2507" spans="1:141" s="116" customFormat="1">
      <c r="A2507" s="136"/>
      <c r="CM2507" s="111"/>
      <c r="CQ2507" s="111"/>
      <c r="EF2507"/>
      <c r="EG2507"/>
      <c r="EH2507"/>
      <c r="EI2507"/>
      <c r="EJ2507"/>
      <c r="EK2507"/>
    </row>
    <row r="2508" spans="1:141" s="116" customFormat="1">
      <c r="A2508" s="136"/>
      <c r="CM2508" s="111"/>
      <c r="CQ2508" s="111"/>
      <c r="EF2508"/>
      <c r="EG2508"/>
      <c r="EH2508"/>
      <c r="EI2508"/>
      <c r="EJ2508"/>
      <c r="EK2508"/>
    </row>
    <row r="2509" spans="1:141" s="116" customFormat="1">
      <c r="A2509" s="136"/>
      <c r="CM2509" s="111"/>
      <c r="CQ2509" s="111"/>
      <c r="EF2509"/>
      <c r="EG2509"/>
      <c r="EH2509"/>
      <c r="EI2509"/>
      <c r="EJ2509"/>
      <c r="EK2509"/>
    </row>
    <row r="2510" spans="1:141" s="116" customFormat="1">
      <c r="A2510" s="136"/>
      <c r="CM2510" s="111"/>
      <c r="CQ2510" s="111"/>
      <c r="EF2510"/>
      <c r="EG2510"/>
      <c r="EH2510"/>
      <c r="EI2510"/>
      <c r="EJ2510"/>
      <c r="EK2510"/>
    </row>
    <row r="2511" spans="1:141" s="116" customFormat="1">
      <c r="A2511" s="136"/>
      <c r="CM2511" s="111"/>
      <c r="CQ2511" s="111"/>
      <c r="EF2511"/>
      <c r="EG2511"/>
      <c r="EH2511"/>
      <c r="EI2511"/>
      <c r="EJ2511"/>
      <c r="EK2511"/>
    </row>
    <row r="2512" spans="1:141" s="116" customFormat="1">
      <c r="A2512" s="136"/>
      <c r="CM2512" s="111"/>
      <c r="CQ2512" s="111"/>
      <c r="EF2512"/>
      <c r="EG2512"/>
      <c r="EH2512"/>
      <c r="EI2512"/>
      <c r="EJ2512"/>
      <c r="EK2512"/>
    </row>
    <row r="2513" spans="1:141" s="116" customFormat="1">
      <c r="A2513" s="136"/>
      <c r="CM2513" s="111"/>
      <c r="CQ2513" s="111"/>
      <c r="EF2513"/>
      <c r="EG2513"/>
      <c r="EH2513"/>
      <c r="EI2513"/>
      <c r="EJ2513"/>
      <c r="EK2513"/>
    </row>
    <row r="2514" spans="1:141" s="116" customFormat="1">
      <c r="A2514" s="136"/>
      <c r="CM2514" s="111"/>
      <c r="CQ2514" s="111"/>
      <c r="EF2514"/>
      <c r="EG2514"/>
      <c r="EH2514"/>
      <c r="EI2514"/>
      <c r="EJ2514"/>
      <c r="EK2514"/>
    </row>
    <row r="2515" spans="1:141" s="116" customFormat="1">
      <c r="A2515" s="136"/>
      <c r="CM2515" s="111"/>
      <c r="CQ2515" s="111"/>
      <c r="EF2515"/>
      <c r="EG2515"/>
      <c r="EH2515"/>
      <c r="EI2515"/>
      <c r="EJ2515"/>
      <c r="EK2515"/>
    </row>
    <row r="2516" spans="1:141" s="116" customFormat="1">
      <c r="A2516" s="136"/>
      <c r="CM2516" s="111"/>
      <c r="CQ2516" s="111"/>
      <c r="EF2516"/>
      <c r="EG2516"/>
      <c r="EH2516"/>
      <c r="EI2516"/>
      <c r="EJ2516"/>
      <c r="EK2516"/>
    </row>
    <row r="2517" spans="1:141" s="116" customFormat="1">
      <c r="A2517" s="136"/>
      <c r="CM2517" s="111"/>
      <c r="CQ2517" s="111"/>
      <c r="EF2517"/>
      <c r="EG2517"/>
      <c r="EH2517"/>
      <c r="EI2517"/>
      <c r="EJ2517"/>
      <c r="EK2517"/>
    </row>
    <row r="2518" spans="1:141" s="116" customFormat="1">
      <c r="A2518" s="136"/>
      <c r="CM2518" s="111"/>
      <c r="CQ2518" s="111"/>
      <c r="EF2518"/>
      <c r="EG2518"/>
      <c r="EH2518"/>
      <c r="EI2518"/>
      <c r="EJ2518"/>
      <c r="EK2518"/>
    </row>
    <row r="2519" spans="1:141" s="116" customFormat="1">
      <c r="A2519" s="136"/>
      <c r="CM2519" s="111"/>
      <c r="CQ2519" s="111"/>
      <c r="EF2519"/>
      <c r="EG2519"/>
      <c r="EH2519"/>
      <c r="EI2519"/>
      <c r="EJ2519"/>
      <c r="EK2519"/>
    </row>
    <row r="2520" spans="1:141" s="116" customFormat="1">
      <c r="A2520" s="136"/>
      <c r="CM2520" s="111"/>
      <c r="CQ2520" s="111"/>
      <c r="EF2520"/>
      <c r="EG2520"/>
      <c r="EH2520"/>
      <c r="EI2520"/>
      <c r="EJ2520"/>
      <c r="EK2520"/>
    </row>
    <row r="2521" spans="1:141" s="116" customFormat="1">
      <c r="A2521" s="136"/>
      <c r="CM2521" s="111"/>
      <c r="CQ2521" s="111"/>
      <c r="EF2521"/>
      <c r="EG2521"/>
      <c r="EH2521"/>
      <c r="EI2521"/>
      <c r="EJ2521"/>
      <c r="EK2521"/>
    </row>
    <row r="2522" spans="1:141" s="116" customFormat="1">
      <c r="A2522" s="136"/>
      <c r="CM2522" s="111"/>
      <c r="CQ2522" s="111"/>
      <c r="EF2522"/>
      <c r="EG2522"/>
      <c r="EH2522"/>
      <c r="EI2522"/>
      <c r="EJ2522"/>
      <c r="EK2522"/>
    </row>
    <row r="2523" spans="1:141" s="116" customFormat="1">
      <c r="A2523" s="136"/>
      <c r="CM2523" s="111"/>
      <c r="CQ2523" s="111"/>
      <c r="EF2523"/>
      <c r="EG2523"/>
      <c r="EH2523"/>
      <c r="EI2523"/>
      <c r="EJ2523"/>
      <c r="EK2523"/>
    </row>
    <row r="2524" spans="1:141" s="116" customFormat="1">
      <c r="A2524" s="136"/>
      <c r="CM2524" s="111"/>
      <c r="CQ2524" s="111"/>
      <c r="EF2524"/>
      <c r="EG2524"/>
      <c r="EH2524"/>
      <c r="EI2524"/>
      <c r="EJ2524"/>
      <c r="EK2524"/>
    </row>
    <row r="2525" spans="1:141" s="116" customFormat="1">
      <c r="A2525" s="136"/>
      <c r="CM2525" s="111"/>
      <c r="CQ2525" s="111"/>
      <c r="EF2525"/>
      <c r="EG2525"/>
      <c r="EH2525"/>
      <c r="EI2525"/>
      <c r="EJ2525"/>
      <c r="EK2525"/>
    </row>
    <row r="2526" spans="1:141" s="116" customFormat="1">
      <c r="A2526" s="136"/>
      <c r="CM2526" s="111"/>
      <c r="CQ2526" s="111"/>
      <c r="EF2526"/>
      <c r="EG2526"/>
      <c r="EH2526"/>
      <c r="EI2526"/>
      <c r="EJ2526"/>
      <c r="EK2526"/>
    </row>
    <row r="2527" spans="1:141" s="116" customFormat="1">
      <c r="A2527" s="136"/>
      <c r="CM2527" s="111"/>
      <c r="CQ2527" s="111"/>
      <c r="EF2527"/>
      <c r="EG2527"/>
      <c r="EH2527"/>
      <c r="EI2527"/>
      <c r="EJ2527"/>
      <c r="EK2527"/>
    </row>
    <row r="2528" spans="1:141" s="116" customFormat="1">
      <c r="A2528" s="136"/>
      <c r="CM2528" s="111"/>
      <c r="CQ2528" s="111"/>
      <c r="EF2528"/>
      <c r="EG2528"/>
      <c r="EH2528"/>
      <c r="EI2528"/>
      <c r="EJ2528"/>
      <c r="EK2528"/>
    </row>
    <row r="2529" spans="1:141" s="116" customFormat="1">
      <c r="A2529" s="136"/>
      <c r="CM2529" s="111"/>
      <c r="CQ2529" s="111"/>
      <c r="EF2529"/>
      <c r="EG2529"/>
      <c r="EH2529"/>
      <c r="EI2529"/>
      <c r="EJ2529"/>
      <c r="EK2529"/>
    </row>
    <row r="2530" spans="1:141" s="116" customFormat="1">
      <c r="A2530" s="136"/>
      <c r="CM2530" s="111"/>
      <c r="CQ2530" s="111"/>
      <c r="EF2530"/>
      <c r="EG2530"/>
      <c r="EH2530"/>
      <c r="EI2530"/>
      <c r="EJ2530"/>
      <c r="EK2530"/>
    </row>
    <row r="2531" spans="1:141" s="116" customFormat="1">
      <c r="A2531" s="136"/>
      <c r="CM2531" s="111"/>
      <c r="CQ2531" s="111"/>
      <c r="EF2531"/>
      <c r="EG2531"/>
      <c r="EH2531"/>
      <c r="EI2531"/>
      <c r="EJ2531"/>
      <c r="EK2531"/>
    </row>
    <row r="2532" spans="1:141" s="116" customFormat="1">
      <c r="A2532" s="136"/>
      <c r="CM2532" s="111"/>
      <c r="CQ2532" s="111"/>
      <c r="EF2532"/>
      <c r="EG2532"/>
      <c r="EH2532"/>
      <c r="EI2532"/>
      <c r="EJ2532"/>
      <c r="EK2532"/>
    </row>
    <row r="2533" spans="1:141" s="116" customFormat="1">
      <c r="A2533" s="136"/>
      <c r="CM2533" s="111"/>
      <c r="CQ2533" s="111"/>
      <c r="EF2533"/>
      <c r="EG2533"/>
      <c r="EH2533"/>
      <c r="EI2533"/>
      <c r="EJ2533"/>
      <c r="EK2533"/>
    </row>
    <row r="2534" spans="1:141" s="116" customFormat="1">
      <c r="A2534" s="136"/>
      <c r="CM2534" s="111"/>
      <c r="CQ2534" s="111"/>
      <c r="EF2534"/>
      <c r="EG2534"/>
      <c r="EH2534"/>
      <c r="EI2534"/>
      <c r="EJ2534"/>
      <c r="EK2534"/>
    </row>
    <row r="2535" spans="1:141" s="116" customFormat="1">
      <c r="A2535" s="136"/>
      <c r="CM2535" s="111"/>
      <c r="CQ2535" s="111"/>
      <c r="EF2535"/>
      <c r="EG2535"/>
      <c r="EH2535"/>
      <c r="EI2535"/>
      <c r="EJ2535"/>
      <c r="EK2535"/>
    </row>
    <row r="2536" spans="1:141" s="116" customFormat="1">
      <c r="A2536" s="136"/>
      <c r="CM2536" s="111"/>
      <c r="CQ2536" s="111"/>
      <c r="EF2536"/>
      <c r="EG2536"/>
      <c r="EH2536"/>
      <c r="EI2536"/>
      <c r="EJ2536"/>
      <c r="EK2536"/>
    </row>
    <row r="2537" spans="1:141" s="116" customFormat="1">
      <c r="A2537" s="136"/>
      <c r="CM2537" s="111"/>
      <c r="CQ2537" s="111"/>
      <c r="EF2537"/>
      <c r="EG2537"/>
      <c r="EH2537"/>
      <c r="EI2537"/>
      <c r="EJ2537"/>
      <c r="EK2537"/>
    </row>
    <row r="2538" spans="1:141" s="116" customFormat="1">
      <c r="A2538" s="136"/>
      <c r="CM2538" s="111"/>
      <c r="CQ2538" s="111"/>
      <c r="EF2538"/>
      <c r="EG2538"/>
      <c r="EH2538"/>
      <c r="EI2538"/>
      <c r="EJ2538"/>
      <c r="EK2538"/>
    </row>
    <row r="2539" spans="1:141" s="116" customFormat="1">
      <c r="A2539" s="136"/>
      <c r="CM2539" s="111"/>
      <c r="CQ2539" s="111"/>
      <c r="EF2539"/>
      <c r="EG2539"/>
      <c r="EH2539"/>
      <c r="EI2539"/>
      <c r="EJ2539"/>
      <c r="EK2539"/>
    </row>
    <row r="2540" spans="1:141" s="116" customFormat="1">
      <c r="A2540" s="136"/>
      <c r="CM2540" s="111"/>
      <c r="CQ2540" s="111"/>
      <c r="EF2540"/>
      <c r="EG2540"/>
      <c r="EH2540"/>
      <c r="EI2540"/>
      <c r="EJ2540"/>
      <c r="EK2540"/>
    </row>
    <row r="2541" spans="1:141" s="116" customFormat="1">
      <c r="A2541" s="136"/>
      <c r="CM2541" s="111"/>
      <c r="CQ2541" s="111"/>
      <c r="EF2541"/>
      <c r="EG2541"/>
      <c r="EH2541"/>
      <c r="EI2541"/>
      <c r="EJ2541"/>
      <c r="EK2541"/>
    </row>
    <row r="2542" spans="1:141" s="116" customFormat="1">
      <c r="A2542" s="136"/>
      <c r="CM2542" s="111"/>
      <c r="CQ2542" s="111"/>
      <c r="EF2542"/>
      <c r="EG2542"/>
      <c r="EH2542"/>
      <c r="EI2542"/>
      <c r="EJ2542"/>
      <c r="EK2542"/>
    </row>
    <row r="2543" spans="1:141" s="116" customFormat="1">
      <c r="A2543" s="136"/>
      <c r="CM2543" s="111"/>
      <c r="CQ2543" s="111"/>
      <c r="EF2543"/>
      <c r="EG2543"/>
      <c r="EH2543"/>
      <c r="EI2543"/>
      <c r="EJ2543"/>
      <c r="EK2543"/>
    </row>
    <row r="2544" spans="1:141" s="116" customFormat="1">
      <c r="A2544" s="136"/>
      <c r="CM2544" s="111"/>
      <c r="CQ2544" s="111"/>
      <c r="EF2544"/>
      <c r="EG2544"/>
      <c r="EH2544"/>
      <c r="EI2544"/>
      <c r="EJ2544"/>
      <c r="EK2544"/>
    </row>
    <row r="2545" spans="1:141" s="116" customFormat="1">
      <c r="A2545" s="136"/>
      <c r="CM2545" s="111"/>
      <c r="CQ2545" s="111"/>
      <c r="EF2545"/>
      <c r="EG2545"/>
      <c r="EH2545"/>
      <c r="EI2545"/>
      <c r="EJ2545"/>
      <c r="EK2545"/>
    </row>
    <row r="2546" spans="1:141" s="116" customFormat="1">
      <c r="A2546" s="136"/>
      <c r="CM2546" s="111"/>
      <c r="CQ2546" s="111"/>
      <c r="EF2546"/>
      <c r="EG2546"/>
      <c r="EH2546"/>
      <c r="EI2546"/>
      <c r="EJ2546"/>
      <c r="EK2546"/>
    </row>
    <row r="2547" spans="1:141" s="116" customFormat="1">
      <c r="A2547" s="136"/>
      <c r="CM2547" s="111"/>
      <c r="CQ2547" s="111"/>
      <c r="EF2547"/>
      <c r="EG2547"/>
      <c r="EH2547"/>
      <c r="EI2547"/>
      <c r="EJ2547"/>
      <c r="EK2547"/>
    </row>
    <row r="2548" spans="1:141" s="116" customFormat="1">
      <c r="A2548" s="136"/>
      <c r="CM2548" s="111"/>
      <c r="CQ2548" s="111"/>
      <c r="EF2548"/>
      <c r="EG2548"/>
      <c r="EH2548"/>
      <c r="EI2548"/>
      <c r="EJ2548"/>
      <c r="EK2548"/>
    </row>
    <row r="2549" spans="1:141" s="116" customFormat="1">
      <c r="A2549" s="136"/>
      <c r="CM2549" s="111"/>
      <c r="CQ2549" s="111"/>
      <c r="EF2549"/>
      <c r="EG2549"/>
      <c r="EH2549"/>
      <c r="EI2549"/>
      <c r="EJ2549"/>
      <c r="EK2549"/>
    </row>
    <row r="2550" spans="1:141" s="116" customFormat="1">
      <c r="A2550" s="136"/>
      <c r="CM2550" s="111"/>
      <c r="CQ2550" s="111"/>
      <c r="EF2550"/>
      <c r="EG2550"/>
      <c r="EH2550"/>
      <c r="EI2550"/>
      <c r="EJ2550"/>
      <c r="EK2550"/>
    </row>
    <row r="2551" spans="1:141" s="116" customFormat="1">
      <c r="A2551" s="136"/>
      <c r="CM2551" s="111"/>
      <c r="CQ2551" s="111"/>
      <c r="EF2551"/>
      <c r="EG2551"/>
      <c r="EH2551"/>
      <c r="EI2551"/>
      <c r="EJ2551"/>
      <c r="EK2551"/>
    </row>
    <row r="2552" spans="1:141" s="116" customFormat="1">
      <c r="A2552" s="136"/>
      <c r="CM2552" s="111"/>
      <c r="CQ2552" s="111"/>
      <c r="EF2552"/>
      <c r="EG2552"/>
      <c r="EH2552"/>
      <c r="EI2552"/>
      <c r="EJ2552"/>
      <c r="EK2552"/>
    </row>
    <row r="2553" spans="1:141" s="116" customFormat="1">
      <c r="A2553" s="136"/>
      <c r="CM2553" s="111"/>
      <c r="CQ2553" s="111"/>
      <c r="EF2553"/>
      <c r="EG2553"/>
      <c r="EH2553"/>
      <c r="EI2553"/>
      <c r="EJ2553"/>
      <c r="EK2553"/>
    </row>
    <row r="2554" spans="1:141" s="116" customFormat="1">
      <c r="A2554" s="136"/>
      <c r="CM2554" s="111"/>
      <c r="CQ2554" s="111"/>
      <c r="EF2554"/>
      <c r="EG2554"/>
      <c r="EH2554"/>
      <c r="EI2554"/>
      <c r="EJ2554"/>
      <c r="EK2554"/>
    </row>
    <row r="2555" spans="1:141" s="116" customFormat="1">
      <c r="A2555" s="136"/>
      <c r="CM2555" s="111"/>
      <c r="CQ2555" s="111"/>
      <c r="EF2555"/>
      <c r="EG2555"/>
      <c r="EH2555"/>
      <c r="EI2555"/>
      <c r="EJ2555"/>
      <c r="EK2555"/>
    </row>
    <row r="2556" spans="1:141" s="116" customFormat="1">
      <c r="A2556" s="136"/>
      <c r="CM2556" s="111"/>
      <c r="CQ2556" s="111"/>
      <c r="EF2556"/>
      <c r="EG2556"/>
      <c r="EH2556"/>
      <c r="EI2556"/>
      <c r="EJ2556"/>
      <c r="EK2556"/>
    </row>
    <row r="2557" spans="1:141" s="116" customFormat="1">
      <c r="A2557" s="136"/>
      <c r="CM2557" s="111"/>
      <c r="CQ2557" s="111"/>
      <c r="EF2557"/>
      <c r="EG2557"/>
      <c r="EH2557"/>
      <c r="EI2557"/>
      <c r="EJ2557"/>
      <c r="EK2557"/>
    </row>
    <row r="2558" spans="1:141" s="116" customFormat="1">
      <c r="A2558" s="136"/>
      <c r="CM2558" s="111"/>
      <c r="CQ2558" s="111"/>
      <c r="EF2558"/>
      <c r="EG2558"/>
      <c r="EH2558"/>
      <c r="EI2558"/>
      <c r="EJ2558"/>
      <c r="EK2558"/>
    </row>
    <row r="2559" spans="1:141" s="116" customFormat="1">
      <c r="A2559" s="136"/>
      <c r="CM2559" s="111"/>
      <c r="CQ2559" s="111"/>
      <c r="EF2559"/>
      <c r="EG2559"/>
      <c r="EH2559"/>
      <c r="EI2559"/>
      <c r="EJ2559"/>
      <c r="EK2559"/>
    </row>
    <row r="2560" spans="1:141" s="116" customFormat="1">
      <c r="A2560" s="136"/>
      <c r="CM2560" s="111"/>
      <c r="CQ2560" s="111"/>
      <c r="EF2560"/>
      <c r="EG2560"/>
      <c r="EH2560"/>
      <c r="EI2560"/>
      <c r="EJ2560"/>
      <c r="EK2560"/>
    </row>
    <row r="2561" spans="1:141" s="116" customFormat="1">
      <c r="A2561" s="136"/>
      <c r="CM2561" s="111"/>
      <c r="CQ2561" s="111"/>
      <c r="EF2561"/>
      <c r="EG2561"/>
      <c r="EH2561"/>
      <c r="EI2561"/>
      <c r="EJ2561"/>
      <c r="EK2561"/>
    </row>
    <row r="2562" spans="1:141" s="116" customFormat="1">
      <c r="A2562" s="136"/>
      <c r="CM2562" s="111"/>
      <c r="CQ2562" s="111"/>
      <c r="EF2562"/>
      <c r="EG2562"/>
      <c r="EH2562"/>
      <c r="EI2562"/>
      <c r="EJ2562"/>
      <c r="EK2562"/>
    </row>
    <row r="2563" spans="1:141" s="116" customFormat="1">
      <c r="A2563" s="136"/>
      <c r="CM2563" s="111"/>
      <c r="CQ2563" s="111"/>
      <c r="EF2563"/>
      <c r="EG2563"/>
      <c r="EH2563"/>
      <c r="EI2563"/>
      <c r="EJ2563"/>
      <c r="EK2563"/>
    </row>
    <row r="2564" spans="1:141" s="116" customFormat="1">
      <c r="A2564" s="136"/>
      <c r="CM2564" s="111"/>
      <c r="CQ2564" s="111"/>
      <c r="EF2564"/>
      <c r="EG2564"/>
      <c r="EH2564"/>
      <c r="EI2564"/>
      <c r="EJ2564"/>
      <c r="EK2564"/>
    </row>
    <row r="2565" spans="1:141" s="116" customFormat="1">
      <c r="A2565" s="136"/>
      <c r="CM2565" s="111"/>
      <c r="CQ2565" s="111"/>
      <c r="EF2565"/>
      <c r="EG2565"/>
      <c r="EH2565"/>
      <c r="EI2565"/>
      <c r="EJ2565"/>
      <c r="EK2565"/>
    </row>
    <row r="2566" spans="1:141" s="116" customFormat="1">
      <c r="A2566" s="136"/>
      <c r="CM2566" s="111"/>
      <c r="CQ2566" s="111"/>
      <c r="EF2566"/>
      <c r="EG2566"/>
      <c r="EH2566"/>
      <c r="EI2566"/>
      <c r="EJ2566"/>
      <c r="EK2566"/>
    </row>
    <row r="2567" spans="1:141" s="116" customFormat="1">
      <c r="A2567" s="136"/>
      <c r="CM2567" s="111"/>
      <c r="CQ2567" s="111"/>
      <c r="EF2567"/>
      <c r="EG2567"/>
      <c r="EH2567"/>
      <c r="EI2567"/>
      <c r="EJ2567"/>
      <c r="EK2567"/>
    </row>
    <row r="2568" spans="1:141" s="116" customFormat="1">
      <c r="A2568" s="136"/>
      <c r="CM2568" s="111"/>
      <c r="CQ2568" s="111"/>
      <c r="EF2568"/>
      <c r="EG2568"/>
      <c r="EH2568"/>
      <c r="EI2568"/>
      <c r="EJ2568"/>
      <c r="EK2568"/>
    </row>
    <row r="2569" spans="1:141" s="116" customFormat="1">
      <c r="A2569" s="136"/>
      <c r="CM2569" s="111"/>
      <c r="CQ2569" s="111"/>
      <c r="EF2569"/>
      <c r="EG2569"/>
      <c r="EH2569"/>
      <c r="EI2569"/>
      <c r="EJ2569"/>
      <c r="EK2569"/>
    </row>
    <row r="2570" spans="1:141" s="116" customFormat="1">
      <c r="A2570" s="136"/>
      <c r="CM2570" s="111"/>
      <c r="CQ2570" s="111"/>
      <c r="EF2570"/>
      <c r="EG2570"/>
      <c r="EH2570"/>
      <c r="EI2570"/>
      <c r="EJ2570"/>
      <c r="EK2570"/>
    </row>
    <row r="2571" spans="1:141" s="116" customFormat="1">
      <c r="A2571" s="136"/>
      <c r="CM2571" s="111"/>
      <c r="CQ2571" s="111"/>
      <c r="EF2571"/>
      <c r="EG2571"/>
      <c r="EH2571"/>
      <c r="EI2571"/>
      <c r="EJ2571"/>
      <c r="EK2571"/>
    </row>
    <row r="2572" spans="1:141" s="116" customFormat="1">
      <c r="A2572" s="136"/>
      <c r="CM2572" s="111"/>
      <c r="CQ2572" s="111"/>
      <c r="EF2572"/>
      <c r="EG2572"/>
      <c r="EH2572"/>
      <c r="EI2572"/>
      <c r="EJ2572"/>
      <c r="EK2572"/>
    </row>
    <row r="2573" spans="1:141" s="116" customFormat="1">
      <c r="A2573" s="136"/>
      <c r="CM2573" s="111"/>
      <c r="CQ2573" s="111"/>
      <c r="EF2573"/>
      <c r="EG2573"/>
      <c r="EH2573"/>
      <c r="EI2573"/>
      <c r="EJ2573"/>
      <c r="EK2573"/>
    </row>
    <row r="2574" spans="1:141" s="116" customFormat="1">
      <c r="A2574" s="136"/>
      <c r="CM2574" s="111"/>
      <c r="CQ2574" s="111"/>
      <c r="EF2574"/>
      <c r="EG2574"/>
      <c r="EH2574"/>
      <c r="EI2574"/>
      <c r="EJ2574"/>
      <c r="EK2574"/>
    </row>
    <row r="2575" spans="1:141" s="116" customFormat="1">
      <c r="A2575" s="136"/>
      <c r="CM2575" s="111"/>
      <c r="CQ2575" s="111"/>
      <c r="EF2575"/>
      <c r="EG2575"/>
      <c r="EH2575"/>
      <c r="EI2575"/>
      <c r="EJ2575"/>
      <c r="EK2575"/>
    </row>
    <row r="2576" spans="1:141" s="116" customFormat="1">
      <c r="A2576" s="136"/>
      <c r="CM2576" s="111"/>
      <c r="CQ2576" s="111"/>
      <c r="EF2576"/>
      <c r="EG2576"/>
      <c r="EH2576"/>
      <c r="EI2576"/>
      <c r="EJ2576"/>
      <c r="EK2576"/>
    </row>
    <row r="2577" spans="1:141" s="116" customFormat="1">
      <c r="A2577" s="136"/>
      <c r="CM2577" s="111"/>
      <c r="CQ2577" s="111"/>
      <c r="EF2577"/>
      <c r="EG2577"/>
      <c r="EH2577"/>
      <c r="EI2577"/>
      <c r="EJ2577"/>
      <c r="EK2577"/>
    </row>
    <row r="2578" spans="1:141" s="116" customFormat="1">
      <c r="A2578" s="136"/>
      <c r="CM2578" s="111"/>
      <c r="CQ2578" s="111"/>
      <c r="EF2578"/>
      <c r="EG2578"/>
      <c r="EH2578"/>
      <c r="EI2578"/>
      <c r="EJ2578"/>
      <c r="EK2578"/>
    </row>
    <row r="2579" spans="1:141" s="116" customFormat="1">
      <c r="A2579" s="136"/>
      <c r="CM2579" s="111"/>
      <c r="CQ2579" s="111"/>
      <c r="EF2579"/>
      <c r="EG2579"/>
      <c r="EH2579"/>
      <c r="EI2579"/>
      <c r="EJ2579"/>
      <c r="EK2579"/>
    </row>
    <row r="2580" spans="1:141" s="116" customFormat="1">
      <c r="A2580" s="136"/>
      <c r="CM2580" s="111"/>
      <c r="CQ2580" s="111"/>
      <c r="EF2580"/>
      <c r="EG2580"/>
      <c r="EH2580"/>
      <c r="EI2580"/>
      <c r="EJ2580"/>
      <c r="EK2580"/>
    </row>
    <row r="2581" spans="1:141" s="116" customFormat="1">
      <c r="A2581" s="136"/>
      <c r="CM2581" s="111"/>
      <c r="CQ2581" s="111"/>
      <c r="EF2581"/>
      <c r="EG2581"/>
      <c r="EH2581"/>
      <c r="EI2581"/>
      <c r="EJ2581"/>
      <c r="EK2581"/>
    </row>
    <row r="2582" spans="1:141" s="116" customFormat="1">
      <c r="A2582" s="136"/>
      <c r="CM2582" s="111"/>
      <c r="CQ2582" s="111"/>
      <c r="EF2582"/>
      <c r="EG2582"/>
      <c r="EH2582"/>
      <c r="EI2582"/>
      <c r="EJ2582"/>
      <c r="EK2582"/>
    </row>
    <row r="2583" spans="1:141" s="116" customFormat="1">
      <c r="A2583" s="136"/>
      <c r="CM2583" s="111"/>
      <c r="CQ2583" s="111"/>
      <c r="EF2583"/>
      <c r="EG2583"/>
      <c r="EH2583"/>
      <c r="EI2583"/>
      <c r="EJ2583"/>
      <c r="EK2583"/>
    </row>
    <row r="2584" spans="1:141" s="116" customFormat="1">
      <c r="A2584" s="136"/>
      <c r="CM2584" s="111"/>
      <c r="CQ2584" s="111"/>
      <c r="EF2584"/>
      <c r="EG2584"/>
      <c r="EH2584"/>
      <c r="EI2584"/>
      <c r="EJ2584"/>
      <c r="EK2584"/>
    </row>
    <row r="2585" spans="1:141" s="116" customFormat="1">
      <c r="A2585" s="136"/>
      <c r="CM2585" s="111"/>
      <c r="CQ2585" s="111"/>
      <c r="EF2585"/>
      <c r="EG2585"/>
      <c r="EH2585"/>
      <c r="EI2585"/>
      <c r="EJ2585"/>
      <c r="EK2585"/>
    </row>
    <row r="2586" spans="1:141" s="116" customFormat="1">
      <c r="A2586" s="136"/>
      <c r="CM2586" s="111"/>
      <c r="CQ2586" s="111"/>
      <c r="EF2586"/>
      <c r="EG2586"/>
      <c r="EH2586"/>
      <c r="EI2586"/>
      <c r="EJ2586"/>
      <c r="EK2586"/>
    </row>
    <row r="2587" spans="1:141" s="116" customFormat="1">
      <c r="A2587" s="136"/>
      <c r="CM2587" s="111"/>
      <c r="CQ2587" s="111"/>
      <c r="EF2587"/>
      <c r="EG2587"/>
      <c r="EH2587"/>
      <c r="EI2587"/>
      <c r="EJ2587"/>
      <c r="EK2587"/>
    </row>
    <row r="2588" spans="1:141" s="116" customFormat="1">
      <c r="A2588" s="136"/>
      <c r="CM2588" s="111"/>
      <c r="CQ2588" s="111"/>
      <c r="EF2588"/>
      <c r="EG2588"/>
      <c r="EH2588"/>
      <c r="EI2588"/>
      <c r="EJ2588"/>
      <c r="EK2588"/>
    </row>
    <row r="2589" spans="1:141" s="116" customFormat="1">
      <c r="A2589" s="136"/>
      <c r="CM2589" s="111"/>
      <c r="CQ2589" s="111"/>
      <c r="EF2589"/>
      <c r="EG2589"/>
      <c r="EH2589"/>
      <c r="EI2589"/>
      <c r="EJ2589"/>
      <c r="EK2589"/>
    </row>
    <row r="2590" spans="1:141" s="116" customFormat="1">
      <c r="A2590" s="136"/>
      <c r="CM2590" s="111"/>
      <c r="CQ2590" s="111"/>
      <c r="EF2590"/>
      <c r="EG2590"/>
      <c r="EH2590"/>
      <c r="EI2590"/>
      <c r="EJ2590"/>
      <c r="EK2590"/>
    </row>
    <row r="2591" spans="1:141" s="116" customFormat="1">
      <c r="A2591" s="136"/>
      <c r="CM2591" s="111"/>
      <c r="CQ2591" s="111"/>
      <c r="EF2591"/>
      <c r="EG2591"/>
      <c r="EH2591"/>
      <c r="EI2591"/>
      <c r="EJ2591"/>
      <c r="EK2591"/>
    </row>
    <row r="2592" spans="1:141" s="116" customFormat="1">
      <c r="A2592" s="136"/>
      <c r="CM2592" s="111"/>
      <c r="CQ2592" s="111"/>
      <c r="EF2592"/>
      <c r="EG2592"/>
      <c r="EH2592"/>
      <c r="EI2592"/>
      <c r="EJ2592"/>
      <c r="EK2592"/>
    </row>
    <row r="2593" spans="1:141" s="116" customFormat="1">
      <c r="A2593" s="136"/>
      <c r="CM2593" s="111"/>
      <c r="CQ2593" s="111"/>
      <c r="EF2593"/>
      <c r="EG2593"/>
      <c r="EH2593"/>
      <c r="EI2593"/>
      <c r="EJ2593"/>
      <c r="EK2593"/>
    </row>
    <row r="2594" spans="1:141" s="116" customFormat="1">
      <c r="A2594" s="136"/>
      <c r="CM2594" s="111"/>
      <c r="CQ2594" s="111"/>
      <c r="EF2594"/>
      <c r="EG2594"/>
      <c r="EH2594"/>
      <c r="EI2594"/>
      <c r="EJ2594"/>
      <c r="EK2594"/>
    </row>
    <row r="2595" spans="1:141" s="116" customFormat="1">
      <c r="A2595" s="136"/>
      <c r="CM2595" s="111"/>
      <c r="CQ2595" s="111"/>
      <c r="EF2595"/>
      <c r="EG2595"/>
      <c r="EH2595"/>
      <c r="EI2595"/>
      <c r="EJ2595"/>
      <c r="EK2595"/>
    </row>
    <row r="2596" spans="1:141" s="116" customFormat="1">
      <c r="A2596" s="136"/>
      <c r="CM2596" s="111"/>
      <c r="CQ2596" s="111"/>
      <c r="EF2596"/>
      <c r="EG2596"/>
      <c r="EH2596"/>
      <c r="EI2596"/>
      <c r="EJ2596"/>
      <c r="EK2596"/>
    </row>
    <row r="2597" spans="1:141" s="116" customFormat="1">
      <c r="A2597" s="136"/>
      <c r="CM2597" s="111"/>
      <c r="CQ2597" s="111"/>
      <c r="EF2597"/>
      <c r="EG2597"/>
      <c r="EH2597"/>
      <c r="EI2597"/>
      <c r="EJ2597"/>
      <c r="EK2597"/>
    </row>
    <row r="2598" spans="1:141" s="116" customFormat="1">
      <c r="A2598" s="136"/>
      <c r="CM2598" s="111"/>
      <c r="CQ2598" s="111"/>
      <c r="EF2598"/>
      <c r="EG2598"/>
      <c r="EH2598"/>
      <c r="EI2598"/>
      <c r="EJ2598"/>
      <c r="EK2598"/>
    </row>
    <row r="2599" spans="1:141" s="116" customFormat="1">
      <c r="A2599" s="136"/>
      <c r="CM2599" s="111"/>
      <c r="CQ2599" s="111"/>
      <c r="EF2599"/>
      <c r="EG2599"/>
      <c r="EH2599"/>
      <c r="EI2599"/>
      <c r="EJ2599"/>
      <c r="EK2599"/>
    </row>
    <row r="2600" spans="1:141" s="116" customFormat="1">
      <c r="A2600" s="136"/>
      <c r="CM2600" s="111"/>
      <c r="CQ2600" s="111"/>
      <c r="EF2600"/>
      <c r="EG2600"/>
      <c r="EH2600"/>
      <c r="EI2600"/>
      <c r="EJ2600"/>
      <c r="EK2600"/>
    </row>
    <row r="2601" spans="1:141" s="116" customFormat="1">
      <c r="A2601" s="136"/>
      <c r="CM2601" s="111"/>
      <c r="CQ2601" s="111"/>
      <c r="EF2601"/>
      <c r="EG2601"/>
      <c r="EH2601"/>
      <c r="EI2601"/>
      <c r="EJ2601"/>
      <c r="EK2601"/>
    </row>
    <row r="2602" spans="1:141" s="116" customFormat="1">
      <c r="A2602" s="136"/>
      <c r="CM2602" s="111"/>
      <c r="CQ2602" s="111"/>
      <c r="EF2602"/>
      <c r="EG2602"/>
      <c r="EH2602"/>
      <c r="EI2602"/>
      <c r="EJ2602"/>
      <c r="EK2602"/>
    </row>
    <row r="2603" spans="1:141" s="116" customFormat="1">
      <c r="A2603" s="136"/>
      <c r="CM2603" s="111"/>
      <c r="CQ2603" s="111"/>
      <c r="EF2603"/>
      <c r="EG2603"/>
      <c r="EH2603"/>
      <c r="EI2603"/>
      <c r="EJ2603"/>
      <c r="EK2603"/>
    </row>
    <row r="2604" spans="1:141" s="116" customFormat="1">
      <c r="A2604" s="136"/>
      <c r="CM2604" s="111"/>
      <c r="CQ2604" s="111"/>
      <c r="EF2604"/>
      <c r="EG2604"/>
      <c r="EH2604"/>
      <c r="EI2604"/>
      <c r="EJ2604"/>
      <c r="EK2604"/>
    </row>
    <row r="2605" spans="1:141" s="116" customFormat="1">
      <c r="A2605" s="136"/>
      <c r="CM2605" s="111"/>
      <c r="CQ2605" s="111"/>
      <c r="EF2605"/>
      <c r="EG2605"/>
      <c r="EH2605"/>
      <c r="EI2605"/>
      <c r="EJ2605"/>
      <c r="EK2605"/>
    </row>
    <row r="2606" spans="1:141" s="116" customFormat="1">
      <c r="A2606" s="136"/>
      <c r="CM2606" s="111"/>
      <c r="CQ2606" s="111"/>
      <c r="EF2606"/>
      <c r="EG2606"/>
      <c r="EH2606"/>
      <c r="EI2606"/>
      <c r="EJ2606"/>
      <c r="EK2606"/>
    </row>
    <row r="2607" spans="1:141" s="116" customFormat="1">
      <c r="A2607" s="136"/>
      <c r="CM2607" s="111"/>
      <c r="CQ2607" s="111"/>
      <c r="EF2607"/>
      <c r="EG2607"/>
      <c r="EH2607"/>
      <c r="EI2607"/>
      <c r="EJ2607"/>
      <c r="EK2607"/>
    </row>
    <row r="2608" spans="1:141" s="116" customFormat="1">
      <c r="A2608" s="136"/>
      <c r="CM2608" s="111"/>
      <c r="CQ2608" s="111"/>
      <c r="EF2608"/>
      <c r="EG2608"/>
      <c r="EH2608"/>
      <c r="EI2608"/>
      <c r="EJ2608"/>
      <c r="EK2608"/>
    </row>
    <row r="2609" spans="1:141" s="116" customFormat="1">
      <c r="A2609" s="136"/>
      <c r="CM2609" s="111"/>
      <c r="CQ2609" s="111"/>
      <c r="EF2609"/>
      <c r="EG2609"/>
      <c r="EH2609"/>
      <c r="EI2609"/>
      <c r="EJ2609"/>
      <c r="EK2609"/>
    </row>
    <row r="2610" spans="1:141" s="116" customFormat="1">
      <c r="A2610" s="136"/>
      <c r="CM2610" s="111"/>
      <c r="CQ2610" s="111"/>
      <c r="EF2610"/>
      <c r="EG2610"/>
      <c r="EH2610"/>
      <c r="EI2610"/>
      <c r="EJ2610"/>
      <c r="EK2610"/>
    </row>
    <row r="2611" spans="1:141" s="116" customFormat="1">
      <c r="A2611" s="136"/>
      <c r="CM2611" s="111"/>
      <c r="CQ2611" s="111"/>
      <c r="EF2611"/>
      <c r="EG2611"/>
      <c r="EH2611"/>
      <c r="EI2611"/>
      <c r="EJ2611"/>
      <c r="EK2611"/>
    </row>
    <row r="2612" spans="1:141" s="116" customFormat="1">
      <c r="A2612" s="136"/>
      <c r="CM2612" s="111"/>
      <c r="CQ2612" s="111"/>
      <c r="EF2612"/>
      <c r="EG2612"/>
      <c r="EH2612"/>
      <c r="EI2612"/>
      <c r="EJ2612"/>
      <c r="EK2612"/>
    </row>
    <row r="2613" spans="1:141" s="116" customFormat="1">
      <c r="A2613" s="136"/>
      <c r="CM2613" s="111"/>
      <c r="CQ2613" s="111"/>
      <c r="EF2613"/>
      <c r="EG2613"/>
      <c r="EH2613"/>
      <c r="EI2613"/>
      <c r="EJ2613"/>
      <c r="EK2613"/>
    </row>
    <row r="2614" spans="1:141" s="116" customFormat="1">
      <c r="A2614" s="136"/>
      <c r="CM2614" s="111"/>
      <c r="CQ2614" s="111"/>
      <c r="EF2614"/>
      <c r="EG2614"/>
      <c r="EH2614"/>
      <c r="EI2614"/>
      <c r="EJ2614"/>
      <c r="EK2614"/>
    </row>
    <row r="2615" spans="1:141" s="116" customFormat="1">
      <c r="A2615" s="136"/>
      <c r="CM2615" s="111"/>
      <c r="CQ2615" s="111"/>
      <c r="EF2615"/>
      <c r="EG2615"/>
      <c r="EH2615"/>
      <c r="EI2615"/>
      <c r="EJ2615"/>
      <c r="EK2615"/>
    </row>
    <row r="2616" spans="1:141" s="116" customFormat="1">
      <c r="A2616" s="136"/>
      <c r="CM2616" s="111"/>
      <c r="CQ2616" s="111"/>
      <c r="EF2616"/>
      <c r="EG2616"/>
      <c r="EH2616"/>
      <c r="EI2616"/>
      <c r="EJ2616"/>
      <c r="EK2616"/>
    </row>
    <row r="2617" spans="1:141" s="116" customFormat="1">
      <c r="A2617" s="136"/>
      <c r="CM2617" s="111"/>
      <c r="CQ2617" s="111"/>
      <c r="EF2617"/>
      <c r="EG2617"/>
      <c r="EH2617"/>
      <c r="EI2617"/>
      <c r="EJ2617"/>
      <c r="EK2617"/>
    </row>
    <row r="2618" spans="1:141" s="116" customFormat="1">
      <c r="A2618" s="136"/>
      <c r="CM2618" s="111"/>
      <c r="CQ2618" s="111"/>
      <c r="EF2618"/>
      <c r="EG2618"/>
      <c r="EH2618"/>
      <c r="EI2618"/>
      <c r="EJ2618"/>
      <c r="EK2618"/>
    </row>
    <row r="2619" spans="1:141" s="116" customFormat="1">
      <c r="A2619" s="136"/>
      <c r="CM2619" s="111"/>
      <c r="CQ2619" s="111"/>
      <c r="EF2619"/>
      <c r="EG2619"/>
      <c r="EH2619"/>
      <c r="EI2619"/>
      <c r="EJ2619"/>
      <c r="EK2619"/>
    </row>
    <row r="2620" spans="1:141" s="116" customFormat="1">
      <c r="A2620" s="136"/>
      <c r="CM2620" s="111"/>
      <c r="CQ2620" s="111"/>
      <c r="EF2620"/>
      <c r="EG2620"/>
      <c r="EH2620"/>
      <c r="EI2620"/>
      <c r="EJ2620"/>
      <c r="EK2620"/>
    </row>
    <row r="2621" spans="1:141" s="116" customFormat="1">
      <c r="A2621" s="136"/>
      <c r="CM2621" s="111"/>
      <c r="CQ2621" s="111"/>
      <c r="EF2621"/>
      <c r="EG2621"/>
      <c r="EH2621"/>
      <c r="EI2621"/>
      <c r="EJ2621"/>
      <c r="EK2621"/>
    </row>
    <row r="2622" spans="1:141" s="116" customFormat="1">
      <c r="A2622" s="136"/>
      <c r="CM2622" s="111"/>
      <c r="CQ2622" s="111"/>
      <c r="EF2622"/>
      <c r="EG2622"/>
      <c r="EH2622"/>
      <c r="EI2622"/>
      <c r="EJ2622"/>
      <c r="EK2622"/>
    </row>
    <row r="2623" spans="1:141" s="116" customFormat="1">
      <c r="A2623" s="136"/>
      <c r="CM2623" s="111"/>
      <c r="CQ2623" s="111"/>
      <c r="EF2623"/>
      <c r="EG2623"/>
      <c r="EH2623"/>
      <c r="EI2623"/>
      <c r="EJ2623"/>
      <c r="EK2623"/>
    </row>
    <row r="2624" spans="1:141" s="116" customFormat="1">
      <c r="A2624" s="136"/>
      <c r="CM2624" s="111"/>
      <c r="CQ2624" s="111"/>
      <c r="EF2624"/>
      <c r="EG2624"/>
      <c r="EH2624"/>
      <c r="EI2624"/>
      <c r="EJ2624"/>
      <c r="EK2624"/>
    </row>
    <row r="2625" spans="1:141" s="116" customFormat="1">
      <c r="A2625" s="136"/>
      <c r="CM2625" s="111"/>
      <c r="CQ2625" s="111"/>
      <c r="EF2625"/>
      <c r="EG2625"/>
      <c r="EH2625"/>
      <c r="EI2625"/>
      <c r="EJ2625"/>
      <c r="EK2625"/>
    </row>
    <row r="2626" spans="1:141" s="116" customFormat="1">
      <c r="A2626" s="136"/>
      <c r="CM2626" s="111"/>
      <c r="CQ2626" s="111"/>
      <c r="EF2626"/>
      <c r="EG2626"/>
      <c r="EH2626"/>
      <c r="EI2626"/>
      <c r="EJ2626"/>
      <c r="EK2626"/>
    </row>
    <row r="2627" spans="1:141" s="116" customFormat="1">
      <c r="A2627" s="136"/>
      <c r="CM2627" s="111"/>
      <c r="CQ2627" s="111"/>
      <c r="EF2627"/>
      <c r="EG2627"/>
      <c r="EH2627"/>
      <c r="EI2627"/>
      <c r="EJ2627"/>
      <c r="EK2627"/>
    </row>
    <row r="2628" spans="1:141" s="116" customFormat="1">
      <c r="A2628" s="136"/>
      <c r="CM2628" s="111"/>
      <c r="CQ2628" s="111"/>
      <c r="EF2628"/>
      <c r="EG2628"/>
      <c r="EH2628"/>
      <c r="EI2628"/>
      <c r="EJ2628"/>
      <c r="EK2628"/>
    </row>
    <row r="2629" spans="1:141" s="116" customFormat="1">
      <c r="A2629" s="136"/>
      <c r="CM2629" s="111"/>
      <c r="CQ2629" s="111"/>
      <c r="EF2629"/>
      <c r="EG2629"/>
      <c r="EH2629"/>
      <c r="EI2629"/>
      <c r="EJ2629"/>
      <c r="EK2629"/>
    </row>
    <row r="2630" spans="1:141" s="116" customFormat="1">
      <c r="A2630" s="136"/>
      <c r="CM2630" s="111"/>
      <c r="CQ2630" s="111"/>
      <c r="EF2630"/>
      <c r="EG2630"/>
      <c r="EH2630"/>
      <c r="EI2630"/>
      <c r="EJ2630"/>
      <c r="EK2630"/>
    </row>
    <row r="2631" spans="1:141" s="116" customFormat="1">
      <c r="A2631" s="136"/>
      <c r="CM2631" s="111"/>
      <c r="CQ2631" s="111"/>
      <c r="EF2631"/>
      <c r="EG2631"/>
      <c r="EH2631"/>
      <c r="EI2631"/>
      <c r="EJ2631"/>
      <c r="EK2631"/>
    </row>
    <row r="2632" spans="1:141" s="116" customFormat="1">
      <c r="A2632" s="136"/>
      <c r="CM2632" s="111"/>
      <c r="CQ2632" s="111"/>
      <c r="EF2632"/>
      <c r="EG2632"/>
      <c r="EH2632"/>
      <c r="EI2632"/>
      <c r="EJ2632"/>
      <c r="EK2632"/>
    </row>
    <row r="2633" spans="1:141" s="116" customFormat="1">
      <c r="A2633" s="136"/>
      <c r="CM2633" s="111"/>
      <c r="CQ2633" s="111"/>
      <c r="EF2633"/>
      <c r="EG2633"/>
      <c r="EH2633"/>
      <c r="EI2633"/>
      <c r="EJ2633"/>
      <c r="EK2633"/>
    </row>
    <row r="2634" spans="1:141" s="116" customFormat="1">
      <c r="A2634" s="136"/>
      <c r="CM2634" s="111"/>
      <c r="CQ2634" s="111"/>
      <c r="EF2634"/>
      <c r="EG2634"/>
      <c r="EH2634"/>
      <c r="EI2634"/>
      <c r="EJ2634"/>
      <c r="EK2634"/>
    </row>
    <row r="2635" spans="1:141" s="116" customFormat="1">
      <c r="A2635" s="136"/>
      <c r="CM2635" s="111"/>
      <c r="CQ2635" s="111"/>
      <c r="EF2635"/>
      <c r="EG2635"/>
      <c r="EH2635"/>
      <c r="EI2635"/>
      <c r="EJ2635"/>
      <c r="EK2635"/>
    </row>
    <row r="2636" spans="1:141" s="116" customFormat="1">
      <c r="A2636" s="136"/>
      <c r="CM2636" s="111"/>
      <c r="CQ2636" s="111"/>
      <c r="EF2636"/>
      <c r="EG2636"/>
      <c r="EH2636"/>
      <c r="EI2636"/>
      <c r="EJ2636"/>
      <c r="EK2636"/>
    </row>
    <row r="2637" spans="1:141" s="116" customFormat="1">
      <c r="A2637" s="136"/>
      <c r="CM2637" s="111"/>
      <c r="CQ2637" s="111"/>
      <c r="EF2637"/>
      <c r="EG2637"/>
      <c r="EH2637"/>
      <c r="EI2637"/>
      <c r="EJ2637"/>
      <c r="EK2637"/>
    </row>
    <row r="2638" spans="1:141" s="116" customFormat="1">
      <c r="A2638" s="136"/>
      <c r="CM2638" s="111"/>
      <c r="CQ2638" s="111"/>
      <c r="EF2638"/>
      <c r="EG2638"/>
      <c r="EH2638"/>
      <c r="EI2638"/>
      <c r="EJ2638"/>
      <c r="EK2638"/>
    </row>
    <row r="2639" spans="1:141" s="116" customFormat="1">
      <c r="A2639" s="136"/>
      <c r="CM2639" s="111"/>
      <c r="CQ2639" s="111"/>
      <c r="EF2639"/>
      <c r="EG2639"/>
      <c r="EH2639"/>
      <c r="EI2639"/>
      <c r="EJ2639"/>
      <c r="EK2639"/>
    </row>
    <row r="2640" spans="1:141" s="116" customFormat="1">
      <c r="A2640" s="136"/>
      <c r="CM2640" s="111"/>
      <c r="CQ2640" s="111"/>
      <c r="EF2640"/>
      <c r="EG2640"/>
      <c r="EH2640"/>
      <c r="EI2640"/>
      <c r="EJ2640"/>
      <c r="EK2640"/>
    </row>
    <row r="2641" spans="1:141" s="116" customFormat="1">
      <c r="A2641" s="136"/>
      <c r="CM2641" s="111"/>
      <c r="CQ2641" s="111"/>
      <c r="EF2641"/>
      <c r="EG2641"/>
      <c r="EH2641"/>
      <c r="EI2641"/>
      <c r="EJ2641"/>
      <c r="EK2641"/>
    </row>
    <row r="2642" spans="1:141" s="116" customFormat="1">
      <c r="A2642" s="136"/>
      <c r="CM2642" s="111"/>
      <c r="CQ2642" s="111"/>
      <c r="EF2642"/>
      <c r="EG2642"/>
      <c r="EH2642"/>
      <c r="EI2642"/>
      <c r="EJ2642"/>
      <c r="EK2642"/>
    </row>
    <row r="2643" spans="1:141" s="116" customFormat="1">
      <c r="A2643" s="136"/>
      <c r="CM2643" s="111"/>
      <c r="CQ2643" s="111"/>
      <c r="EF2643"/>
      <c r="EG2643"/>
      <c r="EH2643"/>
      <c r="EI2643"/>
      <c r="EJ2643"/>
      <c r="EK2643"/>
    </row>
    <row r="2644" spans="1:141" s="116" customFormat="1">
      <c r="A2644" s="136"/>
      <c r="CM2644" s="111"/>
      <c r="CQ2644" s="111"/>
      <c r="EF2644"/>
      <c r="EG2644"/>
      <c r="EH2644"/>
      <c r="EI2644"/>
      <c r="EJ2644"/>
      <c r="EK2644"/>
    </row>
    <row r="2645" spans="1:141" s="116" customFormat="1">
      <c r="A2645" s="136"/>
      <c r="CM2645" s="111"/>
      <c r="CQ2645" s="111"/>
      <c r="EF2645"/>
      <c r="EG2645"/>
      <c r="EH2645"/>
      <c r="EI2645"/>
      <c r="EJ2645"/>
      <c r="EK2645"/>
    </row>
    <row r="2646" spans="1:141" s="116" customFormat="1">
      <c r="A2646" s="136"/>
      <c r="CM2646" s="111"/>
      <c r="CQ2646" s="111"/>
      <c r="EF2646"/>
      <c r="EG2646"/>
      <c r="EH2646"/>
      <c r="EI2646"/>
      <c r="EJ2646"/>
      <c r="EK2646"/>
    </row>
    <row r="2647" spans="1:141" s="116" customFormat="1">
      <c r="A2647" s="136"/>
      <c r="CM2647" s="111"/>
      <c r="CQ2647" s="111"/>
      <c r="EF2647"/>
      <c r="EG2647"/>
      <c r="EH2647"/>
      <c r="EI2647"/>
      <c r="EJ2647"/>
      <c r="EK2647"/>
    </row>
    <row r="2648" spans="1:141" s="116" customFormat="1">
      <c r="A2648" s="136"/>
      <c r="CM2648" s="111"/>
      <c r="CQ2648" s="111"/>
      <c r="EF2648"/>
      <c r="EG2648"/>
      <c r="EH2648"/>
      <c r="EI2648"/>
      <c r="EJ2648"/>
      <c r="EK2648"/>
    </row>
    <row r="2649" spans="1:141" s="116" customFormat="1">
      <c r="A2649" s="136"/>
      <c r="CM2649" s="111"/>
      <c r="CQ2649" s="111"/>
      <c r="EF2649"/>
      <c r="EG2649"/>
      <c r="EH2649"/>
      <c r="EI2649"/>
      <c r="EJ2649"/>
      <c r="EK2649"/>
    </row>
    <row r="2650" spans="1:141" s="116" customFormat="1">
      <c r="A2650" s="136"/>
      <c r="CM2650" s="111"/>
      <c r="CQ2650" s="111"/>
      <c r="EF2650"/>
      <c r="EG2650"/>
      <c r="EH2650"/>
      <c r="EI2650"/>
      <c r="EJ2650"/>
      <c r="EK2650"/>
    </row>
    <row r="2651" spans="1:141" s="116" customFormat="1">
      <c r="A2651" s="136"/>
      <c r="CM2651" s="111"/>
      <c r="CQ2651" s="111"/>
      <c r="EF2651"/>
      <c r="EG2651"/>
      <c r="EH2651"/>
      <c r="EI2651"/>
      <c r="EJ2651"/>
      <c r="EK2651"/>
    </row>
    <row r="2652" spans="1:141" s="116" customFormat="1">
      <c r="A2652" s="136"/>
      <c r="CM2652" s="111"/>
      <c r="CQ2652" s="111"/>
      <c r="EF2652"/>
      <c r="EG2652"/>
      <c r="EH2652"/>
      <c r="EI2652"/>
      <c r="EJ2652"/>
      <c r="EK2652"/>
    </row>
    <row r="2653" spans="1:141" s="116" customFormat="1">
      <c r="A2653" s="136"/>
      <c r="CM2653" s="111"/>
      <c r="CQ2653" s="111"/>
      <c r="EF2653"/>
      <c r="EG2653"/>
      <c r="EH2653"/>
      <c r="EI2653"/>
      <c r="EJ2653"/>
      <c r="EK2653"/>
    </row>
    <row r="2654" spans="1:141" s="116" customFormat="1">
      <c r="A2654" s="136"/>
      <c r="CM2654" s="111"/>
      <c r="CQ2654" s="111"/>
      <c r="EF2654"/>
      <c r="EG2654"/>
      <c r="EH2654"/>
      <c r="EI2654"/>
      <c r="EJ2654"/>
      <c r="EK2654"/>
    </row>
    <row r="2655" spans="1:141" s="116" customFormat="1">
      <c r="A2655" s="136"/>
      <c r="CM2655" s="111"/>
      <c r="CQ2655" s="111"/>
      <c r="EF2655"/>
      <c r="EG2655"/>
      <c r="EH2655"/>
      <c r="EI2655"/>
      <c r="EJ2655"/>
      <c r="EK2655"/>
    </row>
    <row r="2656" spans="1:141" s="116" customFormat="1">
      <c r="A2656" s="136"/>
      <c r="CM2656" s="111"/>
      <c r="CQ2656" s="111"/>
      <c r="EF2656"/>
      <c r="EG2656"/>
      <c r="EH2656"/>
      <c r="EI2656"/>
      <c r="EJ2656"/>
      <c r="EK2656"/>
    </row>
    <row r="2657" spans="1:141" s="116" customFormat="1">
      <c r="A2657" s="136"/>
      <c r="CM2657" s="111"/>
      <c r="CQ2657" s="111"/>
      <c r="EF2657"/>
      <c r="EG2657"/>
      <c r="EH2657"/>
      <c r="EI2657"/>
      <c r="EJ2657"/>
      <c r="EK2657"/>
    </row>
    <row r="2658" spans="1:141" s="116" customFormat="1">
      <c r="A2658" s="136"/>
      <c r="CM2658" s="111"/>
      <c r="CQ2658" s="111"/>
      <c r="EF2658"/>
      <c r="EG2658"/>
      <c r="EH2658"/>
      <c r="EI2658"/>
      <c r="EJ2658"/>
      <c r="EK2658"/>
    </row>
    <row r="2659" spans="1:141" s="116" customFormat="1">
      <c r="A2659" s="136"/>
      <c r="CM2659" s="111"/>
      <c r="CQ2659" s="111"/>
      <c r="EF2659"/>
      <c r="EG2659"/>
      <c r="EH2659"/>
      <c r="EI2659"/>
      <c r="EJ2659"/>
      <c r="EK2659"/>
    </row>
    <row r="2660" spans="1:141" s="116" customFormat="1">
      <c r="A2660" s="136"/>
      <c r="CM2660" s="111"/>
      <c r="CQ2660" s="111"/>
      <c r="EF2660"/>
      <c r="EG2660"/>
      <c r="EH2660"/>
      <c r="EI2660"/>
      <c r="EJ2660"/>
      <c r="EK2660"/>
    </row>
    <row r="2661" spans="1:141" s="116" customFormat="1">
      <c r="A2661" s="136"/>
      <c r="CM2661" s="111"/>
      <c r="CQ2661" s="111"/>
      <c r="EF2661"/>
      <c r="EG2661"/>
      <c r="EH2661"/>
      <c r="EI2661"/>
      <c r="EJ2661"/>
      <c r="EK2661"/>
    </row>
    <row r="2662" spans="1:141" s="116" customFormat="1">
      <c r="A2662" s="136"/>
      <c r="CM2662" s="111"/>
      <c r="CQ2662" s="111"/>
      <c r="EF2662"/>
      <c r="EG2662"/>
      <c r="EH2662"/>
      <c r="EI2662"/>
      <c r="EJ2662"/>
      <c r="EK2662"/>
    </row>
    <row r="2663" spans="1:141" s="116" customFormat="1">
      <c r="A2663" s="136"/>
      <c r="CM2663" s="111"/>
      <c r="CQ2663" s="111"/>
      <c r="EF2663"/>
      <c r="EG2663"/>
      <c r="EH2663"/>
      <c r="EI2663"/>
      <c r="EJ2663"/>
      <c r="EK2663"/>
    </row>
    <row r="2664" spans="1:141" s="116" customFormat="1">
      <c r="A2664" s="136"/>
      <c r="CM2664" s="111"/>
      <c r="CQ2664" s="111"/>
      <c r="EF2664"/>
      <c r="EG2664"/>
      <c r="EH2664"/>
      <c r="EI2664"/>
      <c r="EJ2664"/>
      <c r="EK2664"/>
    </row>
    <row r="2665" spans="1:141" s="116" customFormat="1">
      <c r="A2665" s="136"/>
      <c r="CM2665" s="111"/>
      <c r="CQ2665" s="111"/>
      <c r="EF2665"/>
      <c r="EG2665"/>
      <c r="EH2665"/>
      <c r="EI2665"/>
      <c r="EJ2665"/>
      <c r="EK2665"/>
    </row>
    <row r="2666" spans="1:141" s="116" customFormat="1">
      <c r="A2666" s="136"/>
      <c r="CM2666" s="111"/>
      <c r="CQ2666" s="111"/>
      <c r="EF2666"/>
      <c r="EG2666"/>
      <c r="EH2666"/>
      <c r="EI2666"/>
      <c r="EJ2666"/>
      <c r="EK2666"/>
    </row>
    <row r="2667" spans="1:141" s="116" customFormat="1">
      <c r="A2667" s="136"/>
      <c r="CM2667" s="111"/>
      <c r="CQ2667" s="111"/>
      <c r="EF2667"/>
      <c r="EG2667"/>
      <c r="EH2667"/>
      <c r="EI2667"/>
      <c r="EJ2667"/>
      <c r="EK2667"/>
    </row>
    <row r="2668" spans="1:141" s="116" customFormat="1">
      <c r="A2668" s="136"/>
      <c r="CM2668" s="111"/>
      <c r="CQ2668" s="111"/>
      <c r="EF2668"/>
      <c r="EG2668"/>
      <c r="EH2668"/>
      <c r="EI2668"/>
      <c r="EJ2668"/>
      <c r="EK2668"/>
    </row>
    <row r="2669" spans="1:141" s="116" customFormat="1">
      <c r="A2669" s="136"/>
      <c r="CM2669" s="111"/>
      <c r="CQ2669" s="111"/>
      <c r="EF2669"/>
      <c r="EG2669"/>
      <c r="EH2669"/>
      <c r="EI2669"/>
      <c r="EJ2669"/>
      <c r="EK2669"/>
    </row>
    <row r="2670" spans="1:141" s="116" customFormat="1">
      <c r="A2670" s="136"/>
      <c r="CM2670" s="111"/>
      <c r="CQ2670" s="111"/>
      <c r="EF2670"/>
      <c r="EG2670"/>
      <c r="EH2670"/>
      <c r="EI2670"/>
      <c r="EJ2670"/>
      <c r="EK2670"/>
    </row>
    <row r="2671" spans="1:141" s="116" customFormat="1">
      <c r="A2671" s="136"/>
      <c r="CM2671" s="111"/>
      <c r="CQ2671" s="111"/>
      <c r="EF2671"/>
      <c r="EG2671"/>
      <c r="EH2671"/>
      <c r="EI2671"/>
      <c r="EJ2671"/>
      <c r="EK2671"/>
    </row>
    <row r="2672" spans="1:141" s="116" customFormat="1">
      <c r="A2672" s="136"/>
      <c r="CM2672" s="111"/>
      <c r="CQ2672" s="111"/>
      <c r="EF2672"/>
      <c r="EG2672"/>
      <c r="EH2672"/>
      <c r="EI2672"/>
      <c r="EJ2672"/>
      <c r="EK2672"/>
    </row>
    <row r="2673" spans="1:141" s="116" customFormat="1">
      <c r="A2673" s="136"/>
      <c r="CM2673" s="111"/>
      <c r="CQ2673" s="111"/>
      <c r="EF2673"/>
      <c r="EG2673"/>
      <c r="EH2673"/>
      <c r="EI2673"/>
      <c r="EJ2673"/>
      <c r="EK2673"/>
    </row>
    <row r="2674" spans="1:141" s="116" customFormat="1">
      <c r="A2674" s="136"/>
      <c r="CM2674" s="111"/>
      <c r="CQ2674" s="111"/>
      <c r="EF2674"/>
      <c r="EG2674"/>
      <c r="EH2674"/>
      <c r="EI2674"/>
      <c r="EJ2674"/>
      <c r="EK2674"/>
    </row>
    <row r="2675" spans="1:141" s="116" customFormat="1">
      <c r="A2675" s="136"/>
      <c r="CM2675" s="111"/>
      <c r="CQ2675" s="111"/>
      <c r="EF2675"/>
      <c r="EG2675"/>
      <c r="EH2675"/>
      <c r="EI2675"/>
      <c r="EJ2675"/>
      <c r="EK2675"/>
    </row>
    <row r="2676" spans="1:141" s="116" customFormat="1">
      <c r="A2676" s="136"/>
      <c r="CM2676" s="111"/>
      <c r="CQ2676" s="111"/>
      <c r="EF2676"/>
      <c r="EG2676"/>
      <c r="EH2676"/>
      <c r="EI2676"/>
      <c r="EJ2676"/>
      <c r="EK2676"/>
    </row>
    <row r="2677" spans="1:141" s="116" customFormat="1">
      <c r="A2677" s="136"/>
      <c r="CM2677" s="111"/>
      <c r="CQ2677" s="111"/>
      <c r="EF2677"/>
      <c r="EG2677"/>
      <c r="EH2677"/>
      <c r="EI2677"/>
      <c r="EJ2677"/>
      <c r="EK2677"/>
    </row>
    <row r="2678" spans="1:141" s="116" customFormat="1">
      <c r="A2678" s="136"/>
      <c r="CM2678" s="111"/>
      <c r="CQ2678" s="111"/>
      <c r="EF2678"/>
      <c r="EG2678"/>
      <c r="EH2678"/>
      <c r="EI2678"/>
      <c r="EJ2678"/>
      <c r="EK2678"/>
    </row>
    <row r="2679" spans="1:141" s="116" customFormat="1">
      <c r="A2679" s="136"/>
      <c r="CM2679" s="111"/>
      <c r="CQ2679" s="111"/>
      <c r="EF2679"/>
      <c r="EG2679"/>
      <c r="EH2679"/>
      <c r="EI2679"/>
      <c r="EJ2679"/>
      <c r="EK2679"/>
    </row>
    <row r="2680" spans="1:141" s="116" customFormat="1">
      <c r="A2680" s="136"/>
      <c r="CM2680" s="111"/>
      <c r="CQ2680" s="111"/>
      <c r="EF2680"/>
      <c r="EG2680"/>
      <c r="EH2680"/>
      <c r="EI2680"/>
      <c r="EJ2680"/>
      <c r="EK2680"/>
    </row>
    <row r="2681" spans="1:141" s="116" customFormat="1">
      <c r="A2681" s="136"/>
      <c r="CM2681" s="111"/>
      <c r="CQ2681" s="111"/>
      <c r="EF2681"/>
      <c r="EG2681"/>
      <c r="EH2681"/>
      <c r="EI2681"/>
      <c r="EJ2681"/>
      <c r="EK2681"/>
    </row>
    <row r="2682" spans="1:141" s="116" customFormat="1">
      <c r="A2682" s="136"/>
      <c r="CM2682" s="111"/>
      <c r="CQ2682" s="111"/>
      <c r="EF2682"/>
      <c r="EG2682"/>
      <c r="EH2682"/>
      <c r="EI2682"/>
      <c r="EJ2682"/>
      <c r="EK2682"/>
    </row>
    <row r="2683" spans="1:141" s="116" customFormat="1">
      <c r="A2683" s="136"/>
      <c r="CM2683" s="111"/>
      <c r="CQ2683" s="111"/>
      <c r="EF2683"/>
      <c r="EG2683"/>
      <c r="EH2683"/>
      <c r="EI2683"/>
      <c r="EJ2683"/>
      <c r="EK2683"/>
    </row>
    <row r="2684" spans="1:141" s="116" customFormat="1">
      <c r="A2684" s="136"/>
      <c r="CM2684" s="111"/>
      <c r="CQ2684" s="111"/>
      <c r="EF2684"/>
      <c r="EG2684"/>
      <c r="EH2684"/>
      <c r="EI2684"/>
      <c r="EJ2684"/>
      <c r="EK2684"/>
    </row>
    <row r="2685" spans="1:141" s="116" customFormat="1">
      <c r="A2685" s="136"/>
      <c r="CM2685" s="111"/>
      <c r="CQ2685" s="111"/>
      <c r="EF2685"/>
      <c r="EG2685"/>
      <c r="EH2685"/>
      <c r="EI2685"/>
      <c r="EJ2685"/>
      <c r="EK2685"/>
    </row>
    <row r="2686" spans="1:141" s="116" customFormat="1">
      <c r="A2686" s="136"/>
      <c r="CM2686" s="111"/>
      <c r="CQ2686" s="111"/>
      <c r="EF2686"/>
      <c r="EG2686"/>
      <c r="EH2686"/>
      <c r="EI2686"/>
      <c r="EJ2686"/>
      <c r="EK2686"/>
    </row>
    <row r="2687" spans="1:141" s="116" customFormat="1">
      <c r="A2687" s="136"/>
      <c r="CM2687" s="111"/>
      <c r="CQ2687" s="111"/>
      <c r="EF2687"/>
      <c r="EG2687"/>
      <c r="EH2687"/>
      <c r="EI2687"/>
      <c r="EJ2687"/>
      <c r="EK2687"/>
    </row>
    <row r="2688" spans="1:141" s="116" customFormat="1">
      <c r="A2688" s="136"/>
      <c r="CM2688" s="111"/>
      <c r="CQ2688" s="111"/>
      <c r="EF2688"/>
      <c r="EG2688"/>
      <c r="EH2688"/>
      <c r="EI2688"/>
      <c r="EJ2688"/>
      <c r="EK2688"/>
    </row>
    <row r="2689" spans="1:141" s="116" customFormat="1">
      <c r="A2689" s="136"/>
      <c r="CM2689" s="111"/>
      <c r="CQ2689" s="111"/>
      <c r="EF2689"/>
      <c r="EG2689"/>
      <c r="EH2689"/>
      <c r="EI2689"/>
      <c r="EJ2689"/>
      <c r="EK2689"/>
    </row>
    <row r="2690" spans="1:141" s="116" customFormat="1">
      <c r="A2690" s="136"/>
      <c r="CM2690" s="111"/>
      <c r="CQ2690" s="111"/>
      <c r="EF2690"/>
      <c r="EG2690"/>
      <c r="EH2690"/>
      <c r="EI2690"/>
      <c r="EJ2690"/>
      <c r="EK2690"/>
    </row>
    <row r="2691" spans="1:141" s="116" customFormat="1">
      <c r="A2691" s="136"/>
      <c r="CM2691" s="111"/>
      <c r="CQ2691" s="111"/>
      <c r="EF2691"/>
      <c r="EG2691"/>
      <c r="EH2691"/>
      <c r="EI2691"/>
      <c r="EJ2691"/>
      <c r="EK2691"/>
    </row>
    <row r="2692" spans="1:141" s="116" customFormat="1">
      <c r="A2692" s="136"/>
      <c r="CM2692" s="111"/>
      <c r="CQ2692" s="111"/>
      <c r="EF2692"/>
      <c r="EG2692"/>
      <c r="EH2692"/>
      <c r="EI2692"/>
      <c r="EJ2692"/>
      <c r="EK2692"/>
    </row>
    <row r="2693" spans="1:141" s="116" customFormat="1">
      <c r="A2693" s="136"/>
      <c r="CM2693" s="111"/>
      <c r="CQ2693" s="111"/>
      <c r="EF2693"/>
      <c r="EG2693"/>
      <c r="EH2693"/>
      <c r="EI2693"/>
      <c r="EJ2693"/>
      <c r="EK2693"/>
    </row>
    <row r="2694" spans="1:141" s="116" customFormat="1">
      <c r="A2694" s="136"/>
      <c r="CM2694" s="111"/>
      <c r="CQ2694" s="111"/>
      <c r="EF2694"/>
      <c r="EG2694"/>
      <c r="EH2694"/>
      <c r="EI2694"/>
      <c r="EJ2694"/>
      <c r="EK2694"/>
    </row>
    <row r="2695" spans="1:141" s="116" customFormat="1">
      <c r="A2695" s="136"/>
      <c r="CM2695" s="111"/>
      <c r="CQ2695" s="111"/>
      <c r="EF2695"/>
      <c r="EG2695"/>
      <c r="EH2695"/>
      <c r="EI2695"/>
      <c r="EJ2695"/>
      <c r="EK2695"/>
    </row>
    <row r="2696" spans="1:141" s="116" customFormat="1">
      <c r="A2696" s="136"/>
      <c r="CM2696" s="111"/>
      <c r="CQ2696" s="111"/>
      <c r="EF2696"/>
      <c r="EG2696"/>
      <c r="EH2696"/>
      <c r="EI2696"/>
      <c r="EJ2696"/>
      <c r="EK2696"/>
    </row>
    <row r="2697" spans="1:141" s="116" customFormat="1">
      <c r="A2697" s="136"/>
      <c r="CM2697" s="111"/>
      <c r="CQ2697" s="111"/>
      <c r="EF2697"/>
      <c r="EG2697"/>
      <c r="EH2697"/>
      <c r="EI2697"/>
      <c r="EJ2697"/>
      <c r="EK2697"/>
    </row>
    <row r="2698" spans="1:141" s="116" customFormat="1">
      <c r="A2698" s="136"/>
      <c r="CM2698" s="111"/>
      <c r="CQ2698" s="111"/>
      <c r="EF2698"/>
      <c r="EG2698"/>
      <c r="EH2698"/>
      <c r="EI2698"/>
      <c r="EJ2698"/>
      <c r="EK2698"/>
    </row>
    <row r="2699" spans="1:141" s="116" customFormat="1">
      <c r="A2699" s="136"/>
      <c r="CM2699" s="111"/>
      <c r="CQ2699" s="111"/>
      <c r="EF2699"/>
      <c r="EG2699"/>
      <c r="EH2699"/>
      <c r="EI2699"/>
      <c r="EJ2699"/>
      <c r="EK2699"/>
    </row>
    <row r="2700" spans="1:141" s="116" customFormat="1">
      <c r="A2700" s="136"/>
      <c r="CM2700" s="111"/>
      <c r="CQ2700" s="111"/>
      <c r="EF2700"/>
      <c r="EG2700"/>
      <c r="EH2700"/>
      <c r="EI2700"/>
      <c r="EJ2700"/>
      <c r="EK2700"/>
    </row>
    <row r="2701" spans="1:141" s="116" customFormat="1">
      <c r="A2701" s="136"/>
      <c r="CM2701" s="111"/>
      <c r="CQ2701" s="111"/>
      <c r="EF2701"/>
      <c r="EG2701"/>
      <c r="EH2701"/>
      <c r="EI2701"/>
      <c r="EJ2701"/>
      <c r="EK2701"/>
    </row>
    <row r="2702" spans="1:141" s="116" customFormat="1">
      <c r="A2702" s="136"/>
      <c r="CM2702" s="111"/>
      <c r="CQ2702" s="111"/>
      <c r="EF2702"/>
      <c r="EG2702"/>
      <c r="EH2702"/>
      <c r="EI2702"/>
      <c r="EJ2702"/>
      <c r="EK2702"/>
    </row>
    <row r="2703" spans="1:141" s="116" customFormat="1">
      <c r="A2703" s="136"/>
      <c r="CM2703" s="111"/>
      <c r="CQ2703" s="111"/>
      <c r="EF2703"/>
      <c r="EG2703"/>
      <c r="EH2703"/>
      <c r="EI2703"/>
      <c r="EJ2703"/>
      <c r="EK2703"/>
    </row>
    <row r="2704" spans="1:141" s="116" customFormat="1">
      <c r="A2704" s="136"/>
      <c r="CM2704" s="111"/>
      <c r="CQ2704" s="111"/>
      <c r="EF2704"/>
      <c r="EG2704"/>
      <c r="EH2704"/>
      <c r="EI2704"/>
      <c r="EJ2704"/>
      <c r="EK2704"/>
    </row>
    <row r="2705" spans="1:141" s="116" customFormat="1">
      <c r="A2705" s="136"/>
      <c r="CM2705" s="111"/>
      <c r="CQ2705" s="111"/>
      <c r="EF2705"/>
      <c r="EG2705"/>
      <c r="EH2705"/>
      <c r="EI2705"/>
      <c r="EJ2705"/>
      <c r="EK2705"/>
    </row>
    <row r="2706" spans="1:141" s="116" customFormat="1">
      <c r="A2706" s="136"/>
      <c r="CM2706" s="111"/>
      <c r="CQ2706" s="111"/>
      <c r="EF2706"/>
      <c r="EG2706"/>
      <c r="EH2706"/>
      <c r="EI2706"/>
      <c r="EJ2706"/>
      <c r="EK2706"/>
    </row>
    <row r="2707" spans="1:141" s="116" customFormat="1">
      <c r="A2707" s="136"/>
      <c r="CM2707" s="111"/>
      <c r="CQ2707" s="111"/>
      <c r="EF2707"/>
      <c r="EG2707"/>
      <c r="EH2707"/>
      <c r="EI2707"/>
      <c r="EJ2707"/>
      <c r="EK2707"/>
    </row>
    <row r="2708" spans="1:141" s="116" customFormat="1">
      <c r="A2708" s="136"/>
      <c r="CM2708" s="111"/>
      <c r="CQ2708" s="111"/>
      <c r="EF2708"/>
      <c r="EG2708"/>
      <c r="EH2708"/>
      <c r="EI2708"/>
      <c r="EJ2708"/>
      <c r="EK2708"/>
    </row>
    <row r="2709" spans="1:141" s="116" customFormat="1">
      <c r="A2709" s="136"/>
      <c r="CM2709" s="111"/>
      <c r="CQ2709" s="111"/>
      <c r="EF2709"/>
      <c r="EG2709"/>
      <c r="EH2709"/>
      <c r="EI2709"/>
      <c r="EJ2709"/>
      <c r="EK2709"/>
    </row>
    <row r="2710" spans="1:141" s="116" customFormat="1">
      <c r="A2710" s="136"/>
      <c r="CM2710" s="111"/>
      <c r="CQ2710" s="111"/>
      <c r="EF2710"/>
      <c r="EG2710"/>
      <c r="EH2710"/>
      <c r="EI2710"/>
      <c r="EJ2710"/>
      <c r="EK2710"/>
    </row>
    <row r="2711" spans="1:141" s="116" customFormat="1">
      <c r="A2711" s="136"/>
      <c r="CM2711" s="111"/>
      <c r="CQ2711" s="111"/>
      <c r="EF2711"/>
      <c r="EG2711"/>
      <c r="EH2711"/>
      <c r="EI2711"/>
      <c r="EJ2711"/>
      <c r="EK2711"/>
    </row>
    <row r="2712" spans="1:141" s="116" customFormat="1">
      <c r="A2712" s="136"/>
      <c r="CM2712" s="111"/>
      <c r="CQ2712" s="111"/>
      <c r="EF2712"/>
      <c r="EG2712"/>
      <c r="EH2712"/>
      <c r="EI2712"/>
      <c r="EJ2712"/>
      <c r="EK2712"/>
    </row>
    <row r="2713" spans="1:141" s="116" customFormat="1">
      <c r="A2713" s="136"/>
      <c r="CM2713" s="111"/>
      <c r="CQ2713" s="111"/>
      <c r="EF2713"/>
      <c r="EG2713"/>
      <c r="EH2713"/>
      <c r="EI2713"/>
      <c r="EJ2713"/>
      <c r="EK2713"/>
    </row>
    <row r="2714" spans="1:141" s="116" customFormat="1">
      <c r="A2714" s="136"/>
      <c r="CM2714" s="111"/>
      <c r="CQ2714" s="111"/>
      <c r="EF2714"/>
      <c r="EG2714"/>
      <c r="EH2714"/>
      <c r="EI2714"/>
      <c r="EJ2714"/>
      <c r="EK2714"/>
    </row>
    <row r="2715" spans="1:141" s="116" customFormat="1">
      <c r="A2715" s="136"/>
      <c r="CM2715" s="111"/>
      <c r="CQ2715" s="111"/>
      <c r="EF2715"/>
      <c r="EG2715"/>
      <c r="EH2715"/>
      <c r="EI2715"/>
      <c r="EJ2715"/>
      <c r="EK2715"/>
    </row>
    <row r="2716" spans="1:141" s="116" customFormat="1">
      <c r="A2716" s="136"/>
      <c r="CM2716" s="111"/>
      <c r="CQ2716" s="111"/>
      <c r="EF2716"/>
      <c r="EG2716"/>
      <c r="EH2716"/>
      <c r="EI2716"/>
      <c r="EJ2716"/>
      <c r="EK2716"/>
    </row>
    <row r="2717" spans="1:141" s="116" customFormat="1">
      <c r="A2717" s="136"/>
      <c r="CM2717" s="111"/>
      <c r="CQ2717" s="111"/>
      <c r="EF2717"/>
      <c r="EG2717"/>
      <c r="EH2717"/>
      <c r="EI2717"/>
      <c r="EJ2717"/>
      <c r="EK2717"/>
    </row>
    <row r="2718" spans="1:141" s="116" customFormat="1">
      <c r="A2718" s="136"/>
      <c r="CM2718" s="111"/>
      <c r="CQ2718" s="111"/>
      <c r="EF2718"/>
      <c r="EG2718"/>
      <c r="EH2718"/>
      <c r="EI2718"/>
      <c r="EJ2718"/>
      <c r="EK2718"/>
    </row>
    <row r="2719" spans="1:141" s="116" customFormat="1">
      <c r="A2719" s="136"/>
      <c r="CM2719" s="111"/>
      <c r="CQ2719" s="111"/>
      <c r="EF2719"/>
      <c r="EG2719"/>
      <c r="EH2719"/>
      <c r="EI2719"/>
      <c r="EJ2719"/>
      <c r="EK2719"/>
    </row>
    <row r="2720" spans="1:141" s="116" customFormat="1">
      <c r="A2720" s="136"/>
      <c r="CM2720" s="111"/>
      <c r="CQ2720" s="111"/>
      <c r="EF2720"/>
      <c r="EG2720"/>
      <c r="EH2720"/>
      <c r="EI2720"/>
      <c r="EJ2720"/>
      <c r="EK2720"/>
    </row>
    <row r="2721" spans="1:141" s="116" customFormat="1">
      <c r="A2721" s="136"/>
      <c r="CM2721" s="111"/>
      <c r="CQ2721" s="111"/>
      <c r="EF2721"/>
      <c r="EG2721"/>
      <c r="EH2721"/>
      <c r="EI2721"/>
      <c r="EJ2721"/>
      <c r="EK2721"/>
    </row>
    <row r="2722" spans="1:141" s="116" customFormat="1">
      <c r="A2722" s="136"/>
      <c r="CM2722" s="111"/>
      <c r="CQ2722" s="111"/>
      <c r="EF2722"/>
      <c r="EG2722"/>
      <c r="EH2722"/>
      <c r="EI2722"/>
      <c r="EJ2722"/>
      <c r="EK2722"/>
    </row>
    <row r="2723" spans="1:141" s="116" customFormat="1">
      <c r="A2723" s="136"/>
      <c r="CM2723" s="111"/>
      <c r="CQ2723" s="111"/>
      <c r="EF2723"/>
      <c r="EG2723"/>
      <c r="EH2723"/>
      <c r="EI2723"/>
      <c r="EJ2723"/>
      <c r="EK2723"/>
    </row>
    <row r="2724" spans="1:141" s="116" customFormat="1">
      <c r="A2724" s="136"/>
      <c r="CM2724" s="111"/>
      <c r="CQ2724" s="111"/>
      <c r="EF2724"/>
      <c r="EG2724"/>
      <c r="EH2724"/>
      <c r="EI2724"/>
      <c r="EJ2724"/>
      <c r="EK2724"/>
    </row>
    <row r="2725" spans="1:141" s="116" customFormat="1">
      <c r="A2725" s="136"/>
      <c r="CM2725" s="111"/>
      <c r="CQ2725" s="111"/>
      <c r="EF2725"/>
      <c r="EG2725"/>
      <c r="EH2725"/>
      <c r="EI2725"/>
      <c r="EJ2725"/>
      <c r="EK2725"/>
    </row>
    <row r="2726" spans="1:141" s="116" customFormat="1">
      <c r="A2726" s="136"/>
      <c r="CM2726" s="111"/>
      <c r="CQ2726" s="111"/>
      <c r="EF2726"/>
      <c r="EG2726"/>
      <c r="EH2726"/>
      <c r="EI2726"/>
      <c r="EJ2726"/>
      <c r="EK2726"/>
    </row>
    <row r="2727" spans="1:141" s="116" customFormat="1">
      <c r="A2727" s="136"/>
      <c r="CM2727" s="111"/>
      <c r="CQ2727" s="111"/>
      <c r="EF2727"/>
      <c r="EG2727"/>
      <c r="EH2727"/>
      <c r="EI2727"/>
      <c r="EJ2727"/>
      <c r="EK2727"/>
    </row>
    <row r="2728" spans="1:141" s="116" customFormat="1">
      <c r="A2728" s="136"/>
      <c r="CM2728" s="111"/>
      <c r="CQ2728" s="111"/>
      <c r="EF2728"/>
      <c r="EG2728"/>
      <c r="EH2728"/>
      <c r="EI2728"/>
      <c r="EJ2728"/>
      <c r="EK2728"/>
    </row>
    <row r="2729" spans="1:141" s="116" customFormat="1">
      <c r="A2729" s="136"/>
      <c r="CM2729" s="111"/>
      <c r="CQ2729" s="111"/>
      <c r="EF2729"/>
      <c r="EG2729"/>
      <c r="EH2729"/>
      <c r="EI2729"/>
      <c r="EJ2729"/>
      <c r="EK2729"/>
    </row>
    <row r="2730" spans="1:141" s="116" customFormat="1">
      <c r="A2730" s="136"/>
      <c r="CM2730" s="111"/>
      <c r="CQ2730" s="111"/>
      <c r="EF2730"/>
      <c r="EG2730"/>
      <c r="EH2730"/>
      <c r="EI2730"/>
      <c r="EJ2730"/>
      <c r="EK2730"/>
    </row>
    <row r="2731" spans="1:141" s="116" customFormat="1">
      <c r="A2731" s="136"/>
      <c r="CM2731" s="111"/>
      <c r="CQ2731" s="111"/>
      <c r="EF2731"/>
      <c r="EG2731"/>
      <c r="EH2731"/>
      <c r="EI2731"/>
      <c r="EJ2731"/>
      <c r="EK2731"/>
    </row>
    <row r="2732" spans="1:141" s="116" customFormat="1">
      <c r="A2732" s="136"/>
      <c r="CM2732" s="111"/>
      <c r="CQ2732" s="111"/>
      <c r="EF2732"/>
      <c r="EG2732"/>
      <c r="EH2732"/>
      <c r="EI2732"/>
      <c r="EJ2732"/>
      <c r="EK2732"/>
    </row>
    <row r="2733" spans="1:141" s="116" customFormat="1">
      <c r="A2733" s="136"/>
      <c r="CM2733" s="111"/>
      <c r="CQ2733" s="111"/>
      <c r="EF2733"/>
      <c r="EG2733"/>
      <c r="EH2733"/>
      <c r="EI2733"/>
      <c r="EJ2733"/>
      <c r="EK2733"/>
    </row>
    <row r="2734" spans="1:141" s="116" customFormat="1">
      <c r="A2734" s="136"/>
      <c r="CM2734" s="111"/>
      <c r="CQ2734" s="111"/>
      <c r="EF2734"/>
      <c r="EG2734"/>
      <c r="EH2734"/>
      <c r="EI2734"/>
      <c r="EJ2734"/>
      <c r="EK2734"/>
    </row>
    <row r="2735" spans="1:141" s="116" customFormat="1">
      <c r="A2735" s="136"/>
      <c r="CM2735" s="111"/>
      <c r="CQ2735" s="111"/>
      <c r="EF2735"/>
      <c r="EG2735"/>
      <c r="EH2735"/>
      <c r="EI2735"/>
      <c r="EJ2735"/>
      <c r="EK2735"/>
    </row>
    <row r="2736" spans="1:141" s="116" customFormat="1">
      <c r="A2736" s="136"/>
      <c r="CM2736" s="111"/>
      <c r="CQ2736" s="111"/>
      <c r="EF2736"/>
      <c r="EG2736"/>
      <c r="EH2736"/>
      <c r="EI2736"/>
      <c r="EJ2736"/>
      <c r="EK2736"/>
    </row>
    <row r="2737" spans="1:141" s="116" customFormat="1">
      <c r="A2737" s="136"/>
      <c r="CM2737" s="111"/>
      <c r="CQ2737" s="111"/>
      <c r="EF2737"/>
      <c r="EG2737"/>
      <c r="EH2737"/>
      <c r="EI2737"/>
      <c r="EJ2737"/>
      <c r="EK2737"/>
    </row>
    <row r="2738" spans="1:141" s="116" customFormat="1">
      <c r="A2738" s="136"/>
      <c r="CM2738" s="111"/>
      <c r="CQ2738" s="111"/>
      <c r="EF2738"/>
      <c r="EG2738"/>
      <c r="EH2738"/>
      <c r="EI2738"/>
      <c r="EJ2738"/>
      <c r="EK2738"/>
    </row>
    <row r="2739" spans="1:141" s="116" customFormat="1">
      <c r="A2739" s="136"/>
      <c r="CM2739" s="111"/>
      <c r="CQ2739" s="111"/>
      <c r="EF2739"/>
      <c r="EG2739"/>
      <c r="EH2739"/>
      <c r="EI2739"/>
      <c r="EJ2739"/>
      <c r="EK2739"/>
    </row>
    <row r="2740" spans="1:141" s="116" customFormat="1">
      <c r="A2740" s="136"/>
      <c r="CM2740" s="111"/>
      <c r="CQ2740" s="111"/>
      <c r="EF2740"/>
      <c r="EG2740"/>
      <c r="EH2740"/>
      <c r="EI2740"/>
      <c r="EJ2740"/>
      <c r="EK2740"/>
    </row>
    <row r="2741" spans="1:141" s="116" customFormat="1">
      <c r="A2741" s="136"/>
      <c r="CM2741" s="111"/>
      <c r="CQ2741" s="111"/>
      <c r="EF2741"/>
      <c r="EG2741"/>
      <c r="EH2741"/>
      <c r="EI2741"/>
      <c r="EJ2741"/>
      <c r="EK2741"/>
    </row>
    <row r="2742" spans="1:141" s="116" customFormat="1">
      <c r="A2742" s="136"/>
      <c r="CM2742" s="111"/>
      <c r="CQ2742" s="111"/>
      <c r="EF2742"/>
      <c r="EG2742"/>
      <c r="EH2742"/>
      <c r="EI2742"/>
      <c r="EJ2742"/>
      <c r="EK2742"/>
    </row>
    <row r="2743" spans="1:141" s="116" customFormat="1">
      <c r="A2743" s="136"/>
      <c r="CM2743" s="111"/>
      <c r="CQ2743" s="111"/>
      <c r="EF2743"/>
      <c r="EG2743"/>
      <c r="EH2743"/>
      <c r="EI2743"/>
      <c r="EJ2743"/>
      <c r="EK2743"/>
    </row>
    <row r="2744" spans="1:141" s="116" customFormat="1">
      <c r="A2744" s="136"/>
      <c r="CM2744" s="111"/>
      <c r="CQ2744" s="111"/>
      <c r="EF2744"/>
      <c r="EG2744"/>
      <c r="EH2744"/>
      <c r="EI2744"/>
      <c r="EJ2744"/>
      <c r="EK2744"/>
    </row>
    <row r="2745" spans="1:141" s="116" customFormat="1">
      <c r="A2745" s="136"/>
      <c r="CM2745" s="111"/>
      <c r="CQ2745" s="111"/>
      <c r="EF2745"/>
      <c r="EG2745"/>
      <c r="EH2745"/>
      <c r="EI2745"/>
      <c r="EJ2745"/>
      <c r="EK2745"/>
    </row>
    <row r="2746" spans="1:141" s="116" customFormat="1">
      <c r="A2746" s="136"/>
      <c r="CM2746" s="111"/>
      <c r="CQ2746" s="111"/>
      <c r="EF2746"/>
      <c r="EG2746"/>
      <c r="EH2746"/>
      <c r="EI2746"/>
      <c r="EJ2746"/>
      <c r="EK2746"/>
    </row>
    <row r="2747" spans="1:141" s="116" customFormat="1">
      <c r="A2747" s="136"/>
      <c r="CM2747" s="111"/>
      <c r="CQ2747" s="111"/>
      <c r="EF2747"/>
      <c r="EG2747"/>
      <c r="EH2747"/>
      <c r="EI2747"/>
      <c r="EJ2747"/>
      <c r="EK2747"/>
    </row>
    <row r="2748" spans="1:141" s="116" customFormat="1">
      <c r="A2748" s="136"/>
      <c r="CM2748" s="111"/>
      <c r="CQ2748" s="111"/>
      <c r="EF2748"/>
      <c r="EG2748"/>
      <c r="EH2748"/>
      <c r="EI2748"/>
      <c r="EJ2748"/>
      <c r="EK2748"/>
    </row>
    <row r="2749" spans="1:141" s="116" customFormat="1">
      <c r="A2749" s="136"/>
      <c r="CM2749" s="111"/>
      <c r="CQ2749" s="111"/>
      <c r="EF2749"/>
      <c r="EG2749"/>
      <c r="EH2749"/>
      <c r="EI2749"/>
      <c r="EJ2749"/>
      <c r="EK2749"/>
    </row>
    <row r="2750" spans="1:141" s="116" customFormat="1">
      <c r="A2750" s="136"/>
      <c r="CM2750" s="111"/>
      <c r="CQ2750" s="111"/>
      <c r="EF2750"/>
      <c r="EG2750"/>
      <c r="EH2750"/>
      <c r="EI2750"/>
      <c r="EJ2750"/>
      <c r="EK2750"/>
    </row>
    <row r="2751" spans="1:141" s="116" customFormat="1">
      <c r="A2751" s="136"/>
      <c r="CM2751" s="111"/>
      <c r="CQ2751" s="111"/>
      <c r="EF2751"/>
      <c r="EG2751"/>
      <c r="EH2751"/>
      <c r="EI2751"/>
      <c r="EJ2751"/>
      <c r="EK2751"/>
    </row>
    <row r="2752" spans="1:141" s="116" customFormat="1">
      <c r="A2752" s="136"/>
      <c r="CM2752" s="111"/>
      <c r="CQ2752" s="111"/>
      <c r="EF2752"/>
      <c r="EG2752"/>
      <c r="EH2752"/>
      <c r="EI2752"/>
      <c r="EJ2752"/>
      <c r="EK2752"/>
    </row>
    <row r="2753" spans="1:141" s="116" customFormat="1">
      <c r="A2753" s="136"/>
      <c r="CM2753" s="111"/>
      <c r="CQ2753" s="111"/>
      <c r="EF2753"/>
      <c r="EG2753"/>
      <c r="EH2753"/>
      <c r="EI2753"/>
      <c r="EJ2753"/>
      <c r="EK2753"/>
    </row>
    <row r="2754" spans="1:141" s="116" customFormat="1">
      <c r="A2754" s="136"/>
      <c r="CM2754" s="111"/>
      <c r="CQ2754" s="111"/>
      <c r="EF2754"/>
      <c r="EG2754"/>
      <c r="EH2754"/>
      <c r="EI2754"/>
      <c r="EJ2754"/>
      <c r="EK2754"/>
    </row>
    <row r="2755" spans="1:141" s="116" customFormat="1">
      <c r="A2755" s="136"/>
      <c r="CM2755" s="111"/>
      <c r="CQ2755" s="111"/>
      <c r="EF2755"/>
      <c r="EG2755"/>
      <c r="EH2755"/>
      <c r="EI2755"/>
      <c r="EJ2755"/>
      <c r="EK2755"/>
    </row>
    <row r="2756" spans="1:141" s="116" customFormat="1">
      <c r="A2756" s="136"/>
      <c r="CM2756" s="111"/>
      <c r="CQ2756" s="111"/>
      <c r="EF2756"/>
      <c r="EG2756"/>
      <c r="EH2756"/>
      <c r="EI2756"/>
      <c r="EJ2756"/>
      <c r="EK2756"/>
    </row>
    <row r="2757" spans="1:141" s="116" customFormat="1">
      <c r="A2757" s="136"/>
      <c r="CM2757" s="111"/>
      <c r="CQ2757" s="111"/>
      <c r="EF2757"/>
      <c r="EG2757"/>
      <c r="EH2757"/>
      <c r="EI2757"/>
      <c r="EJ2757"/>
      <c r="EK2757"/>
    </row>
    <row r="2758" spans="1:141" s="116" customFormat="1">
      <c r="A2758" s="136"/>
      <c r="CM2758" s="111"/>
      <c r="CQ2758" s="111"/>
      <c r="EF2758"/>
      <c r="EG2758"/>
      <c r="EH2758"/>
      <c r="EI2758"/>
      <c r="EJ2758"/>
      <c r="EK2758"/>
    </row>
    <row r="2759" spans="1:141" s="116" customFormat="1">
      <c r="A2759" s="136"/>
      <c r="CM2759" s="111"/>
      <c r="CQ2759" s="111"/>
      <c r="EF2759"/>
      <c r="EG2759"/>
      <c r="EH2759"/>
      <c r="EI2759"/>
      <c r="EJ2759"/>
      <c r="EK2759"/>
    </row>
    <row r="2760" spans="1:141" s="116" customFormat="1">
      <c r="A2760" s="136"/>
      <c r="CM2760" s="111"/>
      <c r="CQ2760" s="111"/>
      <c r="EF2760"/>
      <c r="EG2760"/>
      <c r="EH2760"/>
      <c r="EI2760"/>
      <c r="EJ2760"/>
      <c r="EK2760"/>
    </row>
    <row r="2761" spans="1:141" s="116" customFormat="1">
      <c r="A2761" s="136"/>
      <c r="CM2761" s="111"/>
      <c r="CQ2761" s="111"/>
      <c r="EF2761"/>
      <c r="EG2761"/>
      <c r="EH2761"/>
      <c r="EI2761"/>
      <c r="EJ2761"/>
      <c r="EK2761"/>
    </row>
    <row r="2762" spans="1:141" s="116" customFormat="1">
      <c r="A2762" s="136"/>
      <c r="CM2762" s="111"/>
      <c r="CQ2762" s="111"/>
      <c r="EF2762"/>
      <c r="EG2762"/>
      <c r="EH2762"/>
      <c r="EI2762"/>
      <c r="EJ2762"/>
      <c r="EK2762"/>
    </row>
    <row r="2763" spans="1:141" s="116" customFormat="1">
      <c r="A2763" s="136"/>
      <c r="CM2763" s="111"/>
      <c r="CQ2763" s="111"/>
      <c r="EF2763"/>
      <c r="EG2763"/>
      <c r="EH2763"/>
      <c r="EI2763"/>
      <c r="EJ2763"/>
      <c r="EK2763"/>
    </row>
    <row r="2764" spans="1:141" s="116" customFormat="1">
      <c r="A2764" s="136"/>
      <c r="CM2764" s="111"/>
      <c r="CQ2764" s="111"/>
      <c r="EF2764"/>
      <c r="EG2764"/>
      <c r="EH2764"/>
      <c r="EI2764"/>
      <c r="EJ2764"/>
      <c r="EK2764"/>
    </row>
    <row r="2765" spans="1:141" s="116" customFormat="1">
      <c r="A2765" s="136"/>
      <c r="CM2765" s="111"/>
      <c r="CQ2765" s="111"/>
      <c r="EF2765"/>
      <c r="EG2765"/>
      <c r="EH2765"/>
      <c r="EI2765"/>
      <c r="EJ2765"/>
      <c r="EK2765"/>
    </row>
    <row r="2766" spans="1:141" s="116" customFormat="1">
      <c r="A2766" s="136"/>
      <c r="CM2766" s="111"/>
      <c r="CQ2766" s="111"/>
      <c r="EF2766"/>
      <c r="EG2766"/>
      <c r="EH2766"/>
      <c r="EI2766"/>
      <c r="EJ2766"/>
      <c r="EK2766"/>
    </row>
    <row r="2767" spans="1:141" s="116" customFormat="1">
      <c r="A2767" s="136"/>
      <c r="CM2767" s="111"/>
      <c r="CQ2767" s="111"/>
      <c r="EF2767"/>
      <c r="EG2767"/>
      <c r="EH2767"/>
      <c r="EI2767"/>
      <c r="EJ2767"/>
      <c r="EK2767"/>
    </row>
    <row r="2768" spans="1:141" s="116" customFormat="1">
      <c r="A2768" s="136"/>
      <c r="CM2768" s="111"/>
      <c r="CQ2768" s="111"/>
      <c r="EF2768"/>
      <c r="EG2768"/>
      <c r="EH2768"/>
      <c r="EI2768"/>
      <c r="EJ2768"/>
      <c r="EK2768"/>
    </row>
    <row r="2769" spans="1:141" s="116" customFormat="1">
      <c r="A2769" s="136"/>
      <c r="CM2769" s="111"/>
      <c r="CQ2769" s="111"/>
      <c r="EF2769"/>
      <c r="EG2769"/>
      <c r="EH2769"/>
      <c r="EI2769"/>
      <c r="EJ2769"/>
      <c r="EK2769"/>
    </row>
    <row r="2770" spans="1:141" s="116" customFormat="1">
      <c r="A2770" s="136"/>
      <c r="CM2770" s="111"/>
      <c r="CQ2770" s="111"/>
      <c r="EF2770"/>
      <c r="EG2770"/>
      <c r="EH2770"/>
      <c r="EI2770"/>
      <c r="EJ2770"/>
      <c r="EK2770"/>
    </row>
    <row r="2771" spans="1:141" s="116" customFormat="1">
      <c r="A2771" s="136"/>
      <c r="CM2771" s="111"/>
      <c r="CQ2771" s="111"/>
      <c r="EF2771"/>
      <c r="EG2771"/>
      <c r="EH2771"/>
      <c r="EI2771"/>
      <c r="EJ2771"/>
      <c r="EK2771"/>
    </row>
    <row r="2772" spans="1:141" s="116" customFormat="1">
      <c r="A2772" s="136"/>
      <c r="CM2772" s="111"/>
      <c r="CQ2772" s="111"/>
      <c r="EF2772"/>
      <c r="EG2772"/>
      <c r="EH2772"/>
      <c r="EI2772"/>
      <c r="EJ2772"/>
      <c r="EK2772"/>
    </row>
    <row r="2773" spans="1:141" s="116" customFormat="1">
      <c r="A2773" s="136"/>
      <c r="CM2773" s="111"/>
      <c r="CQ2773" s="111"/>
      <c r="EF2773"/>
      <c r="EG2773"/>
      <c r="EH2773"/>
      <c r="EI2773"/>
      <c r="EJ2773"/>
      <c r="EK2773"/>
    </row>
    <row r="2774" spans="1:141" s="116" customFormat="1">
      <c r="A2774" s="136"/>
      <c r="CM2774" s="111"/>
      <c r="CQ2774" s="111"/>
      <c r="EF2774"/>
      <c r="EG2774"/>
      <c r="EH2774"/>
      <c r="EI2774"/>
      <c r="EJ2774"/>
      <c r="EK2774"/>
    </row>
    <row r="2775" spans="1:141" s="116" customFormat="1">
      <c r="A2775" s="136"/>
      <c r="CM2775" s="111"/>
      <c r="CQ2775" s="111"/>
      <c r="EF2775"/>
      <c r="EG2775"/>
      <c r="EH2775"/>
      <c r="EI2775"/>
      <c r="EJ2775"/>
      <c r="EK2775"/>
    </row>
    <row r="2776" spans="1:141" s="116" customFormat="1">
      <c r="A2776" s="136"/>
      <c r="CM2776" s="111"/>
      <c r="CQ2776" s="111"/>
      <c r="EF2776"/>
      <c r="EG2776"/>
      <c r="EH2776"/>
      <c r="EI2776"/>
      <c r="EJ2776"/>
      <c r="EK2776"/>
    </row>
    <row r="2777" spans="1:141" s="116" customFormat="1">
      <c r="A2777" s="136"/>
      <c r="CM2777" s="111"/>
      <c r="CQ2777" s="111"/>
      <c r="EF2777"/>
      <c r="EG2777"/>
      <c r="EH2777"/>
      <c r="EI2777"/>
      <c r="EJ2777"/>
      <c r="EK2777"/>
    </row>
    <row r="2778" spans="1:141" s="116" customFormat="1">
      <c r="A2778" s="136"/>
      <c r="CM2778" s="111"/>
      <c r="CQ2778" s="111"/>
      <c r="EF2778"/>
      <c r="EG2778"/>
      <c r="EH2778"/>
      <c r="EI2778"/>
      <c r="EJ2778"/>
      <c r="EK2778"/>
    </row>
    <row r="2779" spans="1:141" s="116" customFormat="1">
      <c r="A2779" s="136"/>
      <c r="CM2779" s="111"/>
      <c r="CQ2779" s="111"/>
      <c r="EF2779"/>
      <c r="EG2779"/>
      <c r="EH2779"/>
      <c r="EI2779"/>
      <c r="EJ2779"/>
      <c r="EK2779"/>
    </row>
    <row r="2780" spans="1:141" s="116" customFormat="1">
      <c r="A2780" s="136"/>
      <c r="CM2780" s="111"/>
      <c r="CQ2780" s="111"/>
      <c r="EF2780"/>
      <c r="EG2780"/>
      <c r="EH2780"/>
      <c r="EI2780"/>
      <c r="EJ2780"/>
      <c r="EK2780"/>
    </row>
    <row r="2781" spans="1:141" s="116" customFormat="1">
      <c r="A2781" s="136"/>
      <c r="CM2781" s="111"/>
      <c r="CQ2781" s="111"/>
      <c r="EF2781"/>
      <c r="EG2781"/>
      <c r="EH2781"/>
      <c r="EI2781"/>
      <c r="EJ2781"/>
      <c r="EK2781"/>
    </row>
    <row r="2782" spans="1:141" s="116" customFormat="1">
      <c r="A2782" s="136"/>
      <c r="CM2782" s="111"/>
      <c r="CQ2782" s="111"/>
      <c r="EF2782"/>
      <c r="EG2782"/>
      <c r="EH2782"/>
      <c r="EI2782"/>
      <c r="EJ2782"/>
      <c r="EK2782"/>
    </row>
    <row r="2783" spans="1:141" s="116" customFormat="1">
      <c r="A2783" s="136"/>
      <c r="CM2783" s="111"/>
      <c r="CQ2783" s="111"/>
      <c r="EF2783"/>
      <c r="EG2783"/>
      <c r="EH2783"/>
      <c r="EI2783"/>
      <c r="EJ2783"/>
      <c r="EK2783"/>
    </row>
    <row r="2784" spans="1:141" s="116" customFormat="1">
      <c r="A2784" s="136"/>
      <c r="CM2784" s="111"/>
      <c r="CQ2784" s="111"/>
      <c r="EF2784"/>
      <c r="EG2784"/>
      <c r="EH2784"/>
      <c r="EI2784"/>
      <c r="EJ2784"/>
      <c r="EK2784"/>
    </row>
    <row r="2785" spans="1:141" s="116" customFormat="1">
      <c r="A2785" s="136"/>
      <c r="CM2785" s="111"/>
      <c r="CQ2785" s="111"/>
      <c r="EF2785"/>
      <c r="EG2785"/>
      <c r="EH2785"/>
      <c r="EI2785"/>
      <c r="EJ2785"/>
      <c r="EK2785"/>
    </row>
    <row r="2786" spans="1:141" s="116" customFormat="1">
      <c r="A2786" s="136"/>
      <c r="CM2786" s="111"/>
      <c r="CQ2786" s="111"/>
      <c r="EF2786"/>
      <c r="EG2786"/>
      <c r="EH2786"/>
      <c r="EI2786"/>
      <c r="EJ2786"/>
      <c r="EK2786"/>
    </row>
    <row r="2787" spans="1:141" s="116" customFormat="1">
      <c r="A2787" s="136"/>
      <c r="CM2787" s="111"/>
      <c r="CQ2787" s="111"/>
      <c r="EF2787"/>
      <c r="EG2787"/>
      <c r="EH2787"/>
      <c r="EI2787"/>
      <c r="EJ2787"/>
      <c r="EK2787"/>
    </row>
    <row r="2788" spans="1:141" s="116" customFormat="1">
      <c r="A2788" s="136"/>
      <c r="CM2788" s="111"/>
      <c r="CQ2788" s="111"/>
      <c r="EF2788"/>
      <c r="EG2788"/>
      <c r="EH2788"/>
      <c r="EI2788"/>
      <c r="EJ2788"/>
      <c r="EK2788"/>
    </row>
    <row r="2789" spans="1:141" s="116" customFormat="1">
      <c r="A2789" s="136"/>
      <c r="CM2789" s="111"/>
      <c r="CQ2789" s="111"/>
      <c r="EF2789"/>
      <c r="EG2789"/>
      <c r="EH2789"/>
      <c r="EI2789"/>
      <c r="EJ2789"/>
      <c r="EK2789"/>
    </row>
    <row r="2790" spans="1:141" s="116" customFormat="1">
      <c r="A2790" s="136"/>
      <c r="CM2790" s="111"/>
      <c r="CQ2790" s="111"/>
      <c r="EF2790"/>
      <c r="EG2790"/>
      <c r="EH2790"/>
      <c r="EI2790"/>
      <c r="EJ2790"/>
      <c r="EK2790"/>
    </row>
    <row r="2791" spans="1:141" s="116" customFormat="1">
      <c r="A2791" s="136"/>
      <c r="CM2791" s="111"/>
      <c r="CQ2791" s="111"/>
      <c r="EF2791"/>
      <c r="EG2791"/>
      <c r="EH2791"/>
      <c r="EI2791"/>
      <c r="EJ2791"/>
      <c r="EK2791"/>
    </row>
    <row r="2792" spans="1:141" s="116" customFormat="1">
      <c r="A2792" s="136"/>
      <c r="CM2792" s="111"/>
      <c r="CQ2792" s="111"/>
      <c r="EF2792"/>
      <c r="EG2792"/>
      <c r="EH2792"/>
      <c r="EI2792"/>
      <c r="EJ2792"/>
      <c r="EK2792"/>
    </row>
    <row r="2793" spans="1:141" s="116" customFormat="1">
      <c r="A2793" s="136"/>
      <c r="CM2793" s="111"/>
      <c r="CQ2793" s="111"/>
      <c r="EF2793"/>
      <c r="EG2793"/>
      <c r="EH2793"/>
      <c r="EI2793"/>
      <c r="EJ2793"/>
      <c r="EK2793"/>
    </row>
    <row r="2794" spans="1:141" s="116" customFormat="1">
      <c r="A2794" s="136"/>
      <c r="CM2794" s="111"/>
      <c r="CQ2794" s="111"/>
      <c r="EF2794"/>
      <c r="EG2794"/>
      <c r="EH2794"/>
      <c r="EI2794"/>
      <c r="EJ2794"/>
      <c r="EK2794"/>
    </row>
    <row r="2795" spans="1:141" s="116" customFormat="1">
      <c r="A2795" s="136"/>
      <c r="CM2795" s="111"/>
      <c r="CQ2795" s="111"/>
      <c r="EF2795"/>
      <c r="EG2795"/>
      <c r="EH2795"/>
      <c r="EI2795"/>
      <c r="EJ2795"/>
      <c r="EK2795"/>
    </row>
    <row r="2796" spans="1:141" s="116" customFormat="1">
      <c r="A2796" s="136"/>
      <c r="CM2796" s="111"/>
      <c r="CQ2796" s="111"/>
      <c r="EF2796"/>
      <c r="EG2796"/>
      <c r="EH2796"/>
      <c r="EI2796"/>
      <c r="EJ2796"/>
      <c r="EK2796"/>
    </row>
    <row r="2797" spans="1:141" s="116" customFormat="1">
      <c r="A2797" s="136"/>
      <c r="CM2797" s="111"/>
      <c r="CQ2797" s="111"/>
      <c r="EF2797"/>
      <c r="EG2797"/>
      <c r="EH2797"/>
      <c r="EI2797"/>
      <c r="EJ2797"/>
      <c r="EK2797"/>
    </row>
    <row r="2798" spans="1:141" s="116" customFormat="1">
      <c r="A2798" s="136"/>
      <c r="CM2798" s="111"/>
      <c r="CQ2798" s="111"/>
      <c r="EF2798"/>
      <c r="EG2798"/>
      <c r="EH2798"/>
      <c r="EI2798"/>
      <c r="EJ2798"/>
      <c r="EK2798"/>
    </row>
    <row r="2799" spans="1:141" s="116" customFormat="1">
      <c r="A2799" s="136"/>
      <c r="CM2799" s="111"/>
      <c r="CQ2799" s="111"/>
      <c r="EF2799"/>
      <c r="EG2799"/>
      <c r="EH2799"/>
      <c r="EI2799"/>
      <c r="EJ2799"/>
      <c r="EK2799"/>
    </row>
    <row r="2800" spans="1:141" s="116" customFormat="1">
      <c r="A2800" s="136"/>
      <c r="CM2800" s="111"/>
      <c r="CQ2800" s="111"/>
      <c r="EF2800"/>
      <c r="EG2800"/>
      <c r="EH2800"/>
      <c r="EI2800"/>
      <c r="EJ2800"/>
      <c r="EK2800"/>
    </row>
    <row r="2801" spans="1:141" s="116" customFormat="1">
      <c r="A2801" s="136"/>
      <c r="CM2801" s="111"/>
      <c r="CQ2801" s="111"/>
      <c r="EF2801"/>
      <c r="EG2801"/>
      <c r="EH2801"/>
      <c r="EI2801"/>
      <c r="EJ2801"/>
      <c r="EK2801"/>
    </row>
    <row r="2802" spans="1:141" s="116" customFormat="1">
      <c r="A2802" s="136"/>
      <c r="CM2802" s="111"/>
      <c r="CQ2802" s="111"/>
      <c r="EF2802"/>
      <c r="EG2802"/>
      <c r="EH2802"/>
      <c r="EI2802"/>
      <c r="EJ2802"/>
      <c r="EK2802"/>
    </row>
    <row r="2803" spans="1:141" s="116" customFormat="1">
      <c r="A2803" s="136"/>
      <c r="CM2803" s="111"/>
      <c r="CQ2803" s="111"/>
      <c r="EF2803"/>
      <c r="EG2803"/>
      <c r="EH2803"/>
      <c r="EI2803"/>
      <c r="EJ2803"/>
      <c r="EK2803"/>
    </row>
    <row r="2804" spans="1:141" s="116" customFormat="1">
      <c r="A2804" s="136"/>
      <c r="CM2804" s="111"/>
      <c r="CQ2804" s="111"/>
      <c r="EF2804"/>
      <c r="EG2804"/>
      <c r="EH2804"/>
      <c r="EI2804"/>
      <c r="EJ2804"/>
      <c r="EK2804"/>
    </row>
    <row r="2805" spans="1:141" s="116" customFormat="1">
      <c r="A2805" s="136"/>
      <c r="CM2805" s="111"/>
      <c r="CQ2805" s="111"/>
      <c r="EF2805"/>
      <c r="EG2805"/>
      <c r="EH2805"/>
      <c r="EI2805"/>
      <c r="EJ2805"/>
      <c r="EK2805"/>
    </row>
    <row r="2806" spans="1:141" s="116" customFormat="1">
      <c r="A2806" s="136"/>
      <c r="CM2806" s="111"/>
      <c r="CQ2806" s="111"/>
      <c r="EF2806"/>
      <c r="EG2806"/>
      <c r="EH2806"/>
      <c r="EI2806"/>
      <c r="EJ2806"/>
      <c r="EK2806"/>
    </row>
    <row r="2807" spans="1:141" s="116" customFormat="1">
      <c r="A2807" s="136"/>
      <c r="CM2807" s="111"/>
      <c r="CQ2807" s="111"/>
      <c r="EF2807"/>
      <c r="EG2807"/>
      <c r="EH2807"/>
      <c r="EI2807"/>
      <c r="EJ2807"/>
      <c r="EK2807"/>
    </row>
    <row r="2808" spans="1:141" s="116" customFormat="1">
      <c r="A2808" s="136"/>
      <c r="CM2808" s="111"/>
      <c r="CQ2808" s="111"/>
      <c r="EF2808"/>
      <c r="EG2808"/>
      <c r="EH2808"/>
      <c r="EI2808"/>
      <c r="EJ2808"/>
      <c r="EK2808"/>
    </row>
    <row r="2809" spans="1:141" s="116" customFormat="1">
      <c r="A2809" s="136"/>
      <c r="CM2809" s="111"/>
      <c r="CQ2809" s="111"/>
      <c r="EF2809"/>
      <c r="EG2809"/>
      <c r="EH2809"/>
      <c r="EI2809"/>
      <c r="EJ2809"/>
      <c r="EK2809"/>
    </row>
    <row r="2810" spans="1:141" s="116" customFormat="1">
      <c r="A2810" s="136"/>
      <c r="CM2810" s="111"/>
      <c r="CQ2810" s="111"/>
      <c r="EF2810"/>
      <c r="EG2810"/>
      <c r="EH2810"/>
      <c r="EI2810"/>
      <c r="EJ2810"/>
      <c r="EK2810"/>
    </row>
    <row r="2811" spans="1:141" s="116" customFormat="1">
      <c r="A2811" s="136"/>
      <c r="CM2811" s="111"/>
      <c r="CQ2811" s="111"/>
      <c r="EF2811"/>
      <c r="EG2811"/>
      <c r="EH2811"/>
      <c r="EI2811"/>
      <c r="EJ2811"/>
      <c r="EK2811"/>
    </row>
    <row r="2812" spans="1:141" s="116" customFormat="1">
      <c r="A2812" s="136"/>
      <c r="CM2812" s="111"/>
      <c r="CQ2812" s="111"/>
      <c r="EF2812"/>
      <c r="EG2812"/>
      <c r="EH2812"/>
      <c r="EI2812"/>
      <c r="EJ2812"/>
      <c r="EK2812"/>
    </row>
    <row r="2813" spans="1:141" s="116" customFormat="1">
      <c r="A2813" s="136"/>
      <c r="CM2813" s="111"/>
      <c r="CQ2813" s="111"/>
      <c r="EF2813"/>
      <c r="EG2813"/>
      <c r="EH2813"/>
      <c r="EI2813"/>
      <c r="EJ2813"/>
      <c r="EK2813"/>
    </row>
    <row r="2814" spans="1:141" s="116" customFormat="1">
      <c r="A2814" s="136"/>
      <c r="CM2814" s="111"/>
      <c r="CQ2814" s="111"/>
      <c r="EF2814"/>
      <c r="EG2814"/>
      <c r="EH2814"/>
      <c r="EI2814"/>
      <c r="EJ2814"/>
      <c r="EK2814"/>
    </row>
    <row r="2815" spans="1:141" s="116" customFormat="1">
      <c r="A2815" s="136"/>
      <c r="CM2815" s="111"/>
      <c r="CQ2815" s="111"/>
      <c r="EF2815"/>
      <c r="EG2815"/>
      <c r="EH2815"/>
      <c r="EI2815"/>
      <c r="EJ2815"/>
      <c r="EK2815"/>
    </row>
    <row r="2816" spans="1:141" s="116" customFormat="1">
      <c r="A2816" s="136"/>
      <c r="CM2816" s="111"/>
      <c r="CQ2816" s="111"/>
      <c r="EF2816"/>
      <c r="EG2816"/>
      <c r="EH2816"/>
      <c r="EI2816"/>
      <c r="EJ2816"/>
      <c r="EK2816"/>
    </row>
    <row r="2817" spans="1:141" s="116" customFormat="1">
      <c r="A2817" s="136"/>
      <c r="CM2817" s="111"/>
      <c r="CQ2817" s="111"/>
      <c r="EF2817"/>
      <c r="EG2817"/>
      <c r="EH2817"/>
      <c r="EI2817"/>
      <c r="EJ2817"/>
      <c r="EK2817"/>
    </row>
    <row r="2818" spans="1:141" s="116" customFormat="1">
      <c r="A2818" s="136"/>
      <c r="CM2818" s="111"/>
      <c r="CQ2818" s="111"/>
      <c r="EF2818"/>
      <c r="EG2818"/>
      <c r="EH2818"/>
      <c r="EI2818"/>
      <c r="EJ2818"/>
      <c r="EK2818"/>
    </row>
    <row r="2819" spans="1:141" s="116" customFormat="1">
      <c r="A2819" s="136"/>
      <c r="CM2819" s="111"/>
      <c r="CQ2819" s="111"/>
      <c r="EF2819"/>
      <c r="EG2819"/>
      <c r="EH2819"/>
      <c r="EI2819"/>
      <c r="EJ2819"/>
      <c r="EK2819"/>
    </row>
    <row r="2820" spans="1:141" s="116" customFormat="1">
      <c r="A2820" s="136"/>
      <c r="CM2820" s="111"/>
      <c r="CQ2820" s="111"/>
      <c r="EF2820"/>
      <c r="EG2820"/>
      <c r="EH2820"/>
      <c r="EI2820"/>
      <c r="EJ2820"/>
      <c r="EK2820"/>
    </row>
    <row r="2821" spans="1:141" s="116" customFormat="1">
      <c r="A2821" s="136"/>
      <c r="CM2821" s="111"/>
      <c r="CQ2821" s="111"/>
      <c r="EF2821"/>
      <c r="EG2821"/>
      <c r="EH2821"/>
      <c r="EI2821"/>
      <c r="EJ2821"/>
      <c r="EK2821"/>
    </row>
    <row r="2822" spans="1:141" s="116" customFormat="1">
      <c r="A2822" s="136"/>
      <c r="CM2822" s="111"/>
      <c r="CQ2822" s="111"/>
      <c r="EF2822"/>
      <c r="EG2822"/>
      <c r="EH2822"/>
      <c r="EI2822"/>
      <c r="EJ2822"/>
      <c r="EK2822"/>
    </row>
    <row r="2823" spans="1:141" s="116" customFormat="1">
      <c r="A2823" s="136"/>
      <c r="CM2823" s="111"/>
      <c r="CQ2823" s="111"/>
      <c r="EF2823"/>
      <c r="EG2823"/>
      <c r="EH2823"/>
      <c r="EI2823"/>
      <c r="EJ2823"/>
      <c r="EK2823"/>
    </row>
    <row r="2824" spans="1:141" s="116" customFormat="1">
      <c r="A2824" s="136"/>
      <c r="CM2824" s="111"/>
      <c r="CQ2824" s="111"/>
      <c r="EF2824"/>
      <c r="EG2824"/>
      <c r="EH2824"/>
      <c r="EI2824"/>
      <c r="EJ2824"/>
      <c r="EK2824"/>
    </row>
    <row r="2825" spans="1:141" s="116" customFormat="1">
      <c r="A2825" s="136"/>
      <c r="CM2825" s="111"/>
      <c r="CQ2825" s="111"/>
      <c r="EF2825"/>
      <c r="EG2825"/>
      <c r="EH2825"/>
      <c r="EI2825"/>
      <c r="EJ2825"/>
      <c r="EK2825"/>
    </row>
    <row r="2826" spans="1:141" s="116" customFormat="1">
      <c r="A2826" s="136"/>
      <c r="CM2826" s="111"/>
      <c r="CQ2826" s="111"/>
      <c r="EF2826"/>
      <c r="EG2826"/>
      <c r="EH2826"/>
      <c r="EI2826"/>
      <c r="EJ2826"/>
      <c r="EK2826"/>
    </row>
    <row r="2827" spans="1:141" s="116" customFormat="1">
      <c r="A2827" s="136"/>
      <c r="CM2827" s="111"/>
      <c r="CQ2827" s="111"/>
      <c r="EF2827"/>
      <c r="EG2827"/>
      <c r="EH2827"/>
      <c r="EI2827"/>
      <c r="EJ2827"/>
      <c r="EK2827"/>
    </row>
    <row r="2828" spans="1:141" s="116" customFormat="1">
      <c r="A2828" s="136"/>
      <c r="CM2828" s="111"/>
      <c r="CQ2828" s="111"/>
      <c r="EF2828"/>
      <c r="EG2828"/>
      <c r="EH2828"/>
      <c r="EI2828"/>
      <c r="EJ2828"/>
      <c r="EK2828"/>
    </row>
    <row r="2829" spans="1:141" s="116" customFormat="1">
      <c r="A2829" s="136"/>
      <c r="CM2829" s="111"/>
      <c r="CQ2829" s="111"/>
      <c r="EF2829"/>
      <c r="EG2829"/>
      <c r="EH2829"/>
      <c r="EI2829"/>
      <c r="EJ2829"/>
      <c r="EK2829"/>
    </row>
    <row r="2830" spans="1:141" s="116" customFormat="1">
      <c r="A2830" s="136"/>
      <c r="CM2830" s="111"/>
      <c r="CQ2830" s="111"/>
      <c r="EF2830"/>
      <c r="EG2830"/>
      <c r="EH2830"/>
      <c r="EI2830"/>
      <c r="EJ2830"/>
      <c r="EK2830"/>
    </row>
    <row r="2831" spans="1:141" s="116" customFormat="1">
      <c r="A2831" s="136"/>
      <c r="CM2831" s="111"/>
      <c r="CQ2831" s="111"/>
      <c r="EF2831"/>
      <c r="EG2831"/>
      <c r="EH2831"/>
      <c r="EI2831"/>
      <c r="EJ2831"/>
      <c r="EK2831"/>
    </row>
    <row r="2832" spans="1:141" s="116" customFormat="1">
      <c r="A2832" s="136"/>
      <c r="CM2832" s="111"/>
      <c r="CQ2832" s="111"/>
      <c r="EF2832"/>
      <c r="EG2832"/>
      <c r="EH2832"/>
      <c r="EI2832"/>
      <c r="EJ2832"/>
      <c r="EK2832"/>
    </row>
    <row r="2833" spans="1:141" s="116" customFormat="1">
      <c r="A2833" s="136"/>
      <c r="CM2833" s="111"/>
      <c r="CQ2833" s="111"/>
      <c r="EF2833"/>
      <c r="EG2833"/>
      <c r="EH2833"/>
      <c r="EI2833"/>
      <c r="EJ2833"/>
      <c r="EK2833"/>
    </row>
    <row r="2834" spans="1:141" s="116" customFormat="1">
      <c r="A2834" s="136"/>
      <c r="CM2834" s="111"/>
      <c r="CQ2834" s="111"/>
      <c r="EF2834"/>
      <c r="EG2834"/>
      <c r="EH2834"/>
      <c r="EI2834"/>
      <c r="EJ2834"/>
      <c r="EK2834"/>
    </row>
    <row r="2835" spans="1:141" s="116" customFormat="1">
      <c r="A2835" s="136"/>
      <c r="CM2835" s="111"/>
      <c r="CQ2835" s="111"/>
      <c r="EF2835"/>
      <c r="EG2835"/>
      <c r="EH2835"/>
      <c r="EI2835"/>
      <c r="EJ2835"/>
      <c r="EK2835"/>
    </row>
    <row r="2836" spans="1:141" s="116" customFormat="1">
      <c r="A2836" s="136"/>
      <c r="CM2836" s="111"/>
      <c r="CQ2836" s="111"/>
      <c r="EF2836"/>
      <c r="EG2836"/>
      <c r="EH2836"/>
      <c r="EI2836"/>
      <c r="EJ2836"/>
      <c r="EK2836"/>
    </row>
    <row r="2837" spans="1:141" s="116" customFormat="1">
      <c r="A2837" s="136"/>
      <c r="CM2837" s="111"/>
      <c r="CQ2837" s="111"/>
      <c r="EF2837"/>
      <c r="EG2837"/>
      <c r="EH2837"/>
      <c r="EI2837"/>
      <c r="EJ2837"/>
      <c r="EK2837"/>
    </row>
    <row r="2838" spans="1:141" s="116" customFormat="1">
      <c r="A2838" s="136"/>
      <c r="CM2838" s="111"/>
      <c r="CQ2838" s="111"/>
      <c r="EF2838"/>
      <c r="EG2838"/>
      <c r="EH2838"/>
      <c r="EI2838"/>
      <c r="EJ2838"/>
      <c r="EK2838"/>
    </row>
    <row r="2839" spans="1:141" s="116" customFormat="1">
      <c r="A2839" s="136"/>
      <c r="CM2839" s="111"/>
      <c r="CQ2839" s="111"/>
      <c r="EF2839"/>
      <c r="EG2839"/>
      <c r="EH2839"/>
      <c r="EI2839"/>
      <c r="EJ2839"/>
      <c r="EK2839"/>
    </row>
    <row r="2840" spans="1:141" s="116" customFormat="1">
      <c r="A2840" s="136"/>
      <c r="CM2840" s="111"/>
      <c r="CQ2840" s="111"/>
      <c r="EF2840"/>
      <c r="EG2840"/>
      <c r="EH2840"/>
      <c r="EI2840"/>
      <c r="EJ2840"/>
      <c r="EK2840"/>
    </row>
    <row r="2841" spans="1:141" s="116" customFormat="1">
      <c r="A2841" s="136"/>
      <c r="CM2841" s="111"/>
      <c r="CQ2841" s="111"/>
      <c r="EF2841"/>
      <c r="EG2841"/>
      <c r="EH2841"/>
      <c r="EI2841"/>
      <c r="EJ2841"/>
      <c r="EK2841"/>
    </row>
    <row r="2842" spans="1:141" s="116" customFormat="1">
      <c r="A2842" s="136"/>
      <c r="CM2842" s="111"/>
      <c r="CQ2842" s="111"/>
      <c r="EF2842"/>
      <c r="EG2842"/>
      <c r="EH2842"/>
      <c r="EI2842"/>
      <c r="EJ2842"/>
      <c r="EK2842"/>
    </row>
    <row r="2843" spans="1:141" s="116" customFormat="1">
      <c r="A2843" s="136"/>
      <c r="CM2843" s="111"/>
      <c r="CQ2843" s="111"/>
      <c r="EF2843"/>
      <c r="EG2843"/>
      <c r="EH2843"/>
      <c r="EI2843"/>
      <c r="EJ2843"/>
      <c r="EK2843"/>
    </row>
    <row r="2844" spans="1:141" s="116" customFormat="1">
      <c r="A2844" s="136"/>
      <c r="CM2844" s="111"/>
      <c r="CQ2844" s="111"/>
      <c r="EF2844"/>
      <c r="EG2844"/>
      <c r="EH2844"/>
      <c r="EI2844"/>
      <c r="EJ2844"/>
      <c r="EK2844"/>
    </row>
    <row r="2845" spans="1:141" s="116" customFormat="1">
      <c r="A2845" s="136"/>
      <c r="CM2845" s="111"/>
      <c r="CQ2845" s="111"/>
      <c r="EF2845"/>
      <c r="EG2845"/>
      <c r="EH2845"/>
      <c r="EI2845"/>
      <c r="EJ2845"/>
      <c r="EK2845"/>
    </row>
    <row r="2846" spans="1:141" s="116" customFormat="1">
      <c r="A2846" s="136"/>
      <c r="CM2846" s="111"/>
      <c r="CQ2846" s="111"/>
      <c r="EF2846"/>
      <c r="EG2846"/>
      <c r="EH2846"/>
      <c r="EI2846"/>
      <c r="EJ2846"/>
      <c r="EK2846"/>
    </row>
    <row r="2847" spans="1:141" s="116" customFormat="1">
      <c r="A2847" s="136"/>
      <c r="CM2847" s="111"/>
      <c r="CQ2847" s="111"/>
      <c r="EF2847"/>
      <c r="EG2847"/>
      <c r="EH2847"/>
      <c r="EI2847"/>
      <c r="EJ2847"/>
      <c r="EK2847"/>
    </row>
    <row r="2848" spans="1:141" s="116" customFormat="1">
      <c r="A2848" s="136"/>
      <c r="CM2848" s="111"/>
      <c r="CQ2848" s="111"/>
      <c r="EF2848"/>
      <c r="EG2848"/>
      <c r="EH2848"/>
      <c r="EI2848"/>
      <c r="EJ2848"/>
      <c r="EK2848"/>
    </row>
    <row r="2849" spans="1:141" s="116" customFormat="1">
      <c r="A2849" s="136"/>
      <c r="CM2849" s="111"/>
      <c r="CQ2849" s="111"/>
      <c r="EF2849"/>
      <c r="EG2849"/>
      <c r="EH2849"/>
      <c r="EI2849"/>
      <c r="EJ2849"/>
      <c r="EK2849"/>
    </row>
    <row r="2850" spans="1:141" s="116" customFormat="1">
      <c r="A2850" s="136"/>
      <c r="CM2850" s="111"/>
      <c r="CQ2850" s="111"/>
      <c r="EF2850"/>
      <c r="EG2850"/>
      <c r="EH2850"/>
      <c r="EI2850"/>
      <c r="EJ2850"/>
      <c r="EK2850"/>
    </row>
    <row r="2851" spans="1:141" s="116" customFormat="1">
      <c r="A2851" s="136"/>
      <c r="CM2851" s="111"/>
      <c r="CQ2851" s="111"/>
      <c r="EF2851"/>
      <c r="EG2851"/>
      <c r="EH2851"/>
      <c r="EI2851"/>
      <c r="EJ2851"/>
      <c r="EK2851"/>
    </row>
    <row r="2852" spans="1:141" s="116" customFormat="1">
      <c r="A2852" s="136"/>
      <c r="CM2852" s="111"/>
      <c r="CQ2852" s="111"/>
      <c r="EF2852"/>
      <c r="EG2852"/>
      <c r="EH2852"/>
      <c r="EI2852"/>
      <c r="EJ2852"/>
      <c r="EK2852"/>
    </row>
    <row r="2853" spans="1:141" s="116" customFormat="1">
      <c r="A2853" s="136"/>
      <c r="CM2853" s="111"/>
      <c r="CQ2853" s="111"/>
      <c r="EF2853"/>
      <c r="EG2853"/>
      <c r="EH2853"/>
      <c r="EI2853"/>
      <c r="EJ2853"/>
      <c r="EK2853"/>
    </row>
    <row r="2854" spans="1:141" s="116" customFormat="1">
      <c r="A2854" s="136"/>
      <c r="CM2854" s="111"/>
      <c r="CQ2854" s="111"/>
      <c r="EF2854"/>
      <c r="EG2854"/>
      <c r="EH2854"/>
      <c r="EI2854"/>
      <c r="EJ2854"/>
      <c r="EK2854"/>
    </row>
    <row r="2855" spans="1:141" s="116" customFormat="1">
      <c r="A2855" s="136"/>
      <c r="CM2855" s="111"/>
      <c r="CQ2855" s="111"/>
      <c r="EF2855"/>
      <c r="EG2855"/>
      <c r="EH2855"/>
      <c r="EI2855"/>
      <c r="EJ2855"/>
      <c r="EK2855"/>
    </row>
    <row r="2856" spans="1:141" s="116" customFormat="1">
      <c r="A2856" s="136"/>
      <c r="CM2856" s="111"/>
      <c r="CQ2856" s="111"/>
      <c r="EF2856"/>
      <c r="EG2856"/>
      <c r="EH2856"/>
      <c r="EI2856"/>
      <c r="EJ2856"/>
      <c r="EK2856"/>
    </row>
    <row r="2857" spans="1:141" s="116" customFormat="1">
      <c r="A2857" s="136"/>
      <c r="CM2857" s="111"/>
      <c r="CQ2857" s="111"/>
      <c r="EF2857"/>
      <c r="EG2857"/>
      <c r="EH2857"/>
      <c r="EI2857"/>
      <c r="EJ2857"/>
      <c r="EK2857"/>
    </row>
    <row r="2858" spans="1:141" s="116" customFormat="1">
      <c r="A2858" s="136"/>
      <c r="CM2858" s="111"/>
      <c r="CQ2858" s="111"/>
      <c r="EF2858"/>
      <c r="EG2858"/>
      <c r="EH2858"/>
      <c r="EI2858"/>
      <c r="EJ2858"/>
      <c r="EK2858"/>
    </row>
    <row r="2859" spans="1:141" s="116" customFormat="1">
      <c r="A2859" s="136"/>
      <c r="CM2859" s="111"/>
      <c r="CQ2859" s="111"/>
      <c r="EF2859"/>
      <c r="EG2859"/>
      <c r="EH2859"/>
      <c r="EI2859"/>
      <c r="EJ2859"/>
      <c r="EK2859"/>
    </row>
    <row r="2860" spans="1:141" s="116" customFormat="1">
      <c r="A2860" s="136"/>
      <c r="CM2860" s="111"/>
      <c r="CQ2860" s="111"/>
      <c r="EF2860"/>
      <c r="EG2860"/>
      <c r="EH2860"/>
      <c r="EI2860"/>
      <c r="EJ2860"/>
      <c r="EK2860"/>
    </row>
    <row r="2861" spans="1:141" s="116" customFormat="1">
      <c r="A2861" s="136"/>
      <c r="CM2861" s="111"/>
      <c r="CQ2861" s="111"/>
      <c r="EF2861"/>
      <c r="EG2861"/>
      <c r="EH2861"/>
      <c r="EI2861"/>
      <c r="EJ2861"/>
      <c r="EK2861"/>
    </row>
    <row r="2862" spans="1:141" s="116" customFormat="1">
      <c r="A2862" s="136"/>
      <c r="CM2862" s="111"/>
      <c r="CQ2862" s="111"/>
      <c r="EF2862"/>
      <c r="EG2862"/>
      <c r="EH2862"/>
      <c r="EI2862"/>
      <c r="EJ2862"/>
      <c r="EK2862"/>
    </row>
    <row r="2863" spans="1:141" s="116" customFormat="1">
      <c r="A2863" s="136"/>
      <c r="CM2863" s="111"/>
      <c r="CQ2863" s="111"/>
      <c r="EF2863"/>
      <c r="EG2863"/>
      <c r="EH2863"/>
      <c r="EI2863"/>
      <c r="EJ2863"/>
      <c r="EK2863"/>
    </row>
    <row r="2864" spans="1:141" s="116" customFormat="1">
      <c r="A2864" s="136"/>
      <c r="CM2864" s="111"/>
      <c r="CQ2864" s="111"/>
      <c r="EF2864"/>
      <c r="EG2864"/>
      <c r="EH2864"/>
      <c r="EI2864"/>
      <c r="EJ2864"/>
      <c r="EK2864"/>
    </row>
    <row r="2865" spans="1:141" s="116" customFormat="1">
      <c r="A2865" s="136"/>
      <c r="CM2865" s="111"/>
      <c r="CQ2865" s="111"/>
      <c r="EF2865"/>
      <c r="EG2865"/>
      <c r="EH2865"/>
      <c r="EI2865"/>
      <c r="EJ2865"/>
      <c r="EK2865"/>
    </row>
    <row r="2866" spans="1:141" s="116" customFormat="1">
      <c r="A2866" s="136"/>
      <c r="CM2866" s="111"/>
      <c r="CQ2866" s="111"/>
      <c r="EF2866"/>
      <c r="EG2866"/>
      <c r="EH2866"/>
      <c r="EI2866"/>
      <c r="EJ2866"/>
      <c r="EK2866"/>
    </row>
    <row r="2867" spans="1:141" s="116" customFormat="1">
      <c r="A2867" s="136"/>
      <c r="CM2867" s="111"/>
      <c r="CQ2867" s="111"/>
      <c r="EF2867"/>
      <c r="EG2867"/>
      <c r="EH2867"/>
      <c r="EI2867"/>
      <c r="EJ2867"/>
      <c r="EK2867"/>
    </row>
    <row r="2868" spans="1:141" s="116" customFormat="1">
      <c r="A2868" s="136"/>
      <c r="CM2868" s="111"/>
      <c r="CQ2868" s="111"/>
      <c r="EF2868"/>
      <c r="EG2868"/>
      <c r="EH2868"/>
      <c r="EI2868"/>
      <c r="EJ2868"/>
      <c r="EK2868"/>
    </row>
    <row r="2869" spans="1:141" s="116" customFormat="1">
      <c r="A2869" s="136"/>
      <c r="CM2869" s="111"/>
      <c r="CQ2869" s="111"/>
      <c r="EF2869"/>
      <c r="EG2869"/>
      <c r="EH2869"/>
      <c r="EI2869"/>
      <c r="EJ2869"/>
      <c r="EK2869"/>
    </row>
    <row r="2870" spans="1:141" s="116" customFormat="1">
      <c r="A2870" s="136"/>
      <c r="CM2870" s="111"/>
      <c r="CQ2870" s="111"/>
      <c r="EF2870"/>
      <c r="EG2870"/>
      <c r="EH2870"/>
      <c r="EI2870"/>
      <c r="EJ2870"/>
      <c r="EK2870"/>
    </row>
    <row r="2871" spans="1:141" s="116" customFormat="1">
      <c r="A2871" s="136"/>
      <c r="CM2871" s="111"/>
      <c r="CQ2871" s="111"/>
      <c r="EF2871"/>
      <c r="EG2871"/>
      <c r="EH2871"/>
      <c r="EI2871"/>
      <c r="EJ2871"/>
      <c r="EK2871"/>
    </row>
    <row r="2872" spans="1:141" s="116" customFormat="1">
      <c r="A2872" s="136"/>
      <c r="CM2872" s="111"/>
      <c r="CQ2872" s="111"/>
      <c r="EF2872"/>
      <c r="EG2872"/>
      <c r="EH2872"/>
      <c r="EI2872"/>
      <c r="EJ2872"/>
      <c r="EK2872"/>
    </row>
    <row r="2873" spans="1:141" s="116" customFormat="1">
      <c r="A2873" s="136"/>
      <c r="CM2873" s="111"/>
      <c r="CQ2873" s="111"/>
      <c r="EF2873"/>
      <c r="EG2873"/>
      <c r="EH2873"/>
      <c r="EI2873"/>
      <c r="EJ2873"/>
      <c r="EK2873"/>
    </row>
    <row r="2874" spans="1:141" s="116" customFormat="1">
      <c r="A2874" s="136"/>
      <c r="CM2874" s="111"/>
      <c r="CQ2874" s="111"/>
      <c r="EF2874"/>
      <c r="EG2874"/>
      <c r="EH2874"/>
      <c r="EI2874"/>
      <c r="EJ2874"/>
      <c r="EK2874"/>
    </row>
    <row r="2875" spans="1:141" s="116" customFormat="1">
      <c r="A2875" s="136"/>
      <c r="CM2875" s="111"/>
      <c r="CQ2875" s="111"/>
      <c r="EF2875"/>
      <c r="EG2875"/>
      <c r="EH2875"/>
      <c r="EI2875"/>
      <c r="EJ2875"/>
      <c r="EK2875"/>
    </row>
    <row r="2876" spans="1:141" s="116" customFormat="1">
      <c r="A2876" s="136"/>
      <c r="CM2876" s="111"/>
      <c r="CQ2876" s="111"/>
      <c r="EF2876"/>
      <c r="EG2876"/>
      <c r="EH2876"/>
      <c r="EI2876"/>
      <c r="EJ2876"/>
      <c r="EK2876"/>
    </row>
    <row r="2877" spans="1:141" s="116" customFormat="1">
      <c r="A2877" s="136"/>
      <c r="CM2877" s="111"/>
      <c r="CQ2877" s="111"/>
      <c r="EF2877"/>
      <c r="EG2877"/>
      <c r="EH2877"/>
      <c r="EI2877"/>
      <c r="EJ2877"/>
      <c r="EK2877"/>
    </row>
    <row r="2878" spans="1:141" s="116" customFormat="1">
      <c r="A2878" s="136"/>
      <c r="CM2878" s="111"/>
      <c r="CQ2878" s="111"/>
      <c r="EF2878"/>
      <c r="EG2878"/>
      <c r="EH2878"/>
      <c r="EI2878"/>
      <c r="EJ2878"/>
      <c r="EK2878"/>
    </row>
    <row r="2879" spans="1:141" s="116" customFormat="1">
      <c r="A2879" s="136"/>
      <c r="CM2879" s="111"/>
      <c r="CQ2879" s="111"/>
      <c r="EF2879"/>
      <c r="EG2879"/>
      <c r="EH2879"/>
      <c r="EI2879"/>
      <c r="EJ2879"/>
      <c r="EK2879"/>
    </row>
    <row r="2880" spans="1:141" s="116" customFormat="1">
      <c r="A2880" s="136"/>
      <c r="CM2880" s="111"/>
      <c r="CQ2880" s="111"/>
      <c r="EF2880"/>
      <c r="EG2880"/>
      <c r="EH2880"/>
      <c r="EI2880"/>
      <c r="EJ2880"/>
      <c r="EK2880"/>
    </row>
    <row r="2881" spans="1:141" s="116" customFormat="1">
      <c r="A2881" s="136"/>
      <c r="CM2881" s="111"/>
      <c r="CQ2881" s="111"/>
      <c r="EF2881"/>
      <c r="EG2881"/>
      <c r="EH2881"/>
      <c r="EI2881"/>
      <c r="EJ2881"/>
      <c r="EK2881"/>
    </row>
    <row r="2882" spans="1:141" s="116" customFormat="1">
      <c r="A2882" s="136"/>
      <c r="CM2882" s="111"/>
      <c r="CQ2882" s="111"/>
      <c r="EF2882"/>
      <c r="EG2882"/>
      <c r="EH2882"/>
      <c r="EI2882"/>
      <c r="EJ2882"/>
      <c r="EK2882"/>
    </row>
    <row r="2883" spans="1:141" s="116" customFormat="1">
      <c r="A2883" s="136"/>
      <c r="CM2883" s="111"/>
      <c r="CQ2883" s="111"/>
      <c r="EF2883"/>
      <c r="EG2883"/>
      <c r="EH2883"/>
      <c r="EI2883"/>
      <c r="EJ2883"/>
      <c r="EK2883"/>
    </row>
    <row r="2884" spans="1:141" s="116" customFormat="1">
      <c r="A2884" s="136"/>
      <c r="CM2884" s="111"/>
      <c r="CQ2884" s="111"/>
      <c r="EF2884"/>
      <c r="EG2884"/>
      <c r="EH2884"/>
      <c r="EI2884"/>
      <c r="EJ2884"/>
      <c r="EK2884"/>
    </row>
    <row r="2885" spans="1:141" s="116" customFormat="1">
      <c r="A2885" s="136"/>
      <c r="CM2885" s="111"/>
      <c r="CQ2885" s="111"/>
      <c r="EF2885"/>
      <c r="EG2885"/>
      <c r="EH2885"/>
      <c r="EI2885"/>
      <c r="EJ2885"/>
      <c r="EK2885"/>
    </row>
    <row r="2886" spans="1:141" s="116" customFormat="1">
      <c r="A2886" s="136"/>
      <c r="CM2886" s="111"/>
      <c r="CQ2886" s="111"/>
      <c r="EF2886"/>
      <c r="EG2886"/>
      <c r="EH2886"/>
      <c r="EI2886"/>
      <c r="EJ2886"/>
      <c r="EK2886"/>
    </row>
    <row r="2887" spans="1:141" s="116" customFormat="1">
      <c r="A2887" s="136"/>
      <c r="CM2887" s="111"/>
      <c r="CQ2887" s="111"/>
      <c r="EF2887"/>
      <c r="EG2887"/>
      <c r="EH2887"/>
      <c r="EI2887"/>
      <c r="EJ2887"/>
      <c r="EK2887"/>
    </row>
    <row r="2888" spans="1:141" s="116" customFormat="1">
      <c r="A2888" s="136"/>
      <c r="CM2888" s="111"/>
      <c r="CQ2888" s="111"/>
      <c r="EF2888"/>
      <c r="EG2888"/>
      <c r="EH2888"/>
      <c r="EI2888"/>
      <c r="EJ2888"/>
      <c r="EK2888"/>
    </row>
    <row r="2889" spans="1:141" s="116" customFormat="1">
      <c r="A2889" s="136"/>
      <c r="CM2889" s="111"/>
      <c r="CQ2889" s="111"/>
      <c r="EF2889"/>
      <c r="EG2889"/>
      <c r="EH2889"/>
      <c r="EI2889"/>
      <c r="EJ2889"/>
      <c r="EK2889"/>
    </row>
    <row r="2890" spans="1:141" s="116" customFormat="1">
      <c r="A2890" s="136"/>
      <c r="CM2890" s="111"/>
      <c r="CQ2890" s="111"/>
      <c r="EF2890"/>
      <c r="EG2890"/>
      <c r="EH2890"/>
      <c r="EI2890"/>
      <c r="EJ2890"/>
      <c r="EK2890"/>
    </row>
    <row r="2891" spans="1:141" s="116" customFormat="1">
      <c r="A2891" s="136"/>
      <c r="CM2891" s="111"/>
      <c r="CQ2891" s="111"/>
      <c r="EF2891"/>
      <c r="EG2891"/>
      <c r="EH2891"/>
      <c r="EI2891"/>
      <c r="EJ2891"/>
      <c r="EK2891"/>
    </row>
    <row r="2892" spans="1:141" s="116" customFormat="1">
      <c r="A2892" s="136"/>
      <c r="CM2892" s="111"/>
      <c r="CQ2892" s="111"/>
      <c r="EF2892"/>
      <c r="EG2892"/>
      <c r="EH2892"/>
      <c r="EI2892"/>
      <c r="EJ2892"/>
      <c r="EK2892"/>
    </row>
    <row r="2893" spans="1:141" s="116" customFormat="1">
      <c r="A2893" s="136"/>
      <c r="CM2893" s="111"/>
      <c r="CQ2893" s="111"/>
      <c r="EF2893"/>
      <c r="EG2893"/>
      <c r="EH2893"/>
      <c r="EI2893"/>
      <c r="EJ2893"/>
      <c r="EK2893"/>
    </row>
    <row r="2894" spans="1:141" s="116" customFormat="1">
      <c r="A2894" s="136"/>
      <c r="CM2894" s="111"/>
      <c r="CQ2894" s="111"/>
      <c r="EF2894"/>
      <c r="EG2894"/>
      <c r="EH2894"/>
      <c r="EI2894"/>
      <c r="EJ2894"/>
      <c r="EK2894"/>
    </row>
    <row r="2895" spans="1:141" s="116" customFormat="1">
      <c r="A2895" s="136"/>
      <c r="CM2895" s="111"/>
      <c r="CQ2895" s="111"/>
      <c r="EF2895"/>
      <c r="EG2895"/>
      <c r="EH2895"/>
      <c r="EI2895"/>
      <c r="EJ2895"/>
      <c r="EK2895"/>
    </row>
    <row r="2896" spans="1:141" s="116" customFormat="1">
      <c r="A2896" s="136"/>
      <c r="CM2896" s="111"/>
      <c r="CQ2896" s="111"/>
      <c r="EF2896"/>
      <c r="EG2896"/>
      <c r="EH2896"/>
      <c r="EI2896"/>
      <c r="EJ2896"/>
      <c r="EK2896"/>
    </row>
    <row r="2897" spans="1:141" s="116" customFormat="1">
      <c r="A2897" s="136"/>
      <c r="CM2897" s="111"/>
      <c r="CQ2897" s="111"/>
      <c r="EF2897"/>
      <c r="EG2897"/>
      <c r="EH2897"/>
      <c r="EI2897"/>
      <c r="EJ2897"/>
      <c r="EK2897"/>
    </row>
    <row r="2898" spans="1:141" s="116" customFormat="1">
      <c r="A2898" s="136"/>
      <c r="CM2898" s="111"/>
      <c r="CQ2898" s="111"/>
      <c r="EF2898"/>
      <c r="EG2898"/>
      <c r="EH2898"/>
      <c r="EI2898"/>
      <c r="EJ2898"/>
      <c r="EK2898"/>
    </row>
    <row r="2899" spans="1:141" s="116" customFormat="1">
      <c r="A2899" s="136"/>
      <c r="CM2899" s="111"/>
      <c r="CQ2899" s="111"/>
      <c r="EF2899"/>
      <c r="EG2899"/>
      <c r="EH2899"/>
      <c r="EI2899"/>
      <c r="EJ2899"/>
      <c r="EK2899"/>
    </row>
    <row r="2900" spans="1:141" s="116" customFormat="1">
      <c r="A2900" s="136"/>
      <c r="CM2900" s="111"/>
      <c r="CQ2900" s="111"/>
      <c r="EF2900"/>
      <c r="EG2900"/>
      <c r="EH2900"/>
      <c r="EI2900"/>
      <c r="EJ2900"/>
      <c r="EK2900"/>
    </row>
    <row r="2901" spans="1:141" s="116" customFormat="1">
      <c r="A2901" s="136"/>
      <c r="CM2901" s="111"/>
      <c r="CQ2901" s="111"/>
      <c r="EF2901"/>
      <c r="EG2901"/>
      <c r="EH2901"/>
      <c r="EI2901"/>
      <c r="EJ2901"/>
      <c r="EK2901"/>
    </row>
    <row r="2902" spans="1:141" s="116" customFormat="1">
      <c r="A2902" s="136"/>
      <c r="CM2902" s="111"/>
      <c r="CQ2902" s="111"/>
      <c r="EF2902"/>
      <c r="EG2902"/>
      <c r="EH2902"/>
      <c r="EI2902"/>
      <c r="EJ2902"/>
      <c r="EK2902"/>
    </row>
    <row r="2903" spans="1:141" s="116" customFormat="1">
      <c r="A2903" s="136"/>
      <c r="CM2903" s="111"/>
      <c r="CQ2903" s="111"/>
      <c r="EF2903"/>
      <c r="EG2903"/>
      <c r="EH2903"/>
      <c r="EI2903"/>
      <c r="EJ2903"/>
      <c r="EK2903"/>
    </row>
    <row r="2904" spans="1:141" s="116" customFormat="1">
      <c r="A2904" s="136"/>
      <c r="CM2904" s="111"/>
      <c r="CQ2904" s="111"/>
      <c r="EF2904"/>
      <c r="EG2904"/>
      <c r="EH2904"/>
      <c r="EI2904"/>
      <c r="EJ2904"/>
      <c r="EK2904"/>
    </row>
    <row r="2905" spans="1:141" s="116" customFormat="1">
      <c r="A2905" s="136"/>
      <c r="CM2905" s="111"/>
      <c r="CQ2905" s="111"/>
      <c r="EF2905"/>
      <c r="EG2905"/>
      <c r="EH2905"/>
      <c r="EI2905"/>
      <c r="EJ2905"/>
      <c r="EK2905"/>
    </row>
    <row r="2906" spans="1:141" s="116" customFormat="1">
      <c r="A2906" s="136"/>
      <c r="CM2906" s="111"/>
      <c r="CQ2906" s="111"/>
      <c r="EF2906"/>
      <c r="EG2906"/>
      <c r="EH2906"/>
      <c r="EI2906"/>
      <c r="EJ2906"/>
      <c r="EK2906"/>
    </row>
    <row r="2907" spans="1:141" s="116" customFormat="1">
      <c r="A2907" s="136"/>
      <c r="CM2907" s="111"/>
      <c r="CQ2907" s="111"/>
      <c r="EF2907"/>
      <c r="EG2907"/>
      <c r="EH2907"/>
      <c r="EI2907"/>
      <c r="EJ2907"/>
      <c r="EK2907"/>
    </row>
    <row r="2908" spans="1:141" s="116" customFormat="1">
      <c r="A2908" s="136"/>
      <c r="CM2908" s="111"/>
      <c r="CQ2908" s="111"/>
      <c r="EF2908"/>
      <c r="EG2908"/>
      <c r="EH2908"/>
      <c r="EI2908"/>
      <c r="EJ2908"/>
      <c r="EK2908"/>
    </row>
    <row r="2909" spans="1:141" s="116" customFormat="1">
      <c r="A2909" s="136"/>
      <c r="CM2909" s="111"/>
      <c r="CQ2909" s="111"/>
      <c r="EF2909"/>
      <c r="EG2909"/>
      <c r="EH2909"/>
      <c r="EI2909"/>
      <c r="EJ2909"/>
      <c r="EK2909"/>
    </row>
    <row r="2910" spans="1:141" s="116" customFormat="1">
      <c r="A2910" s="136"/>
      <c r="CM2910" s="111"/>
      <c r="CQ2910" s="111"/>
      <c r="EF2910"/>
      <c r="EG2910"/>
      <c r="EH2910"/>
      <c r="EI2910"/>
      <c r="EJ2910"/>
      <c r="EK2910"/>
    </row>
    <row r="2911" spans="1:141" s="116" customFormat="1">
      <c r="A2911" s="136"/>
      <c r="CM2911" s="111"/>
      <c r="CQ2911" s="111"/>
      <c r="EF2911"/>
      <c r="EG2911"/>
      <c r="EH2911"/>
      <c r="EI2911"/>
      <c r="EJ2911"/>
      <c r="EK2911"/>
    </row>
    <row r="2912" spans="1:141" s="116" customFormat="1">
      <c r="A2912" s="136"/>
      <c r="CM2912" s="111"/>
      <c r="CQ2912" s="111"/>
      <c r="EF2912"/>
      <c r="EG2912"/>
      <c r="EH2912"/>
      <c r="EI2912"/>
      <c r="EJ2912"/>
      <c r="EK2912"/>
    </row>
    <row r="2913" spans="1:141" s="116" customFormat="1">
      <c r="A2913" s="136"/>
      <c r="CM2913" s="111"/>
      <c r="CQ2913" s="111"/>
      <c r="EF2913"/>
      <c r="EG2913"/>
      <c r="EH2913"/>
      <c r="EI2913"/>
      <c r="EJ2913"/>
      <c r="EK2913"/>
    </row>
    <row r="2914" spans="1:141" s="116" customFormat="1">
      <c r="A2914" s="136"/>
      <c r="CM2914" s="111"/>
      <c r="CQ2914" s="111"/>
      <c r="EF2914"/>
      <c r="EG2914"/>
      <c r="EH2914"/>
      <c r="EI2914"/>
      <c r="EJ2914"/>
      <c r="EK2914"/>
    </row>
    <row r="2915" spans="1:141" s="116" customFormat="1">
      <c r="A2915" s="136"/>
      <c r="CM2915" s="111"/>
      <c r="CQ2915" s="111"/>
      <c r="EF2915"/>
      <c r="EG2915"/>
      <c r="EH2915"/>
      <c r="EI2915"/>
      <c r="EJ2915"/>
      <c r="EK2915"/>
    </row>
    <row r="2916" spans="1:141" s="116" customFormat="1">
      <c r="A2916" s="136"/>
      <c r="CM2916" s="111"/>
      <c r="CQ2916" s="111"/>
      <c r="EF2916"/>
      <c r="EG2916"/>
      <c r="EH2916"/>
      <c r="EI2916"/>
      <c r="EJ2916"/>
      <c r="EK2916"/>
    </row>
    <row r="2917" spans="1:141" s="116" customFormat="1">
      <c r="A2917" s="136"/>
      <c r="CM2917" s="111"/>
      <c r="CQ2917" s="111"/>
      <c r="EF2917"/>
      <c r="EG2917"/>
      <c r="EH2917"/>
      <c r="EI2917"/>
      <c r="EJ2917"/>
      <c r="EK2917"/>
    </row>
    <row r="2918" spans="1:141" s="116" customFormat="1">
      <c r="A2918" s="136"/>
      <c r="CM2918" s="111"/>
      <c r="CQ2918" s="111"/>
      <c r="EF2918"/>
      <c r="EG2918"/>
      <c r="EH2918"/>
      <c r="EI2918"/>
      <c r="EJ2918"/>
      <c r="EK2918"/>
    </row>
    <row r="2919" spans="1:141" s="116" customFormat="1">
      <c r="A2919" s="136"/>
      <c r="CM2919" s="111"/>
      <c r="CQ2919" s="111"/>
      <c r="EF2919"/>
      <c r="EG2919"/>
      <c r="EH2919"/>
      <c r="EI2919"/>
      <c r="EJ2919"/>
      <c r="EK2919"/>
    </row>
    <row r="2920" spans="1:141" s="116" customFormat="1">
      <c r="A2920" s="136"/>
      <c r="CM2920" s="111"/>
      <c r="CQ2920" s="111"/>
      <c r="EF2920"/>
      <c r="EG2920"/>
      <c r="EH2920"/>
      <c r="EI2920"/>
      <c r="EJ2920"/>
      <c r="EK2920"/>
    </row>
    <row r="2921" spans="1:141" s="116" customFormat="1">
      <c r="A2921" s="136"/>
      <c r="CM2921" s="111"/>
      <c r="CQ2921" s="111"/>
      <c r="EF2921"/>
      <c r="EG2921"/>
      <c r="EH2921"/>
      <c r="EI2921"/>
      <c r="EJ2921"/>
      <c r="EK2921"/>
    </row>
    <row r="2922" spans="1:141" s="116" customFormat="1">
      <c r="A2922" s="136"/>
      <c r="CM2922" s="111"/>
      <c r="CQ2922" s="111"/>
      <c r="EF2922"/>
      <c r="EG2922"/>
      <c r="EH2922"/>
      <c r="EI2922"/>
      <c r="EJ2922"/>
      <c r="EK2922"/>
    </row>
    <row r="2923" spans="1:141" s="116" customFormat="1">
      <c r="A2923" s="136"/>
      <c r="CM2923" s="111"/>
      <c r="CQ2923" s="111"/>
      <c r="EF2923"/>
      <c r="EG2923"/>
      <c r="EH2923"/>
      <c r="EI2923"/>
      <c r="EJ2923"/>
      <c r="EK2923"/>
    </row>
    <row r="2924" spans="1:141" s="116" customFormat="1">
      <c r="A2924" s="136"/>
      <c r="CM2924" s="111"/>
      <c r="CQ2924" s="111"/>
      <c r="EF2924"/>
      <c r="EG2924"/>
      <c r="EH2924"/>
      <c r="EI2924"/>
      <c r="EJ2924"/>
      <c r="EK2924"/>
    </row>
    <row r="2925" spans="1:141" s="116" customFormat="1">
      <c r="A2925" s="136"/>
      <c r="CM2925" s="111"/>
      <c r="CQ2925" s="111"/>
      <c r="EF2925"/>
      <c r="EG2925"/>
      <c r="EH2925"/>
      <c r="EI2925"/>
      <c r="EJ2925"/>
      <c r="EK2925"/>
    </row>
    <row r="2926" spans="1:141" s="116" customFormat="1">
      <c r="A2926" s="136"/>
      <c r="CM2926" s="111"/>
      <c r="CQ2926" s="111"/>
      <c r="EF2926"/>
      <c r="EG2926"/>
      <c r="EH2926"/>
      <c r="EI2926"/>
      <c r="EJ2926"/>
      <c r="EK2926"/>
    </row>
    <row r="2927" spans="1:141" s="116" customFormat="1">
      <c r="A2927" s="136"/>
      <c r="CM2927" s="111"/>
      <c r="CQ2927" s="111"/>
      <c r="EF2927"/>
      <c r="EG2927"/>
      <c r="EH2927"/>
      <c r="EI2927"/>
      <c r="EJ2927"/>
      <c r="EK2927"/>
    </row>
    <row r="2928" spans="1:141" s="116" customFormat="1">
      <c r="A2928" s="136"/>
      <c r="CM2928" s="111"/>
      <c r="CQ2928" s="111"/>
      <c r="EF2928"/>
      <c r="EG2928"/>
      <c r="EH2928"/>
      <c r="EI2928"/>
      <c r="EJ2928"/>
      <c r="EK2928"/>
    </row>
    <row r="2929" spans="1:141" s="116" customFormat="1">
      <c r="A2929" s="136"/>
      <c r="CM2929" s="111"/>
      <c r="CQ2929" s="111"/>
      <c r="EF2929"/>
      <c r="EG2929"/>
      <c r="EH2929"/>
      <c r="EI2929"/>
      <c r="EJ2929"/>
      <c r="EK2929"/>
    </row>
    <row r="2930" spans="1:141" s="116" customFormat="1">
      <c r="A2930" s="136"/>
      <c r="CM2930" s="111"/>
      <c r="CQ2930" s="111"/>
      <c r="EF2930"/>
      <c r="EG2930"/>
      <c r="EH2930"/>
      <c r="EI2930"/>
      <c r="EJ2930"/>
      <c r="EK2930"/>
    </row>
    <row r="2931" spans="1:141" s="116" customFormat="1">
      <c r="A2931" s="136"/>
      <c r="CM2931" s="111"/>
      <c r="CQ2931" s="111"/>
      <c r="EF2931"/>
      <c r="EG2931"/>
      <c r="EH2931"/>
      <c r="EI2931"/>
      <c r="EJ2931"/>
      <c r="EK2931"/>
    </row>
    <row r="2932" spans="1:141" s="116" customFormat="1">
      <c r="A2932" s="136"/>
      <c r="CM2932" s="111"/>
      <c r="CQ2932" s="111"/>
      <c r="EF2932"/>
      <c r="EG2932"/>
      <c r="EH2932"/>
      <c r="EI2932"/>
      <c r="EJ2932"/>
      <c r="EK2932"/>
    </row>
    <row r="2933" spans="1:141" s="116" customFormat="1">
      <c r="A2933" s="136"/>
      <c r="CM2933" s="111"/>
      <c r="CQ2933" s="111"/>
      <c r="EF2933"/>
      <c r="EG2933"/>
      <c r="EH2933"/>
      <c r="EI2933"/>
      <c r="EJ2933"/>
      <c r="EK2933"/>
    </row>
    <row r="2934" spans="1:141" s="116" customFormat="1">
      <c r="A2934" s="136"/>
      <c r="CM2934" s="111"/>
      <c r="CQ2934" s="111"/>
      <c r="EF2934"/>
      <c r="EG2934"/>
      <c r="EH2934"/>
      <c r="EI2934"/>
      <c r="EJ2934"/>
      <c r="EK2934"/>
    </row>
    <row r="2935" spans="1:141" s="116" customFormat="1">
      <c r="A2935" s="136"/>
      <c r="CM2935" s="111"/>
      <c r="CQ2935" s="111"/>
      <c r="EF2935"/>
      <c r="EG2935"/>
      <c r="EH2935"/>
      <c r="EI2935"/>
      <c r="EJ2935"/>
      <c r="EK2935"/>
    </row>
    <row r="2936" spans="1:141" s="116" customFormat="1">
      <c r="A2936" s="136"/>
      <c r="CM2936" s="111"/>
      <c r="CQ2936" s="111"/>
      <c r="EF2936"/>
      <c r="EG2936"/>
      <c r="EH2936"/>
      <c r="EI2936"/>
      <c r="EJ2936"/>
      <c r="EK2936"/>
    </row>
    <row r="2937" spans="1:141" s="116" customFormat="1">
      <c r="A2937" s="136"/>
      <c r="CM2937" s="111"/>
      <c r="CQ2937" s="111"/>
      <c r="EF2937"/>
      <c r="EG2937"/>
      <c r="EH2937"/>
      <c r="EI2937"/>
      <c r="EJ2937"/>
      <c r="EK2937"/>
    </row>
    <row r="2938" spans="1:141" s="116" customFormat="1">
      <c r="A2938" s="136"/>
      <c r="CM2938" s="111"/>
      <c r="CQ2938" s="111"/>
      <c r="EF2938"/>
      <c r="EG2938"/>
      <c r="EH2938"/>
      <c r="EI2938"/>
      <c r="EJ2938"/>
      <c r="EK2938"/>
    </row>
    <row r="2939" spans="1:141" s="116" customFormat="1">
      <c r="A2939" s="136"/>
      <c r="CM2939" s="111"/>
      <c r="CQ2939" s="111"/>
      <c r="EF2939"/>
      <c r="EG2939"/>
      <c r="EH2939"/>
      <c r="EI2939"/>
      <c r="EJ2939"/>
      <c r="EK2939"/>
    </row>
    <row r="2940" spans="1:141" s="116" customFormat="1">
      <c r="A2940" s="136"/>
      <c r="CM2940" s="111"/>
      <c r="CQ2940" s="111"/>
      <c r="EF2940"/>
      <c r="EG2940"/>
      <c r="EH2940"/>
      <c r="EI2940"/>
      <c r="EJ2940"/>
      <c r="EK2940"/>
    </row>
    <row r="2941" spans="1:141" s="116" customFormat="1">
      <c r="A2941" s="136"/>
      <c r="CM2941" s="111"/>
      <c r="CQ2941" s="111"/>
      <c r="EF2941"/>
      <c r="EG2941"/>
      <c r="EH2941"/>
      <c r="EI2941"/>
      <c r="EJ2941"/>
      <c r="EK2941"/>
    </row>
    <row r="2942" spans="1:141" s="116" customFormat="1">
      <c r="A2942" s="136"/>
      <c r="CM2942" s="111"/>
      <c r="CQ2942" s="111"/>
      <c r="EF2942"/>
      <c r="EG2942"/>
      <c r="EH2942"/>
      <c r="EI2942"/>
      <c r="EJ2942"/>
      <c r="EK2942"/>
    </row>
    <row r="2943" spans="1:141" s="116" customFormat="1">
      <c r="A2943" s="136"/>
      <c r="CM2943" s="111"/>
      <c r="CQ2943" s="111"/>
      <c r="EF2943"/>
      <c r="EG2943"/>
      <c r="EH2943"/>
      <c r="EI2943"/>
      <c r="EJ2943"/>
      <c r="EK2943"/>
    </row>
    <row r="2944" spans="1:141" s="116" customFormat="1">
      <c r="A2944" s="136"/>
      <c r="CM2944" s="111"/>
      <c r="CQ2944" s="111"/>
      <c r="EF2944"/>
      <c r="EG2944"/>
      <c r="EH2944"/>
      <c r="EI2944"/>
      <c r="EJ2944"/>
      <c r="EK2944"/>
    </row>
    <row r="2945" spans="1:141" s="116" customFormat="1">
      <c r="A2945" s="136"/>
      <c r="CM2945" s="111"/>
      <c r="CQ2945" s="111"/>
      <c r="EF2945"/>
      <c r="EG2945"/>
      <c r="EH2945"/>
      <c r="EI2945"/>
      <c r="EJ2945"/>
      <c r="EK2945"/>
    </row>
    <row r="2946" spans="1:141" s="116" customFormat="1">
      <c r="A2946" s="136"/>
      <c r="CM2946" s="111"/>
      <c r="CQ2946" s="111"/>
      <c r="EF2946"/>
      <c r="EG2946"/>
      <c r="EH2946"/>
      <c r="EI2946"/>
      <c r="EJ2946"/>
      <c r="EK2946"/>
    </row>
    <row r="2947" spans="1:141" s="116" customFormat="1">
      <c r="A2947" s="136"/>
      <c r="CM2947" s="111"/>
      <c r="CQ2947" s="111"/>
      <c r="EF2947"/>
      <c r="EG2947"/>
      <c r="EH2947"/>
      <c r="EI2947"/>
      <c r="EJ2947"/>
      <c r="EK2947"/>
    </row>
    <row r="2948" spans="1:141" s="116" customFormat="1">
      <c r="A2948" s="136"/>
      <c r="CM2948" s="111"/>
      <c r="CQ2948" s="111"/>
      <c r="EF2948"/>
      <c r="EG2948"/>
      <c r="EH2948"/>
      <c r="EI2948"/>
      <c r="EJ2948"/>
      <c r="EK2948"/>
    </row>
    <row r="2949" spans="1:141" s="116" customFormat="1">
      <c r="A2949" s="136"/>
      <c r="CM2949" s="111"/>
      <c r="CQ2949" s="111"/>
      <c r="EF2949"/>
      <c r="EG2949"/>
      <c r="EH2949"/>
      <c r="EI2949"/>
      <c r="EJ2949"/>
      <c r="EK2949"/>
    </row>
    <row r="2950" spans="1:141" s="116" customFormat="1">
      <c r="A2950" s="136"/>
      <c r="CM2950" s="111"/>
      <c r="CQ2950" s="111"/>
      <c r="EF2950"/>
      <c r="EG2950"/>
      <c r="EH2950"/>
      <c r="EI2950"/>
      <c r="EJ2950"/>
      <c r="EK2950"/>
    </row>
    <row r="2951" spans="1:141" s="116" customFormat="1">
      <c r="A2951" s="136"/>
      <c r="CM2951" s="111"/>
      <c r="CQ2951" s="111"/>
      <c r="EF2951"/>
      <c r="EG2951"/>
      <c r="EH2951"/>
      <c r="EI2951"/>
      <c r="EJ2951"/>
      <c r="EK2951"/>
    </row>
    <row r="2952" spans="1:141" s="116" customFormat="1">
      <c r="A2952" s="136"/>
      <c r="CM2952" s="111"/>
      <c r="CQ2952" s="111"/>
      <c r="EF2952"/>
      <c r="EG2952"/>
      <c r="EH2952"/>
      <c r="EI2952"/>
      <c r="EJ2952"/>
      <c r="EK2952"/>
    </row>
    <row r="2953" spans="1:141" s="116" customFormat="1">
      <c r="A2953" s="136"/>
      <c r="CM2953" s="111"/>
      <c r="CQ2953" s="111"/>
      <c r="EF2953"/>
      <c r="EG2953"/>
      <c r="EH2953"/>
      <c r="EI2953"/>
      <c r="EJ2953"/>
      <c r="EK2953"/>
    </row>
    <row r="2954" spans="1:141" s="116" customFormat="1">
      <c r="A2954" s="136"/>
      <c r="CM2954" s="111"/>
      <c r="CQ2954" s="111"/>
      <c r="EF2954"/>
      <c r="EG2954"/>
      <c r="EH2954"/>
      <c r="EI2954"/>
      <c r="EJ2954"/>
      <c r="EK2954"/>
    </row>
    <row r="2955" spans="1:141" s="116" customFormat="1">
      <c r="A2955" s="136"/>
      <c r="CM2955" s="111"/>
      <c r="CQ2955" s="111"/>
      <c r="EF2955"/>
      <c r="EG2955"/>
      <c r="EH2955"/>
      <c r="EI2955"/>
      <c r="EJ2955"/>
      <c r="EK2955"/>
    </row>
    <row r="2956" spans="1:141" s="116" customFormat="1">
      <c r="A2956" s="136"/>
      <c r="CM2956" s="111"/>
      <c r="CQ2956" s="111"/>
      <c r="EF2956"/>
      <c r="EG2956"/>
      <c r="EH2956"/>
      <c r="EI2956"/>
      <c r="EJ2956"/>
      <c r="EK2956"/>
    </row>
    <row r="2957" spans="1:141" s="116" customFormat="1">
      <c r="A2957" s="136"/>
      <c r="CM2957" s="111"/>
      <c r="CQ2957" s="111"/>
      <c r="EF2957"/>
      <c r="EG2957"/>
      <c r="EH2957"/>
      <c r="EI2957"/>
      <c r="EJ2957"/>
      <c r="EK2957"/>
    </row>
    <row r="2958" spans="1:141" s="116" customFormat="1">
      <c r="A2958" s="136"/>
      <c r="CM2958" s="111"/>
      <c r="CQ2958" s="111"/>
      <c r="EF2958"/>
      <c r="EG2958"/>
      <c r="EH2958"/>
      <c r="EI2958"/>
      <c r="EJ2958"/>
      <c r="EK2958"/>
    </row>
    <row r="2959" spans="1:141" s="116" customFormat="1">
      <c r="A2959" s="136"/>
      <c r="CM2959" s="111"/>
      <c r="CQ2959" s="111"/>
      <c r="EF2959"/>
      <c r="EG2959"/>
      <c r="EH2959"/>
      <c r="EI2959"/>
      <c r="EJ2959"/>
      <c r="EK2959"/>
    </row>
    <row r="2960" spans="1:141" s="116" customFormat="1">
      <c r="A2960" s="136"/>
      <c r="CM2960" s="111"/>
      <c r="CQ2960" s="111"/>
      <c r="EF2960"/>
      <c r="EG2960"/>
      <c r="EH2960"/>
      <c r="EI2960"/>
      <c r="EJ2960"/>
      <c r="EK2960"/>
    </row>
    <row r="2961" spans="1:141" s="116" customFormat="1">
      <c r="A2961" s="136"/>
      <c r="CM2961" s="111"/>
      <c r="CQ2961" s="111"/>
      <c r="EF2961"/>
      <c r="EG2961"/>
      <c r="EH2961"/>
      <c r="EI2961"/>
      <c r="EJ2961"/>
      <c r="EK2961"/>
    </row>
    <row r="2962" spans="1:141" s="116" customFormat="1">
      <c r="A2962" s="136"/>
      <c r="CM2962" s="111"/>
      <c r="CQ2962" s="111"/>
      <c r="EF2962"/>
      <c r="EG2962"/>
      <c r="EH2962"/>
      <c r="EI2962"/>
      <c r="EJ2962"/>
      <c r="EK2962"/>
    </row>
    <row r="2963" spans="1:141" s="116" customFormat="1">
      <c r="A2963" s="136"/>
      <c r="CM2963" s="111"/>
      <c r="CQ2963" s="111"/>
      <c r="EF2963"/>
      <c r="EG2963"/>
      <c r="EH2963"/>
      <c r="EI2963"/>
      <c r="EJ2963"/>
      <c r="EK2963"/>
    </row>
    <row r="2964" spans="1:141" s="116" customFormat="1">
      <c r="A2964" s="136"/>
      <c r="CM2964" s="111"/>
      <c r="CQ2964" s="111"/>
      <c r="EF2964"/>
      <c r="EG2964"/>
      <c r="EH2964"/>
      <c r="EI2964"/>
      <c r="EJ2964"/>
      <c r="EK2964"/>
    </row>
    <row r="2965" spans="1:141" s="116" customFormat="1">
      <c r="A2965" s="136"/>
      <c r="CM2965" s="111"/>
      <c r="CQ2965" s="111"/>
      <c r="EF2965"/>
      <c r="EG2965"/>
      <c r="EH2965"/>
      <c r="EI2965"/>
      <c r="EJ2965"/>
      <c r="EK2965"/>
    </row>
    <row r="2966" spans="1:141" s="116" customFormat="1">
      <c r="A2966" s="136"/>
      <c r="CM2966" s="111"/>
      <c r="CQ2966" s="111"/>
      <c r="EF2966"/>
      <c r="EG2966"/>
      <c r="EH2966"/>
      <c r="EI2966"/>
      <c r="EJ2966"/>
      <c r="EK2966"/>
    </row>
    <row r="2967" spans="1:141" s="116" customFormat="1">
      <c r="A2967" s="136"/>
      <c r="CM2967" s="111"/>
      <c r="CQ2967" s="111"/>
      <c r="EF2967"/>
      <c r="EG2967"/>
      <c r="EH2967"/>
      <c r="EI2967"/>
      <c r="EJ2967"/>
      <c r="EK2967"/>
    </row>
    <row r="2968" spans="1:141" s="116" customFormat="1">
      <c r="A2968" s="136"/>
      <c r="CM2968" s="111"/>
      <c r="CQ2968" s="111"/>
      <c r="EF2968"/>
      <c r="EG2968"/>
      <c r="EH2968"/>
      <c r="EI2968"/>
      <c r="EJ2968"/>
      <c r="EK2968"/>
    </row>
    <row r="2969" spans="1:141" s="116" customFormat="1">
      <c r="A2969" s="136"/>
      <c r="CM2969" s="111"/>
      <c r="CQ2969" s="111"/>
      <c r="EF2969"/>
      <c r="EG2969"/>
      <c r="EH2969"/>
      <c r="EI2969"/>
      <c r="EJ2969"/>
      <c r="EK2969"/>
    </row>
    <row r="2970" spans="1:141" s="116" customFormat="1">
      <c r="A2970" s="136"/>
      <c r="CM2970" s="111"/>
      <c r="CQ2970" s="111"/>
      <c r="EF2970"/>
      <c r="EG2970"/>
      <c r="EH2970"/>
      <c r="EI2970"/>
      <c r="EJ2970"/>
      <c r="EK2970"/>
    </row>
    <row r="2971" spans="1:141" s="116" customFormat="1">
      <c r="A2971" s="136"/>
      <c r="CM2971" s="111"/>
      <c r="CQ2971" s="111"/>
      <c r="EF2971"/>
      <c r="EG2971"/>
      <c r="EH2971"/>
      <c r="EI2971"/>
      <c r="EJ2971"/>
      <c r="EK2971"/>
    </row>
    <row r="2972" spans="1:141" s="116" customFormat="1">
      <c r="A2972" s="136"/>
      <c r="CM2972" s="111"/>
      <c r="CQ2972" s="111"/>
      <c r="EF2972"/>
      <c r="EG2972"/>
      <c r="EH2972"/>
      <c r="EI2972"/>
      <c r="EJ2972"/>
      <c r="EK2972"/>
    </row>
    <row r="2973" spans="1:141" s="116" customFormat="1">
      <c r="A2973" s="136"/>
      <c r="CM2973" s="111"/>
      <c r="CQ2973" s="111"/>
      <c r="EF2973"/>
      <c r="EG2973"/>
      <c r="EH2973"/>
      <c r="EI2973"/>
      <c r="EJ2973"/>
      <c r="EK2973"/>
    </row>
    <row r="2974" spans="1:141" s="116" customFormat="1">
      <c r="A2974" s="136"/>
      <c r="CM2974" s="111"/>
      <c r="CQ2974" s="111"/>
      <c r="EF2974"/>
      <c r="EG2974"/>
      <c r="EH2974"/>
      <c r="EI2974"/>
      <c r="EJ2974"/>
      <c r="EK2974"/>
    </row>
    <row r="2975" spans="1:141" s="116" customFormat="1">
      <c r="A2975" s="136"/>
      <c r="CM2975" s="111"/>
      <c r="CQ2975" s="111"/>
      <c r="EF2975"/>
      <c r="EG2975"/>
      <c r="EH2975"/>
      <c r="EI2975"/>
      <c r="EJ2975"/>
      <c r="EK2975"/>
    </row>
    <row r="2976" spans="1:141" s="116" customFormat="1">
      <c r="A2976" s="136"/>
      <c r="CM2976" s="111"/>
      <c r="CQ2976" s="111"/>
      <c r="EF2976"/>
      <c r="EG2976"/>
      <c r="EH2976"/>
      <c r="EI2976"/>
      <c r="EJ2976"/>
      <c r="EK2976"/>
    </row>
    <row r="2977" spans="1:141" s="116" customFormat="1">
      <c r="A2977" s="136"/>
      <c r="CM2977" s="111"/>
      <c r="CQ2977" s="111"/>
      <c r="EF2977"/>
      <c r="EG2977"/>
      <c r="EH2977"/>
      <c r="EI2977"/>
      <c r="EJ2977"/>
      <c r="EK2977"/>
    </row>
    <row r="2978" spans="1:141" s="116" customFormat="1">
      <c r="A2978" s="136"/>
      <c r="CM2978" s="111"/>
      <c r="CQ2978" s="111"/>
      <c r="EF2978"/>
      <c r="EG2978"/>
      <c r="EH2978"/>
      <c r="EI2978"/>
      <c r="EJ2978"/>
      <c r="EK2978"/>
    </row>
    <row r="2979" spans="1:141" s="116" customFormat="1">
      <c r="A2979" s="136"/>
      <c r="CM2979" s="111"/>
      <c r="CQ2979" s="111"/>
      <c r="EF2979"/>
      <c r="EG2979"/>
      <c r="EH2979"/>
      <c r="EI2979"/>
      <c r="EJ2979"/>
      <c r="EK2979"/>
    </row>
    <row r="2980" spans="1:141" s="116" customFormat="1">
      <c r="A2980" s="136"/>
      <c r="CM2980" s="111"/>
      <c r="CQ2980" s="111"/>
      <c r="EF2980"/>
      <c r="EG2980"/>
      <c r="EH2980"/>
      <c r="EI2980"/>
      <c r="EJ2980"/>
      <c r="EK2980"/>
    </row>
    <row r="2981" spans="1:141" s="116" customFormat="1">
      <c r="A2981" s="136"/>
      <c r="CM2981" s="111"/>
      <c r="CQ2981" s="111"/>
      <c r="EF2981"/>
      <c r="EG2981"/>
      <c r="EH2981"/>
      <c r="EI2981"/>
      <c r="EJ2981"/>
      <c r="EK2981"/>
    </row>
    <row r="2982" spans="1:141" s="116" customFormat="1">
      <c r="A2982" s="136"/>
      <c r="CM2982" s="111"/>
      <c r="CQ2982" s="111"/>
      <c r="EF2982"/>
      <c r="EG2982"/>
      <c r="EH2982"/>
      <c r="EI2982"/>
      <c r="EJ2982"/>
      <c r="EK2982"/>
    </row>
    <row r="2983" spans="1:141" s="116" customFormat="1">
      <c r="A2983" s="136"/>
      <c r="CM2983" s="111"/>
      <c r="CQ2983" s="111"/>
      <c r="EF2983"/>
      <c r="EG2983"/>
      <c r="EH2983"/>
      <c r="EI2983"/>
      <c r="EJ2983"/>
      <c r="EK2983"/>
    </row>
    <row r="2984" spans="1:141" s="116" customFormat="1">
      <c r="A2984" s="136"/>
      <c r="CM2984" s="111"/>
      <c r="CQ2984" s="111"/>
      <c r="EF2984"/>
      <c r="EG2984"/>
      <c r="EH2984"/>
      <c r="EI2984"/>
      <c r="EJ2984"/>
      <c r="EK2984"/>
    </row>
    <row r="2985" spans="1:141" s="116" customFormat="1">
      <c r="A2985" s="136"/>
      <c r="CM2985" s="111"/>
      <c r="CQ2985" s="111"/>
      <c r="EF2985"/>
      <c r="EG2985"/>
      <c r="EH2985"/>
      <c r="EI2985"/>
      <c r="EJ2985"/>
      <c r="EK2985"/>
    </row>
    <row r="2986" spans="1:141" s="116" customFormat="1">
      <c r="A2986" s="136"/>
      <c r="CM2986" s="111"/>
      <c r="CQ2986" s="111"/>
      <c r="EF2986"/>
      <c r="EG2986"/>
      <c r="EH2986"/>
      <c r="EI2986"/>
      <c r="EJ2986"/>
      <c r="EK2986"/>
    </row>
    <row r="2987" spans="1:141" s="116" customFormat="1">
      <c r="A2987" s="136"/>
      <c r="CM2987" s="111"/>
      <c r="CQ2987" s="111"/>
      <c r="EF2987"/>
      <c r="EG2987"/>
      <c r="EH2987"/>
      <c r="EI2987"/>
      <c r="EJ2987"/>
      <c r="EK2987"/>
    </row>
    <row r="2988" spans="1:141" s="116" customFormat="1">
      <c r="A2988" s="136"/>
      <c r="CM2988" s="111"/>
      <c r="CQ2988" s="111"/>
      <c r="EF2988"/>
      <c r="EG2988"/>
      <c r="EH2988"/>
      <c r="EI2988"/>
      <c r="EJ2988"/>
      <c r="EK2988"/>
    </row>
    <row r="2989" spans="1:141" s="116" customFormat="1">
      <c r="A2989" s="136"/>
      <c r="CM2989" s="111"/>
      <c r="CQ2989" s="111"/>
      <c r="EF2989"/>
      <c r="EG2989"/>
      <c r="EH2989"/>
      <c r="EI2989"/>
      <c r="EJ2989"/>
      <c r="EK2989"/>
    </row>
    <row r="2990" spans="1:141" s="116" customFormat="1">
      <c r="A2990" s="136"/>
      <c r="CM2990" s="111"/>
      <c r="CQ2990" s="111"/>
      <c r="EF2990"/>
      <c r="EG2990"/>
      <c r="EH2990"/>
      <c r="EI2990"/>
      <c r="EJ2990"/>
      <c r="EK2990"/>
    </row>
    <row r="2991" spans="1:141" s="116" customFormat="1">
      <c r="A2991" s="136"/>
      <c r="CM2991" s="111"/>
      <c r="CQ2991" s="111"/>
      <c r="EF2991"/>
      <c r="EG2991"/>
      <c r="EH2991"/>
      <c r="EI2991"/>
      <c r="EJ2991"/>
      <c r="EK2991"/>
    </row>
    <row r="2992" spans="1:141" s="116" customFormat="1">
      <c r="A2992" s="136"/>
      <c r="CM2992" s="111"/>
      <c r="CQ2992" s="111"/>
      <c r="EF2992"/>
      <c r="EG2992"/>
      <c r="EH2992"/>
      <c r="EI2992"/>
      <c r="EJ2992"/>
      <c r="EK2992"/>
    </row>
    <row r="2993" spans="1:141" s="116" customFormat="1">
      <c r="A2993" s="136"/>
      <c r="CM2993" s="111"/>
      <c r="CQ2993" s="111"/>
      <c r="EF2993"/>
      <c r="EG2993"/>
      <c r="EH2993"/>
      <c r="EI2993"/>
      <c r="EJ2993"/>
      <c r="EK2993"/>
    </row>
    <row r="2994" spans="1:141" s="116" customFormat="1">
      <c r="A2994" s="136"/>
      <c r="CM2994" s="111"/>
      <c r="CQ2994" s="111"/>
      <c r="EF2994"/>
      <c r="EG2994"/>
      <c r="EH2994"/>
      <c r="EI2994"/>
      <c r="EJ2994"/>
      <c r="EK2994"/>
    </row>
    <row r="2995" spans="1:141" s="116" customFormat="1">
      <c r="A2995" s="136"/>
      <c r="CM2995" s="111"/>
      <c r="CQ2995" s="111"/>
      <c r="EF2995"/>
      <c r="EG2995"/>
      <c r="EH2995"/>
      <c r="EI2995"/>
      <c r="EJ2995"/>
      <c r="EK2995"/>
    </row>
    <row r="2996" spans="1:141" s="116" customFormat="1">
      <c r="A2996" s="136"/>
      <c r="CM2996" s="111"/>
      <c r="CQ2996" s="111"/>
      <c r="EF2996"/>
      <c r="EG2996"/>
      <c r="EH2996"/>
      <c r="EI2996"/>
      <c r="EJ2996"/>
      <c r="EK2996"/>
    </row>
    <row r="2997" spans="1:141" s="116" customFormat="1">
      <c r="A2997" s="136"/>
      <c r="CM2997" s="111"/>
      <c r="CQ2997" s="111"/>
      <c r="EF2997"/>
      <c r="EG2997"/>
      <c r="EH2997"/>
      <c r="EI2997"/>
      <c r="EJ2997"/>
      <c r="EK2997"/>
    </row>
    <row r="2998" spans="1:141" s="116" customFormat="1">
      <c r="A2998" s="136"/>
      <c r="CM2998" s="111"/>
      <c r="CQ2998" s="111"/>
      <c r="EF2998"/>
      <c r="EG2998"/>
      <c r="EH2998"/>
      <c r="EI2998"/>
      <c r="EJ2998"/>
      <c r="EK2998"/>
    </row>
    <row r="2999" spans="1:141" s="116" customFormat="1">
      <c r="A2999" s="136"/>
      <c r="CM2999" s="111"/>
      <c r="CQ2999" s="111"/>
      <c r="EF2999"/>
      <c r="EG2999"/>
      <c r="EH2999"/>
      <c r="EI2999"/>
      <c r="EJ2999"/>
      <c r="EK2999"/>
    </row>
    <row r="3000" spans="1:141" s="116" customFormat="1">
      <c r="A3000" s="136"/>
      <c r="CM3000" s="111"/>
      <c r="CQ3000" s="111"/>
      <c r="EF3000"/>
      <c r="EG3000"/>
      <c r="EH3000"/>
      <c r="EI3000"/>
      <c r="EJ3000"/>
      <c r="EK3000"/>
    </row>
    <row r="3001" spans="1:141" s="116" customFormat="1">
      <c r="A3001" s="136"/>
      <c r="CM3001" s="111"/>
      <c r="CQ3001" s="111"/>
      <c r="EF3001"/>
      <c r="EG3001"/>
      <c r="EH3001"/>
      <c r="EI3001"/>
      <c r="EJ3001"/>
      <c r="EK3001"/>
    </row>
    <row r="3002" spans="1:141" s="116" customFormat="1">
      <c r="A3002" s="136"/>
      <c r="CM3002" s="111"/>
      <c r="CQ3002" s="111"/>
      <c r="EF3002"/>
      <c r="EG3002"/>
      <c r="EH3002"/>
      <c r="EI3002"/>
      <c r="EJ3002"/>
      <c r="EK3002"/>
    </row>
    <row r="3003" spans="1:141" s="116" customFormat="1">
      <c r="A3003" s="136"/>
      <c r="CM3003" s="111"/>
      <c r="CQ3003" s="111"/>
      <c r="EF3003"/>
      <c r="EG3003"/>
      <c r="EH3003"/>
      <c r="EI3003"/>
      <c r="EJ3003"/>
      <c r="EK3003"/>
    </row>
    <row r="3004" spans="1:141" s="116" customFormat="1">
      <c r="A3004" s="136"/>
      <c r="CM3004" s="111"/>
      <c r="CQ3004" s="111"/>
      <c r="EF3004"/>
      <c r="EG3004"/>
      <c r="EH3004"/>
      <c r="EI3004"/>
      <c r="EJ3004"/>
      <c r="EK3004"/>
    </row>
    <row r="3005" spans="1:141" s="116" customFormat="1">
      <c r="A3005" s="136"/>
      <c r="CM3005" s="111"/>
      <c r="CQ3005" s="111"/>
      <c r="EF3005"/>
      <c r="EG3005"/>
      <c r="EH3005"/>
      <c r="EI3005"/>
      <c r="EJ3005"/>
      <c r="EK3005"/>
    </row>
    <row r="3006" spans="1:141" s="116" customFormat="1">
      <c r="A3006" s="136"/>
      <c r="CM3006" s="111"/>
      <c r="CQ3006" s="111"/>
      <c r="EF3006"/>
      <c r="EG3006"/>
      <c r="EH3006"/>
      <c r="EI3006"/>
      <c r="EJ3006"/>
      <c r="EK3006"/>
    </row>
    <row r="3007" spans="1:141" s="116" customFormat="1">
      <c r="A3007" s="136"/>
      <c r="CM3007" s="111"/>
      <c r="CQ3007" s="111"/>
      <c r="EF3007"/>
      <c r="EG3007"/>
      <c r="EH3007"/>
      <c r="EI3007"/>
      <c r="EJ3007"/>
      <c r="EK3007"/>
    </row>
    <row r="3008" spans="1:141" s="116" customFormat="1">
      <c r="A3008" s="136"/>
      <c r="CM3008" s="111"/>
      <c r="CQ3008" s="111"/>
      <c r="EF3008"/>
      <c r="EG3008"/>
      <c r="EH3008"/>
      <c r="EI3008"/>
      <c r="EJ3008"/>
      <c r="EK3008"/>
    </row>
    <row r="3009" spans="1:141" s="116" customFormat="1">
      <c r="A3009" s="136"/>
      <c r="CM3009" s="111"/>
      <c r="CQ3009" s="111"/>
      <c r="EF3009"/>
      <c r="EG3009"/>
      <c r="EH3009"/>
      <c r="EI3009"/>
      <c r="EJ3009"/>
      <c r="EK3009"/>
    </row>
    <row r="3010" spans="1:141" s="116" customFormat="1">
      <c r="A3010" s="136"/>
      <c r="CM3010" s="111"/>
      <c r="CQ3010" s="111"/>
      <c r="EF3010"/>
      <c r="EG3010"/>
      <c r="EH3010"/>
      <c r="EI3010"/>
      <c r="EJ3010"/>
      <c r="EK3010"/>
    </row>
    <row r="3011" spans="1:141" s="116" customFormat="1">
      <c r="A3011" s="136"/>
      <c r="CM3011" s="111"/>
      <c r="CQ3011" s="111"/>
      <c r="EF3011"/>
      <c r="EG3011"/>
      <c r="EH3011"/>
      <c r="EI3011"/>
      <c r="EJ3011"/>
      <c r="EK3011"/>
    </row>
    <row r="3012" spans="1:141" s="116" customFormat="1">
      <c r="A3012" s="136"/>
      <c r="CM3012" s="111"/>
      <c r="CQ3012" s="111"/>
      <c r="EF3012"/>
      <c r="EG3012"/>
      <c r="EH3012"/>
      <c r="EI3012"/>
      <c r="EJ3012"/>
      <c r="EK3012"/>
    </row>
    <row r="3013" spans="1:141" s="116" customFormat="1">
      <c r="A3013" s="136"/>
      <c r="CM3013" s="111"/>
      <c r="CQ3013" s="111"/>
      <c r="EF3013"/>
      <c r="EG3013"/>
      <c r="EH3013"/>
      <c r="EI3013"/>
      <c r="EJ3013"/>
      <c r="EK3013"/>
    </row>
    <row r="3014" spans="1:141" s="116" customFormat="1">
      <c r="A3014" s="136"/>
      <c r="CM3014" s="111"/>
      <c r="CQ3014" s="111"/>
      <c r="EF3014"/>
      <c r="EG3014"/>
      <c r="EH3014"/>
      <c r="EI3014"/>
      <c r="EJ3014"/>
      <c r="EK3014"/>
    </row>
    <row r="3015" spans="1:141" s="116" customFormat="1">
      <c r="A3015" s="136"/>
      <c r="CM3015" s="111"/>
      <c r="CQ3015" s="111"/>
      <c r="EF3015"/>
      <c r="EG3015"/>
      <c r="EH3015"/>
      <c r="EI3015"/>
      <c r="EJ3015"/>
      <c r="EK3015"/>
    </row>
    <row r="3016" spans="1:141" s="116" customFormat="1">
      <c r="A3016" s="136"/>
      <c r="CM3016" s="111"/>
      <c r="CQ3016" s="111"/>
      <c r="EF3016"/>
      <c r="EG3016"/>
      <c r="EH3016"/>
      <c r="EI3016"/>
      <c r="EJ3016"/>
      <c r="EK3016"/>
    </row>
    <row r="3017" spans="1:141" s="116" customFormat="1">
      <c r="A3017" s="136"/>
      <c r="CM3017" s="111"/>
      <c r="CQ3017" s="111"/>
      <c r="EF3017"/>
      <c r="EG3017"/>
      <c r="EH3017"/>
      <c r="EI3017"/>
      <c r="EJ3017"/>
      <c r="EK3017"/>
    </row>
    <row r="3018" spans="1:141" s="116" customFormat="1">
      <c r="A3018" s="136"/>
      <c r="CM3018" s="111"/>
      <c r="CQ3018" s="111"/>
      <c r="EF3018"/>
      <c r="EG3018"/>
      <c r="EH3018"/>
      <c r="EI3018"/>
      <c r="EJ3018"/>
      <c r="EK3018"/>
    </row>
    <row r="3019" spans="1:141" s="116" customFormat="1">
      <c r="A3019" s="136"/>
      <c r="CM3019" s="111"/>
      <c r="CQ3019" s="111"/>
      <c r="EF3019"/>
      <c r="EG3019"/>
      <c r="EH3019"/>
      <c r="EI3019"/>
      <c r="EJ3019"/>
      <c r="EK3019"/>
    </row>
    <row r="3020" spans="1:141" s="116" customFormat="1">
      <c r="A3020" s="136"/>
      <c r="CM3020" s="111"/>
      <c r="CQ3020" s="111"/>
      <c r="EF3020"/>
      <c r="EG3020"/>
      <c r="EH3020"/>
      <c r="EI3020"/>
      <c r="EJ3020"/>
      <c r="EK3020"/>
    </row>
    <row r="3021" spans="1:141" s="116" customFormat="1">
      <c r="A3021" s="136"/>
      <c r="CM3021" s="111"/>
      <c r="CQ3021" s="111"/>
      <c r="EF3021"/>
      <c r="EG3021"/>
      <c r="EH3021"/>
      <c r="EI3021"/>
      <c r="EJ3021"/>
      <c r="EK3021"/>
    </row>
    <row r="3022" spans="1:141" s="116" customFormat="1">
      <c r="A3022" s="136"/>
      <c r="CM3022" s="111"/>
      <c r="CQ3022" s="111"/>
      <c r="EF3022"/>
      <c r="EG3022"/>
      <c r="EH3022"/>
      <c r="EI3022"/>
      <c r="EJ3022"/>
      <c r="EK3022"/>
    </row>
    <row r="3023" spans="1:141" s="116" customFormat="1">
      <c r="A3023" s="136"/>
      <c r="CM3023" s="111"/>
      <c r="CQ3023" s="111"/>
      <c r="EF3023"/>
      <c r="EG3023"/>
      <c r="EH3023"/>
      <c r="EI3023"/>
      <c r="EJ3023"/>
      <c r="EK3023"/>
    </row>
    <row r="3024" spans="1:141" s="116" customFormat="1">
      <c r="A3024" s="136"/>
      <c r="CM3024" s="111"/>
      <c r="CQ3024" s="111"/>
      <c r="EF3024"/>
      <c r="EG3024"/>
      <c r="EH3024"/>
      <c r="EI3024"/>
      <c r="EJ3024"/>
      <c r="EK3024"/>
    </row>
    <row r="3025" spans="1:141" s="116" customFormat="1">
      <c r="A3025" s="136"/>
      <c r="CM3025" s="111"/>
      <c r="CQ3025" s="111"/>
      <c r="EF3025"/>
      <c r="EG3025"/>
      <c r="EH3025"/>
      <c r="EI3025"/>
      <c r="EJ3025"/>
      <c r="EK3025"/>
    </row>
    <row r="3026" spans="1:141" s="116" customFormat="1">
      <c r="A3026" s="136"/>
      <c r="CM3026" s="111"/>
      <c r="CQ3026" s="111"/>
      <c r="EF3026"/>
      <c r="EG3026"/>
      <c r="EH3026"/>
      <c r="EI3026"/>
      <c r="EJ3026"/>
      <c r="EK3026"/>
    </row>
    <row r="3027" spans="1:141" s="116" customFormat="1">
      <c r="A3027" s="136"/>
      <c r="CM3027" s="111"/>
      <c r="CQ3027" s="111"/>
      <c r="EF3027"/>
      <c r="EG3027"/>
      <c r="EH3027"/>
      <c r="EI3027"/>
      <c r="EJ3027"/>
      <c r="EK3027"/>
    </row>
    <row r="3028" spans="1:141" s="116" customFormat="1">
      <c r="A3028" s="136"/>
      <c r="CM3028" s="111"/>
      <c r="CQ3028" s="111"/>
      <c r="EF3028"/>
      <c r="EG3028"/>
      <c r="EH3028"/>
      <c r="EI3028"/>
      <c r="EJ3028"/>
      <c r="EK3028"/>
    </row>
    <row r="3029" spans="1:141" s="116" customFormat="1">
      <c r="A3029" s="136"/>
      <c r="CM3029" s="111"/>
      <c r="CQ3029" s="111"/>
      <c r="EF3029"/>
      <c r="EG3029"/>
      <c r="EH3029"/>
      <c r="EI3029"/>
      <c r="EJ3029"/>
      <c r="EK3029"/>
    </row>
    <row r="3030" spans="1:141" s="116" customFormat="1">
      <c r="A3030" s="136"/>
      <c r="CM3030" s="111"/>
      <c r="CQ3030" s="111"/>
      <c r="EF3030"/>
      <c r="EG3030"/>
      <c r="EH3030"/>
      <c r="EI3030"/>
      <c r="EJ3030"/>
      <c r="EK3030"/>
    </row>
    <row r="3031" spans="1:141" s="116" customFormat="1">
      <c r="A3031" s="136"/>
      <c r="CM3031" s="111"/>
      <c r="CQ3031" s="111"/>
      <c r="EF3031"/>
      <c r="EG3031"/>
      <c r="EH3031"/>
      <c r="EI3031"/>
      <c r="EJ3031"/>
      <c r="EK3031"/>
    </row>
    <row r="3032" spans="1:141" s="116" customFormat="1">
      <c r="A3032" s="136"/>
      <c r="CM3032" s="111"/>
      <c r="CQ3032" s="111"/>
      <c r="EF3032"/>
      <c r="EG3032"/>
      <c r="EH3032"/>
      <c r="EI3032"/>
      <c r="EJ3032"/>
      <c r="EK3032"/>
    </row>
    <row r="3033" spans="1:141" s="116" customFormat="1">
      <c r="A3033" s="136"/>
      <c r="CM3033" s="111"/>
      <c r="CQ3033" s="111"/>
      <c r="EF3033"/>
      <c r="EG3033"/>
      <c r="EH3033"/>
      <c r="EI3033"/>
      <c r="EJ3033"/>
      <c r="EK3033"/>
    </row>
    <row r="3034" spans="1:141" s="116" customFormat="1">
      <c r="A3034" s="136"/>
      <c r="CM3034" s="111"/>
      <c r="CQ3034" s="111"/>
      <c r="EF3034"/>
      <c r="EG3034"/>
      <c r="EH3034"/>
      <c r="EI3034"/>
      <c r="EJ3034"/>
      <c r="EK3034"/>
    </row>
    <row r="3035" spans="1:141" s="116" customFormat="1">
      <c r="A3035" s="136"/>
      <c r="CM3035" s="111"/>
      <c r="CQ3035" s="111"/>
      <c r="EF3035"/>
      <c r="EG3035"/>
      <c r="EH3035"/>
      <c r="EI3035"/>
      <c r="EJ3035"/>
      <c r="EK3035"/>
    </row>
    <row r="3036" spans="1:141" s="116" customFormat="1">
      <c r="A3036" s="136"/>
      <c r="CM3036" s="111"/>
      <c r="CQ3036" s="111"/>
      <c r="EF3036"/>
      <c r="EG3036"/>
      <c r="EH3036"/>
      <c r="EI3036"/>
      <c r="EJ3036"/>
      <c r="EK3036"/>
    </row>
    <row r="3037" spans="1:141" s="116" customFormat="1">
      <c r="A3037" s="136"/>
      <c r="CM3037" s="111"/>
      <c r="CQ3037" s="111"/>
      <c r="EF3037"/>
      <c r="EG3037"/>
      <c r="EH3037"/>
      <c r="EI3037"/>
      <c r="EJ3037"/>
      <c r="EK3037"/>
    </row>
    <row r="3038" spans="1:141" s="116" customFormat="1">
      <c r="A3038" s="136"/>
      <c r="CM3038" s="111"/>
      <c r="CQ3038" s="111"/>
      <c r="EF3038"/>
      <c r="EG3038"/>
      <c r="EH3038"/>
      <c r="EI3038"/>
      <c r="EJ3038"/>
      <c r="EK3038"/>
    </row>
    <row r="3039" spans="1:141" s="116" customFormat="1">
      <c r="A3039" s="136"/>
      <c r="CM3039" s="111"/>
      <c r="CQ3039" s="111"/>
      <c r="EF3039"/>
      <c r="EG3039"/>
      <c r="EH3039"/>
      <c r="EI3039"/>
      <c r="EJ3039"/>
      <c r="EK3039"/>
    </row>
    <row r="3040" spans="1:141" s="116" customFormat="1">
      <c r="A3040" s="136"/>
      <c r="CM3040" s="111"/>
      <c r="CQ3040" s="111"/>
      <c r="EF3040"/>
      <c r="EG3040"/>
      <c r="EH3040"/>
      <c r="EI3040"/>
      <c r="EJ3040"/>
      <c r="EK3040"/>
    </row>
    <row r="3041" spans="1:141" s="116" customFormat="1">
      <c r="A3041" s="136"/>
      <c r="CM3041" s="111"/>
      <c r="CQ3041" s="111"/>
      <c r="EF3041"/>
      <c r="EG3041"/>
      <c r="EH3041"/>
      <c r="EI3041"/>
      <c r="EJ3041"/>
      <c r="EK3041"/>
    </row>
    <row r="3042" spans="1:141" s="116" customFormat="1">
      <c r="A3042" s="136"/>
      <c r="CM3042" s="111"/>
      <c r="CQ3042" s="111"/>
      <c r="EF3042"/>
      <c r="EG3042"/>
      <c r="EH3042"/>
      <c r="EI3042"/>
      <c r="EJ3042"/>
      <c r="EK3042"/>
    </row>
    <row r="3043" spans="1:141" s="116" customFormat="1">
      <c r="A3043" s="136"/>
      <c r="CM3043" s="111"/>
      <c r="CQ3043" s="111"/>
      <c r="EF3043"/>
      <c r="EG3043"/>
      <c r="EH3043"/>
      <c r="EI3043"/>
      <c r="EJ3043"/>
      <c r="EK3043"/>
    </row>
    <row r="3044" spans="1:141" s="116" customFormat="1">
      <c r="A3044" s="136"/>
      <c r="CM3044" s="111"/>
      <c r="CQ3044" s="111"/>
      <c r="EF3044"/>
      <c r="EG3044"/>
      <c r="EH3044"/>
      <c r="EI3044"/>
      <c r="EJ3044"/>
      <c r="EK3044"/>
    </row>
    <row r="3045" spans="1:141" s="116" customFormat="1">
      <c r="A3045" s="136"/>
      <c r="CM3045" s="111"/>
      <c r="CQ3045" s="111"/>
      <c r="EF3045"/>
      <c r="EG3045"/>
      <c r="EH3045"/>
      <c r="EI3045"/>
      <c r="EJ3045"/>
      <c r="EK3045"/>
    </row>
    <row r="3046" spans="1:141" s="116" customFormat="1">
      <c r="A3046" s="136"/>
      <c r="CM3046" s="111"/>
      <c r="CQ3046" s="111"/>
      <c r="EF3046"/>
      <c r="EG3046"/>
      <c r="EH3046"/>
      <c r="EI3046"/>
      <c r="EJ3046"/>
      <c r="EK3046"/>
    </row>
    <row r="3047" spans="1:141" s="116" customFormat="1">
      <c r="A3047" s="136"/>
      <c r="CM3047" s="111"/>
      <c r="CQ3047" s="111"/>
      <c r="EF3047"/>
      <c r="EG3047"/>
      <c r="EH3047"/>
      <c r="EI3047"/>
      <c r="EJ3047"/>
      <c r="EK3047"/>
    </row>
    <row r="3048" spans="1:141" s="116" customFormat="1">
      <c r="A3048" s="136"/>
      <c r="CM3048" s="111"/>
      <c r="CQ3048" s="111"/>
      <c r="EF3048"/>
      <c r="EG3048"/>
      <c r="EH3048"/>
      <c r="EI3048"/>
      <c r="EJ3048"/>
      <c r="EK3048"/>
    </row>
    <row r="3049" spans="1:141" s="116" customFormat="1">
      <c r="A3049" s="136"/>
      <c r="CM3049" s="111"/>
      <c r="CQ3049" s="111"/>
      <c r="EF3049"/>
      <c r="EG3049"/>
      <c r="EH3049"/>
      <c r="EI3049"/>
      <c r="EJ3049"/>
      <c r="EK3049"/>
    </row>
    <row r="3050" spans="1:141" s="116" customFormat="1">
      <c r="A3050" s="136"/>
      <c r="CM3050" s="111"/>
      <c r="CQ3050" s="111"/>
      <c r="EF3050"/>
      <c r="EG3050"/>
      <c r="EH3050"/>
      <c r="EI3050"/>
      <c r="EJ3050"/>
      <c r="EK3050"/>
    </row>
    <row r="3051" spans="1:141" s="116" customFormat="1">
      <c r="A3051" s="136"/>
      <c r="CM3051" s="111"/>
      <c r="CQ3051" s="111"/>
      <c r="EF3051"/>
      <c r="EG3051"/>
      <c r="EH3051"/>
      <c r="EI3051"/>
      <c r="EJ3051"/>
      <c r="EK3051"/>
    </row>
    <row r="3052" spans="1:141" s="116" customFormat="1">
      <c r="A3052" s="136"/>
      <c r="CM3052" s="111"/>
      <c r="CQ3052" s="111"/>
      <c r="EF3052"/>
      <c r="EG3052"/>
      <c r="EH3052"/>
      <c r="EI3052"/>
      <c r="EJ3052"/>
      <c r="EK3052"/>
    </row>
    <row r="3053" spans="1:141" s="116" customFormat="1">
      <c r="A3053" s="136"/>
      <c r="CM3053" s="111"/>
      <c r="CQ3053" s="111"/>
      <c r="EF3053"/>
      <c r="EG3053"/>
      <c r="EH3053"/>
      <c r="EI3053"/>
      <c r="EJ3053"/>
      <c r="EK3053"/>
    </row>
    <row r="3054" spans="1:141" s="116" customFormat="1">
      <c r="A3054" s="136"/>
      <c r="CM3054" s="111"/>
      <c r="CQ3054" s="111"/>
      <c r="EF3054"/>
      <c r="EG3054"/>
      <c r="EH3054"/>
      <c r="EI3054"/>
      <c r="EJ3054"/>
      <c r="EK3054"/>
    </row>
    <row r="3055" spans="1:141" s="116" customFormat="1">
      <c r="A3055" s="136"/>
      <c r="CM3055" s="111"/>
      <c r="CQ3055" s="111"/>
      <c r="EF3055"/>
      <c r="EG3055"/>
      <c r="EH3055"/>
      <c r="EI3055"/>
      <c r="EJ3055"/>
      <c r="EK3055"/>
    </row>
    <row r="3056" spans="1:141" s="116" customFormat="1">
      <c r="A3056" s="136"/>
      <c r="CM3056" s="111"/>
      <c r="CQ3056" s="111"/>
      <c r="EF3056"/>
      <c r="EG3056"/>
      <c r="EH3056"/>
      <c r="EI3056"/>
      <c r="EJ3056"/>
      <c r="EK3056"/>
    </row>
    <row r="3057" spans="1:141" s="116" customFormat="1">
      <c r="A3057" s="136"/>
      <c r="CM3057" s="111"/>
      <c r="CQ3057" s="111"/>
      <c r="EF3057"/>
      <c r="EG3057"/>
      <c r="EH3057"/>
      <c r="EI3057"/>
      <c r="EJ3057"/>
      <c r="EK3057"/>
    </row>
    <row r="3058" spans="1:141" s="116" customFormat="1">
      <c r="A3058" s="136"/>
      <c r="CM3058" s="111"/>
      <c r="CQ3058" s="111"/>
      <c r="EF3058"/>
      <c r="EG3058"/>
      <c r="EH3058"/>
      <c r="EI3058"/>
      <c r="EJ3058"/>
      <c r="EK3058"/>
    </row>
    <row r="3059" spans="1:141" s="116" customFormat="1">
      <c r="A3059" s="136"/>
      <c r="CM3059" s="111"/>
      <c r="CQ3059" s="111"/>
      <c r="EF3059"/>
      <c r="EG3059"/>
      <c r="EH3059"/>
      <c r="EI3059"/>
      <c r="EJ3059"/>
      <c r="EK3059"/>
    </row>
    <row r="3060" spans="1:141" s="116" customFormat="1">
      <c r="A3060" s="136"/>
      <c r="CM3060" s="111"/>
      <c r="CQ3060" s="111"/>
      <c r="EF3060"/>
      <c r="EG3060"/>
      <c r="EH3060"/>
      <c r="EI3060"/>
      <c r="EJ3060"/>
      <c r="EK3060"/>
    </row>
    <row r="3061" spans="1:141" s="116" customFormat="1">
      <c r="A3061" s="136"/>
      <c r="CM3061" s="111"/>
      <c r="CQ3061" s="111"/>
      <c r="EF3061"/>
      <c r="EG3061"/>
      <c r="EH3061"/>
      <c r="EI3061"/>
      <c r="EJ3061"/>
      <c r="EK3061"/>
    </row>
    <row r="3062" spans="1:141" s="116" customFormat="1">
      <c r="A3062" s="136"/>
      <c r="CM3062" s="111"/>
      <c r="CQ3062" s="111"/>
      <c r="EF3062"/>
      <c r="EG3062"/>
      <c r="EH3062"/>
      <c r="EI3062"/>
      <c r="EJ3062"/>
      <c r="EK3062"/>
    </row>
    <row r="3063" spans="1:141" s="116" customFormat="1">
      <c r="A3063" s="136"/>
      <c r="CM3063" s="111"/>
      <c r="CQ3063" s="111"/>
      <c r="EF3063"/>
      <c r="EG3063"/>
      <c r="EH3063"/>
      <c r="EI3063"/>
      <c r="EJ3063"/>
      <c r="EK3063"/>
    </row>
    <row r="3064" spans="1:141" s="116" customFormat="1">
      <c r="A3064" s="136"/>
      <c r="CM3064" s="111"/>
      <c r="CQ3064" s="111"/>
      <c r="EF3064"/>
      <c r="EG3064"/>
      <c r="EH3064"/>
      <c r="EI3064"/>
      <c r="EJ3064"/>
      <c r="EK3064"/>
    </row>
    <row r="3065" spans="1:141" s="116" customFormat="1">
      <c r="A3065" s="136"/>
      <c r="CM3065" s="111"/>
      <c r="CQ3065" s="111"/>
      <c r="EF3065"/>
      <c r="EG3065"/>
      <c r="EH3065"/>
      <c r="EI3065"/>
      <c r="EJ3065"/>
      <c r="EK3065"/>
    </row>
    <row r="3066" spans="1:141" s="116" customFormat="1">
      <c r="A3066" s="136"/>
      <c r="CM3066" s="111"/>
      <c r="CQ3066" s="111"/>
      <c r="EF3066"/>
      <c r="EG3066"/>
      <c r="EH3066"/>
      <c r="EI3066"/>
      <c r="EJ3066"/>
      <c r="EK3066"/>
    </row>
    <row r="3067" spans="1:141" s="116" customFormat="1">
      <c r="A3067" s="136"/>
      <c r="CM3067" s="111"/>
      <c r="CQ3067" s="111"/>
      <c r="EF3067"/>
      <c r="EG3067"/>
      <c r="EH3067"/>
      <c r="EI3067"/>
      <c r="EJ3067"/>
      <c r="EK3067"/>
    </row>
    <row r="3068" spans="1:141" s="116" customFormat="1">
      <c r="A3068" s="136"/>
      <c r="CM3068" s="111"/>
      <c r="CQ3068" s="111"/>
      <c r="EF3068"/>
      <c r="EG3068"/>
      <c r="EH3068"/>
      <c r="EI3068"/>
      <c r="EJ3068"/>
      <c r="EK3068"/>
    </row>
    <row r="3069" spans="1:141" s="116" customFormat="1">
      <c r="A3069" s="136"/>
      <c r="CM3069" s="111"/>
      <c r="CQ3069" s="111"/>
      <c r="EF3069"/>
      <c r="EG3069"/>
      <c r="EH3069"/>
      <c r="EI3069"/>
      <c r="EJ3069"/>
      <c r="EK3069"/>
    </row>
    <row r="3070" spans="1:141" s="116" customFormat="1">
      <c r="A3070" s="136"/>
      <c r="CM3070" s="111"/>
      <c r="CQ3070" s="111"/>
      <c r="EF3070"/>
      <c r="EG3070"/>
      <c r="EH3070"/>
      <c r="EI3070"/>
      <c r="EJ3070"/>
      <c r="EK3070"/>
    </row>
    <row r="3071" spans="1:141" s="116" customFormat="1">
      <c r="A3071" s="136"/>
      <c r="CM3071" s="111"/>
      <c r="CQ3071" s="111"/>
      <c r="EF3071"/>
      <c r="EG3071"/>
      <c r="EH3071"/>
      <c r="EI3071"/>
      <c r="EJ3071"/>
      <c r="EK3071"/>
    </row>
    <row r="3072" spans="1:141" s="116" customFormat="1">
      <c r="A3072" s="136"/>
      <c r="CM3072" s="111"/>
      <c r="CQ3072" s="111"/>
      <c r="EF3072"/>
      <c r="EG3072"/>
      <c r="EH3072"/>
      <c r="EI3072"/>
      <c r="EJ3072"/>
      <c r="EK3072"/>
    </row>
    <row r="3073" spans="1:141" s="116" customFormat="1">
      <c r="A3073" s="136"/>
      <c r="CM3073" s="111"/>
      <c r="CQ3073" s="111"/>
      <c r="EF3073"/>
      <c r="EG3073"/>
      <c r="EH3073"/>
      <c r="EI3073"/>
      <c r="EJ3073"/>
      <c r="EK3073"/>
    </row>
    <row r="3074" spans="1:141" s="116" customFormat="1">
      <c r="A3074" s="136"/>
      <c r="CM3074" s="111"/>
      <c r="CQ3074" s="111"/>
      <c r="EF3074"/>
      <c r="EG3074"/>
      <c r="EH3074"/>
      <c r="EI3074"/>
      <c r="EJ3074"/>
      <c r="EK3074"/>
    </row>
    <row r="3075" spans="1:141" s="116" customFormat="1">
      <c r="A3075" s="136"/>
      <c r="CM3075" s="111"/>
      <c r="CQ3075" s="111"/>
      <c r="EF3075"/>
      <c r="EG3075"/>
      <c r="EH3075"/>
      <c r="EI3075"/>
      <c r="EJ3075"/>
      <c r="EK3075"/>
    </row>
    <row r="3076" spans="1:141" s="116" customFormat="1">
      <c r="A3076" s="136"/>
      <c r="CM3076" s="111"/>
      <c r="CQ3076" s="111"/>
      <c r="EF3076"/>
      <c r="EG3076"/>
      <c r="EH3076"/>
      <c r="EI3076"/>
      <c r="EJ3076"/>
      <c r="EK3076"/>
    </row>
    <row r="3077" spans="1:141" s="116" customFormat="1">
      <c r="A3077" s="136"/>
      <c r="CM3077" s="111"/>
      <c r="CQ3077" s="111"/>
      <c r="EF3077"/>
      <c r="EG3077"/>
      <c r="EH3077"/>
      <c r="EI3077"/>
      <c r="EJ3077"/>
      <c r="EK3077"/>
    </row>
    <row r="3078" spans="1:141" s="116" customFormat="1">
      <c r="A3078" s="136"/>
      <c r="CM3078" s="111"/>
      <c r="CQ3078" s="111"/>
      <c r="EF3078"/>
      <c r="EG3078"/>
      <c r="EH3078"/>
      <c r="EI3078"/>
      <c r="EJ3078"/>
      <c r="EK3078"/>
    </row>
    <row r="3079" spans="1:141" s="116" customFormat="1">
      <c r="A3079" s="136"/>
      <c r="CM3079" s="111"/>
      <c r="CQ3079" s="111"/>
      <c r="EF3079"/>
      <c r="EG3079"/>
      <c r="EH3079"/>
      <c r="EI3079"/>
      <c r="EJ3079"/>
      <c r="EK3079"/>
    </row>
    <row r="3080" spans="1:141" s="116" customFormat="1">
      <c r="A3080" s="136"/>
      <c r="CM3080" s="111"/>
      <c r="CQ3080" s="111"/>
      <c r="EF3080"/>
      <c r="EG3080"/>
      <c r="EH3080"/>
      <c r="EI3080"/>
      <c r="EJ3080"/>
      <c r="EK3080"/>
    </row>
    <row r="3081" spans="1:141" s="116" customFormat="1">
      <c r="A3081" s="136"/>
      <c r="CM3081" s="111"/>
      <c r="CQ3081" s="111"/>
      <c r="EF3081"/>
      <c r="EG3081"/>
      <c r="EH3081"/>
      <c r="EI3081"/>
      <c r="EJ3081"/>
      <c r="EK3081"/>
    </row>
    <row r="3082" spans="1:141" s="116" customFormat="1">
      <c r="A3082" s="136"/>
      <c r="CM3082" s="111"/>
      <c r="CQ3082" s="111"/>
      <c r="EF3082"/>
      <c r="EG3082"/>
      <c r="EH3082"/>
      <c r="EI3082"/>
      <c r="EJ3082"/>
      <c r="EK3082"/>
    </row>
    <row r="3083" spans="1:141" s="116" customFormat="1">
      <c r="A3083" s="136"/>
      <c r="CM3083" s="111"/>
      <c r="CQ3083" s="111"/>
      <c r="EF3083"/>
      <c r="EG3083"/>
      <c r="EH3083"/>
      <c r="EI3083"/>
      <c r="EJ3083"/>
      <c r="EK3083"/>
    </row>
    <row r="3084" spans="1:141" s="116" customFormat="1">
      <c r="A3084" s="136"/>
      <c r="CM3084" s="111"/>
      <c r="CQ3084" s="111"/>
      <c r="EF3084"/>
      <c r="EG3084"/>
      <c r="EH3084"/>
      <c r="EI3084"/>
      <c r="EJ3084"/>
      <c r="EK3084"/>
    </row>
    <row r="3085" spans="1:141" s="116" customFormat="1">
      <c r="A3085" s="136"/>
      <c r="CM3085" s="111"/>
      <c r="CQ3085" s="111"/>
      <c r="EF3085"/>
      <c r="EG3085"/>
      <c r="EH3085"/>
      <c r="EI3085"/>
      <c r="EJ3085"/>
      <c r="EK3085"/>
    </row>
    <row r="3086" spans="1:141" s="116" customFormat="1">
      <c r="A3086" s="136"/>
      <c r="CM3086" s="111"/>
      <c r="CQ3086" s="111"/>
      <c r="EF3086"/>
      <c r="EG3086"/>
      <c r="EH3086"/>
      <c r="EI3086"/>
      <c r="EJ3086"/>
      <c r="EK3086"/>
    </row>
    <row r="3087" spans="1:141" s="116" customFormat="1">
      <c r="A3087" s="136"/>
      <c r="CM3087" s="111"/>
      <c r="CQ3087" s="111"/>
      <c r="EF3087"/>
      <c r="EG3087"/>
      <c r="EH3087"/>
      <c r="EI3087"/>
      <c r="EJ3087"/>
      <c r="EK3087"/>
    </row>
    <row r="3088" spans="1:141" s="116" customFormat="1">
      <c r="A3088" s="136"/>
      <c r="CM3088" s="111"/>
      <c r="CQ3088" s="111"/>
      <c r="EF3088"/>
      <c r="EG3088"/>
      <c r="EH3088"/>
      <c r="EI3088"/>
      <c r="EJ3088"/>
      <c r="EK3088"/>
    </row>
    <row r="3089" spans="1:141" s="116" customFormat="1">
      <c r="A3089" s="136"/>
      <c r="CM3089" s="111"/>
      <c r="CQ3089" s="111"/>
      <c r="EF3089"/>
      <c r="EG3089"/>
      <c r="EH3089"/>
      <c r="EI3089"/>
      <c r="EJ3089"/>
      <c r="EK3089"/>
    </row>
    <row r="3090" spans="1:141" s="116" customFormat="1">
      <c r="A3090" s="136"/>
      <c r="CM3090" s="111"/>
      <c r="CQ3090" s="111"/>
      <c r="EF3090"/>
      <c r="EG3090"/>
      <c r="EH3090"/>
      <c r="EI3090"/>
      <c r="EJ3090"/>
      <c r="EK3090"/>
    </row>
    <row r="3091" spans="1:141" s="116" customFormat="1">
      <c r="A3091" s="136"/>
      <c r="CM3091" s="111"/>
      <c r="CQ3091" s="111"/>
      <c r="EF3091"/>
      <c r="EG3091"/>
      <c r="EH3091"/>
      <c r="EI3091"/>
      <c r="EJ3091"/>
      <c r="EK3091"/>
    </row>
    <row r="3092" spans="1:141" s="116" customFormat="1">
      <c r="A3092" s="136"/>
      <c r="CM3092" s="111"/>
      <c r="CQ3092" s="111"/>
      <c r="EF3092"/>
      <c r="EG3092"/>
      <c r="EH3092"/>
      <c r="EI3092"/>
      <c r="EJ3092"/>
      <c r="EK3092"/>
    </row>
    <row r="3093" spans="1:141" s="116" customFormat="1">
      <c r="A3093" s="136"/>
      <c r="CM3093" s="111"/>
      <c r="CQ3093" s="111"/>
      <c r="EF3093"/>
      <c r="EG3093"/>
      <c r="EH3093"/>
      <c r="EI3093"/>
      <c r="EJ3093"/>
      <c r="EK3093"/>
    </row>
    <row r="3094" spans="1:141" s="116" customFormat="1">
      <c r="A3094" s="136"/>
      <c r="CM3094" s="111"/>
      <c r="CQ3094" s="111"/>
      <c r="EF3094"/>
      <c r="EG3094"/>
      <c r="EH3094"/>
      <c r="EI3094"/>
      <c r="EJ3094"/>
      <c r="EK3094"/>
    </row>
    <row r="3095" spans="1:141" s="116" customFormat="1">
      <c r="A3095" s="136"/>
      <c r="CM3095" s="111"/>
      <c r="CQ3095" s="111"/>
      <c r="EF3095"/>
      <c r="EG3095"/>
      <c r="EH3095"/>
      <c r="EI3095"/>
      <c r="EJ3095"/>
      <c r="EK3095"/>
    </row>
    <row r="3096" spans="1:141" s="116" customFormat="1">
      <c r="A3096" s="136"/>
      <c r="CM3096" s="111"/>
      <c r="CQ3096" s="111"/>
      <c r="EF3096"/>
      <c r="EG3096"/>
      <c r="EH3096"/>
      <c r="EI3096"/>
      <c r="EJ3096"/>
      <c r="EK3096"/>
    </row>
    <row r="3097" spans="1:141" s="116" customFormat="1">
      <c r="A3097" s="136"/>
      <c r="CM3097" s="111"/>
      <c r="CQ3097" s="111"/>
      <c r="EF3097"/>
      <c r="EG3097"/>
      <c r="EH3097"/>
      <c r="EI3097"/>
      <c r="EJ3097"/>
      <c r="EK3097"/>
    </row>
    <row r="3098" spans="1:141" s="116" customFormat="1">
      <c r="A3098" s="136"/>
      <c r="CM3098" s="111"/>
      <c r="CQ3098" s="111"/>
      <c r="EF3098"/>
      <c r="EG3098"/>
      <c r="EH3098"/>
      <c r="EI3098"/>
      <c r="EJ3098"/>
      <c r="EK3098"/>
    </row>
    <row r="3099" spans="1:141" s="116" customFormat="1">
      <c r="A3099" s="136"/>
      <c r="CM3099" s="111"/>
      <c r="CQ3099" s="111"/>
      <c r="EF3099"/>
      <c r="EG3099"/>
      <c r="EH3099"/>
      <c r="EI3099"/>
      <c r="EJ3099"/>
      <c r="EK3099"/>
    </row>
    <row r="3100" spans="1:141" s="116" customFormat="1">
      <c r="A3100" s="136"/>
      <c r="CM3100" s="111"/>
      <c r="CQ3100" s="111"/>
      <c r="EF3100"/>
      <c r="EG3100"/>
      <c r="EH3100"/>
      <c r="EI3100"/>
      <c r="EJ3100"/>
      <c r="EK3100"/>
    </row>
    <row r="3101" spans="1:141" s="116" customFormat="1">
      <c r="A3101" s="136"/>
      <c r="CM3101" s="111"/>
      <c r="CQ3101" s="111"/>
      <c r="EF3101"/>
      <c r="EG3101"/>
      <c r="EH3101"/>
      <c r="EI3101"/>
      <c r="EJ3101"/>
      <c r="EK3101"/>
    </row>
    <row r="3102" spans="1:141" s="116" customFormat="1">
      <c r="A3102" s="136"/>
      <c r="CM3102" s="111"/>
      <c r="CQ3102" s="111"/>
      <c r="EF3102"/>
      <c r="EG3102"/>
      <c r="EH3102"/>
      <c r="EI3102"/>
      <c r="EJ3102"/>
      <c r="EK3102"/>
    </row>
    <row r="3103" spans="1:141" s="116" customFormat="1">
      <c r="A3103" s="136"/>
      <c r="CM3103" s="111"/>
      <c r="CQ3103" s="111"/>
      <c r="EF3103"/>
      <c r="EG3103"/>
      <c r="EH3103"/>
      <c r="EI3103"/>
      <c r="EJ3103"/>
      <c r="EK3103"/>
    </row>
    <row r="3104" spans="1:141" s="116" customFormat="1">
      <c r="A3104" s="136"/>
      <c r="CM3104" s="111"/>
      <c r="CQ3104" s="111"/>
      <c r="EF3104"/>
      <c r="EG3104"/>
      <c r="EH3104"/>
      <c r="EI3104"/>
      <c r="EJ3104"/>
      <c r="EK3104"/>
    </row>
    <row r="3105" spans="1:141" s="116" customFormat="1">
      <c r="A3105" s="136"/>
      <c r="CM3105" s="111"/>
      <c r="CQ3105" s="111"/>
      <c r="EF3105"/>
      <c r="EG3105"/>
      <c r="EH3105"/>
      <c r="EI3105"/>
      <c r="EJ3105"/>
      <c r="EK3105"/>
    </row>
    <row r="3106" spans="1:141" s="116" customFormat="1">
      <c r="A3106" s="136"/>
      <c r="CM3106" s="111"/>
      <c r="CQ3106" s="111"/>
      <c r="EF3106"/>
      <c r="EG3106"/>
      <c r="EH3106"/>
      <c r="EI3106"/>
      <c r="EJ3106"/>
      <c r="EK3106"/>
    </row>
    <row r="3107" spans="1:141" s="116" customFormat="1">
      <c r="A3107" s="136"/>
      <c r="CM3107" s="111"/>
      <c r="CQ3107" s="111"/>
      <c r="EF3107"/>
      <c r="EG3107"/>
      <c r="EH3107"/>
      <c r="EI3107"/>
      <c r="EJ3107"/>
      <c r="EK3107"/>
    </row>
    <row r="3108" spans="1:141" s="116" customFormat="1">
      <c r="A3108" s="136"/>
      <c r="CM3108" s="111"/>
      <c r="CQ3108" s="111"/>
      <c r="EF3108"/>
      <c r="EG3108"/>
      <c r="EH3108"/>
      <c r="EI3108"/>
      <c r="EJ3108"/>
      <c r="EK3108"/>
    </row>
    <row r="3109" spans="1:141" s="116" customFormat="1">
      <c r="A3109" s="136"/>
      <c r="CM3109" s="111"/>
      <c r="CQ3109" s="111"/>
      <c r="EF3109"/>
      <c r="EG3109"/>
      <c r="EH3109"/>
      <c r="EI3109"/>
      <c r="EJ3109"/>
      <c r="EK3109"/>
    </row>
    <row r="3110" spans="1:141" s="116" customFormat="1">
      <c r="A3110" s="136"/>
      <c r="CM3110" s="111"/>
      <c r="CQ3110" s="111"/>
      <c r="EF3110"/>
      <c r="EG3110"/>
      <c r="EH3110"/>
      <c r="EI3110"/>
      <c r="EJ3110"/>
      <c r="EK3110"/>
    </row>
    <row r="3111" spans="1:141" s="116" customFormat="1">
      <c r="A3111" s="136"/>
      <c r="CM3111" s="111"/>
      <c r="CQ3111" s="111"/>
      <c r="EF3111"/>
      <c r="EG3111"/>
      <c r="EH3111"/>
      <c r="EI3111"/>
      <c r="EJ3111"/>
      <c r="EK3111"/>
    </row>
    <row r="3112" spans="1:141" s="116" customFormat="1">
      <c r="A3112" s="136"/>
      <c r="CM3112" s="111"/>
      <c r="CQ3112" s="111"/>
      <c r="EF3112"/>
      <c r="EG3112"/>
      <c r="EH3112"/>
      <c r="EI3112"/>
      <c r="EJ3112"/>
      <c r="EK3112"/>
    </row>
    <row r="3113" spans="1:141" s="116" customFormat="1">
      <c r="A3113" s="136"/>
      <c r="CM3113" s="111"/>
      <c r="CQ3113" s="111"/>
      <c r="EF3113"/>
      <c r="EG3113"/>
      <c r="EH3113"/>
      <c r="EI3113"/>
      <c r="EJ3113"/>
      <c r="EK3113"/>
    </row>
    <row r="3114" spans="1:141" s="116" customFormat="1">
      <c r="A3114" s="136"/>
      <c r="CM3114" s="111"/>
      <c r="CQ3114" s="111"/>
      <c r="EF3114"/>
      <c r="EG3114"/>
      <c r="EH3114"/>
      <c r="EI3114"/>
      <c r="EJ3114"/>
      <c r="EK3114"/>
    </row>
    <row r="3115" spans="1:141" s="116" customFormat="1">
      <c r="A3115" s="136"/>
      <c r="CM3115" s="111"/>
      <c r="CQ3115" s="111"/>
      <c r="EF3115"/>
      <c r="EG3115"/>
      <c r="EH3115"/>
      <c r="EI3115"/>
      <c r="EJ3115"/>
      <c r="EK3115"/>
    </row>
    <row r="3116" spans="1:141" s="116" customFormat="1">
      <c r="A3116" s="136"/>
      <c r="CM3116" s="111"/>
      <c r="CQ3116" s="111"/>
      <c r="EF3116"/>
      <c r="EG3116"/>
      <c r="EH3116"/>
      <c r="EI3116"/>
      <c r="EJ3116"/>
      <c r="EK3116"/>
    </row>
    <row r="3117" spans="1:141" s="116" customFormat="1">
      <c r="A3117" s="136"/>
      <c r="CM3117" s="111"/>
      <c r="CQ3117" s="111"/>
      <c r="EF3117"/>
      <c r="EG3117"/>
      <c r="EH3117"/>
      <c r="EI3117"/>
      <c r="EJ3117"/>
      <c r="EK3117"/>
    </row>
    <row r="3118" spans="1:141" s="116" customFormat="1">
      <c r="A3118" s="136"/>
      <c r="CM3118" s="111"/>
      <c r="CQ3118" s="111"/>
      <c r="EF3118"/>
      <c r="EG3118"/>
      <c r="EH3118"/>
      <c r="EI3118"/>
      <c r="EJ3118"/>
      <c r="EK3118"/>
    </row>
    <row r="3119" spans="1:141" s="116" customFormat="1">
      <c r="A3119" s="136"/>
      <c r="CM3119" s="111"/>
      <c r="CQ3119" s="111"/>
      <c r="EF3119"/>
      <c r="EG3119"/>
      <c r="EH3119"/>
      <c r="EI3119"/>
      <c r="EJ3119"/>
      <c r="EK3119"/>
    </row>
    <row r="3120" spans="1:141" s="116" customFormat="1">
      <c r="A3120" s="136"/>
      <c r="CM3120" s="111"/>
      <c r="CQ3120" s="111"/>
      <c r="EF3120"/>
      <c r="EG3120"/>
      <c r="EH3120"/>
      <c r="EI3120"/>
      <c r="EJ3120"/>
      <c r="EK3120"/>
    </row>
    <row r="3121" spans="1:141" s="116" customFormat="1">
      <c r="A3121" s="136"/>
      <c r="CM3121" s="111"/>
      <c r="CQ3121" s="111"/>
      <c r="EF3121"/>
      <c r="EG3121"/>
      <c r="EH3121"/>
      <c r="EI3121"/>
      <c r="EJ3121"/>
      <c r="EK3121"/>
    </row>
    <row r="3122" spans="1:141" s="116" customFormat="1">
      <c r="A3122" s="136"/>
      <c r="CM3122" s="111"/>
      <c r="CQ3122" s="111"/>
      <c r="EF3122"/>
      <c r="EG3122"/>
      <c r="EH3122"/>
      <c r="EI3122"/>
      <c r="EJ3122"/>
      <c r="EK3122"/>
    </row>
    <row r="3123" spans="1:141" s="116" customFormat="1">
      <c r="A3123" s="136"/>
      <c r="CM3123" s="111"/>
      <c r="CQ3123" s="111"/>
      <c r="EF3123"/>
      <c r="EG3123"/>
      <c r="EH3123"/>
      <c r="EI3123"/>
      <c r="EJ3123"/>
      <c r="EK3123"/>
    </row>
    <row r="3124" spans="1:141" s="116" customFormat="1">
      <c r="A3124" s="136"/>
      <c r="CM3124" s="111"/>
      <c r="CQ3124" s="111"/>
      <c r="EF3124"/>
      <c r="EG3124"/>
      <c r="EH3124"/>
      <c r="EI3124"/>
      <c r="EJ3124"/>
      <c r="EK3124"/>
    </row>
    <row r="3125" spans="1:141" s="116" customFormat="1">
      <c r="A3125" s="136"/>
      <c r="CM3125" s="111"/>
      <c r="CQ3125" s="111"/>
      <c r="EF3125"/>
      <c r="EG3125"/>
      <c r="EH3125"/>
      <c r="EI3125"/>
      <c r="EJ3125"/>
      <c r="EK3125"/>
    </row>
    <row r="3126" spans="1:141" s="116" customFormat="1">
      <c r="A3126" s="136"/>
      <c r="CM3126" s="111"/>
      <c r="CQ3126" s="111"/>
      <c r="EF3126"/>
      <c r="EG3126"/>
      <c r="EH3126"/>
      <c r="EI3126"/>
      <c r="EJ3126"/>
      <c r="EK3126"/>
    </row>
    <row r="3127" spans="1:141" s="116" customFormat="1">
      <c r="A3127" s="136"/>
      <c r="CM3127" s="111"/>
      <c r="CQ3127" s="111"/>
      <c r="EF3127"/>
      <c r="EG3127"/>
      <c r="EH3127"/>
      <c r="EI3127"/>
      <c r="EJ3127"/>
      <c r="EK3127"/>
    </row>
    <row r="3128" spans="1:141" s="116" customFormat="1">
      <c r="A3128" s="136"/>
      <c r="CM3128" s="111"/>
      <c r="CQ3128" s="111"/>
      <c r="EF3128"/>
      <c r="EG3128"/>
      <c r="EH3128"/>
      <c r="EI3128"/>
      <c r="EJ3128"/>
      <c r="EK3128"/>
    </row>
    <row r="3129" spans="1:141" s="116" customFormat="1">
      <c r="A3129" s="136"/>
      <c r="CM3129" s="111"/>
      <c r="CQ3129" s="111"/>
      <c r="EF3129"/>
      <c r="EG3129"/>
      <c r="EH3129"/>
      <c r="EI3129"/>
      <c r="EJ3129"/>
      <c r="EK3129"/>
    </row>
    <row r="3130" spans="1:141" s="116" customFormat="1">
      <c r="A3130" s="136"/>
      <c r="CM3130" s="111"/>
      <c r="CQ3130" s="111"/>
      <c r="EF3130"/>
      <c r="EG3130"/>
      <c r="EH3130"/>
      <c r="EI3130"/>
      <c r="EJ3130"/>
      <c r="EK3130"/>
    </row>
    <row r="3131" spans="1:141" s="116" customFormat="1">
      <c r="A3131" s="136"/>
      <c r="CM3131" s="111"/>
      <c r="CQ3131" s="111"/>
      <c r="EF3131"/>
      <c r="EG3131"/>
      <c r="EH3131"/>
      <c r="EI3131"/>
      <c r="EJ3131"/>
      <c r="EK3131"/>
    </row>
    <row r="3132" spans="1:141" s="116" customFormat="1">
      <c r="A3132" s="136"/>
      <c r="CM3132" s="111"/>
      <c r="CQ3132" s="111"/>
      <c r="EF3132"/>
      <c r="EG3132"/>
      <c r="EH3132"/>
      <c r="EI3132"/>
      <c r="EJ3132"/>
      <c r="EK3132"/>
    </row>
    <row r="3133" spans="1:141" s="116" customFormat="1">
      <c r="A3133" s="136"/>
      <c r="CM3133" s="111"/>
      <c r="CQ3133" s="111"/>
      <c r="EF3133"/>
      <c r="EG3133"/>
      <c r="EH3133"/>
      <c r="EI3133"/>
      <c r="EJ3133"/>
      <c r="EK3133"/>
    </row>
    <row r="3134" spans="1:141" s="116" customFormat="1">
      <c r="A3134" s="136"/>
      <c r="CM3134" s="111"/>
      <c r="CQ3134" s="111"/>
      <c r="EF3134"/>
      <c r="EG3134"/>
      <c r="EH3134"/>
      <c r="EI3134"/>
      <c r="EJ3134"/>
      <c r="EK3134"/>
    </row>
    <row r="3135" spans="1:141" s="116" customFormat="1">
      <c r="A3135" s="136"/>
      <c r="CM3135" s="111"/>
      <c r="CQ3135" s="111"/>
      <c r="EF3135"/>
      <c r="EG3135"/>
      <c r="EH3135"/>
      <c r="EI3135"/>
      <c r="EJ3135"/>
      <c r="EK3135"/>
    </row>
    <row r="3136" spans="1:141" s="116" customFormat="1">
      <c r="A3136" s="136"/>
      <c r="CM3136" s="111"/>
      <c r="CQ3136" s="111"/>
      <c r="EF3136"/>
      <c r="EG3136"/>
      <c r="EH3136"/>
      <c r="EI3136"/>
      <c r="EJ3136"/>
      <c r="EK3136"/>
    </row>
    <row r="3137" spans="1:141" s="116" customFormat="1">
      <c r="A3137" s="136"/>
      <c r="CM3137" s="111"/>
      <c r="CQ3137" s="111"/>
      <c r="EF3137"/>
      <c r="EG3137"/>
      <c r="EH3137"/>
      <c r="EI3137"/>
      <c r="EJ3137"/>
      <c r="EK3137"/>
    </row>
    <row r="3138" spans="1:141" s="116" customFormat="1">
      <c r="A3138" s="136"/>
      <c r="CM3138" s="111"/>
      <c r="CQ3138" s="111"/>
      <c r="EF3138"/>
      <c r="EG3138"/>
      <c r="EH3138"/>
      <c r="EI3138"/>
      <c r="EJ3138"/>
      <c r="EK3138"/>
    </row>
    <row r="3139" spans="1:141" s="116" customFormat="1">
      <c r="A3139" s="136"/>
      <c r="CM3139" s="111"/>
      <c r="CQ3139" s="111"/>
      <c r="EF3139"/>
      <c r="EG3139"/>
      <c r="EH3139"/>
      <c r="EI3139"/>
      <c r="EJ3139"/>
      <c r="EK3139"/>
    </row>
    <row r="3140" spans="1:141" s="116" customFormat="1">
      <c r="A3140" s="136"/>
      <c r="CM3140" s="111"/>
      <c r="CQ3140" s="111"/>
      <c r="EF3140"/>
      <c r="EG3140"/>
      <c r="EH3140"/>
      <c r="EI3140"/>
      <c r="EJ3140"/>
      <c r="EK3140"/>
    </row>
    <row r="3141" spans="1:141" s="116" customFormat="1">
      <c r="A3141" s="136"/>
      <c r="CM3141" s="111"/>
      <c r="CQ3141" s="111"/>
      <c r="EF3141"/>
      <c r="EG3141"/>
      <c r="EH3141"/>
      <c r="EI3141"/>
      <c r="EJ3141"/>
      <c r="EK3141"/>
    </row>
    <row r="3142" spans="1:141" s="116" customFormat="1">
      <c r="A3142" s="136"/>
      <c r="CM3142" s="111"/>
      <c r="CQ3142" s="111"/>
      <c r="EF3142"/>
      <c r="EG3142"/>
      <c r="EH3142"/>
      <c r="EI3142"/>
      <c r="EJ3142"/>
      <c r="EK3142"/>
    </row>
    <row r="3143" spans="1:141" s="116" customFormat="1">
      <c r="A3143" s="136"/>
      <c r="CM3143" s="111"/>
      <c r="CQ3143" s="111"/>
      <c r="EF3143"/>
      <c r="EG3143"/>
      <c r="EH3143"/>
      <c r="EI3143"/>
      <c r="EJ3143"/>
      <c r="EK3143"/>
    </row>
    <row r="3144" spans="1:141" s="116" customFormat="1">
      <c r="A3144" s="136"/>
      <c r="CM3144" s="111"/>
      <c r="CQ3144" s="111"/>
      <c r="EF3144"/>
      <c r="EG3144"/>
      <c r="EH3144"/>
      <c r="EI3144"/>
      <c r="EJ3144"/>
      <c r="EK3144"/>
    </row>
    <row r="3145" spans="1:141" s="116" customFormat="1">
      <c r="A3145" s="136"/>
      <c r="CM3145" s="111"/>
      <c r="CQ3145" s="111"/>
      <c r="EF3145"/>
      <c r="EG3145"/>
      <c r="EH3145"/>
      <c r="EI3145"/>
      <c r="EJ3145"/>
      <c r="EK3145"/>
    </row>
    <row r="3146" spans="1:141" s="116" customFormat="1">
      <c r="A3146" s="136"/>
      <c r="CM3146" s="111"/>
      <c r="CQ3146" s="111"/>
      <c r="EF3146"/>
      <c r="EG3146"/>
      <c r="EH3146"/>
      <c r="EI3146"/>
      <c r="EJ3146"/>
      <c r="EK3146"/>
    </row>
    <row r="3147" spans="1:141" s="116" customFormat="1">
      <c r="A3147" s="136"/>
      <c r="CM3147" s="111"/>
      <c r="CQ3147" s="111"/>
      <c r="EF3147"/>
      <c r="EG3147"/>
      <c r="EH3147"/>
      <c r="EI3147"/>
      <c r="EJ3147"/>
      <c r="EK3147"/>
    </row>
    <row r="3148" spans="1:141" s="116" customFormat="1">
      <c r="A3148" s="136"/>
      <c r="CM3148" s="111"/>
      <c r="CQ3148" s="111"/>
      <c r="EF3148"/>
      <c r="EG3148"/>
      <c r="EH3148"/>
      <c r="EI3148"/>
      <c r="EJ3148"/>
      <c r="EK3148"/>
    </row>
    <row r="3149" spans="1:141" s="116" customFormat="1">
      <c r="A3149" s="136"/>
      <c r="CM3149" s="111"/>
      <c r="CQ3149" s="111"/>
      <c r="EF3149"/>
      <c r="EG3149"/>
      <c r="EH3149"/>
      <c r="EI3149"/>
      <c r="EJ3149"/>
      <c r="EK3149"/>
    </row>
    <row r="3150" spans="1:141" s="116" customFormat="1">
      <c r="A3150" s="136"/>
      <c r="CM3150" s="111"/>
      <c r="CQ3150" s="111"/>
      <c r="EF3150"/>
      <c r="EG3150"/>
      <c r="EH3150"/>
      <c r="EI3150"/>
      <c r="EJ3150"/>
      <c r="EK3150"/>
    </row>
    <row r="3151" spans="1:141" s="116" customFormat="1">
      <c r="A3151" s="136"/>
      <c r="CM3151" s="111"/>
      <c r="CQ3151" s="111"/>
      <c r="EF3151"/>
      <c r="EG3151"/>
      <c r="EH3151"/>
      <c r="EI3151"/>
      <c r="EJ3151"/>
      <c r="EK3151"/>
    </row>
    <row r="3152" spans="1:141" s="116" customFormat="1">
      <c r="A3152" s="136"/>
      <c r="CM3152" s="111"/>
      <c r="CQ3152" s="111"/>
      <c r="EF3152"/>
      <c r="EG3152"/>
      <c r="EH3152"/>
      <c r="EI3152"/>
      <c r="EJ3152"/>
      <c r="EK3152"/>
    </row>
    <row r="3153" spans="1:141" s="116" customFormat="1">
      <c r="A3153" s="136"/>
      <c r="CM3153" s="111"/>
      <c r="CQ3153" s="111"/>
      <c r="EF3153"/>
      <c r="EG3153"/>
      <c r="EH3153"/>
      <c r="EI3153"/>
      <c r="EJ3153"/>
      <c r="EK3153"/>
    </row>
    <row r="3154" spans="1:141" s="116" customFormat="1">
      <c r="A3154" s="136"/>
      <c r="CM3154" s="111"/>
      <c r="CQ3154" s="111"/>
      <c r="EF3154"/>
      <c r="EG3154"/>
      <c r="EH3154"/>
      <c r="EI3154"/>
      <c r="EJ3154"/>
      <c r="EK3154"/>
    </row>
    <row r="3155" spans="1:141" s="116" customFormat="1">
      <c r="A3155" s="136"/>
      <c r="CM3155" s="111"/>
      <c r="CQ3155" s="111"/>
      <c r="EF3155"/>
      <c r="EG3155"/>
      <c r="EH3155"/>
      <c r="EI3155"/>
      <c r="EJ3155"/>
      <c r="EK3155"/>
    </row>
    <row r="3156" spans="1:141" s="116" customFormat="1">
      <c r="A3156" s="136"/>
      <c r="CM3156" s="111"/>
      <c r="CQ3156" s="111"/>
      <c r="EF3156"/>
      <c r="EG3156"/>
      <c r="EH3156"/>
      <c r="EI3156"/>
      <c r="EJ3156"/>
      <c r="EK3156"/>
    </row>
    <row r="3157" spans="1:141" s="116" customFormat="1">
      <c r="A3157" s="136"/>
      <c r="CM3157" s="111"/>
      <c r="CQ3157" s="111"/>
      <c r="EF3157"/>
      <c r="EG3157"/>
      <c r="EH3157"/>
      <c r="EI3157"/>
      <c r="EJ3157"/>
      <c r="EK3157"/>
    </row>
    <row r="3158" spans="1:141" s="116" customFormat="1">
      <c r="A3158" s="136"/>
      <c r="CM3158" s="111"/>
      <c r="CQ3158" s="111"/>
      <c r="EF3158"/>
      <c r="EG3158"/>
      <c r="EH3158"/>
      <c r="EI3158"/>
      <c r="EJ3158"/>
      <c r="EK3158"/>
    </row>
    <row r="3159" spans="1:141" s="116" customFormat="1">
      <c r="A3159" s="136"/>
      <c r="CM3159" s="111"/>
      <c r="CQ3159" s="111"/>
      <c r="EF3159"/>
      <c r="EG3159"/>
      <c r="EH3159"/>
      <c r="EI3159"/>
      <c r="EJ3159"/>
      <c r="EK3159"/>
    </row>
    <row r="3160" spans="1:141" s="116" customFormat="1">
      <c r="A3160" s="136"/>
      <c r="CM3160" s="111"/>
      <c r="CQ3160" s="111"/>
      <c r="EF3160"/>
      <c r="EG3160"/>
      <c r="EH3160"/>
      <c r="EI3160"/>
      <c r="EJ3160"/>
      <c r="EK3160"/>
    </row>
    <row r="3161" spans="1:141" s="116" customFormat="1">
      <c r="A3161" s="136"/>
      <c r="CM3161" s="111"/>
      <c r="CQ3161" s="111"/>
      <c r="EF3161"/>
      <c r="EG3161"/>
      <c r="EH3161"/>
      <c r="EI3161"/>
      <c r="EJ3161"/>
      <c r="EK3161"/>
    </row>
    <row r="3162" spans="1:141" s="116" customFormat="1">
      <c r="A3162" s="136"/>
      <c r="CM3162" s="111"/>
      <c r="CQ3162" s="111"/>
      <c r="EF3162"/>
      <c r="EG3162"/>
      <c r="EH3162"/>
      <c r="EI3162"/>
      <c r="EJ3162"/>
      <c r="EK3162"/>
    </row>
    <row r="3163" spans="1:141" s="116" customFormat="1">
      <c r="A3163" s="136"/>
      <c r="CM3163" s="111"/>
      <c r="CQ3163" s="111"/>
      <c r="EF3163"/>
      <c r="EG3163"/>
      <c r="EH3163"/>
      <c r="EI3163"/>
      <c r="EJ3163"/>
      <c r="EK3163"/>
    </row>
    <row r="3164" spans="1:141" s="116" customFormat="1">
      <c r="A3164" s="136"/>
      <c r="CM3164" s="111"/>
      <c r="CQ3164" s="111"/>
      <c r="EF3164"/>
      <c r="EG3164"/>
      <c r="EH3164"/>
      <c r="EI3164"/>
      <c r="EJ3164"/>
      <c r="EK3164"/>
    </row>
    <row r="3165" spans="1:141" s="116" customFormat="1">
      <c r="A3165" s="136"/>
      <c r="CM3165" s="111"/>
      <c r="CQ3165" s="111"/>
      <c r="EF3165"/>
      <c r="EG3165"/>
      <c r="EH3165"/>
      <c r="EI3165"/>
      <c r="EJ3165"/>
      <c r="EK3165"/>
    </row>
    <row r="3166" spans="1:141" s="116" customFormat="1">
      <c r="A3166" s="136"/>
      <c r="CM3166" s="111"/>
      <c r="CQ3166" s="111"/>
      <c r="EF3166"/>
      <c r="EG3166"/>
      <c r="EH3166"/>
      <c r="EI3166"/>
      <c r="EJ3166"/>
      <c r="EK3166"/>
    </row>
    <row r="3167" spans="1:141" s="116" customFormat="1">
      <c r="A3167" s="136"/>
      <c r="CM3167" s="111"/>
      <c r="CQ3167" s="111"/>
      <c r="EF3167"/>
      <c r="EG3167"/>
      <c r="EH3167"/>
      <c r="EI3167"/>
      <c r="EJ3167"/>
      <c r="EK3167"/>
    </row>
    <row r="3168" spans="1:141" s="116" customFormat="1">
      <c r="A3168" s="136"/>
      <c r="CM3168" s="111"/>
      <c r="CQ3168" s="111"/>
      <c r="EF3168"/>
      <c r="EG3168"/>
      <c r="EH3168"/>
      <c r="EI3168"/>
      <c r="EJ3168"/>
      <c r="EK3168"/>
    </row>
    <row r="3169" spans="1:141" s="116" customFormat="1">
      <c r="A3169" s="136"/>
      <c r="CM3169" s="111"/>
      <c r="CQ3169" s="111"/>
      <c r="EF3169"/>
      <c r="EG3169"/>
      <c r="EH3169"/>
      <c r="EI3169"/>
      <c r="EJ3169"/>
      <c r="EK3169"/>
    </row>
    <row r="3170" spans="1:141" s="116" customFormat="1">
      <c r="A3170" s="136"/>
      <c r="CM3170" s="111"/>
      <c r="CQ3170" s="111"/>
      <c r="EF3170"/>
      <c r="EG3170"/>
      <c r="EH3170"/>
      <c r="EI3170"/>
      <c r="EJ3170"/>
      <c r="EK3170"/>
    </row>
    <row r="3171" spans="1:141" s="116" customFormat="1">
      <c r="A3171" s="136"/>
      <c r="CM3171" s="111"/>
      <c r="CQ3171" s="111"/>
      <c r="EF3171"/>
      <c r="EG3171"/>
      <c r="EH3171"/>
      <c r="EI3171"/>
      <c r="EJ3171"/>
      <c r="EK3171"/>
    </row>
    <row r="3172" spans="1:141" s="116" customFormat="1">
      <c r="A3172" s="136"/>
      <c r="CM3172" s="111"/>
      <c r="CQ3172" s="111"/>
      <c r="EF3172"/>
      <c r="EG3172"/>
      <c r="EH3172"/>
      <c r="EI3172"/>
      <c r="EJ3172"/>
      <c r="EK3172"/>
    </row>
    <row r="3173" spans="1:141" s="116" customFormat="1">
      <c r="A3173" s="136"/>
      <c r="CM3173" s="111"/>
      <c r="CQ3173" s="111"/>
      <c r="EF3173"/>
      <c r="EG3173"/>
      <c r="EH3173"/>
      <c r="EI3173"/>
      <c r="EJ3173"/>
      <c r="EK3173"/>
    </row>
    <row r="3174" spans="1:141" s="116" customFormat="1">
      <c r="A3174" s="136"/>
      <c r="CM3174" s="111"/>
      <c r="CQ3174" s="111"/>
      <c r="EF3174"/>
      <c r="EG3174"/>
      <c r="EH3174"/>
      <c r="EI3174"/>
      <c r="EJ3174"/>
      <c r="EK3174"/>
    </row>
    <row r="3175" spans="1:141" s="116" customFormat="1">
      <c r="A3175" s="136"/>
      <c r="CM3175" s="111"/>
      <c r="CQ3175" s="111"/>
      <c r="EF3175"/>
      <c r="EG3175"/>
      <c r="EH3175"/>
      <c r="EI3175"/>
      <c r="EJ3175"/>
      <c r="EK3175"/>
    </row>
    <row r="3176" spans="1:141" s="116" customFormat="1">
      <c r="A3176" s="136"/>
      <c r="CM3176" s="111"/>
      <c r="CQ3176" s="111"/>
      <c r="EF3176"/>
      <c r="EG3176"/>
      <c r="EH3176"/>
      <c r="EI3176"/>
      <c r="EJ3176"/>
      <c r="EK3176"/>
    </row>
    <row r="3177" spans="1:141" s="116" customFormat="1">
      <c r="A3177" s="136"/>
      <c r="CM3177" s="111"/>
      <c r="CQ3177" s="111"/>
      <c r="EF3177"/>
      <c r="EG3177"/>
      <c r="EH3177"/>
      <c r="EI3177"/>
      <c r="EJ3177"/>
      <c r="EK3177"/>
    </row>
    <row r="3178" spans="1:141" s="116" customFormat="1">
      <c r="A3178" s="136"/>
      <c r="CM3178" s="111"/>
      <c r="CQ3178" s="111"/>
      <c r="EF3178"/>
      <c r="EG3178"/>
      <c r="EH3178"/>
      <c r="EI3178"/>
      <c r="EJ3178"/>
      <c r="EK3178"/>
    </row>
    <row r="3179" spans="1:141" s="116" customFormat="1">
      <c r="A3179" s="136"/>
      <c r="CM3179" s="111"/>
      <c r="CQ3179" s="111"/>
      <c r="EF3179"/>
      <c r="EG3179"/>
      <c r="EH3179"/>
      <c r="EI3179"/>
      <c r="EJ3179"/>
      <c r="EK3179"/>
    </row>
    <row r="3180" spans="1:141" s="116" customFormat="1">
      <c r="A3180" s="136"/>
      <c r="CM3180" s="111"/>
      <c r="CQ3180" s="111"/>
      <c r="EF3180"/>
      <c r="EG3180"/>
      <c r="EH3180"/>
      <c r="EI3180"/>
      <c r="EJ3180"/>
      <c r="EK3180"/>
    </row>
    <row r="3181" spans="1:141" s="116" customFormat="1">
      <c r="A3181" s="136"/>
      <c r="CM3181" s="111"/>
      <c r="CQ3181" s="111"/>
      <c r="EF3181"/>
      <c r="EG3181"/>
      <c r="EH3181"/>
      <c r="EI3181"/>
      <c r="EJ3181"/>
      <c r="EK3181"/>
    </row>
    <row r="3182" spans="1:141" s="116" customFormat="1">
      <c r="A3182" s="136"/>
      <c r="CM3182" s="111"/>
      <c r="CQ3182" s="111"/>
      <c r="EF3182"/>
      <c r="EG3182"/>
      <c r="EH3182"/>
      <c r="EI3182"/>
      <c r="EJ3182"/>
      <c r="EK3182"/>
    </row>
    <row r="3183" spans="1:141" s="116" customFormat="1">
      <c r="A3183" s="136"/>
      <c r="CM3183" s="111"/>
      <c r="CQ3183" s="111"/>
      <c r="EF3183"/>
      <c r="EG3183"/>
      <c r="EH3183"/>
      <c r="EI3183"/>
      <c r="EJ3183"/>
      <c r="EK3183"/>
    </row>
    <row r="3184" spans="1:141" s="116" customFormat="1">
      <c r="A3184" s="136"/>
      <c r="CM3184" s="111"/>
      <c r="CQ3184" s="111"/>
      <c r="EF3184"/>
      <c r="EG3184"/>
      <c r="EH3184"/>
      <c r="EI3184"/>
      <c r="EJ3184"/>
      <c r="EK3184"/>
    </row>
    <row r="3185" spans="1:141" s="116" customFormat="1">
      <c r="A3185" s="136"/>
      <c r="CM3185" s="111"/>
      <c r="CQ3185" s="111"/>
      <c r="EF3185"/>
      <c r="EG3185"/>
      <c r="EH3185"/>
      <c r="EI3185"/>
      <c r="EJ3185"/>
      <c r="EK3185"/>
    </row>
    <row r="3186" spans="1:141" s="116" customFormat="1">
      <c r="A3186" s="136"/>
      <c r="CM3186" s="111"/>
      <c r="CQ3186" s="111"/>
      <c r="EF3186"/>
      <c r="EG3186"/>
      <c r="EH3186"/>
      <c r="EI3186"/>
      <c r="EJ3186"/>
      <c r="EK3186"/>
    </row>
    <row r="3187" spans="1:141" s="116" customFormat="1">
      <c r="A3187" s="136"/>
      <c r="CM3187" s="111"/>
      <c r="CQ3187" s="111"/>
      <c r="EF3187"/>
      <c r="EG3187"/>
      <c r="EH3187"/>
      <c r="EI3187"/>
      <c r="EJ3187"/>
      <c r="EK3187"/>
    </row>
    <row r="3188" spans="1:141" s="116" customFormat="1">
      <c r="A3188" s="136"/>
      <c r="CM3188" s="111"/>
      <c r="CQ3188" s="111"/>
      <c r="EF3188"/>
      <c r="EG3188"/>
      <c r="EH3188"/>
      <c r="EI3188"/>
      <c r="EJ3188"/>
      <c r="EK3188"/>
    </row>
    <row r="3189" spans="1:141" s="116" customFormat="1">
      <c r="A3189" s="136"/>
      <c r="CM3189" s="111"/>
      <c r="CQ3189" s="111"/>
      <c r="EF3189"/>
      <c r="EG3189"/>
      <c r="EH3189"/>
      <c r="EI3189"/>
      <c r="EJ3189"/>
      <c r="EK3189"/>
    </row>
    <row r="3190" spans="1:141" s="116" customFormat="1">
      <c r="A3190" s="136"/>
      <c r="CM3190" s="111"/>
      <c r="CQ3190" s="111"/>
      <c r="EF3190"/>
      <c r="EG3190"/>
      <c r="EH3190"/>
      <c r="EI3190"/>
      <c r="EJ3190"/>
      <c r="EK3190"/>
    </row>
    <row r="3191" spans="1:141" s="116" customFormat="1">
      <c r="A3191" s="136"/>
      <c r="CM3191" s="111"/>
      <c r="CQ3191" s="111"/>
      <c r="EF3191"/>
      <c r="EG3191"/>
      <c r="EH3191"/>
      <c r="EI3191"/>
      <c r="EJ3191"/>
      <c r="EK3191"/>
    </row>
    <row r="3192" spans="1:141" s="116" customFormat="1">
      <c r="A3192" s="136"/>
      <c r="CM3192" s="111"/>
      <c r="CQ3192" s="111"/>
      <c r="EF3192"/>
      <c r="EG3192"/>
      <c r="EH3192"/>
      <c r="EI3192"/>
      <c r="EJ3192"/>
      <c r="EK3192"/>
    </row>
    <row r="3193" spans="1:141" s="116" customFormat="1">
      <c r="A3193" s="136"/>
      <c r="CM3193" s="111"/>
      <c r="CQ3193" s="111"/>
      <c r="EF3193"/>
      <c r="EG3193"/>
      <c r="EH3193"/>
      <c r="EI3193"/>
      <c r="EJ3193"/>
      <c r="EK3193"/>
    </row>
    <row r="3194" spans="1:141" s="116" customFormat="1">
      <c r="A3194" s="136"/>
      <c r="CM3194" s="111"/>
      <c r="CQ3194" s="111"/>
      <c r="EF3194"/>
      <c r="EG3194"/>
      <c r="EH3194"/>
      <c r="EI3194"/>
      <c r="EJ3194"/>
      <c r="EK3194"/>
    </row>
    <row r="3195" spans="1:141" s="116" customFormat="1">
      <c r="A3195" s="136"/>
      <c r="CM3195" s="111"/>
      <c r="CQ3195" s="111"/>
      <c r="EF3195"/>
      <c r="EG3195"/>
      <c r="EH3195"/>
      <c r="EI3195"/>
      <c r="EJ3195"/>
      <c r="EK3195"/>
    </row>
    <row r="3196" spans="1:141" s="116" customFormat="1">
      <c r="A3196" s="136"/>
      <c r="CM3196" s="111"/>
      <c r="CQ3196" s="111"/>
      <c r="EF3196"/>
      <c r="EG3196"/>
      <c r="EH3196"/>
      <c r="EI3196"/>
      <c r="EJ3196"/>
      <c r="EK3196"/>
    </row>
    <row r="3197" spans="1:141" s="116" customFormat="1">
      <c r="A3197" s="136"/>
      <c r="CM3197" s="111"/>
      <c r="CQ3197" s="111"/>
      <c r="EF3197"/>
      <c r="EG3197"/>
      <c r="EH3197"/>
      <c r="EI3197"/>
      <c r="EJ3197"/>
      <c r="EK3197"/>
    </row>
    <row r="3198" spans="1:141" s="116" customFormat="1">
      <c r="A3198" s="136"/>
      <c r="CM3198" s="111"/>
      <c r="CQ3198" s="111"/>
      <c r="EF3198"/>
      <c r="EG3198"/>
      <c r="EH3198"/>
      <c r="EI3198"/>
      <c r="EJ3198"/>
      <c r="EK3198"/>
    </row>
    <row r="3199" spans="1:141" s="116" customFormat="1">
      <c r="A3199" s="136"/>
      <c r="CM3199" s="111"/>
      <c r="CQ3199" s="111"/>
      <c r="EF3199"/>
      <c r="EG3199"/>
      <c r="EH3199"/>
      <c r="EI3199"/>
      <c r="EJ3199"/>
      <c r="EK3199"/>
    </row>
    <row r="3200" spans="1:141" s="116" customFormat="1">
      <c r="A3200" s="136"/>
      <c r="CM3200" s="111"/>
      <c r="CQ3200" s="111"/>
      <c r="EF3200"/>
      <c r="EG3200"/>
      <c r="EH3200"/>
      <c r="EI3200"/>
      <c r="EJ3200"/>
      <c r="EK3200"/>
    </row>
    <row r="3201" spans="1:141" s="116" customFormat="1">
      <c r="A3201" s="136"/>
      <c r="CM3201" s="111"/>
      <c r="CQ3201" s="111"/>
      <c r="EF3201"/>
      <c r="EG3201"/>
      <c r="EH3201"/>
      <c r="EI3201"/>
      <c r="EJ3201"/>
      <c r="EK3201"/>
    </row>
    <row r="3202" spans="1:141" s="116" customFormat="1">
      <c r="A3202" s="136"/>
      <c r="CM3202" s="111"/>
      <c r="CQ3202" s="111"/>
      <c r="EF3202"/>
      <c r="EG3202"/>
      <c r="EH3202"/>
      <c r="EI3202"/>
      <c r="EJ3202"/>
      <c r="EK3202"/>
    </row>
    <row r="3203" spans="1:141" s="116" customFormat="1">
      <c r="A3203" s="136"/>
      <c r="CM3203" s="111"/>
      <c r="CQ3203" s="111"/>
      <c r="EF3203"/>
      <c r="EG3203"/>
      <c r="EH3203"/>
      <c r="EI3203"/>
      <c r="EJ3203"/>
      <c r="EK3203"/>
    </row>
    <row r="3204" spans="1:141" s="116" customFormat="1">
      <c r="A3204" s="136"/>
      <c r="CM3204" s="111"/>
      <c r="CQ3204" s="111"/>
      <c r="EF3204"/>
      <c r="EG3204"/>
      <c r="EH3204"/>
      <c r="EI3204"/>
      <c r="EJ3204"/>
      <c r="EK3204"/>
    </row>
    <row r="3205" spans="1:141" s="116" customFormat="1">
      <c r="A3205" s="136"/>
      <c r="CM3205" s="111"/>
      <c r="CQ3205" s="111"/>
      <c r="EF3205"/>
      <c r="EG3205"/>
      <c r="EH3205"/>
      <c r="EI3205"/>
      <c r="EJ3205"/>
      <c r="EK3205"/>
    </row>
    <row r="3206" spans="1:141" s="116" customFormat="1">
      <c r="A3206" s="136"/>
      <c r="CM3206" s="111"/>
      <c r="CQ3206" s="111"/>
      <c r="EF3206"/>
      <c r="EG3206"/>
      <c r="EH3206"/>
      <c r="EI3206"/>
      <c r="EJ3206"/>
      <c r="EK3206"/>
    </row>
    <row r="3207" spans="1:141" s="116" customFormat="1">
      <c r="A3207" s="136"/>
      <c r="CM3207" s="111"/>
      <c r="CQ3207" s="111"/>
      <c r="EF3207"/>
      <c r="EG3207"/>
      <c r="EH3207"/>
      <c r="EI3207"/>
      <c r="EJ3207"/>
      <c r="EK3207"/>
    </row>
    <row r="3208" spans="1:141" s="116" customFormat="1">
      <c r="A3208" s="136"/>
      <c r="CM3208" s="111"/>
      <c r="CQ3208" s="111"/>
      <c r="EF3208"/>
      <c r="EG3208"/>
      <c r="EH3208"/>
      <c r="EI3208"/>
      <c r="EJ3208"/>
      <c r="EK3208"/>
    </row>
    <row r="3209" spans="1:141" s="116" customFormat="1">
      <c r="A3209" s="136"/>
      <c r="CM3209" s="111"/>
      <c r="CQ3209" s="111"/>
      <c r="EF3209"/>
      <c r="EG3209"/>
      <c r="EH3209"/>
      <c r="EI3209"/>
      <c r="EJ3209"/>
      <c r="EK3209"/>
    </row>
    <row r="3210" spans="1:141" s="116" customFormat="1">
      <c r="A3210" s="136"/>
      <c r="CM3210" s="111"/>
      <c r="CQ3210" s="111"/>
      <c r="EF3210"/>
      <c r="EG3210"/>
      <c r="EH3210"/>
      <c r="EI3210"/>
      <c r="EJ3210"/>
      <c r="EK3210"/>
    </row>
    <row r="3211" spans="1:141" s="116" customFormat="1">
      <c r="A3211" s="136"/>
      <c r="CM3211" s="111"/>
      <c r="CQ3211" s="111"/>
      <c r="EF3211"/>
      <c r="EG3211"/>
      <c r="EH3211"/>
      <c r="EI3211"/>
      <c r="EJ3211"/>
      <c r="EK3211"/>
    </row>
    <row r="3212" spans="1:141" s="116" customFormat="1">
      <c r="A3212" s="136"/>
      <c r="CM3212" s="111"/>
      <c r="CQ3212" s="111"/>
      <c r="EF3212"/>
      <c r="EG3212"/>
      <c r="EH3212"/>
      <c r="EI3212"/>
      <c r="EJ3212"/>
      <c r="EK3212"/>
    </row>
    <row r="3213" spans="1:141" s="116" customFormat="1">
      <c r="A3213" s="136"/>
      <c r="CM3213" s="111"/>
      <c r="CQ3213" s="111"/>
      <c r="EF3213"/>
      <c r="EG3213"/>
      <c r="EH3213"/>
      <c r="EI3213"/>
      <c r="EJ3213"/>
      <c r="EK3213"/>
    </row>
    <row r="3214" spans="1:141" s="116" customFormat="1">
      <c r="A3214" s="136"/>
      <c r="CM3214" s="111"/>
      <c r="CQ3214" s="111"/>
      <c r="EF3214"/>
      <c r="EG3214"/>
      <c r="EH3214"/>
      <c r="EI3214"/>
      <c r="EJ3214"/>
      <c r="EK3214"/>
    </row>
    <row r="3215" spans="1:141" s="116" customFormat="1">
      <c r="A3215" s="136"/>
      <c r="CM3215" s="111"/>
      <c r="CQ3215" s="111"/>
      <c r="EF3215"/>
      <c r="EG3215"/>
      <c r="EH3215"/>
      <c r="EI3215"/>
      <c r="EJ3215"/>
      <c r="EK3215"/>
    </row>
    <row r="3216" spans="1:141" s="116" customFormat="1">
      <c r="A3216" s="136"/>
      <c r="CM3216" s="111"/>
      <c r="CQ3216" s="111"/>
      <c r="EF3216"/>
      <c r="EG3216"/>
      <c r="EH3216"/>
      <c r="EI3216"/>
      <c r="EJ3216"/>
      <c r="EK3216"/>
    </row>
    <row r="3217" spans="1:141" s="116" customFormat="1">
      <c r="A3217" s="136"/>
      <c r="CM3217" s="111"/>
      <c r="CQ3217" s="111"/>
      <c r="EF3217"/>
      <c r="EG3217"/>
      <c r="EH3217"/>
      <c r="EI3217"/>
      <c r="EJ3217"/>
      <c r="EK3217"/>
    </row>
    <row r="3218" spans="1:141" s="116" customFormat="1">
      <c r="A3218" s="136"/>
      <c r="CM3218" s="111"/>
      <c r="CQ3218" s="111"/>
      <c r="EF3218"/>
      <c r="EG3218"/>
      <c r="EH3218"/>
      <c r="EI3218"/>
      <c r="EJ3218"/>
      <c r="EK3218"/>
    </row>
    <row r="3219" spans="1:141" s="116" customFormat="1">
      <c r="A3219" s="136"/>
      <c r="CM3219" s="111"/>
      <c r="CQ3219" s="111"/>
      <c r="EF3219"/>
      <c r="EG3219"/>
      <c r="EH3219"/>
      <c r="EI3219"/>
      <c r="EJ3219"/>
      <c r="EK3219"/>
    </row>
    <row r="3220" spans="1:141" s="116" customFormat="1">
      <c r="A3220" s="136"/>
      <c r="CM3220" s="111"/>
      <c r="CQ3220" s="111"/>
      <c r="EF3220"/>
      <c r="EG3220"/>
      <c r="EH3220"/>
      <c r="EI3220"/>
      <c r="EJ3220"/>
      <c r="EK3220"/>
    </row>
    <row r="3221" spans="1:141" s="116" customFormat="1">
      <c r="A3221" s="136"/>
      <c r="CM3221" s="111"/>
      <c r="CQ3221" s="111"/>
      <c r="EF3221"/>
      <c r="EG3221"/>
      <c r="EH3221"/>
      <c r="EI3221"/>
      <c r="EJ3221"/>
      <c r="EK3221"/>
    </row>
    <row r="3222" spans="1:141" s="116" customFormat="1">
      <c r="A3222" s="136"/>
      <c r="CM3222" s="111"/>
      <c r="CQ3222" s="111"/>
      <c r="EF3222"/>
      <c r="EG3222"/>
      <c r="EH3222"/>
      <c r="EI3222"/>
      <c r="EJ3222"/>
      <c r="EK3222"/>
    </row>
    <row r="3223" spans="1:141" s="116" customFormat="1">
      <c r="A3223" s="136"/>
      <c r="CM3223" s="111"/>
      <c r="CQ3223" s="111"/>
      <c r="EF3223"/>
      <c r="EG3223"/>
      <c r="EH3223"/>
      <c r="EI3223"/>
      <c r="EJ3223"/>
      <c r="EK3223"/>
    </row>
    <row r="3224" spans="1:141" s="116" customFormat="1">
      <c r="A3224" s="136"/>
      <c r="CM3224" s="111"/>
      <c r="CQ3224" s="111"/>
      <c r="EF3224"/>
      <c r="EG3224"/>
      <c r="EH3224"/>
      <c r="EI3224"/>
      <c r="EJ3224"/>
      <c r="EK3224"/>
    </row>
    <row r="3225" spans="1:141" s="116" customFormat="1">
      <c r="A3225" s="136"/>
      <c r="CM3225" s="111"/>
      <c r="CQ3225" s="111"/>
      <c r="EF3225"/>
      <c r="EG3225"/>
      <c r="EH3225"/>
      <c r="EI3225"/>
      <c r="EJ3225"/>
      <c r="EK3225"/>
    </row>
    <row r="3226" spans="1:141" s="116" customFormat="1">
      <c r="A3226" s="136"/>
      <c r="CM3226" s="111"/>
      <c r="CQ3226" s="111"/>
      <c r="EF3226"/>
      <c r="EG3226"/>
      <c r="EH3226"/>
      <c r="EI3226"/>
      <c r="EJ3226"/>
      <c r="EK3226"/>
    </row>
    <row r="3227" spans="1:141" s="116" customFormat="1">
      <c r="A3227" s="136"/>
      <c r="CM3227" s="111"/>
      <c r="CQ3227" s="111"/>
      <c r="EF3227"/>
      <c r="EG3227"/>
      <c r="EH3227"/>
      <c r="EI3227"/>
      <c r="EJ3227"/>
      <c r="EK3227"/>
    </row>
    <row r="3228" spans="1:141" s="116" customFormat="1">
      <c r="A3228" s="136"/>
      <c r="CM3228" s="111"/>
      <c r="CQ3228" s="111"/>
      <c r="EF3228"/>
      <c r="EG3228"/>
      <c r="EH3228"/>
      <c r="EI3228"/>
      <c r="EJ3228"/>
      <c r="EK3228"/>
    </row>
    <row r="3229" spans="1:141" s="116" customFormat="1">
      <c r="A3229" s="136"/>
      <c r="CM3229" s="111"/>
      <c r="CQ3229" s="111"/>
      <c r="EF3229"/>
      <c r="EG3229"/>
      <c r="EH3229"/>
      <c r="EI3229"/>
      <c r="EJ3229"/>
      <c r="EK3229"/>
    </row>
    <row r="3230" spans="1:141" s="116" customFormat="1">
      <c r="A3230" s="136"/>
      <c r="CM3230" s="111"/>
      <c r="CQ3230" s="111"/>
      <c r="EF3230"/>
      <c r="EG3230"/>
      <c r="EH3230"/>
      <c r="EI3230"/>
      <c r="EJ3230"/>
      <c r="EK3230"/>
    </row>
    <row r="3231" spans="1:141" s="116" customFormat="1">
      <c r="A3231" s="136"/>
      <c r="CM3231" s="111"/>
      <c r="CQ3231" s="111"/>
      <c r="EF3231"/>
      <c r="EG3231"/>
      <c r="EH3231"/>
      <c r="EI3231"/>
      <c r="EJ3231"/>
      <c r="EK3231"/>
    </row>
    <row r="3232" spans="1:141" s="116" customFormat="1">
      <c r="A3232" s="136"/>
      <c r="CM3232" s="111"/>
      <c r="CQ3232" s="111"/>
      <c r="EF3232"/>
      <c r="EG3232"/>
      <c r="EH3232"/>
      <c r="EI3232"/>
      <c r="EJ3232"/>
      <c r="EK3232"/>
    </row>
    <row r="3233" spans="1:141" s="116" customFormat="1">
      <c r="A3233" s="136"/>
      <c r="CM3233" s="111"/>
      <c r="CQ3233" s="111"/>
      <c r="EF3233"/>
      <c r="EG3233"/>
      <c r="EH3233"/>
      <c r="EI3233"/>
      <c r="EJ3233"/>
      <c r="EK3233"/>
    </row>
    <row r="3234" spans="1:141" s="116" customFormat="1">
      <c r="A3234" s="136"/>
      <c r="CM3234" s="111"/>
      <c r="CQ3234" s="111"/>
      <c r="EF3234"/>
      <c r="EG3234"/>
      <c r="EH3234"/>
      <c r="EI3234"/>
      <c r="EJ3234"/>
      <c r="EK3234"/>
    </row>
    <row r="3235" spans="1:141" s="116" customFormat="1">
      <c r="A3235" s="136"/>
      <c r="CM3235" s="111"/>
      <c r="CQ3235" s="111"/>
      <c r="EF3235"/>
      <c r="EG3235"/>
      <c r="EH3235"/>
      <c r="EI3235"/>
      <c r="EJ3235"/>
      <c r="EK3235"/>
    </row>
    <row r="3236" spans="1:141" s="116" customFormat="1">
      <c r="A3236" s="136"/>
      <c r="CM3236" s="111"/>
      <c r="CQ3236" s="111"/>
      <c r="EF3236"/>
      <c r="EG3236"/>
      <c r="EH3236"/>
      <c r="EI3236"/>
      <c r="EJ3236"/>
      <c r="EK3236"/>
    </row>
    <row r="3237" spans="1:141" s="116" customFormat="1">
      <c r="A3237" s="136"/>
      <c r="CM3237" s="111"/>
      <c r="CQ3237" s="111"/>
      <c r="EF3237"/>
      <c r="EG3237"/>
      <c r="EH3237"/>
      <c r="EI3237"/>
      <c r="EJ3237"/>
      <c r="EK3237"/>
    </row>
    <row r="3238" spans="1:141" s="116" customFormat="1">
      <c r="A3238" s="136"/>
      <c r="CM3238" s="111"/>
      <c r="CQ3238" s="111"/>
      <c r="EF3238"/>
      <c r="EG3238"/>
      <c r="EH3238"/>
      <c r="EI3238"/>
      <c r="EJ3238"/>
      <c r="EK3238"/>
    </row>
    <row r="3239" spans="1:141" s="116" customFormat="1">
      <c r="A3239" s="136"/>
      <c r="CM3239" s="111"/>
      <c r="CQ3239" s="111"/>
      <c r="EF3239"/>
      <c r="EG3239"/>
      <c r="EH3239"/>
      <c r="EI3239"/>
      <c r="EJ3239"/>
      <c r="EK3239"/>
    </row>
    <row r="3240" spans="1:141" s="116" customFormat="1">
      <c r="A3240" s="136"/>
      <c r="CM3240" s="111"/>
      <c r="CQ3240" s="111"/>
      <c r="EF3240"/>
      <c r="EG3240"/>
      <c r="EH3240"/>
      <c r="EI3240"/>
      <c r="EJ3240"/>
      <c r="EK3240"/>
    </row>
    <row r="3241" spans="1:141" s="116" customFormat="1">
      <c r="A3241" s="136"/>
      <c r="CM3241" s="111"/>
      <c r="CQ3241" s="111"/>
      <c r="EF3241"/>
      <c r="EG3241"/>
      <c r="EH3241"/>
      <c r="EI3241"/>
      <c r="EJ3241"/>
      <c r="EK3241"/>
    </row>
    <row r="3242" spans="1:141" s="116" customFormat="1">
      <c r="A3242" s="136"/>
      <c r="CM3242" s="111"/>
      <c r="CQ3242" s="111"/>
      <c r="EF3242"/>
      <c r="EG3242"/>
      <c r="EH3242"/>
      <c r="EI3242"/>
      <c r="EJ3242"/>
      <c r="EK3242"/>
    </row>
    <row r="3243" spans="1:141" s="116" customFormat="1">
      <c r="A3243" s="136"/>
      <c r="CM3243" s="111"/>
      <c r="CQ3243" s="111"/>
      <c r="EF3243"/>
      <c r="EG3243"/>
      <c r="EH3243"/>
      <c r="EI3243"/>
      <c r="EJ3243"/>
      <c r="EK3243"/>
    </row>
    <row r="3244" spans="1:141" s="116" customFormat="1">
      <c r="A3244" s="136"/>
      <c r="CM3244" s="111"/>
      <c r="CQ3244" s="111"/>
      <c r="EF3244"/>
      <c r="EG3244"/>
      <c r="EH3244"/>
      <c r="EI3244"/>
      <c r="EJ3244"/>
      <c r="EK3244"/>
    </row>
    <row r="3245" spans="1:141" s="116" customFormat="1">
      <c r="A3245" s="136"/>
      <c r="CM3245" s="111"/>
      <c r="CQ3245" s="111"/>
      <c r="EF3245"/>
      <c r="EG3245"/>
      <c r="EH3245"/>
      <c r="EI3245"/>
      <c r="EJ3245"/>
      <c r="EK3245"/>
    </row>
    <row r="3246" spans="1:141" s="116" customFormat="1">
      <c r="A3246" s="136"/>
      <c r="CM3246" s="111"/>
      <c r="CQ3246" s="111"/>
      <c r="EF3246"/>
      <c r="EG3246"/>
      <c r="EH3246"/>
      <c r="EI3246"/>
      <c r="EJ3246"/>
      <c r="EK3246"/>
    </row>
    <row r="3247" spans="1:141" s="116" customFormat="1">
      <c r="A3247" s="136"/>
      <c r="CM3247" s="111"/>
      <c r="CQ3247" s="111"/>
      <c r="EF3247"/>
      <c r="EG3247"/>
      <c r="EH3247"/>
      <c r="EI3247"/>
      <c r="EJ3247"/>
      <c r="EK3247"/>
    </row>
    <row r="3248" spans="1:141" s="116" customFormat="1">
      <c r="A3248" s="136"/>
      <c r="CM3248" s="111"/>
      <c r="CQ3248" s="111"/>
      <c r="EF3248"/>
      <c r="EG3248"/>
      <c r="EH3248"/>
      <c r="EI3248"/>
      <c r="EJ3248"/>
      <c r="EK3248"/>
    </row>
    <row r="3249" spans="1:141" s="116" customFormat="1">
      <c r="A3249" s="136"/>
      <c r="CM3249" s="111"/>
      <c r="CQ3249" s="111"/>
      <c r="EF3249"/>
      <c r="EG3249"/>
      <c r="EH3249"/>
      <c r="EI3249"/>
      <c r="EJ3249"/>
      <c r="EK3249"/>
    </row>
    <row r="3250" spans="1:141" s="116" customFormat="1">
      <c r="A3250" s="136"/>
      <c r="CM3250" s="111"/>
      <c r="CQ3250" s="111"/>
      <c r="EF3250"/>
      <c r="EG3250"/>
      <c r="EH3250"/>
      <c r="EI3250"/>
      <c r="EJ3250"/>
      <c r="EK3250"/>
    </row>
    <row r="3251" spans="1:141" s="116" customFormat="1">
      <c r="A3251" s="136"/>
      <c r="CM3251" s="111"/>
      <c r="CQ3251" s="111"/>
      <c r="EF3251"/>
      <c r="EG3251"/>
      <c r="EH3251"/>
      <c r="EI3251"/>
      <c r="EJ3251"/>
      <c r="EK3251"/>
    </row>
    <row r="3252" spans="1:141" s="116" customFormat="1">
      <c r="A3252" s="136"/>
      <c r="CM3252" s="111"/>
      <c r="CQ3252" s="111"/>
      <c r="EF3252"/>
      <c r="EG3252"/>
      <c r="EH3252"/>
      <c r="EI3252"/>
      <c r="EJ3252"/>
      <c r="EK3252"/>
    </row>
    <row r="3253" spans="1:141" s="116" customFormat="1">
      <c r="A3253" s="136"/>
      <c r="CM3253" s="111"/>
      <c r="CQ3253" s="111"/>
      <c r="EF3253"/>
      <c r="EG3253"/>
      <c r="EH3253"/>
      <c r="EI3253"/>
      <c r="EJ3253"/>
      <c r="EK3253"/>
    </row>
    <row r="3254" spans="1:141" s="116" customFormat="1">
      <c r="A3254" s="136"/>
      <c r="CM3254" s="111"/>
      <c r="CQ3254" s="111"/>
      <c r="EF3254"/>
      <c r="EG3254"/>
      <c r="EH3254"/>
      <c r="EI3254"/>
      <c r="EJ3254"/>
      <c r="EK3254"/>
    </row>
    <row r="3255" spans="1:141" s="116" customFormat="1">
      <c r="A3255" s="136"/>
      <c r="CM3255" s="111"/>
      <c r="CQ3255" s="111"/>
      <c r="EF3255"/>
      <c r="EG3255"/>
      <c r="EH3255"/>
      <c r="EI3255"/>
      <c r="EJ3255"/>
      <c r="EK3255"/>
    </row>
    <row r="3256" spans="1:141" s="116" customFormat="1">
      <c r="A3256" s="136"/>
      <c r="CM3256" s="111"/>
      <c r="CQ3256" s="111"/>
      <c r="EF3256"/>
      <c r="EG3256"/>
      <c r="EH3256"/>
      <c r="EI3256"/>
      <c r="EJ3256"/>
      <c r="EK3256"/>
    </row>
    <row r="3257" spans="1:141" s="116" customFormat="1">
      <c r="A3257" s="136"/>
      <c r="CM3257" s="111"/>
      <c r="CQ3257" s="111"/>
      <c r="EF3257"/>
      <c r="EG3257"/>
      <c r="EH3257"/>
      <c r="EI3257"/>
      <c r="EJ3257"/>
      <c r="EK3257"/>
    </row>
    <row r="3258" spans="1:141" s="116" customFormat="1">
      <c r="A3258" s="136"/>
      <c r="CM3258" s="111"/>
      <c r="CQ3258" s="111"/>
      <c r="EF3258"/>
      <c r="EG3258"/>
      <c r="EH3258"/>
      <c r="EI3258"/>
      <c r="EJ3258"/>
      <c r="EK3258"/>
    </row>
    <row r="3259" spans="1:141" s="116" customFormat="1">
      <c r="A3259" s="136"/>
      <c r="CM3259" s="111"/>
      <c r="CQ3259" s="111"/>
      <c r="EF3259"/>
      <c r="EG3259"/>
      <c r="EH3259"/>
      <c r="EI3259"/>
      <c r="EJ3259"/>
      <c r="EK3259"/>
    </row>
    <row r="3260" spans="1:141" s="116" customFormat="1">
      <c r="A3260" s="136"/>
      <c r="CM3260" s="111"/>
      <c r="CQ3260" s="111"/>
      <c r="EF3260"/>
      <c r="EG3260"/>
      <c r="EH3260"/>
      <c r="EI3260"/>
      <c r="EJ3260"/>
      <c r="EK3260"/>
    </row>
    <row r="3261" spans="1:141" s="116" customFormat="1">
      <c r="A3261" s="136"/>
      <c r="CM3261" s="111"/>
      <c r="CQ3261" s="111"/>
      <c r="EF3261"/>
      <c r="EG3261"/>
      <c r="EH3261"/>
      <c r="EI3261"/>
      <c r="EJ3261"/>
      <c r="EK3261"/>
    </row>
    <row r="3262" spans="1:141" s="116" customFormat="1">
      <c r="A3262" s="136"/>
      <c r="CM3262" s="111"/>
      <c r="CQ3262" s="111"/>
      <c r="EF3262"/>
      <c r="EG3262"/>
      <c r="EH3262"/>
      <c r="EI3262"/>
      <c r="EJ3262"/>
      <c r="EK3262"/>
    </row>
    <row r="3263" spans="1:141" s="116" customFormat="1">
      <c r="A3263" s="136"/>
      <c r="CM3263" s="111"/>
      <c r="CQ3263" s="111"/>
      <c r="EF3263"/>
      <c r="EG3263"/>
      <c r="EH3263"/>
      <c r="EI3263"/>
      <c r="EJ3263"/>
      <c r="EK3263"/>
    </row>
    <row r="3264" spans="1:141" s="116" customFormat="1">
      <c r="A3264" s="136"/>
      <c r="CM3264" s="111"/>
      <c r="CQ3264" s="111"/>
      <c r="EF3264"/>
      <c r="EG3264"/>
      <c r="EH3264"/>
      <c r="EI3264"/>
      <c r="EJ3264"/>
      <c r="EK3264"/>
    </row>
    <row r="3265" spans="1:141" s="116" customFormat="1">
      <c r="A3265" s="136"/>
      <c r="CM3265" s="111"/>
      <c r="CQ3265" s="111"/>
      <c r="EF3265"/>
      <c r="EG3265"/>
      <c r="EH3265"/>
      <c r="EI3265"/>
      <c r="EJ3265"/>
      <c r="EK3265"/>
    </row>
    <row r="3266" spans="1:141" s="116" customFormat="1">
      <c r="A3266" s="136"/>
      <c r="CM3266" s="111"/>
      <c r="CQ3266" s="111"/>
      <c r="EF3266"/>
      <c r="EG3266"/>
      <c r="EH3266"/>
      <c r="EI3266"/>
      <c r="EJ3266"/>
      <c r="EK3266"/>
    </row>
    <row r="3267" spans="1:141" s="116" customFormat="1">
      <c r="A3267" s="136"/>
      <c r="CM3267" s="111"/>
      <c r="CQ3267" s="111"/>
      <c r="EF3267"/>
      <c r="EG3267"/>
      <c r="EH3267"/>
      <c r="EI3267"/>
      <c r="EJ3267"/>
      <c r="EK3267"/>
    </row>
    <row r="3268" spans="1:141" s="116" customFormat="1">
      <c r="A3268" s="136"/>
      <c r="CM3268" s="111"/>
      <c r="CQ3268" s="111"/>
      <c r="EF3268"/>
      <c r="EG3268"/>
      <c r="EH3268"/>
      <c r="EI3268"/>
      <c r="EJ3268"/>
      <c r="EK3268"/>
    </row>
    <row r="3269" spans="1:141" s="116" customFormat="1">
      <c r="A3269" s="136"/>
      <c r="CM3269" s="111"/>
      <c r="CQ3269" s="111"/>
      <c r="EF3269"/>
      <c r="EG3269"/>
      <c r="EH3269"/>
      <c r="EI3269"/>
      <c r="EJ3269"/>
      <c r="EK3269"/>
    </row>
    <row r="3270" spans="1:141" s="116" customFormat="1">
      <c r="A3270" s="136"/>
      <c r="CM3270" s="111"/>
      <c r="CQ3270" s="111"/>
      <c r="EF3270"/>
      <c r="EG3270"/>
      <c r="EH3270"/>
      <c r="EI3270"/>
      <c r="EJ3270"/>
      <c r="EK3270"/>
    </row>
    <row r="3271" spans="1:141" s="116" customFormat="1">
      <c r="A3271" s="136"/>
      <c r="CM3271" s="111"/>
      <c r="CQ3271" s="111"/>
      <c r="EF3271"/>
      <c r="EG3271"/>
      <c r="EH3271"/>
      <c r="EI3271"/>
      <c r="EJ3271"/>
      <c r="EK3271"/>
    </row>
    <row r="3272" spans="1:141" s="116" customFormat="1">
      <c r="A3272" s="136"/>
      <c r="CM3272" s="111"/>
      <c r="CQ3272" s="111"/>
      <c r="EF3272"/>
      <c r="EG3272"/>
      <c r="EH3272"/>
      <c r="EI3272"/>
      <c r="EJ3272"/>
      <c r="EK3272"/>
    </row>
    <row r="3273" spans="1:141" s="116" customFormat="1">
      <c r="A3273" s="136"/>
      <c r="CM3273" s="111"/>
      <c r="CQ3273" s="111"/>
      <c r="EF3273"/>
      <c r="EG3273"/>
      <c r="EH3273"/>
      <c r="EI3273"/>
      <c r="EJ3273"/>
      <c r="EK3273"/>
    </row>
    <row r="3274" spans="1:141" s="116" customFormat="1">
      <c r="A3274" s="136"/>
      <c r="CM3274" s="111"/>
      <c r="CQ3274" s="111"/>
      <c r="EF3274"/>
      <c r="EG3274"/>
      <c r="EH3274"/>
      <c r="EI3274"/>
      <c r="EJ3274"/>
      <c r="EK3274"/>
    </row>
    <row r="3275" spans="1:141" s="116" customFormat="1">
      <c r="A3275" s="136"/>
      <c r="CM3275" s="111"/>
      <c r="CQ3275" s="111"/>
      <c r="EF3275"/>
      <c r="EG3275"/>
      <c r="EH3275"/>
      <c r="EI3275"/>
      <c r="EJ3275"/>
      <c r="EK3275"/>
    </row>
    <row r="3276" spans="1:141" s="116" customFormat="1">
      <c r="A3276" s="136"/>
      <c r="CM3276" s="111"/>
      <c r="CQ3276" s="111"/>
      <c r="EF3276"/>
      <c r="EG3276"/>
      <c r="EH3276"/>
      <c r="EI3276"/>
      <c r="EJ3276"/>
      <c r="EK3276"/>
    </row>
    <row r="3277" spans="1:141" s="116" customFormat="1">
      <c r="A3277" s="136"/>
      <c r="CM3277" s="111"/>
      <c r="CQ3277" s="111"/>
      <c r="EF3277"/>
      <c r="EG3277"/>
      <c r="EH3277"/>
      <c r="EI3277"/>
      <c r="EJ3277"/>
      <c r="EK3277"/>
    </row>
    <row r="3278" spans="1:141" s="116" customFormat="1">
      <c r="A3278" s="136"/>
      <c r="CM3278" s="111"/>
      <c r="CQ3278" s="111"/>
      <c r="EF3278"/>
      <c r="EG3278"/>
      <c r="EH3278"/>
      <c r="EI3278"/>
      <c r="EJ3278"/>
      <c r="EK3278"/>
    </row>
    <row r="3279" spans="1:141" s="116" customFormat="1">
      <c r="A3279" s="136"/>
      <c r="CM3279" s="111"/>
      <c r="CQ3279" s="111"/>
      <c r="EF3279"/>
      <c r="EG3279"/>
      <c r="EH3279"/>
      <c r="EI3279"/>
      <c r="EJ3279"/>
      <c r="EK3279"/>
    </row>
    <row r="3280" spans="1:141" s="116" customFormat="1">
      <c r="A3280" s="136"/>
      <c r="CM3280" s="111"/>
      <c r="CQ3280" s="111"/>
      <c r="EF3280"/>
      <c r="EG3280"/>
      <c r="EH3280"/>
      <c r="EI3280"/>
      <c r="EJ3280"/>
      <c r="EK3280"/>
    </row>
    <row r="3281" spans="1:141" s="116" customFormat="1">
      <c r="A3281" s="136"/>
      <c r="CM3281" s="111"/>
      <c r="CQ3281" s="111"/>
      <c r="EF3281"/>
      <c r="EG3281"/>
      <c r="EH3281"/>
      <c r="EI3281"/>
      <c r="EJ3281"/>
      <c r="EK3281"/>
    </row>
    <row r="3282" spans="1:141" s="116" customFormat="1">
      <c r="A3282" s="136"/>
      <c r="CM3282" s="111"/>
      <c r="CQ3282" s="111"/>
      <c r="EF3282"/>
      <c r="EG3282"/>
      <c r="EH3282"/>
      <c r="EI3282"/>
      <c r="EJ3282"/>
      <c r="EK3282"/>
    </row>
    <row r="3283" spans="1:141" s="116" customFormat="1">
      <c r="A3283" s="136"/>
      <c r="CM3283" s="111"/>
      <c r="CQ3283" s="111"/>
      <c r="EF3283"/>
      <c r="EG3283"/>
      <c r="EH3283"/>
      <c r="EI3283"/>
      <c r="EJ3283"/>
      <c r="EK3283"/>
    </row>
    <row r="3284" spans="1:141" s="116" customFormat="1">
      <c r="A3284" s="136"/>
      <c r="CM3284" s="111"/>
      <c r="CQ3284" s="111"/>
      <c r="EF3284"/>
      <c r="EG3284"/>
      <c r="EH3284"/>
      <c r="EI3284"/>
      <c r="EJ3284"/>
      <c r="EK3284"/>
    </row>
    <row r="3285" spans="1:141" s="116" customFormat="1">
      <c r="A3285" s="136"/>
      <c r="CM3285" s="111"/>
      <c r="CQ3285" s="111"/>
      <c r="EF3285"/>
      <c r="EG3285"/>
      <c r="EH3285"/>
      <c r="EI3285"/>
      <c r="EJ3285"/>
      <c r="EK3285"/>
    </row>
    <row r="3286" spans="1:141" s="116" customFormat="1">
      <c r="A3286" s="136"/>
      <c r="CM3286" s="111"/>
      <c r="CQ3286" s="111"/>
      <c r="EF3286"/>
      <c r="EG3286"/>
      <c r="EH3286"/>
      <c r="EI3286"/>
      <c r="EJ3286"/>
      <c r="EK3286"/>
    </row>
    <row r="3287" spans="1:141" s="116" customFormat="1">
      <c r="A3287" s="136"/>
      <c r="CM3287" s="111"/>
      <c r="CQ3287" s="111"/>
      <c r="EF3287"/>
      <c r="EG3287"/>
      <c r="EH3287"/>
      <c r="EI3287"/>
      <c r="EJ3287"/>
      <c r="EK3287"/>
    </row>
    <row r="3288" spans="1:141" s="116" customFormat="1">
      <c r="A3288" s="136"/>
      <c r="CM3288" s="111"/>
      <c r="CQ3288" s="111"/>
      <c r="EF3288"/>
      <c r="EG3288"/>
      <c r="EH3288"/>
      <c r="EI3288"/>
      <c r="EJ3288"/>
      <c r="EK3288"/>
    </row>
    <row r="3289" spans="1:141" s="116" customFormat="1">
      <c r="A3289" s="136"/>
      <c r="CM3289" s="111"/>
      <c r="CQ3289" s="111"/>
      <c r="EF3289"/>
      <c r="EG3289"/>
      <c r="EH3289"/>
      <c r="EI3289"/>
      <c r="EJ3289"/>
      <c r="EK3289"/>
    </row>
    <row r="3290" spans="1:141" s="116" customFormat="1">
      <c r="A3290" s="136"/>
      <c r="CM3290" s="111"/>
      <c r="CQ3290" s="111"/>
      <c r="EF3290"/>
      <c r="EG3290"/>
      <c r="EH3290"/>
      <c r="EI3290"/>
      <c r="EJ3290"/>
      <c r="EK3290"/>
    </row>
    <row r="3291" spans="1:141" s="116" customFormat="1">
      <c r="A3291" s="136"/>
      <c r="CM3291" s="111"/>
      <c r="CQ3291" s="111"/>
      <c r="EF3291"/>
      <c r="EG3291"/>
      <c r="EH3291"/>
      <c r="EI3291"/>
      <c r="EJ3291"/>
      <c r="EK3291"/>
    </row>
    <row r="3292" spans="1:141" s="116" customFormat="1">
      <c r="A3292" s="136"/>
      <c r="CM3292" s="111"/>
      <c r="CQ3292" s="111"/>
      <c r="EF3292"/>
      <c r="EG3292"/>
      <c r="EH3292"/>
      <c r="EI3292"/>
      <c r="EJ3292"/>
      <c r="EK3292"/>
    </row>
    <row r="3293" spans="1:141" s="116" customFormat="1">
      <c r="A3293" s="136"/>
      <c r="CM3293" s="111"/>
      <c r="CQ3293" s="111"/>
      <c r="EF3293"/>
      <c r="EG3293"/>
      <c r="EH3293"/>
      <c r="EI3293"/>
      <c r="EJ3293"/>
      <c r="EK3293"/>
    </row>
    <row r="3294" spans="1:141" s="116" customFormat="1">
      <c r="A3294" s="136"/>
      <c r="CM3294" s="111"/>
      <c r="CQ3294" s="111"/>
      <c r="EF3294"/>
      <c r="EG3294"/>
      <c r="EH3294"/>
      <c r="EI3294"/>
      <c r="EJ3294"/>
      <c r="EK3294"/>
    </row>
    <row r="3295" spans="1:141" s="116" customFormat="1">
      <c r="A3295" s="136"/>
      <c r="CM3295" s="111"/>
      <c r="CQ3295" s="111"/>
      <c r="EF3295"/>
      <c r="EG3295"/>
      <c r="EH3295"/>
      <c r="EI3295"/>
      <c r="EJ3295"/>
      <c r="EK3295"/>
    </row>
    <row r="3296" spans="1:141" s="116" customFormat="1">
      <c r="A3296" s="136"/>
      <c r="CM3296" s="111"/>
      <c r="CQ3296" s="111"/>
      <c r="EF3296"/>
      <c r="EG3296"/>
      <c r="EH3296"/>
      <c r="EI3296"/>
      <c r="EJ3296"/>
      <c r="EK3296"/>
    </row>
    <row r="3297" spans="1:141" s="116" customFormat="1">
      <c r="A3297" s="136"/>
      <c r="CM3297" s="111"/>
      <c r="CQ3297" s="111"/>
      <c r="EF3297"/>
      <c r="EG3297"/>
      <c r="EH3297"/>
      <c r="EI3297"/>
      <c r="EJ3297"/>
      <c r="EK3297"/>
    </row>
    <row r="3298" spans="1:141" s="116" customFormat="1">
      <c r="A3298" s="136"/>
      <c r="CM3298" s="111"/>
      <c r="CQ3298" s="111"/>
      <c r="EF3298"/>
      <c r="EG3298"/>
      <c r="EH3298"/>
      <c r="EI3298"/>
      <c r="EJ3298"/>
      <c r="EK3298"/>
    </row>
    <row r="3299" spans="1:141" s="116" customFormat="1">
      <c r="A3299" s="136"/>
      <c r="CM3299" s="111"/>
      <c r="CQ3299" s="111"/>
      <c r="EF3299"/>
      <c r="EG3299"/>
      <c r="EH3299"/>
      <c r="EI3299"/>
      <c r="EJ3299"/>
      <c r="EK3299"/>
    </row>
    <row r="3300" spans="1:141" s="116" customFormat="1">
      <c r="A3300" s="136"/>
      <c r="CM3300" s="111"/>
      <c r="CQ3300" s="111"/>
      <c r="EF3300"/>
      <c r="EG3300"/>
      <c r="EH3300"/>
      <c r="EI3300"/>
      <c r="EJ3300"/>
      <c r="EK3300"/>
    </row>
    <row r="3301" spans="1:141" s="116" customFormat="1">
      <c r="A3301" s="136"/>
      <c r="CM3301" s="111"/>
      <c r="CQ3301" s="111"/>
      <c r="EF3301"/>
      <c r="EG3301"/>
      <c r="EH3301"/>
      <c r="EI3301"/>
      <c r="EJ3301"/>
      <c r="EK3301"/>
    </row>
    <row r="3302" spans="1:141" s="116" customFormat="1">
      <c r="A3302" s="136"/>
      <c r="CM3302" s="111"/>
      <c r="CQ3302" s="111"/>
      <c r="EF3302"/>
      <c r="EG3302"/>
      <c r="EH3302"/>
      <c r="EI3302"/>
      <c r="EJ3302"/>
      <c r="EK3302"/>
    </row>
    <row r="3303" spans="1:141" s="116" customFormat="1">
      <c r="A3303" s="136"/>
      <c r="CM3303" s="111"/>
      <c r="CQ3303" s="111"/>
      <c r="EF3303"/>
      <c r="EG3303"/>
      <c r="EH3303"/>
      <c r="EI3303"/>
      <c r="EJ3303"/>
      <c r="EK3303"/>
    </row>
    <row r="3304" spans="1:141" s="116" customFormat="1">
      <c r="A3304" s="136"/>
      <c r="CM3304" s="111"/>
      <c r="CQ3304" s="111"/>
      <c r="EF3304"/>
      <c r="EG3304"/>
      <c r="EH3304"/>
      <c r="EI3304"/>
      <c r="EJ3304"/>
      <c r="EK3304"/>
    </row>
    <row r="3305" spans="1:141" s="116" customFormat="1">
      <c r="A3305" s="136"/>
      <c r="CM3305" s="111"/>
      <c r="CQ3305" s="111"/>
      <c r="EF3305"/>
      <c r="EG3305"/>
      <c r="EH3305"/>
      <c r="EI3305"/>
      <c r="EJ3305"/>
      <c r="EK3305"/>
    </row>
    <row r="3306" spans="1:141" s="116" customFormat="1">
      <c r="A3306" s="136"/>
      <c r="CM3306" s="111"/>
      <c r="CQ3306" s="111"/>
      <c r="EF3306"/>
      <c r="EG3306"/>
      <c r="EH3306"/>
      <c r="EI3306"/>
      <c r="EJ3306"/>
      <c r="EK3306"/>
    </row>
    <row r="3307" spans="1:141" s="116" customFormat="1">
      <c r="A3307" s="136"/>
      <c r="CM3307" s="111"/>
      <c r="CQ3307" s="111"/>
      <c r="EF3307"/>
      <c r="EG3307"/>
      <c r="EH3307"/>
      <c r="EI3307"/>
      <c r="EJ3307"/>
      <c r="EK3307"/>
    </row>
    <row r="3308" spans="1:141" s="116" customFormat="1">
      <c r="A3308" s="136"/>
      <c r="CM3308" s="111"/>
      <c r="CQ3308" s="111"/>
      <c r="EF3308"/>
      <c r="EG3308"/>
      <c r="EH3308"/>
      <c r="EI3308"/>
      <c r="EJ3308"/>
      <c r="EK3308"/>
    </row>
    <row r="3309" spans="1:141" s="116" customFormat="1">
      <c r="A3309" s="136"/>
      <c r="CM3309" s="111"/>
      <c r="CQ3309" s="111"/>
      <c r="EF3309"/>
      <c r="EG3309"/>
      <c r="EH3309"/>
      <c r="EI3309"/>
      <c r="EJ3309"/>
      <c r="EK3309"/>
    </row>
    <row r="3310" spans="1:141" s="116" customFormat="1">
      <c r="A3310" s="136"/>
      <c r="CM3310" s="111"/>
      <c r="CQ3310" s="111"/>
      <c r="EF3310"/>
      <c r="EG3310"/>
      <c r="EH3310"/>
      <c r="EI3310"/>
      <c r="EJ3310"/>
      <c r="EK3310"/>
    </row>
    <row r="3311" spans="1:141" s="116" customFormat="1">
      <c r="A3311" s="136"/>
      <c r="CM3311" s="111"/>
      <c r="CQ3311" s="111"/>
      <c r="EF3311"/>
      <c r="EG3311"/>
      <c r="EH3311"/>
      <c r="EI3311"/>
      <c r="EJ3311"/>
      <c r="EK3311"/>
    </row>
    <row r="3312" spans="1:141" s="116" customFormat="1">
      <c r="A3312" s="136"/>
      <c r="CM3312" s="111"/>
      <c r="CQ3312" s="111"/>
      <c r="EF3312"/>
      <c r="EG3312"/>
      <c r="EH3312"/>
      <c r="EI3312"/>
      <c r="EJ3312"/>
      <c r="EK3312"/>
    </row>
    <row r="3313" spans="1:141" s="116" customFormat="1">
      <c r="A3313" s="136"/>
      <c r="CM3313" s="111"/>
      <c r="CQ3313" s="111"/>
      <c r="EF3313"/>
      <c r="EG3313"/>
      <c r="EH3313"/>
      <c r="EI3313"/>
      <c r="EJ3313"/>
      <c r="EK3313"/>
    </row>
    <row r="3314" spans="1:141" s="116" customFormat="1">
      <c r="A3314" s="136"/>
      <c r="CM3314" s="111"/>
      <c r="CQ3314" s="111"/>
      <c r="EF3314"/>
      <c r="EG3314"/>
      <c r="EH3314"/>
      <c r="EI3314"/>
      <c r="EJ3314"/>
      <c r="EK3314"/>
    </row>
    <row r="3315" spans="1:141" s="116" customFormat="1">
      <c r="A3315" s="136"/>
      <c r="CM3315" s="111"/>
      <c r="CQ3315" s="111"/>
      <c r="EF3315"/>
      <c r="EG3315"/>
      <c r="EH3315"/>
      <c r="EI3315"/>
      <c r="EJ3315"/>
      <c r="EK3315"/>
    </row>
    <row r="3316" spans="1:141" s="116" customFormat="1">
      <c r="A3316" s="136"/>
      <c r="CM3316" s="111"/>
      <c r="CQ3316" s="111"/>
      <c r="EF3316"/>
      <c r="EG3316"/>
      <c r="EH3316"/>
      <c r="EI3316"/>
      <c r="EJ3316"/>
      <c r="EK3316"/>
    </row>
    <row r="3317" spans="1:141" s="116" customFormat="1">
      <c r="A3317" s="136"/>
      <c r="CM3317" s="111"/>
      <c r="CQ3317" s="111"/>
      <c r="EF3317"/>
      <c r="EG3317"/>
      <c r="EH3317"/>
      <c r="EI3317"/>
      <c r="EJ3317"/>
      <c r="EK3317"/>
    </row>
    <row r="3318" spans="1:141" s="116" customFormat="1">
      <c r="A3318" s="136"/>
      <c r="CM3318" s="111"/>
      <c r="CQ3318" s="111"/>
      <c r="EF3318"/>
      <c r="EG3318"/>
      <c r="EH3318"/>
      <c r="EI3318"/>
      <c r="EJ3318"/>
      <c r="EK3318"/>
    </row>
    <row r="3319" spans="1:141" s="116" customFormat="1">
      <c r="A3319" s="136"/>
      <c r="CM3319" s="111"/>
      <c r="CQ3319" s="111"/>
      <c r="EF3319"/>
      <c r="EG3319"/>
      <c r="EH3319"/>
      <c r="EI3319"/>
      <c r="EJ3319"/>
      <c r="EK3319"/>
    </row>
    <row r="3320" spans="1:141" s="116" customFormat="1">
      <c r="A3320" s="136"/>
      <c r="CM3320" s="111"/>
      <c r="CQ3320" s="111"/>
      <c r="EF3320"/>
      <c r="EG3320"/>
      <c r="EH3320"/>
      <c r="EI3320"/>
      <c r="EJ3320"/>
      <c r="EK3320"/>
    </row>
    <row r="3321" spans="1:141" s="116" customFormat="1">
      <c r="A3321" s="136"/>
      <c r="CM3321" s="111"/>
      <c r="CQ3321" s="111"/>
      <c r="EF3321"/>
      <c r="EG3321"/>
      <c r="EH3321"/>
      <c r="EI3321"/>
      <c r="EJ3321"/>
      <c r="EK3321"/>
    </row>
    <row r="3322" spans="1:141" s="116" customFormat="1">
      <c r="A3322" s="136"/>
      <c r="CM3322" s="111"/>
      <c r="CQ3322" s="111"/>
      <c r="EF3322"/>
      <c r="EG3322"/>
      <c r="EH3322"/>
      <c r="EI3322"/>
      <c r="EJ3322"/>
      <c r="EK3322"/>
    </row>
    <row r="3323" spans="1:141" s="116" customFormat="1">
      <c r="A3323" s="136"/>
      <c r="CM3323" s="111"/>
      <c r="CQ3323" s="111"/>
      <c r="EF3323"/>
      <c r="EG3323"/>
      <c r="EH3323"/>
      <c r="EI3323"/>
      <c r="EJ3323"/>
      <c r="EK3323"/>
    </row>
    <row r="3324" spans="1:141" s="116" customFormat="1">
      <c r="A3324" s="136"/>
      <c r="CM3324" s="111"/>
      <c r="CQ3324" s="111"/>
      <c r="EF3324"/>
      <c r="EG3324"/>
      <c r="EH3324"/>
      <c r="EI3324"/>
      <c r="EJ3324"/>
      <c r="EK3324"/>
    </row>
    <row r="3325" spans="1:141" s="116" customFormat="1">
      <c r="A3325" s="136"/>
      <c r="CM3325" s="111"/>
      <c r="CQ3325" s="111"/>
      <c r="EF3325"/>
      <c r="EG3325"/>
      <c r="EH3325"/>
      <c r="EI3325"/>
      <c r="EJ3325"/>
      <c r="EK3325"/>
    </row>
    <row r="3326" spans="1:141" s="116" customFormat="1">
      <c r="A3326" s="136"/>
      <c r="CM3326" s="111"/>
      <c r="CQ3326" s="111"/>
      <c r="EF3326"/>
      <c r="EG3326"/>
      <c r="EH3326"/>
      <c r="EI3326"/>
      <c r="EJ3326"/>
      <c r="EK3326"/>
    </row>
    <row r="3327" spans="1:141" s="116" customFormat="1">
      <c r="A3327" s="136"/>
      <c r="CM3327" s="111"/>
      <c r="CQ3327" s="111"/>
      <c r="EF3327"/>
      <c r="EG3327"/>
      <c r="EH3327"/>
      <c r="EI3327"/>
      <c r="EJ3327"/>
      <c r="EK3327"/>
    </row>
    <row r="3328" spans="1:141" s="116" customFormat="1">
      <c r="A3328" s="136"/>
      <c r="CM3328" s="111"/>
      <c r="CQ3328" s="111"/>
      <c r="EF3328"/>
      <c r="EG3328"/>
      <c r="EH3328"/>
      <c r="EI3328"/>
      <c r="EJ3328"/>
      <c r="EK3328"/>
    </row>
    <row r="3329" spans="1:141" s="116" customFormat="1">
      <c r="A3329" s="136"/>
      <c r="CM3329" s="111"/>
      <c r="CQ3329" s="111"/>
      <c r="EF3329"/>
      <c r="EG3329"/>
      <c r="EH3329"/>
      <c r="EI3329"/>
      <c r="EJ3329"/>
      <c r="EK3329"/>
    </row>
    <row r="3330" spans="1:141" s="116" customFormat="1">
      <c r="A3330" s="136"/>
      <c r="CM3330" s="111"/>
      <c r="CQ3330" s="111"/>
      <c r="EF3330"/>
      <c r="EG3330"/>
      <c r="EH3330"/>
      <c r="EI3330"/>
      <c r="EJ3330"/>
      <c r="EK3330"/>
    </row>
    <row r="3331" spans="1:141" s="116" customFormat="1">
      <c r="A3331" s="136"/>
      <c r="CM3331" s="111"/>
      <c r="CQ3331" s="111"/>
      <c r="EF3331"/>
      <c r="EG3331"/>
      <c r="EH3331"/>
      <c r="EI3331"/>
      <c r="EJ3331"/>
      <c r="EK3331"/>
    </row>
    <row r="3332" spans="1:141" s="116" customFormat="1">
      <c r="A3332" s="136"/>
      <c r="CM3332" s="111"/>
      <c r="CQ3332" s="111"/>
      <c r="EF3332"/>
      <c r="EG3332"/>
      <c r="EH3332"/>
      <c r="EI3332"/>
      <c r="EJ3332"/>
      <c r="EK3332"/>
    </row>
    <row r="3333" spans="1:141" s="116" customFormat="1">
      <c r="A3333" s="136"/>
      <c r="CM3333" s="111"/>
      <c r="CQ3333" s="111"/>
      <c r="EF3333"/>
      <c r="EG3333"/>
      <c r="EH3333"/>
      <c r="EI3333"/>
      <c r="EJ3333"/>
      <c r="EK3333"/>
    </row>
    <row r="3334" spans="1:141" s="116" customFormat="1">
      <c r="A3334" s="136"/>
      <c r="CM3334" s="111"/>
      <c r="CQ3334" s="111"/>
      <c r="EF3334"/>
      <c r="EG3334"/>
      <c r="EH3334"/>
      <c r="EI3334"/>
      <c r="EJ3334"/>
      <c r="EK3334"/>
    </row>
    <row r="3335" spans="1:141" s="116" customFormat="1">
      <c r="A3335" s="136"/>
      <c r="CM3335" s="111"/>
      <c r="CQ3335" s="111"/>
      <c r="EF3335"/>
      <c r="EG3335"/>
      <c r="EH3335"/>
      <c r="EI3335"/>
      <c r="EJ3335"/>
      <c r="EK3335"/>
    </row>
    <row r="3336" spans="1:141" s="116" customFormat="1">
      <c r="A3336" s="136"/>
      <c r="CM3336" s="111"/>
      <c r="CQ3336" s="111"/>
      <c r="EF3336"/>
      <c r="EG3336"/>
      <c r="EH3336"/>
      <c r="EI3336"/>
      <c r="EJ3336"/>
      <c r="EK3336"/>
    </row>
    <row r="3337" spans="1:141" s="116" customFormat="1">
      <c r="A3337" s="136"/>
      <c r="CM3337" s="111"/>
      <c r="CQ3337" s="111"/>
      <c r="EF3337"/>
      <c r="EG3337"/>
      <c r="EH3337"/>
      <c r="EI3337"/>
      <c r="EJ3337"/>
      <c r="EK3337"/>
    </row>
    <row r="3338" spans="1:141" s="116" customFormat="1">
      <c r="A3338" s="136"/>
      <c r="CM3338" s="111"/>
      <c r="CQ3338" s="111"/>
      <c r="EF3338"/>
      <c r="EG3338"/>
      <c r="EH3338"/>
      <c r="EI3338"/>
      <c r="EJ3338"/>
      <c r="EK3338"/>
    </row>
    <row r="3339" spans="1:141" s="116" customFormat="1">
      <c r="A3339" s="136"/>
      <c r="CM3339" s="111"/>
      <c r="CQ3339" s="111"/>
      <c r="EF3339"/>
      <c r="EG3339"/>
      <c r="EH3339"/>
      <c r="EI3339"/>
      <c r="EJ3339"/>
      <c r="EK3339"/>
    </row>
    <row r="3340" spans="1:141" s="116" customFormat="1">
      <c r="A3340" s="136"/>
      <c r="CM3340" s="111"/>
      <c r="CQ3340" s="111"/>
      <c r="EF3340"/>
      <c r="EG3340"/>
      <c r="EH3340"/>
      <c r="EI3340"/>
      <c r="EJ3340"/>
      <c r="EK3340"/>
    </row>
    <row r="3341" spans="1:141" s="116" customFormat="1">
      <c r="A3341" s="136"/>
      <c r="CM3341" s="111"/>
      <c r="CQ3341" s="111"/>
      <c r="EF3341"/>
      <c r="EG3341"/>
      <c r="EH3341"/>
      <c r="EI3341"/>
      <c r="EJ3341"/>
      <c r="EK3341"/>
    </row>
    <row r="3342" spans="1:141" s="116" customFormat="1">
      <c r="A3342" s="136"/>
      <c r="CM3342" s="111"/>
      <c r="CQ3342" s="111"/>
      <c r="EF3342"/>
      <c r="EG3342"/>
      <c r="EH3342"/>
      <c r="EI3342"/>
      <c r="EJ3342"/>
      <c r="EK3342"/>
    </row>
    <row r="3343" spans="1:141" s="116" customFormat="1">
      <c r="A3343" s="136"/>
      <c r="CM3343" s="111"/>
      <c r="CQ3343" s="111"/>
      <c r="EF3343"/>
      <c r="EG3343"/>
      <c r="EH3343"/>
      <c r="EI3343"/>
      <c r="EJ3343"/>
      <c r="EK3343"/>
    </row>
    <row r="3344" spans="1:141" s="116" customFormat="1">
      <c r="A3344" s="136"/>
      <c r="CM3344" s="111"/>
      <c r="CQ3344" s="111"/>
      <c r="EF3344"/>
      <c r="EG3344"/>
      <c r="EH3344"/>
      <c r="EI3344"/>
      <c r="EJ3344"/>
      <c r="EK3344"/>
    </row>
    <row r="3345" spans="1:141" s="116" customFormat="1">
      <c r="A3345" s="136"/>
      <c r="CM3345" s="111"/>
      <c r="CQ3345" s="111"/>
      <c r="EF3345"/>
      <c r="EG3345"/>
      <c r="EH3345"/>
      <c r="EI3345"/>
      <c r="EJ3345"/>
      <c r="EK3345"/>
    </row>
    <row r="3346" spans="1:141" s="116" customFormat="1">
      <c r="A3346" s="136"/>
      <c r="CM3346" s="111"/>
      <c r="CQ3346" s="111"/>
      <c r="EF3346"/>
      <c r="EG3346"/>
      <c r="EH3346"/>
      <c r="EI3346"/>
      <c r="EJ3346"/>
      <c r="EK3346"/>
    </row>
    <row r="3347" spans="1:141" s="116" customFormat="1">
      <c r="A3347" s="136"/>
      <c r="CM3347" s="111"/>
      <c r="CQ3347" s="111"/>
      <c r="EF3347"/>
      <c r="EG3347"/>
      <c r="EH3347"/>
      <c r="EI3347"/>
      <c r="EJ3347"/>
      <c r="EK3347"/>
    </row>
    <row r="3348" spans="1:141" s="116" customFormat="1">
      <c r="A3348" s="136"/>
      <c r="CM3348" s="111"/>
      <c r="CQ3348" s="111"/>
      <c r="EF3348"/>
      <c r="EG3348"/>
      <c r="EH3348"/>
      <c r="EI3348"/>
      <c r="EJ3348"/>
      <c r="EK3348"/>
    </row>
    <row r="3349" spans="1:141" s="116" customFormat="1">
      <c r="A3349" s="136"/>
      <c r="CM3349" s="111"/>
      <c r="CQ3349" s="111"/>
      <c r="EF3349"/>
      <c r="EG3349"/>
      <c r="EH3349"/>
      <c r="EI3349"/>
      <c r="EJ3349"/>
      <c r="EK3349"/>
    </row>
    <row r="3350" spans="1:141" s="116" customFormat="1">
      <c r="A3350" s="136"/>
      <c r="CM3350" s="111"/>
      <c r="CQ3350" s="111"/>
      <c r="EF3350"/>
      <c r="EG3350"/>
      <c r="EH3350"/>
      <c r="EI3350"/>
      <c r="EJ3350"/>
      <c r="EK3350"/>
    </row>
    <row r="3351" spans="1:141" s="116" customFormat="1">
      <c r="A3351" s="136"/>
      <c r="CM3351" s="111"/>
      <c r="CQ3351" s="111"/>
      <c r="EF3351"/>
      <c r="EG3351"/>
      <c r="EH3351"/>
      <c r="EI3351"/>
      <c r="EJ3351"/>
      <c r="EK3351"/>
    </row>
    <row r="3352" spans="1:141" s="116" customFormat="1">
      <c r="A3352" s="136"/>
      <c r="CM3352" s="111"/>
      <c r="CQ3352" s="111"/>
      <c r="EF3352"/>
      <c r="EG3352"/>
      <c r="EH3352"/>
      <c r="EI3352"/>
      <c r="EJ3352"/>
      <c r="EK3352"/>
    </row>
    <row r="3353" spans="1:141" s="116" customFormat="1">
      <c r="A3353" s="136"/>
      <c r="CM3353" s="111"/>
      <c r="CQ3353" s="111"/>
      <c r="EF3353"/>
      <c r="EG3353"/>
      <c r="EH3353"/>
      <c r="EI3353"/>
      <c r="EJ3353"/>
      <c r="EK3353"/>
    </row>
    <row r="3354" spans="1:141" s="116" customFormat="1">
      <c r="A3354" s="136"/>
      <c r="CM3354" s="111"/>
      <c r="CQ3354" s="111"/>
      <c r="EF3354"/>
      <c r="EG3354"/>
      <c r="EH3354"/>
      <c r="EI3354"/>
      <c r="EJ3354"/>
      <c r="EK3354"/>
    </row>
    <row r="3355" spans="1:141" s="116" customFormat="1">
      <c r="A3355" s="136"/>
      <c r="CM3355" s="111"/>
      <c r="CQ3355" s="111"/>
      <c r="EF3355"/>
      <c r="EG3355"/>
      <c r="EH3355"/>
      <c r="EI3355"/>
      <c r="EJ3355"/>
      <c r="EK3355"/>
    </row>
    <row r="3356" spans="1:141" s="116" customFormat="1">
      <c r="A3356" s="136"/>
      <c r="CM3356" s="111"/>
      <c r="CQ3356" s="111"/>
      <c r="EF3356"/>
      <c r="EG3356"/>
      <c r="EH3356"/>
      <c r="EI3356"/>
      <c r="EJ3356"/>
      <c r="EK3356"/>
    </row>
    <row r="3357" spans="1:141" s="116" customFormat="1">
      <c r="A3357" s="136"/>
      <c r="CM3357" s="111"/>
      <c r="CQ3357" s="111"/>
      <c r="EF3357"/>
      <c r="EG3357"/>
      <c r="EH3357"/>
      <c r="EI3357"/>
      <c r="EJ3357"/>
      <c r="EK3357"/>
    </row>
    <row r="3358" spans="1:141" s="116" customFormat="1">
      <c r="A3358" s="136"/>
      <c r="CM3358" s="111"/>
      <c r="CQ3358" s="111"/>
      <c r="EF3358"/>
      <c r="EG3358"/>
      <c r="EH3358"/>
      <c r="EI3358"/>
      <c r="EJ3358"/>
      <c r="EK3358"/>
    </row>
    <row r="3359" spans="1:141" s="116" customFormat="1">
      <c r="A3359" s="136"/>
      <c r="CM3359" s="111"/>
      <c r="CQ3359" s="111"/>
      <c r="EF3359"/>
      <c r="EG3359"/>
      <c r="EH3359"/>
      <c r="EI3359"/>
      <c r="EJ3359"/>
      <c r="EK3359"/>
    </row>
    <row r="3360" spans="1:141" s="116" customFormat="1">
      <c r="A3360" s="136"/>
      <c r="CM3360" s="111"/>
      <c r="CQ3360" s="111"/>
      <c r="EF3360"/>
      <c r="EG3360"/>
      <c r="EH3360"/>
      <c r="EI3360"/>
      <c r="EJ3360"/>
      <c r="EK3360"/>
    </row>
    <row r="3361" spans="1:141" s="116" customFormat="1">
      <c r="A3361" s="136"/>
      <c r="CM3361" s="111"/>
      <c r="CQ3361" s="111"/>
      <c r="EF3361"/>
      <c r="EG3361"/>
      <c r="EH3361"/>
      <c r="EI3361"/>
      <c r="EJ3361"/>
      <c r="EK3361"/>
    </row>
    <row r="3362" spans="1:141" s="116" customFormat="1">
      <c r="A3362" s="136"/>
      <c r="CM3362" s="111"/>
      <c r="CQ3362" s="111"/>
      <c r="EF3362"/>
      <c r="EG3362"/>
      <c r="EH3362"/>
      <c r="EI3362"/>
      <c r="EJ3362"/>
      <c r="EK3362"/>
    </row>
    <row r="3363" spans="1:141" s="116" customFormat="1">
      <c r="A3363" s="136"/>
      <c r="CM3363" s="111"/>
      <c r="CQ3363" s="111"/>
      <c r="EF3363"/>
      <c r="EG3363"/>
      <c r="EH3363"/>
      <c r="EI3363"/>
      <c r="EJ3363"/>
      <c r="EK3363"/>
    </row>
    <row r="3364" spans="1:141" s="116" customFormat="1">
      <c r="A3364" s="136"/>
      <c r="CM3364" s="111"/>
      <c r="CQ3364" s="111"/>
      <c r="EF3364"/>
      <c r="EG3364"/>
      <c r="EH3364"/>
      <c r="EI3364"/>
      <c r="EJ3364"/>
      <c r="EK3364"/>
    </row>
    <row r="3365" spans="1:141" s="116" customFormat="1">
      <c r="A3365" s="136"/>
      <c r="CM3365" s="111"/>
      <c r="CQ3365" s="111"/>
      <c r="EF3365"/>
      <c r="EG3365"/>
      <c r="EH3365"/>
      <c r="EI3365"/>
      <c r="EJ3365"/>
      <c r="EK3365"/>
    </row>
    <row r="3366" spans="1:141" s="116" customFormat="1">
      <c r="A3366" s="136"/>
      <c r="CM3366" s="111"/>
      <c r="CQ3366" s="111"/>
      <c r="EF3366"/>
      <c r="EG3366"/>
      <c r="EH3366"/>
      <c r="EI3366"/>
      <c r="EJ3366"/>
      <c r="EK3366"/>
    </row>
    <row r="3367" spans="1:141" s="116" customFormat="1">
      <c r="A3367" s="136"/>
      <c r="CM3367" s="111"/>
      <c r="CQ3367" s="111"/>
      <c r="EF3367"/>
      <c r="EG3367"/>
      <c r="EH3367"/>
      <c r="EI3367"/>
      <c r="EJ3367"/>
      <c r="EK3367"/>
    </row>
    <row r="3368" spans="1:141" s="116" customFormat="1">
      <c r="A3368" s="136"/>
      <c r="CM3368" s="111"/>
      <c r="CQ3368" s="111"/>
      <c r="EF3368"/>
      <c r="EG3368"/>
      <c r="EH3368"/>
      <c r="EI3368"/>
      <c r="EJ3368"/>
      <c r="EK3368"/>
    </row>
    <row r="3369" spans="1:141" s="116" customFormat="1">
      <c r="A3369" s="136"/>
      <c r="CM3369" s="111"/>
      <c r="CQ3369" s="111"/>
      <c r="EF3369"/>
      <c r="EG3369"/>
      <c r="EH3369"/>
      <c r="EI3369"/>
      <c r="EJ3369"/>
      <c r="EK3369"/>
    </row>
    <row r="3370" spans="1:141" s="116" customFormat="1">
      <c r="A3370" s="136"/>
      <c r="CM3370" s="111"/>
      <c r="CQ3370" s="111"/>
      <c r="EF3370"/>
      <c r="EG3370"/>
      <c r="EH3370"/>
      <c r="EI3370"/>
      <c r="EJ3370"/>
      <c r="EK3370"/>
    </row>
    <row r="3371" spans="1:141" s="116" customFormat="1">
      <c r="A3371" s="136"/>
      <c r="CM3371" s="111"/>
      <c r="CQ3371" s="111"/>
      <c r="EF3371"/>
      <c r="EG3371"/>
      <c r="EH3371"/>
      <c r="EI3371"/>
      <c r="EJ3371"/>
      <c r="EK3371"/>
    </row>
    <row r="3372" spans="1:141" s="116" customFormat="1">
      <c r="A3372" s="136"/>
      <c r="CM3372" s="111"/>
      <c r="CQ3372" s="111"/>
      <c r="EF3372"/>
      <c r="EG3372"/>
      <c r="EH3372"/>
      <c r="EI3372"/>
      <c r="EJ3372"/>
      <c r="EK3372"/>
    </row>
    <row r="3373" spans="1:141" s="116" customFormat="1">
      <c r="A3373" s="136"/>
      <c r="CM3373" s="111"/>
      <c r="CQ3373" s="111"/>
      <c r="EF3373"/>
      <c r="EG3373"/>
      <c r="EH3373"/>
      <c r="EI3373"/>
      <c r="EJ3373"/>
      <c r="EK3373"/>
    </row>
    <row r="3374" spans="1:141" s="116" customFormat="1">
      <c r="A3374" s="136"/>
      <c r="CM3374" s="111"/>
      <c r="CQ3374" s="111"/>
      <c r="EF3374"/>
      <c r="EG3374"/>
      <c r="EH3374"/>
      <c r="EI3374"/>
      <c r="EJ3374"/>
      <c r="EK3374"/>
    </row>
    <row r="3375" spans="1:141" s="116" customFormat="1">
      <c r="A3375" s="136"/>
      <c r="CM3375" s="111"/>
      <c r="CQ3375" s="111"/>
      <c r="EF3375"/>
      <c r="EG3375"/>
      <c r="EH3375"/>
      <c r="EI3375"/>
      <c r="EJ3375"/>
      <c r="EK3375"/>
    </row>
    <row r="3376" spans="1:141" s="116" customFormat="1">
      <c r="A3376" s="136"/>
      <c r="CM3376" s="111"/>
      <c r="CQ3376" s="111"/>
      <c r="EF3376"/>
      <c r="EG3376"/>
      <c r="EH3376"/>
      <c r="EI3376"/>
      <c r="EJ3376"/>
      <c r="EK3376"/>
    </row>
    <row r="3377" spans="1:141" s="116" customFormat="1">
      <c r="A3377" s="136"/>
      <c r="CM3377" s="111"/>
      <c r="CQ3377" s="111"/>
      <c r="EF3377"/>
      <c r="EG3377"/>
      <c r="EH3377"/>
      <c r="EI3377"/>
      <c r="EJ3377"/>
      <c r="EK3377"/>
    </row>
    <row r="3378" spans="1:141" s="116" customFormat="1">
      <c r="A3378" s="136"/>
      <c r="CM3378" s="111"/>
      <c r="CQ3378" s="111"/>
      <c r="EF3378"/>
      <c r="EG3378"/>
      <c r="EH3378"/>
      <c r="EI3378"/>
      <c r="EJ3378"/>
      <c r="EK3378"/>
    </row>
    <row r="3379" spans="1:141" s="116" customFormat="1">
      <c r="A3379" s="136"/>
      <c r="CM3379" s="111"/>
      <c r="CQ3379" s="111"/>
      <c r="EF3379"/>
      <c r="EG3379"/>
      <c r="EH3379"/>
      <c r="EI3379"/>
      <c r="EJ3379"/>
      <c r="EK3379"/>
    </row>
    <row r="3380" spans="1:141" s="116" customFormat="1">
      <c r="A3380" s="136"/>
      <c r="CM3380" s="111"/>
      <c r="CQ3380" s="111"/>
      <c r="EF3380"/>
      <c r="EG3380"/>
      <c r="EH3380"/>
      <c r="EI3380"/>
      <c r="EJ3380"/>
      <c r="EK3380"/>
    </row>
    <row r="3381" spans="1:141" s="116" customFormat="1">
      <c r="A3381" s="136"/>
      <c r="CM3381" s="111"/>
      <c r="CQ3381" s="111"/>
      <c r="EF3381"/>
      <c r="EG3381"/>
      <c r="EH3381"/>
      <c r="EI3381"/>
      <c r="EJ3381"/>
      <c r="EK3381"/>
    </row>
    <row r="3382" spans="1:141" s="116" customFormat="1">
      <c r="A3382" s="136"/>
      <c r="CM3382" s="111"/>
      <c r="CQ3382" s="111"/>
      <c r="EF3382"/>
      <c r="EG3382"/>
      <c r="EH3382"/>
      <c r="EI3382"/>
      <c r="EJ3382"/>
      <c r="EK3382"/>
    </row>
    <row r="3383" spans="1:141" s="116" customFormat="1">
      <c r="A3383" s="136"/>
      <c r="CM3383" s="111"/>
      <c r="CQ3383" s="111"/>
      <c r="EF3383"/>
      <c r="EG3383"/>
      <c r="EH3383"/>
      <c r="EI3383"/>
      <c r="EJ3383"/>
      <c r="EK3383"/>
    </row>
    <row r="3384" spans="1:141" s="116" customFormat="1">
      <c r="A3384" s="136"/>
      <c r="CM3384" s="111"/>
      <c r="CQ3384" s="111"/>
      <c r="EF3384"/>
      <c r="EG3384"/>
      <c r="EH3384"/>
      <c r="EI3384"/>
      <c r="EJ3384"/>
      <c r="EK3384"/>
    </row>
    <row r="3385" spans="1:141" s="116" customFormat="1">
      <c r="A3385" s="136"/>
      <c r="CM3385" s="111"/>
      <c r="CQ3385" s="111"/>
      <c r="EF3385"/>
      <c r="EG3385"/>
      <c r="EH3385"/>
      <c r="EI3385"/>
      <c r="EJ3385"/>
      <c r="EK3385"/>
    </row>
    <row r="3386" spans="1:141" s="116" customFormat="1">
      <c r="A3386" s="136"/>
      <c r="CM3386" s="111"/>
      <c r="CQ3386" s="111"/>
      <c r="EF3386"/>
      <c r="EG3386"/>
      <c r="EH3386"/>
      <c r="EI3386"/>
      <c r="EJ3386"/>
      <c r="EK3386"/>
    </row>
    <row r="3387" spans="1:141" s="116" customFormat="1">
      <c r="A3387" s="136"/>
      <c r="CM3387" s="111"/>
      <c r="CQ3387" s="111"/>
      <c r="EF3387"/>
      <c r="EG3387"/>
      <c r="EH3387"/>
      <c r="EI3387"/>
      <c r="EJ3387"/>
      <c r="EK3387"/>
    </row>
    <row r="3388" spans="1:141" s="116" customFormat="1">
      <c r="A3388" s="136"/>
      <c r="CM3388" s="111"/>
      <c r="CQ3388" s="111"/>
      <c r="EF3388"/>
      <c r="EG3388"/>
      <c r="EH3388"/>
      <c r="EI3388"/>
      <c r="EJ3388"/>
      <c r="EK3388"/>
    </row>
    <row r="3389" spans="1:141" s="116" customFormat="1">
      <c r="A3389" s="136"/>
      <c r="CM3389" s="111"/>
      <c r="CQ3389" s="111"/>
      <c r="EF3389"/>
      <c r="EG3389"/>
      <c r="EH3389"/>
      <c r="EI3389"/>
      <c r="EJ3389"/>
      <c r="EK3389"/>
    </row>
    <row r="3390" spans="1:141" s="116" customFormat="1">
      <c r="A3390" s="136"/>
      <c r="CM3390" s="111"/>
      <c r="CQ3390" s="111"/>
      <c r="EF3390"/>
      <c r="EG3390"/>
      <c r="EH3390"/>
      <c r="EI3390"/>
      <c r="EJ3390"/>
      <c r="EK3390"/>
    </row>
    <row r="3391" spans="1:141" s="116" customFormat="1">
      <c r="A3391" s="136"/>
      <c r="CM3391" s="111"/>
      <c r="CQ3391" s="111"/>
      <c r="EF3391"/>
      <c r="EG3391"/>
      <c r="EH3391"/>
      <c r="EI3391"/>
      <c r="EJ3391"/>
      <c r="EK3391"/>
    </row>
    <row r="3392" spans="1:141" s="116" customFormat="1">
      <c r="A3392" s="136"/>
      <c r="CM3392" s="111"/>
      <c r="CQ3392" s="111"/>
      <c r="EF3392"/>
      <c r="EG3392"/>
      <c r="EH3392"/>
      <c r="EI3392"/>
      <c r="EJ3392"/>
      <c r="EK3392"/>
    </row>
    <row r="3393" spans="1:141" s="116" customFormat="1">
      <c r="A3393" s="136"/>
      <c r="CM3393" s="111"/>
      <c r="CQ3393" s="111"/>
      <c r="EF3393"/>
      <c r="EG3393"/>
      <c r="EH3393"/>
      <c r="EI3393"/>
      <c r="EJ3393"/>
      <c r="EK3393"/>
    </row>
    <row r="3394" spans="1:141" s="116" customFormat="1">
      <c r="A3394" s="136"/>
      <c r="CM3394" s="111"/>
      <c r="CQ3394" s="111"/>
      <c r="EF3394"/>
      <c r="EG3394"/>
      <c r="EH3394"/>
      <c r="EI3394"/>
      <c r="EJ3394"/>
      <c r="EK3394"/>
    </row>
    <row r="3395" spans="1:141" s="116" customFormat="1">
      <c r="A3395" s="136"/>
      <c r="CM3395" s="111"/>
      <c r="CQ3395" s="111"/>
      <c r="EF3395"/>
      <c r="EG3395"/>
      <c r="EH3395"/>
      <c r="EI3395"/>
      <c r="EJ3395"/>
      <c r="EK3395"/>
    </row>
    <row r="3396" spans="1:141" s="116" customFormat="1">
      <c r="A3396" s="136"/>
      <c r="CM3396" s="111"/>
      <c r="CQ3396" s="111"/>
      <c r="EF3396"/>
      <c r="EG3396"/>
      <c r="EH3396"/>
      <c r="EI3396"/>
      <c r="EJ3396"/>
      <c r="EK3396"/>
    </row>
    <row r="3397" spans="1:141" s="116" customFormat="1">
      <c r="A3397" s="136"/>
      <c r="CM3397" s="111"/>
      <c r="CQ3397" s="111"/>
      <c r="EF3397"/>
      <c r="EG3397"/>
      <c r="EH3397"/>
      <c r="EI3397"/>
      <c r="EJ3397"/>
      <c r="EK3397"/>
    </row>
    <row r="3398" spans="1:141" s="116" customFormat="1">
      <c r="A3398" s="136"/>
      <c r="CM3398" s="111"/>
      <c r="CQ3398" s="111"/>
      <c r="EF3398"/>
      <c r="EG3398"/>
      <c r="EH3398"/>
      <c r="EI3398"/>
      <c r="EJ3398"/>
      <c r="EK3398"/>
    </row>
    <row r="3399" spans="1:141" s="116" customFormat="1">
      <c r="A3399" s="136"/>
      <c r="CM3399" s="111"/>
      <c r="CQ3399" s="111"/>
      <c r="EF3399"/>
      <c r="EG3399"/>
      <c r="EH3399"/>
      <c r="EI3399"/>
      <c r="EJ3399"/>
      <c r="EK3399"/>
    </row>
    <row r="3400" spans="1:141" s="116" customFormat="1">
      <c r="A3400" s="136"/>
      <c r="CM3400" s="111"/>
      <c r="CQ3400" s="111"/>
      <c r="EF3400"/>
      <c r="EG3400"/>
      <c r="EH3400"/>
      <c r="EI3400"/>
      <c r="EJ3400"/>
      <c r="EK3400"/>
    </row>
    <row r="3401" spans="1:141" s="116" customFormat="1">
      <c r="A3401" s="136"/>
      <c r="CM3401" s="111"/>
      <c r="CQ3401" s="111"/>
      <c r="EF3401"/>
      <c r="EG3401"/>
      <c r="EH3401"/>
      <c r="EI3401"/>
      <c r="EJ3401"/>
      <c r="EK3401"/>
    </row>
    <row r="3402" spans="1:141" s="116" customFormat="1">
      <c r="A3402" s="136"/>
      <c r="CM3402" s="111"/>
      <c r="CQ3402" s="111"/>
      <c r="EF3402"/>
      <c r="EG3402"/>
      <c r="EH3402"/>
      <c r="EI3402"/>
      <c r="EJ3402"/>
      <c r="EK3402"/>
    </row>
    <row r="3403" spans="1:141" s="116" customFormat="1">
      <c r="A3403" s="136"/>
      <c r="CM3403" s="111"/>
      <c r="CQ3403" s="111"/>
      <c r="EF3403"/>
      <c r="EG3403"/>
      <c r="EH3403"/>
      <c r="EI3403"/>
      <c r="EJ3403"/>
      <c r="EK3403"/>
    </row>
    <row r="3404" spans="1:141" s="116" customFormat="1">
      <c r="A3404" s="136"/>
      <c r="CM3404" s="111"/>
      <c r="CQ3404" s="111"/>
      <c r="EF3404"/>
      <c r="EG3404"/>
      <c r="EH3404"/>
      <c r="EI3404"/>
      <c r="EJ3404"/>
      <c r="EK3404"/>
    </row>
    <row r="3405" spans="1:141" s="116" customFormat="1">
      <c r="A3405" s="136"/>
      <c r="CM3405" s="111"/>
      <c r="CQ3405" s="111"/>
      <c r="EF3405"/>
      <c r="EG3405"/>
      <c r="EH3405"/>
      <c r="EI3405"/>
      <c r="EJ3405"/>
      <c r="EK3405"/>
    </row>
    <row r="3406" spans="1:141" s="116" customFormat="1">
      <c r="A3406" s="136"/>
      <c r="CM3406" s="111"/>
      <c r="CQ3406" s="111"/>
      <c r="EF3406"/>
      <c r="EG3406"/>
      <c r="EH3406"/>
      <c r="EI3406"/>
      <c r="EJ3406"/>
      <c r="EK3406"/>
    </row>
    <row r="3407" spans="1:141" s="116" customFormat="1">
      <c r="A3407" s="136"/>
      <c r="CM3407" s="111"/>
      <c r="CQ3407" s="111"/>
      <c r="EF3407"/>
      <c r="EG3407"/>
      <c r="EH3407"/>
      <c r="EI3407"/>
      <c r="EJ3407"/>
      <c r="EK3407"/>
    </row>
    <row r="3408" spans="1:141" s="116" customFormat="1">
      <c r="A3408" s="136"/>
      <c r="CM3408" s="111"/>
      <c r="CQ3408" s="111"/>
      <c r="EF3408"/>
      <c r="EG3408"/>
      <c r="EH3408"/>
      <c r="EI3408"/>
      <c r="EJ3408"/>
      <c r="EK3408"/>
    </row>
    <row r="3409" spans="1:141" s="116" customFormat="1">
      <c r="A3409" s="136"/>
      <c r="CM3409" s="111"/>
      <c r="CQ3409" s="111"/>
      <c r="EF3409"/>
      <c r="EG3409"/>
      <c r="EH3409"/>
      <c r="EI3409"/>
      <c r="EJ3409"/>
      <c r="EK3409"/>
    </row>
    <row r="3410" spans="1:141" s="116" customFormat="1">
      <c r="A3410" s="136"/>
      <c r="CM3410" s="111"/>
      <c r="CQ3410" s="111"/>
      <c r="EF3410"/>
      <c r="EG3410"/>
      <c r="EH3410"/>
      <c r="EI3410"/>
      <c r="EJ3410"/>
      <c r="EK3410"/>
    </row>
    <row r="3411" spans="1:141" s="116" customFormat="1">
      <c r="A3411" s="136"/>
      <c r="CM3411" s="111"/>
      <c r="CQ3411" s="111"/>
      <c r="EF3411"/>
      <c r="EG3411"/>
      <c r="EH3411"/>
      <c r="EI3411"/>
      <c r="EJ3411"/>
      <c r="EK3411"/>
    </row>
    <row r="3412" spans="1:141" s="116" customFormat="1">
      <c r="A3412" s="136"/>
      <c r="CM3412" s="111"/>
      <c r="CQ3412" s="111"/>
      <c r="EF3412"/>
      <c r="EG3412"/>
      <c r="EH3412"/>
      <c r="EI3412"/>
      <c r="EJ3412"/>
      <c r="EK3412"/>
    </row>
    <row r="3413" spans="1:141" s="116" customFormat="1">
      <c r="A3413" s="136"/>
      <c r="CM3413" s="111"/>
      <c r="CQ3413" s="111"/>
      <c r="EF3413"/>
      <c r="EG3413"/>
      <c r="EH3413"/>
      <c r="EI3413"/>
      <c r="EJ3413"/>
      <c r="EK3413"/>
    </row>
    <row r="3414" spans="1:141" s="116" customFormat="1">
      <c r="A3414" s="136"/>
      <c r="CM3414" s="111"/>
      <c r="CQ3414" s="111"/>
      <c r="EF3414"/>
      <c r="EG3414"/>
      <c r="EH3414"/>
      <c r="EI3414"/>
      <c r="EJ3414"/>
      <c r="EK3414"/>
    </row>
    <row r="3415" spans="1:141" s="116" customFormat="1">
      <c r="A3415" s="136"/>
      <c r="CM3415" s="111"/>
      <c r="CQ3415" s="111"/>
      <c r="EF3415"/>
      <c r="EG3415"/>
      <c r="EH3415"/>
      <c r="EI3415"/>
      <c r="EJ3415"/>
      <c r="EK3415"/>
    </row>
    <row r="3416" spans="1:141" s="116" customFormat="1">
      <c r="A3416" s="136"/>
      <c r="CM3416" s="111"/>
      <c r="CQ3416" s="111"/>
      <c r="EF3416"/>
      <c r="EG3416"/>
      <c r="EH3416"/>
      <c r="EI3416"/>
      <c r="EJ3416"/>
      <c r="EK3416"/>
    </row>
    <row r="3417" spans="1:141" s="116" customFormat="1">
      <c r="A3417" s="136"/>
      <c r="CM3417" s="111"/>
      <c r="CQ3417" s="111"/>
      <c r="EF3417"/>
      <c r="EG3417"/>
      <c r="EH3417"/>
      <c r="EI3417"/>
      <c r="EJ3417"/>
      <c r="EK3417"/>
    </row>
    <row r="3418" spans="1:141" s="116" customFormat="1">
      <c r="A3418" s="136"/>
      <c r="CM3418" s="111"/>
      <c r="CQ3418" s="111"/>
      <c r="EF3418"/>
      <c r="EG3418"/>
      <c r="EH3418"/>
      <c r="EI3418"/>
      <c r="EJ3418"/>
      <c r="EK3418"/>
    </row>
    <row r="3419" spans="1:141" s="116" customFormat="1">
      <c r="A3419" s="136"/>
      <c r="CM3419" s="111"/>
      <c r="CQ3419" s="111"/>
      <c r="EF3419"/>
      <c r="EG3419"/>
      <c r="EH3419"/>
      <c r="EI3419"/>
      <c r="EJ3419"/>
      <c r="EK3419"/>
    </row>
    <row r="3420" spans="1:141" s="116" customFormat="1">
      <c r="A3420" s="136"/>
      <c r="CM3420" s="111"/>
      <c r="CQ3420" s="111"/>
      <c r="EF3420"/>
      <c r="EG3420"/>
      <c r="EH3420"/>
      <c r="EI3420"/>
      <c r="EJ3420"/>
      <c r="EK3420"/>
    </row>
    <row r="3421" spans="1:141" s="116" customFormat="1">
      <c r="A3421" s="136"/>
      <c r="CM3421" s="111"/>
      <c r="CQ3421" s="111"/>
      <c r="EF3421"/>
      <c r="EG3421"/>
      <c r="EH3421"/>
      <c r="EI3421"/>
      <c r="EJ3421"/>
      <c r="EK3421"/>
    </row>
    <row r="3422" spans="1:141" s="116" customFormat="1">
      <c r="A3422" s="136"/>
      <c r="CM3422" s="111"/>
      <c r="CQ3422" s="111"/>
      <c r="EF3422"/>
      <c r="EG3422"/>
      <c r="EH3422"/>
      <c r="EI3422"/>
      <c r="EJ3422"/>
      <c r="EK3422"/>
    </row>
    <row r="3423" spans="1:141" s="116" customFormat="1">
      <c r="A3423" s="136"/>
      <c r="CM3423" s="111"/>
      <c r="CQ3423" s="111"/>
      <c r="EF3423"/>
      <c r="EG3423"/>
      <c r="EH3423"/>
      <c r="EI3423"/>
      <c r="EJ3423"/>
      <c r="EK3423"/>
    </row>
    <row r="3424" spans="1:141" s="116" customFormat="1">
      <c r="A3424" s="136"/>
      <c r="CM3424" s="111"/>
      <c r="CQ3424" s="111"/>
      <c r="EF3424"/>
      <c r="EG3424"/>
      <c r="EH3424"/>
      <c r="EI3424"/>
      <c r="EJ3424"/>
      <c r="EK3424"/>
    </row>
    <row r="3425" spans="1:141" s="116" customFormat="1">
      <c r="A3425" s="136"/>
      <c r="CM3425" s="111"/>
      <c r="CQ3425" s="111"/>
      <c r="EF3425"/>
      <c r="EG3425"/>
      <c r="EH3425"/>
      <c r="EI3425"/>
      <c r="EJ3425"/>
      <c r="EK3425"/>
    </row>
    <row r="3426" spans="1:141" s="116" customFormat="1">
      <c r="A3426" s="136"/>
      <c r="CM3426" s="111"/>
      <c r="CQ3426" s="111"/>
      <c r="EF3426"/>
      <c r="EG3426"/>
      <c r="EH3426"/>
      <c r="EI3426"/>
      <c r="EJ3426"/>
      <c r="EK3426"/>
    </row>
    <row r="3427" spans="1:141" s="116" customFormat="1">
      <c r="A3427" s="136"/>
      <c r="CM3427" s="111"/>
      <c r="CQ3427" s="111"/>
      <c r="EF3427"/>
      <c r="EG3427"/>
      <c r="EH3427"/>
      <c r="EI3427"/>
      <c r="EJ3427"/>
      <c r="EK3427"/>
    </row>
    <row r="3428" spans="1:141" s="116" customFormat="1">
      <c r="A3428" s="136"/>
      <c r="CM3428" s="111"/>
      <c r="CQ3428" s="111"/>
      <c r="EF3428"/>
      <c r="EG3428"/>
      <c r="EH3428"/>
      <c r="EI3428"/>
      <c r="EJ3428"/>
      <c r="EK3428"/>
    </row>
    <row r="3429" spans="1:141" s="116" customFormat="1">
      <c r="A3429" s="136"/>
      <c r="CM3429" s="111"/>
      <c r="CQ3429" s="111"/>
      <c r="EF3429"/>
      <c r="EG3429"/>
      <c r="EH3429"/>
      <c r="EI3429"/>
      <c r="EJ3429"/>
      <c r="EK3429"/>
    </row>
    <row r="3430" spans="1:141" s="116" customFormat="1">
      <c r="A3430" s="136"/>
      <c r="CM3430" s="111"/>
      <c r="CQ3430" s="111"/>
      <c r="EF3430"/>
      <c r="EG3430"/>
      <c r="EH3430"/>
      <c r="EI3430"/>
      <c r="EJ3430"/>
      <c r="EK3430"/>
    </row>
    <row r="3431" spans="1:141" s="116" customFormat="1">
      <c r="A3431" s="136"/>
      <c r="CM3431" s="111"/>
      <c r="CQ3431" s="111"/>
      <c r="EF3431"/>
      <c r="EG3431"/>
      <c r="EH3431"/>
      <c r="EI3431"/>
      <c r="EJ3431"/>
      <c r="EK3431"/>
    </row>
    <row r="3432" spans="1:141" s="116" customFormat="1">
      <c r="A3432" s="136"/>
      <c r="CM3432" s="111"/>
      <c r="CQ3432" s="111"/>
      <c r="EF3432"/>
      <c r="EG3432"/>
      <c r="EH3432"/>
      <c r="EI3432"/>
      <c r="EJ3432"/>
      <c r="EK3432"/>
    </row>
    <row r="3433" spans="1:141" s="116" customFormat="1">
      <c r="A3433" s="136"/>
      <c r="CM3433" s="111"/>
      <c r="CQ3433" s="111"/>
      <c r="EF3433"/>
      <c r="EG3433"/>
      <c r="EH3433"/>
      <c r="EI3433"/>
      <c r="EJ3433"/>
      <c r="EK3433"/>
    </row>
    <row r="3434" spans="1:141" s="116" customFormat="1">
      <c r="A3434" s="136"/>
      <c r="CM3434" s="111"/>
      <c r="CQ3434" s="111"/>
      <c r="EF3434"/>
      <c r="EG3434"/>
      <c r="EH3434"/>
      <c r="EI3434"/>
      <c r="EJ3434"/>
      <c r="EK3434"/>
    </row>
    <row r="3435" spans="1:141" s="116" customFormat="1">
      <c r="A3435" s="136"/>
      <c r="CM3435" s="111"/>
      <c r="CQ3435" s="111"/>
      <c r="EF3435"/>
      <c r="EG3435"/>
      <c r="EH3435"/>
      <c r="EI3435"/>
      <c r="EJ3435"/>
      <c r="EK3435"/>
    </row>
    <row r="3436" spans="1:141" s="116" customFormat="1">
      <c r="A3436" s="136"/>
      <c r="CM3436" s="111"/>
      <c r="CQ3436" s="111"/>
      <c r="EF3436"/>
      <c r="EG3436"/>
      <c r="EH3436"/>
      <c r="EI3436"/>
      <c r="EJ3436"/>
      <c r="EK3436"/>
    </row>
    <row r="3437" spans="1:141" s="116" customFormat="1">
      <c r="A3437" s="136"/>
      <c r="CM3437" s="111"/>
      <c r="CQ3437" s="111"/>
      <c r="EF3437"/>
      <c r="EG3437"/>
      <c r="EH3437"/>
      <c r="EI3437"/>
      <c r="EJ3437"/>
      <c r="EK3437"/>
    </row>
    <row r="3438" spans="1:141" s="116" customFormat="1">
      <c r="A3438" s="136"/>
      <c r="CM3438" s="111"/>
      <c r="CQ3438" s="111"/>
      <c r="EF3438"/>
      <c r="EG3438"/>
      <c r="EH3438"/>
      <c r="EI3438"/>
      <c r="EJ3438"/>
      <c r="EK3438"/>
    </row>
    <row r="3439" spans="1:141" s="116" customFormat="1">
      <c r="A3439" s="136"/>
      <c r="CM3439" s="111"/>
      <c r="CQ3439" s="111"/>
      <c r="EF3439"/>
      <c r="EG3439"/>
      <c r="EH3439"/>
      <c r="EI3439"/>
      <c r="EJ3439"/>
      <c r="EK3439"/>
    </row>
    <row r="3440" spans="1:141" s="116" customFormat="1">
      <c r="A3440" s="136"/>
      <c r="CM3440" s="111"/>
      <c r="CQ3440" s="111"/>
      <c r="EF3440"/>
      <c r="EG3440"/>
      <c r="EH3440"/>
      <c r="EI3440"/>
      <c r="EJ3440"/>
      <c r="EK3440"/>
    </row>
    <row r="3441" spans="1:141" s="116" customFormat="1">
      <c r="A3441" s="136"/>
      <c r="CM3441" s="111"/>
      <c r="CQ3441" s="111"/>
      <c r="EF3441"/>
      <c r="EG3441"/>
      <c r="EH3441"/>
      <c r="EI3441"/>
      <c r="EJ3441"/>
      <c r="EK3441"/>
    </row>
    <row r="3442" spans="1:141" s="116" customFormat="1">
      <c r="A3442" s="136"/>
      <c r="CM3442" s="111"/>
      <c r="CQ3442" s="111"/>
      <c r="EF3442"/>
      <c r="EG3442"/>
      <c r="EH3442"/>
      <c r="EI3442"/>
      <c r="EJ3442"/>
      <c r="EK3442"/>
    </row>
    <row r="3443" spans="1:141" s="116" customFormat="1">
      <c r="A3443" s="136"/>
      <c r="CM3443" s="111"/>
      <c r="CQ3443" s="111"/>
      <c r="EF3443"/>
      <c r="EG3443"/>
      <c r="EH3443"/>
      <c r="EI3443"/>
      <c r="EJ3443"/>
      <c r="EK3443"/>
    </row>
    <row r="3444" spans="1:141" s="116" customFormat="1">
      <c r="A3444" s="136"/>
      <c r="CM3444" s="111"/>
      <c r="CQ3444" s="111"/>
      <c r="EF3444"/>
      <c r="EG3444"/>
      <c r="EH3444"/>
      <c r="EI3444"/>
      <c r="EJ3444"/>
      <c r="EK3444"/>
    </row>
    <row r="3445" spans="1:141" s="116" customFormat="1">
      <c r="A3445" s="136"/>
      <c r="CM3445" s="111"/>
      <c r="CQ3445" s="111"/>
      <c r="EF3445"/>
      <c r="EG3445"/>
      <c r="EH3445"/>
      <c r="EI3445"/>
      <c r="EJ3445"/>
      <c r="EK3445"/>
    </row>
    <row r="3446" spans="1:141" s="116" customFormat="1">
      <c r="A3446" s="136"/>
      <c r="CM3446" s="111"/>
      <c r="CQ3446" s="111"/>
      <c r="EF3446"/>
      <c r="EG3446"/>
      <c r="EH3446"/>
      <c r="EI3446"/>
      <c r="EJ3446"/>
      <c r="EK3446"/>
    </row>
    <row r="3447" spans="1:141" s="116" customFormat="1">
      <c r="A3447" s="136"/>
      <c r="CM3447" s="111"/>
      <c r="CQ3447" s="111"/>
      <c r="EF3447"/>
      <c r="EG3447"/>
      <c r="EH3447"/>
      <c r="EI3447"/>
      <c r="EJ3447"/>
      <c r="EK3447"/>
    </row>
    <row r="3448" spans="1:141" s="116" customFormat="1">
      <c r="A3448" s="136"/>
      <c r="CM3448" s="111"/>
      <c r="CQ3448" s="111"/>
      <c r="EF3448"/>
      <c r="EG3448"/>
      <c r="EH3448"/>
      <c r="EI3448"/>
      <c r="EJ3448"/>
      <c r="EK3448"/>
    </row>
    <row r="3449" spans="1:141" s="116" customFormat="1">
      <c r="A3449" s="136"/>
      <c r="CM3449" s="111"/>
      <c r="CQ3449" s="111"/>
      <c r="EF3449"/>
      <c r="EG3449"/>
      <c r="EH3449"/>
      <c r="EI3449"/>
      <c r="EJ3449"/>
      <c r="EK3449"/>
    </row>
    <row r="3450" spans="1:141" s="116" customFormat="1">
      <c r="A3450" s="136"/>
      <c r="CM3450" s="111"/>
      <c r="CQ3450" s="111"/>
      <c r="EF3450"/>
      <c r="EG3450"/>
      <c r="EH3450"/>
      <c r="EI3450"/>
      <c r="EJ3450"/>
      <c r="EK3450"/>
    </row>
    <row r="3451" spans="1:141" s="116" customFormat="1">
      <c r="A3451" s="136"/>
      <c r="CM3451" s="111"/>
      <c r="CQ3451" s="111"/>
      <c r="EF3451"/>
      <c r="EG3451"/>
      <c r="EH3451"/>
      <c r="EI3451"/>
      <c r="EJ3451"/>
      <c r="EK3451"/>
    </row>
    <row r="3452" spans="1:141" s="116" customFormat="1">
      <c r="A3452" s="136"/>
      <c r="CM3452" s="111"/>
      <c r="CQ3452" s="111"/>
      <c r="EF3452"/>
      <c r="EG3452"/>
      <c r="EH3452"/>
      <c r="EI3452"/>
      <c r="EJ3452"/>
      <c r="EK3452"/>
    </row>
    <row r="3453" spans="1:141" s="116" customFormat="1">
      <c r="A3453" s="136"/>
      <c r="CM3453" s="111"/>
      <c r="CQ3453" s="111"/>
      <c r="EF3453"/>
      <c r="EG3453"/>
      <c r="EH3453"/>
      <c r="EI3453"/>
      <c r="EJ3453"/>
      <c r="EK3453"/>
    </row>
    <row r="3454" spans="1:141" s="116" customFormat="1">
      <c r="A3454" s="136"/>
      <c r="CM3454" s="111"/>
      <c r="CQ3454" s="111"/>
      <c r="EF3454"/>
      <c r="EG3454"/>
      <c r="EH3454"/>
      <c r="EI3454"/>
      <c r="EJ3454"/>
      <c r="EK3454"/>
    </row>
    <row r="3455" spans="1:141" s="116" customFormat="1">
      <c r="A3455" s="136"/>
      <c r="CM3455" s="111"/>
      <c r="CQ3455" s="111"/>
      <c r="EF3455"/>
      <c r="EG3455"/>
      <c r="EH3455"/>
      <c r="EI3455"/>
      <c r="EJ3455"/>
      <c r="EK3455"/>
    </row>
    <row r="3456" spans="1:141" s="116" customFormat="1">
      <c r="A3456" s="136"/>
      <c r="CM3456" s="111"/>
      <c r="CQ3456" s="111"/>
      <c r="EF3456"/>
      <c r="EG3456"/>
      <c r="EH3456"/>
      <c r="EI3456"/>
      <c r="EJ3456"/>
      <c r="EK3456"/>
    </row>
    <row r="3457" spans="1:141" s="116" customFormat="1">
      <c r="A3457" s="136"/>
      <c r="CM3457" s="111"/>
      <c r="CQ3457" s="111"/>
      <c r="EF3457"/>
      <c r="EG3457"/>
      <c r="EH3457"/>
      <c r="EI3457"/>
      <c r="EJ3457"/>
      <c r="EK3457"/>
    </row>
    <row r="3458" spans="1:141" s="116" customFormat="1">
      <c r="A3458" s="136"/>
      <c r="CM3458" s="111"/>
      <c r="CQ3458" s="111"/>
      <c r="EF3458"/>
      <c r="EG3458"/>
      <c r="EH3458"/>
      <c r="EI3458"/>
      <c r="EJ3458"/>
      <c r="EK3458"/>
    </row>
    <row r="3459" spans="1:141" s="116" customFormat="1">
      <c r="A3459" s="136"/>
      <c r="CM3459" s="111"/>
      <c r="CQ3459" s="111"/>
      <c r="EF3459"/>
      <c r="EG3459"/>
      <c r="EH3459"/>
      <c r="EI3459"/>
      <c r="EJ3459"/>
      <c r="EK3459"/>
    </row>
    <row r="3460" spans="1:141" s="116" customFormat="1">
      <c r="A3460" s="136"/>
      <c r="CM3460" s="111"/>
      <c r="CQ3460" s="111"/>
      <c r="EF3460"/>
      <c r="EG3460"/>
      <c r="EH3460"/>
      <c r="EI3460"/>
      <c r="EJ3460"/>
      <c r="EK3460"/>
    </row>
    <row r="3461" spans="1:141" s="116" customFormat="1">
      <c r="A3461" s="136"/>
      <c r="CM3461" s="111"/>
      <c r="CQ3461" s="111"/>
      <c r="EF3461"/>
      <c r="EG3461"/>
      <c r="EH3461"/>
      <c r="EI3461"/>
      <c r="EJ3461"/>
      <c r="EK3461"/>
    </row>
    <row r="3462" spans="1:141" s="116" customFormat="1">
      <c r="A3462" s="136"/>
      <c r="CM3462" s="111"/>
      <c r="CQ3462" s="111"/>
      <c r="EF3462"/>
      <c r="EG3462"/>
      <c r="EH3462"/>
      <c r="EI3462"/>
      <c r="EJ3462"/>
      <c r="EK3462"/>
    </row>
    <row r="3463" spans="1:141" s="116" customFormat="1">
      <c r="A3463" s="136"/>
      <c r="CM3463" s="111"/>
      <c r="CQ3463" s="111"/>
      <c r="EF3463"/>
      <c r="EG3463"/>
      <c r="EH3463"/>
      <c r="EI3463"/>
      <c r="EJ3463"/>
      <c r="EK3463"/>
    </row>
    <row r="3464" spans="1:141" s="116" customFormat="1">
      <c r="A3464" s="136"/>
      <c r="CM3464" s="111"/>
      <c r="CQ3464" s="111"/>
      <c r="EF3464"/>
      <c r="EG3464"/>
      <c r="EH3464"/>
      <c r="EI3464"/>
      <c r="EJ3464"/>
      <c r="EK3464"/>
    </row>
    <row r="3465" spans="1:141" s="116" customFormat="1">
      <c r="A3465" s="136"/>
      <c r="CM3465" s="111"/>
      <c r="CQ3465" s="111"/>
      <c r="EF3465"/>
      <c r="EG3465"/>
      <c r="EH3465"/>
      <c r="EI3465"/>
      <c r="EJ3465"/>
      <c r="EK3465"/>
    </row>
    <row r="3466" spans="1:141" s="116" customFormat="1">
      <c r="A3466" s="136"/>
      <c r="CM3466" s="111"/>
      <c r="CQ3466" s="111"/>
      <c r="EF3466"/>
      <c r="EG3466"/>
      <c r="EH3466"/>
      <c r="EI3466"/>
      <c r="EJ3466"/>
      <c r="EK3466"/>
    </row>
    <row r="3467" spans="1:141" s="116" customFormat="1">
      <c r="A3467" s="136"/>
      <c r="CM3467" s="111"/>
      <c r="CQ3467" s="111"/>
      <c r="EF3467"/>
      <c r="EG3467"/>
      <c r="EH3467"/>
      <c r="EI3467"/>
      <c r="EJ3467"/>
      <c r="EK3467"/>
    </row>
    <row r="3468" spans="1:141" s="116" customFormat="1">
      <c r="A3468" s="136"/>
      <c r="CM3468" s="111"/>
      <c r="CQ3468" s="111"/>
      <c r="EF3468"/>
      <c r="EG3468"/>
      <c r="EH3468"/>
      <c r="EI3468"/>
      <c r="EJ3468"/>
      <c r="EK3468"/>
    </row>
    <row r="3469" spans="1:141" s="116" customFormat="1">
      <c r="A3469" s="136"/>
      <c r="CM3469" s="111"/>
      <c r="CQ3469" s="111"/>
      <c r="EF3469"/>
      <c r="EG3469"/>
      <c r="EH3469"/>
      <c r="EI3469"/>
      <c r="EJ3469"/>
      <c r="EK3469"/>
    </row>
    <row r="3470" spans="1:141" s="116" customFormat="1">
      <c r="A3470" s="136"/>
      <c r="CM3470" s="111"/>
      <c r="CQ3470" s="111"/>
      <c r="EF3470"/>
      <c r="EG3470"/>
      <c r="EH3470"/>
      <c r="EI3470"/>
      <c r="EJ3470"/>
      <c r="EK3470"/>
    </row>
    <row r="3471" spans="1:141" s="116" customFormat="1">
      <c r="A3471" s="136"/>
      <c r="CM3471" s="111"/>
      <c r="CQ3471" s="111"/>
      <c r="EF3471"/>
      <c r="EG3471"/>
      <c r="EH3471"/>
      <c r="EI3471"/>
      <c r="EJ3471"/>
      <c r="EK3471"/>
    </row>
    <row r="3472" spans="1:141" s="116" customFormat="1">
      <c r="A3472" s="136"/>
      <c r="CM3472" s="111"/>
      <c r="CQ3472" s="111"/>
      <c r="EF3472"/>
      <c r="EG3472"/>
      <c r="EH3472"/>
      <c r="EI3472"/>
      <c r="EJ3472"/>
      <c r="EK3472"/>
    </row>
    <row r="3473" spans="1:141" s="116" customFormat="1">
      <c r="A3473" s="136"/>
      <c r="CM3473" s="111"/>
      <c r="CQ3473" s="111"/>
      <c r="EF3473"/>
      <c r="EG3473"/>
      <c r="EH3473"/>
      <c r="EI3473"/>
      <c r="EJ3473"/>
      <c r="EK3473"/>
    </row>
    <row r="3474" spans="1:141" s="116" customFormat="1">
      <c r="A3474" s="136"/>
      <c r="CM3474" s="111"/>
      <c r="CQ3474" s="111"/>
      <c r="EF3474"/>
      <c r="EG3474"/>
      <c r="EH3474"/>
      <c r="EI3474"/>
      <c r="EJ3474"/>
      <c r="EK3474"/>
    </row>
    <row r="3475" spans="1:141" s="116" customFormat="1">
      <c r="A3475" s="136"/>
      <c r="CM3475" s="111"/>
      <c r="CQ3475" s="111"/>
      <c r="EF3475"/>
      <c r="EG3475"/>
      <c r="EH3475"/>
      <c r="EI3475"/>
      <c r="EJ3475"/>
      <c r="EK3475"/>
    </row>
    <row r="3476" spans="1:141" s="116" customFormat="1">
      <c r="A3476" s="136"/>
      <c r="CM3476" s="111"/>
      <c r="CQ3476" s="111"/>
      <c r="EF3476"/>
      <c r="EG3476"/>
      <c r="EH3476"/>
      <c r="EI3476"/>
      <c r="EJ3476"/>
      <c r="EK3476"/>
    </row>
    <row r="3477" spans="1:141" s="116" customFormat="1">
      <c r="A3477" s="136"/>
      <c r="CM3477" s="111"/>
      <c r="CQ3477" s="111"/>
      <c r="EF3477"/>
      <c r="EG3477"/>
      <c r="EH3477"/>
      <c r="EI3477"/>
      <c r="EJ3477"/>
      <c r="EK3477"/>
    </row>
    <row r="3478" spans="1:141" s="116" customFormat="1">
      <c r="A3478" s="136"/>
      <c r="CM3478" s="111"/>
      <c r="CQ3478" s="111"/>
      <c r="EF3478"/>
      <c r="EG3478"/>
      <c r="EH3478"/>
      <c r="EI3478"/>
      <c r="EJ3478"/>
      <c r="EK3478"/>
    </row>
    <row r="3479" spans="1:141" s="116" customFormat="1">
      <c r="A3479" s="136"/>
      <c r="CM3479" s="111"/>
      <c r="CQ3479" s="111"/>
      <c r="EF3479"/>
      <c r="EG3479"/>
      <c r="EH3479"/>
      <c r="EI3479"/>
      <c r="EJ3479"/>
      <c r="EK3479"/>
    </row>
    <row r="3480" spans="1:141" s="116" customFormat="1">
      <c r="A3480" s="136"/>
      <c r="CM3480" s="111"/>
      <c r="CQ3480" s="111"/>
      <c r="EF3480"/>
      <c r="EG3480"/>
      <c r="EH3480"/>
      <c r="EI3480"/>
      <c r="EJ3480"/>
      <c r="EK3480"/>
    </row>
    <row r="3481" spans="1:141" s="116" customFormat="1">
      <c r="A3481" s="136"/>
      <c r="CM3481" s="111"/>
      <c r="CQ3481" s="111"/>
      <c r="EF3481"/>
      <c r="EG3481"/>
      <c r="EH3481"/>
      <c r="EI3481"/>
      <c r="EJ3481"/>
      <c r="EK3481"/>
    </row>
    <row r="3482" spans="1:141" s="116" customFormat="1">
      <c r="A3482" s="136"/>
      <c r="CM3482" s="111"/>
      <c r="CQ3482" s="111"/>
      <c r="EF3482"/>
      <c r="EG3482"/>
      <c r="EH3482"/>
      <c r="EI3482"/>
      <c r="EJ3482"/>
      <c r="EK3482"/>
    </row>
    <row r="3483" spans="1:141" s="116" customFormat="1">
      <c r="A3483" s="136"/>
      <c r="CM3483" s="111"/>
      <c r="CQ3483" s="111"/>
      <c r="EF3483"/>
      <c r="EG3483"/>
      <c r="EH3483"/>
      <c r="EI3483"/>
      <c r="EJ3483"/>
      <c r="EK3483"/>
    </row>
    <row r="3484" spans="1:141" s="116" customFormat="1">
      <c r="A3484" s="136"/>
      <c r="CM3484" s="111"/>
      <c r="CQ3484" s="111"/>
      <c r="EF3484"/>
      <c r="EG3484"/>
      <c r="EH3484"/>
      <c r="EI3484"/>
      <c r="EJ3484"/>
      <c r="EK3484"/>
    </row>
    <row r="3485" spans="1:141" s="116" customFormat="1">
      <c r="A3485" s="136"/>
      <c r="CM3485" s="111"/>
      <c r="CQ3485" s="111"/>
      <c r="EF3485"/>
      <c r="EG3485"/>
      <c r="EH3485"/>
      <c r="EI3485"/>
      <c r="EJ3485"/>
      <c r="EK3485"/>
    </row>
    <row r="3486" spans="1:141" s="116" customFormat="1">
      <c r="A3486" s="136"/>
      <c r="CM3486" s="111"/>
      <c r="CQ3486" s="111"/>
      <c r="EF3486"/>
      <c r="EG3486"/>
      <c r="EH3486"/>
      <c r="EI3486"/>
      <c r="EJ3486"/>
      <c r="EK3486"/>
    </row>
    <row r="3487" spans="1:141" s="116" customFormat="1">
      <c r="A3487" s="136"/>
      <c r="CM3487" s="111"/>
      <c r="CQ3487" s="111"/>
      <c r="EF3487"/>
      <c r="EG3487"/>
      <c r="EH3487"/>
      <c r="EI3487"/>
      <c r="EJ3487"/>
      <c r="EK3487"/>
    </row>
    <row r="3488" spans="1:141" s="116" customFormat="1">
      <c r="A3488" s="136"/>
      <c r="CM3488" s="111"/>
      <c r="CQ3488" s="111"/>
      <c r="EF3488"/>
      <c r="EG3488"/>
      <c r="EH3488"/>
      <c r="EI3488"/>
      <c r="EJ3488"/>
      <c r="EK3488"/>
    </row>
    <row r="3489" spans="1:141" s="116" customFormat="1">
      <c r="A3489" s="136"/>
      <c r="CM3489" s="111"/>
      <c r="CQ3489" s="111"/>
      <c r="EF3489"/>
      <c r="EG3489"/>
      <c r="EH3489"/>
      <c r="EI3489"/>
      <c r="EJ3489"/>
      <c r="EK3489"/>
    </row>
    <row r="3490" spans="1:141" s="116" customFormat="1">
      <c r="A3490" s="136"/>
      <c r="CM3490" s="111"/>
      <c r="CQ3490" s="111"/>
      <c r="EF3490"/>
      <c r="EG3490"/>
      <c r="EH3490"/>
      <c r="EI3490"/>
      <c r="EJ3490"/>
      <c r="EK3490"/>
    </row>
    <row r="3491" spans="1:141" s="116" customFormat="1">
      <c r="A3491" s="136"/>
      <c r="CM3491" s="111"/>
      <c r="CQ3491" s="111"/>
      <c r="EF3491"/>
      <c r="EG3491"/>
      <c r="EH3491"/>
      <c r="EI3491"/>
      <c r="EJ3491"/>
      <c r="EK3491"/>
    </row>
    <row r="3492" spans="1:141" s="116" customFormat="1">
      <c r="A3492" s="136"/>
      <c r="CM3492" s="111"/>
      <c r="CQ3492" s="111"/>
      <c r="EF3492"/>
      <c r="EG3492"/>
      <c r="EH3492"/>
      <c r="EI3492"/>
      <c r="EJ3492"/>
      <c r="EK3492"/>
    </row>
    <row r="3493" spans="1:141" s="116" customFormat="1">
      <c r="A3493" s="136"/>
      <c r="CM3493" s="111"/>
      <c r="CQ3493" s="111"/>
      <c r="EF3493"/>
      <c r="EG3493"/>
      <c r="EH3493"/>
      <c r="EI3493"/>
      <c r="EJ3493"/>
      <c r="EK3493"/>
    </row>
    <row r="3494" spans="1:141" s="116" customFormat="1">
      <c r="A3494" s="136"/>
      <c r="CM3494" s="111"/>
      <c r="CQ3494" s="111"/>
      <c r="EF3494"/>
      <c r="EG3494"/>
      <c r="EH3494"/>
      <c r="EI3494"/>
      <c r="EJ3494"/>
      <c r="EK3494"/>
    </row>
    <row r="3495" spans="1:141" s="116" customFormat="1">
      <c r="A3495" s="136"/>
      <c r="CM3495" s="111"/>
      <c r="CQ3495" s="111"/>
      <c r="EF3495"/>
      <c r="EG3495"/>
      <c r="EH3495"/>
      <c r="EI3495"/>
      <c r="EJ3495"/>
      <c r="EK3495"/>
    </row>
    <row r="3496" spans="1:141" s="116" customFormat="1">
      <c r="A3496" s="136"/>
      <c r="CM3496" s="111"/>
      <c r="CQ3496" s="111"/>
      <c r="EF3496"/>
      <c r="EG3496"/>
      <c r="EH3496"/>
      <c r="EI3496"/>
      <c r="EJ3496"/>
      <c r="EK3496"/>
    </row>
    <row r="3497" spans="1:141" s="116" customFormat="1">
      <c r="A3497" s="136"/>
      <c r="CM3497" s="111"/>
      <c r="CQ3497" s="111"/>
      <c r="EF3497"/>
      <c r="EG3497"/>
      <c r="EH3497"/>
      <c r="EI3497"/>
      <c r="EJ3497"/>
      <c r="EK3497"/>
    </row>
    <row r="3498" spans="1:141" s="116" customFormat="1">
      <c r="A3498" s="136"/>
      <c r="CM3498" s="111"/>
      <c r="CQ3498" s="111"/>
      <c r="EF3498"/>
      <c r="EG3498"/>
      <c r="EH3498"/>
      <c r="EI3498"/>
      <c r="EJ3498"/>
      <c r="EK3498"/>
    </row>
    <row r="3499" spans="1:141" s="116" customFormat="1">
      <c r="A3499" s="136"/>
      <c r="CM3499" s="111"/>
      <c r="CQ3499" s="111"/>
      <c r="EF3499"/>
      <c r="EG3499"/>
      <c r="EH3499"/>
      <c r="EI3499"/>
      <c r="EJ3499"/>
      <c r="EK3499"/>
    </row>
    <row r="3500" spans="1:141" s="116" customFormat="1">
      <c r="A3500" s="136"/>
      <c r="CM3500" s="111"/>
      <c r="CQ3500" s="111"/>
      <c r="EF3500"/>
      <c r="EG3500"/>
      <c r="EH3500"/>
      <c r="EI3500"/>
      <c r="EJ3500"/>
      <c r="EK3500"/>
    </row>
    <row r="3501" spans="1:141" s="116" customFormat="1">
      <c r="A3501" s="136"/>
      <c r="CM3501" s="111"/>
      <c r="CQ3501" s="111"/>
      <c r="EF3501"/>
      <c r="EG3501"/>
      <c r="EH3501"/>
      <c r="EI3501"/>
      <c r="EJ3501"/>
      <c r="EK3501"/>
    </row>
    <row r="3502" spans="1:141" s="116" customFormat="1">
      <c r="A3502" s="136"/>
      <c r="CM3502" s="111"/>
      <c r="CQ3502" s="111"/>
      <c r="EF3502"/>
      <c r="EG3502"/>
      <c r="EH3502"/>
      <c r="EI3502"/>
      <c r="EJ3502"/>
      <c r="EK3502"/>
    </row>
    <row r="3503" spans="1:141" s="116" customFormat="1">
      <c r="A3503" s="136"/>
      <c r="CM3503" s="111"/>
      <c r="CQ3503" s="111"/>
      <c r="EF3503"/>
      <c r="EG3503"/>
      <c r="EH3503"/>
      <c r="EI3503"/>
      <c r="EJ3503"/>
      <c r="EK3503"/>
    </row>
    <row r="3504" spans="1:141" s="116" customFormat="1">
      <c r="A3504" s="136"/>
      <c r="CM3504" s="111"/>
      <c r="CQ3504" s="111"/>
      <c r="EF3504"/>
      <c r="EG3504"/>
      <c r="EH3504"/>
      <c r="EI3504"/>
      <c r="EJ3504"/>
      <c r="EK3504"/>
    </row>
    <row r="3505" spans="1:141" s="116" customFormat="1">
      <c r="A3505" s="136"/>
      <c r="CM3505" s="111"/>
      <c r="CQ3505" s="111"/>
      <c r="EF3505"/>
      <c r="EG3505"/>
      <c r="EH3505"/>
      <c r="EI3505"/>
      <c r="EJ3505"/>
      <c r="EK3505"/>
    </row>
    <row r="3506" spans="1:141" s="116" customFormat="1">
      <c r="A3506" s="136"/>
      <c r="CM3506" s="111"/>
      <c r="CQ3506" s="111"/>
      <c r="EF3506"/>
      <c r="EG3506"/>
      <c r="EH3506"/>
      <c r="EI3506"/>
      <c r="EJ3506"/>
      <c r="EK3506"/>
    </row>
    <row r="3507" spans="1:141" s="116" customFormat="1">
      <c r="A3507" s="136"/>
      <c r="CM3507" s="111"/>
      <c r="CQ3507" s="111"/>
      <c r="EF3507"/>
      <c r="EG3507"/>
      <c r="EH3507"/>
      <c r="EI3507"/>
      <c r="EJ3507"/>
      <c r="EK3507"/>
    </row>
    <row r="3508" spans="1:141" s="116" customFormat="1">
      <c r="A3508" s="136"/>
      <c r="CM3508" s="111"/>
      <c r="CQ3508" s="111"/>
      <c r="EF3508"/>
      <c r="EG3508"/>
      <c r="EH3508"/>
      <c r="EI3508"/>
      <c r="EJ3508"/>
      <c r="EK3508"/>
    </row>
    <row r="3509" spans="1:141" s="116" customFormat="1">
      <c r="A3509" s="136"/>
      <c r="CM3509" s="111"/>
      <c r="CQ3509" s="111"/>
      <c r="EF3509"/>
      <c r="EG3509"/>
      <c r="EH3509"/>
      <c r="EI3509"/>
      <c r="EJ3509"/>
      <c r="EK3509"/>
    </row>
    <row r="3510" spans="1:141" s="116" customFormat="1">
      <c r="A3510" s="136"/>
      <c r="CM3510" s="111"/>
      <c r="CQ3510" s="111"/>
      <c r="EF3510"/>
      <c r="EG3510"/>
      <c r="EH3510"/>
      <c r="EI3510"/>
      <c r="EJ3510"/>
      <c r="EK3510"/>
    </row>
    <row r="3511" spans="1:141" s="116" customFormat="1">
      <c r="A3511" s="136"/>
      <c r="CM3511" s="111"/>
      <c r="CQ3511" s="111"/>
      <c r="EF3511"/>
      <c r="EG3511"/>
      <c r="EH3511"/>
      <c r="EI3511"/>
      <c r="EJ3511"/>
      <c r="EK3511"/>
    </row>
    <row r="3512" spans="1:141" s="116" customFormat="1">
      <c r="A3512" s="136"/>
      <c r="CM3512" s="111"/>
      <c r="CQ3512" s="111"/>
      <c r="EF3512"/>
      <c r="EG3512"/>
      <c r="EH3512"/>
      <c r="EI3512"/>
      <c r="EJ3512"/>
      <c r="EK3512"/>
    </row>
    <row r="3513" spans="1:141" s="116" customFormat="1">
      <c r="A3513" s="136"/>
      <c r="CM3513" s="111"/>
      <c r="CQ3513" s="111"/>
      <c r="EF3513"/>
      <c r="EG3513"/>
      <c r="EH3513"/>
      <c r="EI3513"/>
      <c r="EJ3513"/>
      <c r="EK3513"/>
    </row>
    <row r="3514" spans="1:141" s="116" customFormat="1">
      <c r="A3514" s="136"/>
      <c r="CM3514" s="111"/>
      <c r="CQ3514" s="111"/>
      <c r="EF3514"/>
      <c r="EG3514"/>
      <c r="EH3514"/>
      <c r="EI3514"/>
      <c r="EJ3514"/>
      <c r="EK3514"/>
    </row>
    <row r="3515" spans="1:141" s="116" customFormat="1">
      <c r="A3515" s="136"/>
      <c r="CM3515" s="111"/>
      <c r="CQ3515" s="111"/>
      <c r="EF3515"/>
      <c r="EG3515"/>
      <c r="EH3515"/>
      <c r="EI3515"/>
      <c r="EJ3515"/>
      <c r="EK3515"/>
    </row>
    <row r="3516" spans="1:141" s="116" customFormat="1">
      <c r="A3516" s="136"/>
      <c r="CM3516" s="111"/>
      <c r="CQ3516" s="111"/>
      <c r="EF3516"/>
      <c r="EG3516"/>
      <c r="EH3516"/>
      <c r="EI3516"/>
      <c r="EJ3516"/>
      <c r="EK3516"/>
    </row>
    <row r="3517" spans="1:141" s="116" customFormat="1">
      <c r="A3517" s="136"/>
      <c r="CM3517" s="111"/>
      <c r="CQ3517" s="111"/>
      <c r="EF3517"/>
      <c r="EG3517"/>
      <c r="EH3517"/>
      <c r="EI3517"/>
      <c r="EJ3517"/>
      <c r="EK3517"/>
    </row>
    <row r="3518" spans="1:141" s="116" customFormat="1">
      <c r="A3518" s="136"/>
      <c r="CM3518" s="111"/>
      <c r="CQ3518" s="111"/>
      <c r="EF3518"/>
      <c r="EG3518"/>
      <c r="EH3518"/>
      <c r="EI3518"/>
      <c r="EJ3518"/>
      <c r="EK3518"/>
    </row>
    <row r="3519" spans="1:141" s="116" customFormat="1">
      <c r="A3519" s="136"/>
      <c r="CM3519" s="111"/>
      <c r="CQ3519" s="111"/>
      <c r="EF3519"/>
      <c r="EG3519"/>
      <c r="EH3519"/>
      <c r="EI3519"/>
      <c r="EJ3519"/>
      <c r="EK3519"/>
    </row>
    <row r="3520" spans="1:141" s="116" customFormat="1">
      <c r="A3520" s="136"/>
      <c r="CM3520" s="111"/>
      <c r="CQ3520" s="111"/>
      <c r="EF3520"/>
      <c r="EG3520"/>
      <c r="EH3520"/>
      <c r="EI3520"/>
      <c r="EJ3520"/>
      <c r="EK3520"/>
    </row>
    <row r="3521" spans="1:141" s="116" customFormat="1">
      <c r="A3521" s="136"/>
      <c r="CM3521" s="111"/>
      <c r="CQ3521" s="111"/>
      <c r="EF3521"/>
      <c r="EG3521"/>
      <c r="EH3521"/>
      <c r="EI3521"/>
      <c r="EJ3521"/>
      <c r="EK3521"/>
    </row>
    <row r="3522" spans="1:141" s="116" customFormat="1">
      <c r="A3522" s="136"/>
      <c r="CM3522" s="111"/>
      <c r="CQ3522" s="111"/>
      <c r="EF3522"/>
      <c r="EG3522"/>
      <c r="EH3522"/>
      <c r="EI3522"/>
      <c r="EJ3522"/>
      <c r="EK3522"/>
    </row>
    <row r="3523" spans="1:141" s="116" customFormat="1">
      <c r="A3523" s="136"/>
      <c r="CM3523" s="111"/>
      <c r="CQ3523" s="111"/>
      <c r="EF3523"/>
      <c r="EG3523"/>
      <c r="EH3523"/>
      <c r="EI3523"/>
      <c r="EJ3523"/>
      <c r="EK3523"/>
    </row>
    <row r="3524" spans="1:141" s="116" customFormat="1">
      <c r="A3524" s="136"/>
      <c r="CM3524" s="111"/>
      <c r="CQ3524" s="111"/>
      <c r="EF3524"/>
      <c r="EG3524"/>
      <c r="EH3524"/>
      <c r="EI3524"/>
      <c r="EJ3524"/>
      <c r="EK3524"/>
    </row>
    <row r="3525" spans="1:141" s="116" customFormat="1">
      <c r="A3525" s="136"/>
      <c r="CM3525" s="111"/>
      <c r="CQ3525" s="111"/>
      <c r="EF3525"/>
      <c r="EG3525"/>
      <c r="EH3525"/>
      <c r="EI3525"/>
      <c r="EJ3525"/>
      <c r="EK3525"/>
    </row>
    <row r="3526" spans="1:141" s="116" customFormat="1">
      <c r="A3526" s="136"/>
      <c r="CM3526" s="111"/>
      <c r="CQ3526" s="111"/>
      <c r="EF3526"/>
      <c r="EG3526"/>
      <c r="EH3526"/>
      <c r="EI3526"/>
      <c r="EJ3526"/>
      <c r="EK3526"/>
    </row>
    <row r="3527" spans="1:141" s="116" customFormat="1">
      <c r="A3527" s="136"/>
      <c r="CM3527" s="111"/>
      <c r="CQ3527" s="111"/>
      <c r="EF3527"/>
      <c r="EG3527"/>
      <c r="EH3527"/>
      <c r="EI3527"/>
      <c r="EJ3527"/>
      <c r="EK3527"/>
    </row>
    <row r="3528" spans="1:141" s="116" customFormat="1">
      <c r="A3528" s="136"/>
      <c r="CM3528" s="111"/>
      <c r="CQ3528" s="111"/>
      <c r="EF3528"/>
      <c r="EG3528"/>
      <c r="EH3528"/>
      <c r="EI3528"/>
      <c r="EJ3528"/>
      <c r="EK3528"/>
    </row>
    <row r="3529" spans="1:141" s="116" customFormat="1">
      <c r="A3529" s="136"/>
      <c r="CM3529" s="111"/>
      <c r="CQ3529" s="111"/>
      <c r="EF3529"/>
      <c r="EG3529"/>
      <c r="EH3529"/>
      <c r="EI3529"/>
      <c r="EJ3529"/>
      <c r="EK3529"/>
    </row>
    <row r="3530" spans="1:141" s="116" customFormat="1">
      <c r="A3530" s="136"/>
      <c r="CM3530" s="111"/>
      <c r="CQ3530" s="111"/>
      <c r="EF3530"/>
      <c r="EG3530"/>
      <c r="EH3530"/>
      <c r="EI3530"/>
      <c r="EJ3530"/>
      <c r="EK3530"/>
    </row>
    <row r="3531" spans="1:141" s="116" customFormat="1">
      <c r="A3531" s="136"/>
      <c r="CM3531" s="111"/>
      <c r="CQ3531" s="111"/>
      <c r="EF3531"/>
      <c r="EG3531"/>
      <c r="EH3531"/>
      <c r="EI3531"/>
      <c r="EJ3531"/>
      <c r="EK3531"/>
    </row>
    <row r="3532" spans="1:141" s="116" customFormat="1">
      <c r="A3532" s="136"/>
      <c r="CM3532" s="111"/>
      <c r="CQ3532" s="111"/>
      <c r="EF3532"/>
      <c r="EG3532"/>
      <c r="EH3532"/>
      <c r="EI3532"/>
      <c r="EJ3532"/>
      <c r="EK3532"/>
    </row>
    <row r="3533" spans="1:141" s="116" customFormat="1">
      <c r="A3533" s="136"/>
      <c r="CM3533" s="111"/>
      <c r="CQ3533" s="111"/>
      <c r="EF3533"/>
      <c r="EG3533"/>
      <c r="EH3533"/>
      <c r="EI3533"/>
      <c r="EJ3533"/>
      <c r="EK3533"/>
    </row>
    <row r="3534" spans="1:141" s="116" customFormat="1">
      <c r="A3534" s="136"/>
      <c r="CM3534" s="111"/>
      <c r="CQ3534" s="111"/>
      <c r="EF3534"/>
      <c r="EG3534"/>
      <c r="EH3534"/>
      <c r="EI3534"/>
      <c r="EJ3534"/>
      <c r="EK3534"/>
    </row>
    <row r="3535" spans="1:141" s="116" customFormat="1">
      <c r="A3535" s="136"/>
      <c r="CM3535" s="111"/>
      <c r="CQ3535" s="111"/>
      <c r="EF3535"/>
      <c r="EG3535"/>
      <c r="EH3535"/>
      <c r="EI3535"/>
      <c r="EJ3535"/>
      <c r="EK3535"/>
    </row>
    <row r="3536" spans="1:141" s="116" customFormat="1">
      <c r="A3536" s="136"/>
      <c r="CM3536" s="111"/>
      <c r="CQ3536" s="111"/>
      <c r="EF3536"/>
      <c r="EG3536"/>
      <c r="EH3536"/>
      <c r="EI3536"/>
      <c r="EJ3536"/>
      <c r="EK3536"/>
    </row>
    <row r="3537" spans="1:141" s="116" customFormat="1">
      <c r="A3537" s="136"/>
      <c r="CM3537" s="111"/>
      <c r="CQ3537" s="111"/>
      <c r="EF3537"/>
      <c r="EG3537"/>
      <c r="EH3537"/>
      <c r="EI3537"/>
      <c r="EJ3537"/>
      <c r="EK3537"/>
    </row>
    <row r="3538" spans="1:141" s="116" customFormat="1">
      <c r="A3538" s="136"/>
      <c r="CM3538" s="111"/>
      <c r="CQ3538" s="111"/>
      <c r="EF3538"/>
      <c r="EG3538"/>
      <c r="EH3538"/>
      <c r="EI3538"/>
      <c r="EJ3538"/>
      <c r="EK3538"/>
    </row>
    <row r="3539" spans="1:141" s="116" customFormat="1">
      <c r="A3539" s="136"/>
      <c r="CM3539" s="111"/>
      <c r="CQ3539" s="111"/>
      <c r="EF3539"/>
      <c r="EG3539"/>
      <c r="EH3539"/>
      <c r="EI3539"/>
      <c r="EJ3539"/>
      <c r="EK3539"/>
    </row>
    <row r="3540" spans="1:141" s="116" customFormat="1">
      <c r="A3540" s="136"/>
      <c r="CM3540" s="111"/>
      <c r="CQ3540" s="111"/>
      <c r="EF3540"/>
      <c r="EG3540"/>
      <c r="EH3540"/>
      <c r="EI3540"/>
      <c r="EJ3540"/>
      <c r="EK3540"/>
    </row>
    <row r="3541" spans="1:141" s="116" customFormat="1">
      <c r="A3541" s="136"/>
      <c r="CM3541" s="111"/>
      <c r="CQ3541" s="111"/>
      <c r="EF3541"/>
      <c r="EG3541"/>
      <c r="EH3541"/>
      <c r="EI3541"/>
      <c r="EJ3541"/>
      <c r="EK3541"/>
    </row>
    <row r="3542" spans="1:141" s="116" customFormat="1">
      <c r="A3542" s="136"/>
      <c r="CM3542" s="111"/>
      <c r="CQ3542" s="111"/>
      <c r="EF3542"/>
      <c r="EG3542"/>
      <c r="EH3542"/>
      <c r="EI3542"/>
      <c r="EJ3542"/>
      <c r="EK3542"/>
    </row>
    <row r="3543" spans="1:141" s="116" customFormat="1">
      <c r="A3543" s="136"/>
      <c r="CM3543" s="111"/>
      <c r="CQ3543" s="111"/>
      <c r="EF3543"/>
      <c r="EG3543"/>
      <c r="EH3543"/>
      <c r="EI3543"/>
      <c r="EJ3543"/>
      <c r="EK3543"/>
    </row>
    <row r="3544" spans="1:141" s="116" customFormat="1">
      <c r="A3544" s="136"/>
      <c r="CM3544" s="111"/>
      <c r="CQ3544" s="111"/>
      <c r="EF3544"/>
      <c r="EG3544"/>
      <c r="EH3544"/>
      <c r="EI3544"/>
      <c r="EJ3544"/>
      <c r="EK3544"/>
    </row>
    <row r="3545" spans="1:141" s="116" customFormat="1">
      <c r="A3545" s="136"/>
      <c r="CM3545" s="111"/>
      <c r="CQ3545" s="111"/>
      <c r="EF3545"/>
      <c r="EG3545"/>
      <c r="EH3545"/>
      <c r="EI3545"/>
      <c r="EJ3545"/>
      <c r="EK3545"/>
    </row>
    <row r="3546" spans="1:141" s="116" customFormat="1">
      <c r="A3546" s="136"/>
      <c r="CM3546" s="111"/>
      <c r="CQ3546" s="111"/>
      <c r="EF3546"/>
      <c r="EG3546"/>
      <c r="EH3546"/>
      <c r="EI3546"/>
      <c r="EJ3546"/>
      <c r="EK3546"/>
    </row>
    <row r="3547" spans="1:141" s="116" customFormat="1">
      <c r="A3547" s="136"/>
      <c r="CM3547" s="111"/>
      <c r="CQ3547" s="111"/>
      <c r="EF3547"/>
      <c r="EG3547"/>
      <c r="EH3547"/>
      <c r="EI3547"/>
      <c r="EJ3547"/>
      <c r="EK3547"/>
    </row>
    <row r="3548" spans="1:141" s="116" customFormat="1">
      <c r="A3548" s="136"/>
      <c r="CM3548" s="111"/>
      <c r="CQ3548" s="111"/>
      <c r="EF3548"/>
      <c r="EG3548"/>
      <c r="EH3548"/>
      <c r="EI3548"/>
      <c r="EJ3548"/>
      <c r="EK3548"/>
    </row>
    <row r="3549" spans="1:141" s="116" customFormat="1">
      <c r="A3549" s="136"/>
      <c r="CM3549" s="111"/>
      <c r="CQ3549" s="111"/>
      <c r="EF3549"/>
      <c r="EG3549"/>
      <c r="EH3549"/>
      <c r="EI3549"/>
      <c r="EJ3549"/>
      <c r="EK3549"/>
    </row>
    <row r="3550" spans="1:141" s="116" customFormat="1">
      <c r="A3550" s="136"/>
      <c r="CM3550" s="111"/>
      <c r="CQ3550" s="111"/>
      <c r="EF3550"/>
      <c r="EG3550"/>
      <c r="EH3550"/>
      <c r="EI3550"/>
      <c r="EJ3550"/>
      <c r="EK3550"/>
    </row>
    <row r="3551" spans="1:141" s="116" customFormat="1">
      <c r="A3551" s="136"/>
      <c r="CM3551" s="111"/>
      <c r="CQ3551" s="111"/>
      <c r="EF3551"/>
      <c r="EG3551"/>
      <c r="EH3551"/>
      <c r="EI3551"/>
      <c r="EJ3551"/>
      <c r="EK3551"/>
    </row>
    <row r="3552" spans="1:141" s="116" customFormat="1">
      <c r="A3552" s="136"/>
      <c r="CM3552" s="111"/>
      <c r="CQ3552" s="111"/>
      <c r="EF3552"/>
      <c r="EG3552"/>
      <c r="EH3552"/>
      <c r="EI3552"/>
      <c r="EJ3552"/>
      <c r="EK3552"/>
    </row>
    <row r="3553" spans="1:141" s="116" customFormat="1">
      <c r="A3553" s="136"/>
      <c r="CM3553" s="111"/>
      <c r="CQ3553" s="111"/>
      <c r="EF3553"/>
      <c r="EG3553"/>
      <c r="EH3553"/>
      <c r="EI3553"/>
      <c r="EJ3553"/>
      <c r="EK3553"/>
    </row>
    <row r="3554" spans="1:141" s="116" customFormat="1">
      <c r="A3554" s="136"/>
      <c r="CM3554" s="111"/>
      <c r="CQ3554" s="111"/>
      <c r="EF3554"/>
      <c r="EG3554"/>
      <c r="EH3554"/>
      <c r="EI3554"/>
      <c r="EJ3554"/>
      <c r="EK3554"/>
    </row>
    <row r="3555" spans="1:141" s="116" customFormat="1">
      <c r="A3555" s="136"/>
      <c r="CM3555" s="111"/>
      <c r="CQ3555" s="111"/>
      <c r="EF3555"/>
      <c r="EG3555"/>
      <c r="EH3555"/>
      <c r="EI3555"/>
      <c r="EJ3555"/>
      <c r="EK3555"/>
    </row>
    <row r="3556" spans="1:141" s="116" customFormat="1">
      <c r="A3556" s="136"/>
      <c r="CM3556" s="111"/>
      <c r="CQ3556" s="111"/>
      <c r="EF3556"/>
      <c r="EG3556"/>
      <c r="EH3556"/>
      <c r="EI3556"/>
      <c r="EJ3556"/>
      <c r="EK3556"/>
    </row>
    <row r="3557" spans="1:141" s="116" customFormat="1">
      <c r="A3557" s="136"/>
      <c r="CM3557" s="111"/>
      <c r="CQ3557" s="111"/>
      <c r="EF3557"/>
      <c r="EG3557"/>
      <c r="EH3557"/>
      <c r="EI3557"/>
      <c r="EJ3557"/>
      <c r="EK3557"/>
    </row>
    <row r="3558" spans="1:141" s="116" customFormat="1">
      <c r="A3558" s="136"/>
      <c r="CM3558" s="111"/>
      <c r="CQ3558" s="111"/>
      <c r="EF3558"/>
      <c r="EG3558"/>
      <c r="EH3558"/>
      <c r="EI3558"/>
      <c r="EJ3558"/>
      <c r="EK3558"/>
    </row>
    <row r="3559" spans="1:141" s="116" customFormat="1">
      <c r="A3559" s="136"/>
      <c r="CM3559" s="111"/>
      <c r="CQ3559" s="111"/>
      <c r="EF3559"/>
      <c r="EG3559"/>
      <c r="EH3559"/>
      <c r="EI3559"/>
      <c r="EJ3559"/>
      <c r="EK3559"/>
    </row>
    <row r="3560" spans="1:141" s="116" customFormat="1">
      <c r="A3560" s="136"/>
      <c r="CM3560" s="111"/>
      <c r="CQ3560" s="111"/>
      <c r="EF3560"/>
      <c r="EG3560"/>
      <c r="EH3560"/>
      <c r="EI3560"/>
      <c r="EJ3560"/>
      <c r="EK3560"/>
    </row>
    <row r="3561" spans="1:141" s="116" customFormat="1">
      <c r="A3561" s="136"/>
      <c r="CM3561" s="111"/>
      <c r="CQ3561" s="111"/>
      <c r="EF3561"/>
      <c r="EG3561"/>
      <c r="EH3561"/>
      <c r="EI3561"/>
      <c r="EJ3561"/>
      <c r="EK3561"/>
    </row>
    <row r="3562" spans="1:141" s="116" customFormat="1">
      <c r="A3562" s="136"/>
      <c r="CM3562" s="111"/>
      <c r="CQ3562" s="111"/>
      <c r="EF3562"/>
      <c r="EG3562"/>
      <c r="EH3562"/>
      <c r="EI3562"/>
      <c r="EJ3562"/>
      <c r="EK3562"/>
    </row>
    <row r="3563" spans="1:141" s="116" customFormat="1">
      <c r="A3563" s="136"/>
      <c r="CM3563" s="111"/>
      <c r="CQ3563" s="111"/>
      <c r="EF3563"/>
      <c r="EG3563"/>
      <c r="EH3563"/>
      <c r="EI3563"/>
      <c r="EJ3563"/>
      <c r="EK3563"/>
    </row>
    <row r="3564" spans="1:141" s="116" customFormat="1">
      <c r="A3564" s="136"/>
      <c r="CM3564" s="111"/>
      <c r="CQ3564" s="111"/>
      <c r="EF3564"/>
      <c r="EG3564"/>
      <c r="EH3564"/>
      <c r="EI3564"/>
      <c r="EJ3564"/>
      <c r="EK3564"/>
    </row>
    <row r="3565" spans="1:141" s="116" customFormat="1">
      <c r="A3565" s="136"/>
      <c r="CM3565" s="111"/>
      <c r="CQ3565" s="111"/>
      <c r="EF3565"/>
      <c r="EG3565"/>
      <c r="EH3565"/>
      <c r="EI3565"/>
      <c r="EJ3565"/>
      <c r="EK3565"/>
    </row>
    <row r="3566" spans="1:141" s="116" customFormat="1">
      <c r="A3566" s="136"/>
      <c r="CM3566" s="111"/>
      <c r="CQ3566" s="111"/>
      <c r="EF3566"/>
      <c r="EG3566"/>
      <c r="EH3566"/>
      <c r="EI3566"/>
      <c r="EJ3566"/>
      <c r="EK3566"/>
    </row>
    <row r="3567" spans="1:141" s="116" customFormat="1">
      <c r="A3567" s="136"/>
      <c r="CM3567" s="111"/>
      <c r="CQ3567" s="111"/>
      <c r="EF3567"/>
      <c r="EG3567"/>
      <c r="EH3567"/>
      <c r="EI3567"/>
      <c r="EJ3567"/>
      <c r="EK3567"/>
    </row>
    <row r="3568" spans="1:141" s="116" customFormat="1">
      <c r="A3568" s="136"/>
      <c r="CM3568" s="111"/>
      <c r="CQ3568" s="111"/>
      <c r="EF3568"/>
      <c r="EG3568"/>
      <c r="EH3568"/>
      <c r="EI3568"/>
      <c r="EJ3568"/>
      <c r="EK3568"/>
    </row>
    <row r="3569" spans="1:141" s="116" customFormat="1">
      <c r="A3569" s="136"/>
      <c r="CM3569" s="111"/>
      <c r="CQ3569" s="111"/>
      <c r="EF3569"/>
      <c r="EG3569"/>
      <c r="EH3569"/>
      <c r="EI3569"/>
      <c r="EJ3569"/>
      <c r="EK3569"/>
    </row>
    <row r="3570" spans="1:141" s="116" customFormat="1">
      <c r="A3570" s="136"/>
      <c r="CM3570" s="111"/>
      <c r="CQ3570" s="111"/>
      <c r="EF3570"/>
      <c r="EG3570"/>
      <c r="EH3570"/>
      <c r="EI3570"/>
      <c r="EJ3570"/>
      <c r="EK3570"/>
    </row>
    <row r="3571" spans="1:141" s="116" customFormat="1">
      <c r="A3571" s="136"/>
      <c r="CM3571" s="111"/>
      <c r="CQ3571" s="111"/>
      <c r="EF3571"/>
      <c r="EG3571"/>
      <c r="EH3571"/>
      <c r="EI3571"/>
      <c r="EJ3571"/>
      <c r="EK3571"/>
    </row>
    <row r="3572" spans="1:141" s="116" customFormat="1">
      <c r="A3572" s="136"/>
      <c r="CM3572" s="111"/>
      <c r="CQ3572" s="111"/>
      <c r="EF3572"/>
      <c r="EG3572"/>
      <c r="EH3572"/>
      <c r="EI3572"/>
      <c r="EJ3572"/>
      <c r="EK3572"/>
    </row>
    <row r="3573" spans="1:141" s="116" customFormat="1">
      <c r="A3573" s="136"/>
      <c r="CM3573" s="111"/>
      <c r="CQ3573" s="111"/>
      <c r="EF3573"/>
      <c r="EG3573"/>
      <c r="EH3573"/>
      <c r="EI3573"/>
      <c r="EJ3573"/>
      <c r="EK3573"/>
    </row>
    <row r="3574" spans="1:141" s="116" customFormat="1">
      <c r="A3574" s="136"/>
      <c r="CM3574" s="111"/>
      <c r="CQ3574" s="111"/>
      <c r="EF3574"/>
      <c r="EG3574"/>
      <c r="EH3574"/>
      <c r="EI3574"/>
      <c r="EJ3574"/>
      <c r="EK3574"/>
    </row>
    <row r="3575" spans="1:141" s="116" customFormat="1">
      <c r="A3575" s="136"/>
      <c r="CM3575" s="111"/>
      <c r="CQ3575" s="111"/>
      <c r="EF3575"/>
      <c r="EG3575"/>
      <c r="EH3575"/>
      <c r="EI3575"/>
      <c r="EJ3575"/>
      <c r="EK3575"/>
    </row>
    <row r="3576" spans="1:141" s="116" customFormat="1">
      <c r="A3576" s="136"/>
      <c r="CM3576" s="111"/>
      <c r="CQ3576" s="111"/>
      <c r="EF3576"/>
      <c r="EG3576"/>
      <c r="EH3576"/>
      <c r="EI3576"/>
      <c r="EJ3576"/>
      <c r="EK3576"/>
    </row>
    <row r="3577" spans="1:141" s="116" customFormat="1">
      <c r="A3577" s="136"/>
      <c r="CM3577" s="111"/>
      <c r="CQ3577" s="111"/>
      <c r="EF3577"/>
      <c r="EG3577"/>
      <c r="EH3577"/>
      <c r="EI3577"/>
      <c r="EJ3577"/>
      <c r="EK3577"/>
    </row>
    <row r="3578" spans="1:141" s="116" customFormat="1">
      <c r="A3578" s="136"/>
      <c r="CM3578" s="111"/>
      <c r="CQ3578" s="111"/>
      <c r="EF3578"/>
      <c r="EG3578"/>
      <c r="EH3578"/>
      <c r="EI3578"/>
      <c r="EJ3578"/>
      <c r="EK3578"/>
    </row>
    <row r="3579" spans="1:141" s="116" customFormat="1">
      <c r="A3579" s="136"/>
      <c r="CM3579" s="111"/>
      <c r="CQ3579" s="111"/>
      <c r="EF3579"/>
      <c r="EG3579"/>
      <c r="EH3579"/>
      <c r="EI3579"/>
      <c r="EJ3579"/>
      <c r="EK3579"/>
    </row>
    <row r="3580" spans="1:141" s="116" customFormat="1">
      <c r="A3580" s="136"/>
      <c r="CM3580" s="111"/>
      <c r="CQ3580" s="111"/>
      <c r="EF3580"/>
      <c r="EG3580"/>
      <c r="EH3580"/>
      <c r="EI3580"/>
      <c r="EJ3580"/>
      <c r="EK3580"/>
    </row>
    <row r="3581" spans="1:141" s="116" customFormat="1">
      <c r="A3581" s="136"/>
      <c r="CM3581" s="111"/>
      <c r="CQ3581" s="111"/>
      <c r="EF3581"/>
      <c r="EG3581"/>
      <c r="EH3581"/>
      <c r="EI3581"/>
      <c r="EJ3581"/>
      <c r="EK3581"/>
    </row>
    <row r="3582" spans="1:141" s="116" customFormat="1">
      <c r="A3582" s="136"/>
      <c r="CM3582" s="111"/>
      <c r="CQ3582" s="111"/>
      <c r="EF3582"/>
      <c r="EG3582"/>
      <c r="EH3582"/>
      <c r="EI3582"/>
      <c r="EJ3582"/>
      <c r="EK3582"/>
    </row>
    <row r="3583" spans="1:141" s="116" customFormat="1">
      <c r="A3583" s="136"/>
      <c r="CM3583" s="111"/>
      <c r="CQ3583" s="111"/>
      <c r="EF3583"/>
      <c r="EG3583"/>
      <c r="EH3583"/>
      <c r="EI3583"/>
      <c r="EJ3583"/>
      <c r="EK3583"/>
    </row>
    <row r="3584" spans="1:141" s="116" customFormat="1">
      <c r="A3584" s="136"/>
      <c r="CM3584" s="111"/>
      <c r="CQ3584" s="111"/>
      <c r="EF3584"/>
      <c r="EG3584"/>
      <c r="EH3584"/>
      <c r="EI3584"/>
      <c r="EJ3584"/>
      <c r="EK3584"/>
    </row>
    <row r="3585" spans="1:141" s="116" customFormat="1">
      <c r="A3585" s="136"/>
      <c r="CM3585" s="111"/>
      <c r="CQ3585" s="111"/>
      <c r="EF3585"/>
      <c r="EG3585"/>
      <c r="EH3585"/>
      <c r="EI3585"/>
      <c r="EJ3585"/>
      <c r="EK3585"/>
    </row>
    <row r="3586" spans="1:141" s="116" customFormat="1">
      <c r="A3586" s="136"/>
      <c r="CM3586" s="111"/>
      <c r="CQ3586" s="111"/>
      <c r="EF3586"/>
      <c r="EG3586"/>
      <c r="EH3586"/>
      <c r="EI3586"/>
      <c r="EJ3586"/>
      <c r="EK3586"/>
    </row>
    <row r="3587" spans="1:141" s="116" customFormat="1">
      <c r="A3587" s="136"/>
      <c r="CM3587" s="111"/>
      <c r="CQ3587" s="111"/>
      <c r="EF3587"/>
      <c r="EG3587"/>
      <c r="EH3587"/>
      <c r="EI3587"/>
      <c r="EJ3587"/>
      <c r="EK3587"/>
    </row>
    <row r="3588" spans="1:141" s="116" customFormat="1">
      <c r="A3588" s="136"/>
      <c r="CM3588" s="111"/>
      <c r="CQ3588" s="111"/>
      <c r="EF3588"/>
      <c r="EG3588"/>
      <c r="EH3588"/>
      <c r="EI3588"/>
      <c r="EJ3588"/>
      <c r="EK3588"/>
    </row>
    <row r="3589" spans="1:141" s="116" customFormat="1">
      <c r="A3589" s="136"/>
      <c r="CM3589" s="111"/>
      <c r="CQ3589" s="111"/>
      <c r="EF3589"/>
      <c r="EG3589"/>
      <c r="EH3589"/>
      <c r="EI3589"/>
      <c r="EJ3589"/>
      <c r="EK3589"/>
    </row>
    <row r="3590" spans="1:141" s="116" customFormat="1">
      <c r="A3590" s="136"/>
      <c r="CM3590" s="111"/>
      <c r="CQ3590" s="111"/>
      <c r="EF3590"/>
      <c r="EG3590"/>
      <c r="EH3590"/>
      <c r="EI3590"/>
      <c r="EJ3590"/>
      <c r="EK3590"/>
    </row>
    <row r="3591" spans="1:141" s="116" customFormat="1">
      <c r="A3591" s="136"/>
      <c r="CM3591" s="111"/>
      <c r="CQ3591" s="111"/>
      <c r="EF3591"/>
      <c r="EG3591"/>
      <c r="EH3591"/>
      <c r="EI3591"/>
      <c r="EJ3591"/>
      <c r="EK3591"/>
    </row>
    <row r="3592" spans="1:141" s="116" customFormat="1">
      <c r="A3592" s="136"/>
      <c r="CM3592" s="111"/>
      <c r="CQ3592" s="111"/>
      <c r="EF3592"/>
      <c r="EG3592"/>
      <c r="EH3592"/>
      <c r="EI3592"/>
      <c r="EJ3592"/>
      <c r="EK3592"/>
    </row>
    <row r="3593" spans="1:141" s="116" customFormat="1">
      <c r="A3593" s="136"/>
      <c r="CM3593" s="111"/>
      <c r="CQ3593" s="111"/>
      <c r="EF3593"/>
      <c r="EG3593"/>
      <c r="EH3593"/>
      <c r="EI3593"/>
      <c r="EJ3593"/>
      <c r="EK3593"/>
    </row>
    <row r="3594" spans="1:141" s="116" customFormat="1">
      <c r="A3594" s="136"/>
      <c r="CM3594" s="111"/>
      <c r="CQ3594" s="111"/>
      <c r="EF3594"/>
      <c r="EG3594"/>
      <c r="EH3594"/>
      <c r="EI3594"/>
      <c r="EJ3594"/>
      <c r="EK3594"/>
    </row>
    <row r="3595" spans="1:141" s="116" customFormat="1">
      <c r="A3595" s="136"/>
      <c r="CM3595" s="111"/>
      <c r="CQ3595" s="111"/>
      <c r="EF3595"/>
      <c r="EG3595"/>
      <c r="EH3595"/>
      <c r="EI3595"/>
      <c r="EJ3595"/>
      <c r="EK3595"/>
    </row>
    <row r="3596" spans="1:141" s="116" customFormat="1">
      <c r="A3596" s="136"/>
      <c r="CM3596" s="111"/>
      <c r="CQ3596" s="111"/>
      <c r="EF3596"/>
      <c r="EG3596"/>
      <c r="EH3596"/>
      <c r="EI3596"/>
      <c r="EJ3596"/>
      <c r="EK3596"/>
    </row>
    <row r="3597" spans="1:141" s="116" customFormat="1">
      <c r="A3597" s="136"/>
      <c r="CM3597" s="111"/>
      <c r="CQ3597" s="111"/>
      <c r="EF3597"/>
      <c r="EG3597"/>
      <c r="EH3597"/>
      <c r="EI3597"/>
      <c r="EJ3597"/>
      <c r="EK3597"/>
    </row>
    <row r="3598" spans="1:141" s="116" customFormat="1">
      <c r="A3598" s="136"/>
      <c r="CM3598" s="111"/>
      <c r="CQ3598" s="111"/>
      <c r="EF3598"/>
      <c r="EG3598"/>
      <c r="EH3598"/>
      <c r="EI3598"/>
      <c r="EJ3598"/>
      <c r="EK3598"/>
    </row>
    <row r="3599" spans="1:141" s="116" customFormat="1">
      <c r="A3599" s="136"/>
      <c r="CM3599" s="111"/>
      <c r="CQ3599" s="111"/>
      <c r="EF3599"/>
      <c r="EG3599"/>
      <c r="EH3599"/>
      <c r="EI3599"/>
      <c r="EJ3599"/>
      <c r="EK3599"/>
    </row>
    <row r="3600" spans="1:141" s="116" customFormat="1">
      <c r="A3600" s="136"/>
      <c r="CM3600" s="111"/>
      <c r="CQ3600" s="111"/>
      <c r="EF3600"/>
      <c r="EG3600"/>
      <c r="EH3600"/>
      <c r="EI3600"/>
      <c r="EJ3600"/>
      <c r="EK3600"/>
    </row>
    <row r="3601" spans="1:141" s="116" customFormat="1">
      <c r="A3601" s="136"/>
      <c r="CM3601" s="111"/>
      <c r="CQ3601" s="111"/>
      <c r="EF3601"/>
      <c r="EG3601"/>
      <c r="EH3601"/>
      <c r="EI3601"/>
      <c r="EJ3601"/>
      <c r="EK3601"/>
    </row>
    <row r="3602" spans="1:141" s="116" customFormat="1">
      <c r="A3602" s="136"/>
      <c r="CM3602" s="111"/>
      <c r="CQ3602" s="111"/>
      <c r="EF3602"/>
      <c r="EG3602"/>
      <c r="EH3602"/>
      <c r="EI3602"/>
      <c r="EJ3602"/>
      <c r="EK3602"/>
    </row>
    <row r="3603" spans="1:141" s="116" customFormat="1">
      <c r="A3603" s="136"/>
      <c r="CM3603" s="111"/>
      <c r="CQ3603" s="111"/>
      <c r="EF3603"/>
      <c r="EG3603"/>
      <c r="EH3603"/>
      <c r="EI3603"/>
      <c r="EJ3603"/>
      <c r="EK3603"/>
    </row>
    <row r="3604" spans="1:141" s="116" customFormat="1">
      <c r="A3604" s="136"/>
      <c r="CM3604" s="111"/>
      <c r="CQ3604" s="111"/>
      <c r="EF3604"/>
      <c r="EG3604"/>
      <c r="EH3604"/>
      <c r="EI3604"/>
      <c r="EJ3604"/>
      <c r="EK3604"/>
    </row>
    <row r="3605" spans="1:141" s="116" customFormat="1">
      <c r="A3605" s="136"/>
      <c r="CM3605" s="111"/>
      <c r="CQ3605" s="111"/>
      <c r="EF3605"/>
      <c r="EG3605"/>
      <c r="EH3605"/>
      <c r="EI3605"/>
      <c r="EJ3605"/>
      <c r="EK3605"/>
    </row>
    <row r="3606" spans="1:141" s="116" customFormat="1">
      <c r="A3606" s="136"/>
      <c r="CM3606" s="111"/>
      <c r="CQ3606" s="111"/>
      <c r="EF3606"/>
      <c r="EG3606"/>
      <c r="EH3606"/>
      <c r="EI3606"/>
      <c r="EJ3606"/>
      <c r="EK3606"/>
    </row>
    <row r="3607" spans="1:141" s="116" customFormat="1">
      <c r="A3607" s="136"/>
      <c r="CM3607" s="111"/>
      <c r="CQ3607" s="111"/>
      <c r="EF3607"/>
      <c r="EG3607"/>
      <c r="EH3607"/>
      <c r="EI3607"/>
      <c r="EJ3607"/>
      <c r="EK3607"/>
    </row>
    <row r="3608" spans="1:141" s="116" customFormat="1">
      <c r="A3608" s="136"/>
      <c r="CM3608" s="111"/>
      <c r="CQ3608" s="111"/>
      <c r="EF3608"/>
      <c r="EG3608"/>
      <c r="EH3608"/>
      <c r="EI3608"/>
      <c r="EJ3608"/>
      <c r="EK3608"/>
    </row>
    <row r="3609" spans="1:141" s="116" customFormat="1">
      <c r="A3609" s="136"/>
      <c r="CM3609" s="111"/>
      <c r="CQ3609" s="111"/>
      <c r="EF3609"/>
      <c r="EG3609"/>
      <c r="EH3609"/>
      <c r="EI3609"/>
      <c r="EJ3609"/>
      <c r="EK3609"/>
    </row>
    <row r="3610" spans="1:141" s="116" customFormat="1">
      <c r="A3610" s="136"/>
      <c r="CM3610" s="111"/>
      <c r="CQ3610" s="111"/>
      <c r="EF3610"/>
      <c r="EG3610"/>
      <c r="EH3610"/>
      <c r="EI3610"/>
      <c r="EJ3610"/>
      <c r="EK3610"/>
    </row>
    <row r="3611" spans="1:141" s="116" customFormat="1">
      <c r="A3611" s="136"/>
      <c r="CM3611" s="111"/>
      <c r="CQ3611" s="111"/>
      <c r="EF3611"/>
      <c r="EG3611"/>
      <c r="EH3611"/>
      <c r="EI3611"/>
      <c r="EJ3611"/>
      <c r="EK3611"/>
    </row>
    <row r="3612" spans="1:141" s="116" customFormat="1">
      <c r="A3612" s="136"/>
      <c r="CM3612" s="111"/>
      <c r="CQ3612" s="111"/>
      <c r="EF3612"/>
      <c r="EG3612"/>
      <c r="EH3612"/>
      <c r="EI3612"/>
      <c r="EJ3612"/>
      <c r="EK3612"/>
    </row>
    <row r="3613" spans="1:141" s="116" customFormat="1">
      <c r="A3613" s="136"/>
      <c r="CM3613" s="111"/>
      <c r="CQ3613" s="111"/>
      <c r="EF3613"/>
      <c r="EG3613"/>
      <c r="EH3613"/>
      <c r="EI3613"/>
      <c r="EJ3613"/>
      <c r="EK3613"/>
    </row>
    <row r="3614" spans="1:141" s="116" customFormat="1">
      <c r="A3614" s="136"/>
      <c r="CM3614" s="111"/>
      <c r="CQ3614" s="111"/>
      <c r="EF3614"/>
      <c r="EG3614"/>
      <c r="EH3614"/>
      <c r="EI3614"/>
      <c r="EJ3614"/>
      <c r="EK3614"/>
    </row>
    <row r="3615" spans="1:141" s="116" customFormat="1">
      <c r="A3615" s="136"/>
      <c r="CM3615" s="111"/>
      <c r="CQ3615" s="111"/>
      <c r="EF3615"/>
      <c r="EG3615"/>
      <c r="EH3615"/>
      <c r="EI3615"/>
      <c r="EJ3615"/>
      <c r="EK3615"/>
    </row>
    <row r="3616" spans="1:141" s="116" customFormat="1">
      <c r="A3616" s="136"/>
      <c r="CM3616" s="111"/>
      <c r="CQ3616" s="111"/>
      <c r="EF3616"/>
      <c r="EG3616"/>
      <c r="EH3616"/>
      <c r="EI3616"/>
      <c r="EJ3616"/>
      <c r="EK3616"/>
    </row>
    <row r="3617" spans="1:141" s="116" customFormat="1">
      <c r="A3617" s="136"/>
      <c r="CM3617" s="111"/>
      <c r="CQ3617" s="111"/>
      <c r="EF3617"/>
      <c r="EG3617"/>
      <c r="EH3617"/>
      <c r="EI3617"/>
      <c r="EJ3617"/>
      <c r="EK3617"/>
    </row>
    <row r="3618" spans="1:141" s="116" customFormat="1">
      <c r="A3618" s="136"/>
      <c r="CM3618" s="111"/>
      <c r="CQ3618" s="111"/>
      <c r="EF3618"/>
      <c r="EG3618"/>
      <c r="EH3618"/>
      <c r="EI3618"/>
      <c r="EJ3618"/>
      <c r="EK3618"/>
    </row>
    <row r="3619" spans="1:141" s="116" customFormat="1">
      <c r="A3619" s="136"/>
      <c r="CM3619" s="111"/>
      <c r="CQ3619" s="111"/>
      <c r="EF3619"/>
      <c r="EG3619"/>
      <c r="EH3619"/>
      <c r="EI3619"/>
      <c r="EJ3619"/>
      <c r="EK3619"/>
    </row>
    <row r="3620" spans="1:141" s="116" customFormat="1">
      <c r="A3620" s="136"/>
      <c r="CM3620" s="111"/>
      <c r="CQ3620" s="111"/>
      <c r="EF3620"/>
      <c r="EG3620"/>
      <c r="EH3620"/>
      <c r="EI3620"/>
      <c r="EJ3620"/>
      <c r="EK3620"/>
    </row>
    <row r="3621" spans="1:141" s="116" customFormat="1">
      <c r="A3621" s="136"/>
      <c r="CM3621" s="111"/>
      <c r="CQ3621" s="111"/>
      <c r="EF3621"/>
      <c r="EG3621"/>
      <c r="EH3621"/>
      <c r="EI3621"/>
      <c r="EJ3621"/>
      <c r="EK3621"/>
    </row>
    <row r="3622" spans="1:141" s="116" customFormat="1">
      <c r="A3622" s="136"/>
      <c r="CM3622" s="111"/>
      <c r="CQ3622" s="111"/>
      <c r="EF3622"/>
      <c r="EG3622"/>
      <c r="EH3622"/>
      <c r="EI3622"/>
      <c r="EJ3622"/>
      <c r="EK3622"/>
    </row>
    <row r="3623" spans="1:141" s="116" customFormat="1">
      <c r="A3623" s="136"/>
      <c r="CM3623" s="111"/>
      <c r="CQ3623" s="111"/>
      <c r="EF3623"/>
      <c r="EG3623"/>
      <c r="EH3623"/>
      <c r="EI3623"/>
      <c r="EJ3623"/>
      <c r="EK3623"/>
    </row>
    <row r="3624" spans="1:141" s="116" customFormat="1">
      <c r="A3624" s="136"/>
      <c r="CM3624" s="111"/>
      <c r="CQ3624" s="111"/>
      <c r="EF3624"/>
      <c r="EG3624"/>
      <c r="EH3624"/>
      <c r="EI3624"/>
      <c r="EJ3624"/>
      <c r="EK3624"/>
    </row>
    <row r="3625" spans="1:141" s="116" customFormat="1">
      <c r="A3625" s="136"/>
      <c r="CM3625" s="111"/>
      <c r="CQ3625" s="111"/>
      <c r="EF3625"/>
      <c r="EG3625"/>
      <c r="EH3625"/>
      <c r="EI3625"/>
      <c r="EJ3625"/>
      <c r="EK3625"/>
    </row>
    <row r="3626" spans="1:141" s="116" customFormat="1">
      <c r="A3626" s="136"/>
      <c r="CM3626" s="111"/>
      <c r="CQ3626" s="111"/>
      <c r="EF3626"/>
      <c r="EG3626"/>
      <c r="EH3626"/>
      <c r="EI3626"/>
      <c r="EJ3626"/>
      <c r="EK3626"/>
    </row>
    <row r="3627" spans="1:141" s="116" customFormat="1">
      <c r="A3627" s="136"/>
      <c r="CM3627" s="111"/>
      <c r="CQ3627" s="111"/>
      <c r="EF3627"/>
      <c r="EG3627"/>
      <c r="EH3627"/>
      <c r="EI3627"/>
      <c r="EJ3627"/>
      <c r="EK3627"/>
    </row>
    <row r="3628" spans="1:141" s="116" customFormat="1">
      <c r="A3628" s="136"/>
      <c r="CM3628" s="111"/>
      <c r="CQ3628" s="111"/>
      <c r="EF3628"/>
      <c r="EG3628"/>
      <c r="EH3628"/>
      <c r="EI3628"/>
      <c r="EJ3628"/>
      <c r="EK3628"/>
    </row>
    <row r="3629" spans="1:141" s="116" customFormat="1">
      <c r="A3629" s="136"/>
      <c r="CM3629" s="111"/>
      <c r="CQ3629" s="111"/>
      <c r="EF3629"/>
      <c r="EG3629"/>
      <c r="EH3629"/>
      <c r="EI3629"/>
      <c r="EJ3629"/>
      <c r="EK3629"/>
    </row>
    <row r="3630" spans="1:141" s="116" customFormat="1">
      <c r="A3630" s="136"/>
      <c r="CM3630" s="111"/>
      <c r="CQ3630" s="111"/>
      <c r="EF3630"/>
      <c r="EG3630"/>
      <c r="EH3630"/>
      <c r="EI3630"/>
      <c r="EJ3630"/>
      <c r="EK3630"/>
    </row>
    <row r="3631" spans="1:141" s="116" customFormat="1">
      <c r="A3631" s="136"/>
      <c r="CM3631" s="111"/>
      <c r="CQ3631" s="111"/>
      <c r="EF3631"/>
      <c r="EG3631"/>
      <c r="EH3631"/>
      <c r="EI3631"/>
      <c r="EJ3631"/>
      <c r="EK3631"/>
    </row>
    <row r="3632" spans="1:141" s="116" customFormat="1">
      <c r="A3632" s="136"/>
      <c r="CM3632" s="111"/>
      <c r="CQ3632" s="111"/>
      <c r="EF3632"/>
      <c r="EG3632"/>
      <c r="EH3632"/>
      <c r="EI3632"/>
      <c r="EJ3632"/>
      <c r="EK3632"/>
    </row>
    <row r="3633" spans="1:141" s="116" customFormat="1">
      <c r="A3633" s="136"/>
      <c r="CM3633" s="111"/>
      <c r="CQ3633" s="111"/>
      <c r="EF3633"/>
      <c r="EG3633"/>
      <c r="EH3633"/>
      <c r="EI3633"/>
      <c r="EJ3633"/>
      <c r="EK3633"/>
    </row>
    <row r="3634" spans="1:141" s="116" customFormat="1">
      <c r="A3634" s="136"/>
      <c r="CM3634" s="111"/>
      <c r="CQ3634" s="111"/>
      <c r="EF3634"/>
      <c r="EG3634"/>
      <c r="EH3634"/>
      <c r="EI3634"/>
      <c r="EJ3634"/>
      <c r="EK3634"/>
    </row>
    <row r="3635" spans="1:141" s="116" customFormat="1">
      <c r="A3635" s="136"/>
      <c r="CM3635" s="111"/>
      <c r="CQ3635" s="111"/>
      <c r="EF3635"/>
      <c r="EG3635"/>
      <c r="EH3635"/>
      <c r="EI3635"/>
      <c r="EJ3635"/>
      <c r="EK3635"/>
    </row>
    <row r="3636" spans="1:141" s="116" customFormat="1">
      <c r="A3636" s="136"/>
      <c r="CM3636" s="111"/>
      <c r="CQ3636" s="111"/>
      <c r="EF3636"/>
      <c r="EG3636"/>
      <c r="EH3636"/>
      <c r="EI3636"/>
      <c r="EJ3636"/>
      <c r="EK3636"/>
    </row>
    <row r="3637" spans="1:141" s="116" customFormat="1">
      <c r="A3637" s="136"/>
      <c r="CM3637" s="111"/>
      <c r="CQ3637" s="111"/>
      <c r="EF3637"/>
      <c r="EG3637"/>
      <c r="EH3637"/>
      <c r="EI3637"/>
      <c r="EJ3637"/>
      <c r="EK3637"/>
    </row>
    <row r="3638" spans="1:141" s="116" customFormat="1">
      <c r="A3638" s="136"/>
      <c r="CM3638" s="111"/>
      <c r="CQ3638" s="111"/>
      <c r="EF3638"/>
      <c r="EG3638"/>
      <c r="EH3638"/>
      <c r="EI3638"/>
      <c r="EJ3638"/>
      <c r="EK3638"/>
    </row>
    <row r="3639" spans="1:141" s="116" customFormat="1">
      <c r="A3639" s="136"/>
      <c r="CM3639" s="111"/>
      <c r="CQ3639" s="111"/>
      <c r="EF3639"/>
      <c r="EG3639"/>
      <c r="EH3639"/>
      <c r="EI3639"/>
      <c r="EJ3639"/>
      <c r="EK3639"/>
    </row>
    <row r="3640" spans="1:141" s="116" customFormat="1">
      <c r="A3640" s="136"/>
      <c r="CM3640" s="111"/>
      <c r="CQ3640" s="111"/>
      <c r="EF3640"/>
      <c r="EG3640"/>
      <c r="EH3640"/>
      <c r="EI3640"/>
      <c r="EJ3640"/>
      <c r="EK3640"/>
    </row>
    <row r="3641" spans="1:141" s="116" customFormat="1">
      <c r="A3641" s="136"/>
      <c r="CM3641" s="111"/>
      <c r="CQ3641" s="111"/>
      <c r="EF3641"/>
      <c r="EG3641"/>
      <c r="EH3641"/>
      <c r="EI3641"/>
      <c r="EJ3641"/>
      <c r="EK3641"/>
    </row>
    <row r="3642" spans="1:141" s="116" customFormat="1">
      <c r="A3642" s="136"/>
      <c r="CM3642" s="111"/>
      <c r="CQ3642" s="111"/>
      <c r="EF3642"/>
      <c r="EG3642"/>
      <c r="EH3642"/>
      <c r="EI3642"/>
      <c r="EJ3642"/>
      <c r="EK3642"/>
    </row>
    <row r="3643" spans="1:141" s="116" customFormat="1">
      <c r="A3643" s="136"/>
      <c r="CM3643" s="111"/>
      <c r="CQ3643" s="111"/>
      <c r="EF3643"/>
      <c r="EG3643"/>
      <c r="EH3643"/>
      <c r="EI3643"/>
      <c r="EJ3643"/>
      <c r="EK3643"/>
    </row>
    <row r="3644" spans="1:141" s="116" customFormat="1">
      <c r="A3644" s="136"/>
      <c r="CM3644" s="111"/>
      <c r="CQ3644" s="111"/>
      <c r="EF3644"/>
      <c r="EG3644"/>
      <c r="EH3644"/>
      <c r="EI3644"/>
      <c r="EJ3644"/>
      <c r="EK3644"/>
    </row>
    <row r="3645" spans="1:141" s="116" customFormat="1">
      <c r="A3645" s="136"/>
      <c r="CM3645" s="111"/>
      <c r="CQ3645" s="111"/>
      <c r="EF3645"/>
      <c r="EG3645"/>
      <c r="EH3645"/>
      <c r="EI3645"/>
      <c r="EJ3645"/>
      <c r="EK3645"/>
    </row>
    <row r="3646" spans="1:141" s="116" customFormat="1">
      <c r="A3646" s="136"/>
      <c r="CM3646" s="111"/>
      <c r="CQ3646" s="111"/>
      <c r="EF3646"/>
      <c r="EG3646"/>
      <c r="EH3646"/>
      <c r="EI3646"/>
      <c r="EJ3646"/>
      <c r="EK3646"/>
    </row>
    <row r="3647" spans="1:141" s="116" customFormat="1">
      <c r="A3647" s="136"/>
      <c r="CM3647" s="111"/>
      <c r="CQ3647" s="111"/>
      <c r="EF3647"/>
      <c r="EG3647"/>
      <c r="EH3647"/>
      <c r="EI3647"/>
      <c r="EJ3647"/>
      <c r="EK3647"/>
    </row>
    <row r="3648" spans="1:141" s="116" customFormat="1">
      <c r="A3648" s="136"/>
      <c r="CM3648" s="111"/>
      <c r="CQ3648" s="111"/>
      <c r="EF3648"/>
      <c r="EG3648"/>
      <c r="EH3648"/>
      <c r="EI3648"/>
      <c r="EJ3648"/>
      <c r="EK3648"/>
    </row>
    <row r="3649" spans="1:141" s="116" customFormat="1">
      <c r="A3649" s="136"/>
      <c r="CM3649" s="111"/>
      <c r="CQ3649" s="111"/>
      <c r="EF3649"/>
      <c r="EG3649"/>
      <c r="EH3649"/>
      <c r="EI3649"/>
      <c r="EJ3649"/>
      <c r="EK3649"/>
    </row>
    <row r="3650" spans="1:141" s="116" customFormat="1">
      <c r="A3650" s="136"/>
      <c r="CM3650" s="111"/>
      <c r="CQ3650" s="111"/>
      <c r="EF3650"/>
      <c r="EG3650"/>
      <c r="EH3650"/>
      <c r="EI3650"/>
      <c r="EJ3650"/>
      <c r="EK3650"/>
    </row>
    <row r="3651" spans="1:141" s="116" customFormat="1">
      <c r="A3651" s="136"/>
      <c r="CM3651" s="111"/>
      <c r="CQ3651" s="111"/>
      <c r="EF3651"/>
      <c r="EG3651"/>
      <c r="EH3651"/>
      <c r="EI3651"/>
      <c r="EJ3651"/>
      <c r="EK3651"/>
    </row>
    <row r="3652" spans="1:141" s="116" customFormat="1">
      <c r="A3652" s="136"/>
      <c r="CM3652" s="111"/>
      <c r="CQ3652" s="111"/>
      <c r="EF3652"/>
      <c r="EG3652"/>
      <c r="EH3652"/>
      <c r="EI3652"/>
      <c r="EJ3652"/>
      <c r="EK3652"/>
    </row>
    <row r="3653" spans="1:141" s="116" customFormat="1">
      <c r="A3653" s="136"/>
      <c r="CM3653" s="111"/>
      <c r="CQ3653" s="111"/>
      <c r="EF3653"/>
      <c r="EG3653"/>
      <c r="EH3653"/>
      <c r="EI3653"/>
      <c r="EJ3653"/>
      <c r="EK3653"/>
    </row>
    <row r="3654" spans="1:141" s="116" customFormat="1">
      <c r="A3654" s="136"/>
      <c r="CM3654" s="111"/>
      <c r="CQ3654" s="111"/>
      <c r="EF3654"/>
      <c r="EG3654"/>
      <c r="EH3654"/>
      <c r="EI3654"/>
      <c r="EJ3654"/>
      <c r="EK3654"/>
    </row>
    <row r="3655" spans="1:141" s="116" customFormat="1">
      <c r="A3655" s="136"/>
      <c r="CM3655" s="111"/>
      <c r="CQ3655" s="111"/>
      <c r="EF3655"/>
      <c r="EG3655"/>
      <c r="EH3655"/>
      <c r="EI3655"/>
      <c r="EJ3655"/>
      <c r="EK3655"/>
    </row>
    <row r="3656" spans="1:141" s="116" customFormat="1">
      <c r="A3656" s="136"/>
      <c r="CM3656" s="111"/>
      <c r="CQ3656" s="111"/>
      <c r="EF3656"/>
      <c r="EG3656"/>
      <c r="EH3656"/>
      <c r="EI3656"/>
      <c r="EJ3656"/>
      <c r="EK3656"/>
    </row>
    <row r="3657" spans="1:141" s="116" customFormat="1">
      <c r="A3657" s="136"/>
      <c r="CM3657" s="111"/>
      <c r="CQ3657" s="111"/>
      <c r="EF3657"/>
      <c r="EG3657"/>
      <c r="EH3657"/>
      <c r="EI3657"/>
      <c r="EJ3657"/>
      <c r="EK3657"/>
    </row>
    <row r="3658" spans="1:141" s="116" customFormat="1">
      <c r="A3658" s="136"/>
      <c r="CM3658" s="111"/>
      <c r="CQ3658" s="111"/>
      <c r="EF3658"/>
      <c r="EG3658"/>
      <c r="EH3658"/>
      <c r="EI3658"/>
      <c r="EJ3658"/>
      <c r="EK3658"/>
    </row>
    <row r="3659" spans="1:141" s="116" customFormat="1">
      <c r="A3659" s="136"/>
      <c r="CM3659" s="111"/>
      <c r="CQ3659" s="111"/>
      <c r="EF3659"/>
      <c r="EG3659"/>
      <c r="EH3659"/>
      <c r="EI3659"/>
      <c r="EJ3659"/>
      <c r="EK3659"/>
    </row>
    <row r="3660" spans="1:141" s="116" customFormat="1">
      <c r="A3660" s="136"/>
      <c r="CM3660" s="111"/>
      <c r="CQ3660" s="111"/>
      <c r="EF3660"/>
      <c r="EG3660"/>
      <c r="EH3660"/>
      <c r="EI3660"/>
      <c r="EJ3660"/>
      <c r="EK3660"/>
    </row>
    <row r="3661" spans="1:141" s="116" customFormat="1">
      <c r="A3661" s="136"/>
      <c r="CM3661" s="111"/>
      <c r="CQ3661" s="111"/>
      <c r="EF3661"/>
      <c r="EG3661"/>
      <c r="EH3661"/>
      <c r="EI3661"/>
      <c r="EJ3661"/>
      <c r="EK3661"/>
    </row>
    <row r="3662" spans="1:141" s="116" customFormat="1">
      <c r="A3662" s="136"/>
      <c r="CM3662" s="111"/>
      <c r="CQ3662" s="111"/>
      <c r="EF3662"/>
      <c r="EG3662"/>
      <c r="EH3662"/>
      <c r="EI3662"/>
      <c r="EJ3662"/>
      <c r="EK3662"/>
    </row>
    <row r="3663" spans="1:141" s="116" customFormat="1">
      <c r="A3663" s="136"/>
      <c r="CM3663" s="111"/>
      <c r="CQ3663" s="111"/>
      <c r="EF3663"/>
      <c r="EG3663"/>
      <c r="EH3663"/>
      <c r="EI3663"/>
      <c r="EJ3663"/>
      <c r="EK3663"/>
    </row>
    <row r="3664" spans="1:141" s="116" customFormat="1">
      <c r="A3664" s="136"/>
      <c r="CM3664" s="111"/>
      <c r="CQ3664" s="111"/>
      <c r="EF3664"/>
      <c r="EG3664"/>
      <c r="EH3664"/>
      <c r="EI3664"/>
      <c r="EJ3664"/>
      <c r="EK3664"/>
    </row>
    <row r="3665" spans="1:141" s="116" customFormat="1">
      <c r="A3665" s="136"/>
      <c r="CM3665" s="111"/>
      <c r="CQ3665" s="111"/>
      <c r="EF3665"/>
      <c r="EG3665"/>
      <c r="EH3665"/>
      <c r="EI3665"/>
      <c r="EJ3665"/>
      <c r="EK3665"/>
    </row>
    <row r="3666" spans="1:141" s="116" customFormat="1">
      <c r="A3666" s="136"/>
      <c r="CM3666" s="111"/>
      <c r="CQ3666" s="111"/>
      <c r="EF3666"/>
      <c r="EG3666"/>
      <c r="EH3666"/>
      <c r="EI3666"/>
      <c r="EJ3666"/>
      <c r="EK3666"/>
    </row>
    <row r="3667" spans="1:141" s="116" customFormat="1">
      <c r="A3667" s="136"/>
      <c r="CM3667" s="111"/>
      <c r="CQ3667" s="111"/>
      <c r="EF3667"/>
      <c r="EG3667"/>
      <c r="EH3667"/>
      <c r="EI3667"/>
      <c r="EJ3667"/>
      <c r="EK3667"/>
    </row>
    <row r="3668" spans="1:141" s="116" customFormat="1">
      <c r="A3668" s="136"/>
      <c r="CM3668" s="111"/>
      <c r="CQ3668" s="111"/>
      <c r="EF3668"/>
      <c r="EG3668"/>
      <c r="EH3668"/>
      <c r="EI3668"/>
      <c r="EJ3668"/>
      <c r="EK3668"/>
    </row>
    <row r="3669" spans="1:141" s="116" customFormat="1">
      <c r="A3669" s="136"/>
      <c r="CM3669" s="111"/>
      <c r="CQ3669" s="111"/>
      <c r="EF3669"/>
      <c r="EG3669"/>
      <c r="EH3669"/>
      <c r="EI3669"/>
      <c r="EJ3669"/>
      <c r="EK3669"/>
    </row>
    <row r="3670" spans="1:141" s="116" customFormat="1">
      <c r="A3670" s="136"/>
      <c r="CM3670" s="111"/>
      <c r="CQ3670" s="111"/>
      <c r="EF3670"/>
      <c r="EG3670"/>
      <c r="EH3670"/>
      <c r="EI3670"/>
      <c r="EJ3670"/>
      <c r="EK3670"/>
    </row>
    <row r="3671" spans="1:141" s="116" customFormat="1">
      <c r="A3671" s="136"/>
      <c r="CM3671" s="111"/>
      <c r="CQ3671" s="111"/>
      <c r="EF3671"/>
      <c r="EG3671"/>
      <c r="EH3671"/>
      <c r="EI3671"/>
      <c r="EJ3671"/>
      <c r="EK3671"/>
    </row>
    <row r="3672" spans="1:141" s="116" customFormat="1">
      <c r="A3672" s="136"/>
      <c r="CM3672" s="111"/>
      <c r="CQ3672" s="111"/>
      <c r="EF3672"/>
      <c r="EG3672"/>
      <c r="EH3672"/>
      <c r="EI3672"/>
      <c r="EJ3672"/>
      <c r="EK3672"/>
    </row>
    <row r="3673" spans="1:141" s="116" customFormat="1">
      <c r="A3673" s="136"/>
      <c r="CM3673" s="111"/>
      <c r="CQ3673" s="111"/>
      <c r="EF3673"/>
      <c r="EG3673"/>
      <c r="EH3673"/>
      <c r="EI3673"/>
      <c r="EJ3673"/>
      <c r="EK3673"/>
    </row>
    <row r="3674" spans="1:141" s="116" customFormat="1">
      <c r="A3674" s="136"/>
      <c r="CM3674" s="111"/>
      <c r="CQ3674" s="111"/>
      <c r="EF3674"/>
      <c r="EG3674"/>
      <c r="EH3674"/>
      <c r="EI3674"/>
      <c r="EJ3674"/>
      <c r="EK3674"/>
    </row>
    <row r="3675" spans="1:141" s="116" customFormat="1">
      <c r="A3675" s="136"/>
      <c r="CM3675" s="111"/>
      <c r="CQ3675" s="111"/>
      <c r="EF3675"/>
      <c r="EG3675"/>
      <c r="EH3675"/>
      <c r="EI3675"/>
      <c r="EJ3675"/>
      <c r="EK3675"/>
    </row>
    <row r="3676" spans="1:141" s="116" customFormat="1">
      <c r="A3676" s="136"/>
      <c r="CM3676" s="111"/>
      <c r="CQ3676" s="111"/>
      <c r="EF3676"/>
      <c r="EG3676"/>
      <c r="EH3676"/>
      <c r="EI3676"/>
      <c r="EJ3676"/>
      <c r="EK3676"/>
    </row>
    <row r="3677" spans="1:141" s="116" customFormat="1">
      <c r="A3677" s="136"/>
      <c r="CM3677" s="111"/>
      <c r="CQ3677" s="111"/>
      <c r="EF3677"/>
      <c r="EG3677"/>
      <c r="EH3677"/>
      <c r="EI3677"/>
      <c r="EJ3677"/>
      <c r="EK3677"/>
    </row>
    <row r="3678" spans="1:141" s="116" customFormat="1">
      <c r="A3678" s="136"/>
      <c r="CM3678" s="111"/>
      <c r="CQ3678" s="111"/>
      <c r="EF3678"/>
      <c r="EG3678"/>
      <c r="EH3678"/>
      <c r="EI3678"/>
      <c r="EJ3678"/>
      <c r="EK3678"/>
    </row>
    <row r="3679" spans="1:141" s="116" customFormat="1">
      <c r="A3679" s="136"/>
      <c r="CM3679" s="111"/>
      <c r="CQ3679" s="111"/>
      <c r="EF3679"/>
      <c r="EG3679"/>
      <c r="EH3679"/>
      <c r="EI3679"/>
      <c r="EJ3679"/>
      <c r="EK3679"/>
    </row>
    <row r="3680" spans="1:141" s="116" customFormat="1">
      <c r="A3680" s="136"/>
      <c r="CM3680" s="111"/>
      <c r="CQ3680" s="111"/>
      <c r="EF3680"/>
      <c r="EG3680"/>
      <c r="EH3680"/>
      <c r="EI3680"/>
      <c r="EJ3680"/>
      <c r="EK3680"/>
    </row>
    <row r="3681" spans="1:141" s="116" customFormat="1">
      <c r="A3681" s="136"/>
      <c r="CM3681" s="111"/>
      <c r="CQ3681" s="111"/>
      <c r="EF3681"/>
      <c r="EG3681"/>
      <c r="EH3681"/>
      <c r="EI3681"/>
      <c r="EJ3681"/>
      <c r="EK3681"/>
    </row>
    <row r="3682" spans="1:141" s="116" customFormat="1">
      <c r="A3682" s="136"/>
      <c r="CM3682" s="111"/>
      <c r="CQ3682" s="111"/>
      <c r="EF3682"/>
      <c r="EG3682"/>
      <c r="EH3682"/>
      <c r="EI3682"/>
      <c r="EJ3682"/>
      <c r="EK3682"/>
    </row>
    <row r="3683" spans="1:141" s="116" customFormat="1">
      <c r="A3683" s="136"/>
      <c r="CM3683" s="111"/>
      <c r="CQ3683" s="111"/>
      <c r="EF3683"/>
      <c r="EG3683"/>
      <c r="EH3683"/>
      <c r="EI3683"/>
      <c r="EJ3683"/>
      <c r="EK3683"/>
    </row>
    <row r="3684" spans="1:141" s="116" customFormat="1">
      <c r="A3684" s="136"/>
      <c r="CM3684" s="111"/>
      <c r="CQ3684" s="111"/>
      <c r="EF3684"/>
      <c r="EG3684"/>
      <c r="EH3684"/>
      <c r="EI3684"/>
      <c r="EJ3684"/>
      <c r="EK3684"/>
    </row>
    <row r="3685" spans="1:141" s="116" customFormat="1">
      <c r="A3685" s="136"/>
      <c r="CM3685" s="111"/>
      <c r="CQ3685" s="111"/>
      <c r="EF3685"/>
      <c r="EG3685"/>
      <c r="EH3685"/>
      <c r="EI3685"/>
      <c r="EJ3685"/>
      <c r="EK3685"/>
    </row>
    <row r="3686" spans="1:141" s="116" customFormat="1">
      <c r="A3686" s="136"/>
      <c r="CM3686" s="111"/>
      <c r="CQ3686" s="111"/>
      <c r="EF3686"/>
      <c r="EG3686"/>
      <c r="EH3686"/>
      <c r="EI3686"/>
      <c r="EJ3686"/>
      <c r="EK3686"/>
    </row>
    <row r="3687" spans="1:141" s="116" customFormat="1">
      <c r="A3687" s="136"/>
      <c r="CM3687" s="111"/>
      <c r="CQ3687" s="111"/>
      <c r="EF3687"/>
      <c r="EG3687"/>
      <c r="EH3687"/>
      <c r="EI3687"/>
      <c r="EJ3687"/>
      <c r="EK3687"/>
    </row>
    <row r="3688" spans="1:141" s="116" customFormat="1">
      <c r="A3688" s="136"/>
      <c r="CM3688" s="111"/>
      <c r="CQ3688" s="111"/>
      <c r="EF3688"/>
      <c r="EG3688"/>
      <c r="EH3688"/>
      <c r="EI3688"/>
      <c r="EJ3688"/>
      <c r="EK3688"/>
    </row>
    <row r="3689" spans="1:141" s="116" customFormat="1">
      <c r="A3689" s="136"/>
      <c r="CM3689" s="111"/>
      <c r="CQ3689" s="111"/>
      <c r="EF3689"/>
      <c r="EG3689"/>
      <c r="EH3689"/>
      <c r="EI3689"/>
      <c r="EJ3689"/>
      <c r="EK3689"/>
    </row>
    <row r="3690" spans="1:141" s="116" customFormat="1">
      <c r="A3690" s="136"/>
      <c r="CM3690" s="111"/>
      <c r="CQ3690" s="111"/>
      <c r="EF3690"/>
      <c r="EG3690"/>
      <c r="EH3690"/>
      <c r="EI3690"/>
      <c r="EJ3690"/>
      <c r="EK3690"/>
    </row>
    <row r="3691" spans="1:141" s="116" customFormat="1">
      <c r="A3691" s="136"/>
      <c r="CM3691" s="111"/>
      <c r="CQ3691" s="111"/>
      <c r="EF3691"/>
      <c r="EG3691"/>
      <c r="EH3691"/>
      <c r="EI3691"/>
      <c r="EJ3691"/>
      <c r="EK3691"/>
    </row>
    <row r="3692" spans="1:141" s="116" customFormat="1">
      <c r="A3692" s="136"/>
      <c r="CM3692" s="111"/>
      <c r="CQ3692" s="111"/>
      <c r="EF3692"/>
      <c r="EG3692"/>
      <c r="EH3692"/>
      <c r="EI3692"/>
      <c r="EJ3692"/>
      <c r="EK3692"/>
    </row>
    <row r="3693" spans="1:141" s="116" customFormat="1">
      <c r="A3693" s="136"/>
      <c r="CM3693" s="111"/>
      <c r="CQ3693" s="111"/>
      <c r="EF3693"/>
      <c r="EG3693"/>
      <c r="EH3693"/>
      <c r="EI3693"/>
      <c r="EJ3693"/>
      <c r="EK3693"/>
    </row>
    <row r="3694" spans="1:141" s="116" customFormat="1">
      <c r="A3694" s="136"/>
      <c r="CM3694" s="111"/>
      <c r="CQ3694" s="111"/>
      <c r="EF3694"/>
      <c r="EG3694"/>
      <c r="EH3694"/>
      <c r="EI3694"/>
      <c r="EJ3694"/>
      <c r="EK3694"/>
    </row>
    <row r="3695" spans="1:141" s="116" customFormat="1">
      <c r="A3695" s="136"/>
      <c r="CM3695" s="111"/>
      <c r="CQ3695" s="111"/>
      <c r="EF3695"/>
      <c r="EG3695"/>
      <c r="EH3695"/>
      <c r="EI3695"/>
      <c r="EJ3695"/>
      <c r="EK3695"/>
    </row>
    <row r="3696" spans="1:141" s="116" customFormat="1">
      <c r="A3696" s="136"/>
      <c r="CM3696" s="111"/>
      <c r="CQ3696" s="111"/>
      <c r="EF3696"/>
      <c r="EG3696"/>
      <c r="EH3696"/>
      <c r="EI3696"/>
      <c r="EJ3696"/>
      <c r="EK3696"/>
    </row>
    <row r="3697" spans="1:141" s="116" customFormat="1">
      <c r="A3697" s="136"/>
      <c r="CM3697" s="111"/>
      <c r="CQ3697" s="111"/>
      <c r="EF3697"/>
      <c r="EG3697"/>
      <c r="EH3697"/>
      <c r="EI3697"/>
      <c r="EJ3697"/>
      <c r="EK3697"/>
    </row>
    <row r="3698" spans="1:141" s="116" customFormat="1">
      <c r="A3698" s="136"/>
      <c r="CM3698" s="111"/>
      <c r="CQ3698" s="111"/>
      <c r="EF3698"/>
      <c r="EG3698"/>
      <c r="EH3698"/>
      <c r="EI3698"/>
      <c r="EJ3698"/>
      <c r="EK3698"/>
    </row>
    <row r="3699" spans="1:141" s="116" customFormat="1">
      <c r="A3699" s="136"/>
      <c r="CM3699" s="111"/>
      <c r="CQ3699" s="111"/>
      <c r="EF3699"/>
      <c r="EG3699"/>
      <c r="EH3699"/>
      <c r="EI3699"/>
      <c r="EJ3699"/>
      <c r="EK3699"/>
    </row>
    <row r="3700" spans="1:141" s="116" customFormat="1">
      <c r="A3700" s="136"/>
      <c r="CM3700" s="111"/>
      <c r="CQ3700" s="111"/>
      <c r="EF3700"/>
      <c r="EG3700"/>
      <c r="EH3700"/>
      <c r="EI3700"/>
      <c r="EJ3700"/>
      <c r="EK3700"/>
    </row>
    <row r="3701" spans="1:141" s="116" customFormat="1">
      <c r="A3701" s="136"/>
      <c r="CM3701" s="111"/>
      <c r="CQ3701" s="111"/>
      <c r="EF3701"/>
      <c r="EG3701"/>
      <c r="EH3701"/>
      <c r="EI3701"/>
      <c r="EJ3701"/>
      <c r="EK3701"/>
    </row>
    <row r="3702" spans="1:141" s="116" customFormat="1">
      <c r="A3702" s="136"/>
      <c r="CM3702" s="111"/>
      <c r="CQ3702" s="111"/>
      <c r="EF3702"/>
      <c r="EG3702"/>
      <c r="EH3702"/>
      <c r="EI3702"/>
      <c r="EJ3702"/>
      <c r="EK3702"/>
    </row>
    <row r="3703" spans="1:141" s="116" customFormat="1">
      <c r="A3703" s="136"/>
      <c r="CM3703" s="111"/>
      <c r="CQ3703" s="111"/>
      <c r="EF3703"/>
      <c r="EG3703"/>
      <c r="EH3703"/>
      <c r="EI3703"/>
      <c r="EJ3703"/>
      <c r="EK3703"/>
    </row>
    <row r="3704" spans="1:141" s="116" customFormat="1">
      <c r="A3704" s="136"/>
      <c r="CM3704" s="111"/>
      <c r="CQ3704" s="111"/>
      <c r="EF3704"/>
      <c r="EG3704"/>
      <c r="EH3704"/>
      <c r="EI3704"/>
      <c r="EJ3704"/>
      <c r="EK3704"/>
    </row>
    <row r="3705" spans="1:141" s="116" customFormat="1">
      <c r="A3705" s="136"/>
      <c r="CM3705" s="111"/>
      <c r="CQ3705" s="111"/>
      <c r="EF3705"/>
      <c r="EG3705"/>
      <c r="EH3705"/>
      <c r="EI3705"/>
      <c r="EJ3705"/>
      <c r="EK3705"/>
    </row>
    <row r="3706" spans="1:141" s="116" customFormat="1">
      <c r="A3706" s="136"/>
      <c r="CM3706" s="111"/>
      <c r="CQ3706" s="111"/>
      <c r="EF3706"/>
      <c r="EG3706"/>
      <c r="EH3706"/>
      <c r="EI3706"/>
      <c r="EJ3706"/>
      <c r="EK3706"/>
    </row>
    <row r="3707" spans="1:141" s="116" customFormat="1">
      <c r="A3707" s="136"/>
      <c r="CM3707" s="111"/>
      <c r="CQ3707" s="111"/>
      <c r="EF3707"/>
      <c r="EG3707"/>
      <c r="EH3707"/>
      <c r="EI3707"/>
      <c r="EJ3707"/>
      <c r="EK3707"/>
    </row>
    <row r="3708" spans="1:141" s="116" customFormat="1">
      <c r="A3708" s="136"/>
      <c r="CM3708" s="111"/>
      <c r="CQ3708" s="111"/>
      <c r="EF3708"/>
      <c r="EG3708"/>
      <c r="EH3708"/>
      <c r="EI3708"/>
      <c r="EJ3708"/>
      <c r="EK3708"/>
    </row>
    <row r="3709" spans="1:141" s="116" customFormat="1">
      <c r="A3709" s="136"/>
      <c r="CM3709" s="111"/>
      <c r="CQ3709" s="111"/>
      <c r="EF3709"/>
      <c r="EG3709"/>
      <c r="EH3709"/>
      <c r="EI3709"/>
      <c r="EJ3709"/>
      <c r="EK3709"/>
    </row>
    <row r="3710" spans="1:141" s="116" customFormat="1">
      <c r="A3710" s="136"/>
      <c r="CM3710" s="111"/>
      <c r="CQ3710" s="111"/>
      <c r="EF3710"/>
      <c r="EG3710"/>
      <c r="EH3710"/>
      <c r="EI3710"/>
      <c r="EJ3710"/>
      <c r="EK3710"/>
    </row>
    <row r="3711" spans="1:141" s="116" customFormat="1">
      <c r="A3711" s="136"/>
      <c r="CM3711" s="111"/>
      <c r="CQ3711" s="111"/>
      <c r="EF3711"/>
      <c r="EG3711"/>
      <c r="EH3711"/>
      <c r="EI3711"/>
      <c r="EJ3711"/>
      <c r="EK3711"/>
    </row>
    <row r="3712" spans="1:141" s="116" customFormat="1">
      <c r="A3712" s="136"/>
      <c r="CM3712" s="111"/>
      <c r="CQ3712" s="111"/>
      <c r="EF3712"/>
      <c r="EG3712"/>
      <c r="EH3712"/>
      <c r="EI3712"/>
      <c r="EJ3712"/>
      <c r="EK3712"/>
    </row>
    <row r="3713" spans="1:141" s="116" customFormat="1">
      <c r="A3713" s="136"/>
      <c r="CM3713" s="111"/>
      <c r="CQ3713" s="111"/>
      <c r="EF3713"/>
      <c r="EG3713"/>
      <c r="EH3713"/>
      <c r="EI3713"/>
      <c r="EJ3713"/>
      <c r="EK3713"/>
    </row>
    <row r="3714" spans="1:141" s="116" customFormat="1">
      <c r="A3714" s="136"/>
      <c r="CM3714" s="111"/>
      <c r="CQ3714" s="111"/>
      <c r="EF3714"/>
      <c r="EG3714"/>
      <c r="EH3714"/>
      <c r="EI3714"/>
      <c r="EJ3714"/>
      <c r="EK3714"/>
    </row>
    <row r="3715" spans="1:141" s="116" customFormat="1">
      <c r="A3715" s="136"/>
      <c r="CM3715" s="111"/>
      <c r="CQ3715" s="111"/>
      <c r="EF3715"/>
      <c r="EG3715"/>
      <c r="EH3715"/>
      <c r="EI3715"/>
      <c r="EJ3715"/>
      <c r="EK3715"/>
    </row>
    <row r="3716" spans="1:141" s="116" customFormat="1">
      <c r="A3716" s="136"/>
      <c r="CM3716" s="111"/>
      <c r="CQ3716" s="111"/>
      <c r="EF3716"/>
      <c r="EG3716"/>
      <c r="EH3716"/>
      <c r="EI3716"/>
      <c r="EJ3716"/>
      <c r="EK3716"/>
    </row>
    <row r="3717" spans="1:141" s="116" customFormat="1">
      <c r="A3717" s="136"/>
      <c r="CM3717" s="111"/>
      <c r="CQ3717" s="111"/>
      <c r="EF3717"/>
      <c r="EG3717"/>
      <c r="EH3717"/>
      <c r="EI3717"/>
      <c r="EJ3717"/>
      <c r="EK3717"/>
    </row>
    <row r="3718" spans="1:141" s="116" customFormat="1">
      <c r="A3718" s="136"/>
      <c r="CM3718" s="111"/>
      <c r="CQ3718" s="111"/>
      <c r="EF3718"/>
      <c r="EG3718"/>
      <c r="EH3718"/>
      <c r="EI3718"/>
      <c r="EJ3718"/>
      <c r="EK3718"/>
    </row>
    <row r="3719" spans="1:141" s="116" customFormat="1">
      <c r="A3719" s="136"/>
      <c r="CM3719" s="111"/>
      <c r="CQ3719" s="111"/>
      <c r="EF3719"/>
      <c r="EG3719"/>
      <c r="EH3719"/>
      <c r="EI3719"/>
      <c r="EJ3719"/>
      <c r="EK3719"/>
    </row>
    <row r="3720" spans="1:141" s="116" customFormat="1">
      <c r="A3720" s="136"/>
      <c r="CM3720" s="111"/>
      <c r="CQ3720" s="111"/>
      <c r="EF3720"/>
      <c r="EG3720"/>
      <c r="EH3720"/>
      <c r="EI3720"/>
      <c r="EJ3720"/>
      <c r="EK3720"/>
    </row>
    <row r="3721" spans="1:141" s="116" customFormat="1">
      <c r="A3721" s="136"/>
      <c r="CM3721" s="111"/>
      <c r="CQ3721" s="111"/>
      <c r="EF3721"/>
      <c r="EG3721"/>
      <c r="EH3721"/>
      <c r="EI3721"/>
      <c r="EJ3721"/>
      <c r="EK3721"/>
    </row>
    <row r="3722" spans="1:141" s="116" customFormat="1">
      <c r="A3722" s="136"/>
      <c r="CM3722" s="111"/>
      <c r="CQ3722" s="111"/>
      <c r="EF3722"/>
      <c r="EG3722"/>
      <c r="EH3722"/>
      <c r="EI3722"/>
      <c r="EJ3722"/>
      <c r="EK3722"/>
    </row>
    <row r="3723" spans="1:141" s="116" customFormat="1">
      <c r="A3723" s="136"/>
      <c r="CM3723" s="111"/>
      <c r="CQ3723" s="111"/>
      <c r="EF3723"/>
      <c r="EG3723"/>
      <c r="EH3723"/>
      <c r="EI3723"/>
      <c r="EJ3723"/>
      <c r="EK3723"/>
    </row>
    <row r="3724" spans="1:141" s="116" customFormat="1">
      <c r="A3724" s="136"/>
      <c r="CM3724" s="111"/>
      <c r="CQ3724" s="111"/>
      <c r="EF3724"/>
      <c r="EG3724"/>
      <c r="EH3724"/>
      <c r="EI3724"/>
      <c r="EJ3724"/>
      <c r="EK3724"/>
    </row>
    <row r="3725" spans="1:141" s="116" customFormat="1">
      <c r="A3725" s="136"/>
      <c r="CM3725" s="111"/>
      <c r="CQ3725" s="111"/>
      <c r="EF3725"/>
      <c r="EG3725"/>
      <c r="EH3725"/>
      <c r="EI3725"/>
      <c r="EJ3725"/>
      <c r="EK3725"/>
    </row>
    <row r="3726" spans="1:141" s="116" customFormat="1">
      <c r="A3726" s="136"/>
      <c r="CM3726" s="111"/>
      <c r="CQ3726" s="111"/>
      <c r="EF3726"/>
      <c r="EG3726"/>
      <c r="EH3726"/>
      <c r="EI3726"/>
      <c r="EJ3726"/>
      <c r="EK3726"/>
    </row>
    <row r="3727" spans="1:141" s="116" customFormat="1">
      <c r="A3727" s="136"/>
      <c r="CM3727" s="111"/>
      <c r="CQ3727" s="111"/>
      <c r="EF3727"/>
      <c r="EG3727"/>
      <c r="EH3727"/>
      <c r="EI3727"/>
      <c r="EJ3727"/>
      <c r="EK3727"/>
    </row>
    <row r="3728" spans="1:141" s="116" customFormat="1">
      <c r="A3728" s="136"/>
      <c r="CM3728" s="111"/>
      <c r="CQ3728" s="111"/>
      <c r="EF3728"/>
      <c r="EG3728"/>
      <c r="EH3728"/>
      <c r="EI3728"/>
      <c r="EJ3728"/>
      <c r="EK3728"/>
    </row>
    <row r="3729" spans="1:141" s="116" customFormat="1">
      <c r="A3729" s="136"/>
      <c r="CM3729" s="111"/>
      <c r="CQ3729" s="111"/>
      <c r="EF3729"/>
      <c r="EG3729"/>
      <c r="EH3729"/>
      <c r="EI3729"/>
      <c r="EJ3729"/>
      <c r="EK3729"/>
    </row>
    <row r="3730" spans="1:141" s="116" customFormat="1">
      <c r="A3730" s="136"/>
      <c r="CM3730" s="111"/>
      <c r="CQ3730" s="111"/>
      <c r="EF3730"/>
      <c r="EG3730"/>
      <c r="EH3730"/>
      <c r="EI3730"/>
      <c r="EJ3730"/>
      <c r="EK3730"/>
    </row>
    <row r="3731" spans="1:141" s="116" customFormat="1">
      <c r="A3731" s="136"/>
      <c r="CM3731" s="111"/>
      <c r="CQ3731" s="111"/>
      <c r="EF3731"/>
      <c r="EG3731"/>
      <c r="EH3731"/>
      <c r="EI3731"/>
      <c r="EJ3731"/>
      <c r="EK3731"/>
    </row>
    <row r="3732" spans="1:141" s="116" customFormat="1">
      <c r="A3732" s="136"/>
      <c r="CM3732" s="111"/>
      <c r="CQ3732" s="111"/>
      <c r="EF3732"/>
      <c r="EG3732"/>
      <c r="EH3732"/>
      <c r="EI3732"/>
      <c r="EJ3732"/>
      <c r="EK3732"/>
    </row>
    <row r="3733" spans="1:141" s="116" customFormat="1">
      <c r="A3733" s="136"/>
      <c r="CM3733" s="111"/>
      <c r="CQ3733" s="111"/>
      <c r="EF3733"/>
      <c r="EG3733"/>
      <c r="EH3733"/>
      <c r="EI3733"/>
      <c r="EJ3733"/>
      <c r="EK3733"/>
    </row>
    <row r="3734" spans="1:141" s="116" customFormat="1">
      <c r="A3734" s="136"/>
      <c r="CM3734" s="111"/>
      <c r="CQ3734" s="111"/>
      <c r="EF3734"/>
      <c r="EG3734"/>
      <c r="EH3734"/>
      <c r="EI3734"/>
      <c r="EJ3734"/>
      <c r="EK3734"/>
    </row>
    <row r="3735" spans="1:141" s="116" customFormat="1">
      <c r="A3735" s="136"/>
      <c r="CM3735" s="111"/>
      <c r="CQ3735" s="111"/>
      <c r="EF3735"/>
      <c r="EG3735"/>
      <c r="EH3735"/>
      <c r="EI3735"/>
      <c r="EJ3735"/>
      <c r="EK3735"/>
    </row>
    <row r="3736" spans="1:141" s="116" customFormat="1">
      <c r="A3736" s="136"/>
      <c r="CM3736" s="111"/>
      <c r="CQ3736" s="111"/>
      <c r="EF3736"/>
      <c r="EG3736"/>
      <c r="EH3736"/>
      <c r="EI3736"/>
      <c r="EJ3736"/>
      <c r="EK3736"/>
    </row>
    <row r="3737" spans="1:141" s="116" customFormat="1">
      <c r="A3737" s="136"/>
      <c r="CM3737" s="111"/>
      <c r="CQ3737" s="111"/>
      <c r="EF3737"/>
      <c r="EG3737"/>
      <c r="EH3737"/>
      <c r="EI3737"/>
      <c r="EJ3737"/>
      <c r="EK3737"/>
    </row>
    <row r="3738" spans="1:141" s="116" customFormat="1">
      <c r="A3738" s="136"/>
      <c r="CM3738" s="111"/>
      <c r="CQ3738" s="111"/>
      <c r="EF3738"/>
      <c r="EG3738"/>
      <c r="EH3738"/>
      <c r="EI3738"/>
      <c r="EJ3738"/>
      <c r="EK3738"/>
    </row>
    <row r="3739" spans="1:141" s="116" customFormat="1">
      <c r="A3739" s="136"/>
      <c r="CM3739" s="111"/>
      <c r="CQ3739" s="111"/>
      <c r="EF3739"/>
      <c r="EG3739"/>
      <c r="EH3739"/>
      <c r="EI3739"/>
      <c r="EJ3739"/>
      <c r="EK3739"/>
    </row>
    <row r="3740" spans="1:141" s="116" customFormat="1">
      <c r="A3740" s="136"/>
      <c r="CM3740" s="111"/>
      <c r="CQ3740" s="111"/>
      <c r="EF3740"/>
      <c r="EG3740"/>
      <c r="EH3740"/>
      <c r="EI3740"/>
      <c r="EJ3740"/>
      <c r="EK3740"/>
    </row>
    <row r="3741" spans="1:141" s="116" customFormat="1">
      <c r="A3741" s="136"/>
      <c r="CM3741" s="111"/>
      <c r="CQ3741" s="111"/>
      <c r="EF3741"/>
      <c r="EG3741"/>
      <c r="EH3741"/>
      <c r="EI3741"/>
      <c r="EJ3741"/>
      <c r="EK3741"/>
    </row>
    <row r="3742" spans="1:141" s="116" customFormat="1">
      <c r="A3742" s="136"/>
      <c r="CM3742" s="111"/>
      <c r="CQ3742" s="111"/>
      <c r="EF3742"/>
      <c r="EG3742"/>
      <c r="EH3742"/>
      <c r="EI3742"/>
      <c r="EJ3742"/>
      <c r="EK3742"/>
    </row>
    <row r="3743" spans="1:141" s="116" customFormat="1">
      <c r="A3743" s="136"/>
      <c r="CM3743" s="111"/>
      <c r="CQ3743" s="111"/>
      <c r="EF3743"/>
      <c r="EG3743"/>
      <c r="EH3743"/>
      <c r="EI3743"/>
      <c r="EJ3743"/>
      <c r="EK3743"/>
    </row>
    <row r="3744" spans="1:141" s="116" customFormat="1">
      <c r="A3744" s="136"/>
      <c r="CM3744" s="111"/>
      <c r="CQ3744" s="111"/>
      <c r="EF3744"/>
      <c r="EG3744"/>
      <c r="EH3744"/>
      <c r="EI3744"/>
      <c r="EJ3744"/>
      <c r="EK3744"/>
    </row>
    <row r="3745" spans="1:141" s="116" customFormat="1">
      <c r="A3745" s="136"/>
      <c r="CM3745" s="111"/>
      <c r="CQ3745" s="111"/>
      <c r="EF3745"/>
      <c r="EG3745"/>
      <c r="EH3745"/>
      <c r="EI3745"/>
      <c r="EJ3745"/>
      <c r="EK3745"/>
    </row>
    <row r="3746" spans="1:141" s="116" customFormat="1">
      <c r="A3746" s="136"/>
      <c r="CM3746" s="111"/>
      <c r="CQ3746" s="111"/>
      <c r="EF3746"/>
      <c r="EG3746"/>
      <c r="EH3746"/>
      <c r="EI3746"/>
      <c r="EJ3746"/>
      <c r="EK3746"/>
    </row>
    <row r="3747" spans="1:141" s="116" customFormat="1">
      <c r="A3747" s="136"/>
      <c r="CM3747" s="111"/>
      <c r="CQ3747" s="111"/>
      <c r="EF3747"/>
      <c r="EG3747"/>
      <c r="EH3747"/>
      <c r="EI3747"/>
      <c r="EJ3747"/>
      <c r="EK3747"/>
    </row>
    <row r="3748" spans="1:141" s="116" customFormat="1">
      <c r="A3748" s="136"/>
      <c r="CM3748" s="111"/>
      <c r="CQ3748" s="111"/>
      <c r="EF3748"/>
      <c r="EG3748"/>
      <c r="EH3748"/>
      <c r="EI3748"/>
      <c r="EJ3748"/>
      <c r="EK3748"/>
    </row>
    <row r="3749" spans="1:141" s="116" customFormat="1">
      <c r="A3749" s="136"/>
      <c r="CM3749" s="111"/>
      <c r="CQ3749" s="111"/>
      <c r="EF3749"/>
      <c r="EG3749"/>
      <c r="EH3749"/>
      <c r="EI3749"/>
      <c r="EJ3749"/>
      <c r="EK3749"/>
    </row>
    <row r="3750" spans="1:141" s="116" customFormat="1">
      <c r="A3750" s="136"/>
      <c r="CM3750" s="111"/>
      <c r="CQ3750" s="111"/>
      <c r="EF3750"/>
      <c r="EG3750"/>
      <c r="EH3750"/>
      <c r="EI3750"/>
      <c r="EJ3750"/>
      <c r="EK3750"/>
    </row>
    <row r="3751" spans="1:141" s="116" customFormat="1">
      <c r="A3751" s="136"/>
      <c r="CM3751" s="111"/>
      <c r="CQ3751" s="111"/>
      <c r="EF3751"/>
      <c r="EG3751"/>
      <c r="EH3751"/>
      <c r="EI3751"/>
      <c r="EJ3751"/>
      <c r="EK3751"/>
    </row>
    <row r="3752" spans="1:141" s="116" customFormat="1">
      <c r="A3752" s="136"/>
      <c r="CM3752" s="111"/>
      <c r="CQ3752" s="111"/>
      <c r="EF3752"/>
      <c r="EG3752"/>
      <c r="EH3752"/>
      <c r="EI3752"/>
      <c r="EJ3752"/>
      <c r="EK3752"/>
    </row>
    <row r="3753" spans="1:141" s="116" customFormat="1">
      <c r="A3753" s="136"/>
      <c r="CM3753" s="111"/>
      <c r="CQ3753" s="111"/>
      <c r="EF3753"/>
      <c r="EG3753"/>
      <c r="EH3753"/>
      <c r="EI3753"/>
      <c r="EJ3753"/>
      <c r="EK3753"/>
    </row>
    <row r="3754" spans="1:141" s="116" customFormat="1">
      <c r="A3754" s="136"/>
      <c r="CM3754" s="111"/>
      <c r="CQ3754" s="111"/>
      <c r="EF3754"/>
      <c r="EG3754"/>
      <c r="EH3754"/>
      <c r="EI3754"/>
      <c r="EJ3754"/>
      <c r="EK3754"/>
    </row>
    <row r="3755" spans="1:141" s="116" customFormat="1">
      <c r="A3755" s="136"/>
      <c r="CM3755" s="111"/>
      <c r="CQ3755" s="111"/>
      <c r="EF3755"/>
      <c r="EG3755"/>
      <c r="EH3755"/>
      <c r="EI3755"/>
      <c r="EJ3755"/>
      <c r="EK3755"/>
    </row>
    <row r="3756" spans="1:141" s="116" customFormat="1">
      <c r="A3756" s="136"/>
      <c r="CM3756" s="111"/>
      <c r="CQ3756" s="111"/>
      <c r="EF3756"/>
      <c r="EG3756"/>
      <c r="EH3756"/>
      <c r="EI3756"/>
      <c r="EJ3756"/>
      <c r="EK3756"/>
    </row>
    <row r="3757" spans="1:141" s="116" customFormat="1">
      <c r="A3757" s="136"/>
      <c r="CM3757" s="111"/>
      <c r="CQ3757" s="111"/>
      <c r="EF3757"/>
      <c r="EG3757"/>
      <c r="EH3757"/>
      <c r="EI3757"/>
      <c r="EJ3757"/>
      <c r="EK3757"/>
    </row>
    <row r="3758" spans="1:141" s="116" customFormat="1">
      <c r="A3758" s="136"/>
      <c r="CM3758" s="111"/>
      <c r="CQ3758" s="111"/>
      <c r="EF3758"/>
      <c r="EG3758"/>
      <c r="EH3758"/>
      <c r="EI3758"/>
      <c r="EJ3758"/>
      <c r="EK3758"/>
    </row>
    <row r="3759" spans="1:141" s="116" customFormat="1">
      <c r="A3759" s="136"/>
      <c r="CM3759" s="111"/>
      <c r="CQ3759" s="111"/>
      <c r="EF3759"/>
      <c r="EG3759"/>
      <c r="EH3759"/>
      <c r="EI3759"/>
      <c r="EJ3759"/>
      <c r="EK3759"/>
    </row>
    <row r="3760" spans="1:141" s="116" customFormat="1">
      <c r="A3760" s="136"/>
      <c r="CM3760" s="111"/>
      <c r="CQ3760" s="111"/>
      <c r="EF3760"/>
      <c r="EG3760"/>
      <c r="EH3760"/>
      <c r="EI3760"/>
      <c r="EJ3760"/>
      <c r="EK3760"/>
    </row>
    <row r="3761" spans="1:141" s="116" customFormat="1">
      <c r="A3761" s="136"/>
      <c r="CM3761" s="111"/>
      <c r="CQ3761" s="111"/>
      <c r="EF3761"/>
      <c r="EG3761"/>
      <c r="EH3761"/>
      <c r="EI3761"/>
      <c r="EJ3761"/>
      <c r="EK3761"/>
    </row>
    <row r="3762" spans="1:141" s="116" customFormat="1">
      <c r="A3762" s="136"/>
      <c r="CM3762" s="111"/>
      <c r="CQ3762" s="111"/>
      <c r="EF3762"/>
      <c r="EG3762"/>
      <c r="EH3762"/>
      <c r="EI3762"/>
      <c r="EJ3762"/>
      <c r="EK3762"/>
    </row>
    <row r="3763" spans="1:141" s="116" customFormat="1">
      <c r="A3763" s="136"/>
      <c r="CM3763" s="111"/>
      <c r="CQ3763" s="111"/>
      <c r="EF3763"/>
      <c r="EG3763"/>
      <c r="EH3763"/>
      <c r="EI3763"/>
      <c r="EJ3763"/>
      <c r="EK3763"/>
    </row>
    <row r="3764" spans="1:141" s="116" customFormat="1">
      <c r="A3764" s="136"/>
      <c r="CM3764" s="111"/>
      <c r="CQ3764" s="111"/>
      <c r="EF3764"/>
      <c r="EG3764"/>
      <c r="EH3764"/>
      <c r="EI3764"/>
      <c r="EJ3764"/>
      <c r="EK3764"/>
    </row>
    <row r="3765" spans="1:141" s="116" customFormat="1">
      <c r="A3765" s="136"/>
      <c r="CM3765" s="111"/>
      <c r="CQ3765" s="111"/>
      <c r="EF3765"/>
      <c r="EG3765"/>
      <c r="EH3765"/>
      <c r="EI3765"/>
      <c r="EJ3765"/>
      <c r="EK3765"/>
    </row>
    <row r="3766" spans="1:141" s="116" customFormat="1">
      <c r="A3766" s="136"/>
      <c r="CM3766" s="111"/>
      <c r="CQ3766" s="111"/>
      <c r="EF3766"/>
      <c r="EG3766"/>
      <c r="EH3766"/>
      <c r="EI3766"/>
      <c r="EJ3766"/>
      <c r="EK3766"/>
    </row>
    <row r="3767" spans="1:141" s="116" customFormat="1">
      <c r="A3767" s="136"/>
      <c r="CM3767" s="111"/>
      <c r="CQ3767" s="111"/>
      <c r="EF3767"/>
      <c r="EG3767"/>
      <c r="EH3767"/>
      <c r="EI3767"/>
      <c r="EJ3767"/>
      <c r="EK3767"/>
    </row>
    <row r="3768" spans="1:141" s="116" customFormat="1">
      <c r="A3768" s="136"/>
      <c r="CM3768" s="111"/>
      <c r="CQ3768" s="111"/>
      <c r="EF3768"/>
      <c r="EG3768"/>
      <c r="EH3768"/>
      <c r="EI3768"/>
      <c r="EJ3768"/>
      <c r="EK3768"/>
    </row>
    <row r="3769" spans="1:141" s="116" customFormat="1">
      <c r="A3769" s="136"/>
      <c r="CM3769" s="111"/>
      <c r="CQ3769" s="111"/>
      <c r="EF3769"/>
      <c r="EG3769"/>
      <c r="EH3769"/>
      <c r="EI3769"/>
      <c r="EJ3769"/>
      <c r="EK3769"/>
    </row>
    <row r="3770" spans="1:141" s="116" customFormat="1">
      <c r="A3770" s="136"/>
      <c r="CM3770" s="111"/>
      <c r="CQ3770" s="111"/>
      <c r="EF3770"/>
      <c r="EG3770"/>
      <c r="EH3770"/>
      <c r="EI3770"/>
      <c r="EJ3770"/>
      <c r="EK3770"/>
    </row>
    <row r="3771" spans="1:141" s="116" customFormat="1">
      <c r="A3771" s="136"/>
      <c r="CM3771" s="111"/>
      <c r="CQ3771" s="111"/>
      <c r="EF3771"/>
      <c r="EG3771"/>
      <c r="EH3771"/>
      <c r="EI3771"/>
      <c r="EJ3771"/>
      <c r="EK3771"/>
    </row>
    <row r="3772" spans="1:141" s="116" customFormat="1">
      <c r="A3772" s="136"/>
      <c r="CM3772" s="111"/>
      <c r="CQ3772" s="111"/>
      <c r="EF3772"/>
      <c r="EG3772"/>
      <c r="EH3772"/>
      <c r="EI3772"/>
      <c r="EJ3772"/>
      <c r="EK3772"/>
    </row>
    <row r="3773" spans="1:141" s="116" customFormat="1">
      <c r="A3773" s="136"/>
      <c r="CM3773" s="111"/>
      <c r="CQ3773" s="111"/>
      <c r="EF3773"/>
      <c r="EG3773"/>
      <c r="EH3773"/>
      <c r="EI3773"/>
      <c r="EJ3773"/>
      <c r="EK3773"/>
    </row>
    <row r="3774" spans="1:141" s="116" customFormat="1">
      <c r="A3774" s="136"/>
      <c r="CM3774" s="111"/>
      <c r="CQ3774" s="111"/>
      <c r="EF3774"/>
      <c r="EG3774"/>
      <c r="EH3774"/>
      <c r="EI3774"/>
      <c r="EJ3774"/>
      <c r="EK3774"/>
    </row>
    <row r="3775" spans="1:141" s="116" customFormat="1">
      <c r="A3775" s="136"/>
      <c r="CM3775" s="111"/>
      <c r="CQ3775" s="111"/>
      <c r="EF3775"/>
      <c r="EG3775"/>
      <c r="EH3775"/>
      <c r="EI3775"/>
      <c r="EJ3775"/>
      <c r="EK3775"/>
    </row>
    <row r="3776" spans="1:141" s="116" customFormat="1">
      <c r="A3776" s="136"/>
      <c r="CM3776" s="111"/>
      <c r="CQ3776" s="111"/>
      <c r="EF3776"/>
      <c r="EG3776"/>
      <c r="EH3776"/>
      <c r="EI3776"/>
      <c r="EJ3776"/>
      <c r="EK3776"/>
    </row>
    <row r="3777" spans="1:141" s="116" customFormat="1">
      <c r="A3777" s="136"/>
      <c r="CM3777" s="111"/>
      <c r="CQ3777" s="111"/>
      <c r="EF3777"/>
      <c r="EG3777"/>
      <c r="EH3777"/>
      <c r="EI3777"/>
      <c r="EJ3777"/>
      <c r="EK3777"/>
    </row>
    <row r="3778" spans="1:141" s="116" customFormat="1">
      <c r="A3778" s="136"/>
      <c r="CM3778" s="111"/>
      <c r="CQ3778" s="111"/>
      <c r="EF3778"/>
      <c r="EG3778"/>
      <c r="EH3778"/>
      <c r="EI3778"/>
      <c r="EJ3778"/>
      <c r="EK3778"/>
    </row>
    <row r="3779" spans="1:141" s="116" customFormat="1">
      <c r="A3779" s="136"/>
      <c r="CM3779" s="111"/>
      <c r="CQ3779" s="111"/>
      <c r="EF3779"/>
      <c r="EG3779"/>
      <c r="EH3779"/>
      <c r="EI3779"/>
      <c r="EJ3779"/>
      <c r="EK3779"/>
    </row>
    <row r="3780" spans="1:141" s="116" customFormat="1">
      <c r="A3780" s="136"/>
      <c r="CM3780" s="111"/>
      <c r="CQ3780" s="111"/>
      <c r="EF3780"/>
      <c r="EG3780"/>
      <c r="EH3780"/>
      <c r="EI3780"/>
      <c r="EJ3780"/>
      <c r="EK3780"/>
    </row>
    <row r="3781" spans="1:141" s="116" customFormat="1">
      <c r="A3781" s="136"/>
      <c r="CM3781" s="111"/>
      <c r="CQ3781" s="111"/>
      <c r="EF3781"/>
      <c r="EG3781"/>
      <c r="EH3781"/>
      <c r="EI3781"/>
      <c r="EJ3781"/>
      <c r="EK3781"/>
    </row>
    <row r="3782" spans="1:141" s="116" customFormat="1">
      <c r="A3782" s="136"/>
      <c r="CM3782" s="111"/>
      <c r="CQ3782" s="111"/>
      <c r="EF3782"/>
      <c r="EG3782"/>
      <c r="EH3782"/>
      <c r="EI3782"/>
      <c r="EJ3782"/>
      <c r="EK3782"/>
    </row>
    <row r="3783" spans="1:141" s="116" customFormat="1">
      <c r="A3783" s="136"/>
      <c r="CM3783" s="111"/>
      <c r="CQ3783" s="111"/>
      <c r="EF3783"/>
      <c r="EG3783"/>
      <c r="EH3783"/>
      <c r="EI3783"/>
      <c r="EJ3783"/>
      <c r="EK3783"/>
    </row>
    <row r="3784" spans="1:141" s="116" customFormat="1">
      <c r="A3784" s="136"/>
      <c r="CM3784" s="111"/>
      <c r="CQ3784" s="111"/>
      <c r="EF3784"/>
      <c r="EG3784"/>
      <c r="EH3784"/>
      <c r="EI3784"/>
      <c r="EJ3784"/>
      <c r="EK3784"/>
    </row>
    <row r="3785" spans="1:141" s="116" customFormat="1">
      <c r="A3785" s="136"/>
      <c r="CM3785" s="111"/>
      <c r="CQ3785" s="111"/>
      <c r="EF3785"/>
      <c r="EG3785"/>
      <c r="EH3785"/>
      <c r="EI3785"/>
      <c r="EJ3785"/>
      <c r="EK3785"/>
    </row>
    <row r="3786" spans="1:141" s="116" customFormat="1">
      <c r="A3786" s="136"/>
      <c r="CM3786" s="111"/>
      <c r="CQ3786" s="111"/>
      <c r="EF3786"/>
      <c r="EG3786"/>
      <c r="EH3786"/>
      <c r="EI3786"/>
      <c r="EJ3786"/>
      <c r="EK3786"/>
    </row>
    <row r="3787" spans="1:141" s="116" customFormat="1">
      <c r="A3787" s="136"/>
      <c r="CM3787" s="111"/>
      <c r="CQ3787" s="111"/>
      <c r="EF3787"/>
      <c r="EG3787"/>
      <c r="EH3787"/>
      <c r="EI3787"/>
      <c r="EJ3787"/>
      <c r="EK3787"/>
    </row>
    <row r="3788" spans="1:141" s="116" customFormat="1">
      <c r="A3788" s="136"/>
      <c r="CM3788" s="111"/>
      <c r="CQ3788" s="111"/>
      <c r="EF3788"/>
      <c r="EG3788"/>
      <c r="EH3788"/>
      <c r="EI3788"/>
      <c r="EJ3788"/>
      <c r="EK3788"/>
    </row>
    <row r="3789" spans="1:141" s="116" customFormat="1">
      <c r="A3789" s="136"/>
      <c r="CM3789" s="111"/>
      <c r="CQ3789" s="111"/>
      <c r="EF3789"/>
      <c r="EG3789"/>
      <c r="EH3789"/>
      <c r="EI3789"/>
      <c r="EJ3789"/>
      <c r="EK3789"/>
    </row>
    <row r="3790" spans="1:141" s="116" customFormat="1">
      <c r="A3790" s="136"/>
      <c r="CM3790" s="111"/>
      <c r="CQ3790" s="111"/>
      <c r="EF3790"/>
      <c r="EG3790"/>
      <c r="EH3790"/>
      <c r="EI3790"/>
      <c r="EJ3790"/>
      <c r="EK3790"/>
    </row>
    <row r="3791" spans="1:141" s="116" customFormat="1">
      <c r="A3791" s="136"/>
      <c r="CM3791" s="111"/>
      <c r="CQ3791" s="111"/>
      <c r="EF3791"/>
      <c r="EG3791"/>
      <c r="EH3791"/>
      <c r="EI3791"/>
      <c r="EJ3791"/>
      <c r="EK3791"/>
    </row>
    <row r="3792" spans="1:141" s="116" customFormat="1">
      <c r="A3792" s="136"/>
      <c r="CM3792" s="111"/>
      <c r="CQ3792" s="111"/>
      <c r="EF3792"/>
      <c r="EG3792"/>
      <c r="EH3792"/>
      <c r="EI3792"/>
      <c r="EJ3792"/>
      <c r="EK3792"/>
    </row>
    <row r="3793" spans="1:141" s="116" customFormat="1">
      <c r="A3793" s="136"/>
      <c r="CM3793" s="111"/>
      <c r="CQ3793" s="111"/>
      <c r="EF3793"/>
      <c r="EG3793"/>
      <c r="EH3793"/>
      <c r="EI3793"/>
      <c r="EJ3793"/>
      <c r="EK3793"/>
    </row>
    <row r="3794" spans="1:141" s="116" customFormat="1">
      <c r="A3794" s="136"/>
      <c r="CM3794" s="111"/>
      <c r="CQ3794" s="111"/>
      <c r="EF3794"/>
      <c r="EG3794"/>
      <c r="EH3794"/>
      <c r="EI3794"/>
      <c r="EJ3794"/>
      <c r="EK3794"/>
    </row>
    <row r="3795" spans="1:141" s="116" customFormat="1">
      <c r="A3795" s="136"/>
      <c r="CM3795" s="111"/>
      <c r="CQ3795" s="111"/>
      <c r="EF3795"/>
      <c r="EG3795"/>
      <c r="EH3795"/>
      <c r="EI3795"/>
      <c r="EJ3795"/>
      <c r="EK3795"/>
    </row>
    <row r="3796" spans="1:141" s="116" customFormat="1">
      <c r="A3796" s="136"/>
      <c r="CM3796" s="111"/>
      <c r="CQ3796" s="111"/>
      <c r="EF3796"/>
      <c r="EG3796"/>
      <c r="EH3796"/>
      <c r="EI3796"/>
      <c r="EJ3796"/>
      <c r="EK3796"/>
    </row>
    <row r="3797" spans="1:141" s="116" customFormat="1">
      <c r="A3797" s="136"/>
      <c r="CM3797" s="111"/>
      <c r="CQ3797" s="111"/>
      <c r="EF3797"/>
      <c r="EG3797"/>
      <c r="EH3797"/>
      <c r="EI3797"/>
      <c r="EJ3797"/>
      <c r="EK3797"/>
    </row>
    <row r="3798" spans="1:141" s="116" customFormat="1">
      <c r="A3798" s="136"/>
      <c r="CM3798" s="111"/>
      <c r="CQ3798" s="111"/>
      <c r="EF3798"/>
      <c r="EG3798"/>
      <c r="EH3798"/>
      <c r="EI3798"/>
      <c r="EJ3798"/>
      <c r="EK3798"/>
    </row>
    <row r="3799" spans="1:141" s="116" customFormat="1">
      <c r="A3799" s="136"/>
      <c r="CM3799" s="111"/>
      <c r="CQ3799" s="111"/>
      <c r="EF3799"/>
      <c r="EG3799"/>
      <c r="EH3799"/>
      <c r="EI3799"/>
      <c r="EJ3799"/>
      <c r="EK3799"/>
    </row>
    <row r="3800" spans="1:141" s="116" customFormat="1">
      <c r="A3800" s="136"/>
      <c r="CM3800" s="111"/>
      <c r="CQ3800" s="111"/>
      <c r="EF3800"/>
      <c r="EG3800"/>
      <c r="EH3800"/>
      <c r="EI3800"/>
      <c r="EJ3800"/>
      <c r="EK3800"/>
    </row>
    <row r="3801" spans="1:141" s="116" customFormat="1">
      <c r="A3801" s="136"/>
      <c r="CM3801" s="111"/>
      <c r="CQ3801" s="111"/>
      <c r="EF3801"/>
      <c r="EG3801"/>
      <c r="EH3801"/>
      <c r="EI3801"/>
      <c r="EJ3801"/>
      <c r="EK3801"/>
    </row>
    <row r="3802" spans="1:141" s="116" customFormat="1">
      <c r="A3802" s="136"/>
      <c r="CM3802" s="111"/>
      <c r="CQ3802" s="111"/>
      <c r="EF3802"/>
      <c r="EG3802"/>
      <c r="EH3802"/>
      <c r="EI3802"/>
      <c r="EJ3802"/>
      <c r="EK3802"/>
    </row>
    <row r="3803" spans="1:141" s="116" customFormat="1">
      <c r="A3803" s="136"/>
      <c r="CM3803" s="111"/>
      <c r="CQ3803" s="111"/>
      <c r="EF3803"/>
      <c r="EG3803"/>
      <c r="EH3803"/>
      <c r="EI3803"/>
      <c r="EJ3803"/>
      <c r="EK3803"/>
    </row>
    <row r="3804" spans="1:141" s="116" customFormat="1">
      <c r="A3804" s="136"/>
      <c r="CM3804" s="111"/>
      <c r="CQ3804" s="111"/>
      <c r="EF3804"/>
      <c r="EG3804"/>
      <c r="EH3804"/>
      <c r="EI3804"/>
      <c r="EJ3804"/>
      <c r="EK3804"/>
    </row>
    <row r="3805" spans="1:141" s="116" customFormat="1">
      <c r="A3805" s="136"/>
      <c r="CM3805" s="111"/>
      <c r="CQ3805" s="111"/>
      <c r="EF3805"/>
      <c r="EG3805"/>
      <c r="EH3805"/>
      <c r="EI3805"/>
      <c r="EJ3805"/>
      <c r="EK3805"/>
    </row>
    <row r="3806" spans="1:141" s="116" customFormat="1">
      <c r="A3806" s="136"/>
      <c r="CM3806" s="111"/>
      <c r="CQ3806" s="111"/>
      <c r="EF3806"/>
      <c r="EG3806"/>
      <c r="EH3806"/>
      <c r="EI3806"/>
      <c r="EJ3806"/>
      <c r="EK3806"/>
    </row>
    <row r="3807" spans="1:141" s="116" customFormat="1">
      <c r="A3807" s="136"/>
      <c r="CM3807" s="111"/>
      <c r="CQ3807" s="111"/>
      <c r="EF3807"/>
      <c r="EG3807"/>
      <c r="EH3807"/>
      <c r="EI3807"/>
      <c r="EJ3807"/>
      <c r="EK3807"/>
    </row>
    <row r="3808" spans="1:141" s="116" customFormat="1">
      <c r="A3808" s="136"/>
      <c r="CM3808" s="111"/>
      <c r="CQ3808" s="111"/>
      <c r="EF3808"/>
      <c r="EG3808"/>
      <c r="EH3808"/>
      <c r="EI3808"/>
      <c r="EJ3808"/>
      <c r="EK3808"/>
    </row>
    <row r="3809" spans="1:141" s="116" customFormat="1">
      <c r="A3809" s="136"/>
      <c r="CM3809" s="111"/>
      <c r="CQ3809" s="111"/>
      <c r="EF3809"/>
      <c r="EG3809"/>
      <c r="EH3809"/>
      <c r="EI3809"/>
      <c r="EJ3809"/>
      <c r="EK3809"/>
    </row>
    <row r="3810" spans="1:141" s="116" customFormat="1">
      <c r="A3810" s="136"/>
      <c r="CM3810" s="111"/>
      <c r="CQ3810" s="111"/>
      <c r="EF3810"/>
      <c r="EG3810"/>
      <c r="EH3810"/>
      <c r="EI3810"/>
      <c r="EJ3810"/>
      <c r="EK3810"/>
    </row>
    <row r="3811" spans="1:141" s="116" customFormat="1">
      <c r="A3811" s="136"/>
      <c r="CM3811" s="111"/>
      <c r="CQ3811" s="111"/>
      <c r="EF3811"/>
      <c r="EG3811"/>
      <c r="EH3811"/>
      <c r="EI3811"/>
      <c r="EJ3811"/>
      <c r="EK3811"/>
    </row>
    <row r="3812" spans="1:141" s="116" customFormat="1">
      <c r="A3812" s="136"/>
      <c r="CM3812" s="111"/>
      <c r="CQ3812" s="111"/>
      <c r="EF3812"/>
      <c r="EG3812"/>
      <c r="EH3812"/>
      <c r="EI3812"/>
      <c r="EJ3812"/>
      <c r="EK3812"/>
    </row>
    <row r="3813" spans="1:141" s="116" customFormat="1">
      <c r="A3813" s="136"/>
      <c r="CM3813" s="111"/>
      <c r="CQ3813" s="111"/>
      <c r="EF3813"/>
      <c r="EG3813"/>
      <c r="EH3813"/>
      <c r="EI3813"/>
      <c r="EJ3813"/>
      <c r="EK3813"/>
    </row>
    <row r="3814" spans="1:141" s="116" customFormat="1">
      <c r="A3814" s="136"/>
      <c r="CM3814" s="111"/>
      <c r="CQ3814" s="111"/>
      <c r="EF3814"/>
      <c r="EG3814"/>
      <c r="EH3814"/>
      <c r="EI3814"/>
      <c r="EJ3814"/>
      <c r="EK3814"/>
    </row>
    <row r="3815" spans="1:141" s="116" customFormat="1">
      <c r="A3815" s="136"/>
      <c r="CM3815" s="111"/>
      <c r="CQ3815" s="111"/>
      <c r="EF3815"/>
      <c r="EG3815"/>
      <c r="EH3815"/>
      <c r="EI3815"/>
      <c r="EJ3815"/>
      <c r="EK3815"/>
    </row>
    <row r="3816" spans="1:141" s="116" customFormat="1">
      <c r="A3816" s="136"/>
      <c r="CM3816" s="111"/>
      <c r="CQ3816" s="111"/>
      <c r="EF3816"/>
      <c r="EG3816"/>
      <c r="EH3816"/>
      <c r="EI3816"/>
      <c r="EJ3816"/>
      <c r="EK3816"/>
    </row>
    <row r="3817" spans="1:141" s="116" customFormat="1">
      <c r="A3817" s="136"/>
      <c r="CM3817" s="111"/>
      <c r="CQ3817" s="111"/>
      <c r="EF3817"/>
      <c r="EG3817"/>
      <c r="EH3817"/>
      <c r="EI3817"/>
      <c r="EJ3817"/>
      <c r="EK3817"/>
    </row>
    <row r="3818" spans="1:141" s="116" customFormat="1">
      <c r="A3818" s="136"/>
      <c r="CM3818" s="111"/>
      <c r="CQ3818" s="111"/>
      <c r="EF3818"/>
      <c r="EG3818"/>
      <c r="EH3818"/>
      <c r="EI3818"/>
      <c r="EJ3818"/>
      <c r="EK3818"/>
    </row>
    <row r="3819" spans="1:141" s="116" customFormat="1">
      <c r="A3819" s="136"/>
      <c r="CM3819" s="111"/>
      <c r="CQ3819" s="111"/>
      <c r="EF3819"/>
      <c r="EG3819"/>
      <c r="EH3819"/>
      <c r="EI3819"/>
      <c r="EJ3819"/>
      <c r="EK3819"/>
    </row>
    <row r="3820" spans="1:141" s="116" customFormat="1">
      <c r="A3820" s="136"/>
      <c r="CM3820" s="111"/>
      <c r="CQ3820" s="111"/>
      <c r="EF3820"/>
      <c r="EG3820"/>
      <c r="EH3820"/>
      <c r="EI3820"/>
      <c r="EJ3820"/>
      <c r="EK3820"/>
    </row>
    <row r="3821" spans="1:141" s="116" customFormat="1">
      <c r="A3821" s="136"/>
      <c r="CM3821" s="111"/>
      <c r="CQ3821" s="111"/>
      <c r="EF3821"/>
      <c r="EG3821"/>
      <c r="EH3821"/>
      <c r="EI3821"/>
      <c r="EJ3821"/>
      <c r="EK3821"/>
    </row>
    <row r="3822" spans="1:141" s="116" customFormat="1">
      <c r="A3822" s="136"/>
      <c r="CM3822" s="111"/>
      <c r="CQ3822" s="111"/>
      <c r="EF3822"/>
      <c r="EG3822"/>
      <c r="EH3822"/>
      <c r="EI3822"/>
      <c r="EJ3822"/>
      <c r="EK3822"/>
    </row>
    <row r="3823" spans="1:141" s="116" customFormat="1">
      <c r="A3823" s="136"/>
      <c r="CM3823" s="111"/>
      <c r="CQ3823" s="111"/>
      <c r="EF3823"/>
      <c r="EG3823"/>
      <c r="EH3823"/>
      <c r="EI3823"/>
      <c r="EJ3823"/>
      <c r="EK3823"/>
    </row>
    <row r="3824" spans="1:141" s="116" customFormat="1">
      <c r="A3824" s="136"/>
      <c r="CM3824" s="111"/>
      <c r="CQ3824" s="111"/>
      <c r="EF3824"/>
      <c r="EG3824"/>
      <c r="EH3824"/>
      <c r="EI3824"/>
      <c r="EJ3824"/>
      <c r="EK3824"/>
    </row>
    <row r="3825" spans="1:141" s="116" customFormat="1">
      <c r="A3825" s="136"/>
      <c r="CM3825" s="111"/>
      <c r="CQ3825" s="111"/>
      <c r="EF3825"/>
      <c r="EG3825"/>
      <c r="EH3825"/>
      <c r="EI3825"/>
      <c r="EJ3825"/>
      <c r="EK3825"/>
    </row>
    <row r="3826" spans="1:141" s="116" customFormat="1">
      <c r="A3826" s="136"/>
      <c r="CM3826" s="111"/>
      <c r="CQ3826" s="111"/>
      <c r="EF3826"/>
      <c r="EG3826"/>
      <c r="EH3826"/>
      <c r="EI3826"/>
      <c r="EJ3826"/>
      <c r="EK3826"/>
    </row>
    <row r="3827" spans="1:141" s="116" customFormat="1">
      <c r="A3827" s="136"/>
      <c r="CM3827" s="111"/>
      <c r="CQ3827" s="111"/>
      <c r="EF3827"/>
      <c r="EG3827"/>
      <c r="EH3827"/>
      <c r="EI3827"/>
      <c r="EJ3827"/>
      <c r="EK3827"/>
    </row>
    <row r="3828" spans="1:141" s="116" customFormat="1">
      <c r="A3828" s="136"/>
      <c r="CM3828" s="111"/>
      <c r="CQ3828" s="111"/>
      <c r="EF3828"/>
      <c r="EG3828"/>
      <c r="EH3828"/>
      <c r="EI3828"/>
      <c r="EJ3828"/>
      <c r="EK3828"/>
    </row>
    <row r="3829" spans="1:141" s="116" customFormat="1">
      <c r="A3829" s="136"/>
      <c r="CM3829" s="111"/>
      <c r="CQ3829" s="111"/>
      <c r="EF3829"/>
      <c r="EG3829"/>
      <c r="EH3829"/>
      <c r="EI3829"/>
      <c r="EJ3829"/>
      <c r="EK3829"/>
    </row>
    <row r="3830" spans="1:141" s="116" customFormat="1">
      <c r="A3830" s="136"/>
      <c r="CM3830" s="111"/>
      <c r="CQ3830" s="111"/>
      <c r="EF3830"/>
      <c r="EG3830"/>
      <c r="EH3830"/>
      <c r="EI3830"/>
      <c r="EJ3830"/>
      <c r="EK3830"/>
    </row>
    <row r="3831" spans="1:141" s="116" customFormat="1">
      <c r="A3831" s="136"/>
      <c r="CM3831" s="111"/>
      <c r="CQ3831" s="111"/>
      <c r="EF3831"/>
      <c r="EG3831"/>
      <c r="EH3831"/>
      <c r="EI3831"/>
      <c r="EJ3831"/>
      <c r="EK3831"/>
    </row>
    <row r="3832" spans="1:141" s="116" customFormat="1">
      <c r="A3832" s="136"/>
      <c r="CM3832" s="111"/>
      <c r="CQ3832" s="111"/>
      <c r="EF3832"/>
      <c r="EG3832"/>
      <c r="EH3832"/>
      <c r="EI3832"/>
      <c r="EJ3832"/>
      <c r="EK3832"/>
    </row>
    <row r="3833" spans="1:141" s="116" customFormat="1">
      <c r="A3833" s="136"/>
      <c r="CM3833" s="111"/>
      <c r="CQ3833" s="111"/>
      <c r="EF3833"/>
      <c r="EG3833"/>
      <c r="EH3833"/>
      <c r="EI3833"/>
      <c r="EJ3833"/>
      <c r="EK3833"/>
    </row>
    <row r="3834" spans="1:141" s="116" customFormat="1">
      <c r="A3834" s="136"/>
      <c r="CM3834" s="111"/>
      <c r="CQ3834" s="111"/>
      <c r="EF3834"/>
      <c r="EG3834"/>
      <c r="EH3834"/>
      <c r="EI3834"/>
      <c r="EJ3834"/>
      <c r="EK3834"/>
    </row>
    <row r="3835" spans="1:141" s="116" customFormat="1">
      <c r="A3835" s="136"/>
      <c r="CM3835" s="111"/>
      <c r="CQ3835" s="111"/>
      <c r="EF3835"/>
      <c r="EG3835"/>
      <c r="EH3835"/>
      <c r="EI3835"/>
      <c r="EJ3835"/>
      <c r="EK3835"/>
    </row>
    <row r="3836" spans="1:141" s="116" customFormat="1">
      <c r="A3836" s="136"/>
      <c r="CM3836" s="111"/>
      <c r="CQ3836" s="111"/>
      <c r="EF3836"/>
      <c r="EG3836"/>
      <c r="EH3836"/>
      <c r="EI3836"/>
      <c r="EJ3836"/>
      <c r="EK3836"/>
    </row>
    <row r="3837" spans="1:141" s="116" customFormat="1">
      <c r="A3837" s="136"/>
      <c r="CM3837" s="111"/>
      <c r="CQ3837" s="111"/>
      <c r="EF3837"/>
      <c r="EG3837"/>
      <c r="EH3837"/>
      <c r="EI3837"/>
      <c r="EJ3837"/>
      <c r="EK3837"/>
    </row>
    <row r="3838" spans="1:141" s="116" customFormat="1">
      <c r="A3838" s="136"/>
      <c r="CM3838" s="111"/>
      <c r="CQ3838" s="111"/>
      <c r="EF3838"/>
      <c r="EG3838"/>
      <c r="EH3838"/>
      <c r="EI3838"/>
      <c r="EJ3838"/>
      <c r="EK3838"/>
    </row>
    <row r="3839" spans="1:141" s="116" customFormat="1">
      <c r="A3839" s="136"/>
      <c r="CM3839" s="111"/>
      <c r="CQ3839" s="111"/>
      <c r="EF3839"/>
      <c r="EG3839"/>
      <c r="EH3839"/>
      <c r="EI3839"/>
      <c r="EJ3839"/>
      <c r="EK3839"/>
    </row>
    <row r="3840" spans="1:141" s="116" customFormat="1">
      <c r="A3840" s="136"/>
      <c r="CM3840" s="111"/>
      <c r="CQ3840" s="111"/>
      <c r="EF3840"/>
      <c r="EG3840"/>
      <c r="EH3840"/>
      <c r="EI3840"/>
      <c r="EJ3840"/>
      <c r="EK3840"/>
    </row>
    <row r="3841" spans="1:141" s="116" customFormat="1">
      <c r="A3841" s="136"/>
      <c r="CM3841" s="111"/>
      <c r="CQ3841" s="111"/>
      <c r="EF3841"/>
      <c r="EG3841"/>
      <c r="EH3841"/>
      <c r="EI3841"/>
      <c r="EJ3841"/>
      <c r="EK3841"/>
    </row>
    <row r="3842" spans="1:141" s="116" customFormat="1">
      <c r="A3842" s="136"/>
      <c r="CM3842" s="111"/>
      <c r="CQ3842" s="111"/>
      <c r="EF3842"/>
      <c r="EG3842"/>
      <c r="EH3842"/>
      <c r="EI3842"/>
      <c r="EJ3842"/>
      <c r="EK3842"/>
    </row>
    <row r="3843" spans="1:141" s="116" customFormat="1">
      <c r="A3843" s="136"/>
      <c r="CM3843" s="111"/>
      <c r="CQ3843" s="111"/>
      <c r="EF3843"/>
      <c r="EG3843"/>
      <c r="EH3843"/>
      <c r="EI3843"/>
      <c r="EJ3843"/>
      <c r="EK3843"/>
    </row>
    <row r="3844" spans="1:141" s="116" customFormat="1">
      <c r="A3844" s="136"/>
      <c r="CM3844" s="111"/>
      <c r="CQ3844" s="111"/>
      <c r="EF3844"/>
      <c r="EG3844"/>
      <c r="EH3844"/>
      <c r="EI3844"/>
      <c r="EJ3844"/>
      <c r="EK3844"/>
    </row>
    <row r="3845" spans="1:141" s="116" customFormat="1">
      <c r="A3845" s="136"/>
      <c r="CM3845" s="111"/>
      <c r="CQ3845" s="111"/>
      <c r="EF3845"/>
      <c r="EG3845"/>
      <c r="EH3845"/>
      <c r="EI3845"/>
      <c r="EJ3845"/>
      <c r="EK3845"/>
    </row>
    <row r="3846" spans="1:141" s="116" customFormat="1">
      <c r="A3846" s="136"/>
      <c r="CM3846" s="111"/>
      <c r="CQ3846" s="111"/>
      <c r="EF3846"/>
      <c r="EG3846"/>
      <c r="EH3846"/>
      <c r="EI3846"/>
      <c r="EJ3846"/>
      <c r="EK3846"/>
    </row>
    <row r="3847" spans="1:141" s="116" customFormat="1">
      <c r="A3847" s="136"/>
      <c r="CM3847" s="111"/>
      <c r="CQ3847" s="111"/>
      <c r="EF3847"/>
      <c r="EG3847"/>
      <c r="EH3847"/>
      <c r="EI3847"/>
      <c r="EJ3847"/>
      <c r="EK3847"/>
    </row>
    <row r="3848" spans="1:141" s="116" customFormat="1">
      <c r="A3848" s="136"/>
      <c r="CM3848" s="111"/>
      <c r="CQ3848" s="111"/>
      <c r="EF3848"/>
      <c r="EG3848"/>
      <c r="EH3848"/>
      <c r="EI3848"/>
      <c r="EJ3848"/>
      <c r="EK3848"/>
    </row>
    <row r="3849" spans="1:141" s="116" customFormat="1">
      <c r="A3849" s="136"/>
      <c r="CM3849" s="111"/>
      <c r="CQ3849" s="111"/>
      <c r="EF3849"/>
      <c r="EG3849"/>
      <c r="EH3849"/>
      <c r="EI3849"/>
      <c r="EJ3849"/>
      <c r="EK3849"/>
    </row>
    <row r="3850" spans="1:141" s="116" customFormat="1">
      <c r="A3850" s="136"/>
      <c r="CM3850" s="111"/>
      <c r="CQ3850" s="111"/>
      <c r="EF3850"/>
      <c r="EG3850"/>
      <c r="EH3850"/>
      <c r="EI3850"/>
      <c r="EJ3850"/>
      <c r="EK3850"/>
    </row>
    <row r="3851" spans="1:141" s="116" customFormat="1">
      <c r="A3851" s="136"/>
      <c r="CM3851" s="111"/>
      <c r="CQ3851" s="111"/>
      <c r="EF3851"/>
      <c r="EG3851"/>
      <c r="EH3851"/>
      <c r="EI3851"/>
      <c r="EJ3851"/>
      <c r="EK3851"/>
    </row>
    <row r="3852" spans="1:141" s="116" customFormat="1">
      <c r="A3852" s="136"/>
      <c r="CM3852" s="111"/>
      <c r="CQ3852" s="111"/>
      <c r="EF3852"/>
      <c r="EG3852"/>
      <c r="EH3852"/>
      <c r="EI3852"/>
      <c r="EJ3852"/>
      <c r="EK3852"/>
    </row>
    <row r="3853" spans="1:141" s="116" customFormat="1">
      <c r="A3853" s="136"/>
      <c r="CM3853" s="111"/>
      <c r="CQ3853" s="111"/>
      <c r="EF3853"/>
      <c r="EG3853"/>
      <c r="EH3853"/>
      <c r="EI3853"/>
      <c r="EJ3853"/>
      <c r="EK3853"/>
    </row>
    <row r="3854" spans="1:141" s="116" customFormat="1">
      <c r="A3854" s="136"/>
      <c r="CM3854" s="111"/>
      <c r="CQ3854" s="111"/>
      <c r="EF3854"/>
      <c r="EG3854"/>
      <c r="EH3854"/>
      <c r="EI3854"/>
      <c r="EJ3854"/>
      <c r="EK3854"/>
    </row>
    <row r="3855" spans="1:141" s="116" customFormat="1">
      <c r="A3855" s="136"/>
      <c r="CM3855" s="111"/>
      <c r="CQ3855" s="111"/>
      <c r="EF3855"/>
      <c r="EG3855"/>
      <c r="EH3855"/>
      <c r="EI3855"/>
      <c r="EJ3855"/>
      <c r="EK3855"/>
    </row>
    <row r="3856" spans="1:141" s="116" customFormat="1">
      <c r="A3856" s="136"/>
      <c r="CM3856" s="111"/>
      <c r="CQ3856" s="111"/>
      <c r="EF3856"/>
      <c r="EG3856"/>
      <c r="EH3856"/>
      <c r="EI3856"/>
      <c r="EJ3856"/>
      <c r="EK3856"/>
    </row>
    <row r="3857" spans="1:141" s="116" customFormat="1">
      <c r="A3857" s="136"/>
      <c r="CM3857" s="111"/>
      <c r="CQ3857" s="111"/>
      <c r="EF3857"/>
      <c r="EG3857"/>
      <c r="EH3857"/>
      <c r="EI3857"/>
      <c r="EJ3857"/>
      <c r="EK3857"/>
    </row>
    <row r="3858" spans="1:141" s="116" customFormat="1">
      <c r="A3858" s="136"/>
      <c r="CM3858" s="111"/>
      <c r="CQ3858" s="111"/>
      <c r="EF3858"/>
      <c r="EG3858"/>
      <c r="EH3858"/>
      <c r="EI3858"/>
      <c r="EJ3858"/>
      <c r="EK3858"/>
    </row>
    <row r="3859" spans="1:141" s="116" customFormat="1">
      <c r="A3859" s="136"/>
      <c r="CM3859" s="111"/>
      <c r="CQ3859" s="111"/>
      <c r="EF3859"/>
      <c r="EG3859"/>
      <c r="EH3859"/>
      <c r="EI3859"/>
      <c r="EJ3859"/>
      <c r="EK3859"/>
    </row>
    <row r="3860" spans="1:141" s="116" customFormat="1">
      <c r="A3860" s="136"/>
      <c r="CM3860" s="111"/>
      <c r="CQ3860" s="111"/>
      <c r="EF3860"/>
      <c r="EG3860"/>
      <c r="EH3860"/>
      <c r="EI3860"/>
      <c r="EJ3860"/>
      <c r="EK3860"/>
    </row>
    <row r="3861" spans="1:141" s="116" customFormat="1">
      <c r="A3861" s="136"/>
      <c r="CM3861" s="111"/>
      <c r="CQ3861" s="111"/>
      <c r="EF3861"/>
      <c r="EG3861"/>
      <c r="EH3861"/>
      <c r="EI3861"/>
      <c r="EJ3861"/>
      <c r="EK3861"/>
    </row>
    <row r="3862" spans="1:141" s="116" customFormat="1">
      <c r="A3862" s="136"/>
      <c r="CM3862" s="111"/>
      <c r="CQ3862" s="111"/>
      <c r="EF3862"/>
      <c r="EG3862"/>
      <c r="EH3862"/>
      <c r="EI3862"/>
      <c r="EJ3862"/>
      <c r="EK3862"/>
    </row>
    <row r="3863" spans="1:141" s="116" customFormat="1">
      <c r="A3863" s="136"/>
      <c r="CM3863" s="111"/>
      <c r="CQ3863" s="111"/>
      <c r="EF3863"/>
      <c r="EG3863"/>
      <c r="EH3863"/>
      <c r="EI3863"/>
      <c r="EJ3863"/>
      <c r="EK3863"/>
    </row>
    <row r="3864" spans="1:141" s="116" customFormat="1">
      <c r="A3864" s="136"/>
      <c r="CM3864" s="111"/>
      <c r="CQ3864" s="111"/>
      <c r="EF3864"/>
      <c r="EG3864"/>
      <c r="EH3864"/>
      <c r="EI3864"/>
      <c r="EJ3864"/>
      <c r="EK3864"/>
    </row>
    <row r="3865" spans="1:141" s="116" customFormat="1">
      <c r="A3865" s="136"/>
      <c r="CM3865" s="111"/>
      <c r="CQ3865" s="111"/>
      <c r="EF3865"/>
      <c r="EG3865"/>
      <c r="EH3865"/>
      <c r="EI3865"/>
      <c r="EJ3865"/>
      <c r="EK3865"/>
    </row>
    <row r="3866" spans="1:141" s="116" customFormat="1">
      <c r="A3866" s="136"/>
      <c r="CM3866" s="111"/>
      <c r="CQ3866" s="111"/>
      <c r="EF3866"/>
      <c r="EG3866"/>
      <c r="EH3866"/>
      <c r="EI3866"/>
      <c r="EJ3866"/>
      <c r="EK3866"/>
    </row>
    <row r="3867" spans="1:141" s="116" customFormat="1">
      <c r="A3867" s="136"/>
      <c r="CM3867" s="111"/>
      <c r="CQ3867" s="111"/>
      <c r="EF3867"/>
      <c r="EG3867"/>
      <c r="EH3867"/>
      <c r="EI3867"/>
      <c r="EJ3867"/>
      <c r="EK3867"/>
    </row>
    <row r="3868" spans="1:141" s="116" customFormat="1">
      <c r="A3868" s="136"/>
      <c r="CM3868" s="111"/>
      <c r="CQ3868" s="111"/>
      <c r="EF3868"/>
      <c r="EG3868"/>
      <c r="EH3868"/>
      <c r="EI3868"/>
      <c r="EJ3868"/>
      <c r="EK3868"/>
    </row>
    <row r="3869" spans="1:141" s="116" customFormat="1">
      <c r="A3869" s="136"/>
      <c r="CM3869" s="111"/>
      <c r="CQ3869" s="111"/>
      <c r="EF3869"/>
      <c r="EG3869"/>
      <c r="EH3869"/>
      <c r="EI3869"/>
      <c r="EJ3869"/>
      <c r="EK3869"/>
    </row>
    <row r="3870" spans="1:141" s="116" customFormat="1">
      <c r="A3870" s="136"/>
      <c r="CM3870" s="111"/>
      <c r="CQ3870" s="111"/>
      <c r="EF3870"/>
      <c r="EG3870"/>
      <c r="EH3870"/>
      <c r="EI3870"/>
      <c r="EJ3870"/>
      <c r="EK3870"/>
    </row>
    <row r="3871" spans="1:141" s="116" customFormat="1">
      <c r="A3871" s="136"/>
      <c r="CM3871" s="111"/>
      <c r="CQ3871" s="111"/>
      <c r="EF3871"/>
      <c r="EG3871"/>
      <c r="EH3871"/>
      <c r="EI3871"/>
      <c r="EJ3871"/>
      <c r="EK3871"/>
    </row>
    <row r="3872" spans="1:141" s="116" customFormat="1">
      <c r="A3872" s="136"/>
      <c r="CM3872" s="111"/>
      <c r="CQ3872" s="111"/>
      <c r="EF3872"/>
      <c r="EG3872"/>
      <c r="EH3872"/>
      <c r="EI3872"/>
      <c r="EJ3872"/>
      <c r="EK3872"/>
    </row>
    <row r="3873" spans="1:141" s="116" customFormat="1">
      <c r="A3873" s="136"/>
      <c r="CM3873" s="111"/>
      <c r="CQ3873" s="111"/>
      <c r="EF3873"/>
      <c r="EG3873"/>
      <c r="EH3873"/>
      <c r="EI3873"/>
      <c r="EJ3873"/>
      <c r="EK3873"/>
    </row>
    <row r="3874" spans="1:141" s="116" customFormat="1">
      <c r="A3874" s="136"/>
      <c r="CM3874" s="111"/>
      <c r="CQ3874" s="111"/>
      <c r="EF3874"/>
      <c r="EG3874"/>
      <c r="EH3874"/>
      <c r="EI3874"/>
      <c r="EJ3874"/>
      <c r="EK3874"/>
    </row>
    <row r="3875" spans="1:141" s="116" customFormat="1">
      <c r="A3875" s="136"/>
      <c r="CM3875" s="111"/>
      <c r="CQ3875" s="111"/>
      <c r="EF3875"/>
      <c r="EG3875"/>
      <c r="EH3875"/>
      <c r="EI3875"/>
      <c r="EJ3875"/>
      <c r="EK3875"/>
    </row>
    <row r="3876" spans="1:141" s="116" customFormat="1">
      <c r="A3876" s="136"/>
      <c r="CM3876" s="111"/>
      <c r="CQ3876" s="111"/>
      <c r="EF3876"/>
      <c r="EG3876"/>
      <c r="EH3876"/>
      <c r="EI3876"/>
      <c r="EJ3876"/>
      <c r="EK3876"/>
    </row>
    <row r="3877" spans="1:141" s="116" customFormat="1">
      <c r="A3877" s="136"/>
      <c r="CM3877" s="111"/>
      <c r="CQ3877" s="111"/>
      <c r="EF3877"/>
      <c r="EG3877"/>
      <c r="EH3877"/>
      <c r="EI3877"/>
      <c r="EJ3877"/>
      <c r="EK3877"/>
    </row>
    <row r="3878" spans="1:141" s="116" customFormat="1">
      <c r="A3878" s="136"/>
      <c r="CM3878" s="111"/>
      <c r="CQ3878" s="111"/>
      <c r="EF3878"/>
      <c r="EG3878"/>
      <c r="EH3878"/>
      <c r="EI3878"/>
      <c r="EJ3878"/>
      <c r="EK3878"/>
    </row>
    <row r="3879" spans="1:141" s="116" customFormat="1">
      <c r="A3879" s="136"/>
      <c r="CM3879" s="111"/>
      <c r="CQ3879" s="111"/>
      <c r="EF3879"/>
      <c r="EG3879"/>
      <c r="EH3879"/>
      <c r="EI3879"/>
      <c r="EJ3879"/>
      <c r="EK3879"/>
    </row>
    <row r="3880" spans="1:141" s="116" customFormat="1">
      <c r="A3880" s="136"/>
      <c r="CM3880" s="111"/>
      <c r="CQ3880" s="111"/>
      <c r="EF3880"/>
      <c r="EG3880"/>
      <c r="EH3880"/>
      <c r="EI3880"/>
      <c r="EJ3880"/>
      <c r="EK3880"/>
    </row>
    <row r="3881" spans="1:141" s="116" customFormat="1">
      <c r="A3881" s="136"/>
      <c r="CM3881" s="111"/>
      <c r="CQ3881" s="111"/>
      <c r="EF3881"/>
      <c r="EG3881"/>
      <c r="EH3881"/>
      <c r="EI3881"/>
      <c r="EJ3881"/>
      <c r="EK3881"/>
    </row>
    <row r="3882" spans="1:141" s="116" customFormat="1">
      <c r="A3882" s="136"/>
      <c r="CM3882" s="111"/>
      <c r="CQ3882" s="111"/>
      <c r="EF3882"/>
      <c r="EG3882"/>
      <c r="EH3882"/>
      <c r="EI3882"/>
      <c r="EJ3882"/>
      <c r="EK3882"/>
    </row>
    <row r="3883" spans="1:141" s="116" customFormat="1">
      <c r="A3883" s="136"/>
      <c r="CM3883" s="111"/>
      <c r="CQ3883" s="111"/>
      <c r="EF3883"/>
      <c r="EG3883"/>
      <c r="EH3883"/>
      <c r="EI3883"/>
      <c r="EJ3883"/>
      <c r="EK3883"/>
    </row>
    <row r="3884" spans="1:141" s="116" customFormat="1">
      <c r="A3884" s="136"/>
      <c r="CM3884" s="111"/>
      <c r="CQ3884" s="111"/>
      <c r="EF3884"/>
      <c r="EG3884"/>
      <c r="EH3884"/>
      <c r="EI3884"/>
      <c r="EJ3884"/>
      <c r="EK3884"/>
    </row>
    <row r="3885" spans="1:141" s="116" customFormat="1">
      <c r="A3885" s="136"/>
      <c r="CM3885" s="111"/>
      <c r="CQ3885" s="111"/>
      <c r="EF3885"/>
      <c r="EG3885"/>
      <c r="EH3885"/>
      <c r="EI3885"/>
      <c r="EJ3885"/>
      <c r="EK3885"/>
    </row>
    <row r="3886" spans="1:141" s="116" customFormat="1">
      <c r="A3886" s="136"/>
      <c r="CM3886" s="111"/>
      <c r="CQ3886" s="111"/>
      <c r="EF3886"/>
      <c r="EG3886"/>
      <c r="EH3886"/>
      <c r="EI3886"/>
      <c r="EJ3886"/>
      <c r="EK3886"/>
    </row>
    <row r="3887" spans="1:141" s="116" customFormat="1">
      <c r="A3887" s="136"/>
      <c r="CM3887" s="111"/>
      <c r="CQ3887" s="111"/>
      <c r="EF3887"/>
      <c r="EG3887"/>
      <c r="EH3887"/>
      <c r="EI3887"/>
      <c r="EJ3887"/>
      <c r="EK3887"/>
    </row>
    <row r="3888" spans="1:141" s="116" customFormat="1">
      <c r="A3888" s="136"/>
      <c r="CM3888" s="111"/>
      <c r="CQ3888" s="111"/>
      <c r="EF3888"/>
      <c r="EG3888"/>
      <c r="EH3888"/>
      <c r="EI3888"/>
      <c r="EJ3888"/>
      <c r="EK3888"/>
    </row>
    <row r="3889" spans="1:141" s="116" customFormat="1">
      <c r="A3889" s="136"/>
      <c r="CM3889" s="111"/>
      <c r="CQ3889" s="111"/>
      <c r="EF3889"/>
      <c r="EG3889"/>
      <c r="EH3889"/>
      <c r="EI3889"/>
      <c r="EJ3889"/>
      <c r="EK3889"/>
    </row>
    <row r="3890" spans="1:141" s="116" customFormat="1">
      <c r="A3890" s="136"/>
      <c r="CM3890" s="111"/>
      <c r="CQ3890" s="111"/>
      <c r="EF3890"/>
      <c r="EG3890"/>
      <c r="EH3890"/>
      <c r="EI3890"/>
      <c r="EJ3890"/>
      <c r="EK3890"/>
    </row>
    <row r="3891" spans="1:141" s="116" customFormat="1">
      <c r="A3891" s="136"/>
      <c r="CM3891" s="111"/>
      <c r="CQ3891" s="111"/>
      <c r="EF3891"/>
      <c r="EG3891"/>
      <c r="EH3891"/>
      <c r="EI3891"/>
      <c r="EJ3891"/>
      <c r="EK3891"/>
    </row>
    <row r="3892" spans="1:141" s="116" customFormat="1">
      <c r="A3892" s="136"/>
      <c r="CM3892" s="111"/>
      <c r="CQ3892" s="111"/>
      <c r="EF3892"/>
      <c r="EG3892"/>
      <c r="EH3892"/>
      <c r="EI3892"/>
      <c r="EJ3892"/>
      <c r="EK3892"/>
    </row>
    <row r="3893" spans="1:141" s="116" customFormat="1">
      <c r="A3893" s="136"/>
      <c r="CM3893" s="111"/>
      <c r="CQ3893" s="111"/>
      <c r="EF3893"/>
      <c r="EG3893"/>
      <c r="EH3893"/>
      <c r="EI3893"/>
      <c r="EJ3893"/>
      <c r="EK3893"/>
    </row>
    <row r="3894" spans="1:141" s="116" customFormat="1">
      <c r="A3894" s="136"/>
      <c r="CM3894" s="111"/>
      <c r="CQ3894" s="111"/>
      <c r="EF3894"/>
      <c r="EG3894"/>
      <c r="EH3894"/>
      <c r="EI3894"/>
      <c r="EJ3894"/>
      <c r="EK3894"/>
    </row>
    <row r="3895" spans="1:141" s="116" customFormat="1">
      <c r="A3895" s="136"/>
      <c r="CM3895" s="111"/>
      <c r="CQ3895" s="111"/>
      <c r="EF3895"/>
      <c r="EG3895"/>
      <c r="EH3895"/>
      <c r="EI3895"/>
      <c r="EJ3895"/>
      <c r="EK3895"/>
    </row>
    <row r="3896" spans="1:141" s="116" customFormat="1">
      <c r="A3896" s="136"/>
      <c r="CM3896" s="111"/>
      <c r="CQ3896" s="111"/>
      <c r="EF3896"/>
      <c r="EG3896"/>
      <c r="EH3896"/>
      <c r="EI3896"/>
      <c r="EJ3896"/>
      <c r="EK3896"/>
    </row>
    <row r="3897" spans="1:141" s="116" customFormat="1">
      <c r="A3897" s="136"/>
      <c r="CM3897" s="111"/>
      <c r="CQ3897" s="111"/>
      <c r="EF3897"/>
      <c r="EG3897"/>
      <c r="EH3897"/>
      <c r="EI3897"/>
      <c r="EJ3897"/>
      <c r="EK3897"/>
    </row>
    <row r="3898" spans="1:141" s="116" customFormat="1">
      <c r="A3898" s="136"/>
      <c r="CM3898" s="111"/>
      <c r="CQ3898" s="111"/>
      <c r="EF3898"/>
      <c r="EG3898"/>
      <c r="EH3898"/>
      <c r="EI3898"/>
      <c r="EJ3898"/>
      <c r="EK3898"/>
    </row>
    <row r="3899" spans="1:141" s="116" customFormat="1">
      <c r="A3899" s="136"/>
      <c r="CM3899" s="111"/>
      <c r="CQ3899" s="111"/>
      <c r="EF3899"/>
      <c r="EG3899"/>
      <c r="EH3899"/>
      <c r="EI3899"/>
      <c r="EJ3899"/>
      <c r="EK3899"/>
    </row>
    <row r="3900" spans="1:141" s="116" customFormat="1">
      <c r="A3900" s="136"/>
      <c r="CM3900" s="111"/>
      <c r="CQ3900" s="111"/>
      <c r="EF3900"/>
      <c r="EG3900"/>
      <c r="EH3900"/>
      <c r="EI3900"/>
      <c r="EJ3900"/>
      <c r="EK3900"/>
    </row>
    <row r="3901" spans="1:141" s="116" customFormat="1">
      <c r="A3901" s="136"/>
      <c r="CM3901" s="111"/>
      <c r="CQ3901" s="111"/>
      <c r="EF3901"/>
      <c r="EG3901"/>
      <c r="EH3901"/>
      <c r="EI3901"/>
      <c r="EJ3901"/>
      <c r="EK3901"/>
    </row>
    <row r="3902" spans="1:141" s="116" customFormat="1">
      <c r="A3902" s="136"/>
      <c r="CM3902" s="111"/>
      <c r="CQ3902" s="111"/>
      <c r="EF3902"/>
      <c r="EG3902"/>
      <c r="EH3902"/>
      <c r="EI3902"/>
      <c r="EJ3902"/>
      <c r="EK3902"/>
    </row>
    <row r="3903" spans="1:141" s="116" customFormat="1">
      <c r="A3903" s="136"/>
      <c r="CM3903" s="111"/>
      <c r="CQ3903" s="111"/>
      <c r="EF3903"/>
      <c r="EG3903"/>
      <c r="EH3903"/>
      <c r="EI3903"/>
      <c r="EJ3903"/>
      <c r="EK3903"/>
    </row>
    <row r="3904" spans="1:141" s="116" customFormat="1">
      <c r="A3904" s="136"/>
      <c r="CM3904" s="111"/>
      <c r="CQ3904" s="111"/>
      <c r="EF3904"/>
      <c r="EG3904"/>
      <c r="EH3904"/>
      <c r="EI3904"/>
      <c r="EJ3904"/>
      <c r="EK3904"/>
    </row>
    <row r="3905" spans="1:141" s="116" customFormat="1">
      <c r="A3905" s="136"/>
      <c r="CM3905" s="111"/>
      <c r="CQ3905" s="111"/>
      <c r="EF3905"/>
      <c r="EG3905"/>
      <c r="EH3905"/>
      <c r="EI3905"/>
      <c r="EJ3905"/>
      <c r="EK3905"/>
    </row>
    <row r="3906" spans="1:141" s="116" customFormat="1">
      <c r="A3906" s="136"/>
      <c r="CM3906" s="111"/>
      <c r="CQ3906" s="111"/>
      <c r="EF3906"/>
      <c r="EG3906"/>
      <c r="EH3906"/>
      <c r="EI3906"/>
      <c r="EJ3906"/>
      <c r="EK3906"/>
    </row>
    <row r="3907" spans="1:141" s="116" customFormat="1">
      <c r="A3907" s="136"/>
      <c r="CM3907" s="111"/>
      <c r="CQ3907" s="111"/>
      <c r="EF3907"/>
      <c r="EG3907"/>
      <c r="EH3907"/>
      <c r="EI3907"/>
      <c r="EJ3907"/>
      <c r="EK3907"/>
    </row>
    <row r="3908" spans="1:141" s="116" customFormat="1">
      <c r="A3908" s="136"/>
      <c r="CM3908" s="111"/>
      <c r="CQ3908" s="111"/>
      <c r="EF3908"/>
      <c r="EG3908"/>
      <c r="EH3908"/>
      <c r="EI3908"/>
      <c r="EJ3908"/>
      <c r="EK3908"/>
    </row>
    <row r="3909" spans="1:141" s="116" customFormat="1">
      <c r="A3909" s="136"/>
      <c r="CM3909" s="111"/>
      <c r="CQ3909" s="111"/>
      <c r="EF3909"/>
      <c r="EG3909"/>
      <c r="EH3909"/>
      <c r="EI3909"/>
      <c r="EJ3909"/>
      <c r="EK3909"/>
    </row>
    <row r="3910" spans="1:141" s="116" customFormat="1">
      <c r="A3910" s="136"/>
      <c r="CM3910" s="111"/>
      <c r="CQ3910" s="111"/>
      <c r="EF3910"/>
      <c r="EG3910"/>
      <c r="EH3910"/>
      <c r="EI3910"/>
      <c r="EJ3910"/>
      <c r="EK3910"/>
    </row>
    <row r="3911" spans="1:141" s="116" customFormat="1">
      <c r="A3911" s="136"/>
      <c r="CM3911" s="111"/>
      <c r="CQ3911" s="111"/>
      <c r="EF3911"/>
      <c r="EG3911"/>
      <c r="EH3911"/>
      <c r="EI3911"/>
      <c r="EJ3911"/>
      <c r="EK3911"/>
    </row>
    <row r="3912" spans="1:141" s="116" customFormat="1">
      <c r="A3912" s="136"/>
      <c r="CM3912" s="111"/>
      <c r="CQ3912" s="111"/>
      <c r="EF3912"/>
      <c r="EG3912"/>
      <c r="EH3912"/>
      <c r="EI3912"/>
      <c r="EJ3912"/>
      <c r="EK3912"/>
    </row>
    <row r="3913" spans="1:141" s="116" customFormat="1">
      <c r="A3913" s="136"/>
      <c r="CM3913" s="111"/>
      <c r="CQ3913" s="111"/>
      <c r="EF3913"/>
      <c r="EG3913"/>
      <c r="EH3913"/>
      <c r="EI3913"/>
      <c r="EJ3913"/>
      <c r="EK3913"/>
    </row>
    <row r="3914" spans="1:141" s="116" customFormat="1">
      <c r="A3914" s="136"/>
      <c r="CM3914" s="111"/>
      <c r="CQ3914" s="111"/>
      <c r="EF3914"/>
      <c r="EG3914"/>
      <c r="EH3914"/>
      <c r="EI3914"/>
      <c r="EJ3914"/>
      <c r="EK3914"/>
    </row>
    <row r="3915" spans="1:141" s="116" customFormat="1">
      <c r="A3915" s="136"/>
      <c r="CM3915" s="111"/>
      <c r="CQ3915" s="111"/>
      <c r="EF3915"/>
      <c r="EG3915"/>
      <c r="EH3915"/>
      <c r="EI3915"/>
      <c r="EJ3915"/>
      <c r="EK3915"/>
    </row>
    <row r="3916" spans="1:141" s="116" customFormat="1">
      <c r="A3916" s="136"/>
      <c r="CM3916" s="111"/>
      <c r="CQ3916" s="111"/>
      <c r="EF3916"/>
      <c r="EG3916"/>
      <c r="EH3916"/>
      <c r="EI3916"/>
      <c r="EJ3916"/>
      <c r="EK3916"/>
    </row>
    <row r="3917" spans="1:141" s="116" customFormat="1">
      <c r="A3917" s="136"/>
      <c r="CM3917" s="111"/>
      <c r="CQ3917" s="111"/>
      <c r="EF3917"/>
      <c r="EG3917"/>
      <c r="EH3917"/>
      <c r="EI3917"/>
      <c r="EJ3917"/>
      <c r="EK3917"/>
    </row>
    <row r="3918" spans="1:141" s="116" customFormat="1">
      <c r="A3918" s="136"/>
      <c r="CM3918" s="111"/>
      <c r="CQ3918" s="111"/>
      <c r="EF3918"/>
      <c r="EG3918"/>
      <c r="EH3918"/>
      <c r="EI3918"/>
      <c r="EJ3918"/>
      <c r="EK3918"/>
    </row>
    <row r="3919" spans="1:141" s="116" customFormat="1">
      <c r="A3919" s="136"/>
      <c r="CM3919" s="111"/>
      <c r="CQ3919" s="111"/>
      <c r="EF3919"/>
      <c r="EG3919"/>
      <c r="EH3919"/>
      <c r="EI3919"/>
      <c r="EJ3919"/>
      <c r="EK3919"/>
    </row>
    <row r="3920" spans="1:141" s="116" customFormat="1">
      <c r="A3920" s="136"/>
      <c r="CM3920" s="111"/>
      <c r="CQ3920" s="111"/>
      <c r="EF3920"/>
      <c r="EG3920"/>
      <c r="EH3920"/>
      <c r="EI3920"/>
      <c r="EJ3920"/>
      <c r="EK3920"/>
    </row>
    <row r="3921" spans="1:141" s="116" customFormat="1">
      <c r="A3921" s="136"/>
      <c r="CM3921" s="111"/>
      <c r="CQ3921" s="111"/>
      <c r="EF3921"/>
      <c r="EG3921"/>
      <c r="EH3921"/>
      <c r="EI3921"/>
      <c r="EJ3921"/>
      <c r="EK3921"/>
    </row>
    <row r="3922" spans="1:141" s="116" customFormat="1">
      <c r="A3922" s="136"/>
      <c r="CM3922" s="111"/>
      <c r="CQ3922" s="111"/>
      <c r="EF3922"/>
      <c r="EG3922"/>
      <c r="EH3922"/>
      <c r="EI3922"/>
      <c r="EJ3922"/>
      <c r="EK3922"/>
    </row>
    <row r="3923" spans="1:141" s="116" customFormat="1">
      <c r="A3923" s="136"/>
      <c r="CM3923" s="111"/>
      <c r="CQ3923" s="111"/>
      <c r="EF3923"/>
      <c r="EG3923"/>
      <c r="EH3923"/>
      <c r="EI3923"/>
      <c r="EJ3923"/>
      <c r="EK3923"/>
    </row>
    <row r="3924" spans="1:141" s="116" customFormat="1">
      <c r="A3924" s="136"/>
      <c r="CM3924" s="111"/>
      <c r="CQ3924" s="111"/>
      <c r="EF3924"/>
      <c r="EG3924"/>
      <c r="EH3924"/>
      <c r="EI3924"/>
      <c r="EJ3924"/>
      <c r="EK3924"/>
    </row>
    <row r="3925" spans="1:141" s="116" customFormat="1">
      <c r="A3925" s="136"/>
      <c r="CM3925" s="111"/>
      <c r="CQ3925" s="111"/>
      <c r="EF3925"/>
      <c r="EG3925"/>
      <c r="EH3925"/>
      <c r="EI3925"/>
      <c r="EJ3925"/>
      <c r="EK3925"/>
    </row>
    <row r="3926" spans="1:141" s="116" customFormat="1">
      <c r="A3926" s="136"/>
      <c r="CM3926" s="111"/>
      <c r="CQ3926" s="111"/>
      <c r="EF3926"/>
      <c r="EG3926"/>
      <c r="EH3926"/>
      <c r="EI3926"/>
      <c r="EJ3926"/>
      <c r="EK3926"/>
    </row>
    <row r="3927" spans="1:141" s="116" customFormat="1">
      <c r="A3927" s="136"/>
      <c r="CM3927" s="111"/>
      <c r="CQ3927" s="111"/>
      <c r="EF3927"/>
      <c r="EG3927"/>
      <c r="EH3927"/>
      <c r="EI3927"/>
      <c r="EJ3927"/>
      <c r="EK3927"/>
    </row>
    <row r="3928" spans="1:141" s="116" customFormat="1">
      <c r="A3928" s="136"/>
      <c r="CM3928" s="111"/>
      <c r="CQ3928" s="111"/>
      <c r="EF3928"/>
      <c r="EG3928"/>
      <c r="EH3928"/>
      <c r="EI3928"/>
      <c r="EJ3928"/>
      <c r="EK3928"/>
    </row>
    <row r="3929" spans="1:141" s="116" customFormat="1">
      <c r="A3929" s="136"/>
      <c r="CM3929" s="111"/>
      <c r="CQ3929" s="111"/>
      <c r="EF3929"/>
      <c r="EG3929"/>
      <c r="EH3929"/>
      <c r="EI3929"/>
      <c r="EJ3929"/>
      <c r="EK3929"/>
    </row>
    <row r="3930" spans="1:141" s="116" customFormat="1">
      <c r="A3930" s="136"/>
      <c r="CM3930" s="111"/>
      <c r="CQ3930" s="111"/>
      <c r="EF3930"/>
      <c r="EG3930"/>
      <c r="EH3930"/>
      <c r="EI3930"/>
      <c r="EJ3930"/>
      <c r="EK3930"/>
    </row>
    <row r="3931" spans="1:141" s="116" customFormat="1">
      <c r="A3931" s="136"/>
      <c r="CM3931" s="111"/>
      <c r="CQ3931" s="111"/>
      <c r="EF3931"/>
      <c r="EG3931"/>
      <c r="EH3931"/>
      <c r="EI3931"/>
      <c r="EJ3931"/>
      <c r="EK3931"/>
    </row>
    <row r="3932" spans="1:141" s="116" customFormat="1">
      <c r="A3932" s="136"/>
      <c r="CM3932" s="111"/>
      <c r="CQ3932" s="111"/>
      <c r="EF3932"/>
      <c r="EG3932"/>
      <c r="EH3932"/>
      <c r="EI3932"/>
      <c r="EJ3932"/>
      <c r="EK3932"/>
    </row>
    <row r="3933" spans="1:141" s="116" customFormat="1">
      <c r="A3933" s="136"/>
      <c r="CM3933" s="111"/>
      <c r="CQ3933" s="111"/>
      <c r="EF3933"/>
      <c r="EG3933"/>
      <c r="EH3933"/>
      <c r="EI3933"/>
      <c r="EJ3933"/>
      <c r="EK3933"/>
    </row>
    <row r="3934" spans="1:141" s="116" customFormat="1">
      <c r="A3934" s="136"/>
      <c r="CM3934" s="111"/>
      <c r="CQ3934" s="111"/>
      <c r="EF3934"/>
      <c r="EG3934"/>
      <c r="EH3934"/>
      <c r="EI3934"/>
      <c r="EJ3934"/>
      <c r="EK3934"/>
    </row>
    <row r="3935" spans="1:141" s="116" customFormat="1">
      <c r="A3935" s="136"/>
      <c r="CM3935" s="111"/>
      <c r="CQ3935" s="111"/>
      <c r="EF3935"/>
      <c r="EG3935"/>
      <c r="EH3935"/>
      <c r="EI3935"/>
      <c r="EJ3935"/>
      <c r="EK3935"/>
    </row>
    <row r="3936" spans="1:141" s="116" customFormat="1">
      <c r="A3936" s="136"/>
      <c r="CM3936" s="111"/>
      <c r="CQ3936" s="111"/>
      <c r="EF3936"/>
      <c r="EG3936"/>
      <c r="EH3936"/>
      <c r="EI3936"/>
      <c r="EJ3936"/>
      <c r="EK3936"/>
    </row>
    <row r="3937" spans="1:141" s="116" customFormat="1">
      <c r="A3937" s="136"/>
      <c r="CM3937" s="111"/>
      <c r="CQ3937" s="111"/>
      <c r="EF3937"/>
      <c r="EG3937"/>
      <c r="EH3937"/>
      <c r="EI3937"/>
      <c r="EJ3937"/>
      <c r="EK3937"/>
    </row>
    <row r="3938" spans="1:141" s="116" customFormat="1">
      <c r="A3938" s="136"/>
      <c r="CM3938" s="111"/>
      <c r="CQ3938" s="111"/>
      <c r="EF3938"/>
      <c r="EG3938"/>
      <c r="EH3938"/>
      <c r="EI3938"/>
      <c r="EJ3938"/>
      <c r="EK3938"/>
    </row>
    <row r="3939" spans="1:141" s="116" customFormat="1">
      <c r="A3939" s="136"/>
      <c r="CM3939" s="111"/>
      <c r="CQ3939" s="111"/>
      <c r="EF3939"/>
      <c r="EG3939"/>
      <c r="EH3939"/>
      <c r="EI3939"/>
      <c r="EJ3939"/>
      <c r="EK3939"/>
    </row>
    <row r="3940" spans="1:141" s="116" customFormat="1">
      <c r="A3940" s="136"/>
      <c r="CM3940" s="111"/>
      <c r="CQ3940" s="111"/>
      <c r="EF3940"/>
      <c r="EG3940"/>
      <c r="EH3940"/>
      <c r="EI3940"/>
      <c r="EJ3940"/>
      <c r="EK3940"/>
    </row>
    <row r="3941" spans="1:141" s="116" customFormat="1">
      <c r="A3941" s="136"/>
      <c r="CM3941" s="111"/>
      <c r="CQ3941" s="111"/>
      <c r="EF3941"/>
      <c r="EG3941"/>
      <c r="EH3941"/>
      <c r="EI3941"/>
      <c r="EJ3941"/>
      <c r="EK3941"/>
    </row>
    <row r="3942" spans="1:141" s="116" customFormat="1">
      <c r="A3942" s="136"/>
      <c r="CM3942" s="111"/>
      <c r="CQ3942" s="111"/>
      <c r="EF3942"/>
      <c r="EG3942"/>
      <c r="EH3942"/>
      <c r="EI3942"/>
      <c r="EJ3942"/>
      <c r="EK3942"/>
    </row>
    <row r="3943" spans="1:141" s="116" customFormat="1">
      <c r="A3943" s="136"/>
      <c r="CM3943" s="111"/>
      <c r="CQ3943" s="111"/>
      <c r="EF3943"/>
      <c r="EG3943"/>
      <c r="EH3943"/>
      <c r="EI3943"/>
      <c r="EJ3943"/>
      <c r="EK3943"/>
    </row>
    <row r="3944" spans="1:141" s="116" customFormat="1">
      <c r="A3944" s="136"/>
      <c r="CM3944" s="111"/>
      <c r="CQ3944" s="111"/>
      <c r="EF3944"/>
      <c r="EG3944"/>
      <c r="EH3944"/>
      <c r="EI3944"/>
      <c r="EJ3944"/>
      <c r="EK3944"/>
    </row>
    <row r="3945" spans="1:141" s="116" customFormat="1">
      <c r="A3945" s="136"/>
      <c r="CM3945" s="111"/>
      <c r="CQ3945" s="111"/>
      <c r="EF3945"/>
      <c r="EG3945"/>
      <c r="EH3945"/>
      <c r="EI3945"/>
      <c r="EJ3945"/>
      <c r="EK3945"/>
    </row>
    <row r="3946" spans="1:141" s="116" customFormat="1">
      <c r="A3946" s="136"/>
      <c r="CM3946" s="111"/>
      <c r="CQ3946" s="111"/>
      <c r="EF3946"/>
      <c r="EG3946"/>
      <c r="EH3946"/>
      <c r="EI3946"/>
      <c r="EJ3946"/>
      <c r="EK3946"/>
    </row>
    <row r="3947" spans="1:141" s="116" customFormat="1">
      <c r="A3947" s="136"/>
      <c r="CM3947" s="111"/>
      <c r="CQ3947" s="111"/>
      <c r="EF3947"/>
      <c r="EG3947"/>
      <c r="EH3947"/>
      <c r="EI3947"/>
      <c r="EJ3947"/>
      <c r="EK3947"/>
    </row>
    <row r="3948" spans="1:141" s="116" customFormat="1">
      <c r="A3948" s="136"/>
      <c r="CM3948" s="111"/>
      <c r="CQ3948" s="111"/>
      <c r="EF3948"/>
      <c r="EG3948"/>
      <c r="EH3948"/>
      <c r="EI3948"/>
      <c r="EJ3948"/>
      <c r="EK3948"/>
    </row>
    <row r="3949" spans="1:141" s="116" customFormat="1">
      <c r="A3949" s="136"/>
      <c r="CM3949" s="111"/>
      <c r="CQ3949" s="111"/>
      <c r="EF3949"/>
      <c r="EG3949"/>
      <c r="EH3949"/>
      <c r="EI3949"/>
      <c r="EJ3949"/>
      <c r="EK3949"/>
    </row>
    <row r="3950" spans="1:141" s="116" customFormat="1">
      <c r="A3950" s="136"/>
      <c r="CM3950" s="111"/>
      <c r="CQ3950" s="111"/>
      <c r="EF3950"/>
      <c r="EG3950"/>
      <c r="EH3950"/>
      <c r="EI3950"/>
      <c r="EJ3950"/>
      <c r="EK3950"/>
    </row>
    <row r="3951" spans="1:141" s="116" customFormat="1">
      <c r="A3951" s="136"/>
      <c r="CM3951" s="111"/>
      <c r="CQ3951" s="111"/>
      <c r="EF3951"/>
      <c r="EG3951"/>
      <c r="EH3951"/>
      <c r="EI3951"/>
      <c r="EJ3951"/>
      <c r="EK3951"/>
    </row>
    <row r="3952" spans="1:141" s="116" customFormat="1">
      <c r="A3952" s="136"/>
      <c r="CM3952" s="111"/>
      <c r="CQ3952" s="111"/>
      <c r="EF3952"/>
      <c r="EG3952"/>
      <c r="EH3952"/>
      <c r="EI3952"/>
      <c r="EJ3952"/>
      <c r="EK3952"/>
    </row>
    <row r="3953" spans="1:141" s="116" customFormat="1">
      <c r="A3953" s="136"/>
      <c r="CM3953" s="111"/>
      <c r="CQ3953" s="111"/>
      <c r="EF3953"/>
      <c r="EG3953"/>
      <c r="EH3953"/>
      <c r="EI3953"/>
      <c r="EJ3953"/>
      <c r="EK3953"/>
    </row>
    <row r="3954" spans="1:141" s="116" customFormat="1">
      <c r="A3954" s="136"/>
      <c r="CM3954" s="111"/>
      <c r="CQ3954" s="111"/>
      <c r="EF3954"/>
      <c r="EG3954"/>
      <c r="EH3954"/>
      <c r="EI3954"/>
      <c r="EJ3954"/>
      <c r="EK3954"/>
    </row>
    <row r="3955" spans="1:141" s="116" customFormat="1">
      <c r="A3955" s="136"/>
      <c r="CM3955" s="111"/>
      <c r="CQ3955" s="111"/>
      <c r="EF3955"/>
      <c r="EG3955"/>
      <c r="EH3955"/>
      <c r="EI3955"/>
      <c r="EJ3955"/>
      <c r="EK3955"/>
    </row>
    <row r="3956" spans="1:141" s="116" customFormat="1">
      <c r="A3956" s="136"/>
      <c r="CM3956" s="111"/>
      <c r="CQ3956" s="111"/>
      <c r="EF3956"/>
      <c r="EG3956"/>
      <c r="EH3956"/>
      <c r="EI3956"/>
      <c r="EJ3956"/>
      <c r="EK3956"/>
    </row>
    <row r="3957" spans="1:141" s="116" customFormat="1">
      <c r="A3957" s="136"/>
      <c r="CM3957" s="111"/>
      <c r="CQ3957" s="111"/>
      <c r="EF3957"/>
      <c r="EG3957"/>
      <c r="EH3957"/>
      <c r="EI3957"/>
      <c r="EJ3957"/>
      <c r="EK3957"/>
    </row>
    <row r="3958" spans="1:141" s="116" customFormat="1">
      <c r="A3958" s="136"/>
      <c r="CM3958" s="111"/>
      <c r="CQ3958" s="111"/>
      <c r="EF3958"/>
      <c r="EG3958"/>
      <c r="EH3958"/>
      <c r="EI3958"/>
      <c r="EJ3958"/>
      <c r="EK3958"/>
    </row>
    <row r="3959" spans="1:141" s="116" customFormat="1">
      <c r="A3959" s="136"/>
      <c r="CM3959" s="111"/>
      <c r="CQ3959" s="111"/>
      <c r="EF3959"/>
      <c r="EG3959"/>
      <c r="EH3959"/>
      <c r="EI3959"/>
      <c r="EJ3959"/>
      <c r="EK3959"/>
    </row>
    <row r="3960" spans="1:141" s="116" customFormat="1">
      <c r="A3960" s="136"/>
      <c r="CM3960" s="111"/>
      <c r="CQ3960" s="111"/>
      <c r="EF3960"/>
      <c r="EG3960"/>
      <c r="EH3960"/>
      <c r="EI3960"/>
      <c r="EJ3960"/>
      <c r="EK3960"/>
    </row>
    <row r="3961" spans="1:141" s="116" customFormat="1">
      <c r="A3961" s="136"/>
      <c r="CM3961" s="111"/>
      <c r="CQ3961" s="111"/>
      <c r="EF3961"/>
      <c r="EG3961"/>
      <c r="EH3961"/>
      <c r="EI3961"/>
      <c r="EJ3961"/>
      <c r="EK3961"/>
    </row>
    <row r="3962" spans="1:141" s="116" customFormat="1">
      <c r="A3962" s="136"/>
      <c r="CM3962" s="111"/>
      <c r="CQ3962" s="111"/>
      <c r="EF3962"/>
      <c r="EG3962"/>
      <c r="EH3962"/>
      <c r="EI3962"/>
      <c r="EJ3962"/>
      <c r="EK3962"/>
    </row>
    <row r="3963" spans="1:141" s="116" customFormat="1">
      <c r="A3963" s="136"/>
      <c r="CM3963" s="111"/>
      <c r="CQ3963" s="111"/>
      <c r="EF3963"/>
      <c r="EG3963"/>
      <c r="EH3963"/>
      <c r="EI3963"/>
      <c r="EJ3963"/>
      <c r="EK3963"/>
    </row>
    <row r="3964" spans="1:141" s="116" customFormat="1">
      <c r="A3964" s="136"/>
      <c r="CM3964" s="111"/>
      <c r="CQ3964" s="111"/>
      <c r="EF3964"/>
      <c r="EG3964"/>
      <c r="EH3964"/>
      <c r="EI3964"/>
      <c r="EJ3964"/>
      <c r="EK3964"/>
    </row>
    <row r="3965" spans="1:141" s="116" customFormat="1">
      <c r="A3965" s="136"/>
      <c r="CM3965" s="111"/>
      <c r="CQ3965" s="111"/>
      <c r="EF3965"/>
      <c r="EG3965"/>
      <c r="EH3965"/>
      <c r="EI3965"/>
      <c r="EJ3965"/>
      <c r="EK3965"/>
    </row>
    <row r="3966" spans="1:141" s="116" customFormat="1">
      <c r="A3966" s="136"/>
      <c r="CM3966" s="111"/>
      <c r="CQ3966" s="111"/>
      <c r="EF3966"/>
      <c r="EG3966"/>
      <c r="EH3966"/>
      <c r="EI3966"/>
      <c r="EJ3966"/>
      <c r="EK3966"/>
    </row>
    <row r="3967" spans="1:141" s="116" customFormat="1">
      <c r="A3967" s="136"/>
      <c r="CM3967" s="111"/>
      <c r="CQ3967" s="111"/>
      <c r="EF3967"/>
      <c r="EG3967"/>
      <c r="EH3967"/>
      <c r="EI3967"/>
      <c r="EJ3967"/>
      <c r="EK3967"/>
    </row>
    <row r="3968" spans="1:141" s="116" customFormat="1">
      <c r="A3968" s="136"/>
      <c r="CM3968" s="111"/>
      <c r="CQ3968" s="111"/>
      <c r="EF3968"/>
      <c r="EG3968"/>
      <c r="EH3968"/>
      <c r="EI3968"/>
      <c r="EJ3968"/>
      <c r="EK3968"/>
    </row>
    <row r="3969" spans="1:141" s="116" customFormat="1">
      <c r="A3969" s="136"/>
      <c r="CM3969" s="111"/>
      <c r="CQ3969" s="111"/>
      <c r="EF3969"/>
      <c r="EG3969"/>
      <c r="EH3969"/>
      <c r="EI3969"/>
      <c r="EJ3969"/>
      <c r="EK3969"/>
    </row>
    <row r="3970" spans="1:141" s="116" customFormat="1">
      <c r="A3970" s="136"/>
      <c r="CM3970" s="111"/>
      <c r="CQ3970" s="111"/>
      <c r="EF3970"/>
      <c r="EG3970"/>
      <c r="EH3970"/>
      <c r="EI3970"/>
      <c r="EJ3970"/>
      <c r="EK3970"/>
    </row>
    <row r="3971" spans="1:141" s="116" customFormat="1">
      <c r="A3971" s="136"/>
      <c r="CM3971" s="111"/>
      <c r="CQ3971" s="111"/>
      <c r="EF3971"/>
      <c r="EG3971"/>
      <c r="EH3971"/>
      <c r="EI3971"/>
      <c r="EJ3971"/>
      <c r="EK3971"/>
    </row>
    <row r="3972" spans="1:141" s="116" customFormat="1">
      <c r="A3972" s="136"/>
      <c r="CM3972" s="111"/>
      <c r="CQ3972" s="111"/>
      <c r="EF3972"/>
      <c r="EG3972"/>
      <c r="EH3972"/>
      <c r="EI3972"/>
      <c r="EJ3972"/>
      <c r="EK3972"/>
    </row>
    <row r="3973" spans="1:141" s="116" customFormat="1">
      <c r="A3973" s="136"/>
      <c r="CM3973" s="111"/>
      <c r="CQ3973" s="111"/>
      <c r="EF3973"/>
      <c r="EG3973"/>
      <c r="EH3973"/>
      <c r="EI3973"/>
      <c r="EJ3973"/>
      <c r="EK3973"/>
    </row>
    <row r="3974" spans="1:141" s="116" customFormat="1">
      <c r="A3974" s="136"/>
      <c r="CM3974" s="111"/>
      <c r="CQ3974" s="111"/>
      <c r="EF3974"/>
      <c r="EG3974"/>
      <c r="EH3974"/>
      <c r="EI3974"/>
      <c r="EJ3974"/>
      <c r="EK3974"/>
    </row>
    <row r="3975" spans="1:141" s="116" customFormat="1">
      <c r="A3975" s="136"/>
      <c r="CM3975" s="111"/>
      <c r="CQ3975" s="111"/>
      <c r="EF3975"/>
      <c r="EG3975"/>
      <c r="EH3975"/>
      <c r="EI3975"/>
      <c r="EJ3975"/>
      <c r="EK3975"/>
    </row>
    <row r="3976" spans="1:141" s="116" customFormat="1">
      <c r="A3976" s="136"/>
      <c r="CM3976" s="111"/>
      <c r="CQ3976" s="111"/>
      <c r="EF3976"/>
      <c r="EG3976"/>
      <c r="EH3976"/>
      <c r="EI3976"/>
      <c r="EJ3976"/>
      <c r="EK3976"/>
    </row>
    <row r="3977" spans="1:141" s="116" customFormat="1">
      <c r="A3977" s="136"/>
      <c r="CM3977" s="111"/>
      <c r="CQ3977" s="111"/>
      <c r="EF3977"/>
      <c r="EG3977"/>
      <c r="EH3977"/>
      <c r="EI3977"/>
      <c r="EJ3977"/>
      <c r="EK3977"/>
    </row>
    <row r="3978" spans="1:141" s="116" customFormat="1">
      <c r="A3978" s="136"/>
      <c r="CM3978" s="111"/>
      <c r="CQ3978" s="111"/>
      <c r="EF3978"/>
      <c r="EG3978"/>
      <c r="EH3978"/>
      <c r="EI3978"/>
      <c r="EJ3978"/>
      <c r="EK3978"/>
    </row>
    <row r="3979" spans="1:141" s="116" customFormat="1">
      <c r="A3979" s="136"/>
      <c r="CM3979" s="111"/>
      <c r="CQ3979" s="111"/>
      <c r="EF3979"/>
      <c r="EG3979"/>
      <c r="EH3979"/>
      <c r="EI3979"/>
      <c r="EJ3979"/>
      <c r="EK3979"/>
    </row>
    <row r="3980" spans="1:141" s="116" customFormat="1">
      <c r="A3980" s="136"/>
      <c r="CM3980" s="111"/>
      <c r="CQ3980" s="111"/>
      <c r="EF3980"/>
      <c r="EG3980"/>
      <c r="EH3980"/>
      <c r="EI3980"/>
      <c r="EJ3980"/>
      <c r="EK3980"/>
    </row>
    <row r="3981" spans="1:141" s="116" customFormat="1">
      <c r="A3981" s="136"/>
      <c r="CM3981" s="111"/>
      <c r="CQ3981" s="111"/>
      <c r="EF3981"/>
      <c r="EG3981"/>
      <c r="EH3981"/>
      <c r="EI3981"/>
      <c r="EJ3981"/>
      <c r="EK3981"/>
    </row>
    <row r="3982" spans="1:141" s="116" customFormat="1">
      <c r="A3982" s="136"/>
      <c r="CM3982" s="111"/>
      <c r="CQ3982" s="111"/>
      <c r="EF3982"/>
      <c r="EG3982"/>
      <c r="EH3982"/>
      <c r="EI3982"/>
      <c r="EJ3982"/>
      <c r="EK3982"/>
    </row>
    <row r="3983" spans="1:141" s="116" customFormat="1">
      <c r="A3983" s="136"/>
      <c r="CM3983" s="111"/>
      <c r="CQ3983" s="111"/>
      <c r="EF3983"/>
      <c r="EG3983"/>
      <c r="EH3983"/>
      <c r="EI3983"/>
      <c r="EJ3983"/>
      <c r="EK3983"/>
    </row>
    <row r="3984" spans="1:141" s="116" customFormat="1">
      <c r="A3984" s="136"/>
      <c r="CM3984" s="111"/>
      <c r="CQ3984" s="111"/>
      <c r="EF3984"/>
      <c r="EG3984"/>
      <c r="EH3984"/>
      <c r="EI3984"/>
      <c r="EJ3984"/>
      <c r="EK3984"/>
    </row>
    <row r="3985" spans="1:141" s="116" customFormat="1">
      <c r="A3985" s="136"/>
      <c r="CM3985" s="111"/>
      <c r="CQ3985" s="111"/>
      <c r="EF3985"/>
      <c r="EG3985"/>
      <c r="EH3985"/>
      <c r="EI3985"/>
      <c r="EJ3985"/>
      <c r="EK3985"/>
    </row>
    <row r="3986" spans="1:141" s="116" customFormat="1">
      <c r="A3986" s="136"/>
      <c r="CM3986" s="111"/>
      <c r="CQ3986" s="111"/>
      <c r="EF3986"/>
      <c r="EG3986"/>
      <c r="EH3986"/>
      <c r="EI3986"/>
      <c r="EJ3986"/>
      <c r="EK3986"/>
    </row>
    <row r="3987" spans="1:141" s="116" customFormat="1">
      <c r="A3987" s="136"/>
      <c r="CM3987" s="111"/>
      <c r="CQ3987" s="111"/>
      <c r="EF3987"/>
      <c r="EG3987"/>
      <c r="EH3987"/>
      <c r="EI3987"/>
      <c r="EJ3987"/>
      <c r="EK3987"/>
    </row>
    <row r="3988" spans="1:141" s="116" customFormat="1">
      <c r="A3988" s="136"/>
      <c r="CM3988" s="111"/>
      <c r="CQ3988" s="111"/>
      <c r="EF3988"/>
      <c r="EG3988"/>
      <c r="EH3988"/>
      <c r="EI3988"/>
      <c r="EJ3988"/>
      <c r="EK3988"/>
    </row>
    <row r="3989" spans="1:141" s="116" customFormat="1">
      <c r="A3989" s="136"/>
      <c r="CM3989" s="111"/>
      <c r="CQ3989" s="111"/>
      <c r="EF3989"/>
      <c r="EG3989"/>
      <c r="EH3989"/>
      <c r="EI3989"/>
      <c r="EJ3989"/>
      <c r="EK3989"/>
    </row>
    <row r="3990" spans="1:141" s="116" customFormat="1">
      <c r="A3990" s="136"/>
      <c r="CM3990" s="111"/>
      <c r="CQ3990" s="111"/>
      <c r="EF3990"/>
      <c r="EG3990"/>
      <c r="EH3990"/>
      <c r="EI3990"/>
      <c r="EJ3990"/>
      <c r="EK3990"/>
    </row>
    <row r="3991" spans="1:141" s="116" customFormat="1">
      <c r="A3991" s="136"/>
      <c r="CM3991" s="111"/>
      <c r="CQ3991" s="111"/>
      <c r="EF3991"/>
      <c r="EG3991"/>
      <c r="EH3991"/>
      <c r="EI3991"/>
      <c r="EJ3991"/>
      <c r="EK3991"/>
    </row>
    <row r="3992" spans="1:141" s="116" customFormat="1">
      <c r="A3992" s="136"/>
      <c r="CM3992" s="111"/>
      <c r="CQ3992" s="111"/>
      <c r="EF3992"/>
      <c r="EG3992"/>
      <c r="EH3992"/>
      <c r="EI3992"/>
      <c r="EJ3992"/>
      <c r="EK3992"/>
    </row>
    <row r="3993" spans="1:141" s="116" customFormat="1">
      <c r="A3993" s="136"/>
      <c r="CM3993" s="111"/>
      <c r="CQ3993" s="111"/>
      <c r="EF3993"/>
      <c r="EG3993"/>
      <c r="EH3993"/>
      <c r="EI3993"/>
      <c r="EJ3993"/>
      <c r="EK3993"/>
    </row>
    <row r="3994" spans="1:141" s="116" customFormat="1">
      <c r="A3994" s="136"/>
      <c r="CM3994" s="111"/>
      <c r="CQ3994" s="111"/>
      <c r="EF3994"/>
      <c r="EG3994"/>
      <c r="EH3994"/>
      <c r="EI3994"/>
      <c r="EJ3994"/>
      <c r="EK3994"/>
    </row>
    <row r="3995" spans="1:141" s="116" customFormat="1">
      <c r="A3995" s="136"/>
      <c r="CM3995" s="111"/>
      <c r="CQ3995" s="111"/>
      <c r="EF3995"/>
      <c r="EG3995"/>
      <c r="EH3995"/>
      <c r="EI3995"/>
      <c r="EJ3995"/>
      <c r="EK3995"/>
    </row>
    <row r="3996" spans="1:141" s="116" customFormat="1">
      <c r="A3996" s="136"/>
      <c r="CM3996" s="111"/>
      <c r="CQ3996" s="111"/>
      <c r="EF3996"/>
      <c r="EG3996"/>
      <c r="EH3996"/>
      <c r="EI3996"/>
      <c r="EJ3996"/>
      <c r="EK3996"/>
    </row>
    <row r="3997" spans="1:141" s="116" customFormat="1">
      <c r="A3997" s="136"/>
      <c r="CM3997" s="111"/>
      <c r="CQ3997" s="111"/>
      <c r="EF3997"/>
      <c r="EG3997"/>
      <c r="EH3997"/>
      <c r="EI3997"/>
      <c r="EJ3997"/>
      <c r="EK3997"/>
    </row>
    <row r="3998" spans="1:141" s="116" customFormat="1">
      <c r="A3998" s="136"/>
      <c r="CM3998" s="111"/>
      <c r="CQ3998" s="111"/>
      <c r="EF3998"/>
      <c r="EG3998"/>
      <c r="EH3998"/>
      <c r="EI3998"/>
      <c r="EJ3998"/>
      <c r="EK3998"/>
    </row>
    <row r="3999" spans="1:141" s="116" customFormat="1">
      <c r="A3999" s="136"/>
      <c r="CM3999" s="111"/>
      <c r="CQ3999" s="111"/>
      <c r="EF3999"/>
      <c r="EG3999"/>
      <c r="EH3999"/>
      <c r="EI3999"/>
      <c r="EJ3999"/>
      <c r="EK3999"/>
    </row>
    <row r="4000" spans="1:141" s="116" customFormat="1">
      <c r="A4000" s="136"/>
      <c r="CM4000" s="111"/>
      <c r="CQ4000" s="111"/>
      <c r="EF4000"/>
      <c r="EG4000"/>
      <c r="EH4000"/>
      <c r="EI4000"/>
      <c r="EJ4000"/>
      <c r="EK4000"/>
    </row>
    <row r="4001" spans="1:141" s="116" customFormat="1">
      <c r="A4001" s="136"/>
      <c r="CM4001" s="111"/>
      <c r="CQ4001" s="111"/>
      <c r="EF4001"/>
      <c r="EG4001"/>
      <c r="EH4001"/>
      <c r="EI4001"/>
      <c r="EJ4001"/>
      <c r="EK4001"/>
    </row>
    <row r="4002" spans="1:141" s="116" customFormat="1">
      <c r="A4002" s="136"/>
      <c r="CM4002" s="111"/>
      <c r="CQ4002" s="111"/>
      <c r="EF4002"/>
      <c r="EG4002"/>
      <c r="EH4002"/>
      <c r="EI4002"/>
      <c r="EJ4002"/>
      <c r="EK4002"/>
    </row>
    <row r="4003" spans="1:141" s="116" customFormat="1">
      <c r="A4003" s="136"/>
      <c r="CM4003" s="111"/>
      <c r="CQ4003" s="111"/>
      <c r="EF4003"/>
      <c r="EG4003"/>
      <c r="EH4003"/>
      <c r="EI4003"/>
      <c r="EJ4003"/>
      <c r="EK4003"/>
    </row>
    <row r="4004" spans="1:141" s="116" customFormat="1">
      <c r="A4004" s="136"/>
      <c r="CM4004" s="111"/>
      <c r="CQ4004" s="111"/>
      <c r="EF4004"/>
      <c r="EG4004"/>
      <c r="EH4004"/>
      <c r="EI4004"/>
      <c r="EJ4004"/>
      <c r="EK4004"/>
    </row>
    <row r="4005" spans="1:141" s="116" customFormat="1">
      <c r="A4005" s="136"/>
      <c r="CM4005" s="111"/>
      <c r="CQ4005" s="111"/>
      <c r="EF4005"/>
      <c r="EG4005"/>
      <c r="EH4005"/>
      <c r="EI4005"/>
      <c r="EJ4005"/>
      <c r="EK4005"/>
    </row>
    <row r="4006" spans="1:141" s="116" customFormat="1">
      <c r="A4006" s="136"/>
      <c r="CM4006" s="111"/>
      <c r="CQ4006" s="111"/>
      <c r="EF4006"/>
      <c r="EG4006"/>
      <c r="EH4006"/>
      <c r="EI4006"/>
      <c r="EJ4006"/>
      <c r="EK4006"/>
    </row>
    <row r="4007" spans="1:141" s="116" customFormat="1">
      <c r="A4007" s="136"/>
      <c r="CM4007" s="111"/>
      <c r="CQ4007" s="111"/>
      <c r="EF4007"/>
      <c r="EG4007"/>
      <c r="EH4007"/>
      <c r="EI4007"/>
      <c r="EJ4007"/>
      <c r="EK4007"/>
    </row>
    <row r="4008" spans="1:141" s="116" customFormat="1">
      <c r="A4008" s="136"/>
      <c r="CM4008" s="111"/>
      <c r="CQ4008" s="111"/>
      <c r="EF4008"/>
      <c r="EG4008"/>
      <c r="EH4008"/>
      <c r="EI4008"/>
      <c r="EJ4008"/>
      <c r="EK4008"/>
    </row>
    <row r="4009" spans="1:141" s="116" customFormat="1">
      <c r="A4009" s="136"/>
      <c r="CM4009" s="111"/>
      <c r="CQ4009" s="111"/>
      <c r="EF4009"/>
      <c r="EG4009"/>
      <c r="EH4009"/>
      <c r="EI4009"/>
      <c r="EJ4009"/>
      <c r="EK4009"/>
    </row>
    <row r="4010" spans="1:141" s="116" customFormat="1">
      <c r="A4010" s="136"/>
      <c r="CM4010" s="111"/>
      <c r="CQ4010" s="111"/>
      <c r="EF4010"/>
      <c r="EG4010"/>
      <c r="EH4010"/>
      <c r="EI4010"/>
      <c r="EJ4010"/>
      <c r="EK4010"/>
    </row>
    <row r="4011" spans="1:141" s="116" customFormat="1">
      <c r="A4011" s="136"/>
      <c r="CM4011" s="111"/>
      <c r="CQ4011" s="111"/>
      <c r="EF4011"/>
      <c r="EG4011"/>
      <c r="EH4011"/>
      <c r="EI4011"/>
      <c r="EJ4011"/>
      <c r="EK4011"/>
    </row>
    <row r="4012" spans="1:141" s="116" customFormat="1">
      <c r="A4012" s="136"/>
      <c r="CM4012" s="111"/>
      <c r="CQ4012" s="111"/>
      <c r="EF4012"/>
      <c r="EG4012"/>
      <c r="EH4012"/>
      <c r="EI4012"/>
      <c r="EJ4012"/>
      <c r="EK4012"/>
    </row>
    <row r="4013" spans="1:141" s="116" customFormat="1">
      <c r="A4013" s="136"/>
      <c r="CM4013" s="111"/>
      <c r="CQ4013" s="111"/>
      <c r="EF4013"/>
      <c r="EG4013"/>
      <c r="EH4013"/>
      <c r="EI4013"/>
      <c r="EJ4013"/>
      <c r="EK4013"/>
    </row>
    <row r="4014" spans="1:141" s="116" customFormat="1">
      <c r="A4014" s="136"/>
      <c r="CM4014" s="111"/>
      <c r="CQ4014" s="111"/>
      <c r="EF4014"/>
      <c r="EG4014"/>
      <c r="EH4014"/>
      <c r="EI4014"/>
      <c r="EJ4014"/>
      <c r="EK4014"/>
    </row>
    <row r="4015" spans="1:141" s="116" customFormat="1">
      <c r="A4015" s="136"/>
      <c r="CM4015" s="111"/>
      <c r="CQ4015" s="111"/>
      <c r="EF4015"/>
      <c r="EG4015"/>
      <c r="EH4015"/>
      <c r="EI4015"/>
      <c r="EJ4015"/>
      <c r="EK4015"/>
    </row>
    <row r="4016" spans="1:141" s="116" customFormat="1">
      <c r="A4016" s="136"/>
      <c r="CM4016" s="111"/>
      <c r="CQ4016" s="111"/>
      <c r="EF4016"/>
      <c r="EG4016"/>
      <c r="EH4016"/>
      <c r="EI4016"/>
      <c r="EJ4016"/>
      <c r="EK4016"/>
    </row>
    <row r="4017" spans="1:141" s="116" customFormat="1">
      <c r="A4017" s="136"/>
      <c r="CM4017" s="111"/>
      <c r="CQ4017" s="111"/>
      <c r="EF4017"/>
      <c r="EG4017"/>
      <c r="EH4017"/>
      <c r="EI4017"/>
      <c r="EJ4017"/>
      <c r="EK4017"/>
    </row>
    <row r="4018" spans="1:141" s="116" customFormat="1">
      <c r="A4018" s="136"/>
      <c r="CM4018" s="111"/>
      <c r="CQ4018" s="111"/>
      <c r="EF4018"/>
      <c r="EG4018"/>
      <c r="EH4018"/>
      <c r="EI4018"/>
      <c r="EJ4018"/>
      <c r="EK4018"/>
    </row>
    <row r="4019" spans="1:141" s="116" customFormat="1">
      <c r="A4019" s="136"/>
      <c r="CM4019" s="111"/>
      <c r="CQ4019" s="111"/>
      <c r="EF4019"/>
      <c r="EG4019"/>
      <c r="EH4019"/>
      <c r="EI4019"/>
      <c r="EJ4019"/>
      <c r="EK4019"/>
    </row>
    <row r="4020" spans="1:141" s="116" customFormat="1">
      <c r="A4020" s="136"/>
      <c r="CM4020" s="111"/>
      <c r="CQ4020" s="111"/>
      <c r="EF4020"/>
      <c r="EG4020"/>
      <c r="EH4020"/>
      <c r="EI4020"/>
      <c r="EJ4020"/>
      <c r="EK4020"/>
    </row>
    <row r="4021" spans="1:141" s="116" customFormat="1">
      <c r="A4021" s="136"/>
      <c r="CM4021" s="111"/>
      <c r="CQ4021" s="111"/>
      <c r="EF4021"/>
      <c r="EG4021"/>
      <c r="EH4021"/>
      <c r="EI4021"/>
      <c r="EJ4021"/>
      <c r="EK4021"/>
    </row>
    <row r="4022" spans="1:141" s="116" customFormat="1">
      <c r="A4022" s="136"/>
      <c r="CM4022" s="111"/>
      <c r="CQ4022" s="111"/>
      <c r="EF4022"/>
      <c r="EG4022"/>
      <c r="EH4022"/>
      <c r="EI4022"/>
      <c r="EJ4022"/>
      <c r="EK4022"/>
    </row>
    <row r="4023" spans="1:141" s="116" customFormat="1">
      <c r="A4023" s="136"/>
      <c r="CM4023" s="111"/>
      <c r="CQ4023" s="111"/>
      <c r="EF4023"/>
      <c r="EG4023"/>
      <c r="EH4023"/>
      <c r="EI4023"/>
      <c r="EJ4023"/>
      <c r="EK4023"/>
    </row>
    <row r="4024" spans="1:141" s="116" customFormat="1">
      <c r="A4024" s="136"/>
      <c r="CM4024" s="111"/>
      <c r="CQ4024" s="111"/>
      <c r="EF4024"/>
      <c r="EG4024"/>
      <c r="EH4024"/>
      <c r="EI4024"/>
      <c r="EJ4024"/>
      <c r="EK4024"/>
    </row>
    <row r="4025" spans="1:141" s="116" customFormat="1">
      <c r="A4025" s="136"/>
      <c r="CM4025" s="111"/>
      <c r="CQ4025" s="111"/>
      <c r="EF4025"/>
      <c r="EG4025"/>
      <c r="EH4025"/>
      <c r="EI4025"/>
      <c r="EJ4025"/>
      <c r="EK4025"/>
    </row>
    <row r="4026" spans="1:141" s="116" customFormat="1">
      <c r="A4026" s="136"/>
      <c r="CM4026" s="111"/>
      <c r="CQ4026" s="111"/>
      <c r="EF4026"/>
      <c r="EG4026"/>
      <c r="EH4026"/>
      <c r="EI4026"/>
      <c r="EJ4026"/>
      <c r="EK4026"/>
    </row>
    <row r="4027" spans="1:141" s="116" customFormat="1">
      <c r="A4027" s="136"/>
      <c r="CM4027" s="111"/>
      <c r="CQ4027" s="111"/>
      <c r="EF4027"/>
      <c r="EG4027"/>
      <c r="EH4027"/>
      <c r="EI4027"/>
      <c r="EJ4027"/>
      <c r="EK4027"/>
    </row>
    <row r="4028" spans="1:141" s="116" customFormat="1">
      <c r="A4028" s="136"/>
      <c r="CM4028" s="111"/>
      <c r="CQ4028" s="111"/>
      <c r="EF4028"/>
      <c r="EG4028"/>
      <c r="EH4028"/>
      <c r="EI4028"/>
      <c r="EJ4028"/>
      <c r="EK4028"/>
    </row>
    <row r="4029" spans="1:141" s="116" customFormat="1">
      <c r="A4029" s="136"/>
      <c r="CM4029" s="111"/>
      <c r="CQ4029" s="111"/>
      <c r="EF4029"/>
      <c r="EG4029"/>
      <c r="EH4029"/>
      <c r="EI4029"/>
      <c r="EJ4029"/>
      <c r="EK4029"/>
    </row>
    <row r="4030" spans="1:141" s="116" customFormat="1">
      <c r="A4030" s="136"/>
      <c r="CM4030" s="111"/>
      <c r="CQ4030" s="111"/>
      <c r="EF4030"/>
      <c r="EG4030"/>
      <c r="EH4030"/>
      <c r="EI4030"/>
      <c r="EJ4030"/>
      <c r="EK4030"/>
    </row>
    <row r="4031" spans="1:141" s="116" customFormat="1">
      <c r="A4031" s="136"/>
      <c r="CM4031" s="111"/>
      <c r="CQ4031" s="111"/>
      <c r="EF4031"/>
      <c r="EG4031"/>
      <c r="EH4031"/>
      <c r="EI4031"/>
      <c r="EJ4031"/>
      <c r="EK4031"/>
    </row>
    <row r="4032" spans="1:141" s="116" customFormat="1">
      <c r="A4032" s="136"/>
      <c r="CM4032" s="111"/>
      <c r="CQ4032" s="111"/>
      <c r="EF4032"/>
      <c r="EG4032"/>
      <c r="EH4032"/>
      <c r="EI4032"/>
      <c r="EJ4032"/>
      <c r="EK4032"/>
    </row>
    <row r="4033" spans="1:141" s="116" customFormat="1">
      <c r="A4033" s="136"/>
      <c r="CM4033" s="111"/>
      <c r="CQ4033" s="111"/>
      <c r="EF4033"/>
      <c r="EG4033"/>
      <c r="EH4033"/>
      <c r="EI4033"/>
      <c r="EJ4033"/>
      <c r="EK4033"/>
    </row>
    <row r="4034" spans="1:141" s="116" customFormat="1">
      <c r="A4034" s="136"/>
      <c r="CM4034" s="111"/>
      <c r="CQ4034" s="111"/>
      <c r="EF4034"/>
      <c r="EG4034"/>
      <c r="EH4034"/>
      <c r="EI4034"/>
      <c r="EJ4034"/>
      <c r="EK4034"/>
    </row>
    <row r="4035" spans="1:141" s="116" customFormat="1">
      <c r="A4035" s="136"/>
      <c r="CM4035" s="111"/>
      <c r="CQ4035" s="111"/>
      <c r="EF4035"/>
      <c r="EG4035"/>
      <c r="EH4035"/>
      <c r="EI4035"/>
      <c r="EJ4035"/>
      <c r="EK4035"/>
    </row>
    <row r="4036" spans="1:141" s="116" customFormat="1">
      <c r="A4036" s="136"/>
      <c r="CM4036" s="111"/>
      <c r="CQ4036" s="111"/>
      <c r="EF4036"/>
      <c r="EG4036"/>
      <c r="EH4036"/>
      <c r="EI4036"/>
      <c r="EJ4036"/>
      <c r="EK4036"/>
    </row>
    <row r="4037" spans="1:141" s="116" customFormat="1">
      <c r="A4037" s="136"/>
      <c r="CM4037" s="111"/>
      <c r="CQ4037" s="111"/>
      <c r="EF4037"/>
      <c r="EG4037"/>
      <c r="EH4037"/>
      <c r="EI4037"/>
      <c r="EJ4037"/>
      <c r="EK4037"/>
    </row>
    <row r="4038" spans="1:141" s="116" customFormat="1">
      <c r="A4038" s="136"/>
      <c r="CM4038" s="111"/>
      <c r="CQ4038" s="111"/>
      <c r="EF4038"/>
      <c r="EG4038"/>
      <c r="EH4038"/>
      <c r="EI4038"/>
      <c r="EJ4038"/>
      <c r="EK4038"/>
    </row>
    <row r="4039" spans="1:141" s="116" customFormat="1">
      <c r="A4039" s="136"/>
      <c r="CM4039" s="111"/>
      <c r="CQ4039" s="111"/>
      <c r="EF4039"/>
      <c r="EG4039"/>
      <c r="EH4039"/>
      <c r="EI4039"/>
      <c r="EJ4039"/>
      <c r="EK4039"/>
    </row>
    <row r="4040" spans="1:141" s="116" customFormat="1">
      <c r="A4040" s="136"/>
      <c r="CM4040" s="111"/>
      <c r="CQ4040" s="111"/>
      <c r="EF4040"/>
      <c r="EG4040"/>
      <c r="EH4040"/>
      <c r="EI4040"/>
      <c r="EJ4040"/>
      <c r="EK4040"/>
    </row>
    <row r="4041" spans="1:141" s="116" customFormat="1">
      <c r="A4041" s="136"/>
      <c r="CM4041" s="111"/>
      <c r="CQ4041" s="111"/>
      <c r="EF4041"/>
      <c r="EG4041"/>
      <c r="EH4041"/>
      <c r="EI4041"/>
      <c r="EJ4041"/>
      <c r="EK4041"/>
    </row>
    <row r="4042" spans="1:141" s="116" customFormat="1">
      <c r="A4042" s="136"/>
      <c r="CM4042" s="111"/>
      <c r="CQ4042" s="111"/>
      <c r="EF4042"/>
      <c r="EG4042"/>
      <c r="EH4042"/>
      <c r="EI4042"/>
      <c r="EJ4042"/>
      <c r="EK4042"/>
    </row>
    <row r="4043" spans="1:141" s="116" customFormat="1">
      <c r="A4043" s="136"/>
      <c r="CM4043" s="111"/>
      <c r="CQ4043" s="111"/>
      <c r="EF4043"/>
      <c r="EG4043"/>
      <c r="EH4043"/>
      <c r="EI4043"/>
      <c r="EJ4043"/>
      <c r="EK4043"/>
    </row>
    <row r="4044" spans="1:141" s="116" customFormat="1">
      <c r="A4044" s="136"/>
      <c r="CM4044" s="111"/>
      <c r="CQ4044" s="111"/>
      <c r="EF4044"/>
      <c r="EG4044"/>
      <c r="EH4044"/>
      <c r="EI4044"/>
      <c r="EJ4044"/>
      <c r="EK4044"/>
    </row>
    <row r="4045" spans="1:141" s="116" customFormat="1">
      <c r="A4045" s="136"/>
      <c r="CM4045" s="111"/>
      <c r="CQ4045" s="111"/>
      <c r="EF4045"/>
      <c r="EG4045"/>
      <c r="EH4045"/>
      <c r="EI4045"/>
      <c r="EJ4045"/>
      <c r="EK4045"/>
    </row>
    <row r="4046" spans="1:141" s="116" customFormat="1">
      <c r="A4046" s="136"/>
      <c r="CM4046" s="111"/>
      <c r="CQ4046" s="111"/>
      <c r="EF4046"/>
      <c r="EG4046"/>
      <c r="EH4046"/>
      <c r="EI4046"/>
      <c r="EJ4046"/>
      <c r="EK4046"/>
    </row>
    <row r="4047" spans="1:141" s="116" customFormat="1">
      <c r="A4047" s="136"/>
      <c r="CM4047" s="111"/>
      <c r="CQ4047" s="111"/>
      <c r="EF4047"/>
      <c r="EG4047"/>
      <c r="EH4047"/>
      <c r="EI4047"/>
      <c r="EJ4047"/>
      <c r="EK4047"/>
    </row>
    <row r="4048" spans="1:141" s="116" customFormat="1">
      <c r="A4048" s="136"/>
      <c r="CM4048" s="111"/>
      <c r="CQ4048" s="111"/>
      <c r="EF4048"/>
      <c r="EG4048"/>
      <c r="EH4048"/>
      <c r="EI4048"/>
      <c r="EJ4048"/>
      <c r="EK4048"/>
    </row>
    <row r="4049" spans="1:141" s="116" customFormat="1">
      <c r="A4049" s="136"/>
      <c r="CM4049" s="111"/>
      <c r="CQ4049" s="111"/>
      <c r="EF4049"/>
      <c r="EG4049"/>
      <c r="EH4049"/>
      <c r="EI4049"/>
      <c r="EJ4049"/>
      <c r="EK4049"/>
    </row>
    <row r="4050" spans="1:141" s="116" customFormat="1">
      <c r="A4050" s="136"/>
      <c r="CM4050" s="111"/>
      <c r="CQ4050" s="111"/>
      <c r="EF4050"/>
      <c r="EG4050"/>
      <c r="EH4050"/>
      <c r="EI4050"/>
      <c r="EJ4050"/>
      <c r="EK4050"/>
    </row>
    <row r="4051" spans="1:141" s="116" customFormat="1">
      <c r="A4051" s="136"/>
      <c r="CM4051" s="111"/>
      <c r="CQ4051" s="111"/>
      <c r="EF4051"/>
      <c r="EG4051"/>
      <c r="EH4051"/>
      <c r="EI4051"/>
      <c r="EJ4051"/>
      <c r="EK4051"/>
    </row>
    <row r="4052" spans="1:141" s="116" customFormat="1">
      <c r="A4052" s="136"/>
      <c r="CM4052" s="111"/>
      <c r="CQ4052" s="111"/>
      <c r="EF4052"/>
      <c r="EG4052"/>
      <c r="EH4052"/>
      <c r="EI4052"/>
      <c r="EJ4052"/>
      <c r="EK4052"/>
    </row>
    <row r="4053" spans="1:141" s="116" customFormat="1">
      <c r="A4053" s="136"/>
      <c r="CM4053" s="111"/>
      <c r="CQ4053" s="111"/>
      <c r="EF4053"/>
      <c r="EG4053"/>
      <c r="EH4053"/>
      <c r="EI4053"/>
      <c r="EJ4053"/>
      <c r="EK4053"/>
    </row>
    <row r="4054" spans="1:141" s="116" customFormat="1">
      <c r="A4054" s="136"/>
      <c r="CM4054" s="111"/>
      <c r="CQ4054" s="111"/>
      <c r="EF4054"/>
      <c r="EG4054"/>
      <c r="EH4054"/>
      <c r="EI4054"/>
      <c r="EJ4054"/>
      <c r="EK4054"/>
    </row>
    <row r="4055" spans="1:141" s="116" customFormat="1">
      <c r="A4055" s="136"/>
      <c r="CM4055" s="111"/>
      <c r="CQ4055" s="111"/>
      <c r="EF4055"/>
      <c r="EG4055"/>
      <c r="EH4055"/>
      <c r="EI4055"/>
      <c r="EJ4055"/>
      <c r="EK4055"/>
    </row>
    <row r="4056" spans="1:141" s="116" customFormat="1">
      <c r="A4056" s="136"/>
      <c r="CM4056" s="111"/>
      <c r="CQ4056" s="111"/>
      <c r="EF4056"/>
      <c r="EG4056"/>
      <c r="EH4056"/>
      <c r="EI4056"/>
      <c r="EJ4056"/>
      <c r="EK4056"/>
    </row>
    <row r="4057" spans="1:141" s="116" customFormat="1">
      <c r="A4057" s="136"/>
      <c r="CM4057" s="111"/>
      <c r="CQ4057" s="111"/>
      <c r="EF4057"/>
      <c r="EG4057"/>
      <c r="EH4057"/>
      <c r="EI4057"/>
      <c r="EJ4057"/>
      <c r="EK4057"/>
    </row>
    <row r="4058" spans="1:141" s="116" customFormat="1">
      <c r="A4058" s="136"/>
      <c r="CM4058" s="111"/>
      <c r="CQ4058" s="111"/>
      <c r="EF4058"/>
      <c r="EG4058"/>
      <c r="EH4058"/>
      <c r="EI4058"/>
      <c r="EJ4058"/>
      <c r="EK4058"/>
    </row>
    <row r="4059" spans="1:141" s="116" customFormat="1">
      <c r="A4059" s="136"/>
      <c r="CM4059" s="111"/>
      <c r="CQ4059" s="111"/>
      <c r="EF4059"/>
      <c r="EG4059"/>
      <c r="EH4059"/>
      <c r="EI4059"/>
      <c r="EJ4059"/>
      <c r="EK4059"/>
    </row>
    <row r="4060" spans="1:141" s="116" customFormat="1">
      <c r="A4060" s="136"/>
      <c r="CM4060" s="111"/>
      <c r="CQ4060" s="111"/>
      <c r="EF4060"/>
      <c r="EG4060"/>
      <c r="EH4060"/>
      <c r="EI4060"/>
      <c r="EJ4060"/>
      <c r="EK4060"/>
    </row>
    <row r="4061" spans="1:141" s="116" customFormat="1">
      <c r="A4061" s="136"/>
      <c r="CM4061" s="111"/>
      <c r="CQ4061" s="111"/>
      <c r="EF4061"/>
      <c r="EG4061"/>
      <c r="EH4061"/>
      <c r="EI4061"/>
      <c r="EJ4061"/>
      <c r="EK4061"/>
    </row>
    <row r="4062" spans="1:141" s="116" customFormat="1">
      <c r="A4062" s="136"/>
      <c r="CM4062" s="111"/>
      <c r="CQ4062" s="111"/>
      <c r="EF4062"/>
      <c r="EG4062"/>
      <c r="EH4062"/>
      <c r="EI4062"/>
      <c r="EJ4062"/>
      <c r="EK4062"/>
    </row>
    <row r="4063" spans="1:141" s="116" customFormat="1">
      <c r="A4063" s="136"/>
      <c r="CM4063" s="111"/>
      <c r="CQ4063" s="111"/>
      <c r="EF4063"/>
      <c r="EG4063"/>
      <c r="EH4063"/>
      <c r="EI4063"/>
      <c r="EJ4063"/>
      <c r="EK4063"/>
    </row>
    <row r="4064" spans="1:141" s="116" customFormat="1">
      <c r="A4064" s="136"/>
      <c r="CM4064" s="111"/>
      <c r="CQ4064" s="111"/>
      <c r="EF4064"/>
      <c r="EG4064"/>
      <c r="EH4064"/>
      <c r="EI4064"/>
      <c r="EJ4064"/>
      <c r="EK4064"/>
    </row>
    <row r="4065" spans="1:141" s="116" customFormat="1">
      <c r="A4065" s="136"/>
      <c r="CM4065" s="111"/>
      <c r="CQ4065" s="111"/>
      <c r="EF4065"/>
      <c r="EG4065"/>
      <c r="EH4065"/>
      <c r="EI4065"/>
      <c r="EJ4065"/>
      <c r="EK4065"/>
    </row>
    <row r="4066" spans="1:141" s="116" customFormat="1">
      <c r="A4066" s="136"/>
      <c r="CM4066" s="111"/>
      <c r="CQ4066" s="111"/>
      <c r="EF4066"/>
      <c r="EG4066"/>
      <c r="EH4066"/>
      <c r="EI4066"/>
      <c r="EJ4066"/>
      <c r="EK4066"/>
    </row>
    <row r="4067" spans="1:141" s="116" customFormat="1">
      <c r="A4067" s="136"/>
      <c r="CM4067" s="111"/>
      <c r="CQ4067" s="111"/>
      <c r="EF4067"/>
      <c r="EG4067"/>
      <c r="EH4067"/>
      <c r="EI4067"/>
      <c r="EJ4067"/>
      <c r="EK4067"/>
    </row>
    <row r="4068" spans="1:141" s="116" customFormat="1">
      <c r="A4068" s="136"/>
      <c r="CM4068" s="111"/>
      <c r="CQ4068" s="111"/>
      <c r="EF4068"/>
      <c r="EG4068"/>
      <c r="EH4068"/>
      <c r="EI4068"/>
      <c r="EJ4068"/>
      <c r="EK4068"/>
    </row>
    <row r="4069" spans="1:141" s="116" customFormat="1">
      <c r="A4069" s="136"/>
      <c r="CM4069" s="111"/>
      <c r="CQ4069" s="111"/>
      <c r="EF4069"/>
      <c r="EG4069"/>
      <c r="EH4069"/>
      <c r="EI4069"/>
      <c r="EJ4069"/>
      <c r="EK4069"/>
    </row>
    <row r="4070" spans="1:141" s="116" customFormat="1">
      <c r="A4070" s="136"/>
      <c r="CM4070" s="111"/>
      <c r="CQ4070" s="111"/>
      <c r="EF4070"/>
      <c r="EG4070"/>
      <c r="EH4070"/>
      <c r="EI4070"/>
      <c r="EJ4070"/>
      <c r="EK4070"/>
    </row>
    <row r="4071" spans="1:141" s="116" customFormat="1">
      <c r="A4071" s="136"/>
      <c r="CM4071" s="111"/>
      <c r="CQ4071" s="111"/>
      <c r="EF4071"/>
      <c r="EG4071"/>
      <c r="EH4071"/>
      <c r="EI4071"/>
      <c r="EJ4071"/>
      <c r="EK4071"/>
    </row>
    <row r="4072" spans="1:141" s="116" customFormat="1">
      <c r="A4072" s="136"/>
      <c r="CM4072" s="111"/>
      <c r="CQ4072" s="111"/>
      <c r="EF4072"/>
      <c r="EG4072"/>
      <c r="EH4072"/>
      <c r="EI4072"/>
      <c r="EJ4072"/>
      <c r="EK4072"/>
    </row>
    <row r="4073" spans="1:141" s="116" customFormat="1">
      <c r="A4073" s="136"/>
      <c r="CM4073" s="111"/>
      <c r="CQ4073" s="111"/>
      <c r="EF4073"/>
      <c r="EG4073"/>
      <c r="EH4073"/>
      <c r="EI4073"/>
      <c r="EJ4073"/>
      <c r="EK4073"/>
    </row>
    <row r="4074" spans="1:141" s="116" customFormat="1">
      <c r="A4074" s="136"/>
      <c r="CM4074" s="111"/>
      <c r="CQ4074" s="111"/>
      <c r="EF4074"/>
      <c r="EG4074"/>
      <c r="EH4074"/>
      <c r="EI4074"/>
      <c r="EJ4074"/>
      <c r="EK4074"/>
    </row>
    <row r="4075" spans="1:141" s="116" customFormat="1">
      <c r="A4075" s="136"/>
      <c r="CM4075" s="111"/>
      <c r="CQ4075" s="111"/>
      <c r="EF4075"/>
      <c r="EG4075"/>
      <c r="EH4075"/>
      <c r="EI4075"/>
      <c r="EJ4075"/>
      <c r="EK4075"/>
    </row>
    <row r="4076" spans="1:141" s="116" customFormat="1">
      <c r="A4076" s="136"/>
      <c r="CM4076" s="111"/>
      <c r="CQ4076" s="111"/>
      <c r="EF4076"/>
      <c r="EG4076"/>
      <c r="EH4076"/>
      <c r="EI4076"/>
      <c r="EJ4076"/>
      <c r="EK4076"/>
    </row>
    <row r="4077" spans="1:141" s="116" customFormat="1">
      <c r="A4077" s="136"/>
      <c r="CM4077" s="111"/>
      <c r="CQ4077" s="111"/>
      <c r="EF4077"/>
      <c r="EG4077"/>
      <c r="EH4077"/>
      <c r="EI4077"/>
      <c r="EJ4077"/>
      <c r="EK4077"/>
    </row>
    <row r="4078" spans="1:141" s="116" customFormat="1">
      <c r="A4078" s="136"/>
      <c r="CM4078" s="111"/>
      <c r="CQ4078" s="111"/>
      <c r="EF4078"/>
      <c r="EG4078"/>
      <c r="EH4078"/>
      <c r="EI4078"/>
      <c r="EJ4078"/>
      <c r="EK4078"/>
    </row>
    <row r="4079" spans="1:141" s="116" customFormat="1">
      <c r="A4079" s="136"/>
      <c r="CM4079" s="111"/>
      <c r="CQ4079" s="111"/>
      <c r="EF4079"/>
      <c r="EG4079"/>
      <c r="EH4079"/>
      <c r="EI4079"/>
      <c r="EJ4079"/>
      <c r="EK4079"/>
    </row>
    <row r="4080" spans="1:141" s="116" customFormat="1">
      <c r="A4080" s="136"/>
      <c r="CM4080" s="111"/>
      <c r="CQ4080" s="111"/>
      <c r="EF4080"/>
      <c r="EG4080"/>
      <c r="EH4080"/>
      <c r="EI4080"/>
      <c r="EJ4080"/>
      <c r="EK4080"/>
    </row>
    <row r="4081" spans="1:141" s="116" customFormat="1">
      <c r="A4081" s="136"/>
      <c r="CM4081" s="111"/>
      <c r="CQ4081" s="111"/>
      <c r="EF4081"/>
      <c r="EG4081"/>
      <c r="EH4081"/>
      <c r="EI4081"/>
      <c r="EJ4081"/>
      <c r="EK4081"/>
    </row>
    <row r="4082" spans="1:141" s="116" customFormat="1">
      <c r="A4082" s="136"/>
      <c r="CM4082" s="111"/>
      <c r="CQ4082" s="111"/>
      <c r="EF4082"/>
      <c r="EG4082"/>
      <c r="EH4082"/>
      <c r="EI4082"/>
      <c r="EJ4082"/>
      <c r="EK4082"/>
    </row>
    <row r="4083" spans="1:141" s="116" customFormat="1">
      <c r="A4083" s="136"/>
      <c r="CM4083" s="111"/>
      <c r="CQ4083" s="111"/>
      <c r="EF4083"/>
      <c r="EG4083"/>
      <c r="EH4083"/>
      <c r="EI4083"/>
      <c r="EJ4083"/>
      <c r="EK4083"/>
    </row>
    <row r="4084" spans="1:141" s="116" customFormat="1">
      <c r="A4084" s="136"/>
      <c r="CM4084" s="111"/>
      <c r="CQ4084" s="111"/>
      <c r="EF4084"/>
      <c r="EG4084"/>
      <c r="EH4084"/>
      <c r="EI4084"/>
      <c r="EJ4084"/>
      <c r="EK4084"/>
    </row>
    <row r="4085" spans="1:141" s="116" customFormat="1">
      <c r="A4085" s="136"/>
      <c r="CM4085" s="111"/>
      <c r="CQ4085" s="111"/>
      <c r="EF4085"/>
      <c r="EG4085"/>
      <c r="EH4085"/>
      <c r="EI4085"/>
      <c r="EJ4085"/>
      <c r="EK4085"/>
    </row>
    <row r="4086" spans="1:141" s="116" customFormat="1">
      <c r="A4086" s="136"/>
      <c r="CM4086" s="111"/>
      <c r="CQ4086" s="111"/>
      <c r="EF4086"/>
      <c r="EG4086"/>
      <c r="EH4086"/>
      <c r="EI4086"/>
      <c r="EJ4086"/>
      <c r="EK4086"/>
    </row>
    <row r="4087" spans="1:141" s="116" customFormat="1">
      <c r="A4087" s="136"/>
      <c r="CM4087" s="111"/>
      <c r="CQ4087" s="111"/>
      <c r="EF4087"/>
      <c r="EG4087"/>
      <c r="EH4087"/>
      <c r="EI4087"/>
      <c r="EJ4087"/>
      <c r="EK4087"/>
    </row>
    <row r="4088" spans="1:141" s="116" customFormat="1">
      <c r="A4088" s="136"/>
      <c r="CM4088" s="111"/>
      <c r="CQ4088" s="111"/>
      <c r="EF4088"/>
      <c r="EG4088"/>
      <c r="EH4088"/>
      <c r="EI4088"/>
      <c r="EJ4088"/>
      <c r="EK4088"/>
    </row>
    <row r="4089" spans="1:141" s="116" customFormat="1">
      <c r="A4089" s="136"/>
      <c r="CM4089" s="111"/>
      <c r="CQ4089" s="111"/>
      <c r="EF4089"/>
      <c r="EG4089"/>
      <c r="EH4089"/>
      <c r="EI4089"/>
      <c r="EJ4089"/>
      <c r="EK4089"/>
    </row>
    <row r="4090" spans="1:141" s="116" customFormat="1">
      <c r="A4090" s="136"/>
      <c r="CM4090" s="111"/>
      <c r="CQ4090" s="111"/>
      <c r="EF4090"/>
      <c r="EG4090"/>
      <c r="EH4090"/>
      <c r="EI4090"/>
      <c r="EJ4090"/>
      <c r="EK4090"/>
    </row>
    <row r="4091" spans="1:141" s="116" customFormat="1">
      <c r="A4091" s="136"/>
      <c r="CM4091" s="111"/>
      <c r="CQ4091" s="111"/>
      <c r="EF4091"/>
      <c r="EG4091"/>
      <c r="EH4091"/>
      <c r="EI4091"/>
      <c r="EJ4091"/>
      <c r="EK4091"/>
    </row>
    <row r="4092" spans="1:141" s="116" customFormat="1">
      <c r="A4092" s="136"/>
      <c r="CM4092" s="111"/>
      <c r="CQ4092" s="111"/>
      <c r="EF4092"/>
      <c r="EG4092"/>
      <c r="EH4092"/>
      <c r="EI4092"/>
      <c r="EJ4092"/>
      <c r="EK4092"/>
    </row>
    <row r="4093" spans="1:141" s="116" customFormat="1">
      <c r="A4093" s="136"/>
      <c r="CM4093" s="111"/>
      <c r="CQ4093" s="111"/>
      <c r="EF4093"/>
      <c r="EG4093"/>
      <c r="EH4093"/>
      <c r="EI4093"/>
      <c r="EJ4093"/>
      <c r="EK4093"/>
    </row>
    <row r="4094" spans="1:141" s="116" customFormat="1">
      <c r="A4094" s="136"/>
      <c r="CM4094" s="111"/>
      <c r="CQ4094" s="111"/>
      <c r="EF4094"/>
      <c r="EG4094"/>
      <c r="EH4094"/>
      <c r="EI4094"/>
      <c r="EJ4094"/>
      <c r="EK4094"/>
    </row>
    <row r="4095" spans="1:141" s="116" customFormat="1">
      <c r="A4095" s="136"/>
      <c r="CM4095" s="111"/>
      <c r="CQ4095" s="111"/>
      <c r="EF4095"/>
      <c r="EG4095"/>
      <c r="EH4095"/>
      <c r="EI4095"/>
      <c r="EJ4095"/>
      <c r="EK4095"/>
    </row>
    <row r="4096" spans="1:141" s="116" customFormat="1">
      <c r="A4096" s="136"/>
      <c r="CM4096" s="111"/>
      <c r="CQ4096" s="111"/>
      <c r="EF4096"/>
      <c r="EG4096"/>
      <c r="EH4096"/>
      <c r="EI4096"/>
      <c r="EJ4096"/>
      <c r="EK4096"/>
    </row>
    <row r="4097" spans="1:141" s="116" customFormat="1">
      <c r="A4097" s="136"/>
      <c r="CM4097" s="111"/>
      <c r="CQ4097" s="111"/>
      <c r="EF4097"/>
      <c r="EG4097"/>
      <c r="EH4097"/>
      <c r="EI4097"/>
      <c r="EJ4097"/>
      <c r="EK4097"/>
    </row>
    <row r="4098" spans="1:141" s="116" customFormat="1">
      <c r="A4098" s="136"/>
      <c r="CM4098" s="111"/>
      <c r="CQ4098" s="111"/>
      <c r="EF4098"/>
      <c r="EG4098"/>
      <c r="EH4098"/>
      <c r="EI4098"/>
      <c r="EJ4098"/>
      <c r="EK4098"/>
    </row>
    <row r="4099" spans="1:141" s="116" customFormat="1">
      <c r="A4099" s="136"/>
      <c r="CM4099" s="111"/>
      <c r="CQ4099" s="111"/>
      <c r="EF4099"/>
      <c r="EG4099"/>
      <c r="EH4099"/>
      <c r="EI4099"/>
      <c r="EJ4099"/>
      <c r="EK4099"/>
    </row>
    <row r="4100" spans="1:141" s="116" customFormat="1">
      <c r="A4100" s="136"/>
      <c r="CM4100" s="111"/>
      <c r="CQ4100" s="111"/>
      <c r="EF4100"/>
      <c r="EG4100"/>
      <c r="EH4100"/>
      <c r="EI4100"/>
      <c r="EJ4100"/>
      <c r="EK4100"/>
    </row>
    <row r="4101" spans="1:141" s="116" customFormat="1">
      <c r="A4101" s="136"/>
      <c r="CM4101" s="111"/>
      <c r="CQ4101" s="111"/>
      <c r="EF4101"/>
      <c r="EG4101"/>
      <c r="EH4101"/>
      <c r="EI4101"/>
      <c r="EJ4101"/>
      <c r="EK4101"/>
    </row>
    <row r="4102" spans="1:141" s="116" customFormat="1">
      <c r="A4102" s="136"/>
      <c r="CM4102" s="111"/>
      <c r="CQ4102" s="111"/>
      <c r="EF4102"/>
      <c r="EG4102"/>
      <c r="EH4102"/>
      <c r="EI4102"/>
      <c r="EJ4102"/>
      <c r="EK4102"/>
    </row>
    <row r="4103" spans="1:141" s="116" customFormat="1">
      <c r="A4103" s="136"/>
      <c r="CM4103" s="111"/>
      <c r="CQ4103" s="111"/>
      <c r="EF4103"/>
      <c r="EG4103"/>
      <c r="EH4103"/>
      <c r="EI4103"/>
      <c r="EJ4103"/>
      <c r="EK4103"/>
    </row>
    <row r="4104" spans="1:141" s="116" customFormat="1">
      <c r="A4104" s="136"/>
      <c r="CM4104" s="111"/>
      <c r="CQ4104" s="111"/>
      <c r="EF4104"/>
      <c r="EG4104"/>
      <c r="EH4104"/>
      <c r="EI4104"/>
      <c r="EJ4104"/>
      <c r="EK4104"/>
    </row>
    <row r="4105" spans="1:141" s="116" customFormat="1">
      <c r="A4105" s="136"/>
      <c r="CM4105" s="111"/>
      <c r="CQ4105" s="111"/>
      <c r="EF4105"/>
      <c r="EG4105"/>
      <c r="EH4105"/>
      <c r="EI4105"/>
      <c r="EJ4105"/>
      <c r="EK4105"/>
    </row>
    <row r="4106" spans="1:141" s="116" customFormat="1">
      <c r="A4106" s="136"/>
      <c r="CM4106" s="111"/>
      <c r="CQ4106" s="111"/>
      <c r="EF4106"/>
      <c r="EG4106"/>
      <c r="EH4106"/>
      <c r="EI4106"/>
      <c r="EJ4106"/>
      <c r="EK4106"/>
    </row>
    <row r="4107" spans="1:141" s="116" customFormat="1">
      <c r="A4107" s="136"/>
      <c r="CM4107" s="111"/>
      <c r="CQ4107" s="111"/>
      <c r="EF4107"/>
      <c r="EG4107"/>
      <c r="EH4107"/>
      <c r="EI4107"/>
      <c r="EJ4107"/>
      <c r="EK4107"/>
    </row>
    <row r="4108" spans="1:141" s="116" customFormat="1">
      <c r="A4108" s="136"/>
      <c r="CM4108" s="111"/>
      <c r="CQ4108" s="111"/>
      <c r="EF4108"/>
      <c r="EG4108"/>
      <c r="EH4108"/>
      <c r="EI4108"/>
      <c r="EJ4108"/>
      <c r="EK4108"/>
    </row>
    <row r="4109" spans="1:141" s="116" customFormat="1">
      <c r="A4109" s="136"/>
      <c r="CM4109" s="111"/>
      <c r="CQ4109" s="111"/>
      <c r="EF4109"/>
      <c r="EG4109"/>
      <c r="EH4109"/>
      <c r="EI4109"/>
      <c r="EJ4109"/>
      <c r="EK4109"/>
    </row>
    <row r="4110" spans="1:141" s="116" customFormat="1">
      <c r="A4110" s="136"/>
      <c r="CM4110" s="111"/>
      <c r="CQ4110" s="111"/>
      <c r="EF4110"/>
      <c r="EG4110"/>
      <c r="EH4110"/>
      <c r="EI4110"/>
      <c r="EJ4110"/>
      <c r="EK4110"/>
    </row>
    <row r="4111" spans="1:141" s="116" customFormat="1">
      <c r="A4111" s="136"/>
      <c r="CM4111" s="111"/>
      <c r="CQ4111" s="111"/>
      <c r="EF4111"/>
      <c r="EG4111"/>
      <c r="EH4111"/>
      <c r="EI4111"/>
      <c r="EJ4111"/>
      <c r="EK4111"/>
    </row>
    <row r="4112" spans="1:141" s="116" customFormat="1">
      <c r="A4112" s="136"/>
      <c r="CM4112" s="111"/>
      <c r="CQ4112" s="111"/>
      <c r="EF4112"/>
      <c r="EG4112"/>
      <c r="EH4112"/>
      <c r="EI4112"/>
      <c r="EJ4112"/>
      <c r="EK4112"/>
    </row>
    <row r="4113" spans="1:141" s="116" customFormat="1">
      <c r="A4113" s="136"/>
      <c r="CM4113" s="111"/>
      <c r="CQ4113" s="111"/>
      <c r="EF4113"/>
      <c r="EG4113"/>
      <c r="EH4113"/>
      <c r="EI4113"/>
      <c r="EJ4113"/>
      <c r="EK4113"/>
    </row>
    <row r="4114" spans="1:141" s="116" customFormat="1">
      <c r="A4114" s="136"/>
      <c r="CM4114" s="111"/>
      <c r="CQ4114" s="111"/>
      <c r="EF4114"/>
      <c r="EG4114"/>
      <c r="EH4114"/>
      <c r="EI4114"/>
      <c r="EJ4114"/>
      <c r="EK4114"/>
    </row>
    <row r="4115" spans="1:141" s="116" customFormat="1">
      <c r="A4115" s="136"/>
      <c r="CM4115" s="111"/>
      <c r="CQ4115" s="111"/>
      <c r="EF4115"/>
      <c r="EG4115"/>
      <c r="EH4115"/>
      <c r="EI4115"/>
      <c r="EJ4115"/>
      <c r="EK4115"/>
    </row>
    <row r="4116" spans="1:141" s="116" customFormat="1">
      <c r="A4116" s="136"/>
      <c r="CM4116" s="111"/>
      <c r="CQ4116" s="111"/>
      <c r="EF4116"/>
      <c r="EG4116"/>
      <c r="EH4116"/>
      <c r="EI4116"/>
      <c r="EJ4116"/>
      <c r="EK4116"/>
    </row>
    <row r="4117" spans="1:141" s="116" customFormat="1">
      <c r="A4117" s="136"/>
      <c r="CM4117" s="111"/>
      <c r="CQ4117" s="111"/>
      <c r="EF4117"/>
      <c r="EG4117"/>
      <c r="EH4117"/>
      <c r="EI4117"/>
      <c r="EJ4117"/>
      <c r="EK4117"/>
    </row>
    <row r="4118" spans="1:141" s="116" customFormat="1">
      <c r="A4118" s="136"/>
      <c r="CM4118" s="111"/>
      <c r="CQ4118" s="111"/>
      <c r="EF4118"/>
      <c r="EG4118"/>
      <c r="EH4118"/>
      <c r="EI4118"/>
      <c r="EJ4118"/>
      <c r="EK4118"/>
    </row>
    <row r="4119" spans="1:141" s="116" customFormat="1">
      <c r="A4119" s="136"/>
      <c r="CM4119" s="111"/>
      <c r="CQ4119" s="111"/>
      <c r="EF4119"/>
      <c r="EG4119"/>
      <c r="EH4119"/>
      <c r="EI4119"/>
      <c r="EJ4119"/>
      <c r="EK4119"/>
    </row>
    <row r="4120" spans="1:141" s="116" customFormat="1">
      <c r="A4120" s="136"/>
      <c r="CM4120" s="111"/>
      <c r="CQ4120" s="111"/>
      <c r="EF4120"/>
      <c r="EG4120"/>
      <c r="EH4120"/>
      <c r="EI4120"/>
      <c r="EJ4120"/>
      <c r="EK4120"/>
    </row>
    <row r="4121" spans="1:141" s="116" customFormat="1">
      <c r="A4121" s="136"/>
      <c r="CM4121" s="111"/>
      <c r="CQ4121" s="111"/>
      <c r="EF4121"/>
      <c r="EG4121"/>
      <c r="EH4121"/>
      <c r="EI4121"/>
      <c r="EJ4121"/>
      <c r="EK4121"/>
    </row>
    <row r="4122" spans="1:141" s="116" customFormat="1">
      <c r="A4122" s="136"/>
      <c r="CM4122" s="111"/>
      <c r="CQ4122" s="111"/>
      <c r="EF4122"/>
      <c r="EG4122"/>
      <c r="EH4122"/>
      <c r="EI4122"/>
      <c r="EJ4122"/>
      <c r="EK4122"/>
    </row>
    <row r="4123" spans="1:141" s="116" customFormat="1">
      <c r="A4123" s="136"/>
      <c r="CM4123" s="111"/>
      <c r="CQ4123" s="111"/>
      <c r="EF4123"/>
      <c r="EG4123"/>
      <c r="EH4123"/>
      <c r="EI4123"/>
      <c r="EJ4123"/>
      <c r="EK4123"/>
    </row>
    <row r="4124" spans="1:141" s="116" customFormat="1">
      <c r="A4124" s="136"/>
      <c r="CM4124" s="111"/>
      <c r="CQ4124" s="111"/>
      <c r="EF4124"/>
      <c r="EG4124"/>
      <c r="EH4124"/>
      <c r="EI4124"/>
      <c r="EJ4124"/>
      <c r="EK4124"/>
    </row>
    <row r="4125" spans="1:141" s="116" customFormat="1">
      <c r="A4125" s="136"/>
      <c r="CM4125" s="111"/>
      <c r="CQ4125" s="111"/>
      <c r="EF4125"/>
      <c r="EG4125"/>
      <c r="EH4125"/>
      <c r="EI4125"/>
      <c r="EJ4125"/>
      <c r="EK4125"/>
    </row>
    <row r="4126" spans="1:141" s="116" customFormat="1">
      <c r="A4126" s="136"/>
      <c r="CM4126" s="111"/>
      <c r="CQ4126" s="111"/>
      <c r="EF4126"/>
      <c r="EG4126"/>
      <c r="EH4126"/>
      <c r="EI4126"/>
      <c r="EJ4126"/>
      <c r="EK4126"/>
    </row>
    <row r="4127" spans="1:141" s="116" customFormat="1">
      <c r="A4127" s="136"/>
      <c r="CM4127" s="111"/>
      <c r="CQ4127" s="111"/>
      <c r="EF4127"/>
      <c r="EG4127"/>
      <c r="EH4127"/>
      <c r="EI4127"/>
      <c r="EJ4127"/>
      <c r="EK4127"/>
    </row>
    <row r="4128" spans="1:141" s="116" customFormat="1">
      <c r="A4128" s="136"/>
      <c r="CM4128" s="111"/>
      <c r="CQ4128" s="111"/>
      <c r="EF4128"/>
      <c r="EG4128"/>
      <c r="EH4128"/>
      <c r="EI4128"/>
      <c r="EJ4128"/>
      <c r="EK4128"/>
    </row>
    <row r="4129" spans="1:141" s="116" customFormat="1">
      <c r="A4129" s="136"/>
      <c r="CM4129" s="111"/>
      <c r="CQ4129" s="111"/>
      <c r="EF4129"/>
      <c r="EG4129"/>
      <c r="EH4129"/>
      <c r="EI4129"/>
      <c r="EJ4129"/>
      <c r="EK4129"/>
    </row>
    <row r="4130" spans="1:141" s="116" customFormat="1">
      <c r="A4130" s="136"/>
      <c r="CM4130" s="111"/>
      <c r="CQ4130" s="111"/>
      <c r="EF4130"/>
      <c r="EG4130"/>
      <c r="EH4130"/>
      <c r="EI4130"/>
      <c r="EJ4130"/>
      <c r="EK4130"/>
    </row>
    <row r="4131" spans="1:141" s="116" customFormat="1">
      <c r="A4131" s="136"/>
      <c r="CM4131" s="111"/>
      <c r="CQ4131" s="111"/>
      <c r="EF4131"/>
      <c r="EG4131"/>
      <c r="EH4131"/>
      <c r="EI4131"/>
      <c r="EJ4131"/>
      <c r="EK4131"/>
    </row>
    <row r="4132" spans="1:141" s="116" customFormat="1">
      <c r="A4132" s="136"/>
      <c r="CM4132" s="111"/>
      <c r="CQ4132" s="111"/>
      <c r="EF4132"/>
      <c r="EG4132"/>
      <c r="EH4132"/>
      <c r="EI4132"/>
      <c r="EJ4132"/>
      <c r="EK4132"/>
    </row>
    <row r="4133" spans="1:141" s="116" customFormat="1">
      <c r="A4133" s="136"/>
      <c r="CM4133" s="111"/>
      <c r="CQ4133" s="111"/>
      <c r="EF4133"/>
      <c r="EG4133"/>
      <c r="EH4133"/>
      <c r="EI4133"/>
      <c r="EJ4133"/>
      <c r="EK4133"/>
    </row>
    <row r="4134" spans="1:141" s="116" customFormat="1">
      <c r="A4134" s="136"/>
      <c r="CM4134" s="111"/>
      <c r="CQ4134" s="111"/>
      <c r="EF4134"/>
      <c r="EG4134"/>
      <c r="EH4134"/>
      <c r="EI4134"/>
      <c r="EJ4134"/>
      <c r="EK4134"/>
    </row>
    <row r="4135" spans="1:141" s="116" customFormat="1">
      <c r="A4135" s="136"/>
      <c r="CM4135" s="111"/>
      <c r="CQ4135" s="111"/>
      <c r="EF4135"/>
      <c r="EG4135"/>
      <c r="EH4135"/>
      <c r="EI4135"/>
      <c r="EJ4135"/>
      <c r="EK4135"/>
    </row>
    <row r="4136" spans="1:141" s="116" customFormat="1">
      <c r="A4136" s="136"/>
      <c r="CM4136" s="111"/>
      <c r="CQ4136" s="111"/>
      <c r="EF4136"/>
      <c r="EG4136"/>
      <c r="EH4136"/>
      <c r="EI4136"/>
      <c r="EJ4136"/>
      <c r="EK4136"/>
    </row>
    <row r="4137" spans="1:141" s="116" customFormat="1">
      <c r="A4137" s="136"/>
      <c r="CM4137" s="111"/>
      <c r="CQ4137" s="111"/>
      <c r="EF4137"/>
      <c r="EG4137"/>
      <c r="EH4137"/>
      <c r="EI4137"/>
      <c r="EJ4137"/>
      <c r="EK4137"/>
    </row>
    <row r="4138" spans="1:141" s="116" customFormat="1">
      <c r="A4138" s="136"/>
      <c r="CM4138" s="111"/>
      <c r="CQ4138" s="111"/>
      <c r="EF4138"/>
      <c r="EG4138"/>
      <c r="EH4138"/>
      <c r="EI4138"/>
      <c r="EJ4138"/>
      <c r="EK4138"/>
    </row>
    <row r="4139" spans="1:141" s="116" customFormat="1">
      <c r="A4139" s="136"/>
      <c r="CM4139" s="111"/>
      <c r="CQ4139" s="111"/>
      <c r="EF4139"/>
      <c r="EG4139"/>
      <c r="EH4139"/>
      <c r="EI4139"/>
      <c r="EJ4139"/>
      <c r="EK4139"/>
    </row>
    <row r="4140" spans="1:141" s="116" customFormat="1">
      <c r="A4140" s="136"/>
      <c r="CM4140" s="111"/>
      <c r="CQ4140" s="111"/>
      <c r="EF4140"/>
      <c r="EG4140"/>
      <c r="EH4140"/>
      <c r="EI4140"/>
      <c r="EJ4140"/>
      <c r="EK4140"/>
    </row>
    <row r="4141" spans="1:141" s="116" customFormat="1">
      <c r="A4141" s="136"/>
      <c r="CM4141" s="111"/>
      <c r="CQ4141" s="111"/>
      <c r="EF4141"/>
      <c r="EG4141"/>
      <c r="EH4141"/>
      <c r="EI4141"/>
      <c r="EJ4141"/>
      <c r="EK4141"/>
    </row>
    <row r="4142" spans="1:141" s="116" customFormat="1">
      <c r="A4142" s="136"/>
      <c r="CM4142" s="111"/>
      <c r="CQ4142" s="111"/>
      <c r="EF4142"/>
      <c r="EG4142"/>
      <c r="EH4142"/>
      <c r="EI4142"/>
      <c r="EJ4142"/>
      <c r="EK4142"/>
    </row>
    <row r="4143" spans="1:141" s="116" customFormat="1">
      <c r="A4143" s="136"/>
      <c r="CM4143" s="111"/>
      <c r="CQ4143" s="111"/>
      <c r="EF4143"/>
      <c r="EG4143"/>
      <c r="EH4143"/>
      <c r="EI4143"/>
      <c r="EJ4143"/>
      <c r="EK4143"/>
    </row>
    <row r="4144" spans="1:141" s="116" customFormat="1">
      <c r="A4144" s="136"/>
      <c r="CM4144" s="111"/>
      <c r="CQ4144" s="111"/>
      <c r="EF4144"/>
      <c r="EG4144"/>
      <c r="EH4144"/>
      <c r="EI4144"/>
      <c r="EJ4144"/>
      <c r="EK4144"/>
    </row>
    <row r="4145" spans="1:141" s="116" customFormat="1">
      <c r="A4145" s="136"/>
      <c r="CM4145" s="111"/>
      <c r="CQ4145" s="111"/>
      <c r="EF4145"/>
      <c r="EG4145"/>
      <c r="EH4145"/>
      <c r="EI4145"/>
      <c r="EJ4145"/>
      <c r="EK4145"/>
    </row>
    <row r="4146" spans="1:141" s="116" customFormat="1">
      <c r="A4146" s="136"/>
      <c r="CM4146" s="111"/>
      <c r="CQ4146" s="111"/>
      <c r="EF4146"/>
      <c r="EG4146"/>
      <c r="EH4146"/>
      <c r="EI4146"/>
      <c r="EJ4146"/>
      <c r="EK4146"/>
    </row>
    <row r="4147" spans="1:141" s="116" customFormat="1">
      <c r="A4147" s="136"/>
      <c r="CM4147" s="111"/>
      <c r="CQ4147" s="111"/>
      <c r="EF4147"/>
      <c r="EG4147"/>
      <c r="EH4147"/>
      <c r="EI4147"/>
      <c r="EJ4147"/>
      <c r="EK4147"/>
    </row>
    <row r="4148" spans="1:141" s="116" customFormat="1">
      <c r="A4148" s="136"/>
      <c r="CM4148" s="111"/>
      <c r="CQ4148" s="111"/>
      <c r="EF4148"/>
      <c r="EG4148"/>
      <c r="EH4148"/>
      <c r="EI4148"/>
      <c r="EJ4148"/>
      <c r="EK4148"/>
    </row>
    <row r="4149" spans="1:141" s="116" customFormat="1">
      <c r="A4149" s="136"/>
      <c r="CM4149" s="111"/>
      <c r="CQ4149" s="111"/>
      <c r="EF4149"/>
      <c r="EG4149"/>
      <c r="EH4149"/>
      <c r="EI4149"/>
      <c r="EJ4149"/>
      <c r="EK4149"/>
    </row>
    <row r="4150" spans="1:141" s="116" customFormat="1">
      <c r="A4150" s="136"/>
      <c r="CM4150" s="111"/>
      <c r="CQ4150" s="111"/>
      <c r="EF4150"/>
      <c r="EG4150"/>
      <c r="EH4150"/>
      <c r="EI4150"/>
      <c r="EJ4150"/>
      <c r="EK4150"/>
    </row>
    <row r="4151" spans="1:141" s="116" customFormat="1">
      <c r="A4151" s="136"/>
      <c r="CM4151" s="111"/>
      <c r="CQ4151" s="111"/>
      <c r="EF4151"/>
      <c r="EG4151"/>
      <c r="EH4151"/>
      <c r="EI4151"/>
      <c r="EJ4151"/>
      <c r="EK4151"/>
    </row>
    <row r="4152" spans="1:141" s="116" customFormat="1">
      <c r="A4152" s="136"/>
      <c r="CM4152" s="111"/>
      <c r="CQ4152" s="111"/>
      <c r="EF4152"/>
      <c r="EG4152"/>
      <c r="EH4152"/>
      <c r="EI4152"/>
      <c r="EJ4152"/>
      <c r="EK4152"/>
    </row>
    <row r="4153" spans="1:141" s="116" customFormat="1">
      <c r="A4153" s="136"/>
      <c r="CM4153" s="111"/>
      <c r="CQ4153" s="111"/>
      <c r="EF4153"/>
      <c r="EG4153"/>
      <c r="EH4153"/>
      <c r="EI4153"/>
      <c r="EJ4153"/>
      <c r="EK4153"/>
    </row>
    <row r="4154" spans="1:141" s="116" customFormat="1">
      <c r="A4154" s="136"/>
      <c r="CM4154" s="111"/>
      <c r="CQ4154" s="111"/>
      <c r="EF4154"/>
      <c r="EG4154"/>
      <c r="EH4154"/>
      <c r="EI4154"/>
      <c r="EJ4154"/>
      <c r="EK4154"/>
    </row>
    <row r="4155" spans="1:141" s="116" customFormat="1">
      <c r="A4155" s="136"/>
      <c r="CM4155" s="111"/>
      <c r="CQ4155" s="111"/>
      <c r="EF4155"/>
      <c r="EG4155"/>
      <c r="EH4155"/>
      <c r="EI4155"/>
      <c r="EJ4155"/>
      <c r="EK4155"/>
    </row>
    <row r="4156" spans="1:141" s="116" customFormat="1">
      <c r="A4156" s="136"/>
      <c r="CM4156" s="111"/>
      <c r="CQ4156" s="111"/>
      <c r="EF4156"/>
      <c r="EG4156"/>
      <c r="EH4156"/>
      <c r="EI4156"/>
      <c r="EJ4156"/>
      <c r="EK4156"/>
    </row>
    <row r="4157" spans="1:141" s="116" customFormat="1">
      <c r="A4157" s="136"/>
      <c r="CM4157" s="111"/>
      <c r="CQ4157" s="111"/>
      <c r="EF4157"/>
      <c r="EG4157"/>
      <c r="EH4157"/>
      <c r="EI4157"/>
      <c r="EJ4157"/>
      <c r="EK4157"/>
    </row>
    <row r="4158" spans="1:141" s="116" customFormat="1">
      <c r="A4158" s="136"/>
      <c r="CM4158" s="111"/>
      <c r="CQ4158" s="111"/>
      <c r="EF4158"/>
      <c r="EG4158"/>
      <c r="EH4158"/>
      <c r="EI4158"/>
      <c r="EJ4158"/>
      <c r="EK4158"/>
    </row>
    <row r="4159" spans="1:141" s="116" customFormat="1">
      <c r="A4159" s="136"/>
      <c r="CM4159" s="111"/>
      <c r="CQ4159" s="111"/>
      <c r="EF4159"/>
      <c r="EG4159"/>
      <c r="EH4159"/>
      <c r="EI4159"/>
      <c r="EJ4159"/>
      <c r="EK4159"/>
    </row>
    <row r="4160" spans="1:141" s="116" customFormat="1">
      <c r="A4160" s="136"/>
      <c r="CM4160" s="111"/>
      <c r="CQ4160" s="111"/>
      <c r="EF4160"/>
      <c r="EG4160"/>
      <c r="EH4160"/>
      <c r="EI4160"/>
      <c r="EJ4160"/>
      <c r="EK4160"/>
    </row>
    <row r="4161" spans="1:141" s="116" customFormat="1">
      <c r="A4161" s="136"/>
      <c r="CM4161" s="111"/>
      <c r="CQ4161" s="111"/>
      <c r="EF4161"/>
      <c r="EG4161"/>
      <c r="EH4161"/>
      <c r="EI4161"/>
      <c r="EJ4161"/>
      <c r="EK4161"/>
    </row>
    <row r="4162" spans="1:141" s="116" customFormat="1">
      <c r="A4162" s="136"/>
      <c r="CM4162" s="111"/>
      <c r="CQ4162" s="111"/>
      <c r="EF4162"/>
      <c r="EG4162"/>
      <c r="EH4162"/>
      <c r="EI4162"/>
      <c r="EJ4162"/>
      <c r="EK4162"/>
    </row>
    <row r="4163" spans="1:141" s="116" customFormat="1">
      <c r="A4163" s="136"/>
      <c r="CM4163" s="111"/>
      <c r="CQ4163" s="111"/>
      <c r="EF4163"/>
      <c r="EG4163"/>
      <c r="EH4163"/>
      <c r="EI4163"/>
      <c r="EJ4163"/>
      <c r="EK4163"/>
    </row>
    <row r="4164" spans="1:141" s="116" customFormat="1">
      <c r="A4164" s="136"/>
      <c r="CM4164" s="111"/>
      <c r="CQ4164" s="111"/>
      <c r="EF4164"/>
      <c r="EG4164"/>
      <c r="EH4164"/>
      <c r="EI4164"/>
      <c r="EJ4164"/>
      <c r="EK4164"/>
    </row>
    <row r="4165" spans="1:141" s="116" customFormat="1">
      <c r="A4165" s="136"/>
      <c r="CM4165" s="111"/>
      <c r="CQ4165" s="111"/>
      <c r="EF4165"/>
      <c r="EG4165"/>
      <c r="EH4165"/>
      <c r="EI4165"/>
      <c r="EJ4165"/>
      <c r="EK4165"/>
    </row>
    <row r="4166" spans="1:141" s="116" customFormat="1">
      <c r="A4166" s="136"/>
      <c r="CM4166" s="111"/>
      <c r="CQ4166" s="111"/>
      <c r="EF4166"/>
      <c r="EG4166"/>
      <c r="EH4166"/>
      <c r="EI4166"/>
      <c r="EJ4166"/>
      <c r="EK4166"/>
    </row>
    <row r="4167" spans="1:141" s="116" customFormat="1">
      <c r="A4167" s="136"/>
      <c r="CM4167" s="111"/>
      <c r="CQ4167" s="111"/>
      <c r="EF4167"/>
      <c r="EG4167"/>
      <c r="EH4167"/>
      <c r="EI4167"/>
      <c r="EJ4167"/>
      <c r="EK4167"/>
    </row>
    <row r="4168" spans="1:141" s="116" customFormat="1">
      <c r="A4168" s="136"/>
      <c r="CM4168" s="111"/>
      <c r="CQ4168" s="111"/>
      <c r="EF4168"/>
      <c r="EG4168"/>
      <c r="EH4168"/>
      <c r="EI4168"/>
      <c r="EJ4168"/>
      <c r="EK4168"/>
    </row>
    <row r="4169" spans="1:141" s="116" customFormat="1">
      <c r="A4169" s="136"/>
      <c r="CM4169" s="111"/>
      <c r="CQ4169" s="111"/>
      <c r="EF4169"/>
      <c r="EG4169"/>
      <c r="EH4169"/>
      <c r="EI4169"/>
      <c r="EJ4169"/>
      <c r="EK4169"/>
    </row>
    <row r="4170" spans="1:141" s="116" customFormat="1">
      <c r="A4170" s="136"/>
      <c r="CM4170" s="111"/>
      <c r="CQ4170" s="111"/>
      <c r="EF4170"/>
      <c r="EG4170"/>
      <c r="EH4170"/>
      <c r="EI4170"/>
      <c r="EJ4170"/>
      <c r="EK4170"/>
    </row>
    <row r="4171" spans="1:141" s="116" customFormat="1">
      <c r="A4171" s="136"/>
      <c r="CM4171" s="111"/>
      <c r="CQ4171" s="111"/>
      <c r="EF4171"/>
      <c r="EG4171"/>
      <c r="EH4171"/>
      <c r="EI4171"/>
      <c r="EJ4171"/>
      <c r="EK4171"/>
    </row>
    <row r="4172" spans="1:141" s="116" customFormat="1">
      <c r="A4172" s="136"/>
      <c r="CM4172" s="111"/>
      <c r="CQ4172" s="111"/>
      <c r="EF4172"/>
      <c r="EG4172"/>
      <c r="EH4172"/>
      <c r="EI4172"/>
      <c r="EJ4172"/>
      <c r="EK4172"/>
    </row>
    <row r="4173" spans="1:141" s="116" customFormat="1">
      <c r="A4173" s="136"/>
      <c r="CM4173" s="111"/>
      <c r="CQ4173" s="111"/>
      <c r="EF4173"/>
      <c r="EG4173"/>
      <c r="EH4173"/>
      <c r="EI4173"/>
      <c r="EJ4173"/>
      <c r="EK4173"/>
    </row>
    <row r="4174" spans="1:141" s="116" customFormat="1">
      <c r="A4174" s="136"/>
      <c r="CM4174" s="111"/>
      <c r="CQ4174" s="111"/>
      <c r="EF4174"/>
      <c r="EG4174"/>
      <c r="EH4174"/>
      <c r="EI4174"/>
      <c r="EJ4174"/>
      <c r="EK4174"/>
    </row>
    <row r="4175" spans="1:141" s="116" customFormat="1">
      <c r="A4175" s="136"/>
      <c r="CM4175" s="111"/>
      <c r="CQ4175" s="111"/>
      <c r="EF4175"/>
      <c r="EG4175"/>
      <c r="EH4175"/>
      <c r="EI4175"/>
      <c r="EJ4175"/>
      <c r="EK4175"/>
    </row>
    <row r="4176" spans="1:141" s="116" customFormat="1">
      <c r="A4176" s="136"/>
      <c r="CM4176" s="111"/>
      <c r="CQ4176" s="111"/>
      <c r="EF4176"/>
      <c r="EG4176"/>
      <c r="EH4176"/>
      <c r="EI4176"/>
      <c r="EJ4176"/>
      <c r="EK4176"/>
    </row>
    <row r="4177" spans="1:141" s="116" customFormat="1">
      <c r="A4177" s="136"/>
      <c r="CM4177" s="111"/>
      <c r="CQ4177" s="111"/>
      <c r="EF4177"/>
      <c r="EG4177"/>
      <c r="EH4177"/>
      <c r="EI4177"/>
      <c r="EJ4177"/>
      <c r="EK4177"/>
    </row>
    <row r="4178" spans="1:141" s="116" customFormat="1">
      <c r="A4178" s="136"/>
      <c r="CM4178" s="111"/>
      <c r="CQ4178" s="111"/>
      <c r="EF4178"/>
      <c r="EG4178"/>
      <c r="EH4178"/>
      <c r="EI4178"/>
      <c r="EJ4178"/>
      <c r="EK4178"/>
    </row>
    <row r="4179" spans="1:141" s="116" customFormat="1">
      <c r="A4179" s="136"/>
      <c r="CM4179" s="111"/>
      <c r="CQ4179" s="111"/>
      <c r="EF4179"/>
      <c r="EG4179"/>
      <c r="EH4179"/>
      <c r="EI4179"/>
      <c r="EJ4179"/>
      <c r="EK4179"/>
    </row>
    <row r="4180" spans="1:141" s="116" customFormat="1">
      <c r="A4180" s="136"/>
      <c r="CM4180" s="111"/>
      <c r="CQ4180" s="111"/>
      <c r="EF4180"/>
      <c r="EG4180"/>
      <c r="EH4180"/>
      <c r="EI4180"/>
      <c r="EJ4180"/>
      <c r="EK4180"/>
    </row>
    <row r="4181" spans="1:141" s="116" customFormat="1">
      <c r="A4181" s="136"/>
      <c r="CM4181" s="111"/>
      <c r="CQ4181" s="111"/>
      <c r="EF4181"/>
      <c r="EG4181"/>
      <c r="EH4181"/>
      <c r="EI4181"/>
      <c r="EJ4181"/>
      <c r="EK4181"/>
    </row>
    <row r="4182" spans="1:141" s="116" customFormat="1">
      <c r="A4182" s="136"/>
      <c r="CM4182" s="111"/>
      <c r="CQ4182" s="111"/>
      <c r="EF4182"/>
      <c r="EG4182"/>
      <c r="EH4182"/>
      <c r="EI4182"/>
      <c r="EJ4182"/>
      <c r="EK4182"/>
    </row>
    <row r="4183" spans="1:141" s="116" customFormat="1">
      <c r="A4183" s="136"/>
      <c r="CM4183" s="111"/>
      <c r="CQ4183" s="111"/>
      <c r="EF4183"/>
      <c r="EG4183"/>
      <c r="EH4183"/>
      <c r="EI4183"/>
      <c r="EJ4183"/>
      <c r="EK4183"/>
    </row>
    <row r="4184" spans="1:141" s="116" customFormat="1">
      <c r="A4184" s="136"/>
      <c r="CM4184" s="111"/>
      <c r="CQ4184" s="111"/>
      <c r="EF4184"/>
      <c r="EG4184"/>
      <c r="EH4184"/>
      <c r="EI4184"/>
      <c r="EJ4184"/>
      <c r="EK4184"/>
    </row>
    <row r="4185" spans="1:141" s="116" customFormat="1">
      <c r="A4185" s="136"/>
      <c r="CM4185" s="111"/>
      <c r="CQ4185" s="111"/>
      <c r="EF4185"/>
      <c r="EG4185"/>
      <c r="EH4185"/>
      <c r="EI4185"/>
      <c r="EJ4185"/>
      <c r="EK4185"/>
    </row>
    <row r="4186" spans="1:141" s="116" customFormat="1">
      <c r="A4186" s="136"/>
      <c r="CM4186" s="111"/>
      <c r="CQ4186" s="111"/>
      <c r="EF4186"/>
      <c r="EG4186"/>
      <c r="EH4186"/>
      <c r="EI4186"/>
      <c r="EJ4186"/>
      <c r="EK4186"/>
    </row>
    <row r="4187" spans="1:141" s="116" customFormat="1">
      <c r="A4187" s="136"/>
      <c r="CM4187" s="111"/>
      <c r="CQ4187" s="111"/>
      <c r="EF4187"/>
      <c r="EG4187"/>
      <c r="EH4187"/>
      <c r="EI4187"/>
      <c r="EJ4187"/>
      <c r="EK4187"/>
    </row>
    <row r="4188" spans="1:141" s="116" customFormat="1">
      <c r="A4188" s="136"/>
      <c r="CM4188" s="111"/>
      <c r="CQ4188" s="111"/>
      <c r="EF4188"/>
      <c r="EG4188"/>
      <c r="EH4188"/>
      <c r="EI4188"/>
      <c r="EJ4188"/>
      <c r="EK4188"/>
    </row>
    <row r="4189" spans="1:141" s="116" customFormat="1">
      <c r="A4189" s="136"/>
      <c r="CM4189" s="111"/>
      <c r="CQ4189" s="111"/>
      <c r="EF4189"/>
      <c r="EG4189"/>
      <c r="EH4189"/>
      <c r="EI4189"/>
      <c r="EJ4189"/>
      <c r="EK4189"/>
    </row>
    <row r="4190" spans="1:141" s="116" customFormat="1">
      <c r="A4190" s="136"/>
      <c r="CM4190" s="111"/>
      <c r="CQ4190" s="111"/>
      <c r="EF4190"/>
      <c r="EG4190"/>
      <c r="EH4190"/>
      <c r="EI4190"/>
      <c r="EJ4190"/>
      <c r="EK4190"/>
    </row>
    <row r="4191" spans="1:141" s="116" customFormat="1">
      <c r="A4191" s="136"/>
      <c r="CM4191" s="111"/>
      <c r="CQ4191" s="111"/>
      <c r="EF4191"/>
      <c r="EG4191"/>
      <c r="EH4191"/>
      <c r="EI4191"/>
      <c r="EJ4191"/>
      <c r="EK4191"/>
    </row>
    <row r="4192" spans="1:141" s="116" customFormat="1">
      <c r="A4192" s="136"/>
      <c r="CM4192" s="111"/>
      <c r="CQ4192" s="111"/>
      <c r="EF4192"/>
      <c r="EG4192"/>
      <c r="EH4192"/>
      <c r="EI4192"/>
      <c r="EJ4192"/>
      <c r="EK4192"/>
    </row>
    <row r="4193" spans="1:141" s="116" customFormat="1">
      <c r="A4193" s="136"/>
      <c r="CM4193" s="111"/>
      <c r="CQ4193" s="111"/>
      <c r="EF4193"/>
      <c r="EG4193"/>
      <c r="EH4193"/>
      <c r="EI4193"/>
      <c r="EJ4193"/>
      <c r="EK4193"/>
    </row>
    <row r="4194" spans="1:141" s="116" customFormat="1">
      <c r="A4194" s="136"/>
      <c r="CM4194" s="111"/>
      <c r="CQ4194" s="111"/>
      <c r="EF4194"/>
      <c r="EG4194"/>
      <c r="EH4194"/>
      <c r="EI4194"/>
      <c r="EJ4194"/>
      <c r="EK4194"/>
    </row>
    <row r="4195" spans="1:141" s="116" customFormat="1">
      <c r="A4195" s="136"/>
      <c r="CM4195" s="111"/>
      <c r="CQ4195" s="111"/>
      <c r="EF4195"/>
      <c r="EG4195"/>
      <c r="EH4195"/>
      <c r="EI4195"/>
      <c r="EJ4195"/>
      <c r="EK4195"/>
    </row>
    <row r="4196" spans="1:141" s="116" customFormat="1">
      <c r="A4196" s="136"/>
      <c r="CM4196" s="111"/>
      <c r="CQ4196" s="111"/>
      <c r="EF4196"/>
      <c r="EG4196"/>
      <c r="EH4196"/>
      <c r="EI4196"/>
      <c r="EJ4196"/>
      <c r="EK4196"/>
    </row>
    <row r="4197" spans="1:141" s="116" customFormat="1">
      <c r="A4197" s="136"/>
      <c r="CM4197" s="111"/>
      <c r="CQ4197" s="111"/>
      <c r="EF4197"/>
      <c r="EG4197"/>
      <c r="EH4197"/>
      <c r="EI4197"/>
      <c r="EJ4197"/>
      <c r="EK4197"/>
    </row>
    <row r="4198" spans="1:141" s="116" customFormat="1">
      <c r="A4198" s="136"/>
      <c r="CM4198" s="111"/>
      <c r="CQ4198" s="111"/>
      <c r="EF4198"/>
      <c r="EG4198"/>
      <c r="EH4198"/>
      <c r="EI4198"/>
      <c r="EJ4198"/>
      <c r="EK4198"/>
    </row>
    <row r="4199" spans="1:141" s="116" customFormat="1">
      <c r="A4199" s="136"/>
      <c r="CM4199" s="111"/>
      <c r="CQ4199" s="111"/>
      <c r="EF4199"/>
      <c r="EG4199"/>
      <c r="EH4199"/>
      <c r="EI4199"/>
      <c r="EJ4199"/>
      <c r="EK4199"/>
    </row>
    <row r="4200" spans="1:141" s="116" customFormat="1">
      <c r="A4200" s="136"/>
      <c r="CM4200" s="111"/>
      <c r="CQ4200" s="111"/>
      <c r="EF4200"/>
      <c r="EG4200"/>
      <c r="EH4200"/>
      <c r="EI4200"/>
      <c r="EJ4200"/>
      <c r="EK4200"/>
    </row>
    <row r="4201" spans="1:141" s="116" customFormat="1">
      <c r="A4201" s="136"/>
      <c r="CM4201" s="111"/>
      <c r="CQ4201" s="111"/>
      <c r="EF4201"/>
      <c r="EG4201"/>
      <c r="EH4201"/>
      <c r="EI4201"/>
      <c r="EJ4201"/>
      <c r="EK4201"/>
    </row>
    <row r="4202" spans="1:141" s="116" customFormat="1">
      <c r="A4202" s="136"/>
      <c r="CM4202" s="111"/>
      <c r="CQ4202" s="111"/>
      <c r="EF4202"/>
      <c r="EG4202"/>
      <c r="EH4202"/>
      <c r="EI4202"/>
      <c r="EJ4202"/>
      <c r="EK4202"/>
    </row>
    <row r="4203" spans="1:141" s="116" customFormat="1">
      <c r="A4203" s="136"/>
      <c r="CM4203" s="111"/>
      <c r="CQ4203" s="111"/>
      <c r="EF4203"/>
      <c r="EG4203"/>
      <c r="EH4203"/>
      <c r="EI4203"/>
      <c r="EJ4203"/>
      <c r="EK4203"/>
    </row>
    <row r="4204" spans="1:141" s="116" customFormat="1">
      <c r="A4204" s="136"/>
      <c r="CM4204" s="111"/>
      <c r="CQ4204" s="111"/>
      <c r="EF4204"/>
      <c r="EG4204"/>
      <c r="EH4204"/>
      <c r="EI4204"/>
      <c r="EJ4204"/>
      <c r="EK4204"/>
    </row>
    <row r="4205" spans="1:141" s="116" customFormat="1">
      <c r="A4205" s="136"/>
      <c r="CM4205" s="111"/>
      <c r="CQ4205" s="111"/>
      <c r="EF4205"/>
      <c r="EG4205"/>
      <c r="EH4205"/>
      <c r="EI4205"/>
      <c r="EJ4205"/>
      <c r="EK4205"/>
    </row>
    <row r="4206" spans="1:141" s="116" customFormat="1">
      <c r="A4206" s="136"/>
      <c r="CM4206" s="111"/>
      <c r="CQ4206" s="111"/>
      <c r="EF4206"/>
      <c r="EG4206"/>
      <c r="EH4206"/>
      <c r="EI4206"/>
      <c r="EJ4206"/>
      <c r="EK4206"/>
    </row>
    <row r="4207" spans="1:141" s="116" customFormat="1">
      <c r="A4207" s="136"/>
      <c r="CM4207" s="111"/>
      <c r="CQ4207" s="111"/>
      <c r="EF4207"/>
      <c r="EG4207"/>
      <c r="EH4207"/>
      <c r="EI4207"/>
      <c r="EJ4207"/>
      <c r="EK4207"/>
    </row>
    <row r="4208" spans="1:141" s="116" customFormat="1">
      <c r="A4208" s="136"/>
      <c r="CM4208" s="111"/>
      <c r="CQ4208" s="111"/>
      <c r="EF4208"/>
      <c r="EG4208"/>
      <c r="EH4208"/>
      <c r="EI4208"/>
      <c r="EJ4208"/>
      <c r="EK4208"/>
    </row>
    <row r="4209" spans="1:141" s="116" customFormat="1">
      <c r="A4209" s="136"/>
      <c r="CM4209" s="111"/>
      <c r="CQ4209" s="111"/>
      <c r="EF4209"/>
      <c r="EG4209"/>
      <c r="EH4209"/>
      <c r="EI4209"/>
      <c r="EJ4209"/>
      <c r="EK4209"/>
    </row>
    <row r="4210" spans="1:141" s="116" customFormat="1">
      <c r="A4210" s="136"/>
      <c r="CM4210" s="111"/>
      <c r="CQ4210" s="111"/>
      <c r="EF4210"/>
      <c r="EG4210"/>
      <c r="EH4210"/>
      <c r="EI4210"/>
      <c r="EJ4210"/>
      <c r="EK4210"/>
    </row>
    <row r="4211" spans="1:141" s="116" customFormat="1">
      <c r="A4211" s="136"/>
      <c r="CM4211" s="111"/>
      <c r="CQ4211" s="111"/>
      <c r="EF4211"/>
      <c r="EG4211"/>
      <c r="EH4211"/>
      <c r="EI4211"/>
      <c r="EJ4211"/>
      <c r="EK4211"/>
    </row>
    <row r="4212" spans="1:141" s="116" customFormat="1">
      <c r="A4212" s="136"/>
      <c r="CM4212" s="111"/>
      <c r="CQ4212" s="111"/>
      <c r="EF4212"/>
      <c r="EG4212"/>
      <c r="EH4212"/>
      <c r="EI4212"/>
      <c r="EJ4212"/>
      <c r="EK4212"/>
    </row>
    <row r="4213" spans="1:141" s="116" customFormat="1">
      <c r="A4213" s="136"/>
      <c r="CM4213" s="111"/>
      <c r="CQ4213" s="111"/>
      <c r="EF4213"/>
      <c r="EG4213"/>
      <c r="EH4213"/>
      <c r="EI4213"/>
      <c r="EJ4213"/>
      <c r="EK4213"/>
    </row>
    <row r="4214" spans="1:141" s="116" customFormat="1">
      <c r="A4214" s="136"/>
      <c r="CM4214" s="111"/>
      <c r="CQ4214" s="111"/>
      <c r="EF4214"/>
      <c r="EG4214"/>
      <c r="EH4214"/>
      <c r="EI4214"/>
      <c r="EJ4214"/>
      <c r="EK4214"/>
    </row>
    <row r="4215" spans="1:141" s="116" customFormat="1">
      <c r="A4215" s="136"/>
      <c r="CM4215" s="111"/>
      <c r="CQ4215" s="111"/>
      <c r="EF4215"/>
      <c r="EG4215"/>
      <c r="EH4215"/>
      <c r="EI4215"/>
      <c r="EJ4215"/>
      <c r="EK4215"/>
    </row>
    <row r="4216" spans="1:141" s="116" customFormat="1">
      <c r="A4216" s="136"/>
      <c r="CM4216" s="111"/>
      <c r="CQ4216" s="111"/>
      <c r="EF4216"/>
      <c r="EG4216"/>
      <c r="EH4216"/>
      <c r="EI4216"/>
      <c r="EJ4216"/>
      <c r="EK4216"/>
    </row>
    <row r="4217" spans="1:141" s="116" customFormat="1">
      <c r="A4217" s="136"/>
      <c r="CM4217" s="111"/>
      <c r="CQ4217" s="111"/>
      <c r="EF4217"/>
      <c r="EG4217"/>
      <c r="EH4217"/>
      <c r="EI4217"/>
      <c r="EJ4217"/>
      <c r="EK4217"/>
    </row>
    <row r="4218" spans="1:141" s="116" customFormat="1">
      <c r="A4218" s="136"/>
      <c r="CM4218" s="111"/>
      <c r="CQ4218" s="111"/>
      <c r="EF4218"/>
      <c r="EG4218"/>
      <c r="EH4218"/>
      <c r="EI4218"/>
      <c r="EJ4218"/>
      <c r="EK4218"/>
    </row>
    <row r="4219" spans="1:141" s="116" customFormat="1">
      <c r="A4219" s="136"/>
      <c r="CM4219" s="111"/>
      <c r="CQ4219" s="111"/>
      <c r="EF4219"/>
      <c r="EG4219"/>
      <c r="EH4219"/>
      <c r="EI4219"/>
      <c r="EJ4219"/>
      <c r="EK4219"/>
    </row>
    <row r="4220" spans="1:141" s="116" customFormat="1">
      <c r="A4220" s="136"/>
      <c r="CM4220" s="111"/>
      <c r="CQ4220" s="111"/>
      <c r="EF4220"/>
      <c r="EG4220"/>
      <c r="EH4220"/>
      <c r="EI4220"/>
      <c r="EJ4220"/>
      <c r="EK4220"/>
    </row>
    <row r="4221" spans="1:141" s="116" customFormat="1">
      <c r="A4221" s="136"/>
      <c r="CM4221" s="111"/>
      <c r="CQ4221" s="111"/>
      <c r="EF4221"/>
      <c r="EG4221"/>
      <c r="EH4221"/>
      <c r="EI4221"/>
      <c r="EJ4221"/>
      <c r="EK4221"/>
    </row>
    <row r="4222" spans="1:141" s="116" customFormat="1">
      <c r="A4222" s="136"/>
      <c r="CM4222" s="111"/>
      <c r="CQ4222" s="111"/>
      <c r="EF4222"/>
      <c r="EG4222"/>
      <c r="EH4222"/>
      <c r="EI4222"/>
      <c r="EJ4222"/>
      <c r="EK4222"/>
    </row>
    <row r="4223" spans="1:141" s="116" customFormat="1">
      <c r="A4223" s="136"/>
      <c r="CM4223" s="111"/>
      <c r="CQ4223" s="111"/>
      <c r="EF4223"/>
      <c r="EG4223"/>
      <c r="EH4223"/>
      <c r="EI4223"/>
      <c r="EJ4223"/>
      <c r="EK4223"/>
    </row>
    <row r="4224" spans="1:141" s="116" customFormat="1">
      <c r="A4224" s="136"/>
      <c r="CM4224" s="111"/>
      <c r="CQ4224" s="111"/>
      <c r="EF4224"/>
      <c r="EG4224"/>
      <c r="EH4224"/>
      <c r="EI4224"/>
      <c r="EJ4224"/>
      <c r="EK4224"/>
    </row>
    <row r="4225" spans="1:141" s="116" customFormat="1">
      <c r="A4225" s="136"/>
      <c r="CM4225" s="111"/>
      <c r="CQ4225" s="111"/>
      <c r="EF4225"/>
      <c r="EG4225"/>
      <c r="EH4225"/>
      <c r="EI4225"/>
      <c r="EJ4225"/>
      <c r="EK4225"/>
    </row>
    <row r="4226" spans="1:141" s="116" customFormat="1">
      <c r="A4226" s="136"/>
      <c r="CM4226" s="111"/>
      <c r="CQ4226" s="111"/>
      <c r="EF4226"/>
      <c r="EG4226"/>
      <c r="EH4226"/>
      <c r="EI4226"/>
      <c r="EJ4226"/>
      <c r="EK4226"/>
    </row>
    <row r="4227" spans="1:141" s="116" customFormat="1">
      <c r="A4227" s="136"/>
      <c r="CM4227" s="111"/>
      <c r="CQ4227" s="111"/>
      <c r="EF4227"/>
      <c r="EG4227"/>
      <c r="EH4227"/>
      <c r="EI4227"/>
      <c r="EJ4227"/>
      <c r="EK4227"/>
    </row>
    <row r="4228" spans="1:141" s="116" customFormat="1">
      <c r="A4228" s="136"/>
      <c r="CM4228" s="111"/>
      <c r="CQ4228" s="111"/>
      <c r="EF4228"/>
      <c r="EG4228"/>
      <c r="EH4228"/>
      <c r="EI4228"/>
      <c r="EJ4228"/>
      <c r="EK4228"/>
    </row>
    <row r="4229" spans="1:141" s="116" customFormat="1">
      <c r="A4229" s="136"/>
      <c r="CM4229" s="111"/>
      <c r="CQ4229" s="111"/>
      <c r="EF4229"/>
      <c r="EG4229"/>
      <c r="EH4229"/>
      <c r="EI4229"/>
      <c r="EJ4229"/>
      <c r="EK4229"/>
    </row>
    <row r="4230" spans="1:141" s="116" customFormat="1">
      <c r="A4230" s="136"/>
      <c r="CM4230" s="111"/>
      <c r="CQ4230" s="111"/>
      <c r="EF4230"/>
      <c r="EG4230"/>
      <c r="EH4230"/>
      <c r="EI4230"/>
      <c r="EJ4230"/>
      <c r="EK4230"/>
    </row>
    <row r="4231" spans="1:141" s="116" customFormat="1">
      <c r="A4231" s="136"/>
      <c r="CM4231" s="111"/>
      <c r="CQ4231" s="111"/>
      <c r="EF4231"/>
      <c r="EG4231"/>
      <c r="EH4231"/>
      <c r="EI4231"/>
      <c r="EJ4231"/>
      <c r="EK4231"/>
    </row>
    <row r="4232" spans="1:141" s="116" customFormat="1">
      <c r="A4232" s="136"/>
      <c r="CM4232" s="111"/>
      <c r="CQ4232" s="111"/>
      <c r="EF4232"/>
      <c r="EG4232"/>
      <c r="EH4232"/>
      <c r="EI4232"/>
      <c r="EJ4232"/>
      <c r="EK4232"/>
    </row>
    <row r="4233" spans="1:141" s="116" customFormat="1">
      <c r="A4233" s="136"/>
      <c r="CM4233" s="111"/>
      <c r="CQ4233" s="111"/>
      <c r="EF4233"/>
      <c r="EG4233"/>
      <c r="EH4233"/>
      <c r="EI4233"/>
      <c r="EJ4233"/>
      <c r="EK4233"/>
    </row>
    <row r="4234" spans="1:141" s="116" customFormat="1">
      <c r="A4234" s="136"/>
      <c r="CM4234" s="111"/>
      <c r="CQ4234" s="111"/>
      <c r="EF4234"/>
      <c r="EG4234"/>
      <c r="EH4234"/>
      <c r="EI4234"/>
      <c r="EJ4234"/>
      <c r="EK4234"/>
    </row>
    <row r="4235" spans="1:141" s="116" customFormat="1">
      <c r="A4235" s="136"/>
      <c r="CM4235" s="111"/>
      <c r="CQ4235" s="111"/>
      <c r="EF4235"/>
      <c r="EG4235"/>
      <c r="EH4235"/>
      <c r="EI4235"/>
      <c r="EJ4235"/>
      <c r="EK4235"/>
    </row>
    <row r="4236" spans="1:141" s="116" customFormat="1">
      <c r="A4236" s="136"/>
      <c r="CM4236" s="111"/>
      <c r="CQ4236" s="111"/>
      <c r="EF4236"/>
      <c r="EG4236"/>
      <c r="EH4236"/>
      <c r="EI4236"/>
      <c r="EJ4236"/>
      <c r="EK4236"/>
    </row>
    <row r="4237" spans="1:141" s="116" customFormat="1">
      <c r="A4237" s="136"/>
      <c r="CM4237" s="111"/>
      <c r="CQ4237" s="111"/>
      <c r="EF4237"/>
      <c r="EG4237"/>
      <c r="EH4237"/>
      <c r="EI4237"/>
      <c r="EJ4237"/>
      <c r="EK4237"/>
    </row>
    <row r="4238" spans="1:141" s="116" customFormat="1">
      <c r="A4238" s="136"/>
      <c r="CM4238" s="111"/>
      <c r="CQ4238" s="111"/>
      <c r="EF4238"/>
      <c r="EG4238"/>
      <c r="EH4238"/>
      <c r="EI4238"/>
      <c r="EJ4238"/>
      <c r="EK4238"/>
    </row>
    <row r="4239" spans="1:141" s="116" customFormat="1">
      <c r="A4239" s="136"/>
      <c r="CM4239" s="111"/>
      <c r="CQ4239" s="111"/>
      <c r="EF4239"/>
      <c r="EG4239"/>
      <c r="EH4239"/>
      <c r="EI4239"/>
      <c r="EJ4239"/>
      <c r="EK4239"/>
    </row>
    <row r="4240" spans="1:141" s="116" customFormat="1">
      <c r="A4240" s="136"/>
      <c r="CM4240" s="111"/>
      <c r="CQ4240" s="111"/>
      <c r="EF4240"/>
      <c r="EG4240"/>
      <c r="EH4240"/>
      <c r="EI4240"/>
      <c r="EJ4240"/>
      <c r="EK4240"/>
    </row>
    <row r="4241" spans="1:141" s="116" customFormat="1">
      <c r="A4241" s="136"/>
      <c r="CM4241" s="111"/>
      <c r="CQ4241" s="111"/>
      <c r="EF4241"/>
      <c r="EG4241"/>
      <c r="EH4241"/>
      <c r="EI4241"/>
      <c r="EJ4241"/>
      <c r="EK4241"/>
    </row>
    <row r="4242" spans="1:141" s="116" customFormat="1">
      <c r="A4242" s="136"/>
      <c r="CM4242" s="111"/>
      <c r="CQ4242" s="111"/>
      <c r="EF4242"/>
      <c r="EG4242"/>
      <c r="EH4242"/>
      <c r="EI4242"/>
      <c r="EJ4242"/>
      <c r="EK4242"/>
    </row>
    <row r="4243" spans="1:141" s="116" customFormat="1">
      <c r="A4243" s="136"/>
      <c r="CM4243" s="111"/>
      <c r="CQ4243" s="111"/>
      <c r="EF4243"/>
      <c r="EG4243"/>
      <c r="EH4243"/>
      <c r="EI4243"/>
      <c r="EJ4243"/>
      <c r="EK4243"/>
    </row>
    <row r="4244" spans="1:141" s="116" customFormat="1">
      <c r="A4244" s="136"/>
      <c r="CM4244" s="111"/>
      <c r="CQ4244" s="111"/>
      <c r="EF4244"/>
      <c r="EG4244"/>
      <c r="EH4244"/>
      <c r="EI4244"/>
      <c r="EJ4244"/>
      <c r="EK4244"/>
    </row>
    <row r="4245" spans="1:141" s="116" customFormat="1">
      <c r="A4245" s="136"/>
      <c r="CM4245" s="111"/>
      <c r="CQ4245" s="111"/>
      <c r="EF4245"/>
      <c r="EG4245"/>
      <c r="EH4245"/>
      <c r="EI4245"/>
      <c r="EJ4245"/>
      <c r="EK4245"/>
    </row>
    <row r="4246" spans="1:141" s="116" customFormat="1">
      <c r="A4246" s="136"/>
      <c r="CM4246" s="111"/>
      <c r="CQ4246" s="111"/>
      <c r="EF4246"/>
      <c r="EG4246"/>
      <c r="EH4246"/>
      <c r="EI4246"/>
      <c r="EJ4246"/>
      <c r="EK4246"/>
    </row>
    <row r="4247" spans="1:141" s="116" customFormat="1">
      <c r="A4247" s="136"/>
      <c r="CM4247" s="111"/>
      <c r="CQ4247" s="111"/>
      <c r="EF4247"/>
      <c r="EG4247"/>
      <c r="EH4247"/>
      <c r="EI4247"/>
      <c r="EJ4247"/>
      <c r="EK4247"/>
    </row>
    <row r="4248" spans="1:141" s="116" customFormat="1">
      <c r="A4248" s="136"/>
      <c r="CM4248" s="111"/>
      <c r="CQ4248" s="111"/>
      <c r="EF4248"/>
      <c r="EG4248"/>
      <c r="EH4248"/>
      <c r="EI4248"/>
      <c r="EJ4248"/>
      <c r="EK4248"/>
    </row>
    <row r="4249" spans="1:141" s="116" customFormat="1">
      <c r="A4249" s="136"/>
      <c r="CM4249" s="111"/>
      <c r="CQ4249" s="111"/>
      <c r="EF4249"/>
      <c r="EG4249"/>
      <c r="EH4249"/>
      <c r="EI4249"/>
      <c r="EJ4249"/>
      <c r="EK4249"/>
    </row>
    <row r="4250" spans="1:141" s="116" customFormat="1">
      <c r="A4250" s="136"/>
      <c r="CM4250" s="111"/>
      <c r="CQ4250" s="111"/>
      <c r="EF4250"/>
      <c r="EG4250"/>
      <c r="EH4250"/>
      <c r="EI4250"/>
      <c r="EJ4250"/>
      <c r="EK4250"/>
    </row>
    <row r="4251" spans="1:141" s="116" customFormat="1">
      <c r="A4251" s="136"/>
      <c r="CM4251" s="111"/>
      <c r="CQ4251" s="111"/>
      <c r="EF4251"/>
      <c r="EG4251"/>
      <c r="EH4251"/>
      <c r="EI4251"/>
      <c r="EJ4251"/>
      <c r="EK4251"/>
    </row>
    <row r="4252" spans="1:141" s="116" customFormat="1">
      <c r="A4252" s="136"/>
      <c r="CM4252" s="111"/>
      <c r="CQ4252" s="111"/>
      <c r="EF4252"/>
      <c r="EG4252"/>
      <c r="EH4252"/>
      <c r="EI4252"/>
      <c r="EJ4252"/>
      <c r="EK4252"/>
    </row>
    <row r="4253" spans="1:141" s="116" customFormat="1">
      <c r="A4253" s="136"/>
      <c r="CM4253" s="111"/>
      <c r="CQ4253" s="111"/>
      <c r="EF4253"/>
      <c r="EG4253"/>
      <c r="EH4253"/>
      <c r="EI4253"/>
      <c r="EJ4253"/>
      <c r="EK4253"/>
    </row>
    <row r="4254" spans="1:141" s="116" customFormat="1">
      <c r="A4254" s="136"/>
      <c r="CM4254" s="111"/>
      <c r="CQ4254" s="111"/>
      <c r="EF4254"/>
      <c r="EG4254"/>
      <c r="EH4254"/>
      <c r="EI4254"/>
      <c r="EJ4254"/>
      <c r="EK4254"/>
    </row>
    <row r="4255" spans="1:141" s="116" customFormat="1">
      <c r="A4255" s="136"/>
      <c r="CM4255" s="111"/>
      <c r="CQ4255" s="111"/>
      <c r="EF4255"/>
      <c r="EG4255"/>
      <c r="EH4255"/>
      <c r="EI4255"/>
      <c r="EJ4255"/>
      <c r="EK4255"/>
    </row>
    <row r="4256" spans="1:141" s="116" customFormat="1">
      <c r="A4256" s="136"/>
      <c r="CM4256" s="111"/>
      <c r="CQ4256" s="111"/>
      <c r="EF4256"/>
      <c r="EG4256"/>
      <c r="EH4256"/>
      <c r="EI4256"/>
      <c r="EJ4256"/>
      <c r="EK4256"/>
    </row>
    <row r="4257" spans="1:141" s="116" customFormat="1">
      <c r="A4257" s="136"/>
      <c r="CM4257" s="111"/>
      <c r="CQ4257" s="111"/>
      <c r="EF4257"/>
      <c r="EG4257"/>
      <c r="EH4257"/>
      <c r="EI4257"/>
      <c r="EJ4257"/>
      <c r="EK4257"/>
    </row>
    <row r="4258" spans="1:141" s="116" customFormat="1">
      <c r="A4258" s="136"/>
      <c r="CM4258" s="111"/>
      <c r="CQ4258" s="111"/>
      <c r="EF4258"/>
      <c r="EG4258"/>
      <c r="EH4258"/>
      <c r="EI4258"/>
      <c r="EJ4258"/>
      <c r="EK4258"/>
    </row>
    <row r="4259" spans="1:141" s="116" customFormat="1">
      <c r="A4259" s="136"/>
      <c r="CM4259" s="111"/>
      <c r="CQ4259" s="111"/>
      <c r="EF4259"/>
      <c r="EG4259"/>
      <c r="EH4259"/>
      <c r="EI4259"/>
      <c r="EJ4259"/>
      <c r="EK4259"/>
    </row>
    <row r="4260" spans="1:141" s="116" customFormat="1">
      <c r="A4260" s="136"/>
      <c r="CM4260" s="111"/>
      <c r="CQ4260" s="111"/>
      <c r="EF4260"/>
      <c r="EG4260"/>
      <c r="EH4260"/>
      <c r="EI4260"/>
      <c r="EJ4260"/>
      <c r="EK4260"/>
    </row>
    <row r="4261" spans="1:141" s="116" customFormat="1">
      <c r="A4261" s="136"/>
      <c r="CM4261" s="111"/>
      <c r="CQ4261" s="111"/>
      <c r="EF4261"/>
      <c r="EG4261"/>
      <c r="EH4261"/>
      <c r="EI4261"/>
      <c r="EJ4261"/>
      <c r="EK4261"/>
    </row>
    <row r="4262" spans="1:141" s="116" customFormat="1">
      <c r="A4262" s="136"/>
      <c r="CM4262" s="111"/>
      <c r="CQ4262" s="111"/>
      <c r="EF4262"/>
      <c r="EG4262"/>
      <c r="EH4262"/>
      <c r="EI4262"/>
      <c r="EJ4262"/>
      <c r="EK4262"/>
    </row>
    <row r="4263" spans="1:141" s="116" customFormat="1">
      <c r="A4263" s="136"/>
      <c r="CM4263" s="111"/>
      <c r="CQ4263" s="111"/>
      <c r="EF4263"/>
      <c r="EG4263"/>
      <c r="EH4263"/>
      <c r="EI4263"/>
      <c r="EJ4263"/>
      <c r="EK4263"/>
    </row>
    <row r="4264" spans="1:141" s="116" customFormat="1">
      <c r="A4264" s="136"/>
      <c r="CM4264" s="111"/>
      <c r="CQ4264" s="111"/>
      <c r="EF4264"/>
      <c r="EG4264"/>
      <c r="EH4264"/>
      <c r="EI4264"/>
      <c r="EJ4264"/>
      <c r="EK4264"/>
    </row>
    <row r="4265" spans="1:141" s="116" customFormat="1">
      <c r="A4265" s="136"/>
      <c r="CM4265" s="111"/>
      <c r="CQ4265" s="111"/>
      <c r="EF4265"/>
      <c r="EG4265"/>
      <c r="EH4265"/>
      <c r="EI4265"/>
      <c r="EJ4265"/>
      <c r="EK4265"/>
    </row>
    <row r="4266" spans="1:141" s="116" customFormat="1">
      <c r="A4266" s="136"/>
      <c r="CM4266" s="111"/>
      <c r="CQ4266" s="111"/>
      <c r="EF4266"/>
      <c r="EG4266"/>
      <c r="EH4266"/>
      <c r="EI4266"/>
      <c r="EJ4266"/>
      <c r="EK4266"/>
    </row>
    <row r="4267" spans="1:141" s="116" customFormat="1">
      <c r="A4267" s="136"/>
      <c r="CM4267" s="111"/>
      <c r="CQ4267" s="111"/>
      <c r="EF4267"/>
      <c r="EG4267"/>
      <c r="EH4267"/>
      <c r="EI4267"/>
      <c r="EJ4267"/>
      <c r="EK4267"/>
    </row>
    <row r="4268" spans="1:141" s="116" customFormat="1">
      <c r="A4268" s="136"/>
      <c r="CM4268" s="111"/>
      <c r="CQ4268" s="111"/>
      <c r="EF4268"/>
      <c r="EG4268"/>
      <c r="EH4268"/>
      <c r="EI4268"/>
      <c r="EJ4268"/>
      <c r="EK4268"/>
    </row>
    <row r="4269" spans="1:141" s="116" customFormat="1">
      <c r="A4269" s="136"/>
      <c r="CM4269" s="111"/>
      <c r="CQ4269" s="111"/>
      <c r="EF4269"/>
      <c r="EG4269"/>
      <c r="EH4269"/>
      <c r="EI4269"/>
      <c r="EJ4269"/>
      <c r="EK4269"/>
    </row>
    <row r="4270" spans="1:141" s="116" customFormat="1">
      <c r="A4270" s="136"/>
      <c r="CM4270" s="111"/>
      <c r="CQ4270" s="111"/>
      <c r="EF4270"/>
      <c r="EG4270"/>
      <c r="EH4270"/>
      <c r="EI4270"/>
      <c r="EJ4270"/>
      <c r="EK4270"/>
    </row>
    <row r="4271" spans="1:141" s="116" customFormat="1">
      <c r="A4271" s="136"/>
      <c r="CM4271" s="111"/>
      <c r="CQ4271" s="111"/>
      <c r="EF4271"/>
      <c r="EG4271"/>
      <c r="EH4271"/>
      <c r="EI4271"/>
      <c r="EJ4271"/>
      <c r="EK4271"/>
    </row>
    <row r="4272" spans="1:141" s="116" customFormat="1">
      <c r="A4272" s="136"/>
      <c r="CM4272" s="111"/>
      <c r="CQ4272" s="111"/>
      <c r="EF4272"/>
      <c r="EG4272"/>
      <c r="EH4272"/>
      <c r="EI4272"/>
      <c r="EJ4272"/>
      <c r="EK4272"/>
    </row>
    <row r="4273" spans="1:141" s="116" customFormat="1">
      <c r="A4273" s="136"/>
      <c r="CM4273" s="111"/>
      <c r="CQ4273" s="111"/>
      <c r="EF4273"/>
      <c r="EG4273"/>
      <c r="EH4273"/>
      <c r="EI4273"/>
      <c r="EJ4273"/>
      <c r="EK4273"/>
    </row>
    <row r="4274" spans="1:141" s="116" customFormat="1">
      <c r="A4274" s="136"/>
      <c r="CM4274" s="111"/>
      <c r="CQ4274" s="111"/>
      <c r="EF4274"/>
      <c r="EG4274"/>
      <c r="EH4274"/>
      <c r="EI4274"/>
      <c r="EJ4274"/>
      <c r="EK4274"/>
    </row>
    <row r="4275" spans="1:141" s="116" customFormat="1">
      <c r="A4275" s="136"/>
      <c r="CM4275" s="111"/>
      <c r="CQ4275" s="111"/>
      <c r="EF4275"/>
      <c r="EG4275"/>
      <c r="EH4275"/>
      <c r="EI4275"/>
      <c r="EJ4275"/>
      <c r="EK4275"/>
    </row>
    <row r="4276" spans="1:141" s="116" customFormat="1">
      <c r="A4276" s="136"/>
      <c r="CM4276" s="111"/>
      <c r="CQ4276" s="111"/>
      <c r="EF4276"/>
      <c r="EG4276"/>
      <c r="EH4276"/>
      <c r="EI4276"/>
      <c r="EJ4276"/>
      <c r="EK4276"/>
    </row>
    <row r="4277" spans="1:141" s="116" customFormat="1">
      <c r="A4277" s="136"/>
      <c r="CM4277" s="111"/>
      <c r="CQ4277" s="111"/>
      <c r="EF4277"/>
      <c r="EG4277"/>
      <c r="EH4277"/>
      <c r="EI4277"/>
      <c r="EJ4277"/>
      <c r="EK4277"/>
    </row>
    <row r="4278" spans="1:141" s="116" customFormat="1">
      <c r="A4278" s="136"/>
      <c r="CM4278" s="111"/>
      <c r="CQ4278" s="111"/>
      <c r="EF4278"/>
      <c r="EG4278"/>
      <c r="EH4278"/>
      <c r="EI4278"/>
      <c r="EJ4278"/>
      <c r="EK4278"/>
    </row>
    <row r="4279" spans="1:141" s="116" customFormat="1">
      <c r="A4279" s="136"/>
      <c r="CM4279" s="111"/>
      <c r="CQ4279" s="111"/>
      <c r="EF4279"/>
      <c r="EG4279"/>
      <c r="EH4279"/>
      <c r="EI4279"/>
      <c r="EJ4279"/>
      <c r="EK4279"/>
    </row>
    <row r="4280" spans="1:141" s="116" customFormat="1">
      <c r="A4280" s="136"/>
      <c r="CM4280" s="111"/>
      <c r="CQ4280" s="111"/>
      <c r="EF4280"/>
      <c r="EG4280"/>
      <c r="EH4280"/>
      <c r="EI4280"/>
      <c r="EJ4280"/>
      <c r="EK4280"/>
    </row>
    <row r="4281" spans="1:141" s="116" customFormat="1">
      <c r="A4281" s="136"/>
      <c r="CM4281" s="111"/>
      <c r="CQ4281" s="111"/>
      <c r="EF4281"/>
      <c r="EG4281"/>
      <c r="EH4281"/>
      <c r="EI4281"/>
      <c r="EJ4281"/>
      <c r="EK4281"/>
    </row>
    <row r="4282" spans="1:141" s="116" customFormat="1">
      <c r="A4282" s="136"/>
      <c r="CM4282" s="111"/>
      <c r="CQ4282" s="111"/>
      <c r="EF4282"/>
      <c r="EG4282"/>
      <c r="EH4282"/>
      <c r="EI4282"/>
      <c r="EJ4282"/>
      <c r="EK4282"/>
    </row>
    <row r="4283" spans="1:141" s="116" customFormat="1">
      <c r="A4283" s="136"/>
      <c r="CM4283" s="111"/>
      <c r="CQ4283" s="111"/>
      <c r="EF4283"/>
      <c r="EG4283"/>
      <c r="EH4283"/>
      <c r="EI4283"/>
      <c r="EJ4283"/>
      <c r="EK4283"/>
    </row>
    <row r="4284" spans="1:141" s="116" customFormat="1">
      <c r="A4284" s="136"/>
      <c r="CM4284" s="111"/>
      <c r="CQ4284" s="111"/>
      <c r="EF4284"/>
      <c r="EG4284"/>
      <c r="EH4284"/>
      <c r="EI4284"/>
      <c r="EJ4284"/>
      <c r="EK4284"/>
    </row>
    <row r="4285" spans="1:141" s="116" customFormat="1">
      <c r="A4285" s="136"/>
      <c r="CM4285" s="111"/>
      <c r="CQ4285" s="111"/>
      <c r="EF4285"/>
      <c r="EG4285"/>
      <c r="EH4285"/>
      <c r="EI4285"/>
      <c r="EJ4285"/>
      <c r="EK4285"/>
    </row>
    <row r="4286" spans="1:141" s="116" customFormat="1">
      <c r="A4286" s="136"/>
      <c r="CM4286" s="111"/>
      <c r="CQ4286" s="111"/>
      <c r="EF4286"/>
      <c r="EG4286"/>
      <c r="EH4286"/>
      <c r="EI4286"/>
      <c r="EJ4286"/>
      <c r="EK4286"/>
    </row>
    <row r="4287" spans="1:141" s="116" customFormat="1">
      <c r="A4287" s="136"/>
      <c r="CM4287" s="111"/>
      <c r="CQ4287" s="111"/>
      <c r="EF4287"/>
      <c r="EG4287"/>
      <c r="EH4287"/>
      <c r="EI4287"/>
      <c r="EJ4287"/>
      <c r="EK4287"/>
    </row>
    <row r="4288" spans="1:141" s="116" customFormat="1">
      <c r="A4288" s="136"/>
      <c r="CM4288" s="111"/>
      <c r="CQ4288" s="111"/>
      <c r="EF4288"/>
      <c r="EG4288"/>
      <c r="EH4288"/>
      <c r="EI4288"/>
      <c r="EJ4288"/>
      <c r="EK4288"/>
    </row>
    <row r="4289" spans="1:141" s="116" customFormat="1">
      <c r="A4289" s="136"/>
      <c r="CM4289" s="111"/>
      <c r="CQ4289" s="111"/>
      <c r="EF4289"/>
      <c r="EG4289"/>
      <c r="EH4289"/>
      <c r="EI4289"/>
      <c r="EJ4289"/>
      <c r="EK4289"/>
    </row>
    <row r="4290" spans="1:141" s="116" customFormat="1">
      <c r="A4290" s="136"/>
      <c r="CM4290" s="111"/>
      <c r="CQ4290" s="111"/>
      <c r="EF4290"/>
      <c r="EG4290"/>
      <c r="EH4290"/>
      <c r="EI4290"/>
      <c r="EJ4290"/>
      <c r="EK4290"/>
    </row>
    <row r="4291" spans="1:141" s="116" customFormat="1">
      <c r="A4291" s="136"/>
      <c r="CM4291" s="111"/>
      <c r="CQ4291" s="111"/>
      <c r="EF4291"/>
      <c r="EG4291"/>
      <c r="EH4291"/>
      <c r="EI4291"/>
      <c r="EJ4291"/>
      <c r="EK4291"/>
    </row>
    <row r="4292" spans="1:141" s="116" customFormat="1">
      <c r="A4292" s="136"/>
      <c r="CM4292" s="111"/>
      <c r="CQ4292" s="111"/>
      <c r="EF4292"/>
      <c r="EG4292"/>
      <c r="EH4292"/>
      <c r="EI4292"/>
      <c r="EJ4292"/>
      <c r="EK4292"/>
    </row>
    <row r="4293" spans="1:141" s="116" customFormat="1">
      <c r="A4293" s="136"/>
      <c r="CM4293" s="111"/>
      <c r="CQ4293" s="111"/>
      <c r="EF4293"/>
      <c r="EG4293"/>
      <c r="EH4293"/>
      <c r="EI4293"/>
      <c r="EJ4293"/>
      <c r="EK4293"/>
    </row>
    <row r="4294" spans="1:141" s="116" customFormat="1">
      <c r="A4294" s="136"/>
      <c r="CM4294" s="111"/>
      <c r="CQ4294" s="111"/>
      <c r="EF4294"/>
      <c r="EG4294"/>
      <c r="EH4294"/>
      <c r="EI4294"/>
      <c r="EJ4294"/>
      <c r="EK4294"/>
    </row>
    <row r="4295" spans="1:141" s="116" customFormat="1">
      <c r="A4295" s="136"/>
      <c r="CM4295" s="111"/>
      <c r="CQ4295" s="111"/>
      <c r="EF4295"/>
      <c r="EG4295"/>
      <c r="EH4295"/>
      <c r="EI4295"/>
      <c r="EJ4295"/>
      <c r="EK4295"/>
    </row>
    <row r="4296" spans="1:141" s="116" customFormat="1">
      <c r="A4296" s="136"/>
      <c r="CM4296" s="111"/>
      <c r="CQ4296" s="111"/>
      <c r="EF4296"/>
      <c r="EG4296"/>
      <c r="EH4296"/>
      <c r="EI4296"/>
      <c r="EJ4296"/>
      <c r="EK4296"/>
    </row>
    <row r="4297" spans="1:141" s="116" customFormat="1">
      <c r="A4297" s="136"/>
      <c r="CM4297" s="111"/>
      <c r="CQ4297" s="111"/>
      <c r="EF4297"/>
      <c r="EG4297"/>
      <c r="EH4297"/>
      <c r="EI4297"/>
      <c r="EJ4297"/>
      <c r="EK4297"/>
    </row>
    <row r="4298" spans="1:141" s="116" customFormat="1">
      <c r="A4298" s="136"/>
      <c r="CM4298" s="111"/>
      <c r="CQ4298" s="111"/>
      <c r="EF4298"/>
      <c r="EG4298"/>
      <c r="EH4298"/>
      <c r="EI4298"/>
      <c r="EJ4298"/>
      <c r="EK4298"/>
    </row>
    <row r="4299" spans="1:141" s="116" customFormat="1">
      <c r="A4299" s="136"/>
      <c r="CM4299" s="111"/>
      <c r="CQ4299" s="111"/>
      <c r="EF4299"/>
      <c r="EG4299"/>
      <c r="EH4299"/>
      <c r="EI4299"/>
      <c r="EJ4299"/>
      <c r="EK4299"/>
    </row>
    <row r="4300" spans="1:141" s="116" customFormat="1">
      <c r="A4300" s="136"/>
      <c r="CM4300" s="111"/>
      <c r="CQ4300" s="111"/>
      <c r="EF4300"/>
      <c r="EG4300"/>
      <c r="EH4300"/>
      <c r="EI4300"/>
      <c r="EJ4300"/>
      <c r="EK4300"/>
    </row>
    <row r="4301" spans="1:141" s="116" customFormat="1">
      <c r="A4301" s="136"/>
      <c r="CM4301" s="111"/>
      <c r="CQ4301" s="111"/>
      <c r="EF4301"/>
      <c r="EG4301"/>
      <c r="EH4301"/>
      <c r="EI4301"/>
      <c r="EJ4301"/>
      <c r="EK4301"/>
    </row>
    <row r="4302" spans="1:141" s="116" customFormat="1">
      <c r="A4302" s="136"/>
      <c r="CM4302" s="111"/>
      <c r="CQ4302" s="111"/>
      <c r="EF4302"/>
      <c r="EG4302"/>
      <c r="EH4302"/>
      <c r="EI4302"/>
      <c r="EJ4302"/>
      <c r="EK4302"/>
    </row>
    <row r="4303" spans="1:141" s="116" customFormat="1">
      <c r="A4303" s="136"/>
      <c r="CM4303" s="111"/>
      <c r="CQ4303" s="111"/>
      <c r="EF4303"/>
      <c r="EG4303"/>
      <c r="EH4303"/>
      <c r="EI4303"/>
      <c r="EJ4303"/>
      <c r="EK4303"/>
    </row>
    <row r="4304" spans="1:141" s="116" customFormat="1">
      <c r="A4304" s="136"/>
      <c r="CM4304" s="111"/>
      <c r="CQ4304" s="111"/>
      <c r="EF4304"/>
      <c r="EG4304"/>
      <c r="EH4304"/>
      <c r="EI4304"/>
      <c r="EJ4304"/>
      <c r="EK4304"/>
    </row>
    <row r="4305" spans="1:141" s="116" customFormat="1">
      <c r="A4305" s="136"/>
      <c r="CM4305" s="111"/>
      <c r="CQ4305" s="111"/>
      <c r="EF4305"/>
      <c r="EG4305"/>
      <c r="EH4305"/>
      <c r="EI4305"/>
      <c r="EJ4305"/>
      <c r="EK4305"/>
    </row>
    <row r="4306" spans="1:141" s="116" customFormat="1">
      <c r="A4306" s="136"/>
      <c r="CM4306" s="111"/>
      <c r="CQ4306" s="111"/>
      <c r="EF4306"/>
      <c r="EG4306"/>
      <c r="EH4306"/>
      <c r="EI4306"/>
      <c r="EJ4306"/>
      <c r="EK4306"/>
    </row>
    <row r="4307" spans="1:141" s="116" customFormat="1">
      <c r="A4307" s="136"/>
      <c r="CM4307" s="111"/>
      <c r="CQ4307" s="111"/>
      <c r="EF4307"/>
      <c r="EG4307"/>
      <c r="EH4307"/>
      <c r="EI4307"/>
      <c r="EJ4307"/>
      <c r="EK4307"/>
    </row>
    <row r="4308" spans="1:141" s="116" customFormat="1">
      <c r="A4308" s="136"/>
      <c r="CM4308" s="111"/>
      <c r="CQ4308" s="111"/>
      <c r="EF4308"/>
      <c r="EG4308"/>
      <c r="EH4308"/>
      <c r="EI4308"/>
      <c r="EJ4308"/>
      <c r="EK4308"/>
    </row>
    <row r="4309" spans="1:141" s="116" customFormat="1">
      <c r="A4309" s="136"/>
      <c r="CM4309" s="111"/>
      <c r="CQ4309" s="111"/>
      <c r="EF4309"/>
      <c r="EG4309"/>
      <c r="EH4309"/>
      <c r="EI4309"/>
      <c r="EJ4309"/>
      <c r="EK4309"/>
    </row>
    <row r="4310" spans="1:141" s="116" customFormat="1">
      <c r="A4310" s="136"/>
      <c r="CM4310" s="111"/>
      <c r="CQ4310" s="111"/>
      <c r="EF4310"/>
      <c r="EG4310"/>
      <c r="EH4310"/>
      <c r="EI4310"/>
      <c r="EJ4310"/>
      <c r="EK4310"/>
    </row>
    <row r="4311" spans="1:141" s="116" customFormat="1">
      <c r="A4311" s="136"/>
      <c r="CM4311" s="111"/>
      <c r="CQ4311" s="111"/>
      <c r="EF4311"/>
      <c r="EG4311"/>
      <c r="EH4311"/>
      <c r="EI4311"/>
      <c r="EJ4311"/>
      <c r="EK4311"/>
    </row>
    <row r="4312" spans="1:141" s="116" customFormat="1">
      <c r="A4312" s="136"/>
      <c r="CM4312" s="111"/>
      <c r="CQ4312" s="111"/>
      <c r="EF4312"/>
      <c r="EG4312"/>
      <c r="EH4312"/>
      <c r="EI4312"/>
      <c r="EJ4312"/>
      <c r="EK4312"/>
    </row>
    <row r="4313" spans="1:141" s="116" customFormat="1">
      <c r="A4313" s="136"/>
      <c r="CM4313" s="111"/>
      <c r="CQ4313" s="111"/>
      <c r="EF4313"/>
      <c r="EG4313"/>
      <c r="EH4313"/>
      <c r="EI4313"/>
      <c r="EJ4313"/>
      <c r="EK4313"/>
    </row>
    <row r="4314" spans="1:141" s="116" customFormat="1">
      <c r="A4314" s="136"/>
      <c r="CM4314" s="111"/>
      <c r="CQ4314" s="111"/>
      <c r="EF4314"/>
      <c r="EG4314"/>
      <c r="EH4314"/>
      <c r="EI4314"/>
      <c r="EJ4314"/>
      <c r="EK4314"/>
    </row>
    <row r="4315" spans="1:141" s="116" customFormat="1">
      <c r="A4315" s="136"/>
      <c r="CM4315" s="111"/>
      <c r="CQ4315" s="111"/>
      <c r="EF4315"/>
      <c r="EG4315"/>
      <c r="EH4315"/>
      <c r="EI4315"/>
      <c r="EJ4315"/>
      <c r="EK4315"/>
    </row>
    <row r="4316" spans="1:141" s="116" customFormat="1">
      <c r="A4316" s="136"/>
      <c r="CM4316" s="111"/>
      <c r="CQ4316" s="111"/>
      <c r="EF4316"/>
      <c r="EG4316"/>
      <c r="EH4316"/>
      <c r="EI4316"/>
      <c r="EJ4316"/>
      <c r="EK4316"/>
    </row>
    <row r="4317" spans="1:141" s="116" customFormat="1">
      <c r="A4317" s="136"/>
      <c r="CM4317" s="111"/>
      <c r="CQ4317" s="111"/>
      <c r="EF4317"/>
      <c r="EG4317"/>
      <c r="EH4317"/>
      <c r="EI4317"/>
      <c r="EJ4317"/>
      <c r="EK4317"/>
    </row>
    <row r="4318" spans="1:141" s="116" customFormat="1">
      <c r="A4318" s="136"/>
      <c r="CM4318" s="111"/>
      <c r="CQ4318" s="111"/>
      <c r="EF4318"/>
      <c r="EG4318"/>
      <c r="EH4318"/>
      <c r="EI4318"/>
      <c r="EJ4318"/>
      <c r="EK4318"/>
    </row>
    <row r="4319" spans="1:141" s="116" customFormat="1">
      <c r="A4319" s="136"/>
      <c r="CM4319" s="111"/>
      <c r="CQ4319" s="111"/>
      <c r="EF4319"/>
      <c r="EG4319"/>
      <c r="EH4319"/>
      <c r="EI4319"/>
      <c r="EJ4319"/>
      <c r="EK4319"/>
    </row>
    <row r="4320" spans="1:141" s="116" customFormat="1">
      <c r="A4320" s="136"/>
      <c r="CM4320" s="111"/>
      <c r="CQ4320" s="111"/>
      <c r="EF4320"/>
      <c r="EG4320"/>
      <c r="EH4320"/>
      <c r="EI4320"/>
      <c r="EJ4320"/>
      <c r="EK4320"/>
    </row>
    <row r="4321" spans="1:141" s="116" customFormat="1">
      <c r="A4321" s="136"/>
      <c r="CM4321" s="111"/>
      <c r="CQ4321" s="111"/>
      <c r="EF4321"/>
      <c r="EG4321"/>
      <c r="EH4321"/>
      <c r="EI4321"/>
      <c r="EJ4321"/>
      <c r="EK4321"/>
    </row>
    <row r="4322" spans="1:141" s="116" customFormat="1">
      <c r="A4322" s="136"/>
      <c r="CM4322" s="111"/>
      <c r="CQ4322" s="111"/>
      <c r="EF4322"/>
      <c r="EG4322"/>
      <c r="EH4322"/>
      <c r="EI4322"/>
      <c r="EJ4322"/>
      <c r="EK4322"/>
    </row>
    <row r="4323" spans="1:141" s="116" customFormat="1">
      <c r="A4323" s="136"/>
      <c r="CM4323" s="111"/>
      <c r="CQ4323" s="111"/>
      <c r="EF4323"/>
      <c r="EG4323"/>
      <c r="EH4323"/>
      <c r="EI4323"/>
      <c r="EJ4323"/>
      <c r="EK4323"/>
    </row>
    <row r="4324" spans="1:141" s="116" customFormat="1">
      <c r="A4324" s="136"/>
      <c r="CM4324" s="111"/>
      <c r="CQ4324" s="111"/>
      <c r="EF4324"/>
      <c r="EG4324"/>
      <c r="EH4324"/>
      <c r="EI4324"/>
      <c r="EJ4324"/>
      <c r="EK4324"/>
    </row>
    <row r="4325" spans="1:141" s="116" customFormat="1">
      <c r="A4325" s="136"/>
      <c r="CM4325" s="111"/>
      <c r="CQ4325" s="111"/>
      <c r="EF4325"/>
      <c r="EG4325"/>
      <c r="EH4325"/>
      <c r="EI4325"/>
      <c r="EJ4325"/>
      <c r="EK4325"/>
    </row>
    <row r="4326" spans="1:141" s="116" customFormat="1">
      <c r="A4326" s="136"/>
      <c r="CM4326" s="111"/>
      <c r="CQ4326" s="111"/>
      <c r="EF4326"/>
      <c r="EG4326"/>
      <c r="EH4326"/>
      <c r="EI4326"/>
      <c r="EJ4326"/>
      <c r="EK4326"/>
    </row>
    <row r="4327" spans="1:141" s="116" customFormat="1">
      <c r="A4327" s="136"/>
      <c r="CM4327" s="111"/>
      <c r="CQ4327" s="111"/>
      <c r="EF4327"/>
      <c r="EG4327"/>
      <c r="EH4327"/>
      <c r="EI4327"/>
      <c r="EJ4327"/>
      <c r="EK4327"/>
    </row>
    <row r="4328" spans="1:141" s="116" customFormat="1">
      <c r="A4328" s="136"/>
      <c r="CM4328" s="111"/>
      <c r="CQ4328" s="111"/>
      <c r="EF4328"/>
      <c r="EG4328"/>
      <c r="EH4328"/>
      <c r="EI4328"/>
      <c r="EJ4328"/>
      <c r="EK4328"/>
    </row>
    <row r="4329" spans="1:141" s="116" customFormat="1">
      <c r="A4329" s="136"/>
      <c r="CM4329" s="111"/>
      <c r="CQ4329" s="111"/>
      <c r="EF4329"/>
      <c r="EG4329"/>
      <c r="EH4329"/>
      <c r="EI4329"/>
      <c r="EJ4329"/>
      <c r="EK4329"/>
    </row>
    <row r="4330" spans="1:141" s="116" customFormat="1">
      <c r="A4330" s="136"/>
      <c r="CM4330" s="111"/>
      <c r="CQ4330" s="111"/>
      <c r="EF4330"/>
      <c r="EG4330"/>
      <c r="EH4330"/>
      <c r="EI4330"/>
      <c r="EJ4330"/>
      <c r="EK4330"/>
    </row>
    <row r="4331" spans="1:141" s="116" customFormat="1">
      <c r="A4331" s="136"/>
      <c r="CM4331" s="111"/>
      <c r="CQ4331" s="111"/>
      <c r="EF4331"/>
      <c r="EG4331"/>
      <c r="EH4331"/>
      <c r="EI4331"/>
      <c r="EJ4331"/>
      <c r="EK4331"/>
    </row>
    <row r="4332" spans="1:141" s="116" customFormat="1">
      <c r="A4332" s="136"/>
      <c r="CM4332" s="111"/>
      <c r="CQ4332" s="111"/>
      <c r="EF4332"/>
      <c r="EG4332"/>
      <c r="EH4332"/>
      <c r="EI4332"/>
      <c r="EJ4332"/>
      <c r="EK4332"/>
    </row>
    <row r="4333" spans="1:141" s="116" customFormat="1">
      <c r="A4333" s="136"/>
      <c r="CM4333" s="111"/>
      <c r="CQ4333" s="111"/>
      <c r="EF4333"/>
      <c r="EG4333"/>
      <c r="EH4333"/>
      <c r="EI4333"/>
      <c r="EJ4333"/>
      <c r="EK4333"/>
    </row>
    <row r="4334" spans="1:141" s="116" customFormat="1">
      <c r="A4334" s="136"/>
      <c r="CM4334" s="111"/>
      <c r="CQ4334" s="111"/>
      <c r="EF4334"/>
      <c r="EG4334"/>
      <c r="EH4334"/>
      <c r="EI4334"/>
      <c r="EJ4334"/>
      <c r="EK4334"/>
    </row>
    <row r="4335" spans="1:141" s="116" customFormat="1">
      <c r="A4335" s="136"/>
      <c r="CM4335" s="111"/>
      <c r="CQ4335" s="111"/>
      <c r="EF4335"/>
      <c r="EG4335"/>
      <c r="EH4335"/>
      <c r="EI4335"/>
      <c r="EJ4335"/>
      <c r="EK4335"/>
    </row>
    <row r="4336" spans="1:141" s="116" customFormat="1">
      <c r="A4336" s="136"/>
      <c r="CM4336" s="111"/>
      <c r="CQ4336" s="111"/>
      <c r="EF4336"/>
      <c r="EG4336"/>
      <c r="EH4336"/>
      <c r="EI4336"/>
      <c r="EJ4336"/>
      <c r="EK4336"/>
    </row>
    <row r="4337" spans="1:141" s="116" customFormat="1">
      <c r="A4337" s="136"/>
      <c r="CM4337" s="111"/>
      <c r="CQ4337" s="111"/>
      <c r="EF4337"/>
      <c r="EG4337"/>
      <c r="EH4337"/>
      <c r="EI4337"/>
      <c r="EJ4337"/>
      <c r="EK4337"/>
    </row>
    <row r="4338" spans="1:141" s="116" customFormat="1">
      <c r="A4338" s="136"/>
      <c r="CM4338" s="111"/>
      <c r="CQ4338" s="111"/>
      <c r="EF4338"/>
      <c r="EG4338"/>
      <c r="EH4338"/>
      <c r="EI4338"/>
      <c r="EJ4338"/>
      <c r="EK4338"/>
    </row>
    <row r="4339" spans="1:141" s="116" customFormat="1">
      <c r="A4339" s="136"/>
      <c r="CM4339" s="111"/>
      <c r="CQ4339" s="111"/>
      <c r="EF4339"/>
      <c r="EG4339"/>
      <c r="EH4339"/>
      <c r="EI4339"/>
      <c r="EJ4339"/>
      <c r="EK4339"/>
    </row>
    <row r="4340" spans="1:141" s="116" customFormat="1">
      <c r="A4340" s="136"/>
      <c r="CM4340" s="111"/>
      <c r="CQ4340" s="111"/>
      <c r="EF4340"/>
      <c r="EG4340"/>
      <c r="EH4340"/>
      <c r="EI4340"/>
      <c r="EJ4340"/>
      <c r="EK4340"/>
    </row>
    <row r="4341" spans="1:141" s="116" customFormat="1">
      <c r="A4341" s="136"/>
      <c r="CM4341" s="111"/>
      <c r="CQ4341" s="111"/>
      <c r="EF4341"/>
      <c r="EG4341"/>
      <c r="EH4341"/>
      <c r="EI4341"/>
      <c r="EJ4341"/>
      <c r="EK4341"/>
    </row>
    <row r="4342" spans="1:141" s="116" customFormat="1">
      <c r="A4342" s="136"/>
      <c r="CM4342" s="111"/>
      <c r="CQ4342" s="111"/>
      <c r="EF4342"/>
      <c r="EG4342"/>
      <c r="EH4342"/>
      <c r="EI4342"/>
      <c r="EJ4342"/>
      <c r="EK4342"/>
    </row>
    <row r="4343" spans="1:141" s="116" customFormat="1">
      <c r="A4343" s="136"/>
      <c r="CM4343" s="111"/>
      <c r="CQ4343" s="111"/>
      <c r="EF4343"/>
      <c r="EG4343"/>
      <c r="EH4343"/>
      <c r="EI4343"/>
      <c r="EJ4343"/>
      <c r="EK4343"/>
    </row>
    <row r="4344" spans="1:141" s="116" customFormat="1">
      <c r="A4344" s="136"/>
      <c r="CM4344" s="111"/>
      <c r="CQ4344" s="111"/>
      <c r="EF4344"/>
      <c r="EG4344"/>
      <c r="EH4344"/>
      <c r="EI4344"/>
      <c r="EJ4344"/>
      <c r="EK4344"/>
    </row>
    <row r="4345" spans="1:141" s="116" customFormat="1">
      <c r="A4345" s="136"/>
      <c r="CM4345" s="111"/>
      <c r="CQ4345" s="111"/>
      <c r="EF4345"/>
      <c r="EG4345"/>
      <c r="EH4345"/>
      <c r="EI4345"/>
      <c r="EJ4345"/>
      <c r="EK4345"/>
    </row>
    <row r="4346" spans="1:141" s="116" customFormat="1">
      <c r="A4346" s="136"/>
      <c r="CM4346" s="111"/>
      <c r="CQ4346" s="111"/>
      <c r="EF4346"/>
      <c r="EG4346"/>
      <c r="EH4346"/>
      <c r="EI4346"/>
      <c r="EJ4346"/>
      <c r="EK4346"/>
    </row>
    <row r="4347" spans="1:141" s="116" customFormat="1">
      <c r="A4347" s="136"/>
      <c r="CM4347" s="111"/>
      <c r="CQ4347" s="111"/>
      <c r="EF4347"/>
      <c r="EG4347"/>
      <c r="EH4347"/>
      <c r="EI4347"/>
      <c r="EJ4347"/>
      <c r="EK4347"/>
    </row>
    <row r="4348" spans="1:141" s="116" customFormat="1">
      <c r="A4348" s="136"/>
      <c r="CM4348" s="111"/>
      <c r="CQ4348" s="111"/>
      <c r="EF4348"/>
      <c r="EG4348"/>
      <c r="EH4348"/>
      <c r="EI4348"/>
      <c r="EJ4348"/>
      <c r="EK4348"/>
    </row>
    <row r="4349" spans="1:141" s="116" customFormat="1">
      <c r="A4349" s="136"/>
      <c r="CM4349" s="111"/>
      <c r="CQ4349" s="111"/>
      <c r="EF4349"/>
      <c r="EG4349"/>
      <c r="EH4349"/>
      <c r="EI4349"/>
      <c r="EJ4349"/>
      <c r="EK4349"/>
    </row>
    <row r="4350" spans="1:141" s="116" customFormat="1">
      <c r="A4350" s="136"/>
      <c r="CM4350" s="111"/>
      <c r="CQ4350" s="111"/>
      <c r="EF4350"/>
      <c r="EG4350"/>
      <c r="EH4350"/>
      <c r="EI4350"/>
      <c r="EJ4350"/>
      <c r="EK4350"/>
    </row>
    <row r="4351" spans="1:141" s="116" customFormat="1">
      <c r="A4351" s="136"/>
      <c r="CM4351" s="111"/>
      <c r="CQ4351" s="111"/>
      <c r="EF4351"/>
      <c r="EG4351"/>
      <c r="EH4351"/>
      <c r="EI4351"/>
      <c r="EJ4351"/>
      <c r="EK4351"/>
    </row>
    <row r="4352" spans="1:141" s="116" customFormat="1">
      <c r="A4352" s="136"/>
      <c r="CM4352" s="111"/>
      <c r="CQ4352" s="111"/>
      <c r="EF4352"/>
      <c r="EG4352"/>
      <c r="EH4352"/>
      <c r="EI4352"/>
      <c r="EJ4352"/>
      <c r="EK4352"/>
    </row>
    <row r="4353" spans="1:141" s="116" customFormat="1">
      <c r="A4353" s="136"/>
      <c r="CM4353" s="111"/>
      <c r="CQ4353" s="111"/>
      <c r="EF4353"/>
      <c r="EG4353"/>
      <c r="EH4353"/>
      <c r="EI4353"/>
      <c r="EJ4353"/>
      <c r="EK4353"/>
    </row>
    <row r="4354" spans="1:141" s="116" customFormat="1">
      <c r="A4354" s="136"/>
      <c r="CM4354" s="111"/>
      <c r="CQ4354" s="111"/>
      <c r="EF4354"/>
      <c r="EG4354"/>
      <c r="EH4354"/>
      <c r="EI4354"/>
      <c r="EJ4354"/>
      <c r="EK4354"/>
    </row>
    <row r="4355" spans="1:141" s="116" customFormat="1">
      <c r="A4355" s="136"/>
      <c r="CM4355" s="111"/>
      <c r="CQ4355" s="111"/>
      <c r="EF4355"/>
      <c r="EG4355"/>
      <c r="EH4355"/>
      <c r="EI4355"/>
      <c r="EJ4355"/>
      <c r="EK4355"/>
    </row>
    <row r="4356" spans="1:141" s="116" customFormat="1">
      <c r="A4356" s="136"/>
      <c r="CM4356" s="111"/>
      <c r="CQ4356" s="111"/>
      <c r="EF4356"/>
      <c r="EG4356"/>
      <c r="EH4356"/>
      <c r="EI4356"/>
      <c r="EJ4356"/>
      <c r="EK4356"/>
    </row>
    <row r="4357" spans="1:141" s="116" customFormat="1">
      <c r="A4357" s="136"/>
      <c r="CM4357" s="111"/>
      <c r="CQ4357" s="111"/>
      <c r="EF4357"/>
      <c r="EG4357"/>
      <c r="EH4357"/>
      <c r="EI4357"/>
      <c r="EJ4357"/>
      <c r="EK4357"/>
    </row>
    <row r="4358" spans="1:141" s="116" customFormat="1">
      <c r="A4358" s="136"/>
      <c r="CM4358" s="111"/>
      <c r="CQ4358" s="111"/>
      <c r="EF4358"/>
      <c r="EG4358"/>
      <c r="EH4358"/>
      <c r="EI4358"/>
      <c r="EJ4358"/>
      <c r="EK4358"/>
    </row>
    <row r="4359" spans="1:141" s="116" customFormat="1">
      <c r="A4359" s="136"/>
      <c r="CM4359" s="111"/>
      <c r="CQ4359" s="111"/>
      <c r="EF4359"/>
      <c r="EG4359"/>
      <c r="EH4359"/>
      <c r="EI4359"/>
      <c r="EJ4359"/>
      <c r="EK4359"/>
    </row>
    <row r="4360" spans="1:141" s="116" customFormat="1">
      <c r="A4360" s="136"/>
      <c r="CM4360" s="111"/>
      <c r="CQ4360" s="111"/>
      <c r="EF4360"/>
      <c r="EG4360"/>
      <c r="EH4360"/>
      <c r="EI4360"/>
      <c r="EJ4360"/>
      <c r="EK4360"/>
    </row>
    <row r="4361" spans="1:141" s="116" customFormat="1">
      <c r="A4361" s="136"/>
      <c r="CM4361" s="111"/>
      <c r="CQ4361" s="111"/>
      <c r="EF4361"/>
      <c r="EG4361"/>
      <c r="EH4361"/>
      <c r="EI4361"/>
      <c r="EJ4361"/>
      <c r="EK4361"/>
    </row>
    <row r="4362" spans="1:141" s="116" customFormat="1">
      <c r="A4362" s="136"/>
      <c r="CM4362" s="111"/>
      <c r="CQ4362" s="111"/>
      <c r="EF4362"/>
      <c r="EG4362"/>
      <c r="EH4362"/>
      <c r="EI4362"/>
      <c r="EJ4362"/>
      <c r="EK4362"/>
    </row>
    <row r="4363" spans="1:141" s="116" customFormat="1">
      <c r="A4363" s="136"/>
      <c r="CM4363" s="111"/>
      <c r="CQ4363" s="111"/>
      <c r="EF4363"/>
      <c r="EG4363"/>
      <c r="EH4363"/>
      <c r="EI4363"/>
      <c r="EJ4363"/>
      <c r="EK4363"/>
    </row>
    <row r="4364" spans="1:141" s="116" customFormat="1">
      <c r="A4364" s="136"/>
      <c r="CM4364" s="111"/>
      <c r="CQ4364" s="111"/>
      <c r="EF4364"/>
      <c r="EG4364"/>
      <c r="EH4364"/>
      <c r="EI4364"/>
      <c r="EJ4364"/>
      <c r="EK4364"/>
    </row>
    <row r="4365" spans="1:141" s="116" customFormat="1">
      <c r="A4365" s="136"/>
      <c r="CM4365" s="111"/>
      <c r="CQ4365" s="111"/>
      <c r="EF4365"/>
      <c r="EG4365"/>
      <c r="EH4365"/>
      <c r="EI4365"/>
      <c r="EJ4365"/>
      <c r="EK4365"/>
    </row>
    <row r="4366" spans="1:141" s="116" customFormat="1">
      <c r="A4366" s="136"/>
      <c r="CM4366" s="111"/>
      <c r="CQ4366" s="111"/>
      <c r="EF4366"/>
      <c r="EG4366"/>
      <c r="EH4366"/>
      <c r="EI4366"/>
      <c r="EJ4366"/>
      <c r="EK4366"/>
    </row>
    <row r="4367" spans="1:141" s="116" customFormat="1">
      <c r="A4367" s="136"/>
      <c r="CM4367" s="111"/>
      <c r="CQ4367" s="111"/>
      <c r="EF4367"/>
      <c r="EG4367"/>
      <c r="EH4367"/>
      <c r="EI4367"/>
      <c r="EJ4367"/>
      <c r="EK4367"/>
    </row>
    <row r="4368" spans="1:141" s="116" customFormat="1">
      <c r="A4368" s="136"/>
      <c r="CM4368" s="111"/>
      <c r="CQ4368" s="111"/>
      <c r="EF4368"/>
      <c r="EG4368"/>
      <c r="EH4368"/>
      <c r="EI4368"/>
      <c r="EJ4368"/>
      <c r="EK4368"/>
    </row>
    <row r="4369" spans="1:141" s="116" customFormat="1">
      <c r="A4369" s="136"/>
      <c r="CM4369" s="111"/>
      <c r="CQ4369" s="111"/>
      <c r="EF4369"/>
      <c r="EG4369"/>
      <c r="EH4369"/>
      <c r="EI4369"/>
      <c r="EJ4369"/>
      <c r="EK4369"/>
    </row>
    <row r="4370" spans="1:141" s="116" customFormat="1">
      <c r="A4370" s="136"/>
      <c r="CM4370" s="111"/>
      <c r="CQ4370" s="111"/>
      <c r="EF4370"/>
      <c r="EG4370"/>
      <c r="EH4370"/>
      <c r="EI4370"/>
      <c r="EJ4370"/>
      <c r="EK4370"/>
    </row>
    <row r="4371" spans="1:141" s="116" customFormat="1">
      <c r="A4371" s="136"/>
      <c r="CM4371" s="111"/>
      <c r="CQ4371" s="111"/>
      <c r="EF4371"/>
      <c r="EG4371"/>
      <c r="EH4371"/>
      <c r="EI4371"/>
      <c r="EJ4371"/>
      <c r="EK4371"/>
    </row>
    <row r="4372" spans="1:141" s="116" customFormat="1">
      <c r="A4372" s="136"/>
      <c r="CM4372" s="111"/>
      <c r="CQ4372" s="111"/>
      <c r="EF4372"/>
      <c r="EG4372"/>
      <c r="EH4372"/>
      <c r="EI4372"/>
      <c r="EJ4372"/>
      <c r="EK4372"/>
    </row>
    <row r="4373" spans="1:141" s="116" customFormat="1">
      <c r="A4373" s="136"/>
      <c r="CM4373" s="111"/>
      <c r="CQ4373" s="111"/>
      <c r="EF4373"/>
      <c r="EG4373"/>
      <c r="EH4373"/>
      <c r="EI4373"/>
      <c r="EJ4373"/>
      <c r="EK4373"/>
    </row>
    <row r="4374" spans="1:141" s="116" customFormat="1">
      <c r="A4374" s="136"/>
      <c r="CM4374" s="111"/>
      <c r="CQ4374" s="111"/>
      <c r="EF4374"/>
      <c r="EG4374"/>
      <c r="EH4374"/>
      <c r="EI4374"/>
      <c r="EJ4374"/>
      <c r="EK4374"/>
    </row>
    <row r="4375" spans="1:141" s="116" customFormat="1">
      <c r="A4375" s="136"/>
      <c r="CM4375" s="111"/>
      <c r="CQ4375" s="111"/>
      <c r="EF4375"/>
      <c r="EG4375"/>
      <c r="EH4375"/>
      <c r="EI4375"/>
      <c r="EJ4375"/>
      <c r="EK4375"/>
    </row>
    <row r="4376" spans="1:141" s="116" customFormat="1">
      <c r="A4376" s="136"/>
      <c r="CM4376" s="111"/>
      <c r="CQ4376" s="111"/>
      <c r="EF4376"/>
      <c r="EG4376"/>
      <c r="EH4376"/>
      <c r="EI4376"/>
      <c r="EJ4376"/>
      <c r="EK4376"/>
    </row>
    <row r="4377" spans="1:141" s="116" customFormat="1">
      <c r="A4377" s="136"/>
      <c r="CM4377" s="111"/>
      <c r="CQ4377" s="111"/>
      <c r="EF4377"/>
      <c r="EG4377"/>
      <c r="EH4377"/>
      <c r="EI4377"/>
      <c r="EJ4377"/>
      <c r="EK4377"/>
    </row>
    <row r="4378" spans="1:141" s="116" customFormat="1">
      <c r="A4378" s="136"/>
      <c r="CM4378" s="111"/>
      <c r="CQ4378" s="111"/>
      <c r="EF4378"/>
      <c r="EG4378"/>
      <c r="EH4378"/>
      <c r="EI4378"/>
      <c r="EJ4378"/>
      <c r="EK4378"/>
    </row>
    <row r="4379" spans="1:141" s="116" customFormat="1">
      <c r="A4379" s="136"/>
      <c r="CM4379" s="111"/>
      <c r="CQ4379" s="111"/>
      <c r="EF4379"/>
      <c r="EG4379"/>
      <c r="EH4379"/>
      <c r="EI4379"/>
      <c r="EJ4379"/>
      <c r="EK4379"/>
    </row>
    <row r="4380" spans="1:141" s="116" customFormat="1">
      <c r="A4380" s="136"/>
      <c r="CM4380" s="111"/>
      <c r="CQ4380" s="111"/>
      <c r="EF4380"/>
      <c r="EG4380"/>
      <c r="EH4380"/>
      <c r="EI4380"/>
      <c r="EJ4380"/>
      <c r="EK4380"/>
    </row>
    <row r="4381" spans="1:141" s="116" customFormat="1">
      <c r="A4381" s="136"/>
      <c r="CM4381" s="111"/>
      <c r="CQ4381" s="111"/>
      <c r="EF4381"/>
      <c r="EG4381"/>
      <c r="EH4381"/>
      <c r="EI4381"/>
      <c r="EJ4381"/>
      <c r="EK4381"/>
    </row>
    <row r="4382" spans="1:141" s="116" customFormat="1">
      <c r="A4382" s="136"/>
      <c r="CM4382" s="111"/>
      <c r="CQ4382" s="111"/>
      <c r="EF4382"/>
      <c r="EG4382"/>
      <c r="EH4382"/>
      <c r="EI4382"/>
      <c r="EJ4382"/>
      <c r="EK4382"/>
    </row>
    <row r="4383" spans="1:141" s="116" customFormat="1">
      <c r="A4383" s="136"/>
      <c r="CM4383" s="111"/>
      <c r="CQ4383" s="111"/>
      <c r="EF4383"/>
      <c r="EG4383"/>
      <c r="EH4383"/>
      <c r="EI4383"/>
      <c r="EJ4383"/>
      <c r="EK4383"/>
    </row>
    <row r="4384" spans="1:141" s="116" customFormat="1">
      <c r="A4384" s="136"/>
      <c r="CM4384" s="111"/>
      <c r="CQ4384" s="111"/>
      <c r="EF4384"/>
      <c r="EG4384"/>
      <c r="EH4384"/>
      <c r="EI4384"/>
      <c r="EJ4384"/>
      <c r="EK4384"/>
    </row>
    <row r="4385" spans="1:141" s="116" customFormat="1">
      <c r="A4385" s="136"/>
      <c r="CM4385" s="111"/>
      <c r="CQ4385" s="111"/>
      <c r="EF4385"/>
      <c r="EG4385"/>
      <c r="EH4385"/>
      <c r="EI4385"/>
      <c r="EJ4385"/>
      <c r="EK4385"/>
    </row>
    <row r="4386" spans="1:141" s="116" customFormat="1">
      <c r="A4386" s="136"/>
      <c r="CM4386" s="111"/>
      <c r="CQ4386" s="111"/>
      <c r="EF4386"/>
      <c r="EG4386"/>
      <c r="EH4386"/>
      <c r="EI4386"/>
      <c r="EJ4386"/>
      <c r="EK4386"/>
    </row>
    <row r="4387" spans="1:141" s="116" customFormat="1">
      <c r="A4387" s="136"/>
      <c r="CM4387" s="111"/>
      <c r="CQ4387" s="111"/>
      <c r="EF4387"/>
      <c r="EG4387"/>
      <c r="EH4387"/>
      <c r="EI4387"/>
      <c r="EJ4387"/>
      <c r="EK4387"/>
    </row>
    <row r="4388" spans="1:141" s="116" customFormat="1">
      <c r="A4388" s="136"/>
      <c r="CM4388" s="111"/>
      <c r="CQ4388" s="111"/>
      <c r="EF4388"/>
      <c r="EG4388"/>
      <c r="EH4388"/>
      <c r="EI4388"/>
      <c r="EJ4388"/>
      <c r="EK4388"/>
    </row>
    <row r="4389" spans="1:141" s="116" customFormat="1">
      <c r="A4389" s="136"/>
      <c r="CM4389" s="111"/>
      <c r="CQ4389" s="111"/>
      <c r="EF4389"/>
      <c r="EG4389"/>
      <c r="EH4389"/>
      <c r="EI4389"/>
      <c r="EJ4389"/>
      <c r="EK4389"/>
    </row>
    <row r="4390" spans="1:141" s="116" customFormat="1">
      <c r="A4390" s="136"/>
      <c r="CM4390" s="111"/>
      <c r="CQ4390" s="111"/>
      <c r="EF4390"/>
      <c r="EG4390"/>
      <c r="EH4390"/>
      <c r="EI4390"/>
      <c r="EJ4390"/>
      <c r="EK4390"/>
    </row>
    <row r="4391" spans="1:141" s="116" customFormat="1">
      <c r="A4391" s="136"/>
      <c r="CM4391" s="111"/>
      <c r="CQ4391" s="111"/>
      <c r="EF4391"/>
      <c r="EG4391"/>
      <c r="EH4391"/>
      <c r="EI4391"/>
      <c r="EJ4391"/>
      <c r="EK4391"/>
    </row>
    <row r="4392" spans="1:141" s="116" customFormat="1">
      <c r="A4392" s="136"/>
      <c r="CM4392" s="111"/>
      <c r="CQ4392" s="111"/>
      <c r="EF4392"/>
      <c r="EG4392"/>
      <c r="EH4392"/>
      <c r="EI4392"/>
      <c r="EJ4392"/>
      <c r="EK4392"/>
    </row>
    <row r="4393" spans="1:141" s="116" customFormat="1">
      <c r="A4393" s="136"/>
      <c r="CM4393" s="111"/>
      <c r="CQ4393" s="111"/>
      <c r="EF4393"/>
      <c r="EG4393"/>
      <c r="EH4393"/>
      <c r="EI4393"/>
      <c r="EJ4393"/>
      <c r="EK4393"/>
    </row>
    <row r="4394" spans="1:141" s="116" customFormat="1">
      <c r="A4394" s="136"/>
      <c r="CM4394" s="111"/>
      <c r="CQ4394" s="111"/>
      <c r="EF4394"/>
      <c r="EG4394"/>
      <c r="EH4394"/>
      <c r="EI4394"/>
      <c r="EJ4394"/>
      <c r="EK4394"/>
    </row>
    <row r="4395" spans="1:141" s="116" customFormat="1">
      <c r="A4395" s="136"/>
      <c r="CM4395" s="111"/>
      <c r="CQ4395" s="111"/>
      <c r="EF4395"/>
      <c r="EG4395"/>
      <c r="EH4395"/>
      <c r="EI4395"/>
      <c r="EJ4395"/>
      <c r="EK4395"/>
    </row>
    <row r="4396" spans="1:141" s="116" customFormat="1">
      <c r="A4396" s="136"/>
      <c r="CM4396" s="111"/>
      <c r="CQ4396" s="111"/>
      <c r="EF4396"/>
      <c r="EG4396"/>
      <c r="EH4396"/>
      <c r="EI4396"/>
      <c r="EJ4396"/>
      <c r="EK4396"/>
    </row>
    <row r="4397" spans="1:141" s="116" customFormat="1">
      <c r="A4397" s="136"/>
      <c r="CM4397" s="111"/>
      <c r="CQ4397" s="111"/>
      <c r="EF4397"/>
      <c r="EG4397"/>
      <c r="EH4397"/>
      <c r="EI4397"/>
      <c r="EJ4397"/>
      <c r="EK4397"/>
    </row>
    <row r="4398" spans="1:141" s="116" customFormat="1">
      <c r="A4398" s="136"/>
      <c r="CM4398" s="111"/>
      <c r="CQ4398" s="111"/>
      <c r="EF4398"/>
      <c r="EG4398"/>
      <c r="EH4398"/>
      <c r="EI4398"/>
      <c r="EJ4398"/>
      <c r="EK4398"/>
    </row>
    <row r="4399" spans="1:141" s="116" customFormat="1">
      <c r="A4399" s="136"/>
      <c r="CM4399" s="111"/>
      <c r="CQ4399" s="111"/>
      <c r="EF4399"/>
      <c r="EG4399"/>
      <c r="EH4399"/>
      <c r="EI4399"/>
      <c r="EJ4399"/>
      <c r="EK4399"/>
    </row>
    <row r="4400" spans="1:141" s="116" customFormat="1">
      <c r="A4400" s="136"/>
      <c r="CM4400" s="111"/>
      <c r="CQ4400" s="111"/>
      <c r="EF4400"/>
      <c r="EG4400"/>
      <c r="EH4400"/>
      <c r="EI4400"/>
      <c r="EJ4400"/>
      <c r="EK4400"/>
    </row>
    <row r="4401" spans="1:141" s="116" customFormat="1">
      <c r="A4401" s="136"/>
      <c r="CM4401" s="111"/>
      <c r="CQ4401" s="111"/>
      <c r="EF4401"/>
      <c r="EG4401"/>
      <c r="EH4401"/>
      <c r="EI4401"/>
      <c r="EJ4401"/>
      <c r="EK4401"/>
    </row>
    <row r="4402" spans="1:141" s="116" customFormat="1">
      <c r="A4402" s="136"/>
      <c r="CM4402" s="111"/>
      <c r="CQ4402" s="111"/>
      <c r="EF4402"/>
      <c r="EG4402"/>
      <c r="EH4402"/>
      <c r="EI4402"/>
      <c r="EJ4402"/>
      <c r="EK4402"/>
    </row>
    <row r="4403" spans="1:141" s="116" customFormat="1">
      <c r="A4403" s="136"/>
      <c r="CM4403" s="111"/>
      <c r="CQ4403" s="111"/>
      <c r="EF4403"/>
      <c r="EG4403"/>
      <c r="EH4403"/>
      <c r="EI4403"/>
      <c r="EJ4403"/>
      <c r="EK4403"/>
    </row>
    <row r="4404" spans="1:141" s="116" customFormat="1">
      <c r="A4404" s="136"/>
      <c r="CM4404" s="111"/>
      <c r="CQ4404" s="111"/>
      <c r="EF4404"/>
      <c r="EG4404"/>
      <c r="EH4404"/>
      <c r="EI4404"/>
      <c r="EJ4404"/>
      <c r="EK4404"/>
    </row>
    <row r="4405" spans="1:141" s="116" customFormat="1">
      <c r="A4405" s="136"/>
      <c r="CM4405" s="111"/>
      <c r="CQ4405" s="111"/>
      <c r="EF4405"/>
      <c r="EG4405"/>
      <c r="EH4405"/>
      <c r="EI4405"/>
      <c r="EJ4405"/>
      <c r="EK4405"/>
    </row>
    <row r="4406" spans="1:141" s="116" customFormat="1">
      <c r="A4406" s="136"/>
      <c r="CM4406" s="111"/>
      <c r="CQ4406" s="111"/>
      <c r="EF4406"/>
      <c r="EG4406"/>
      <c r="EH4406"/>
      <c r="EI4406"/>
      <c r="EJ4406"/>
      <c r="EK4406"/>
    </row>
    <row r="4407" spans="1:141" s="116" customFormat="1">
      <c r="A4407" s="136"/>
      <c r="CM4407" s="111"/>
      <c r="CQ4407" s="111"/>
      <c r="EF4407"/>
      <c r="EG4407"/>
      <c r="EH4407"/>
      <c r="EI4407"/>
      <c r="EJ4407"/>
      <c r="EK4407"/>
    </row>
    <row r="4408" spans="1:141" s="116" customFormat="1">
      <c r="A4408" s="136"/>
      <c r="CM4408" s="111"/>
      <c r="CQ4408" s="111"/>
      <c r="EF4408"/>
      <c r="EG4408"/>
      <c r="EH4408"/>
      <c r="EI4408"/>
      <c r="EJ4408"/>
      <c r="EK4408"/>
    </row>
    <row r="4409" spans="1:141" s="116" customFormat="1">
      <c r="A4409" s="136"/>
      <c r="CM4409" s="111"/>
      <c r="CQ4409" s="111"/>
      <c r="EF4409"/>
      <c r="EG4409"/>
      <c r="EH4409"/>
      <c r="EI4409"/>
      <c r="EJ4409"/>
      <c r="EK4409"/>
    </row>
    <row r="4410" spans="1:141" s="116" customFormat="1">
      <c r="A4410" s="136"/>
      <c r="CM4410" s="111"/>
      <c r="CQ4410" s="111"/>
      <c r="EF4410"/>
      <c r="EG4410"/>
      <c r="EH4410"/>
      <c r="EI4410"/>
      <c r="EJ4410"/>
      <c r="EK4410"/>
    </row>
    <row r="4411" spans="1:141" s="116" customFormat="1">
      <c r="A4411" s="136"/>
      <c r="CM4411" s="111"/>
      <c r="CQ4411" s="111"/>
      <c r="EF4411"/>
      <c r="EG4411"/>
      <c r="EH4411"/>
      <c r="EI4411"/>
      <c r="EJ4411"/>
      <c r="EK4411"/>
    </row>
    <row r="4412" spans="1:141" s="116" customFormat="1">
      <c r="A4412" s="136"/>
      <c r="CM4412" s="111"/>
      <c r="CQ4412" s="111"/>
      <c r="EF4412"/>
      <c r="EG4412"/>
      <c r="EH4412"/>
      <c r="EI4412"/>
      <c r="EJ4412"/>
      <c r="EK4412"/>
    </row>
    <row r="4413" spans="1:141" s="116" customFormat="1">
      <c r="A4413" s="136"/>
      <c r="CM4413" s="111"/>
      <c r="CQ4413" s="111"/>
      <c r="EF4413"/>
      <c r="EG4413"/>
      <c r="EH4413"/>
      <c r="EI4413"/>
      <c r="EJ4413"/>
      <c r="EK4413"/>
    </row>
    <row r="4414" spans="1:141" s="116" customFormat="1">
      <c r="A4414" s="136"/>
      <c r="CM4414" s="111"/>
      <c r="CQ4414" s="111"/>
      <c r="EF4414"/>
      <c r="EG4414"/>
      <c r="EH4414"/>
      <c r="EI4414"/>
      <c r="EJ4414"/>
      <c r="EK4414"/>
    </row>
    <row r="4415" spans="1:141" s="116" customFormat="1">
      <c r="A4415" s="136"/>
      <c r="CM4415" s="111"/>
      <c r="CQ4415" s="111"/>
      <c r="EF4415"/>
      <c r="EG4415"/>
      <c r="EH4415"/>
      <c r="EI4415"/>
      <c r="EJ4415"/>
      <c r="EK4415"/>
    </row>
    <row r="4416" spans="1:141" s="116" customFormat="1">
      <c r="A4416" s="136"/>
      <c r="CM4416" s="111"/>
      <c r="CQ4416" s="111"/>
      <c r="EF4416"/>
      <c r="EG4416"/>
      <c r="EH4416"/>
      <c r="EI4416"/>
      <c r="EJ4416"/>
      <c r="EK4416"/>
    </row>
    <row r="4417" spans="1:141" s="116" customFormat="1">
      <c r="A4417" s="136"/>
      <c r="CM4417" s="111"/>
      <c r="CQ4417" s="111"/>
      <c r="EF4417"/>
      <c r="EG4417"/>
      <c r="EH4417"/>
      <c r="EI4417"/>
      <c r="EJ4417"/>
      <c r="EK4417"/>
    </row>
    <row r="4418" spans="1:141" s="116" customFormat="1">
      <c r="A4418" s="136"/>
      <c r="CM4418" s="111"/>
      <c r="CQ4418" s="111"/>
      <c r="EF4418"/>
      <c r="EG4418"/>
      <c r="EH4418"/>
      <c r="EI4418"/>
      <c r="EJ4418"/>
      <c r="EK4418"/>
    </row>
    <row r="4419" spans="1:141" s="116" customFormat="1">
      <c r="A4419" s="136"/>
      <c r="CM4419" s="111"/>
      <c r="CQ4419" s="111"/>
      <c r="EF4419"/>
      <c r="EG4419"/>
      <c r="EH4419"/>
      <c r="EI4419"/>
      <c r="EJ4419"/>
      <c r="EK4419"/>
    </row>
    <row r="4420" spans="1:141" s="116" customFormat="1">
      <c r="A4420" s="136"/>
      <c r="CM4420" s="111"/>
      <c r="CQ4420" s="111"/>
      <c r="EF4420"/>
      <c r="EG4420"/>
      <c r="EH4420"/>
      <c r="EI4420"/>
      <c r="EJ4420"/>
      <c r="EK4420"/>
    </row>
    <row r="4421" spans="1:141" s="116" customFormat="1">
      <c r="A4421" s="136"/>
      <c r="CM4421" s="111"/>
      <c r="CQ4421" s="111"/>
      <c r="EF4421"/>
      <c r="EG4421"/>
      <c r="EH4421"/>
      <c r="EI4421"/>
      <c r="EJ4421"/>
      <c r="EK4421"/>
    </row>
    <row r="4422" spans="1:141" s="116" customFormat="1">
      <c r="A4422" s="136"/>
      <c r="CM4422" s="111"/>
      <c r="CQ4422" s="111"/>
      <c r="EF4422"/>
      <c r="EG4422"/>
      <c r="EH4422"/>
      <c r="EI4422"/>
      <c r="EJ4422"/>
      <c r="EK4422"/>
    </row>
    <row r="4423" spans="1:141" s="116" customFormat="1">
      <c r="A4423" s="136"/>
      <c r="CM4423" s="111"/>
      <c r="CQ4423" s="111"/>
      <c r="EF4423"/>
      <c r="EG4423"/>
      <c r="EH4423"/>
      <c r="EI4423"/>
      <c r="EJ4423"/>
      <c r="EK4423"/>
    </row>
    <row r="4424" spans="1:141" s="116" customFormat="1">
      <c r="A4424" s="136"/>
      <c r="CM4424" s="111"/>
      <c r="CQ4424" s="111"/>
      <c r="EF4424"/>
      <c r="EG4424"/>
      <c r="EH4424"/>
      <c r="EI4424"/>
      <c r="EJ4424"/>
      <c r="EK4424"/>
    </row>
    <row r="4425" spans="1:141" s="116" customFormat="1">
      <c r="A4425" s="136"/>
      <c r="CM4425" s="111"/>
      <c r="CQ4425" s="111"/>
      <c r="EF4425"/>
      <c r="EG4425"/>
      <c r="EH4425"/>
      <c r="EI4425"/>
      <c r="EJ4425"/>
      <c r="EK4425"/>
    </row>
    <row r="4426" spans="1:141" s="116" customFormat="1">
      <c r="A4426" s="136"/>
      <c r="CM4426" s="111"/>
      <c r="CQ4426" s="111"/>
      <c r="EF4426"/>
      <c r="EG4426"/>
      <c r="EH4426"/>
      <c r="EI4426"/>
      <c r="EJ4426"/>
      <c r="EK4426"/>
    </row>
    <row r="4427" spans="1:141" s="116" customFormat="1">
      <c r="A4427" s="136"/>
      <c r="CM4427" s="111"/>
      <c r="CQ4427" s="111"/>
      <c r="EF4427"/>
      <c r="EG4427"/>
      <c r="EH4427"/>
      <c r="EI4427"/>
      <c r="EJ4427"/>
      <c r="EK4427"/>
    </row>
    <row r="4428" spans="1:141" s="116" customFormat="1">
      <c r="A4428" s="136"/>
      <c r="CM4428" s="111"/>
      <c r="CQ4428" s="111"/>
      <c r="EF4428"/>
      <c r="EG4428"/>
      <c r="EH4428"/>
      <c r="EI4428"/>
      <c r="EJ4428"/>
      <c r="EK4428"/>
    </row>
    <row r="4429" spans="1:141" s="116" customFormat="1">
      <c r="A4429" s="136"/>
      <c r="CM4429" s="111"/>
      <c r="CQ4429" s="111"/>
      <c r="EF4429"/>
      <c r="EG4429"/>
      <c r="EH4429"/>
      <c r="EI4429"/>
      <c r="EJ4429"/>
      <c r="EK4429"/>
    </row>
    <row r="4430" spans="1:141" s="116" customFormat="1">
      <c r="A4430" s="136"/>
      <c r="CM4430" s="111"/>
      <c r="CQ4430" s="111"/>
      <c r="EF4430"/>
      <c r="EG4430"/>
      <c r="EH4430"/>
      <c r="EI4430"/>
      <c r="EJ4430"/>
      <c r="EK4430"/>
    </row>
    <row r="4431" spans="1:141" s="116" customFormat="1">
      <c r="A4431" s="136"/>
      <c r="CM4431" s="111"/>
      <c r="CQ4431" s="111"/>
      <c r="EF4431"/>
      <c r="EG4431"/>
      <c r="EH4431"/>
      <c r="EI4431"/>
      <c r="EJ4431"/>
      <c r="EK4431"/>
    </row>
    <row r="4432" spans="1:141" s="116" customFormat="1">
      <c r="A4432" s="136"/>
      <c r="CM4432" s="111"/>
      <c r="CQ4432" s="111"/>
      <c r="EF4432"/>
      <c r="EG4432"/>
      <c r="EH4432"/>
      <c r="EI4432"/>
      <c r="EJ4432"/>
      <c r="EK4432"/>
    </row>
    <row r="4433" spans="1:141" s="116" customFormat="1">
      <c r="A4433" s="136"/>
      <c r="CM4433" s="111"/>
      <c r="CQ4433" s="111"/>
      <c r="EF4433"/>
      <c r="EG4433"/>
      <c r="EH4433"/>
      <c r="EI4433"/>
      <c r="EJ4433"/>
      <c r="EK4433"/>
    </row>
    <row r="4434" spans="1:141" s="116" customFormat="1">
      <c r="A4434" s="136"/>
      <c r="CM4434" s="111"/>
      <c r="CQ4434" s="111"/>
      <c r="EF4434"/>
      <c r="EG4434"/>
      <c r="EH4434"/>
      <c r="EI4434"/>
      <c r="EJ4434"/>
      <c r="EK4434"/>
    </row>
    <row r="4435" spans="1:141" s="116" customFormat="1">
      <c r="A4435" s="136"/>
      <c r="CM4435" s="111"/>
      <c r="CQ4435" s="111"/>
      <c r="EF4435"/>
      <c r="EG4435"/>
      <c r="EH4435"/>
      <c r="EI4435"/>
      <c r="EJ4435"/>
      <c r="EK4435"/>
    </row>
    <row r="4436" spans="1:141" s="116" customFormat="1">
      <c r="A4436" s="136"/>
      <c r="CM4436" s="111"/>
      <c r="CQ4436" s="111"/>
      <c r="EF4436"/>
      <c r="EG4436"/>
      <c r="EH4436"/>
      <c r="EI4436"/>
      <c r="EJ4436"/>
      <c r="EK4436"/>
    </row>
    <row r="4437" spans="1:141" s="116" customFormat="1">
      <c r="A4437" s="136"/>
      <c r="CM4437" s="111"/>
      <c r="CQ4437" s="111"/>
      <c r="EF4437"/>
      <c r="EG4437"/>
      <c r="EH4437"/>
      <c r="EI4437"/>
      <c r="EJ4437"/>
      <c r="EK4437"/>
    </row>
    <row r="4438" spans="1:141" s="116" customFormat="1">
      <c r="A4438" s="136"/>
      <c r="CM4438" s="111"/>
      <c r="CQ4438" s="111"/>
      <c r="EF4438"/>
      <c r="EG4438"/>
      <c r="EH4438"/>
      <c r="EI4438"/>
      <c r="EJ4438"/>
      <c r="EK4438"/>
    </row>
    <row r="4439" spans="1:141" s="116" customFormat="1">
      <c r="A4439" s="136"/>
      <c r="CM4439" s="111"/>
      <c r="CQ4439" s="111"/>
      <c r="EF4439"/>
      <c r="EG4439"/>
      <c r="EH4439"/>
      <c r="EI4439"/>
      <c r="EJ4439"/>
      <c r="EK4439"/>
    </row>
    <row r="4440" spans="1:141" s="116" customFormat="1">
      <c r="A4440" s="136"/>
      <c r="CM4440" s="111"/>
      <c r="CQ4440" s="111"/>
      <c r="EF4440"/>
      <c r="EG4440"/>
      <c r="EH4440"/>
      <c r="EI4440"/>
      <c r="EJ4440"/>
      <c r="EK4440"/>
    </row>
    <row r="4441" spans="1:141" s="116" customFormat="1">
      <c r="A4441" s="136"/>
      <c r="CM4441" s="111"/>
      <c r="CQ4441" s="111"/>
      <c r="EF4441"/>
      <c r="EG4441"/>
      <c r="EH4441"/>
      <c r="EI4441"/>
      <c r="EJ4441"/>
      <c r="EK4441"/>
    </row>
    <row r="4442" spans="1:141" s="116" customFormat="1">
      <c r="A4442" s="136"/>
      <c r="CM4442" s="111"/>
      <c r="CQ4442" s="111"/>
      <c r="EF4442"/>
      <c r="EG4442"/>
      <c r="EH4442"/>
      <c r="EI4442"/>
      <c r="EJ4442"/>
      <c r="EK4442"/>
    </row>
    <row r="4443" spans="1:141" s="116" customFormat="1">
      <c r="A4443" s="136"/>
      <c r="CM4443" s="111"/>
      <c r="CQ4443" s="111"/>
      <c r="EF4443"/>
      <c r="EG4443"/>
      <c r="EH4443"/>
      <c r="EI4443"/>
      <c r="EJ4443"/>
      <c r="EK4443"/>
    </row>
    <row r="4444" spans="1:141" s="116" customFormat="1">
      <c r="A4444" s="136"/>
      <c r="CM4444" s="111"/>
      <c r="CQ4444" s="111"/>
      <c r="EF4444"/>
      <c r="EG4444"/>
      <c r="EH4444"/>
      <c r="EI4444"/>
      <c r="EJ4444"/>
      <c r="EK4444"/>
    </row>
    <row r="4445" spans="1:141" s="116" customFormat="1">
      <c r="A4445" s="136"/>
      <c r="CM4445" s="111"/>
      <c r="CQ4445" s="111"/>
      <c r="EF4445"/>
      <c r="EG4445"/>
      <c r="EH4445"/>
      <c r="EI4445"/>
      <c r="EJ4445"/>
      <c r="EK4445"/>
    </row>
    <row r="4446" spans="1:141" s="116" customFormat="1">
      <c r="A4446" s="136"/>
      <c r="CM4446" s="111"/>
      <c r="CQ4446" s="111"/>
      <c r="EF4446"/>
      <c r="EG4446"/>
      <c r="EH4446"/>
      <c r="EI4446"/>
      <c r="EJ4446"/>
      <c r="EK4446"/>
    </row>
    <row r="4447" spans="1:141" s="116" customFormat="1">
      <c r="A4447" s="136"/>
      <c r="CM4447" s="111"/>
      <c r="CQ4447" s="111"/>
      <c r="EF4447"/>
      <c r="EG4447"/>
      <c r="EH4447"/>
      <c r="EI4447"/>
      <c r="EJ4447"/>
      <c r="EK4447"/>
    </row>
    <row r="4448" spans="1:141" s="116" customFormat="1">
      <c r="A4448" s="136"/>
      <c r="CM4448" s="111"/>
      <c r="CQ4448" s="111"/>
      <c r="EF4448"/>
      <c r="EG4448"/>
      <c r="EH4448"/>
      <c r="EI4448"/>
      <c r="EJ4448"/>
      <c r="EK4448"/>
    </row>
    <row r="4449" spans="1:141" s="116" customFormat="1">
      <c r="A4449" s="136"/>
      <c r="CM4449" s="111"/>
      <c r="CQ4449" s="111"/>
      <c r="EF4449"/>
      <c r="EG4449"/>
      <c r="EH4449"/>
      <c r="EI4449"/>
      <c r="EJ4449"/>
      <c r="EK4449"/>
    </row>
    <row r="4450" spans="1:141" s="116" customFormat="1">
      <c r="A4450" s="136"/>
      <c r="CM4450" s="111"/>
      <c r="CQ4450" s="111"/>
      <c r="EF4450"/>
      <c r="EG4450"/>
      <c r="EH4450"/>
      <c r="EI4450"/>
      <c r="EJ4450"/>
      <c r="EK4450"/>
    </row>
    <row r="4451" spans="1:141" s="116" customFormat="1">
      <c r="A4451" s="136"/>
      <c r="CM4451" s="111"/>
      <c r="CQ4451" s="111"/>
      <c r="EF4451"/>
      <c r="EG4451"/>
      <c r="EH4451"/>
      <c r="EI4451"/>
      <c r="EJ4451"/>
      <c r="EK4451"/>
    </row>
    <row r="4452" spans="1:141" s="116" customFormat="1">
      <c r="A4452" s="136"/>
      <c r="CM4452" s="111"/>
      <c r="CQ4452" s="111"/>
      <c r="EF4452"/>
      <c r="EG4452"/>
      <c r="EH4452"/>
      <c r="EI4452"/>
      <c r="EJ4452"/>
      <c r="EK4452"/>
    </row>
    <row r="4453" spans="1:141" s="116" customFormat="1">
      <c r="A4453" s="136"/>
      <c r="CM4453" s="111"/>
      <c r="CQ4453" s="111"/>
      <c r="EF4453"/>
      <c r="EG4453"/>
      <c r="EH4453"/>
      <c r="EI4453"/>
      <c r="EJ4453"/>
      <c r="EK4453"/>
    </row>
    <row r="4454" spans="1:141" s="116" customFormat="1">
      <c r="A4454" s="136"/>
      <c r="CM4454" s="111"/>
      <c r="CQ4454" s="111"/>
      <c r="EF4454"/>
      <c r="EG4454"/>
      <c r="EH4454"/>
      <c r="EI4454"/>
      <c r="EJ4454"/>
      <c r="EK4454"/>
    </row>
    <row r="4455" spans="1:141" s="116" customFormat="1">
      <c r="A4455" s="136"/>
      <c r="CM4455" s="111"/>
      <c r="CQ4455" s="111"/>
      <c r="EF4455"/>
      <c r="EG4455"/>
      <c r="EH4455"/>
      <c r="EI4455"/>
      <c r="EJ4455"/>
      <c r="EK4455"/>
    </row>
    <row r="4456" spans="1:141" s="116" customFormat="1">
      <c r="A4456" s="136"/>
      <c r="CM4456" s="111"/>
      <c r="CQ4456" s="111"/>
      <c r="EF4456"/>
      <c r="EG4456"/>
      <c r="EH4456"/>
      <c r="EI4456"/>
      <c r="EJ4456"/>
      <c r="EK4456"/>
    </row>
    <row r="4457" spans="1:141" s="116" customFormat="1">
      <c r="A4457" s="136"/>
      <c r="CM4457" s="111"/>
      <c r="CQ4457" s="111"/>
      <c r="EF4457"/>
      <c r="EG4457"/>
      <c r="EH4457"/>
      <c r="EI4457"/>
      <c r="EJ4457"/>
      <c r="EK4457"/>
    </row>
    <row r="4458" spans="1:141" s="116" customFormat="1">
      <c r="A4458" s="136"/>
      <c r="CM4458" s="111"/>
      <c r="CQ4458" s="111"/>
      <c r="EF4458"/>
      <c r="EG4458"/>
      <c r="EH4458"/>
      <c r="EI4458"/>
      <c r="EJ4458"/>
      <c r="EK4458"/>
    </row>
    <row r="4459" spans="1:141" s="116" customFormat="1">
      <c r="A4459" s="136"/>
      <c r="CM4459" s="111"/>
      <c r="CQ4459" s="111"/>
      <c r="EF4459"/>
      <c r="EG4459"/>
      <c r="EH4459"/>
      <c r="EI4459"/>
      <c r="EJ4459"/>
      <c r="EK4459"/>
    </row>
    <row r="4460" spans="1:141" s="116" customFormat="1">
      <c r="A4460" s="136"/>
      <c r="CM4460" s="111"/>
      <c r="CQ4460" s="111"/>
      <c r="EF4460"/>
      <c r="EG4460"/>
      <c r="EH4460"/>
      <c r="EI4460"/>
      <c r="EJ4460"/>
      <c r="EK4460"/>
    </row>
    <row r="4461" spans="1:141" s="116" customFormat="1">
      <c r="A4461" s="136"/>
      <c r="CM4461" s="111"/>
      <c r="CQ4461" s="111"/>
      <c r="EF4461"/>
      <c r="EG4461"/>
      <c r="EH4461"/>
      <c r="EI4461"/>
      <c r="EJ4461"/>
      <c r="EK4461"/>
    </row>
    <row r="4462" spans="1:141" s="116" customFormat="1">
      <c r="A4462" s="136"/>
      <c r="CM4462" s="111"/>
      <c r="CQ4462" s="111"/>
      <c r="EF4462"/>
      <c r="EG4462"/>
      <c r="EH4462"/>
      <c r="EI4462"/>
      <c r="EJ4462"/>
      <c r="EK4462"/>
    </row>
    <row r="4463" spans="1:141" s="116" customFormat="1">
      <c r="A4463" s="136"/>
      <c r="CM4463" s="111"/>
      <c r="CQ4463" s="111"/>
      <c r="EF4463"/>
      <c r="EG4463"/>
      <c r="EH4463"/>
      <c r="EI4463"/>
      <c r="EJ4463"/>
      <c r="EK4463"/>
    </row>
    <row r="4464" spans="1:141" s="116" customFormat="1">
      <c r="A4464" s="136"/>
      <c r="CM4464" s="111"/>
      <c r="CQ4464" s="111"/>
      <c r="EF4464"/>
      <c r="EG4464"/>
      <c r="EH4464"/>
      <c r="EI4464"/>
      <c r="EJ4464"/>
      <c r="EK4464"/>
    </row>
    <row r="4465" spans="1:141" s="116" customFormat="1">
      <c r="A4465" s="136"/>
      <c r="CM4465" s="111"/>
      <c r="CQ4465" s="111"/>
      <c r="EF4465"/>
      <c r="EG4465"/>
      <c r="EH4465"/>
      <c r="EI4465"/>
      <c r="EJ4465"/>
      <c r="EK4465"/>
    </row>
    <row r="4466" spans="1:141" s="116" customFormat="1">
      <c r="A4466" s="136"/>
      <c r="CM4466" s="111"/>
      <c r="CQ4466" s="111"/>
      <c r="EF4466"/>
      <c r="EG4466"/>
      <c r="EH4466"/>
      <c r="EI4466"/>
      <c r="EJ4466"/>
      <c r="EK4466"/>
    </row>
    <row r="4467" spans="1:141" s="116" customFormat="1">
      <c r="A4467" s="136"/>
      <c r="CM4467" s="111"/>
      <c r="CQ4467" s="111"/>
      <c r="EF4467"/>
      <c r="EG4467"/>
      <c r="EH4467"/>
      <c r="EI4467"/>
      <c r="EJ4467"/>
      <c r="EK4467"/>
    </row>
    <row r="4468" spans="1:141" s="116" customFormat="1">
      <c r="A4468" s="136"/>
      <c r="CM4468" s="111"/>
      <c r="CQ4468" s="111"/>
      <c r="EF4468"/>
      <c r="EG4468"/>
      <c r="EH4468"/>
      <c r="EI4468"/>
      <c r="EJ4468"/>
      <c r="EK4468"/>
    </row>
    <row r="4469" spans="1:141" s="116" customFormat="1">
      <c r="A4469" s="136"/>
      <c r="CM4469" s="111"/>
      <c r="CQ4469" s="111"/>
      <c r="EF4469"/>
      <c r="EG4469"/>
      <c r="EH4469"/>
      <c r="EI4469"/>
      <c r="EJ4469"/>
      <c r="EK4469"/>
    </row>
    <row r="4470" spans="1:141" s="116" customFormat="1">
      <c r="A4470" s="136"/>
      <c r="CM4470" s="111"/>
      <c r="CQ4470" s="111"/>
      <c r="EF4470"/>
      <c r="EG4470"/>
      <c r="EH4470"/>
      <c r="EI4470"/>
      <c r="EJ4470"/>
      <c r="EK4470"/>
    </row>
    <row r="4471" spans="1:141" s="116" customFormat="1">
      <c r="A4471" s="136"/>
      <c r="CM4471" s="111"/>
      <c r="CQ4471" s="111"/>
      <c r="EF4471"/>
      <c r="EG4471"/>
      <c r="EH4471"/>
      <c r="EI4471"/>
      <c r="EJ4471"/>
      <c r="EK4471"/>
    </row>
    <row r="4472" spans="1:141" s="116" customFormat="1">
      <c r="A4472" s="136"/>
      <c r="CM4472" s="111"/>
      <c r="CQ4472" s="111"/>
      <c r="EF4472"/>
      <c r="EG4472"/>
      <c r="EH4472"/>
      <c r="EI4472"/>
      <c r="EJ4472"/>
      <c r="EK4472"/>
    </row>
    <row r="4473" spans="1:141" s="116" customFormat="1">
      <c r="A4473" s="136"/>
      <c r="CM4473" s="111"/>
      <c r="CQ4473" s="111"/>
      <c r="EF4473"/>
      <c r="EG4473"/>
      <c r="EH4473"/>
      <c r="EI4473"/>
      <c r="EJ4473"/>
      <c r="EK4473"/>
    </row>
    <row r="4474" spans="1:141" s="116" customFormat="1">
      <c r="A4474" s="136"/>
      <c r="CM4474" s="111"/>
      <c r="CQ4474" s="111"/>
      <c r="EF4474"/>
      <c r="EG4474"/>
      <c r="EH4474"/>
      <c r="EI4474"/>
      <c r="EJ4474"/>
      <c r="EK4474"/>
    </row>
    <row r="4475" spans="1:141" s="116" customFormat="1">
      <c r="A4475" s="136"/>
      <c r="CM4475" s="111"/>
      <c r="CQ4475" s="111"/>
      <c r="EF4475"/>
      <c r="EG4475"/>
      <c r="EH4475"/>
      <c r="EI4475"/>
      <c r="EJ4475"/>
      <c r="EK4475"/>
    </row>
    <row r="4476" spans="1:141" s="116" customFormat="1">
      <c r="A4476" s="136"/>
      <c r="CM4476" s="111"/>
      <c r="CQ4476" s="111"/>
      <c r="EF4476"/>
      <c r="EG4476"/>
      <c r="EH4476"/>
      <c r="EI4476"/>
      <c r="EJ4476"/>
      <c r="EK4476"/>
    </row>
    <row r="4477" spans="1:141" s="116" customFormat="1">
      <c r="A4477" s="136"/>
      <c r="CM4477" s="111"/>
      <c r="CQ4477" s="111"/>
      <c r="EF4477"/>
      <c r="EG4477"/>
      <c r="EH4477"/>
      <c r="EI4477"/>
      <c r="EJ4477"/>
      <c r="EK4477"/>
    </row>
    <row r="4478" spans="1:141" s="116" customFormat="1">
      <c r="A4478" s="136"/>
      <c r="CM4478" s="111"/>
      <c r="CQ4478" s="111"/>
      <c r="EF4478"/>
      <c r="EG4478"/>
      <c r="EH4478"/>
      <c r="EI4478"/>
      <c r="EJ4478"/>
      <c r="EK4478"/>
    </row>
    <row r="4479" spans="1:141" s="116" customFormat="1">
      <c r="A4479" s="136"/>
      <c r="CM4479" s="111"/>
      <c r="CQ4479" s="111"/>
      <c r="EF4479"/>
      <c r="EG4479"/>
      <c r="EH4479"/>
      <c r="EI4479"/>
      <c r="EJ4479"/>
      <c r="EK4479"/>
    </row>
    <row r="4480" spans="1:141" s="116" customFormat="1">
      <c r="A4480" s="136"/>
      <c r="CM4480" s="111"/>
      <c r="CQ4480" s="111"/>
      <c r="EF4480"/>
      <c r="EG4480"/>
      <c r="EH4480"/>
      <c r="EI4480"/>
      <c r="EJ4480"/>
      <c r="EK4480"/>
    </row>
    <row r="4481" spans="1:141" s="116" customFormat="1">
      <c r="A4481" s="136"/>
      <c r="CM4481" s="111"/>
      <c r="CQ4481" s="111"/>
      <c r="EF4481"/>
      <c r="EG4481"/>
      <c r="EH4481"/>
      <c r="EI4481"/>
      <c r="EJ4481"/>
      <c r="EK4481"/>
    </row>
    <row r="4482" spans="1:141" s="116" customFormat="1">
      <c r="A4482" s="136"/>
      <c r="CM4482" s="111"/>
      <c r="CQ4482" s="111"/>
      <c r="EF4482"/>
      <c r="EG4482"/>
      <c r="EH4482"/>
      <c r="EI4482"/>
      <c r="EJ4482"/>
      <c r="EK4482"/>
    </row>
    <row r="4483" spans="1:141" s="116" customFormat="1">
      <c r="A4483" s="136"/>
      <c r="CM4483" s="111"/>
      <c r="CQ4483" s="111"/>
      <c r="EF4483"/>
      <c r="EG4483"/>
      <c r="EH4483"/>
      <c r="EI4483"/>
      <c r="EJ4483"/>
      <c r="EK4483"/>
    </row>
    <row r="4484" spans="1:141" s="116" customFormat="1">
      <c r="A4484" s="136"/>
      <c r="CM4484" s="111"/>
      <c r="CQ4484" s="111"/>
      <c r="EF4484"/>
      <c r="EG4484"/>
      <c r="EH4484"/>
      <c r="EI4484"/>
      <c r="EJ4484"/>
      <c r="EK4484"/>
    </row>
    <row r="4485" spans="1:141" s="116" customFormat="1">
      <c r="A4485" s="136"/>
      <c r="CM4485" s="111"/>
      <c r="CQ4485" s="111"/>
      <c r="EF4485"/>
      <c r="EG4485"/>
      <c r="EH4485"/>
      <c r="EI4485"/>
      <c r="EJ4485"/>
      <c r="EK4485"/>
    </row>
    <row r="4486" spans="1:141" s="116" customFormat="1">
      <c r="A4486" s="136"/>
      <c r="CM4486" s="111"/>
      <c r="CQ4486" s="111"/>
      <c r="EF4486"/>
      <c r="EG4486"/>
      <c r="EH4486"/>
      <c r="EI4486"/>
      <c r="EJ4486"/>
      <c r="EK4486"/>
    </row>
    <row r="4487" spans="1:141" s="116" customFormat="1">
      <c r="A4487" s="136"/>
      <c r="CM4487" s="111"/>
      <c r="CQ4487" s="111"/>
      <c r="EF4487"/>
      <c r="EG4487"/>
      <c r="EH4487"/>
      <c r="EI4487"/>
      <c r="EJ4487"/>
      <c r="EK4487"/>
    </row>
    <row r="4488" spans="1:141" s="116" customFormat="1">
      <c r="A4488" s="136"/>
      <c r="CM4488" s="111"/>
      <c r="CQ4488" s="111"/>
      <c r="EF4488"/>
      <c r="EG4488"/>
      <c r="EH4488"/>
      <c r="EI4488"/>
      <c r="EJ4488"/>
      <c r="EK4488"/>
    </row>
    <row r="4489" spans="1:141" s="116" customFormat="1">
      <c r="A4489" s="136"/>
      <c r="CM4489" s="111"/>
      <c r="CQ4489" s="111"/>
      <c r="EF4489"/>
      <c r="EG4489"/>
      <c r="EH4489"/>
      <c r="EI4489"/>
      <c r="EJ4489"/>
      <c r="EK4489"/>
    </row>
    <row r="4490" spans="1:141" s="116" customFormat="1">
      <c r="A4490" s="136"/>
      <c r="CM4490" s="111"/>
      <c r="CQ4490" s="111"/>
      <c r="EF4490"/>
      <c r="EG4490"/>
      <c r="EH4490"/>
      <c r="EI4490"/>
      <c r="EJ4490"/>
      <c r="EK4490"/>
    </row>
    <row r="4491" spans="1:141" s="116" customFormat="1">
      <c r="A4491" s="136"/>
      <c r="CM4491" s="111"/>
      <c r="CQ4491" s="111"/>
      <c r="EF4491"/>
      <c r="EG4491"/>
      <c r="EH4491"/>
      <c r="EI4491"/>
      <c r="EJ4491"/>
      <c r="EK4491"/>
    </row>
    <row r="4492" spans="1:141" s="116" customFormat="1">
      <c r="A4492" s="136"/>
      <c r="CM4492" s="111"/>
      <c r="CQ4492" s="111"/>
      <c r="EF4492"/>
      <c r="EG4492"/>
      <c r="EH4492"/>
      <c r="EI4492"/>
      <c r="EJ4492"/>
      <c r="EK4492"/>
    </row>
    <row r="4493" spans="1:141" s="116" customFormat="1">
      <c r="A4493" s="136"/>
      <c r="CM4493" s="111"/>
      <c r="CQ4493" s="111"/>
      <c r="EF4493"/>
      <c r="EG4493"/>
      <c r="EH4493"/>
      <c r="EI4493"/>
      <c r="EJ4493"/>
      <c r="EK4493"/>
    </row>
    <row r="4494" spans="1:141" s="116" customFormat="1">
      <c r="A4494" s="136"/>
      <c r="CM4494" s="111"/>
      <c r="CQ4494" s="111"/>
      <c r="EF4494"/>
      <c r="EG4494"/>
      <c r="EH4494"/>
      <c r="EI4494"/>
      <c r="EJ4494"/>
      <c r="EK4494"/>
    </row>
    <row r="4495" spans="1:141" s="116" customFormat="1">
      <c r="A4495" s="136"/>
      <c r="CM4495" s="111"/>
      <c r="CQ4495" s="111"/>
      <c r="EF4495"/>
      <c r="EG4495"/>
      <c r="EH4495"/>
      <c r="EI4495"/>
      <c r="EJ4495"/>
      <c r="EK4495"/>
    </row>
    <row r="4496" spans="1:141" s="116" customFormat="1">
      <c r="A4496" s="136"/>
      <c r="CM4496" s="111"/>
      <c r="CQ4496" s="111"/>
      <c r="EF4496"/>
      <c r="EG4496"/>
      <c r="EH4496"/>
      <c r="EI4496"/>
      <c r="EJ4496"/>
      <c r="EK4496"/>
    </row>
    <row r="4497" spans="1:141" s="116" customFormat="1">
      <c r="A4497" s="136"/>
      <c r="CM4497" s="111"/>
      <c r="CQ4497" s="111"/>
      <c r="EF4497"/>
      <c r="EG4497"/>
      <c r="EH4497"/>
      <c r="EI4497"/>
      <c r="EJ4497"/>
      <c r="EK4497"/>
    </row>
    <row r="4498" spans="1:141" s="116" customFormat="1">
      <c r="A4498" s="136"/>
      <c r="CM4498" s="111"/>
      <c r="CQ4498" s="111"/>
      <c r="EF4498"/>
      <c r="EG4498"/>
      <c r="EH4498"/>
      <c r="EI4498"/>
      <c r="EJ4498"/>
      <c r="EK4498"/>
    </row>
    <row r="4499" spans="1:141" s="116" customFormat="1">
      <c r="A4499" s="136"/>
      <c r="CM4499" s="111"/>
      <c r="CQ4499" s="111"/>
      <c r="EF4499"/>
      <c r="EG4499"/>
      <c r="EH4499"/>
      <c r="EI4499"/>
      <c r="EJ4499"/>
      <c r="EK4499"/>
    </row>
    <row r="4500" spans="1:141" s="116" customFormat="1">
      <c r="A4500" s="136"/>
      <c r="CM4500" s="111"/>
      <c r="CQ4500" s="111"/>
      <c r="EF4500"/>
      <c r="EG4500"/>
      <c r="EH4500"/>
      <c r="EI4500"/>
      <c r="EJ4500"/>
      <c r="EK4500"/>
    </row>
    <row r="4501" spans="1:141" s="116" customFormat="1">
      <c r="A4501" s="136"/>
      <c r="CM4501" s="111"/>
      <c r="CQ4501" s="111"/>
      <c r="EF4501"/>
      <c r="EG4501"/>
      <c r="EH4501"/>
      <c r="EI4501"/>
      <c r="EJ4501"/>
      <c r="EK4501"/>
    </row>
    <row r="4502" spans="1:141" s="116" customFormat="1">
      <c r="A4502" s="136"/>
      <c r="CM4502" s="111"/>
      <c r="CQ4502" s="111"/>
      <c r="EF4502"/>
      <c r="EG4502"/>
      <c r="EH4502"/>
      <c r="EI4502"/>
      <c r="EJ4502"/>
      <c r="EK4502"/>
    </row>
    <row r="4503" spans="1:141" s="116" customFormat="1">
      <c r="A4503" s="136"/>
      <c r="CM4503" s="111"/>
      <c r="CQ4503" s="111"/>
      <c r="EF4503"/>
      <c r="EG4503"/>
      <c r="EH4503"/>
      <c r="EI4503"/>
      <c r="EJ4503"/>
      <c r="EK4503"/>
    </row>
    <row r="4504" spans="1:141" s="116" customFormat="1">
      <c r="A4504" s="136"/>
      <c r="CM4504" s="111"/>
      <c r="CQ4504" s="111"/>
      <c r="EF4504"/>
      <c r="EG4504"/>
      <c r="EH4504"/>
      <c r="EI4504"/>
      <c r="EJ4504"/>
      <c r="EK4504"/>
    </row>
    <row r="4505" spans="1:141" s="116" customFormat="1">
      <c r="A4505" s="136"/>
      <c r="CM4505" s="111"/>
      <c r="CQ4505" s="111"/>
      <c r="EF4505"/>
      <c r="EG4505"/>
      <c r="EH4505"/>
      <c r="EI4505"/>
      <c r="EJ4505"/>
      <c r="EK4505"/>
    </row>
    <row r="4506" spans="1:141" s="116" customFormat="1">
      <c r="A4506" s="136"/>
      <c r="CM4506" s="111"/>
      <c r="CQ4506" s="111"/>
      <c r="EF4506"/>
      <c r="EG4506"/>
      <c r="EH4506"/>
      <c r="EI4506"/>
      <c r="EJ4506"/>
      <c r="EK4506"/>
    </row>
    <row r="4507" spans="1:141" s="116" customFormat="1">
      <c r="A4507" s="136"/>
      <c r="CM4507" s="111"/>
      <c r="CQ4507" s="111"/>
      <c r="EF4507"/>
      <c r="EG4507"/>
      <c r="EH4507"/>
      <c r="EI4507"/>
      <c r="EJ4507"/>
      <c r="EK4507"/>
    </row>
    <row r="4508" spans="1:141" s="116" customFormat="1">
      <c r="A4508" s="136"/>
      <c r="CM4508" s="111"/>
      <c r="CQ4508" s="111"/>
      <c r="EF4508"/>
      <c r="EG4508"/>
      <c r="EH4508"/>
      <c r="EI4508"/>
      <c r="EJ4508"/>
      <c r="EK4508"/>
    </row>
    <row r="4509" spans="1:141" s="116" customFormat="1">
      <c r="A4509" s="136"/>
      <c r="CM4509" s="111"/>
      <c r="CQ4509" s="111"/>
      <c r="EF4509"/>
      <c r="EG4509"/>
      <c r="EH4509"/>
      <c r="EI4509"/>
      <c r="EJ4509"/>
      <c r="EK4509"/>
    </row>
    <row r="4510" spans="1:141" s="116" customFormat="1">
      <c r="A4510" s="136"/>
      <c r="CM4510" s="111"/>
      <c r="CQ4510" s="111"/>
      <c r="EF4510"/>
      <c r="EG4510"/>
      <c r="EH4510"/>
      <c r="EI4510"/>
      <c r="EJ4510"/>
      <c r="EK4510"/>
    </row>
    <row r="4511" spans="1:141" s="116" customFormat="1">
      <c r="A4511" s="136"/>
      <c r="CM4511" s="111"/>
      <c r="CQ4511" s="111"/>
      <c r="EF4511"/>
      <c r="EG4511"/>
      <c r="EH4511"/>
      <c r="EI4511"/>
      <c r="EJ4511"/>
      <c r="EK4511"/>
    </row>
    <row r="4512" spans="1:141" s="116" customFormat="1">
      <c r="A4512" s="136"/>
      <c r="CM4512" s="111"/>
      <c r="CQ4512" s="111"/>
      <c r="EF4512"/>
      <c r="EG4512"/>
      <c r="EH4512"/>
      <c r="EI4512"/>
      <c r="EJ4512"/>
      <c r="EK4512"/>
    </row>
    <row r="4513" spans="1:141" s="116" customFormat="1">
      <c r="A4513" s="136"/>
      <c r="CM4513" s="111"/>
      <c r="CQ4513" s="111"/>
      <c r="EF4513"/>
      <c r="EG4513"/>
      <c r="EH4513"/>
      <c r="EI4513"/>
      <c r="EJ4513"/>
      <c r="EK4513"/>
    </row>
    <row r="4514" spans="1:141" s="116" customFormat="1">
      <c r="A4514" s="136"/>
      <c r="CM4514" s="111"/>
      <c r="CQ4514" s="111"/>
      <c r="EF4514"/>
      <c r="EG4514"/>
      <c r="EH4514"/>
      <c r="EI4514"/>
      <c r="EJ4514"/>
      <c r="EK4514"/>
    </row>
    <row r="4515" spans="1:141" s="116" customFormat="1">
      <c r="A4515" s="136"/>
      <c r="CM4515" s="111"/>
      <c r="CQ4515" s="111"/>
      <c r="EF4515"/>
      <c r="EG4515"/>
      <c r="EH4515"/>
      <c r="EI4515"/>
      <c r="EJ4515"/>
      <c r="EK4515"/>
    </row>
    <row r="4516" spans="1:141" s="116" customFormat="1">
      <c r="A4516" s="136"/>
      <c r="CM4516" s="111"/>
      <c r="CQ4516" s="111"/>
      <c r="EF4516"/>
      <c r="EG4516"/>
      <c r="EH4516"/>
      <c r="EI4516"/>
      <c r="EJ4516"/>
      <c r="EK4516"/>
    </row>
    <row r="4517" spans="1:141" s="116" customFormat="1">
      <c r="A4517" s="136"/>
      <c r="CM4517" s="111"/>
      <c r="CQ4517" s="111"/>
      <c r="EF4517"/>
      <c r="EG4517"/>
      <c r="EH4517"/>
      <c r="EI4517"/>
      <c r="EJ4517"/>
      <c r="EK4517"/>
    </row>
    <row r="4518" spans="1:141" s="116" customFormat="1">
      <c r="A4518" s="136"/>
      <c r="CM4518" s="111"/>
      <c r="CQ4518" s="111"/>
      <c r="EF4518"/>
      <c r="EG4518"/>
      <c r="EH4518"/>
      <c r="EI4518"/>
      <c r="EJ4518"/>
      <c r="EK4518"/>
    </row>
    <row r="4519" spans="1:141" s="116" customFormat="1">
      <c r="A4519" s="136"/>
      <c r="CM4519" s="111"/>
      <c r="CQ4519" s="111"/>
      <c r="EF4519"/>
      <c r="EG4519"/>
      <c r="EH4519"/>
      <c r="EI4519"/>
      <c r="EJ4519"/>
      <c r="EK4519"/>
    </row>
    <row r="4520" spans="1:141" s="116" customFormat="1">
      <c r="A4520" s="136"/>
      <c r="CM4520" s="111"/>
      <c r="CQ4520" s="111"/>
      <c r="EF4520"/>
      <c r="EG4520"/>
      <c r="EH4520"/>
      <c r="EI4520"/>
      <c r="EJ4520"/>
      <c r="EK4520"/>
    </row>
    <row r="4521" spans="1:141" s="116" customFormat="1">
      <c r="A4521" s="136"/>
      <c r="CM4521" s="111"/>
      <c r="CQ4521" s="111"/>
      <c r="EF4521"/>
      <c r="EG4521"/>
      <c r="EH4521"/>
      <c r="EI4521"/>
      <c r="EJ4521"/>
      <c r="EK4521"/>
    </row>
    <row r="4522" spans="1:141" s="116" customFormat="1">
      <c r="A4522" s="136"/>
      <c r="CM4522" s="111"/>
      <c r="CQ4522" s="111"/>
      <c r="EF4522"/>
      <c r="EG4522"/>
      <c r="EH4522"/>
      <c r="EI4522"/>
      <c r="EJ4522"/>
      <c r="EK4522"/>
    </row>
    <row r="4523" spans="1:141" s="116" customFormat="1">
      <c r="A4523" s="136"/>
      <c r="CM4523" s="111"/>
      <c r="CQ4523" s="111"/>
      <c r="EF4523"/>
      <c r="EG4523"/>
      <c r="EH4523"/>
      <c r="EI4523"/>
      <c r="EJ4523"/>
      <c r="EK4523"/>
    </row>
    <row r="4524" spans="1:141" s="116" customFormat="1">
      <c r="A4524" s="136"/>
      <c r="CM4524" s="111"/>
      <c r="CQ4524" s="111"/>
      <c r="EF4524"/>
      <c r="EG4524"/>
      <c r="EH4524"/>
      <c r="EI4524"/>
      <c r="EJ4524"/>
      <c r="EK4524"/>
    </row>
    <row r="4525" spans="1:141" s="116" customFormat="1">
      <c r="A4525" s="136"/>
      <c r="CM4525" s="111"/>
      <c r="CQ4525" s="111"/>
      <c r="EF4525"/>
      <c r="EG4525"/>
      <c r="EH4525"/>
      <c r="EI4525"/>
      <c r="EJ4525"/>
      <c r="EK4525"/>
    </row>
    <row r="4526" spans="1:141" s="116" customFormat="1">
      <c r="A4526" s="136"/>
      <c r="CM4526" s="111"/>
      <c r="CQ4526" s="111"/>
      <c r="EF4526"/>
      <c r="EG4526"/>
      <c r="EH4526"/>
      <c r="EI4526"/>
      <c r="EJ4526"/>
      <c r="EK4526"/>
    </row>
    <row r="4527" spans="1:141" s="116" customFormat="1">
      <c r="A4527" s="136"/>
      <c r="CM4527" s="111"/>
      <c r="CQ4527" s="111"/>
      <c r="EF4527"/>
      <c r="EG4527"/>
      <c r="EH4527"/>
      <c r="EI4527"/>
      <c r="EJ4527"/>
      <c r="EK4527"/>
    </row>
    <row r="4528" spans="1:141" s="116" customFormat="1">
      <c r="A4528" s="136"/>
      <c r="CM4528" s="111"/>
      <c r="CQ4528" s="111"/>
      <c r="EF4528"/>
      <c r="EG4528"/>
      <c r="EH4528"/>
      <c r="EI4528"/>
      <c r="EJ4528"/>
      <c r="EK4528"/>
    </row>
    <row r="4529" spans="1:141" s="116" customFormat="1">
      <c r="A4529" s="136"/>
      <c r="CM4529" s="111"/>
      <c r="CQ4529" s="111"/>
      <c r="EF4529"/>
      <c r="EG4529"/>
      <c r="EH4529"/>
      <c r="EI4529"/>
      <c r="EJ4529"/>
      <c r="EK4529"/>
    </row>
    <row r="4530" spans="1:141" s="116" customFormat="1">
      <c r="A4530" s="136"/>
      <c r="CM4530" s="111"/>
      <c r="CQ4530" s="111"/>
      <c r="EF4530"/>
      <c r="EG4530"/>
      <c r="EH4530"/>
      <c r="EI4530"/>
      <c r="EJ4530"/>
      <c r="EK4530"/>
    </row>
    <row r="4531" spans="1:141" s="116" customFormat="1">
      <c r="A4531" s="136"/>
      <c r="CM4531" s="111"/>
      <c r="CQ4531" s="111"/>
      <c r="EF4531"/>
      <c r="EG4531"/>
      <c r="EH4531"/>
      <c r="EI4531"/>
      <c r="EJ4531"/>
      <c r="EK4531"/>
    </row>
    <row r="4532" spans="1:141" s="116" customFormat="1">
      <c r="A4532" s="136"/>
      <c r="CM4532" s="111"/>
      <c r="CQ4532" s="111"/>
      <c r="EF4532"/>
      <c r="EG4532"/>
      <c r="EH4532"/>
      <c r="EI4532"/>
      <c r="EJ4532"/>
      <c r="EK4532"/>
    </row>
    <row r="4533" spans="1:141" s="116" customFormat="1">
      <c r="A4533" s="136"/>
      <c r="CM4533" s="111"/>
      <c r="CQ4533" s="111"/>
      <c r="EF4533"/>
      <c r="EG4533"/>
      <c r="EH4533"/>
      <c r="EI4533"/>
      <c r="EJ4533"/>
      <c r="EK4533"/>
    </row>
    <row r="4534" spans="1:141" s="116" customFormat="1">
      <c r="A4534" s="136"/>
      <c r="CM4534" s="111"/>
      <c r="CQ4534" s="111"/>
      <c r="EF4534"/>
      <c r="EG4534"/>
      <c r="EH4534"/>
      <c r="EI4534"/>
      <c r="EJ4534"/>
      <c r="EK4534"/>
    </row>
    <row r="4535" spans="1:141" s="116" customFormat="1">
      <c r="A4535" s="136"/>
      <c r="CM4535" s="111"/>
      <c r="CQ4535" s="111"/>
      <c r="EF4535"/>
      <c r="EG4535"/>
      <c r="EH4535"/>
      <c r="EI4535"/>
      <c r="EJ4535"/>
      <c r="EK4535"/>
    </row>
    <row r="4536" spans="1:141" s="116" customFormat="1">
      <c r="A4536" s="136"/>
      <c r="CM4536" s="111"/>
      <c r="CQ4536" s="111"/>
      <c r="EF4536"/>
      <c r="EG4536"/>
      <c r="EH4536"/>
      <c r="EI4536"/>
      <c r="EJ4536"/>
      <c r="EK4536"/>
    </row>
    <row r="4537" spans="1:141" s="116" customFormat="1">
      <c r="A4537" s="136"/>
      <c r="CM4537" s="111"/>
      <c r="CQ4537" s="111"/>
      <c r="EF4537"/>
      <c r="EG4537"/>
      <c r="EH4537"/>
      <c r="EI4537"/>
      <c r="EJ4537"/>
      <c r="EK4537"/>
    </row>
    <row r="4538" spans="1:141" s="116" customFormat="1">
      <c r="A4538" s="136"/>
      <c r="CM4538" s="111"/>
      <c r="CQ4538" s="111"/>
      <c r="EF4538"/>
      <c r="EG4538"/>
      <c r="EH4538"/>
      <c r="EI4538"/>
      <c r="EJ4538"/>
      <c r="EK4538"/>
    </row>
    <row r="4539" spans="1:141" s="116" customFormat="1">
      <c r="A4539" s="136"/>
      <c r="CM4539" s="111"/>
      <c r="CQ4539" s="111"/>
      <c r="EF4539"/>
      <c r="EG4539"/>
      <c r="EH4539"/>
      <c r="EI4539"/>
      <c r="EJ4539"/>
      <c r="EK4539"/>
    </row>
    <row r="4540" spans="1:141" s="116" customFormat="1">
      <c r="A4540" s="136"/>
      <c r="CM4540" s="111"/>
      <c r="CQ4540" s="111"/>
      <c r="EF4540"/>
      <c r="EG4540"/>
      <c r="EH4540"/>
      <c r="EI4540"/>
      <c r="EJ4540"/>
      <c r="EK4540"/>
    </row>
    <row r="4541" spans="1:141" s="116" customFormat="1">
      <c r="A4541" s="136"/>
      <c r="CM4541" s="111"/>
      <c r="CQ4541" s="111"/>
      <c r="EF4541"/>
      <c r="EG4541"/>
      <c r="EH4541"/>
      <c r="EI4541"/>
      <c r="EJ4541"/>
      <c r="EK4541"/>
    </row>
    <row r="4542" spans="1:141" s="116" customFormat="1">
      <c r="A4542" s="136"/>
      <c r="CM4542" s="111"/>
      <c r="CQ4542" s="111"/>
      <c r="EF4542"/>
      <c r="EG4542"/>
      <c r="EH4542"/>
      <c r="EI4542"/>
      <c r="EJ4542"/>
      <c r="EK4542"/>
    </row>
    <row r="4543" spans="1:141" s="116" customFormat="1">
      <c r="A4543" s="136"/>
      <c r="CM4543" s="111"/>
      <c r="CQ4543" s="111"/>
      <c r="EF4543"/>
      <c r="EG4543"/>
      <c r="EH4543"/>
      <c r="EI4543"/>
      <c r="EJ4543"/>
      <c r="EK4543"/>
    </row>
    <row r="4544" spans="1:141" s="116" customFormat="1">
      <c r="A4544" s="136"/>
      <c r="CM4544" s="111"/>
      <c r="CQ4544" s="111"/>
      <c r="EF4544"/>
      <c r="EG4544"/>
      <c r="EH4544"/>
      <c r="EI4544"/>
      <c r="EJ4544"/>
      <c r="EK4544"/>
    </row>
    <row r="4545" spans="1:141" s="116" customFormat="1">
      <c r="A4545" s="136"/>
      <c r="CM4545" s="111"/>
      <c r="CQ4545" s="111"/>
      <c r="EF4545"/>
      <c r="EG4545"/>
      <c r="EH4545"/>
      <c r="EI4545"/>
      <c r="EJ4545"/>
      <c r="EK4545"/>
    </row>
    <row r="4546" spans="1:141" s="116" customFormat="1">
      <c r="A4546" s="136"/>
      <c r="CM4546" s="111"/>
      <c r="CQ4546" s="111"/>
      <c r="EF4546"/>
      <c r="EG4546"/>
      <c r="EH4546"/>
      <c r="EI4546"/>
      <c r="EJ4546"/>
      <c r="EK4546"/>
    </row>
    <row r="4547" spans="1:141" s="116" customFormat="1">
      <c r="A4547" s="136"/>
      <c r="CM4547" s="111"/>
      <c r="CQ4547" s="111"/>
      <c r="EF4547"/>
      <c r="EG4547"/>
      <c r="EH4547"/>
      <c r="EI4547"/>
      <c r="EJ4547"/>
      <c r="EK4547"/>
    </row>
    <row r="4548" spans="1:141" s="116" customFormat="1">
      <c r="A4548" s="136"/>
      <c r="CM4548" s="111"/>
      <c r="CQ4548" s="111"/>
      <c r="EF4548"/>
      <c r="EG4548"/>
      <c r="EH4548"/>
      <c r="EI4548"/>
      <c r="EJ4548"/>
      <c r="EK4548"/>
    </row>
    <row r="4549" spans="1:141" s="116" customFormat="1">
      <c r="A4549" s="136"/>
      <c r="CM4549" s="111"/>
      <c r="CQ4549" s="111"/>
      <c r="EF4549"/>
      <c r="EG4549"/>
      <c r="EH4549"/>
      <c r="EI4549"/>
      <c r="EJ4549"/>
      <c r="EK4549"/>
    </row>
    <row r="4550" spans="1:141" s="116" customFormat="1">
      <c r="A4550" s="136"/>
      <c r="CM4550" s="111"/>
      <c r="CQ4550" s="111"/>
      <c r="EF4550"/>
      <c r="EG4550"/>
      <c r="EH4550"/>
      <c r="EI4550"/>
      <c r="EJ4550"/>
      <c r="EK4550"/>
    </row>
    <row r="4551" spans="1:141" s="116" customFormat="1">
      <c r="A4551" s="136"/>
      <c r="CM4551" s="111"/>
      <c r="CQ4551" s="111"/>
      <c r="EF4551"/>
      <c r="EG4551"/>
      <c r="EH4551"/>
      <c r="EI4551"/>
      <c r="EJ4551"/>
      <c r="EK4551"/>
    </row>
    <row r="4552" spans="1:141" s="116" customFormat="1">
      <c r="A4552" s="136"/>
      <c r="CM4552" s="111"/>
      <c r="CQ4552" s="111"/>
      <c r="EF4552"/>
      <c r="EG4552"/>
      <c r="EH4552"/>
      <c r="EI4552"/>
      <c r="EJ4552"/>
      <c r="EK4552"/>
    </row>
    <row r="4553" spans="1:141" s="116" customFormat="1">
      <c r="A4553" s="136"/>
      <c r="CM4553" s="111"/>
      <c r="CQ4553" s="111"/>
      <c r="EF4553"/>
      <c r="EG4553"/>
      <c r="EH4553"/>
      <c r="EI4553"/>
      <c r="EJ4553"/>
      <c r="EK4553"/>
    </row>
    <row r="4554" spans="1:141" s="116" customFormat="1">
      <c r="A4554" s="136"/>
      <c r="CM4554" s="111"/>
      <c r="CQ4554" s="111"/>
      <c r="EF4554"/>
      <c r="EG4554"/>
      <c r="EH4554"/>
      <c r="EI4554"/>
      <c r="EJ4554"/>
      <c r="EK4554"/>
    </row>
    <row r="4555" spans="1:141" s="116" customFormat="1">
      <c r="A4555" s="136"/>
      <c r="CM4555" s="111"/>
      <c r="CQ4555" s="111"/>
      <c r="EF4555"/>
      <c r="EG4555"/>
      <c r="EH4555"/>
      <c r="EI4555"/>
      <c r="EJ4555"/>
      <c r="EK4555"/>
    </row>
    <row r="4556" spans="1:141" s="116" customFormat="1">
      <c r="A4556" s="136"/>
      <c r="CM4556" s="111"/>
      <c r="CQ4556" s="111"/>
      <c r="EF4556"/>
      <c r="EG4556"/>
      <c r="EH4556"/>
      <c r="EI4556"/>
      <c r="EJ4556"/>
      <c r="EK4556"/>
    </row>
    <row r="4557" spans="1:141" s="116" customFormat="1">
      <c r="A4557" s="136"/>
      <c r="CM4557" s="111"/>
      <c r="CQ4557" s="111"/>
      <c r="EF4557"/>
      <c r="EG4557"/>
      <c r="EH4557"/>
      <c r="EI4557"/>
      <c r="EJ4557"/>
      <c r="EK4557"/>
    </row>
    <row r="4558" spans="1:141" s="116" customFormat="1">
      <c r="A4558" s="136"/>
      <c r="CM4558" s="111"/>
      <c r="CQ4558" s="111"/>
      <c r="EF4558"/>
      <c r="EG4558"/>
      <c r="EH4558"/>
      <c r="EI4558"/>
      <c r="EJ4558"/>
      <c r="EK4558"/>
    </row>
    <row r="4559" spans="1:141" s="116" customFormat="1">
      <c r="A4559" s="136"/>
      <c r="CM4559" s="111"/>
      <c r="CQ4559" s="111"/>
      <c r="EF4559"/>
      <c r="EG4559"/>
      <c r="EH4559"/>
      <c r="EI4559"/>
      <c r="EJ4559"/>
      <c r="EK4559"/>
    </row>
    <row r="4560" spans="1:141" s="116" customFormat="1">
      <c r="A4560" s="136"/>
      <c r="CM4560" s="111"/>
      <c r="CQ4560" s="111"/>
      <c r="EF4560"/>
      <c r="EG4560"/>
      <c r="EH4560"/>
      <c r="EI4560"/>
      <c r="EJ4560"/>
      <c r="EK4560"/>
    </row>
    <row r="4561" spans="1:141" s="116" customFormat="1">
      <c r="A4561" s="136"/>
      <c r="CM4561" s="111"/>
      <c r="CQ4561" s="111"/>
      <c r="EF4561"/>
      <c r="EG4561"/>
      <c r="EH4561"/>
      <c r="EI4561"/>
      <c r="EJ4561"/>
      <c r="EK4561"/>
    </row>
    <row r="4562" spans="1:141" s="116" customFormat="1">
      <c r="A4562" s="136"/>
      <c r="CM4562" s="111"/>
      <c r="CQ4562" s="111"/>
      <c r="EF4562"/>
      <c r="EG4562"/>
      <c r="EH4562"/>
      <c r="EI4562"/>
      <c r="EJ4562"/>
      <c r="EK4562"/>
    </row>
    <row r="4563" spans="1:141" s="116" customFormat="1">
      <c r="A4563" s="136"/>
      <c r="CM4563" s="111"/>
      <c r="CQ4563" s="111"/>
      <c r="EF4563"/>
      <c r="EG4563"/>
      <c r="EH4563"/>
      <c r="EI4563"/>
      <c r="EJ4563"/>
      <c r="EK4563"/>
    </row>
    <row r="4564" spans="1:141" s="116" customFormat="1">
      <c r="A4564" s="136"/>
      <c r="CM4564" s="111"/>
      <c r="CQ4564" s="111"/>
      <c r="EF4564"/>
      <c r="EG4564"/>
      <c r="EH4564"/>
      <c r="EI4564"/>
      <c r="EJ4564"/>
      <c r="EK4564"/>
    </row>
    <row r="4565" spans="1:141" s="116" customFormat="1">
      <c r="A4565" s="136"/>
      <c r="CM4565" s="111"/>
      <c r="CQ4565" s="111"/>
      <c r="EF4565"/>
      <c r="EG4565"/>
      <c r="EH4565"/>
      <c r="EI4565"/>
      <c r="EJ4565"/>
      <c r="EK4565"/>
    </row>
    <row r="4566" spans="1:141" s="116" customFormat="1">
      <c r="A4566" s="136"/>
      <c r="CM4566" s="111"/>
      <c r="CQ4566" s="111"/>
      <c r="EF4566"/>
      <c r="EG4566"/>
      <c r="EH4566"/>
      <c r="EI4566"/>
      <c r="EJ4566"/>
      <c r="EK4566"/>
    </row>
    <row r="4567" spans="1:141" s="116" customFormat="1">
      <c r="A4567" s="136"/>
      <c r="CM4567" s="111"/>
      <c r="CQ4567" s="111"/>
      <c r="EF4567"/>
      <c r="EG4567"/>
      <c r="EH4567"/>
      <c r="EI4567"/>
      <c r="EJ4567"/>
      <c r="EK4567"/>
    </row>
    <row r="4568" spans="1:141" s="116" customFormat="1">
      <c r="A4568" s="136"/>
      <c r="CM4568" s="111"/>
      <c r="CQ4568" s="111"/>
      <c r="EF4568"/>
      <c r="EG4568"/>
      <c r="EH4568"/>
      <c r="EI4568"/>
      <c r="EJ4568"/>
      <c r="EK4568"/>
    </row>
    <row r="4569" spans="1:141" s="116" customFormat="1">
      <c r="A4569" s="136"/>
      <c r="CM4569" s="111"/>
      <c r="CQ4569" s="111"/>
      <c r="EF4569"/>
      <c r="EG4569"/>
      <c r="EH4569"/>
      <c r="EI4569"/>
      <c r="EJ4569"/>
      <c r="EK4569"/>
    </row>
    <row r="4570" spans="1:141" s="116" customFormat="1">
      <c r="A4570" s="136"/>
      <c r="CM4570" s="111"/>
      <c r="CQ4570" s="111"/>
      <c r="EF4570"/>
      <c r="EG4570"/>
      <c r="EH4570"/>
      <c r="EI4570"/>
      <c r="EJ4570"/>
      <c r="EK4570"/>
    </row>
    <row r="4571" spans="1:141" s="116" customFormat="1">
      <c r="A4571" s="136"/>
      <c r="CM4571" s="111"/>
      <c r="CQ4571" s="111"/>
      <c r="EF4571"/>
      <c r="EG4571"/>
      <c r="EH4571"/>
      <c r="EI4571"/>
      <c r="EJ4571"/>
      <c r="EK4571"/>
    </row>
    <row r="4572" spans="1:141" s="116" customFormat="1">
      <c r="A4572" s="136"/>
      <c r="CM4572" s="111"/>
      <c r="CQ4572" s="111"/>
      <c r="EF4572"/>
      <c r="EG4572"/>
      <c r="EH4572"/>
      <c r="EI4572"/>
      <c r="EJ4572"/>
      <c r="EK4572"/>
    </row>
    <row r="4573" spans="1:141" s="116" customFormat="1">
      <c r="A4573" s="136"/>
      <c r="CM4573" s="111"/>
      <c r="CQ4573" s="111"/>
      <c r="EF4573"/>
      <c r="EG4573"/>
      <c r="EH4573"/>
      <c r="EI4573"/>
      <c r="EJ4573"/>
      <c r="EK4573"/>
    </row>
    <row r="4574" spans="1:141" s="116" customFormat="1">
      <c r="A4574" s="136"/>
      <c r="CM4574" s="111"/>
      <c r="CQ4574" s="111"/>
      <c r="EF4574"/>
      <c r="EG4574"/>
      <c r="EH4574"/>
      <c r="EI4574"/>
      <c r="EJ4574"/>
      <c r="EK4574"/>
    </row>
    <row r="4575" spans="1:141" s="116" customFormat="1">
      <c r="A4575" s="136"/>
      <c r="CM4575" s="111"/>
      <c r="CQ4575" s="111"/>
      <c r="EF4575"/>
      <c r="EG4575"/>
      <c r="EH4575"/>
      <c r="EI4575"/>
      <c r="EJ4575"/>
      <c r="EK4575"/>
    </row>
    <row r="4576" spans="1:141" s="116" customFormat="1">
      <c r="A4576" s="136"/>
      <c r="CM4576" s="111"/>
      <c r="CQ4576" s="111"/>
      <c r="EF4576"/>
      <c r="EG4576"/>
      <c r="EH4576"/>
      <c r="EI4576"/>
      <c r="EJ4576"/>
      <c r="EK4576"/>
    </row>
    <row r="4577" spans="1:141" s="116" customFormat="1">
      <c r="A4577" s="136"/>
      <c r="CM4577" s="111"/>
      <c r="CQ4577" s="111"/>
      <c r="EF4577"/>
      <c r="EG4577"/>
      <c r="EH4577"/>
      <c r="EI4577"/>
      <c r="EJ4577"/>
      <c r="EK4577"/>
    </row>
    <row r="4578" spans="1:141" s="116" customFormat="1">
      <c r="A4578" s="136"/>
      <c r="CM4578" s="111"/>
      <c r="CQ4578" s="111"/>
      <c r="EF4578"/>
      <c r="EG4578"/>
      <c r="EH4578"/>
      <c r="EI4578"/>
      <c r="EJ4578"/>
      <c r="EK4578"/>
    </row>
    <row r="4579" spans="1:141" s="116" customFormat="1">
      <c r="A4579" s="136"/>
      <c r="CM4579" s="111"/>
      <c r="CQ4579" s="111"/>
      <c r="EF4579"/>
      <c r="EG4579"/>
      <c r="EH4579"/>
      <c r="EI4579"/>
      <c r="EJ4579"/>
      <c r="EK4579"/>
    </row>
    <row r="4580" spans="1:141" s="116" customFormat="1">
      <c r="A4580" s="136"/>
      <c r="CM4580" s="111"/>
      <c r="CQ4580" s="111"/>
      <c r="EF4580"/>
      <c r="EG4580"/>
      <c r="EH4580"/>
      <c r="EI4580"/>
      <c r="EJ4580"/>
      <c r="EK4580"/>
    </row>
    <row r="4581" spans="1:141" s="116" customFormat="1">
      <c r="A4581" s="136"/>
      <c r="CM4581" s="111"/>
      <c r="CQ4581" s="111"/>
      <c r="EF4581"/>
      <c r="EG4581"/>
      <c r="EH4581"/>
      <c r="EI4581"/>
      <c r="EJ4581"/>
      <c r="EK4581"/>
    </row>
    <row r="4582" spans="1:141" s="116" customFormat="1">
      <c r="A4582" s="136"/>
      <c r="CM4582" s="111"/>
      <c r="CQ4582" s="111"/>
      <c r="EF4582"/>
      <c r="EG4582"/>
      <c r="EH4582"/>
      <c r="EI4582"/>
      <c r="EJ4582"/>
      <c r="EK4582"/>
    </row>
    <row r="4583" spans="1:141" s="116" customFormat="1">
      <c r="A4583" s="136"/>
      <c r="CM4583" s="111"/>
      <c r="CQ4583" s="111"/>
      <c r="EF4583"/>
      <c r="EG4583"/>
      <c r="EH4583"/>
      <c r="EI4583"/>
      <c r="EJ4583"/>
      <c r="EK4583"/>
    </row>
    <row r="4584" spans="1:141" s="116" customFormat="1">
      <c r="A4584" s="136"/>
      <c r="CM4584" s="111"/>
      <c r="CQ4584" s="111"/>
      <c r="EF4584"/>
      <c r="EG4584"/>
      <c r="EH4584"/>
      <c r="EI4584"/>
      <c r="EJ4584"/>
      <c r="EK4584"/>
    </row>
    <row r="4585" spans="1:141" s="116" customFormat="1">
      <c r="A4585" s="136"/>
      <c r="CM4585" s="111"/>
      <c r="CQ4585" s="111"/>
      <c r="EF4585"/>
      <c r="EG4585"/>
      <c r="EH4585"/>
      <c r="EI4585"/>
      <c r="EJ4585"/>
      <c r="EK4585"/>
    </row>
    <row r="4586" spans="1:141" s="116" customFormat="1">
      <c r="A4586" s="136"/>
      <c r="CM4586" s="111"/>
      <c r="CQ4586" s="111"/>
      <c r="EF4586"/>
      <c r="EG4586"/>
      <c r="EH4586"/>
      <c r="EI4586"/>
      <c r="EJ4586"/>
      <c r="EK4586"/>
    </row>
    <row r="4587" spans="1:141" s="116" customFormat="1">
      <c r="A4587" s="136"/>
      <c r="CM4587" s="111"/>
      <c r="CQ4587" s="111"/>
      <c r="EF4587"/>
      <c r="EG4587"/>
      <c r="EH4587"/>
      <c r="EI4587"/>
      <c r="EJ4587"/>
      <c r="EK4587"/>
    </row>
    <row r="4588" spans="1:141" s="116" customFormat="1">
      <c r="A4588" s="136"/>
      <c r="CM4588" s="111"/>
      <c r="CQ4588" s="111"/>
      <c r="EF4588"/>
      <c r="EG4588"/>
      <c r="EH4588"/>
      <c r="EI4588"/>
      <c r="EJ4588"/>
      <c r="EK4588"/>
    </row>
    <row r="4589" spans="1:141" s="116" customFormat="1">
      <c r="A4589" s="136"/>
      <c r="CM4589" s="111"/>
      <c r="CQ4589" s="111"/>
      <c r="EF4589"/>
      <c r="EG4589"/>
      <c r="EH4589"/>
      <c r="EI4589"/>
      <c r="EJ4589"/>
      <c r="EK4589"/>
    </row>
    <row r="4590" spans="1:141" s="116" customFormat="1">
      <c r="A4590" s="136"/>
      <c r="CM4590" s="111"/>
      <c r="CQ4590" s="111"/>
      <c r="EF4590"/>
      <c r="EG4590"/>
      <c r="EH4590"/>
      <c r="EI4590"/>
      <c r="EJ4590"/>
      <c r="EK4590"/>
    </row>
    <row r="4591" spans="1:141" s="116" customFormat="1">
      <c r="A4591" s="136"/>
      <c r="CM4591" s="111"/>
      <c r="CQ4591" s="111"/>
      <c r="EF4591"/>
      <c r="EG4591"/>
      <c r="EH4591"/>
      <c r="EI4591"/>
      <c r="EJ4591"/>
      <c r="EK4591"/>
    </row>
    <row r="4592" spans="1:141" s="116" customFormat="1">
      <c r="A4592" s="136"/>
      <c r="CM4592" s="111"/>
      <c r="CQ4592" s="111"/>
      <c r="EF4592"/>
      <c r="EG4592"/>
      <c r="EH4592"/>
      <c r="EI4592"/>
      <c r="EJ4592"/>
      <c r="EK4592"/>
    </row>
    <row r="4593" spans="1:141" s="116" customFormat="1">
      <c r="A4593" s="136"/>
      <c r="CM4593" s="111"/>
      <c r="CQ4593" s="111"/>
      <c r="EF4593"/>
      <c r="EG4593"/>
      <c r="EH4593"/>
      <c r="EI4593"/>
      <c r="EJ4593"/>
      <c r="EK4593"/>
    </row>
    <row r="4594" spans="1:141" s="116" customFormat="1">
      <c r="A4594" s="136"/>
      <c r="CM4594" s="111"/>
      <c r="CQ4594" s="111"/>
      <c r="EF4594"/>
      <c r="EG4594"/>
      <c r="EH4594"/>
      <c r="EI4594"/>
      <c r="EJ4594"/>
      <c r="EK4594"/>
    </row>
    <row r="4595" spans="1:141" s="116" customFormat="1">
      <c r="A4595" s="136"/>
      <c r="CM4595" s="111"/>
      <c r="CQ4595" s="111"/>
      <c r="EF4595"/>
      <c r="EG4595"/>
      <c r="EH4595"/>
      <c r="EI4595"/>
      <c r="EJ4595"/>
      <c r="EK4595"/>
    </row>
    <row r="4596" spans="1:141" s="116" customFormat="1">
      <c r="A4596" s="136"/>
      <c r="CM4596" s="111"/>
      <c r="CQ4596" s="111"/>
      <c r="EF4596"/>
      <c r="EG4596"/>
      <c r="EH4596"/>
      <c r="EI4596"/>
      <c r="EJ4596"/>
      <c r="EK4596"/>
    </row>
    <row r="4597" spans="1:141" s="116" customFormat="1">
      <c r="A4597" s="136"/>
      <c r="CM4597" s="111"/>
      <c r="CQ4597" s="111"/>
      <c r="EF4597"/>
      <c r="EG4597"/>
      <c r="EH4597"/>
      <c r="EI4597"/>
      <c r="EJ4597"/>
      <c r="EK4597"/>
    </row>
    <row r="4598" spans="1:141" s="116" customFormat="1">
      <c r="A4598" s="136"/>
      <c r="CM4598" s="111"/>
      <c r="CQ4598" s="111"/>
      <c r="EF4598"/>
      <c r="EG4598"/>
      <c r="EH4598"/>
      <c r="EI4598"/>
      <c r="EJ4598"/>
      <c r="EK4598"/>
    </row>
    <row r="4599" spans="1:141" s="116" customFormat="1">
      <c r="A4599" s="136"/>
      <c r="CM4599" s="111"/>
      <c r="CQ4599" s="111"/>
      <c r="EF4599"/>
      <c r="EG4599"/>
      <c r="EH4599"/>
      <c r="EI4599"/>
      <c r="EJ4599"/>
      <c r="EK4599"/>
    </row>
    <row r="4600" spans="1:141" s="116" customFormat="1">
      <c r="A4600" s="136"/>
      <c r="CM4600" s="111"/>
      <c r="CQ4600" s="111"/>
      <c r="EF4600"/>
      <c r="EG4600"/>
      <c r="EH4600"/>
      <c r="EI4600"/>
      <c r="EJ4600"/>
      <c r="EK4600"/>
    </row>
    <row r="4601" spans="1:141" s="116" customFormat="1">
      <c r="A4601" s="136"/>
      <c r="CM4601" s="111"/>
      <c r="CQ4601" s="111"/>
      <c r="EF4601"/>
      <c r="EG4601"/>
      <c r="EH4601"/>
      <c r="EI4601"/>
      <c r="EJ4601"/>
      <c r="EK4601"/>
    </row>
    <row r="4602" spans="1:141" s="116" customFormat="1">
      <c r="A4602" s="136"/>
      <c r="CM4602" s="111"/>
      <c r="CQ4602" s="111"/>
      <c r="EF4602"/>
      <c r="EG4602"/>
      <c r="EH4602"/>
      <c r="EI4602"/>
      <c r="EJ4602"/>
      <c r="EK4602"/>
    </row>
    <row r="4603" spans="1:141" s="116" customFormat="1">
      <c r="A4603" s="136"/>
      <c r="CM4603" s="111"/>
      <c r="CQ4603" s="111"/>
      <c r="EF4603"/>
      <c r="EG4603"/>
      <c r="EH4603"/>
      <c r="EI4603"/>
      <c r="EJ4603"/>
      <c r="EK4603"/>
    </row>
    <row r="4604" spans="1:141" s="116" customFormat="1">
      <c r="A4604" s="136"/>
      <c r="CM4604" s="111"/>
      <c r="CQ4604" s="111"/>
      <c r="EF4604"/>
      <c r="EG4604"/>
      <c r="EH4604"/>
      <c r="EI4604"/>
      <c r="EJ4604"/>
      <c r="EK4604"/>
    </row>
    <row r="4605" spans="1:141" s="116" customFormat="1">
      <c r="A4605" s="136"/>
      <c r="CM4605" s="111"/>
      <c r="CQ4605" s="111"/>
      <c r="EF4605"/>
      <c r="EG4605"/>
      <c r="EH4605"/>
      <c r="EI4605"/>
      <c r="EJ4605"/>
      <c r="EK4605"/>
    </row>
    <row r="4606" spans="1:141" s="116" customFormat="1">
      <c r="A4606" s="136"/>
      <c r="CM4606" s="111"/>
      <c r="CQ4606" s="111"/>
      <c r="EF4606"/>
      <c r="EG4606"/>
      <c r="EH4606"/>
      <c r="EI4606"/>
      <c r="EJ4606"/>
      <c r="EK4606"/>
    </row>
    <row r="4607" spans="1:141" s="116" customFormat="1">
      <c r="A4607" s="136"/>
      <c r="CM4607" s="111"/>
      <c r="CQ4607" s="111"/>
      <c r="EF4607"/>
      <c r="EG4607"/>
      <c r="EH4607"/>
      <c r="EI4607"/>
      <c r="EJ4607"/>
      <c r="EK4607"/>
    </row>
    <row r="4608" spans="1:141" s="116" customFormat="1">
      <c r="A4608" s="136"/>
      <c r="CM4608" s="111"/>
      <c r="CQ4608" s="111"/>
      <c r="EF4608"/>
      <c r="EG4608"/>
      <c r="EH4608"/>
      <c r="EI4608"/>
      <c r="EJ4608"/>
      <c r="EK4608"/>
    </row>
    <row r="4609" spans="1:141" s="116" customFormat="1">
      <c r="A4609" s="136"/>
      <c r="CM4609" s="111"/>
      <c r="CQ4609" s="111"/>
      <c r="EF4609"/>
      <c r="EG4609"/>
      <c r="EH4609"/>
      <c r="EI4609"/>
      <c r="EJ4609"/>
      <c r="EK4609"/>
    </row>
    <row r="4610" spans="1:141" s="116" customFormat="1">
      <c r="A4610" s="136"/>
      <c r="CM4610" s="111"/>
      <c r="CQ4610" s="111"/>
      <c r="EF4610"/>
      <c r="EG4610"/>
      <c r="EH4610"/>
      <c r="EI4610"/>
      <c r="EJ4610"/>
      <c r="EK4610"/>
    </row>
    <row r="4611" spans="1:141" s="116" customFormat="1">
      <c r="A4611" s="136"/>
      <c r="CM4611" s="111"/>
      <c r="CQ4611" s="111"/>
      <c r="EF4611"/>
      <c r="EG4611"/>
      <c r="EH4611"/>
      <c r="EI4611"/>
      <c r="EJ4611"/>
      <c r="EK4611"/>
    </row>
    <row r="4612" spans="1:141" s="116" customFormat="1">
      <c r="A4612" s="136"/>
      <c r="CM4612" s="111"/>
      <c r="CQ4612" s="111"/>
      <c r="EF4612"/>
      <c r="EG4612"/>
      <c r="EH4612"/>
      <c r="EI4612"/>
      <c r="EJ4612"/>
      <c r="EK4612"/>
    </row>
    <row r="4613" spans="1:141" s="116" customFormat="1">
      <c r="A4613" s="136"/>
      <c r="CM4613" s="111"/>
      <c r="CQ4613" s="111"/>
      <c r="EF4613"/>
      <c r="EG4613"/>
      <c r="EH4613"/>
      <c r="EI4613"/>
      <c r="EJ4613"/>
      <c r="EK4613"/>
    </row>
    <row r="4614" spans="1:141" s="116" customFormat="1">
      <c r="A4614" s="136"/>
      <c r="CM4614" s="111"/>
      <c r="CQ4614" s="111"/>
      <c r="EF4614"/>
      <c r="EG4614"/>
      <c r="EH4614"/>
      <c r="EI4614"/>
      <c r="EJ4614"/>
      <c r="EK4614"/>
    </row>
    <row r="4615" spans="1:141" s="116" customFormat="1">
      <c r="A4615" s="136"/>
      <c r="CM4615" s="111"/>
      <c r="CQ4615" s="111"/>
      <c r="EF4615"/>
      <c r="EG4615"/>
      <c r="EH4615"/>
      <c r="EI4615"/>
      <c r="EJ4615"/>
      <c r="EK4615"/>
    </row>
    <row r="4616" spans="1:141" s="116" customFormat="1">
      <c r="A4616" s="136"/>
      <c r="CM4616" s="111"/>
      <c r="CQ4616" s="111"/>
      <c r="EF4616"/>
      <c r="EG4616"/>
      <c r="EH4616"/>
      <c r="EI4616"/>
      <c r="EJ4616"/>
      <c r="EK4616"/>
    </row>
    <row r="4617" spans="1:141" s="116" customFormat="1">
      <c r="A4617" s="136"/>
      <c r="CM4617" s="111"/>
      <c r="CQ4617" s="111"/>
      <c r="EF4617"/>
      <c r="EG4617"/>
      <c r="EH4617"/>
      <c r="EI4617"/>
      <c r="EJ4617"/>
      <c r="EK4617"/>
    </row>
    <row r="4618" spans="1:141" s="116" customFormat="1">
      <c r="A4618" s="136"/>
      <c r="CM4618" s="111"/>
      <c r="CQ4618" s="111"/>
      <c r="EF4618"/>
      <c r="EG4618"/>
      <c r="EH4618"/>
      <c r="EI4618"/>
      <c r="EJ4618"/>
      <c r="EK4618"/>
    </row>
    <row r="4619" spans="1:141" s="116" customFormat="1">
      <c r="A4619" s="136"/>
      <c r="CM4619" s="111"/>
      <c r="CQ4619" s="111"/>
      <c r="EF4619"/>
      <c r="EG4619"/>
      <c r="EH4619"/>
      <c r="EI4619"/>
      <c r="EJ4619"/>
      <c r="EK4619"/>
    </row>
    <row r="4620" spans="1:141" s="116" customFormat="1">
      <c r="A4620" s="136"/>
      <c r="CM4620" s="111"/>
      <c r="CQ4620" s="111"/>
      <c r="EF4620"/>
      <c r="EG4620"/>
      <c r="EH4620"/>
      <c r="EI4620"/>
      <c r="EJ4620"/>
      <c r="EK4620"/>
    </row>
    <row r="4621" spans="1:141" s="116" customFormat="1">
      <c r="A4621" s="136"/>
      <c r="CM4621" s="111"/>
      <c r="CQ4621" s="111"/>
      <c r="EF4621"/>
      <c r="EG4621"/>
      <c r="EH4621"/>
      <c r="EI4621"/>
      <c r="EJ4621"/>
      <c r="EK4621"/>
    </row>
    <row r="4622" spans="1:141" s="116" customFormat="1">
      <c r="A4622" s="136"/>
      <c r="CM4622" s="111"/>
      <c r="CQ4622" s="111"/>
      <c r="EF4622"/>
      <c r="EG4622"/>
      <c r="EH4622"/>
      <c r="EI4622"/>
      <c r="EJ4622"/>
      <c r="EK4622"/>
    </row>
    <row r="4623" spans="1:141" s="116" customFormat="1">
      <c r="A4623" s="136"/>
      <c r="CM4623" s="111"/>
      <c r="CQ4623" s="111"/>
      <c r="EF4623"/>
      <c r="EG4623"/>
      <c r="EH4623"/>
      <c r="EI4623"/>
      <c r="EJ4623"/>
      <c r="EK4623"/>
    </row>
    <row r="4624" spans="1:141" s="116" customFormat="1">
      <c r="A4624" s="136"/>
      <c r="CM4624" s="111"/>
      <c r="CQ4624" s="111"/>
      <c r="EF4624"/>
      <c r="EG4624"/>
      <c r="EH4624"/>
      <c r="EI4624"/>
      <c r="EJ4624"/>
      <c r="EK4624"/>
    </row>
    <row r="4625" spans="1:141" s="116" customFormat="1">
      <c r="A4625" s="136"/>
      <c r="CM4625" s="111"/>
      <c r="CQ4625" s="111"/>
      <c r="EF4625"/>
      <c r="EG4625"/>
      <c r="EH4625"/>
      <c r="EI4625"/>
      <c r="EJ4625"/>
      <c r="EK4625"/>
    </row>
    <row r="4626" spans="1:141" s="116" customFormat="1">
      <c r="A4626" s="136"/>
      <c r="CM4626" s="111"/>
      <c r="CQ4626" s="111"/>
      <c r="EF4626"/>
      <c r="EG4626"/>
      <c r="EH4626"/>
      <c r="EI4626"/>
      <c r="EJ4626"/>
      <c r="EK4626"/>
    </row>
    <row r="4627" spans="1:141" s="116" customFormat="1">
      <c r="A4627" s="136"/>
      <c r="CM4627" s="111"/>
      <c r="CQ4627" s="111"/>
      <c r="EF4627"/>
      <c r="EG4627"/>
      <c r="EH4627"/>
      <c r="EI4627"/>
      <c r="EJ4627"/>
      <c r="EK4627"/>
    </row>
    <row r="4628" spans="1:141" s="116" customFormat="1">
      <c r="A4628" s="136"/>
      <c r="CM4628" s="111"/>
      <c r="CQ4628" s="111"/>
      <c r="EF4628"/>
      <c r="EG4628"/>
      <c r="EH4628"/>
      <c r="EI4628"/>
      <c r="EJ4628"/>
      <c r="EK4628"/>
    </row>
    <row r="4629" spans="1:141" s="116" customFormat="1">
      <c r="A4629" s="136"/>
      <c r="CM4629" s="111"/>
      <c r="CQ4629" s="111"/>
      <c r="EF4629"/>
      <c r="EG4629"/>
      <c r="EH4629"/>
      <c r="EI4629"/>
      <c r="EJ4629"/>
      <c r="EK4629"/>
    </row>
    <row r="4630" spans="1:141" s="116" customFormat="1">
      <c r="A4630" s="136"/>
      <c r="CM4630" s="111"/>
      <c r="CQ4630" s="111"/>
      <c r="EF4630"/>
      <c r="EG4630"/>
      <c r="EH4630"/>
      <c r="EI4630"/>
      <c r="EJ4630"/>
      <c r="EK4630"/>
    </row>
    <row r="4631" spans="1:141" s="116" customFormat="1">
      <c r="A4631" s="136"/>
      <c r="CM4631" s="111"/>
      <c r="CQ4631" s="111"/>
      <c r="EF4631"/>
      <c r="EG4631"/>
      <c r="EH4631"/>
      <c r="EI4631"/>
      <c r="EJ4631"/>
      <c r="EK4631"/>
    </row>
    <row r="4632" spans="1:141" s="116" customFormat="1">
      <c r="A4632" s="136"/>
      <c r="CM4632" s="111"/>
      <c r="CQ4632" s="111"/>
      <c r="EF4632"/>
      <c r="EG4632"/>
      <c r="EH4632"/>
      <c r="EI4632"/>
      <c r="EJ4632"/>
      <c r="EK4632"/>
    </row>
    <row r="4633" spans="1:141" s="116" customFormat="1">
      <c r="A4633" s="136"/>
      <c r="CM4633" s="111"/>
      <c r="CQ4633" s="111"/>
      <c r="EF4633"/>
      <c r="EG4633"/>
      <c r="EH4633"/>
      <c r="EI4633"/>
      <c r="EJ4633"/>
      <c r="EK4633"/>
    </row>
    <row r="4634" spans="1:141" s="116" customFormat="1">
      <c r="A4634" s="136"/>
      <c r="CM4634" s="111"/>
      <c r="CQ4634" s="111"/>
      <c r="EF4634"/>
      <c r="EG4634"/>
      <c r="EH4634"/>
      <c r="EI4634"/>
      <c r="EJ4634"/>
      <c r="EK4634"/>
    </row>
    <row r="4635" spans="1:141" s="116" customFormat="1">
      <c r="A4635" s="136"/>
      <c r="CM4635" s="111"/>
      <c r="CQ4635" s="111"/>
      <c r="EF4635"/>
      <c r="EG4635"/>
      <c r="EH4635"/>
      <c r="EI4635"/>
      <c r="EJ4635"/>
      <c r="EK4635"/>
    </row>
    <row r="4636" spans="1:141" s="116" customFormat="1">
      <c r="A4636" s="136"/>
      <c r="CM4636" s="111"/>
      <c r="CQ4636" s="111"/>
      <c r="EF4636"/>
      <c r="EG4636"/>
      <c r="EH4636"/>
      <c r="EI4636"/>
      <c r="EJ4636"/>
      <c r="EK4636"/>
    </row>
    <row r="4637" spans="1:141" s="116" customFormat="1">
      <c r="A4637" s="136"/>
      <c r="CM4637" s="111"/>
      <c r="CQ4637" s="111"/>
      <c r="EF4637"/>
      <c r="EG4637"/>
      <c r="EH4637"/>
      <c r="EI4637"/>
      <c r="EJ4637"/>
      <c r="EK4637"/>
    </row>
    <row r="4638" spans="1:141" s="116" customFormat="1">
      <c r="A4638" s="136"/>
      <c r="CM4638" s="111"/>
      <c r="CQ4638" s="111"/>
      <c r="EF4638"/>
      <c r="EG4638"/>
      <c r="EH4638"/>
      <c r="EI4638"/>
      <c r="EJ4638"/>
      <c r="EK4638"/>
    </row>
    <row r="4639" spans="1:141" s="116" customFormat="1">
      <c r="A4639" s="136"/>
      <c r="CM4639" s="111"/>
      <c r="CQ4639" s="111"/>
      <c r="EF4639"/>
      <c r="EG4639"/>
      <c r="EH4639"/>
      <c r="EI4639"/>
      <c r="EJ4639"/>
      <c r="EK4639"/>
    </row>
    <row r="4640" spans="1:141" s="116" customFormat="1">
      <c r="A4640" s="136"/>
      <c r="CM4640" s="111"/>
      <c r="CQ4640" s="111"/>
      <c r="EF4640"/>
      <c r="EG4640"/>
      <c r="EH4640"/>
      <c r="EI4640"/>
      <c r="EJ4640"/>
      <c r="EK4640"/>
    </row>
    <row r="4641" spans="1:141" s="116" customFormat="1">
      <c r="A4641" s="136"/>
      <c r="CM4641" s="111"/>
      <c r="CQ4641" s="111"/>
      <c r="EF4641"/>
      <c r="EG4641"/>
      <c r="EH4641"/>
      <c r="EI4641"/>
      <c r="EJ4641"/>
      <c r="EK4641"/>
    </row>
    <row r="4642" spans="1:141" s="116" customFormat="1">
      <c r="A4642" s="136"/>
      <c r="CM4642" s="111"/>
      <c r="CQ4642" s="111"/>
      <c r="EF4642"/>
      <c r="EG4642"/>
      <c r="EH4642"/>
      <c r="EI4642"/>
      <c r="EJ4642"/>
      <c r="EK4642"/>
    </row>
    <row r="4643" spans="1:141" s="116" customFormat="1">
      <c r="A4643" s="136"/>
      <c r="CM4643" s="111"/>
      <c r="CQ4643" s="111"/>
      <c r="EF4643"/>
      <c r="EG4643"/>
      <c r="EH4643"/>
      <c r="EI4643"/>
      <c r="EJ4643"/>
      <c r="EK4643"/>
    </row>
    <row r="4644" spans="1:141" s="116" customFormat="1">
      <c r="A4644" s="136"/>
      <c r="CM4644" s="111"/>
      <c r="CQ4644" s="111"/>
      <c r="EF4644"/>
      <c r="EG4644"/>
      <c r="EH4644"/>
      <c r="EI4644"/>
      <c r="EJ4644"/>
      <c r="EK4644"/>
    </row>
    <row r="4645" spans="1:141" s="116" customFormat="1">
      <c r="A4645" s="136"/>
      <c r="CM4645" s="111"/>
      <c r="CQ4645" s="111"/>
      <c r="EF4645"/>
      <c r="EG4645"/>
      <c r="EH4645"/>
      <c r="EI4645"/>
      <c r="EJ4645"/>
      <c r="EK4645"/>
    </row>
    <row r="4646" spans="1:141" s="116" customFormat="1">
      <c r="A4646" s="136"/>
      <c r="CM4646" s="111"/>
      <c r="CQ4646" s="111"/>
      <c r="EF4646"/>
      <c r="EG4646"/>
      <c r="EH4646"/>
      <c r="EI4646"/>
      <c r="EJ4646"/>
      <c r="EK4646"/>
    </row>
    <row r="4647" spans="1:141" s="116" customFormat="1">
      <c r="A4647" s="136"/>
      <c r="CM4647" s="111"/>
      <c r="CQ4647" s="111"/>
      <c r="EF4647"/>
      <c r="EG4647"/>
      <c r="EH4647"/>
      <c r="EI4647"/>
      <c r="EJ4647"/>
      <c r="EK4647"/>
    </row>
    <row r="4648" spans="1:141" s="116" customFormat="1">
      <c r="A4648" s="136"/>
      <c r="CM4648" s="111"/>
      <c r="CQ4648" s="111"/>
      <c r="EF4648"/>
      <c r="EG4648"/>
      <c r="EH4648"/>
      <c r="EI4648"/>
      <c r="EJ4648"/>
      <c r="EK4648"/>
    </row>
    <row r="4649" spans="1:141" s="116" customFormat="1">
      <c r="A4649" s="136"/>
      <c r="CM4649" s="111"/>
      <c r="CQ4649" s="111"/>
      <c r="EF4649"/>
      <c r="EG4649"/>
      <c r="EH4649"/>
      <c r="EI4649"/>
      <c r="EJ4649"/>
      <c r="EK4649"/>
    </row>
    <row r="4650" spans="1:141" s="116" customFormat="1">
      <c r="A4650" s="136"/>
      <c r="CM4650" s="111"/>
      <c r="CQ4650" s="111"/>
      <c r="EF4650"/>
      <c r="EG4650"/>
      <c r="EH4650"/>
      <c r="EI4650"/>
      <c r="EJ4650"/>
      <c r="EK4650"/>
    </row>
    <row r="4651" spans="1:141" s="116" customFormat="1">
      <c r="A4651" s="136"/>
      <c r="CM4651" s="111"/>
      <c r="CQ4651" s="111"/>
      <c r="EF4651"/>
      <c r="EG4651"/>
      <c r="EH4651"/>
      <c r="EI4651"/>
      <c r="EJ4651"/>
      <c r="EK4651"/>
    </row>
    <row r="4652" spans="1:141" s="116" customFormat="1">
      <c r="A4652" s="136"/>
      <c r="CM4652" s="111"/>
      <c r="CQ4652" s="111"/>
      <c r="EF4652"/>
      <c r="EG4652"/>
      <c r="EH4652"/>
      <c r="EI4652"/>
      <c r="EJ4652"/>
      <c r="EK4652"/>
    </row>
    <row r="4653" spans="1:141" s="116" customFormat="1">
      <c r="A4653" s="136"/>
      <c r="CM4653" s="111"/>
      <c r="CQ4653" s="111"/>
      <c r="EF4653"/>
      <c r="EG4653"/>
      <c r="EH4653"/>
      <c r="EI4653"/>
      <c r="EJ4653"/>
      <c r="EK4653"/>
    </row>
    <row r="4654" spans="1:141" s="116" customFormat="1">
      <c r="A4654" s="136"/>
      <c r="CM4654" s="111"/>
      <c r="CQ4654" s="111"/>
      <c r="EF4654"/>
      <c r="EG4654"/>
      <c r="EH4654"/>
      <c r="EI4654"/>
      <c r="EJ4654"/>
      <c r="EK4654"/>
    </row>
    <row r="4655" spans="1:141" s="116" customFormat="1">
      <c r="A4655" s="136"/>
      <c r="CM4655" s="111"/>
      <c r="CQ4655" s="111"/>
      <c r="EF4655"/>
      <c r="EG4655"/>
      <c r="EH4655"/>
      <c r="EI4655"/>
      <c r="EJ4655"/>
      <c r="EK4655"/>
    </row>
    <row r="4656" spans="1:141" s="116" customFormat="1">
      <c r="A4656" s="136"/>
      <c r="CM4656" s="111"/>
      <c r="CQ4656" s="111"/>
      <c r="EF4656"/>
      <c r="EG4656"/>
      <c r="EH4656"/>
      <c r="EI4656"/>
      <c r="EJ4656"/>
      <c r="EK4656"/>
    </row>
    <row r="4657" spans="1:141" s="116" customFormat="1">
      <c r="A4657" s="136"/>
      <c r="CM4657" s="111"/>
      <c r="CQ4657" s="111"/>
      <c r="EF4657"/>
      <c r="EG4657"/>
      <c r="EH4657"/>
      <c r="EI4657"/>
      <c r="EJ4657"/>
      <c r="EK4657"/>
    </row>
    <row r="4658" spans="1:141" s="116" customFormat="1">
      <c r="A4658" s="136"/>
      <c r="CM4658" s="111"/>
      <c r="CQ4658" s="111"/>
      <c r="EF4658"/>
      <c r="EG4658"/>
      <c r="EH4658"/>
      <c r="EI4658"/>
      <c r="EJ4658"/>
      <c r="EK4658"/>
    </row>
    <row r="4659" spans="1:141" s="116" customFormat="1">
      <c r="A4659" s="136"/>
      <c r="CM4659" s="111"/>
      <c r="CQ4659" s="111"/>
      <c r="EF4659"/>
      <c r="EG4659"/>
      <c r="EH4659"/>
      <c r="EI4659"/>
      <c r="EJ4659"/>
      <c r="EK4659"/>
    </row>
    <row r="4660" spans="1:141" s="116" customFormat="1">
      <c r="A4660" s="136"/>
      <c r="CM4660" s="111"/>
      <c r="CQ4660" s="111"/>
      <c r="EF4660"/>
      <c r="EG4660"/>
      <c r="EH4660"/>
      <c r="EI4660"/>
      <c r="EJ4660"/>
      <c r="EK4660"/>
    </row>
    <row r="4661" spans="1:141" s="116" customFormat="1">
      <c r="A4661" s="136"/>
      <c r="CM4661" s="111"/>
      <c r="CQ4661" s="111"/>
      <c r="EF4661"/>
      <c r="EG4661"/>
      <c r="EH4661"/>
      <c r="EI4661"/>
      <c r="EJ4661"/>
      <c r="EK4661"/>
    </row>
    <row r="4662" spans="1:141" s="116" customFormat="1">
      <c r="A4662" s="136"/>
      <c r="CM4662" s="111"/>
      <c r="CQ4662" s="111"/>
      <c r="EF4662"/>
      <c r="EG4662"/>
      <c r="EH4662"/>
      <c r="EI4662"/>
      <c r="EJ4662"/>
      <c r="EK4662"/>
    </row>
    <row r="4663" spans="1:141" s="116" customFormat="1">
      <c r="A4663" s="136"/>
      <c r="CM4663" s="111"/>
      <c r="CQ4663" s="111"/>
      <c r="EF4663"/>
      <c r="EG4663"/>
      <c r="EH4663"/>
      <c r="EI4663"/>
      <c r="EJ4663"/>
      <c r="EK4663"/>
    </row>
    <row r="4664" spans="1:141" s="116" customFormat="1">
      <c r="A4664" s="136"/>
      <c r="CM4664" s="111"/>
      <c r="CQ4664" s="111"/>
      <c r="EF4664"/>
      <c r="EG4664"/>
      <c r="EH4664"/>
      <c r="EI4664"/>
      <c r="EJ4664"/>
      <c r="EK4664"/>
    </row>
    <row r="4665" spans="1:141" s="116" customFormat="1">
      <c r="A4665" s="136"/>
      <c r="CM4665" s="111"/>
      <c r="CQ4665" s="111"/>
      <c r="EF4665"/>
      <c r="EG4665"/>
      <c r="EH4665"/>
      <c r="EI4665"/>
      <c r="EJ4665"/>
      <c r="EK4665"/>
    </row>
    <row r="4666" spans="1:141" s="116" customFormat="1">
      <c r="A4666" s="136"/>
      <c r="CM4666" s="111"/>
      <c r="CQ4666" s="111"/>
      <c r="EF4666"/>
      <c r="EG4666"/>
      <c r="EH4666"/>
      <c r="EI4666"/>
      <c r="EJ4666"/>
      <c r="EK4666"/>
    </row>
    <row r="4667" spans="1:141" s="116" customFormat="1">
      <c r="A4667" s="136"/>
      <c r="CM4667" s="111"/>
      <c r="CQ4667" s="111"/>
      <c r="EF4667"/>
      <c r="EG4667"/>
      <c r="EH4667"/>
      <c r="EI4667"/>
      <c r="EJ4667"/>
      <c r="EK4667"/>
    </row>
    <row r="4668" spans="1:141" s="116" customFormat="1">
      <c r="A4668" s="136"/>
      <c r="CM4668" s="111"/>
      <c r="CQ4668" s="111"/>
      <c r="EF4668"/>
      <c r="EG4668"/>
      <c r="EH4668"/>
      <c r="EI4668"/>
      <c r="EJ4668"/>
      <c r="EK4668"/>
    </row>
    <row r="4669" spans="1:141" s="116" customFormat="1">
      <c r="A4669" s="136"/>
      <c r="CM4669" s="111"/>
      <c r="CQ4669" s="111"/>
      <c r="EF4669"/>
      <c r="EG4669"/>
      <c r="EH4669"/>
      <c r="EI4669"/>
      <c r="EJ4669"/>
      <c r="EK4669"/>
    </row>
    <row r="4670" spans="1:141" s="116" customFormat="1">
      <c r="A4670" s="136"/>
      <c r="CM4670" s="111"/>
      <c r="CQ4670" s="111"/>
      <c r="EF4670"/>
      <c r="EG4670"/>
      <c r="EH4670"/>
      <c r="EI4670"/>
      <c r="EJ4670"/>
      <c r="EK4670"/>
    </row>
    <row r="4671" spans="1:141" s="116" customFormat="1">
      <c r="A4671" s="136"/>
      <c r="CM4671" s="111"/>
      <c r="CQ4671" s="111"/>
      <c r="EF4671"/>
      <c r="EG4671"/>
      <c r="EH4671"/>
      <c r="EI4671"/>
      <c r="EJ4671"/>
      <c r="EK4671"/>
    </row>
    <row r="4672" spans="1:141" s="116" customFormat="1">
      <c r="A4672" s="136"/>
      <c r="CM4672" s="111"/>
      <c r="CQ4672" s="111"/>
      <c r="EF4672"/>
      <c r="EG4672"/>
      <c r="EH4672"/>
      <c r="EI4672"/>
      <c r="EJ4672"/>
      <c r="EK4672"/>
    </row>
    <row r="4673" spans="1:141" s="116" customFormat="1">
      <c r="A4673" s="136"/>
      <c r="CM4673" s="111"/>
      <c r="CQ4673" s="111"/>
      <c r="EF4673"/>
      <c r="EG4673"/>
      <c r="EH4673"/>
      <c r="EI4673"/>
      <c r="EJ4673"/>
      <c r="EK4673"/>
    </row>
    <row r="4674" spans="1:141" s="116" customFormat="1">
      <c r="A4674" s="136"/>
      <c r="CM4674" s="111"/>
      <c r="CQ4674" s="111"/>
      <c r="EF4674"/>
      <c r="EG4674"/>
      <c r="EH4674"/>
      <c r="EI4674"/>
      <c r="EJ4674"/>
      <c r="EK4674"/>
    </row>
    <row r="4675" spans="1:141" s="116" customFormat="1">
      <c r="A4675" s="136"/>
      <c r="CM4675" s="111"/>
      <c r="CQ4675" s="111"/>
      <c r="EF4675"/>
      <c r="EG4675"/>
      <c r="EH4675"/>
      <c r="EI4675"/>
      <c r="EJ4675"/>
      <c r="EK4675"/>
    </row>
    <row r="4676" spans="1:141" s="116" customFormat="1">
      <c r="A4676" s="136"/>
      <c r="CM4676" s="111"/>
      <c r="CQ4676" s="111"/>
      <c r="EF4676"/>
      <c r="EG4676"/>
      <c r="EH4676"/>
      <c r="EI4676"/>
      <c r="EJ4676"/>
      <c r="EK4676"/>
    </row>
    <row r="4677" spans="1:141" s="116" customFormat="1">
      <c r="A4677" s="136"/>
      <c r="CM4677" s="111"/>
      <c r="CQ4677" s="111"/>
      <c r="EF4677"/>
      <c r="EG4677"/>
      <c r="EH4677"/>
      <c r="EI4677"/>
      <c r="EJ4677"/>
      <c r="EK4677"/>
    </row>
    <row r="4678" spans="1:141" s="116" customFormat="1">
      <c r="A4678" s="136"/>
      <c r="CM4678" s="111"/>
      <c r="CQ4678" s="111"/>
      <c r="EF4678"/>
      <c r="EG4678"/>
      <c r="EH4678"/>
      <c r="EI4678"/>
      <c r="EJ4678"/>
      <c r="EK4678"/>
    </row>
    <row r="4679" spans="1:141" s="116" customFormat="1">
      <c r="A4679" s="136"/>
      <c r="CM4679" s="111"/>
      <c r="CQ4679" s="111"/>
      <c r="EF4679"/>
      <c r="EG4679"/>
      <c r="EH4679"/>
      <c r="EI4679"/>
      <c r="EJ4679"/>
      <c r="EK4679"/>
    </row>
    <row r="4680" spans="1:141" s="116" customFormat="1">
      <c r="A4680" s="136"/>
      <c r="CM4680" s="111"/>
      <c r="CQ4680" s="111"/>
      <c r="EF4680"/>
      <c r="EG4680"/>
      <c r="EH4680"/>
      <c r="EI4680"/>
      <c r="EJ4680"/>
      <c r="EK4680"/>
    </row>
    <row r="4681" spans="1:141" s="116" customFormat="1">
      <c r="A4681" s="136"/>
      <c r="CM4681" s="111"/>
      <c r="CQ4681" s="111"/>
      <c r="EF4681"/>
      <c r="EG4681"/>
      <c r="EH4681"/>
      <c r="EI4681"/>
      <c r="EJ4681"/>
      <c r="EK4681"/>
    </row>
    <row r="4682" spans="1:141" s="116" customFormat="1">
      <c r="A4682" s="136"/>
      <c r="CM4682" s="111"/>
      <c r="CQ4682" s="111"/>
      <c r="EF4682"/>
      <c r="EG4682"/>
      <c r="EH4682"/>
      <c r="EI4682"/>
      <c r="EJ4682"/>
      <c r="EK4682"/>
    </row>
    <row r="4683" spans="1:141" s="116" customFormat="1">
      <c r="A4683" s="136"/>
      <c r="CM4683" s="111"/>
      <c r="CQ4683" s="111"/>
      <c r="EF4683"/>
      <c r="EG4683"/>
      <c r="EH4683"/>
      <c r="EI4683"/>
      <c r="EJ4683"/>
      <c r="EK4683"/>
    </row>
    <row r="4684" spans="1:141" s="116" customFormat="1">
      <c r="A4684" s="136"/>
      <c r="CM4684" s="111"/>
      <c r="CQ4684" s="111"/>
      <c r="EF4684"/>
      <c r="EG4684"/>
      <c r="EH4684"/>
      <c r="EI4684"/>
      <c r="EJ4684"/>
      <c r="EK4684"/>
    </row>
    <row r="4685" spans="1:141" s="116" customFormat="1">
      <c r="A4685" s="136"/>
      <c r="CM4685" s="111"/>
      <c r="CQ4685" s="111"/>
      <c r="EF4685"/>
      <c r="EG4685"/>
      <c r="EH4685"/>
      <c r="EI4685"/>
      <c r="EJ4685"/>
      <c r="EK4685"/>
    </row>
    <row r="4686" spans="1:141" s="116" customFormat="1">
      <c r="A4686" s="136"/>
      <c r="CM4686" s="111"/>
      <c r="CQ4686" s="111"/>
      <c r="EF4686"/>
      <c r="EG4686"/>
      <c r="EH4686"/>
      <c r="EI4686"/>
      <c r="EJ4686"/>
      <c r="EK4686"/>
    </row>
    <row r="4687" spans="1:141" s="116" customFormat="1">
      <c r="A4687" s="136"/>
      <c r="CM4687" s="111"/>
      <c r="CQ4687" s="111"/>
      <c r="EF4687"/>
      <c r="EG4687"/>
      <c r="EH4687"/>
      <c r="EI4687"/>
      <c r="EJ4687"/>
      <c r="EK4687"/>
    </row>
    <row r="4688" spans="1:141" s="116" customFormat="1">
      <c r="A4688" s="136"/>
      <c r="CM4688" s="111"/>
      <c r="CQ4688" s="111"/>
      <c r="EF4688"/>
      <c r="EG4688"/>
      <c r="EH4688"/>
      <c r="EI4688"/>
      <c r="EJ4688"/>
      <c r="EK4688"/>
    </row>
    <row r="4689" spans="1:141" s="116" customFormat="1">
      <c r="A4689" s="136"/>
      <c r="CM4689" s="111"/>
      <c r="CQ4689" s="111"/>
      <c r="EF4689"/>
      <c r="EG4689"/>
      <c r="EH4689"/>
      <c r="EI4689"/>
      <c r="EJ4689"/>
      <c r="EK4689"/>
    </row>
    <row r="4690" spans="1:141" s="116" customFormat="1">
      <c r="A4690" s="136"/>
      <c r="CM4690" s="111"/>
      <c r="CQ4690" s="111"/>
      <c r="EF4690"/>
      <c r="EG4690"/>
      <c r="EH4690"/>
      <c r="EI4690"/>
      <c r="EJ4690"/>
      <c r="EK4690"/>
    </row>
    <row r="4691" spans="1:141" s="116" customFormat="1">
      <c r="A4691" s="136"/>
      <c r="CM4691" s="111"/>
      <c r="CQ4691" s="111"/>
      <c r="EF4691"/>
      <c r="EG4691"/>
      <c r="EH4691"/>
      <c r="EI4691"/>
      <c r="EJ4691"/>
      <c r="EK4691"/>
    </row>
    <row r="4692" spans="1:141" s="116" customFormat="1">
      <c r="A4692" s="136"/>
      <c r="CM4692" s="111"/>
      <c r="CQ4692" s="111"/>
      <c r="EF4692"/>
      <c r="EG4692"/>
      <c r="EH4692"/>
      <c r="EI4692"/>
      <c r="EJ4692"/>
      <c r="EK4692"/>
    </row>
    <row r="4693" spans="1:141" s="116" customFormat="1">
      <c r="A4693" s="136"/>
      <c r="CM4693" s="111"/>
      <c r="CQ4693" s="111"/>
      <c r="EF4693"/>
      <c r="EG4693"/>
      <c r="EH4693"/>
      <c r="EI4693"/>
      <c r="EJ4693"/>
      <c r="EK4693"/>
    </row>
    <row r="4694" spans="1:141" s="116" customFormat="1">
      <c r="A4694" s="136"/>
      <c r="CM4694" s="111"/>
      <c r="CQ4694" s="111"/>
      <c r="EF4694"/>
      <c r="EG4694"/>
      <c r="EH4694"/>
      <c r="EI4694"/>
      <c r="EJ4694"/>
      <c r="EK4694"/>
    </row>
    <row r="4695" spans="1:141" s="116" customFormat="1">
      <c r="A4695" s="136"/>
      <c r="CM4695" s="111"/>
      <c r="CQ4695" s="111"/>
      <c r="EF4695"/>
      <c r="EG4695"/>
      <c r="EH4695"/>
      <c r="EI4695"/>
      <c r="EJ4695"/>
      <c r="EK4695"/>
    </row>
    <row r="4696" spans="1:141" s="116" customFormat="1">
      <c r="A4696" s="136"/>
      <c r="CM4696" s="111"/>
      <c r="CQ4696" s="111"/>
      <c r="EF4696"/>
      <c r="EG4696"/>
      <c r="EH4696"/>
      <c r="EI4696"/>
      <c r="EJ4696"/>
      <c r="EK4696"/>
    </row>
    <row r="4697" spans="1:141" s="116" customFormat="1">
      <c r="A4697" s="136"/>
      <c r="CM4697" s="111"/>
      <c r="CQ4697" s="111"/>
      <c r="EF4697"/>
      <c r="EG4697"/>
      <c r="EH4697"/>
      <c r="EI4697"/>
      <c r="EJ4697"/>
      <c r="EK4697"/>
    </row>
    <row r="4698" spans="1:141" s="116" customFormat="1">
      <c r="A4698" s="136"/>
      <c r="CM4698" s="111"/>
      <c r="CQ4698" s="111"/>
      <c r="EF4698"/>
      <c r="EG4698"/>
      <c r="EH4698"/>
      <c r="EI4698"/>
      <c r="EJ4698"/>
      <c r="EK4698"/>
    </row>
    <row r="4699" spans="1:141" s="116" customFormat="1">
      <c r="A4699" s="136"/>
      <c r="CM4699" s="111"/>
      <c r="CQ4699" s="111"/>
      <c r="EF4699"/>
      <c r="EG4699"/>
      <c r="EH4699"/>
      <c r="EI4699"/>
      <c r="EJ4699"/>
      <c r="EK4699"/>
    </row>
    <row r="4700" spans="1:141" s="116" customFormat="1">
      <c r="A4700" s="136"/>
      <c r="CM4700" s="111"/>
      <c r="CQ4700" s="111"/>
      <c r="EF4700"/>
      <c r="EG4700"/>
      <c r="EH4700"/>
      <c r="EI4700"/>
      <c r="EJ4700"/>
      <c r="EK4700"/>
    </row>
    <row r="4701" spans="1:141" s="116" customFormat="1">
      <c r="A4701" s="136"/>
      <c r="CM4701" s="111"/>
      <c r="CQ4701" s="111"/>
      <c r="EF4701"/>
      <c r="EG4701"/>
      <c r="EH4701"/>
      <c r="EI4701"/>
      <c r="EJ4701"/>
      <c r="EK4701"/>
    </row>
    <row r="4702" spans="1:141" s="116" customFormat="1">
      <c r="A4702" s="136"/>
      <c r="CM4702" s="111"/>
      <c r="CQ4702" s="111"/>
      <c r="EF4702"/>
      <c r="EG4702"/>
      <c r="EH4702"/>
      <c r="EI4702"/>
      <c r="EJ4702"/>
      <c r="EK4702"/>
    </row>
    <row r="4703" spans="1:141" s="116" customFormat="1">
      <c r="A4703" s="136"/>
      <c r="CM4703" s="111"/>
      <c r="CQ4703" s="111"/>
      <c r="EF4703"/>
      <c r="EG4703"/>
      <c r="EH4703"/>
      <c r="EI4703"/>
      <c r="EJ4703"/>
      <c r="EK4703"/>
    </row>
    <row r="4704" spans="1:141" s="116" customFormat="1">
      <c r="A4704" s="136"/>
      <c r="CM4704" s="111"/>
      <c r="CQ4704" s="111"/>
      <c r="EF4704"/>
      <c r="EG4704"/>
      <c r="EH4704"/>
      <c r="EI4704"/>
      <c r="EJ4704"/>
      <c r="EK4704"/>
    </row>
    <row r="4705" spans="1:141" s="116" customFormat="1">
      <c r="A4705" s="136"/>
      <c r="CM4705" s="111"/>
      <c r="CQ4705" s="111"/>
      <c r="EF4705"/>
      <c r="EG4705"/>
      <c r="EH4705"/>
      <c r="EI4705"/>
      <c r="EJ4705"/>
      <c r="EK4705"/>
    </row>
    <row r="4706" spans="1:141" s="116" customFormat="1">
      <c r="A4706" s="136"/>
      <c r="CM4706" s="111"/>
      <c r="CQ4706" s="111"/>
      <c r="EF4706"/>
      <c r="EG4706"/>
      <c r="EH4706"/>
      <c r="EI4706"/>
      <c r="EJ4706"/>
      <c r="EK4706"/>
    </row>
    <row r="4707" spans="1:141" s="116" customFormat="1">
      <c r="A4707" s="136"/>
      <c r="CM4707" s="111"/>
      <c r="CQ4707" s="111"/>
      <c r="EF4707"/>
      <c r="EG4707"/>
      <c r="EH4707"/>
      <c r="EI4707"/>
      <c r="EJ4707"/>
      <c r="EK4707"/>
    </row>
    <row r="4708" spans="1:141" s="116" customFormat="1">
      <c r="A4708" s="136"/>
      <c r="CM4708" s="111"/>
      <c r="CQ4708" s="111"/>
      <c r="EF4708"/>
      <c r="EG4708"/>
      <c r="EH4708"/>
      <c r="EI4708"/>
      <c r="EJ4708"/>
      <c r="EK4708"/>
    </row>
    <row r="4709" spans="1:141" s="116" customFormat="1">
      <c r="A4709" s="136"/>
      <c r="CM4709" s="111"/>
      <c r="CQ4709" s="111"/>
      <c r="EF4709"/>
      <c r="EG4709"/>
      <c r="EH4709"/>
      <c r="EI4709"/>
      <c r="EJ4709"/>
      <c r="EK4709"/>
    </row>
    <row r="4710" spans="1:141" s="116" customFormat="1">
      <c r="A4710" s="136"/>
      <c r="CM4710" s="111"/>
      <c r="CQ4710" s="111"/>
      <c r="EF4710"/>
      <c r="EG4710"/>
      <c r="EH4710"/>
      <c r="EI4710"/>
      <c r="EJ4710"/>
      <c r="EK4710"/>
    </row>
    <row r="4711" spans="1:141" s="116" customFormat="1">
      <c r="A4711" s="136"/>
      <c r="CM4711" s="111"/>
      <c r="CQ4711" s="111"/>
      <c r="EF4711"/>
      <c r="EG4711"/>
      <c r="EH4711"/>
      <c r="EI4711"/>
      <c r="EJ4711"/>
      <c r="EK4711"/>
    </row>
    <row r="4712" spans="1:141" s="116" customFormat="1">
      <c r="A4712" s="136"/>
      <c r="CM4712" s="111"/>
      <c r="CQ4712" s="111"/>
      <c r="EF4712"/>
      <c r="EG4712"/>
      <c r="EH4712"/>
      <c r="EI4712"/>
      <c r="EJ4712"/>
      <c r="EK4712"/>
    </row>
    <row r="4713" spans="1:141" s="116" customFormat="1">
      <c r="A4713" s="136"/>
      <c r="CM4713" s="111"/>
      <c r="CQ4713" s="111"/>
      <c r="EF4713"/>
      <c r="EG4713"/>
      <c r="EH4713"/>
      <c r="EI4713"/>
      <c r="EJ4713"/>
      <c r="EK4713"/>
    </row>
    <row r="4714" spans="1:141" s="116" customFormat="1">
      <c r="A4714" s="136"/>
      <c r="CM4714" s="111"/>
      <c r="CQ4714" s="111"/>
      <c r="EF4714"/>
      <c r="EG4714"/>
      <c r="EH4714"/>
      <c r="EI4714"/>
      <c r="EJ4714"/>
      <c r="EK4714"/>
    </row>
    <row r="4715" spans="1:141" s="116" customFormat="1">
      <c r="A4715" s="136"/>
      <c r="CM4715" s="111"/>
      <c r="CQ4715" s="111"/>
      <c r="EF4715"/>
      <c r="EG4715"/>
      <c r="EH4715"/>
      <c r="EI4715"/>
      <c r="EJ4715"/>
      <c r="EK4715"/>
    </row>
    <row r="4716" spans="1:141" s="116" customFormat="1">
      <c r="A4716" s="136"/>
      <c r="CM4716" s="111"/>
      <c r="CQ4716" s="111"/>
      <c r="EF4716"/>
      <c r="EG4716"/>
      <c r="EH4716"/>
      <c r="EI4716"/>
      <c r="EJ4716"/>
      <c r="EK4716"/>
    </row>
    <row r="4717" spans="1:141" s="116" customFormat="1">
      <c r="A4717" s="136"/>
      <c r="CM4717" s="111"/>
      <c r="CQ4717" s="111"/>
      <c r="EF4717"/>
      <c r="EG4717"/>
      <c r="EH4717"/>
      <c r="EI4717"/>
      <c r="EJ4717"/>
      <c r="EK4717"/>
    </row>
    <row r="4718" spans="1:141" s="116" customFormat="1">
      <c r="A4718" s="136"/>
      <c r="CM4718" s="111"/>
      <c r="CQ4718" s="111"/>
      <c r="EF4718"/>
      <c r="EG4718"/>
      <c r="EH4718"/>
      <c r="EI4718"/>
      <c r="EJ4718"/>
      <c r="EK4718"/>
    </row>
    <row r="4719" spans="1:141" s="116" customFormat="1">
      <c r="A4719" s="136"/>
      <c r="CM4719" s="111"/>
      <c r="CQ4719" s="111"/>
      <c r="EF4719"/>
      <c r="EG4719"/>
      <c r="EH4719"/>
      <c r="EI4719"/>
      <c r="EJ4719"/>
      <c r="EK4719"/>
    </row>
    <row r="4720" spans="1:141" s="116" customFormat="1">
      <c r="A4720" s="136"/>
      <c r="CM4720" s="111"/>
      <c r="CQ4720" s="111"/>
      <c r="EF4720"/>
      <c r="EG4720"/>
      <c r="EH4720"/>
      <c r="EI4720"/>
      <c r="EJ4720"/>
      <c r="EK4720"/>
    </row>
    <row r="4721" spans="1:141" s="116" customFormat="1">
      <c r="A4721" s="136"/>
      <c r="CM4721" s="111"/>
      <c r="CQ4721" s="111"/>
      <c r="EF4721"/>
      <c r="EG4721"/>
      <c r="EH4721"/>
      <c r="EI4721"/>
      <c r="EJ4721"/>
      <c r="EK4721"/>
    </row>
    <row r="4722" spans="1:141" s="116" customFormat="1">
      <c r="A4722" s="136"/>
      <c r="CM4722" s="111"/>
      <c r="CQ4722" s="111"/>
      <c r="EF4722"/>
      <c r="EG4722"/>
      <c r="EH4722"/>
      <c r="EI4722"/>
      <c r="EJ4722"/>
      <c r="EK4722"/>
    </row>
    <row r="4723" spans="1:141" s="116" customFormat="1">
      <c r="A4723" s="136"/>
      <c r="CM4723" s="111"/>
      <c r="CQ4723" s="111"/>
      <c r="EF4723"/>
      <c r="EG4723"/>
      <c r="EH4723"/>
      <c r="EI4723"/>
      <c r="EJ4723"/>
      <c r="EK4723"/>
    </row>
    <row r="4724" spans="1:141" s="116" customFormat="1">
      <c r="A4724" s="136"/>
      <c r="CM4724" s="111"/>
      <c r="CQ4724" s="111"/>
      <c r="EF4724"/>
      <c r="EG4724"/>
      <c r="EH4724"/>
      <c r="EI4724"/>
      <c r="EJ4724"/>
      <c r="EK4724"/>
    </row>
    <row r="4725" spans="1:141" s="116" customFormat="1">
      <c r="A4725" s="136"/>
      <c r="CM4725" s="111"/>
      <c r="CQ4725" s="111"/>
      <c r="EF4725"/>
      <c r="EG4725"/>
      <c r="EH4725"/>
      <c r="EI4725"/>
      <c r="EJ4725"/>
      <c r="EK4725"/>
    </row>
    <row r="4726" spans="1:141" s="116" customFormat="1">
      <c r="A4726" s="136"/>
      <c r="CM4726" s="111"/>
      <c r="CQ4726" s="111"/>
      <c r="EF4726"/>
      <c r="EG4726"/>
      <c r="EH4726"/>
      <c r="EI4726"/>
      <c r="EJ4726"/>
      <c r="EK4726"/>
    </row>
    <row r="4727" spans="1:141" s="116" customFormat="1">
      <c r="A4727" s="136"/>
      <c r="CM4727" s="111"/>
      <c r="CQ4727" s="111"/>
      <c r="EF4727"/>
      <c r="EG4727"/>
      <c r="EH4727"/>
      <c r="EI4727"/>
      <c r="EJ4727"/>
      <c r="EK4727"/>
    </row>
    <row r="4728" spans="1:141" s="116" customFormat="1">
      <c r="A4728" s="136"/>
      <c r="CM4728" s="111"/>
      <c r="CQ4728" s="111"/>
      <c r="EF4728"/>
      <c r="EG4728"/>
      <c r="EH4728"/>
      <c r="EI4728"/>
      <c r="EJ4728"/>
      <c r="EK4728"/>
    </row>
    <row r="4729" spans="1:141" s="116" customFormat="1">
      <c r="A4729" s="136"/>
      <c r="CM4729" s="111"/>
      <c r="CQ4729" s="111"/>
      <c r="EF4729"/>
      <c r="EG4729"/>
      <c r="EH4729"/>
      <c r="EI4729"/>
      <c r="EJ4729"/>
      <c r="EK4729"/>
    </row>
    <row r="4730" spans="1:141" s="116" customFormat="1">
      <c r="A4730" s="136"/>
      <c r="CM4730" s="111"/>
      <c r="CQ4730" s="111"/>
      <c r="EF4730"/>
      <c r="EG4730"/>
      <c r="EH4730"/>
      <c r="EI4730"/>
      <c r="EJ4730"/>
      <c r="EK4730"/>
    </row>
    <row r="4731" spans="1:141" s="116" customFormat="1">
      <c r="A4731" s="136"/>
      <c r="CM4731" s="111"/>
      <c r="CQ4731" s="111"/>
      <c r="EF4731"/>
      <c r="EG4731"/>
      <c r="EH4731"/>
      <c r="EI4731"/>
      <c r="EJ4731"/>
      <c r="EK4731"/>
    </row>
    <row r="4732" spans="1:141" s="116" customFormat="1">
      <c r="A4732" s="136"/>
      <c r="CM4732" s="111"/>
      <c r="CQ4732" s="111"/>
      <c r="EF4732"/>
      <c r="EG4732"/>
      <c r="EH4732"/>
      <c r="EI4732"/>
      <c r="EJ4732"/>
      <c r="EK4732"/>
    </row>
    <row r="4733" spans="1:141" s="116" customFormat="1">
      <c r="A4733" s="136"/>
      <c r="CM4733" s="111"/>
      <c r="CQ4733" s="111"/>
      <c r="EF4733"/>
      <c r="EG4733"/>
      <c r="EH4733"/>
      <c r="EI4733"/>
      <c r="EJ4733"/>
      <c r="EK4733"/>
    </row>
    <row r="4734" spans="1:141" s="116" customFormat="1">
      <c r="A4734" s="136"/>
      <c r="CM4734" s="111"/>
      <c r="CQ4734" s="111"/>
      <c r="EF4734"/>
      <c r="EG4734"/>
      <c r="EH4734"/>
      <c r="EI4734"/>
      <c r="EJ4734"/>
      <c r="EK4734"/>
    </row>
    <row r="4735" spans="1:141" s="116" customFormat="1">
      <c r="A4735" s="136"/>
      <c r="CM4735" s="111"/>
      <c r="CQ4735" s="111"/>
      <c r="EF4735"/>
      <c r="EG4735"/>
      <c r="EH4735"/>
      <c r="EI4735"/>
      <c r="EJ4735"/>
      <c r="EK4735"/>
    </row>
    <row r="4736" spans="1:141" s="116" customFormat="1">
      <c r="A4736" s="136"/>
      <c r="CM4736" s="111"/>
      <c r="CQ4736" s="111"/>
      <c r="EF4736"/>
      <c r="EG4736"/>
      <c r="EH4736"/>
      <c r="EI4736"/>
      <c r="EJ4736"/>
      <c r="EK4736"/>
    </row>
    <row r="4737" spans="1:141" s="116" customFormat="1">
      <c r="A4737" s="136"/>
      <c r="CM4737" s="111"/>
      <c r="CQ4737" s="111"/>
      <c r="EF4737"/>
      <c r="EG4737"/>
      <c r="EH4737"/>
      <c r="EI4737"/>
      <c r="EJ4737"/>
      <c r="EK4737"/>
    </row>
    <row r="4738" spans="1:141" s="116" customFormat="1">
      <c r="A4738" s="136"/>
      <c r="CM4738" s="111"/>
      <c r="CQ4738" s="111"/>
      <c r="EF4738"/>
      <c r="EG4738"/>
      <c r="EH4738"/>
      <c r="EI4738"/>
      <c r="EJ4738"/>
      <c r="EK4738"/>
    </row>
    <row r="4739" spans="1:141" s="116" customFormat="1">
      <c r="A4739" s="136"/>
      <c r="CM4739" s="111"/>
      <c r="CQ4739" s="111"/>
      <c r="EF4739"/>
      <c r="EG4739"/>
      <c r="EH4739"/>
      <c r="EI4739"/>
      <c r="EJ4739"/>
      <c r="EK4739"/>
    </row>
    <row r="4740" spans="1:141" s="116" customFormat="1">
      <c r="A4740" s="136"/>
      <c r="CM4740" s="111"/>
      <c r="CQ4740" s="111"/>
      <c r="EF4740"/>
      <c r="EG4740"/>
      <c r="EH4740"/>
      <c r="EI4740"/>
      <c r="EJ4740"/>
      <c r="EK4740"/>
    </row>
    <row r="4741" spans="1:141" s="116" customFormat="1">
      <c r="A4741" s="136"/>
      <c r="CM4741" s="111"/>
      <c r="CQ4741" s="111"/>
      <c r="EF4741"/>
      <c r="EG4741"/>
      <c r="EH4741"/>
      <c r="EI4741"/>
      <c r="EJ4741"/>
      <c r="EK4741"/>
    </row>
    <row r="4742" spans="1:141" s="116" customFormat="1">
      <c r="A4742" s="136"/>
      <c r="CM4742" s="111"/>
      <c r="CQ4742" s="111"/>
      <c r="EF4742"/>
      <c r="EG4742"/>
      <c r="EH4742"/>
      <c r="EI4742"/>
      <c r="EJ4742"/>
      <c r="EK4742"/>
    </row>
    <row r="4743" spans="1:141" s="116" customFormat="1">
      <c r="A4743" s="136"/>
      <c r="CM4743" s="111"/>
      <c r="CQ4743" s="111"/>
      <c r="EF4743"/>
      <c r="EG4743"/>
      <c r="EH4743"/>
      <c r="EI4743"/>
      <c r="EJ4743"/>
      <c r="EK4743"/>
    </row>
    <row r="4744" spans="1:141" s="116" customFormat="1">
      <c r="A4744" s="136"/>
      <c r="CM4744" s="111"/>
      <c r="CQ4744" s="111"/>
      <c r="EF4744"/>
      <c r="EG4744"/>
      <c r="EH4744"/>
      <c r="EI4744"/>
      <c r="EJ4744"/>
      <c r="EK4744"/>
    </row>
    <row r="4745" spans="1:141" s="116" customFormat="1">
      <c r="A4745" s="136"/>
      <c r="CM4745" s="111"/>
      <c r="CQ4745" s="111"/>
      <c r="EF4745"/>
      <c r="EG4745"/>
      <c r="EH4745"/>
      <c r="EI4745"/>
      <c r="EJ4745"/>
      <c r="EK4745"/>
    </row>
    <row r="4746" spans="1:141" s="116" customFormat="1">
      <c r="A4746" s="136"/>
      <c r="CM4746" s="111"/>
      <c r="CQ4746" s="111"/>
      <c r="EF4746"/>
      <c r="EG4746"/>
      <c r="EH4746"/>
      <c r="EI4746"/>
      <c r="EJ4746"/>
      <c r="EK4746"/>
    </row>
    <row r="4747" spans="1:141" s="116" customFormat="1">
      <c r="A4747" s="136"/>
      <c r="CM4747" s="111"/>
      <c r="CQ4747" s="111"/>
      <c r="EF4747"/>
      <c r="EG4747"/>
      <c r="EH4747"/>
      <c r="EI4747"/>
      <c r="EJ4747"/>
      <c r="EK4747"/>
    </row>
    <row r="4748" spans="1:141" s="116" customFormat="1">
      <c r="A4748" s="136"/>
      <c r="CM4748" s="111"/>
      <c r="CQ4748" s="111"/>
      <c r="EF4748"/>
      <c r="EG4748"/>
      <c r="EH4748"/>
      <c r="EI4748"/>
      <c r="EJ4748"/>
      <c r="EK4748"/>
    </row>
    <row r="4749" spans="1:141" s="116" customFormat="1">
      <c r="A4749" s="136"/>
      <c r="CM4749" s="111"/>
      <c r="CQ4749" s="111"/>
      <c r="EF4749"/>
      <c r="EG4749"/>
      <c r="EH4749"/>
      <c r="EI4749"/>
      <c r="EJ4749"/>
      <c r="EK4749"/>
    </row>
    <row r="4750" spans="1:141" s="116" customFormat="1">
      <c r="A4750" s="136"/>
      <c r="CM4750" s="111"/>
      <c r="CQ4750" s="111"/>
      <c r="EF4750"/>
      <c r="EG4750"/>
      <c r="EH4750"/>
      <c r="EI4750"/>
      <c r="EJ4750"/>
      <c r="EK4750"/>
    </row>
    <row r="4751" spans="1:141" s="116" customFormat="1">
      <c r="A4751" s="136"/>
      <c r="CM4751" s="111"/>
      <c r="CQ4751" s="111"/>
      <c r="EF4751"/>
      <c r="EG4751"/>
      <c r="EH4751"/>
      <c r="EI4751"/>
      <c r="EJ4751"/>
      <c r="EK4751"/>
    </row>
    <row r="4752" spans="1:141" s="116" customFormat="1">
      <c r="A4752" s="136"/>
      <c r="CM4752" s="111"/>
      <c r="CQ4752" s="111"/>
      <c r="EF4752"/>
      <c r="EG4752"/>
      <c r="EH4752"/>
      <c r="EI4752"/>
      <c r="EJ4752"/>
      <c r="EK4752"/>
    </row>
    <row r="4753" spans="1:141" s="116" customFormat="1">
      <c r="A4753" s="136"/>
      <c r="CM4753" s="111"/>
      <c r="CQ4753" s="111"/>
      <c r="EF4753"/>
      <c r="EG4753"/>
      <c r="EH4753"/>
      <c r="EI4753"/>
      <c r="EJ4753"/>
      <c r="EK4753"/>
    </row>
    <row r="4754" spans="1:141" s="116" customFormat="1">
      <c r="A4754" s="136"/>
      <c r="CM4754" s="111"/>
      <c r="CQ4754" s="111"/>
      <c r="EF4754"/>
      <c r="EG4754"/>
      <c r="EH4754"/>
      <c r="EI4754"/>
      <c r="EJ4754"/>
      <c r="EK4754"/>
    </row>
    <row r="4755" spans="1:141" s="116" customFormat="1">
      <c r="A4755" s="136"/>
      <c r="CM4755" s="111"/>
      <c r="CQ4755" s="111"/>
      <c r="EF4755"/>
      <c r="EG4755"/>
      <c r="EH4755"/>
      <c r="EI4755"/>
      <c r="EJ4755"/>
      <c r="EK4755"/>
    </row>
    <row r="4756" spans="1:141" s="116" customFormat="1">
      <c r="A4756" s="136"/>
      <c r="CM4756" s="111"/>
      <c r="CQ4756" s="111"/>
      <c r="EF4756"/>
      <c r="EG4756"/>
      <c r="EH4756"/>
      <c r="EI4756"/>
      <c r="EJ4756"/>
      <c r="EK4756"/>
    </row>
    <row r="4757" spans="1:141" s="116" customFormat="1">
      <c r="A4757" s="136"/>
      <c r="CM4757" s="111"/>
      <c r="CQ4757" s="111"/>
      <c r="EF4757"/>
      <c r="EG4757"/>
      <c r="EH4757"/>
      <c r="EI4757"/>
      <c r="EJ4757"/>
      <c r="EK4757"/>
    </row>
    <row r="4758" spans="1:141" s="116" customFormat="1">
      <c r="A4758" s="136"/>
      <c r="CM4758" s="111"/>
      <c r="CQ4758" s="111"/>
      <c r="EF4758"/>
      <c r="EG4758"/>
      <c r="EH4758"/>
      <c r="EI4758"/>
      <c r="EJ4758"/>
      <c r="EK4758"/>
    </row>
    <row r="4759" spans="1:141" s="116" customFormat="1">
      <c r="A4759" s="136"/>
      <c r="CM4759" s="111"/>
      <c r="CQ4759" s="111"/>
      <c r="EF4759"/>
      <c r="EG4759"/>
      <c r="EH4759"/>
      <c r="EI4759"/>
      <c r="EJ4759"/>
      <c r="EK4759"/>
    </row>
    <row r="4760" spans="1:141" s="116" customFormat="1">
      <c r="A4760" s="136"/>
      <c r="CM4760" s="111"/>
      <c r="CQ4760" s="111"/>
      <c r="EF4760"/>
      <c r="EG4760"/>
      <c r="EH4760"/>
      <c r="EI4760"/>
      <c r="EJ4760"/>
      <c r="EK4760"/>
    </row>
    <row r="4761" spans="1:141" s="116" customFormat="1">
      <c r="A4761" s="136"/>
      <c r="CM4761" s="111"/>
      <c r="CQ4761" s="111"/>
      <c r="EF4761"/>
      <c r="EG4761"/>
      <c r="EH4761"/>
      <c r="EI4761"/>
      <c r="EJ4761"/>
      <c r="EK4761"/>
    </row>
    <row r="4762" spans="1:141" s="116" customFormat="1">
      <c r="A4762" s="136"/>
      <c r="CM4762" s="111"/>
      <c r="CQ4762" s="111"/>
      <c r="EF4762"/>
      <c r="EG4762"/>
      <c r="EH4762"/>
      <c r="EI4762"/>
      <c r="EJ4762"/>
      <c r="EK4762"/>
    </row>
    <row r="4763" spans="1:141" s="116" customFormat="1">
      <c r="A4763" s="136"/>
      <c r="CM4763" s="111"/>
      <c r="CQ4763" s="111"/>
      <c r="EF4763"/>
      <c r="EG4763"/>
      <c r="EH4763"/>
      <c r="EI4763"/>
      <c r="EJ4763"/>
      <c r="EK4763"/>
    </row>
    <row r="4764" spans="1:141" s="116" customFormat="1">
      <c r="A4764" s="136"/>
      <c r="CM4764" s="111"/>
      <c r="CQ4764" s="111"/>
      <c r="EF4764"/>
      <c r="EG4764"/>
      <c r="EH4764"/>
      <c r="EI4764"/>
      <c r="EJ4764"/>
      <c r="EK4764"/>
    </row>
    <row r="4765" spans="1:141" s="116" customFormat="1">
      <c r="A4765" s="136"/>
      <c r="CM4765" s="111"/>
      <c r="CQ4765" s="111"/>
      <c r="EF4765"/>
      <c r="EG4765"/>
      <c r="EH4765"/>
      <c r="EI4765"/>
      <c r="EJ4765"/>
      <c r="EK4765"/>
    </row>
    <row r="4766" spans="1:141" s="116" customFormat="1">
      <c r="A4766" s="136"/>
      <c r="CM4766" s="111"/>
      <c r="CQ4766" s="111"/>
      <c r="EF4766"/>
      <c r="EG4766"/>
      <c r="EH4766"/>
      <c r="EI4766"/>
      <c r="EJ4766"/>
      <c r="EK4766"/>
    </row>
    <row r="4767" spans="1:141" s="116" customFormat="1">
      <c r="A4767" s="136"/>
      <c r="CM4767" s="111"/>
      <c r="CQ4767" s="111"/>
      <c r="EF4767"/>
      <c r="EG4767"/>
      <c r="EH4767"/>
      <c r="EI4767"/>
      <c r="EJ4767"/>
      <c r="EK4767"/>
    </row>
    <row r="4768" spans="1:141" s="116" customFormat="1">
      <c r="A4768" s="136"/>
      <c r="CM4768" s="111"/>
      <c r="CQ4768" s="111"/>
      <c r="EF4768"/>
      <c r="EG4768"/>
      <c r="EH4768"/>
      <c r="EI4768"/>
      <c r="EJ4768"/>
      <c r="EK4768"/>
    </row>
    <row r="4769" spans="1:141" s="116" customFormat="1">
      <c r="A4769" s="136"/>
      <c r="CM4769" s="111"/>
      <c r="CQ4769" s="111"/>
      <c r="EF4769"/>
      <c r="EG4769"/>
      <c r="EH4769"/>
      <c r="EI4769"/>
      <c r="EJ4769"/>
      <c r="EK4769"/>
    </row>
    <row r="4770" spans="1:141" s="116" customFormat="1">
      <c r="A4770" s="136"/>
      <c r="CM4770" s="111"/>
      <c r="CQ4770" s="111"/>
      <c r="EF4770"/>
      <c r="EG4770"/>
      <c r="EH4770"/>
      <c r="EI4770"/>
      <c r="EJ4770"/>
      <c r="EK4770"/>
    </row>
    <row r="4771" spans="1:141" s="116" customFormat="1">
      <c r="A4771" s="136"/>
      <c r="CM4771" s="111"/>
      <c r="CQ4771" s="111"/>
      <c r="EF4771"/>
      <c r="EG4771"/>
      <c r="EH4771"/>
      <c r="EI4771"/>
      <c r="EJ4771"/>
      <c r="EK4771"/>
    </row>
    <row r="4772" spans="1:141" s="116" customFormat="1">
      <c r="A4772" s="136"/>
      <c r="CM4772" s="111"/>
      <c r="CQ4772" s="111"/>
      <c r="EF4772"/>
      <c r="EG4772"/>
      <c r="EH4772"/>
      <c r="EI4772"/>
      <c r="EJ4772"/>
      <c r="EK4772"/>
    </row>
    <row r="4773" spans="1:141" s="116" customFormat="1">
      <c r="A4773" s="136"/>
      <c r="CM4773" s="111"/>
      <c r="CQ4773" s="111"/>
      <c r="EF4773"/>
      <c r="EG4773"/>
      <c r="EH4773"/>
      <c r="EI4773"/>
      <c r="EJ4773"/>
      <c r="EK4773"/>
    </row>
    <row r="4774" spans="1:141" s="116" customFormat="1">
      <c r="A4774" s="136"/>
      <c r="CM4774" s="111"/>
      <c r="CQ4774" s="111"/>
      <c r="EF4774"/>
      <c r="EG4774"/>
      <c r="EH4774"/>
      <c r="EI4774"/>
      <c r="EJ4774"/>
      <c r="EK4774"/>
    </row>
    <row r="4775" spans="1:141" s="116" customFormat="1">
      <c r="A4775" s="136"/>
      <c r="CM4775" s="111"/>
      <c r="CQ4775" s="111"/>
      <c r="EF4775"/>
      <c r="EG4775"/>
      <c r="EH4775"/>
      <c r="EI4775"/>
      <c r="EJ4775"/>
      <c r="EK4775"/>
    </row>
    <row r="4776" spans="1:141" s="116" customFormat="1">
      <c r="A4776" s="136"/>
      <c r="CM4776" s="111"/>
      <c r="CQ4776" s="111"/>
      <c r="EF4776"/>
      <c r="EG4776"/>
      <c r="EH4776"/>
      <c r="EI4776"/>
      <c r="EJ4776"/>
      <c r="EK4776"/>
    </row>
    <row r="4777" spans="1:141" s="116" customFormat="1">
      <c r="A4777" s="136"/>
      <c r="CM4777" s="111"/>
      <c r="CQ4777" s="111"/>
      <c r="EF4777"/>
      <c r="EG4777"/>
      <c r="EH4777"/>
      <c r="EI4777"/>
      <c r="EJ4777"/>
      <c r="EK4777"/>
    </row>
    <row r="4778" spans="1:141" s="116" customFormat="1">
      <c r="A4778" s="136"/>
      <c r="CM4778" s="111"/>
      <c r="CQ4778" s="111"/>
      <c r="EF4778"/>
      <c r="EG4778"/>
      <c r="EH4778"/>
      <c r="EI4778"/>
      <c r="EJ4778"/>
      <c r="EK4778"/>
    </row>
    <row r="4779" spans="1:141" s="116" customFormat="1">
      <c r="A4779" s="136"/>
      <c r="CM4779" s="111"/>
      <c r="CQ4779" s="111"/>
      <c r="EF4779"/>
      <c r="EG4779"/>
      <c r="EH4779"/>
      <c r="EI4779"/>
      <c r="EJ4779"/>
      <c r="EK4779"/>
    </row>
    <row r="4780" spans="1:141" s="116" customFormat="1">
      <c r="A4780" s="136"/>
      <c r="CM4780" s="111"/>
      <c r="CQ4780" s="111"/>
      <c r="EF4780"/>
      <c r="EG4780"/>
      <c r="EH4780"/>
      <c r="EI4780"/>
      <c r="EJ4780"/>
      <c r="EK4780"/>
    </row>
    <row r="4781" spans="1:141" s="116" customFormat="1">
      <c r="A4781" s="136"/>
      <c r="CM4781" s="111"/>
      <c r="CQ4781" s="111"/>
      <c r="EF4781"/>
      <c r="EG4781"/>
      <c r="EH4781"/>
      <c r="EI4781"/>
      <c r="EJ4781"/>
      <c r="EK4781"/>
    </row>
    <row r="4782" spans="1:141" s="116" customFormat="1">
      <c r="A4782" s="136"/>
      <c r="CM4782" s="111"/>
      <c r="CQ4782" s="111"/>
      <c r="EF4782"/>
      <c r="EG4782"/>
      <c r="EH4782"/>
      <c r="EI4782"/>
      <c r="EJ4782"/>
      <c r="EK4782"/>
    </row>
    <row r="4783" spans="1:141" s="116" customFormat="1">
      <c r="A4783" s="136"/>
      <c r="CM4783" s="111"/>
      <c r="CQ4783" s="111"/>
      <c r="EF4783"/>
      <c r="EG4783"/>
      <c r="EH4783"/>
      <c r="EI4783"/>
      <c r="EJ4783"/>
      <c r="EK4783"/>
    </row>
    <row r="4784" spans="1:141" s="116" customFormat="1">
      <c r="A4784" s="136"/>
      <c r="CM4784" s="111"/>
      <c r="CQ4784" s="111"/>
      <c r="EF4784"/>
      <c r="EG4784"/>
      <c r="EH4784"/>
      <c r="EI4784"/>
      <c r="EJ4784"/>
      <c r="EK4784"/>
    </row>
    <row r="4785" spans="1:141" s="116" customFormat="1">
      <c r="A4785" s="136"/>
      <c r="CM4785" s="111"/>
      <c r="CQ4785" s="111"/>
      <c r="EF4785"/>
      <c r="EG4785"/>
      <c r="EH4785"/>
      <c r="EI4785"/>
      <c r="EJ4785"/>
      <c r="EK4785"/>
    </row>
    <row r="4786" spans="1:141" s="116" customFormat="1">
      <c r="A4786" s="136"/>
      <c r="CM4786" s="111"/>
      <c r="CQ4786" s="111"/>
      <c r="EF4786"/>
      <c r="EG4786"/>
      <c r="EH4786"/>
      <c r="EI4786"/>
      <c r="EJ4786"/>
      <c r="EK4786"/>
    </row>
    <row r="4787" spans="1:141" s="116" customFormat="1">
      <c r="A4787" s="136"/>
      <c r="CM4787" s="111"/>
      <c r="CQ4787" s="111"/>
      <c r="EF4787"/>
      <c r="EG4787"/>
      <c r="EH4787"/>
      <c r="EI4787"/>
      <c r="EJ4787"/>
      <c r="EK4787"/>
    </row>
    <row r="4788" spans="1:141" s="116" customFormat="1">
      <c r="A4788" s="136"/>
      <c r="CM4788" s="111"/>
      <c r="CQ4788" s="111"/>
      <c r="EF4788"/>
      <c r="EG4788"/>
      <c r="EH4788"/>
      <c r="EI4788"/>
      <c r="EJ4788"/>
      <c r="EK4788"/>
    </row>
    <row r="4789" spans="1:141" s="116" customFormat="1">
      <c r="A4789" s="136"/>
      <c r="CM4789" s="111"/>
      <c r="CQ4789" s="111"/>
      <c r="EF4789"/>
      <c r="EG4789"/>
      <c r="EH4789"/>
      <c r="EI4789"/>
      <c r="EJ4789"/>
      <c r="EK4789"/>
    </row>
    <row r="4790" spans="1:141" s="116" customFormat="1">
      <c r="A4790" s="136"/>
      <c r="CM4790" s="111"/>
      <c r="CQ4790" s="111"/>
      <c r="EF4790"/>
      <c r="EG4790"/>
      <c r="EH4790"/>
      <c r="EI4790"/>
      <c r="EJ4790"/>
      <c r="EK4790"/>
    </row>
    <row r="4791" spans="1:141" s="116" customFormat="1">
      <c r="A4791" s="136"/>
      <c r="CM4791" s="111"/>
      <c r="CQ4791" s="111"/>
      <c r="EF4791"/>
      <c r="EG4791"/>
      <c r="EH4791"/>
      <c r="EI4791"/>
      <c r="EJ4791"/>
      <c r="EK4791"/>
    </row>
    <row r="4792" spans="1:141" s="116" customFormat="1">
      <c r="A4792" s="136"/>
      <c r="CM4792" s="111"/>
      <c r="CQ4792" s="111"/>
      <c r="EF4792"/>
      <c r="EG4792"/>
      <c r="EH4792"/>
      <c r="EI4792"/>
      <c r="EJ4792"/>
      <c r="EK4792"/>
    </row>
    <row r="4793" spans="1:141" s="116" customFormat="1">
      <c r="A4793" s="136"/>
      <c r="CM4793" s="111"/>
      <c r="CQ4793" s="111"/>
      <c r="EF4793"/>
      <c r="EG4793"/>
      <c r="EH4793"/>
      <c r="EI4793"/>
      <c r="EJ4793"/>
      <c r="EK4793"/>
    </row>
    <row r="4794" spans="1:141" s="116" customFormat="1">
      <c r="A4794" s="136"/>
      <c r="CM4794" s="111"/>
      <c r="CQ4794" s="111"/>
      <c r="EF4794"/>
      <c r="EG4794"/>
      <c r="EH4794"/>
      <c r="EI4794"/>
      <c r="EJ4794"/>
      <c r="EK4794"/>
    </row>
    <row r="4795" spans="1:141" s="116" customFormat="1">
      <c r="A4795" s="136"/>
      <c r="CM4795" s="111"/>
      <c r="CQ4795" s="111"/>
      <c r="EF4795"/>
      <c r="EG4795"/>
      <c r="EH4795"/>
      <c r="EI4795"/>
      <c r="EJ4795"/>
      <c r="EK4795"/>
    </row>
    <row r="4796" spans="1:141" s="116" customFormat="1">
      <c r="A4796" s="136"/>
      <c r="CM4796" s="111"/>
      <c r="CQ4796" s="111"/>
      <c r="EF4796"/>
      <c r="EG4796"/>
      <c r="EH4796"/>
      <c r="EI4796"/>
      <c r="EJ4796"/>
      <c r="EK4796"/>
    </row>
    <row r="4797" spans="1:141" s="116" customFormat="1">
      <c r="A4797" s="136"/>
      <c r="CM4797" s="111"/>
      <c r="CQ4797" s="111"/>
      <c r="EF4797"/>
      <c r="EG4797"/>
      <c r="EH4797"/>
      <c r="EI4797"/>
      <c r="EJ4797"/>
      <c r="EK4797"/>
    </row>
    <row r="4798" spans="1:141" s="116" customFormat="1">
      <c r="A4798" s="136"/>
      <c r="CM4798" s="111"/>
      <c r="CQ4798" s="111"/>
      <c r="EF4798"/>
      <c r="EG4798"/>
      <c r="EH4798"/>
      <c r="EI4798"/>
      <c r="EJ4798"/>
      <c r="EK4798"/>
    </row>
    <row r="4799" spans="1:141" s="116" customFormat="1">
      <c r="A4799" s="136"/>
      <c r="CM4799" s="111"/>
      <c r="CQ4799" s="111"/>
      <c r="EF4799"/>
      <c r="EG4799"/>
      <c r="EH4799"/>
      <c r="EI4799"/>
      <c r="EJ4799"/>
      <c r="EK4799"/>
    </row>
    <row r="4800" spans="1:141" s="116" customFormat="1">
      <c r="A4800" s="136"/>
      <c r="CM4800" s="111"/>
      <c r="CQ4800" s="111"/>
      <c r="EF4800"/>
      <c r="EG4800"/>
      <c r="EH4800"/>
      <c r="EI4800"/>
      <c r="EJ4800"/>
      <c r="EK4800"/>
    </row>
    <row r="4801" spans="1:141" s="116" customFormat="1">
      <c r="A4801" s="136"/>
      <c r="CM4801" s="111"/>
      <c r="CQ4801" s="111"/>
      <c r="EF4801"/>
      <c r="EG4801"/>
      <c r="EH4801"/>
      <c r="EI4801"/>
      <c r="EJ4801"/>
      <c r="EK4801"/>
    </row>
    <row r="4802" spans="1:141" s="116" customFormat="1">
      <c r="A4802" s="136"/>
      <c r="CM4802" s="111"/>
      <c r="CQ4802" s="111"/>
      <c r="EF4802"/>
      <c r="EG4802"/>
      <c r="EH4802"/>
      <c r="EI4802"/>
      <c r="EJ4802"/>
      <c r="EK4802"/>
    </row>
    <row r="4803" spans="1:141" s="116" customFormat="1">
      <c r="A4803" s="136"/>
      <c r="CM4803" s="111"/>
      <c r="CQ4803" s="111"/>
      <c r="EF4803"/>
      <c r="EG4803"/>
      <c r="EH4803"/>
      <c r="EI4803"/>
      <c r="EJ4803"/>
      <c r="EK4803"/>
    </row>
    <row r="4804" spans="1:141" s="116" customFormat="1">
      <c r="A4804" s="136"/>
      <c r="CM4804" s="111"/>
      <c r="CQ4804" s="111"/>
      <c r="EF4804"/>
      <c r="EG4804"/>
      <c r="EH4804"/>
      <c r="EI4804"/>
      <c r="EJ4804"/>
      <c r="EK4804"/>
    </row>
    <row r="4805" spans="1:141" s="116" customFormat="1">
      <c r="A4805" s="136"/>
      <c r="CM4805" s="111"/>
      <c r="CQ4805" s="111"/>
      <c r="EF4805"/>
      <c r="EG4805"/>
      <c r="EH4805"/>
      <c r="EI4805"/>
      <c r="EJ4805"/>
      <c r="EK4805"/>
    </row>
    <row r="4806" spans="1:141" s="116" customFormat="1">
      <c r="A4806" s="136"/>
      <c r="CM4806" s="111"/>
      <c r="CQ4806" s="111"/>
      <c r="EF4806"/>
      <c r="EG4806"/>
      <c r="EH4806"/>
      <c r="EI4806"/>
      <c r="EJ4806"/>
      <c r="EK4806"/>
    </row>
    <row r="4807" spans="1:141" s="116" customFormat="1">
      <c r="A4807" s="136"/>
      <c r="CM4807" s="111"/>
      <c r="CQ4807" s="111"/>
      <c r="EF4807"/>
      <c r="EG4807"/>
      <c r="EH4807"/>
      <c r="EI4807"/>
      <c r="EJ4807"/>
      <c r="EK4807"/>
    </row>
    <row r="4808" spans="1:141" s="116" customFormat="1">
      <c r="A4808" s="136"/>
      <c r="CM4808" s="111"/>
      <c r="CQ4808" s="111"/>
      <c r="EF4808"/>
      <c r="EG4808"/>
      <c r="EH4808"/>
      <c r="EI4808"/>
      <c r="EJ4808"/>
      <c r="EK4808"/>
    </row>
    <row r="4809" spans="1:141" s="116" customFormat="1">
      <c r="A4809" s="136"/>
      <c r="CM4809" s="111"/>
      <c r="CQ4809" s="111"/>
      <c r="EF4809"/>
      <c r="EG4809"/>
      <c r="EH4809"/>
      <c r="EI4809"/>
      <c r="EJ4809"/>
      <c r="EK4809"/>
    </row>
    <row r="4810" spans="1:141" s="116" customFormat="1">
      <c r="A4810" s="136"/>
      <c r="CM4810" s="111"/>
      <c r="CQ4810" s="111"/>
      <c r="EF4810"/>
      <c r="EG4810"/>
      <c r="EH4810"/>
      <c r="EI4810"/>
      <c r="EJ4810"/>
      <c r="EK4810"/>
    </row>
    <row r="4811" spans="1:141" s="116" customFormat="1">
      <c r="A4811" s="136"/>
      <c r="CM4811" s="111"/>
      <c r="CQ4811" s="111"/>
      <c r="EF4811"/>
      <c r="EG4811"/>
      <c r="EH4811"/>
      <c r="EI4811"/>
      <c r="EJ4811"/>
      <c r="EK4811"/>
    </row>
    <row r="4812" spans="1:141" s="116" customFormat="1">
      <c r="A4812" s="136"/>
      <c r="CM4812" s="111"/>
      <c r="CQ4812" s="111"/>
      <c r="EF4812"/>
      <c r="EG4812"/>
      <c r="EH4812"/>
      <c r="EI4812"/>
      <c r="EJ4812"/>
      <c r="EK4812"/>
    </row>
    <row r="4813" spans="1:141" s="116" customFormat="1">
      <c r="A4813" s="136"/>
      <c r="CM4813" s="111"/>
      <c r="CQ4813" s="111"/>
      <c r="EF4813"/>
      <c r="EG4813"/>
      <c r="EH4813"/>
      <c r="EI4813"/>
      <c r="EJ4813"/>
      <c r="EK4813"/>
    </row>
    <row r="4814" spans="1:141" s="116" customFormat="1">
      <c r="A4814" s="136"/>
      <c r="CM4814" s="111"/>
      <c r="CQ4814" s="111"/>
      <c r="EF4814"/>
      <c r="EG4814"/>
      <c r="EH4814"/>
      <c r="EI4814"/>
      <c r="EJ4814"/>
      <c r="EK4814"/>
    </row>
    <row r="4815" spans="1:141" s="116" customFormat="1">
      <c r="A4815" s="136"/>
      <c r="CM4815" s="111"/>
      <c r="CQ4815" s="111"/>
      <c r="EF4815"/>
      <c r="EG4815"/>
      <c r="EH4815"/>
      <c r="EI4815"/>
      <c r="EJ4815"/>
      <c r="EK4815"/>
    </row>
    <row r="4816" spans="1:141" s="116" customFormat="1">
      <c r="A4816" s="136"/>
      <c r="CM4816" s="111"/>
      <c r="CQ4816" s="111"/>
      <c r="EF4816"/>
      <c r="EG4816"/>
      <c r="EH4816"/>
      <c r="EI4816"/>
      <c r="EJ4816"/>
      <c r="EK4816"/>
    </row>
    <row r="4817" spans="1:141" s="116" customFormat="1">
      <c r="A4817" s="136"/>
      <c r="CM4817" s="111"/>
      <c r="CQ4817" s="111"/>
      <c r="EF4817"/>
      <c r="EG4817"/>
      <c r="EH4817"/>
      <c r="EI4817"/>
      <c r="EJ4817"/>
      <c r="EK4817"/>
    </row>
    <row r="4818" spans="1:141" s="116" customFormat="1">
      <c r="A4818" s="136"/>
      <c r="CM4818" s="111"/>
      <c r="CQ4818" s="111"/>
      <c r="EF4818"/>
      <c r="EG4818"/>
      <c r="EH4818"/>
      <c r="EI4818"/>
      <c r="EJ4818"/>
      <c r="EK4818"/>
    </row>
    <row r="4819" spans="1:141" s="116" customFormat="1">
      <c r="A4819" s="136"/>
      <c r="CM4819" s="111"/>
      <c r="CQ4819" s="111"/>
      <c r="EF4819"/>
      <c r="EG4819"/>
      <c r="EH4819"/>
      <c r="EI4819"/>
      <c r="EJ4819"/>
      <c r="EK4819"/>
    </row>
    <row r="4820" spans="1:141" s="116" customFormat="1">
      <c r="A4820" s="136"/>
      <c r="CM4820" s="111"/>
      <c r="CQ4820" s="111"/>
      <c r="EF4820"/>
      <c r="EG4820"/>
      <c r="EH4820"/>
      <c r="EI4820"/>
      <c r="EJ4820"/>
      <c r="EK4820"/>
    </row>
    <row r="4821" spans="1:141" s="116" customFormat="1">
      <c r="A4821" s="136"/>
      <c r="CM4821" s="111"/>
      <c r="CQ4821" s="111"/>
      <c r="EF4821"/>
      <c r="EG4821"/>
      <c r="EH4821"/>
      <c r="EI4821"/>
      <c r="EJ4821"/>
      <c r="EK4821"/>
    </row>
    <row r="4822" spans="1:141" s="116" customFormat="1">
      <c r="A4822" s="136"/>
      <c r="CM4822" s="111"/>
      <c r="CQ4822" s="111"/>
      <c r="EF4822"/>
      <c r="EG4822"/>
      <c r="EH4822"/>
      <c r="EI4822"/>
      <c r="EJ4822"/>
      <c r="EK4822"/>
    </row>
    <row r="4823" spans="1:141" s="116" customFormat="1">
      <c r="A4823" s="136"/>
      <c r="CM4823" s="111"/>
      <c r="CQ4823" s="111"/>
      <c r="EF4823"/>
      <c r="EG4823"/>
      <c r="EH4823"/>
      <c r="EI4823"/>
      <c r="EJ4823"/>
      <c r="EK4823"/>
    </row>
    <row r="4824" spans="1:141" s="116" customFormat="1">
      <c r="A4824" s="136"/>
      <c r="CM4824" s="111"/>
      <c r="CQ4824" s="111"/>
      <c r="EF4824"/>
      <c r="EG4824"/>
      <c r="EH4824"/>
      <c r="EI4824"/>
      <c r="EJ4824"/>
      <c r="EK4824"/>
    </row>
    <row r="4825" spans="1:141" s="116" customFormat="1">
      <c r="A4825" s="136"/>
      <c r="CM4825" s="111"/>
      <c r="CQ4825" s="111"/>
      <c r="EF4825"/>
      <c r="EG4825"/>
      <c r="EH4825"/>
      <c r="EI4825"/>
      <c r="EJ4825"/>
      <c r="EK4825"/>
    </row>
    <row r="4826" spans="1:141" s="116" customFormat="1">
      <c r="A4826" s="136"/>
      <c r="CM4826" s="111"/>
      <c r="CQ4826" s="111"/>
      <c r="EF4826"/>
      <c r="EG4826"/>
      <c r="EH4826"/>
      <c r="EI4826"/>
      <c r="EJ4826"/>
      <c r="EK4826"/>
    </row>
    <row r="4827" spans="1:141" s="116" customFormat="1">
      <c r="A4827" s="136"/>
      <c r="CM4827" s="111"/>
      <c r="CQ4827" s="111"/>
      <c r="EF4827"/>
      <c r="EG4827"/>
      <c r="EH4827"/>
      <c r="EI4827"/>
      <c r="EJ4827"/>
      <c r="EK4827"/>
    </row>
    <row r="4828" spans="1:141" s="116" customFormat="1">
      <c r="A4828" s="136"/>
      <c r="CM4828" s="111"/>
      <c r="CQ4828" s="111"/>
      <c r="EF4828"/>
      <c r="EG4828"/>
      <c r="EH4828"/>
      <c r="EI4828"/>
      <c r="EJ4828"/>
      <c r="EK4828"/>
    </row>
    <row r="4829" spans="1:141" s="116" customFormat="1">
      <c r="A4829" s="136"/>
      <c r="CM4829" s="111"/>
      <c r="CQ4829" s="111"/>
      <c r="EF4829"/>
      <c r="EG4829"/>
      <c r="EH4829"/>
      <c r="EI4829"/>
      <c r="EJ4829"/>
      <c r="EK4829"/>
    </row>
    <row r="4830" spans="1:141" s="116" customFormat="1">
      <c r="A4830" s="136"/>
      <c r="CM4830" s="111"/>
      <c r="CQ4830" s="111"/>
      <c r="EF4830"/>
      <c r="EG4830"/>
      <c r="EH4830"/>
      <c r="EI4830"/>
      <c r="EJ4830"/>
      <c r="EK4830"/>
    </row>
    <row r="4831" spans="1:141" s="116" customFormat="1">
      <c r="A4831" s="136"/>
      <c r="CM4831" s="111"/>
      <c r="CQ4831" s="111"/>
      <c r="EF4831"/>
      <c r="EG4831"/>
      <c r="EH4831"/>
      <c r="EI4831"/>
      <c r="EJ4831"/>
      <c r="EK4831"/>
    </row>
    <row r="4832" spans="1:141" s="116" customFormat="1">
      <c r="A4832" s="136"/>
      <c r="CM4832" s="111"/>
      <c r="CQ4832" s="111"/>
      <c r="EF4832"/>
      <c r="EG4832"/>
      <c r="EH4832"/>
      <c r="EI4832"/>
      <c r="EJ4832"/>
      <c r="EK4832"/>
    </row>
    <row r="4833" spans="1:141" s="116" customFormat="1">
      <c r="A4833" s="136"/>
      <c r="CM4833" s="111"/>
      <c r="CQ4833" s="111"/>
      <c r="EF4833"/>
      <c r="EG4833"/>
      <c r="EH4833"/>
      <c r="EI4833"/>
      <c r="EJ4833"/>
      <c r="EK4833"/>
    </row>
    <row r="4834" spans="1:141" s="116" customFormat="1">
      <c r="A4834" s="136"/>
      <c r="CM4834" s="111"/>
      <c r="CQ4834" s="111"/>
      <c r="EF4834"/>
      <c r="EG4834"/>
      <c r="EH4834"/>
      <c r="EI4834"/>
      <c r="EJ4834"/>
      <c r="EK4834"/>
    </row>
    <row r="4835" spans="1:141" s="116" customFormat="1">
      <c r="A4835" s="136"/>
      <c r="CM4835" s="111"/>
      <c r="CQ4835" s="111"/>
      <c r="EF4835"/>
      <c r="EG4835"/>
      <c r="EH4835"/>
      <c r="EI4835"/>
      <c r="EJ4835"/>
      <c r="EK4835"/>
    </row>
    <row r="4836" spans="1:141" s="116" customFormat="1">
      <c r="A4836" s="136"/>
      <c r="CM4836" s="111"/>
      <c r="CQ4836" s="111"/>
      <c r="EF4836"/>
      <c r="EG4836"/>
      <c r="EH4836"/>
      <c r="EI4836"/>
      <c r="EJ4836"/>
      <c r="EK4836"/>
    </row>
    <row r="4837" spans="1:141" s="116" customFormat="1">
      <c r="A4837" s="136"/>
      <c r="CM4837" s="111"/>
      <c r="CQ4837" s="111"/>
      <c r="EF4837"/>
      <c r="EG4837"/>
      <c r="EH4837"/>
      <c r="EI4837"/>
      <c r="EJ4837"/>
      <c r="EK4837"/>
    </row>
    <row r="4838" spans="1:141" s="116" customFormat="1">
      <c r="A4838" s="136"/>
      <c r="CM4838" s="111"/>
      <c r="CQ4838" s="111"/>
      <c r="EF4838"/>
      <c r="EG4838"/>
      <c r="EH4838"/>
      <c r="EI4838"/>
      <c r="EJ4838"/>
      <c r="EK4838"/>
    </row>
    <row r="4839" spans="1:141" s="116" customFormat="1">
      <c r="A4839" s="136"/>
      <c r="CM4839" s="111"/>
      <c r="CQ4839" s="111"/>
      <c r="EF4839"/>
      <c r="EG4839"/>
      <c r="EH4839"/>
      <c r="EI4839"/>
      <c r="EJ4839"/>
      <c r="EK4839"/>
    </row>
    <row r="4840" spans="1:141" s="116" customFormat="1">
      <c r="A4840" s="136"/>
      <c r="CM4840" s="111"/>
      <c r="CQ4840" s="111"/>
      <c r="EF4840"/>
      <c r="EG4840"/>
      <c r="EH4840"/>
      <c r="EI4840"/>
      <c r="EJ4840"/>
      <c r="EK4840"/>
    </row>
    <row r="4841" spans="1:141" s="116" customFormat="1">
      <c r="A4841" s="136"/>
      <c r="CM4841" s="111"/>
      <c r="CQ4841" s="111"/>
      <c r="EF4841"/>
      <c r="EG4841"/>
      <c r="EH4841"/>
      <c r="EI4841"/>
      <c r="EJ4841"/>
      <c r="EK4841"/>
    </row>
    <row r="4842" spans="1:141" s="116" customFormat="1">
      <c r="A4842" s="136"/>
      <c r="CM4842" s="111"/>
      <c r="CQ4842" s="111"/>
      <c r="EF4842"/>
      <c r="EG4842"/>
      <c r="EH4842"/>
      <c r="EI4842"/>
      <c r="EJ4842"/>
      <c r="EK4842"/>
    </row>
    <row r="4843" spans="1:141" s="116" customFormat="1">
      <c r="A4843" s="136"/>
      <c r="CM4843" s="111"/>
      <c r="CQ4843" s="111"/>
      <c r="EF4843"/>
      <c r="EG4843"/>
      <c r="EH4843"/>
      <c r="EI4843"/>
      <c r="EJ4843"/>
      <c r="EK4843"/>
    </row>
    <row r="4844" spans="1:141" s="116" customFormat="1">
      <c r="A4844" s="136"/>
      <c r="CM4844" s="111"/>
      <c r="CQ4844" s="111"/>
      <c r="EF4844"/>
      <c r="EG4844"/>
      <c r="EH4844"/>
      <c r="EI4844"/>
      <c r="EJ4844"/>
      <c r="EK4844"/>
    </row>
    <row r="4845" spans="1:141" s="116" customFormat="1">
      <c r="A4845" s="136"/>
      <c r="CM4845" s="111"/>
      <c r="CQ4845" s="111"/>
      <c r="EF4845"/>
      <c r="EG4845"/>
      <c r="EH4845"/>
      <c r="EI4845"/>
      <c r="EJ4845"/>
      <c r="EK4845"/>
    </row>
    <row r="4846" spans="1:141" s="116" customFormat="1">
      <c r="A4846" s="136"/>
      <c r="CM4846" s="111"/>
      <c r="CQ4846" s="111"/>
      <c r="EF4846"/>
      <c r="EG4846"/>
      <c r="EH4846"/>
      <c r="EI4846"/>
      <c r="EJ4846"/>
      <c r="EK4846"/>
    </row>
    <row r="4847" spans="1:141" s="116" customFormat="1">
      <c r="A4847" s="136"/>
      <c r="CM4847" s="111"/>
      <c r="CQ4847" s="111"/>
      <c r="EF4847"/>
      <c r="EG4847"/>
      <c r="EH4847"/>
      <c r="EI4847"/>
      <c r="EJ4847"/>
      <c r="EK4847"/>
    </row>
    <row r="4848" spans="1:141" s="116" customFormat="1">
      <c r="A4848" s="136"/>
      <c r="CM4848" s="111"/>
      <c r="CQ4848" s="111"/>
      <c r="EF4848"/>
      <c r="EG4848"/>
      <c r="EH4848"/>
      <c r="EI4848"/>
      <c r="EJ4848"/>
      <c r="EK4848"/>
    </row>
    <row r="4849" spans="1:141" s="116" customFormat="1">
      <c r="A4849" s="136"/>
      <c r="CM4849" s="111"/>
      <c r="CQ4849" s="111"/>
      <c r="EF4849"/>
      <c r="EG4849"/>
      <c r="EH4849"/>
      <c r="EI4849"/>
      <c r="EJ4849"/>
      <c r="EK4849"/>
    </row>
    <row r="4850" spans="1:141" s="116" customFormat="1">
      <c r="A4850" s="136"/>
      <c r="CM4850" s="111"/>
      <c r="CQ4850" s="111"/>
      <c r="EF4850"/>
      <c r="EG4850"/>
      <c r="EH4850"/>
      <c r="EI4850"/>
      <c r="EJ4850"/>
      <c r="EK4850"/>
    </row>
    <row r="4851" spans="1:141" s="116" customFormat="1">
      <c r="A4851" s="136"/>
      <c r="CM4851" s="111"/>
      <c r="CQ4851" s="111"/>
      <c r="EF4851"/>
      <c r="EG4851"/>
      <c r="EH4851"/>
      <c r="EI4851"/>
      <c r="EJ4851"/>
      <c r="EK4851"/>
    </row>
    <row r="4852" spans="1:141" s="116" customFormat="1">
      <c r="A4852" s="136"/>
      <c r="CM4852" s="111"/>
      <c r="CQ4852" s="111"/>
      <c r="EF4852"/>
      <c r="EG4852"/>
      <c r="EH4852"/>
      <c r="EI4852"/>
      <c r="EJ4852"/>
      <c r="EK4852"/>
    </row>
    <row r="4853" spans="1:141" s="116" customFormat="1">
      <c r="A4853" s="136"/>
      <c r="CM4853" s="111"/>
      <c r="CQ4853" s="111"/>
      <c r="EF4853"/>
      <c r="EG4853"/>
      <c r="EH4853"/>
      <c r="EI4853"/>
      <c r="EJ4853"/>
      <c r="EK4853"/>
    </row>
    <row r="4854" spans="1:141" s="116" customFormat="1">
      <c r="A4854" s="136"/>
      <c r="CM4854" s="111"/>
      <c r="CQ4854" s="111"/>
      <c r="EF4854"/>
      <c r="EG4854"/>
      <c r="EH4854"/>
      <c r="EI4854"/>
      <c r="EJ4854"/>
      <c r="EK4854"/>
    </row>
    <row r="4855" spans="1:141" s="116" customFormat="1">
      <c r="A4855" s="136"/>
      <c r="CM4855" s="111"/>
      <c r="CQ4855" s="111"/>
      <c r="EF4855"/>
      <c r="EG4855"/>
      <c r="EH4855"/>
      <c r="EI4855"/>
      <c r="EJ4855"/>
      <c r="EK4855"/>
    </row>
    <row r="4856" spans="1:141" s="116" customFormat="1">
      <c r="A4856" s="136"/>
      <c r="CM4856" s="111"/>
      <c r="CQ4856" s="111"/>
      <c r="EF4856"/>
      <c r="EG4856"/>
      <c r="EH4856"/>
      <c r="EI4856"/>
      <c r="EJ4856"/>
      <c r="EK4856"/>
    </row>
    <row r="4857" spans="1:141" s="116" customFormat="1">
      <c r="A4857" s="136"/>
      <c r="CM4857" s="111"/>
      <c r="CQ4857" s="111"/>
      <c r="EF4857"/>
      <c r="EG4857"/>
      <c r="EH4857"/>
      <c r="EI4857"/>
      <c r="EJ4857"/>
      <c r="EK4857"/>
    </row>
    <row r="4858" spans="1:141" s="116" customFormat="1">
      <c r="A4858" s="136"/>
      <c r="CM4858" s="111"/>
      <c r="CQ4858" s="111"/>
      <c r="EF4858"/>
      <c r="EG4858"/>
      <c r="EH4858"/>
      <c r="EI4858"/>
      <c r="EJ4858"/>
      <c r="EK4858"/>
    </row>
    <row r="4859" spans="1:141" s="116" customFormat="1">
      <c r="A4859" s="136"/>
      <c r="CM4859" s="111"/>
      <c r="CQ4859" s="111"/>
      <c r="EF4859"/>
      <c r="EG4859"/>
      <c r="EH4859"/>
      <c r="EI4859"/>
      <c r="EJ4859"/>
      <c r="EK4859"/>
    </row>
    <row r="4860" spans="1:141" s="116" customFormat="1">
      <c r="A4860" s="136"/>
      <c r="CM4860" s="111"/>
      <c r="CQ4860" s="111"/>
      <c r="EF4860"/>
      <c r="EG4860"/>
      <c r="EH4860"/>
      <c r="EI4860"/>
      <c r="EJ4860"/>
      <c r="EK4860"/>
    </row>
    <row r="4861" spans="1:141" s="116" customFormat="1">
      <c r="A4861" s="136"/>
      <c r="CM4861" s="111"/>
      <c r="CQ4861" s="111"/>
      <c r="EF4861"/>
      <c r="EG4861"/>
      <c r="EH4861"/>
      <c r="EI4861"/>
      <c r="EJ4861"/>
      <c r="EK4861"/>
    </row>
    <row r="4862" spans="1:141" s="116" customFormat="1">
      <c r="A4862" s="136"/>
      <c r="CM4862" s="111"/>
      <c r="CQ4862" s="111"/>
      <c r="EF4862"/>
      <c r="EG4862"/>
      <c r="EH4862"/>
      <c r="EI4862"/>
      <c r="EJ4862"/>
      <c r="EK4862"/>
    </row>
    <row r="4863" spans="1:141" s="116" customFormat="1">
      <c r="A4863" s="136"/>
      <c r="CM4863" s="111"/>
      <c r="CQ4863" s="111"/>
      <c r="EF4863"/>
      <c r="EG4863"/>
      <c r="EH4863"/>
      <c r="EI4863"/>
      <c r="EJ4863"/>
      <c r="EK4863"/>
    </row>
    <row r="4864" spans="1:141" s="116" customFormat="1">
      <c r="A4864" s="136"/>
      <c r="CM4864" s="111"/>
      <c r="CQ4864" s="111"/>
      <c r="EF4864"/>
      <c r="EG4864"/>
      <c r="EH4864"/>
      <c r="EI4864"/>
      <c r="EJ4864"/>
      <c r="EK4864"/>
    </row>
    <row r="4865" spans="1:141" s="116" customFormat="1">
      <c r="A4865" s="136"/>
      <c r="CM4865" s="111"/>
      <c r="CQ4865" s="111"/>
      <c r="EF4865"/>
      <c r="EG4865"/>
      <c r="EH4865"/>
      <c r="EI4865"/>
      <c r="EJ4865"/>
      <c r="EK4865"/>
    </row>
    <row r="4866" spans="1:141" s="116" customFormat="1">
      <c r="A4866" s="136"/>
      <c r="CM4866" s="111"/>
      <c r="CQ4866" s="111"/>
      <c r="EF4866"/>
      <c r="EG4866"/>
      <c r="EH4866"/>
      <c r="EI4866"/>
      <c r="EJ4866"/>
      <c r="EK4866"/>
    </row>
    <row r="4867" spans="1:141" s="116" customFormat="1">
      <c r="A4867" s="136"/>
      <c r="CM4867" s="111"/>
      <c r="CQ4867" s="111"/>
      <c r="EF4867"/>
      <c r="EG4867"/>
      <c r="EH4867"/>
      <c r="EI4867"/>
      <c r="EJ4867"/>
      <c r="EK4867"/>
    </row>
    <row r="4868" spans="1:141" s="116" customFormat="1">
      <c r="A4868" s="136"/>
      <c r="CM4868" s="111"/>
      <c r="CQ4868" s="111"/>
      <c r="EF4868"/>
      <c r="EG4868"/>
      <c r="EH4868"/>
      <c r="EI4868"/>
      <c r="EJ4868"/>
      <c r="EK4868"/>
    </row>
    <row r="4869" spans="1:141" s="116" customFormat="1">
      <c r="A4869" s="136"/>
      <c r="CM4869" s="111"/>
      <c r="CQ4869" s="111"/>
      <c r="EF4869"/>
      <c r="EG4869"/>
      <c r="EH4869"/>
      <c r="EI4869"/>
      <c r="EJ4869"/>
      <c r="EK4869"/>
    </row>
    <row r="4870" spans="1:141" s="116" customFormat="1">
      <c r="A4870" s="136"/>
      <c r="CM4870" s="111"/>
      <c r="CQ4870" s="111"/>
      <c r="EF4870"/>
      <c r="EG4870"/>
      <c r="EH4870"/>
      <c r="EI4870"/>
      <c r="EJ4870"/>
      <c r="EK4870"/>
    </row>
    <row r="4871" spans="1:141" s="116" customFormat="1">
      <c r="A4871" s="136"/>
      <c r="CM4871" s="111"/>
      <c r="CQ4871" s="111"/>
      <c r="EF4871"/>
      <c r="EG4871"/>
      <c r="EH4871"/>
      <c r="EI4871"/>
      <c r="EJ4871"/>
      <c r="EK4871"/>
    </row>
    <row r="4872" spans="1:141" s="116" customFormat="1">
      <c r="A4872" s="136"/>
      <c r="CM4872" s="111"/>
      <c r="CQ4872" s="111"/>
      <c r="EF4872"/>
      <c r="EG4872"/>
      <c r="EH4872"/>
      <c r="EI4872"/>
      <c r="EJ4872"/>
      <c r="EK4872"/>
    </row>
    <row r="4873" spans="1:141" s="116" customFormat="1">
      <c r="A4873" s="136"/>
      <c r="CM4873" s="111"/>
      <c r="CQ4873" s="111"/>
      <c r="EF4873"/>
      <c r="EG4873"/>
      <c r="EH4873"/>
      <c r="EI4873"/>
      <c r="EJ4873"/>
      <c r="EK4873"/>
    </row>
    <row r="4874" spans="1:141" s="116" customFormat="1">
      <c r="A4874" s="136"/>
      <c r="CM4874" s="111"/>
      <c r="CQ4874" s="111"/>
      <c r="EF4874"/>
      <c r="EG4874"/>
      <c r="EH4874"/>
      <c r="EI4874"/>
      <c r="EJ4874"/>
      <c r="EK4874"/>
    </row>
    <row r="4875" spans="1:141" s="116" customFormat="1">
      <c r="A4875" s="136"/>
      <c r="CM4875" s="111"/>
      <c r="CQ4875" s="111"/>
      <c r="EF4875"/>
      <c r="EG4875"/>
      <c r="EH4875"/>
      <c r="EI4875"/>
      <c r="EJ4875"/>
      <c r="EK4875"/>
    </row>
    <row r="4876" spans="1:141" s="116" customFormat="1">
      <c r="A4876" s="136"/>
      <c r="CM4876" s="111"/>
      <c r="CQ4876" s="111"/>
      <c r="EF4876"/>
      <c r="EG4876"/>
      <c r="EH4876"/>
      <c r="EI4876"/>
      <c r="EJ4876"/>
      <c r="EK4876"/>
    </row>
    <row r="4877" spans="1:141" s="116" customFormat="1">
      <c r="A4877" s="136"/>
      <c r="CM4877" s="111"/>
      <c r="CQ4877" s="111"/>
      <c r="EF4877"/>
      <c r="EG4877"/>
      <c r="EH4877"/>
      <c r="EI4877"/>
      <c r="EJ4877"/>
      <c r="EK4877"/>
    </row>
    <row r="4878" spans="1:141" s="116" customFormat="1">
      <c r="A4878" s="136"/>
      <c r="CM4878" s="111"/>
      <c r="CQ4878" s="111"/>
      <c r="EF4878"/>
      <c r="EG4878"/>
      <c r="EH4878"/>
      <c r="EI4878"/>
      <c r="EJ4878"/>
      <c r="EK4878"/>
    </row>
    <row r="4879" spans="1:141" s="116" customFormat="1">
      <c r="A4879" s="136"/>
      <c r="CM4879" s="111"/>
      <c r="CQ4879" s="111"/>
      <c r="EF4879"/>
      <c r="EG4879"/>
      <c r="EH4879"/>
      <c r="EI4879"/>
      <c r="EJ4879"/>
      <c r="EK4879"/>
    </row>
    <row r="4880" spans="1:141" s="116" customFormat="1">
      <c r="A4880" s="136"/>
      <c r="CM4880" s="111"/>
      <c r="CQ4880" s="111"/>
      <c r="EF4880"/>
      <c r="EG4880"/>
      <c r="EH4880"/>
      <c r="EI4880"/>
      <c r="EJ4880"/>
      <c r="EK4880"/>
    </row>
    <row r="4881" spans="1:141" s="116" customFormat="1">
      <c r="A4881" s="136"/>
      <c r="CM4881" s="111"/>
      <c r="CQ4881" s="111"/>
      <c r="EF4881"/>
      <c r="EG4881"/>
      <c r="EH4881"/>
      <c r="EI4881"/>
      <c r="EJ4881"/>
      <c r="EK4881"/>
    </row>
    <row r="4882" spans="1:141" s="116" customFormat="1">
      <c r="A4882" s="136"/>
      <c r="CM4882" s="111"/>
      <c r="CQ4882" s="111"/>
      <c r="EF4882"/>
      <c r="EG4882"/>
      <c r="EH4882"/>
      <c r="EI4882"/>
      <c r="EJ4882"/>
      <c r="EK4882"/>
    </row>
    <row r="4883" spans="1:141" s="116" customFormat="1">
      <c r="A4883" s="136"/>
      <c r="CM4883" s="111"/>
      <c r="CQ4883" s="111"/>
      <c r="EF4883"/>
      <c r="EG4883"/>
      <c r="EH4883"/>
      <c r="EI4883"/>
      <c r="EJ4883"/>
      <c r="EK4883"/>
    </row>
    <row r="4884" spans="1:141" s="116" customFormat="1">
      <c r="A4884" s="136"/>
      <c r="CM4884" s="111"/>
      <c r="CQ4884" s="111"/>
      <c r="EF4884"/>
      <c r="EG4884"/>
      <c r="EH4884"/>
      <c r="EI4884"/>
      <c r="EJ4884"/>
      <c r="EK4884"/>
    </row>
    <row r="4885" spans="1:141" s="116" customFormat="1">
      <c r="A4885" s="136"/>
      <c r="CM4885" s="111"/>
      <c r="CQ4885" s="111"/>
      <c r="EF4885"/>
      <c r="EG4885"/>
      <c r="EH4885"/>
      <c r="EI4885"/>
      <c r="EJ4885"/>
      <c r="EK4885"/>
    </row>
    <row r="4886" spans="1:141" s="116" customFormat="1">
      <c r="A4886" s="136"/>
      <c r="CM4886" s="111"/>
      <c r="CQ4886" s="111"/>
      <c r="EF4886"/>
      <c r="EG4886"/>
      <c r="EH4886"/>
      <c r="EI4886"/>
      <c r="EJ4886"/>
      <c r="EK4886"/>
    </row>
    <row r="4887" spans="1:141" s="116" customFormat="1">
      <c r="A4887" s="136"/>
      <c r="CM4887" s="111"/>
      <c r="CQ4887" s="111"/>
      <c r="EF4887"/>
      <c r="EG4887"/>
      <c r="EH4887"/>
      <c r="EI4887"/>
      <c r="EJ4887"/>
      <c r="EK4887"/>
    </row>
    <row r="4888" spans="1:141" s="116" customFormat="1">
      <c r="A4888" s="136"/>
      <c r="CM4888" s="111"/>
      <c r="CQ4888" s="111"/>
      <c r="EF4888"/>
      <c r="EG4888"/>
      <c r="EH4888"/>
      <c r="EI4888"/>
      <c r="EJ4888"/>
      <c r="EK4888"/>
    </row>
    <row r="4889" spans="1:141" s="116" customFormat="1">
      <c r="A4889" s="136"/>
      <c r="CM4889" s="111"/>
      <c r="CQ4889" s="111"/>
      <c r="EF4889"/>
      <c r="EG4889"/>
      <c r="EH4889"/>
      <c r="EI4889"/>
      <c r="EJ4889"/>
      <c r="EK4889"/>
    </row>
    <row r="4890" spans="1:141" s="116" customFormat="1">
      <c r="A4890" s="136"/>
      <c r="CM4890" s="111"/>
      <c r="CQ4890" s="111"/>
      <c r="EF4890"/>
      <c r="EG4890"/>
      <c r="EH4890"/>
      <c r="EI4890"/>
      <c r="EJ4890"/>
      <c r="EK4890"/>
    </row>
    <row r="4891" spans="1:141" s="116" customFormat="1">
      <c r="A4891" s="136"/>
      <c r="CM4891" s="111"/>
      <c r="CQ4891" s="111"/>
      <c r="EF4891"/>
      <c r="EG4891"/>
      <c r="EH4891"/>
      <c r="EI4891"/>
      <c r="EJ4891"/>
      <c r="EK4891"/>
    </row>
    <row r="4892" spans="1:141" s="116" customFormat="1">
      <c r="A4892" s="136"/>
      <c r="CM4892" s="111"/>
      <c r="CQ4892" s="111"/>
      <c r="EF4892"/>
      <c r="EG4892"/>
      <c r="EH4892"/>
      <c r="EI4892"/>
      <c r="EJ4892"/>
      <c r="EK4892"/>
    </row>
    <row r="4893" spans="1:141" s="116" customFormat="1">
      <c r="A4893" s="136"/>
      <c r="CM4893" s="111"/>
      <c r="CQ4893" s="111"/>
      <c r="EF4893"/>
      <c r="EG4893"/>
      <c r="EH4893"/>
      <c r="EI4893"/>
      <c r="EJ4893"/>
      <c r="EK4893"/>
    </row>
    <row r="4894" spans="1:141" s="116" customFormat="1">
      <c r="A4894" s="136"/>
      <c r="CM4894" s="111"/>
      <c r="CQ4894" s="111"/>
      <c r="EF4894"/>
      <c r="EG4894"/>
      <c r="EH4894"/>
      <c r="EI4894"/>
      <c r="EJ4894"/>
      <c r="EK4894"/>
    </row>
    <row r="4895" spans="1:141" s="116" customFormat="1">
      <c r="A4895" s="136"/>
      <c r="CM4895" s="111"/>
      <c r="CQ4895" s="111"/>
      <c r="EF4895"/>
      <c r="EG4895"/>
      <c r="EH4895"/>
      <c r="EI4895"/>
      <c r="EJ4895"/>
      <c r="EK4895"/>
    </row>
    <row r="4896" spans="1:141" s="116" customFormat="1">
      <c r="A4896" s="136"/>
      <c r="CM4896" s="111"/>
      <c r="CQ4896" s="111"/>
      <c r="EF4896"/>
      <c r="EG4896"/>
      <c r="EH4896"/>
      <c r="EI4896"/>
      <c r="EJ4896"/>
      <c r="EK4896"/>
    </row>
    <row r="4897" spans="1:141" s="116" customFormat="1">
      <c r="A4897" s="136"/>
      <c r="CM4897" s="111"/>
      <c r="CQ4897" s="111"/>
      <c r="EF4897"/>
      <c r="EG4897"/>
      <c r="EH4897"/>
      <c r="EI4897"/>
      <c r="EJ4897"/>
      <c r="EK4897"/>
    </row>
    <row r="4898" spans="1:141" s="116" customFormat="1">
      <c r="A4898" s="136"/>
      <c r="CM4898" s="111"/>
      <c r="CQ4898" s="111"/>
      <c r="EF4898"/>
      <c r="EG4898"/>
      <c r="EH4898"/>
      <c r="EI4898"/>
      <c r="EJ4898"/>
      <c r="EK4898"/>
    </row>
    <row r="4899" spans="1:141" s="116" customFormat="1">
      <c r="A4899" s="136"/>
      <c r="CM4899" s="111"/>
      <c r="CQ4899" s="111"/>
      <c r="EF4899"/>
      <c r="EG4899"/>
      <c r="EH4899"/>
      <c r="EI4899"/>
      <c r="EJ4899"/>
      <c r="EK4899"/>
    </row>
    <row r="4900" spans="1:141" s="116" customFormat="1">
      <c r="A4900" s="136"/>
      <c r="CM4900" s="111"/>
      <c r="CQ4900" s="111"/>
      <c r="EF4900"/>
      <c r="EG4900"/>
      <c r="EH4900"/>
      <c r="EI4900"/>
      <c r="EJ4900"/>
      <c r="EK4900"/>
    </row>
    <row r="4901" spans="1:141" s="116" customFormat="1">
      <c r="A4901" s="136"/>
      <c r="CM4901" s="111"/>
      <c r="CQ4901" s="111"/>
      <c r="EF4901"/>
      <c r="EG4901"/>
      <c r="EH4901"/>
      <c r="EI4901"/>
      <c r="EJ4901"/>
      <c r="EK4901"/>
    </row>
    <row r="4902" spans="1:141" s="116" customFormat="1">
      <c r="A4902" s="136"/>
      <c r="CM4902" s="111"/>
      <c r="CQ4902" s="111"/>
      <c r="EF4902"/>
      <c r="EG4902"/>
      <c r="EH4902"/>
      <c r="EI4902"/>
      <c r="EJ4902"/>
      <c r="EK4902"/>
    </row>
    <row r="4903" spans="1:141" s="116" customFormat="1">
      <c r="A4903" s="136"/>
      <c r="CM4903" s="111"/>
      <c r="CQ4903" s="111"/>
      <c r="EF4903"/>
      <c r="EG4903"/>
      <c r="EH4903"/>
      <c r="EI4903"/>
      <c r="EJ4903"/>
      <c r="EK4903"/>
    </row>
    <row r="4904" spans="1:141" s="116" customFormat="1">
      <c r="A4904" s="136"/>
      <c r="CM4904" s="111"/>
      <c r="CQ4904" s="111"/>
      <c r="EF4904"/>
      <c r="EG4904"/>
      <c r="EH4904"/>
      <c r="EI4904"/>
      <c r="EJ4904"/>
      <c r="EK4904"/>
    </row>
    <row r="4905" spans="1:141" s="116" customFormat="1">
      <c r="A4905" s="136"/>
      <c r="CM4905" s="111"/>
      <c r="CQ4905" s="111"/>
      <c r="EF4905"/>
      <c r="EG4905"/>
      <c r="EH4905"/>
      <c r="EI4905"/>
      <c r="EJ4905"/>
      <c r="EK4905"/>
    </row>
    <row r="4906" spans="1:141" s="116" customFormat="1">
      <c r="A4906" s="136"/>
      <c r="CM4906" s="111"/>
      <c r="CQ4906" s="111"/>
      <c r="EF4906"/>
      <c r="EG4906"/>
      <c r="EH4906"/>
      <c r="EI4906"/>
      <c r="EJ4906"/>
      <c r="EK4906"/>
    </row>
    <row r="4907" spans="1:141" s="116" customFormat="1">
      <c r="A4907" s="136"/>
      <c r="CM4907" s="111"/>
      <c r="CQ4907" s="111"/>
      <c r="EF4907"/>
      <c r="EG4907"/>
      <c r="EH4907"/>
      <c r="EI4907"/>
      <c r="EJ4907"/>
      <c r="EK4907"/>
    </row>
    <row r="4908" spans="1:141" s="116" customFormat="1">
      <c r="A4908" s="136"/>
      <c r="CM4908" s="111"/>
      <c r="CQ4908" s="111"/>
      <c r="EF4908"/>
      <c r="EG4908"/>
      <c r="EH4908"/>
      <c r="EI4908"/>
      <c r="EJ4908"/>
      <c r="EK4908"/>
    </row>
    <row r="4909" spans="1:141" s="116" customFormat="1">
      <c r="A4909" s="136"/>
      <c r="CM4909" s="111"/>
      <c r="CQ4909" s="111"/>
      <c r="EF4909"/>
      <c r="EG4909"/>
      <c r="EH4909"/>
      <c r="EI4909"/>
      <c r="EJ4909"/>
      <c r="EK4909"/>
    </row>
    <row r="4910" spans="1:141" s="116" customFormat="1">
      <c r="A4910" s="136"/>
      <c r="CM4910" s="111"/>
      <c r="CQ4910" s="111"/>
      <c r="EF4910"/>
      <c r="EG4910"/>
      <c r="EH4910"/>
      <c r="EI4910"/>
      <c r="EJ4910"/>
      <c r="EK4910"/>
    </row>
    <row r="4911" spans="1:141" s="116" customFormat="1">
      <c r="A4911" s="136"/>
      <c r="CM4911" s="111"/>
      <c r="CQ4911" s="111"/>
      <c r="EF4911"/>
      <c r="EG4911"/>
      <c r="EH4911"/>
      <c r="EI4911"/>
      <c r="EJ4911"/>
      <c r="EK4911"/>
    </row>
    <row r="4912" spans="1:141" s="116" customFormat="1">
      <c r="A4912" s="136"/>
      <c r="CM4912" s="111"/>
      <c r="CQ4912" s="111"/>
      <c r="EF4912"/>
      <c r="EG4912"/>
      <c r="EH4912"/>
      <c r="EI4912"/>
      <c r="EJ4912"/>
      <c r="EK4912"/>
    </row>
    <row r="4913" spans="1:141" s="116" customFormat="1">
      <c r="A4913" s="136"/>
      <c r="CM4913" s="111"/>
      <c r="CQ4913" s="111"/>
      <c r="EF4913"/>
      <c r="EG4913"/>
      <c r="EH4913"/>
      <c r="EI4913"/>
      <c r="EJ4913"/>
      <c r="EK4913"/>
    </row>
    <row r="4914" spans="1:141" s="116" customFormat="1">
      <c r="A4914" s="136"/>
      <c r="CM4914" s="111"/>
      <c r="CQ4914" s="111"/>
      <c r="EF4914"/>
      <c r="EG4914"/>
      <c r="EH4914"/>
      <c r="EI4914"/>
      <c r="EJ4914"/>
      <c r="EK4914"/>
    </row>
    <row r="4915" spans="1:141" s="116" customFormat="1">
      <c r="A4915" s="136"/>
      <c r="CM4915" s="111"/>
      <c r="CQ4915" s="111"/>
      <c r="EF4915"/>
      <c r="EG4915"/>
      <c r="EH4915"/>
      <c r="EI4915"/>
      <c r="EJ4915"/>
      <c r="EK4915"/>
    </row>
    <row r="4916" spans="1:141" s="116" customFormat="1">
      <c r="A4916" s="136"/>
      <c r="CM4916" s="111"/>
      <c r="CQ4916" s="111"/>
      <c r="EF4916"/>
      <c r="EG4916"/>
      <c r="EH4916"/>
      <c r="EI4916"/>
      <c r="EJ4916"/>
      <c r="EK4916"/>
    </row>
    <row r="4917" spans="1:141" s="116" customFormat="1">
      <c r="A4917" s="136"/>
      <c r="CM4917" s="111"/>
      <c r="CQ4917" s="111"/>
      <c r="EF4917"/>
      <c r="EG4917"/>
      <c r="EH4917"/>
      <c r="EI4917"/>
      <c r="EJ4917"/>
      <c r="EK4917"/>
    </row>
    <row r="4918" spans="1:141" s="116" customFormat="1">
      <c r="A4918" s="136"/>
      <c r="CM4918" s="111"/>
      <c r="CQ4918" s="111"/>
      <c r="EF4918"/>
      <c r="EG4918"/>
      <c r="EH4918"/>
      <c r="EI4918"/>
      <c r="EJ4918"/>
      <c r="EK4918"/>
    </row>
    <row r="4919" spans="1:141" s="116" customFormat="1">
      <c r="A4919" s="136"/>
      <c r="CM4919" s="111"/>
      <c r="CQ4919" s="111"/>
      <c r="EF4919"/>
      <c r="EG4919"/>
      <c r="EH4919"/>
      <c r="EI4919"/>
      <c r="EJ4919"/>
      <c r="EK4919"/>
    </row>
    <row r="4920" spans="1:141" s="116" customFormat="1">
      <c r="A4920" s="136"/>
      <c r="CM4920" s="111"/>
      <c r="CQ4920" s="111"/>
      <c r="EF4920"/>
      <c r="EG4920"/>
      <c r="EH4920"/>
      <c r="EI4920"/>
      <c r="EJ4920"/>
      <c r="EK4920"/>
    </row>
    <row r="4921" spans="1:141" s="116" customFormat="1">
      <c r="A4921" s="136"/>
      <c r="CM4921" s="111"/>
      <c r="CQ4921" s="111"/>
      <c r="EF4921"/>
      <c r="EG4921"/>
      <c r="EH4921"/>
      <c r="EI4921"/>
      <c r="EJ4921"/>
      <c r="EK4921"/>
    </row>
    <row r="4922" spans="1:141" s="116" customFormat="1">
      <c r="A4922" s="136"/>
      <c r="CM4922" s="111"/>
      <c r="CQ4922" s="111"/>
      <c r="EF4922"/>
      <c r="EG4922"/>
      <c r="EH4922"/>
      <c r="EI4922"/>
      <c r="EJ4922"/>
      <c r="EK4922"/>
    </row>
    <row r="4923" spans="1:141" s="116" customFormat="1">
      <c r="A4923" s="136"/>
      <c r="CM4923" s="111"/>
      <c r="CQ4923" s="111"/>
      <c r="EF4923"/>
      <c r="EG4923"/>
      <c r="EH4923"/>
      <c r="EI4923"/>
      <c r="EJ4923"/>
      <c r="EK4923"/>
    </row>
    <row r="4924" spans="1:141" s="116" customFormat="1">
      <c r="A4924" s="136"/>
      <c r="CM4924" s="111"/>
      <c r="CQ4924" s="111"/>
      <c r="EF4924"/>
      <c r="EG4924"/>
      <c r="EH4924"/>
      <c r="EI4924"/>
      <c r="EJ4924"/>
      <c r="EK4924"/>
    </row>
    <row r="4925" spans="1:141" s="116" customFormat="1">
      <c r="A4925" s="136"/>
      <c r="CM4925" s="111"/>
      <c r="CQ4925" s="111"/>
      <c r="EF4925"/>
      <c r="EG4925"/>
      <c r="EH4925"/>
      <c r="EI4925"/>
      <c r="EJ4925"/>
      <c r="EK4925"/>
    </row>
    <row r="4926" spans="1:141" s="116" customFormat="1">
      <c r="A4926" s="136"/>
      <c r="CM4926" s="111"/>
      <c r="CQ4926" s="111"/>
      <c r="EF4926"/>
      <c r="EG4926"/>
      <c r="EH4926"/>
      <c r="EI4926"/>
      <c r="EJ4926"/>
      <c r="EK4926"/>
    </row>
    <row r="4927" spans="1:141" s="116" customFormat="1">
      <c r="A4927" s="136"/>
      <c r="CM4927" s="111"/>
      <c r="CQ4927" s="111"/>
      <c r="EF4927"/>
      <c r="EG4927"/>
      <c r="EH4927"/>
      <c r="EI4927"/>
      <c r="EJ4927"/>
      <c r="EK4927"/>
    </row>
    <row r="4928" spans="1:141" s="116" customFormat="1">
      <c r="A4928" s="136"/>
      <c r="CM4928" s="111"/>
      <c r="CQ4928" s="111"/>
      <c r="EF4928"/>
      <c r="EG4928"/>
      <c r="EH4928"/>
      <c r="EI4928"/>
      <c r="EJ4928"/>
      <c r="EK4928"/>
    </row>
    <row r="4929" spans="1:141" s="116" customFormat="1">
      <c r="A4929" s="136"/>
      <c r="CM4929" s="111"/>
      <c r="CQ4929" s="111"/>
      <c r="EF4929"/>
      <c r="EG4929"/>
      <c r="EH4929"/>
      <c r="EI4929"/>
      <c r="EJ4929"/>
      <c r="EK4929"/>
    </row>
    <row r="4930" spans="1:141" s="116" customFormat="1">
      <c r="A4930" s="136"/>
      <c r="CM4930" s="111"/>
      <c r="CQ4930" s="111"/>
      <c r="EF4930"/>
      <c r="EG4930"/>
      <c r="EH4930"/>
      <c r="EI4930"/>
      <c r="EJ4930"/>
      <c r="EK4930"/>
    </row>
    <row r="4931" spans="1:141" s="116" customFormat="1">
      <c r="A4931" s="136"/>
      <c r="CM4931" s="111"/>
      <c r="CQ4931" s="111"/>
      <c r="EF4931"/>
      <c r="EG4931"/>
      <c r="EH4931"/>
      <c r="EI4931"/>
      <c r="EJ4931"/>
      <c r="EK4931"/>
    </row>
    <row r="4932" spans="1:141" s="116" customFormat="1">
      <c r="A4932" s="136"/>
      <c r="CM4932" s="111"/>
      <c r="CQ4932" s="111"/>
      <c r="EF4932"/>
      <c r="EG4932"/>
      <c r="EH4932"/>
      <c r="EI4932"/>
      <c r="EJ4932"/>
      <c r="EK4932"/>
    </row>
    <row r="4933" spans="1:141" s="116" customFormat="1">
      <c r="A4933" s="136"/>
      <c r="CM4933" s="111"/>
      <c r="CQ4933" s="111"/>
      <c r="EF4933"/>
      <c r="EG4933"/>
      <c r="EH4933"/>
      <c r="EI4933"/>
      <c r="EJ4933"/>
      <c r="EK4933"/>
    </row>
    <row r="4934" spans="1:141" s="116" customFormat="1">
      <c r="A4934" s="136"/>
      <c r="CM4934" s="111"/>
      <c r="CQ4934" s="111"/>
      <c r="EF4934"/>
      <c r="EG4934"/>
      <c r="EH4934"/>
      <c r="EI4934"/>
      <c r="EJ4934"/>
      <c r="EK4934"/>
    </row>
    <row r="4935" spans="1:141" s="116" customFormat="1">
      <c r="A4935" s="136"/>
      <c r="CM4935" s="111"/>
      <c r="CQ4935" s="111"/>
      <c r="EF4935"/>
      <c r="EG4935"/>
      <c r="EH4935"/>
      <c r="EI4935"/>
      <c r="EJ4935"/>
      <c r="EK4935"/>
    </row>
    <row r="4936" spans="1:141" s="116" customFormat="1">
      <c r="A4936" s="136"/>
      <c r="CM4936" s="111"/>
      <c r="CQ4936" s="111"/>
      <c r="EF4936"/>
      <c r="EG4936"/>
      <c r="EH4936"/>
      <c r="EI4936"/>
      <c r="EJ4936"/>
      <c r="EK4936"/>
    </row>
    <row r="4937" spans="1:141" s="116" customFormat="1">
      <c r="A4937" s="136"/>
      <c r="CM4937" s="111"/>
      <c r="CQ4937" s="111"/>
      <c r="EF4937"/>
      <c r="EG4937"/>
      <c r="EH4937"/>
      <c r="EI4937"/>
      <c r="EJ4937"/>
      <c r="EK4937"/>
    </row>
    <row r="4938" spans="1:141" s="116" customFormat="1">
      <c r="A4938" s="136"/>
      <c r="CM4938" s="111"/>
      <c r="CQ4938" s="111"/>
      <c r="EF4938"/>
      <c r="EG4938"/>
      <c r="EH4938"/>
      <c r="EI4938"/>
      <c r="EJ4938"/>
      <c r="EK4938"/>
    </row>
    <row r="4939" spans="1:141" s="116" customFormat="1">
      <c r="A4939" s="136"/>
      <c r="CM4939" s="111"/>
      <c r="CQ4939" s="111"/>
      <c r="EF4939"/>
      <c r="EG4939"/>
      <c r="EH4939"/>
      <c r="EI4939"/>
      <c r="EJ4939"/>
      <c r="EK4939"/>
    </row>
    <row r="4940" spans="1:141" s="116" customFormat="1">
      <c r="A4940" s="136"/>
      <c r="CM4940" s="111"/>
      <c r="CQ4940" s="111"/>
      <c r="EF4940"/>
      <c r="EG4940"/>
      <c r="EH4940"/>
      <c r="EI4940"/>
      <c r="EJ4940"/>
      <c r="EK4940"/>
    </row>
    <row r="4941" spans="1:141" s="116" customFormat="1">
      <c r="A4941" s="136"/>
      <c r="CM4941" s="111"/>
      <c r="CQ4941" s="111"/>
      <c r="EF4941"/>
      <c r="EG4941"/>
      <c r="EH4941"/>
      <c r="EI4941"/>
      <c r="EJ4941"/>
      <c r="EK4941"/>
    </row>
    <row r="4942" spans="1:141" s="116" customFormat="1">
      <c r="A4942" s="136"/>
      <c r="CM4942" s="111"/>
      <c r="CQ4942" s="111"/>
      <c r="EF4942"/>
      <c r="EG4942"/>
      <c r="EH4942"/>
      <c r="EI4942"/>
      <c r="EJ4942"/>
      <c r="EK4942"/>
    </row>
    <row r="4943" spans="1:141" s="116" customFormat="1">
      <c r="A4943" s="136"/>
      <c r="CM4943" s="111"/>
      <c r="CQ4943" s="111"/>
      <c r="EF4943"/>
      <c r="EG4943"/>
      <c r="EH4943"/>
      <c r="EI4943"/>
      <c r="EJ4943"/>
      <c r="EK4943"/>
    </row>
    <row r="4944" spans="1:141" s="116" customFormat="1">
      <c r="A4944" s="136"/>
      <c r="CM4944" s="111"/>
      <c r="CQ4944" s="111"/>
      <c r="EF4944"/>
      <c r="EG4944"/>
      <c r="EH4944"/>
      <c r="EI4944"/>
      <c r="EJ4944"/>
      <c r="EK4944"/>
    </row>
    <row r="4945" spans="1:141" s="116" customFormat="1">
      <c r="A4945" s="136"/>
      <c r="CM4945" s="111"/>
      <c r="CQ4945" s="111"/>
      <c r="EF4945"/>
      <c r="EG4945"/>
      <c r="EH4945"/>
      <c r="EI4945"/>
      <c r="EJ4945"/>
      <c r="EK4945"/>
    </row>
    <row r="4946" spans="1:141" s="116" customFormat="1">
      <c r="A4946" s="136"/>
      <c r="CM4946" s="111"/>
      <c r="CQ4946" s="111"/>
      <c r="EF4946"/>
      <c r="EG4946"/>
      <c r="EH4946"/>
      <c r="EI4946"/>
      <c r="EJ4946"/>
      <c r="EK4946"/>
    </row>
    <row r="4947" spans="1:141" s="116" customFormat="1">
      <c r="A4947" s="136"/>
      <c r="CM4947" s="111"/>
      <c r="CQ4947" s="111"/>
      <c r="EF4947"/>
      <c r="EG4947"/>
      <c r="EH4947"/>
      <c r="EI4947"/>
      <c r="EJ4947"/>
      <c r="EK4947"/>
    </row>
    <row r="4948" spans="1:141" s="116" customFormat="1">
      <c r="A4948" s="136"/>
      <c r="CM4948" s="111"/>
      <c r="CQ4948" s="111"/>
      <c r="EF4948"/>
      <c r="EG4948"/>
      <c r="EH4948"/>
      <c r="EI4948"/>
      <c r="EJ4948"/>
      <c r="EK4948"/>
    </row>
    <row r="4949" spans="1:141" s="116" customFormat="1">
      <c r="A4949" s="136"/>
      <c r="CM4949" s="111"/>
      <c r="CQ4949" s="111"/>
      <c r="EF4949"/>
      <c r="EG4949"/>
      <c r="EH4949"/>
      <c r="EI4949"/>
      <c r="EJ4949"/>
      <c r="EK4949"/>
    </row>
    <row r="4950" spans="1:141" s="116" customFormat="1">
      <c r="A4950" s="136"/>
      <c r="CM4950" s="111"/>
      <c r="CQ4950" s="111"/>
      <c r="EF4950"/>
      <c r="EG4950"/>
      <c r="EH4950"/>
      <c r="EI4950"/>
      <c r="EJ4950"/>
      <c r="EK4950"/>
    </row>
    <row r="4951" spans="1:141" s="116" customFormat="1">
      <c r="A4951" s="136"/>
      <c r="CM4951" s="111"/>
      <c r="CQ4951" s="111"/>
      <c r="EF4951"/>
      <c r="EG4951"/>
      <c r="EH4951"/>
      <c r="EI4951"/>
      <c r="EJ4951"/>
      <c r="EK4951"/>
    </row>
    <row r="4952" spans="1:141" s="116" customFormat="1">
      <c r="A4952" s="136"/>
      <c r="CM4952" s="111"/>
      <c r="CQ4952" s="111"/>
      <c r="EF4952"/>
      <c r="EG4952"/>
      <c r="EH4952"/>
      <c r="EI4952"/>
      <c r="EJ4952"/>
      <c r="EK4952"/>
    </row>
    <row r="4953" spans="1:141" s="116" customFormat="1">
      <c r="A4953" s="136"/>
      <c r="CM4953" s="111"/>
      <c r="CQ4953" s="111"/>
      <c r="EF4953"/>
      <c r="EG4953"/>
      <c r="EH4953"/>
      <c r="EI4953"/>
      <c r="EJ4953"/>
      <c r="EK4953"/>
    </row>
    <row r="4954" spans="1:141" s="116" customFormat="1">
      <c r="A4954" s="136"/>
      <c r="CM4954" s="111"/>
      <c r="CQ4954" s="111"/>
      <c r="EF4954"/>
      <c r="EG4954"/>
      <c r="EH4954"/>
      <c r="EI4954"/>
      <c r="EJ4954"/>
      <c r="EK4954"/>
    </row>
    <row r="4955" spans="1:141" s="116" customFormat="1">
      <c r="A4955" s="136"/>
      <c r="CM4955" s="111"/>
      <c r="CQ4955" s="111"/>
      <c r="EF4955"/>
      <c r="EG4955"/>
      <c r="EH4955"/>
      <c r="EI4955"/>
      <c r="EJ4955"/>
      <c r="EK4955"/>
    </row>
    <row r="4956" spans="1:141" s="116" customFormat="1">
      <c r="A4956" s="136"/>
      <c r="CM4956" s="111"/>
      <c r="CQ4956" s="111"/>
      <c r="EF4956"/>
      <c r="EG4956"/>
      <c r="EH4956"/>
      <c r="EI4956"/>
      <c r="EJ4956"/>
      <c r="EK4956"/>
    </row>
    <row r="4957" spans="1:141" s="116" customFormat="1">
      <c r="A4957" s="136"/>
      <c r="CM4957" s="111"/>
      <c r="CQ4957" s="111"/>
      <c r="EF4957"/>
      <c r="EG4957"/>
      <c r="EH4957"/>
      <c r="EI4957"/>
      <c r="EJ4957"/>
      <c r="EK4957"/>
    </row>
    <row r="4958" spans="1:141" s="116" customFormat="1">
      <c r="A4958" s="136"/>
      <c r="CM4958" s="111"/>
      <c r="CQ4958" s="111"/>
      <c r="EF4958"/>
      <c r="EG4958"/>
      <c r="EH4958"/>
      <c r="EI4958"/>
      <c r="EJ4958"/>
      <c r="EK4958"/>
    </row>
    <row r="4959" spans="1:141" s="116" customFormat="1">
      <c r="A4959" s="136"/>
      <c r="CM4959" s="111"/>
      <c r="CQ4959" s="111"/>
      <c r="EF4959"/>
      <c r="EG4959"/>
      <c r="EH4959"/>
      <c r="EI4959"/>
      <c r="EJ4959"/>
      <c r="EK4959"/>
    </row>
    <row r="4960" spans="1:141" s="116" customFormat="1">
      <c r="A4960" s="136"/>
      <c r="CM4960" s="111"/>
      <c r="CQ4960" s="111"/>
      <c r="EF4960"/>
      <c r="EG4960"/>
      <c r="EH4960"/>
      <c r="EI4960"/>
      <c r="EJ4960"/>
      <c r="EK4960"/>
    </row>
    <row r="4961" spans="1:141" s="116" customFormat="1">
      <c r="A4961" s="136"/>
      <c r="CM4961" s="111"/>
      <c r="CQ4961" s="111"/>
      <c r="EF4961"/>
      <c r="EG4961"/>
      <c r="EH4961"/>
      <c r="EI4961"/>
      <c r="EJ4961"/>
      <c r="EK4961"/>
    </row>
    <row r="4962" spans="1:141" s="116" customFormat="1">
      <c r="A4962" s="136"/>
      <c r="CM4962" s="111"/>
      <c r="CQ4962" s="111"/>
      <c r="EF4962"/>
      <c r="EG4962"/>
      <c r="EH4962"/>
      <c r="EI4962"/>
      <c r="EJ4962"/>
      <c r="EK4962"/>
    </row>
    <row r="4963" spans="1:141" s="116" customFormat="1">
      <c r="A4963" s="136"/>
      <c r="CM4963" s="111"/>
      <c r="CQ4963" s="111"/>
      <c r="EF4963"/>
      <c r="EG4963"/>
      <c r="EH4963"/>
      <c r="EI4963"/>
      <c r="EJ4963"/>
      <c r="EK4963"/>
    </row>
    <row r="4964" spans="1:141" s="116" customFormat="1">
      <c r="A4964" s="136"/>
      <c r="CM4964" s="111"/>
      <c r="CQ4964" s="111"/>
      <c r="EF4964"/>
      <c r="EG4964"/>
      <c r="EH4964"/>
      <c r="EI4964"/>
      <c r="EJ4964"/>
      <c r="EK4964"/>
    </row>
    <row r="4965" spans="1:141" s="116" customFormat="1">
      <c r="A4965" s="136"/>
      <c r="CM4965" s="111"/>
      <c r="CQ4965" s="111"/>
      <c r="EF4965"/>
      <c r="EG4965"/>
      <c r="EH4965"/>
      <c r="EI4965"/>
      <c r="EJ4965"/>
      <c r="EK4965"/>
    </row>
    <row r="4966" spans="1:141" s="116" customFormat="1">
      <c r="A4966" s="136"/>
      <c r="CM4966" s="111"/>
      <c r="CQ4966" s="111"/>
      <c r="EF4966"/>
      <c r="EG4966"/>
      <c r="EH4966"/>
      <c r="EI4966"/>
      <c r="EJ4966"/>
      <c r="EK4966"/>
    </row>
    <row r="4967" spans="1:141" s="116" customFormat="1">
      <c r="A4967" s="136"/>
      <c r="CM4967" s="111"/>
      <c r="CQ4967" s="111"/>
      <c r="EF4967"/>
      <c r="EG4967"/>
      <c r="EH4967"/>
      <c r="EI4967"/>
      <c r="EJ4967"/>
      <c r="EK4967"/>
    </row>
    <row r="4968" spans="1:141" s="116" customFormat="1">
      <c r="A4968" s="136"/>
      <c r="CM4968" s="111"/>
      <c r="CQ4968" s="111"/>
      <c r="EF4968"/>
      <c r="EG4968"/>
      <c r="EH4968"/>
      <c r="EI4968"/>
      <c r="EJ4968"/>
      <c r="EK4968"/>
    </row>
    <row r="4969" spans="1:141" s="116" customFormat="1">
      <c r="A4969" s="136"/>
      <c r="CM4969" s="111"/>
      <c r="CQ4969" s="111"/>
      <c r="EF4969"/>
      <c r="EG4969"/>
      <c r="EH4969"/>
      <c r="EI4969"/>
      <c r="EJ4969"/>
      <c r="EK4969"/>
    </row>
    <row r="4970" spans="1:141" s="116" customFormat="1">
      <c r="A4970" s="136"/>
      <c r="CM4970" s="111"/>
      <c r="CQ4970" s="111"/>
      <c r="EF4970"/>
      <c r="EG4970"/>
      <c r="EH4970"/>
      <c r="EI4970"/>
      <c r="EJ4970"/>
      <c r="EK4970"/>
    </row>
    <row r="4971" spans="1:141" s="116" customFormat="1">
      <c r="A4971" s="136"/>
      <c r="CM4971" s="111"/>
      <c r="CQ4971" s="111"/>
      <c r="EF4971"/>
      <c r="EG4971"/>
      <c r="EH4971"/>
      <c r="EI4971"/>
      <c r="EJ4971"/>
      <c r="EK4971"/>
    </row>
    <row r="4972" spans="1:141" s="116" customFormat="1">
      <c r="A4972" s="136"/>
      <c r="CM4972" s="111"/>
      <c r="CQ4972" s="111"/>
      <c r="EF4972"/>
      <c r="EG4972"/>
      <c r="EH4972"/>
      <c r="EI4972"/>
      <c r="EJ4972"/>
      <c r="EK4972"/>
    </row>
    <row r="4973" spans="1:141" s="116" customFormat="1">
      <c r="A4973" s="136"/>
      <c r="CM4973" s="111"/>
      <c r="CQ4973" s="111"/>
      <c r="EF4973"/>
      <c r="EG4973"/>
      <c r="EH4973"/>
      <c r="EI4973"/>
      <c r="EJ4973"/>
      <c r="EK4973"/>
    </row>
    <row r="4974" spans="1:141" s="116" customFormat="1">
      <c r="A4974" s="136"/>
      <c r="CM4974" s="111"/>
      <c r="CQ4974" s="111"/>
      <c r="EF4974"/>
      <c r="EG4974"/>
      <c r="EH4974"/>
      <c r="EI4974"/>
      <c r="EJ4974"/>
      <c r="EK4974"/>
    </row>
    <row r="4975" spans="1:141" s="116" customFormat="1">
      <c r="A4975" s="136"/>
      <c r="CM4975" s="111"/>
      <c r="CQ4975" s="111"/>
      <c r="EF4975"/>
      <c r="EG4975"/>
      <c r="EH4975"/>
      <c r="EI4975"/>
      <c r="EJ4975"/>
      <c r="EK4975"/>
    </row>
    <row r="4976" spans="1:141" s="116" customFormat="1">
      <c r="A4976" s="136"/>
      <c r="CM4976" s="111"/>
      <c r="CQ4976" s="111"/>
      <c r="EF4976"/>
      <c r="EG4976"/>
      <c r="EH4976"/>
      <c r="EI4976"/>
      <c r="EJ4976"/>
      <c r="EK4976"/>
    </row>
    <row r="4977" spans="1:141" s="116" customFormat="1">
      <c r="A4977" s="136"/>
      <c r="CM4977" s="111"/>
      <c r="CQ4977" s="111"/>
      <c r="EF4977"/>
      <c r="EG4977"/>
      <c r="EH4977"/>
      <c r="EI4977"/>
      <c r="EJ4977"/>
      <c r="EK4977"/>
    </row>
    <row r="4978" spans="1:141" s="116" customFormat="1">
      <c r="A4978" s="136"/>
      <c r="CM4978" s="111"/>
      <c r="CQ4978" s="111"/>
      <c r="EF4978"/>
      <c r="EG4978"/>
      <c r="EH4978"/>
      <c r="EI4978"/>
      <c r="EJ4978"/>
      <c r="EK4978"/>
    </row>
    <row r="4979" spans="1:141" s="116" customFormat="1">
      <c r="A4979" s="136"/>
      <c r="CM4979" s="111"/>
      <c r="CQ4979" s="111"/>
      <c r="EF4979"/>
      <c r="EG4979"/>
      <c r="EH4979"/>
      <c r="EI4979"/>
      <c r="EJ4979"/>
      <c r="EK4979"/>
    </row>
    <row r="4980" spans="1:141" s="116" customFormat="1">
      <c r="A4980" s="136"/>
      <c r="CM4980" s="111"/>
      <c r="CQ4980" s="111"/>
      <c r="EF4980"/>
      <c r="EG4980"/>
      <c r="EH4980"/>
      <c r="EI4980"/>
      <c r="EJ4980"/>
      <c r="EK4980"/>
    </row>
    <row r="4981" spans="1:141" s="116" customFormat="1">
      <c r="A4981" s="136"/>
      <c r="CM4981" s="111"/>
      <c r="CQ4981" s="111"/>
      <c r="EF4981"/>
      <c r="EG4981"/>
      <c r="EH4981"/>
      <c r="EI4981"/>
      <c r="EJ4981"/>
      <c r="EK4981"/>
    </row>
    <row r="4982" spans="1:141" s="116" customFormat="1">
      <c r="A4982" s="136"/>
      <c r="CM4982" s="111"/>
      <c r="CQ4982" s="111"/>
      <c r="EF4982"/>
      <c r="EG4982"/>
      <c r="EH4982"/>
      <c r="EI4982"/>
      <c r="EJ4982"/>
      <c r="EK4982"/>
    </row>
    <row r="4983" spans="1:141" s="116" customFormat="1">
      <c r="A4983" s="136"/>
      <c r="CM4983" s="111"/>
      <c r="CQ4983" s="111"/>
      <c r="EF4983"/>
      <c r="EG4983"/>
      <c r="EH4983"/>
      <c r="EI4983"/>
      <c r="EJ4983"/>
      <c r="EK4983"/>
    </row>
    <row r="4984" spans="1:141" s="116" customFormat="1">
      <c r="A4984" s="136"/>
      <c r="CM4984" s="111"/>
      <c r="CQ4984" s="111"/>
      <c r="EF4984"/>
      <c r="EG4984"/>
      <c r="EH4984"/>
      <c r="EI4984"/>
      <c r="EJ4984"/>
      <c r="EK4984"/>
    </row>
    <row r="4985" spans="1:141" s="116" customFormat="1">
      <c r="A4985" s="136"/>
      <c r="CM4985" s="111"/>
      <c r="CQ4985" s="111"/>
      <c r="EF4985"/>
      <c r="EG4985"/>
      <c r="EH4985"/>
      <c r="EI4985"/>
      <c r="EJ4985"/>
      <c r="EK4985"/>
    </row>
    <row r="4986" spans="1:141" s="116" customFormat="1">
      <c r="A4986" s="136"/>
      <c r="CM4986" s="111"/>
      <c r="CQ4986" s="111"/>
      <c r="EF4986"/>
      <c r="EG4986"/>
      <c r="EH4986"/>
      <c r="EI4986"/>
      <c r="EJ4986"/>
      <c r="EK4986"/>
    </row>
    <row r="4987" spans="1:141" s="116" customFormat="1">
      <c r="A4987" s="136"/>
      <c r="CM4987" s="111"/>
      <c r="CQ4987" s="111"/>
      <c r="EF4987"/>
      <c r="EG4987"/>
      <c r="EH4987"/>
      <c r="EI4987"/>
      <c r="EJ4987"/>
      <c r="EK4987"/>
    </row>
    <row r="4988" spans="1:141" s="116" customFormat="1">
      <c r="A4988" s="136"/>
      <c r="CM4988" s="111"/>
      <c r="CQ4988" s="111"/>
      <c r="EF4988"/>
      <c r="EG4988"/>
      <c r="EH4988"/>
      <c r="EI4988"/>
      <c r="EJ4988"/>
      <c r="EK4988"/>
    </row>
    <row r="4989" spans="1:141" s="116" customFormat="1">
      <c r="A4989" s="136"/>
      <c r="CM4989" s="111"/>
      <c r="CQ4989" s="111"/>
      <c r="EF4989"/>
      <c r="EG4989"/>
      <c r="EH4989"/>
      <c r="EI4989"/>
      <c r="EJ4989"/>
      <c r="EK4989"/>
    </row>
    <row r="4990" spans="1:141" s="116" customFormat="1">
      <c r="A4990" s="136"/>
      <c r="CM4990" s="111"/>
      <c r="CQ4990" s="111"/>
      <c r="EF4990"/>
      <c r="EG4990"/>
      <c r="EH4990"/>
      <c r="EI4990"/>
      <c r="EJ4990"/>
      <c r="EK4990"/>
    </row>
    <row r="4991" spans="1:141" s="116" customFormat="1">
      <c r="A4991" s="136"/>
      <c r="CM4991" s="111"/>
      <c r="CQ4991" s="111"/>
      <c r="EF4991"/>
      <c r="EG4991"/>
      <c r="EH4991"/>
      <c r="EI4991"/>
      <c r="EJ4991"/>
      <c r="EK4991"/>
    </row>
    <row r="4992" spans="1:141" s="116" customFormat="1">
      <c r="A4992" s="136"/>
      <c r="CM4992" s="111"/>
      <c r="CQ4992" s="111"/>
      <c r="EF4992"/>
      <c r="EG4992"/>
      <c r="EH4992"/>
      <c r="EI4992"/>
      <c r="EJ4992"/>
      <c r="EK4992"/>
    </row>
    <row r="4993" spans="1:141" s="116" customFormat="1">
      <c r="A4993" s="136"/>
      <c r="CM4993" s="111"/>
      <c r="CQ4993" s="111"/>
      <c r="EF4993"/>
      <c r="EG4993"/>
      <c r="EH4993"/>
      <c r="EI4993"/>
      <c r="EJ4993"/>
      <c r="EK4993"/>
    </row>
    <row r="4994" spans="1:141" s="116" customFormat="1">
      <c r="A4994" s="136"/>
      <c r="CM4994" s="111"/>
      <c r="CQ4994" s="111"/>
      <c r="EF4994"/>
      <c r="EG4994"/>
      <c r="EH4994"/>
      <c r="EI4994"/>
      <c r="EJ4994"/>
      <c r="EK4994"/>
    </row>
    <row r="4995" spans="1:141" s="116" customFormat="1">
      <c r="A4995" s="136"/>
      <c r="CM4995" s="111"/>
      <c r="CQ4995" s="111"/>
      <c r="EF4995"/>
      <c r="EG4995"/>
      <c r="EH4995"/>
      <c r="EI4995"/>
      <c r="EJ4995"/>
      <c r="EK4995"/>
    </row>
    <row r="4996" spans="1:141" s="116" customFormat="1">
      <c r="A4996" s="136"/>
      <c r="CM4996" s="111"/>
      <c r="CQ4996" s="111"/>
      <c r="EF4996"/>
      <c r="EG4996"/>
      <c r="EH4996"/>
      <c r="EI4996"/>
      <c r="EJ4996"/>
      <c r="EK4996"/>
    </row>
    <row r="4997" spans="1:141" s="116" customFormat="1">
      <c r="A4997" s="136"/>
      <c r="CM4997" s="111"/>
      <c r="CQ4997" s="111"/>
      <c r="EF4997"/>
      <c r="EG4997"/>
      <c r="EH4997"/>
      <c r="EI4997"/>
      <c r="EJ4997"/>
      <c r="EK4997"/>
    </row>
    <row r="4998" spans="1:141" s="116" customFormat="1">
      <c r="A4998" s="136"/>
      <c r="CM4998" s="111"/>
      <c r="CQ4998" s="111"/>
      <c r="EF4998"/>
      <c r="EG4998"/>
      <c r="EH4998"/>
      <c r="EI4998"/>
      <c r="EJ4998"/>
      <c r="EK4998"/>
    </row>
    <row r="4999" spans="1:141" s="116" customFormat="1">
      <c r="A4999" s="136"/>
      <c r="CM4999" s="111"/>
      <c r="CQ4999" s="111"/>
      <c r="EF4999"/>
      <c r="EG4999"/>
      <c r="EH4999"/>
      <c r="EI4999"/>
      <c r="EJ4999"/>
      <c r="EK4999"/>
    </row>
    <row r="5000" spans="1:141" s="116" customFormat="1">
      <c r="A5000" s="136"/>
      <c r="CM5000" s="111"/>
      <c r="CQ5000" s="111"/>
      <c r="EF5000"/>
      <c r="EG5000"/>
      <c r="EH5000"/>
      <c r="EI5000"/>
      <c r="EJ5000"/>
      <c r="EK5000"/>
    </row>
    <row r="5001" spans="1:141" s="116" customFormat="1">
      <c r="A5001" s="136"/>
      <c r="CM5001" s="111"/>
      <c r="CQ5001" s="111"/>
      <c r="EF5001"/>
      <c r="EG5001"/>
      <c r="EH5001"/>
      <c r="EI5001"/>
      <c r="EJ5001"/>
      <c r="EK5001"/>
    </row>
    <row r="5002" spans="1:141" s="116" customFormat="1">
      <c r="A5002" s="136"/>
      <c r="CM5002" s="111"/>
      <c r="CQ5002" s="111"/>
      <c r="EF5002"/>
      <c r="EG5002"/>
      <c r="EH5002"/>
      <c r="EI5002"/>
      <c r="EJ5002"/>
      <c r="EK5002"/>
    </row>
    <row r="5003" spans="1:141" s="116" customFormat="1">
      <c r="A5003" s="136"/>
      <c r="CM5003" s="111"/>
      <c r="CQ5003" s="111"/>
      <c r="EF5003"/>
      <c r="EG5003"/>
      <c r="EH5003"/>
      <c r="EI5003"/>
      <c r="EJ5003"/>
      <c r="EK5003"/>
    </row>
    <row r="5004" spans="1:141" s="116" customFormat="1">
      <c r="A5004" s="136"/>
      <c r="CM5004" s="111"/>
      <c r="CQ5004" s="111"/>
      <c r="EF5004"/>
      <c r="EG5004"/>
      <c r="EH5004"/>
      <c r="EI5004"/>
      <c r="EJ5004"/>
      <c r="EK5004"/>
    </row>
    <row r="5005" spans="1:141" s="116" customFormat="1">
      <c r="A5005" s="136"/>
      <c r="CM5005" s="111"/>
      <c r="CQ5005" s="111"/>
      <c r="EF5005"/>
      <c r="EG5005"/>
      <c r="EH5005"/>
      <c r="EI5005"/>
      <c r="EJ5005"/>
      <c r="EK5005"/>
    </row>
    <row r="5006" spans="1:141" s="116" customFormat="1">
      <c r="A5006" s="136"/>
      <c r="CM5006" s="111"/>
      <c r="CQ5006" s="111"/>
      <c r="EF5006"/>
      <c r="EG5006"/>
      <c r="EH5006"/>
      <c r="EI5006"/>
      <c r="EJ5006"/>
      <c r="EK5006"/>
    </row>
    <row r="5007" spans="1:141" s="116" customFormat="1">
      <c r="A5007" s="136"/>
      <c r="CM5007" s="111"/>
      <c r="CQ5007" s="111"/>
      <c r="EF5007"/>
      <c r="EG5007"/>
      <c r="EH5007"/>
      <c r="EI5007"/>
      <c r="EJ5007"/>
      <c r="EK5007"/>
    </row>
    <row r="5008" spans="1:141" s="116" customFormat="1">
      <c r="A5008" s="136"/>
      <c r="CM5008" s="111"/>
      <c r="CQ5008" s="111"/>
      <c r="EF5008"/>
      <c r="EG5008"/>
      <c r="EH5008"/>
      <c r="EI5008"/>
      <c r="EJ5008"/>
      <c r="EK5008"/>
    </row>
    <row r="5009" spans="1:141" s="116" customFormat="1">
      <c r="A5009" s="136"/>
      <c r="CM5009" s="111"/>
      <c r="CQ5009" s="111"/>
      <c r="EF5009"/>
      <c r="EG5009"/>
      <c r="EH5009"/>
      <c r="EI5009"/>
      <c r="EJ5009"/>
      <c r="EK5009"/>
    </row>
    <row r="5010" spans="1:141" s="116" customFormat="1">
      <c r="A5010" s="136"/>
      <c r="CM5010" s="111"/>
      <c r="CQ5010" s="111"/>
      <c r="EF5010"/>
      <c r="EG5010"/>
      <c r="EH5010"/>
      <c r="EI5010"/>
      <c r="EJ5010"/>
      <c r="EK5010"/>
    </row>
    <row r="5011" spans="1:141" s="116" customFormat="1">
      <c r="A5011" s="136"/>
      <c r="CM5011" s="111"/>
      <c r="CQ5011" s="111"/>
      <c r="EF5011"/>
      <c r="EG5011"/>
      <c r="EH5011"/>
      <c r="EI5011"/>
      <c r="EJ5011"/>
      <c r="EK5011"/>
    </row>
    <row r="5012" spans="1:141" s="116" customFormat="1">
      <c r="A5012" s="136"/>
      <c r="CM5012" s="111"/>
      <c r="CQ5012" s="111"/>
      <c r="EF5012"/>
      <c r="EG5012"/>
      <c r="EH5012"/>
      <c r="EI5012"/>
      <c r="EJ5012"/>
      <c r="EK5012"/>
    </row>
    <row r="5013" spans="1:141" s="116" customFormat="1">
      <c r="A5013" s="136"/>
      <c r="CM5013" s="111"/>
      <c r="CQ5013" s="111"/>
      <c r="EF5013"/>
      <c r="EG5013"/>
      <c r="EH5013"/>
      <c r="EI5013"/>
      <c r="EJ5013"/>
      <c r="EK5013"/>
    </row>
    <row r="5014" spans="1:141" s="116" customFormat="1">
      <c r="A5014" s="136"/>
      <c r="CM5014" s="111"/>
      <c r="CQ5014" s="111"/>
      <c r="EF5014"/>
      <c r="EG5014"/>
      <c r="EH5014"/>
      <c r="EI5014"/>
      <c r="EJ5014"/>
      <c r="EK5014"/>
    </row>
    <row r="5015" spans="1:141" s="116" customFormat="1">
      <c r="A5015" s="136"/>
      <c r="CM5015" s="111"/>
      <c r="CQ5015" s="111"/>
      <c r="EF5015"/>
      <c r="EG5015"/>
      <c r="EH5015"/>
      <c r="EI5015"/>
      <c r="EJ5015"/>
      <c r="EK5015"/>
    </row>
    <row r="5016" spans="1:141" s="116" customFormat="1">
      <c r="A5016" s="136"/>
      <c r="CM5016" s="111"/>
      <c r="CQ5016" s="111"/>
      <c r="EF5016"/>
      <c r="EG5016"/>
      <c r="EH5016"/>
      <c r="EI5016"/>
      <c r="EJ5016"/>
      <c r="EK5016"/>
    </row>
    <row r="5017" spans="1:141" s="116" customFormat="1">
      <c r="A5017" s="136"/>
      <c r="CM5017" s="111"/>
      <c r="CQ5017" s="111"/>
      <c r="EF5017"/>
      <c r="EG5017"/>
      <c r="EH5017"/>
      <c r="EI5017"/>
      <c r="EJ5017"/>
      <c r="EK5017"/>
    </row>
    <row r="5018" spans="1:141" s="116" customFormat="1">
      <c r="A5018" s="136"/>
      <c r="CM5018" s="111"/>
      <c r="CQ5018" s="111"/>
      <c r="EF5018"/>
      <c r="EG5018"/>
      <c r="EH5018"/>
      <c r="EI5018"/>
      <c r="EJ5018"/>
      <c r="EK5018"/>
    </row>
    <row r="5019" spans="1:141" s="116" customFormat="1">
      <c r="A5019" s="136"/>
      <c r="CM5019" s="111"/>
      <c r="CQ5019" s="111"/>
      <c r="EF5019"/>
      <c r="EG5019"/>
      <c r="EH5019"/>
      <c r="EI5019"/>
      <c r="EJ5019"/>
      <c r="EK5019"/>
    </row>
    <row r="5020" spans="1:141" s="116" customFormat="1">
      <c r="A5020" s="136"/>
      <c r="CM5020" s="111"/>
      <c r="CQ5020" s="111"/>
      <c r="EF5020"/>
      <c r="EG5020"/>
      <c r="EH5020"/>
      <c r="EI5020"/>
      <c r="EJ5020"/>
      <c r="EK5020"/>
    </row>
    <row r="5021" spans="1:141" s="116" customFormat="1">
      <c r="A5021" s="136"/>
      <c r="CM5021" s="111"/>
      <c r="CQ5021" s="111"/>
      <c r="EF5021"/>
      <c r="EG5021"/>
      <c r="EH5021"/>
      <c r="EI5021"/>
      <c r="EJ5021"/>
      <c r="EK5021"/>
    </row>
    <row r="5022" spans="1:141" s="116" customFormat="1">
      <c r="A5022" s="136"/>
      <c r="CM5022" s="111"/>
      <c r="CQ5022" s="111"/>
      <c r="EF5022"/>
      <c r="EG5022"/>
      <c r="EH5022"/>
      <c r="EI5022"/>
      <c r="EJ5022"/>
      <c r="EK5022"/>
    </row>
    <row r="5023" spans="1:141" s="116" customFormat="1">
      <c r="A5023" s="136"/>
      <c r="CM5023" s="111"/>
      <c r="CQ5023" s="111"/>
      <c r="EF5023"/>
      <c r="EG5023"/>
      <c r="EH5023"/>
      <c r="EI5023"/>
      <c r="EJ5023"/>
      <c r="EK5023"/>
    </row>
    <row r="5024" spans="1:141" s="116" customFormat="1">
      <c r="A5024" s="136"/>
      <c r="CM5024" s="111"/>
      <c r="CQ5024" s="111"/>
      <c r="EF5024"/>
      <c r="EG5024"/>
      <c r="EH5024"/>
      <c r="EI5024"/>
      <c r="EJ5024"/>
      <c r="EK5024"/>
    </row>
    <row r="5025" spans="1:141" s="116" customFormat="1">
      <c r="A5025" s="136"/>
      <c r="CM5025" s="111"/>
      <c r="CQ5025" s="111"/>
      <c r="EF5025"/>
      <c r="EG5025"/>
      <c r="EH5025"/>
      <c r="EI5025"/>
      <c r="EJ5025"/>
      <c r="EK5025"/>
    </row>
    <row r="5026" spans="1:141" s="116" customFormat="1">
      <c r="A5026" s="136"/>
      <c r="CM5026" s="111"/>
      <c r="CQ5026" s="111"/>
      <c r="EF5026"/>
      <c r="EG5026"/>
      <c r="EH5026"/>
      <c r="EI5026"/>
      <c r="EJ5026"/>
      <c r="EK5026"/>
    </row>
    <row r="5027" spans="1:141" s="116" customFormat="1">
      <c r="A5027" s="136"/>
      <c r="CM5027" s="111"/>
      <c r="CQ5027" s="111"/>
      <c r="EF5027"/>
      <c r="EG5027"/>
      <c r="EH5027"/>
      <c r="EI5027"/>
      <c r="EJ5027"/>
      <c r="EK5027"/>
    </row>
    <row r="5028" spans="1:141" s="116" customFormat="1">
      <c r="A5028" s="136"/>
      <c r="CM5028" s="111"/>
      <c r="CQ5028" s="111"/>
      <c r="EF5028"/>
      <c r="EG5028"/>
      <c r="EH5028"/>
      <c r="EI5028"/>
      <c r="EJ5028"/>
      <c r="EK5028"/>
    </row>
    <row r="5029" spans="1:141" s="116" customFormat="1">
      <c r="A5029" s="136"/>
      <c r="CM5029" s="111"/>
      <c r="CQ5029" s="111"/>
      <c r="EF5029"/>
      <c r="EG5029"/>
      <c r="EH5029"/>
      <c r="EI5029"/>
      <c r="EJ5029"/>
      <c r="EK5029"/>
    </row>
    <row r="5030" spans="1:141" s="116" customFormat="1">
      <c r="A5030" s="136"/>
      <c r="CM5030" s="111"/>
      <c r="CQ5030" s="111"/>
      <c r="EF5030"/>
      <c r="EG5030"/>
      <c r="EH5030"/>
      <c r="EI5030"/>
      <c r="EJ5030"/>
      <c r="EK5030"/>
    </row>
    <row r="5031" spans="1:141" s="116" customFormat="1">
      <c r="A5031" s="136"/>
      <c r="CM5031" s="111"/>
      <c r="CQ5031" s="111"/>
      <c r="EF5031"/>
      <c r="EG5031"/>
      <c r="EH5031"/>
      <c r="EI5031"/>
      <c r="EJ5031"/>
      <c r="EK5031"/>
    </row>
    <row r="5032" spans="1:141" s="116" customFormat="1">
      <c r="A5032" s="136"/>
      <c r="CM5032" s="111"/>
      <c r="CQ5032" s="111"/>
      <c r="EF5032"/>
      <c r="EG5032"/>
      <c r="EH5032"/>
      <c r="EI5032"/>
      <c r="EJ5032"/>
      <c r="EK5032"/>
    </row>
    <row r="5033" spans="1:141" s="116" customFormat="1">
      <c r="A5033" s="136"/>
      <c r="CM5033" s="111"/>
      <c r="CQ5033" s="111"/>
      <c r="EF5033"/>
      <c r="EG5033"/>
      <c r="EH5033"/>
      <c r="EI5033"/>
      <c r="EJ5033"/>
      <c r="EK5033"/>
    </row>
    <row r="5034" spans="1:141" s="116" customFormat="1">
      <c r="A5034" s="136"/>
      <c r="CM5034" s="111"/>
      <c r="CQ5034" s="111"/>
      <c r="EF5034"/>
      <c r="EG5034"/>
      <c r="EH5034"/>
      <c r="EI5034"/>
      <c r="EJ5034"/>
      <c r="EK5034"/>
    </row>
    <row r="5035" spans="1:141" s="116" customFormat="1">
      <c r="A5035" s="136"/>
      <c r="CM5035" s="111"/>
      <c r="CQ5035" s="111"/>
      <c r="EF5035"/>
      <c r="EG5035"/>
      <c r="EH5035"/>
      <c r="EI5035"/>
      <c r="EJ5035"/>
      <c r="EK5035"/>
    </row>
    <row r="5036" spans="1:141" s="116" customFormat="1">
      <c r="A5036" s="136"/>
      <c r="CM5036" s="111"/>
      <c r="CQ5036" s="111"/>
      <c r="EF5036"/>
      <c r="EG5036"/>
      <c r="EH5036"/>
      <c r="EI5036"/>
      <c r="EJ5036"/>
      <c r="EK5036"/>
    </row>
    <row r="5037" spans="1:141" s="116" customFormat="1">
      <c r="A5037" s="136"/>
      <c r="CM5037" s="111"/>
      <c r="CQ5037" s="111"/>
      <c r="EF5037"/>
      <c r="EG5037"/>
      <c r="EH5037"/>
      <c r="EI5037"/>
      <c r="EJ5037"/>
      <c r="EK5037"/>
    </row>
    <row r="5038" spans="1:141" s="116" customFormat="1">
      <c r="A5038" s="136"/>
      <c r="CM5038" s="111"/>
      <c r="CQ5038" s="111"/>
      <c r="EF5038"/>
      <c r="EG5038"/>
      <c r="EH5038"/>
      <c r="EI5038"/>
      <c r="EJ5038"/>
      <c r="EK5038"/>
    </row>
    <row r="5039" spans="1:141" s="116" customFormat="1">
      <c r="A5039" s="136"/>
      <c r="CM5039" s="111"/>
      <c r="CQ5039" s="111"/>
      <c r="EF5039"/>
      <c r="EG5039"/>
      <c r="EH5039"/>
      <c r="EI5039"/>
      <c r="EJ5039"/>
      <c r="EK5039"/>
    </row>
    <row r="5040" spans="1:141" s="116" customFormat="1">
      <c r="A5040" s="136"/>
      <c r="CM5040" s="111"/>
      <c r="CQ5040" s="111"/>
      <c r="EF5040"/>
      <c r="EG5040"/>
      <c r="EH5040"/>
      <c r="EI5040"/>
      <c r="EJ5040"/>
      <c r="EK5040"/>
    </row>
    <row r="5041" spans="1:141" s="116" customFormat="1">
      <c r="A5041" s="136"/>
      <c r="CM5041" s="111"/>
      <c r="CQ5041" s="111"/>
      <c r="EF5041"/>
      <c r="EG5041"/>
      <c r="EH5041"/>
      <c r="EI5041"/>
      <c r="EJ5041"/>
      <c r="EK5041"/>
    </row>
    <row r="5042" spans="1:141" s="116" customFormat="1">
      <c r="A5042" s="136"/>
      <c r="CM5042" s="111"/>
      <c r="CQ5042" s="111"/>
      <c r="EF5042"/>
      <c r="EG5042"/>
      <c r="EH5042"/>
      <c r="EI5042"/>
      <c r="EJ5042"/>
      <c r="EK5042"/>
    </row>
    <row r="5043" spans="1:141" s="116" customFormat="1">
      <c r="A5043" s="136"/>
      <c r="CM5043" s="111"/>
      <c r="CQ5043" s="111"/>
      <c r="EF5043"/>
      <c r="EG5043"/>
      <c r="EH5043"/>
      <c r="EI5043"/>
      <c r="EJ5043"/>
      <c r="EK5043"/>
    </row>
    <row r="5044" spans="1:141" s="116" customFormat="1">
      <c r="A5044" s="136"/>
      <c r="CM5044" s="111"/>
      <c r="CQ5044" s="111"/>
      <c r="EF5044"/>
      <c r="EG5044"/>
      <c r="EH5044"/>
      <c r="EI5044"/>
      <c r="EJ5044"/>
      <c r="EK5044"/>
    </row>
    <row r="5045" spans="1:141" s="116" customFormat="1">
      <c r="A5045" s="136"/>
      <c r="CM5045" s="111"/>
      <c r="CQ5045" s="111"/>
      <c r="EF5045"/>
      <c r="EG5045"/>
      <c r="EH5045"/>
      <c r="EI5045"/>
      <c r="EJ5045"/>
      <c r="EK5045"/>
    </row>
    <row r="5046" spans="1:141" s="116" customFormat="1">
      <c r="A5046" s="136"/>
      <c r="CM5046" s="111"/>
      <c r="CQ5046" s="111"/>
      <c r="EF5046"/>
      <c r="EG5046"/>
      <c r="EH5046"/>
      <c r="EI5046"/>
      <c r="EJ5046"/>
      <c r="EK5046"/>
    </row>
    <row r="5047" spans="1:141" s="116" customFormat="1">
      <c r="A5047" s="136"/>
      <c r="CM5047" s="111"/>
      <c r="CQ5047" s="111"/>
      <c r="EF5047"/>
      <c r="EG5047"/>
      <c r="EH5047"/>
      <c r="EI5047"/>
      <c r="EJ5047"/>
      <c r="EK5047"/>
    </row>
    <row r="5048" spans="1:141" s="116" customFormat="1">
      <c r="A5048" s="136"/>
      <c r="CM5048" s="111"/>
      <c r="CQ5048" s="111"/>
      <c r="EF5048"/>
      <c r="EG5048"/>
      <c r="EH5048"/>
      <c r="EI5048"/>
      <c r="EJ5048"/>
      <c r="EK5048"/>
    </row>
    <row r="5049" spans="1:141" s="116" customFormat="1">
      <c r="A5049" s="136"/>
      <c r="CM5049" s="111"/>
      <c r="CQ5049" s="111"/>
      <c r="EF5049"/>
      <c r="EG5049"/>
      <c r="EH5049"/>
      <c r="EI5049"/>
      <c r="EJ5049"/>
      <c r="EK5049"/>
    </row>
    <row r="5050" spans="1:141" s="116" customFormat="1">
      <c r="A5050" s="136"/>
      <c r="CM5050" s="111"/>
      <c r="CQ5050" s="111"/>
      <c r="EF5050"/>
      <c r="EG5050"/>
      <c r="EH5050"/>
      <c r="EI5050"/>
      <c r="EJ5050"/>
      <c r="EK5050"/>
    </row>
    <row r="5051" spans="1:141" s="116" customFormat="1">
      <c r="A5051" s="136"/>
      <c r="CM5051" s="111"/>
      <c r="CQ5051" s="111"/>
      <c r="EF5051"/>
      <c r="EG5051"/>
      <c r="EH5051"/>
      <c r="EI5051"/>
      <c r="EJ5051"/>
      <c r="EK5051"/>
    </row>
    <row r="5052" spans="1:141" s="116" customFormat="1">
      <c r="A5052" s="136"/>
      <c r="CM5052" s="111"/>
      <c r="CQ5052" s="111"/>
      <c r="EF5052"/>
      <c r="EG5052"/>
      <c r="EH5052"/>
      <c r="EI5052"/>
      <c r="EJ5052"/>
      <c r="EK5052"/>
    </row>
    <row r="5053" spans="1:141" s="116" customFormat="1">
      <c r="A5053" s="136"/>
      <c r="CM5053" s="111"/>
      <c r="CQ5053" s="111"/>
      <c r="EF5053"/>
      <c r="EG5053"/>
      <c r="EH5053"/>
      <c r="EI5053"/>
      <c r="EJ5053"/>
      <c r="EK5053"/>
    </row>
    <row r="5054" spans="1:141" s="116" customFormat="1">
      <c r="A5054" s="136"/>
      <c r="CM5054" s="111"/>
      <c r="CQ5054" s="111"/>
      <c r="EF5054"/>
      <c r="EG5054"/>
      <c r="EH5054"/>
      <c r="EI5054"/>
      <c r="EJ5054"/>
      <c r="EK5054"/>
    </row>
    <row r="5055" spans="1:141" s="116" customFormat="1">
      <c r="A5055" s="136"/>
      <c r="CM5055" s="111"/>
      <c r="CQ5055" s="111"/>
      <c r="EF5055"/>
      <c r="EG5055"/>
      <c r="EH5055"/>
      <c r="EI5055"/>
      <c r="EJ5055"/>
      <c r="EK5055"/>
    </row>
    <row r="5056" spans="1:141" s="116" customFormat="1">
      <c r="A5056" s="136"/>
      <c r="CM5056" s="111"/>
      <c r="CQ5056" s="111"/>
      <c r="EF5056"/>
      <c r="EG5056"/>
      <c r="EH5056"/>
      <c r="EI5056"/>
      <c r="EJ5056"/>
      <c r="EK5056"/>
    </row>
    <row r="5057" spans="1:141" s="116" customFormat="1">
      <c r="A5057" s="136"/>
      <c r="CM5057" s="111"/>
      <c r="CQ5057" s="111"/>
      <c r="EF5057"/>
      <c r="EG5057"/>
      <c r="EH5057"/>
      <c r="EI5057"/>
      <c r="EJ5057"/>
      <c r="EK5057"/>
    </row>
    <row r="5058" spans="1:141" s="116" customFormat="1">
      <c r="A5058" s="136"/>
      <c r="CM5058" s="111"/>
      <c r="CQ5058" s="111"/>
      <c r="EF5058"/>
      <c r="EG5058"/>
      <c r="EH5058"/>
      <c r="EI5058"/>
      <c r="EJ5058"/>
      <c r="EK5058"/>
    </row>
    <row r="5059" spans="1:141" s="116" customFormat="1">
      <c r="A5059" s="136"/>
      <c r="CM5059" s="111"/>
      <c r="CQ5059" s="111"/>
      <c r="EF5059"/>
      <c r="EG5059"/>
      <c r="EH5059"/>
      <c r="EI5059"/>
      <c r="EJ5059"/>
      <c r="EK5059"/>
    </row>
    <row r="5060" spans="1:141" s="116" customFormat="1">
      <c r="A5060" s="136"/>
      <c r="CM5060" s="111"/>
      <c r="CQ5060" s="111"/>
      <c r="EF5060"/>
      <c r="EG5060"/>
      <c r="EH5060"/>
      <c r="EI5060"/>
      <c r="EJ5060"/>
      <c r="EK5060"/>
    </row>
    <row r="5061" spans="1:141" s="116" customFormat="1">
      <c r="A5061" s="136"/>
      <c r="CM5061" s="111"/>
      <c r="CQ5061" s="111"/>
      <c r="EF5061"/>
      <c r="EG5061"/>
      <c r="EH5061"/>
      <c r="EI5061"/>
      <c r="EJ5061"/>
      <c r="EK5061"/>
    </row>
    <row r="5062" spans="1:141" s="116" customFormat="1">
      <c r="A5062" s="136"/>
      <c r="CM5062" s="111"/>
      <c r="CQ5062" s="111"/>
      <c r="EF5062"/>
      <c r="EG5062"/>
      <c r="EH5062"/>
      <c r="EI5062"/>
      <c r="EJ5062"/>
      <c r="EK5062"/>
    </row>
    <row r="5063" spans="1:141" s="116" customFormat="1">
      <c r="A5063" s="136"/>
      <c r="CM5063" s="111"/>
      <c r="CQ5063" s="111"/>
      <c r="EF5063"/>
      <c r="EG5063"/>
      <c r="EH5063"/>
      <c r="EI5063"/>
      <c r="EJ5063"/>
      <c r="EK5063"/>
    </row>
    <row r="5064" spans="1:141" s="116" customFormat="1">
      <c r="A5064" s="136"/>
      <c r="CM5064" s="111"/>
      <c r="CQ5064" s="111"/>
      <c r="EF5064"/>
      <c r="EG5064"/>
      <c r="EH5064"/>
      <c r="EI5064"/>
      <c r="EJ5064"/>
      <c r="EK5064"/>
    </row>
    <row r="5065" spans="1:141" s="116" customFormat="1">
      <c r="A5065" s="136"/>
      <c r="CM5065" s="111"/>
      <c r="CQ5065" s="111"/>
      <c r="EF5065"/>
      <c r="EG5065"/>
      <c r="EH5065"/>
      <c r="EI5065"/>
      <c r="EJ5065"/>
      <c r="EK5065"/>
    </row>
    <row r="5066" spans="1:141" s="116" customFormat="1">
      <c r="A5066" s="136"/>
      <c r="CM5066" s="111"/>
      <c r="CQ5066" s="111"/>
      <c r="EF5066"/>
      <c r="EG5066"/>
      <c r="EH5066"/>
      <c r="EI5066"/>
      <c r="EJ5066"/>
      <c r="EK5066"/>
    </row>
    <row r="5067" spans="1:141" s="116" customFormat="1">
      <c r="A5067" s="136"/>
      <c r="CM5067" s="111"/>
      <c r="CQ5067" s="111"/>
      <c r="EF5067"/>
      <c r="EG5067"/>
      <c r="EH5067"/>
      <c r="EI5067"/>
      <c r="EJ5067"/>
      <c r="EK5067"/>
    </row>
    <row r="5068" spans="1:141" s="116" customFormat="1">
      <c r="A5068" s="136"/>
      <c r="CM5068" s="111"/>
      <c r="CQ5068" s="111"/>
      <c r="EF5068"/>
      <c r="EG5068"/>
      <c r="EH5068"/>
      <c r="EI5068"/>
      <c r="EJ5068"/>
      <c r="EK5068"/>
    </row>
    <row r="5069" spans="1:141" s="116" customFormat="1">
      <c r="A5069" s="136"/>
      <c r="CM5069" s="111"/>
      <c r="CQ5069" s="111"/>
      <c r="EF5069"/>
      <c r="EG5069"/>
      <c r="EH5069"/>
      <c r="EI5069"/>
      <c r="EJ5069"/>
      <c r="EK5069"/>
    </row>
    <row r="5070" spans="1:141" s="116" customFormat="1">
      <c r="A5070" s="136"/>
      <c r="CM5070" s="111"/>
      <c r="CQ5070" s="111"/>
      <c r="EF5070"/>
      <c r="EG5070"/>
      <c r="EH5070"/>
      <c r="EI5070"/>
      <c r="EJ5070"/>
      <c r="EK5070"/>
    </row>
    <row r="5071" spans="1:141" s="116" customFormat="1">
      <c r="A5071" s="136"/>
      <c r="CM5071" s="111"/>
      <c r="CQ5071" s="111"/>
      <c r="EF5071"/>
      <c r="EG5071"/>
      <c r="EH5071"/>
      <c r="EI5071"/>
      <c r="EJ5071"/>
      <c r="EK5071"/>
    </row>
    <row r="5072" spans="1:141" s="116" customFormat="1">
      <c r="A5072" s="136"/>
      <c r="CM5072" s="111"/>
      <c r="CQ5072" s="111"/>
      <c r="EF5072"/>
      <c r="EG5072"/>
      <c r="EH5072"/>
      <c r="EI5072"/>
      <c r="EJ5072"/>
      <c r="EK5072"/>
    </row>
    <row r="5073" spans="1:141" s="116" customFormat="1">
      <c r="A5073" s="136"/>
      <c r="CM5073" s="111"/>
      <c r="CQ5073" s="111"/>
      <c r="EF5073"/>
      <c r="EG5073"/>
      <c r="EH5073"/>
      <c r="EI5073"/>
      <c r="EJ5073"/>
      <c r="EK5073"/>
    </row>
    <row r="5074" spans="1:141" s="116" customFormat="1">
      <c r="A5074" s="136"/>
      <c r="CM5074" s="111"/>
      <c r="CQ5074" s="111"/>
      <c r="EF5074"/>
      <c r="EG5074"/>
      <c r="EH5074"/>
      <c r="EI5074"/>
      <c r="EJ5074"/>
      <c r="EK5074"/>
    </row>
    <row r="5075" spans="1:141" s="116" customFormat="1">
      <c r="A5075" s="136"/>
      <c r="CM5075" s="111"/>
      <c r="CQ5075" s="111"/>
      <c r="EF5075"/>
      <c r="EG5075"/>
      <c r="EH5075"/>
      <c r="EI5075"/>
      <c r="EJ5075"/>
      <c r="EK5075"/>
    </row>
    <row r="5076" spans="1:141" s="116" customFormat="1">
      <c r="A5076" s="136"/>
      <c r="CM5076" s="111"/>
      <c r="CQ5076" s="111"/>
      <c r="EF5076"/>
      <c r="EG5076"/>
      <c r="EH5076"/>
      <c r="EI5076"/>
      <c r="EJ5076"/>
      <c r="EK5076"/>
    </row>
    <row r="5077" spans="1:141" s="116" customFormat="1">
      <c r="A5077" s="136"/>
      <c r="CM5077" s="111"/>
      <c r="CQ5077" s="111"/>
      <c r="EF5077"/>
      <c r="EG5077"/>
      <c r="EH5077"/>
      <c r="EI5077"/>
      <c r="EJ5077"/>
      <c r="EK5077"/>
    </row>
    <row r="5078" spans="1:141" s="116" customFormat="1">
      <c r="A5078" s="136"/>
      <c r="CM5078" s="111"/>
      <c r="CQ5078" s="111"/>
      <c r="EF5078"/>
      <c r="EG5078"/>
      <c r="EH5078"/>
      <c r="EI5078"/>
      <c r="EJ5078"/>
      <c r="EK5078"/>
    </row>
    <row r="5079" spans="1:141" s="116" customFormat="1">
      <c r="A5079" s="136"/>
      <c r="CM5079" s="111"/>
      <c r="CQ5079" s="111"/>
      <c r="EF5079"/>
      <c r="EG5079"/>
      <c r="EH5079"/>
      <c r="EI5079"/>
      <c r="EJ5079"/>
      <c r="EK5079"/>
    </row>
    <row r="5080" spans="1:141" s="116" customFormat="1">
      <c r="A5080" s="136"/>
      <c r="CM5080" s="111"/>
      <c r="CQ5080" s="111"/>
      <c r="EF5080"/>
      <c r="EG5080"/>
      <c r="EH5080"/>
      <c r="EI5080"/>
      <c r="EJ5080"/>
      <c r="EK5080"/>
    </row>
    <row r="5081" spans="1:141" s="116" customFormat="1">
      <c r="A5081" s="136"/>
      <c r="CM5081" s="111"/>
      <c r="CQ5081" s="111"/>
      <c r="EF5081"/>
      <c r="EG5081"/>
      <c r="EH5081"/>
      <c r="EI5081"/>
      <c r="EJ5081"/>
      <c r="EK5081"/>
    </row>
    <row r="5082" spans="1:141" s="116" customFormat="1">
      <c r="A5082" s="136"/>
      <c r="CM5082" s="111"/>
      <c r="CQ5082" s="111"/>
      <c r="EF5082"/>
      <c r="EG5082"/>
      <c r="EH5082"/>
      <c r="EI5082"/>
      <c r="EJ5082"/>
      <c r="EK5082"/>
    </row>
    <row r="5083" spans="1:141" s="116" customFormat="1">
      <c r="A5083" s="136"/>
      <c r="CM5083" s="111"/>
      <c r="CQ5083" s="111"/>
      <c r="EF5083"/>
      <c r="EG5083"/>
      <c r="EH5083"/>
      <c r="EI5083"/>
      <c r="EJ5083"/>
      <c r="EK5083"/>
    </row>
    <row r="5084" spans="1:141" s="116" customFormat="1">
      <c r="A5084" s="136"/>
      <c r="CM5084" s="111"/>
      <c r="CQ5084" s="111"/>
      <c r="EF5084"/>
      <c r="EG5084"/>
      <c r="EH5084"/>
      <c r="EI5084"/>
      <c r="EJ5084"/>
      <c r="EK5084"/>
    </row>
    <row r="5085" spans="1:141" s="116" customFormat="1">
      <c r="A5085" s="136"/>
      <c r="CM5085" s="111"/>
      <c r="CQ5085" s="111"/>
      <c r="EF5085"/>
      <c r="EG5085"/>
      <c r="EH5085"/>
      <c r="EI5085"/>
      <c r="EJ5085"/>
      <c r="EK5085"/>
    </row>
    <row r="5086" spans="1:141" s="116" customFormat="1">
      <c r="A5086" s="136"/>
      <c r="CM5086" s="111"/>
      <c r="CQ5086" s="111"/>
      <c r="EF5086"/>
      <c r="EG5086"/>
      <c r="EH5086"/>
      <c r="EI5086"/>
      <c r="EJ5086"/>
      <c r="EK5086"/>
    </row>
    <row r="5087" spans="1:141" s="116" customFormat="1">
      <c r="A5087" s="136"/>
      <c r="CM5087" s="111"/>
      <c r="CQ5087" s="111"/>
      <c r="EF5087"/>
      <c r="EG5087"/>
      <c r="EH5087"/>
      <c r="EI5087"/>
      <c r="EJ5087"/>
      <c r="EK5087"/>
    </row>
    <row r="5088" spans="1:141" s="116" customFormat="1">
      <c r="A5088" s="136"/>
      <c r="CM5088" s="111"/>
      <c r="CQ5088" s="111"/>
      <c r="EF5088"/>
      <c r="EG5088"/>
      <c r="EH5088"/>
      <c r="EI5088"/>
      <c r="EJ5088"/>
      <c r="EK5088"/>
    </row>
    <row r="5089" spans="1:141" s="116" customFormat="1">
      <c r="A5089" s="136"/>
      <c r="CM5089" s="111"/>
      <c r="CQ5089" s="111"/>
      <c r="EF5089"/>
      <c r="EG5089"/>
      <c r="EH5089"/>
      <c r="EI5089"/>
      <c r="EJ5089"/>
      <c r="EK5089"/>
    </row>
    <row r="5090" spans="1:141" s="116" customFormat="1">
      <c r="A5090" s="136"/>
      <c r="CM5090" s="111"/>
      <c r="CQ5090" s="111"/>
      <c r="EF5090"/>
      <c r="EG5090"/>
      <c r="EH5090"/>
      <c r="EI5090"/>
      <c r="EJ5090"/>
      <c r="EK5090"/>
    </row>
    <row r="5091" spans="1:141" s="116" customFormat="1">
      <c r="A5091" s="136"/>
      <c r="CM5091" s="111"/>
      <c r="CQ5091" s="111"/>
      <c r="EF5091"/>
      <c r="EG5091"/>
      <c r="EH5091"/>
      <c r="EI5091"/>
      <c r="EJ5091"/>
      <c r="EK5091"/>
    </row>
    <row r="5092" spans="1:141" s="116" customFormat="1">
      <c r="A5092" s="136"/>
      <c r="CM5092" s="111"/>
      <c r="CQ5092" s="111"/>
      <c r="EF5092"/>
      <c r="EG5092"/>
      <c r="EH5092"/>
      <c r="EI5092"/>
      <c r="EJ5092"/>
      <c r="EK5092"/>
    </row>
    <row r="5093" spans="1:141" s="116" customFormat="1">
      <c r="A5093" s="136"/>
      <c r="CM5093" s="111"/>
      <c r="CQ5093" s="111"/>
      <c r="EF5093"/>
      <c r="EG5093"/>
      <c r="EH5093"/>
      <c r="EI5093"/>
      <c r="EJ5093"/>
      <c r="EK5093"/>
    </row>
    <row r="5094" spans="1:141" s="116" customFormat="1">
      <c r="A5094" s="136"/>
      <c r="CM5094" s="111"/>
      <c r="CQ5094" s="111"/>
      <c r="EF5094"/>
      <c r="EG5094"/>
      <c r="EH5094"/>
      <c r="EI5094"/>
      <c r="EJ5094"/>
      <c r="EK5094"/>
    </row>
    <row r="5095" spans="1:141" s="116" customFormat="1">
      <c r="A5095" s="136"/>
      <c r="CM5095" s="111"/>
      <c r="CQ5095" s="111"/>
      <c r="EF5095"/>
      <c r="EG5095"/>
      <c r="EH5095"/>
      <c r="EI5095"/>
      <c r="EJ5095"/>
      <c r="EK5095"/>
    </row>
    <row r="5096" spans="1:141" s="116" customFormat="1">
      <c r="A5096" s="136"/>
      <c r="CM5096" s="111"/>
      <c r="CQ5096" s="111"/>
      <c r="EF5096"/>
      <c r="EG5096"/>
      <c r="EH5096"/>
      <c r="EI5096"/>
      <c r="EJ5096"/>
      <c r="EK5096"/>
    </row>
    <row r="5097" spans="1:141" s="116" customFormat="1">
      <c r="A5097" s="136"/>
      <c r="CM5097" s="111"/>
      <c r="CQ5097" s="111"/>
      <c r="EF5097"/>
      <c r="EG5097"/>
      <c r="EH5097"/>
      <c r="EI5097"/>
      <c r="EJ5097"/>
      <c r="EK5097"/>
    </row>
    <row r="5098" spans="1:141" s="116" customFormat="1">
      <c r="A5098" s="136"/>
      <c r="CM5098" s="111"/>
      <c r="CQ5098" s="111"/>
      <c r="EF5098"/>
      <c r="EG5098"/>
      <c r="EH5098"/>
      <c r="EI5098"/>
      <c r="EJ5098"/>
      <c r="EK5098"/>
    </row>
    <row r="5099" spans="1:141" s="116" customFormat="1">
      <c r="A5099" s="136"/>
      <c r="CM5099" s="111"/>
      <c r="CQ5099" s="111"/>
      <c r="EF5099"/>
      <c r="EG5099"/>
      <c r="EH5099"/>
      <c r="EI5099"/>
      <c r="EJ5099"/>
      <c r="EK5099"/>
    </row>
    <row r="5100" spans="1:141" s="116" customFormat="1">
      <c r="A5100" s="136"/>
      <c r="CM5100" s="111"/>
      <c r="CQ5100" s="111"/>
      <c r="EF5100"/>
      <c r="EG5100"/>
      <c r="EH5100"/>
      <c r="EI5100"/>
      <c r="EJ5100"/>
      <c r="EK5100"/>
    </row>
    <row r="5101" spans="1:141" s="116" customFormat="1">
      <c r="A5101" s="136"/>
      <c r="CM5101" s="111"/>
      <c r="CQ5101" s="111"/>
      <c r="EF5101"/>
      <c r="EG5101"/>
      <c r="EH5101"/>
      <c r="EI5101"/>
      <c r="EJ5101"/>
      <c r="EK5101"/>
    </row>
    <row r="5102" spans="1:141" s="116" customFormat="1">
      <c r="A5102" s="136"/>
      <c r="CM5102" s="111"/>
      <c r="CQ5102" s="111"/>
      <c r="EF5102"/>
      <c r="EG5102"/>
      <c r="EH5102"/>
      <c r="EI5102"/>
      <c r="EJ5102"/>
      <c r="EK5102"/>
    </row>
    <row r="5103" spans="1:141" s="116" customFormat="1">
      <c r="A5103" s="136"/>
      <c r="CM5103" s="111"/>
      <c r="CQ5103" s="111"/>
      <c r="EF5103"/>
      <c r="EG5103"/>
      <c r="EH5103"/>
      <c r="EI5103"/>
      <c r="EJ5103"/>
      <c r="EK5103"/>
    </row>
    <row r="5104" spans="1:141" s="116" customFormat="1">
      <c r="A5104" s="136"/>
      <c r="CM5104" s="111"/>
      <c r="CQ5104" s="111"/>
      <c r="EF5104"/>
      <c r="EG5104"/>
      <c r="EH5104"/>
      <c r="EI5104"/>
      <c r="EJ5104"/>
      <c r="EK5104"/>
    </row>
    <row r="5105" spans="1:141" s="116" customFormat="1">
      <c r="A5105" s="136"/>
      <c r="CM5105" s="111"/>
      <c r="CQ5105" s="111"/>
      <c r="EF5105"/>
      <c r="EG5105"/>
      <c r="EH5105"/>
      <c r="EI5105"/>
      <c r="EJ5105"/>
      <c r="EK5105"/>
    </row>
    <row r="5106" spans="1:141" s="116" customFormat="1">
      <c r="A5106" s="136"/>
      <c r="CM5106" s="111"/>
      <c r="CQ5106" s="111"/>
      <c r="EF5106"/>
      <c r="EG5106"/>
      <c r="EH5106"/>
      <c r="EI5106"/>
      <c r="EJ5106"/>
      <c r="EK5106"/>
    </row>
    <row r="5107" spans="1:141" s="116" customFormat="1">
      <c r="A5107" s="136"/>
      <c r="CM5107" s="111"/>
      <c r="CQ5107" s="111"/>
      <c r="EF5107"/>
      <c r="EG5107"/>
      <c r="EH5107"/>
      <c r="EI5107"/>
      <c r="EJ5107"/>
      <c r="EK5107"/>
    </row>
    <row r="5108" spans="1:141" s="116" customFormat="1">
      <c r="A5108" s="136"/>
      <c r="CM5108" s="111"/>
      <c r="CQ5108" s="111"/>
      <c r="EF5108"/>
      <c r="EG5108"/>
      <c r="EH5108"/>
      <c r="EI5108"/>
      <c r="EJ5108"/>
      <c r="EK5108"/>
    </row>
    <row r="5109" spans="1:141" s="116" customFormat="1">
      <c r="A5109" s="136"/>
      <c r="CM5109" s="111"/>
      <c r="CQ5109" s="111"/>
      <c r="EF5109"/>
      <c r="EG5109"/>
      <c r="EH5109"/>
      <c r="EI5109"/>
      <c r="EJ5109"/>
      <c r="EK5109"/>
    </row>
    <row r="5110" spans="1:141" s="116" customFormat="1">
      <c r="A5110" s="136"/>
      <c r="CM5110" s="111"/>
      <c r="CQ5110" s="111"/>
      <c r="EF5110"/>
      <c r="EG5110"/>
      <c r="EH5110"/>
      <c r="EI5110"/>
      <c r="EJ5110"/>
      <c r="EK5110"/>
    </row>
    <row r="5111" spans="1:141" s="116" customFormat="1">
      <c r="A5111" s="136"/>
      <c r="CM5111" s="111"/>
      <c r="CQ5111" s="111"/>
      <c r="EF5111"/>
      <c r="EG5111"/>
      <c r="EH5111"/>
      <c r="EI5111"/>
      <c r="EJ5111"/>
      <c r="EK5111"/>
    </row>
    <row r="5112" spans="1:141" s="116" customFormat="1">
      <c r="A5112" s="136"/>
      <c r="CM5112" s="111"/>
      <c r="CQ5112" s="111"/>
      <c r="EF5112"/>
      <c r="EG5112"/>
      <c r="EH5112"/>
      <c r="EI5112"/>
      <c r="EJ5112"/>
      <c r="EK5112"/>
    </row>
    <row r="5113" spans="1:141" s="116" customFormat="1">
      <c r="A5113" s="136"/>
      <c r="CM5113" s="111"/>
      <c r="CQ5113" s="111"/>
      <c r="EF5113"/>
      <c r="EG5113"/>
      <c r="EH5113"/>
      <c r="EI5113"/>
      <c r="EJ5113"/>
      <c r="EK5113"/>
    </row>
    <row r="5114" spans="1:141" s="116" customFormat="1">
      <c r="A5114" s="136"/>
      <c r="CM5114" s="111"/>
      <c r="CQ5114" s="111"/>
      <c r="EF5114"/>
      <c r="EG5114"/>
      <c r="EH5114"/>
      <c r="EI5114"/>
      <c r="EJ5114"/>
      <c r="EK5114"/>
    </row>
    <row r="5115" spans="1:141" s="116" customFormat="1">
      <c r="A5115" s="136"/>
      <c r="CM5115" s="111"/>
      <c r="CQ5115" s="111"/>
      <c r="EF5115"/>
      <c r="EG5115"/>
      <c r="EH5115"/>
      <c r="EI5115"/>
      <c r="EJ5115"/>
      <c r="EK5115"/>
    </row>
    <row r="5116" spans="1:141" s="116" customFormat="1">
      <c r="A5116" s="136"/>
      <c r="CM5116" s="111"/>
      <c r="CQ5116" s="111"/>
      <c r="EF5116"/>
      <c r="EG5116"/>
      <c r="EH5116"/>
      <c r="EI5116"/>
      <c r="EJ5116"/>
      <c r="EK5116"/>
    </row>
    <row r="5117" spans="1:141" s="116" customFormat="1">
      <c r="A5117" s="136"/>
      <c r="CM5117" s="111"/>
      <c r="CQ5117" s="111"/>
      <c r="EF5117"/>
      <c r="EG5117"/>
      <c r="EH5117"/>
      <c r="EI5117"/>
      <c r="EJ5117"/>
      <c r="EK5117"/>
    </row>
    <row r="5118" spans="1:141" s="116" customFormat="1">
      <c r="A5118" s="136"/>
      <c r="CM5118" s="111"/>
      <c r="CQ5118" s="111"/>
      <c r="EF5118"/>
      <c r="EG5118"/>
      <c r="EH5118"/>
      <c r="EI5118"/>
      <c r="EJ5118"/>
      <c r="EK5118"/>
    </row>
    <row r="5119" spans="1:141" s="116" customFormat="1">
      <c r="A5119" s="136"/>
      <c r="CM5119" s="111"/>
      <c r="CQ5119" s="111"/>
      <c r="EF5119"/>
      <c r="EG5119"/>
      <c r="EH5119"/>
      <c r="EI5119"/>
      <c r="EJ5119"/>
      <c r="EK5119"/>
    </row>
    <row r="5120" spans="1:141" s="116" customFormat="1">
      <c r="A5120" s="136"/>
      <c r="CM5120" s="111"/>
      <c r="CQ5120" s="111"/>
      <c r="EF5120"/>
      <c r="EG5120"/>
      <c r="EH5120"/>
      <c r="EI5120"/>
      <c r="EJ5120"/>
      <c r="EK5120"/>
    </row>
    <row r="5121" spans="1:141" s="116" customFormat="1">
      <c r="A5121" s="136"/>
      <c r="CM5121" s="111"/>
      <c r="CQ5121" s="111"/>
      <c r="EF5121"/>
      <c r="EG5121"/>
      <c r="EH5121"/>
      <c r="EI5121"/>
      <c r="EJ5121"/>
      <c r="EK5121"/>
    </row>
    <row r="5122" spans="1:141" s="116" customFormat="1">
      <c r="A5122" s="136"/>
      <c r="CM5122" s="111"/>
      <c r="CQ5122" s="111"/>
      <c r="EF5122"/>
      <c r="EG5122"/>
      <c r="EH5122"/>
      <c r="EI5122"/>
      <c r="EJ5122"/>
      <c r="EK5122"/>
    </row>
    <row r="5123" spans="1:141" s="116" customFormat="1">
      <c r="A5123" s="136"/>
      <c r="CM5123" s="111"/>
      <c r="CQ5123" s="111"/>
      <c r="EF5123"/>
      <c r="EG5123"/>
      <c r="EH5123"/>
      <c r="EI5123"/>
      <c r="EJ5123"/>
      <c r="EK5123"/>
    </row>
    <row r="5124" spans="1:141" s="116" customFormat="1">
      <c r="A5124" s="136"/>
      <c r="CM5124" s="111"/>
      <c r="CQ5124" s="111"/>
      <c r="EF5124"/>
      <c r="EG5124"/>
      <c r="EH5124"/>
      <c r="EI5124"/>
      <c r="EJ5124"/>
      <c r="EK5124"/>
    </row>
    <row r="5125" spans="1:141" s="116" customFormat="1">
      <c r="A5125" s="136"/>
      <c r="CM5125" s="111"/>
      <c r="CQ5125" s="111"/>
      <c r="EF5125"/>
      <c r="EG5125"/>
      <c r="EH5125"/>
      <c r="EI5125"/>
      <c r="EJ5125"/>
      <c r="EK5125"/>
    </row>
    <row r="5126" spans="1:141" s="116" customFormat="1">
      <c r="A5126" s="136"/>
      <c r="CM5126" s="111"/>
      <c r="CQ5126" s="111"/>
      <c r="EF5126"/>
      <c r="EG5126"/>
      <c r="EH5126"/>
      <c r="EI5126"/>
      <c r="EJ5126"/>
      <c r="EK5126"/>
    </row>
    <row r="5127" spans="1:141" s="116" customFormat="1">
      <c r="A5127" s="136"/>
      <c r="CM5127" s="111"/>
      <c r="CQ5127" s="111"/>
      <c r="EF5127"/>
      <c r="EG5127"/>
      <c r="EH5127"/>
      <c r="EI5127"/>
      <c r="EJ5127"/>
      <c r="EK5127"/>
    </row>
    <row r="5128" spans="1:141" s="116" customFormat="1">
      <c r="A5128" s="136"/>
      <c r="CM5128" s="111"/>
      <c r="CQ5128" s="111"/>
      <c r="EF5128"/>
      <c r="EG5128"/>
      <c r="EH5128"/>
      <c r="EI5128"/>
      <c r="EJ5128"/>
      <c r="EK5128"/>
    </row>
    <row r="5129" spans="1:141" s="116" customFormat="1">
      <c r="A5129" s="136"/>
      <c r="CM5129" s="111"/>
      <c r="CQ5129" s="111"/>
      <c r="EF5129"/>
      <c r="EG5129"/>
      <c r="EH5129"/>
      <c r="EI5129"/>
      <c r="EJ5129"/>
      <c r="EK5129"/>
    </row>
    <row r="5130" spans="1:141" s="116" customFormat="1">
      <c r="A5130" s="136"/>
      <c r="CM5130" s="111"/>
      <c r="CQ5130" s="111"/>
      <c r="EF5130"/>
      <c r="EG5130"/>
      <c r="EH5130"/>
      <c r="EI5130"/>
      <c r="EJ5130"/>
      <c r="EK5130"/>
    </row>
    <row r="5131" spans="1:141" s="116" customFormat="1">
      <c r="A5131" s="136"/>
      <c r="CM5131" s="111"/>
      <c r="CQ5131" s="111"/>
      <c r="EF5131"/>
      <c r="EG5131"/>
      <c r="EH5131"/>
      <c r="EI5131"/>
      <c r="EJ5131"/>
      <c r="EK5131"/>
    </row>
    <row r="5132" spans="1:141" s="116" customFormat="1">
      <c r="A5132" s="136"/>
      <c r="CM5132" s="111"/>
      <c r="CQ5132" s="111"/>
      <c r="EF5132"/>
      <c r="EG5132"/>
      <c r="EH5132"/>
      <c r="EI5132"/>
      <c r="EJ5132"/>
      <c r="EK5132"/>
    </row>
    <row r="5133" spans="1:141" s="116" customFormat="1">
      <c r="A5133" s="136"/>
      <c r="CM5133" s="111"/>
      <c r="CQ5133" s="111"/>
      <c r="EF5133"/>
      <c r="EG5133"/>
      <c r="EH5133"/>
      <c r="EI5133"/>
      <c r="EJ5133"/>
      <c r="EK5133"/>
    </row>
    <row r="5134" spans="1:141" s="116" customFormat="1">
      <c r="A5134" s="136"/>
      <c r="CM5134" s="111"/>
      <c r="CQ5134" s="111"/>
      <c r="EF5134"/>
      <c r="EG5134"/>
      <c r="EH5134"/>
      <c r="EI5134"/>
      <c r="EJ5134"/>
      <c r="EK5134"/>
    </row>
    <row r="5135" spans="1:141" s="116" customFormat="1">
      <c r="A5135" s="136"/>
      <c r="CM5135" s="111"/>
      <c r="CQ5135" s="111"/>
      <c r="EF5135"/>
      <c r="EG5135"/>
      <c r="EH5135"/>
      <c r="EI5135"/>
      <c r="EJ5135"/>
      <c r="EK5135"/>
    </row>
    <row r="5136" spans="1:141" s="116" customFormat="1">
      <c r="A5136" s="136"/>
      <c r="CM5136" s="111"/>
      <c r="CQ5136" s="111"/>
      <c r="EF5136"/>
      <c r="EG5136"/>
      <c r="EH5136"/>
      <c r="EI5136"/>
      <c r="EJ5136"/>
      <c r="EK5136"/>
    </row>
    <row r="5137" spans="1:141" s="116" customFormat="1">
      <c r="A5137" s="136"/>
      <c r="CM5137" s="111"/>
      <c r="CQ5137" s="111"/>
      <c r="EF5137"/>
      <c r="EG5137"/>
      <c r="EH5137"/>
      <c r="EI5137"/>
      <c r="EJ5137"/>
      <c r="EK5137"/>
    </row>
    <row r="5138" spans="1:141" s="116" customFormat="1">
      <c r="A5138" s="136"/>
      <c r="CM5138" s="111"/>
      <c r="CQ5138" s="111"/>
      <c r="EF5138"/>
      <c r="EG5138"/>
      <c r="EH5138"/>
      <c r="EI5138"/>
      <c r="EJ5138"/>
      <c r="EK5138"/>
    </row>
    <row r="5139" spans="1:141" s="116" customFormat="1">
      <c r="A5139" s="136"/>
      <c r="CM5139" s="111"/>
      <c r="CQ5139" s="111"/>
      <c r="EF5139"/>
      <c r="EG5139"/>
      <c r="EH5139"/>
      <c r="EI5139"/>
      <c r="EJ5139"/>
      <c r="EK5139"/>
    </row>
    <row r="5140" spans="1:141" s="116" customFormat="1">
      <c r="A5140" s="136"/>
      <c r="CM5140" s="111"/>
      <c r="CQ5140" s="111"/>
      <c r="EF5140"/>
      <c r="EG5140"/>
      <c r="EH5140"/>
      <c r="EI5140"/>
      <c r="EJ5140"/>
      <c r="EK5140"/>
    </row>
    <row r="5141" spans="1:141" s="116" customFormat="1">
      <c r="A5141" s="136"/>
      <c r="CM5141" s="111"/>
      <c r="CQ5141" s="111"/>
      <c r="EF5141"/>
      <c r="EG5141"/>
      <c r="EH5141"/>
      <c r="EI5141"/>
      <c r="EJ5141"/>
      <c r="EK5141"/>
    </row>
    <row r="5142" spans="1:141" s="116" customFormat="1">
      <c r="A5142" s="136"/>
      <c r="CM5142" s="111"/>
      <c r="CQ5142" s="111"/>
      <c r="EF5142"/>
      <c r="EG5142"/>
      <c r="EH5142"/>
      <c r="EI5142"/>
      <c r="EJ5142"/>
      <c r="EK5142"/>
    </row>
    <row r="5143" spans="1:141" s="116" customFormat="1">
      <c r="A5143" s="136"/>
      <c r="CM5143" s="111"/>
      <c r="CQ5143" s="111"/>
      <c r="EF5143"/>
      <c r="EG5143"/>
      <c r="EH5143"/>
      <c r="EI5143"/>
      <c r="EJ5143"/>
      <c r="EK5143"/>
    </row>
    <row r="5144" spans="1:141" s="116" customFormat="1">
      <c r="A5144" s="136"/>
      <c r="CM5144" s="111"/>
      <c r="CQ5144" s="111"/>
      <c r="EF5144"/>
      <c r="EG5144"/>
      <c r="EH5144"/>
      <c r="EI5144"/>
      <c r="EJ5144"/>
      <c r="EK5144"/>
    </row>
    <row r="5145" spans="1:141" s="116" customFormat="1">
      <c r="A5145" s="136"/>
      <c r="CM5145" s="111"/>
      <c r="CQ5145" s="111"/>
      <c r="EF5145"/>
      <c r="EG5145"/>
      <c r="EH5145"/>
      <c r="EI5145"/>
      <c r="EJ5145"/>
      <c r="EK5145"/>
    </row>
    <row r="5146" spans="1:141" s="116" customFormat="1">
      <c r="A5146" s="136"/>
      <c r="CM5146" s="111"/>
      <c r="CQ5146" s="111"/>
      <c r="EF5146"/>
      <c r="EG5146"/>
      <c r="EH5146"/>
      <c r="EI5146"/>
      <c r="EJ5146"/>
      <c r="EK5146"/>
    </row>
    <row r="5147" spans="1:141" s="116" customFormat="1">
      <c r="A5147" s="136"/>
      <c r="CM5147" s="111"/>
      <c r="CQ5147" s="111"/>
      <c r="EF5147"/>
      <c r="EG5147"/>
      <c r="EH5147"/>
      <c r="EI5147"/>
      <c r="EJ5147"/>
      <c r="EK5147"/>
    </row>
    <row r="5148" spans="1:141" s="116" customFormat="1">
      <c r="A5148" s="136"/>
      <c r="CM5148" s="111"/>
      <c r="CQ5148" s="111"/>
      <c r="EF5148"/>
      <c r="EG5148"/>
      <c r="EH5148"/>
      <c r="EI5148"/>
      <c r="EJ5148"/>
      <c r="EK5148"/>
    </row>
    <row r="5149" spans="1:141" s="116" customFormat="1">
      <c r="A5149" s="136"/>
      <c r="CM5149" s="111"/>
      <c r="CQ5149" s="111"/>
      <c r="EF5149"/>
      <c r="EG5149"/>
      <c r="EH5149"/>
      <c r="EI5149"/>
      <c r="EJ5149"/>
      <c r="EK5149"/>
    </row>
    <row r="5150" spans="1:141" s="116" customFormat="1">
      <c r="A5150" s="136"/>
      <c r="CM5150" s="111"/>
      <c r="CQ5150" s="111"/>
      <c r="EF5150"/>
      <c r="EG5150"/>
      <c r="EH5150"/>
      <c r="EI5150"/>
      <c r="EJ5150"/>
      <c r="EK5150"/>
    </row>
    <row r="5151" spans="1:141" s="116" customFormat="1">
      <c r="A5151" s="136"/>
      <c r="CM5151" s="111"/>
      <c r="CQ5151" s="111"/>
      <c r="EF5151"/>
      <c r="EG5151"/>
      <c r="EH5151"/>
      <c r="EI5151"/>
      <c r="EJ5151"/>
      <c r="EK5151"/>
    </row>
    <row r="5152" spans="1:141" s="116" customFormat="1">
      <c r="A5152" s="136"/>
      <c r="CM5152" s="111"/>
      <c r="CQ5152" s="111"/>
      <c r="EF5152"/>
      <c r="EG5152"/>
      <c r="EH5152"/>
      <c r="EI5152"/>
      <c r="EJ5152"/>
      <c r="EK5152"/>
    </row>
    <row r="5153" spans="1:141" s="116" customFormat="1">
      <c r="A5153" s="136"/>
      <c r="CM5153" s="111"/>
      <c r="CQ5153" s="111"/>
      <c r="EF5153"/>
      <c r="EG5153"/>
      <c r="EH5153"/>
      <c r="EI5153"/>
      <c r="EJ5153"/>
      <c r="EK5153"/>
    </row>
    <row r="5154" spans="1:141" s="116" customFormat="1">
      <c r="A5154" s="136"/>
      <c r="CM5154" s="111"/>
      <c r="CQ5154" s="111"/>
      <c r="EF5154"/>
      <c r="EG5154"/>
      <c r="EH5154"/>
      <c r="EI5154"/>
      <c r="EJ5154"/>
      <c r="EK5154"/>
    </row>
    <row r="5155" spans="1:141" s="116" customFormat="1">
      <c r="A5155" s="136"/>
      <c r="CM5155" s="111"/>
      <c r="CQ5155" s="111"/>
      <c r="EF5155"/>
      <c r="EG5155"/>
      <c r="EH5155"/>
      <c r="EI5155"/>
      <c r="EJ5155"/>
      <c r="EK5155"/>
    </row>
    <row r="5156" spans="1:141" s="116" customFormat="1">
      <c r="A5156" s="136"/>
      <c r="CM5156" s="111"/>
      <c r="CQ5156" s="111"/>
      <c r="EF5156"/>
      <c r="EG5156"/>
      <c r="EH5156"/>
      <c r="EI5156"/>
      <c r="EJ5156"/>
      <c r="EK5156"/>
    </row>
    <row r="5157" spans="1:141" s="116" customFormat="1">
      <c r="A5157" s="136"/>
      <c r="CM5157" s="111"/>
      <c r="CQ5157" s="111"/>
      <c r="EF5157"/>
      <c r="EG5157"/>
      <c r="EH5157"/>
      <c r="EI5157"/>
      <c r="EJ5157"/>
      <c r="EK5157"/>
    </row>
    <row r="5158" spans="1:141" s="116" customFormat="1">
      <c r="A5158" s="136"/>
      <c r="CM5158" s="111"/>
      <c r="CQ5158" s="111"/>
      <c r="EF5158"/>
      <c r="EG5158"/>
      <c r="EH5158"/>
      <c r="EI5158"/>
      <c r="EJ5158"/>
      <c r="EK5158"/>
    </row>
    <row r="5159" spans="1:141" s="116" customFormat="1">
      <c r="A5159" s="136"/>
      <c r="CM5159" s="111"/>
      <c r="CQ5159" s="111"/>
      <c r="EF5159"/>
      <c r="EG5159"/>
      <c r="EH5159"/>
      <c r="EI5159"/>
      <c r="EJ5159"/>
      <c r="EK5159"/>
    </row>
    <row r="5160" spans="1:141" s="116" customFormat="1">
      <c r="A5160" s="136"/>
      <c r="CM5160" s="111"/>
      <c r="CQ5160" s="111"/>
      <c r="EF5160"/>
      <c r="EG5160"/>
      <c r="EH5160"/>
      <c r="EI5160"/>
      <c r="EJ5160"/>
      <c r="EK5160"/>
    </row>
    <row r="5161" spans="1:141" s="116" customFormat="1">
      <c r="A5161" s="136"/>
      <c r="CM5161" s="111"/>
      <c r="CQ5161" s="111"/>
      <c r="EF5161"/>
      <c r="EG5161"/>
      <c r="EH5161"/>
      <c r="EI5161"/>
      <c r="EJ5161"/>
      <c r="EK5161"/>
    </row>
    <row r="5162" spans="1:141" s="116" customFormat="1">
      <c r="A5162" s="136"/>
      <c r="CM5162" s="111"/>
      <c r="CQ5162" s="111"/>
      <c r="EF5162"/>
      <c r="EG5162"/>
      <c r="EH5162"/>
      <c r="EI5162"/>
      <c r="EJ5162"/>
      <c r="EK5162"/>
    </row>
    <row r="5163" spans="1:141" s="116" customFormat="1">
      <c r="A5163" s="136"/>
      <c r="CM5163" s="111"/>
      <c r="CQ5163" s="111"/>
      <c r="EF5163"/>
      <c r="EG5163"/>
      <c r="EH5163"/>
      <c r="EI5163"/>
      <c r="EJ5163"/>
      <c r="EK5163"/>
    </row>
    <row r="5164" spans="1:141" s="116" customFormat="1">
      <c r="A5164" s="136"/>
      <c r="CM5164" s="111"/>
      <c r="CQ5164" s="111"/>
      <c r="EF5164"/>
      <c r="EG5164"/>
      <c r="EH5164"/>
      <c r="EI5164"/>
      <c r="EJ5164"/>
      <c r="EK5164"/>
    </row>
    <row r="5165" spans="1:141" s="116" customFormat="1">
      <c r="A5165" s="136"/>
      <c r="CM5165" s="111"/>
      <c r="CQ5165" s="111"/>
      <c r="EF5165"/>
      <c r="EG5165"/>
      <c r="EH5165"/>
      <c r="EI5165"/>
      <c r="EJ5165"/>
      <c r="EK5165"/>
    </row>
    <row r="5166" spans="1:141" s="116" customFormat="1">
      <c r="A5166" s="136"/>
      <c r="CM5166" s="111"/>
      <c r="CQ5166" s="111"/>
      <c r="EF5166"/>
      <c r="EG5166"/>
      <c r="EH5166"/>
      <c r="EI5166"/>
      <c r="EJ5166"/>
      <c r="EK5166"/>
    </row>
    <row r="5167" spans="1:141" s="116" customFormat="1">
      <c r="A5167" s="136"/>
      <c r="CM5167" s="111"/>
      <c r="CQ5167" s="111"/>
      <c r="EF5167"/>
      <c r="EG5167"/>
      <c r="EH5167"/>
      <c r="EI5167"/>
      <c r="EJ5167"/>
      <c r="EK5167"/>
    </row>
    <row r="5168" spans="1:141" s="116" customFormat="1">
      <c r="A5168" s="136"/>
      <c r="CM5168" s="111"/>
      <c r="CQ5168" s="111"/>
      <c r="EF5168"/>
      <c r="EG5168"/>
      <c r="EH5168"/>
      <c r="EI5168"/>
      <c r="EJ5168"/>
      <c r="EK5168"/>
    </row>
    <row r="5169" spans="1:141" s="116" customFormat="1">
      <c r="A5169" s="136"/>
      <c r="CM5169" s="111"/>
      <c r="CQ5169" s="111"/>
      <c r="EF5169"/>
      <c r="EG5169"/>
      <c r="EH5169"/>
      <c r="EI5169"/>
      <c r="EJ5169"/>
      <c r="EK5169"/>
    </row>
    <row r="5170" spans="1:141" s="116" customFormat="1">
      <c r="A5170" s="136"/>
      <c r="CM5170" s="111"/>
      <c r="CQ5170" s="111"/>
      <c r="EF5170"/>
      <c r="EG5170"/>
      <c r="EH5170"/>
      <c r="EI5170"/>
      <c r="EJ5170"/>
      <c r="EK5170"/>
    </row>
    <row r="5171" spans="1:141" s="116" customFormat="1">
      <c r="A5171" s="136"/>
      <c r="CM5171" s="111"/>
      <c r="CQ5171" s="111"/>
      <c r="EF5171"/>
      <c r="EG5171"/>
      <c r="EH5171"/>
      <c r="EI5171"/>
      <c r="EJ5171"/>
      <c r="EK5171"/>
    </row>
    <row r="5172" spans="1:141" s="116" customFormat="1">
      <c r="A5172" s="136"/>
      <c r="CM5172" s="111"/>
      <c r="CQ5172" s="111"/>
      <c r="EF5172"/>
      <c r="EG5172"/>
      <c r="EH5172"/>
      <c r="EI5172"/>
      <c r="EJ5172"/>
      <c r="EK5172"/>
    </row>
    <row r="5173" spans="1:141" s="116" customFormat="1">
      <c r="A5173" s="136"/>
      <c r="CM5173" s="111"/>
      <c r="CQ5173" s="111"/>
      <c r="EF5173"/>
      <c r="EG5173"/>
      <c r="EH5173"/>
      <c r="EI5173"/>
      <c r="EJ5173"/>
      <c r="EK5173"/>
    </row>
    <row r="5174" spans="1:141" s="116" customFormat="1">
      <c r="A5174" s="136"/>
      <c r="CM5174" s="111"/>
      <c r="CQ5174" s="111"/>
      <c r="EF5174"/>
      <c r="EG5174"/>
      <c r="EH5174"/>
      <c r="EI5174"/>
      <c r="EJ5174"/>
      <c r="EK5174"/>
    </row>
    <row r="5175" spans="1:141" s="116" customFormat="1">
      <c r="A5175" s="136"/>
      <c r="CM5175" s="111"/>
      <c r="CQ5175" s="111"/>
      <c r="EF5175"/>
      <c r="EG5175"/>
      <c r="EH5175"/>
      <c r="EI5175"/>
      <c r="EJ5175"/>
      <c r="EK5175"/>
    </row>
    <row r="5176" spans="1:141" s="116" customFormat="1">
      <c r="A5176" s="136"/>
      <c r="CM5176" s="111"/>
      <c r="CQ5176" s="111"/>
      <c r="EF5176"/>
      <c r="EG5176"/>
      <c r="EH5176"/>
      <c r="EI5176"/>
      <c r="EJ5176"/>
      <c r="EK5176"/>
    </row>
    <row r="5177" spans="1:141" s="116" customFormat="1">
      <c r="A5177" s="136"/>
      <c r="CM5177" s="111"/>
      <c r="CQ5177" s="111"/>
      <c r="EF5177"/>
      <c r="EG5177"/>
      <c r="EH5177"/>
      <c r="EI5177"/>
      <c r="EJ5177"/>
      <c r="EK5177"/>
    </row>
    <row r="5178" spans="1:141" s="116" customFormat="1">
      <c r="A5178" s="136"/>
      <c r="CM5178" s="111"/>
      <c r="CQ5178" s="111"/>
      <c r="EF5178"/>
      <c r="EG5178"/>
      <c r="EH5178"/>
      <c r="EI5178"/>
      <c r="EJ5178"/>
      <c r="EK5178"/>
    </row>
    <row r="5179" spans="1:141" s="116" customFormat="1">
      <c r="A5179" s="136"/>
      <c r="CM5179" s="111"/>
      <c r="CQ5179" s="111"/>
      <c r="EF5179"/>
      <c r="EG5179"/>
      <c r="EH5179"/>
      <c r="EI5179"/>
      <c r="EJ5179"/>
      <c r="EK5179"/>
    </row>
    <row r="5180" spans="1:141" s="116" customFormat="1">
      <c r="A5180" s="136"/>
      <c r="CM5180" s="111"/>
      <c r="CQ5180" s="111"/>
      <c r="EF5180"/>
      <c r="EG5180"/>
      <c r="EH5180"/>
      <c r="EI5180"/>
      <c r="EJ5180"/>
      <c r="EK5180"/>
    </row>
    <row r="5181" spans="1:141" s="116" customFormat="1">
      <c r="A5181" s="136"/>
      <c r="CM5181" s="111"/>
      <c r="CQ5181" s="111"/>
      <c r="EF5181"/>
      <c r="EG5181"/>
      <c r="EH5181"/>
      <c r="EI5181"/>
      <c r="EJ5181"/>
      <c r="EK5181"/>
    </row>
    <row r="5182" spans="1:141" s="116" customFormat="1">
      <c r="A5182" s="136"/>
      <c r="CM5182" s="111"/>
      <c r="CQ5182" s="111"/>
      <c r="EF5182"/>
      <c r="EG5182"/>
      <c r="EH5182"/>
      <c r="EI5182"/>
      <c r="EJ5182"/>
      <c r="EK5182"/>
    </row>
    <row r="5183" spans="1:141" s="116" customFormat="1">
      <c r="A5183" s="136"/>
      <c r="CM5183" s="111"/>
      <c r="CQ5183" s="111"/>
      <c r="EF5183"/>
      <c r="EG5183"/>
      <c r="EH5183"/>
      <c r="EI5183"/>
      <c r="EJ5183"/>
      <c r="EK5183"/>
    </row>
    <row r="5184" spans="1:141" s="116" customFormat="1">
      <c r="A5184" s="136"/>
      <c r="CM5184" s="111"/>
      <c r="CQ5184" s="111"/>
      <c r="EF5184"/>
      <c r="EG5184"/>
      <c r="EH5184"/>
      <c r="EI5184"/>
      <c r="EJ5184"/>
      <c r="EK5184"/>
    </row>
    <row r="5185" spans="1:141" s="116" customFormat="1">
      <c r="A5185" s="136"/>
      <c r="CM5185" s="111"/>
      <c r="CQ5185" s="111"/>
      <c r="EF5185"/>
      <c r="EG5185"/>
      <c r="EH5185"/>
      <c r="EI5185"/>
      <c r="EJ5185"/>
      <c r="EK5185"/>
    </row>
    <row r="5186" spans="1:141" s="116" customFormat="1">
      <c r="A5186" s="136"/>
      <c r="CM5186" s="111"/>
      <c r="CQ5186" s="111"/>
      <c r="EF5186"/>
      <c r="EG5186"/>
      <c r="EH5186"/>
      <c r="EI5186"/>
      <c r="EJ5186"/>
      <c r="EK5186"/>
    </row>
    <row r="5187" spans="1:141" s="116" customFormat="1">
      <c r="A5187" s="136"/>
      <c r="CM5187" s="111"/>
      <c r="CQ5187" s="111"/>
      <c r="EF5187"/>
      <c r="EG5187"/>
      <c r="EH5187"/>
      <c r="EI5187"/>
      <c r="EJ5187"/>
      <c r="EK5187"/>
    </row>
    <row r="5188" spans="1:141" s="116" customFormat="1">
      <c r="A5188" s="136"/>
      <c r="CM5188" s="111"/>
      <c r="CQ5188" s="111"/>
      <c r="EF5188"/>
      <c r="EG5188"/>
      <c r="EH5188"/>
      <c r="EI5188"/>
      <c r="EJ5188"/>
      <c r="EK5188"/>
    </row>
    <row r="5189" spans="1:141" s="116" customFormat="1">
      <c r="A5189" s="136"/>
      <c r="CM5189" s="111"/>
      <c r="CQ5189" s="111"/>
      <c r="EF5189"/>
      <c r="EG5189"/>
      <c r="EH5189"/>
      <c r="EI5189"/>
      <c r="EJ5189"/>
      <c r="EK5189"/>
    </row>
    <row r="5190" spans="1:141" s="116" customFormat="1">
      <c r="A5190" s="136"/>
      <c r="CM5190" s="111"/>
      <c r="CQ5190" s="111"/>
      <c r="EF5190"/>
      <c r="EG5190"/>
      <c r="EH5190"/>
      <c r="EI5190"/>
      <c r="EJ5190"/>
      <c r="EK5190"/>
    </row>
    <row r="5191" spans="1:141" s="116" customFormat="1">
      <c r="A5191" s="136"/>
      <c r="CM5191" s="111"/>
      <c r="CQ5191" s="111"/>
      <c r="EF5191"/>
      <c r="EG5191"/>
      <c r="EH5191"/>
      <c r="EI5191"/>
      <c r="EJ5191"/>
      <c r="EK5191"/>
    </row>
    <row r="5192" spans="1:141" s="116" customFormat="1">
      <c r="A5192" s="136"/>
      <c r="CM5192" s="111"/>
      <c r="CQ5192" s="111"/>
      <c r="EF5192"/>
      <c r="EG5192"/>
      <c r="EH5192"/>
      <c r="EI5192"/>
      <c r="EJ5192"/>
      <c r="EK5192"/>
    </row>
    <row r="5193" spans="1:141" s="116" customFormat="1">
      <c r="A5193" s="136"/>
      <c r="CM5193" s="111"/>
      <c r="CQ5193" s="111"/>
      <c r="EF5193"/>
      <c r="EG5193"/>
      <c r="EH5193"/>
      <c r="EI5193"/>
      <c r="EJ5193"/>
      <c r="EK5193"/>
    </row>
    <row r="5194" spans="1:141" s="116" customFormat="1">
      <c r="A5194" s="136"/>
      <c r="CM5194" s="111"/>
      <c r="CQ5194" s="111"/>
      <c r="EF5194"/>
      <c r="EG5194"/>
      <c r="EH5194"/>
      <c r="EI5194"/>
      <c r="EJ5194"/>
      <c r="EK5194"/>
    </row>
    <row r="5195" spans="1:141" s="116" customFormat="1">
      <c r="A5195" s="136"/>
      <c r="CM5195" s="111"/>
      <c r="CQ5195" s="111"/>
      <c r="EF5195"/>
      <c r="EG5195"/>
      <c r="EH5195"/>
      <c r="EI5195"/>
      <c r="EJ5195"/>
      <c r="EK5195"/>
    </row>
    <row r="5196" spans="1:141" s="116" customFormat="1">
      <c r="A5196" s="136"/>
      <c r="CM5196" s="111"/>
      <c r="CQ5196" s="111"/>
      <c r="EF5196"/>
      <c r="EG5196"/>
      <c r="EH5196"/>
      <c r="EI5196"/>
      <c r="EJ5196"/>
      <c r="EK5196"/>
    </row>
    <row r="5197" spans="1:141" s="116" customFormat="1">
      <c r="A5197" s="136"/>
      <c r="CM5197" s="111"/>
      <c r="CQ5197" s="111"/>
      <c r="EF5197"/>
      <c r="EG5197"/>
      <c r="EH5197"/>
      <c r="EI5197"/>
      <c r="EJ5197"/>
      <c r="EK5197"/>
    </row>
    <row r="5198" spans="1:141" s="116" customFormat="1">
      <c r="A5198" s="136"/>
      <c r="CM5198" s="111"/>
      <c r="CQ5198" s="111"/>
      <c r="EF5198"/>
      <c r="EG5198"/>
      <c r="EH5198"/>
      <c r="EI5198"/>
      <c r="EJ5198"/>
      <c r="EK5198"/>
    </row>
    <row r="5199" spans="1:141" s="116" customFormat="1">
      <c r="A5199" s="136"/>
      <c r="CM5199" s="111"/>
      <c r="CQ5199" s="111"/>
      <c r="EF5199"/>
      <c r="EG5199"/>
      <c r="EH5199"/>
      <c r="EI5199"/>
      <c r="EJ5199"/>
      <c r="EK5199"/>
    </row>
    <row r="5200" spans="1:141" s="116" customFormat="1">
      <c r="A5200" s="136"/>
      <c r="CM5200" s="111"/>
      <c r="CQ5200" s="111"/>
      <c r="EF5200"/>
      <c r="EG5200"/>
      <c r="EH5200"/>
      <c r="EI5200"/>
      <c r="EJ5200"/>
      <c r="EK5200"/>
    </row>
    <row r="5201" spans="1:141" s="116" customFormat="1">
      <c r="A5201" s="136"/>
      <c r="CM5201" s="111"/>
      <c r="CQ5201" s="111"/>
      <c r="EF5201"/>
      <c r="EG5201"/>
      <c r="EH5201"/>
      <c r="EI5201"/>
      <c r="EJ5201"/>
      <c r="EK5201"/>
    </row>
    <row r="5202" spans="1:141" s="116" customFormat="1">
      <c r="A5202" s="136"/>
      <c r="CM5202" s="111"/>
      <c r="CQ5202" s="111"/>
      <c r="EF5202"/>
      <c r="EG5202"/>
      <c r="EH5202"/>
      <c r="EI5202"/>
      <c r="EJ5202"/>
      <c r="EK5202"/>
    </row>
    <row r="5203" spans="1:141" s="116" customFormat="1">
      <c r="A5203" s="136"/>
      <c r="CM5203" s="111"/>
      <c r="CQ5203" s="111"/>
      <c r="EF5203"/>
      <c r="EG5203"/>
      <c r="EH5203"/>
      <c r="EI5203"/>
      <c r="EJ5203"/>
      <c r="EK5203"/>
    </row>
    <row r="5204" spans="1:141" s="116" customFormat="1">
      <c r="A5204" s="136"/>
      <c r="CM5204" s="111"/>
      <c r="CQ5204" s="111"/>
      <c r="EF5204"/>
      <c r="EG5204"/>
      <c r="EH5204"/>
      <c r="EI5204"/>
      <c r="EJ5204"/>
      <c r="EK5204"/>
    </row>
    <row r="5205" spans="1:141" s="116" customFormat="1">
      <c r="A5205" s="136"/>
      <c r="CM5205" s="111"/>
      <c r="CQ5205" s="111"/>
      <c r="EF5205"/>
      <c r="EG5205"/>
      <c r="EH5205"/>
      <c r="EI5205"/>
      <c r="EJ5205"/>
      <c r="EK5205"/>
    </row>
    <row r="5206" spans="1:141" s="116" customFormat="1">
      <c r="A5206" s="136"/>
      <c r="CM5206" s="111"/>
      <c r="CQ5206" s="111"/>
      <c r="EF5206"/>
      <c r="EG5206"/>
      <c r="EH5206"/>
      <c r="EI5206"/>
      <c r="EJ5206"/>
      <c r="EK5206"/>
    </row>
    <row r="5207" spans="1:141" s="116" customFormat="1">
      <c r="A5207" s="136"/>
      <c r="CM5207" s="111"/>
      <c r="CQ5207" s="111"/>
      <c r="EF5207"/>
      <c r="EG5207"/>
      <c r="EH5207"/>
      <c r="EI5207"/>
      <c r="EJ5207"/>
      <c r="EK5207"/>
    </row>
    <row r="5208" spans="1:141" s="116" customFormat="1">
      <c r="A5208" s="136"/>
      <c r="CM5208" s="111"/>
      <c r="CQ5208" s="111"/>
      <c r="EF5208"/>
      <c r="EG5208"/>
      <c r="EH5208"/>
      <c r="EI5208"/>
      <c r="EJ5208"/>
      <c r="EK5208"/>
    </row>
    <row r="5209" spans="1:141" s="116" customFormat="1">
      <c r="A5209" s="136"/>
      <c r="CM5209" s="111"/>
      <c r="CQ5209" s="111"/>
      <c r="EF5209"/>
      <c r="EG5209"/>
      <c r="EH5209"/>
      <c r="EI5209"/>
      <c r="EJ5209"/>
      <c r="EK5209"/>
    </row>
    <row r="5210" spans="1:141" s="116" customFormat="1">
      <c r="A5210" s="136"/>
      <c r="CM5210" s="111"/>
      <c r="CQ5210" s="111"/>
      <c r="EF5210"/>
      <c r="EG5210"/>
      <c r="EH5210"/>
      <c r="EI5210"/>
      <c r="EJ5210"/>
      <c r="EK5210"/>
    </row>
    <row r="5211" spans="1:141" s="116" customFormat="1">
      <c r="A5211" s="136"/>
      <c r="CM5211" s="111"/>
      <c r="CQ5211" s="111"/>
      <c r="EF5211"/>
      <c r="EG5211"/>
      <c r="EH5211"/>
      <c r="EI5211"/>
      <c r="EJ5211"/>
      <c r="EK5211"/>
    </row>
    <row r="5212" spans="1:141" s="116" customFormat="1">
      <c r="A5212" s="136"/>
      <c r="CM5212" s="111"/>
      <c r="CQ5212" s="111"/>
      <c r="EF5212"/>
      <c r="EG5212"/>
      <c r="EH5212"/>
      <c r="EI5212"/>
      <c r="EJ5212"/>
      <c r="EK5212"/>
    </row>
    <row r="5213" spans="1:141" s="116" customFormat="1">
      <c r="A5213" s="136"/>
      <c r="CM5213" s="111"/>
      <c r="CQ5213" s="111"/>
      <c r="EF5213"/>
      <c r="EG5213"/>
      <c r="EH5213"/>
      <c r="EI5213"/>
      <c r="EJ5213"/>
      <c r="EK5213"/>
    </row>
    <row r="5214" spans="1:141" s="116" customFormat="1">
      <c r="A5214" s="136"/>
      <c r="CM5214" s="111"/>
      <c r="CQ5214" s="111"/>
      <c r="EF5214"/>
      <c r="EG5214"/>
      <c r="EH5214"/>
      <c r="EI5214"/>
      <c r="EJ5214"/>
      <c r="EK5214"/>
    </row>
    <row r="5215" spans="1:141" s="116" customFormat="1">
      <c r="A5215" s="136"/>
      <c r="CM5215" s="111"/>
      <c r="CQ5215" s="111"/>
      <c r="EF5215"/>
      <c r="EG5215"/>
      <c r="EH5215"/>
      <c r="EI5215"/>
      <c r="EJ5215"/>
      <c r="EK5215"/>
    </row>
    <row r="5216" spans="1:141" s="116" customFormat="1">
      <c r="A5216" s="136"/>
      <c r="CM5216" s="111"/>
      <c r="CQ5216" s="111"/>
      <c r="EF5216"/>
      <c r="EG5216"/>
      <c r="EH5216"/>
      <c r="EI5216"/>
      <c r="EJ5216"/>
      <c r="EK5216"/>
    </row>
    <row r="5217" spans="1:141" s="116" customFormat="1">
      <c r="A5217" s="136"/>
      <c r="CM5217" s="111"/>
      <c r="CQ5217" s="111"/>
      <c r="EF5217"/>
      <c r="EG5217"/>
      <c r="EH5217"/>
      <c r="EI5217"/>
      <c r="EJ5217"/>
      <c r="EK5217"/>
    </row>
    <row r="5218" spans="1:141" s="116" customFormat="1">
      <c r="A5218" s="136"/>
      <c r="CM5218" s="111"/>
      <c r="CQ5218" s="111"/>
      <c r="EF5218"/>
      <c r="EG5218"/>
      <c r="EH5218"/>
      <c r="EI5218"/>
      <c r="EJ5218"/>
      <c r="EK5218"/>
    </row>
    <row r="5219" spans="1:141" s="116" customFormat="1">
      <c r="A5219" s="136"/>
      <c r="CM5219" s="111"/>
      <c r="CQ5219" s="111"/>
      <c r="EF5219"/>
      <c r="EG5219"/>
      <c r="EH5219"/>
      <c r="EI5219"/>
      <c r="EJ5219"/>
      <c r="EK5219"/>
    </row>
    <row r="5220" spans="1:141" s="116" customFormat="1">
      <c r="A5220" s="136"/>
      <c r="CM5220" s="111"/>
      <c r="CQ5220" s="111"/>
      <c r="EF5220"/>
      <c r="EG5220"/>
      <c r="EH5220"/>
      <c r="EI5220"/>
      <c r="EJ5220"/>
      <c r="EK5220"/>
    </row>
    <row r="5221" spans="1:141" s="116" customFormat="1">
      <c r="A5221" s="136"/>
      <c r="CM5221" s="111"/>
      <c r="CQ5221" s="111"/>
      <c r="EF5221"/>
      <c r="EG5221"/>
      <c r="EH5221"/>
      <c r="EI5221"/>
      <c r="EJ5221"/>
      <c r="EK5221"/>
    </row>
    <row r="5222" spans="1:141" s="116" customFormat="1">
      <c r="A5222" s="136"/>
      <c r="CM5222" s="111"/>
      <c r="CQ5222" s="111"/>
      <c r="EF5222"/>
      <c r="EG5222"/>
      <c r="EH5222"/>
      <c r="EI5222"/>
      <c r="EJ5222"/>
      <c r="EK5222"/>
    </row>
    <row r="5223" spans="1:141" s="116" customFormat="1">
      <c r="A5223" s="136"/>
      <c r="CM5223" s="111"/>
      <c r="CQ5223" s="111"/>
      <c r="EF5223"/>
      <c r="EG5223"/>
      <c r="EH5223"/>
      <c r="EI5223"/>
      <c r="EJ5223"/>
      <c r="EK5223"/>
    </row>
    <row r="5224" spans="1:141" s="116" customFormat="1">
      <c r="A5224" s="136"/>
      <c r="CM5224" s="111"/>
      <c r="CQ5224" s="111"/>
      <c r="EF5224"/>
      <c r="EG5224"/>
      <c r="EH5224"/>
      <c r="EI5224"/>
      <c r="EJ5224"/>
      <c r="EK5224"/>
    </row>
    <row r="5225" spans="1:141" s="116" customFormat="1">
      <c r="A5225" s="136"/>
      <c r="CM5225" s="111"/>
      <c r="CQ5225" s="111"/>
      <c r="EF5225"/>
      <c r="EG5225"/>
      <c r="EH5225"/>
      <c r="EI5225"/>
      <c r="EJ5225"/>
      <c r="EK5225"/>
    </row>
    <row r="5226" spans="1:141" s="116" customFormat="1">
      <c r="A5226" s="136"/>
      <c r="CM5226" s="111"/>
      <c r="CQ5226" s="111"/>
      <c r="EF5226"/>
      <c r="EG5226"/>
      <c r="EH5226"/>
      <c r="EI5226"/>
      <c r="EJ5226"/>
      <c r="EK5226"/>
    </row>
    <row r="5227" spans="1:141" s="116" customFormat="1">
      <c r="A5227" s="136"/>
      <c r="CM5227" s="111"/>
      <c r="CQ5227" s="111"/>
      <c r="EF5227"/>
      <c r="EG5227"/>
      <c r="EH5227"/>
      <c r="EI5227"/>
      <c r="EJ5227"/>
      <c r="EK5227"/>
    </row>
    <row r="5228" spans="1:141" s="116" customFormat="1">
      <c r="A5228" s="136"/>
      <c r="CM5228" s="111"/>
      <c r="CQ5228" s="111"/>
      <c r="EF5228"/>
      <c r="EG5228"/>
      <c r="EH5228"/>
      <c r="EI5228"/>
      <c r="EJ5228"/>
      <c r="EK5228"/>
    </row>
    <row r="5229" spans="1:141" s="116" customFormat="1">
      <c r="A5229" s="136"/>
      <c r="CM5229" s="111"/>
      <c r="CQ5229" s="111"/>
      <c r="EF5229"/>
      <c r="EG5229"/>
      <c r="EH5229"/>
      <c r="EI5229"/>
      <c r="EJ5229"/>
      <c r="EK5229"/>
    </row>
    <row r="5230" spans="1:141" s="116" customFormat="1">
      <c r="A5230" s="136"/>
      <c r="CM5230" s="111"/>
      <c r="CQ5230" s="111"/>
      <c r="EF5230"/>
      <c r="EG5230"/>
      <c r="EH5230"/>
      <c r="EI5230"/>
      <c r="EJ5230"/>
      <c r="EK5230"/>
    </row>
    <row r="5231" spans="1:141" s="116" customFormat="1">
      <c r="A5231" s="136"/>
      <c r="CM5231" s="111"/>
      <c r="CQ5231" s="111"/>
      <c r="EF5231"/>
      <c r="EG5231"/>
      <c r="EH5231"/>
      <c r="EI5231"/>
      <c r="EJ5231"/>
      <c r="EK5231"/>
    </row>
    <row r="5232" spans="1:141" s="116" customFormat="1">
      <c r="A5232" s="136"/>
      <c r="CM5232" s="111"/>
      <c r="CQ5232" s="111"/>
      <c r="EF5232"/>
      <c r="EG5232"/>
      <c r="EH5232"/>
      <c r="EI5232"/>
      <c r="EJ5232"/>
      <c r="EK5232"/>
    </row>
    <row r="5233" spans="1:141" s="116" customFormat="1">
      <c r="A5233" s="136"/>
      <c r="CM5233" s="111"/>
      <c r="CQ5233" s="111"/>
      <c r="EF5233"/>
      <c r="EG5233"/>
      <c r="EH5233"/>
      <c r="EI5233"/>
      <c r="EJ5233"/>
      <c r="EK5233"/>
    </row>
    <row r="5234" spans="1:141" s="116" customFormat="1">
      <c r="A5234" s="136"/>
      <c r="CM5234" s="111"/>
      <c r="CQ5234" s="111"/>
      <c r="EF5234"/>
      <c r="EG5234"/>
      <c r="EH5234"/>
      <c r="EI5234"/>
      <c r="EJ5234"/>
      <c r="EK5234"/>
    </row>
    <row r="5235" spans="1:141" s="116" customFormat="1">
      <c r="A5235" s="136"/>
      <c r="CM5235" s="111"/>
      <c r="CQ5235" s="111"/>
      <c r="EF5235"/>
      <c r="EG5235"/>
      <c r="EH5235"/>
      <c r="EI5235"/>
      <c r="EJ5235"/>
      <c r="EK5235"/>
    </row>
    <row r="5236" spans="1:141" s="116" customFormat="1">
      <c r="A5236" s="136"/>
      <c r="CM5236" s="111"/>
      <c r="CQ5236" s="111"/>
      <c r="EF5236"/>
      <c r="EG5236"/>
      <c r="EH5236"/>
      <c r="EI5236"/>
      <c r="EJ5236"/>
      <c r="EK5236"/>
    </row>
    <row r="5237" spans="1:141" s="116" customFormat="1">
      <c r="A5237" s="136"/>
      <c r="CM5237" s="111"/>
      <c r="CQ5237" s="111"/>
      <c r="EF5237"/>
      <c r="EG5237"/>
      <c r="EH5237"/>
      <c r="EI5237"/>
      <c r="EJ5237"/>
      <c r="EK5237"/>
    </row>
    <row r="5238" spans="1:141" s="116" customFormat="1">
      <c r="A5238" s="136"/>
      <c r="CM5238" s="111"/>
      <c r="CQ5238" s="111"/>
      <c r="EF5238"/>
      <c r="EG5238"/>
      <c r="EH5238"/>
      <c r="EI5238"/>
      <c r="EJ5238"/>
      <c r="EK5238"/>
    </row>
    <row r="5239" spans="1:141" s="116" customFormat="1">
      <c r="A5239" s="136"/>
      <c r="CM5239" s="111"/>
      <c r="CQ5239" s="111"/>
      <c r="EF5239"/>
      <c r="EG5239"/>
      <c r="EH5239"/>
      <c r="EI5239"/>
      <c r="EJ5239"/>
      <c r="EK5239"/>
    </row>
    <row r="5240" spans="1:141" s="116" customFormat="1">
      <c r="A5240" s="136"/>
      <c r="CM5240" s="111"/>
      <c r="CQ5240" s="111"/>
      <c r="EF5240"/>
      <c r="EG5240"/>
      <c r="EH5240"/>
      <c r="EI5240"/>
      <c r="EJ5240"/>
      <c r="EK5240"/>
    </row>
    <row r="5241" spans="1:141" s="116" customFormat="1">
      <c r="A5241" s="136"/>
      <c r="CM5241" s="111"/>
      <c r="CQ5241" s="111"/>
      <c r="EF5241"/>
      <c r="EG5241"/>
      <c r="EH5241"/>
      <c r="EI5241"/>
      <c r="EJ5241"/>
      <c r="EK5241"/>
    </row>
    <row r="5242" spans="1:141" s="116" customFormat="1">
      <c r="A5242" s="136"/>
      <c r="CM5242" s="111"/>
      <c r="CQ5242" s="111"/>
      <c r="EF5242"/>
      <c r="EG5242"/>
      <c r="EH5242"/>
      <c r="EI5242"/>
      <c r="EJ5242"/>
      <c r="EK5242"/>
    </row>
    <row r="5243" spans="1:141" s="116" customFormat="1">
      <c r="A5243" s="136"/>
      <c r="CM5243" s="111"/>
      <c r="CQ5243" s="111"/>
      <c r="EF5243"/>
      <c r="EG5243"/>
      <c r="EH5243"/>
      <c r="EI5243"/>
      <c r="EJ5243"/>
      <c r="EK5243"/>
    </row>
    <row r="5244" spans="1:141" s="116" customFormat="1">
      <c r="A5244" s="136"/>
      <c r="CM5244" s="111"/>
      <c r="CQ5244" s="111"/>
      <c r="EF5244"/>
      <c r="EG5244"/>
      <c r="EH5244"/>
      <c r="EI5244"/>
      <c r="EJ5244"/>
      <c r="EK5244"/>
    </row>
    <row r="5245" spans="1:141" s="116" customFormat="1">
      <c r="A5245" s="136"/>
      <c r="CM5245" s="111"/>
      <c r="CQ5245" s="111"/>
      <c r="EF5245"/>
      <c r="EG5245"/>
      <c r="EH5245"/>
      <c r="EI5245"/>
      <c r="EJ5245"/>
      <c r="EK5245"/>
    </row>
    <row r="5246" spans="1:141" s="116" customFormat="1">
      <c r="A5246" s="136"/>
      <c r="CM5246" s="111"/>
      <c r="CQ5246" s="111"/>
      <c r="EF5246"/>
      <c r="EG5246"/>
      <c r="EH5246"/>
      <c r="EI5246"/>
      <c r="EJ5246"/>
      <c r="EK5246"/>
    </row>
    <row r="5247" spans="1:141" s="116" customFormat="1">
      <c r="A5247" s="136"/>
      <c r="CM5247" s="111"/>
      <c r="CQ5247" s="111"/>
      <c r="EF5247"/>
      <c r="EG5247"/>
      <c r="EH5247"/>
      <c r="EI5247"/>
      <c r="EJ5247"/>
      <c r="EK5247"/>
    </row>
    <row r="5248" spans="1:141" s="116" customFormat="1">
      <c r="A5248" s="136"/>
      <c r="CM5248" s="111"/>
      <c r="CQ5248" s="111"/>
      <c r="EF5248"/>
      <c r="EG5248"/>
      <c r="EH5248"/>
      <c r="EI5248"/>
      <c r="EJ5248"/>
      <c r="EK5248"/>
    </row>
    <row r="5249" spans="1:141" s="116" customFormat="1">
      <c r="A5249" s="136"/>
      <c r="CM5249" s="111"/>
      <c r="CQ5249" s="111"/>
      <c r="EF5249"/>
      <c r="EG5249"/>
      <c r="EH5249"/>
      <c r="EI5249"/>
      <c r="EJ5249"/>
      <c r="EK5249"/>
    </row>
    <row r="5250" spans="1:141" s="116" customFormat="1">
      <c r="A5250" s="136"/>
      <c r="CM5250" s="111"/>
      <c r="CQ5250" s="111"/>
      <c r="EF5250"/>
      <c r="EG5250"/>
      <c r="EH5250"/>
      <c r="EI5250"/>
      <c r="EJ5250"/>
      <c r="EK5250"/>
    </row>
    <row r="5251" spans="1:141" s="116" customFormat="1">
      <c r="A5251" s="136"/>
      <c r="CM5251" s="111"/>
      <c r="CQ5251" s="111"/>
      <c r="EF5251"/>
      <c r="EG5251"/>
      <c r="EH5251"/>
      <c r="EI5251"/>
      <c r="EJ5251"/>
      <c r="EK5251"/>
    </row>
    <row r="5252" spans="1:141" s="116" customFormat="1">
      <c r="A5252" s="136"/>
      <c r="CM5252" s="111"/>
      <c r="CQ5252" s="111"/>
      <c r="EF5252"/>
      <c r="EG5252"/>
      <c r="EH5252"/>
      <c r="EI5252"/>
      <c r="EJ5252"/>
      <c r="EK5252"/>
    </row>
    <row r="5253" spans="1:141" s="116" customFormat="1">
      <c r="A5253" s="136"/>
      <c r="CM5253" s="111"/>
      <c r="CQ5253" s="111"/>
      <c r="EF5253"/>
      <c r="EG5253"/>
      <c r="EH5253"/>
      <c r="EI5253"/>
      <c r="EJ5253"/>
      <c r="EK5253"/>
    </row>
    <row r="5254" spans="1:141" s="116" customFormat="1">
      <c r="A5254" s="136"/>
      <c r="CM5254" s="111"/>
      <c r="CQ5254" s="111"/>
      <c r="EF5254"/>
      <c r="EG5254"/>
      <c r="EH5254"/>
      <c r="EI5254"/>
      <c r="EJ5254"/>
      <c r="EK5254"/>
    </row>
    <row r="5255" spans="1:141" s="116" customFormat="1">
      <c r="A5255" s="136"/>
      <c r="CM5255" s="111"/>
      <c r="CQ5255" s="111"/>
      <c r="EF5255"/>
      <c r="EG5255"/>
      <c r="EH5255"/>
      <c r="EI5255"/>
      <c r="EJ5255"/>
      <c r="EK5255"/>
    </row>
    <row r="5256" spans="1:141" s="116" customFormat="1">
      <c r="A5256" s="136"/>
      <c r="CM5256" s="111"/>
      <c r="CQ5256" s="111"/>
      <c r="EF5256"/>
      <c r="EG5256"/>
      <c r="EH5256"/>
      <c r="EI5256"/>
      <c r="EJ5256"/>
      <c r="EK5256"/>
    </row>
    <row r="5257" spans="1:141" s="116" customFormat="1">
      <c r="A5257" s="136"/>
      <c r="CM5257" s="111"/>
      <c r="CQ5257" s="111"/>
      <c r="EF5257"/>
      <c r="EG5257"/>
      <c r="EH5257"/>
      <c r="EI5257"/>
      <c r="EJ5257"/>
      <c r="EK5257"/>
    </row>
    <row r="5258" spans="1:141" s="116" customFormat="1">
      <c r="A5258" s="136"/>
      <c r="CM5258" s="111"/>
      <c r="CQ5258" s="111"/>
      <c r="EF5258"/>
      <c r="EG5258"/>
      <c r="EH5258"/>
      <c r="EI5258"/>
      <c r="EJ5258"/>
      <c r="EK5258"/>
    </row>
    <row r="5259" spans="1:141" s="116" customFormat="1">
      <c r="A5259" s="136"/>
      <c r="CM5259" s="111"/>
      <c r="CQ5259" s="111"/>
      <c r="EF5259"/>
      <c r="EG5259"/>
      <c r="EH5259"/>
      <c r="EI5259"/>
      <c r="EJ5259"/>
      <c r="EK5259"/>
    </row>
    <row r="5260" spans="1:141" s="116" customFormat="1">
      <c r="A5260" s="136"/>
      <c r="CM5260" s="111"/>
      <c r="CQ5260" s="111"/>
      <c r="EF5260"/>
      <c r="EG5260"/>
      <c r="EH5260"/>
      <c r="EI5260"/>
      <c r="EJ5260"/>
      <c r="EK5260"/>
    </row>
    <row r="5261" spans="1:141" s="116" customFormat="1">
      <c r="A5261" s="136"/>
      <c r="CM5261" s="111"/>
      <c r="CQ5261" s="111"/>
      <c r="EF5261"/>
      <c r="EG5261"/>
      <c r="EH5261"/>
      <c r="EI5261"/>
      <c r="EJ5261"/>
      <c r="EK5261"/>
    </row>
    <row r="5262" spans="1:141" s="116" customFormat="1">
      <c r="A5262" s="136"/>
      <c r="CM5262" s="111"/>
      <c r="CQ5262" s="111"/>
      <c r="EF5262"/>
      <c r="EG5262"/>
      <c r="EH5262"/>
      <c r="EI5262"/>
      <c r="EJ5262"/>
      <c r="EK5262"/>
    </row>
    <row r="5263" spans="1:141" s="116" customFormat="1">
      <c r="A5263" s="136"/>
      <c r="CM5263" s="111"/>
      <c r="CQ5263" s="111"/>
      <c r="EF5263"/>
      <c r="EG5263"/>
      <c r="EH5263"/>
      <c r="EI5263"/>
      <c r="EJ5263"/>
      <c r="EK5263"/>
    </row>
    <row r="5264" spans="1:141" s="116" customFormat="1">
      <c r="A5264" s="136"/>
      <c r="CM5264" s="111"/>
      <c r="CQ5264" s="111"/>
      <c r="EF5264"/>
      <c r="EG5264"/>
      <c r="EH5264"/>
      <c r="EI5264"/>
      <c r="EJ5264"/>
      <c r="EK5264"/>
    </row>
    <row r="5265" spans="1:141" s="116" customFormat="1">
      <c r="A5265" s="136"/>
      <c r="CM5265" s="111"/>
      <c r="CQ5265" s="111"/>
      <c r="EF5265"/>
      <c r="EG5265"/>
      <c r="EH5265"/>
      <c r="EI5265"/>
      <c r="EJ5265"/>
      <c r="EK5265"/>
    </row>
    <row r="5266" spans="1:141" s="116" customFormat="1">
      <c r="A5266" s="136"/>
      <c r="CM5266" s="111"/>
      <c r="CQ5266" s="111"/>
      <c r="EF5266"/>
      <c r="EG5266"/>
      <c r="EH5266"/>
      <c r="EI5266"/>
      <c r="EJ5266"/>
      <c r="EK5266"/>
    </row>
    <row r="5267" spans="1:141" s="116" customFormat="1">
      <c r="A5267" s="136"/>
      <c r="CM5267" s="111"/>
      <c r="CQ5267" s="111"/>
      <c r="EF5267"/>
      <c r="EG5267"/>
      <c r="EH5267"/>
      <c r="EI5267"/>
      <c r="EJ5267"/>
      <c r="EK5267"/>
    </row>
    <row r="5268" spans="1:141" s="116" customFormat="1">
      <c r="A5268" s="136"/>
      <c r="CM5268" s="111"/>
      <c r="CQ5268" s="111"/>
      <c r="EF5268"/>
      <c r="EG5268"/>
      <c r="EH5268"/>
      <c r="EI5268"/>
      <c r="EJ5268"/>
      <c r="EK5268"/>
    </row>
    <row r="5269" spans="1:141" s="116" customFormat="1">
      <c r="A5269" s="136"/>
      <c r="CM5269" s="111"/>
      <c r="CQ5269" s="111"/>
      <c r="EF5269"/>
      <c r="EG5269"/>
      <c r="EH5269"/>
      <c r="EI5269"/>
      <c r="EJ5269"/>
      <c r="EK5269"/>
    </row>
    <row r="5270" spans="1:141" s="116" customFormat="1">
      <c r="A5270" s="136"/>
      <c r="CM5270" s="111"/>
      <c r="CQ5270" s="111"/>
      <c r="EF5270"/>
      <c r="EG5270"/>
      <c r="EH5270"/>
      <c r="EI5270"/>
      <c r="EJ5270"/>
      <c r="EK5270"/>
    </row>
    <row r="5271" spans="1:141" s="116" customFormat="1">
      <c r="A5271" s="136"/>
      <c r="CM5271" s="111"/>
      <c r="CQ5271" s="111"/>
      <c r="EF5271"/>
      <c r="EG5271"/>
      <c r="EH5271"/>
      <c r="EI5271"/>
      <c r="EJ5271"/>
      <c r="EK5271"/>
    </row>
    <row r="5272" spans="1:141" s="116" customFormat="1">
      <c r="A5272" s="136"/>
      <c r="CM5272" s="111"/>
      <c r="CQ5272" s="111"/>
      <c r="EF5272"/>
      <c r="EG5272"/>
      <c r="EH5272"/>
      <c r="EI5272"/>
      <c r="EJ5272"/>
      <c r="EK5272"/>
    </row>
    <row r="5273" spans="1:141" s="116" customFormat="1">
      <c r="A5273" s="136"/>
      <c r="CM5273" s="111"/>
      <c r="CQ5273" s="111"/>
      <c r="EF5273"/>
      <c r="EG5273"/>
      <c r="EH5273"/>
      <c r="EI5273"/>
      <c r="EJ5273"/>
      <c r="EK5273"/>
    </row>
    <row r="5274" spans="1:141" s="116" customFormat="1">
      <c r="A5274" s="136"/>
      <c r="CM5274" s="111"/>
      <c r="CQ5274" s="111"/>
      <c r="EF5274"/>
      <c r="EG5274"/>
      <c r="EH5274"/>
      <c r="EI5274"/>
      <c r="EJ5274"/>
      <c r="EK5274"/>
    </row>
    <row r="5275" spans="1:141" s="116" customFormat="1">
      <c r="A5275" s="136"/>
      <c r="CM5275" s="111"/>
      <c r="CQ5275" s="111"/>
      <c r="EF5275"/>
      <c r="EG5275"/>
      <c r="EH5275"/>
      <c r="EI5275"/>
      <c r="EJ5275"/>
      <c r="EK5275"/>
    </row>
    <row r="5276" spans="1:141" s="116" customFormat="1">
      <c r="A5276" s="136"/>
      <c r="CM5276" s="111"/>
      <c r="CQ5276" s="111"/>
      <c r="EF5276"/>
      <c r="EG5276"/>
      <c r="EH5276"/>
      <c r="EI5276"/>
      <c r="EJ5276"/>
      <c r="EK5276"/>
    </row>
    <row r="5277" spans="1:141" s="116" customFormat="1">
      <c r="A5277" s="136"/>
      <c r="CM5277" s="111"/>
      <c r="CQ5277" s="111"/>
      <c r="EF5277"/>
      <c r="EG5277"/>
      <c r="EH5277"/>
      <c r="EI5277"/>
      <c r="EJ5277"/>
      <c r="EK5277"/>
    </row>
    <row r="5278" spans="1:141" s="116" customFormat="1">
      <c r="A5278" s="136"/>
      <c r="CM5278" s="111"/>
      <c r="CQ5278" s="111"/>
      <c r="EF5278"/>
      <c r="EG5278"/>
      <c r="EH5278"/>
      <c r="EI5278"/>
      <c r="EJ5278"/>
      <c r="EK5278"/>
    </row>
    <row r="5279" spans="1:141" s="116" customFormat="1">
      <c r="A5279" s="136"/>
      <c r="CM5279" s="111"/>
      <c r="CQ5279" s="111"/>
      <c r="EF5279"/>
      <c r="EG5279"/>
      <c r="EH5279"/>
      <c r="EI5279"/>
      <c r="EJ5279"/>
      <c r="EK5279"/>
    </row>
    <row r="5280" spans="1:141" s="116" customFormat="1">
      <c r="A5280" s="136"/>
      <c r="CM5280" s="111"/>
      <c r="CQ5280" s="111"/>
      <c r="EF5280"/>
      <c r="EG5280"/>
      <c r="EH5280"/>
      <c r="EI5280"/>
      <c r="EJ5280"/>
      <c r="EK5280"/>
    </row>
    <row r="5281" spans="1:141" s="116" customFormat="1">
      <c r="A5281" s="136"/>
      <c r="CM5281" s="111"/>
      <c r="CQ5281" s="111"/>
      <c r="EF5281"/>
      <c r="EG5281"/>
      <c r="EH5281"/>
      <c r="EI5281"/>
      <c r="EJ5281"/>
      <c r="EK5281"/>
    </row>
    <row r="5282" spans="1:141" s="116" customFormat="1">
      <c r="A5282" s="136"/>
      <c r="CM5282" s="111"/>
      <c r="CQ5282" s="111"/>
      <c r="EF5282"/>
      <c r="EG5282"/>
      <c r="EH5282"/>
      <c r="EI5282"/>
      <c r="EJ5282"/>
      <c r="EK5282"/>
    </row>
    <row r="5283" spans="1:141" s="116" customFormat="1">
      <c r="A5283" s="136"/>
      <c r="CM5283" s="111"/>
      <c r="CQ5283" s="111"/>
      <c r="EF5283"/>
      <c r="EG5283"/>
      <c r="EH5283"/>
      <c r="EI5283"/>
      <c r="EJ5283"/>
      <c r="EK5283"/>
    </row>
    <row r="5284" spans="1:141" s="116" customFormat="1">
      <c r="A5284" s="136"/>
      <c r="CM5284" s="111"/>
      <c r="CQ5284" s="111"/>
      <c r="EF5284"/>
      <c r="EG5284"/>
      <c r="EH5284"/>
      <c r="EI5284"/>
      <c r="EJ5284"/>
      <c r="EK5284"/>
    </row>
    <row r="5285" spans="1:141" s="116" customFormat="1">
      <c r="A5285" s="136"/>
      <c r="CM5285" s="111"/>
      <c r="CQ5285" s="111"/>
      <c r="EF5285"/>
      <c r="EG5285"/>
      <c r="EH5285"/>
      <c r="EI5285"/>
      <c r="EJ5285"/>
      <c r="EK5285"/>
    </row>
    <row r="5286" spans="1:141" s="116" customFormat="1">
      <c r="A5286" s="136"/>
      <c r="CM5286" s="111"/>
      <c r="CQ5286" s="111"/>
      <c r="EF5286"/>
      <c r="EG5286"/>
      <c r="EH5286"/>
      <c r="EI5286"/>
      <c r="EJ5286"/>
      <c r="EK5286"/>
    </row>
    <row r="5287" spans="1:141" s="116" customFormat="1">
      <c r="A5287" s="136"/>
      <c r="CM5287" s="111"/>
      <c r="CQ5287" s="111"/>
      <c r="EF5287"/>
      <c r="EG5287"/>
      <c r="EH5287"/>
      <c r="EI5287"/>
      <c r="EJ5287"/>
      <c r="EK5287"/>
    </row>
    <row r="5288" spans="1:141" s="116" customFormat="1">
      <c r="A5288" s="136"/>
      <c r="CM5288" s="111"/>
      <c r="CQ5288" s="111"/>
      <c r="EF5288"/>
      <c r="EG5288"/>
      <c r="EH5288"/>
      <c r="EI5288"/>
      <c r="EJ5288"/>
      <c r="EK5288"/>
    </row>
    <row r="5289" spans="1:141" s="116" customFormat="1">
      <c r="A5289" s="136"/>
      <c r="CM5289" s="111"/>
      <c r="CQ5289" s="111"/>
      <c r="EF5289"/>
      <c r="EG5289"/>
      <c r="EH5289"/>
      <c r="EI5289"/>
      <c r="EJ5289"/>
      <c r="EK5289"/>
    </row>
    <row r="5290" spans="1:141" s="116" customFormat="1">
      <c r="A5290" s="136"/>
      <c r="CM5290" s="111"/>
      <c r="CQ5290" s="111"/>
      <c r="EF5290"/>
      <c r="EG5290"/>
      <c r="EH5290"/>
      <c r="EI5290"/>
      <c r="EJ5290"/>
      <c r="EK5290"/>
    </row>
    <row r="5291" spans="1:141" s="116" customFormat="1">
      <c r="A5291" s="136"/>
      <c r="CM5291" s="111"/>
      <c r="CQ5291" s="111"/>
      <c r="EF5291"/>
      <c r="EG5291"/>
      <c r="EH5291"/>
      <c r="EI5291"/>
      <c r="EJ5291"/>
      <c r="EK5291"/>
    </row>
    <row r="5292" spans="1:141" s="116" customFormat="1">
      <c r="A5292" s="136"/>
      <c r="CM5292" s="111"/>
      <c r="CQ5292" s="111"/>
      <c r="EF5292"/>
      <c r="EG5292"/>
      <c r="EH5292"/>
      <c r="EI5292"/>
      <c r="EJ5292"/>
      <c r="EK5292"/>
    </row>
    <row r="5293" spans="1:141" s="116" customFormat="1">
      <c r="A5293" s="136"/>
      <c r="CM5293" s="111"/>
      <c r="CQ5293" s="111"/>
      <c r="EF5293"/>
      <c r="EG5293"/>
      <c r="EH5293"/>
      <c r="EI5293"/>
      <c r="EJ5293"/>
      <c r="EK5293"/>
    </row>
    <row r="5294" spans="1:141" s="116" customFormat="1">
      <c r="A5294" s="136"/>
      <c r="CM5294" s="111"/>
      <c r="CQ5294" s="111"/>
      <c r="EF5294"/>
      <c r="EG5294"/>
      <c r="EH5294"/>
      <c r="EI5294"/>
      <c r="EJ5294"/>
      <c r="EK5294"/>
    </row>
    <row r="5295" spans="1:141" s="116" customFormat="1">
      <c r="A5295" s="136"/>
      <c r="CM5295" s="111"/>
      <c r="CQ5295" s="111"/>
      <c r="EF5295"/>
      <c r="EG5295"/>
      <c r="EH5295"/>
      <c r="EI5295"/>
      <c r="EJ5295"/>
      <c r="EK5295"/>
    </row>
    <row r="5296" spans="1:141" s="116" customFormat="1">
      <c r="A5296" s="136"/>
      <c r="CM5296" s="111"/>
      <c r="CQ5296" s="111"/>
      <c r="EF5296"/>
      <c r="EG5296"/>
      <c r="EH5296"/>
      <c r="EI5296"/>
      <c r="EJ5296"/>
      <c r="EK5296"/>
    </row>
    <row r="5297" spans="1:141" s="116" customFormat="1">
      <c r="A5297" s="136"/>
      <c r="CM5297" s="111"/>
      <c r="CQ5297" s="111"/>
      <c r="EF5297"/>
      <c r="EG5297"/>
      <c r="EH5297"/>
      <c r="EI5297"/>
      <c r="EJ5297"/>
      <c r="EK5297"/>
    </row>
    <row r="5298" spans="1:141" s="116" customFormat="1">
      <c r="A5298" s="136"/>
      <c r="CM5298" s="111"/>
      <c r="CQ5298" s="111"/>
      <c r="EF5298"/>
      <c r="EG5298"/>
      <c r="EH5298"/>
      <c r="EI5298"/>
      <c r="EJ5298"/>
      <c r="EK5298"/>
    </row>
    <row r="5299" spans="1:141" s="116" customFormat="1">
      <c r="A5299" s="136"/>
      <c r="CM5299" s="111"/>
      <c r="CQ5299" s="111"/>
      <c r="EF5299"/>
      <c r="EG5299"/>
      <c r="EH5299"/>
      <c r="EI5299"/>
      <c r="EJ5299"/>
      <c r="EK5299"/>
    </row>
    <row r="5300" spans="1:141" s="116" customFormat="1">
      <c r="A5300" s="136"/>
      <c r="CM5300" s="111"/>
      <c r="CQ5300" s="111"/>
      <c r="EF5300"/>
      <c r="EG5300"/>
      <c r="EH5300"/>
      <c r="EI5300"/>
      <c r="EJ5300"/>
      <c r="EK5300"/>
    </row>
    <row r="5301" spans="1:141" s="116" customFormat="1">
      <c r="A5301" s="136"/>
      <c r="CM5301" s="111"/>
      <c r="CQ5301" s="111"/>
      <c r="EF5301"/>
      <c r="EG5301"/>
      <c r="EH5301"/>
      <c r="EI5301"/>
      <c r="EJ5301"/>
      <c r="EK5301"/>
    </row>
    <row r="5302" spans="1:141" s="116" customFormat="1">
      <c r="A5302" s="136"/>
      <c r="CM5302" s="111"/>
      <c r="CQ5302" s="111"/>
      <c r="EF5302"/>
      <c r="EG5302"/>
      <c r="EH5302"/>
      <c r="EI5302"/>
      <c r="EJ5302"/>
      <c r="EK5302"/>
    </row>
    <row r="5303" spans="1:141" s="116" customFormat="1">
      <c r="A5303" s="136"/>
      <c r="CM5303" s="111"/>
      <c r="CQ5303" s="111"/>
      <c r="EF5303"/>
      <c r="EG5303"/>
      <c r="EH5303"/>
      <c r="EI5303"/>
      <c r="EJ5303"/>
      <c r="EK5303"/>
    </row>
    <row r="5304" spans="1:141" s="116" customFormat="1">
      <c r="A5304" s="136"/>
      <c r="CM5304" s="111"/>
      <c r="CQ5304" s="111"/>
      <c r="EF5304"/>
      <c r="EG5304"/>
      <c r="EH5304"/>
      <c r="EI5304"/>
      <c r="EJ5304"/>
      <c r="EK5304"/>
    </row>
    <row r="5305" spans="1:141" s="116" customFormat="1">
      <c r="A5305" s="136"/>
      <c r="CM5305" s="111"/>
      <c r="CQ5305" s="111"/>
      <c r="EF5305"/>
      <c r="EG5305"/>
      <c r="EH5305"/>
      <c r="EI5305"/>
      <c r="EJ5305"/>
      <c r="EK5305"/>
    </row>
    <row r="5306" spans="1:141" s="116" customFormat="1">
      <c r="A5306" s="136"/>
      <c r="CM5306" s="111"/>
      <c r="CQ5306" s="111"/>
      <c r="EF5306"/>
      <c r="EG5306"/>
      <c r="EH5306"/>
      <c r="EI5306"/>
      <c r="EJ5306"/>
      <c r="EK5306"/>
    </row>
    <row r="5307" spans="1:141" s="116" customFormat="1">
      <c r="A5307" s="136"/>
      <c r="CM5307" s="111"/>
      <c r="CQ5307" s="111"/>
      <c r="EF5307"/>
      <c r="EG5307"/>
      <c r="EH5307"/>
      <c r="EI5307"/>
      <c r="EJ5307"/>
      <c r="EK5307"/>
    </row>
    <row r="5308" spans="1:141" s="116" customFormat="1">
      <c r="A5308" s="136"/>
      <c r="CM5308" s="111"/>
      <c r="CQ5308" s="111"/>
      <c r="EF5308"/>
      <c r="EG5308"/>
      <c r="EH5308"/>
      <c r="EI5308"/>
      <c r="EJ5308"/>
      <c r="EK5308"/>
    </row>
    <row r="5309" spans="1:141" s="116" customFormat="1">
      <c r="A5309" s="136"/>
      <c r="CM5309" s="111"/>
      <c r="CQ5309" s="111"/>
      <c r="EF5309"/>
      <c r="EG5309"/>
      <c r="EH5309"/>
      <c r="EI5309"/>
      <c r="EJ5309"/>
      <c r="EK5309"/>
    </row>
    <row r="5310" spans="1:141" s="116" customFormat="1">
      <c r="A5310" s="136"/>
      <c r="CM5310" s="111"/>
      <c r="CQ5310" s="111"/>
      <c r="EF5310"/>
      <c r="EG5310"/>
      <c r="EH5310"/>
      <c r="EI5310"/>
      <c r="EJ5310"/>
      <c r="EK5310"/>
    </row>
    <row r="5311" spans="1:141" s="116" customFormat="1">
      <c r="A5311" s="136"/>
      <c r="CM5311" s="111"/>
      <c r="CQ5311" s="111"/>
      <c r="EF5311"/>
      <c r="EG5311"/>
      <c r="EH5311"/>
      <c r="EI5311"/>
      <c r="EJ5311"/>
      <c r="EK5311"/>
    </row>
    <row r="5312" spans="1:141" s="116" customFormat="1">
      <c r="A5312" s="136"/>
      <c r="CM5312" s="111"/>
      <c r="CQ5312" s="111"/>
      <c r="EF5312"/>
      <c r="EG5312"/>
      <c r="EH5312"/>
      <c r="EI5312"/>
      <c r="EJ5312"/>
      <c r="EK5312"/>
    </row>
    <row r="5313" spans="1:141" s="116" customFormat="1">
      <c r="A5313" s="136"/>
      <c r="CM5313" s="111"/>
      <c r="CQ5313" s="111"/>
      <c r="EF5313"/>
      <c r="EG5313"/>
      <c r="EH5313"/>
      <c r="EI5313"/>
      <c r="EJ5313"/>
      <c r="EK5313"/>
    </row>
    <row r="5314" spans="1:141" s="116" customFormat="1">
      <c r="A5314" s="136"/>
      <c r="CM5314" s="111"/>
      <c r="CQ5314" s="111"/>
      <c r="EF5314"/>
      <c r="EG5314"/>
      <c r="EH5314"/>
      <c r="EI5314"/>
      <c r="EJ5314"/>
      <c r="EK5314"/>
    </row>
    <row r="5315" spans="1:141" s="116" customFormat="1">
      <c r="A5315" s="136"/>
      <c r="CM5315" s="111"/>
      <c r="CQ5315" s="111"/>
      <c r="EF5315"/>
      <c r="EG5315"/>
      <c r="EH5315"/>
      <c r="EI5315"/>
      <c r="EJ5315"/>
      <c r="EK5315"/>
    </row>
    <row r="5316" spans="1:141" s="116" customFormat="1">
      <c r="A5316" s="136"/>
      <c r="CM5316" s="111"/>
      <c r="CQ5316" s="111"/>
      <c r="EF5316"/>
      <c r="EG5316"/>
      <c r="EH5316"/>
      <c r="EI5316"/>
      <c r="EJ5316"/>
      <c r="EK5316"/>
    </row>
    <row r="5317" spans="1:141" s="116" customFormat="1">
      <c r="A5317" s="136"/>
      <c r="CM5317" s="111"/>
      <c r="CQ5317" s="111"/>
      <c r="EF5317"/>
      <c r="EG5317"/>
      <c r="EH5317"/>
      <c r="EI5317"/>
      <c r="EJ5317"/>
      <c r="EK5317"/>
    </row>
    <row r="5318" spans="1:141" s="116" customFormat="1">
      <c r="A5318" s="136"/>
      <c r="CM5318" s="111"/>
      <c r="CQ5318" s="111"/>
      <c r="EF5318"/>
      <c r="EG5318"/>
      <c r="EH5318"/>
      <c r="EI5318"/>
      <c r="EJ5318"/>
      <c r="EK5318"/>
    </row>
    <row r="5319" spans="1:141" s="116" customFormat="1">
      <c r="A5319" s="136"/>
      <c r="CM5319" s="111"/>
      <c r="CQ5319" s="111"/>
      <c r="EF5319"/>
      <c r="EG5319"/>
      <c r="EH5319"/>
      <c r="EI5319"/>
      <c r="EJ5319"/>
      <c r="EK5319"/>
    </row>
    <row r="5320" spans="1:141" s="116" customFormat="1">
      <c r="A5320" s="136"/>
      <c r="CM5320" s="111"/>
      <c r="CQ5320" s="111"/>
      <c r="EF5320"/>
      <c r="EG5320"/>
      <c r="EH5320"/>
      <c r="EI5320"/>
      <c r="EJ5320"/>
      <c r="EK5320"/>
    </row>
    <row r="5321" spans="1:141" s="116" customFormat="1">
      <c r="A5321" s="136"/>
      <c r="CM5321" s="111"/>
      <c r="CQ5321" s="111"/>
      <c r="EF5321"/>
      <c r="EG5321"/>
      <c r="EH5321"/>
      <c r="EI5321"/>
      <c r="EJ5321"/>
      <c r="EK5321"/>
    </row>
    <row r="5322" spans="1:141" s="116" customFormat="1">
      <c r="A5322" s="136"/>
      <c r="CM5322" s="111"/>
      <c r="CQ5322" s="111"/>
      <c r="EF5322"/>
      <c r="EG5322"/>
      <c r="EH5322"/>
      <c r="EI5322"/>
      <c r="EJ5322"/>
      <c r="EK5322"/>
    </row>
    <row r="5323" spans="1:141" s="116" customFormat="1">
      <c r="A5323" s="136"/>
      <c r="CM5323" s="111"/>
      <c r="CQ5323" s="111"/>
      <c r="EF5323"/>
      <c r="EG5323"/>
      <c r="EH5323"/>
      <c r="EI5323"/>
      <c r="EJ5323"/>
      <c r="EK5323"/>
    </row>
    <row r="5324" spans="1:141" s="116" customFormat="1">
      <c r="A5324" s="136"/>
      <c r="CM5324" s="111"/>
      <c r="CQ5324" s="111"/>
      <c r="EF5324"/>
      <c r="EG5324"/>
      <c r="EH5324"/>
      <c r="EI5324"/>
      <c r="EJ5324"/>
      <c r="EK5324"/>
    </row>
    <row r="5325" spans="1:141" s="116" customFormat="1">
      <c r="A5325" s="136"/>
      <c r="CM5325" s="111"/>
      <c r="CQ5325" s="111"/>
      <c r="EF5325"/>
      <c r="EG5325"/>
      <c r="EH5325"/>
      <c r="EI5325"/>
      <c r="EJ5325"/>
      <c r="EK5325"/>
    </row>
    <row r="5326" spans="1:141" s="116" customFormat="1">
      <c r="A5326" s="136"/>
      <c r="CM5326" s="111"/>
      <c r="CQ5326" s="111"/>
      <c r="EF5326"/>
      <c r="EG5326"/>
      <c r="EH5326"/>
      <c r="EI5326"/>
      <c r="EJ5326"/>
      <c r="EK5326"/>
    </row>
    <row r="5327" spans="1:141" s="116" customFormat="1">
      <c r="A5327" s="136"/>
      <c r="CM5327" s="111"/>
      <c r="CQ5327" s="111"/>
      <c r="EF5327"/>
      <c r="EG5327"/>
      <c r="EH5327"/>
      <c r="EI5327"/>
      <c r="EJ5327"/>
      <c r="EK5327"/>
    </row>
    <row r="5328" spans="1:141" s="116" customFormat="1">
      <c r="A5328" s="136"/>
      <c r="CM5328" s="111"/>
      <c r="CQ5328" s="111"/>
      <c r="EF5328"/>
      <c r="EG5328"/>
      <c r="EH5328"/>
      <c r="EI5328"/>
      <c r="EJ5328"/>
      <c r="EK5328"/>
    </row>
    <row r="5329" spans="1:141" s="116" customFormat="1">
      <c r="A5329" s="136"/>
      <c r="CM5329" s="111"/>
      <c r="CQ5329" s="111"/>
      <c r="EF5329"/>
      <c r="EG5329"/>
      <c r="EH5329"/>
      <c r="EI5329"/>
      <c r="EJ5329"/>
      <c r="EK5329"/>
    </row>
    <row r="5330" spans="1:141" s="116" customFormat="1">
      <c r="A5330" s="136"/>
      <c r="CM5330" s="111"/>
      <c r="CQ5330" s="111"/>
      <c r="EF5330"/>
      <c r="EG5330"/>
      <c r="EH5330"/>
      <c r="EI5330"/>
      <c r="EJ5330"/>
      <c r="EK5330"/>
    </row>
    <row r="5331" spans="1:141" s="116" customFormat="1">
      <c r="A5331" s="136"/>
      <c r="CM5331" s="111"/>
      <c r="CQ5331" s="111"/>
      <c r="EF5331"/>
      <c r="EG5331"/>
      <c r="EH5331"/>
      <c r="EI5331"/>
      <c r="EJ5331"/>
      <c r="EK5331"/>
    </row>
    <row r="5332" spans="1:141" s="116" customFormat="1">
      <c r="A5332" s="136"/>
      <c r="CM5332" s="111"/>
      <c r="CQ5332" s="111"/>
      <c r="EF5332"/>
      <c r="EG5332"/>
      <c r="EH5332"/>
      <c r="EI5332"/>
      <c r="EJ5332"/>
      <c r="EK5332"/>
    </row>
    <row r="5333" spans="1:141" s="116" customFormat="1">
      <c r="A5333" s="136"/>
      <c r="CM5333" s="111"/>
      <c r="CQ5333" s="111"/>
      <c r="EF5333"/>
      <c r="EG5333"/>
      <c r="EH5333"/>
      <c r="EI5333"/>
      <c r="EJ5333"/>
      <c r="EK5333"/>
    </row>
    <row r="5334" spans="1:141" s="116" customFormat="1">
      <c r="A5334" s="136"/>
      <c r="CM5334" s="111"/>
      <c r="CQ5334" s="111"/>
      <c r="EF5334"/>
      <c r="EG5334"/>
      <c r="EH5334"/>
      <c r="EI5334"/>
      <c r="EJ5334"/>
      <c r="EK5334"/>
    </row>
    <row r="5335" spans="1:141" s="116" customFormat="1">
      <c r="A5335" s="136"/>
      <c r="CM5335" s="111"/>
      <c r="CQ5335" s="111"/>
      <c r="EF5335"/>
      <c r="EG5335"/>
      <c r="EH5335"/>
      <c r="EI5335"/>
      <c r="EJ5335"/>
      <c r="EK5335"/>
    </row>
    <row r="5336" spans="1:141" s="116" customFormat="1">
      <c r="A5336" s="136"/>
      <c r="CM5336" s="111"/>
      <c r="CQ5336" s="111"/>
      <c r="EF5336"/>
      <c r="EG5336"/>
      <c r="EH5336"/>
      <c r="EI5336"/>
      <c r="EJ5336"/>
      <c r="EK5336"/>
    </row>
    <row r="5337" spans="1:141" s="116" customFormat="1">
      <c r="A5337" s="136"/>
      <c r="CM5337" s="111"/>
      <c r="CQ5337" s="111"/>
      <c r="EF5337"/>
      <c r="EG5337"/>
      <c r="EH5337"/>
      <c r="EI5337"/>
      <c r="EJ5337"/>
      <c r="EK5337"/>
    </row>
    <row r="5338" spans="1:141" s="116" customFormat="1">
      <c r="A5338" s="136"/>
      <c r="CM5338" s="111"/>
      <c r="CQ5338" s="111"/>
      <c r="EF5338"/>
      <c r="EG5338"/>
      <c r="EH5338"/>
      <c r="EI5338"/>
      <c r="EJ5338"/>
      <c r="EK5338"/>
    </row>
    <row r="5339" spans="1:141" s="116" customFormat="1">
      <c r="A5339" s="136"/>
      <c r="CM5339" s="111"/>
      <c r="CQ5339" s="111"/>
      <c r="EF5339"/>
      <c r="EG5339"/>
      <c r="EH5339"/>
      <c r="EI5339"/>
      <c r="EJ5339"/>
      <c r="EK5339"/>
    </row>
    <row r="5340" spans="1:141" s="116" customFormat="1">
      <c r="A5340" s="136"/>
      <c r="CM5340" s="111"/>
      <c r="CQ5340" s="111"/>
      <c r="EF5340"/>
      <c r="EG5340"/>
      <c r="EH5340"/>
      <c r="EI5340"/>
      <c r="EJ5340"/>
      <c r="EK5340"/>
    </row>
    <row r="5341" spans="1:141" s="116" customFormat="1">
      <c r="A5341" s="136"/>
      <c r="CM5341" s="111"/>
      <c r="CQ5341" s="111"/>
      <c r="EF5341"/>
      <c r="EG5341"/>
      <c r="EH5341"/>
      <c r="EI5341"/>
      <c r="EJ5341"/>
      <c r="EK5341"/>
    </row>
    <row r="5342" spans="1:141" s="116" customFormat="1">
      <c r="A5342" s="136"/>
      <c r="CM5342" s="111"/>
      <c r="CQ5342" s="111"/>
      <c r="EF5342"/>
      <c r="EG5342"/>
      <c r="EH5342"/>
      <c r="EI5342"/>
      <c r="EJ5342"/>
      <c r="EK5342"/>
    </row>
    <row r="5343" spans="1:141" s="116" customFormat="1">
      <c r="A5343" s="136"/>
      <c r="CM5343" s="111"/>
      <c r="CQ5343" s="111"/>
      <c r="EF5343"/>
      <c r="EG5343"/>
      <c r="EH5343"/>
      <c r="EI5343"/>
      <c r="EJ5343"/>
      <c r="EK5343"/>
    </row>
    <row r="5344" spans="1:141" s="116" customFormat="1">
      <c r="A5344" s="136"/>
      <c r="CM5344" s="111"/>
      <c r="CQ5344" s="111"/>
      <c r="EF5344"/>
      <c r="EG5344"/>
      <c r="EH5344"/>
      <c r="EI5344"/>
      <c r="EJ5344"/>
      <c r="EK5344"/>
    </row>
    <row r="5345" spans="1:141" s="116" customFormat="1">
      <c r="A5345" s="136"/>
      <c r="CM5345" s="111"/>
      <c r="CQ5345" s="111"/>
      <c r="EF5345"/>
      <c r="EG5345"/>
      <c r="EH5345"/>
      <c r="EI5345"/>
      <c r="EJ5345"/>
      <c r="EK5345"/>
    </row>
    <row r="5346" spans="1:141" s="116" customFormat="1">
      <c r="A5346" s="136"/>
      <c r="CM5346" s="111"/>
      <c r="CQ5346" s="111"/>
      <c r="EF5346"/>
      <c r="EG5346"/>
      <c r="EH5346"/>
      <c r="EI5346"/>
      <c r="EJ5346"/>
      <c r="EK5346"/>
    </row>
    <row r="5347" spans="1:141" s="116" customFormat="1">
      <c r="A5347" s="136"/>
      <c r="CM5347" s="111"/>
      <c r="CQ5347" s="111"/>
      <c r="EF5347"/>
      <c r="EG5347"/>
      <c r="EH5347"/>
      <c r="EI5347"/>
      <c r="EJ5347"/>
      <c r="EK5347"/>
    </row>
    <row r="5348" spans="1:141" s="116" customFormat="1">
      <c r="A5348" s="136"/>
      <c r="CM5348" s="111"/>
      <c r="CQ5348" s="111"/>
      <c r="EF5348"/>
      <c r="EG5348"/>
      <c r="EH5348"/>
      <c r="EI5348"/>
      <c r="EJ5348"/>
      <c r="EK5348"/>
    </row>
    <row r="5349" spans="1:141" s="116" customFormat="1">
      <c r="A5349" s="136"/>
      <c r="CM5349" s="111"/>
      <c r="CQ5349" s="111"/>
      <c r="EF5349"/>
      <c r="EG5349"/>
      <c r="EH5349"/>
      <c r="EI5349"/>
      <c r="EJ5349"/>
      <c r="EK5349"/>
    </row>
    <row r="5350" spans="1:141" s="116" customFormat="1">
      <c r="A5350" s="136"/>
      <c r="CM5350" s="111"/>
      <c r="CQ5350" s="111"/>
      <c r="EF5350"/>
      <c r="EG5350"/>
      <c r="EH5350"/>
      <c r="EI5350"/>
      <c r="EJ5350"/>
      <c r="EK5350"/>
    </row>
    <row r="5351" spans="1:141" s="116" customFormat="1">
      <c r="A5351" s="136"/>
      <c r="CM5351" s="111"/>
      <c r="CQ5351" s="111"/>
      <c r="EF5351"/>
      <c r="EG5351"/>
      <c r="EH5351"/>
      <c r="EI5351"/>
      <c r="EJ5351"/>
      <c r="EK5351"/>
    </row>
    <row r="5352" spans="1:141" s="116" customFormat="1">
      <c r="A5352" s="136"/>
      <c r="CM5352" s="111"/>
      <c r="CQ5352" s="111"/>
      <c r="EF5352"/>
      <c r="EG5352"/>
      <c r="EH5352"/>
      <c r="EI5352"/>
      <c r="EJ5352"/>
      <c r="EK5352"/>
    </row>
    <row r="5353" spans="1:141" s="116" customFormat="1">
      <c r="A5353" s="136"/>
      <c r="CM5353" s="111"/>
      <c r="CQ5353" s="111"/>
      <c r="EF5353"/>
      <c r="EG5353"/>
      <c r="EH5353"/>
      <c r="EI5353"/>
      <c r="EJ5353"/>
      <c r="EK5353"/>
    </row>
    <row r="5354" spans="1:141" s="116" customFormat="1">
      <c r="A5354" s="136"/>
      <c r="CM5354" s="111"/>
      <c r="CQ5354" s="111"/>
      <c r="EF5354"/>
      <c r="EG5354"/>
      <c r="EH5354"/>
      <c r="EI5354"/>
      <c r="EJ5354"/>
      <c r="EK5354"/>
    </row>
    <row r="5355" spans="1:141" s="116" customFormat="1">
      <c r="A5355" s="136"/>
      <c r="CM5355" s="111"/>
      <c r="CQ5355" s="111"/>
      <c r="EF5355"/>
      <c r="EG5355"/>
      <c r="EH5355"/>
      <c r="EI5355"/>
      <c r="EJ5355"/>
      <c r="EK5355"/>
    </row>
    <row r="5356" spans="1:141" s="116" customFormat="1">
      <c r="A5356" s="136"/>
      <c r="CM5356" s="111"/>
      <c r="CQ5356" s="111"/>
      <c r="EF5356"/>
      <c r="EG5356"/>
      <c r="EH5356"/>
      <c r="EI5356"/>
      <c r="EJ5356"/>
      <c r="EK5356"/>
    </row>
    <row r="5357" spans="1:141" s="116" customFormat="1">
      <c r="A5357" s="136"/>
      <c r="CM5357" s="111"/>
      <c r="CQ5357" s="111"/>
      <c r="EF5357"/>
      <c r="EG5357"/>
      <c r="EH5357"/>
      <c r="EI5357"/>
      <c r="EJ5357"/>
      <c r="EK5357"/>
    </row>
    <row r="5358" spans="1:141" s="116" customFormat="1">
      <c r="A5358" s="136"/>
      <c r="CM5358" s="111"/>
      <c r="CQ5358" s="111"/>
      <c r="EF5358"/>
      <c r="EG5358"/>
      <c r="EH5358"/>
      <c r="EI5358"/>
      <c r="EJ5358"/>
      <c r="EK5358"/>
    </row>
    <row r="5359" spans="1:141" s="116" customFormat="1">
      <c r="A5359" s="136"/>
      <c r="CM5359" s="111"/>
      <c r="CQ5359" s="111"/>
      <c r="EF5359"/>
      <c r="EG5359"/>
      <c r="EH5359"/>
      <c r="EI5359"/>
      <c r="EJ5359"/>
      <c r="EK5359"/>
    </row>
    <row r="5360" spans="1:141" s="116" customFormat="1">
      <c r="A5360" s="136"/>
      <c r="CM5360" s="111"/>
      <c r="CQ5360" s="111"/>
      <c r="EF5360"/>
      <c r="EG5360"/>
      <c r="EH5360"/>
      <c r="EI5360"/>
      <c r="EJ5360"/>
      <c r="EK5360"/>
    </row>
    <row r="5361" spans="1:141" s="116" customFormat="1">
      <c r="A5361" s="136"/>
      <c r="CM5361" s="111"/>
      <c r="CQ5361" s="111"/>
      <c r="EF5361"/>
      <c r="EG5361"/>
      <c r="EH5361"/>
      <c r="EI5361"/>
      <c r="EJ5361"/>
      <c r="EK5361"/>
    </row>
    <row r="5362" spans="1:141" s="116" customFormat="1">
      <c r="A5362" s="136"/>
      <c r="CM5362" s="111"/>
      <c r="CQ5362" s="111"/>
      <c r="EF5362"/>
      <c r="EG5362"/>
      <c r="EH5362"/>
      <c r="EI5362"/>
      <c r="EJ5362"/>
      <c r="EK5362"/>
    </row>
    <row r="5363" spans="1:141" s="116" customFormat="1">
      <c r="A5363" s="136"/>
      <c r="CM5363" s="111"/>
      <c r="CQ5363" s="111"/>
      <c r="EF5363"/>
      <c r="EG5363"/>
      <c r="EH5363"/>
      <c r="EI5363"/>
      <c r="EJ5363"/>
      <c r="EK5363"/>
    </row>
    <row r="5364" spans="1:141" s="116" customFormat="1">
      <c r="A5364" s="136"/>
      <c r="CM5364" s="111"/>
      <c r="CQ5364" s="111"/>
      <c r="EF5364"/>
      <c r="EG5364"/>
      <c r="EH5364"/>
      <c r="EI5364"/>
      <c r="EJ5364"/>
      <c r="EK5364"/>
    </row>
    <row r="5365" spans="1:141" s="116" customFormat="1">
      <c r="A5365" s="136"/>
      <c r="CM5365" s="111"/>
      <c r="CQ5365" s="111"/>
      <c r="EF5365"/>
      <c r="EG5365"/>
      <c r="EH5365"/>
      <c r="EI5365"/>
      <c r="EJ5365"/>
      <c r="EK5365"/>
    </row>
    <row r="5366" spans="1:141" s="116" customFormat="1">
      <c r="A5366" s="136"/>
      <c r="CM5366" s="111"/>
      <c r="CQ5366" s="111"/>
      <c r="EF5366"/>
      <c r="EG5366"/>
      <c r="EH5366"/>
      <c r="EI5366"/>
      <c r="EJ5366"/>
      <c r="EK5366"/>
    </row>
    <row r="5367" spans="1:141" s="116" customFormat="1">
      <c r="A5367" s="136"/>
      <c r="CM5367" s="111"/>
      <c r="CQ5367" s="111"/>
      <c r="EF5367"/>
      <c r="EG5367"/>
      <c r="EH5367"/>
      <c r="EI5367"/>
      <c r="EJ5367"/>
      <c r="EK5367"/>
    </row>
    <row r="5368" spans="1:141" s="116" customFormat="1">
      <c r="A5368" s="136"/>
      <c r="CM5368" s="111"/>
      <c r="CQ5368" s="111"/>
      <c r="EF5368"/>
      <c r="EG5368"/>
      <c r="EH5368"/>
      <c r="EI5368"/>
      <c r="EJ5368"/>
      <c r="EK5368"/>
    </row>
    <row r="5369" spans="1:141" s="116" customFormat="1">
      <c r="A5369" s="136"/>
      <c r="CM5369" s="111"/>
      <c r="CQ5369" s="111"/>
      <c r="EF5369"/>
      <c r="EG5369"/>
      <c r="EH5369"/>
      <c r="EI5369"/>
      <c r="EJ5369"/>
      <c r="EK5369"/>
    </row>
    <row r="5370" spans="1:141" s="116" customFormat="1">
      <c r="A5370" s="136"/>
      <c r="CM5370" s="111"/>
      <c r="CQ5370" s="111"/>
      <c r="EF5370"/>
      <c r="EG5370"/>
      <c r="EH5370"/>
      <c r="EI5370"/>
      <c r="EJ5370"/>
      <c r="EK5370"/>
    </row>
    <row r="5371" spans="1:141" s="116" customFormat="1">
      <c r="A5371" s="136"/>
      <c r="CM5371" s="111"/>
      <c r="CQ5371" s="111"/>
      <c r="EF5371"/>
      <c r="EG5371"/>
      <c r="EH5371"/>
      <c r="EI5371"/>
      <c r="EJ5371"/>
      <c r="EK5371"/>
    </row>
    <row r="5372" spans="1:141" s="116" customFormat="1">
      <c r="A5372" s="136"/>
      <c r="CM5372" s="111"/>
      <c r="CQ5372" s="111"/>
      <c r="EF5372"/>
      <c r="EG5372"/>
      <c r="EH5372"/>
      <c r="EI5372"/>
      <c r="EJ5372"/>
      <c r="EK5372"/>
    </row>
    <row r="5373" spans="1:141" s="116" customFormat="1">
      <c r="A5373" s="136"/>
      <c r="CM5373" s="111"/>
      <c r="CQ5373" s="111"/>
      <c r="EF5373"/>
      <c r="EG5373"/>
      <c r="EH5373"/>
      <c r="EI5373"/>
      <c r="EJ5373"/>
      <c r="EK5373"/>
    </row>
    <row r="5374" spans="1:141" s="116" customFormat="1">
      <c r="A5374" s="136"/>
      <c r="CM5374" s="111"/>
      <c r="CQ5374" s="111"/>
      <c r="EF5374"/>
      <c r="EG5374"/>
      <c r="EH5374"/>
      <c r="EI5374"/>
      <c r="EJ5374"/>
      <c r="EK5374"/>
    </row>
    <row r="5375" spans="1:141" s="116" customFormat="1">
      <c r="A5375" s="136"/>
      <c r="CM5375" s="111"/>
      <c r="CQ5375" s="111"/>
      <c r="EF5375"/>
      <c r="EG5375"/>
      <c r="EH5375"/>
      <c r="EI5375"/>
      <c r="EJ5375"/>
      <c r="EK5375"/>
    </row>
    <row r="5376" spans="1:141" s="116" customFormat="1">
      <c r="A5376" s="136"/>
      <c r="CM5376" s="111"/>
      <c r="CQ5376" s="111"/>
      <c r="EF5376"/>
      <c r="EG5376"/>
      <c r="EH5376"/>
      <c r="EI5376"/>
      <c r="EJ5376"/>
      <c r="EK5376"/>
    </row>
    <row r="5377" spans="1:141" s="116" customFormat="1">
      <c r="A5377" s="136"/>
      <c r="CM5377" s="111"/>
      <c r="CQ5377" s="111"/>
      <c r="EF5377"/>
      <c r="EG5377"/>
      <c r="EH5377"/>
      <c r="EI5377"/>
      <c r="EJ5377"/>
      <c r="EK5377"/>
    </row>
    <row r="5378" spans="1:141" s="116" customFormat="1">
      <c r="A5378" s="136"/>
      <c r="CM5378" s="111"/>
      <c r="CQ5378" s="111"/>
      <c r="EF5378"/>
      <c r="EG5378"/>
      <c r="EH5378"/>
      <c r="EI5378"/>
      <c r="EJ5378"/>
      <c r="EK5378"/>
    </row>
    <row r="5379" spans="1:141" s="116" customFormat="1">
      <c r="A5379" s="136"/>
      <c r="CM5379" s="111"/>
      <c r="CQ5379" s="111"/>
      <c r="EF5379"/>
      <c r="EG5379"/>
      <c r="EH5379"/>
      <c r="EI5379"/>
      <c r="EJ5379"/>
      <c r="EK5379"/>
    </row>
    <row r="5380" spans="1:141" s="116" customFormat="1">
      <c r="A5380" s="136"/>
      <c r="CM5380" s="111"/>
      <c r="CQ5380" s="111"/>
      <c r="EF5380"/>
      <c r="EG5380"/>
      <c r="EH5380"/>
      <c r="EI5380"/>
      <c r="EJ5380"/>
      <c r="EK5380"/>
    </row>
    <row r="5381" spans="1:141" s="116" customFormat="1">
      <c r="A5381" s="136"/>
      <c r="CM5381" s="111"/>
      <c r="CQ5381" s="111"/>
      <c r="EF5381"/>
      <c r="EG5381"/>
      <c r="EH5381"/>
      <c r="EI5381"/>
      <c r="EJ5381"/>
      <c r="EK5381"/>
    </row>
    <row r="5382" spans="1:141" s="116" customFormat="1">
      <c r="A5382" s="136"/>
      <c r="CM5382" s="111"/>
      <c r="CQ5382" s="111"/>
      <c r="EF5382"/>
      <c r="EG5382"/>
      <c r="EH5382"/>
      <c r="EI5382"/>
      <c r="EJ5382"/>
      <c r="EK5382"/>
    </row>
    <row r="5383" spans="1:141" s="116" customFormat="1">
      <c r="A5383" s="136"/>
      <c r="CM5383" s="111"/>
      <c r="CQ5383" s="111"/>
      <c r="EF5383"/>
      <c r="EG5383"/>
      <c r="EH5383"/>
      <c r="EI5383"/>
      <c r="EJ5383"/>
      <c r="EK5383"/>
    </row>
    <row r="5384" spans="1:141" s="116" customFormat="1">
      <c r="A5384" s="136"/>
      <c r="CM5384" s="111"/>
      <c r="CQ5384" s="111"/>
      <c r="EF5384"/>
      <c r="EG5384"/>
      <c r="EH5384"/>
      <c r="EI5384"/>
      <c r="EJ5384"/>
      <c r="EK5384"/>
    </row>
    <row r="5385" spans="1:141" s="116" customFormat="1">
      <c r="A5385" s="136"/>
      <c r="CM5385" s="111"/>
      <c r="CQ5385" s="111"/>
      <c r="EF5385"/>
      <c r="EG5385"/>
      <c r="EH5385"/>
      <c r="EI5385"/>
      <c r="EJ5385"/>
      <c r="EK5385"/>
    </row>
    <row r="5386" spans="1:141" s="116" customFormat="1">
      <c r="A5386" s="136"/>
      <c r="CM5386" s="111"/>
      <c r="CQ5386" s="111"/>
      <c r="EF5386"/>
      <c r="EG5386"/>
      <c r="EH5386"/>
      <c r="EI5386"/>
      <c r="EJ5386"/>
      <c r="EK5386"/>
    </row>
    <row r="5387" spans="1:141" s="116" customFormat="1">
      <c r="A5387" s="136"/>
      <c r="CM5387" s="111"/>
      <c r="CQ5387" s="111"/>
      <c r="EF5387"/>
      <c r="EG5387"/>
      <c r="EH5387"/>
      <c r="EI5387"/>
      <c r="EJ5387"/>
      <c r="EK5387"/>
    </row>
    <row r="5388" spans="1:141" s="116" customFormat="1">
      <c r="A5388" s="136"/>
      <c r="CM5388" s="111"/>
      <c r="CQ5388" s="111"/>
      <c r="EF5388"/>
      <c r="EG5388"/>
      <c r="EH5388"/>
      <c r="EI5388"/>
      <c r="EJ5388"/>
      <c r="EK5388"/>
    </row>
    <row r="5389" spans="1:141" s="116" customFormat="1">
      <c r="A5389" s="136"/>
      <c r="CM5389" s="111"/>
      <c r="CQ5389" s="111"/>
      <c r="EF5389"/>
      <c r="EG5389"/>
      <c r="EH5389"/>
      <c r="EI5389"/>
      <c r="EJ5389"/>
      <c r="EK5389"/>
    </row>
    <row r="5390" spans="1:141" s="116" customFormat="1">
      <c r="A5390" s="136"/>
      <c r="CM5390" s="111"/>
      <c r="CQ5390" s="111"/>
      <c r="EF5390"/>
      <c r="EG5390"/>
      <c r="EH5390"/>
      <c r="EI5390"/>
      <c r="EJ5390"/>
      <c r="EK5390"/>
    </row>
    <row r="5391" spans="1:141" s="116" customFormat="1">
      <c r="A5391" s="136"/>
      <c r="CM5391" s="111"/>
      <c r="CQ5391" s="111"/>
      <c r="EF5391"/>
      <c r="EG5391"/>
      <c r="EH5391"/>
      <c r="EI5391"/>
      <c r="EJ5391"/>
      <c r="EK5391"/>
    </row>
    <row r="5392" spans="1:141" s="116" customFormat="1">
      <c r="A5392" s="136"/>
      <c r="CM5392" s="111"/>
      <c r="CQ5392" s="111"/>
      <c r="EF5392"/>
      <c r="EG5392"/>
      <c r="EH5392"/>
      <c r="EI5392"/>
      <c r="EJ5392"/>
      <c r="EK5392"/>
    </row>
    <row r="5393" spans="1:141" s="116" customFormat="1">
      <c r="A5393" s="136"/>
      <c r="CM5393" s="111"/>
      <c r="CQ5393" s="111"/>
      <c r="EF5393"/>
      <c r="EG5393"/>
      <c r="EH5393"/>
      <c r="EI5393"/>
      <c r="EJ5393"/>
      <c r="EK5393"/>
    </row>
    <row r="5394" spans="1:141" s="116" customFormat="1">
      <c r="A5394" s="136"/>
      <c r="CM5394" s="111"/>
      <c r="CQ5394" s="111"/>
      <c r="EF5394"/>
      <c r="EG5394"/>
      <c r="EH5394"/>
      <c r="EI5394"/>
      <c r="EJ5394"/>
      <c r="EK5394"/>
    </row>
    <row r="5395" spans="1:141" s="116" customFormat="1">
      <c r="A5395" s="136"/>
      <c r="CM5395" s="111"/>
      <c r="CQ5395" s="111"/>
      <c r="EF5395"/>
      <c r="EG5395"/>
      <c r="EH5395"/>
      <c r="EI5395"/>
      <c r="EJ5395"/>
      <c r="EK5395"/>
    </row>
    <row r="5396" spans="1:141" s="116" customFormat="1">
      <c r="A5396" s="136"/>
      <c r="CM5396" s="111"/>
      <c r="CQ5396" s="111"/>
      <c r="EF5396"/>
      <c r="EG5396"/>
      <c r="EH5396"/>
      <c r="EI5396"/>
      <c r="EJ5396"/>
      <c r="EK5396"/>
    </row>
    <row r="5397" spans="1:141" s="116" customFormat="1">
      <c r="A5397" s="136"/>
      <c r="CM5397" s="111"/>
      <c r="CQ5397" s="111"/>
      <c r="EF5397"/>
      <c r="EG5397"/>
      <c r="EH5397"/>
      <c r="EI5397"/>
      <c r="EJ5397"/>
      <c r="EK5397"/>
    </row>
    <row r="5398" spans="1:141" s="116" customFormat="1">
      <c r="A5398" s="136"/>
      <c r="CM5398" s="111"/>
      <c r="CQ5398" s="111"/>
      <c r="EF5398"/>
      <c r="EG5398"/>
      <c r="EH5398"/>
      <c r="EI5398"/>
      <c r="EJ5398"/>
      <c r="EK5398"/>
    </row>
    <row r="5399" spans="1:141" s="116" customFormat="1">
      <c r="A5399" s="136"/>
      <c r="CM5399" s="111"/>
      <c r="CQ5399" s="111"/>
      <c r="EF5399"/>
      <c r="EG5399"/>
      <c r="EH5399"/>
      <c r="EI5399"/>
      <c r="EJ5399"/>
      <c r="EK5399"/>
    </row>
    <row r="5400" spans="1:141" s="116" customFormat="1">
      <c r="A5400" s="136"/>
      <c r="CM5400" s="111"/>
      <c r="CQ5400" s="111"/>
      <c r="EF5400"/>
      <c r="EG5400"/>
      <c r="EH5400"/>
      <c r="EI5400"/>
      <c r="EJ5400"/>
      <c r="EK5400"/>
    </row>
    <row r="5401" spans="1:141" s="116" customFormat="1">
      <c r="A5401" s="136"/>
      <c r="CM5401" s="111"/>
      <c r="CQ5401" s="111"/>
      <c r="EF5401"/>
      <c r="EG5401"/>
      <c r="EH5401"/>
      <c r="EI5401"/>
      <c r="EJ5401"/>
      <c r="EK5401"/>
    </row>
    <row r="5402" spans="1:141" s="116" customFormat="1">
      <c r="A5402" s="136"/>
      <c r="CM5402" s="111"/>
      <c r="CQ5402" s="111"/>
      <c r="EF5402"/>
      <c r="EG5402"/>
      <c r="EH5402"/>
      <c r="EI5402"/>
      <c r="EJ5402"/>
      <c r="EK5402"/>
    </row>
    <row r="5403" spans="1:141" s="116" customFormat="1">
      <c r="A5403" s="136"/>
      <c r="CM5403" s="111"/>
      <c r="CQ5403" s="111"/>
      <c r="EF5403"/>
      <c r="EG5403"/>
      <c r="EH5403"/>
      <c r="EI5403"/>
      <c r="EJ5403"/>
      <c r="EK5403"/>
    </row>
    <row r="5404" spans="1:141" s="116" customFormat="1">
      <c r="A5404" s="136"/>
      <c r="CM5404" s="111"/>
      <c r="CQ5404" s="111"/>
      <c r="EF5404"/>
      <c r="EG5404"/>
      <c r="EH5404"/>
      <c r="EI5404"/>
      <c r="EJ5404"/>
      <c r="EK5404"/>
    </row>
    <row r="5405" spans="1:141" s="116" customFormat="1">
      <c r="A5405" s="136"/>
      <c r="CM5405" s="111"/>
      <c r="CQ5405" s="111"/>
      <c r="EF5405"/>
      <c r="EG5405"/>
      <c r="EH5405"/>
      <c r="EI5405"/>
      <c r="EJ5405"/>
      <c r="EK5405"/>
    </row>
    <row r="5406" spans="1:141" s="116" customFormat="1">
      <c r="A5406" s="136"/>
      <c r="CM5406" s="111"/>
      <c r="CQ5406" s="111"/>
      <c r="EF5406"/>
      <c r="EG5406"/>
      <c r="EH5406"/>
      <c r="EI5406"/>
      <c r="EJ5406"/>
      <c r="EK5406"/>
    </row>
    <row r="5407" spans="1:141" s="116" customFormat="1">
      <c r="A5407" s="136"/>
      <c r="CM5407" s="111"/>
      <c r="CQ5407" s="111"/>
      <c r="EF5407"/>
      <c r="EG5407"/>
      <c r="EH5407"/>
      <c r="EI5407"/>
      <c r="EJ5407"/>
      <c r="EK5407"/>
    </row>
    <row r="5408" spans="1:141" s="116" customFormat="1">
      <c r="A5408" s="136"/>
      <c r="CM5408" s="111"/>
      <c r="CQ5408" s="111"/>
      <c r="EF5408"/>
      <c r="EG5408"/>
      <c r="EH5408"/>
      <c r="EI5408"/>
      <c r="EJ5408"/>
      <c r="EK5408"/>
    </row>
    <row r="5409" spans="1:141" s="116" customFormat="1">
      <c r="A5409" s="136"/>
      <c r="CM5409" s="111"/>
      <c r="CQ5409" s="111"/>
      <c r="EF5409"/>
      <c r="EG5409"/>
      <c r="EH5409"/>
      <c r="EI5409"/>
      <c r="EJ5409"/>
      <c r="EK5409"/>
    </row>
    <row r="5410" spans="1:141" s="116" customFormat="1">
      <c r="A5410" s="136"/>
      <c r="CM5410" s="111"/>
      <c r="CQ5410" s="111"/>
      <c r="EF5410"/>
      <c r="EG5410"/>
      <c r="EH5410"/>
      <c r="EI5410"/>
      <c r="EJ5410"/>
      <c r="EK5410"/>
    </row>
    <row r="5411" spans="1:141" s="116" customFormat="1">
      <c r="A5411" s="136"/>
      <c r="CM5411" s="111"/>
      <c r="CQ5411" s="111"/>
      <c r="EF5411"/>
      <c r="EG5411"/>
      <c r="EH5411"/>
      <c r="EI5411"/>
      <c r="EJ5411"/>
      <c r="EK5411"/>
    </row>
    <row r="5412" spans="1:141" s="116" customFormat="1">
      <c r="A5412" s="136"/>
      <c r="CM5412" s="111"/>
      <c r="CQ5412" s="111"/>
      <c r="EF5412"/>
      <c r="EG5412"/>
      <c r="EH5412"/>
      <c r="EI5412"/>
      <c r="EJ5412"/>
      <c r="EK5412"/>
    </row>
    <row r="5413" spans="1:141" s="116" customFormat="1">
      <c r="A5413" s="136"/>
      <c r="CM5413" s="111"/>
      <c r="CQ5413" s="111"/>
      <c r="EF5413"/>
      <c r="EG5413"/>
      <c r="EH5413"/>
      <c r="EI5413"/>
      <c r="EJ5413"/>
      <c r="EK5413"/>
    </row>
    <row r="5414" spans="1:141" s="116" customFormat="1">
      <c r="A5414" s="136"/>
      <c r="CM5414" s="111"/>
      <c r="CQ5414" s="111"/>
      <c r="EF5414"/>
      <c r="EG5414"/>
      <c r="EH5414"/>
      <c r="EI5414"/>
      <c r="EJ5414"/>
      <c r="EK5414"/>
    </row>
    <row r="5415" spans="1:141" s="116" customFormat="1">
      <c r="A5415" s="136"/>
      <c r="CM5415" s="111"/>
      <c r="CQ5415" s="111"/>
      <c r="EF5415"/>
      <c r="EG5415"/>
      <c r="EH5415"/>
      <c r="EI5415"/>
      <c r="EJ5415"/>
      <c r="EK5415"/>
    </row>
    <row r="5416" spans="1:141" s="116" customFormat="1">
      <c r="A5416" s="136"/>
      <c r="CM5416" s="111"/>
      <c r="CQ5416" s="111"/>
      <c r="EF5416"/>
      <c r="EG5416"/>
      <c r="EH5416"/>
      <c r="EI5416"/>
      <c r="EJ5416"/>
      <c r="EK5416"/>
    </row>
    <row r="5417" spans="1:141" s="116" customFormat="1">
      <c r="A5417" s="136"/>
      <c r="CM5417" s="111"/>
      <c r="CQ5417" s="111"/>
      <c r="EF5417"/>
      <c r="EG5417"/>
      <c r="EH5417"/>
      <c r="EI5417"/>
      <c r="EJ5417"/>
      <c r="EK5417"/>
    </row>
    <row r="5418" spans="1:141" s="116" customFormat="1">
      <c r="A5418" s="136"/>
      <c r="CM5418" s="111"/>
      <c r="CQ5418" s="111"/>
      <c r="EF5418"/>
      <c r="EG5418"/>
      <c r="EH5418"/>
      <c r="EI5418"/>
      <c r="EJ5418"/>
      <c r="EK5418"/>
    </row>
    <row r="5419" spans="1:141" s="116" customFormat="1">
      <c r="A5419" s="136"/>
      <c r="CM5419" s="111"/>
      <c r="CQ5419" s="111"/>
      <c r="EF5419"/>
      <c r="EG5419"/>
      <c r="EH5419"/>
      <c r="EI5419"/>
      <c r="EJ5419"/>
      <c r="EK5419"/>
    </row>
    <row r="5420" spans="1:141" s="116" customFormat="1">
      <c r="A5420" s="136"/>
      <c r="CM5420" s="111"/>
      <c r="CQ5420" s="111"/>
      <c r="EF5420"/>
      <c r="EG5420"/>
      <c r="EH5420"/>
      <c r="EI5420"/>
      <c r="EJ5420"/>
      <c r="EK5420"/>
    </row>
    <row r="5421" spans="1:141" s="116" customFormat="1">
      <c r="A5421" s="136"/>
      <c r="CM5421" s="111"/>
      <c r="CQ5421" s="111"/>
      <c r="EF5421"/>
      <c r="EG5421"/>
      <c r="EH5421"/>
      <c r="EI5421"/>
      <c r="EJ5421"/>
      <c r="EK5421"/>
    </row>
    <row r="5422" spans="1:141" s="116" customFormat="1">
      <c r="A5422" s="136"/>
      <c r="CM5422" s="111"/>
      <c r="CQ5422" s="111"/>
      <c r="EF5422"/>
      <c r="EG5422"/>
      <c r="EH5422"/>
      <c r="EI5422"/>
      <c r="EJ5422"/>
      <c r="EK5422"/>
    </row>
    <row r="5423" spans="1:141" s="116" customFormat="1">
      <c r="A5423" s="136"/>
      <c r="CM5423" s="111"/>
      <c r="CQ5423" s="111"/>
      <c r="EF5423"/>
      <c r="EG5423"/>
      <c r="EH5423"/>
      <c r="EI5423"/>
      <c r="EJ5423"/>
      <c r="EK5423"/>
    </row>
    <row r="5424" spans="1:141" s="116" customFormat="1">
      <c r="A5424" s="136"/>
      <c r="CM5424" s="111"/>
      <c r="CQ5424" s="111"/>
      <c r="EF5424"/>
      <c r="EG5424"/>
      <c r="EH5424"/>
      <c r="EI5424"/>
      <c r="EJ5424"/>
      <c r="EK5424"/>
    </row>
    <row r="5425" spans="1:141" s="116" customFormat="1">
      <c r="A5425" s="136"/>
      <c r="CM5425" s="111"/>
      <c r="CQ5425" s="111"/>
      <c r="EF5425"/>
      <c r="EG5425"/>
      <c r="EH5425"/>
      <c r="EI5425"/>
      <c r="EJ5425"/>
      <c r="EK5425"/>
    </row>
    <row r="5426" spans="1:141" s="116" customFormat="1">
      <c r="A5426" s="136"/>
      <c r="CM5426" s="111"/>
      <c r="CQ5426" s="111"/>
      <c r="EF5426"/>
      <c r="EG5426"/>
      <c r="EH5426"/>
      <c r="EI5426"/>
      <c r="EJ5426"/>
      <c r="EK5426"/>
    </row>
    <row r="5427" spans="1:141" s="116" customFormat="1">
      <c r="A5427" s="136"/>
      <c r="CM5427" s="111"/>
      <c r="CQ5427" s="111"/>
      <c r="EF5427"/>
      <c r="EG5427"/>
      <c r="EH5427"/>
      <c r="EI5427"/>
      <c r="EJ5427"/>
      <c r="EK5427"/>
    </row>
    <row r="5428" spans="1:141" s="116" customFormat="1">
      <c r="A5428" s="136"/>
      <c r="CM5428" s="111"/>
      <c r="CQ5428" s="111"/>
      <c r="EF5428"/>
      <c r="EG5428"/>
      <c r="EH5428"/>
      <c r="EI5428"/>
      <c r="EJ5428"/>
      <c r="EK5428"/>
    </row>
    <row r="5429" spans="1:141" s="116" customFormat="1">
      <c r="A5429" s="136"/>
      <c r="CM5429" s="111"/>
      <c r="CQ5429" s="111"/>
      <c r="EF5429"/>
      <c r="EG5429"/>
      <c r="EH5429"/>
      <c r="EI5429"/>
      <c r="EJ5429"/>
      <c r="EK5429"/>
    </row>
    <row r="5430" spans="1:141" s="116" customFormat="1">
      <c r="A5430" s="136"/>
      <c r="CM5430" s="111"/>
      <c r="CQ5430" s="111"/>
      <c r="EF5430"/>
      <c r="EG5430"/>
      <c r="EH5430"/>
      <c r="EI5430"/>
      <c r="EJ5430"/>
      <c r="EK5430"/>
    </row>
    <row r="5431" spans="1:141" s="116" customFormat="1">
      <c r="A5431" s="136"/>
      <c r="CM5431" s="111"/>
      <c r="CQ5431" s="111"/>
      <c r="EF5431"/>
      <c r="EG5431"/>
      <c r="EH5431"/>
      <c r="EI5431"/>
      <c r="EJ5431"/>
      <c r="EK5431"/>
    </row>
    <row r="5432" spans="1:141" s="116" customFormat="1">
      <c r="A5432" s="136"/>
      <c r="CM5432" s="111"/>
      <c r="CQ5432" s="111"/>
      <c r="EF5432"/>
      <c r="EG5432"/>
      <c r="EH5432"/>
      <c r="EI5432"/>
      <c r="EJ5432"/>
      <c r="EK5432"/>
    </row>
    <row r="5433" spans="1:141" s="116" customFormat="1">
      <c r="A5433" s="136"/>
      <c r="CM5433" s="111"/>
      <c r="CQ5433" s="111"/>
      <c r="EF5433"/>
      <c r="EG5433"/>
      <c r="EH5433"/>
      <c r="EI5433"/>
      <c r="EJ5433"/>
      <c r="EK5433"/>
    </row>
    <row r="5434" spans="1:141" s="116" customFormat="1">
      <c r="A5434" s="136"/>
      <c r="CM5434" s="111"/>
      <c r="CQ5434" s="111"/>
      <c r="EF5434"/>
      <c r="EG5434"/>
      <c r="EH5434"/>
      <c r="EI5434"/>
      <c r="EJ5434"/>
      <c r="EK5434"/>
    </row>
    <row r="5435" spans="1:141" s="116" customFormat="1">
      <c r="A5435" s="136"/>
      <c r="CM5435" s="111"/>
      <c r="CQ5435" s="111"/>
      <c r="EF5435"/>
      <c r="EG5435"/>
      <c r="EH5435"/>
      <c r="EI5435"/>
      <c r="EJ5435"/>
      <c r="EK5435"/>
    </row>
    <row r="5436" spans="1:141" s="116" customFormat="1">
      <c r="A5436" s="136"/>
      <c r="CM5436" s="111"/>
      <c r="CQ5436" s="111"/>
      <c r="EF5436"/>
      <c r="EG5436"/>
      <c r="EH5436"/>
      <c r="EI5436"/>
      <c r="EJ5436"/>
      <c r="EK5436"/>
    </row>
    <row r="5437" spans="1:141" s="116" customFormat="1">
      <c r="A5437" s="136"/>
      <c r="CM5437" s="111"/>
      <c r="CQ5437" s="111"/>
      <c r="EF5437"/>
      <c r="EG5437"/>
      <c r="EH5437"/>
      <c r="EI5437"/>
      <c r="EJ5437"/>
      <c r="EK5437"/>
    </row>
    <row r="5438" spans="1:141" s="116" customFormat="1">
      <c r="A5438" s="136"/>
      <c r="CM5438" s="111"/>
      <c r="CQ5438" s="111"/>
      <c r="EF5438"/>
      <c r="EG5438"/>
      <c r="EH5438"/>
      <c r="EI5438"/>
      <c r="EJ5438"/>
      <c r="EK5438"/>
    </row>
    <row r="5439" spans="1:141" s="116" customFormat="1">
      <c r="A5439" s="136"/>
      <c r="CM5439" s="111"/>
      <c r="CQ5439" s="111"/>
      <c r="EF5439"/>
      <c r="EG5439"/>
      <c r="EH5439"/>
      <c r="EI5439"/>
      <c r="EJ5439"/>
      <c r="EK5439"/>
    </row>
    <row r="5440" spans="1:141" s="116" customFormat="1">
      <c r="A5440" s="136"/>
      <c r="CM5440" s="111"/>
      <c r="CQ5440" s="111"/>
      <c r="EF5440"/>
      <c r="EG5440"/>
      <c r="EH5440"/>
      <c r="EI5440"/>
      <c r="EJ5440"/>
      <c r="EK5440"/>
    </row>
    <row r="5441" spans="1:141" s="116" customFormat="1">
      <c r="A5441" s="136"/>
      <c r="CM5441" s="111"/>
      <c r="CQ5441" s="111"/>
      <c r="EF5441"/>
      <c r="EG5441"/>
      <c r="EH5441"/>
      <c r="EI5441"/>
      <c r="EJ5441"/>
      <c r="EK5441"/>
    </row>
    <row r="5442" spans="1:141" s="116" customFormat="1">
      <c r="A5442" s="136"/>
      <c r="CM5442" s="111"/>
      <c r="CQ5442" s="111"/>
      <c r="EF5442"/>
      <c r="EG5442"/>
      <c r="EH5442"/>
      <c r="EI5442"/>
      <c r="EJ5442"/>
      <c r="EK5442"/>
    </row>
    <row r="5443" spans="1:141" s="116" customFormat="1">
      <c r="A5443" s="136"/>
      <c r="CM5443" s="111"/>
      <c r="CQ5443" s="111"/>
      <c r="EF5443"/>
      <c r="EG5443"/>
      <c r="EH5443"/>
      <c r="EI5443"/>
      <c r="EJ5443"/>
      <c r="EK5443"/>
    </row>
    <row r="5444" spans="1:141" s="116" customFormat="1">
      <c r="A5444" s="136"/>
      <c r="CM5444" s="111"/>
      <c r="CQ5444" s="111"/>
      <c r="EF5444"/>
      <c r="EG5444"/>
      <c r="EH5444"/>
      <c r="EI5444"/>
      <c r="EJ5444"/>
      <c r="EK5444"/>
    </row>
    <row r="5445" spans="1:141" s="116" customFormat="1">
      <c r="A5445" s="136"/>
      <c r="CM5445" s="111"/>
      <c r="CQ5445" s="111"/>
      <c r="EF5445"/>
      <c r="EG5445"/>
      <c r="EH5445"/>
      <c r="EI5445"/>
      <c r="EJ5445"/>
      <c r="EK5445"/>
    </row>
    <row r="5446" spans="1:141" s="116" customFormat="1">
      <c r="A5446" s="136"/>
      <c r="CM5446" s="111"/>
      <c r="CQ5446" s="111"/>
      <c r="EF5446"/>
      <c r="EG5446"/>
      <c r="EH5446"/>
      <c r="EI5446"/>
      <c r="EJ5446"/>
      <c r="EK5446"/>
    </row>
    <row r="5447" spans="1:141" s="116" customFormat="1">
      <c r="A5447" s="136"/>
      <c r="CM5447" s="111"/>
      <c r="CQ5447" s="111"/>
      <c r="EF5447"/>
      <c r="EG5447"/>
      <c r="EH5447"/>
      <c r="EI5447"/>
      <c r="EJ5447"/>
      <c r="EK5447"/>
    </row>
    <row r="5448" spans="1:141" s="116" customFormat="1">
      <c r="A5448" s="136"/>
      <c r="CM5448" s="111"/>
      <c r="CQ5448" s="111"/>
      <c r="EF5448"/>
      <c r="EG5448"/>
      <c r="EH5448"/>
      <c r="EI5448"/>
      <c r="EJ5448"/>
      <c r="EK5448"/>
    </row>
    <row r="5449" spans="1:141" s="116" customFormat="1">
      <c r="A5449" s="136"/>
      <c r="CM5449" s="111"/>
      <c r="CQ5449" s="111"/>
      <c r="EF5449"/>
      <c r="EG5449"/>
      <c r="EH5449"/>
      <c r="EI5449"/>
      <c r="EJ5449"/>
      <c r="EK5449"/>
    </row>
    <row r="5450" spans="1:141" s="116" customFormat="1">
      <c r="A5450" s="136"/>
      <c r="CM5450" s="111"/>
      <c r="CQ5450" s="111"/>
      <c r="EF5450"/>
      <c r="EG5450"/>
      <c r="EH5450"/>
      <c r="EI5450"/>
      <c r="EJ5450"/>
      <c r="EK5450"/>
    </row>
    <row r="5451" spans="1:141" s="116" customFormat="1">
      <c r="A5451" s="136"/>
      <c r="CM5451" s="111"/>
      <c r="CQ5451" s="111"/>
      <c r="EF5451"/>
      <c r="EG5451"/>
      <c r="EH5451"/>
      <c r="EI5451"/>
      <c r="EJ5451"/>
      <c r="EK5451"/>
    </row>
    <row r="5452" spans="1:141" s="116" customFormat="1">
      <c r="A5452" s="136"/>
      <c r="CM5452" s="111"/>
      <c r="CQ5452" s="111"/>
      <c r="EF5452"/>
      <c r="EG5452"/>
      <c r="EH5452"/>
      <c r="EI5452"/>
      <c r="EJ5452"/>
      <c r="EK5452"/>
    </row>
    <row r="5453" spans="1:141" s="116" customFormat="1">
      <c r="A5453" s="136"/>
      <c r="CM5453" s="111"/>
      <c r="CQ5453" s="111"/>
      <c r="EF5453"/>
      <c r="EG5453"/>
      <c r="EH5453"/>
      <c r="EI5453"/>
      <c r="EJ5453"/>
      <c r="EK5453"/>
    </row>
    <row r="5454" spans="1:141" s="116" customFormat="1">
      <c r="A5454" s="136"/>
      <c r="CM5454" s="111"/>
      <c r="CQ5454" s="111"/>
      <c r="EF5454"/>
      <c r="EG5454"/>
      <c r="EH5454"/>
      <c r="EI5454"/>
      <c r="EJ5454"/>
      <c r="EK5454"/>
    </row>
    <row r="5455" spans="1:141" s="116" customFormat="1">
      <c r="A5455" s="136"/>
      <c r="CM5455" s="111"/>
      <c r="CQ5455" s="111"/>
      <c r="EF5455"/>
      <c r="EG5455"/>
      <c r="EH5455"/>
      <c r="EI5455"/>
      <c r="EJ5455"/>
      <c r="EK5455"/>
    </row>
    <row r="5456" spans="1:141" s="116" customFormat="1">
      <c r="A5456" s="136"/>
      <c r="CM5456" s="111"/>
      <c r="CQ5456" s="111"/>
      <c r="EF5456"/>
      <c r="EG5456"/>
      <c r="EH5456"/>
      <c r="EI5456"/>
      <c r="EJ5456"/>
      <c r="EK5456"/>
    </row>
    <row r="5457" spans="1:141" s="116" customFormat="1">
      <c r="A5457" s="136"/>
      <c r="CM5457" s="111"/>
      <c r="CQ5457" s="111"/>
      <c r="EF5457"/>
      <c r="EG5457"/>
      <c r="EH5457"/>
      <c r="EI5457"/>
      <c r="EJ5457"/>
      <c r="EK5457"/>
    </row>
    <row r="5458" spans="1:141" s="116" customFormat="1">
      <c r="A5458" s="136"/>
      <c r="CM5458" s="111"/>
      <c r="CQ5458" s="111"/>
      <c r="EF5458"/>
      <c r="EG5458"/>
      <c r="EH5458"/>
      <c r="EI5458"/>
      <c r="EJ5458"/>
      <c r="EK5458"/>
    </row>
    <row r="5459" spans="1:141" s="116" customFormat="1">
      <c r="A5459" s="136"/>
      <c r="CM5459" s="111"/>
      <c r="CQ5459" s="111"/>
      <c r="EF5459"/>
      <c r="EG5459"/>
      <c r="EH5459"/>
      <c r="EI5459"/>
      <c r="EJ5459"/>
      <c r="EK5459"/>
    </row>
    <row r="5460" spans="1:141" s="116" customFormat="1">
      <c r="A5460" s="136"/>
      <c r="CM5460" s="111"/>
      <c r="CQ5460" s="111"/>
      <c r="EF5460"/>
      <c r="EG5460"/>
      <c r="EH5460"/>
      <c r="EI5460"/>
      <c r="EJ5460"/>
      <c r="EK5460"/>
    </row>
    <row r="5461" spans="1:141" s="116" customFormat="1">
      <c r="A5461" s="136"/>
      <c r="CM5461" s="111"/>
      <c r="CQ5461" s="111"/>
      <c r="EF5461"/>
      <c r="EG5461"/>
      <c r="EH5461"/>
      <c r="EI5461"/>
      <c r="EJ5461"/>
      <c r="EK5461"/>
    </row>
    <row r="5462" spans="1:141" s="116" customFormat="1">
      <c r="A5462" s="136"/>
      <c r="CM5462" s="111"/>
      <c r="CQ5462" s="111"/>
      <c r="EF5462"/>
      <c r="EG5462"/>
      <c r="EH5462"/>
      <c r="EI5462"/>
      <c r="EJ5462"/>
      <c r="EK5462"/>
    </row>
    <row r="5463" spans="1:141" s="116" customFormat="1">
      <c r="A5463" s="136"/>
      <c r="CM5463" s="111"/>
      <c r="CQ5463" s="111"/>
      <c r="EF5463"/>
      <c r="EG5463"/>
      <c r="EH5463"/>
      <c r="EI5463"/>
      <c r="EJ5463"/>
      <c r="EK5463"/>
    </row>
    <row r="5464" spans="1:141" s="116" customFormat="1">
      <c r="A5464" s="136"/>
      <c r="CM5464" s="111"/>
      <c r="CQ5464" s="111"/>
      <c r="EF5464"/>
      <c r="EG5464"/>
      <c r="EH5464"/>
      <c r="EI5464"/>
      <c r="EJ5464"/>
      <c r="EK5464"/>
    </row>
    <row r="5465" spans="1:141" s="116" customFormat="1">
      <c r="A5465" s="136"/>
      <c r="CM5465" s="111"/>
      <c r="CQ5465" s="111"/>
      <c r="EF5465"/>
      <c r="EG5465"/>
      <c r="EH5465"/>
      <c r="EI5465"/>
      <c r="EJ5465"/>
      <c r="EK5465"/>
    </row>
    <row r="5466" spans="1:141" s="116" customFormat="1">
      <c r="A5466" s="136"/>
      <c r="CM5466" s="111"/>
      <c r="CQ5466" s="111"/>
      <c r="EF5466"/>
      <c r="EG5466"/>
      <c r="EH5466"/>
      <c r="EI5466"/>
      <c r="EJ5466"/>
      <c r="EK5466"/>
    </row>
    <row r="5467" spans="1:141" s="116" customFormat="1">
      <c r="A5467" s="136"/>
      <c r="CM5467" s="111"/>
      <c r="CQ5467" s="111"/>
      <c r="EF5467"/>
      <c r="EG5467"/>
      <c r="EH5467"/>
      <c r="EI5467"/>
      <c r="EJ5467"/>
      <c r="EK5467"/>
    </row>
    <row r="5468" spans="1:141" s="116" customFormat="1">
      <c r="A5468" s="136"/>
      <c r="CM5468" s="111"/>
      <c r="CQ5468" s="111"/>
      <c r="EF5468"/>
      <c r="EG5468"/>
      <c r="EH5468"/>
      <c r="EI5468"/>
      <c r="EJ5468"/>
      <c r="EK5468"/>
    </row>
    <row r="5469" spans="1:141" s="116" customFormat="1">
      <c r="A5469" s="136"/>
      <c r="CM5469" s="111"/>
      <c r="CQ5469" s="111"/>
      <c r="EF5469"/>
      <c r="EG5469"/>
      <c r="EH5469"/>
      <c r="EI5469"/>
      <c r="EJ5469"/>
      <c r="EK5469"/>
    </row>
    <row r="5470" spans="1:141" s="116" customFormat="1">
      <c r="A5470" s="136"/>
      <c r="CM5470" s="111"/>
      <c r="CQ5470" s="111"/>
      <c r="EF5470"/>
      <c r="EG5470"/>
      <c r="EH5470"/>
      <c r="EI5470"/>
      <c r="EJ5470"/>
      <c r="EK5470"/>
    </row>
    <row r="5471" spans="1:141" s="116" customFormat="1">
      <c r="A5471" s="136"/>
      <c r="CM5471" s="111"/>
      <c r="CQ5471" s="111"/>
      <c r="EF5471"/>
      <c r="EG5471"/>
      <c r="EH5471"/>
      <c r="EI5471"/>
      <c r="EJ5471"/>
      <c r="EK5471"/>
    </row>
    <row r="5472" spans="1:141" s="116" customFormat="1">
      <c r="A5472" s="136"/>
      <c r="CM5472" s="111"/>
      <c r="CQ5472" s="111"/>
      <c r="EF5472"/>
      <c r="EG5472"/>
      <c r="EH5472"/>
      <c r="EI5472"/>
      <c r="EJ5472"/>
      <c r="EK5472"/>
    </row>
    <row r="5473" spans="1:141" s="116" customFormat="1">
      <c r="A5473" s="136"/>
      <c r="CM5473" s="111"/>
      <c r="CQ5473" s="111"/>
      <c r="EF5473"/>
      <c r="EG5473"/>
      <c r="EH5473"/>
      <c r="EI5473"/>
      <c r="EJ5473"/>
      <c r="EK5473"/>
    </row>
    <row r="5474" spans="1:141" s="116" customFormat="1">
      <c r="A5474" s="136"/>
      <c r="CM5474" s="111"/>
      <c r="CQ5474" s="111"/>
      <c r="EF5474"/>
      <c r="EG5474"/>
      <c r="EH5474"/>
      <c r="EI5474"/>
      <c r="EJ5474"/>
      <c r="EK5474"/>
    </row>
    <row r="5475" spans="1:141" s="116" customFormat="1">
      <c r="A5475" s="136"/>
      <c r="CM5475" s="111"/>
      <c r="CQ5475" s="111"/>
      <c r="EF5475"/>
      <c r="EG5475"/>
      <c r="EH5475"/>
      <c r="EI5475"/>
      <c r="EJ5475"/>
      <c r="EK5475"/>
    </row>
    <row r="5476" spans="1:141" s="116" customFormat="1">
      <c r="A5476" s="136"/>
      <c r="CM5476" s="111"/>
      <c r="CQ5476" s="111"/>
      <c r="EF5476"/>
      <c r="EG5476"/>
      <c r="EH5476"/>
      <c r="EI5476"/>
      <c r="EJ5476"/>
      <c r="EK5476"/>
    </row>
    <row r="5477" spans="1:141" s="116" customFormat="1">
      <c r="A5477" s="136"/>
      <c r="CM5477" s="111"/>
      <c r="CQ5477" s="111"/>
      <c r="EF5477"/>
      <c r="EG5477"/>
      <c r="EH5477"/>
      <c r="EI5477"/>
      <c r="EJ5477"/>
      <c r="EK5477"/>
    </row>
    <row r="5478" spans="1:141" s="116" customFormat="1">
      <c r="A5478" s="136"/>
      <c r="CM5478" s="111"/>
      <c r="CQ5478" s="111"/>
      <c r="EF5478"/>
      <c r="EG5478"/>
      <c r="EH5478"/>
      <c r="EI5478"/>
      <c r="EJ5478"/>
      <c r="EK5478"/>
    </row>
    <row r="5479" spans="1:141" s="116" customFormat="1">
      <c r="A5479" s="136"/>
      <c r="CM5479" s="111"/>
      <c r="CQ5479" s="111"/>
      <c r="EF5479"/>
      <c r="EG5479"/>
      <c r="EH5479"/>
      <c r="EI5479"/>
      <c r="EJ5479"/>
      <c r="EK5479"/>
    </row>
    <row r="5480" spans="1:141" s="116" customFormat="1">
      <c r="A5480" s="136"/>
      <c r="CM5480" s="111"/>
      <c r="CQ5480" s="111"/>
      <c r="EF5480"/>
      <c r="EG5480"/>
      <c r="EH5480"/>
      <c r="EI5480"/>
      <c r="EJ5480"/>
      <c r="EK5480"/>
    </row>
    <row r="5481" spans="1:141" s="116" customFormat="1">
      <c r="A5481" s="136"/>
      <c r="CM5481" s="111"/>
      <c r="CQ5481" s="111"/>
      <c r="EF5481"/>
      <c r="EG5481"/>
      <c r="EH5481"/>
      <c r="EI5481"/>
      <c r="EJ5481"/>
      <c r="EK5481"/>
    </row>
    <row r="5482" spans="1:141" s="116" customFormat="1">
      <c r="A5482" s="136"/>
      <c r="CM5482" s="111"/>
      <c r="CQ5482" s="111"/>
      <c r="EF5482"/>
      <c r="EG5482"/>
      <c r="EH5482"/>
      <c r="EI5482"/>
      <c r="EJ5482"/>
      <c r="EK5482"/>
    </row>
    <row r="5483" spans="1:141" s="116" customFormat="1">
      <c r="A5483" s="136"/>
      <c r="CM5483" s="111"/>
      <c r="CQ5483" s="111"/>
      <c r="EF5483"/>
      <c r="EG5483"/>
      <c r="EH5483"/>
      <c r="EI5483"/>
      <c r="EJ5483"/>
      <c r="EK5483"/>
    </row>
    <row r="5484" spans="1:141" s="116" customFormat="1">
      <c r="A5484" s="136"/>
      <c r="CM5484" s="111"/>
      <c r="CQ5484" s="111"/>
      <c r="EF5484"/>
      <c r="EG5484"/>
      <c r="EH5484"/>
      <c r="EI5484"/>
      <c r="EJ5484"/>
      <c r="EK5484"/>
    </row>
    <row r="5485" spans="1:141" s="116" customFormat="1">
      <c r="A5485" s="136"/>
      <c r="CM5485" s="111"/>
      <c r="CQ5485" s="111"/>
      <c r="EF5485"/>
      <c r="EG5485"/>
      <c r="EH5485"/>
      <c r="EI5485"/>
      <c r="EJ5485"/>
      <c r="EK5485"/>
    </row>
    <row r="5486" spans="1:141" s="116" customFormat="1">
      <c r="A5486" s="136"/>
      <c r="CM5486" s="111"/>
      <c r="CQ5486" s="111"/>
      <c r="EF5486"/>
      <c r="EG5486"/>
      <c r="EH5486"/>
      <c r="EI5486"/>
      <c r="EJ5486"/>
      <c r="EK5486"/>
    </row>
    <row r="5487" spans="1:141" s="116" customFormat="1">
      <c r="A5487" s="136"/>
      <c r="CM5487" s="111"/>
      <c r="CQ5487" s="111"/>
      <c r="EF5487"/>
      <c r="EG5487"/>
      <c r="EH5487"/>
      <c r="EI5487"/>
      <c r="EJ5487"/>
      <c r="EK5487"/>
    </row>
    <row r="5488" spans="1:141" s="116" customFormat="1">
      <c r="A5488" s="136"/>
      <c r="CM5488" s="111"/>
      <c r="CQ5488" s="111"/>
      <c r="EF5488"/>
      <c r="EG5488"/>
      <c r="EH5488"/>
      <c r="EI5488"/>
      <c r="EJ5488"/>
      <c r="EK5488"/>
    </row>
    <row r="5489" spans="1:141" s="116" customFormat="1">
      <c r="A5489" s="136"/>
      <c r="CM5489" s="111"/>
      <c r="CQ5489" s="111"/>
      <c r="EF5489"/>
      <c r="EG5489"/>
      <c r="EH5489"/>
      <c r="EI5489"/>
      <c r="EJ5489"/>
      <c r="EK5489"/>
    </row>
    <row r="5490" spans="1:141" s="116" customFormat="1">
      <c r="A5490" s="136"/>
      <c r="CM5490" s="111"/>
      <c r="CQ5490" s="111"/>
      <c r="EF5490"/>
      <c r="EG5490"/>
      <c r="EH5490"/>
      <c r="EI5490"/>
      <c r="EJ5490"/>
      <c r="EK5490"/>
    </row>
    <row r="5491" spans="1:141" s="116" customFormat="1">
      <c r="A5491" s="136"/>
      <c r="CM5491" s="111"/>
      <c r="CQ5491" s="111"/>
      <c r="EF5491"/>
      <c r="EG5491"/>
      <c r="EH5491"/>
      <c r="EI5491"/>
      <c r="EJ5491"/>
      <c r="EK5491"/>
    </row>
    <row r="5492" spans="1:141" s="116" customFormat="1">
      <c r="A5492" s="136"/>
      <c r="CM5492" s="111"/>
      <c r="CQ5492" s="111"/>
      <c r="EF5492"/>
      <c r="EG5492"/>
      <c r="EH5492"/>
      <c r="EI5492"/>
      <c r="EJ5492"/>
      <c r="EK5492"/>
    </row>
    <row r="5493" spans="1:141" s="116" customFormat="1">
      <c r="A5493" s="136"/>
      <c r="CM5493" s="111"/>
      <c r="CQ5493" s="111"/>
      <c r="EF5493"/>
      <c r="EG5493"/>
      <c r="EH5493"/>
      <c r="EI5493"/>
      <c r="EJ5493"/>
      <c r="EK5493"/>
    </row>
    <row r="5494" spans="1:141" s="116" customFormat="1">
      <c r="A5494" s="136"/>
      <c r="CM5494" s="111"/>
      <c r="CQ5494" s="111"/>
      <c r="EF5494"/>
      <c r="EG5494"/>
      <c r="EH5494"/>
      <c r="EI5494"/>
      <c r="EJ5494"/>
      <c r="EK5494"/>
    </row>
    <row r="5495" spans="1:141" s="116" customFormat="1">
      <c r="A5495" s="136"/>
      <c r="CM5495" s="111"/>
      <c r="CQ5495" s="111"/>
      <c r="EF5495"/>
      <c r="EG5495"/>
      <c r="EH5495"/>
      <c r="EI5495"/>
      <c r="EJ5495"/>
      <c r="EK5495"/>
    </row>
    <row r="5496" spans="1:141" s="116" customFormat="1">
      <c r="A5496" s="136"/>
      <c r="CM5496" s="111"/>
      <c r="CQ5496" s="111"/>
      <c r="EF5496"/>
      <c r="EG5496"/>
      <c r="EH5496"/>
      <c r="EI5496"/>
      <c r="EJ5496"/>
      <c r="EK5496"/>
    </row>
    <row r="5497" spans="1:141" s="116" customFormat="1">
      <c r="A5497" s="136"/>
      <c r="CM5497" s="111"/>
      <c r="CQ5497" s="111"/>
      <c r="EF5497"/>
      <c r="EG5497"/>
      <c r="EH5497"/>
      <c r="EI5497"/>
      <c r="EJ5497"/>
      <c r="EK5497"/>
    </row>
    <row r="5498" spans="1:141" s="116" customFormat="1">
      <c r="A5498" s="136"/>
      <c r="CM5498" s="111"/>
      <c r="CQ5498" s="111"/>
      <c r="EF5498"/>
      <c r="EG5498"/>
      <c r="EH5498"/>
      <c r="EI5498"/>
      <c r="EJ5498"/>
      <c r="EK5498"/>
    </row>
    <row r="5499" spans="1:141" s="116" customFormat="1">
      <c r="A5499" s="136"/>
      <c r="CM5499" s="111"/>
      <c r="CQ5499" s="111"/>
      <c r="EF5499"/>
      <c r="EG5499"/>
      <c r="EH5499"/>
      <c r="EI5499"/>
      <c r="EJ5499"/>
      <c r="EK5499"/>
    </row>
    <row r="5500" spans="1:141" s="116" customFormat="1">
      <c r="A5500" s="136"/>
      <c r="CM5500" s="111"/>
      <c r="CQ5500" s="111"/>
      <c r="EF5500"/>
      <c r="EG5500"/>
      <c r="EH5500"/>
      <c r="EI5500"/>
      <c r="EJ5500"/>
      <c r="EK5500"/>
    </row>
    <row r="5501" spans="1:141" s="116" customFormat="1">
      <c r="A5501" s="136"/>
      <c r="CM5501" s="111"/>
      <c r="CQ5501" s="111"/>
      <c r="EF5501"/>
      <c r="EG5501"/>
      <c r="EH5501"/>
      <c r="EI5501"/>
      <c r="EJ5501"/>
      <c r="EK5501"/>
    </row>
    <row r="5502" spans="1:141" s="116" customFormat="1">
      <c r="A5502" s="136"/>
      <c r="CM5502" s="111"/>
      <c r="CQ5502" s="111"/>
      <c r="EF5502"/>
      <c r="EG5502"/>
      <c r="EH5502"/>
      <c r="EI5502"/>
      <c r="EJ5502"/>
      <c r="EK5502"/>
    </row>
    <row r="5503" spans="1:141" s="116" customFormat="1">
      <c r="A5503" s="136"/>
      <c r="CM5503" s="111"/>
      <c r="CQ5503" s="111"/>
      <c r="EF5503"/>
      <c r="EG5503"/>
      <c r="EH5503"/>
      <c r="EI5503"/>
      <c r="EJ5503"/>
      <c r="EK5503"/>
    </row>
    <row r="5504" spans="1:141" s="116" customFormat="1">
      <c r="A5504" s="136"/>
      <c r="CM5504" s="111"/>
      <c r="CQ5504" s="111"/>
      <c r="EF5504"/>
      <c r="EG5504"/>
      <c r="EH5504"/>
      <c r="EI5504"/>
      <c r="EJ5504"/>
      <c r="EK5504"/>
    </row>
    <row r="5505" spans="1:141" s="116" customFormat="1">
      <c r="A5505" s="136"/>
      <c r="CM5505" s="111"/>
      <c r="CQ5505" s="111"/>
      <c r="EF5505"/>
      <c r="EG5505"/>
      <c r="EH5505"/>
      <c r="EI5505"/>
      <c r="EJ5505"/>
      <c r="EK5505"/>
    </row>
    <row r="5506" spans="1:141" s="116" customFormat="1">
      <c r="A5506" s="136"/>
      <c r="CM5506" s="111"/>
      <c r="CQ5506" s="111"/>
      <c r="EF5506"/>
      <c r="EG5506"/>
      <c r="EH5506"/>
      <c r="EI5506"/>
      <c r="EJ5506"/>
      <c r="EK5506"/>
    </row>
    <row r="5507" spans="1:141" s="116" customFormat="1">
      <c r="A5507" s="136"/>
      <c r="CM5507" s="111"/>
      <c r="CQ5507" s="111"/>
      <c r="EF5507"/>
      <c r="EG5507"/>
      <c r="EH5507"/>
      <c r="EI5507"/>
      <c r="EJ5507"/>
      <c r="EK5507"/>
    </row>
    <row r="5508" spans="1:141" s="116" customFormat="1">
      <c r="A5508" s="136"/>
      <c r="CM5508" s="111"/>
      <c r="CQ5508" s="111"/>
      <c r="EF5508"/>
      <c r="EG5508"/>
      <c r="EH5508"/>
      <c r="EI5508"/>
      <c r="EJ5508"/>
      <c r="EK5508"/>
    </row>
    <row r="5509" spans="1:141" s="116" customFormat="1">
      <c r="A5509" s="136"/>
      <c r="CM5509" s="111"/>
      <c r="CQ5509" s="111"/>
      <c r="EF5509"/>
      <c r="EG5509"/>
      <c r="EH5509"/>
      <c r="EI5509"/>
      <c r="EJ5509"/>
      <c r="EK5509"/>
    </row>
    <row r="5510" spans="1:141" s="116" customFormat="1">
      <c r="A5510" s="136"/>
      <c r="CM5510" s="111"/>
      <c r="CQ5510" s="111"/>
      <c r="EF5510"/>
      <c r="EG5510"/>
      <c r="EH5510"/>
      <c r="EI5510"/>
      <c r="EJ5510"/>
      <c r="EK5510"/>
    </row>
    <row r="5511" spans="1:141" s="116" customFormat="1">
      <c r="A5511" s="136"/>
      <c r="CM5511" s="111"/>
      <c r="CQ5511" s="111"/>
      <c r="EF5511"/>
      <c r="EG5511"/>
      <c r="EH5511"/>
      <c r="EI5511"/>
      <c r="EJ5511"/>
      <c r="EK5511"/>
    </row>
    <row r="5512" spans="1:141" s="116" customFormat="1">
      <c r="A5512" s="136"/>
      <c r="CM5512" s="111"/>
      <c r="CQ5512" s="111"/>
      <c r="EF5512"/>
      <c r="EG5512"/>
      <c r="EH5512"/>
      <c r="EI5512"/>
      <c r="EJ5512"/>
      <c r="EK5512"/>
    </row>
    <row r="5513" spans="1:141" s="116" customFormat="1">
      <c r="A5513" s="136"/>
      <c r="CM5513" s="111"/>
      <c r="CQ5513" s="111"/>
      <c r="EF5513"/>
      <c r="EG5513"/>
      <c r="EH5513"/>
      <c r="EI5513"/>
      <c r="EJ5513"/>
      <c r="EK5513"/>
    </row>
    <row r="5514" spans="1:141" s="116" customFormat="1">
      <c r="A5514" s="136"/>
      <c r="CM5514" s="111"/>
      <c r="CQ5514" s="111"/>
      <c r="EF5514"/>
      <c r="EG5514"/>
      <c r="EH5514"/>
      <c r="EI5514"/>
      <c r="EJ5514"/>
      <c r="EK5514"/>
    </row>
    <row r="5515" spans="1:141" s="116" customFormat="1">
      <c r="A5515" s="136"/>
      <c r="CM5515" s="111"/>
      <c r="CQ5515" s="111"/>
      <c r="EF5515"/>
      <c r="EG5515"/>
      <c r="EH5515"/>
      <c r="EI5515"/>
      <c r="EJ5515"/>
      <c r="EK5515"/>
    </row>
    <row r="5516" spans="1:141" s="116" customFormat="1">
      <c r="A5516" s="136"/>
      <c r="CM5516" s="111"/>
      <c r="CQ5516" s="111"/>
      <c r="EF5516"/>
      <c r="EG5516"/>
      <c r="EH5516"/>
      <c r="EI5516"/>
      <c r="EJ5516"/>
      <c r="EK5516"/>
    </row>
    <row r="5517" spans="1:141" s="116" customFormat="1">
      <c r="A5517" s="136"/>
      <c r="CM5517" s="111"/>
      <c r="CQ5517" s="111"/>
      <c r="EF5517"/>
      <c r="EG5517"/>
      <c r="EH5517"/>
      <c r="EI5517"/>
      <c r="EJ5517"/>
      <c r="EK5517"/>
    </row>
    <row r="5518" spans="1:141" s="116" customFormat="1">
      <c r="A5518" s="136"/>
      <c r="CM5518" s="111"/>
      <c r="CQ5518" s="111"/>
      <c r="EF5518"/>
      <c r="EG5518"/>
      <c r="EH5518"/>
      <c r="EI5518"/>
      <c r="EJ5518"/>
      <c r="EK5518"/>
    </row>
    <row r="5519" spans="1:141" s="116" customFormat="1">
      <c r="A5519" s="136"/>
      <c r="CM5519" s="111"/>
      <c r="CQ5519" s="111"/>
      <c r="EF5519"/>
      <c r="EG5519"/>
      <c r="EH5519"/>
      <c r="EI5519"/>
      <c r="EJ5519"/>
      <c r="EK5519"/>
    </row>
    <row r="5520" spans="1:141" s="116" customFormat="1">
      <c r="A5520" s="136"/>
      <c r="CM5520" s="111"/>
      <c r="CQ5520" s="111"/>
      <c r="EF5520"/>
      <c r="EG5520"/>
      <c r="EH5520"/>
      <c r="EI5520"/>
      <c r="EJ5520"/>
      <c r="EK5520"/>
    </row>
    <row r="5521" spans="1:141" s="116" customFormat="1">
      <c r="A5521" s="136"/>
      <c r="CM5521" s="111"/>
      <c r="CQ5521" s="111"/>
      <c r="EF5521"/>
      <c r="EG5521"/>
      <c r="EH5521"/>
      <c r="EI5521"/>
      <c r="EJ5521"/>
      <c r="EK5521"/>
    </row>
    <row r="5522" spans="1:141" s="116" customFormat="1">
      <c r="A5522" s="136"/>
      <c r="CM5522" s="111"/>
      <c r="CQ5522" s="111"/>
      <c r="EF5522"/>
      <c r="EG5522"/>
      <c r="EH5522"/>
      <c r="EI5522"/>
      <c r="EJ5522"/>
      <c r="EK5522"/>
    </row>
    <row r="5523" spans="1:141" s="116" customFormat="1">
      <c r="A5523" s="136"/>
      <c r="CM5523" s="111"/>
      <c r="CQ5523" s="111"/>
      <c r="EF5523"/>
      <c r="EG5523"/>
      <c r="EH5523"/>
      <c r="EI5523"/>
      <c r="EJ5523"/>
      <c r="EK5523"/>
    </row>
    <row r="5524" spans="1:141" s="116" customFormat="1">
      <c r="A5524" s="136"/>
      <c r="CM5524" s="111"/>
      <c r="CQ5524" s="111"/>
      <c r="EF5524"/>
      <c r="EG5524"/>
      <c r="EH5524"/>
      <c r="EI5524"/>
      <c r="EJ5524"/>
      <c r="EK5524"/>
    </row>
    <row r="5525" spans="1:141" s="116" customFormat="1">
      <c r="A5525" s="136"/>
      <c r="CM5525" s="111"/>
      <c r="CQ5525" s="111"/>
      <c r="EF5525"/>
      <c r="EG5525"/>
      <c r="EH5525"/>
      <c r="EI5525"/>
      <c r="EJ5525"/>
      <c r="EK5525"/>
    </row>
    <row r="5526" spans="1:141" s="116" customFormat="1">
      <c r="A5526" s="136"/>
      <c r="CM5526" s="111"/>
      <c r="CQ5526" s="111"/>
      <c r="EF5526"/>
      <c r="EG5526"/>
      <c r="EH5526"/>
      <c r="EI5526"/>
      <c r="EJ5526"/>
      <c r="EK5526"/>
    </row>
    <row r="5527" spans="1:141" s="116" customFormat="1">
      <c r="A5527" s="136"/>
      <c r="CM5527" s="111"/>
      <c r="CQ5527" s="111"/>
      <c r="EF5527"/>
      <c r="EG5527"/>
      <c r="EH5527"/>
      <c r="EI5527"/>
      <c r="EJ5527"/>
      <c r="EK5527"/>
    </row>
    <row r="5528" spans="1:141" s="116" customFormat="1">
      <c r="A5528" s="136"/>
      <c r="CM5528" s="111"/>
      <c r="CQ5528" s="111"/>
      <c r="EF5528"/>
      <c r="EG5528"/>
      <c r="EH5528"/>
      <c r="EI5528"/>
      <c r="EJ5528"/>
      <c r="EK5528"/>
    </row>
    <row r="5529" spans="1:141" s="116" customFormat="1">
      <c r="A5529" s="136"/>
      <c r="CM5529" s="111"/>
      <c r="CQ5529" s="111"/>
      <c r="EF5529"/>
      <c r="EG5529"/>
      <c r="EH5529"/>
      <c r="EI5529"/>
      <c r="EJ5529"/>
      <c r="EK5529"/>
    </row>
    <row r="5530" spans="1:141" s="116" customFormat="1">
      <c r="A5530" s="136"/>
      <c r="CM5530" s="111"/>
      <c r="CQ5530" s="111"/>
      <c r="EF5530"/>
      <c r="EG5530"/>
      <c r="EH5530"/>
      <c r="EI5530"/>
      <c r="EJ5530"/>
      <c r="EK5530"/>
    </row>
    <row r="5531" spans="1:141" s="116" customFormat="1">
      <c r="A5531" s="136"/>
      <c r="CM5531" s="111"/>
      <c r="CQ5531" s="111"/>
      <c r="EF5531"/>
      <c r="EG5531"/>
      <c r="EH5531"/>
      <c r="EI5531"/>
      <c r="EJ5531"/>
      <c r="EK5531"/>
    </row>
    <row r="5532" spans="1:141" s="116" customFormat="1">
      <c r="A5532" s="136"/>
      <c r="CM5532" s="111"/>
      <c r="CQ5532" s="111"/>
      <c r="EF5532"/>
      <c r="EG5532"/>
      <c r="EH5532"/>
      <c r="EI5532"/>
      <c r="EJ5532"/>
      <c r="EK5532"/>
    </row>
    <row r="5533" spans="1:141" s="116" customFormat="1">
      <c r="A5533" s="136"/>
      <c r="CM5533" s="111"/>
      <c r="CQ5533" s="111"/>
      <c r="EF5533"/>
      <c r="EG5533"/>
      <c r="EH5533"/>
      <c r="EI5533"/>
      <c r="EJ5533"/>
      <c r="EK5533"/>
    </row>
    <row r="5534" spans="1:141" s="116" customFormat="1">
      <c r="A5534" s="136"/>
      <c r="CM5534" s="111"/>
      <c r="CQ5534" s="111"/>
      <c r="EF5534"/>
      <c r="EG5534"/>
      <c r="EH5534"/>
      <c r="EI5534"/>
      <c r="EJ5534"/>
      <c r="EK5534"/>
    </row>
    <row r="5535" spans="1:141" s="116" customFormat="1">
      <c r="A5535" s="136"/>
      <c r="CM5535" s="111"/>
      <c r="CQ5535" s="111"/>
      <c r="EF5535"/>
      <c r="EG5535"/>
      <c r="EH5535"/>
      <c r="EI5535"/>
      <c r="EJ5535"/>
      <c r="EK5535"/>
    </row>
    <row r="5536" spans="1:141" s="116" customFormat="1">
      <c r="A5536" s="136"/>
      <c r="CM5536" s="111"/>
      <c r="CQ5536" s="111"/>
      <c r="EF5536"/>
      <c r="EG5536"/>
      <c r="EH5536"/>
      <c r="EI5536"/>
      <c r="EJ5536"/>
      <c r="EK5536"/>
    </row>
    <row r="5537" spans="1:141" s="116" customFormat="1">
      <c r="A5537" s="136"/>
      <c r="CM5537" s="111"/>
      <c r="CQ5537" s="111"/>
      <c r="EF5537"/>
      <c r="EG5537"/>
      <c r="EH5537"/>
      <c r="EI5537"/>
      <c r="EJ5537"/>
      <c r="EK5537"/>
    </row>
    <row r="5538" spans="1:141" s="116" customFormat="1">
      <c r="A5538" s="136"/>
      <c r="CM5538" s="111"/>
      <c r="CQ5538" s="111"/>
      <c r="EF5538"/>
      <c r="EG5538"/>
      <c r="EH5538"/>
      <c r="EI5538"/>
      <c r="EJ5538"/>
      <c r="EK5538"/>
    </row>
    <row r="5539" spans="1:141" s="116" customFormat="1">
      <c r="A5539" s="136"/>
      <c r="CM5539" s="111"/>
      <c r="CQ5539" s="111"/>
      <c r="EF5539"/>
      <c r="EG5539"/>
      <c r="EH5539"/>
      <c r="EI5539"/>
      <c r="EJ5539"/>
      <c r="EK5539"/>
    </row>
    <row r="5540" spans="1:141" s="116" customFormat="1">
      <c r="A5540" s="136"/>
      <c r="CM5540" s="111"/>
      <c r="CQ5540" s="111"/>
      <c r="EF5540"/>
      <c r="EG5540"/>
      <c r="EH5540"/>
      <c r="EI5540"/>
      <c r="EJ5540"/>
      <c r="EK5540"/>
    </row>
    <row r="5541" spans="1:141" s="116" customFormat="1">
      <c r="A5541" s="136"/>
      <c r="CM5541" s="111"/>
      <c r="CQ5541" s="111"/>
      <c r="EF5541"/>
      <c r="EG5541"/>
      <c r="EH5541"/>
      <c r="EI5541"/>
      <c r="EJ5541"/>
      <c r="EK5541"/>
    </row>
    <row r="5542" spans="1:141" s="116" customFormat="1">
      <c r="A5542" s="136"/>
      <c r="CM5542" s="111"/>
      <c r="CQ5542" s="111"/>
      <c r="EF5542"/>
      <c r="EG5542"/>
      <c r="EH5542"/>
      <c r="EI5542"/>
      <c r="EJ5542"/>
      <c r="EK5542"/>
    </row>
    <row r="5543" spans="1:141" s="116" customFormat="1">
      <c r="A5543" s="136"/>
      <c r="CM5543" s="111"/>
      <c r="CQ5543" s="111"/>
      <c r="EF5543"/>
      <c r="EG5543"/>
      <c r="EH5543"/>
      <c r="EI5543"/>
      <c r="EJ5543"/>
      <c r="EK5543"/>
    </row>
    <row r="5544" spans="1:141" s="116" customFormat="1">
      <c r="A5544" s="136"/>
      <c r="CM5544" s="111"/>
      <c r="CQ5544" s="111"/>
      <c r="EF5544"/>
      <c r="EG5544"/>
      <c r="EH5544"/>
      <c r="EI5544"/>
      <c r="EJ5544"/>
      <c r="EK5544"/>
    </row>
    <row r="5545" spans="1:141" s="116" customFormat="1">
      <c r="A5545" s="136"/>
      <c r="CM5545" s="111"/>
      <c r="CQ5545" s="111"/>
      <c r="EF5545"/>
      <c r="EG5545"/>
      <c r="EH5545"/>
      <c r="EI5545"/>
      <c r="EJ5545"/>
      <c r="EK5545"/>
    </row>
    <row r="5546" spans="1:141" s="116" customFormat="1">
      <c r="A5546" s="136"/>
      <c r="CM5546" s="111"/>
      <c r="CQ5546" s="111"/>
      <c r="EF5546"/>
      <c r="EG5546"/>
      <c r="EH5546"/>
      <c r="EI5546"/>
      <c r="EJ5546"/>
      <c r="EK5546"/>
    </row>
    <row r="5547" spans="1:141" s="116" customFormat="1">
      <c r="A5547" s="136"/>
      <c r="CM5547" s="111"/>
      <c r="CQ5547" s="111"/>
      <c r="EF5547"/>
      <c r="EG5547"/>
      <c r="EH5547"/>
      <c r="EI5547"/>
      <c r="EJ5547"/>
      <c r="EK5547"/>
    </row>
    <row r="5548" spans="1:141" s="116" customFormat="1">
      <c r="A5548" s="136"/>
      <c r="CM5548" s="111"/>
      <c r="CQ5548" s="111"/>
      <c r="EF5548"/>
      <c r="EG5548"/>
      <c r="EH5548"/>
      <c r="EI5548"/>
      <c r="EJ5548"/>
      <c r="EK5548"/>
    </row>
    <row r="5549" spans="1:141" s="116" customFormat="1">
      <c r="A5549" s="136"/>
      <c r="CM5549" s="111"/>
      <c r="CQ5549" s="111"/>
      <c r="EF5549"/>
      <c r="EG5549"/>
      <c r="EH5549"/>
      <c r="EI5549"/>
      <c r="EJ5549"/>
      <c r="EK5549"/>
    </row>
    <row r="5550" spans="1:141" s="116" customFormat="1">
      <c r="A5550" s="136"/>
      <c r="CM5550" s="111"/>
      <c r="CQ5550" s="111"/>
      <c r="EF5550"/>
      <c r="EG5550"/>
      <c r="EH5550"/>
      <c r="EI5550"/>
      <c r="EJ5550"/>
      <c r="EK5550"/>
    </row>
    <row r="5551" spans="1:141" s="116" customFormat="1">
      <c r="A5551" s="136"/>
      <c r="CM5551" s="111"/>
      <c r="CQ5551" s="111"/>
      <c r="EF5551"/>
      <c r="EG5551"/>
      <c r="EH5551"/>
      <c r="EI5551"/>
      <c r="EJ5551"/>
      <c r="EK5551"/>
    </row>
    <row r="5552" spans="1:141" s="116" customFormat="1">
      <c r="A5552" s="136"/>
      <c r="CM5552" s="111"/>
      <c r="CQ5552" s="111"/>
      <c r="EF5552"/>
      <c r="EG5552"/>
      <c r="EH5552"/>
      <c r="EI5552"/>
      <c r="EJ5552"/>
      <c r="EK5552"/>
    </row>
    <row r="5553" spans="1:141" s="116" customFormat="1">
      <c r="A5553" s="136"/>
      <c r="CM5553" s="111"/>
      <c r="CQ5553" s="111"/>
      <c r="EF5553"/>
      <c r="EG5553"/>
      <c r="EH5553"/>
      <c r="EI5553"/>
      <c r="EJ5553"/>
      <c r="EK5553"/>
    </row>
    <row r="5554" spans="1:141" s="116" customFormat="1">
      <c r="A5554" s="136"/>
      <c r="CM5554" s="111"/>
      <c r="CQ5554" s="111"/>
      <c r="EF5554"/>
      <c r="EG5554"/>
      <c r="EH5554"/>
      <c r="EI5554"/>
      <c r="EJ5554"/>
      <c r="EK5554"/>
    </row>
    <row r="5555" spans="1:141" s="116" customFormat="1">
      <c r="A5555" s="136"/>
      <c r="CM5555" s="111"/>
      <c r="CQ5555" s="111"/>
      <c r="EF5555"/>
      <c r="EG5555"/>
      <c r="EH5555"/>
      <c r="EI5555"/>
      <c r="EJ5555"/>
      <c r="EK5555"/>
    </row>
    <row r="5556" spans="1:141" s="116" customFormat="1">
      <c r="A5556" s="136"/>
      <c r="CM5556" s="111"/>
      <c r="CQ5556" s="111"/>
      <c r="EF5556"/>
      <c r="EG5556"/>
      <c r="EH5556"/>
      <c r="EI5556"/>
      <c r="EJ5556"/>
      <c r="EK5556"/>
    </row>
    <row r="5557" spans="1:141" s="116" customFormat="1">
      <c r="A5557" s="136"/>
      <c r="CM5557" s="111"/>
      <c r="CQ5557" s="111"/>
      <c r="EF5557"/>
      <c r="EG5557"/>
      <c r="EH5557"/>
      <c r="EI5557"/>
      <c r="EJ5557"/>
      <c r="EK5557"/>
    </row>
    <row r="5558" spans="1:141" s="116" customFormat="1">
      <c r="A5558" s="136"/>
      <c r="CM5558" s="111"/>
      <c r="CQ5558" s="111"/>
      <c r="EF5558"/>
      <c r="EG5558"/>
      <c r="EH5558"/>
      <c r="EI5558"/>
      <c r="EJ5558"/>
      <c r="EK5558"/>
    </row>
    <row r="5559" spans="1:141" s="116" customFormat="1">
      <c r="A5559" s="136"/>
      <c r="CM5559" s="111"/>
      <c r="CQ5559" s="111"/>
      <c r="EF5559"/>
      <c r="EG5559"/>
      <c r="EH5559"/>
      <c r="EI5559"/>
      <c r="EJ5559"/>
      <c r="EK5559"/>
    </row>
    <row r="5560" spans="1:141" s="116" customFormat="1">
      <c r="A5560" s="136"/>
      <c r="CM5560" s="111"/>
      <c r="CQ5560" s="111"/>
      <c r="EF5560"/>
      <c r="EG5560"/>
      <c r="EH5560"/>
      <c r="EI5560"/>
      <c r="EJ5560"/>
      <c r="EK5560"/>
    </row>
    <row r="5561" spans="1:141" s="116" customFormat="1">
      <c r="A5561" s="136"/>
      <c r="CM5561" s="111"/>
      <c r="CQ5561" s="111"/>
      <c r="EF5561"/>
      <c r="EG5561"/>
      <c r="EH5561"/>
      <c r="EI5561"/>
      <c r="EJ5561"/>
      <c r="EK5561"/>
    </row>
    <row r="5562" spans="1:141" s="116" customFormat="1">
      <c r="A5562" s="136"/>
      <c r="CM5562" s="111"/>
      <c r="CQ5562" s="111"/>
      <c r="EF5562"/>
      <c r="EG5562"/>
      <c r="EH5562"/>
      <c r="EI5562"/>
      <c r="EJ5562"/>
      <c r="EK5562"/>
    </row>
    <row r="5563" spans="1:141" s="116" customFormat="1">
      <c r="A5563" s="136"/>
      <c r="CM5563" s="111"/>
      <c r="CQ5563" s="111"/>
      <c r="EF5563"/>
      <c r="EG5563"/>
      <c r="EH5563"/>
      <c r="EI5563"/>
      <c r="EJ5563"/>
      <c r="EK5563"/>
    </row>
    <row r="5564" spans="1:141" s="116" customFormat="1">
      <c r="A5564" s="136"/>
      <c r="CM5564" s="111"/>
      <c r="CQ5564" s="111"/>
      <c r="EF5564"/>
      <c r="EG5564"/>
      <c r="EH5564"/>
      <c r="EI5564"/>
      <c r="EJ5564"/>
      <c r="EK5564"/>
    </row>
    <row r="5565" spans="1:141" s="116" customFormat="1">
      <c r="A5565" s="136"/>
      <c r="CM5565" s="111"/>
      <c r="CQ5565" s="111"/>
      <c r="EF5565"/>
      <c r="EG5565"/>
      <c r="EH5565"/>
      <c r="EI5565"/>
      <c r="EJ5565"/>
      <c r="EK5565"/>
    </row>
    <row r="5566" spans="1:141" s="116" customFormat="1">
      <c r="A5566" s="136"/>
      <c r="CM5566" s="111"/>
      <c r="CQ5566" s="111"/>
      <c r="EF5566"/>
      <c r="EG5566"/>
      <c r="EH5566"/>
      <c r="EI5566"/>
      <c r="EJ5566"/>
      <c r="EK5566"/>
    </row>
    <row r="5567" spans="1:141" s="116" customFormat="1">
      <c r="A5567" s="136"/>
      <c r="CM5567" s="111"/>
      <c r="CQ5567" s="111"/>
      <c r="EF5567"/>
      <c r="EG5567"/>
      <c r="EH5567"/>
      <c r="EI5567"/>
      <c r="EJ5567"/>
      <c r="EK5567"/>
    </row>
    <row r="5568" spans="1:141" s="116" customFormat="1">
      <c r="A5568" s="136"/>
      <c r="CM5568" s="111"/>
      <c r="CQ5568" s="111"/>
      <c r="EF5568"/>
      <c r="EG5568"/>
      <c r="EH5568"/>
      <c r="EI5568"/>
      <c r="EJ5568"/>
      <c r="EK5568"/>
    </row>
    <row r="5569" spans="1:141" s="116" customFormat="1">
      <c r="A5569" s="136"/>
      <c r="CM5569" s="111"/>
      <c r="CQ5569" s="111"/>
      <c r="EF5569"/>
      <c r="EG5569"/>
      <c r="EH5569"/>
      <c r="EI5569"/>
      <c r="EJ5569"/>
      <c r="EK5569"/>
    </row>
    <row r="5570" spans="1:141" s="116" customFormat="1">
      <c r="A5570" s="136"/>
      <c r="CM5570" s="111"/>
      <c r="CQ5570" s="111"/>
      <c r="EF5570"/>
      <c r="EG5570"/>
      <c r="EH5570"/>
      <c r="EI5570"/>
      <c r="EJ5570"/>
      <c r="EK5570"/>
    </row>
    <row r="5571" spans="1:141" s="116" customFormat="1">
      <c r="A5571" s="136"/>
      <c r="CM5571" s="111"/>
      <c r="CQ5571" s="111"/>
      <c r="EF5571"/>
      <c r="EG5571"/>
      <c r="EH5571"/>
      <c r="EI5571"/>
      <c r="EJ5571"/>
      <c r="EK5571"/>
    </row>
    <row r="5572" spans="1:141" s="116" customFormat="1">
      <c r="A5572" s="136"/>
      <c r="CM5572" s="111"/>
      <c r="CQ5572" s="111"/>
      <c r="EF5572"/>
      <c r="EG5572"/>
      <c r="EH5572"/>
      <c r="EI5572"/>
      <c r="EJ5572"/>
      <c r="EK5572"/>
    </row>
    <row r="5573" spans="1:141" s="116" customFormat="1">
      <c r="A5573" s="136"/>
      <c r="CM5573" s="111"/>
      <c r="CQ5573" s="111"/>
      <c r="EF5573"/>
      <c r="EG5573"/>
      <c r="EH5573"/>
      <c r="EI5573"/>
      <c r="EJ5573"/>
      <c r="EK5573"/>
    </row>
    <row r="5574" spans="1:141" s="116" customFormat="1">
      <c r="A5574" s="136"/>
      <c r="CM5574" s="111"/>
      <c r="CQ5574" s="111"/>
      <c r="EF5574"/>
      <c r="EG5574"/>
      <c r="EH5574"/>
      <c r="EI5574"/>
      <c r="EJ5574"/>
      <c r="EK5574"/>
    </row>
    <row r="5575" spans="1:141" s="116" customFormat="1">
      <c r="A5575" s="136"/>
      <c r="CM5575" s="111"/>
      <c r="CQ5575" s="111"/>
      <c r="EF5575"/>
      <c r="EG5575"/>
      <c r="EH5575"/>
      <c r="EI5575"/>
      <c r="EJ5575"/>
      <c r="EK5575"/>
    </row>
    <row r="5576" spans="1:141" s="116" customFormat="1">
      <c r="A5576" s="136"/>
      <c r="CM5576" s="111"/>
      <c r="CQ5576" s="111"/>
      <c r="EF5576"/>
      <c r="EG5576"/>
      <c r="EH5576"/>
      <c r="EI5576"/>
      <c r="EJ5576"/>
      <c r="EK5576"/>
    </row>
    <row r="5577" spans="1:141" s="116" customFormat="1">
      <c r="A5577" s="136"/>
      <c r="CM5577" s="111"/>
      <c r="CQ5577" s="111"/>
      <c r="EF5577"/>
      <c r="EG5577"/>
      <c r="EH5577"/>
      <c r="EI5577"/>
      <c r="EJ5577"/>
      <c r="EK5577"/>
    </row>
    <row r="5578" spans="1:141" s="116" customFormat="1">
      <c r="A5578" s="136"/>
      <c r="CM5578" s="111"/>
      <c r="CQ5578" s="111"/>
      <c r="EF5578"/>
      <c r="EG5578"/>
      <c r="EH5578"/>
      <c r="EI5578"/>
      <c r="EJ5578"/>
      <c r="EK5578"/>
    </row>
    <row r="5579" spans="1:141" s="116" customFormat="1">
      <c r="A5579" s="136"/>
      <c r="CM5579" s="111"/>
      <c r="CQ5579" s="111"/>
      <c r="EF5579"/>
      <c r="EG5579"/>
      <c r="EH5579"/>
      <c r="EI5579"/>
      <c r="EJ5579"/>
      <c r="EK5579"/>
    </row>
    <row r="5580" spans="1:141" s="116" customFormat="1">
      <c r="A5580" s="136"/>
      <c r="CM5580" s="111"/>
      <c r="CQ5580" s="111"/>
      <c r="EF5580"/>
      <c r="EG5580"/>
      <c r="EH5580"/>
      <c r="EI5580"/>
      <c r="EJ5580"/>
      <c r="EK5580"/>
    </row>
    <row r="5581" spans="1:141" s="116" customFormat="1">
      <c r="A5581" s="136"/>
      <c r="CM5581" s="111"/>
      <c r="CQ5581" s="111"/>
      <c r="EF5581"/>
      <c r="EG5581"/>
      <c r="EH5581"/>
      <c r="EI5581"/>
      <c r="EJ5581"/>
      <c r="EK5581"/>
    </row>
    <row r="5582" spans="1:141" s="116" customFormat="1">
      <c r="A5582" s="136"/>
      <c r="CM5582" s="111"/>
      <c r="CQ5582" s="111"/>
      <c r="EF5582"/>
      <c r="EG5582"/>
      <c r="EH5582"/>
      <c r="EI5582"/>
      <c r="EJ5582"/>
      <c r="EK5582"/>
    </row>
    <row r="5583" spans="1:141" s="116" customFormat="1">
      <c r="A5583" s="136"/>
      <c r="CM5583" s="111"/>
      <c r="CQ5583" s="111"/>
      <c r="EF5583"/>
      <c r="EG5583"/>
      <c r="EH5583"/>
      <c r="EI5583"/>
      <c r="EJ5583"/>
      <c r="EK5583"/>
    </row>
    <row r="5584" spans="1:141" s="116" customFormat="1">
      <c r="A5584" s="136"/>
      <c r="CM5584" s="111"/>
      <c r="CQ5584" s="111"/>
      <c r="EF5584"/>
      <c r="EG5584"/>
      <c r="EH5584"/>
      <c r="EI5584"/>
      <c r="EJ5584"/>
      <c r="EK5584"/>
    </row>
    <row r="5585" spans="1:141" s="116" customFormat="1">
      <c r="A5585" s="136"/>
      <c r="CM5585" s="111"/>
      <c r="CQ5585" s="111"/>
      <c r="EF5585"/>
      <c r="EG5585"/>
      <c r="EH5585"/>
      <c r="EI5585"/>
      <c r="EJ5585"/>
      <c r="EK5585"/>
    </row>
    <row r="5586" spans="1:141" s="116" customFormat="1">
      <c r="A5586" s="136"/>
      <c r="CM5586" s="111"/>
      <c r="CQ5586" s="111"/>
      <c r="EF5586"/>
      <c r="EG5586"/>
      <c r="EH5586"/>
      <c r="EI5586"/>
      <c r="EJ5586"/>
      <c r="EK5586"/>
    </row>
    <row r="5587" spans="1:141" s="116" customFormat="1">
      <c r="A5587" s="136"/>
      <c r="CM5587" s="111"/>
      <c r="CQ5587" s="111"/>
      <c r="EF5587"/>
      <c r="EG5587"/>
      <c r="EH5587"/>
      <c r="EI5587"/>
      <c r="EJ5587"/>
      <c r="EK5587"/>
    </row>
    <row r="5588" spans="1:141" s="116" customFormat="1">
      <c r="A5588" s="136"/>
      <c r="CM5588" s="111"/>
      <c r="CQ5588" s="111"/>
      <c r="EF5588"/>
      <c r="EG5588"/>
      <c r="EH5588"/>
      <c r="EI5588"/>
      <c r="EJ5588"/>
      <c r="EK5588"/>
    </row>
    <row r="5589" spans="1:141" s="116" customFormat="1">
      <c r="A5589" s="136"/>
      <c r="CM5589" s="111"/>
      <c r="CQ5589" s="111"/>
      <c r="EF5589"/>
      <c r="EG5589"/>
      <c r="EH5589"/>
      <c r="EI5589"/>
      <c r="EJ5589"/>
      <c r="EK5589"/>
    </row>
    <row r="5590" spans="1:141" s="116" customFormat="1">
      <c r="A5590" s="136"/>
      <c r="CM5590" s="111"/>
      <c r="CQ5590" s="111"/>
      <c r="EF5590"/>
      <c r="EG5590"/>
      <c r="EH5590"/>
      <c r="EI5590"/>
      <c r="EJ5590"/>
      <c r="EK5590"/>
    </row>
    <row r="5591" spans="1:141" s="116" customFormat="1">
      <c r="A5591" s="136"/>
      <c r="CM5591" s="111"/>
      <c r="CQ5591" s="111"/>
      <c r="EF5591"/>
      <c r="EG5591"/>
      <c r="EH5591"/>
      <c r="EI5591"/>
      <c r="EJ5591"/>
      <c r="EK5591"/>
    </row>
    <row r="5592" spans="1:141" s="116" customFormat="1">
      <c r="A5592" s="136"/>
      <c r="CM5592" s="111"/>
      <c r="CQ5592" s="111"/>
      <c r="EF5592"/>
      <c r="EG5592"/>
      <c r="EH5592"/>
      <c r="EI5592"/>
      <c r="EJ5592"/>
      <c r="EK5592"/>
    </row>
    <row r="5593" spans="1:141" s="116" customFormat="1">
      <c r="A5593" s="136"/>
      <c r="CM5593" s="111"/>
      <c r="CQ5593" s="111"/>
      <c r="EF5593"/>
      <c r="EG5593"/>
      <c r="EH5593"/>
      <c r="EI5593"/>
      <c r="EJ5593"/>
      <c r="EK5593"/>
    </row>
    <row r="5594" spans="1:141" s="116" customFormat="1">
      <c r="A5594" s="136"/>
      <c r="CM5594" s="111"/>
      <c r="CQ5594" s="111"/>
      <c r="EF5594"/>
      <c r="EG5594"/>
      <c r="EH5594"/>
      <c r="EI5594"/>
      <c r="EJ5594"/>
      <c r="EK5594"/>
    </row>
    <row r="5595" spans="1:141" s="116" customFormat="1">
      <c r="A5595" s="136"/>
      <c r="CM5595" s="111"/>
      <c r="CQ5595" s="111"/>
      <c r="EF5595"/>
      <c r="EG5595"/>
      <c r="EH5595"/>
      <c r="EI5595"/>
      <c r="EJ5595"/>
      <c r="EK5595"/>
    </row>
    <row r="5596" spans="1:141" s="116" customFormat="1">
      <c r="A5596" s="136"/>
      <c r="CM5596" s="111"/>
      <c r="CQ5596" s="111"/>
      <c r="EF5596"/>
      <c r="EG5596"/>
      <c r="EH5596"/>
      <c r="EI5596"/>
      <c r="EJ5596"/>
      <c r="EK5596"/>
    </row>
    <row r="5597" spans="1:141" s="116" customFormat="1">
      <c r="A5597" s="136"/>
      <c r="CM5597" s="111"/>
      <c r="CQ5597" s="111"/>
      <c r="EF5597"/>
      <c r="EG5597"/>
      <c r="EH5597"/>
      <c r="EI5597"/>
      <c r="EJ5597"/>
      <c r="EK5597"/>
    </row>
    <row r="5598" spans="1:141" s="116" customFormat="1">
      <c r="A5598" s="136"/>
      <c r="CM5598" s="111"/>
      <c r="CQ5598" s="111"/>
      <c r="EF5598"/>
      <c r="EG5598"/>
      <c r="EH5598"/>
      <c r="EI5598"/>
      <c r="EJ5598"/>
      <c r="EK5598"/>
    </row>
    <row r="5599" spans="1:141" s="116" customFormat="1">
      <c r="A5599" s="136"/>
      <c r="CM5599" s="111"/>
      <c r="CQ5599" s="111"/>
      <c r="EF5599"/>
      <c r="EG5599"/>
      <c r="EH5599"/>
      <c r="EI5599"/>
      <c r="EJ5599"/>
      <c r="EK5599"/>
    </row>
    <row r="5600" spans="1:141" s="116" customFormat="1">
      <c r="A5600" s="136"/>
      <c r="CM5600" s="111"/>
      <c r="CQ5600" s="111"/>
      <c r="EF5600"/>
      <c r="EG5600"/>
      <c r="EH5600"/>
      <c r="EI5600"/>
      <c r="EJ5600"/>
      <c r="EK5600"/>
    </row>
    <row r="5601" spans="1:141" s="116" customFormat="1">
      <c r="A5601" s="136"/>
      <c r="CM5601" s="111"/>
      <c r="CQ5601" s="111"/>
      <c r="EF5601"/>
      <c r="EG5601"/>
      <c r="EH5601"/>
      <c r="EI5601"/>
      <c r="EJ5601"/>
      <c r="EK5601"/>
    </row>
    <row r="5602" spans="1:141" s="116" customFormat="1">
      <c r="A5602" s="136"/>
      <c r="CM5602" s="111"/>
      <c r="CQ5602" s="111"/>
      <c r="EF5602"/>
      <c r="EG5602"/>
      <c r="EH5602"/>
      <c r="EI5602"/>
      <c r="EJ5602"/>
      <c r="EK5602"/>
    </row>
    <row r="5603" spans="1:141" s="116" customFormat="1">
      <c r="A5603" s="136"/>
      <c r="CM5603" s="111"/>
      <c r="CQ5603" s="111"/>
      <c r="EF5603"/>
      <c r="EG5603"/>
      <c r="EH5603"/>
      <c r="EI5603"/>
      <c r="EJ5603"/>
      <c r="EK5603"/>
    </row>
    <row r="5604" spans="1:141" s="116" customFormat="1">
      <c r="A5604" s="136"/>
      <c r="CM5604" s="111"/>
      <c r="CQ5604" s="111"/>
      <c r="EF5604"/>
      <c r="EG5604"/>
      <c r="EH5604"/>
      <c r="EI5604"/>
      <c r="EJ5604"/>
      <c r="EK5604"/>
    </row>
    <row r="5605" spans="1:141" s="116" customFormat="1">
      <c r="A5605" s="136"/>
      <c r="CM5605" s="111"/>
      <c r="CQ5605" s="111"/>
      <c r="EF5605"/>
      <c r="EG5605"/>
      <c r="EH5605"/>
      <c r="EI5605"/>
      <c r="EJ5605"/>
      <c r="EK5605"/>
    </row>
    <row r="5606" spans="1:141" s="116" customFormat="1">
      <c r="A5606" s="136"/>
      <c r="CM5606" s="111"/>
      <c r="CQ5606" s="111"/>
      <c r="EF5606"/>
      <c r="EG5606"/>
      <c r="EH5606"/>
      <c r="EI5606"/>
      <c r="EJ5606"/>
      <c r="EK5606"/>
    </row>
    <row r="5607" spans="1:141" s="116" customFormat="1">
      <c r="A5607" s="136"/>
      <c r="CM5607" s="111"/>
      <c r="CQ5607" s="111"/>
      <c r="EF5607"/>
      <c r="EG5607"/>
      <c r="EH5607"/>
      <c r="EI5607"/>
      <c r="EJ5607"/>
      <c r="EK5607"/>
    </row>
    <row r="5608" spans="1:141" s="116" customFormat="1">
      <c r="A5608" s="136"/>
      <c r="CM5608" s="111"/>
      <c r="CQ5608" s="111"/>
      <c r="EF5608"/>
      <c r="EG5608"/>
      <c r="EH5608"/>
      <c r="EI5608"/>
      <c r="EJ5608"/>
      <c r="EK5608"/>
    </row>
    <row r="5609" spans="1:141" s="116" customFormat="1">
      <c r="A5609" s="136"/>
      <c r="CM5609" s="111"/>
      <c r="CQ5609" s="111"/>
      <c r="EF5609"/>
      <c r="EG5609"/>
      <c r="EH5609"/>
      <c r="EI5609"/>
      <c r="EJ5609"/>
      <c r="EK5609"/>
    </row>
    <row r="5610" spans="1:141" s="116" customFormat="1">
      <c r="A5610" s="136"/>
      <c r="CM5610" s="111"/>
      <c r="CQ5610" s="111"/>
      <c r="EF5610"/>
      <c r="EG5610"/>
      <c r="EH5610"/>
      <c r="EI5610"/>
      <c r="EJ5610"/>
      <c r="EK5610"/>
    </row>
    <row r="5611" spans="1:141" s="116" customFormat="1">
      <c r="A5611" s="136"/>
      <c r="CM5611" s="111"/>
      <c r="CQ5611" s="111"/>
      <c r="EF5611"/>
      <c r="EG5611"/>
      <c r="EH5611"/>
      <c r="EI5611"/>
      <c r="EJ5611"/>
      <c r="EK5611"/>
    </row>
    <row r="5612" spans="1:141" s="116" customFormat="1">
      <c r="A5612" s="136"/>
      <c r="CM5612" s="111"/>
      <c r="CQ5612" s="111"/>
      <c r="EF5612"/>
      <c r="EG5612"/>
      <c r="EH5612"/>
      <c r="EI5612"/>
      <c r="EJ5612"/>
      <c r="EK5612"/>
    </row>
    <row r="5613" spans="1:141" s="116" customFormat="1">
      <c r="A5613" s="136"/>
      <c r="CM5613" s="111"/>
      <c r="CQ5613" s="111"/>
      <c r="EF5613"/>
      <c r="EG5613"/>
      <c r="EH5613"/>
      <c r="EI5613"/>
      <c r="EJ5613"/>
      <c r="EK5613"/>
    </row>
    <row r="5614" spans="1:141" s="116" customFormat="1">
      <c r="A5614" s="136"/>
      <c r="CM5614" s="111"/>
      <c r="CQ5614" s="111"/>
      <c r="EF5614"/>
      <c r="EG5614"/>
      <c r="EH5614"/>
      <c r="EI5614"/>
      <c r="EJ5614"/>
      <c r="EK5614"/>
    </row>
    <row r="5615" spans="1:141" s="116" customFormat="1">
      <c r="A5615" s="136"/>
      <c r="CM5615" s="111"/>
      <c r="CQ5615" s="111"/>
      <c r="EF5615"/>
      <c r="EG5615"/>
      <c r="EH5615"/>
      <c r="EI5615"/>
      <c r="EJ5615"/>
      <c r="EK5615"/>
    </row>
    <row r="5616" spans="1:141" s="116" customFormat="1">
      <c r="A5616" s="136"/>
      <c r="CM5616" s="111"/>
      <c r="CQ5616" s="111"/>
      <c r="EF5616"/>
      <c r="EG5616"/>
      <c r="EH5616"/>
      <c r="EI5616"/>
      <c r="EJ5616"/>
      <c r="EK5616"/>
    </row>
    <row r="5617" spans="1:141" s="116" customFormat="1">
      <c r="A5617" s="136"/>
      <c r="CM5617" s="111"/>
      <c r="CQ5617" s="111"/>
      <c r="EF5617"/>
      <c r="EG5617"/>
      <c r="EH5617"/>
      <c r="EI5617"/>
      <c r="EJ5617"/>
      <c r="EK5617"/>
    </row>
    <row r="5618" spans="1:141" s="116" customFormat="1">
      <c r="A5618" s="136"/>
      <c r="CM5618" s="111"/>
      <c r="CQ5618" s="111"/>
      <c r="EF5618"/>
      <c r="EG5618"/>
      <c r="EH5618"/>
      <c r="EI5618"/>
      <c r="EJ5618"/>
      <c r="EK5618"/>
    </row>
    <row r="5619" spans="1:141" s="116" customFormat="1">
      <c r="A5619" s="136"/>
      <c r="CM5619" s="111"/>
      <c r="CQ5619" s="111"/>
      <c r="EF5619"/>
      <c r="EG5619"/>
      <c r="EH5619"/>
      <c r="EI5619"/>
      <c r="EJ5619"/>
      <c r="EK5619"/>
    </row>
    <row r="5620" spans="1:141" s="116" customFormat="1">
      <c r="A5620" s="136"/>
      <c r="CM5620" s="111"/>
      <c r="CQ5620" s="111"/>
      <c r="EF5620"/>
      <c r="EG5620"/>
      <c r="EH5620"/>
      <c r="EI5620"/>
      <c r="EJ5620"/>
      <c r="EK5620"/>
    </row>
    <row r="5621" spans="1:141" s="116" customFormat="1">
      <c r="A5621" s="136"/>
      <c r="CM5621" s="111"/>
      <c r="CQ5621" s="111"/>
      <c r="EF5621"/>
      <c r="EG5621"/>
      <c r="EH5621"/>
      <c r="EI5621"/>
      <c r="EJ5621"/>
      <c r="EK5621"/>
    </row>
    <row r="5622" spans="1:141" s="116" customFormat="1">
      <c r="A5622" s="136"/>
      <c r="CM5622" s="111"/>
      <c r="CQ5622" s="111"/>
      <c r="EF5622"/>
      <c r="EG5622"/>
      <c r="EH5622"/>
      <c r="EI5622"/>
      <c r="EJ5622"/>
      <c r="EK5622"/>
    </row>
    <row r="5623" spans="1:141" s="116" customFormat="1">
      <c r="A5623" s="136"/>
      <c r="CM5623" s="111"/>
      <c r="CQ5623" s="111"/>
      <c r="EF5623"/>
      <c r="EG5623"/>
      <c r="EH5623"/>
      <c r="EI5623"/>
      <c r="EJ5623"/>
      <c r="EK5623"/>
    </row>
    <row r="5624" spans="1:141" s="116" customFormat="1">
      <c r="A5624" s="136"/>
      <c r="CM5624" s="111"/>
      <c r="CQ5624" s="111"/>
      <c r="EF5624"/>
      <c r="EG5624"/>
      <c r="EH5624"/>
      <c r="EI5624"/>
      <c r="EJ5624"/>
      <c r="EK5624"/>
    </row>
    <row r="5625" spans="1:141" s="116" customFormat="1">
      <c r="A5625" s="136"/>
      <c r="CM5625" s="111"/>
      <c r="CQ5625" s="111"/>
      <c r="EF5625"/>
      <c r="EG5625"/>
      <c r="EH5625"/>
      <c r="EI5625"/>
      <c r="EJ5625"/>
      <c r="EK5625"/>
    </row>
    <row r="5626" spans="1:141" s="116" customFormat="1">
      <c r="A5626" s="136"/>
      <c r="CM5626" s="111"/>
      <c r="CQ5626" s="111"/>
      <c r="EF5626"/>
      <c r="EG5626"/>
      <c r="EH5626"/>
      <c r="EI5626"/>
      <c r="EJ5626"/>
      <c r="EK5626"/>
    </row>
    <row r="5627" spans="1:141" s="116" customFormat="1">
      <c r="A5627" s="136"/>
      <c r="CM5627" s="111"/>
      <c r="CQ5627" s="111"/>
      <c r="EF5627"/>
      <c r="EG5627"/>
      <c r="EH5627"/>
      <c r="EI5627"/>
      <c r="EJ5627"/>
      <c r="EK5627"/>
    </row>
    <row r="5628" spans="1:141" s="116" customFormat="1">
      <c r="A5628" s="136"/>
      <c r="CM5628" s="111"/>
      <c r="CQ5628" s="111"/>
      <c r="EF5628"/>
      <c r="EG5628"/>
      <c r="EH5628"/>
      <c r="EI5628"/>
      <c r="EJ5628"/>
      <c r="EK5628"/>
    </row>
    <row r="5629" spans="1:141" s="116" customFormat="1">
      <c r="A5629" s="136"/>
      <c r="CM5629" s="111"/>
      <c r="CQ5629" s="111"/>
      <c r="EF5629"/>
      <c r="EG5629"/>
      <c r="EH5629"/>
      <c r="EI5629"/>
      <c r="EJ5629"/>
      <c r="EK5629"/>
    </row>
    <row r="5630" spans="1:141" s="116" customFormat="1">
      <c r="A5630" s="136"/>
      <c r="CM5630" s="111"/>
      <c r="CQ5630" s="111"/>
      <c r="EF5630"/>
      <c r="EG5630"/>
      <c r="EH5630"/>
      <c r="EI5630"/>
      <c r="EJ5630"/>
      <c r="EK5630"/>
    </row>
    <row r="5631" spans="1:141" s="116" customFormat="1">
      <c r="A5631" s="136"/>
      <c r="CM5631" s="111"/>
      <c r="CQ5631" s="111"/>
      <c r="EF5631"/>
      <c r="EG5631"/>
      <c r="EH5631"/>
      <c r="EI5631"/>
      <c r="EJ5631"/>
      <c r="EK5631"/>
    </row>
    <row r="5632" spans="1:141" s="116" customFormat="1">
      <c r="A5632" s="136"/>
      <c r="CM5632" s="111"/>
      <c r="CQ5632" s="111"/>
      <c r="EF5632"/>
      <c r="EG5632"/>
      <c r="EH5632"/>
      <c r="EI5632"/>
      <c r="EJ5632"/>
      <c r="EK5632"/>
    </row>
    <row r="5633" spans="1:141" s="116" customFormat="1">
      <c r="A5633" s="136"/>
      <c r="CM5633" s="111"/>
      <c r="CQ5633" s="111"/>
      <c r="EF5633"/>
      <c r="EG5633"/>
      <c r="EH5633"/>
      <c r="EI5633"/>
      <c r="EJ5633"/>
      <c r="EK5633"/>
    </row>
    <row r="5634" spans="1:141" s="116" customFormat="1">
      <c r="A5634" s="136"/>
      <c r="CM5634" s="111"/>
      <c r="CQ5634" s="111"/>
      <c r="EF5634"/>
      <c r="EG5634"/>
      <c r="EH5634"/>
      <c r="EI5634"/>
      <c r="EJ5634"/>
      <c r="EK5634"/>
    </row>
    <row r="5635" spans="1:141" s="116" customFormat="1">
      <c r="A5635" s="136"/>
      <c r="CM5635" s="111"/>
      <c r="CQ5635" s="111"/>
      <c r="EF5635"/>
      <c r="EG5635"/>
      <c r="EH5635"/>
      <c r="EI5635"/>
      <c r="EJ5635"/>
      <c r="EK5635"/>
    </row>
    <row r="5636" spans="1:141" s="116" customFormat="1">
      <c r="A5636" s="136"/>
      <c r="CM5636" s="111"/>
      <c r="CQ5636" s="111"/>
      <c r="EF5636"/>
      <c r="EG5636"/>
      <c r="EH5636"/>
      <c r="EI5636"/>
      <c r="EJ5636"/>
      <c r="EK5636"/>
    </row>
    <row r="5637" spans="1:141" s="116" customFormat="1">
      <c r="A5637" s="136"/>
      <c r="CM5637" s="111"/>
      <c r="CQ5637" s="111"/>
      <c r="EF5637"/>
      <c r="EG5637"/>
      <c r="EH5637"/>
      <c r="EI5637"/>
      <c r="EJ5637"/>
      <c r="EK5637"/>
    </row>
    <row r="5638" spans="1:141" s="116" customFormat="1">
      <c r="A5638" s="136"/>
      <c r="CM5638" s="111"/>
      <c r="CQ5638" s="111"/>
      <c r="EF5638"/>
      <c r="EG5638"/>
      <c r="EH5638"/>
      <c r="EI5638"/>
      <c r="EJ5638"/>
      <c r="EK5638"/>
    </row>
    <row r="5639" spans="1:141" s="116" customFormat="1">
      <c r="A5639" s="136"/>
      <c r="CM5639" s="111"/>
      <c r="CQ5639" s="111"/>
      <c r="EF5639"/>
      <c r="EG5639"/>
      <c r="EH5639"/>
      <c r="EI5639"/>
      <c r="EJ5639"/>
      <c r="EK5639"/>
    </row>
    <row r="5640" spans="1:141" s="116" customFormat="1">
      <c r="A5640" s="136"/>
      <c r="CM5640" s="111"/>
      <c r="CQ5640" s="111"/>
      <c r="EF5640"/>
      <c r="EG5640"/>
      <c r="EH5640"/>
      <c r="EI5640"/>
      <c r="EJ5640"/>
      <c r="EK5640"/>
    </row>
    <row r="5641" spans="1:141" s="116" customFormat="1">
      <c r="A5641" s="136"/>
      <c r="CM5641" s="111"/>
      <c r="CQ5641" s="111"/>
      <c r="EF5641"/>
      <c r="EG5641"/>
      <c r="EH5641"/>
      <c r="EI5641"/>
      <c r="EJ5641"/>
      <c r="EK5641"/>
    </row>
    <row r="5642" spans="1:141" s="116" customFormat="1">
      <c r="A5642" s="136"/>
      <c r="CM5642" s="111"/>
      <c r="CQ5642" s="111"/>
      <c r="EF5642"/>
      <c r="EG5642"/>
      <c r="EH5642"/>
      <c r="EI5642"/>
      <c r="EJ5642"/>
      <c r="EK5642"/>
    </row>
    <row r="5643" spans="1:141" s="116" customFormat="1">
      <c r="A5643" s="136"/>
      <c r="CM5643" s="111"/>
      <c r="CQ5643" s="111"/>
      <c r="EF5643"/>
      <c r="EG5643"/>
      <c r="EH5643"/>
      <c r="EI5643"/>
      <c r="EJ5643"/>
      <c r="EK5643"/>
    </row>
    <row r="5644" spans="1:141" s="116" customFormat="1">
      <c r="A5644" s="136"/>
      <c r="CM5644" s="111"/>
      <c r="CQ5644" s="111"/>
      <c r="EF5644"/>
      <c r="EG5644"/>
      <c r="EH5644"/>
      <c r="EI5644"/>
      <c r="EJ5644"/>
      <c r="EK5644"/>
    </row>
    <row r="5645" spans="1:141" s="116" customFormat="1">
      <c r="A5645" s="136"/>
      <c r="CM5645" s="111"/>
      <c r="CQ5645" s="111"/>
      <c r="EF5645"/>
      <c r="EG5645"/>
      <c r="EH5645"/>
      <c r="EI5645"/>
      <c r="EJ5645"/>
      <c r="EK5645"/>
    </row>
    <row r="5646" spans="1:141" s="116" customFormat="1">
      <c r="A5646" s="136"/>
      <c r="CM5646" s="111"/>
      <c r="CQ5646" s="111"/>
      <c r="EF5646"/>
      <c r="EG5646"/>
      <c r="EH5646"/>
      <c r="EI5646"/>
      <c r="EJ5646"/>
      <c r="EK5646"/>
    </row>
    <row r="5647" spans="1:141" s="116" customFormat="1">
      <c r="A5647" s="136"/>
      <c r="CM5647" s="111"/>
      <c r="CQ5647" s="111"/>
      <c r="EF5647"/>
      <c r="EG5647"/>
      <c r="EH5647"/>
      <c r="EI5647"/>
      <c r="EJ5647"/>
      <c r="EK5647"/>
    </row>
    <row r="5648" spans="1:141" s="116" customFormat="1">
      <c r="A5648" s="136"/>
      <c r="CM5648" s="111"/>
      <c r="CQ5648" s="111"/>
      <c r="EF5648"/>
      <c r="EG5648"/>
      <c r="EH5648"/>
      <c r="EI5648"/>
      <c r="EJ5648"/>
      <c r="EK5648"/>
    </row>
    <row r="5649" spans="1:141" s="116" customFormat="1">
      <c r="A5649" s="136"/>
      <c r="CM5649" s="111"/>
      <c r="CQ5649" s="111"/>
      <c r="EF5649"/>
      <c r="EG5649"/>
      <c r="EH5649"/>
      <c r="EI5649"/>
      <c r="EJ5649"/>
      <c r="EK5649"/>
    </row>
    <row r="5650" spans="1:141" s="116" customFormat="1">
      <c r="A5650" s="136"/>
      <c r="CM5650" s="111"/>
      <c r="CQ5650" s="111"/>
      <c r="EF5650"/>
      <c r="EG5650"/>
      <c r="EH5650"/>
      <c r="EI5650"/>
      <c r="EJ5650"/>
      <c r="EK5650"/>
    </row>
    <row r="5651" spans="1:141" s="116" customFormat="1">
      <c r="A5651" s="136"/>
      <c r="CM5651" s="111"/>
      <c r="CQ5651" s="111"/>
      <c r="EF5651"/>
      <c r="EG5651"/>
      <c r="EH5651"/>
      <c r="EI5651"/>
      <c r="EJ5651"/>
      <c r="EK5651"/>
    </row>
    <row r="5652" spans="1:141" s="116" customFormat="1">
      <c r="A5652" s="136"/>
      <c r="CM5652" s="111"/>
      <c r="CQ5652" s="111"/>
      <c r="EF5652"/>
      <c r="EG5652"/>
      <c r="EH5652"/>
      <c r="EI5652"/>
      <c r="EJ5652"/>
      <c r="EK5652"/>
    </row>
    <row r="5653" spans="1:141" s="116" customFormat="1">
      <c r="A5653" s="136"/>
      <c r="CM5653" s="111"/>
      <c r="CQ5653" s="111"/>
      <c r="EF5653"/>
      <c r="EG5653"/>
      <c r="EH5653"/>
      <c r="EI5653"/>
      <c r="EJ5653"/>
      <c r="EK5653"/>
    </row>
    <row r="5654" spans="1:141" s="116" customFormat="1">
      <c r="A5654" s="136"/>
      <c r="CM5654" s="111"/>
      <c r="CQ5654" s="111"/>
      <c r="EF5654"/>
      <c r="EG5654"/>
      <c r="EH5654"/>
      <c r="EI5654"/>
      <c r="EJ5654"/>
      <c r="EK5654"/>
    </row>
    <row r="5655" spans="1:141" s="116" customFormat="1">
      <c r="A5655" s="136"/>
      <c r="CM5655" s="111"/>
      <c r="CQ5655" s="111"/>
      <c r="EF5655"/>
      <c r="EG5655"/>
      <c r="EH5655"/>
      <c r="EI5655"/>
      <c r="EJ5655"/>
      <c r="EK5655"/>
    </row>
    <row r="5656" spans="1:141" s="116" customFormat="1">
      <c r="A5656" s="136"/>
      <c r="CM5656" s="111"/>
      <c r="CQ5656" s="111"/>
      <c r="EF5656"/>
      <c r="EG5656"/>
      <c r="EH5656"/>
      <c r="EI5656"/>
      <c r="EJ5656"/>
      <c r="EK5656"/>
    </row>
    <row r="5657" spans="1:141" s="116" customFormat="1">
      <c r="A5657" s="136"/>
      <c r="CM5657" s="111"/>
      <c r="CQ5657" s="111"/>
      <c r="EF5657"/>
      <c r="EG5657"/>
      <c r="EH5657"/>
      <c r="EI5657"/>
      <c r="EJ5657"/>
      <c r="EK5657"/>
    </row>
    <row r="5658" spans="1:141" s="116" customFormat="1">
      <c r="A5658" s="136"/>
      <c r="CM5658" s="111"/>
      <c r="CQ5658" s="111"/>
      <c r="EF5658"/>
      <c r="EG5658"/>
      <c r="EH5658"/>
      <c r="EI5658"/>
      <c r="EJ5658"/>
      <c r="EK5658"/>
    </row>
    <row r="5659" spans="1:141" s="116" customFormat="1">
      <c r="A5659" s="136"/>
      <c r="CM5659" s="111"/>
      <c r="CQ5659" s="111"/>
      <c r="EF5659"/>
      <c r="EG5659"/>
      <c r="EH5659"/>
      <c r="EI5659"/>
      <c r="EJ5659"/>
      <c r="EK5659"/>
    </row>
    <row r="5660" spans="1:141" s="116" customFormat="1">
      <c r="A5660" s="136"/>
      <c r="CM5660" s="111"/>
      <c r="CQ5660" s="111"/>
      <c r="EF5660"/>
      <c r="EG5660"/>
      <c r="EH5660"/>
      <c r="EI5660"/>
      <c r="EJ5660"/>
      <c r="EK5660"/>
    </row>
    <row r="5661" spans="1:141" s="116" customFormat="1">
      <c r="A5661" s="136"/>
      <c r="CM5661" s="111"/>
      <c r="CQ5661" s="111"/>
      <c r="EF5661"/>
      <c r="EG5661"/>
      <c r="EH5661"/>
      <c r="EI5661"/>
      <c r="EJ5661"/>
      <c r="EK5661"/>
    </row>
    <row r="5662" spans="1:141" s="116" customFormat="1">
      <c r="A5662" s="136"/>
      <c r="CM5662" s="111"/>
      <c r="CQ5662" s="111"/>
      <c r="EF5662"/>
      <c r="EG5662"/>
      <c r="EH5662"/>
      <c r="EI5662"/>
      <c r="EJ5662"/>
      <c r="EK5662"/>
    </row>
    <row r="5663" spans="1:141" s="116" customFormat="1">
      <c r="A5663" s="136"/>
      <c r="CM5663" s="111"/>
      <c r="CQ5663" s="111"/>
      <c r="EF5663"/>
      <c r="EG5663"/>
      <c r="EH5663"/>
      <c r="EI5663"/>
      <c r="EJ5663"/>
      <c r="EK5663"/>
    </row>
    <row r="5664" spans="1:141" s="116" customFormat="1">
      <c r="A5664" s="136"/>
      <c r="CM5664" s="111"/>
      <c r="CQ5664" s="111"/>
      <c r="EF5664"/>
      <c r="EG5664"/>
      <c r="EH5664"/>
      <c r="EI5664"/>
      <c r="EJ5664"/>
      <c r="EK5664"/>
    </row>
    <row r="5665" spans="1:141" s="116" customFormat="1">
      <c r="A5665" s="136"/>
      <c r="CM5665" s="111"/>
      <c r="CQ5665" s="111"/>
      <c r="EF5665"/>
      <c r="EG5665"/>
      <c r="EH5665"/>
      <c r="EI5665"/>
      <c r="EJ5665"/>
      <c r="EK5665"/>
    </row>
    <row r="5666" spans="1:141" s="116" customFormat="1">
      <c r="A5666" s="136"/>
      <c r="CM5666" s="111"/>
      <c r="CQ5666" s="111"/>
      <c r="EF5666"/>
      <c r="EG5666"/>
      <c r="EH5666"/>
      <c r="EI5666"/>
      <c r="EJ5666"/>
      <c r="EK5666"/>
    </row>
    <row r="5667" spans="1:141" s="116" customFormat="1">
      <c r="A5667" s="136"/>
      <c r="CM5667" s="111"/>
      <c r="CQ5667" s="111"/>
      <c r="EF5667"/>
      <c r="EG5667"/>
      <c r="EH5667"/>
      <c r="EI5667"/>
      <c r="EJ5667"/>
      <c r="EK5667"/>
    </row>
    <row r="5668" spans="1:141" s="116" customFormat="1">
      <c r="A5668" s="136"/>
      <c r="CM5668" s="111"/>
      <c r="CQ5668" s="111"/>
      <c r="EF5668"/>
      <c r="EG5668"/>
      <c r="EH5668"/>
      <c r="EI5668"/>
      <c r="EJ5668"/>
      <c r="EK5668"/>
    </row>
    <row r="5669" spans="1:141" s="116" customFormat="1">
      <c r="A5669" s="136"/>
      <c r="CM5669" s="111"/>
      <c r="CQ5669" s="111"/>
      <c r="EF5669"/>
      <c r="EG5669"/>
      <c r="EH5669"/>
      <c r="EI5669"/>
      <c r="EJ5669"/>
      <c r="EK5669"/>
    </row>
    <row r="5670" spans="1:141" s="116" customFormat="1">
      <c r="A5670" s="136"/>
      <c r="CM5670" s="111"/>
      <c r="CQ5670" s="111"/>
      <c r="EF5670"/>
      <c r="EG5670"/>
      <c r="EH5670"/>
      <c r="EI5670"/>
      <c r="EJ5670"/>
      <c r="EK5670"/>
    </row>
    <row r="5671" spans="1:141" s="116" customFormat="1">
      <c r="A5671" s="136"/>
      <c r="CM5671" s="111"/>
      <c r="CQ5671" s="111"/>
      <c r="EF5671"/>
      <c r="EG5671"/>
      <c r="EH5671"/>
      <c r="EI5671"/>
      <c r="EJ5671"/>
      <c r="EK5671"/>
    </row>
    <row r="5672" spans="1:141" s="116" customFormat="1">
      <c r="A5672" s="136"/>
      <c r="CM5672" s="111"/>
      <c r="CQ5672" s="111"/>
      <c r="EF5672"/>
      <c r="EG5672"/>
      <c r="EH5672"/>
      <c r="EI5672"/>
      <c r="EJ5672"/>
      <c r="EK5672"/>
    </row>
    <row r="5673" spans="1:141" s="116" customFormat="1">
      <c r="A5673" s="136"/>
      <c r="CM5673" s="111"/>
      <c r="CQ5673" s="111"/>
      <c r="EF5673"/>
      <c r="EG5673"/>
      <c r="EH5673"/>
      <c r="EI5673"/>
      <c r="EJ5673"/>
      <c r="EK5673"/>
    </row>
    <row r="5674" spans="1:141" s="116" customFormat="1">
      <c r="A5674" s="136"/>
      <c r="CM5674" s="111"/>
      <c r="CQ5674" s="111"/>
      <c r="EF5674"/>
      <c r="EG5674"/>
      <c r="EH5674"/>
      <c r="EI5674"/>
      <c r="EJ5674"/>
      <c r="EK5674"/>
    </row>
    <row r="5675" spans="1:141" s="116" customFormat="1">
      <c r="A5675" s="136"/>
      <c r="CM5675" s="111"/>
      <c r="CQ5675" s="111"/>
      <c r="EF5675"/>
      <c r="EG5675"/>
      <c r="EH5675"/>
      <c r="EI5675"/>
      <c r="EJ5675"/>
      <c r="EK5675"/>
    </row>
    <row r="5676" spans="1:141" s="116" customFormat="1">
      <c r="A5676" s="136"/>
      <c r="CM5676" s="111"/>
      <c r="CQ5676" s="111"/>
      <c r="EF5676"/>
      <c r="EG5676"/>
      <c r="EH5676"/>
      <c r="EI5676"/>
      <c r="EJ5676"/>
      <c r="EK5676"/>
    </row>
    <row r="5677" spans="1:141" s="116" customFormat="1">
      <c r="A5677" s="136"/>
      <c r="CM5677" s="111"/>
      <c r="CQ5677" s="111"/>
      <c r="EF5677"/>
      <c r="EG5677"/>
      <c r="EH5677"/>
      <c r="EI5677"/>
      <c r="EJ5677"/>
      <c r="EK5677"/>
    </row>
    <row r="5678" spans="1:141" s="116" customFormat="1">
      <c r="A5678" s="136"/>
      <c r="CM5678" s="111"/>
      <c r="CQ5678" s="111"/>
      <c r="EF5678"/>
      <c r="EG5678"/>
      <c r="EH5678"/>
      <c r="EI5678"/>
      <c r="EJ5678"/>
      <c r="EK5678"/>
    </row>
    <row r="5679" spans="1:141" s="116" customFormat="1">
      <c r="A5679" s="136"/>
      <c r="CM5679" s="111"/>
      <c r="CQ5679" s="111"/>
      <c r="EF5679"/>
      <c r="EG5679"/>
      <c r="EH5679"/>
      <c r="EI5679"/>
      <c r="EJ5679"/>
      <c r="EK5679"/>
    </row>
    <row r="5680" spans="1:141" s="116" customFormat="1">
      <c r="A5680" s="136"/>
      <c r="CM5680" s="111"/>
      <c r="CQ5680" s="111"/>
      <c r="EF5680"/>
      <c r="EG5680"/>
      <c r="EH5680"/>
      <c r="EI5680"/>
      <c r="EJ5680"/>
      <c r="EK5680"/>
    </row>
    <row r="5681" spans="1:141" s="116" customFormat="1">
      <c r="A5681" s="136"/>
      <c r="CM5681" s="111"/>
      <c r="CQ5681" s="111"/>
      <c r="EF5681"/>
      <c r="EG5681"/>
      <c r="EH5681"/>
      <c r="EI5681"/>
      <c r="EJ5681"/>
      <c r="EK5681"/>
    </row>
    <row r="5682" spans="1:141" s="116" customFormat="1">
      <c r="A5682" s="136"/>
      <c r="CM5682" s="111"/>
      <c r="CQ5682" s="111"/>
      <c r="EF5682"/>
      <c r="EG5682"/>
      <c r="EH5682"/>
      <c r="EI5682"/>
      <c r="EJ5682"/>
      <c r="EK5682"/>
    </row>
    <row r="5683" spans="1:141" s="116" customFormat="1">
      <c r="A5683" s="136"/>
      <c r="CM5683" s="111"/>
      <c r="CQ5683" s="111"/>
      <c r="EF5683"/>
      <c r="EG5683"/>
      <c r="EH5683"/>
      <c r="EI5683"/>
      <c r="EJ5683"/>
      <c r="EK5683"/>
    </row>
    <row r="5684" spans="1:141" s="116" customFormat="1">
      <c r="A5684" s="136"/>
      <c r="CM5684" s="111"/>
      <c r="CQ5684" s="111"/>
      <c r="EF5684"/>
      <c r="EG5684"/>
      <c r="EH5684"/>
      <c r="EI5684"/>
      <c r="EJ5684"/>
      <c r="EK5684"/>
    </row>
    <row r="5685" spans="1:141" s="116" customFormat="1">
      <c r="A5685" s="136"/>
      <c r="CM5685" s="111"/>
      <c r="CQ5685" s="111"/>
      <c r="EF5685"/>
      <c r="EG5685"/>
      <c r="EH5685"/>
      <c r="EI5685"/>
      <c r="EJ5685"/>
      <c r="EK5685"/>
    </row>
    <row r="5686" spans="1:141" s="116" customFormat="1">
      <c r="A5686" s="136"/>
      <c r="CM5686" s="111"/>
      <c r="CQ5686" s="111"/>
      <c r="EF5686"/>
      <c r="EG5686"/>
      <c r="EH5686"/>
      <c r="EI5686"/>
      <c r="EJ5686"/>
      <c r="EK5686"/>
    </row>
    <row r="5687" spans="1:141" s="116" customFormat="1">
      <c r="A5687" s="136"/>
      <c r="CM5687" s="111"/>
      <c r="CQ5687" s="111"/>
      <c r="EF5687"/>
      <c r="EG5687"/>
      <c r="EH5687"/>
      <c r="EI5687"/>
      <c r="EJ5687"/>
      <c r="EK5687"/>
    </row>
    <row r="5688" spans="1:141" s="116" customFormat="1">
      <c r="A5688" s="136"/>
      <c r="CM5688" s="111"/>
      <c r="CQ5688" s="111"/>
      <c r="EF5688"/>
      <c r="EG5688"/>
      <c r="EH5688"/>
      <c r="EI5688"/>
      <c r="EJ5688"/>
      <c r="EK5688"/>
    </row>
    <row r="5689" spans="1:141" s="116" customFormat="1">
      <c r="A5689" s="136"/>
      <c r="CM5689" s="111"/>
      <c r="CQ5689" s="111"/>
      <c r="EF5689"/>
      <c r="EG5689"/>
      <c r="EH5689"/>
      <c r="EI5689"/>
      <c r="EJ5689"/>
      <c r="EK5689"/>
    </row>
    <row r="5690" spans="1:141" s="116" customFormat="1">
      <c r="A5690" s="136"/>
      <c r="CM5690" s="111"/>
      <c r="CQ5690" s="111"/>
      <c r="EF5690"/>
      <c r="EG5690"/>
      <c r="EH5690"/>
      <c r="EI5690"/>
      <c r="EJ5690"/>
      <c r="EK5690"/>
    </row>
    <row r="5691" spans="1:141" s="116" customFormat="1">
      <c r="A5691" s="136"/>
      <c r="CM5691" s="111"/>
      <c r="CQ5691" s="111"/>
      <c r="EF5691"/>
      <c r="EG5691"/>
      <c r="EH5691"/>
      <c r="EI5691"/>
      <c r="EJ5691"/>
      <c r="EK5691"/>
    </row>
    <row r="5692" spans="1:141" s="116" customFormat="1">
      <c r="A5692" s="136"/>
      <c r="CM5692" s="111"/>
      <c r="CQ5692" s="111"/>
      <c r="EF5692"/>
      <c r="EG5692"/>
      <c r="EH5692"/>
      <c r="EI5692"/>
      <c r="EJ5692"/>
      <c r="EK5692"/>
    </row>
    <row r="5693" spans="1:141" s="116" customFormat="1">
      <c r="A5693" s="136"/>
      <c r="CM5693" s="111"/>
      <c r="CQ5693" s="111"/>
      <c r="EF5693"/>
      <c r="EG5693"/>
      <c r="EH5693"/>
      <c r="EI5693"/>
      <c r="EJ5693"/>
      <c r="EK5693"/>
    </row>
    <row r="5694" spans="1:141" s="116" customFormat="1">
      <c r="A5694" s="136"/>
      <c r="CM5694" s="111"/>
      <c r="CQ5694" s="111"/>
      <c r="EF5694"/>
      <c r="EG5694"/>
      <c r="EH5694"/>
      <c r="EI5694"/>
      <c r="EJ5694"/>
      <c r="EK5694"/>
    </row>
    <row r="5695" spans="1:141" s="116" customFormat="1">
      <c r="A5695" s="136"/>
      <c r="CM5695" s="111"/>
      <c r="CQ5695" s="111"/>
      <c r="EF5695"/>
      <c r="EG5695"/>
      <c r="EH5695"/>
      <c r="EI5695"/>
      <c r="EJ5695"/>
      <c r="EK5695"/>
    </row>
    <row r="5696" spans="1:141" s="116" customFormat="1">
      <c r="A5696" s="136"/>
      <c r="CM5696" s="111"/>
      <c r="CQ5696" s="111"/>
      <c r="EF5696"/>
      <c r="EG5696"/>
      <c r="EH5696"/>
      <c r="EI5696"/>
      <c r="EJ5696"/>
      <c r="EK5696"/>
    </row>
    <row r="5697" spans="1:141" s="116" customFormat="1">
      <c r="A5697" s="136"/>
      <c r="CM5697" s="111"/>
      <c r="CQ5697" s="111"/>
      <c r="EF5697"/>
      <c r="EG5697"/>
      <c r="EH5697"/>
      <c r="EI5697"/>
      <c r="EJ5697"/>
      <c r="EK5697"/>
    </row>
    <row r="5698" spans="1:141" s="116" customFormat="1">
      <c r="A5698" s="136"/>
      <c r="CM5698" s="111"/>
      <c r="CQ5698" s="111"/>
      <c r="EF5698"/>
      <c r="EG5698"/>
      <c r="EH5698"/>
      <c r="EI5698"/>
      <c r="EJ5698"/>
      <c r="EK5698"/>
    </row>
    <row r="5699" spans="1:141" s="116" customFormat="1">
      <c r="A5699" s="136"/>
      <c r="CM5699" s="111"/>
      <c r="CQ5699" s="111"/>
      <c r="EF5699"/>
      <c r="EG5699"/>
      <c r="EH5699"/>
      <c r="EI5699"/>
      <c r="EJ5699"/>
      <c r="EK5699"/>
    </row>
    <row r="5700" spans="1:141" s="116" customFormat="1">
      <c r="A5700" s="136"/>
      <c r="CM5700" s="111"/>
      <c r="CQ5700" s="111"/>
      <c r="EF5700"/>
      <c r="EG5700"/>
      <c r="EH5700"/>
      <c r="EI5700"/>
      <c r="EJ5700"/>
      <c r="EK5700"/>
    </row>
    <row r="5701" spans="1:141" s="116" customFormat="1">
      <c r="A5701" s="136"/>
      <c r="CM5701" s="111"/>
      <c r="CQ5701" s="111"/>
      <c r="EF5701"/>
      <c r="EG5701"/>
      <c r="EH5701"/>
      <c r="EI5701"/>
      <c r="EJ5701"/>
      <c r="EK5701"/>
    </row>
    <row r="5702" spans="1:141" s="116" customFormat="1">
      <c r="A5702" s="136"/>
      <c r="CM5702" s="111"/>
      <c r="CQ5702" s="111"/>
      <c r="EF5702"/>
      <c r="EG5702"/>
      <c r="EH5702"/>
      <c r="EI5702"/>
      <c r="EJ5702"/>
      <c r="EK5702"/>
    </row>
    <row r="5703" spans="1:141" s="116" customFormat="1">
      <c r="A5703" s="136"/>
      <c r="CM5703" s="111"/>
      <c r="CQ5703" s="111"/>
      <c r="EF5703"/>
      <c r="EG5703"/>
      <c r="EH5703"/>
      <c r="EI5703"/>
      <c r="EJ5703"/>
      <c r="EK5703"/>
    </row>
    <row r="5704" spans="1:141" s="116" customFormat="1">
      <c r="A5704" s="136"/>
      <c r="CM5704" s="111"/>
      <c r="CQ5704" s="111"/>
      <c r="EF5704"/>
      <c r="EG5704"/>
      <c r="EH5704"/>
      <c r="EI5704"/>
      <c r="EJ5704"/>
      <c r="EK5704"/>
    </row>
    <row r="5705" spans="1:141" s="116" customFormat="1">
      <c r="A5705" s="136"/>
      <c r="CM5705" s="111"/>
      <c r="CQ5705" s="111"/>
      <c r="EF5705"/>
      <c r="EG5705"/>
      <c r="EH5705"/>
      <c r="EI5705"/>
      <c r="EJ5705"/>
      <c r="EK5705"/>
    </row>
    <row r="5706" spans="1:141" s="116" customFormat="1">
      <c r="A5706" s="136"/>
      <c r="CM5706" s="111"/>
      <c r="CQ5706" s="111"/>
      <c r="EF5706"/>
      <c r="EG5706"/>
      <c r="EH5706"/>
      <c r="EI5706"/>
      <c r="EJ5706"/>
      <c r="EK5706"/>
    </row>
    <row r="5707" spans="1:141" s="116" customFormat="1">
      <c r="A5707" s="136"/>
      <c r="CM5707" s="111"/>
      <c r="CQ5707" s="111"/>
      <c r="EF5707"/>
      <c r="EG5707"/>
      <c r="EH5707"/>
      <c r="EI5707"/>
      <c r="EJ5707"/>
      <c r="EK5707"/>
    </row>
    <row r="5708" spans="1:141" s="116" customFormat="1">
      <c r="A5708" s="136"/>
      <c r="CM5708" s="111"/>
      <c r="CQ5708" s="111"/>
      <c r="EF5708"/>
      <c r="EG5708"/>
      <c r="EH5708"/>
      <c r="EI5708"/>
      <c r="EJ5708"/>
      <c r="EK5708"/>
    </row>
    <row r="5709" spans="1:141" s="116" customFormat="1">
      <c r="A5709" s="136"/>
      <c r="CM5709" s="111"/>
      <c r="CQ5709" s="111"/>
      <c r="EF5709"/>
      <c r="EG5709"/>
      <c r="EH5709"/>
      <c r="EI5709"/>
      <c r="EJ5709"/>
      <c r="EK5709"/>
    </row>
    <row r="5710" spans="1:141" s="116" customFormat="1">
      <c r="A5710" s="136"/>
      <c r="CM5710" s="111"/>
      <c r="CQ5710" s="111"/>
      <c r="EF5710"/>
      <c r="EG5710"/>
      <c r="EH5710"/>
      <c r="EI5710"/>
      <c r="EJ5710"/>
      <c r="EK5710"/>
    </row>
    <row r="5711" spans="1:141" s="116" customFormat="1">
      <c r="A5711" s="136"/>
      <c r="CM5711" s="111"/>
      <c r="CQ5711" s="111"/>
      <c r="EF5711"/>
      <c r="EG5711"/>
      <c r="EH5711"/>
      <c r="EI5711"/>
      <c r="EJ5711"/>
      <c r="EK5711"/>
    </row>
    <row r="5712" spans="1:141" s="116" customFormat="1">
      <c r="A5712" s="136"/>
      <c r="CM5712" s="111"/>
      <c r="CQ5712" s="111"/>
      <c r="EF5712"/>
      <c r="EG5712"/>
      <c r="EH5712"/>
      <c r="EI5712"/>
      <c r="EJ5712"/>
      <c r="EK5712"/>
    </row>
    <row r="5713" spans="1:141" s="116" customFormat="1">
      <c r="A5713" s="136"/>
      <c r="CM5713" s="111"/>
      <c r="CQ5713" s="111"/>
      <c r="EF5713"/>
      <c r="EG5713"/>
      <c r="EH5713"/>
      <c r="EI5713"/>
      <c r="EJ5713"/>
      <c r="EK5713"/>
    </row>
    <row r="5714" spans="1:141" s="116" customFormat="1">
      <c r="A5714" s="136"/>
      <c r="CM5714" s="111"/>
      <c r="CQ5714" s="111"/>
      <c r="EF5714"/>
      <c r="EG5714"/>
      <c r="EH5714"/>
      <c r="EI5714"/>
      <c r="EJ5714"/>
      <c r="EK5714"/>
    </row>
    <row r="5715" spans="1:141" s="116" customFormat="1">
      <c r="A5715" s="136"/>
      <c r="CM5715" s="111"/>
      <c r="CQ5715" s="111"/>
      <c r="EF5715"/>
      <c r="EG5715"/>
      <c r="EH5715"/>
      <c r="EI5715"/>
      <c r="EJ5715"/>
      <c r="EK5715"/>
    </row>
    <row r="5716" spans="1:141" s="116" customFormat="1">
      <c r="A5716" s="136"/>
      <c r="CM5716" s="111"/>
      <c r="CQ5716" s="111"/>
      <c r="EF5716"/>
      <c r="EG5716"/>
      <c r="EH5716"/>
      <c r="EI5716"/>
      <c r="EJ5716"/>
      <c r="EK5716"/>
    </row>
    <row r="5717" spans="1:141" s="116" customFormat="1">
      <c r="A5717" s="136"/>
      <c r="CM5717" s="111"/>
      <c r="CQ5717" s="111"/>
      <c r="EF5717"/>
      <c r="EG5717"/>
      <c r="EH5717"/>
      <c r="EI5717"/>
      <c r="EJ5717"/>
      <c r="EK5717"/>
    </row>
    <row r="5718" spans="1:141" s="116" customFormat="1">
      <c r="A5718" s="136"/>
      <c r="CM5718" s="111"/>
      <c r="CQ5718" s="111"/>
      <c r="EF5718"/>
      <c r="EG5718"/>
      <c r="EH5718"/>
      <c r="EI5718"/>
      <c r="EJ5718"/>
      <c r="EK5718"/>
    </row>
    <row r="5719" spans="1:141" s="116" customFormat="1">
      <c r="A5719" s="136"/>
      <c r="CM5719" s="111"/>
      <c r="CQ5719" s="111"/>
      <c r="EF5719"/>
      <c r="EG5719"/>
      <c r="EH5719"/>
      <c r="EI5719"/>
      <c r="EJ5719"/>
      <c r="EK5719"/>
    </row>
    <row r="5720" spans="1:141" s="116" customFormat="1">
      <c r="A5720" s="136"/>
      <c r="CM5720" s="111"/>
      <c r="CQ5720" s="111"/>
      <c r="EF5720"/>
      <c r="EG5720"/>
      <c r="EH5720"/>
      <c r="EI5720"/>
      <c r="EJ5720"/>
      <c r="EK5720"/>
    </row>
    <row r="5721" spans="1:141" s="116" customFormat="1">
      <c r="A5721" s="136"/>
      <c r="CM5721" s="111"/>
      <c r="CQ5721" s="111"/>
      <c r="EF5721"/>
      <c r="EG5721"/>
      <c r="EH5721"/>
      <c r="EI5721"/>
      <c r="EJ5721"/>
      <c r="EK5721"/>
    </row>
    <row r="5722" spans="1:141" s="116" customFormat="1">
      <c r="A5722" s="136"/>
      <c r="CM5722" s="111"/>
      <c r="CQ5722" s="111"/>
      <c r="EF5722"/>
      <c r="EG5722"/>
      <c r="EH5722"/>
      <c r="EI5722"/>
      <c r="EJ5722"/>
      <c r="EK5722"/>
    </row>
    <row r="5723" spans="1:141" s="116" customFormat="1">
      <c r="A5723" s="136"/>
      <c r="CM5723" s="111"/>
      <c r="CQ5723" s="111"/>
      <c r="EF5723"/>
      <c r="EG5723"/>
      <c r="EH5723"/>
      <c r="EI5723"/>
      <c r="EJ5723"/>
      <c r="EK5723"/>
    </row>
    <row r="5724" spans="1:141" s="116" customFormat="1">
      <c r="A5724" s="136"/>
      <c r="CM5724" s="111"/>
      <c r="CQ5724" s="111"/>
      <c r="EF5724"/>
      <c r="EG5724"/>
      <c r="EH5724"/>
      <c r="EI5724"/>
      <c r="EJ5724"/>
      <c r="EK5724"/>
    </row>
    <row r="5725" spans="1:141" s="116" customFormat="1">
      <c r="A5725" s="136"/>
      <c r="CM5725" s="111"/>
      <c r="CQ5725" s="111"/>
      <c r="EF5725"/>
      <c r="EG5725"/>
      <c r="EH5725"/>
      <c r="EI5725"/>
      <c r="EJ5725"/>
      <c r="EK5725"/>
    </row>
    <row r="5726" spans="1:141" s="116" customFormat="1">
      <c r="A5726" s="136"/>
      <c r="CM5726" s="111"/>
      <c r="CQ5726" s="111"/>
      <c r="EF5726"/>
      <c r="EG5726"/>
      <c r="EH5726"/>
      <c r="EI5726"/>
      <c r="EJ5726"/>
      <c r="EK5726"/>
    </row>
    <row r="5727" spans="1:141" s="116" customFormat="1">
      <c r="A5727" s="136"/>
      <c r="CM5727" s="111"/>
      <c r="CQ5727" s="111"/>
      <c r="EF5727"/>
      <c r="EG5727"/>
      <c r="EH5727"/>
      <c r="EI5727"/>
      <c r="EJ5727"/>
      <c r="EK5727"/>
    </row>
    <row r="5728" spans="1:141" s="116" customFormat="1">
      <c r="A5728" s="136"/>
      <c r="CM5728" s="111"/>
      <c r="CQ5728" s="111"/>
      <c r="EF5728"/>
      <c r="EG5728"/>
      <c r="EH5728"/>
      <c r="EI5728"/>
      <c r="EJ5728"/>
      <c r="EK5728"/>
    </row>
    <row r="5729" spans="1:141" s="116" customFormat="1">
      <c r="A5729" s="136"/>
      <c r="CM5729" s="111"/>
      <c r="CQ5729" s="111"/>
      <c r="EF5729"/>
      <c r="EG5729"/>
      <c r="EH5729"/>
      <c r="EI5729"/>
      <c r="EJ5729"/>
      <c r="EK5729"/>
    </row>
    <row r="5730" spans="1:141" s="116" customFormat="1">
      <c r="A5730" s="136"/>
      <c r="CM5730" s="111"/>
      <c r="CQ5730" s="111"/>
      <c r="EF5730"/>
      <c r="EG5730"/>
      <c r="EH5730"/>
      <c r="EI5730"/>
      <c r="EJ5730"/>
      <c r="EK5730"/>
    </row>
    <row r="5731" spans="1:141" s="116" customFormat="1">
      <c r="A5731" s="136"/>
      <c r="CM5731" s="111"/>
      <c r="CQ5731" s="111"/>
      <c r="EF5731"/>
      <c r="EG5731"/>
      <c r="EH5731"/>
      <c r="EI5731"/>
      <c r="EJ5731"/>
      <c r="EK5731"/>
    </row>
    <row r="5732" spans="1:141" s="116" customFormat="1">
      <c r="A5732" s="136"/>
      <c r="CM5732" s="111"/>
      <c r="CQ5732" s="111"/>
      <c r="EF5732"/>
      <c r="EG5732"/>
      <c r="EH5732"/>
      <c r="EI5732"/>
      <c r="EJ5732"/>
      <c r="EK5732"/>
    </row>
    <row r="5733" spans="1:141" s="116" customFormat="1">
      <c r="A5733" s="136"/>
      <c r="CM5733" s="111"/>
      <c r="CQ5733" s="111"/>
      <c r="EF5733"/>
      <c r="EG5733"/>
      <c r="EH5733"/>
      <c r="EI5733"/>
      <c r="EJ5733"/>
      <c r="EK5733"/>
    </row>
    <row r="5734" spans="1:141" s="116" customFormat="1">
      <c r="A5734" s="136"/>
      <c r="CM5734" s="111"/>
      <c r="CQ5734" s="111"/>
      <c r="EF5734"/>
      <c r="EG5734"/>
      <c r="EH5734"/>
      <c r="EI5734"/>
      <c r="EJ5734"/>
      <c r="EK5734"/>
    </row>
    <row r="5735" spans="1:141" s="116" customFormat="1">
      <c r="A5735" s="136"/>
      <c r="CM5735" s="111"/>
      <c r="CQ5735" s="111"/>
      <c r="EF5735"/>
      <c r="EG5735"/>
      <c r="EH5735"/>
      <c r="EI5735"/>
      <c r="EJ5735"/>
      <c r="EK5735"/>
    </row>
    <row r="5736" spans="1:141" s="116" customFormat="1">
      <c r="A5736" s="136"/>
      <c r="CM5736" s="111"/>
      <c r="CQ5736" s="111"/>
      <c r="EF5736"/>
      <c r="EG5736"/>
      <c r="EH5736"/>
      <c r="EI5736"/>
      <c r="EJ5736"/>
      <c r="EK5736"/>
    </row>
    <row r="5737" spans="1:141" s="116" customFormat="1">
      <c r="A5737" s="136"/>
      <c r="CM5737" s="111"/>
      <c r="CQ5737" s="111"/>
      <c r="EF5737"/>
      <c r="EG5737"/>
      <c r="EH5737"/>
      <c r="EI5737"/>
      <c r="EJ5737"/>
      <c r="EK5737"/>
    </row>
    <row r="5738" spans="1:141" s="116" customFormat="1">
      <c r="A5738" s="136"/>
      <c r="CM5738" s="111"/>
      <c r="CQ5738" s="111"/>
      <c r="EF5738"/>
      <c r="EG5738"/>
      <c r="EH5738"/>
      <c r="EI5738"/>
      <c r="EJ5738"/>
      <c r="EK5738"/>
    </row>
    <row r="5739" spans="1:141" s="116" customFormat="1">
      <c r="A5739" s="136"/>
      <c r="CM5739" s="111"/>
      <c r="CQ5739" s="111"/>
      <c r="EF5739"/>
      <c r="EG5739"/>
      <c r="EH5739"/>
      <c r="EI5739"/>
      <c r="EJ5739"/>
      <c r="EK5739"/>
    </row>
    <row r="5740" spans="1:141" s="116" customFormat="1">
      <c r="A5740" s="136"/>
      <c r="CM5740" s="111"/>
      <c r="CQ5740" s="111"/>
      <c r="EF5740"/>
      <c r="EG5740"/>
      <c r="EH5740"/>
      <c r="EI5740"/>
      <c r="EJ5740"/>
      <c r="EK5740"/>
    </row>
    <row r="5741" spans="1:141" s="116" customFormat="1">
      <c r="A5741" s="136"/>
      <c r="CM5741" s="111"/>
      <c r="CQ5741" s="111"/>
      <c r="EF5741"/>
      <c r="EG5741"/>
      <c r="EH5741"/>
      <c r="EI5741"/>
      <c r="EJ5741"/>
      <c r="EK5741"/>
    </row>
    <row r="5742" spans="1:141" s="116" customFormat="1">
      <c r="A5742" s="136"/>
      <c r="CM5742" s="111"/>
      <c r="CQ5742" s="111"/>
      <c r="EF5742"/>
      <c r="EG5742"/>
      <c r="EH5742"/>
      <c r="EI5742"/>
      <c r="EJ5742"/>
      <c r="EK5742"/>
    </row>
    <row r="5743" spans="1:141" s="116" customFormat="1">
      <c r="A5743" s="136"/>
      <c r="CM5743" s="111"/>
      <c r="CQ5743" s="111"/>
      <c r="EF5743"/>
      <c r="EG5743"/>
      <c r="EH5743"/>
      <c r="EI5743"/>
      <c r="EJ5743"/>
      <c r="EK5743"/>
    </row>
    <row r="5744" spans="1:141" s="116" customFormat="1">
      <c r="A5744" s="136"/>
      <c r="CM5744" s="111"/>
      <c r="CQ5744" s="111"/>
      <c r="EF5744"/>
      <c r="EG5744"/>
      <c r="EH5744"/>
      <c r="EI5744"/>
      <c r="EJ5744"/>
      <c r="EK5744"/>
    </row>
    <row r="5745" spans="1:141" s="116" customFormat="1">
      <c r="A5745" s="136"/>
      <c r="CM5745" s="111"/>
      <c r="CQ5745" s="111"/>
      <c r="EF5745"/>
      <c r="EG5745"/>
      <c r="EH5745"/>
      <c r="EI5745"/>
      <c r="EJ5745"/>
      <c r="EK5745"/>
    </row>
    <row r="5746" spans="1:141" s="116" customFormat="1">
      <c r="A5746" s="136"/>
      <c r="CM5746" s="111"/>
      <c r="CQ5746" s="111"/>
      <c r="EF5746"/>
      <c r="EG5746"/>
      <c r="EH5746"/>
      <c r="EI5746"/>
      <c r="EJ5746"/>
      <c r="EK5746"/>
    </row>
    <row r="5747" spans="1:141" s="116" customFormat="1">
      <c r="A5747" s="136"/>
      <c r="CM5747" s="111"/>
      <c r="CQ5747" s="111"/>
      <c r="EF5747"/>
      <c r="EG5747"/>
      <c r="EH5747"/>
      <c r="EI5747"/>
      <c r="EJ5747"/>
      <c r="EK5747"/>
    </row>
    <row r="5748" spans="1:141" s="116" customFormat="1">
      <c r="A5748" s="136"/>
      <c r="CM5748" s="111"/>
      <c r="CQ5748" s="111"/>
      <c r="EF5748"/>
      <c r="EG5748"/>
      <c r="EH5748"/>
      <c r="EI5748"/>
      <c r="EJ5748"/>
      <c r="EK5748"/>
    </row>
    <row r="5749" spans="1:141" s="116" customFormat="1">
      <c r="A5749" s="136"/>
      <c r="CM5749" s="111"/>
      <c r="CQ5749" s="111"/>
      <c r="EF5749"/>
      <c r="EG5749"/>
      <c r="EH5749"/>
      <c r="EI5749"/>
      <c r="EJ5749"/>
      <c r="EK5749"/>
    </row>
    <row r="5750" spans="1:141" s="116" customFormat="1">
      <c r="A5750" s="136"/>
      <c r="CM5750" s="111"/>
      <c r="CQ5750" s="111"/>
      <c r="EF5750"/>
      <c r="EG5750"/>
      <c r="EH5750"/>
      <c r="EI5750"/>
      <c r="EJ5750"/>
      <c r="EK5750"/>
    </row>
    <row r="5751" spans="1:141" s="116" customFormat="1">
      <c r="A5751" s="136"/>
      <c r="CM5751" s="111"/>
      <c r="CQ5751" s="111"/>
      <c r="EF5751"/>
      <c r="EG5751"/>
      <c r="EH5751"/>
      <c r="EI5751"/>
      <c r="EJ5751"/>
      <c r="EK5751"/>
    </row>
    <row r="5752" spans="1:141" s="116" customFormat="1">
      <c r="A5752" s="136"/>
      <c r="CM5752" s="111"/>
      <c r="CQ5752" s="111"/>
      <c r="EF5752"/>
      <c r="EG5752"/>
      <c r="EH5752"/>
      <c r="EI5752"/>
      <c r="EJ5752"/>
      <c r="EK5752"/>
    </row>
    <row r="5753" spans="1:141" s="116" customFormat="1">
      <c r="A5753" s="136"/>
      <c r="CM5753" s="111"/>
      <c r="CQ5753" s="111"/>
      <c r="EF5753"/>
      <c r="EG5753"/>
      <c r="EH5753"/>
      <c r="EI5753"/>
      <c r="EJ5753"/>
      <c r="EK5753"/>
    </row>
    <row r="5754" spans="1:141" s="116" customFormat="1">
      <c r="A5754" s="136"/>
      <c r="CM5754" s="111"/>
      <c r="CQ5754" s="111"/>
      <c r="EF5754"/>
      <c r="EG5754"/>
      <c r="EH5754"/>
      <c r="EI5754"/>
      <c r="EJ5754"/>
      <c r="EK5754"/>
    </row>
    <row r="5755" spans="1:141" s="116" customFormat="1">
      <c r="A5755" s="136"/>
      <c r="CM5755" s="111"/>
      <c r="CQ5755" s="111"/>
      <c r="EF5755"/>
      <c r="EG5755"/>
      <c r="EH5755"/>
      <c r="EI5755"/>
      <c r="EJ5755"/>
      <c r="EK5755"/>
    </row>
    <row r="5756" spans="1:141" s="116" customFormat="1">
      <c r="A5756" s="136"/>
      <c r="CM5756" s="111"/>
      <c r="CQ5756" s="111"/>
      <c r="EF5756"/>
      <c r="EG5756"/>
      <c r="EH5756"/>
      <c r="EI5756"/>
      <c r="EJ5756"/>
      <c r="EK5756"/>
    </row>
    <row r="5757" spans="1:141" s="116" customFormat="1">
      <c r="A5757" s="136"/>
      <c r="CM5757" s="111"/>
      <c r="CQ5757" s="111"/>
      <c r="EF5757"/>
      <c r="EG5757"/>
      <c r="EH5757"/>
      <c r="EI5757"/>
      <c r="EJ5757"/>
      <c r="EK5757"/>
    </row>
    <row r="5758" spans="1:141" s="116" customFormat="1">
      <c r="A5758" s="136"/>
      <c r="CM5758" s="111"/>
      <c r="CQ5758" s="111"/>
      <c r="EF5758"/>
      <c r="EG5758"/>
      <c r="EH5758"/>
      <c r="EI5758"/>
      <c r="EJ5758"/>
      <c r="EK5758"/>
    </row>
    <row r="5759" spans="1:141" s="116" customFormat="1">
      <c r="A5759" s="136"/>
      <c r="CM5759" s="111"/>
      <c r="CQ5759" s="111"/>
      <c r="EF5759"/>
      <c r="EG5759"/>
      <c r="EH5759"/>
      <c r="EI5759"/>
      <c r="EJ5759"/>
      <c r="EK5759"/>
    </row>
    <row r="5760" spans="1:141" s="116" customFormat="1">
      <c r="A5760" s="136"/>
      <c r="CM5760" s="111"/>
      <c r="CQ5760" s="111"/>
      <c r="EF5760"/>
      <c r="EG5760"/>
      <c r="EH5760"/>
      <c r="EI5760"/>
      <c r="EJ5760"/>
      <c r="EK5760"/>
    </row>
    <row r="5761" spans="1:141" s="116" customFormat="1">
      <c r="A5761" s="136"/>
      <c r="CM5761" s="111"/>
      <c r="CQ5761" s="111"/>
      <c r="EF5761"/>
      <c r="EG5761"/>
      <c r="EH5761"/>
      <c r="EI5761"/>
      <c r="EJ5761"/>
      <c r="EK5761"/>
    </row>
    <row r="5762" spans="1:141" s="116" customFormat="1">
      <c r="A5762" s="136"/>
      <c r="CM5762" s="111"/>
      <c r="CQ5762" s="111"/>
      <c r="EF5762"/>
      <c r="EG5762"/>
      <c r="EH5762"/>
      <c r="EI5762"/>
      <c r="EJ5762"/>
      <c r="EK5762"/>
    </row>
    <row r="5763" spans="1:141" s="116" customFormat="1">
      <c r="A5763" s="136"/>
      <c r="CM5763" s="111"/>
      <c r="CQ5763" s="111"/>
      <c r="EF5763"/>
      <c r="EG5763"/>
      <c r="EH5763"/>
      <c r="EI5763"/>
      <c r="EJ5763"/>
      <c r="EK5763"/>
    </row>
    <row r="5764" spans="1:141" s="116" customFormat="1">
      <c r="A5764" s="136"/>
      <c r="CM5764" s="111"/>
      <c r="CQ5764" s="111"/>
      <c r="EF5764"/>
      <c r="EG5764"/>
      <c r="EH5764"/>
      <c r="EI5764"/>
      <c r="EJ5764"/>
      <c r="EK5764"/>
    </row>
    <row r="5765" spans="1:141" s="116" customFormat="1">
      <c r="A5765" s="136"/>
      <c r="CM5765" s="111"/>
      <c r="CQ5765" s="111"/>
      <c r="EF5765"/>
      <c r="EG5765"/>
      <c r="EH5765"/>
      <c r="EI5765"/>
      <c r="EJ5765"/>
      <c r="EK5765"/>
    </row>
    <row r="5766" spans="1:141" s="116" customFormat="1">
      <c r="A5766" s="136"/>
      <c r="CM5766" s="111"/>
      <c r="CQ5766" s="111"/>
      <c r="EF5766"/>
      <c r="EG5766"/>
      <c r="EH5766"/>
      <c r="EI5766"/>
      <c r="EJ5766"/>
      <c r="EK5766"/>
    </row>
    <row r="5767" spans="1:141" s="116" customFormat="1">
      <c r="A5767" s="136"/>
      <c r="CM5767" s="111"/>
      <c r="CQ5767" s="111"/>
      <c r="EF5767"/>
      <c r="EG5767"/>
      <c r="EH5767"/>
      <c r="EI5767"/>
      <c r="EJ5767"/>
      <c r="EK5767"/>
    </row>
    <row r="5768" spans="1:141" s="116" customFormat="1">
      <c r="A5768" s="136"/>
      <c r="CM5768" s="111"/>
      <c r="CQ5768" s="111"/>
      <c r="EF5768"/>
      <c r="EG5768"/>
      <c r="EH5768"/>
      <c r="EI5768"/>
      <c r="EJ5768"/>
      <c r="EK5768"/>
    </row>
    <row r="5769" spans="1:141" s="116" customFormat="1">
      <c r="A5769" s="136"/>
      <c r="CM5769" s="111"/>
      <c r="CQ5769" s="111"/>
      <c r="EF5769"/>
      <c r="EG5769"/>
      <c r="EH5769"/>
      <c r="EI5769"/>
      <c r="EJ5769"/>
      <c r="EK5769"/>
    </row>
    <row r="5770" spans="1:141" s="116" customFormat="1">
      <c r="A5770" s="136"/>
      <c r="CM5770" s="111"/>
      <c r="CQ5770" s="111"/>
      <c r="EF5770"/>
      <c r="EG5770"/>
      <c r="EH5770"/>
      <c r="EI5770"/>
      <c r="EJ5770"/>
      <c r="EK5770"/>
    </row>
    <row r="5771" spans="1:141" s="116" customFormat="1">
      <c r="A5771" s="136"/>
      <c r="CM5771" s="111"/>
      <c r="CQ5771" s="111"/>
      <c r="EF5771"/>
      <c r="EG5771"/>
      <c r="EH5771"/>
      <c r="EI5771"/>
      <c r="EJ5771"/>
      <c r="EK5771"/>
    </row>
    <row r="5772" spans="1:141" s="116" customFormat="1">
      <c r="A5772" s="136"/>
      <c r="CM5772" s="111"/>
      <c r="CQ5772" s="111"/>
      <c r="EF5772"/>
      <c r="EG5772"/>
      <c r="EH5772"/>
      <c r="EI5772"/>
      <c r="EJ5772"/>
      <c r="EK5772"/>
    </row>
    <row r="5773" spans="1:141" s="116" customFormat="1">
      <c r="A5773" s="136"/>
      <c r="CM5773" s="111"/>
      <c r="CQ5773" s="111"/>
      <c r="EF5773"/>
      <c r="EG5773"/>
      <c r="EH5773"/>
      <c r="EI5773"/>
      <c r="EJ5773"/>
      <c r="EK5773"/>
    </row>
    <row r="5774" spans="1:141" s="116" customFormat="1">
      <c r="A5774" s="136"/>
      <c r="CM5774" s="111"/>
      <c r="CQ5774" s="111"/>
      <c r="EF5774"/>
      <c r="EG5774"/>
      <c r="EH5774"/>
      <c r="EI5774"/>
      <c r="EJ5774"/>
      <c r="EK5774"/>
    </row>
    <row r="5775" spans="1:141" s="116" customFormat="1">
      <c r="A5775" s="136"/>
      <c r="CM5775" s="111"/>
      <c r="CQ5775" s="111"/>
      <c r="EF5775"/>
      <c r="EG5775"/>
      <c r="EH5775"/>
      <c r="EI5775"/>
      <c r="EJ5775"/>
      <c r="EK5775"/>
    </row>
    <row r="5776" spans="1:141" s="116" customFormat="1">
      <c r="A5776" s="136"/>
      <c r="CM5776" s="111"/>
      <c r="CQ5776" s="111"/>
      <c r="EF5776"/>
      <c r="EG5776"/>
      <c r="EH5776"/>
      <c r="EI5776"/>
      <c r="EJ5776"/>
      <c r="EK5776"/>
    </row>
    <row r="5777" spans="1:141" s="116" customFormat="1">
      <c r="A5777" s="136"/>
      <c r="CM5777" s="111"/>
      <c r="CQ5777" s="111"/>
      <c r="EF5777"/>
      <c r="EG5777"/>
      <c r="EH5777"/>
      <c r="EI5777"/>
      <c r="EJ5777"/>
      <c r="EK5777"/>
    </row>
    <row r="5778" spans="1:141" s="116" customFormat="1">
      <c r="A5778" s="136"/>
      <c r="CM5778" s="111"/>
      <c r="CQ5778" s="111"/>
      <c r="EF5778"/>
      <c r="EG5778"/>
      <c r="EH5778"/>
      <c r="EI5778"/>
      <c r="EJ5778"/>
      <c r="EK5778"/>
    </row>
    <row r="5779" spans="1:141" s="116" customFormat="1">
      <c r="A5779" s="136"/>
      <c r="CM5779" s="111"/>
      <c r="CQ5779" s="111"/>
      <c r="EF5779"/>
      <c r="EG5779"/>
      <c r="EH5779"/>
      <c r="EI5779"/>
      <c r="EJ5779"/>
      <c r="EK5779"/>
    </row>
    <row r="5780" spans="1:141" s="116" customFormat="1">
      <c r="A5780" s="136"/>
      <c r="CM5780" s="111"/>
      <c r="CQ5780" s="111"/>
      <c r="EF5780"/>
      <c r="EG5780"/>
      <c r="EH5780"/>
      <c r="EI5780"/>
      <c r="EJ5780"/>
      <c r="EK5780"/>
    </row>
    <row r="5781" spans="1:141" s="116" customFormat="1">
      <c r="A5781" s="136"/>
      <c r="CM5781" s="111"/>
      <c r="CQ5781" s="111"/>
      <c r="EF5781"/>
      <c r="EG5781"/>
      <c r="EH5781"/>
      <c r="EI5781"/>
      <c r="EJ5781"/>
      <c r="EK5781"/>
    </row>
    <row r="5782" spans="1:141" s="116" customFormat="1">
      <c r="A5782" s="136"/>
      <c r="CM5782" s="111"/>
      <c r="CQ5782" s="111"/>
      <c r="EF5782"/>
      <c r="EG5782"/>
      <c r="EH5782"/>
      <c r="EI5782"/>
      <c r="EJ5782"/>
      <c r="EK5782"/>
    </row>
    <row r="5783" spans="1:141" s="116" customFormat="1">
      <c r="A5783" s="136"/>
      <c r="CM5783" s="111"/>
      <c r="CQ5783" s="111"/>
      <c r="EF5783"/>
      <c r="EG5783"/>
      <c r="EH5783"/>
      <c r="EI5783"/>
      <c r="EJ5783"/>
      <c r="EK5783"/>
    </row>
    <row r="5784" spans="1:141" s="116" customFormat="1">
      <c r="A5784" s="136"/>
      <c r="CM5784" s="111"/>
      <c r="CQ5784" s="111"/>
      <c r="EF5784"/>
      <c r="EG5784"/>
      <c r="EH5784"/>
      <c r="EI5784"/>
      <c r="EJ5784"/>
      <c r="EK5784"/>
    </row>
    <row r="5785" spans="1:141" s="116" customFormat="1">
      <c r="A5785" s="136"/>
      <c r="CM5785" s="111"/>
      <c r="CQ5785" s="111"/>
      <c r="EF5785"/>
      <c r="EG5785"/>
      <c r="EH5785"/>
      <c r="EI5785"/>
      <c r="EJ5785"/>
      <c r="EK5785"/>
    </row>
    <row r="5786" spans="1:141" s="116" customFormat="1">
      <c r="A5786" s="136"/>
      <c r="CM5786" s="111"/>
      <c r="CQ5786" s="111"/>
      <c r="EF5786"/>
      <c r="EG5786"/>
      <c r="EH5786"/>
      <c r="EI5786"/>
      <c r="EJ5786"/>
      <c r="EK5786"/>
    </row>
    <row r="5787" spans="1:141" s="116" customFormat="1">
      <c r="A5787" s="136"/>
      <c r="CM5787" s="111"/>
      <c r="CQ5787" s="111"/>
      <c r="EF5787"/>
      <c r="EG5787"/>
      <c r="EH5787"/>
      <c r="EI5787"/>
      <c r="EJ5787"/>
      <c r="EK5787"/>
    </row>
    <row r="5788" spans="1:141" s="116" customFormat="1">
      <c r="A5788" s="136"/>
      <c r="CM5788" s="111"/>
      <c r="CQ5788" s="111"/>
      <c r="EF5788"/>
      <c r="EG5788"/>
      <c r="EH5788"/>
      <c r="EI5788"/>
      <c r="EJ5788"/>
      <c r="EK5788"/>
    </row>
    <row r="5789" spans="1:141" s="116" customFormat="1">
      <c r="A5789" s="136"/>
      <c r="CM5789" s="111"/>
      <c r="CQ5789" s="111"/>
      <c r="EF5789"/>
      <c r="EG5789"/>
      <c r="EH5789"/>
      <c r="EI5789"/>
      <c r="EJ5789"/>
      <c r="EK5789"/>
    </row>
    <row r="5790" spans="1:141" s="116" customFormat="1">
      <c r="A5790" s="136"/>
      <c r="CM5790" s="111"/>
      <c r="CQ5790" s="111"/>
      <c r="EF5790"/>
      <c r="EG5790"/>
      <c r="EH5790"/>
      <c r="EI5790"/>
      <c r="EJ5790"/>
      <c r="EK5790"/>
    </row>
    <row r="5791" spans="1:141" s="116" customFormat="1">
      <c r="A5791" s="136"/>
      <c r="CM5791" s="111"/>
      <c r="CQ5791" s="111"/>
      <c r="EF5791"/>
      <c r="EG5791"/>
      <c r="EH5791"/>
      <c r="EI5791"/>
      <c r="EJ5791"/>
      <c r="EK5791"/>
    </row>
    <row r="5792" spans="1:141" s="116" customFormat="1">
      <c r="A5792" s="136"/>
      <c r="CM5792" s="111"/>
      <c r="CQ5792" s="111"/>
      <c r="EF5792"/>
      <c r="EG5792"/>
      <c r="EH5792"/>
      <c r="EI5792"/>
      <c r="EJ5792"/>
      <c r="EK5792"/>
    </row>
    <row r="5793" spans="1:141" s="116" customFormat="1">
      <c r="A5793" s="136"/>
      <c r="CM5793" s="111"/>
      <c r="CQ5793" s="111"/>
      <c r="EF5793"/>
      <c r="EG5793"/>
      <c r="EH5793"/>
      <c r="EI5793"/>
      <c r="EJ5793"/>
      <c r="EK5793"/>
    </row>
    <row r="5794" spans="1:141" s="116" customFormat="1">
      <c r="A5794" s="136"/>
      <c r="CM5794" s="111"/>
      <c r="CQ5794" s="111"/>
      <c r="EF5794"/>
      <c r="EG5794"/>
      <c r="EH5794"/>
      <c r="EI5794"/>
      <c r="EJ5794"/>
      <c r="EK5794"/>
    </row>
    <row r="5795" spans="1:141" s="116" customFormat="1">
      <c r="A5795" s="136"/>
      <c r="CM5795" s="111"/>
      <c r="CQ5795" s="111"/>
      <c r="EF5795"/>
      <c r="EG5795"/>
      <c r="EH5795"/>
      <c r="EI5795"/>
      <c r="EJ5795"/>
      <c r="EK5795"/>
    </row>
    <row r="5796" spans="1:141" s="116" customFormat="1">
      <c r="A5796" s="136"/>
      <c r="CM5796" s="111"/>
      <c r="CQ5796" s="111"/>
      <c r="EF5796"/>
      <c r="EG5796"/>
      <c r="EH5796"/>
      <c r="EI5796"/>
      <c r="EJ5796"/>
      <c r="EK5796"/>
    </row>
    <row r="5797" spans="1:141" s="116" customFormat="1">
      <c r="A5797" s="136"/>
      <c r="CM5797" s="111"/>
      <c r="CQ5797" s="111"/>
      <c r="EF5797"/>
      <c r="EG5797"/>
      <c r="EH5797"/>
      <c r="EI5797"/>
      <c r="EJ5797"/>
      <c r="EK5797"/>
    </row>
    <row r="5798" spans="1:141" s="116" customFormat="1">
      <c r="A5798" s="136"/>
      <c r="CM5798" s="111"/>
      <c r="CQ5798" s="111"/>
      <c r="EF5798"/>
      <c r="EG5798"/>
      <c r="EH5798"/>
      <c r="EI5798"/>
      <c r="EJ5798"/>
      <c r="EK5798"/>
    </row>
    <row r="5799" spans="1:141" s="116" customFormat="1">
      <c r="A5799" s="136"/>
      <c r="CM5799" s="111"/>
      <c r="CQ5799" s="111"/>
      <c r="EF5799"/>
      <c r="EG5799"/>
      <c r="EH5799"/>
      <c r="EI5799"/>
      <c r="EJ5799"/>
      <c r="EK5799"/>
    </row>
    <row r="5800" spans="1:141" s="116" customFormat="1">
      <c r="A5800" s="136"/>
      <c r="CM5800" s="111"/>
      <c r="CQ5800" s="111"/>
      <c r="EF5800"/>
      <c r="EG5800"/>
      <c r="EH5800"/>
      <c r="EI5800"/>
      <c r="EJ5800"/>
      <c r="EK5800"/>
    </row>
    <row r="5801" spans="1:141" s="116" customFormat="1">
      <c r="A5801" s="136"/>
      <c r="CM5801" s="111"/>
      <c r="CQ5801" s="111"/>
      <c r="EF5801"/>
      <c r="EG5801"/>
      <c r="EH5801"/>
      <c r="EI5801"/>
      <c r="EJ5801"/>
      <c r="EK5801"/>
    </row>
    <row r="5802" spans="1:141" s="116" customFormat="1">
      <c r="A5802" s="136"/>
      <c r="CM5802" s="111"/>
      <c r="CQ5802" s="111"/>
      <c r="EF5802"/>
      <c r="EG5802"/>
      <c r="EH5802"/>
      <c r="EI5802"/>
      <c r="EJ5802"/>
      <c r="EK5802"/>
    </row>
    <row r="5803" spans="1:141" s="116" customFormat="1">
      <c r="A5803" s="136"/>
      <c r="CM5803" s="111"/>
      <c r="CQ5803" s="111"/>
      <c r="EF5803"/>
      <c r="EG5803"/>
      <c r="EH5803"/>
      <c r="EI5803"/>
      <c r="EJ5803"/>
      <c r="EK5803"/>
    </row>
    <row r="5804" spans="1:141" s="116" customFormat="1">
      <c r="A5804" s="136"/>
      <c r="CM5804" s="111"/>
      <c r="CQ5804" s="111"/>
      <c r="EF5804"/>
      <c r="EG5804"/>
      <c r="EH5804"/>
      <c r="EI5804"/>
      <c r="EJ5804"/>
      <c r="EK5804"/>
    </row>
    <row r="5805" spans="1:141" s="116" customFormat="1">
      <c r="A5805" s="136"/>
      <c r="CM5805" s="111"/>
      <c r="CQ5805" s="111"/>
      <c r="EF5805"/>
      <c r="EG5805"/>
      <c r="EH5805"/>
      <c r="EI5805"/>
      <c r="EJ5805"/>
      <c r="EK5805"/>
    </row>
    <row r="5806" spans="1:141" s="116" customFormat="1">
      <c r="A5806" s="136"/>
      <c r="CM5806" s="111"/>
      <c r="CQ5806" s="111"/>
      <c r="EF5806"/>
      <c r="EG5806"/>
      <c r="EH5806"/>
      <c r="EI5806"/>
      <c r="EJ5806"/>
      <c r="EK5806"/>
    </row>
    <row r="5807" spans="1:141" s="116" customFormat="1">
      <c r="A5807" s="136"/>
      <c r="CM5807" s="111"/>
      <c r="CQ5807" s="111"/>
      <c r="EF5807"/>
      <c r="EG5807"/>
      <c r="EH5807"/>
      <c r="EI5807"/>
      <c r="EJ5807"/>
      <c r="EK5807"/>
    </row>
    <row r="5808" spans="1:141" s="116" customFormat="1">
      <c r="A5808" s="136"/>
      <c r="CM5808" s="111"/>
      <c r="CQ5808" s="111"/>
      <c r="EF5808"/>
      <c r="EG5808"/>
      <c r="EH5808"/>
      <c r="EI5808"/>
      <c r="EJ5808"/>
      <c r="EK5808"/>
    </row>
    <row r="5809" spans="1:141" s="116" customFormat="1">
      <c r="A5809" s="136"/>
      <c r="CM5809" s="111"/>
      <c r="CQ5809" s="111"/>
      <c r="EF5809"/>
      <c r="EG5809"/>
      <c r="EH5809"/>
      <c r="EI5809"/>
      <c r="EJ5809"/>
      <c r="EK5809"/>
    </row>
    <row r="5810" spans="1:141" s="116" customFormat="1">
      <c r="A5810" s="136"/>
      <c r="CM5810" s="111"/>
      <c r="CQ5810" s="111"/>
      <c r="EF5810"/>
      <c r="EG5810"/>
      <c r="EH5810"/>
      <c r="EI5810"/>
      <c r="EJ5810"/>
      <c r="EK5810"/>
    </row>
    <row r="5811" spans="1:141" s="116" customFormat="1">
      <c r="A5811" s="136"/>
      <c r="CM5811" s="111"/>
      <c r="CQ5811" s="111"/>
      <c r="EF5811"/>
      <c r="EG5811"/>
      <c r="EH5811"/>
      <c r="EI5811"/>
      <c r="EJ5811"/>
      <c r="EK5811"/>
    </row>
    <row r="5812" spans="1:141" s="116" customFormat="1">
      <c r="A5812" s="136"/>
      <c r="CM5812" s="111"/>
      <c r="CQ5812" s="111"/>
      <c r="EF5812"/>
      <c r="EG5812"/>
      <c r="EH5812"/>
      <c r="EI5812"/>
      <c r="EJ5812"/>
      <c r="EK5812"/>
    </row>
    <row r="5813" spans="1:141" s="116" customFormat="1">
      <c r="A5813" s="136"/>
      <c r="CM5813" s="111"/>
      <c r="CQ5813" s="111"/>
      <c r="EF5813"/>
      <c r="EG5813"/>
      <c r="EH5813"/>
      <c r="EI5813"/>
      <c r="EJ5813"/>
      <c r="EK5813"/>
    </row>
    <row r="5814" spans="1:141" s="116" customFormat="1">
      <c r="A5814" s="136"/>
      <c r="CM5814" s="111"/>
      <c r="CQ5814" s="111"/>
      <c r="EF5814"/>
      <c r="EG5814"/>
      <c r="EH5814"/>
      <c r="EI5814"/>
      <c r="EJ5814"/>
      <c r="EK5814"/>
    </row>
    <row r="5815" spans="1:141" s="116" customFormat="1">
      <c r="A5815" s="136"/>
      <c r="CM5815" s="111"/>
      <c r="CQ5815" s="111"/>
      <c r="EF5815"/>
      <c r="EG5815"/>
      <c r="EH5815"/>
      <c r="EI5815"/>
      <c r="EJ5815"/>
      <c r="EK5815"/>
    </row>
    <row r="5816" spans="1:141" s="116" customFormat="1">
      <c r="A5816" s="136"/>
      <c r="CM5816" s="111"/>
      <c r="CQ5816" s="111"/>
      <c r="EF5816"/>
      <c r="EG5816"/>
      <c r="EH5816"/>
      <c r="EI5816"/>
      <c r="EJ5816"/>
      <c r="EK5816"/>
    </row>
    <row r="5817" spans="1:141" s="116" customFormat="1">
      <c r="A5817" s="136"/>
      <c r="CM5817" s="111"/>
      <c r="CQ5817" s="111"/>
      <c r="EF5817"/>
      <c r="EG5817"/>
      <c r="EH5817"/>
      <c r="EI5817"/>
      <c r="EJ5817"/>
      <c r="EK5817"/>
    </row>
    <row r="5818" spans="1:141" s="116" customFormat="1">
      <c r="A5818" s="136"/>
      <c r="CM5818" s="111"/>
      <c r="CQ5818" s="111"/>
      <c r="EF5818"/>
      <c r="EG5818"/>
      <c r="EH5818"/>
      <c r="EI5818"/>
      <c r="EJ5818"/>
      <c r="EK5818"/>
    </row>
    <row r="5819" spans="1:141" s="116" customFormat="1">
      <c r="A5819" s="136"/>
      <c r="CM5819" s="111"/>
      <c r="CQ5819" s="111"/>
      <c r="EF5819"/>
      <c r="EG5819"/>
      <c r="EH5819"/>
      <c r="EI5819"/>
      <c r="EJ5819"/>
      <c r="EK5819"/>
    </row>
    <row r="5820" spans="1:141" s="116" customFormat="1">
      <c r="A5820" s="136"/>
      <c r="CM5820" s="111"/>
      <c r="CQ5820" s="111"/>
      <c r="EF5820"/>
      <c r="EG5820"/>
      <c r="EH5820"/>
      <c r="EI5820"/>
      <c r="EJ5820"/>
      <c r="EK5820"/>
    </row>
    <row r="5821" spans="1:141" s="116" customFormat="1">
      <c r="A5821" s="136"/>
      <c r="CM5821" s="111"/>
      <c r="CQ5821" s="111"/>
      <c r="EF5821"/>
      <c r="EG5821"/>
      <c r="EH5821"/>
      <c r="EI5821"/>
      <c r="EJ5821"/>
      <c r="EK5821"/>
    </row>
    <row r="5822" spans="1:141" s="116" customFormat="1">
      <c r="A5822" s="136"/>
      <c r="CM5822" s="111"/>
      <c r="CQ5822" s="111"/>
      <c r="EF5822"/>
      <c r="EG5822"/>
      <c r="EH5822"/>
      <c r="EI5822"/>
      <c r="EJ5822"/>
      <c r="EK5822"/>
    </row>
    <row r="5823" spans="1:141" s="116" customFormat="1">
      <c r="A5823" s="136"/>
      <c r="CM5823" s="111"/>
      <c r="CQ5823" s="111"/>
      <c r="EF5823"/>
      <c r="EG5823"/>
      <c r="EH5823"/>
      <c r="EI5823"/>
      <c r="EJ5823"/>
      <c r="EK5823"/>
    </row>
    <row r="5824" spans="1:141" s="116" customFormat="1">
      <c r="A5824" s="136"/>
      <c r="CM5824" s="111"/>
      <c r="CQ5824" s="111"/>
      <c r="EF5824"/>
      <c r="EG5824"/>
      <c r="EH5824"/>
      <c r="EI5824"/>
      <c r="EJ5824"/>
      <c r="EK5824"/>
    </row>
    <row r="5825" spans="1:141" s="116" customFormat="1">
      <c r="A5825" s="136"/>
      <c r="CM5825" s="111"/>
      <c r="CQ5825" s="111"/>
      <c r="EF5825"/>
      <c r="EG5825"/>
      <c r="EH5825"/>
      <c r="EI5825"/>
      <c r="EJ5825"/>
      <c r="EK5825"/>
    </row>
    <row r="5826" spans="1:141" s="116" customFormat="1">
      <c r="A5826" s="136"/>
      <c r="CM5826" s="111"/>
      <c r="CQ5826" s="111"/>
      <c r="EF5826"/>
      <c r="EG5826"/>
      <c r="EH5826"/>
      <c r="EI5826"/>
      <c r="EJ5826"/>
      <c r="EK5826"/>
    </row>
    <row r="5827" spans="1:141" s="116" customFormat="1">
      <c r="A5827" s="136"/>
      <c r="CM5827" s="111"/>
      <c r="CQ5827" s="111"/>
      <c r="EF5827"/>
      <c r="EG5827"/>
      <c r="EH5827"/>
      <c r="EI5827"/>
      <c r="EJ5827"/>
      <c r="EK5827"/>
    </row>
    <row r="5828" spans="1:141" s="116" customFormat="1">
      <c r="A5828" s="136"/>
      <c r="CM5828" s="111"/>
      <c r="CQ5828" s="111"/>
      <c r="EF5828"/>
      <c r="EG5828"/>
      <c r="EH5828"/>
      <c r="EI5828"/>
      <c r="EJ5828"/>
      <c r="EK5828"/>
    </row>
    <row r="5829" spans="1:141" s="116" customFormat="1">
      <c r="A5829" s="136"/>
      <c r="CM5829" s="111"/>
      <c r="CQ5829" s="111"/>
      <c r="EF5829"/>
      <c r="EG5829"/>
      <c r="EH5829"/>
      <c r="EI5829"/>
      <c r="EJ5829"/>
      <c r="EK5829"/>
    </row>
    <row r="5830" spans="1:141" s="116" customFormat="1">
      <c r="A5830" s="136"/>
      <c r="CM5830" s="111"/>
      <c r="CQ5830" s="111"/>
      <c r="EF5830"/>
      <c r="EG5830"/>
      <c r="EH5830"/>
      <c r="EI5830"/>
      <c r="EJ5830"/>
      <c r="EK5830"/>
    </row>
    <row r="5831" spans="1:141" s="116" customFormat="1">
      <c r="A5831" s="136"/>
      <c r="CM5831" s="111"/>
      <c r="CQ5831" s="111"/>
      <c r="EF5831"/>
      <c r="EG5831"/>
      <c r="EH5831"/>
      <c r="EI5831"/>
      <c r="EJ5831"/>
      <c r="EK5831"/>
    </row>
    <row r="5832" spans="1:141" s="116" customFormat="1">
      <c r="A5832" s="136"/>
      <c r="CM5832" s="111"/>
      <c r="CQ5832" s="111"/>
      <c r="EF5832"/>
      <c r="EG5832"/>
      <c r="EH5832"/>
      <c r="EI5832"/>
      <c r="EJ5832"/>
      <c r="EK5832"/>
    </row>
    <row r="5833" spans="1:141" s="116" customFormat="1">
      <c r="A5833" s="136"/>
      <c r="CM5833" s="111"/>
      <c r="CQ5833" s="111"/>
      <c r="EF5833"/>
      <c r="EG5833"/>
      <c r="EH5833"/>
      <c r="EI5833"/>
      <c r="EJ5833"/>
      <c r="EK5833"/>
    </row>
    <row r="5834" spans="1:141" s="116" customFormat="1">
      <c r="A5834" s="136"/>
      <c r="CM5834" s="111"/>
      <c r="CQ5834" s="111"/>
      <c r="EF5834"/>
      <c r="EG5834"/>
      <c r="EH5834"/>
      <c r="EI5834"/>
      <c r="EJ5834"/>
      <c r="EK5834"/>
    </row>
    <row r="5835" spans="1:141" s="116" customFormat="1">
      <c r="A5835" s="136"/>
      <c r="CM5835" s="111"/>
      <c r="CQ5835" s="111"/>
      <c r="EF5835"/>
      <c r="EG5835"/>
      <c r="EH5835"/>
      <c r="EI5835"/>
      <c r="EJ5835"/>
      <c r="EK5835"/>
    </row>
    <row r="5836" spans="1:141" s="116" customFormat="1">
      <c r="A5836" s="136"/>
      <c r="CM5836" s="111"/>
      <c r="CQ5836" s="111"/>
      <c r="EF5836"/>
      <c r="EG5836"/>
      <c r="EH5836"/>
      <c r="EI5836"/>
      <c r="EJ5836"/>
      <c r="EK5836"/>
    </row>
    <row r="5837" spans="1:141" s="116" customFormat="1">
      <c r="A5837" s="136"/>
      <c r="CM5837" s="111"/>
      <c r="CQ5837" s="111"/>
      <c r="EF5837"/>
      <c r="EG5837"/>
      <c r="EH5837"/>
      <c r="EI5837"/>
      <c r="EJ5837"/>
      <c r="EK5837"/>
    </row>
    <row r="5838" spans="1:141" s="116" customFormat="1">
      <c r="A5838" s="136"/>
      <c r="CM5838" s="111"/>
      <c r="CQ5838" s="111"/>
      <c r="EF5838"/>
      <c r="EG5838"/>
      <c r="EH5838"/>
      <c r="EI5838"/>
      <c r="EJ5838"/>
      <c r="EK5838"/>
    </row>
    <row r="5839" spans="1:141" s="116" customFormat="1">
      <c r="A5839" s="136"/>
      <c r="CM5839" s="111"/>
      <c r="CQ5839" s="111"/>
      <c r="EF5839"/>
      <c r="EG5839"/>
      <c r="EH5839"/>
      <c r="EI5839"/>
      <c r="EJ5839"/>
      <c r="EK5839"/>
    </row>
    <row r="5840" spans="1:141" s="116" customFormat="1">
      <c r="A5840" s="136"/>
      <c r="CM5840" s="111"/>
      <c r="CQ5840" s="111"/>
      <c r="EF5840"/>
      <c r="EG5840"/>
      <c r="EH5840"/>
      <c r="EI5840"/>
      <c r="EJ5840"/>
      <c r="EK5840"/>
    </row>
    <row r="5841" spans="1:141" s="116" customFormat="1">
      <c r="A5841" s="136"/>
      <c r="CM5841" s="111"/>
      <c r="CQ5841" s="111"/>
      <c r="EF5841"/>
      <c r="EG5841"/>
      <c r="EH5841"/>
      <c r="EI5841"/>
      <c r="EJ5841"/>
      <c r="EK5841"/>
    </row>
    <row r="5842" spans="1:141" s="116" customFormat="1">
      <c r="A5842" s="136"/>
      <c r="CM5842" s="111"/>
      <c r="CQ5842" s="111"/>
      <c r="EF5842"/>
      <c r="EG5842"/>
      <c r="EH5842"/>
      <c r="EI5842"/>
      <c r="EJ5842"/>
      <c r="EK5842"/>
    </row>
    <row r="5843" spans="1:141" s="116" customFormat="1">
      <c r="A5843" s="136"/>
      <c r="CM5843" s="111"/>
      <c r="CQ5843" s="111"/>
      <c r="EF5843"/>
      <c r="EG5843"/>
      <c r="EH5843"/>
      <c r="EI5843"/>
      <c r="EJ5843"/>
      <c r="EK5843"/>
    </row>
    <row r="5844" spans="1:141" s="116" customFormat="1">
      <c r="A5844" s="136"/>
      <c r="CM5844" s="111"/>
      <c r="CQ5844" s="111"/>
      <c r="EF5844"/>
      <c r="EG5844"/>
      <c r="EH5844"/>
      <c r="EI5844"/>
      <c r="EJ5844"/>
      <c r="EK5844"/>
    </row>
    <row r="5845" spans="1:141" s="116" customFormat="1">
      <c r="A5845" s="136"/>
      <c r="CM5845" s="111"/>
      <c r="CQ5845" s="111"/>
      <c r="EF5845"/>
      <c r="EG5845"/>
      <c r="EH5845"/>
      <c r="EI5845"/>
      <c r="EJ5845"/>
      <c r="EK5845"/>
    </row>
    <row r="5846" spans="1:141" s="116" customFormat="1">
      <c r="A5846" s="136"/>
      <c r="CM5846" s="111"/>
      <c r="CQ5846" s="111"/>
      <c r="EF5846"/>
      <c r="EG5846"/>
      <c r="EH5846"/>
      <c r="EI5846"/>
      <c r="EJ5846"/>
      <c r="EK5846"/>
    </row>
    <row r="5847" spans="1:141" s="116" customFormat="1">
      <c r="A5847" s="136"/>
      <c r="CM5847" s="111"/>
      <c r="CQ5847" s="111"/>
      <c r="EF5847"/>
      <c r="EG5847"/>
      <c r="EH5847"/>
      <c r="EI5847"/>
      <c r="EJ5847"/>
      <c r="EK5847"/>
    </row>
    <row r="5848" spans="1:141" s="116" customFormat="1">
      <c r="A5848" s="136"/>
      <c r="CM5848" s="111"/>
      <c r="CQ5848" s="111"/>
      <c r="EF5848"/>
      <c r="EG5848"/>
      <c r="EH5848"/>
      <c r="EI5848"/>
      <c r="EJ5848"/>
      <c r="EK5848"/>
    </row>
    <row r="5849" spans="1:141" s="116" customFormat="1">
      <c r="A5849" s="136"/>
      <c r="CM5849" s="111"/>
      <c r="CQ5849" s="111"/>
      <c r="EF5849"/>
      <c r="EG5849"/>
      <c r="EH5849"/>
      <c r="EI5849"/>
      <c r="EJ5849"/>
      <c r="EK5849"/>
    </row>
    <row r="5850" spans="1:141" s="116" customFormat="1">
      <c r="A5850" s="136"/>
      <c r="CM5850" s="111"/>
      <c r="CQ5850" s="111"/>
      <c r="EF5850"/>
      <c r="EG5850"/>
      <c r="EH5850"/>
      <c r="EI5850"/>
      <c r="EJ5850"/>
      <c r="EK5850"/>
    </row>
    <row r="5851" spans="1:141" s="116" customFormat="1">
      <c r="A5851" s="136"/>
      <c r="CM5851" s="111"/>
      <c r="CQ5851" s="111"/>
      <c r="EF5851"/>
      <c r="EG5851"/>
      <c r="EH5851"/>
      <c r="EI5851"/>
      <c r="EJ5851"/>
      <c r="EK5851"/>
    </row>
    <row r="5852" spans="1:141" s="116" customFormat="1">
      <c r="A5852" s="136"/>
      <c r="CM5852" s="111"/>
      <c r="CQ5852" s="111"/>
      <c r="EF5852"/>
      <c r="EG5852"/>
      <c r="EH5852"/>
      <c r="EI5852"/>
      <c r="EJ5852"/>
      <c r="EK5852"/>
    </row>
    <row r="5853" spans="1:141" s="116" customFormat="1">
      <c r="A5853" s="136"/>
      <c r="CM5853" s="111"/>
      <c r="CQ5853" s="111"/>
      <c r="EF5853"/>
      <c r="EG5853"/>
      <c r="EH5853"/>
      <c r="EI5853"/>
      <c r="EJ5853"/>
      <c r="EK5853"/>
    </row>
    <row r="5854" spans="1:141" s="116" customFormat="1">
      <c r="A5854" s="136"/>
      <c r="CM5854" s="111"/>
      <c r="CQ5854" s="111"/>
      <c r="EF5854"/>
      <c r="EG5854"/>
      <c r="EH5854"/>
      <c r="EI5854"/>
      <c r="EJ5854"/>
      <c r="EK5854"/>
    </row>
    <row r="5855" spans="1:141" s="116" customFormat="1">
      <c r="A5855" s="136"/>
      <c r="CM5855" s="111"/>
      <c r="CQ5855" s="111"/>
      <c r="EF5855"/>
      <c r="EG5855"/>
      <c r="EH5855"/>
      <c r="EI5855"/>
      <c r="EJ5855"/>
      <c r="EK5855"/>
    </row>
    <row r="5856" spans="1:141" s="116" customFormat="1">
      <c r="A5856" s="136"/>
      <c r="CM5856" s="111"/>
      <c r="CQ5856" s="111"/>
      <c r="EF5856"/>
      <c r="EG5856"/>
      <c r="EH5856"/>
      <c r="EI5856"/>
      <c r="EJ5856"/>
      <c r="EK5856"/>
    </row>
    <row r="5857" spans="1:141" s="116" customFormat="1">
      <c r="A5857" s="136"/>
      <c r="CM5857" s="111"/>
      <c r="CQ5857" s="111"/>
      <c r="EF5857"/>
      <c r="EG5857"/>
      <c r="EH5857"/>
      <c r="EI5857"/>
      <c r="EJ5857"/>
      <c r="EK5857"/>
    </row>
    <row r="5858" spans="1:141" s="116" customFormat="1">
      <c r="A5858" s="136"/>
      <c r="CM5858" s="111"/>
      <c r="CQ5858" s="111"/>
      <c r="EF5858"/>
      <c r="EG5858"/>
      <c r="EH5858"/>
      <c r="EI5858"/>
      <c r="EJ5858"/>
      <c r="EK5858"/>
    </row>
    <row r="5859" spans="1:141" s="116" customFormat="1">
      <c r="A5859" s="136"/>
      <c r="CM5859" s="111"/>
      <c r="CQ5859" s="111"/>
      <c r="EF5859"/>
      <c r="EG5859"/>
      <c r="EH5859"/>
      <c r="EI5859"/>
      <c r="EJ5859"/>
      <c r="EK5859"/>
    </row>
    <row r="5860" spans="1:141" s="116" customFormat="1">
      <c r="A5860" s="136"/>
      <c r="CM5860" s="111"/>
      <c r="CQ5860" s="111"/>
      <c r="EF5860"/>
      <c r="EG5860"/>
      <c r="EH5860"/>
      <c r="EI5860"/>
      <c r="EJ5860"/>
      <c r="EK5860"/>
    </row>
    <row r="5861" spans="1:141" s="116" customFormat="1">
      <c r="A5861" s="136"/>
      <c r="CM5861" s="111"/>
      <c r="CQ5861" s="111"/>
      <c r="EF5861"/>
      <c r="EG5861"/>
      <c r="EH5861"/>
      <c r="EI5861"/>
      <c r="EJ5861"/>
      <c r="EK5861"/>
    </row>
    <row r="5862" spans="1:141" s="116" customFormat="1">
      <c r="A5862" s="136"/>
      <c r="CM5862" s="111"/>
      <c r="CQ5862" s="111"/>
      <c r="EF5862"/>
      <c r="EG5862"/>
      <c r="EH5862"/>
      <c r="EI5862"/>
      <c r="EJ5862"/>
      <c r="EK5862"/>
    </row>
    <row r="5863" spans="1:141" s="116" customFormat="1">
      <c r="A5863" s="136"/>
      <c r="CM5863" s="111"/>
      <c r="CQ5863" s="111"/>
      <c r="EF5863"/>
      <c r="EG5863"/>
      <c r="EH5863"/>
      <c r="EI5863"/>
      <c r="EJ5863"/>
      <c r="EK5863"/>
    </row>
    <row r="5864" spans="1:141" s="116" customFormat="1">
      <c r="A5864" s="136"/>
      <c r="CM5864" s="111"/>
      <c r="CQ5864" s="111"/>
      <c r="EF5864"/>
      <c r="EG5864"/>
      <c r="EH5864"/>
      <c r="EI5864"/>
      <c r="EJ5864"/>
      <c r="EK5864"/>
    </row>
    <row r="5865" spans="1:141" s="116" customFormat="1">
      <c r="A5865" s="136"/>
      <c r="CM5865" s="111"/>
      <c r="CQ5865" s="111"/>
      <c r="EF5865"/>
      <c r="EG5865"/>
      <c r="EH5865"/>
      <c r="EI5865"/>
      <c r="EJ5865"/>
      <c r="EK5865"/>
    </row>
    <row r="5866" spans="1:141" s="116" customFormat="1">
      <c r="A5866" s="136"/>
      <c r="CM5866" s="111"/>
      <c r="CQ5866" s="111"/>
      <c r="EF5866"/>
      <c r="EG5866"/>
      <c r="EH5866"/>
      <c r="EI5866"/>
      <c r="EJ5866"/>
      <c r="EK5866"/>
    </row>
    <row r="5867" spans="1:141" s="116" customFormat="1">
      <c r="A5867" s="136"/>
      <c r="CM5867" s="111"/>
      <c r="CQ5867" s="111"/>
      <c r="EF5867"/>
      <c r="EG5867"/>
      <c r="EH5867"/>
      <c r="EI5867"/>
      <c r="EJ5867"/>
      <c r="EK5867"/>
    </row>
    <row r="5868" spans="1:141" s="116" customFormat="1">
      <c r="A5868" s="136"/>
      <c r="CM5868" s="111"/>
      <c r="CQ5868" s="111"/>
      <c r="EF5868"/>
      <c r="EG5868"/>
      <c r="EH5868"/>
      <c r="EI5868"/>
      <c r="EJ5868"/>
      <c r="EK5868"/>
    </row>
    <row r="5869" spans="1:141" s="116" customFormat="1">
      <c r="A5869" s="136"/>
      <c r="CM5869" s="111"/>
      <c r="CQ5869" s="111"/>
      <c r="EF5869"/>
      <c r="EG5869"/>
      <c r="EH5869"/>
      <c r="EI5869"/>
      <c r="EJ5869"/>
      <c r="EK5869"/>
    </row>
    <row r="5870" spans="1:141" s="116" customFormat="1">
      <c r="A5870" s="136"/>
      <c r="CM5870" s="111"/>
      <c r="CQ5870" s="111"/>
      <c r="EF5870"/>
      <c r="EG5870"/>
      <c r="EH5870"/>
      <c r="EI5870"/>
      <c r="EJ5870"/>
      <c r="EK5870"/>
    </row>
    <row r="5871" spans="1:141" s="116" customFormat="1">
      <c r="A5871" s="136"/>
      <c r="CM5871" s="111"/>
      <c r="CQ5871" s="111"/>
      <c r="EF5871"/>
      <c r="EG5871"/>
      <c r="EH5871"/>
      <c r="EI5871"/>
      <c r="EJ5871"/>
      <c r="EK5871"/>
    </row>
    <row r="5872" spans="1:141" s="116" customFormat="1">
      <c r="A5872" s="136"/>
      <c r="CM5872" s="111"/>
      <c r="CQ5872" s="111"/>
      <c r="EF5872"/>
      <c r="EG5872"/>
      <c r="EH5872"/>
      <c r="EI5872"/>
      <c r="EJ5872"/>
      <c r="EK5872"/>
    </row>
    <row r="5873" spans="1:141" s="116" customFormat="1">
      <c r="A5873" s="136"/>
      <c r="CM5873" s="111"/>
      <c r="CQ5873" s="111"/>
      <c r="EF5873"/>
      <c r="EG5873"/>
      <c r="EH5873"/>
      <c r="EI5873"/>
      <c r="EJ5873"/>
      <c r="EK5873"/>
    </row>
    <row r="5874" spans="1:141" s="116" customFormat="1">
      <c r="A5874" s="136"/>
      <c r="CM5874" s="111"/>
      <c r="CQ5874" s="111"/>
      <c r="EF5874"/>
      <c r="EG5874"/>
      <c r="EH5874"/>
      <c r="EI5874"/>
      <c r="EJ5874"/>
      <c r="EK5874"/>
    </row>
    <row r="5875" spans="1:141" s="116" customFormat="1">
      <c r="A5875" s="136"/>
      <c r="CM5875" s="111"/>
      <c r="CQ5875" s="111"/>
      <c r="EF5875"/>
      <c r="EG5875"/>
      <c r="EH5875"/>
      <c r="EI5875"/>
      <c r="EJ5875"/>
      <c r="EK5875"/>
    </row>
    <row r="5876" spans="1:141" s="116" customFormat="1">
      <c r="A5876" s="136"/>
      <c r="CM5876" s="111"/>
      <c r="CQ5876" s="111"/>
      <c r="EF5876"/>
      <c r="EG5876"/>
      <c r="EH5876"/>
      <c r="EI5876"/>
      <c r="EJ5876"/>
      <c r="EK5876"/>
    </row>
    <row r="5877" spans="1:141" s="116" customFormat="1">
      <c r="A5877" s="136"/>
      <c r="CM5877" s="111"/>
      <c r="CQ5877" s="111"/>
      <c r="EF5877"/>
      <c r="EG5877"/>
      <c r="EH5877"/>
      <c r="EI5877"/>
      <c r="EJ5877"/>
      <c r="EK5877"/>
    </row>
    <row r="5878" spans="1:141" s="116" customFormat="1">
      <c r="A5878" s="136"/>
      <c r="CM5878" s="111"/>
      <c r="CQ5878" s="111"/>
      <c r="EF5878"/>
      <c r="EG5878"/>
      <c r="EH5878"/>
      <c r="EI5878"/>
      <c r="EJ5878"/>
      <c r="EK5878"/>
    </row>
    <row r="5879" spans="1:141" s="116" customFormat="1">
      <c r="A5879" s="136"/>
      <c r="CM5879" s="111"/>
      <c r="CQ5879" s="111"/>
      <c r="EF5879"/>
      <c r="EG5879"/>
      <c r="EH5879"/>
      <c r="EI5879"/>
      <c r="EJ5879"/>
      <c r="EK5879"/>
    </row>
    <row r="5880" spans="1:141" s="116" customFormat="1">
      <c r="A5880" s="136"/>
      <c r="CM5880" s="111"/>
      <c r="CQ5880" s="111"/>
      <c r="EF5880"/>
      <c r="EG5880"/>
      <c r="EH5880"/>
      <c r="EI5880"/>
      <c r="EJ5880"/>
      <c r="EK5880"/>
    </row>
    <row r="5881" spans="1:141" s="116" customFormat="1">
      <c r="A5881" s="136"/>
      <c r="CM5881" s="111"/>
      <c r="CQ5881" s="111"/>
      <c r="EF5881"/>
      <c r="EG5881"/>
      <c r="EH5881"/>
      <c r="EI5881"/>
      <c r="EJ5881"/>
      <c r="EK5881"/>
    </row>
    <row r="5882" spans="1:141" s="116" customFormat="1">
      <c r="A5882" s="136"/>
      <c r="CM5882" s="111"/>
      <c r="CQ5882" s="111"/>
      <c r="EF5882"/>
      <c r="EG5882"/>
      <c r="EH5882"/>
      <c r="EI5882"/>
      <c r="EJ5882"/>
      <c r="EK5882"/>
    </row>
    <row r="5883" spans="1:141" s="116" customFormat="1">
      <c r="A5883" s="136"/>
      <c r="CM5883" s="111"/>
      <c r="CQ5883" s="111"/>
      <c r="EF5883"/>
      <c r="EG5883"/>
      <c r="EH5883"/>
      <c r="EI5883"/>
      <c r="EJ5883"/>
      <c r="EK5883"/>
    </row>
    <row r="5884" spans="1:141" s="116" customFormat="1">
      <c r="A5884" s="136"/>
      <c r="CM5884" s="111"/>
      <c r="CQ5884" s="111"/>
      <c r="EF5884"/>
      <c r="EG5884"/>
      <c r="EH5884"/>
      <c r="EI5884"/>
      <c r="EJ5884"/>
      <c r="EK5884"/>
    </row>
    <row r="5885" spans="1:141" s="116" customFormat="1">
      <c r="A5885" s="136"/>
      <c r="CM5885" s="111"/>
      <c r="CQ5885" s="111"/>
      <c r="EF5885"/>
      <c r="EG5885"/>
      <c r="EH5885"/>
      <c r="EI5885"/>
      <c r="EJ5885"/>
      <c r="EK5885"/>
    </row>
    <row r="5886" spans="1:141" s="116" customFormat="1">
      <c r="A5886" s="136"/>
      <c r="CM5886" s="111"/>
      <c r="CQ5886" s="111"/>
      <c r="EF5886"/>
      <c r="EG5886"/>
      <c r="EH5886"/>
      <c r="EI5886"/>
      <c r="EJ5886"/>
      <c r="EK5886"/>
    </row>
    <row r="5887" spans="1:141" s="116" customFormat="1">
      <c r="A5887" s="136"/>
      <c r="CM5887" s="111"/>
      <c r="CQ5887" s="111"/>
      <c r="EF5887"/>
      <c r="EG5887"/>
      <c r="EH5887"/>
      <c r="EI5887"/>
      <c r="EJ5887"/>
      <c r="EK5887"/>
    </row>
    <row r="5888" spans="1:141" s="116" customFormat="1">
      <c r="A5888" s="136"/>
      <c r="CM5888" s="111"/>
      <c r="CQ5888" s="111"/>
      <c r="EF5888"/>
      <c r="EG5888"/>
      <c r="EH5888"/>
      <c r="EI5888"/>
      <c r="EJ5888"/>
      <c r="EK5888"/>
    </row>
    <row r="5889" spans="1:141" s="116" customFormat="1">
      <c r="A5889" s="136"/>
      <c r="CM5889" s="111"/>
      <c r="CQ5889" s="111"/>
      <c r="EF5889"/>
      <c r="EG5889"/>
      <c r="EH5889"/>
      <c r="EI5889"/>
      <c r="EJ5889"/>
      <c r="EK5889"/>
    </row>
    <row r="5890" spans="1:141" s="116" customFormat="1">
      <c r="A5890" s="136"/>
      <c r="CM5890" s="111"/>
      <c r="CQ5890" s="111"/>
      <c r="EF5890"/>
      <c r="EG5890"/>
      <c r="EH5890"/>
      <c r="EI5890"/>
      <c r="EJ5890"/>
      <c r="EK5890"/>
    </row>
    <row r="5891" spans="1:141" s="116" customFormat="1">
      <c r="A5891" s="136"/>
      <c r="CM5891" s="111"/>
      <c r="CQ5891" s="111"/>
      <c r="EF5891"/>
      <c r="EG5891"/>
      <c r="EH5891"/>
      <c r="EI5891"/>
      <c r="EJ5891"/>
      <c r="EK5891"/>
    </row>
    <row r="5892" spans="1:141" s="116" customFormat="1">
      <c r="A5892" s="136"/>
      <c r="CM5892" s="111"/>
      <c r="CQ5892" s="111"/>
      <c r="EF5892"/>
      <c r="EG5892"/>
      <c r="EH5892"/>
      <c r="EI5892"/>
      <c r="EJ5892"/>
      <c r="EK5892"/>
    </row>
    <row r="5893" spans="1:141" s="116" customFormat="1">
      <c r="A5893" s="136"/>
      <c r="CM5893" s="111"/>
      <c r="CQ5893" s="111"/>
      <c r="EF5893"/>
      <c r="EG5893"/>
      <c r="EH5893"/>
      <c r="EI5893"/>
      <c r="EJ5893"/>
      <c r="EK5893"/>
    </row>
    <row r="5894" spans="1:141" s="116" customFormat="1">
      <c r="A5894" s="136"/>
      <c r="CM5894" s="111"/>
      <c r="CQ5894" s="111"/>
      <c r="EF5894"/>
      <c r="EG5894"/>
      <c r="EH5894"/>
      <c r="EI5894"/>
      <c r="EJ5894"/>
      <c r="EK5894"/>
    </row>
    <row r="5895" spans="1:141" s="116" customFormat="1">
      <c r="A5895" s="136"/>
      <c r="CM5895" s="111"/>
      <c r="CQ5895" s="111"/>
      <c r="EF5895"/>
      <c r="EG5895"/>
      <c r="EH5895"/>
      <c r="EI5895"/>
      <c r="EJ5895"/>
      <c r="EK5895"/>
    </row>
    <row r="5896" spans="1:141" s="116" customFormat="1">
      <c r="A5896" s="136"/>
      <c r="CM5896" s="111"/>
      <c r="CQ5896" s="111"/>
      <c r="EF5896"/>
      <c r="EG5896"/>
      <c r="EH5896"/>
      <c r="EI5896"/>
      <c r="EJ5896"/>
      <c r="EK5896"/>
    </row>
    <row r="5897" spans="1:141" s="116" customFormat="1">
      <c r="A5897" s="136"/>
      <c r="CM5897" s="111"/>
      <c r="CQ5897" s="111"/>
      <c r="EF5897"/>
      <c r="EG5897"/>
      <c r="EH5897"/>
      <c r="EI5897"/>
      <c r="EJ5897"/>
      <c r="EK5897"/>
    </row>
    <row r="5898" spans="1:141" s="116" customFormat="1">
      <c r="A5898" s="136"/>
      <c r="CM5898" s="111"/>
      <c r="CQ5898" s="111"/>
      <c r="EF5898"/>
      <c r="EG5898"/>
      <c r="EH5898"/>
      <c r="EI5898"/>
      <c r="EJ5898"/>
      <c r="EK5898"/>
    </row>
    <row r="5899" spans="1:141" s="116" customFormat="1">
      <c r="A5899" s="136"/>
      <c r="CM5899" s="111"/>
      <c r="CQ5899" s="111"/>
      <c r="EF5899"/>
      <c r="EG5899"/>
      <c r="EH5899"/>
      <c r="EI5899"/>
      <c r="EJ5899"/>
      <c r="EK5899"/>
    </row>
    <row r="5900" spans="1:141" s="116" customFormat="1">
      <c r="A5900" s="136"/>
      <c r="CM5900" s="111"/>
      <c r="CQ5900" s="111"/>
      <c r="EF5900"/>
      <c r="EG5900"/>
      <c r="EH5900"/>
      <c r="EI5900"/>
      <c r="EJ5900"/>
      <c r="EK5900"/>
    </row>
    <row r="5901" spans="1:141" s="116" customFormat="1">
      <c r="A5901" s="136"/>
      <c r="CM5901" s="111"/>
      <c r="CQ5901" s="111"/>
      <c r="EF5901"/>
      <c r="EG5901"/>
      <c r="EH5901"/>
      <c r="EI5901"/>
      <c r="EJ5901"/>
      <c r="EK5901"/>
    </row>
    <row r="5902" spans="1:141" s="116" customFormat="1">
      <c r="A5902" s="136"/>
      <c r="CM5902" s="111"/>
      <c r="CQ5902" s="111"/>
      <c r="EF5902"/>
      <c r="EG5902"/>
      <c r="EH5902"/>
      <c r="EI5902"/>
      <c r="EJ5902"/>
      <c r="EK5902"/>
    </row>
    <row r="5903" spans="1:141" s="116" customFormat="1">
      <c r="A5903" s="136"/>
      <c r="CM5903" s="111"/>
      <c r="CQ5903" s="111"/>
      <c r="EF5903"/>
      <c r="EG5903"/>
      <c r="EH5903"/>
      <c r="EI5903"/>
      <c r="EJ5903"/>
      <c r="EK5903"/>
    </row>
    <row r="5904" spans="1:141" s="116" customFormat="1">
      <c r="A5904" s="136"/>
      <c r="CM5904" s="111"/>
      <c r="CQ5904" s="111"/>
      <c r="EF5904"/>
      <c r="EG5904"/>
      <c r="EH5904"/>
      <c r="EI5904"/>
      <c r="EJ5904"/>
      <c r="EK5904"/>
    </row>
    <row r="5905" spans="1:141" s="116" customFormat="1">
      <c r="A5905" s="136"/>
      <c r="CM5905" s="111"/>
      <c r="CQ5905" s="111"/>
      <c r="EF5905"/>
      <c r="EG5905"/>
      <c r="EH5905"/>
      <c r="EI5905"/>
      <c r="EJ5905"/>
      <c r="EK5905"/>
    </row>
    <row r="5906" spans="1:141" s="116" customFormat="1">
      <c r="A5906" s="136"/>
      <c r="CM5906" s="111"/>
      <c r="CQ5906" s="111"/>
      <c r="EF5906"/>
      <c r="EG5906"/>
      <c r="EH5906"/>
      <c r="EI5906"/>
      <c r="EJ5906"/>
      <c r="EK5906"/>
    </row>
    <row r="5907" spans="1:141" s="116" customFormat="1">
      <c r="A5907" s="136"/>
      <c r="CM5907" s="111"/>
      <c r="CQ5907" s="111"/>
      <c r="EF5907"/>
      <c r="EG5907"/>
      <c r="EH5907"/>
      <c r="EI5907"/>
      <c r="EJ5907"/>
      <c r="EK5907"/>
    </row>
    <row r="5908" spans="1:141" s="116" customFormat="1">
      <c r="A5908" s="136"/>
      <c r="CM5908" s="111"/>
      <c r="CQ5908" s="111"/>
      <c r="EF5908"/>
      <c r="EG5908"/>
      <c r="EH5908"/>
      <c r="EI5908"/>
      <c r="EJ5908"/>
      <c r="EK5908"/>
    </row>
    <row r="5909" spans="1:141" s="116" customFormat="1">
      <c r="A5909" s="136"/>
      <c r="CM5909" s="111"/>
      <c r="CQ5909" s="111"/>
      <c r="EF5909"/>
      <c r="EG5909"/>
      <c r="EH5909"/>
      <c r="EI5909"/>
      <c r="EJ5909"/>
      <c r="EK5909"/>
    </row>
    <row r="5910" spans="1:141" s="116" customFormat="1">
      <c r="A5910" s="136"/>
      <c r="CM5910" s="111"/>
      <c r="CQ5910" s="111"/>
      <c r="EF5910"/>
      <c r="EG5910"/>
      <c r="EH5910"/>
      <c r="EI5910"/>
      <c r="EJ5910"/>
      <c r="EK5910"/>
    </row>
    <row r="5911" spans="1:141" s="116" customFormat="1">
      <c r="A5911" s="136"/>
      <c r="CM5911" s="111"/>
      <c r="CQ5911" s="111"/>
      <c r="EF5911"/>
      <c r="EG5911"/>
      <c r="EH5911"/>
      <c r="EI5911"/>
      <c r="EJ5911"/>
      <c r="EK5911"/>
    </row>
    <row r="5912" spans="1:141" s="116" customFormat="1">
      <c r="A5912" s="136"/>
      <c r="CM5912" s="111"/>
      <c r="CQ5912" s="111"/>
      <c r="EF5912"/>
      <c r="EG5912"/>
      <c r="EH5912"/>
      <c r="EI5912"/>
      <c r="EJ5912"/>
      <c r="EK5912"/>
    </row>
    <row r="5913" spans="1:141" s="116" customFormat="1">
      <c r="A5913" s="136"/>
      <c r="CM5913" s="111"/>
      <c r="CQ5913" s="111"/>
      <c r="EF5913"/>
      <c r="EG5913"/>
      <c r="EH5913"/>
      <c r="EI5913"/>
      <c r="EJ5913"/>
      <c r="EK5913"/>
    </row>
    <row r="5914" spans="1:141" s="116" customFormat="1">
      <c r="A5914" s="136"/>
      <c r="CM5914" s="111"/>
      <c r="CQ5914" s="111"/>
      <c r="EF5914"/>
      <c r="EG5914"/>
      <c r="EH5914"/>
      <c r="EI5914"/>
      <c r="EJ5914"/>
      <c r="EK5914"/>
    </row>
    <row r="5915" spans="1:141" s="116" customFormat="1">
      <c r="A5915" s="136"/>
      <c r="CM5915" s="111"/>
      <c r="CQ5915" s="111"/>
      <c r="EF5915"/>
      <c r="EG5915"/>
      <c r="EH5915"/>
      <c r="EI5915"/>
      <c r="EJ5915"/>
      <c r="EK5915"/>
    </row>
    <row r="5916" spans="1:141" s="116" customFormat="1">
      <c r="A5916" s="136"/>
      <c r="CM5916" s="111"/>
      <c r="CQ5916" s="111"/>
      <c r="EF5916"/>
      <c r="EG5916"/>
      <c r="EH5916"/>
      <c r="EI5916"/>
      <c r="EJ5916"/>
      <c r="EK5916"/>
    </row>
    <row r="5917" spans="1:141" s="116" customFormat="1">
      <c r="A5917" s="136"/>
      <c r="CM5917" s="111"/>
      <c r="CQ5917" s="111"/>
      <c r="EF5917"/>
      <c r="EG5917"/>
      <c r="EH5917"/>
      <c r="EI5917"/>
      <c r="EJ5917"/>
      <c r="EK5917"/>
    </row>
    <row r="5918" spans="1:141" s="116" customFormat="1">
      <c r="A5918" s="136"/>
      <c r="CM5918" s="111"/>
      <c r="CQ5918" s="111"/>
      <c r="EF5918"/>
      <c r="EG5918"/>
      <c r="EH5918"/>
      <c r="EI5918"/>
      <c r="EJ5918"/>
      <c r="EK5918"/>
    </row>
    <row r="5919" spans="1:141" s="116" customFormat="1">
      <c r="A5919" s="136"/>
      <c r="CM5919" s="111"/>
      <c r="CQ5919" s="111"/>
      <c r="EF5919"/>
      <c r="EG5919"/>
      <c r="EH5919"/>
      <c r="EI5919"/>
      <c r="EJ5919"/>
      <c r="EK5919"/>
    </row>
    <row r="5920" spans="1:141" s="116" customFormat="1">
      <c r="A5920" s="136"/>
      <c r="CM5920" s="111"/>
      <c r="CQ5920" s="111"/>
      <c r="EF5920"/>
      <c r="EG5920"/>
      <c r="EH5920"/>
      <c r="EI5920"/>
      <c r="EJ5920"/>
      <c r="EK5920"/>
    </row>
    <row r="5921" spans="1:141" s="116" customFormat="1">
      <c r="A5921" s="136"/>
      <c r="CM5921" s="111"/>
      <c r="CQ5921" s="111"/>
      <c r="EF5921"/>
      <c r="EG5921"/>
      <c r="EH5921"/>
      <c r="EI5921"/>
      <c r="EJ5921"/>
      <c r="EK5921"/>
    </row>
    <row r="5922" spans="1:141" s="116" customFormat="1">
      <c r="A5922" s="136"/>
      <c r="CM5922" s="111"/>
      <c r="CQ5922" s="111"/>
      <c r="EF5922"/>
      <c r="EG5922"/>
      <c r="EH5922"/>
      <c r="EI5922"/>
      <c r="EJ5922"/>
      <c r="EK5922"/>
    </row>
    <row r="5923" spans="1:141" s="116" customFormat="1">
      <c r="A5923" s="136"/>
      <c r="CM5923" s="111"/>
      <c r="CQ5923" s="111"/>
      <c r="EF5923"/>
      <c r="EG5923"/>
      <c r="EH5923"/>
      <c r="EI5923"/>
      <c r="EJ5923"/>
      <c r="EK5923"/>
    </row>
    <row r="5924" spans="1:141" s="116" customFormat="1">
      <c r="A5924" s="136"/>
      <c r="CM5924" s="111"/>
      <c r="CQ5924" s="111"/>
      <c r="EF5924"/>
      <c r="EG5924"/>
      <c r="EH5924"/>
      <c r="EI5924"/>
      <c r="EJ5924"/>
      <c r="EK5924"/>
    </row>
    <row r="5925" spans="1:141" s="116" customFormat="1">
      <c r="A5925" s="136"/>
      <c r="CM5925" s="111"/>
      <c r="CQ5925" s="111"/>
      <c r="EF5925"/>
      <c r="EG5925"/>
      <c r="EH5925"/>
      <c r="EI5925"/>
      <c r="EJ5925"/>
      <c r="EK5925"/>
    </row>
    <row r="5926" spans="1:141" s="116" customFormat="1">
      <c r="A5926" s="136"/>
      <c r="CM5926" s="111"/>
      <c r="CQ5926" s="111"/>
      <c r="EF5926"/>
      <c r="EG5926"/>
      <c r="EH5926"/>
      <c r="EI5926"/>
      <c r="EJ5926"/>
      <c r="EK5926"/>
    </row>
    <row r="5927" spans="1:141" s="116" customFormat="1">
      <c r="A5927" s="136"/>
      <c r="CM5927" s="111"/>
      <c r="CQ5927" s="111"/>
      <c r="EF5927"/>
      <c r="EG5927"/>
      <c r="EH5927"/>
      <c r="EI5927"/>
      <c r="EJ5927"/>
      <c r="EK5927"/>
    </row>
    <row r="5928" spans="1:141" s="116" customFormat="1">
      <c r="A5928" s="136"/>
      <c r="CM5928" s="111"/>
      <c r="CQ5928" s="111"/>
      <c r="EF5928"/>
      <c r="EG5928"/>
      <c r="EH5928"/>
      <c r="EI5928"/>
      <c r="EJ5928"/>
      <c r="EK5928"/>
    </row>
    <row r="5929" spans="1:141" s="116" customFormat="1">
      <c r="A5929" s="136"/>
      <c r="CM5929" s="111"/>
      <c r="CQ5929" s="111"/>
      <c r="EF5929"/>
      <c r="EG5929"/>
      <c r="EH5929"/>
      <c r="EI5929"/>
      <c r="EJ5929"/>
      <c r="EK5929"/>
    </row>
    <row r="5930" spans="1:141" s="116" customFormat="1">
      <c r="A5930" s="136"/>
      <c r="CM5930" s="111"/>
      <c r="CQ5930" s="111"/>
      <c r="EF5930"/>
      <c r="EG5930"/>
      <c r="EH5930"/>
      <c r="EI5930"/>
      <c r="EJ5930"/>
      <c r="EK5930"/>
    </row>
    <row r="5931" spans="1:141" s="116" customFormat="1">
      <c r="A5931" s="136"/>
      <c r="CM5931" s="111"/>
      <c r="CQ5931" s="111"/>
      <c r="EF5931"/>
      <c r="EG5931"/>
      <c r="EH5931"/>
      <c r="EI5931"/>
      <c r="EJ5931"/>
      <c r="EK5931"/>
    </row>
    <row r="5932" spans="1:141" s="116" customFormat="1">
      <c r="A5932" s="136"/>
      <c r="CM5932" s="111"/>
      <c r="CQ5932" s="111"/>
      <c r="EF5932"/>
      <c r="EG5932"/>
      <c r="EH5932"/>
      <c r="EI5932"/>
      <c r="EJ5932"/>
      <c r="EK5932"/>
    </row>
    <row r="5933" spans="1:141" s="116" customFormat="1">
      <c r="A5933" s="136"/>
      <c r="CM5933" s="111"/>
      <c r="CQ5933" s="111"/>
      <c r="EF5933"/>
      <c r="EG5933"/>
      <c r="EH5933"/>
      <c r="EI5933"/>
      <c r="EJ5933"/>
      <c r="EK5933"/>
    </row>
    <row r="5934" spans="1:141" s="116" customFormat="1">
      <c r="A5934" s="136"/>
      <c r="CM5934" s="111"/>
      <c r="CQ5934" s="111"/>
      <c r="EF5934"/>
      <c r="EG5934"/>
      <c r="EH5934"/>
      <c r="EI5934"/>
      <c r="EJ5934"/>
      <c r="EK5934"/>
    </row>
    <row r="5935" spans="1:141" s="116" customFormat="1">
      <c r="A5935" s="136"/>
      <c r="CM5935" s="111"/>
      <c r="CQ5935" s="111"/>
      <c r="EF5935"/>
      <c r="EG5935"/>
      <c r="EH5935"/>
      <c r="EI5935"/>
      <c r="EJ5935"/>
      <c r="EK5935"/>
    </row>
    <row r="5936" spans="1:141" s="116" customFormat="1">
      <c r="A5936" s="136"/>
      <c r="CM5936" s="111"/>
      <c r="CQ5936" s="111"/>
      <c r="EF5936"/>
      <c r="EG5936"/>
      <c r="EH5936"/>
      <c r="EI5936"/>
      <c r="EJ5936"/>
      <c r="EK5936"/>
    </row>
    <row r="5937" spans="1:141" s="116" customFormat="1">
      <c r="A5937" s="136"/>
      <c r="CM5937" s="111"/>
      <c r="CQ5937" s="111"/>
      <c r="EF5937"/>
      <c r="EG5937"/>
      <c r="EH5937"/>
      <c r="EI5937"/>
      <c r="EJ5937"/>
      <c r="EK5937"/>
    </row>
    <row r="5938" spans="1:141" s="116" customFormat="1">
      <c r="A5938" s="136"/>
      <c r="CM5938" s="111"/>
      <c r="CQ5938" s="111"/>
      <c r="EF5938"/>
      <c r="EG5938"/>
      <c r="EH5938"/>
      <c r="EI5938"/>
      <c r="EJ5938"/>
      <c r="EK5938"/>
    </row>
    <row r="5939" spans="1:141" s="116" customFormat="1">
      <c r="A5939" s="136"/>
      <c r="CM5939" s="111"/>
      <c r="CQ5939" s="111"/>
      <c r="EF5939"/>
      <c r="EG5939"/>
      <c r="EH5939"/>
      <c r="EI5939"/>
      <c r="EJ5939"/>
      <c r="EK5939"/>
    </row>
    <row r="5940" spans="1:141" s="116" customFormat="1">
      <c r="A5940" s="136"/>
      <c r="CM5940" s="111"/>
      <c r="CQ5940" s="111"/>
      <c r="EF5940"/>
      <c r="EG5940"/>
      <c r="EH5940"/>
      <c r="EI5940"/>
      <c r="EJ5940"/>
      <c r="EK5940"/>
    </row>
    <row r="5941" spans="1:141" s="116" customFormat="1">
      <c r="A5941" s="136"/>
      <c r="CM5941" s="111"/>
      <c r="CQ5941" s="111"/>
      <c r="EF5941"/>
      <c r="EG5941"/>
      <c r="EH5941"/>
      <c r="EI5941"/>
      <c r="EJ5941"/>
      <c r="EK5941"/>
    </row>
    <row r="5942" spans="1:141" s="116" customFormat="1">
      <c r="A5942" s="136"/>
      <c r="CM5942" s="111"/>
      <c r="CQ5942" s="111"/>
      <c r="EF5942"/>
      <c r="EG5942"/>
      <c r="EH5942"/>
      <c r="EI5942"/>
      <c r="EJ5942"/>
      <c r="EK5942"/>
    </row>
    <row r="5943" spans="1:141" s="116" customFormat="1">
      <c r="A5943" s="136"/>
      <c r="CM5943" s="111"/>
      <c r="CQ5943" s="111"/>
      <c r="EF5943"/>
      <c r="EG5943"/>
      <c r="EH5943"/>
      <c r="EI5943"/>
      <c r="EJ5943"/>
      <c r="EK5943"/>
    </row>
    <row r="5944" spans="1:141" s="116" customFormat="1">
      <c r="A5944" s="136"/>
      <c r="CM5944" s="111"/>
      <c r="CQ5944" s="111"/>
      <c r="EF5944"/>
      <c r="EG5944"/>
      <c r="EH5944"/>
      <c r="EI5944"/>
      <c r="EJ5944"/>
      <c r="EK5944"/>
    </row>
    <row r="5945" spans="1:141" s="116" customFormat="1">
      <c r="A5945" s="136"/>
      <c r="CM5945" s="111"/>
      <c r="CQ5945" s="111"/>
      <c r="EF5945"/>
      <c r="EG5945"/>
      <c r="EH5945"/>
      <c r="EI5945"/>
      <c r="EJ5945"/>
      <c r="EK5945"/>
    </row>
    <row r="5946" spans="1:141" s="116" customFormat="1">
      <c r="A5946" s="136"/>
      <c r="CM5946" s="111"/>
      <c r="CQ5946" s="111"/>
      <c r="EF5946"/>
      <c r="EG5946"/>
      <c r="EH5946"/>
      <c r="EI5946"/>
      <c r="EJ5946"/>
      <c r="EK5946"/>
    </row>
    <row r="5947" spans="1:141" s="116" customFormat="1">
      <c r="A5947" s="136"/>
      <c r="CM5947" s="111"/>
      <c r="CQ5947" s="111"/>
      <c r="EF5947"/>
      <c r="EG5947"/>
      <c r="EH5947"/>
      <c r="EI5947"/>
      <c r="EJ5947"/>
      <c r="EK5947"/>
    </row>
    <row r="5948" spans="1:141" s="116" customFormat="1">
      <c r="A5948" s="136"/>
      <c r="CM5948" s="111"/>
      <c r="CQ5948" s="111"/>
      <c r="EF5948"/>
      <c r="EG5948"/>
      <c r="EH5948"/>
      <c r="EI5948"/>
      <c r="EJ5948"/>
      <c r="EK5948"/>
    </row>
    <row r="5949" spans="1:141" s="116" customFormat="1">
      <c r="A5949" s="136"/>
      <c r="CM5949" s="111"/>
      <c r="CQ5949" s="111"/>
      <c r="EF5949"/>
      <c r="EG5949"/>
      <c r="EH5949"/>
      <c r="EI5949"/>
      <c r="EJ5949"/>
      <c r="EK5949"/>
    </row>
    <row r="5950" spans="1:141" s="116" customFormat="1">
      <c r="A5950" s="136"/>
      <c r="CM5950" s="111"/>
      <c r="CQ5950" s="111"/>
      <c r="EF5950"/>
      <c r="EG5950"/>
      <c r="EH5950"/>
      <c r="EI5950"/>
      <c r="EJ5950"/>
      <c r="EK5950"/>
    </row>
    <row r="5951" spans="1:141" s="116" customFormat="1">
      <c r="A5951" s="136"/>
      <c r="CM5951" s="111"/>
      <c r="CQ5951" s="111"/>
      <c r="EF5951"/>
      <c r="EG5951"/>
      <c r="EH5951"/>
      <c r="EI5951"/>
      <c r="EJ5951"/>
      <c r="EK5951"/>
    </row>
    <row r="5952" spans="1:141" s="116" customFormat="1">
      <c r="A5952" s="136"/>
      <c r="CM5952" s="111"/>
      <c r="CQ5952" s="111"/>
      <c r="EF5952"/>
      <c r="EG5952"/>
      <c r="EH5952"/>
      <c r="EI5952"/>
      <c r="EJ5952"/>
      <c r="EK5952"/>
    </row>
    <row r="5953" spans="1:141" s="116" customFormat="1">
      <c r="A5953" s="136"/>
      <c r="CM5953" s="111"/>
      <c r="CQ5953" s="111"/>
      <c r="EF5953"/>
      <c r="EG5953"/>
      <c r="EH5953"/>
      <c r="EI5953"/>
      <c r="EJ5953"/>
      <c r="EK5953"/>
    </row>
    <row r="5954" spans="1:141" s="116" customFormat="1">
      <c r="A5954" s="136"/>
      <c r="CM5954" s="111"/>
      <c r="CQ5954" s="111"/>
      <c r="EF5954"/>
      <c r="EG5954"/>
      <c r="EH5954"/>
      <c r="EI5954"/>
      <c r="EJ5954"/>
      <c r="EK5954"/>
    </row>
    <row r="5955" spans="1:141" s="116" customFormat="1">
      <c r="A5955" s="136"/>
      <c r="CM5955" s="111"/>
      <c r="CQ5955" s="111"/>
      <c r="EF5955"/>
      <c r="EG5955"/>
      <c r="EH5955"/>
      <c r="EI5955"/>
      <c r="EJ5955"/>
      <c r="EK5955"/>
    </row>
    <row r="5956" spans="1:141" s="116" customFormat="1">
      <c r="A5956" s="136"/>
      <c r="CM5956" s="111"/>
      <c r="CQ5956" s="111"/>
      <c r="EF5956"/>
      <c r="EG5956"/>
      <c r="EH5956"/>
      <c r="EI5956"/>
      <c r="EJ5956"/>
      <c r="EK5956"/>
    </row>
    <row r="5957" spans="1:141" s="116" customFormat="1">
      <c r="A5957" s="136"/>
      <c r="CM5957" s="111"/>
      <c r="CQ5957" s="111"/>
      <c r="EF5957"/>
      <c r="EG5957"/>
      <c r="EH5957"/>
      <c r="EI5957"/>
      <c r="EJ5957"/>
      <c r="EK5957"/>
    </row>
    <row r="5958" spans="1:141" s="116" customFormat="1">
      <c r="A5958" s="136"/>
      <c r="CM5958" s="111"/>
      <c r="CQ5958" s="111"/>
      <c r="EF5958"/>
      <c r="EG5958"/>
      <c r="EH5958"/>
      <c r="EI5958"/>
      <c r="EJ5958"/>
      <c r="EK5958"/>
    </row>
    <row r="5959" spans="1:141" s="116" customFormat="1">
      <c r="A5959" s="136"/>
      <c r="CM5959" s="111"/>
      <c r="CQ5959" s="111"/>
      <c r="EF5959"/>
      <c r="EG5959"/>
      <c r="EH5959"/>
      <c r="EI5959"/>
      <c r="EJ5959"/>
      <c r="EK5959"/>
    </row>
    <row r="5960" spans="1:141" s="116" customFormat="1">
      <c r="A5960" s="136"/>
      <c r="CM5960" s="111"/>
      <c r="CQ5960" s="111"/>
      <c r="EF5960"/>
      <c r="EG5960"/>
      <c r="EH5960"/>
      <c r="EI5960"/>
      <c r="EJ5960"/>
      <c r="EK5960"/>
    </row>
    <row r="5961" spans="1:141" s="116" customFormat="1">
      <c r="A5961" s="136"/>
      <c r="CM5961" s="111"/>
      <c r="CQ5961" s="111"/>
      <c r="EF5961"/>
      <c r="EG5961"/>
      <c r="EH5961"/>
      <c r="EI5961"/>
      <c r="EJ5961"/>
      <c r="EK5961"/>
    </row>
    <row r="5962" spans="1:141" s="116" customFormat="1">
      <c r="A5962" s="136"/>
      <c r="CM5962" s="111"/>
      <c r="CQ5962" s="111"/>
      <c r="EF5962"/>
      <c r="EG5962"/>
      <c r="EH5962"/>
      <c r="EI5962"/>
      <c r="EJ5962"/>
      <c r="EK5962"/>
    </row>
    <row r="5963" spans="1:141" s="116" customFormat="1">
      <c r="A5963" s="136"/>
      <c r="CM5963" s="111"/>
      <c r="CQ5963" s="111"/>
      <c r="EF5963"/>
      <c r="EG5963"/>
      <c r="EH5963"/>
      <c r="EI5963"/>
      <c r="EJ5963"/>
      <c r="EK5963"/>
    </row>
    <row r="5964" spans="1:141" s="116" customFormat="1">
      <c r="A5964" s="136"/>
      <c r="CM5964" s="111"/>
      <c r="CQ5964" s="111"/>
      <c r="EF5964"/>
      <c r="EG5964"/>
      <c r="EH5964"/>
      <c r="EI5964"/>
      <c r="EJ5964"/>
      <c r="EK5964"/>
    </row>
    <row r="5965" spans="1:141" s="116" customFormat="1">
      <c r="A5965" s="136"/>
      <c r="CM5965" s="111"/>
      <c r="CQ5965" s="111"/>
      <c r="EF5965"/>
      <c r="EG5965"/>
      <c r="EH5965"/>
      <c r="EI5965"/>
      <c r="EJ5965"/>
      <c r="EK5965"/>
    </row>
    <row r="5966" spans="1:141" s="116" customFormat="1">
      <c r="A5966" s="136"/>
      <c r="CM5966" s="111"/>
      <c r="CQ5966" s="111"/>
      <c r="EF5966"/>
      <c r="EG5966"/>
      <c r="EH5966"/>
      <c r="EI5966"/>
      <c r="EJ5966"/>
      <c r="EK5966"/>
    </row>
    <row r="5967" spans="1:141" s="116" customFormat="1">
      <c r="A5967" s="136"/>
      <c r="CM5967" s="111"/>
      <c r="CQ5967" s="111"/>
      <c r="EF5967"/>
      <c r="EG5967"/>
      <c r="EH5967"/>
      <c r="EI5967"/>
      <c r="EJ5967"/>
      <c r="EK5967"/>
    </row>
    <row r="5968" spans="1:141" s="116" customFormat="1">
      <c r="A5968" s="136"/>
      <c r="CM5968" s="111"/>
      <c r="CQ5968" s="111"/>
      <c r="EF5968"/>
      <c r="EG5968"/>
      <c r="EH5968"/>
      <c r="EI5968"/>
      <c r="EJ5968"/>
      <c r="EK5968"/>
    </row>
    <row r="5969" spans="1:141" s="116" customFormat="1">
      <c r="A5969" s="136"/>
      <c r="CM5969" s="111"/>
      <c r="CQ5969" s="111"/>
      <c r="EF5969"/>
      <c r="EG5969"/>
      <c r="EH5969"/>
      <c r="EI5969"/>
      <c r="EJ5969"/>
      <c r="EK5969"/>
    </row>
    <row r="5970" spans="1:141" s="116" customFormat="1">
      <c r="A5970" s="136"/>
      <c r="CM5970" s="111"/>
      <c r="CQ5970" s="111"/>
      <c r="EF5970"/>
      <c r="EG5970"/>
      <c r="EH5970"/>
      <c r="EI5970"/>
      <c r="EJ5970"/>
      <c r="EK5970"/>
    </row>
    <row r="5971" spans="1:141" s="116" customFormat="1">
      <c r="A5971" s="136"/>
      <c r="CM5971" s="111"/>
      <c r="CQ5971" s="111"/>
      <c r="EF5971"/>
      <c r="EG5971"/>
      <c r="EH5971"/>
      <c r="EI5971"/>
      <c r="EJ5971"/>
      <c r="EK5971"/>
    </row>
    <row r="5972" spans="1:141" s="116" customFormat="1">
      <c r="A5972" s="136"/>
      <c r="CM5972" s="111"/>
      <c r="CQ5972" s="111"/>
      <c r="EF5972"/>
      <c r="EG5972"/>
      <c r="EH5972"/>
      <c r="EI5972"/>
      <c r="EJ5972"/>
      <c r="EK5972"/>
    </row>
    <row r="5973" spans="1:141" s="116" customFormat="1">
      <c r="A5973" s="136"/>
      <c r="CM5973" s="111"/>
      <c r="CQ5973" s="111"/>
      <c r="EF5973"/>
      <c r="EG5973"/>
      <c r="EH5973"/>
      <c r="EI5973"/>
      <c r="EJ5973"/>
      <c r="EK5973"/>
    </row>
    <row r="5974" spans="1:141" s="116" customFormat="1">
      <c r="A5974" s="136"/>
      <c r="CM5974" s="111"/>
      <c r="CQ5974" s="111"/>
      <c r="EF5974"/>
      <c r="EG5974"/>
      <c r="EH5974"/>
      <c r="EI5974"/>
      <c r="EJ5974"/>
      <c r="EK5974"/>
    </row>
    <row r="5975" spans="1:141" s="116" customFormat="1">
      <c r="A5975" s="136"/>
      <c r="CM5975" s="111"/>
      <c r="CQ5975" s="111"/>
      <c r="EF5975"/>
      <c r="EG5975"/>
      <c r="EH5975"/>
      <c r="EI5975"/>
      <c r="EJ5975"/>
      <c r="EK5975"/>
    </row>
    <row r="5976" spans="1:141" s="116" customFormat="1">
      <c r="A5976" s="136"/>
      <c r="CM5976" s="111"/>
      <c r="CQ5976" s="111"/>
      <c r="EF5976"/>
      <c r="EG5976"/>
      <c r="EH5976"/>
      <c r="EI5976"/>
      <c r="EJ5976"/>
      <c r="EK5976"/>
    </row>
    <row r="5977" spans="1:141" s="116" customFormat="1">
      <c r="A5977" s="136"/>
      <c r="CM5977" s="111"/>
      <c r="CQ5977" s="111"/>
      <c r="EF5977"/>
      <c r="EG5977"/>
      <c r="EH5977"/>
      <c r="EI5977"/>
      <c r="EJ5977"/>
      <c r="EK5977"/>
    </row>
    <row r="5978" spans="1:141" s="116" customFormat="1">
      <c r="A5978" s="136"/>
      <c r="CM5978" s="111"/>
      <c r="CQ5978" s="111"/>
      <c r="EF5978"/>
      <c r="EG5978"/>
      <c r="EH5978"/>
      <c r="EI5978"/>
      <c r="EJ5978"/>
      <c r="EK5978"/>
    </row>
    <row r="5979" spans="1:141" s="116" customFormat="1">
      <c r="A5979" s="136"/>
      <c r="CM5979" s="111"/>
      <c r="CQ5979" s="111"/>
      <c r="EF5979"/>
      <c r="EG5979"/>
      <c r="EH5979"/>
      <c r="EI5979"/>
      <c r="EJ5979"/>
      <c r="EK5979"/>
    </row>
    <row r="5980" spans="1:141" s="116" customFormat="1">
      <c r="A5980" s="136"/>
      <c r="CM5980" s="111"/>
      <c r="CQ5980" s="111"/>
      <c r="EF5980"/>
      <c r="EG5980"/>
      <c r="EH5980"/>
      <c r="EI5980"/>
      <c r="EJ5980"/>
      <c r="EK5980"/>
    </row>
    <row r="5981" spans="1:141" s="116" customFormat="1">
      <c r="A5981" s="136"/>
      <c r="CM5981" s="111"/>
      <c r="CQ5981" s="111"/>
      <c r="EF5981"/>
      <c r="EG5981"/>
      <c r="EH5981"/>
      <c r="EI5981"/>
      <c r="EJ5981"/>
      <c r="EK5981"/>
    </row>
    <row r="5982" spans="1:141" s="116" customFormat="1">
      <c r="A5982" s="136"/>
      <c r="CM5982" s="111"/>
      <c r="CQ5982" s="111"/>
      <c r="EF5982"/>
      <c r="EG5982"/>
      <c r="EH5982"/>
      <c r="EI5982"/>
      <c r="EJ5982"/>
      <c r="EK5982"/>
    </row>
    <row r="5983" spans="1:141" s="116" customFormat="1">
      <c r="A5983" s="136"/>
      <c r="CM5983" s="111"/>
      <c r="CQ5983" s="111"/>
      <c r="EF5983"/>
      <c r="EG5983"/>
      <c r="EH5983"/>
      <c r="EI5983"/>
      <c r="EJ5983"/>
      <c r="EK5983"/>
    </row>
    <row r="5984" spans="1:141" s="116" customFormat="1">
      <c r="A5984" s="136"/>
      <c r="CM5984" s="111"/>
      <c r="CQ5984" s="111"/>
      <c r="EF5984"/>
      <c r="EG5984"/>
      <c r="EH5984"/>
      <c r="EI5984"/>
      <c r="EJ5984"/>
      <c r="EK5984"/>
    </row>
    <row r="5985" spans="1:141" s="116" customFormat="1">
      <c r="A5985" s="136"/>
      <c r="CM5985" s="111"/>
      <c r="CQ5985" s="111"/>
      <c r="EF5985"/>
      <c r="EG5985"/>
      <c r="EH5985"/>
      <c r="EI5985"/>
      <c r="EJ5985"/>
      <c r="EK5985"/>
    </row>
    <row r="5986" spans="1:141" s="116" customFormat="1">
      <c r="A5986" s="136"/>
      <c r="CM5986" s="111"/>
      <c r="CQ5986" s="111"/>
      <c r="EF5986"/>
      <c r="EG5986"/>
      <c r="EH5986"/>
      <c r="EI5986"/>
      <c r="EJ5986"/>
      <c r="EK5986"/>
    </row>
    <row r="5987" spans="1:141" s="116" customFormat="1">
      <c r="A5987" s="136"/>
      <c r="CM5987" s="111"/>
      <c r="CQ5987" s="111"/>
      <c r="EF5987"/>
      <c r="EG5987"/>
      <c r="EH5987"/>
      <c r="EI5987"/>
      <c r="EJ5987"/>
      <c r="EK5987"/>
    </row>
    <row r="5988" spans="1:141" s="116" customFormat="1">
      <c r="A5988" s="136"/>
      <c r="CM5988" s="111"/>
      <c r="CQ5988" s="111"/>
      <c r="EF5988"/>
      <c r="EG5988"/>
      <c r="EH5988"/>
      <c r="EI5988"/>
      <c r="EJ5988"/>
      <c r="EK5988"/>
    </row>
    <row r="5989" spans="1:141" s="116" customFormat="1">
      <c r="A5989" s="136"/>
      <c r="CM5989" s="111"/>
      <c r="CQ5989" s="111"/>
      <c r="EF5989"/>
      <c r="EG5989"/>
      <c r="EH5989"/>
      <c r="EI5989"/>
      <c r="EJ5989"/>
      <c r="EK5989"/>
    </row>
    <row r="5990" spans="1:141" s="116" customFormat="1">
      <c r="A5990" s="136"/>
      <c r="CM5990" s="111"/>
      <c r="CQ5990" s="111"/>
      <c r="EF5990"/>
      <c r="EG5990"/>
      <c r="EH5990"/>
      <c r="EI5990"/>
      <c r="EJ5990"/>
      <c r="EK5990"/>
    </row>
    <row r="5991" spans="1:141" s="116" customFormat="1">
      <c r="A5991" s="136"/>
      <c r="CM5991" s="111"/>
      <c r="CQ5991" s="111"/>
      <c r="EF5991"/>
      <c r="EG5991"/>
      <c r="EH5991"/>
      <c r="EI5991"/>
      <c r="EJ5991"/>
      <c r="EK5991"/>
    </row>
    <row r="5992" spans="1:141" s="116" customFormat="1">
      <c r="A5992" s="136"/>
      <c r="CM5992" s="111"/>
      <c r="CQ5992" s="111"/>
      <c r="EF5992"/>
      <c r="EG5992"/>
      <c r="EH5992"/>
      <c r="EI5992"/>
      <c r="EJ5992"/>
      <c r="EK5992"/>
    </row>
    <row r="5993" spans="1:141" s="116" customFormat="1">
      <c r="A5993" s="136"/>
      <c r="CM5993" s="111"/>
      <c r="CQ5993" s="111"/>
      <c r="EF5993"/>
      <c r="EG5993"/>
      <c r="EH5993"/>
      <c r="EI5993"/>
      <c r="EJ5993"/>
      <c r="EK5993"/>
    </row>
    <row r="5994" spans="1:141" s="116" customFormat="1">
      <c r="A5994" s="136"/>
      <c r="CM5994" s="111"/>
      <c r="CQ5994" s="111"/>
      <c r="EF5994"/>
      <c r="EG5994"/>
      <c r="EH5994"/>
      <c r="EI5994"/>
      <c r="EJ5994"/>
      <c r="EK5994"/>
    </row>
    <row r="5995" spans="1:141" s="116" customFormat="1">
      <c r="A5995" s="136"/>
      <c r="CM5995" s="111"/>
      <c r="CQ5995" s="111"/>
      <c r="EF5995"/>
      <c r="EG5995"/>
      <c r="EH5995"/>
      <c r="EI5995"/>
      <c r="EJ5995"/>
      <c r="EK5995"/>
    </row>
    <row r="5996" spans="1:141" s="116" customFormat="1">
      <c r="A5996" s="136"/>
      <c r="CM5996" s="111"/>
      <c r="CQ5996" s="111"/>
      <c r="EF5996"/>
      <c r="EG5996"/>
      <c r="EH5996"/>
      <c r="EI5996"/>
      <c r="EJ5996"/>
      <c r="EK5996"/>
    </row>
    <row r="5997" spans="1:141" s="116" customFormat="1">
      <c r="A5997" s="136"/>
      <c r="CM5997" s="111"/>
      <c r="CQ5997" s="111"/>
      <c r="EF5997"/>
      <c r="EG5997"/>
      <c r="EH5997"/>
      <c r="EI5997"/>
      <c r="EJ5997"/>
      <c r="EK5997"/>
    </row>
    <row r="5998" spans="1:141" s="116" customFormat="1">
      <c r="A5998" s="136"/>
      <c r="CM5998" s="111"/>
      <c r="CQ5998" s="111"/>
      <c r="EF5998"/>
      <c r="EG5998"/>
      <c r="EH5998"/>
      <c r="EI5998"/>
      <c r="EJ5998"/>
      <c r="EK5998"/>
    </row>
    <row r="5999" spans="1:141" s="116" customFormat="1">
      <c r="A5999" s="136"/>
      <c r="CM5999" s="111"/>
      <c r="CQ5999" s="111"/>
      <c r="EF5999"/>
      <c r="EG5999"/>
      <c r="EH5999"/>
      <c r="EI5999"/>
      <c r="EJ5999"/>
      <c r="EK5999"/>
    </row>
    <row r="6000" spans="1:141" s="116" customFormat="1">
      <c r="A6000" s="136"/>
      <c r="CM6000" s="111"/>
      <c r="CQ6000" s="111"/>
      <c r="EF6000"/>
      <c r="EG6000"/>
      <c r="EH6000"/>
      <c r="EI6000"/>
      <c r="EJ6000"/>
      <c r="EK6000"/>
    </row>
    <row r="6001" spans="1:141" s="116" customFormat="1">
      <c r="A6001" s="136"/>
      <c r="CM6001" s="111"/>
      <c r="CQ6001" s="111"/>
      <c r="EF6001"/>
      <c r="EG6001"/>
      <c r="EH6001"/>
      <c r="EI6001"/>
      <c r="EJ6001"/>
      <c r="EK6001"/>
    </row>
    <row r="6002" spans="1:141" s="116" customFormat="1">
      <c r="A6002" s="136"/>
      <c r="CM6002" s="111"/>
      <c r="CQ6002" s="111"/>
      <c r="EF6002"/>
      <c r="EG6002"/>
      <c r="EH6002"/>
      <c r="EI6002"/>
      <c r="EJ6002"/>
      <c r="EK6002"/>
    </row>
    <row r="6003" spans="1:141" s="116" customFormat="1">
      <c r="A6003" s="136"/>
      <c r="CM6003" s="111"/>
      <c r="CQ6003" s="111"/>
      <c r="EF6003"/>
      <c r="EG6003"/>
      <c r="EH6003"/>
      <c r="EI6003"/>
      <c r="EJ6003"/>
      <c r="EK6003"/>
    </row>
    <row r="6004" spans="1:141" s="116" customFormat="1">
      <c r="A6004" s="136"/>
      <c r="CM6004" s="111"/>
      <c r="CQ6004" s="111"/>
      <c r="EF6004"/>
      <c r="EG6004"/>
      <c r="EH6004"/>
      <c r="EI6004"/>
      <c r="EJ6004"/>
      <c r="EK6004"/>
    </row>
    <row r="6005" spans="1:141" s="116" customFormat="1">
      <c r="A6005" s="136"/>
      <c r="CM6005" s="111"/>
      <c r="CQ6005" s="111"/>
      <c r="EF6005"/>
      <c r="EG6005"/>
      <c r="EH6005"/>
      <c r="EI6005"/>
      <c r="EJ6005"/>
      <c r="EK6005"/>
    </row>
    <row r="6006" spans="1:141" s="116" customFormat="1">
      <c r="A6006" s="136"/>
      <c r="CM6006" s="111"/>
      <c r="CQ6006" s="111"/>
      <c r="EF6006"/>
      <c r="EG6006"/>
      <c r="EH6006"/>
      <c r="EI6006"/>
      <c r="EJ6006"/>
      <c r="EK6006"/>
    </row>
    <row r="6007" spans="1:141" s="116" customFormat="1">
      <c r="A6007" s="136"/>
      <c r="CM6007" s="111"/>
      <c r="CQ6007" s="111"/>
      <c r="EF6007"/>
      <c r="EG6007"/>
      <c r="EH6007"/>
      <c r="EI6007"/>
      <c r="EJ6007"/>
      <c r="EK6007"/>
    </row>
    <row r="6008" spans="1:141" s="116" customFormat="1">
      <c r="A6008" s="136"/>
      <c r="CM6008" s="111"/>
      <c r="CQ6008" s="111"/>
      <c r="EF6008"/>
      <c r="EG6008"/>
      <c r="EH6008"/>
      <c r="EI6008"/>
      <c r="EJ6008"/>
      <c r="EK6008"/>
    </row>
    <row r="6009" spans="1:141" s="116" customFormat="1">
      <c r="A6009" s="136"/>
      <c r="CM6009" s="111"/>
      <c r="CQ6009" s="111"/>
      <c r="EF6009"/>
      <c r="EG6009"/>
      <c r="EH6009"/>
      <c r="EI6009"/>
      <c r="EJ6009"/>
      <c r="EK6009"/>
    </row>
    <row r="6010" spans="1:141" s="116" customFormat="1">
      <c r="A6010" s="136"/>
      <c r="CM6010" s="111"/>
      <c r="CQ6010" s="111"/>
      <c r="EF6010"/>
      <c r="EG6010"/>
      <c r="EH6010"/>
      <c r="EI6010"/>
      <c r="EJ6010"/>
      <c r="EK6010"/>
    </row>
    <row r="6011" spans="1:141" s="116" customFormat="1">
      <c r="A6011" s="136"/>
      <c r="CM6011" s="111"/>
      <c r="CQ6011" s="111"/>
      <c r="EF6011"/>
      <c r="EG6011"/>
      <c r="EH6011"/>
      <c r="EI6011"/>
      <c r="EJ6011"/>
      <c r="EK6011"/>
    </row>
    <row r="6012" spans="1:141" s="116" customFormat="1">
      <c r="A6012" s="136"/>
      <c r="CM6012" s="111"/>
      <c r="CQ6012" s="111"/>
      <c r="EF6012"/>
      <c r="EG6012"/>
      <c r="EH6012"/>
      <c r="EI6012"/>
      <c r="EJ6012"/>
      <c r="EK6012"/>
    </row>
    <row r="6013" spans="1:141" s="116" customFormat="1">
      <c r="A6013" s="136"/>
      <c r="CM6013" s="111"/>
      <c r="CQ6013" s="111"/>
      <c r="EF6013"/>
      <c r="EG6013"/>
      <c r="EH6013"/>
      <c r="EI6013"/>
      <c r="EJ6013"/>
      <c r="EK6013"/>
    </row>
    <row r="6014" spans="1:141" s="116" customFormat="1">
      <c r="A6014" s="136"/>
      <c r="CM6014" s="111"/>
      <c r="CQ6014" s="111"/>
      <c r="EF6014"/>
      <c r="EG6014"/>
      <c r="EH6014"/>
      <c r="EI6014"/>
      <c r="EJ6014"/>
      <c r="EK6014"/>
    </row>
    <row r="6015" spans="1:141" s="116" customFormat="1">
      <c r="A6015" s="136"/>
      <c r="CM6015" s="111"/>
      <c r="CQ6015" s="111"/>
      <c r="EF6015"/>
      <c r="EG6015"/>
      <c r="EH6015"/>
      <c r="EI6015"/>
      <c r="EJ6015"/>
      <c r="EK6015"/>
    </row>
    <row r="6016" spans="1:141" s="116" customFormat="1">
      <c r="A6016" s="136"/>
      <c r="CM6016" s="111"/>
      <c r="CQ6016" s="111"/>
      <c r="EF6016"/>
      <c r="EG6016"/>
      <c r="EH6016"/>
      <c r="EI6016"/>
      <c r="EJ6016"/>
      <c r="EK6016"/>
    </row>
    <row r="6017" spans="1:141" s="116" customFormat="1">
      <c r="A6017" s="136"/>
      <c r="CM6017" s="111"/>
      <c r="CQ6017" s="111"/>
      <c r="EF6017"/>
      <c r="EG6017"/>
      <c r="EH6017"/>
      <c r="EI6017"/>
      <c r="EJ6017"/>
      <c r="EK6017"/>
    </row>
    <row r="6018" spans="1:141" s="116" customFormat="1">
      <c r="A6018" s="136"/>
      <c r="CM6018" s="111"/>
      <c r="CQ6018" s="111"/>
      <c r="EF6018"/>
      <c r="EG6018"/>
      <c r="EH6018"/>
      <c r="EI6018"/>
      <c r="EJ6018"/>
      <c r="EK6018"/>
    </row>
    <row r="6019" spans="1:141" s="116" customFormat="1">
      <c r="A6019" s="136"/>
      <c r="CM6019" s="111"/>
      <c r="CQ6019" s="111"/>
      <c r="EF6019"/>
      <c r="EG6019"/>
      <c r="EH6019"/>
      <c r="EI6019"/>
      <c r="EJ6019"/>
      <c r="EK6019"/>
    </row>
    <row r="6020" spans="1:141" s="116" customFormat="1">
      <c r="A6020" s="136"/>
      <c r="CM6020" s="111"/>
      <c r="CQ6020" s="111"/>
      <c r="EF6020"/>
      <c r="EG6020"/>
      <c r="EH6020"/>
      <c r="EI6020"/>
      <c r="EJ6020"/>
      <c r="EK6020"/>
    </row>
    <row r="6021" spans="1:141" s="116" customFormat="1">
      <c r="A6021" s="136"/>
      <c r="CM6021" s="111"/>
      <c r="CQ6021" s="111"/>
      <c r="EF6021"/>
      <c r="EG6021"/>
      <c r="EH6021"/>
      <c r="EI6021"/>
      <c r="EJ6021"/>
      <c r="EK6021"/>
    </row>
    <row r="6022" spans="1:141" s="116" customFormat="1">
      <c r="A6022" s="136"/>
      <c r="CM6022" s="111"/>
      <c r="CQ6022" s="111"/>
      <c r="EF6022"/>
      <c r="EG6022"/>
      <c r="EH6022"/>
      <c r="EI6022"/>
      <c r="EJ6022"/>
      <c r="EK6022"/>
    </row>
    <row r="6023" spans="1:141" s="116" customFormat="1">
      <c r="A6023" s="136"/>
      <c r="CM6023" s="111"/>
      <c r="CQ6023" s="111"/>
      <c r="EF6023"/>
      <c r="EG6023"/>
      <c r="EH6023"/>
      <c r="EI6023"/>
      <c r="EJ6023"/>
      <c r="EK6023"/>
    </row>
    <row r="6024" spans="1:141" s="116" customFormat="1">
      <c r="A6024" s="136"/>
      <c r="CM6024" s="111"/>
      <c r="CQ6024" s="111"/>
      <c r="EF6024"/>
      <c r="EG6024"/>
      <c r="EH6024"/>
      <c r="EI6024"/>
      <c r="EJ6024"/>
      <c r="EK6024"/>
    </row>
    <row r="6025" spans="1:141" s="116" customFormat="1">
      <c r="A6025" s="136"/>
      <c r="CM6025" s="111"/>
      <c r="CQ6025" s="111"/>
      <c r="EF6025"/>
      <c r="EG6025"/>
      <c r="EH6025"/>
      <c r="EI6025"/>
      <c r="EJ6025"/>
      <c r="EK6025"/>
    </row>
    <row r="6026" spans="1:141" s="116" customFormat="1">
      <c r="A6026" s="136"/>
      <c r="CM6026" s="111"/>
      <c r="CQ6026" s="111"/>
      <c r="EF6026"/>
      <c r="EG6026"/>
      <c r="EH6026"/>
      <c r="EI6026"/>
      <c r="EJ6026"/>
      <c r="EK6026"/>
    </row>
    <row r="6027" spans="1:141" s="116" customFormat="1">
      <c r="A6027" s="136"/>
      <c r="CM6027" s="111"/>
      <c r="CQ6027" s="111"/>
      <c r="EF6027"/>
      <c r="EG6027"/>
      <c r="EH6027"/>
      <c r="EI6027"/>
      <c r="EJ6027"/>
      <c r="EK6027"/>
    </row>
    <row r="6028" spans="1:141" s="116" customFormat="1">
      <c r="A6028" s="136"/>
      <c r="CM6028" s="111"/>
      <c r="CQ6028" s="111"/>
      <c r="EF6028"/>
      <c r="EG6028"/>
      <c r="EH6028"/>
      <c r="EI6028"/>
      <c r="EJ6028"/>
      <c r="EK6028"/>
    </row>
    <row r="6029" spans="1:141" s="116" customFormat="1">
      <c r="A6029" s="136"/>
      <c r="CM6029" s="111"/>
      <c r="CQ6029" s="111"/>
      <c r="EF6029"/>
      <c r="EG6029"/>
      <c r="EH6029"/>
      <c r="EI6029"/>
      <c r="EJ6029"/>
      <c r="EK6029"/>
    </row>
    <row r="6030" spans="1:141" s="116" customFormat="1">
      <c r="A6030" s="136"/>
      <c r="CM6030" s="111"/>
      <c r="CQ6030" s="111"/>
      <c r="EF6030"/>
      <c r="EG6030"/>
      <c r="EH6030"/>
      <c r="EI6030"/>
      <c r="EJ6030"/>
      <c r="EK6030"/>
    </row>
    <row r="6031" spans="1:141" s="116" customFormat="1">
      <c r="A6031" s="136"/>
      <c r="CM6031" s="111"/>
      <c r="CQ6031" s="111"/>
      <c r="EF6031"/>
      <c r="EG6031"/>
      <c r="EH6031"/>
      <c r="EI6031"/>
      <c r="EJ6031"/>
      <c r="EK6031"/>
    </row>
    <row r="6032" spans="1:141" s="116" customFormat="1">
      <c r="A6032" s="136"/>
      <c r="CM6032" s="111"/>
      <c r="CQ6032" s="111"/>
      <c r="EF6032"/>
      <c r="EG6032"/>
      <c r="EH6032"/>
      <c r="EI6032"/>
      <c r="EJ6032"/>
      <c r="EK6032"/>
    </row>
    <row r="6033" spans="1:141" s="116" customFormat="1">
      <c r="A6033" s="136"/>
      <c r="CM6033" s="111"/>
      <c r="CQ6033" s="111"/>
      <c r="EF6033"/>
      <c r="EG6033"/>
      <c r="EH6033"/>
      <c r="EI6033"/>
      <c r="EJ6033"/>
      <c r="EK6033"/>
    </row>
    <row r="6034" spans="1:141" s="116" customFormat="1">
      <c r="A6034" s="136"/>
      <c r="CM6034" s="111"/>
      <c r="CQ6034" s="111"/>
      <c r="EF6034"/>
      <c r="EG6034"/>
      <c r="EH6034"/>
      <c r="EI6034"/>
      <c r="EJ6034"/>
      <c r="EK6034"/>
    </row>
    <row r="6035" spans="1:141" s="116" customFormat="1">
      <c r="A6035" s="136"/>
      <c r="CM6035" s="111"/>
      <c r="CQ6035" s="111"/>
      <c r="EF6035"/>
      <c r="EG6035"/>
      <c r="EH6035"/>
      <c r="EI6035"/>
      <c r="EJ6035"/>
      <c r="EK6035"/>
    </row>
    <row r="6036" spans="1:141" s="116" customFormat="1">
      <c r="A6036" s="136"/>
      <c r="CM6036" s="111"/>
      <c r="CQ6036" s="111"/>
      <c r="EF6036"/>
      <c r="EG6036"/>
      <c r="EH6036"/>
      <c r="EI6036"/>
      <c r="EJ6036"/>
      <c r="EK6036"/>
    </row>
    <row r="6037" spans="1:141" s="116" customFormat="1">
      <c r="A6037" s="136"/>
      <c r="CM6037" s="111"/>
      <c r="CQ6037" s="111"/>
      <c r="EF6037"/>
      <c r="EG6037"/>
      <c r="EH6037"/>
      <c r="EI6037"/>
      <c r="EJ6037"/>
      <c r="EK6037"/>
    </row>
    <row r="6038" spans="1:141" s="116" customFormat="1">
      <c r="A6038" s="136"/>
      <c r="CM6038" s="111"/>
      <c r="CQ6038" s="111"/>
      <c r="EF6038"/>
      <c r="EG6038"/>
      <c r="EH6038"/>
      <c r="EI6038"/>
      <c r="EJ6038"/>
      <c r="EK6038"/>
    </row>
    <row r="6039" spans="1:141" s="116" customFormat="1">
      <c r="A6039" s="136"/>
      <c r="CM6039" s="111"/>
      <c r="CQ6039" s="111"/>
      <c r="EF6039"/>
      <c r="EG6039"/>
      <c r="EH6039"/>
      <c r="EI6039"/>
      <c r="EJ6039"/>
      <c r="EK6039"/>
    </row>
    <row r="6040" spans="1:141" s="116" customFormat="1">
      <c r="A6040" s="136"/>
      <c r="CM6040" s="111"/>
      <c r="CQ6040" s="111"/>
      <c r="EF6040"/>
      <c r="EG6040"/>
      <c r="EH6040"/>
      <c r="EI6040"/>
      <c r="EJ6040"/>
      <c r="EK6040"/>
    </row>
    <row r="6041" spans="1:141" s="116" customFormat="1">
      <c r="A6041" s="136"/>
      <c r="CM6041" s="111"/>
      <c r="CQ6041" s="111"/>
      <c r="EF6041"/>
      <c r="EG6041"/>
      <c r="EH6041"/>
      <c r="EI6041"/>
      <c r="EJ6041"/>
      <c r="EK6041"/>
    </row>
    <row r="6042" spans="1:141" s="116" customFormat="1">
      <c r="A6042" s="136"/>
      <c r="CM6042" s="111"/>
      <c r="CQ6042" s="111"/>
      <c r="EF6042"/>
      <c r="EG6042"/>
      <c r="EH6042"/>
      <c r="EI6042"/>
      <c r="EJ6042"/>
      <c r="EK6042"/>
    </row>
    <row r="6043" spans="1:141" s="116" customFormat="1">
      <c r="A6043" s="136"/>
      <c r="CM6043" s="111"/>
      <c r="CQ6043" s="111"/>
      <c r="EF6043"/>
      <c r="EG6043"/>
      <c r="EH6043"/>
      <c r="EI6043"/>
      <c r="EJ6043"/>
      <c r="EK6043"/>
    </row>
    <row r="6044" spans="1:141" s="116" customFormat="1">
      <c r="A6044" s="136"/>
      <c r="CM6044" s="111"/>
      <c r="CQ6044" s="111"/>
      <c r="EF6044"/>
      <c r="EG6044"/>
      <c r="EH6044"/>
      <c r="EI6044"/>
      <c r="EJ6044"/>
      <c r="EK6044"/>
    </row>
    <row r="6045" spans="1:141" s="116" customFormat="1">
      <c r="A6045" s="136"/>
      <c r="CM6045" s="111"/>
      <c r="CQ6045" s="111"/>
      <c r="EF6045"/>
      <c r="EG6045"/>
      <c r="EH6045"/>
      <c r="EI6045"/>
      <c r="EJ6045"/>
      <c r="EK6045"/>
    </row>
    <row r="6046" spans="1:141" s="116" customFormat="1">
      <c r="A6046" s="136"/>
      <c r="CM6046" s="111"/>
      <c r="CQ6046" s="111"/>
      <c r="EF6046"/>
      <c r="EG6046"/>
      <c r="EH6046"/>
      <c r="EI6046"/>
      <c r="EJ6046"/>
      <c r="EK6046"/>
    </row>
    <row r="6047" spans="1:141" s="116" customFormat="1">
      <c r="A6047" s="136"/>
      <c r="CM6047" s="111"/>
      <c r="CQ6047" s="111"/>
      <c r="EF6047"/>
      <c r="EG6047"/>
      <c r="EH6047"/>
      <c r="EI6047"/>
      <c r="EJ6047"/>
      <c r="EK6047"/>
    </row>
    <row r="6048" spans="1:141" s="116" customFormat="1">
      <c r="A6048" s="136"/>
      <c r="CM6048" s="111"/>
      <c r="CQ6048" s="111"/>
      <c r="EF6048"/>
      <c r="EG6048"/>
      <c r="EH6048"/>
      <c r="EI6048"/>
      <c r="EJ6048"/>
      <c r="EK6048"/>
    </row>
    <row r="6049" spans="1:141" s="116" customFormat="1">
      <c r="A6049" s="136"/>
      <c r="CM6049" s="111"/>
      <c r="CQ6049" s="111"/>
      <c r="EF6049"/>
      <c r="EG6049"/>
      <c r="EH6049"/>
      <c r="EI6049"/>
      <c r="EJ6049"/>
      <c r="EK6049"/>
    </row>
    <row r="6050" spans="1:141" s="116" customFormat="1">
      <c r="A6050" s="136"/>
      <c r="CM6050" s="111"/>
      <c r="CQ6050" s="111"/>
      <c r="EF6050"/>
      <c r="EG6050"/>
      <c r="EH6050"/>
      <c r="EI6050"/>
      <c r="EJ6050"/>
      <c r="EK6050"/>
    </row>
    <row r="6051" spans="1:141" s="116" customFormat="1">
      <c r="A6051" s="136"/>
      <c r="CM6051" s="111"/>
      <c r="CQ6051" s="111"/>
      <c r="EF6051"/>
      <c r="EG6051"/>
      <c r="EH6051"/>
      <c r="EI6051"/>
      <c r="EJ6051"/>
      <c r="EK6051"/>
    </row>
    <row r="6052" spans="1:141" s="116" customFormat="1">
      <c r="A6052" s="136"/>
      <c r="CM6052" s="111"/>
      <c r="CQ6052" s="111"/>
      <c r="EF6052"/>
      <c r="EG6052"/>
      <c r="EH6052"/>
      <c r="EI6052"/>
      <c r="EJ6052"/>
      <c r="EK6052"/>
    </row>
    <row r="6053" spans="1:141" s="116" customFormat="1">
      <c r="A6053" s="136"/>
      <c r="CM6053" s="111"/>
      <c r="CQ6053" s="111"/>
      <c r="EF6053"/>
      <c r="EG6053"/>
      <c r="EH6053"/>
      <c r="EI6053"/>
      <c r="EJ6053"/>
      <c r="EK6053"/>
    </row>
    <row r="6054" spans="1:141" s="116" customFormat="1">
      <c r="A6054" s="136"/>
      <c r="CM6054" s="111"/>
      <c r="CQ6054" s="111"/>
      <c r="EF6054"/>
      <c r="EG6054"/>
      <c r="EH6054"/>
      <c r="EI6054"/>
      <c r="EJ6054"/>
      <c r="EK6054"/>
    </row>
    <row r="6055" spans="1:141" s="116" customFormat="1">
      <c r="A6055" s="136"/>
      <c r="CM6055" s="111"/>
      <c r="CQ6055" s="111"/>
      <c r="EF6055"/>
      <c r="EG6055"/>
      <c r="EH6055"/>
      <c r="EI6055"/>
      <c r="EJ6055"/>
      <c r="EK6055"/>
    </row>
    <row r="6056" spans="1:141" s="116" customFormat="1">
      <c r="A6056" s="136"/>
      <c r="CM6056" s="111"/>
      <c r="CQ6056" s="111"/>
      <c r="EF6056"/>
      <c r="EG6056"/>
      <c r="EH6056"/>
      <c r="EI6056"/>
      <c r="EJ6056"/>
      <c r="EK6056"/>
    </row>
    <row r="6057" spans="1:141" s="116" customFormat="1">
      <c r="A6057" s="136"/>
      <c r="CM6057" s="111"/>
      <c r="CQ6057" s="111"/>
      <c r="EF6057"/>
      <c r="EG6057"/>
      <c r="EH6057"/>
      <c r="EI6057"/>
      <c r="EJ6057"/>
      <c r="EK6057"/>
    </row>
    <row r="6058" spans="1:141" s="116" customFormat="1">
      <c r="A6058" s="136"/>
      <c r="CM6058" s="111"/>
      <c r="CQ6058" s="111"/>
      <c r="EF6058"/>
      <c r="EG6058"/>
      <c r="EH6058"/>
      <c r="EI6058"/>
      <c r="EJ6058"/>
      <c r="EK6058"/>
    </row>
    <row r="6059" spans="1:141" s="116" customFormat="1">
      <c r="A6059" s="136"/>
      <c r="CM6059" s="111"/>
      <c r="CQ6059" s="111"/>
      <c r="EF6059"/>
      <c r="EG6059"/>
      <c r="EH6059"/>
      <c r="EI6059"/>
      <c r="EJ6059"/>
      <c r="EK6059"/>
    </row>
    <row r="6060" spans="1:141" s="116" customFormat="1">
      <c r="A6060" s="136"/>
      <c r="CM6060" s="111"/>
      <c r="CQ6060" s="111"/>
      <c r="EF6060"/>
      <c r="EG6060"/>
      <c r="EH6060"/>
      <c r="EI6060"/>
      <c r="EJ6060"/>
      <c r="EK6060"/>
    </row>
    <row r="6061" spans="1:141" s="116" customFormat="1">
      <c r="A6061" s="136"/>
      <c r="CM6061" s="111"/>
      <c r="CQ6061" s="111"/>
      <c r="EF6061"/>
      <c r="EG6061"/>
      <c r="EH6061"/>
      <c r="EI6061"/>
      <c r="EJ6061"/>
      <c r="EK6061"/>
    </row>
    <row r="6062" spans="1:141" s="116" customFormat="1">
      <c r="A6062" s="136"/>
      <c r="CM6062" s="111"/>
      <c r="CQ6062" s="111"/>
      <c r="EF6062"/>
      <c r="EG6062"/>
      <c r="EH6062"/>
      <c r="EI6062"/>
      <c r="EJ6062"/>
      <c r="EK6062"/>
    </row>
    <row r="6063" spans="1:141" s="116" customFormat="1">
      <c r="A6063" s="136"/>
      <c r="CM6063" s="111"/>
      <c r="CQ6063" s="111"/>
      <c r="EF6063"/>
      <c r="EG6063"/>
      <c r="EH6063"/>
      <c r="EI6063"/>
      <c r="EJ6063"/>
      <c r="EK6063"/>
    </row>
    <row r="6064" spans="1:141" s="116" customFormat="1">
      <c r="A6064" s="136"/>
      <c r="CM6064" s="111"/>
      <c r="CQ6064" s="111"/>
      <c r="EF6064"/>
      <c r="EG6064"/>
      <c r="EH6064"/>
      <c r="EI6064"/>
      <c r="EJ6064"/>
      <c r="EK6064"/>
    </row>
    <row r="6065" spans="1:141" s="116" customFormat="1">
      <c r="A6065" s="136"/>
      <c r="CM6065" s="111"/>
      <c r="CQ6065" s="111"/>
      <c r="EF6065"/>
      <c r="EG6065"/>
      <c r="EH6065"/>
      <c r="EI6065"/>
      <c r="EJ6065"/>
      <c r="EK6065"/>
    </row>
    <row r="6066" spans="1:141" s="116" customFormat="1">
      <c r="A6066" s="136"/>
      <c r="CM6066" s="111"/>
      <c r="CQ6066" s="111"/>
      <c r="EF6066"/>
      <c r="EG6066"/>
      <c r="EH6066"/>
      <c r="EI6066"/>
      <c r="EJ6066"/>
      <c r="EK6066"/>
    </row>
    <row r="6067" spans="1:141" s="116" customFormat="1">
      <c r="A6067" s="136"/>
      <c r="CM6067" s="111"/>
      <c r="CQ6067" s="111"/>
      <c r="EF6067"/>
      <c r="EG6067"/>
      <c r="EH6067"/>
      <c r="EI6067"/>
      <c r="EJ6067"/>
      <c r="EK6067"/>
    </row>
    <row r="6068" spans="1:141" s="116" customFormat="1">
      <c r="A6068" s="136"/>
      <c r="CM6068" s="111"/>
      <c r="CQ6068" s="111"/>
      <c r="EF6068"/>
      <c r="EG6068"/>
      <c r="EH6068"/>
      <c r="EI6068"/>
      <c r="EJ6068"/>
      <c r="EK6068"/>
    </row>
    <row r="6069" spans="1:141" s="116" customFormat="1">
      <c r="A6069" s="136"/>
      <c r="CM6069" s="111"/>
      <c r="CQ6069" s="111"/>
      <c r="EF6069"/>
      <c r="EG6069"/>
      <c r="EH6069"/>
      <c r="EI6069"/>
      <c r="EJ6069"/>
      <c r="EK6069"/>
    </row>
    <row r="6070" spans="1:141" s="116" customFormat="1">
      <c r="A6070" s="136"/>
      <c r="CM6070" s="111"/>
      <c r="CQ6070" s="111"/>
      <c r="EF6070"/>
      <c r="EG6070"/>
      <c r="EH6070"/>
      <c r="EI6070"/>
      <c r="EJ6070"/>
      <c r="EK6070"/>
    </row>
    <row r="6071" spans="1:141" s="116" customFormat="1">
      <c r="A6071" s="136"/>
      <c r="CM6071" s="111"/>
      <c r="CQ6071" s="111"/>
      <c r="EF6071"/>
      <c r="EG6071"/>
      <c r="EH6071"/>
      <c r="EI6071"/>
      <c r="EJ6071"/>
      <c r="EK6071"/>
    </row>
    <row r="6072" spans="1:141" s="116" customFormat="1">
      <c r="A6072" s="136"/>
      <c r="CM6072" s="111"/>
      <c r="CQ6072" s="111"/>
      <c r="EF6072"/>
      <c r="EG6072"/>
      <c r="EH6072"/>
      <c r="EI6072"/>
      <c r="EJ6072"/>
      <c r="EK6072"/>
    </row>
    <row r="6073" spans="1:141" s="116" customFormat="1">
      <c r="A6073" s="136"/>
      <c r="CM6073" s="111"/>
      <c r="CQ6073" s="111"/>
      <c r="EF6073"/>
      <c r="EG6073"/>
      <c r="EH6073"/>
      <c r="EI6073"/>
      <c r="EJ6073"/>
      <c r="EK6073"/>
    </row>
    <row r="6074" spans="1:141" s="116" customFormat="1">
      <c r="A6074" s="136"/>
      <c r="CM6074" s="111"/>
      <c r="CQ6074" s="111"/>
      <c r="EF6074"/>
      <c r="EG6074"/>
      <c r="EH6074"/>
      <c r="EI6074"/>
      <c r="EJ6074"/>
      <c r="EK6074"/>
    </row>
    <row r="6075" spans="1:141" s="116" customFormat="1">
      <c r="A6075" s="136"/>
      <c r="CM6075" s="111"/>
      <c r="CQ6075" s="111"/>
      <c r="EF6075"/>
      <c r="EG6075"/>
      <c r="EH6075"/>
      <c r="EI6075"/>
      <c r="EJ6075"/>
      <c r="EK6075"/>
    </row>
    <row r="6076" spans="1:141" s="116" customFormat="1">
      <c r="A6076" s="136"/>
      <c r="CM6076" s="111"/>
      <c r="CQ6076" s="111"/>
      <c r="EF6076"/>
      <c r="EG6076"/>
      <c r="EH6076"/>
      <c r="EI6076"/>
      <c r="EJ6076"/>
      <c r="EK6076"/>
    </row>
    <row r="6077" spans="1:141" s="116" customFormat="1">
      <c r="A6077" s="136"/>
      <c r="CM6077" s="111"/>
      <c r="CQ6077" s="111"/>
      <c r="EF6077"/>
      <c r="EG6077"/>
      <c r="EH6077"/>
      <c r="EI6077"/>
      <c r="EJ6077"/>
      <c r="EK6077"/>
    </row>
    <row r="6078" spans="1:141" s="116" customFormat="1">
      <c r="A6078" s="136"/>
      <c r="CM6078" s="111"/>
      <c r="CQ6078" s="111"/>
      <c r="EF6078"/>
      <c r="EG6078"/>
      <c r="EH6078"/>
      <c r="EI6078"/>
      <c r="EJ6078"/>
      <c r="EK6078"/>
    </row>
    <row r="6079" spans="1:141" s="116" customFormat="1">
      <c r="A6079" s="136"/>
      <c r="CM6079" s="111"/>
      <c r="CQ6079" s="111"/>
      <c r="EF6079"/>
      <c r="EG6079"/>
      <c r="EH6079"/>
      <c r="EI6079"/>
      <c r="EJ6079"/>
      <c r="EK6079"/>
    </row>
    <row r="6080" spans="1:141" s="116" customFormat="1">
      <c r="A6080" s="136"/>
      <c r="CM6080" s="111"/>
      <c r="CQ6080" s="111"/>
      <c r="EF6080"/>
      <c r="EG6080"/>
      <c r="EH6080"/>
      <c r="EI6080"/>
      <c r="EJ6080"/>
      <c r="EK6080"/>
    </row>
    <row r="6081" spans="1:141" s="116" customFormat="1">
      <c r="A6081" s="136"/>
      <c r="CM6081" s="111"/>
      <c r="CQ6081" s="111"/>
      <c r="EF6081"/>
      <c r="EG6081"/>
      <c r="EH6081"/>
      <c r="EI6081"/>
      <c r="EJ6081"/>
      <c r="EK6081"/>
    </row>
    <row r="6082" spans="1:141" s="116" customFormat="1">
      <c r="A6082" s="136"/>
      <c r="CM6082" s="111"/>
      <c r="CQ6082" s="111"/>
      <c r="EF6082"/>
      <c r="EG6082"/>
      <c r="EH6082"/>
      <c r="EI6082"/>
      <c r="EJ6082"/>
      <c r="EK6082"/>
    </row>
    <row r="6083" spans="1:141" s="116" customFormat="1">
      <c r="A6083" s="136"/>
      <c r="CM6083" s="111"/>
      <c r="CQ6083" s="111"/>
      <c r="EF6083"/>
      <c r="EG6083"/>
      <c r="EH6083"/>
      <c r="EI6083"/>
      <c r="EJ6083"/>
      <c r="EK6083"/>
    </row>
    <row r="6084" spans="1:141" s="116" customFormat="1">
      <c r="A6084" s="136"/>
      <c r="CM6084" s="111"/>
      <c r="CQ6084" s="111"/>
      <c r="EF6084"/>
      <c r="EG6084"/>
      <c r="EH6084"/>
      <c r="EI6084"/>
      <c r="EJ6084"/>
      <c r="EK6084"/>
    </row>
    <row r="6085" spans="1:141" s="116" customFormat="1">
      <c r="A6085" s="136"/>
      <c r="CM6085" s="111"/>
      <c r="CQ6085" s="111"/>
      <c r="EF6085"/>
      <c r="EG6085"/>
      <c r="EH6085"/>
      <c r="EI6085"/>
      <c r="EJ6085"/>
      <c r="EK6085"/>
    </row>
    <row r="6086" spans="1:141" s="116" customFormat="1">
      <c r="A6086" s="136"/>
      <c r="CM6086" s="111"/>
      <c r="CQ6086" s="111"/>
      <c r="EF6086"/>
      <c r="EG6086"/>
      <c r="EH6086"/>
      <c r="EI6086"/>
      <c r="EJ6086"/>
      <c r="EK6086"/>
    </row>
    <row r="6087" spans="1:141" s="116" customFormat="1">
      <c r="A6087" s="136"/>
      <c r="CM6087" s="111"/>
      <c r="CQ6087" s="111"/>
      <c r="EF6087"/>
      <c r="EG6087"/>
      <c r="EH6087"/>
      <c r="EI6087"/>
      <c r="EJ6087"/>
      <c r="EK6087"/>
    </row>
    <row r="6088" spans="1:141" s="116" customFormat="1">
      <c r="A6088" s="136"/>
      <c r="CM6088" s="111"/>
      <c r="CQ6088" s="111"/>
      <c r="EF6088"/>
      <c r="EG6088"/>
      <c r="EH6088"/>
      <c r="EI6088"/>
      <c r="EJ6088"/>
      <c r="EK6088"/>
    </row>
    <row r="6089" spans="1:141" s="116" customFormat="1">
      <c r="A6089" s="136"/>
      <c r="CM6089" s="111"/>
      <c r="CQ6089" s="111"/>
      <c r="EF6089"/>
      <c r="EG6089"/>
      <c r="EH6089"/>
      <c r="EI6089"/>
      <c r="EJ6089"/>
      <c r="EK6089"/>
    </row>
    <row r="6090" spans="1:141" s="116" customFormat="1">
      <c r="A6090" s="136"/>
      <c r="CM6090" s="111"/>
      <c r="CQ6090" s="111"/>
      <c r="EF6090"/>
      <c r="EG6090"/>
      <c r="EH6090"/>
      <c r="EI6090"/>
      <c r="EJ6090"/>
      <c r="EK6090"/>
    </row>
    <row r="6091" spans="1:141" s="116" customFormat="1">
      <c r="A6091" s="136"/>
      <c r="CM6091" s="111"/>
      <c r="CQ6091" s="111"/>
      <c r="EF6091"/>
      <c r="EG6091"/>
      <c r="EH6091"/>
      <c r="EI6091"/>
      <c r="EJ6091"/>
      <c r="EK6091"/>
    </row>
    <row r="6092" spans="1:141" s="116" customFormat="1">
      <c r="A6092" s="136"/>
      <c r="CM6092" s="111"/>
      <c r="CQ6092" s="111"/>
      <c r="EF6092"/>
      <c r="EG6092"/>
      <c r="EH6092"/>
      <c r="EI6092"/>
      <c r="EJ6092"/>
      <c r="EK6092"/>
    </row>
    <row r="6093" spans="1:141" s="116" customFormat="1">
      <c r="A6093" s="136"/>
      <c r="CM6093" s="111"/>
      <c r="CQ6093" s="111"/>
      <c r="EF6093"/>
      <c r="EG6093"/>
      <c r="EH6093"/>
      <c r="EI6093"/>
      <c r="EJ6093"/>
      <c r="EK6093"/>
    </row>
    <row r="6094" spans="1:141" s="116" customFormat="1">
      <c r="A6094" s="136"/>
      <c r="CM6094" s="111"/>
      <c r="CQ6094" s="111"/>
      <c r="EF6094"/>
      <c r="EG6094"/>
      <c r="EH6094"/>
      <c r="EI6094"/>
      <c r="EJ6094"/>
      <c r="EK6094"/>
    </row>
    <row r="6095" spans="1:141" s="116" customFormat="1">
      <c r="A6095" s="136"/>
      <c r="CM6095" s="111"/>
      <c r="CQ6095" s="111"/>
      <c r="EF6095"/>
      <c r="EG6095"/>
      <c r="EH6095"/>
      <c r="EI6095"/>
      <c r="EJ6095"/>
      <c r="EK6095"/>
    </row>
    <row r="6096" spans="1:141" s="116" customFormat="1">
      <c r="A6096" s="136"/>
      <c r="CM6096" s="111"/>
      <c r="CQ6096" s="111"/>
      <c r="EF6096"/>
      <c r="EG6096"/>
      <c r="EH6096"/>
      <c r="EI6096"/>
      <c r="EJ6096"/>
      <c r="EK6096"/>
    </row>
    <row r="6097" spans="1:141" s="116" customFormat="1">
      <c r="A6097" s="136"/>
      <c r="CM6097" s="111"/>
      <c r="CQ6097" s="111"/>
      <c r="EF6097"/>
      <c r="EG6097"/>
      <c r="EH6097"/>
      <c r="EI6097"/>
      <c r="EJ6097"/>
      <c r="EK6097"/>
    </row>
    <row r="6098" spans="1:141" s="116" customFormat="1">
      <c r="A6098" s="136"/>
      <c r="CM6098" s="111"/>
      <c r="CQ6098" s="111"/>
      <c r="EF6098"/>
      <c r="EG6098"/>
      <c r="EH6098"/>
      <c r="EI6098"/>
      <c r="EJ6098"/>
      <c r="EK6098"/>
    </row>
    <row r="6099" spans="1:141" s="116" customFormat="1">
      <c r="A6099" s="136"/>
      <c r="CM6099" s="111"/>
      <c r="CQ6099" s="111"/>
      <c r="EF6099"/>
      <c r="EG6099"/>
      <c r="EH6099"/>
      <c r="EI6099"/>
      <c r="EJ6099"/>
      <c r="EK6099"/>
    </row>
    <row r="6100" spans="1:141" s="116" customFormat="1">
      <c r="A6100" s="136"/>
      <c r="CM6100" s="111"/>
      <c r="CQ6100" s="111"/>
      <c r="EF6100"/>
      <c r="EG6100"/>
      <c r="EH6100"/>
      <c r="EI6100"/>
      <c r="EJ6100"/>
      <c r="EK6100"/>
    </row>
    <row r="6101" spans="1:141" s="116" customFormat="1">
      <c r="A6101" s="136"/>
      <c r="CM6101" s="111"/>
      <c r="CQ6101" s="111"/>
      <c r="EF6101"/>
      <c r="EG6101"/>
      <c r="EH6101"/>
      <c r="EI6101"/>
      <c r="EJ6101"/>
      <c r="EK6101"/>
    </row>
    <row r="6102" spans="1:141" s="116" customFormat="1">
      <c r="A6102" s="136"/>
      <c r="CM6102" s="111"/>
      <c r="CQ6102" s="111"/>
      <c r="EF6102"/>
      <c r="EG6102"/>
      <c r="EH6102"/>
      <c r="EI6102"/>
      <c r="EJ6102"/>
      <c r="EK6102"/>
    </row>
    <row r="6103" spans="1:141" s="116" customFormat="1">
      <c r="A6103" s="136"/>
      <c r="CM6103" s="111"/>
      <c r="CQ6103" s="111"/>
      <c r="EF6103"/>
      <c r="EG6103"/>
      <c r="EH6103"/>
      <c r="EI6103"/>
      <c r="EJ6103"/>
      <c r="EK6103"/>
    </row>
    <row r="6104" spans="1:141" s="116" customFormat="1">
      <c r="A6104" s="136"/>
      <c r="CM6104" s="111"/>
      <c r="CQ6104" s="111"/>
      <c r="EF6104"/>
      <c r="EG6104"/>
      <c r="EH6104"/>
      <c r="EI6104"/>
      <c r="EJ6104"/>
      <c r="EK6104"/>
    </row>
    <row r="6105" spans="1:141" s="116" customFormat="1">
      <c r="A6105" s="136"/>
      <c r="CM6105" s="111"/>
      <c r="CQ6105" s="111"/>
      <c r="EF6105"/>
      <c r="EG6105"/>
      <c r="EH6105"/>
      <c r="EI6105"/>
      <c r="EJ6105"/>
      <c r="EK6105"/>
    </row>
    <row r="6106" spans="1:141" s="116" customFormat="1">
      <c r="A6106" s="136"/>
      <c r="CM6106" s="111"/>
      <c r="CQ6106" s="111"/>
      <c r="EF6106"/>
      <c r="EG6106"/>
      <c r="EH6106"/>
      <c r="EI6106"/>
      <c r="EJ6106"/>
      <c r="EK6106"/>
    </row>
    <row r="6107" spans="1:141" s="116" customFormat="1">
      <c r="A6107" s="136"/>
      <c r="CM6107" s="111"/>
      <c r="CQ6107" s="111"/>
      <c r="EF6107"/>
      <c r="EG6107"/>
      <c r="EH6107"/>
      <c r="EI6107"/>
      <c r="EJ6107"/>
      <c r="EK6107"/>
    </row>
    <row r="6108" spans="1:141" s="116" customFormat="1">
      <c r="A6108" s="136"/>
      <c r="CM6108" s="111"/>
      <c r="CQ6108" s="111"/>
      <c r="EF6108"/>
      <c r="EG6108"/>
      <c r="EH6108"/>
      <c r="EI6108"/>
      <c r="EJ6108"/>
      <c r="EK6108"/>
    </row>
    <row r="6109" spans="1:141" s="116" customFormat="1">
      <c r="A6109" s="136"/>
      <c r="CM6109" s="111"/>
      <c r="CQ6109" s="111"/>
      <c r="EF6109"/>
      <c r="EG6109"/>
      <c r="EH6109"/>
      <c r="EI6109"/>
      <c r="EJ6109"/>
      <c r="EK6109"/>
    </row>
    <row r="6110" spans="1:141" s="116" customFormat="1">
      <c r="A6110" s="136"/>
      <c r="CM6110" s="111"/>
      <c r="CQ6110" s="111"/>
      <c r="EF6110"/>
      <c r="EG6110"/>
      <c r="EH6110"/>
      <c r="EI6110"/>
      <c r="EJ6110"/>
      <c r="EK6110"/>
    </row>
    <row r="6111" spans="1:141" s="116" customFormat="1">
      <c r="A6111" s="136"/>
      <c r="CM6111" s="111"/>
      <c r="CQ6111" s="111"/>
      <c r="EF6111"/>
      <c r="EG6111"/>
      <c r="EH6111"/>
      <c r="EI6111"/>
      <c r="EJ6111"/>
      <c r="EK6111"/>
    </row>
    <row r="6112" spans="1:141" s="116" customFormat="1">
      <c r="A6112" s="136"/>
      <c r="CM6112" s="111"/>
      <c r="CQ6112" s="111"/>
      <c r="EF6112"/>
      <c r="EG6112"/>
      <c r="EH6112"/>
      <c r="EI6112"/>
      <c r="EJ6112"/>
      <c r="EK6112"/>
    </row>
    <row r="6113" spans="1:141" s="116" customFormat="1">
      <c r="A6113" s="136"/>
      <c r="CM6113" s="111"/>
      <c r="CQ6113" s="111"/>
      <c r="EF6113"/>
      <c r="EG6113"/>
      <c r="EH6113"/>
      <c r="EI6113"/>
      <c r="EJ6113"/>
      <c r="EK6113"/>
    </row>
    <row r="6114" spans="1:141" s="116" customFormat="1">
      <c r="A6114" s="136"/>
      <c r="CM6114" s="111"/>
      <c r="CQ6114" s="111"/>
      <c r="EF6114"/>
      <c r="EG6114"/>
      <c r="EH6114"/>
      <c r="EI6114"/>
      <c r="EJ6114"/>
      <c r="EK6114"/>
    </row>
    <row r="6115" spans="1:141" s="116" customFormat="1">
      <c r="A6115" s="136"/>
      <c r="CM6115" s="111"/>
      <c r="CQ6115" s="111"/>
      <c r="EF6115"/>
      <c r="EG6115"/>
      <c r="EH6115"/>
      <c r="EI6115"/>
      <c r="EJ6115"/>
      <c r="EK6115"/>
    </row>
    <row r="6116" spans="1:141" s="116" customFormat="1">
      <c r="A6116" s="136"/>
      <c r="CM6116" s="111"/>
      <c r="CQ6116" s="111"/>
      <c r="EF6116"/>
      <c r="EG6116"/>
      <c r="EH6116"/>
      <c r="EI6116"/>
      <c r="EJ6116"/>
      <c r="EK6116"/>
    </row>
    <row r="6117" spans="1:141" s="116" customFormat="1">
      <c r="A6117" s="136"/>
      <c r="CM6117" s="111"/>
      <c r="CQ6117" s="111"/>
      <c r="EF6117"/>
      <c r="EG6117"/>
      <c r="EH6117"/>
      <c r="EI6117"/>
      <c r="EJ6117"/>
      <c r="EK6117"/>
    </row>
    <row r="6118" spans="1:141" s="116" customFormat="1">
      <c r="A6118" s="136"/>
      <c r="CM6118" s="111"/>
      <c r="CQ6118" s="111"/>
      <c r="EF6118"/>
      <c r="EG6118"/>
      <c r="EH6118"/>
      <c r="EI6118"/>
      <c r="EJ6118"/>
      <c r="EK6118"/>
    </row>
    <row r="6119" spans="1:141" s="116" customFormat="1">
      <c r="A6119" s="136"/>
      <c r="CM6119" s="111"/>
      <c r="CQ6119" s="111"/>
      <c r="EF6119"/>
      <c r="EG6119"/>
      <c r="EH6119"/>
      <c r="EI6119"/>
      <c r="EJ6119"/>
      <c r="EK6119"/>
    </row>
    <row r="6120" spans="1:141" s="116" customFormat="1">
      <c r="A6120" s="136"/>
      <c r="CM6120" s="111"/>
      <c r="CQ6120" s="111"/>
      <c r="EF6120"/>
      <c r="EG6120"/>
      <c r="EH6120"/>
      <c r="EI6120"/>
      <c r="EJ6120"/>
      <c r="EK6120"/>
    </row>
    <row r="6121" spans="1:141" s="116" customFormat="1">
      <c r="A6121" s="136"/>
      <c r="CM6121" s="111"/>
      <c r="CQ6121" s="111"/>
      <c r="EF6121"/>
      <c r="EG6121"/>
      <c r="EH6121"/>
      <c r="EI6121"/>
      <c r="EJ6121"/>
      <c r="EK6121"/>
    </row>
    <row r="6122" spans="1:141" s="116" customFormat="1">
      <c r="A6122" s="136"/>
      <c r="CM6122" s="111"/>
      <c r="CQ6122" s="111"/>
      <c r="EF6122"/>
      <c r="EG6122"/>
      <c r="EH6122"/>
      <c r="EI6122"/>
      <c r="EJ6122"/>
      <c r="EK6122"/>
    </row>
    <row r="6123" spans="1:141" s="116" customFormat="1">
      <c r="A6123" s="136"/>
      <c r="CM6123" s="111"/>
      <c r="CQ6123" s="111"/>
      <c r="EF6123"/>
      <c r="EG6123"/>
      <c r="EH6123"/>
      <c r="EI6123"/>
      <c r="EJ6123"/>
      <c r="EK6123"/>
    </row>
    <row r="6124" spans="1:141" s="116" customFormat="1">
      <c r="A6124" s="136"/>
      <c r="CM6124" s="111"/>
      <c r="CQ6124" s="111"/>
      <c r="EF6124"/>
      <c r="EG6124"/>
      <c r="EH6124"/>
      <c r="EI6124"/>
      <c r="EJ6124"/>
      <c r="EK6124"/>
    </row>
    <row r="6125" spans="1:141" s="116" customFormat="1">
      <c r="A6125" s="136"/>
      <c r="CM6125" s="111"/>
      <c r="CQ6125" s="111"/>
      <c r="EF6125"/>
      <c r="EG6125"/>
      <c r="EH6125"/>
      <c r="EI6125"/>
      <c r="EJ6125"/>
      <c r="EK6125"/>
    </row>
    <row r="6126" spans="1:141" s="116" customFormat="1">
      <c r="A6126" s="136"/>
      <c r="CM6126" s="111"/>
      <c r="CQ6126" s="111"/>
      <c r="EF6126"/>
      <c r="EG6126"/>
      <c r="EH6126"/>
      <c r="EI6126"/>
      <c r="EJ6126"/>
      <c r="EK6126"/>
    </row>
    <row r="6127" spans="1:141" s="116" customFormat="1">
      <c r="A6127" s="136"/>
      <c r="CM6127" s="111"/>
      <c r="CQ6127" s="111"/>
      <c r="EF6127"/>
      <c r="EG6127"/>
      <c r="EH6127"/>
      <c r="EI6127"/>
      <c r="EJ6127"/>
      <c r="EK6127"/>
    </row>
    <row r="6128" spans="1:141" s="116" customFormat="1">
      <c r="A6128" s="136"/>
      <c r="CM6128" s="111"/>
      <c r="CQ6128" s="111"/>
      <c r="EF6128"/>
      <c r="EG6128"/>
      <c r="EH6128"/>
      <c r="EI6128"/>
      <c r="EJ6128"/>
      <c r="EK6128"/>
    </row>
    <row r="6129" spans="1:141" s="116" customFormat="1">
      <c r="A6129" s="136"/>
      <c r="CM6129" s="111"/>
      <c r="CQ6129" s="111"/>
      <c r="EF6129"/>
      <c r="EG6129"/>
      <c r="EH6129"/>
      <c r="EI6129"/>
      <c r="EJ6129"/>
      <c r="EK6129"/>
    </row>
    <row r="6130" spans="1:141" s="116" customFormat="1">
      <c r="A6130" s="136"/>
      <c r="CM6130" s="111"/>
      <c r="CQ6130" s="111"/>
      <c r="EF6130"/>
      <c r="EG6130"/>
      <c r="EH6130"/>
      <c r="EI6130"/>
      <c r="EJ6130"/>
      <c r="EK6130"/>
    </row>
    <row r="6131" spans="1:141" s="116" customFormat="1">
      <c r="A6131" s="136"/>
      <c r="CM6131" s="111"/>
      <c r="CQ6131" s="111"/>
      <c r="EF6131"/>
      <c r="EG6131"/>
      <c r="EH6131"/>
      <c r="EI6131"/>
      <c r="EJ6131"/>
      <c r="EK6131"/>
    </row>
    <row r="6132" spans="1:141" s="116" customFormat="1">
      <c r="A6132" s="136"/>
      <c r="CM6132" s="111"/>
      <c r="CQ6132" s="111"/>
      <c r="EF6132"/>
      <c r="EG6132"/>
      <c r="EH6132"/>
      <c r="EI6132"/>
      <c r="EJ6132"/>
      <c r="EK6132"/>
    </row>
    <row r="6133" spans="1:141" s="116" customFormat="1">
      <c r="A6133" s="136"/>
      <c r="CM6133" s="111"/>
      <c r="CQ6133" s="111"/>
      <c r="EF6133"/>
      <c r="EG6133"/>
      <c r="EH6133"/>
      <c r="EI6133"/>
      <c r="EJ6133"/>
      <c r="EK6133"/>
    </row>
    <row r="6134" spans="1:141" s="116" customFormat="1">
      <c r="A6134" s="136"/>
      <c r="CM6134" s="111"/>
      <c r="CQ6134" s="111"/>
      <c r="EF6134"/>
      <c r="EG6134"/>
      <c r="EH6134"/>
      <c r="EI6134"/>
      <c r="EJ6134"/>
      <c r="EK6134"/>
    </row>
    <row r="6135" spans="1:141" s="116" customFormat="1">
      <c r="A6135" s="136"/>
      <c r="CM6135" s="111"/>
      <c r="CQ6135" s="111"/>
      <c r="EF6135"/>
      <c r="EG6135"/>
      <c r="EH6135"/>
      <c r="EI6135"/>
      <c r="EJ6135"/>
      <c r="EK6135"/>
    </row>
    <row r="6136" spans="1:141" s="116" customFormat="1">
      <c r="A6136" s="136"/>
      <c r="CM6136" s="111"/>
      <c r="CQ6136" s="111"/>
      <c r="EF6136"/>
      <c r="EG6136"/>
      <c r="EH6136"/>
      <c r="EI6136"/>
      <c r="EJ6136"/>
      <c r="EK6136"/>
    </row>
    <row r="6137" spans="1:141" s="116" customFormat="1">
      <c r="A6137" s="136"/>
      <c r="CM6137" s="111"/>
      <c r="CQ6137" s="111"/>
      <c r="EF6137"/>
      <c r="EG6137"/>
      <c r="EH6137"/>
      <c r="EI6137"/>
      <c r="EJ6137"/>
      <c r="EK6137"/>
    </row>
    <row r="6138" spans="1:141" s="116" customFormat="1">
      <c r="A6138" s="136"/>
      <c r="CM6138" s="111"/>
      <c r="CQ6138" s="111"/>
      <c r="EF6138"/>
      <c r="EG6138"/>
      <c r="EH6138"/>
      <c r="EI6138"/>
      <c r="EJ6138"/>
      <c r="EK6138"/>
    </row>
    <row r="6139" spans="1:141" s="116" customFormat="1">
      <c r="A6139" s="136"/>
      <c r="CM6139" s="111"/>
      <c r="CQ6139" s="111"/>
      <c r="EF6139"/>
      <c r="EG6139"/>
      <c r="EH6139"/>
      <c r="EI6139"/>
      <c r="EJ6139"/>
      <c r="EK6139"/>
    </row>
    <row r="6140" spans="1:141" s="116" customFormat="1">
      <c r="A6140" s="136"/>
      <c r="CM6140" s="111"/>
      <c r="CQ6140" s="111"/>
      <c r="EF6140"/>
      <c r="EG6140"/>
      <c r="EH6140"/>
      <c r="EI6140"/>
      <c r="EJ6140"/>
      <c r="EK6140"/>
    </row>
    <row r="6141" spans="1:141" s="116" customFormat="1">
      <c r="A6141" s="136"/>
      <c r="CM6141" s="111"/>
      <c r="CQ6141" s="111"/>
      <c r="EF6141"/>
      <c r="EG6141"/>
      <c r="EH6141"/>
      <c r="EI6141"/>
      <c r="EJ6141"/>
      <c r="EK6141"/>
    </row>
    <row r="6142" spans="1:141" s="116" customFormat="1">
      <c r="A6142" s="136"/>
      <c r="CM6142" s="111"/>
      <c r="CQ6142" s="111"/>
      <c r="EF6142"/>
      <c r="EG6142"/>
      <c r="EH6142"/>
      <c r="EI6142"/>
      <c r="EJ6142"/>
      <c r="EK6142"/>
    </row>
    <row r="6143" spans="1:141" s="116" customFormat="1">
      <c r="A6143" s="136"/>
      <c r="CM6143" s="111"/>
      <c r="CQ6143" s="111"/>
      <c r="EF6143"/>
      <c r="EG6143"/>
      <c r="EH6143"/>
      <c r="EI6143"/>
      <c r="EJ6143"/>
      <c r="EK6143"/>
    </row>
    <row r="6144" spans="1:141" s="116" customFormat="1">
      <c r="A6144" s="136"/>
      <c r="CM6144" s="111"/>
      <c r="CQ6144" s="111"/>
      <c r="EF6144"/>
      <c r="EG6144"/>
      <c r="EH6144"/>
      <c r="EI6144"/>
      <c r="EJ6144"/>
      <c r="EK6144"/>
    </row>
    <row r="6145" spans="1:141" s="116" customFormat="1">
      <c r="A6145" s="136"/>
      <c r="CM6145" s="111"/>
      <c r="CQ6145" s="111"/>
      <c r="EF6145"/>
      <c r="EG6145"/>
      <c r="EH6145"/>
      <c r="EI6145"/>
      <c r="EJ6145"/>
      <c r="EK6145"/>
    </row>
    <row r="6146" spans="1:141" s="116" customFormat="1">
      <c r="A6146" s="136"/>
      <c r="CM6146" s="111"/>
      <c r="CQ6146" s="111"/>
      <c r="EF6146"/>
      <c r="EG6146"/>
      <c r="EH6146"/>
      <c r="EI6146"/>
      <c r="EJ6146"/>
      <c r="EK6146"/>
    </row>
    <row r="6147" spans="1:141" s="116" customFormat="1">
      <c r="A6147" s="136"/>
      <c r="CM6147" s="111"/>
      <c r="CQ6147" s="111"/>
      <c r="EF6147"/>
      <c r="EG6147"/>
      <c r="EH6147"/>
      <c r="EI6147"/>
      <c r="EJ6147"/>
      <c r="EK6147"/>
    </row>
    <row r="6148" spans="1:141" s="116" customFormat="1">
      <c r="A6148" s="136"/>
      <c r="CM6148" s="111"/>
      <c r="CQ6148" s="111"/>
      <c r="EF6148"/>
      <c r="EG6148"/>
      <c r="EH6148"/>
      <c r="EI6148"/>
      <c r="EJ6148"/>
      <c r="EK6148"/>
    </row>
    <row r="6149" spans="1:141" s="116" customFormat="1">
      <c r="A6149" s="136"/>
      <c r="CM6149" s="111"/>
      <c r="CQ6149" s="111"/>
      <c r="EF6149"/>
      <c r="EG6149"/>
      <c r="EH6149"/>
      <c r="EI6149"/>
      <c r="EJ6149"/>
      <c r="EK6149"/>
    </row>
    <row r="6150" spans="1:141" s="116" customFormat="1">
      <c r="A6150" s="136"/>
      <c r="CM6150" s="111"/>
      <c r="CQ6150" s="111"/>
      <c r="EF6150"/>
      <c r="EG6150"/>
      <c r="EH6150"/>
      <c r="EI6150"/>
      <c r="EJ6150"/>
      <c r="EK6150"/>
    </row>
    <row r="6151" spans="1:141" s="116" customFormat="1">
      <c r="A6151" s="136"/>
      <c r="CM6151" s="111"/>
      <c r="CQ6151" s="111"/>
      <c r="EF6151"/>
      <c r="EG6151"/>
      <c r="EH6151"/>
      <c r="EI6151"/>
      <c r="EJ6151"/>
      <c r="EK6151"/>
    </row>
    <row r="6152" spans="1:141" s="116" customFormat="1">
      <c r="A6152" s="136"/>
      <c r="CM6152" s="111"/>
      <c r="CQ6152" s="111"/>
      <c r="EF6152"/>
      <c r="EG6152"/>
      <c r="EH6152"/>
      <c r="EI6152"/>
      <c r="EJ6152"/>
      <c r="EK6152"/>
    </row>
    <row r="6153" spans="1:141" s="116" customFormat="1">
      <c r="A6153" s="136"/>
      <c r="CM6153" s="111"/>
      <c r="CQ6153" s="111"/>
      <c r="EF6153"/>
      <c r="EG6153"/>
      <c r="EH6153"/>
      <c r="EI6153"/>
      <c r="EJ6153"/>
      <c r="EK6153"/>
    </row>
    <row r="6154" spans="1:141" s="116" customFormat="1">
      <c r="A6154" s="136"/>
      <c r="CM6154" s="111"/>
      <c r="CQ6154" s="111"/>
      <c r="EF6154"/>
      <c r="EG6154"/>
      <c r="EH6154"/>
      <c r="EI6154"/>
      <c r="EJ6154"/>
      <c r="EK6154"/>
    </row>
    <row r="6155" spans="1:141" s="116" customFormat="1">
      <c r="A6155" s="136"/>
      <c r="CM6155" s="111"/>
      <c r="CQ6155" s="111"/>
      <c r="EF6155"/>
      <c r="EG6155"/>
      <c r="EH6155"/>
      <c r="EI6155"/>
      <c r="EJ6155"/>
      <c r="EK6155"/>
    </row>
    <row r="6156" spans="1:141" s="116" customFormat="1">
      <c r="A6156" s="136"/>
      <c r="CM6156" s="111"/>
      <c r="CQ6156" s="111"/>
      <c r="EF6156"/>
      <c r="EG6156"/>
      <c r="EH6156"/>
      <c r="EI6156"/>
      <c r="EJ6156"/>
      <c r="EK6156"/>
    </row>
    <row r="6157" spans="1:141" s="116" customFormat="1">
      <c r="A6157" s="136"/>
      <c r="CM6157" s="111"/>
      <c r="CQ6157" s="111"/>
      <c r="EF6157"/>
      <c r="EG6157"/>
      <c r="EH6157"/>
      <c r="EI6157"/>
      <c r="EJ6157"/>
      <c r="EK6157"/>
    </row>
    <row r="6158" spans="1:141" s="116" customFormat="1">
      <c r="A6158" s="136"/>
      <c r="CM6158" s="111"/>
      <c r="CQ6158" s="111"/>
      <c r="EF6158"/>
      <c r="EG6158"/>
      <c r="EH6158"/>
      <c r="EI6158"/>
      <c r="EJ6158"/>
      <c r="EK6158"/>
    </row>
    <row r="6159" spans="1:141" s="116" customFormat="1">
      <c r="A6159" s="136"/>
      <c r="CM6159" s="111"/>
      <c r="CQ6159" s="111"/>
      <c r="EF6159"/>
      <c r="EG6159"/>
      <c r="EH6159"/>
      <c r="EI6159"/>
      <c r="EJ6159"/>
      <c r="EK6159"/>
    </row>
    <row r="6160" spans="1:141" s="116" customFormat="1">
      <c r="A6160" s="136"/>
      <c r="CM6160" s="111"/>
      <c r="CQ6160" s="111"/>
      <c r="EF6160"/>
      <c r="EG6160"/>
      <c r="EH6160"/>
      <c r="EI6160"/>
      <c r="EJ6160"/>
      <c r="EK6160"/>
    </row>
    <row r="6161" spans="1:141" s="116" customFormat="1">
      <c r="A6161" s="136"/>
      <c r="CM6161" s="111"/>
      <c r="CQ6161" s="111"/>
      <c r="EF6161"/>
      <c r="EG6161"/>
      <c r="EH6161"/>
      <c r="EI6161"/>
      <c r="EJ6161"/>
      <c r="EK6161"/>
    </row>
    <row r="6162" spans="1:141" s="116" customFormat="1">
      <c r="A6162" s="136"/>
      <c r="CM6162" s="111"/>
      <c r="CQ6162" s="111"/>
      <c r="EF6162"/>
      <c r="EG6162"/>
      <c r="EH6162"/>
      <c r="EI6162"/>
      <c r="EJ6162"/>
      <c r="EK6162"/>
    </row>
    <row r="6163" spans="1:141" s="116" customFormat="1">
      <c r="A6163" s="136"/>
      <c r="CM6163" s="111"/>
      <c r="CQ6163" s="111"/>
      <c r="EF6163"/>
      <c r="EG6163"/>
      <c r="EH6163"/>
      <c r="EI6163"/>
      <c r="EJ6163"/>
      <c r="EK6163"/>
    </row>
    <row r="6164" spans="1:141" s="116" customFormat="1">
      <c r="A6164" s="136"/>
      <c r="CM6164" s="111"/>
      <c r="CQ6164" s="111"/>
      <c r="EF6164"/>
      <c r="EG6164"/>
      <c r="EH6164"/>
      <c r="EI6164"/>
      <c r="EJ6164"/>
      <c r="EK6164"/>
    </row>
    <row r="6165" spans="1:141" s="116" customFormat="1">
      <c r="A6165" s="136"/>
      <c r="CM6165" s="111"/>
      <c r="CQ6165" s="111"/>
      <c r="EF6165"/>
      <c r="EG6165"/>
      <c r="EH6165"/>
      <c r="EI6165"/>
      <c r="EJ6165"/>
      <c r="EK6165"/>
    </row>
    <row r="6166" spans="1:141" s="116" customFormat="1">
      <c r="A6166" s="136"/>
      <c r="CM6166" s="111"/>
      <c r="CQ6166" s="111"/>
      <c r="EF6166"/>
      <c r="EG6166"/>
      <c r="EH6166"/>
      <c r="EI6166"/>
      <c r="EJ6166"/>
      <c r="EK6166"/>
    </row>
    <row r="6167" spans="1:141" s="116" customFormat="1">
      <c r="A6167" s="136"/>
      <c r="CM6167" s="111"/>
      <c r="CQ6167" s="111"/>
      <c r="EF6167"/>
      <c r="EG6167"/>
      <c r="EH6167"/>
      <c r="EI6167"/>
      <c r="EJ6167"/>
      <c r="EK6167"/>
    </row>
    <row r="6168" spans="1:141" s="116" customFormat="1">
      <c r="A6168" s="136"/>
      <c r="CM6168" s="111"/>
      <c r="CQ6168" s="111"/>
      <c r="EF6168"/>
      <c r="EG6168"/>
      <c r="EH6168"/>
      <c r="EI6168"/>
      <c r="EJ6168"/>
      <c r="EK6168"/>
    </row>
    <row r="6169" spans="1:141" s="116" customFormat="1">
      <c r="A6169" s="136"/>
      <c r="CM6169" s="111"/>
      <c r="CQ6169" s="111"/>
      <c r="EF6169"/>
      <c r="EG6169"/>
      <c r="EH6169"/>
      <c r="EI6169"/>
      <c r="EJ6169"/>
      <c r="EK6169"/>
    </row>
    <row r="6170" spans="1:141" s="116" customFormat="1">
      <c r="A6170" s="136"/>
      <c r="CM6170" s="111"/>
      <c r="CQ6170" s="111"/>
      <c r="EF6170"/>
      <c r="EG6170"/>
      <c r="EH6170"/>
      <c r="EI6170"/>
      <c r="EJ6170"/>
      <c r="EK6170"/>
    </row>
    <row r="6171" spans="1:141" s="116" customFormat="1">
      <c r="A6171" s="136"/>
      <c r="CM6171" s="111"/>
      <c r="CQ6171" s="111"/>
      <c r="EF6171"/>
      <c r="EG6171"/>
      <c r="EH6171"/>
      <c r="EI6171"/>
      <c r="EJ6171"/>
      <c r="EK6171"/>
    </row>
    <row r="6172" spans="1:141" s="116" customFormat="1">
      <c r="A6172" s="136"/>
      <c r="CM6172" s="111"/>
      <c r="CQ6172" s="111"/>
      <c r="EF6172"/>
      <c r="EG6172"/>
      <c r="EH6172"/>
      <c r="EI6172"/>
      <c r="EJ6172"/>
      <c r="EK6172"/>
    </row>
    <row r="6173" spans="1:141" s="116" customFormat="1">
      <c r="A6173" s="136"/>
      <c r="CM6173" s="111"/>
      <c r="CQ6173" s="111"/>
      <c r="EF6173"/>
      <c r="EG6173"/>
      <c r="EH6173"/>
      <c r="EI6173"/>
      <c r="EJ6173"/>
      <c r="EK6173"/>
    </row>
    <row r="6174" spans="1:141" s="116" customFormat="1">
      <c r="A6174" s="136"/>
      <c r="CM6174" s="111"/>
      <c r="CQ6174" s="111"/>
      <c r="EF6174"/>
      <c r="EG6174"/>
      <c r="EH6174"/>
      <c r="EI6174"/>
      <c r="EJ6174"/>
      <c r="EK6174"/>
    </row>
    <row r="6175" spans="1:141" s="116" customFormat="1">
      <c r="A6175" s="136"/>
      <c r="CM6175" s="111"/>
      <c r="CQ6175" s="111"/>
      <c r="EF6175"/>
      <c r="EG6175"/>
      <c r="EH6175"/>
      <c r="EI6175"/>
      <c r="EJ6175"/>
      <c r="EK6175"/>
    </row>
    <row r="6176" spans="1:141" s="116" customFormat="1">
      <c r="A6176" s="136"/>
      <c r="CM6176" s="111"/>
      <c r="CQ6176" s="111"/>
      <c r="EF6176"/>
      <c r="EG6176"/>
      <c r="EH6176"/>
      <c r="EI6176"/>
      <c r="EJ6176"/>
      <c r="EK6176"/>
    </row>
    <row r="6177" spans="1:141" s="116" customFormat="1">
      <c r="A6177" s="136"/>
      <c r="CM6177" s="111"/>
      <c r="CQ6177" s="111"/>
      <c r="EF6177"/>
      <c r="EG6177"/>
      <c r="EH6177"/>
      <c r="EI6177"/>
      <c r="EJ6177"/>
      <c r="EK6177"/>
    </row>
    <row r="6178" spans="1:141" s="116" customFormat="1">
      <c r="A6178" s="136"/>
      <c r="CM6178" s="111"/>
      <c r="CQ6178" s="111"/>
      <c r="EF6178"/>
      <c r="EG6178"/>
      <c r="EH6178"/>
      <c r="EI6178"/>
      <c r="EJ6178"/>
      <c r="EK6178"/>
    </row>
    <row r="6179" spans="1:141" s="116" customFormat="1">
      <c r="A6179" s="136"/>
      <c r="CM6179" s="111"/>
      <c r="CQ6179" s="111"/>
      <c r="EF6179"/>
      <c r="EG6179"/>
      <c r="EH6179"/>
      <c r="EI6179"/>
      <c r="EJ6179"/>
      <c r="EK6179"/>
    </row>
    <row r="6180" spans="1:141" s="116" customFormat="1">
      <c r="A6180" s="136"/>
      <c r="CM6180" s="111"/>
      <c r="CQ6180" s="111"/>
      <c r="EF6180"/>
      <c r="EG6180"/>
      <c r="EH6180"/>
      <c r="EI6180"/>
      <c r="EJ6180"/>
      <c r="EK6180"/>
    </row>
    <row r="6181" spans="1:141" s="116" customFormat="1">
      <c r="A6181" s="136"/>
      <c r="CM6181" s="111"/>
      <c r="CQ6181" s="111"/>
      <c r="EF6181"/>
      <c r="EG6181"/>
      <c r="EH6181"/>
      <c r="EI6181"/>
      <c r="EJ6181"/>
      <c r="EK6181"/>
    </row>
    <row r="6182" spans="1:141" s="116" customFormat="1">
      <c r="A6182" s="136"/>
      <c r="CM6182" s="111"/>
      <c r="CQ6182" s="111"/>
      <c r="EF6182"/>
      <c r="EG6182"/>
      <c r="EH6182"/>
      <c r="EI6182"/>
      <c r="EJ6182"/>
      <c r="EK6182"/>
    </row>
    <row r="6183" spans="1:141" s="116" customFormat="1">
      <c r="A6183" s="136"/>
      <c r="CM6183" s="111"/>
      <c r="CQ6183" s="111"/>
      <c r="EF6183"/>
      <c r="EG6183"/>
      <c r="EH6183"/>
      <c r="EI6183"/>
      <c r="EJ6183"/>
      <c r="EK6183"/>
    </row>
    <row r="6184" spans="1:141" s="116" customFormat="1">
      <c r="A6184" s="136"/>
      <c r="CM6184" s="111"/>
      <c r="CQ6184" s="111"/>
      <c r="EF6184"/>
      <c r="EG6184"/>
      <c r="EH6184"/>
      <c r="EI6184"/>
      <c r="EJ6184"/>
      <c r="EK6184"/>
    </row>
    <row r="6185" spans="1:141" s="116" customFormat="1">
      <c r="A6185" s="136"/>
      <c r="CM6185" s="111"/>
      <c r="CQ6185" s="111"/>
      <c r="EF6185"/>
      <c r="EG6185"/>
      <c r="EH6185"/>
      <c r="EI6185"/>
      <c r="EJ6185"/>
      <c r="EK6185"/>
    </row>
    <row r="6186" spans="1:141" s="116" customFormat="1">
      <c r="A6186" s="136"/>
      <c r="CM6186" s="111"/>
      <c r="CQ6186" s="111"/>
      <c r="EF6186"/>
      <c r="EG6186"/>
      <c r="EH6186"/>
      <c r="EI6186"/>
      <c r="EJ6186"/>
      <c r="EK6186"/>
    </row>
    <row r="6187" spans="1:141" s="116" customFormat="1">
      <c r="A6187" s="136"/>
      <c r="CM6187" s="111"/>
      <c r="CQ6187" s="111"/>
      <c r="EF6187"/>
      <c r="EG6187"/>
      <c r="EH6187"/>
      <c r="EI6187"/>
      <c r="EJ6187"/>
      <c r="EK6187"/>
    </row>
    <row r="6188" spans="1:141" s="116" customFormat="1">
      <c r="A6188" s="136"/>
      <c r="CM6188" s="111"/>
      <c r="CQ6188" s="111"/>
      <c r="EF6188"/>
      <c r="EG6188"/>
      <c r="EH6188"/>
      <c r="EI6188"/>
      <c r="EJ6188"/>
      <c r="EK6188"/>
    </row>
    <row r="6189" spans="1:141" s="116" customFormat="1">
      <c r="A6189" s="136"/>
      <c r="CM6189" s="111"/>
      <c r="CQ6189" s="111"/>
      <c r="EF6189"/>
      <c r="EG6189"/>
      <c r="EH6189"/>
      <c r="EI6189"/>
      <c r="EJ6189"/>
      <c r="EK6189"/>
    </row>
    <row r="6190" spans="1:141" s="116" customFormat="1">
      <c r="A6190" s="136"/>
      <c r="CM6190" s="111"/>
      <c r="CQ6190" s="111"/>
      <c r="EF6190"/>
      <c r="EG6190"/>
      <c r="EH6190"/>
      <c r="EI6190"/>
      <c r="EJ6190"/>
      <c r="EK6190"/>
    </row>
    <row r="6191" spans="1:141" s="116" customFormat="1">
      <c r="A6191" s="136"/>
      <c r="CM6191" s="111"/>
      <c r="CQ6191" s="111"/>
      <c r="EF6191"/>
      <c r="EG6191"/>
      <c r="EH6191"/>
      <c r="EI6191"/>
      <c r="EJ6191"/>
      <c r="EK6191"/>
    </row>
    <row r="6192" spans="1:141" s="116" customFormat="1">
      <c r="A6192" s="136"/>
      <c r="CM6192" s="111"/>
      <c r="CQ6192" s="111"/>
      <c r="EF6192"/>
      <c r="EG6192"/>
      <c r="EH6192"/>
      <c r="EI6192"/>
      <c r="EJ6192"/>
      <c r="EK6192"/>
    </row>
    <row r="6193" spans="1:141" s="116" customFormat="1">
      <c r="A6193" s="136"/>
      <c r="CM6193" s="111"/>
      <c r="CQ6193" s="111"/>
      <c r="EF6193"/>
      <c r="EG6193"/>
      <c r="EH6193"/>
      <c r="EI6193"/>
      <c r="EJ6193"/>
      <c r="EK6193"/>
    </row>
    <row r="6194" spans="1:141" s="116" customFormat="1">
      <c r="A6194" s="136"/>
      <c r="CM6194" s="111"/>
      <c r="CQ6194" s="111"/>
      <c r="EF6194"/>
      <c r="EG6194"/>
      <c r="EH6194"/>
      <c r="EI6194"/>
      <c r="EJ6194"/>
      <c r="EK6194"/>
    </row>
    <row r="6195" spans="1:141" s="116" customFormat="1">
      <c r="A6195" s="136"/>
      <c r="CM6195" s="111"/>
      <c r="CQ6195" s="111"/>
      <c r="EF6195"/>
      <c r="EG6195"/>
      <c r="EH6195"/>
      <c r="EI6195"/>
      <c r="EJ6195"/>
      <c r="EK6195"/>
    </row>
    <row r="6196" spans="1:141" s="116" customFormat="1">
      <c r="A6196" s="136"/>
      <c r="CM6196" s="111"/>
      <c r="CQ6196" s="111"/>
      <c r="EF6196"/>
      <c r="EG6196"/>
      <c r="EH6196"/>
      <c r="EI6196"/>
      <c r="EJ6196"/>
      <c r="EK6196"/>
    </row>
    <row r="6197" spans="1:141" s="116" customFormat="1">
      <c r="A6197" s="136"/>
      <c r="CM6197" s="111"/>
      <c r="CQ6197" s="111"/>
      <c r="EF6197"/>
      <c r="EG6197"/>
      <c r="EH6197"/>
      <c r="EI6197"/>
      <c r="EJ6197"/>
      <c r="EK6197"/>
    </row>
    <row r="6198" spans="1:141" s="116" customFormat="1">
      <c r="A6198" s="136"/>
      <c r="CM6198" s="111"/>
      <c r="CQ6198" s="111"/>
      <c r="EF6198"/>
      <c r="EG6198"/>
      <c r="EH6198"/>
      <c r="EI6198"/>
      <c r="EJ6198"/>
      <c r="EK6198"/>
    </row>
    <row r="6199" spans="1:141" s="116" customFormat="1">
      <c r="A6199" s="136"/>
      <c r="CM6199" s="111"/>
      <c r="CQ6199" s="111"/>
      <c r="EF6199"/>
      <c r="EG6199"/>
      <c r="EH6199"/>
      <c r="EI6199"/>
      <c r="EJ6199"/>
      <c r="EK6199"/>
    </row>
    <row r="6200" spans="1:141" s="116" customFormat="1">
      <c r="A6200" s="136"/>
      <c r="CM6200" s="111"/>
      <c r="CQ6200" s="111"/>
      <c r="EF6200"/>
      <c r="EG6200"/>
      <c r="EH6200"/>
      <c r="EI6200"/>
      <c r="EJ6200"/>
      <c r="EK6200"/>
    </row>
    <row r="6201" spans="1:141" s="116" customFormat="1">
      <c r="A6201" s="136"/>
      <c r="CM6201" s="111"/>
      <c r="CQ6201" s="111"/>
      <c r="EF6201"/>
      <c r="EG6201"/>
      <c r="EH6201"/>
      <c r="EI6201"/>
      <c r="EJ6201"/>
      <c r="EK6201"/>
    </row>
    <row r="6202" spans="1:141" s="116" customFormat="1">
      <c r="A6202" s="136"/>
      <c r="CM6202" s="111"/>
      <c r="CQ6202" s="111"/>
      <c r="EF6202"/>
      <c r="EG6202"/>
      <c r="EH6202"/>
      <c r="EI6202"/>
      <c r="EJ6202"/>
      <c r="EK6202"/>
    </row>
    <row r="6203" spans="1:141" s="116" customFormat="1">
      <c r="A6203" s="136"/>
      <c r="CM6203" s="111"/>
      <c r="CQ6203" s="111"/>
      <c r="EF6203"/>
      <c r="EG6203"/>
      <c r="EH6203"/>
      <c r="EI6203"/>
      <c r="EJ6203"/>
      <c r="EK6203"/>
    </row>
    <row r="6204" spans="1:141" s="116" customFormat="1">
      <c r="A6204" s="136"/>
      <c r="CM6204" s="111"/>
      <c r="CQ6204" s="111"/>
      <c r="EF6204"/>
      <c r="EG6204"/>
      <c r="EH6204"/>
      <c r="EI6204"/>
      <c r="EJ6204"/>
      <c r="EK6204"/>
    </row>
    <row r="6205" spans="1:141" s="116" customFormat="1">
      <c r="A6205" s="136"/>
      <c r="CM6205" s="111"/>
      <c r="CQ6205" s="111"/>
      <c r="EF6205"/>
      <c r="EG6205"/>
      <c r="EH6205"/>
      <c r="EI6205"/>
      <c r="EJ6205"/>
      <c r="EK6205"/>
    </row>
    <row r="6206" spans="1:141" s="116" customFormat="1">
      <c r="A6206" s="136"/>
      <c r="CM6206" s="111"/>
      <c r="CQ6206" s="111"/>
      <c r="EF6206"/>
      <c r="EG6206"/>
      <c r="EH6206"/>
      <c r="EI6206"/>
      <c r="EJ6206"/>
      <c r="EK6206"/>
    </row>
    <row r="6207" spans="1:141" s="116" customFormat="1">
      <c r="A6207" s="136"/>
      <c r="CM6207" s="111"/>
      <c r="CQ6207" s="111"/>
      <c r="EF6207"/>
      <c r="EG6207"/>
      <c r="EH6207"/>
      <c r="EI6207"/>
      <c r="EJ6207"/>
      <c r="EK6207"/>
    </row>
    <row r="6208" spans="1:141" s="116" customFormat="1">
      <c r="A6208" s="136"/>
      <c r="CM6208" s="111"/>
      <c r="CQ6208" s="111"/>
      <c r="EF6208"/>
      <c r="EG6208"/>
      <c r="EH6208"/>
      <c r="EI6208"/>
      <c r="EJ6208"/>
      <c r="EK6208"/>
    </row>
    <row r="6209" spans="1:141" s="116" customFormat="1">
      <c r="A6209" s="136"/>
      <c r="CM6209" s="111"/>
      <c r="CQ6209" s="111"/>
      <c r="EF6209"/>
      <c r="EG6209"/>
      <c r="EH6209"/>
      <c r="EI6209"/>
      <c r="EJ6209"/>
      <c r="EK6209"/>
    </row>
    <row r="6210" spans="1:141" s="116" customFormat="1">
      <c r="A6210" s="136"/>
      <c r="CM6210" s="111"/>
      <c r="CQ6210" s="111"/>
      <c r="EF6210"/>
      <c r="EG6210"/>
      <c r="EH6210"/>
      <c r="EI6210"/>
      <c r="EJ6210"/>
      <c r="EK6210"/>
    </row>
    <row r="6211" spans="1:141" s="116" customFormat="1">
      <c r="A6211" s="136"/>
      <c r="CM6211" s="111"/>
      <c r="CQ6211" s="111"/>
      <c r="EF6211"/>
      <c r="EG6211"/>
      <c r="EH6211"/>
      <c r="EI6211"/>
      <c r="EJ6211"/>
      <c r="EK6211"/>
    </row>
    <row r="6212" spans="1:141" s="116" customFormat="1">
      <c r="A6212" s="136"/>
      <c r="CM6212" s="111"/>
      <c r="CQ6212" s="111"/>
      <c r="EF6212"/>
      <c r="EG6212"/>
      <c r="EH6212"/>
      <c r="EI6212"/>
      <c r="EJ6212"/>
      <c r="EK6212"/>
    </row>
    <row r="6213" spans="1:141" s="116" customFormat="1">
      <c r="A6213" s="136"/>
      <c r="CM6213" s="111"/>
      <c r="CQ6213" s="111"/>
      <c r="EF6213"/>
      <c r="EG6213"/>
      <c r="EH6213"/>
      <c r="EI6213"/>
      <c r="EJ6213"/>
      <c r="EK6213"/>
    </row>
    <row r="6214" spans="1:141" s="116" customFormat="1">
      <c r="A6214" s="136"/>
      <c r="CM6214" s="111"/>
      <c r="CQ6214" s="111"/>
      <c r="EF6214"/>
      <c r="EG6214"/>
      <c r="EH6214"/>
      <c r="EI6214"/>
      <c r="EJ6214"/>
      <c r="EK6214"/>
    </row>
    <row r="6215" spans="1:141" s="116" customFormat="1">
      <c r="A6215" s="136"/>
      <c r="CM6215" s="111"/>
      <c r="CQ6215" s="111"/>
      <c r="EF6215"/>
      <c r="EG6215"/>
      <c r="EH6215"/>
      <c r="EI6215"/>
      <c r="EJ6215"/>
      <c r="EK6215"/>
    </row>
    <row r="6216" spans="1:141" s="116" customFormat="1">
      <c r="A6216" s="136"/>
      <c r="CM6216" s="111"/>
      <c r="CQ6216" s="111"/>
      <c r="EF6216"/>
      <c r="EG6216"/>
      <c r="EH6216"/>
      <c r="EI6216"/>
      <c r="EJ6216"/>
      <c r="EK6216"/>
    </row>
    <row r="6217" spans="1:141" s="116" customFormat="1">
      <c r="A6217" s="136"/>
      <c r="CM6217" s="111"/>
      <c r="CQ6217" s="111"/>
      <c r="EF6217"/>
      <c r="EG6217"/>
      <c r="EH6217"/>
      <c r="EI6217"/>
      <c r="EJ6217"/>
      <c r="EK6217"/>
    </row>
    <row r="6218" spans="1:141" s="116" customFormat="1">
      <c r="A6218" s="136"/>
      <c r="CM6218" s="111"/>
      <c r="CQ6218" s="111"/>
      <c r="EF6218"/>
      <c r="EG6218"/>
      <c r="EH6218"/>
      <c r="EI6218"/>
      <c r="EJ6218"/>
      <c r="EK6218"/>
    </row>
    <row r="6219" spans="1:141" s="116" customFormat="1">
      <c r="A6219" s="136"/>
      <c r="CM6219" s="111"/>
      <c r="CQ6219" s="111"/>
      <c r="EF6219"/>
      <c r="EG6219"/>
      <c r="EH6219"/>
      <c r="EI6219"/>
      <c r="EJ6219"/>
      <c r="EK6219"/>
    </row>
    <row r="6220" spans="1:141" s="116" customFormat="1">
      <c r="A6220" s="136"/>
      <c r="CM6220" s="111"/>
      <c r="CQ6220" s="111"/>
      <c r="EF6220"/>
      <c r="EG6220"/>
      <c r="EH6220"/>
      <c r="EI6220"/>
      <c r="EJ6220"/>
      <c r="EK6220"/>
    </row>
    <row r="6221" spans="1:141" s="116" customFormat="1">
      <c r="A6221" s="136"/>
      <c r="CM6221" s="111"/>
      <c r="CQ6221" s="111"/>
      <c r="EF6221"/>
      <c r="EG6221"/>
      <c r="EH6221"/>
      <c r="EI6221"/>
      <c r="EJ6221"/>
      <c r="EK6221"/>
    </row>
    <row r="6222" spans="1:141" s="116" customFormat="1">
      <c r="A6222" s="136"/>
      <c r="CM6222" s="111"/>
      <c r="CQ6222" s="111"/>
      <c r="EF6222"/>
      <c r="EG6222"/>
      <c r="EH6222"/>
      <c r="EI6222"/>
      <c r="EJ6222"/>
      <c r="EK6222"/>
    </row>
    <row r="6223" spans="1:141" s="116" customFormat="1">
      <c r="A6223" s="136"/>
      <c r="CM6223" s="111"/>
      <c r="CQ6223" s="111"/>
      <c r="EF6223"/>
      <c r="EG6223"/>
      <c r="EH6223"/>
      <c r="EI6223"/>
      <c r="EJ6223"/>
      <c r="EK6223"/>
    </row>
    <row r="6224" spans="1:141" s="116" customFormat="1">
      <c r="A6224" s="136"/>
      <c r="CM6224" s="111"/>
      <c r="CQ6224" s="111"/>
      <c r="EF6224"/>
      <c r="EG6224"/>
      <c r="EH6224"/>
      <c r="EI6224"/>
      <c r="EJ6224"/>
      <c r="EK6224"/>
    </row>
    <row r="6225" spans="1:141" s="116" customFormat="1">
      <c r="A6225" s="136"/>
      <c r="CM6225" s="111"/>
      <c r="CQ6225" s="111"/>
      <c r="EF6225"/>
      <c r="EG6225"/>
      <c r="EH6225"/>
      <c r="EI6225"/>
      <c r="EJ6225"/>
      <c r="EK6225"/>
    </row>
    <row r="6226" spans="1:141" s="116" customFormat="1">
      <c r="A6226" s="136"/>
      <c r="CM6226" s="111"/>
      <c r="CQ6226" s="111"/>
      <c r="EF6226"/>
      <c r="EG6226"/>
      <c r="EH6226"/>
      <c r="EI6226"/>
      <c r="EJ6226"/>
      <c r="EK6226"/>
    </row>
    <row r="6227" spans="1:141" s="116" customFormat="1">
      <c r="A6227" s="136"/>
      <c r="CM6227" s="111"/>
      <c r="CQ6227" s="111"/>
      <c r="EF6227"/>
      <c r="EG6227"/>
      <c r="EH6227"/>
      <c r="EI6227"/>
      <c r="EJ6227"/>
      <c r="EK6227"/>
    </row>
    <row r="6228" spans="1:141" s="116" customFormat="1">
      <c r="A6228" s="136"/>
      <c r="CM6228" s="111"/>
      <c r="CQ6228" s="111"/>
      <c r="EF6228"/>
      <c r="EG6228"/>
      <c r="EH6228"/>
      <c r="EI6228"/>
      <c r="EJ6228"/>
      <c r="EK6228"/>
    </row>
    <row r="6229" spans="1:141" s="116" customFormat="1">
      <c r="A6229" s="136"/>
      <c r="CM6229" s="111"/>
      <c r="CQ6229" s="111"/>
      <c r="EF6229"/>
      <c r="EG6229"/>
      <c r="EH6229"/>
      <c r="EI6229"/>
      <c r="EJ6229"/>
      <c r="EK6229"/>
    </row>
    <row r="6230" spans="1:141" s="116" customFormat="1">
      <c r="A6230" s="136"/>
      <c r="CM6230" s="111"/>
      <c r="CQ6230" s="111"/>
      <c r="EF6230"/>
      <c r="EG6230"/>
      <c r="EH6230"/>
      <c r="EI6230"/>
      <c r="EJ6230"/>
      <c r="EK6230"/>
    </row>
    <row r="6231" spans="1:141" s="116" customFormat="1">
      <c r="A6231" s="136"/>
      <c r="CM6231" s="111"/>
      <c r="CQ6231" s="111"/>
      <c r="EF6231"/>
      <c r="EG6231"/>
      <c r="EH6231"/>
      <c r="EI6231"/>
      <c r="EJ6231"/>
      <c r="EK6231"/>
    </row>
    <row r="6232" spans="1:141" s="116" customFormat="1">
      <c r="A6232" s="136"/>
      <c r="CM6232" s="111"/>
      <c r="CQ6232" s="111"/>
      <c r="EF6232"/>
      <c r="EG6232"/>
      <c r="EH6232"/>
      <c r="EI6232"/>
      <c r="EJ6232"/>
      <c r="EK6232"/>
    </row>
    <row r="6233" spans="1:141" s="116" customFormat="1">
      <c r="A6233" s="136"/>
      <c r="CM6233" s="111"/>
      <c r="CQ6233" s="111"/>
      <c r="EF6233"/>
      <c r="EG6233"/>
      <c r="EH6233"/>
      <c r="EI6233"/>
      <c r="EJ6233"/>
      <c r="EK6233"/>
    </row>
    <row r="6234" spans="1:141" s="116" customFormat="1">
      <c r="A6234" s="136"/>
      <c r="CM6234" s="111"/>
      <c r="CQ6234" s="111"/>
      <c r="EF6234"/>
      <c r="EG6234"/>
      <c r="EH6234"/>
      <c r="EI6234"/>
      <c r="EJ6234"/>
      <c r="EK6234"/>
    </row>
    <row r="6235" spans="1:141" s="116" customFormat="1">
      <c r="A6235" s="136"/>
      <c r="CM6235" s="111"/>
      <c r="CQ6235" s="111"/>
      <c r="EF6235"/>
      <c r="EG6235"/>
      <c r="EH6235"/>
      <c r="EI6235"/>
      <c r="EJ6235"/>
      <c r="EK6235"/>
    </row>
    <row r="6236" spans="1:141" s="116" customFormat="1">
      <c r="A6236" s="136"/>
      <c r="CM6236" s="111"/>
      <c r="CQ6236" s="111"/>
      <c r="EF6236"/>
      <c r="EG6236"/>
      <c r="EH6236"/>
      <c r="EI6236"/>
      <c r="EJ6236"/>
      <c r="EK6236"/>
    </row>
    <row r="6237" spans="1:141" s="116" customFormat="1">
      <c r="A6237" s="136"/>
      <c r="CM6237" s="111"/>
      <c r="CQ6237" s="111"/>
      <c r="EF6237"/>
      <c r="EG6237"/>
      <c r="EH6237"/>
      <c r="EI6237"/>
      <c r="EJ6237"/>
      <c r="EK6237"/>
    </row>
    <row r="6238" spans="1:141" s="116" customFormat="1">
      <c r="A6238" s="136"/>
      <c r="CM6238" s="111"/>
      <c r="CQ6238" s="111"/>
      <c r="EF6238"/>
      <c r="EG6238"/>
      <c r="EH6238"/>
      <c r="EI6238"/>
      <c r="EJ6238"/>
      <c r="EK6238"/>
    </row>
    <row r="6239" spans="1:141" s="116" customFormat="1">
      <c r="A6239" s="136"/>
      <c r="CM6239" s="111"/>
      <c r="CQ6239" s="111"/>
      <c r="EF6239"/>
      <c r="EG6239"/>
      <c r="EH6239"/>
      <c r="EI6239"/>
      <c r="EJ6239"/>
      <c r="EK6239"/>
    </row>
    <row r="6240" spans="1:141" s="116" customFormat="1">
      <c r="A6240" s="136"/>
      <c r="CM6240" s="111"/>
      <c r="CQ6240" s="111"/>
      <c r="EF6240"/>
      <c r="EG6240"/>
      <c r="EH6240"/>
      <c r="EI6240"/>
      <c r="EJ6240"/>
      <c r="EK6240"/>
    </row>
    <row r="6241" spans="1:141" s="116" customFormat="1">
      <c r="A6241" s="136"/>
      <c r="CM6241" s="111"/>
      <c r="CQ6241" s="111"/>
      <c r="EF6241"/>
      <c r="EG6241"/>
      <c r="EH6241"/>
      <c r="EI6241"/>
      <c r="EJ6241"/>
      <c r="EK6241"/>
    </row>
    <row r="6242" spans="1:141" s="116" customFormat="1">
      <c r="A6242" s="136"/>
      <c r="CM6242" s="111"/>
      <c r="CQ6242" s="111"/>
      <c r="EF6242"/>
      <c r="EG6242"/>
      <c r="EH6242"/>
      <c r="EI6242"/>
      <c r="EJ6242"/>
      <c r="EK6242"/>
    </row>
    <row r="6243" spans="1:141" s="116" customFormat="1">
      <c r="A6243" s="136"/>
      <c r="CM6243" s="111"/>
      <c r="CQ6243" s="111"/>
      <c r="EF6243"/>
      <c r="EG6243"/>
      <c r="EH6243"/>
      <c r="EI6243"/>
      <c r="EJ6243"/>
      <c r="EK6243"/>
    </row>
    <row r="6244" spans="1:141" s="116" customFormat="1">
      <c r="A6244" s="136"/>
      <c r="CM6244" s="111"/>
      <c r="CQ6244" s="111"/>
      <c r="EF6244"/>
      <c r="EG6244"/>
      <c r="EH6244"/>
      <c r="EI6244"/>
      <c r="EJ6244"/>
      <c r="EK6244"/>
    </row>
    <row r="6245" spans="1:141" s="116" customFormat="1">
      <c r="A6245" s="136"/>
      <c r="CM6245" s="111"/>
      <c r="CQ6245" s="111"/>
      <c r="EF6245"/>
      <c r="EG6245"/>
      <c r="EH6245"/>
      <c r="EI6245"/>
      <c r="EJ6245"/>
      <c r="EK6245"/>
    </row>
    <row r="6246" spans="1:141" s="116" customFormat="1">
      <c r="A6246" s="136"/>
      <c r="CM6246" s="111"/>
      <c r="CQ6246" s="111"/>
      <c r="EF6246"/>
      <c r="EG6246"/>
      <c r="EH6246"/>
      <c r="EI6246"/>
      <c r="EJ6246"/>
      <c r="EK6246"/>
    </row>
    <row r="6247" spans="1:141" s="116" customFormat="1">
      <c r="A6247" s="136"/>
      <c r="CM6247" s="111"/>
      <c r="CQ6247" s="111"/>
      <c r="EF6247"/>
      <c r="EG6247"/>
      <c r="EH6247"/>
      <c r="EI6247"/>
      <c r="EJ6247"/>
      <c r="EK6247"/>
    </row>
    <row r="6248" spans="1:141" s="116" customFormat="1">
      <c r="A6248" s="136"/>
      <c r="CM6248" s="111"/>
      <c r="CQ6248" s="111"/>
      <c r="EF6248"/>
      <c r="EG6248"/>
      <c r="EH6248"/>
      <c r="EI6248"/>
      <c r="EJ6248"/>
      <c r="EK6248"/>
    </row>
    <row r="6249" spans="1:141" s="116" customFormat="1">
      <c r="A6249" s="136"/>
      <c r="CM6249" s="111"/>
      <c r="CQ6249" s="111"/>
      <c r="EF6249"/>
      <c r="EG6249"/>
      <c r="EH6249"/>
      <c r="EI6249"/>
      <c r="EJ6249"/>
      <c r="EK6249"/>
    </row>
    <row r="6250" spans="1:141" s="116" customFormat="1">
      <c r="A6250" s="136"/>
      <c r="CM6250" s="111"/>
      <c r="CQ6250" s="111"/>
      <c r="EF6250"/>
      <c r="EG6250"/>
      <c r="EH6250"/>
      <c r="EI6250"/>
      <c r="EJ6250"/>
      <c r="EK6250"/>
    </row>
    <row r="6251" spans="1:141" s="116" customFormat="1">
      <c r="A6251" s="136"/>
      <c r="CM6251" s="111"/>
      <c r="CQ6251" s="111"/>
      <c r="EF6251"/>
      <c r="EG6251"/>
      <c r="EH6251"/>
      <c r="EI6251"/>
      <c r="EJ6251"/>
      <c r="EK6251"/>
    </row>
    <row r="6252" spans="1:141" s="116" customFormat="1">
      <c r="A6252" s="136"/>
      <c r="CM6252" s="111"/>
      <c r="CQ6252" s="111"/>
      <c r="EF6252"/>
      <c r="EG6252"/>
      <c r="EH6252"/>
      <c r="EI6252"/>
      <c r="EJ6252"/>
      <c r="EK6252"/>
    </row>
    <row r="6253" spans="1:141" s="116" customFormat="1">
      <c r="A6253" s="136"/>
      <c r="CM6253" s="111"/>
      <c r="CQ6253" s="111"/>
      <c r="EF6253"/>
      <c r="EG6253"/>
      <c r="EH6253"/>
      <c r="EI6253"/>
      <c r="EJ6253"/>
      <c r="EK6253"/>
    </row>
    <row r="6254" spans="1:141" s="116" customFormat="1">
      <c r="A6254" s="136"/>
      <c r="CM6254" s="111"/>
      <c r="CQ6254" s="111"/>
      <c r="EF6254"/>
      <c r="EG6254"/>
      <c r="EH6254"/>
      <c r="EI6254"/>
      <c r="EJ6254"/>
      <c r="EK6254"/>
    </row>
    <row r="6255" spans="1:141" s="116" customFormat="1">
      <c r="A6255" s="136"/>
      <c r="CM6255" s="111"/>
      <c r="CQ6255" s="111"/>
      <c r="EF6255"/>
      <c r="EG6255"/>
      <c r="EH6255"/>
      <c r="EI6255"/>
      <c r="EJ6255"/>
      <c r="EK6255"/>
    </row>
    <row r="6256" spans="1:141" s="116" customFormat="1">
      <c r="A6256" s="136"/>
      <c r="CM6256" s="111"/>
      <c r="CQ6256" s="111"/>
      <c r="EF6256"/>
      <c r="EG6256"/>
      <c r="EH6256"/>
      <c r="EI6256"/>
      <c r="EJ6256"/>
      <c r="EK6256"/>
    </row>
    <row r="6257" spans="1:141" s="116" customFormat="1">
      <c r="A6257" s="136"/>
      <c r="CM6257" s="111"/>
      <c r="CQ6257" s="111"/>
      <c r="EF6257"/>
      <c r="EG6257"/>
      <c r="EH6257"/>
      <c r="EI6257"/>
      <c r="EJ6257"/>
      <c r="EK6257"/>
    </row>
    <row r="6258" spans="1:141" s="116" customFormat="1">
      <c r="A6258" s="136"/>
      <c r="CM6258" s="111"/>
      <c r="CQ6258" s="111"/>
      <c r="EF6258"/>
      <c r="EG6258"/>
      <c r="EH6258"/>
      <c r="EI6258"/>
      <c r="EJ6258"/>
      <c r="EK6258"/>
    </row>
    <row r="6259" spans="1:141" s="116" customFormat="1">
      <c r="A6259" s="136"/>
      <c r="CM6259" s="111"/>
      <c r="CQ6259" s="111"/>
      <c r="EF6259"/>
      <c r="EG6259"/>
      <c r="EH6259"/>
      <c r="EI6259"/>
      <c r="EJ6259"/>
      <c r="EK6259"/>
    </row>
    <row r="6260" spans="1:141" s="116" customFormat="1">
      <c r="A6260" s="136"/>
      <c r="CM6260" s="111"/>
      <c r="CQ6260" s="111"/>
      <c r="EF6260"/>
      <c r="EG6260"/>
      <c r="EH6260"/>
      <c r="EI6260"/>
      <c r="EJ6260"/>
      <c r="EK6260"/>
    </row>
    <row r="6261" spans="1:141" s="116" customFormat="1">
      <c r="A6261" s="136"/>
      <c r="CM6261" s="111"/>
      <c r="CQ6261" s="111"/>
      <c r="EF6261"/>
      <c r="EG6261"/>
      <c r="EH6261"/>
      <c r="EI6261"/>
      <c r="EJ6261"/>
      <c r="EK6261"/>
    </row>
    <row r="6262" spans="1:141" s="116" customFormat="1">
      <c r="A6262" s="136"/>
      <c r="CM6262" s="111"/>
      <c r="CQ6262" s="111"/>
      <c r="EF6262"/>
      <c r="EG6262"/>
      <c r="EH6262"/>
      <c r="EI6262"/>
      <c r="EJ6262"/>
      <c r="EK6262"/>
    </row>
    <row r="6263" spans="1:141" s="116" customFormat="1">
      <c r="A6263" s="136"/>
      <c r="CM6263" s="111"/>
      <c r="CQ6263" s="111"/>
      <c r="EF6263"/>
      <c r="EG6263"/>
      <c r="EH6263"/>
      <c r="EI6263"/>
      <c r="EJ6263"/>
      <c r="EK6263"/>
    </row>
    <row r="6264" spans="1:141" s="116" customFormat="1">
      <c r="A6264" s="136"/>
      <c r="CM6264" s="111"/>
      <c r="CQ6264" s="111"/>
      <c r="EF6264"/>
      <c r="EG6264"/>
      <c r="EH6264"/>
      <c r="EI6264"/>
      <c r="EJ6264"/>
      <c r="EK6264"/>
    </row>
    <row r="6265" spans="1:141" s="116" customFormat="1">
      <c r="A6265" s="136"/>
      <c r="CM6265" s="111"/>
      <c r="CQ6265" s="111"/>
      <c r="EF6265"/>
      <c r="EG6265"/>
      <c r="EH6265"/>
      <c r="EI6265"/>
      <c r="EJ6265"/>
      <c r="EK6265"/>
    </row>
    <row r="6266" spans="1:141" s="116" customFormat="1">
      <c r="A6266" s="136"/>
      <c r="CM6266" s="111"/>
      <c r="CQ6266" s="111"/>
      <c r="EF6266"/>
      <c r="EG6266"/>
      <c r="EH6266"/>
      <c r="EI6266"/>
      <c r="EJ6266"/>
      <c r="EK6266"/>
    </row>
    <row r="6267" spans="1:141" s="116" customFormat="1">
      <c r="A6267" s="136"/>
      <c r="CM6267" s="111"/>
      <c r="CQ6267" s="111"/>
      <c r="EF6267"/>
      <c r="EG6267"/>
      <c r="EH6267"/>
      <c r="EI6267"/>
      <c r="EJ6267"/>
      <c r="EK6267"/>
    </row>
    <row r="6268" spans="1:141" s="116" customFormat="1">
      <c r="A6268" s="136"/>
      <c r="CM6268" s="111"/>
      <c r="CQ6268" s="111"/>
      <c r="EF6268"/>
      <c r="EG6268"/>
      <c r="EH6268"/>
      <c r="EI6268"/>
      <c r="EJ6268"/>
      <c r="EK6268"/>
    </row>
    <row r="6269" spans="1:141" s="116" customFormat="1">
      <c r="A6269" s="136"/>
      <c r="CM6269" s="111"/>
      <c r="CQ6269" s="111"/>
      <c r="EF6269"/>
      <c r="EG6269"/>
      <c r="EH6269"/>
      <c r="EI6269"/>
      <c r="EJ6269"/>
      <c r="EK6269"/>
    </row>
    <row r="6270" spans="1:141" s="116" customFormat="1">
      <c r="A6270" s="136"/>
      <c r="CM6270" s="111"/>
      <c r="CQ6270" s="111"/>
      <c r="EF6270"/>
      <c r="EG6270"/>
      <c r="EH6270"/>
      <c r="EI6270"/>
      <c r="EJ6270"/>
      <c r="EK6270"/>
    </row>
    <row r="6271" spans="1:141" s="116" customFormat="1">
      <c r="A6271" s="136"/>
      <c r="CM6271" s="111"/>
      <c r="CQ6271" s="111"/>
      <c r="EF6271"/>
      <c r="EG6271"/>
      <c r="EH6271"/>
      <c r="EI6271"/>
      <c r="EJ6271"/>
      <c r="EK6271"/>
    </row>
    <row r="6272" spans="1:141" s="116" customFormat="1">
      <c r="A6272" s="136"/>
      <c r="CM6272" s="111"/>
      <c r="CQ6272" s="111"/>
      <c r="EF6272"/>
      <c r="EG6272"/>
      <c r="EH6272"/>
      <c r="EI6272"/>
      <c r="EJ6272"/>
      <c r="EK6272"/>
    </row>
    <row r="6273" spans="1:141" s="116" customFormat="1">
      <c r="A6273" s="136"/>
      <c r="CM6273" s="111"/>
      <c r="CQ6273" s="111"/>
      <c r="EF6273"/>
      <c r="EG6273"/>
      <c r="EH6273"/>
      <c r="EI6273"/>
      <c r="EJ6273"/>
      <c r="EK6273"/>
    </row>
    <row r="6274" spans="1:141" s="116" customFormat="1">
      <c r="A6274" s="136"/>
      <c r="CM6274" s="111"/>
      <c r="CQ6274" s="111"/>
      <c r="EF6274"/>
      <c r="EG6274"/>
      <c r="EH6274"/>
      <c r="EI6274"/>
      <c r="EJ6274"/>
      <c r="EK6274"/>
    </row>
    <row r="6275" spans="1:141" s="116" customFormat="1">
      <c r="A6275" s="136"/>
      <c r="CM6275" s="111"/>
      <c r="CQ6275" s="111"/>
      <c r="EF6275"/>
      <c r="EG6275"/>
      <c r="EH6275"/>
      <c r="EI6275"/>
      <c r="EJ6275"/>
      <c r="EK6275"/>
    </row>
    <row r="6276" spans="1:141" s="116" customFormat="1">
      <c r="A6276" s="136"/>
      <c r="CM6276" s="111"/>
      <c r="CQ6276" s="111"/>
      <c r="EF6276"/>
      <c r="EG6276"/>
      <c r="EH6276"/>
      <c r="EI6276"/>
      <c r="EJ6276"/>
      <c r="EK6276"/>
    </row>
    <row r="6277" spans="1:141" s="116" customFormat="1">
      <c r="A6277" s="136"/>
      <c r="CM6277" s="111"/>
      <c r="CQ6277" s="111"/>
      <c r="EF6277"/>
      <c r="EG6277"/>
      <c r="EH6277"/>
      <c r="EI6277"/>
      <c r="EJ6277"/>
      <c r="EK6277"/>
    </row>
    <row r="6278" spans="1:141" s="116" customFormat="1">
      <c r="A6278" s="136"/>
      <c r="CM6278" s="111"/>
      <c r="CQ6278" s="111"/>
      <c r="EF6278"/>
      <c r="EG6278"/>
      <c r="EH6278"/>
      <c r="EI6278"/>
      <c r="EJ6278"/>
      <c r="EK6278"/>
    </row>
    <row r="6279" spans="1:141" s="116" customFormat="1">
      <c r="A6279" s="136"/>
      <c r="CM6279" s="111"/>
      <c r="CQ6279" s="111"/>
      <c r="EF6279"/>
      <c r="EG6279"/>
      <c r="EH6279"/>
      <c r="EI6279"/>
      <c r="EJ6279"/>
      <c r="EK6279"/>
    </row>
    <row r="6280" spans="1:141" s="116" customFormat="1">
      <c r="A6280" s="136"/>
      <c r="CM6280" s="111"/>
      <c r="CQ6280" s="111"/>
      <c r="EF6280"/>
      <c r="EG6280"/>
      <c r="EH6280"/>
      <c r="EI6280"/>
      <c r="EJ6280"/>
      <c r="EK6280"/>
    </row>
    <row r="6281" spans="1:141" s="116" customFormat="1">
      <c r="A6281" s="136"/>
      <c r="CM6281" s="111"/>
      <c r="CQ6281" s="111"/>
      <c r="EF6281"/>
      <c r="EG6281"/>
      <c r="EH6281"/>
      <c r="EI6281"/>
      <c r="EJ6281"/>
      <c r="EK6281"/>
    </row>
    <row r="6282" spans="1:141" s="116" customFormat="1">
      <c r="A6282" s="136"/>
      <c r="CM6282" s="111"/>
      <c r="CQ6282" s="111"/>
      <c r="EF6282"/>
      <c r="EG6282"/>
      <c r="EH6282"/>
      <c r="EI6282"/>
      <c r="EJ6282"/>
      <c r="EK6282"/>
    </row>
    <row r="6283" spans="1:141" s="116" customFormat="1">
      <c r="A6283" s="136"/>
      <c r="CM6283" s="111"/>
      <c r="CQ6283" s="111"/>
      <c r="EF6283"/>
      <c r="EG6283"/>
      <c r="EH6283"/>
      <c r="EI6283"/>
      <c r="EJ6283"/>
      <c r="EK6283"/>
    </row>
    <row r="6284" spans="1:141" s="116" customFormat="1">
      <c r="A6284" s="136"/>
      <c r="CM6284" s="111"/>
      <c r="CQ6284" s="111"/>
      <c r="EF6284"/>
      <c r="EG6284"/>
      <c r="EH6284"/>
      <c r="EI6284"/>
      <c r="EJ6284"/>
      <c r="EK6284"/>
    </row>
    <row r="6285" spans="1:141" s="116" customFormat="1">
      <c r="A6285" s="136"/>
      <c r="CM6285" s="111"/>
      <c r="CQ6285" s="111"/>
      <c r="EF6285"/>
      <c r="EG6285"/>
      <c r="EH6285"/>
      <c r="EI6285"/>
      <c r="EJ6285"/>
      <c r="EK6285"/>
    </row>
    <row r="6286" spans="1:141" s="116" customFormat="1">
      <c r="A6286" s="136"/>
      <c r="CM6286" s="111"/>
      <c r="CQ6286" s="111"/>
      <c r="EF6286"/>
      <c r="EG6286"/>
      <c r="EH6286"/>
      <c r="EI6286"/>
      <c r="EJ6286"/>
      <c r="EK6286"/>
    </row>
    <row r="6287" spans="1:141" s="116" customFormat="1">
      <c r="A6287" s="136"/>
      <c r="CM6287" s="111"/>
      <c r="CQ6287" s="111"/>
      <c r="EF6287"/>
      <c r="EG6287"/>
      <c r="EH6287"/>
      <c r="EI6287"/>
      <c r="EJ6287"/>
      <c r="EK6287"/>
    </row>
    <row r="6288" spans="1:141" s="116" customFormat="1">
      <c r="A6288" s="136"/>
      <c r="CM6288" s="111"/>
      <c r="CQ6288" s="111"/>
      <c r="EF6288"/>
      <c r="EG6288"/>
      <c r="EH6288"/>
      <c r="EI6288"/>
      <c r="EJ6288"/>
      <c r="EK6288"/>
    </row>
    <row r="6289" spans="1:141" s="116" customFormat="1">
      <c r="A6289" s="136"/>
      <c r="CM6289" s="111"/>
      <c r="CQ6289" s="111"/>
      <c r="EF6289"/>
      <c r="EG6289"/>
      <c r="EH6289"/>
      <c r="EI6289"/>
      <c r="EJ6289"/>
      <c r="EK6289"/>
    </row>
    <row r="6290" spans="1:141" s="116" customFormat="1">
      <c r="A6290" s="136"/>
      <c r="CM6290" s="111"/>
      <c r="CQ6290" s="111"/>
      <c r="EF6290"/>
      <c r="EG6290"/>
      <c r="EH6290"/>
      <c r="EI6290"/>
      <c r="EJ6290"/>
      <c r="EK6290"/>
    </row>
    <row r="6291" spans="1:141" s="116" customFormat="1">
      <c r="A6291" s="136"/>
      <c r="CM6291" s="111"/>
      <c r="CQ6291" s="111"/>
      <c r="EF6291"/>
      <c r="EG6291"/>
      <c r="EH6291"/>
      <c r="EI6291"/>
      <c r="EJ6291"/>
      <c r="EK6291"/>
    </row>
    <row r="6292" spans="1:141" s="116" customFormat="1">
      <c r="A6292" s="136"/>
      <c r="CM6292" s="111"/>
      <c r="CQ6292" s="111"/>
      <c r="EF6292"/>
      <c r="EG6292"/>
      <c r="EH6292"/>
      <c r="EI6292"/>
      <c r="EJ6292"/>
      <c r="EK6292"/>
    </row>
    <row r="6293" spans="1:141" s="116" customFormat="1">
      <c r="A6293" s="136"/>
      <c r="CM6293" s="111"/>
      <c r="CQ6293" s="111"/>
      <c r="EF6293"/>
      <c r="EG6293"/>
      <c r="EH6293"/>
      <c r="EI6293"/>
      <c r="EJ6293"/>
      <c r="EK6293"/>
    </row>
    <row r="6294" spans="1:141" s="116" customFormat="1">
      <c r="A6294" s="136"/>
      <c r="CM6294" s="111"/>
      <c r="CQ6294" s="111"/>
      <c r="EF6294"/>
      <c r="EG6294"/>
      <c r="EH6294"/>
      <c r="EI6294"/>
      <c r="EJ6294"/>
      <c r="EK6294"/>
    </row>
    <row r="6295" spans="1:141" s="116" customFormat="1">
      <c r="A6295" s="136"/>
      <c r="CM6295" s="111"/>
      <c r="CQ6295" s="111"/>
      <c r="EF6295"/>
      <c r="EG6295"/>
      <c r="EH6295"/>
      <c r="EI6295"/>
      <c r="EJ6295"/>
      <c r="EK6295"/>
    </row>
    <row r="6296" spans="1:141" s="116" customFormat="1">
      <c r="A6296" s="136"/>
      <c r="CM6296" s="111"/>
      <c r="CQ6296" s="111"/>
      <c r="EF6296"/>
      <c r="EG6296"/>
      <c r="EH6296"/>
      <c r="EI6296"/>
      <c r="EJ6296"/>
      <c r="EK6296"/>
    </row>
    <row r="6297" spans="1:141" s="116" customFormat="1">
      <c r="A6297" s="136"/>
      <c r="CM6297" s="111"/>
      <c r="CQ6297" s="111"/>
      <c r="EF6297"/>
      <c r="EG6297"/>
      <c r="EH6297"/>
      <c r="EI6297"/>
      <c r="EJ6297"/>
      <c r="EK6297"/>
    </row>
    <row r="6298" spans="1:141" s="116" customFormat="1">
      <c r="A6298" s="136"/>
      <c r="CM6298" s="111"/>
      <c r="CQ6298" s="111"/>
      <c r="EF6298"/>
      <c r="EG6298"/>
      <c r="EH6298"/>
      <c r="EI6298"/>
      <c r="EJ6298"/>
      <c r="EK6298"/>
    </row>
    <row r="6299" spans="1:141" s="116" customFormat="1">
      <c r="A6299" s="136"/>
      <c r="CM6299" s="111"/>
      <c r="CQ6299" s="111"/>
      <c r="EF6299"/>
      <c r="EG6299"/>
      <c r="EH6299"/>
      <c r="EI6299"/>
      <c r="EJ6299"/>
      <c r="EK6299"/>
    </row>
    <row r="6300" spans="1:141" s="116" customFormat="1">
      <c r="A6300" s="136"/>
      <c r="CM6300" s="111"/>
      <c r="CQ6300" s="111"/>
      <c r="EF6300"/>
      <c r="EG6300"/>
      <c r="EH6300"/>
      <c r="EI6300"/>
      <c r="EJ6300"/>
      <c r="EK6300"/>
    </row>
    <row r="6301" spans="1:141" s="116" customFormat="1">
      <c r="A6301" s="136"/>
      <c r="CM6301" s="111"/>
      <c r="CQ6301" s="111"/>
      <c r="EF6301"/>
      <c r="EG6301"/>
      <c r="EH6301"/>
      <c r="EI6301"/>
      <c r="EJ6301"/>
      <c r="EK6301"/>
    </row>
    <row r="6302" spans="1:141" s="116" customFormat="1">
      <c r="A6302" s="136"/>
      <c r="CM6302" s="111"/>
      <c r="CQ6302" s="111"/>
      <c r="EF6302"/>
      <c r="EG6302"/>
      <c r="EH6302"/>
      <c r="EI6302"/>
      <c r="EJ6302"/>
      <c r="EK6302"/>
    </row>
    <row r="6303" spans="1:141" s="116" customFormat="1">
      <c r="A6303" s="136"/>
      <c r="CM6303" s="111"/>
      <c r="CQ6303" s="111"/>
      <c r="EF6303"/>
      <c r="EG6303"/>
      <c r="EH6303"/>
      <c r="EI6303"/>
      <c r="EJ6303"/>
      <c r="EK6303"/>
    </row>
    <row r="6304" spans="1:141" s="116" customFormat="1">
      <c r="A6304" s="136"/>
      <c r="CM6304" s="111"/>
      <c r="CQ6304" s="111"/>
      <c r="EF6304"/>
      <c r="EG6304"/>
      <c r="EH6304"/>
      <c r="EI6304"/>
      <c r="EJ6304"/>
      <c r="EK6304"/>
    </row>
    <row r="6305" spans="1:141" s="116" customFormat="1">
      <c r="A6305" s="136"/>
      <c r="CM6305" s="111"/>
      <c r="CQ6305" s="111"/>
      <c r="EF6305"/>
      <c r="EG6305"/>
      <c r="EH6305"/>
      <c r="EI6305"/>
      <c r="EJ6305"/>
      <c r="EK6305"/>
    </row>
    <row r="6306" spans="1:141" s="116" customFormat="1">
      <c r="A6306" s="136"/>
      <c r="CM6306" s="111"/>
      <c r="CQ6306" s="111"/>
      <c r="EF6306"/>
      <c r="EG6306"/>
      <c r="EH6306"/>
      <c r="EI6306"/>
      <c r="EJ6306"/>
      <c r="EK6306"/>
    </row>
    <row r="6307" spans="1:141" s="116" customFormat="1">
      <c r="A6307" s="136"/>
      <c r="CM6307" s="111"/>
      <c r="CQ6307" s="111"/>
      <c r="EF6307"/>
      <c r="EG6307"/>
      <c r="EH6307"/>
      <c r="EI6307"/>
      <c r="EJ6307"/>
      <c r="EK6307"/>
    </row>
    <row r="6308" spans="1:141" s="116" customFormat="1">
      <c r="A6308" s="136"/>
      <c r="CM6308" s="111"/>
      <c r="CQ6308" s="111"/>
      <c r="EF6308"/>
      <c r="EG6308"/>
      <c r="EH6308"/>
      <c r="EI6308"/>
      <c r="EJ6308"/>
      <c r="EK6308"/>
    </row>
    <row r="6309" spans="1:141" s="116" customFormat="1">
      <c r="A6309" s="136"/>
      <c r="CM6309" s="111"/>
      <c r="CQ6309" s="111"/>
      <c r="EF6309"/>
      <c r="EG6309"/>
      <c r="EH6309"/>
      <c r="EI6309"/>
      <c r="EJ6309"/>
      <c r="EK6309"/>
    </row>
    <row r="6310" spans="1:141" s="116" customFormat="1">
      <c r="A6310" s="136"/>
      <c r="CM6310" s="111"/>
      <c r="CQ6310" s="111"/>
      <c r="EF6310"/>
      <c r="EG6310"/>
      <c r="EH6310"/>
      <c r="EI6310"/>
      <c r="EJ6310"/>
      <c r="EK6310"/>
    </row>
    <row r="6311" spans="1:141" s="116" customFormat="1">
      <c r="A6311" s="136"/>
      <c r="CM6311" s="111"/>
      <c r="CQ6311" s="111"/>
      <c r="EF6311"/>
      <c r="EG6311"/>
      <c r="EH6311"/>
      <c r="EI6311"/>
      <c r="EJ6311"/>
      <c r="EK6311"/>
    </row>
    <row r="6312" spans="1:141" s="116" customFormat="1">
      <c r="A6312" s="136"/>
      <c r="CM6312" s="111"/>
      <c r="CQ6312" s="111"/>
      <c r="EF6312"/>
      <c r="EG6312"/>
      <c r="EH6312"/>
      <c r="EI6312"/>
      <c r="EJ6312"/>
      <c r="EK6312"/>
    </row>
    <row r="6313" spans="1:141" s="116" customFormat="1">
      <c r="A6313" s="136"/>
      <c r="CM6313" s="111"/>
      <c r="CQ6313" s="111"/>
      <c r="EF6313"/>
      <c r="EG6313"/>
      <c r="EH6313"/>
      <c r="EI6313"/>
      <c r="EJ6313"/>
      <c r="EK6313"/>
    </row>
    <row r="6314" spans="1:141" s="116" customFormat="1">
      <c r="A6314" s="136"/>
      <c r="CM6314" s="111"/>
      <c r="CQ6314" s="111"/>
      <c r="EF6314"/>
      <c r="EG6314"/>
      <c r="EH6314"/>
      <c r="EI6314"/>
      <c r="EJ6314"/>
      <c r="EK6314"/>
    </row>
    <row r="6315" spans="1:141" s="116" customFormat="1">
      <c r="A6315" s="136"/>
      <c r="CM6315" s="111"/>
      <c r="CQ6315" s="111"/>
      <c r="EF6315"/>
      <c r="EG6315"/>
      <c r="EH6315"/>
      <c r="EI6315"/>
      <c r="EJ6315"/>
      <c r="EK6315"/>
    </row>
    <row r="6316" spans="1:141" s="116" customFormat="1">
      <c r="A6316" s="136"/>
      <c r="CM6316" s="111"/>
      <c r="CQ6316" s="111"/>
      <c r="EF6316"/>
      <c r="EG6316"/>
      <c r="EH6316"/>
      <c r="EI6316"/>
      <c r="EJ6316"/>
      <c r="EK6316"/>
    </row>
    <row r="6317" spans="1:141" s="116" customFormat="1">
      <c r="A6317" s="136"/>
      <c r="CM6317" s="111"/>
      <c r="CQ6317" s="111"/>
      <c r="EF6317"/>
      <c r="EG6317"/>
      <c r="EH6317"/>
      <c r="EI6317"/>
      <c r="EJ6317"/>
      <c r="EK6317"/>
    </row>
    <row r="6318" spans="1:141" s="116" customFormat="1">
      <c r="A6318" s="136"/>
      <c r="CM6318" s="111"/>
      <c r="CQ6318" s="111"/>
      <c r="EF6318"/>
      <c r="EG6318"/>
      <c r="EH6318"/>
      <c r="EI6318"/>
      <c r="EJ6318"/>
      <c r="EK6318"/>
    </row>
    <row r="6319" spans="1:141" s="116" customFormat="1">
      <c r="A6319" s="136"/>
      <c r="CM6319" s="111"/>
      <c r="CQ6319" s="111"/>
      <c r="EF6319"/>
      <c r="EG6319"/>
      <c r="EH6319"/>
      <c r="EI6319"/>
      <c r="EJ6319"/>
      <c r="EK6319"/>
    </row>
    <row r="6320" spans="1:141" s="116" customFormat="1">
      <c r="A6320" s="136"/>
      <c r="CM6320" s="111"/>
      <c r="CQ6320" s="111"/>
      <c r="EF6320"/>
      <c r="EG6320"/>
      <c r="EH6320"/>
      <c r="EI6320"/>
      <c r="EJ6320"/>
      <c r="EK6320"/>
    </row>
    <row r="6321" spans="1:141" s="116" customFormat="1">
      <c r="A6321" s="136"/>
      <c r="CM6321" s="111"/>
      <c r="CQ6321" s="111"/>
      <c r="EF6321"/>
      <c r="EG6321"/>
      <c r="EH6321"/>
      <c r="EI6321"/>
      <c r="EJ6321"/>
      <c r="EK6321"/>
    </row>
    <row r="6322" spans="1:141" s="116" customFormat="1">
      <c r="A6322" s="136"/>
      <c r="CM6322" s="111"/>
      <c r="CQ6322" s="111"/>
      <c r="EF6322"/>
      <c r="EG6322"/>
      <c r="EH6322"/>
      <c r="EI6322"/>
      <c r="EJ6322"/>
      <c r="EK6322"/>
    </row>
    <row r="6323" spans="1:141" s="116" customFormat="1">
      <c r="A6323" s="136"/>
      <c r="CM6323" s="111"/>
      <c r="CQ6323" s="111"/>
      <c r="EF6323"/>
      <c r="EG6323"/>
      <c r="EH6323"/>
      <c r="EI6323"/>
      <c r="EJ6323"/>
      <c r="EK6323"/>
    </row>
    <row r="6324" spans="1:141" s="116" customFormat="1">
      <c r="A6324" s="136"/>
      <c r="CM6324" s="111"/>
      <c r="CQ6324" s="111"/>
      <c r="EF6324"/>
      <c r="EG6324"/>
      <c r="EH6324"/>
      <c r="EI6324"/>
      <c r="EJ6324"/>
      <c r="EK6324"/>
    </row>
    <row r="6325" spans="1:141" s="116" customFormat="1">
      <c r="A6325" s="136"/>
      <c r="CM6325" s="111"/>
      <c r="CQ6325" s="111"/>
      <c r="EF6325"/>
      <c r="EG6325"/>
      <c r="EH6325"/>
      <c r="EI6325"/>
      <c r="EJ6325"/>
      <c r="EK6325"/>
    </row>
    <row r="6326" spans="1:141" s="116" customFormat="1">
      <c r="A6326" s="136"/>
      <c r="CM6326" s="111"/>
      <c r="CQ6326" s="111"/>
      <c r="EF6326"/>
      <c r="EG6326"/>
      <c r="EH6326"/>
      <c r="EI6326"/>
      <c r="EJ6326"/>
      <c r="EK6326"/>
    </row>
    <row r="6327" spans="1:141" s="116" customFormat="1">
      <c r="A6327" s="136"/>
      <c r="CM6327" s="111"/>
      <c r="CQ6327" s="111"/>
      <c r="EF6327"/>
      <c r="EG6327"/>
      <c r="EH6327"/>
      <c r="EI6327"/>
      <c r="EJ6327"/>
      <c r="EK6327"/>
    </row>
    <row r="6328" spans="1:141" s="116" customFormat="1">
      <c r="A6328" s="136"/>
      <c r="CM6328" s="111"/>
      <c r="CQ6328" s="111"/>
      <c r="EF6328"/>
      <c r="EG6328"/>
      <c r="EH6328"/>
      <c r="EI6328"/>
      <c r="EJ6328"/>
      <c r="EK6328"/>
    </row>
    <row r="6329" spans="1:141" s="116" customFormat="1">
      <c r="A6329" s="136"/>
      <c r="CM6329" s="111"/>
      <c r="CQ6329" s="111"/>
      <c r="EF6329"/>
      <c r="EG6329"/>
      <c r="EH6329"/>
      <c r="EI6329"/>
      <c r="EJ6329"/>
      <c r="EK6329"/>
    </row>
    <row r="6330" spans="1:141" s="116" customFormat="1">
      <c r="A6330" s="136"/>
      <c r="CM6330" s="111"/>
      <c r="CQ6330" s="111"/>
      <c r="EF6330"/>
      <c r="EG6330"/>
      <c r="EH6330"/>
      <c r="EI6330"/>
      <c r="EJ6330"/>
      <c r="EK6330"/>
    </row>
    <row r="6331" spans="1:141" s="116" customFormat="1">
      <c r="A6331" s="136"/>
      <c r="CM6331" s="111"/>
      <c r="CQ6331" s="111"/>
      <c r="EF6331"/>
      <c r="EG6331"/>
      <c r="EH6331"/>
      <c r="EI6331"/>
      <c r="EJ6331"/>
      <c r="EK6331"/>
    </row>
    <row r="6332" spans="1:141" s="116" customFormat="1">
      <c r="A6332" s="136"/>
      <c r="CM6332" s="111"/>
      <c r="CQ6332" s="111"/>
      <c r="EF6332"/>
      <c r="EG6332"/>
      <c r="EH6332"/>
      <c r="EI6332"/>
      <c r="EJ6332"/>
      <c r="EK6332"/>
    </row>
    <row r="6333" spans="1:141" s="116" customFormat="1">
      <c r="A6333" s="136"/>
      <c r="CM6333" s="111"/>
      <c r="CQ6333" s="111"/>
      <c r="EF6333"/>
      <c r="EG6333"/>
      <c r="EH6333"/>
      <c r="EI6333"/>
      <c r="EJ6333"/>
      <c r="EK6333"/>
    </row>
    <row r="6334" spans="1:141" s="116" customFormat="1">
      <c r="A6334" s="136"/>
      <c r="CM6334" s="111"/>
      <c r="CQ6334" s="111"/>
      <c r="EF6334"/>
      <c r="EG6334"/>
      <c r="EH6334"/>
      <c r="EI6334"/>
      <c r="EJ6334"/>
      <c r="EK6334"/>
    </row>
    <row r="6335" spans="1:141" s="116" customFormat="1">
      <c r="A6335" s="136"/>
      <c r="CM6335" s="111"/>
      <c r="CQ6335" s="111"/>
      <c r="EF6335"/>
      <c r="EG6335"/>
      <c r="EH6335"/>
      <c r="EI6335"/>
      <c r="EJ6335"/>
      <c r="EK6335"/>
    </row>
    <row r="6336" spans="1:141" s="116" customFormat="1">
      <c r="A6336" s="136"/>
      <c r="CM6336" s="111"/>
      <c r="CQ6336" s="111"/>
      <c r="EF6336"/>
      <c r="EG6336"/>
      <c r="EH6336"/>
      <c r="EI6336"/>
      <c r="EJ6336"/>
      <c r="EK6336"/>
    </row>
    <row r="6337" spans="1:141" s="116" customFormat="1">
      <c r="A6337" s="136"/>
      <c r="CM6337" s="111"/>
      <c r="CQ6337" s="111"/>
      <c r="EF6337"/>
      <c r="EG6337"/>
      <c r="EH6337"/>
      <c r="EI6337"/>
      <c r="EJ6337"/>
      <c r="EK6337"/>
    </row>
    <row r="6338" spans="1:141" s="116" customFormat="1">
      <c r="A6338" s="136"/>
      <c r="CM6338" s="111"/>
      <c r="CQ6338" s="111"/>
      <c r="EF6338"/>
      <c r="EG6338"/>
      <c r="EH6338"/>
      <c r="EI6338"/>
      <c r="EJ6338"/>
      <c r="EK6338"/>
    </row>
    <row r="6339" spans="1:141" s="116" customFormat="1">
      <c r="A6339" s="136"/>
      <c r="CM6339" s="111"/>
      <c r="CQ6339" s="111"/>
      <c r="EF6339"/>
      <c r="EG6339"/>
      <c r="EH6339"/>
      <c r="EI6339"/>
      <c r="EJ6339"/>
      <c r="EK6339"/>
    </row>
    <row r="6340" spans="1:141" s="116" customFormat="1">
      <c r="A6340" s="136"/>
      <c r="CM6340" s="111"/>
      <c r="CQ6340" s="111"/>
      <c r="EF6340"/>
      <c r="EG6340"/>
      <c r="EH6340"/>
      <c r="EI6340"/>
      <c r="EJ6340"/>
      <c r="EK6340"/>
    </row>
    <row r="6341" spans="1:141" s="116" customFormat="1">
      <c r="A6341" s="136"/>
      <c r="CM6341" s="111"/>
      <c r="CQ6341" s="111"/>
      <c r="EF6341"/>
      <c r="EG6341"/>
      <c r="EH6341"/>
      <c r="EI6341"/>
      <c r="EJ6341"/>
      <c r="EK6341"/>
    </row>
    <row r="6342" spans="1:141" s="116" customFormat="1">
      <c r="A6342" s="136"/>
      <c r="CM6342" s="111"/>
      <c r="CQ6342" s="111"/>
      <c r="EF6342"/>
      <c r="EG6342"/>
      <c r="EH6342"/>
      <c r="EI6342"/>
      <c r="EJ6342"/>
      <c r="EK6342"/>
    </row>
    <row r="6343" spans="1:141" s="116" customFormat="1">
      <c r="A6343" s="136"/>
      <c r="CM6343" s="111"/>
      <c r="CQ6343" s="111"/>
      <c r="EF6343"/>
      <c r="EG6343"/>
      <c r="EH6343"/>
      <c r="EI6343"/>
      <c r="EJ6343"/>
      <c r="EK6343"/>
    </row>
    <row r="6344" spans="1:141" s="116" customFormat="1">
      <c r="A6344" s="136"/>
      <c r="CM6344" s="111"/>
      <c r="CQ6344" s="111"/>
      <c r="EF6344"/>
      <c r="EG6344"/>
      <c r="EH6344"/>
      <c r="EI6344"/>
      <c r="EJ6344"/>
      <c r="EK6344"/>
    </row>
    <row r="6345" spans="1:141" s="116" customFormat="1">
      <c r="A6345" s="136"/>
      <c r="CM6345" s="111"/>
      <c r="CQ6345" s="111"/>
      <c r="EF6345"/>
      <c r="EG6345"/>
      <c r="EH6345"/>
      <c r="EI6345"/>
      <c r="EJ6345"/>
      <c r="EK6345"/>
    </row>
    <row r="6346" spans="1:141" s="116" customFormat="1">
      <c r="A6346" s="136"/>
      <c r="CM6346" s="111"/>
      <c r="CQ6346" s="111"/>
      <c r="EF6346"/>
      <c r="EG6346"/>
      <c r="EH6346"/>
      <c r="EI6346"/>
      <c r="EJ6346"/>
      <c r="EK6346"/>
    </row>
    <row r="6347" spans="1:141" s="116" customFormat="1">
      <c r="A6347" s="136"/>
      <c r="CM6347" s="111"/>
      <c r="CQ6347" s="111"/>
      <c r="EF6347"/>
      <c r="EG6347"/>
      <c r="EH6347"/>
      <c r="EI6347"/>
      <c r="EJ6347"/>
      <c r="EK6347"/>
    </row>
    <row r="6348" spans="1:141" s="116" customFormat="1">
      <c r="A6348" s="136"/>
      <c r="CM6348" s="111"/>
      <c r="CQ6348" s="111"/>
      <c r="EF6348"/>
      <c r="EG6348"/>
      <c r="EH6348"/>
      <c r="EI6348"/>
      <c r="EJ6348"/>
      <c r="EK6348"/>
    </row>
    <row r="6349" spans="1:141" s="116" customFormat="1">
      <c r="A6349" s="136"/>
      <c r="CM6349" s="111"/>
      <c r="CQ6349" s="111"/>
      <c r="EF6349"/>
      <c r="EG6349"/>
      <c r="EH6349"/>
      <c r="EI6349"/>
      <c r="EJ6349"/>
      <c r="EK6349"/>
    </row>
    <row r="6350" spans="1:141" s="116" customFormat="1">
      <c r="A6350" s="136"/>
      <c r="CM6350" s="111"/>
      <c r="CQ6350" s="111"/>
      <c r="EF6350"/>
      <c r="EG6350"/>
      <c r="EH6350"/>
      <c r="EI6350"/>
      <c r="EJ6350"/>
      <c r="EK6350"/>
    </row>
    <row r="6351" spans="1:141" s="116" customFormat="1">
      <c r="A6351" s="136"/>
      <c r="CM6351" s="111"/>
      <c r="CQ6351" s="111"/>
      <c r="EF6351"/>
      <c r="EG6351"/>
      <c r="EH6351"/>
      <c r="EI6351"/>
      <c r="EJ6351"/>
      <c r="EK6351"/>
    </row>
    <row r="6352" spans="1:141" s="116" customFormat="1">
      <c r="A6352" s="136"/>
      <c r="CM6352" s="111"/>
      <c r="CQ6352" s="111"/>
      <c r="EF6352"/>
      <c r="EG6352"/>
      <c r="EH6352"/>
      <c r="EI6352"/>
      <c r="EJ6352"/>
      <c r="EK6352"/>
    </row>
    <row r="6353" spans="1:141" s="116" customFormat="1">
      <c r="A6353" s="136"/>
      <c r="CM6353" s="111"/>
      <c r="CQ6353" s="111"/>
      <c r="EF6353"/>
      <c r="EG6353"/>
      <c r="EH6353"/>
      <c r="EI6353"/>
      <c r="EJ6353"/>
      <c r="EK6353"/>
    </row>
    <row r="6354" spans="1:141" s="116" customFormat="1">
      <c r="A6354" s="136"/>
      <c r="CM6354" s="111"/>
      <c r="CQ6354" s="111"/>
      <c r="EF6354"/>
      <c r="EG6354"/>
      <c r="EH6354"/>
      <c r="EI6354"/>
      <c r="EJ6354"/>
      <c r="EK6354"/>
    </row>
    <row r="6355" spans="1:141" s="116" customFormat="1">
      <c r="A6355" s="136"/>
      <c r="CM6355" s="111"/>
      <c r="CQ6355" s="111"/>
      <c r="EF6355"/>
      <c r="EG6355"/>
      <c r="EH6355"/>
      <c r="EI6355"/>
      <c r="EJ6355"/>
      <c r="EK6355"/>
    </row>
    <row r="6356" spans="1:141" s="116" customFormat="1">
      <c r="A6356" s="136"/>
      <c r="CM6356" s="111"/>
      <c r="CQ6356" s="111"/>
      <c r="EF6356"/>
      <c r="EG6356"/>
      <c r="EH6356"/>
      <c r="EI6356"/>
      <c r="EJ6356"/>
      <c r="EK6356"/>
    </row>
    <row r="6357" spans="1:141" s="116" customFormat="1">
      <c r="A6357" s="136"/>
      <c r="CM6357" s="111"/>
      <c r="CQ6357" s="111"/>
      <c r="EF6357"/>
      <c r="EG6357"/>
      <c r="EH6357"/>
      <c r="EI6357"/>
      <c r="EJ6357"/>
      <c r="EK6357"/>
    </row>
    <row r="6358" spans="1:141" s="116" customFormat="1">
      <c r="A6358" s="136"/>
      <c r="CM6358" s="111"/>
      <c r="CQ6358" s="111"/>
      <c r="EF6358"/>
      <c r="EG6358"/>
      <c r="EH6358"/>
      <c r="EI6358"/>
      <c r="EJ6358"/>
      <c r="EK6358"/>
    </row>
    <row r="6359" spans="1:141" s="116" customFormat="1">
      <c r="A6359" s="136"/>
      <c r="CM6359" s="111"/>
      <c r="CQ6359" s="111"/>
      <c r="EF6359"/>
      <c r="EG6359"/>
      <c r="EH6359"/>
      <c r="EI6359"/>
      <c r="EJ6359"/>
      <c r="EK6359"/>
    </row>
    <row r="6360" spans="1:141" s="116" customFormat="1">
      <c r="A6360" s="136"/>
      <c r="CM6360" s="111"/>
      <c r="CQ6360" s="111"/>
      <c r="EF6360"/>
      <c r="EG6360"/>
      <c r="EH6360"/>
      <c r="EI6360"/>
      <c r="EJ6360"/>
      <c r="EK6360"/>
    </row>
    <row r="6361" spans="1:141" s="116" customFormat="1">
      <c r="A6361" s="136"/>
      <c r="CM6361" s="111"/>
      <c r="CQ6361" s="111"/>
      <c r="EF6361"/>
      <c r="EG6361"/>
      <c r="EH6361"/>
      <c r="EI6361"/>
      <c r="EJ6361"/>
      <c r="EK6361"/>
    </row>
    <row r="6362" spans="1:141" s="116" customFormat="1">
      <c r="A6362" s="136"/>
      <c r="CM6362" s="111"/>
      <c r="CQ6362" s="111"/>
      <c r="EF6362"/>
      <c r="EG6362"/>
      <c r="EH6362"/>
      <c r="EI6362"/>
      <c r="EJ6362"/>
      <c r="EK6362"/>
    </row>
    <row r="6363" spans="1:141" s="116" customFormat="1">
      <c r="A6363" s="136"/>
      <c r="CM6363" s="111"/>
      <c r="CQ6363" s="111"/>
      <c r="EF6363"/>
      <c r="EG6363"/>
      <c r="EH6363"/>
      <c r="EI6363"/>
      <c r="EJ6363"/>
      <c r="EK6363"/>
    </row>
    <row r="6364" spans="1:141" s="116" customFormat="1">
      <c r="A6364" s="136"/>
      <c r="CM6364" s="111"/>
      <c r="CQ6364" s="111"/>
      <c r="EF6364"/>
      <c r="EG6364"/>
      <c r="EH6364"/>
      <c r="EI6364"/>
      <c r="EJ6364"/>
      <c r="EK6364"/>
    </row>
    <row r="6365" spans="1:141" s="116" customFormat="1">
      <c r="A6365" s="136"/>
      <c r="CM6365" s="111"/>
      <c r="CQ6365" s="111"/>
      <c r="EF6365"/>
      <c r="EG6365"/>
      <c r="EH6365"/>
      <c r="EI6365"/>
      <c r="EJ6365"/>
      <c r="EK6365"/>
    </row>
    <row r="6366" spans="1:141" s="116" customFormat="1">
      <c r="A6366" s="136"/>
      <c r="CM6366" s="111"/>
      <c r="CQ6366" s="111"/>
      <c r="EF6366"/>
      <c r="EG6366"/>
      <c r="EH6366"/>
      <c r="EI6366"/>
      <c r="EJ6366"/>
      <c r="EK6366"/>
    </row>
    <row r="6367" spans="1:141" s="116" customFormat="1">
      <c r="A6367" s="136"/>
      <c r="CM6367" s="111"/>
      <c r="CQ6367" s="111"/>
      <c r="EF6367"/>
      <c r="EG6367"/>
      <c r="EH6367"/>
      <c r="EI6367"/>
      <c r="EJ6367"/>
      <c r="EK6367"/>
    </row>
    <row r="6368" spans="1:141" s="116" customFormat="1">
      <c r="A6368" s="136"/>
      <c r="CM6368" s="111"/>
      <c r="CQ6368" s="111"/>
      <c r="EF6368"/>
      <c r="EG6368"/>
      <c r="EH6368"/>
      <c r="EI6368"/>
      <c r="EJ6368"/>
      <c r="EK6368"/>
    </row>
    <row r="6369" spans="1:141" s="116" customFormat="1">
      <c r="A6369" s="136"/>
      <c r="CM6369" s="111"/>
      <c r="CQ6369" s="111"/>
      <c r="EF6369"/>
      <c r="EG6369"/>
      <c r="EH6369"/>
      <c r="EI6369"/>
      <c r="EJ6369"/>
      <c r="EK6369"/>
    </row>
    <row r="6370" spans="1:141" s="116" customFormat="1">
      <c r="A6370" s="136"/>
      <c r="CM6370" s="111"/>
      <c r="CQ6370" s="111"/>
      <c r="EF6370"/>
      <c r="EG6370"/>
      <c r="EH6370"/>
      <c r="EI6370"/>
      <c r="EJ6370"/>
      <c r="EK6370"/>
    </row>
    <row r="6371" spans="1:141" s="116" customFormat="1">
      <c r="A6371" s="136"/>
      <c r="CM6371" s="111"/>
      <c r="CQ6371" s="111"/>
      <c r="EF6371"/>
      <c r="EG6371"/>
      <c r="EH6371"/>
      <c r="EI6371"/>
      <c r="EJ6371"/>
      <c r="EK6371"/>
    </row>
    <row r="6372" spans="1:141" s="116" customFormat="1">
      <c r="A6372" s="136"/>
      <c r="CM6372" s="111"/>
      <c r="CQ6372" s="111"/>
      <c r="EF6372"/>
      <c r="EG6372"/>
      <c r="EH6372"/>
      <c r="EI6372"/>
      <c r="EJ6372"/>
      <c r="EK6372"/>
    </row>
    <row r="6373" spans="1:141" s="116" customFormat="1">
      <c r="A6373" s="136"/>
      <c r="CM6373" s="111"/>
      <c r="CQ6373" s="111"/>
      <c r="EF6373"/>
      <c r="EG6373"/>
      <c r="EH6373"/>
      <c r="EI6373"/>
      <c r="EJ6373"/>
      <c r="EK6373"/>
    </row>
    <row r="6374" spans="1:141" s="116" customFormat="1">
      <c r="A6374" s="136"/>
      <c r="CM6374" s="111"/>
      <c r="CQ6374" s="111"/>
      <c r="EF6374"/>
      <c r="EG6374"/>
      <c r="EH6374"/>
      <c r="EI6374"/>
      <c r="EJ6374"/>
      <c r="EK6374"/>
    </row>
    <row r="6375" spans="1:141" s="116" customFormat="1">
      <c r="A6375" s="136"/>
      <c r="CM6375" s="111"/>
      <c r="CQ6375" s="111"/>
      <c r="EF6375"/>
      <c r="EG6375"/>
      <c r="EH6375"/>
      <c r="EI6375"/>
      <c r="EJ6375"/>
      <c r="EK6375"/>
    </row>
    <row r="6376" spans="1:141" s="116" customFormat="1">
      <c r="A6376" s="136"/>
      <c r="CM6376" s="111"/>
      <c r="CQ6376" s="111"/>
      <c r="EF6376"/>
      <c r="EG6376"/>
      <c r="EH6376"/>
      <c r="EI6376"/>
      <c r="EJ6376"/>
      <c r="EK6376"/>
    </row>
    <row r="6377" spans="1:141" s="116" customFormat="1">
      <c r="A6377" s="136"/>
      <c r="CM6377" s="111"/>
      <c r="CQ6377" s="111"/>
      <c r="EF6377"/>
      <c r="EG6377"/>
      <c r="EH6377"/>
      <c r="EI6377"/>
      <c r="EJ6377"/>
      <c r="EK6377"/>
    </row>
    <row r="6378" spans="1:141" s="116" customFormat="1">
      <c r="A6378" s="136"/>
      <c r="CM6378" s="111"/>
      <c r="CQ6378" s="111"/>
      <c r="EF6378"/>
      <c r="EG6378"/>
      <c r="EH6378"/>
      <c r="EI6378"/>
      <c r="EJ6378"/>
      <c r="EK6378"/>
    </row>
    <row r="6379" spans="1:141" s="116" customFormat="1">
      <c r="A6379" s="136"/>
      <c r="CM6379" s="111"/>
      <c r="CQ6379" s="111"/>
      <c r="EF6379"/>
      <c r="EG6379"/>
      <c r="EH6379"/>
      <c r="EI6379"/>
      <c r="EJ6379"/>
      <c r="EK6379"/>
    </row>
    <row r="6380" spans="1:141" s="116" customFormat="1">
      <c r="A6380" s="136"/>
      <c r="CM6380" s="111"/>
      <c r="CQ6380" s="111"/>
      <c r="EF6380"/>
      <c r="EG6380"/>
      <c r="EH6380"/>
      <c r="EI6380"/>
      <c r="EJ6380"/>
      <c r="EK6380"/>
    </row>
    <row r="6381" spans="1:141" s="116" customFormat="1">
      <c r="A6381" s="136"/>
      <c r="CM6381" s="111"/>
      <c r="CQ6381" s="111"/>
      <c r="EF6381"/>
      <c r="EG6381"/>
      <c r="EH6381"/>
      <c r="EI6381"/>
      <c r="EJ6381"/>
      <c r="EK6381"/>
    </row>
    <row r="6382" spans="1:141" s="116" customFormat="1">
      <c r="A6382" s="136"/>
      <c r="CM6382" s="111"/>
      <c r="CQ6382" s="111"/>
      <c r="EF6382"/>
      <c r="EG6382"/>
      <c r="EH6382"/>
      <c r="EI6382"/>
      <c r="EJ6382"/>
      <c r="EK6382"/>
    </row>
    <row r="6383" spans="1:141" s="116" customFormat="1">
      <c r="A6383" s="136"/>
      <c r="CM6383" s="111"/>
      <c r="CQ6383" s="111"/>
      <c r="EF6383"/>
      <c r="EG6383"/>
      <c r="EH6383"/>
      <c r="EI6383"/>
      <c r="EJ6383"/>
      <c r="EK6383"/>
    </row>
    <row r="6384" spans="1:141" s="116" customFormat="1">
      <c r="A6384" s="136"/>
      <c r="CM6384" s="111"/>
      <c r="CQ6384" s="111"/>
      <c r="EF6384"/>
      <c r="EG6384"/>
      <c r="EH6384"/>
      <c r="EI6384"/>
      <c r="EJ6384"/>
      <c r="EK6384"/>
    </row>
    <row r="6385" spans="1:141" s="116" customFormat="1">
      <c r="A6385" s="136"/>
      <c r="CM6385" s="111"/>
      <c r="CQ6385" s="111"/>
      <c r="EF6385"/>
      <c r="EG6385"/>
      <c r="EH6385"/>
      <c r="EI6385"/>
      <c r="EJ6385"/>
      <c r="EK6385"/>
    </row>
    <row r="6386" spans="1:141" s="116" customFormat="1">
      <c r="A6386" s="136"/>
      <c r="CM6386" s="111"/>
      <c r="CQ6386" s="111"/>
      <c r="EF6386"/>
      <c r="EG6386"/>
      <c r="EH6386"/>
      <c r="EI6386"/>
      <c r="EJ6386"/>
      <c r="EK6386"/>
    </row>
    <row r="6387" spans="1:141" s="116" customFormat="1">
      <c r="A6387" s="136"/>
      <c r="CM6387" s="111"/>
      <c r="CQ6387" s="111"/>
      <c r="EF6387"/>
      <c r="EG6387"/>
      <c r="EH6387"/>
      <c r="EI6387"/>
      <c r="EJ6387"/>
      <c r="EK6387"/>
    </row>
    <row r="6388" spans="1:141" s="116" customFormat="1">
      <c r="A6388" s="136"/>
      <c r="CM6388" s="111"/>
      <c r="CQ6388" s="111"/>
      <c r="EF6388"/>
      <c r="EG6388"/>
      <c r="EH6388"/>
      <c r="EI6388"/>
      <c r="EJ6388"/>
      <c r="EK6388"/>
    </row>
    <row r="6389" spans="1:141" s="116" customFormat="1">
      <c r="A6389" s="136"/>
      <c r="CM6389" s="111"/>
      <c r="CQ6389" s="111"/>
      <c r="EF6389"/>
      <c r="EG6389"/>
      <c r="EH6389"/>
      <c r="EI6389"/>
      <c r="EJ6389"/>
      <c r="EK6389"/>
    </row>
    <row r="6390" spans="1:141" s="116" customFormat="1">
      <c r="A6390" s="136"/>
      <c r="CM6390" s="111"/>
      <c r="CQ6390" s="111"/>
      <c r="EF6390"/>
      <c r="EG6390"/>
      <c r="EH6390"/>
      <c r="EI6390"/>
      <c r="EJ6390"/>
      <c r="EK6390"/>
    </row>
    <row r="6391" spans="1:141" s="116" customFormat="1">
      <c r="A6391" s="136"/>
      <c r="CM6391" s="111"/>
      <c r="CQ6391" s="111"/>
      <c r="EF6391"/>
      <c r="EG6391"/>
      <c r="EH6391"/>
      <c r="EI6391"/>
      <c r="EJ6391"/>
      <c r="EK6391"/>
    </row>
    <row r="6392" spans="1:141" s="116" customFormat="1">
      <c r="A6392" s="136"/>
      <c r="CM6392" s="111"/>
      <c r="CQ6392" s="111"/>
      <c r="EF6392"/>
      <c r="EG6392"/>
      <c r="EH6392"/>
      <c r="EI6392"/>
      <c r="EJ6392"/>
      <c r="EK6392"/>
    </row>
    <row r="6393" spans="1:141" s="116" customFormat="1">
      <c r="A6393" s="136"/>
      <c r="CM6393" s="111"/>
      <c r="CQ6393" s="111"/>
      <c r="EF6393"/>
      <c r="EG6393"/>
      <c r="EH6393"/>
      <c r="EI6393"/>
      <c r="EJ6393"/>
      <c r="EK6393"/>
    </row>
    <row r="6394" spans="1:141" s="116" customFormat="1">
      <c r="A6394" s="136"/>
      <c r="CM6394" s="111"/>
      <c r="CQ6394" s="111"/>
      <c r="EF6394"/>
      <c r="EG6394"/>
      <c r="EH6394"/>
      <c r="EI6394"/>
      <c r="EJ6394"/>
      <c r="EK6394"/>
    </row>
    <row r="6395" spans="1:141" s="116" customFormat="1">
      <c r="A6395" s="136"/>
      <c r="CM6395" s="111"/>
      <c r="CQ6395" s="111"/>
      <c r="EF6395"/>
      <c r="EG6395"/>
      <c r="EH6395"/>
      <c r="EI6395"/>
      <c r="EJ6395"/>
      <c r="EK6395"/>
    </row>
    <row r="6396" spans="1:141" s="116" customFormat="1">
      <c r="A6396" s="136"/>
      <c r="CM6396" s="111"/>
      <c r="CQ6396" s="111"/>
      <c r="EF6396"/>
      <c r="EG6396"/>
      <c r="EH6396"/>
      <c r="EI6396"/>
      <c r="EJ6396"/>
      <c r="EK6396"/>
    </row>
    <row r="6397" spans="1:141" s="116" customFormat="1">
      <c r="A6397" s="136"/>
      <c r="CM6397" s="111"/>
      <c r="CQ6397" s="111"/>
      <c r="EF6397"/>
      <c r="EG6397"/>
      <c r="EH6397"/>
      <c r="EI6397"/>
      <c r="EJ6397"/>
      <c r="EK6397"/>
    </row>
    <row r="6398" spans="1:141" s="116" customFormat="1">
      <c r="A6398" s="136"/>
      <c r="CM6398" s="111"/>
      <c r="CQ6398" s="111"/>
      <c r="EF6398"/>
      <c r="EG6398"/>
      <c r="EH6398"/>
      <c r="EI6398"/>
      <c r="EJ6398"/>
      <c r="EK6398"/>
    </row>
    <row r="6399" spans="1:141" s="116" customFormat="1">
      <c r="A6399" s="136"/>
      <c r="CM6399" s="111"/>
      <c r="CQ6399" s="111"/>
      <c r="EF6399"/>
      <c r="EG6399"/>
      <c r="EH6399"/>
      <c r="EI6399"/>
      <c r="EJ6399"/>
      <c r="EK6399"/>
    </row>
    <row r="6400" spans="1:141" s="116" customFormat="1">
      <c r="A6400" s="136"/>
      <c r="CM6400" s="111"/>
      <c r="CQ6400" s="111"/>
      <c r="EF6400"/>
      <c r="EG6400"/>
      <c r="EH6400"/>
      <c r="EI6400"/>
      <c r="EJ6400"/>
      <c r="EK6400"/>
    </row>
    <row r="6401" spans="1:141" s="116" customFormat="1">
      <c r="A6401" s="136"/>
      <c r="CM6401" s="111"/>
      <c r="CQ6401" s="111"/>
      <c r="EF6401"/>
      <c r="EG6401"/>
      <c r="EH6401"/>
      <c r="EI6401"/>
      <c r="EJ6401"/>
      <c r="EK6401"/>
    </row>
    <row r="6402" spans="1:141" s="116" customFormat="1">
      <c r="A6402" s="136"/>
      <c r="CM6402" s="111"/>
      <c r="CQ6402" s="111"/>
      <c r="EF6402"/>
      <c r="EG6402"/>
      <c r="EH6402"/>
      <c r="EI6402"/>
      <c r="EJ6402"/>
      <c r="EK6402"/>
    </row>
    <row r="6403" spans="1:141" s="116" customFormat="1">
      <c r="A6403" s="136"/>
      <c r="CM6403" s="111"/>
      <c r="CQ6403" s="111"/>
      <c r="EF6403"/>
      <c r="EG6403"/>
      <c r="EH6403"/>
      <c r="EI6403"/>
      <c r="EJ6403"/>
      <c r="EK6403"/>
    </row>
    <row r="6404" spans="1:141" s="116" customFormat="1">
      <c r="A6404" s="136"/>
      <c r="CM6404" s="111"/>
      <c r="CQ6404" s="111"/>
      <c r="EF6404"/>
      <c r="EG6404"/>
      <c r="EH6404"/>
      <c r="EI6404"/>
      <c r="EJ6404"/>
      <c r="EK6404"/>
    </row>
    <row r="6405" spans="1:141" s="116" customFormat="1">
      <c r="A6405" s="136"/>
      <c r="CM6405" s="111"/>
      <c r="CQ6405" s="111"/>
      <c r="EF6405"/>
      <c r="EG6405"/>
      <c r="EH6405"/>
      <c r="EI6405"/>
      <c r="EJ6405"/>
      <c r="EK6405"/>
    </row>
    <row r="6406" spans="1:141" s="116" customFormat="1">
      <c r="A6406" s="136"/>
      <c r="CM6406" s="111"/>
      <c r="CQ6406" s="111"/>
      <c r="EF6406"/>
      <c r="EG6406"/>
      <c r="EH6406"/>
      <c r="EI6406"/>
      <c r="EJ6406"/>
      <c r="EK6406"/>
    </row>
    <row r="6407" spans="1:141" s="116" customFormat="1">
      <c r="A6407" s="136"/>
      <c r="CM6407" s="111"/>
      <c r="CQ6407" s="111"/>
      <c r="EF6407"/>
      <c r="EG6407"/>
      <c r="EH6407"/>
      <c r="EI6407"/>
      <c r="EJ6407"/>
      <c r="EK6407"/>
    </row>
    <row r="6408" spans="1:141" s="116" customFormat="1">
      <c r="A6408" s="136"/>
      <c r="CM6408" s="111"/>
      <c r="CQ6408" s="111"/>
      <c r="EF6408"/>
      <c r="EG6408"/>
      <c r="EH6408"/>
      <c r="EI6408"/>
      <c r="EJ6408"/>
      <c r="EK6408"/>
    </row>
    <row r="6409" spans="1:141" s="116" customFormat="1">
      <c r="A6409" s="136"/>
      <c r="CM6409" s="111"/>
      <c r="CQ6409" s="111"/>
      <c r="EF6409"/>
      <c r="EG6409"/>
      <c r="EH6409"/>
      <c r="EI6409"/>
      <c r="EJ6409"/>
      <c r="EK6409"/>
    </row>
    <row r="6410" spans="1:141" s="116" customFormat="1">
      <c r="A6410" s="136"/>
      <c r="CM6410" s="111"/>
      <c r="CQ6410" s="111"/>
      <c r="EF6410"/>
      <c r="EG6410"/>
      <c r="EH6410"/>
      <c r="EI6410"/>
      <c r="EJ6410"/>
      <c r="EK6410"/>
    </row>
    <row r="6411" spans="1:141" s="116" customFormat="1">
      <c r="A6411" s="136"/>
      <c r="CM6411" s="111"/>
      <c r="CQ6411" s="111"/>
      <c r="EF6411"/>
      <c r="EG6411"/>
      <c r="EH6411"/>
      <c r="EI6411"/>
      <c r="EJ6411"/>
      <c r="EK6411"/>
    </row>
    <row r="6412" spans="1:141" s="116" customFormat="1">
      <c r="A6412" s="136"/>
      <c r="CM6412" s="111"/>
      <c r="CQ6412" s="111"/>
      <c r="EF6412"/>
      <c r="EG6412"/>
      <c r="EH6412"/>
      <c r="EI6412"/>
      <c r="EJ6412"/>
      <c r="EK6412"/>
    </row>
    <row r="6413" spans="1:141" s="116" customFormat="1">
      <c r="A6413" s="136"/>
      <c r="CM6413" s="111"/>
      <c r="CQ6413" s="111"/>
      <c r="EF6413"/>
      <c r="EG6413"/>
      <c r="EH6413"/>
      <c r="EI6413"/>
      <c r="EJ6413"/>
      <c r="EK6413"/>
    </row>
    <row r="6414" spans="1:141" s="116" customFormat="1">
      <c r="A6414" s="136"/>
      <c r="CM6414" s="111"/>
      <c r="CQ6414" s="111"/>
      <c r="EF6414"/>
      <c r="EG6414"/>
      <c r="EH6414"/>
      <c r="EI6414"/>
      <c r="EJ6414"/>
      <c r="EK6414"/>
    </row>
    <row r="6415" spans="1:141" s="116" customFormat="1">
      <c r="A6415" s="136"/>
      <c r="CM6415" s="111"/>
      <c r="CQ6415" s="111"/>
      <c r="EF6415"/>
      <c r="EG6415"/>
      <c r="EH6415"/>
      <c r="EI6415"/>
      <c r="EJ6415"/>
      <c r="EK6415"/>
    </row>
    <row r="6416" spans="1:141" s="116" customFormat="1">
      <c r="A6416" s="136"/>
      <c r="CM6416" s="111"/>
      <c r="CQ6416" s="111"/>
      <c r="EF6416"/>
      <c r="EG6416"/>
      <c r="EH6416"/>
      <c r="EI6416"/>
      <c r="EJ6416"/>
      <c r="EK6416"/>
    </row>
    <row r="6417" spans="1:141" s="116" customFormat="1">
      <c r="A6417" s="136"/>
      <c r="CM6417" s="111"/>
      <c r="CQ6417" s="111"/>
      <c r="EF6417"/>
      <c r="EG6417"/>
      <c r="EH6417"/>
      <c r="EI6417"/>
      <c r="EJ6417"/>
      <c r="EK6417"/>
    </row>
    <row r="6418" spans="1:141" s="116" customFormat="1">
      <c r="A6418" s="136"/>
      <c r="CM6418" s="111"/>
      <c r="CQ6418" s="111"/>
      <c r="EF6418"/>
      <c r="EG6418"/>
      <c r="EH6418"/>
      <c r="EI6418"/>
      <c r="EJ6418"/>
      <c r="EK6418"/>
    </row>
    <row r="6419" spans="1:141" s="116" customFormat="1">
      <c r="A6419" s="136"/>
      <c r="CM6419" s="111"/>
      <c r="CQ6419" s="111"/>
      <c r="EF6419"/>
      <c r="EG6419"/>
      <c r="EH6419"/>
      <c r="EI6419"/>
      <c r="EJ6419"/>
      <c r="EK6419"/>
    </row>
    <row r="6420" spans="1:141" s="116" customFormat="1">
      <c r="A6420" s="136"/>
      <c r="CM6420" s="111"/>
      <c r="CQ6420" s="111"/>
      <c r="EF6420"/>
      <c r="EG6420"/>
      <c r="EH6420"/>
      <c r="EI6420"/>
      <c r="EJ6420"/>
      <c r="EK6420"/>
    </row>
    <row r="6421" spans="1:141" s="116" customFormat="1">
      <c r="A6421" s="136"/>
      <c r="CM6421" s="111"/>
      <c r="CQ6421" s="111"/>
      <c r="EF6421"/>
      <c r="EG6421"/>
      <c r="EH6421"/>
      <c r="EI6421"/>
      <c r="EJ6421"/>
      <c r="EK6421"/>
    </row>
    <row r="6422" spans="1:141" s="116" customFormat="1">
      <c r="A6422" s="136"/>
      <c r="CM6422" s="111"/>
      <c r="CQ6422" s="111"/>
      <c r="EF6422"/>
      <c r="EG6422"/>
      <c r="EH6422"/>
      <c r="EI6422"/>
      <c r="EJ6422"/>
      <c r="EK6422"/>
    </row>
    <row r="6423" spans="1:141" s="116" customFormat="1">
      <c r="A6423" s="136"/>
      <c r="CM6423" s="111"/>
      <c r="CQ6423" s="111"/>
      <c r="EF6423"/>
      <c r="EG6423"/>
      <c r="EH6423"/>
      <c r="EI6423"/>
      <c r="EJ6423"/>
      <c r="EK6423"/>
    </row>
    <row r="6424" spans="1:141" s="116" customFormat="1">
      <c r="A6424" s="136"/>
      <c r="CM6424" s="111"/>
      <c r="CQ6424" s="111"/>
      <c r="EF6424"/>
      <c r="EG6424"/>
      <c r="EH6424"/>
      <c r="EI6424"/>
      <c r="EJ6424"/>
      <c r="EK6424"/>
    </row>
    <row r="6425" spans="1:141" s="116" customFormat="1">
      <c r="A6425" s="136"/>
      <c r="CM6425" s="111"/>
      <c r="CQ6425" s="111"/>
      <c r="EF6425"/>
      <c r="EG6425"/>
      <c r="EH6425"/>
      <c r="EI6425"/>
      <c r="EJ6425"/>
      <c r="EK6425"/>
    </row>
    <row r="6426" spans="1:141" s="116" customFormat="1">
      <c r="A6426" s="136"/>
      <c r="CM6426" s="111"/>
      <c r="CQ6426" s="111"/>
      <c r="EF6426"/>
      <c r="EG6426"/>
      <c r="EH6426"/>
      <c r="EI6426"/>
      <c r="EJ6426"/>
      <c r="EK6426"/>
    </row>
    <row r="6427" spans="1:141" s="116" customFormat="1">
      <c r="A6427" s="136"/>
      <c r="CM6427" s="111"/>
      <c r="CQ6427" s="111"/>
      <c r="EF6427"/>
      <c r="EG6427"/>
      <c r="EH6427"/>
      <c r="EI6427"/>
      <c r="EJ6427"/>
      <c r="EK6427"/>
    </row>
    <row r="6428" spans="1:141" s="116" customFormat="1">
      <c r="A6428" s="136"/>
      <c r="CM6428" s="111"/>
      <c r="CQ6428" s="111"/>
      <c r="EF6428"/>
      <c r="EG6428"/>
      <c r="EH6428"/>
      <c r="EI6428"/>
      <c r="EJ6428"/>
      <c r="EK6428"/>
    </row>
    <row r="6429" spans="1:141" s="116" customFormat="1">
      <c r="A6429" s="136"/>
      <c r="CM6429" s="111"/>
      <c r="CQ6429" s="111"/>
      <c r="EF6429"/>
      <c r="EG6429"/>
      <c r="EH6429"/>
      <c r="EI6429"/>
      <c r="EJ6429"/>
      <c r="EK6429"/>
    </row>
    <row r="6430" spans="1:141" s="116" customFormat="1">
      <c r="A6430" s="136"/>
      <c r="CM6430" s="111"/>
      <c r="CQ6430" s="111"/>
      <c r="EF6430"/>
      <c r="EG6430"/>
      <c r="EH6430"/>
      <c r="EI6430"/>
      <c r="EJ6430"/>
      <c r="EK6430"/>
    </row>
    <row r="6431" spans="1:141" s="116" customFormat="1">
      <c r="A6431" s="136"/>
      <c r="CM6431" s="111"/>
      <c r="CQ6431" s="111"/>
      <c r="EF6431"/>
      <c r="EG6431"/>
      <c r="EH6431"/>
      <c r="EI6431"/>
      <c r="EJ6431"/>
      <c r="EK6431"/>
    </row>
    <row r="6432" spans="1:141" s="116" customFormat="1">
      <c r="A6432" s="136"/>
      <c r="CM6432" s="111"/>
      <c r="CQ6432" s="111"/>
      <c r="EF6432"/>
      <c r="EG6432"/>
      <c r="EH6432"/>
      <c r="EI6432"/>
      <c r="EJ6432"/>
      <c r="EK6432"/>
    </row>
    <row r="6433" spans="1:141" s="116" customFormat="1">
      <c r="A6433" s="136"/>
      <c r="CM6433" s="111"/>
      <c r="CQ6433" s="111"/>
      <c r="EF6433"/>
      <c r="EG6433"/>
      <c r="EH6433"/>
      <c r="EI6433"/>
      <c r="EJ6433"/>
      <c r="EK6433"/>
    </row>
    <row r="6434" spans="1:141" s="116" customFormat="1">
      <c r="A6434" s="136"/>
      <c r="CM6434" s="111"/>
      <c r="CQ6434" s="111"/>
      <c r="EF6434"/>
      <c r="EG6434"/>
      <c r="EH6434"/>
      <c r="EI6434"/>
      <c r="EJ6434"/>
      <c r="EK6434"/>
    </row>
    <row r="6435" spans="1:141" s="116" customFormat="1">
      <c r="A6435" s="136"/>
      <c r="CM6435" s="111"/>
      <c r="CQ6435" s="111"/>
      <c r="EF6435"/>
      <c r="EG6435"/>
      <c r="EH6435"/>
      <c r="EI6435"/>
      <c r="EJ6435"/>
      <c r="EK6435"/>
    </row>
    <row r="6436" spans="1:141" s="116" customFormat="1">
      <c r="A6436" s="136"/>
      <c r="CM6436" s="111"/>
      <c r="CQ6436" s="111"/>
      <c r="EF6436"/>
      <c r="EG6436"/>
      <c r="EH6436"/>
      <c r="EI6436"/>
      <c r="EJ6436"/>
      <c r="EK6436"/>
    </row>
    <row r="6437" spans="1:141" s="116" customFormat="1">
      <c r="A6437" s="136"/>
      <c r="CM6437" s="111"/>
      <c r="CQ6437" s="111"/>
      <c r="EF6437"/>
      <c r="EG6437"/>
      <c r="EH6437"/>
      <c r="EI6437"/>
      <c r="EJ6437"/>
      <c r="EK6437"/>
    </row>
    <row r="6438" spans="1:141" s="116" customFormat="1">
      <c r="A6438" s="136"/>
      <c r="CM6438" s="111"/>
      <c r="CQ6438" s="111"/>
      <c r="EF6438"/>
      <c r="EG6438"/>
      <c r="EH6438"/>
      <c r="EI6438"/>
      <c r="EJ6438"/>
      <c r="EK6438"/>
    </row>
    <row r="6439" spans="1:141" s="116" customFormat="1">
      <c r="A6439" s="136"/>
      <c r="CM6439" s="111"/>
      <c r="CQ6439" s="111"/>
      <c r="EF6439"/>
      <c r="EG6439"/>
      <c r="EH6439"/>
      <c r="EI6439"/>
      <c r="EJ6439"/>
      <c r="EK6439"/>
    </row>
    <row r="6440" spans="1:141" s="116" customFormat="1">
      <c r="A6440" s="136"/>
      <c r="CM6440" s="111"/>
      <c r="CQ6440" s="111"/>
      <c r="EF6440"/>
      <c r="EG6440"/>
      <c r="EH6440"/>
      <c r="EI6440"/>
      <c r="EJ6440"/>
      <c r="EK6440"/>
    </row>
    <row r="6441" spans="1:141" s="116" customFormat="1">
      <c r="A6441" s="136"/>
      <c r="CM6441" s="111"/>
      <c r="CQ6441" s="111"/>
      <c r="EF6441"/>
      <c r="EG6441"/>
      <c r="EH6441"/>
      <c r="EI6441"/>
      <c r="EJ6441"/>
      <c r="EK6441"/>
    </row>
    <row r="6442" spans="1:141" s="116" customFormat="1">
      <c r="A6442" s="136"/>
      <c r="CM6442" s="111"/>
      <c r="CQ6442" s="111"/>
      <c r="EF6442"/>
      <c r="EG6442"/>
      <c r="EH6442"/>
      <c r="EI6442"/>
      <c r="EJ6442"/>
      <c r="EK6442"/>
    </row>
    <row r="6443" spans="1:141" s="116" customFormat="1">
      <c r="A6443" s="136"/>
      <c r="CM6443" s="111"/>
      <c r="CQ6443" s="111"/>
      <c r="EF6443"/>
      <c r="EG6443"/>
      <c r="EH6443"/>
      <c r="EI6443"/>
      <c r="EJ6443"/>
      <c r="EK6443"/>
    </row>
    <row r="6444" spans="1:141" s="116" customFormat="1">
      <c r="A6444" s="136"/>
      <c r="CM6444" s="111"/>
      <c r="CQ6444" s="111"/>
      <c r="EF6444"/>
      <c r="EG6444"/>
      <c r="EH6444"/>
      <c r="EI6444"/>
      <c r="EJ6444"/>
      <c r="EK6444"/>
    </row>
    <row r="6445" spans="1:141" s="116" customFormat="1">
      <c r="A6445" s="136"/>
      <c r="CM6445" s="111"/>
      <c r="CQ6445" s="111"/>
      <c r="EF6445"/>
      <c r="EG6445"/>
      <c r="EH6445"/>
      <c r="EI6445"/>
      <c r="EJ6445"/>
      <c r="EK6445"/>
    </row>
    <row r="6446" spans="1:141" s="116" customFormat="1">
      <c r="A6446" s="136"/>
      <c r="CM6446" s="111"/>
      <c r="CQ6446" s="111"/>
      <c r="EF6446"/>
      <c r="EG6446"/>
      <c r="EH6446"/>
      <c r="EI6446"/>
      <c r="EJ6446"/>
      <c r="EK6446"/>
    </row>
    <row r="6447" spans="1:141" s="116" customFormat="1">
      <c r="A6447" s="136"/>
      <c r="CM6447" s="111"/>
      <c r="CQ6447" s="111"/>
      <c r="EF6447"/>
      <c r="EG6447"/>
      <c r="EH6447"/>
      <c r="EI6447"/>
      <c r="EJ6447"/>
      <c r="EK6447"/>
    </row>
    <row r="6448" spans="1:141" s="116" customFormat="1">
      <c r="A6448" s="136"/>
      <c r="CM6448" s="111"/>
      <c r="CQ6448" s="111"/>
      <c r="EF6448"/>
      <c r="EG6448"/>
      <c r="EH6448"/>
      <c r="EI6448"/>
      <c r="EJ6448"/>
      <c r="EK6448"/>
    </row>
    <row r="6449" spans="1:141" s="116" customFormat="1">
      <c r="A6449" s="136"/>
      <c r="CM6449" s="111"/>
      <c r="CQ6449" s="111"/>
      <c r="EF6449"/>
      <c r="EG6449"/>
      <c r="EH6449"/>
      <c r="EI6449"/>
      <c r="EJ6449"/>
      <c r="EK6449"/>
    </row>
    <row r="6450" spans="1:141" s="116" customFormat="1">
      <c r="A6450" s="136"/>
      <c r="CM6450" s="111"/>
      <c r="CQ6450" s="111"/>
      <c r="EF6450"/>
      <c r="EG6450"/>
      <c r="EH6450"/>
      <c r="EI6450"/>
      <c r="EJ6450"/>
      <c r="EK6450"/>
    </row>
    <row r="6451" spans="1:141" s="116" customFormat="1">
      <c r="A6451" s="136"/>
      <c r="CM6451" s="111"/>
      <c r="CQ6451" s="111"/>
      <c r="EF6451"/>
      <c r="EG6451"/>
      <c r="EH6451"/>
      <c r="EI6451"/>
      <c r="EJ6451"/>
      <c r="EK6451"/>
    </row>
    <row r="6452" spans="1:141" s="116" customFormat="1">
      <c r="A6452" s="136"/>
      <c r="CM6452" s="111"/>
      <c r="CQ6452" s="111"/>
      <c r="EF6452"/>
      <c r="EG6452"/>
      <c r="EH6452"/>
      <c r="EI6452"/>
      <c r="EJ6452"/>
      <c r="EK6452"/>
    </row>
    <row r="6453" spans="1:141" s="116" customFormat="1">
      <c r="A6453" s="136"/>
      <c r="CM6453" s="111"/>
      <c r="CQ6453" s="111"/>
      <c r="EF6453"/>
      <c r="EG6453"/>
      <c r="EH6453"/>
      <c r="EI6453"/>
      <c r="EJ6453"/>
      <c r="EK6453"/>
    </row>
    <row r="6454" spans="1:141" s="116" customFormat="1">
      <c r="A6454" s="136"/>
      <c r="CM6454" s="111"/>
      <c r="CQ6454" s="111"/>
      <c r="EF6454"/>
      <c r="EG6454"/>
      <c r="EH6454"/>
      <c r="EI6454"/>
      <c r="EJ6454"/>
      <c r="EK6454"/>
    </row>
    <row r="6455" spans="1:141" s="116" customFormat="1">
      <c r="A6455" s="136"/>
      <c r="CM6455" s="111"/>
      <c r="CQ6455" s="111"/>
      <c r="EF6455"/>
      <c r="EG6455"/>
      <c r="EH6455"/>
      <c r="EI6455"/>
      <c r="EJ6455"/>
      <c r="EK6455"/>
    </row>
    <row r="6456" spans="1:141" s="116" customFormat="1">
      <c r="A6456" s="136"/>
      <c r="CM6456" s="111"/>
      <c r="CQ6456" s="111"/>
      <c r="EF6456"/>
      <c r="EG6456"/>
      <c r="EH6456"/>
      <c r="EI6456"/>
      <c r="EJ6456"/>
      <c r="EK6456"/>
    </row>
    <row r="6457" spans="1:141" s="116" customFormat="1">
      <c r="A6457" s="136"/>
      <c r="CM6457" s="111"/>
      <c r="CQ6457" s="111"/>
      <c r="EF6457"/>
      <c r="EG6457"/>
      <c r="EH6457"/>
      <c r="EI6457"/>
      <c r="EJ6457"/>
      <c r="EK6457"/>
    </row>
    <row r="6458" spans="1:141" s="116" customFormat="1">
      <c r="A6458" s="136"/>
      <c r="CM6458" s="111"/>
      <c r="CQ6458" s="111"/>
      <c r="EF6458"/>
      <c r="EG6458"/>
      <c r="EH6458"/>
      <c r="EI6458"/>
      <c r="EJ6458"/>
      <c r="EK6458"/>
    </row>
    <row r="6459" spans="1:141" s="116" customFormat="1">
      <c r="A6459" s="136"/>
      <c r="CM6459" s="111"/>
      <c r="CQ6459" s="111"/>
      <c r="EF6459"/>
      <c r="EG6459"/>
      <c r="EH6459"/>
      <c r="EI6459"/>
      <c r="EJ6459"/>
      <c r="EK6459"/>
    </row>
    <row r="6460" spans="1:141" s="116" customFormat="1">
      <c r="A6460" s="136"/>
      <c r="CM6460" s="111"/>
      <c r="CQ6460" s="111"/>
      <c r="EF6460"/>
      <c r="EG6460"/>
      <c r="EH6460"/>
      <c r="EI6460"/>
      <c r="EJ6460"/>
      <c r="EK6460"/>
    </row>
    <row r="6461" spans="1:141" s="116" customFormat="1">
      <c r="A6461" s="136"/>
      <c r="CM6461" s="111"/>
      <c r="CQ6461" s="111"/>
      <c r="EF6461"/>
      <c r="EG6461"/>
      <c r="EH6461"/>
      <c r="EI6461"/>
      <c r="EJ6461"/>
      <c r="EK6461"/>
    </row>
    <row r="6462" spans="1:141" s="116" customFormat="1">
      <c r="A6462" s="136"/>
      <c r="CM6462" s="111"/>
      <c r="CQ6462" s="111"/>
      <c r="EF6462"/>
      <c r="EG6462"/>
      <c r="EH6462"/>
      <c r="EI6462"/>
      <c r="EJ6462"/>
      <c r="EK6462"/>
    </row>
    <row r="6463" spans="1:141" s="116" customFormat="1">
      <c r="A6463" s="136"/>
      <c r="CM6463" s="111"/>
      <c r="CQ6463" s="111"/>
      <c r="EF6463"/>
      <c r="EG6463"/>
      <c r="EH6463"/>
      <c r="EI6463"/>
      <c r="EJ6463"/>
      <c r="EK6463"/>
    </row>
    <row r="6464" spans="1:141" s="116" customFormat="1">
      <c r="A6464" s="136"/>
      <c r="CM6464" s="111"/>
      <c r="CQ6464" s="111"/>
      <c r="EF6464"/>
      <c r="EG6464"/>
      <c r="EH6464"/>
      <c r="EI6464"/>
      <c r="EJ6464"/>
      <c r="EK6464"/>
    </row>
    <row r="6465" spans="1:141" s="116" customFormat="1">
      <c r="A6465" s="136"/>
      <c r="CM6465" s="111"/>
      <c r="CQ6465" s="111"/>
      <c r="EF6465"/>
      <c r="EG6465"/>
      <c r="EH6465"/>
      <c r="EI6465"/>
      <c r="EJ6465"/>
      <c r="EK6465"/>
    </row>
    <row r="6466" spans="1:141" s="116" customFormat="1">
      <c r="A6466" s="136"/>
      <c r="CM6466" s="111"/>
      <c r="CQ6466" s="111"/>
      <c r="EF6466"/>
      <c r="EG6466"/>
      <c r="EH6466"/>
      <c r="EI6466"/>
      <c r="EJ6466"/>
      <c r="EK6466"/>
    </row>
    <row r="6467" spans="1:141" s="116" customFormat="1">
      <c r="A6467" s="136"/>
      <c r="CM6467" s="111"/>
      <c r="CQ6467" s="111"/>
      <c r="EF6467"/>
      <c r="EG6467"/>
      <c r="EH6467"/>
      <c r="EI6467"/>
      <c r="EJ6467"/>
      <c r="EK6467"/>
    </row>
    <row r="6468" spans="1:141" s="116" customFormat="1">
      <c r="A6468" s="136"/>
      <c r="CM6468" s="111"/>
      <c r="CQ6468" s="111"/>
      <c r="EF6468"/>
      <c r="EG6468"/>
      <c r="EH6468"/>
      <c r="EI6468"/>
      <c r="EJ6468"/>
      <c r="EK6468"/>
    </row>
    <row r="6469" spans="1:141" s="116" customFormat="1">
      <c r="A6469" s="136"/>
      <c r="CM6469" s="111"/>
      <c r="CQ6469" s="111"/>
      <c r="EF6469"/>
      <c r="EG6469"/>
      <c r="EH6469"/>
      <c r="EI6469"/>
      <c r="EJ6469"/>
      <c r="EK6469"/>
    </row>
    <row r="6470" spans="1:141" s="116" customFormat="1">
      <c r="A6470" s="136"/>
      <c r="CM6470" s="111"/>
      <c r="CQ6470" s="111"/>
      <c r="EF6470"/>
      <c r="EG6470"/>
      <c r="EH6470"/>
      <c r="EI6470"/>
      <c r="EJ6470"/>
      <c r="EK6470"/>
    </row>
    <row r="6471" spans="1:141" s="116" customFormat="1">
      <c r="A6471" s="136"/>
      <c r="CM6471" s="111"/>
      <c r="CQ6471" s="111"/>
      <c r="EF6471"/>
      <c r="EG6471"/>
      <c r="EH6471"/>
      <c r="EI6471"/>
      <c r="EJ6471"/>
      <c r="EK6471"/>
    </row>
    <row r="6472" spans="1:141" s="116" customFormat="1">
      <c r="A6472" s="136"/>
      <c r="CM6472" s="111"/>
      <c r="CQ6472" s="111"/>
      <c r="EF6472"/>
      <c r="EG6472"/>
      <c r="EH6472"/>
      <c r="EI6472"/>
      <c r="EJ6472"/>
      <c r="EK6472"/>
    </row>
    <row r="6473" spans="1:141" s="116" customFormat="1">
      <c r="A6473" s="136"/>
      <c r="CM6473" s="111"/>
      <c r="CQ6473" s="111"/>
      <c r="EF6473"/>
      <c r="EG6473"/>
      <c r="EH6473"/>
      <c r="EI6473"/>
      <c r="EJ6473"/>
      <c r="EK6473"/>
    </row>
    <row r="6474" spans="1:141" s="116" customFormat="1">
      <c r="A6474" s="136"/>
      <c r="CM6474" s="111"/>
      <c r="CQ6474" s="111"/>
      <c r="EF6474"/>
      <c r="EG6474"/>
      <c r="EH6474"/>
      <c r="EI6474"/>
      <c r="EJ6474"/>
      <c r="EK6474"/>
    </row>
    <row r="6475" spans="1:141" s="116" customFormat="1">
      <c r="A6475" s="136"/>
      <c r="CM6475" s="111"/>
      <c r="CQ6475" s="111"/>
      <c r="EF6475"/>
      <c r="EG6475"/>
      <c r="EH6475"/>
      <c r="EI6475"/>
      <c r="EJ6475"/>
      <c r="EK6475"/>
    </row>
    <row r="6476" spans="1:141" s="116" customFormat="1">
      <c r="A6476" s="136"/>
      <c r="CM6476" s="111"/>
      <c r="CQ6476" s="111"/>
      <c r="EF6476"/>
      <c r="EG6476"/>
      <c r="EH6476"/>
      <c r="EI6476"/>
      <c r="EJ6476"/>
      <c r="EK6476"/>
    </row>
    <row r="6477" spans="1:141" s="116" customFormat="1">
      <c r="A6477" s="136"/>
      <c r="CM6477" s="111"/>
      <c r="CQ6477" s="111"/>
      <c r="EF6477"/>
      <c r="EG6477"/>
      <c r="EH6477"/>
      <c r="EI6477"/>
      <c r="EJ6477"/>
      <c r="EK6477"/>
    </row>
    <row r="6478" spans="1:141" s="116" customFormat="1">
      <c r="A6478" s="136"/>
      <c r="CM6478" s="111"/>
      <c r="CQ6478" s="111"/>
      <c r="EF6478"/>
      <c r="EG6478"/>
      <c r="EH6478"/>
      <c r="EI6478"/>
      <c r="EJ6478"/>
      <c r="EK6478"/>
    </row>
    <row r="6479" spans="1:141" s="116" customFormat="1">
      <c r="A6479" s="136"/>
      <c r="CM6479" s="111"/>
      <c r="CQ6479" s="111"/>
      <c r="EF6479"/>
      <c r="EG6479"/>
      <c r="EH6479"/>
      <c r="EI6479"/>
      <c r="EJ6479"/>
      <c r="EK6479"/>
    </row>
    <row r="6480" spans="1:141" s="116" customFormat="1">
      <c r="A6480" s="136"/>
      <c r="CM6480" s="111"/>
      <c r="CQ6480" s="111"/>
      <c r="EF6480"/>
      <c r="EG6480"/>
      <c r="EH6480"/>
      <c r="EI6480"/>
      <c r="EJ6480"/>
      <c r="EK6480"/>
    </row>
    <row r="6481" spans="1:141" s="116" customFormat="1">
      <c r="A6481" s="136"/>
      <c r="CM6481" s="111"/>
      <c r="CQ6481" s="111"/>
      <c r="EF6481"/>
      <c r="EG6481"/>
      <c r="EH6481"/>
      <c r="EI6481"/>
      <c r="EJ6481"/>
      <c r="EK6481"/>
    </row>
    <row r="6482" spans="1:141" s="116" customFormat="1">
      <c r="A6482" s="136"/>
      <c r="CM6482" s="111"/>
      <c r="CQ6482" s="111"/>
      <c r="EF6482"/>
      <c r="EG6482"/>
      <c r="EH6482"/>
      <c r="EI6482"/>
      <c r="EJ6482"/>
      <c r="EK6482"/>
    </row>
    <row r="6483" spans="1:141" s="116" customFormat="1">
      <c r="A6483" s="136"/>
      <c r="CM6483" s="111"/>
      <c r="CQ6483" s="111"/>
      <c r="EF6483"/>
      <c r="EG6483"/>
      <c r="EH6483"/>
      <c r="EI6483"/>
      <c r="EJ6483"/>
      <c r="EK6483"/>
    </row>
    <row r="6484" spans="1:141" s="116" customFormat="1">
      <c r="A6484" s="136"/>
      <c r="CM6484" s="111"/>
      <c r="CQ6484" s="111"/>
      <c r="EF6484"/>
      <c r="EG6484"/>
      <c r="EH6484"/>
      <c r="EI6484"/>
      <c r="EJ6484"/>
      <c r="EK6484"/>
    </row>
    <row r="6485" spans="1:141" s="116" customFormat="1">
      <c r="A6485" s="136"/>
      <c r="CM6485" s="111"/>
      <c r="CQ6485" s="111"/>
      <c r="EF6485"/>
      <c r="EG6485"/>
      <c r="EH6485"/>
      <c r="EI6485"/>
      <c r="EJ6485"/>
      <c r="EK6485"/>
    </row>
    <row r="6486" spans="1:141" s="116" customFormat="1">
      <c r="A6486" s="136"/>
      <c r="CM6486" s="111"/>
      <c r="CQ6486" s="111"/>
      <c r="EF6486"/>
      <c r="EG6486"/>
      <c r="EH6486"/>
      <c r="EI6486"/>
      <c r="EJ6486"/>
      <c r="EK6486"/>
    </row>
    <row r="6487" spans="1:141" s="116" customFormat="1">
      <c r="A6487" s="136"/>
      <c r="CM6487" s="111"/>
      <c r="CQ6487" s="111"/>
      <c r="EF6487"/>
      <c r="EG6487"/>
      <c r="EH6487"/>
      <c r="EI6487"/>
      <c r="EJ6487"/>
      <c r="EK6487"/>
    </row>
    <row r="6488" spans="1:141" s="116" customFormat="1">
      <c r="A6488" s="136"/>
      <c r="CM6488" s="111"/>
      <c r="CQ6488" s="111"/>
      <c r="EF6488"/>
      <c r="EG6488"/>
      <c r="EH6488"/>
      <c r="EI6488"/>
      <c r="EJ6488"/>
      <c r="EK6488"/>
    </row>
    <row r="6489" spans="1:141" s="116" customFormat="1">
      <c r="A6489" s="136"/>
      <c r="CM6489" s="111"/>
      <c r="CQ6489" s="111"/>
      <c r="EF6489"/>
      <c r="EG6489"/>
      <c r="EH6489"/>
      <c r="EI6489"/>
      <c r="EJ6489"/>
      <c r="EK6489"/>
    </row>
    <row r="6490" spans="1:141" s="116" customFormat="1">
      <c r="A6490" s="136"/>
      <c r="CM6490" s="111"/>
      <c r="CQ6490" s="111"/>
      <c r="EF6490"/>
      <c r="EG6490"/>
      <c r="EH6490"/>
      <c r="EI6490"/>
      <c r="EJ6490"/>
      <c r="EK6490"/>
    </row>
    <row r="6491" spans="1:141" s="116" customFormat="1">
      <c r="A6491" s="136"/>
      <c r="CM6491" s="111"/>
      <c r="CQ6491" s="111"/>
      <c r="EF6491"/>
      <c r="EG6491"/>
      <c r="EH6491"/>
      <c r="EI6491"/>
      <c r="EJ6491"/>
      <c r="EK6491"/>
    </row>
    <row r="6492" spans="1:141" s="116" customFormat="1">
      <c r="A6492" s="136"/>
      <c r="CM6492" s="111"/>
      <c r="CQ6492" s="111"/>
      <c r="EF6492"/>
      <c r="EG6492"/>
      <c r="EH6492"/>
      <c r="EI6492"/>
      <c r="EJ6492"/>
      <c r="EK6492"/>
    </row>
    <row r="6493" spans="1:141" s="116" customFormat="1">
      <c r="A6493" s="136"/>
      <c r="CM6493" s="111"/>
      <c r="CQ6493" s="111"/>
      <c r="EF6493"/>
      <c r="EG6493"/>
      <c r="EH6493"/>
      <c r="EI6493"/>
      <c r="EJ6493"/>
      <c r="EK6493"/>
    </row>
    <row r="6494" spans="1:141" s="116" customFormat="1">
      <c r="A6494" s="136"/>
      <c r="CM6494" s="111"/>
      <c r="CQ6494" s="111"/>
      <c r="EF6494"/>
      <c r="EG6494"/>
      <c r="EH6494"/>
      <c r="EI6494"/>
      <c r="EJ6494"/>
      <c r="EK6494"/>
    </row>
    <row r="6495" spans="1:141" s="116" customFormat="1">
      <c r="A6495" s="136"/>
      <c r="CM6495" s="111"/>
      <c r="CQ6495" s="111"/>
      <c r="EF6495"/>
      <c r="EG6495"/>
      <c r="EH6495"/>
      <c r="EI6495"/>
      <c r="EJ6495"/>
      <c r="EK6495"/>
    </row>
    <row r="6496" spans="1:141" s="116" customFormat="1">
      <c r="A6496" s="136"/>
      <c r="CM6496" s="111"/>
      <c r="CQ6496" s="111"/>
      <c r="EF6496"/>
      <c r="EG6496"/>
      <c r="EH6496"/>
      <c r="EI6496"/>
      <c r="EJ6496"/>
      <c r="EK6496"/>
    </row>
    <row r="6497" spans="1:141" s="116" customFormat="1">
      <c r="A6497" s="136"/>
      <c r="CM6497" s="111"/>
      <c r="CQ6497" s="111"/>
      <c r="EF6497"/>
      <c r="EG6497"/>
      <c r="EH6497"/>
      <c r="EI6497"/>
      <c r="EJ6497"/>
      <c r="EK6497"/>
    </row>
    <row r="6498" spans="1:141" s="116" customFormat="1">
      <c r="A6498" s="136"/>
      <c r="CM6498" s="111"/>
      <c r="CQ6498" s="111"/>
      <c r="EF6498"/>
      <c r="EG6498"/>
      <c r="EH6498"/>
      <c r="EI6498"/>
      <c r="EJ6498"/>
      <c r="EK6498"/>
    </row>
    <row r="6499" spans="1:141" s="116" customFormat="1">
      <c r="A6499" s="136"/>
      <c r="CM6499" s="111"/>
      <c r="CQ6499" s="111"/>
      <c r="EF6499"/>
      <c r="EG6499"/>
      <c r="EH6499"/>
      <c r="EI6499"/>
      <c r="EJ6499"/>
      <c r="EK6499"/>
    </row>
    <row r="6500" spans="1:141" s="116" customFormat="1">
      <c r="A6500" s="136"/>
      <c r="CM6500" s="111"/>
      <c r="CQ6500" s="111"/>
      <c r="EF6500"/>
      <c r="EG6500"/>
      <c r="EH6500"/>
      <c r="EI6500"/>
      <c r="EJ6500"/>
      <c r="EK6500"/>
    </row>
    <row r="6501" spans="1:141" s="116" customFormat="1">
      <c r="A6501" s="136"/>
      <c r="CM6501" s="111"/>
      <c r="CQ6501" s="111"/>
      <c r="EF6501"/>
      <c r="EG6501"/>
      <c r="EH6501"/>
      <c r="EI6501"/>
      <c r="EJ6501"/>
      <c r="EK6501"/>
    </row>
    <row r="6502" spans="1:141" s="116" customFormat="1">
      <c r="A6502" s="136"/>
      <c r="CM6502" s="111"/>
      <c r="CQ6502" s="111"/>
      <c r="EF6502"/>
      <c r="EG6502"/>
      <c r="EH6502"/>
      <c r="EI6502"/>
      <c r="EJ6502"/>
      <c r="EK6502"/>
    </row>
    <row r="6503" spans="1:141" s="116" customFormat="1">
      <c r="A6503" s="136"/>
      <c r="CM6503" s="111"/>
      <c r="CQ6503" s="111"/>
      <c r="EF6503"/>
      <c r="EG6503"/>
      <c r="EH6503"/>
      <c r="EI6503"/>
      <c r="EJ6503"/>
      <c r="EK6503"/>
    </row>
    <row r="6504" spans="1:141" s="116" customFormat="1">
      <c r="A6504" s="136"/>
      <c r="CM6504" s="111"/>
      <c r="CQ6504" s="111"/>
      <c r="EF6504"/>
      <c r="EG6504"/>
      <c r="EH6504"/>
      <c r="EI6504"/>
      <c r="EJ6504"/>
      <c r="EK6504"/>
    </row>
    <row r="6505" spans="1:141" s="116" customFormat="1">
      <c r="A6505" s="136"/>
      <c r="CM6505" s="111"/>
      <c r="CQ6505" s="111"/>
      <c r="EF6505"/>
      <c r="EG6505"/>
      <c r="EH6505"/>
      <c r="EI6505"/>
      <c r="EJ6505"/>
      <c r="EK6505"/>
    </row>
    <row r="6506" spans="1:141" s="116" customFormat="1">
      <c r="A6506" s="136"/>
      <c r="CM6506" s="111"/>
      <c r="CQ6506" s="111"/>
      <c r="EF6506"/>
      <c r="EG6506"/>
      <c r="EH6506"/>
      <c r="EI6506"/>
      <c r="EJ6506"/>
      <c r="EK6506"/>
    </row>
    <row r="6507" spans="1:141" s="116" customFormat="1">
      <c r="A6507" s="136"/>
      <c r="CM6507" s="111"/>
      <c r="CQ6507" s="111"/>
      <c r="EF6507"/>
      <c r="EG6507"/>
      <c r="EH6507"/>
      <c r="EI6507"/>
      <c r="EJ6507"/>
      <c r="EK6507"/>
    </row>
    <row r="6508" spans="1:141" s="116" customFormat="1">
      <c r="A6508" s="136"/>
      <c r="CM6508" s="111"/>
      <c r="CQ6508" s="111"/>
      <c r="EF6508"/>
      <c r="EG6508"/>
      <c r="EH6508"/>
      <c r="EI6508"/>
      <c r="EJ6508"/>
      <c r="EK6508"/>
    </row>
    <row r="6509" spans="1:141" s="116" customFormat="1">
      <c r="A6509" s="136"/>
      <c r="CM6509" s="111"/>
      <c r="CQ6509" s="111"/>
      <c r="EF6509"/>
      <c r="EG6509"/>
      <c r="EH6509"/>
      <c r="EI6509"/>
      <c r="EJ6509"/>
      <c r="EK6509"/>
    </row>
    <row r="6510" spans="1:141" s="116" customFormat="1">
      <c r="A6510" s="136"/>
      <c r="CM6510" s="111"/>
      <c r="CQ6510" s="111"/>
      <c r="EF6510"/>
      <c r="EG6510"/>
      <c r="EH6510"/>
      <c r="EI6510"/>
      <c r="EJ6510"/>
      <c r="EK6510"/>
    </row>
    <row r="6511" spans="1:141" s="116" customFormat="1">
      <c r="A6511" s="136"/>
      <c r="CM6511" s="111"/>
      <c r="CQ6511" s="111"/>
      <c r="EF6511"/>
      <c r="EG6511"/>
      <c r="EH6511"/>
      <c r="EI6511"/>
      <c r="EJ6511"/>
      <c r="EK6511"/>
    </row>
    <row r="6512" spans="1:141" s="116" customFormat="1">
      <c r="A6512" s="136"/>
      <c r="CM6512" s="111"/>
      <c r="CQ6512" s="111"/>
      <c r="EF6512"/>
      <c r="EG6512"/>
      <c r="EH6512"/>
      <c r="EI6512"/>
      <c r="EJ6512"/>
      <c r="EK6512"/>
    </row>
    <row r="6513" spans="1:141" s="116" customFormat="1">
      <c r="A6513" s="136"/>
      <c r="CM6513" s="111"/>
      <c r="CQ6513" s="111"/>
      <c r="EF6513"/>
      <c r="EG6513"/>
      <c r="EH6513"/>
      <c r="EI6513"/>
      <c r="EJ6513"/>
      <c r="EK6513"/>
    </row>
    <row r="6514" spans="1:141" s="116" customFormat="1">
      <c r="A6514" s="136"/>
      <c r="CM6514" s="111"/>
      <c r="CQ6514" s="111"/>
      <c r="EF6514"/>
      <c r="EG6514"/>
      <c r="EH6514"/>
      <c r="EI6514"/>
      <c r="EJ6514"/>
      <c r="EK6514"/>
    </row>
    <row r="6515" spans="1:141" s="116" customFormat="1">
      <c r="A6515" s="136"/>
      <c r="CM6515" s="111"/>
      <c r="CQ6515" s="111"/>
      <c r="EF6515"/>
      <c r="EG6515"/>
      <c r="EH6515"/>
      <c r="EI6515"/>
      <c r="EJ6515"/>
      <c r="EK6515"/>
    </row>
    <row r="6516" spans="1:141" s="116" customFormat="1">
      <c r="A6516" s="136"/>
      <c r="CM6516" s="111"/>
      <c r="CQ6516" s="111"/>
      <c r="EF6516"/>
      <c r="EG6516"/>
      <c r="EH6516"/>
      <c r="EI6516"/>
      <c r="EJ6516"/>
      <c r="EK6516"/>
    </row>
    <row r="6517" spans="1:141" s="116" customFormat="1">
      <c r="A6517" s="136"/>
      <c r="CM6517" s="111"/>
      <c r="CQ6517" s="111"/>
      <c r="EF6517"/>
      <c r="EG6517"/>
      <c r="EH6517"/>
      <c r="EI6517"/>
      <c r="EJ6517"/>
      <c r="EK6517"/>
    </row>
    <row r="6518" spans="1:141" s="116" customFormat="1">
      <c r="A6518" s="136"/>
      <c r="CM6518" s="111"/>
      <c r="CQ6518" s="111"/>
      <c r="EF6518"/>
      <c r="EG6518"/>
      <c r="EH6518"/>
      <c r="EI6518"/>
      <c r="EJ6518"/>
      <c r="EK6518"/>
    </row>
    <row r="6519" spans="1:141" s="116" customFormat="1">
      <c r="A6519" s="136"/>
      <c r="CM6519" s="111"/>
      <c r="CQ6519" s="111"/>
      <c r="EF6519"/>
      <c r="EG6519"/>
      <c r="EH6519"/>
      <c r="EI6519"/>
      <c r="EJ6519"/>
      <c r="EK6519"/>
    </row>
    <row r="6520" spans="1:141" s="116" customFormat="1">
      <c r="A6520" s="136"/>
      <c r="CM6520" s="111"/>
      <c r="CQ6520" s="111"/>
      <c r="EF6520"/>
      <c r="EG6520"/>
      <c r="EH6520"/>
      <c r="EI6520"/>
      <c r="EJ6520"/>
      <c r="EK6520"/>
    </row>
    <row r="6521" spans="1:141" s="116" customFormat="1">
      <c r="A6521" s="136"/>
      <c r="CM6521" s="111"/>
      <c r="CQ6521" s="111"/>
      <c r="EF6521"/>
      <c r="EG6521"/>
      <c r="EH6521"/>
      <c r="EI6521"/>
      <c r="EJ6521"/>
      <c r="EK6521"/>
    </row>
    <row r="6522" spans="1:141" s="116" customFormat="1">
      <c r="A6522" s="136"/>
      <c r="CM6522" s="111"/>
      <c r="CQ6522" s="111"/>
      <c r="EF6522"/>
      <c r="EG6522"/>
      <c r="EH6522"/>
      <c r="EI6522"/>
      <c r="EJ6522"/>
      <c r="EK6522"/>
    </row>
    <row r="6523" spans="1:141" s="116" customFormat="1">
      <c r="A6523" s="136"/>
      <c r="CM6523" s="111"/>
      <c r="CQ6523" s="111"/>
      <c r="EF6523"/>
      <c r="EG6523"/>
      <c r="EH6523"/>
      <c r="EI6523"/>
      <c r="EJ6523"/>
      <c r="EK6523"/>
    </row>
    <row r="6524" spans="1:141" s="116" customFormat="1">
      <c r="A6524" s="136"/>
      <c r="CM6524" s="111"/>
      <c r="CQ6524" s="111"/>
      <c r="EF6524"/>
      <c r="EG6524"/>
      <c r="EH6524"/>
      <c r="EI6524"/>
      <c r="EJ6524"/>
      <c r="EK6524"/>
    </row>
    <row r="6525" spans="1:141" s="116" customFormat="1">
      <c r="A6525" s="136"/>
      <c r="CM6525" s="111"/>
      <c r="CQ6525" s="111"/>
      <c r="EF6525"/>
      <c r="EG6525"/>
      <c r="EH6525"/>
      <c r="EI6525"/>
      <c r="EJ6525"/>
      <c r="EK6525"/>
    </row>
    <row r="6526" spans="1:141" s="116" customFormat="1">
      <c r="A6526" s="136"/>
      <c r="CM6526" s="111"/>
      <c r="CQ6526" s="111"/>
      <c r="EF6526"/>
      <c r="EG6526"/>
      <c r="EH6526"/>
      <c r="EI6526"/>
      <c r="EJ6526"/>
      <c r="EK6526"/>
    </row>
    <row r="6527" spans="1:141" s="116" customFormat="1">
      <c r="A6527" s="136"/>
      <c r="CM6527" s="111"/>
      <c r="CQ6527" s="111"/>
      <c r="EF6527"/>
      <c r="EG6527"/>
      <c r="EH6527"/>
      <c r="EI6527"/>
      <c r="EJ6527"/>
      <c r="EK6527"/>
    </row>
    <row r="6528" spans="1:141" s="116" customFormat="1">
      <c r="A6528" s="136"/>
      <c r="CM6528" s="111"/>
      <c r="CQ6528" s="111"/>
      <c r="EF6528"/>
      <c r="EG6528"/>
      <c r="EH6528"/>
      <c r="EI6528"/>
      <c r="EJ6528"/>
      <c r="EK6528"/>
    </row>
    <row r="6529" spans="1:141" s="116" customFormat="1">
      <c r="A6529" s="136"/>
      <c r="CM6529" s="111"/>
      <c r="CQ6529" s="111"/>
      <c r="EF6529"/>
      <c r="EG6529"/>
      <c r="EH6529"/>
      <c r="EI6529"/>
      <c r="EJ6529"/>
      <c r="EK6529"/>
    </row>
    <row r="6530" spans="1:141" s="116" customFormat="1">
      <c r="A6530" s="136"/>
      <c r="CM6530" s="111"/>
      <c r="CQ6530" s="111"/>
      <c r="EF6530"/>
      <c r="EG6530"/>
      <c r="EH6530"/>
      <c r="EI6530"/>
      <c r="EJ6530"/>
      <c r="EK6530"/>
    </row>
    <row r="6531" spans="1:141" s="116" customFormat="1">
      <c r="A6531" s="136"/>
      <c r="CM6531" s="111"/>
      <c r="CQ6531" s="111"/>
      <c r="EF6531"/>
      <c r="EG6531"/>
      <c r="EH6531"/>
      <c r="EI6531"/>
      <c r="EJ6531"/>
      <c r="EK6531"/>
    </row>
    <row r="6532" spans="1:141" s="116" customFormat="1">
      <c r="A6532" s="136"/>
      <c r="CM6532" s="111"/>
      <c r="CQ6532" s="111"/>
      <c r="EF6532"/>
      <c r="EG6532"/>
      <c r="EH6532"/>
      <c r="EI6532"/>
      <c r="EJ6532"/>
      <c r="EK6532"/>
    </row>
    <row r="6533" spans="1:141" s="116" customFormat="1">
      <c r="A6533" s="136"/>
      <c r="CM6533" s="111"/>
      <c r="CQ6533" s="111"/>
      <c r="EF6533"/>
      <c r="EG6533"/>
      <c r="EH6533"/>
      <c r="EI6533"/>
      <c r="EJ6533"/>
      <c r="EK6533"/>
    </row>
    <row r="6534" spans="1:141" s="116" customFormat="1">
      <c r="A6534" s="136"/>
      <c r="CM6534" s="111"/>
      <c r="CQ6534" s="111"/>
      <c r="EF6534"/>
      <c r="EG6534"/>
      <c r="EH6534"/>
      <c r="EI6534"/>
      <c r="EJ6534"/>
      <c r="EK6534"/>
    </row>
    <row r="6535" spans="1:141" s="116" customFormat="1">
      <c r="A6535" s="136"/>
      <c r="CM6535" s="111"/>
      <c r="CQ6535" s="111"/>
      <c r="EF6535"/>
      <c r="EG6535"/>
      <c r="EH6535"/>
      <c r="EI6535"/>
      <c r="EJ6535"/>
      <c r="EK6535"/>
    </row>
    <row r="6536" spans="1:141" s="116" customFormat="1">
      <c r="A6536" s="136"/>
      <c r="CM6536" s="111"/>
      <c r="CQ6536" s="111"/>
      <c r="EF6536"/>
      <c r="EG6536"/>
      <c r="EH6536"/>
      <c r="EI6536"/>
      <c r="EJ6536"/>
      <c r="EK6536"/>
    </row>
    <row r="6537" spans="1:141" s="116" customFormat="1">
      <c r="A6537" s="136"/>
      <c r="CM6537" s="111"/>
      <c r="CQ6537" s="111"/>
      <c r="EF6537"/>
      <c r="EG6537"/>
      <c r="EH6537"/>
      <c r="EI6537"/>
      <c r="EJ6537"/>
      <c r="EK6537"/>
    </row>
    <row r="6538" spans="1:141" s="116" customFormat="1">
      <c r="A6538" s="136"/>
      <c r="CM6538" s="111"/>
      <c r="CQ6538" s="111"/>
      <c r="EF6538"/>
      <c r="EG6538"/>
      <c r="EH6538"/>
      <c r="EI6538"/>
      <c r="EJ6538"/>
      <c r="EK6538"/>
    </row>
    <row r="6539" spans="1:141" s="116" customFormat="1">
      <c r="A6539" s="136"/>
      <c r="CM6539" s="111"/>
      <c r="CQ6539" s="111"/>
      <c r="EF6539"/>
      <c r="EG6539"/>
      <c r="EH6539"/>
      <c r="EI6539"/>
      <c r="EJ6539"/>
      <c r="EK6539"/>
    </row>
    <row r="6540" spans="1:141" s="116" customFormat="1">
      <c r="A6540" s="136"/>
      <c r="CM6540" s="111"/>
      <c r="CQ6540" s="111"/>
      <c r="EF6540"/>
      <c r="EG6540"/>
      <c r="EH6540"/>
      <c r="EI6540"/>
      <c r="EJ6540"/>
      <c r="EK6540"/>
    </row>
    <row r="6541" spans="1:141" s="116" customFormat="1">
      <c r="A6541" s="136"/>
      <c r="CM6541" s="111"/>
      <c r="CQ6541" s="111"/>
      <c r="EF6541"/>
      <c r="EG6541"/>
      <c r="EH6541"/>
      <c r="EI6541"/>
      <c r="EJ6541"/>
      <c r="EK6541"/>
    </row>
    <row r="6542" spans="1:141" s="116" customFormat="1">
      <c r="A6542" s="136"/>
      <c r="CM6542" s="111"/>
      <c r="CQ6542" s="111"/>
      <c r="EF6542"/>
      <c r="EG6542"/>
      <c r="EH6542"/>
      <c r="EI6542"/>
      <c r="EJ6542"/>
      <c r="EK6542"/>
    </row>
    <row r="6543" spans="1:141" s="116" customFormat="1">
      <c r="A6543" s="136"/>
      <c r="CM6543" s="111"/>
      <c r="CQ6543" s="111"/>
      <c r="EF6543"/>
      <c r="EG6543"/>
      <c r="EH6543"/>
      <c r="EI6543"/>
      <c r="EJ6543"/>
      <c r="EK6543"/>
    </row>
    <row r="6544" spans="1:141" s="116" customFormat="1">
      <c r="A6544" s="136"/>
      <c r="CM6544" s="111"/>
      <c r="CQ6544" s="111"/>
      <c r="EF6544"/>
      <c r="EG6544"/>
      <c r="EH6544"/>
      <c r="EI6544"/>
      <c r="EJ6544"/>
      <c r="EK6544"/>
    </row>
    <row r="6545" spans="1:141" s="116" customFormat="1">
      <c r="A6545" s="136"/>
      <c r="CM6545" s="111"/>
      <c r="CQ6545" s="111"/>
      <c r="EF6545"/>
      <c r="EG6545"/>
      <c r="EH6545"/>
      <c r="EI6545"/>
      <c r="EJ6545"/>
      <c r="EK6545"/>
    </row>
    <row r="6546" spans="1:141" s="116" customFormat="1">
      <c r="A6546" s="136"/>
      <c r="CM6546" s="111"/>
      <c r="CQ6546" s="111"/>
      <c r="EF6546"/>
      <c r="EG6546"/>
      <c r="EH6546"/>
      <c r="EI6546"/>
      <c r="EJ6546"/>
      <c r="EK6546"/>
    </row>
    <row r="6547" spans="1:141" s="116" customFormat="1">
      <c r="A6547" s="136"/>
      <c r="CM6547" s="111"/>
      <c r="CQ6547" s="111"/>
      <c r="EF6547"/>
      <c r="EG6547"/>
      <c r="EH6547"/>
      <c r="EI6547"/>
      <c r="EJ6547"/>
      <c r="EK6547"/>
    </row>
    <row r="6548" spans="1:141" s="116" customFormat="1">
      <c r="A6548" s="136"/>
      <c r="CM6548" s="111"/>
      <c r="CQ6548" s="111"/>
      <c r="EF6548"/>
      <c r="EG6548"/>
      <c r="EH6548"/>
      <c r="EI6548"/>
      <c r="EJ6548"/>
      <c r="EK6548"/>
    </row>
    <row r="6549" spans="1:141" s="116" customFormat="1">
      <c r="A6549" s="136"/>
      <c r="CM6549" s="111"/>
      <c r="CQ6549" s="111"/>
      <c r="EF6549"/>
      <c r="EG6549"/>
      <c r="EH6549"/>
      <c r="EI6549"/>
      <c r="EJ6549"/>
      <c r="EK6549"/>
    </row>
    <row r="6550" spans="1:141" s="116" customFormat="1">
      <c r="A6550" s="136"/>
      <c r="CM6550" s="111"/>
      <c r="CQ6550" s="111"/>
      <c r="EF6550"/>
      <c r="EG6550"/>
      <c r="EH6550"/>
      <c r="EI6550"/>
      <c r="EJ6550"/>
      <c r="EK6550"/>
    </row>
    <row r="6551" spans="1:141" s="116" customFormat="1">
      <c r="A6551" s="136"/>
      <c r="CM6551" s="111"/>
      <c r="CQ6551" s="111"/>
      <c r="EF6551"/>
      <c r="EG6551"/>
      <c r="EH6551"/>
      <c r="EI6551"/>
      <c r="EJ6551"/>
      <c r="EK6551"/>
    </row>
    <row r="6552" spans="1:141" s="116" customFormat="1">
      <c r="A6552" s="136"/>
      <c r="CM6552" s="111"/>
      <c r="CQ6552" s="111"/>
      <c r="EF6552"/>
      <c r="EG6552"/>
      <c r="EH6552"/>
      <c r="EI6552"/>
      <c r="EJ6552"/>
      <c r="EK6552"/>
    </row>
    <row r="6553" spans="1:141" s="116" customFormat="1">
      <c r="A6553" s="136"/>
      <c r="CM6553" s="111"/>
      <c r="CQ6553" s="111"/>
      <c r="EF6553"/>
      <c r="EG6553"/>
      <c r="EH6553"/>
      <c r="EI6553"/>
      <c r="EJ6553"/>
      <c r="EK6553"/>
    </row>
    <row r="6554" spans="1:141" s="116" customFormat="1">
      <c r="A6554" s="136"/>
      <c r="CM6554" s="111"/>
      <c r="CQ6554" s="111"/>
      <c r="EF6554"/>
      <c r="EG6554"/>
      <c r="EH6554"/>
      <c r="EI6554"/>
      <c r="EJ6554"/>
      <c r="EK6554"/>
    </row>
    <row r="6555" spans="1:141" s="116" customFormat="1">
      <c r="A6555" s="136"/>
      <c r="CM6555" s="111"/>
      <c r="CQ6555" s="111"/>
      <c r="EF6555"/>
      <c r="EG6555"/>
      <c r="EH6555"/>
      <c r="EI6555"/>
      <c r="EJ6555"/>
      <c r="EK6555"/>
    </row>
    <row r="6556" spans="1:141" s="116" customFormat="1">
      <c r="A6556" s="136"/>
      <c r="CM6556" s="111"/>
      <c r="CQ6556" s="111"/>
      <c r="EF6556"/>
      <c r="EG6556"/>
      <c r="EH6556"/>
      <c r="EI6556"/>
      <c r="EJ6556"/>
      <c r="EK6556"/>
    </row>
    <row r="6557" spans="1:141" s="116" customFormat="1">
      <c r="A6557" s="136"/>
      <c r="CM6557" s="111"/>
      <c r="CQ6557" s="111"/>
      <c r="EF6557"/>
      <c r="EG6557"/>
      <c r="EH6557"/>
      <c r="EI6557"/>
      <c r="EJ6557"/>
      <c r="EK6557"/>
    </row>
    <row r="6558" spans="1:141" s="116" customFormat="1">
      <c r="A6558" s="136"/>
      <c r="CM6558" s="111"/>
      <c r="CQ6558" s="111"/>
      <c r="EF6558"/>
      <c r="EG6558"/>
      <c r="EH6558"/>
      <c r="EI6558"/>
      <c r="EJ6558"/>
      <c r="EK6558"/>
    </row>
    <row r="6559" spans="1:141" s="116" customFormat="1">
      <c r="A6559" s="136"/>
      <c r="CM6559" s="111"/>
      <c r="CQ6559" s="111"/>
      <c r="EF6559"/>
      <c r="EG6559"/>
      <c r="EH6559"/>
      <c r="EI6559"/>
      <c r="EJ6559"/>
      <c r="EK6559"/>
    </row>
    <row r="6560" spans="1:141" s="116" customFormat="1">
      <c r="A6560" s="136"/>
      <c r="CM6560" s="111"/>
      <c r="CQ6560" s="111"/>
      <c r="EF6560"/>
      <c r="EG6560"/>
      <c r="EH6560"/>
      <c r="EI6560"/>
      <c r="EJ6560"/>
      <c r="EK6560"/>
    </row>
    <row r="6561" spans="1:141" s="116" customFormat="1">
      <c r="A6561" s="136"/>
      <c r="CM6561" s="111"/>
      <c r="CQ6561" s="111"/>
      <c r="EF6561"/>
      <c r="EG6561"/>
      <c r="EH6561"/>
      <c r="EI6561"/>
      <c r="EJ6561"/>
      <c r="EK6561"/>
    </row>
    <row r="6562" spans="1:141" s="116" customFormat="1">
      <c r="A6562" s="136"/>
      <c r="CM6562" s="111"/>
      <c r="CQ6562" s="111"/>
      <c r="EF6562"/>
      <c r="EG6562"/>
      <c r="EH6562"/>
      <c r="EI6562"/>
      <c r="EJ6562"/>
      <c r="EK6562"/>
    </row>
    <row r="6563" spans="1:141" s="116" customFormat="1">
      <c r="A6563" s="136"/>
      <c r="CM6563" s="111"/>
      <c r="CQ6563" s="111"/>
      <c r="EF6563"/>
      <c r="EG6563"/>
      <c r="EH6563"/>
      <c r="EI6563"/>
      <c r="EJ6563"/>
      <c r="EK6563"/>
    </row>
    <row r="6564" spans="1:141" s="116" customFormat="1">
      <c r="A6564" s="136"/>
      <c r="CM6564" s="111"/>
      <c r="CQ6564" s="111"/>
      <c r="EF6564"/>
      <c r="EG6564"/>
      <c r="EH6564"/>
      <c r="EI6564"/>
      <c r="EJ6564"/>
      <c r="EK6564"/>
    </row>
    <row r="6565" spans="1:141" s="116" customFormat="1">
      <c r="A6565" s="136"/>
      <c r="CM6565" s="111"/>
      <c r="CQ6565" s="111"/>
      <c r="EF6565"/>
      <c r="EG6565"/>
      <c r="EH6565"/>
      <c r="EI6565"/>
      <c r="EJ6565"/>
      <c r="EK6565"/>
    </row>
    <row r="6566" spans="1:141" s="116" customFormat="1">
      <c r="A6566" s="136"/>
      <c r="CM6566" s="111"/>
      <c r="CQ6566" s="111"/>
      <c r="EF6566"/>
      <c r="EG6566"/>
      <c r="EH6566"/>
      <c r="EI6566"/>
      <c r="EJ6566"/>
      <c r="EK6566"/>
    </row>
    <row r="6567" spans="1:141" s="116" customFormat="1">
      <c r="A6567" s="136"/>
      <c r="CM6567" s="111"/>
      <c r="CQ6567" s="111"/>
      <c r="EF6567"/>
      <c r="EG6567"/>
      <c r="EH6567"/>
      <c r="EI6567"/>
      <c r="EJ6567"/>
      <c r="EK6567"/>
    </row>
    <row r="6568" spans="1:141" s="116" customFormat="1">
      <c r="A6568" s="136"/>
      <c r="CM6568" s="111"/>
      <c r="CQ6568" s="111"/>
      <c r="EF6568"/>
      <c r="EG6568"/>
      <c r="EH6568"/>
      <c r="EI6568"/>
      <c r="EJ6568"/>
      <c r="EK6568"/>
    </row>
    <row r="6569" spans="1:141" s="116" customFormat="1">
      <c r="A6569" s="136"/>
      <c r="CM6569" s="111"/>
      <c r="CQ6569" s="111"/>
      <c r="EF6569"/>
      <c r="EG6569"/>
      <c r="EH6569"/>
      <c r="EI6569"/>
      <c r="EJ6569"/>
      <c r="EK6569"/>
    </row>
    <row r="6570" spans="1:141" s="116" customFormat="1">
      <c r="A6570" s="136"/>
      <c r="CM6570" s="111"/>
      <c r="CQ6570" s="111"/>
      <c r="EF6570"/>
      <c r="EG6570"/>
      <c r="EH6570"/>
      <c r="EI6570"/>
      <c r="EJ6570"/>
      <c r="EK6570"/>
    </row>
    <row r="6571" spans="1:141" s="116" customFormat="1">
      <c r="A6571" s="136"/>
      <c r="CM6571" s="111"/>
      <c r="CQ6571" s="111"/>
      <c r="EF6571"/>
      <c r="EG6571"/>
      <c r="EH6571"/>
      <c r="EI6571"/>
      <c r="EJ6571"/>
      <c r="EK6571"/>
    </row>
    <row r="6572" spans="1:141" s="116" customFormat="1">
      <c r="A6572" s="136"/>
      <c r="CM6572" s="111"/>
      <c r="CQ6572" s="111"/>
      <c r="EF6572"/>
      <c r="EG6572"/>
      <c r="EH6572"/>
      <c r="EI6572"/>
      <c r="EJ6572"/>
      <c r="EK6572"/>
    </row>
    <row r="6573" spans="1:141" s="116" customFormat="1">
      <c r="A6573" s="136"/>
      <c r="CM6573" s="111"/>
      <c r="CQ6573" s="111"/>
      <c r="EF6573"/>
      <c r="EG6573"/>
      <c r="EH6573"/>
      <c r="EI6573"/>
      <c r="EJ6573"/>
      <c r="EK6573"/>
    </row>
    <row r="6574" spans="1:141" s="116" customFormat="1">
      <c r="A6574" s="136"/>
      <c r="CM6574" s="111"/>
      <c r="CQ6574" s="111"/>
      <c r="EF6574"/>
      <c r="EG6574"/>
      <c r="EH6574"/>
      <c r="EI6574"/>
      <c r="EJ6574"/>
      <c r="EK6574"/>
    </row>
    <row r="6575" spans="1:141" s="116" customFormat="1">
      <c r="A6575" s="136"/>
      <c r="CM6575" s="111"/>
      <c r="CQ6575" s="111"/>
      <c r="EF6575"/>
      <c r="EG6575"/>
      <c r="EH6575"/>
      <c r="EI6575"/>
      <c r="EJ6575"/>
      <c r="EK6575"/>
    </row>
    <row r="6576" spans="1:141" s="116" customFormat="1">
      <c r="A6576" s="136"/>
      <c r="CM6576" s="111"/>
      <c r="CQ6576" s="111"/>
      <c r="EF6576"/>
      <c r="EG6576"/>
      <c r="EH6576"/>
      <c r="EI6576"/>
      <c r="EJ6576"/>
      <c r="EK6576"/>
    </row>
    <row r="6577" spans="1:141" s="116" customFormat="1">
      <c r="A6577" s="136"/>
      <c r="CM6577" s="111"/>
      <c r="CQ6577" s="111"/>
      <c r="EF6577"/>
      <c r="EG6577"/>
      <c r="EH6577"/>
      <c r="EI6577"/>
      <c r="EJ6577"/>
      <c r="EK6577"/>
    </row>
    <row r="6578" spans="1:141" s="116" customFormat="1">
      <c r="A6578" s="136"/>
      <c r="CM6578" s="111"/>
      <c r="CQ6578" s="111"/>
      <c r="EF6578"/>
      <c r="EG6578"/>
      <c r="EH6578"/>
      <c r="EI6578"/>
      <c r="EJ6578"/>
      <c r="EK6578"/>
    </row>
    <row r="6579" spans="1:141" s="116" customFormat="1">
      <c r="A6579" s="136"/>
      <c r="CM6579" s="111"/>
      <c r="CQ6579" s="111"/>
      <c r="EF6579"/>
      <c r="EG6579"/>
      <c r="EH6579"/>
      <c r="EI6579"/>
      <c r="EJ6579"/>
      <c r="EK6579"/>
    </row>
    <row r="6580" spans="1:141" s="116" customFormat="1">
      <c r="A6580" s="136"/>
      <c r="CM6580" s="111"/>
      <c r="CQ6580" s="111"/>
      <c r="EF6580"/>
      <c r="EG6580"/>
      <c r="EH6580"/>
      <c r="EI6580"/>
      <c r="EJ6580"/>
      <c r="EK6580"/>
    </row>
    <row r="6581" spans="1:141" s="116" customFormat="1">
      <c r="A6581" s="136"/>
      <c r="CM6581" s="111"/>
      <c r="CQ6581" s="111"/>
      <c r="EF6581"/>
      <c r="EG6581"/>
      <c r="EH6581"/>
      <c r="EI6581"/>
      <c r="EJ6581"/>
      <c r="EK6581"/>
    </row>
    <row r="6582" spans="1:141" s="116" customFormat="1">
      <c r="A6582" s="136"/>
      <c r="CM6582" s="111"/>
      <c r="CQ6582" s="111"/>
      <c r="EF6582"/>
      <c r="EG6582"/>
      <c r="EH6582"/>
      <c r="EI6582"/>
      <c r="EJ6582"/>
      <c r="EK6582"/>
    </row>
    <row r="6583" spans="1:141" s="116" customFormat="1">
      <c r="A6583" s="136"/>
      <c r="CM6583" s="111"/>
      <c r="CQ6583" s="111"/>
      <c r="EF6583"/>
      <c r="EG6583"/>
      <c r="EH6583"/>
      <c r="EI6583"/>
      <c r="EJ6583"/>
      <c r="EK6583"/>
    </row>
    <row r="6584" spans="1:141" s="116" customFormat="1">
      <c r="A6584" s="136"/>
      <c r="CM6584" s="111"/>
      <c r="CQ6584" s="111"/>
      <c r="EF6584"/>
      <c r="EG6584"/>
      <c r="EH6584"/>
      <c r="EI6584"/>
      <c r="EJ6584"/>
      <c r="EK6584"/>
    </row>
    <row r="6585" spans="1:141" s="116" customFormat="1">
      <c r="A6585" s="136"/>
      <c r="CM6585" s="111"/>
      <c r="CQ6585" s="111"/>
      <c r="EF6585"/>
      <c r="EG6585"/>
      <c r="EH6585"/>
      <c r="EI6585"/>
      <c r="EJ6585"/>
      <c r="EK6585"/>
    </row>
    <row r="6586" spans="1:141" s="116" customFormat="1">
      <c r="A6586" s="136"/>
      <c r="CM6586" s="111"/>
      <c r="CQ6586" s="111"/>
      <c r="EF6586"/>
      <c r="EG6586"/>
      <c r="EH6586"/>
      <c r="EI6586"/>
      <c r="EJ6586"/>
      <c r="EK6586"/>
    </row>
    <row r="6587" spans="1:141" s="116" customFormat="1">
      <c r="A6587" s="136"/>
      <c r="CM6587" s="111"/>
      <c r="CQ6587" s="111"/>
      <c r="EF6587"/>
      <c r="EG6587"/>
      <c r="EH6587"/>
      <c r="EI6587"/>
      <c r="EJ6587"/>
      <c r="EK6587"/>
    </row>
    <row r="6588" spans="1:141" s="116" customFormat="1">
      <c r="A6588" s="136"/>
      <c r="CM6588" s="111"/>
      <c r="CQ6588" s="111"/>
      <c r="EF6588"/>
      <c r="EG6588"/>
      <c r="EH6588"/>
      <c r="EI6588"/>
      <c r="EJ6588"/>
      <c r="EK6588"/>
    </row>
    <row r="6589" spans="1:141" s="116" customFormat="1">
      <c r="A6589" s="136"/>
      <c r="CM6589" s="111"/>
      <c r="CQ6589" s="111"/>
      <c r="EF6589"/>
      <c r="EG6589"/>
      <c r="EH6589"/>
      <c r="EI6589"/>
      <c r="EJ6589"/>
      <c r="EK6589"/>
    </row>
    <row r="6590" spans="1:141" s="116" customFormat="1">
      <c r="A6590" s="136"/>
      <c r="CM6590" s="111"/>
      <c r="CQ6590" s="111"/>
      <c r="EF6590"/>
      <c r="EG6590"/>
      <c r="EH6590"/>
      <c r="EI6590"/>
      <c r="EJ6590"/>
      <c r="EK6590"/>
    </row>
    <row r="6591" spans="1:141" s="116" customFormat="1">
      <c r="A6591" s="136"/>
      <c r="CM6591" s="111"/>
      <c r="CQ6591" s="111"/>
      <c r="EF6591"/>
      <c r="EG6591"/>
      <c r="EH6591"/>
      <c r="EI6591"/>
      <c r="EJ6591"/>
      <c r="EK6591"/>
    </row>
    <row r="6592" spans="1:141" s="116" customFormat="1">
      <c r="A6592" s="136"/>
      <c r="CM6592" s="111"/>
      <c r="CQ6592" s="111"/>
      <c r="EF6592"/>
      <c r="EG6592"/>
      <c r="EH6592"/>
      <c r="EI6592"/>
      <c r="EJ6592"/>
      <c r="EK6592"/>
    </row>
    <row r="6593" spans="1:141" s="116" customFormat="1">
      <c r="A6593" s="136"/>
      <c r="CM6593" s="111"/>
      <c r="CQ6593" s="111"/>
      <c r="EF6593"/>
      <c r="EG6593"/>
      <c r="EH6593"/>
      <c r="EI6593"/>
      <c r="EJ6593"/>
      <c r="EK6593"/>
    </row>
    <row r="6594" spans="1:141" s="116" customFormat="1">
      <c r="A6594" s="136"/>
      <c r="CM6594" s="111"/>
      <c r="CQ6594" s="111"/>
      <c r="EF6594"/>
      <c r="EG6594"/>
      <c r="EH6594"/>
      <c r="EI6594"/>
      <c r="EJ6594"/>
      <c r="EK6594"/>
    </row>
    <row r="6595" spans="1:141" s="116" customFormat="1">
      <c r="A6595" s="136"/>
      <c r="CM6595" s="111"/>
      <c r="CQ6595" s="111"/>
      <c r="EF6595"/>
      <c r="EG6595"/>
      <c r="EH6595"/>
      <c r="EI6595"/>
      <c r="EJ6595"/>
      <c r="EK6595"/>
    </row>
    <row r="6596" spans="1:141" s="116" customFormat="1">
      <c r="A6596" s="136"/>
      <c r="CM6596" s="111"/>
      <c r="CQ6596" s="111"/>
      <c r="EF6596"/>
      <c r="EG6596"/>
      <c r="EH6596"/>
      <c r="EI6596"/>
      <c r="EJ6596"/>
      <c r="EK6596"/>
    </row>
    <row r="6597" spans="1:141" s="116" customFormat="1">
      <c r="A6597" s="136"/>
      <c r="CM6597" s="111"/>
      <c r="CQ6597" s="111"/>
      <c r="EF6597"/>
      <c r="EG6597"/>
      <c r="EH6597"/>
      <c r="EI6597"/>
      <c r="EJ6597"/>
      <c r="EK6597"/>
    </row>
    <row r="6598" spans="1:141" s="116" customFormat="1">
      <c r="A6598" s="136"/>
      <c r="CM6598" s="111"/>
      <c r="CQ6598" s="111"/>
      <c r="EF6598"/>
      <c r="EG6598"/>
      <c r="EH6598"/>
      <c r="EI6598"/>
      <c r="EJ6598"/>
      <c r="EK6598"/>
    </row>
    <row r="6599" spans="1:141" s="116" customFormat="1">
      <c r="A6599" s="136"/>
      <c r="CM6599" s="111"/>
      <c r="CQ6599" s="111"/>
      <c r="EF6599"/>
      <c r="EG6599"/>
      <c r="EH6599"/>
      <c r="EI6599"/>
      <c r="EJ6599"/>
      <c r="EK6599"/>
    </row>
    <row r="6600" spans="1:141" s="116" customFormat="1">
      <c r="A6600" s="136"/>
      <c r="CM6600" s="111"/>
      <c r="CQ6600" s="111"/>
      <c r="EF6600"/>
      <c r="EG6600"/>
      <c r="EH6600"/>
      <c r="EI6600"/>
      <c r="EJ6600"/>
      <c r="EK6600"/>
    </row>
    <row r="6601" spans="1:141" s="116" customFormat="1">
      <c r="A6601" s="136"/>
      <c r="CM6601" s="111"/>
      <c r="CQ6601" s="111"/>
      <c r="EF6601"/>
      <c r="EG6601"/>
      <c r="EH6601"/>
      <c r="EI6601"/>
      <c r="EJ6601"/>
      <c r="EK6601"/>
    </row>
    <row r="6602" spans="1:141" s="116" customFormat="1">
      <c r="A6602" s="136"/>
      <c r="CM6602" s="111"/>
      <c r="CQ6602" s="111"/>
      <c r="EF6602"/>
      <c r="EG6602"/>
      <c r="EH6602"/>
      <c r="EI6602"/>
      <c r="EJ6602"/>
      <c r="EK6602"/>
    </row>
    <row r="6603" spans="1:141" s="116" customFormat="1">
      <c r="A6603" s="136"/>
      <c r="CM6603" s="111"/>
      <c r="CQ6603" s="111"/>
      <c r="EF6603"/>
      <c r="EG6603"/>
      <c r="EH6603"/>
      <c r="EI6603"/>
      <c r="EJ6603"/>
      <c r="EK6603"/>
    </row>
    <row r="6604" spans="1:141" s="116" customFormat="1">
      <c r="A6604" s="136"/>
      <c r="CM6604" s="111"/>
      <c r="CQ6604" s="111"/>
      <c r="EF6604"/>
      <c r="EG6604"/>
      <c r="EH6604"/>
      <c r="EI6604"/>
      <c r="EJ6604"/>
      <c r="EK6604"/>
    </row>
    <row r="6605" spans="1:141" s="116" customFormat="1">
      <c r="A6605" s="136"/>
      <c r="CM6605" s="111"/>
      <c r="CQ6605" s="111"/>
      <c r="EF6605"/>
      <c r="EG6605"/>
      <c r="EH6605"/>
      <c r="EI6605"/>
      <c r="EJ6605"/>
      <c r="EK6605"/>
    </row>
    <row r="6606" spans="1:141" s="116" customFormat="1">
      <c r="A6606" s="136"/>
      <c r="CM6606" s="111"/>
      <c r="CQ6606" s="111"/>
      <c r="EF6606"/>
      <c r="EG6606"/>
      <c r="EH6606"/>
      <c r="EI6606"/>
      <c r="EJ6606"/>
      <c r="EK6606"/>
    </row>
    <row r="6607" spans="1:141" s="116" customFormat="1">
      <c r="A6607" s="136"/>
      <c r="CM6607" s="111"/>
      <c r="CQ6607" s="111"/>
      <c r="EF6607"/>
      <c r="EG6607"/>
      <c r="EH6607"/>
      <c r="EI6607"/>
      <c r="EJ6607"/>
      <c r="EK6607"/>
    </row>
    <row r="6608" spans="1:141" s="116" customFormat="1">
      <c r="A6608" s="136"/>
      <c r="CM6608" s="111"/>
      <c r="CQ6608" s="111"/>
      <c r="EF6608"/>
      <c r="EG6608"/>
      <c r="EH6608"/>
      <c r="EI6608"/>
      <c r="EJ6608"/>
      <c r="EK6608"/>
    </row>
    <row r="6609" spans="1:141" s="116" customFormat="1">
      <c r="A6609" s="136"/>
      <c r="CM6609" s="111"/>
      <c r="CQ6609" s="111"/>
      <c r="EF6609"/>
      <c r="EG6609"/>
      <c r="EH6609"/>
      <c r="EI6609"/>
      <c r="EJ6609"/>
      <c r="EK6609"/>
    </row>
    <row r="6610" spans="1:141" s="116" customFormat="1">
      <c r="A6610" s="136"/>
      <c r="CM6610" s="111"/>
      <c r="CQ6610" s="111"/>
      <c r="EF6610"/>
      <c r="EG6610"/>
      <c r="EH6610"/>
      <c r="EI6610"/>
      <c r="EJ6610"/>
      <c r="EK6610"/>
    </row>
    <row r="6611" spans="1:141" s="116" customFormat="1">
      <c r="A6611" s="136"/>
      <c r="CM6611" s="111"/>
      <c r="CQ6611" s="111"/>
      <c r="EF6611"/>
      <c r="EG6611"/>
      <c r="EH6611"/>
      <c r="EI6611"/>
      <c r="EJ6611"/>
      <c r="EK6611"/>
    </row>
    <row r="6612" spans="1:141" s="116" customFormat="1">
      <c r="A6612" s="136"/>
      <c r="CM6612" s="111"/>
      <c r="CQ6612" s="111"/>
      <c r="EF6612"/>
      <c r="EG6612"/>
      <c r="EH6612"/>
      <c r="EI6612"/>
      <c r="EJ6612"/>
      <c r="EK6612"/>
    </row>
    <row r="6613" spans="1:141" s="116" customFormat="1">
      <c r="A6613" s="136"/>
      <c r="CM6613" s="111"/>
      <c r="CQ6613" s="111"/>
      <c r="EF6613"/>
      <c r="EG6613"/>
      <c r="EH6613"/>
      <c r="EI6613"/>
      <c r="EJ6613"/>
      <c r="EK6613"/>
    </row>
    <row r="6614" spans="1:141" s="116" customFormat="1">
      <c r="A6614" s="136"/>
      <c r="CM6614" s="111"/>
      <c r="CQ6614" s="111"/>
      <c r="EF6614"/>
      <c r="EG6614"/>
      <c r="EH6614"/>
      <c r="EI6614"/>
      <c r="EJ6614"/>
      <c r="EK6614"/>
    </row>
    <row r="6615" spans="1:141" s="116" customFormat="1">
      <c r="A6615" s="136"/>
      <c r="CM6615" s="111"/>
      <c r="CQ6615" s="111"/>
      <c r="EF6615"/>
      <c r="EG6615"/>
      <c r="EH6615"/>
      <c r="EI6615"/>
      <c r="EJ6615"/>
      <c r="EK6615"/>
    </row>
    <row r="6616" spans="1:141" s="116" customFormat="1">
      <c r="A6616" s="136"/>
      <c r="CM6616" s="111"/>
      <c r="CQ6616" s="111"/>
      <c r="EF6616"/>
      <c r="EG6616"/>
      <c r="EH6616"/>
      <c r="EI6616"/>
      <c r="EJ6616"/>
      <c r="EK6616"/>
    </row>
    <row r="6617" spans="1:141" s="116" customFormat="1">
      <c r="A6617" s="136"/>
      <c r="CM6617" s="111"/>
      <c r="CQ6617" s="111"/>
      <c r="EF6617"/>
      <c r="EG6617"/>
      <c r="EH6617"/>
      <c r="EI6617"/>
      <c r="EJ6617"/>
      <c r="EK6617"/>
    </row>
    <row r="6618" spans="1:141" s="116" customFormat="1">
      <c r="A6618" s="136"/>
      <c r="CM6618" s="111"/>
      <c r="CQ6618" s="111"/>
      <c r="EF6618"/>
      <c r="EG6618"/>
      <c r="EH6618"/>
      <c r="EI6618"/>
      <c r="EJ6618"/>
      <c r="EK6618"/>
    </row>
    <row r="6619" spans="1:141" s="116" customFormat="1">
      <c r="A6619" s="136"/>
      <c r="CM6619" s="111"/>
      <c r="CQ6619" s="111"/>
      <c r="EF6619"/>
      <c r="EG6619"/>
      <c r="EH6619"/>
      <c r="EI6619"/>
      <c r="EJ6619"/>
      <c r="EK6619"/>
    </row>
    <row r="6620" spans="1:141" s="116" customFormat="1">
      <c r="A6620" s="136"/>
      <c r="CM6620" s="111"/>
      <c r="CQ6620" s="111"/>
      <c r="EF6620"/>
      <c r="EG6620"/>
      <c r="EH6620"/>
      <c r="EI6620"/>
      <c r="EJ6620"/>
      <c r="EK6620"/>
    </row>
    <row r="6621" spans="1:141" s="116" customFormat="1">
      <c r="A6621" s="136"/>
      <c r="CM6621" s="111"/>
      <c r="CQ6621" s="111"/>
      <c r="EF6621"/>
      <c r="EG6621"/>
      <c r="EH6621"/>
      <c r="EI6621"/>
      <c r="EJ6621"/>
      <c r="EK6621"/>
    </row>
    <row r="6622" spans="1:141" s="116" customFormat="1">
      <c r="A6622" s="136"/>
      <c r="CM6622" s="111"/>
      <c r="CQ6622" s="111"/>
      <c r="EF6622"/>
      <c r="EG6622"/>
      <c r="EH6622"/>
      <c r="EI6622"/>
      <c r="EJ6622"/>
      <c r="EK6622"/>
    </row>
    <row r="6623" spans="1:141" s="116" customFormat="1">
      <c r="A6623" s="136"/>
      <c r="CM6623" s="111"/>
      <c r="CQ6623" s="111"/>
      <c r="EF6623"/>
      <c r="EG6623"/>
      <c r="EH6623"/>
      <c r="EI6623"/>
      <c r="EJ6623"/>
      <c r="EK6623"/>
    </row>
    <row r="6624" spans="1:141" s="116" customFormat="1">
      <c r="A6624" s="136"/>
      <c r="CM6624" s="111"/>
      <c r="CQ6624" s="111"/>
      <c r="EF6624"/>
      <c r="EG6624"/>
      <c r="EH6624"/>
      <c r="EI6624"/>
      <c r="EJ6624"/>
      <c r="EK6624"/>
    </row>
    <row r="6625" spans="1:141" s="116" customFormat="1">
      <c r="A6625" s="136"/>
      <c r="CM6625" s="111"/>
      <c r="CQ6625" s="111"/>
      <c r="EF6625"/>
      <c r="EG6625"/>
      <c r="EH6625"/>
      <c r="EI6625"/>
      <c r="EJ6625"/>
      <c r="EK6625"/>
    </row>
    <row r="6626" spans="1:141" s="116" customFormat="1">
      <c r="A6626" s="136"/>
      <c r="CM6626" s="111"/>
      <c r="CQ6626" s="111"/>
      <c r="EF6626"/>
      <c r="EG6626"/>
      <c r="EH6626"/>
      <c r="EI6626"/>
      <c r="EJ6626"/>
      <c r="EK6626"/>
    </row>
    <row r="6627" spans="1:141" s="116" customFormat="1">
      <c r="A6627" s="136"/>
      <c r="CM6627" s="111"/>
      <c r="CQ6627" s="111"/>
      <c r="EF6627"/>
      <c r="EG6627"/>
      <c r="EH6627"/>
      <c r="EI6627"/>
      <c r="EJ6627"/>
      <c r="EK6627"/>
    </row>
    <row r="6628" spans="1:141" s="116" customFormat="1">
      <c r="A6628" s="136"/>
      <c r="CM6628" s="111"/>
      <c r="CQ6628" s="111"/>
      <c r="EF6628"/>
      <c r="EG6628"/>
      <c r="EH6628"/>
      <c r="EI6628"/>
      <c r="EJ6628"/>
      <c r="EK6628"/>
    </row>
    <row r="6629" spans="1:141" s="116" customFormat="1">
      <c r="A6629" s="136"/>
      <c r="CM6629" s="111"/>
      <c r="CQ6629" s="111"/>
      <c r="EF6629"/>
      <c r="EG6629"/>
      <c r="EH6629"/>
      <c r="EI6629"/>
      <c r="EJ6629"/>
      <c r="EK6629"/>
    </row>
    <row r="6630" spans="1:141" s="116" customFormat="1">
      <c r="A6630" s="136"/>
      <c r="CM6630" s="111"/>
      <c r="CQ6630" s="111"/>
      <c r="EF6630"/>
      <c r="EG6630"/>
      <c r="EH6630"/>
      <c r="EI6630"/>
      <c r="EJ6630"/>
      <c r="EK6630"/>
    </row>
    <row r="6631" spans="1:141" s="116" customFormat="1">
      <c r="A6631" s="136"/>
      <c r="CM6631" s="111"/>
      <c r="CQ6631" s="111"/>
      <c r="EF6631"/>
      <c r="EG6631"/>
      <c r="EH6631"/>
      <c r="EI6631"/>
      <c r="EJ6631"/>
      <c r="EK6631"/>
    </row>
    <row r="6632" spans="1:141" s="116" customFormat="1">
      <c r="A6632" s="136"/>
      <c r="CM6632" s="111"/>
      <c r="CQ6632" s="111"/>
      <c r="EF6632"/>
      <c r="EG6632"/>
      <c r="EH6632"/>
      <c r="EI6632"/>
      <c r="EJ6632"/>
      <c r="EK6632"/>
    </row>
    <row r="6633" spans="1:141" s="116" customFormat="1">
      <c r="A6633" s="136"/>
      <c r="CM6633" s="111"/>
      <c r="CQ6633" s="111"/>
      <c r="EF6633"/>
      <c r="EG6633"/>
      <c r="EH6633"/>
      <c r="EI6633"/>
      <c r="EJ6633"/>
      <c r="EK6633"/>
    </row>
    <row r="6634" spans="1:141" s="116" customFormat="1">
      <c r="A6634" s="136"/>
      <c r="CM6634" s="111"/>
      <c r="CQ6634" s="111"/>
      <c r="EF6634"/>
      <c r="EG6634"/>
      <c r="EH6634"/>
      <c r="EI6634"/>
      <c r="EJ6634"/>
      <c r="EK6634"/>
    </row>
    <row r="6635" spans="1:141" s="116" customFormat="1">
      <c r="A6635" s="136"/>
      <c r="CM6635" s="111"/>
      <c r="CQ6635" s="111"/>
      <c r="EF6635"/>
      <c r="EG6635"/>
      <c r="EH6635"/>
      <c r="EI6635"/>
      <c r="EJ6635"/>
      <c r="EK6635"/>
    </row>
    <row r="6636" spans="1:141" s="116" customFormat="1">
      <c r="A6636" s="136"/>
      <c r="CM6636" s="111"/>
      <c r="CQ6636" s="111"/>
      <c r="EF6636"/>
      <c r="EG6636"/>
      <c r="EH6636"/>
      <c r="EI6636"/>
      <c r="EJ6636"/>
      <c r="EK6636"/>
    </row>
    <row r="6637" spans="1:141" s="116" customFormat="1">
      <c r="A6637" s="136"/>
      <c r="CM6637" s="111"/>
      <c r="CQ6637" s="111"/>
      <c r="EF6637"/>
      <c r="EG6637"/>
      <c r="EH6637"/>
      <c r="EI6637"/>
      <c r="EJ6637"/>
      <c r="EK6637"/>
    </row>
    <row r="6638" spans="1:141" s="116" customFormat="1">
      <c r="A6638" s="136"/>
      <c r="CM6638" s="111"/>
      <c r="CQ6638" s="111"/>
      <c r="EF6638"/>
      <c r="EG6638"/>
      <c r="EH6638"/>
      <c r="EI6638"/>
      <c r="EJ6638"/>
      <c r="EK6638"/>
    </row>
    <row r="6639" spans="1:141" s="116" customFormat="1">
      <c r="A6639" s="136"/>
      <c r="CM6639" s="111"/>
      <c r="CQ6639" s="111"/>
      <c r="EF6639"/>
      <c r="EG6639"/>
      <c r="EH6639"/>
      <c r="EI6639"/>
      <c r="EJ6639"/>
      <c r="EK6639"/>
    </row>
    <row r="6640" spans="1:141" s="116" customFormat="1">
      <c r="A6640" s="136"/>
      <c r="CM6640" s="111"/>
      <c r="CQ6640" s="111"/>
      <c r="EF6640"/>
      <c r="EG6640"/>
      <c r="EH6640"/>
      <c r="EI6640"/>
      <c r="EJ6640"/>
      <c r="EK6640"/>
    </row>
    <row r="6641" spans="1:141" s="116" customFormat="1">
      <c r="A6641" s="136"/>
      <c r="CM6641" s="111"/>
      <c r="CQ6641" s="111"/>
      <c r="EF6641"/>
      <c r="EG6641"/>
      <c r="EH6641"/>
      <c r="EI6641"/>
      <c r="EJ6641"/>
      <c r="EK6641"/>
    </row>
    <row r="6642" spans="1:141" s="116" customFormat="1">
      <c r="A6642" s="136"/>
      <c r="CM6642" s="111"/>
      <c r="CQ6642" s="111"/>
      <c r="EF6642"/>
      <c r="EG6642"/>
      <c r="EH6642"/>
      <c r="EI6642"/>
      <c r="EJ6642"/>
      <c r="EK6642"/>
    </row>
    <row r="6643" spans="1:141" s="116" customFormat="1">
      <c r="A6643" s="136"/>
      <c r="CM6643" s="111"/>
      <c r="CQ6643" s="111"/>
      <c r="EF6643"/>
      <c r="EG6643"/>
      <c r="EH6643"/>
      <c r="EI6643"/>
      <c r="EJ6643"/>
      <c r="EK6643"/>
    </row>
    <row r="6644" spans="1:141" s="116" customFormat="1">
      <c r="A6644" s="136"/>
      <c r="CM6644" s="111"/>
      <c r="CQ6644" s="111"/>
      <c r="EF6644"/>
      <c r="EG6644"/>
      <c r="EH6644"/>
      <c r="EI6644"/>
      <c r="EJ6644"/>
      <c r="EK6644"/>
    </row>
    <row r="6645" spans="1:141" s="116" customFormat="1">
      <c r="A6645" s="136"/>
      <c r="CM6645" s="111"/>
      <c r="CQ6645" s="111"/>
      <c r="EF6645"/>
      <c r="EG6645"/>
      <c r="EH6645"/>
      <c r="EI6645"/>
      <c r="EJ6645"/>
      <c r="EK6645"/>
    </row>
    <row r="6646" spans="1:141" s="116" customFormat="1">
      <c r="A6646" s="136"/>
      <c r="CM6646" s="111"/>
      <c r="CQ6646" s="111"/>
      <c r="EF6646"/>
      <c r="EG6646"/>
      <c r="EH6646"/>
      <c r="EI6646"/>
      <c r="EJ6646"/>
      <c r="EK6646"/>
    </row>
    <row r="6647" spans="1:141" s="116" customFormat="1">
      <c r="A6647" s="136"/>
      <c r="CM6647" s="111"/>
      <c r="CQ6647" s="111"/>
      <c r="EF6647"/>
      <c r="EG6647"/>
      <c r="EH6647"/>
      <c r="EI6647"/>
      <c r="EJ6647"/>
      <c r="EK6647"/>
    </row>
    <row r="6648" spans="1:141" s="116" customFormat="1">
      <c r="A6648" s="136"/>
      <c r="CM6648" s="111"/>
      <c r="CQ6648" s="111"/>
      <c r="EF6648"/>
      <c r="EG6648"/>
      <c r="EH6648"/>
      <c r="EI6648"/>
      <c r="EJ6648"/>
      <c r="EK6648"/>
    </row>
    <row r="6649" spans="1:141" s="116" customFormat="1">
      <c r="A6649" s="136"/>
      <c r="CM6649" s="111"/>
      <c r="CQ6649" s="111"/>
      <c r="EF6649"/>
      <c r="EG6649"/>
      <c r="EH6649"/>
      <c r="EI6649"/>
      <c r="EJ6649"/>
      <c r="EK6649"/>
    </row>
    <row r="6650" spans="1:141" s="116" customFormat="1">
      <c r="A6650" s="136"/>
      <c r="CM6650" s="111"/>
      <c r="CQ6650" s="111"/>
      <c r="EF6650"/>
      <c r="EG6650"/>
      <c r="EH6650"/>
      <c r="EI6650"/>
      <c r="EJ6650"/>
      <c r="EK6650"/>
    </row>
    <row r="6651" spans="1:141" s="116" customFormat="1">
      <c r="A6651" s="136"/>
      <c r="CM6651" s="111"/>
      <c r="CQ6651" s="111"/>
      <c r="EF6651"/>
      <c r="EG6651"/>
      <c r="EH6651"/>
      <c r="EI6651"/>
      <c r="EJ6651"/>
      <c r="EK6651"/>
    </row>
    <row r="6652" spans="1:141" s="116" customFormat="1">
      <c r="A6652" s="136"/>
      <c r="CM6652" s="111"/>
      <c r="CQ6652" s="111"/>
      <c r="EF6652"/>
      <c r="EG6652"/>
      <c r="EH6652"/>
      <c r="EI6652"/>
      <c r="EJ6652"/>
      <c r="EK6652"/>
    </row>
    <row r="6653" spans="1:141" s="116" customFormat="1">
      <c r="A6653" s="136"/>
      <c r="CM6653" s="111"/>
      <c r="CQ6653" s="111"/>
      <c r="EF6653"/>
      <c r="EG6653"/>
      <c r="EH6653"/>
      <c r="EI6653"/>
      <c r="EJ6653"/>
      <c r="EK6653"/>
    </row>
    <row r="6654" spans="1:141" s="116" customFormat="1">
      <c r="A6654" s="136"/>
      <c r="CM6654" s="111"/>
      <c r="CQ6654" s="111"/>
      <c r="EF6654"/>
      <c r="EG6654"/>
      <c r="EH6654"/>
      <c r="EI6654"/>
      <c r="EJ6654"/>
      <c r="EK6654"/>
    </row>
    <row r="6655" spans="1:141" s="116" customFormat="1">
      <c r="A6655" s="136"/>
      <c r="CM6655" s="111"/>
      <c r="CQ6655" s="111"/>
      <c r="EF6655"/>
      <c r="EG6655"/>
      <c r="EH6655"/>
      <c r="EI6655"/>
      <c r="EJ6655"/>
      <c r="EK6655"/>
    </row>
    <row r="6656" spans="1:141" s="116" customFormat="1">
      <c r="A6656" s="136"/>
      <c r="CM6656" s="111"/>
      <c r="CQ6656" s="111"/>
      <c r="EF6656"/>
      <c r="EG6656"/>
      <c r="EH6656"/>
      <c r="EI6656"/>
      <c r="EJ6656"/>
      <c r="EK6656"/>
    </row>
    <row r="6657" spans="1:141" s="116" customFormat="1">
      <c r="A6657" s="136"/>
      <c r="CM6657" s="111"/>
      <c r="CQ6657" s="111"/>
      <c r="EF6657"/>
      <c r="EG6657"/>
      <c r="EH6657"/>
      <c r="EI6657"/>
      <c r="EJ6657"/>
      <c r="EK6657"/>
    </row>
    <row r="6658" spans="1:141" s="116" customFormat="1">
      <c r="A6658" s="136"/>
      <c r="CM6658" s="111"/>
      <c r="CQ6658" s="111"/>
      <c r="EF6658"/>
      <c r="EG6658"/>
      <c r="EH6658"/>
      <c r="EI6658"/>
      <c r="EJ6658"/>
      <c r="EK6658"/>
    </row>
    <row r="6659" spans="1:141" s="116" customFormat="1">
      <c r="A6659" s="136"/>
      <c r="CM6659" s="111"/>
      <c r="CQ6659" s="111"/>
      <c r="EF6659"/>
      <c r="EG6659"/>
      <c r="EH6659"/>
      <c r="EI6659"/>
      <c r="EJ6659"/>
      <c r="EK6659"/>
    </row>
    <row r="6660" spans="1:141" s="116" customFormat="1">
      <c r="A6660" s="136"/>
      <c r="CM6660" s="111"/>
      <c r="CQ6660" s="111"/>
      <c r="EF6660"/>
      <c r="EG6660"/>
      <c r="EH6660"/>
      <c r="EI6660"/>
      <c r="EJ6660"/>
      <c r="EK6660"/>
    </row>
    <row r="6661" spans="1:141" s="116" customFormat="1">
      <c r="A6661" s="136"/>
      <c r="CM6661" s="111"/>
      <c r="CQ6661" s="111"/>
      <c r="EF6661"/>
      <c r="EG6661"/>
      <c r="EH6661"/>
      <c r="EI6661"/>
      <c r="EJ6661"/>
      <c r="EK6661"/>
    </row>
    <row r="6662" spans="1:141" s="116" customFormat="1">
      <c r="A6662" s="136"/>
      <c r="CM6662" s="111"/>
      <c r="CQ6662" s="111"/>
      <c r="EF6662"/>
      <c r="EG6662"/>
      <c r="EH6662"/>
      <c r="EI6662"/>
      <c r="EJ6662"/>
      <c r="EK6662"/>
    </row>
    <row r="6663" spans="1:141" s="116" customFormat="1">
      <c r="A6663" s="136"/>
      <c r="CM6663" s="111"/>
      <c r="CQ6663" s="111"/>
      <c r="EF6663"/>
      <c r="EG6663"/>
      <c r="EH6663"/>
      <c r="EI6663"/>
      <c r="EJ6663"/>
      <c r="EK6663"/>
    </row>
    <row r="6664" spans="1:141" s="116" customFormat="1">
      <c r="A6664" s="136"/>
      <c r="CM6664" s="111"/>
      <c r="CQ6664" s="111"/>
      <c r="EF6664"/>
      <c r="EG6664"/>
      <c r="EH6664"/>
      <c r="EI6664"/>
      <c r="EJ6664"/>
      <c r="EK6664"/>
    </row>
    <row r="6665" spans="1:141" s="116" customFormat="1">
      <c r="A6665" s="136"/>
      <c r="CM6665" s="111"/>
      <c r="CQ6665" s="111"/>
      <c r="EF6665"/>
      <c r="EG6665"/>
      <c r="EH6665"/>
      <c r="EI6665"/>
      <c r="EJ6665"/>
      <c r="EK6665"/>
    </row>
    <row r="6666" spans="1:141" s="116" customFormat="1">
      <c r="A6666" s="136"/>
      <c r="CM6666" s="111"/>
      <c r="CQ6666" s="111"/>
      <c r="EF6666"/>
      <c r="EG6666"/>
      <c r="EH6666"/>
      <c r="EI6666"/>
      <c r="EJ6666"/>
      <c r="EK6666"/>
    </row>
    <row r="6667" spans="1:141" s="116" customFormat="1">
      <c r="A6667" s="136"/>
      <c r="CM6667" s="111"/>
      <c r="CQ6667" s="111"/>
      <c r="EF6667"/>
      <c r="EG6667"/>
      <c r="EH6667"/>
      <c r="EI6667"/>
      <c r="EJ6667"/>
      <c r="EK6667"/>
    </row>
    <row r="6668" spans="1:141" s="116" customFormat="1">
      <c r="A6668" s="136"/>
      <c r="CM6668" s="111"/>
      <c r="CQ6668" s="111"/>
      <c r="EF6668"/>
      <c r="EG6668"/>
      <c r="EH6668"/>
      <c r="EI6668"/>
      <c r="EJ6668"/>
      <c r="EK6668"/>
    </row>
    <row r="6669" spans="1:141" s="116" customFormat="1">
      <c r="A6669" s="136"/>
      <c r="CM6669" s="111"/>
      <c r="CQ6669" s="111"/>
      <c r="EF6669"/>
      <c r="EG6669"/>
      <c r="EH6669"/>
      <c r="EI6669"/>
      <c r="EJ6669"/>
      <c r="EK6669"/>
    </row>
    <row r="6670" spans="1:141" s="116" customFormat="1">
      <c r="A6670" s="136"/>
      <c r="CM6670" s="111"/>
      <c r="CQ6670" s="111"/>
      <c r="EF6670"/>
      <c r="EG6670"/>
      <c r="EH6670"/>
      <c r="EI6670"/>
      <c r="EJ6670"/>
      <c r="EK6670"/>
    </row>
    <row r="6671" spans="1:141" s="116" customFormat="1">
      <c r="A6671" s="136"/>
      <c r="CM6671" s="111"/>
      <c r="CQ6671" s="111"/>
      <c r="EF6671"/>
      <c r="EG6671"/>
      <c r="EH6671"/>
      <c r="EI6671"/>
      <c r="EJ6671"/>
      <c r="EK6671"/>
    </row>
    <row r="6672" spans="1:141" s="116" customFormat="1">
      <c r="A6672" s="136"/>
      <c r="CM6672" s="111"/>
      <c r="CQ6672" s="111"/>
      <c r="EF6672"/>
      <c r="EG6672"/>
      <c r="EH6672"/>
      <c r="EI6672"/>
      <c r="EJ6672"/>
      <c r="EK6672"/>
    </row>
    <row r="6673" spans="1:141" s="116" customFormat="1">
      <c r="A6673" s="136"/>
      <c r="CM6673" s="111"/>
      <c r="CQ6673" s="111"/>
      <c r="EF6673"/>
      <c r="EG6673"/>
      <c r="EH6673"/>
      <c r="EI6673"/>
      <c r="EJ6673"/>
      <c r="EK6673"/>
    </row>
    <row r="6674" spans="1:141" s="116" customFormat="1">
      <c r="A6674" s="136"/>
      <c r="CM6674" s="111"/>
      <c r="CQ6674" s="111"/>
      <c r="EF6674"/>
      <c r="EG6674"/>
      <c r="EH6674"/>
      <c r="EI6674"/>
      <c r="EJ6674"/>
      <c r="EK6674"/>
    </row>
    <row r="6675" spans="1:141" s="116" customFormat="1">
      <c r="A6675" s="136"/>
      <c r="CM6675" s="111"/>
      <c r="CQ6675" s="111"/>
      <c r="EF6675"/>
      <c r="EG6675"/>
      <c r="EH6675"/>
      <c r="EI6675"/>
      <c r="EJ6675"/>
      <c r="EK6675"/>
    </row>
    <row r="6676" spans="1:141" s="116" customFormat="1">
      <c r="A6676" s="136"/>
      <c r="CM6676" s="111"/>
      <c r="CQ6676" s="111"/>
      <c r="EF6676"/>
      <c r="EG6676"/>
      <c r="EH6676"/>
      <c r="EI6676"/>
      <c r="EJ6676"/>
      <c r="EK6676"/>
    </row>
    <row r="6677" spans="1:141" s="116" customFormat="1">
      <c r="A6677" s="136"/>
      <c r="CM6677" s="111"/>
      <c r="CQ6677" s="111"/>
      <c r="EF6677"/>
      <c r="EG6677"/>
      <c r="EH6677"/>
      <c r="EI6677"/>
      <c r="EJ6677"/>
      <c r="EK6677"/>
    </row>
    <row r="6678" spans="1:141" s="116" customFormat="1">
      <c r="A6678" s="136"/>
      <c r="CM6678" s="111"/>
      <c r="CQ6678" s="111"/>
      <c r="EF6678"/>
      <c r="EG6678"/>
      <c r="EH6678"/>
      <c r="EI6678"/>
      <c r="EJ6678"/>
      <c r="EK6678"/>
    </row>
    <row r="6679" spans="1:141" s="116" customFormat="1">
      <c r="A6679" s="136"/>
      <c r="CM6679" s="111"/>
      <c r="CQ6679" s="111"/>
      <c r="EF6679"/>
      <c r="EG6679"/>
      <c r="EH6679"/>
      <c r="EI6679"/>
      <c r="EJ6679"/>
      <c r="EK6679"/>
    </row>
    <row r="6680" spans="1:141" s="116" customFormat="1">
      <c r="A6680" s="136"/>
      <c r="CM6680" s="111"/>
      <c r="CQ6680" s="111"/>
      <c r="EF6680"/>
      <c r="EG6680"/>
      <c r="EH6680"/>
      <c r="EI6680"/>
      <c r="EJ6680"/>
      <c r="EK6680"/>
    </row>
    <row r="6681" spans="1:141" s="116" customFormat="1">
      <c r="A6681" s="136"/>
      <c r="CM6681" s="111"/>
      <c r="CQ6681" s="111"/>
      <c r="EF6681"/>
      <c r="EG6681"/>
      <c r="EH6681"/>
      <c r="EI6681"/>
      <c r="EJ6681"/>
      <c r="EK6681"/>
    </row>
    <row r="6682" spans="1:141" s="116" customFormat="1">
      <c r="A6682" s="136"/>
      <c r="CM6682" s="111"/>
      <c r="CQ6682" s="111"/>
      <c r="EF6682"/>
      <c r="EG6682"/>
      <c r="EH6682"/>
      <c r="EI6682"/>
      <c r="EJ6682"/>
      <c r="EK6682"/>
    </row>
    <row r="6683" spans="1:141" s="116" customFormat="1">
      <c r="A6683" s="136"/>
      <c r="CM6683" s="111"/>
      <c r="CQ6683" s="111"/>
      <c r="EF6683"/>
      <c r="EG6683"/>
      <c r="EH6683"/>
      <c r="EI6683"/>
      <c r="EJ6683"/>
      <c r="EK6683"/>
    </row>
    <row r="6684" spans="1:141" s="116" customFormat="1">
      <c r="A6684" s="136"/>
      <c r="CM6684" s="111"/>
      <c r="CQ6684" s="111"/>
      <c r="EF6684"/>
      <c r="EG6684"/>
      <c r="EH6684"/>
      <c r="EI6684"/>
      <c r="EJ6684"/>
      <c r="EK6684"/>
    </row>
    <row r="6685" spans="1:141" s="116" customFormat="1">
      <c r="A6685" s="136"/>
      <c r="CM6685" s="111"/>
      <c r="CQ6685" s="111"/>
      <c r="EF6685"/>
      <c r="EG6685"/>
      <c r="EH6685"/>
      <c r="EI6685"/>
      <c r="EJ6685"/>
      <c r="EK6685"/>
    </row>
    <row r="6686" spans="1:141" s="116" customFormat="1">
      <c r="A6686" s="136"/>
      <c r="CM6686" s="111"/>
      <c r="CQ6686" s="111"/>
      <c r="EF6686"/>
      <c r="EG6686"/>
      <c r="EH6686"/>
      <c r="EI6686"/>
      <c r="EJ6686"/>
      <c r="EK6686"/>
    </row>
    <row r="6687" spans="1:141" s="116" customFormat="1">
      <c r="A6687" s="136"/>
      <c r="CM6687" s="111"/>
      <c r="CQ6687" s="111"/>
      <c r="EF6687"/>
      <c r="EG6687"/>
      <c r="EH6687"/>
      <c r="EI6687"/>
      <c r="EJ6687"/>
      <c r="EK6687"/>
    </row>
    <row r="6688" spans="1:141" s="116" customFormat="1">
      <c r="A6688" s="136"/>
      <c r="CM6688" s="111"/>
      <c r="CQ6688" s="111"/>
      <c r="EF6688"/>
      <c r="EG6688"/>
      <c r="EH6688"/>
      <c r="EI6688"/>
      <c r="EJ6688"/>
      <c r="EK6688"/>
    </row>
    <row r="6689" spans="1:141" s="116" customFormat="1">
      <c r="A6689" s="136"/>
      <c r="CM6689" s="111"/>
      <c r="CQ6689" s="111"/>
      <c r="EF6689"/>
      <c r="EG6689"/>
      <c r="EH6689"/>
      <c r="EI6689"/>
      <c r="EJ6689"/>
      <c r="EK6689"/>
    </row>
    <row r="6690" spans="1:141" s="116" customFormat="1">
      <c r="A6690" s="136"/>
      <c r="CM6690" s="111"/>
      <c r="CQ6690" s="111"/>
      <c r="EF6690"/>
      <c r="EG6690"/>
      <c r="EH6690"/>
      <c r="EI6690"/>
      <c r="EJ6690"/>
      <c r="EK6690"/>
    </row>
    <row r="6691" spans="1:141" s="116" customFormat="1">
      <c r="A6691" s="136"/>
      <c r="CM6691" s="111"/>
      <c r="CQ6691" s="111"/>
      <c r="EF6691"/>
      <c r="EG6691"/>
      <c r="EH6691"/>
      <c r="EI6691"/>
      <c r="EJ6691"/>
      <c r="EK6691"/>
    </row>
    <row r="6692" spans="1:141" s="116" customFormat="1">
      <c r="A6692" s="136"/>
      <c r="CM6692" s="111"/>
      <c r="CQ6692" s="111"/>
      <c r="EF6692"/>
      <c r="EG6692"/>
      <c r="EH6692"/>
      <c r="EI6692"/>
      <c r="EJ6692"/>
      <c r="EK6692"/>
    </row>
    <row r="6693" spans="1:141" s="116" customFormat="1">
      <c r="A6693" s="136"/>
      <c r="CM6693" s="111"/>
      <c r="CQ6693" s="111"/>
      <c r="EF6693"/>
      <c r="EG6693"/>
      <c r="EH6693"/>
      <c r="EI6693"/>
      <c r="EJ6693"/>
      <c r="EK6693"/>
    </row>
    <row r="6694" spans="1:141" s="116" customFormat="1">
      <c r="A6694" s="136"/>
      <c r="CM6694" s="111"/>
      <c r="CQ6694" s="111"/>
      <c r="EF6694"/>
      <c r="EG6694"/>
      <c r="EH6694"/>
      <c r="EI6694"/>
      <c r="EJ6694"/>
      <c r="EK6694"/>
    </row>
    <row r="6695" spans="1:141" s="116" customFormat="1">
      <c r="A6695" s="136"/>
      <c r="CM6695" s="111"/>
      <c r="CQ6695" s="111"/>
      <c r="EF6695"/>
      <c r="EG6695"/>
      <c r="EH6695"/>
      <c r="EI6695"/>
      <c r="EJ6695"/>
      <c r="EK6695"/>
    </row>
    <row r="6696" spans="1:141" s="116" customFormat="1">
      <c r="A6696" s="136"/>
      <c r="CM6696" s="111"/>
      <c r="CQ6696" s="111"/>
      <c r="EF6696"/>
      <c r="EG6696"/>
      <c r="EH6696"/>
      <c r="EI6696"/>
      <c r="EJ6696"/>
      <c r="EK6696"/>
    </row>
    <row r="6697" spans="1:141" s="116" customFormat="1">
      <c r="A6697" s="136"/>
      <c r="CM6697" s="111"/>
      <c r="CQ6697" s="111"/>
      <c r="EF6697"/>
      <c r="EG6697"/>
      <c r="EH6697"/>
      <c r="EI6697"/>
      <c r="EJ6697"/>
      <c r="EK6697"/>
    </row>
    <row r="6698" spans="1:141" s="116" customFormat="1">
      <c r="A6698" s="136"/>
      <c r="CM6698" s="111"/>
      <c r="CQ6698" s="111"/>
      <c r="EF6698"/>
      <c r="EG6698"/>
      <c r="EH6698"/>
      <c r="EI6698"/>
      <c r="EJ6698"/>
      <c r="EK6698"/>
    </row>
    <row r="6699" spans="1:141" s="116" customFormat="1">
      <c r="A6699" s="136"/>
      <c r="CM6699" s="111"/>
      <c r="CQ6699" s="111"/>
      <c r="EF6699"/>
      <c r="EG6699"/>
      <c r="EH6699"/>
      <c r="EI6699"/>
      <c r="EJ6699"/>
      <c r="EK6699"/>
    </row>
    <row r="6700" spans="1:141" s="116" customFormat="1">
      <c r="A6700" s="136"/>
      <c r="CM6700" s="111"/>
      <c r="CQ6700" s="111"/>
      <c r="EF6700"/>
      <c r="EG6700"/>
      <c r="EH6700"/>
      <c r="EI6700"/>
      <c r="EJ6700"/>
      <c r="EK6700"/>
    </row>
    <row r="6701" spans="1:141" s="116" customFormat="1">
      <c r="A6701" s="136"/>
      <c r="CM6701" s="111"/>
      <c r="CQ6701" s="111"/>
      <c r="EF6701"/>
      <c r="EG6701"/>
      <c r="EH6701"/>
      <c r="EI6701"/>
      <c r="EJ6701"/>
      <c r="EK6701"/>
    </row>
    <row r="6702" spans="1:141" s="116" customFormat="1">
      <c r="A6702" s="136"/>
      <c r="CM6702" s="111"/>
      <c r="CQ6702" s="111"/>
      <c r="EF6702"/>
      <c r="EG6702"/>
      <c r="EH6702"/>
      <c r="EI6702"/>
      <c r="EJ6702"/>
      <c r="EK6702"/>
    </row>
    <row r="6703" spans="1:141" s="116" customFormat="1">
      <c r="A6703" s="136"/>
      <c r="CM6703" s="111"/>
      <c r="CQ6703" s="111"/>
      <c r="EF6703"/>
      <c r="EG6703"/>
      <c r="EH6703"/>
      <c r="EI6703"/>
      <c r="EJ6703"/>
      <c r="EK6703"/>
    </row>
    <row r="6704" spans="1:141" s="116" customFormat="1">
      <c r="A6704" s="136"/>
      <c r="CM6704" s="111"/>
      <c r="CQ6704" s="111"/>
      <c r="EF6704"/>
      <c r="EG6704"/>
      <c r="EH6704"/>
      <c r="EI6704"/>
      <c r="EJ6704"/>
      <c r="EK6704"/>
    </row>
    <row r="6705" spans="1:141" s="116" customFormat="1">
      <c r="A6705" s="136"/>
      <c r="CM6705" s="111"/>
      <c r="CQ6705" s="111"/>
      <c r="EF6705"/>
      <c r="EG6705"/>
      <c r="EH6705"/>
      <c r="EI6705"/>
      <c r="EJ6705"/>
      <c r="EK6705"/>
    </row>
    <row r="6706" spans="1:141" s="116" customFormat="1">
      <c r="A6706" s="136"/>
      <c r="CM6706" s="111"/>
      <c r="CQ6706" s="111"/>
      <c r="EF6706"/>
      <c r="EG6706"/>
      <c r="EH6706"/>
      <c r="EI6706"/>
      <c r="EJ6706"/>
      <c r="EK6706"/>
    </row>
    <row r="6707" spans="1:141" s="116" customFormat="1">
      <c r="A6707" s="136"/>
      <c r="CM6707" s="111"/>
      <c r="CQ6707" s="111"/>
      <c r="EF6707"/>
      <c r="EG6707"/>
      <c r="EH6707"/>
      <c r="EI6707"/>
      <c r="EJ6707"/>
      <c r="EK6707"/>
    </row>
    <row r="6708" spans="1:141" s="116" customFormat="1">
      <c r="A6708" s="136"/>
      <c r="CM6708" s="111"/>
      <c r="CQ6708" s="111"/>
      <c r="EF6708"/>
      <c r="EG6708"/>
      <c r="EH6708"/>
      <c r="EI6708"/>
      <c r="EJ6708"/>
      <c r="EK6708"/>
    </row>
    <row r="6709" spans="1:141" s="116" customFormat="1">
      <c r="A6709" s="136"/>
      <c r="CM6709" s="111"/>
      <c r="CQ6709" s="111"/>
      <c r="EF6709"/>
      <c r="EG6709"/>
      <c r="EH6709"/>
      <c r="EI6709"/>
      <c r="EJ6709"/>
      <c r="EK6709"/>
    </row>
    <row r="6710" spans="1:141" s="116" customFormat="1">
      <c r="A6710" s="136"/>
      <c r="CM6710" s="111"/>
      <c r="CQ6710" s="111"/>
      <c r="EF6710"/>
      <c r="EG6710"/>
      <c r="EH6710"/>
      <c r="EI6710"/>
      <c r="EJ6710"/>
      <c r="EK6710"/>
    </row>
    <row r="6711" spans="1:141" s="116" customFormat="1">
      <c r="A6711" s="136"/>
      <c r="CM6711" s="111"/>
      <c r="CQ6711" s="111"/>
      <c r="EF6711"/>
      <c r="EG6711"/>
      <c r="EH6711"/>
      <c r="EI6711"/>
      <c r="EJ6711"/>
      <c r="EK6711"/>
    </row>
    <row r="6712" spans="1:141" s="116" customFormat="1">
      <c r="A6712" s="136"/>
      <c r="CM6712" s="111"/>
      <c r="CQ6712" s="111"/>
      <c r="EF6712"/>
      <c r="EG6712"/>
      <c r="EH6712"/>
      <c r="EI6712"/>
      <c r="EJ6712"/>
      <c r="EK6712"/>
    </row>
    <row r="6713" spans="1:141" s="116" customFormat="1">
      <c r="A6713" s="136"/>
      <c r="CM6713" s="111"/>
      <c r="CQ6713" s="111"/>
      <c r="EF6713"/>
      <c r="EG6713"/>
      <c r="EH6713"/>
      <c r="EI6713"/>
      <c r="EJ6713"/>
      <c r="EK6713"/>
    </row>
    <row r="6714" spans="1:141" s="116" customFormat="1">
      <c r="A6714" s="136"/>
      <c r="CM6714" s="111"/>
      <c r="CQ6714" s="111"/>
      <c r="EF6714"/>
      <c r="EG6714"/>
      <c r="EH6714"/>
      <c r="EI6714"/>
      <c r="EJ6714"/>
      <c r="EK6714"/>
    </row>
    <row r="6715" spans="1:141" s="116" customFormat="1">
      <c r="A6715" s="136"/>
      <c r="CM6715" s="111"/>
      <c r="CQ6715" s="111"/>
      <c r="EF6715"/>
      <c r="EG6715"/>
      <c r="EH6715"/>
      <c r="EI6715"/>
      <c r="EJ6715"/>
      <c r="EK6715"/>
    </row>
    <row r="6716" spans="1:141" s="116" customFormat="1">
      <c r="A6716" s="136"/>
      <c r="CM6716" s="111"/>
      <c r="CQ6716" s="111"/>
      <c r="EF6716"/>
      <c r="EG6716"/>
      <c r="EH6716"/>
      <c r="EI6716"/>
      <c r="EJ6716"/>
      <c r="EK6716"/>
    </row>
    <row r="6717" spans="1:141" s="116" customFormat="1">
      <c r="A6717" s="136"/>
      <c r="CM6717" s="111"/>
      <c r="CQ6717" s="111"/>
      <c r="EF6717"/>
      <c r="EG6717"/>
      <c r="EH6717"/>
      <c r="EI6717"/>
      <c r="EJ6717"/>
      <c r="EK6717"/>
    </row>
    <row r="6718" spans="1:141" s="116" customFormat="1">
      <c r="A6718" s="136"/>
      <c r="CM6718" s="111"/>
      <c r="CQ6718" s="111"/>
      <c r="EF6718"/>
      <c r="EG6718"/>
      <c r="EH6718"/>
      <c r="EI6718"/>
      <c r="EJ6718"/>
      <c r="EK6718"/>
    </row>
    <row r="6719" spans="1:141" s="116" customFormat="1">
      <c r="A6719" s="136"/>
      <c r="CM6719" s="111"/>
      <c r="CQ6719" s="111"/>
      <c r="EF6719"/>
      <c r="EG6719"/>
      <c r="EH6719"/>
      <c r="EI6719"/>
      <c r="EJ6719"/>
      <c r="EK6719"/>
    </row>
    <row r="6720" spans="1:141" s="116" customFormat="1">
      <c r="A6720" s="136"/>
      <c r="CM6720" s="111"/>
      <c r="CQ6720" s="111"/>
      <c r="EF6720"/>
      <c r="EG6720"/>
      <c r="EH6720"/>
      <c r="EI6720"/>
      <c r="EJ6720"/>
      <c r="EK6720"/>
    </row>
    <row r="6721" spans="1:141" s="116" customFormat="1">
      <c r="A6721" s="136"/>
      <c r="CM6721" s="111"/>
      <c r="CQ6721" s="111"/>
      <c r="EF6721"/>
      <c r="EG6721"/>
      <c r="EH6721"/>
      <c r="EI6721"/>
      <c r="EJ6721"/>
      <c r="EK6721"/>
    </row>
    <row r="6722" spans="1:141" s="116" customFormat="1">
      <c r="A6722" s="136"/>
      <c r="CM6722" s="111"/>
      <c r="CQ6722" s="111"/>
      <c r="EF6722"/>
      <c r="EG6722"/>
      <c r="EH6722"/>
      <c r="EI6722"/>
      <c r="EJ6722"/>
      <c r="EK6722"/>
    </row>
    <row r="6723" spans="1:141" s="116" customFormat="1">
      <c r="A6723" s="136"/>
      <c r="CM6723" s="111"/>
      <c r="CQ6723" s="111"/>
      <c r="EF6723"/>
      <c r="EG6723"/>
      <c r="EH6723"/>
      <c r="EI6723"/>
      <c r="EJ6723"/>
      <c r="EK6723"/>
    </row>
    <row r="6724" spans="1:141" s="116" customFormat="1">
      <c r="A6724" s="136"/>
      <c r="CM6724" s="111"/>
      <c r="CQ6724" s="111"/>
      <c r="EF6724"/>
      <c r="EG6724"/>
      <c r="EH6724"/>
      <c r="EI6724"/>
      <c r="EJ6724"/>
      <c r="EK6724"/>
    </row>
    <row r="6725" spans="1:141" s="116" customFormat="1">
      <c r="A6725" s="136"/>
      <c r="CM6725" s="111"/>
      <c r="CQ6725" s="111"/>
      <c r="EF6725"/>
      <c r="EG6725"/>
      <c r="EH6725"/>
      <c r="EI6725"/>
      <c r="EJ6725"/>
      <c r="EK6725"/>
    </row>
    <row r="6726" spans="1:141" s="116" customFormat="1">
      <c r="A6726" s="136"/>
      <c r="CM6726" s="111"/>
      <c r="CQ6726" s="111"/>
      <c r="EF6726"/>
      <c r="EG6726"/>
      <c r="EH6726"/>
      <c r="EI6726"/>
      <c r="EJ6726"/>
      <c r="EK6726"/>
    </row>
    <row r="6727" spans="1:141" s="116" customFormat="1">
      <c r="A6727" s="136"/>
      <c r="CM6727" s="111"/>
      <c r="CQ6727" s="111"/>
      <c r="EF6727"/>
      <c r="EG6727"/>
      <c r="EH6727"/>
      <c r="EI6727"/>
      <c r="EJ6727"/>
      <c r="EK6727"/>
    </row>
    <row r="6728" spans="1:141" s="116" customFormat="1">
      <c r="A6728" s="136"/>
      <c r="CM6728" s="111"/>
      <c r="CQ6728" s="111"/>
      <c r="EF6728"/>
      <c r="EG6728"/>
      <c r="EH6728"/>
      <c r="EI6728"/>
      <c r="EJ6728"/>
      <c r="EK6728"/>
    </row>
    <row r="6729" spans="1:141" s="116" customFormat="1">
      <c r="A6729" s="136"/>
      <c r="CM6729" s="111"/>
      <c r="CQ6729" s="111"/>
      <c r="EF6729"/>
      <c r="EG6729"/>
      <c r="EH6729"/>
      <c r="EI6729"/>
      <c r="EJ6729"/>
      <c r="EK6729"/>
    </row>
    <row r="6730" spans="1:141" s="116" customFormat="1">
      <c r="A6730" s="136"/>
      <c r="CM6730" s="111"/>
      <c r="CQ6730" s="111"/>
      <c r="EF6730"/>
      <c r="EG6730"/>
      <c r="EH6730"/>
      <c r="EI6730"/>
      <c r="EJ6730"/>
      <c r="EK6730"/>
    </row>
    <row r="6731" spans="1:141" s="116" customFormat="1">
      <c r="A6731" s="136"/>
      <c r="CM6731" s="111"/>
      <c r="CQ6731" s="111"/>
      <c r="EF6731"/>
      <c r="EG6731"/>
      <c r="EH6731"/>
      <c r="EI6731"/>
      <c r="EJ6731"/>
      <c r="EK6731"/>
    </row>
    <row r="6732" spans="1:141" s="116" customFormat="1">
      <c r="A6732" s="136"/>
      <c r="CM6732" s="111"/>
      <c r="CQ6732" s="111"/>
      <c r="EF6732"/>
      <c r="EG6732"/>
      <c r="EH6732"/>
      <c r="EI6732"/>
      <c r="EJ6732"/>
      <c r="EK6732"/>
    </row>
    <row r="6733" spans="1:141" s="116" customFormat="1">
      <c r="A6733" s="136"/>
      <c r="CM6733" s="111"/>
      <c r="CQ6733" s="111"/>
      <c r="EF6733"/>
      <c r="EG6733"/>
      <c r="EH6733"/>
      <c r="EI6733"/>
      <c r="EJ6733"/>
      <c r="EK6733"/>
    </row>
    <row r="6734" spans="1:141" s="116" customFormat="1">
      <c r="A6734" s="136"/>
      <c r="CM6734" s="111"/>
      <c r="CQ6734" s="111"/>
      <c r="EF6734"/>
      <c r="EG6734"/>
      <c r="EH6734"/>
      <c r="EI6734"/>
      <c r="EJ6734"/>
      <c r="EK6734"/>
    </row>
    <row r="6735" spans="1:141" s="116" customFormat="1">
      <c r="A6735" s="136"/>
      <c r="CM6735" s="111"/>
      <c r="CQ6735" s="111"/>
      <c r="EF6735"/>
      <c r="EG6735"/>
      <c r="EH6735"/>
      <c r="EI6735"/>
      <c r="EJ6735"/>
      <c r="EK6735"/>
    </row>
    <row r="6736" spans="1:141" s="116" customFormat="1">
      <c r="A6736" s="136"/>
      <c r="CM6736" s="111"/>
      <c r="CQ6736" s="111"/>
      <c r="EF6736"/>
      <c r="EG6736"/>
      <c r="EH6736"/>
      <c r="EI6736"/>
      <c r="EJ6736"/>
      <c r="EK6736"/>
    </row>
    <row r="6737" spans="1:141" s="116" customFormat="1">
      <c r="A6737" s="136"/>
      <c r="CM6737" s="111"/>
      <c r="CQ6737" s="111"/>
      <c r="EF6737"/>
      <c r="EG6737"/>
      <c r="EH6737"/>
      <c r="EI6737"/>
      <c r="EJ6737"/>
      <c r="EK6737"/>
    </row>
    <row r="6738" spans="1:141" s="116" customFormat="1">
      <c r="A6738" s="136"/>
      <c r="CM6738" s="111"/>
      <c r="CQ6738" s="111"/>
      <c r="EF6738"/>
      <c r="EG6738"/>
      <c r="EH6738"/>
      <c r="EI6738"/>
      <c r="EJ6738"/>
      <c r="EK6738"/>
    </row>
    <row r="6739" spans="1:141" s="116" customFormat="1">
      <c r="A6739" s="136"/>
      <c r="CM6739" s="111"/>
      <c r="CQ6739" s="111"/>
      <c r="EF6739"/>
      <c r="EG6739"/>
      <c r="EH6739"/>
      <c r="EI6739"/>
      <c r="EJ6739"/>
      <c r="EK6739"/>
    </row>
    <row r="6740" spans="1:141" s="116" customFormat="1">
      <c r="A6740" s="136"/>
      <c r="CM6740" s="111"/>
      <c r="CQ6740" s="111"/>
      <c r="EF6740"/>
      <c r="EG6740"/>
      <c r="EH6740"/>
      <c r="EI6740"/>
      <c r="EJ6740"/>
      <c r="EK6740"/>
    </row>
    <row r="6741" spans="1:141" s="116" customFormat="1">
      <c r="A6741" s="136"/>
      <c r="CM6741" s="111"/>
      <c r="CQ6741" s="111"/>
      <c r="EF6741"/>
      <c r="EG6741"/>
      <c r="EH6741"/>
      <c r="EI6741"/>
      <c r="EJ6741"/>
      <c r="EK6741"/>
    </row>
    <row r="6742" spans="1:141" s="116" customFormat="1">
      <c r="A6742" s="136"/>
      <c r="CM6742" s="111"/>
      <c r="CQ6742" s="111"/>
      <c r="EF6742"/>
      <c r="EG6742"/>
      <c r="EH6742"/>
      <c r="EI6742"/>
      <c r="EJ6742"/>
      <c r="EK6742"/>
    </row>
    <row r="6743" spans="1:141" s="116" customFormat="1">
      <c r="A6743" s="136"/>
      <c r="CM6743" s="111"/>
      <c r="CQ6743" s="111"/>
      <c r="EF6743"/>
      <c r="EG6743"/>
      <c r="EH6743"/>
      <c r="EI6743"/>
      <c r="EJ6743"/>
      <c r="EK6743"/>
    </row>
    <row r="6744" spans="1:141" s="116" customFormat="1">
      <c r="A6744" s="136"/>
      <c r="CM6744" s="111"/>
      <c r="CQ6744" s="111"/>
      <c r="EF6744"/>
      <c r="EG6744"/>
      <c r="EH6744"/>
      <c r="EI6744"/>
      <c r="EJ6744"/>
      <c r="EK6744"/>
    </row>
    <row r="6745" spans="1:141" s="116" customFormat="1">
      <c r="A6745" s="136"/>
      <c r="CM6745" s="111"/>
      <c r="CQ6745" s="111"/>
      <c r="EF6745"/>
      <c r="EG6745"/>
      <c r="EH6745"/>
      <c r="EI6745"/>
      <c r="EJ6745"/>
      <c r="EK6745"/>
    </row>
    <row r="6746" spans="1:141" s="116" customFormat="1">
      <c r="A6746" s="136"/>
      <c r="CM6746" s="111"/>
      <c r="CQ6746" s="111"/>
      <c r="EF6746"/>
      <c r="EG6746"/>
      <c r="EH6746"/>
      <c r="EI6746"/>
      <c r="EJ6746"/>
      <c r="EK6746"/>
    </row>
    <row r="6747" spans="1:141" s="116" customFormat="1">
      <c r="A6747" s="136"/>
      <c r="CM6747" s="111"/>
      <c r="CQ6747" s="111"/>
      <c r="EF6747"/>
      <c r="EG6747"/>
      <c r="EH6747"/>
      <c r="EI6747"/>
      <c r="EJ6747"/>
      <c r="EK6747"/>
    </row>
    <row r="6748" spans="1:141" s="116" customFormat="1">
      <c r="A6748" s="136"/>
      <c r="CM6748" s="111"/>
      <c r="CQ6748" s="111"/>
      <c r="EF6748"/>
      <c r="EG6748"/>
      <c r="EH6748"/>
      <c r="EI6748"/>
      <c r="EJ6748"/>
      <c r="EK6748"/>
    </row>
    <row r="6749" spans="1:141" s="116" customFormat="1">
      <c r="A6749" s="136"/>
      <c r="CM6749" s="111"/>
      <c r="CQ6749" s="111"/>
      <c r="EF6749"/>
      <c r="EG6749"/>
      <c r="EH6749"/>
      <c r="EI6749"/>
      <c r="EJ6749"/>
      <c r="EK6749"/>
    </row>
    <row r="6750" spans="1:141" s="116" customFormat="1">
      <c r="A6750" s="136"/>
      <c r="CM6750" s="111"/>
      <c r="CQ6750" s="111"/>
      <c r="EF6750"/>
      <c r="EG6750"/>
      <c r="EH6750"/>
      <c r="EI6750"/>
      <c r="EJ6750"/>
      <c r="EK6750"/>
    </row>
    <row r="6751" spans="1:141" s="116" customFormat="1">
      <c r="A6751" s="136"/>
      <c r="CM6751" s="111"/>
      <c r="CQ6751" s="111"/>
      <c r="EF6751"/>
      <c r="EG6751"/>
      <c r="EH6751"/>
      <c r="EI6751"/>
      <c r="EJ6751"/>
      <c r="EK6751"/>
    </row>
    <row r="6752" spans="1:141" s="116" customFormat="1">
      <c r="A6752" s="136"/>
      <c r="CM6752" s="111"/>
      <c r="CQ6752" s="111"/>
      <c r="EF6752"/>
      <c r="EG6752"/>
      <c r="EH6752"/>
      <c r="EI6752"/>
      <c r="EJ6752"/>
      <c r="EK6752"/>
    </row>
    <row r="6753" spans="1:141" s="116" customFormat="1">
      <c r="A6753" s="136"/>
      <c r="CM6753" s="111"/>
      <c r="CQ6753" s="111"/>
      <c r="EF6753"/>
      <c r="EG6753"/>
      <c r="EH6753"/>
      <c r="EI6753"/>
      <c r="EJ6753"/>
      <c r="EK6753"/>
    </row>
    <row r="6754" spans="1:141" s="116" customFormat="1">
      <c r="A6754" s="136"/>
      <c r="CM6754" s="111"/>
      <c r="CQ6754" s="111"/>
      <c r="EF6754"/>
      <c r="EG6754"/>
      <c r="EH6754"/>
      <c r="EI6754"/>
      <c r="EJ6754"/>
      <c r="EK6754"/>
    </row>
    <row r="6755" spans="1:141" s="116" customFormat="1">
      <c r="A6755" s="136"/>
      <c r="CM6755" s="111"/>
      <c r="CQ6755" s="111"/>
      <c r="EF6755"/>
      <c r="EG6755"/>
      <c r="EH6755"/>
      <c r="EI6755"/>
      <c r="EJ6755"/>
      <c r="EK6755"/>
    </row>
    <row r="6756" spans="1:141" s="116" customFormat="1">
      <c r="A6756" s="136"/>
      <c r="CM6756" s="111"/>
      <c r="CQ6756" s="111"/>
      <c r="EF6756"/>
      <c r="EG6756"/>
      <c r="EH6756"/>
      <c r="EI6756"/>
      <c r="EJ6756"/>
      <c r="EK6756"/>
    </row>
    <row r="6757" spans="1:141" s="116" customFormat="1">
      <c r="A6757" s="136"/>
      <c r="CM6757" s="111"/>
      <c r="CQ6757" s="111"/>
      <c r="EF6757"/>
      <c r="EG6757"/>
      <c r="EH6757"/>
      <c r="EI6757"/>
      <c r="EJ6757"/>
      <c r="EK6757"/>
    </row>
    <row r="6758" spans="1:141" s="116" customFormat="1">
      <c r="A6758" s="136"/>
      <c r="CM6758" s="111"/>
      <c r="CQ6758" s="111"/>
      <c r="EF6758"/>
      <c r="EG6758"/>
      <c r="EH6758"/>
      <c r="EI6758"/>
      <c r="EJ6758"/>
      <c r="EK6758"/>
    </row>
    <row r="6759" spans="1:141" s="116" customFormat="1">
      <c r="A6759" s="136"/>
      <c r="CM6759" s="111"/>
      <c r="CQ6759" s="111"/>
      <c r="EF6759"/>
      <c r="EG6759"/>
      <c r="EH6759"/>
      <c r="EI6759"/>
      <c r="EJ6759"/>
      <c r="EK6759"/>
    </row>
    <row r="6760" spans="1:141" s="116" customFormat="1">
      <c r="A6760" s="136"/>
      <c r="CM6760" s="111"/>
      <c r="CQ6760" s="111"/>
      <c r="EF6760"/>
      <c r="EG6760"/>
      <c r="EH6760"/>
      <c r="EI6760"/>
      <c r="EJ6760"/>
      <c r="EK6760"/>
    </row>
    <row r="6761" spans="1:141" s="116" customFormat="1">
      <c r="A6761" s="136"/>
      <c r="CM6761" s="111"/>
      <c r="CQ6761" s="111"/>
      <c r="EF6761"/>
      <c r="EG6761"/>
      <c r="EH6761"/>
      <c r="EI6761"/>
      <c r="EJ6761"/>
      <c r="EK6761"/>
    </row>
    <row r="6762" spans="1:141" s="116" customFormat="1">
      <c r="A6762" s="136"/>
      <c r="CM6762" s="111"/>
      <c r="CQ6762" s="111"/>
      <c r="EF6762"/>
      <c r="EG6762"/>
      <c r="EH6762"/>
      <c r="EI6762"/>
      <c r="EJ6762"/>
      <c r="EK6762"/>
    </row>
    <row r="6763" spans="1:141" s="116" customFormat="1">
      <c r="A6763" s="136"/>
      <c r="CM6763" s="111"/>
      <c r="CQ6763" s="111"/>
      <c r="EF6763"/>
      <c r="EG6763"/>
      <c r="EH6763"/>
      <c r="EI6763"/>
      <c r="EJ6763"/>
      <c r="EK6763"/>
    </row>
    <row r="6764" spans="1:141" s="116" customFormat="1">
      <c r="A6764" s="136"/>
      <c r="CM6764" s="111"/>
      <c r="CQ6764" s="111"/>
      <c r="EF6764"/>
      <c r="EG6764"/>
      <c r="EH6764"/>
      <c r="EI6764"/>
      <c r="EJ6764"/>
      <c r="EK6764"/>
    </row>
    <row r="6765" spans="1:141" s="116" customFormat="1">
      <c r="A6765" s="136"/>
      <c r="CM6765" s="111"/>
      <c r="CQ6765" s="111"/>
      <c r="EF6765"/>
      <c r="EG6765"/>
      <c r="EH6765"/>
      <c r="EI6765"/>
      <c r="EJ6765"/>
      <c r="EK6765"/>
    </row>
    <row r="6766" spans="1:141" s="116" customFormat="1">
      <c r="A6766" s="136"/>
      <c r="CM6766" s="111"/>
      <c r="CQ6766" s="111"/>
      <c r="EF6766"/>
      <c r="EG6766"/>
      <c r="EH6766"/>
      <c r="EI6766"/>
      <c r="EJ6766"/>
      <c r="EK6766"/>
    </row>
    <row r="6767" spans="1:141" s="116" customFormat="1">
      <c r="A6767" s="136"/>
      <c r="CM6767" s="111"/>
      <c r="CQ6767" s="111"/>
      <c r="EF6767"/>
      <c r="EG6767"/>
      <c r="EH6767"/>
      <c r="EI6767"/>
      <c r="EJ6767"/>
      <c r="EK6767"/>
    </row>
    <row r="6768" spans="1:141" s="116" customFormat="1">
      <c r="A6768" s="136"/>
      <c r="CM6768" s="111"/>
      <c r="CQ6768" s="111"/>
      <c r="EF6768"/>
      <c r="EG6768"/>
      <c r="EH6768"/>
      <c r="EI6768"/>
      <c r="EJ6768"/>
      <c r="EK6768"/>
    </row>
    <row r="6769" spans="1:141" s="116" customFormat="1">
      <c r="A6769" s="136"/>
      <c r="CM6769" s="111"/>
      <c r="CQ6769" s="111"/>
      <c r="EF6769"/>
      <c r="EG6769"/>
      <c r="EH6769"/>
      <c r="EI6769"/>
      <c r="EJ6769"/>
      <c r="EK6769"/>
    </row>
    <row r="6770" spans="1:141" s="116" customFormat="1">
      <c r="A6770" s="136"/>
      <c r="CM6770" s="111"/>
      <c r="CQ6770" s="111"/>
      <c r="EF6770"/>
      <c r="EG6770"/>
      <c r="EH6770"/>
      <c r="EI6770"/>
      <c r="EJ6770"/>
      <c r="EK6770"/>
    </row>
    <row r="6771" spans="1:141" s="116" customFormat="1">
      <c r="A6771" s="136"/>
      <c r="CM6771" s="111"/>
      <c r="CQ6771" s="111"/>
      <c r="EF6771"/>
      <c r="EG6771"/>
      <c r="EH6771"/>
      <c r="EI6771"/>
      <c r="EJ6771"/>
      <c r="EK6771"/>
    </row>
    <row r="6772" spans="1:141" s="116" customFormat="1">
      <c r="A6772" s="136"/>
      <c r="CM6772" s="111"/>
      <c r="CQ6772" s="111"/>
      <c r="EF6772"/>
      <c r="EG6772"/>
      <c r="EH6772"/>
      <c r="EI6772"/>
      <c r="EJ6772"/>
      <c r="EK6772"/>
    </row>
    <row r="6773" spans="1:141" s="116" customFormat="1">
      <c r="A6773" s="136"/>
      <c r="CM6773" s="111"/>
      <c r="CQ6773" s="111"/>
      <c r="EF6773"/>
      <c r="EG6773"/>
      <c r="EH6773"/>
      <c r="EI6773"/>
      <c r="EJ6773"/>
      <c r="EK6773"/>
    </row>
    <row r="6774" spans="1:141" s="116" customFormat="1">
      <c r="A6774" s="136"/>
      <c r="CM6774" s="111"/>
      <c r="CQ6774" s="111"/>
      <c r="EF6774"/>
      <c r="EG6774"/>
      <c r="EH6774"/>
      <c r="EI6774"/>
      <c r="EJ6774"/>
      <c r="EK6774"/>
    </row>
    <row r="6775" spans="1:141" s="116" customFormat="1">
      <c r="A6775" s="136"/>
      <c r="CM6775" s="111"/>
      <c r="CQ6775" s="111"/>
      <c r="EF6775"/>
      <c r="EG6775"/>
      <c r="EH6775"/>
      <c r="EI6775"/>
      <c r="EJ6775"/>
      <c r="EK6775"/>
    </row>
    <row r="6776" spans="1:141" s="116" customFormat="1">
      <c r="A6776" s="136"/>
      <c r="CM6776" s="111"/>
      <c r="CQ6776" s="111"/>
      <c r="EF6776"/>
      <c r="EG6776"/>
      <c r="EH6776"/>
      <c r="EI6776"/>
      <c r="EJ6776"/>
      <c r="EK6776"/>
    </row>
    <row r="6777" spans="1:141" s="116" customFormat="1">
      <c r="A6777" s="136"/>
      <c r="CM6777" s="111"/>
      <c r="CQ6777" s="111"/>
      <c r="EF6777"/>
      <c r="EG6777"/>
      <c r="EH6777"/>
      <c r="EI6777"/>
      <c r="EJ6777"/>
      <c r="EK6777"/>
    </row>
    <row r="6778" spans="1:141" s="116" customFormat="1">
      <c r="A6778" s="136"/>
      <c r="CM6778" s="111"/>
      <c r="CQ6778" s="111"/>
      <c r="EF6778"/>
      <c r="EG6778"/>
      <c r="EH6778"/>
      <c r="EI6778"/>
      <c r="EJ6778"/>
      <c r="EK6778"/>
    </row>
    <row r="6779" spans="1:141" s="116" customFormat="1">
      <c r="A6779" s="136"/>
      <c r="CM6779" s="111"/>
      <c r="CQ6779" s="111"/>
      <c r="EF6779"/>
      <c r="EG6779"/>
      <c r="EH6779"/>
      <c r="EI6779"/>
      <c r="EJ6779"/>
      <c r="EK6779"/>
    </row>
    <row r="6780" spans="1:141" s="116" customFormat="1">
      <c r="A6780" s="136"/>
      <c r="CM6780" s="111"/>
      <c r="CQ6780" s="111"/>
      <c r="EF6780"/>
      <c r="EG6780"/>
      <c r="EH6780"/>
      <c r="EI6780"/>
      <c r="EJ6780"/>
      <c r="EK6780"/>
    </row>
    <row r="6781" spans="1:141" s="116" customFormat="1">
      <c r="A6781" s="136"/>
      <c r="CM6781" s="111"/>
      <c r="CQ6781" s="111"/>
      <c r="EF6781"/>
      <c r="EG6781"/>
      <c r="EH6781"/>
      <c r="EI6781"/>
      <c r="EJ6781"/>
      <c r="EK6781"/>
    </row>
    <row r="6782" spans="1:141" s="116" customFormat="1">
      <c r="A6782" s="136"/>
      <c r="CM6782" s="111"/>
      <c r="CQ6782" s="111"/>
      <c r="EF6782"/>
      <c r="EG6782"/>
      <c r="EH6782"/>
      <c r="EI6782"/>
      <c r="EJ6782"/>
      <c r="EK6782"/>
    </row>
    <row r="6783" spans="1:141" s="116" customFormat="1">
      <c r="A6783" s="136"/>
      <c r="CM6783" s="111"/>
      <c r="CQ6783" s="111"/>
      <c r="EF6783"/>
      <c r="EG6783"/>
      <c r="EH6783"/>
      <c r="EI6783"/>
      <c r="EJ6783"/>
      <c r="EK6783"/>
    </row>
    <row r="6784" spans="1:141" s="116" customFormat="1">
      <c r="A6784" s="136"/>
      <c r="CM6784" s="111"/>
      <c r="CQ6784" s="111"/>
      <c r="EF6784"/>
      <c r="EG6784"/>
      <c r="EH6784"/>
      <c r="EI6784"/>
      <c r="EJ6784"/>
      <c r="EK6784"/>
    </row>
    <row r="6785" spans="1:141" s="116" customFormat="1">
      <c r="A6785" s="136"/>
      <c r="CM6785" s="111"/>
      <c r="CQ6785" s="111"/>
      <c r="EF6785"/>
      <c r="EG6785"/>
      <c r="EH6785"/>
      <c r="EI6785"/>
      <c r="EJ6785"/>
      <c r="EK6785"/>
    </row>
    <row r="6786" spans="1:141" s="116" customFormat="1">
      <c r="A6786" s="136"/>
      <c r="CM6786" s="111"/>
      <c r="CQ6786" s="111"/>
      <c r="EF6786"/>
      <c r="EG6786"/>
      <c r="EH6786"/>
      <c r="EI6786"/>
      <c r="EJ6786"/>
      <c r="EK6786"/>
    </row>
    <row r="6787" spans="1:141" s="116" customFormat="1">
      <c r="A6787" s="136"/>
      <c r="CM6787" s="111"/>
      <c r="CQ6787" s="111"/>
      <c r="EF6787"/>
      <c r="EG6787"/>
      <c r="EH6787"/>
      <c r="EI6787"/>
      <c r="EJ6787"/>
      <c r="EK6787"/>
    </row>
    <row r="6788" spans="1:141" s="116" customFormat="1">
      <c r="A6788" s="136"/>
      <c r="CM6788" s="111"/>
      <c r="CQ6788" s="111"/>
      <c r="EF6788"/>
      <c r="EG6788"/>
      <c r="EH6788"/>
      <c r="EI6788"/>
      <c r="EJ6788"/>
      <c r="EK6788"/>
    </row>
    <row r="6789" spans="1:141" s="116" customFormat="1">
      <c r="A6789" s="136"/>
      <c r="CM6789" s="111"/>
      <c r="CQ6789" s="111"/>
      <c r="EF6789"/>
      <c r="EG6789"/>
      <c r="EH6789"/>
      <c r="EI6789"/>
      <c r="EJ6789"/>
      <c r="EK6789"/>
    </row>
    <row r="6790" spans="1:141" s="116" customFormat="1">
      <c r="A6790" s="136"/>
      <c r="CM6790" s="111"/>
      <c r="CQ6790" s="111"/>
      <c r="EF6790"/>
      <c r="EG6790"/>
      <c r="EH6790"/>
      <c r="EI6790"/>
      <c r="EJ6790"/>
      <c r="EK6790"/>
    </row>
    <row r="6791" spans="1:141" s="116" customFormat="1">
      <c r="A6791" s="136"/>
      <c r="CM6791" s="111"/>
      <c r="CQ6791" s="111"/>
      <c r="EF6791"/>
      <c r="EG6791"/>
      <c r="EH6791"/>
      <c r="EI6791"/>
      <c r="EJ6791"/>
      <c r="EK6791"/>
    </row>
    <row r="6792" spans="1:141" s="116" customFormat="1">
      <c r="A6792" s="136"/>
      <c r="CM6792" s="111"/>
      <c r="CQ6792" s="111"/>
      <c r="EF6792"/>
      <c r="EG6792"/>
      <c r="EH6792"/>
      <c r="EI6792"/>
      <c r="EJ6792"/>
      <c r="EK6792"/>
    </row>
    <row r="6793" spans="1:141" s="116" customFormat="1">
      <c r="A6793" s="136"/>
      <c r="CM6793" s="111"/>
      <c r="CQ6793" s="111"/>
      <c r="EF6793"/>
      <c r="EG6793"/>
      <c r="EH6793"/>
      <c r="EI6793"/>
      <c r="EJ6793"/>
      <c r="EK6793"/>
    </row>
    <row r="6794" spans="1:141" s="116" customFormat="1">
      <c r="A6794" s="136"/>
      <c r="CM6794" s="111"/>
      <c r="CQ6794" s="111"/>
      <c r="EF6794"/>
      <c r="EG6794"/>
      <c r="EH6794"/>
      <c r="EI6794"/>
      <c r="EJ6794"/>
      <c r="EK6794"/>
    </row>
    <row r="6795" spans="1:141" s="116" customFormat="1">
      <c r="A6795" s="136"/>
      <c r="CM6795" s="111"/>
      <c r="CQ6795" s="111"/>
      <c r="EF6795"/>
      <c r="EG6795"/>
      <c r="EH6795"/>
      <c r="EI6795"/>
      <c r="EJ6795"/>
      <c r="EK6795"/>
    </row>
    <row r="6796" spans="1:141" s="116" customFormat="1">
      <c r="A6796" s="136"/>
      <c r="CM6796" s="111"/>
      <c r="CQ6796" s="111"/>
      <c r="EF6796"/>
      <c r="EG6796"/>
      <c r="EH6796"/>
      <c r="EI6796"/>
      <c r="EJ6796"/>
      <c r="EK6796"/>
    </row>
    <row r="6797" spans="1:141" s="116" customFormat="1">
      <c r="A6797" s="136"/>
      <c r="CM6797" s="111"/>
      <c r="CQ6797" s="111"/>
      <c r="EF6797"/>
      <c r="EG6797"/>
      <c r="EH6797"/>
      <c r="EI6797"/>
      <c r="EJ6797"/>
      <c r="EK6797"/>
    </row>
    <row r="6798" spans="1:141" s="116" customFormat="1">
      <c r="A6798" s="136"/>
      <c r="CM6798" s="111"/>
      <c r="CQ6798" s="111"/>
      <c r="EF6798"/>
      <c r="EG6798"/>
      <c r="EH6798"/>
      <c r="EI6798"/>
      <c r="EJ6798"/>
      <c r="EK6798"/>
    </row>
    <row r="6799" spans="1:141" s="116" customFormat="1">
      <c r="A6799" s="136"/>
      <c r="CM6799" s="111"/>
      <c r="CQ6799" s="111"/>
      <c r="EF6799"/>
      <c r="EG6799"/>
      <c r="EH6799"/>
      <c r="EI6799"/>
      <c r="EJ6799"/>
      <c r="EK6799"/>
    </row>
    <row r="6800" spans="1:141" s="116" customFormat="1">
      <c r="A6800" s="136"/>
      <c r="CM6800" s="111"/>
      <c r="CQ6800" s="111"/>
      <c r="EF6800"/>
      <c r="EG6800"/>
      <c r="EH6800"/>
      <c r="EI6800"/>
      <c r="EJ6800"/>
      <c r="EK6800"/>
    </row>
    <row r="6801" spans="1:141" s="116" customFormat="1">
      <c r="A6801" s="136"/>
      <c r="CM6801" s="111"/>
      <c r="CQ6801" s="111"/>
      <c r="EF6801"/>
      <c r="EG6801"/>
      <c r="EH6801"/>
      <c r="EI6801"/>
      <c r="EJ6801"/>
      <c r="EK6801"/>
    </row>
    <row r="6802" spans="1:141" s="116" customFormat="1">
      <c r="A6802" s="136"/>
      <c r="CM6802" s="111"/>
      <c r="CQ6802" s="111"/>
      <c r="EF6802"/>
      <c r="EG6802"/>
      <c r="EH6802"/>
      <c r="EI6802"/>
      <c r="EJ6802"/>
      <c r="EK6802"/>
    </row>
    <row r="6803" spans="1:141" s="116" customFormat="1">
      <c r="A6803" s="136"/>
      <c r="CM6803" s="111"/>
      <c r="CQ6803" s="111"/>
      <c r="EF6803"/>
      <c r="EG6803"/>
      <c r="EH6803"/>
      <c r="EI6803"/>
      <c r="EJ6803"/>
      <c r="EK6803"/>
    </row>
    <row r="6804" spans="1:141" s="116" customFormat="1">
      <c r="A6804" s="136"/>
      <c r="CM6804" s="111"/>
      <c r="CQ6804" s="111"/>
      <c r="EF6804"/>
      <c r="EG6804"/>
      <c r="EH6804"/>
      <c r="EI6804"/>
      <c r="EJ6804"/>
      <c r="EK6804"/>
    </row>
    <row r="6805" spans="1:141" s="116" customFormat="1">
      <c r="A6805" s="136"/>
      <c r="CM6805" s="111"/>
      <c r="CQ6805" s="111"/>
      <c r="EF6805"/>
      <c r="EG6805"/>
      <c r="EH6805"/>
      <c r="EI6805"/>
      <c r="EJ6805"/>
      <c r="EK6805"/>
    </row>
    <row r="6806" spans="1:141" s="116" customFormat="1">
      <c r="A6806" s="136"/>
      <c r="CM6806" s="111"/>
      <c r="CQ6806" s="111"/>
      <c r="EF6806"/>
      <c r="EG6806"/>
      <c r="EH6806"/>
      <c r="EI6806"/>
      <c r="EJ6806"/>
      <c r="EK6806"/>
    </row>
    <row r="6807" spans="1:141" s="116" customFormat="1">
      <c r="A6807" s="136"/>
      <c r="CM6807" s="111"/>
      <c r="CQ6807" s="111"/>
      <c r="EF6807"/>
      <c r="EG6807"/>
      <c r="EH6807"/>
      <c r="EI6807"/>
      <c r="EJ6807"/>
      <c r="EK6807"/>
    </row>
    <row r="6808" spans="1:141" s="116" customFormat="1">
      <c r="A6808" s="136"/>
      <c r="CM6808" s="111"/>
      <c r="CQ6808" s="111"/>
      <c r="EF6808"/>
      <c r="EG6808"/>
      <c r="EH6808"/>
      <c r="EI6808"/>
      <c r="EJ6808"/>
      <c r="EK6808"/>
    </row>
    <row r="6809" spans="1:141" s="116" customFormat="1">
      <c r="A6809" s="136"/>
      <c r="CM6809" s="111"/>
      <c r="CQ6809" s="111"/>
      <c r="EF6809"/>
      <c r="EG6809"/>
      <c r="EH6809"/>
      <c r="EI6809"/>
      <c r="EJ6809"/>
      <c r="EK6809"/>
    </row>
    <row r="6810" spans="1:141" s="116" customFormat="1">
      <c r="A6810" s="136"/>
      <c r="CM6810" s="111"/>
      <c r="CQ6810" s="111"/>
      <c r="EF6810"/>
      <c r="EG6810"/>
      <c r="EH6810"/>
      <c r="EI6810"/>
      <c r="EJ6810"/>
      <c r="EK6810"/>
    </row>
    <row r="6811" spans="1:141" s="116" customFormat="1">
      <c r="A6811" s="136"/>
      <c r="CM6811" s="111"/>
      <c r="CQ6811" s="111"/>
      <c r="EF6811"/>
      <c r="EG6811"/>
      <c r="EH6811"/>
      <c r="EI6811"/>
      <c r="EJ6811"/>
      <c r="EK6811"/>
    </row>
    <row r="6812" spans="1:141" s="116" customFormat="1">
      <c r="A6812" s="136"/>
      <c r="CM6812" s="111"/>
      <c r="CQ6812" s="111"/>
      <c r="EF6812"/>
      <c r="EG6812"/>
      <c r="EH6812"/>
      <c r="EI6812"/>
      <c r="EJ6812"/>
      <c r="EK6812"/>
    </row>
    <row r="6813" spans="1:141" s="116" customFormat="1">
      <c r="A6813" s="136"/>
      <c r="CM6813" s="111"/>
      <c r="CQ6813" s="111"/>
      <c r="EF6813"/>
      <c r="EG6813"/>
      <c r="EH6813"/>
      <c r="EI6813"/>
      <c r="EJ6813"/>
      <c r="EK6813"/>
    </row>
    <row r="6814" spans="1:141" s="116" customFormat="1">
      <c r="A6814" s="136"/>
      <c r="CM6814" s="111"/>
      <c r="CQ6814" s="111"/>
      <c r="EF6814"/>
      <c r="EG6814"/>
      <c r="EH6814"/>
      <c r="EI6814"/>
      <c r="EJ6814"/>
      <c r="EK6814"/>
    </row>
    <row r="6815" spans="1:141" s="116" customFormat="1">
      <c r="A6815" s="136"/>
      <c r="CM6815" s="111"/>
      <c r="CQ6815" s="111"/>
      <c r="EF6815"/>
      <c r="EG6815"/>
      <c r="EH6815"/>
      <c r="EI6815"/>
      <c r="EJ6815"/>
      <c r="EK6815"/>
    </row>
    <row r="6816" spans="1:141" s="116" customFormat="1">
      <c r="A6816" s="136"/>
      <c r="CM6816" s="111"/>
      <c r="CQ6816" s="111"/>
      <c r="EF6816"/>
      <c r="EG6816"/>
      <c r="EH6816"/>
      <c r="EI6816"/>
      <c r="EJ6816"/>
      <c r="EK6816"/>
    </row>
    <row r="6817" spans="1:141" s="116" customFormat="1">
      <c r="A6817" s="136"/>
      <c r="CM6817" s="111"/>
      <c r="CQ6817" s="111"/>
      <c r="EF6817"/>
      <c r="EG6817"/>
      <c r="EH6817"/>
      <c r="EI6817"/>
      <c r="EJ6817"/>
      <c r="EK6817"/>
    </row>
    <row r="6818" spans="1:141" s="116" customFormat="1">
      <c r="A6818" s="136"/>
      <c r="CM6818" s="111"/>
      <c r="CQ6818" s="111"/>
      <c r="EF6818"/>
      <c r="EG6818"/>
      <c r="EH6818"/>
      <c r="EI6818"/>
      <c r="EJ6818"/>
      <c r="EK6818"/>
    </row>
    <row r="6819" spans="1:141" s="116" customFormat="1">
      <c r="A6819" s="136"/>
      <c r="CM6819" s="111"/>
      <c r="CQ6819" s="111"/>
      <c r="EF6819"/>
      <c r="EG6819"/>
      <c r="EH6819"/>
      <c r="EI6819"/>
      <c r="EJ6819"/>
      <c r="EK6819"/>
    </row>
    <row r="6820" spans="1:141" s="116" customFormat="1">
      <c r="A6820" s="136"/>
      <c r="CM6820" s="111"/>
      <c r="CQ6820" s="111"/>
      <c r="EF6820"/>
      <c r="EG6820"/>
      <c r="EH6820"/>
      <c r="EI6820"/>
      <c r="EJ6820"/>
      <c r="EK6820"/>
    </row>
    <row r="6821" spans="1:141" s="116" customFormat="1">
      <c r="A6821" s="136"/>
      <c r="CM6821" s="111"/>
      <c r="CQ6821" s="111"/>
      <c r="EF6821"/>
      <c r="EG6821"/>
      <c r="EH6821"/>
      <c r="EI6821"/>
      <c r="EJ6821"/>
      <c r="EK6821"/>
    </row>
    <row r="6822" spans="1:141" s="116" customFormat="1">
      <c r="A6822" s="136"/>
      <c r="CM6822" s="111"/>
      <c r="CQ6822" s="111"/>
      <c r="EF6822"/>
      <c r="EG6822"/>
      <c r="EH6822"/>
      <c r="EI6822"/>
      <c r="EJ6822"/>
      <c r="EK6822"/>
    </row>
    <row r="6823" spans="1:141" s="116" customFormat="1">
      <c r="A6823" s="136"/>
      <c r="CM6823" s="111"/>
      <c r="CQ6823" s="111"/>
      <c r="EF6823"/>
      <c r="EG6823"/>
      <c r="EH6823"/>
      <c r="EI6823"/>
      <c r="EJ6823"/>
      <c r="EK6823"/>
    </row>
    <row r="6824" spans="1:141" s="116" customFormat="1">
      <c r="A6824" s="136"/>
      <c r="CM6824" s="111"/>
      <c r="CQ6824" s="111"/>
      <c r="EF6824"/>
      <c r="EG6824"/>
      <c r="EH6824"/>
      <c r="EI6824"/>
      <c r="EJ6824"/>
      <c r="EK6824"/>
    </row>
    <row r="6825" spans="1:141" s="116" customFormat="1">
      <c r="A6825" s="136"/>
      <c r="CM6825" s="111"/>
      <c r="CQ6825" s="111"/>
      <c r="EF6825"/>
      <c r="EG6825"/>
      <c r="EH6825"/>
      <c r="EI6825"/>
      <c r="EJ6825"/>
      <c r="EK6825"/>
    </row>
    <row r="6826" spans="1:141" s="116" customFormat="1">
      <c r="A6826" s="136"/>
      <c r="CM6826" s="111"/>
      <c r="CQ6826" s="111"/>
      <c r="EF6826"/>
      <c r="EG6826"/>
      <c r="EH6826"/>
      <c r="EI6826"/>
      <c r="EJ6826"/>
      <c r="EK6826"/>
    </row>
    <row r="6827" spans="1:141" s="116" customFormat="1">
      <c r="A6827" s="136"/>
      <c r="CM6827" s="111"/>
      <c r="CQ6827" s="111"/>
      <c r="EF6827"/>
      <c r="EG6827"/>
      <c r="EH6827"/>
      <c r="EI6827"/>
      <c r="EJ6827"/>
      <c r="EK6827"/>
    </row>
    <row r="6828" spans="1:141" s="116" customFormat="1">
      <c r="A6828" s="136"/>
      <c r="CM6828" s="111"/>
      <c r="CQ6828" s="111"/>
      <c r="EF6828"/>
      <c r="EG6828"/>
      <c r="EH6828"/>
      <c r="EI6828"/>
      <c r="EJ6828"/>
      <c r="EK6828"/>
    </row>
    <row r="6829" spans="1:141" s="116" customFormat="1">
      <c r="A6829" s="136"/>
      <c r="CM6829" s="111"/>
      <c r="CQ6829" s="111"/>
      <c r="EF6829"/>
      <c r="EG6829"/>
      <c r="EH6829"/>
      <c r="EI6829"/>
      <c r="EJ6829"/>
      <c r="EK6829"/>
    </row>
    <row r="6830" spans="1:141" s="116" customFormat="1">
      <c r="A6830" s="136"/>
      <c r="CM6830" s="111"/>
      <c r="CQ6830" s="111"/>
      <c r="EF6830"/>
      <c r="EG6830"/>
      <c r="EH6830"/>
      <c r="EI6830"/>
      <c r="EJ6830"/>
      <c r="EK6830"/>
    </row>
    <row r="6831" spans="1:141" s="116" customFormat="1">
      <c r="A6831" s="136"/>
      <c r="CM6831" s="111"/>
      <c r="CQ6831" s="111"/>
      <c r="EF6831"/>
      <c r="EG6831"/>
      <c r="EH6831"/>
      <c r="EI6831"/>
      <c r="EJ6831"/>
      <c r="EK6831"/>
    </row>
    <row r="6832" spans="1:141" s="116" customFormat="1">
      <c r="A6832" s="136"/>
      <c r="CM6832" s="111"/>
      <c r="CQ6832" s="111"/>
      <c r="EF6832"/>
      <c r="EG6832"/>
      <c r="EH6832"/>
      <c r="EI6832"/>
      <c r="EJ6832"/>
      <c r="EK6832"/>
    </row>
    <row r="6833" spans="1:141" s="116" customFormat="1">
      <c r="A6833" s="136"/>
      <c r="CM6833" s="111"/>
      <c r="CQ6833" s="111"/>
      <c r="EF6833"/>
      <c r="EG6833"/>
      <c r="EH6833"/>
      <c r="EI6833"/>
      <c r="EJ6833"/>
      <c r="EK6833"/>
    </row>
    <row r="6834" spans="1:141" s="116" customFormat="1">
      <c r="A6834" s="136"/>
      <c r="CM6834" s="111"/>
      <c r="CQ6834" s="111"/>
      <c r="EF6834"/>
      <c r="EG6834"/>
      <c r="EH6834"/>
      <c r="EI6834"/>
      <c r="EJ6834"/>
      <c r="EK6834"/>
    </row>
    <row r="6835" spans="1:141" s="116" customFormat="1">
      <c r="A6835" s="136"/>
      <c r="CM6835" s="111"/>
      <c r="CQ6835" s="111"/>
      <c r="EF6835"/>
      <c r="EG6835"/>
      <c r="EH6835"/>
      <c r="EI6835"/>
      <c r="EJ6835"/>
      <c r="EK6835"/>
    </row>
    <row r="6836" spans="1:141" s="116" customFormat="1">
      <c r="A6836" s="136"/>
      <c r="CM6836" s="111"/>
      <c r="CQ6836" s="111"/>
      <c r="EF6836"/>
      <c r="EG6836"/>
      <c r="EH6836"/>
      <c r="EI6836"/>
      <c r="EJ6836"/>
      <c r="EK6836"/>
    </row>
    <row r="6837" spans="1:141" s="116" customFormat="1">
      <c r="A6837" s="136"/>
      <c r="CM6837" s="111"/>
      <c r="CQ6837" s="111"/>
      <c r="EF6837"/>
      <c r="EG6837"/>
      <c r="EH6837"/>
      <c r="EI6837"/>
      <c r="EJ6837"/>
      <c r="EK6837"/>
    </row>
    <row r="6838" spans="1:141" s="116" customFormat="1">
      <c r="A6838" s="136"/>
      <c r="CM6838" s="111"/>
      <c r="CQ6838" s="111"/>
      <c r="EF6838"/>
      <c r="EG6838"/>
      <c r="EH6838"/>
      <c r="EI6838"/>
      <c r="EJ6838"/>
      <c r="EK6838"/>
    </row>
    <row r="6839" spans="1:141" s="116" customFormat="1">
      <c r="A6839" s="136"/>
      <c r="CM6839" s="111"/>
      <c r="CQ6839" s="111"/>
      <c r="EF6839"/>
      <c r="EG6839"/>
      <c r="EH6839"/>
      <c r="EI6839"/>
      <c r="EJ6839"/>
      <c r="EK6839"/>
    </row>
    <row r="6840" spans="1:141" s="116" customFormat="1">
      <c r="A6840" s="136"/>
      <c r="CM6840" s="111"/>
      <c r="CQ6840" s="111"/>
      <c r="EF6840"/>
      <c r="EG6840"/>
      <c r="EH6840"/>
      <c r="EI6840"/>
      <c r="EJ6840"/>
      <c r="EK6840"/>
    </row>
    <row r="6841" spans="1:141" s="116" customFormat="1">
      <c r="A6841" s="136"/>
      <c r="CM6841" s="111"/>
      <c r="CQ6841" s="111"/>
      <c r="EF6841"/>
      <c r="EG6841"/>
      <c r="EH6841"/>
      <c r="EI6841"/>
      <c r="EJ6841"/>
      <c r="EK6841"/>
    </row>
    <row r="6842" spans="1:141" s="116" customFormat="1">
      <c r="A6842" s="136"/>
      <c r="CM6842" s="111"/>
      <c r="CQ6842" s="111"/>
      <c r="EF6842"/>
      <c r="EG6842"/>
      <c r="EH6842"/>
      <c r="EI6842"/>
      <c r="EJ6842"/>
      <c r="EK6842"/>
    </row>
    <row r="6843" spans="1:141" s="116" customFormat="1">
      <c r="A6843" s="136"/>
      <c r="CM6843" s="111"/>
      <c r="CQ6843" s="111"/>
      <c r="EF6843"/>
      <c r="EG6843"/>
      <c r="EH6843"/>
      <c r="EI6843"/>
      <c r="EJ6843"/>
      <c r="EK6843"/>
    </row>
    <row r="6844" spans="1:141" s="116" customFormat="1">
      <c r="A6844" s="136"/>
      <c r="CM6844" s="111"/>
      <c r="CQ6844" s="111"/>
      <c r="EF6844"/>
      <c r="EG6844"/>
      <c r="EH6844"/>
      <c r="EI6844"/>
      <c r="EJ6844"/>
      <c r="EK6844"/>
    </row>
    <row r="6845" spans="1:141" s="116" customFormat="1">
      <c r="A6845" s="136"/>
      <c r="CM6845" s="111"/>
      <c r="CQ6845" s="111"/>
      <c r="EF6845"/>
      <c r="EG6845"/>
      <c r="EH6845"/>
      <c r="EI6845"/>
      <c r="EJ6845"/>
      <c r="EK6845"/>
    </row>
    <row r="6846" spans="1:141" s="116" customFormat="1">
      <c r="A6846" s="136"/>
      <c r="CM6846" s="111"/>
      <c r="CQ6846" s="111"/>
      <c r="EF6846"/>
      <c r="EG6846"/>
      <c r="EH6846"/>
      <c r="EI6846"/>
      <c r="EJ6846"/>
      <c r="EK6846"/>
    </row>
    <row r="6847" spans="1:141" s="116" customFormat="1">
      <c r="A6847" s="136"/>
      <c r="CM6847" s="111"/>
      <c r="CQ6847" s="111"/>
      <c r="EF6847"/>
      <c r="EG6847"/>
      <c r="EH6847"/>
      <c r="EI6847"/>
      <c r="EJ6847"/>
      <c r="EK6847"/>
    </row>
    <row r="6848" spans="1:141" s="116" customFormat="1">
      <c r="A6848" s="136"/>
      <c r="CM6848" s="111"/>
      <c r="CQ6848" s="111"/>
      <c r="EF6848"/>
      <c r="EG6848"/>
      <c r="EH6848"/>
      <c r="EI6848"/>
      <c r="EJ6848"/>
      <c r="EK6848"/>
    </row>
    <row r="6849" spans="1:141" s="116" customFormat="1">
      <c r="A6849" s="136"/>
      <c r="CM6849" s="111"/>
      <c r="CQ6849" s="111"/>
      <c r="EF6849"/>
      <c r="EG6849"/>
      <c r="EH6849"/>
      <c r="EI6849"/>
      <c r="EJ6849"/>
      <c r="EK6849"/>
    </row>
    <row r="6850" spans="1:141" s="116" customFormat="1">
      <c r="A6850" s="136"/>
      <c r="CM6850" s="111"/>
      <c r="CQ6850" s="111"/>
      <c r="EF6850"/>
      <c r="EG6850"/>
      <c r="EH6850"/>
      <c r="EI6850"/>
      <c r="EJ6850"/>
      <c r="EK6850"/>
    </row>
    <row r="6851" spans="1:141" s="116" customFormat="1">
      <c r="A6851" s="136"/>
      <c r="CM6851" s="111"/>
      <c r="CQ6851" s="111"/>
      <c r="EF6851"/>
      <c r="EG6851"/>
      <c r="EH6851"/>
      <c r="EI6851"/>
      <c r="EJ6851"/>
      <c r="EK6851"/>
    </row>
    <row r="6852" spans="1:141" s="116" customFormat="1">
      <c r="A6852" s="136"/>
      <c r="CM6852" s="111"/>
      <c r="CQ6852" s="111"/>
      <c r="EF6852"/>
      <c r="EG6852"/>
      <c r="EH6852"/>
      <c r="EI6852"/>
      <c r="EJ6852"/>
      <c r="EK6852"/>
    </row>
    <row r="6853" spans="1:141" s="116" customFormat="1">
      <c r="A6853" s="136"/>
      <c r="CM6853" s="111"/>
      <c r="CQ6853" s="111"/>
      <c r="EF6853"/>
      <c r="EG6853"/>
      <c r="EH6853"/>
      <c r="EI6853"/>
      <c r="EJ6853"/>
      <c r="EK6853"/>
    </row>
    <row r="6854" spans="1:141" s="116" customFormat="1">
      <c r="A6854" s="136"/>
      <c r="CM6854" s="111"/>
      <c r="CQ6854" s="111"/>
      <c r="EF6854"/>
      <c r="EG6854"/>
      <c r="EH6854"/>
      <c r="EI6854"/>
      <c r="EJ6854"/>
      <c r="EK6854"/>
    </row>
    <row r="6855" spans="1:141" s="116" customFormat="1">
      <c r="A6855" s="136"/>
      <c r="CM6855" s="111"/>
      <c r="CQ6855" s="111"/>
      <c r="EF6855"/>
      <c r="EG6855"/>
      <c r="EH6855"/>
      <c r="EI6855"/>
      <c r="EJ6855"/>
      <c r="EK6855"/>
    </row>
    <row r="6856" spans="1:141" s="116" customFormat="1">
      <c r="A6856" s="136"/>
      <c r="CM6856" s="111"/>
      <c r="CQ6856" s="111"/>
      <c r="EF6856"/>
      <c r="EG6856"/>
      <c r="EH6856"/>
      <c r="EI6856"/>
      <c r="EJ6856"/>
      <c r="EK6856"/>
    </row>
    <row r="6857" spans="1:141" s="116" customFormat="1">
      <c r="A6857" s="136"/>
      <c r="CM6857" s="111"/>
      <c r="CQ6857" s="111"/>
      <c r="EF6857"/>
      <c r="EG6857"/>
      <c r="EH6857"/>
      <c r="EI6857"/>
      <c r="EJ6857"/>
      <c r="EK6857"/>
    </row>
    <row r="6858" spans="1:141" s="116" customFormat="1">
      <c r="A6858" s="136"/>
      <c r="CM6858" s="111"/>
      <c r="CQ6858" s="111"/>
      <c r="EF6858"/>
      <c r="EG6858"/>
      <c r="EH6858"/>
      <c r="EI6858"/>
      <c r="EJ6858"/>
      <c r="EK6858"/>
    </row>
    <row r="6859" spans="1:141" s="116" customFormat="1">
      <c r="A6859" s="136"/>
      <c r="CM6859" s="111"/>
      <c r="CQ6859" s="111"/>
      <c r="EF6859"/>
      <c r="EG6859"/>
      <c r="EH6859"/>
      <c r="EI6859"/>
      <c r="EJ6859"/>
      <c r="EK6859"/>
    </row>
    <row r="6860" spans="1:141" s="116" customFormat="1">
      <c r="A6860" s="136"/>
      <c r="CM6860" s="111"/>
      <c r="CQ6860" s="111"/>
      <c r="EF6860"/>
      <c r="EG6860"/>
      <c r="EH6860"/>
      <c r="EI6860"/>
      <c r="EJ6860"/>
      <c r="EK6860"/>
    </row>
    <row r="6861" spans="1:141" s="116" customFormat="1">
      <c r="A6861" s="136"/>
      <c r="CM6861" s="111"/>
      <c r="CQ6861" s="111"/>
      <c r="EF6861"/>
      <c r="EG6861"/>
      <c r="EH6861"/>
      <c r="EI6861"/>
      <c r="EJ6861"/>
      <c r="EK6861"/>
    </row>
    <row r="6862" spans="1:141" s="116" customFormat="1">
      <c r="A6862" s="136"/>
      <c r="CM6862" s="111"/>
      <c r="CQ6862" s="111"/>
      <c r="EF6862"/>
      <c r="EG6862"/>
      <c r="EH6862"/>
      <c r="EI6862"/>
      <c r="EJ6862"/>
      <c r="EK6862"/>
    </row>
    <row r="6863" spans="1:141" s="116" customFormat="1">
      <c r="A6863" s="136"/>
      <c r="CM6863" s="111"/>
      <c r="CQ6863" s="111"/>
      <c r="EF6863"/>
      <c r="EG6863"/>
      <c r="EH6863"/>
      <c r="EI6863"/>
      <c r="EJ6863"/>
      <c r="EK6863"/>
    </row>
    <row r="6864" spans="1:141" s="116" customFormat="1">
      <c r="A6864" s="136"/>
      <c r="CM6864" s="111"/>
      <c r="CQ6864" s="111"/>
      <c r="EF6864"/>
      <c r="EG6864"/>
      <c r="EH6864"/>
      <c r="EI6864"/>
      <c r="EJ6864"/>
      <c r="EK6864"/>
    </row>
    <row r="6865" spans="1:141" s="116" customFormat="1">
      <c r="A6865" s="136"/>
      <c r="CM6865" s="111"/>
      <c r="CQ6865" s="111"/>
      <c r="EF6865"/>
      <c r="EG6865"/>
      <c r="EH6865"/>
      <c r="EI6865"/>
      <c r="EJ6865"/>
      <c r="EK6865"/>
    </row>
    <row r="6866" spans="1:141" s="116" customFormat="1">
      <c r="A6866" s="136"/>
      <c r="CM6866" s="111"/>
      <c r="CQ6866" s="111"/>
      <c r="EF6866"/>
      <c r="EG6866"/>
      <c r="EH6866"/>
      <c r="EI6866"/>
      <c r="EJ6866"/>
      <c r="EK6866"/>
    </row>
    <row r="6867" spans="1:141" s="116" customFormat="1">
      <c r="A6867" s="136"/>
      <c r="CM6867" s="111"/>
      <c r="CQ6867" s="111"/>
      <c r="EF6867"/>
      <c r="EG6867"/>
      <c r="EH6867"/>
      <c r="EI6867"/>
      <c r="EJ6867"/>
      <c r="EK6867"/>
    </row>
    <row r="6868" spans="1:141" s="116" customFormat="1">
      <c r="A6868" s="136"/>
      <c r="CM6868" s="111"/>
      <c r="CQ6868" s="111"/>
      <c r="EF6868"/>
      <c r="EG6868"/>
      <c r="EH6868"/>
      <c r="EI6868"/>
      <c r="EJ6868"/>
      <c r="EK6868"/>
    </row>
    <row r="6869" spans="1:141" s="116" customFormat="1">
      <c r="A6869" s="136"/>
      <c r="CM6869" s="111"/>
      <c r="CQ6869" s="111"/>
      <c r="EF6869"/>
      <c r="EG6869"/>
      <c r="EH6869"/>
      <c r="EI6869"/>
      <c r="EJ6869"/>
      <c r="EK6869"/>
    </row>
    <row r="6870" spans="1:141" s="116" customFormat="1">
      <c r="A6870" s="136"/>
      <c r="CM6870" s="111"/>
      <c r="CQ6870" s="111"/>
      <c r="EF6870"/>
      <c r="EG6870"/>
      <c r="EH6870"/>
      <c r="EI6870"/>
      <c r="EJ6870"/>
      <c r="EK6870"/>
    </row>
    <row r="6871" spans="1:141" s="116" customFormat="1">
      <c r="A6871" s="136"/>
      <c r="CM6871" s="111"/>
      <c r="CQ6871" s="111"/>
      <c r="EF6871"/>
      <c r="EG6871"/>
      <c r="EH6871"/>
      <c r="EI6871"/>
      <c r="EJ6871"/>
      <c r="EK6871"/>
    </row>
    <row r="6872" spans="1:141" s="116" customFormat="1">
      <c r="A6872" s="136"/>
      <c r="CM6872" s="111"/>
      <c r="CQ6872" s="111"/>
      <c r="EF6872"/>
      <c r="EG6872"/>
      <c r="EH6872"/>
      <c r="EI6872"/>
      <c r="EJ6872"/>
      <c r="EK6872"/>
    </row>
    <row r="6873" spans="1:141" s="116" customFormat="1">
      <c r="A6873" s="136"/>
      <c r="CM6873" s="111"/>
      <c r="CQ6873" s="111"/>
      <c r="EF6873"/>
      <c r="EG6873"/>
      <c r="EH6873"/>
      <c r="EI6873"/>
      <c r="EJ6873"/>
      <c r="EK6873"/>
    </row>
    <row r="6874" spans="1:141" s="116" customFormat="1">
      <c r="A6874" s="136"/>
      <c r="CM6874" s="111"/>
      <c r="CQ6874" s="111"/>
      <c r="EF6874"/>
      <c r="EG6874"/>
      <c r="EH6874"/>
      <c r="EI6874"/>
      <c r="EJ6874"/>
      <c r="EK6874"/>
    </row>
    <row r="6875" spans="1:141" s="116" customFormat="1">
      <c r="A6875" s="136"/>
      <c r="CM6875" s="111"/>
      <c r="CQ6875" s="111"/>
      <c r="EF6875"/>
      <c r="EG6875"/>
      <c r="EH6875"/>
      <c r="EI6875"/>
      <c r="EJ6875"/>
      <c r="EK6875"/>
    </row>
    <row r="6876" spans="1:141" s="116" customFormat="1">
      <c r="A6876" s="136"/>
      <c r="CM6876" s="111"/>
      <c r="CQ6876" s="111"/>
      <c r="EF6876"/>
      <c r="EG6876"/>
      <c r="EH6876"/>
      <c r="EI6876"/>
      <c r="EJ6876"/>
      <c r="EK6876"/>
    </row>
    <row r="6877" spans="1:141" s="116" customFormat="1">
      <c r="A6877" s="136"/>
      <c r="CM6877" s="111"/>
      <c r="CQ6877" s="111"/>
      <c r="EF6877"/>
      <c r="EG6877"/>
      <c r="EH6877"/>
      <c r="EI6877"/>
      <c r="EJ6877"/>
      <c r="EK6877"/>
    </row>
    <row r="6878" spans="1:141" s="116" customFormat="1">
      <c r="A6878" s="136"/>
      <c r="CM6878" s="111"/>
      <c r="CQ6878" s="111"/>
      <c r="EF6878"/>
      <c r="EG6878"/>
      <c r="EH6878"/>
      <c r="EI6878"/>
      <c r="EJ6878"/>
      <c r="EK6878"/>
    </row>
    <row r="6879" spans="1:141" s="116" customFormat="1">
      <c r="A6879" s="136"/>
      <c r="CM6879" s="111"/>
      <c r="CQ6879" s="111"/>
      <c r="EF6879"/>
      <c r="EG6879"/>
      <c r="EH6879"/>
      <c r="EI6879"/>
      <c r="EJ6879"/>
      <c r="EK6879"/>
    </row>
    <row r="6880" spans="1:141" s="116" customFormat="1">
      <c r="A6880" s="136"/>
      <c r="CM6880" s="111"/>
      <c r="CQ6880" s="111"/>
      <c r="EF6880"/>
      <c r="EG6880"/>
      <c r="EH6880"/>
      <c r="EI6880"/>
      <c r="EJ6880"/>
      <c r="EK6880"/>
    </row>
    <row r="6881" spans="1:141" s="116" customFormat="1">
      <c r="A6881" s="136"/>
      <c r="CM6881" s="111"/>
      <c r="CQ6881" s="111"/>
      <c r="EF6881"/>
      <c r="EG6881"/>
      <c r="EH6881"/>
      <c r="EI6881"/>
      <c r="EJ6881"/>
      <c r="EK6881"/>
    </row>
    <row r="6882" spans="1:141" s="116" customFormat="1">
      <c r="A6882" s="136"/>
      <c r="CM6882" s="111"/>
      <c r="CQ6882" s="111"/>
      <c r="EF6882"/>
      <c r="EG6882"/>
      <c r="EH6882"/>
      <c r="EI6882"/>
      <c r="EJ6882"/>
      <c r="EK6882"/>
    </row>
    <row r="6883" spans="1:141" s="116" customFormat="1">
      <c r="A6883" s="136"/>
      <c r="CM6883" s="111"/>
      <c r="CQ6883" s="111"/>
      <c r="EF6883"/>
      <c r="EG6883"/>
      <c r="EH6883"/>
      <c r="EI6883"/>
      <c r="EJ6883"/>
      <c r="EK6883"/>
    </row>
    <row r="6884" spans="1:141" s="116" customFormat="1">
      <c r="A6884" s="136"/>
      <c r="CM6884" s="111"/>
      <c r="CQ6884" s="111"/>
      <c r="EF6884"/>
      <c r="EG6884"/>
      <c r="EH6884"/>
      <c r="EI6884"/>
      <c r="EJ6884"/>
      <c r="EK6884"/>
    </row>
    <row r="6885" spans="1:141" s="116" customFormat="1">
      <c r="A6885" s="136"/>
      <c r="CM6885" s="111"/>
      <c r="CQ6885" s="111"/>
      <c r="EF6885"/>
      <c r="EG6885"/>
      <c r="EH6885"/>
      <c r="EI6885"/>
      <c r="EJ6885"/>
      <c r="EK6885"/>
    </row>
    <row r="6886" spans="1:141" s="116" customFormat="1">
      <c r="A6886" s="136"/>
      <c r="CM6886" s="111"/>
      <c r="CQ6886" s="111"/>
      <c r="EF6886"/>
      <c r="EG6886"/>
      <c r="EH6886"/>
      <c r="EI6886"/>
      <c r="EJ6886"/>
      <c r="EK6886"/>
    </row>
    <row r="6887" spans="1:141" s="116" customFormat="1">
      <c r="A6887" s="136"/>
      <c r="CM6887" s="111"/>
      <c r="CQ6887" s="111"/>
      <c r="EF6887"/>
      <c r="EG6887"/>
      <c r="EH6887"/>
      <c r="EI6887"/>
      <c r="EJ6887"/>
      <c r="EK6887"/>
    </row>
    <row r="6888" spans="1:141" s="116" customFormat="1">
      <c r="A6888" s="136"/>
      <c r="CM6888" s="111"/>
      <c r="CQ6888" s="111"/>
      <c r="EF6888"/>
      <c r="EG6888"/>
      <c r="EH6888"/>
      <c r="EI6888"/>
      <c r="EJ6888"/>
      <c r="EK6888"/>
    </row>
    <row r="6889" spans="1:141" s="116" customFormat="1">
      <c r="A6889" s="136"/>
      <c r="CM6889" s="111"/>
      <c r="CQ6889" s="111"/>
      <c r="EF6889"/>
      <c r="EG6889"/>
      <c r="EH6889"/>
      <c r="EI6889"/>
      <c r="EJ6889"/>
      <c r="EK6889"/>
    </row>
    <row r="6890" spans="1:141" s="116" customFormat="1">
      <c r="A6890" s="136"/>
      <c r="CM6890" s="111"/>
      <c r="CQ6890" s="111"/>
      <c r="EF6890"/>
      <c r="EG6890"/>
      <c r="EH6890"/>
      <c r="EI6890"/>
      <c r="EJ6890"/>
      <c r="EK6890"/>
    </row>
    <row r="6891" spans="1:141" s="116" customFormat="1">
      <c r="A6891" s="136"/>
      <c r="CM6891" s="111"/>
      <c r="CQ6891" s="111"/>
      <c r="EF6891"/>
      <c r="EG6891"/>
      <c r="EH6891"/>
      <c r="EI6891"/>
      <c r="EJ6891"/>
      <c r="EK6891"/>
    </row>
    <row r="6892" spans="1:141" s="116" customFormat="1">
      <c r="A6892" s="136"/>
      <c r="CM6892" s="111"/>
      <c r="CQ6892" s="111"/>
      <c r="EF6892"/>
      <c r="EG6892"/>
      <c r="EH6892"/>
      <c r="EI6892"/>
      <c r="EJ6892"/>
      <c r="EK6892"/>
    </row>
    <row r="6893" spans="1:141" s="116" customFormat="1">
      <c r="A6893" s="136"/>
      <c r="CM6893" s="111"/>
      <c r="CQ6893" s="111"/>
      <c r="EF6893"/>
      <c r="EG6893"/>
      <c r="EH6893"/>
      <c r="EI6893"/>
      <c r="EJ6893"/>
      <c r="EK6893"/>
    </row>
    <row r="6894" spans="1:141" s="116" customFormat="1">
      <c r="A6894" s="136"/>
      <c r="CM6894" s="111"/>
      <c r="CQ6894" s="111"/>
      <c r="EF6894"/>
      <c r="EG6894"/>
      <c r="EH6894"/>
      <c r="EI6894"/>
      <c r="EJ6894"/>
      <c r="EK6894"/>
    </row>
    <row r="6895" spans="1:141" s="116" customFormat="1">
      <c r="A6895" s="136"/>
      <c r="CM6895" s="111"/>
      <c r="CQ6895" s="111"/>
      <c r="EF6895"/>
      <c r="EG6895"/>
      <c r="EH6895"/>
      <c r="EI6895"/>
      <c r="EJ6895"/>
      <c r="EK6895"/>
    </row>
    <row r="6896" spans="1:141" s="116" customFormat="1">
      <c r="A6896" s="136"/>
      <c r="CM6896" s="111"/>
      <c r="CQ6896" s="111"/>
      <c r="EF6896"/>
      <c r="EG6896"/>
      <c r="EH6896"/>
      <c r="EI6896"/>
      <c r="EJ6896"/>
      <c r="EK6896"/>
    </row>
    <row r="6897" spans="1:141" s="116" customFormat="1">
      <c r="A6897" s="136"/>
      <c r="CM6897" s="111"/>
      <c r="CQ6897" s="111"/>
      <c r="EF6897"/>
      <c r="EG6897"/>
      <c r="EH6897"/>
      <c r="EI6897"/>
      <c r="EJ6897"/>
      <c r="EK6897"/>
    </row>
    <row r="6898" spans="1:141" s="116" customFormat="1">
      <c r="A6898" s="136"/>
      <c r="CM6898" s="111"/>
      <c r="CQ6898" s="111"/>
      <c r="EF6898"/>
      <c r="EG6898"/>
      <c r="EH6898"/>
      <c r="EI6898"/>
      <c r="EJ6898"/>
      <c r="EK6898"/>
    </row>
    <row r="6899" spans="1:141" s="116" customFormat="1">
      <c r="A6899" s="136"/>
      <c r="CM6899" s="111"/>
      <c r="CQ6899" s="111"/>
      <c r="EF6899"/>
      <c r="EG6899"/>
      <c r="EH6899"/>
      <c r="EI6899"/>
      <c r="EJ6899"/>
      <c r="EK6899"/>
    </row>
    <row r="6900" spans="1:141" s="116" customFormat="1">
      <c r="A6900" s="136"/>
      <c r="CM6900" s="111"/>
      <c r="CQ6900" s="111"/>
      <c r="EF6900"/>
      <c r="EG6900"/>
      <c r="EH6900"/>
      <c r="EI6900"/>
      <c r="EJ6900"/>
      <c r="EK6900"/>
    </row>
    <row r="6901" spans="1:141" s="116" customFormat="1">
      <c r="A6901" s="136"/>
      <c r="CM6901" s="111"/>
      <c r="CQ6901" s="111"/>
      <c r="EF6901"/>
      <c r="EG6901"/>
      <c r="EH6901"/>
      <c r="EI6901"/>
      <c r="EJ6901"/>
      <c r="EK6901"/>
    </row>
    <row r="6902" spans="1:141" s="116" customFormat="1">
      <c r="A6902" s="136"/>
      <c r="CM6902" s="111"/>
      <c r="CQ6902" s="111"/>
      <c r="EF6902"/>
      <c r="EG6902"/>
      <c r="EH6902"/>
      <c r="EI6902"/>
      <c r="EJ6902"/>
      <c r="EK6902"/>
    </row>
    <row r="6903" spans="1:141" s="116" customFormat="1">
      <c r="A6903" s="136"/>
      <c r="CM6903" s="111"/>
      <c r="CQ6903" s="111"/>
      <c r="EF6903"/>
      <c r="EG6903"/>
      <c r="EH6903"/>
      <c r="EI6903"/>
      <c r="EJ6903"/>
      <c r="EK6903"/>
    </row>
    <row r="6904" spans="1:141" s="116" customFormat="1">
      <c r="A6904" s="136"/>
      <c r="CM6904" s="111"/>
      <c r="CQ6904" s="111"/>
      <c r="EF6904"/>
      <c r="EG6904"/>
      <c r="EH6904"/>
      <c r="EI6904"/>
      <c r="EJ6904"/>
      <c r="EK6904"/>
    </row>
    <row r="6905" spans="1:141" s="116" customFormat="1">
      <c r="A6905" s="136"/>
      <c r="CM6905" s="111"/>
      <c r="CQ6905" s="111"/>
      <c r="EF6905"/>
      <c r="EG6905"/>
      <c r="EH6905"/>
      <c r="EI6905"/>
      <c r="EJ6905"/>
      <c r="EK6905"/>
    </row>
    <row r="6906" spans="1:141" s="116" customFormat="1">
      <c r="A6906" s="136"/>
      <c r="CM6906" s="111"/>
      <c r="CQ6906" s="111"/>
      <c r="EF6906"/>
      <c r="EG6906"/>
      <c r="EH6906"/>
      <c r="EI6906"/>
      <c r="EJ6906"/>
      <c r="EK6906"/>
    </row>
    <row r="6907" spans="1:141" s="116" customFormat="1">
      <c r="A6907" s="136"/>
      <c r="CM6907" s="111"/>
      <c r="CQ6907" s="111"/>
      <c r="EF6907"/>
      <c r="EG6907"/>
      <c r="EH6907"/>
      <c r="EI6907"/>
      <c r="EJ6907"/>
      <c r="EK6907"/>
    </row>
    <row r="6908" spans="1:141" s="116" customFormat="1">
      <c r="A6908" s="136"/>
      <c r="CM6908" s="111"/>
      <c r="CQ6908" s="111"/>
      <c r="EF6908"/>
      <c r="EG6908"/>
      <c r="EH6908"/>
      <c r="EI6908"/>
      <c r="EJ6908"/>
      <c r="EK6908"/>
    </row>
    <row r="6909" spans="1:141" s="116" customFormat="1">
      <c r="A6909" s="136"/>
      <c r="CM6909" s="111"/>
      <c r="CQ6909" s="111"/>
      <c r="EF6909"/>
      <c r="EG6909"/>
      <c r="EH6909"/>
      <c r="EI6909"/>
      <c r="EJ6909"/>
      <c r="EK6909"/>
    </row>
    <row r="6910" spans="1:141" s="116" customFormat="1">
      <c r="A6910" s="136"/>
      <c r="CM6910" s="111"/>
      <c r="CQ6910" s="111"/>
      <c r="EF6910"/>
      <c r="EG6910"/>
      <c r="EH6910"/>
      <c r="EI6910"/>
      <c r="EJ6910"/>
      <c r="EK6910"/>
    </row>
    <row r="6911" spans="1:141" s="116" customFormat="1">
      <c r="A6911" s="136"/>
      <c r="CM6911" s="111"/>
      <c r="CQ6911" s="111"/>
      <c r="EF6911"/>
      <c r="EG6911"/>
      <c r="EH6911"/>
      <c r="EI6911"/>
      <c r="EJ6911"/>
      <c r="EK6911"/>
    </row>
    <row r="6912" spans="1:141" s="116" customFormat="1">
      <c r="A6912" s="136"/>
      <c r="CM6912" s="111"/>
      <c r="CQ6912" s="111"/>
      <c r="EF6912"/>
      <c r="EG6912"/>
      <c r="EH6912"/>
      <c r="EI6912"/>
      <c r="EJ6912"/>
      <c r="EK6912"/>
    </row>
    <row r="6913" spans="1:141" s="116" customFormat="1">
      <c r="A6913" s="136"/>
      <c r="CM6913" s="111"/>
      <c r="CQ6913" s="111"/>
      <c r="EF6913"/>
      <c r="EG6913"/>
      <c r="EH6913"/>
      <c r="EI6913"/>
      <c r="EJ6913"/>
      <c r="EK6913"/>
    </row>
    <row r="6914" spans="1:141" s="116" customFormat="1">
      <c r="A6914" s="136"/>
      <c r="CM6914" s="111"/>
      <c r="CQ6914" s="111"/>
      <c r="EF6914"/>
      <c r="EG6914"/>
      <c r="EH6914"/>
      <c r="EI6914"/>
      <c r="EJ6914"/>
      <c r="EK6914"/>
    </row>
    <row r="6915" spans="1:141" s="116" customFormat="1">
      <c r="A6915" s="136"/>
      <c r="CM6915" s="111"/>
      <c r="CQ6915" s="111"/>
      <c r="EF6915"/>
      <c r="EG6915"/>
      <c r="EH6915"/>
      <c r="EI6915"/>
      <c r="EJ6915"/>
      <c r="EK6915"/>
    </row>
    <row r="6916" spans="1:141" s="116" customFormat="1">
      <c r="A6916" s="136"/>
      <c r="CM6916" s="111"/>
      <c r="CQ6916" s="111"/>
      <c r="EF6916"/>
      <c r="EG6916"/>
      <c r="EH6916"/>
      <c r="EI6916"/>
      <c r="EJ6916"/>
      <c r="EK6916"/>
    </row>
    <row r="6917" spans="1:141" s="116" customFormat="1">
      <c r="A6917" s="136"/>
      <c r="CM6917" s="111"/>
      <c r="CQ6917" s="111"/>
      <c r="EF6917"/>
      <c r="EG6917"/>
      <c r="EH6917"/>
      <c r="EI6917"/>
      <c r="EJ6917"/>
      <c r="EK6917"/>
    </row>
    <row r="6918" spans="1:141" s="116" customFormat="1">
      <c r="A6918" s="136"/>
      <c r="CM6918" s="111"/>
      <c r="CQ6918" s="111"/>
      <c r="EF6918"/>
      <c r="EG6918"/>
      <c r="EH6918"/>
      <c r="EI6918"/>
      <c r="EJ6918"/>
      <c r="EK6918"/>
    </row>
    <row r="6919" spans="1:141" s="116" customFormat="1">
      <c r="A6919" s="136"/>
      <c r="CM6919" s="111"/>
      <c r="CQ6919" s="111"/>
      <c r="EF6919"/>
      <c r="EG6919"/>
      <c r="EH6919"/>
      <c r="EI6919"/>
      <c r="EJ6919"/>
      <c r="EK6919"/>
    </row>
    <row r="6920" spans="1:141" s="116" customFormat="1">
      <c r="A6920" s="136"/>
      <c r="CM6920" s="111"/>
      <c r="CQ6920" s="111"/>
      <c r="EF6920"/>
      <c r="EG6920"/>
      <c r="EH6920"/>
      <c r="EI6920"/>
      <c r="EJ6920"/>
      <c r="EK6920"/>
    </row>
    <row r="6921" spans="1:141" s="116" customFormat="1">
      <c r="A6921" s="136"/>
      <c r="CM6921" s="111"/>
      <c r="CQ6921" s="111"/>
      <c r="EF6921"/>
      <c r="EG6921"/>
      <c r="EH6921"/>
      <c r="EI6921"/>
      <c r="EJ6921"/>
      <c r="EK6921"/>
    </row>
    <row r="6922" spans="1:141" s="116" customFormat="1">
      <c r="A6922" s="136"/>
      <c r="CM6922" s="111"/>
      <c r="CQ6922" s="111"/>
      <c r="EF6922"/>
      <c r="EG6922"/>
      <c r="EH6922"/>
      <c r="EI6922"/>
      <c r="EJ6922"/>
      <c r="EK6922"/>
    </row>
    <row r="6923" spans="1:141" s="116" customFormat="1">
      <c r="A6923" s="136"/>
      <c r="CM6923" s="111"/>
      <c r="CQ6923" s="111"/>
      <c r="EF6923"/>
      <c r="EG6923"/>
      <c r="EH6923"/>
      <c r="EI6923"/>
      <c r="EJ6923"/>
      <c r="EK6923"/>
    </row>
    <row r="6924" spans="1:141" s="116" customFormat="1">
      <c r="A6924" s="136"/>
      <c r="CM6924" s="111"/>
      <c r="CQ6924" s="111"/>
      <c r="EF6924"/>
      <c r="EG6924"/>
      <c r="EH6924"/>
      <c r="EI6924"/>
      <c r="EJ6924"/>
      <c r="EK6924"/>
    </row>
    <row r="6925" spans="1:141" s="116" customFormat="1">
      <c r="A6925" s="136"/>
      <c r="CM6925" s="111"/>
      <c r="CQ6925" s="111"/>
      <c r="EF6925"/>
      <c r="EG6925"/>
      <c r="EH6925"/>
      <c r="EI6925"/>
      <c r="EJ6925"/>
      <c r="EK6925"/>
    </row>
    <row r="6926" spans="1:141" s="116" customFormat="1">
      <c r="A6926" s="136"/>
      <c r="CM6926" s="111"/>
      <c r="CQ6926" s="111"/>
      <c r="EF6926"/>
      <c r="EG6926"/>
      <c r="EH6926"/>
      <c r="EI6926"/>
      <c r="EJ6926"/>
      <c r="EK6926"/>
    </row>
    <row r="6927" spans="1:141" s="116" customFormat="1">
      <c r="A6927" s="136"/>
      <c r="CM6927" s="111"/>
      <c r="CQ6927" s="111"/>
      <c r="EF6927"/>
      <c r="EG6927"/>
      <c r="EH6927"/>
      <c r="EI6927"/>
      <c r="EJ6927"/>
      <c r="EK6927"/>
    </row>
    <row r="6928" spans="1:141" s="116" customFormat="1">
      <c r="A6928" s="136"/>
      <c r="CM6928" s="111"/>
      <c r="CQ6928" s="111"/>
      <c r="EF6928"/>
      <c r="EG6928"/>
      <c r="EH6928"/>
      <c r="EI6928"/>
      <c r="EJ6928"/>
      <c r="EK6928"/>
    </row>
    <row r="6929" spans="1:141" s="116" customFormat="1">
      <c r="A6929" s="136"/>
      <c r="CM6929" s="111"/>
      <c r="CQ6929" s="111"/>
      <c r="EF6929"/>
      <c r="EG6929"/>
      <c r="EH6929"/>
      <c r="EI6929"/>
      <c r="EJ6929"/>
      <c r="EK6929"/>
    </row>
    <row r="6930" spans="1:141" s="116" customFormat="1">
      <c r="A6930" s="136"/>
      <c r="CM6930" s="111"/>
      <c r="CQ6930" s="111"/>
      <c r="EF6930"/>
      <c r="EG6930"/>
      <c r="EH6930"/>
      <c r="EI6930"/>
      <c r="EJ6930"/>
      <c r="EK6930"/>
    </row>
    <row r="6931" spans="1:141" s="116" customFormat="1">
      <c r="A6931" s="136"/>
      <c r="CM6931" s="111"/>
      <c r="CQ6931" s="111"/>
      <c r="EF6931"/>
      <c r="EG6931"/>
      <c r="EH6931"/>
      <c r="EI6931"/>
      <c r="EJ6931"/>
      <c r="EK6931"/>
    </row>
    <row r="6932" spans="1:141" s="116" customFormat="1">
      <c r="A6932" s="136"/>
      <c r="CM6932" s="111"/>
      <c r="CQ6932" s="111"/>
      <c r="EF6932"/>
      <c r="EG6932"/>
      <c r="EH6932"/>
      <c r="EI6932"/>
      <c r="EJ6932"/>
      <c r="EK6932"/>
    </row>
    <row r="6933" spans="1:141" s="116" customFormat="1">
      <c r="A6933" s="136"/>
      <c r="CM6933" s="111"/>
      <c r="CQ6933" s="111"/>
      <c r="EF6933"/>
      <c r="EG6933"/>
      <c r="EH6933"/>
      <c r="EI6933"/>
      <c r="EJ6933"/>
      <c r="EK6933"/>
    </row>
    <row r="6934" spans="1:141" s="116" customFormat="1">
      <c r="A6934" s="136"/>
      <c r="CM6934" s="111"/>
      <c r="CQ6934" s="111"/>
      <c r="EF6934"/>
      <c r="EG6934"/>
      <c r="EH6934"/>
      <c r="EI6934"/>
      <c r="EJ6934"/>
      <c r="EK6934"/>
    </row>
    <row r="6935" spans="1:141" s="116" customFormat="1">
      <c r="A6935" s="136"/>
      <c r="CM6935" s="111"/>
      <c r="CQ6935" s="111"/>
      <c r="EF6935"/>
      <c r="EG6935"/>
      <c r="EH6935"/>
      <c r="EI6935"/>
      <c r="EJ6935"/>
      <c r="EK6935"/>
    </row>
    <row r="6936" spans="1:141" s="116" customFormat="1">
      <c r="A6936" s="136"/>
      <c r="CM6936" s="111"/>
      <c r="CQ6936" s="111"/>
      <c r="EF6936"/>
      <c r="EG6936"/>
      <c r="EH6936"/>
      <c r="EI6936"/>
      <c r="EJ6936"/>
      <c r="EK6936"/>
    </row>
    <row r="6937" spans="1:141" s="116" customFormat="1">
      <c r="A6937" s="136"/>
      <c r="CM6937" s="111"/>
      <c r="CQ6937" s="111"/>
      <c r="EF6937"/>
      <c r="EG6937"/>
      <c r="EH6937"/>
      <c r="EI6937"/>
      <c r="EJ6937"/>
      <c r="EK6937"/>
    </row>
    <row r="6938" spans="1:141" s="116" customFormat="1">
      <c r="A6938" s="136"/>
      <c r="CM6938" s="111"/>
      <c r="CQ6938" s="111"/>
      <c r="EF6938"/>
      <c r="EG6938"/>
      <c r="EH6938"/>
      <c r="EI6938"/>
      <c r="EJ6938"/>
      <c r="EK6938"/>
    </row>
    <row r="6939" spans="1:141" s="116" customFormat="1">
      <c r="A6939" s="136"/>
      <c r="CM6939" s="111"/>
      <c r="CQ6939" s="111"/>
      <c r="EF6939"/>
      <c r="EG6939"/>
      <c r="EH6939"/>
      <c r="EI6939"/>
      <c r="EJ6939"/>
      <c r="EK6939"/>
    </row>
    <row r="6940" spans="1:141" s="116" customFormat="1">
      <c r="A6940" s="136"/>
      <c r="CM6940" s="111"/>
      <c r="CQ6940" s="111"/>
      <c r="EF6940"/>
      <c r="EG6940"/>
      <c r="EH6940"/>
      <c r="EI6940"/>
      <c r="EJ6940"/>
      <c r="EK6940"/>
    </row>
    <row r="6941" spans="1:141" s="116" customFormat="1">
      <c r="A6941" s="136"/>
      <c r="CM6941" s="111"/>
      <c r="CQ6941" s="111"/>
      <c r="EF6941"/>
      <c r="EG6941"/>
      <c r="EH6941"/>
      <c r="EI6941"/>
      <c r="EJ6941"/>
      <c r="EK6941"/>
    </row>
    <row r="6942" spans="1:141" s="116" customFormat="1">
      <c r="A6942" s="136"/>
      <c r="CM6942" s="111"/>
      <c r="CQ6942" s="111"/>
      <c r="EF6942"/>
      <c r="EG6942"/>
      <c r="EH6942"/>
      <c r="EI6942"/>
      <c r="EJ6942"/>
      <c r="EK6942"/>
    </row>
    <row r="6943" spans="1:141" s="116" customFormat="1">
      <c r="A6943" s="136"/>
      <c r="CM6943" s="111"/>
      <c r="CQ6943" s="111"/>
      <c r="EF6943"/>
      <c r="EG6943"/>
      <c r="EH6943"/>
      <c r="EI6943"/>
      <c r="EJ6943"/>
      <c r="EK6943"/>
    </row>
    <row r="6944" spans="1:141" s="116" customFormat="1">
      <c r="A6944" s="136"/>
      <c r="CM6944" s="111"/>
      <c r="CQ6944" s="111"/>
      <c r="EF6944"/>
      <c r="EG6944"/>
      <c r="EH6944"/>
      <c r="EI6944"/>
      <c r="EJ6944"/>
      <c r="EK6944"/>
    </row>
    <row r="6945" spans="1:141" s="116" customFormat="1">
      <c r="A6945" s="136"/>
      <c r="CM6945" s="111"/>
      <c r="CQ6945" s="111"/>
      <c r="EF6945"/>
      <c r="EG6945"/>
      <c r="EH6945"/>
      <c r="EI6945"/>
      <c r="EJ6945"/>
      <c r="EK6945"/>
    </row>
    <row r="6946" spans="1:141" s="116" customFormat="1">
      <c r="A6946" s="136"/>
      <c r="CM6946" s="111"/>
      <c r="CQ6946" s="111"/>
      <c r="EF6946"/>
      <c r="EG6946"/>
      <c r="EH6946"/>
      <c r="EI6946"/>
      <c r="EJ6946"/>
      <c r="EK6946"/>
    </row>
    <row r="6947" spans="1:141" s="116" customFormat="1">
      <c r="A6947" s="136"/>
      <c r="CM6947" s="111"/>
      <c r="CQ6947" s="111"/>
      <c r="EF6947"/>
      <c r="EG6947"/>
      <c r="EH6947"/>
      <c r="EI6947"/>
      <c r="EJ6947"/>
      <c r="EK6947"/>
    </row>
    <row r="6948" spans="1:141" s="116" customFormat="1">
      <c r="A6948" s="136"/>
      <c r="CM6948" s="111"/>
      <c r="CQ6948" s="111"/>
      <c r="EF6948"/>
      <c r="EG6948"/>
      <c r="EH6948"/>
      <c r="EI6948"/>
      <c r="EJ6948"/>
      <c r="EK6948"/>
    </row>
    <row r="6949" spans="1:141" s="116" customFormat="1">
      <c r="A6949" s="136"/>
      <c r="CM6949" s="111"/>
      <c r="CQ6949" s="111"/>
      <c r="EF6949"/>
      <c r="EG6949"/>
      <c r="EH6949"/>
      <c r="EI6949"/>
      <c r="EJ6949"/>
      <c r="EK6949"/>
    </row>
    <row r="6950" spans="1:141" s="116" customFormat="1">
      <c r="A6950" s="136"/>
      <c r="CM6950" s="111"/>
      <c r="CQ6950" s="111"/>
      <c r="EF6950"/>
      <c r="EG6950"/>
      <c r="EH6950"/>
      <c r="EI6950"/>
      <c r="EJ6950"/>
      <c r="EK6950"/>
    </row>
    <row r="6951" spans="1:141" s="116" customFormat="1">
      <c r="A6951" s="136"/>
      <c r="CM6951" s="111"/>
      <c r="CQ6951" s="111"/>
      <c r="EF6951"/>
      <c r="EG6951"/>
      <c r="EH6951"/>
      <c r="EI6951"/>
      <c r="EJ6951"/>
      <c r="EK6951"/>
    </row>
    <row r="6952" spans="1:141" s="116" customFormat="1">
      <c r="A6952" s="136"/>
      <c r="CM6952" s="111"/>
      <c r="CQ6952" s="111"/>
      <c r="EF6952"/>
      <c r="EG6952"/>
      <c r="EH6952"/>
      <c r="EI6952"/>
      <c r="EJ6952"/>
      <c r="EK6952"/>
    </row>
    <row r="6953" spans="1:141" s="116" customFormat="1">
      <c r="A6953" s="136"/>
      <c r="CM6953" s="111"/>
      <c r="CQ6953" s="111"/>
      <c r="EF6953"/>
      <c r="EG6953"/>
      <c r="EH6953"/>
      <c r="EI6953"/>
      <c r="EJ6953"/>
      <c r="EK6953"/>
    </row>
    <row r="6954" spans="1:141" s="116" customFormat="1">
      <c r="A6954" s="136"/>
      <c r="CM6954" s="111"/>
      <c r="CQ6954" s="111"/>
      <c r="EF6954"/>
      <c r="EG6954"/>
      <c r="EH6954"/>
      <c r="EI6954"/>
      <c r="EJ6954"/>
      <c r="EK6954"/>
    </row>
    <row r="6955" spans="1:141" s="116" customFormat="1">
      <c r="A6955" s="136"/>
      <c r="CM6955" s="111"/>
      <c r="CQ6955" s="111"/>
      <c r="EF6955"/>
      <c r="EG6955"/>
      <c r="EH6955"/>
      <c r="EI6955"/>
      <c r="EJ6955"/>
      <c r="EK6955"/>
    </row>
    <row r="6956" spans="1:141" s="116" customFormat="1">
      <c r="A6956" s="136"/>
      <c r="CM6956" s="111"/>
      <c r="CQ6956" s="111"/>
      <c r="EF6956"/>
      <c r="EG6956"/>
      <c r="EH6956"/>
      <c r="EI6956"/>
      <c r="EJ6956"/>
      <c r="EK6956"/>
    </row>
    <row r="6957" spans="1:141" s="116" customFormat="1">
      <c r="A6957" s="136"/>
      <c r="CM6957" s="111"/>
      <c r="CQ6957" s="111"/>
      <c r="EF6957"/>
      <c r="EG6957"/>
      <c r="EH6957"/>
      <c r="EI6957"/>
      <c r="EJ6957"/>
      <c r="EK6957"/>
    </row>
    <row r="6958" spans="1:141" s="116" customFormat="1">
      <c r="A6958" s="136"/>
      <c r="CM6958" s="111"/>
      <c r="CQ6958" s="111"/>
      <c r="EF6958"/>
      <c r="EG6958"/>
      <c r="EH6958"/>
      <c r="EI6958"/>
      <c r="EJ6958"/>
      <c r="EK6958"/>
    </row>
    <row r="6959" spans="1:141" s="116" customFormat="1">
      <c r="A6959" s="136"/>
      <c r="CM6959" s="111"/>
      <c r="CQ6959" s="111"/>
      <c r="EF6959"/>
      <c r="EG6959"/>
      <c r="EH6959"/>
      <c r="EI6959"/>
      <c r="EJ6959"/>
      <c r="EK6959"/>
    </row>
    <row r="6960" spans="1:141" s="116" customFormat="1">
      <c r="A6960" s="136"/>
      <c r="CM6960" s="111"/>
      <c r="CQ6960" s="111"/>
      <c r="EF6960"/>
      <c r="EG6960"/>
      <c r="EH6960"/>
      <c r="EI6960"/>
      <c r="EJ6960"/>
      <c r="EK6960"/>
    </row>
    <row r="6961" spans="1:141" s="116" customFormat="1">
      <c r="A6961" s="136"/>
      <c r="CM6961" s="111"/>
      <c r="CQ6961" s="111"/>
      <c r="EF6961"/>
      <c r="EG6961"/>
      <c r="EH6961"/>
      <c r="EI6961"/>
      <c r="EJ6961"/>
      <c r="EK6961"/>
    </row>
    <row r="6962" spans="1:141" s="116" customFormat="1">
      <c r="A6962" s="136"/>
      <c r="CM6962" s="111"/>
      <c r="CQ6962" s="111"/>
      <c r="EF6962"/>
      <c r="EG6962"/>
      <c r="EH6962"/>
      <c r="EI6962"/>
      <c r="EJ6962"/>
      <c r="EK6962"/>
    </row>
    <row r="6963" spans="1:141" s="116" customFormat="1">
      <c r="A6963" s="136"/>
      <c r="CM6963" s="111"/>
      <c r="CQ6963" s="111"/>
      <c r="EF6963"/>
      <c r="EG6963"/>
      <c r="EH6963"/>
      <c r="EI6963"/>
      <c r="EJ6963"/>
      <c r="EK6963"/>
    </row>
    <row r="6964" spans="1:141" s="116" customFormat="1">
      <c r="A6964" s="136"/>
      <c r="CM6964" s="111"/>
      <c r="CQ6964" s="111"/>
      <c r="EF6964"/>
      <c r="EG6964"/>
      <c r="EH6964"/>
      <c r="EI6964"/>
      <c r="EJ6964"/>
      <c r="EK6964"/>
    </row>
    <row r="6965" spans="1:141" s="116" customFormat="1">
      <c r="A6965" s="136"/>
      <c r="CM6965" s="111"/>
      <c r="CQ6965" s="111"/>
      <c r="EF6965"/>
      <c r="EG6965"/>
      <c r="EH6965"/>
      <c r="EI6965"/>
      <c r="EJ6965"/>
      <c r="EK6965"/>
    </row>
    <row r="6966" spans="1:141" s="116" customFormat="1">
      <c r="A6966" s="136"/>
      <c r="CM6966" s="111"/>
      <c r="CQ6966" s="111"/>
      <c r="EF6966"/>
      <c r="EG6966"/>
      <c r="EH6966"/>
      <c r="EI6966"/>
      <c r="EJ6966"/>
      <c r="EK6966"/>
    </row>
    <row r="6967" spans="1:141" s="116" customFormat="1">
      <c r="A6967" s="136"/>
      <c r="CM6967" s="111"/>
      <c r="CQ6967" s="111"/>
      <c r="EF6967"/>
      <c r="EG6967"/>
      <c r="EH6967"/>
      <c r="EI6967"/>
      <c r="EJ6967"/>
      <c r="EK6967"/>
    </row>
    <row r="6968" spans="1:141" s="116" customFormat="1">
      <c r="A6968" s="136"/>
      <c r="CM6968" s="111"/>
      <c r="CQ6968" s="111"/>
      <c r="EF6968"/>
      <c r="EG6968"/>
      <c r="EH6968"/>
      <c r="EI6968"/>
      <c r="EJ6968"/>
      <c r="EK6968"/>
    </row>
    <row r="6969" spans="1:141" s="116" customFormat="1">
      <c r="A6969" s="136"/>
      <c r="CM6969" s="111"/>
      <c r="CQ6969" s="111"/>
      <c r="EF6969"/>
      <c r="EG6969"/>
      <c r="EH6969"/>
      <c r="EI6969"/>
      <c r="EJ6969"/>
      <c r="EK6969"/>
    </row>
    <row r="6970" spans="1:141" s="116" customFormat="1">
      <c r="A6970" s="136"/>
      <c r="CM6970" s="111"/>
      <c r="CQ6970" s="111"/>
      <c r="EF6970"/>
      <c r="EG6970"/>
      <c r="EH6970"/>
      <c r="EI6970"/>
      <c r="EJ6970"/>
      <c r="EK6970"/>
    </row>
    <row r="6971" spans="1:141" s="116" customFormat="1">
      <c r="A6971" s="136"/>
      <c r="CM6971" s="111"/>
      <c r="CQ6971" s="111"/>
      <c r="EF6971"/>
      <c r="EG6971"/>
      <c r="EH6971"/>
      <c r="EI6971"/>
      <c r="EJ6971"/>
      <c r="EK6971"/>
    </row>
    <row r="6972" spans="1:141" s="116" customFormat="1">
      <c r="A6972" s="136"/>
      <c r="CM6972" s="111"/>
      <c r="CQ6972" s="111"/>
      <c r="EF6972"/>
      <c r="EG6972"/>
      <c r="EH6972"/>
      <c r="EI6972"/>
      <c r="EJ6972"/>
      <c r="EK6972"/>
    </row>
    <row r="6973" spans="1:141" s="116" customFormat="1">
      <c r="A6973" s="136"/>
      <c r="CM6973" s="111"/>
      <c r="CQ6973" s="111"/>
      <c r="EF6973"/>
      <c r="EG6973"/>
      <c r="EH6973"/>
      <c r="EI6973"/>
      <c r="EJ6973"/>
      <c r="EK6973"/>
    </row>
    <row r="6974" spans="1:141" s="116" customFormat="1">
      <c r="A6974" s="136"/>
      <c r="CM6974" s="111"/>
      <c r="CQ6974" s="111"/>
      <c r="EF6974"/>
      <c r="EG6974"/>
      <c r="EH6974"/>
      <c r="EI6974"/>
      <c r="EJ6974"/>
      <c r="EK6974"/>
    </row>
    <row r="6975" spans="1:141" s="116" customFormat="1">
      <c r="A6975" s="136"/>
      <c r="CM6975" s="111"/>
      <c r="CQ6975" s="111"/>
      <c r="EF6975"/>
      <c r="EG6975"/>
      <c r="EH6975"/>
      <c r="EI6975"/>
      <c r="EJ6975"/>
      <c r="EK6975"/>
    </row>
    <row r="6976" spans="1:141" s="116" customFormat="1">
      <c r="A6976" s="136"/>
      <c r="CM6976" s="111"/>
      <c r="CQ6976" s="111"/>
      <c r="EF6976"/>
      <c r="EG6976"/>
      <c r="EH6976"/>
      <c r="EI6976"/>
      <c r="EJ6976"/>
      <c r="EK6976"/>
    </row>
    <row r="6977" spans="1:141" s="116" customFormat="1">
      <c r="A6977" s="136"/>
      <c r="CM6977" s="111"/>
      <c r="CQ6977" s="111"/>
      <c r="EF6977"/>
      <c r="EG6977"/>
      <c r="EH6977"/>
      <c r="EI6977"/>
      <c r="EJ6977"/>
      <c r="EK6977"/>
    </row>
    <row r="6978" spans="1:141" s="116" customFormat="1">
      <c r="A6978" s="136"/>
      <c r="CM6978" s="111"/>
      <c r="CQ6978" s="111"/>
      <c r="EF6978"/>
      <c r="EG6978"/>
      <c r="EH6978"/>
      <c r="EI6978"/>
      <c r="EJ6978"/>
      <c r="EK6978"/>
    </row>
    <row r="6979" spans="1:141" s="116" customFormat="1">
      <c r="A6979" s="136"/>
      <c r="CM6979" s="111"/>
      <c r="CQ6979" s="111"/>
      <c r="EF6979"/>
      <c r="EG6979"/>
      <c r="EH6979"/>
      <c r="EI6979"/>
      <c r="EJ6979"/>
      <c r="EK6979"/>
    </row>
    <row r="6980" spans="1:141" s="116" customFormat="1">
      <c r="A6980" s="136"/>
      <c r="CM6980" s="111"/>
      <c r="CQ6980" s="111"/>
      <c r="EF6980"/>
      <c r="EG6980"/>
      <c r="EH6980"/>
      <c r="EI6980"/>
      <c r="EJ6980"/>
      <c r="EK6980"/>
    </row>
    <row r="6981" spans="1:141" s="116" customFormat="1">
      <c r="A6981" s="136"/>
      <c r="CM6981" s="111"/>
      <c r="CQ6981" s="111"/>
      <c r="EF6981"/>
      <c r="EG6981"/>
      <c r="EH6981"/>
      <c r="EI6981"/>
      <c r="EJ6981"/>
      <c r="EK6981"/>
    </row>
    <row r="6982" spans="1:141" s="116" customFormat="1">
      <c r="A6982" s="136"/>
      <c r="CM6982" s="111"/>
      <c r="CQ6982" s="111"/>
      <c r="EF6982"/>
      <c r="EG6982"/>
      <c r="EH6982"/>
      <c r="EI6982"/>
      <c r="EJ6982"/>
      <c r="EK6982"/>
    </row>
    <row r="6983" spans="1:141" s="116" customFormat="1">
      <c r="A6983" s="136"/>
      <c r="CM6983" s="111"/>
      <c r="CQ6983" s="111"/>
      <c r="EF6983"/>
      <c r="EG6983"/>
      <c r="EH6983"/>
      <c r="EI6983"/>
      <c r="EJ6983"/>
      <c r="EK6983"/>
    </row>
    <row r="6984" spans="1:141" s="116" customFormat="1">
      <c r="A6984" s="136"/>
      <c r="CM6984" s="111"/>
      <c r="CQ6984" s="111"/>
      <c r="EF6984"/>
      <c r="EG6984"/>
      <c r="EH6984"/>
      <c r="EI6984"/>
      <c r="EJ6984"/>
      <c r="EK6984"/>
    </row>
    <row r="6985" spans="1:141" s="116" customFormat="1">
      <c r="A6985" s="136"/>
      <c r="CM6985" s="111"/>
      <c r="CQ6985" s="111"/>
      <c r="EF6985"/>
      <c r="EG6985"/>
      <c r="EH6985"/>
      <c r="EI6985"/>
      <c r="EJ6985"/>
      <c r="EK6985"/>
    </row>
    <row r="6986" spans="1:141" s="116" customFormat="1">
      <c r="A6986" s="136"/>
      <c r="CM6986" s="111"/>
      <c r="CQ6986" s="111"/>
      <c r="EF6986"/>
      <c r="EG6986"/>
      <c r="EH6986"/>
      <c r="EI6986"/>
      <c r="EJ6986"/>
      <c r="EK6986"/>
    </row>
    <row r="6987" spans="1:141" s="116" customFormat="1">
      <c r="A6987" s="136"/>
      <c r="CM6987" s="111"/>
      <c r="CQ6987" s="111"/>
      <c r="EF6987"/>
      <c r="EG6987"/>
      <c r="EH6987"/>
      <c r="EI6987"/>
      <c r="EJ6987"/>
      <c r="EK6987"/>
    </row>
    <row r="6988" spans="1:141" s="116" customFormat="1">
      <c r="A6988" s="136"/>
      <c r="CM6988" s="111"/>
      <c r="CQ6988" s="111"/>
      <c r="EF6988"/>
      <c r="EG6988"/>
      <c r="EH6988"/>
      <c r="EI6988"/>
      <c r="EJ6988"/>
      <c r="EK6988"/>
    </row>
    <row r="6989" spans="1:141" s="116" customFormat="1">
      <c r="A6989" s="136"/>
      <c r="CM6989" s="111"/>
      <c r="CQ6989" s="111"/>
      <c r="EF6989"/>
      <c r="EG6989"/>
      <c r="EH6989"/>
      <c r="EI6989"/>
      <c r="EJ6989"/>
      <c r="EK6989"/>
    </row>
    <row r="6990" spans="1:141" s="116" customFormat="1">
      <c r="A6990" s="136"/>
      <c r="CM6990" s="111"/>
      <c r="CQ6990" s="111"/>
      <c r="EF6990"/>
      <c r="EG6990"/>
      <c r="EH6990"/>
      <c r="EI6990"/>
      <c r="EJ6990"/>
      <c r="EK6990"/>
    </row>
    <row r="6991" spans="1:141" s="116" customFormat="1">
      <c r="A6991" s="136"/>
      <c r="CM6991" s="111"/>
      <c r="CQ6991" s="111"/>
      <c r="EF6991"/>
      <c r="EG6991"/>
      <c r="EH6991"/>
      <c r="EI6991"/>
      <c r="EJ6991"/>
      <c r="EK6991"/>
    </row>
    <row r="6992" spans="1:141" s="116" customFormat="1">
      <c r="A6992" s="136"/>
      <c r="CM6992" s="111"/>
      <c r="CQ6992" s="111"/>
      <c r="EF6992"/>
      <c r="EG6992"/>
      <c r="EH6992"/>
      <c r="EI6992"/>
      <c r="EJ6992"/>
      <c r="EK6992"/>
    </row>
    <row r="6993" spans="1:141" s="116" customFormat="1">
      <c r="A6993" s="136"/>
      <c r="CM6993" s="111"/>
      <c r="CQ6993" s="111"/>
      <c r="EF6993"/>
      <c r="EG6993"/>
      <c r="EH6993"/>
      <c r="EI6993"/>
      <c r="EJ6993"/>
      <c r="EK6993"/>
    </row>
    <row r="6994" spans="1:141" s="116" customFormat="1">
      <c r="A6994" s="136"/>
      <c r="CM6994" s="111"/>
      <c r="CQ6994" s="111"/>
      <c r="EF6994"/>
      <c r="EG6994"/>
      <c r="EH6994"/>
      <c r="EI6994"/>
      <c r="EJ6994"/>
      <c r="EK6994"/>
    </row>
    <row r="6995" spans="1:141" s="116" customFormat="1">
      <c r="A6995" s="136"/>
      <c r="CM6995" s="111"/>
      <c r="CQ6995" s="111"/>
      <c r="EF6995"/>
      <c r="EG6995"/>
      <c r="EH6995"/>
      <c r="EI6995"/>
      <c r="EJ6995"/>
      <c r="EK6995"/>
    </row>
    <row r="6996" spans="1:141" s="116" customFormat="1">
      <c r="A6996" s="136"/>
      <c r="CM6996" s="111"/>
      <c r="CQ6996" s="111"/>
      <c r="EF6996"/>
      <c r="EG6996"/>
      <c r="EH6996"/>
      <c r="EI6996"/>
      <c r="EJ6996"/>
      <c r="EK6996"/>
    </row>
    <row r="6997" spans="1:141" s="116" customFormat="1">
      <c r="A6997" s="136"/>
      <c r="CM6997" s="111"/>
      <c r="CQ6997" s="111"/>
      <c r="EF6997"/>
      <c r="EG6997"/>
      <c r="EH6997"/>
      <c r="EI6997"/>
      <c r="EJ6997"/>
      <c r="EK6997"/>
    </row>
    <row r="6998" spans="1:141" s="116" customFormat="1">
      <c r="A6998" s="136"/>
      <c r="CM6998" s="111"/>
      <c r="CQ6998" s="111"/>
      <c r="EF6998"/>
      <c r="EG6998"/>
      <c r="EH6998"/>
      <c r="EI6998"/>
      <c r="EJ6998"/>
      <c r="EK6998"/>
    </row>
    <row r="6999" spans="1:141" s="116" customFormat="1">
      <c r="A6999" s="136"/>
      <c r="CM6999" s="111"/>
      <c r="CQ6999" s="111"/>
      <c r="EF6999"/>
      <c r="EG6999"/>
      <c r="EH6999"/>
      <c r="EI6999"/>
      <c r="EJ6999"/>
      <c r="EK6999"/>
    </row>
    <row r="7000" spans="1:141" s="116" customFormat="1">
      <c r="A7000" s="136"/>
      <c r="CM7000" s="111"/>
      <c r="CQ7000" s="111"/>
      <c r="EF7000"/>
      <c r="EG7000"/>
      <c r="EH7000"/>
      <c r="EI7000"/>
      <c r="EJ7000"/>
      <c r="EK7000"/>
    </row>
    <row r="7001" spans="1:141" s="116" customFormat="1">
      <c r="A7001" s="136"/>
      <c r="CM7001" s="111"/>
      <c r="CQ7001" s="111"/>
      <c r="EF7001"/>
      <c r="EG7001"/>
      <c r="EH7001"/>
      <c r="EI7001"/>
      <c r="EJ7001"/>
      <c r="EK7001"/>
    </row>
    <row r="7002" spans="1:141" s="116" customFormat="1">
      <c r="A7002" s="136"/>
      <c r="CM7002" s="111"/>
      <c r="CQ7002" s="111"/>
      <c r="EF7002"/>
      <c r="EG7002"/>
      <c r="EH7002"/>
      <c r="EI7002"/>
      <c r="EJ7002"/>
      <c r="EK7002"/>
    </row>
    <row r="7003" spans="1:141" s="116" customFormat="1">
      <c r="A7003" s="136"/>
      <c r="CM7003" s="111"/>
      <c r="CQ7003" s="111"/>
      <c r="EF7003"/>
      <c r="EG7003"/>
      <c r="EH7003"/>
      <c r="EI7003"/>
      <c r="EJ7003"/>
      <c r="EK7003"/>
    </row>
    <row r="7004" spans="1:141" s="116" customFormat="1">
      <c r="A7004" s="136"/>
      <c r="CM7004" s="111"/>
      <c r="CQ7004" s="111"/>
      <c r="EF7004"/>
      <c r="EG7004"/>
      <c r="EH7004"/>
      <c r="EI7004"/>
      <c r="EJ7004"/>
      <c r="EK7004"/>
    </row>
    <row r="7005" spans="1:141" s="116" customFormat="1">
      <c r="A7005" s="136"/>
      <c r="CM7005" s="111"/>
      <c r="CQ7005" s="111"/>
      <c r="EF7005"/>
      <c r="EG7005"/>
      <c r="EH7005"/>
      <c r="EI7005"/>
      <c r="EJ7005"/>
      <c r="EK7005"/>
    </row>
    <row r="7006" spans="1:141" s="116" customFormat="1">
      <c r="A7006" s="136"/>
      <c r="CM7006" s="111"/>
      <c r="CQ7006" s="111"/>
      <c r="EF7006"/>
      <c r="EG7006"/>
      <c r="EH7006"/>
      <c r="EI7006"/>
      <c r="EJ7006"/>
      <c r="EK7006"/>
    </row>
    <row r="7007" spans="1:141" s="116" customFormat="1">
      <c r="A7007" s="136"/>
      <c r="CM7007" s="111"/>
      <c r="CQ7007" s="111"/>
      <c r="EF7007"/>
      <c r="EG7007"/>
      <c r="EH7007"/>
      <c r="EI7007"/>
      <c r="EJ7007"/>
      <c r="EK7007"/>
    </row>
    <row r="7008" spans="1:141" s="116" customFormat="1">
      <c r="A7008" s="136"/>
      <c r="CM7008" s="111"/>
      <c r="CQ7008" s="111"/>
      <c r="EF7008"/>
      <c r="EG7008"/>
      <c r="EH7008"/>
      <c r="EI7008"/>
      <c r="EJ7008"/>
      <c r="EK7008"/>
    </row>
    <row r="7009" spans="1:141" s="116" customFormat="1">
      <c r="A7009" s="136"/>
      <c r="CM7009" s="111"/>
      <c r="CQ7009" s="111"/>
      <c r="EF7009"/>
      <c r="EG7009"/>
      <c r="EH7009"/>
      <c r="EI7009"/>
      <c r="EJ7009"/>
      <c r="EK7009"/>
    </row>
    <row r="7010" spans="1:141" s="116" customFormat="1">
      <c r="A7010" s="136"/>
      <c r="CM7010" s="111"/>
      <c r="CQ7010" s="111"/>
      <c r="EF7010"/>
      <c r="EG7010"/>
      <c r="EH7010"/>
      <c r="EI7010"/>
      <c r="EJ7010"/>
      <c r="EK7010"/>
    </row>
    <row r="7011" spans="1:141" s="116" customFormat="1">
      <c r="A7011" s="136"/>
      <c r="CM7011" s="111"/>
      <c r="CQ7011" s="111"/>
      <c r="EF7011"/>
      <c r="EG7011"/>
      <c r="EH7011"/>
      <c r="EI7011"/>
      <c r="EJ7011"/>
      <c r="EK7011"/>
    </row>
    <row r="7012" spans="1:141" s="116" customFormat="1">
      <c r="A7012" s="136"/>
      <c r="CM7012" s="111"/>
      <c r="CQ7012" s="111"/>
      <c r="EF7012"/>
      <c r="EG7012"/>
      <c r="EH7012"/>
      <c r="EI7012"/>
      <c r="EJ7012"/>
      <c r="EK7012"/>
    </row>
    <row r="7013" spans="1:141" s="116" customFormat="1">
      <c r="A7013" s="136"/>
      <c r="CM7013" s="111"/>
      <c r="CQ7013" s="111"/>
      <c r="EF7013"/>
      <c r="EG7013"/>
      <c r="EH7013"/>
      <c r="EI7013"/>
      <c r="EJ7013"/>
      <c r="EK7013"/>
    </row>
    <row r="7014" spans="1:141" s="116" customFormat="1">
      <c r="A7014" s="136"/>
      <c r="CM7014" s="111"/>
      <c r="CQ7014" s="111"/>
      <c r="EF7014"/>
      <c r="EG7014"/>
      <c r="EH7014"/>
      <c r="EI7014"/>
      <c r="EJ7014"/>
      <c r="EK7014"/>
    </row>
    <row r="7015" spans="1:141" s="116" customFormat="1">
      <c r="A7015" s="136"/>
      <c r="CM7015" s="111"/>
      <c r="CQ7015" s="111"/>
      <c r="EF7015"/>
      <c r="EG7015"/>
      <c r="EH7015"/>
      <c r="EI7015"/>
      <c r="EJ7015"/>
      <c r="EK7015"/>
    </row>
    <row r="7016" spans="1:141" s="116" customFormat="1">
      <c r="A7016" s="136"/>
      <c r="CM7016" s="111"/>
      <c r="CQ7016" s="111"/>
      <c r="EF7016"/>
      <c r="EG7016"/>
      <c r="EH7016"/>
      <c r="EI7016"/>
      <c r="EJ7016"/>
      <c r="EK7016"/>
    </row>
    <row r="7017" spans="1:141" s="116" customFormat="1">
      <c r="A7017" s="136"/>
      <c r="CM7017" s="111"/>
      <c r="CQ7017" s="111"/>
      <c r="EF7017"/>
      <c r="EG7017"/>
      <c r="EH7017"/>
      <c r="EI7017"/>
      <c r="EJ7017"/>
      <c r="EK7017"/>
    </row>
    <row r="7018" spans="1:141" s="116" customFormat="1">
      <c r="A7018" s="136"/>
      <c r="CM7018" s="111"/>
      <c r="CQ7018" s="111"/>
      <c r="EF7018"/>
      <c r="EG7018"/>
      <c r="EH7018"/>
      <c r="EI7018"/>
      <c r="EJ7018"/>
      <c r="EK7018"/>
    </row>
    <row r="7019" spans="1:141" s="116" customFormat="1">
      <c r="A7019" s="136"/>
      <c r="CM7019" s="111"/>
      <c r="CQ7019" s="111"/>
      <c r="EF7019"/>
      <c r="EG7019"/>
      <c r="EH7019"/>
      <c r="EI7019"/>
      <c r="EJ7019"/>
      <c r="EK7019"/>
    </row>
    <row r="7020" spans="1:141" s="116" customFormat="1">
      <c r="A7020" s="136"/>
      <c r="CM7020" s="111"/>
      <c r="CQ7020" s="111"/>
      <c r="EF7020"/>
      <c r="EG7020"/>
      <c r="EH7020"/>
      <c r="EI7020"/>
      <c r="EJ7020"/>
      <c r="EK7020"/>
    </row>
    <row r="7021" spans="1:141" s="116" customFormat="1">
      <c r="A7021" s="136"/>
      <c r="CM7021" s="111"/>
      <c r="CQ7021" s="111"/>
      <c r="EF7021"/>
      <c r="EG7021"/>
      <c r="EH7021"/>
      <c r="EI7021"/>
      <c r="EJ7021"/>
      <c r="EK7021"/>
    </row>
    <row r="7022" spans="1:141" s="116" customFormat="1">
      <c r="A7022" s="136"/>
      <c r="CM7022" s="111"/>
      <c r="CQ7022" s="111"/>
      <c r="EF7022"/>
      <c r="EG7022"/>
      <c r="EH7022"/>
      <c r="EI7022"/>
      <c r="EJ7022"/>
      <c r="EK7022"/>
    </row>
    <row r="7023" spans="1:141" s="116" customFormat="1">
      <c r="A7023" s="136"/>
      <c r="CM7023" s="111"/>
      <c r="CQ7023" s="111"/>
      <c r="EF7023"/>
      <c r="EG7023"/>
      <c r="EH7023"/>
      <c r="EI7023"/>
      <c r="EJ7023"/>
      <c r="EK7023"/>
    </row>
    <row r="7024" spans="1:141" s="116" customFormat="1">
      <c r="A7024" s="136"/>
      <c r="CM7024" s="111"/>
      <c r="CQ7024" s="111"/>
      <c r="EF7024"/>
      <c r="EG7024"/>
      <c r="EH7024"/>
      <c r="EI7024"/>
      <c r="EJ7024"/>
      <c r="EK7024"/>
    </row>
    <row r="7025" spans="1:141" s="116" customFormat="1">
      <c r="A7025" s="136"/>
      <c r="CM7025" s="111"/>
      <c r="CQ7025" s="111"/>
      <c r="EF7025"/>
      <c r="EG7025"/>
      <c r="EH7025"/>
      <c r="EI7025"/>
      <c r="EJ7025"/>
      <c r="EK7025"/>
    </row>
    <row r="7026" spans="1:141" s="116" customFormat="1">
      <c r="A7026" s="136"/>
      <c r="CM7026" s="111"/>
      <c r="CQ7026" s="111"/>
      <c r="EF7026"/>
      <c r="EG7026"/>
      <c r="EH7026"/>
      <c r="EI7026"/>
      <c r="EJ7026"/>
      <c r="EK7026"/>
    </row>
    <row r="7027" spans="1:141" s="116" customFormat="1">
      <c r="A7027" s="136"/>
      <c r="CM7027" s="111"/>
      <c r="CQ7027" s="111"/>
      <c r="EF7027"/>
      <c r="EG7027"/>
      <c r="EH7027"/>
      <c r="EI7027"/>
      <c r="EJ7027"/>
      <c r="EK7027"/>
    </row>
    <row r="7028" spans="1:141" s="116" customFormat="1">
      <c r="A7028" s="136"/>
      <c r="CM7028" s="111"/>
      <c r="CQ7028" s="111"/>
      <c r="EF7028"/>
      <c r="EG7028"/>
      <c r="EH7028"/>
      <c r="EI7028"/>
      <c r="EJ7028"/>
      <c r="EK7028"/>
    </row>
    <row r="7029" spans="1:141" s="116" customFormat="1">
      <c r="A7029" s="136"/>
      <c r="CM7029" s="111"/>
      <c r="CQ7029" s="111"/>
      <c r="EF7029"/>
      <c r="EG7029"/>
      <c r="EH7029"/>
      <c r="EI7029"/>
      <c r="EJ7029"/>
      <c r="EK7029"/>
    </row>
    <row r="7030" spans="1:141" s="116" customFormat="1">
      <c r="A7030" s="136"/>
      <c r="CM7030" s="111"/>
      <c r="CQ7030" s="111"/>
      <c r="EF7030"/>
      <c r="EG7030"/>
      <c r="EH7030"/>
      <c r="EI7030"/>
      <c r="EJ7030"/>
      <c r="EK7030"/>
    </row>
    <row r="7031" spans="1:141" s="116" customFormat="1">
      <c r="A7031" s="136"/>
      <c r="CM7031" s="111"/>
      <c r="CQ7031" s="111"/>
      <c r="EF7031"/>
      <c r="EG7031"/>
      <c r="EH7031"/>
      <c r="EI7031"/>
      <c r="EJ7031"/>
      <c r="EK7031"/>
    </row>
    <row r="7032" spans="1:141" s="116" customFormat="1">
      <c r="A7032" s="136"/>
      <c r="CM7032" s="111"/>
      <c r="CQ7032" s="111"/>
      <c r="EF7032"/>
      <c r="EG7032"/>
      <c r="EH7032"/>
      <c r="EI7032"/>
      <c r="EJ7032"/>
      <c r="EK7032"/>
    </row>
    <row r="7033" spans="1:141" s="116" customFormat="1">
      <c r="A7033" s="136"/>
      <c r="CM7033" s="111"/>
      <c r="CQ7033" s="111"/>
      <c r="EF7033"/>
      <c r="EG7033"/>
      <c r="EH7033"/>
      <c r="EI7033"/>
      <c r="EJ7033"/>
      <c r="EK7033"/>
    </row>
    <row r="7034" spans="1:141" s="116" customFormat="1">
      <c r="A7034" s="136"/>
      <c r="CM7034" s="111"/>
      <c r="CQ7034" s="111"/>
      <c r="EF7034"/>
      <c r="EG7034"/>
      <c r="EH7034"/>
      <c r="EI7034"/>
      <c r="EJ7034"/>
      <c r="EK7034"/>
    </row>
    <row r="7035" spans="1:141" s="116" customFormat="1">
      <c r="A7035" s="136"/>
      <c r="CM7035" s="111"/>
      <c r="CQ7035" s="111"/>
      <c r="EF7035"/>
      <c r="EG7035"/>
      <c r="EH7035"/>
      <c r="EI7035"/>
      <c r="EJ7035"/>
      <c r="EK7035"/>
    </row>
    <row r="7036" spans="1:141" s="116" customFormat="1">
      <c r="A7036" s="136"/>
      <c r="CM7036" s="111"/>
      <c r="CQ7036" s="111"/>
      <c r="EF7036"/>
      <c r="EG7036"/>
      <c r="EH7036"/>
      <c r="EI7036"/>
      <c r="EJ7036"/>
      <c r="EK7036"/>
    </row>
    <row r="7037" spans="1:141" s="116" customFormat="1">
      <c r="A7037" s="136"/>
      <c r="CM7037" s="111"/>
      <c r="CQ7037" s="111"/>
      <c r="EF7037"/>
      <c r="EG7037"/>
      <c r="EH7037"/>
      <c r="EI7037"/>
      <c r="EJ7037"/>
      <c r="EK7037"/>
    </row>
    <row r="7038" spans="1:141" s="116" customFormat="1">
      <c r="A7038" s="136"/>
      <c r="CM7038" s="111"/>
      <c r="CQ7038" s="111"/>
      <c r="EF7038"/>
      <c r="EG7038"/>
      <c r="EH7038"/>
      <c r="EI7038"/>
      <c r="EJ7038"/>
      <c r="EK7038"/>
    </row>
    <row r="7039" spans="1:141" s="116" customFormat="1">
      <c r="A7039" s="136"/>
      <c r="CM7039" s="111"/>
      <c r="CQ7039" s="111"/>
      <c r="EF7039"/>
      <c r="EG7039"/>
      <c r="EH7039"/>
      <c r="EI7039"/>
      <c r="EJ7039"/>
      <c r="EK7039"/>
    </row>
    <row r="7040" spans="1:141" s="116" customFormat="1">
      <c r="A7040" s="136"/>
      <c r="CM7040" s="111"/>
      <c r="CQ7040" s="111"/>
      <c r="EF7040"/>
      <c r="EG7040"/>
      <c r="EH7040"/>
      <c r="EI7040"/>
      <c r="EJ7040"/>
      <c r="EK7040"/>
    </row>
    <row r="7041" spans="1:141" s="116" customFormat="1">
      <c r="A7041" s="136"/>
      <c r="CM7041" s="111"/>
      <c r="CQ7041" s="111"/>
      <c r="EF7041"/>
      <c r="EG7041"/>
      <c r="EH7041"/>
      <c r="EI7041"/>
      <c r="EJ7041"/>
      <c r="EK7041"/>
    </row>
    <row r="7042" spans="1:141" s="116" customFormat="1">
      <c r="A7042" s="136"/>
      <c r="CM7042" s="111"/>
      <c r="CQ7042" s="111"/>
      <c r="EF7042"/>
      <c r="EG7042"/>
      <c r="EH7042"/>
      <c r="EI7042"/>
      <c r="EJ7042"/>
      <c r="EK7042"/>
    </row>
    <row r="7043" spans="1:141" s="116" customFormat="1">
      <c r="A7043" s="136"/>
      <c r="CM7043" s="111"/>
      <c r="CQ7043" s="111"/>
      <c r="EF7043"/>
      <c r="EG7043"/>
      <c r="EH7043"/>
      <c r="EI7043"/>
      <c r="EJ7043"/>
      <c r="EK7043"/>
    </row>
    <row r="7044" spans="1:141" s="116" customFormat="1">
      <c r="A7044" s="136"/>
      <c r="CM7044" s="111"/>
      <c r="CQ7044" s="111"/>
      <c r="EF7044"/>
      <c r="EG7044"/>
      <c r="EH7044"/>
      <c r="EI7044"/>
      <c r="EJ7044"/>
      <c r="EK7044"/>
    </row>
    <row r="7045" spans="1:141" s="116" customFormat="1">
      <c r="A7045" s="136"/>
      <c r="CM7045" s="111"/>
      <c r="CQ7045" s="111"/>
      <c r="EF7045"/>
      <c r="EG7045"/>
      <c r="EH7045"/>
      <c r="EI7045"/>
      <c r="EJ7045"/>
      <c r="EK7045"/>
    </row>
    <row r="7046" spans="1:141" s="116" customFormat="1">
      <c r="A7046" s="136"/>
      <c r="CM7046" s="111"/>
      <c r="CQ7046" s="111"/>
      <c r="EF7046"/>
      <c r="EG7046"/>
      <c r="EH7046"/>
      <c r="EI7046"/>
      <c r="EJ7046"/>
      <c r="EK7046"/>
    </row>
    <row r="7047" spans="1:141" s="116" customFormat="1">
      <c r="A7047" s="136"/>
      <c r="CM7047" s="111"/>
      <c r="CQ7047" s="111"/>
      <c r="EF7047"/>
      <c r="EG7047"/>
      <c r="EH7047"/>
      <c r="EI7047"/>
      <c r="EJ7047"/>
      <c r="EK7047"/>
    </row>
    <row r="7048" spans="1:141" s="116" customFormat="1">
      <c r="A7048" s="136"/>
      <c r="CM7048" s="111"/>
      <c r="CQ7048" s="111"/>
      <c r="EF7048"/>
      <c r="EG7048"/>
      <c r="EH7048"/>
      <c r="EI7048"/>
      <c r="EJ7048"/>
      <c r="EK7048"/>
    </row>
    <row r="7049" spans="1:141" s="116" customFormat="1">
      <c r="A7049" s="136"/>
      <c r="CM7049" s="111"/>
      <c r="CQ7049" s="111"/>
      <c r="EF7049"/>
      <c r="EG7049"/>
      <c r="EH7049"/>
      <c r="EI7049"/>
      <c r="EJ7049"/>
      <c r="EK7049"/>
    </row>
    <row r="7050" spans="1:141" s="116" customFormat="1">
      <c r="A7050" s="136"/>
      <c r="CM7050" s="111"/>
      <c r="CQ7050" s="111"/>
      <c r="EF7050"/>
      <c r="EG7050"/>
      <c r="EH7050"/>
      <c r="EI7050"/>
      <c r="EJ7050"/>
      <c r="EK7050"/>
    </row>
    <row r="7051" spans="1:141" s="116" customFormat="1">
      <c r="A7051" s="136"/>
      <c r="CM7051" s="111"/>
      <c r="CQ7051" s="111"/>
      <c r="EF7051"/>
      <c r="EG7051"/>
      <c r="EH7051"/>
      <c r="EI7051"/>
      <c r="EJ7051"/>
      <c r="EK7051"/>
    </row>
    <row r="7052" spans="1:141" s="116" customFormat="1">
      <c r="A7052" s="136"/>
      <c r="CM7052" s="111"/>
      <c r="CQ7052" s="111"/>
      <c r="EF7052"/>
      <c r="EG7052"/>
      <c r="EH7052"/>
      <c r="EI7052"/>
      <c r="EJ7052"/>
      <c r="EK7052"/>
    </row>
    <row r="7053" spans="1:141" s="116" customFormat="1">
      <c r="A7053" s="136"/>
      <c r="CM7053" s="111"/>
      <c r="CQ7053" s="111"/>
      <c r="EF7053"/>
      <c r="EG7053"/>
      <c r="EH7053"/>
      <c r="EI7053"/>
      <c r="EJ7053"/>
      <c r="EK7053"/>
    </row>
    <row r="7054" spans="1:141" s="116" customFormat="1">
      <c r="A7054" s="136"/>
      <c r="CM7054" s="111"/>
      <c r="CQ7054" s="111"/>
      <c r="EF7054"/>
      <c r="EG7054"/>
      <c r="EH7054"/>
      <c r="EI7054"/>
      <c r="EJ7054"/>
      <c r="EK7054"/>
    </row>
    <row r="7055" spans="1:141" s="116" customFormat="1">
      <c r="A7055" s="136"/>
      <c r="CM7055" s="111"/>
      <c r="CQ7055" s="111"/>
      <c r="EF7055"/>
      <c r="EG7055"/>
      <c r="EH7055"/>
      <c r="EI7055"/>
      <c r="EJ7055"/>
      <c r="EK7055"/>
    </row>
    <row r="7056" spans="1:141" s="116" customFormat="1">
      <c r="A7056" s="136"/>
      <c r="CM7056" s="111"/>
      <c r="CQ7056" s="111"/>
      <c r="EF7056"/>
      <c r="EG7056"/>
      <c r="EH7056"/>
      <c r="EI7056"/>
      <c r="EJ7056"/>
      <c r="EK7056"/>
    </row>
    <row r="7057" spans="1:141" s="116" customFormat="1">
      <c r="A7057" s="136"/>
      <c r="CM7057" s="111"/>
      <c r="CQ7057" s="111"/>
      <c r="EF7057"/>
      <c r="EG7057"/>
      <c r="EH7057"/>
      <c r="EI7057"/>
      <c r="EJ7057"/>
      <c r="EK7057"/>
    </row>
    <row r="7058" spans="1:141" s="116" customFormat="1">
      <c r="A7058" s="136"/>
      <c r="CM7058" s="111"/>
      <c r="CQ7058" s="111"/>
      <c r="EF7058"/>
      <c r="EG7058"/>
      <c r="EH7058"/>
      <c r="EI7058"/>
      <c r="EJ7058"/>
      <c r="EK7058"/>
    </row>
    <row r="7059" spans="1:141" s="116" customFormat="1">
      <c r="A7059" s="136"/>
      <c r="CM7059" s="111"/>
      <c r="CQ7059" s="111"/>
      <c r="EF7059"/>
      <c r="EG7059"/>
      <c r="EH7059"/>
      <c r="EI7059"/>
      <c r="EJ7059"/>
      <c r="EK7059"/>
    </row>
    <row r="7060" spans="1:141" s="116" customFormat="1">
      <c r="A7060" s="136"/>
      <c r="CM7060" s="111"/>
      <c r="CQ7060" s="111"/>
      <c r="EF7060"/>
      <c r="EG7060"/>
      <c r="EH7060"/>
      <c r="EI7060"/>
      <c r="EJ7060"/>
      <c r="EK7060"/>
    </row>
    <row r="7061" spans="1:141" s="116" customFormat="1">
      <c r="A7061" s="136"/>
      <c r="CM7061" s="111"/>
      <c r="CQ7061" s="111"/>
      <c r="EF7061"/>
      <c r="EG7061"/>
      <c r="EH7061"/>
      <c r="EI7061"/>
      <c r="EJ7061"/>
      <c r="EK7061"/>
    </row>
    <row r="7062" spans="1:141" s="116" customFormat="1">
      <c r="A7062" s="136"/>
      <c r="CM7062" s="111"/>
      <c r="CQ7062" s="111"/>
      <c r="EF7062"/>
      <c r="EG7062"/>
      <c r="EH7062"/>
      <c r="EI7062"/>
      <c r="EJ7062"/>
      <c r="EK7062"/>
    </row>
    <row r="7063" spans="1:141" s="116" customFormat="1">
      <c r="A7063" s="136"/>
      <c r="CM7063" s="111"/>
      <c r="CQ7063" s="111"/>
      <c r="EF7063"/>
      <c r="EG7063"/>
      <c r="EH7063"/>
      <c r="EI7063"/>
      <c r="EJ7063"/>
      <c r="EK7063"/>
    </row>
    <row r="7064" spans="1:141" s="116" customFormat="1">
      <c r="A7064" s="136"/>
      <c r="CM7064" s="111"/>
      <c r="CQ7064" s="111"/>
      <c r="EF7064"/>
      <c r="EG7064"/>
      <c r="EH7064"/>
      <c r="EI7064"/>
      <c r="EJ7064"/>
      <c r="EK7064"/>
    </row>
    <row r="7065" spans="1:141" s="116" customFormat="1">
      <c r="A7065" s="136"/>
      <c r="CM7065" s="111"/>
      <c r="CQ7065" s="111"/>
      <c r="EF7065"/>
      <c r="EG7065"/>
      <c r="EH7065"/>
      <c r="EI7065"/>
      <c r="EJ7065"/>
      <c r="EK7065"/>
    </row>
    <row r="7066" spans="1:141" s="116" customFormat="1">
      <c r="A7066" s="136"/>
      <c r="CM7066" s="111"/>
      <c r="CQ7066" s="111"/>
      <c r="EF7066"/>
      <c r="EG7066"/>
      <c r="EH7066"/>
      <c r="EI7066"/>
      <c r="EJ7066"/>
      <c r="EK7066"/>
    </row>
    <row r="7067" spans="1:141" s="116" customFormat="1">
      <c r="A7067" s="136"/>
      <c r="CM7067" s="111"/>
      <c r="CQ7067" s="111"/>
      <c r="EF7067"/>
      <c r="EG7067"/>
      <c r="EH7067"/>
      <c r="EI7067"/>
      <c r="EJ7067"/>
      <c r="EK7067"/>
    </row>
    <row r="7068" spans="1:141" s="116" customFormat="1">
      <c r="A7068" s="136"/>
      <c r="CM7068" s="111"/>
      <c r="CQ7068" s="111"/>
      <c r="EF7068"/>
      <c r="EG7068"/>
      <c r="EH7068"/>
      <c r="EI7068"/>
      <c r="EJ7068"/>
      <c r="EK7068"/>
    </row>
    <row r="7069" spans="1:141" s="116" customFormat="1">
      <c r="A7069" s="136"/>
      <c r="CM7069" s="111"/>
      <c r="CQ7069" s="111"/>
      <c r="EF7069"/>
      <c r="EG7069"/>
      <c r="EH7069"/>
      <c r="EI7069"/>
      <c r="EJ7069"/>
      <c r="EK7069"/>
    </row>
    <row r="7070" spans="1:141" s="116" customFormat="1">
      <c r="A7070" s="136"/>
      <c r="CM7070" s="111"/>
      <c r="CQ7070" s="111"/>
      <c r="EF7070"/>
      <c r="EG7070"/>
      <c r="EH7070"/>
      <c r="EI7070"/>
      <c r="EJ7070"/>
      <c r="EK7070"/>
    </row>
    <row r="7071" spans="1:141" s="116" customFormat="1">
      <c r="A7071" s="136"/>
      <c r="CM7071" s="111"/>
      <c r="CQ7071" s="111"/>
      <c r="EF7071"/>
      <c r="EG7071"/>
      <c r="EH7071"/>
      <c r="EI7071"/>
      <c r="EJ7071"/>
      <c r="EK7071"/>
    </row>
    <row r="7072" spans="1:141" s="116" customFormat="1">
      <c r="A7072" s="136"/>
      <c r="CM7072" s="111"/>
      <c r="CQ7072" s="111"/>
      <c r="EF7072"/>
      <c r="EG7072"/>
      <c r="EH7072"/>
      <c r="EI7072"/>
      <c r="EJ7072"/>
      <c r="EK7072"/>
    </row>
    <row r="7073" spans="1:141" s="116" customFormat="1">
      <c r="A7073" s="136"/>
      <c r="CM7073" s="111"/>
      <c r="CQ7073" s="111"/>
      <c r="EF7073"/>
      <c r="EG7073"/>
      <c r="EH7073"/>
      <c r="EI7073"/>
      <c r="EJ7073"/>
      <c r="EK7073"/>
    </row>
    <row r="7074" spans="1:141" s="116" customFormat="1">
      <c r="A7074" s="136"/>
      <c r="CM7074" s="111"/>
      <c r="CQ7074" s="111"/>
      <c r="EF7074"/>
      <c r="EG7074"/>
      <c r="EH7074"/>
      <c r="EI7074"/>
      <c r="EJ7074"/>
      <c r="EK7074"/>
    </row>
    <row r="7075" spans="1:141" s="116" customFormat="1">
      <c r="A7075" s="136"/>
      <c r="CM7075" s="111"/>
      <c r="CQ7075" s="111"/>
      <c r="EF7075"/>
      <c r="EG7075"/>
      <c r="EH7075"/>
      <c r="EI7075"/>
      <c r="EJ7075"/>
      <c r="EK7075"/>
    </row>
    <row r="7076" spans="1:141" s="116" customFormat="1">
      <c r="A7076" s="136"/>
      <c r="CM7076" s="111"/>
      <c r="CQ7076" s="111"/>
      <c r="EF7076"/>
      <c r="EG7076"/>
      <c r="EH7076"/>
      <c r="EI7076"/>
      <c r="EJ7076"/>
      <c r="EK7076"/>
    </row>
    <row r="7077" spans="1:141" s="116" customFormat="1">
      <c r="A7077" s="136"/>
      <c r="CM7077" s="111"/>
      <c r="CQ7077" s="111"/>
      <c r="EF7077"/>
      <c r="EG7077"/>
      <c r="EH7077"/>
      <c r="EI7077"/>
      <c r="EJ7077"/>
      <c r="EK7077"/>
    </row>
    <row r="7078" spans="1:141" s="116" customFormat="1">
      <c r="A7078" s="136"/>
      <c r="CM7078" s="111"/>
      <c r="CQ7078" s="111"/>
      <c r="EF7078"/>
      <c r="EG7078"/>
      <c r="EH7078"/>
      <c r="EI7078"/>
      <c r="EJ7078"/>
      <c r="EK7078"/>
    </row>
    <row r="7079" spans="1:141" s="116" customFormat="1">
      <c r="A7079" s="136"/>
      <c r="CM7079" s="111"/>
      <c r="CQ7079" s="111"/>
      <c r="EF7079"/>
      <c r="EG7079"/>
      <c r="EH7079"/>
      <c r="EI7079"/>
      <c r="EJ7079"/>
      <c r="EK7079"/>
    </row>
    <row r="7080" spans="1:141" s="116" customFormat="1">
      <c r="A7080" s="136"/>
      <c r="CM7080" s="111"/>
      <c r="CQ7080" s="111"/>
      <c r="EF7080"/>
      <c r="EG7080"/>
      <c r="EH7080"/>
      <c r="EI7080"/>
      <c r="EJ7080"/>
      <c r="EK7080"/>
    </row>
    <row r="7081" spans="1:141" s="116" customFormat="1">
      <c r="A7081" s="136"/>
      <c r="CM7081" s="111"/>
      <c r="CQ7081" s="111"/>
      <c r="EF7081"/>
      <c r="EG7081"/>
      <c r="EH7081"/>
      <c r="EI7081"/>
      <c r="EJ7081"/>
      <c r="EK7081"/>
    </row>
    <row r="7082" spans="1:141" s="116" customFormat="1">
      <c r="A7082" s="136"/>
      <c r="CM7082" s="111"/>
      <c r="CQ7082" s="111"/>
      <c r="EF7082"/>
      <c r="EG7082"/>
      <c r="EH7082"/>
      <c r="EI7082"/>
      <c r="EJ7082"/>
      <c r="EK7082"/>
    </row>
    <row r="7083" spans="1:141" s="116" customFormat="1">
      <c r="A7083" s="136"/>
      <c r="CM7083" s="111"/>
      <c r="CQ7083" s="111"/>
      <c r="EF7083"/>
      <c r="EG7083"/>
      <c r="EH7083"/>
      <c r="EI7083"/>
      <c r="EJ7083"/>
      <c r="EK7083"/>
    </row>
    <row r="7084" spans="1:141" s="116" customFormat="1">
      <c r="A7084" s="136"/>
      <c r="CM7084" s="111"/>
      <c r="CQ7084" s="111"/>
      <c r="EF7084"/>
      <c r="EG7084"/>
      <c r="EH7084"/>
      <c r="EI7084"/>
      <c r="EJ7084"/>
      <c r="EK7084"/>
    </row>
    <row r="7085" spans="1:141" s="116" customFormat="1">
      <c r="A7085" s="136"/>
      <c r="CM7085" s="111"/>
      <c r="CQ7085" s="111"/>
      <c r="EF7085"/>
      <c r="EG7085"/>
      <c r="EH7085"/>
      <c r="EI7085"/>
      <c r="EJ7085"/>
      <c r="EK7085"/>
    </row>
    <row r="7086" spans="1:141" s="116" customFormat="1">
      <c r="A7086" s="136"/>
      <c r="CM7086" s="111"/>
      <c r="CQ7086" s="111"/>
      <c r="EF7086"/>
      <c r="EG7086"/>
      <c r="EH7086"/>
      <c r="EI7086"/>
      <c r="EJ7086"/>
      <c r="EK7086"/>
    </row>
    <row r="7087" spans="1:141" s="116" customFormat="1">
      <c r="A7087" s="136"/>
      <c r="CM7087" s="111"/>
      <c r="CQ7087" s="111"/>
      <c r="EF7087"/>
      <c r="EG7087"/>
      <c r="EH7087"/>
      <c r="EI7087"/>
      <c r="EJ7087"/>
      <c r="EK7087"/>
    </row>
    <row r="7088" spans="1:141" s="116" customFormat="1">
      <c r="A7088" s="136"/>
      <c r="CM7088" s="111"/>
      <c r="CQ7088" s="111"/>
      <c r="EF7088"/>
      <c r="EG7088"/>
      <c r="EH7088"/>
      <c r="EI7088"/>
      <c r="EJ7088"/>
      <c r="EK7088"/>
    </row>
    <row r="7089" spans="1:141" s="116" customFormat="1">
      <c r="A7089" s="136"/>
      <c r="CM7089" s="111"/>
      <c r="CQ7089" s="111"/>
      <c r="EF7089"/>
      <c r="EG7089"/>
      <c r="EH7089"/>
      <c r="EI7089"/>
      <c r="EJ7089"/>
      <c r="EK7089"/>
    </row>
    <row r="7090" spans="1:141" s="116" customFormat="1">
      <c r="A7090" s="136"/>
      <c r="CM7090" s="111"/>
      <c r="CQ7090" s="111"/>
      <c r="EF7090"/>
      <c r="EG7090"/>
      <c r="EH7090"/>
      <c r="EI7090"/>
      <c r="EJ7090"/>
      <c r="EK7090"/>
    </row>
    <row r="7091" spans="1:141" s="116" customFormat="1">
      <c r="A7091" s="136"/>
      <c r="CM7091" s="111"/>
      <c r="CQ7091" s="111"/>
      <c r="EF7091"/>
      <c r="EG7091"/>
      <c r="EH7091"/>
      <c r="EI7091"/>
      <c r="EJ7091"/>
      <c r="EK7091"/>
    </row>
    <row r="7092" spans="1:141" s="116" customFormat="1">
      <c r="A7092" s="136"/>
      <c r="CM7092" s="111"/>
      <c r="CQ7092" s="111"/>
      <c r="EF7092"/>
      <c r="EG7092"/>
      <c r="EH7092"/>
      <c r="EI7092"/>
      <c r="EJ7092"/>
      <c r="EK7092"/>
    </row>
    <row r="7093" spans="1:141" s="116" customFormat="1">
      <c r="A7093" s="136"/>
      <c r="CM7093" s="111"/>
      <c r="CQ7093" s="111"/>
      <c r="EF7093"/>
      <c r="EG7093"/>
      <c r="EH7093"/>
      <c r="EI7093"/>
      <c r="EJ7093"/>
      <c r="EK7093"/>
    </row>
    <row r="7094" spans="1:141" s="116" customFormat="1">
      <c r="A7094" s="136"/>
      <c r="CM7094" s="111"/>
      <c r="CQ7094" s="111"/>
      <c r="EF7094"/>
      <c r="EG7094"/>
      <c r="EH7094"/>
      <c r="EI7094"/>
      <c r="EJ7094"/>
      <c r="EK7094"/>
    </row>
    <row r="7095" spans="1:141" s="116" customFormat="1">
      <c r="A7095" s="136"/>
      <c r="CM7095" s="111"/>
      <c r="CQ7095" s="111"/>
      <c r="EF7095"/>
      <c r="EG7095"/>
      <c r="EH7095"/>
      <c r="EI7095"/>
      <c r="EJ7095"/>
      <c r="EK7095"/>
    </row>
    <row r="7096" spans="1:141" s="116" customFormat="1">
      <c r="A7096" s="136"/>
      <c r="CM7096" s="111"/>
      <c r="CQ7096" s="111"/>
      <c r="EF7096"/>
      <c r="EG7096"/>
      <c r="EH7096"/>
      <c r="EI7096"/>
      <c r="EJ7096"/>
      <c r="EK7096"/>
    </row>
    <row r="7097" spans="1:141" s="116" customFormat="1">
      <c r="A7097" s="136"/>
      <c r="CM7097" s="111"/>
      <c r="CQ7097" s="111"/>
      <c r="EF7097"/>
      <c r="EG7097"/>
      <c r="EH7097"/>
      <c r="EI7097"/>
      <c r="EJ7097"/>
      <c r="EK7097"/>
    </row>
    <row r="7098" spans="1:141" s="116" customFormat="1">
      <c r="A7098" s="136"/>
      <c r="CM7098" s="111"/>
      <c r="CQ7098" s="111"/>
      <c r="EF7098"/>
      <c r="EG7098"/>
      <c r="EH7098"/>
      <c r="EI7098"/>
      <c r="EJ7098"/>
      <c r="EK7098"/>
    </row>
    <row r="7099" spans="1:141" s="116" customFormat="1">
      <c r="A7099" s="136"/>
      <c r="CM7099" s="111"/>
      <c r="CQ7099" s="111"/>
      <c r="EF7099"/>
      <c r="EG7099"/>
      <c r="EH7099"/>
      <c r="EI7099"/>
      <c r="EJ7099"/>
      <c r="EK7099"/>
    </row>
    <row r="7100" spans="1:141" s="116" customFormat="1">
      <c r="A7100" s="136"/>
      <c r="CM7100" s="111"/>
      <c r="CQ7100" s="111"/>
      <c r="EF7100"/>
      <c r="EG7100"/>
      <c r="EH7100"/>
      <c r="EI7100"/>
      <c r="EJ7100"/>
      <c r="EK7100"/>
    </row>
    <row r="7101" spans="1:141" s="116" customFormat="1">
      <c r="A7101" s="136"/>
      <c r="CM7101" s="111"/>
      <c r="CQ7101" s="111"/>
      <c r="EF7101"/>
      <c r="EG7101"/>
      <c r="EH7101"/>
      <c r="EI7101"/>
      <c r="EJ7101"/>
      <c r="EK7101"/>
    </row>
    <row r="7102" spans="1:141" s="116" customFormat="1">
      <c r="A7102" s="136"/>
      <c r="CM7102" s="111"/>
      <c r="CQ7102" s="111"/>
      <c r="EF7102"/>
      <c r="EG7102"/>
      <c r="EH7102"/>
      <c r="EI7102"/>
      <c r="EJ7102"/>
      <c r="EK7102"/>
    </row>
    <row r="7103" spans="1:141" s="116" customFormat="1">
      <c r="A7103" s="136"/>
      <c r="CM7103" s="111"/>
      <c r="CQ7103" s="111"/>
      <c r="EF7103"/>
      <c r="EG7103"/>
      <c r="EH7103"/>
      <c r="EI7103"/>
      <c r="EJ7103"/>
      <c r="EK7103"/>
    </row>
    <row r="7104" spans="1:141" s="116" customFormat="1">
      <c r="A7104" s="136"/>
      <c r="CM7104" s="111"/>
      <c r="CQ7104" s="111"/>
      <c r="EF7104"/>
      <c r="EG7104"/>
      <c r="EH7104"/>
      <c r="EI7104"/>
      <c r="EJ7104"/>
      <c r="EK7104"/>
    </row>
    <row r="7105" spans="1:141" s="116" customFormat="1">
      <c r="A7105" s="136"/>
      <c r="CM7105" s="111"/>
      <c r="CQ7105" s="111"/>
      <c r="EF7105"/>
      <c r="EG7105"/>
      <c r="EH7105"/>
      <c r="EI7105"/>
      <c r="EJ7105"/>
      <c r="EK7105"/>
    </row>
    <row r="7106" spans="1:141" s="116" customFormat="1">
      <c r="A7106" s="136"/>
      <c r="CM7106" s="111"/>
      <c r="CQ7106" s="111"/>
      <c r="EF7106"/>
      <c r="EG7106"/>
      <c r="EH7106"/>
      <c r="EI7106"/>
      <c r="EJ7106"/>
      <c r="EK7106"/>
    </row>
    <row r="7107" spans="1:141" s="116" customFormat="1">
      <c r="A7107" s="136"/>
      <c r="CM7107" s="111"/>
      <c r="CQ7107" s="111"/>
      <c r="EF7107"/>
      <c r="EG7107"/>
      <c r="EH7107"/>
      <c r="EI7107"/>
      <c r="EJ7107"/>
      <c r="EK7107"/>
    </row>
    <row r="7108" spans="1:141" s="116" customFormat="1">
      <c r="A7108" s="136"/>
      <c r="CM7108" s="111"/>
      <c r="CQ7108" s="111"/>
      <c r="EF7108"/>
      <c r="EG7108"/>
      <c r="EH7108"/>
      <c r="EI7108"/>
      <c r="EJ7108"/>
      <c r="EK7108"/>
    </row>
    <row r="7109" spans="1:141" s="116" customFormat="1">
      <c r="A7109" s="136"/>
      <c r="CM7109" s="111"/>
      <c r="CQ7109" s="111"/>
      <c r="EF7109"/>
      <c r="EG7109"/>
      <c r="EH7109"/>
      <c r="EI7109"/>
      <c r="EJ7109"/>
      <c r="EK7109"/>
    </row>
    <row r="7110" spans="1:141" s="116" customFormat="1">
      <c r="A7110" s="136"/>
      <c r="CM7110" s="111"/>
      <c r="CQ7110" s="111"/>
      <c r="EF7110"/>
      <c r="EG7110"/>
      <c r="EH7110"/>
      <c r="EI7110"/>
      <c r="EJ7110"/>
      <c r="EK7110"/>
    </row>
    <row r="7111" spans="1:141" s="116" customFormat="1">
      <c r="A7111" s="136"/>
      <c r="CM7111" s="111"/>
      <c r="CQ7111" s="111"/>
      <c r="EF7111"/>
      <c r="EG7111"/>
      <c r="EH7111"/>
      <c r="EI7111"/>
      <c r="EJ7111"/>
      <c r="EK7111"/>
    </row>
    <row r="7112" spans="1:141" s="116" customFormat="1">
      <c r="A7112" s="136"/>
      <c r="CM7112" s="111"/>
      <c r="CQ7112" s="111"/>
      <c r="EF7112"/>
      <c r="EG7112"/>
      <c r="EH7112"/>
      <c r="EI7112"/>
      <c r="EJ7112"/>
      <c r="EK7112"/>
    </row>
    <row r="7113" spans="1:141" s="116" customFormat="1">
      <c r="A7113" s="136"/>
      <c r="CM7113" s="111"/>
      <c r="CQ7113" s="111"/>
      <c r="EF7113"/>
      <c r="EG7113"/>
      <c r="EH7113"/>
      <c r="EI7113"/>
      <c r="EJ7113"/>
      <c r="EK7113"/>
    </row>
    <row r="7114" spans="1:141" s="116" customFormat="1">
      <c r="A7114" s="136"/>
      <c r="CM7114" s="111"/>
      <c r="CQ7114" s="111"/>
      <c r="EF7114"/>
      <c r="EG7114"/>
      <c r="EH7114"/>
      <c r="EI7114"/>
      <c r="EJ7114"/>
      <c r="EK7114"/>
    </row>
    <row r="7115" spans="1:141" s="116" customFormat="1">
      <c r="A7115" s="136"/>
      <c r="CM7115" s="111"/>
      <c r="CQ7115" s="111"/>
      <c r="EF7115"/>
      <c r="EG7115"/>
      <c r="EH7115"/>
      <c r="EI7115"/>
      <c r="EJ7115"/>
      <c r="EK7115"/>
    </row>
    <row r="7116" spans="1:141" s="116" customFormat="1">
      <c r="A7116" s="136"/>
      <c r="CM7116" s="111"/>
      <c r="CQ7116" s="111"/>
      <c r="EF7116"/>
      <c r="EG7116"/>
      <c r="EH7116"/>
      <c r="EI7116"/>
      <c r="EJ7116"/>
      <c r="EK7116"/>
    </row>
    <row r="7117" spans="1:141" s="116" customFormat="1">
      <c r="A7117" s="136"/>
      <c r="CM7117" s="111"/>
      <c r="CQ7117" s="111"/>
      <c r="EF7117"/>
      <c r="EG7117"/>
      <c r="EH7117"/>
      <c r="EI7117"/>
      <c r="EJ7117"/>
      <c r="EK7117"/>
    </row>
    <row r="7118" spans="1:141" s="116" customFormat="1">
      <c r="A7118" s="136"/>
      <c r="CM7118" s="111"/>
      <c r="CQ7118" s="111"/>
      <c r="EF7118"/>
      <c r="EG7118"/>
      <c r="EH7118"/>
      <c r="EI7118"/>
      <c r="EJ7118"/>
      <c r="EK7118"/>
    </row>
    <row r="7119" spans="1:141" s="116" customFormat="1">
      <c r="A7119" s="136"/>
      <c r="CM7119" s="111"/>
      <c r="CQ7119" s="111"/>
      <c r="EF7119"/>
      <c r="EG7119"/>
      <c r="EH7119"/>
      <c r="EI7119"/>
      <c r="EJ7119"/>
      <c r="EK7119"/>
    </row>
    <row r="7120" spans="1:141" s="116" customFormat="1">
      <c r="A7120" s="136"/>
      <c r="CM7120" s="111"/>
      <c r="CQ7120" s="111"/>
      <c r="EF7120"/>
      <c r="EG7120"/>
      <c r="EH7120"/>
      <c r="EI7120"/>
      <c r="EJ7120"/>
      <c r="EK7120"/>
    </row>
    <row r="7121" spans="1:141" s="116" customFormat="1">
      <c r="A7121" s="136"/>
      <c r="CM7121" s="111"/>
      <c r="CQ7121" s="111"/>
      <c r="EF7121"/>
      <c r="EG7121"/>
      <c r="EH7121"/>
      <c r="EI7121"/>
      <c r="EJ7121"/>
      <c r="EK7121"/>
    </row>
    <row r="7122" spans="1:141" s="116" customFormat="1">
      <c r="A7122" s="136"/>
      <c r="CM7122" s="111"/>
      <c r="CQ7122" s="111"/>
      <c r="EF7122"/>
      <c r="EG7122"/>
      <c r="EH7122"/>
      <c r="EI7122"/>
      <c r="EJ7122"/>
      <c r="EK7122"/>
    </row>
    <row r="7123" spans="1:141" s="116" customFormat="1">
      <c r="A7123" s="136"/>
      <c r="CM7123" s="111"/>
      <c r="CQ7123" s="111"/>
      <c r="EF7123"/>
      <c r="EG7123"/>
      <c r="EH7123"/>
      <c r="EI7123"/>
      <c r="EJ7123"/>
      <c r="EK7123"/>
    </row>
    <row r="7124" spans="1:141" s="116" customFormat="1">
      <c r="A7124" s="136"/>
      <c r="CM7124" s="111"/>
      <c r="CQ7124" s="111"/>
      <c r="EF7124"/>
      <c r="EG7124"/>
      <c r="EH7124"/>
      <c r="EI7124"/>
      <c r="EJ7124"/>
      <c r="EK7124"/>
    </row>
    <row r="7125" spans="1:141" s="116" customFormat="1">
      <c r="A7125" s="136"/>
      <c r="CM7125" s="111"/>
      <c r="CQ7125" s="111"/>
      <c r="EF7125"/>
      <c r="EG7125"/>
      <c r="EH7125"/>
      <c r="EI7125"/>
      <c r="EJ7125"/>
      <c r="EK7125"/>
    </row>
    <row r="7126" spans="1:141" s="116" customFormat="1">
      <c r="A7126" s="136"/>
      <c r="CM7126" s="111"/>
      <c r="CQ7126" s="111"/>
      <c r="EF7126"/>
      <c r="EG7126"/>
      <c r="EH7126"/>
      <c r="EI7126"/>
      <c r="EJ7126"/>
      <c r="EK7126"/>
    </row>
    <row r="7127" spans="1:141" s="116" customFormat="1">
      <c r="A7127" s="136"/>
      <c r="CM7127" s="111"/>
      <c r="CQ7127" s="111"/>
      <c r="EF7127"/>
      <c r="EG7127"/>
      <c r="EH7127"/>
      <c r="EI7127"/>
      <c r="EJ7127"/>
      <c r="EK7127"/>
    </row>
    <row r="7128" spans="1:141" s="116" customFormat="1">
      <c r="A7128" s="136"/>
      <c r="CM7128" s="111"/>
      <c r="CQ7128" s="111"/>
      <c r="EF7128"/>
      <c r="EG7128"/>
      <c r="EH7128"/>
      <c r="EI7128"/>
      <c r="EJ7128"/>
      <c r="EK7128"/>
    </row>
    <row r="7129" spans="1:141" s="116" customFormat="1">
      <c r="A7129" s="136"/>
      <c r="CM7129" s="111"/>
      <c r="CQ7129" s="111"/>
      <c r="EF7129"/>
      <c r="EG7129"/>
      <c r="EH7129"/>
      <c r="EI7129"/>
      <c r="EJ7129"/>
      <c r="EK7129"/>
    </row>
    <row r="7130" spans="1:141" s="116" customFormat="1">
      <c r="A7130" s="136"/>
      <c r="CM7130" s="111"/>
      <c r="CQ7130" s="111"/>
      <c r="EF7130"/>
      <c r="EG7130"/>
      <c r="EH7130"/>
      <c r="EI7130"/>
      <c r="EJ7130"/>
      <c r="EK7130"/>
    </row>
    <row r="7131" spans="1:141" s="116" customFormat="1">
      <c r="A7131" s="136"/>
      <c r="CM7131" s="111"/>
      <c r="CQ7131" s="111"/>
      <c r="EF7131"/>
      <c r="EG7131"/>
      <c r="EH7131"/>
      <c r="EI7131"/>
      <c r="EJ7131"/>
      <c r="EK7131"/>
    </row>
    <row r="7132" spans="1:141" s="116" customFormat="1">
      <c r="A7132" s="136"/>
      <c r="CM7132" s="111"/>
      <c r="CQ7132" s="111"/>
      <c r="EF7132"/>
      <c r="EG7132"/>
      <c r="EH7132"/>
      <c r="EI7132"/>
      <c r="EJ7132"/>
      <c r="EK7132"/>
    </row>
    <row r="7133" spans="1:141" s="116" customFormat="1">
      <c r="A7133" s="136"/>
      <c r="CM7133" s="111"/>
      <c r="CQ7133" s="111"/>
      <c r="EF7133"/>
      <c r="EG7133"/>
      <c r="EH7133"/>
      <c r="EI7133"/>
      <c r="EJ7133"/>
      <c r="EK7133"/>
    </row>
    <row r="7134" spans="1:141" s="116" customFormat="1">
      <c r="A7134" s="136"/>
      <c r="CM7134" s="111"/>
      <c r="CQ7134" s="111"/>
      <c r="EF7134"/>
      <c r="EG7134"/>
      <c r="EH7134"/>
      <c r="EI7134"/>
      <c r="EJ7134"/>
      <c r="EK7134"/>
    </row>
    <row r="7135" spans="1:141" s="116" customFormat="1">
      <c r="A7135" s="136"/>
      <c r="CM7135" s="111"/>
      <c r="CQ7135" s="111"/>
      <c r="EF7135"/>
      <c r="EG7135"/>
      <c r="EH7135"/>
      <c r="EI7135"/>
      <c r="EJ7135"/>
      <c r="EK7135"/>
    </row>
    <row r="7136" spans="1:141" s="116" customFormat="1">
      <c r="A7136" s="136"/>
      <c r="CM7136" s="111"/>
      <c r="CQ7136" s="111"/>
      <c r="EF7136"/>
      <c r="EG7136"/>
      <c r="EH7136"/>
      <c r="EI7136"/>
      <c r="EJ7136"/>
      <c r="EK7136"/>
    </row>
    <row r="7137" spans="1:141" s="116" customFormat="1">
      <c r="A7137" s="136"/>
      <c r="CM7137" s="111"/>
      <c r="CQ7137" s="111"/>
      <c r="EF7137"/>
      <c r="EG7137"/>
      <c r="EH7137"/>
      <c r="EI7137"/>
      <c r="EJ7137"/>
      <c r="EK7137"/>
    </row>
    <row r="7138" spans="1:141" s="116" customFormat="1">
      <c r="A7138" s="136"/>
      <c r="CM7138" s="111"/>
      <c r="CQ7138" s="111"/>
      <c r="EF7138"/>
      <c r="EG7138"/>
      <c r="EH7138"/>
      <c r="EI7138"/>
      <c r="EJ7138"/>
      <c r="EK7138"/>
    </row>
    <row r="7139" spans="1:141" s="116" customFormat="1">
      <c r="A7139" s="136"/>
      <c r="CM7139" s="111"/>
      <c r="CQ7139" s="111"/>
      <c r="EF7139"/>
      <c r="EG7139"/>
      <c r="EH7139"/>
      <c r="EI7139"/>
      <c r="EJ7139"/>
      <c r="EK7139"/>
    </row>
    <row r="7140" spans="1:141" s="116" customFormat="1">
      <c r="A7140" s="136"/>
      <c r="CM7140" s="111"/>
      <c r="CQ7140" s="111"/>
      <c r="EF7140"/>
      <c r="EG7140"/>
      <c r="EH7140"/>
      <c r="EI7140"/>
      <c r="EJ7140"/>
      <c r="EK7140"/>
    </row>
    <row r="7141" spans="1:141" s="116" customFormat="1">
      <c r="A7141" s="136"/>
      <c r="CM7141" s="111"/>
      <c r="CQ7141" s="111"/>
      <c r="EF7141"/>
      <c r="EG7141"/>
      <c r="EH7141"/>
      <c r="EI7141"/>
      <c r="EJ7141"/>
      <c r="EK7141"/>
    </row>
    <row r="7142" spans="1:141" s="116" customFormat="1">
      <c r="A7142" s="136"/>
      <c r="CM7142" s="111"/>
      <c r="CQ7142" s="111"/>
      <c r="EF7142"/>
      <c r="EG7142"/>
      <c r="EH7142"/>
      <c r="EI7142"/>
      <c r="EJ7142"/>
      <c r="EK7142"/>
    </row>
    <row r="7143" spans="1:141" s="116" customFormat="1">
      <c r="A7143" s="136"/>
      <c r="CM7143" s="111"/>
      <c r="CQ7143" s="111"/>
      <c r="EF7143"/>
      <c r="EG7143"/>
      <c r="EH7143"/>
      <c r="EI7143"/>
      <c r="EJ7143"/>
      <c r="EK7143"/>
    </row>
    <row r="7144" spans="1:141" s="116" customFormat="1">
      <c r="A7144" s="136"/>
      <c r="CM7144" s="111"/>
      <c r="CQ7144" s="111"/>
      <c r="EF7144"/>
      <c r="EG7144"/>
      <c r="EH7144"/>
      <c r="EI7144"/>
      <c r="EJ7144"/>
      <c r="EK7144"/>
    </row>
    <row r="7145" spans="1:141" s="116" customFormat="1">
      <c r="A7145" s="136"/>
      <c r="CM7145" s="111"/>
      <c r="CQ7145" s="111"/>
      <c r="EF7145"/>
      <c r="EG7145"/>
      <c r="EH7145"/>
      <c r="EI7145"/>
      <c r="EJ7145"/>
      <c r="EK7145"/>
    </row>
    <row r="7146" spans="1:141" s="116" customFormat="1">
      <c r="A7146" s="136"/>
      <c r="CM7146" s="111"/>
      <c r="CQ7146" s="111"/>
      <c r="EF7146"/>
      <c r="EG7146"/>
      <c r="EH7146"/>
      <c r="EI7146"/>
      <c r="EJ7146"/>
      <c r="EK7146"/>
    </row>
    <row r="7147" spans="1:141" s="116" customFormat="1">
      <c r="A7147" s="136"/>
      <c r="CM7147" s="111"/>
      <c r="CQ7147" s="111"/>
      <c r="EF7147"/>
      <c r="EG7147"/>
      <c r="EH7147"/>
      <c r="EI7147"/>
      <c r="EJ7147"/>
      <c r="EK7147"/>
    </row>
    <row r="7148" spans="1:141" s="116" customFormat="1">
      <c r="A7148" s="136"/>
      <c r="CM7148" s="111"/>
      <c r="CQ7148" s="111"/>
      <c r="EF7148"/>
      <c r="EG7148"/>
      <c r="EH7148"/>
      <c r="EI7148"/>
      <c r="EJ7148"/>
      <c r="EK7148"/>
    </row>
    <row r="7149" spans="1:141" s="116" customFormat="1">
      <c r="A7149" s="136"/>
      <c r="CM7149" s="111"/>
      <c r="CQ7149" s="111"/>
      <c r="EF7149"/>
      <c r="EG7149"/>
      <c r="EH7149"/>
      <c r="EI7149"/>
      <c r="EJ7149"/>
      <c r="EK7149"/>
    </row>
    <row r="7150" spans="1:141" s="116" customFormat="1">
      <c r="A7150" s="136"/>
      <c r="CM7150" s="111"/>
      <c r="CQ7150" s="111"/>
      <c r="EF7150"/>
      <c r="EG7150"/>
      <c r="EH7150"/>
      <c r="EI7150"/>
      <c r="EJ7150"/>
      <c r="EK7150"/>
    </row>
    <row r="7151" spans="1:141" s="116" customFormat="1">
      <c r="A7151" s="136"/>
      <c r="CM7151" s="111"/>
      <c r="CQ7151" s="111"/>
      <c r="EF7151"/>
      <c r="EG7151"/>
      <c r="EH7151"/>
      <c r="EI7151"/>
      <c r="EJ7151"/>
      <c r="EK7151"/>
    </row>
    <row r="7152" spans="1:141" s="116" customFormat="1">
      <c r="A7152" s="136"/>
      <c r="CM7152" s="111"/>
      <c r="CQ7152" s="111"/>
      <c r="EF7152"/>
      <c r="EG7152"/>
      <c r="EH7152"/>
      <c r="EI7152"/>
      <c r="EJ7152"/>
      <c r="EK7152"/>
    </row>
    <row r="7153" spans="1:141" s="116" customFormat="1">
      <c r="A7153" s="136"/>
      <c r="CM7153" s="111"/>
      <c r="CQ7153" s="111"/>
      <c r="EF7153"/>
      <c r="EG7153"/>
      <c r="EH7153"/>
      <c r="EI7153"/>
      <c r="EJ7153"/>
      <c r="EK7153"/>
    </row>
    <row r="7154" spans="1:141" s="116" customFormat="1">
      <c r="A7154" s="136"/>
      <c r="CM7154" s="111"/>
      <c r="CQ7154" s="111"/>
      <c r="EF7154"/>
      <c r="EG7154"/>
      <c r="EH7154"/>
      <c r="EI7154"/>
      <c r="EJ7154"/>
      <c r="EK7154"/>
    </row>
    <row r="7155" spans="1:141" s="116" customFormat="1">
      <c r="A7155" s="136"/>
      <c r="CM7155" s="111"/>
      <c r="CQ7155" s="111"/>
      <c r="EF7155"/>
      <c r="EG7155"/>
      <c r="EH7155"/>
      <c r="EI7155"/>
      <c r="EJ7155"/>
      <c r="EK7155"/>
    </row>
    <row r="7156" spans="1:141" s="116" customFormat="1">
      <c r="A7156" s="136"/>
      <c r="CM7156" s="111"/>
      <c r="CQ7156" s="111"/>
      <c r="EF7156"/>
      <c r="EG7156"/>
      <c r="EH7156"/>
      <c r="EI7156"/>
      <c r="EJ7156"/>
      <c r="EK7156"/>
    </row>
    <row r="7157" spans="1:141" s="116" customFormat="1">
      <c r="A7157" s="136"/>
      <c r="CM7157" s="111"/>
      <c r="CQ7157" s="111"/>
      <c r="EF7157"/>
      <c r="EG7157"/>
      <c r="EH7157"/>
      <c r="EI7157"/>
      <c r="EJ7157"/>
      <c r="EK7157"/>
    </row>
    <row r="7158" spans="1:141" s="116" customFormat="1">
      <c r="A7158" s="136"/>
      <c r="CM7158" s="111"/>
      <c r="CQ7158" s="111"/>
      <c r="EF7158"/>
      <c r="EG7158"/>
      <c r="EH7158"/>
      <c r="EI7158"/>
      <c r="EJ7158"/>
      <c r="EK7158"/>
    </row>
    <row r="7159" spans="1:141" s="116" customFormat="1">
      <c r="A7159" s="136"/>
      <c r="CM7159" s="111"/>
      <c r="CQ7159" s="111"/>
      <c r="EF7159"/>
      <c r="EG7159"/>
      <c r="EH7159"/>
      <c r="EI7159"/>
      <c r="EJ7159"/>
      <c r="EK7159"/>
    </row>
    <row r="7160" spans="1:141" s="116" customFormat="1">
      <c r="A7160" s="136"/>
      <c r="CM7160" s="111"/>
      <c r="CQ7160" s="111"/>
      <c r="EF7160"/>
      <c r="EG7160"/>
      <c r="EH7160"/>
      <c r="EI7160"/>
      <c r="EJ7160"/>
      <c r="EK7160"/>
    </row>
    <row r="7161" spans="1:141" s="116" customFormat="1">
      <c r="A7161" s="136"/>
      <c r="CM7161" s="111"/>
      <c r="CQ7161" s="111"/>
      <c r="EF7161"/>
      <c r="EG7161"/>
      <c r="EH7161"/>
      <c r="EI7161"/>
      <c r="EJ7161"/>
      <c r="EK7161"/>
    </row>
    <row r="7162" spans="1:141" s="116" customFormat="1">
      <c r="A7162" s="136"/>
      <c r="CM7162" s="111"/>
      <c r="CQ7162" s="111"/>
      <c r="EF7162"/>
      <c r="EG7162"/>
      <c r="EH7162"/>
      <c r="EI7162"/>
      <c r="EJ7162"/>
      <c r="EK7162"/>
    </row>
    <row r="7163" spans="1:141" s="116" customFormat="1">
      <c r="A7163" s="136"/>
      <c r="CM7163" s="111"/>
      <c r="CQ7163" s="111"/>
      <c r="EF7163"/>
      <c r="EG7163"/>
      <c r="EH7163"/>
      <c r="EI7163"/>
      <c r="EJ7163"/>
      <c r="EK7163"/>
    </row>
    <row r="7164" spans="1:141" s="116" customFormat="1">
      <c r="A7164" s="136"/>
      <c r="CM7164" s="111"/>
      <c r="CQ7164" s="111"/>
      <c r="EF7164"/>
      <c r="EG7164"/>
      <c r="EH7164"/>
      <c r="EI7164"/>
      <c r="EJ7164"/>
      <c r="EK7164"/>
    </row>
    <row r="7165" spans="1:141" s="116" customFormat="1">
      <c r="A7165" s="136"/>
      <c r="CM7165" s="111"/>
      <c r="CQ7165" s="111"/>
      <c r="EF7165"/>
      <c r="EG7165"/>
      <c r="EH7165"/>
      <c r="EI7165"/>
      <c r="EJ7165"/>
      <c r="EK7165"/>
    </row>
    <row r="7166" spans="1:141" s="116" customFormat="1">
      <c r="A7166" s="136"/>
      <c r="CM7166" s="111"/>
      <c r="CQ7166" s="111"/>
      <c r="EF7166"/>
      <c r="EG7166"/>
      <c r="EH7166"/>
      <c r="EI7166"/>
      <c r="EJ7166"/>
      <c r="EK7166"/>
    </row>
    <row r="7167" spans="1:141" s="116" customFormat="1">
      <c r="A7167" s="136"/>
      <c r="CM7167" s="111"/>
      <c r="CQ7167" s="111"/>
      <c r="EF7167"/>
      <c r="EG7167"/>
      <c r="EH7167"/>
      <c r="EI7167"/>
      <c r="EJ7167"/>
      <c r="EK7167"/>
    </row>
    <row r="7168" spans="1:141" s="116" customFormat="1">
      <c r="A7168" s="136"/>
      <c r="CM7168" s="111"/>
      <c r="CQ7168" s="111"/>
      <c r="EF7168"/>
      <c r="EG7168"/>
      <c r="EH7168"/>
      <c r="EI7168"/>
      <c r="EJ7168"/>
      <c r="EK7168"/>
    </row>
    <row r="7169" spans="1:141" s="116" customFormat="1">
      <c r="A7169" s="136"/>
      <c r="CM7169" s="111"/>
      <c r="CQ7169" s="111"/>
      <c r="EF7169"/>
      <c r="EG7169"/>
      <c r="EH7169"/>
      <c r="EI7169"/>
      <c r="EJ7169"/>
      <c r="EK7169"/>
    </row>
    <row r="7170" spans="1:141" s="116" customFormat="1">
      <c r="A7170" s="136"/>
      <c r="CM7170" s="111"/>
      <c r="CQ7170" s="111"/>
      <c r="EF7170"/>
      <c r="EG7170"/>
      <c r="EH7170"/>
      <c r="EI7170"/>
      <c r="EJ7170"/>
      <c r="EK7170"/>
    </row>
    <row r="7171" spans="1:141" s="116" customFormat="1">
      <c r="A7171" s="136"/>
      <c r="CM7171" s="111"/>
      <c r="CQ7171" s="111"/>
      <c r="EF7171"/>
      <c r="EG7171"/>
      <c r="EH7171"/>
      <c r="EI7171"/>
      <c r="EJ7171"/>
      <c r="EK7171"/>
    </row>
    <row r="7172" spans="1:141" s="116" customFormat="1">
      <c r="A7172" s="136"/>
      <c r="CM7172" s="111"/>
      <c r="CQ7172" s="111"/>
      <c r="EF7172"/>
      <c r="EG7172"/>
      <c r="EH7172"/>
      <c r="EI7172"/>
      <c r="EJ7172"/>
      <c r="EK7172"/>
    </row>
    <row r="7173" spans="1:141" s="116" customFormat="1">
      <c r="A7173" s="136"/>
      <c r="CM7173" s="111"/>
      <c r="CQ7173" s="111"/>
      <c r="EF7173"/>
      <c r="EG7173"/>
      <c r="EH7173"/>
      <c r="EI7173"/>
      <c r="EJ7173"/>
      <c r="EK7173"/>
    </row>
    <row r="7174" spans="1:141" s="116" customFormat="1">
      <c r="A7174" s="136"/>
      <c r="CM7174" s="111"/>
      <c r="CQ7174" s="111"/>
      <c r="EF7174"/>
      <c r="EG7174"/>
      <c r="EH7174"/>
      <c r="EI7174"/>
      <c r="EJ7174"/>
      <c r="EK7174"/>
    </row>
    <row r="7175" spans="1:141" s="116" customFormat="1">
      <c r="A7175" s="136"/>
      <c r="CM7175" s="111"/>
      <c r="CQ7175" s="111"/>
      <c r="EF7175"/>
      <c r="EG7175"/>
      <c r="EH7175"/>
      <c r="EI7175"/>
      <c r="EJ7175"/>
      <c r="EK7175"/>
    </row>
    <row r="7176" spans="1:141" s="116" customFormat="1">
      <c r="A7176" s="136"/>
      <c r="CM7176" s="111"/>
      <c r="CQ7176" s="111"/>
      <c r="EF7176"/>
      <c r="EG7176"/>
      <c r="EH7176"/>
      <c r="EI7176"/>
      <c r="EJ7176"/>
      <c r="EK7176"/>
    </row>
    <row r="7177" spans="1:141" s="116" customFormat="1">
      <c r="A7177" s="136"/>
      <c r="CM7177" s="111"/>
      <c r="CQ7177" s="111"/>
      <c r="EF7177"/>
      <c r="EG7177"/>
      <c r="EH7177"/>
      <c r="EI7177"/>
      <c r="EJ7177"/>
      <c r="EK7177"/>
    </row>
    <row r="7178" spans="1:141" s="116" customFormat="1">
      <c r="A7178" s="136"/>
      <c r="CM7178" s="111"/>
      <c r="CQ7178" s="111"/>
      <c r="EF7178"/>
      <c r="EG7178"/>
      <c r="EH7178"/>
      <c r="EI7178"/>
      <c r="EJ7178"/>
      <c r="EK7178"/>
    </row>
    <row r="7179" spans="1:141" s="116" customFormat="1">
      <c r="A7179" s="136"/>
      <c r="CM7179" s="111"/>
      <c r="CQ7179" s="111"/>
      <c r="EF7179"/>
      <c r="EG7179"/>
      <c r="EH7179"/>
      <c r="EI7179"/>
      <c r="EJ7179"/>
      <c r="EK7179"/>
    </row>
    <row r="7180" spans="1:141" s="116" customFormat="1">
      <c r="A7180" s="136"/>
      <c r="CM7180" s="111"/>
      <c r="CQ7180" s="111"/>
      <c r="EF7180"/>
      <c r="EG7180"/>
      <c r="EH7180"/>
      <c r="EI7180"/>
      <c r="EJ7180"/>
      <c r="EK7180"/>
    </row>
    <row r="7181" spans="1:141" s="116" customFormat="1">
      <c r="A7181" s="136"/>
      <c r="CM7181" s="111"/>
      <c r="CQ7181" s="111"/>
      <c r="EF7181"/>
      <c r="EG7181"/>
      <c r="EH7181"/>
      <c r="EI7181"/>
      <c r="EJ7181"/>
      <c r="EK7181"/>
    </row>
    <row r="7182" spans="1:141" s="116" customFormat="1">
      <c r="A7182" s="136"/>
      <c r="CM7182" s="111"/>
      <c r="CQ7182" s="111"/>
      <c r="EF7182"/>
      <c r="EG7182"/>
      <c r="EH7182"/>
      <c r="EI7182"/>
      <c r="EJ7182"/>
      <c r="EK7182"/>
    </row>
    <row r="7183" spans="1:141" s="116" customFormat="1">
      <c r="A7183" s="136"/>
      <c r="CM7183" s="111"/>
      <c r="CQ7183" s="111"/>
      <c r="EF7183"/>
      <c r="EG7183"/>
      <c r="EH7183"/>
      <c r="EI7183"/>
      <c r="EJ7183"/>
      <c r="EK7183"/>
    </row>
    <row r="7184" spans="1:141" s="116" customFormat="1">
      <c r="A7184" s="136"/>
      <c r="CM7184" s="111"/>
      <c r="CQ7184" s="111"/>
      <c r="EF7184"/>
      <c r="EG7184"/>
      <c r="EH7184"/>
      <c r="EI7184"/>
      <c r="EJ7184"/>
      <c r="EK7184"/>
    </row>
    <row r="7185" spans="1:141" s="116" customFormat="1">
      <c r="A7185" s="136"/>
      <c r="CM7185" s="111"/>
      <c r="CQ7185" s="111"/>
      <c r="EF7185"/>
      <c r="EG7185"/>
      <c r="EH7185"/>
      <c r="EI7185"/>
      <c r="EJ7185"/>
      <c r="EK7185"/>
    </row>
    <row r="7186" spans="1:141" s="116" customFormat="1">
      <c r="A7186" s="136"/>
      <c r="CM7186" s="111"/>
      <c r="CQ7186" s="111"/>
      <c r="EF7186"/>
      <c r="EG7186"/>
      <c r="EH7186"/>
      <c r="EI7186"/>
      <c r="EJ7186"/>
      <c r="EK7186"/>
    </row>
    <row r="7187" spans="1:141" s="116" customFormat="1">
      <c r="A7187" s="136"/>
      <c r="CM7187" s="111"/>
      <c r="CQ7187" s="111"/>
      <c r="EF7187"/>
      <c r="EG7187"/>
      <c r="EH7187"/>
      <c r="EI7187"/>
      <c r="EJ7187"/>
      <c r="EK7187"/>
    </row>
    <row r="7188" spans="1:141" s="116" customFormat="1">
      <c r="A7188" s="136"/>
      <c r="CM7188" s="111"/>
      <c r="CQ7188" s="111"/>
      <c r="EF7188"/>
      <c r="EG7188"/>
      <c r="EH7188"/>
      <c r="EI7188"/>
      <c r="EJ7188"/>
      <c r="EK7188"/>
    </row>
    <row r="7189" spans="1:141" s="116" customFormat="1">
      <c r="A7189" s="136"/>
      <c r="CM7189" s="111"/>
      <c r="CQ7189" s="111"/>
      <c r="EF7189"/>
      <c r="EG7189"/>
      <c r="EH7189"/>
      <c r="EI7189"/>
      <c r="EJ7189"/>
      <c r="EK7189"/>
    </row>
    <row r="7190" spans="1:141" s="116" customFormat="1">
      <c r="A7190" s="136"/>
      <c r="CM7190" s="111"/>
      <c r="CQ7190" s="111"/>
      <c r="EF7190"/>
      <c r="EG7190"/>
      <c r="EH7190"/>
      <c r="EI7190"/>
      <c r="EJ7190"/>
      <c r="EK7190"/>
    </row>
    <row r="7191" spans="1:141" s="116" customFormat="1">
      <c r="A7191" s="136"/>
      <c r="CM7191" s="111"/>
      <c r="CQ7191" s="111"/>
      <c r="EF7191"/>
      <c r="EG7191"/>
      <c r="EH7191"/>
      <c r="EI7191"/>
      <c r="EJ7191"/>
      <c r="EK7191"/>
    </row>
    <row r="7192" spans="1:141" s="116" customFormat="1">
      <c r="A7192" s="136"/>
      <c r="CM7192" s="111"/>
      <c r="CQ7192" s="111"/>
      <c r="EF7192"/>
      <c r="EG7192"/>
      <c r="EH7192"/>
      <c r="EI7192"/>
      <c r="EJ7192"/>
      <c r="EK7192"/>
    </row>
    <row r="7193" spans="1:141" s="116" customFormat="1">
      <c r="A7193" s="136"/>
      <c r="CM7193" s="111"/>
      <c r="CQ7193" s="111"/>
      <c r="EF7193"/>
      <c r="EG7193"/>
      <c r="EH7193"/>
      <c r="EI7193"/>
      <c r="EJ7193"/>
      <c r="EK7193"/>
    </row>
    <row r="7194" spans="1:141" s="116" customFormat="1">
      <c r="A7194" s="136"/>
      <c r="CM7194" s="111"/>
      <c r="CQ7194" s="111"/>
      <c r="EF7194"/>
      <c r="EG7194"/>
      <c r="EH7194"/>
      <c r="EI7194"/>
      <c r="EJ7194"/>
      <c r="EK7194"/>
    </row>
    <row r="7195" spans="1:141" s="116" customFormat="1">
      <c r="A7195" s="136"/>
      <c r="CM7195" s="111"/>
      <c r="CQ7195" s="111"/>
      <c r="EF7195"/>
      <c r="EG7195"/>
      <c r="EH7195"/>
      <c r="EI7195"/>
      <c r="EJ7195"/>
      <c r="EK7195"/>
    </row>
    <row r="7196" spans="1:141" s="116" customFormat="1">
      <c r="A7196" s="136"/>
      <c r="CM7196" s="111"/>
      <c r="CQ7196" s="111"/>
      <c r="EF7196"/>
      <c r="EG7196"/>
      <c r="EH7196"/>
      <c r="EI7196"/>
      <c r="EJ7196"/>
      <c r="EK7196"/>
    </row>
    <row r="7197" spans="1:141" s="116" customFormat="1">
      <c r="A7197" s="136"/>
      <c r="CM7197" s="111"/>
      <c r="CQ7197" s="111"/>
      <c r="EF7197"/>
      <c r="EG7197"/>
      <c r="EH7197"/>
      <c r="EI7197"/>
      <c r="EJ7197"/>
      <c r="EK7197"/>
    </row>
    <row r="7198" spans="1:141" s="116" customFormat="1">
      <c r="A7198" s="136"/>
      <c r="CM7198" s="111"/>
      <c r="CQ7198" s="111"/>
      <c r="EF7198"/>
      <c r="EG7198"/>
      <c r="EH7198"/>
      <c r="EI7198"/>
      <c r="EJ7198"/>
      <c r="EK7198"/>
    </row>
    <row r="7199" spans="1:141" s="116" customFormat="1">
      <c r="A7199" s="136"/>
      <c r="CM7199" s="111"/>
      <c r="CQ7199" s="111"/>
      <c r="EF7199"/>
      <c r="EG7199"/>
      <c r="EH7199"/>
      <c r="EI7199"/>
      <c r="EJ7199"/>
      <c r="EK7199"/>
    </row>
    <row r="7200" spans="1:141" s="116" customFormat="1">
      <c r="A7200" s="136"/>
      <c r="CM7200" s="111"/>
      <c r="CQ7200" s="111"/>
      <c r="EF7200"/>
      <c r="EG7200"/>
      <c r="EH7200"/>
      <c r="EI7200"/>
      <c r="EJ7200"/>
      <c r="EK7200"/>
    </row>
    <row r="7201" spans="1:141" s="116" customFormat="1">
      <c r="A7201" s="136"/>
      <c r="CM7201" s="111"/>
      <c r="CQ7201" s="111"/>
      <c r="EF7201"/>
      <c r="EG7201"/>
      <c r="EH7201"/>
      <c r="EI7201"/>
      <c r="EJ7201"/>
      <c r="EK7201"/>
    </row>
    <row r="7202" spans="1:141" s="116" customFormat="1">
      <c r="A7202" s="136"/>
      <c r="CM7202" s="111"/>
      <c r="CQ7202" s="111"/>
      <c r="EF7202"/>
      <c r="EG7202"/>
      <c r="EH7202"/>
      <c r="EI7202"/>
      <c r="EJ7202"/>
      <c r="EK7202"/>
    </row>
    <row r="7203" spans="1:141" s="116" customFormat="1">
      <c r="A7203" s="136"/>
      <c r="CM7203" s="111"/>
      <c r="CQ7203" s="111"/>
      <c r="EF7203"/>
      <c r="EG7203"/>
      <c r="EH7203"/>
      <c r="EI7203"/>
      <c r="EJ7203"/>
      <c r="EK7203"/>
    </row>
    <row r="7204" spans="1:141" s="116" customFormat="1">
      <c r="A7204" s="136"/>
      <c r="CM7204" s="111"/>
      <c r="CQ7204" s="111"/>
      <c r="EF7204"/>
      <c r="EG7204"/>
      <c r="EH7204"/>
      <c r="EI7204"/>
      <c r="EJ7204"/>
      <c r="EK7204"/>
    </row>
    <row r="7205" spans="1:141" s="116" customFormat="1">
      <c r="A7205" s="136"/>
      <c r="CM7205" s="111"/>
      <c r="CQ7205" s="111"/>
      <c r="EF7205"/>
      <c r="EG7205"/>
      <c r="EH7205"/>
      <c r="EI7205"/>
      <c r="EJ7205"/>
      <c r="EK7205"/>
    </row>
    <row r="7206" spans="1:141" s="116" customFormat="1">
      <c r="A7206" s="136"/>
      <c r="CM7206" s="111"/>
      <c r="CQ7206" s="111"/>
      <c r="EF7206"/>
      <c r="EG7206"/>
      <c r="EH7206"/>
      <c r="EI7206"/>
      <c r="EJ7206"/>
      <c r="EK7206"/>
    </row>
    <row r="7207" spans="1:141" s="116" customFormat="1">
      <c r="A7207" s="136"/>
      <c r="CM7207" s="111"/>
      <c r="CQ7207" s="111"/>
      <c r="EF7207"/>
      <c r="EG7207"/>
      <c r="EH7207"/>
      <c r="EI7207"/>
      <c r="EJ7207"/>
      <c r="EK7207"/>
    </row>
    <row r="7208" spans="1:141" s="116" customFormat="1">
      <c r="A7208" s="136"/>
      <c r="CM7208" s="111"/>
      <c r="CQ7208" s="111"/>
      <c r="EF7208"/>
      <c r="EG7208"/>
      <c r="EH7208"/>
      <c r="EI7208"/>
      <c r="EJ7208"/>
      <c r="EK7208"/>
    </row>
    <row r="7209" spans="1:141" s="116" customFormat="1">
      <c r="A7209" s="136"/>
      <c r="CM7209" s="111"/>
      <c r="CQ7209" s="111"/>
      <c r="EF7209"/>
      <c r="EG7209"/>
      <c r="EH7209"/>
      <c r="EI7209"/>
      <c r="EJ7209"/>
      <c r="EK7209"/>
    </row>
    <row r="7210" spans="1:141" s="116" customFormat="1">
      <c r="A7210" s="136"/>
      <c r="CM7210" s="111"/>
      <c r="CQ7210" s="111"/>
      <c r="EF7210"/>
      <c r="EG7210"/>
      <c r="EH7210"/>
      <c r="EI7210"/>
      <c r="EJ7210"/>
      <c r="EK7210"/>
    </row>
    <row r="7211" spans="1:141" s="116" customFormat="1">
      <c r="A7211" s="136"/>
      <c r="CM7211" s="111"/>
      <c r="CQ7211" s="111"/>
      <c r="EF7211"/>
      <c r="EG7211"/>
      <c r="EH7211"/>
      <c r="EI7211"/>
      <c r="EJ7211"/>
      <c r="EK7211"/>
    </row>
    <row r="7212" spans="1:141" s="116" customFormat="1">
      <c r="A7212" s="136"/>
      <c r="CM7212" s="111"/>
      <c r="CQ7212" s="111"/>
      <c r="EF7212"/>
      <c r="EG7212"/>
      <c r="EH7212"/>
      <c r="EI7212"/>
      <c r="EJ7212"/>
      <c r="EK7212"/>
    </row>
    <row r="7213" spans="1:141" s="116" customFormat="1">
      <c r="A7213" s="136"/>
      <c r="CM7213" s="111"/>
      <c r="CQ7213" s="111"/>
      <c r="EF7213"/>
      <c r="EG7213"/>
      <c r="EH7213"/>
      <c r="EI7213"/>
      <c r="EJ7213"/>
      <c r="EK7213"/>
    </row>
    <row r="7214" spans="1:141" s="116" customFormat="1">
      <c r="A7214" s="136"/>
      <c r="CM7214" s="111"/>
      <c r="CQ7214" s="111"/>
      <c r="EF7214"/>
      <c r="EG7214"/>
      <c r="EH7214"/>
      <c r="EI7214"/>
      <c r="EJ7214"/>
      <c r="EK7214"/>
    </row>
    <row r="7215" spans="1:141" s="116" customFormat="1">
      <c r="A7215" s="136"/>
      <c r="CM7215" s="111"/>
      <c r="CQ7215" s="111"/>
      <c r="EF7215"/>
      <c r="EG7215"/>
      <c r="EH7215"/>
      <c r="EI7215"/>
      <c r="EJ7215"/>
      <c r="EK7215"/>
    </row>
    <row r="7216" spans="1:141" s="116" customFormat="1">
      <c r="A7216" s="136"/>
      <c r="CM7216" s="111"/>
      <c r="CQ7216" s="111"/>
      <c r="EF7216"/>
      <c r="EG7216"/>
      <c r="EH7216"/>
      <c r="EI7216"/>
      <c r="EJ7216"/>
      <c r="EK7216"/>
    </row>
    <row r="7217" spans="1:141" s="116" customFormat="1">
      <c r="A7217" s="136"/>
      <c r="CM7217" s="111"/>
      <c r="CQ7217" s="111"/>
      <c r="EF7217"/>
      <c r="EG7217"/>
      <c r="EH7217"/>
      <c r="EI7217"/>
      <c r="EJ7217"/>
      <c r="EK7217"/>
    </row>
    <row r="7218" spans="1:141" s="116" customFormat="1">
      <c r="A7218" s="136"/>
      <c r="CM7218" s="111"/>
      <c r="CQ7218" s="111"/>
      <c r="EF7218"/>
      <c r="EG7218"/>
      <c r="EH7218"/>
      <c r="EI7218"/>
      <c r="EJ7218"/>
      <c r="EK7218"/>
    </row>
    <row r="7219" spans="1:141" s="116" customFormat="1">
      <c r="A7219" s="136"/>
      <c r="CM7219" s="111"/>
      <c r="CQ7219" s="111"/>
      <c r="EF7219"/>
      <c r="EG7219"/>
      <c r="EH7219"/>
      <c r="EI7219"/>
      <c r="EJ7219"/>
      <c r="EK7219"/>
    </row>
    <row r="7220" spans="1:141" s="116" customFormat="1">
      <c r="A7220" s="136"/>
      <c r="CM7220" s="111"/>
      <c r="CQ7220" s="111"/>
      <c r="EF7220"/>
      <c r="EG7220"/>
      <c r="EH7220"/>
      <c r="EI7220"/>
      <c r="EJ7220"/>
      <c r="EK7220"/>
    </row>
    <row r="7221" spans="1:141" s="116" customFormat="1">
      <c r="A7221" s="136"/>
      <c r="CM7221" s="111"/>
      <c r="CQ7221" s="111"/>
      <c r="EF7221"/>
      <c r="EG7221"/>
      <c r="EH7221"/>
      <c r="EI7221"/>
      <c r="EJ7221"/>
      <c r="EK7221"/>
    </row>
    <row r="7222" spans="1:141" s="116" customFormat="1">
      <c r="A7222" s="136"/>
      <c r="CM7222" s="111"/>
      <c r="CQ7222" s="111"/>
      <c r="EF7222"/>
      <c r="EG7222"/>
      <c r="EH7222"/>
      <c r="EI7222"/>
      <c r="EJ7222"/>
      <c r="EK7222"/>
    </row>
    <row r="7223" spans="1:141" s="116" customFormat="1">
      <c r="A7223" s="136"/>
      <c r="CM7223" s="111"/>
      <c r="CQ7223" s="111"/>
      <c r="EF7223"/>
      <c r="EG7223"/>
      <c r="EH7223"/>
      <c r="EI7223"/>
      <c r="EJ7223"/>
      <c r="EK7223"/>
    </row>
    <row r="7224" spans="1:141" s="116" customFormat="1">
      <c r="A7224" s="136"/>
      <c r="CM7224" s="111"/>
      <c r="CQ7224" s="111"/>
      <c r="EF7224"/>
      <c r="EG7224"/>
      <c r="EH7224"/>
      <c r="EI7224"/>
      <c r="EJ7224"/>
      <c r="EK7224"/>
    </row>
    <row r="7225" spans="1:141" s="116" customFormat="1">
      <c r="A7225" s="136"/>
      <c r="CM7225" s="111"/>
      <c r="CQ7225" s="111"/>
      <c r="EF7225"/>
      <c r="EG7225"/>
      <c r="EH7225"/>
      <c r="EI7225"/>
      <c r="EJ7225"/>
      <c r="EK7225"/>
    </row>
    <row r="7226" spans="1:141" s="116" customFormat="1">
      <c r="A7226" s="136"/>
      <c r="CM7226" s="111"/>
      <c r="CQ7226" s="111"/>
      <c r="EF7226"/>
      <c r="EG7226"/>
      <c r="EH7226"/>
      <c r="EI7226"/>
      <c r="EJ7226"/>
      <c r="EK7226"/>
    </row>
    <row r="7227" spans="1:141" s="116" customFormat="1">
      <c r="A7227" s="136"/>
      <c r="CM7227" s="111"/>
      <c r="CQ7227" s="111"/>
      <c r="EF7227"/>
      <c r="EG7227"/>
      <c r="EH7227"/>
      <c r="EI7227"/>
      <c r="EJ7227"/>
      <c r="EK7227"/>
    </row>
    <row r="7228" spans="1:141" s="116" customFormat="1">
      <c r="A7228" s="136"/>
      <c r="CM7228" s="111"/>
      <c r="CQ7228" s="111"/>
      <c r="EF7228"/>
      <c r="EG7228"/>
      <c r="EH7228"/>
      <c r="EI7228"/>
      <c r="EJ7228"/>
      <c r="EK7228"/>
    </row>
    <row r="7229" spans="1:141" s="116" customFormat="1">
      <c r="A7229" s="136"/>
      <c r="CM7229" s="111"/>
      <c r="CQ7229" s="111"/>
      <c r="EF7229"/>
      <c r="EG7229"/>
      <c r="EH7229"/>
      <c r="EI7229"/>
      <c r="EJ7229"/>
      <c r="EK7229"/>
    </row>
    <row r="7230" spans="1:141" s="116" customFormat="1">
      <c r="A7230" s="136"/>
      <c r="CM7230" s="111"/>
      <c r="CQ7230" s="111"/>
      <c r="EF7230"/>
      <c r="EG7230"/>
      <c r="EH7230"/>
      <c r="EI7230"/>
      <c r="EJ7230"/>
      <c r="EK7230"/>
    </row>
    <row r="7231" spans="1:141" s="116" customFormat="1">
      <c r="A7231" s="136"/>
      <c r="CM7231" s="111"/>
      <c r="CQ7231" s="111"/>
      <c r="EF7231"/>
      <c r="EG7231"/>
      <c r="EH7231"/>
      <c r="EI7231"/>
      <c r="EJ7231"/>
      <c r="EK7231"/>
    </row>
    <row r="7232" spans="1:141" s="116" customFormat="1">
      <c r="A7232" s="136"/>
      <c r="CM7232" s="111"/>
      <c r="CQ7232" s="111"/>
      <c r="EF7232"/>
      <c r="EG7232"/>
      <c r="EH7232"/>
      <c r="EI7232"/>
      <c r="EJ7232"/>
      <c r="EK7232"/>
    </row>
    <row r="7233" spans="1:141" s="116" customFormat="1">
      <c r="A7233" s="136"/>
      <c r="CM7233" s="111"/>
      <c r="CQ7233" s="111"/>
      <c r="EF7233"/>
      <c r="EG7233"/>
      <c r="EH7233"/>
      <c r="EI7233"/>
      <c r="EJ7233"/>
      <c r="EK7233"/>
    </row>
    <row r="7234" spans="1:141" s="116" customFormat="1">
      <c r="A7234" s="136"/>
      <c r="CM7234" s="111"/>
      <c r="CQ7234" s="111"/>
      <c r="EF7234"/>
      <c r="EG7234"/>
      <c r="EH7234"/>
      <c r="EI7234"/>
      <c r="EJ7234"/>
      <c r="EK7234"/>
    </row>
    <row r="7235" spans="1:141" s="116" customFormat="1">
      <c r="A7235" s="136"/>
      <c r="CM7235" s="111"/>
      <c r="CQ7235" s="111"/>
      <c r="EF7235"/>
      <c r="EG7235"/>
      <c r="EH7235"/>
      <c r="EI7235"/>
      <c r="EJ7235"/>
      <c r="EK7235"/>
    </row>
    <row r="7236" spans="1:141" s="116" customFormat="1">
      <c r="A7236" s="136"/>
      <c r="CM7236" s="111"/>
      <c r="CQ7236" s="111"/>
      <c r="EF7236"/>
      <c r="EG7236"/>
      <c r="EH7236"/>
      <c r="EI7236"/>
      <c r="EJ7236"/>
      <c r="EK7236"/>
    </row>
    <row r="7237" spans="1:141" s="116" customFormat="1">
      <c r="A7237" s="136"/>
      <c r="CM7237" s="111"/>
      <c r="CQ7237" s="111"/>
      <c r="EF7237"/>
      <c r="EG7237"/>
      <c r="EH7237"/>
      <c r="EI7237"/>
      <c r="EJ7237"/>
      <c r="EK7237"/>
    </row>
    <row r="7238" spans="1:141" s="116" customFormat="1">
      <c r="A7238" s="136"/>
      <c r="CM7238" s="111"/>
      <c r="CQ7238" s="111"/>
      <c r="EF7238"/>
      <c r="EG7238"/>
      <c r="EH7238"/>
      <c r="EI7238"/>
      <c r="EJ7238"/>
      <c r="EK7238"/>
    </row>
    <row r="7239" spans="1:141" s="116" customFormat="1">
      <c r="A7239" s="136"/>
      <c r="CM7239" s="111"/>
      <c r="CQ7239" s="111"/>
      <c r="EF7239"/>
      <c r="EG7239"/>
      <c r="EH7239"/>
      <c r="EI7239"/>
      <c r="EJ7239"/>
      <c r="EK7239"/>
    </row>
    <row r="7240" spans="1:141" s="116" customFormat="1">
      <c r="A7240" s="136"/>
      <c r="CM7240" s="111"/>
      <c r="CQ7240" s="111"/>
      <c r="EF7240"/>
      <c r="EG7240"/>
      <c r="EH7240"/>
      <c r="EI7240"/>
      <c r="EJ7240"/>
      <c r="EK7240"/>
    </row>
    <row r="7241" spans="1:141" s="116" customFormat="1">
      <c r="A7241" s="136"/>
      <c r="CM7241" s="111"/>
      <c r="CQ7241" s="111"/>
      <c r="EF7241"/>
      <c r="EG7241"/>
      <c r="EH7241"/>
      <c r="EI7241"/>
      <c r="EJ7241"/>
      <c r="EK7241"/>
    </row>
    <row r="7242" spans="1:141" s="116" customFormat="1">
      <c r="A7242" s="136"/>
      <c r="CM7242" s="111"/>
      <c r="CQ7242" s="111"/>
      <c r="EF7242"/>
      <c r="EG7242"/>
      <c r="EH7242"/>
      <c r="EI7242"/>
      <c r="EJ7242"/>
      <c r="EK7242"/>
    </row>
    <row r="7243" spans="1:141" s="116" customFormat="1">
      <c r="A7243" s="136"/>
      <c r="CM7243" s="111"/>
      <c r="CQ7243" s="111"/>
      <c r="EF7243"/>
      <c r="EG7243"/>
      <c r="EH7243"/>
      <c r="EI7243"/>
      <c r="EJ7243"/>
      <c r="EK7243"/>
    </row>
    <row r="7244" spans="1:141" s="116" customFormat="1">
      <c r="A7244" s="136"/>
      <c r="CM7244" s="111"/>
      <c r="CQ7244" s="111"/>
      <c r="EF7244"/>
      <c r="EG7244"/>
      <c r="EH7244"/>
      <c r="EI7244"/>
      <c r="EJ7244"/>
      <c r="EK7244"/>
    </row>
    <row r="7245" spans="1:141" s="116" customFormat="1">
      <c r="A7245" s="136"/>
      <c r="CM7245" s="111"/>
      <c r="CQ7245" s="111"/>
      <c r="EF7245"/>
      <c r="EG7245"/>
      <c r="EH7245"/>
      <c r="EI7245"/>
      <c r="EJ7245"/>
      <c r="EK7245"/>
    </row>
    <row r="7246" spans="1:141" s="116" customFormat="1">
      <c r="A7246" s="136"/>
      <c r="CM7246" s="111"/>
      <c r="CQ7246" s="111"/>
      <c r="EF7246"/>
      <c r="EG7246"/>
      <c r="EH7246"/>
      <c r="EI7246"/>
      <c r="EJ7246"/>
      <c r="EK7246"/>
    </row>
    <row r="7247" spans="1:141" s="116" customFormat="1">
      <c r="A7247" s="136"/>
      <c r="CM7247" s="111"/>
      <c r="CQ7247" s="111"/>
      <c r="EF7247"/>
      <c r="EG7247"/>
      <c r="EH7247"/>
      <c r="EI7247"/>
      <c r="EJ7247"/>
      <c r="EK7247"/>
    </row>
    <row r="7248" spans="1:141" s="116" customFormat="1">
      <c r="A7248" s="136"/>
      <c r="CM7248" s="111"/>
      <c r="CQ7248" s="111"/>
      <c r="EF7248"/>
      <c r="EG7248"/>
      <c r="EH7248"/>
      <c r="EI7248"/>
      <c r="EJ7248"/>
      <c r="EK7248"/>
    </row>
    <row r="7249" spans="1:141" s="116" customFormat="1">
      <c r="A7249" s="136"/>
      <c r="CM7249" s="111"/>
      <c r="CQ7249" s="111"/>
      <c r="EF7249"/>
      <c r="EG7249"/>
      <c r="EH7249"/>
      <c r="EI7249"/>
      <c r="EJ7249"/>
      <c r="EK7249"/>
    </row>
    <row r="7250" spans="1:141" s="116" customFormat="1">
      <c r="A7250" s="136"/>
      <c r="CM7250" s="111"/>
      <c r="CQ7250" s="111"/>
      <c r="EF7250"/>
      <c r="EG7250"/>
      <c r="EH7250"/>
      <c r="EI7250"/>
      <c r="EJ7250"/>
      <c r="EK7250"/>
    </row>
    <row r="7251" spans="1:141" s="116" customFormat="1">
      <c r="A7251" s="136"/>
      <c r="CM7251" s="111"/>
      <c r="CQ7251" s="111"/>
      <c r="EF7251"/>
      <c r="EG7251"/>
      <c r="EH7251"/>
      <c r="EI7251"/>
      <c r="EJ7251"/>
      <c r="EK7251"/>
    </row>
    <row r="7252" spans="1:141" s="116" customFormat="1">
      <c r="A7252" s="136"/>
      <c r="CM7252" s="111"/>
      <c r="CQ7252" s="111"/>
      <c r="EF7252"/>
      <c r="EG7252"/>
      <c r="EH7252"/>
      <c r="EI7252"/>
      <c r="EJ7252"/>
      <c r="EK7252"/>
    </row>
    <row r="7253" spans="1:141" s="116" customFormat="1">
      <c r="A7253" s="136"/>
      <c r="CM7253" s="111"/>
      <c r="CQ7253" s="111"/>
      <c r="EF7253"/>
      <c r="EG7253"/>
      <c r="EH7253"/>
      <c r="EI7253"/>
      <c r="EJ7253"/>
      <c r="EK7253"/>
    </row>
    <row r="7254" spans="1:141" s="116" customFormat="1">
      <c r="A7254" s="136"/>
      <c r="CM7254" s="111"/>
      <c r="CQ7254" s="111"/>
      <c r="EF7254"/>
      <c r="EG7254"/>
      <c r="EH7254"/>
      <c r="EI7254"/>
      <c r="EJ7254"/>
      <c r="EK7254"/>
    </row>
    <row r="7255" spans="1:141" s="116" customFormat="1">
      <c r="A7255" s="136"/>
      <c r="CM7255" s="111"/>
      <c r="CQ7255" s="111"/>
      <c r="EF7255"/>
      <c r="EG7255"/>
      <c r="EH7255"/>
      <c r="EI7255"/>
      <c r="EJ7255"/>
      <c r="EK7255"/>
    </row>
    <row r="7256" spans="1:141" s="116" customFormat="1">
      <c r="A7256" s="136"/>
      <c r="CM7256" s="111"/>
      <c r="CQ7256" s="111"/>
      <c r="EF7256"/>
      <c r="EG7256"/>
      <c r="EH7256"/>
      <c r="EI7256"/>
      <c r="EJ7256"/>
      <c r="EK7256"/>
    </row>
    <row r="7257" spans="1:141" s="116" customFormat="1">
      <c r="A7257" s="136"/>
      <c r="CM7257" s="111"/>
      <c r="CQ7257" s="111"/>
      <c r="EF7257"/>
      <c r="EG7257"/>
      <c r="EH7257"/>
      <c r="EI7257"/>
      <c r="EJ7257"/>
      <c r="EK7257"/>
    </row>
    <row r="7258" spans="1:141" s="116" customFormat="1">
      <c r="A7258" s="136"/>
      <c r="CM7258" s="111"/>
      <c r="CQ7258" s="111"/>
      <c r="EF7258"/>
      <c r="EG7258"/>
      <c r="EH7258"/>
      <c r="EI7258"/>
      <c r="EJ7258"/>
      <c r="EK7258"/>
    </row>
    <row r="7259" spans="1:141" s="116" customFormat="1">
      <c r="A7259" s="136"/>
      <c r="CM7259" s="111"/>
      <c r="CQ7259" s="111"/>
      <c r="EF7259"/>
      <c r="EG7259"/>
      <c r="EH7259"/>
      <c r="EI7259"/>
      <c r="EJ7259"/>
      <c r="EK7259"/>
    </row>
    <row r="7260" spans="1:141" s="116" customFormat="1">
      <c r="A7260" s="136"/>
      <c r="CM7260" s="111"/>
      <c r="CQ7260" s="111"/>
      <c r="EF7260"/>
      <c r="EG7260"/>
      <c r="EH7260"/>
      <c r="EI7260"/>
      <c r="EJ7260"/>
      <c r="EK7260"/>
    </row>
    <row r="7261" spans="1:141" s="116" customFormat="1">
      <c r="A7261" s="136"/>
      <c r="CM7261" s="111"/>
      <c r="CQ7261" s="111"/>
      <c r="EF7261"/>
      <c r="EG7261"/>
      <c r="EH7261"/>
      <c r="EI7261"/>
      <c r="EJ7261"/>
      <c r="EK7261"/>
    </row>
    <row r="7262" spans="1:141" s="116" customFormat="1">
      <c r="A7262" s="136"/>
      <c r="CM7262" s="111"/>
      <c r="CQ7262" s="111"/>
      <c r="EF7262"/>
      <c r="EG7262"/>
      <c r="EH7262"/>
      <c r="EI7262"/>
      <c r="EJ7262"/>
      <c r="EK7262"/>
    </row>
    <row r="7263" spans="1:141" s="116" customFormat="1">
      <c r="A7263" s="136"/>
      <c r="CM7263" s="111"/>
      <c r="CQ7263" s="111"/>
      <c r="EF7263"/>
      <c r="EG7263"/>
      <c r="EH7263"/>
      <c r="EI7263"/>
      <c r="EJ7263"/>
      <c r="EK7263"/>
    </row>
    <row r="7264" spans="1:141" s="116" customFormat="1">
      <c r="A7264" s="136"/>
      <c r="CM7264" s="111"/>
      <c r="CQ7264" s="111"/>
      <c r="EF7264"/>
      <c r="EG7264"/>
      <c r="EH7264"/>
      <c r="EI7264"/>
      <c r="EJ7264"/>
      <c r="EK7264"/>
    </row>
    <row r="7265" spans="1:141" s="116" customFormat="1">
      <c r="A7265" s="136"/>
      <c r="CM7265" s="111"/>
      <c r="CQ7265" s="111"/>
      <c r="EF7265"/>
      <c r="EG7265"/>
      <c r="EH7265"/>
      <c r="EI7265"/>
      <c r="EJ7265"/>
      <c r="EK7265"/>
    </row>
    <row r="7266" spans="1:141" s="116" customFormat="1">
      <c r="A7266" s="136"/>
      <c r="CM7266" s="111"/>
      <c r="CQ7266" s="111"/>
      <c r="EF7266"/>
      <c r="EG7266"/>
      <c r="EH7266"/>
      <c r="EI7266"/>
      <c r="EJ7266"/>
      <c r="EK7266"/>
    </row>
    <row r="7267" spans="1:141" s="116" customFormat="1">
      <c r="A7267" s="136"/>
      <c r="CM7267" s="111"/>
      <c r="CQ7267" s="111"/>
      <c r="EF7267"/>
      <c r="EG7267"/>
      <c r="EH7267"/>
      <c r="EI7267"/>
      <c r="EJ7267"/>
      <c r="EK7267"/>
    </row>
    <row r="7268" spans="1:141" s="116" customFormat="1">
      <c r="A7268" s="136"/>
      <c r="CM7268" s="111"/>
      <c r="CQ7268" s="111"/>
      <c r="EF7268"/>
      <c r="EG7268"/>
      <c r="EH7268"/>
      <c r="EI7268"/>
      <c r="EJ7268"/>
      <c r="EK7268"/>
    </row>
    <row r="7269" spans="1:141" s="116" customFormat="1">
      <c r="A7269" s="136"/>
      <c r="CM7269" s="111"/>
      <c r="CQ7269" s="111"/>
      <c r="EF7269"/>
      <c r="EG7269"/>
      <c r="EH7269"/>
      <c r="EI7269"/>
      <c r="EJ7269"/>
      <c r="EK7269"/>
    </row>
    <row r="7270" spans="1:141" s="116" customFormat="1">
      <c r="A7270" s="136"/>
      <c r="CM7270" s="111"/>
      <c r="CQ7270" s="111"/>
      <c r="EF7270"/>
      <c r="EG7270"/>
      <c r="EH7270"/>
      <c r="EI7270"/>
      <c r="EJ7270"/>
      <c r="EK7270"/>
    </row>
    <row r="7271" spans="1:141" s="116" customFormat="1">
      <c r="A7271" s="136"/>
      <c r="CM7271" s="111"/>
      <c r="CQ7271" s="111"/>
      <c r="EF7271"/>
      <c r="EG7271"/>
      <c r="EH7271"/>
      <c r="EI7271"/>
      <c r="EJ7271"/>
      <c r="EK7271"/>
    </row>
    <row r="7272" spans="1:141" s="116" customFormat="1">
      <c r="A7272" s="136"/>
      <c r="CM7272" s="111"/>
      <c r="CQ7272" s="111"/>
      <c r="EF7272"/>
      <c r="EG7272"/>
      <c r="EH7272"/>
      <c r="EI7272"/>
      <c r="EJ7272"/>
      <c r="EK7272"/>
    </row>
    <row r="7273" spans="1:141" s="116" customFormat="1">
      <c r="A7273" s="136"/>
      <c r="CM7273" s="111"/>
      <c r="CQ7273" s="111"/>
      <c r="EF7273"/>
      <c r="EG7273"/>
      <c r="EH7273"/>
      <c r="EI7273"/>
      <c r="EJ7273"/>
      <c r="EK7273"/>
    </row>
    <row r="7274" spans="1:141" s="116" customFormat="1">
      <c r="A7274" s="136"/>
      <c r="CM7274" s="111"/>
      <c r="CQ7274" s="111"/>
      <c r="EF7274"/>
      <c r="EG7274"/>
      <c r="EH7274"/>
      <c r="EI7274"/>
      <c r="EJ7274"/>
      <c r="EK7274"/>
    </row>
    <row r="7275" spans="1:141" s="116" customFormat="1">
      <c r="A7275" s="136"/>
      <c r="CM7275" s="111"/>
      <c r="CQ7275" s="111"/>
      <c r="EF7275"/>
      <c r="EG7275"/>
      <c r="EH7275"/>
      <c r="EI7275"/>
      <c r="EJ7275"/>
      <c r="EK7275"/>
    </row>
    <row r="7276" spans="1:141" s="116" customFormat="1">
      <c r="A7276" s="136"/>
      <c r="CM7276" s="111"/>
      <c r="CQ7276" s="111"/>
      <c r="EF7276"/>
      <c r="EG7276"/>
      <c r="EH7276"/>
      <c r="EI7276"/>
      <c r="EJ7276"/>
      <c r="EK7276"/>
    </row>
    <row r="7277" spans="1:141" s="116" customFormat="1">
      <c r="A7277" s="136"/>
      <c r="CM7277" s="111"/>
      <c r="CQ7277" s="111"/>
      <c r="EF7277"/>
      <c r="EG7277"/>
      <c r="EH7277"/>
      <c r="EI7277"/>
      <c r="EJ7277"/>
      <c r="EK7277"/>
    </row>
    <row r="7278" spans="1:141" s="116" customFormat="1">
      <c r="A7278" s="136"/>
      <c r="CM7278" s="111"/>
      <c r="CQ7278" s="111"/>
      <c r="EF7278"/>
      <c r="EG7278"/>
      <c r="EH7278"/>
      <c r="EI7278"/>
      <c r="EJ7278"/>
      <c r="EK7278"/>
    </row>
    <row r="7279" spans="1:141" s="116" customFormat="1">
      <c r="A7279" s="136"/>
      <c r="CM7279" s="111"/>
      <c r="CQ7279" s="111"/>
      <c r="EF7279"/>
      <c r="EG7279"/>
      <c r="EH7279"/>
      <c r="EI7279"/>
      <c r="EJ7279"/>
      <c r="EK7279"/>
    </row>
    <row r="7280" spans="1:141" s="116" customFormat="1">
      <c r="A7280" s="136"/>
      <c r="CM7280" s="111"/>
      <c r="CQ7280" s="111"/>
      <c r="EF7280"/>
      <c r="EG7280"/>
      <c r="EH7280"/>
      <c r="EI7280"/>
      <c r="EJ7280"/>
      <c r="EK7280"/>
    </row>
    <row r="7281" spans="1:141" s="116" customFormat="1">
      <c r="A7281" s="136"/>
      <c r="CM7281" s="111"/>
      <c r="CQ7281" s="111"/>
      <c r="EF7281"/>
      <c r="EG7281"/>
      <c r="EH7281"/>
      <c r="EI7281"/>
      <c r="EJ7281"/>
      <c r="EK7281"/>
    </row>
    <row r="7282" spans="1:141" s="116" customFormat="1">
      <c r="A7282" s="136"/>
      <c r="CM7282" s="111"/>
      <c r="CQ7282" s="111"/>
      <c r="EF7282"/>
      <c r="EG7282"/>
      <c r="EH7282"/>
      <c r="EI7282"/>
      <c r="EJ7282"/>
      <c r="EK7282"/>
    </row>
    <row r="7283" spans="1:141" s="116" customFormat="1">
      <c r="A7283" s="136"/>
      <c r="CM7283" s="111"/>
      <c r="CQ7283" s="111"/>
      <c r="EF7283"/>
      <c r="EG7283"/>
      <c r="EH7283"/>
      <c r="EI7283"/>
      <c r="EJ7283"/>
      <c r="EK7283"/>
    </row>
    <row r="7284" spans="1:141" s="116" customFormat="1">
      <c r="A7284" s="136"/>
      <c r="CM7284" s="111"/>
      <c r="CQ7284" s="111"/>
      <c r="EF7284"/>
      <c r="EG7284"/>
      <c r="EH7284"/>
      <c r="EI7284"/>
      <c r="EJ7284"/>
      <c r="EK7284"/>
    </row>
    <row r="7285" spans="1:141" s="116" customFormat="1">
      <c r="A7285" s="136"/>
      <c r="CM7285" s="111"/>
      <c r="CQ7285" s="111"/>
      <c r="EF7285"/>
      <c r="EG7285"/>
      <c r="EH7285"/>
      <c r="EI7285"/>
      <c r="EJ7285"/>
      <c r="EK7285"/>
    </row>
    <row r="7286" spans="1:141" s="116" customFormat="1">
      <c r="A7286" s="136"/>
      <c r="CM7286" s="111"/>
      <c r="CQ7286" s="111"/>
      <c r="EF7286"/>
      <c r="EG7286"/>
      <c r="EH7286"/>
      <c r="EI7286"/>
      <c r="EJ7286"/>
      <c r="EK7286"/>
    </row>
    <row r="7287" spans="1:141" s="116" customFormat="1">
      <c r="A7287" s="136"/>
      <c r="CM7287" s="111"/>
      <c r="CQ7287" s="111"/>
      <c r="EF7287"/>
      <c r="EG7287"/>
      <c r="EH7287"/>
      <c r="EI7287"/>
      <c r="EJ7287"/>
      <c r="EK7287"/>
    </row>
    <row r="7288" spans="1:141" s="116" customFormat="1">
      <c r="A7288" s="136"/>
      <c r="CM7288" s="111"/>
      <c r="CQ7288" s="111"/>
      <c r="EF7288"/>
      <c r="EG7288"/>
      <c r="EH7288"/>
      <c r="EI7288"/>
      <c r="EJ7288"/>
      <c r="EK7288"/>
    </row>
    <row r="7289" spans="1:141" s="116" customFormat="1">
      <c r="A7289" s="136"/>
      <c r="CM7289" s="111"/>
      <c r="CQ7289" s="111"/>
      <c r="EF7289"/>
      <c r="EG7289"/>
      <c r="EH7289"/>
      <c r="EI7289"/>
      <c r="EJ7289"/>
      <c r="EK7289"/>
    </row>
    <row r="7290" spans="1:141" s="116" customFormat="1">
      <c r="A7290" s="136"/>
      <c r="CM7290" s="111"/>
      <c r="CQ7290" s="111"/>
      <c r="EF7290"/>
      <c r="EG7290"/>
      <c r="EH7290"/>
      <c r="EI7290"/>
      <c r="EJ7290"/>
      <c r="EK7290"/>
    </row>
    <row r="7291" spans="1:141" s="116" customFormat="1">
      <c r="A7291" s="136"/>
      <c r="CM7291" s="111"/>
      <c r="CQ7291" s="111"/>
      <c r="EF7291"/>
      <c r="EG7291"/>
      <c r="EH7291"/>
      <c r="EI7291"/>
      <c r="EJ7291"/>
      <c r="EK7291"/>
    </row>
    <row r="7292" spans="1:141" s="116" customFormat="1">
      <c r="A7292" s="136"/>
      <c r="CM7292" s="111"/>
      <c r="CQ7292" s="111"/>
      <c r="EF7292"/>
      <c r="EG7292"/>
      <c r="EH7292"/>
      <c r="EI7292"/>
      <c r="EJ7292"/>
      <c r="EK7292"/>
    </row>
    <row r="7293" spans="1:141" s="116" customFormat="1">
      <c r="A7293" s="136"/>
      <c r="CM7293" s="111"/>
      <c r="CQ7293" s="111"/>
      <c r="EF7293"/>
      <c r="EG7293"/>
      <c r="EH7293"/>
      <c r="EI7293"/>
      <c r="EJ7293"/>
      <c r="EK7293"/>
    </row>
    <row r="7294" spans="1:141" s="116" customFormat="1">
      <c r="A7294" s="136"/>
      <c r="CM7294" s="111"/>
      <c r="CQ7294" s="111"/>
      <c r="EF7294"/>
      <c r="EG7294"/>
      <c r="EH7294"/>
      <c r="EI7294"/>
      <c r="EJ7294"/>
      <c r="EK7294"/>
    </row>
    <row r="7295" spans="1:141" s="116" customFormat="1">
      <c r="A7295" s="136"/>
      <c r="CM7295" s="111"/>
      <c r="CQ7295" s="111"/>
      <c r="EF7295"/>
      <c r="EG7295"/>
      <c r="EH7295"/>
      <c r="EI7295"/>
      <c r="EJ7295"/>
      <c r="EK7295"/>
    </row>
    <row r="7296" spans="1:141" s="116" customFormat="1">
      <c r="A7296" s="136"/>
      <c r="CM7296" s="111"/>
      <c r="CQ7296" s="111"/>
      <c r="EF7296"/>
      <c r="EG7296"/>
      <c r="EH7296"/>
      <c r="EI7296"/>
      <c r="EJ7296"/>
      <c r="EK7296"/>
    </row>
    <row r="7297" spans="1:141" s="116" customFormat="1">
      <c r="A7297" s="136"/>
      <c r="CM7297" s="111"/>
      <c r="CQ7297" s="111"/>
      <c r="EF7297"/>
      <c r="EG7297"/>
      <c r="EH7297"/>
      <c r="EI7297"/>
      <c r="EJ7297"/>
      <c r="EK7297"/>
    </row>
    <row r="7298" spans="1:141" s="116" customFormat="1">
      <c r="A7298" s="136"/>
      <c r="CM7298" s="111"/>
      <c r="CQ7298" s="111"/>
      <c r="EF7298"/>
      <c r="EG7298"/>
      <c r="EH7298"/>
      <c r="EI7298"/>
      <c r="EJ7298"/>
      <c r="EK7298"/>
    </row>
    <row r="7299" spans="1:141" s="116" customFormat="1">
      <c r="A7299" s="136"/>
      <c r="CM7299" s="111"/>
      <c r="CQ7299" s="111"/>
      <c r="EF7299"/>
      <c r="EG7299"/>
      <c r="EH7299"/>
      <c r="EI7299"/>
      <c r="EJ7299"/>
      <c r="EK7299"/>
    </row>
    <row r="7300" spans="1:141" s="116" customFormat="1">
      <c r="A7300" s="136"/>
      <c r="CM7300" s="111"/>
      <c r="CQ7300" s="111"/>
      <c r="EF7300"/>
      <c r="EG7300"/>
      <c r="EH7300"/>
      <c r="EI7300"/>
      <c r="EJ7300"/>
      <c r="EK7300"/>
    </row>
    <row r="7301" spans="1:141" s="116" customFormat="1">
      <c r="A7301" s="136"/>
      <c r="CM7301" s="111"/>
      <c r="CQ7301" s="111"/>
      <c r="EF7301"/>
      <c r="EG7301"/>
      <c r="EH7301"/>
      <c r="EI7301"/>
      <c r="EJ7301"/>
      <c r="EK7301"/>
    </row>
    <row r="7302" spans="1:141" s="116" customFormat="1">
      <c r="A7302" s="136"/>
      <c r="CM7302" s="111"/>
      <c r="CQ7302" s="111"/>
      <c r="EF7302"/>
      <c r="EG7302"/>
      <c r="EH7302"/>
      <c r="EI7302"/>
      <c r="EJ7302"/>
      <c r="EK7302"/>
    </row>
    <row r="7303" spans="1:141" s="116" customFormat="1">
      <c r="A7303" s="136"/>
      <c r="CM7303" s="111"/>
      <c r="CQ7303" s="111"/>
      <c r="EF7303"/>
      <c r="EG7303"/>
      <c r="EH7303"/>
      <c r="EI7303"/>
      <c r="EJ7303"/>
      <c r="EK7303"/>
    </row>
    <row r="7304" spans="1:141" s="116" customFormat="1">
      <c r="A7304" s="136"/>
      <c r="CM7304" s="111"/>
      <c r="CQ7304" s="111"/>
      <c r="EF7304"/>
      <c r="EG7304"/>
      <c r="EH7304"/>
      <c r="EI7304"/>
      <c r="EJ7304"/>
      <c r="EK7304"/>
    </row>
    <row r="7305" spans="1:141" s="116" customFormat="1">
      <c r="A7305" s="136"/>
      <c r="CM7305" s="111"/>
      <c r="CQ7305" s="111"/>
      <c r="EF7305"/>
      <c r="EG7305"/>
      <c r="EH7305"/>
      <c r="EI7305"/>
      <c r="EJ7305"/>
      <c r="EK7305"/>
    </row>
    <row r="7306" spans="1:141" s="116" customFormat="1">
      <c r="A7306" s="136"/>
      <c r="CM7306" s="111"/>
      <c r="CQ7306" s="111"/>
      <c r="EF7306"/>
      <c r="EG7306"/>
      <c r="EH7306"/>
      <c r="EI7306"/>
      <c r="EJ7306"/>
      <c r="EK7306"/>
    </row>
    <row r="7307" spans="1:141" s="116" customFormat="1">
      <c r="A7307" s="136"/>
      <c r="CM7307" s="111"/>
      <c r="CQ7307" s="111"/>
      <c r="EF7307"/>
      <c r="EG7307"/>
      <c r="EH7307"/>
      <c r="EI7307"/>
      <c r="EJ7307"/>
      <c r="EK7307"/>
    </row>
    <row r="7308" spans="1:141" s="116" customFormat="1">
      <c r="A7308" s="136"/>
      <c r="CM7308" s="111"/>
      <c r="CQ7308" s="111"/>
      <c r="EF7308"/>
      <c r="EG7308"/>
      <c r="EH7308"/>
      <c r="EI7308"/>
      <c r="EJ7308"/>
      <c r="EK7308"/>
    </row>
    <row r="7309" spans="1:141" s="116" customFormat="1">
      <c r="A7309" s="136"/>
      <c r="CM7309" s="111"/>
      <c r="CQ7309" s="111"/>
      <c r="EF7309"/>
      <c r="EG7309"/>
      <c r="EH7309"/>
      <c r="EI7309"/>
      <c r="EJ7309"/>
      <c r="EK7309"/>
    </row>
    <row r="7310" spans="1:141" s="116" customFormat="1">
      <c r="A7310" s="136"/>
      <c r="CM7310" s="111"/>
      <c r="CQ7310" s="111"/>
      <c r="EF7310"/>
      <c r="EG7310"/>
      <c r="EH7310"/>
      <c r="EI7310"/>
      <c r="EJ7310"/>
      <c r="EK7310"/>
    </row>
    <row r="7311" spans="1:141" s="116" customFormat="1">
      <c r="A7311" s="136"/>
      <c r="CM7311" s="111"/>
      <c r="CQ7311" s="111"/>
      <c r="EF7311"/>
      <c r="EG7311"/>
      <c r="EH7311"/>
      <c r="EI7311"/>
      <c r="EJ7311"/>
      <c r="EK7311"/>
    </row>
    <row r="7312" spans="1:141" s="116" customFormat="1">
      <c r="A7312" s="136"/>
      <c r="CM7312" s="111"/>
      <c r="CQ7312" s="111"/>
      <c r="EF7312"/>
      <c r="EG7312"/>
      <c r="EH7312"/>
      <c r="EI7312"/>
      <c r="EJ7312"/>
      <c r="EK7312"/>
    </row>
    <row r="7313" spans="1:141" s="116" customFormat="1">
      <c r="A7313" s="136"/>
      <c r="CM7313" s="111"/>
      <c r="CQ7313" s="111"/>
      <c r="EF7313"/>
      <c r="EG7313"/>
      <c r="EH7313"/>
      <c r="EI7313"/>
      <c r="EJ7313"/>
      <c r="EK7313"/>
    </row>
    <row r="7314" spans="1:141" s="116" customFormat="1">
      <c r="A7314" s="136"/>
      <c r="CM7314" s="111"/>
      <c r="CQ7314" s="111"/>
      <c r="EF7314"/>
      <c r="EG7314"/>
      <c r="EH7314"/>
      <c r="EI7314"/>
      <c r="EJ7314"/>
      <c r="EK7314"/>
    </row>
    <row r="7315" spans="1:141" s="116" customFormat="1">
      <c r="A7315" s="136"/>
      <c r="CM7315" s="111"/>
      <c r="CQ7315" s="111"/>
      <c r="EF7315"/>
      <c r="EG7315"/>
      <c r="EH7315"/>
      <c r="EI7315"/>
      <c r="EJ7315"/>
      <c r="EK7315"/>
    </row>
    <row r="7316" spans="1:141" s="116" customFormat="1">
      <c r="A7316" s="136"/>
      <c r="CM7316" s="111"/>
      <c r="CQ7316" s="111"/>
      <c r="EF7316"/>
      <c r="EG7316"/>
      <c r="EH7316"/>
      <c r="EI7316"/>
      <c r="EJ7316"/>
      <c r="EK7316"/>
    </row>
    <row r="7317" spans="1:141" s="116" customFormat="1">
      <c r="A7317" s="136"/>
      <c r="CM7317" s="111"/>
      <c r="CQ7317" s="111"/>
      <c r="EF7317"/>
      <c r="EG7317"/>
      <c r="EH7317"/>
      <c r="EI7317"/>
      <c r="EJ7317"/>
      <c r="EK7317"/>
    </row>
    <row r="7318" spans="1:141" s="116" customFormat="1">
      <c r="A7318" s="136"/>
      <c r="CM7318" s="111"/>
      <c r="CQ7318" s="111"/>
      <c r="EF7318"/>
      <c r="EG7318"/>
      <c r="EH7318"/>
      <c r="EI7318"/>
      <c r="EJ7318"/>
      <c r="EK7318"/>
    </row>
    <row r="7319" spans="1:141" s="116" customFormat="1">
      <c r="A7319" s="136"/>
      <c r="CM7319" s="111"/>
      <c r="CQ7319" s="111"/>
      <c r="EF7319"/>
      <c r="EG7319"/>
      <c r="EH7319"/>
      <c r="EI7319"/>
      <c r="EJ7319"/>
      <c r="EK7319"/>
    </row>
    <row r="7320" spans="1:141" s="116" customFormat="1">
      <c r="A7320" s="136"/>
      <c r="CM7320" s="111"/>
      <c r="CQ7320" s="111"/>
      <c r="EF7320"/>
      <c r="EG7320"/>
      <c r="EH7320"/>
      <c r="EI7320"/>
      <c r="EJ7320"/>
      <c r="EK7320"/>
    </row>
    <row r="7321" spans="1:141" s="116" customFormat="1">
      <c r="A7321" s="136"/>
      <c r="CM7321" s="111"/>
      <c r="CQ7321" s="111"/>
      <c r="EF7321"/>
      <c r="EG7321"/>
      <c r="EH7321"/>
      <c r="EI7321"/>
      <c r="EJ7321"/>
      <c r="EK7321"/>
    </row>
    <row r="7322" spans="1:141" s="116" customFormat="1">
      <c r="A7322" s="136"/>
      <c r="CM7322" s="111"/>
      <c r="CQ7322" s="111"/>
      <c r="EF7322"/>
      <c r="EG7322"/>
      <c r="EH7322"/>
      <c r="EI7322"/>
      <c r="EJ7322"/>
      <c r="EK7322"/>
    </row>
    <row r="7323" spans="1:141" s="116" customFormat="1">
      <c r="A7323" s="136"/>
      <c r="CM7323" s="111"/>
      <c r="CQ7323" s="111"/>
      <c r="EF7323"/>
      <c r="EG7323"/>
      <c r="EH7323"/>
      <c r="EI7323"/>
      <c r="EJ7323"/>
      <c r="EK7323"/>
    </row>
    <row r="7324" spans="1:141" s="116" customFormat="1">
      <c r="A7324" s="136"/>
      <c r="CM7324" s="111"/>
      <c r="CQ7324" s="111"/>
      <c r="EF7324"/>
      <c r="EG7324"/>
      <c r="EH7324"/>
      <c r="EI7324"/>
      <c r="EJ7324"/>
      <c r="EK7324"/>
    </row>
    <row r="7325" spans="1:141" s="116" customFormat="1">
      <c r="A7325" s="136"/>
      <c r="CM7325" s="111"/>
      <c r="CQ7325" s="111"/>
      <c r="EF7325"/>
      <c r="EG7325"/>
      <c r="EH7325"/>
      <c r="EI7325"/>
      <c r="EJ7325"/>
      <c r="EK7325"/>
    </row>
    <row r="7326" spans="1:141" s="116" customFormat="1">
      <c r="A7326" s="136"/>
      <c r="CM7326" s="111"/>
      <c r="CQ7326" s="111"/>
      <c r="EF7326"/>
      <c r="EG7326"/>
      <c r="EH7326"/>
      <c r="EI7326"/>
      <c r="EJ7326"/>
      <c r="EK7326"/>
    </row>
    <row r="7327" spans="1:141" s="116" customFormat="1">
      <c r="A7327" s="136"/>
      <c r="CM7327" s="111"/>
      <c r="CQ7327" s="111"/>
      <c r="EF7327"/>
      <c r="EG7327"/>
      <c r="EH7327"/>
      <c r="EI7327"/>
      <c r="EJ7327"/>
      <c r="EK7327"/>
    </row>
    <row r="7328" spans="1:141" s="116" customFormat="1">
      <c r="A7328" s="136"/>
      <c r="CM7328" s="111"/>
      <c r="CQ7328" s="111"/>
      <c r="EF7328"/>
      <c r="EG7328"/>
      <c r="EH7328"/>
      <c r="EI7328"/>
      <c r="EJ7328"/>
      <c r="EK7328"/>
    </row>
    <row r="7329" spans="1:141" s="116" customFormat="1">
      <c r="A7329" s="136"/>
      <c r="CM7329" s="111"/>
      <c r="CQ7329" s="111"/>
      <c r="EF7329"/>
      <c r="EG7329"/>
      <c r="EH7329"/>
      <c r="EI7329"/>
      <c r="EJ7329"/>
      <c r="EK7329"/>
    </row>
    <row r="7330" spans="1:141" s="116" customFormat="1">
      <c r="A7330" s="136"/>
      <c r="CM7330" s="111"/>
      <c r="CQ7330" s="111"/>
      <c r="EF7330"/>
      <c r="EG7330"/>
      <c r="EH7330"/>
      <c r="EI7330"/>
      <c r="EJ7330"/>
      <c r="EK7330"/>
    </row>
    <row r="7331" spans="1:141" s="116" customFormat="1">
      <c r="A7331" s="136"/>
      <c r="CM7331" s="111"/>
      <c r="CQ7331" s="111"/>
      <c r="EF7331"/>
      <c r="EG7331"/>
      <c r="EH7331"/>
      <c r="EI7331"/>
      <c r="EJ7331"/>
      <c r="EK7331"/>
    </row>
    <row r="7332" spans="1:141" s="116" customFormat="1">
      <c r="A7332" s="136"/>
      <c r="CM7332" s="111"/>
      <c r="CQ7332" s="111"/>
      <c r="EF7332"/>
      <c r="EG7332"/>
      <c r="EH7332"/>
      <c r="EI7332"/>
      <c r="EJ7332"/>
      <c r="EK7332"/>
    </row>
    <row r="7333" spans="1:141" s="116" customFormat="1">
      <c r="A7333" s="136"/>
      <c r="CM7333" s="111"/>
      <c r="CQ7333" s="111"/>
      <c r="EF7333"/>
      <c r="EG7333"/>
      <c r="EH7333"/>
      <c r="EI7333"/>
      <c r="EJ7333"/>
      <c r="EK7333"/>
    </row>
    <row r="7334" spans="1:141" s="116" customFormat="1">
      <c r="A7334" s="136"/>
      <c r="CM7334" s="111"/>
      <c r="CQ7334" s="111"/>
      <c r="EF7334"/>
      <c r="EG7334"/>
      <c r="EH7334"/>
      <c r="EI7334"/>
      <c r="EJ7334"/>
      <c r="EK7334"/>
    </row>
    <row r="7335" spans="1:141" s="116" customFormat="1">
      <c r="A7335" s="136"/>
      <c r="CM7335" s="111"/>
      <c r="CQ7335" s="111"/>
      <c r="EF7335"/>
      <c r="EG7335"/>
      <c r="EH7335"/>
      <c r="EI7335"/>
      <c r="EJ7335"/>
      <c r="EK7335"/>
    </row>
    <row r="7336" spans="1:141" s="116" customFormat="1">
      <c r="A7336" s="136"/>
      <c r="CM7336" s="111"/>
      <c r="CQ7336" s="111"/>
      <c r="EF7336"/>
      <c r="EG7336"/>
      <c r="EH7336"/>
      <c r="EI7336"/>
      <c r="EJ7336"/>
      <c r="EK7336"/>
    </row>
    <row r="7337" spans="1:141" s="116" customFormat="1">
      <c r="A7337" s="136"/>
      <c r="CM7337" s="111"/>
      <c r="CQ7337" s="111"/>
      <c r="EF7337"/>
      <c r="EG7337"/>
      <c r="EH7337"/>
      <c r="EI7337"/>
      <c r="EJ7337"/>
      <c r="EK7337"/>
    </row>
    <row r="7338" spans="1:141" s="116" customFormat="1">
      <c r="A7338" s="136"/>
      <c r="CM7338" s="111"/>
      <c r="CQ7338" s="111"/>
      <c r="EF7338"/>
      <c r="EG7338"/>
      <c r="EH7338"/>
      <c r="EI7338"/>
      <c r="EJ7338"/>
      <c r="EK7338"/>
    </row>
    <row r="7339" spans="1:141" s="116" customFormat="1">
      <c r="A7339" s="136"/>
      <c r="CM7339" s="111"/>
      <c r="CQ7339" s="111"/>
      <c r="EF7339"/>
      <c r="EG7339"/>
      <c r="EH7339"/>
      <c r="EI7339"/>
      <c r="EJ7339"/>
      <c r="EK7339"/>
    </row>
    <row r="7340" spans="1:141" s="116" customFormat="1">
      <c r="A7340" s="136"/>
      <c r="CM7340" s="111"/>
      <c r="CQ7340" s="111"/>
      <c r="EF7340"/>
      <c r="EG7340"/>
      <c r="EH7340"/>
      <c r="EI7340"/>
      <c r="EJ7340"/>
      <c r="EK7340"/>
    </row>
    <row r="7341" spans="1:141" s="116" customFormat="1">
      <c r="A7341" s="136"/>
      <c r="CM7341" s="111"/>
      <c r="CQ7341" s="111"/>
      <c r="EF7341"/>
      <c r="EG7341"/>
      <c r="EH7341"/>
      <c r="EI7341"/>
      <c r="EJ7341"/>
      <c r="EK7341"/>
    </row>
    <row r="7342" spans="1:141" s="116" customFormat="1">
      <c r="A7342" s="136"/>
      <c r="CM7342" s="111"/>
      <c r="CQ7342" s="111"/>
      <c r="EF7342"/>
      <c r="EG7342"/>
      <c r="EH7342"/>
      <c r="EI7342"/>
      <c r="EJ7342"/>
      <c r="EK7342"/>
    </row>
    <row r="7343" spans="1:141" s="116" customFormat="1">
      <c r="A7343" s="136"/>
      <c r="CM7343" s="111"/>
      <c r="CQ7343" s="111"/>
      <c r="EF7343"/>
      <c r="EG7343"/>
      <c r="EH7343"/>
      <c r="EI7343"/>
      <c r="EJ7343"/>
      <c r="EK7343"/>
    </row>
    <row r="7344" spans="1:141" s="116" customFormat="1">
      <c r="A7344" s="136"/>
      <c r="CM7344" s="111"/>
      <c r="CQ7344" s="111"/>
      <c r="EF7344"/>
      <c r="EG7344"/>
      <c r="EH7344"/>
      <c r="EI7344"/>
      <c r="EJ7344"/>
      <c r="EK7344"/>
    </row>
    <row r="7345" spans="1:141" s="116" customFormat="1">
      <c r="A7345" s="136"/>
      <c r="CM7345" s="111"/>
      <c r="CQ7345" s="111"/>
      <c r="EF7345"/>
      <c r="EG7345"/>
      <c r="EH7345"/>
      <c r="EI7345"/>
      <c r="EJ7345"/>
      <c r="EK7345"/>
    </row>
    <row r="7346" spans="1:141" s="116" customFormat="1">
      <c r="A7346" s="136"/>
      <c r="CM7346" s="111"/>
      <c r="CQ7346" s="111"/>
      <c r="EF7346"/>
      <c r="EG7346"/>
      <c r="EH7346"/>
      <c r="EI7346"/>
      <c r="EJ7346"/>
      <c r="EK7346"/>
    </row>
    <row r="7347" spans="1:141" s="116" customFormat="1">
      <c r="A7347" s="136"/>
      <c r="CM7347" s="111"/>
      <c r="CQ7347" s="111"/>
      <c r="EF7347"/>
      <c r="EG7347"/>
      <c r="EH7347"/>
      <c r="EI7347"/>
      <c r="EJ7347"/>
      <c r="EK7347"/>
    </row>
    <row r="7348" spans="1:141" s="116" customFormat="1">
      <c r="A7348" s="136"/>
      <c r="CM7348" s="111"/>
      <c r="CQ7348" s="111"/>
      <c r="EF7348"/>
      <c r="EG7348"/>
      <c r="EH7348"/>
      <c r="EI7348"/>
      <c r="EJ7348"/>
      <c r="EK7348"/>
    </row>
    <row r="7349" spans="1:141" s="116" customFormat="1">
      <c r="A7349" s="136"/>
      <c r="CM7349" s="111"/>
      <c r="CQ7349" s="111"/>
      <c r="EF7349"/>
      <c r="EG7349"/>
      <c r="EH7349"/>
      <c r="EI7349"/>
      <c r="EJ7349"/>
      <c r="EK7349"/>
    </row>
    <row r="7350" spans="1:141" s="116" customFormat="1">
      <c r="A7350" s="136"/>
      <c r="CM7350" s="111"/>
      <c r="CQ7350" s="111"/>
      <c r="EF7350"/>
      <c r="EG7350"/>
      <c r="EH7350"/>
      <c r="EI7350"/>
      <c r="EJ7350"/>
      <c r="EK7350"/>
    </row>
    <row r="7351" spans="1:141" s="116" customFormat="1">
      <c r="A7351" s="136"/>
      <c r="CM7351" s="111"/>
      <c r="CQ7351" s="111"/>
      <c r="EF7351"/>
      <c r="EG7351"/>
      <c r="EH7351"/>
      <c r="EI7351"/>
      <c r="EJ7351"/>
      <c r="EK7351"/>
    </row>
    <row r="7352" spans="1:141" s="116" customFormat="1">
      <c r="A7352" s="136"/>
      <c r="CM7352" s="111"/>
      <c r="CQ7352" s="111"/>
      <c r="EF7352"/>
      <c r="EG7352"/>
      <c r="EH7352"/>
      <c r="EI7352"/>
      <c r="EJ7352"/>
      <c r="EK7352"/>
    </row>
    <row r="7353" spans="1:141" s="116" customFormat="1">
      <c r="A7353" s="136"/>
      <c r="CM7353" s="111"/>
      <c r="CQ7353" s="111"/>
      <c r="EF7353"/>
      <c r="EG7353"/>
      <c r="EH7353"/>
      <c r="EI7353"/>
      <c r="EJ7353"/>
      <c r="EK7353"/>
    </row>
    <row r="7354" spans="1:141" s="116" customFormat="1">
      <c r="A7354" s="136"/>
      <c r="CM7354" s="111"/>
      <c r="CQ7354" s="111"/>
      <c r="EF7354"/>
      <c r="EG7354"/>
      <c r="EH7354"/>
      <c r="EI7354"/>
      <c r="EJ7354"/>
      <c r="EK7354"/>
    </row>
    <row r="7355" spans="1:141" s="116" customFormat="1">
      <c r="A7355" s="136"/>
      <c r="CM7355" s="111"/>
      <c r="CQ7355" s="111"/>
      <c r="EF7355"/>
      <c r="EG7355"/>
      <c r="EH7355"/>
      <c r="EI7355"/>
      <c r="EJ7355"/>
      <c r="EK7355"/>
    </row>
    <row r="7356" spans="1:141" s="116" customFormat="1">
      <c r="A7356" s="136"/>
      <c r="CM7356" s="111"/>
      <c r="CQ7356" s="111"/>
      <c r="EF7356"/>
      <c r="EG7356"/>
      <c r="EH7356"/>
      <c r="EI7356"/>
      <c r="EJ7356"/>
      <c r="EK7356"/>
    </row>
    <row r="7357" spans="1:141" s="116" customFormat="1">
      <c r="A7357" s="136"/>
      <c r="CM7357" s="111"/>
      <c r="CQ7357" s="111"/>
      <c r="EF7357"/>
      <c r="EG7357"/>
      <c r="EH7357"/>
      <c r="EI7357"/>
      <c r="EJ7357"/>
      <c r="EK7357"/>
    </row>
    <row r="7358" spans="1:141" s="116" customFormat="1">
      <c r="A7358" s="136"/>
      <c r="CM7358" s="111"/>
      <c r="CQ7358" s="111"/>
      <c r="EF7358"/>
      <c r="EG7358"/>
      <c r="EH7358"/>
      <c r="EI7358"/>
      <c r="EJ7358"/>
      <c r="EK7358"/>
    </row>
    <row r="7359" spans="1:141" s="116" customFormat="1">
      <c r="A7359" s="136"/>
      <c r="CM7359" s="111"/>
      <c r="CQ7359" s="111"/>
      <c r="EF7359"/>
      <c r="EG7359"/>
      <c r="EH7359"/>
      <c r="EI7359"/>
      <c r="EJ7359"/>
      <c r="EK7359"/>
    </row>
    <row r="7360" spans="1:141" s="116" customFormat="1">
      <c r="A7360" s="136"/>
      <c r="CM7360" s="111"/>
      <c r="CQ7360" s="111"/>
      <c r="EF7360"/>
      <c r="EG7360"/>
      <c r="EH7360"/>
      <c r="EI7360"/>
      <c r="EJ7360"/>
      <c r="EK7360"/>
    </row>
    <row r="7361" spans="1:141" s="116" customFormat="1">
      <c r="A7361" s="136"/>
      <c r="CM7361" s="111"/>
      <c r="CQ7361" s="111"/>
      <c r="EF7361"/>
      <c r="EG7361"/>
      <c r="EH7361"/>
      <c r="EI7361"/>
      <c r="EJ7361"/>
      <c r="EK7361"/>
    </row>
    <row r="7362" spans="1:141" s="116" customFormat="1">
      <c r="A7362" s="136"/>
      <c r="CM7362" s="111"/>
      <c r="CQ7362" s="111"/>
      <c r="EF7362"/>
      <c r="EG7362"/>
      <c r="EH7362"/>
      <c r="EI7362"/>
      <c r="EJ7362"/>
      <c r="EK7362"/>
    </row>
    <row r="7363" spans="1:141" s="116" customFormat="1">
      <c r="A7363" s="136"/>
      <c r="CM7363" s="111"/>
      <c r="CQ7363" s="111"/>
      <c r="EF7363"/>
      <c r="EG7363"/>
      <c r="EH7363"/>
      <c r="EI7363"/>
      <c r="EJ7363"/>
      <c r="EK7363"/>
    </row>
    <row r="7364" spans="1:141" s="116" customFormat="1">
      <c r="A7364" s="136"/>
      <c r="CM7364" s="111"/>
      <c r="CQ7364" s="111"/>
      <c r="EF7364"/>
      <c r="EG7364"/>
      <c r="EH7364"/>
      <c r="EI7364"/>
      <c r="EJ7364"/>
      <c r="EK7364"/>
    </row>
    <row r="7365" spans="1:141" s="116" customFormat="1">
      <c r="A7365" s="136"/>
      <c r="CM7365" s="111"/>
      <c r="CQ7365" s="111"/>
      <c r="EF7365"/>
      <c r="EG7365"/>
      <c r="EH7365"/>
      <c r="EI7365"/>
      <c r="EJ7365"/>
      <c r="EK7365"/>
    </row>
    <row r="7366" spans="1:141" s="116" customFormat="1">
      <c r="A7366" s="136"/>
      <c r="CM7366" s="111"/>
      <c r="CQ7366" s="111"/>
      <c r="EF7366"/>
      <c r="EG7366"/>
      <c r="EH7366"/>
      <c r="EI7366"/>
      <c r="EJ7366"/>
      <c r="EK7366"/>
    </row>
    <row r="7367" spans="1:141" s="116" customFormat="1">
      <c r="A7367" s="136"/>
      <c r="CM7367" s="111"/>
      <c r="CQ7367" s="111"/>
      <c r="EF7367"/>
      <c r="EG7367"/>
      <c r="EH7367"/>
      <c r="EI7367"/>
      <c r="EJ7367"/>
      <c r="EK7367"/>
    </row>
    <row r="7368" spans="1:141" s="116" customFormat="1">
      <c r="A7368" s="136"/>
      <c r="CM7368" s="111"/>
      <c r="CQ7368" s="111"/>
      <c r="EF7368"/>
      <c r="EG7368"/>
      <c r="EH7368"/>
      <c r="EI7368"/>
      <c r="EJ7368"/>
      <c r="EK7368"/>
    </row>
    <row r="7369" spans="1:141" s="116" customFormat="1">
      <c r="A7369" s="136"/>
      <c r="CM7369" s="111"/>
      <c r="CQ7369" s="111"/>
      <c r="EF7369"/>
      <c r="EG7369"/>
      <c r="EH7369"/>
      <c r="EI7369"/>
      <c r="EJ7369"/>
      <c r="EK7369"/>
    </row>
    <row r="7370" spans="1:141" s="116" customFormat="1">
      <c r="A7370" s="136"/>
      <c r="CM7370" s="111"/>
      <c r="CQ7370" s="111"/>
      <c r="EF7370"/>
      <c r="EG7370"/>
      <c r="EH7370"/>
      <c r="EI7370"/>
      <c r="EJ7370"/>
      <c r="EK7370"/>
    </row>
    <row r="7371" spans="1:141" s="116" customFormat="1">
      <c r="A7371" s="136"/>
      <c r="CM7371" s="111"/>
      <c r="CQ7371" s="111"/>
      <c r="EF7371"/>
      <c r="EG7371"/>
      <c r="EH7371"/>
      <c r="EI7371"/>
      <c r="EJ7371"/>
      <c r="EK7371"/>
    </row>
    <row r="7372" spans="1:141" s="116" customFormat="1">
      <c r="A7372" s="136"/>
      <c r="CM7372" s="111"/>
      <c r="CQ7372" s="111"/>
      <c r="EF7372"/>
      <c r="EG7372"/>
      <c r="EH7372"/>
      <c r="EI7372"/>
      <c r="EJ7372"/>
      <c r="EK7372"/>
    </row>
    <row r="7373" spans="1:141" s="116" customFormat="1">
      <c r="A7373" s="136"/>
      <c r="CM7373" s="111"/>
      <c r="CQ7373" s="111"/>
      <c r="EF7373"/>
      <c r="EG7373"/>
      <c r="EH7373"/>
      <c r="EI7373"/>
      <c r="EJ7373"/>
      <c r="EK7373"/>
    </row>
    <row r="7374" spans="1:141" s="116" customFormat="1">
      <c r="A7374" s="136"/>
      <c r="CM7374" s="111"/>
      <c r="CQ7374" s="111"/>
      <c r="EF7374"/>
      <c r="EG7374"/>
      <c r="EH7374"/>
      <c r="EI7374"/>
      <c r="EJ7374"/>
      <c r="EK7374"/>
    </row>
    <row r="7375" spans="1:141" s="116" customFormat="1">
      <c r="A7375" s="136"/>
      <c r="CM7375" s="111"/>
      <c r="CQ7375" s="111"/>
      <c r="EF7375"/>
      <c r="EG7375"/>
      <c r="EH7375"/>
      <c r="EI7375"/>
      <c r="EJ7375"/>
      <c r="EK7375"/>
    </row>
    <row r="7376" spans="1:141" s="116" customFormat="1">
      <c r="A7376" s="136"/>
      <c r="CM7376" s="111"/>
      <c r="CQ7376" s="111"/>
      <c r="EF7376"/>
      <c r="EG7376"/>
      <c r="EH7376"/>
      <c r="EI7376"/>
      <c r="EJ7376"/>
      <c r="EK7376"/>
    </row>
    <row r="7377" spans="1:141" s="116" customFormat="1">
      <c r="A7377" s="136"/>
      <c r="CM7377" s="111"/>
      <c r="CQ7377" s="111"/>
      <c r="EF7377"/>
      <c r="EG7377"/>
      <c r="EH7377"/>
      <c r="EI7377"/>
      <c r="EJ7377"/>
      <c r="EK7377"/>
    </row>
    <row r="7378" spans="1:141" s="116" customFormat="1">
      <c r="A7378" s="136"/>
      <c r="CM7378" s="111"/>
      <c r="CQ7378" s="111"/>
      <c r="EF7378"/>
      <c r="EG7378"/>
      <c r="EH7378"/>
      <c r="EI7378"/>
      <c r="EJ7378"/>
      <c r="EK7378"/>
    </row>
    <row r="7379" spans="1:141" s="116" customFormat="1">
      <c r="A7379" s="136"/>
      <c r="CM7379" s="111"/>
      <c r="CQ7379" s="111"/>
      <c r="EF7379"/>
      <c r="EG7379"/>
      <c r="EH7379"/>
      <c r="EI7379"/>
      <c r="EJ7379"/>
      <c r="EK7379"/>
    </row>
    <row r="7380" spans="1:141" s="116" customFormat="1">
      <c r="A7380" s="136"/>
      <c r="CM7380" s="111"/>
      <c r="CQ7380" s="111"/>
      <c r="EF7380"/>
      <c r="EG7380"/>
      <c r="EH7380"/>
      <c r="EI7380"/>
      <c r="EJ7380"/>
      <c r="EK7380"/>
    </row>
    <row r="7381" spans="1:141" s="116" customFormat="1">
      <c r="A7381" s="136"/>
      <c r="CM7381" s="111"/>
      <c r="CQ7381" s="111"/>
      <c r="EF7381"/>
      <c r="EG7381"/>
      <c r="EH7381"/>
      <c r="EI7381"/>
      <c r="EJ7381"/>
      <c r="EK7381"/>
    </row>
    <row r="7382" spans="1:141" s="116" customFormat="1">
      <c r="A7382" s="136"/>
      <c r="CM7382" s="111"/>
      <c r="CQ7382" s="111"/>
      <c r="EF7382"/>
      <c r="EG7382"/>
      <c r="EH7382"/>
      <c r="EI7382"/>
      <c r="EJ7382"/>
      <c r="EK7382"/>
    </row>
    <row r="7383" spans="1:141" s="116" customFormat="1">
      <c r="A7383" s="136"/>
      <c r="CM7383" s="111"/>
      <c r="CQ7383" s="111"/>
      <c r="EF7383"/>
      <c r="EG7383"/>
      <c r="EH7383"/>
      <c r="EI7383"/>
      <c r="EJ7383"/>
      <c r="EK7383"/>
    </row>
    <row r="7384" spans="1:141" s="116" customFormat="1">
      <c r="A7384" s="136"/>
      <c r="CM7384" s="111"/>
      <c r="CQ7384" s="111"/>
      <c r="EF7384"/>
      <c r="EG7384"/>
      <c r="EH7384"/>
      <c r="EI7384"/>
      <c r="EJ7384"/>
      <c r="EK7384"/>
    </row>
    <row r="7385" spans="1:141" s="116" customFormat="1">
      <c r="A7385" s="136"/>
      <c r="CM7385" s="111"/>
      <c r="CQ7385" s="111"/>
      <c r="EF7385"/>
      <c r="EG7385"/>
      <c r="EH7385"/>
      <c r="EI7385"/>
      <c r="EJ7385"/>
      <c r="EK7385"/>
    </row>
    <row r="7386" spans="1:141" s="116" customFormat="1">
      <c r="A7386" s="136"/>
      <c r="CM7386" s="111"/>
      <c r="CQ7386" s="111"/>
      <c r="EF7386"/>
      <c r="EG7386"/>
      <c r="EH7386"/>
      <c r="EI7386"/>
      <c r="EJ7386"/>
      <c r="EK7386"/>
    </row>
    <row r="7387" spans="1:141" s="116" customFormat="1">
      <c r="A7387" s="136"/>
      <c r="CM7387" s="111"/>
      <c r="CQ7387" s="111"/>
      <c r="EF7387"/>
      <c r="EG7387"/>
      <c r="EH7387"/>
      <c r="EI7387"/>
      <c r="EJ7387"/>
      <c r="EK7387"/>
    </row>
    <row r="7388" spans="1:141" s="116" customFormat="1">
      <c r="A7388" s="136"/>
      <c r="CM7388" s="111"/>
      <c r="CQ7388" s="111"/>
      <c r="EF7388"/>
      <c r="EG7388"/>
      <c r="EH7388"/>
      <c r="EI7388"/>
      <c r="EJ7388"/>
      <c r="EK7388"/>
    </row>
    <row r="7389" spans="1:141" s="116" customFormat="1">
      <c r="A7389" s="136"/>
      <c r="CM7389" s="111"/>
      <c r="CQ7389" s="111"/>
      <c r="EF7389"/>
      <c r="EG7389"/>
      <c r="EH7389"/>
      <c r="EI7389"/>
      <c r="EJ7389"/>
      <c r="EK7389"/>
    </row>
    <row r="7390" spans="1:141" s="116" customFormat="1">
      <c r="A7390" s="136"/>
      <c r="CM7390" s="111"/>
      <c r="CQ7390" s="111"/>
      <c r="EF7390"/>
      <c r="EG7390"/>
      <c r="EH7390"/>
      <c r="EI7390"/>
      <c r="EJ7390"/>
      <c r="EK7390"/>
    </row>
    <row r="7391" spans="1:141" s="116" customFormat="1">
      <c r="A7391" s="136"/>
      <c r="CM7391" s="111"/>
      <c r="CQ7391" s="111"/>
      <c r="EF7391"/>
      <c r="EG7391"/>
      <c r="EH7391"/>
      <c r="EI7391"/>
      <c r="EJ7391"/>
      <c r="EK7391"/>
    </row>
    <row r="7392" spans="1:141" s="116" customFormat="1">
      <c r="A7392" s="136"/>
      <c r="CM7392" s="111"/>
      <c r="CQ7392" s="111"/>
      <c r="EF7392"/>
      <c r="EG7392"/>
      <c r="EH7392"/>
      <c r="EI7392"/>
      <c r="EJ7392"/>
      <c r="EK7392"/>
    </row>
    <row r="7393" spans="1:141" s="116" customFormat="1">
      <c r="A7393" s="136"/>
      <c r="CM7393" s="111"/>
      <c r="CQ7393" s="111"/>
      <c r="EF7393"/>
      <c r="EG7393"/>
      <c r="EH7393"/>
      <c r="EI7393"/>
      <c r="EJ7393"/>
      <c r="EK7393"/>
    </row>
    <row r="7394" spans="1:141" s="116" customFormat="1">
      <c r="A7394" s="136"/>
      <c r="CM7394" s="111"/>
      <c r="CQ7394" s="111"/>
      <c r="EF7394"/>
      <c r="EG7394"/>
      <c r="EH7394"/>
      <c r="EI7394"/>
      <c r="EJ7394"/>
      <c r="EK7394"/>
    </row>
    <row r="7395" spans="1:141" s="116" customFormat="1">
      <c r="A7395" s="136"/>
      <c r="CM7395" s="111"/>
      <c r="CQ7395" s="111"/>
      <c r="EF7395"/>
      <c r="EG7395"/>
      <c r="EH7395"/>
      <c r="EI7395"/>
      <c r="EJ7395"/>
      <c r="EK7395"/>
    </row>
    <row r="7396" spans="1:141" s="116" customFormat="1">
      <c r="A7396" s="136"/>
      <c r="CM7396" s="111"/>
      <c r="CQ7396" s="111"/>
      <c r="EF7396"/>
      <c r="EG7396"/>
      <c r="EH7396"/>
      <c r="EI7396"/>
      <c r="EJ7396"/>
      <c r="EK7396"/>
    </row>
    <row r="7397" spans="1:141" s="116" customFormat="1">
      <c r="A7397" s="136"/>
      <c r="CM7397" s="111"/>
      <c r="CQ7397" s="111"/>
      <c r="EF7397"/>
      <c r="EG7397"/>
      <c r="EH7397"/>
      <c r="EI7397"/>
      <c r="EJ7397"/>
      <c r="EK7397"/>
    </row>
    <row r="7398" spans="1:141" s="116" customFormat="1">
      <c r="A7398" s="136"/>
      <c r="CM7398" s="111"/>
      <c r="CQ7398" s="111"/>
      <c r="EF7398"/>
      <c r="EG7398"/>
      <c r="EH7398"/>
      <c r="EI7398"/>
      <c r="EJ7398"/>
      <c r="EK7398"/>
    </row>
    <row r="7399" spans="1:141" s="116" customFormat="1">
      <c r="A7399" s="136"/>
      <c r="CM7399" s="111"/>
      <c r="CQ7399" s="111"/>
      <c r="EF7399"/>
      <c r="EG7399"/>
      <c r="EH7399"/>
      <c r="EI7399"/>
      <c r="EJ7399"/>
      <c r="EK7399"/>
    </row>
    <row r="7400" spans="1:141" s="116" customFormat="1">
      <c r="A7400" s="136"/>
      <c r="CM7400" s="111"/>
      <c r="CQ7400" s="111"/>
      <c r="EF7400"/>
      <c r="EG7400"/>
      <c r="EH7400"/>
      <c r="EI7400"/>
      <c r="EJ7400"/>
      <c r="EK7400"/>
    </row>
    <row r="7401" spans="1:141" s="116" customFormat="1">
      <c r="A7401" s="136"/>
      <c r="CM7401" s="111"/>
      <c r="CQ7401" s="111"/>
      <c r="EF7401"/>
      <c r="EG7401"/>
      <c r="EH7401"/>
      <c r="EI7401"/>
      <c r="EJ7401"/>
      <c r="EK7401"/>
    </row>
    <row r="7402" spans="1:141" s="116" customFormat="1">
      <c r="A7402" s="136"/>
      <c r="CM7402" s="111"/>
      <c r="CQ7402" s="111"/>
      <c r="EF7402"/>
      <c r="EG7402"/>
      <c r="EH7402"/>
      <c r="EI7402"/>
      <c r="EJ7402"/>
      <c r="EK7402"/>
    </row>
    <row r="7403" spans="1:141" s="116" customFormat="1">
      <c r="A7403" s="136"/>
      <c r="CM7403" s="111"/>
      <c r="CQ7403" s="111"/>
      <c r="EF7403"/>
      <c r="EG7403"/>
      <c r="EH7403"/>
      <c r="EI7403"/>
      <c r="EJ7403"/>
      <c r="EK7403"/>
    </row>
    <row r="7404" spans="1:141" s="116" customFormat="1">
      <c r="A7404" s="136"/>
      <c r="CM7404" s="111"/>
      <c r="CQ7404" s="111"/>
      <c r="EF7404"/>
      <c r="EG7404"/>
      <c r="EH7404"/>
      <c r="EI7404"/>
      <c r="EJ7404"/>
      <c r="EK7404"/>
    </row>
    <row r="7405" spans="1:141" s="116" customFormat="1">
      <c r="A7405" s="136"/>
      <c r="CM7405" s="111"/>
      <c r="CQ7405" s="111"/>
      <c r="EF7405"/>
      <c r="EG7405"/>
      <c r="EH7405"/>
      <c r="EI7405"/>
      <c r="EJ7405"/>
      <c r="EK7405"/>
    </row>
    <row r="7406" spans="1:141" s="116" customFormat="1">
      <c r="A7406" s="136"/>
      <c r="CM7406" s="111"/>
      <c r="CQ7406" s="111"/>
      <c r="EF7406"/>
      <c r="EG7406"/>
      <c r="EH7406"/>
      <c r="EI7406"/>
      <c r="EJ7406"/>
      <c r="EK7406"/>
    </row>
    <row r="7407" spans="1:141" s="116" customFormat="1">
      <c r="A7407" s="136"/>
      <c r="CM7407" s="111"/>
      <c r="CQ7407" s="111"/>
      <c r="EF7407"/>
      <c r="EG7407"/>
      <c r="EH7407"/>
      <c r="EI7407"/>
      <c r="EJ7407"/>
      <c r="EK7407"/>
    </row>
    <row r="7408" spans="1:141" s="116" customFormat="1">
      <c r="A7408" s="136"/>
      <c r="CM7408" s="111"/>
      <c r="CQ7408" s="111"/>
      <c r="EF7408"/>
      <c r="EG7408"/>
      <c r="EH7408"/>
      <c r="EI7408"/>
      <c r="EJ7408"/>
      <c r="EK7408"/>
    </row>
    <row r="7409" spans="1:141" s="116" customFormat="1">
      <c r="A7409" s="136"/>
      <c r="CM7409" s="111"/>
      <c r="CQ7409" s="111"/>
      <c r="EF7409"/>
      <c r="EG7409"/>
      <c r="EH7409"/>
      <c r="EI7409"/>
      <c r="EJ7409"/>
      <c r="EK7409"/>
    </row>
    <row r="7410" spans="1:141" s="116" customFormat="1">
      <c r="A7410" s="136"/>
      <c r="CM7410" s="111"/>
      <c r="CQ7410" s="111"/>
      <c r="EF7410"/>
      <c r="EG7410"/>
      <c r="EH7410"/>
      <c r="EI7410"/>
      <c r="EJ7410"/>
      <c r="EK7410"/>
    </row>
    <row r="7411" spans="1:141" s="116" customFormat="1">
      <c r="A7411" s="136"/>
      <c r="CM7411" s="111"/>
      <c r="CQ7411" s="111"/>
      <c r="EF7411"/>
      <c r="EG7411"/>
      <c r="EH7411"/>
      <c r="EI7411"/>
      <c r="EJ7411"/>
      <c r="EK7411"/>
    </row>
    <row r="7412" spans="1:141" s="116" customFormat="1">
      <c r="A7412" s="136"/>
      <c r="CM7412" s="111"/>
      <c r="CQ7412" s="111"/>
      <c r="EF7412"/>
      <c r="EG7412"/>
      <c r="EH7412"/>
      <c r="EI7412"/>
      <c r="EJ7412"/>
      <c r="EK7412"/>
    </row>
    <row r="7413" spans="1:141" s="116" customFormat="1">
      <c r="A7413" s="136"/>
      <c r="CM7413" s="111"/>
      <c r="CQ7413" s="111"/>
      <c r="EF7413"/>
      <c r="EG7413"/>
      <c r="EH7413"/>
      <c r="EI7413"/>
      <c r="EJ7413"/>
      <c r="EK7413"/>
    </row>
    <row r="7414" spans="1:141" s="116" customFormat="1">
      <c r="A7414" s="136"/>
      <c r="CM7414" s="111"/>
      <c r="CQ7414" s="111"/>
      <c r="EF7414"/>
      <c r="EG7414"/>
      <c r="EH7414"/>
      <c r="EI7414"/>
      <c r="EJ7414"/>
      <c r="EK7414"/>
    </row>
    <row r="7415" spans="1:141" s="116" customFormat="1">
      <c r="A7415" s="136"/>
      <c r="CM7415" s="111"/>
      <c r="CQ7415" s="111"/>
      <c r="EF7415"/>
      <c r="EG7415"/>
      <c r="EH7415"/>
      <c r="EI7415"/>
      <c r="EJ7415"/>
      <c r="EK7415"/>
    </row>
    <row r="7416" spans="1:141" s="116" customFormat="1">
      <c r="A7416" s="136"/>
      <c r="CM7416" s="111"/>
      <c r="CQ7416" s="111"/>
      <c r="EF7416"/>
      <c r="EG7416"/>
      <c r="EH7416"/>
      <c r="EI7416"/>
      <c r="EJ7416"/>
      <c r="EK7416"/>
    </row>
    <row r="7417" spans="1:141" s="116" customFormat="1">
      <c r="A7417" s="136"/>
      <c r="CM7417" s="111"/>
      <c r="CQ7417" s="111"/>
      <c r="EF7417"/>
      <c r="EG7417"/>
      <c r="EH7417"/>
      <c r="EI7417"/>
      <c r="EJ7417"/>
      <c r="EK7417"/>
    </row>
    <row r="7418" spans="1:141" s="116" customFormat="1">
      <c r="A7418" s="136"/>
      <c r="CM7418" s="111"/>
      <c r="CQ7418" s="111"/>
      <c r="EF7418"/>
      <c r="EG7418"/>
      <c r="EH7418"/>
      <c r="EI7418"/>
      <c r="EJ7418"/>
      <c r="EK7418"/>
    </row>
    <row r="7419" spans="1:141" s="116" customFormat="1">
      <c r="A7419" s="136"/>
      <c r="CM7419" s="111"/>
      <c r="CQ7419" s="111"/>
      <c r="EF7419"/>
      <c r="EG7419"/>
      <c r="EH7419"/>
      <c r="EI7419"/>
      <c r="EJ7419"/>
      <c r="EK7419"/>
    </row>
    <row r="7420" spans="1:141" s="116" customFormat="1">
      <c r="A7420" s="136"/>
      <c r="CM7420" s="111"/>
      <c r="CQ7420" s="111"/>
      <c r="EF7420"/>
      <c r="EG7420"/>
      <c r="EH7420"/>
      <c r="EI7420"/>
      <c r="EJ7420"/>
      <c r="EK7420"/>
    </row>
    <row r="7421" spans="1:141" s="116" customFormat="1">
      <c r="A7421" s="136"/>
      <c r="CM7421" s="111"/>
      <c r="CQ7421" s="111"/>
      <c r="EF7421"/>
      <c r="EG7421"/>
      <c r="EH7421"/>
      <c r="EI7421"/>
      <c r="EJ7421"/>
      <c r="EK7421"/>
    </row>
    <row r="7422" spans="1:141" s="116" customFormat="1">
      <c r="A7422" s="136"/>
      <c r="CM7422" s="111"/>
      <c r="CQ7422" s="111"/>
      <c r="EF7422"/>
      <c r="EG7422"/>
      <c r="EH7422"/>
      <c r="EI7422"/>
      <c r="EJ7422"/>
      <c r="EK7422"/>
    </row>
    <row r="7423" spans="1:141" s="116" customFormat="1">
      <c r="A7423" s="136"/>
      <c r="CM7423" s="111"/>
      <c r="CQ7423" s="111"/>
      <c r="EF7423"/>
      <c r="EG7423"/>
      <c r="EH7423"/>
      <c r="EI7423"/>
      <c r="EJ7423"/>
      <c r="EK7423"/>
    </row>
    <row r="7424" spans="1:141" s="116" customFormat="1">
      <c r="A7424" s="136"/>
      <c r="CM7424" s="111"/>
      <c r="CQ7424" s="111"/>
      <c r="EF7424"/>
      <c r="EG7424"/>
      <c r="EH7424"/>
      <c r="EI7424"/>
      <c r="EJ7424"/>
      <c r="EK7424"/>
    </row>
    <row r="7425" spans="1:141" s="116" customFormat="1">
      <c r="A7425" s="136"/>
      <c r="CM7425" s="111"/>
      <c r="CQ7425" s="111"/>
      <c r="EF7425"/>
      <c r="EG7425"/>
      <c r="EH7425"/>
      <c r="EI7425"/>
      <c r="EJ7425"/>
      <c r="EK7425"/>
    </row>
    <row r="7426" spans="1:141" s="116" customFormat="1">
      <c r="A7426" s="136"/>
      <c r="CM7426" s="111"/>
      <c r="CQ7426" s="111"/>
      <c r="EF7426"/>
      <c r="EG7426"/>
      <c r="EH7426"/>
      <c r="EI7426"/>
      <c r="EJ7426"/>
      <c r="EK7426"/>
    </row>
    <row r="7427" spans="1:141" s="116" customFormat="1">
      <c r="A7427" s="136"/>
      <c r="CM7427" s="111"/>
      <c r="CQ7427" s="111"/>
      <c r="EF7427"/>
      <c r="EG7427"/>
      <c r="EH7427"/>
      <c r="EI7427"/>
      <c r="EJ7427"/>
      <c r="EK7427"/>
    </row>
    <row r="7428" spans="1:141" s="116" customFormat="1">
      <c r="A7428" s="136"/>
      <c r="CM7428" s="111"/>
      <c r="CQ7428" s="111"/>
      <c r="EF7428"/>
      <c r="EG7428"/>
      <c r="EH7428"/>
      <c r="EI7428"/>
      <c r="EJ7428"/>
      <c r="EK7428"/>
    </row>
    <row r="7429" spans="1:141" s="116" customFormat="1">
      <c r="A7429" s="136"/>
      <c r="CM7429" s="111"/>
      <c r="CQ7429" s="111"/>
      <c r="EF7429"/>
      <c r="EG7429"/>
      <c r="EH7429"/>
      <c r="EI7429"/>
      <c r="EJ7429"/>
      <c r="EK7429"/>
    </row>
    <row r="7430" spans="1:141" s="116" customFormat="1">
      <c r="A7430" s="136"/>
      <c r="CM7430" s="111"/>
      <c r="CQ7430" s="111"/>
      <c r="EF7430"/>
      <c r="EG7430"/>
      <c r="EH7430"/>
      <c r="EI7430"/>
      <c r="EJ7430"/>
      <c r="EK7430"/>
    </row>
    <row r="7431" spans="1:141" s="116" customFormat="1">
      <c r="A7431" s="136"/>
      <c r="CM7431" s="111"/>
      <c r="CQ7431" s="111"/>
      <c r="EF7431"/>
      <c r="EG7431"/>
      <c r="EH7431"/>
      <c r="EI7431"/>
      <c r="EJ7431"/>
      <c r="EK7431"/>
    </row>
    <row r="7432" spans="1:141" s="116" customFormat="1">
      <c r="A7432" s="136"/>
      <c r="CM7432" s="111"/>
      <c r="CQ7432" s="111"/>
      <c r="EF7432"/>
      <c r="EG7432"/>
      <c r="EH7432"/>
      <c r="EI7432"/>
      <c r="EJ7432"/>
      <c r="EK7432"/>
    </row>
    <row r="7433" spans="1:141" s="116" customFormat="1">
      <c r="A7433" s="136"/>
      <c r="CM7433" s="111"/>
      <c r="CQ7433" s="111"/>
      <c r="EF7433"/>
      <c r="EG7433"/>
      <c r="EH7433"/>
      <c r="EI7433"/>
      <c r="EJ7433"/>
      <c r="EK7433"/>
    </row>
    <row r="7434" spans="1:141" s="116" customFormat="1">
      <c r="A7434" s="136"/>
      <c r="CM7434" s="111"/>
      <c r="CQ7434" s="111"/>
      <c r="EF7434"/>
      <c r="EG7434"/>
      <c r="EH7434"/>
      <c r="EI7434"/>
      <c r="EJ7434"/>
      <c r="EK7434"/>
    </row>
    <row r="7435" spans="1:141" s="116" customFormat="1">
      <c r="A7435" s="136"/>
      <c r="CM7435" s="111"/>
      <c r="CQ7435" s="111"/>
      <c r="EF7435"/>
      <c r="EG7435"/>
      <c r="EH7435"/>
      <c r="EI7435"/>
      <c r="EJ7435"/>
      <c r="EK7435"/>
    </row>
    <row r="7436" spans="1:141" s="116" customFormat="1">
      <c r="A7436" s="136"/>
      <c r="CM7436" s="111"/>
      <c r="CQ7436" s="111"/>
      <c r="EF7436"/>
      <c r="EG7436"/>
      <c r="EH7436"/>
      <c r="EI7436"/>
      <c r="EJ7436"/>
      <c r="EK7436"/>
    </row>
    <row r="7437" spans="1:141" s="116" customFormat="1">
      <c r="A7437" s="136"/>
      <c r="CM7437" s="111"/>
      <c r="CQ7437" s="111"/>
      <c r="EF7437"/>
      <c r="EG7437"/>
      <c r="EH7437"/>
      <c r="EI7437"/>
      <c r="EJ7437"/>
      <c r="EK7437"/>
    </row>
    <row r="7438" spans="1:141" s="116" customFormat="1">
      <c r="A7438" s="136"/>
      <c r="CM7438" s="111"/>
      <c r="CQ7438" s="111"/>
      <c r="EF7438"/>
      <c r="EG7438"/>
      <c r="EH7438"/>
      <c r="EI7438"/>
      <c r="EJ7438"/>
      <c r="EK7438"/>
    </row>
    <row r="7439" spans="1:141" s="116" customFormat="1">
      <c r="A7439" s="136"/>
      <c r="CM7439" s="111"/>
      <c r="CQ7439" s="111"/>
      <c r="EF7439"/>
      <c r="EG7439"/>
      <c r="EH7439"/>
      <c r="EI7439"/>
      <c r="EJ7439"/>
      <c r="EK7439"/>
    </row>
    <row r="7440" spans="1:141" s="116" customFormat="1">
      <c r="A7440" s="136"/>
      <c r="CM7440" s="111"/>
      <c r="CQ7440" s="111"/>
      <c r="EF7440"/>
      <c r="EG7440"/>
      <c r="EH7440"/>
      <c r="EI7440"/>
      <c r="EJ7440"/>
      <c r="EK7440"/>
    </row>
    <row r="7441" spans="1:141" s="116" customFormat="1">
      <c r="A7441" s="136"/>
      <c r="CM7441" s="111"/>
      <c r="CQ7441" s="111"/>
      <c r="EF7441"/>
      <c r="EG7441"/>
      <c r="EH7441"/>
      <c r="EI7441"/>
      <c r="EJ7441"/>
      <c r="EK7441"/>
    </row>
    <row r="7442" spans="1:141" s="116" customFormat="1">
      <c r="A7442" s="136"/>
      <c r="CM7442" s="111"/>
      <c r="CQ7442" s="111"/>
      <c r="EF7442"/>
      <c r="EG7442"/>
      <c r="EH7442"/>
      <c r="EI7442"/>
      <c r="EJ7442"/>
      <c r="EK7442"/>
    </row>
    <row r="7443" spans="1:141" s="116" customFormat="1">
      <c r="A7443" s="136"/>
      <c r="CM7443" s="111"/>
      <c r="CQ7443" s="111"/>
      <c r="EF7443"/>
      <c r="EG7443"/>
      <c r="EH7443"/>
      <c r="EI7443"/>
      <c r="EJ7443"/>
      <c r="EK7443"/>
    </row>
    <row r="7444" spans="1:141" s="116" customFormat="1">
      <c r="A7444" s="136"/>
      <c r="CM7444" s="111"/>
      <c r="CQ7444" s="111"/>
      <c r="EF7444"/>
      <c r="EG7444"/>
      <c r="EH7444"/>
      <c r="EI7444"/>
      <c r="EJ7444"/>
      <c r="EK7444"/>
    </row>
    <row r="7445" spans="1:141" s="116" customFormat="1">
      <c r="A7445" s="136"/>
      <c r="CM7445" s="111"/>
      <c r="CQ7445" s="111"/>
      <c r="EF7445"/>
      <c r="EG7445"/>
      <c r="EH7445"/>
      <c r="EI7445"/>
      <c r="EJ7445"/>
      <c r="EK7445"/>
    </row>
    <row r="7446" spans="1:141" s="116" customFormat="1">
      <c r="A7446" s="136"/>
      <c r="CM7446" s="111"/>
      <c r="CQ7446" s="111"/>
      <c r="EF7446"/>
      <c r="EG7446"/>
      <c r="EH7446"/>
      <c r="EI7446"/>
      <c r="EJ7446"/>
      <c r="EK7446"/>
    </row>
    <row r="7447" spans="1:141" s="116" customFormat="1">
      <c r="A7447" s="136"/>
      <c r="CM7447" s="111"/>
      <c r="CQ7447" s="111"/>
      <c r="EF7447"/>
      <c r="EG7447"/>
      <c r="EH7447"/>
      <c r="EI7447"/>
      <c r="EJ7447"/>
      <c r="EK7447"/>
    </row>
    <row r="7448" spans="1:141" s="116" customFormat="1">
      <c r="A7448" s="136"/>
      <c r="CM7448" s="111"/>
      <c r="CQ7448" s="111"/>
      <c r="EF7448"/>
      <c r="EG7448"/>
      <c r="EH7448"/>
      <c r="EI7448"/>
      <c r="EJ7448"/>
      <c r="EK7448"/>
    </row>
    <row r="7449" spans="1:141" s="116" customFormat="1">
      <c r="A7449" s="136"/>
      <c r="CM7449" s="111"/>
      <c r="CQ7449" s="111"/>
      <c r="EF7449"/>
      <c r="EG7449"/>
      <c r="EH7449"/>
      <c r="EI7449"/>
      <c r="EJ7449"/>
      <c r="EK7449"/>
    </row>
    <row r="7450" spans="1:141" s="116" customFormat="1">
      <c r="A7450" s="136"/>
      <c r="CM7450" s="111"/>
      <c r="CQ7450" s="111"/>
      <c r="EF7450"/>
      <c r="EG7450"/>
      <c r="EH7450"/>
      <c r="EI7450"/>
      <c r="EJ7450"/>
      <c r="EK7450"/>
    </row>
    <row r="7451" spans="1:141" s="116" customFormat="1">
      <c r="A7451" s="136"/>
      <c r="CM7451" s="111"/>
      <c r="CQ7451" s="111"/>
      <c r="EF7451"/>
      <c r="EG7451"/>
      <c r="EH7451"/>
      <c r="EI7451"/>
      <c r="EJ7451"/>
      <c r="EK7451"/>
    </row>
    <row r="7452" spans="1:141" s="116" customFormat="1">
      <c r="A7452" s="136"/>
      <c r="CM7452" s="111"/>
      <c r="CQ7452" s="111"/>
      <c r="EF7452"/>
      <c r="EG7452"/>
      <c r="EH7452"/>
      <c r="EI7452"/>
      <c r="EJ7452"/>
      <c r="EK7452"/>
    </row>
    <row r="7453" spans="1:141" s="116" customFormat="1">
      <c r="A7453" s="136"/>
      <c r="CM7453" s="111"/>
      <c r="CQ7453" s="111"/>
      <c r="EF7453"/>
      <c r="EG7453"/>
      <c r="EH7453"/>
      <c r="EI7453"/>
      <c r="EJ7453"/>
      <c r="EK7453"/>
    </row>
    <row r="7454" spans="1:141" s="116" customFormat="1">
      <c r="A7454" s="136"/>
      <c r="CM7454" s="111"/>
      <c r="CQ7454" s="111"/>
      <c r="EF7454"/>
      <c r="EG7454"/>
      <c r="EH7454"/>
      <c r="EI7454"/>
      <c r="EJ7454"/>
      <c r="EK7454"/>
    </row>
    <row r="7455" spans="1:141" s="116" customFormat="1">
      <c r="A7455" s="136"/>
      <c r="CM7455" s="111"/>
      <c r="CQ7455" s="111"/>
      <c r="EF7455"/>
      <c r="EG7455"/>
      <c r="EH7455"/>
      <c r="EI7455"/>
      <c r="EJ7455"/>
      <c r="EK7455"/>
    </row>
    <row r="7456" spans="1:141" s="116" customFormat="1">
      <c r="A7456" s="136"/>
      <c r="CM7456" s="111"/>
      <c r="CQ7456" s="111"/>
      <c r="EF7456"/>
      <c r="EG7456"/>
      <c r="EH7456"/>
      <c r="EI7456"/>
      <c r="EJ7456"/>
      <c r="EK7456"/>
    </row>
    <row r="7457" spans="1:141" s="116" customFormat="1">
      <c r="A7457" s="136"/>
      <c r="CM7457" s="111"/>
      <c r="CQ7457" s="111"/>
      <c r="EF7457"/>
      <c r="EG7457"/>
      <c r="EH7457"/>
      <c r="EI7457"/>
      <c r="EJ7457"/>
      <c r="EK7457"/>
    </row>
    <row r="7458" spans="1:141" s="116" customFormat="1">
      <c r="A7458" s="136"/>
      <c r="CM7458" s="111"/>
      <c r="CQ7458" s="111"/>
      <c r="EF7458"/>
      <c r="EG7458"/>
      <c r="EH7458"/>
      <c r="EI7458"/>
      <c r="EJ7458"/>
      <c r="EK7458"/>
    </row>
    <row r="7459" spans="1:141" s="116" customFormat="1">
      <c r="A7459" s="136"/>
      <c r="CM7459" s="111"/>
      <c r="CQ7459" s="111"/>
      <c r="EF7459"/>
      <c r="EG7459"/>
      <c r="EH7459"/>
      <c r="EI7459"/>
      <c r="EJ7459"/>
      <c r="EK7459"/>
    </row>
    <row r="7460" spans="1:141" s="116" customFormat="1">
      <c r="A7460" s="136"/>
      <c r="CM7460" s="111"/>
      <c r="CQ7460" s="111"/>
      <c r="EF7460"/>
      <c r="EG7460"/>
      <c r="EH7460"/>
      <c r="EI7460"/>
      <c r="EJ7460"/>
      <c r="EK7460"/>
    </row>
    <row r="7461" spans="1:141" s="116" customFormat="1">
      <c r="A7461" s="136"/>
      <c r="CM7461" s="111"/>
      <c r="CQ7461" s="111"/>
      <c r="EF7461"/>
      <c r="EG7461"/>
      <c r="EH7461"/>
      <c r="EI7461"/>
      <c r="EJ7461"/>
      <c r="EK7461"/>
    </row>
    <row r="7462" spans="1:141" s="116" customFormat="1">
      <c r="A7462" s="136"/>
      <c r="CM7462" s="111"/>
      <c r="CQ7462" s="111"/>
      <c r="EF7462"/>
      <c r="EG7462"/>
      <c r="EH7462"/>
      <c r="EI7462"/>
      <c r="EJ7462"/>
      <c r="EK7462"/>
    </row>
    <row r="7463" spans="1:141" s="116" customFormat="1">
      <c r="A7463" s="136"/>
      <c r="CM7463" s="111"/>
      <c r="CQ7463" s="111"/>
      <c r="EF7463"/>
      <c r="EG7463"/>
      <c r="EH7463"/>
      <c r="EI7463"/>
      <c r="EJ7463"/>
      <c r="EK7463"/>
    </row>
    <row r="7464" spans="1:141" s="116" customFormat="1">
      <c r="A7464" s="136"/>
      <c r="CM7464" s="111"/>
      <c r="CQ7464" s="111"/>
      <c r="EF7464"/>
      <c r="EG7464"/>
      <c r="EH7464"/>
      <c r="EI7464"/>
      <c r="EJ7464"/>
      <c r="EK7464"/>
    </row>
    <row r="7465" spans="1:141" s="116" customFormat="1">
      <c r="A7465" s="136"/>
      <c r="CM7465" s="111"/>
      <c r="CQ7465" s="111"/>
      <c r="EF7465"/>
      <c r="EG7465"/>
      <c r="EH7465"/>
      <c r="EI7465"/>
      <c r="EJ7465"/>
      <c r="EK7465"/>
    </row>
    <row r="7466" spans="1:141" s="116" customFormat="1">
      <c r="A7466" s="136"/>
      <c r="CM7466" s="111"/>
      <c r="CQ7466" s="111"/>
      <c r="EF7466"/>
      <c r="EG7466"/>
      <c r="EH7466"/>
      <c r="EI7466"/>
      <c r="EJ7466"/>
      <c r="EK7466"/>
    </row>
    <row r="7467" spans="1:141" s="116" customFormat="1">
      <c r="A7467" s="136"/>
      <c r="CM7467" s="111"/>
      <c r="CQ7467" s="111"/>
      <c r="EF7467"/>
      <c r="EG7467"/>
      <c r="EH7467"/>
      <c r="EI7467"/>
      <c r="EJ7467"/>
      <c r="EK7467"/>
    </row>
    <row r="7468" spans="1:141" s="116" customFormat="1">
      <c r="A7468" s="136"/>
      <c r="CM7468" s="111"/>
      <c r="CQ7468" s="111"/>
      <c r="EF7468"/>
      <c r="EG7468"/>
      <c r="EH7468"/>
      <c r="EI7468"/>
      <c r="EJ7468"/>
      <c r="EK7468"/>
    </row>
    <row r="7469" spans="1:141" s="116" customFormat="1">
      <c r="A7469" s="136"/>
      <c r="CM7469" s="111"/>
      <c r="CQ7469" s="111"/>
      <c r="EF7469"/>
      <c r="EG7469"/>
      <c r="EH7469"/>
      <c r="EI7469"/>
      <c r="EJ7469"/>
      <c r="EK7469"/>
    </row>
    <row r="7470" spans="1:141" s="116" customFormat="1">
      <c r="A7470" s="136"/>
      <c r="CM7470" s="111"/>
      <c r="CQ7470" s="111"/>
      <c r="EF7470"/>
      <c r="EG7470"/>
      <c r="EH7470"/>
      <c r="EI7470"/>
      <c r="EJ7470"/>
      <c r="EK7470"/>
    </row>
    <row r="7471" spans="1:141" s="116" customFormat="1">
      <c r="A7471" s="136"/>
      <c r="CM7471" s="111"/>
      <c r="CQ7471" s="111"/>
      <c r="EF7471"/>
      <c r="EG7471"/>
      <c r="EH7471"/>
      <c r="EI7471"/>
      <c r="EJ7471"/>
      <c r="EK7471"/>
    </row>
    <row r="7472" spans="1:141" s="116" customFormat="1">
      <c r="A7472" s="136"/>
      <c r="CM7472" s="111"/>
      <c r="CQ7472" s="111"/>
      <c r="EF7472"/>
      <c r="EG7472"/>
      <c r="EH7472"/>
      <c r="EI7472"/>
      <c r="EJ7472"/>
      <c r="EK7472"/>
    </row>
    <row r="7473" spans="1:141" s="116" customFormat="1">
      <c r="A7473" s="136"/>
      <c r="CM7473" s="111"/>
      <c r="CQ7473" s="111"/>
      <c r="EF7473"/>
      <c r="EG7473"/>
      <c r="EH7473"/>
      <c r="EI7473"/>
      <c r="EJ7473"/>
      <c r="EK7473"/>
    </row>
    <row r="7474" spans="1:141" s="116" customFormat="1">
      <c r="A7474" s="136"/>
      <c r="CM7474" s="111"/>
      <c r="CQ7474" s="111"/>
      <c r="EF7474"/>
      <c r="EG7474"/>
      <c r="EH7474"/>
      <c r="EI7474"/>
      <c r="EJ7474"/>
      <c r="EK7474"/>
    </row>
    <row r="7475" spans="1:141" s="116" customFormat="1">
      <c r="A7475" s="136"/>
      <c r="CM7475" s="111"/>
      <c r="CQ7475" s="111"/>
      <c r="EF7475"/>
      <c r="EG7475"/>
      <c r="EH7475"/>
      <c r="EI7475"/>
      <c r="EJ7475"/>
      <c r="EK7475"/>
    </row>
    <row r="7476" spans="1:141" s="116" customFormat="1">
      <c r="A7476" s="136"/>
      <c r="CM7476" s="111"/>
      <c r="CQ7476" s="111"/>
      <c r="EF7476"/>
      <c r="EG7476"/>
      <c r="EH7476"/>
      <c r="EI7476"/>
      <c r="EJ7476"/>
      <c r="EK7476"/>
    </row>
    <row r="7477" spans="1:141" s="116" customFormat="1">
      <c r="A7477" s="136"/>
      <c r="CM7477" s="111"/>
      <c r="CQ7477" s="111"/>
      <c r="EF7477"/>
      <c r="EG7477"/>
      <c r="EH7477"/>
      <c r="EI7477"/>
      <c r="EJ7477"/>
      <c r="EK7477"/>
    </row>
    <row r="7478" spans="1:141" s="116" customFormat="1">
      <c r="A7478" s="136"/>
      <c r="CM7478" s="111"/>
      <c r="CQ7478" s="111"/>
      <c r="EF7478"/>
      <c r="EG7478"/>
      <c r="EH7478"/>
      <c r="EI7478"/>
      <c r="EJ7478"/>
      <c r="EK7478"/>
    </row>
    <row r="7479" spans="1:141" s="116" customFormat="1">
      <c r="A7479" s="136"/>
      <c r="CM7479" s="111"/>
      <c r="CQ7479" s="111"/>
      <c r="EF7479"/>
      <c r="EG7479"/>
      <c r="EH7479"/>
      <c r="EI7479"/>
      <c r="EJ7479"/>
      <c r="EK7479"/>
    </row>
    <row r="7480" spans="1:141" s="116" customFormat="1">
      <c r="A7480" s="136"/>
      <c r="CM7480" s="111"/>
      <c r="CQ7480" s="111"/>
      <c r="EF7480"/>
      <c r="EG7480"/>
      <c r="EH7480"/>
      <c r="EI7480"/>
      <c r="EJ7480"/>
      <c r="EK7480"/>
    </row>
    <row r="7481" spans="1:141" s="116" customFormat="1">
      <c r="A7481" s="136"/>
      <c r="CM7481" s="111"/>
      <c r="CQ7481" s="111"/>
      <c r="EF7481"/>
      <c r="EG7481"/>
      <c r="EH7481"/>
      <c r="EI7481"/>
      <c r="EJ7481"/>
      <c r="EK7481"/>
    </row>
    <row r="7482" spans="1:141" s="116" customFormat="1">
      <c r="A7482" s="136"/>
      <c r="CM7482" s="111"/>
      <c r="CQ7482" s="111"/>
      <c r="EF7482"/>
      <c r="EG7482"/>
      <c r="EH7482"/>
      <c r="EI7482"/>
      <c r="EJ7482"/>
      <c r="EK7482"/>
    </row>
    <row r="7483" spans="1:141" s="116" customFormat="1">
      <c r="A7483" s="136"/>
      <c r="CM7483" s="111"/>
      <c r="CQ7483" s="111"/>
      <c r="EF7483"/>
      <c r="EG7483"/>
      <c r="EH7483"/>
      <c r="EI7483"/>
      <c r="EJ7483"/>
      <c r="EK7483"/>
    </row>
    <row r="7484" spans="1:141" s="116" customFormat="1">
      <c r="A7484" s="136"/>
      <c r="CM7484" s="111"/>
      <c r="CQ7484" s="111"/>
      <c r="EF7484"/>
      <c r="EG7484"/>
      <c r="EH7484"/>
      <c r="EI7484"/>
      <c r="EJ7484"/>
      <c r="EK7484"/>
    </row>
    <row r="7485" spans="1:141" s="116" customFormat="1">
      <c r="A7485" s="136"/>
      <c r="CM7485" s="111"/>
      <c r="CQ7485" s="111"/>
      <c r="EF7485"/>
      <c r="EG7485"/>
      <c r="EH7485"/>
      <c r="EI7485"/>
      <c r="EJ7485"/>
      <c r="EK7485"/>
    </row>
    <row r="7486" spans="1:141" s="116" customFormat="1">
      <c r="A7486" s="136"/>
      <c r="CM7486" s="111"/>
      <c r="CQ7486" s="111"/>
      <c r="EF7486"/>
      <c r="EG7486"/>
      <c r="EH7486"/>
      <c r="EI7486"/>
      <c r="EJ7486"/>
      <c r="EK7486"/>
    </row>
    <row r="7487" spans="1:141" s="116" customFormat="1">
      <c r="A7487" s="136"/>
      <c r="CM7487" s="111"/>
      <c r="CQ7487" s="111"/>
      <c r="EF7487"/>
      <c r="EG7487"/>
      <c r="EH7487"/>
      <c r="EI7487"/>
      <c r="EJ7487"/>
      <c r="EK7487"/>
    </row>
    <row r="7488" spans="1:141" s="116" customFormat="1">
      <c r="A7488" s="136"/>
      <c r="CM7488" s="111"/>
      <c r="CQ7488" s="111"/>
      <c r="EF7488"/>
      <c r="EG7488"/>
      <c r="EH7488"/>
      <c r="EI7488"/>
      <c r="EJ7488"/>
      <c r="EK7488"/>
    </row>
    <row r="7489" spans="1:141" s="116" customFormat="1">
      <c r="A7489" s="136"/>
      <c r="CM7489" s="111"/>
      <c r="CQ7489" s="111"/>
      <c r="EF7489"/>
      <c r="EG7489"/>
      <c r="EH7489"/>
      <c r="EI7489"/>
      <c r="EJ7489"/>
      <c r="EK7489"/>
    </row>
    <row r="7490" spans="1:141" s="116" customFormat="1">
      <c r="A7490" s="136"/>
      <c r="CM7490" s="111"/>
      <c r="CQ7490" s="111"/>
      <c r="EF7490"/>
      <c r="EG7490"/>
      <c r="EH7490"/>
      <c r="EI7490"/>
      <c r="EJ7490"/>
      <c r="EK7490"/>
    </row>
    <row r="7491" spans="1:141" s="116" customFormat="1">
      <c r="A7491" s="136"/>
      <c r="CM7491" s="111"/>
      <c r="CQ7491" s="111"/>
      <c r="EF7491"/>
      <c r="EG7491"/>
      <c r="EH7491"/>
      <c r="EI7491"/>
      <c r="EJ7491"/>
      <c r="EK7491"/>
    </row>
    <row r="7492" spans="1:141" s="116" customFormat="1">
      <c r="A7492" s="136"/>
      <c r="CM7492" s="111"/>
      <c r="CQ7492" s="111"/>
      <c r="EF7492"/>
      <c r="EG7492"/>
      <c r="EH7492"/>
      <c r="EI7492"/>
      <c r="EJ7492"/>
      <c r="EK7492"/>
    </row>
    <row r="7493" spans="1:141" s="116" customFormat="1">
      <c r="A7493" s="136"/>
      <c r="CM7493" s="111"/>
      <c r="CQ7493" s="111"/>
      <c r="EF7493"/>
      <c r="EG7493"/>
      <c r="EH7493"/>
      <c r="EI7493"/>
      <c r="EJ7493"/>
      <c r="EK7493"/>
    </row>
    <row r="7494" spans="1:141" s="116" customFormat="1">
      <c r="A7494" s="136"/>
      <c r="CM7494" s="111"/>
      <c r="CQ7494" s="111"/>
      <c r="EF7494"/>
      <c r="EG7494"/>
      <c r="EH7494"/>
      <c r="EI7494"/>
      <c r="EJ7494"/>
      <c r="EK7494"/>
    </row>
    <row r="7495" spans="1:141" s="116" customFormat="1">
      <c r="A7495" s="136"/>
      <c r="CM7495" s="111"/>
      <c r="CQ7495" s="111"/>
      <c r="EF7495"/>
      <c r="EG7495"/>
      <c r="EH7495"/>
      <c r="EI7495"/>
      <c r="EJ7495"/>
      <c r="EK7495"/>
    </row>
    <row r="7496" spans="1:141" s="116" customFormat="1">
      <c r="A7496" s="136"/>
      <c r="CM7496" s="111"/>
      <c r="CQ7496" s="111"/>
      <c r="EF7496"/>
      <c r="EG7496"/>
      <c r="EH7496"/>
      <c r="EI7496"/>
      <c r="EJ7496"/>
      <c r="EK7496"/>
    </row>
    <row r="7497" spans="1:141" s="116" customFormat="1">
      <c r="A7497" s="136"/>
      <c r="CM7497" s="111"/>
      <c r="CQ7497" s="111"/>
      <c r="EF7497"/>
      <c r="EG7497"/>
      <c r="EH7497"/>
      <c r="EI7497"/>
      <c r="EJ7497"/>
      <c r="EK7497"/>
    </row>
    <row r="7498" spans="1:141" s="116" customFormat="1">
      <c r="A7498" s="136"/>
      <c r="CM7498" s="111"/>
      <c r="CQ7498" s="111"/>
      <c r="EF7498"/>
      <c r="EG7498"/>
      <c r="EH7498"/>
      <c r="EI7498"/>
      <c r="EJ7498"/>
      <c r="EK7498"/>
    </row>
    <row r="7499" spans="1:141" s="116" customFormat="1">
      <c r="A7499" s="136"/>
      <c r="CM7499" s="111"/>
      <c r="CQ7499" s="111"/>
      <c r="EF7499"/>
      <c r="EG7499"/>
      <c r="EH7499"/>
      <c r="EI7499"/>
      <c r="EJ7499"/>
      <c r="EK7499"/>
    </row>
    <row r="7500" spans="1:141" s="116" customFormat="1">
      <c r="A7500" s="136"/>
      <c r="CM7500" s="111"/>
      <c r="CQ7500" s="111"/>
      <c r="EF7500"/>
      <c r="EG7500"/>
      <c r="EH7500"/>
      <c r="EI7500"/>
      <c r="EJ7500"/>
      <c r="EK7500"/>
    </row>
    <row r="7501" spans="1:141" s="116" customFormat="1">
      <c r="A7501" s="136"/>
      <c r="CM7501" s="111"/>
      <c r="CQ7501" s="111"/>
      <c r="EF7501"/>
      <c r="EG7501"/>
      <c r="EH7501"/>
      <c r="EI7501"/>
      <c r="EJ7501"/>
      <c r="EK7501"/>
    </row>
    <row r="7502" spans="1:141" s="116" customFormat="1">
      <c r="A7502" s="136"/>
      <c r="CM7502" s="111"/>
      <c r="CQ7502" s="111"/>
      <c r="EF7502"/>
      <c r="EG7502"/>
      <c r="EH7502"/>
      <c r="EI7502"/>
      <c r="EJ7502"/>
      <c r="EK7502"/>
    </row>
    <row r="7503" spans="1:141" s="116" customFormat="1">
      <c r="A7503" s="136"/>
      <c r="CM7503" s="111"/>
      <c r="CQ7503" s="111"/>
      <c r="EF7503"/>
      <c r="EG7503"/>
      <c r="EH7503"/>
      <c r="EI7503"/>
      <c r="EJ7503"/>
      <c r="EK7503"/>
    </row>
    <row r="7504" spans="1:141" s="116" customFormat="1">
      <c r="A7504" s="136"/>
      <c r="CM7504" s="111"/>
      <c r="CQ7504" s="111"/>
      <c r="EF7504"/>
      <c r="EG7504"/>
      <c r="EH7504"/>
      <c r="EI7504"/>
      <c r="EJ7504"/>
      <c r="EK7504"/>
    </row>
    <row r="7505" spans="1:141" s="116" customFormat="1">
      <c r="A7505" s="136"/>
      <c r="CM7505" s="111"/>
      <c r="CQ7505" s="111"/>
      <c r="EF7505"/>
      <c r="EG7505"/>
      <c r="EH7505"/>
      <c r="EI7505"/>
      <c r="EJ7505"/>
      <c r="EK7505"/>
    </row>
    <row r="7506" spans="1:141" s="116" customFormat="1">
      <c r="A7506" s="136"/>
      <c r="CM7506" s="111"/>
      <c r="CQ7506" s="111"/>
      <c r="EF7506"/>
      <c r="EG7506"/>
      <c r="EH7506"/>
      <c r="EI7506"/>
      <c r="EJ7506"/>
      <c r="EK7506"/>
    </row>
    <row r="7507" spans="1:141" s="116" customFormat="1">
      <c r="A7507" s="136"/>
      <c r="CM7507" s="111"/>
      <c r="CQ7507" s="111"/>
      <c r="EF7507"/>
      <c r="EG7507"/>
      <c r="EH7507"/>
      <c r="EI7507"/>
      <c r="EJ7507"/>
      <c r="EK7507"/>
    </row>
    <row r="7508" spans="1:141" s="116" customFormat="1">
      <c r="A7508" s="136"/>
      <c r="CM7508" s="111"/>
      <c r="CQ7508" s="111"/>
      <c r="EF7508"/>
      <c r="EG7508"/>
      <c r="EH7508"/>
      <c r="EI7508"/>
      <c r="EJ7508"/>
      <c r="EK7508"/>
    </row>
    <row r="7509" spans="1:141" s="116" customFormat="1">
      <c r="A7509" s="136"/>
      <c r="CM7509" s="111"/>
      <c r="CQ7509" s="111"/>
      <c r="EF7509"/>
      <c r="EG7509"/>
      <c r="EH7509"/>
      <c r="EI7509"/>
      <c r="EJ7509"/>
      <c r="EK7509"/>
    </row>
    <row r="7510" spans="1:141" s="116" customFormat="1">
      <c r="A7510" s="136"/>
      <c r="CM7510" s="111"/>
      <c r="CQ7510" s="111"/>
      <c r="EF7510"/>
      <c r="EG7510"/>
      <c r="EH7510"/>
      <c r="EI7510"/>
      <c r="EJ7510"/>
      <c r="EK7510"/>
    </row>
    <row r="7511" spans="1:141" s="116" customFormat="1">
      <c r="A7511" s="136"/>
      <c r="CM7511" s="111"/>
      <c r="CQ7511" s="111"/>
      <c r="EF7511"/>
      <c r="EG7511"/>
      <c r="EH7511"/>
      <c r="EI7511"/>
      <c r="EJ7511"/>
      <c r="EK7511"/>
    </row>
    <row r="7512" spans="1:141" s="116" customFormat="1">
      <c r="A7512" s="136"/>
      <c r="CM7512" s="111"/>
      <c r="CQ7512" s="111"/>
      <c r="EF7512"/>
      <c r="EG7512"/>
      <c r="EH7512"/>
      <c r="EI7512"/>
      <c r="EJ7512"/>
      <c r="EK7512"/>
    </row>
    <row r="7513" spans="1:141" s="116" customFormat="1">
      <c r="A7513" s="136"/>
      <c r="CM7513" s="111"/>
      <c r="CQ7513" s="111"/>
      <c r="EF7513"/>
      <c r="EG7513"/>
      <c r="EH7513"/>
      <c r="EI7513"/>
      <c r="EJ7513"/>
      <c r="EK7513"/>
    </row>
    <row r="7514" spans="1:141" s="116" customFormat="1">
      <c r="A7514" s="136"/>
      <c r="CM7514" s="111"/>
      <c r="CQ7514" s="111"/>
      <c r="EF7514"/>
      <c r="EG7514"/>
      <c r="EH7514"/>
      <c r="EI7514"/>
      <c r="EJ7514"/>
      <c r="EK7514"/>
    </row>
    <row r="7515" spans="1:141" s="116" customFormat="1">
      <c r="A7515" s="136"/>
      <c r="CM7515" s="111"/>
      <c r="CQ7515" s="111"/>
      <c r="EF7515"/>
      <c r="EG7515"/>
      <c r="EH7515"/>
      <c r="EI7515"/>
      <c r="EJ7515"/>
      <c r="EK7515"/>
    </row>
    <row r="7516" spans="1:141" s="116" customFormat="1">
      <c r="A7516" s="136"/>
      <c r="CM7516" s="111"/>
      <c r="CQ7516" s="111"/>
      <c r="EF7516"/>
      <c r="EG7516"/>
      <c r="EH7516"/>
      <c r="EI7516"/>
      <c r="EJ7516"/>
      <c r="EK7516"/>
    </row>
    <row r="7517" spans="1:141" s="116" customFormat="1">
      <c r="A7517" s="136"/>
      <c r="CM7517" s="111"/>
      <c r="CQ7517" s="111"/>
      <c r="EF7517"/>
      <c r="EG7517"/>
      <c r="EH7517"/>
      <c r="EI7517"/>
      <c r="EJ7517"/>
      <c r="EK7517"/>
    </row>
    <row r="7518" spans="1:141" s="116" customFormat="1">
      <c r="A7518" s="136"/>
      <c r="CM7518" s="111"/>
      <c r="CQ7518" s="111"/>
      <c r="EF7518"/>
      <c r="EG7518"/>
      <c r="EH7518"/>
      <c r="EI7518"/>
      <c r="EJ7518"/>
      <c r="EK7518"/>
    </row>
    <row r="7519" spans="1:141" s="116" customFormat="1">
      <c r="A7519" s="136"/>
      <c r="CM7519" s="111"/>
      <c r="CQ7519" s="111"/>
      <c r="EF7519"/>
      <c r="EG7519"/>
      <c r="EH7519"/>
      <c r="EI7519"/>
      <c r="EJ7519"/>
      <c r="EK7519"/>
    </row>
    <row r="7520" spans="1:141" s="116" customFormat="1">
      <c r="A7520" s="136"/>
      <c r="CM7520" s="111"/>
      <c r="CQ7520" s="111"/>
      <c r="EF7520"/>
      <c r="EG7520"/>
      <c r="EH7520"/>
      <c r="EI7520"/>
      <c r="EJ7520"/>
      <c r="EK7520"/>
    </row>
    <row r="7521" spans="1:141" s="116" customFormat="1">
      <c r="A7521" s="136"/>
      <c r="CM7521" s="111"/>
      <c r="CQ7521" s="111"/>
      <c r="EF7521"/>
      <c r="EG7521"/>
      <c r="EH7521"/>
      <c r="EI7521"/>
      <c r="EJ7521"/>
      <c r="EK7521"/>
    </row>
    <row r="7522" spans="1:141" s="116" customFormat="1">
      <c r="A7522" s="136"/>
      <c r="CM7522" s="111"/>
      <c r="CQ7522" s="111"/>
      <c r="EF7522"/>
      <c r="EG7522"/>
      <c r="EH7522"/>
      <c r="EI7522"/>
      <c r="EJ7522"/>
      <c r="EK7522"/>
    </row>
    <row r="7523" spans="1:141" s="116" customFormat="1">
      <c r="A7523" s="136"/>
      <c r="CM7523" s="111"/>
      <c r="CQ7523" s="111"/>
      <c r="EF7523"/>
      <c r="EG7523"/>
      <c r="EH7523"/>
      <c r="EI7523"/>
      <c r="EJ7523"/>
      <c r="EK7523"/>
    </row>
    <row r="7524" spans="1:141" s="116" customFormat="1">
      <c r="A7524" s="136"/>
      <c r="CM7524" s="111"/>
      <c r="CQ7524" s="111"/>
      <c r="EF7524"/>
      <c r="EG7524"/>
      <c r="EH7524"/>
      <c r="EI7524"/>
      <c r="EJ7524"/>
      <c r="EK7524"/>
    </row>
    <row r="7525" spans="1:141" s="116" customFormat="1">
      <c r="A7525" s="136"/>
      <c r="CM7525" s="111"/>
      <c r="CQ7525" s="111"/>
      <c r="EF7525"/>
      <c r="EG7525"/>
      <c r="EH7525"/>
      <c r="EI7525"/>
      <c r="EJ7525"/>
      <c r="EK7525"/>
    </row>
    <row r="7526" spans="1:141" s="116" customFormat="1">
      <c r="A7526" s="136"/>
      <c r="CM7526" s="111"/>
      <c r="CQ7526" s="111"/>
      <c r="EF7526"/>
      <c r="EG7526"/>
      <c r="EH7526"/>
      <c r="EI7526"/>
      <c r="EJ7526"/>
      <c r="EK7526"/>
    </row>
    <row r="7527" spans="1:141" s="116" customFormat="1">
      <c r="A7527" s="136"/>
      <c r="CM7527" s="111"/>
      <c r="CQ7527" s="111"/>
      <c r="EF7527"/>
      <c r="EG7527"/>
      <c r="EH7527"/>
      <c r="EI7527"/>
      <c r="EJ7527"/>
      <c r="EK7527"/>
    </row>
    <row r="7528" spans="1:141" s="116" customFormat="1">
      <c r="A7528" s="136"/>
      <c r="CM7528" s="111"/>
      <c r="CQ7528" s="111"/>
      <c r="EF7528"/>
      <c r="EG7528"/>
      <c r="EH7528"/>
      <c r="EI7528"/>
      <c r="EJ7528"/>
      <c r="EK7528"/>
    </row>
    <row r="7529" spans="1:141" s="116" customFormat="1">
      <c r="A7529" s="136"/>
      <c r="CM7529" s="111"/>
      <c r="CQ7529" s="111"/>
      <c r="EF7529"/>
      <c r="EG7529"/>
      <c r="EH7529"/>
      <c r="EI7529"/>
      <c r="EJ7529"/>
      <c r="EK7529"/>
    </row>
    <row r="7530" spans="1:141" s="116" customFormat="1">
      <c r="A7530" s="136"/>
      <c r="CM7530" s="111"/>
      <c r="CQ7530" s="111"/>
      <c r="EF7530"/>
      <c r="EG7530"/>
      <c r="EH7530"/>
      <c r="EI7530"/>
      <c r="EJ7530"/>
      <c r="EK7530"/>
    </row>
    <row r="7531" spans="1:141" s="116" customFormat="1">
      <c r="A7531" s="136"/>
      <c r="CM7531" s="111"/>
      <c r="CQ7531" s="111"/>
      <c r="EF7531"/>
      <c r="EG7531"/>
      <c r="EH7531"/>
      <c r="EI7531"/>
      <c r="EJ7531"/>
      <c r="EK7531"/>
    </row>
    <row r="7532" spans="1:141" s="116" customFormat="1">
      <c r="A7532" s="136"/>
      <c r="CM7532" s="111"/>
      <c r="CQ7532" s="111"/>
      <c r="EF7532"/>
      <c r="EG7532"/>
      <c r="EH7532"/>
      <c r="EI7532"/>
      <c r="EJ7532"/>
      <c r="EK7532"/>
    </row>
    <row r="7533" spans="1:141" s="116" customFormat="1">
      <c r="A7533" s="136"/>
      <c r="CM7533" s="111"/>
      <c r="CQ7533" s="111"/>
      <c r="EF7533"/>
      <c r="EG7533"/>
      <c r="EH7533"/>
      <c r="EI7533"/>
      <c r="EJ7533"/>
      <c r="EK7533"/>
    </row>
    <row r="7534" spans="1:141" s="116" customFormat="1">
      <c r="A7534" s="136"/>
      <c r="CM7534" s="111"/>
      <c r="CQ7534" s="111"/>
      <c r="EF7534"/>
      <c r="EG7534"/>
      <c r="EH7534"/>
      <c r="EI7534"/>
      <c r="EJ7534"/>
      <c r="EK7534"/>
    </row>
    <row r="7535" spans="1:141" s="116" customFormat="1">
      <c r="A7535" s="136"/>
      <c r="CM7535" s="111"/>
      <c r="CQ7535" s="111"/>
      <c r="EF7535"/>
      <c r="EG7535"/>
      <c r="EH7535"/>
      <c r="EI7535"/>
      <c r="EJ7535"/>
      <c r="EK7535"/>
    </row>
    <row r="7536" spans="1:141" s="116" customFormat="1">
      <c r="A7536" s="136"/>
      <c r="CM7536" s="111"/>
      <c r="CQ7536" s="111"/>
      <c r="EF7536"/>
      <c r="EG7536"/>
      <c r="EH7536"/>
      <c r="EI7536"/>
      <c r="EJ7536"/>
      <c r="EK7536"/>
    </row>
    <row r="7537" spans="1:141" s="116" customFormat="1">
      <c r="A7537" s="136"/>
      <c r="CM7537" s="111"/>
      <c r="CQ7537" s="111"/>
      <c r="EF7537"/>
      <c r="EG7537"/>
      <c r="EH7537"/>
      <c r="EI7537"/>
      <c r="EJ7537"/>
      <c r="EK7537"/>
    </row>
    <row r="7538" spans="1:141" s="116" customFormat="1">
      <c r="A7538" s="136"/>
      <c r="CM7538" s="111"/>
      <c r="CQ7538" s="111"/>
      <c r="EF7538"/>
      <c r="EG7538"/>
      <c r="EH7538"/>
      <c r="EI7538"/>
      <c r="EJ7538"/>
      <c r="EK7538"/>
    </row>
    <row r="7539" spans="1:141" s="116" customFormat="1">
      <c r="A7539" s="136"/>
      <c r="CM7539" s="111"/>
      <c r="CQ7539" s="111"/>
      <c r="EF7539"/>
      <c r="EG7539"/>
      <c r="EH7539"/>
      <c r="EI7539"/>
      <c r="EJ7539"/>
      <c r="EK7539"/>
    </row>
    <row r="7540" spans="1:141" s="116" customFormat="1">
      <c r="A7540" s="136"/>
      <c r="CM7540" s="111"/>
      <c r="CQ7540" s="111"/>
      <c r="EF7540"/>
      <c r="EG7540"/>
      <c r="EH7540"/>
      <c r="EI7540"/>
      <c r="EJ7540"/>
      <c r="EK7540"/>
    </row>
    <row r="7541" spans="1:141" s="116" customFormat="1">
      <c r="A7541" s="136"/>
      <c r="CM7541" s="111"/>
      <c r="CQ7541" s="111"/>
      <c r="EF7541"/>
      <c r="EG7541"/>
      <c r="EH7541"/>
      <c r="EI7541"/>
      <c r="EJ7541"/>
      <c r="EK7541"/>
    </row>
    <row r="7542" spans="1:141" s="116" customFormat="1">
      <c r="A7542" s="136"/>
      <c r="CM7542" s="111"/>
      <c r="CQ7542" s="111"/>
      <c r="EF7542"/>
      <c r="EG7542"/>
      <c r="EH7542"/>
      <c r="EI7542"/>
      <c r="EJ7542"/>
      <c r="EK7542"/>
    </row>
    <row r="7543" spans="1:141" s="116" customFormat="1">
      <c r="A7543" s="136"/>
      <c r="CM7543" s="111"/>
      <c r="CQ7543" s="111"/>
      <c r="EF7543"/>
      <c r="EG7543"/>
      <c r="EH7543"/>
      <c r="EI7543"/>
      <c r="EJ7543"/>
      <c r="EK7543"/>
    </row>
    <row r="7544" spans="1:141" s="116" customFormat="1">
      <c r="A7544" s="136"/>
      <c r="CM7544" s="111"/>
      <c r="CQ7544" s="111"/>
      <c r="EF7544"/>
      <c r="EG7544"/>
      <c r="EH7544"/>
      <c r="EI7544"/>
      <c r="EJ7544"/>
      <c r="EK7544"/>
    </row>
    <row r="7545" spans="1:141" s="116" customFormat="1">
      <c r="A7545" s="136"/>
      <c r="CM7545" s="111"/>
      <c r="CQ7545" s="111"/>
      <c r="EF7545"/>
      <c r="EG7545"/>
      <c r="EH7545"/>
      <c r="EI7545"/>
      <c r="EJ7545"/>
      <c r="EK7545"/>
    </row>
    <row r="7546" spans="1:141" s="116" customFormat="1">
      <c r="A7546" s="136"/>
      <c r="CM7546" s="111"/>
      <c r="CQ7546" s="111"/>
      <c r="EF7546"/>
      <c r="EG7546"/>
      <c r="EH7546"/>
      <c r="EI7546"/>
      <c r="EJ7546"/>
      <c r="EK7546"/>
    </row>
    <row r="7547" spans="1:141" s="116" customFormat="1">
      <c r="A7547" s="136"/>
      <c r="CM7547" s="111"/>
      <c r="CQ7547" s="111"/>
      <c r="EF7547"/>
      <c r="EG7547"/>
      <c r="EH7547"/>
      <c r="EI7547"/>
      <c r="EJ7547"/>
      <c r="EK7547"/>
    </row>
    <row r="7548" spans="1:141" s="116" customFormat="1">
      <c r="A7548" s="136"/>
      <c r="CM7548" s="111"/>
      <c r="CQ7548" s="111"/>
      <c r="EF7548"/>
      <c r="EG7548"/>
      <c r="EH7548"/>
      <c r="EI7548"/>
      <c r="EJ7548"/>
      <c r="EK7548"/>
    </row>
    <row r="7549" spans="1:141" s="116" customFormat="1">
      <c r="A7549" s="136"/>
      <c r="CM7549" s="111"/>
      <c r="CQ7549" s="111"/>
      <c r="EF7549"/>
      <c r="EG7549"/>
      <c r="EH7549"/>
      <c r="EI7549"/>
      <c r="EJ7549"/>
      <c r="EK7549"/>
    </row>
    <row r="7550" spans="1:141" s="116" customFormat="1">
      <c r="A7550" s="136"/>
      <c r="CM7550" s="111"/>
      <c r="CQ7550" s="111"/>
      <c r="EF7550"/>
      <c r="EG7550"/>
      <c r="EH7550"/>
      <c r="EI7550"/>
      <c r="EJ7550"/>
      <c r="EK7550"/>
    </row>
    <row r="7551" spans="1:141" s="116" customFormat="1">
      <c r="A7551" s="136"/>
      <c r="CM7551" s="111"/>
      <c r="CQ7551" s="111"/>
      <c r="EF7551"/>
      <c r="EG7551"/>
      <c r="EH7551"/>
      <c r="EI7551"/>
      <c r="EJ7551"/>
      <c r="EK7551"/>
    </row>
    <row r="7552" spans="1:141" s="116" customFormat="1">
      <c r="A7552" s="136"/>
      <c r="CM7552" s="111"/>
      <c r="CQ7552" s="111"/>
      <c r="EF7552"/>
      <c r="EG7552"/>
      <c r="EH7552"/>
      <c r="EI7552"/>
      <c r="EJ7552"/>
      <c r="EK7552"/>
    </row>
    <row r="7553" spans="1:141" s="116" customFormat="1">
      <c r="A7553" s="136"/>
      <c r="CM7553" s="111"/>
      <c r="CQ7553" s="111"/>
      <c r="EF7553"/>
      <c r="EG7553"/>
      <c r="EH7553"/>
      <c r="EI7553"/>
      <c r="EJ7553"/>
      <c r="EK7553"/>
    </row>
    <row r="7554" spans="1:141" s="116" customFormat="1">
      <c r="A7554" s="136"/>
      <c r="CM7554" s="111"/>
      <c r="CQ7554" s="111"/>
      <c r="EF7554"/>
      <c r="EG7554"/>
      <c r="EH7554"/>
      <c r="EI7554"/>
      <c r="EJ7554"/>
      <c r="EK7554"/>
    </row>
    <row r="7555" spans="1:141" s="116" customFormat="1">
      <c r="A7555" s="136"/>
      <c r="CM7555" s="111"/>
      <c r="CQ7555" s="111"/>
      <c r="EF7555"/>
      <c r="EG7555"/>
      <c r="EH7555"/>
      <c r="EI7555"/>
      <c r="EJ7555"/>
      <c r="EK7555"/>
    </row>
    <row r="7556" spans="1:141" s="116" customFormat="1">
      <c r="A7556" s="136"/>
      <c r="CM7556" s="111"/>
      <c r="CQ7556" s="111"/>
      <c r="EF7556"/>
      <c r="EG7556"/>
      <c r="EH7556"/>
      <c r="EI7556"/>
      <c r="EJ7556"/>
      <c r="EK7556"/>
    </row>
    <row r="7557" spans="1:141" s="116" customFormat="1">
      <c r="A7557" s="136"/>
      <c r="CM7557" s="111"/>
      <c r="CQ7557" s="111"/>
      <c r="EF7557"/>
      <c r="EG7557"/>
      <c r="EH7557"/>
      <c r="EI7557"/>
      <c r="EJ7557"/>
      <c r="EK7557"/>
    </row>
    <row r="7558" spans="1:141" s="116" customFormat="1">
      <c r="A7558" s="136"/>
      <c r="CM7558" s="111"/>
      <c r="CQ7558" s="111"/>
      <c r="EF7558"/>
      <c r="EG7558"/>
      <c r="EH7558"/>
      <c r="EI7558"/>
      <c r="EJ7558"/>
      <c r="EK7558"/>
    </row>
    <row r="7559" spans="1:141" s="116" customFormat="1">
      <c r="A7559" s="136"/>
      <c r="CM7559" s="111"/>
      <c r="CQ7559" s="111"/>
      <c r="EF7559"/>
      <c r="EG7559"/>
      <c r="EH7559"/>
      <c r="EI7559"/>
      <c r="EJ7559"/>
      <c r="EK7559"/>
    </row>
    <row r="7560" spans="1:141" s="116" customFormat="1">
      <c r="A7560" s="136"/>
      <c r="CM7560" s="111"/>
      <c r="CQ7560" s="111"/>
      <c r="EF7560"/>
      <c r="EG7560"/>
      <c r="EH7560"/>
      <c r="EI7560"/>
      <c r="EJ7560"/>
      <c r="EK7560"/>
    </row>
    <row r="7561" spans="1:141" s="116" customFormat="1">
      <c r="A7561" s="136"/>
      <c r="CM7561" s="111"/>
      <c r="CQ7561" s="111"/>
      <c r="EF7561"/>
      <c r="EG7561"/>
      <c r="EH7561"/>
      <c r="EI7561"/>
      <c r="EJ7561"/>
      <c r="EK7561"/>
    </row>
    <row r="7562" spans="1:141" s="116" customFormat="1">
      <c r="A7562" s="136"/>
      <c r="CM7562" s="111"/>
      <c r="CQ7562" s="111"/>
      <c r="EF7562"/>
      <c r="EG7562"/>
      <c r="EH7562"/>
      <c r="EI7562"/>
      <c r="EJ7562"/>
      <c r="EK7562"/>
    </row>
    <row r="7563" spans="1:141" s="116" customFormat="1">
      <c r="A7563" s="136"/>
      <c r="CM7563" s="111"/>
      <c r="CQ7563" s="111"/>
      <c r="EF7563"/>
      <c r="EG7563"/>
      <c r="EH7563"/>
      <c r="EI7563"/>
      <c r="EJ7563"/>
      <c r="EK7563"/>
    </row>
    <row r="7564" spans="1:141" s="116" customFormat="1">
      <c r="A7564" s="136"/>
      <c r="CM7564" s="111"/>
      <c r="CQ7564" s="111"/>
      <c r="EF7564"/>
      <c r="EG7564"/>
      <c r="EH7564"/>
      <c r="EI7564"/>
      <c r="EJ7564"/>
      <c r="EK7564"/>
    </row>
    <row r="7565" spans="1:141" s="116" customFormat="1">
      <c r="A7565" s="136"/>
      <c r="CM7565" s="111"/>
      <c r="CQ7565" s="111"/>
      <c r="EF7565"/>
      <c r="EG7565"/>
      <c r="EH7565"/>
      <c r="EI7565"/>
      <c r="EJ7565"/>
      <c r="EK7565"/>
    </row>
    <row r="7566" spans="1:141" s="116" customFormat="1">
      <c r="A7566" s="136"/>
      <c r="CM7566" s="111"/>
      <c r="CQ7566" s="111"/>
      <c r="EF7566"/>
      <c r="EG7566"/>
      <c r="EH7566"/>
      <c r="EI7566"/>
      <c r="EJ7566"/>
      <c r="EK7566"/>
    </row>
    <row r="7567" spans="1:141" s="116" customFormat="1">
      <c r="A7567" s="136"/>
      <c r="CM7567" s="111"/>
      <c r="CQ7567" s="111"/>
      <c r="EF7567"/>
      <c r="EG7567"/>
      <c r="EH7567"/>
      <c r="EI7567"/>
      <c r="EJ7567"/>
      <c r="EK7567"/>
    </row>
    <row r="7568" spans="1:141" s="116" customFormat="1">
      <c r="A7568" s="136"/>
      <c r="CM7568" s="111"/>
      <c r="CQ7568" s="111"/>
      <c r="EF7568"/>
      <c r="EG7568"/>
      <c r="EH7568"/>
      <c r="EI7568"/>
      <c r="EJ7568"/>
      <c r="EK7568"/>
    </row>
    <row r="7569" spans="1:141" s="116" customFormat="1">
      <c r="A7569" s="136"/>
      <c r="CM7569" s="111"/>
      <c r="CQ7569" s="111"/>
      <c r="EF7569"/>
      <c r="EG7569"/>
      <c r="EH7569"/>
      <c r="EI7569"/>
      <c r="EJ7569"/>
      <c r="EK7569"/>
    </row>
    <row r="7570" spans="1:141" s="116" customFormat="1">
      <c r="A7570" s="136"/>
      <c r="CM7570" s="111"/>
      <c r="CQ7570" s="111"/>
      <c r="EF7570"/>
      <c r="EG7570"/>
      <c r="EH7570"/>
      <c r="EI7570"/>
      <c r="EJ7570"/>
      <c r="EK7570"/>
    </row>
    <row r="7571" spans="1:141" s="116" customFormat="1">
      <c r="A7571" s="136"/>
      <c r="CM7571" s="111"/>
      <c r="CQ7571" s="111"/>
      <c r="EF7571"/>
      <c r="EG7571"/>
      <c r="EH7571"/>
      <c r="EI7571"/>
      <c r="EJ7571"/>
      <c r="EK7571"/>
    </row>
    <row r="7572" spans="1:141" s="116" customFormat="1">
      <c r="A7572" s="136"/>
      <c r="CM7572" s="111"/>
      <c r="CQ7572" s="111"/>
      <c r="EF7572"/>
      <c r="EG7572"/>
      <c r="EH7572"/>
      <c r="EI7572"/>
      <c r="EJ7572"/>
      <c r="EK7572"/>
    </row>
    <row r="7573" spans="1:141" s="116" customFormat="1">
      <c r="A7573" s="136"/>
      <c r="CM7573" s="111"/>
      <c r="CQ7573" s="111"/>
      <c r="EF7573"/>
      <c r="EG7573"/>
      <c r="EH7573"/>
      <c r="EI7573"/>
      <c r="EJ7573"/>
      <c r="EK7573"/>
    </row>
    <row r="7574" spans="1:141" s="116" customFormat="1">
      <c r="A7574" s="136"/>
      <c r="CM7574" s="111"/>
      <c r="CQ7574" s="111"/>
      <c r="EF7574"/>
      <c r="EG7574"/>
      <c r="EH7574"/>
      <c r="EI7574"/>
      <c r="EJ7574"/>
      <c r="EK7574"/>
    </row>
    <row r="7575" spans="1:141" s="116" customFormat="1">
      <c r="A7575" s="136"/>
      <c r="CM7575" s="111"/>
      <c r="CQ7575" s="111"/>
      <c r="EF7575"/>
      <c r="EG7575"/>
      <c r="EH7575"/>
      <c r="EI7575"/>
      <c r="EJ7575"/>
      <c r="EK7575"/>
    </row>
    <row r="7576" spans="1:141" s="116" customFormat="1">
      <c r="A7576" s="136"/>
      <c r="CM7576" s="111"/>
      <c r="CQ7576" s="111"/>
      <c r="EF7576"/>
      <c r="EG7576"/>
      <c r="EH7576"/>
      <c r="EI7576"/>
      <c r="EJ7576"/>
      <c r="EK7576"/>
    </row>
    <row r="7577" spans="1:141" s="116" customFormat="1">
      <c r="A7577" s="136"/>
      <c r="CM7577" s="111"/>
      <c r="CQ7577" s="111"/>
      <c r="EF7577"/>
      <c r="EG7577"/>
      <c r="EH7577"/>
      <c r="EI7577"/>
      <c r="EJ7577"/>
      <c r="EK7577"/>
    </row>
    <row r="7578" spans="1:141" s="116" customFormat="1">
      <c r="A7578" s="136"/>
      <c r="CM7578" s="111"/>
      <c r="CQ7578" s="111"/>
      <c r="EF7578"/>
      <c r="EG7578"/>
      <c r="EH7578"/>
      <c r="EI7578"/>
      <c r="EJ7578"/>
      <c r="EK7578"/>
    </row>
    <row r="7579" spans="1:141" s="116" customFormat="1">
      <c r="A7579" s="136"/>
      <c r="CM7579" s="111"/>
      <c r="CQ7579" s="111"/>
      <c r="EF7579"/>
      <c r="EG7579"/>
      <c r="EH7579"/>
      <c r="EI7579"/>
      <c r="EJ7579"/>
      <c r="EK7579"/>
    </row>
    <row r="7580" spans="1:141" s="116" customFormat="1">
      <c r="A7580" s="136"/>
      <c r="CM7580" s="111"/>
      <c r="CQ7580" s="111"/>
      <c r="EF7580"/>
      <c r="EG7580"/>
      <c r="EH7580"/>
      <c r="EI7580"/>
      <c r="EJ7580"/>
      <c r="EK7580"/>
    </row>
    <row r="7581" spans="1:141" s="116" customFormat="1">
      <c r="A7581" s="136"/>
      <c r="CM7581" s="111"/>
      <c r="CQ7581" s="111"/>
      <c r="EF7581"/>
      <c r="EG7581"/>
      <c r="EH7581"/>
      <c r="EI7581"/>
      <c r="EJ7581"/>
      <c r="EK7581"/>
    </row>
    <row r="7582" spans="1:141" s="116" customFormat="1">
      <c r="A7582" s="136"/>
      <c r="CM7582" s="111"/>
      <c r="CQ7582" s="111"/>
      <c r="EF7582"/>
      <c r="EG7582"/>
      <c r="EH7582"/>
      <c r="EI7582"/>
      <c r="EJ7582"/>
      <c r="EK7582"/>
    </row>
    <row r="7583" spans="1:141" s="116" customFormat="1">
      <c r="A7583" s="136"/>
      <c r="CM7583" s="111"/>
      <c r="CQ7583" s="111"/>
      <c r="EF7583"/>
      <c r="EG7583"/>
      <c r="EH7583"/>
      <c r="EI7583"/>
      <c r="EJ7583"/>
      <c r="EK7583"/>
    </row>
    <row r="7584" spans="1:141" s="116" customFormat="1">
      <c r="A7584" s="136"/>
      <c r="CM7584" s="111"/>
      <c r="CQ7584" s="111"/>
      <c r="EF7584"/>
      <c r="EG7584"/>
      <c r="EH7584"/>
      <c r="EI7584"/>
      <c r="EJ7584"/>
      <c r="EK7584"/>
    </row>
    <row r="7585" spans="1:141" s="116" customFormat="1">
      <c r="A7585" s="136"/>
      <c r="CM7585" s="111"/>
      <c r="CQ7585" s="111"/>
      <c r="EF7585"/>
      <c r="EG7585"/>
      <c r="EH7585"/>
      <c r="EI7585"/>
      <c r="EJ7585"/>
      <c r="EK7585"/>
    </row>
    <row r="7586" spans="1:141" s="116" customFormat="1">
      <c r="A7586" s="136"/>
      <c r="CM7586" s="111"/>
      <c r="CQ7586" s="111"/>
      <c r="EF7586"/>
      <c r="EG7586"/>
      <c r="EH7586"/>
      <c r="EI7586"/>
      <c r="EJ7586"/>
      <c r="EK7586"/>
    </row>
    <row r="7587" spans="1:141" s="116" customFormat="1">
      <c r="A7587" s="136"/>
      <c r="CM7587" s="111"/>
      <c r="CQ7587" s="111"/>
      <c r="EF7587"/>
      <c r="EG7587"/>
      <c r="EH7587"/>
      <c r="EI7587"/>
      <c r="EJ7587"/>
      <c r="EK7587"/>
    </row>
    <row r="7588" spans="1:141" s="116" customFormat="1">
      <c r="A7588" s="136"/>
      <c r="CM7588" s="111"/>
      <c r="CQ7588" s="111"/>
      <c r="EF7588"/>
      <c r="EG7588"/>
      <c r="EH7588"/>
      <c r="EI7588"/>
      <c r="EJ7588"/>
      <c r="EK7588"/>
    </row>
    <row r="7589" spans="1:141" s="116" customFormat="1">
      <c r="A7589" s="136"/>
      <c r="CM7589" s="111"/>
      <c r="CQ7589" s="111"/>
      <c r="EF7589"/>
      <c r="EG7589"/>
      <c r="EH7589"/>
      <c r="EI7589"/>
      <c r="EJ7589"/>
      <c r="EK7589"/>
    </row>
    <row r="7590" spans="1:141" s="116" customFormat="1">
      <c r="A7590" s="136"/>
      <c r="CM7590" s="111"/>
      <c r="CQ7590" s="111"/>
      <c r="EF7590"/>
      <c r="EG7590"/>
      <c r="EH7590"/>
      <c r="EI7590"/>
      <c r="EJ7590"/>
      <c r="EK7590"/>
    </row>
    <row r="7591" spans="1:141" s="116" customFormat="1">
      <c r="A7591" s="136"/>
      <c r="CM7591" s="111"/>
      <c r="CQ7591" s="111"/>
      <c r="EF7591"/>
      <c r="EG7591"/>
      <c r="EH7591"/>
      <c r="EI7591"/>
      <c r="EJ7591"/>
      <c r="EK7591"/>
    </row>
    <row r="7592" spans="1:141" s="116" customFormat="1">
      <c r="A7592" s="136"/>
      <c r="CM7592" s="111"/>
      <c r="CQ7592" s="111"/>
      <c r="EF7592"/>
      <c r="EG7592"/>
      <c r="EH7592"/>
      <c r="EI7592"/>
      <c r="EJ7592"/>
      <c r="EK7592"/>
    </row>
    <row r="7593" spans="1:141" s="116" customFormat="1">
      <c r="A7593" s="136"/>
      <c r="CM7593" s="111"/>
      <c r="CQ7593" s="111"/>
      <c r="EF7593"/>
      <c r="EG7593"/>
      <c r="EH7593"/>
      <c r="EI7593"/>
      <c r="EJ7593"/>
      <c r="EK7593"/>
    </row>
    <row r="7594" spans="1:141" s="116" customFormat="1">
      <c r="A7594" s="136"/>
      <c r="CM7594" s="111"/>
      <c r="CQ7594" s="111"/>
      <c r="EF7594"/>
      <c r="EG7594"/>
      <c r="EH7594"/>
      <c r="EI7594"/>
      <c r="EJ7594"/>
      <c r="EK7594"/>
    </row>
    <row r="7595" spans="1:141" s="116" customFormat="1">
      <c r="A7595" s="136"/>
      <c r="CM7595" s="111"/>
      <c r="CQ7595" s="111"/>
      <c r="EF7595"/>
      <c r="EG7595"/>
      <c r="EH7595"/>
      <c r="EI7595"/>
      <c r="EJ7595"/>
      <c r="EK7595"/>
    </row>
    <row r="7596" spans="1:141" s="116" customFormat="1">
      <c r="A7596" s="136"/>
      <c r="CM7596" s="111"/>
      <c r="CQ7596" s="111"/>
      <c r="EF7596"/>
      <c r="EG7596"/>
      <c r="EH7596"/>
      <c r="EI7596"/>
      <c r="EJ7596"/>
      <c r="EK7596"/>
    </row>
    <row r="7597" spans="1:141" s="116" customFormat="1">
      <c r="A7597" s="136"/>
      <c r="CM7597" s="111"/>
      <c r="CQ7597" s="111"/>
      <c r="EF7597"/>
      <c r="EG7597"/>
      <c r="EH7597"/>
      <c r="EI7597"/>
      <c r="EJ7597"/>
      <c r="EK7597"/>
    </row>
    <row r="7598" spans="1:141" s="116" customFormat="1">
      <c r="A7598" s="136"/>
      <c r="CM7598" s="111"/>
      <c r="CQ7598" s="111"/>
      <c r="EF7598"/>
      <c r="EG7598"/>
      <c r="EH7598"/>
      <c r="EI7598"/>
      <c r="EJ7598"/>
      <c r="EK7598"/>
    </row>
    <row r="7599" spans="1:141" s="116" customFormat="1">
      <c r="A7599" s="136"/>
      <c r="CM7599" s="111"/>
      <c r="CQ7599" s="111"/>
      <c r="EF7599"/>
      <c r="EG7599"/>
      <c r="EH7599"/>
      <c r="EI7599"/>
      <c r="EJ7599"/>
      <c r="EK7599"/>
    </row>
    <row r="7600" spans="1:141" s="116" customFormat="1">
      <c r="A7600" s="136"/>
      <c r="CM7600" s="111"/>
      <c r="CQ7600" s="111"/>
      <c r="EF7600"/>
      <c r="EG7600"/>
      <c r="EH7600"/>
      <c r="EI7600"/>
      <c r="EJ7600"/>
      <c r="EK7600"/>
    </row>
    <row r="7601" spans="1:141" s="116" customFormat="1">
      <c r="A7601" s="136"/>
      <c r="CM7601" s="111"/>
      <c r="CQ7601" s="111"/>
      <c r="EF7601"/>
      <c r="EG7601"/>
      <c r="EH7601"/>
      <c r="EI7601"/>
      <c r="EJ7601"/>
      <c r="EK7601"/>
    </row>
    <row r="7602" spans="1:141" s="116" customFormat="1">
      <c r="A7602" s="136"/>
      <c r="CM7602" s="111"/>
      <c r="CQ7602" s="111"/>
      <c r="EF7602"/>
      <c r="EG7602"/>
      <c r="EH7602"/>
      <c r="EI7602"/>
      <c r="EJ7602"/>
      <c r="EK7602"/>
    </row>
    <row r="7603" spans="1:141" s="116" customFormat="1">
      <c r="A7603" s="136"/>
      <c r="CM7603" s="111"/>
      <c r="CQ7603" s="111"/>
      <c r="EF7603"/>
      <c r="EG7603"/>
      <c r="EH7603"/>
      <c r="EI7603"/>
      <c r="EJ7603"/>
      <c r="EK7603"/>
    </row>
    <row r="7604" spans="1:141" s="116" customFormat="1">
      <c r="A7604" s="136"/>
      <c r="CM7604" s="111"/>
      <c r="CQ7604" s="111"/>
      <c r="EF7604"/>
      <c r="EG7604"/>
      <c r="EH7604"/>
      <c r="EI7604"/>
      <c r="EJ7604"/>
      <c r="EK7604"/>
    </row>
    <row r="7605" spans="1:141" s="116" customFormat="1">
      <c r="A7605" s="136"/>
      <c r="CM7605" s="111"/>
      <c r="CQ7605" s="111"/>
      <c r="EF7605"/>
      <c r="EG7605"/>
      <c r="EH7605"/>
      <c r="EI7605"/>
      <c r="EJ7605"/>
      <c r="EK7605"/>
    </row>
    <row r="7606" spans="1:141" s="116" customFormat="1">
      <c r="A7606" s="136"/>
      <c r="CM7606" s="111"/>
      <c r="CQ7606" s="111"/>
      <c r="EF7606"/>
      <c r="EG7606"/>
      <c r="EH7606"/>
      <c r="EI7606"/>
      <c r="EJ7606"/>
      <c r="EK7606"/>
    </row>
    <row r="7607" spans="1:141" s="116" customFormat="1">
      <c r="A7607" s="136"/>
      <c r="CM7607" s="111"/>
      <c r="CQ7607" s="111"/>
      <c r="EF7607"/>
      <c r="EG7607"/>
      <c r="EH7607"/>
      <c r="EI7607"/>
      <c r="EJ7607"/>
      <c r="EK7607"/>
    </row>
    <row r="7608" spans="1:141" s="116" customFormat="1">
      <c r="A7608" s="136"/>
      <c r="CM7608" s="111"/>
      <c r="CQ7608" s="111"/>
      <c r="EF7608"/>
      <c r="EG7608"/>
      <c r="EH7608"/>
      <c r="EI7608"/>
      <c r="EJ7608"/>
      <c r="EK7608"/>
    </row>
    <row r="7609" spans="1:141" s="116" customFormat="1">
      <c r="A7609" s="136"/>
      <c r="CM7609" s="111"/>
      <c r="CQ7609" s="111"/>
      <c r="EF7609"/>
      <c r="EG7609"/>
      <c r="EH7609"/>
      <c r="EI7609"/>
      <c r="EJ7609"/>
      <c r="EK7609"/>
    </row>
    <row r="7610" spans="1:141" s="116" customFormat="1">
      <c r="A7610" s="136"/>
      <c r="CM7610" s="111"/>
      <c r="CQ7610" s="111"/>
      <c r="EF7610"/>
      <c r="EG7610"/>
      <c r="EH7610"/>
      <c r="EI7610"/>
      <c r="EJ7610"/>
      <c r="EK7610"/>
    </row>
    <row r="7611" spans="1:141" s="116" customFormat="1">
      <c r="A7611" s="136"/>
      <c r="CM7611" s="111"/>
      <c r="CQ7611" s="111"/>
      <c r="EF7611"/>
      <c r="EG7611"/>
      <c r="EH7611"/>
      <c r="EI7611"/>
      <c r="EJ7611"/>
      <c r="EK7611"/>
    </row>
    <row r="7612" spans="1:141" s="116" customFormat="1">
      <c r="A7612" s="136"/>
      <c r="CM7612" s="111"/>
      <c r="CQ7612" s="111"/>
      <c r="EF7612"/>
      <c r="EG7612"/>
      <c r="EH7612"/>
      <c r="EI7612"/>
      <c r="EJ7612"/>
      <c r="EK7612"/>
    </row>
    <row r="7613" spans="1:141" s="116" customFormat="1">
      <c r="A7613" s="136"/>
      <c r="CM7613" s="111"/>
      <c r="CQ7613" s="111"/>
      <c r="EF7613"/>
      <c r="EG7613"/>
      <c r="EH7613"/>
      <c r="EI7613"/>
      <c r="EJ7613"/>
      <c r="EK7613"/>
    </row>
    <row r="7614" spans="1:141" s="116" customFormat="1">
      <c r="A7614" s="136"/>
      <c r="CM7614" s="111"/>
      <c r="CQ7614" s="111"/>
      <c r="EF7614"/>
      <c r="EG7614"/>
      <c r="EH7614"/>
      <c r="EI7614"/>
      <c r="EJ7614"/>
      <c r="EK7614"/>
    </row>
    <row r="7615" spans="1:141" s="116" customFormat="1">
      <c r="A7615" s="136"/>
      <c r="CM7615" s="111"/>
      <c r="CQ7615" s="111"/>
      <c r="EF7615"/>
      <c r="EG7615"/>
      <c r="EH7615"/>
      <c r="EI7615"/>
      <c r="EJ7615"/>
      <c r="EK7615"/>
    </row>
    <row r="7616" spans="1:141" s="116" customFormat="1">
      <c r="A7616" s="136"/>
      <c r="CM7616" s="111"/>
      <c r="CQ7616" s="111"/>
      <c r="EF7616"/>
      <c r="EG7616"/>
      <c r="EH7616"/>
      <c r="EI7616"/>
      <c r="EJ7616"/>
      <c r="EK7616"/>
    </row>
    <row r="7617" spans="1:141" s="116" customFormat="1">
      <c r="A7617" s="136"/>
      <c r="CM7617" s="111"/>
      <c r="CQ7617" s="111"/>
      <c r="EF7617"/>
      <c r="EG7617"/>
      <c r="EH7617"/>
      <c r="EI7617"/>
      <c r="EJ7617"/>
      <c r="EK7617"/>
    </row>
    <row r="7618" spans="1:141" s="116" customFormat="1">
      <c r="A7618" s="136"/>
      <c r="CM7618" s="111"/>
      <c r="CQ7618" s="111"/>
      <c r="EF7618"/>
      <c r="EG7618"/>
      <c r="EH7618"/>
      <c r="EI7618"/>
      <c r="EJ7618"/>
      <c r="EK7618"/>
    </row>
    <row r="7619" spans="1:141" s="116" customFormat="1">
      <c r="A7619" s="136"/>
      <c r="CM7619" s="111"/>
      <c r="CQ7619" s="111"/>
      <c r="EF7619"/>
      <c r="EG7619"/>
      <c r="EH7619"/>
      <c r="EI7619"/>
      <c r="EJ7619"/>
      <c r="EK7619"/>
    </row>
    <row r="7620" spans="1:141" s="116" customFormat="1">
      <c r="A7620" s="136"/>
      <c r="CM7620" s="111"/>
      <c r="CQ7620" s="111"/>
      <c r="EF7620"/>
      <c r="EG7620"/>
      <c r="EH7620"/>
      <c r="EI7620"/>
      <c r="EJ7620"/>
      <c r="EK7620"/>
    </row>
    <row r="7621" spans="1:141" s="116" customFormat="1">
      <c r="A7621" s="136"/>
      <c r="CM7621" s="111"/>
      <c r="CQ7621" s="111"/>
      <c r="EF7621"/>
      <c r="EG7621"/>
      <c r="EH7621"/>
      <c r="EI7621"/>
      <c r="EJ7621"/>
      <c r="EK7621"/>
    </row>
    <row r="7622" spans="1:141" s="116" customFormat="1">
      <c r="A7622" s="136"/>
      <c r="CM7622" s="111"/>
      <c r="CQ7622" s="111"/>
      <c r="EF7622"/>
      <c r="EG7622"/>
      <c r="EH7622"/>
      <c r="EI7622"/>
      <c r="EJ7622"/>
      <c r="EK7622"/>
    </row>
    <row r="7623" spans="1:141" s="116" customFormat="1">
      <c r="A7623" s="136"/>
      <c r="CM7623" s="111"/>
      <c r="CQ7623" s="111"/>
      <c r="EF7623"/>
      <c r="EG7623"/>
      <c r="EH7623"/>
      <c r="EI7623"/>
      <c r="EJ7623"/>
      <c r="EK7623"/>
    </row>
    <row r="7624" spans="1:141" s="116" customFormat="1">
      <c r="A7624" s="136"/>
      <c r="CM7624" s="111"/>
      <c r="CQ7624" s="111"/>
      <c r="EF7624"/>
      <c r="EG7624"/>
      <c r="EH7624"/>
      <c r="EI7624"/>
      <c r="EJ7624"/>
      <c r="EK7624"/>
    </row>
    <row r="7625" spans="1:141" s="116" customFormat="1">
      <c r="A7625" s="136"/>
      <c r="CM7625" s="111"/>
      <c r="CQ7625" s="111"/>
      <c r="EF7625"/>
      <c r="EG7625"/>
      <c r="EH7625"/>
      <c r="EI7625"/>
      <c r="EJ7625"/>
      <c r="EK7625"/>
    </row>
    <row r="7626" spans="1:141" s="116" customFormat="1">
      <c r="A7626" s="136"/>
      <c r="CM7626" s="111"/>
      <c r="CQ7626" s="111"/>
      <c r="EF7626"/>
      <c r="EG7626"/>
      <c r="EH7626"/>
      <c r="EI7626"/>
      <c r="EJ7626"/>
      <c r="EK7626"/>
    </row>
    <row r="7627" spans="1:141" s="116" customFormat="1">
      <c r="A7627" s="136"/>
      <c r="CM7627" s="111"/>
      <c r="CQ7627" s="111"/>
      <c r="EF7627"/>
      <c r="EG7627"/>
      <c r="EH7627"/>
      <c r="EI7627"/>
      <c r="EJ7627"/>
      <c r="EK7627"/>
    </row>
    <row r="7628" spans="1:141" s="116" customFormat="1">
      <c r="A7628" s="136"/>
      <c r="CM7628" s="111"/>
      <c r="CQ7628" s="111"/>
      <c r="EF7628"/>
      <c r="EG7628"/>
      <c r="EH7628"/>
      <c r="EI7628"/>
      <c r="EJ7628"/>
      <c r="EK7628"/>
    </row>
    <row r="7629" spans="1:141" s="116" customFormat="1">
      <c r="A7629" s="136"/>
      <c r="CM7629" s="111"/>
      <c r="CQ7629" s="111"/>
      <c r="EF7629"/>
      <c r="EG7629"/>
      <c r="EH7629"/>
      <c r="EI7629"/>
      <c r="EJ7629"/>
      <c r="EK7629"/>
    </row>
    <row r="7630" spans="1:141" s="116" customFormat="1">
      <c r="A7630" s="136"/>
      <c r="CM7630" s="111"/>
      <c r="CQ7630" s="111"/>
      <c r="EF7630"/>
      <c r="EG7630"/>
      <c r="EH7630"/>
      <c r="EI7630"/>
      <c r="EJ7630"/>
      <c r="EK7630"/>
    </row>
    <row r="7631" spans="1:141" s="116" customFormat="1">
      <c r="A7631" s="136"/>
      <c r="CM7631" s="111"/>
      <c r="CQ7631" s="111"/>
      <c r="EF7631"/>
      <c r="EG7631"/>
      <c r="EH7631"/>
      <c r="EI7631"/>
      <c r="EJ7631"/>
      <c r="EK7631"/>
    </row>
    <row r="7632" spans="1:141" s="116" customFormat="1">
      <c r="A7632" s="136"/>
      <c r="CM7632" s="111"/>
      <c r="CQ7632" s="111"/>
      <c r="EF7632"/>
      <c r="EG7632"/>
      <c r="EH7632"/>
      <c r="EI7632"/>
      <c r="EJ7632"/>
      <c r="EK7632"/>
    </row>
    <row r="7633" spans="1:141" s="116" customFormat="1">
      <c r="A7633" s="136"/>
      <c r="CM7633" s="111"/>
      <c r="CQ7633" s="111"/>
      <c r="EF7633"/>
      <c r="EG7633"/>
      <c r="EH7633"/>
      <c r="EI7633"/>
      <c r="EJ7633"/>
      <c r="EK7633"/>
    </row>
    <row r="7634" spans="1:141" s="116" customFormat="1">
      <c r="A7634" s="136"/>
      <c r="CM7634" s="111"/>
      <c r="CQ7634" s="111"/>
      <c r="EF7634"/>
      <c r="EG7634"/>
      <c r="EH7634"/>
      <c r="EI7634"/>
      <c r="EJ7634"/>
      <c r="EK7634"/>
    </row>
    <row r="7635" spans="1:141" s="116" customFormat="1">
      <c r="A7635" s="136"/>
      <c r="CM7635" s="111"/>
      <c r="CQ7635" s="111"/>
      <c r="EF7635"/>
      <c r="EG7635"/>
      <c r="EH7635"/>
      <c r="EI7635"/>
      <c r="EJ7635"/>
      <c r="EK7635"/>
    </row>
    <row r="7636" spans="1:141" s="116" customFormat="1">
      <c r="A7636" s="136"/>
      <c r="CM7636" s="111"/>
      <c r="CQ7636" s="111"/>
      <c r="EF7636"/>
      <c r="EG7636"/>
      <c r="EH7636"/>
      <c r="EI7636"/>
      <c r="EJ7636"/>
      <c r="EK7636"/>
    </row>
    <row r="7637" spans="1:141" s="116" customFormat="1">
      <c r="A7637" s="136"/>
      <c r="CM7637" s="111"/>
      <c r="CQ7637" s="111"/>
      <c r="EF7637"/>
      <c r="EG7637"/>
      <c r="EH7637"/>
      <c r="EI7637"/>
      <c r="EJ7637"/>
      <c r="EK7637"/>
    </row>
    <row r="7638" spans="1:141" s="116" customFormat="1">
      <c r="A7638" s="136"/>
      <c r="CM7638" s="111"/>
      <c r="CQ7638" s="111"/>
      <c r="EF7638"/>
      <c r="EG7638"/>
      <c r="EH7638"/>
      <c r="EI7638"/>
      <c r="EJ7638"/>
      <c r="EK7638"/>
    </row>
    <row r="7639" spans="1:141" s="116" customFormat="1">
      <c r="A7639" s="136"/>
      <c r="CM7639" s="111"/>
      <c r="CQ7639" s="111"/>
      <c r="EF7639"/>
      <c r="EG7639"/>
      <c r="EH7639"/>
      <c r="EI7639"/>
      <c r="EJ7639"/>
      <c r="EK7639"/>
    </row>
    <row r="7640" spans="1:141" s="116" customFormat="1">
      <c r="A7640" s="136"/>
      <c r="CM7640" s="111"/>
      <c r="CQ7640" s="111"/>
      <c r="EF7640"/>
      <c r="EG7640"/>
      <c r="EH7640"/>
      <c r="EI7640"/>
      <c r="EJ7640"/>
      <c r="EK7640"/>
    </row>
    <row r="7641" spans="1:141" s="116" customFormat="1">
      <c r="A7641" s="136"/>
      <c r="CM7641" s="111"/>
      <c r="CQ7641" s="111"/>
      <c r="EF7641"/>
      <c r="EG7641"/>
      <c r="EH7641"/>
      <c r="EI7641"/>
      <c r="EJ7641"/>
      <c r="EK7641"/>
    </row>
    <row r="7642" spans="1:141" s="116" customFormat="1">
      <c r="A7642" s="136"/>
      <c r="CM7642" s="111"/>
      <c r="CQ7642" s="111"/>
      <c r="EF7642"/>
      <c r="EG7642"/>
      <c r="EH7642"/>
      <c r="EI7642"/>
      <c r="EJ7642"/>
      <c r="EK7642"/>
    </row>
    <row r="7643" spans="1:141" s="116" customFormat="1">
      <c r="A7643" s="136"/>
      <c r="CM7643" s="111"/>
      <c r="CQ7643" s="111"/>
      <c r="EF7643"/>
      <c r="EG7643"/>
      <c r="EH7643"/>
      <c r="EI7643"/>
      <c r="EJ7643"/>
      <c r="EK7643"/>
    </row>
    <row r="7644" spans="1:141" s="116" customFormat="1">
      <c r="A7644" s="136"/>
      <c r="CM7644" s="111"/>
      <c r="CQ7644" s="111"/>
      <c r="EF7644"/>
      <c r="EG7644"/>
      <c r="EH7644"/>
      <c r="EI7644"/>
      <c r="EJ7644"/>
      <c r="EK7644"/>
    </row>
    <row r="7645" spans="1:141" s="116" customFormat="1">
      <c r="A7645" s="136"/>
      <c r="CM7645" s="111"/>
      <c r="CQ7645" s="111"/>
      <c r="EF7645"/>
      <c r="EG7645"/>
      <c r="EH7645"/>
      <c r="EI7645"/>
      <c r="EJ7645"/>
      <c r="EK7645"/>
    </row>
    <row r="7646" spans="1:141" s="116" customFormat="1">
      <c r="A7646" s="136"/>
      <c r="CM7646" s="111"/>
      <c r="CQ7646" s="111"/>
      <c r="EF7646"/>
      <c r="EG7646"/>
      <c r="EH7646"/>
      <c r="EI7646"/>
      <c r="EJ7646"/>
      <c r="EK7646"/>
    </row>
    <row r="7647" spans="1:141" s="116" customFormat="1">
      <c r="A7647" s="136"/>
      <c r="CM7647" s="111"/>
      <c r="CQ7647" s="111"/>
      <c r="EF7647"/>
      <c r="EG7647"/>
      <c r="EH7647"/>
      <c r="EI7647"/>
      <c r="EJ7647"/>
      <c r="EK7647"/>
    </row>
    <row r="7648" spans="1:141" s="116" customFormat="1">
      <c r="A7648" s="136"/>
      <c r="CM7648" s="111"/>
      <c r="CQ7648" s="111"/>
      <c r="EF7648"/>
      <c r="EG7648"/>
      <c r="EH7648"/>
      <c r="EI7648"/>
      <c r="EJ7648"/>
      <c r="EK7648"/>
    </row>
    <row r="7649" spans="1:141" s="116" customFormat="1">
      <c r="A7649" s="136"/>
      <c r="CM7649" s="111"/>
      <c r="CQ7649" s="111"/>
      <c r="EF7649"/>
      <c r="EG7649"/>
      <c r="EH7649"/>
      <c r="EI7649"/>
      <c r="EJ7649"/>
      <c r="EK7649"/>
    </row>
    <row r="7650" spans="1:141" s="116" customFormat="1">
      <c r="A7650" s="136"/>
      <c r="CM7650" s="111"/>
      <c r="CQ7650" s="111"/>
      <c r="EF7650"/>
      <c r="EG7650"/>
      <c r="EH7650"/>
      <c r="EI7650"/>
      <c r="EJ7650"/>
      <c r="EK7650"/>
    </row>
    <row r="7651" spans="1:141" s="116" customFormat="1">
      <c r="A7651" s="136"/>
      <c r="CM7651" s="111"/>
      <c r="CQ7651" s="111"/>
      <c r="EF7651"/>
      <c r="EG7651"/>
      <c r="EH7651"/>
      <c r="EI7651"/>
      <c r="EJ7651"/>
      <c r="EK7651"/>
    </row>
    <row r="7652" spans="1:141" s="116" customFormat="1">
      <c r="A7652" s="136"/>
      <c r="CM7652" s="111"/>
      <c r="CQ7652" s="111"/>
      <c r="EF7652"/>
      <c r="EG7652"/>
      <c r="EH7652"/>
      <c r="EI7652"/>
      <c r="EJ7652"/>
      <c r="EK7652"/>
    </row>
    <row r="7653" spans="1:141" s="116" customFormat="1">
      <c r="A7653" s="136"/>
      <c r="CM7653" s="111"/>
      <c r="CQ7653" s="111"/>
      <c r="EF7653"/>
      <c r="EG7653"/>
      <c r="EH7653"/>
      <c r="EI7653"/>
      <c r="EJ7653"/>
      <c r="EK7653"/>
    </row>
    <row r="7654" spans="1:141" s="116" customFormat="1">
      <c r="A7654" s="136"/>
      <c r="CM7654" s="111"/>
      <c r="CQ7654" s="111"/>
      <c r="EF7654"/>
      <c r="EG7654"/>
      <c r="EH7654"/>
      <c r="EI7654"/>
      <c r="EJ7654"/>
      <c r="EK7654"/>
    </row>
    <row r="7655" spans="1:141" s="116" customFormat="1">
      <c r="A7655" s="136"/>
      <c r="CM7655" s="111"/>
      <c r="CQ7655" s="111"/>
      <c r="EF7655"/>
      <c r="EG7655"/>
      <c r="EH7655"/>
      <c r="EI7655"/>
      <c r="EJ7655"/>
      <c r="EK7655"/>
    </row>
    <row r="7656" spans="1:141" s="116" customFormat="1">
      <c r="A7656" s="136"/>
      <c r="CM7656" s="111"/>
      <c r="CQ7656" s="111"/>
      <c r="EF7656"/>
      <c r="EG7656"/>
      <c r="EH7656"/>
      <c r="EI7656"/>
      <c r="EJ7656"/>
      <c r="EK7656"/>
    </row>
    <row r="7657" spans="1:141" s="116" customFormat="1">
      <c r="A7657" s="136"/>
      <c r="CM7657" s="111"/>
      <c r="CQ7657" s="111"/>
      <c r="EF7657"/>
      <c r="EG7657"/>
      <c r="EH7657"/>
      <c r="EI7657"/>
      <c r="EJ7657"/>
      <c r="EK7657"/>
    </row>
    <row r="7658" spans="1:141" s="116" customFormat="1">
      <c r="A7658" s="136"/>
      <c r="CM7658" s="111"/>
      <c r="CQ7658" s="111"/>
      <c r="EF7658"/>
      <c r="EG7658"/>
      <c r="EH7658"/>
      <c r="EI7658"/>
      <c r="EJ7658"/>
      <c r="EK7658"/>
    </row>
    <row r="7659" spans="1:141" s="116" customFormat="1">
      <c r="A7659" s="136"/>
      <c r="CM7659" s="111"/>
      <c r="CQ7659" s="111"/>
      <c r="EF7659"/>
      <c r="EG7659"/>
      <c r="EH7659"/>
      <c r="EI7659"/>
      <c r="EJ7659"/>
      <c r="EK7659"/>
    </row>
    <row r="7660" spans="1:141" s="116" customFormat="1">
      <c r="A7660" s="136"/>
      <c r="CM7660" s="111"/>
      <c r="CQ7660" s="111"/>
      <c r="EF7660"/>
      <c r="EG7660"/>
      <c r="EH7660"/>
      <c r="EI7660"/>
      <c r="EJ7660"/>
      <c r="EK7660"/>
    </row>
    <row r="7661" spans="1:141" s="116" customFormat="1">
      <c r="A7661" s="136"/>
      <c r="CM7661" s="111"/>
      <c r="CQ7661" s="111"/>
      <c r="EF7661"/>
      <c r="EG7661"/>
      <c r="EH7661"/>
      <c r="EI7661"/>
      <c r="EJ7661"/>
      <c r="EK7661"/>
    </row>
    <row r="7662" spans="1:141" s="116" customFormat="1">
      <c r="A7662" s="136"/>
      <c r="CM7662" s="111"/>
      <c r="CQ7662" s="111"/>
      <c r="EF7662"/>
      <c r="EG7662"/>
      <c r="EH7662"/>
      <c r="EI7662"/>
      <c r="EJ7662"/>
      <c r="EK7662"/>
    </row>
    <row r="7663" spans="1:141" s="116" customFormat="1">
      <c r="A7663" s="136"/>
      <c r="CM7663" s="111"/>
      <c r="CQ7663" s="111"/>
      <c r="EF7663"/>
      <c r="EG7663"/>
      <c r="EH7663"/>
      <c r="EI7663"/>
      <c r="EJ7663"/>
      <c r="EK7663"/>
    </row>
    <row r="7664" spans="1:141" s="116" customFormat="1">
      <c r="A7664" s="136"/>
      <c r="CM7664" s="111"/>
      <c r="CQ7664" s="111"/>
      <c r="EF7664"/>
      <c r="EG7664"/>
      <c r="EH7664"/>
      <c r="EI7664"/>
      <c r="EJ7664"/>
      <c r="EK7664"/>
    </row>
    <row r="7665" spans="1:141" s="116" customFormat="1">
      <c r="A7665" s="136"/>
      <c r="CM7665" s="111"/>
      <c r="CQ7665" s="111"/>
      <c r="EF7665"/>
      <c r="EG7665"/>
      <c r="EH7665"/>
      <c r="EI7665"/>
      <c r="EJ7665"/>
      <c r="EK7665"/>
    </row>
    <row r="7666" spans="1:141" s="116" customFormat="1">
      <c r="A7666" s="136"/>
      <c r="CM7666" s="111"/>
      <c r="CQ7666" s="111"/>
      <c r="EF7666"/>
      <c r="EG7666"/>
      <c r="EH7666"/>
      <c r="EI7666"/>
      <c r="EJ7666"/>
      <c r="EK7666"/>
    </row>
    <row r="7667" spans="1:141" s="116" customFormat="1">
      <c r="A7667" s="136"/>
      <c r="CM7667" s="111"/>
      <c r="CQ7667" s="111"/>
      <c r="EF7667"/>
      <c r="EG7667"/>
      <c r="EH7667"/>
      <c r="EI7667"/>
      <c r="EJ7667"/>
      <c r="EK7667"/>
    </row>
    <row r="7668" spans="1:141" s="116" customFormat="1">
      <c r="A7668" s="136"/>
      <c r="CM7668" s="111"/>
      <c r="CQ7668" s="111"/>
      <c r="EF7668"/>
      <c r="EG7668"/>
      <c r="EH7668"/>
      <c r="EI7668"/>
      <c r="EJ7668"/>
      <c r="EK7668"/>
    </row>
    <row r="7669" spans="1:141" s="116" customFormat="1">
      <c r="A7669" s="136"/>
      <c r="CM7669" s="111"/>
      <c r="CQ7669" s="111"/>
      <c r="EF7669"/>
      <c r="EG7669"/>
      <c r="EH7669"/>
      <c r="EI7669"/>
      <c r="EJ7669"/>
      <c r="EK7669"/>
    </row>
    <row r="7670" spans="1:141" s="116" customFormat="1">
      <c r="A7670" s="136"/>
      <c r="CM7670" s="111"/>
      <c r="CQ7670" s="111"/>
      <c r="EF7670"/>
      <c r="EG7670"/>
      <c r="EH7670"/>
      <c r="EI7670"/>
      <c r="EJ7670"/>
      <c r="EK7670"/>
    </row>
    <row r="7671" spans="1:141" s="116" customFormat="1">
      <c r="A7671" s="136"/>
      <c r="CM7671" s="111"/>
      <c r="CQ7671" s="111"/>
      <c r="EF7671"/>
      <c r="EG7671"/>
      <c r="EH7671"/>
      <c r="EI7671"/>
      <c r="EJ7671"/>
      <c r="EK7671"/>
    </row>
    <row r="7672" spans="1:141" s="116" customFormat="1">
      <c r="A7672" s="136"/>
      <c r="CM7672" s="111"/>
      <c r="CQ7672" s="111"/>
      <c r="EF7672"/>
      <c r="EG7672"/>
      <c r="EH7672"/>
      <c r="EI7672"/>
      <c r="EJ7672"/>
      <c r="EK7672"/>
    </row>
    <row r="7673" spans="1:141" s="116" customFormat="1">
      <c r="A7673" s="136"/>
      <c r="CM7673" s="111"/>
      <c r="CQ7673" s="111"/>
      <c r="EF7673"/>
      <c r="EG7673"/>
      <c r="EH7673"/>
      <c r="EI7673"/>
      <c r="EJ7673"/>
      <c r="EK7673"/>
    </row>
    <row r="7674" spans="1:141" s="116" customFormat="1">
      <c r="A7674" s="136"/>
      <c r="CM7674" s="111"/>
      <c r="CQ7674" s="111"/>
      <c r="EF7674"/>
      <c r="EG7674"/>
      <c r="EH7674"/>
      <c r="EI7674"/>
      <c r="EJ7674"/>
      <c r="EK7674"/>
    </row>
    <row r="7675" spans="1:141" s="116" customFormat="1">
      <c r="A7675" s="136"/>
      <c r="CM7675" s="111"/>
      <c r="CQ7675" s="111"/>
      <c r="EF7675"/>
      <c r="EG7675"/>
      <c r="EH7675"/>
      <c r="EI7675"/>
      <c r="EJ7675"/>
      <c r="EK7675"/>
    </row>
    <row r="7676" spans="1:141" s="116" customFormat="1">
      <c r="A7676" s="136"/>
      <c r="CM7676" s="111"/>
      <c r="CQ7676" s="111"/>
      <c r="EF7676"/>
      <c r="EG7676"/>
      <c r="EH7676"/>
      <c r="EI7676"/>
      <c r="EJ7676"/>
      <c r="EK7676"/>
    </row>
    <row r="7677" spans="1:141" s="116" customFormat="1">
      <c r="A7677" s="136"/>
      <c r="CM7677" s="111"/>
      <c r="CQ7677" s="111"/>
      <c r="EF7677"/>
      <c r="EG7677"/>
      <c r="EH7677"/>
      <c r="EI7677"/>
      <c r="EJ7677"/>
      <c r="EK7677"/>
    </row>
    <row r="7678" spans="1:141" s="116" customFormat="1">
      <c r="A7678" s="136"/>
      <c r="CM7678" s="111"/>
      <c r="CQ7678" s="111"/>
      <c r="EF7678"/>
      <c r="EG7678"/>
      <c r="EH7678"/>
      <c r="EI7678"/>
      <c r="EJ7678"/>
      <c r="EK7678"/>
    </row>
    <row r="7679" spans="1:141" s="116" customFormat="1">
      <c r="A7679" s="136"/>
      <c r="CM7679" s="111"/>
      <c r="CQ7679" s="111"/>
      <c r="EF7679"/>
      <c r="EG7679"/>
      <c r="EH7679"/>
      <c r="EI7679"/>
      <c r="EJ7679"/>
      <c r="EK7679"/>
    </row>
    <row r="7680" spans="1:141" s="116" customFormat="1">
      <c r="A7680" s="136"/>
      <c r="CM7680" s="111"/>
      <c r="CQ7680" s="111"/>
      <c r="EF7680"/>
      <c r="EG7680"/>
      <c r="EH7680"/>
      <c r="EI7680"/>
      <c r="EJ7680"/>
      <c r="EK7680"/>
    </row>
    <row r="7681" spans="1:141" s="116" customFormat="1">
      <c r="A7681" s="136"/>
      <c r="CM7681" s="111"/>
      <c r="CQ7681" s="111"/>
      <c r="EF7681"/>
      <c r="EG7681"/>
      <c r="EH7681"/>
      <c r="EI7681"/>
      <c r="EJ7681"/>
      <c r="EK7681"/>
    </row>
    <row r="7682" spans="1:141" s="116" customFormat="1">
      <c r="A7682" s="136"/>
      <c r="CM7682" s="111"/>
      <c r="CQ7682" s="111"/>
      <c r="EF7682"/>
      <c r="EG7682"/>
      <c r="EH7682"/>
      <c r="EI7682"/>
      <c r="EJ7682"/>
      <c r="EK7682"/>
    </row>
    <row r="7683" spans="1:141" s="116" customFormat="1">
      <c r="A7683" s="136"/>
      <c r="CM7683" s="111"/>
      <c r="CQ7683" s="111"/>
      <c r="EF7683"/>
      <c r="EG7683"/>
      <c r="EH7683"/>
      <c r="EI7683"/>
      <c r="EJ7683"/>
      <c r="EK7683"/>
    </row>
    <row r="7684" spans="1:141" s="116" customFormat="1">
      <c r="A7684" s="136"/>
      <c r="CM7684" s="111"/>
      <c r="CQ7684" s="111"/>
      <c r="EF7684"/>
      <c r="EG7684"/>
      <c r="EH7684"/>
      <c r="EI7684"/>
      <c r="EJ7684"/>
      <c r="EK7684"/>
    </row>
    <row r="7685" spans="1:141" s="116" customFormat="1">
      <c r="A7685" s="136"/>
      <c r="CM7685" s="111"/>
      <c r="CQ7685" s="111"/>
      <c r="EF7685"/>
      <c r="EG7685"/>
      <c r="EH7685"/>
      <c r="EI7685"/>
      <c r="EJ7685"/>
      <c r="EK7685"/>
    </row>
    <row r="7686" spans="1:141" s="116" customFormat="1">
      <c r="A7686" s="136"/>
      <c r="CM7686" s="111"/>
      <c r="CQ7686" s="111"/>
      <c r="EF7686"/>
      <c r="EG7686"/>
      <c r="EH7686"/>
      <c r="EI7686"/>
      <c r="EJ7686"/>
      <c r="EK7686"/>
    </row>
    <row r="7687" spans="1:141" s="116" customFormat="1">
      <c r="A7687" s="136"/>
      <c r="CM7687" s="111"/>
      <c r="CQ7687" s="111"/>
      <c r="EF7687"/>
      <c r="EG7687"/>
      <c r="EH7687"/>
      <c r="EI7687"/>
      <c r="EJ7687"/>
      <c r="EK7687"/>
    </row>
    <row r="7688" spans="1:141" s="116" customFormat="1">
      <c r="A7688" s="136"/>
      <c r="CM7688" s="111"/>
      <c r="CQ7688" s="111"/>
      <c r="EF7688"/>
      <c r="EG7688"/>
      <c r="EH7688"/>
      <c r="EI7688"/>
      <c r="EJ7688"/>
      <c r="EK7688"/>
    </row>
    <row r="7689" spans="1:141" s="116" customFormat="1">
      <c r="A7689" s="136"/>
      <c r="CM7689" s="111"/>
      <c r="CQ7689" s="111"/>
      <c r="EF7689"/>
      <c r="EG7689"/>
      <c r="EH7689"/>
      <c r="EI7689"/>
      <c r="EJ7689"/>
      <c r="EK7689"/>
    </row>
    <row r="7690" spans="1:141" s="116" customFormat="1">
      <c r="A7690" s="136"/>
      <c r="CM7690" s="111"/>
      <c r="CQ7690" s="111"/>
      <c r="EF7690"/>
      <c r="EG7690"/>
      <c r="EH7690"/>
      <c r="EI7690"/>
      <c r="EJ7690"/>
      <c r="EK7690"/>
    </row>
    <row r="7691" spans="1:141" s="116" customFormat="1">
      <c r="A7691" s="136"/>
      <c r="CM7691" s="111"/>
      <c r="CQ7691" s="111"/>
      <c r="EF7691"/>
      <c r="EG7691"/>
      <c r="EH7691"/>
      <c r="EI7691"/>
      <c r="EJ7691"/>
      <c r="EK7691"/>
    </row>
    <row r="7692" spans="1:141" s="116" customFormat="1">
      <c r="A7692" s="136"/>
      <c r="CM7692" s="111"/>
      <c r="CQ7692" s="111"/>
      <c r="EF7692"/>
      <c r="EG7692"/>
      <c r="EH7692"/>
      <c r="EI7692"/>
      <c r="EJ7692"/>
      <c r="EK7692"/>
    </row>
    <row r="7693" spans="1:141" s="116" customFormat="1">
      <c r="A7693" s="136"/>
      <c r="CM7693" s="111"/>
      <c r="CQ7693" s="111"/>
      <c r="EF7693"/>
      <c r="EG7693"/>
      <c r="EH7693"/>
      <c r="EI7693"/>
      <c r="EJ7693"/>
      <c r="EK7693"/>
    </row>
    <row r="7694" spans="1:141" s="116" customFormat="1">
      <c r="A7694" s="136"/>
      <c r="CM7694" s="111"/>
      <c r="CQ7694" s="111"/>
      <c r="EF7694"/>
      <c r="EG7694"/>
      <c r="EH7694"/>
      <c r="EI7694"/>
      <c r="EJ7694"/>
      <c r="EK7694"/>
    </row>
    <row r="7695" spans="1:141" s="116" customFormat="1">
      <c r="A7695" s="136"/>
      <c r="CM7695" s="111"/>
      <c r="CQ7695" s="111"/>
      <c r="EF7695"/>
      <c r="EG7695"/>
      <c r="EH7695"/>
      <c r="EI7695"/>
      <c r="EJ7695"/>
      <c r="EK7695"/>
    </row>
    <row r="7696" spans="1:141" s="116" customFormat="1">
      <c r="A7696" s="136"/>
      <c r="CM7696" s="111"/>
      <c r="CQ7696" s="111"/>
      <c r="EF7696"/>
      <c r="EG7696"/>
      <c r="EH7696"/>
      <c r="EI7696"/>
      <c r="EJ7696"/>
      <c r="EK7696"/>
    </row>
    <row r="7697" spans="1:141" s="116" customFormat="1">
      <c r="A7697" s="136"/>
      <c r="CM7697" s="111"/>
      <c r="CQ7697" s="111"/>
      <c r="EF7697"/>
      <c r="EG7697"/>
      <c r="EH7697"/>
      <c r="EI7697"/>
      <c r="EJ7697"/>
      <c r="EK7697"/>
    </row>
    <row r="7698" spans="1:141" s="116" customFormat="1">
      <c r="A7698" s="136"/>
      <c r="CM7698" s="111"/>
      <c r="CQ7698" s="111"/>
      <c r="EF7698"/>
      <c r="EG7698"/>
      <c r="EH7698"/>
      <c r="EI7698"/>
      <c r="EJ7698"/>
      <c r="EK7698"/>
    </row>
    <row r="7699" spans="1:141" s="116" customFormat="1">
      <c r="A7699" s="136"/>
      <c r="CM7699" s="111"/>
      <c r="CQ7699" s="111"/>
      <c r="EF7699"/>
      <c r="EG7699"/>
      <c r="EH7699"/>
      <c r="EI7699"/>
      <c r="EJ7699"/>
      <c r="EK7699"/>
    </row>
    <row r="7700" spans="1:141" s="116" customFormat="1">
      <c r="A7700" s="136"/>
      <c r="CM7700" s="111"/>
      <c r="CQ7700" s="111"/>
      <c r="EF7700"/>
      <c r="EG7700"/>
      <c r="EH7700"/>
      <c r="EI7700"/>
      <c r="EJ7700"/>
      <c r="EK7700"/>
    </row>
    <row r="7701" spans="1:141" s="116" customFormat="1">
      <c r="A7701" s="136"/>
      <c r="CM7701" s="111"/>
      <c r="CQ7701" s="111"/>
      <c r="EF7701"/>
      <c r="EG7701"/>
      <c r="EH7701"/>
      <c r="EI7701"/>
      <c r="EJ7701"/>
      <c r="EK7701"/>
    </row>
    <row r="7702" spans="1:141" s="116" customFormat="1">
      <c r="A7702" s="136"/>
      <c r="CM7702" s="111"/>
      <c r="CQ7702" s="111"/>
      <c r="EF7702"/>
      <c r="EG7702"/>
      <c r="EH7702"/>
      <c r="EI7702"/>
      <c r="EJ7702"/>
      <c r="EK7702"/>
    </row>
    <row r="7703" spans="1:141" s="116" customFormat="1">
      <c r="A7703" s="136"/>
      <c r="CM7703" s="111"/>
      <c r="CQ7703" s="111"/>
      <c r="EF7703"/>
      <c r="EG7703"/>
      <c r="EH7703"/>
      <c r="EI7703"/>
      <c r="EJ7703"/>
      <c r="EK7703"/>
    </row>
    <row r="7704" spans="1:141" s="116" customFormat="1">
      <c r="A7704" s="136"/>
      <c r="CM7704" s="111"/>
      <c r="CQ7704" s="111"/>
      <c r="EF7704"/>
      <c r="EG7704"/>
      <c r="EH7704"/>
      <c r="EI7704"/>
      <c r="EJ7704"/>
      <c r="EK7704"/>
    </row>
    <row r="7705" spans="1:141" s="116" customFormat="1">
      <c r="A7705" s="136"/>
      <c r="CM7705" s="111"/>
      <c r="CQ7705" s="111"/>
      <c r="EF7705"/>
      <c r="EG7705"/>
      <c r="EH7705"/>
      <c r="EI7705"/>
      <c r="EJ7705"/>
      <c r="EK7705"/>
    </row>
    <row r="7706" spans="1:141" s="116" customFormat="1">
      <c r="A7706" s="136"/>
      <c r="CM7706" s="111"/>
      <c r="CQ7706" s="111"/>
      <c r="EF7706"/>
      <c r="EG7706"/>
      <c r="EH7706"/>
      <c r="EI7706"/>
      <c r="EJ7706"/>
      <c r="EK7706"/>
    </row>
    <row r="7707" spans="1:141" s="116" customFormat="1">
      <c r="A7707" s="136"/>
      <c r="CM7707" s="111"/>
      <c r="CQ7707" s="111"/>
      <c r="EF7707"/>
      <c r="EG7707"/>
      <c r="EH7707"/>
      <c r="EI7707"/>
      <c r="EJ7707"/>
      <c r="EK7707"/>
    </row>
    <row r="7708" spans="1:141" s="116" customFormat="1">
      <c r="A7708" s="136"/>
      <c r="CM7708" s="111"/>
      <c r="CQ7708" s="111"/>
      <c r="EF7708"/>
      <c r="EG7708"/>
      <c r="EH7708"/>
      <c r="EI7708"/>
      <c r="EJ7708"/>
      <c r="EK7708"/>
    </row>
    <row r="7709" spans="1:141" s="116" customFormat="1">
      <c r="A7709" s="136"/>
      <c r="CM7709" s="111"/>
      <c r="CQ7709" s="111"/>
      <c r="EF7709"/>
      <c r="EG7709"/>
      <c r="EH7709"/>
      <c r="EI7709"/>
      <c r="EJ7709"/>
      <c r="EK7709"/>
    </row>
    <row r="7710" spans="1:141" s="116" customFormat="1">
      <c r="A7710" s="136"/>
      <c r="CM7710" s="111"/>
      <c r="CQ7710" s="111"/>
      <c r="EF7710"/>
      <c r="EG7710"/>
      <c r="EH7710"/>
      <c r="EI7710"/>
      <c r="EJ7710"/>
      <c r="EK7710"/>
    </row>
    <row r="7711" spans="1:141" s="116" customFormat="1">
      <c r="A7711" s="136"/>
      <c r="CM7711" s="111"/>
      <c r="CQ7711" s="111"/>
      <c r="EF7711"/>
      <c r="EG7711"/>
      <c r="EH7711"/>
      <c r="EI7711"/>
      <c r="EJ7711"/>
      <c r="EK7711"/>
    </row>
    <row r="7712" spans="1:141" s="116" customFormat="1">
      <c r="A7712" s="136"/>
      <c r="CM7712" s="111"/>
      <c r="CQ7712" s="111"/>
      <c r="EF7712"/>
      <c r="EG7712"/>
      <c r="EH7712"/>
      <c r="EI7712"/>
      <c r="EJ7712"/>
      <c r="EK7712"/>
    </row>
    <row r="7713" spans="1:141" s="116" customFormat="1">
      <c r="A7713" s="136"/>
      <c r="CM7713" s="111"/>
      <c r="CQ7713" s="111"/>
      <c r="EF7713"/>
      <c r="EG7713"/>
      <c r="EH7713"/>
      <c r="EI7713"/>
      <c r="EJ7713"/>
      <c r="EK7713"/>
    </row>
    <row r="7714" spans="1:141" s="116" customFormat="1">
      <c r="A7714" s="136"/>
      <c r="CM7714" s="111"/>
      <c r="CQ7714" s="111"/>
      <c r="EF7714"/>
      <c r="EG7714"/>
      <c r="EH7714"/>
      <c r="EI7714"/>
      <c r="EJ7714"/>
      <c r="EK7714"/>
    </row>
    <row r="7715" spans="1:141" s="116" customFormat="1">
      <c r="A7715" s="136"/>
      <c r="CM7715" s="111"/>
      <c r="CQ7715" s="111"/>
      <c r="EF7715"/>
      <c r="EG7715"/>
      <c r="EH7715"/>
      <c r="EI7715"/>
      <c r="EJ7715"/>
      <c r="EK7715"/>
    </row>
    <row r="7716" spans="1:141" s="116" customFormat="1">
      <c r="A7716" s="136"/>
      <c r="CM7716" s="111"/>
      <c r="CQ7716" s="111"/>
      <c r="EF7716"/>
      <c r="EG7716"/>
      <c r="EH7716"/>
      <c r="EI7716"/>
      <c r="EJ7716"/>
      <c r="EK7716"/>
    </row>
    <row r="7717" spans="1:141" s="116" customFormat="1">
      <c r="A7717" s="136"/>
      <c r="CM7717" s="111"/>
      <c r="CQ7717" s="111"/>
      <c r="EF7717"/>
      <c r="EG7717"/>
      <c r="EH7717"/>
      <c r="EI7717"/>
      <c r="EJ7717"/>
      <c r="EK7717"/>
    </row>
    <row r="7718" spans="1:141" s="116" customFormat="1">
      <c r="A7718" s="136"/>
      <c r="CM7718" s="111"/>
      <c r="CQ7718" s="111"/>
      <c r="EF7718"/>
      <c r="EG7718"/>
      <c r="EH7718"/>
      <c r="EI7718"/>
      <c r="EJ7718"/>
      <c r="EK7718"/>
    </row>
    <row r="7719" spans="1:141" s="116" customFormat="1">
      <c r="A7719" s="136"/>
      <c r="CM7719" s="111"/>
      <c r="CQ7719" s="111"/>
      <c r="EF7719"/>
      <c r="EG7719"/>
      <c r="EH7719"/>
      <c r="EI7719"/>
      <c r="EJ7719"/>
      <c r="EK7719"/>
    </row>
    <row r="7720" spans="1:141" s="116" customFormat="1">
      <c r="A7720" s="136"/>
      <c r="CM7720" s="111"/>
      <c r="CQ7720" s="111"/>
      <c r="EF7720"/>
      <c r="EG7720"/>
      <c r="EH7720"/>
      <c r="EI7720"/>
      <c r="EJ7720"/>
      <c r="EK7720"/>
    </row>
    <row r="7721" spans="1:141" s="116" customFormat="1">
      <c r="A7721" s="136"/>
      <c r="CM7721" s="111"/>
      <c r="CQ7721" s="111"/>
      <c r="EF7721"/>
      <c r="EG7721"/>
      <c r="EH7721"/>
      <c r="EI7721"/>
      <c r="EJ7721"/>
      <c r="EK7721"/>
    </row>
    <row r="7722" spans="1:141" s="116" customFormat="1">
      <c r="A7722" s="136"/>
      <c r="CM7722" s="111"/>
      <c r="CQ7722" s="111"/>
      <c r="EF7722"/>
      <c r="EG7722"/>
      <c r="EH7722"/>
      <c r="EI7722"/>
      <c r="EJ7722"/>
      <c r="EK7722"/>
    </row>
    <row r="7723" spans="1:141" s="116" customFormat="1">
      <c r="A7723" s="136"/>
      <c r="CM7723" s="111"/>
      <c r="CQ7723" s="111"/>
      <c r="EF7723"/>
      <c r="EG7723"/>
      <c r="EH7723"/>
      <c r="EI7723"/>
      <c r="EJ7723"/>
      <c r="EK7723"/>
    </row>
    <row r="7724" spans="1:141" s="116" customFormat="1">
      <c r="A7724" s="136"/>
      <c r="CM7724" s="111"/>
      <c r="CQ7724" s="111"/>
      <c r="EF7724"/>
      <c r="EG7724"/>
      <c r="EH7724"/>
      <c r="EI7724"/>
      <c r="EJ7724"/>
      <c r="EK7724"/>
    </row>
    <row r="7725" spans="1:141" s="116" customFormat="1">
      <c r="A7725" s="136"/>
      <c r="CM7725" s="111"/>
      <c r="CQ7725" s="111"/>
      <c r="EF7725"/>
      <c r="EG7725"/>
      <c r="EH7725"/>
      <c r="EI7725"/>
      <c r="EJ7725"/>
      <c r="EK7725"/>
    </row>
    <row r="7726" spans="1:141" s="116" customFormat="1">
      <c r="A7726" s="136"/>
      <c r="CM7726" s="111"/>
      <c r="CQ7726" s="111"/>
      <c r="EF7726"/>
      <c r="EG7726"/>
      <c r="EH7726"/>
      <c r="EI7726"/>
      <c r="EJ7726"/>
      <c r="EK7726"/>
    </row>
    <row r="7727" spans="1:141" s="116" customFormat="1">
      <c r="A7727" s="136"/>
      <c r="CM7727" s="111"/>
      <c r="CQ7727" s="111"/>
      <c r="EF7727"/>
      <c r="EG7727"/>
      <c r="EH7727"/>
      <c r="EI7727"/>
      <c r="EJ7727"/>
      <c r="EK7727"/>
    </row>
    <row r="7728" spans="1:141" s="116" customFormat="1">
      <c r="A7728" s="136"/>
      <c r="CM7728" s="111"/>
      <c r="CQ7728" s="111"/>
      <c r="EF7728"/>
      <c r="EG7728"/>
      <c r="EH7728"/>
      <c r="EI7728"/>
      <c r="EJ7728"/>
      <c r="EK7728"/>
    </row>
    <row r="7729" spans="1:141" s="116" customFormat="1">
      <c r="A7729" s="136"/>
      <c r="CM7729" s="111"/>
      <c r="CQ7729" s="111"/>
      <c r="EF7729"/>
      <c r="EG7729"/>
      <c r="EH7729"/>
      <c r="EI7729"/>
      <c r="EJ7729"/>
      <c r="EK7729"/>
    </row>
    <row r="7730" spans="1:141" s="116" customFormat="1">
      <c r="A7730" s="136"/>
      <c r="CM7730" s="111"/>
      <c r="CQ7730" s="111"/>
      <c r="EF7730"/>
      <c r="EG7730"/>
      <c r="EH7730"/>
      <c r="EI7730"/>
      <c r="EJ7730"/>
      <c r="EK7730"/>
    </row>
    <row r="7731" spans="1:141" s="116" customFormat="1">
      <c r="A7731" s="136"/>
      <c r="CM7731" s="111"/>
      <c r="CQ7731" s="111"/>
      <c r="EF7731"/>
      <c r="EG7731"/>
      <c r="EH7731"/>
      <c r="EI7731"/>
      <c r="EJ7731"/>
      <c r="EK7731"/>
    </row>
    <row r="7732" spans="1:141" s="116" customFormat="1">
      <c r="A7732" s="136"/>
      <c r="CM7732" s="111"/>
      <c r="CQ7732" s="111"/>
      <c r="EF7732"/>
      <c r="EG7732"/>
      <c r="EH7732"/>
      <c r="EI7732"/>
      <c r="EJ7732"/>
      <c r="EK7732"/>
    </row>
    <row r="7733" spans="1:141" s="116" customFormat="1">
      <c r="A7733" s="136"/>
      <c r="CM7733" s="111"/>
      <c r="CQ7733" s="111"/>
      <c r="EF7733"/>
      <c r="EG7733"/>
      <c r="EH7733"/>
      <c r="EI7733"/>
      <c r="EJ7733"/>
      <c r="EK7733"/>
    </row>
    <row r="7734" spans="1:141" s="116" customFormat="1">
      <c r="A7734" s="136"/>
      <c r="CM7734" s="111"/>
      <c r="CQ7734" s="111"/>
      <c r="EF7734"/>
      <c r="EG7734"/>
      <c r="EH7734"/>
      <c r="EI7734"/>
      <c r="EJ7734"/>
      <c r="EK7734"/>
    </row>
    <row r="7735" spans="1:141" s="116" customFormat="1">
      <c r="A7735" s="136"/>
      <c r="CM7735" s="111"/>
      <c r="CQ7735" s="111"/>
      <c r="EF7735"/>
      <c r="EG7735"/>
      <c r="EH7735"/>
      <c r="EI7735"/>
      <c r="EJ7735"/>
      <c r="EK7735"/>
    </row>
    <row r="7736" spans="1:141" s="116" customFormat="1">
      <c r="A7736" s="136"/>
      <c r="CM7736" s="111"/>
      <c r="CQ7736" s="111"/>
      <c r="EF7736"/>
      <c r="EG7736"/>
      <c r="EH7736"/>
      <c r="EI7736"/>
      <c r="EJ7736"/>
      <c r="EK7736"/>
    </row>
    <row r="7737" spans="1:141" s="116" customFormat="1">
      <c r="A7737" s="136"/>
      <c r="CM7737" s="111"/>
      <c r="CQ7737" s="111"/>
      <c r="EF7737"/>
      <c r="EG7737"/>
      <c r="EH7737"/>
      <c r="EI7737"/>
      <c r="EJ7737"/>
      <c r="EK7737"/>
    </row>
    <row r="7738" spans="1:141" s="116" customFormat="1">
      <c r="A7738" s="136"/>
      <c r="CM7738" s="111"/>
      <c r="CQ7738" s="111"/>
      <c r="EF7738"/>
      <c r="EG7738"/>
      <c r="EH7738"/>
      <c r="EI7738"/>
      <c r="EJ7738"/>
      <c r="EK7738"/>
    </row>
    <row r="7739" spans="1:141" s="116" customFormat="1">
      <c r="A7739" s="136"/>
      <c r="CM7739" s="111"/>
      <c r="CQ7739" s="111"/>
      <c r="EF7739"/>
      <c r="EG7739"/>
      <c r="EH7739"/>
      <c r="EI7739"/>
      <c r="EJ7739"/>
      <c r="EK7739"/>
    </row>
    <row r="7740" spans="1:141" s="116" customFormat="1">
      <c r="A7740" s="136"/>
      <c r="CM7740" s="111"/>
      <c r="CQ7740" s="111"/>
      <c r="EF7740"/>
      <c r="EG7740"/>
      <c r="EH7740"/>
      <c r="EI7740"/>
      <c r="EJ7740"/>
      <c r="EK7740"/>
    </row>
    <row r="7741" spans="1:141" s="116" customFormat="1">
      <c r="A7741" s="136"/>
      <c r="CM7741" s="111"/>
      <c r="CQ7741" s="111"/>
      <c r="EF7741"/>
      <c r="EG7741"/>
      <c r="EH7741"/>
      <c r="EI7741"/>
      <c r="EJ7741"/>
      <c r="EK7741"/>
    </row>
    <row r="7742" spans="1:141" s="116" customFormat="1">
      <c r="A7742" s="136"/>
      <c r="CM7742" s="111"/>
      <c r="CQ7742" s="111"/>
      <c r="EF7742"/>
      <c r="EG7742"/>
      <c r="EH7742"/>
      <c r="EI7742"/>
      <c r="EJ7742"/>
      <c r="EK7742"/>
    </row>
    <row r="7743" spans="1:141" s="116" customFormat="1">
      <c r="A7743" s="136"/>
      <c r="CM7743" s="111"/>
      <c r="CQ7743" s="111"/>
      <c r="EF7743"/>
      <c r="EG7743"/>
      <c r="EH7743"/>
      <c r="EI7743"/>
      <c r="EJ7743"/>
      <c r="EK7743"/>
    </row>
    <row r="7744" spans="1:141" s="116" customFormat="1">
      <c r="A7744" s="136"/>
      <c r="CM7744" s="111"/>
      <c r="CQ7744" s="111"/>
      <c r="EF7744"/>
      <c r="EG7744"/>
      <c r="EH7744"/>
      <c r="EI7744"/>
      <c r="EJ7744"/>
      <c r="EK7744"/>
    </row>
    <row r="7745" spans="1:141" s="116" customFormat="1">
      <c r="A7745" s="136"/>
      <c r="CM7745" s="111"/>
      <c r="CQ7745" s="111"/>
      <c r="EF7745"/>
      <c r="EG7745"/>
      <c r="EH7745"/>
      <c r="EI7745"/>
      <c r="EJ7745"/>
      <c r="EK7745"/>
    </row>
    <row r="7746" spans="1:141" s="116" customFormat="1">
      <c r="A7746" s="136"/>
      <c r="CM7746" s="111"/>
      <c r="CQ7746" s="111"/>
      <c r="EF7746"/>
      <c r="EG7746"/>
      <c r="EH7746"/>
      <c r="EI7746"/>
      <c r="EJ7746"/>
      <c r="EK7746"/>
    </row>
    <row r="7747" spans="1:141" s="116" customFormat="1">
      <c r="A7747" s="136"/>
      <c r="CM7747" s="111"/>
      <c r="CQ7747" s="111"/>
      <c r="EF7747"/>
      <c r="EG7747"/>
      <c r="EH7747"/>
      <c r="EI7747"/>
      <c r="EJ7747"/>
      <c r="EK7747"/>
    </row>
    <row r="7748" spans="1:141" s="116" customFormat="1">
      <c r="A7748" s="136"/>
      <c r="CM7748" s="111"/>
      <c r="CQ7748" s="111"/>
      <c r="EF7748"/>
      <c r="EG7748"/>
      <c r="EH7748"/>
      <c r="EI7748"/>
      <c r="EJ7748"/>
      <c r="EK7748"/>
    </row>
    <row r="7749" spans="1:141" s="116" customFormat="1">
      <c r="A7749" s="136"/>
      <c r="CM7749" s="111"/>
      <c r="CQ7749" s="111"/>
      <c r="EF7749"/>
      <c r="EG7749"/>
      <c r="EH7749"/>
      <c r="EI7749"/>
      <c r="EJ7749"/>
      <c r="EK7749"/>
    </row>
    <row r="7750" spans="1:141" s="116" customFormat="1">
      <c r="A7750" s="136"/>
      <c r="CM7750" s="111"/>
      <c r="CQ7750" s="111"/>
      <c r="EF7750"/>
      <c r="EG7750"/>
      <c r="EH7750"/>
      <c r="EI7750"/>
      <c r="EJ7750"/>
      <c r="EK7750"/>
    </row>
    <row r="7751" spans="1:141" s="116" customFormat="1">
      <c r="A7751" s="136"/>
      <c r="CM7751" s="111"/>
      <c r="CQ7751" s="111"/>
      <c r="EF7751"/>
      <c r="EG7751"/>
      <c r="EH7751"/>
      <c r="EI7751"/>
      <c r="EJ7751"/>
      <c r="EK7751"/>
    </row>
    <row r="7752" spans="1:141" s="116" customFormat="1">
      <c r="A7752" s="136"/>
      <c r="CM7752" s="111"/>
      <c r="CQ7752" s="111"/>
      <c r="EF7752"/>
      <c r="EG7752"/>
      <c r="EH7752"/>
      <c r="EI7752"/>
      <c r="EJ7752"/>
      <c r="EK7752"/>
    </row>
    <row r="7753" spans="1:141" s="116" customFormat="1">
      <c r="A7753" s="136"/>
      <c r="CM7753" s="111"/>
      <c r="CQ7753" s="111"/>
      <c r="EF7753"/>
      <c r="EG7753"/>
      <c r="EH7753"/>
      <c r="EI7753"/>
      <c r="EJ7753"/>
      <c r="EK7753"/>
    </row>
    <row r="7754" spans="1:141" s="116" customFormat="1">
      <c r="A7754" s="136"/>
      <c r="CM7754" s="111"/>
      <c r="CQ7754" s="111"/>
      <c r="EF7754"/>
      <c r="EG7754"/>
      <c r="EH7754"/>
      <c r="EI7754"/>
      <c r="EJ7754"/>
      <c r="EK7754"/>
    </row>
    <row r="7755" spans="1:141" s="116" customFormat="1">
      <c r="A7755" s="136"/>
      <c r="CM7755" s="111"/>
      <c r="CQ7755" s="111"/>
      <c r="EF7755"/>
      <c r="EG7755"/>
      <c r="EH7755"/>
      <c r="EI7755"/>
      <c r="EJ7755"/>
      <c r="EK7755"/>
    </row>
    <row r="7756" spans="1:141" s="116" customFormat="1">
      <c r="A7756" s="136"/>
      <c r="CM7756" s="111"/>
      <c r="CQ7756" s="111"/>
      <c r="EF7756"/>
      <c r="EG7756"/>
      <c r="EH7756"/>
      <c r="EI7756"/>
      <c r="EJ7756"/>
      <c r="EK7756"/>
    </row>
    <row r="7757" spans="1:141" s="116" customFormat="1">
      <c r="A7757" s="136"/>
      <c r="CM7757" s="111"/>
      <c r="CQ7757" s="111"/>
      <c r="EF7757"/>
      <c r="EG7757"/>
      <c r="EH7757"/>
      <c r="EI7757"/>
      <c r="EJ7757"/>
      <c r="EK7757"/>
    </row>
    <row r="7758" spans="1:141" s="116" customFormat="1">
      <c r="A7758" s="136"/>
      <c r="CM7758" s="111"/>
      <c r="CQ7758" s="111"/>
      <c r="EF7758"/>
      <c r="EG7758"/>
      <c r="EH7758"/>
      <c r="EI7758"/>
      <c r="EJ7758"/>
      <c r="EK7758"/>
    </row>
    <row r="7759" spans="1:141" s="116" customFormat="1">
      <c r="A7759" s="136"/>
      <c r="CM7759" s="111"/>
      <c r="CQ7759" s="111"/>
      <c r="EF7759"/>
      <c r="EG7759"/>
      <c r="EH7759"/>
      <c r="EI7759"/>
      <c r="EJ7759"/>
      <c r="EK7759"/>
    </row>
    <row r="7760" spans="1:141" s="116" customFormat="1">
      <c r="A7760" s="136"/>
      <c r="CM7760" s="111"/>
      <c r="CQ7760" s="111"/>
      <c r="EF7760"/>
      <c r="EG7760"/>
      <c r="EH7760"/>
      <c r="EI7760"/>
      <c r="EJ7760"/>
      <c r="EK7760"/>
    </row>
    <row r="7761" spans="1:141" s="116" customFormat="1">
      <c r="A7761" s="136"/>
      <c r="CM7761" s="111"/>
      <c r="CQ7761" s="111"/>
      <c r="EF7761"/>
      <c r="EG7761"/>
      <c r="EH7761"/>
      <c r="EI7761"/>
      <c r="EJ7761"/>
      <c r="EK7761"/>
    </row>
    <row r="7762" spans="1:141" s="116" customFormat="1">
      <c r="A7762" s="136"/>
      <c r="CM7762" s="111"/>
      <c r="CQ7762" s="111"/>
      <c r="EF7762"/>
      <c r="EG7762"/>
      <c r="EH7762"/>
      <c r="EI7762"/>
      <c r="EJ7762"/>
      <c r="EK7762"/>
    </row>
    <row r="7763" spans="1:141" s="116" customFormat="1">
      <c r="A7763" s="136"/>
      <c r="CM7763" s="111"/>
      <c r="CQ7763" s="111"/>
      <c r="EF7763"/>
      <c r="EG7763"/>
      <c r="EH7763"/>
      <c r="EI7763"/>
      <c r="EJ7763"/>
      <c r="EK7763"/>
    </row>
    <row r="7764" spans="1:141" s="116" customFormat="1">
      <c r="A7764" s="136"/>
      <c r="CM7764" s="111"/>
      <c r="CQ7764" s="111"/>
      <c r="EF7764"/>
      <c r="EG7764"/>
      <c r="EH7764"/>
      <c r="EI7764"/>
      <c r="EJ7764"/>
      <c r="EK7764"/>
    </row>
    <row r="7765" spans="1:141" s="116" customFormat="1">
      <c r="A7765" s="136"/>
      <c r="CM7765" s="111"/>
      <c r="CQ7765" s="111"/>
      <c r="EF7765"/>
      <c r="EG7765"/>
      <c r="EH7765"/>
      <c r="EI7765"/>
      <c r="EJ7765"/>
      <c r="EK7765"/>
    </row>
    <row r="7766" spans="1:141" s="116" customFormat="1">
      <c r="A7766" s="136"/>
      <c r="CM7766" s="111"/>
      <c r="CQ7766" s="111"/>
      <c r="EF7766"/>
      <c r="EG7766"/>
      <c r="EH7766"/>
      <c r="EI7766"/>
      <c r="EJ7766"/>
      <c r="EK7766"/>
    </row>
    <row r="7767" spans="1:141" s="116" customFormat="1">
      <c r="A7767" s="136"/>
      <c r="CM7767" s="111"/>
      <c r="CQ7767" s="111"/>
      <c r="EF7767"/>
      <c r="EG7767"/>
      <c r="EH7767"/>
      <c r="EI7767"/>
      <c r="EJ7767"/>
      <c r="EK7767"/>
    </row>
    <row r="7768" spans="1:141" s="116" customFormat="1">
      <c r="A7768" s="136"/>
      <c r="CM7768" s="111"/>
      <c r="CQ7768" s="111"/>
      <c r="EF7768"/>
      <c r="EG7768"/>
      <c r="EH7768"/>
      <c r="EI7768"/>
      <c r="EJ7768"/>
      <c r="EK7768"/>
    </row>
    <row r="7769" spans="1:141" s="116" customFormat="1">
      <c r="A7769" s="136"/>
      <c r="CM7769" s="111"/>
      <c r="CQ7769" s="111"/>
      <c r="EF7769"/>
      <c r="EG7769"/>
      <c r="EH7769"/>
      <c r="EI7769"/>
      <c r="EJ7769"/>
      <c r="EK7769"/>
    </row>
    <row r="7770" spans="1:141" s="116" customFormat="1">
      <c r="A7770" s="136"/>
      <c r="CM7770" s="111"/>
      <c r="CQ7770" s="111"/>
      <c r="EF7770"/>
      <c r="EG7770"/>
      <c r="EH7770"/>
      <c r="EI7770"/>
      <c r="EJ7770"/>
      <c r="EK7770"/>
    </row>
    <row r="7771" spans="1:141" s="116" customFormat="1">
      <c r="A7771" s="136"/>
      <c r="CM7771" s="111"/>
      <c r="CQ7771" s="111"/>
      <c r="EF7771"/>
      <c r="EG7771"/>
      <c r="EH7771"/>
      <c r="EI7771"/>
      <c r="EJ7771"/>
      <c r="EK7771"/>
    </row>
    <row r="7772" spans="1:141" s="116" customFormat="1">
      <c r="A7772" s="136"/>
      <c r="CM7772" s="111"/>
      <c r="CQ7772" s="111"/>
      <c r="EF7772"/>
      <c r="EG7772"/>
      <c r="EH7772"/>
      <c r="EI7772"/>
      <c r="EJ7772"/>
      <c r="EK7772"/>
    </row>
    <row r="7773" spans="1:141" s="116" customFormat="1">
      <c r="A7773" s="136"/>
      <c r="CM7773" s="111"/>
      <c r="CQ7773" s="111"/>
      <c r="EF7773"/>
      <c r="EG7773"/>
      <c r="EH7773"/>
      <c r="EI7773"/>
      <c r="EJ7773"/>
      <c r="EK7773"/>
    </row>
    <row r="7774" spans="1:141" s="116" customFormat="1">
      <c r="A7774" s="136"/>
      <c r="CM7774" s="111"/>
      <c r="CQ7774" s="111"/>
      <c r="EF7774"/>
      <c r="EG7774"/>
      <c r="EH7774"/>
      <c r="EI7774"/>
      <c r="EJ7774"/>
      <c r="EK7774"/>
    </row>
    <row r="7775" spans="1:141" s="116" customFormat="1">
      <c r="A7775" s="136"/>
      <c r="CM7775" s="111"/>
      <c r="CQ7775" s="111"/>
      <c r="EF7775"/>
      <c r="EG7775"/>
      <c r="EH7775"/>
      <c r="EI7775"/>
      <c r="EJ7775"/>
      <c r="EK7775"/>
    </row>
    <row r="7776" spans="1:141" s="116" customFormat="1">
      <c r="A7776" s="136"/>
      <c r="CM7776" s="111"/>
      <c r="CQ7776" s="111"/>
      <c r="EF7776"/>
      <c r="EG7776"/>
      <c r="EH7776"/>
      <c r="EI7776"/>
      <c r="EJ7776"/>
      <c r="EK7776"/>
    </row>
    <row r="7777" spans="1:141" s="116" customFormat="1">
      <c r="A7777" s="136"/>
      <c r="CM7777" s="111"/>
      <c r="CQ7777" s="111"/>
      <c r="EF7777"/>
      <c r="EG7777"/>
      <c r="EH7777"/>
      <c r="EI7777"/>
      <c r="EJ7777"/>
      <c r="EK7777"/>
    </row>
    <row r="7778" spans="1:141" s="116" customFormat="1">
      <c r="A7778" s="136"/>
      <c r="CM7778" s="111"/>
      <c r="CQ7778" s="111"/>
      <c r="EF7778"/>
      <c r="EG7778"/>
      <c r="EH7778"/>
      <c r="EI7778"/>
      <c r="EJ7778"/>
      <c r="EK7778"/>
    </row>
    <row r="7779" spans="1:141" s="116" customFormat="1">
      <c r="A7779" s="136"/>
      <c r="CM7779" s="111"/>
      <c r="CQ7779" s="111"/>
      <c r="EF7779"/>
      <c r="EG7779"/>
      <c r="EH7779"/>
      <c r="EI7779"/>
      <c r="EJ7779"/>
      <c r="EK7779"/>
    </row>
    <row r="7780" spans="1:141" s="116" customFormat="1">
      <c r="A7780" s="136"/>
      <c r="CM7780" s="111"/>
      <c r="CQ7780" s="111"/>
      <c r="EF7780"/>
      <c r="EG7780"/>
      <c r="EH7780"/>
      <c r="EI7780"/>
      <c r="EJ7780"/>
      <c r="EK7780"/>
    </row>
    <row r="7781" spans="1:141" s="116" customFormat="1">
      <c r="A7781" s="136"/>
      <c r="CM7781" s="111"/>
      <c r="CQ7781" s="111"/>
      <c r="EF7781"/>
      <c r="EG7781"/>
      <c r="EH7781"/>
      <c r="EI7781"/>
      <c r="EJ7781"/>
      <c r="EK7781"/>
    </row>
    <row r="7782" spans="1:141" s="116" customFormat="1">
      <c r="A7782" s="136"/>
      <c r="CM7782" s="111"/>
      <c r="CQ7782" s="111"/>
      <c r="EF7782"/>
      <c r="EG7782"/>
      <c r="EH7782"/>
      <c r="EI7782"/>
      <c r="EJ7782"/>
      <c r="EK7782"/>
    </row>
    <row r="7783" spans="1:141" s="116" customFormat="1">
      <c r="A7783" s="136"/>
      <c r="CM7783" s="111"/>
      <c r="CQ7783" s="111"/>
      <c r="EF7783"/>
      <c r="EG7783"/>
      <c r="EH7783"/>
      <c r="EI7783"/>
      <c r="EJ7783"/>
      <c r="EK7783"/>
    </row>
    <row r="7784" spans="1:141" s="116" customFormat="1">
      <c r="A7784" s="136"/>
      <c r="CM7784" s="111"/>
      <c r="CQ7784" s="111"/>
      <c r="EF7784"/>
      <c r="EG7784"/>
      <c r="EH7784"/>
      <c r="EI7784"/>
      <c r="EJ7784"/>
      <c r="EK7784"/>
    </row>
    <row r="7785" spans="1:141" s="116" customFormat="1">
      <c r="A7785" s="136"/>
      <c r="CM7785" s="111"/>
      <c r="CQ7785" s="111"/>
      <c r="EF7785"/>
      <c r="EG7785"/>
      <c r="EH7785"/>
      <c r="EI7785"/>
      <c r="EJ7785"/>
      <c r="EK7785"/>
    </row>
    <row r="7786" spans="1:141" s="116" customFormat="1">
      <c r="A7786" s="136"/>
      <c r="CM7786" s="111"/>
      <c r="CQ7786" s="111"/>
      <c r="EF7786"/>
      <c r="EG7786"/>
      <c r="EH7786"/>
      <c r="EI7786"/>
      <c r="EJ7786"/>
      <c r="EK7786"/>
    </row>
    <row r="7787" spans="1:141" s="116" customFormat="1">
      <c r="A7787" s="136"/>
      <c r="CM7787" s="111"/>
      <c r="CQ7787" s="111"/>
      <c r="EF7787"/>
      <c r="EG7787"/>
      <c r="EH7787"/>
      <c r="EI7787"/>
      <c r="EJ7787"/>
      <c r="EK7787"/>
    </row>
    <row r="7788" spans="1:141" s="116" customFormat="1">
      <c r="A7788" s="136"/>
      <c r="CM7788" s="111"/>
      <c r="CQ7788" s="111"/>
      <c r="EF7788"/>
      <c r="EG7788"/>
      <c r="EH7788"/>
      <c r="EI7788"/>
      <c r="EJ7788"/>
      <c r="EK7788"/>
    </row>
    <row r="7789" spans="1:141" s="116" customFormat="1">
      <c r="A7789" s="136"/>
      <c r="CM7789" s="111"/>
      <c r="CQ7789" s="111"/>
      <c r="EF7789"/>
      <c r="EG7789"/>
      <c r="EH7789"/>
      <c r="EI7789"/>
      <c r="EJ7789"/>
      <c r="EK7789"/>
    </row>
    <row r="7790" spans="1:141" s="116" customFormat="1">
      <c r="A7790" s="136"/>
      <c r="CM7790" s="111"/>
      <c r="CQ7790" s="111"/>
      <c r="EF7790"/>
      <c r="EG7790"/>
      <c r="EH7790"/>
      <c r="EI7790"/>
      <c r="EJ7790"/>
      <c r="EK7790"/>
    </row>
    <row r="7791" spans="1:141" s="116" customFormat="1">
      <c r="A7791" s="136"/>
      <c r="CM7791" s="111"/>
      <c r="CQ7791" s="111"/>
      <c r="EF7791"/>
      <c r="EG7791"/>
      <c r="EH7791"/>
      <c r="EI7791"/>
      <c r="EJ7791"/>
      <c r="EK7791"/>
    </row>
    <row r="7792" spans="1:141" s="116" customFormat="1">
      <c r="A7792" s="136"/>
      <c r="CM7792" s="111"/>
      <c r="CQ7792" s="111"/>
      <c r="EF7792"/>
      <c r="EG7792"/>
      <c r="EH7792"/>
      <c r="EI7792"/>
      <c r="EJ7792"/>
      <c r="EK7792"/>
    </row>
    <row r="7793" spans="1:141" s="116" customFormat="1">
      <c r="A7793" s="136"/>
      <c r="CM7793" s="111"/>
      <c r="CQ7793" s="111"/>
      <c r="EF7793"/>
      <c r="EG7793"/>
      <c r="EH7793"/>
      <c r="EI7793"/>
      <c r="EJ7793"/>
      <c r="EK7793"/>
    </row>
    <row r="7794" spans="1:141" s="116" customFormat="1">
      <c r="A7794" s="136"/>
      <c r="CM7794" s="111"/>
      <c r="CQ7794" s="111"/>
      <c r="EF7794"/>
      <c r="EG7794"/>
      <c r="EH7794"/>
      <c r="EI7794"/>
      <c r="EJ7794"/>
      <c r="EK7794"/>
    </row>
    <row r="7795" spans="1:141" s="116" customFormat="1">
      <c r="A7795" s="136"/>
      <c r="CM7795" s="111"/>
      <c r="CQ7795" s="111"/>
      <c r="EF7795"/>
      <c r="EG7795"/>
      <c r="EH7795"/>
      <c r="EI7795"/>
      <c r="EJ7795"/>
      <c r="EK7795"/>
    </row>
    <row r="7796" spans="1:141" s="116" customFormat="1">
      <c r="A7796" s="136"/>
      <c r="CM7796" s="111"/>
      <c r="CQ7796" s="111"/>
      <c r="EF7796"/>
      <c r="EG7796"/>
      <c r="EH7796"/>
      <c r="EI7796"/>
      <c r="EJ7796"/>
      <c r="EK7796"/>
    </row>
    <row r="7797" spans="1:141" s="116" customFormat="1">
      <c r="A7797" s="136"/>
      <c r="CM7797" s="111"/>
      <c r="CQ7797" s="111"/>
      <c r="EF7797"/>
      <c r="EG7797"/>
      <c r="EH7797"/>
      <c r="EI7797"/>
      <c r="EJ7797"/>
      <c r="EK7797"/>
    </row>
    <row r="7798" spans="1:141" s="116" customFormat="1">
      <c r="A7798" s="136"/>
      <c r="CM7798" s="111"/>
      <c r="CQ7798" s="111"/>
      <c r="EF7798"/>
      <c r="EG7798"/>
      <c r="EH7798"/>
      <c r="EI7798"/>
      <c r="EJ7798"/>
      <c r="EK7798"/>
    </row>
    <row r="7799" spans="1:141" s="116" customFormat="1">
      <c r="A7799" s="136"/>
      <c r="CM7799" s="111"/>
      <c r="CQ7799" s="111"/>
      <c r="EF7799"/>
      <c r="EG7799"/>
      <c r="EH7799"/>
      <c r="EI7799"/>
      <c r="EJ7799"/>
      <c r="EK7799"/>
    </row>
    <row r="7800" spans="1:141" s="116" customFormat="1">
      <c r="A7800" s="136"/>
      <c r="CM7800" s="111"/>
      <c r="CQ7800" s="111"/>
      <c r="EF7800"/>
      <c r="EG7800"/>
      <c r="EH7800"/>
      <c r="EI7800"/>
      <c r="EJ7800"/>
      <c r="EK7800"/>
    </row>
    <row r="7801" spans="1:141" s="116" customFormat="1">
      <c r="A7801" s="136"/>
      <c r="CM7801" s="111"/>
      <c r="CQ7801" s="111"/>
      <c r="EF7801"/>
      <c r="EG7801"/>
      <c r="EH7801"/>
      <c r="EI7801"/>
      <c r="EJ7801"/>
      <c r="EK7801"/>
    </row>
    <row r="7802" spans="1:141" s="116" customFormat="1">
      <c r="A7802" s="136"/>
      <c r="CM7802" s="111"/>
      <c r="CQ7802" s="111"/>
      <c r="EF7802"/>
      <c r="EG7802"/>
      <c r="EH7802"/>
      <c r="EI7802"/>
      <c r="EJ7802"/>
      <c r="EK7802"/>
    </row>
    <row r="7803" spans="1:141" s="116" customFormat="1">
      <c r="A7803" s="136"/>
      <c r="CM7803" s="111"/>
      <c r="CQ7803" s="111"/>
      <c r="EF7803"/>
      <c r="EG7803"/>
      <c r="EH7803"/>
      <c r="EI7803"/>
      <c r="EJ7803"/>
      <c r="EK7803"/>
    </row>
    <row r="7804" spans="1:141" s="116" customFormat="1">
      <c r="A7804" s="136"/>
      <c r="CM7804" s="111"/>
      <c r="CQ7804" s="111"/>
      <c r="EF7804"/>
      <c r="EG7804"/>
      <c r="EH7804"/>
      <c r="EI7804"/>
      <c r="EJ7804"/>
      <c r="EK7804"/>
    </row>
    <row r="7805" spans="1:141" s="116" customFormat="1">
      <c r="A7805" s="136"/>
      <c r="CM7805" s="111"/>
      <c r="CQ7805" s="111"/>
      <c r="EF7805"/>
      <c r="EG7805"/>
      <c r="EH7805"/>
      <c r="EI7805"/>
      <c r="EJ7805"/>
      <c r="EK7805"/>
    </row>
    <row r="7806" spans="1:141" s="116" customFormat="1">
      <c r="A7806" s="136"/>
      <c r="CM7806" s="111"/>
      <c r="CQ7806" s="111"/>
      <c r="EF7806"/>
      <c r="EG7806"/>
      <c r="EH7806"/>
      <c r="EI7806"/>
      <c r="EJ7806"/>
      <c r="EK7806"/>
    </row>
    <row r="7807" spans="1:141" s="116" customFormat="1">
      <c r="A7807" s="136"/>
      <c r="CM7807" s="111"/>
      <c r="CQ7807" s="111"/>
      <c r="EF7807"/>
      <c r="EG7807"/>
      <c r="EH7807"/>
      <c r="EI7807"/>
      <c r="EJ7807"/>
      <c r="EK7807"/>
    </row>
    <row r="7808" spans="1:141" s="116" customFormat="1">
      <c r="A7808" s="136"/>
      <c r="CM7808" s="111"/>
      <c r="CQ7808" s="111"/>
      <c r="EF7808"/>
      <c r="EG7808"/>
      <c r="EH7808"/>
      <c r="EI7808"/>
      <c r="EJ7808"/>
      <c r="EK7808"/>
    </row>
    <row r="7809" spans="1:141" s="116" customFormat="1">
      <c r="A7809" s="136"/>
      <c r="CM7809" s="111"/>
      <c r="CQ7809" s="111"/>
      <c r="EF7809"/>
      <c r="EG7809"/>
      <c r="EH7809"/>
      <c r="EI7809"/>
      <c r="EJ7809"/>
      <c r="EK7809"/>
    </row>
    <row r="7810" spans="1:141" s="116" customFormat="1">
      <c r="A7810" s="136"/>
      <c r="CM7810" s="111"/>
      <c r="CQ7810" s="111"/>
      <c r="EF7810"/>
      <c r="EG7810"/>
      <c r="EH7810"/>
      <c r="EI7810"/>
      <c r="EJ7810"/>
      <c r="EK7810"/>
    </row>
    <row r="7811" spans="1:141" s="116" customFormat="1">
      <c r="A7811" s="136"/>
      <c r="CM7811" s="111"/>
      <c r="CQ7811" s="111"/>
      <c r="EF7811"/>
      <c r="EG7811"/>
      <c r="EH7811"/>
      <c r="EI7811"/>
      <c r="EJ7811"/>
      <c r="EK7811"/>
    </row>
    <row r="7812" spans="1:141" s="116" customFormat="1">
      <c r="A7812" s="136"/>
      <c r="CM7812" s="111"/>
      <c r="CQ7812" s="111"/>
      <c r="EF7812"/>
      <c r="EG7812"/>
      <c r="EH7812"/>
      <c r="EI7812"/>
      <c r="EJ7812"/>
      <c r="EK7812"/>
    </row>
    <row r="7813" spans="1:141" s="116" customFormat="1">
      <c r="A7813" s="136"/>
      <c r="CM7813" s="111"/>
      <c r="CQ7813" s="111"/>
      <c r="EF7813"/>
      <c r="EG7813"/>
      <c r="EH7813"/>
      <c r="EI7813"/>
      <c r="EJ7813"/>
      <c r="EK7813"/>
    </row>
    <row r="7814" spans="1:141" s="116" customFormat="1">
      <c r="A7814" s="136"/>
      <c r="CM7814" s="111"/>
      <c r="CQ7814" s="111"/>
      <c r="EF7814"/>
      <c r="EG7814"/>
      <c r="EH7814"/>
      <c r="EI7814"/>
      <c r="EJ7814"/>
      <c r="EK7814"/>
    </row>
    <row r="7815" spans="1:141" s="116" customFormat="1">
      <c r="A7815" s="136"/>
      <c r="CM7815" s="111"/>
      <c r="CQ7815" s="111"/>
      <c r="EF7815"/>
      <c r="EG7815"/>
      <c r="EH7815"/>
      <c r="EI7815"/>
      <c r="EJ7815"/>
      <c r="EK7815"/>
    </row>
    <row r="7816" spans="1:141" s="116" customFormat="1">
      <c r="A7816" s="136"/>
      <c r="CM7816" s="111"/>
      <c r="CQ7816" s="111"/>
      <c r="EF7816"/>
      <c r="EG7816"/>
      <c r="EH7816"/>
      <c r="EI7816"/>
      <c r="EJ7816"/>
      <c r="EK7816"/>
    </row>
    <row r="7817" spans="1:141" s="116" customFormat="1">
      <c r="A7817" s="136"/>
      <c r="CM7817" s="111"/>
      <c r="CQ7817" s="111"/>
      <c r="EF7817"/>
      <c r="EG7817"/>
      <c r="EH7817"/>
      <c r="EI7817"/>
      <c r="EJ7817"/>
      <c r="EK7817"/>
    </row>
    <row r="7818" spans="1:141" s="116" customFormat="1">
      <c r="A7818" s="136"/>
      <c r="CM7818" s="111"/>
      <c r="CQ7818" s="111"/>
      <c r="EF7818"/>
      <c r="EG7818"/>
      <c r="EH7818"/>
      <c r="EI7818"/>
      <c r="EJ7818"/>
      <c r="EK7818"/>
    </row>
    <row r="7819" spans="1:141" s="116" customFormat="1">
      <c r="A7819" s="136"/>
      <c r="CM7819" s="111"/>
      <c r="CQ7819" s="111"/>
      <c r="EF7819"/>
      <c r="EG7819"/>
      <c r="EH7819"/>
      <c r="EI7819"/>
      <c r="EJ7819"/>
      <c r="EK7819"/>
    </row>
    <row r="7820" spans="1:141" s="116" customFormat="1">
      <c r="A7820" s="136"/>
      <c r="CM7820" s="111"/>
      <c r="CQ7820" s="111"/>
      <c r="EF7820"/>
      <c r="EG7820"/>
      <c r="EH7820"/>
      <c r="EI7820"/>
      <c r="EJ7820"/>
      <c r="EK7820"/>
    </row>
    <row r="7821" spans="1:141" s="116" customFormat="1">
      <c r="A7821" s="136"/>
      <c r="CM7821" s="111"/>
      <c r="CQ7821" s="111"/>
      <c r="EF7821"/>
      <c r="EG7821"/>
      <c r="EH7821"/>
      <c r="EI7821"/>
      <c r="EJ7821"/>
      <c r="EK7821"/>
    </row>
    <row r="7822" spans="1:141" s="116" customFormat="1">
      <c r="A7822" s="136"/>
      <c r="CM7822" s="111"/>
      <c r="CQ7822" s="111"/>
      <c r="EF7822"/>
      <c r="EG7822"/>
      <c r="EH7822"/>
      <c r="EI7822"/>
      <c r="EJ7822"/>
      <c r="EK7822"/>
    </row>
    <row r="7823" spans="1:141" s="116" customFormat="1">
      <c r="A7823" s="136"/>
      <c r="CM7823" s="111"/>
      <c r="CQ7823" s="111"/>
      <c r="EF7823"/>
      <c r="EG7823"/>
      <c r="EH7823"/>
      <c r="EI7823"/>
      <c r="EJ7823"/>
      <c r="EK7823"/>
    </row>
    <row r="7824" spans="1:141" s="116" customFormat="1">
      <c r="A7824" s="136"/>
      <c r="CM7824" s="111"/>
      <c r="CQ7824" s="111"/>
      <c r="EF7824"/>
      <c r="EG7824"/>
      <c r="EH7824"/>
      <c r="EI7824"/>
      <c r="EJ7824"/>
      <c r="EK7824"/>
    </row>
    <row r="7825" spans="1:141" s="116" customFormat="1">
      <c r="A7825" s="136"/>
      <c r="CM7825" s="111"/>
      <c r="CQ7825" s="111"/>
      <c r="EF7825"/>
      <c r="EG7825"/>
      <c r="EH7825"/>
      <c r="EI7825"/>
      <c r="EJ7825"/>
      <c r="EK7825"/>
    </row>
    <row r="7826" spans="1:141" s="116" customFormat="1">
      <c r="A7826" s="136"/>
      <c r="CM7826" s="111"/>
      <c r="CQ7826" s="111"/>
      <c r="EF7826"/>
      <c r="EG7826"/>
      <c r="EH7826"/>
      <c r="EI7826"/>
      <c r="EJ7826"/>
      <c r="EK7826"/>
    </row>
    <row r="7827" spans="1:141" s="116" customFormat="1">
      <c r="A7827" s="136"/>
      <c r="CM7827" s="111"/>
      <c r="CQ7827" s="111"/>
      <c r="EF7827"/>
      <c r="EG7827"/>
      <c r="EH7827"/>
      <c r="EI7827"/>
      <c r="EJ7827"/>
      <c r="EK7827"/>
    </row>
    <row r="7828" spans="1:141" s="116" customFormat="1">
      <c r="A7828" s="136"/>
      <c r="CM7828" s="111"/>
      <c r="CQ7828" s="111"/>
      <c r="EF7828"/>
      <c r="EG7828"/>
      <c r="EH7828"/>
      <c r="EI7828"/>
      <c r="EJ7828"/>
      <c r="EK7828"/>
    </row>
    <row r="7829" spans="1:141" s="116" customFormat="1">
      <c r="A7829" s="136"/>
      <c r="CM7829" s="111"/>
      <c r="CQ7829" s="111"/>
      <c r="EF7829"/>
      <c r="EG7829"/>
      <c r="EH7829"/>
      <c r="EI7829"/>
      <c r="EJ7829"/>
      <c r="EK7829"/>
    </row>
    <row r="7830" spans="1:141" s="116" customFormat="1">
      <c r="A7830" s="136"/>
      <c r="CM7830" s="111"/>
      <c r="CQ7830" s="111"/>
      <c r="EF7830"/>
      <c r="EG7830"/>
      <c r="EH7830"/>
      <c r="EI7830"/>
      <c r="EJ7830"/>
      <c r="EK7830"/>
    </row>
    <row r="7831" spans="1:141" s="116" customFormat="1">
      <c r="A7831" s="136"/>
      <c r="CM7831" s="111"/>
      <c r="CQ7831" s="111"/>
      <c r="EF7831"/>
      <c r="EG7831"/>
      <c r="EH7831"/>
      <c r="EI7831"/>
      <c r="EJ7831"/>
      <c r="EK7831"/>
    </row>
    <row r="7832" spans="1:141" s="116" customFormat="1">
      <c r="A7832" s="136"/>
      <c r="CM7832" s="111"/>
      <c r="CQ7832" s="111"/>
      <c r="EF7832"/>
      <c r="EG7832"/>
      <c r="EH7832"/>
      <c r="EI7832"/>
      <c r="EJ7832"/>
      <c r="EK7832"/>
    </row>
    <row r="7833" spans="1:141" s="116" customFormat="1">
      <c r="A7833" s="136"/>
      <c r="CM7833" s="111"/>
      <c r="CQ7833" s="111"/>
      <c r="EF7833"/>
      <c r="EG7833"/>
      <c r="EH7833"/>
      <c r="EI7833"/>
      <c r="EJ7833"/>
      <c r="EK7833"/>
    </row>
    <row r="7834" spans="1:141" s="116" customFormat="1">
      <c r="A7834" s="136"/>
      <c r="CM7834" s="111"/>
      <c r="CQ7834" s="111"/>
      <c r="EF7834"/>
      <c r="EG7834"/>
      <c r="EH7834"/>
      <c r="EI7834"/>
      <c r="EJ7834"/>
      <c r="EK7834"/>
    </row>
    <row r="7835" spans="1:141" s="116" customFormat="1">
      <c r="A7835" s="136"/>
      <c r="CM7835" s="111"/>
      <c r="CQ7835" s="111"/>
      <c r="EF7835"/>
      <c r="EG7835"/>
      <c r="EH7835"/>
      <c r="EI7835"/>
      <c r="EJ7835"/>
      <c r="EK7835"/>
    </row>
    <row r="7836" spans="1:141" s="116" customFormat="1">
      <c r="A7836" s="136"/>
      <c r="CM7836" s="111"/>
      <c r="CQ7836" s="111"/>
      <c r="EF7836"/>
      <c r="EG7836"/>
      <c r="EH7836"/>
      <c r="EI7836"/>
      <c r="EJ7836"/>
      <c r="EK7836"/>
    </row>
    <row r="7837" spans="1:141" s="116" customFormat="1">
      <c r="A7837" s="136"/>
      <c r="CM7837" s="111"/>
      <c r="CQ7837" s="111"/>
      <c r="EF7837"/>
      <c r="EG7837"/>
      <c r="EH7837"/>
      <c r="EI7837"/>
      <c r="EJ7837"/>
      <c r="EK7837"/>
    </row>
    <row r="7838" spans="1:141" s="116" customFormat="1">
      <c r="A7838" s="136"/>
      <c r="CM7838" s="111"/>
      <c r="CQ7838" s="111"/>
      <c r="EF7838"/>
      <c r="EG7838"/>
      <c r="EH7838"/>
      <c r="EI7838"/>
      <c r="EJ7838"/>
      <c r="EK7838"/>
    </row>
    <row r="7839" spans="1:141" s="116" customFormat="1">
      <c r="A7839" s="136"/>
      <c r="CM7839" s="111"/>
      <c r="CQ7839" s="111"/>
      <c r="EF7839"/>
      <c r="EG7839"/>
      <c r="EH7839"/>
      <c r="EI7839"/>
      <c r="EJ7839"/>
      <c r="EK7839"/>
    </row>
    <row r="7840" spans="1:141" s="116" customFormat="1">
      <c r="A7840" s="136"/>
      <c r="CM7840" s="111"/>
      <c r="CQ7840" s="111"/>
      <c r="EF7840"/>
      <c r="EG7840"/>
      <c r="EH7840"/>
      <c r="EI7840"/>
      <c r="EJ7840"/>
      <c r="EK7840"/>
    </row>
    <row r="7841" spans="1:141" s="116" customFormat="1">
      <c r="A7841" s="136"/>
      <c r="CM7841" s="111"/>
      <c r="CQ7841" s="111"/>
      <c r="EF7841"/>
      <c r="EG7841"/>
      <c r="EH7841"/>
      <c r="EI7841"/>
      <c r="EJ7841"/>
      <c r="EK7841"/>
    </row>
    <row r="7842" spans="1:141" s="116" customFormat="1">
      <c r="A7842" s="136"/>
      <c r="CM7842" s="111"/>
      <c r="CQ7842" s="111"/>
      <c r="EF7842"/>
      <c r="EG7842"/>
      <c r="EH7842"/>
      <c r="EI7842"/>
      <c r="EJ7842"/>
      <c r="EK7842"/>
    </row>
    <row r="7843" spans="1:141" s="116" customFormat="1">
      <c r="A7843" s="136"/>
      <c r="CM7843" s="111"/>
      <c r="CQ7843" s="111"/>
      <c r="EF7843"/>
      <c r="EG7843"/>
      <c r="EH7843"/>
      <c r="EI7843"/>
      <c r="EJ7843"/>
      <c r="EK7843"/>
    </row>
    <row r="7844" spans="1:141" s="116" customFormat="1">
      <c r="A7844" s="136"/>
      <c r="CM7844" s="111"/>
      <c r="CQ7844" s="111"/>
      <c r="EF7844"/>
      <c r="EG7844"/>
      <c r="EH7844"/>
      <c r="EI7844"/>
      <c r="EJ7844"/>
      <c r="EK7844"/>
    </row>
    <row r="7845" spans="1:141" s="116" customFormat="1">
      <c r="A7845" s="136"/>
      <c r="CM7845" s="111"/>
      <c r="CQ7845" s="111"/>
      <c r="EF7845"/>
      <c r="EG7845"/>
      <c r="EH7845"/>
      <c r="EI7845"/>
      <c r="EJ7845"/>
      <c r="EK7845"/>
    </row>
    <row r="7846" spans="1:141" s="116" customFormat="1">
      <c r="A7846" s="136"/>
      <c r="CM7846" s="111"/>
      <c r="CQ7846" s="111"/>
      <c r="EF7846"/>
      <c r="EG7846"/>
      <c r="EH7846"/>
      <c r="EI7846"/>
      <c r="EJ7846"/>
      <c r="EK7846"/>
    </row>
    <row r="7847" spans="1:141" s="116" customFormat="1">
      <c r="A7847" s="136"/>
      <c r="CM7847" s="111"/>
      <c r="CQ7847" s="111"/>
      <c r="EF7847"/>
      <c r="EG7847"/>
      <c r="EH7847"/>
      <c r="EI7847"/>
      <c r="EJ7847"/>
      <c r="EK7847"/>
    </row>
    <row r="7848" spans="1:141" s="116" customFormat="1">
      <c r="A7848" s="136"/>
      <c r="CM7848" s="111"/>
      <c r="CQ7848" s="111"/>
      <c r="EF7848"/>
      <c r="EG7848"/>
      <c r="EH7848"/>
      <c r="EI7848"/>
      <c r="EJ7848"/>
      <c r="EK7848"/>
    </row>
    <row r="7849" spans="1:141" s="116" customFormat="1">
      <c r="A7849" s="136"/>
      <c r="CM7849" s="111"/>
      <c r="CQ7849" s="111"/>
      <c r="EF7849"/>
      <c r="EG7849"/>
      <c r="EH7849"/>
      <c r="EI7849"/>
      <c r="EJ7849"/>
      <c r="EK7849"/>
    </row>
    <row r="7850" spans="1:141" s="116" customFormat="1">
      <c r="A7850" s="136"/>
      <c r="CM7850" s="111"/>
      <c r="CQ7850" s="111"/>
      <c r="EF7850"/>
      <c r="EG7850"/>
      <c r="EH7850"/>
      <c r="EI7850"/>
      <c r="EJ7850"/>
      <c r="EK7850"/>
    </row>
    <row r="7851" spans="1:141" s="116" customFormat="1">
      <c r="A7851" s="136"/>
      <c r="CM7851" s="111"/>
      <c r="CQ7851" s="111"/>
      <c r="EF7851"/>
      <c r="EG7851"/>
      <c r="EH7851"/>
      <c r="EI7851"/>
      <c r="EJ7851"/>
      <c r="EK7851"/>
    </row>
    <row r="7852" spans="1:141" s="116" customFormat="1">
      <c r="A7852" s="136"/>
      <c r="CM7852" s="111"/>
      <c r="CQ7852" s="111"/>
      <c r="EF7852"/>
      <c r="EG7852"/>
      <c r="EH7852"/>
      <c r="EI7852"/>
      <c r="EJ7852"/>
      <c r="EK7852"/>
    </row>
    <row r="7853" spans="1:141" s="116" customFormat="1">
      <c r="A7853" s="136"/>
      <c r="CM7853" s="111"/>
      <c r="CQ7853" s="111"/>
      <c r="EF7853"/>
      <c r="EG7853"/>
      <c r="EH7853"/>
      <c r="EI7853"/>
      <c r="EJ7853"/>
      <c r="EK7853"/>
    </row>
    <row r="7854" spans="1:141" s="116" customFormat="1">
      <c r="A7854" s="136"/>
      <c r="CM7854" s="111"/>
      <c r="CQ7854" s="111"/>
      <c r="EF7854"/>
      <c r="EG7854"/>
      <c r="EH7854"/>
      <c r="EI7854"/>
      <c r="EJ7854"/>
      <c r="EK7854"/>
    </row>
    <row r="7855" spans="1:141" s="116" customFormat="1">
      <c r="A7855" s="136"/>
      <c r="CM7855" s="111"/>
      <c r="CQ7855" s="111"/>
      <c r="EF7855"/>
      <c r="EG7855"/>
      <c r="EH7855"/>
      <c r="EI7855"/>
      <c r="EJ7855"/>
      <c r="EK7855"/>
    </row>
    <row r="7856" spans="1:141" s="116" customFormat="1">
      <c r="A7856" s="136"/>
      <c r="CM7856" s="111"/>
      <c r="CQ7856" s="111"/>
      <c r="EF7856"/>
      <c r="EG7856"/>
      <c r="EH7856"/>
      <c r="EI7856"/>
      <c r="EJ7856"/>
      <c r="EK7856"/>
    </row>
    <row r="7857" spans="1:141" s="116" customFormat="1">
      <c r="A7857" s="136"/>
      <c r="CM7857" s="111"/>
      <c r="CQ7857" s="111"/>
      <c r="EF7857"/>
      <c r="EG7857"/>
      <c r="EH7857"/>
      <c r="EI7857"/>
      <c r="EJ7857"/>
      <c r="EK7857"/>
    </row>
    <row r="7858" spans="1:141" s="116" customFormat="1">
      <c r="A7858" s="136"/>
      <c r="CM7858" s="111"/>
      <c r="CQ7858" s="111"/>
      <c r="EF7858"/>
      <c r="EG7858"/>
      <c r="EH7858"/>
      <c r="EI7858"/>
      <c r="EJ7858"/>
      <c r="EK7858"/>
    </row>
    <row r="7859" spans="1:141" s="116" customFormat="1">
      <c r="A7859" s="136"/>
      <c r="CM7859" s="111"/>
      <c r="CQ7859" s="111"/>
      <c r="EF7859"/>
      <c r="EG7859"/>
      <c r="EH7859"/>
      <c r="EI7859"/>
      <c r="EJ7859"/>
      <c r="EK7859"/>
    </row>
    <row r="7860" spans="1:141" s="116" customFormat="1">
      <c r="A7860" s="136"/>
      <c r="CM7860" s="111"/>
      <c r="CQ7860" s="111"/>
      <c r="EF7860"/>
      <c r="EG7860"/>
      <c r="EH7860"/>
      <c r="EI7860"/>
      <c r="EJ7860"/>
      <c r="EK7860"/>
    </row>
    <row r="7861" spans="1:141" s="116" customFormat="1">
      <c r="A7861" s="136"/>
      <c r="CM7861" s="111"/>
      <c r="CQ7861" s="111"/>
      <c r="EF7861"/>
      <c r="EG7861"/>
      <c r="EH7861"/>
      <c r="EI7861"/>
      <c r="EJ7861"/>
      <c r="EK7861"/>
    </row>
    <row r="7862" spans="1:141" s="116" customFormat="1">
      <c r="A7862" s="136"/>
      <c r="CM7862" s="111"/>
      <c r="CQ7862" s="111"/>
      <c r="EF7862"/>
      <c r="EG7862"/>
      <c r="EH7862"/>
      <c r="EI7862"/>
      <c r="EJ7862"/>
      <c r="EK7862"/>
    </row>
    <row r="7863" spans="1:141" s="116" customFormat="1">
      <c r="A7863" s="136"/>
      <c r="CM7863" s="111"/>
      <c r="CQ7863" s="111"/>
      <c r="EF7863"/>
      <c r="EG7863"/>
      <c r="EH7863"/>
      <c r="EI7863"/>
      <c r="EJ7863"/>
      <c r="EK7863"/>
    </row>
    <row r="7864" spans="1:141" s="116" customFormat="1">
      <c r="A7864" s="136"/>
      <c r="CM7864" s="111"/>
      <c r="CQ7864" s="111"/>
      <c r="EF7864"/>
      <c r="EG7864"/>
      <c r="EH7864"/>
      <c r="EI7864"/>
      <c r="EJ7864"/>
      <c r="EK7864"/>
    </row>
    <row r="7865" spans="1:141" s="116" customFormat="1">
      <c r="A7865" s="136"/>
      <c r="CM7865" s="111"/>
      <c r="CQ7865" s="111"/>
      <c r="EF7865"/>
      <c r="EG7865"/>
      <c r="EH7865"/>
      <c r="EI7865"/>
      <c r="EJ7865"/>
      <c r="EK7865"/>
    </row>
    <row r="7866" spans="1:141" s="116" customFormat="1">
      <c r="A7866" s="136"/>
      <c r="CM7866" s="111"/>
      <c r="CQ7866" s="111"/>
      <c r="EF7866"/>
      <c r="EG7866"/>
      <c r="EH7866"/>
      <c r="EI7866"/>
      <c r="EJ7866"/>
      <c r="EK7866"/>
    </row>
    <row r="7867" spans="1:141" s="116" customFormat="1">
      <c r="A7867" s="136"/>
      <c r="CM7867" s="111"/>
      <c r="CQ7867" s="111"/>
      <c r="EF7867"/>
      <c r="EG7867"/>
      <c r="EH7867"/>
      <c r="EI7867"/>
      <c r="EJ7867"/>
      <c r="EK7867"/>
    </row>
    <row r="7868" spans="1:141" s="116" customFormat="1">
      <c r="A7868" s="136"/>
      <c r="CM7868" s="111"/>
      <c r="CQ7868" s="111"/>
      <c r="EF7868"/>
      <c r="EG7868"/>
      <c r="EH7868"/>
      <c r="EI7868"/>
      <c r="EJ7868"/>
      <c r="EK7868"/>
    </row>
    <row r="7869" spans="1:141" s="116" customFormat="1">
      <c r="A7869" s="136"/>
      <c r="CM7869" s="111"/>
      <c r="CQ7869" s="111"/>
      <c r="EF7869"/>
      <c r="EG7869"/>
      <c r="EH7869"/>
      <c r="EI7869"/>
      <c r="EJ7869"/>
      <c r="EK7869"/>
    </row>
    <row r="7870" spans="1:141" s="116" customFormat="1">
      <c r="A7870" s="136"/>
      <c r="CM7870" s="111"/>
      <c r="CQ7870" s="111"/>
      <c r="EF7870"/>
      <c r="EG7870"/>
      <c r="EH7870"/>
      <c r="EI7870"/>
      <c r="EJ7870"/>
      <c r="EK7870"/>
    </row>
    <row r="7871" spans="1:141" s="116" customFormat="1">
      <c r="A7871" s="136"/>
      <c r="CM7871" s="111"/>
      <c r="CQ7871" s="111"/>
      <c r="EF7871"/>
      <c r="EG7871"/>
      <c r="EH7871"/>
      <c r="EI7871"/>
      <c r="EJ7871"/>
      <c r="EK7871"/>
    </row>
    <row r="7872" spans="1:141" s="116" customFormat="1">
      <c r="A7872" s="136"/>
      <c r="CM7872" s="111"/>
      <c r="CQ7872" s="111"/>
      <c r="EF7872"/>
      <c r="EG7872"/>
      <c r="EH7872"/>
      <c r="EI7872"/>
      <c r="EJ7872"/>
      <c r="EK7872"/>
    </row>
    <row r="7873" spans="1:141" s="116" customFormat="1">
      <c r="A7873" s="136"/>
      <c r="CM7873" s="111"/>
      <c r="CQ7873" s="111"/>
      <c r="EF7873"/>
      <c r="EG7873"/>
      <c r="EH7873"/>
      <c r="EI7873"/>
      <c r="EJ7873"/>
      <c r="EK7873"/>
    </row>
    <row r="7874" spans="1:141" s="116" customFormat="1">
      <c r="A7874" s="136"/>
      <c r="CM7874" s="111"/>
      <c r="CQ7874" s="111"/>
      <c r="EF7874"/>
      <c r="EG7874"/>
      <c r="EH7874"/>
      <c r="EI7874"/>
      <c r="EJ7874"/>
      <c r="EK7874"/>
    </row>
    <row r="7875" spans="1:141" s="116" customFormat="1">
      <c r="A7875" s="136"/>
      <c r="CM7875" s="111"/>
      <c r="CQ7875" s="111"/>
      <c r="EF7875"/>
      <c r="EG7875"/>
      <c r="EH7875"/>
      <c r="EI7875"/>
      <c r="EJ7875"/>
      <c r="EK7875"/>
    </row>
    <row r="7876" spans="1:141" s="116" customFormat="1">
      <c r="A7876" s="136"/>
      <c r="CM7876" s="111"/>
      <c r="CQ7876" s="111"/>
      <c r="EF7876"/>
      <c r="EG7876"/>
      <c r="EH7876"/>
      <c r="EI7876"/>
      <c r="EJ7876"/>
      <c r="EK7876"/>
    </row>
    <row r="7877" spans="1:141" s="116" customFormat="1">
      <c r="A7877" s="136"/>
      <c r="CM7877" s="111"/>
      <c r="CQ7877" s="111"/>
      <c r="EF7877"/>
      <c r="EG7877"/>
      <c r="EH7877"/>
      <c r="EI7877"/>
      <c r="EJ7877"/>
      <c r="EK7877"/>
    </row>
    <row r="7878" spans="1:141" s="116" customFormat="1">
      <c r="A7878" s="136"/>
      <c r="CM7878" s="111"/>
      <c r="CQ7878" s="111"/>
      <c r="EF7878"/>
      <c r="EG7878"/>
      <c r="EH7878"/>
      <c r="EI7878"/>
      <c r="EJ7878"/>
      <c r="EK7878"/>
    </row>
    <row r="7879" spans="1:141" s="116" customFormat="1">
      <c r="A7879" s="136"/>
      <c r="CM7879" s="111"/>
      <c r="CQ7879" s="111"/>
      <c r="EF7879"/>
      <c r="EG7879"/>
      <c r="EH7879"/>
      <c r="EI7879"/>
      <c r="EJ7879"/>
      <c r="EK7879"/>
    </row>
    <row r="7880" spans="1:141" s="116" customFormat="1">
      <c r="A7880" s="136"/>
      <c r="CM7880" s="111"/>
      <c r="CQ7880" s="111"/>
      <c r="EF7880"/>
      <c r="EG7880"/>
      <c r="EH7880"/>
      <c r="EI7880"/>
      <c r="EJ7880"/>
      <c r="EK7880"/>
    </row>
    <row r="7881" spans="1:141" s="116" customFormat="1">
      <c r="A7881" s="136"/>
      <c r="CM7881" s="111"/>
      <c r="CQ7881" s="111"/>
      <c r="EF7881"/>
      <c r="EG7881"/>
      <c r="EH7881"/>
      <c r="EI7881"/>
      <c r="EJ7881"/>
      <c r="EK7881"/>
    </row>
    <row r="7882" spans="1:141" s="116" customFormat="1">
      <c r="A7882" s="136"/>
      <c r="CM7882" s="111"/>
      <c r="CQ7882" s="111"/>
      <c r="EF7882"/>
      <c r="EG7882"/>
      <c r="EH7882"/>
      <c r="EI7882"/>
      <c r="EJ7882"/>
      <c r="EK7882"/>
    </row>
    <row r="7883" spans="1:141" s="116" customFormat="1">
      <c r="A7883" s="136"/>
      <c r="CM7883" s="111"/>
      <c r="CQ7883" s="111"/>
      <c r="EF7883"/>
      <c r="EG7883"/>
      <c r="EH7883"/>
      <c r="EI7883"/>
      <c r="EJ7883"/>
      <c r="EK7883"/>
    </row>
    <row r="7884" spans="1:141" s="116" customFormat="1">
      <c r="A7884" s="136"/>
      <c r="CM7884" s="111"/>
      <c r="CQ7884" s="111"/>
      <c r="EF7884"/>
      <c r="EG7884"/>
      <c r="EH7884"/>
      <c r="EI7884"/>
      <c r="EJ7884"/>
      <c r="EK7884"/>
    </row>
    <row r="7885" spans="1:141" s="116" customFormat="1">
      <c r="A7885" s="136"/>
      <c r="CM7885" s="111"/>
      <c r="CQ7885" s="111"/>
      <c r="EF7885"/>
      <c r="EG7885"/>
      <c r="EH7885"/>
      <c r="EI7885"/>
      <c r="EJ7885"/>
      <c r="EK7885"/>
    </row>
    <row r="7886" spans="1:141" s="116" customFormat="1">
      <c r="A7886" s="136"/>
      <c r="CM7886" s="111"/>
      <c r="CQ7886" s="111"/>
      <c r="EF7886"/>
      <c r="EG7886"/>
      <c r="EH7886"/>
      <c r="EI7886"/>
      <c r="EJ7886"/>
      <c r="EK7886"/>
    </row>
    <row r="7887" spans="1:141" s="116" customFormat="1">
      <c r="A7887" s="136"/>
      <c r="CM7887" s="111"/>
      <c r="CQ7887" s="111"/>
      <c r="EF7887"/>
      <c r="EG7887"/>
      <c r="EH7887"/>
      <c r="EI7887"/>
      <c r="EJ7887"/>
      <c r="EK7887"/>
    </row>
    <row r="7888" spans="1:141" s="116" customFormat="1">
      <c r="A7888" s="136"/>
      <c r="CM7888" s="111"/>
      <c r="CQ7888" s="111"/>
      <c r="EF7888"/>
      <c r="EG7888"/>
      <c r="EH7888"/>
      <c r="EI7888"/>
      <c r="EJ7888"/>
      <c r="EK7888"/>
    </row>
    <row r="7889" spans="1:141" s="116" customFormat="1">
      <c r="A7889" s="136"/>
      <c r="CM7889" s="111"/>
      <c r="CQ7889" s="111"/>
      <c r="EF7889"/>
      <c r="EG7889"/>
      <c r="EH7889"/>
      <c r="EI7889"/>
      <c r="EJ7889"/>
      <c r="EK7889"/>
    </row>
    <row r="7890" spans="1:141" s="116" customFormat="1">
      <c r="A7890" s="136"/>
      <c r="CM7890" s="111"/>
      <c r="CQ7890" s="111"/>
      <c r="EF7890"/>
      <c r="EG7890"/>
      <c r="EH7890"/>
      <c r="EI7890"/>
      <c r="EJ7890"/>
      <c r="EK7890"/>
    </row>
    <row r="7891" spans="1:141" s="116" customFormat="1">
      <c r="A7891" s="136"/>
      <c r="CM7891" s="111"/>
      <c r="CQ7891" s="111"/>
      <c r="EF7891"/>
      <c r="EG7891"/>
      <c r="EH7891"/>
      <c r="EI7891"/>
      <c r="EJ7891"/>
      <c r="EK7891"/>
    </row>
    <row r="7892" spans="1:141" s="116" customFormat="1">
      <c r="A7892" s="136"/>
      <c r="CM7892" s="111"/>
      <c r="CQ7892" s="111"/>
      <c r="EF7892"/>
      <c r="EG7892"/>
      <c r="EH7892"/>
      <c r="EI7892"/>
      <c r="EJ7892"/>
      <c r="EK7892"/>
    </row>
    <row r="7893" spans="1:141" s="116" customFormat="1">
      <c r="A7893" s="136"/>
      <c r="CM7893" s="111"/>
      <c r="CQ7893" s="111"/>
      <c r="EF7893"/>
      <c r="EG7893"/>
      <c r="EH7893"/>
      <c r="EI7893"/>
      <c r="EJ7893"/>
      <c r="EK7893"/>
    </row>
    <row r="7894" spans="1:141" s="116" customFormat="1">
      <c r="A7894" s="136"/>
      <c r="CM7894" s="111"/>
      <c r="CQ7894" s="111"/>
      <c r="EF7894"/>
      <c r="EG7894"/>
      <c r="EH7894"/>
      <c r="EI7894"/>
      <c r="EJ7894"/>
      <c r="EK7894"/>
    </row>
    <row r="7895" spans="1:141" s="116" customFormat="1">
      <c r="A7895" s="136"/>
      <c r="CM7895" s="111"/>
      <c r="CQ7895" s="111"/>
      <c r="EF7895"/>
      <c r="EG7895"/>
      <c r="EH7895"/>
      <c r="EI7895"/>
      <c r="EJ7895"/>
      <c r="EK7895"/>
    </row>
    <row r="7896" spans="1:141" s="116" customFormat="1">
      <c r="A7896" s="136"/>
      <c r="CM7896" s="111"/>
      <c r="CQ7896" s="111"/>
      <c r="EF7896"/>
      <c r="EG7896"/>
      <c r="EH7896"/>
      <c r="EI7896"/>
      <c r="EJ7896"/>
      <c r="EK7896"/>
    </row>
    <row r="7897" spans="1:141" s="116" customFormat="1">
      <c r="A7897" s="136"/>
      <c r="CM7897" s="111"/>
      <c r="CQ7897" s="111"/>
      <c r="EF7897"/>
      <c r="EG7897"/>
      <c r="EH7897"/>
      <c r="EI7897"/>
      <c r="EJ7897"/>
      <c r="EK7897"/>
    </row>
    <row r="7898" spans="1:141" s="116" customFormat="1">
      <c r="A7898" s="136"/>
      <c r="CM7898" s="111"/>
      <c r="CQ7898" s="111"/>
      <c r="EF7898"/>
      <c r="EG7898"/>
      <c r="EH7898"/>
      <c r="EI7898"/>
      <c r="EJ7898"/>
      <c r="EK7898"/>
    </row>
    <row r="7899" spans="1:141" s="116" customFormat="1">
      <c r="A7899" s="136"/>
      <c r="CM7899" s="111"/>
      <c r="CQ7899" s="111"/>
      <c r="EF7899"/>
      <c r="EG7899"/>
      <c r="EH7899"/>
      <c r="EI7899"/>
      <c r="EJ7899"/>
      <c r="EK7899"/>
    </row>
    <row r="7900" spans="1:141" s="116" customFormat="1">
      <c r="A7900" s="136"/>
      <c r="CM7900" s="111"/>
      <c r="CQ7900" s="111"/>
      <c r="EF7900"/>
      <c r="EG7900"/>
      <c r="EH7900"/>
      <c r="EI7900"/>
      <c r="EJ7900"/>
      <c r="EK7900"/>
    </row>
    <row r="7901" spans="1:141" s="116" customFormat="1">
      <c r="A7901" s="136"/>
      <c r="CM7901" s="111"/>
      <c r="CQ7901" s="111"/>
      <c r="EF7901"/>
      <c r="EG7901"/>
      <c r="EH7901"/>
      <c r="EI7901"/>
      <c r="EJ7901"/>
      <c r="EK7901"/>
    </row>
    <row r="7902" spans="1:141" s="116" customFormat="1">
      <c r="A7902" s="136"/>
      <c r="CM7902" s="111"/>
      <c r="CQ7902" s="111"/>
      <c r="EF7902"/>
      <c r="EG7902"/>
      <c r="EH7902"/>
      <c r="EI7902"/>
      <c r="EJ7902"/>
      <c r="EK7902"/>
    </row>
    <row r="7903" spans="1:141" s="116" customFormat="1">
      <c r="A7903" s="136"/>
      <c r="CM7903" s="111"/>
      <c r="CQ7903" s="111"/>
      <c r="EF7903"/>
      <c r="EG7903"/>
      <c r="EH7903"/>
      <c r="EI7903"/>
      <c r="EJ7903"/>
      <c r="EK7903"/>
    </row>
    <row r="7904" spans="1:141" s="116" customFormat="1">
      <c r="A7904" s="136"/>
      <c r="CM7904" s="111"/>
      <c r="CQ7904" s="111"/>
      <c r="EF7904"/>
      <c r="EG7904"/>
      <c r="EH7904"/>
      <c r="EI7904"/>
      <c r="EJ7904"/>
      <c r="EK7904"/>
    </row>
    <row r="7905" spans="1:141" s="116" customFormat="1">
      <c r="A7905" s="136"/>
      <c r="CM7905" s="111"/>
      <c r="CQ7905" s="111"/>
      <c r="EF7905"/>
      <c r="EG7905"/>
      <c r="EH7905"/>
      <c r="EI7905"/>
      <c r="EJ7905"/>
      <c r="EK7905"/>
    </row>
    <row r="7906" spans="1:141" s="116" customFormat="1">
      <c r="A7906" s="136"/>
      <c r="CM7906" s="111"/>
      <c r="CQ7906" s="111"/>
      <c r="EF7906"/>
      <c r="EG7906"/>
      <c r="EH7906"/>
      <c r="EI7906"/>
      <c r="EJ7906"/>
      <c r="EK7906"/>
    </row>
    <row r="7907" spans="1:141" s="116" customFormat="1">
      <c r="A7907" s="136"/>
      <c r="CM7907" s="111"/>
      <c r="CQ7907" s="111"/>
      <c r="EF7907"/>
      <c r="EG7907"/>
      <c r="EH7907"/>
      <c r="EI7907"/>
      <c r="EJ7907"/>
      <c r="EK7907"/>
    </row>
    <row r="7908" spans="1:141" s="116" customFormat="1">
      <c r="A7908" s="136"/>
      <c r="CM7908" s="111"/>
      <c r="CQ7908" s="111"/>
      <c r="EF7908"/>
      <c r="EG7908"/>
      <c r="EH7908"/>
      <c r="EI7908"/>
      <c r="EJ7908"/>
      <c r="EK7908"/>
    </row>
    <row r="7909" spans="1:141" s="116" customFormat="1">
      <c r="A7909" s="136"/>
      <c r="CM7909" s="111"/>
      <c r="CQ7909" s="111"/>
      <c r="EF7909"/>
      <c r="EG7909"/>
      <c r="EH7909"/>
      <c r="EI7909"/>
      <c r="EJ7909"/>
      <c r="EK7909"/>
    </row>
    <row r="7910" spans="1:141" s="116" customFormat="1">
      <c r="A7910" s="136"/>
      <c r="CM7910" s="111"/>
      <c r="CQ7910" s="111"/>
      <c r="EF7910"/>
      <c r="EG7910"/>
      <c r="EH7910"/>
      <c r="EI7910"/>
      <c r="EJ7910"/>
      <c r="EK7910"/>
    </row>
    <row r="7911" spans="1:141" s="116" customFormat="1">
      <c r="A7911" s="136"/>
      <c r="CM7911" s="111"/>
      <c r="CQ7911" s="111"/>
      <c r="EF7911"/>
      <c r="EG7911"/>
      <c r="EH7911"/>
      <c r="EI7911"/>
      <c r="EJ7911"/>
      <c r="EK7911"/>
    </row>
    <row r="7912" spans="1:141" s="116" customFormat="1">
      <c r="A7912" s="136"/>
      <c r="CM7912" s="111"/>
      <c r="CQ7912" s="111"/>
      <c r="EF7912"/>
      <c r="EG7912"/>
      <c r="EH7912"/>
      <c r="EI7912"/>
      <c r="EJ7912"/>
      <c r="EK7912"/>
    </row>
    <row r="7913" spans="1:141" s="116" customFormat="1">
      <c r="A7913" s="136"/>
      <c r="CM7913" s="111"/>
      <c r="CQ7913" s="111"/>
      <c r="EF7913"/>
      <c r="EG7913"/>
      <c r="EH7913"/>
      <c r="EI7913"/>
      <c r="EJ7913"/>
      <c r="EK7913"/>
    </row>
    <row r="7914" spans="1:141" s="116" customFormat="1">
      <c r="A7914" s="136"/>
      <c r="CM7914" s="111"/>
      <c r="CQ7914" s="111"/>
      <c r="EF7914"/>
      <c r="EG7914"/>
      <c r="EH7914"/>
      <c r="EI7914"/>
      <c r="EJ7914"/>
      <c r="EK7914"/>
    </row>
    <row r="7915" spans="1:141" s="116" customFormat="1">
      <c r="A7915" s="136"/>
      <c r="CM7915" s="111"/>
      <c r="CQ7915" s="111"/>
      <c r="EF7915"/>
      <c r="EG7915"/>
      <c r="EH7915"/>
      <c r="EI7915"/>
      <c r="EJ7915"/>
      <c r="EK7915"/>
    </row>
    <row r="7916" spans="1:141" s="116" customFormat="1">
      <c r="A7916" s="136"/>
      <c r="CM7916" s="111"/>
      <c r="CQ7916" s="111"/>
      <c r="EF7916"/>
      <c r="EG7916"/>
      <c r="EH7916"/>
      <c r="EI7916"/>
      <c r="EJ7916"/>
      <c r="EK7916"/>
    </row>
    <row r="7917" spans="1:141" s="116" customFormat="1">
      <c r="A7917" s="136"/>
      <c r="CM7917" s="111"/>
      <c r="CQ7917" s="111"/>
      <c r="EF7917"/>
      <c r="EG7917"/>
      <c r="EH7917"/>
      <c r="EI7917"/>
      <c r="EJ7917"/>
      <c r="EK7917"/>
    </row>
    <row r="7918" spans="1:141" s="116" customFormat="1">
      <c r="A7918" s="136"/>
      <c r="CM7918" s="111"/>
      <c r="CQ7918" s="111"/>
      <c r="EF7918"/>
      <c r="EG7918"/>
      <c r="EH7918"/>
      <c r="EI7918"/>
      <c r="EJ7918"/>
      <c r="EK7918"/>
    </row>
    <row r="7919" spans="1:141" s="116" customFormat="1">
      <c r="A7919" s="136"/>
      <c r="CM7919" s="111"/>
      <c r="CQ7919" s="111"/>
      <c r="EF7919"/>
      <c r="EG7919"/>
      <c r="EH7919"/>
      <c r="EI7919"/>
      <c r="EJ7919"/>
      <c r="EK7919"/>
    </row>
    <row r="7920" spans="1:141" s="116" customFormat="1">
      <c r="A7920" s="136"/>
      <c r="CM7920" s="111"/>
      <c r="CQ7920" s="111"/>
      <c r="EF7920"/>
      <c r="EG7920"/>
      <c r="EH7920"/>
      <c r="EI7920"/>
      <c r="EJ7920"/>
      <c r="EK7920"/>
    </row>
    <row r="7921" spans="1:141" s="116" customFormat="1">
      <c r="A7921" s="136"/>
      <c r="CM7921" s="111"/>
      <c r="CQ7921" s="111"/>
      <c r="EF7921"/>
      <c r="EG7921"/>
      <c r="EH7921"/>
      <c r="EI7921"/>
      <c r="EJ7921"/>
      <c r="EK7921"/>
    </row>
    <row r="7922" spans="1:141" s="116" customFormat="1">
      <c r="A7922" s="136"/>
      <c r="CM7922" s="111"/>
      <c r="CQ7922" s="111"/>
      <c r="EF7922"/>
      <c r="EG7922"/>
      <c r="EH7922"/>
      <c r="EI7922"/>
      <c r="EJ7922"/>
      <c r="EK7922"/>
    </row>
    <row r="7923" spans="1:141" s="116" customFormat="1">
      <c r="A7923" s="136"/>
      <c r="CM7923" s="111"/>
      <c r="CQ7923" s="111"/>
      <c r="EF7923"/>
      <c r="EG7923"/>
      <c r="EH7923"/>
      <c r="EI7923"/>
      <c r="EJ7923"/>
      <c r="EK7923"/>
    </row>
    <row r="7924" spans="1:141" s="116" customFormat="1">
      <c r="A7924" s="136"/>
      <c r="CM7924" s="111"/>
      <c r="CQ7924" s="111"/>
      <c r="EF7924"/>
      <c r="EG7924"/>
      <c r="EH7924"/>
      <c r="EI7924"/>
      <c r="EJ7924"/>
      <c r="EK7924"/>
    </row>
    <row r="7925" spans="1:141" s="116" customFormat="1">
      <c r="A7925" s="136"/>
      <c r="CM7925" s="111"/>
      <c r="CQ7925" s="111"/>
      <c r="EF7925"/>
      <c r="EG7925"/>
      <c r="EH7925"/>
      <c r="EI7925"/>
      <c r="EJ7925"/>
      <c r="EK7925"/>
    </row>
    <row r="7926" spans="1:141" s="116" customFormat="1">
      <c r="A7926" s="136"/>
      <c r="CM7926" s="111"/>
      <c r="CQ7926" s="111"/>
      <c r="EF7926"/>
      <c r="EG7926"/>
      <c r="EH7926"/>
      <c r="EI7926"/>
      <c r="EJ7926"/>
      <c r="EK7926"/>
    </row>
    <row r="7927" spans="1:141" s="116" customFormat="1">
      <c r="A7927" s="136"/>
      <c r="CM7927" s="111"/>
      <c r="CQ7927" s="111"/>
      <c r="EF7927"/>
      <c r="EG7927"/>
      <c r="EH7927"/>
      <c r="EI7927"/>
      <c r="EJ7927"/>
      <c r="EK7927"/>
    </row>
    <row r="7928" spans="1:141" s="116" customFormat="1">
      <c r="A7928" s="136"/>
      <c r="CM7928" s="111"/>
      <c r="CQ7928" s="111"/>
      <c r="EF7928"/>
      <c r="EG7928"/>
      <c r="EH7928"/>
      <c r="EI7928"/>
      <c r="EJ7928"/>
      <c r="EK7928"/>
    </row>
    <row r="7929" spans="1:141" s="116" customFormat="1">
      <c r="A7929" s="136"/>
      <c r="CM7929" s="111"/>
      <c r="CQ7929" s="111"/>
      <c r="EF7929"/>
      <c r="EG7929"/>
      <c r="EH7929"/>
      <c r="EI7929"/>
      <c r="EJ7929"/>
      <c r="EK7929"/>
    </row>
    <row r="7930" spans="1:141" s="116" customFormat="1">
      <c r="A7930" s="136"/>
      <c r="CM7930" s="111"/>
      <c r="CQ7930" s="111"/>
      <c r="EF7930"/>
      <c r="EG7930"/>
      <c r="EH7930"/>
      <c r="EI7930"/>
      <c r="EJ7930"/>
      <c r="EK7930"/>
    </row>
    <row r="7931" spans="1:141" s="116" customFormat="1">
      <c r="A7931" s="136"/>
      <c r="CM7931" s="111"/>
      <c r="CQ7931" s="111"/>
      <c r="EF7931"/>
      <c r="EG7931"/>
      <c r="EH7931"/>
      <c r="EI7931"/>
      <c r="EJ7931"/>
      <c r="EK7931"/>
    </row>
    <row r="7932" spans="1:141" s="116" customFormat="1">
      <c r="A7932" s="136"/>
      <c r="CM7932" s="111"/>
      <c r="CQ7932" s="111"/>
      <c r="EF7932"/>
      <c r="EG7932"/>
      <c r="EH7932"/>
      <c r="EI7932"/>
      <c r="EJ7932"/>
      <c r="EK7932"/>
    </row>
    <row r="7933" spans="1:141" s="116" customFormat="1">
      <c r="A7933" s="136"/>
      <c r="CM7933" s="111"/>
      <c r="CQ7933" s="111"/>
      <c r="EF7933"/>
      <c r="EG7933"/>
      <c r="EH7933"/>
      <c r="EI7933"/>
      <c r="EJ7933"/>
      <c r="EK7933"/>
    </row>
    <row r="7934" spans="1:141" s="116" customFormat="1">
      <c r="A7934" s="136"/>
      <c r="CM7934" s="111"/>
      <c r="CQ7934" s="111"/>
      <c r="EF7934"/>
      <c r="EG7934"/>
      <c r="EH7934"/>
      <c r="EI7934"/>
      <c r="EJ7934"/>
      <c r="EK7934"/>
    </row>
    <row r="7935" spans="1:141" s="116" customFormat="1">
      <c r="A7935" s="136"/>
      <c r="CM7935" s="111"/>
      <c r="CQ7935" s="111"/>
      <c r="EF7935"/>
      <c r="EG7935"/>
      <c r="EH7935"/>
      <c r="EI7935"/>
      <c r="EJ7935"/>
      <c r="EK7935"/>
    </row>
    <row r="7936" spans="1:141" s="116" customFormat="1">
      <c r="A7936" s="136"/>
      <c r="CM7936" s="111"/>
      <c r="CQ7936" s="111"/>
      <c r="EF7936"/>
      <c r="EG7936"/>
      <c r="EH7936"/>
      <c r="EI7936"/>
      <c r="EJ7936"/>
      <c r="EK7936"/>
    </row>
    <row r="7937" spans="1:141" s="116" customFormat="1">
      <c r="A7937" s="136"/>
      <c r="CM7937" s="111"/>
      <c r="CQ7937" s="111"/>
      <c r="EF7937"/>
      <c r="EG7937"/>
      <c r="EH7937"/>
      <c r="EI7937"/>
      <c r="EJ7937"/>
      <c r="EK7937"/>
    </row>
    <row r="7938" spans="1:141" s="116" customFormat="1">
      <c r="A7938" s="136"/>
      <c r="CM7938" s="111"/>
      <c r="CQ7938" s="111"/>
      <c r="EF7938"/>
      <c r="EG7938"/>
      <c r="EH7938"/>
      <c r="EI7938"/>
      <c r="EJ7938"/>
      <c r="EK7938"/>
    </row>
    <row r="7939" spans="1:141" s="116" customFormat="1">
      <c r="A7939" s="136"/>
      <c r="CM7939" s="111"/>
      <c r="CQ7939" s="111"/>
      <c r="EF7939"/>
      <c r="EG7939"/>
      <c r="EH7939"/>
      <c r="EI7939"/>
      <c r="EJ7939"/>
      <c r="EK7939"/>
    </row>
    <row r="7940" spans="1:141" s="116" customFormat="1">
      <c r="A7940" s="136"/>
      <c r="CM7940" s="111"/>
      <c r="CQ7940" s="111"/>
      <c r="EF7940"/>
      <c r="EG7940"/>
      <c r="EH7940"/>
      <c r="EI7940"/>
      <c r="EJ7940"/>
      <c r="EK7940"/>
    </row>
    <row r="7941" spans="1:141" s="116" customFormat="1">
      <c r="A7941" s="136"/>
      <c r="CM7941" s="111"/>
      <c r="CQ7941" s="111"/>
      <c r="EF7941"/>
      <c r="EG7941"/>
      <c r="EH7941"/>
      <c r="EI7941"/>
      <c r="EJ7941"/>
      <c r="EK7941"/>
    </row>
    <row r="7942" spans="1:141" s="116" customFormat="1">
      <c r="A7942" s="136"/>
      <c r="CM7942" s="111"/>
      <c r="CQ7942" s="111"/>
      <c r="EF7942"/>
      <c r="EG7942"/>
      <c r="EH7942"/>
      <c r="EI7942"/>
      <c r="EJ7942"/>
      <c r="EK7942"/>
    </row>
    <row r="7943" spans="1:141" s="116" customFormat="1">
      <c r="A7943" s="136"/>
      <c r="CM7943" s="111"/>
      <c r="CQ7943" s="111"/>
      <c r="EF7943"/>
      <c r="EG7943"/>
      <c r="EH7943"/>
      <c r="EI7943"/>
      <c r="EJ7943"/>
      <c r="EK7943"/>
    </row>
    <row r="7944" spans="1:141" s="116" customFormat="1">
      <c r="A7944" s="136"/>
      <c r="CM7944" s="111"/>
      <c r="CQ7944" s="111"/>
      <c r="EF7944"/>
      <c r="EG7944"/>
      <c r="EH7944"/>
      <c r="EI7944"/>
      <c r="EJ7944"/>
      <c r="EK7944"/>
    </row>
    <row r="7945" spans="1:141" s="116" customFormat="1">
      <c r="A7945" s="136"/>
      <c r="CM7945" s="111"/>
      <c r="CQ7945" s="111"/>
      <c r="EF7945"/>
      <c r="EG7945"/>
      <c r="EH7945"/>
      <c r="EI7945"/>
      <c r="EJ7945"/>
      <c r="EK7945"/>
    </row>
    <row r="7946" spans="1:141" s="116" customFormat="1">
      <c r="A7946" s="136"/>
      <c r="CM7946" s="111"/>
      <c r="CQ7946" s="111"/>
      <c r="EF7946"/>
      <c r="EG7946"/>
      <c r="EH7946"/>
      <c r="EI7946"/>
      <c r="EJ7946"/>
      <c r="EK7946"/>
    </row>
    <row r="7947" spans="1:141" s="116" customFormat="1">
      <c r="A7947" s="136"/>
      <c r="CM7947" s="111"/>
      <c r="CQ7947" s="111"/>
      <c r="EF7947"/>
      <c r="EG7947"/>
      <c r="EH7947"/>
      <c r="EI7947"/>
      <c r="EJ7947"/>
      <c r="EK7947"/>
    </row>
    <row r="7948" spans="1:141" s="116" customFormat="1">
      <c r="A7948" s="136"/>
      <c r="CM7948" s="111"/>
      <c r="CQ7948" s="111"/>
      <c r="EF7948"/>
      <c r="EG7948"/>
      <c r="EH7948"/>
      <c r="EI7948"/>
      <c r="EJ7948"/>
      <c r="EK7948"/>
    </row>
    <row r="7949" spans="1:141" s="116" customFormat="1">
      <c r="A7949" s="136"/>
      <c r="CM7949" s="111"/>
      <c r="CQ7949" s="111"/>
      <c r="EF7949"/>
      <c r="EG7949"/>
      <c r="EH7949"/>
      <c r="EI7949"/>
      <c r="EJ7949"/>
      <c r="EK7949"/>
    </row>
    <row r="7950" spans="1:141" s="116" customFormat="1">
      <c r="A7950" s="136"/>
      <c r="CM7950" s="111"/>
      <c r="CQ7950" s="111"/>
      <c r="EF7950"/>
      <c r="EG7950"/>
      <c r="EH7950"/>
      <c r="EI7950"/>
      <c r="EJ7950"/>
      <c r="EK7950"/>
    </row>
    <row r="7951" spans="1:141" s="116" customFormat="1">
      <c r="A7951" s="136"/>
      <c r="CM7951" s="111"/>
      <c r="CQ7951" s="111"/>
      <c r="EF7951"/>
      <c r="EG7951"/>
      <c r="EH7951"/>
      <c r="EI7951"/>
      <c r="EJ7951"/>
      <c r="EK7951"/>
    </row>
    <row r="7952" spans="1:141" s="116" customFormat="1">
      <c r="A7952" s="136"/>
      <c r="CM7952" s="111"/>
      <c r="CQ7952" s="111"/>
      <c r="EF7952"/>
      <c r="EG7952"/>
      <c r="EH7952"/>
      <c r="EI7952"/>
      <c r="EJ7952"/>
      <c r="EK7952"/>
    </row>
    <row r="7953" spans="1:141" s="116" customFormat="1">
      <c r="A7953" s="136"/>
      <c r="CM7953" s="111"/>
      <c r="CQ7953" s="111"/>
      <c r="EF7953"/>
      <c r="EG7953"/>
      <c r="EH7953"/>
      <c r="EI7953"/>
      <c r="EJ7953"/>
      <c r="EK7953"/>
    </row>
    <row r="7954" spans="1:141" s="116" customFormat="1">
      <c r="A7954" s="136"/>
      <c r="CM7954" s="111"/>
      <c r="CQ7954" s="111"/>
      <c r="EF7954"/>
      <c r="EG7954"/>
      <c r="EH7954"/>
      <c r="EI7954"/>
      <c r="EJ7954"/>
      <c r="EK7954"/>
    </row>
    <row r="7955" spans="1:141" s="116" customFormat="1">
      <c r="A7955" s="136"/>
      <c r="CM7955" s="111"/>
      <c r="CQ7955" s="111"/>
      <c r="EF7955"/>
      <c r="EG7955"/>
      <c r="EH7955"/>
      <c r="EI7955"/>
      <c r="EJ7955"/>
      <c r="EK7955"/>
    </row>
    <row r="7956" spans="1:141" s="116" customFormat="1">
      <c r="A7956" s="136"/>
      <c r="CM7956" s="111"/>
      <c r="CQ7956" s="111"/>
      <c r="EF7956"/>
      <c r="EG7956"/>
      <c r="EH7956"/>
      <c r="EI7956"/>
      <c r="EJ7956"/>
      <c r="EK7956"/>
    </row>
    <row r="7957" spans="1:141" s="116" customFormat="1">
      <c r="A7957" s="136"/>
      <c r="CM7957" s="111"/>
      <c r="CQ7957" s="111"/>
      <c r="EF7957"/>
      <c r="EG7957"/>
      <c r="EH7957"/>
      <c r="EI7957"/>
      <c r="EJ7957"/>
      <c r="EK7957"/>
    </row>
    <row r="7958" spans="1:141" s="116" customFormat="1">
      <c r="A7958" s="136"/>
      <c r="CM7958" s="111"/>
      <c r="CQ7958" s="111"/>
      <c r="EF7958"/>
      <c r="EG7958"/>
      <c r="EH7958"/>
      <c r="EI7958"/>
      <c r="EJ7958"/>
      <c r="EK7958"/>
    </row>
    <row r="7959" spans="1:141" s="116" customFormat="1">
      <c r="A7959" s="136"/>
      <c r="CM7959" s="111"/>
      <c r="CQ7959" s="111"/>
      <c r="EF7959"/>
      <c r="EG7959"/>
      <c r="EH7959"/>
      <c r="EI7959"/>
      <c r="EJ7959"/>
      <c r="EK7959"/>
    </row>
    <row r="7960" spans="1:141" s="116" customFormat="1">
      <c r="A7960" s="136"/>
      <c r="CM7960" s="111"/>
      <c r="CQ7960" s="111"/>
      <c r="EF7960"/>
      <c r="EG7960"/>
      <c r="EH7960"/>
      <c r="EI7960"/>
      <c r="EJ7960"/>
      <c r="EK7960"/>
    </row>
    <row r="7961" spans="1:141" s="116" customFormat="1">
      <c r="A7961" s="136"/>
      <c r="CM7961" s="111"/>
      <c r="CQ7961" s="111"/>
      <c r="EF7961"/>
      <c r="EG7961"/>
      <c r="EH7961"/>
      <c r="EI7961"/>
      <c r="EJ7961"/>
      <c r="EK7961"/>
    </row>
    <row r="7962" spans="1:141" s="116" customFormat="1">
      <c r="A7962" s="136"/>
      <c r="CM7962" s="111"/>
      <c r="CQ7962" s="111"/>
      <c r="EF7962"/>
      <c r="EG7962"/>
      <c r="EH7962"/>
      <c r="EI7962"/>
      <c r="EJ7962"/>
      <c r="EK7962"/>
    </row>
    <row r="7963" spans="1:141" s="116" customFormat="1">
      <c r="A7963" s="136"/>
      <c r="CM7963" s="111"/>
      <c r="CQ7963" s="111"/>
      <c r="EF7963"/>
      <c r="EG7963"/>
      <c r="EH7963"/>
      <c r="EI7963"/>
      <c r="EJ7963"/>
      <c r="EK7963"/>
    </row>
    <row r="7964" spans="1:141" s="116" customFormat="1">
      <c r="A7964" s="136"/>
      <c r="CM7964" s="111"/>
      <c r="CQ7964" s="111"/>
      <c r="EF7964"/>
      <c r="EG7964"/>
      <c r="EH7964"/>
      <c r="EI7964"/>
      <c r="EJ7964"/>
      <c r="EK7964"/>
    </row>
    <row r="7965" spans="1:141" s="116" customFormat="1">
      <c r="A7965" s="136"/>
      <c r="CM7965" s="111"/>
      <c r="CQ7965" s="111"/>
      <c r="EF7965"/>
      <c r="EG7965"/>
      <c r="EH7965"/>
      <c r="EI7965"/>
      <c r="EJ7965"/>
      <c r="EK7965"/>
    </row>
    <row r="7966" spans="1:141" s="116" customFormat="1">
      <c r="A7966" s="136"/>
      <c r="CM7966" s="111"/>
      <c r="CQ7966" s="111"/>
      <c r="EF7966"/>
      <c r="EG7966"/>
      <c r="EH7966"/>
      <c r="EI7966"/>
      <c r="EJ7966"/>
      <c r="EK7966"/>
    </row>
    <row r="7967" spans="1:141" s="116" customFormat="1">
      <c r="A7967" s="136"/>
      <c r="CM7967" s="111"/>
      <c r="CQ7967" s="111"/>
      <c r="EF7967"/>
      <c r="EG7967"/>
      <c r="EH7967"/>
      <c r="EI7967"/>
      <c r="EJ7967"/>
      <c r="EK7967"/>
    </row>
    <row r="7968" spans="1:141" s="116" customFormat="1">
      <c r="A7968" s="136"/>
      <c r="CM7968" s="111"/>
      <c r="CQ7968" s="111"/>
      <c r="EF7968"/>
      <c r="EG7968"/>
      <c r="EH7968"/>
      <c r="EI7968"/>
      <c r="EJ7968"/>
      <c r="EK7968"/>
    </row>
    <row r="7969" spans="1:141" s="116" customFormat="1">
      <c r="A7969" s="136"/>
      <c r="CM7969" s="111"/>
      <c r="CQ7969" s="111"/>
      <c r="EF7969"/>
      <c r="EG7969"/>
      <c r="EH7969"/>
      <c r="EI7969"/>
      <c r="EJ7969"/>
      <c r="EK7969"/>
    </row>
    <row r="7970" spans="1:141" s="116" customFormat="1">
      <c r="A7970" s="136"/>
      <c r="CM7970" s="111"/>
      <c r="CQ7970" s="111"/>
      <c r="EF7970"/>
      <c r="EG7970"/>
      <c r="EH7970"/>
      <c r="EI7970"/>
      <c r="EJ7970"/>
      <c r="EK7970"/>
    </row>
    <row r="7971" spans="1:141" s="116" customFormat="1">
      <c r="A7971" s="136"/>
      <c r="CM7971" s="111"/>
      <c r="CQ7971" s="111"/>
      <c r="EF7971"/>
      <c r="EG7971"/>
      <c r="EH7971"/>
      <c r="EI7971"/>
      <c r="EJ7971"/>
      <c r="EK7971"/>
    </row>
    <row r="7972" spans="1:141" s="116" customFormat="1">
      <c r="A7972" s="136"/>
      <c r="CM7972" s="111"/>
      <c r="CQ7972" s="111"/>
      <c r="EF7972"/>
      <c r="EG7972"/>
      <c r="EH7972"/>
      <c r="EI7972"/>
      <c r="EJ7972"/>
      <c r="EK7972"/>
    </row>
    <row r="7973" spans="1:141" s="116" customFormat="1">
      <c r="A7973" s="136"/>
      <c r="CM7973" s="111"/>
      <c r="CQ7973" s="111"/>
      <c r="EF7973"/>
      <c r="EG7973"/>
      <c r="EH7973"/>
      <c r="EI7973"/>
      <c r="EJ7973"/>
      <c r="EK7973"/>
    </row>
    <row r="7974" spans="1:141" s="116" customFormat="1">
      <c r="A7974" s="136"/>
      <c r="CM7974" s="111"/>
      <c r="CQ7974" s="111"/>
      <c r="EF7974"/>
      <c r="EG7974"/>
      <c r="EH7974"/>
      <c r="EI7974"/>
      <c r="EJ7974"/>
      <c r="EK7974"/>
    </row>
    <row r="7975" spans="1:141" s="116" customFormat="1">
      <c r="A7975" s="136"/>
      <c r="CM7975" s="111"/>
      <c r="CQ7975" s="111"/>
      <c r="EF7975"/>
      <c r="EG7975"/>
      <c r="EH7975"/>
      <c r="EI7975"/>
      <c r="EJ7975"/>
      <c r="EK7975"/>
    </row>
    <row r="7976" spans="1:141" s="116" customFormat="1">
      <c r="A7976" s="136"/>
      <c r="CM7976" s="111"/>
      <c r="CQ7976" s="111"/>
      <c r="EF7976"/>
      <c r="EG7976"/>
      <c r="EH7976"/>
      <c r="EI7976"/>
      <c r="EJ7976"/>
      <c r="EK7976"/>
    </row>
    <row r="7977" spans="1:141" s="116" customFormat="1">
      <c r="A7977" s="136"/>
      <c r="CM7977" s="111"/>
      <c r="CQ7977" s="111"/>
      <c r="EF7977"/>
      <c r="EG7977"/>
      <c r="EH7977"/>
      <c r="EI7977"/>
      <c r="EJ7977"/>
      <c r="EK7977"/>
    </row>
    <row r="7978" spans="1:141" s="116" customFormat="1">
      <c r="A7978" s="136"/>
      <c r="CM7978" s="111"/>
      <c r="CQ7978" s="111"/>
      <c r="EF7978"/>
      <c r="EG7978"/>
      <c r="EH7978"/>
      <c r="EI7978"/>
      <c r="EJ7978"/>
      <c r="EK7978"/>
    </row>
    <row r="7979" spans="1:141" s="116" customFormat="1">
      <c r="A7979" s="136"/>
      <c r="CM7979" s="111"/>
      <c r="CQ7979" s="111"/>
      <c r="EF7979"/>
      <c r="EG7979"/>
      <c r="EH7979"/>
      <c r="EI7979"/>
      <c r="EJ7979"/>
      <c r="EK7979"/>
    </row>
    <row r="7980" spans="1:141" s="116" customFormat="1">
      <c r="A7980" s="136"/>
      <c r="CM7980" s="111"/>
      <c r="CQ7980" s="111"/>
      <c r="EF7980"/>
      <c r="EG7980"/>
      <c r="EH7980"/>
      <c r="EI7980"/>
      <c r="EJ7980"/>
      <c r="EK7980"/>
    </row>
    <row r="7981" spans="1:141" s="116" customFormat="1">
      <c r="A7981" s="136"/>
      <c r="CM7981" s="111"/>
      <c r="CQ7981" s="111"/>
      <c r="EF7981"/>
      <c r="EG7981"/>
      <c r="EH7981"/>
      <c r="EI7981"/>
      <c r="EJ7981"/>
      <c r="EK7981"/>
    </row>
    <row r="7982" spans="1:141" s="116" customFormat="1">
      <c r="A7982" s="136"/>
      <c r="CM7982" s="111"/>
      <c r="CQ7982" s="111"/>
      <c r="EF7982"/>
      <c r="EG7982"/>
      <c r="EH7982"/>
      <c r="EI7982"/>
      <c r="EJ7982"/>
      <c r="EK7982"/>
    </row>
    <row r="7983" spans="1:141" s="116" customFormat="1">
      <c r="A7983" s="136"/>
      <c r="CM7983" s="111"/>
      <c r="CQ7983" s="111"/>
      <c r="EF7983"/>
      <c r="EG7983"/>
      <c r="EH7983"/>
      <c r="EI7983"/>
      <c r="EJ7983"/>
      <c r="EK7983"/>
    </row>
    <row r="7984" spans="1:141" s="116" customFormat="1">
      <c r="A7984" s="136"/>
      <c r="CM7984" s="111"/>
      <c r="CQ7984" s="111"/>
      <c r="EF7984"/>
      <c r="EG7984"/>
      <c r="EH7984"/>
      <c r="EI7984"/>
      <c r="EJ7984"/>
      <c r="EK7984"/>
    </row>
    <row r="7985" spans="1:141" s="116" customFormat="1">
      <c r="A7985" s="136"/>
      <c r="CM7985" s="111"/>
      <c r="CQ7985" s="111"/>
      <c r="EF7985"/>
      <c r="EG7985"/>
      <c r="EH7985"/>
      <c r="EI7985"/>
      <c r="EJ7985"/>
      <c r="EK7985"/>
    </row>
    <row r="7986" spans="1:141" s="116" customFormat="1">
      <c r="A7986" s="136"/>
      <c r="CM7986" s="111"/>
      <c r="CQ7986" s="111"/>
      <c r="EF7986"/>
      <c r="EG7986"/>
      <c r="EH7986"/>
      <c r="EI7986"/>
      <c r="EJ7986"/>
      <c r="EK7986"/>
    </row>
    <row r="7987" spans="1:141" s="116" customFormat="1">
      <c r="A7987" s="136"/>
      <c r="CM7987" s="111"/>
      <c r="CQ7987" s="111"/>
      <c r="EF7987"/>
      <c r="EG7987"/>
      <c r="EH7987"/>
      <c r="EI7987"/>
      <c r="EJ7987"/>
      <c r="EK7987"/>
    </row>
    <row r="7988" spans="1:141" s="116" customFormat="1">
      <c r="A7988" s="136"/>
      <c r="CM7988" s="111"/>
      <c r="CQ7988" s="111"/>
      <c r="EF7988"/>
      <c r="EG7988"/>
      <c r="EH7988"/>
      <c r="EI7988"/>
      <c r="EJ7988"/>
      <c r="EK7988"/>
    </row>
    <row r="7989" spans="1:141" s="116" customFormat="1">
      <c r="A7989" s="136"/>
      <c r="CM7989" s="111"/>
      <c r="CQ7989" s="111"/>
      <c r="EF7989"/>
      <c r="EG7989"/>
      <c r="EH7989"/>
      <c r="EI7989"/>
      <c r="EJ7989"/>
      <c r="EK7989"/>
    </row>
    <row r="7990" spans="1:141" s="116" customFormat="1">
      <c r="A7990" s="136"/>
      <c r="CM7990" s="111"/>
      <c r="CQ7990" s="111"/>
      <c r="EF7990"/>
      <c r="EG7990"/>
      <c r="EH7990"/>
      <c r="EI7990"/>
      <c r="EJ7990"/>
      <c r="EK7990"/>
    </row>
    <row r="7991" spans="1:141" s="116" customFormat="1">
      <c r="A7991" s="136"/>
      <c r="CM7991" s="111"/>
      <c r="CQ7991" s="111"/>
      <c r="EF7991"/>
      <c r="EG7991"/>
      <c r="EH7991"/>
      <c r="EI7991"/>
      <c r="EJ7991"/>
      <c r="EK7991"/>
    </row>
    <row r="7992" spans="1:141" s="116" customFormat="1">
      <c r="A7992" s="136"/>
      <c r="CM7992" s="111"/>
      <c r="CQ7992" s="111"/>
      <c r="EF7992"/>
      <c r="EG7992"/>
      <c r="EH7992"/>
      <c r="EI7992"/>
      <c r="EJ7992"/>
      <c r="EK7992"/>
    </row>
    <row r="7993" spans="1:141" s="116" customFormat="1">
      <c r="A7993" s="136"/>
      <c r="CM7993" s="111"/>
      <c r="CQ7993" s="111"/>
      <c r="EF7993"/>
      <c r="EG7993"/>
      <c r="EH7993"/>
      <c r="EI7993"/>
      <c r="EJ7993"/>
      <c r="EK7993"/>
    </row>
    <row r="7994" spans="1:141" s="116" customFormat="1">
      <c r="A7994" s="136"/>
      <c r="CM7994" s="111"/>
      <c r="CQ7994" s="111"/>
      <c r="EF7994"/>
      <c r="EG7994"/>
      <c r="EH7994"/>
      <c r="EI7994"/>
      <c r="EJ7994"/>
      <c r="EK7994"/>
    </row>
    <row r="7995" spans="1:141" s="116" customFormat="1">
      <c r="A7995" s="136"/>
      <c r="CM7995" s="111"/>
      <c r="CQ7995" s="111"/>
      <c r="EF7995"/>
      <c r="EG7995"/>
      <c r="EH7995"/>
      <c r="EI7995"/>
      <c r="EJ7995"/>
      <c r="EK7995"/>
    </row>
    <row r="7996" spans="1:141" s="116" customFormat="1">
      <c r="A7996" s="136"/>
      <c r="CM7996" s="111"/>
      <c r="CQ7996" s="111"/>
      <c r="EF7996"/>
      <c r="EG7996"/>
      <c r="EH7996"/>
      <c r="EI7996"/>
      <c r="EJ7996"/>
      <c r="EK7996"/>
    </row>
    <row r="7997" spans="1:141" s="116" customFormat="1">
      <c r="A7997" s="136"/>
      <c r="CM7997" s="111"/>
      <c r="CQ7997" s="111"/>
      <c r="EF7997"/>
      <c r="EG7997"/>
      <c r="EH7997"/>
      <c r="EI7997"/>
      <c r="EJ7997"/>
      <c r="EK7997"/>
    </row>
    <row r="7998" spans="1:141" s="116" customFormat="1">
      <c r="A7998" s="136"/>
      <c r="CM7998" s="111"/>
      <c r="CQ7998" s="111"/>
      <c r="EF7998"/>
      <c r="EG7998"/>
      <c r="EH7998"/>
      <c r="EI7998"/>
      <c r="EJ7998"/>
      <c r="EK7998"/>
    </row>
    <row r="7999" spans="1:141" s="116" customFormat="1">
      <c r="A7999" s="136"/>
      <c r="CM7999" s="111"/>
      <c r="CQ7999" s="111"/>
      <c r="EF7999"/>
      <c r="EG7999"/>
      <c r="EH7999"/>
      <c r="EI7999"/>
      <c r="EJ7999"/>
      <c r="EK7999"/>
    </row>
    <row r="8000" spans="1:141" s="116" customFormat="1">
      <c r="A8000" s="136"/>
      <c r="CM8000" s="111"/>
      <c r="CQ8000" s="111"/>
      <c r="EF8000"/>
      <c r="EG8000"/>
      <c r="EH8000"/>
      <c r="EI8000"/>
      <c r="EJ8000"/>
      <c r="EK8000"/>
    </row>
    <row r="8001" spans="1:141" s="116" customFormat="1">
      <c r="A8001" s="136"/>
      <c r="CM8001" s="111"/>
      <c r="CQ8001" s="111"/>
      <c r="EF8001"/>
      <c r="EG8001"/>
      <c r="EH8001"/>
      <c r="EI8001"/>
      <c r="EJ8001"/>
      <c r="EK8001"/>
    </row>
    <row r="8002" spans="1:141" s="116" customFormat="1">
      <c r="A8002" s="136"/>
      <c r="CM8002" s="111"/>
      <c r="CQ8002" s="111"/>
      <c r="EF8002"/>
      <c r="EG8002"/>
      <c r="EH8002"/>
      <c r="EI8002"/>
      <c r="EJ8002"/>
      <c r="EK8002"/>
    </row>
    <row r="8003" spans="1:141" s="116" customFormat="1">
      <c r="A8003" s="136"/>
      <c r="CM8003" s="111"/>
      <c r="CQ8003" s="111"/>
      <c r="EF8003"/>
      <c r="EG8003"/>
      <c r="EH8003"/>
      <c r="EI8003"/>
      <c r="EJ8003"/>
      <c r="EK8003"/>
    </row>
    <row r="8004" spans="1:141" s="116" customFormat="1">
      <c r="A8004" s="136"/>
      <c r="CM8004" s="111"/>
      <c r="CQ8004" s="111"/>
      <c r="EF8004"/>
      <c r="EG8004"/>
      <c r="EH8004"/>
      <c r="EI8004"/>
      <c r="EJ8004"/>
      <c r="EK8004"/>
    </row>
    <row r="8005" spans="1:141" s="116" customFormat="1">
      <c r="A8005" s="136"/>
      <c r="CM8005" s="111"/>
      <c r="CQ8005" s="111"/>
      <c r="EF8005"/>
      <c r="EG8005"/>
      <c r="EH8005"/>
      <c r="EI8005"/>
      <c r="EJ8005"/>
      <c r="EK8005"/>
    </row>
    <row r="8006" spans="1:141" s="116" customFormat="1">
      <c r="A8006" s="136"/>
      <c r="CM8006" s="111"/>
      <c r="CQ8006" s="111"/>
      <c r="EF8006"/>
      <c r="EG8006"/>
      <c r="EH8006"/>
      <c r="EI8006"/>
      <c r="EJ8006"/>
      <c r="EK8006"/>
    </row>
    <row r="8007" spans="1:141" s="116" customFormat="1">
      <c r="A8007" s="136"/>
      <c r="CM8007" s="111"/>
      <c r="CQ8007" s="111"/>
      <c r="EF8007"/>
      <c r="EG8007"/>
      <c r="EH8007"/>
      <c r="EI8007"/>
      <c r="EJ8007"/>
      <c r="EK8007"/>
    </row>
    <row r="8008" spans="1:141" s="116" customFormat="1">
      <c r="A8008" s="136"/>
      <c r="CM8008" s="111"/>
      <c r="CQ8008" s="111"/>
      <c r="EF8008"/>
      <c r="EG8008"/>
      <c r="EH8008"/>
      <c r="EI8008"/>
      <c r="EJ8008"/>
      <c r="EK8008"/>
    </row>
    <row r="8009" spans="1:141" s="116" customFormat="1">
      <c r="A8009" s="136"/>
      <c r="CM8009" s="111"/>
      <c r="CQ8009" s="111"/>
      <c r="EF8009"/>
      <c r="EG8009"/>
      <c r="EH8009"/>
      <c r="EI8009"/>
      <c r="EJ8009"/>
      <c r="EK8009"/>
    </row>
    <row r="8010" spans="1:141" s="116" customFormat="1">
      <c r="A8010" s="136"/>
      <c r="CM8010" s="111"/>
      <c r="CQ8010" s="111"/>
      <c r="EF8010"/>
      <c r="EG8010"/>
      <c r="EH8010"/>
      <c r="EI8010"/>
      <c r="EJ8010"/>
      <c r="EK8010"/>
    </row>
    <row r="8011" spans="1:141" s="116" customFormat="1">
      <c r="A8011" s="136"/>
      <c r="CM8011" s="111"/>
      <c r="CQ8011" s="111"/>
      <c r="EF8011"/>
      <c r="EG8011"/>
      <c r="EH8011"/>
      <c r="EI8011"/>
      <c r="EJ8011"/>
      <c r="EK8011"/>
    </row>
    <row r="8012" spans="1:141" s="116" customFormat="1">
      <c r="A8012" s="136"/>
      <c r="CM8012" s="111"/>
      <c r="CQ8012" s="111"/>
      <c r="EF8012"/>
      <c r="EG8012"/>
      <c r="EH8012"/>
      <c r="EI8012"/>
      <c r="EJ8012"/>
      <c r="EK8012"/>
    </row>
    <row r="8013" spans="1:141" s="116" customFormat="1">
      <c r="A8013" s="136"/>
      <c r="CM8013" s="111"/>
      <c r="CQ8013" s="111"/>
      <c r="EF8013"/>
      <c r="EG8013"/>
      <c r="EH8013"/>
      <c r="EI8013"/>
      <c r="EJ8013"/>
      <c r="EK8013"/>
    </row>
    <row r="8014" spans="1:141" s="116" customFormat="1">
      <c r="A8014" s="136"/>
      <c r="CM8014" s="111"/>
      <c r="CQ8014" s="111"/>
      <c r="EF8014"/>
      <c r="EG8014"/>
      <c r="EH8014"/>
      <c r="EI8014"/>
      <c r="EJ8014"/>
      <c r="EK8014"/>
    </row>
    <row r="8015" spans="1:141" s="116" customFormat="1">
      <c r="A8015" s="136"/>
      <c r="CM8015" s="111"/>
      <c r="CQ8015" s="111"/>
      <c r="EF8015"/>
      <c r="EG8015"/>
      <c r="EH8015"/>
      <c r="EI8015"/>
      <c r="EJ8015"/>
      <c r="EK8015"/>
    </row>
    <row r="8016" spans="1:141" s="116" customFormat="1">
      <c r="A8016" s="136"/>
      <c r="CM8016" s="111"/>
      <c r="CQ8016" s="111"/>
      <c r="EF8016"/>
      <c r="EG8016"/>
      <c r="EH8016"/>
      <c r="EI8016"/>
      <c r="EJ8016"/>
      <c r="EK8016"/>
    </row>
    <row r="8017" spans="1:141" s="116" customFormat="1">
      <c r="A8017" s="136"/>
      <c r="CM8017" s="111"/>
      <c r="CQ8017" s="111"/>
      <c r="EF8017"/>
      <c r="EG8017"/>
      <c r="EH8017"/>
      <c r="EI8017"/>
      <c r="EJ8017"/>
      <c r="EK8017"/>
    </row>
    <row r="8018" spans="1:141" s="116" customFormat="1">
      <c r="A8018" s="136"/>
      <c r="CM8018" s="111"/>
      <c r="CQ8018" s="111"/>
      <c r="EF8018"/>
      <c r="EG8018"/>
      <c r="EH8018"/>
      <c r="EI8018"/>
      <c r="EJ8018"/>
      <c r="EK8018"/>
    </row>
    <row r="8019" spans="1:141" s="116" customFormat="1">
      <c r="A8019" s="136"/>
      <c r="CM8019" s="111"/>
      <c r="CQ8019" s="111"/>
      <c r="EF8019"/>
      <c r="EG8019"/>
      <c r="EH8019"/>
      <c r="EI8019"/>
      <c r="EJ8019"/>
      <c r="EK8019"/>
    </row>
    <row r="8020" spans="1:141" s="116" customFormat="1">
      <c r="A8020" s="136"/>
      <c r="CM8020" s="111"/>
      <c r="CQ8020" s="111"/>
      <c r="EF8020"/>
      <c r="EG8020"/>
      <c r="EH8020"/>
      <c r="EI8020"/>
      <c r="EJ8020"/>
      <c r="EK8020"/>
    </row>
    <row r="8021" spans="1:141" s="116" customFormat="1">
      <c r="A8021" s="136"/>
      <c r="CM8021" s="111"/>
      <c r="CQ8021" s="111"/>
      <c r="EF8021"/>
      <c r="EG8021"/>
      <c r="EH8021"/>
      <c r="EI8021"/>
      <c r="EJ8021"/>
      <c r="EK8021"/>
    </row>
    <row r="8022" spans="1:141" s="116" customFormat="1">
      <c r="A8022" s="136"/>
      <c r="CM8022" s="111"/>
      <c r="CQ8022" s="111"/>
      <c r="EF8022"/>
      <c r="EG8022"/>
      <c r="EH8022"/>
      <c r="EI8022"/>
      <c r="EJ8022"/>
      <c r="EK8022"/>
    </row>
    <row r="8023" spans="1:141" s="116" customFormat="1">
      <c r="A8023" s="136"/>
      <c r="CM8023" s="111"/>
      <c r="CQ8023" s="111"/>
      <c r="EF8023"/>
      <c r="EG8023"/>
      <c r="EH8023"/>
      <c r="EI8023"/>
      <c r="EJ8023"/>
      <c r="EK8023"/>
    </row>
    <row r="8024" spans="1:141" s="116" customFormat="1">
      <c r="A8024" s="136"/>
      <c r="CM8024" s="111"/>
      <c r="CQ8024" s="111"/>
      <c r="EF8024"/>
      <c r="EG8024"/>
      <c r="EH8024"/>
      <c r="EI8024"/>
      <c r="EJ8024"/>
      <c r="EK8024"/>
    </row>
    <row r="8025" spans="1:141" s="116" customFormat="1">
      <c r="A8025" s="136"/>
      <c r="CM8025" s="111"/>
      <c r="CQ8025" s="111"/>
      <c r="EF8025"/>
      <c r="EG8025"/>
      <c r="EH8025"/>
      <c r="EI8025"/>
      <c r="EJ8025"/>
      <c r="EK8025"/>
    </row>
    <row r="8026" spans="1:141" s="116" customFormat="1">
      <c r="A8026" s="136"/>
      <c r="CM8026" s="111"/>
      <c r="CQ8026" s="111"/>
      <c r="EF8026"/>
      <c r="EG8026"/>
      <c r="EH8026"/>
      <c r="EI8026"/>
      <c r="EJ8026"/>
      <c r="EK8026"/>
    </row>
    <row r="8027" spans="1:141" s="116" customFormat="1">
      <c r="A8027" s="136"/>
      <c r="CM8027" s="111"/>
      <c r="CQ8027" s="111"/>
      <c r="EF8027"/>
      <c r="EG8027"/>
      <c r="EH8027"/>
      <c r="EI8027"/>
      <c r="EJ8027"/>
      <c r="EK8027"/>
    </row>
    <row r="8028" spans="1:141" s="116" customFormat="1">
      <c r="A8028" s="136"/>
      <c r="CM8028" s="111"/>
      <c r="CQ8028" s="111"/>
      <c r="EF8028"/>
      <c r="EG8028"/>
      <c r="EH8028"/>
      <c r="EI8028"/>
      <c r="EJ8028"/>
      <c r="EK8028"/>
    </row>
    <row r="8029" spans="1:141" s="116" customFormat="1">
      <c r="A8029" s="136"/>
      <c r="CM8029" s="111"/>
      <c r="CQ8029" s="111"/>
      <c r="EF8029"/>
      <c r="EG8029"/>
      <c r="EH8029"/>
      <c r="EI8029"/>
      <c r="EJ8029"/>
      <c r="EK8029"/>
    </row>
    <row r="8030" spans="1:141" s="116" customFormat="1">
      <c r="A8030" s="136"/>
      <c r="CM8030" s="111"/>
      <c r="CQ8030" s="111"/>
      <c r="EF8030"/>
      <c r="EG8030"/>
      <c r="EH8030"/>
      <c r="EI8030"/>
      <c r="EJ8030"/>
      <c r="EK8030"/>
    </row>
    <row r="8031" spans="1:141" s="116" customFormat="1">
      <c r="A8031" s="136"/>
      <c r="CM8031" s="111"/>
      <c r="CQ8031" s="111"/>
      <c r="EF8031"/>
      <c r="EG8031"/>
      <c r="EH8031"/>
      <c r="EI8031"/>
      <c r="EJ8031"/>
      <c r="EK8031"/>
    </row>
    <row r="8032" spans="1:141" s="116" customFormat="1">
      <c r="A8032" s="136"/>
      <c r="CM8032" s="111"/>
      <c r="CQ8032" s="111"/>
      <c r="EF8032"/>
      <c r="EG8032"/>
      <c r="EH8032"/>
      <c r="EI8032"/>
      <c r="EJ8032"/>
      <c r="EK8032"/>
    </row>
    <row r="8033" spans="1:141" s="116" customFormat="1">
      <c r="A8033" s="136"/>
      <c r="CM8033" s="111"/>
      <c r="CQ8033" s="111"/>
      <c r="EF8033"/>
      <c r="EG8033"/>
      <c r="EH8033"/>
      <c r="EI8033"/>
      <c r="EJ8033"/>
      <c r="EK8033"/>
    </row>
    <row r="8034" spans="1:141" s="116" customFormat="1">
      <c r="A8034" s="136"/>
      <c r="CM8034" s="111"/>
      <c r="CQ8034" s="111"/>
      <c r="EF8034"/>
      <c r="EG8034"/>
      <c r="EH8034"/>
      <c r="EI8034"/>
      <c r="EJ8034"/>
      <c r="EK8034"/>
    </row>
    <row r="8035" spans="1:141" s="116" customFormat="1">
      <c r="A8035" s="136"/>
      <c r="CM8035" s="111"/>
      <c r="CQ8035" s="111"/>
      <c r="EF8035"/>
      <c r="EG8035"/>
      <c r="EH8035"/>
      <c r="EI8035"/>
      <c r="EJ8035"/>
      <c r="EK8035"/>
    </row>
    <row r="8036" spans="1:141" s="116" customFormat="1">
      <c r="A8036" s="136"/>
      <c r="CM8036" s="111"/>
      <c r="CQ8036" s="111"/>
      <c r="EF8036"/>
      <c r="EG8036"/>
      <c r="EH8036"/>
      <c r="EI8036"/>
      <c r="EJ8036"/>
      <c r="EK8036"/>
    </row>
    <row r="8037" spans="1:141" s="116" customFormat="1">
      <c r="A8037" s="136"/>
      <c r="CM8037" s="111"/>
      <c r="CQ8037" s="111"/>
      <c r="EF8037"/>
      <c r="EG8037"/>
      <c r="EH8037"/>
      <c r="EI8037"/>
      <c r="EJ8037"/>
      <c r="EK8037"/>
    </row>
    <row r="8038" spans="1:141" s="116" customFormat="1">
      <c r="A8038" s="136"/>
      <c r="CM8038" s="111"/>
      <c r="CQ8038" s="111"/>
      <c r="EF8038"/>
      <c r="EG8038"/>
      <c r="EH8038"/>
      <c r="EI8038"/>
      <c r="EJ8038"/>
      <c r="EK8038"/>
    </row>
    <row r="8039" spans="1:141" s="116" customFormat="1">
      <c r="A8039" s="136"/>
      <c r="CM8039" s="111"/>
      <c r="CQ8039" s="111"/>
      <c r="EF8039"/>
      <c r="EG8039"/>
      <c r="EH8039"/>
      <c r="EI8039"/>
      <c r="EJ8039"/>
      <c r="EK8039"/>
    </row>
    <row r="8040" spans="1:141" s="116" customFormat="1">
      <c r="A8040" s="136"/>
      <c r="CM8040" s="111"/>
      <c r="CQ8040" s="111"/>
      <c r="EF8040"/>
      <c r="EG8040"/>
      <c r="EH8040"/>
      <c r="EI8040"/>
      <c r="EJ8040"/>
      <c r="EK8040"/>
    </row>
    <row r="8041" spans="1:141" s="116" customFormat="1">
      <c r="A8041" s="136"/>
      <c r="CM8041" s="111"/>
      <c r="CQ8041" s="111"/>
      <c r="EF8041"/>
      <c r="EG8041"/>
      <c r="EH8041"/>
      <c r="EI8041"/>
      <c r="EJ8041"/>
      <c r="EK8041"/>
    </row>
    <row r="8042" spans="1:141" s="116" customFormat="1">
      <c r="A8042" s="136"/>
      <c r="CM8042" s="111"/>
      <c r="CQ8042" s="111"/>
      <c r="EF8042"/>
      <c r="EG8042"/>
      <c r="EH8042"/>
      <c r="EI8042"/>
      <c r="EJ8042"/>
      <c r="EK8042"/>
    </row>
    <row r="8043" spans="1:141" s="116" customFormat="1">
      <c r="A8043" s="136"/>
      <c r="CM8043" s="111"/>
      <c r="CQ8043" s="111"/>
      <c r="EF8043"/>
      <c r="EG8043"/>
      <c r="EH8043"/>
      <c r="EI8043"/>
      <c r="EJ8043"/>
      <c r="EK8043"/>
    </row>
    <row r="8044" spans="1:141" s="116" customFormat="1">
      <c r="A8044" s="136"/>
      <c r="CM8044" s="111"/>
      <c r="CQ8044" s="111"/>
      <c r="EF8044"/>
      <c r="EG8044"/>
      <c r="EH8044"/>
      <c r="EI8044"/>
      <c r="EJ8044"/>
      <c r="EK8044"/>
    </row>
    <row r="8045" spans="1:141" s="116" customFormat="1">
      <c r="A8045" s="136"/>
      <c r="CM8045" s="111"/>
      <c r="CQ8045" s="111"/>
      <c r="EF8045"/>
      <c r="EG8045"/>
      <c r="EH8045"/>
      <c r="EI8045"/>
      <c r="EJ8045"/>
      <c r="EK8045"/>
    </row>
    <row r="8046" spans="1:141" s="116" customFormat="1">
      <c r="A8046" s="136"/>
      <c r="CM8046" s="111"/>
      <c r="CQ8046" s="111"/>
      <c r="EF8046"/>
      <c r="EG8046"/>
      <c r="EH8046"/>
      <c r="EI8046"/>
      <c r="EJ8046"/>
      <c r="EK8046"/>
    </row>
    <row r="8047" spans="1:141" s="116" customFormat="1">
      <c r="A8047" s="136"/>
      <c r="CM8047" s="111"/>
      <c r="CQ8047" s="111"/>
      <c r="EF8047"/>
      <c r="EG8047"/>
      <c r="EH8047"/>
      <c r="EI8047"/>
      <c r="EJ8047"/>
      <c r="EK8047"/>
    </row>
    <row r="8048" spans="1:141" s="116" customFormat="1">
      <c r="A8048" s="136"/>
      <c r="CM8048" s="111"/>
      <c r="CQ8048" s="111"/>
      <c r="EF8048"/>
      <c r="EG8048"/>
      <c r="EH8048"/>
      <c r="EI8048"/>
      <c r="EJ8048"/>
      <c r="EK8048"/>
    </row>
    <row r="8049" spans="1:141" s="116" customFormat="1">
      <c r="A8049" s="136"/>
      <c r="CM8049" s="111"/>
      <c r="CQ8049" s="111"/>
      <c r="EF8049"/>
      <c r="EG8049"/>
      <c r="EH8049"/>
      <c r="EI8049"/>
      <c r="EJ8049"/>
      <c r="EK8049"/>
    </row>
    <row r="8050" spans="1:141" s="116" customFormat="1">
      <c r="A8050" s="136"/>
      <c r="CM8050" s="111"/>
      <c r="CQ8050" s="111"/>
      <c r="EF8050"/>
      <c r="EG8050"/>
      <c r="EH8050"/>
      <c r="EI8050"/>
      <c r="EJ8050"/>
      <c r="EK8050"/>
    </row>
    <row r="8051" spans="1:141" s="116" customFormat="1">
      <c r="A8051" s="136"/>
      <c r="CM8051" s="111"/>
      <c r="CQ8051" s="111"/>
      <c r="EF8051"/>
      <c r="EG8051"/>
      <c r="EH8051"/>
      <c r="EI8051"/>
      <c r="EJ8051"/>
      <c r="EK8051"/>
    </row>
    <row r="8052" spans="1:141" s="116" customFormat="1">
      <c r="A8052" s="136"/>
      <c r="CM8052" s="111"/>
      <c r="CQ8052" s="111"/>
      <c r="EF8052"/>
      <c r="EG8052"/>
      <c r="EH8052"/>
      <c r="EI8052"/>
      <c r="EJ8052"/>
      <c r="EK8052"/>
    </row>
    <row r="8053" spans="1:141" s="116" customFormat="1">
      <c r="A8053" s="136"/>
      <c r="CM8053" s="111"/>
      <c r="CQ8053" s="111"/>
      <c r="EF8053"/>
      <c r="EG8053"/>
      <c r="EH8053"/>
      <c r="EI8053"/>
      <c r="EJ8053"/>
      <c r="EK8053"/>
    </row>
    <row r="8054" spans="1:141" s="116" customFormat="1">
      <c r="A8054" s="136"/>
      <c r="CM8054" s="111"/>
      <c r="CQ8054" s="111"/>
      <c r="EF8054"/>
      <c r="EG8054"/>
      <c r="EH8054"/>
      <c r="EI8054"/>
      <c r="EJ8054"/>
      <c r="EK8054"/>
    </row>
    <row r="8055" spans="1:141" s="116" customFormat="1">
      <c r="A8055" s="136"/>
      <c r="CM8055" s="111"/>
      <c r="CQ8055" s="111"/>
      <c r="EF8055"/>
      <c r="EG8055"/>
      <c r="EH8055"/>
      <c r="EI8055"/>
      <c r="EJ8055"/>
      <c r="EK8055"/>
    </row>
    <row r="8056" spans="1:141" s="116" customFormat="1">
      <c r="A8056" s="136"/>
      <c r="CM8056" s="111"/>
      <c r="CQ8056" s="111"/>
      <c r="EF8056"/>
      <c r="EG8056"/>
      <c r="EH8056"/>
      <c r="EI8056"/>
      <c r="EJ8056"/>
      <c r="EK8056"/>
    </row>
    <row r="8057" spans="1:141" s="116" customFormat="1">
      <c r="A8057" s="136"/>
      <c r="CM8057" s="111"/>
      <c r="CQ8057" s="111"/>
      <c r="EF8057"/>
      <c r="EG8057"/>
      <c r="EH8057"/>
      <c r="EI8057"/>
      <c r="EJ8057"/>
      <c r="EK8057"/>
    </row>
    <row r="8058" spans="1:141" s="116" customFormat="1">
      <c r="A8058" s="136"/>
      <c r="CM8058" s="111"/>
      <c r="CQ8058" s="111"/>
      <c r="EF8058"/>
      <c r="EG8058"/>
      <c r="EH8058"/>
      <c r="EI8058"/>
      <c r="EJ8058"/>
      <c r="EK8058"/>
    </row>
    <row r="8059" spans="1:141" s="116" customFormat="1">
      <c r="A8059" s="136"/>
      <c r="CM8059" s="111"/>
      <c r="CQ8059" s="111"/>
      <c r="EF8059"/>
      <c r="EG8059"/>
      <c r="EH8059"/>
      <c r="EI8059"/>
      <c r="EJ8059"/>
      <c r="EK8059"/>
    </row>
    <row r="8060" spans="1:141" s="116" customFormat="1">
      <c r="A8060" s="136"/>
      <c r="CM8060" s="111"/>
      <c r="CQ8060" s="111"/>
      <c r="EF8060"/>
      <c r="EG8060"/>
      <c r="EH8060"/>
      <c r="EI8060"/>
      <c r="EJ8060"/>
      <c r="EK8060"/>
    </row>
    <row r="8061" spans="1:141" s="116" customFormat="1">
      <c r="A8061" s="136"/>
      <c r="CM8061" s="111"/>
      <c r="CQ8061" s="111"/>
      <c r="EF8061"/>
      <c r="EG8061"/>
      <c r="EH8061"/>
      <c r="EI8061"/>
      <c r="EJ8061"/>
      <c r="EK8061"/>
    </row>
    <row r="8062" spans="1:141" s="116" customFormat="1">
      <c r="A8062" s="136"/>
      <c r="CM8062" s="111"/>
      <c r="CQ8062" s="111"/>
      <c r="EF8062"/>
      <c r="EG8062"/>
      <c r="EH8062"/>
      <c r="EI8062"/>
      <c r="EJ8062"/>
      <c r="EK8062"/>
    </row>
    <row r="8063" spans="1:141" s="116" customFormat="1">
      <c r="A8063" s="136"/>
      <c r="CM8063" s="111"/>
      <c r="CQ8063" s="111"/>
      <c r="EF8063"/>
      <c r="EG8063"/>
      <c r="EH8063"/>
      <c r="EI8063"/>
      <c r="EJ8063"/>
      <c r="EK8063"/>
    </row>
    <row r="8064" spans="1:141" s="116" customFormat="1">
      <c r="A8064" s="136"/>
      <c r="CM8064" s="111"/>
      <c r="CQ8064" s="111"/>
      <c r="EF8064"/>
      <c r="EG8064"/>
      <c r="EH8064"/>
      <c r="EI8064"/>
      <c r="EJ8064"/>
      <c r="EK8064"/>
    </row>
    <row r="8065" spans="1:141" s="116" customFormat="1">
      <c r="A8065" s="136"/>
      <c r="CM8065" s="111"/>
      <c r="CQ8065" s="111"/>
      <c r="EF8065"/>
      <c r="EG8065"/>
      <c r="EH8065"/>
      <c r="EI8065"/>
      <c r="EJ8065"/>
      <c r="EK8065"/>
    </row>
    <row r="8066" spans="1:141" s="116" customFormat="1">
      <c r="A8066" s="136"/>
      <c r="CM8066" s="111"/>
      <c r="CQ8066" s="111"/>
      <c r="EF8066"/>
      <c r="EG8066"/>
      <c r="EH8066"/>
      <c r="EI8066"/>
      <c r="EJ8066"/>
      <c r="EK8066"/>
    </row>
    <row r="8067" spans="1:141" s="116" customFormat="1">
      <c r="A8067" s="136"/>
      <c r="CM8067" s="111"/>
      <c r="CQ8067" s="111"/>
      <c r="EF8067"/>
      <c r="EG8067"/>
      <c r="EH8067"/>
      <c r="EI8067"/>
      <c r="EJ8067"/>
      <c r="EK8067"/>
    </row>
    <row r="8068" spans="1:141" s="116" customFormat="1">
      <c r="A8068" s="136"/>
      <c r="CM8068" s="111"/>
      <c r="CQ8068" s="111"/>
      <c r="EF8068"/>
      <c r="EG8068"/>
      <c r="EH8068"/>
      <c r="EI8068"/>
      <c r="EJ8068"/>
      <c r="EK8068"/>
    </row>
    <row r="8069" spans="1:141" s="116" customFormat="1">
      <c r="A8069" s="136"/>
      <c r="CM8069" s="111"/>
      <c r="CQ8069" s="111"/>
      <c r="EF8069"/>
      <c r="EG8069"/>
      <c r="EH8069"/>
      <c r="EI8069"/>
      <c r="EJ8069"/>
      <c r="EK8069"/>
    </row>
    <row r="8070" spans="1:141" s="116" customFormat="1">
      <c r="A8070" s="136"/>
      <c r="CM8070" s="111"/>
      <c r="CQ8070" s="111"/>
      <c r="EF8070"/>
      <c r="EG8070"/>
      <c r="EH8070"/>
      <c r="EI8070"/>
      <c r="EJ8070"/>
      <c r="EK8070"/>
    </row>
    <row r="8071" spans="1:141" s="116" customFormat="1">
      <c r="A8071" s="136"/>
      <c r="CM8071" s="111"/>
      <c r="CQ8071" s="111"/>
      <c r="EF8071"/>
      <c r="EG8071"/>
      <c r="EH8071"/>
      <c r="EI8071"/>
      <c r="EJ8071"/>
      <c r="EK8071"/>
    </row>
    <row r="8072" spans="1:141" s="116" customFormat="1">
      <c r="A8072" s="136"/>
      <c r="CM8072" s="111"/>
      <c r="CQ8072" s="111"/>
      <c r="EF8072"/>
      <c r="EG8072"/>
      <c r="EH8072"/>
      <c r="EI8072"/>
      <c r="EJ8072"/>
      <c r="EK8072"/>
    </row>
    <row r="8073" spans="1:141" s="116" customFormat="1">
      <c r="A8073" s="136"/>
      <c r="CM8073" s="111"/>
      <c r="CQ8073" s="111"/>
      <c r="EF8073"/>
      <c r="EG8073"/>
      <c r="EH8073"/>
      <c r="EI8073"/>
      <c r="EJ8073"/>
      <c r="EK8073"/>
    </row>
    <row r="8074" spans="1:141" s="116" customFormat="1">
      <c r="A8074" s="136"/>
      <c r="CM8074" s="111"/>
      <c r="CQ8074" s="111"/>
      <c r="EF8074"/>
      <c r="EG8074"/>
      <c r="EH8074"/>
      <c r="EI8074"/>
      <c r="EJ8074"/>
      <c r="EK8074"/>
    </row>
    <row r="8075" spans="1:141" s="116" customFormat="1">
      <c r="A8075" s="136"/>
      <c r="CM8075" s="111"/>
      <c r="CQ8075" s="111"/>
      <c r="EF8075"/>
      <c r="EG8075"/>
      <c r="EH8075"/>
      <c r="EI8075"/>
      <c r="EJ8075"/>
      <c r="EK8075"/>
    </row>
    <row r="8076" spans="1:141" s="116" customFormat="1">
      <c r="A8076" s="136"/>
      <c r="CM8076" s="111"/>
      <c r="CQ8076" s="111"/>
      <c r="EF8076"/>
      <c r="EG8076"/>
      <c r="EH8076"/>
      <c r="EI8076"/>
      <c r="EJ8076"/>
      <c r="EK8076"/>
    </row>
    <row r="8077" spans="1:141" s="116" customFormat="1">
      <c r="A8077" s="136"/>
      <c r="CM8077" s="111"/>
      <c r="CQ8077" s="111"/>
      <c r="EF8077"/>
      <c r="EG8077"/>
      <c r="EH8077"/>
      <c r="EI8077"/>
      <c r="EJ8077"/>
      <c r="EK8077"/>
    </row>
    <row r="8078" spans="1:141" s="116" customFormat="1">
      <c r="A8078" s="136"/>
      <c r="CM8078" s="111"/>
      <c r="CQ8078" s="111"/>
      <c r="EF8078"/>
      <c r="EG8078"/>
      <c r="EH8078"/>
      <c r="EI8078"/>
      <c r="EJ8078"/>
      <c r="EK8078"/>
    </row>
    <row r="8079" spans="1:141" s="116" customFormat="1">
      <c r="A8079" s="136"/>
      <c r="CM8079" s="111"/>
      <c r="CQ8079" s="111"/>
      <c r="EF8079"/>
      <c r="EG8079"/>
      <c r="EH8079"/>
      <c r="EI8079"/>
      <c r="EJ8079"/>
      <c r="EK8079"/>
    </row>
    <row r="8080" spans="1:141" s="116" customFormat="1">
      <c r="A8080" s="136"/>
      <c r="CM8080" s="111"/>
      <c r="CQ8080" s="111"/>
      <c r="EF8080"/>
      <c r="EG8080"/>
      <c r="EH8080"/>
      <c r="EI8080"/>
      <c r="EJ8080"/>
      <c r="EK8080"/>
    </row>
    <row r="8081" spans="1:141" s="116" customFormat="1">
      <c r="A8081" s="136"/>
      <c r="CM8081" s="111"/>
      <c r="CQ8081" s="111"/>
      <c r="EF8081"/>
      <c r="EG8081"/>
      <c r="EH8081"/>
      <c r="EI8081"/>
      <c r="EJ8081"/>
      <c r="EK8081"/>
    </row>
    <row r="8082" spans="1:141" s="116" customFormat="1">
      <c r="A8082" s="136"/>
      <c r="CM8082" s="111"/>
      <c r="CQ8082" s="111"/>
      <c r="EF8082"/>
      <c r="EG8082"/>
      <c r="EH8082"/>
      <c r="EI8082"/>
      <c r="EJ8082"/>
      <c r="EK8082"/>
    </row>
    <row r="8083" spans="1:141" s="116" customFormat="1">
      <c r="A8083" s="136"/>
      <c r="CM8083" s="111"/>
      <c r="CQ8083" s="111"/>
      <c r="EF8083"/>
      <c r="EG8083"/>
      <c r="EH8083"/>
      <c r="EI8083"/>
      <c r="EJ8083"/>
      <c r="EK8083"/>
    </row>
    <row r="8084" spans="1:141" s="116" customFormat="1">
      <c r="A8084" s="136"/>
      <c r="CM8084" s="111"/>
      <c r="CQ8084" s="111"/>
      <c r="EF8084"/>
      <c r="EG8084"/>
      <c r="EH8084"/>
      <c r="EI8084"/>
      <c r="EJ8084"/>
      <c r="EK8084"/>
    </row>
    <row r="8085" spans="1:141" s="116" customFormat="1">
      <c r="A8085" s="136"/>
      <c r="CM8085" s="111"/>
      <c r="CQ8085" s="111"/>
      <c r="EF8085"/>
      <c r="EG8085"/>
      <c r="EH8085"/>
      <c r="EI8085"/>
      <c r="EJ8085"/>
      <c r="EK8085"/>
    </row>
    <row r="8086" spans="1:141" s="116" customFormat="1">
      <c r="A8086" s="136"/>
      <c r="CM8086" s="111"/>
      <c r="CQ8086" s="111"/>
      <c r="EF8086"/>
      <c r="EG8086"/>
      <c r="EH8086"/>
      <c r="EI8086"/>
      <c r="EJ8086"/>
      <c r="EK8086"/>
    </row>
    <row r="8087" spans="1:141" s="116" customFormat="1">
      <c r="A8087" s="136"/>
      <c r="CM8087" s="111"/>
      <c r="CQ8087" s="111"/>
      <c r="EF8087"/>
      <c r="EG8087"/>
      <c r="EH8087"/>
      <c r="EI8087"/>
      <c r="EJ8087"/>
      <c r="EK8087"/>
    </row>
    <row r="8088" spans="1:141" s="116" customFormat="1">
      <c r="A8088" s="136"/>
      <c r="CM8088" s="111"/>
      <c r="CQ8088" s="111"/>
      <c r="EF8088"/>
      <c r="EG8088"/>
      <c r="EH8088"/>
      <c r="EI8088"/>
      <c r="EJ8088"/>
      <c r="EK8088"/>
    </row>
    <row r="8089" spans="1:141" s="116" customFormat="1">
      <c r="A8089" s="136"/>
      <c r="CM8089" s="111"/>
      <c r="CQ8089" s="111"/>
      <c r="EF8089"/>
      <c r="EG8089"/>
      <c r="EH8089"/>
      <c r="EI8089"/>
      <c r="EJ8089"/>
      <c r="EK8089"/>
    </row>
    <row r="8090" spans="1:141" s="116" customFormat="1">
      <c r="A8090" s="136"/>
      <c r="CM8090" s="111"/>
      <c r="CQ8090" s="111"/>
      <c r="EF8090"/>
      <c r="EG8090"/>
      <c r="EH8090"/>
      <c r="EI8090"/>
      <c r="EJ8090"/>
      <c r="EK8090"/>
    </row>
    <row r="8091" spans="1:141" s="116" customFormat="1">
      <c r="A8091" s="136"/>
      <c r="CM8091" s="111"/>
      <c r="CQ8091" s="111"/>
      <c r="EF8091"/>
      <c r="EG8091"/>
      <c r="EH8091"/>
      <c r="EI8091"/>
      <c r="EJ8091"/>
      <c r="EK8091"/>
    </row>
    <row r="8092" spans="1:141" s="116" customFormat="1">
      <c r="A8092" s="136"/>
      <c r="CM8092" s="111"/>
      <c r="CQ8092" s="111"/>
      <c r="EF8092"/>
      <c r="EG8092"/>
      <c r="EH8092"/>
      <c r="EI8092"/>
      <c r="EJ8092"/>
      <c r="EK8092"/>
    </row>
    <row r="8093" spans="1:141" s="116" customFormat="1">
      <c r="A8093" s="136"/>
      <c r="CM8093" s="111"/>
      <c r="CQ8093" s="111"/>
      <c r="EF8093"/>
      <c r="EG8093"/>
      <c r="EH8093"/>
      <c r="EI8093"/>
      <c r="EJ8093"/>
      <c r="EK8093"/>
    </row>
    <row r="8094" spans="1:141" s="116" customFormat="1">
      <c r="A8094" s="136"/>
      <c r="CM8094" s="111"/>
      <c r="CQ8094" s="111"/>
      <c r="EF8094"/>
      <c r="EG8094"/>
      <c r="EH8094"/>
      <c r="EI8094"/>
      <c r="EJ8094"/>
      <c r="EK8094"/>
    </row>
    <row r="8095" spans="1:141" s="116" customFormat="1">
      <c r="A8095" s="136"/>
      <c r="CM8095" s="111"/>
      <c r="CQ8095" s="111"/>
      <c r="EF8095"/>
      <c r="EG8095"/>
      <c r="EH8095"/>
      <c r="EI8095"/>
      <c r="EJ8095"/>
      <c r="EK8095"/>
    </row>
    <row r="8096" spans="1:141" s="116" customFormat="1">
      <c r="A8096" s="136"/>
      <c r="CM8096" s="111"/>
      <c r="CQ8096" s="111"/>
      <c r="EF8096"/>
      <c r="EG8096"/>
      <c r="EH8096"/>
      <c r="EI8096"/>
      <c r="EJ8096"/>
      <c r="EK8096"/>
    </row>
    <row r="8097" spans="1:141" s="116" customFormat="1">
      <c r="A8097" s="136"/>
      <c r="CM8097" s="111"/>
      <c r="CQ8097" s="111"/>
      <c r="EF8097"/>
      <c r="EG8097"/>
      <c r="EH8097"/>
      <c r="EI8097"/>
      <c r="EJ8097"/>
      <c r="EK8097"/>
    </row>
    <row r="8098" spans="1:141" s="116" customFormat="1">
      <c r="A8098" s="136"/>
      <c r="CM8098" s="111"/>
      <c r="CQ8098" s="111"/>
      <c r="EF8098"/>
      <c r="EG8098"/>
      <c r="EH8098"/>
      <c r="EI8098"/>
      <c r="EJ8098"/>
      <c r="EK8098"/>
    </row>
    <row r="8099" spans="1:141" s="116" customFormat="1">
      <c r="A8099" s="136"/>
      <c r="CM8099" s="111"/>
      <c r="CQ8099" s="111"/>
      <c r="EF8099"/>
      <c r="EG8099"/>
      <c r="EH8099"/>
      <c r="EI8099"/>
      <c r="EJ8099"/>
      <c r="EK8099"/>
    </row>
    <row r="8100" spans="1:141" s="116" customFormat="1">
      <c r="A8100" s="136"/>
      <c r="CM8100" s="111"/>
      <c r="CQ8100" s="111"/>
      <c r="EF8100"/>
      <c r="EG8100"/>
      <c r="EH8100"/>
      <c r="EI8100"/>
      <c r="EJ8100"/>
      <c r="EK8100"/>
    </row>
    <row r="8101" spans="1:141" s="116" customFormat="1">
      <c r="A8101" s="136"/>
      <c r="CM8101" s="111"/>
      <c r="CQ8101" s="111"/>
      <c r="EF8101"/>
      <c r="EG8101"/>
      <c r="EH8101"/>
      <c r="EI8101"/>
      <c r="EJ8101"/>
      <c r="EK8101"/>
    </row>
    <row r="8102" spans="1:141" s="116" customFormat="1">
      <c r="A8102" s="136"/>
      <c r="CM8102" s="111"/>
      <c r="CQ8102" s="111"/>
      <c r="EF8102"/>
      <c r="EG8102"/>
      <c r="EH8102"/>
      <c r="EI8102"/>
      <c r="EJ8102"/>
      <c r="EK8102"/>
    </row>
    <row r="8103" spans="1:141" s="116" customFormat="1">
      <c r="A8103" s="136"/>
      <c r="CM8103" s="111"/>
      <c r="CQ8103" s="111"/>
      <c r="EF8103"/>
      <c r="EG8103"/>
      <c r="EH8103"/>
      <c r="EI8103"/>
      <c r="EJ8103"/>
      <c r="EK8103"/>
    </row>
    <row r="8104" spans="1:141" s="116" customFormat="1">
      <c r="A8104" s="136"/>
      <c r="CM8104" s="111"/>
      <c r="CQ8104" s="111"/>
      <c r="EF8104"/>
      <c r="EG8104"/>
      <c r="EH8104"/>
      <c r="EI8104"/>
      <c r="EJ8104"/>
      <c r="EK8104"/>
    </row>
    <row r="8105" spans="1:141" s="116" customFormat="1">
      <c r="A8105" s="136"/>
      <c r="CM8105" s="111"/>
      <c r="CQ8105" s="111"/>
      <c r="EF8105"/>
      <c r="EG8105"/>
      <c r="EH8105"/>
      <c r="EI8105"/>
      <c r="EJ8105"/>
      <c r="EK8105"/>
    </row>
    <row r="8106" spans="1:141" s="116" customFormat="1">
      <c r="A8106" s="136"/>
      <c r="CM8106" s="111"/>
      <c r="CQ8106" s="111"/>
      <c r="EF8106"/>
      <c r="EG8106"/>
      <c r="EH8106"/>
      <c r="EI8106"/>
      <c r="EJ8106"/>
      <c r="EK8106"/>
    </row>
    <row r="8107" spans="1:141" s="116" customFormat="1">
      <c r="A8107" s="136"/>
      <c r="CM8107" s="111"/>
      <c r="CQ8107" s="111"/>
      <c r="EF8107"/>
      <c r="EG8107"/>
      <c r="EH8107"/>
      <c r="EI8107"/>
      <c r="EJ8107"/>
      <c r="EK8107"/>
    </row>
    <row r="8108" spans="1:141" s="116" customFormat="1">
      <c r="A8108" s="136"/>
      <c r="CM8108" s="111"/>
      <c r="CQ8108" s="111"/>
      <c r="EF8108"/>
      <c r="EG8108"/>
      <c r="EH8108"/>
      <c r="EI8108"/>
      <c r="EJ8108"/>
      <c r="EK8108"/>
    </row>
    <row r="8109" spans="1:141" s="116" customFormat="1">
      <c r="A8109" s="136"/>
      <c r="CM8109" s="111"/>
      <c r="CQ8109" s="111"/>
      <c r="EF8109"/>
      <c r="EG8109"/>
      <c r="EH8109"/>
      <c r="EI8109"/>
      <c r="EJ8109"/>
      <c r="EK8109"/>
    </row>
    <row r="8110" spans="1:141" s="116" customFormat="1">
      <c r="A8110" s="136"/>
      <c r="CM8110" s="111"/>
      <c r="CQ8110" s="111"/>
      <c r="EF8110"/>
      <c r="EG8110"/>
      <c r="EH8110"/>
      <c r="EI8110"/>
      <c r="EJ8110"/>
      <c r="EK8110"/>
    </row>
    <row r="8111" spans="1:141" s="116" customFormat="1">
      <c r="A8111" s="136"/>
      <c r="CM8111" s="111"/>
      <c r="CQ8111" s="111"/>
      <c r="EF8111"/>
      <c r="EG8111"/>
      <c r="EH8111"/>
      <c r="EI8111"/>
      <c r="EJ8111"/>
      <c r="EK8111"/>
    </row>
    <row r="8112" spans="1:141" s="116" customFormat="1">
      <c r="A8112" s="136"/>
      <c r="CM8112" s="111"/>
      <c r="CQ8112" s="111"/>
      <c r="EF8112"/>
      <c r="EG8112"/>
      <c r="EH8112"/>
      <c r="EI8112"/>
      <c r="EJ8112"/>
      <c r="EK8112"/>
    </row>
    <row r="8113" spans="1:141" s="116" customFormat="1">
      <c r="A8113" s="136"/>
      <c r="CM8113" s="111"/>
      <c r="CQ8113" s="111"/>
      <c r="EF8113"/>
      <c r="EG8113"/>
      <c r="EH8113"/>
      <c r="EI8113"/>
      <c r="EJ8113"/>
      <c r="EK8113"/>
    </row>
    <row r="8114" spans="1:141" s="116" customFormat="1">
      <c r="A8114" s="136"/>
      <c r="CM8114" s="111"/>
      <c r="CQ8114" s="111"/>
      <c r="EF8114"/>
      <c r="EG8114"/>
      <c r="EH8114"/>
      <c r="EI8114"/>
      <c r="EJ8114"/>
      <c r="EK8114"/>
    </row>
    <row r="8115" spans="1:141" s="116" customFormat="1">
      <c r="A8115" s="136"/>
      <c r="CM8115" s="111"/>
      <c r="CQ8115" s="111"/>
      <c r="EF8115"/>
      <c r="EG8115"/>
      <c r="EH8115"/>
      <c r="EI8115"/>
      <c r="EJ8115"/>
      <c r="EK8115"/>
    </row>
    <row r="8116" spans="1:141" s="116" customFormat="1">
      <c r="A8116" s="136"/>
      <c r="CM8116" s="111"/>
      <c r="CQ8116" s="111"/>
      <c r="EF8116"/>
      <c r="EG8116"/>
      <c r="EH8116"/>
      <c r="EI8116"/>
      <c r="EJ8116"/>
      <c r="EK8116"/>
    </row>
    <row r="8117" spans="1:141" s="116" customFormat="1">
      <c r="A8117" s="136"/>
      <c r="CM8117" s="111"/>
      <c r="CQ8117" s="111"/>
      <c r="EF8117"/>
      <c r="EG8117"/>
      <c r="EH8117"/>
      <c r="EI8117"/>
      <c r="EJ8117"/>
      <c r="EK8117"/>
    </row>
    <row r="8118" spans="1:141" s="116" customFormat="1">
      <c r="A8118" s="136"/>
      <c r="CM8118" s="111"/>
      <c r="CQ8118" s="111"/>
      <c r="EF8118"/>
      <c r="EG8118"/>
      <c r="EH8118"/>
      <c r="EI8118"/>
      <c r="EJ8118"/>
      <c r="EK8118"/>
    </row>
    <row r="8119" spans="1:141" s="116" customFormat="1">
      <c r="A8119" s="136"/>
      <c r="CM8119" s="111"/>
      <c r="CQ8119" s="111"/>
      <c r="EF8119"/>
      <c r="EG8119"/>
      <c r="EH8119"/>
      <c r="EI8119"/>
      <c r="EJ8119"/>
      <c r="EK8119"/>
    </row>
    <row r="8120" spans="1:141" s="116" customFormat="1">
      <c r="A8120" s="136"/>
      <c r="CM8120" s="111"/>
      <c r="CQ8120" s="111"/>
      <c r="EF8120"/>
      <c r="EG8120"/>
      <c r="EH8120"/>
      <c r="EI8120"/>
      <c r="EJ8120"/>
      <c r="EK8120"/>
    </row>
    <row r="8121" spans="1:141" s="116" customFormat="1">
      <c r="A8121" s="136"/>
      <c r="CM8121" s="111"/>
      <c r="CQ8121" s="111"/>
      <c r="EF8121"/>
      <c r="EG8121"/>
      <c r="EH8121"/>
      <c r="EI8121"/>
      <c r="EJ8121"/>
      <c r="EK8121"/>
    </row>
    <row r="8122" spans="1:141" s="116" customFormat="1">
      <c r="A8122" s="136"/>
      <c r="CM8122" s="111"/>
      <c r="CQ8122" s="111"/>
      <c r="EF8122"/>
      <c r="EG8122"/>
      <c r="EH8122"/>
      <c r="EI8122"/>
      <c r="EJ8122"/>
      <c r="EK8122"/>
    </row>
    <row r="8123" spans="1:141" s="116" customFormat="1">
      <c r="A8123" s="136"/>
      <c r="CM8123" s="111"/>
      <c r="CQ8123" s="111"/>
      <c r="EF8123"/>
      <c r="EG8123"/>
      <c r="EH8123"/>
      <c r="EI8123"/>
      <c r="EJ8123"/>
      <c r="EK8123"/>
    </row>
    <row r="8124" spans="1:141" s="116" customFormat="1">
      <c r="A8124" s="136"/>
      <c r="CM8124" s="111"/>
      <c r="CQ8124" s="111"/>
      <c r="EF8124"/>
      <c r="EG8124"/>
      <c r="EH8124"/>
      <c r="EI8124"/>
      <c r="EJ8124"/>
      <c r="EK8124"/>
    </row>
    <row r="8125" spans="1:141" s="116" customFormat="1">
      <c r="A8125" s="136"/>
      <c r="CM8125" s="111"/>
      <c r="CQ8125" s="111"/>
      <c r="EF8125"/>
      <c r="EG8125"/>
      <c r="EH8125"/>
      <c r="EI8125"/>
      <c r="EJ8125"/>
      <c r="EK8125"/>
    </row>
    <row r="8126" spans="1:141" s="116" customFormat="1">
      <c r="A8126" s="136"/>
      <c r="CM8126" s="111"/>
      <c r="CQ8126" s="111"/>
      <c r="EF8126"/>
      <c r="EG8126"/>
      <c r="EH8126"/>
      <c r="EI8126"/>
      <c r="EJ8126"/>
      <c r="EK8126"/>
    </row>
    <row r="8127" spans="1:141" s="116" customFormat="1">
      <c r="A8127" s="136"/>
      <c r="CM8127" s="111"/>
      <c r="CQ8127" s="111"/>
      <c r="EF8127"/>
      <c r="EG8127"/>
      <c r="EH8127"/>
      <c r="EI8127"/>
      <c r="EJ8127"/>
      <c r="EK8127"/>
    </row>
    <row r="8128" spans="1:141" s="116" customFormat="1">
      <c r="A8128" s="136"/>
      <c r="CM8128" s="111"/>
      <c r="CQ8128" s="111"/>
      <c r="EF8128"/>
      <c r="EG8128"/>
      <c r="EH8128"/>
      <c r="EI8128"/>
      <c r="EJ8128"/>
      <c r="EK8128"/>
    </row>
    <row r="8129" spans="1:141" s="116" customFormat="1">
      <c r="A8129" s="136"/>
      <c r="CM8129" s="111"/>
      <c r="CQ8129" s="111"/>
      <c r="EF8129"/>
      <c r="EG8129"/>
      <c r="EH8129"/>
      <c r="EI8129"/>
      <c r="EJ8129"/>
      <c r="EK8129"/>
    </row>
    <row r="8130" spans="1:141" s="116" customFormat="1">
      <c r="A8130" s="136"/>
      <c r="CM8130" s="111"/>
      <c r="CQ8130" s="111"/>
      <c r="EF8130"/>
      <c r="EG8130"/>
      <c r="EH8130"/>
      <c r="EI8130"/>
      <c r="EJ8130"/>
      <c r="EK8130"/>
    </row>
    <row r="8131" spans="1:141" s="116" customFormat="1">
      <c r="A8131" s="136"/>
      <c r="CM8131" s="111"/>
      <c r="CQ8131" s="111"/>
      <c r="EF8131"/>
      <c r="EG8131"/>
      <c r="EH8131"/>
      <c r="EI8131"/>
      <c r="EJ8131"/>
      <c r="EK8131"/>
    </row>
    <row r="8132" spans="1:141" s="116" customFormat="1">
      <c r="A8132" s="136"/>
      <c r="CM8132" s="111"/>
      <c r="CQ8132" s="111"/>
      <c r="EF8132"/>
      <c r="EG8132"/>
      <c r="EH8132"/>
      <c r="EI8132"/>
      <c r="EJ8132"/>
      <c r="EK8132"/>
    </row>
    <row r="8133" spans="1:141" s="116" customFormat="1">
      <c r="A8133" s="136"/>
      <c r="CM8133" s="111"/>
      <c r="CQ8133" s="111"/>
      <c r="EF8133"/>
      <c r="EG8133"/>
      <c r="EH8133"/>
      <c r="EI8133"/>
      <c r="EJ8133"/>
      <c r="EK8133"/>
    </row>
    <row r="8134" spans="1:141" s="116" customFormat="1">
      <c r="A8134" s="136"/>
      <c r="CM8134" s="111"/>
      <c r="CQ8134" s="111"/>
      <c r="EF8134"/>
      <c r="EG8134"/>
      <c r="EH8134"/>
      <c r="EI8134"/>
      <c r="EJ8134"/>
      <c r="EK8134"/>
    </row>
    <row r="8135" spans="1:141" s="116" customFormat="1">
      <c r="A8135" s="136"/>
      <c r="CM8135" s="111"/>
      <c r="CQ8135" s="111"/>
      <c r="EF8135"/>
      <c r="EG8135"/>
      <c r="EH8135"/>
      <c r="EI8135"/>
      <c r="EJ8135"/>
      <c r="EK8135"/>
    </row>
    <row r="8136" spans="1:141" s="116" customFormat="1">
      <c r="A8136" s="136"/>
      <c r="CM8136" s="111"/>
      <c r="CQ8136" s="111"/>
      <c r="EF8136"/>
      <c r="EG8136"/>
      <c r="EH8136"/>
      <c r="EI8136"/>
      <c r="EJ8136"/>
      <c r="EK8136"/>
    </row>
    <row r="8137" spans="1:141" s="116" customFormat="1">
      <c r="A8137" s="136"/>
      <c r="CM8137" s="111"/>
      <c r="CQ8137" s="111"/>
      <c r="EF8137"/>
      <c r="EG8137"/>
      <c r="EH8137"/>
      <c r="EI8137"/>
      <c r="EJ8137"/>
      <c r="EK8137"/>
    </row>
    <row r="8138" spans="1:141" s="116" customFormat="1">
      <c r="A8138" s="136"/>
      <c r="CM8138" s="111"/>
      <c r="CQ8138" s="111"/>
      <c r="EF8138"/>
      <c r="EG8138"/>
      <c r="EH8138"/>
      <c r="EI8138"/>
      <c r="EJ8138"/>
      <c r="EK8138"/>
    </row>
    <row r="8139" spans="1:141" s="116" customFormat="1">
      <c r="A8139" s="136"/>
      <c r="CM8139" s="111"/>
      <c r="CQ8139" s="111"/>
      <c r="EF8139"/>
      <c r="EG8139"/>
      <c r="EH8139"/>
      <c r="EI8139"/>
      <c r="EJ8139"/>
      <c r="EK8139"/>
    </row>
    <row r="8140" spans="1:141" s="116" customFormat="1">
      <c r="A8140" s="136"/>
      <c r="CM8140" s="111"/>
      <c r="CQ8140" s="111"/>
      <c r="EF8140"/>
      <c r="EG8140"/>
      <c r="EH8140"/>
      <c r="EI8140"/>
      <c r="EJ8140"/>
      <c r="EK8140"/>
    </row>
    <row r="8141" spans="1:141" s="116" customFormat="1">
      <c r="A8141" s="136"/>
      <c r="CM8141" s="111"/>
      <c r="CQ8141" s="111"/>
      <c r="EF8141"/>
      <c r="EG8141"/>
      <c r="EH8141"/>
      <c r="EI8141"/>
      <c r="EJ8141"/>
      <c r="EK8141"/>
    </row>
    <row r="8142" spans="1:141" s="116" customFormat="1">
      <c r="A8142" s="136"/>
      <c r="CM8142" s="111"/>
      <c r="CQ8142" s="111"/>
      <c r="EF8142"/>
      <c r="EG8142"/>
      <c r="EH8142"/>
      <c r="EI8142"/>
      <c r="EJ8142"/>
      <c r="EK8142"/>
    </row>
    <row r="8143" spans="1:141" s="116" customFormat="1">
      <c r="A8143" s="136"/>
      <c r="CM8143" s="111"/>
      <c r="CQ8143" s="111"/>
      <c r="EF8143"/>
      <c r="EG8143"/>
      <c r="EH8143"/>
      <c r="EI8143"/>
      <c r="EJ8143"/>
      <c r="EK8143"/>
    </row>
    <row r="8144" spans="1:141" s="116" customFormat="1">
      <c r="A8144" s="136"/>
      <c r="CM8144" s="111"/>
      <c r="CQ8144" s="111"/>
      <c r="EF8144"/>
      <c r="EG8144"/>
      <c r="EH8144"/>
      <c r="EI8144"/>
      <c r="EJ8144"/>
      <c r="EK8144"/>
    </row>
    <row r="8145" spans="1:141" s="116" customFormat="1">
      <c r="A8145" s="136"/>
      <c r="CM8145" s="111"/>
      <c r="CQ8145" s="111"/>
      <c r="EF8145"/>
      <c r="EG8145"/>
      <c r="EH8145"/>
      <c r="EI8145"/>
      <c r="EJ8145"/>
      <c r="EK8145"/>
    </row>
    <row r="8146" spans="1:141" s="116" customFormat="1">
      <c r="A8146" s="136"/>
      <c r="CM8146" s="111"/>
      <c r="CQ8146" s="111"/>
      <c r="EF8146"/>
      <c r="EG8146"/>
      <c r="EH8146"/>
      <c r="EI8146"/>
      <c r="EJ8146"/>
      <c r="EK8146"/>
    </row>
    <row r="8147" spans="1:141" s="116" customFormat="1">
      <c r="A8147" s="136"/>
      <c r="CM8147" s="111"/>
      <c r="CQ8147" s="111"/>
      <c r="EF8147"/>
      <c r="EG8147"/>
      <c r="EH8147"/>
      <c r="EI8147"/>
      <c r="EJ8147"/>
      <c r="EK8147"/>
    </row>
    <row r="8148" spans="1:141" s="116" customFormat="1">
      <c r="A8148" s="136"/>
      <c r="CM8148" s="111"/>
      <c r="CQ8148" s="111"/>
      <c r="EF8148"/>
      <c r="EG8148"/>
      <c r="EH8148"/>
      <c r="EI8148"/>
      <c r="EJ8148"/>
      <c r="EK8148"/>
    </row>
    <row r="8149" spans="1:141" s="116" customFormat="1">
      <c r="A8149" s="136"/>
      <c r="CM8149" s="111"/>
      <c r="CQ8149" s="111"/>
      <c r="EF8149"/>
      <c r="EG8149"/>
      <c r="EH8149"/>
      <c r="EI8149"/>
      <c r="EJ8149"/>
      <c r="EK8149"/>
    </row>
    <row r="8150" spans="1:141" s="116" customFormat="1">
      <c r="A8150" s="136"/>
      <c r="CM8150" s="111"/>
      <c r="CQ8150" s="111"/>
      <c r="EF8150"/>
      <c r="EG8150"/>
      <c r="EH8150"/>
      <c r="EI8150"/>
      <c r="EJ8150"/>
      <c r="EK8150"/>
    </row>
    <row r="8151" spans="1:141" s="116" customFormat="1">
      <c r="A8151" s="136"/>
      <c r="CM8151" s="111"/>
      <c r="CQ8151" s="111"/>
      <c r="EF8151"/>
      <c r="EG8151"/>
      <c r="EH8151"/>
      <c r="EI8151"/>
      <c r="EJ8151"/>
      <c r="EK8151"/>
    </row>
    <row r="8152" spans="1:141" s="116" customFormat="1">
      <c r="A8152" s="136"/>
      <c r="CM8152" s="111"/>
      <c r="CQ8152" s="111"/>
      <c r="EF8152"/>
      <c r="EG8152"/>
      <c r="EH8152"/>
      <c r="EI8152"/>
      <c r="EJ8152"/>
      <c r="EK8152"/>
    </row>
    <row r="8153" spans="1:141" s="116" customFormat="1">
      <c r="A8153" s="136"/>
      <c r="CM8153" s="111"/>
      <c r="CQ8153" s="111"/>
      <c r="EF8153"/>
      <c r="EG8153"/>
      <c r="EH8153"/>
      <c r="EI8153"/>
      <c r="EJ8153"/>
      <c r="EK8153"/>
    </row>
    <row r="8154" spans="1:141" s="116" customFormat="1">
      <c r="A8154" s="136"/>
      <c r="CM8154" s="111"/>
      <c r="CQ8154" s="111"/>
      <c r="EF8154"/>
      <c r="EG8154"/>
      <c r="EH8154"/>
      <c r="EI8154"/>
      <c r="EJ8154"/>
      <c r="EK8154"/>
    </row>
    <row r="8155" spans="1:141" s="116" customFormat="1">
      <c r="A8155" s="136"/>
      <c r="CM8155" s="111"/>
      <c r="CQ8155" s="111"/>
      <c r="EF8155"/>
      <c r="EG8155"/>
      <c r="EH8155"/>
      <c r="EI8155"/>
      <c r="EJ8155"/>
      <c r="EK8155"/>
    </row>
    <row r="8156" spans="1:141" s="116" customFormat="1">
      <c r="A8156" s="136"/>
      <c r="CM8156" s="111"/>
      <c r="CQ8156" s="111"/>
      <c r="EF8156"/>
      <c r="EG8156"/>
      <c r="EH8156"/>
      <c r="EI8156"/>
      <c r="EJ8156"/>
      <c r="EK8156"/>
    </row>
    <row r="8157" spans="1:141" s="116" customFormat="1">
      <c r="A8157" s="136"/>
      <c r="CM8157" s="111"/>
      <c r="CQ8157" s="111"/>
      <c r="EF8157"/>
      <c r="EG8157"/>
      <c r="EH8157"/>
      <c r="EI8157"/>
      <c r="EJ8157"/>
      <c r="EK8157"/>
    </row>
    <row r="8158" spans="1:141" s="116" customFormat="1">
      <c r="A8158" s="136"/>
      <c r="CM8158" s="111"/>
      <c r="CQ8158" s="111"/>
      <c r="EF8158"/>
      <c r="EG8158"/>
      <c r="EH8158"/>
      <c r="EI8158"/>
      <c r="EJ8158"/>
      <c r="EK8158"/>
    </row>
    <row r="8159" spans="1:141" s="116" customFormat="1">
      <c r="A8159" s="136"/>
      <c r="CM8159" s="111"/>
      <c r="CQ8159" s="111"/>
      <c r="EF8159"/>
      <c r="EG8159"/>
      <c r="EH8159"/>
      <c r="EI8159"/>
      <c r="EJ8159"/>
      <c r="EK8159"/>
    </row>
    <row r="8160" spans="1:141" s="116" customFormat="1">
      <c r="A8160" s="136"/>
      <c r="CM8160" s="111"/>
      <c r="CQ8160" s="111"/>
      <c r="EF8160"/>
      <c r="EG8160"/>
      <c r="EH8160"/>
      <c r="EI8160"/>
      <c r="EJ8160"/>
      <c r="EK8160"/>
    </row>
    <row r="8161" spans="1:141" s="116" customFormat="1">
      <c r="A8161" s="136"/>
      <c r="CM8161" s="111"/>
      <c r="CQ8161" s="111"/>
      <c r="EF8161"/>
      <c r="EG8161"/>
      <c r="EH8161"/>
      <c r="EI8161"/>
      <c r="EJ8161"/>
      <c r="EK8161"/>
    </row>
    <row r="8162" spans="1:141" s="116" customFormat="1">
      <c r="A8162" s="136"/>
      <c r="CM8162" s="111"/>
      <c r="CQ8162" s="111"/>
      <c r="EF8162"/>
      <c r="EG8162"/>
      <c r="EH8162"/>
      <c r="EI8162"/>
      <c r="EJ8162"/>
      <c r="EK8162"/>
    </row>
    <row r="8163" spans="1:141" s="116" customFormat="1">
      <c r="A8163" s="136"/>
      <c r="CM8163" s="111"/>
      <c r="CQ8163" s="111"/>
      <c r="EF8163"/>
      <c r="EG8163"/>
      <c r="EH8163"/>
      <c r="EI8163"/>
      <c r="EJ8163"/>
      <c r="EK8163"/>
    </row>
    <row r="8164" spans="1:141" s="116" customFormat="1">
      <c r="A8164" s="136"/>
      <c r="CM8164" s="111"/>
      <c r="CQ8164" s="111"/>
      <c r="EF8164"/>
      <c r="EG8164"/>
      <c r="EH8164"/>
      <c r="EI8164"/>
      <c r="EJ8164"/>
      <c r="EK8164"/>
    </row>
    <row r="8165" spans="1:141" s="116" customFormat="1">
      <c r="A8165" s="136"/>
      <c r="CM8165" s="111"/>
      <c r="CQ8165" s="111"/>
      <c r="EF8165"/>
      <c r="EG8165"/>
      <c r="EH8165"/>
      <c r="EI8165"/>
      <c r="EJ8165"/>
      <c r="EK8165"/>
    </row>
    <row r="8166" spans="1:141" s="116" customFormat="1">
      <c r="A8166" s="136"/>
      <c r="CM8166" s="111"/>
      <c r="CQ8166" s="111"/>
      <c r="EF8166"/>
      <c r="EG8166"/>
      <c r="EH8166"/>
      <c r="EI8166"/>
      <c r="EJ8166"/>
      <c r="EK8166"/>
    </row>
    <row r="8167" spans="1:141" s="116" customFormat="1">
      <c r="A8167" s="136"/>
      <c r="CM8167" s="111"/>
      <c r="CQ8167" s="111"/>
      <c r="EF8167"/>
      <c r="EG8167"/>
      <c r="EH8167"/>
      <c r="EI8167"/>
      <c r="EJ8167"/>
      <c r="EK8167"/>
    </row>
    <row r="8168" spans="1:141" s="116" customFormat="1">
      <c r="A8168" s="136"/>
      <c r="CM8168" s="111"/>
      <c r="CQ8168" s="111"/>
      <c r="EF8168"/>
      <c r="EG8168"/>
      <c r="EH8168"/>
      <c r="EI8168"/>
      <c r="EJ8168"/>
      <c r="EK8168"/>
    </row>
    <row r="8169" spans="1:141" s="116" customFormat="1">
      <c r="A8169" s="136"/>
      <c r="CM8169" s="111"/>
      <c r="CQ8169" s="111"/>
      <c r="EF8169"/>
      <c r="EG8169"/>
      <c r="EH8169"/>
      <c r="EI8169"/>
      <c r="EJ8169"/>
      <c r="EK8169"/>
    </row>
    <row r="8170" spans="1:141" s="116" customFormat="1">
      <c r="A8170" s="136"/>
      <c r="CM8170" s="111"/>
      <c r="CQ8170" s="111"/>
      <c r="EF8170"/>
      <c r="EG8170"/>
      <c r="EH8170"/>
      <c r="EI8170"/>
      <c r="EJ8170"/>
      <c r="EK8170"/>
    </row>
    <row r="8171" spans="1:141" s="116" customFormat="1">
      <c r="A8171" s="136"/>
      <c r="CM8171" s="111"/>
      <c r="CQ8171" s="111"/>
      <c r="EF8171"/>
      <c r="EG8171"/>
      <c r="EH8171"/>
      <c r="EI8171"/>
      <c r="EJ8171"/>
      <c r="EK8171"/>
    </row>
    <row r="8172" spans="1:141" s="116" customFormat="1">
      <c r="A8172" s="136"/>
      <c r="CM8172" s="111"/>
      <c r="CQ8172" s="111"/>
      <c r="EF8172"/>
      <c r="EG8172"/>
      <c r="EH8172"/>
      <c r="EI8172"/>
      <c r="EJ8172"/>
      <c r="EK8172"/>
    </row>
    <row r="8173" spans="1:141" s="116" customFormat="1">
      <c r="A8173" s="136"/>
      <c r="CM8173" s="111"/>
      <c r="CQ8173" s="111"/>
      <c r="EF8173"/>
      <c r="EG8173"/>
      <c r="EH8173"/>
      <c r="EI8173"/>
      <c r="EJ8173"/>
      <c r="EK8173"/>
    </row>
    <row r="8174" spans="1:141" s="116" customFormat="1">
      <c r="A8174" s="136"/>
      <c r="CM8174" s="111"/>
      <c r="CQ8174" s="111"/>
      <c r="EF8174"/>
      <c r="EG8174"/>
      <c r="EH8174"/>
      <c r="EI8174"/>
      <c r="EJ8174"/>
      <c r="EK8174"/>
    </row>
    <row r="8175" spans="1:141" s="116" customFormat="1">
      <c r="A8175" s="136"/>
      <c r="CM8175" s="111"/>
      <c r="CQ8175" s="111"/>
      <c r="EF8175"/>
      <c r="EG8175"/>
      <c r="EH8175"/>
      <c r="EI8175"/>
      <c r="EJ8175"/>
      <c r="EK8175"/>
    </row>
    <row r="8176" spans="1:141" s="116" customFormat="1">
      <c r="A8176" s="136"/>
      <c r="CM8176" s="111"/>
      <c r="CQ8176" s="111"/>
      <c r="EF8176"/>
      <c r="EG8176"/>
      <c r="EH8176"/>
      <c r="EI8176"/>
      <c r="EJ8176"/>
      <c r="EK8176"/>
    </row>
    <row r="8177" spans="1:141" s="116" customFormat="1">
      <c r="A8177" s="136"/>
      <c r="CM8177" s="111"/>
      <c r="CQ8177" s="111"/>
      <c r="EF8177"/>
      <c r="EG8177"/>
      <c r="EH8177"/>
      <c r="EI8177"/>
      <c r="EJ8177"/>
      <c r="EK8177"/>
    </row>
    <row r="8178" spans="1:141" s="116" customFormat="1">
      <c r="A8178" s="136"/>
      <c r="CM8178" s="111"/>
      <c r="CQ8178" s="111"/>
      <c r="EF8178"/>
      <c r="EG8178"/>
      <c r="EH8178"/>
      <c r="EI8178"/>
      <c r="EJ8178"/>
      <c r="EK8178"/>
    </row>
    <row r="8179" spans="1:141" s="116" customFormat="1">
      <c r="A8179" s="136"/>
      <c r="CM8179" s="111"/>
      <c r="CQ8179" s="111"/>
      <c r="EF8179"/>
      <c r="EG8179"/>
      <c r="EH8179"/>
      <c r="EI8179"/>
      <c r="EJ8179"/>
      <c r="EK8179"/>
    </row>
    <row r="8180" spans="1:141" s="116" customFormat="1">
      <c r="A8180" s="136"/>
      <c r="CM8180" s="111"/>
      <c r="CQ8180" s="111"/>
      <c r="EF8180"/>
      <c r="EG8180"/>
      <c r="EH8180"/>
      <c r="EI8180"/>
      <c r="EJ8180"/>
      <c r="EK8180"/>
    </row>
    <row r="8181" spans="1:141" s="116" customFormat="1">
      <c r="A8181" s="136"/>
      <c r="CM8181" s="111"/>
      <c r="CQ8181" s="111"/>
      <c r="EF8181"/>
      <c r="EG8181"/>
      <c r="EH8181"/>
      <c r="EI8181"/>
      <c r="EJ8181"/>
      <c r="EK8181"/>
    </row>
    <row r="8182" spans="1:141" s="116" customFormat="1">
      <c r="A8182" s="136"/>
      <c r="CM8182" s="111"/>
      <c r="CQ8182" s="111"/>
      <c r="EF8182"/>
      <c r="EG8182"/>
      <c r="EH8182"/>
      <c r="EI8182"/>
      <c r="EJ8182"/>
      <c r="EK8182"/>
    </row>
    <row r="8183" spans="1:141" s="116" customFormat="1">
      <c r="A8183" s="136"/>
      <c r="CM8183" s="111"/>
      <c r="CQ8183" s="111"/>
      <c r="EF8183"/>
      <c r="EG8183"/>
      <c r="EH8183"/>
      <c r="EI8183"/>
      <c r="EJ8183"/>
      <c r="EK8183"/>
    </row>
    <row r="8184" spans="1:141" s="116" customFormat="1">
      <c r="A8184" s="136"/>
      <c r="CM8184" s="111"/>
      <c r="CQ8184" s="111"/>
      <c r="EF8184"/>
      <c r="EG8184"/>
      <c r="EH8184"/>
      <c r="EI8184"/>
      <c r="EJ8184"/>
      <c r="EK8184"/>
    </row>
    <row r="8185" spans="1:141" s="116" customFormat="1">
      <c r="A8185" s="136"/>
      <c r="CM8185" s="111"/>
      <c r="CQ8185" s="111"/>
      <c r="EF8185"/>
      <c r="EG8185"/>
      <c r="EH8185"/>
      <c r="EI8185"/>
      <c r="EJ8185"/>
      <c r="EK8185"/>
    </row>
    <row r="8186" spans="1:141" s="116" customFormat="1">
      <c r="A8186" s="136"/>
      <c r="CM8186" s="111"/>
      <c r="CQ8186" s="111"/>
      <c r="EF8186"/>
      <c r="EG8186"/>
      <c r="EH8186"/>
      <c r="EI8186"/>
      <c r="EJ8186"/>
      <c r="EK8186"/>
    </row>
    <row r="8187" spans="1:141" s="116" customFormat="1">
      <c r="A8187" s="136"/>
      <c r="CM8187" s="111"/>
      <c r="CQ8187" s="111"/>
      <c r="EF8187"/>
      <c r="EG8187"/>
      <c r="EH8187"/>
      <c r="EI8187"/>
      <c r="EJ8187"/>
      <c r="EK8187"/>
    </row>
    <row r="8188" spans="1:141" s="116" customFormat="1">
      <c r="A8188" s="136"/>
      <c r="CM8188" s="111"/>
      <c r="CQ8188" s="111"/>
      <c r="EF8188"/>
      <c r="EG8188"/>
      <c r="EH8188"/>
      <c r="EI8188"/>
      <c r="EJ8188"/>
      <c r="EK8188"/>
    </row>
    <row r="8189" spans="1:141" s="116" customFormat="1">
      <c r="A8189" s="136"/>
      <c r="CM8189" s="111"/>
      <c r="CQ8189" s="111"/>
      <c r="EF8189"/>
      <c r="EG8189"/>
      <c r="EH8189"/>
      <c r="EI8189"/>
      <c r="EJ8189"/>
      <c r="EK8189"/>
    </row>
    <row r="8190" spans="1:141" s="116" customFormat="1">
      <c r="A8190" s="136"/>
      <c r="CM8190" s="111"/>
      <c r="CQ8190" s="111"/>
      <c r="EF8190"/>
      <c r="EG8190"/>
      <c r="EH8190"/>
      <c r="EI8190"/>
      <c r="EJ8190"/>
      <c r="EK8190"/>
    </row>
    <row r="8191" spans="1:141" s="116" customFormat="1">
      <c r="A8191" s="136"/>
      <c r="CM8191" s="111"/>
      <c r="CQ8191" s="111"/>
      <c r="EF8191"/>
      <c r="EG8191"/>
      <c r="EH8191"/>
      <c r="EI8191"/>
      <c r="EJ8191"/>
      <c r="EK8191"/>
    </row>
    <row r="8192" spans="1:141" s="116" customFormat="1">
      <c r="A8192" s="136"/>
      <c r="CM8192" s="111"/>
      <c r="CQ8192" s="111"/>
      <c r="EF8192"/>
      <c r="EG8192"/>
      <c r="EH8192"/>
      <c r="EI8192"/>
      <c r="EJ8192"/>
      <c r="EK8192"/>
    </row>
    <row r="8193" spans="1:141" s="116" customFormat="1">
      <c r="A8193" s="136"/>
      <c r="CM8193" s="111"/>
      <c r="CQ8193" s="111"/>
      <c r="EF8193"/>
      <c r="EG8193"/>
      <c r="EH8193"/>
      <c r="EI8193"/>
      <c r="EJ8193"/>
      <c r="EK8193"/>
    </row>
    <row r="8194" spans="1:141" s="116" customFormat="1">
      <c r="A8194" s="136"/>
      <c r="CM8194" s="111"/>
      <c r="CQ8194" s="111"/>
      <c r="EF8194"/>
      <c r="EG8194"/>
      <c r="EH8194"/>
      <c r="EI8194"/>
      <c r="EJ8194"/>
      <c r="EK8194"/>
    </row>
    <row r="8195" spans="1:141" s="116" customFormat="1">
      <c r="A8195" s="136"/>
      <c r="CM8195" s="111"/>
      <c r="CQ8195" s="111"/>
      <c r="EF8195"/>
      <c r="EG8195"/>
      <c r="EH8195"/>
      <c r="EI8195"/>
      <c r="EJ8195"/>
      <c r="EK8195"/>
    </row>
    <row r="8196" spans="1:141" s="116" customFormat="1">
      <c r="A8196" s="136"/>
      <c r="CM8196" s="111"/>
      <c r="CQ8196" s="111"/>
      <c r="EF8196"/>
      <c r="EG8196"/>
      <c r="EH8196"/>
      <c r="EI8196"/>
      <c r="EJ8196"/>
      <c r="EK8196"/>
    </row>
    <row r="8197" spans="1:141" s="116" customFormat="1">
      <c r="A8197" s="136"/>
      <c r="CM8197" s="111"/>
      <c r="CQ8197" s="111"/>
      <c r="EF8197"/>
      <c r="EG8197"/>
      <c r="EH8197"/>
      <c r="EI8197"/>
      <c r="EJ8197"/>
      <c r="EK8197"/>
    </row>
    <row r="8198" spans="1:141" s="116" customFormat="1">
      <c r="A8198" s="136"/>
      <c r="CM8198" s="111"/>
      <c r="CQ8198" s="111"/>
      <c r="EF8198"/>
      <c r="EG8198"/>
      <c r="EH8198"/>
      <c r="EI8198"/>
      <c r="EJ8198"/>
      <c r="EK8198"/>
    </row>
    <row r="8199" spans="1:141" s="116" customFormat="1">
      <c r="A8199" s="136"/>
      <c r="CM8199" s="111"/>
      <c r="CQ8199" s="111"/>
      <c r="EF8199"/>
      <c r="EG8199"/>
      <c r="EH8199"/>
      <c r="EI8199"/>
      <c r="EJ8199"/>
      <c r="EK8199"/>
    </row>
    <row r="8200" spans="1:141" s="116" customFormat="1">
      <c r="A8200" s="136"/>
      <c r="CM8200" s="111"/>
      <c r="CQ8200" s="111"/>
      <c r="EF8200"/>
      <c r="EG8200"/>
      <c r="EH8200"/>
      <c r="EI8200"/>
      <c r="EJ8200"/>
      <c r="EK8200"/>
    </row>
    <row r="8201" spans="1:141" s="116" customFormat="1">
      <c r="A8201" s="136"/>
      <c r="CM8201" s="111"/>
      <c r="CQ8201" s="111"/>
      <c r="EF8201"/>
      <c r="EG8201"/>
      <c r="EH8201"/>
      <c r="EI8201"/>
      <c r="EJ8201"/>
      <c r="EK8201"/>
    </row>
    <row r="8202" spans="1:141" s="116" customFormat="1">
      <c r="A8202" s="136"/>
      <c r="CM8202" s="111"/>
      <c r="CQ8202" s="111"/>
      <c r="EF8202"/>
      <c r="EG8202"/>
      <c r="EH8202"/>
      <c r="EI8202"/>
      <c r="EJ8202"/>
      <c r="EK8202"/>
    </row>
    <row r="8203" spans="1:141" s="116" customFormat="1">
      <c r="A8203" s="136"/>
      <c r="CM8203" s="111"/>
      <c r="CQ8203" s="111"/>
      <c r="EF8203"/>
      <c r="EG8203"/>
      <c r="EH8203"/>
      <c r="EI8203"/>
      <c r="EJ8203"/>
      <c r="EK8203"/>
    </row>
    <row r="8204" spans="1:141" s="116" customFormat="1">
      <c r="A8204" s="136"/>
      <c r="CM8204" s="111"/>
      <c r="CQ8204" s="111"/>
      <c r="EF8204"/>
      <c r="EG8204"/>
      <c r="EH8204"/>
      <c r="EI8204"/>
      <c r="EJ8204"/>
      <c r="EK8204"/>
    </row>
    <row r="8205" spans="1:141" s="116" customFormat="1">
      <c r="A8205" s="136"/>
      <c r="CM8205" s="111"/>
      <c r="CQ8205" s="111"/>
      <c r="EF8205"/>
      <c r="EG8205"/>
      <c r="EH8205"/>
      <c r="EI8205"/>
      <c r="EJ8205"/>
      <c r="EK8205"/>
    </row>
    <row r="8206" spans="1:141" s="116" customFormat="1">
      <c r="A8206" s="136"/>
      <c r="CM8206" s="111"/>
      <c r="CQ8206" s="111"/>
      <c r="EF8206"/>
      <c r="EG8206"/>
      <c r="EH8206"/>
      <c r="EI8206"/>
      <c r="EJ8206"/>
      <c r="EK8206"/>
    </row>
    <row r="8207" spans="1:141" s="116" customFormat="1">
      <c r="A8207" s="136"/>
      <c r="CM8207" s="111"/>
      <c r="CQ8207" s="111"/>
      <c r="EF8207"/>
      <c r="EG8207"/>
      <c r="EH8207"/>
      <c r="EI8207"/>
      <c r="EJ8207"/>
      <c r="EK8207"/>
    </row>
    <row r="8208" spans="1:141" s="116" customFormat="1">
      <c r="A8208" s="136"/>
      <c r="CM8208" s="111"/>
      <c r="CQ8208" s="111"/>
      <c r="EF8208"/>
      <c r="EG8208"/>
      <c r="EH8208"/>
      <c r="EI8208"/>
      <c r="EJ8208"/>
      <c r="EK8208"/>
    </row>
    <row r="8209" spans="1:141" s="116" customFormat="1">
      <c r="A8209" s="136"/>
      <c r="CM8209" s="111"/>
      <c r="CQ8209" s="111"/>
      <c r="EF8209"/>
      <c r="EG8209"/>
      <c r="EH8209"/>
      <c r="EI8209"/>
      <c r="EJ8209"/>
      <c r="EK8209"/>
    </row>
    <row r="8210" spans="1:141" s="116" customFormat="1">
      <c r="A8210" s="136"/>
      <c r="CM8210" s="111"/>
      <c r="CQ8210" s="111"/>
      <c r="EF8210"/>
      <c r="EG8210"/>
      <c r="EH8210"/>
      <c r="EI8210"/>
      <c r="EJ8210"/>
      <c r="EK8210"/>
    </row>
    <row r="8211" spans="1:141" s="116" customFormat="1">
      <c r="A8211" s="136"/>
      <c r="CM8211" s="111"/>
      <c r="CQ8211" s="111"/>
      <c r="EF8211"/>
      <c r="EG8211"/>
      <c r="EH8211"/>
      <c r="EI8211"/>
      <c r="EJ8211"/>
      <c r="EK8211"/>
    </row>
    <row r="8212" spans="1:141" s="116" customFormat="1">
      <c r="A8212" s="136"/>
      <c r="CM8212" s="111"/>
      <c r="CQ8212" s="111"/>
      <c r="EF8212"/>
      <c r="EG8212"/>
      <c r="EH8212"/>
      <c r="EI8212"/>
      <c r="EJ8212"/>
      <c r="EK8212"/>
    </row>
    <row r="8213" spans="1:141" s="116" customFormat="1">
      <c r="A8213" s="136"/>
      <c r="CM8213" s="111"/>
      <c r="CQ8213" s="111"/>
      <c r="EF8213"/>
      <c r="EG8213"/>
      <c r="EH8213"/>
      <c r="EI8213"/>
      <c r="EJ8213"/>
      <c r="EK8213"/>
    </row>
    <row r="8214" spans="1:141" s="116" customFormat="1">
      <c r="A8214" s="136"/>
      <c r="CM8214" s="111"/>
      <c r="CQ8214" s="111"/>
      <c r="EF8214"/>
      <c r="EG8214"/>
      <c r="EH8214"/>
      <c r="EI8214"/>
      <c r="EJ8214"/>
      <c r="EK8214"/>
    </row>
    <row r="8215" spans="1:141" s="116" customFormat="1">
      <c r="A8215" s="136"/>
      <c r="CM8215" s="111"/>
      <c r="CQ8215" s="111"/>
      <c r="EF8215"/>
      <c r="EG8215"/>
      <c r="EH8215"/>
      <c r="EI8215"/>
      <c r="EJ8215"/>
      <c r="EK8215"/>
    </row>
    <row r="8216" spans="1:141" s="116" customFormat="1">
      <c r="A8216" s="136"/>
      <c r="CM8216" s="111"/>
      <c r="CQ8216" s="111"/>
      <c r="EF8216"/>
      <c r="EG8216"/>
      <c r="EH8216"/>
      <c r="EI8216"/>
      <c r="EJ8216"/>
      <c r="EK8216"/>
    </row>
    <row r="8217" spans="1:141" s="116" customFormat="1">
      <c r="A8217" s="136"/>
      <c r="CM8217" s="111"/>
      <c r="CQ8217" s="111"/>
      <c r="EF8217"/>
      <c r="EG8217"/>
      <c r="EH8217"/>
      <c r="EI8217"/>
      <c r="EJ8217"/>
      <c r="EK8217"/>
    </row>
    <row r="8218" spans="1:141" s="116" customFormat="1">
      <c r="A8218" s="136"/>
      <c r="CM8218" s="111"/>
      <c r="CQ8218" s="111"/>
      <c r="EF8218"/>
      <c r="EG8218"/>
      <c r="EH8218"/>
      <c r="EI8218"/>
      <c r="EJ8218"/>
      <c r="EK8218"/>
    </row>
    <row r="8219" spans="1:141" s="116" customFormat="1">
      <c r="A8219" s="136"/>
      <c r="CM8219" s="111"/>
      <c r="CQ8219" s="111"/>
      <c r="EF8219"/>
      <c r="EG8219"/>
      <c r="EH8219"/>
      <c r="EI8219"/>
      <c r="EJ8219"/>
      <c r="EK8219"/>
    </row>
    <row r="8220" spans="1:141" s="116" customFormat="1">
      <c r="A8220" s="136"/>
      <c r="CM8220" s="111"/>
      <c r="CQ8220" s="111"/>
      <c r="EF8220"/>
      <c r="EG8220"/>
      <c r="EH8220"/>
      <c r="EI8220"/>
      <c r="EJ8220"/>
      <c r="EK8220"/>
    </row>
    <row r="8221" spans="1:141" s="116" customFormat="1">
      <c r="A8221" s="136"/>
      <c r="CM8221" s="111"/>
      <c r="CQ8221" s="111"/>
      <c r="EF8221"/>
      <c r="EG8221"/>
      <c r="EH8221"/>
      <c r="EI8221"/>
      <c r="EJ8221"/>
      <c r="EK8221"/>
    </row>
    <row r="8222" spans="1:141" s="116" customFormat="1">
      <c r="A8222" s="136"/>
      <c r="CM8222" s="111"/>
      <c r="CQ8222" s="111"/>
      <c r="EF8222"/>
      <c r="EG8222"/>
      <c r="EH8222"/>
      <c r="EI8222"/>
      <c r="EJ8222"/>
      <c r="EK8222"/>
    </row>
    <row r="8223" spans="1:141" s="116" customFormat="1">
      <c r="A8223" s="136"/>
      <c r="CM8223" s="111"/>
      <c r="CQ8223" s="111"/>
      <c r="EF8223"/>
      <c r="EG8223"/>
      <c r="EH8223"/>
      <c r="EI8223"/>
      <c r="EJ8223"/>
      <c r="EK8223"/>
    </row>
    <row r="8224" spans="1:141" s="116" customFormat="1">
      <c r="A8224" s="136"/>
      <c r="CM8224" s="111"/>
      <c r="CQ8224" s="111"/>
      <c r="EF8224"/>
      <c r="EG8224"/>
      <c r="EH8224"/>
      <c r="EI8224"/>
      <c r="EJ8224"/>
      <c r="EK8224"/>
    </row>
    <row r="8225" spans="1:141" s="116" customFormat="1">
      <c r="A8225" s="136"/>
      <c r="CM8225" s="111"/>
      <c r="CQ8225" s="111"/>
      <c r="EF8225"/>
      <c r="EG8225"/>
      <c r="EH8225"/>
      <c r="EI8225"/>
      <c r="EJ8225"/>
      <c r="EK8225"/>
    </row>
    <row r="8226" spans="1:141" s="116" customFormat="1">
      <c r="A8226" s="136"/>
      <c r="CM8226" s="111"/>
      <c r="CQ8226" s="111"/>
      <c r="EF8226"/>
      <c r="EG8226"/>
      <c r="EH8226"/>
      <c r="EI8226"/>
      <c r="EJ8226"/>
      <c r="EK8226"/>
    </row>
    <row r="8227" spans="1:141" s="116" customFormat="1">
      <c r="A8227" s="136"/>
      <c r="CM8227" s="111"/>
      <c r="CQ8227" s="111"/>
      <c r="EF8227"/>
      <c r="EG8227"/>
      <c r="EH8227"/>
      <c r="EI8227"/>
      <c r="EJ8227"/>
      <c r="EK8227"/>
    </row>
    <row r="8228" spans="1:141" s="116" customFormat="1">
      <c r="A8228" s="136"/>
      <c r="CM8228" s="111"/>
      <c r="CQ8228" s="111"/>
      <c r="EF8228"/>
      <c r="EG8228"/>
      <c r="EH8228"/>
      <c r="EI8228"/>
      <c r="EJ8228"/>
      <c r="EK8228"/>
    </row>
    <row r="8229" spans="1:141" s="116" customFormat="1">
      <c r="A8229" s="136"/>
      <c r="CM8229" s="111"/>
      <c r="CQ8229" s="111"/>
      <c r="EF8229"/>
      <c r="EG8229"/>
      <c r="EH8229"/>
      <c r="EI8229"/>
      <c r="EJ8229"/>
      <c r="EK8229"/>
    </row>
    <row r="8230" spans="1:141" s="116" customFormat="1">
      <c r="A8230" s="136"/>
      <c r="CM8230" s="111"/>
      <c r="CQ8230" s="111"/>
      <c r="EF8230"/>
      <c r="EG8230"/>
      <c r="EH8230"/>
      <c r="EI8230"/>
      <c r="EJ8230"/>
      <c r="EK8230"/>
    </row>
    <row r="8231" spans="1:141" s="116" customFormat="1">
      <c r="A8231" s="136"/>
      <c r="CM8231" s="111"/>
      <c r="CQ8231" s="111"/>
      <c r="EF8231"/>
      <c r="EG8231"/>
      <c r="EH8231"/>
      <c r="EI8231"/>
      <c r="EJ8231"/>
      <c r="EK8231"/>
    </row>
    <row r="8232" spans="1:141" s="116" customFormat="1">
      <c r="A8232" s="136"/>
      <c r="CM8232" s="111"/>
      <c r="CQ8232" s="111"/>
      <c r="EF8232"/>
      <c r="EG8232"/>
      <c r="EH8232"/>
      <c r="EI8232"/>
      <c r="EJ8232"/>
      <c r="EK8232"/>
    </row>
    <row r="8233" spans="1:141" s="116" customFormat="1">
      <c r="A8233" s="136"/>
      <c r="CM8233" s="111"/>
      <c r="CQ8233" s="111"/>
      <c r="EF8233"/>
      <c r="EG8233"/>
      <c r="EH8233"/>
      <c r="EI8233"/>
      <c r="EJ8233"/>
      <c r="EK8233"/>
    </row>
    <row r="8234" spans="1:141" s="116" customFormat="1">
      <c r="A8234" s="136"/>
      <c r="CM8234" s="111"/>
      <c r="CQ8234" s="111"/>
      <c r="EF8234"/>
      <c r="EG8234"/>
      <c r="EH8234"/>
      <c r="EI8234"/>
      <c r="EJ8234"/>
      <c r="EK8234"/>
    </row>
    <row r="8235" spans="1:141" s="116" customFormat="1">
      <c r="A8235" s="136"/>
      <c r="CM8235" s="111"/>
      <c r="CQ8235" s="111"/>
      <c r="EF8235"/>
      <c r="EG8235"/>
      <c r="EH8235"/>
      <c r="EI8235"/>
      <c r="EJ8235"/>
      <c r="EK8235"/>
    </row>
    <row r="8236" spans="1:141" s="116" customFormat="1">
      <c r="A8236" s="136"/>
      <c r="CM8236" s="111"/>
      <c r="CQ8236" s="111"/>
      <c r="EF8236"/>
      <c r="EG8236"/>
      <c r="EH8236"/>
      <c r="EI8236"/>
      <c r="EJ8236"/>
      <c r="EK8236"/>
    </row>
    <row r="8237" spans="1:141" s="116" customFormat="1">
      <c r="A8237" s="136"/>
      <c r="CM8237" s="111"/>
      <c r="CQ8237" s="111"/>
      <c r="EF8237"/>
      <c r="EG8237"/>
      <c r="EH8237"/>
      <c r="EI8237"/>
      <c r="EJ8237"/>
      <c r="EK8237"/>
    </row>
    <row r="8238" spans="1:141" s="116" customFormat="1">
      <c r="A8238" s="136"/>
      <c r="CM8238" s="111"/>
      <c r="CQ8238" s="111"/>
      <c r="EF8238"/>
      <c r="EG8238"/>
      <c r="EH8238"/>
      <c r="EI8238"/>
      <c r="EJ8238"/>
      <c r="EK8238"/>
    </row>
    <row r="8239" spans="1:141" s="116" customFormat="1">
      <c r="A8239" s="136"/>
      <c r="CM8239" s="111"/>
      <c r="CQ8239" s="111"/>
      <c r="EF8239"/>
      <c r="EG8239"/>
      <c r="EH8239"/>
      <c r="EI8239"/>
      <c r="EJ8239"/>
      <c r="EK8239"/>
    </row>
    <row r="8240" spans="1:141" s="116" customFormat="1">
      <c r="A8240" s="136"/>
      <c r="CM8240" s="111"/>
      <c r="CQ8240" s="111"/>
      <c r="EF8240"/>
      <c r="EG8240"/>
      <c r="EH8240"/>
      <c r="EI8240"/>
      <c r="EJ8240"/>
      <c r="EK8240"/>
    </row>
    <row r="8241" spans="1:141" s="116" customFormat="1">
      <c r="A8241" s="136"/>
      <c r="CM8241" s="111"/>
      <c r="CQ8241" s="111"/>
      <c r="EF8241"/>
      <c r="EG8241"/>
      <c r="EH8241"/>
      <c r="EI8241"/>
      <c r="EJ8241"/>
      <c r="EK8241"/>
    </row>
    <row r="8242" spans="1:141" s="116" customFormat="1">
      <c r="A8242" s="136"/>
      <c r="CM8242" s="111"/>
      <c r="CQ8242" s="111"/>
      <c r="EF8242"/>
      <c r="EG8242"/>
      <c r="EH8242"/>
      <c r="EI8242"/>
      <c r="EJ8242"/>
      <c r="EK8242"/>
    </row>
    <row r="8243" spans="1:141" s="116" customFormat="1">
      <c r="A8243" s="136"/>
      <c r="CM8243" s="111"/>
      <c r="CQ8243" s="111"/>
      <c r="EF8243"/>
      <c r="EG8243"/>
      <c r="EH8243"/>
      <c r="EI8243"/>
      <c r="EJ8243"/>
      <c r="EK8243"/>
    </row>
    <row r="8244" spans="1:141" s="116" customFormat="1">
      <c r="A8244" s="136"/>
      <c r="CM8244" s="111"/>
      <c r="CQ8244" s="111"/>
      <c r="EF8244"/>
      <c r="EG8244"/>
      <c r="EH8244"/>
      <c r="EI8244"/>
      <c r="EJ8244"/>
      <c r="EK8244"/>
    </row>
    <row r="8245" spans="1:141" s="116" customFormat="1">
      <c r="A8245" s="136"/>
      <c r="CM8245" s="111"/>
      <c r="CQ8245" s="111"/>
      <c r="EF8245"/>
      <c r="EG8245"/>
      <c r="EH8245"/>
      <c r="EI8245"/>
      <c r="EJ8245"/>
      <c r="EK8245"/>
    </row>
    <row r="8246" spans="1:141" s="116" customFormat="1">
      <c r="A8246" s="136"/>
      <c r="CM8246" s="111"/>
      <c r="CQ8246" s="111"/>
      <c r="EF8246"/>
      <c r="EG8246"/>
      <c r="EH8246"/>
      <c r="EI8246"/>
      <c r="EJ8246"/>
      <c r="EK8246"/>
    </row>
    <row r="8247" spans="1:141" s="116" customFormat="1">
      <c r="A8247" s="136"/>
      <c r="CM8247" s="111"/>
      <c r="CQ8247" s="111"/>
      <c r="EF8247"/>
      <c r="EG8247"/>
      <c r="EH8247"/>
      <c r="EI8247"/>
      <c r="EJ8247"/>
      <c r="EK8247"/>
    </row>
    <row r="8248" spans="1:141" s="116" customFormat="1">
      <c r="A8248" s="136"/>
      <c r="CM8248" s="111"/>
      <c r="CQ8248" s="111"/>
      <c r="EF8248"/>
      <c r="EG8248"/>
      <c r="EH8248"/>
      <c r="EI8248"/>
      <c r="EJ8248"/>
      <c r="EK8248"/>
    </row>
    <row r="8249" spans="1:141" s="116" customFormat="1">
      <c r="A8249" s="136"/>
      <c r="CM8249" s="111"/>
      <c r="CQ8249" s="111"/>
      <c r="EF8249"/>
      <c r="EG8249"/>
      <c r="EH8249"/>
      <c r="EI8249"/>
      <c r="EJ8249"/>
      <c r="EK8249"/>
    </row>
    <row r="8250" spans="1:141" s="116" customFormat="1">
      <c r="A8250" s="136"/>
      <c r="CM8250" s="111"/>
      <c r="CQ8250" s="111"/>
      <c r="EF8250"/>
      <c r="EG8250"/>
      <c r="EH8250"/>
      <c r="EI8250"/>
      <c r="EJ8250"/>
      <c r="EK8250"/>
    </row>
    <row r="8251" spans="1:141" s="116" customFormat="1">
      <c r="A8251" s="136"/>
      <c r="CM8251" s="111"/>
      <c r="CQ8251" s="111"/>
      <c r="EF8251"/>
      <c r="EG8251"/>
      <c r="EH8251"/>
      <c r="EI8251"/>
      <c r="EJ8251"/>
      <c r="EK8251"/>
    </row>
    <row r="8252" spans="1:141" s="116" customFormat="1">
      <c r="A8252" s="136"/>
      <c r="CM8252" s="111"/>
      <c r="CQ8252" s="111"/>
      <c r="EF8252"/>
      <c r="EG8252"/>
      <c r="EH8252"/>
      <c r="EI8252"/>
      <c r="EJ8252"/>
      <c r="EK8252"/>
    </row>
    <row r="8253" spans="1:141" s="116" customFormat="1">
      <c r="A8253" s="136"/>
      <c r="CM8253" s="111"/>
      <c r="CQ8253" s="111"/>
      <c r="EF8253"/>
      <c r="EG8253"/>
      <c r="EH8253"/>
      <c r="EI8253"/>
      <c r="EJ8253"/>
      <c r="EK8253"/>
    </row>
    <row r="8254" spans="1:141" s="116" customFormat="1">
      <c r="A8254" s="136"/>
      <c r="CM8254" s="111"/>
      <c r="CQ8254" s="111"/>
      <c r="EF8254"/>
      <c r="EG8254"/>
      <c r="EH8254"/>
      <c r="EI8254"/>
      <c r="EJ8254"/>
      <c r="EK8254"/>
    </row>
    <row r="8255" spans="1:141" s="116" customFormat="1">
      <c r="A8255" s="136"/>
      <c r="CM8255" s="111"/>
      <c r="CQ8255" s="111"/>
      <c r="EF8255"/>
      <c r="EG8255"/>
      <c r="EH8255"/>
      <c r="EI8255"/>
      <c r="EJ8255"/>
      <c r="EK8255"/>
    </row>
    <row r="8256" spans="1:141" s="116" customFormat="1">
      <c r="A8256" s="136"/>
      <c r="CM8256" s="111"/>
      <c r="CQ8256" s="111"/>
      <c r="EF8256"/>
      <c r="EG8256"/>
      <c r="EH8256"/>
      <c r="EI8256"/>
      <c r="EJ8256"/>
      <c r="EK8256"/>
    </row>
    <row r="8257" spans="1:141" s="116" customFormat="1">
      <c r="A8257" s="136"/>
      <c r="CM8257" s="111"/>
      <c r="CQ8257" s="111"/>
      <c r="EF8257"/>
      <c r="EG8257"/>
      <c r="EH8257"/>
      <c r="EI8257"/>
      <c r="EJ8257"/>
      <c r="EK8257"/>
    </row>
    <row r="8258" spans="1:141" s="116" customFormat="1">
      <c r="A8258" s="136"/>
      <c r="CM8258" s="111"/>
      <c r="CQ8258" s="111"/>
      <c r="EF8258"/>
      <c r="EG8258"/>
      <c r="EH8258"/>
      <c r="EI8258"/>
      <c r="EJ8258"/>
      <c r="EK8258"/>
    </row>
    <row r="8259" spans="1:141" s="116" customFormat="1">
      <c r="A8259" s="136"/>
      <c r="CM8259" s="111"/>
      <c r="CQ8259" s="111"/>
      <c r="EF8259"/>
      <c r="EG8259"/>
      <c r="EH8259"/>
      <c r="EI8259"/>
      <c r="EJ8259"/>
      <c r="EK8259"/>
    </row>
    <row r="8260" spans="1:141" s="116" customFormat="1">
      <c r="A8260" s="136"/>
      <c r="CM8260" s="111"/>
      <c r="CQ8260" s="111"/>
      <c r="EF8260"/>
      <c r="EG8260"/>
      <c r="EH8260"/>
      <c r="EI8260"/>
      <c r="EJ8260"/>
      <c r="EK8260"/>
    </row>
    <row r="8261" spans="1:141" s="116" customFormat="1">
      <c r="A8261" s="136"/>
      <c r="CM8261" s="111"/>
      <c r="CQ8261" s="111"/>
      <c r="EF8261"/>
      <c r="EG8261"/>
      <c r="EH8261"/>
      <c r="EI8261"/>
      <c r="EJ8261"/>
      <c r="EK8261"/>
    </row>
    <row r="8262" spans="1:141" s="116" customFormat="1">
      <c r="A8262" s="136"/>
      <c r="CM8262" s="111"/>
      <c r="CQ8262" s="111"/>
      <c r="EF8262"/>
      <c r="EG8262"/>
      <c r="EH8262"/>
      <c r="EI8262"/>
      <c r="EJ8262"/>
      <c r="EK8262"/>
    </row>
    <row r="8263" spans="1:141" s="116" customFormat="1">
      <c r="A8263" s="136"/>
      <c r="CM8263" s="111"/>
      <c r="CQ8263" s="111"/>
      <c r="EF8263"/>
      <c r="EG8263"/>
      <c r="EH8263"/>
      <c r="EI8263"/>
      <c r="EJ8263"/>
      <c r="EK8263"/>
    </row>
    <row r="8264" spans="1:141" s="116" customFormat="1">
      <c r="A8264" s="136"/>
      <c r="CM8264" s="111"/>
      <c r="CQ8264" s="111"/>
      <c r="EF8264"/>
      <c r="EG8264"/>
      <c r="EH8264"/>
      <c r="EI8264"/>
      <c r="EJ8264"/>
      <c r="EK8264"/>
    </row>
    <row r="8265" spans="1:141" s="116" customFormat="1">
      <c r="A8265" s="136"/>
      <c r="CM8265" s="111"/>
      <c r="CQ8265" s="111"/>
      <c r="EF8265"/>
      <c r="EG8265"/>
      <c r="EH8265"/>
      <c r="EI8265"/>
      <c r="EJ8265"/>
      <c r="EK8265"/>
    </row>
    <row r="8266" spans="1:141" s="116" customFormat="1">
      <c r="A8266" s="136"/>
      <c r="CM8266" s="111"/>
      <c r="CQ8266" s="111"/>
      <c r="EF8266"/>
      <c r="EG8266"/>
      <c r="EH8266"/>
      <c r="EI8266"/>
      <c r="EJ8266"/>
      <c r="EK8266"/>
    </row>
    <row r="8267" spans="1:141" s="116" customFormat="1">
      <c r="A8267" s="136"/>
      <c r="CM8267" s="111"/>
      <c r="CQ8267" s="111"/>
      <c r="EF8267"/>
      <c r="EG8267"/>
      <c r="EH8267"/>
      <c r="EI8267"/>
      <c r="EJ8267"/>
      <c r="EK8267"/>
    </row>
    <row r="8268" spans="1:141" s="116" customFormat="1">
      <c r="A8268" s="136"/>
      <c r="CM8268" s="111"/>
      <c r="CQ8268" s="111"/>
      <c r="EF8268"/>
      <c r="EG8268"/>
      <c r="EH8268"/>
      <c r="EI8268"/>
      <c r="EJ8268"/>
      <c r="EK8268"/>
    </row>
    <row r="8269" spans="1:141" s="116" customFormat="1">
      <c r="A8269" s="136"/>
      <c r="CM8269" s="111"/>
      <c r="CQ8269" s="111"/>
      <c r="EF8269"/>
      <c r="EG8269"/>
      <c r="EH8269"/>
      <c r="EI8269"/>
      <c r="EJ8269"/>
      <c r="EK8269"/>
    </row>
    <row r="8270" spans="1:141" s="116" customFormat="1">
      <c r="A8270" s="136"/>
      <c r="CM8270" s="111"/>
      <c r="CQ8270" s="111"/>
      <c r="EF8270"/>
      <c r="EG8270"/>
      <c r="EH8270"/>
      <c r="EI8270"/>
      <c r="EJ8270"/>
      <c r="EK8270"/>
    </row>
    <row r="8271" spans="1:141" s="116" customFormat="1">
      <c r="A8271" s="136"/>
      <c r="CM8271" s="111"/>
      <c r="CQ8271" s="111"/>
      <c r="EF8271"/>
      <c r="EG8271"/>
      <c r="EH8271"/>
      <c r="EI8271"/>
      <c r="EJ8271"/>
      <c r="EK8271"/>
    </row>
    <row r="8272" spans="1:141" s="116" customFormat="1">
      <c r="A8272" s="136"/>
      <c r="CM8272" s="111"/>
      <c r="CQ8272" s="111"/>
      <c r="EF8272"/>
      <c r="EG8272"/>
      <c r="EH8272"/>
      <c r="EI8272"/>
      <c r="EJ8272"/>
      <c r="EK8272"/>
    </row>
    <row r="8273" spans="1:141" s="116" customFormat="1">
      <c r="A8273" s="136"/>
      <c r="CM8273" s="111"/>
      <c r="CQ8273" s="111"/>
      <c r="EF8273"/>
      <c r="EG8273"/>
      <c r="EH8273"/>
      <c r="EI8273"/>
      <c r="EJ8273"/>
      <c r="EK8273"/>
    </row>
    <row r="8274" spans="1:141" s="116" customFormat="1">
      <c r="A8274" s="136"/>
      <c r="CM8274" s="111"/>
      <c r="CQ8274" s="111"/>
      <c r="EF8274"/>
      <c r="EG8274"/>
      <c r="EH8274"/>
      <c r="EI8274"/>
      <c r="EJ8274"/>
      <c r="EK8274"/>
    </row>
    <row r="8275" spans="1:141" s="116" customFormat="1">
      <c r="A8275" s="136"/>
      <c r="CM8275" s="111"/>
      <c r="CQ8275" s="111"/>
      <c r="EF8275"/>
      <c r="EG8275"/>
      <c r="EH8275"/>
      <c r="EI8275"/>
      <c r="EJ8275"/>
      <c r="EK8275"/>
    </row>
    <row r="8276" spans="1:141" s="116" customFormat="1">
      <c r="A8276" s="136"/>
      <c r="CM8276" s="111"/>
      <c r="CQ8276" s="111"/>
      <c r="EF8276"/>
      <c r="EG8276"/>
      <c r="EH8276"/>
      <c r="EI8276"/>
      <c r="EJ8276"/>
      <c r="EK8276"/>
    </row>
    <row r="8277" spans="1:141" s="116" customFormat="1">
      <c r="A8277" s="136"/>
      <c r="CM8277" s="111"/>
      <c r="CQ8277" s="111"/>
      <c r="EF8277"/>
      <c r="EG8277"/>
      <c r="EH8277"/>
      <c r="EI8277"/>
      <c r="EJ8277"/>
      <c r="EK8277"/>
    </row>
    <row r="8278" spans="1:141" s="116" customFormat="1">
      <c r="A8278" s="136"/>
      <c r="CM8278" s="111"/>
      <c r="CQ8278" s="111"/>
      <c r="EF8278"/>
      <c r="EG8278"/>
      <c r="EH8278"/>
      <c r="EI8278"/>
      <c r="EJ8278"/>
      <c r="EK8278"/>
    </row>
    <row r="8279" spans="1:141" s="116" customFormat="1">
      <c r="A8279" s="136"/>
      <c r="CM8279" s="111"/>
      <c r="CQ8279" s="111"/>
      <c r="EF8279"/>
      <c r="EG8279"/>
      <c r="EH8279"/>
      <c r="EI8279"/>
      <c r="EJ8279"/>
      <c r="EK8279"/>
    </row>
    <row r="8280" spans="1:141" s="116" customFormat="1">
      <c r="A8280" s="136"/>
      <c r="CM8280" s="111"/>
      <c r="CQ8280" s="111"/>
      <c r="EF8280"/>
      <c r="EG8280"/>
      <c r="EH8280"/>
      <c r="EI8280"/>
      <c r="EJ8280"/>
      <c r="EK8280"/>
    </row>
    <row r="8281" spans="1:141" s="116" customFormat="1">
      <c r="A8281" s="136"/>
      <c r="CM8281" s="111"/>
      <c r="CQ8281" s="111"/>
      <c r="EF8281"/>
      <c r="EG8281"/>
      <c r="EH8281"/>
      <c r="EI8281"/>
      <c r="EJ8281"/>
      <c r="EK8281"/>
    </row>
    <row r="8282" spans="1:141" s="116" customFormat="1">
      <c r="A8282" s="136"/>
      <c r="CM8282" s="111"/>
      <c r="CQ8282" s="111"/>
      <c r="EF8282"/>
      <c r="EG8282"/>
      <c r="EH8282"/>
      <c r="EI8282"/>
      <c r="EJ8282"/>
      <c r="EK8282"/>
    </row>
    <row r="8283" spans="1:141" s="116" customFormat="1">
      <c r="A8283" s="136"/>
      <c r="CM8283" s="111"/>
      <c r="CQ8283" s="111"/>
      <c r="EF8283"/>
      <c r="EG8283"/>
      <c r="EH8283"/>
      <c r="EI8283"/>
      <c r="EJ8283"/>
      <c r="EK8283"/>
    </row>
    <row r="8284" spans="1:141" s="116" customFormat="1">
      <c r="A8284" s="136"/>
      <c r="CM8284" s="111"/>
      <c r="CQ8284" s="111"/>
      <c r="EF8284"/>
      <c r="EG8284"/>
      <c r="EH8284"/>
      <c r="EI8284"/>
      <c r="EJ8284"/>
      <c r="EK8284"/>
    </row>
    <row r="8285" spans="1:141" s="116" customFormat="1">
      <c r="A8285" s="136"/>
      <c r="CM8285" s="111"/>
      <c r="CQ8285" s="111"/>
      <c r="EF8285"/>
      <c r="EG8285"/>
      <c r="EH8285"/>
      <c r="EI8285"/>
      <c r="EJ8285"/>
      <c r="EK8285"/>
    </row>
    <row r="8286" spans="1:141" s="116" customFormat="1">
      <c r="A8286" s="136"/>
      <c r="CM8286" s="111"/>
      <c r="CQ8286" s="111"/>
      <c r="EF8286"/>
      <c r="EG8286"/>
      <c r="EH8286"/>
      <c r="EI8286"/>
      <c r="EJ8286"/>
      <c r="EK8286"/>
    </row>
    <row r="8287" spans="1:141" s="116" customFormat="1">
      <c r="A8287" s="136"/>
      <c r="CM8287" s="111"/>
      <c r="CQ8287" s="111"/>
      <c r="EF8287"/>
      <c r="EG8287"/>
      <c r="EH8287"/>
      <c r="EI8287"/>
      <c r="EJ8287"/>
      <c r="EK8287"/>
    </row>
    <row r="8288" spans="1:141" s="116" customFormat="1">
      <c r="A8288" s="136"/>
      <c r="CM8288" s="111"/>
      <c r="CQ8288" s="111"/>
      <c r="EF8288"/>
      <c r="EG8288"/>
      <c r="EH8288"/>
      <c r="EI8288"/>
      <c r="EJ8288"/>
      <c r="EK8288"/>
    </row>
    <row r="8289" spans="1:141" s="116" customFormat="1">
      <c r="A8289" s="136"/>
      <c r="CM8289" s="111"/>
      <c r="CQ8289" s="111"/>
      <c r="EF8289"/>
      <c r="EG8289"/>
      <c r="EH8289"/>
      <c r="EI8289"/>
      <c r="EJ8289"/>
      <c r="EK8289"/>
    </row>
    <row r="8290" spans="1:141" s="116" customFormat="1">
      <c r="A8290" s="136"/>
      <c r="CM8290" s="111"/>
      <c r="CQ8290" s="111"/>
      <c r="EF8290"/>
      <c r="EG8290"/>
      <c r="EH8290"/>
      <c r="EI8290"/>
      <c r="EJ8290"/>
      <c r="EK8290"/>
    </row>
    <row r="8291" spans="1:141" s="116" customFormat="1">
      <c r="A8291" s="136"/>
      <c r="CM8291" s="111"/>
      <c r="CQ8291" s="111"/>
      <c r="EF8291"/>
      <c r="EG8291"/>
      <c r="EH8291"/>
      <c r="EI8291"/>
      <c r="EJ8291"/>
      <c r="EK8291"/>
    </row>
    <row r="8292" spans="1:141" s="116" customFormat="1">
      <c r="A8292" s="136"/>
      <c r="CM8292" s="111"/>
      <c r="CQ8292" s="111"/>
      <c r="EF8292"/>
      <c r="EG8292"/>
      <c r="EH8292"/>
      <c r="EI8292"/>
      <c r="EJ8292"/>
      <c r="EK8292"/>
    </row>
    <row r="8293" spans="1:141" s="116" customFormat="1">
      <c r="A8293" s="136"/>
      <c r="CM8293" s="111"/>
      <c r="CQ8293" s="111"/>
      <c r="EF8293"/>
      <c r="EG8293"/>
      <c r="EH8293"/>
      <c r="EI8293"/>
      <c r="EJ8293"/>
      <c r="EK8293"/>
    </row>
    <row r="8294" spans="1:141" s="116" customFormat="1">
      <c r="A8294" s="136"/>
      <c r="CM8294" s="111"/>
      <c r="CQ8294" s="111"/>
      <c r="EF8294"/>
      <c r="EG8294"/>
      <c r="EH8294"/>
      <c r="EI8294"/>
      <c r="EJ8294"/>
      <c r="EK8294"/>
    </row>
    <row r="8295" spans="1:141" s="116" customFormat="1">
      <c r="A8295" s="136"/>
      <c r="CM8295" s="111"/>
      <c r="CQ8295" s="111"/>
      <c r="EF8295"/>
      <c r="EG8295"/>
      <c r="EH8295"/>
      <c r="EI8295"/>
      <c r="EJ8295"/>
      <c r="EK8295"/>
    </row>
    <row r="8296" spans="1:141" s="116" customFormat="1">
      <c r="A8296" s="136"/>
      <c r="CM8296" s="111"/>
      <c r="CQ8296" s="111"/>
      <c r="EF8296"/>
      <c r="EG8296"/>
      <c r="EH8296"/>
      <c r="EI8296"/>
      <c r="EJ8296"/>
      <c r="EK8296"/>
    </row>
    <row r="8297" spans="1:141" s="116" customFormat="1">
      <c r="A8297" s="136"/>
      <c r="CM8297" s="111"/>
      <c r="CQ8297" s="111"/>
      <c r="EF8297"/>
      <c r="EG8297"/>
      <c r="EH8297"/>
      <c r="EI8297"/>
      <c r="EJ8297"/>
      <c r="EK8297"/>
    </row>
    <row r="8298" spans="1:141" s="116" customFormat="1">
      <c r="A8298" s="136"/>
      <c r="CM8298" s="111"/>
      <c r="CQ8298" s="111"/>
      <c r="EF8298"/>
      <c r="EG8298"/>
      <c r="EH8298"/>
      <c r="EI8298"/>
      <c r="EJ8298"/>
      <c r="EK8298"/>
    </row>
    <row r="8299" spans="1:141" s="116" customFormat="1">
      <c r="A8299" s="136"/>
      <c r="CM8299" s="111"/>
      <c r="CQ8299" s="111"/>
      <c r="EF8299"/>
      <c r="EG8299"/>
      <c r="EH8299"/>
      <c r="EI8299"/>
      <c r="EJ8299"/>
      <c r="EK8299"/>
    </row>
    <row r="8300" spans="1:141" s="116" customFormat="1">
      <c r="A8300" s="136"/>
      <c r="CM8300" s="111"/>
      <c r="CQ8300" s="111"/>
      <c r="EF8300"/>
      <c r="EG8300"/>
      <c r="EH8300"/>
      <c r="EI8300"/>
      <c r="EJ8300"/>
      <c r="EK8300"/>
    </row>
    <row r="8301" spans="1:141" s="116" customFormat="1">
      <c r="A8301" s="136"/>
      <c r="CM8301" s="111"/>
      <c r="CQ8301" s="111"/>
      <c r="EF8301"/>
      <c r="EG8301"/>
      <c r="EH8301"/>
      <c r="EI8301"/>
      <c r="EJ8301"/>
      <c r="EK8301"/>
    </row>
    <row r="8302" spans="1:141" s="116" customFormat="1">
      <c r="A8302" s="136"/>
      <c r="CM8302" s="111"/>
      <c r="CQ8302" s="111"/>
      <c r="EF8302"/>
      <c r="EG8302"/>
      <c r="EH8302"/>
      <c r="EI8302"/>
      <c r="EJ8302"/>
      <c r="EK8302"/>
    </row>
    <row r="8303" spans="1:141" s="116" customFormat="1">
      <c r="A8303" s="136"/>
      <c r="CM8303" s="111"/>
      <c r="CQ8303" s="111"/>
      <c r="EF8303"/>
      <c r="EG8303"/>
      <c r="EH8303"/>
      <c r="EI8303"/>
      <c r="EJ8303"/>
      <c r="EK8303"/>
    </row>
    <row r="8304" spans="1:141" s="116" customFormat="1">
      <c r="A8304" s="136"/>
      <c r="CM8304" s="111"/>
      <c r="CQ8304" s="111"/>
      <c r="EF8304"/>
      <c r="EG8304"/>
      <c r="EH8304"/>
      <c r="EI8304"/>
      <c r="EJ8304"/>
      <c r="EK8304"/>
    </row>
    <row r="8305" spans="1:141" s="116" customFormat="1">
      <c r="A8305" s="136"/>
      <c r="CM8305" s="111"/>
      <c r="CQ8305" s="111"/>
      <c r="EF8305"/>
      <c r="EG8305"/>
      <c r="EH8305"/>
      <c r="EI8305"/>
      <c r="EJ8305"/>
      <c r="EK8305"/>
    </row>
    <row r="8306" spans="1:141" s="116" customFormat="1">
      <c r="A8306" s="136"/>
      <c r="CM8306" s="111"/>
      <c r="CQ8306" s="111"/>
      <c r="EF8306"/>
      <c r="EG8306"/>
      <c r="EH8306"/>
      <c r="EI8306"/>
      <c r="EJ8306"/>
      <c r="EK8306"/>
    </row>
    <row r="8307" spans="1:141" s="116" customFormat="1">
      <c r="A8307" s="136"/>
      <c r="CM8307" s="111"/>
      <c r="CQ8307" s="111"/>
      <c r="EF8307"/>
      <c r="EG8307"/>
      <c r="EH8307"/>
      <c r="EI8307"/>
      <c r="EJ8307"/>
      <c r="EK8307"/>
    </row>
    <row r="8308" spans="1:141" s="116" customFormat="1">
      <c r="A8308" s="136"/>
      <c r="CM8308" s="111"/>
      <c r="CQ8308" s="111"/>
      <c r="EF8308"/>
      <c r="EG8308"/>
      <c r="EH8308"/>
      <c r="EI8308"/>
      <c r="EJ8308"/>
      <c r="EK8308"/>
    </row>
    <row r="8309" spans="1:141" s="116" customFormat="1">
      <c r="A8309" s="136"/>
      <c r="CM8309" s="111"/>
      <c r="CQ8309" s="111"/>
      <c r="EF8309"/>
      <c r="EG8309"/>
      <c r="EH8309"/>
      <c r="EI8309"/>
      <c r="EJ8309"/>
      <c r="EK8309"/>
    </row>
    <row r="8310" spans="1:141" s="116" customFormat="1">
      <c r="A8310" s="136"/>
      <c r="CM8310" s="111"/>
      <c r="CQ8310" s="111"/>
      <c r="EF8310"/>
      <c r="EG8310"/>
      <c r="EH8310"/>
      <c r="EI8310"/>
      <c r="EJ8310"/>
      <c r="EK8310"/>
    </row>
    <row r="8311" spans="1:141" s="116" customFormat="1">
      <c r="A8311" s="136"/>
      <c r="CM8311" s="111"/>
      <c r="CQ8311" s="111"/>
      <c r="EF8311"/>
      <c r="EG8311"/>
      <c r="EH8311"/>
      <c r="EI8311"/>
      <c r="EJ8311"/>
      <c r="EK8311"/>
    </row>
    <row r="8312" spans="1:141" s="116" customFormat="1">
      <c r="A8312" s="136"/>
      <c r="CM8312" s="111"/>
      <c r="CQ8312" s="111"/>
      <c r="EF8312"/>
      <c r="EG8312"/>
      <c r="EH8312"/>
      <c r="EI8312"/>
      <c r="EJ8312"/>
      <c r="EK8312"/>
    </row>
    <row r="8313" spans="1:141" s="116" customFormat="1">
      <c r="A8313" s="136"/>
      <c r="CM8313" s="111"/>
      <c r="CQ8313" s="111"/>
      <c r="EF8313"/>
      <c r="EG8313"/>
      <c r="EH8313"/>
      <c r="EI8313"/>
      <c r="EJ8313"/>
      <c r="EK8313"/>
    </row>
    <row r="8314" spans="1:141" s="116" customFormat="1">
      <c r="A8314" s="136"/>
      <c r="CM8314" s="111"/>
      <c r="CQ8314" s="111"/>
      <c r="EF8314"/>
      <c r="EG8314"/>
      <c r="EH8314"/>
      <c r="EI8314"/>
      <c r="EJ8314"/>
      <c r="EK8314"/>
    </row>
    <row r="8315" spans="1:141" s="116" customFormat="1">
      <c r="A8315" s="136"/>
      <c r="CM8315" s="111"/>
      <c r="CQ8315" s="111"/>
      <c r="EF8315"/>
      <c r="EG8315"/>
      <c r="EH8315"/>
      <c r="EI8315"/>
      <c r="EJ8315"/>
      <c r="EK8315"/>
    </row>
    <row r="8316" spans="1:141" s="116" customFormat="1">
      <c r="A8316" s="136"/>
      <c r="CM8316" s="111"/>
      <c r="CQ8316" s="111"/>
      <c r="EF8316"/>
      <c r="EG8316"/>
      <c r="EH8316"/>
      <c r="EI8316"/>
      <c r="EJ8316"/>
      <c r="EK8316"/>
    </row>
    <row r="8317" spans="1:141" s="116" customFormat="1">
      <c r="A8317" s="136"/>
      <c r="CM8317" s="111"/>
      <c r="CQ8317" s="111"/>
      <c r="EF8317"/>
      <c r="EG8317"/>
      <c r="EH8317"/>
      <c r="EI8317"/>
      <c r="EJ8317"/>
      <c r="EK8317"/>
    </row>
    <row r="8318" spans="1:141" s="116" customFormat="1">
      <c r="A8318" s="136"/>
      <c r="CM8318" s="111"/>
      <c r="CQ8318" s="111"/>
      <c r="EF8318"/>
      <c r="EG8318"/>
      <c r="EH8318"/>
      <c r="EI8318"/>
      <c r="EJ8318"/>
      <c r="EK8318"/>
    </row>
    <row r="8319" spans="1:141" s="116" customFormat="1">
      <c r="A8319" s="136"/>
      <c r="CM8319" s="111"/>
      <c r="CQ8319" s="111"/>
      <c r="EF8319"/>
      <c r="EG8319"/>
      <c r="EH8319"/>
      <c r="EI8319"/>
      <c r="EJ8319"/>
      <c r="EK8319"/>
    </row>
    <row r="8320" spans="1:141" s="116" customFormat="1">
      <c r="A8320" s="136"/>
      <c r="CM8320" s="111"/>
      <c r="CQ8320" s="111"/>
      <c r="EF8320"/>
      <c r="EG8320"/>
      <c r="EH8320"/>
      <c r="EI8320"/>
      <c r="EJ8320"/>
      <c r="EK8320"/>
    </row>
    <row r="8321" spans="1:141" s="116" customFormat="1">
      <c r="A8321" s="136"/>
      <c r="CM8321" s="111"/>
      <c r="CQ8321" s="111"/>
      <c r="EF8321"/>
      <c r="EG8321"/>
      <c r="EH8321"/>
      <c r="EI8321"/>
      <c r="EJ8321"/>
      <c r="EK8321"/>
    </row>
    <row r="8322" spans="1:141" s="116" customFormat="1">
      <c r="A8322" s="136"/>
      <c r="CM8322" s="111"/>
      <c r="CQ8322" s="111"/>
      <c r="EF8322"/>
      <c r="EG8322"/>
      <c r="EH8322"/>
      <c r="EI8322"/>
      <c r="EJ8322"/>
      <c r="EK8322"/>
    </row>
    <row r="8323" spans="1:141" s="116" customFormat="1">
      <c r="A8323" s="136"/>
      <c r="CM8323" s="111"/>
      <c r="CQ8323" s="111"/>
      <c r="EF8323"/>
      <c r="EG8323"/>
      <c r="EH8323"/>
      <c r="EI8323"/>
      <c r="EJ8323"/>
      <c r="EK8323"/>
    </row>
    <row r="8324" spans="1:141" s="116" customFormat="1">
      <c r="A8324" s="136"/>
      <c r="CM8324" s="111"/>
      <c r="CQ8324" s="111"/>
      <c r="EF8324"/>
      <c r="EG8324"/>
      <c r="EH8324"/>
      <c r="EI8324"/>
      <c r="EJ8324"/>
      <c r="EK8324"/>
    </row>
    <row r="8325" spans="1:141" s="116" customFormat="1">
      <c r="A8325" s="136"/>
      <c r="CM8325" s="111"/>
      <c r="CQ8325" s="111"/>
      <c r="EF8325"/>
      <c r="EG8325"/>
      <c r="EH8325"/>
      <c r="EI8325"/>
      <c r="EJ8325"/>
      <c r="EK8325"/>
    </row>
    <row r="8326" spans="1:141" s="116" customFormat="1">
      <c r="A8326" s="136"/>
      <c r="CM8326" s="111"/>
      <c r="CQ8326" s="111"/>
      <c r="EF8326"/>
      <c r="EG8326"/>
      <c r="EH8326"/>
      <c r="EI8326"/>
      <c r="EJ8326"/>
      <c r="EK8326"/>
    </row>
    <row r="8327" spans="1:141" s="116" customFormat="1">
      <c r="A8327" s="136"/>
      <c r="CM8327" s="111"/>
      <c r="CQ8327" s="111"/>
      <c r="EF8327"/>
      <c r="EG8327"/>
      <c r="EH8327"/>
      <c r="EI8327"/>
      <c r="EJ8327"/>
      <c r="EK8327"/>
    </row>
    <row r="8328" spans="1:141" s="116" customFormat="1">
      <c r="A8328" s="136"/>
      <c r="CM8328" s="111"/>
      <c r="CQ8328" s="111"/>
      <c r="EF8328"/>
      <c r="EG8328"/>
      <c r="EH8328"/>
      <c r="EI8328"/>
      <c r="EJ8328"/>
      <c r="EK8328"/>
    </row>
    <row r="8329" spans="1:141" s="116" customFormat="1">
      <c r="A8329" s="136"/>
      <c r="CM8329" s="111"/>
      <c r="CQ8329" s="111"/>
      <c r="EF8329"/>
      <c r="EG8329"/>
      <c r="EH8329"/>
      <c r="EI8329"/>
      <c r="EJ8329"/>
      <c r="EK8329"/>
    </row>
    <row r="8330" spans="1:141" s="116" customFormat="1">
      <c r="A8330" s="136"/>
      <c r="CM8330" s="111"/>
      <c r="CQ8330" s="111"/>
      <c r="EF8330"/>
      <c r="EG8330"/>
      <c r="EH8330"/>
      <c r="EI8330"/>
      <c r="EJ8330"/>
      <c r="EK8330"/>
    </row>
    <row r="8331" spans="1:141" s="116" customFormat="1">
      <c r="A8331" s="136"/>
      <c r="CM8331" s="111"/>
      <c r="CQ8331" s="111"/>
      <c r="EF8331"/>
      <c r="EG8331"/>
      <c r="EH8331"/>
      <c r="EI8331"/>
      <c r="EJ8331"/>
      <c r="EK8331"/>
    </row>
    <row r="8332" spans="1:141" s="116" customFormat="1">
      <c r="A8332" s="136"/>
      <c r="CM8332" s="111"/>
      <c r="CQ8332" s="111"/>
      <c r="EF8332"/>
      <c r="EG8332"/>
      <c r="EH8332"/>
      <c r="EI8332"/>
      <c r="EJ8332"/>
      <c r="EK8332"/>
    </row>
    <row r="8333" spans="1:141" s="116" customFormat="1">
      <c r="A8333" s="136"/>
      <c r="CM8333" s="111"/>
      <c r="CQ8333" s="111"/>
      <c r="EF8333"/>
      <c r="EG8333"/>
      <c r="EH8333"/>
      <c r="EI8333"/>
      <c r="EJ8333"/>
      <c r="EK8333"/>
    </row>
    <row r="8334" spans="1:141" s="116" customFormat="1">
      <c r="A8334" s="136"/>
      <c r="CM8334" s="111"/>
      <c r="CQ8334" s="111"/>
      <c r="EF8334"/>
      <c r="EG8334"/>
      <c r="EH8334"/>
      <c r="EI8334"/>
      <c r="EJ8334"/>
      <c r="EK8334"/>
    </row>
    <row r="8335" spans="1:141" s="116" customFormat="1">
      <c r="A8335" s="136"/>
      <c r="CM8335" s="111"/>
      <c r="CQ8335" s="111"/>
      <c r="EF8335"/>
      <c r="EG8335"/>
      <c r="EH8335"/>
      <c r="EI8335"/>
      <c r="EJ8335"/>
      <c r="EK8335"/>
    </row>
    <row r="8336" spans="1:141" s="116" customFormat="1">
      <c r="A8336" s="136"/>
      <c r="CM8336" s="111"/>
      <c r="CQ8336" s="111"/>
      <c r="EF8336"/>
      <c r="EG8336"/>
      <c r="EH8336"/>
      <c r="EI8336"/>
      <c r="EJ8336"/>
      <c r="EK8336"/>
    </row>
    <row r="8337" spans="1:141" s="116" customFormat="1">
      <c r="A8337" s="136"/>
      <c r="CM8337" s="111"/>
      <c r="CQ8337" s="111"/>
      <c r="EF8337"/>
      <c r="EG8337"/>
      <c r="EH8337"/>
      <c r="EI8337"/>
      <c r="EJ8337"/>
      <c r="EK8337"/>
    </row>
    <row r="8338" spans="1:141" s="116" customFormat="1">
      <c r="A8338" s="136"/>
      <c r="CM8338" s="111"/>
      <c r="CQ8338" s="111"/>
      <c r="EF8338"/>
      <c r="EG8338"/>
      <c r="EH8338"/>
      <c r="EI8338"/>
      <c r="EJ8338"/>
      <c r="EK8338"/>
    </row>
    <row r="8339" spans="1:141" s="116" customFormat="1">
      <c r="A8339" s="136"/>
      <c r="CM8339" s="111"/>
      <c r="CQ8339" s="111"/>
      <c r="EF8339"/>
      <c r="EG8339"/>
      <c r="EH8339"/>
      <c r="EI8339"/>
      <c r="EJ8339"/>
      <c r="EK8339"/>
    </row>
    <row r="8340" spans="1:141" s="116" customFormat="1">
      <c r="A8340" s="136"/>
      <c r="CM8340" s="111"/>
      <c r="CQ8340" s="111"/>
      <c r="EF8340"/>
      <c r="EG8340"/>
      <c r="EH8340"/>
      <c r="EI8340"/>
      <c r="EJ8340"/>
      <c r="EK8340"/>
    </row>
    <row r="8341" spans="1:141" s="116" customFormat="1">
      <c r="A8341" s="136"/>
      <c r="CM8341" s="111"/>
      <c r="CQ8341" s="111"/>
      <c r="EF8341"/>
      <c r="EG8341"/>
      <c r="EH8341"/>
      <c r="EI8341"/>
      <c r="EJ8341"/>
      <c r="EK8341"/>
    </row>
    <row r="8342" spans="1:141" s="116" customFormat="1">
      <c r="A8342" s="136"/>
      <c r="CM8342" s="111"/>
      <c r="CQ8342" s="111"/>
      <c r="EF8342"/>
      <c r="EG8342"/>
      <c r="EH8342"/>
      <c r="EI8342"/>
      <c r="EJ8342"/>
      <c r="EK8342"/>
    </row>
    <row r="8343" spans="1:141" s="116" customFormat="1">
      <c r="A8343" s="136"/>
      <c r="CM8343" s="111"/>
      <c r="CQ8343" s="111"/>
      <c r="EF8343"/>
      <c r="EG8343"/>
      <c r="EH8343"/>
      <c r="EI8343"/>
      <c r="EJ8343"/>
      <c r="EK8343"/>
    </row>
    <row r="8344" spans="1:141" s="116" customFormat="1">
      <c r="A8344" s="136"/>
      <c r="CM8344" s="111"/>
      <c r="CQ8344" s="111"/>
      <c r="EF8344"/>
      <c r="EG8344"/>
      <c r="EH8344"/>
      <c r="EI8344"/>
      <c r="EJ8344"/>
      <c r="EK8344"/>
    </row>
    <row r="8345" spans="1:141" s="116" customFormat="1">
      <c r="A8345" s="136"/>
      <c r="CM8345" s="111"/>
      <c r="CQ8345" s="111"/>
      <c r="EF8345"/>
      <c r="EG8345"/>
      <c r="EH8345"/>
      <c r="EI8345"/>
      <c r="EJ8345"/>
      <c r="EK8345"/>
    </row>
    <row r="8346" spans="1:141" s="116" customFormat="1">
      <c r="A8346" s="136"/>
      <c r="CM8346" s="111"/>
      <c r="CQ8346" s="111"/>
      <c r="EF8346"/>
      <c r="EG8346"/>
      <c r="EH8346"/>
      <c r="EI8346"/>
      <c r="EJ8346"/>
      <c r="EK8346"/>
    </row>
    <row r="8347" spans="1:141" s="116" customFormat="1">
      <c r="A8347" s="136"/>
      <c r="CM8347" s="111"/>
      <c r="CQ8347" s="111"/>
      <c r="EF8347"/>
      <c r="EG8347"/>
      <c r="EH8347"/>
      <c r="EI8347"/>
      <c r="EJ8347"/>
      <c r="EK8347"/>
    </row>
    <row r="8348" spans="1:141" s="116" customFormat="1">
      <c r="A8348" s="136"/>
      <c r="CM8348" s="111"/>
      <c r="CQ8348" s="111"/>
      <c r="EF8348"/>
      <c r="EG8348"/>
      <c r="EH8348"/>
      <c r="EI8348"/>
      <c r="EJ8348"/>
      <c r="EK8348"/>
    </row>
    <row r="8349" spans="1:141" s="116" customFormat="1">
      <c r="A8349" s="136"/>
      <c r="CM8349" s="111"/>
      <c r="CQ8349" s="111"/>
      <c r="EF8349"/>
      <c r="EG8349"/>
      <c r="EH8349"/>
      <c r="EI8349"/>
      <c r="EJ8349"/>
      <c r="EK8349"/>
    </row>
    <row r="8350" spans="1:141" s="116" customFormat="1">
      <c r="A8350" s="136"/>
      <c r="CM8350" s="111"/>
      <c r="CQ8350" s="111"/>
      <c r="EF8350"/>
      <c r="EG8350"/>
      <c r="EH8350"/>
      <c r="EI8350"/>
      <c r="EJ8350"/>
      <c r="EK8350"/>
    </row>
    <row r="8351" spans="1:141" s="116" customFormat="1">
      <c r="A8351" s="136"/>
      <c r="CM8351" s="111"/>
      <c r="CQ8351" s="111"/>
      <c r="EF8351"/>
      <c r="EG8351"/>
      <c r="EH8351"/>
      <c r="EI8351"/>
      <c r="EJ8351"/>
      <c r="EK8351"/>
    </row>
    <row r="8352" spans="1:141" s="116" customFormat="1">
      <c r="A8352" s="136"/>
      <c r="CM8352" s="111"/>
      <c r="CQ8352" s="111"/>
      <c r="EF8352"/>
      <c r="EG8352"/>
      <c r="EH8352"/>
      <c r="EI8352"/>
      <c r="EJ8352"/>
      <c r="EK8352"/>
    </row>
    <row r="8353" spans="1:141" s="116" customFormat="1">
      <c r="A8353" s="136"/>
      <c r="CM8353" s="111"/>
      <c r="CQ8353" s="111"/>
      <c r="EF8353"/>
      <c r="EG8353"/>
      <c r="EH8353"/>
      <c r="EI8353"/>
      <c r="EJ8353"/>
      <c r="EK8353"/>
    </row>
    <row r="8354" spans="1:141" s="116" customFormat="1">
      <c r="A8354" s="136"/>
      <c r="CM8354" s="111"/>
      <c r="CQ8354" s="111"/>
      <c r="EF8354"/>
      <c r="EG8354"/>
      <c r="EH8354"/>
      <c r="EI8354"/>
      <c r="EJ8354"/>
      <c r="EK8354"/>
    </row>
    <row r="8355" spans="1:141" s="116" customFormat="1">
      <c r="A8355" s="136"/>
      <c r="CM8355" s="111"/>
      <c r="CQ8355" s="111"/>
      <c r="EF8355"/>
      <c r="EG8355"/>
      <c r="EH8355"/>
      <c r="EI8355"/>
      <c r="EJ8355"/>
      <c r="EK8355"/>
    </row>
    <row r="8356" spans="1:141" s="116" customFormat="1">
      <c r="A8356" s="136"/>
      <c r="CM8356" s="111"/>
      <c r="CQ8356" s="111"/>
      <c r="EF8356"/>
      <c r="EG8356"/>
      <c r="EH8356"/>
      <c r="EI8356"/>
      <c r="EJ8356"/>
      <c r="EK8356"/>
    </row>
    <row r="8357" spans="1:141" s="116" customFormat="1">
      <c r="A8357" s="136"/>
      <c r="CM8357" s="111"/>
      <c r="CQ8357" s="111"/>
      <c r="EF8357"/>
      <c r="EG8357"/>
      <c r="EH8357"/>
      <c r="EI8357"/>
      <c r="EJ8357"/>
      <c r="EK8357"/>
    </row>
    <row r="8358" spans="1:141" s="116" customFormat="1">
      <c r="A8358" s="136"/>
      <c r="CM8358" s="111"/>
      <c r="CQ8358" s="111"/>
      <c r="EF8358"/>
      <c r="EG8358"/>
      <c r="EH8358"/>
      <c r="EI8358"/>
      <c r="EJ8358"/>
      <c r="EK8358"/>
    </row>
    <row r="8359" spans="1:141" s="116" customFormat="1">
      <c r="A8359" s="136"/>
      <c r="CM8359" s="111"/>
      <c r="CQ8359" s="111"/>
      <c r="EF8359"/>
      <c r="EG8359"/>
      <c r="EH8359"/>
      <c r="EI8359"/>
      <c r="EJ8359"/>
      <c r="EK8359"/>
    </row>
    <row r="8360" spans="1:141" s="116" customFormat="1">
      <c r="A8360" s="136"/>
      <c r="CM8360" s="111"/>
      <c r="CQ8360" s="111"/>
      <c r="EF8360"/>
      <c r="EG8360"/>
      <c r="EH8360"/>
      <c r="EI8360"/>
      <c r="EJ8360"/>
      <c r="EK8360"/>
    </row>
    <row r="8361" spans="1:141" s="116" customFormat="1">
      <c r="A8361" s="136"/>
      <c r="CM8361" s="111"/>
      <c r="CQ8361" s="111"/>
      <c r="EF8361"/>
      <c r="EG8361"/>
      <c r="EH8361"/>
      <c r="EI8361"/>
      <c r="EJ8361"/>
      <c r="EK8361"/>
    </row>
    <row r="8362" spans="1:141" s="116" customFormat="1">
      <c r="A8362" s="136"/>
      <c r="CM8362" s="111"/>
      <c r="CQ8362" s="111"/>
      <c r="EF8362"/>
      <c r="EG8362"/>
      <c r="EH8362"/>
      <c r="EI8362"/>
      <c r="EJ8362"/>
      <c r="EK8362"/>
    </row>
    <row r="8363" spans="1:141" s="116" customFormat="1">
      <c r="A8363" s="136"/>
      <c r="CM8363" s="111"/>
      <c r="CQ8363" s="111"/>
      <c r="EF8363"/>
      <c r="EG8363"/>
      <c r="EH8363"/>
      <c r="EI8363"/>
      <c r="EJ8363"/>
      <c r="EK8363"/>
    </row>
    <row r="8364" spans="1:141" s="116" customFormat="1">
      <c r="A8364" s="136"/>
      <c r="CM8364" s="111"/>
      <c r="CQ8364" s="111"/>
      <c r="EF8364"/>
      <c r="EG8364"/>
      <c r="EH8364"/>
      <c r="EI8364"/>
      <c r="EJ8364"/>
      <c r="EK8364"/>
    </row>
    <row r="8365" spans="1:141" s="116" customFormat="1">
      <c r="A8365" s="136"/>
      <c r="CM8365" s="111"/>
      <c r="CQ8365" s="111"/>
      <c r="EF8365"/>
      <c r="EG8365"/>
      <c r="EH8365"/>
      <c r="EI8365"/>
      <c r="EJ8365"/>
      <c r="EK8365"/>
    </row>
    <row r="8366" spans="1:141" s="116" customFormat="1">
      <c r="A8366" s="136"/>
      <c r="CM8366" s="111"/>
      <c r="CQ8366" s="111"/>
      <c r="EF8366"/>
      <c r="EG8366"/>
      <c r="EH8366"/>
      <c r="EI8366"/>
      <c r="EJ8366"/>
      <c r="EK8366"/>
    </row>
    <row r="8367" spans="1:141" s="116" customFormat="1">
      <c r="A8367" s="136"/>
      <c r="CM8367" s="111"/>
      <c r="CQ8367" s="111"/>
      <c r="EF8367"/>
      <c r="EG8367"/>
      <c r="EH8367"/>
      <c r="EI8367"/>
      <c r="EJ8367"/>
      <c r="EK8367"/>
    </row>
    <row r="8368" spans="1:141" s="116" customFormat="1">
      <c r="A8368" s="136"/>
      <c r="CM8368" s="111"/>
      <c r="CQ8368" s="111"/>
      <c r="EF8368"/>
      <c r="EG8368"/>
      <c r="EH8368"/>
      <c r="EI8368"/>
      <c r="EJ8368"/>
      <c r="EK8368"/>
    </row>
    <row r="8369" spans="1:141" s="116" customFormat="1">
      <c r="A8369" s="136"/>
      <c r="CM8369" s="111"/>
      <c r="CQ8369" s="111"/>
      <c r="EF8369"/>
      <c r="EG8369"/>
      <c r="EH8369"/>
      <c r="EI8369"/>
      <c r="EJ8369"/>
      <c r="EK8369"/>
    </row>
    <row r="8370" spans="1:141" s="116" customFormat="1">
      <c r="A8370" s="136"/>
      <c r="CM8370" s="111"/>
      <c r="CQ8370" s="111"/>
      <c r="EF8370"/>
      <c r="EG8370"/>
      <c r="EH8370"/>
      <c r="EI8370"/>
      <c r="EJ8370"/>
      <c r="EK8370"/>
    </row>
    <row r="8371" spans="1:141" s="116" customFormat="1">
      <c r="A8371" s="136"/>
      <c r="CM8371" s="111"/>
      <c r="CQ8371" s="111"/>
      <c r="EF8371"/>
      <c r="EG8371"/>
      <c r="EH8371"/>
      <c r="EI8371"/>
      <c r="EJ8371"/>
      <c r="EK8371"/>
    </row>
    <row r="8372" spans="1:141" s="116" customFormat="1">
      <c r="A8372" s="136"/>
      <c r="CM8372" s="111"/>
      <c r="CQ8372" s="111"/>
      <c r="EF8372"/>
      <c r="EG8372"/>
      <c r="EH8372"/>
      <c r="EI8372"/>
      <c r="EJ8372"/>
      <c r="EK8372"/>
    </row>
    <row r="8373" spans="1:141" s="116" customFormat="1">
      <c r="A8373" s="136"/>
      <c r="CM8373" s="111"/>
      <c r="CQ8373" s="111"/>
      <c r="EF8373"/>
      <c r="EG8373"/>
      <c r="EH8373"/>
      <c r="EI8373"/>
      <c r="EJ8373"/>
      <c r="EK8373"/>
    </row>
    <row r="8374" spans="1:141" s="116" customFormat="1">
      <c r="A8374" s="136"/>
      <c r="CM8374" s="111"/>
      <c r="CQ8374" s="111"/>
      <c r="EF8374"/>
      <c r="EG8374"/>
      <c r="EH8374"/>
      <c r="EI8374"/>
      <c r="EJ8374"/>
      <c r="EK8374"/>
    </row>
    <row r="8375" spans="1:141" s="116" customFormat="1">
      <c r="A8375" s="136"/>
      <c r="CM8375" s="111"/>
      <c r="CQ8375" s="111"/>
      <c r="EF8375"/>
      <c r="EG8375"/>
      <c r="EH8375"/>
      <c r="EI8375"/>
      <c r="EJ8375"/>
      <c r="EK8375"/>
    </row>
    <row r="8376" spans="1:141" s="116" customFormat="1">
      <c r="A8376" s="136"/>
      <c r="CM8376" s="111"/>
      <c r="CQ8376" s="111"/>
      <c r="EF8376"/>
      <c r="EG8376"/>
      <c r="EH8376"/>
      <c r="EI8376"/>
      <c r="EJ8376"/>
      <c r="EK8376"/>
    </row>
    <row r="8377" spans="1:141" s="116" customFormat="1">
      <c r="A8377" s="136"/>
      <c r="CM8377" s="111"/>
      <c r="CQ8377" s="111"/>
      <c r="EF8377"/>
      <c r="EG8377"/>
      <c r="EH8377"/>
      <c r="EI8377"/>
      <c r="EJ8377"/>
      <c r="EK8377"/>
    </row>
    <row r="8378" spans="1:141" s="116" customFormat="1">
      <c r="A8378" s="136"/>
      <c r="CM8378" s="111"/>
      <c r="CQ8378" s="111"/>
      <c r="EF8378"/>
      <c r="EG8378"/>
      <c r="EH8378"/>
      <c r="EI8378"/>
      <c r="EJ8378"/>
      <c r="EK8378"/>
    </row>
    <row r="8379" spans="1:141" s="116" customFormat="1">
      <c r="A8379" s="136"/>
      <c r="CM8379" s="111"/>
      <c r="CQ8379" s="111"/>
      <c r="EF8379"/>
      <c r="EG8379"/>
      <c r="EH8379"/>
      <c r="EI8379"/>
      <c r="EJ8379"/>
      <c r="EK8379"/>
    </row>
    <row r="8380" spans="1:141" s="116" customFormat="1">
      <c r="A8380" s="136"/>
      <c r="CM8380" s="111"/>
      <c r="CQ8380" s="111"/>
      <c r="EF8380"/>
      <c r="EG8380"/>
      <c r="EH8380"/>
      <c r="EI8380"/>
      <c r="EJ8380"/>
      <c r="EK8380"/>
    </row>
    <row r="8381" spans="1:141" s="116" customFormat="1">
      <c r="A8381" s="136"/>
      <c r="CM8381" s="111"/>
      <c r="CQ8381" s="111"/>
      <c r="EF8381"/>
      <c r="EG8381"/>
      <c r="EH8381"/>
      <c r="EI8381"/>
      <c r="EJ8381"/>
      <c r="EK8381"/>
    </row>
    <row r="8382" spans="1:141" s="116" customFormat="1">
      <c r="A8382" s="136"/>
      <c r="CM8382" s="111"/>
      <c r="CQ8382" s="111"/>
      <c r="EF8382"/>
      <c r="EG8382"/>
      <c r="EH8382"/>
      <c r="EI8382"/>
      <c r="EJ8382"/>
      <c r="EK8382"/>
    </row>
    <row r="8383" spans="1:141" s="116" customFormat="1">
      <c r="A8383" s="136"/>
      <c r="CM8383" s="111"/>
      <c r="CQ8383" s="111"/>
      <c r="EF8383"/>
      <c r="EG8383"/>
      <c r="EH8383"/>
      <c r="EI8383"/>
      <c r="EJ8383"/>
      <c r="EK8383"/>
    </row>
    <row r="8384" spans="1:141" s="116" customFormat="1">
      <c r="A8384" s="136"/>
      <c r="CM8384" s="111"/>
      <c r="CQ8384" s="111"/>
      <c r="EF8384"/>
      <c r="EG8384"/>
      <c r="EH8384"/>
      <c r="EI8384"/>
      <c r="EJ8384"/>
      <c r="EK8384"/>
    </row>
    <row r="8385" spans="1:141" s="116" customFormat="1">
      <c r="A8385" s="136"/>
      <c r="CM8385" s="111"/>
      <c r="CQ8385" s="111"/>
      <c r="EF8385"/>
      <c r="EG8385"/>
      <c r="EH8385"/>
      <c r="EI8385"/>
      <c r="EJ8385"/>
      <c r="EK8385"/>
    </row>
    <row r="8386" spans="1:141" s="116" customFormat="1">
      <c r="A8386" s="136"/>
      <c r="CM8386" s="111"/>
      <c r="CQ8386" s="111"/>
      <c r="EF8386"/>
      <c r="EG8386"/>
      <c r="EH8386"/>
      <c r="EI8386"/>
      <c r="EJ8386"/>
      <c r="EK8386"/>
    </row>
    <row r="8387" spans="1:141" s="116" customFormat="1">
      <c r="A8387" s="136"/>
      <c r="CM8387" s="111"/>
      <c r="CQ8387" s="111"/>
      <c r="EF8387"/>
      <c r="EG8387"/>
      <c r="EH8387"/>
      <c r="EI8387"/>
      <c r="EJ8387"/>
      <c r="EK8387"/>
    </row>
    <row r="8388" spans="1:141" s="116" customFormat="1">
      <c r="A8388" s="136"/>
      <c r="CM8388" s="111"/>
      <c r="CQ8388" s="111"/>
      <c r="EF8388"/>
      <c r="EG8388"/>
      <c r="EH8388"/>
      <c r="EI8388"/>
      <c r="EJ8388"/>
      <c r="EK8388"/>
    </row>
    <row r="8389" spans="1:141" s="116" customFormat="1">
      <c r="A8389" s="136"/>
      <c r="CM8389" s="111"/>
      <c r="CQ8389" s="111"/>
      <c r="EF8389"/>
      <c r="EG8389"/>
      <c r="EH8389"/>
      <c r="EI8389"/>
      <c r="EJ8389"/>
      <c r="EK8389"/>
    </row>
    <row r="8390" spans="1:141" s="116" customFormat="1">
      <c r="A8390" s="136"/>
      <c r="CM8390" s="111"/>
      <c r="CQ8390" s="111"/>
      <c r="EF8390"/>
      <c r="EG8390"/>
      <c r="EH8390"/>
      <c r="EI8390"/>
      <c r="EJ8390"/>
      <c r="EK8390"/>
    </row>
    <row r="8391" spans="1:141" s="116" customFormat="1">
      <c r="A8391" s="136"/>
      <c r="CM8391" s="111"/>
      <c r="CQ8391" s="111"/>
      <c r="EF8391"/>
      <c r="EG8391"/>
      <c r="EH8391"/>
      <c r="EI8391"/>
      <c r="EJ8391"/>
      <c r="EK8391"/>
    </row>
    <row r="8392" spans="1:141" s="116" customFormat="1">
      <c r="A8392" s="136"/>
      <c r="CM8392" s="111"/>
      <c r="CQ8392" s="111"/>
      <c r="EF8392"/>
      <c r="EG8392"/>
      <c r="EH8392"/>
      <c r="EI8392"/>
      <c r="EJ8392"/>
      <c r="EK8392"/>
    </row>
    <row r="8393" spans="1:141" s="116" customFormat="1">
      <c r="A8393" s="136"/>
      <c r="CM8393" s="111"/>
      <c r="CQ8393" s="111"/>
      <c r="EF8393"/>
      <c r="EG8393"/>
      <c r="EH8393"/>
      <c r="EI8393"/>
      <c r="EJ8393"/>
      <c r="EK8393"/>
    </row>
    <row r="8394" spans="1:141" s="116" customFormat="1">
      <c r="A8394" s="136"/>
      <c r="CM8394" s="111"/>
      <c r="CQ8394" s="111"/>
      <c r="EF8394"/>
      <c r="EG8394"/>
      <c r="EH8394"/>
      <c r="EI8394"/>
      <c r="EJ8394"/>
      <c r="EK8394"/>
    </row>
    <row r="8395" spans="1:141" s="116" customFormat="1">
      <c r="A8395" s="136"/>
      <c r="CM8395" s="111"/>
      <c r="CQ8395" s="111"/>
      <c r="EF8395"/>
      <c r="EG8395"/>
      <c r="EH8395"/>
      <c r="EI8395"/>
      <c r="EJ8395"/>
      <c r="EK8395"/>
    </row>
    <row r="8396" spans="1:141" s="116" customFormat="1">
      <c r="A8396" s="136"/>
      <c r="CM8396" s="111"/>
      <c r="CQ8396" s="111"/>
      <c r="EF8396"/>
      <c r="EG8396"/>
      <c r="EH8396"/>
      <c r="EI8396"/>
      <c r="EJ8396"/>
      <c r="EK8396"/>
    </row>
    <row r="8397" spans="1:141" s="116" customFormat="1">
      <c r="A8397" s="136"/>
      <c r="CM8397" s="111"/>
      <c r="CQ8397" s="111"/>
      <c r="EF8397"/>
      <c r="EG8397"/>
      <c r="EH8397"/>
      <c r="EI8397"/>
      <c r="EJ8397"/>
      <c r="EK8397"/>
    </row>
    <row r="8398" spans="1:141" s="116" customFormat="1">
      <c r="A8398" s="136"/>
      <c r="CM8398" s="111"/>
      <c r="CQ8398" s="111"/>
      <c r="EF8398"/>
      <c r="EG8398"/>
      <c r="EH8398"/>
      <c r="EI8398"/>
      <c r="EJ8398"/>
      <c r="EK8398"/>
    </row>
    <row r="8399" spans="1:141" s="116" customFormat="1">
      <c r="A8399" s="136"/>
      <c r="CM8399" s="111"/>
      <c r="CQ8399" s="111"/>
      <c r="EF8399"/>
      <c r="EG8399"/>
      <c r="EH8399"/>
      <c r="EI8399"/>
      <c r="EJ8399"/>
      <c r="EK8399"/>
    </row>
    <row r="8400" spans="1:141" s="116" customFormat="1">
      <c r="A8400" s="136"/>
      <c r="CM8400" s="111"/>
      <c r="CQ8400" s="111"/>
      <c r="EF8400"/>
      <c r="EG8400"/>
      <c r="EH8400"/>
      <c r="EI8400"/>
      <c r="EJ8400"/>
      <c r="EK8400"/>
    </row>
    <row r="8401" spans="1:141" s="116" customFormat="1">
      <c r="A8401" s="136"/>
      <c r="CM8401" s="111"/>
      <c r="CQ8401" s="111"/>
      <c r="EF8401"/>
      <c r="EG8401"/>
      <c r="EH8401"/>
      <c r="EI8401"/>
      <c r="EJ8401"/>
      <c r="EK8401"/>
    </row>
    <row r="8402" spans="1:141" s="116" customFormat="1">
      <c r="A8402" s="136"/>
      <c r="CM8402" s="111"/>
      <c r="CQ8402" s="111"/>
      <c r="EF8402"/>
      <c r="EG8402"/>
      <c r="EH8402"/>
      <c r="EI8402"/>
      <c r="EJ8402"/>
      <c r="EK8402"/>
    </row>
    <row r="8403" spans="1:141" s="116" customFormat="1">
      <c r="A8403" s="136"/>
      <c r="CM8403" s="111"/>
      <c r="CQ8403" s="111"/>
      <c r="EF8403"/>
      <c r="EG8403"/>
      <c r="EH8403"/>
      <c r="EI8403"/>
      <c r="EJ8403"/>
      <c r="EK8403"/>
    </row>
    <row r="8404" spans="1:141" s="116" customFormat="1">
      <c r="A8404" s="136"/>
      <c r="CM8404" s="111"/>
      <c r="CQ8404" s="111"/>
      <c r="EF8404"/>
      <c r="EG8404"/>
      <c r="EH8404"/>
      <c r="EI8404"/>
      <c r="EJ8404"/>
      <c r="EK8404"/>
    </row>
    <row r="8405" spans="1:141" s="116" customFormat="1">
      <c r="A8405" s="136"/>
      <c r="CM8405" s="111"/>
      <c r="CQ8405" s="111"/>
      <c r="EF8405"/>
      <c r="EG8405"/>
      <c r="EH8405"/>
      <c r="EI8405"/>
      <c r="EJ8405"/>
      <c r="EK8405"/>
    </row>
    <row r="8406" spans="1:141" s="116" customFormat="1">
      <c r="A8406" s="136"/>
      <c r="CM8406" s="111"/>
      <c r="CQ8406" s="111"/>
      <c r="EF8406"/>
      <c r="EG8406"/>
      <c r="EH8406"/>
      <c r="EI8406"/>
      <c r="EJ8406"/>
      <c r="EK8406"/>
    </row>
    <row r="8407" spans="1:141" s="116" customFormat="1">
      <c r="A8407" s="136"/>
      <c r="CM8407" s="111"/>
      <c r="CQ8407" s="111"/>
      <c r="EF8407"/>
      <c r="EG8407"/>
      <c r="EH8407"/>
      <c r="EI8407"/>
      <c r="EJ8407"/>
      <c r="EK8407"/>
    </row>
    <row r="8408" spans="1:141" s="116" customFormat="1">
      <c r="A8408" s="136"/>
      <c r="CM8408" s="111"/>
      <c r="CQ8408" s="111"/>
      <c r="EF8408"/>
      <c r="EG8408"/>
      <c r="EH8408"/>
      <c r="EI8408"/>
      <c r="EJ8408"/>
      <c r="EK8408"/>
    </row>
    <row r="8409" spans="1:141" s="116" customFormat="1">
      <c r="A8409" s="136"/>
      <c r="CM8409" s="111"/>
      <c r="CQ8409" s="111"/>
      <c r="EF8409"/>
      <c r="EG8409"/>
      <c r="EH8409"/>
      <c r="EI8409"/>
      <c r="EJ8409"/>
      <c r="EK8409"/>
    </row>
    <row r="8410" spans="1:141" s="116" customFormat="1">
      <c r="A8410" s="136"/>
      <c r="CM8410" s="111"/>
      <c r="CQ8410" s="111"/>
      <c r="EF8410"/>
      <c r="EG8410"/>
      <c r="EH8410"/>
      <c r="EI8410"/>
      <c r="EJ8410"/>
      <c r="EK8410"/>
    </row>
    <row r="8411" spans="1:141" s="116" customFormat="1">
      <c r="A8411" s="136"/>
      <c r="CM8411" s="111"/>
      <c r="CQ8411" s="111"/>
      <c r="EF8411"/>
      <c r="EG8411"/>
      <c r="EH8411"/>
      <c r="EI8411"/>
      <c r="EJ8411"/>
      <c r="EK8411"/>
    </row>
    <row r="8412" spans="1:141" s="116" customFormat="1">
      <c r="A8412" s="136"/>
      <c r="CM8412" s="111"/>
      <c r="CQ8412" s="111"/>
      <c r="EF8412"/>
      <c r="EG8412"/>
      <c r="EH8412"/>
      <c r="EI8412"/>
      <c r="EJ8412"/>
      <c r="EK8412"/>
    </row>
    <row r="8413" spans="1:141" s="116" customFormat="1">
      <c r="A8413" s="136"/>
      <c r="CM8413" s="111"/>
      <c r="CQ8413" s="111"/>
      <c r="EF8413"/>
      <c r="EG8413"/>
      <c r="EH8413"/>
      <c r="EI8413"/>
      <c r="EJ8413"/>
      <c r="EK8413"/>
    </row>
    <row r="8414" spans="1:141" s="116" customFormat="1">
      <c r="A8414" s="136"/>
      <c r="CM8414" s="111"/>
      <c r="CQ8414" s="111"/>
      <c r="EF8414"/>
      <c r="EG8414"/>
      <c r="EH8414"/>
      <c r="EI8414"/>
      <c r="EJ8414"/>
      <c r="EK8414"/>
    </row>
    <row r="8415" spans="1:141" s="116" customFormat="1">
      <c r="A8415" s="136"/>
      <c r="CM8415" s="111"/>
      <c r="CQ8415" s="111"/>
      <c r="EF8415"/>
      <c r="EG8415"/>
      <c r="EH8415"/>
      <c r="EI8415"/>
      <c r="EJ8415"/>
      <c r="EK8415"/>
    </row>
    <row r="8416" spans="1:141" s="116" customFormat="1">
      <c r="A8416" s="136"/>
      <c r="CM8416" s="111"/>
      <c r="CQ8416" s="111"/>
      <c r="EF8416"/>
      <c r="EG8416"/>
      <c r="EH8416"/>
      <c r="EI8416"/>
      <c r="EJ8416"/>
      <c r="EK8416"/>
    </row>
    <row r="8417" spans="1:141" s="116" customFormat="1">
      <c r="A8417" s="136"/>
      <c r="CM8417" s="111"/>
      <c r="CQ8417" s="111"/>
      <c r="EF8417"/>
      <c r="EG8417"/>
      <c r="EH8417"/>
      <c r="EI8417"/>
      <c r="EJ8417"/>
      <c r="EK8417"/>
    </row>
    <row r="8418" spans="1:141" s="116" customFormat="1">
      <c r="A8418" s="136"/>
      <c r="CM8418" s="111"/>
      <c r="CQ8418" s="111"/>
      <c r="EF8418"/>
      <c r="EG8418"/>
      <c r="EH8418"/>
      <c r="EI8418"/>
      <c r="EJ8418"/>
      <c r="EK8418"/>
    </row>
    <row r="8419" spans="1:141" s="116" customFormat="1">
      <c r="A8419" s="136"/>
      <c r="CM8419" s="111"/>
      <c r="CQ8419" s="111"/>
      <c r="EF8419"/>
      <c r="EG8419"/>
      <c r="EH8419"/>
      <c r="EI8419"/>
      <c r="EJ8419"/>
      <c r="EK8419"/>
    </row>
    <row r="8420" spans="1:141" s="116" customFormat="1">
      <c r="A8420" s="136"/>
      <c r="CM8420" s="111"/>
      <c r="CQ8420" s="111"/>
      <c r="EF8420"/>
      <c r="EG8420"/>
      <c r="EH8420"/>
      <c r="EI8420"/>
      <c r="EJ8420"/>
      <c r="EK8420"/>
    </row>
    <row r="8421" spans="1:141" s="116" customFormat="1">
      <c r="A8421" s="136"/>
      <c r="CM8421" s="111"/>
      <c r="CQ8421" s="111"/>
      <c r="EF8421"/>
      <c r="EG8421"/>
      <c r="EH8421"/>
      <c r="EI8421"/>
      <c r="EJ8421"/>
      <c r="EK8421"/>
    </row>
    <row r="8422" spans="1:141" s="116" customFormat="1">
      <c r="A8422" s="136"/>
      <c r="CM8422" s="111"/>
      <c r="CQ8422" s="111"/>
      <c r="EF8422"/>
      <c r="EG8422"/>
      <c r="EH8422"/>
      <c r="EI8422"/>
      <c r="EJ8422"/>
      <c r="EK8422"/>
    </row>
    <row r="8423" spans="1:141" s="116" customFormat="1">
      <c r="A8423" s="136"/>
      <c r="CM8423" s="111"/>
      <c r="CQ8423" s="111"/>
      <c r="EF8423"/>
      <c r="EG8423"/>
      <c r="EH8423"/>
      <c r="EI8423"/>
      <c r="EJ8423"/>
      <c r="EK8423"/>
    </row>
    <row r="8424" spans="1:141" s="116" customFormat="1">
      <c r="A8424" s="136"/>
      <c r="CM8424" s="111"/>
      <c r="CQ8424" s="111"/>
      <c r="EF8424"/>
      <c r="EG8424"/>
      <c r="EH8424"/>
      <c r="EI8424"/>
      <c r="EJ8424"/>
      <c r="EK8424"/>
    </row>
    <row r="8425" spans="1:141" s="116" customFormat="1">
      <c r="A8425" s="136"/>
      <c r="CM8425" s="111"/>
      <c r="CQ8425" s="111"/>
      <c r="EF8425"/>
      <c r="EG8425"/>
      <c r="EH8425"/>
      <c r="EI8425"/>
      <c r="EJ8425"/>
      <c r="EK8425"/>
    </row>
    <row r="8426" spans="1:141" s="116" customFormat="1">
      <c r="A8426" s="136"/>
      <c r="CM8426" s="111"/>
      <c r="CQ8426" s="111"/>
      <c r="EF8426"/>
      <c r="EG8426"/>
      <c r="EH8426"/>
      <c r="EI8426"/>
      <c r="EJ8426"/>
      <c r="EK8426"/>
    </row>
    <row r="8427" spans="1:141" s="116" customFormat="1">
      <c r="A8427" s="136"/>
      <c r="CM8427" s="111"/>
      <c r="CQ8427" s="111"/>
      <c r="EF8427"/>
      <c r="EG8427"/>
      <c r="EH8427"/>
      <c r="EI8427"/>
      <c r="EJ8427"/>
      <c r="EK8427"/>
    </row>
    <row r="8428" spans="1:141" s="116" customFormat="1">
      <c r="A8428" s="136"/>
      <c r="CM8428" s="111"/>
      <c r="CQ8428" s="111"/>
      <c r="EF8428"/>
      <c r="EG8428"/>
      <c r="EH8428"/>
      <c r="EI8428"/>
      <c r="EJ8428"/>
      <c r="EK8428"/>
    </row>
    <row r="8429" spans="1:141" s="116" customFormat="1">
      <c r="A8429" s="136"/>
      <c r="CM8429" s="111"/>
      <c r="CQ8429" s="111"/>
      <c r="EF8429"/>
      <c r="EG8429"/>
      <c r="EH8429"/>
      <c r="EI8429"/>
      <c r="EJ8429"/>
      <c r="EK8429"/>
    </row>
    <row r="8430" spans="1:141" s="116" customFormat="1">
      <c r="A8430" s="136"/>
      <c r="CM8430" s="111"/>
      <c r="CQ8430" s="111"/>
      <c r="EF8430"/>
      <c r="EG8430"/>
      <c r="EH8430"/>
      <c r="EI8430"/>
      <c r="EJ8430"/>
      <c r="EK8430"/>
    </row>
    <row r="8431" spans="1:141" s="116" customFormat="1">
      <c r="A8431" s="136"/>
      <c r="CM8431" s="111"/>
      <c r="CQ8431" s="111"/>
      <c r="EF8431"/>
      <c r="EG8431"/>
      <c r="EH8431"/>
      <c r="EI8431"/>
      <c r="EJ8431"/>
      <c r="EK8431"/>
    </row>
    <row r="8432" spans="1:141" s="116" customFormat="1">
      <c r="A8432" s="136"/>
      <c r="CM8432" s="111"/>
      <c r="CQ8432" s="111"/>
      <c r="EF8432"/>
      <c r="EG8432"/>
      <c r="EH8432"/>
      <c r="EI8432"/>
      <c r="EJ8432"/>
      <c r="EK8432"/>
    </row>
    <row r="8433" spans="1:141" s="116" customFormat="1">
      <c r="A8433" s="136"/>
      <c r="CM8433" s="111"/>
      <c r="CQ8433" s="111"/>
      <c r="EF8433"/>
      <c r="EG8433"/>
      <c r="EH8433"/>
      <c r="EI8433"/>
      <c r="EJ8433"/>
      <c r="EK8433"/>
    </row>
    <row r="8434" spans="1:141" s="116" customFormat="1">
      <c r="A8434" s="136"/>
      <c r="CM8434" s="111"/>
      <c r="CQ8434" s="111"/>
      <c r="EF8434"/>
      <c r="EG8434"/>
      <c r="EH8434"/>
      <c r="EI8434"/>
      <c r="EJ8434"/>
      <c r="EK8434"/>
    </row>
    <row r="8435" spans="1:141" s="116" customFormat="1">
      <c r="A8435" s="136"/>
      <c r="CM8435" s="111"/>
      <c r="CQ8435" s="111"/>
      <c r="EF8435"/>
      <c r="EG8435"/>
      <c r="EH8435"/>
      <c r="EI8435"/>
      <c r="EJ8435"/>
      <c r="EK8435"/>
    </row>
    <row r="8436" spans="1:141" s="116" customFormat="1">
      <c r="A8436" s="136"/>
      <c r="CM8436" s="111"/>
      <c r="CQ8436" s="111"/>
      <c r="EF8436"/>
      <c r="EG8436"/>
      <c r="EH8436"/>
      <c r="EI8436"/>
      <c r="EJ8436"/>
      <c r="EK8436"/>
    </row>
    <row r="8437" spans="1:141" s="116" customFormat="1">
      <c r="A8437" s="136"/>
      <c r="CM8437" s="111"/>
      <c r="CQ8437" s="111"/>
      <c r="EF8437"/>
      <c r="EG8437"/>
      <c r="EH8437"/>
      <c r="EI8437"/>
      <c r="EJ8437"/>
      <c r="EK8437"/>
    </row>
    <row r="8438" spans="1:141" s="116" customFormat="1">
      <c r="A8438" s="136"/>
      <c r="CM8438" s="111"/>
      <c r="CQ8438" s="111"/>
      <c r="EF8438"/>
      <c r="EG8438"/>
      <c r="EH8438"/>
      <c r="EI8438"/>
      <c r="EJ8438"/>
      <c r="EK8438"/>
    </row>
    <row r="8439" spans="1:141" s="116" customFormat="1">
      <c r="A8439" s="136"/>
      <c r="CM8439" s="111"/>
      <c r="CQ8439" s="111"/>
      <c r="EF8439"/>
      <c r="EG8439"/>
      <c r="EH8439"/>
      <c r="EI8439"/>
      <c r="EJ8439"/>
      <c r="EK8439"/>
    </row>
    <row r="8440" spans="1:141" s="116" customFormat="1">
      <c r="A8440" s="136"/>
      <c r="CM8440" s="111"/>
      <c r="CQ8440" s="111"/>
      <c r="EF8440"/>
      <c r="EG8440"/>
      <c r="EH8440"/>
      <c r="EI8440"/>
      <c r="EJ8440"/>
      <c r="EK8440"/>
    </row>
    <row r="8441" spans="1:141" s="116" customFormat="1">
      <c r="A8441" s="136"/>
      <c r="CM8441" s="111"/>
      <c r="CQ8441" s="111"/>
      <c r="EF8441"/>
      <c r="EG8441"/>
      <c r="EH8441"/>
      <c r="EI8441"/>
      <c r="EJ8441"/>
      <c r="EK8441"/>
    </row>
    <row r="8442" spans="1:141" s="116" customFormat="1">
      <c r="A8442" s="136"/>
      <c r="CM8442" s="111"/>
      <c r="CQ8442" s="111"/>
      <c r="EF8442"/>
      <c r="EG8442"/>
      <c r="EH8442"/>
      <c r="EI8442"/>
      <c r="EJ8442"/>
      <c r="EK8442"/>
    </row>
    <row r="8443" spans="1:141" s="116" customFormat="1">
      <c r="A8443" s="136"/>
      <c r="CM8443" s="111"/>
      <c r="CQ8443" s="111"/>
      <c r="EF8443"/>
      <c r="EG8443"/>
      <c r="EH8443"/>
      <c r="EI8443"/>
      <c r="EJ8443"/>
      <c r="EK8443"/>
    </row>
    <row r="8444" spans="1:141" s="116" customFormat="1">
      <c r="A8444" s="136"/>
      <c r="CM8444" s="111"/>
      <c r="CQ8444" s="111"/>
      <c r="EF8444"/>
      <c r="EG8444"/>
      <c r="EH8444"/>
      <c r="EI8444"/>
      <c r="EJ8444"/>
      <c r="EK8444"/>
    </row>
    <row r="8445" spans="1:141" s="116" customFormat="1">
      <c r="A8445" s="136"/>
      <c r="CM8445" s="111"/>
      <c r="CQ8445" s="111"/>
      <c r="EF8445"/>
      <c r="EG8445"/>
      <c r="EH8445"/>
      <c r="EI8445"/>
      <c r="EJ8445"/>
      <c r="EK8445"/>
    </row>
    <row r="8446" spans="1:141" s="116" customFormat="1">
      <c r="A8446" s="136"/>
      <c r="CM8446" s="111"/>
      <c r="CQ8446" s="111"/>
      <c r="EF8446"/>
      <c r="EG8446"/>
      <c r="EH8446"/>
      <c r="EI8446"/>
      <c r="EJ8446"/>
      <c r="EK8446"/>
    </row>
    <row r="8447" spans="1:141" s="116" customFormat="1">
      <c r="A8447" s="136"/>
      <c r="CM8447" s="111"/>
      <c r="CQ8447" s="111"/>
      <c r="EF8447"/>
      <c r="EG8447"/>
      <c r="EH8447"/>
      <c r="EI8447"/>
      <c r="EJ8447"/>
      <c r="EK8447"/>
    </row>
    <row r="8448" spans="1:141" s="116" customFormat="1">
      <c r="A8448" s="136"/>
      <c r="CM8448" s="111"/>
      <c r="CQ8448" s="111"/>
      <c r="EF8448"/>
      <c r="EG8448"/>
      <c r="EH8448"/>
      <c r="EI8448"/>
      <c r="EJ8448"/>
      <c r="EK8448"/>
    </row>
    <row r="8449" spans="1:141" s="116" customFormat="1">
      <c r="A8449" s="136"/>
      <c r="CM8449" s="111"/>
      <c r="CQ8449" s="111"/>
      <c r="EF8449"/>
      <c r="EG8449"/>
      <c r="EH8449"/>
      <c r="EI8449"/>
      <c r="EJ8449"/>
      <c r="EK8449"/>
    </row>
    <row r="8450" spans="1:141" s="116" customFormat="1">
      <c r="A8450" s="136"/>
      <c r="CM8450" s="111"/>
      <c r="CQ8450" s="111"/>
      <c r="EF8450"/>
      <c r="EG8450"/>
      <c r="EH8450"/>
      <c r="EI8450"/>
      <c r="EJ8450"/>
      <c r="EK8450"/>
    </row>
    <row r="8451" spans="1:141" s="116" customFormat="1">
      <c r="A8451" s="136"/>
      <c r="CM8451" s="111"/>
      <c r="CQ8451" s="111"/>
      <c r="EF8451"/>
      <c r="EG8451"/>
      <c r="EH8451"/>
      <c r="EI8451"/>
      <c r="EJ8451"/>
      <c r="EK8451"/>
    </row>
    <row r="8452" spans="1:141" s="116" customFormat="1">
      <c r="A8452" s="136"/>
      <c r="CM8452" s="111"/>
      <c r="CQ8452" s="111"/>
      <c r="EF8452"/>
      <c r="EG8452"/>
      <c r="EH8452"/>
      <c r="EI8452"/>
      <c r="EJ8452"/>
      <c r="EK8452"/>
    </row>
    <row r="8453" spans="1:141" s="116" customFormat="1">
      <c r="A8453" s="136"/>
      <c r="CM8453" s="111"/>
      <c r="CQ8453" s="111"/>
      <c r="EF8453"/>
      <c r="EG8453"/>
      <c r="EH8453"/>
      <c r="EI8453"/>
      <c r="EJ8453"/>
      <c r="EK8453"/>
    </row>
    <row r="8454" spans="1:141" s="116" customFormat="1">
      <c r="A8454" s="136"/>
      <c r="CM8454" s="111"/>
      <c r="CQ8454" s="111"/>
      <c r="EF8454"/>
      <c r="EG8454"/>
      <c r="EH8454"/>
      <c r="EI8454"/>
      <c r="EJ8454"/>
      <c r="EK8454"/>
    </row>
    <row r="8455" spans="1:141" s="116" customFormat="1">
      <c r="A8455" s="136"/>
      <c r="CM8455" s="111"/>
      <c r="CQ8455" s="111"/>
      <c r="EF8455"/>
      <c r="EG8455"/>
      <c r="EH8455"/>
      <c r="EI8455"/>
      <c r="EJ8455"/>
      <c r="EK8455"/>
    </row>
    <row r="8456" spans="1:141" s="116" customFormat="1">
      <c r="A8456" s="136"/>
      <c r="CM8456" s="111"/>
      <c r="CQ8456" s="111"/>
      <c r="EF8456"/>
      <c r="EG8456"/>
      <c r="EH8456"/>
      <c r="EI8456"/>
      <c r="EJ8456"/>
      <c r="EK8456"/>
    </row>
    <row r="8457" spans="1:141" s="116" customFormat="1">
      <c r="A8457" s="136"/>
      <c r="CM8457" s="111"/>
      <c r="CQ8457" s="111"/>
      <c r="EF8457"/>
      <c r="EG8457"/>
      <c r="EH8457"/>
      <c r="EI8457"/>
      <c r="EJ8457"/>
      <c r="EK8457"/>
    </row>
    <row r="8458" spans="1:141" s="116" customFormat="1">
      <c r="A8458" s="136"/>
      <c r="CM8458" s="111"/>
      <c r="CQ8458" s="111"/>
      <c r="EF8458"/>
      <c r="EG8458"/>
      <c r="EH8458"/>
      <c r="EI8458"/>
      <c r="EJ8458"/>
      <c r="EK8458"/>
    </row>
    <row r="8459" spans="1:141" s="116" customFormat="1">
      <c r="A8459" s="136"/>
      <c r="CM8459" s="111"/>
      <c r="CQ8459" s="111"/>
      <c r="EF8459"/>
      <c r="EG8459"/>
      <c r="EH8459"/>
      <c r="EI8459"/>
      <c r="EJ8459"/>
      <c r="EK8459"/>
    </row>
    <row r="8460" spans="1:141" s="116" customFormat="1">
      <c r="A8460" s="136"/>
      <c r="CM8460" s="111"/>
      <c r="CQ8460" s="111"/>
      <c r="EF8460"/>
      <c r="EG8460"/>
      <c r="EH8460"/>
      <c r="EI8460"/>
      <c r="EJ8460"/>
      <c r="EK8460"/>
    </row>
    <row r="8461" spans="1:141" s="116" customFormat="1">
      <c r="A8461" s="136"/>
      <c r="CM8461" s="111"/>
      <c r="CQ8461" s="111"/>
      <c r="EF8461"/>
      <c r="EG8461"/>
      <c r="EH8461"/>
      <c r="EI8461"/>
      <c r="EJ8461"/>
      <c r="EK8461"/>
    </row>
    <row r="8462" spans="1:141" s="116" customFormat="1">
      <c r="A8462" s="136"/>
      <c r="CM8462" s="111"/>
      <c r="CQ8462" s="111"/>
      <c r="EF8462"/>
      <c r="EG8462"/>
      <c r="EH8462"/>
      <c r="EI8462"/>
      <c r="EJ8462"/>
      <c r="EK8462"/>
    </row>
    <row r="8463" spans="1:141" s="116" customFormat="1">
      <c r="A8463" s="136"/>
      <c r="CM8463" s="111"/>
      <c r="CQ8463" s="111"/>
      <c r="EF8463"/>
      <c r="EG8463"/>
      <c r="EH8463"/>
      <c r="EI8463"/>
      <c r="EJ8463"/>
      <c r="EK8463"/>
    </row>
    <row r="8464" spans="1:141" s="116" customFormat="1">
      <c r="A8464" s="136"/>
      <c r="CM8464" s="111"/>
      <c r="CQ8464" s="111"/>
      <c r="EF8464"/>
      <c r="EG8464"/>
      <c r="EH8464"/>
      <c r="EI8464"/>
      <c r="EJ8464"/>
      <c r="EK8464"/>
    </row>
    <row r="8465" spans="1:141" s="116" customFormat="1">
      <c r="A8465" s="136"/>
      <c r="CM8465" s="111"/>
      <c r="CQ8465" s="111"/>
      <c r="EF8465"/>
      <c r="EG8465"/>
      <c r="EH8465"/>
      <c r="EI8465"/>
      <c r="EJ8465"/>
      <c r="EK8465"/>
    </row>
    <row r="8466" spans="1:141" s="116" customFormat="1">
      <c r="A8466" s="136"/>
      <c r="CM8466" s="111"/>
      <c r="CQ8466" s="111"/>
      <c r="EF8466"/>
      <c r="EG8466"/>
      <c r="EH8466"/>
      <c r="EI8466"/>
      <c r="EJ8466"/>
      <c r="EK8466"/>
    </row>
    <row r="8467" spans="1:141" s="116" customFormat="1">
      <c r="A8467" s="136"/>
      <c r="CM8467" s="111"/>
      <c r="CQ8467" s="111"/>
      <c r="EF8467"/>
      <c r="EG8467"/>
      <c r="EH8467"/>
      <c r="EI8467"/>
      <c r="EJ8467"/>
      <c r="EK8467"/>
    </row>
    <row r="8468" spans="1:141" s="116" customFormat="1">
      <c r="A8468" s="136"/>
      <c r="CM8468" s="111"/>
      <c r="CQ8468" s="111"/>
      <c r="EF8468"/>
      <c r="EG8468"/>
      <c r="EH8468"/>
      <c r="EI8468"/>
      <c r="EJ8468"/>
      <c r="EK8468"/>
    </row>
    <row r="8469" spans="1:141" s="116" customFormat="1">
      <c r="A8469" s="136"/>
      <c r="CM8469" s="111"/>
      <c r="CQ8469" s="111"/>
      <c r="EF8469"/>
      <c r="EG8469"/>
      <c r="EH8469"/>
      <c r="EI8469"/>
      <c r="EJ8469"/>
      <c r="EK8469"/>
    </row>
    <row r="8470" spans="1:141" s="116" customFormat="1">
      <c r="A8470" s="136"/>
      <c r="CM8470" s="111"/>
      <c r="CQ8470" s="111"/>
      <c r="EF8470"/>
      <c r="EG8470"/>
      <c r="EH8470"/>
      <c r="EI8470"/>
      <c r="EJ8470"/>
      <c r="EK8470"/>
    </row>
    <row r="8471" spans="1:141" s="116" customFormat="1">
      <c r="A8471" s="136"/>
      <c r="CM8471" s="111"/>
      <c r="CQ8471" s="111"/>
      <c r="EF8471"/>
      <c r="EG8471"/>
      <c r="EH8471"/>
      <c r="EI8471"/>
      <c r="EJ8471"/>
      <c r="EK8471"/>
    </row>
    <row r="8472" spans="1:141" s="116" customFormat="1">
      <c r="A8472" s="136"/>
      <c r="CM8472" s="111"/>
      <c r="CQ8472" s="111"/>
      <c r="EF8472"/>
      <c r="EG8472"/>
      <c r="EH8472"/>
      <c r="EI8472"/>
      <c r="EJ8472"/>
      <c r="EK8472"/>
    </row>
    <row r="8473" spans="1:141" s="116" customFormat="1">
      <c r="A8473" s="136"/>
      <c r="CM8473" s="111"/>
      <c r="CQ8473" s="111"/>
      <c r="EF8473"/>
      <c r="EG8473"/>
      <c r="EH8473"/>
      <c r="EI8473"/>
      <c r="EJ8473"/>
      <c r="EK8473"/>
    </row>
    <row r="8474" spans="1:141" s="116" customFormat="1">
      <c r="A8474" s="136"/>
      <c r="CM8474" s="111"/>
      <c r="CQ8474" s="111"/>
      <c r="EF8474"/>
      <c r="EG8474"/>
      <c r="EH8474"/>
      <c r="EI8474"/>
      <c r="EJ8474"/>
      <c r="EK8474"/>
    </row>
    <row r="8475" spans="1:141" s="116" customFormat="1">
      <c r="A8475" s="136"/>
      <c r="CM8475" s="111"/>
      <c r="CQ8475" s="111"/>
      <c r="EF8475"/>
      <c r="EG8475"/>
      <c r="EH8475"/>
      <c r="EI8475"/>
      <c r="EJ8475"/>
      <c r="EK8475"/>
    </row>
    <row r="8476" spans="1:141" s="116" customFormat="1">
      <c r="A8476" s="136"/>
      <c r="CM8476" s="111"/>
      <c r="CQ8476" s="111"/>
      <c r="EF8476"/>
      <c r="EG8476"/>
      <c r="EH8476"/>
      <c r="EI8476"/>
      <c r="EJ8476"/>
      <c r="EK8476"/>
    </row>
    <row r="8477" spans="1:141" s="116" customFormat="1">
      <c r="A8477" s="136"/>
      <c r="CM8477" s="111"/>
      <c r="CQ8477" s="111"/>
      <c r="EF8477"/>
      <c r="EG8477"/>
      <c r="EH8477"/>
      <c r="EI8477"/>
      <c r="EJ8477"/>
      <c r="EK8477"/>
    </row>
    <row r="8478" spans="1:141" s="116" customFormat="1">
      <c r="A8478" s="136"/>
      <c r="CM8478" s="111"/>
      <c r="CQ8478" s="111"/>
      <c r="EF8478"/>
      <c r="EG8478"/>
      <c r="EH8478"/>
      <c r="EI8478"/>
      <c r="EJ8478"/>
      <c r="EK8478"/>
    </row>
    <row r="8479" spans="1:141" s="116" customFormat="1">
      <c r="A8479" s="136"/>
      <c r="CM8479" s="111"/>
      <c r="CQ8479" s="111"/>
      <c r="EF8479"/>
      <c r="EG8479"/>
      <c r="EH8479"/>
      <c r="EI8479"/>
      <c r="EJ8479"/>
      <c r="EK8479"/>
    </row>
    <row r="8480" spans="1:141" s="116" customFormat="1">
      <c r="A8480" s="136"/>
      <c r="CM8480" s="111"/>
      <c r="CQ8480" s="111"/>
      <c r="EF8480"/>
      <c r="EG8480"/>
      <c r="EH8480"/>
      <c r="EI8480"/>
      <c r="EJ8480"/>
      <c r="EK8480"/>
    </row>
    <row r="8481" spans="1:141" s="116" customFormat="1">
      <c r="A8481" s="136"/>
      <c r="CM8481" s="111"/>
      <c r="CQ8481" s="111"/>
      <c r="EF8481"/>
      <c r="EG8481"/>
      <c r="EH8481"/>
      <c r="EI8481"/>
      <c r="EJ8481"/>
      <c r="EK8481"/>
    </row>
    <row r="8482" spans="1:141" s="116" customFormat="1">
      <c r="A8482" s="136"/>
      <c r="CM8482" s="111"/>
      <c r="CQ8482" s="111"/>
      <c r="EF8482"/>
      <c r="EG8482"/>
      <c r="EH8482"/>
      <c r="EI8482"/>
      <c r="EJ8482"/>
      <c r="EK8482"/>
    </row>
    <row r="8483" spans="1:141" s="116" customFormat="1">
      <c r="A8483" s="136"/>
      <c r="CM8483" s="111"/>
      <c r="CQ8483" s="111"/>
      <c r="EF8483"/>
      <c r="EG8483"/>
      <c r="EH8483"/>
      <c r="EI8483"/>
      <c r="EJ8483"/>
      <c r="EK8483"/>
    </row>
    <row r="8484" spans="1:141" s="116" customFormat="1">
      <c r="A8484" s="136"/>
      <c r="CM8484" s="111"/>
      <c r="CQ8484" s="111"/>
      <c r="EF8484"/>
      <c r="EG8484"/>
      <c r="EH8484"/>
      <c r="EI8484"/>
      <c r="EJ8484"/>
      <c r="EK8484"/>
    </row>
    <row r="8485" spans="1:141" s="116" customFormat="1">
      <c r="A8485" s="136"/>
      <c r="CM8485" s="111"/>
      <c r="CQ8485" s="111"/>
      <c r="EF8485"/>
      <c r="EG8485"/>
      <c r="EH8485"/>
      <c r="EI8485"/>
      <c r="EJ8485"/>
      <c r="EK8485"/>
    </row>
    <row r="8486" spans="1:141" s="116" customFormat="1">
      <c r="A8486" s="136"/>
      <c r="CM8486" s="111"/>
      <c r="CQ8486" s="111"/>
      <c r="EF8486"/>
      <c r="EG8486"/>
      <c r="EH8486"/>
      <c r="EI8486"/>
      <c r="EJ8486"/>
      <c r="EK8486"/>
    </row>
    <row r="8487" spans="1:141" s="116" customFormat="1">
      <c r="A8487" s="136"/>
      <c r="CM8487" s="111"/>
      <c r="CQ8487" s="111"/>
      <c r="EF8487"/>
      <c r="EG8487"/>
      <c r="EH8487"/>
      <c r="EI8487"/>
      <c r="EJ8487"/>
      <c r="EK8487"/>
    </row>
    <row r="8488" spans="1:141" s="116" customFormat="1">
      <c r="A8488" s="136"/>
      <c r="CM8488" s="111"/>
      <c r="CQ8488" s="111"/>
      <c r="EF8488"/>
      <c r="EG8488"/>
      <c r="EH8488"/>
      <c r="EI8488"/>
      <c r="EJ8488"/>
      <c r="EK8488"/>
    </row>
    <row r="8489" spans="1:141" s="116" customFormat="1">
      <c r="A8489" s="136"/>
      <c r="CM8489" s="111"/>
      <c r="CQ8489" s="111"/>
      <c r="EF8489"/>
      <c r="EG8489"/>
      <c r="EH8489"/>
      <c r="EI8489"/>
      <c r="EJ8489"/>
      <c r="EK8489"/>
    </row>
    <row r="8490" spans="1:141" s="116" customFormat="1">
      <c r="A8490" s="136"/>
      <c r="CM8490" s="111"/>
      <c r="CQ8490" s="111"/>
      <c r="EF8490"/>
      <c r="EG8490"/>
      <c r="EH8490"/>
      <c r="EI8490"/>
      <c r="EJ8490"/>
      <c r="EK8490"/>
    </row>
    <row r="8491" spans="1:141" s="116" customFormat="1">
      <c r="A8491" s="136"/>
      <c r="CM8491" s="111"/>
      <c r="CQ8491" s="111"/>
      <c r="EF8491"/>
      <c r="EG8491"/>
      <c r="EH8491"/>
      <c r="EI8491"/>
      <c r="EJ8491"/>
      <c r="EK8491"/>
    </row>
    <row r="8492" spans="1:141" s="116" customFormat="1">
      <c r="A8492" s="136"/>
      <c r="CM8492" s="111"/>
      <c r="CQ8492" s="111"/>
      <c r="EF8492"/>
      <c r="EG8492"/>
      <c r="EH8492"/>
      <c r="EI8492"/>
      <c r="EJ8492"/>
      <c r="EK8492"/>
    </row>
    <row r="8493" spans="1:141" s="116" customFormat="1">
      <c r="A8493" s="136"/>
      <c r="CM8493" s="111"/>
      <c r="CQ8493" s="111"/>
      <c r="EF8493"/>
      <c r="EG8493"/>
      <c r="EH8493"/>
      <c r="EI8493"/>
      <c r="EJ8493"/>
      <c r="EK8493"/>
    </row>
    <row r="8494" spans="1:141" s="116" customFormat="1">
      <c r="A8494" s="136"/>
      <c r="CM8494" s="111"/>
      <c r="CQ8494" s="111"/>
      <c r="EF8494"/>
      <c r="EG8494"/>
      <c r="EH8494"/>
      <c r="EI8494"/>
      <c r="EJ8494"/>
      <c r="EK8494"/>
    </row>
    <row r="8495" spans="1:141" s="116" customFormat="1">
      <c r="A8495" s="136"/>
      <c r="CM8495" s="111"/>
      <c r="CQ8495" s="111"/>
      <c r="EF8495"/>
      <c r="EG8495"/>
      <c r="EH8495"/>
      <c r="EI8495"/>
      <c r="EJ8495"/>
      <c r="EK8495"/>
    </row>
    <row r="8496" spans="1:141" s="116" customFormat="1">
      <c r="A8496" s="136"/>
      <c r="CM8496" s="111"/>
      <c r="CQ8496" s="111"/>
      <c r="EF8496"/>
      <c r="EG8496"/>
      <c r="EH8496"/>
      <c r="EI8496"/>
      <c r="EJ8496"/>
      <c r="EK8496"/>
    </row>
    <row r="8497" spans="1:141" s="116" customFormat="1">
      <c r="A8497" s="136"/>
      <c r="CM8497" s="111"/>
      <c r="CQ8497" s="111"/>
      <c r="EF8497"/>
      <c r="EG8497"/>
      <c r="EH8497"/>
      <c r="EI8497"/>
      <c r="EJ8497"/>
      <c r="EK8497"/>
    </row>
    <row r="8498" spans="1:141" s="116" customFormat="1">
      <c r="A8498" s="136"/>
      <c r="CM8498" s="111"/>
      <c r="CQ8498" s="111"/>
      <c r="EF8498"/>
      <c r="EG8498"/>
      <c r="EH8498"/>
      <c r="EI8498"/>
      <c r="EJ8498"/>
      <c r="EK8498"/>
    </row>
    <row r="8499" spans="1:141" s="116" customFormat="1">
      <c r="A8499" s="136"/>
      <c r="CM8499" s="111"/>
      <c r="CQ8499" s="111"/>
      <c r="EF8499"/>
      <c r="EG8499"/>
      <c r="EH8499"/>
      <c r="EI8499"/>
      <c r="EJ8499"/>
      <c r="EK8499"/>
    </row>
    <row r="8500" spans="1:141" s="116" customFormat="1">
      <c r="A8500" s="136"/>
      <c r="CM8500" s="111"/>
      <c r="CQ8500" s="111"/>
      <c r="EF8500"/>
      <c r="EG8500"/>
      <c r="EH8500"/>
      <c r="EI8500"/>
      <c r="EJ8500"/>
      <c r="EK8500"/>
    </row>
    <row r="8501" spans="1:141" s="116" customFormat="1">
      <c r="A8501" s="136"/>
      <c r="CM8501" s="111"/>
      <c r="CQ8501" s="111"/>
      <c r="EF8501"/>
      <c r="EG8501"/>
      <c r="EH8501"/>
      <c r="EI8501"/>
      <c r="EJ8501"/>
      <c r="EK8501"/>
    </row>
    <row r="8502" spans="1:141" s="116" customFormat="1">
      <c r="A8502" s="136"/>
      <c r="CM8502" s="111"/>
      <c r="CQ8502" s="111"/>
      <c r="EF8502"/>
      <c r="EG8502"/>
      <c r="EH8502"/>
      <c r="EI8502"/>
      <c r="EJ8502"/>
      <c r="EK8502"/>
    </row>
    <row r="8503" spans="1:141" s="116" customFormat="1">
      <c r="A8503" s="136"/>
      <c r="CM8503" s="111"/>
      <c r="CQ8503" s="111"/>
      <c r="EF8503"/>
      <c r="EG8503"/>
      <c r="EH8503"/>
      <c r="EI8503"/>
      <c r="EJ8503"/>
      <c r="EK8503"/>
    </row>
    <row r="8504" spans="1:141" s="116" customFormat="1">
      <c r="A8504" s="136"/>
      <c r="CM8504" s="111"/>
      <c r="CQ8504" s="111"/>
      <c r="EF8504"/>
      <c r="EG8504"/>
      <c r="EH8504"/>
      <c r="EI8504"/>
      <c r="EJ8504"/>
      <c r="EK8504"/>
    </row>
    <row r="8505" spans="1:141" s="116" customFormat="1">
      <c r="A8505" s="136"/>
      <c r="CM8505" s="111"/>
      <c r="CQ8505" s="111"/>
      <c r="EF8505"/>
      <c r="EG8505"/>
      <c r="EH8505"/>
      <c r="EI8505"/>
      <c r="EJ8505"/>
      <c r="EK8505"/>
    </row>
    <row r="8506" spans="1:141" s="116" customFormat="1">
      <c r="A8506" s="136"/>
      <c r="CM8506" s="111"/>
      <c r="CQ8506" s="111"/>
      <c r="EF8506"/>
      <c r="EG8506"/>
      <c r="EH8506"/>
      <c r="EI8506"/>
      <c r="EJ8506"/>
      <c r="EK8506"/>
    </row>
    <row r="8507" spans="1:141" s="116" customFormat="1">
      <c r="A8507" s="136"/>
      <c r="CM8507" s="111"/>
      <c r="CQ8507" s="111"/>
      <c r="EF8507"/>
      <c r="EG8507"/>
      <c r="EH8507"/>
      <c r="EI8507"/>
      <c r="EJ8507"/>
      <c r="EK8507"/>
    </row>
    <row r="8508" spans="1:141" s="116" customFormat="1">
      <c r="A8508" s="136"/>
      <c r="CM8508" s="111"/>
      <c r="CQ8508" s="111"/>
      <c r="EF8508"/>
      <c r="EG8508"/>
      <c r="EH8508"/>
      <c r="EI8508"/>
      <c r="EJ8508"/>
      <c r="EK8508"/>
    </row>
    <row r="8509" spans="1:141" s="116" customFormat="1">
      <c r="A8509" s="136"/>
      <c r="CM8509" s="111"/>
      <c r="CQ8509" s="111"/>
      <c r="EF8509"/>
      <c r="EG8509"/>
      <c r="EH8509"/>
      <c r="EI8509"/>
      <c r="EJ8509"/>
      <c r="EK8509"/>
    </row>
    <row r="8510" spans="1:141" s="116" customFormat="1">
      <c r="A8510" s="136"/>
      <c r="CM8510" s="111"/>
      <c r="CQ8510" s="111"/>
      <c r="EF8510"/>
      <c r="EG8510"/>
      <c r="EH8510"/>
      <c r="EI8510"/>
      <c r="EJ8510"/>
      <c r="EK8510"/>
    </row>
    <row r="8511" spans="1:141" s="116" customFormat="1">
      <c r="A8511" s="136"/>
      <c r="CM8511" s="111"/>
      <c r="CQ8511" s="111"/>
      <c r="EF8511"/>
      <c r="EG8511"/>
      <c r="EH8511"/>
      <c r="EI8511"/>
      <c r="EJ8511"/>
      <c r="EK8511"/>
    </row>
    <row r="8512" spans="1:141" s="116" customFormat="1">
      <c r="A8512" s="136"/>
      <c r="CM8512" s="111"/>
      <c r="CQ8512" s="111"/>
      <c r="EF8512"/>
      <c r="EG8512"/>
      <c r="EH8512"/>
      <c r="EI8512"/>
      <c r="EJ8512"/>
      <c r="EK8512"/>
    </row>
    <row r="8513" spans="1:141" s="116" customFormat="1">
      <c r="A8513" s="136"/>
      <c r="CM8513" s="111"/>
      <c r="CQ8513" s="111"/>
      <c r="EF8513"/>
      <c r="EG8513"/>
      <c r="EH8513"/>
      <c r="EI8513"/>
      <c r="EJ8513"/>
      <c r="EK8513"/>
    </row>
    <row r="8514" spans="1:141" s="116" customFormat="1">
      <c r="A8514" s="136"/>
      <c r="CM8514" s="111"/>
      <c r="CQ8514" s="111"/>
      <c r="EF8514"/>
      <c r="EG8514"/>
      <c r="EH8514"/>
      <c r="EI8514"/>
      <c r="EJ8514"/>
      <c r="EK8514"/>
    </row>
    <row r="8515" spans="1:141" s="116" customFormat="1">
      <c r="A8515" s="136"/>
      <c r="CM8515" s="111"/>
      <c r="CQ8515" s="111"/>
      <c r="EF8515"/>
      <c r="EG8515"/>
      <c r="EH8515"/>
      <c r="EI8515"/>
      <c r="EJ8515"/>
      <c r="EK8515"/>
    </row>
    <row r="8516" spans="1:141" s="116" customFormat="1">
      <c r="A8516" s="136"/>
      <c r="CM8516" s="111"/>
      <c r="CQ8516" s="111"/>
      <c r="EF8516"/>
      <c r="EG8516"/>
      <c r="EH8516"/>
      <c r="EI8516"/>
      <c r="EJ8516"/>
      <c r="EK8516"/>
    </row>
    <row r="8517" spans="1:141" s="116" customFormat="1">
      <c r="A8517" s="136"/>
      <c r="CM8517" s="111"/>
      <c r="CQ8517" s="111"/>
      <c r="EF8517"/>
      <c r="EG8517"/>
      <c r="EH8517"/>
      <c r="EI8517"/>
      <c r="EJ8517"/>
      <c r="EK8517"/>
    </row>
    <row r="8518" spans="1:141" s="116" customFormat="1">
      <c r="A8518" s="136"/>
      <c r="CM8518" s="111"/>
      <c r="CQ8518" s="111"/>
      <c r="EF8518"/>
      <c r="EG8518"/>
      <c r="EH8518"/>
      <c r="EI8518"/>
      <c r="EJ8518"/>
      <c r="EK8518"/>
    </row>
    <row r="8519" spans="1:141" s="116" customFormat="1">
      <c r="A8519" s="136"/>
      <c r="CM8519" s="111"/>
      <c r="CQ8519" s="111"/>
      <c r="EF8519"/>
      <c r="EG8519"/>
      <c r="EH8519"/>
      <c r="EI8519"/>
      <c r="EJ8519"/>
      <c r="EK8519"/>
    </row>
    <row r="8520" spans="1:141" s="116" customFormat="1">
      <c r="A8520" s="136"/>
      <c r="CM8520" s="111"/>
      <c r="CQ8520" s="111"/>
      <c r="EF8520"/>
      <c r="EG8520"/>
      <c r="EH8520"/>
      <c r="EI8520"/>
      <c r="EJ8520"/>
      <c r="EK8520"/>
    </row>
    <row r="8521" spans="1:141" s="116" customFormat="1">
      <c r="A8521" s="136"/>
      <c r="CM8521" s="111"/>
      <c r="CQ8521" s="111"/>
      <c r="EF8521"/>
      <c r="EG8521"/>
      <c r="EH8521"/>
      <c r="EI8521"/>
      <c r="EJ8521"/>
      <c r="EK8521"/>
    </row>
    <row r="8522" spans="1:141" s="116" customFormat="1">
      <c r="A8522" s="136"/>
      <c r="CM8522" s="111"/>
      <c r="CQ8522" s="111"/>
      <c r="EF8522"/>
      <c r="EG8522"/>
      <c r="EH8522"/>
      <c r="EI8522"/>
      <c r="EJ8522"/>
      <c r="EK8522"/>
    </row>
    <row r="8523" spans="1:141" s="116" customFormat="1">
      <c r="A8523" s="136"/>
      <c r="CM8523" s="111"/>
      <c r="CQ8523" s="111"/>
      <c r="EF8523"/>
      <c r="EG8523"/>
      <c r="EH8523"/>
      <c r="EI8523"/>
      <c r="EJ8523"/>
      <c r="EK8523"/>
    </row>
    <row r="8524" spans="1:141" s="116" customFormat="1">
      <c r="A8524" s="136"/>
      <c r="CM8524" s="111"/>
      <c r="CQ8524" s="111"/>
      <c r="EF8524"/>
      <c r="EG8524"/>
      <c r="EH8524"/>
      <c r="EI8524"/>
      <c r="EJ8524"/>
      <c r="EK8524"/>
    </row>
    <row r="8525" spans="1:141" s="116" customFormat="1">
      <c r="A8525" s="136"/>
      <c r="CM8525" s="111"/>
      <c r="CQ8525" s="111"/>
      <c r="EF8525"/>
      <c r="EG8525"/>
      <c r="EH8525"/>
      <c r="EI8525"/>
      <c r="EJ8525"/>
      <c r="EK8525"/>
    </row>
    <row r="8526" spans="1:141" s="116" customFormat="1">
      <c r="A8526" s="136"/>
      <c r="CM8526" s="111"/>
      <c r="CQ8526" s="111"/>
      <c r="EF8526"/>
      <c r="EG8526"/>
      <c r="EH8526"/>
      <c r="EI8526"/>
      <c r="EJ8526"/>
      <c r="EK8526"/>
    </row>
    <row r="8527" spans="1:141" s="116" customFormat="1">
      <c r="A8527" s="136"/>
      <c r="CM8527" s="111"/>
      <c r="CQ8527" s="111"/>
      <c r="EF8527"/>
      <c r="EG8527"/>
      <c r="EH8527"/>
      <c r="EI8527"/>
      <c r="EJ8527"/>
      <c r="EK8527"/>
    </row>
    <row r="8528" spans="1:141" s="116" customFormat="1">
      <c r="A8528" s="136"/>
      <c r="CM8528" s="111"/>
      <c r="CQ8528" s="111"/>
      <c r="EF8528"/>
      <c r="EG8528"/>
      <c r="EH8528"/>
      <c r="EI8528"/>
      <c r="EJ8528"/>
      <c r="EK8528"/>
    </row>
    <row r="8529" spans="1:141" s="116" customFormat="1">
      <c r="A8529" s="136"/>
      <c r="CM8529" s="111"/>
      <c r="CQ8529" s="111"/>
      <c r="EF8529"/>
      <c r="EG8529"/>
      <c r="EH8529"/>
      <c r="EI8529"/>
      <c r="EJ8529"/>
      <c r="EK8529"/>
    </row>
    <row r="8530" spans="1:141" s="116" customFormat="1">
      <c r="A8530" s="136"/>
      <c r="CM8530" s="111"/>
      <c r="CQ8530" s="111"/>
      <c r="EF8530"/>
      <c r="EG8530"/>
      <c r="EH8530"/>
      <c r="EI8530"/>
      <c r="EJ8530"/>
      <c r="EK8530"/>
    </row>
    <row r="8531" spans="1:141" s="116" customFormat="1">
      <c r="A8531" s="136"/>
      <c r="CM8531" s="111"/>
      <c r="CQ8531" s="111"/>
      <c r="EF8531"/>
      <c r="EG8531"/>
      <c r="EH8531"/>
      <c r="EI8531"/>
      <c r="EJ8531"/>
      <c r="EK8531"/>
    </row>
    <row r="8532" spans="1:141" s="116" customFormat="1">
      <c r="A8532" s="136"/>
      <c r="CM8532" s="111"/>
      <c r="CQ8532" s="111"/>
      <c r="EF8532"/>
      <c r="EG8532"/>
      <c r="EH8532"/>
      <c r="EI8532"/>
      <c r="EJ8532"/>
      <c r="EK8532"/>
    </row>
    <row r="8533" spans="1:141" s="116" customFormat="1">
      <c r="A8533" s="136"/>
      <c r="CM8533" s="111"/>
      <c r="CQ8533" s="111"/>
      <c r="EF8533"/>
      <c r="EG8533"/>
      <c r="EH8533"/>
      <c r="EI8533"/>
      <c r="EJ8533"/>
      <c r="EK8533"/>
    </row>
    <row r="8534" spans="1:141" s="116" customFormat="1">
      <c r="A8534" s="136"/>
      <c r="CM8534" s="111"/>
      <c r="CQ8534" s="111"/>
      <c r="EF8534"/>
      <c r="EG8534"/>
      <c r="EH8534"/>
      <c r="EI8534"/>
      <c r="EJ8534"/>
      <c r="EK8534"/>
    </row>
    <row r="8535" spans="1:141" s="116" customFormat="1">
      <c r="A8535" s="136"/>
      <c r="CM8535" s="111"/>
      <c r="CQ8535" s="111"/>
      <c r="EF8535"/>
      <c r="EG8535"/>
      <c r="EH8535"/>
      <c r="EI8535"/>
      <c r="EJ8535"/>
      <c r="EK8535"/>
    </row>
    <row r="8536" spans="1:141" s="116" customFormat="1">
      <c r="A8536" s="136"/>
      <c r="CM8536" s="111"/>
      <c r="CQ8536" s="111"/>
      <c r="EF8536"/>
      <c r="EG8536"/>
      <c r="EH8536"/>
      <c r="EI8536"/>
      <c r="EJ8536"/>
      <c r="EK8536"/>
    </row>
    <row r="8537" spans="1:141" s="116" customFormat="1">
      <c r="A8537" s="136"/>
      <c r="CM8537" s="111"/>
      <c r="CQ8537" s="111"/>
      <c r="EF8537"/>
      <c r="EG8537"/>
      <c r="EH8537"/>
      <c r="EI8537"/>
      <c r="EJ8537"/>
      <c r="EK8537"/>
    </row>
    <row r="8538" spans="1:141" s="116" customFormat="1">
      <c r="A8538" s="136"/>
      <c r="CM8538" s="111"/>
      <c r="CQ8538" s="111"/>
      <c r="EF8538"/>
      <c r="EG8538"/>
      <c r="EH8538"/>
      <c r="EI8538"/>
      <c r="EJ8538"/>
      <c r="EK8538"/>
    </row>
    <row r="8539" spans="1:141" s="116" customFormat="1">
      <c r="A8539" s="136"/>
      <c r="CM8539" s="111"/>
      <c r="CQ8539" s="111"/>
      <c r="EF8539"/>
      <c r="EG8539"/>
      <c r="EH8539"/>
      <c r="EI8539"/>
      <c r="EJ8539"/>
      <c r="EK8539"/>
    </row>
    <row r="8540" spans="1:141" s="116" customFormat="1">
      <c r="A8540" s="136"/>
      <c r="CM8540" s="111"/>
      <c r="CQ8540" s="111"/>
      <c r="EF8540"/>
      <c r="EG8540"/>
      <c r="EH8540"/>
      <c r="EI8540"/>
      <c r="EJ8540"/>
      <c r="EK8540"/>
    </row>
    <row r="8541" spans="1:141" s="116" customFormat="1">
      <c r="A8541" s="136"/>
      <c r="CM8541" s="111"/>
      <c r="CQ8541" s="111"/>
      <c r="EF8541"/>
      <c r="EG8541"/>
      <c r="EH8541"/>
      <c r="EI8541"/>
      <c r="EJ8541"/>
      <c r="EK8541"/>
    </row>
    <row r="8542" spans="1:141" s="116" customFormat="1">
      <c r="A8542" s="136"/>
      <c r="CM8542" s="111"/>
      <c r="CQ8542" s="111"/>
      <c r="EF8542"/>
      <c r="EG8542"/>
      <c r="EH8542"/>
      <c r="EI8542"/>
      <c r="EJ8542"/>
      <c r="EK8542"/>
    </row>
    <row r="8543" spans="1:141" s="116" customFormat="1">
      <c r="A8543" s="136"/>
      <c r="CM8543" s="111"/>
      <c r="CQ8543" s="111"/>
      <c r="EF8543"/>
      <c r="EG8543"/>
      <c r="EH8543"/>
      <c r="EI8543"/>
      <c r="EJ8543"/>
      <c r="EK8543"/>
    </row>
    <row r="8544" spans="1:141" s="116" customFormat="1">
      <c r="A8544" s="136"/>
      <c r="CM8544" s="111"/>
      <c r="CQ8544" s="111"/>
      <c r="EF8544"/>
      <c r="EG8544"/>
      <c r="EH8544"/>
      <c r="EI8544"/>
      <c r="EJ8544"/>
      <c r="EK8544"/>
    </row>
    <row r="8545" spans="1:141" s="116" customFormat="1">
      <c r="A8545" s="136"/>
      <c r="CM8545" s="111"/>
      <c r="CQ8545" s="111"/>
      <c r="EF8545"/>
      <c r="EG8545"/>
      <c r="EH8545"/>
      <c r="EI8545"/>
      <c r="EJ8545"/>
      <c r="EK8545"/>
    </row>
    <row r="8546" spans="1:141" s="116" customFormat="1">
      <c r="A8546" s="136"/>
      <c r="CM8546" s="111"/>
      <c r="CQ8546" s="111"/>
      <c r="EF8546"/>
      <c r="EG8546"/>
      <c r="EH8546"/>
      <c r="EI8546"/>
      <c r="EJ8546"/>
      <c r="EK8546"/>
    </row>
    <row r="8547" spans="1:141" s="116" customFormat="1">
      <c r="A8547" s="136"/>
      <c r="CM8547" s="111"/>
      <c r="CQ8547" s="111"/>
      <c r="EF8547"/>
      <c r="EG8547"/>
      <c r="EH8547"/>
      <c r="EI8547"/>
      <c r="EJ8547"/>
      <c r="EK8547"/>
    </row>
    <row r="8548" spans="1:141" s="116" customFormat="1">
      <c r="A8548" s="136"/>
      <c r="CM8548" s="111"/>
      <c r="CQ8548" s="111"/>
      <c r="EF8548"/>
      <c r="EG8548"/>
      <c r="EH8548"/>
      <c r="EI8548"/>
      <c r="EJ8548"/>
      <c r="EK8548"/>
    </row>
    <row r="8549" spans="1:141" s="116" customFormat="1">
      <c r="A8549" s="136"/>
      <c r="CM8549" s="111"/>
      <c r="CQ8549" s="111"/>
      <c r="EF8549"/>
      <c r="EG8549"/>
      <c r="EH8549"/>
      <c r="EI8549"/>
      <c r="EJ8549"/>
      <c r="EK8549"/>
    </row>
    <row r="8550" spans="1:141" s="116" customFormat="1">
      <c r="A8550" s="136"/>
      <c r="CM8550" s="111"/>
      <c r="CQ8550" s="111"/>
      <c r="EF8550"/>
      <c r="EG8550"/>
      <c r="EH8550"/>
      <c r="EI8550"/>
      <c r="EJ8550"/>
      <c r="EK8550"/>
    </row>
    <row r="8551" spans="1:141" s="116" customFormat="1">
      <c r="A8551" s="136"/>
      <c r="CM8551" s="111"/>
      <c r="CQ8551" s="111"/>
      <c r="EF8551"/>
      <c r="EG8551"/>
      <c r="EH8551"/>
      <c r="EI8551"/>
      <c r="EJ8551"/>
      <c r="EK8551"/>
    </row>
    <row r="8552" spans="1:141" s="116" customFormat="1">
      <c r="A8552" s="136"/>
      <c r="CM8552" s="111"/>
      <c r="CQ8552" s="111"/>
      <c r="EF8552"/>
      <c r="EG8552"/>
      <c r="EH8552"/>
      <c r="EI8552"/>
      <c r="EJ8552"/>
      <c r="EK8552"/>
    </row>
    <row r="8553" spans="1:141" s="116" customFormat="1">
      <c r="A8553" s="136"/>
      <c r="CM8553" s="111"/>
      <c r="CQ8553" s="111"/>
      <c r="EF8553"/>
      <c r="EG8553"/>
      <c r="EH8553"/>
      <c r="EI8553"/>
      <c r="EJ8553"/>
      <c r="EK8553"/>
    </row>
    <row r="8554" spans="1:141" s="116" customFormat="1">
      <c r="A8554" s="136"/>
      <c r="CM8554" s="111"/>
      <c r="CQ8554" s="111"/>
      <c r="EF8554"/>
      <c r="EG8554"/>
      <c r="EH8554"/>
      <c r="EI8554"/>
      <c r="EJ8554"/>
      <c r="EK8554"/>
    </row>
    <row r="8555" spans="1:141" s="116" customFormat="1">
      <c r="A8555" s="136"/>
      <c r="CM8555" s="111"/>
      <c r="CQ8555" s="111"/>
      <c r="EF8555"/>
      <c r="EG8555"/>
      <c r="EH8555"/>
      <c r="EI8555"/>
      <c r="EJ8555"/>
      <c r="EK8555"/>
    </row>
    <row r="8556" spans="1:141" s="116" customFormat="1">
      <c r="A8556" s="136"/>
      <c r="CM8556" s="111"/>
      <c r="CQ8556" s="111"/>
      <c r="EF8556"/>
      <c r="EG8556"/>
      <c r="EH8556"/>
      <c r="EI8556"/>
      <c r="EJ8556"/>
      <c r="EK8556"/>
    </row>
    <row r="8557" spans="1:141" s="116" customFormat="1">
      <c r="A8557" s="136"/>
      <c r="CM8557" s="111"/>
      <c r="CQ8557" s="111"/>
      <c r="EF8557"/>
      <c r="EG8557"/>
      <c r="EH8557"/>
      <c r="EI8557"/>
      <c r="EJ8557"/>
      <c r="EK8557"/>
    </row>
    <row r="8558" spans="1:141" s="116" customFormat="1">
      <c r="A8558" s="136"/>
      <c r="CM8558" s="111"/>
      <c r="CQ8558" s="111"/>
      <c r="EF8558"/>
      <c r="EG8558"/>
      <c r="EH8558"/>
      <c r="EI8558"/>
      <c r="EJ8558"/>
      <c r="EK8558"/>
    </row>
    <row r="8559" spans="1:141" s="116" customFormat="1">
      <c r="A8559" s="136"/>
      <c r="CM8559" s="111"/>
      <c r="CQ8559" s="111"/>
      <c r="EF8559"/>
      <c r="EG8559"/>
      <c r="EH8559"/>
      <c r="EI8559"/>
      <c r="EJ8559"/>
      <c r="EK8559"/>
    </row>
    <row r="8560" spans="1:141" s="116" customFormat="1">
      <c r="A8560" s="136"/>
      <c r="CM8560" s="111"/>
      <c r="CQ8560" s="111"/>
      <c r="EF8560"/>
      <c r="EG8560"/>
      <c r="EH8560"/>
      <c r="EI8560"/>
      <c r="EJ8560"/>
      <c r="EK8560"/>
    </row>
    <row r="8561" spans="1:141" s="116" customFormat="1">
      <c r="A8561" s="136"/>
      <c r="CM8561" s="111"/>
      <c r="CQ8561" s="111"/>
      <c r="EF8561"/>
      <c r="EG8561"/>
      <c r="EH8561"/>
      <c r="EI8561"/>
      <c r="EJ8561"/>
      <c r="EK8561"/>
    </row>
    <row r="8562" spans="1:141" s="116" customFormat="1">
      <c r="A8562" s="136"/>
      <c r="CM8562" s="111"/>
      <c r="CQ8562" s="111"/>
      <c r="EF8562"/>
      <c r="EG8562"/>
      <c r="EH8562"/>
      <c r="EI8562"/>
      <c r="EJ8562"/>
      <c r="EK8562"/>
    </row>
    <row r="8563" spans="1:141" s="116" customFormat="1">
      <c r="A8563" s="136"/>
      <c r="CM8563" s="111"/>
      <c r="CQ8563" s="111"/>
      <c r="EF8563"/>
      <c r="EG8563"/>
      <c r="EH8563"/>
      <c r="EI8563"/>
      <c r="EJ8563"/>
      <c r="EK8563"/>
    </row>
    <row r="8564" spans="1:141" s="116" customFormat="1">
      <c r="A8564" s="136"/>
      <c r="CM8564" s="111"/>
      <c r="CQ8564" s="111"/>
      <c r="EF8564"/>
      <c r="EG8564"/>
      <c r="EH8564"/>
      <c r="EI8564"/>
      <c r="EJ8564"/>
      <c r="EK8564"/>
    </row>
    <row r="8565" spans="1:141" s="116" customFormat="1">
      <c r="A8565" s="136"/>
      <c r="CM8565" s="111"/>
      <c r="CQ8565" s="111"/>
      <c r="EF8565"/>
      <c r="EG8565"/>
      <c r="EH8565"/>
      <c r="EI8565"/>
      <c r="EJ8565"/>
      <c r="EK8565"/>
    </row>
    <row r="8566" spans="1:141" s="116" customFormat="1">
      <c r="A8566" s="136"/>
      <c r="CM8566" s="111"/>
      <c r="CQ8566" s="111"/>
      <c r="EF8566"/>
      <c r="EG8566"/>
      <c r="EH8566"/>
      <c r="EI8566"/>
      <c r="EJ8566"/>
      <c r="EK8566"/>
    </row>
    <row r="8567" spans="1:141" s="116" customFormat="1">
      <c r="A8567" s="136"/>
      <c r="CM8567" s="111"/>
      <c r="CQ8567" s="111"/>
      <c r="EF8567"/>
      <c r="EG8567"/>
      <c r="EH8567"/>
      <c r="EI8567"/>
      <c r="EJ8567"/>
      <c r="EK8567"/>
    </row>
    <row r="8568" spans="1:141" s="116" customFormat="1">
      <c r="A8568" s="136"/>
      <c r="CM8568" s="111"/>
      <c r="CQ8568" s="111"/>
      <c r="EF8568"/>
      <c r="EG8568"/>
      <c r="EH8568"/>
      <c r="EI8568"/>
      <c r="EJ8568"/>
      <c r="EK8568"/>
    </row>
    <row r="8569" spans="1:141" s="116" customFormat="1">
      <c r="A8569" s="136"/>
      <c r="CM8569" s="111"/>
      <c r="CQ8569" s="111"/>
      <c r="EF8569"/>
      <c r="EG8569"/>
      <c r="EH8569"/>
      <c r="EI8569"/>
      <c r="EJ8569"/>
      <c r="EK8569"/>
    </row>
    <row r="8570" spans="1:141" s="116" customFormat="1">
      <c r="A8570" s="136"/>
      <c r="CM8570" s="111"/>
      <c r="CQ8570" s="111"/>
      <c r="EF8570"/>
      <c r="EG8570"/>
      <c r="EH8570"/>
      <c r="EI8570"/>
      <c r="EJ8570"/>
      <c r="EK8570"/>
    </row>
    <row r="8571" spans="1:141" s="116" customFormat="1">
      <c r="A8571" s="136"/>
      <c r="CM8571" s="111"/>
      <c r="CQ8571" s="111"/>
      <c r="EF8571"/>
      <c r="EG8571"/>
      <c r="EH8571"/>
      <c r="EI8571"/>
      <c r="EJ8571"/>
      <c r="EK8571"/>
    </row>
    <row r="8572" spans="1:141" s="116" customFormat="1">
      <c r="A8572" s="136"/>
      <c r="CM8572" s="111"/>
      <c r="CQ8572" s="111"/>
      <c r="EF8572"/>
      <c r="EG8572"/>
      <c r="EH8572"/>
      <c r="EI8572"/>
      <c r="EJ8572"/>
      <c r="EK8572"/>
    </row>
    <row r="8573" spans="1:141" s="116" customFormat="1">
      <c r="A8573" s="136"/>
      <c r="CM8573" s="111"/>
      <c r="CQ8573" s="111"/>
      <c r="EF8573"/>
      <c r="EG8573"/>
      <c r="EH8573"/>
      <c r="EI8573"/>
      <c r="EJ8573"/>
      <c r="EK8573"/>
    </row>
    <row r="8574" spans="1:141" s="116" customFormat="1">
      <c r="A8574" s="136"/>
      <c r="CM8574" s="111"/>
      <c r="CQ8574" s="111"/>
      <c r="EF8574"/>
      <c r="EG8574"/>
      <c r="EH8574"/>
      <c r="EI8574"/>
      <c r="EJ8574"/>
      <c r="EK8574"/>
    </row>
    <row r="8575" spans="1:141" s="116" customFormat="1">
      <c r="A8575" s="136"/>
      <c r="CM8575" s="111"/>
      <c r="CQ8575" s="111"/>
      <c r="EF8575"/>
      <c r="EG8575"/>
      <c r="EH8575"/>
      <c r="EI8575"/>
      <c r="EJ8575"/>
      <c r="EK8575"/>
    </row>
    <row r="8576" spans="1:141" s="116" customFormat="1">
      <c r="A8576" s="136"/>
      <c r="CM8576" s="111"/>
      <c r="CQ8576" s="111"/>
      <c r="EF8576"/>
      <c r="EG8576"/>
      <c r="EH8576"/>
      <c r="EI8576"/>
      <c r="EJ8576"/>
      <c r="EK8576"/>
    </row>
    <row r="8577" spans="1:141" s="116" customFormat="1">
      <c r="A8577" s="136"/>
      <c r="CM8577" s="111"/>
      <c r="CQ8577" s="111"/>
      <c r="EF8577"/>
      <c r="EG8577"/>
      <c r="EH8577"/>
      <c r="EI8577"/>
      <c r="EJ8577"/>
      <c r="EK8577"/>
    </row>
    <row r="8578" spans="1:141" s="116" customFormat="1">
      <c r="A8578" s="136"/>
      <c r="CM8578" s="111"/>
      <c r="CQ8578" s="111"/>
      <c r="EF8578"/>
      <c r="EG8578"/>
      <c r="EH8578"/>
      <c r="EI8578"/>
      <c r="EJ8578"/>
      <c r="EK8578"/>
    </row>
    <row r="8579" spans="1:141" s="116" customFormat="1">
      <c r="A8579" s="136"/>
      <c r="CM8579" s="111"/>
      <c r="CQ8579" s="111"/>
      <c r="EF8579"/>
      <c r="EG8579"/>
      <c r="EH8579"/>
      <c r="EI8579"/>
      <c r="EJ8579"/>
      <c r="EK8579"/>
    </row>
    <row r="8580" spans="1:141" s="116" customFormat="1">
      <c r="A8580" s="136"/>
      <c r="CM8580" s="111"/>
      <c r="CQ8580" s="111"/>
      <c r="EF8580"/>
      <c r="EG8580"/>
      <c r="EH8580"/>
      <c r="EI8580"/>
      <c r="EJ8580"/>
      <c r="EK8580"/>
    </row>
    <row r="8581" spans="1:141" s="116" customFormat="1">
      <c r="A8581" s="136"/>
      <c r="CM8581" s="111"/>
      <c r="CQ8581" s="111"/>
      <c r="EF8581"/>
      <c r="EG8581"/>
      <c r="EH8581"/>
      <c r="EI8581"/>
      <c r="EJ8581"/>
      <c r="EK8581"/>
    </row>
    <row r="8582" spans="1:141" s="116" customFormat="1">
      <c r="A8582" s="136"/>
      <c r="CM8582" s="111"/>
      <c r="CQ8582" s="111"/>
      <c r="EF8582"/>
      <c r="EG8582"/>
      <c r="EH8582"/>
      <c r="EI8582"/>
      <c r="EJ8582"/>
      <c r="EK8582"/>
    </row>
    <row r="8583" spans="1:141" s="116" customFormat="1">
      <c r="A8583" s="136"/>
      <c r="CM8583" s="111"/>
      <c r="CQ8583" s="111"/>
      <c r="EF8583"/>
      <c r="EG8583"/>
      <c r="EH8583"/>
      <c r="EI8583"/>
      <c r="EJ8583"/>
      <c r="EK8583"/>
    </row>
    <row r="8584" spans="1:141" s="116" customFormat="1">
      <c r="A8584" s="136"/>
      <c r="CM8584" s="111"/>
      <c r="CQ8584" s="111"/>
      <c r="EF8584"/>
      <c r="EG8584"/>
      <c r="EH8584"/>
      <c r="EI8584"/>
      <c r="EJ8584"/>
      <c r="EK8584"/>
    </row>
    <row r="8585" spans="1:141" s="116" customFormat="1">
      <c r="A8585" s="136"/>
      <c r="CM8585" s="111"/>
      <c r="CQ8585" s="111"/>
      <c r="EF8585"/>
      <c r="EG8585"/>
      <c r="EH8585"/>
      <c r="EI8585"/>
      <c r="EJ8585"/>
      <c r="EK8585"/>
    </row>
    <row r="8586" spans="1:141" s="116" customFormat="1">
      <c r="A8586" s="136"/>
      <c r="CM8586" s="111"/>
      <c r="CQ8586" s="111"/>
      <c r="EF8586"/>
      <c r="EG8586"/>
      <c r="EH8586"/>
      <c r="EI8586"/>
      <c r="EJ8586"/>
      <c r="EK8586"/>
    </row>
    <row r="8587" spans="1:141" s="116" customFormat="1">
      <c r="A8587" s="136"/>
      <c r="CM8587" s="111"/>
      <c r="CQ8587" s="111"/>
      <c r="EF8587"/>
      <c r="EG8587"/>
      <c r="EH8587"/>
      <c r="EI8587"/>
      <c r="EJ8587"/>
      <c r="EK8587"/>
    </row>
    <row r="8588" spans="1:141" s="116" customFormat="1">
      <c r="A8588" s="136"/>
      <c r="CM8588" s="111"/>
      <c r="CQ8588" s="111"/>
      <c r="EF8588"/>
      <c r="EG8588"/>
      <c r="EH8588"/>
      <c r="EI8588"/>
      <c r="EJ8588"/>
      <c r="EK8588"/>
    </row>
    <row r="8589" spans="1:141" s="116" customFormat="1">
      <c r="A8589" s="136"/>
      <c r="CM8589" s="111"/>
      <c r="CQ8589" s="111"/>
      <c r="EF8589"/>
      <c r="EG8589"/>
      <c r="EH8589"/>
      <c r="EI8589"/>
      <c r="EJ8589"/>
      <c r="EK8589"/>
    </row>
    <row r="8590" spans="1:141" s="116" customFormat="1">
      <c r="A8590" s="136"/>
      <c r="CM8590" s="111"/>
      <c r="CQ8590" s="111"/>
      <c r="EF8590"/>
      <c r="EG8590"/>
      <c r="EH8590"/>
      <c r="EI8590"/>
      <c r="EJ8590"/>
      <c r="EK8590"/>
    </row>
    <row r="8591" spans="1:141" s="116" customFormat="1">
      <c r="A8591" s="136"/>
      <c r="CM8591" s="111"/>
      <c r="CQ8591" s="111"/>
      <c r="EF8591"/>
      <c r="EG8591"/>
      <c r="EH8591"/>
      <c r="EI8591"/>
      <c r="EJ8591"/>
      <c r="EK8591"/>
    </row>
    <row r="8592" spans="1:141" s="116" customFormat="1">
      <c r="A8592" s="136"/>
      <c r="CM8592" s="111"/>
      <c r="CQ8592" s="111"/>
      <c r="EF8592"/>
      <c r="EG8592"/>
      <c r="EH8592"/>
      <c r="EI8592"/>
      <c r="EJ8592"/>
      <c r="EK8592"/>
    </row>
    <row r="8593" spans="1:141" s="116" customFormat="1">
      <c r="A8593" s="136"/>
      <c r="CM8593" s="111"/>
      <c r="CQ8593" s="111"/>
      <c r="EF8593"/>
      <c r="EG8593"/>
      <c r="EH8593"/>
      <c r="EI8593"/>
      <c r="EJ8593"/>
      <c r="EK8593"/>
    </row>
    <row r="8594" spans="1:141" s="116" customFormat="1">
      <c r="A8594" s="136"/>
      <c r="CM8594" s="111"/>
      <c r="CQ8594" s="111"/>
      <c r="EF8594"/>
      <c r="EG8594"/>
      <c r="EH8594"/>
      <c r="EI8594"/>
      <c r="EJ8594"/>
      <c r="EK8594"/>
    </row>
    <row r="8595" spans="1:141" s="116" customFormat="1">
      <c r="A8595" s="136"/>
      <c r="CM8595" s="111"/>
      <c r="CQ8595" s="111"/>
      <c r="EF8595"/>
      <c r="EG8595"/>
      <c r="EH8595"/>
      <c r="EI8595"/>
      <c r="EJ8595"/>
      <c r="EK8595"/>
    </row>
    <row r="8596" spans="1:141" s="116" customFormat="1">
      <c r="A8596" s="136"/>
      <c r="CM8596" s="111"/>
      <c r="CQ8596" s="111"/>
      <c r="EF8596"/>
      <c r="EG8596"/>
      <c r="EH8596"/>
      <c r="EI8596"/>
      <c r="EJ8596"/>
      <c r="EK8596"/>
    </row>
    <row r="8597" spans="1:141" s="116" customFormat="1">
      <c r="A8597" s="136"/>
      <c r="CM8597" s="111"/>
      <c r="CQ8597" s="111"/>
      <c r="EF8597"/>
      <c r="EG8597"/>
      <c r="EH8597"/>
      <c r="EI8597"/>
      <c r="EJ8597"/>
      <c r="EK8597"/>
    </row>
    <row r="8598" spans="1:141" s="116" customFormat="1">
      <c r="A8598" s="136"/>
      <c r="CM8598" s="111"/>
      <c r="CQ8598" s="111"/>
      <c r="EF8598"/>
      <c r="EG8598"/>
      <c r="EH8598"/>
      <c r="EI8598"/>
      <c r="EJ8598"/>
      <c r="EK8598"/>
    </row>
    <row r="8599" spans="1:141" s="116" customFormat="1">
      <c r="A8599" s="136"/>
      <c r="CM8599" s="111"/>
      <c r="CQ8599" s="111"/>
      <c r="EF8599"/>
      <c r="EG8599"/>
      <c r="EH8599"/>
      <c r="EI8599"/>
      <c r="EJ8599"/>
      <c r="EK8599"/>
    </row>
    <row r="8600" spans="1:141" s="116" customFormat="1">
      <c r="A8600" s="136"/>
      <c r="CM8600" s="111"/>
      <c r="CQ8600" s="111"/>
      <c r="EF8600"/>
      <c r="EG8600"/>
      <c r="EH8600"/>
      <c r="EI8600"/>
      <c r="EJ8600"/>
      <c r="EK8600"/>
    </row>
    <row r="8601" spans="1:141" s="116" customFormat="1">
      <c r="A8601" s="136"/>
      <c r="CM8601" s="111"/>
      <c r="CQ8601" s="111"/>
      <c r="EF8601"/>
      <c r="EG8601"/>
      <c r="EH8601"/>
      <c r="EI8601"/>
      <c r="EJ8601"/>
      <c r="EK8601"/>
    </row>
    <row r="8602" spans="1:141" s="116" customFormat="1">
      <c r="A8602" s="136"/>
      <c r="CM8602" s="111"/>
      <c r="CQ8602" s="111"/>
      <c r="EF8602"/>
      <c r="EG8602"/>
      <c r="EH8602"/>
      <c r="EI8602"/>
      <c r="EJ8602"/>
      <c r="EK8602"/>
    </row>
    <row r="8603" spans="1:141" s="116" customFormat="1">
      <c r="A8603" s="136"/>
      <c r="CM8603" s="111"/>
      <c r="CQ8603" s="111"/>
      <c r="EF8603"/>
      <c r="EG8603"/>
      <c r="EH8603"/>
      <c r="EI8603"/>
      <c r="EJ8603"/>
      <c r="EK8603"/>
    </row>
    <row r="8604" spans="1:141" s="116" customFormat="1">
      <c r="A8604" s="136"/>
      <c r="CM8604" s="111"/>
      <c r="CQ8604" s="111"/>
      <c r="EF8604"/>
      <c r="EG8604"/>
      <c r="EH8604"/>
      <c r="EI8604"/>
      <c r="EJ8604"/>
      <c r="EK8604"/>
    </row>
    <row r="8605" spans="1:141" s="116" customFormat="1">
      <c r="A8605" s="136"/>
      <c r="CM8605" s="111"/>
      <c r="CQ8605" s="111"/>
      <c r="EF8605"/>
      <c r="EG8605"/>
      <c r="EH8605"/>
      <c r="EI8605"/>
      <c r="EJ8605"/>
      <c r="EK8605"/>
    </row>
    <row r="8606" spans="1:141" s="116" customFormat="1">
      <c r="A8606" s="136"/>
      <c r="CM8606" s="111"/>
      <c r="CQ8606" s="111"/>
      <c r="EF8606"/>
      <c r="EG8606"/>
      <c r="EH8606"/>
      <c r="EI8606"/>
      <c r="EJ8606"/>
      <c r="EK8606"/>
    </row>
    <row r="8607" spans="1:141" s="116" customFormat="1">
      <c r="A8607" s="136"/>
      <c r="CM8607" s="111"/>
      <c r="CQ8607" s="111"/>
      <c r="EF8607"/>
      <c r="EG8607"/>
      <c r="EH8607"/>
      <c r="EI8607"/>
      <c r="EJ8607"/>
      <c r="EK8607"/>
    </row>
    <row r="8608" spans="1:141" s="116" customFormat="1">
      <c r="A8608" s="136"/>
      <c r="CM8608" s="111"/>
      <c r="CQ8608" s="111"/>
      <c r="EF8608"/>
      <c r="EG8608"/>
      <c r="EH8608"/>
      <c r="EI8608"/>
      <c r="EJ8608"/>
      <c r="EK8608"/>
    </row>
    <row r="8609" spans="1:141" s="116" customFormat="1">
      <c r="A8609" s="136"/>
      <c r="CM8609" s="111"/>
      <c r="CQ8609" s="111"/>
      <c r="EF8609"/>
      <c r="EG8609"/>
      <c r="EH8609"/>
      <c r="EI8609"/>
      <c r="EJ8609"/>
      <c r="EK8609"/>
    </row>
    <row r="8610" spans="1:141" s="116" customFormat="1">
      <c r="A8610" s="136"/>
      <c r="CM8610" s="111"/>
      <c r="CQ8610" s="111"/>
      <c r="EF8610"/>
      <c r="EG8610"/>
      <c r="EH8610"/>
      <c r="EI8610"/>
      <c r="EJ8610"/>
      <c r="EK8610"/>
    </row>
    <row r="8611" spans="1:141" s="116" customFormat="1">
      <c r="A8611" s="136"/>
      <c r="CM8611" s="111"/>
      <c r="CQ8611" s="111"/>
      <c r="EF8611"/>
      <c r="EG8611"/>
      <c r="EH8611"/>
      <c r="EI8611"/>
      <c r="EJ8611"/>
      <c r="EK8611"/>
    </row>
    <row r="8612" spans="1:141" s="116" customFormat="1">
      <c r="A8612" s="136"/>
      <c r="CM8612" s="111"/>
      <c r="CQ8612" s="111"/>
      <c r="EF8612"/>
      <c r="EG8612"/>
      <c r="EH8612"/>
      <c r="EI8612"/>
      <c r="EJ8612"/>
      <c r="EK8612"/>
    </row>
    <row r="8613" spans="1:141" s="116" customFormat="1">
      <c r="A8613" s="136"/>
      <c r="CM8613" s="111"/>
      <c r="CQ8613" s="111"/>
      <c r="EF8613"/>
      <c r="EG8613"/>
      <c r="EH8613"/>
      <c r="EI8613"/>
      <c r="EJ8613"/>
      <c r="EK8613"/>
    </row>
    <row r="8614" spans="1:141" s="116" customFormat="1">
      <c r="A8614" s="136"/>
      <c r="CM8614" s="111"/>
      <c r="CQ8614" s="111"/>
      <c r="EF8614"/>
      <c r="EG8614"/>
      <c r="EH8614"/>
      <c r="EI8614"/>
      <c r="EJ8614"/>
      <c r="EK8614"/>
    </row>
    <row r="8615" spans="1:141" s="116" customFormat="1">
      <c r="A8615" s="136"/>
      <c r="CM8615" s="111"/>
      <c r="CQ8615" s="111"/>
      <c r="EF8615"/>
      <c r="EG8615"/>
      <c r="EH8615"/>
      <c r="EI8615"/>
      <c r="EJ8615"/>
      <c r="EK8615"/>
    </row>
    <row r="8616" spans="1:141" s="116" customFormat="1">
      <c r="A8616" s="136"/>
      <c r="CM8616" s="111"/>
      <c r="CQ8616" s="111"/>
      <c r="EF8616"/>
      <c r="EG8616"/>
      <c r="EH8616"/>
      <c r="EI8616"/>
      <c r="EJ8616"/>
      <c r="EK8616"/>
    </row>
    <row r="8617" spans="1:141" s="116" customFormat="1">
      <c r="A8617" s="136"/>
      <c r="CM8617" s="111"/>
      <c r="CQ8617" s="111"/>
      <c r="EF8617"/>
      <c r="EG8617"/>
      <c r="EH8617"/>
      <c r="EI8617"/>
      <c r="EJ8617"/>
      <c r="EK8617"/>
    </row>
    <row r="8618" spans="1:141" s="116" customFormat="1">
      <c r="A8618" s="136"/>
      <c r="CM8618" s="111"/>
      <c r="CQ8618" s="111"/>
      <c r="EF8618"/>
      <c r="EG8618"/>
      <c r="EH8618"/>
      <c r="EI8618"/>
      <c r="EJ8618"/>
      <c r="EK8618"/>
    </row>
    <row r="8619" spans="1:141" s="116" customFormat="1">
      <c r="A8619" s="136"/>
      <c r="CM8619" s="111"/>
      <c r="CQ8619" s="111"/>
      <c r="EF8619"/>
      <c r="EG8619"/>
      <c r="EH8619"/>
      <c r="EI8619"/>
      <c r="EJ8619"/>
      <c r="EK8619"/>
    </row>
    <row r="8620" spans="1:141" s="116" customFormat="1">
      <c r="A8620" s="136"/>
      <c r="CM8620" s="111"/>
      <c r="CQ8620" s="111"/>
      <c r="EF8620"/>
      <c r="EG8620"/>
      <c r="EH8620"/>
      <c r="EI8620"/>
      <c r="EJ8620"/>
      <c r="EK8620"/>
    </row>
    <row r="8621" spans="1:141" s="116" customFormat="1">
      <c r="A8621" s="136"/>
      <c r="CM8621" s="111"/>
      <c r="CQ8621" s="111"/>
      <c r="EF8621"/>
      <c r="EG8621"/>
      <c r="EH8621"/>
      <c r="EI8621"/>
      <c r="EJ8621"/>
      <c r="EK8621"/>
    </row>
    <row r="8622" spans="1:141" s="116" customFormat="1">
      <c r="A8622" s="136"/>
      <c r="CM8622" s="111"/>
      <c r="CQ8622" s="111"/>
      <c r="EF8622"/>
      <c r="EG8622"/>
      <c r="EH8622"/>
      <c r="EI8622"/>
      <c r="EJ8622"/>
      <c r="EK8622"/>
    </row>
    <row r="8623" spans="1:141" s="116" customFormat="1">
      <c r="A8623" s="136"/>
      <c r="CM8623" s="111"/>
      <c r="CQ8623" s="111"/>
      <c r="EF8623"/>
      <c r="EG8623"/>
      <c r="EH8623"/>
      <c r="EI8623"/>
      <c r="EJ8623"/>
      <c r="EK8623"/>
    </row>
    <row r="8624" spans="1:141" s="116" customFormat="1">
      <c r="A8624" s="136"/>
      <c r="CM8624" s="111"/>
      <c r="CQ8624" s="111"/>
      <c r="EF8624"/>
      <c r="EG8624"/>
      <c r="EH8624"/>
      <c r="EI8624"/>
      <c r="EJ8624"/>
      <c r="EK8624"/>
    </row>
    <row r="8625" spans="1:141" s="116" customFormat="1">
      <c r="A8625" s="136"/>
      <c r="CM8625" s="111"/>
      <c r="CQ8625" s="111"/>
      <c r="EF8625"/>
      <c r="EG8625"/>
      <c r="EH8625"/>
      <c r="EI8625"/>
      <c r="EJ8625"/>
      <c r="EK8625"/>
    </row>
    <row r="8626" spans="1:141" s="116" customFormat="1">
      <c r="A8626" s="136"/>
      <c r="CM8626" s="111"/>
      <c r="CQ8626" s="111"/>
      <c r="EF8626"/>
      <c r="EG8626"/>
      <c r="EH8626"/>
      <c r="EI8626"/>
      <c r="EJ8626"/>
      <c r="EK8626"/>
    </row>
    <row r="8627" spans="1:141" s="116" customFormat="1">
      <c r="A8627" s="136"/>
      <c r="CM8627" s="111"/>
      <c r="CQ8627" s="111"/>
      <c r="EF8627"/>
      <c r="EG8627"/>
      <c r="EH8627"/>
      <c r="EI8627"/>
      <c r="EJ8627"/>
      <c r="EK8627"/>
    </row>
    <row r="8628" spans="1:141" s="116" customFormat="1">
      <c r="A8628" s="136"/>
      <c r="CM8628" s="111"/>
      <c r="CQ8628" s="111"/>
      <c r="EF8628"/>
      <c r="EG8628"/>
      <c r="EH8628"/>
      <c r="EI8628"/>
      <c r="EJ8628"/>
      <c r="EK8628"/>
    </row>
    <row r="8629" spans="1:141" s="116" customFormat="1">
      <c r="A8629" s="136"/>
      <c r="CM8629" s="111"/>
      <c r="CQ8629" s="111"/>
      <c r="EF8629"/>
      <c r="EG8629"/>
      <c r="EH8629"/>
      <c r="EI8629"/>
      <c r="EJ8629"/>
      <c r="EK8629"/>
    </row>
    <row r="8630" spans="1:141" s="116" customFormat="1">
      <c r="A8630" s="136"/>
      <c r="CM8630" s="111"/>
      <c r="CQ8630" s="111"/>
      <c r="EF8630"/>
      <c r="EG8630"/>
      <c r="EH8630"/>
      <c r="EI8630"/>
      <c r="EJ8630"/>
      <c r="EK8630"/>
    </row>
    <row r="8631" spans="1:141" s="116" customFormat="1">
      <c r="A8631" s="136"/>
      <c r="CM8631" s="111"/>
      <c r="CQ8631" s="111"/>
      <c r="EF8631"/>
      <c r="EG8631"/>
      <c r="EH8631"/>
      <c r="EI8631"/>
      <c r="EJ8631"/>
      <c r="EK8631"/>
    </row>
    <row r="8632" spans="1:141" s="116" customFormat="1">
      <c r="A8632" s="136"/>
      <c r="CM8632" s="111"/>
      <c r="CQ8632" s="111"/>
      <c r="EF8632"/>
      <c r="EG8632"/>
      <c r="EH8632"/>
      <c r="EI8632"/>
      <c r="EJ8632"/>
      <c r="EK8632"/>
    </row>
    <row r="8633" spans="1:141" s="116" customFormat="1">
      <c r="A8633" s="136"/>
      <c r="CM8633" s="111"/>
      <c r="CQ8633" s="111"/>
      <c r="EF8633"/>
      <c r="EG8633"/>
      <c r="EH8633"/>
      <c r="EI8633"/>
      <c r="EJ8633"/>
      <c r="EK8633"/>
    </row>
    <row r="8634" spans="1:141" s="116" customFormat="1">
      <c r="A8634" s="136"/>
      <c r="CM8634" s="111"/>
      <c r="CQ8634" s="111"/>
      <c r="EF8634"/>
      <c r="EG8634"/>
      <c r="EH8634"/>
      <c r="EI8634"/>
      <c r="EJ8634"/>
      <c r="EK8634"/>
    </row>
    <row r="8635" spans="1:141" s="116" customFormat="1">
      <c r="A8635" s="136"/>
      <c r="CM8635" s="111"/>
      <c r="CQ8635" s="111"/>
      <c r="EF8635"/>
      <c r="EG8635"/>
      <c r="EH8635"/>
      <c r="EI8635"/>
      <c r="EJ8635"/>
      <c r="EK8635"/>
    </row>
    <row r="8636" spans="1:141" s="116" customFormat="1">
      <c r="A8636" s="136"/>
      <c r="CM8636" s="111"/>
      <c r="CQ8636" s="111"/>
      <c r="EF8636"/>
      <c r="EG8636"/>
      <c r="EH8636"/>
      <c r="EI8636"/>
      <c r="EJ8636"/>
      <c r="EK8636"/>
    </row>
    <row r="8637" spans="1:141" s="116" customFormat="1">
      <c r="A8637" s="136"/>
      <c r="CM8637" s="111"/>
      <c r="CQ8637" s="111"/>
      <c r="EF8637"/>
      <c r="EG8637"/>
      <c r="EH8637"/>
      <c r="EI8637"/>
      <c r="EJ8637"/>
      <c r="EK8637"/>
    </row>
    <row r="8638" spans="1:141" s="116" customFormat="1">
      <c r="A8638" s="136"/>
      <c r="CM8638" s="111"/>
      <c r="CQ8638" s="111"/>
      <c r="EF8638"/>
      <c r="EG8638"/>
      <c r="EH8638"/>
      <c r="EI8638"/>
      <c r="EJ8638"/>
      <c r="EK8638"/>
    </row>
    <row r="8639" spans="1:141" s="116" customFormat="1">
      <c r="A8639" s="136"/>
      <c r="CM8639" s="111"/>
      <c r="CQ8639" s="111"/>
      <c r="EF8639"/>
      <c r="EG8639"/>
      <c r="EH8639"/>
      <c r="EI8639"/>
      <c r="EJ8639"/>
      <c r="EK8639"/>
    </row>
    <row r="8640" spans="1:141" s="116" customFormat="1">
      <c r="A8640" s="136"/>
      <c r="CM8640" s="111"/>
      <c r="CQ8640" s="111"/>
      <c r="EF8640"/>
      <c r="EG8640"/>
      <c r="EH8640"/>
      <c r="EI8640"/>
      <c r="EJ8640"/>
      <c r="EK8640"/>
    </row>
    <row r="8641" spans="1:141" s="116" customFormat="1">
      <c r="A8641" s="136"/>
      <c r="CM8641" s="111"/>
      <c r="CQ8641" s="111"/>
      <c r="EF8641"/>
      <c r="EG8641"/>
      <c r="EH8641"/>
      <c r="EI8641"/>
      <c r="EJ8641"/>
      <c r="EK8641"/>
    </row>
    <row r="8642" spans="1:141" s="116" customFormat="1">
      <c r="A8642" s="136"/>
      <c r="CM8642" s="111"/>
      <c r="CQ8642" s="111"/>
      <c r="EF8642"/>
      <c r="EG8642"/>
      <c r="EH8642"/>
      <c r="EI8642"/>
      <c r="EJ8642"/>
      <c r="EK8642"/>
    </row>
    <row r="8643" spans="1:141" s="116" customFormat="1">
      <c r="A8643" s="136"/>
      <c r="CM8643" s="111"/>
      <c r="CQ8643" s="111"/>
      <c r="EF8643"/>
      <c r="EG8643"/>
      <c r="EH8643"/>
      <c r="EI8643"/>
      <c r="EJ8643"/>
      <c r="EK8643"/>
    </row>
    <row r="8644" spans="1:141" s="116" customFormat="1">
      <c r="A8644" s="136"/>
      <c r="CM8644" s="111"/>
      <c r="CQ8644" s="111"/>
      <c r="EF8644"/>
      <c r="EG8644"/>
      <c r="EH8644"/>
      <c r="EI8644"/>
      <c r="EJ8644"/>
      <c r="EK8644"/>
    </row>
    <row r="8645" spans="1:141" s="116" customFormat="1">
      <c r="A8645" s="136"/>
      <c r="CM8645" s="111"/>
      <c r="CQ8645" s="111"/>
      <c r="EF8645"/>
      <c r="EG8645"/>
      <c r="EH8645"/>
      <c r="EI8645"/>
      <c r="EJ8645"/>
      <c r="EK8645"/>
    </row>
    <row r="8646" spans="1:141" s="116" customFormat="1">
      <c r="A8646" s="136"/>
      <c r="CM8646" s="111"/>
      <c r="CQ8646" s="111"/>
      <c r="EF8646"/>
      <c r="EG8646"/>
      <c r="EH8646"/>
      <c r="EI8646"/>
      <c r="EJ8646"/>
      <c r="EK8646"/>
    </row>
    <row r="8647" spans="1:141" s="116" customFormat="1">
      <c r="A8647" s="136"/>
      <c r="CM8647" s="111"/>
      <c r="CQ8647" s="111"/>
      <c r="EF8647"/>
      <c r="EG8647"/>
      <c r="EH8647"/>
      <c r="EI8647"/>
      <c r="EJ8647"/>
      <c r="EK8647"/>
    </row>
    <row r="8648" spans="1:141" s="116" customFormat="1">
      <c r="A8648" s="136"/>
      <c r="CM8648" s="111"/>
      <c r="CQ8648" s="111"/>
      <c r="EF8648"/>
      <c r="EG8648"/>
      <c r="EH8648"/>
      <c r="EI8648"/>
      <c r="EJ8648"/>
      <c r="EK8648"/>
    </row>
    <row r="8649" spans="1:141" s="116" customFormat="1">
      <c r="A8649" s="136"/>
      <c r="CM8649" s="111"/>
      <c r="CQ8649" s="111"/>
      <c r="EF8649"/>
      <c r="EG8649"/>
      <c r="EH8649"/>
      <c r="EI8649"/>
      <c r="EJ8649"/>
      <c r="EK8649"/>
    </row>
    <row r="8650" spans="1:141" s="116" customFormat="1">
      <c r="A8650" s="136"/>
      <c r="CM8650" s="111"/>
      <c r="CQ8650" s="111"/>
      <c r="EF8650"/>
      <c r="EG8650"/>
      <c r="EH8650"/>
      <c r="EI8650"/>
      <c r="EJ8650"/>
      <c r="EK8650"/>
    </row>
    <row r="8651" spans="1:141" s="116" customFormat="1">
      <c r="A8651" s="136"/>
      <c r="CM8651" s="111"/>
      <c r="CQ8651" s="111"/>
      <c r="EF8651"/>
      <c r="EG8651"/>
      <c r="EH8651"/>
      <c r="EI8651"/>
      <c r="EJ8651"/>
      <c r="EK8651"/>
    </row>
    <row r="8652" spans="1:141" s="116" customFormat="1">
      <c r="A8652" s="136"/>
      <c r="CM8652" s="111"/>
      <c r="CQ8652" s="111"/>
      <c r="EF8652"/>
      <c r="EG8652"/>
      <c r="EH8652"/>
      <c r="EI8652"/>
      <c r="EJ8652"/>
      <c r="EK8652"/>
    </row>
    <row r="8653" spans="1:141" s="116" customFormat="1">
      <c r="A8653" s="136"/>
      <c r="CM8653" s="111"/>
      <c r="CQ8653" s="111"/>
      <c r="EF8653"/>
      <c r="EG8653"/>
      <c r="EH8653"/>
      <c r="EI8653"/>
      <c r="EJ8653"/>
      <c r="EK8653"/>
    </row>
    <row r="8654" spans="1:141" s="116" customFormat="1">
      <c r="A8654" s="136"/>
      <c r="CM8654" s="111"/>
      <c r="CQ8654" s="111"/>
      <c r="EF8654"/>
      <c r="EG8654"/>
      <c r="EH8654"/>
      <c r="EI8654"/>
      <c r="EJ8654"/>
      <c r="EK8654"/>
    </row>
    <row r="8655" spans="1:141" s="116" customFormat="1">
      <c r="A8655" s="136"/>
      <c r="CM8655" s="111"/>
      <c r="CQ8655" s="111"/>
      <c r="EF8655"/>
      <c r="EG8655"/>
      <c r="EH8655"/>
      <c r="EI8655"/>
      <c r="EJ8655"/>
      <c r="EK8655"/>
    </row>
    <row r="8656" spans="1:141" s="116" customFormat="1">
      <c r="A8656" s="136"/>
      <c r="CM8656" s="111"/>
      <c r="CQ8656" s="111"/>
      <c r="EF8656"/>
      <c r="EG8656"/>
      <c r="EH8656"/>
      <c r="EI8656"/>
      <c r="EJ8656"/>
      <c r="EK8656"/>
    </row>
    <row r="8657" spans="1:141" s="116" customFormat="1">
      <c r="A8657" s="136"/>
      <c r="CM8657" s="111"/>
      <c r="CQ8657" s="111"/>
      <c r="EF8657"/>
      <c r="EG8657"/>
      <c r="EH8657"/>
      <c r="EI8657"/>
      <c r="EJ8657"/>
      <c r="EK8657"/>
    </row>
    <row r="8658" spans="1:141" s="116" customFormat="1">
      <c r="A8658" s="136"/>
      <c r="CM8658" s="111"/>
      <c r="CQ8658" s="111"/>
      <c r="EF8658"/>
      <c r="EG8658"/>
      <c r="EH8658"/>
      <c r="EI8658"/>
      <c r="EJ8658"/>
      <c r="EK8658"/>
    </row>
    <row r="8659" spans="1:141" s="116" customFormat="1">
      <c r="A8659" s="136"/>
      <c r="CM8659" s="111"/>
      <c r="CQ8659" s="111"/>
      <c r="EF8659"/>
      <c r="EG8659"/>
      <c r="EH8659"/>
      <c r="EI8659"/>
      <c r="EJ8659"/>
      <c r="EK8659"/>
    </row>
    <row r="8660" spans="1:141" s="116" customFormat="1">
      <c r="A8660" s="136"/>
      <c r="CM8660" s="111"/>
      <c r="CQ8660" s="111"/>
      <c r="EF8660"/>
      <c r="EG8660"/>
      <c r="EH8660"/>
      <c r="EI8660"/>
      <c r="EJ8660"/>
      <c r="EK8660"/>
    </row>
    <row r="8661" spans="1:141" s="116" customFormat="1">
      <c r="A8661" s="136"/>
      <c r="CM8661" s="111"/>
      <c r="CQ8661" s="111"/>
      <c r="EF8661"/>
      <c r="EG8661"/>
      <c r="EH8661"/>
      <c r="EI8661"/>
      <c r="EJ8661"/>
      <c r="EK8661"/>
    </row>
    <row r="8662" spans="1:141" s="116" customFormat="1">
      <c r="A8662" s="136"/>
      <c r="CM8662" s="111"/>
      <c r="CQ8662" s="111"/>
      <c r="EF8662"/>
      <c r="EG8662"/>
      <c r="EH8662"/>
      <c r="EI8662"/>
      <c r="EJ8662"/>
      <c r="EK8662"/>
    </row>
    <row r="8663" spans="1:141" s="116" customFormat="1">
      <c r="A8663" s="136"/>
      <c r="CM8663" s="111"/>
      <c r="CQ8663" s="111"/>
      <c r="EF8663"/>
      <c r="EG8663"/>
      <c r="EH8663"/>
      <c r="EI8663"/>
      <c r="EJ8663"/>
      <c r="EK8663"/>
    </row>
    <row r="8664" spans="1:141" s="116" customFormat="1">
      <c r="A8664" s="136"/>
      <c r="CM8664" s="111"/>
      <c r="CQ8664" s="111"/>
      <c r="EF8664"/>
      <c r="EG8664"/>
      <c r="EH8664"/>
      <c r="EI8664"/>
      <c r="EJ8664"/>
      <c r="EK8664"/>
    </row>
    <row r="8665" spans="1:141" s="116" customFormat="1">
      <c r="A8665" s="136"/>
      <c r="CM8665" s="111"/>
      <c r="CQ8665" s="111"/>
      <c r="EF8665"/>
      <c r="EG8665"/>
      <c r="EH8665"/>
      <c r="EI8665"/>
      <c r="EJ8665"/>
      <c r="EK8665"/>
    </row>
    <row r="8666" spans="1:141" s="116" customFormat="1">
      <c r="A8666" s="136"/>
      <c r="CM8666" s="111"/>
      <c r="CQ8666" s="111"/>
      <c r="EF8666"/>
      <c r="EG8666"/>
      <c r="EH8666"/>
      <c r="EI8666"/>
      <c r="EJ8666"/>
      <c r="EK8666"/>
    </row>
    <row r="8667" spans="1:141" s="116" customFormat="1">
      <c r="A8667" s="136"/>
      <c r="CM8667" s="111"/>
      <c r="CQ8667" s="111"/>
      <c r="EF8667"/>
      <c r="EG8667"/>
      <c r="EH8667"/>
      <c r="EI8667"/>
      <c r="EJ8667"/>
      <c r="EK8667"/>
    </row>
    <row r="8668" spans="1:141" s="116" customFormat="1">
      <c r="A8668" s="136"/>
      <c r="CM8668" s="111"/>
      <c r="CQ8668" s="111"/>
      <c r="EF8668"/>
      <c r="EG8668"/>
      <c r="EH8668"/>
      <c r="EI8668"/>
      <c r="EJ8668"/>
      <c r="EK8668"/>
    </row>
    <row r="8669" spans="1:141" s="116" customFormat="1">
      <c r="A8669" s="136"/>
      <c r="CM8669" s="111"/>
      <c r="CQ8669" s="111"/>
      <c r="EF8669"/>
      <c r="EG8669"/>
      <c r="EH8669"/>
      <c r="EI8669"/>
      <c r="EJ8669"/>
      <c r="EK8669"/>
    </row>
    <row r="8670" spans="1:141" s="116" customFormat="1">
      <c r="A8670" s="136"/>
      <c r="CM8670" s="111"/>
      <c r="CQ8670" s="111"/>
      <c r="EF8670"/>
      <c r="EG8670"/>
      <c r="EH8670"/>
      <c r="EI8670"/>
      <c r="EJ8670"/>
      <c r="EK8670"/>
    </row>
    <row r="8671" spans="1:141" s="116" customFormat="1">
      <c r="A8671" s="136"/>
      <c r="CM8671" s="111"/>
      <c r="CQ8671" s="111"/>
      <c r="EF8671"/>
      <c r="EG8671"/>
      <c r="EH8671"/>
      <c r="EI8671"/>
      <c r="EJ8671"/>
      <c r="EK8671"/>
    </row>
    <row r="8672" spans="1:141" s="116" customFormat="1">
      <c r="A8672" s="136"/>
      <c r="CM8672" s="111"/>
      <c r="CQ8672" s="111"/>
      <c r="EF8672"/>
      <c r="EG8672"/>
      <c r="EH8672"/>
      <c r="EI8672"/>
      <c r="EJ8672"/>
      <c r="EK8672"/>
    </row>
    <row r="8673" spans="1:141" s="116" customFormat="1">
      <c r="A8673" s="136"/>
      <c r="CM8673" s="111"/>
      <c r="CQ8673" s="111"/>
      <c r="EF8673"/>
      <c r="EG8673"/>
      <c r="EH8673"/>
      <c r="EI8673"/>
      <c r="EJ8673"/>
      <c r="EK8673"/>
    </row>
    <row r="8674" spans="1:141" s="116" customFormat="1">
      <c r="A8674" s="136"/>
      <c r="CM8674" s="111"/>
      <c r="CQ8674" s="111"/>
      <c r="EF8674"/>
      <c r="EG8674"/>
      <c r="EH8674"/>
      <c r="EI8674"/>
      <c r="EJ8674"/>
      <c r="EK8674"/>
    </row>
    <row r="8675" spans="1:141" s="116" customFormat="1">
      <c r="A8675" s="136"/>
      <c r="CM8675" s="111"/>
      <c r="CQ8675" s="111"/>
      <c r="EF8675"/>
      <c r="EG8675"/>
      <c r="EH8675"/>
      <c r="EI8675"/>
      <c r="EJ8675"/>
      <c r="EK8675"/>
    </row>
    <row r="8676" spans="1:141" s="116" customFormat="1">
      <c r="A8676" s="136"/>
      <c r="CM8676" s="111"/>
      <c r="CQ8676" s="111"/>
      <c r="EF8676"/>
      <c r="EG8676"/>
      <c r="EH8676"/>
      <c r="EI8676"/>
      <c r="EJ8676"/>
      <c r="EK8676"/>
    </row>
    <row r="8677" spans="1:141" s="116" customFormat="1">
      <c r="A8677" s="136"/>
      <c r="CM8677" s="111"/>
      <c r="CQ8677" s="111"/>
      <c r="EF8677"/>
      <c r="EG8677"/>
      <c r="EH8677"/>
      <c r="EI8677"/>
      <c r="EJ8677"/>
      <c r="EK8677"/>
    </row>
    <row r="8678" spans="1:141" s="116" customFormat="1">
      <c r="A8678" s="136"/>
      <c r="CM8678" s="111"/>
      <c r="CQ8678" s="111"/>
      <c r="EF8678"/>
      <c r="EG8678"/>
      <c r="EH8678"/>
      <c r="EI8678"/>
      <c r="EJ8678"/>
      <c r="EK8678"/>
    </row>
    <row r="8679" spans="1:141" s="116" customFormat="1">
      <c r="A8679" s="136"/>
      <c r="CM8679" s="111"/>
      <c r="CQ8679" s="111"/>
      <c r="EF8679"/>
      <c r="EG8679"/>
      <c r="EH8679"/>
      <c r="EI8679"/>
      <c r="EJ8679"/>
      <c r="EK8679"/>
    </row>
    <row r="8680" spans="1:141" s="116" customFormat="1">
      <c r="A8680" s="136"/>
      <c r="CM8680" s="111"/>
      <c r="CQ8680" s="111"/>
      <c r="EF8680"/>
      <c r="EG8680"/>
      <c r="EH8680"/>
      <c r="EI8680"/>
      <c r="EJ8680"/>
      <c r="EK8680"/>
    </row>
    <row r="8681" spans="1:141" s="116" customFormat="1">
      <c r="A8681" s="136"/>
      <c r="CM8681" s="111"/>
      <c r="CQ8681" s="111"/>
      <c r="EF8681"/>
      <c r="EG8681"/>
      <c r="EH8681"/>
      <c r="EI8681"/>
      <c r="EJ8681"/>
      <c r="EK8681"/>
    </row>
    <row r="8682" spans="1:141" s="116" customFormat="1">
      <c r="A8682" s="136"/>
      <c r="CM8682" s="111"/>
      <c r="CQ8682" s="111"/>
      <c r="EF8682"/>
      <c r="EG8682"/>
      <c r="EH8682"/>
      <c r="EI8682"/>
      <c r="EJ8682"/>
      <c r="EK8682"/>
    </row>
    <row r="8683" spans="1:141" s="116" customFormat="1">
      <c r="A8683" s="136"/>
      <c r="CM8683" s="111"/>
      <c r="CQ8683" s="111"/>
      <c r="EF8683"/>
      <c r="EG8683"/>
      <c r="EH8683"/>
      <c r="EI8683"/>
      <c r="EJ8683"/>
      <c r="EK8683"/>
    </row>
    <row r="8684" spans="1:141" s="116" customFormat="1">
      <c r="A8684" s="136"/>
      <c r="CM8684" s="111"/>
      <c r="CQ8684" s="111"/>
      <c r="EF8684"/>
      <c r="EG8684"/>
      <c r="EH8684"/>
      <c r="EI8684"/>
      <c r="EJ8684"/>
      <c r="EK8684"/>
    </row>
    <row r="8685" spans="1:141" s="116" customFormat="1">
      <c r="A8685" s="136"/>
      <c r="CM8685" s="111"/>
      <c r="CQ8685" s="111"/>
      <c r="EF8685"/>
      <c r="EG8685"/>
      <c r="EH8685"/>
      <c r="EI8685"/>
      <c r="EJ8685"/>
      <c r="EK8685"/>
    </row>
    <row r="8686" spans="1:141" s="116" customFormat="1">
      <c r="A8686" s="136"/>
      <c r="CM8686" s="111"/>
      <c r="CQ8686" s="111"/>
      <c r="EF8686"/>
      <c r="EG8686"/>
      <c r="EH8686"/>
      <c r="EI8686"/>
      <c r="EJ8686"/>
      <c r="EK8686"/>
    </row>
    <row r="8687" spans="1:141" s="116" customFormat="1">
      <c r="A8687" s="136"/>
      <c r="CM8687" s="111"/>
      <c r="CQ8687" s="111"/>
      <c r="EF8687"/>
      <c r="EG8687"/>
      <c r="EH8687"/>
      <c r="EI8687"/>
      <c r="EJ8687"/>
      <c r="EK8687"/>
    </row>
    <row r="8688" spans="1:141" s="116" customFormat="1">
      <c r="A8688" s="136"/>
      <c r="CM8688" s="111"/>
      <c r="CQ8688" s="111"/>
      <c r="EF8688"/>
      <c r="EG8688"/>
      <c r="EH8688"/>
      <c r="EI8688"/>
      <c r="EJ8688"/>
      <c r="EK8688"/>
    </row>
    <row r="8689" spans="1:141" s="116" customFormat="1">
      <c r="A8689" s="136"/>
      <c r="CM8689" s="111"/>
      <c r="CQ8689" s="111"/>
      <c r="EF8689"/>
      <c r="EG8689"/>
      <c r="EH8689"/>
      <c r="EI8689"/>
      <c r="EJ8689"/>
      <c r="EK8689"/>
    </row>
    <row r="8690" spans="1:141" s="116" customFormat="1">
      <c r="A8690" s="136"/>
      <c r="CM8690" s="111"/>
      <c r="CQ8690" s="111"/>
      <c r="EF8690"/>
      <c r="EG8690"/>
      <c r="EH8690"/>
      <c r="EI8690"/>
      <c r="EJ8690"/>
      <c r="EK8690"/>
    </row>
    <row r="8691" spans="1:141" s="116" customFormat="1">
      <c r="A8691" s="136"/>
      <c r="CM8691" s="111"/>
      <c r="CQ8691" s="111"/>
      <c r="EF8691"/>
      <c r="EG8691"/>
      <c r="EH8691"/>
      <c r="EI8691"/>
      <c r="EJ8691"/>
      <c r="EK8691"/>
    </row>
    <row r="8692" spans="1:141" s="116" customFormat="1">
      <c r="A8692" s="136"/>
      <c r="CM8692" s="111"/>
      <c r="CQ8692" s="111"/>
      <c r="EF8692"/>
      <c r="EG8692"/>
      <c r="EH8692"/>
      <c r="EI8692"/>
      <c r="EJ8692"/>
      <c r="EK8692"/>
    </row>
    <row r="8693" spans="1:141" s="116" customFormat="1">
      <c r="A8693" s="136"/>
      <c r="CM8693" s="111"/>
      <c r="CQ8693" s="111"/>
      <c r="EF8693"/>
      <c r="EG8693"/>
      <c r="EH8693"/>
      <c r="EI8693"/>
      <c r="EJ8693"/>
      <c r="EK8693"/>
    </row>
    <row r="8694" spans="1:141" s="116" customFormat="1">
      <c r="A8694" s="136"/>
      <c r="CM8694" s="111"/>
      <c r="CQ8694" s="111"/>
      <c r="EF8694"/>
      <c r="EG8694"/>
      <c r="EH8694"/>
      <c r="EI8694"/>
      <c r="EJ8694"/>
      <c r="EK8694"/>
    </row>
    <row r="8695" spans="1:141" s="116" customFormat="1">
      <c r="A8695" s="136"/>
      <c r="CM8695" s="111"/>
      <c r="CQ8695" s="111"/>
      <c r="EF8695"/>
      <c r="EG8695"/>
      <c r="EH8695"/>
      <c r="EI8695"/>
      <c r="EJ8695"/>
      <c r="EK8695"/>
    </row>
    <row r="8696" spans="1:141" s="116" customFormat="1">
      <c r="A8696" s="136"/>
      <c r="CM8696" s="111"/>
      <c r="CQ8696" s="111"/>
      <c r="EF8696"/>
      <c r="EG8696"/>
      <c r="EH8696"/>
      <c r="EI8696"/>
      <c r="EJ8696"/>
      <c r="EK8696"/>
    </row>
    <row r="8697" spans="1:141" s="116" customFormat="1">
      <c r="A8697" s="136"/>
      <c r="CM8697" s="111"/>
      <c r="CQ8697" s="111"/>
      <c r="EF8697"/>
      <c r="EG8697"/>
      <c r="EH8697"/>
      <c r="EI8697"/>
      <c r="EJ8697"/>
      <c r="EK8697"/>
    </row>
    <row r="8698" spans="1:141" s="116" customFormat="1">
      <c r="A8698" s="136"/>
      <c r="CM8698" s="111"/>
      <c r="CQ8698" s="111"/>
      <c r="EF8698"/>
      <c r="EG8698"/>
      <c r="EH8698"/>
      <c r="EI8698"/>
      <c r="EJ8698"/>
      <c r="EK8698"/>
    </row>
    <row r="8699" spans="1:141" s="116" customFormat="1">
      <c r="A8699" s="136"/>
      <c r="CM8699" s="111"/>
      <c r="CQ8699" s="111"/>
      <c r="EF8699"/>
      <c r="EG8699"/>
      <c r="EH8699"/>
      <c r="EI8699"/>
      <c r="EJ8699"/>
      <c r="EK8699"/>
    </row>
    <row r="8700" spans="1:141" s="116" customFormat="1">
      <c r="A8700" s="136"/>
      <c r="CM8700" s="111"/>
      <c r="CQ8700" s="111"/>
      <c r="EF8700"/>
      <c r="EG8700"/>
      <c r="EH8700"/>
      <c r="EI8700"/>
      <c r="EJ8700"/>
      <c r="EK8700"/>
    </row>
    <row r="8701" spans="1:141" s="116" customFormat="1">
      <c r="A8701" s="136"/>
      <c r="CM8701" s="111"/>
      <c r="CQ8701" s="111"/>
      <c r="EF8701"/>
      <c r="EG8701"/>
      <c r="EH8701"/>
      <c r="EI8701"/>
      <c r="EJ8701"/>
      <c r="EK8701"/>
    </row>
    <row r="8702" spans="1:141" s="116" customFormat="1">
      <c r="A8702" s="136"/>
      <c r="CM8702" s="111"/>
      <c r="CQ8702" s="111"/>
      <c r="EF8702"/>
      <c r="EG8702"/>
      <c r="EH8702"/>
      <c r="EI8702"/>
      <c r="EJ8702"/>
      <c r="EK8702"/>
    </row>
    <row r="8703" spans="1:141" s="116" customFormat="1">
      <c r="A8703" s="136"/>
      <c r="CM8703" s="111"/>
      <c r="CQ8703" s="111"/>
      <c r="EF8703"/>
      <c r="EG8703"/>
      <c r="EH8703"/>
      <c r="EI8703"/>
      <c r="EJ8703"/>
      <c r="EK8703"/>
    </row>
    <row r="8704" spans="1:141" s="116" customFormat="1">
      <c r="A8704" s="136"/>
      <c r="CM8704" s="111"/>
      <c r="CQ8704" s="111"/>
      <c r="EF8704"/>
      <c r="EG8704"/>
      <c r="EH8704"/>
      <c r="EI8704"/>
      <c r="EJ8704"/>
      <c r="EK8704"/>
    </row>
    <row r="8705" spans="1:141" s="116" customFormat="1">
      <c r="A8705" s="136"/>
      <c r="CM8705" s="111"/>
      <c r="CQ8705" s="111"/>
      <c r="EF8705"/>
      <c r="EG8705"/>
      <c r="EH8705"/>
      <c r="EI8705"/>
      <c r="EJ8705"/>
      <c r="EK8705"/>
    </row>
    <row r="8706" spans="1:141" s="116" customFormat="1">
      <c r="A8706" s="136"/>
      <c r="CM8706" s="111"/>
      <c r="CQ8706" s="111"/>
      <c r="EF8706"/>
      <c r="EG8706"/>
      <c r="EH8706"/>
      <c r="EI8706"/>
      <c r="EJ8706"/>
      <c r="EK8706"/>
    </row>
    <row r="8707" spans="1:141" s="116" customFormat="1">
      <c r="A8707" s="136"/>
      <c r="CM8707" s="111"/>
      <c r="CQ8707" s="111"/>
      <c r="EF8707"/>
      <c r="EG8707"/>
      <c r="EH8707"/>
      <c r="EI8707"/>
      <c r="EJ8707"/>
      <c r="EK8707"/>
    </row>
    <row r="8708" spans="1:141" s="116" customFormat="1">
      <c r="A8708" s="136"/>
      <c r="CM8708" s="111"/>
      <c r="CQ8708" s="111"/>
      <c r="EF8708"/>
      <c r="EG8708"/>
      <c r="EH8708"/>
      <c r="EI8708"/>
      <c r="EJ8708"/>
      <c r="EK8708"/>
    </row>
    <row r="8709" spans="1:141" s="116" customFormat="1">
      <c r="A8709" s="136"/>
      <c r="CM8709" s="111"/>
      <c r="CQ8709" s="111"/>
      <c r="EF8709"/>
      <c r="EG8709"/>
      <c r="EH8709"/>
      <c r="EI8709"/>
      <c r="EJ8709"/>
      <c r="EK8709"/>
    </row>
    <row r="8710" spans="1:141" s="116" customFormat="1">
      <c r="A8710" s="136"/>
      <c r="CM8710" s="111"/>
      <c r="CQ8710" s="111"/>
      <c r="EF8710"/>
      <c r="EG8710"/>
      <c r="EH8710"/>
      <c r="EI8710"/>
      <c r="EJ8710"/>
      <c r="EK8710"/>
    </row>
    <row r="8711" spans="1:141" s="116" customFormat="1">
      <c r="A8711" s="136"/>
      <c r="CM8711" s="111"/>
      <c r="CQ8711" s="111"/>
      <c r="EF8711"/>
      <c r="EG8711"/>
      <c r="EH8711"/>
      <c r="EI8711"/>
      <c r="EJ8711"/>
      <c r="EK8711"/>
    </row>
    <row r="8712" spans="1:141" s="116" customFormat="1">
      <c r="A8712" s="136"/>
      <c r="CM8712" s="111"/>
      <c r="CQ8712" s="111"/>
      <c r="EF8712"/>
      <c r="EG8712"/>
      <c r="EH8712"/>
      <c r="EI8712"/>
      <c r="EJ8712"/>
      <c r="EK8712"/>
    </row>
    <row r="8713" spans="1:141" s="116" customFormat="1">
      <c r="A8713" s="136"/>
      <c r="CM8713" s="111"/>
      <c r="CQ8713" s="111"/>
      <c r="EF8713"/>
      <c r="EG8713"/>
      <c r="EH8713"/>
      <c r="EI8713"/>
      <c r="EJ8713"/>
      <c r="EK8713"/>
    </row>
    <row r="8714" spans="1:141" s="116" customFormat="1">
      <c r="A8714" s="136"/>
      <c r="CM8714" s="111"/>
      <c r="CQ8714" s="111"/>
      <c r="EF8714"/>
      <c r="EG8714"/>
      <c r="EH8714"/>
      <c r="EI8714"/>
      <c r="EJ8714"/>
      <c r="EK8714"/>
    </row>
    <row r="8715" spans="1:141" s="116" customFormat="1">
      <c r="A8715" s="136"/>
      <c r="CM8715" s="111"/>
      <c r="CQ8715" s="111"/>
      <c r="EF8715"/>
      <c r="EG8715"/>
      <c r="EH8715"/>
      <c r="EI8715"/>
      <c r="EJ8715"/>
      <c r="EK8715"/>
    </row>
    <row r="8716" spans="1:141" s="116" customFormat="1">
      <c r="A8716" s="136"/>
      <c r="CM8716" s="111"/>
      <c r="CQ8716" s="111"/>
      <c r="EF8716"/>
      <c r="EG8716"/>
      <c r="EH8716"/>
      <c r="EI8716"/>
      <c r="EJ8716"/>
      <c r="EK8716"/>
    </row>
    <row r="8717" spans="1:141" s="116" customFormat="1">
      <c r="A8717" s="136"/>
      <c r="CM8717" s="111"/>
      <c r="CQ8717" s="111"/>
      <c r="EF8717"/>
      <c r="EG8717"/>
      <c r="EH8717"/>
      <c r="EI8717"/>
      <c r="EJ8717"/>
      <c r="EK8717"/>
    </row>
    <row r="8718" spans="1:141" s="116" customFormat="1">
      <c r="A8718" s="136"/>
      <c r="CM8718" s="111"/>
      <c r="CQ8718" s="111"/>
      <c r="EF8718"/>
      <c r="EG8718"/>
      <c r="EH8718"/>
      <c r="EI8718"/>
      <c r="EJ8718"/>
      <c r="EK8718"/>
    </row>
    <row r="8719" spans="1:141" s="116" customFormat="1">
      <c r="A8719" s="136"/>
      <c r="CM8719" s="111"/>
      <c r="CQ8719" s="111"/>
      <c r="EF8719"/>
      <c r="EG8719"/>
      <c r="EH8719"/>
      <c r="EI8719"/>
      <c r="EJ8719"/>
      <c r="EK8719"/>
    </row>
    <row r="8720" spans="1:141" s="116" customFormat="1">
      <c r="A8720" s="136"/>
      <c r="CM8720" s="111"/>
      <c r="CQ8720" s="111"/>
      <c r="EF8720"/>
      <c r="EG8720"/>
      <c r="EH8720"/>
      <c r="EI8720"/>
      <c r="EJ8720"/>
      <c r="EK8720"/>
    </row>
    <row r="8721" spans="1:141" s="116" customFormat="1">
      <c r="A8721" s="136"/>
      <c r="CM8721" s="111"/>
      <c r="CQ8721" s="111"/>
      <c r="EF8721"/>
      <c r="EG8721"/>
      <c r="EH8721"/>
      <c r="EI8721"/>
      <c r="EJ8721"/>
      <c r="EK8721"/>
    </row>
    <row r="8722" spans="1:141" s="116" customFormat="1">
      <c r="A8722" s="136"/>
      <c r="CM8722" s="111"/>
      <c r="CQ8722" s="111"/>
      <c r="EF8722"/>
      <c r="EG8722"/>
      <c r="EH8722"/>
      <c r="EI8722"/>
      <c r="EJ8722"/>
      <c r="EK8722"/>
    </row>
    <row r="8723" spans="1:141" s="116" customFormat="1">
      <c r="A8723" s="136"/>
      <c r="CM8723" s="111"/>
      <c r="CQ8723" s="111"/>
      <c r="EF8723"/>
      <c r="EG8723"/>
      <c r="EH8723"/>
      <c r="EI8723"/>
      <c r="EJ8723"/>
      <c r="EK8723"/>
    </row>
    <row r="8724" spans="1:141" s="116" customFormat="1">
      <c r="A8724" s="136"/>
      <c r="CM8724" s="111"/>
      <c r="CQ8724" s="111"/>
      <c r="EF8724"/>
      <c r="EG8724"/>
      <c r="EH8724"/>
      <c r="EI8724"/>
      <c r="EJ8724"/>
      <c r="EK8724"/>
    </row>
    <row r="8725" spans="1:141" s="116" customFormat="1">
      <c r="A8725" s="136"/>
      <c r="CM8725" s="111"/>
      <c r="CQ8725" s="111"/>
      <c r="EF8725"/>
      <c r="EG8725"/>
      <c r="EH8725"/>
      <c r="EI8725"/>
      <c r="EJ8725"/>
      <c r="EK8725"/>
    </row>
    <row r="8726" spans="1:141" s="116" customFormat="1">
      <c r="A8726" s="136"/>
      <c r="CM8726" s="111"/>
      <c r="CQ8726" s="111"/>
      <c r="EF8726"/>
      <c r="EG8726"/>
      <c r="EH8726"/>
      <c r="EI8726"/>
      <c r="EJ8726"/>
      <c r="EK8726"/>
    </row>
    <row r="8727" spans="1:141" s="116" customFormat="1">
      <c r="A8727" s="136"/>
      <c r="CM8727" s="111"/>
      <c r="CQ8727" s="111"/>
      <c r="EF8727"/>
      <c r="EG8727"/>
      <c r="EH8727"/>
      <c r="EI8727"/>
      <c r="EJ8727"/>
      <c r="EK8727"/>
    </row>
    <row r="8728" spans="1:141" s="116" customFormat="1">
      <c r="A8728" s="136"/>
      <c r="CM8728" s="111"/>
      <c r="CQ8728" s="111"/>
      <c r="EF8728"/>
      <c r="EG8728"/>
      <c r="EH8728"/>
      <c r="EI8728"/>
      <c r="EJ8728"/>
      <c r="EK8728"/>
    </row>
    <row r="8729" spans="1:141" s="116" customFormat="1">
      <c r="A8729" s="136"/>
      <c r="CM8729" s="111"/>
      <c r="CQ8729" s="111"/>
      <c r="EF8729"/>
      <c r="EG8729"/>
      <c r="EH8729"/>
      <c r="EI8729"/>
      <c r="EJ8729"/>
      <c r="EK8729"/>
    </row>
    <row r="8730" spans="1:141" s="116" customFormat="1">
      <c r="A8730" s="136"/>
      <c r="CM8730" s="111"/>
      <c r="CQ8730" s="111"/>
      <c r="EF8730"/>
      <c r="EG8730"/>
      <c r="EH8730"/>
      <c r="EI8730"/>
      <c r="EJ8730"/>
      <c r="EK8730"/>
    </row>
    <row r="8731" spans="1:141" s="116" customFormat="1">
      <c r="A8731" s="136"/>
      <c r="CM8731" s="111"/>
      <c r="CQ8731" s="111"/>
      <c r="EF8731"/>
      <c r="EG8731"/>
      <c r="EH8731"/>
      <c r="EI8731"/>
      <c r="EJ8731"/>
      <c r="EK8731"/>
    </row>
    <row r="8732" spans="1:141" s="116" customFormat="1">
      <c r="A8732" s="136"/>
      <c r="CM8732" s="111"/>
      <c r="CQ8732" s="111"/>
      <c r="EF8732"/>
      <c r="EG8732"/>
      <c r="EH8732"/>
      <c r="EI8732"/>
      <c r="EJ8732"/>
      <c r="EK8732"/>
    </row>
    <row r="8733" spans="1:141" s="116" customFormat="1">
      <c r="A8733" s="136"/>
      <c r="CM8733" s="111"/>
      <c r="CQ8733" s="111"/>
      <c r="EF8733"/>
      <c r="EG8733"/>
      <c r="EH8733"/>
      <c r="EI8733"/>
      <c r="EJ8733"/>
      <c r="EK8733"/>
    </row>
    <row r="8734" spans="1:141" s="116" customFormat="1">
      <c r="A8734" s="136"/>
      <c r="CM8734" s="111"/>
      <c r="CQ8734" s="111"/>
      <c r="EF8734"/>
      <c r="EG8734"/>
      <c r="EH8734"/>
      <c r="EI8734"/>
      <c r="EJ8734"/>
      <c r="EK8734"/>
    </row>
    <row r="8735" spans="1:141" s="116" customFormat="1">
      <c r="A8735" s="136"/>
      <c r="CM8735" s="111"/>
      <c r="CQ8735" s="111"/>
      <c r="EF8735"/>
      <c r="EG8735"/>
      <c r="EH8735"/>
      <c r="EI8735"/>
      <c r="EJ8735"/>
      <c r="EK8735"/>
    </row>
    <row r="8736" spans="1:141" s="116" customFormat="1">
      <c r="A8736" s="136"/>
      <c r="CM8736" s="111"/>
      <c r="CQ8736" s="111"/>
      <c r="EF8736"/>
      <c r="EG8736"/>
      <c r="EH8736"/>
      <c r="EI8736"/>
      <c r="EJ8736"/>
      <c r="EK8736"/>
    </row>
    <row r="8737" spans="1:141" s="116" customFormat="1">
      <c r="A8737" s="136"/>
      <c r="CM8737" s="111"/>
      <c r="CQ8737" s="111"/>
      <c r="EF8737"/>
      <c r="EG8737"/>
      <c r="EH8737"/>
      <c r="EI8737"/>
      <c r="EJ8737"/>
      <c r="EK8737"/>
    </row>
    <row r="8738" spans="1:141" s="116" customFormat="1">
      <c r="A8738" s="136"/>
      <c r="CM8738" s="111"/>
      <c r="CQ8738" s="111"/>
      <c r="EF8738"/>
      <c r="EG8738"/>
      <c r="EH8738"/>
      <c r="EI8738"/>
      <c r="EJ8738"/>
      <c r="EK8738"/>
    </row>
    <row r="8739" spans="1:141" s="116" customFormat="1">
      <c r="A8739" s="136"/>
      <c r="CM8739" s="111"/>
      <c r="CQ8739" s="111"/>
      <c r="EF8739"/>
      <c r="EG8739"/>
      <c r="EH8739"/>
      <c r="EI8739"/>
      <c r="EJ8739"/>
      <c r="EK8739"/>
    </row>
    <row r="8740" spans="1:141" s="116" customFormat="1">
      <c r="A8740" s="136"/>
      <c r="CM8740" s="111"/>
      <c r="CQ8740" s="111"/>
      <c r="EF8740"/>
      <c r="EG8740"/>
      <c r="EH8740"/>
      <c r="EI8740"/>
      <c r="EJ8740"/>
      <c r="EK8740"/>
    </row>
    <row r="8741" spans="1:141" s="116" customFormat="1">
      <c r="A8741" s="136"/>
      <c r="CM8741" s="111"/>
      <c r="CQ8741" s="111"/>
      <c r="EF8741"/>
      <c r="EG8741"/>
      <c r="EH8741"/>
      <c r="EI8741"/>
      <c r="EJ8741"/>
      <c r="EK8741"/>
    </row>
    <row r="8742" spans="1:141" s="116" customFormat="1">
      <c r="A8742" s="136"/>
      <c r="CM8742" s="111"/>
      <c r="CQ8742" s="111"/>
      <c r="EF8742"/>
      <c r="EG8742"/>
      <c r="EH8742"/>
      <c r="EI8742"/>
      <c r="EJ8742"/>
      <c r="EK8742"/>
    </row>
    <row r="8743" spans="1:141" s="116" customFormat="1">
      <c r="A8743" s="136"/>
      <c r="CM8743" s="111"/>
      <c r="CQ8743" s="111"/>
      <c r="EF8743"/>
      <c r="EG8743"/>
      <c r="EH8743"/>
      <c r="EI8743"/>
      <c r="EJ8743"/>
      <c r="EK8743"/>
    </row>
    <row r="8744" spans="1:141" s="116" customFormat="1">
      <c r="A8744" s="136"/>
      <c r="CM8744" s="111"/>
      <c r="CQ8744" s="111"/>
      <c r="EF8744"/>
      <c r="EG8744"/>
      <c r="EH8744"/>
      <c r="EI8744"/>
      <c r="EJ8744"/>
      <c r="EK8744"/>
    </row>
    <row r="8745" spans="1:141" s="116" customFormat="1">
      <c r="A8745" s="136"/>
      <c r="CM8745" s="111"/>
      <c r="CQ8745" s="111"/>
      <c r="EF8745"/>
      <c r="EG8745"/>
      <c r="EH8745"/>
      <c r="EI8745"/>
      <c r="EJ8745"/>
      <c r="EK8745"/>
    </row>
    <row r="8746" spans="1:141" s="116" customFormat="1">
      <c r="A8746" s="136"/>
      <c r="CM8746" s="111"/>
      <c r="CQ8746" s="111"/>
      <c r="EF8746"/>
      <c r="EG8746"/>
      <c r="EH8746"/>
      <c r="EI8746"/>
      <c r="EJ8746"/>
      <c r="EK8746"/>
    </row>
    <row r="8747" spans="1:141" s="116" customFormat="1">
      <c r="A8747" s="136"/>
      <c r="CM8747" s="111"/>
      <c r="CQ8747" s="111"/>
      <c r="EF8747"/>
      <c r="EG8747"/>
      <c r="EH8747"/>
      <c r="EI8747"/>
      <c r="EJ8747"/>
      <c r="EK8747"/>
    </row>
    <row r="8748" spans="1:141" s="116" customFormat="1">
      <c r="A8748" s="136"/>
      <c r="CM8748" s="111"/>
      <c r="CQ8748" s="111"/>
      <c r="EF8748"/>
      <c r="EG8748"/>
      <c r="EH8748"/>
      <c r="EI8748"/>
      <c r="EJ8748"/>
      <c r="EK8748"/>
    </row>
    <row r="8749" spans="1:141" s="116" customFormat="1">
      <c r="A8749" s="136"/>
      <c r="CM8749" s="111"/>
      <c r="CQ8749" s="111"/>
      <c r="EF8749"/>
      <c r="EG8749"/>
      <c r="EH8749"/>
      <c r="EI8749"/>
      <c r="EJ8749"/>
      <c r="EK8749"/>
    </row>
    <row r="8750" spans="1:141" s="116" customFormat="1">
      <c r="A8750" s="136"/>
      <c r="CM8750" s="111"/>
      <c r="CQ8750" s="111"/>
      <c r="EF8750"/>
      <c r="EG8750"/>
      <c r="EH8750"/>
      <c r="EI8750"/>
      <c r="EJ8750"/>
      <c r="EK8750"/>
    </row>
    <row r="8751" spans="1:141" s="116" customFormat="1">
      <c r="A8751" s="136"/>
      <c r="CM8751" s="111"/>
      <c r="CQ8751" s="111"/>
      <c r="EF8751"/>
      <c r="EG8751"/>
      <c r="EH8751"/>
      <c r="EI8751"/>
      <c r="EJ8751"/>
      <c r="EK8751"/>
    </row>
    <row r="8752" spans="1:141" s="116" customFormat="1">
      <c r="A8752" s="136"/>
      <c r="CM8752" s="111"/>
      <c r="CQ8752" s="111"/>
      <c r="EF8752"/>
      <c r="EG8752"/>
      <c r="EH8752"/>
      <c r="EI8752"/>
      <c r="EJ8752"/>
      <c r="EK8752"/>
    </row>
    <row r="8753" spans="1:141" s="116" customFormat="1">
      <c r="A8753" s="136"/>
      <c r="CM8753" s="111"/>
      <c r="CQ8753" s="111"/>
      <c r="EF8753"/>
      <c r="EG8753"/>
      <c r="EH8753"/>
      <c r="EI8753"/>
      <c r="EJ8753"/>
      <c r="EK8753"/>
    </row>
    <row r="8754" spans="1:141" s="116" customFormat="1">
      <c r="A8754" s="136"/>
      <c r="CM8754" s="111"/>
      <c r="CQ8754" s="111"/>
      <c r="EF8754"/>
      <c r="EG8754"/>
      <c r="EH8754"/>
      <c r="EI8754"/>
      <c r="EJ8754"/>
      <c r="EK8754"/>
    </row>
    <row r="8755" spans="1:141" s="116" customFormat="1">
      <c r="A8755" s="136"/>
      <c r="CM8755" s="111"/>
      <c r="CQ8755" s="111"/>
      <c r="EF8755"/>
      <c r="EG8755"/>
      <c r="EH8755"/>
      <c r="EI8755"/>
      <c r="EJ8755"/>
      <c r="EK8755"/>
    </row>
    <row r="8756" spans="1:141" s="116" customFormat="1">
      <c r="A8756" s="136"/>
      <c r="CM8756" s="111"/>
      <c r="CQ8756" s="111"/>
      <c r="EF8756"/>
      <c r="EG8756"/>
      <c r="EH8756"/>
      <c r="EI8756"/>
      <c r="EJ8756"/>
      <c r="EK8756"/>
    </row>
    <row r="8757" spans="1:141" s="116" customFormat="1">
      <c r="A8757" s="136"/>
      <c r="CM8757" s="111"/>
      <c r="CQ8757" s="111"/>
      <c r="EF8757"/>
      <c r="EG8757"/>
      <c r="EH8757"/>
      <c r="EI8757"/>
      <c r="EJ8757"/>
      <c r="EK8757"/>
    </row>
    <row r="8758" spans="1:141" s="116" customFormat="1">
      <c r="A8758" s="136"/>
      <c r="CM8758" s="111"/>
      <c r="CQ8758" s="111"/>
      <c r="EF8758"/>
      <c r="EG8758"/>
      <c r="EH8758"/>
      <c r="EI8758"/>
      <c r="EJ8758"/>
      <c r="EK8758"/>
    </row>
    <row r="8759" spans="1:141" s="116" customFormat="1">
      <c r="A8759" s="136"/>
      <c r="CM8759" s="111"/>
      <c r="CQ8759" s="111"/>
      <c r="EF8759"/>
      <c r="EG8759"/>
      <c r="EH8759"/>
      <c r="EI8759"/>
      <c r="EJ8759"/>
      <c r="EK8759"/>
    </row>
    <row r="8760" spans="1:141" s="116" customFormat="1">
      <c r="A8760" s="136"/>
      <c r="CM8760" s="111"/>
      <c r="CQ8760" s="111"/>
      <c r="EF8760"/>
      <c r="EG8760"/>
      <c r="EH8760"/>
      <c r="EI8760"/>
      <c r="EJ8760"/>
      <c r="EK8760"/>
    </row>
    <row r="8761" spans="1:141" s="116" customFormat="1">
      <c r="A8761" s="136"/>
      <c r="CM8761" s="111"/>
      <c r="CQ8761" s="111"/>
      <c r="EF8761"/>
      <c r="EG8761"/>
      <c r="EH8761"/>
      <c r="EI8761"/>
      <c r="EJ8761"/>
      <c r="EK8761"/>
    </row>
    <row r="8762" spans="1:141" s="116" customFormat="1">
      <c r="A8762" s="136"/>
      <c r="CM8762" s="111"/>
      <c r="CQ8762" s="111"/>
      <c r="EF8762"/>
      <c r="EG8762"/>
      <c r="EH8762"/>
      <c r="EI8762"/>
      <c r="EJ8762"/>
      <c r="EK8762"/>
    </row>
    <row r="8763" spans="1:141" s="116" customFormat="1">
      <c r="A8763" s="136"/>
      <c r="CM8763" s="111"/>
      <c r="CQ8763" s="111"/>
      <c r="EF8763"/>
      <c r="EG8763"/>
      <c r="EH8763"/>
      <c r="EI8763"/>
      <c r="EJ8763"/>
      <c r="EK8763"/>
    </row>
    <row r="8764" spans="1:141" s="116" customFormat="1">
      <c r="A8764" s="136"/>
      <c r="CM8764" s="111"/>
      <c r="CQ8764" s="111"/>
      <c r="EF8764"/>
      <c r="EG8764"/>
      <c r="EH8764"/>
      <c r="EI8764"/>
      <c r="EJ8764"/>
      <c r="EK8764"/>
    </row>
    <row r="8765" spans="1:141" s="116" customFormat="1">
      <c r="A8765" s="136"/>
      <c r="CM8765" s="111"/>
      <c r="CQ8765" s="111"/>
      <c r="EF8765"/>
      <c r="EG8765"/>
      <c r="EH8765"/>
      <c r="EI8765"/>
      <c r="EJ8765"/>
      <c r="EK8765"/>
    </row>
    <row r="8766" spans="1:141" s="116" customFormat="1">
      <c r="A8766" s="136"/>
      <c r="CM8766" s="111"/>
      <c r="CQ8766" s="111"/>
      <c r="EF8766"/>
      <c r="EG8766"/>
      <c r="EH8766"/>
      <c r="EI8766"/>
      <c r="EJ8766"/>
      <c r="EK8766"/>
    </row>
    <row r="8767" spans="1:141" s="116" customFormat="1">
      <c r="A8767" s="136"/>
      <c r="CM8767" s="111"/>
      <c r="CQ8767" s="111"/>
      <c r="EF8767"/>
      <c r="EG8767"/>
      <c r="EH8767"/>
      <c r="EI8767"/>
      <c r="EJ8767"/>
      <c r="EK8767"/>
    </row>
    <row r="8768" spans="1:141" s="116" customFormat="1">
      <c r="A8768" s="136"/>
      <c r="CM8768" s="111"/>
      <c r="CQ8768" s="111"/>
      <c r="EF8768"/>
      <c r="EG8768"/>
      <c r="EH8768"/>
      <c r="EI8768"/>
      <c r="EJ8768"/>
      <c r="EK8768"/>
    </row>
    <row r="8769" spans="1:141" s="116" customFormat="1">
      <c r="A8769" s="136"/>
      <c r="CM8769" s="111"/>
      <c r="CQ8769" s="111"/>
      <c r="EF8769"/>
      <c r="EG8769"/>
      <c r="EH8769"/>
      <c r="EI8769"/>
      <c r="EJ8769"/>
      <c r="EK8769"/>
    </row>
    <row r="8770" spans="1:141" s="116" customFormat="1">
      <c r="A8770" s="136"/>
      <c r="CM8770" s="111"/>
      <c r="CQ8770" s="111"/>
      <c r="EF8770"/>
      <c r="EG8770"/>
      <c r="EH8770"/>
      <c r="EI8770"/>
      <c r="EJ8770"/>
      <c r="EK8770"/>
    </row>
    <row r="8771" spans="1:141" s="116" customFormat="1">
      <c r="A8771" s="136"/>
      <c r="CM8771" s="111"/>
      <c r="CQ8771" s="111"/>
      <c r="EF8771"/>
      <c r="EG8771"/>
      <c r="EH8771"/>
      <c r="EI8771"/>
      <c r="EJ8771"/>
      <c r="EK8771"/>
    </row>
    <row r="8772" spans="1:141" s="116" customFormat="1">
      <c r="A8772" s="136"/>
      <c r="CM8772" s="111"/>
      <c r="CQ8772" s="111"/>
      <c r="EF8772"/>
      <c r="EG8772"/>
      <c r="EH8772"/>
      <c r="EI8772"/>
      <c r="EJ8772"/>
      <c r="EK8772"/>
    </row>
    <row r="8773" spans="1:141" s="116" customFormat="1">
      <c r="A8773" s="136"/>
      <c r="CM8773" s="111"/>
      <c r="CQ8773" s="111"/>
      <c r="EF8773"/>
      <c r="EG8773"/>
      <c r="EH8773"/>
      <c r="EI8773"/>
      <c r="EJ8773"/>
      <c r="EK8773"/>
    </row>
    <row r="8774" spans="1:141" s="116" customFormat="1">
      <c r="A8774" s="136"/>
      <c r="CM8774" s="111"/>
      <c r="CQ8774" s="111"/>
      <c r="EF8774"/>
      <c r="EG8774"/>
      <c r="EH8774"/>
      <c r="EI8774"/>
      <c r="EJ8774"/>
      <c r="EK8774"/>
    </row>
    <row r="8775" spans="1:141" s="116" customFormat="1">
      <c r="A8775" s="136"/>
      <c r="CM8775" s="111"/>
      <c r="CQ8775" s="111"/>
      <c r="EF8775"/>
      <c r="EG8775"/>
      <c r="EH8775"/>
      <c r="EI8775"/>
      <c r="EJ8775"/>
      <c r="EK8775"/>
    </row>
    <row r="8776" spans="1:141" s="116" customFormat="1">
      <c r="A8776" s="136"/>
      <c r="CM8776" s="111"/>
      <c r="CQ8776" s="111"/>
      <c r="EF8776"/>
      <c r="EG8776"/>
      <c r="EH8776"/>
      <c r="EI8776"/>
      <c r="EJ8776"/>
      <c r="EK8776"/>
    </row>
    <row r="8777" spans="1:141" s="116" customFormat="1">
      <c r="A8777" s="136"/>
      <c r="CM8777" s="111"/>
      <c r="CQ8777" s="111"/>
      <c r="EF8777"/>
      <c r="EG8777"/>
      <c r="EH8777"/>
      <c r="EI8777"/>
      <c r="EJ8777"/>
      <c r="EK8777"/>
    </row>
    <row r="8778" spans="1:141" s="116" customFormat="1">
      <c r="A8778" s="136"/>
      <c r="CM8778" s="111"/>
      <c r="CQ8778" s="111"/>
      <c r="EF8778"/>
      <c r="EG8778"/>
      <c r="EH8778"/>
      <c r="EI8778"/>
      <c r="EJ8778"/>
      <c r="EK8778"/>
    </row>
    <row r="8779" spans="1:141" s="116" customFormat="1">
      <c r="A8779" s="136"/>
      <c r="CM8779" s="111"/>
      <c r="CQ8779" s="111"/>
      <c r="EF8779"/>
      <c r="EG8779"/>
      <c r="EH8779"/>
      <c r="EI8779"/>
      <c r="EJ8779"/>
      <c r="EK8779"/>
    </row>
    <row r="8780" spans="1:141" s="116" customFormat="1">
      <c r="A8780" s="136"/>
      <c r="CM8780" s="111"/>
      <c r="CQ8780" s="111"/>
      <c r="EF8780"/>
      <c r="EG8780"/>
      <c r="EH8780"/>
      <c r="EI8780"/>
      <c r="EJ8780"/>
      <c r="EK8780"/>
    </row>
    <row r="8781" spans="1:141" s="116" customFormat="1">
      <c r="A8781" s="136"/>
      <c r="CM8781" s="111"/>
      <c r="CQ8781" s="111"/>
      <c r="EF8781"/>
      <c r="EG8781"/>
      <c r="EH8781"/>
      <c r="EI8781"/>
      <c r="EJ8781"/>
      <c r="EK8781"/>
    </row>
    <row r="8782" spans="1:141" s="116" customFormat="1">
      <c r="A8782" s="136"/>
      <c r="CM8782" s="111"/>
      <c r="CQ8782" s="111"/>
      <c r="EF8782"/>
      <c r="EG8782"/>
      <c r="EH8782"/>
      <c r="EI8782"/>
      <c r="EJ8782"/>
      <c r="EK8782"/>
    </row>
    <row r="8783" spans="1:141" s="116" customFormat="1">
      <c r="A8783" s="136"/>
      <c r="CM8783" s="111"/>
      <c r="CQ8783" s="111"/>
      <c r="EF8783"/>
      <c r="EG8783"/>
      <c r="EH8783"/>
      <c r="EI8783"/>
      <c r="EJ8783"/>
      <c r="EK8783"/>
    </row>
    <row r="8784" spans="1:141" s="116" customFormat="1">
      <c r="A8784" s="136"/>
      <c r="CM8784" s="111"/>
      <c r="CQ8784" s="111"/>
      <c r="EF8784"/>
      <c r="EG8784"/>
      <c r="EH8784"/>
      <c r="EI8784"/>
      <c r="EJ8784"/>
      <c r="EK8784"/>
    </row>
    <row r="8785" spans="1:141" s="116" customFormat="1">
      <c r="A8785" s="136"/>
      <c r="CM8785" s="111"/>
      <c r="CQ8785" s="111"/>
      <c r="EF8785"/>
      <c r="EG8785"/>
      <c r="EH8785"/>
      <c r="EI8785"/>
      <c r="EJ8785"/>
      <c r="EK8785"/>
    </row>
    <row r="8786" spans="1:141" s="116" customFormat="1">
      <c r="A8786" s="136"/>
      <c r="CM8786" s="111"/>
      <c r="CQ8786" s="111"/>
      <c r="EF8786"/>
      <c r="EG8786"/>
      <c r="EH8786"/>
      <c r="EI8786"/>
      <c r="EJ8786"/>
      <c r="EK8786"/>
    </row>
    <row r="8787" spans="1:141" s="116" customFormat="1">
      <c r="A8787" s="136"/>
      <c r="CM8787" s="111"/>
      <c r="CQ8787" s="111"/>
      <c r="EF8787"/>
      <c r="EG8787"/>
      <c r="EH8787"/>
      <c r="EI8787"/>
      <c r="EJ8787"/>
      <c r="EK8787"/>
    </row>
    <row r="8788" spans="1:141" s="116" customFormat="1">
      <c r="A8788" s="136"/>
      <c r="CM8788" s="111"/>
      <c r="CQ8788" s="111"/>
      <c r="EF8788"/>
      <c r="EG8788"/>
      <c r="EH8788"/>
      <c r="EI8788"/>
      <c r="EJ8788"/>
      <c r="EK8788"/>
    </row>
    <row r="8789" spans="1:141" s="116" customFormat="1">
      <c r="A8789" s="136"/>
      <c r="CM8789" s="111"/>
      <c r="CQ8789" s="111"/>
      <c r="EF8789"/>
      <c r="EG8789"/>
      <c r="EH8789"/>
      <c r="EI8789"/>
      <c r="EJ8789"/>
      <c r="EK8789"/>
    </row>
    <row r="8790" spans="1:141" s="116" customFormat="1">
      <c r="A8790" s="136"/>
      <c r="CM8790" s="111"/>
      <c r="CQ8790" s="111"/>
      <c r="EF8790"/>
      <c r="EG8790"/>
      <c r="EH8790"/>
      <c r="EI8790"/>
      <c r="EJ8790"/>
      <c r="EK8790"/>
    </row>
    <row r="8791" spans="1:141" s="116" customFormat="1">
      <c r="A8791" s="136"/>
      <c r="CM8791" s="111"/>
      <c r="CQ8791" s="111"/>
      <c r="EF8791"/>
      <c r="EG8791"/>
      <c r="EH8791"/>
      <c r="EI8791"/>
      <c r="EJ8791"/>
      <c r="EK8791"/>
    </row>
    <row r="8792" spans="1:141" s="116" customFormat="1">
      <c r="A8792" s="136"/>
      <c r="CM8792" s="111"/>
      <c r="CQ8792" s="111"/>
      <c r="EF8792"/>
      <c r="EG8792"/>
      <c r="EH8792"/>
      <c r="EI8792"/>
      <c r="EJ8792"/>
      <c r="EK8792"/>
    </row>
    <row r="8793" spans="1:141" s="116" customFormat="1">
      <c r="A8793" s="136"/>
      <c r="CM8793" s="111"/>
      <c r="CQ8793" s="111"/>
      <c r="EF8793"/>
      <c r="EG8793"/>
      <c r="EH8793"/>
      <c r="EI8793"/>
      <c r="EJ8793"/>
      <c r="EK8793"/>
    </row>
    <row r="8794" spans="1:141" s="116" customFormat="1">
      <c r="A8794" s="136"/>
      <c r="CM8794" s="111"/>
      <c r="CQ8794" s="111"/>
      <c r="EF8794"/>
      <c r="EG8794"/>
      <c r="EH8794"/>
      <c r="EI8794"/>
      <c r="EJ8794"/>
      <c r="EK8794"/>
    </row>
    <row r="8795" spans="1:141" s="116" customFormat="1">
      <c r="A8795" s="136"/>
      <c r="CM8795" s="111"/>
      <c r="CQ8795" s="111"/>
      <c r="EF8795"/>
      <c r="EG8795"/>
      <c r="EH8795"/>
      <c r="EI8795"/>
      <c r="EJ8795"/>
      <c r="EK8795"/>
    </row>
    <row r="8796" spans="1:141" s="116" customFormat="1">
      <c r="A8796" s="136"/>
      <c r="CM8796" s="111"/>
      <c r="CQ8796" s="111"/>
      <c r="EF8796"/>
      <c r="EG8796"/>
      <c r="EH8796"/>
      <c r="EI8796"/>
      <c r="EJ8796"/>
      <c r="EK8796"/>
    </row>
    <row r="8797" spans="1:141" s="116" customFormat="1">
      <c r="A8797" s="136"/>
      <c r="CM8797" s="111"/>
      <c r="CQ8797" s="111"/>
      <c r="EF8797"/>
      <c r="EG8797"/>
      <c r="EH8797"/>
      <c r="EI8797"/>
      <c r="EJ8797"/>
      <c r="EK8797"/>
    </row>
    <row r="8798" spans="1:141" s="116" customFormat="1">
      <c r="A8798" s="136"/>
      <c r="CM8798" s="111"/>
      <c r="CQ8798" s="111"/>
      <c r="EF8798"/>
      <c r="EG8798"/>
      <c r="EH8798"/>
      <c r="EI8798"/>
      <c r="EJ8798"/>
      <c r="EK8798"/>
    </row>
    <row r="8799" spans="1:141" s="116" customFormat="1">
      <c r="A8799" s="136"/>
      <c r="CM8799" s="111"/>
      <c r="CQ8799" s="111"/>
      <c r="EF8799"/>
      <c r="EG8799"/>
      <c r="EH8799"/>
      <c r="EI8799"/>
      <c r="EJ8799"/>
      <c r="EK8799"/>
    </row>
    <row r="8800" spans="1:141" s="116" customFormat="1">
      <c r="A8800" s="136"/>
      <c r="CM8800" s="111"/>
      <c r="CQ8800" s="111"/>
      <c r="EF8800"/>
      <c r="EG8800"/>
      <c r="EH8800"/>
      <c r="EI8800"/>
      <c r="EJ8800"/>
      <c r="EK8800"/>
    </row>
    <row r="8801" spans="1:141" s="116" customFormat="1">
      <c r="A8801" s="136"/>
      <c r="CM8801" s="111"/>
      <c r="CQ8801" s="111"/>
      <c r="EF8801"/>
      <c r="EG8801"/>
      <c r="EH8801"/>
      <c r="EI8801"/>
      <c r="EJ8801"/>
      <c r="EK8801"/>
    </row>
    <row r="8802" spans="1:141" s="116" customFormat="1">
      <c r="A8802" s="136"/>
      <c r="CM8802" s="111"/>
      <c r="CQ8802" s="111"/>
      <c r="EF8802"/>
      <c r="EG8802"/>
      <c r="EH8802"/>
      <c r="EI8802"/>
      <c r="EJ8802"/>
      <c r="EK8802"/>
    </row>
    <row r="8803" spans="1:141" s="116" customFormat="1">
      <c r="A8803" s="136"/>
      <c r="CM8803" s="111"/>
      <c r="CQ8803" s="111"/>
      <c r="EF8803"/>
      <c r="EG8803"/>
      <c r="EH8803"/>
      <c r="EI8803"/>
      <c r="EJ8803"/>
      <c r="EK8803"/>
    </row>
    <row r="8804" spans="1:141" s="116" customFormat="1">
      <c r="A8804" s="136"/>
      <c r="CM8804" s="111"/>
      <c r="CQ8804" s="111"/>
      <c r="EF8804"/>
      <c r="EG8804"/>
      <c r="EH8804"/>
      <c r="EI8804"/>
      <c r="EJ8804"/>
      <c r="EK8804"/>
    </row>
    <row r="8805" spans="1:141" s="116" customFormat="1">
      <c r="A8805" s="136"/>
      <c r="CM8805" s="111"/>
      <c r="CQ8805" s="111"/>
      <c r="EF8805"/>
      <c r="EG8805"/>
      <c r="EH8805"/>
      <c r="EI8805"/>
      <c r="EJ8805"/>
      <c r="EK8805"/>
    </row>
    <row r="8806" spans="1:141" s="116" customFormat="1">
      <c r="A8806" s="136"/>
      <c r="CM8806" s="111"/>
      <c r="CQ8806" s="111"/>
      <c r="EF8806"/>
      <c r="EG8806"/>
      <c r="EH8806"/>
      <c r="EI8806"/>
      <c r="EJ8806"/>
      <c r="EK8806"/>
    </row>
    <row r="8807" spans="1:141" s="116" customFormat="1">
      <c r="A8807" s="136"/>
      <c r="CM8807" s="111"/>
      <c r="CQ8807" s="111"/>
      <c r="EF8807"/>
      <c r="EG8807"/>
      <c r="EH8807"/>
      <c r="EI8807"/>
      <c r="EJ8807"/>
      <c r="EK8807"/>
    </row>
    <row r="8808" spans="1:141" s="116" customFormat="1">
      <c r="A8808" s="136"/>
      <c r="CM8808" s="111"/>
      <c r="CQ8808" s="111"/>
      <c r="EF8808"/>
      <c r="EG8808"/>
      <c r="EH8808"/>
      <c r="EI8808"/>
      <c r="EJ8808"/>
      <c r="EK8808"/>
    </row>
    <row r="8809" spans="1:141" s="116" customFormat="1">
      <c r="A8809" s="136"/>
      <c r="CM8809" s="111"/>
      <c r="CQ8809" s="111"/>
      <c r="EF8809"/>
      <c r="EG8809"/>
      <c r="EH8809"/>
      <c r="EI8809"/>
      <c r="EJ8809"/>
      <c r="EK8809"/>
    </row>
    <row r="8810" spans="1:141" s="116" customFormat="1">
      <c r="A8810" s="136"/>
      <c r="CM8810" s="111"/>
      <c r="CQ8810" s="111"/>
      <c r="EF8810"/>
      <c r="EG8810"/>
      <c r="EH8810"/>
      <c r="EI8810"/>
      <c r="EJ8810"/>
      <c r="EK8810"/>
    </row>
    <row r="8811" spans="1:141" s="116" customFormat="1">
      <c r="A8811" s="136"/>
      <c r="CM8811" s="111"/>
      <c r="CQ8811" s="111"/>
      <c r="EF8811"/>
      <c r="EG8811"/>
      <c r="EH8811"/>
      <c r="EI8811"/>
      <c r="EJ8811"/>
      <c r="EK8811"/>
    </row>
    <row r="8812" spans="1:141" s="116" customFormat="1">
      <c r="A8812" s="136"/>
      <c r="CM8812" s="111"/>
      <c r="CQ8812" s="111"/>
      <c r="EF8812"/>
      <c r="EG8812"/>
      <c r="EH8812"/>
      <c r="EI8812"/>
      <c r="EJ8812"/>
      <c r="EK8812"/>
    </row>
    <row r="8813" spans="1:141" s="116" customFormat="1">
      <c r="A8813" s="136"/>
      <c r="CM8813" s="111"/>
      <c r="CQ8813" s="111"/>
      <c r="EF8813"/>
      <c r="EG8813"/>
      <c r="EH8813"/>
      <c r="EI8813"/>
      <c r="EJ8813"/>
      <c r="EK8813"/>
    </row>
    <row r="8814" spans="1:141" s="116" customFormat="1">
      <c r="A8814" s="136"/>
      <c r="CM8814" s="111"/>
      <c r="CQ8814" s="111"/>
      <c r="EF8814"/>
      <c r="EG8814"/>
      <c r="EH8814"/>
      <c r="EI8814"/>
      <c r="EJ8814"/>
      <c r="EK8814"/>
    </row>
    <row r="8815" spans="1:141" s="116" customFormat="1">
      <c r="A8815" s="136"/>
      <c r="CM8815" s="111"/>
      <c r="CQ8815" s="111"/>
      <c r="EF8815"/>
      <c r="EG8815"/>
      <c r="EH8815"/>
      <c r="EI8815"/>
      <c r="EJ8815"/>
      <c r="EK8815"/>
    </row>
    <row r="8816" spans="1:141" s="116" customFormat="1">
      <c r="A8816" s="136"/>
      <c r="CM8816" s="111"/>
      <c r="CQ8816" s="111"/>
      <c r="EF8816"/>
      <c r="EG8816"/>
      <c r="EH8816"/>
      <c r="EI8816"/>
      <c r="EJ8816"/>
      <c r="EK8816"/>
    </row>
    <row r="8817" spans="1:141" s="116" customFormat="1">
      <c r="A8817" s="136"/>
      <c r="CM8817" s="111"/>
      <c r="CQ8817" s="111"/>
      <c r="EF8817"/>
      <c r="EG8817"/>
      <c r="EH8817"/>
      <c r="EI8817"/>
      <c r="EJ8817"/>
      <c r="EK8817"/>
    </row>
    <row r="8818" spans="1:141" s="116" customFormat="1">
      <c r="A8818" s="136"/>
      <c r="CM8818" s="111"/>
      <c r="CQ8818" s="111"/>
      <c r="EF8818"/>
      <c r="EG8818"/>
      <c r="EH8818"/>
      <c r="EI8818"/>
      <c r="EJ8818"/>
      <c r="EK8818"/>
    </row>
    <row r="8819" spans="1:141" s="116" customFormat="1">
      <c r="A8819" s="136"/>
      <c r="CM8819" s="111"/>
      <c r="CQ8819" s="111"/>
      <c r="EF8819"/>
      <c r="EG8819"/>
      <c r="EH8819"/>
      <c r="EI8819"/>
      <c r="EJ8819"/>
      <c r="EK8819"/>
    </row>
    <row r="8820" spans="1:141" s="116" customFormat="1">
      <c r="A8820" s="136"/>
      <c r="CM8820" s="111"/>
      <c r="CQ8820" s="111"/>
      <c r="EF8820"/>
      <c r="EG8820"/>
      <c r="EH8820"/>
      <c r="EI8820"/>
      <c r="EJ8820"/>
      <c r="EK8820"/>
    </row>
    <row r="8821" spans="1:141" s="116" customFormat="1">
      <c r="A8821" s="136"/>
      <c r="CM8821" s="111"/>
      <c r="CQ8821" s="111"/>
      <c r="EF8821"/>
      <c r="EG8821"/>
      <c r="EH8821"/>
      <c r="EI8821"/>
      <c r="EJ8821"/>
      <c r="EK8821"/>
    </row>
    <row r="8822" spans="1:141" s="116" customFormat="1">
      <c r="A8822" s="136"/>
      <c r="CM8822" s="111"/>
      <c r="CQ8822" s="111"/>
      <c r="EF8822"/>
      <c r="EG8822"/>
      <c r="EH8822"/>
      <c r="EI8822"/>
      <c r="EJ8822"/>
      <c r="EK8822"/>
    </row>
    <row r="8823" spans="1:141" s="116" customFormat="1">
      <c r="A8823" s="136"/>
      <c r="CM8823" s="111"/>
      <c r="CQ8823" s="111"/>
      <c r="EF8823"/>
      <c r="EG8823"/>
      <c r="EH8823"/>
      <c r="EI8823"/>
      <c r="EJ8823"/>
      <c r="EK8823"/>
    </row>
    <row r="8824" spans="1:141" s="116" customFormat="1">
      <c r="A8824" s="136"/>
      <c r="CM8824" s="111"/>
      <c r="CQ8824" s="111"/>
      <c r="EF8824"/>
      <c r="EG8824"/>
      <c r="EH8824"/>
      <c r="EI8824"/>
      <c r="EJ8824"/>
      <c r="EK8824"/>
    </row>
    <row r="8825" spans="1:141" s="116" customFormat="1">
      <c r="A8825" s="136"/>
      <c r="CM8825" s="111"/>
      <c r="CQ8825" s="111"/>
      <c r="EF8825"/>
      <c r="EG8825"/>
      <c r="EH8825"/>
      <c r="EI8825"/>
      <c r="EJ8825"/>
      <c r="EK8825"/>
    </row>
    <row r="8826" spans="1:141" s="116" customFormat="1">
      <c r="A8826" s="136"/>
      <c r="CM8826" s="111"/>
      <c r="CQ8826" s="111"/>
      <c r="EF8826"/>
      <c r="EG8826"/>
      <c r="EH8826"/>
      <c r="EI8826"/>
      <c r="EJ8826"/>
      <c r="EK8826"/>
    </row>
    <row r="8827" spans="1:141" s="116" customFormat="1">
      <c r="A8827" s="136"/>
      <c r="CM8827" s="111"/>
      <c r="CQ8827" s="111"/>
      <c r="EF8827"/>
      <c r="EG8827"/>
      <c r="EH8827"/>
      <c r="EI8827"/>
      <c r="EJ8827"/>
      <c r="EK8827"/>
    </row>
    <row r="8828" spans="1:141" s="116" customFormat="1">
      <c r="A8828" s="136"/>
      <c r="CM8828" s="111"/>
      <c r="CQ8828" s="111"/>
      <c r="EF8828"/>
      <c r="EG8828"/>
      <c r="EH8828"/>
      <c r="EI8828"/>
      <c r="EJ8828"/>
      <c r="EK8828"/>
    </row>
    <row r="8829" spans="1:141" s="116" customFormat="1">
      <c r="A8829" s="136"/>
      <c r="CM8829" s="111"/>
      <c r="CQ8829" s="111"/>
      <c r="EF8829"/>
      <c r="EG8829"/>
      <c r="EH8829"/>
      <c r="EI8829"/>
      <c r="EJ8829"/>
      <c r="EK8829"/>
    </row>
    <row r="8830" spans="1:141" s="116" customFormat="1">
      <c r="A8830" s="136"/>
      <c r="CM8830" s="111"/>
      <c r="CQ8830" s="111"/>
      <c r="EF8830"/>
      <c r="EG8830"/>
      <c r="EH8830"/>
      <c r="EI8830"/>
      <c r="EJ8830"/>
      <c r="EK8830"/>
    </row>
    <row r="8831" spans="1:141" s="116" customFormat="1">
      <c r="A8831" s="136"/>
      <c r="CM8831" s="111"/>
      <c r="CQ8831" s="111"/>
      <c r="EF8831"/>
      <c r="EG8831"/>
      <c r="EH8831"/>
      <c r="EI8831"/>
      <c r="EJ8831"/>
      <c r="EK8831"/>
    </row>
    <row r="8832" spans="1:141" s="116" customFormat="1">
      <c r="A8832" s="136"/>
      <c r="CM8832" s="111"/>
      <c r="CQ8832" s="111"/>
      <c r="EF8832"/>
      <c r="EG8832"/>
      <c r="EH8832"/>
      <c r="EI8832"/>
      <c r="EJ8832"/>
      <c r="EK8832"/>
    </row>
    <row r="8833" spans="1:141" s="116" customFormat="1">
      <c r="A8833" s="136"/>
      <c r="CM8833" s="111"/>
      <c r="CQ8833" s="111"/>
      <c r="EF8833"/>
      <c r="EG8833"/>
      <c r="EH8833"/>
      <c r="EI8833"/>
      <c r="EJ8833"/>
      <c r="EK8833"/>
    </row>
    <row r="8834" spans="1:141" s="116" customFormat="1">
      <c r="A8834" s="136"/>
      <c r="CM8834" s="111"/>
      <c r="CQ8834" s="111"/>
      <c r="EF8834"/>
      <c r="EG8834"/>
      <c r="EH8834"/>
      <c r="EI8834"/>
      <c r="EJ8834"/>
      <c r="EK8834"/>
    </row>
    <row r="8835" spans="1:141" s="116" customFormat="1">
      <c r="A8835" s="136"/>
      <c r="CM8835" s="111"/>
      <c r="CQ8835" s="111"/>
      <c r="EF8835"/>
      <c r="EG8835"/>
      <c r="EH8835"/>
      <c r="EI8835"/>
      <c r="EJ8835"/>
      <c r="EK8835"/>
    </row>
    <row r="8836" spans="1:141" s="116" customFormat="1">
      <c r="A8836" s="136"/>
      <c r="CM8836" s="111"/>
      <c r="CQ8836" s="111"/>
      <c r="EF8836"/>
      <c r="EG8836"/>
      <c r="EH8836"/>
      <c r="EI8836"/>
      <c r="EJ8836"/>
      <c r="EK8836"/>
    </row>
    <row r="8837" spans="1:141" s="116" customFormat="1">
      <c r="A8837" s="136"/>
      <c r="CM8837" s="111"/>
      <c r="CQ8837" s="111"/>
      <c r="EF8837"/>
      <c r="EG8837"/>
      <c r="EH8837"/>
      <c r="EI8837"/>
      <c r="EJ8837"/>
      <c r="EK8837"/>
    </row>
    <row r="8838" spans="1:141" s="116" customFormat="1">
      <c r="A8838" s="136"/>
      <c r="CM8838" s="111"/>
      <c r="CQ8838" s="111"/>
      <c r="EF8838"/>
      <c r="EG8838"/>
      <c r="EH8838"/>
      <c r="EI8838"/>
      <c r="EJ8838"/>
      <c r="EK8838"/>
    </row>
    <row r="8839" spans="1:141" s="116" customFormat="1">
      <c r="A8839" s="136"/>
      <c r="CM8839" s="111"/>
      <c r="CQ8839" s="111"/>
      <c r="EF8839"/>
      <c r="EG8839"/>
      <c r="EH8839"/>
      <c r="EI8839"/>
      <c r="EJ8839"/>
      <c r="EK8839"/>
    </row>
    <row r="8840" spans="1:141" s="116" customFormat="1">
      <c r="A8840" s="136"/>
      <c r="CM8840" s="111"/>
      <c r="CQ8840" s="111"/>
      <c r="EF8840"/>
      <c r="EG8840"/>
      <c r="EH8840"/>
      <c r="EI8840"/>
      <c r="EJ8840"/>
      <c r="EK8840"/>
    </row>
    <row r="8841" spans="1:141" s="116" customFormat="1">
      <c r="A8841" s="136"/>
      <c r="CM8841" s="111"/>
      <c r="CQ8841" s="111"/>
      <c r="EF8841"/>
      <c r="EG8841"/>
      <c r="EH8841"/>
      <c r="EI8841"/>
      <c r="EJ8841"/>
      <c r="EK8841"/>
    </row>
    <row r="8842" spans="1:141" s="116" customFormat="1">
      <c r="A8842" s="136"/>
      <c r="CM8842" s="111"/>
      <c r="CQ8842" s="111"/>
      <c r="EF8842"/>
      <c r="EG8842"/>
      <c r="EH8842"/>
      <c r="EI8842"/>
      <c r="EJ8842"/>
      <c r="EK8842"/>
    </row>
    <row r="8843" spans="1:141" s="116" customFormat="1">
      <c r="A8843" s="136"/>
      <c r="CM8843" s="111"/>
      <c r="CQ8843" s="111"/>
      <c r="EF8843"/>
      <c r="EG8843"/>
      <c r="EH8843"/>
      <c r="EI8843"/>
      <c r="EJ8843"/>
      <c r="EK8843"/>
    </row>
    <row r="8844" spans="1:141" s="116" customFormat="1">
      <c r="A8844" s="136"/>
      <c r="CM8844" s="111"/>
      <c r="CQ8844" s="111"/>
      <c r="EF8844"/>
      <c r="EG8844"/>
      <c r="EH8844"/>
      <c r="EI8844"/>
      <c r="EJ8844"/>
      <c r="EK8844"/>
    </row>
    <row r="8845" spans="1:141" s="116" customFormat="1">
      <c r="A8845" s="136"/>
      <c r="CM8845" s="111"/>
      <c r="CQ8845" s="111"/>
      <c r="EF8845"/>
      <c r="EG8845"/>
      <c r="EH8845"/>
      <c r="EI8845"/>
      <c r="EJ8845"/>
      <c r="EK8845"/>
    </row>
    <row r="8846" spans="1:141" s="116" customFormat="1">
      <c r="A8846" s="136"/>
      <c r="CM8846" s="111"/>
      <c r="CQ8846" s="111"/>
      <c r="EF8846"/>
      <c r="EG8846"/>
      <c r="EH8846"/>
      <c r="EI8846"/>
      <c r="EJ8846"/>
      <c r="EK8846"/>
    </row>
    <row r="8847" spans="1:141" s="116" customFormat="1">
      <c r="A8847" s="136"/>
      <c r="CM8847" s="111"/>
      <c r="CQ8847" s="111"/>
      <c r="EF8847"/>
      <c r="EG8847"/>
      <c r="EH8847"/>
      <c r="EI8847"/>
      <c r="EJ8847"/>
      <c r="EK8847"/>
    </row>
    <row r="8848" spans="1:141" s="116" customFormat="1">
      <c r="A8848" s="136"/>
      <c r="CM8848" s="111"/>
      <c r="CQ8848" s="111"/>
      <c r="EF8848"/>
      <c r="EG8848"/>
      <c r="EH8848"/>
      <c r="EI8848"/>
      <c r="EJ8848"/>
      <c r="EK8848"/>
    </row>
    <row r="8849" spans="1:141" s="116" customFormat="1">
      <c r="A8849" s="136"/>
      <c r="CM8849" s="111"/>
      <c r="CQ8849" s="111"/>
      <c r="EF8849"/>
      <c r="EG8849"/>
      <c r="EH8849"/>
      <c r="EI8849"/>
      <c r="EJ8849"/>
      <c r="EK8849"/>
    </row>
    <row r="8850" spans="1:141" s="116" customFormat="1">
      <c r="A8850" s="136"/>
      <c r="CM8850" s="111"/>
      <c r="CQ8850" s="111"/>
      <c r="EF8850"/>
      <c r="EG8850"/>
      <c r="EH8850"/>
      <c r="EI8850"/>
      <c r="EJ8850"/>
      <c r="EK8850"/>
    </row>
    <row r="8851" spans="1:141" s="116" customFormat="1">
      <c r="A8851" s="136"/>
      <c r="CM8851" s="111"/>
      <c r="CQ8851" s="111"/>
      <c r="EF8851"/>
      <c r="EG8851"/>
      <c r="EH8851"/>
      <c r="EI8851"/>
      <c r="EJ8851"/>
      <c r="EK8851"/>
    </row>
    <row r="8852" spans="1:141" s="116" customFormat="1">
      <c r="A8852" s="136"/>
      <c r="CM8852" s="111"/>
      <c r="CQ8852" s="111"/>
      <c r="EF8852"/>
      <c r="EG8852"/>
      <c r="EH8852"/>
      <c r="EI8852"/>
      <c r="EJ8852"/>
      <c r="EK8852"/>
    </row>
    <row r="8853" spans="1:141" s="116" customFormat="1">
      <c r="A8853" s="136"/>
      <c r="CM8853" s="111"/>
      <c r="CQ8853" s="111"/>
      <c r="EF8853"/>
      <c r="EG8853"/>
      <c r="EH8853"/>
      <c r="EI8853"/>
      <c r="EJ8853"/>
      <c r="EK8853"/>
    </row>
    <row r="8854" spans="1:141" s="116" customFormat="1">
      <c r="A8854" s="136"/>
      <c r="CM8854" s="111"/>
      <c r="CQ8854" s="111"/>
      <c r="EF8854"/>
      <c r="EG8854"/>
      <c r="EH8854"/>
      <c r="EI8854"/>
      <c r="EJ8854"/>
      <c r="EK8854"/>
    </row>
    <row r="8855" spans="1:141" s="116" customFormat="1">
      <c r="A8855" s="136"/>
      <c r="CM8855" s="111"/>
      <c r="CQ8855" s="111"/>
      <c r="EF8855"/>
      <c r="EG8855"/>
      <c r="EH8855"/>
      <c r="EI8855"/>
      <c r="EJ8855"/>
      <c r="EK8855"/>
    </row>
    <row r="8856" spans="1:141" s="116" customFormat="1">
      <c r="A8856" s="136"/>
      <c r="CM8856" s="111"/>
      <c r="CQ8856" s="111"/>
      <c r="EF8856"/>
      <c r="EG8856"/>
      <c r="EH8856"/>
      <c r="EI8856"/>
      <c r="EJ8856"/>
      <c r="EK8856"/>
    </row>
    <row r="8857" spans="1:141" s="116" customFormat="1">
      <c r="A8857" s="136"/>
      <c r="CM8857" s="111"/>
      <c r="CQ8857" s="111"/>
      <c r="EF8857"/>
      <c r="EG8857"/>
      <c r="EH8857"/>
      <c r="EI8857"/>
      <c r="EJ8857"/>
      <c r="EK8857"/>
    </row>
    <row r="8858" spans="1:141" s="116" customFormat="1">
      <c r="A8858" s="136"/>
      <c r="CM8858" s="111"/>
      <c r="CQ8858" s="111"/>
      <c r="EF8858"/>
      <c r="EG8858"/>
      <c r="EH8858"/>
      <c r="EI8858"/>
      <c r="EJ8858"/>
      <c r="EK8858"/>
    </row>
    <row r="8859" spans="1:141" s="116" customFormat="1">
      <c r="A8859" s="136"/>
      <c r="CM8859" s="111"/>
      <c r="CQ8859" s="111"/>
      <c r="EF8859"/>
      <c r="EG8859"/>
      <c r="EH8859"/>
      <c r="EI8859"/>
      <c r="EJ8859"/>
      <c r="EK8859"/>
    </row>
    <row r="8860" spans="1:141" s="116" customFormat="1">
      <c r="A8860" s="136"/>
      <c r="CM8860" s="111"/>
      <c r="CQ8860" s="111"/>
      <c r="EF8860"/>
      <c r="EG8860"/>
      <c r="EH8860"/>
      <c r="EI8860"/>
      <c r="EJ8860"/>
      <c r="EK8860"/>
    </row>
    <row r="8861" spans="1:141" s="116" customFormat="1">
      <c r="A8861" s="136"/>
      <c r="CM8861" s="111"/>
      <c r="CQ8861" s="111"/>
      <c r="EF8861"/>
      <c r="EG8861"/>
      <c r="EH8861"/>
      <c r="EI8861"/>
      <c r="EJ8861"/>
      <c r="EK8861"/>
    </row>
    <row r="8862" spans="1:141" s="116" customFormat="1">
      <c r="A8862" s="136"/>
      <c r="CM8862" s="111"/>
      <c r="CQ8862" s="111"/>
      <c r="EF8862"/>
      <c r="EG8862"/>
      <c r="EH8862"/>
      <c r="EI8862"/>
      <c r="EJ8862"/>
      <c r="EK8862"/>
    </row>
    <row r="8863" spans="1:141" s="116" customFormat="1">
      <c r="A8863" s="136"/>
      <c r="CM8863" s="111"/>
      <c r="CQ8863" s="111"/>
      <c r="EF8863"/>
      <c r="EG8863"/>
      <c r="EH8863"/>
      <c r="EI8863"/>
      <c r="EJ8863"/>
      <c r="EK8863"/>
    </row>
    <row r="8864" spans="1:141" s="116" customFormat="1">
      <c r="A8864" s="136"/>
      <c r="CM8864" s="111"/>
      <c r="CQ8864" s="111"/>
      <c r="EF8864"/>
      <c r="EG8864"/>
      <c r="EH8864"/>
      <c r="EI8864"/>
      <c r="EJ8864"/>
      <c r="EK8864"/>
    </row>
    <row r="8865" spans="1:141" s="116" customFormat="1">
      <c r="A8865" s="136"/>
      <c r="CM8865" s="111"/>
      <c r="CQ8865" s="111"/>
      <c r="EF8865"/>
      <c r="EG8865"/>
      <c r="EH8865"/>
      <c r="EI8865"/>
      <c r="EJ8865"/>
      <c r="EK8865"/>
    </row>
    <row r="8866" spans="1:141" s="116" customFormat="1">
      <c r="A8866" s="136"/>
      <c r="CM8866" s="111"/>
      <c r="CQ8866" s="111"/>
      <c r="EF8866"/>
      <c r="EG8866"/>
      <c r="EH8866"/>
      <c r="EI8866"/>
      <c r="EJ8866"/>
      <c r="EK8866"/>
    </row>
    <row r="8867" spans="1:141" s="116" customFormat="1">
      <c r="A8867" s="136"/>
      <c r="CM8867" s="111"/>
      <c r="CQ8867" s="111"/>
      <c r="EF8867"/>
      <c r="EG8867"/>
      <c r="EH8867"/>
      <c r="EI8867"/>
      <c r="EJ8867"/>
      <c r="EK8867"/>
    </row>
    <row r="8868" spans="1:141" s="116" customFormat="1">
      <c r="A8868" s="136"/>
      <c r="CM8868" s="111"/>
      <c r="CQ8868" s="111"/>
      <c r="EF8868"/>
      <c r="EG8868"/>
      <c r="EH8868"/>
      <c r="EI8868"/>
      <c r="EJ8868"/>
      <c r="EK8868"/>
    </row>
    <row r="8869" spans="1:141" s="116" customFormat="1">
      <c r="A8869" s="136"/>
      <c r="CM8869" s="111"/>
      <c r="CQ8869" s="111"/>
      <c r="EF8869"/>
      <c r="EG8869"/>
      <c r="EH8869"/>
      <c r="EI8869"/>
      <c r="EJ8869"/>
      <c r="EK8869"/>
    </row>
    <row r="8870" spans="1:141" s="116" customFormat="1">
      <c r="A8870" s="136"/>
      <c r="CM8870" s="111"/>
      <c r="CQ8870" s="111"/>
      <c r="EF8870"/>
      <c r="EG8870"/>
      <c r="EH8870"/>
      <c r="EI8870"/>
      <c r="EJ8870"/>
      <c r="EK8870"/>
    </row>
    <row r="8871" spans="1:141" s="116" customFormat="1">
      <c r="A8871" s="136"/>
      <c r="CM8871" s="111"/>
      <c r="CQ8871" s="111"/>
      <c r="EF8871"/>
      <c r="EG8871"/>
      <c r="EH8871"/>
      <c r="EI8871"/>
      <c r="EJ8871"/>
      <c r="EK8871"/>
    </row>
    <row r="8872" spans="1:141" s="116" customFormat="1">
      <c r="A8872" s="136"/>
      <c r="CM8872" s="111"/>
      <c r="CQ8872" s="111"/>
      <c r="EF8872"/>
      <c r="EG8872"/>
      <c r="EH8872"/>
      <c r="EI8872"/>
      <c r="EJ8872"/>
      <c r="EK8872"/>
    </row>
    <row r="8873" spans="1:141" s="116" customFormat="1">
      <c r="A8873" s="136"/>
      <c r="CM8873" s="111"/>
      <c r="CQ8873" s="111"/>
      <c r="EF8873"/>
      <c r="EG8873"/>
      <c r="EH8873"/>
      <c r="EI8873"/>
      <c r="EJ8873"/>
      <c r="EK8873"/>
    </row>
    <row r="8874" spans="1:141" s="116" customFormat="1">
      <c r="A8874" s="136"/>
      <c r="CM8874" s="111"/>
      <c r="CQ8874" s="111"/>
      <c r="EF8874"/>
      <c r="EG8874"/>
      <c r="EH8874"/>
      <c r="EI8874"/>
      <c r="EJ8874"/>
      <c r="EK8874"/>
    </row>
    <row r="8875" spans="1:141" s="116" customFormat="1">
      <c r="A8875" s="136"/>
      <c r="CM8875" s="111"/>
      <c r="CQ8875" s="111"/>
      <c r="EF8875"/>
      <c r="EG8875"/>
      <c r="EH8875"/>
      <c r="EI8875"/>
      <c r="EJ8875"/>
      <c r="EK8875"/>
    </row>
    <row r="8876" spans="1:141" s="116" customFormat="1">
      <c r="A8876" s="136"/>
      <c r="CM8876" s="111"/>
      <c r="CQ8876" s="111"/>
      <c r="EF8876"/>
      <c r="EG8876"/>
      <c r="EH8876"/>
      <c r="EI8876"/>
      <c r="EJ8876"/>
      <c r="EK8876"/>
    </row>
    <row r="8877" spans="1:141" s="116" customFormat="1">
      <c r="A8877" s="136"/>
      <c r="CM8877" s="111"/>
      <c r="CQ8877" s="111"/>
      <c r="EF8877"/>
      <c r="EG8877"/>
      <c r="EH8877"/>
      <c r="EI8877"/>
      <c r="EJ8877"/>
      <c r="EK8877"/>
    </row>
    <row r="8878" spans="1:141" s="116" customFormat="1">
      <c r="A8878" s="136"/>
      <c r="CM8878" s="111"/>
      <c r="CQ8878" s="111"/>
      <c r="EF8878"/>
      <c r="EG8878"/>
      <c r="EH8878"/>
      <c r="EI8878"/>
      <c r="EJ8878"/>
      <c r="EK8878"/>
    </row>
    <row r="8879" spans="1:141" s="116" customFormat="1">
      <c r="A8879" s="136"/>
      <c r="CM8879" s="111"/>
      <c r="CQ8879" s="111"/>
      <c r="EF8879"/>
      <c r="EG8879"/>
      <c r="EH8879"/>
      <c r="EI8879"/>
      <c r="EJ8879"/>
      <c r="EK8879"/>
    </row>
    <row r="8880" spans="1:141" s="116" customFormat="1">
      <c r="A8880" s="136"/>
      <c r="CM8880" s="111"/>
      <c r="CQ8880" s="111"/>
      <c r="EF8880"/>
      <c r="EG8880"/>
      <c r="EH8880"/>
      <c r="EI8880"/>
      <c r="EJ8880"/>
      <c r="EK8880"/>
    </row>
    <row r="8881" spans="1:141" s="116" customFormat="1">
      <c r="A8881" s="136"/>
      <c r="CM8881" s="111"/>
      <c r="CQ8881" s="111"/>
      <c r="EF8881"/>
      <c r="EG8881"/>
      <c r="EH8881"/>
      <c r="EI8881"/>
      <c r="EJ8881"/>
      <c r="EK8881"/>
    </row>
    <row r="8882" spans="1:141" s="116" customFormat="1">
      <c r="A8882" s="136"/>
      <c r="CM8882" s="111"/>
      <c r="CQ8882" s="111"/>
      <c r="EF8882"/>
      <c r="EG8882"/>
      <c r="EH8882"/>
      <c r="EI8882"/>
      <c r="EJ8882"/>
      <c r="EK8882"/>
    </row>
    <row r="8883" spans="1:141" s="116" customFormat="1">
      <c r="A8883" s="136"/>
      <c r="CM8883" s="111"/>
      <c r="CQ8883" s="111"/>
      <c r="EF8883"/>
      <c r="EG8883"/>
      <c r="EH8883"/>
      <c r="EI8883"/>
      <c r="EJ8883"/>
      <c r="EK8883"/>
    </row>
    <row r="8884" spans="1:141" s="116" customFormat="1">
      <c r="A8884" s="136"/>
      <c r="CM8884" s="111"/>
      <c r="CQ8884" s="111"/>
      <c r="EF8884"/>
      <c r="EG8884"/>
      <c r="EH8884"/>
      <c r="EI8884"/>
      <c r="EJ8884"/>
      <c r="EK8884"/>
    </row>
    <row r="8885" spans="1:141" s="116" customFormat="1">
      <c r="A8885" s="136"/>
      <c r="CM8885" s="111"/>
      <c r="CQ8885" s="111"/>
      <c r="EF8885"/>
      <c r="EG8885"/>
      <c r="EH8885"/>
      <c r="EI8885"/>
      <c r="EJ8885"/>
      <c r="EK8885"/>
    </row>
    <row r="8886" spans="1:141" s="116" customFormat="1">
      <c r="A8886" s="136"/>
      <c r="CM8886" s="111"/>
      <c r="CQ8886" s="111"/>
      <c r="EF8886"/>
      <c r="EG8886"/>
      <c r="EH8886"/>
      <c r="EI8886"/>
      <c r="EJ8886"/>
      <c r="EK8886"/>
    </row>
    <row r="8887" spans="1:141" s="116" customFormat="1">
      <c r="A8887" s="136"/>
      <c r="CM8887" s="111"/>
      <c r="CQ8887" s="111"/>
      <c r="EF8887"/>
      <c r="EG8887"/>
      <c r="EH8887"/>
      <c r="EI8887"/>
      <c r="EJ8887"/>
      <c r="EK8887"/>
    </row>
    <row r="8888" spans="1:141" s="116" customFormat="1">
      <c r="A8888" s="136"/>
      <c r="CM8888" s="111"/>
      <c r="CQ8888" s="111"/>
      <c r="EF8888"/>
      <c r="EG8888"/>
      <c r="EH8888"/>
      <c r="EI8888"/>
      <c r="EJ8888"/>
      <c r="EK8888"/>
    </row>
    <row r="8889" spans="1:141" s="116" customFormat="1">
      <c r="A8889" s="136"/>
      <c r="CM8889" s="111"/>
      <c r="CQ8889" s="111"/>
      <c r="EF8889"/>
      <c r="EG8889"/>
      <c r="EH8889"/>
      <c r="EI8889"/>
      <c r="EJ8889"/>
      <c r="EK8889"/>
    </row>
    <row r="8890" spans="1:141" s="116" customFormat="1">
      <c r="A8890" s="136"/>
      <c r="CM8890" s="111"/>
      <c r="CQ8890" s="111"/>
      <c r="EF8890"/>
      <c r="EG8890"/>
      <c r="EH8890"/>
      <c r="EI8890"/>
      <c r="EJ8890"/>
      <c r="EK8890"/>
    </row>
    <row r="8891" spans="1:141" s="116" customFormat="1">
      <c r="A8891" s="136"/>
      <c r="CM8891" s="111"/>
      <c r="CQ8891" s="111"/>
      <c r="EF8891"/>
      <c r="EG8891"/>
      <c r="EH8891"/>
      <c r="EI8891"/>
      <c r="EJ8891"/>
      <c r="EK8891"/>
    </row>
    <row r="8892" spans="1:141" s="116" customFormat="1">
      <c r="A8892" s="136"/>
      <c r="CM8892" s="111"/>
      <c r="CQ8892" s="111"/>
      <c r="EF8892"/>
      <c r="EG8892"/>
      <c r="EH8892"/>
      <c r="EI8892"/>
      <c r="EJ8892"/>
      <c r="EK8892"/>
    </row>
    <row r="8893" spans="1:141" s="116" customFormat="1">
      <c r="A8893" s="136"/>
      <c r="CM8893" s="111"/>
      <c r="CQ8893" s="111"/>
      <c r="EF8893"/>
      <c r="EG8893"/>
      <c r="EH8893"/>
      <c r="EI8893"/>
      <c r="EJ8893"/>
      <c r="EK8893"/>
    </row>
    <row r="8894" spans="1:141" s="116" customFormat="1">
      <c r="A8894" s="136"/>
      <c r="CM8894" s="111"/>
      <c r="CQ8894" s="111"/>
      <c r="EF8894"/>
      <c r="EG8894"/>
      <c r="EH8894"/>
      <c r="EI8894"/>
      <c r="EJ8894"/>
      <c r="EK8894"/>
    </row>
    <row r="8895" spans="1:141" s="116" customFormat="1">
      <c r="A8895" s="136"/>
      <c r="CM8895" s="111"/>
      <c r="CQ8895" s="111"/>
      <c r="EF8895"/>
      <c r="EG8895"/>
      <c r="EH8895"/>
      <c r="EI8895"/>
      <c r="EJ8895"/>
      <c r="EK8895"/>
    </row>
    <row r="8896" spans="1:141" s="116" customFormat="1">
      <c r="A8896" s="136"/>
      <c r="CM8896" s="111"/>
      <c r="CQ8896" s="111"/>
      <c r="EF8896"/>
      <c r="EG8896"/>
      <c r="EH8896"/>
      <c r="EI8896"/>
      <c r="EJ8896"/>
      <c r="EK8896"/>
    </row>
    <row r="8897" spans="1:141" s="116" customFormat="1">
      <c r="A8897" s="136"/>
      <c r="CM8897" s="111"/>
      <c r="CQ8897" s="111"/>
      <c r="EF8897"/>
      <c r="EG8897"/>
      <c r="EH8897"/>
      <c r="EI8897"/>
      <c r="EJ8897"/>
      <c r="EK8897"/>
    </row>
    <row r="8898" spans="1:141" s="116" customFormat="1">
      <c r="A8898" s="136"/>
      <c r="CM8898" s="111"/>
      <c r="CQ8898" s="111"/>
      <c r="EF8898"/>
      <c r="EG8898"/>
      <c r="EH8898"/>
      <c r="EI8898"/>
      <c r="EJ8898"/>
      <c r="EK8898"/>
    </row>
    <row r="8899" spans="1:141" s="116" customFormat="1">
      <c r="A8899" s="136"/>
      <c r="CM8899" s="111"/>
      <c r="CQ8899" s="111"/>
      <c r="EF8899"/>
      <c r="EG8899"/>
      <c r="EH8899"/>
      <c r="EI8899"/>
      <c r="EJ8899"/>
      <c r="EK8899"/>
    </row>
    <row r="8900" spans="1:141" s="116" customFormat="1">
      <c r="A8900" s="136"/>
      <c r="CM8900" s="111"/>
      <c r="CQ8900" s="111"/>
      <c r="EF8900"/>
      <c r="EG8900"/>
      <c r="EH8900"/>
      <c r="EI8900"/>
      <c r="EJ8900"/>
      <c r="EK8900"/>
    </row>
    <row r="8901" spans="1:141" s="116" customFormat="1">
      <c r="A8901" s="136"/>
      <c r="CM8901" s="111"/>
      <c r="CQ8901" s="111"/>
      <c r="EF8901"/>
      <c r="EG8901"/>
      <c r="EH8901"/>
      <c r="EI8901"/>
      <c r="EJ8901"/>
      <c r="EK8901"/>
    </row>
    <row r="8902" spans="1:141" s="116" customFormat="1">
      <c r="A8902" s="136"/>
      <c r="CM8902" s="111"/>
      <c r="CQ8902" s="111"/>
      <c r="EF8902"/>
      <c r="EG8902"/>
      <c r="EH8902"/>
      <c r="EI8902"/>
      <c r="EJ8902"/>
      <c r="EK8902"/>
    </row>
    <row r="8903" spans="1:141" s="116" customFormat="1">
      <c r="A8903" s="136"/>
      <c r="CM8903" s="111"/>
      <c r="CQ8903" s="111"/>
      <c r="EF8903"/>
      <c r="EG8903"/>
      <c r="EH8903"/>
      <c r="EI8903"/>
      <c r="EJ8903"/>
      <c r="EK8903"/>
    </row>
    <row r="8904" spans="1:141" s="116" customFormat="1">
      <c r="A8904" s="136"/>
      <c r="CM8904" s="111"/>
      <c r="CQ8904" s="111"/>
      <c r="EF8904"/>
      <c r="EG8904"/>
      <c r="EH8904"/>
      <c r="EI8904"/>
      <c r="EJ8904"/>
      <c r="EK8904"/>
    </row>
    <row r="8905" spans="1:141" s="116" customFormat="1">
      <c r="A8905" s="136"/>
      <c r="CM8905" s="111"/>
      <c r="CQ8905" s="111"/>
      <c r="EF8905"/>
      <c r="EG8905"/>
      <c r="EH8905"/>
      <c r="EI8905"/>
      <c r="EJ8905"/>
      <c r="EK8905"/>
    </row>
    <row r="8906" spans="1:141" s="116" customFormat="1">
      <c r="A8906" s="136"/>
      <c r="CM8906" s="111"/>
      <c r="CQ8906" s="111"/>
      <c r="EF8906"/>
      <c r="EG8906"/>
      <c r="EH8906"/>
      <c r="EI8906"/>
      <c r="EJ8906"/>
      <c r="EK8906"/>
    </row>
    <row r="8907" spans="1:141" s="116" customFormat="1">
      <c r="A8907" s="136"/>
      <c r="CM8907" s="111"/>
      <c r="CQ8907" s="111"/>
      <c r="EF8907"/>
      <c r="EG8907"/>
      <c r="EH8907"/>
      <c r="EI8907"/>
      <c r="EJ8907"/>
      <c r="EK8907"/>
    </row>
    <row r="8908" spans="1:141" s="116" customFormat="1">
      <c r="A8908" s="136"/>
      <c r="CM8908" s="111"/>
      <c r="CQ8908" s="111"/>
      <c r="EF8908"/>
      <c r="EG8908"/>
      <c r="EH8908"/>
      <c r="EI8908"/>
      <c r="EJ8908"/>
      <c r="EK8908"/>
    </row>
    <row r="8909" spans="1:141" s="116" customFormat="1">
      <c r="A8909" s="136"/>
      <c r="CM8909" s="111"/>
      <c r="CQ8909" s="111"/>
      <c r="EF8909"/>
      <c r="EG8909"/>
      <c r="EH8909"/>
      <c r="EI8909"/>
      <c r="EJ8909"/>
      <c r="EK8909"/>
    </row>
    <row r="8910" spans="1:141" s="116" customFormat="1">
      <c r="A8910" s="136"/>
      <c r="CM8910" s="111"/>
      <c r="CQ8910" s="111"/>
      <c r="EF8910"/>
      <c r="EG8910"/>
      <c r="EH8910"/>
      <c r="EI8910"/>
      <c r="EJ8910"/>
      <c r="EK8910"/>
    </row>
    <row r="8911" spans="1:141" s="116" customFormat="1">
      <c r="A8911" s="136"/>
      <c r="CM8911" s="111"/>
      <c r="CQ8911" s="111"/>
      <c r="EF8911"/>
      <c r="EG8911"/>
      <c r="EH8911"/>
      <c r="EI8911"/>
      <c r="EJ8911"/>
      <c r="EK8911"/>
    </row>
    <row r="8912" spans="1:141" s="116" customFormat="1">
      <c r="A8912" s="136"/>
      <c r="CM8912" s="111"/>
      <c r="CQ8912" s="111"/>
      <c r="EF8912"/>
      <c r="EG8912"/>
      <c r="EH8912"/>
      <c r="EI8912"/>
      <c r="EJ8912"/>
      <c r="EK8912"/>
    </row>
    <row r="8913" spans="1:141" s="116" customFormat="1">
      <c r="A8913" s="136"/>
      <c r="CM8913" s="111"/>
      <c r="CQ8913" s="111"/>
      <c r="EF8913"/>
      <c r="EG8913"/>
      <c r="EH8913"/>
      <c r="EI8913"/>
      <c r="EJ8913"/>
      <c r="EK8913"/>
    </row>
    <row r="8914" spans="1:141" s="116" customFormat="1">
      <c r="A8914" s="136"/>
      <c r="CM8914" s="111"/>
      <c r="CQ8914" s="111"/>
      <c r="EF8914"/>
      <c r="EG8914"/>
      <c r="EH8914"/>
      <c r="EI8914"/>
      <c r="EJ8914"/>
      <c r="EK8914"/>
    </row>
    <row r="8915" spans="1:141" s="116" customFormat="1">
      <c r="A8915" s="136"/>
      <c r="CM8915" s="111"/>
      <c r="CQ8915" s="111"/>
      <c r="EF8915"/>
      <c r="EG8915"/>
      <c r="EH8915"/>
      <c r="EI8915"/>
      <c r="EJ8915"/>
      <c r="EK8915"/>
    </row>
    <row r="8916" spans="1:141" s="116" customFormat="1">
      <c r="A8916" s="136"/>
      <c r="CM8916" s="111"/>
      <c r="CQ8916" s="111"/>
      <c r="EF8916"/>
      <c r="EG8916"/>
      <c r="EH8916"/>
      <c r="EI8916"/>
      <c r="EJ8916"/>
      <c r="EK8916"/>
    </row>
    <row r="8917" spans="1:141" s="116" customFormat="1">
      <c r="A8917" s="136"/>
      <c r="CM8917" s="111"/>
      <c r="CQ8917" s="111"/>
      <c r="EF8917"/>
      <c r="EG8917"/>
      <c r="EH8917"/>
      <c r="EI8917"/>
      <c r="EJ8917"/>
      <c r="EK8917"/>
    </row>
    <row r="8918" spans="1:141" s="116" customFormat="1">
      <c r="A8918" s="136"/>
      <c r="CM8918" s="111"/>
      <c r="CQ8918" s="111"/>
      <c r="EF8918"/>
      <c r="EG8918"/>
      <c r="EH8918"/>
      <c r="EI8918"/>
      <c r="EJ8918"/>
      <c r="EK8918"/>
    </row>
    <row r="8919" spans="1:141" s="116" customFormat="1">
      <c r="A8919" s="136"/>
      <c r="CM8919" s="111"/>
      <c r="CQ8919" s="111"/>
      <c r="EF8919"/>
      <c r="EG8919"/>
      <c r="EH8919"/>
      <c r="EI8919"/>
      <c r="EJ8919"/>
      <c r="EK8919"/>
    </row>
    <row r="8920" spans="1:141" s="116" customFormat="1">
      <c r="A8920" s="136"/>
      <c r="CM8920" s="111"/>
      <c r="CQ8920" s="111"/>
      <c r="EF8920"/>
      <c r="EG8920"/>
      <c r="EH8920"/>
      <c r="EI8920"/>
      <c r="EJ8920"/>
      <c r="EK8920"/>
    </row>
    <row r="8921" spans="1:141" s="116" customFormat="1">
      <c r="A8921" s="136"/>
      <c r="CM8921" s="111"/>
      <c r="CQ8921" s="111"/>
      <c r="EF8921"/>
      <c r="EG8921"/>
      <c r="EH8921"/>
      <c r="EI8921"/>
      <c r="EJ8921"/>
      <c r="EK8921"/>
    </row>
    <row r="8922" spans="1:141" s="116" customFormat="1">
      <c r="A8922" s="136"/>
      <c r="CM8922" s="111"/>
      <c r="CQ8922" s="111"/>
      <c r="EF8922"/>
      <c r="EG8922"/>
      <c r="EH8922"/>
      <c r="EI8922"/>
      <c r="EJ8922"/>
      <c r="EK8922"/>
    </row>
    <row r="8923" spans="1:141" s="116" customFormat="1">
      <c r="A8923" s="136"/>
      <c r="CM8923" s="111"/>
      <c r="CQ8923" s="111"/>
      <c r="EF8923"/>
      <c r="EG8923"/>
      <c r="EH8923"/>
      <c r="EI8923"/>
      <c r="EJ8923"/>
      <c r="EK8923"/>
    </row>
    <row r="8924" spans="1:141" s="116" customFormat="1">
      <c r="A8924" s="136"/>
      <c r="CM8924" s="111"/>
      <c r="CQ8924" s="111"/>
      <c r="EF8924"/>
      <c r="EG8924"/>
      <c r="EH8924"/>
      <c r="EI8924"/>
      <c r="EJ8924"/>
      <c r="EK8924"/>
    </row>
    <row r="8925" spans="1:141" s="116" customFormat="1">
      <c r="A8925" s="136"/>
      <c r="CM8925" s="111"/>
      <c r="CQ8925" s="111"/>
      <c r="EF8925"/>
      <c r="EG8925"/>
      <c r="EH8925"/>
      <c r="EI8925"/>
      <c r="EJ8925"/>
      <c r="EK8925"/>
    </row>
    <row r="8926" spans="1:141" s="116" customFormat="1">
      <c r="A8926" s="136"/>
      <c r="CM8926" s="111"/>
      <c r="CQ8926" s="111"/>
      <c r="EF8926"/>
      <c r="EG8926"/>
      <c r="EH8926"/>
      <c r="EI8926"/>
      <c r="EJ8926"/>
      <c r="EK8926"/>
    </row>
    <row r="8927" spans="1:141" s="116" customFormat="1">
      <c r="A8927" s="136"/>
      <c r="CM8927" s="111"/>
      <c r="CQ8927" s="111"/>
      <c r="EF8927"/>
      <c r="EG8927"/>
      <c r="EH8927"/>
      <c r="EI8927"/>
      <c r="EJ8927"/>
      <c r="EK8927"/>
    </row>
    <row r="8928" spans="1:141" s="116" customFormat="1">
      <c r="A8928" s="136"/>
      <c r="CM8928" s="111"/>
      <c r="CQ8928" s="111"/>
      <c r="EF8928"/>
      <c r="EG8928"/>
      <c r="EH8928"/>
      <c r="EI8928"/>
      <c r="EJ8928"/>
      <c r="EK8928"/>
    </row>
    <row r="8929" spans="1:141" s="116" customFormat="1">
      <c r="A8929" s="136"/>
      <c r="CM8929" s="111"/>
      <c r="CQ8929" s="111"/>
      <c r="EF8929"/>
      <c r="EG8929"/>
      <c r="EH8929"/>
      <c r="EI8929"/>
      <c r="EJ8929"/>
      <c r="EK8929"/>
    </row>
    <row r="8930" spans="1:141" s="116" customFormat="1">
      <c r="A8930" s="136"/>
      <c r="CM8930" s="111"/>
      <c r="CQ8930" s="111"/>
      <c r="EF8930"/>
      <c r="EG8930"/>
      <c r="EH8930"/>
      <c r="EI8930"/>
      <c r="EJ8930"/>
      <c r="EK8930"/>
    </row>
    <row r="8931" spans="1:141" s="116" customFormat="1">
      <c r="A8931" s="136"/>
      <c r="CM8931" s="111"/>
      <c r="CQ8931" s="111"/>
      <c r="EF8931"/>
      <c r="EG8931"/>
      <c r="EH8931"/>
      <c r="EI8931"/>
      <c r="EJ8931"/>
      <c r="EK8931"/>
    </row>
    <row r="8932" spans="1:141" s="116" customFormat="1">
      <c r="A8932" s="136"/>
      <c r="CM8932" s="111"/>
      <c r="CQ8932" s="111"/>
      <c r="EF8932"/>
      <c r="EG8932"/>
      <c r="EH8932"/>
      <c r="EI8932"/>
      <c r="EJ8932"/>
      <c r="EK8932"/>
    </row>
    <row r="8933" spans="1:141" s="116" customFormat="1">
      <c r="A8933" s="136"/>
      <c r="CM8933" s="111"/>
      <c r="CQ8933" s="111"/>
      <c r="EF8933"/>
      <c r="EG8933"/>
      <c r="EH8933"/>
      <c r="EI8933"/>
      <c r="EJ8933"/>
      <c r="EK8933"/>
    </row>
    <row r="8934" spans="1:141" s="116" customFormat="1">
      <c r="A8934" s="136"/>
      <c r="CM8934" s="111"/>
      <c r="CQ8934" s="111"/>
      <c r="EF8934"/>
      <c r="EG8934"/>
      <c r="EH8934"/>
      <c r="EI8934"/>
      <c r="EJ8934"/>
      <c r="EK8934"/>
    </row>
    <row r="8935" spans="1:141" s="116" customFormat="1">
      <c r="A8935" s="136"/>
      <c r="CM8935" s="111"/>
      <c r="CQ8935" s="111"/>
      <c r="EF8935"/>
      <c r="EG8935"/>
      <c r="EH8935"/>
      <c r="EI8935"/>
      <c r="EJ8935"/>
      <c r="EK8935"/>
    </row>
    <row r="8936" spans="1:141" s="116" customFormat="1">
      <c r="A8936" s="136"/>
      <c r="CM8936" s="111"/>
      <c r="CQ8936" s="111"/>
      <c r="EF8936"/>
      <c r="EG8936"/>
      <c r="EH8936"/>
      <c r="EI8936"/>
      <c r="EJ8936"/>
      <c r="EK8936"/>
    </row>
    <row r="8937" spans="1:141" s="116" customFormat="1">
      <c r="A8937" s="136"/>
      <c r="CM8937" s="111"/>
      <c r="CQ8937" s="111"/>
      <c r="EF8937"/>
      <c r="EG8937"/>
      <c r="EH8937"/>
      <c r="EI8937"/>
      <c r="EJ8937"/>
      <c r="EK8937"/>
    </row>
    <row r="8938" spans="1:141" s="116" customFormat="1">
      <c r="A8938" s="136"/>
      <c r="CM8938" s="111"/>
      <c r="CQ8938" s="111"/>
      <c r="EF8938"/>
      <c r="EG8938"/>
      <c r="EH8938"/>
      <c r="EI8938"/>
      <c r="EJ8938"/>
      <c r="EK8938"/>
    </row>
    <row r="8939" spans="1:141" s="116" customFormat="1">
      <c r="A8939" s="136"/>
      <c r="CM8939" s="111"/>
      <c r="CQ8939" s="111"/>
      <c r="EF8939"/>
      <c r="EG8939"/>
      <c r="EH8939"/>
      <c r="EI8939"/>
      <c r="EJ8939"/>
      <c r="EK8939"/>
    </row>
    <row r="8940" spans="1:141" s="116" customFormat="1">
      <c r="A8940" s="136"/>
      <c r="CM8940" s="111"/>
      <c r="CQ8940" s="111"/>
      <c r="EF8940"/>
      <c r="EG8940"/>
      <c r="EH8940"/>
      <c r="EI8940"/>
      <c r="EJ8940"/>
      <c r="EK8940"/>
    </row>
    <row r="8941" spans="1:141" s="116" customFormat="1">
      <c r="A8941" s="136"/>
      <c r="CM8941" s="111"/>
      <c r="CQ8941" s="111"/>
      <c r="EF8941"/>
      <c r="EG8941"/>
      <c r="EH8941"/>
      <c r="EI8941"/>
      <c r="EJ8941"/>
      <c r="EK8941"/>
    </row>
    <row r="8942" spans="1:141" s="116" customFormat="1">
      <c r="A8942" s="136"/>
      <c r="CM8942" s="111"/>
      <c r="CQ8942" s="111"/>
      <c r="EF8942"/>
      <c r="EG8942"/>
      <c r="EH8942"/>
      <c r="EI8942"/>
      <c r="EJ8942"/>
      <c r="EK8942"/>
    </row>
    <row r="8943" spans="1:141" s="116" customFormat="1">
      <c r="A8943" s="136"/>
      <c r="CM8943" s="111"/>
      <c r="CQ8943" s="111"/>
      <c r="EF8943"/>
      <c r="EG8943"/>
      <c r="EH8943"/>
      <c r="EI8943"/>
      <c r="EJ8943"/>
      <c r="EK8943"/>
    </row>
    <row r="8944" spans="1:141" s="116" customFormat="1">
      <c r="A8944" s="136"/>
      <c r="CM8944" s="111"/>
      <c r="CQ8944" s="111"/>
      <c r="EF8944"/>
      <c r="EG8944"/>
      <c r="EH8944"/>
      <c r="EI8944"/>
      <c r="EJ8944"/>
      <c r="EK8944"/>
    </row>
    <row r="8945" spans="1:141" s="116" customFormat="1">
      <c r="A8945" s="136"/>
      <c r="CM8945" s="111"/>
      <c r="CQ8945" s="111"/>
      <c r="EF8945"/>
      <c r="EG8945"/>
      <c r="EH8945"/>
      <c r="EI8945"/>
      <c r="EJ8945"/>
      <c r="EK8945"/>
    </row>
    <row r="8946" spans="1:141" s="116" customFormat="1">
      <c r="A8946" s="136"/>
      <c r="CM8946" s="111"/>
      <c r="CQ8946" s="111"/>
      <c r="EF8946"/>
      <c r="EG8946"/>
      <c r="EH8946"/>
      <c r="EI8946"/>
      <c r="EJ8946"/>
      <c r="EK8946"/>
    </row>
    <row r="8947" spans="1:141" s="116" customFormat="1">
      <c r="A8947" s="136"/>
      <c r="CM8947" s="111"/>
      <c r="CQ8947" s="111"/>
      <c r="EF8947"/>
      <c r="EG8947"/>
      <c r="EH8947"/>
      <c r="EI8947"/>
      <c r="EJ8947"/>
      <c r="EK8947"/>
    </row>
    <row r="8948" spans="1:141" s="116" customFormat="1">
      <c r="A8948" s="136"/>
      <c r="CM8948" s="111"/>
      <c r="CQ8948" s="111"/>
      <c r="EF8948"/>
      <c r="EG8948"/>
      <c r="EH8948"/>
      <c r="EI8948"/>
      <c r="EJ8948"/>
      <c r="EK8948"/>
    </row>
    <row r="8949" spans="1:141" s="116" customFormat="1">
      <c r="A8949" s="136"/>
      <c r="CM8949" s="111"/>
      <c r="CQ8949" s="111"/>
      <c r="EF8949"/>
      <c r="EG8949"/>
      <c r="EH8949"/>
      <c r="EI8949"/>
      <c r="EJ8949"/>
      <c r="EK8949"/>
    </row>
    <row r="8950" spans="1:141" s="116" customFormat="1">
      <c r="A8950" s="136"/>
      <c r="CM8950" s="111"/>
      <c r="CQ8950" s="111"/>
      <c r="EF8950"/>
      <c r="EG8950"/>
      <c r="EH8950"/>
      <c r="EI8950"/>
      <c r="EJ8950"/>
      <c r="EK8950"/>
    </row>
    <row r="8951" spans="1:141" s="116" customFormat="1">
      <c r="A8951" s="136"/>
      <c r="CM8951" s="111"/>
      <c r="CQ8951" s="111"/>
      <c r="EF8951"/>
      <c r="EG8951"/>
      <c r="EH8951"/>
      <c r="EI8951"/>
      <c r="EJ8951"/>
      <c r="EK8951"/>
    </row>
    <row r="8952" spans="1:141" s="116" customFormat="1">
      <c r="A8952" s="136"/>
      <c r="CM8952" s="111"/>
      <c r="CQ8952" s="111"/>
      <c r="EF8952"/>
      <c r="EG8952"/>
      <c r="EH8952"/>
      <c r="EI8952"/>
      <c r="EJ8952"/>
      <c r="EK8952"/>
    </row>
    <row r="8953" spans="1:141" s="116" customFormat="1">
      <c r="A8953" s="136"/>
      <c r="CM8953" s="111"/>
      <c r="CQ8953" s="111"/>
      <c r="EF8953"/>
      <c r="EG8953"/>
      <c r="EH8953"/>
      <c r="EI8953"/>
      <c r="EJ8953"/>
      <c r="EK8953"/>
    </row>
    <row r="8954" spans="1:141" s="116" customFormat="1">
      <c r="A8954" s="136"/>
      <c r="CM8954" s="111"/>
      <c r="CQ8954" s="111"/>
      <c r="EF8954"/>
      <c r="EG8954"/>
      <c r="EH8954"/>
      <c r="EI8954"/>
      <c r="EJ8954"/>
      <c r="EK8954"/>
    </row>
    <row r="8955" spans="1:141" s="116" customFormat="1">
      <c r="A8955" s="136"/>
      <c r="CM8955" s="111"/>
      <c r="CQ8955" s="111"/>
      <c r="EF8955"/>
      <c r="EG8955"/>
      <c r="EH8955"/>
      <c r="EI8955"/>
      <c r="EJ8955"/>
      <c r="EK8955"/>
    </row>
    <row r="8956" spans="1:141" s="116" customFormat="1">
      <c r="A8956" s="136"/>
      <c r="CM8956" s="111"/>
      <c r="CQ8956" s="111"/>
      <c r="EF8956"/>
      <c r="EG8956"/>
      <c r="EH8956"/>
      <c r="EI8956"/>
      <c r="EJ8956"/>
      <c r="EK8956"/>
    </row>
    <row r="8957" spans="1:141" s="116" customFormat="1">
      <c r="A8957" s="136"/>
      <c r="CM8957" s="111"/>
      <c r="CQ8957" s="111"/>
      <c r="EF8957"/>
      <c r="EG8957"/>
      <c r="EH8957"/>
      <c r="EI8957"/>
      <c r="EJ8957"/>
      <c r="EK8957"/>
    </row>
    <row r="8958" spans="1:141" s="116" customFormat="1">
      <c r="A8958" s="136"/>
      <c r="CM8958" s="111"/>
      <c r="CQ8958" s="111"/>
      <c r="EF8958"/>
      <c r="EG8958"/>
      <c r="EH8958"/>
      <c r="EI8958"/>
      <c r="EJ8958"/>
      <c r="EK8958"/>
    </row>
    <row r="8959" spans="1:141" s="116" customFormat="1">
      <c r="A8959" s="136"/>
      <c r="CM8959" s="111"/>
      <c r="CQ8959" s="111"/>
      <c r="EF8959"/>
      <c r="EG8959"/>
      <c r="EH8959"/>
      <c r="EI8959"/>
      <c r="EJ8959"/>
      <c r="EK8959"/>
    </row>
    <row r="8960" spans="1:141" s="116" customFormat="1">
      <c r="A8960" s="136"/>
      <c r="CM8960" s="111"/>
      <c r="CQ8960" s="111"/>
      <c r="EF8960"/>
      <c r="EG8960"/>
      <c r="EH8960"/>
      <c r="EI8960"/>
      <c r="EJ8960"/>
      <c r="EK8960"/>
    </row>
    <row r="8961" spans="1:141" s="116" customFormat="1">
      <c r="A8961" s="136"/>
      <c r="CM8961" s="111"/>
      <c r="CQ8961" s="111"/>
      <c r="EF8961"/>
      <c r="EG8961"/>
      <c r="EH8961"/>
      <c r="EI8961"/>
      <c r="EJ8961"/>
      <c r="EK8961"/>
    </row>
    <row r="8962" spans="1:141" s="116" customFormat="1">
      <c r="A8962" s="136"/>
      <c r="CM8962" s="111"/>
      <c r="CQ8962" s="111"/>
      <c r="EF8962"/>
      <c r="EG8962"/>
      <c r="EH8962"/>
      <c r="EI8962"/>
      <c r="EJ8962"/>
      <c r="EK8962"/>
    </row>
    <row r="8963" spans="1:141" s="116" customFormat="1">
      <c r="A8963" s="136"/>
      <c r="CM8963" s="111"/>
      <c r="CQ8963" s="111"/>
      <c r="EF8963"/>
      <c r="EG8963"/>
      <c r="EH8963"/>
      <c r="EI8963"/>
      <c r="EJ8963"/>
      <c r="EK8963"/>
    </row>
    <row r="8964" spans="1:141" s="116" customFormat="1">
      <c r="A8964" s="136"/>
      <c r="CM8964" s="111"/>
      <c r="CQ8964" s="111"/>
      <c r="EF8964"/>
      <c r="EG8964"/>
      <c r="EH8964"/>
      <c r="EI8964"/>
      <c r="EJ8964"/>
      <c r="EK8964"/>
    </row>
    <row r="8965" spans="1:141" s="116" customFormat="1">
      <c r="A8965" s="136"/>
      <c r="CM8965" s="111"/>
      <c r="CQ8965" s="111"/>
      <c r="EF8965"/>
      <c r="EG8965"/>
      <c r="EH8965"/>
      <c r="EI8965"/>
      <c r="EJ8965"/>
      <c r="EK8965"/>
    </row>
    <row r="8966" spans="1:141" s="116" customFormat="1">
      <c r="A8966" s="136"/>
      <c r="CM8966" s="111"/>
      <c r="CQ8966" s="111"/>
      <c r="EF8966"/>
      <c r="EG8966"/>
      <c r="EH8966"/>
      <c r="EI8966"/>
      <c r="EJ8966"/>
      <c r="EK8966"/>
    </row>
    <row r="8967" spans="1:141" s="116" customFormat="1">
      <c r="A8967" s="136"/>
      <c r="CM8967" s="111"/>
      <c r="CQ8967" s="111"/>
      <c r="EF8967"/>
      <c r="EG8967"/>
      <c r="EH8967"/>
      <c r="EI8967"/>
      <c r="EJ8967"/>
      <c r="EK8967"/>
    </row>
    <row r="8968" spans="1:141" s="116" customFormat="1">
      <c r="A8968" s="136"/>
      <c r="CM8968" s="111"/>
      <c r="CQ8968" s="111"/>
      <c r="EF8968"/>
      <c r="EG8968"/>
      <c r="EH8968"/>
      <c r="EI8968"/>
      <c r="EJ8968"/>
      <c r="EK8968"/>
    </row>
    <row r="8969" spans="1:141" s="116" customFormat="1">
      <c r="A8969" s="136"/>
      <c r="CM8969" s="111"/>
      <c r="CQ8969" s="111"/>
      <c r="EF8969"/>
      <c r="EG8969"/>
      <c r="EH8969"/>
      <c r="EI8969"/>
      <c r="EJ8969"/>
      <c r="EK8969"/>
    </row>
    <row r="8970" spans="1:141" s="116" customFormat="1">
      <c r="A8970" s="136"/>
      <c r="CM8970" s="111"/>
      <c r="CQ8970" s="111"/>
      <c r="EF8970"/>
      <c r="EG8970"/>
      <c r="EH8970"/>
      <c r="EI8970"/>
      <c r="EJ8970"/>
      <c r="EK8970"/>
    </row>
    <row r="8971" spans="1:141" s="116" customFormat="1">
      <c r="A8971" s="136"/>
      <c r="CM8971" s="111"/>
      <c r="CQ8971" s="111"/>
      <c r="EF8971"/>
      <c r="EG8971"/>
      <c r="EH8971"/>
      <c r="EI8971"/>
      <c r="EJ8971"/>
      <c r="EK8971"/>
    </row>
    <row r="8972" spans="1:141" s="116" customFormat="1">
      <c r="A8972" s="136"/>
      <c r="CM8972" s="111"/>
      <c r="CQ8972" s="111"/>
      <c r="EF8972"/>
      <c r="EG8972"/>
      <c r="EH8972"/>
      <c r="EI8972"/>
      <c r="EJ8972"/>
      <c r="EK8972"/>
    </row>
    <row r="8973" spans="1:141" s="116" customFormat="1">
      <c r="A8973" s="136"/>
      <c r="CM8973" s="111"/>
      <c r="CQ8973" s="111"/>
      <c r="EF8973"/>
      <c r="EG8973"/>
      <c r="EH8973"/>
      <c r="EI8973"/>
      <c r="EJ8973"/>
      <c r="EK8973"/>
    </row>
    <row r="8974" spans="1:141" s="116" customFormat="1">
      <c r="A8974" s="136"/>
      <c r="CM8974" s="111"/>
      <c r="CQ8974" s="111"/>
      <c r="EF8974"/>
      <c r="EG8974"/>
      <c r="EH8974"/>
      <c r="EI8974"/>
      <c r="EJ8974"/>
      <c r="EK8974"/>
    </row>
    <row r="8975" spans="1:141" s="116" customFormat="1">
      <c r="A8975" s="136"/>
      <c r="CM8975" s="111"/>
      <c r="CQ8975" s="111"/>
      <c r="EF8975"/>
      <c r="EG8975"/>
      <c r="EH8975"/>
      <c r="EI8975"/>
      <c r="EJ8975"/>
      <c r="EK8975"/>
    </row>
    <row r="8976" spans="1:141" s="116" customFormat="1">
      <c r="A8976" s="136"/>
      <c r="CM8976" s="111"/>
      <c r="CQ8976" s="111"/>
      <c r="EF8976"/>
      <c r="EG8976"/>
      <c r="EH8976"/>
      <c r="EI8976"/>
      <c r="EJ8976"/>
      <c r="EK8976"/>
    </row>
    <row r="8977" spans="1:141" s="116" customFormat="1">
      <c r="A8977" s="136"/>
      <c r="CM8977" s="111"/>
      <c r="CQ8977" s="111"/>
      <c r="EF8977"/>
      <c r="EG8977"/>
      <c r="EH8977"/>
      <c r="EI8977"/>
      <c r="EJ8977"/>
      <c r="EK8977"/>
    </row>
    <row r="8978" spans="1:141" s="116" customFormat="1">
      <c r="A8978" s="136"/>
      <c r="CM8978" s="111"/>
      <c r="CQ8978" s="111"/>
      <c r="EF8978"/>
      <c r="EG8978"/>
      <c r="EH8978"/>
      <c r="EI8978"/>
      <c r="EJ8978"/>
      <c r="EK8978"/>
    </row>
    <row r="8979" spans="1:141" s="116" customFormat="1">
      <c r="A8979" s="136"/>
      <c r="CM8979" s="111"/>
      <c r="CQ8979" s="111"/>
      <c r="EF8979"/>
      <c r="EG8979"/>
      <c r="EH8979"/>
      <c r="EI8979"/>
      <c r="EJ8979"/>
      <c r="EK8979"/>
    </row>
    <row r="8980" spans="1:141" s="116" customFormat="1">
      <c r="A8980" s="136"/>
      <c r="CM8980" s="111"/>
      <c r="CQ8980" s="111"/>
      <c r="EF8980"/>
      <c r="EG8980"/>
      <c r="EH8980"/>
      <c r="EI8980"/>
      <c r="EJ8980"/>
      <c r="EK8980"/>
    </row>
    <row r="8981" spans="1:141" s="116" customFormat="1">
      <c r="A8981" s="136"/>
      <c r="CM8981" s="111"/>
      <c r="CQ8981" s="111"/>
      <c r="EF8981"/>
      <c r="EG8981"/>
      <c r="EH8981"/>
      <c r="EI8981"/>
      <c r="EJ8981"/>
      <c r="EK8981"/>
    </row>
    <row r="8982" spans="1:141" s="116" customFormat="1">
      <c r="A8982" s="136"/>
      <c r="CM8982" s="111"/>
      <c r="CQ8982" s="111"/>
      <c r="EF8982"/>
      <c r="EG8982"/>
      <c r="EH8982"/>
      <c r="EI8982"/>
      <c r="EJ8982"/>
      <c r="EK8982"/>
    </row>
    <row r="8983" spans="1:141" s="116" customFormat="1">
      <c r="A8983" s="136"/>
      <c r="CM8983" s="111"/>
      <c r="CQ8983" s="111"/>
      <c r="EF8983"/>
      <c r="EG8983"/>
      <c r="EH8983"/>
      <c r="EI8983"/>
      <c r="EJ8983"/>
      <c r="EK8983"/>
    </row>
    <row r="8984" spans="1:141" s="116" customFormat="1">
      <c r="A8984" s="136"/>
      <c r="CM8984" s="111"/>
      <c r="CQ8984" s="111"/>
      <c r="EF8984"/>
      <c r="EG8984"/>
      <c r="EH8984"/>
      <c r="EI8984"/>
      <c r="EJ8984"/>
      <c r="EK8984"/>
    </row>
    <row r="8985" spans="1:141" s="116" customFormat="1">
      <c r="A8985" s="136"/>
      <c r="CM8985" s="111"/>
      <c r="CQ8985" s="111"/>
      <c r="EF8985"/>
      <c r="EG8985"/>
      <c r="EH8985"/>
      <c r="EI8985"/>
      <c r="EJ8985"/>
      <c r="EK8985"/>
    </row>
    <row r="8986" spans="1:141" s="116" customFormat="1">
      <c r="A8986" s="136"/>
      <c r="CM8986" s="111"/>
      <c r="CQ8986" s="111"/>
      <c r="EF8986"/>
      <c r="EG8986"/>
      <c r="EH8986"/>
      <c r="EI8986"/>
      <c r="EJ8986"/>
      <c r="EK8986"/>
    </row>
    <row r="8987" spans="1:141" s="116" customFormat="1">
      <c r="A8987" s="136"/>
      <c r="CM8987" s="111"/>
      <c r="CQ8987" s="111"/>
      <c r="EF8987"/>
      <c r="EG8987"/>
      <c r="EH8987"/>
      <c r="EI8987"/>
      <c r="EJ8987"/>
      <c r="EK8987"/>
    </row>
    <row r="8988" spans="1:141" s="116" customFormat="1">
      <c r="A8988" s="136"/>
      <c r="CM8988" s="111"/>
      <c r="CQ8988" s="111"/>
      <c r="EF8988"/>
      <c r="EG8988"/>
      <c r="EH8988"/>
      <c r="EI8988"/>
      <c r="EJ8988"/>
      <c r="EK8988"/>
    </row>
    <row r="8989" spans="1:141" s="116" customFormat="1">
      <c r="A8989" s="136"/>
      <c r="CM8989" s="111"/>
      <c r="CQ8989" s="111"/>
      <c r="EF8989"/>
      <c r="EG8989"/>
      <c r="EH8989"/>
      <c r="EI8989"/>
      <c r="EJ8989"/>
      <c r="EK8989"/>
    </row>
    <row r="8990" spans="1:141" s="116" customFormat="1">
      <c r="A8990" s="136"/>
      <c r="CM8990" s="111"/>
      <c r="CQ8990" s="111"/>
      <c r="EF8990"/>
      <c r="EG8990"/>
      <c r="EH8990"/>
      <c r="EI8990"/>
      <c r="EJ8990"/>
      <c r="EK8990"/>
    </row>
    <row r="8991" spans="1:141" s="116" customFormat="1">
      <c r="A8991" s="136"/>
      <c r="CM8991" s="111"/>
      <c r="CQ8991" s="111"/>
      <c r="EF8991"/>
      <c r="EG8991"/>
      <c r="EH8991"/>
      <c r="EI8991"/>
      <c r="EJ8991"/>
      <c r="EK8991"/>
    </row>
    <row r="8992" spans="1:141" s="116" customFormat="1">
      <c r="A8992" s="136"/>
      <c r="CM8992" s="111"/>
      <c r="CQ8992" s="111"/>
      <c r="EF8992"/>
      <c r="EG8992"/>
      <c r="EH8992"/>
      <c r="EI8992"/>
      <c r="EJ8992"/>
      <c r="EK8992"/>
    </row>
    <row r="8993" spans="1:141" s="116" customFormat="1">
      <c r="A8993" s="136"/>
      <c r="CM8993" s="111"/>
      <c r="CQ8993" s="111"/>
      <c r="EF8993"/>
      <c r="EG8993"/>
      <c r="EH8993"/>
      <c r="EI8993"/>
      <c r="EJ8993"/>
      <c r="EK8993"/>
    </row>
    <row r="8994" spans="1:141" s="116" customFormat="1">
      <c r="A8994" s="136"/>
      <c r="CM8994" s="111"/>
      <c r="CQ8994" s="111"/>
      <c r="EF8994"/>
      <c r="EG8994"/>
      <c r="EH8994"/>
      <c r="EI8994"/>
      <c r="EJ8994"/>
      <c r="EK8994"/>
    </row>
    <row r="8995" spans="1:141" s="116" customFormat="1">
      <c r="A8995" s="136"/>
      <c r="CM8995" s="111"/>
      <c r="CQ8995" s="111"/>
      <c r="EF8995"/>
      <c r="EG8995"/>
      <c r="EH8995"/>
      <c r="EI8995"/>
      <c r="EJ8995"/>
      <c r="EK8995"/>
    </row>
    <row r="8996" spans="1:141" s="116" customFormat="1">
      <c r="A8996" s="136"/>
      <c r="CM8996" s="111"/>
      <c r="CQ8996" s="111"/>
      <c r="EF8996"/>
      <c r="EG8996"/>
      <c r="EH8996"/>
      <c r="EI8996"/>
      <c r="EJ8996"/>
      <c r="EK8996"/>
    </row>
    <row r="8997" spans="1:141" s="116" customFormat="1">
      <c r="A8997" s="136"/>
      <c r="CM8997" s="111"/>
      <c r="CQ8997" s="111"/>
      <c r="EF8997"/>
      <c r="EG8997"/>
      <c r="EH8997"/>
      <c r="EI8997"/>
      <c r="EJ8997"/>
      <c r="EK8997"/>
    </row>
    <row r="8998" spans="1:141" s="116" customFormat="1">
      <c r="A8998" s="136"/>
      <c r="CM8998" s="111"/>
      <c r="CQ8998" s="111"/>
      <c r="EF8998"/>
      <c r="EG8998"/>
      <c r="EH8998"/>
      <c r="EI8998"/>
      <c r="EJ8998"/>
      <c r="EK8998"/>
    </row>
    <row r="8999" spans="1:141" s="116" customFormat="1">
      <c r="A8999" s="136"/>
      <c r="CM8999" s="111"/>
      <c r="CQ8999" s="111"/>
      <c r="EF8999"/>
      <c r="EG8999"/>
      <c r="EH8999"/>
      <c r="EI8999"/>
      <c r="EJ8999"/>
      <c r="EK8999"/>
    </row>
    <row r="9000" spans="1:141" s="116" customFormat="1">
      <c r="A9000" s="136"/>
      <c r="CM9000" s="111"/>
      <c r="CQ9000" s="111"/>
      <c r="EF9000"/>
      <c r="EG9000"/>
      <c r="EH9000"/>
      <c r="EI9000"/>
      <c r="EJ9000"/>
      <c r="EK9000"/>
    </row>
    <row r="9001" spans="1:141" s="116" customFormat="1">
      <c r="A9001" s="136"/>
      <c r="CM9001" s="111"/>
      <c r="CQ9001" s="111"/>
      <c r="EF9001"/>
      <c r="EG9001"/>
      <c r="EH9001"/>
      <c r="EI9001"/>
      <c r="EJ9001"/>
      <c r="EK9001"/>
    </row>
    <row r="9002" spans="1:141" s="116" customFormat="1">
      <c r="A9002" s="136"/>
      <c r="CM9002" s="111"/>
      <c r="CQ9002" s="111"/>
      <c r="EF9002"/>
      <c r="EG9002"/>
      <c r="EH9002"/>
      <c r="EI9002"/>
      <c r="EJ9002"/>
      <c r="EK9002"/>
    </row>
    <row r="9003" spans="1:141" s="116" customFormat="1">
      <c r="A9003" s="136"/>
      <c r="CM9003" s="111"/>
      <c r="CQ9003" s="111"/>
      <c r="EF9003"/>
      <c r="EG9003"/>
      <c r="EH9003"/>
      <c r="EI9003"/>
      <c r="EJ9003"/>
      <c r="EK9003"/>
    </row>
    <row r="9004" spans="1:141" s="116" customFormat="1">
      <c r="A9004" s="136"/>
      <c r="CM9004" s="111"/>
      <c r="CQ9004" s="111"/>
      <c r="EF9004"/>
      <c r="EG9004"/>
      <c r="EH9004"/>
      <c r="EI9004"/>
      <c r="EJ9004"/>
      <c r="EK9004"/>
    </row>
    <row r="9005" spans="1:141" s="116" customFormat="1">
      <c r="A9005" s="136"/>
      <c r="CM9005" s="111"/>
      <c r="CQ9005" s="111"/>
      <c r="EF9005"/>
      <c r="EG9005"/>
      <c r="EH9005"/>
      <c r="EI9005"/>
      <c r="EJ9005"/>
      <c r="EK9005"/>
    </row>
    <row r="9006" spans="1:141" s="116" customFormat="1">
      <c r="A9006" s="136"/>
      <c r="CM9006" s="111"/>
      <c r="CQ9006" s="111"/>
      <c r="EF9006"/>
      <c r="EG9006"/>
      <c r="EH9006"/>
      <c r="EI9006"/>
      <c r="EJ9006"/>
      <c r="EK9006"/>
    </row>
    <row r="9007" spans="1:141" s="116" customFormat="1">
      <c r="A9007" s="136"/>
      <c r="CM9007" s="111"/>
      <c r="CQ9007" s="111"/>
      <c r="EF9007"/>
      <c r="EG9007"/>
      <c r="EH9007"/>
      <c r="EI9007"/>
      <c r="EJ9007"/>
      <c r="EK9007"/>
    </row>
    <row r="9008" spans="1:141" s="116" customFormat="1">
      <c r="A9008" s="136"/>
      <c r="CM9008" s="111"/>
      <c r="CQ9008" s="111"/>
      <c r="EF9008"/>
      <c r="EG9008"/>
      <c r="EH9008"/>
      <c r="EI9008"/>
      <c r="EJ9008"/>
      <c r="EK9008"/>
    </row>
    <row r="9009" spans="1:141" s="116" customFormat="1">
      <c r="A9009" s="136"/>
      <c r="CM9009" s="111"/>
      <c r="CQ9009" s="111"/>
      <c r="EF9009"/>
      <c r="EG9009"/>
      <c r="EH9009"/>
      <c r="EI9009"/>
      <c r="EJ9009"/>
      <c r="EK9009"/>
    </row>
    <row r="9010" spans="1:141" s="116" customFormat="1">
      <c r="A9010" s="136"/>
      <c r="CM9010" s="111"/>
      <c r="CQ9010" s="111"/>
      <c r="EF9010"/>
      <c r="EG9010"/>
      <c r="EH9010"/>
      <c r="EI9010"/>
      <c r="EJ9010"/>
      <c r="EK9010"/>
    </row>
    <row r="9011" spans="1:141" s="116" customFormat="1">
      <c r="A9011" s="136"/>
      <c r="CM9011" s="111"/>
      <c r="CQ9011" s="111"/>
      <c r="EF9011"/>
      <c r="EG9011"/>
      <c r="EH9011"/>
      <c r="EI9011"/>
      <c r="EJ9011"/>
      <c r="EK9011"/>
    </row>
    <row r="9012" spans="1:141" s="116" customFormat="1">
      <c r="A9012" s="136"/>
      <c r="CM9012" s="111"/>
      <c r="CQ9012" s="111"/>
      <c r="EF9012"/>
      <c r="EG9012"/>
      <c r="EH9012"/>
      <c r="EI9012"/>
      <c r="EJ9012"/>
      <c r="EK9012"/>
    </row>
    <row r="9013" spans="1:141" s="116" customFormat="1">
      <c r="A9013" s="136"/>
      <c r="CM9013" s="111"/>
      <c r="CQ9013" s="111"/>
      <c r="EF9013"/>
      <c r="EG9013"/>
      <c r="EH9013"/>
      <c r="EI9013"/>
      <c r="EJ9013"/>
      <c r="EK9013"/>
    </row>
    <row r="9014" spans="1:141" s="116" customFormat="1">
      <c r="A9014" s="136"/>
      <c r="CM9014" s="111"/>
      <c r="CQ9014" s="111"/>
      <c r="EF9014"/>
      <c r="EG9014"/>
      <c r="EH9014"/>
      <c r="EI9014"/>
      <c r="EJ9014"/>
      <c r="EK9014"/>
    </row>
    <row r="9015" spans="1:141" s="116" customFormat="1">
      <c r="A9015" s="136"/>
      <c r="CM9015" s="111"/>
      <c r="CQ9015" s="111"/>
      <c r="EF9015"/>
      <c r="EG9015"/>
      <c r="EH9015"/>
      <c r="EI9015"/>
      <c r="EJ9015"/>
      <c r="EK9015"/>
    </row>
    <row r="9016" spans="1:141" s="116" customFormat="1">
      <c r="A9016" s="136"/>
      <c r="CM9016" s="111"/>
      <c r="CQ9016" s="111"/>
      <c r="EF9016"/>
      <c r="EG9016"/>
      <c r="EH9016"/>
      <c r="EI9016"/>
      <c r="EJ9016"/>
      <c r="EK9016"/>
    </row>
    <row r="9017" spans="1:141" s="116" customFormat="1">
      <c r="A9017" s="136"/>
      <c r="CM9017" s="111"/>
      <c r="CQ9017" s="111"/>
      <c r="EF9017"/>
      <c r="EG9017"/>
      <c r="EH9017"/>
      <c r="EI9017"/>
      <c r="EJ9017"/>
      <c r="EK9017"/>
    </row>
    <row r="9018" spans="1:141" s="116" customFormat="1">
      <c r="A9018" s="136"/>
      <c r="CM9018" s="111"/>
      <c r="CQ9018" s="111"/>
      <c r="EF9018"/>
      <c r="EG9018"/>
      <c r="EH9018"/>
      <c r="EI9018"/>
      <c r="EJ9018"/>
      <c r="EK9018"/>
    </row>
    <row r="9019" spans="1:141" s="116" customFormat="1">
      <c r="A9019" s="136"/>
      <c r="CM9019" s="111"/>
      <c r="CQ9019" s="111"/>
      <c r="EF9019"/>
      <c r="EG9019"/>
      <c r="EH9019"/>
      <c r="EI9019"/>
      <c r="EJ9019"/>
      <c r="EK9019"/>
    </row>
    <row r="9020" spans="1:141" s="116" customFormat="1">
      <c r="A9020" s="136"/>
      <c r="CM9020" s="111"/>
      <c r="CQ9020" s="111"/>
      <c r="EF9020"/>
      <c r="EG9020"/>
      <c r="EH9020"/>
      <c r="EI9020"/>
      <c r="EJ9020"/>
      <c r="EK9020"/>
    </row>
    <row r="9021" spans="1:141" s="116" customFormat="1">
      <c r="A9021" s="136"/>
      <c r="CM9021" s="111"/>
      <c r="CQ9021" s="111"/>
      <c r="EF9021"/>
      <c r="EG9021"/>
      <c r="EH9021"/>
      <c r="EI9021"/>
      <c r="EJ9021"/>
      <c r="EK9021"/>
    </row>
    <row r="9022" spans="1:141" s="116" customFormat="1">
      <c r="A9022" s="136"/>
      <c r="CM9022" s="111"/>
      <c r="CQ9022" s="111"/>
      <c r="EF9022"/>
      <c r="EG9022"/>
      <c r="EH9022"/>
      <c r="EI9022"/>
      <c r="EJ9022"/>
      <c r="EK9022"/>
    </row>
    <row r="9023" spans="1:141" s="116" customFormat="1">
      <c r="A9023" s="136"/>
      <c r="CM9023" s="111"/>
      <c r="CQ9023" s="111"/>
      <c r="EF9023"/>
      <c r="EG9023"/>
      <c r="EH9023"/>
      <c r="EI9023"/>
      <c r="EJ9023"/>
      <c r="EK9023"/>
    </row>
    <row r="9024" spans="1:141" s="116" customFormat="1">
      <c r="A9024" s="136"/>
      <c r="CM9024" s="111"/>
      <c r="CQ9024" s="111"/>
      <c r="EF9024"/>
      <c r="EG9024"/>
      <c r="EH9024"/>
      <c r="EI9024"/>
      <c r="EJ9024"/>
      <c r="EK9024"/>
    </row>
    <row r="9025" spans="1:141" s="116" customFormat="1">
      <c r="A9025" s="136"/>
      <c r="CM9025" s="111"/>
      <c r="CQ9025" s="111"/>
      <c r="EF9025"/>
      <c r="EG9025"/>
      <c r="EH9025"/>
      <c r="EI9025"/>
      <c r="EJ9025"/>
      <c r="EK9025"/>
    </row>
    <row r="9026" spans="1:141" s="116" customFormat="1">
      <c r="A9026" s="136"/>
      <c r="CM9026" s="111"/>
      <c r="CQ9026" s="111"/>
      <c r="EF9026"/>
      <c r="EG9026"/>
      <c r="EH9026"/>
      <c r="EI9026"/>
      <c r="EJ9026"/>
      <c r="EK9026"/>
    </row>
    <row r="9027" spans="1:141" s="116" customFormat="1">
      <c r="A9027" s="136"/>
      <c r="CM9027" s="111"/>
      <c r="CQ9027" s="111"/>
      <c r="EF9027"/>
      <c r="EG9027"/>
      <c r="EH9027"/>
      <c r="EI9027"/>
      <c r="EJ9027"/>
      <c r="EK9027"/>
    </row>
    <row r="9028" spans="1:141" s="116" customFormat="1">
      <c r="A9028" s="136"/>
      <c r="CM9028" s="111"/>
      <c r="CQ9028" s="111"/>
      <c r="EF9028"/>
      <c r="EG9028"/>
      <c r="EH9028"/>
      <c r="EI9028"/>
      <c r="EJ9028"/>
      <c r="EK9028"/>
    </row>
    <row r="9029" spans="1:141" s="116" customFormat="1">
      <c r="A9029" s="136"/>
      <c r="CM9029" s="111"/>
      <c r="CQ9029" s="111"/>
      <c r="EF9029"/>
      <c r="EG9029"/>
      <c r="EH9029"/>
      <c r="EI9029"/>
      <c r="EJ9029"/>
      <c r="EK9029"/>
    </row>
    <row r="9030" spans="1:141" s="116" customFormat="1">
      <c r="A9030" s="136"/>
      <c r="CM9030" s="111"/>
      <c r="CQ9030" s="111"/>
      <c r="EF9030"/>
      <c r="EG9030"/>
      <c r="EH9030"/>
      <c r="EI9030"/>
      <c r="EJ9030"/>
      <c r="EK9030"/>
    </row>
    <row r="9031" spans="1:141" s="116" customFormat="1">
      <c r="A9031" s="136"/>
      <c r="CM9031" s="111"/>
      <c r="CQ9031" s="111"/>
      <c r="EF9031"/>
      <c r="EG9031"/>
      <c r="EH9031"/>
      <c r="EI9031"/>
      <c r="EJ9031"/>
      <c r="EK9031"/>
    </row>
    <row r="9032" spans="1:141" s="116" customFormat="1">
      <c r="A9032" s="136"/>
      <c r="CM9032" s="111"/>
      <c r="CQ9032" s="111"/>
      <c r="EF9032"/>
      <c r="EG9032"/>
      <c r="EH9032"/>
      <c r="EI9032"/>
      <c r="EJ9032"/>
      <c r="EK9032"/>
    </row>
    <row r="9033" spans="1:141" s="116" customFormat="1">
      <c r="A9033" s="136"/>
      <c r="CM9033" s="111"/>
      <c r="CQ9033" s="111"/>
      <c r="EF9033"/>
      <c r="EG9033"/>
      <c r="EH9033"/>
      <c r="EI9033"/>
      <c r="EJ9033"/>
      <c r="EK9033"/>
    </row>
    <row r="9034" spans="1:141" s="116" customFormat="1">
      <c r="A9034" s="136"/>
      <c r="CM9034" s="111"/>
      <c r="CQ9034" s="111"/>
      <c r="EF9034"/>
      <c r="EG9034"/>
      <c r="EH9034"/>
      <c r="EI9034"/>
      <c r="EJ9034"/>
      <c r="EK9034"/>
    </row>
    <row r="9035" spans="1:141" s="116" customFormat="1">
      <c r="A9035" s="136"/>
      <c r="CM9035" s="111"/>
      <c r="CQ9035" s="111"/>
      <c r="EF9035"/>
      <c r="EG9035"/>
      <c r="EH9035"/>
      <c r="EI9035"/>
      <c r="EJ9035"/>
      <c r="EK9035"/>
    </row>
    <row r="9036" spans="1:141" s="116" customFormat="1">
      <c r="A9036" s="136"/>
      <c r="CM9036" s="111"/>
      <c r="CQ9036" s="111"/>
      <c r="EF9036"/>
      <c r="EG9036"/>
      <c r="EH9036"/>
      <c r="EI9036"/>
      <c r="EJ9036"/>
      <c r="EK9036"/>
    </row>
    <row r="9037" spans="1:141" s="116" customFormat="1">
      <c r="A9037" s="136"/>
      <c r="CM9037" s="111"/>
      <c r="CQ9037" s="111"/>
      <c r="EF9037"/>
      <c r="EG9037"/>
      <c r="EH9037"/>
      <c r="EI9037"/>
      <c r="EJ9037"/>
      <c r="EK9037"/>
    </row>
    <row r="9038" spans="1:141" s="116" customFormat="1">
      <c r="A9038" s="136"/>
      <c r="CM9038" s="111"/>
      <c r="CQ9038" s="111"/>
      <c r="EF9038"/>
      <c r="EG9038"/>
      <c r="EH9038"/>
      <c r="EI9038"/>
      <c r="EJ9038"/>
      <c r="EK9038"/>
    </row>
    <row r="9039" spans="1:141" s="116" customFormat="1">
      <c r="A9039" s="136"/>
      <c r="CM9039" s="111"/>
      <c r="CQ9039" s="111"/>
      <c r="EF9039"/>
      <c r="EG9039"/>
      <c r="EH9039"/>
      <c r="EI9039"/>
      <c r="EJ9039"/>
      <c r="EK9039"/>
    </row>
    <row r="9040" spans="1:141" s="116" customFormat="1">
      <c r="A9040" s="136"/>
      <c r="CM9040" s="111"/>
      <c r="CQ9040" s="111"/>
      <c r="EF9040"/>
      <c r="EG9040"/>
      <c r="EH9040"/>
      <c r="EI9040"/>
      <c r="EJ9040"/>
      <c r="EK9040"/>
    </row>
    <row r="9041" spans="1:141" s="116" customFormat="1">
      <c r="A9041" s="136"/>
      <c r="CM9041" s="111"/>
      <c r="CQ9041" s="111"/>
      <c r="EF9041"/>
      <c r="EG9041"/>
      <c r="EH9041"/>
      <c r="EI9041"/>
      <c r="EJ9041"/>
      <c r="EK9041"/>
    </row>
    <row r="9042" spans="1:141" s="116" customFormat="1">
      <c r="A9042" s="136"/>
      <c r="CM9042" s="111"/>
      <c r="CQ9042" s="111"/>
      <c r="EF9042"/>
      <c r="EG9042"/>
      <c r="EH9042"/>
      <c r="EI9042"/>
      <c r="EJ9042"/>
      <c r="EK9042"/>
    </row>
    <row r="9043" spans="1:141" s="116" customFormat="1">
      <c r="A9043" s="136"/>
      <c r="CM9043" s="111"/>
      <c r="CQ9043" s="111"/>
      <c r="EF9043"/>
      <c r="EG9043"/>
      <c r="EH9043"/>
      <c r="EI9043"/>
      <c r="EJ9043"/>
      <c r="EK9043"/>
    </row>
    <row r="9044" spans="1:141" s="116" customFormat="1">
      <c r="A9044" s="136"/>
      <c r="CM9044" s="111"/>
      <c r="CQ9044" s="111"/>
      <c r="EF9044"/>
      <c r="EG9044"/>
      <c r="EH9044"/>
      <c r="EI9044"/>
      <c r="EJ9044"/>
      <c r="EK9044"/>
    </row>
    <row r="9045" spans="1:141" s="116" customFormat="1">
      <c r="A9045" s="136"/>
      <c r="CM9045" s="111"/>
      <c r="CQ9045" s="111"/>
      <c r="EF9045"/>
      <c r="EG9045"/>
      <c r="EH9045"/>
      <c r="EI9045"/>
      <c r="EJ9045"/>
      <c r="EK9045"/>
    </row>
    <row r="9046" spans="1:141" s="116" customFormat="1">
      <c r="A9046" s="136"/>
      <c r="CM9046" s="111"/>
      <c r="CQ9046" s="111"/>
      <c r="EF9046"/>
      <c r="EG9046"/>
      <c r="EH9046"/>
      <c r="EI9046"/>
      <c r="EJ9046"/>
      <c r="EK9046"/>
    </row>
    <row r="9047" spans="1:141" s="116" customFormat="1">
      <c r="A9047" s="136"/>
      <c r="CM9047" s="111"/>
      <c r="CQ9047" s="111"/>
      <c r="EF9047"/>
      <c r="EG9047"/>
      <c r="EH9047"/>
      <c r="EI9047"/>
      <c r="EJ9047"/>
      <c r="EK9047"/>
    </row>
    <row r="9048" spans="1:141" s="116" customFormat="1">
      <c r="A9048" s="136"/>
      <c r="CM9048" s="111"/>
      <c r="CQ9048" s="111"/>
      <c r="EF9048"/>
      <c r="EG9048"/>
      <c r="EH9048"/>
      <c r="EI9048"/>
      <c r="EJ9048"/>
      <c r="EK9048"/>
    </row>
    <row r="9049" spans="1:141" s="116" customFormat="1">
      <c r="A9049" s="136"/>
      <c r="CM9049" s="111"/>
      <c r="CQ9049" s="111"/>
      <c r="EF9049"/>
      <c r="EG9049"/>
      <c r="EH9049"/>
      <c r="EI9049"/>
      <c r="EJ9049"/>
      <c r="EK9049"/>
    </row>
    <row r="9050" spans="1:141" s="116" customFormat="1">
      <c r="A9050" s="136"/>
      <c r="CM9050" s="111"/>
      <c r="CQ9050" s="111"/>
      <c r="EF9050"/>
      <c r="EG9050"/>
      <c r="EH9050"/>
      <c r="EI9050"/>
      <c r="EJ9050"/>
      <c r="EK9050"/>
    </row>
    <row r="9051" spans="1:141" s="116" customFormat="1">
      <c r="A9051" s="136"/>
      <c r="CM9051" s="111"/>
      <c r="CQ9051" s="111"/>
      <c r="EF9051"/>
      <c r="EG9051"/>
      <c r="EH9051"/>
      <c r="EI9051"/>
      <c r="EJ9051"/>
      <c r="EK9051"/>
    </row>
    <row r="9052" spans="1:141" s="116" customFormat="1">
      <c r="A9052" s="136"/>
      <c r="CM9052" s="111"/>
      <c r="CQ9052" s="111"/>
      <c r="EF9052"/>
      <c r="EG9052"/>
      <c r="EH9052"/>
      <c r="EI9052"/>
      <c r="EJ9052"/>
      <c r="EK9052"/>
    </row>
    <row r="9053" spans="1:141" s="116" customFormat="1">
      <c r="A9053" s="136"/>
      <c r="CM9053" s="111"/>
      <c r="CQ9053" s="111"/>
      <c r="EF9053"/>
      <c r="EG9053"/>
      <c r="EH9053"/>
      <c r="EI9053"/>
      <c r="EJ9053"/>
      <c r="EK9053"/>
    </row>
    <row r="9054" spans="1:141" s="116" customFormat="1">
      <c r="A9054" s="136"/>
      <c r="CM9054" s="111"/>
      <c r="CQ9054" s="111"/>
      <c r="EF9054"/>
      <c r="EG9054"/>
      <c r="EH9054"/>
      <c r="EI9054"/>
      <c r="EJ9054"/>
      <c r="EK9054"/>
    </row>
    <row r="9055" spans="1:141" s="116" customFormat="1">
      <c r="A9055" s="136"/>
      <c r="CM9055" s="111"/>
      <c r="CQ9055" s="111"/>
      <c r="EF9055"/>
      <c r="EG9055"/>
      <c r="EH9055"/>
      <c r="EI9055"/>
      <c r="EJ9055"/>
      <c r="EK9055"/>
    </row>
    <row r="9056" spans="1:141" s="116" customFormat="1">
      <c r="A9056" s="136"/>
      <c r="CM9056" s="111"/>
      <c r="CQ9056" s="111"/>
      <c r="EF9056"/>
      <c r="EG9056"/>
      <c r="EH9056"/>
      <c r="EI9056"/>
      <c r="EJ9056"/>
      <c r="EK9056"/>
    </row>
    <row r="9057" spans="1:141" s="116" customFormat="1">
      <c r="A9057" s="136"/>
      <c r="CM9057" s="111"/>
      <c r="CQ9057" s="111"/>
      <c r="EF9057"/>
      <c r="EG9057"/>
      <c r="EH9057"/>
      <c r="EI9057"/>
      <c r="EJ9057"/>
      <c r="EK9057"/>
    </row>
    <row r="9058" spans="1:141" s="116" customFormat="1">
      <c r="A9058" s="136"/>
      <c r="CM9058" s="111"/>
      <c r="CQ9058" s="111"/>
      <c r="EF9058"/>
      <c r="EG9058"/>
      <c r="EH9058"/>
      <c r="EI9058"/>
      <c r="EJ9058"/>
      <c r="EK9058"/>
    </row>
    <row r="9059" spans="1:141" s="116" customFormat="1">
      <c r="A9059" s="136"/>
      <c r="CM9059" s="111"/>
      <c r="CQ9059" s="111"/>
      <c r="EF9059"/>
      <c r="EG9059"/>
      <c r="EH9059"/>
      <c r="EI9059"/>
      <c r="EJ9059"/>
      <c r="EK9059"/>
    </row>
    <row r="9060" spans="1:141" s="116" customFormat="1">
      <c r="A9060" s="136"/>
      <c r="CM9060" s="111"/>
      <c r="CQ9060" s="111"/>
      <c r="EF9060"/>
      <c r="EG9060"/>
      <c r="EH9060"/>
      <c r="EI9060"/>
      <c r="EJ9060"/>
      <c r="EK9060"/>
    </row>
    <row r="9061" spans="1:141" s="116" customFormat="1">
      <c r="A9061" s="136"/>
      <c r="CM9061" s="111"/>
      <c r="CQ9061" s="111"/>
      <c r="EF9061"/>
      <c r="EG9061"/>
      <c r="EH9061"/>
      <c r="EI9061"/>
      <c r="EJ9061"/>
      <c r="EK9061"/>
    </row>
    <row r="9062" spans="1:141" s="116" customFormat="1">
      <c r="A9062" s="136"/>
      <c r="CM9062" s="111"/>
      <c r="CQ9062" s="111"/>
      <c r="EF9062"/>
      <c r="EG9062"/>
      <c r="EH9062"/>
      <c r="EI9062"/>
      <c r="EJ9062"/>
      <c r="EK9062"/>
    </row>
    <row r="9063" spans="1:141" s="116" customFormat="1">
      <c r="A9063" s="136"/>
      <c r="CM9063" s="111"/>
      <c r="CQ9063" s="111"/>
      <c r="EF9063"/>
      <c r="EG9063"/>
      <c r="EH9063"/>
      <c r="EI9063"/>
      <c r="EJ9063"/>
      <c r="EK9063"/>
    </row>
    <row r="9064" spans="1:141" s="116" customFormat="1">
      <c r="A9064" s="136"/>
      <c r="CM9064" s="111"/>
      <c r="CQ9064" s="111"/>
      <c r="EF9064"/>
      <c r="EG9064"/>
      <c r="EH9064"/>
      <c r="EI9064"/>
      <c r="EJ9064"/>
      <c r="EK9064"/>
    </row>
    <row r="9065" spans="1:141" s="116" customFormat="1">
      <c r="A9065" s="136"/>
      <c r="CM9065" s="111"/>
      <c r="CQ9065" s="111"/>
      <c r="EF9065"/>
      <c r="EG9065"/>
      <c r="EH9065"/>
      <c r="EI9065"/>
      <c r="EJ9065"/>
      <c r="EK9065"/>
    </row>
    <row r="9066" spans="1:141" s="116" customFormat="1">
      <c r="A9066" s="136"/>
      <c r="CM9066" s="111"/>
      <c r="CQ9066" s="111"/>
      <c r="EF9066"/>
      <c r="EG9066"/>
      <c r="EH9066"/>
      <c r="EI9066"/>
      <c r="EJ9066"/>
      <c r="EK9066"/>
    </row>
    <row r="9067" spans="1:141" s="116" customFormat="1">
      <c r="A9067" s="136"/>
      <c r="CM9067" s="111"/>
      <c r="CQ9067" s="111"/>
      <c r="EF9067"/>
      <c r="EG9067"/>
      <c r="EH9067"/>
      <c r="EI9067"/>
      <c r="EJ9067"/>
      <c r="EK9067"/>
    </row>
    <row r="9068" spans="1:141" s="116" customFormat="1">
      <c r="A9068" s="136"/>
      <c r="CM9068" s="111"/>
      <c r="CQ9068" s="111"/>
      <c r="EF9068"/>
      <c r="EG9068"/>
      <c r="EH9068"/>
      <c r="EI9068"/>
      <c r="EJ9068"/>
      <c r="EK9068"/>
    </row>
    <row r="9069" spans="1:141" s="116" customFormat="1">
      <c r="A9069" s="136"/>
      <c r="CM9069" s="111"/>
      <c r="CQ9069" s="111"/>
      <c r="EF9069"/>
      <c r="EG9069"/>
      <c r="EH9069"/>
      <c r="EI9069"/>
      <c r="EJ9069"/>
      <c r="EK9069"/>
    </row>
    <row r="9070" spans="1:141" s="116" customFormat="1">
      <c r="A9070" s="136"/>
      <c r="CM9070" s="111"/>
      <c r="CQ9070" s="111"/>
      <c r="EF9070"/>
      <c r="EG9070"/>
      <c r="EH9070"/>
      <c r="EI9070"/>
      <c r="EJ9070"/>
      <c r="EK9070"/>
    </row>
    <row r="9071" spans="1:141" s="116" customFormat="1">
      <c r="A9071" s="136"/>
      <c r="CM9071" s="111"/>
      <c r="CQ9071" s="111"/>
      <c r="EF9071"/>
      <c r="EG9071"/>
      <c r="EH9071"/>
      <c r="EI9071"/>
      <c r="EJ9071"/>
      <c r="EK9071"/>
    </row>
    <row r="9072" spans="1:141" s="116" customFormat="1">
      <c r="A9072" s="136"/>
      <c r="CM9072" s="111"/>
      <c r="CQ9072" s="111"/>
      <c r="EF9072"/>
      <c r="EG9072"/>
      <c r="EH9072"/>
      <c r="EI9072"/>
      <c r="EJ9072"/>
      <c r="EK9072"/>
    </row>
    <row r="9073" spans="1:141" s="116" customFormat="1">
      <c r="A9073" s="136"/>
      <c r="CM9073" s="111"/>
      <c r="CQ9073" s="111"/>
      <c r="EF9073"/>
      <c r="EG9073"/>
      <c r="EH9073"/>
      <c r="EI9073"/>
      <c r="EJ9073"/>
      <c r="EK9073"/>
    </row>
    <row r="9074" spans="1:141" s="116" customFormat="1">
      <c r="A9074" s="136"/>
      <c r="CM9074" s="111"/>
      <c r="CQ9074" s="111"/>
      <c r="EF9074"/>
      <c r="EG9074"/>
      <c r="EH9074"/>
      <c r="EI9074"/>
      <c r="EJ9074"/>
      <c r="EK9074"/>
    </row>
    <row r="9075" spans="1:141" s="116" customFormat="1">
      <c r="A9075" s="136"/>
      <c r="CM9075" s="111"/>
      <c r="CQ9075" s="111"/>
      <c r="EF9075"/>
      <c r="EG9075"/>
      <c r="EH9075"/>
      <c r="EI9075"/>
      <c r="EJ9075"/>
      <c r="EK9075"/>
    </row>
    <row r="9076" spans="1:141" s="116" customFormat="1">
      <c r="A9076" s="136"/>
      <c r="CM9076" s="111"/>
      <c r="CQ9076" s="111"/>
      <c r="EF9076"/>
      <c r="EG9076"/>
      <c r="EH9076"/>
      <c r="EI9076"/>
      <c r="EJ9076"/>
      <c r="EK9076"/>
    </row>
    <row r="9077" spans="1:141" s="116" customFormat="1">
      <c r="A9077" s="136"/>
      <c r="CM9077" s="111"/>
      <c r="CQ9077" s="111"/>
      <c r="EF9077"/>
      <c r="EG9077"/>
      <c r="EH9077"/>
      <c r="EI9077"/>
      <c r="EJ9077"/>
      <c r="EK9077"/>
    </row>
    <row r="9078" spans="1:141" s="116" customFormat="1">
      <c r="A9078" s="136"/>
      <c r="CM9078" s="111"/>
      <c r="CQ9078" s="111"/>
      <c r="EF9078"/>
      <c r="EG9078"/>
      <c r="EH9078"/>
      <c r="EI9078"/>
      <c r="EJ9078"/>
      <c r="EK9078"/>
    </row>
    <row r="9079" spans="1:141" s="116" customFormat="1">
      <c r="A9079" s="136"/>
      <c r="CM9079" s="111"/>
      <c r="CQ9079" s="111"/>
      <c r="EF9079"/>
      <c r="EG9079"/>
      <c r="EH9079"/>
      <c r="EI9079"/>
      <c r="EJ9079"/>
      <c r="EK9079"/>
    </row>
    <row r="9080" spans="1:141" s="116" customFormat="1">
      <c r="A9080" s="136"/>
      <c r="CM9080" s="111"/>
      <c r="CQ9080" s="111"/>
      <c r="EF9080"/>
      <c r="EG9080"/>
      <c r="EH9080"/>
      <c r="EI9080"/>
      <c r="EJ9080"/>
      <c r="EK9080"/>
    </row>
    <row r="9081" spans="1:141" s="116" customFormat="1">
      <c r="A9081" s="136"/>
      <c r="CM9081" s="111"/>
      <c r="CQ9081" s="111"/>
      <c r="EF9081"/>
      <c r="EG9081"/>
      <c r="EH9081"/>
      <c r="EI9081"/>
      <c r="EJ9081"/>
      <c r="EK9081"/>
    </row>
    <row r="9082" spans="1:141" s="116" customFormat="1">
      <c r="A9082" s="136"/>
      <c r="CM9082" s="111"/>
      <c r="CQ9082" s="111"/>
      <c r="EF9082"/>
      <c r="EG9082"/>
      <c r="EH9082"/>
      <c r="EI9082"/>
      <c r="EJ9082"/>
      <c r="EK9082"/>
    </row>
    <row r="9083" spans="1:141" s="116" customFormat="1">
      <c r="A9083" s="136"/>
      <c r="CM9083" s="111"/>
      <c r="CQ9083" s="111"/>
      <c r="EF9083"/>
      <c r="EG9083"/>
      <c r="EH9083"/>
      <c r="EI9083"/>
      <c r="EJ9083"/>
      <c r="EK9083"/>
    </row>
    <row r="9084" spans="1:141" s="116" customFormat="1">
      <c r="A9084" s="136"/>
      <c r="CM9084" s="111"/>
      <c r="CQ9084" s="111"/>
      <c r="EF9084"/>
      <c r="EG9084"/>
      <c r="EH9084"/>
      <c r="EI9084"/>
      <c r="EJ9084"/>
      <c r="EK9084"/>
    </row>
    <row r="9085" spans="1:141" s="116" customFormat="1">
      <c r="A9085" s="136"/>
      <c r="CM9085" s="111"/>
      <c r="CQ9085" s="111"/>
      <c r="EF9085"/>
      <c r="EG9085"/>
      <c r="EH9085"/>
      <c r="EI9085"/>
      <c r="EJ9085"/>
      <c r="EK9085"/>
    </row>
    <row r="9086" spans="1:141" s="116" customFormat="1">
      <c r="A9086" s="136"/>
      <c r="CM9086" s="111"/>
      <c r="CQ9086" s="111"/>
      <c r="EF9086"/>
      <c r="EG9086"/>
      <c r="EH9086"/>
      <c r="EI9086"/>
      <c r="EJ9086"/>
      <c r="EK9086"/>
    </row>
    <row r="9087" spans="1:141" s="116" customFormat="1">
      <c r="A9087" s="136"/>
      <c r="CM9087" s="111"/>
      <c r="CQ9087" s="111"/>
      <c r="EF9087"/>
      <c r="EG9087"/>
      <c r="EH9087"/>
      <c r="EI9087"/>
      <c r="EJ9087"/>
      <c r="EK9087"/>
    </row>
    <row r="9088" spans="1:141" s="116" customFormat="1">
      <c r="A9088" s="136"/>
      <c r="CM9088" s="111"/>
      <c r="CQ9088" s="111"/>
      <c r="EF9088"/>
      <c r="EG9088"/>
      <c r="EH9088"/>
      <c r="EI9088"/>
      <c r="EJ9088"/>
      <c r="EK9088"/>
    </row>
    <row r="9089" spans="1:141" s="116" customFormat="1">
      <c r="A9089" s="136"/>
      <c r="CM9089" s="111"/>
      <c r="CQ9089" s="111"/>
      <c r="EF9089"/>
      <c r="EG9089"/>
      <c r="EH9089"/>
      <c r="EI9089"/>
      <c r="EJ9089"/>
      <c r="EK9089"/>
    </row>
    <row r="9090" spans="1:141" s="116" customFormat="1">
      <c r="A9090" s="136"/>
      <c r="CM9090" s="111"/>
      <c r="CQ9090" s="111"/>
      <c r="EF9090"/>
      <c r="EG9090"/>
      <c r="EH9090"/>
      <c r="EI9090"/>
      <c r="EJ9090"/>
      <c r="EK9090"/>
    </row>
    <row r="9091" spans="1:141" s="116" customFormat="1">
      <c r="A9091" s="136"/>
      <c r="CM9091" s="111"/>
      <c r="CQ9091" s="111"/>
      <c r="EF9091"/>
      <c r="EG9091"/>
      <c r="EH9091"/>
      <c r="EI9091"/>
      <c r="EJ9091"/>
      <c r="EK9091"/>
    </row>
    <row r="9092" spans="1:141" s="116" customFormat="1">
      <c r="A9092" s="136"/>
      <c r="CM9092" s="111"/>
      <c r="CQ9092" s="111"/>
      <c r="EF9092"/>
      <c r="EG9092"/>
      <c r="EH9092"/>
      <c r="EI9092"/>
      <c r="EJ9092"/>
      <c r="EK9092"/>
    </row>
    <row r="9093" spans="1:141" s="116" customFormat="1">
      <c r="A9093" s="136"/>
      <c r="CM9093" s="111"/>
      <c r="CQ9093" s="111"/>
      <c r="EF9093"/>
      <c r="EG9093"/>
      <c r="EH9093"/>
      <c r="EI9093"/>
      <c r="EJ9093"/>
      <c r="EK9093"/>
    </row>
    <row r="9094" spans="1:141" s="116" customFormat="1">
      <c r="A9094" s="136"/>
      <c r="CM9094" s="111"/>
      <c r="CQ9094" s="111"/>
      <c r="EF9094"/>
      <c r="EG9094"/>
      <c r="EH9094"/>
      <c r="EI9094"/>
      <c r="EJ9094"/>
      <c r="EK9094"/>
    </row>
    <row r="9095" spans="1:141" s="116" customFormat="1">
      <c r="A9095" s="136"/>
      <c r="CM9095" s="111"/>
      <c r="CQ9095" s="111"/>
      <c r="EF9095"/>
      <c r="EG9095"/>
      <c r="EH9095"/>
      <c r="EI9095"/>
      <c r="EJ9095"/>
      <c r="EK9095"/>
    </row>
    <row r="9096" spans="1:141" s="116" customFormat="1">
      <c r="A9096" s="136"/>
      <c r="CM9096" s="111"/>
      <c r="CQ9096" s="111"/>
      <c r="EF9096"/>
      <c r="EG9096"/>
      <c r="EH9096"/>
      <c r="EI9096"/>
      <c r="EJ9096"/>
      <c r="EK9096"/>
    </row>
    <row r="9097" spans="1:141" s="116" customFormat="1">
      <c r="A9097" s="136"/>
      <c r="CM9097" s="111"/>
      <c r="CQ9097" s="111"/>
      <c r="EF9097"/>
      <c r="EG9097"/>
      <c r="EH9097"/>
      <c r="EI9097"/>
      <c r="EJ9097"/>
      <c r="EK9097"/>
    </row>
    <row r="9098" spans="1:141" s="116" customFormat="1">
      <c r="A9098" s="136"/>
      <c r="CM9098" s="111"/>
      <c r="CQ9098" s="111"/>
      <c r="EF9098"/>
      <c r="EG9098"/>
      <c r="EH9098"/>
      <c r="EI9098"/>
      <c r="EJ9098"/>
      <c r="EK9098"/>
    </row>
    <row r="9099" spans="1:141" s="116" customFormat="1">
      <c r="A9099" s="136"/>
      <c r="CM9099" s="111"/>
      <c r="CQ9099" s="111"/>
      <c r="EF9099"/>
      <c r="EG9099"/>
      <c r="EH9099"/>
      <c r="EI9099"/>
      <c r="EJ9099"/>
      <c r="EK9099"/>
    </row>
    <row r="9100" spans="1:141" s="116" customFormat="1">
      <c r="A9100" s="136"/>
      <c r="CM9100" s="111"/>
      <c r="CQ9100" s="111"/>
      <c r="EF9100"/>
      <c r="EG9100"/>
      <c r="EH9100"/>
      <c r="EI9100"/>
      <c r="EJ9100"/>
      <c r="EK9100"/>
    </row>
    <row r="9101" spans="1:141" s="116" customFormat="1">
      <c r="A9101" s="136"/>
      <c r="CM9101" s="111"/>
      <c r="CQ9101" s="111"/>
      <c r="EF9101"/>
      <c r="EG9101"/>
      <c r="EH9101"/>
      <c r="EI9101"/>
      <c r="EJ9101"/>
      <c r="EK9101"/>
    </row>
    <row r="9102" spans="1:141" s="116" customFormat="1">
      <c r="A9102" s="136"/>
      <c r="CM9102" s="111"/>
      <c r="CQ9102" s="111"/>
      <c r="EF9102"/>
      <c r="EG9102"/>
      <c r="EH9102"/>
      <c r="EI9102"/>
      <c r="EJ9102"/>
      <c r="EK9102"/>
    </row>
    <row r="9103" spans="1:141" s="116" customFormat="1">
      <c r="A9103" s="136"/>
      <c r="CM9103" s="111"/>
      <c r="CQ9103" s="111"/>
      <c r="EF9103"/>
      <c r="EG9103"/>
      <c r="EH9103"/>
      <c r="EI9103"/>
      <c r="EJ9103"/>
      <c r="EK9103"/>
    </row>
    <row r="9104" spans="1:141" s="116" customFormat="1">
      <c r="A9104" s="136"/>
      <c r="CM9104" s="111"/>
      <c r="CQ9104" s="111"/>
      <c r="EF9104"/>
      <c r="EG9104"/>
      <c r="EH9104"/>
      <c r="EI9104"/>
      <c r="EJ9104"/>
      <c r="EK9104"/>
    </row>
    <row r="9105" spans="1:141" s="116" customFormat="1">
      <c r="A9105" s="136"/>
      <c r="CM9105" s="111"/>
      <c r="CQ9105" s="111"/>
      <c r="EF9105"/>
      <c r="EG9105"/>
      <c r="EH9105"/>
      <c r="EI9105"/>
      <c r="EJ9105"/>
      <c r="EK9105"/>
    </row>
    <row r="9106" spans="1:141" s="116" customFormat="1">
      <c r="A9106" s="136"/>
      <c r="CM9106" s="111"/>
      <c r="CQ9106" s="111"/>
      <c r="EF9106"/>
      <c r="EG9106"/>
      <c r="EH9106"/>
      <c r="EI9106"/>
      <c r="EJ9106"/>
      <c r="EK9106"/>
    </row>
    <row r="9107" spans="1:141" s="116" customFormat="1">
      <c r="A9107" s="136"/>
      <c r="CM9107" s="111"/>
      <c r="CQ9107" s="111"/>
      <c r="EF9107"/>
      <c r="EG9107"/>
      <c r="EH9107"/>
      <c r="EI9107"/>
      <c r="EJ9107"/>
      <c r="EK9107"/>
    </row>
    <row r="9108" spans="1:141" s="116" customFormat="1">
      <c r="A9108" s="136"/>
      <c r="CM9108" s="111"/>
      <c r="CQ9108" s="111"/>
      <c r="EF9108"/>
      <c r="EG9108"/>
      <c r="EH9108"/>
      <c r="EI9108"/>
      <c r="EJ9108"/>
      <c r="EK9108"/>
    </row>
    <row r="9109" spans="1:141" s="116" customFormat="1">
      <c r="A9109" s="136"/>
      <c r="CM9109" s="111"/>
      <c r="CQ9109" s="111"/>
      <c r="EF9109"/>
      <c r="EG9109"/>
      <c r="EH9109"/>
      <c r="EI9109"/>
      <c r="EJ9109"/>
      <c r="EK9109"/>
    </row>
    <row r="9110" spans="1:141" s="116" customFormat="1">
      <c r="A9110" s="136"/>
      <c r="CM9110" s="111"/>
      <c r="CQ9110" s="111"/>
      <c r="EF9110"/>
      <c r="EG9110"/>
      <c r="EH9110"/>
      <c r="EI9110"/>
      <c r="EJ9110"/>
      <c r="EK9110"/>
    </row>
    <row r="9111" spans="1:141" s="116" customFormat="1">
      <c r="A9111" s="136"/>
      <c r="CM9111" s="111"/>
      <c r="CQ9111" s="111"/>
      <c r="EF9111"/>
      <c r="EG9111"/>
      <c r="EH9111"/>
      <c r="EI9111"/>
      <c r="EJ9111"/>
      <c r="EK9111"/>
    </row>
    <row r="9112" spans="1:141" s="116" customFormat="1">
      <c r="A9112" s="136"/>
      <c r="CM9112" s="111"/>
      <c r="CQ9112" s="111"/>
      <c r="EF9112"/>
      <c r="EG9112"/>
      <c r="EH9112"/>
      <c r="EI9112"/>
      <c r="EJ9112"/>
      <c r="EK9112"/>
    </row>
    <row r="9113" spans="1:141" s="116" customFormat="1">
      <c r="A9113" s="136"/>
      <c r="CM9113" s="111"/>
      <c r="CQ9113" s="111"/>
      <c r="EF9113"/>
      <c r="EG9113"/>
      <c r="EH9113"/>
      <c r="EI9113"/>
      <c r="EJ9113"/>
      <c r="EK9113"/>
    </row>
    <row r="9114" spans="1:141" s="116" customFormat="1">
      <c r="A9114" s="136"/>
      <c r="CM9114" s="111"/>
      <c r="CQ9114" s="111"/>
      <c r="EF9114"/>
      <c r="EG9114"/>
      <c r="EH9114"/>
      <c r="EI9114"/>
      <c r="EJ9114"/>
      <c r="EK9114"/>
    </row>
    <row r="9115" spans="1:141" s="116" customFormat="1">
      <c r="A9115" s="136"/>
      <c r="CM9115" s="111"/>
      <c r="CQ9115" s="111"/>
      <c r="EF9115"/>
      <c r="EG9115"/>
      <c r="EH9115"/>
      <c r="EI9115"/>
      <c r="EJ9115"/>
      <c r="EK9115"/>
    </row>
    <row r="9116" spans="1:141" s="116" customFormat="1">
      <c r="A9116" s="136"/>
      <c r="CM9116" s="111"/>
      <c r="CQ9116" s="111"/>
      <c r="EF9116"/>
      <c r="EG9116"/>
      <c r="EH9116"/>
      <c r="EI9116"/>
      <c r="EJ9116"/>
      <c r="EK9116"/>
    </row>
    <row r="9117" spans="1:141" s="116" customFormat="1">
      <c r="A9117" s="136"/>
      <c r="CM9117" s="111"/>
      <c r="CQ9117" s="111"/>
      <c r="EF9117"/>
      <c r="EG9117"/>
      <c r="EH9117"/>
      <c r="EI9117"/>
      <c r="EJ9117"/>
      <c r="EK9117"/>
    </row>
    <row r="9118" spans="1:141" s="116" customFormat="1">
      <c r="A9118" s="136"/>
      <c r="CM9118" s="111"/>
      <c r="CQ9118" s="111"/>
      <c r="EF9118"/>
      <c r="EG9118"/>
      <c r="EH9118"/>
      <c r="EI9118"/>
      <c r="EJ9118"/>
      <c r="EK9118"/>
    </row>
    <row r="9119" spans="1:141" s="116" customFormat="1">
      <c r="A9119" s="136"/>
      <c r="CM9119" s="111"/>
      <c r="CQ9119" s="111"/>
      <c r="EF9119"/>
      <c r="EG9119"/>
      <c r="EH9119"/>
      <c r="EI9119"/>
      <c r="EJ9119"/>
      <c r="EK9119"/>
    </row>
    <row r="9120" spans="1:141" s="116" customFormat="1">
      <c r="A9120" s="136"/>
      <c r="CM9120" s="111"/>
      <c r="CQ9120" s="111"/>
      <c r="EF9120"/>
      <c r="EG9120"/>
      <c r="EH9120"/>
      <c r="EI9120"/>
      <c r="EJ9120"/>
      <c r="EK9120"/>
    </row>
    <row r="9121" spans="1:141" s="116" customFormat="1">
      <c r="A9121" s="136"/>
      <c r="CM9121" s="111"/>
      <c r="CQ9121" s="111"/>
      <c r="EF9121"/>
      <c r="EG9121"/>
      <c r="EH9121"/>
      <c r="EI9121"/>
      <c r="EJ9121"/>
      <c r="EK9121"/>
    </row>
    <row r="9122" spans="1:141" s="116" customFormat="1">
      <c r="A9122" s="136"/>
      <c r="CM9122" s="111"/>
      <c r="CQ9122" s="111"/>
      <c r="EF9122"/>
      <c r="EG9122"/>
      <c r="EH9122"/>
      <c r="EI9122"/>
      <c r="EJ9122"/>
      <c r="EK9122"/>
    </row>
    <row r="9123" spans="1:141" s="116" customFormat="1">
      <c r="A9123" s="136"/>
      <c r="CM9123" s="111"/>
      <c r="CQ9123" s="111"/>
      <c r="EF9123"/>
      <c r="EG9123"/>
      <c r="EH9123"/>
      <c r="EI9123"/>
      <c r="EJ9123"/>
      <c r="EK9123"/>
    </row>
    <row r="9124" spans="1:141" s="116" customFormat="1">
      <c r="A9124" s="136"/>
      <c r="CM9124" s="111"/>
      <c r="CQ9124" s="111"/>
      <c r="EF9124"/>
      <c r="EG9124"/>
      <c r="EH9124"/>
      <c r="EI9124"/>
      <c r="EJ9124"/>
      <c r="EK9124"/>
    </row>
    <row r="9125" spans="1:141" s="116" customFormat="1">
      <c r="A9125" s="136"/>
      <c r="CM9125" s="111"/>
      <c r="CQ9125" s="111"/>
      <c r="EF9125"/>
      <c r="EG9125"/>
      <c r="EH9125"/>
      <c r="EI9125"/>
      <c r="EJ9125"/>
      <c r="EK9125"/>
    </row>
    <row r="9126" spans="1:141" s="116" customFormat="1">
      <c r="A9126" s="136"/>
      <c r="CM9126" s="111"/>
      <c r="CQ9126" s="111"/>
      <c r="EF9126"/>
      <c r="EG9126"/>
      <c r="EH9126"/>
      <c r="EI9126"/>
      <c r="EJ9126"/>
      <c r="EK9126"/>
    </row>
    <row r="9127" spans="1:141" s="116" customFormat="1">
      <c r="A9127" s="136"/>
      <c r="CM9127" s="111"/>
      <c r="CQ9127" s="111"/>
      <c r="EF9127"/>
      <c r="EG9127"/>
      <c r="EH9127"/>
      <c r="EI9127"/>
      <c r="EJ9127"/>
      <c r="EK9127"/>
    </row>
    <row r="9128" spans="1:141" s="116" customFormat="1">
      <c r="A9128" s="136"/>
      <c r="CM9128" s="111"/>
      <c r="CQ9128" s="111"/>
      <c r="EF9128"/>
      <c r="EG9128"/>
      <c r="EH9128"/>
      <c r="EI9128"/>
      <c r="EJ9128"/>
      <c r="EK9128"/>
    </row>
    <row r="9129" spans="1:141" s="116" customFormat="1">
      <c r="A9129" s="136"/>
      <c r="CM9129" s="111"/>
      <c r="CQ9129" s="111"/>
      <c r="EF9129"/>
      <c r="EG9129"/>
      <c r="EH9129"/>
      <c r="EI9129"/>
      <c r="EJ9129"/>
      <c r="EK9129"/>
    </row>
    <row r="9130" spans="1:141" s="116" customFormat="1">
      <c r="A9130" s="136"/>
      <c r="CM9130" s="111"/>
      <c r="CQ9130" s="111"/>
      <c r="EF9130"/>
      <c r="EG9130"/>
      <c r="EH9130"/>
      <c r="EI9130"/>
      <c r="EJ9130"/>
      <c r="EK9130"/>
    </row>
    <row r="9131" spans="1:141" s="116" customFormat="1">
      <c r="A9131" s="136"/>
      <c r="CM9131" s="111"/>
      <c r="CQ9131" s="111"/>
      <c r="EF9131"/>
      <c r="EG9131"/>
      <c r="EH9131"/>
      <c r="EI9131"/>
      <c r="EJ9131"/>
      <c r="EK9131"/>
    </row>
    <row r="9132" spans="1:141" s="116" customFormat="1">
      <c r="A9132" s="136"/>
      <c r="CM9132" s="111"/>
      <c r="CQ9132" s="111"/>
      <c r="EF9132"/>
      <c r="EG9132"/>
      <c r="EH9132"/>
      <c r="EI9132"/>
      <c r="EJ9132"/>
      <c r="EK9132"/>
    </row>
    <row r="9133" spans="1:141" s="116" customFormat="1">
      <c r="A9133" s="136"/>
      <c r="CM9133" s="111"/>
      <c r="CQ9133" s="111"/>
      <c r="EF9133"/>
      <c r="EG9133"/>
      <c r="EH9133"/>
      <c r="EI9133"/>
      <c r="EJ9133"/>
      <c r="EK9133"/>
    </row>
    <row r="9134" spans="1:141" s="116" customFormat="1">
      <c r="A9134" s="136"/>
      <c r="CM9134" s="111"/>
      <c r="CQ9134" s="111"/>
      <c r="EF9134"/>
      <c r="EG9134"/>
      <c r="EH9134"/>
      <c r="EI9134"/>
      <c r="EJ9134"/>
      <c r="EK9134"/>
    </row>
    <row r="9135" spans="1:141" s="116" customFormat="1">
      <c r="A9135" s="136"/>
      <c r="CM9135" s="111"/>
      <c r="CQ9135" s="111"/>
      <c r="EF9135"/>
      <c r="EG9135"/>
      <c r="EH9135"/>
      <c r="EI9135"/>
      <c r="EJ9135"/>
      <c r="EK9135"/>
    </row>
    <row r="9136" spans="1:141" s="116" customFormat="1">
      <c r="A9136" s="136"/>
      <c r="CM9136" s="111"/>
      <c r="CQ9136" s="111"/>
      <c r="EF9136"/>
      <c r="EG9136"/>
      <c r="EH9136"/>
      <c r="EI9136"/>
      <c r="EJ9136"/>
      <c r="EK9136"/>
    </row>
    <row r="9137" spans="1:141" s="116" customFormat="1">
      <c r="A9137" s="136"/>
      <c r="CM9137" s="111"/>
      <c r="CQ9137" s="111"/>
      <c r="EF9137"/>
      <c r="EG9137"/>
      <c r="EH9137"/>
      <c r="EI9137"/>
      <c r="EJ9137"/>
      <c r="EK9137"/>
    </row>
    <row r="9138" spans="1:141" s="116" customFormat="1">
      <c r="A9138" s="136"/>
      <c r="CM9138" s="111"/>
      <c r="CQ9138" s="111"/>
      <c r="EF9138"/>
      <c r="EG9138"/>
      <c r="EH9138"/>
      <c r="EI9138"/>
      <c r="EJ9138"/>
      <c r="EK9138"/>
    </row>
    <row r="9139" spans="1:141" s="116" customFormat="1">
      <c r="A9139" s="136"/>
      <c r="CM9139" s="111"/>
      <c r="CQ9139" s="111"/>
      <c r="EF9139"/>
      <c r="EG9139"/>
      <c r="EH9139"/>
      <c r="EI9139"/>
      <c r="EJ9139"/>
      <c r="EK9139"/>
    </row>
    <row r="9140" spans="1:141" s="116" customFormat="1">
      <c r="A9140" s="136"/>
      <c r="CM9140" s="111"/>
      <c r="CQ9140" s="111"/>
      <c r="EF9140"/>
      <c r="EG9140"/>
      <c r="EH9140"/>
      <c r="EI9140"/>
      <c r="EJ9140"/>
      <c r="EK9140"/>
    </row>
    <row r="9141" spans="1:141" s="116" customFormat="1">
      <c r="A9141" s="136"/>
      <c r="CM9141" s="111"/>
      <c r="CQ9141" s="111"/>
      <c r="EF9141"/>
      <c r="EG9141"/>
      <c r="EH9141"/>
      <c r="EI9141"/>
      <c r="EJ9141"/>
      <c r="EK9141"/>
    </row>
    <row r="9142" spans="1:141" s="116" customFormat="1">
      <c r="A9142" s="136"/>
      <c r="CM9142" s="111"/>
      <c r="CQ9142" s="111"/>
      <c r="EF9142"/>
      <c r="EG9142"/>
      <c r="EH9142"/>
      <c r="EI9142"/>
      <c r="EJ9142"/>
      <c r="EK9142"/>
    </row>
    <row r="9143" spans="1:141" s="116" customFormat="1">
      <c r="A9143" s="136"/>
      <c r="CM9143" s="111"/>
      <c r="CQ9143" s="111"/>
      <c r="EF9143"/>
      <c r="EG9143"/>
      <c r="EH9143"/>
      <c r="EI9143"/>
      <c r="EJ9143"/>
      <c r="EK9143"/>
    </row>
    <row r="9144" spans="1:141" s="116" customFormat="1">
      <c r="A9144" s="136"/>
      <c r="CM9144" s="111"/>
      <c r="CQ9144" s="111"/>
      <c r="EF9144"/>
      <c r="EG9144"/>
      <c r="EH9144"/>
      <c r="EI9144"/>
      <c r="EJ9144"/>
      <c r="EK9144"/>
    </row>
    <row r="9145" spans="1:141" s="116" customFormat="1">
      <c r="A9145" s="136"/>
      <c r="CM9145" s="111"/>
      <c r="CQ9145" s="111"/>
      <c r="EF9145"/>
      <c r="EG9145"/>
      <c r="EH9145"/>
      <c r="EI9145"/>
      <c r="EJ9145"/>
      <c r="EK9145"/>
    </row>
    <row r="9146" spans="1:141" s="116" customFormat="1">
      <c r="A9146" s="136"/>
      <c r="CM9146" s="111"/>
      <c r="CQ9146" s="111"/>
      <c r="EF9146"/>
      <c r="EG9146"/>
      <c r="EH9146"/>
      <c r="EI9146"/>
      <c r="EJ9146"/>
      <c r="EK9146"/>
    </row>
    <row r="9147" spans="1:141" s="116" customFormat="1">
      <c r="A9147" s="136"/>
      <c r="CM9147" s="111"/>
      <c r="CQ9147" s="111"/>
      <c r="EF9147"/>
      <c r="EG9147"/>
      <c r="EH9147"/>
      <c r="EI9147"/>
      <c r="EJ9147"/>
      <c r="EK9147"/>
    </row>
    <row r="9148" spans="1:141" s="116" customFormat="1">
      <c r="A9148" s="136"/>
      <c r="CM9148" s="111"/>
      <c r="CQ9148" s="111"/>
      <c r="EF9148"/>
      <c r="EG9148"/>
      <c r="EH9148"/>
      <c r="EI9148"/>
      <c r="EJ9148"/>
      <c r="EK9148"/>
    </row>
    <row r="9149" spans="1:141" s="116" customFormat="1">
      <c r="A9149" s="136"/>
      <c r="CM9149" s="111"/>
      <c r="CQ9149" s="111"/>
      <c r="EF9149"/>
      <c r="EG9149"/>
      <c r="EH9149"/>
      <c r="EI9149"/>
      <c r="EJ9149"/>
      <c r="EK9149"/>
    </row>
    <row r="9150" spans="1:141" s="116" customFormat="1">
      <c r="A9150" s="136"/>
      <c r="CM9150" s="111"/>
      <c r="CQ9150" s="111"/>
      <c r="EF9150"/>
      <c r="EG9150"/>
      <c r="EH9150"/>
      <c r="EI9150"/>
      <c r="EJ9150"/>
      <c r="EK9150"/>
    </row>
    <row r="9151" spans="1:141" s="116" customFormat="1">
      <c r="A9151" s="136"/>
      <c r="CM9151" s="111"/>
      <c r="CQ9151" s="111"/>
      <c r="EF9151"/>
      <c r="EG9151"/>
      <c r="EH9151"/>
      <c r="EI9151"/>
      <c r="EJ9151"/>
      <c r="EK9151"/>
    </row>
    <row r="9152" spans="1:141" s="116" customFormat="1">
      <c r="A9152" s="136"/>
      <c r="CM9152" s="111"/>
      <c r="CQ9152" s="111"/>
      <c r="EF9152"/>
      <c r="EG9152"/>
      <c r="EH9152"/>
      <c r="EI9152"/>
      <c r="EJ9152"/>
      <c r="EK9152"/>
    </row>
    <row r="9153" spans="1:141" s="116" customFormat="1">
      <c r="A9153" s="136"/>
      <c r="CM9153" s="111"/>
      <c r="CQ9153" s="111"/>
      <c r="EF9153"/>
      <c r="EG9153"/>
      <c r="EH9153"/>
      <c r="EI9153"/>
      <c r="EJ9153"/>
      <c r="EK9153"/>
    </row>
    <row r="9154" spans="1:141" s="116" customFormat="1">
      <c r="A9154" s="136"/>
      <c r="CM9154" s="111"/>
      <c r="CQ9154" s="111"/>
      <c r="EF9154"/>
      <c r="EG9154"/>
      <c r="EH9154"/>
      <c r="EI9154"/>
      <c r="EJ9154"/>
      <c r="EK9154"/>
    </row>
    <row r="9155" spans="1:141" s="116" customFormat="1">
      <c r="A9155" s="136"/>
      <c r="CM9155" s="111"/>
      <c r="CQ9155" s="111"/>
      <c r="EF9155"/>
      <c r="EG9155"/>
      <c r="EH9155"/>
      <c r="EI9155"/>
      <c r="EJ9155"/>
      <c r="EK9155"/>
    </row>
    <row r="9156" spans="1:141" s="116" customFormat="1">
      <c r="A9156" s="136"/>
      <c r="CM9156" s="111"/>
      <c r="CQ9156" s="111"/>
      <c r="EF9156"/>
      <c r="EG9156"/>
      <c r="EH9156"/>
      <c r="EI9156"/>
      <c r="EJ9156"/>
      <c r="EK9156"/>
    </row>
    <row r="9157" spans="1:141" s="116" customFormat="1">
      <c r="A9157" s="136"/>
      <c r="CM9157" s="111"/>
      <c r="CQ9157" s="111"/>
      <c r="EF9157"/>
      <c r="EG9157"/>
      <c r="EH9157"/>
      <c r="EI9157"/>
      <c r="EJ9157"/>
      <c r="EK9157"/>
    </row>
    <row r="9158" spans="1:141" s="116" customFormat="1">
      <c r="A9158" s="136"/>
      <c r="CM9158" s="111"/>
      <c r="CQ9158" s="111"/>
      <c r="EF9158"/>
      <c r="EG9158"/>
      <c r="EH9158"/>
      <c r="EI9158"/>
      <c r="EJ9158"/>
      <c r="EK9158"/>
    </row>
    <row r="9159" spans="1:141" s="116" customFormat="1">
      <c r="A9159" s="136"/>
      <c r="CM9159" s="111"/>
      <c r="CQ9159" s="111"/>
      <c r="EF9159"/>
      <c r="EG9159"/>
      <c r="EH9159"/>
      <c r="EI9159"/>
      <c r="EJ9159"/>
      <c r="EK9159"/>
    </row>
    <row r="9160" spans="1:141" s="116" customFormat="1">
      <c r="A9160" s="136"/>
      <c r="CM9160" s="111"/>
      <c r="CQ9160" s="111"/>
      <c r="EF9160"/>
      <c r="EG9160"/>
      <c r="EH9160"/>
      <c r="EI9160"/>
      <c r="EJ9160"/>
      <c r="EK9160"/>
    </row>
    <row r="9161" spans="1:141" s="116" customFormat="1">
      <c r="A9161" s="136"/>
      <c r="CM9161" s="111"/>
      <c r="CQ9161" s="111"/>
      <c r="EF9161"/>
      <c r="EG9161"/>
      <c r="EH9161"/>
      <c r="EI9161"/>
      <c r="EJ9161"/>
      <c r="EK9161"/>
    </row>
    <row r="9162" spans="1:141" s="116" customFormat="1">
      <c r="A9162" s="136"/>
      <c r="CM9162" s="111"/>
      <c r="CQ9162" s="111"/>
      <c r="EF9162"/>
      <c r="EG9162"/>
      <c r="EH9162"/>
      <c r="EI9162"/>
      <c r="EJ9162"/>
      <c r="EK9162"/>
    </row>
    <row r="9163" spans="1:141" s="116" customFormat="1">
      <c r="A9163" s="136"/>
      <c r="CM9163" s="111"/>
      <c r="CQ9163" s="111"/>
      <c r="EF9163"/>
      <c r="EG9163"/>
      <c r="EH9163"/>
      <c r="EI9163"/>
      <c r="EJ9163"/>
      <c r="EK9163"/>
    </row>
    <row r="9164" spans="1:141" s="116" customFormat="1">
      <c r="A9164" s="136"/>
      <c r="CM9164" s="111"/>
      <c r="CQ9164" s="111"/>
      <c r="EF9164"/>
      <c r="EG9164"/>
      <c r="EH9164"/>
      <c r="EI9164"/>
      <c r="EJ9164"/>
      <c r="EK9164"/>
    </row>
    <row r="9165" spans="1:141" s="116" customFormat="1">
      <c r="A9165" s="136"/>
      <c r="CM9165" s="111"/>
      <c r="CQ9165" s="111"/>
      <c r="EF9165"/>
      <c r="EG9165"/>
      <c r="EH9165"/>
      <c r="EI9165"/>
      <c r="EJ9165"/>
      <c r="EK9165"/>
    </row>
    <row r="9166" spans="1:141" s="116" customFormat="1">
      <c r="A9166" s="136"/>
      <c r="CM9166" s="111"/>
      <c r="CQ9166" s="111"/>
      <c r="EF9166"/>
      <c r="EG9166"/>
      <c r="EH9166"/>
      <c r="EI9166"/>
      <c r="EJ9166"/>
      <c r="EK9166"/>
    </row>
    <row r="9167" spans="1:141" s="116" customFormat="1">
      <c r="A9167" s="136"/>
      <c r="CM9167" s="111"/>
      <c r="CQ9167" s="111"/>
      <c r="EF9167"/>
      <c r="EG9167"/>
      <c r="EH9167"/>
      <c r="EI9167"/>
      <c r="EJ9167"/>
      <c r="EK9167"/>
    </row>
    <row r="9168" spans="1:141" s="116" customFormat="1">
      <c r="A9168" s="136"/>
      <c r="CM9168" s="111"/>
      <c r="CQ9168" s="111"/>
      <c r="EF9168"/>
      <c r="EG9168"/>
      <c r="EH9168"/>
      <c r="EI9168"/>
      <c r="EJ9168"/>
      <c r="EK9168"/>
    </row>
    <row r="9169" spans="1:141" s="116" customFormat="1">
      <c r="A9169" s="136"/>
      <c r="CM9169" s="111"/>
      <c r="CQ9169" s="111"/>
      <c r="EF9169"/>
      <c r="EG9169"/>
      <c r="EH9169"/>
      <c r="EI9169"/>
      <c r="EJ9169"/>
      <c r="EK9169"/>
    </row>
    <row r="9170" spans="1:141" s="116" customFormat="1">
      <c r="A9170" s="136"/>
      <c r="CM9170" s="111"/>
      <c r="CQ9170" s="111"/>
      <c r="EF9170"/>
      <c r="EG9170"/>
      <c r="EH9170"/>
      <c r="EI9170"/>
      <c r="EJ9170"/>
      <c r="EK9170"/>
    </row>
    <row r="9171" spans="1:141" s="116" customFormat="1">
      <c r="A9171" s="136"/>
      <c r="CM9171" s="111"/>
      <c r="CQ9171" s="111"/>
      <c r="EF9171"/>
      <c r="EG9171"/>
      <c r="EH9171"/>
      <c r="EI9171"/>
      <c r="EJ9171"/>
      <c r="EK9171"/>
    </row>
    <row r="9172" spans="1:141" s="116" customFormat="1">
      <c r="A9172" s="136"/>
      <c r="CM9172" s="111"/>
      <c r="CQ9172" s="111"/>
      <c r="EF9172"/>
      <c r="EG9172"/>
      <c r="EH9172"/>
      <c r="EI9172"/>
      <c r="EJ9172"/>
      <c r="EK9172"/>
    </row>
    <row r="9173" spans="1:141" s="116" customFormat="1">
      <c r="A9173" s="136"/>
      <c r="CM9173" s="111"/>
      <c r="CQ9173" s="111"/>
      <c r="EF9173"/>
      <c r="EG9173"/>
      <c r="EH9173"/>
      <c r="EI9173"/>
      <c r="EJ9173"/>
      <c r="EK9173"/>
    </row>
    <row r="9174" spans="1:141" s="116" customFormat="1">
      <c r="A9174" s="136"/>
      <c r="CM9174" s="111"/>
      <c r="CQ9174" s="111"/>
      <c r="EF9174"/>
      <c r="EG9174"/>
      <c r="EH9174"/>
      <c r="EI9174"/>
      <c r="EJ9174"/>
      <c r="EK9174"/>
    </row>
    <row r="9175" spans="1:141" s="116" customFormat="1">
      <c r="A9175" s="136"/>
      <c r="CM9175" s="111"/>
      <c r="CQ9175" s="111"/>
      <c r="EF9175"/>
      <c r="EG9175"/>
      <c r="EH9175"/>
      <c r="EI9175"/>
      <c r="EJ9175"/>
      <c r="EK9175"/>
    </row>
    <row r="9176" spans="1:141" s="116" customFormat="1">
      <c r="A9176" s="136"/>
      <c r="CM9176" s="111"/>
      <c r="CQ9176" s="111"/>
      <c r="EF9176"/>
      <c r="EG9176"/>
      <c r="EH9176"/>
      <c r="EI9176"/>
      <c r="EJ9176"/>
      <c r="EK9176"/>
    </row>
    <row r="9177" spans="1:141" s="116" customFormat="1">
      <c r="A9177" s="136"/>
      <c r="CM9177" s="111"/>
      <c r="CQ9177" s="111"/>
      <c r="EF9177"/>
      <c r="EG9177"/>
      <c r="EH9177"/>
      <c r="EI9177"/>
      <c r="EJ9177"/>
      <c r="EK9177"/>
    </row>
    <row r="9178" spans="1:141" s="116" customFormat="1">
      <c r="A9178" s="136"/>
      <c r="CM9178" s="111"/>
      <c r="CQ9178" s="111"/>
      <c r="EF9178"/>
      <c r="EG9178"/>
      <c r="EH9178"/>
      <c r="EI9178"/>
      <c r="EJ9178"/>
      <c r="EK9178"/>
    </row>
    <row r="9179" spans="1:141" s="116" customFormat="1">
      <c r="A9179" s="136"/>
      <c r="CM9179" s="111"/>
      <c r="CQ9179" s="111"/>
      <c r="EF9179"/>
      <c r="EG9179"/>
      <c r="EH9179"/>
      <c r="EI9179"/>
      <c r="EJ9179"/>
      <c r="EK9179"/>
    </row>
    <row r="9180" spans="1:141" s="116" customFormat="1">
      <c r="A9180" s="136"/>
      <c r="CM9180" s="111"/>
      <c r="CQ9180" s="111"/>
      <c r="EF9180"/>
      <c r="EG9180"/>
      <c r="EH9180"/>
      <c r="EI9180"/>
      <c r="EJ9180"/>
      <c r="EK9180"/>
    </row>
    <row r="9181" spans="1:141" s="116" customFormat="1">
      <c r="A9181" s="136"/>
      <c r="CM9181" s="111"/>
      <c r="CQ9181" s="111"/>
      <c r="EF9181"/>
      <c r="EG9181"/>
      <c r="EH9181"/>
      <c r="EI9181"/>
      <c r="EJ9181"/>
      <c r="EK9181"/>
    </row>
    <row r="9182" spans="1:141" s="116" customFormat="1">
      <c r="A9182" s="136"/>
      <c r="CM9182" s="111"/>
      <c r="CQ9182" s="111"/>
      <c r="EF9182"/>
      <c r="EG9182"/>
      <c r="EH9182"/>
      <c r="EI9182"/>
      <c r="EJ9182"/>
      <c r="EK9182"/>
    </row>
    <row r="9183" spans="1:141" s="116" customFormat="1">
      <c r="A9183" s="136"/>
      <c r="CM9183" s="111"/>
      <c r="CQ9183" s="111"/>
      <c r="EF9183"/>
      <c r="EG9183"/>
      <c r="EH9183"/>
      <c r="EI9183"/>
      <c r="EJ9183"/>
      <c r="EK9183"/>
    </row>
    <row r="9184" spans="1:141" s="116" customFormat="1">
      <c r="A9184" s="136"/>
      <c r="CM9184" s="111"/>
      <c r="CQ9184" s="111"/>
      <c r="EF9184"/>
      <c r="EG9184"/>
      <c r="EH9184"/>
      <c r="EI9184"/>
      <c r="EJ9184"/>
      <c r="EK9184"/>
    </row>
    <row r="9185" spans="1:141" s="116" customFormat="1">
      <c r="A9185" s="136"/>
      <c r="CM9185" s="111"/>
      <c r="CQ9185" s="111"/>
      <c r="EF9185"/>
      <c r="EG9185"/>
      <c r="EH9185"/>
      <c r="EI9185"/>
      <c r="EJ9185"/>
      <c r="EK9185"/>
    </row>
    <row r="9186" spans="1:141" s="116" customFormat="1">
      <c r="A9186" s="136"/>
      <c r="CM9186" s="111"/>
      <c r="CQ9186" s="111"/>
      <c r="EF9186"/>
      <c r="EG9186"/>
      <c r="EH9186"/>
      <c r="EI9186"/>
      <c r="EJ9186"/>
      <c r="EK9186"/>
    </row>
    <row r="9187" spans="1:141" s="116" customFormat="1">
      <c r="A9187" s="136"/>
      <c r="CM9187" s="111"/>
      <c r="CQ9187" s="111"/>
      <c r="EF9187"/>
      <c r="EG9187"/>
      <c r="EH9187"/>
      <c r="EI9187"/>
      <c r="EJ9187"/>
      <c r="EK9187"/>
    </row>
    <row r="9188" spans="1:141" s="116" customFormat="1">
      <c r="A9188" s="136"/>
      <c r="CM9188" s="111"/>
      <c r="CQ9188" s="111"/>
      <c r="EF9188"/>
      <c r="EG9188"/>
      <c r="EH9188"/>
      <c r="EI9188"/>
      <c r="EJ9188"/>
      <c r="EK9188"/>
    </row>
    <row r="9189" spans="1:141" s="116" customFormat="1">
      <c r="A9189" s="136"/>
      <c r="CM9189" s="111"/>
      <c r="CQ9189" s="111"/>
      <c r="EF9189"/>
      <c r="EG9189"/>
      <c r="EH9189"/>
      <c r="EI9189"/>
      <c r="EJ9189"/>
      <c r="EK9189"/>
    </row>
    <row r="9190" spans="1:141" s="116" customFormat="1">
      <c r="A9190" s="136"/>
      <c r="CM9190" s="111"/>
      <c r="CQ9190" s="111"/>
      <c r="EF9190"/>
      <c r="EG9190"/>
      <c r="EH9190"/>
      <c r="EI9190"/>
      <c r="EJ9190"/>
      <c r="EK9190"/>
    </row>
    <row r="9191" spans="1:141" s="116" customFormat="1">
      <c r="A9191" s="136"/>
      <c r="CM9191" s="111"/>
      <c r="CQ9191" s="111"/>
      <c r="EF9191"/>
      <c r="EG9191"/>
      <c r="EH9191"/>
      <c r="EI9191"/>
      <c r="EJ9191"/>
      <c r="EK9191"/>
    </row>
    <row r="9192" spans="1:141" s="116" customFormat="1">
      <c r="A9192" s="136"/>
      <c r="CM9192" s="111"/>
      <c r="CQ9192" s="111"/>
      <c r="EF9192"/>
      <c r="EG9192"/>
      <c r="EH9192"/>
      <c r="EI9192"/>
      <c r="EJ9192"/>
      <c r="EK9192"/>
    </row>
    <row r="9193" spans="1:141" s="116" customFormat="1">
      <c r="A9193" s="136"/>
      <c r="CM9193" s="111"/>
      <c r="CQ9193" s="111"/>
      <c r="EF9193"/>
      <c r="EG9193"/>
      <c r="EH9193"/>
      <c r="EI9193"/>
      <c r="EJ9193"/>
      <c r="EK9193"/>
    </row>
    <row r="9194" spans="1:141" s="116" customFormat="1">
      <c r="A9194" s="136"/>
      <c r="CM9194" s="111"/>
      <c r="CQ9194" s="111"/>
      <c r="EF9194"/>
      <c r="EG9194"/>
      <c r="EH9194"/>
      <c r="EI9194"/>
      <c r="EJ9194"/>
      <c r="EK9194"/>
    </row>
    <row r="9195" spans="1:141" s="116" customFormat="1">
      <c r="A9195" s="136"/>
      <c r="CM9195" s="111"/>
      <c r="CQ9195" s="111"/>
      <c r="EF9195"/>
      <c r="EG9195"/>
      <c r="EH9195"/>
      <c r="EI9195"/>
      <c r="EJ9195"/>
      <c r="EK9195"/>
    </row>
    <row r="9196" spans="1:141" s="116" customFormat="1">
      <c r="A9196" s="136"/>
      <c r="CM9196" s="111"/>
      <c r="CQ9196" s="111"/>
      <c r="EF9196"/>
      <c r="EG9196"/>
      <c r="EH9196"/>
      <c r="EI9196"/>
      <c r="EJ9196"/>
      <c r="EK9196"/>
    </row>
    <row r="9197" spans="1:141" s="116" customFormat="1">
      <c r="A9197" s="136"/>
      <c r="CM9197" s="111"/>
      <c r="CQ9197" s="111"/>
      <c r="EF9197"/>
      <c r="EG9197"/>
      <c r="EH9197"/>
      <c r="EI9197"/>
      <c r="EJ9197"/>
      <c r="EK9197"/>
    </row>
    <row r="9198" spans="1:141" s="116" customFormat="1">
      <c r="A9198" s="136"/>
      <c r="CM9198" s="111"/>
      <c r="CQ9198" s="111"/>
      <c r="EF9198"/>
      <c r="EG9198"/>
      <c r="EH9198"/>
      <c r="EI9198"/>
      <c r="EJ9198"/>
      <c r="EK9198"/>
    </row>
    <row r="9199" spans="1:141" s="116" customFormat="1">
      <c r="A9199" s="136"/>
      <c r="CM9199" s="111"/>
      <c r="CQ9199" s="111"/>
      <c r="EF9199"/>
      <c r="EG9199"/>
      <c r="EH9199"/>
      <c r="EI9199"/>
      <c r="EJ9199"/>
      <c r="EK9199"/>
    </row>
    <row r="9200" spans="1:141" s="116" customFormat="1">
      <c r="A9200" s="136"/>
      <c r="CM9200" s="111"/>
      <c r="CQ9200" s="111"/>
      <c r="EF9200"/>
      <c r="EG9200"/>
      <c r="EH9200"/>
      <c r="EI9200"/>
      <c r="EJ9200"/>
      <c r="EK9200"/>
    </row>
    <row r="9201" spans="1:141" s="116" customFormat="1">
      <c r="A9201" s="136"/>
      <c r="CM9201" s="111"/>
      <c r="CQ9201" s="111"/>
      <c r="EF9201"/>
      <c r="EG9201"/>
      <c r="EH9201"/>
      <c r="EI9201"/>
      <c r="EJ9201"/>
      <c r="EK9201"/>
    </row>
    <row r="9202" spans="1:141" s="116" customFormat="1">
      <c r="A9202" s="136"/>
      <c r="CM9202" s="111"/>
      <c r="CQ9202" s="111"/>
      <c r="EF9202"/>
      <c r="EG9202"/>
      <c r="EH9202"/>
      <c r="EI9202"/>
      <c r="EJ9202"/>
      <c r="EK9202"/>
    </row>
    <row r="9203" spans="1:141" s="116" customFormat="1">
      <c r="A9203" s="136"/>
      <c r="CM9203" s="111"/>
      <c r="CQ9203" s="111"/>
      <c r="EF9203"/>
      <c r="EG9203"/>
      <c r="EH9203"/>
      <c r="EI9203"/>
      <c r="EJ9203"/>
      <c r="EK9203"/>
    </row>
    <row r="9204" spans="1:141" s="116" customFormat="1">
      <c r="A9204" s="136"/>
      <c r="CM9204" s="111"/>
      <c r="CQ9204" s="111"/>
      <c r="EF9204"/>
      <c r="EG9204"/>
      <c r="EH9204"/>
      <c r="EI9204"/>
      <c r="EJ9204"/>
      <c r="EK9204"/>
    </row>
    <row r="9205" spans="1:141" s="116" customFormat="1">
      <c r="A9205" s="136"/>
      <c r="CM9205" s="111"/>
      <c r="CQ9205" s="111"/>
      <c r="EF9205"/>
      <c r="EG9205"/>
      <c r="EH9205"/>
      <c r="EI9205"/>
      <c r="EJ9205"/>
      <c r="EK9205"/>
    </row>
    <row r="9206" spans="1:141" s="116" customFormat="1">
      <c r="A9206" s="136"/>
      <c r="CM9206" s="111"/>
      <c r="CQ9206" s="111"/>
      <c r="EF9206"/>
      <c r="EG9206"/>
      <c r="EH9206"/>
      <c r="EI9206"/>
      <c r="EJ9206"/>
      <c r="EK9206"/>
    </row>
    <row r="9207" spans="1:141" s="116" customFormat="1">
      <c r="A9207" s="136"/>
      <c r="CM9207" s="111"/>
      <c r="CQ9207" s="111"/>
      <c r="EF9207"/>
      <c r="EG9207"/>
      <c r="EH9207"/>
      <c r="EI9207"/>
      <c r="EJ9207"/>
      <c r="EK9207"/>
    </row>
    <row r="9208" spans="1:141" s="116" customFormat="1">
      <c r="A9208" s="136"/>
      <c r="CM9208" s="111"/>
      <c r="CQ9208" s="111"/>
      <c r="EF9208"/>
      <c r="EG9208"/>
      <c r="EH9208"/>
      <c r="EI9208"/>
      <c r="EJ9208"/>
      <c r="EK9208"/>
    </row>
    <row r="9209" spans="1:141" s="116" customFormat="1">
      <c r="A9209" s="136"/>
      <c r="CM9209" s="111"/>
      <c r="CQ9209" s="111"/>
      <c r="EF9209"/>
      <c r="EG9209"/>
      <c r="EH9209"/>
      <c r="EI9209"/>
      <c r="EJ9209"/>
      <c r="EK9209"/>
    </row>
    <row r="9210" spans="1:141" s="116" customFormat="1">
      <c r="A9210" s="136"/>
      <c r="CM9210" s="111"/>
      <c r="CQ9210" s="111"/>
      <c r="EF9210"/>
      <c r="EG9210"/>
      <c r="EH9210"/>
      <c r="EI9210"/>
      <c r="EJ9210"/>
      <c r="EK9210"/>
    </row>
    <row r="9211" spans="1:141" s="116" customFormat="1">
      <c r="A9211" s="136"/>
      <c r="CM9211" s="111"/>
      <c r="CQ9211" s="111"/>
      <c r="EF9211"/>
      <c r="EG9211"/>
      <c r="EH9211"/>
      <c r="EI9211"/>
      <c r="EJ9211"/>
      <c r="EK9211"/>
    </row>
    <row r="9212" spans="1:141" s="116" customFormat="1">
      <c r="A9212" s="136"/>
      <c r="CM9212" s="111"/>
      <c r="CQ9212" s="111"/>
      <c r="EF9212"/>
      <c r="EG9212"/>
      <c r="EH9212"/>
      <c r="EI9212"/>
      <c r="EJ9212"/>
      <c r="EK9212"/>
    </row>
    <row r="9213" spans="1:141" s="116" customFormat="1">
      <c r="A9213" s="136"/>
      <c r="CM9213" s="111"/>
      <c r="CQ9213" s="111"/>
      <c r="EF9213"/>
      <c r="EG9213"/>
      <c r="EH9213"/>
      <c r="EI9213"/>
      <c r="EJ9213"/>
      <c r="EK9213"/>
    </row>
    <row r="9214" spans="1:141" s="116" customFormat="1">
      <c r="A9214" s="136"/>
      <c r="CM9214" s="111"/>
      <c r="CQ9214" s="111"/>
      <c r="EF9214"/>
      <c r="EG9214"/>
      <c r="EH9214"/>
      <c r="EI9214"/>
      <c r="EJ9214"/>
      <c r="EK9214"/>
    </row>
    <row r="9215" spans="1:141" s="116" customFormat="1">
      <c r="A9215" s="136"/>
      <c r="CM9215" s="111"/>
      <c r="CQ9215" s="111"/>
      <c r="EF9215"/>
      <c r="EG9215"/>
      <c r="EH9215"/>
      <c r="EI9215"/>
      <c r="EJ9215"/>
      <c r="EK9215"/>
    </row>
    <row r="9216" spans="1:141" s="116" customFormat="1">
      <c r="A9216" s="136"/>
      <c r="CM9216" s="111"/>
      <c r="CQ9216" s="111"/>
      <c r="EF9216"/>
      <c r="EG9216"/>
      <c r="EH9216"/>
      <c r="EI9216"/>
      <c r="EJ9216"/>
      <c r="EK9216"/>
    </row>
    <row r="9217" spans="1:141" s="116" customFormat="1">
      <c r="A9217" s="136"/>
      <c r="CM9217" s="111"/>
      <c r="CQ9217" s="111"/>
      <c r="EF9217"/>
      <c r="EG9217"/>
      <c r="EH9217"/>
      <c r="EI9217"/>
      <c r="EJ9217"/>
      <c r="EK9217"/>
    </row>
    <row r="9218" spans="1:141" s="116" customFormat="1">
      <c r="A9218" s="136"/>
      <c r="CM9218" s="111"/>
      <c r="CQ9218" s="111"/>
      <c r="EF9218"/>
      <c r="EG9218"/>
      <c r="EH9218"/>
      <c r="EI9218"/>
      <c r="EJ9218"/>
      <c r="EK9218"/>
    </row>
    <row r="9219" spans="1:141" s="116" customFormat="1">
      <c r="A9219" s="136"/>
      <c r="CM9219" s="111"/>
      <c r="CQ9219" s="111"/>
      <c r="EF9219"/>
      <c r="EG9219"/>
      <c r="EH9219"/>
      <c r="EI9219"/>
      <c r="EJ9219"/>
      <c r="EK9219"/>
    </row>
    <row r="9220" spans="1:141" s="116" customFormat="1">
      <c r="A9220" s="136"/>
      <c r="CM9220" s="111"/>
      <c r="CQ9220" s="111"/>
      <c r="EF9220"/>
      <c r="EG9220"/>
      <c r="EH9220"/>
      <c r="EI9220"/>
      <c r="EJ9220"/>
      <c r="EK9220"/>
    </row>
    <row r="9221" spans="1:141" s="116" customFormat="1">
      <c r="A9221" s="136"/>
      <c r="CM9221" s="111"/>
      <c r="CQ9221" s="111"/>
      <c r="EF9221"/>
      <c r="EG9221"/>
      <c r="EH9221"/>
      <c r="EI9221"/>
      <c r="EJ9221"/>
      <c r="EK9221"/>
    </row>
    <row r="9222" spans="1:141" s="116" customFormat="1">
      <c r="A9222" s="136"/>
      <c r="CM9222" s="111"/>
      <c r="CQ9222" s="111"/>
      <c r="EF9222"/>
      <c r="EG9222"/>
      <c r="EH9222"/>
      <c r="EI9222"/>
      <c r="EJ9222"/>
      <c r="EK9222"/>
    </row>
    <row r="9223" spans="1:141" s="116" customFormat="1">
      <c r="A9223" s="136"/>
      <c r="CM9223" s="111"/>
      <c r="CQ9223" s="111"/>
      <c r="EF9223"/>
      <c r="EG9223"/>
      <c r="EH9223"/>
      <c r="EI9223"/>
      <c r="EJ9223"/>
      <c r="EK9223"/>
    </row>
    <row r="9224" spans="1:141" s="116" customFormat="1">
      <c r="A9224" s="136"/>
      <c r="CM9224" s="111"/>
      <c r="CQ9224" s="111"/>
      <c r="EF9224"/>
      <c r="EG9224"/>
      <c r="EH9224"/>
      <c r="EI9224"/>
      <c r="EJ9224"/>
      <c r="EK9224"/>
    </row>
    <row r="9225" spans="1:141" s="116" customFormat="1">
      <c r="A9225" s="136"/>
      <c r="CM9225" s="111"/>
      <c r="CQ9225" s="111"/>
      <c r="EF9225"/>
      <c r="EG9225"/>
      <c r="EH9225"/>
      <c r="EI9225"/>
      <c r="EJ9225"/>
      <c r="EK9225"/>
    </row>
    <row r="9226" spans="1:141" s="116" customFormat="1">
      <c r="A9226" s="136"/>
      <c r="CM9226" s="111"/>
      <c r="CQ9226" s="111"/>
      <c r="EF9226"/>
      <c r="EG9226"/>
      <c r="EH9226"/>
      <c r="EI9226"/>
      <c r="EJ9226"/>
      <c r="EK9226"/>
    </row>
    <row r="9227" spans="1:141" s="116" customFormat="1">
      <c r="A9227" s="136"/>
      <c r="CM9227" s="111"/>
      <c r="CQ9227" s="111"/>
      <c r="EF9227"/>
      <c r="EG9227"/>
      <c r="EH9227"/>
      <c r="EI9227"/>
      <c r="EJ9227"/>
      <c r="EK9227"/>
    </row>
    <row r="9228" spans="1:141" s="116" customFormat="1">
      <c r="A9228" s="136"/>
      <c r="CM9228" s="111"/>
      <c r="CQ9228" s="111"/>
      <c r="EF9228"/>
      <c r="EG9228"/>
      <c r="EH9228"/>
      <c r="EI9228"/>
      <c r="EJ9228"/>
      <c r="EK9228"/>
    </row>
    <row r="9229" spans="1:141" s="116" customFormat="1">
      <c r="A9229" s="136"/>
      <c r="CM9229" s="111"/>
      <c r="CQ9229" s="111"/>
      <c r="EF9229"/>
      <c r="EG9229"/>
      <c r="EH9229"/>
      <c r="EI9229"/>
      <c r="EJ9229"/>
      <c r="EK9229"/>
    </row>
    <row r="9230" spans="1:141" s="116" customFormat="1">
      <c r="A9230" s="136"/>
      <c r="CM9230" s="111"/>
      <c r="CQ9230" s="111"/>
      <c r="EF9230"/>
      <c r="EG9230"/>
      <c r="EH9230"/>
      <c r="EI9230"/>
      <c r="EJ9230"/>
      <c r="EK9230"/>
    </row>
    <row r="9231" spans="1:141" s="116" customFormat="1">
      <c r="A9231" s="136"/>
      <c r="CM9231" s="111"/>
      <c r="CQ9231" s="111"/>
      <c r="EF9231"/>
      <c r="EG9231"/>
      <c r="EH9231"/>
      <c r="EI9231"/>
      <c r="EJ9231"/>
      <c r="EK9231"/>
    </row>
    <row r="9232" spans="1:141" s="116" customFormat="1">
      <c r="A9232" s="136"/>
      <c r="CM9232" s="111"/>
      <c r="CQ9232" s="111"/>
      <c r="EF9232"/>
      <c r="EG9232"/>
      <c r="EH9232"/>
      <c r="EI9232"/>
      <c r="EJ9232"/>
      <c r="EK9232"/>
    </row>
    <row r="9233" spans="1:141" s="116" customFormat="1">
      <c r="A9233" s="136"/>
      <c r="CM9233" s="111"/>
      <c r="CQ9233" s="111"/>
      <c r="EF9233"/>
      <c r="EG9233"/>
      <c r="EH9233"/>
      <c r="EI9233"/>
      <c r="EJ9233"/>
      <c r="EK9233"/>
    </row>
    <row r="9234" spans="1:141" s="116" customFormat="1">
      <c r="A9234" s="136"/>
      <c r="CM9234" s="111"/>
      <c r="CQ9234" s="111"/>
      <c r="EF9234"/>
      <c r="EG9234"/>
      <c r="EH9234"/>
      <c r="EI9234"/>
      <c r="EJ9234"/>
      <c r="EK9234"/>
    </row>
    <row r="9235" spans="1:141" s="116" customFormat="1">
      <c r="A9235" s="136"/>
      <c r="CM9235" s="111"/>
      <c r="CQ9235" s="111"/>
      <c r="EF9235"/>
      <c r="EG9235"/>
      <c r="EH9235"/>
      <c r="EI9235"/>
      <c r="EJ9235"/>
      <c r="EK9235"/>
    </row>
    <row r="9236" spans="1:141" s="116" customFormat="1">
      <c r="A9236" s="136"/>
      <c r="CM9236" s="111"/>
      <c r="CQ9236" s="111"/>
      <c r="EF9236"/>
      <c r="EG9236"/>
      <c r="EH9236"/>
      <c r="EI9236"/>
      <c r="EJ9236"/>
      <c r="EK9236"/>
    </row>
    <row r="9237" spans="1:141" s="116" customFormat="1">
      <c r="A9237" s="136"/>
      <c r="CM9237" s="111"/>
      <c r="CQ9237" s="111"/>
      <c r="EF9237"/>
      <c r="EG9237"/>
      <c r="EH9237"/>
      <c r="EI9237"/>
      <c r="EJ9237"/>
      <c r="EK9237"/>
    </row>
    <row r="9238" spans="1:141" s="116" customFormat="1">
      <c r="A9238" s="136"/>
      <c r="CM9238" s="111"/>
      <c r="CQ9238" s="111"/>
      <c r="EF9238"/>
      <c r="EG9238"/>
      <c r="EH9238"/>
      <c r="EI9238"/>
      <c r="EJ9238"/>
      <c r="EK9238"/>
    </row>
    <row r="9239" spans="1:141" s="116" customFormat="1">
      <c r="A9239" s="136"/>
      <c r="CM9239" s="111"/>
      <c r="CQ9239" s="111"/>
      <c r="EF9239"/>
      <c r="EG9239"/>
      <c r="EH9239"/>
      <c r="EI9239"/>
      <c r="EJ9239"/>
      <c r="EK9239"/>
    </row>
    <row r="9240" spans="1:141" s="116" customFormat="1">
      <c r="A9240" s="136"/>
      <c r="CM9240" s="111"/>
      <c r="CQ9240" s="111"/>
      <c r="EF9240"/>
      <c r="EG9240"/>
      <c r="EH9240"/>
      <c r="EI9240"/>
      <c r="EJ9240"/>
      <c r="EK9240"/>
    </row>
    <row r="9241" spans="1:141" s="116" customFormat="1">
      <c r="A9241" s="136"/>
      <c r="CM9241" s="111"/>
      <c r="CQ9241" s="111"/>
      <c r="EF9241"/>
      <c r="EG9241"/>
      <c r="EH9241"/>
      <c r="EI9241"/>
      <c r="EJ9241"/>
      <c r="EK9241"/>
    </row>
    <row r="9242" spans="1:141" s="116" customFormat="1">
      <c r="A9242" s="136"/>
      <c r="CM9242" s="111"/>
      <c r="CQ9242" s="111"/>
      <c r="EF9242"/>
      <c r="EG9242"/>
      <c r="EH9242"/>
      <c r="EI9242"/>
      <c r="EJ9242"/>
      <c r="EK9242"/>
    </row>
    <row r="9243" spans="1:141" s="116" customFormat="1">
      <c r="A9243" s="136"/>
      <c r="CM9243" s="111"/>
      <c r="CQ9243" s="111"/>
      <c r="EF9243"/>
      <c r="EG9243"/>
      <c r="EH9243"/>
      <c r="EI9243"/>
      <c r="EJ9243"/>
      <c r="EK9243"/>
    </row>
    <row r="9244" spans="1:141" s="116" customFormat="1">
      <c r="A9244" s="136"/>
      <c r="CM9244" s="111"/>
      <c r="CQ9244" s="111"/>
      <c r="EF9244"/>
      <c r="EG9244"/>
      <c r="EH9244"/>
      <c r="EI9244"/>
      <c r="EJ9244"/>
      <c r="EK9244"/>
    </row>
    <row r="9245" spans="1:141" s="116" customFormat="1">
      <c r="A9245" s="136"/>
      <c r="CM9245" s="111"/>
      <c r="CQ9245" s="111"/>
      <c r="EF9245"/>
      <c r="EG9245"/>
      <c r="EH9245"/>
      <c r="EI9245"/>
      <c r="EJ9245"/>
      <c r="EK9245"/>
    </row>
    <row r="9246" spans="1:141" s="116" customFormat="1">
      <c r="A9246" s="136"/>
      <c r="CM9246" s="111"/>
      <c r="CQ9246" s="111"/>
      <c r="EF9246"/>
      <c r="EG9246"/>
      <c r="EH9246"/>
      <c r="EI9246"/>
      <c r="EJ9246"/>
      <c r="EK9246"/>
    </row>
    <row r="9247" spans="1:141" s="116" customFormat="1">
      <c r="A9247" s="136"/>
      <c r="CM9247" s="111"/>
      <c r="CQ9247" s="111"/>
      <c r="EF9247"/>
      <c r="EG9247"/>
      <c r="EH9247"/>
      <c r="EI9247"/>
      <c r="EJ9247"/>
      <c r="EK9247"/>
    </row>
    <row r="9248" spans="1:141" s="116" customFormat="1">
      <c r="A9248" s="136"/>
      <c r="CM9248" s="111"/>
      <c r="CQ9248" s="111"/>
      <c r="EF9248"/>
      <c r="EG9248"/>
      <c r="EH9248"/>
      <c r="EI9248"/>
      <c r="EJ9248"/>
      <c r="EK9248"/>
    </row>
    <row r="9249" spans="1:141" s="116" customFormat="1">
      <c r="A9249" s="136"/>
      <c r="CM9249" s="111"/>
      <c r="CQ9249" s="111"/>
      <c r="EF9249"/>
      <c r="EG9249"/>
      <c r="EH9249"/>
      <c r="EI9249"/>
      <c r="EJ9249"/>
      <c r="EK9249"/>
    </row>
    <row r="9250" spans="1:141" s="116" customFormat="1">
      <c r="A9250" s="136"/>
      <c r="CM9250" s="111"/>
      <c r="CQ9250" s="111"/>
      <c r="EF9250"/>
      <c r="EG9250"/>
      <c r="EH9250"/>
      <c r="EI9250"/>
      <c r="EJ9250"/>
      <c r="EK9250"/>
    </row>
    <row r="9251" spans="1:141" s="116" customFormat="1">
      <c r="A9251" s="136"/>
      <c r="CM9251" s="111"/>
      <c r="CQ9251" s="111"/>
      <c r="EF9251"/>
      <c r="EG9251"/>
      <c r="EH9251"/>
      <c r="EI9251"/>
      <c r="EJ9251"/>
      <c r="EK9251"/>
    </row>
    <row r="9252" spans="1:141" s="116" customFormat="1">
      <c r="A9252" s="136"/>
      <c r="CM9252" s="111"/>
      <c r="CQ9252" s="111"/>
      <c r="EF9252"/>
      <c r="EG9252"/>
      <c r="EH9252"/>
      <c r="EI9252"/>
      <c r="EJ9252"/>
      <c r="EK9252"/>
    </row>
    <row r="9253" spans="1:141" s="116" customFormat="1">
      <c r="A9253" s="136"/>
      <c r="CM9253" s="111"/>
      <c r="CQ9253" s="111"/>
      <c r="EF9253"/>
      <c r="EG9253"/>
      <c r="EH9253"/>
      <c r="EI9253"/>
      <c r="EJ9253"/>
      <c r="EK9253"/>
    </row>
    <row r="9254" spans="1:141" s="116" customFormat="1">
      <c r="A9254" s="136"/>
      <c r="CM9254" s="111"/>
      <c r="CQ9254" s="111"/>
      <c r="EF9254"/>
      <c r="EG9254"/>
      <c r="EH9254"/>
      <c r="EI9254"/>
      <c r="EJ9254"/>
      <c r="EK9254"/>
    </row>
    <row r="9255" spans="1:141" s="116" customFormat="1">
      <c r="A9255" s="136"/>
      <c r="CM9255" s="111"/>
      <c r="CQ9255" s="111"/>
      <c r="EF9255"/>
      <c r="EG9255"/>
      <c r="EH9255"/>
      <c r="EI9255"/>
      <c r="EJ9255"/>
      <c r="EK9255"/>
    </row>
    <row r="9256" spans="1:141" s="116" customFormat="1">
      <c r="A9256" s="136"/>
      <c r="CM9256" s="111"/>
      <c r="CQ9256" s="111"/>
      <c r="EF9256"/>
      <c r="EG9256"/>
      <c r="EH9256"/>
      <c r="EI9256"/>
      <c r="EJ9256"/>
      <c r="EK9256"/>
    </row>
    <row r="9257" spans="1:141" s="116" customFormat="1">
      <c r="A9257" s="136"/>
      <c r="CM9257" s="111"/>
      <c r="CQ9257" s="111"/>
      <c r="EF9257"/>
      <c r="EG9257"/>
      <c r="EH9257"/>
      <c r="EI9257"/>
      <c r="EJ9257"/>
      <c r="EK9257"/>
    </row>
    <row r="9258" spans="1:141" s="116" customFormat="1">
      <c r="A9258" s="136"/>
      <c r="CM9258" s="111"/>
      <c r="CQ9258" s="111"/>
      <c r="EF9258"/>
      <c r="EG9258"/>
      <c r="EH9258"/>
      <c r="EI9258"/>
      <c r="EJ9258"/>
      <c r="EK9258"/>
    </row>
    <row r="9259" spans="1:141" s="116" customFormat="1">
      <c r="A9259" s="136"/>
      <c r="CM9259" s="111"/>
      <c r="CQ9259" s="111"/>
      <c r="EF9259"/>
      <c r="EG9259"/>
      <c r="EH9259"/>
      <c r="EI9259"/>
      <c r="EJ9259"/>
      <c r="EK9259"/>
    </row>
    <row r="9260" spans="1:141" s="116" customFormat="1">
      <c r="A9260" s="136"/>
      <c r="CM9260" s="111"/>
      <c r="CQ9260" s="111"/>
      <c r="EF9260"/>
      <c r="EG9260"/>
      <c r="EH9260"/>
      <c r="EI9260"/>
      <c r="EJ9260"/>
      <c r="EK9260"/>
    </row>
    <row r="9261" spans="1:141" s="116" customFormat="1">
      <c r="A9261" s="136"/>
      <c r="CM9261" s="111"/>
      <c r="CQ9261" s="111"/>
      <c r="EF9261"/>
      <c r="EG9261"/>
      <c r="EH9261"/>
      <c r="EI9261"/>
      <c r="EJ9261"/>
      <c r="EK9261"/>
    </row>
    <row r="9262" spans="1:141" s="116" customFormat="1">
      <c r="A9262" s="136"/>
      <c r="CM9262" s="111"/>
      <c r="CQ9262" s="111"/>
      <c r="EF9262"/>
      <c r="EG9262"/>
      <c r="EH9262"/>
      <c r="EI9262"/>
      <c r="EJ9262"/>
      <c r="EK9262"/>
    </row>
    <row r="9263" spans="1:141" s="116" customFormat="1">
      <c r="A9263" s="136"/>
      <c r="CM9263" s="111"/>
      <c r="CQ9263" s="111"/>
      <c r="EF9263"/>
      <c r="EG9263"/>
      <c r="EH9263"/>
      <c r="EI9263"/>
      <c r="EJ9263"/>
      <c r="EK9263"/>
    </row>
    <row r="9264" spans="1:141" s="116" customFormat="1">
      <c r="A9264" s="136"/>
      <c r="CM9264" s="111"/>
      <c r="CQ9264" s="111"/>
      <c r="EF9264"/>
      <c r="EG9264"/>
      <c r="EH9264"/>
      <c r="EI9264"/>
      <c r="EJ9264"/>
      <c r="EK9264"/>
    </row>
    <row r="9265" spans="1:141" s="116" customFormat="1">
      <c r="A9265" s="136"/>
      <c r="CM9265" s="111"/>
      <c r="CQ9265" s="111"/>
      <c r="EF9265"/>
      <c r="EG9265"/>
      <c r="EH9265"/>
      <c r="EI9265"/>
      <c r="EJ9265"/>
      <c r="EK9265"/>
    </row>
    <row r="9266" spans="1:141" s="116" customFormat="1">
      <c r="A9266" s="136"/>
      <c r="CM9266" s="111"/>
      <c r="CQ9266" s="111"/>
      <c r="EF9266"/>
      <c r="EG9266"/>
      <c r="EH9266"/>
      <c r="EI9266"/>
      <c r="EJ9266"/>
      <c r="EK9266"/>
    </row>
    <row r="9267" spans="1:141" s="116" customFormat="1">
      <c r="A9267" s="136"/>
      <c r="CM9267" s="111"/>
      <c r="CQ9267" s="111"/>
      <c r="EF9267"/>
      <c r="EG9267"/>
      <c r="EH9267"/>
      <c r="EI9267"/>
      <c r="EJ9267"/>
      <c r="EK9267"/>
    </row>
    <row r="9268" spans="1:141" s="116" customFormat="1">
      <c r="A9268" s="136"/>
      <c r="CM9268" s="111"/>
      <c r="CQ9268" s="111"/>
      <c r="EF9268"/>
      <c r="EG9268"/>
      <c r="EH9268"/>
      <c r="EI9268"/>
      <c r="EJ9268"/>
      <c r="EK9268"/>
    </row>
    <row r="9269" spans="1:141" s="116" customFormat="1">
      <c r="A9269" s="136"/>
      <c r="CM9269" s="111"/>
      <c r="CQ9269" s="111"/>
      <c r="EF9269"/>
      <c r="EG9269"/>
      <c r="EH9269"/>
      <c r="EI9269"/>
      <c r="EJ9269"/>
      <c r="EK9269"/>
    </row>
    <row r="9270" spans="1:141" s="116" customFormat="1">
      <c r="A9270" s="136"/>
      <c r="CM9270" s="111"/>
      <c r="CQ9270" s="111"/>
      <c r="EF9270"/>
      <c r="EG9270"/>
      <c r="EH9270"/>
      <c r="EI9270"/>
      <c r="EJ9270"/>
      <c r="EK9270"/>
    </row>
    <row r="9271" spans="1:141" s="116" customFormat="1">
      <c r="A9271" s="136"/>
      <c r="CM9271" s="111"/>
      <c r="CQ9271" s="111"/>
      <c r="EF9271"/>
      <c r="EG9271"/>
      <c r="EH9271"/>
      <c r="EI9271"/>
      <c r="EJ9271"/>
      <c r="EK9271"/>
    </row>
    <row r="9272" spans="1:141" s="116" customFormat="1">
      <c r="A9272" s="136"/>
      <c r="CM9272" s="111"/>
      <c r="CQ9272" s="111"/>
      <c r="EF9272"/>
      <c r="EG9272"/>
      <c r="EH9272"/>
      <c r="EI9272"/>
      <c r="EJ9272"/>
      <c r="EK9272"/>
    </row>
    <row r="9273" spans="1:141" s="116" customFormat="1">
      <c r="A9273" s="136"/>
      <c r="CM9273" s="111"/>
      <c r="CQ9273" s="111"/>
      <c r="EF9273"/>
      <c r="EG9273"/>
      <c r="EH9273"/>
      <c r="EI9273"/>
      <c r="EJ9273"/>
      <c r="EK9273"/>
    </row>
    <row r="9274" spans="1:141" s="116" customFormat="1">
      <c r="A9274" s="136"/>
      <c r="CM9274" s="111"/>
      <c r="CQ9274" s="111"/>
      <c r="EF9274"/>
      <c r="EG9274"/>
      <c r="EH9274"/>
      <c r="EI9274"/>
      <c r="EJ9274"/>
      <c r="EK9274"/>
    </row>
    <row r="9275" spans="1:141" s="116" customFormat="1">
      <c r="A9275" s="136"/>
      <c r="CM9275" s="111"/>
      <c r="CQ9275" s="111"/>
      <c r="EF9275"/>
      <c r="EG9275"/>
      <c r="EH9275"/>
      <c r="EI9275"/>
      <c r="EJ9275"/>
      <c r="EK9275"/>
    </row>
    <row r="9276" spans="1:141" s="116" customFormat="1">
      <c r="A9276" s="136"/>
      <c r="CM9276" s="111"/>
      <c r="CQ9276" s="111"/>
      <c r="EF9276"/>
      <c r="EG9276"/>
      <c r="EH9276"/>
      <c r="EI9276"/>
      <c r="EJ9276"/>
      <c r="EK9276"/>
    </row>
    <row r="9277" spans="1:141" s="116" customFormat="1">
      <c r="A9277" s="136"/>
      <c r="CM9277" s="111"/>
      <c r="CQ9277" s="111"/>
      <c r="EF9277"/>
      <c r="EG9277"/>
      <c r="EH9277"/>
      <c r="EI9277"/>
      <c r="EJ9277"/>
      <c r="EK9277"/>
    </row>
    <row r="9278" spans="1:141" s="116" customFormat="1">
      <c r="A9278" s="136"/>
      <c r="CM9278" s="111"/>
      <c r="CQ9278" s="111"/>
      <c r="EF9278"/>
      <c r="EG9278"/>
      <c r="EH9278"/>
      <c r="EI9278"/>
      <c r="EJ9278"/>
      <c r="EK9278"/>
    </row>
    <row r="9279" spans="1:141" s="116" customFormat="1">
      <c r="A9279" s="136"/>
      <c r="CM9279" s="111"/>
      <c r="CQ9279" s="111"/>
      <c r="EF9279"/>
      <c r="EG9279"/>
      <c r="EH9279"/>
      <c r="EI9279"/>
      <c r="EJ9279"/>
      <c r="EK9279"/>
    </row>
    <row r="9280" spans="1:141" s="116" customFormat="1">
      <c r="A9280" s="136"/>
      <c r="CM9280" s="111"/>
      <c r="CQ9280" s="111"/>
      <c r="EF9280"/>
      <c r="EG9280"/>
      <c r="EH9280"/>
      <c r="EI9280"/>
      <c r="EJ9280"/>
      <c r="EK9280"/>
    </row>
    <row r="9281" spans="1:141" s="116" customFormat="1">
      <c r="A9281" s="136"/>
      <c r="CM9281" s="111"/>
      <c r="CQ9281" s="111"/>
      <c r="EF9281"/>
      <c r="EG9281"/>
      <c r="EH9281"/>
      <c r="EI9281"/>
      <c r="EJ9281"/>
      <c r="EK9281"/>
    </row>
    <row r="9282" spans="1:141" s="116" customFormat="1">
      <c r="A9282" s="136"/>
      <c r="CM9282" s="111"/>
      <c r="CQ9282" s="111"/>
      <c r="EF9282"/>
      <c r="EG9282"/>
      <c r="EH9282"/>
      <c r="EI9282"/>
      <c r="EJ9282"/>
      <c r="EK9282"/>
    </row>
    <row r="9283" spans="1:141" s="116" customFormat="1">
      <c r="A9283" s="136"/>
      <c r="CM9283" s="111"/>
      <c r="CQ9283" s="111"/>
      <c r="EF9283"/>
      <c r="EG9283"/>
      <c r="EH9283"/>
      <c r="EI9283"/>
      <c r="EJ9283"/>
      <c r="EK9283"/>
    </row>
    <row r="9284" spans="1:141" s="116" customFormat="1">
      <c r="A9284" s="136"/>
      <c r="CM9284" s="111"/>
      <c r="CQ9284" s="111"/>
      <c r="EF9284"/>
      <c r="EG9284"/>
      <c r="EH9284"/>
      <c r="EI9284"/>
      <c r="EJ9284"/>
      <c r="EK9284"/>
    </row>
    <row r="9285" spans="1:141" s="116" customFormat="1">
      <c r="A9285" s="136"/>
      <c r="CM9285" s="111"/>
      <c r="CQ9285" s="111"/>
      <c r="EF9285"/>
      <c r="EG9285"/>
      <c r="EH9285"/>
      <c r="EI9285"/>
      <c r="EJ9285"/>
      <c r="EK9285"/>
    </row>
    <row r="9286" spans="1:141" s="116" customFormat="1">
      <c r="A9286" s="136"/>
      <c r="CM9286" s="111"/>
      <c r="CQ9286" s="111"/>
      <c r="EF9286"/>
      <c r="EG9286"/>
      <c r="EH9286"/>
      <c r="EI9286"/>
      <c r="EJ9286"/>
      <c r="EK9286"/>
    </row>
    <row r="9287" spans="1:141" s="116" customFormat="1">
      <c r="A9287" s="136"/>
      <c r="CM9287" s="111"/>
      <c r="CQ9287" s="111"/>
      <c r="EF9287"/>
      <c r="EG9287"/>
      <c r="EH9287"/>
      <c r="EI9287"/>
      <c r="EJ9287"/>
      <c r="EK9287"/>
    </row>
    <row r="9288" spans="1:141" s="116" customFormat="1">
      <c r="A9288" s="136"/>
      <c r="CM9288" s="111"/>
      <c r="CQ9288" s="111"/>
      <c r="EF9288"/>
      <c r="EG9288"/>
      <c r="EH9288"/>
      <c r="EI9288"/>
      <c r="EJ9288"/>
      <c r="EK9288"/>
    </row>
    <row r="9289" spans="1:141" s="116" customFormat="1">
      <c r="A9289" s="136"/>
      <c r="CM9289" s="111"/>
      <c r="CQ9289" s="111"/>
      <c r="EF9289"/>
      <c r="EG9289"/>
      <c r="EH9289"/>
      <c r="EI9289"/>
      <c r="EJ9289"/>
      <c r="EK9289"/>
    </row>
    <row r="9290" spans="1:141" s="116" customFormat="1">
      <c r="A9290" s="136"/>
      <c r="CM9290" s="111"/>
      <c r="CQ9290" s="111"/>
      <c r="EF9290"/>
      <c r="EG9290"/>
      <c r="EH9290"/>
      <c r="EI9290"/>
      <c r="EJ9290"/>
      <c r="EK9290"/>
    </row>
    <row r="9291" spans="1:141" s="116" customFormat="1">
      <c r="A9291" s="136"/>
      <c r="CM9291" s="111"/>
      <c r="CQ9291" s="111"/>
      <c r="EF9291"/>
      <c r="EG9291"/>
      <c r="EH9291"/>
      <c r="EI9291"/>
      <c r="EJ9291"/>
      <c r="EK9291"/>
    </row>
    <row r="9292" spans="1:141" s="116" customFormat="1">
      <c r="A9292" s="136"/>
      <c r="CM9292" s="111"/>
      <c r="CQ9292" s="111"/>
      <c r="EF9292"/>
      <c r="EG9292"/>
      <c r="EH9292"/>
      <c r="EI9292"/>
      <c r="EJ9292"/>
      <c r="EK9292"/>
    </row>
    <row r="9293" spans="1:141" s="116" customFormat="1">
      <c r="A9293" s="136"/>
      <c r="CM9293" s="111"/>
      <c r="CQ9293" s="111"/>
      <c r="EF9293"/>
      <c r="EG9293"/>
      <c r="EH9293"/>
      <c r="EI9293"/>
      <c r="EJ9293"/>
      <c r="EK9293"/>
    </row>
    <row r="9294" spans="1:141" s="116" customFormat="1">
      <c r="A9294" s="136"/>
      <c r="CM9294" s="111"/>
      <c r="CQ9294" s="111"/>
      <c r="EF9294"/>
      <c r="EG9294"/>
      <c r="EH9294"/>
      <c r="EI9294"/>
      <c r="EJ9294"/>
      <c r="EK9294"/>
    </row>
    <row r="9295" spans="1:141" s="116" customFormat="1">
      <c r="A9295" s="136"/>
      <c r="CM9295" s="111"/>
      <c r="CQ9295" s="111"/>
      <c r="EF9295"/>
      <c r="EG9295"/>
      <c r="EH9295"/>
      <c r="EI9295"/>
      <c r="EJ9295"/>
      <c r="EK9295"/>
    </row>
    <row r="9296" spans="1:141" s="116" customFormat="1">
      <c r="A9296" s="136"/>
      <c r="CM9296" s="111"/>
      <c r="CQ9296" s="111"/>
      <c r="EF9296"/>
      <c r="EG9296"/>
      <c r="EH9296"/>
      <c r="EI9296"/>
      <c r="EJ9296"/>
      <c r="EK9296"/>
    </row>
    <row r="9297" spans="1:141" s="116" customFormat="1">
      <c r="A9297" s="136"/>
      <c r="CM9297" s="111"/>
      <c r="CQ9297" s="111"/>
      <c r="EF9297"/>
      <c r="EG9297"/>
      <c r="EH9297"/>
      <c r="EI9297"/>
      <c r="EJ9297"/>
      <c r="EK9297"/>
    </row>
    <row r="9298" spans="1:141" s="116" customFormat="1">
      <c r="A9298" s="136"/>
      <c r="CM9298" s="111"/>
      <c r="CQ9298" s="111"/>
      <c r="EF9298"/>
      <c r="EG9298"/>
      <c r="EH9298"/>
      <c r="EI9298"/>
      <c r="EJ9298"/>
      <c r="EK9298"/>
    </row>
    <row r="9299" spans="1:141" s="116" customFormat="1">
      <c r="A9299" s="136"/>
      <c r="CM9299" s="111"/>
      <c r="CQ9299" s="111"/>
      <c r="EF9299"/>
      <c r="EG9299"/>
      <c r="EH9299"/>
      <c r="EI9299"/>
      <c r="EJ9299"/>
      <c r="EK9299"/>
    </row>
    <row r="9300" spans="1:141" s="116" customFormat="1">
      <c r="A9300" s="136"/>
      <c r="CM9300" s="111"/>
      <c r="CQ9300" s="111"/>
      <c r="EF9300"/>
      <c r="EG9300"/>
      <c r="EH9300"/>
      <c r="EI9300"/>
      <c r="EJ9300"/>
      <c r="EK9300"/>
    </row>
    <row r="9301" spans="1:141" s="116" customFormat="1">
      <c r="A9301" s="136"/>
      <c r="CM9301" s="111"/>
      <c r="CQ9301" s="111"/>
      <c r="EF9301"/>
      <c r="EG9301"/>
      <c r="EH9301"/>
      <c r="EI9301"/>
      <c r="EJ9301"/>
      <c r="EK9301"/>
    </row>
    <row r="9302" spans="1:141" s="116" customFormat="1">
      <c r="A9302" s="136"/>
      <c r="CM9302" s="111"/>
      <c r="CQ9302" s="111"/>
      <c r="EF9302"/>
      <c r="EG9302"/>
      <c r="EH9302"/>
      <c r="EI9302"/>
      <c r="EJ9302"/>
      <c r="EK9302"/>
    </row>
    <row r="9303" spans="1:141" s="116" customFormat="1">
      <c r="A9303" s="136"/>
      <c r="CM9303" s="111"/>
      <c r="CQ9303" s="111"/>
      <c r="EF9303"/>
      <c r="EG9303"/>
      <c r="EH9303"/>
      <c r="EI9303"/>
      <c r="EJ9303"/>
      <c r="EK9303"/>
    </row>
    <row r="9304" spans="1:141" s="116" customFormat="1">
      <c r="A9304" s="136"/>
      <c r="CM9304" s="111"/>
      <c r="CQ9304" s="111"/>
      <c r="EF9304"/>
      <c r="EG9304"/>
      <c r="EH9304"/>
      <c r="EI9304"/>
      <c r="EJ9304"/>
      <c r="EK9304"/>
    </row>
    <row r="9305" spans="1:141" s="116" customFormat="1">
      <c r="A9305" s="136"/>
      <c r="CM9305" s="111"/>
      <c r="CQ9305" s="111"/>
      <c r="EF9305"/>
      <c r="EG9305"/>
      <c r="EH9305"/>
      <c r="EI9305"/>
      <c r="EJ9305"/>
      <c r="EK9305"/>
    </row>
    <row r="9306" spans="1:141" s="116" customFormat="1">
      <c r="A9306" s="136"/>
      <c r="CM9306" s="111"/>
      <c r="CQ9306" s="111"/>
      <c r="EF9306"/>
      <c r="EG9306"/>
      <c r="EH9306"/>
      <c r="EI9306"/>
      <c r="EJ9306"/>
      <c r="EK9306"/>
    </row>
    <row r="9307" spans="1:141" s="116" customFormat="1">
      <c r="A9307" s="136"/>
      <c r="CM9307" s="111"/>
      <c r="CQ9307" s="111"/>
      <c r="EF9307"/>
      <c r="EG9307"/>
      <c r="EH9307"/>
      <c r="EI9307"/>
      <c r="EJ9307"/>
      <c r="EK9307"/>
    </row>
    <row r="9308" spans="1:141" s="116" customFormat="1">
      <c r="A9308" s="136"/>
      <c r="CM9308" s="111"/>
      <c r="CQ9308" s="111"/>
      <c r="EF9308"/>
      <c r="EG9308"/>
      <c r="EH9308"/>
      <c r="EI9308"/>
      <c r="EJ9308"/>
      <c r="EK9308"/>
    </row>
    <row r="9309" spans="1:141" s="116" customFormat="1">
      <c r="A9309" s="136"/>
      <c r="CM9309" s="111"/>
      <c r="CQ9309" s="111"/>
      <c r="EF9309"/>
      <c r="EG9309"/>
      <c r="EH9309"/>
      <c r="EI9309"/>
      <c r="EJ9309"/>
      <c r="EK9309"/>
    </row>
    <row r="9310" spans="1:141" s="116" customFormat="1">
      <c r="A9310" s="136"/>
      <c r="CM9310" s="111"/>
      <c r="CQ9310" s="111"/>
      <c r="EF9310"/>
      <c r="EG9310"/>
      <c r="EH9310"/>
      <c r="EI9310"/>
      <c r="EJ9310"/>
      <c r="EK9310"/>
    </row>
    <row r="9311" spans="1:141" s="116" customFormat="1">
      <c r="A9311" s="136"/>
      <c r="CM9311" s="111"/>
      <c r="CQ9311" s="111"/>
      <c r="EF9311"/>
      <c r="EG9311"/>
      <c r="EH9311"/>
      <c r="EI9311"/>
      <c r="EJ9311"/>
      <c r="EK9311"/>
    </row>
    <row r="9312" spans="1:141" s="116" customFormat="1">
      <c r="A9312" s="136"/>
      <c r="CM9312" s="111"/>
      <c r="CQ9312" s="111"/>
      <c r="EF9312"/>
      <c r="EG9312"/>
      <c r="EH9312"/>
      <c r="EI9312"/>
      <c r="EJ9312"/>
      <c r="EK9312"/>
    </row>
    <row r="9313" spans="1:141" s="116" customFormat="1">
      <c r="A9313" s="136"/>
      <c r="CM9313" s="111"/>
      <c r="CQ9313" s="111"/>
      <c r="EF9313"/>
      <c r="EG9313"/>
      <c r="EH9313"/>
      <c r="EI9313"/>
      <c r="EJ9313"/>
      <c r="EK9313"/>
    </row>
    <row r="9314" spans="1:141" s="116" customFormat="1">
      <c r="A9314" s="136"/>
      <c r="CM9314" s="111"/>
      <c r="CQ9314" s="111"/>
      <c r="EF9314"/>
      <c r="EG9314"/>
      <c r="EH9314"/>
      <c r="EI9314"/>
      <c r="EJ9314"/>
      <c r="EK9314"/>
    </row>
    <row r="9315" spans="1:141" s="116" customFormat="1">
      <c r="A9315" s="136"/>
      <c r="CM9315" s="111"/>
      <c r="CQ9315" s="111"/>
      <c r="EF9315"/>
      <c r="EG9315"/>
      <c r="EH9315"/>
      <c r="EI9315"/>
      <c r="EJ9315"/>
      <c r="EK9315"/>
    </row>
    <row r="9316" spans="1:141" s="116" customFormat="1">
      <c r="A9316" s="136"/>
      <c r="CM9316" s="111"/>
      <c r="CQ9316" s="111"/>
      <c r="EF9316"/>
      <c r="EG9316"/>
      <c r="EH9316"/>
      <c r="EI9316"/>
      <c r="EJ9316"/>
      <c r="EK9316"/>
    </row>
    <row r="9317" spans="1:141" s="116" customFormat="1">
      <c r="A9317" s="136"/>
      <c r="CM9317" s="111"/>
      <c r="CQ9317" s="111"/>
      <c r="EF9317"/>
      <c r="EG9317"/>
      <c r="EH9317"/>
      <c r="EI9317"/>
      <c r="EJ9317"/>
      <c r="EK9317"/>
    </row>
    <row r="9318" spans="1:141" s="116" customFormat="1">
      <c r="A9318" s="136"/>
      <c r="CM9318" s="111"/>
      <c r="CQ9318" s="111"/>
      <c r="EF9318"/>
      <c r="EG9318"/>
      <c r="EH9318"/>
      <c r="EI9318"/>
      <c r="EJ9318"/>
      <c r="EK9318"/>
    </row>
    <row r="9319" spans="1:141" s="116" customFormat="1">
      <c r="A9319" s="136"/>
      <c r="CM9319" s="111"/>
      <c r="CQ9319" s="111"/>
      <c r="EF9319"/>
      <c r="EG9319"/>
      <c r="EH9319"/>
      <c r="EI9319"/>
      <c r="EJ9319"/>
      <c r="EK9319"/>
    </row>
    <row r="9320" spans="1:141" s="116" customFormat="1">
      <c r="A9320" s="136"/>
      <c r="CM9320" s="111"/>
      <c r="CQ9320" s="111"/>
      <c r="EF9320"/>
      <c r="EG9320"/>
      <c r="EH9320"/>
      <c r="EI9320"/>
      <c r="EJ9320"/>
      <c r="EK9320"/>
    </row>
    <row r="9321" spans="1:141" s="116" customFormat="1">
      <c r="A9321" s="136"/>
      <c r="CM9321" s="111"/>
      <c r="CQ9321" s="111"/>
      <c r="EF9321"/>
      <c r="EG9321"/>
      <c r="EH9321"/>
      <c r="EI9321"/>
      <c r="EJ9321"/>
      <c r="EK9321"/>
    </row>
    <row r="9322" spans="1:141" s="116" customFormat="1">
      <c r="A9322" s="136"/>
      <c r="CM9322" s="111"/>
      <c r="CQ9322" s="111"/>
      <c r="EF9322"/>
      <c r="EG9322"/>
      <c r="EH9322"/>
      <c r="EI9322"/>
      <c r="EJ9322"/>
      <c r="EK9322"/>
    </row>
    <row r="9323" spans="1:141" s="116" customFormat="1">
      <c r="A9323" s="136"/>
      <c r="CM9323" s="111"/>
      <c r="CQ9323" s="111"/>
      <c r="EF9323"/>
      <c r="EG9323"/>
      <c r="EH9323"/>
      <c r="EI9323"/>
      <c r="EJ9323"/>
      <c r="EK9323"/>
    </row>
    <row r="9324" spans="1:141" s="116" customFormat="1">
      <c r="A9324" s="136"/>
      <c r="CM9324" s="111"/>
      <c r="CQ9324" s="111"/>
      <c r="EF9324"/>
      <c r="EG9324"/>
      <c r="EH9324"/>
      <c r="EI9324"/>
      <c r="EJ9324"/>
      <c r="EK9324"/>
    </row>
    <row r="9325" spans="1:141" s="116" customFormat="1">
      <c r="A9325" s="136"/>
      <c r="CM9325" s="111"/>
      <c r="CQ9325" s="111"/>
      <c r="EF9325"/>
      <c r="EG9325"/>
      <c r="EH9325"/>
      <c r="EI9325"/>
      <c r="EJ9325"/>
      <c r="EK9325"/>
    </row>
    <row r="9326" spans="1:141" s="116" customFormat="1">
      <c r="A9326" s="136"/>
      <c r="CM9326" s="111"/>
      <c r="CQ9326" s="111"/>
      <c r="EF9326"/>
      <c r="EG9326"/>
      <c r="EH9326"/>
      <c r="EI9326"/>
      <c r="EJ9326"/>
      <c r="EK9326"/>
    </row>
    <row r="9327" spans="1:141" s="116" customFormat="1">
      <c r="A9327" s="136"/>
      <c r="CM9327" s="111"/>
      <c r="CQ9327" s="111"/>
      <c r="EF9327"/>
      <c r="EG9327"/>
      <c r="EH9327"/>
      <c r="EI9327"/>
      <c r="EJ9327"/>
      <c r="EK9327"/>
    </row>
    <row r="9328" spans="1:141" s="116" customFormat="1">
      <c r="A9328" s="136"/>
      <c r="CM9328" s="111"/>
      <c r="CQ9328" s="111"/>
      <c r="EF9328"/>
      <c r="EG9328"/>
      <c r="EH9328"/>
      <c r="EI9328"/>
      <c r="EJ9328"/>
      <c r="EK9328"/>
    </row>
    <row r="9329" spans="1:141" s="116" customFormat="1">
      <c r="A9329" s="136"/>
      <c r="CM9329" s="111"/>
      <c r="CQ9329" s="111"/>
      <c r="EF9329"/>
      <c r="EG9329"/>
      <c r="EH9329"/>
      <c r="EI9329"/>
      <c r="EJ9329"/>
      <c r="EK9329"/>
    </row>
    <row r="9330" spans="1:141" s="116" customFormat="1">
      <c r="A9330" s="136"/>
      <c r="CM9330" s="111"/>
      <c r="CQ9330" s="111"/>
      <c r="EF9330"/>
      <c r="EG9330"/>
      <c r="EH9330"/>
      <c r="EI9330"/>
      <c r="EJ9330"/>
      <c r="EK9330"/>
    </row>
    <row r="9331" spans="1:141" s="116" customFormat="1">
      <c r="A9331" s="136"/>
      <c r="CM9331" s="111"/>
      <c r="CQ9331" s="111"/>
      <c r="EF9331"/>
      <c r="EG9331"/>
      <c r="EH9331"/>
      <c r="EI9331"/>
      <c r="EJ9331"/>
      <c r="EK9331"/>
    </row>
    <row r="9332" spans="1:141" s="116" customFormat="1">
      <c r="A9332" s="136"/>
      <c r="CM9332" s="111"/>
      <c r="CQ9332" s="111"/>
      <c r="EF9332"/>
      <c r="EG9332"/>
      <c r="EH9332"/>
      <c r="EI9332"/>
      <c r="EJ9332"/>
      <c r="EK9332"/>
    </row>
    <row r="9333" spans="1:141" s="116" customFormat="1">
      <c r="A9333" s="136"/>
      <c r="CM9333" s="111"/>
      <c r="CQ9333" s="111"/>
      <c r="EF9333"/>
      <c r="EG9333"/>
      <c r="EH9333"/>
      <c r="EI9333"/>
      <c r="EJ9333"/>
      <c r="EK9333"/>
    </row>
    <row r="9334" spans="1:141" s="116" customFormat="1">
      <c r="A9334" s="136"/>
      <c r="CM9334" s="111"/>
      <c r="CQ9334" s="111"/>
      <c r="EF9334"/>
      <c r="EG9334"/>
      <c r="EH9334"/>
      <c r="EI9334"/>
      <c r="EJ9334"/>
      <c r="EK9334"/>
    </row>
    <row r="9335" spans="1:141" s="116" customFormat="1">
      <c r="A9335" s="136"/>
      <c r="CM9335" s="111"/>
      <c r="CQ9335" s="111"/>
      <c r="EF9335"/>
      <c r="EG9335"/>
      <c r="EH9335"/>
      <c r="EI9335"/>
      <c r="EJ9335"/>
      <c r="EK9335"/>
    </row>
    <row r="9336" spans="1:141" s="116" customFormat="1">
      <c r="A9336" s="136"/>
      <c r="CM9336" s="111"/>
      <c r="CQ9336" s="111"/>
      <c r="EF9336"/>
      <c r="EG9336"/>
      <c r="EH9336"/>
      <c r="EI9336"/>
      <c r="EJ9336"/>
      <c r="EK9336"/>
    </row>
    <row r="9337" spans="1:141" s="116" customFormat="1">
      <c r="A9337" s="136"/>
      <c r="CM9337" s="111"/>
      <c r="CQ9337" s="111"/>
      <c r="EF9337"/>
      <c r="EG9337"/>
      <c r="EH9337"/>
      <c r="EI9337"/>
      <c r="EJ9337"/>
      <c r="EK9337"/>
    </row>
    <row r="9338" spans="1:141" s="116" customFormat="1">
      <c r="A9338" s="136"/>
      <c r="CM9338" s="111"/>
      <c r="CQ9338" s="111"/>
      <c r="EF9338"/>
      <c r="EG9338"/>
      <c r="EH9338"/>
      <c r="EI9338"/>
      <c r="EJ9338"/>
      <c r="EK9338"/>
    </row>
    <row r="9339" spans="1:141" s="116" customFormat="1">
      <c r="A9339" s="136"/>
      <c r="CM9339" s="111"/>
      <c r="CQ9339" s="111"/>
      <c r="EF9339"/>
      <c r="EG9339"/>
      <c r="EH9339"/>
      <c r="EI9339"/>
      <c r="EJ9339"/>
      <c r="EK9339"/>
    </row>
    <row r="9340" spans="1:141" s="116" customFormat="1">
      <c r="A9340" s="136"/>
      <c r="CM9340" s="111"/>
      <c r="CQ9340" s="111"/>
      <c r="EF9340"/>
      <c r="EG9340"/>
      <c r="EH9340"/>
      <c r="EI9340"/>
      <c r="EJ9340"/>
      <c r="EK9340"/>
    </row>
    <row r="9341" spans="1:141" s="116" customFormat="1">
      <c r="A9341" s="136"/>
      <c r="CM9341" s="111"/>
      <c r="CQ9341" s="111"/>
      <c r="EF9341"/>
      <c r="EG9341"/>
      <c r="EH9341"/>
      <c r="EI9341"/>
      <c r="EJ9341"/>
      <c r="EK9341"/>
    </row>
    <row r="9342" spans="1:141" s="116" customFormat="1">
      <c r="A9342" s="136"/>
      <c r="CM9342" s="111"/>
      <c r="CQ9342" s="111"/>
      <c r="EF9342"/>
      <c r="EG9342"/>
      <c r="EH9342"/>
      <c r="EI9342"/>
      <c r="EJ9342"/>
      <c r="EK9342"/>
    </row>
    <row r="9343" spans="1:141" s="116" customFormat="1">
      <c r="A9343" s="136"/>
      <c r="CM9343" s="111"/>
      <c r="CQ9343" s="111"/>
      <c r="EF9343"/>
      <c r="EG9343"/>
      <c r="EH9343"/>
      <c r="EI9343"/>
      <c r="EJ9343"/>
      <c r="EK9343"/>
    </row>
    <row r="9344" spans="1:141" s="116" customFormat="1">
      <c r="A9344" s="136"/>
      <c r="CM9344" s="111"/>
      <c r="CQ9344" s="111"/>
      <c r="EF9344"/>
      <c r="EG9344"/>
      <c r="EH9344"/>
      <c r="EI9344"/>
      <c r="EJ9344"/>
      <c r="EK9344"/>
    </row>
    <row r="9345" spans="1:141" s="116" customFormat="1">
      <c r="A9345" s="136"/>
      <c r="CM9345" s="111"/>
      <c r="CQ9345" s="111"/>
      <c r="EF9345"/>
      <c r="EG9345"/>
      <c r="EH9345"/>
      <c r="EI9345"/>
      <c r="EJ9345"/>
      <c r="EK9345"/>
    </row>
    <row r="9346" spans="1:141" s="116" customFormat="1">
      <c r="A9346" s="136"/>
      <c r="CM9346" s="111"/>
      <c r="CQ9346" s="111"/>
      <c r="EF9346"/>
      <c r="EG9346"/>
      <c r="EH9346"/>
      <c r="EI9346"/>
      <c r="EJ9346"/>
      <c r="EK9346"/>
    </row>
    <row r="9347" spans="1:141" s="116" customFormat="1">
      <c r="A9347" s="136"/>
      <c r="CM9347" s="111"/>
      <c r="CQ9347" s="111"/>
      <c r="EF9347"/>
      <c r="EG9347"/>
      <c r="EH9347"/>
      <c r="EI9347"/>
      <c r="EJ9347"/>
      <c r="EK9347"/>
    </row>
    <row r="9348" spans="1:141" s="116" customFormat="1">
      <c r="A9348" s="136"/>
      <c r="CM9348" s="111"/>
      <c r="CQ9348" s="111"/>
      <c r="EF9348"/>
      <c r="EG9348"/>
      <c r="EH9348"/>
      <c r="EI9348"/>
      <c r="EJ9348"/>
      <c r="EK9348"/>
    </row>
    <row r="9349" spans="1:141" s="116" customFormat="1">
      <c r="A9349" s="136"/>
      <c r="CM9349" s="111"/>
      <c r="CQ9349" s="111"/>
      <c r="EF9349"/>
      <c r="EG9349"/>
      <c r="EH9349"/>
      <c r="EI9349"/>
      <c r="EJ9349"/>
      <c r="EK9349"/>
    </row>
    <row r="9350" spans="1:141" s="116" customFormat="1">
      <c r="A9350" s="136"/>
      <c r="CM9350" s="111"/>
      <c r="CQ9350" s="111"/>
      <c r="EF9350"/>
      <c r="EG9350"/>
      <c r="EH9350"/>
      <c r="EI9350"/>
      <c r="EJ9350"/>
      <c r="EK9350"/>
    </row>
    <row r="9351" spans="1:141" s="116" customFormat="1">
      <c r="A9351" s="136"/>
      <c r="CM9351" s="111"/>
      <c r="CQ9351" s="111"/>
      <c r="EF9351"/>
      <c r="EG9351"/>
      <c r="EH9351"/>
      <c r="EI9351"/>
      <c r="EJ9351"/>
      <c r="EK9351"/>
    </row>
    <row r="9352" spans="1:141" s="116" customFormat="1">
      <c r="A9352" s="136"/>
      <c r="CM9352" s="111"/>
      <c r="CQ9352" s="111"/>
      <c r="EF9352"/>
      <c r="EG9352"/>
      <c r="EH9352"/>
      <c r="EI9352"/>
      <c r="EJ9352"/>
      <c r="EK9352"/>
    </row>
    <row r="9353" spans="1:141" s="116" customFormat="1">
      <c r="A9353" s="136"/>
      <c r="CM9353" s="111"/>
      <c r="CQ9353" s="111"/>
      <c r="EF9353"/>
      <c r="EG9353"/>
      <c r="EH9353"/>
      <c r="EI9353"/>
      <c r="EJ9353"/>
      <c r="EK9353"/>
    </row>
    <row r="9354" spans="1:141" s="116" customFormat="1">
      <c r="A9354" s="136"/>
      <c r="CM9354" s="111"/>
      <c r="CQ9354" s="111"/>
      <c r="EF9354"/>
      <c r="EG9354"/>
      <c r="EH9354"/>
      <c r="EI9354"/>
      <c r="EJ9354"/>
      <c r="EK9354"/>
    </row>
    <row r="9355" spans="1:141" s="116" customFormat="1">
      <c r="A9355" s="136"/>
      <c r="CM9355" s="111"/>
      <c r="CQ9355" s="111"/>
      <c r="EF9355"/>
      <c r="EG9355"/>
      <c r="EH9355"/>
      <c r="EI9355"/>
      <c r="EJ9355"/>
      <c r="EK9355"/>
    </row>
    <row r="9356" spans="1:141" s="116" customFormat="1">
      <c r="A9356" s="136"/>
      <c r="CM9356" s="111"/>
      <c r="CQ9356" s="111"/>
      <c r="EF9356"/>
      <c r="EG9356"/>
      <c r="EH9356"/>
      <c r="EI9356"/>
      <c r="EJ9356"/>
      <c r="EK9356"/>
    </row>
    <row r="9357" spans="1:141" s="116" customFormat="1">
      <c r="A9357" s="136"/>
      <c r="CM9357" s="111"/>
      <c r="CQ9357" s="111"/>
      <c r="EF9357"/>
      <c r="EG9357"/>
      <c r="EH9357"/>
      <c r="EI9357"/>
      <c r="EJ9357"/>
      <c r="EK9357"/>
    </row>
    <row r="9358" spans="1:141" s="116" customFormat="1">
      <c r="A9358" s="136"/>
      <c r="CM9358" s="111"/>
      <c r="CQ9358" s="111"/>
      <c r="EF9358"/>
      <c r="EG9358"/>
      <c r="EH9358"/>
      <c r="EI9358"/>
      <c r="EJ9358"/>
      <c r="EK9358"/>
    </row>
    <row r="9359" spans="1:141" s="116" customFormat="1">
      <c r="A9359" s="136"/>
      <c r="CM9359" s="111"/>
      <c r="CQ9359" s="111"/>
      <c r="EF9359"/>
      <c r="EG9359"/>
      <c r="EH9359"/>
      <c r="EI9359"/>
      <c r="EJ9359"/>
      <c r="EK9359"/>
    </row>
    <row r="9360" spans="1:141" s="116" customFormat="1">
      <c r="A9360" s="136"/>
      <c r="CM9360" s="111"/>
      <c r="CQ9360" s="111"/>
      <c r="EF9360"/>
      <c r="EG9360"/>
      <c r="EH9360"/>
      <c r="EI9360"/>
      <c r="EJ9360"/>
      <c r="EK9360"/>
    </row>
    <row r="9361" spans="1:141" s="116" customFormat="1">
      <c r="A9361" s="136"/>
      <c r="CM9361" s="111"/>
      <c r="CQ9361" s="111"/>
      <c r="EF9361"/>
      <c r="EG9361"/>
      <c r="EH9361"/>
      <c r="EI9361"/>
      <c r="EJ9361"/>
      <c r="EK9361"/>
    </row>
    <row r="9362" spans="1:141" s="116" customFormat="1">
      <c r="A9362" s="136"/>
      <c r="CM9362" s="111"/>
      <c r="CQ9362" s="111"/>
      <c r="EF9362"/>
      <c r="EG9362"/>
      <c r="EH9362"/>
      <c r="EI9362"/>
      <c r="EJ9362"/>
      <c r="EK9362"/>
    </row>
    <row r="9363" spans="1:141" s="116" customFormat="1">
      <c r="A9363" s="136"/>
      <c r="CM9363" s="111"/>
      <c r="CQ9363" s="111"/>
      <c r="EF9363"/>
      <c r="EG9363"/>
      <c r="EH9363"/>
      <c r="EI9363"/>
      <c r="EJ9363"/>
      <c r="EK9363"/>
    </row>
    <row r="9364" spans="1:141" s="116" customFormat="1">
      <c r="A9364" s="136"/>
      <c r="CM9364" s="111"/>
      <c r="CQ9364" s="111"/>
      <c r="EF9364"/>
      <c r="EG9364"/>
      <c r="EH9364"/>
      <c r="EI9364"/>
      <c r="EJ9364"/>
      <c r="EK9364"/>
    </row>
    <row r="9365" spans="1:141" s="116" customFormat="1">
      <c r="A9365" s="136"/>
      <c r="CM9365" s="111"/>
      <c r="CQ9365" s="111"/>
      <c r="EF9365"/>
      <c r="EG9365"/>
      <c r="EH9365"/>
      <c r="EI9365"/>
      <c r="EJ9365"/>
      <c r="EK9365"/>
    </row>
    <row r="9366" spans="1:141" s="116" customFormat="1">
      <c r="A9366" s="136"/>
      <c r="CM9366" s="111"/>
      <c r="CQ9366" s="111"/>
      <c r="EF9366"/>
      <c r="EG9366"/>
      <c r="EH9366"/>
      <c r="EI9366"/>
      <c r="EJ9366"/>
      <c r="EK9366"/>
    </row>
    <row r="9367" spans="1:141" s="116" customFormat="1">
      <c r="A9367" s="136"/>
      <c r="CM9367" s="111"/>
      <c r="CQ9367" s="111"/>
      <c r="EF9367"/>
      <c r="EG9367"/>
      <c r="EH9367"/>
      <c r="EI9367"/>
      <c r="EJ9367"/>
      <c r="EK9367"/>
    </row>
    <row r="9368" spans="1:141" s="116" customFormat="1">
      <c r="A9368" s="136"/>
      <c r="CM9368" s="111"/>
      <c r="CQ9368" s="111"/>
      <c r="EF9368"/>
      <c r="EG9368"/>
      <c r="EH9368"/>
      <c r="EI9368"/>
      <c r="EJ9368"/>
      <c r="EK9368"/>
    </row>
    <row r="9369" spans="1:141" s="116" customFormat="1">
      <c r="A9369" s="136"/>
      <c r="CM9369" s="111"/>
      <c r="CQ9369" s="111"/>
      <c r="EF9369"/>
      <c r="EG9369"/>
      <c r="EH9369"/>
      <c r="EI9369"/>
      <c r="EJ9369"/>
      <c r="EK9369"/>
    </row>
    <row r="9370" spans="1:141" s="116" customFormat="1">
      <c r="A9370" s="136"/>
      <c r="CM9370" s="111"/>
      <c r="CQ9370" s="111"/>
      <c r="EF9370"/>
      <c r="EG9370"/>
      <c r="EH9370"/>
      <c r="EI9370"/>
      <c r="EJ9370"/>
      <c r="EK9370"/>
    </row>
    <row r="9371" spans="1:141" s="116" customFormat="1">
      <c r="A9371" s="136"/>
      <c r="CM9371" s="111"/>
      <c r="CQ9371" s="111"/>
      <c r="EF9371"/>
      <c r="EG9371"/>
      <c r="EH9371"/>
      <c r="EI9371"/>
      <c r="EJ9371"/>
      <c r="EK9371"/>
    </row>
    <row r="9372" spans="1:141" s="116" customFormat="1">
      <c r="A9372" s="136"/>
      <c r="CM9372" s="111"/>
      <c r="CQ9372" s="111"/>
      <c r="EF9372"/>
      <c r="EG9372"/>
      <c r="EH9372"/>
      <c r="EI9372"/>
      <c r="EJ9372"/>
      <c r="EK9372"/>
    </row>
    <row r="9373" spans="1:141" s="116" customFormat="1">
      <c r="A9373" s="136"/>
      <c r="CM9373" s="111"/>
      <c r="CQ9373" s="111"/>
      <c r="EF9373"/>
      <c r="EG9373"/>
      <c r="EH9373"/>
      <c r="EI9373"/>
      <c r="EJ9373"/>
      <c r="EK9373"/>
    </row>
    <row r="9374" spans="1:141" s="116" customFormat="1">
      <c r="A9374" s="136"/>
      <c r="CM9374" s="111"/>
      <c r="CQ9374" s="111"/>
      <c r="EF9374"/>
      <c r="EG9374"/>
      <c r="EH9374"/>
      <c r="EI9374"/>
      <c r="EJ9374"/>
      <c r="EK9374"/>
    </row>
    <row r="9375" spans="1:141" s="116" customFormat="1">
      <c r="A9375" s="136"/>
      <c r="CM9375" s="111"/>
      <c r="CQ9375" s="111"/>
      <c r="EF9375"/>
      <c r="EG9375"/>
      <c r="EH9375"/>
      <c r="EI9375"/>
      <c r="EJ9375"/>
      <c r="EK9375"/>
    </row>
    <row r="9376" spans="1:141" s="116" customFormat="1">
      <c r="A9376" s="136"/>
      <c r="CM9376" s="111"/>
      <c r="CQ9376" s="111"/>
      <c r="EF9376"/>
      <c r="EG9376"/>
      <c r="EH9376"/>
      <c r="EI9376"/>
      <c r="EJ9376"/>
      <c r="EK9376"/>
    </row>
    <row r="9377" spans="1:141" s="116" customFormat="1">
      <c r="A9377" s="136"/>
      <c r="CM9377" s="111"/>
      <c r="CQ9377" s="111"/>
      <c r="EF9377"/>
      <c r="EG9377"/>
      <c r="EH9377"/>
      <c r="EI9377"/>
      <c r="EJ9377"/>
      <c r="EK9377"/>
    </row>
    <row r="9378" spans="1:141" s="116" customFormat="1">
      <c r="A9378" s="136"/>
      <c r="CM9378" s="111"/>
      <c r="CQ9378" s="111"/>
      <c r="EF9378"/>
      <c r="EG9378"/>
      <c r="EH9378"/>
      <c r="EI9378"/>
      <c r="EJ9378"/>
      <c r="EK9378"/>
    </row>
    <row r="9379" spans="1:141" s="116" customFormat="1">
      <c r="A9379" s="136"/>
      <c r="CM9379" s="111"/>
      <c r="CQ9379" s="111"/>
      <c r="EF9379"/>
      <c r="EG9379"/>
      <c r="EH9379"/>
      <c r="EI9379"/>
      <c r="EJ9379"/>
      <c r="EK9379"/>
    </row>
    <row r="9380" spans="1:141" s="116" customFormat="1">
      <c r="A9380" s="136"/>
      <c r="CM9380" s="111"/>
      <c r="CQ9380" s="111"/>
      <c r="EF9380"/>
      <c r="EG9380"/>
      <c r="EH9380"/>
      <c r="EI9380"/>
      <c r="EJ9380"/>
      <c r="EK9380"/>
    </row>
    <row r="9381" spans="1:141" s="116" customFormat="1">
      <c r="A9381" s="136"/>
      <c r="CM9381" s="111"/>
      <c r="CQ9381" s="111"/>
      <c r="EF9381"/>
      <c r="EG9381"/>
      <c r="EH9381"/>
      <c r="EI9381"/>
      <c r="EJ9381"/>
      <c r="EK9381"/>
    </row>
    <row r="9382" spans="1:141" s="116" customFormat="1">
      <c r="A9382" s="136"/>
      <c r="CM9382" s="111"/>
      <c r="CQ9382" s="111"/>
      <c r="EF9382"/>
      <c r="EG9382"/>
      <c r="EH9382"/>
      <c r="EI9382"/>
      <c r="EJ9382"/>
      <c r="EK9382"/>
    </row>
    <row r="9383" spans="1:141" s="116" customFormat="1">
      <c r="A9383" s="136"/>
      <c r="CM9383" s="111"/>
      <c r="CQ9383" s="111"/>
      <c r="EF9383"/>
      <c r="EG9383"/>
      <c r="EH9383"/>
      <c r="EI9383"/>
      <c r="EJ9383"/>
      <c r="EK9383"/>
    </row>
    <row r="9384" spans="1:141" s="116" customFormat="1">
      <c r="A9384" s="136"/>
      <c r="CM9384" s="111"/>
      <c r="CQ9384" s="111"/>
      <c r="EF9384"/>
      <c r="EG9384"/>
      <c r="EH9384"/>
      <c r="EI9384"/>
      <c r="EJ9384"/>
      <c r="EK9384"/>
    </row>
    <row r="9385" spans="1:141" s="116" customFormat="1">
      <c r="A9385" s="136"/>
      <c r="CM9385" s="111"/>
      <c r="CQ9385" s="111"/>
      <c r="EF9385"/>
      <c r="EG9385"/>
      <c r="EH9385"/>
      <c r="EI9385"/>
      <c r="EJ9385"/>
      <c r="EK9385"/>
    </row>
    <row r="9386" spans="1:141" s="116" customFormat="1">
      <c r="A9386" s="136"/>
      <c r="CM9386" s="111"/>
      <c r="CQ9386" s="111"/>
      <c r="EF9386"/>
      <c r="EG9386"/>
      <c r="EH9386"/>
      <c r="EI9386"/>
      <c r="EJ9386"/>
      <c r="EK9386"/>
    </row>
    <row r="9387" spans="1:141" s="116" customFormat="1">
      <c r="A9387" s="136"/>
      <c r="CM9387" s="111"/>
      <c r="CQ9387" s="111"/>
      <c r="EF9387"/>
      <c r="EG9387"/>
      <c r="EH9387"/>
      <c r="EI9387"/>
      <c r="EJ9387"/>
      <c r="EK9387"/>
    </row>
    <row r="9388" spans="1:141" s="116" customFormat="1">
      <c r="A9388" s="136"/>
      <c r="CM9388" s="111"/>
      <c r="CQ9388" s="111"/>
      <c r="EF9388"/>
      <c r="EG9388"/>
      <c r="EH9388"/>
      <c r="EI9388"/>
      <c r="EJ9388"/>
      <c r="EK9388"/>
    </row>
    <row r="9389" spans="1:141" s="116" customFormat="1">
      <c r="A9389" s="136"/>
      <c r="CM9389" s="111"/>
      <c r="CQ9389" s="111"/>
      <c r="EF9389"/>
      <c r="EG9389"/>
      <c r="EH9389"/>
      <c r="EI9389"/>
      <c r="EJ9389"/>
      <c r="EK9389"/>
    </row>
    <row r="9390" spans="1:141" s="116" customFormat="1">
      <c r="A9390" s="136"/>
      <c r="CM9390" s="111"/>
      <c r="CQ9390" s="111"/>
      <c r="EF9390"/>
      <c r="EG9390"/>
      <c r="EH9390"/>
      <c r="EI9390"/>
      <c r="EJ9390"/>
      <c r="EK9390"/>
    </row>
    <row r="9391" spans="1:141" s="116" customFormat="1">
      <c r="A9391" s="136"/>
      <c r="CM9391" s="111"/>
      <c r="CQ9391" s="111"/>
      <c r="EF9391"/>
      <c r="EG9391"/>
      <c r="EH9391"/>
      <c r="EI9391"/>
      <c r="EJ9391"/>
      <c r="EK9391"/>
    </row>
    <row r="9392" spans="1:141" s="116" customFormat="1">
      <c r="A9392" s="136"/>
      <c r="CM9392" s="111"/>
      <c r="CQ9392" s="111"/>
      <c r="EF9392"/>
      <c r="EG9392"/>
      <c r="EH9392"/>
      <c r="EI9392"/>
      <c r="EJ9392"/>
      <c r="EK9392"/>
    </row>
    <row r="9393" spans="1:141" s="116" customFormat="1">
      <c r="A9393" s="136"/>
      <c r="CM9393" s="111"/>
      <c r="CQ9393" s="111"/>
      <c r="EF9393"/>
      <c r="EG9393"/>
      <c r="EH9393"/>
      <c r="EI9393"/>
      <c r="EJ9393"/>
      <c r="EK9393"/>
    </row>
    <row r="9394" spans="1:141" s="116" customFormat="1">
      <c r="A9394" s="136"/>
      <c r="CM9394" s="111"/>
      <c r="CQ9394" s="111"/>
      <c r="EF9394"/>
      <c r="EG9394"/>
      <c r="EH9394"/>
      <c r="EI9394"/>
      <c r="EJ9394"/>
      <c r="EK9394"/>
    </row>
    <row r="9395" spans="1:141" s="116" customFormat="1">
      <c r="A9395" s="136"/>
      <c r="CM9395" s="111"/>
      <c r="CQ9395" s="111"/>
      <c r="EF9395"/>
      <c r="EG9395"/>
      <c r="EH9395"/>
      <c r="EI9395"/>
      <c r="EJ9395"/>
      <c r="EK9395"/>
    </row>
    <row r="9396" spans="1:141" s="116" customFormat="1">
      <c r="A9396" s="136"/>
      <c r="CM9396" s="111"/>
      <c r="CQ9396" s="111"/>
      <c r="EF9396"/>
      <c r="EG9396"/>
      <c r="EH9396"/>
      <c r="EI9396"/>
      <c r="EJ9396"/>
      <c r="EK9396"/>
    </row>
    <row r="9397" spans="1:141" s="116" customFormat="1">
      <c r="A9397" s="136"/>
      <c r="CM9397" s="111"/>
      <c r="CQ9397" s="111"/>
      <c r="EF9397"/>
      <c r="EG9397"/>
      <c r="EH9397"/>
      <c r="EI9397"/>
      <c r="EJ9397"/>
      <c r="EK9397"/>
    </row>
    <row r="9398" spans="1:141" s="116" customFormat="1">
      <c r="A9398" s="136"/>
      <c r="CM9398" s="111"/>
      <c r="CQ9398" s="111"/>
      <c r="EF9398"/>
      <c r="EG9398"/>
      <c r="EH9398"/>
      <c r="EI9398"/>
      <c r="EJ9398"/>
      <c r="EK9398"/>
    </row>
    <row r="9399" spans="1:141" s="116" customFormat="1">
      <c r="A9399" s="136"/>
      <c r="CM9399" s="111"/>
      <c r="CQ9399" s="111"/>
      <c r="EF9399"/>
      <c r="EG9399"/>
      <c r="EH9399"/>
      <c r="EI9399"/>
      <c r="EJ9399"/>
      <c r="EK9399"/>
    </row>
    <row r="9400" spans="1:141" s="116" customFormat="1">
      <c r="A9400" s="136"/>
      <c r="CM9400" s="111"/>
      <c r="CQ9400" s="111"/>
      <c r="EF9400"/>
      <c r="EG9400"/>
      <c r="EH9400"/>
      <c r="EI9400"/>
      <c r="EJ9400"/>
      <c r="EK9400"/>
    </row>
    <row r="9401" spans="1:141" s="116" customFormat="1">
      <c r="A9401" s="136"/>
      <c r="CM9401" s="111"/>
      <c r="CQ9401" s="111"/>
      <c r="EF9401"/>
      <c r="EG9401"/>
      <c r="EH9401"/>
      <c r="EI9401"/>
      <c r="EJ9401"/>
      <c r="EK9401"/>
    </row>
    <row r="9402" spans="1:141" s="116" customFormat="1">
      <c r="A9402" s="136"/>
      <c r="CM9402" s="111"/>
      <c r="CQ9402" s="111"/>
      <c r="EF9402"/>
      <c r="EG9402"/>
      <c r="EH9402"/>
      <c r="EI9402"/>
      <c r="EJ9402"/>
      <c r="EK9402"/>
    </row>
    <row r="9403" spans="1:141" s="116" customFormat="1">
      <c r="A9403" s="136"/>
      <c r="CM9403" s="111"/>
      <c r="CQ9403" s="111"/>
      <c r="EF9403"/>
      <c r="EG9403"/>
      <c r="EH9403"/>
      <c r="EI9403"/>
      <c r="EJ9403"/>
      <c r="EK9403"/>
    </row>
    <row r="9404" spans="1:141" s="116" customFormat="1">
      <c r="A9404" s="136"/>
      <c r="CM9404" s="111"/>
      <c r="CQ9404" s="111"/>
      <c r="EF9404"/>
      <c r="EG9404"/>
      <c r="EH9404"/>
      <c r="EI9404"/>
      <c r="EJ9404"/>
      <c r="EK9404"/>
    </row>
    <row r="9405" spans="1:141" s="116" customFormat="1">
      <c r="A9405" s="136"/>
      <c r="CM9405" s="111"/>
      <c r="CQ9405" s="111"/>
      <c r="EF9405"/>
      <c r="EG9405"/>
      <c r="EH9405"/>
      <c r="EI9405"/>
      <c r="EJ9405"/>
      <c r="EK9405"/>
    </row>
    <row r="9406" spans="1:141" s="116" customFormat="1">
      <c r="A9406" s="136"/>
      <c r="CM9406" s="111"/>
      <c r="CQ9406" s="111"/>
      <c r="EF9406"/>
      <c r="EG9406"/>
      <c r="EH9406"/>
      <c r="EI9406"/>
      <c r="EJ9406"/>
      <c r="EK9406"/>
    </row>
    <row r="9407" spans="1:141" s="116" customFormat="1">
      <c r="A9407" s="136"/>
      <c r="CM9407" s="111"/>
      <c r="CQ9407" s="111"/>
      <c r="EF9407"/>
      <c r="EG9407"/>
      <c r="EH9407"/>
      <c r="EI9407"/>
      <c r="EJ9407"/>
      <c r="EK9407"/>
    </row>
    <row r="9408" spans="1:141" s="116" customFormat="1">
      <c r="A9408" s="136"/>
      <c r="CM9408" s="111"/>
      <c r="CQ9408" s="111"/>
      <c r="EF9408"/>
      <c r="EG9408"/>
      <c r="EH9408"/>
      <c r="EI9408"/>
      <c r="EJ9408"/>
      <c r="EK9408"/>
    </row>
    <row r="9409" spans="1:141" s="116" customFormat="1">
      <c r="A9409" s="136"/>
      <c r="CM9409" s="111"/>
      <c r="CQ9409" s="111"/>
      <c r="EF9409"/>
      <c r="EG9409"/>
      <c r="EH9409"/>
      <c r="EI9409"/>
      <c r="EJ9409"/>
      <c r="EK9409"/>
    </row>
    <row r="9410" spans="1:141" s="116" customFormat="1">
      <c r="A9410" s="136"/>
      <c r="CM9410" s="111"/>
      <c r="CQ9410" s="111"/>
      <c r="EF9410"/>
      <c r="EG9410"/>
      <c r="EH9410"/>
      <c r="EI9410"/>
      <c r="EJ9410"/>
      <c r="EK9410"/>
    </row>
    <row r="9411" spans="1:141" s="116" customFormat="1">
      <c r="A9411" s="136"/>
      <c r="CM9411" s="111"/>
      <c r="CQ9411" s="111"/>
      <c r="EF9411"/>
      <c r="EG9411"/>
      <c r="EH9411"/>
      <c r="EI9411"/>
      <c r="EJ9411"/>
      <c r="EK9411"/>
    </row>
    <row r="9412" spans="1:141" s="116" customFormat="1">
      <c r="A9412" s="136"/>
      <c r="CM9412" s="111"/>
      <c r="CQ9412" s="111"/>
      <c r="EF9412"/>
      <c r="EG9412"/>
      <c r="EH9412"/>
      <c r="EI9412"/>
      <c r="EJ9412"/>
      <c r="EK9412"/>
    </row>
    <row r="9413" spans="1:141" s="116" customFormat="1">
      <c r="A9413" s="136"/>
      <c r="CM9413" s="111"/>
      <c r="CQ9413" s="111"/>
      <c r="EF9413"/>
      <c r="EG9413"/>
      <c r="EH9413"/>
      <c r="EI9413"/>
      <c r="EJ9413"/>
      <c r="EK9413"/>
    </row>
    <row r="9414" spans="1:141" s="116" customFormat="1">
      <c r="A9414" s="136"/>
      <c r="CM9414" s="111"/>
      <c r="CQ9414" s="111"/>
      <c r="EF9414"/>
      <c r="EG9414"/>
      <c r="EH9414"/>
      <c r="EI9414"/>
      <c r="EJ9414"/>
      <c r="EK9414"/>
    </row>
    <row r="9415" spans="1:141" s="116" customFormat="1">
      <c r="A9415" s="136"/>
      <c r="CM9415" s="111"/>
      <c r="CQ9415" s="111"/>
      <c r="EF9415"/>
      <c r="EG9415"/>
      <c r="EH9415"/>
      <c r="EI9415"/>
      <c r="EJ9415"/>
      <c r="EK9415"/>
    </row>
    <row r="9416" spans="1:141" s="116" customFormat="1">
      <c r="A9416" s="136"/>
      <c r="CM9416" s="111"/>
      <c r="CQ9416" s="111"/>
      <c r="EF9416"/>
      <c r="EG9416"/>
      <c r="EH9416"/>
      <c r="EI9416"/>
      <c r="EJ9416"/>
      <c r="EK9416"/>
    </row>
    <row r="9417" spans="1:141" s="116" customFormat="1">
      <c r="A9417" s="136"/>
      <c r="CM9417" s="111"/>
      <c r="CQ9417" s="111"/>
      <c r="EF9417"/>
      <c r="EG9417"/>
      <c r="EH9417"/>
      <c r="EI9417"/>
      <c r="EJ9417"/>
      <c r="EK9417"/>
    </row>
    <row r="9418" spans="1:141" s="116" customFormat="1">
      <c r="A9418" s="136"/>
      <c r="CM9418" s="111"/>
      <c r="CQ9418" s="111"/>
      <c r="EF9418"/>
      <c r="EG9418"/>
      <c r="EH9418"/>
      <c r="EI9418"/>
      <c r="EJ9418"/>
      <c r="EK9418"/>
    </row>
    <row r="9419" spans="1:141" s="116" customFormat="1">
      <c r="A9419" s="136"/>
      <c r="CM9419" s="111"/>
      <c r="CQ9419" s="111"/>
      <c r="EF9419"/>
      <c r="EG9419"/>
      <c r="EH9419"/>
      <c r="EI9419"/>
      <c r="EJ9419"/>
      <c r="EK9419"/>
    </row>
    <row r="9420" spans="1:141" s="116" customFormat="1">
      <c r="A9420" s="136"/>
      <c r="CM9420" s="111"/>
      <c r="CQ9420" s="111"/>
      <c r="EF9420"/>
      <c r="EG9420"/>
      <c r="EH9420"/>
      <c r="EI9420"/>
      <c r="EJ9420"/>
      <c r="EK9420"/>
    </row>
    <row r="9421" spans="1:141" s="116" customFormat="1">
      <c r="A9421" s="136"/>
      <c r="CM9421" s="111"/>
      <c r="CQ9421" s="111"/>
      <c r="EF9421"/>
      <c r="EG9421"/>
      <c r="EH9421"/>
      <c r="EI9421"/>
      <c r="EJ9421"/>
      <c r="EK9421"/>
    </row>
    <row r="9422" spans="1:141" s="116" customFormat="1">
      <c r="A9422" s="136"/>
      <c r="CM9422" s="111"/>
      <c r="CQ9422" s="111"/>
      <c r="EF9422"/>
      <c r="EG9422"/>
      <c r="EH9422"/>
      <c r="EI9422"/>
      <c r="EJ9422"/>
      <c r="EK9422"/>
    </row>
    <row r="9423" spans="1:141" s="116" customFormat="1">
      <c r="A9423" s="136"/>
      <c r="CM9423" s="111"/>
      <c r="CQ9423" s="111"/>
      <c r="EF9423"/>
      <c r="EG9423"/>
      <c r="EH9423"/>
      <c r="EI9423"/>
      <c r="EJ9423"/>
      <c r="EK9423"/>
    </row>
    <row r="9424" spans="1:141" s="116" customFormat="1">
      <c r="A9424" s="136"/>
      <c r="CM9424" s="111"/>
      <c r="CQ9424" s="111"/>
      <c r="EF9424"/>
      <c r="EG9424"/>
      <c r="EH9424"/>
      <c r="EI9424"/>
      <c r="EJ9424"/>
      <c r="EK9424"/>
    </row>
    <row r="9425" spans="1:141" s="116" customFormat="1">
      <c r="A9425" s="136"/>
      <c r="CM9425" s="111"/>
      <c r="CQ9425" s="111"/>
      <c r="EF9425"/>
      <c r="EG9425"/>
      <c r="EH9425"/>
      <c r="EI9425"/>
      <c r="EJ9425"/>
      <c r="EK9425"/>
    </row>
    <row r="9426" spans="1:141" s="116" customFormat="1">
      <c r="A9426" s="136"/>
      <c r="CM9426" s="111"/>
      <c r="CQ9426" s="111"/>
      <c r="EF9426"/>
      <c r="EG9426"/>
      <c r="EH9426"/>
      <c r="EI9426"/>
      <c r="EJ9426"/>
      <c r="EK9426"/>
    </row>
    <row r="9427" spans="1:141" s="116" customFormat="1">
      <c r="A9427" s="136"/>
      <c r="CM9427" s="111"/>
      <c r="CQ9427" s="111"/>
      <c r="EF9427"/>
      <c r="EG9427"/>
      <c r="EH9427"/>
      <c r="EI9427"/>
      <c r="EJ9427"/>
      <c r="EK9427"/>
    </row>
    <row r="9428" spans="1:141" s="116" customFormat="1">
      <c r="A9428" s="136"/>
      <c r="CM9428" s="111"/>
      <c r="CQ9428" s="111"/>
      <c r="EF9428"/>
      <c r="EG9428"/>
      <c r="EH9428"/>
      <c r="EI9428"/>
      <c r="EJ9428"/>
      <c r="EK9428"/>
    </row>
    <row r="9429" spans="1:141" s="116" customFormat="1">
      <c r="A9429" s="136"/>
      <c r="CM9429" s="111"/>
      <c r="CQ9429" s="111"/>
      <c r="EF9429"/>
      <c r="EG9429"/>
      <c r="EH9429"/>
      <c r="EI9429"/>
      <c r="EJ9429"/>
      <c r="EK9429"/>
    </row>
    <row r="9430" spans="1:141" s="116" customFormat="1">
      <c r="A9430" s="136"/>
      <c r="CM9430" s="111"/>
      <c r="CQ9430" s="111"/>
      <c r="EF9430"/>
      <c r="EG9430"/>
      <c r="EH9430"/>
      <c r="EI9430"/>
      <c r="EJ9430"/>
      <c r="EK9430"/>
    </row>
    <row r="9431" spans="1:141" s="116" customFormat="1">
      <c r="A9431" s="136"/>
      <c r="CM9431" s="111"/>
      <c r="CQ9431" s="111"/>
      <c r="EF9431"/>
      <c r="EG9431"/>
      <c r="EH9431"/>
      <c r="EI9431"/>
      <c r="EJ9431"/>
      <c r="EK9431"/>
    </row>
    <row r="9432" spans="1:141" s="116" customFormat="1">
      <c r="A9432" s="136"/>
      <c r="CM9432" s="111"/>
      <c r="CQ9432" s="111"/>
      <c r="EF9432"/>
      <c r="EG9432"/>
      <c r="EH9432"/>
      <c r="EI9432"/>
      <c r="EJ9432"/>
      <c r="EK9432"/>
    </row>
    <row r="9433" spans="1:141" s="116" customFormat="1">
      <c r="A9433" s="136"/>
      <c r="CM9433" s="111"/>
      <c r="CQ9433" s="111"/>
      <c r="EF9433"/>
      <c r="EG9433"/>
      <c r="EH9433"/>
      <c r="EI9433"/>
      <c r="EJ9433"/>
      <c r="EK9433"/>
    </row>
    <row r="9434" spans="1:141" s="116" customFormat="1">
      <c r="A9434" s="136"/>
      <c r="CM9434" s="111"/>
      <c r="CQ9434" s="111"/>
      <c r="EF9434"/>
      <c r="EG9434"/>
      <c r="EH9434"/>
      <c r="EI9434"/>
      <c r="EJ9434"/>
      <c r="EK9434"/>
    </row>
    <row r="9435" spans="1:141" s="116" customFormat="1">
      <c r="A9435" s="136"/>
      <c r="CM9435" s="111"/>
      <c r="CQ9435" s="111"/>
      <c r="EF9435"/>
      <c r="EG9435"/>
      <c r="EH9435"/>
      <c r="EI9435"/>
      <c r="EJ9435"/>
      <c r="EK9435"/>
    </row>
    <row r="9436" spans="1:141" s="116" customFormat="1">
      <c r="A9436" s="136"/>
      <c r="CM9436" s="111"/>
      <c r="CQ9436" s="111"/>
      <c r="EF9436"/>
      <c r="EG9436"/>
      <c r="EH9436"/>
      <c r="EI9436"/>
      <c r="EJ9436"/>
      <c r="EK9436"/>
    </row>
    <row r="9437" spans="1:141" s="116" customFormat="1">
      <c r="A9437" s="136"/>
      <c r="CM9437" s="111"/>
      <c r="CQ9437" s="111"/>
      <c r="EF9437"/>
      <c r="EG9437"/>
      <c r="EH9437"/>
      <c r="EI9437"/>
      <c r="EJ9437"/>
      <c r="EK9437"/>
    </row>
    <row r="9438" spans="1:141" s="116" customFormat="1">
      <c r="A9438" s="136"/>
      <c r="CM9438" s="111"/>
      <c r="CQ9438" s="111"/>
      <c r="EF9438"/>
      <c r="EG9438"/>
      <c r="EH9438"/>
      <c r="EI9438"/>
      <c r="EJ9438"/>
      <c r="EK9438"/>
    </row>
    <row r="9439" spans="1:141" s="116" customFormat="1">
      <c r="A9439" s="136"/>
      <c r="CM9439" s="111"/>
      <c r="CQ9439" s="111"/>
      <c r="EF9439"/>
      <c r="EG9439"/>
      <c r="EH9439"/>
      <c r="EI9439"/>
      <c r="EJ9439"/>
      <c r="EK9439"/>
    </row>
    <row r="9440" spans="1:141" s="116" customFormat="1">
      <c r="A9440" s="136"/>
      <c r="CM9440" s="111"/>
      <c r="CQ9440" s="111"/>
      <c r="EF9440"/>
      <c r="EG9440"/>
      <c r="EH9440"/>
      <c r="EI9440"/>
      <c r="EJ9440"/>
      <c r="EK9440"/>
    </row>
    <row r="9441" spans="1:141" s="116" customFormat="1">
      <c r="A9441" s="136"/>
      <c r="CM9441" s="111"/>
      <c r="CQ9441" s="111"/>
      <c r="EF9441"/>
      <c r="EG9441"/>
      <c r="EH9441"/>
      <c r="EI9441"/>
      <c r="EJ9441"/>
      <c r="EK9441"/>
    </row>
    <row r="9442" spans="1:141" s="116" customFormat="1">
      <c r="A9442" s="136"/>
      <c r="CM9442" s="111"/>
      <c r="CQ9442" s="111"/>
      <c r="EF9442"/>
      <c r="EG9442"/>
      <c r="EH9442"/>
      <c r="EI9442"/>
      <c r="EJ9442"/>
      <c r="EK9442"/>
    </row>
    <row r="9443" spans="1:141" s="116" customFormat="1">
      <c r="A9443" s="136"/>
      <c r="CM9443" s="111"/>
      <c r="CQ9443" s="111"/>
      <c r="EF9443"/>
      <c r="EG9443"/>
      <c r="EH9443"/>
      <c r="EI9443"/>
      <c r="EJ9443"/>
      <c r="EK9443"/>
    </row>
    <row r="9444" spans="1:141" s="116" customFormat="1">
      <c r="A9444" s="136"/>
      <c r="CM9444" s="111"/>
      <c r="CQ9444" s="111"/>
      <c r="EF9444"/>
      <c r="EG9444"/>
      <c r="EH9444"/>
      <c r="EI9444"/>
      <c r="EJ9444"/>
      <c r="EK9444"/>
    </row>
    <row r="9445" spans="1:141" s="116" customFormat="1">
      <c r="A9445" s="136"/>
      <c r="CM9445" s="111"/>
      <c r="CQ9445" s="111"/>
      <c r="EF9445"/>
      <c r="EG9445"/>
      <c r="EH9445"/>
      <c r="EI9445"/>
      <c r="EJ9445"/>
      <c r="EK9445"/>
    </row>
    <row r="9446" spans="1:141" s="116" customFormat="1">
      <c r="A9446" s="136"/>
      <c r="CM9446" s="111"/>
      <c r="CQ9446" s="111"/>
      <c r="EF9446"/>
      <c r="EG9446"/>
      <c r="EH9446"/>
      <c r="EI9446"/>
      <c r="EJ9446"/>
      <c r="EK9446"/>
    </row>
    <row r="9447" spans="1:141" s="116" customFormat="1">
      <c r="A9447" s="136"/>
      <c r="CM9447" s="111"/>
      <c r="CQ9447" s="111"/>
      <c r="EF9447"/>
      <c r="EG9447"/>
      <c r="EH9447"/>
      <c r="EI9447"/>
      <c r="EJ9447"/>
      <c r="EK9447"/>
    </row>
    <row r="9448" spans="1:141" s="116" customFormat="1">
      <c r="A9448" s="136"/>
      <c r="CM9448" s="111"/>
      <c r="CQ9448" s="111"/>
      <c r="EF9448"/>
      <c r="EG9448"/>
      <c r="EH9448"/>
      <c r="EI9448"/>
      <c r="EJ9448"/>
      <c r="EK9448"/>
    </row>
    <row r="9449" spans="1:141" s="116" customFormat="1">
      <c r="A9449" s="136"/>
      <c r="CM9449" s="111"/>
      <c r="CQ9449" s="111"/>
      <c r="EF9449"/>
      <c r="EG9449"/>
      <c r="EH9449"/>
      <c r="EI9449"/>
      <c r="EJ9449"/>
      <c r="EK9449"/>
    </row>
    <row r="9450" spans="1:141" s="116" customFormat="1">
      <c r="A9450" s="136"/>
      <c r="CM9450" s="111"/>
      <c r="CQ9450" s="111"/>
      <c r="EF9450"/>
      <c r="EG9450"/>
      <c r="EH9450"/>
      <c r="EI9450"/>
      <c r="EJ9450"/>
      <c r="EK9450"/>
    </row>
    <row r="9451" spans="1:141" s="116" customFormat="1">
      <c r="A9451" s="136"/>
      <c r="CM9451" s="111"/>
      <c r="CQ9451" s="111"/>
      <c r="EF9451"/>
      <c r="EG9451"/>
      <c r="EH9451"/>
      <c r="EI9451"/>
      <c r="EJ9451"/>
      <c r="EK9451"/>
    </row>
    <row r="9452" spans="1:141" s="116" customFormat="1">
      <c r="A9452" s="136"/>
      <c r="CM9452" s="111"/>
      <c r="CQ9452" s="111"/>
      <c r="EF9452"/>
      <c r="EG9452"/>
      <c r="EH9452"/>
      <c r="EI9452"/>
      <c r="EJ9452"/>
      <c r="EK9452"/>
    </row>
    <row r="9453" spans="1:141" s="116" customFormat="1">
      <c r="A9453" s="136"/>
      <c r="CM9453" s="111"/>
      <c r="CQ9453" s="111"/>
      <c r="EF9453"/>
      <c r="EG9453"/>
      <c r="EH9453"/>
      <c r="EI9453"/>
      <c r="EJ9453"/>
      <c r="EK9453"/>
    </row>
    <row r="9454" spans="1:141" s="116" customFormat="1">
      <c r="A9454" s="136"/>
      <c r="CM9454" s="111"/>
      <c r="CQ9454" s="111"/>
      <c r="EF9454"/>
      <c r="EG9454"/>
      <c r="EH9454"/>
      <c r="EI9454"/>
      <c r="EJ9454"/>
      <c r="EK9454"/>
    </row>
    <row r="9455" spans="1:141" s="116" customFormat="1">
      <c r="A9455" s="136"/>
      <c r="CM9455" s="111"/>
      <c r="CQ9455" s="111"/>
      <c r="EF9455"/>
      <c r="EG9455"/>
      <c r="EH9455"/>
      <c r="EI9455"/>
      <c r="EJ9455"/>
      <c r="EK9455"/>
    </row>
    <row r="9456" spans="1:141" s="116" customFormat="1">
      <c r="A9456" s="136"/>
      <c r="CM9456" s="111"/>
      <c r="CQ9456" s="111"/>
      <c r="EF9456"/>
      <c r="EG9456"/>
      <c r="EH9456"/>
      <c r="EI9456"/>
      <c r="EJ9456"/>
      <c r="EK9456"/>
    </row>
    <row r="9457" spans="1:141" s="116" customFormat="1">
      <c r="A9457" s="136"/>
      <c r="CM9457" s="111"/>
      <c r="CQ9457" s="111"/>
      <c r="EF9457"/>
      <c r="EG9457"/>
      <c r="EH9457"/>
      <c r="EI9457"/>
      <c r="EJ9457"/>
      <c r="EK9457"/>
    </row>
    <row r="9458" spans="1:141" s="116" customFormat="1">
      <c r="A9458" s="136"/>
      <c r="CM9458" s="111"/>
      <c r="CQ9458" s="111"/>
      <c r="EF9458"/>
      <c r="EG9458"/>
      <c r="EH9458"/>
      <c r="EI9458"/>
      <c r="EJ9458"/>
      <c r="EK9458"/>
    </row>
    <row r="9459" spans="1:141" s="116" customFormat="1">
      <c r="A9459" s="136"/>
      <c r="CM9459" s="111"/>
      <c r="CQ9459" s="111"/>
      <c r="EF9459"/>
      <c r="EG9459"/>
      <c r="EH9459"/>
      <c r="EI9459"/>
      <c r="EJ9459"/>
      <c r="EK9459"/>
    </row>
    <row r="9460" spans="1:141" s="116" customFormat="1">
      <c r="A9460" s="136"/>
      <c r="CM9460" s="111"/>
      <c r="CQ9460" s="111"/>
      <c r="EF9460"/>
      <c r="EG9460"/>
      <c r="EH9460"/>
      <c r="EI9460"/>
      <c r="EJ9460"/>
      <c r="EK9460"/>
    </row>
    <row r="9461" spans="1:141" s="116" customFormat="1">
      <c r="A9461" s="136"/>
      <c r="CM9461" s="111"/>
      <c r="CQ9461" s="111"/>
      <c r="EF9461"/>
      <c r="EG9461"/>
      <c r="EH9461"/>
      <c r="EI9461"/>
      <c r="EJ9461"/>
      <c r="EK9461"/>
    </row>
    <row r="9462" spans="1:141" s="116" customFormat="1">
      <c r="A9462" s="136"/>
      <c r="CM9462" s="111"/>
      <c r="CQ9462" s="111"/>
      <c r="EF9462"/>
      <c r="EG9462"/>
      <c r="EH9462"/>
      <c r="EI9462"/>
      <c r="EJ9462"/>
      <c r="EK9462"/>
    </row>
    <row r="9463" spans="1:141" s="116" customFormat="1">
      <c r="A9463" s="136"/>
      <c r="CM9463" s="111"/>
      <c r="CQ9463" s="111"/>
      <c r="EF9463"/>
      <c r="EG9463"/>
      <c r="EH9463"/>
      <c r="EI9463"/>
      <c r="EJ9463"/>
      <c r="EK9463"/>
    </row>
    <row r="9464" spans="1:141" s="116" customFormat="1">
      <c r="A9464" s="136"/>
      <c r="CM9464" s="111"/>
      <c r="CQ9464" s="111"/>
      <c r="EF9464"/>
      <c r="EG9464"/>
      <c r="EH9464"/>
      <c r="EI9464"/>
      <c r="EJ9464"/>
      <c r="EK9464"/>
    </row>
    <row r="9465" spans="1:141" s="116" customFormat="1">
      <c r="A9465" s="136"/>
      <c r="CM9465" s="111"/>
      <c r="CQ9465" s="111"/>
      <c r="EF9465"/>
      <c r="EG9465"/>
      <c r="EH9465"/>
      <c r="EI9465"/>
      <c r="EJ9465"/>
      <c r="EK9465"/>
    </row>
    <row r="9466" spans="1:141" s="116" customFormat="1">
      <c r="A9466" s="136"/>
      <c r="CM9466" s="111"/>
      <c r="CQ9466" s="111"/>
      <c r="EF9466"/>
      <c r="EG9466"/>
      <c r="EH9466"/>
      <c r="EI9466"/>
      <c r="EJ9466"/>
      <c r="EK9466"/>
    </row>
    <row r="9467" spans="1:141" s="116" customFormat="1">
      <c r="A9467" s="136"/>
      <c r="CM9467" s="111"/>
      <c r="CQ9467" s="111"/>
      <c r="EF9467"/>
      <c r="EG9467"/>
      <c r="EH9467"/>
      <c r="EI9467"/>
      <c r="EJ9467"/>
      <c r="EK9467"/>
    </row>
    <row r="9468" spans="1:141" s="116" customFormat="1">
      <c r="A9468" s="136"/>
      <c r="CM9468" s="111"/>
      <c r="CQ9468" s="111"/>
      <c r="EF9468"/>
      <c r="EG9468"/>
      <c r="EH9468"/>
      <c r="EI9468"/>
      <c r="EJ9468"/>
      <c r="EK9468"/>
    </row>
    <row r="9469" spans="1:141" s="116" customFormat="1">
      <c r="A9469" s="136"/>
      <c r="CM9469" s="111"/>
      <c r="CQ9469" s="111"/>
      <c r="EF9469"/>
      <c r="EG9469"/>
      <c r="EH9469"/>
      <c r="EI9469"/>
      <c r="EJ9469"/>
      <c r="EK9469"/>
    </row>
    <row r="9470" spans="1:141" s="116" customFormat="1">
      <c r="A9470" s="136"/>
      <c r="CM9470" s="111"/>
      <c r="CQ9470" s="111"/>
      <c r="EF9470"/>
      <c r="EG9470"/>
      <c r="EH9470"/>
      <c r="EI9470"/>
      <c r="EJ9470"/>
      <c r="EK9470"/>
    </row>
    <row r="9471" spans="1:141" s="116" customFormat="1">
      <c r="A9471" s="136"/>
      <c r="CM9471" s="111"/>
      <c r="CQ9471" s="111"/>
      <c r="EF9471"/>
      <c r="EG9471"/>
      <c r="EH9471"/>
      <c r="EI9471"/>
      <c r="EJ9471"/>
      <c r="EK9471"/>
    </row>
    <row r="9472" spans="1:141" s="116" customFormat="1">
      <c r="A9472" s="136"/>
      <c r="CM9472" s="111"/>
      <c r="CQ9472" s="111"/>
      <c r="EF9472"/>
      <c r="EG9472"/>
      <c r="EH9472"/>
      <c r="EI9472"/>
      <c r="EJ9472"/>
      <c r="EK9472"/>
    </row>
    <row r="9473" spans="1:141" s="116" customFormat="1">
      <c r="A9473" s="136"/>
      <c r="CM9473" s="111"/>
      <c r="CQ9473" s="111"/>
      <c r="EF9473"/>
      <c r="EG9473"/>
      <c r="EH9473"/>
      <c r="EI9473"/>
      <c r="EJ9473"/>
      <c r="EK9473"/>
    </row>
    <row r="9474" spans="1:141" s="116" customFormat="1">
      <c r="A9474" s="136"/>
      <c r="CM9474" s="111"/>
      <c r="CQ9474" s="111"/>
      <c r="EF9474"/>
      <c r="EG9474"/>
      <c r="EH9474"/>
      <c r="EI9474"/>
      <c r="EJ9474"/>
      <c r="EK9474"/>
    </row>
    <row r="9475" spans="1:141" s="116" customFormat="1">
      <c r="A9475" s="136"/>
      <c r="CM9475" s="111"/>
      <c r="CQ9475" s="111"/>
      <c r="EF9475"/>
      <c r="EG9475"/>
      <c r="EH9475"/>
      <c r="EI9475"/>
      <c r="EJ9475"/>
      <c r="EK9475"/>
    </row>
    <row r="9476" spans="1:141" s="116" customFormat="1">
      <c r="A9476" s="136"/>
      <c r="CM9476" s="111"/>
      <c r="CQ9476" s="111"/>
      <c r="EF9476"/>
      <c r="EG9476"/>
      <c r="EH9476"/>
      <c r="EI9476"/>
      <c r="EJ9476"/>
      <c r="EK9476"/>
    </row>
    <row r="9477" spans="1:141" s="116" customFormat="1">
      <c r="A9477" s="136"/>
      <c r="CM9477" s="111"/>
      <c r="CQ9477" s="111"/>
      <c r="EF9477"/>
      <c r="EG9477"/>
      <c r="EH9477"/>
      <c r="EI9477"/>
      <c r="EJ9477"/>
      <c r="EK9477"/>
    </row>
    <row r="9478" spans="1:141" s="116" customFormat="1">
      <c r="A9478" s="136"/>
      <c r="CM9478" s="111"/>
      <c r="CQ9478" s="111"/>
      <c r="EF9478"/>
      <c r="EG9478"/>
      <c r="EH9478"/>
      <c r="EI9478"/>
      <c r="EJ9478"/>
      <c r="EK9478"/>
    </row>
    <row r="9479" spans="1:141" s="116" customFormat="1">
      <c r="A9479" s="136"/>
      <c r="CM9479" s="111"/>
      <c r="CQ9479" s="111"/>
      <c r="EF9479"/>
      <c r="EG9479"/>
      <c r="EH9479"/>
      <c r="EI9479"/>
      <c r="EJ9479"/>
      <c r="EK9479"/>
    </row>
    <row r="9480" spans="1:141" s="116" customFormat="1">
      <c r="A9480" s="136"/>
      <c r="CM9480" s="111"/>
      <c r="CQ9480" s="111"/>
      <c r="EF9480"/>
      <c r="EG9480"/>
      <c r="EH9480"/>
      <c r="EI9480"/>
      <c r="EJ9480"/>
      <c r="EK9480"/>
    </row>
    <row r="9481" spans="1:141" s="116" customFormat="1">
      <c r="A9481" s="136"/>
      <c r="CM9481" s="111"/>
      <c r="CQ9481" s="111"/>
      <c r="EF9481"/>
      <c r="EG9481"/>
      <c r="EH9481"/>
      <c r="EI9481"/>
      <c r="EJ9481"/>
      <c r="EK9481"/>
    </row>
    <row r="9482" spans="1:141" s="116" customFormat="1">
      <c r="A9482" s="136"/>
      <c r="CM9482" s="111"/>
      <c r="CQ9482" s="111"/>
      <c r="EF9482"/>
      <c r="EG9482"/>
      <c r="EH9482"/>
      <c r="EI9482"/>
      <c r="EJ9482"/>
      <c r="EK9482"/>
    </row>
    <row r="9483" spans="1:141" s="116" customFormat="1">
      <c r="A9483" s="136"/>
      <c r="CM9483" s="111"/>
      <c r="CQ9483" s="111"/>
      <c r="EF9483"/>
      <c r="EG9483"/>
      <c r="EH9483"/>
      <c r="EI9483"/>
      <c r="EJ9483"/>
      <c r="EK9483"/>
    </row>
    <row r="9484" spans="1:141" s="116" customFormat="1">
      <c r="A9484" s="136"/>
      <c r="CM9484" s="111"/>
      <c r="CQ9484" s="111"/>
      <c r="EF9484"/>
      <c r="EG9484"/>
      <c r="EH9484"/>
      <c r="EI9484"/>
      <c r="EJ9484"/>
      <c r="EK9484"/>
    </row>
    <row r="9485" spans="1:141" s="116" customFormat="1">
      <c r="A9485" s="136"/>
      <c r="CM9485" s="111"/>
      <c r="CQ9485" s="111"/>
      <c r="EF9485"/>
      <c r="EG9485"/>
      <c r="EH9485"/>
      <c r="EI9485"/>
      <c r="EJ9485"/>
      <c r="EK9485"/>
    </row>
    <row r="9486" spans="1:141" s="116" customFormat="1">
      <c r="A9486" s="136"/>
      <c r="CM9486" s="111"/>
      <c r="CQ9486" s="111"/>
      <c r="EF9486"/>
      <c r="EG9486"/>
      <c r="EH9486"/>
      <c r="EI9486"/>
      <c r="EJ9486"/>
      <c r="EK9486"/>
    </row>
    <row r="9487" spans="1:141" s="116" customFormat="1">
      <c r="A9487" s="136"/>
      <c r="CM9487" s="111"/>
      <c r="CQ9487" s="111"/>
      <c r="EF9487"/>
      <c r="EG9487"/>
      <c r="EH9487"/>
      <c r="EI9487"/>
      <c r="EJ9487"/>
      <c r="EK9487"/>
    </row>
    <row r="9488" spans="1:141" s="116" customFormat="1">
      <c r="A9488" s="136"/>
      <c r="CM9488" s="111"/>
      <c r="CQ9488" s="111"/>
      <c r="EF9488"/>
      <c r="EG9488"/>
      <c r="EH9488"/>
      <c r="EI9488"/>
      <c r="EJ9488"/>
      <c r="EK9488"/>
    </row>
    <row r="9489" spans="1:141" s="116" customFormat="1">
      <c r="A9489" s="136"/>
      <c r="CM9489" s="111"/>
      <c r="CQ9489" s="111"/>
      <c r="EF9489"/>
      <c r="EG9489"/>
      <c r="EH9489"/>
      <c r="EI9489"/>
      <c r="EJ9489"/>
      <c r="EK9489"/>
    </row>
    <row r="9490" spans="1:141" s="116" customFormat="1">
      <c r="A9490" s="136"/>
      <c r="CM9490" s="111"/>
      <c r="CQ9490" s="111"/>
      <c r="EF9490"/>
      <c r="EG9490"/>
      <c r="EH9490"/>
      <c r="EI9490"/>
      <c r="EJ9490"/>
      <c r="EK9490"/>
    </row>
    <row r="9491" spans="1:141" s="116" customFormat="1">
      <c r="A9491" s="136"/>
      <c r="CM9491" s="111"/>
      <c r="CQ9491" s="111"/>
      <c r="EF9491"/>
      <c r="EG9491"/>
      <c r="EH9491"/>
      <c r="EI9491"/>
      <c r="EJ9491"/>
      <c r="EK9491"/>
    </row>
    <row r="9492" spans="1:141" s="116" customFormat="1">
      <c r="A9492" s="136"/>
      <c r="CM9492" s="111"/>
      <c r="CQ9492" s="111"/>
      <c r="EF9492"/>
      <c r="EG9492"/>
      <c r="EH9492"/>
      <c r="EI9492"/>
      <c r="EJ9492"/>
      <c r="EK9492"/>
    </row>
    <row r="9493" spans="1:141" s="116" customFormat="1">
      <c r="A9493" s="136"/>
      <c r="CM9493" s="111"/>
      <c r="CQ9493" s="111"/>
      <c r="EF9493"/>
      <c r="EG9493"/>
      <c r="EH9493"/>
      <c r="EI9493"/>
      <c r="EJ9493"/>
      <c r="EK9493"/>
    </row>
    <row r="9494" spans="1:141" s="116" customFormat="1">
      <c r="A9494" s="136"/>
      <c r="CM9494" s="111"/>
      <c r="CQ9494" s="111"/>
      <c r="EF9494"/>
      <c r="EG9494"/>
      <c r="EH9494"/>
      <c r="EI9494"/>
      <c r="EJ9494"/>
      <c r="EK9494"/>
    </row>
    <row r="9495" spans="1:141" s="116" customFormat="1">
      <c r="A9495" s="136"/>
      <c r="CM9495" s="111"/>
      <c r="CQ9495" s="111"/>
      <c r="EF9495"/>
      <c r="EG9495"/>
      <c r="EH9495"/>
      <c r="EI9495"/>
      <c r="EJ9495"/>
      <c r="EK9495"/>
    </row>
    <row r="9496" spans="1:141" s="116" customFormat="1">
      <c r="A9496" s="136"/>
      <c r="CM9496" s="111"/>
      <c r="CQ9496" s="111"/>
      <c r="EF9496"/>
      <c r="EG9496"/>
      <c r="EH9496"/>
      <c r="EI9496"/>
      <c r="EJ9496"/>
      <c r="EK9496"/>
    </row>
    <row r="9497" spans="1:141" s="116" customFormat="1">
      <c r="A9497" s="136"/>
      <c r="CM9497" s="111"/>
      <c r="CQ9497" s="111"/>
      <c r="EF9497"/>
      <c r="EG9497"/>
      <c r="EH9497"/>
      <c r="EI9497"/>
      <c r="EJ9497"/>
      <c r="EK9497"/>
    </row>
    <row r="9498" spans="1:141" s="116" customFormat="1">
      <c r="A9498" s="136"/>
      <c r="CM9498" s="111"/>
      <c r="CQ9498" s="111"/>
      <c r="EF9498"/>
      <c r="EG9498"/>
      <c r="EH9498"/>
      <c r="EI9498"/>
      <c r="EJ9498"/>
      <c r="EK9498"/>
    </row>
    <row r="9499" spans="1:141" s="116" customFormat="1">
      <c r="A9499" s="136"/>
      <c r="CM9499" s="111"/>
      <c r="CQ9499" s="111"/>
      <c r="EF9499"/>
      <c r="EG9499"/>
      <c r="EH9499"/>
      <c r="EI9499"/>
      <c r="EJ9499"/>
      <c r="EK9499"/>
    </row>
    <row r="9500" spans="1:141" s="116" customFormat="1">
      <c r="A9500" s="136"/>
      <c r="CM9500" s="111"/>
      <c r="CQ9500" s="111"/>
      <c r="EF9500"/>
      <c r="EG9500"/>
      <c r="EH9500"/>
      <c r="EI9500"/>
      <c r="EJ9500"/>
      <c r="EK9500"/>
    </row>
    <row r="9501" spans="1:141" s="116" customFormat="1">
      <c r="A9501" s="136"/>
      <c r="CM9501" s="111"/>
      <c r="CQ9501" s="111"/>
      <c r="EF9501"/>
      <c r="EG9501"/>
      <c r="EH9501"/>
      <c r="EI9501"/>
      <c r="EJ9501"/>
      <c r="EK9501"/>
    </row>
    <row r="9502" spans="1:141" s="116" customFormat="1">
      <c r="A9502" s="136"/>
      <c r="CM9502" s="111"/>
      <c r="CQ9502" s="111"/>
      <c r="EF9502"/>
      <c r="EG9502"/>
      <c r="EH9502"/>
      <c r="EI9502"/>
      <c r="EJ9502"/>
      <c r="EK9502"/>
    </row>
    <row r="9503" spans="1:141" s="116" customFormat="1">
      <c r="A9503" s="136"/>
      <c r="CM9503" s="111"/>
      <c r="CQ9503" s="111"/>
      <c r="EF9503"/>
      <c r="EG9503"/>
      <c r="EH9503"/>
      <c r="EI9503"/>
      <c r="EJ9503"/>
      <c r="EK9503"/>
    </row>
    <row r="9504" spans="1:141" s="116" customFormat="1">
      <c r="A9504" s="136"/>
      <c r="CM9504" s="111"/>
      <c r="CQ9504" s="111"/>
      <c r="EF9504"/>
      <c r="EG9504"/>
      <c r="EH9504"/>
      <c r="EI9504"/>
      <c r="EJ9504"/>
      <c r="EK9504"/>
    </row>
    <row r="9505" spans="1:141" s="116" customFormat="1">
      <c r="A9505" s="136"/>
      <c r="CM9505" s="111"/>
      <c r="CQ9505" s="111"/>
      <c r="EF9505"/>
      <c r="EG9505"/>
      <c r="EH9505"/>
      <c r="EI9505"/>
      <c r="EJ9505"/>
      <c r="EK9505"/>
    </row>
    <row r="9506" spans="1:141" s="116" customFormat="1">
      <c r="A9506" s="136"/>
      <c r="CM9506" s="111"/>
      <c r="CQ9506" s="111"/>
      <c r="EF9506"/>
      <c r="EG9506"/>
      <c r="EH9506"/>
      <c r="EI9506"/>
      <c r="EJ9506"/>
      <c r="EK9506"/>
    </row>
    <row r="9507" spans="1:141" s="116" customFormat="1">
      <c r="A9507" s="136"/>
      <c r="CM9507" s="111"/>
      <c r="CQ9507" s="111"/>
      <c r="EF9507"/>
      <c r="EG9507"/>
      <c r="EH9507"/>
      <c r="EI9507"/>
      <c r="EJ9507"/>
      <c r="EK9507"/>
    </row>
    <row r="9508" spans="1:141" s="116" customFormat="1">
      <c r="A9508" s="136"/>
      <c r="CM9508" s="111"/>
      <c r="CQ9508" s="111"/>
      <c r="EF9508"/>
      <c r="EG9508"/>
      <c r="EH9508"/>
      <c r="EI9508"/>
      <c r="EJ9508"/>
      <c r="EK9508"/>
    </row>
    <row r="9509" spans="1:141" s="116" customFormat="1">
      <c r="A9509" s="136"/>
      <c r="CM9509" s="111"/>
      <c r="CQ9509" s="111"/>
      <c r="EF9509"/>
      <c r="EG9509"/>
      <c r="EH9509"/>
      <c r="EI9509"/>
      <c r="EJ9509"/>
      <c r="EK9509"/>
    </row>
    <row r="9510" spans="1:141" s="116" customFormat="1">
      <c r="A9510" s="136"/>
      <c r="CM9510" s="111"/>
      <c r="CQ9510" s="111"/>
      <c r="EF9510"/>
      <c r="EG9510"/>
      <c r="EH9510"/>
      <c r="EI9510"/>
      <c r="EJ9510"/>
      <c r="EK9510"/>
    </row>
    <row r="9511" spans="1:141" s="116" customFormat="1">
      <c r="A9511" s="136"/>
      <c r="CM9511" s="111"/>
      <c r="CQ9511" s="111"/>
      <c r="EF9511"/>
      <c r="EG9511"/>
      <c r="EH9511"/>
      <c r="EI9511"/>
      <c r="EJ9511"/>
      <c r="EK9511"/>
    </row>
    <row r="9512" spans="1:141" s="116" customFormat="1">
      <c r="A9512" s="136"/>
      <c r="CM9512" s="111"/>
      <c r="CQ9512" s="111"/>
      <c r="EF9512"/>
      <c r="EG9512"/>
      <c r="EH9512"/>
      <c r="EI9512"/>
      <c r="EJ9512"/>
      <c r="EK9512"/>
    </row>
    <row r="9513" spans="1:141" s="116" customFormat="1">
      <c r="A9513" s="136"/>
      <c r="CM9513" s="111"/>
      <c r="CQ9513" s="111"/>
      <c r="EF9513"/>
      <c r="EG9513"/>
      <c r="EH9513"/>
      <c r="EI9513"/>
      <c r="EJ9513"/>
      <c r="EK9513"/>
    </row>
    <row r="9514" spans="1:141" s="116" customFormat="1">
      <c r="A9514" s="136"/>
      <c r="CM9514" s="111"/>
      <c r="CQ9514" s="111"/>
      <c r="EF9514"/>
      <c r="EG9514"/>
      <c r="EH9514"/>
      <c r="EI9514"/>
      <c r="EJ9514"/>
      <c r="EK9514"/>
    </row>
    <row r="9515" spans="1:141" s="116" customFormat="1">
      <c r="A9515" s="136"/>
      <c r="CM9515" s="111"/>
      <c r="CQ9515" s="111"/>
      <c r="EF9515"/>
      <c r="EG9515"/>
      <c r="EH9515"/>
      <c r="EI9515"/>
      <c r="EJ9515"/>
      <c r="EK9515"/>
    </row>
    <row r="9516" spans="1:141" s="116" customFormat="1">
      <c r="A9516" s="136"/>
      <c r="CM9516" s="111"/>
      <c r="CQ9516" s="111"/>
      <c r="EF9516"/>
      <c r="EG9516"/>
      <c r="EH9516"/>
      <c r="EI9516"/>
      <c r="EJ9516"/>
      <c r="EK9516"/>
    </row>
    <row r="9517" spans="1:141" s="116" customFormat="1">
      <c r="A9517" s="136"/>
      <c r="CM9517" s="111"/>
      <c r="CQ9517" s="111"/>
      <c r="EF9517"/>
      <c r="EG9517"/>
      <c r="EH9517"/>
      <c r="EI9517"/>
      <c r="EJ9517"/>
      <c r="EK9517"/>
    </row>
    <row r="9518" spans="1:141" s="116" customFormat="1">
      <c r="A9518" s="136"/>
      <c r="CM9518" s="111"/>
      <c r="CQ9518" s="111"/>
      <c r="EF9518"/>
      <c r="EG9518"/>
      <c r="EH9518"/>
      <c r="EI9518"/>
      <c r="EJ9518"/>
      <c r="EK9518"/>
    </row>
    <row r="9519" spans="1:141" s="116" customFormat="1">
      <c r="A9519" s="136"/>
      <c r="CM9519" s="111"/>
      <c r="CQ9519" s="111"/>
      <c r="EF9519"/>
      <c r="EG9519"/>
      <c r="EH9519"/>
      <c r="EI9519"/>
      <c r="EJ9519"/>
      <c r="EK9519"/>
    </row>
    <row r="9520" spans="1:141" s="116" customFormat="1">
      <c r="A9520" s="136"/>
      <c r="CM9520" s="111"/>
      <c r="CQ9520" s="111"/>
      <c r="EF9520"/>
      <c r="EG9520"/>
      <c r="EH9520"/>
      <c r="EI9520"/>
      <c r="EJ9520"/>
      <c r="EK9520"/>
    </row>
    <row r="9521" spans="1:141" s="116" customFormat="1">
      <c r="A9521" s="136"/>
      <c r="CM9521" s="111"/>
      <c r="CQ9521" s="111"/>
      <c r="EF9521"/>
      <c r="EG9521"/>
      <c r="EH9521"/>
      <c r="EI9521"/>
      <c r="EJ9521"/>
      <c r="EK9521"/>
    </row>
    <row r="9522" spans="1:141" s="116" customFormat="1">
      <c r="A9522" s="136"/>
      <c r="CM9522" s="111"/>
      <c r="CQ9522" s="111"/>
      <c r="EF9522"/>
      <c r="EG9522"/>
      <c r="EH9522"/>
      <c r="EI9522"/>
      <c r="EJ9522"/>
      <c r="EK9522"/>
    </row>
    <row r="9523" spans="1:141" s="116" customFormat="1">
      <c r="A9523" s="136"/>
      <c r="CM9523" s="111"/>
      <c r="CQ9523" s="111"/>
      <c r="EF9523"/>
      <c r="EG9523"/>
      <c r="EH9523"/>
      <c r="EI9523"/>
      <c r="EJ9523"/>
      <c r="EK9523"/>
    </row>
    <row r="9524" spans="1:141" s="116" customFormat="1">
      <c r="A9524" s="136"/>
      <c r="CM9524" s="111"/>
      <c r="CQ9524" s="111"/>
      <c r="EF9524"/>
      <c r="EG9524"/>
      <c r="EH9524"/>
      <c r="EI9524"/>
      <c r="EJ9524"/>
      <c r="EK9524"/>
    </row>
    <row r="9525" spans="1:141" s="116" customFormat="1">
      <c r="A9525" s="136"/>
      <c r="CM9525" s="111"/>
      <c r="CQ9525" s="111"/>
      <c r="EF9525"/>
      <c r="EG9525"/>
      <c r="EH9525"/>
      <c r="EI9525"/>
      <c r="EJ9525"/>
      <c r="EK9525"/>
    </row>
    <row r="9526" spans="1:141" s="116" customFormat="1">
      <c r="A9526" s="136"/>
      <c r="CM9526" s="111"/>
      <c r="CQ9526" s="111"/>
      <c r="EF9526"/>
      <c r="EG9526"/>
      <c r="EH9526"/>
      <c r="EI9526"/>
      <c r="EJ9526"/>
      <c r="EK9526"/>
    </row>
    <row r="9527" spans="1:141" s="116" customFormat="1">
      <c r="A9527" s="136"/>
      <c r="CM9527" s="111"/>
      <c r="CQ9527" s="111"/>
      <c r="EF9527"/>
      <c r="EG9527"/>
      <c r="EH9527"/>
      <c r="EI9527"/>
      <c r="EJ9527"/>
      <c r="EK9527"/>
    </row>
    <row r="9528" spans="1:141" s="116" customFormat="1">
      <c r="A9528" s="136"/>
      <c r="CM9528" s="111"/>
      <c r="CQ9528" s="111"/>
      <c r="EF9528"/>
      <c r="EG9528"/>
      <c r="EH9528"/>
      <c r="EI9528"/>
      <c r="EJ9528"/>
      <c r="EK9528"/>
    </row>
    <row r="9529" spans="1:141" s="116" customFormat="1">
      <c r="A9529" s="136"/>
      <c r="CM9529" s="111"/>
      <c r="CQ9529" s="111"/>
      <c r="EF9529"/>
      <c r="EG9529"/>
      <c r="EH9529"/>
      <c r="EI9529"/>
      <c r="EJ9529"/>
      <c r="EK9529"/>
    </row>
    <row r="9530" spans="1:141" s="116" customFormat="1">
      <c r="A9530" s="136"/>
      <c r="CM9530" s="111"/>
      <c r="CQ9530" s="111"/>
      <c r="EF9530"/>
      <c r="EG9530"/>
      <c r="EH9530"/>
      <c r="EI9530"/>
      <c r="EJ9530"/>
      <c r="EK9530"/>
    </row>
    <row r="9531" spans="1:141" s="116" customFormat="1">
      <c r="A9531" s="136"/>
      <c r="CM9531" s="111"/>
      <c r="CQ9531" s="111"/>
      <c r="EF9531"/>
      <c r="EG9531"/>
      <c r="EH9531"/>
      <c r="EI9531"/>
      <c r="EJ9531"/>
      <c r="EK9531"/>
    </row>
    <row r="9532" spans="1:141" s="116" customFormat="1">
      <c r="A9532" s="136"/>
      <c r="CM9532" s="111"/>
      <c r="CQ9532" s="111"/>
      <c r="EF9532"/>
      <c r="EG9532"/>
      <c r="EH9532"/>
      <c r="EI9532"/>
      <c r="EJ9532"/>
      <c r="EK9532"/>
    </row>
    <row r="9533" spans="1:141" s="116" customFormat="1">
      <c r="A9533" s="136"/>
      <c r="CM9533" s="111"/>
      <c r="CQ9533" s="111"/>
      <c r="EF9533"/>
      <c r="EG9533"/>
      <c r="EH9533"/>
      <c r="EI9533"/>
      <c r="EJ9533"/>
      <c r="EK9533"/>
    </row>
    <row r="9534" spans="1:141" s="116" customFormat="1">
      <c r="A9534" s="136"/>
      <c r="CM9534" s="111"/>
      <c r="CQ9534" s="111"/>
      <c r="EF9534"/>
      <c r="EG9534"/>
      <c r="EH9534"/>
      <c r="EI9534"/>
      <c r="EJ9534"/>
      <c r="EK9534"/>
    </row>
    <row r="9535" spans="1:141" s="116" customFormat="1">
      <c r="A9535" s="136"/>
      <c r="CM9535" s="111"/>
      <c r="CQ9535" s="111"/>
      <c r="EF9535"/>
      <c r="EG9535"/>
      <c r="EH9535"/>
      <c r="EI9535"/>
      <c r="EJ9535"/>
      <c r="EK9535"/>
    </row>
    <row r="9536" spans="1:141" s="116" customFormat="1">
      <c r="A9536" s="136"/>
      <c r="CM9536" s="111"/>
      <c r="CQ9536" s="111"/>
      <c r="EF9536"/>
      <c r="EG9536"/>
      <c r="EH9536"/>
      <c r="EI9536"/>
      <c r="EJ9536"/>
      <c r="EK9536"/>
    </row>
    <row r="9537" spans="1:141" s="116" customFormat="1">
      <c r="A9537" s="136"/>
      <c r="CM9537" s="111"/>
      <c r="CQ9537" s="111"/>
      <c r="EF9537"/>
      <c r="EG9537"/>
      <c r="EH9537"/>
      <c r="EI9537"/>
      <c r="EJ9537"/>
      <c r="EK9537"/>
    </row>
    <row r="9538" spans="1:141" s="116" customFormat="1">
      <c r="A9538" s="136"/>
      <c r="CM9538" s="111"/>
      <c r="CQ9538" s="111"/>
      <c r="EF9538"/>
      <c r="EG9538"/>
      <c r="EH9538"/>
      <c r="EI9538"/>
      <c r="EJ9538"/>
      <c r="EK9538"/>
    </row>
    <row r="9539" spans="1:141" s="116" customFormat="1">
      <c r="A9539" s="136"/>
      <c r="CM9539" s="111"/>
      <c r="CQ9539" s="111"/>
      <c r="EF9539"/>
      <c r="EG9539"/>
      <c r="EH9539"/>
      <c r="EI9539"/>
      <c r="EJ9539"/>
      <c r="EK9539"/>
    </row>
    <row r="9540" spans="1:141" s="116" customFormat="1">
      <c r="A9540" s="136"/>
      <c r="CM9540" s="111"/>
      <c r="CQ9540" s="111"/>
      <c r="EF9540"/>
      <c r="EG9540"/>
      <c r="EH9540"/>
      <c r="EI9540"/>
      <c r="EJ9540"/>
      <c r="EK9540"/>
    </row>
    <row r="9541" spans="1:141" s="116" customFormat="1">
      <c r="A9541" s="136"/>
      <c r="CM9541" s="111"/>
      <c r="CQ9541" s="111"/>
      <c r="EF9541"/>
      <c r="EG9541"/>
      <c r="EH9541"/>
      <c r="EI9541"/>
      <c r="EJ9541"/>
      <c r="EK9541"/>
    </row>
    <row r="9542" spans="1:141" s="116" customFormat="1">
      <c r="A9542" s="136"/>
      <c r="CM9542" s="111"/>
      <c r="CQ9542" s="111"/>
      <c r="EF9542"/>
      <c r="EG9542"/>
      <c r="EH9542"/>
      <c r="EI9542"/>
      <c r="EJ9542"/>
      <c r="EK9542"/>
    </row>
    <row r="9543" spans="1:141" s="116" customFormat="1">
      <c r="A9543" s="136"/>
      <c r="CM9543" s="111"/>
      <c r="CQ9543" s="111"/>
      <c r="EF9543"/>
      <c r="EG9543"/>
      <c r="EH9543"/>
      <c r="EI9543"/>
      <c r="EJ9543"/>
      <c r="EK9543"/>
    </row>
    <row r="9544" spans="1:141" s="116" customFormat="1">
      <c r="A9544" s="136"/>
      <c r="CM9544" s="111"/>
      <c r="CQ9544" s="111"/>
      <c r="EF9544"/>
      <c r="EG9544"/>
      <c r="EH9544"/>
      <c r="EI9544"/>
      <c r="EJ9544"/>
      <c r="EK9544"/>
    </row>
    <row r="9545" spans="1:141" s="116" customFormat="1">
      <c r="A9545" s="136"/>
      <c r="CM9545" s="111"/>
      <c r="CQ9545" s="111"/>
      <c r="EF9545"/>
      <c r="EG9545"/>
      <c r="EH9545"/>
      <c r="EI9545"/>
      <c r="EJ9545"/>
      <c r="EK9545"/>
    </row>
    <row r="9546" spans="1:141" s="116" customFormat="1">
      <c r="A9546" s="136"/>
      <c r="CM9546" s="111"/>
      <c r="CQ9546" s="111"/>
      <c r="EF9546"/>
      <c r="EG9546"/>
      <c r="EH9546"/>
      <c r="EI9546"/>
      <c r="EJ9546"/>
      <c r="EK9546"/>
    </row>
    <row r="9547" spans="1:141" s="116" customFormat="1">
      <c r="A9547" s="136"/>
      <c r="CM9547" s="111"/>
      <c r="CQ9547" s="111"/>
      <c r="EF9547"/>
      <c r="EG9547"/>
      <c r="EH9547"/>
      <c r="EI9547"/>
      <c r="EJ9547"/>
      <c r="EK9547"/>
    </row>
    <row r="9548" spans="1:141" s="116" customFormat="1">
      <c r="A9548" s="136"/>
      <c r="CM9548" s="111"/>
      <c r="CQ9548" s="111"/>
      <c r="EF9548"/>
      <c r="EG9548"/>
      <c r="EH9548"/>
      <c r="EI9548"/>
      <c r="EJ9548"/>
      <c r="EK9548"/>
    </row>
    <row r="9549" spans="1:141" s="116" customFormat="1">
      <c r="A9549" s="136"/>
      <c r="CM9549" s="111"/>
      <c r="CQ9549" s="111"/>
      <c r="EF9549"/>
      <c r="EG9549"/>
      <c r="EH9549"/>
      <c r="EI9549"/>
      <c r="EJ9549"/>
      <c r="EK9549"/>
    </row>
    <row r="9550" spans="1:141" s="116" customFormat="1">
      <c r="A9550" s="136"/>
      <c r="CM9550" s="111"/>
      <c r="CQ9550" s="111"/>
      <c r="EF9550"/>
      <c r="EG9550"/>
      <c r="EH9550"/>
      <c r="EI9550"/>
      <c r="EJ9550"/>
      <c r="EK9550"/>
    </row>
    <row r="9551" spans="1:141" s="116" customFormat="1">
      <c r="A9551" s="136"/>
      <c r="CM9551" s="111"/>
      <c r="CQ9551" s="111"/>
      <c r="EF9551"/>
      <c r="EG9551"/>
      <c r="EH9551"/>
      <c r="EI9551"/>
      <c r="EJ9551"/>
      <c r="EK9551"/>
    </row>
    <row r="9552" spans="1:141" s="116" customFormat="1">
      <c r="A9552" s="136"/>
      <c r="CM9552" s="111"/>
      <c r="CQ9552" s="111"/>
      <c r="EF9552"/>
      <c r="EG9552"/>
      <c r="EH9552"/>
      <c r="EI9552"/>
      <c r="EJ9552"/>
      <c r="EK9552"/>
    </row>
    <row r="9553" spans="1:141" s="116" customFormat="1">
      <c r="A9553" s="136"/>
      <c r="CM9553" s="111"/>
      <c r="CQ9553" s="111"/>
      <c r="EF9553"/>
      <c r="EG9553"/>
      <c r="EH9553"/>
      <c r="EI9553"/>
      <c r="EJ9553"/>
      <c r="EK9553"/>
    </row>
    <row r="9554" spans="1:141" s="116" customFormat="1">
      <c r="A9554" s="136"/>
      <c r="CM9554" s="111"/>
      <c r="CQ9554" s="111"/>
      <c r="EF9554"/>
      <c r="EG9554"/>
      <c r="EH9554"/>
      <c r="EI9554"/>
      <c r="EJ9554"/>
      <c r="EK9554"/>
    </row>
    <row r="9555" spans="1:141" s="116" customFormat="1">
      <c r="A9555" s="136"/>
      <c r="CM9555" s="111"/>
      <c r="CQ9555" s="111"/>
      <c r="EF9555"/>
      <c r="EG9555"/>
      <c r="EH9555"/>
      <c r="EI9555"/>
      <c r="EJ9555"/>
      <c r="EK9555"/>
    </row>
    <row r="9556" spans="1:141" s="116" customFormat="1">
      <c r="A9556" s="136"/>
      <c r="CM9556" s="111"/>
      <c r="CQ9556" s="111"/>
      <c r="EF9556"/>
      <c r="EG9556"/>
      <c r="EH9556"/>
      <c r="EI9556"/>
      <c r="EJ9556"/>
      <c r="EK9556"/>
    </row>
    <row r="9557" spans="1:141" s="116" customFormat="1">
      <c r="A9557" s="136"/>
      <c r="CM9557" s="111"/>
      <c r="CQ9557" s="111"/>
      <c r="EF9557"/>
      <c r="EG9557"/>
      <c r="EH9557"/>
      <c r="EI9557"/>
      <c r="EJ9557"/>
      <c r="EK9557"/>
    </row>
    <row r="9558" spans="1:141" s="116" customFormat="1">
      <c r="A9558" s="136"/>
      <c r="CM9558" s="111"/>
      <c r="CQ9558" s="111"/>
      <c r="EF9558"/>
      <c r="EG9558"/>
      <c r="EH9558"/>
      <c r="EI9558"/>
      <c r="EJ9558"/>
      <c r="EK9558"/>
    </row>
    <row r="9559" spans="1:141" s="116" customFormat="1">
      <c r="A9559" s="136"/>
      <c r="CM9559" s="111"/>
      <c r="CQ9559" s="111"/>
      <c r="EF9559"/>
      <c r="EG9559"/>
      <c r="EH9559"/>
      <c r="EI9559"/>
      <c r="EJ9559"/>
      <c r="EK9559"/>
    </row>
    <row r="9560" spans="1:141" s="116" customFormat="1">
      <c r="A9560" s="136"/>
      <c r="CM9560" s="111"/>
      <c r="CQ9560" s="111"/>
      <c r="EF9560"/>
      <c r="EG9560"/>
      <c r="EH9560"/>
      <c r="EI9560"/>
      <c r="EJ9560"/>
      <c r="EK9560"/>
    </row>
    <row r="9561" spans="1:141" s="116" customFormat="1">
      <c r="A9561" s="136"/>
      <c r="CM9561" s="111"/>
      <c r="CQ9561" s="111"/>
      <c r="EF9561"/>
      <c r="EG9561"/>
      <c r="EH9561"/>
      <c r="EI9561"/>
      <c r="EJ9561"/>
      <c r="EK9561"/>
    </row>
    <row r="9562" spans="1:141" s="116" customFormat="1">
      <c r="A9562" s="136"/>
      <c r="CM9562" s="111"/>
      <c r="CQ9562" s="111"/>
      <c r="EF9562"/>
      <c r="EG9562"/>
      <c r="EH9562"/>
      <c r="EI9562"/>
      <c r="EJ9562"/>
      <c r="EK9562"/>
    </row>
    <row r="9563" spans="1:141" s="116" customFormat="1">
      <c r="A9563" s="136"/>
      <c r="CM9563" s="111"/>
      <c r="CQ9563" s="111"/>
      <c r="EF9563"/>
      <c r="EG9563"/>
      <c r="EH9563"/>
      <c r="EI9563"/>
      <c r="EJ9563"/>
      <c r="EK9563"/>
    </row>
    <row r="9564" spans="1:141" s="116" customFormat="1">
      <c r="A9564" s="136"/>
      <c r="CM9564" s="111"/>
      <c r="CQ9564" s="111"/>
      <c r="EF9564"/>
      <c r="EG9564"/>
      <c r="EH9564"/>
      <c r="EI9564"/>
      <c r="EJ9564"/>
      <c r="EK9564"/>
    </row>
    <row r="9565" spans="1:141" s="116" customFormat="1">
      <c r="A9565" s="136"/>
      <c r="CM9565" s="111"/>
      <c r="CQ9565" s="111"/>
      <c r="EF9565"/>
      <c r="EG9565"/>
      <c r="EH9565"/>
      <c r="EI9565"/>
      <c r="EJ9565"/>
      <c r="EK9565"/>
    </row>
    <row r="9566" spans="1:141" s="116" customFormat="1">
      <c r="A9566" s="136"/>
      <c r="CM9566" s="111"/>
      <c r="CQ9566" s="111"/>
      <c r="EF9566"/>
      <c r="EG9566"/>
      <c r="EH9566"/>
      <c r="EI9566"/>
      <c r="EJ9566"/>
      <c r="EK9566"/>
    </row>
    <row r="9567" spans="1:141" s="116" customFormat="1">
      <c r="A9567" s="136"/>
      <c r="CM9567" s="111"/>
      <c r="CQ9567" s="111"/>
      <c r="EF9567"/>
      <c r="EG9567"/>
      <c r="EH9567"/>
      <c r="EI9567"/>
      <c r="EJ9567"/>
      <c r="EK9567"/>
    </row>
    <row r="9568" spans="1:141" s="116" customFormat="1">
      <c r="A9568" s="136"/>
      <c r="CM9568" s="111"/>
      <c r="CQ9568" s="111"/>
      <c r="EF9568"/>
      <c r="EG9568"/>
      <c r="EH9568"/>
      <c r="EI9568"/>
      <c r="EJ9568"/>
      <c r="EK9568"/>
    </row>
    <row r="9569" spans="1:141" s="116" customFormat="1">
      <c r="A9569" s="136"/>
      <c r="CM9569" s="111"/>
      <c r="CQ9569" s="111"/>
      <c r="EF9569"/>
      <c r="EG9569"/>
      <c r="EH9569"/>
      <c r="EI9569"/>
      <c r="EJ9569"/>
      <c r="EK9569"/>
    </row>
    <row r="9570" spans="1:141" s="116" customFormat="1">
      <c r="A9570" s="136"/>
      <c r="CM9570" s="111"/>
      <c r="CQ9570" s="111"/>
      <c r="EF9570"/>
      <c r="EG9570"/>
      <c r="EH9570"/>
      <c r="EI9570"/>
      <c r="EJ9570"/>
      <c r="EK9570"/>
    </row>
    <row r="9571" spans="1:141" s="116" customFormat="1">
      <c r="A9571" s="136"/>
      <c r="CM9571" s="111"/>
      <c r="CQ9571" s="111"/>
      <c r="EF9571"/>
      <c r="EG9571"/>
      <c r="EH9571"/>
      <c r="EI9571"/>
      <c r="EJ9571"/>
      <c r="EK9571"/>
    </row>
    <row r="9572" spans="1:141" s="116" customFormat="1">
      <c r="A9572" s="136"/>
      <c r="CM9572" s="111"/>
      <c r="CQ9572" s="111"/>
      <c r="EF9572"/>
      <c r="EG9572"/>
      <c r="EH9572"/>
      <c r="EI9572"/>
      <c r="EJ9572"/>
      <c r="EK9572"/>
    </row>
    <row r="9573" spans="1:141" s="116" customFormat="1">
      <c r="A9573" s="136"/>
      <c r="CM9573" s="111"/>
      <c r="CQ9573" s="111"/>
      <c r="EF9573"/>
      <c r="EG9573"/>
      <c r="EH9573"/>
      <c r="EI9573"/>
      <c r="EJ9573"/>
      <c r="EK9573"/>
    </row>
    <row r="9574" spans="1:141" s="116" customFormat="1">
      <c r="A9574" s="136"/>
      <c r="CM9574" s="111"/>
      <c r="CQ9574" s="111"/>
      <c r="EF9574"/>
      <c r="EG9574"/>
      <c r="EH9574"/>
      <c r="EI9574"/>
      <c r="EJ9574"/>
      <c r="EK9574"/>
    </row>
    <row r="9575" spans="1:141" s="116" customFormat="1">
      <c r="A9575" s="136"/>
      <c r="CM9575" s="111"/>
      <c r="CQ9575" s="111"/>
      <c r="EF9575"/>
      <c r="EG9575"/>
      <c r="EH9575"/>
      <c r="EI9575"/>
      <c r="EJ9575"/>
      <c r="EK9575"/>
    </row>
    <row r="9576" spans="1:141" s="116" customFormat="1">
      <c r="A9576" s="136"/>
      <c r="CM9576" s="111"/>
      <c r="CQ9576" s="111"/>
      <c r="EF9576"/>
      <c r="EG9576"/>
      <c r="EH9576"/>
      <c r="EI9576"/>
      <c r="EJ9576"/>
      <c r="EK9576"/>
    </row>
    <row r="9577" spans="1:141" s="116" customFormat="1">
      <c r="A9577" s="136"/>
      <c r="CM9577" s="111"/>
      <c r="CQ9577" s="111"/>
      <c r="EF9577"/>
      <c r="EG9577"/>
      <c r="EH9577"/>
      <c r="EI9577"/>
      <c r="EJ9577"/>
      <c r="EK9577"/>
    </row>
    <row r="9578" spans="1:141" s="116" customFormat="1">
      <c r="A9578" s="136"/>
      <c r="CM9578" s="111"/>
      <c r="CQ9578" s="111"/>
      <c r="EF9578"/>
      <c r="EG9578"/>
      <c r="EH9578"/>
      <c r="EI9578"/>
      <c r="EJ9578"/>
      <c r="EK9578"/>
    </row>
    <row r="9579" spans="1:141" s="116" customFormat="1">
      <c r="A9579" s="136"/>
      <c r="CM9579" s="111"/>
      <c r="CQ9579" s="111"/>
      <c r="EF9579"/>
      <c r="EG9579"/>
      <c r="EH9579"/>
      <c r="EI9579"/>
      <c r="EJ9579"/>
      <c r="EK9579"/>
    </row>
    <row r="9580" spans="1:141" s="116" customFormat="1">
      <c r="A9580" s="136"/>
      <c r="CM9580" s="111"/>
      <c r="CQ9580" s="111"/>
      <c r="EF9580"/>
      <c r="EG9580"/>
      <c r="EH9580"/>
      <c r="EI9580"/>
      <c r="EJ9580"/>
      <c r="EK9580"/>
    </row>
    <row r="9581" spans="1:141" s="116" customFormat="1">
      <c r="A9581" s="136"/>
      <c r="CM9581" s="111"/>
      <c r="CQ9581" s="111"/>
      <c r="EF9581"/>
      <c r="EG9581"/>
      <c r="EH9581"/>
      <c r="EI9581"/>
      <c r="EJ9581"/>
      <c r="EK9581"/>
    </row>
    <row r="9582" spans="1:141" s="116" customFormat="1">
      <c r="A9582" s="136"/>
      <c r="CM9582" s="111"/>
      <c r="CQ9582" s="111"/>
      <c r="EF9582"/>
      <c r="EG9582"/>
      <c r="EH9582"/>
      <c r="EI9582"/>
      <c r="EJ9582"/>
      <c r="EK9582"/>
    </row>
    <row r="9583" spans="1:141" s="116" customFormat="1">
      <c r="A9583" s="136"/>
      <c r="CM9583" s="111"/>
      <c r="CQ9583" s="111"/>
      <c r="EF9583"/>
      <c r="EG9583"/>
      <c r="EH9583"/>
      <c r="EI9583"/>
      <c r="EJ9583"/>
      <c r="EK9583"/>
    </row>
    <row r="9584" spans="1:141" s="116" customFormat="1">
      <c r="A9584" s="136"/>
      <c r="CM9584" s="111"/>
      <c r="CQ9584" s="111"/>
      <c r="EF9584"/>
      <c r="EG9584"/>
      <c r="EH9584"/>
      <c r="EI9584"/>
      <c r="EJ9584"/>
      <c r="EK9584"/>
    </row>
    <row r="9585" spans="1:141" s="116" customFormat="1">
      <c r="A9585" s="136"/>
      <c r="CM9585" s="111"/>
      <c r="CQ9585" s="111"/>
      <c r="EF9585"/>
      <c r="EG9585"/>
      <c r="EH9585"/>
      <c r="EI9585"/>
      <c r="EJ9585"/>
      <c r="EK9585"/>
    </row>
    <row r="9586" spans="1:141" s="116" customFormat="1">
      <c r="A9586" s="136"/>
      <c r="CM9586" s="111"/>
      <c r="CQ9586" s="111"/>
      <c r="EF9586"/>
      <c r="EG9586"/>
      <c r="EH9586"/>
      <c r="EI9586"/>
      <c r="EJ9586"/>
      <c r="EK9586"/>
    </row>
    <row r="9587" spans="1:141" s="116" customFormat="1">
      <c r="A9587" s="136"/>
      <c r="CM9587" s="111"/>
      <c r="CQ9587" s="111"/>
      <c r="EF9587"/>
      <c r="EG9587"/>
      <c r="EH9587"/>
      <c r="EI9587"/>
      <c r="EJ9587"/>
      <c r="EK9587"/>
    </row>
    <row r="9588" spans="1:141" s="116" customFormat="1">
      <c r="A9588" s="136"/>
      <c r="CM9588" s="111"/>
      <c r="CQ9588" s="111"/>
      <c r="EF9588"/>
      <c r="EG9588"/>
      <c r="EH9588"/>
      <c r="EI9588"/>
      <c r="EJ9588"/>
      <c r="EK9588"/>
    </row>
    <row r="9589" spans="1:141" s="116" customFormat="1">
      <c r="A9589" s="136"/>
      <c r="CM9589" s="111"/>
      <c r="CQ9589" s="111"/>
      <c r="EF9589"/>
      <c r="EG9589"/>
      <c r="EH9589"/>
      <c r="EI9589"/>
      <c r="EJ9589"/>
      <c r="EK9589"/>
    </row>
    <row r="9590" spans="1:141" s="116" customFormat="1">
      <c r="A9590" s="136"/>
      <c r="CM9590" s="111"/>
      <c r="CQ9590" s="111"/>
      <c r="EF9590"/>
      <c r="EG9590"/>
      <c r="EH9590"/>
      <c r="EI9590"/>
      <c r="EJ9590"/>
      <c r="EK9590"/>
    </row>
    <row r="9591" spans="1:141" s="116" customFormat="1">
      <c r="A9591" s="136"/>
      <c r="CM9591" s="111"/>
      <c r="CQ9591" s="111"/>
      <c r="EF9591"/>
      <c r="EG9591"/>
      <c r="EH9591"/>
      <c r="EI9591"/>
      <c r="EJ9591"/>
      <c r="EK9591"/>
    </row>
    <row r="9592" spans="1:141" s="116" customFormat="1">
      <c r="A9592" s="136"/>
      <c r="CM9592" s="111"/>
      <c r="CQ9592" s="111"/>
      <c r="EF9592"/>
      <c r="EG9592"/>
      <c r="EH9592"/>
      <c r="EI9592"/>
      <c r="EJ9592"/>
      <c r="EK9592"/>
    </row>
    <row r="9593" spans="1:141" s="116" customFormat="1">
      <c r="A9593" s="136"/>
      <c r="CM9593" s="111"/>
      <c r="CQ9593" s="111"/>
      <c r="EF9593"/>
      <c r="EG9593"/>
      <c r="EH9593"/>
      <c r="EI9593"/>
      <c r="EJ9593"/>
      <c r="EK9593"/>
    </row>
    <row r="9594" spans="1:141" s="116" customFormat="1">
      <c r="A9594" s="136"/>
      <c r="CM9594" s="111"/>
      <c r="CQ9594" s="111"/>
      <c r="EF9594"/>
      <c r="EG9594"/>
      <c r="EH9594"/>
      <c r="EI9594"/>
      <c r="EJ9594"/>
      <c r="EK9594"/>
    </row>
    <row r="9595" spans="1:141" s="116" customFormat="1">
      <c r="A9595" s="136"/>
      <c r="CM9595" s="111"/>
      <c r="CQ9595" s="111"/>
      <c r="EF9595"/>
      <c r="EG9595"/>
      <c r="EH9595"/>
      <c r="EI9595"/>
      <c r="EJ9595"/>
      <c r="EK9595"/>
    </row>
    <row r="9596" spans="1:141" s="116" customFormat="1">
      <c r="A9596" s="136"/>
      <c r="CM9596" s="111"/>
      <c r="CQ9596" s="111"/>
      <c r="EF9596"/>
      <c r="EG9596"/>
      <c r="EH9596"/>
      <c r="EI9596"/>
      <c r="EJ9596"/>
      <c r="EK9596"/>
    </row>
    <row r="9597" spans="1:141" s="116" customFormat="1">
      <c r="A9597" s="136"/>
      <c r="CM9597" s="111"/>
      <c r="CQ9597" s="111"/>
      <c r="EF9597"/>
      <c r="EG9597"/>
      <c r="EH9597"/>
      <c r="EI9597"/>
      <c r="EJ9597"/>
      <c r="EK9597"/>
    </row>
    <row r="9598" spans="1:141" s="116" customFormat="1">
      <c r="A9598" s="136"/>
      <c r="CM9598" s="111"/>
      <c r="CQ9598" s="111"/>
      <c r="EF9598"/>
      <c r="EG9598"/>
      <c r="EH9598"/>
      <c r="EI9598"/>
      <c r="EJ9598"/>
      <c r="EK9598"/>
    </row>
    <row r="9599" spans="1:141" s="116" customFormat="1">
      <c r="A9599" s="136"/>
      <c r="CM9599" s="111"/>
      <c r="CQ9599" s="111"/>
      <c r="EF9599"/>
      <c r="EG9599"/>
      <c r="EH9599"/>
      <c r="EI9599"/>
      <c r="EJ9599"/>
      <c r="EK9599"/>
    </row>
    <row r="9600" spans="1:141" s="116" customFormat="1">
      <c r="A9600" s="136"/>
      <c r="CM9600" s="111"/>
      <c r="CQ9600" s="111"/>
      <c r="EF9600"/>
      <c r="EG9600"/>
      <c r="EH9600"/>
      <c r="EI9600"/>
      <c r="EJ9600"/>
      <c r="EK9600"/>
    </row>
    <row r="9601" spans="1:141" s="116" customFormat="1">
      <c r="A9601" s="136"/>
      <c r="CM9601" s="111"/>
      <c r="CQ9601" s="111"/>
      <c r="EF9601"/>
      <c r="EG9601"/>
      <c r="EH9601"/>
      <c r="EI9601"/>
      <c r="EJ9601"/>
      <c r="EK9601"/>
    </row>
    <row r="9602" spans="1:141" s="116" customFormat="1">
      <c r="A9602" s="136"/>
      <c r="CM9602" s="111"/>
      <c r="CQ9602" s="111"/>
      <c r="EF9602"/>
      <c r="EG9602"/>
      <c r="EH9602"/>
      <c r="EI9602"/>
      <c r="EJ9602"/>
      <c r="EK9602"/>
    </row>
    <row r="9603" spans="1:141" s="116" customFormat="1">
      <c r="A9603" s="136"/>
      <c r="CM9603" s="111"/>
      <c r="CQ9603" s="111"/>
      <c r="EF9603"/>
      <c r="EG9603"/>
      <c r="EH9603"/>
      <c r="EI9603"/>
      <c r="EJ9603"/>
      <c r="EK9603"/>
    </row>
    <row r="9604" spans="1:141" s="116" customFormat="1">
      <c r="A9604" s="136"/>
      <c r="CM9604" s="111"/>
      <c r="CQ9604" s="111"/>
      <c r="EF9604"/>
      <c r="EG9604"/>
      <c r="EH9604"/>
      <c r="EI9604"/>
      <c r="EJ9604"/>
      <c r="EK9604"/>
    </row>
    <row r="9605" spans="1:141" s="116" customFormat="1">
      <c r="A9605" s="136"/>
      <c r="CM9605" s="111"/>
      <c r="CQ9605" s="111"/>
      <c r="EF9605"/>
      <c r="EG9605"/>
      <c r="EH9605"/>
      <c r="EI9605"/>
      <c r="EJ9605"/>
      <c r="EK9605"/>
    </row>
    <row r="9606" spans="1:141" s="116" customFormat="1">
      <c r="A9606" s="136"/>
      <c r="CM9606" s="111"/>
      <c r="CQ9606" s="111"/>
      <c r="EF9606"/>
      <c r="EG9606"/>
      <c r="EH9606"/>
      <c r="EI9606"/>
      <c r="EJ9606"/>
      <c r="EK9606"/>
    </row>
    <row r="9607" spans="1:141" s="116" customFormat="1">
      <c r="A9607" s="136"/>
      <c r="CM9607" s="111"/>
      <c r="CQ9607" s="111"/>
      <c r="EF9607"/>
      <c r="EG9607"/>
      <c r="EH9607"/>
      <c r="EI9607"/>
      <c r="EJ9607"/>
      <c r="EK9607"/>
    </row>
    <row r="9608" spans="1:141" s="116" customFormat="1">
      <c r="A9608" s="136"/>
      <c r="CM9608" s="111"/>
      <c r="CQ9608" s="111"/>
      <c r="EF9608"/>
      <c r="EG9608"/>
      <c r="EH9608"/>
      <c r="EI9608"/>
      <c r="EJ9608"/>
      <c r="EK9608"/>
    </row>
    <row r="9609" spans="1:141" s="116" customFormat="1">
      <c r="A9609" s="136"/>
      <c r="CM9609" s="111"/>
      <c r="CQ9609" s="111"/>
      <c r="EF9609"/>
      <c r="EG9609"/>
      <c r="EH9609"/>
      <c r="EI9609"/>
      <c r="EJ9609"/>
      <c r="EK9609"/>
    </row>
    <row r="9610" spans="1:141" s="116" customFormat="1">
      <c r="A9610" s="136"/>
      <c r="CM9610" s="111"/>
      <c r="CQ9610" s="111"/>
      <c r="EF9610"/>
      <c r="EG9610"/>
      <c r="EH9610"/>
      <c r="EI9610"/>
      <c r="EJ9610"/>
      <c r="EK9610"/>
    </row>
    <row r="9611" spans="1:141" s="116" customFormat="1">
      <c r="A9611" s="136"/>
      <c r="CM9611" s="111"/>
      <c r="CQ9611" s="111"/>
      <c r="EF9611"/>
      <c r="EG9611"/>
      <c r="EH9611"/>
      <c r="EI9611"/>
      <c r="EJ9611"/>
      <c r="EK9611"/>
    </row>
    <row r="9612" spans="1:141" s="116" customFormat="1">
      <c r="A9612" s="136"/>
      <c r="CM9612" s="111"/>
      <c r="CQ9612" s="111"/>
      <c r="EF9612"/>
      <c r="EG9612"/>
      <c r="EH9612"/>
      <c r="EI9612"/>
      <c r="EJ9612"/>
      <c r="EK9612"/>
    </row>
    <row r="9613" spans="1:141" s="116" customFormat="1">
      <c r="A9613" s="136"/>
      <c r="CM9613" s="111"/>
      <c r="CQ9613" s="111"/>
      <c r="EF9613"/>
      <c r="EG9613"/>
      <c r="EH9613"/>
      <c r="EI9613"/>
      <c r="EJ9613"/>
      <c r="EK9613"/>
    </row>
    <row r="9614" spans="1:141" s="116" customFormat="1">
      <c r="A9614" s="136"/>
      <c r="CM9614" s="111"/>
      <c r="CQ9614" s="111"/>
      <c r="EF9614"/>
      <c r="EG9614"/>
      <c r="EH9614"/>
      <c r="EI9614"/>
      <c r="EJ9614"/>
      <c r="EK9614"/>
    </row>
    <row r="9615" spans="1:141" s="116" customFormat="1">
      <c r="A9615" s="136"/>
      <c r="CM9615" s="111"/>
      <c r="CQ9615" s="111"/>
      <c r="EF9615"/>
      <c r="EG9615"/>
      <c r="EH9615"/>
      <c r="EI9615"/>
      <c r="EJ9615"/>
      <c r="EK9615"/>
    </row>
    <row r="9616" spans="1:141" s="116" customFormat="1">
      <c r="A9616" s="136"/>
      <c r="CM9616" s="111"/>
      <c r="CQ9616" s="111"/>
      <c r="EF9616"/>
      <c r="EG9616"/>
      <c r="EH9616"/>
      <c r="EI9616"/>
      <c r="EJ9616"/>
      <c r="EK9616"/>
    </row>
    <row r="9617" spans="1:141" s="116" customFormat="1">
      <c r="A9617" s="136"/>
      <c r="CM9617" s="111"/>
      <c r="CQ9617" s="111"/>
      <c r="EF9617"/>
      <c r="EG9617"/>
      <c r="EH9617"/>
      <c r="EI9617"/>
      <c r="EJ9617"/>
      <c r="EK9617"/>
    </row>
    <row r="9618" spans="1:141" s="116" customFormat="1">
      <c r="A9618" s="136"/>
      <c r="CM9618" s="111"/>
      <c r="CQ9618" s="111"/>
      <c r="EF9618"/>
      <c r="EG9618"/>
      <c r="EH9618"/>
      <c r="EI9618"/>
      <c r="EJ9618"/>
      <c r="EK9618"/>
    </row>
    <row r="9619" spans="1:141" s="116" customFormat="1">
      <c r="A9619" s="136"/>
      <c r="CM9619" s="111"/>
      <c r="CQ9619" s="111"/>
      <c r="EF9619"/>
      <c r="EG9619"/>
      <c r="EH9619"/>
      <c r="EI9619"/>
      <c r="EJ9619"/>
      <c r="EK9619"/>
    </row>
    <row r="9620" spans="1:141" s="116" customFormat="1">
      <c r="A9620" s="136"/>
      <c r="CM9620" s="111"/>
      <c r="CQ9620" s="111"/>
      <c r="EF9620"/>
      <c r="EG9620"/>
      <c r="EH9620"/>
      <c r="EI9620"/>
      <c r="EJ9620"/>
      <c r="EK9620"/>
    </row>
    <row r="9621" spans="1:141" s="116" customFormat="1">
      <c r="A9621" s="136"/>
      <c r="CM9621" s="111"/>
      <c r="CQ9621" s="111"/>
      <c r="EF9621"/>
      <c r="EG9621"/>
      <c r="EH9621"/>
      <c r="EI9621"/>
      <c r="EJ9621"/>
      <c r="EK9621"/>
    </row>
    <row r="9622" spans="1:141" s="116" customFormat="1">
      <c r="A9622" s="136"/>
      <c r="CM9622" s="111"/>
      <c r="CQ9622" s="111"/>
      <c r="EF9622"/>
      <c r="EG9622"/>
      <c r="EH9622"/>
      <c r="EI9622"/>
      <c r="EJ9622"/>
      <c r="EK9622"/>
    </row>
    <row r="9623" spans="1:141" s="116" customFormat="1">
      <c r="A9623" s="136"/>
      <c r="CM9623" s="111"/>
      <c r="CQ9623" s="111"/>
      <c r="EF9623"/>
      <c r="EG9623"/>
      <c r="EH9623"/>
      <c r="EI9623"/>
      <c r="EJ9623"/>
      <c r="EK9623"/>
    </row>
    <row r="9624" spans="1:141" s="116" customFormat="1">
      <c r="A9624" s="136"/>
      <c r="CM9624" s="111"/>
      <c r="CQ9624" s="111"/>
      <c r="EF9624"/>
      <c r="EG9624"/>
      <c r="EH9624"/>
      <c r="EI9624"/>
      <c r="EJ9624"/>
      <c r="EK9624"/>
    </row>
    <row r="9625" spans="1:141" s="116" customFormat="1">
      <c r="A9625" s="136"/>
      <c r="CM9625" s="111"/>
      <c r="CQ9625" s="111"/>
      <c r="EF9625"/>
      <c r="EG9625"/>
      <c r="EH9625"/>
      <c r="EI9625"/>
      <c r="EJ9625"/>
      <c r="EK9625"/>
    </row>
    <row r="9626" spans="1:141" s="116" customFormat="1">
      <c r="A9626" s="136"/>
      <c r="CM9626" s="111"/>
      <c r="CQ9626" s="111"/>
      <c r="EF9626"/>
      <c r="EG9626"/>
      <c r="EH9626"/>
      <c r="EI9626"/>
      <c r="EJ9626"/>
      <c r="EK9626"/>
    </row>
    <row r="9627" spans="1:141" s="116" customFormat="1">
      <c r="A9627" s="136"/>
      <c r="CM9627" s="111"/>
      <c r="CQ9627" s="111"/>
      <c r="EF9627"/>
      <c r="EG9627"/>
      <c r="EH9627"/>
      <c r="EI9627"/>
      <c r="EJ9627"/>
      <c r="EK9627"/>
    </row>
    <row r="9628" spans="1:141" s="116" customFormat="1">
      <c r="A9628" s="136"/>
      <c r="CM9628" s="111"/>
      <c r="CQ9628" s="111"/>
      <c r="EF9628"/>
      <c r="EG9628"/>
      <c r="EH9628"/>
      <c r="EI9628"/>
      <c r="EJ9628"/>
      <c r="EK9628"/>
    </row>
    <row r="9629" spans="1:141" s="116" customFormat="1">
      <c r="A9629" s="136"/>
      <c r="CM9629" s="111"/>
      <c r="CQ9629" s="111"/>
      <c r="EF9629"/>
      <c r="EG9629"/>
      <c r="EH9629"/>
      <c r="EI9629"/>
      <c r="EJ9629"/>
      <c r="EK9629"/>
    </row>
    <row r="9630" spans="1:141" s="116" customFormat="1">
      <c r="A9630" s="136"/>
      <c r="CM9630" s="111"/>
      <c r="CQ9630" s="111"/>
      <c r="EF9630"/>
      <c r="EG9630"/>
      <c r="EH9630"/>
      <c r="EI9630"/>
      <c r="EJ9630"/>
      <c r="EK9630"/>
    </row>
    <row r="9631" spans="1:141" s="116" customFormat="1">
      <c r="A9631" s="136"/>
      <c r="CM9631" s="111"/>
      <c r="CQ9631" s="111"/>
      <c r="EF9631"/>
      <c r="EG9631"/>
      <c r="EH9631"/>
      <c r="EI9631"/>
      <c r="EJ9631"/>
      <c r="EK9631"/>
    </row>
    <row r="9632" spans="1:141" s="116" customFormat="1">
      <c r="A9632" s="136"/>
      <c r="CM9632" s="111"/>
      <c r="CQ9632" s="111"/>
      <c r="EF9632"/>
      <c r="EG9632"/>
      <c r="EH9632"/>
      <c r="EI9632"/>
      <c r="EJ9632"/>
      <c r="EK9632"/>
    </row>
    <row r="9633" spans="1:141" s="116" customFormat="1">
      <c r="A9633" s="136"/>
      <c r="CM9633" s="111"/>
      <c r="CQ9633" s="111"/>
      <c r="EF9633"/>
      <c r="EG9633"/>
      <c r="EH9633"/>
      <c r="EI9633"/>
      <c r="EJ9633"/>
      <c r="EK9633"/>
    </row>
    <row r="9634" spans="1:141" s="116" customFormat="1">
      <c r="A9634" s="136"/>
      <c r="CM9634" s="111"/>
      <c r="CQ9634" s="111"/>
      <c r="EF9634"/>
      <c r="EG9634"/>
      <c r="EH9634"/>
      <c r="EI9634"/>
      <c r="EJ9634"/>
      <c r="EK9634"/>
    </row>
    <row r="9635" spans="1:141" s="116" customFormat="1">
      <c r="A9635" s="136"/>
      <c r="CM9635" s="111"/>
      <c r="CQ9635" s="111"/>
      <c r="EF9635"/>
      <c r="EG9635"/>
      <c r="EH9635"/>
      <c r="EI9635"/>
      <c r="EJ9635"/>
      <c r="EK9635"/>
    </row>
    <row r="9636" spans="1:141" s="116" customFormat="1">
      <c r="A9636" s="136"/>
      <c r="CM9636" s="111"/>
      <c r="CQ9636" s="111"/>
      <c r="EF9636"/>
      <c r="EG9636"/>
      <c r="EH9636"/>
      <c r="EI9636"/>
      <c r="EJ9636"/>
      <c r="EK9636"/>
    </row>
    <row r="9637" spans="1:141" s="116" customFormat="1">
      <c r="A9637" s="136"/>
      <c r="CM9637" s="111"/>
      <c r="CQ9637" s="111"/>
      <c r="EF9637"/>
      <c r="EG9637"/>
      <c r="EH9637"/>
      <c r="EI9637"/>
      <c r="EJ9637"/>
      <c r="EK9637"/>
    </row>
    <row r="9638" spans="1:141" s="116" customFormat="1">
      <c r="A9638" s="136"/>
      <c r="CM9638" s="111"/>
      <c r="CQ9638" s="111"/>
      <c r="EF9638"/>
      <c r="EG9638"/>
      <c r="EH9638"/>
      <c r="EI9638"/>
      <c r="EJ9638"/>
      <c r="EK9638"/>
    </row>
    <row r="9639" spans="1:141" s="116" customFormat="1">
      <c r="A9639" s="136"/>
      <c r="CM9639" s="111"/>
      <c r="CQ9639" s="111"/>
      <c r="EF9639"/>
      <c r="EG9639"/>
      <c r="EH9639"/>
      <c r="EI9639"/>
      <c r="EJ9639"/>
      <c r="EK9639"/>
    </row>
    <row r="9640" spans="1:141" s="116" customFormat="1">
      <c r="A9640" s="136"/>
      <c r="CM9640" s="111"/>
      <c r="CQ9640" s="111"/>
      <c r="EF9640"/>
      <c r="EG9640"/>
      <c r="EH9640"/>
      <c r="EI9640"/>
      <c r="EJ9640"/>
      <c r="EK9640"/>
    </row>
    <row r="9641" spans="1:141" s="116" customFormat="1">
      <c r="A9641" s="136"/>
      <c r="CM9641" s="111"/>
      <c r="CQ9641" s="111"/>
      <c r="EF9641"/>
      <c r="EG9641"/>
      <c r="EH9641"/>
      <c r="EI9641"/>
      <c r="EJ9641"/>
      <c r="EK9641"/>
    </row>
    <row r="9642" spans="1:141" s="116" customFormat="1">
      <c r="A9642" s="136"/>
      <c r="CM9642" s="111"/>
      <c r="CQ9642" s="111"/>
      <c r="EF9642"/>
      <c r="EG9642"/>
      <c r="EH9642"/>
      <c r="EI9642"/>
      <c r="EJ9642"/>
      <c r="EK9642"/>
    </row>
    <row r="9643" spans="1:141" s="116" customFormat="1">
      <c r="A9643" s="136"/>
      <c r="CM9643" s="111"/>
      <c r="CQ9643" s="111"/>
      <c r="EF9643"/>
      <c r="EG9643"/>
      <c r="EH9643"/>
      <c r="EI9643"/>
      <c r="EJ9643"/>
      <c r="EK9643"/>
    </row>
    <row r="9644" spans="1:141" s="116" customFormat="1">
      <c r="A9644" s="136"/>
      <c r="CM9644" s="111"/>
      <c r="CQ9644" s="111"/>
      <c r="EF9644"/>
      <c r="EG9644"/>
      <c r="EH9644"/>
      <c r="EI9644"/>
      <c r="EJ9644"/>
      <c r="EK9644"/>
    </row>
    <row r="9645" spans="1:141" s="116" customFormat="1">
      <c r="A9645" s="136"/>
      <c r="CM9645" s="111"/>
      <c r="CQ9645" s="111"/>
      <c r="EF9645"/>
      <c r="EG9645"/>
      <c r="EH9645"/>
      <c r="EI9645"/>
      <c r="EJ9645"/>
      <c r="EK9645"/>
    </row>
    <row r="9646" spans="1:141" s="116" customFormat="1">
      <c r="A9646" s="136"/>
      <c r="CM9646" s="111"/>
      <c r="CQ9646" s="111"/>
      <c r="EF9646"/>
      <c r="EG9646"/>
      <c r="EH9646"/>
      <c r="EI9646"/>
      <c r="EJ9646"/>
      <c r="EK9646"/>
    </row>
    <row r="9647" spans="1:141" s="116" customFormat="1">
      <c r="A9647" s="136"/>
      <c r="CM9647" s="111"/>
      <c r="CQ9647" s="111"/>
      <c r="EF9647"/>
      <c r="EG9647"/>
      <c r="EH9647"/>
      <c r="EI9647"/>
      <c r="EJ9647"/>
      <c r="EK9647"/>
    </row>
    <row r="9648" spans="1:141" s="116" customFormat="1">
      <c r="A9648" s="136"/>
      <c r="CM9648" s="111"/>
      <c r="CQ9648" s="111"/>
      <c r="EF9648"/>
      <c r="EG9648"/>
      <c r="EH9648"/>
      <c r="EI9648"/>
      <c r="EJ9648"/>
      <c r="EK9648"/>
    </row>
    <row r="9649" spans="1:141" s="116" customFormat="1">
      <c r="A9649" s="136"/>
      <c r="CM9649" s="111"/>
      <c r="CQ9649" s="111"/>
      <c r="EF9649"/>
      <c r="EG9649"/>
      <c r="EH9649"/>
      <c r="EI9649"/>
      <c r="EJ9649"/>
      <c r="EK9649"/>
    </row>
    <row r="9650" spans="1:141" s="116" customFormat="1">
      <c r="A9650" s="136"/>
      <c r="CM9650" s="111"/>
      <c r="CQ9650" s="111"/>
      <c r="EF9650"/>
      <c r="EG9650"/>
      <c r="EH9650"/>
      <c r="EI9650"/>
      <c r="EJ9650"/>
      <c r="EK9650"/>
    </row>
    <row r="9651" spans="1:141" s="116" customFormat="1">
      <c r="A9651" s="136"/>
      <c r="CM9651" s="111"/>
      <c r="CQ9651" s="111"/>
      <c r="EF9651"/>
      <c r="EG9651"/>
      <c r="EH9651"/>
      <c r="EI9651"/>
      <c r="EJ9651"/>
      <c r="EK9651"/>
    </row>
    <row r="9652" spans="1:141" s="116" customFormat="1">
      <c r="A9652" s="136"/>
      <c r="CM9652" s="111"/>
      <c r="CQ9652" s="111"/>
      <c r="EF9652"/>
      <c r="EG9652"/>
      <c r="EH9652"/>
      <c r="EI9652"/>
      <c r="EJ9652"/>
      <c r="EK9652"/>
    </row>
    <row r="9653" spans="1:141" s="116" customFormat="1">
      <c r="A9653" s="136"/>
      <c r="CM9653" s="111"/>
      <c r="CQ9653" s="111"/>
      <c r="EF9653"/>
      <c r="EG9653"/>
      <c r="EH9653"/>
      <c r="EI9653"/>
      <c r="EJ9653"/>
      <c r="EK9653"/>
    </row>
    <row r="9654" spans="1:141" s="116" customFormat="1">
      <c r="A9654" s="136"/>
      <c r="CM9654" s="111"/>
      <c r="CQ9654" s="111"/>
      <c r="EF9654"/>
      <c r="EG9654"/>
      <c r="EH9654"/>
      <c r="EI9654"/>
      <c r="EJ9654"/>
      <c r="EK9654"/>
    </row>
    <row r="9655" spans="1:141" s="116" customFormat="1">
      <c r="A9655" s="136"/>
      <c r="CM9655" s="111"/>
      <c r="CQ9655" s="111"/>
      <c r="EF9655"/>
      <c r="EG9655"/>
      <c r="EH9655"/>
      <c r="EI9655"/>
      <c r="EJ9655"/>
      <c r="EK9655"/>
    </row>
    <row r="9656" spans="1:141" s="116" customFormat="1">
      <c r="A9656" s="136"/>
      <c r="CM9656" s="111"/>
      <c r="CQ9656" s="111"/>
      <c r="EF9656"/>
      <c r="EG9656"/>
      <c r="EH9656"/>
      <c r="EI9656"/>
      <c r="EJ9656"/>
      <c r="EK9656"/>
    </row>
    <row r="9657" spans="1:141" s="116" customFormat="1">
      <c r="A9657" s="136"/>
      <c r="CM9657" s="111"/>
      <c r="CQ9657" s="111"/>
      <c r="EF9657"/>
      <c r="EG9657"/>
      <c r="EH9657"/>
      <c r="EI9657"/>
      <c r="EJ9657"/>
      <c r="EK9657"/>
    </row>
    <row r="9658" spans="1:141" s="116" customFormat="1">
      <c r="A9658" s="136"/>
      <c r="CM9658" s="111"/>
      <c r="CQ9658" s="111"/>
      <c r="EF9658"/>
      <c r="EG9658"/>
      <c r="EH9658"/>
      <c r="EI9658"/>
      <c r="EJ9658"/>
      <c r="EK9658"/>
    </row>
    <row r="9659" spans="1:141" s="116" customFormat="1">
      <c r="A9659" s="136"/>
      <c r="CM9659" s="111"/>
      <c r="CQ9659" s="111"/>
      <c r="EF9659"/>
      <c r="EG9659"/>
      <c r="EH9659"/>
      <c r="EI9659"/>
      <c r="EJ9659"/>
      <c r="EK9659"/>
    </row>
    <row r="9660" spans="1:141" s="116" customFormat="1">
      <c r="A9660" s="136"/>
      <c r="CM9660" s="111"/>
      <c r="CQ9660" s="111"/>
      <c r="EF9660"/>
      <c r="EG9660"/>
      <c r="EH9660"/>
      <c r="EI9660"/>
      <c r="EJ9660"/>
      <c r="EK9660"/>
    </row>
    <row r="9661" spans="1:141" s="116" customFormat="1">
      <c r="A9661" s="136"/>
      <c r="CM9661" s="111"/>
      <c r="CQ9661" s="111"/>
      <c r="EF9661"/>
      <c r="EG9661"/>
      <c r="EH9661"/>
      <c r="EI9661"/>
      <c r="EJ9661"/>
      <c r="EK9661"/>
    </row>
    <row r="9662" spans="1:141" s="116" customFormat="1">
      <c r="A9662" s="136"/>
      <c r="CM9662" s="111"/>
      <c r="CQ9662" s="111"/>
      <c r="EF9662"/>
      <c r="EG9662"/>
      <c r="EH9662"/>
      <c r="EI9662"/>
      <c r="EJ9662"/>
      <c r="EK9662"/>
    </row>
    <row r="9663" spans="1:141" s="116" customFormat="1">
      <c r="A9663" s="136"/>
      <c r="CM9663" s="111"/>
      <c r="CQ9663" s="111"/>
      <c r="EF9663"/>
      <c r="EG9663"/>
      <c r="EH9663"/>
      <c r="EI9663"/>
      <c r="EJ9663"/>
      <c r="EK9663"/>
    </row>
    <row r="9664" spans="1:141" s="116" customFormat="1">
      <c r="A9664" s="136"/>
      <c r="CM9664" s="111"/>
      <c r="CQ9664" s="111"/>
      <c r="EF9664"/>
      <c r="EG9664"/>
      <c r="EH9664"/>
      <c r="EI9664"/>
      <c r="EJ9664"/>
      <c r="EK9664"/>
    </row>
    <row r="9665" spans="1:141" s="116" customFormat="1">
      <c r="A9665" s="136"/>
      <c r="CM9665" s="111"/>
      <c r="CQ9665" s="111"/>
      <c r="EF9665"/>
      <c r="EG9665"/>
      <c r="EH9665"/>
      <c r="EI9665"/>
      <c r="EJ9665"/>
      <c r="EK9665"/>
    </row>
    <row r="9666" spans="1:141" s="116" customFormat="1">
      <c r="A9666" s="136"/>
      <c r="CM9666" s="111"/>
      <c r="CQ9666" s="111"/>
      <c r="EF9666"/>
      <c r="EG9666"/>
      <c r="EH9666"/>
      <c r="EI9666"/>
      <c r="EJ9666"/>
      <c r="EK9666"/>
    </row>
    <row r="9667" spans="1:141" s="116" customFormat="1">
      <c r="A9667" s="136"/>
      <c r="CM9667" s="111"/>
      <c r="CQ9667" s="111"/>
      <c r="EF9667"/>
      <c r="EG9667"/>
      <c r="EH9667"/>
      <c r="EI9667"/>
      <c r="EJ9667"/>
      <c r="EK9667"/>
    </row>
    <row r="9668" spans="1:141" s="116" customFormat="1">
      <c r="A9668" s="136"/>
      <c r="CM9668" s="111"/>
      <c r="CQ9668" s="111"/>
      <c r="EF9668"/>
      <c r="EG9668"/>
      <c r="EH9668"/>
      <c r="EI9668"/>
      <c r="EJ9668"/>
      <c r="EK9668"/>
    </row>
    <row r="9669" spans="1:141" s="116" customFormat="1">
      <c r="A9669" s="136"/>
      <c r="CM9669" s="111"/>
      <c r="CQ9669" s="111"/>
      <c r="EF9669"/>
      <c r="EG9669"/>
      <c r="EH9669"/>
      <c r="EI9669"/>
      <c r="EJ9669"/>
      <c r="EK9669"/>
    </row>
    <row r="9670" spans="1:141" s="116" customFormat="1">
      <c r="A9670" s="136"/>
      <c r="CM9670" s="111"/>
      <c r="CQ9670" s="111"/>
      <c r="EF9670"/>
      <c r="EG9670"/>
      <c r="EH9670"/>
      <c r="EI9670"/>
      <c r="EJ9670"/>
      <c r="EK9670"/>
    </row>
    <row r="9671" spans="1:141" s="116" customFormat="1">
      <c r="A9671" s="136"/>
      <c r="CM9671" s="111"/>
      <c r="CQ9671" s="111"/>
      <c r="EF9671"/>
      <c r="EG9671"/>
      <c r="EH9671"/>
      <c r="EI9671"/>
      <c r="EJ9671"/>
      <c r="EK9671"/>
    </row>
    <row r="9672" spans="1:141" s="116" customFormat="1">
      <c r="A9672" s="136"/>
      <c r="CM9672" s="111"/>
      <c r="CQ9672" s="111"/>
      <c r="EF9672"/>
      <c r="EG9672"/>
      <c r="EH9672"/>
      <c r="EI9672"/>
      <c r="EJ9672"/>
      <c r="EK9672"/>
    </row>
    <row r="9673" spans="1:141" s="116" customFormat="1">
      <c r="A9673" s="136"/>
      <c r="CM9673" s="111"/>
      <c r="CQ9673" s="111"/>
      <c r="EF9673"/>
      <c r="EG9673"/>
      <c r="EH9673"/>
      <c r="EI9673"/>
      <c r="EJ9673"/>
      <c r="EK9673"/>
    </row>
    <row r="9674" spans="1:141" s="116" customFormat="1">
      <c r="A9674" s="136"/>
      <c r="CM9674" s="111"/>
      <c r="CQ9674" s="111"/>
      <c r="EF9674"/>
      <c r="EG9674"/>
      <c r="EH9674"/>
      <c r="EI9674"/>
      <c r="EJ9674"/>
      <c r="EK9674"/>
    </row>
    <row r="9675" spans="1:141" s="116" customFormat="1">
      <c r="A9675" s="136"/>
      <c r="CM9675" s="111"/>
      <c r="CQ9675" s="111"/>
      <c r="EF9675"/>
      <c r="EG9675"/>
      <c r="EH9675"/>
      <c r="EI9675"/>
      <c r="EJ9675"/>
      <c r="EK9675"/>
    </row>
    <row r="9676" spans="1:141" s="116" customFormat="1">
      <c r="A9676" s="136"/>
      <c r="CM9676" s="111"/>
      <c r="CQ9676" s="111"/>
      <c r="EF9676"/>
      <c r="EG9676"/>
      <c r="EH9676"/>
      <c r="EI9676"/>
      <c r="EJ9676"/>
      <c r="EK9676"/>
    </row>
    <row r="9677" spans="1:141" s="116" customFormat="1">
      <c r="A9677" s="136"/>
      <c r="CM9677" s="111"/>
      <c r="CQ9677" s="111"/>
      <c r="EF9677"/>
      <c r="EG9677"/>
      <c r="EH9677"/>
      <c r="EI9677"/>
      <c r="EJ9677"/>
      <c r="EK9677"/>
    </row>
    <row r="9678" spans="1:141" s="116" customFormat="1">
      <c r="A9678" s="136"/>
      <c r="CM9678" s="111"/>
      <c r="CQ9678" s="111"/>
      <c r="EF9678"/>
      <c r="EG9678"/>
      <c r="EH9678"/>
      <c r="EI9678"/>
      <c r="EJ9678"/>
      <c r="EK9678"/>
    </row>
    <row r="9679" spans="1:141" s="116" customFormat="1">
      <c r="A9679" s="136"/>
      <c r="CM9679" s="111"/>
      <c r="CQ9679" s="111"/>
      <c r="EF9679"/>
      <c r="EG9679"/>
      <c r="EH9679"/>
      <c r="EI9679"/>
      <c r="EJ9679"/>
      <c r="EK9679"/>
    </row>
    <row r="9680" spans="1:141" s="116" customFormat="1">
      <c r="A9680" s="136"/>
      <c r="CM9680" s="111"/>
      <c r="CQ9680" s="111"/>
      <c r="EF9680"/>
      <c r="EG9680"/>
      <c r="EH9680"/>
      <c r="EI9680"/>
      <c r="EJ9680"/>
      <c r="EK9680"/>
    </row>
    <row r="9681" spans="1:141" s="116" customFormat="1">
      <c r="A9681" s="136"/>
      <c r="CM9681" s="111"/>
      <c r="CQ9681" s="111"/>
      <c r="EF9681"/>
      <c r="EG9681"/>
      <c r="EH9681"/>
      <c r="EI9681"/>
      <c r="EJ9681"/>
      <c r="EK9681"/>
    </row>
    <row r="9682" spans="1:141" s="116" customFormat="1">
      <c r="A9682" s="136"/>
      <c r="CM9682" s="111"/>
      <c r="CQ9682" s="111"/>
      <c r="EF9682"/>
      <c r="EG9682"/>
      <c r="EH9682"/>
      <c r="EI9682"/>
      <c r="EJ9682"/>
      <c r="EK9682"/>
    </row>
    <row r="9683" spans="1:141" s="116" customFormat="1">
      <c r="A9683" s="136"/>
      <c r="CM9683" s="111"/>
      <c r="CQ9683" s="111"/>
      <c r="EF9683"/>
      <c r="EG9683"/>
      <c r="EH9683"/>
      <c r="EI9683"/>
      <c r="EJ9683"/>
      <c r="EK9683"/>
    </row>
    <row r="9684" spans="1:141" s="116" customFormat="1">
      <c r="A9684" s="136"/>
      <c r="CM9684" s="111"/>
      <c r="CQ9684" s="111"/>
      <c r="EF9684"/>
      <c r="EG9684"/>
      <c r="EH9684"/>
      <c r="EI9684"/>
      <c r="EJ9684"/>
      <c r="EK9684"/>
    </row>
    <row r="9685" spans="1:141" s="116" customFormat="1">
      <c r="A9685" s="136"/>
      <c r="CM9685" s="111"/>
      <c r="CQ9685" s="111"/>
      <c r="EF9685"/>
      <c r="EG9685"/>
      <c r="EH9685"/>
      <c r="EI9685"/>
      <c r="EJ9685"/>
      <c r="EK9685"/>
    </row>
    <row r="9686" spans="1:141" s="116" customFormat="1">
      <c r="A9686" s="136"/>
      <c r="CM9686" s="111"/>
      <c r="CQ9686" s="111"/>
      <c r="EF9686"/>
      <c r="EG9686"/>
      <c r="EH9686"/>
      <c r="EI9686"/>
      <c r="EJ9686"/>
      <c r="EK9686"/>
    </row>
    <row r="9687" spans="1:141" s="116" customFormat="1">
      <c r="A9687" s="136"/>
      <c r="CM9687" s="111"/>
      <c r="CQ9687" s="111"/>
      <c r="EF9687"/>
      <c r="EG9687"/>
      <c r="EH9687"/>
      <c r="EI9687"/>
      <c r="EJ9687"/>
      <c r="EK9687"/>
    </row>
    <row r="9688" spans="1:141" s="116" customFormat="1">
      <c r="A9688" s="136"/>
      <c r="CM9688" s="111"/>
      <c r="CQ9688" s="111"/>
      <c r="EF9688"/>
      <c r="EG9688"/>
      <c r="EH9688"/>
      <c r="EI9688"/>
      <c r="EJ9688"/>
      <c r="EK9688"/>
    </row>
    <row r="9689" spans="1:141" s="116" customFormat="1">
      <c r="A9689" s="136"/>
      <c r="CM9689" s="111"/>
      <c r="CQ9689" s="111"/>
      <c r="EF9689"/>
      <c r="EG9689"/>
      <c r="EH9689"/>
      <c r="EI9689"/>
      <c r="EJ9689"/>
      <c r="EK9689"/>
    </row>
    <row r="9690" spans="1:141" s="116" customFormat="1">
      <c r="A9690" s="136"/>
      <c r="CM9690" s="111"/>
      <c r="CQ9690" s="111"/>
      <c r="EF9690"/>
      <c r="EG9690"/>
      <c r="EH9690"/>
      <c r="EI9690"/>
      <c r="EJ9690"/>
      <c r="EK9690"/>
    </row>
    <row r="9691" spans="1:141" s="116" customFormat="1">
      <c r="A9691" s="136"/>
      <c r="CM9691" s="111"/>
      <c r="CQ9691" s="111"/>
      <c r="EF9691"/>
      <c r="EG9691"/>
      <c r="EH9691"/>
      <c r="EI9691"/>
      <c r="EJ9691"/>
      <c r="EK9691"/>
    </row>
    <row r="9692" spans="1:141" s="116" customFormat="1">
      <c r="A9692" s="136"/>
      <c r="CM9692" s="111"/>
      <c r="CQ9692" s="111"/>
      <c r="EF9692"/>
      <c r="EG9692"/>
      <c r="EH9692"/>
      <c r="EI9692"/>
      <c r="EJ9692"/>
      <c r="EK9692"/>
    </row>
    <row r="9693" spans="1:141" s="116" customFormat="1">
      <c r="A9693" s="136"/>
      <c r="CM9693" s="111"/>
      <c r="CQ9693" s="111"/>
      <c r="EF9693"/>
      <c r="EG9693"/>
      <c r="EH9693"/>
      <c r="EI9693"/>
      <c r="EJ9693"/>
      <c r="EK9693"/>
    </row>
    <row r="9694" spans="1:141" s="116" customFormat="1">
      <c r="A9694" s="136"/>
      <c r="CM9694" s="111"/>
      <c r="CQ9694" s="111"/>
      <c r="EF9694"/>
      <c r="EG9694"/>
      <c r="EH9694"/>
      <c r="EI9694"/>
      <c r="EJ9694"/>
      <c r="EK9694"/>
    </row>
    <row r="9695" spans="1:141" s="116" customFormat="1">
      <c r="A9695" s="136"/>
      <c r="CM9695" s="111"/>
      <c r="CQ9695" s="111"/>
      <c r="EF9695"/>
      <c r="EG9695"/>
      <c r="EH9695"/>
      <c r="EI9695"/>
      <c r="EJ9695"/>
      <c r="EK9695"/>
    </row>
    <row r="9696" spans="1:141" s="116" customFormat="1">
      <c r="A9696" s="136"/>
      <c r="CM9696" s="111"/>
      <c r="CQ9696" s="111"/>
      <c r="EF9696"/>
      <c r="EG9696"/>
      <c r="EH9696"/>
      <c r="EI9696"/>
      <c r="EJ9696"/>
      <c r="EK9696"/>
    </row>
    <row r="9697" spans="1:141" s="116" customFormat="1">
      <c r="A9697" s="136"/>
      <c r="CM9697" s="111"/>
      <c r="CQ9697" s="111"/>
      <c r="EF9697"/>
      <c r="EG9697"/>
      <c r="EH9697"/>
      <c r="EI9697"/>
      <c r="EJ9697"/>
      <c r="EK9697"/>
    </row>
    <row r="9698" spans="1:141" s="116" customFormat="1">
      <c r="A9698" s="136"/>
      <c r="CM9698" s="111"/>
      <c r="CQ9698" s="111"/>
      <c r="EF9698"/>
      <c r="EG9698"/>
      <c r="EH9698"/>
      <c r="EI9698"/>
      <c r="EJ9698"/>
      <c r="EK9698"/>
    </row>
    <row r="9699" spans="1:141" s="116" customFormat="1">
      <c r="A9699" s="136"/>
      <c r="CM9699" s="111"/>
      <c r="CQ9699" s="111"/>
      <c r="EF9699"/>
      <c r="EG9699"/>
      <c r="EH9699"/>
      <c r="EI9699"/>
      <c r="EJ9699"/>
      <c r="EK9699"/>
    </row>
    <row r="9700" spans="1:141" s="116" customFormat="1">
      <c r="A9700" s="136"/>
      <c r="CM9700" s="111"/>
      <c r="CQ9700" s="111"/>
      <c r="EF9700"/>
      <c r="EG9700"/>
      <c r="EH9700"/>
      <c r="EI9700"/>
      <c r="EJ9700"/>
      <c r="EK9700"/>
    </row>
    <row r="9701" spans="1:141" s="116" customFormat="1">
      <c r="A9701" s="136"/>
      <c r="CM9701" s="111"/>
      <c r="CQ9701" s="111"/>
      <c r="EF9701"/>
      <c r="EG9701"/>
      <c r="EH9701"/>
      <c r="EI9701"/>
      <c r="EJ9701"/>
      <c r="EK9701"/>
    </row>
    <row r="9702" spans="1:141" s="116" customFormat="1">
      <c r="A9702" s="136"/>
      <c r="CM9702" s="111"/>
      <c r="CQ9702" s="111"/>
      <c r="EF9702"/>
      <c r="EG9702"/>
      <c r="EH9702"/>
      <c r="EI9702"/>
      <c r="EJ9702"/>
      <c r="EK9702"/>
    </row>
    <row r="9703" spans="1:141" s="116" customFormat="1">
      <c r="A9703" s="136"/>
      <c r="CM9703" s="111"/>
      <c r="CQ9703" s="111"/>
      <c r="EF9703"/>
      <c r="EG9703"/>
      <c r="EH9703"/>
      <c r="EI9703"/>
      <c r="EJ9703"/>
      <c r="EK9703"/>
    </row>
    <row r="9704" spans="1:141" s="116" customFormat="1">
      <c r="A9704" s="136"/>
      <c r="CM9704" s="111"/>
      <c r="CQ9704" s="111"/>
      <c r="EF9704"/>
      <c r="EG9704"/>
      <c r="EH9704"/>
      <c r="EI9704"/>
      <c r="EJ9704"/>
      <c r="EK9704"/>
    </row>
    <row r="9705" spans="1:141" s="116" customFormat="1">
      <c r="A9705" s="136"/>
      <c r="CM9705" s="111"/>
      <c r="CQ9705" s="111"/>
      <c r="EF9705"/>
      <c r="EG9705"/>
      <c r="EH9705"/>
      <c r="EI9705"/>
      <c r="EJ9705"/>
      <c r="EK9705"/>
    </row>
    <row r="9706" spans="1:141" s="116" customFormat="1">
      <c r="A9706" s="136"/>
      <c r="CM9706" s="111"/>
      <c r="CQ9706" s="111"/>
      <c r="EF9706"/>
      <c r="EG9706"/>
      <c r="EH9706"/>
      <c r="EI9706"/>
      <c r="EJ9706"/>
      <c r="EK9706"/>
    </row>
    <row r="9707" spans="1:141" s="116" customFormat="1">
      <c r="A9707" s="136"/>
      <c r="CM9707" s="111"/>
      <c r="CQ9707" s="111"/>
      <c r="EF9707"/>
      <c r="EG9707"/>
      <c r="EH9707"/>
      <c r="EI9707"/>
      <c r="EJ9707"/>
      <c r="EK9707"/>
    </row>
    <row r="9708" spans="1:141" s="116" customFormat="1">
      <c r="A9708" s="136"/>
      <c r="CM9708" s="111"/>
      <c r="CQ9708" s="111"/>
      <c r="EF9708"/>
      <c r="EG9708"/>
      <c r="EH9708"/>
      <c r="EI9708"/>
      <c r="EJ9708"/>
      <c r="EK9708"/>
    </row>
    <row r="9709" spans="1:141" s="116" customFormat="1">
      <c r="A9709" s="136"/>
      <c r="CM9709" s="111"/>
      <c r="CQ9709" s="111"/>
      <c r="EF9709"/>
      <c r="EG9709"/>
      <c r="EH9709"/>
      <c r="EI9709"/>
      <c r="EJ9709"/>
      <c r="EK9709"/>
    </row>
    <row r="9710" spans="1:141" s="116" customFormat="1">
      <c r="A9710" s="136"/>
      <c r="CM9710" s="111"/>
      <c r="CQ9710" s="111"/>
      <c r="EF9710"/>
      <c r="EG9710"/>
      <c r="EH9710"/>
      <c r="EI9710"/>
      <c r="EJ9710"/>
      <c r="EK9710"/>
    </row>
    <row r="9711" spans="1:141" s="116" customFormat="1">
      <c r="A9711" s="136"/>
      <c r="CM9711" s="111"/>
      <c r="CQ9711" s="111"/>
      <c r="EF9711"/>
      <c r="EG9711"/>
      <c r="EH9711"/>
      <c r="EI9711"/>
      <c r="EJ9711"/>
      <c r="EK9711"/>
    </row>
    <row r="9712" spans="1:141" s="116" customFormat="1">
      <c r="A9712" s="136"/>
      <c r="CM9712" s="111"/>
      <c r="CQ9712" s="111"/>
      <c r="EF9712"/>
      <c r="EG9712"/>
      <c r="EH9712"/>
      <c r="EI9712"/>
      <c r="EJ9712"/>
      <c r="EK9712"/>
    </row>
    <row r="9713" spans="1:141" s="116" customFormat="1">
      <c r="A9713" s="136"/>
      <c r="CM9713" s="111"/>
      <c r="CQ9713" s="111"/>
      <c r="EF9713"/>
      <c r="EG9713"/>
      <c r="EH9713"/>
      <c r="EI9713"/>
      <c r="EJ9713"/>
      <c r="EK9713"/>
    </row>
    <row r="9714" spans="1:141" s="116" customFormat="1">
      <c r="A9714" s="136"/>
      <c r="CM9714" s="111"/>
      <c r="CQ9714" s="111"/>
      <c r="EF9714"/>
      <c r="EG9714"/>
      <c r="EH9714"/>
      <c r="EI9714"/>
      <c r="EJ9714"/>
      <c r="EK9714"/>
    </row>
    <row r="9715" spans="1:141" s="116" customFormat="1">
      <c r="A9715" s="136"/>
      <c r="CM9715" s="111"/>
      <c r="CQ9715" s="111"/>
      <c r="EF9715"/>
      <c r="EG9715"/>
      <c r="EH9715"/>
      <c r="EI9715"/>
      <c r="EJ9715"/>
      <c r="EK9715"/>
    </row>
    <row r="9716" spans="1:141" s="116" customFormat="1">
      <c r="A9716" s="136"/>
      <c r="CM9716" s="111"/>
      <c r="CQ9716" s="111"/>
      <c r="EF9716"/>
      <c r="EG9716"/>
      <c r="EH9716"/>
      <c r="EI9716"/>
      <c r="EJ9716"/>
      <c r="EK9716"/>
    </row>
    <row r="9717" spans="1:141" s="116" customFormat="1">
      <c r="A9717" s="136"/>
      <c r="CM9717" s="111"/>
      <c r="CQ9717" s="111"/>
      <c r="EF9717"/>
      <c r="EG9717"/>
      <c r="EH9717"/>
      <c r="EI9717"/>
      <c r="EJ9717"/>
      <c r="EK9717"/>
    </row>
    <row r="9718" spans="1:141" s="116" customFormat="1">
      <c r="A9718" s="136"/>
      <c r="CM9718" s="111"/>
      <c r="CQ9718" s="111"/>
      <c r="EF9718"/>
      <c r="EG9718"/>
      <c r="EH9718"/>
      <c r="EI9718"/>
      <c r="EJ9718"/>
      <c r="EK9718"/>
    </row>
    <row r="9719" spans="1:141" s="116" customFormat="1">
      <c r="A9719" s="136"/>
      <c r="CM9719" s="111"/>
      <c r="CQ9719" s="111"/>
      <c r="EF9719"/>
      <c r="EG9719"/>
      <c r="EH9719"/>
      <c r="EI9719"/>
      <c r="EJ9719"/>
      <c r="EK9719"/>
    </row>
    <row r="9720" spans="1:141" s="116" customFormat="1">
      <c r="A9720" s="136"/>
      <c r="CM9720" s="111"/>
      <c r="CQ9720" s="111"/>
      <c r="EF9720"/>
      <c r="EG9720"/>
      <c r="EH9720"/>
      <c r="EI9720"/>
      <c r="EJ9720"/>
      <c r="EK9720"/>
    </row>
    <row r="9721" spans="1:141" s="116" customFormat="1">
      <c r="A9721" s="136"/>
      <c r="CM9721" s="111"/>
      <c r="CQ9721" s="111"/>
      <c r="EF9721"/>
      <c r="EG9721"/>
      <c r="EH9721"/>
      <c r="EI9721"/>
      <c r="EJ9721"/>
      <c r="EK9721"/>
    </row>
    <row r="9722" spans="1:141" s="116" customFormat="1">
      <c r="A9722" s="136"/>
      <c r="CM9722" s="111"/>
      <c r="CQ9722" s="111"/>
      <c r="EF9722"/>
      <c r="EG9722"/>
      <c r="EH9722"/>
      <c r="EI9722"/>
      <c r="EJ9722"/>
      <c r="EK9722"/>
    </row>
    <row r="9723" spans="1:141" s="116" customFormat="1">
      <c r="A9723" s="136"/>
      <c r="CM9723" s="111"/>
      <c r="CQ9723" s="111"/>
      <c r="EF9723"/>
      <c r="EG9723"/>
      <c r="EH9723"/>
      <c r="EI9723"/>
      <c r="EJ9723"/>
      <c r="EK9723"/>
    </row>
    <row r="9724" spans="1:141" s="116" customFormat="1">
      <c r="A9724" s="136"/>
      <c r="CM9724" s="111"/>
      <c r="CQ9724" s="111"/>
      <c r="EF9724"/>
      <c r="EG9724"/>
      <c r="EH9724"/>
      <c r="EI9724"/>
      <c r="EJ9724"/>
      <c r="EK9724"/>
    </row>
    <row r="9725" spans="1:141" s="116" customFormat="1">
      <c r="A9725" s="136"/>
      <c r="CM9725" s="111"/>
      <c r="CQ9725" s="111"/>
      <c r="EF9725"/>
      <c r="EG9725"/>
      <c r="EH9725"/>
      <c r="EI9725"/>
      <c r="EJ9725"/>
      <c r="EK9725"/>
    </row>
    <row r="9726" spans="1:141" s="116" customFormat="1">
      <c r="A9726" s="136"/>
      <c r="CM9726" s="111"/>
      <c r="CQ9726" s="111"/>
      <c r="EF9726"/>
      <c r="EG9726"/>
      <c r="EH9726"/>
      <c r="EI9726"/>
      <c r="EJ9726"/>
      <c r="EK9726"/>
    </row>
    <row r="9727" spans="1:141" s="116" customFormat="1">
      <c r="A9727" s="136"/>
      <c r="CM9727" s="111"/>
      <c r="CQ9727" s="111"/>
      <c r="EF9727"/>
      <c r="EG9727"/>
      <c r="EH9727"/>
      <c r="EI9727"/>
      <c r="EJ9727"/>
      <c r="EK9727"/>
    </row>
    <row r="9728" spans="1:141" s="116" customFormat="1">
      <c r="A9728" s="136"/>
      <c r="CM9728" s="111"/>
      <c r="CQ9728" s="111"/>
      <c r="EF9728"/>
      <c r="EG9728"/>
      <c r="EH9728"/>
      <c r="EI9728"/>
      <c r="EJ9728"/>
      <c r="EK9728"/>
    </row>
    <row r="9729" spans="1:141" s="116" customFormat="1">
      <c r="A9729" s="136"/>
      <c r="CM9729" s="111"/>
      <c r="CQ9729" s="111"/>
      <c r="EF9729"/>
      <c r="EG9729"/>
      <c r="EH9729"/>
      <c r="EI9729"/>
      <c r="EJ9729"/>
      <c r="EK9729"/>
    </row>
    <row r="9730" spans="1:141" s="116" customFormat="1">
      <c r="A9730" s="136"/>
      <c r="CM9730" s="111"/>
      <c r="CQ9730" s="111"/>
      <c r="EF9730"/>
      <c r="EG9730"/>
      <c r="EH9730"/>
      <c r="EI9730"/>
      <c r="EJ9730"/>
      <c r="EK9730"/>
    </row>
    <row r="9731" spans="1:141" s="116" customFormat="1">
      <c r="A9731" s="136"/>
      <c r="CM9731" s="111"/>
      <c r="CQ9731" s="111"/>
      <c r="EF9731"/>
      <c r="EG9731"/>
      <c r="EH9731"/>
      <c r="EI9731"/>
      <c r="EJ9731"/>
      <c r="EK9731"/>
    </row>
    <row r="9732" spans="1:141" s="116" customFormat="1">
      <c r="A9732" s="136"/>
      <c r="CM9732" s="111"/>
      <c r="CQ9732" s="111"/>
      <c r="EF9732"/>
      <c r="EG9732"/>
      <c r="EH9732"/>
      <c r="EI9732"/>
      <c r="EJ9732"/>
      <c r="EK9732"/>
    </row>
    <row r="9733" spans="1:141" s="116" customFormat="1">
      <c r="A9733" s="136"/>
      <c r="CM9733" s="111"/>
      <c r="CQ9733" s="111"/>
      <c r="EF9733"/>
      <c r="EG9733"/>
      <c r="EH9733"/>
      <c r="EI9733"/>
      <c r="EJ9733"/>
      <c r="EK9733"/>
    </row>
    <row r="9734" spans="1:141" s="116" customFormat="1">
      <c r="A9734" s="136"/>
      <c r="CM9734" s="111"/>
      <c r="CQ9734" s="111"/>
      <c r="EF9734"/>
      <c r="EG9734"/>
      <c r="EH9734"/>
      <c r="EI9734"/>
      <c r="EJ9734"/>
      <c r="EK9734"/>
    </row>
    <row r="9735" spans="1:141" s="116" customFormat="1">
      <c r="A9735" s="136"/>
      <c r="CM9735" s="111"/>
      <c r="CQ9735" s="111"/>
      <c r="EF9735"/>
      <c r="EG9735"/>
      <c r="EH9735"/>
      <c r="EI9735"/>
      <c r="EJ9735"/>
      <c r="EK9735"/>
    </row>
    <row r="9736" spans="1:141" s="116" customFormat="1">
      <c r="A9736" s="136"/>
      <c r="CM9736" s="111"/>
      <c r="CQ9736" s="111"/>
      <c r="EF9736"/>
      <c r="EG9736"/>
      <c r="EH9736"/>
      <c r="EI9736"/>
      <c r="EJ9736"/>
      <c r="EK9736"/>
    </row>
    <row r="9737" spans="1:141" s="116" customFormat="1">
      <c r="A9737" s="136"/>
      <c r="CM9737" s="111"/>
      <c r="CQ9737" s="111"/>
      <c r="EF9737"/>
      <c r="EG9737"/>
      <c r="EH9737"/>
      <c r="EI9737"/>
      <c r="EJ9737"/>
      <c r="EK9737"/>
    </row>
    <row r="9738" spans="1:141" s="116" customFormat="1">
      <c r="A9738" s="136"/>
      <c r="CM9738" s="111"/>
      <c r="CQ9738" s="111"/>
      <c r="EF9738"/>
      <c r="EG9738"/>
      <c r="EH9738"/>
      <c r="EI9738"/>
      <c r="EJ9738"/>
      <c r="EK9738"/>
    </row>
    <row r="9739" spans="1:141" s="116" customFormat="1">
      <c r="A9739" s="136"/>
      <c r="CM9739" s="111"/>
      <c r="CQ9739" s="111"/>
      <c r="EF9739"/>
      <c r="EG9739"/>
      <c r="EH9739"/>
      <c r="EI9739"/>
      <c r="EJ9739"/>
      <c r="EK9739"/>
    </row>
    <row r="9740" spans="1:141" s="116" customFormat="1">
      <c r="A9740" s="136"/>
      <c r="CM9740" s="111"/>
      <c r="CQ9740" s="111"/>
      <c r="EF9740"/>
      <c r="EG9740"/>
      <c r="EH9740"/>
      <c r="EI9740"/>
      <c r="EJ9740"/>
      <c r="EK9740"/>
    </row>
    <row r="9741" spans="1:141" s="116" customFormat="1">
      <c r="A9741" s="136"/>
      <c r="CM9741" s="111"/>
      <c r="CQ9741" s="111"/>
      <c r="EF9741"/>
      <c r="EG9741"/>
      <c r="EH9741"/>
      <c r="EI9741"/>
      <c r="EJ9741"/>
      <c r="EK9741"/>
    </row>
    <row r="9742" spans="1:141" s="116" customFormat="1">
      <c r="A9742" s="136"/>
      <c r="CM9742" s="111"/>
      <c r="CQ9742" s="111"/>
      <c r="EF9742"/>
      <c r="EG9742"/>
      <c r="EH9742"/>
      <c r="EI9742"/>
      <c r="EJ9742"/>
      <c r="EK9742"/>
    </row>
    <row r="9743" spans="1:141" s="116" customFormat="1">
      <c r="A9743" s="136"/>
      <c r="CM9743" s="111"/>
      <c r="CQ9743" s="111"/>
      <c r="EF9743"/>
      <c r="EG9743"/>
      <c r="EH9743"/>
      <c r="EI9743"/>
      <c r="EJ9743"/>
      <c r="EK9743"/>
    </row>
    <row r="9744" spans="1:141" s="116" customFormat="1">
      <c r="A9744" s="136"/>
      <c r="CM9744" s="111"/>
      <c r="CQ9744" s="111"/>
      <c r="EF9744"/>
      <c r="EG9744"/>
      <c r="EH9744"/>
      <c r="EI9744"/>
      <c r="EJ9744"/>
      <c r="EK9744"/>
    </row>
    <row r="9745" spans="1:141" s="116" customFormat="1">
      <c r="A9745" s="136"/>
      <c r="CM9745" s="111"/>
      <c r="CQ9745" s="111"/>
      <c r="EF9745"/>
      <c r="EG9745"/>
      <c r="EH9745"/>
      <c r="EI9745"/>
      <c r="EJ9745"/>
      <c r="EK9745"/>
    </row>
    <row r="9746" spans="1:141" s="116" customFormat="1">
      <c r="A9746" s="136"/>
      <c r="CM9746" s="111"/>
      <c r="CQ9746" s="111"/>
      <c r="EF9746"/>
      <c r="EG9746"/>
      <c r="EH9746"/>
      <c r="EI9746"/>
      <c r="EJ9746"/>
      <c r="EK9746"/>
    </row>
    <row r="9747" spans="1:141" s="116" customFormat="1">
      <c r="A9747" s="136"/>
      <c r="CM9747" s="111"/>
      <c r="CQ9747" s="111"/>
      <c r="EF9747"/>
      <c r="EG9747"/>
      <c r="EH9747"/>
      <c r="EI9747"/>
      <c r="EJ9747"/>
      <c r="EK9747"/>
    </row>
    <row r="9748" spans="1:141" s="116" customFormat="1">
      <c r="A9748" s="136"/>
      <c r="CM9748" s="111"/>
      <c r="CQ9748" s="111"/>
      <c r="EF9748"/>
      <c r="EG9748"/>
      <c r="EH9748"/>
      <c r="EI9748"/>
      <c r="EJ9748"/>
      <c r="EK9748"/>
    </row>
    <row r="9749" spans="1:141" s="116" customFormat="1">
      <c r="A9749" s="136"/>
      <c r="CM9749" s="111"/>
      <c r="CQ9749" s="111"/>
      <c r="EF9749"/>
      <c r="EG9749"/>
      <c r="EH9749"/>
      <c r="EI9749"/>
      <c r="EJ9749"/>
      <c r="EK9749"/>
    </row>
    <row r="9750" spans="1:141" s="116" customFormat="1">
      <c r="A9750" s="136"/>
      <c r="CM9750" s="111"/>
      <c r="CQ9750" s="111"/>
      <c r="EF9750"/>
      <c r="EG9750"/>
      <c r="EH9750"/>
      <c r="EI9750"/>
      <c r="EJ9750"/>
      <c r="EK9750"/>
    </row>
    <row r="9751" spans="1:141" s="116" customFormat="1">
      <c r="A9751" s="136"/>
      <c r="CM9751" s="111"/>
      <c r="CQ9751" s="111"/>
      <c r="EF9751"/>
      <c r="EG9751"/>
      <c r="EH9751"/>
      <c r="EI9751"/>
      <c r="EJ9751"/>
      <c r="EK9751"/>
    </row>
    <row r="9752" spans="1:141" s="116" customFormat="1">
      <c r="A9752" s="136"/>
      <c r="CM9752" s="111"/>
      <c r="CQ9752" s="111"/>
      <c r="EF9752"/>
      <c r="EG9752"/>
      <c r="EH9752"/>
      <c r="EI9752"/>
      <c r="EJ9752"/>
      <c r="EK9752"/>
    </row>
    <row r="9753" spans="1:141" s="116" customFormat="1">
      <c r="A9753" s="136"/>
      <c r="CM9753" s="111"/>
      <c r="CQ9753" s="111"/>
      <c r="EF9753"/>
      <c r="EG9753"/>
      <c r="EH9753"/>
      <c r="EI9753"/>
      <c r="EJ9753"/>
      <c r="EK9753"/>
    </row>
    <row r="9754" spans="1:141" s="116" customFormat="1">
      <c r="A9754" s="136"/>
      <c r="CM9754" s="111"/>
      <c r="CQ9754" s="111"/>
      <c r="EF9754"/>
      <c r="EG9754"/>
      <c r="EH9754"/>
      <c r="EI9754"/>
      <c r="EJ9754"/>
      <c r="EK9754"/>
    </row>
    <row r="9755" spans="1:141" s="116" customFormat="1">
      <c r="A9755" s="136"/>
      <c r="CM9755" s="111"/>
      <c r="CQ9755" s="111"/>
      <c r="EF9755"/>
      <c r="EG9755"/>
      <c r="EH9755"/>
      <c r="EI9755"/>
      <c r="EJ9755"/>
      <c r="EK9755"/>
    </row>
    <row r="9756" spans="1:141" s="116" customFormat="1">
      <c r="A9756" s="136"/>
      <c r="CM9756" s="111"/>
      <c r="CQ9756" s="111"/>
      <c r="EF9756"/>
      <c r="EG9756"/>
      <c r="EH9756"/>
      <c r="EI9756"/>
      <c r="EJ9756"/>
      <c r="EK9756"/>
    </row>
    <row r="9757" spans="1:141" s="116" customFormat="1">
      <c r="A9757" s="136"/>
      <c r="CM9757" s="111"/>
      <c r="CQ9757" s="111"/>
      <c r="EF9757"/>
      <c r="EG9757"/>
      <c r="EH9757"/>
      <c r="EI9757"/>
      <c r="EJ9757"/>
      <c r="EK9757"/>
    </row>
    <row r="9758" spans="1:141" s="116" customFormat="1">
      <c r="A9758" s="136"/>
      <c r="CM9758" s="111"/>
      <c r="CQ9758" s="111"/>
      <c r="EF9758"/>
      <c r="EG9758"/>
      <c r="EH9758"/>
      <c r="EI9758"/>
      <c r="EJ9758"/>
      <c r="EK9758"/>
    </row>
    <row r="9759" spans="1:141" s="116" customFormat="1">
      <c r="A9759" s="136"/>
      <c r="CM9759" s="111"/>
      <c r="CQ9759" s="111"/>
      <c r="EF9759"/>
      <c r="EG9759"/>
      <c r="EH9759"/>
      <c r="EI9759"/>
      <c r="EJ9759"/>
      <c r="EK9759"/>
    </row>
    <row r="9760" spans="1:141" s="116" customFormat="1">
      <c r="A9760" s="136"/>
      <c r="CM9760" s="111"/>
      <c r="CQ9760" s="111"/>
      <c r="EF9760"/>
      <c r="EG9760"/>
      <c r="EH9760"/>
      <c r="EI9760"/>
      <c r="EJ9760"/>
      <c r="EK9760"/>
    </row>
    <row r="9761" spans="1:141" s="116" customFormat="1">
      <c r="A9761" s="136"/>
      <c r="CM9761" s="111"/>
      <c r="CQ9761" s="111"/>
      <c r="EF9761"/>
      <c r="EG9761"/>
      <c r="EH9761"/>
      <c r="EI9761"/>
      <c r="EJ9761"/>
      <c r="EK9761"/>
    </row>
    <row r="9762" spans="1:141" s="116" customFormat="1">
      <c r="A9762" s="136"/>
      <c r="CM9762" s="111"/>
      <c r="CQ9762" s="111"/>
      <c r="EF9762"/>
      <c r="EG9762"/>
      <c r="EH9762"/>
      <c r="EI9762"/>
      <c r="EJ9762"/>
      <c r="EK9762"/>
    </row>
    <row r="9763" spans="1:141" s="116" customFormat="1">
      <c r="A9763" s="136"/>
      <c r="CM9763" s="111"/>
      <c r="CQ9763" s="111"/>
      <c r="EF9763"/>
      <c r="EG9763"/>
      <c r="EH9763"/>
      <c r="EI9763"/>
      <c r="EJ9763"/>
      <c r="EK9763"/>
    </row>
    <row r="9764" spans="1:141" s="116" customFormat="1">
      <c r="A9764" s="136"/>
      <c r="CM9764" s="111"/>
      <c r="CQ9764" s="111"/>
      <c r="EF9764"/>
      <c r="EG9764"/>
      <c r="EH9764"/>
      <c r="EI9764"/>
      <c r="EJ9764"/>
      <c r="EK9764"/>
    </row>
    <row r="9765" spans="1:141" s="116" customFormat="1">
      <c r="A9765" s="136"/>
      <c r="CM9765" s="111"/>
      <c r="CQ9765" s="111"/>
      <c r="EF9765"/>
      <c r="EG9765"/>
      <c r="EH9765"/>
      <c r="EI9765"/>
      <c r="EJ9765"/>
      <c r="EK9765"/>
    </row>
    <row r="9766" spans="1:141" s="116" customFormat="1">
      <c r="A9766" s="136"/>
      <c r="CM9766" s="111"/>
      <c r="CQ9766" s="111"/>
      <c r="EF9766"/>
      <c r="EG9766"/>
      <c r="EH9766"/>
      <c r="EI9766"/>
      <c r="EJ9766"/>
      <c r="EK9766"/>
    </row>
    <row r="9767" spans="1:141" s="116" customFormat="1">
      <c r="A9767" s="136"/>
      <c r="CM9767" s="111"/>
      <c r="CQ9767" s="111"/>
      <c r="EF9767"/>
      <c r="EG9767"/>
      <c r="EH9767"/>
      <c r="EI9767"/>
      <c r="EJ9767"/>
      <c r="EK9767"/>
    </row>
    <row r="9768" spans="1:141" s="116" customFormat="1">
      <c r="A9768" s="136"/>
      <c r="CM9768" s="111"/>
      <c r="CQ9768" s="111"/>
      <c r="EF9768"/>
      <c r="EG9768"/>
      <c r="EH9768"/>
      <c r="EI9768"/>
      <c r="EJ9768"/>
      <c r="EK9768"/>
    </row>
    <row r="9769" spans="1:141" s="116" customFormat="1">
      <c r="A9769" s="136"/>
      <c r="CM9769" s="111"/>
      <c r="CQ9769" s="111"/>
      <c r="EF9769"/>
      <c r="EG9769"/>
      <c r="EH9769"/>
      <c r="EI9769"/>
      <c r="EJ9769"/>
      <c r="EK9769"/>
    </row>
    <row r="9770" spans="1:141" s="116" customFormat="1">
      <c r="A9770" s="136"/>
      <c r="CM9770" s="111"/>
      <c r="CQ9770" s="111"/>
      <c r="EF9770"/>
      <c r="EG9770"/>
      <c r="EH9770"/>
      <c r="EI9770"/>
      <c r="EJ9770"/>
      <c r="EK9770"/>
    </row>
    <row r="9771" spans="1:141" s="116" customFormat="1">
      <c r="A9771" s="136"/>
      <c r="CM9771" s="111"/>
      <c r="CQ9771" s="111"/>
      <c r="EF9771"/>
      <c r="EG9771"/>
      <c r="EH9771"/>
      <c r="EI9771"/>
      <c r="EJ9771"/>
      <c r="EK9771"/>
    </row>
    <row r="9772" spans="1:141" s="116" customFormat="1">
      <c r="A9772" s="136"/>
      <c r="CM9772" s="111"/>
      <c r="CQ9772" s="111"/>
      <c r="EF9772"/>
      <c r="EG9772"/>
      <c r="EH9772"/>
      <c r="EI9772"/>
      <c r="EJ9772"/>
      <c r="EK9772"/>
    </row>
    <row r="9773" spans="1:141" s="116" customFormat="1">
      <c r="A9773" s="136"/>
      <c r="CM9773" s="111"/>
      <c r="CQ9773" s="111"/>
      <c r="EF9773"/>
      <c r="EG9773"/>
      <c r="EH9773"/>
      <c r="EI9773"/>
      <c r="EJ9773"/>
      <c r="EK9773"/>
    </row>
    <row r="9774" spans="1:141" s="116" customFormat="1">
      <c r="A9774" s="136"/>
      <c r="CM9774" s="111"/>
      <c r="CQ9774" s="111"/>
      <c r="EF9774"/>
      <c r="EG9774"/>
      <c r="EH9774"/>
      <c r="EI9774"/>
      <c r="EJ9774"/>
      <c r="EK9774"/>
    </row>
    <row r="9775" spans="1:141" s="116" customFormat="1">
      <c r="A9775" s="136"/>
      <c r="CM9775" s="111"/>
      <c r="CQ9775" s="111"/>
      <c r="EF9775"/>
      <c r="EG9775"/>
      <c r="EH9775"/>
      <c r="EI9775"/>
      <c r="EJ9775"/>
      <c r="EK9775"/>
    </row>
    <row r="9776" spans="1:141" s="116" customFormat="1">
      <c r="A9776" s="136"/>
      <c r="CM9776" s="111"/>
      <c r="CQ9776" s="111"/>
      <c r="EF9776"/>
      <c r="EG9776"/>
      <c r="EH9776"/>
      <c r="EI9776"/>
      <c r="EJ9776"/>
      <c r="EK9776"/>
    </row>
    <row r="9777" spans="1:141" s="116" customFormat="1">
      <c r="A9777" s="136"/>
      <c r="CM9777" s="111"/>
      <c r="CQ9777" s="111"/>
      <c r="EF9777"/>
      <c r="EG9777"/>
      <c r="EH9777"/>
      <c r="EI9777"/>
      <c r="EJ9777"/>
      <c r="EK9777"/>
    </row>
    <row r="9778" spans="1:141" s="116" customFormat="1">
      <c r="A9778" s="136"/>
      <c r="CM9778" s="111"/>
      <c r="CQ9778" s="111"/>
      <c r="EF9778"/>
      <c r="EG9778"/>
      <c r="EH9778"/>
      <c r="EI9778"/>
      <c r="EJ9778"/>
      <c r="EK9778"/>
    </row>
    <row r="9779" spans="1:141" s="116" customFormat="1">
      <c r="A9779" s="136"/>
      <c r="CM9779" s="111"/>
      <c r="CQ9779" s="111"/>
      <c r="EF9779"/>
      <c r="EG9779"/>
      <c r="EH9779"/>
      <c r="EI9779"/>
      <c r="EJ9779"/>
      <c r="EK9779"/>
    </row>
    <row r="9780" spans="1:141" s="116" customFormat="1">
      <c r="A9780" s="136"/>
      <c r="CM9780" s="111"/>
      <c r="CQ9780" s="111"/>
      <c r="EF9780"/>
      <c r="EG9780"/>
      <c r="EH9780"/>
      <c r="EI9780"/>
      <c r="EJ9780"/>
      <c r="EK9780"/>
    </row>
    <row r="9781" spans="1:141" s="116" customFormat="1">
      <c r="A9781" s="136"/>
      <c r="CM9781" s="111"/>
      <c r="CQ9781" s="111"/>
      <c r="EF9781"/>
      <c r="EG9781"/>
      <c r="EH9781"/>
      <c r="EI9781"/>
      <c r="EJ9781"/>
      <c r="EK9781"/>
    </row>
    <row r="9782" spans="1:141" s="116" customFormat="1">
      <c r="A9782" s="136"/>
      <c r="CM9782" s="111"/>
      <c r="CQ9782" s="111"/>
      <c r="EF9782"/>
      <c r="EG9782"/>
      <c r="EH9782"/>
      <c r="EI9782"/>
      <c r="EJ9782"/>
      <c r="EK9782"/>
    </row>
    <row r="9783" spans="1:141" s="116" customFormat="1">
      <c r="A9783" s="136"/>
      <c r="CM9783" s="111"/>
      <c r="CQ9783" s="111"/>
      <c r="EF9783"/>
      <c r="EG9783"/>
      <c r="EH9783"/>
      <c r="EI9783"/>
      <c r="EJ9783"/>
      <c r="EK9783"/>
    </row>
    <row r="9784" spans="1:141" s="116" customFormat="1">
      <c r="A9784" s="136"/>
      <c r="CM9784" s="111"/>
      <c r="CQ9784" s="111"/>
      <c r="EF9784"/>
      <c r="EG9784"/>
      <c r="EH9784"/>
      <c r="EI9784"/>
      <c r="EJ9784"/>
      <c r="EK9784"/>
    </row>
    <row r="9785" spans="1:141" s="116" customFormat="1">
      <c r="A9785" s="136"/>
      <c r="CM9785" s="111"/>
      <c r="CQ9785" s="111"/>
      <c r="EF9785"/>
      <c r="EG9785"/>
      <c r="EH9785"/>
      <c r="EI9785"/>
      <c r="EJ9785"/>
      <c r="EK9785"/>
    </row>
    <row r="9786" spans="1:141" s="116" customFormat="1">
      <c r="A9786" s="136"/>
      <c r="CM9786" s="111"/>
      <c r="CQ9786" s="111"/>
      <c r="EF9786"/>
      <c r="EG9786"/>
      <c r="EH9786"/>
      <c r="EI9786"/>
      <c r="EJ9786"/>
      <c r="EK9786"/>
    </row>
    <row r="9787" spans="1:141" s="116" customFormat="1">
      <c r="A9787" s="136"/>
      <c r="CM9787" s="111"/>
      <c r="CQ9787" s="111"/>
      <c r="EF9787"/>
      <c r="EG9787"/>
      <c r="EH9787"/>
      <c r="EI9787"/>
      <c r="EJ9787"/>
      <c r="EK9787"/>
    </row>
    <row r="9788" spans="1:141" s="116" customFormat="1">
      <c r="A9788" s="136"/>
      <c r="CM9788" s="111"/>
      <c r="CQ9788" s="111"/>
      <c r="EF9788"/>
      <c r="EG9788"/>
      <c r="EH9788"/>
      <c r="EI9788"/>
      <c r="EJ9788"/>
      <c r="EK9788"/>
    </row>
    <row r="9789" spans="1:141" s="116" customFormat="1">
      <c r="A9789" s="136"/>
      <c r="CM9789" s="111"/>
      <c r="CQ9789" s="111"/>
      <c r="EF9789"/>
      <c r="EG9789"/>
      <c r="EH9789"/>
      <c r="EI9789"/>
      <c r="EJ9789"/>
      <c r="EK9789"/>
    </row>
    <row r="9790" spans="1:141" s="116" customFormat="1">
      <c r="A9790" s="136"/>
      <c r="CM9790" s="111"/>
      <c r="CQ9790" s="111"/>
      <c r="EF9790"/>
      <c r="EG9790"/>
      <c r="EH9790"/>
      <c r="EI9790"/>
      <c r="EJ9790"/>
      <c r="EK9790"/>
    </row>
    <row r="9791" spans="1:141" s="116" customFormat="1">
      <c r="A9791" s="136"/>
      <c r="CM9791" s="111"/>
      <c r="CQ9791" s="111"/>
      <c r="EF9791"/>
      <c r="EG9791"/>
      <c r="EH9791"/>
      <c r="EI9791"/>
      <c r="EJ9791"/>
      <c r="EK9791"/>
    </row>
    <row r="9792" spans="1:141" s="116" customFormat="1">
      <c r="A9792" s="136"/>
      <c r="CM9792" s="111"/>
      <c r="CQ9792" s="111"/>
      <c r="EF9792"/>
      <c r="EG9792"/>
      <c r="EH9792"/>
      <c r="EI9792"/>
      <c r="EJ9792"/>
      <c r="EK9792"/>
    </row>
    <row r="9793" spans="1:141" s="116" customFormat="1">
      <c r="A9793" s="136"/>
      <c r="CM9793" s="111"/>
      <c r="CQ9793" s="111"/>
      <c r="EF9793"/>
      <c r="EG9793"/>
      <c r="EH9793"/>
      <c r="EI9793"/>
      <c r="EJ9793"/>
      <c r="EK9793"/>
    </row>
    <row r="9794" spans="1:141" s="116" customFormat="1">
      <c r="A9794" s="136"/>
      <c r="CM9794" s="111"/>
      <c r="CQ9794" s="111"/>
      <c r="EF9794"/>
      <c r="EG9794"/>
      <c r="EH9794"/>
      <c r="EI9794"/>
      <c r="EJ9794"/>
      <c r="EK9794"/>
    </row>
    <row r="9795" spans="1:141" s="116" customFormat="1">
      <c r="A9795" s="136"/>
      <c r="CM9795" s="111"/>
      <c r="CQ9795" s="111"/>
      <c r="EF9795"/>
      <c r="EG9795"/>
      <c r="EH9795"/>
      <c r="EI9795"/>
      <c r="EJ9795"/>
      <c r="EK9795"/>
    </row>
    <row r="9796" spans="1:141" s="116" customFormat="1">
      <c r="A9796" s="136"/>
      <c r="CM9796" s="111"/>
      <c r="CQ9796" s="111"/>
      <c r="EF9796"/>
      <c r="EG9796"/>
      <c r="EH9796"/>
      <c r="EI9796"/>
      <c r="EJ9796"/>
      <c r="EK9796"/>
    </row>
    <row r="9797" spans="1:141" s="116" customFormat="1">
      <c r="A9797" s="136"/>
      <c r="CM9797" s="111"/>
      <c r="CQ9797" s="111"/>
      <c r="EF9797"/>
      <c r="EG9797"/>
      <c r="EH9797"/>
      <c r="EI9797"/>
      <c r="EJ9797"/>
      <c r="EK9797"/>
    </row>
    <row r="9798" spans="1:141" s="116" customFormat="1">
      <c r="A9798" s="136"/>
      <c r="CM9798" s="111"/>
      <c r="CQ9798" s="111"/>
      <c r="EF9798"/>
      <c r="EG9798"/>
      <c r="EH9798"/>
      <c r="EI9798"/>
      <c r="EJ9798"/>
      <c r="EK9798"/>
    </row>
    <row r="9799" spans="1:141" s="116" customFormat="1">
      <c r="A9799" s="136"/>
      <c r="CM9799" s="111"/>
      <c r="CQ9799" s="111"/>
      <c r="EF9799"/>
      <c r="EG9799"/>
      <c r="EH9799"/>
      <c r="EI9799"/>
      <c r="EJ9799"/>
      <c r="EK9799"/>
    </row>
    <row r="9800" spans="1:141" s="116" customFormat="1">
      <c r="A9800" s="136"/>
      <c r="CM9800" s="111"/>
      <c r="CQ9800" s="111"/>
      <c r="EF9800"/>
      <c r="EG9800"/>
      <c r="EH9800"/>
      <c r="EI9800"/>
      <c r="EJ9800"/>
      <c r="EK9800"/>
    </row>
    <row r="9801" spans="1:141" s="116" customFormat="1">
      <c r="A9801" s="136"/>
      <c r="CM9801" s="111"/>
      <c r="CQ9801" s="111"/>
      <c r="EF9801"/>
      <c r="EG9801"/>
      <c r="EH9801"/>
      <c r="EI9801"/>
      <c r="EJ9801"/>
      <c r="EK9801"/>
    </row>
    <row r="9802" spans="1:141" s="116" customFormat="1">
      <c r="A9802" s="136"/>
      <c r="CM9802" s="111"/>
      <c r="CQ9802" s="111"/>
      <c r="EF9802"/>
      <c r="EG9802"/>
      <c r="EH9802"/>
      <c r="EI9802"/>
      <c r="EJ9802"/>
      <c r="EK9802"/>
    </row>
    <row r="9803" spans="1:141" s="116" customFormat="1">
      <c r="A9803" s="136"/>
      <c r="CM9803" s="111"/>
      <c r="CQ9803" s="111"/>
      <c r="EF9803"/>
      <c r="EG9803"/>
      <c r="EH9803"/>
      <c r="EI9803"/>
      <c r="EJ9803"/>
      <c r="EK9803"/>
    </row>
    <row r="9804" spans="1:141" s="116" customFormat="1">
      <c r="A9804" s="136"/>
      <c r="CM9804" s="111"/>
      <c r="CQ9804" s="111"/>
      <c r="EF9804"/>
      <c r="EG9804"/>
      <c r="EH9804"/>
      <c r="EI9804"/>
      <c r="EJ9804"/>
      <c r="EK9804"/>
    </row>
    <row r="9805" spans="1:141" s="116" customFormat="1">
      <c r="A9805" s="136"/>
      <c r="CM9805" s="111"/>
      <c r="CQ9805" s="111"/>
      <c r="EF9805"/>
      <c r="EG9805"/>
      <c r="EH9805"/>
      <c r="EI9805"/>
      <c r="EJ9805"/>
      <c r="EK9805"/>
    </row>
    <row r="9806" spans="1:141" s="116" customFormat="1">
      <c r="A9806" s="136"/>
      <c r="CM9806" s="111"/>
      <c r="CQ9806" s="111"/>
      <c r="EF9806"/>
      <c r="EG9806"/>
      <c r="EH9806"/>
      <c r="EI9806"/>
      <c r="EJ9806"/>
      <c r="EK9806"/>
    </row>
    <row r="9807" spans="1:141" s="116" customFormat="1">
      <c r="A9807" s="136"/>
      <c r="CM9807" s="111"/>
      <c r="CQ9807" s="111"/>
      <c r="EF9807"/>
      <c r="EG9807"/>
      <c r="EH9807"/>
      <c r="EI9807"/>
      <c r="EJ9807"/>
      <c r="EK9807"/>
    </row>
    <row r="9808" spans="1:141" s="116" customFormat="1">
      <c r="A9808" s="136"/>
      <c r="CM9808" s="111"/>
      <c r="CQ9808" s="111"/>
      <c r="EF9808"/>
      <c r="EG9808"/>
      <c r="EH9808"/>
      <c r="EI9808"/>
      <c r="EJ9808"/>
      <c r="EK9808"/>
    </row>
    <row r="9809" spans="1:141" s="116" customFormat="1">
      <c r="A9809" s="136"/>
      <c r="CM9809" s="111"/>
      <c r="CQ9809" s="111"/>
      <c r="EF9809"/>
      <c r="EG9809"/>
      <c r="EH9809"/>
      <c r="EI9809"/>
      <c r="EJ9809"/>
      <c r="EK9809"/>
    </row>
    <row r="9810" spans="1:141" s="116" customFormat="1">
      <c r="A9810" s="136"/>
      <c r="CM9810" s="111"/>
      <c r="CQ9810" s="111"/>
      <c r="EF9810"/>
      <c r="EG9810"/>
      <c r="EH9810"/>
      <c r="EI9810"/>
      <c r="EJ9810"/>
      <c r="EK9810"/>
    </row>
    <row r="9811" spans="1:141" s="116" customFormat="1">
      <c r="A9811" s="136"/>
      <c r="CM9811" s="111"/>
      <c r="CQ9811" s="111"/>
      <c r="EF9811"/>
      <c r="EG9811"/>
      <c r="EH9811"/>
      <c r="EI9811"/>
      <c r="EJ9811"/>
      <c r="EK9811"/>
    </row>
    <row r="9812" spans="1:141" s="116" customFormat="1">
      <c r="A9812" s="136"/>
      <c r="CM9812" s="111"/>
      <c r="CQ9812" s="111"/>
      <c r="EF9812"/>
      <c r="EG9812"/>
      <c r="EH9812"/>
      <c r="EI9812"/>
      <c r="EJ9812"/>
      <c r="EK9812"/>
    </row>
    <row r="9813" spans="1:141" s="116" customFormat="1">
      <c r="A9813" s="136"/>
      <c r="CM9813" s="111"/>
      <c r="CQ9813" s="111"/>
      <c r="EF9813"/>
      <c r="EG9813"/>
      <c r="EH9813"/>
      <c r="EI9813"/>
      <c r="EJ9813"/>
      <c r="EK9813"/>
    </row>
    <row r="9814" spans="1:141" s="116" customFormat="1">
      <c r="A9814" s="136"/>
      <c r="CM9814" s="111"/>
      <c r="CQ9814" s="111"/>
      <c r="EF9814"/>
      <c r="EG9814"/>
      <c r="EH9814"/>
      <c r="EI9814"/>
      <c r="EJ9814"/>
      <c r="EK9814"/>
    </row>
    <row r="9815" spans="1:141" s="116" customFormat="1">
      <c r="A9815" s="136"/>
      <c r="CM9815" s="111"/>
      <c r="CQ9815" s="111"/>
      <c r="EF9815"/>
      <c r="EG9815"/>
      <c r="EH9815"/>
      <c r="EI9815"/>
      <c r="EJ9815"/>
      <c r="EK9815"/>
    </row>
    <row r="9816" spans="1:141" s="116" customFormat="1">
      <c r="A9816" s="136"/>
      <c r="CM9816" s="111"/>
      <c r="CQ9816" s="111"/>
      <c r="EF9816"/>
      <c r="EG9816"/>
      <c r="EH9816"/>
      <c r="EI9816"/>
      <c r="EJ9816"/>
      <c r="EK9816"/>
    </row>
    <row r="9817" spans="1:141" s="116" customFormat="1">
      <c r="A9817" s="136"/>
      <c r="CM9817" s="111"/>
      <c r="CQ9817" s="111"/>
      <c r="EF9817"/>
      <c r="EG9817"/>
      <c r="EH9817"/>
      <c r="EI9817"/>
      <c r="EJ9817"/>
      <c r="EK9817"/>
    </row>
    <row r="9818" spans="1:141" s="116" customFormat="1">
      <c r="A9818" s="136"/>
      <c r="CM9818" s="111"/>
      <c r="CQ9818" s="111"/>
      <c r="EF9818"/>
      <c r="EG9818"/>
      <c r="EH9818"/>
      <c r="EI9818"/>
      <c r="EJ9818"/>
      <c r="EK9818"/>
    </row>
    <row r="9819" spans="1:141" s="116" customFormat="1">
      <c r="A9819" s="136"/>
      <c r="CM9819" s="111"/>
      <c r="CQ9819" s="111"/>
      <c r="EF9819"/>
      <c r="EG9819"/>
      <c r="EH9819"/>
      <c r="EI9819"/>
      <c r="EJ9819"/>
      <c r="EK9819"/>
    </row>
    <row r="9820" spans="1:141" s="116" customFormat="1">
      <c r="A9820" s="136"/>
      <c r="CM9820" s="111"/>
      <c r="CQ9820" s="111"/>
      <c r="EF9820"/>
      <c r="EG9820"/>
      <c r="EH9820"/>
      <c r="EI9820"/>
      <c r="EJ9820"/>
      <c r="EK9820"/>
    </row>
    <row r="9821" spans="1:141" s="116" customFormat="1">
      <c r="A9821" s="136"/>
      <c r="CM9821" s="111"/>
      <c r="CQ9821" s="111"/>
      <c r="EF9821"/>
      <c r="EG9821"/>
      <c r="EH9821"/>
      <c r="EI9821"/>
      <c r="EJ9821"/>
      <c r="EK9821"/>
    </row>
    <row r="9822" spans="1:141" s="116" customFormat="1">
      <c r="A9822" s="136"/>
      <c r="CM9822" s="111"/>
      <c r="CQ9822" s="111"/>
      <c r="EF9822"/>
      <c r="EG9822"/>
      <c r="EH9822"/>
      <c r="EI9822"/>
      <c r="EJ9822"/>
      <c r="EK9822"/>
    </row>
    <row r="9823" spans="1:141" s="116" customFormat="1">
      <c r="A9823" s="136"/>
      <c r="CM9823" s="111"/>
      <c r="CQ9823" s="111"/>
      <c r="EF9823"/>
      <c r="EG9823"/>
      <c r="EH9823"/>
      <c r="EI9823"/>
      <c r="EJ9823"/>
      <c r="EK9823"/>
    </row>
    <row r="9824" spans="1:141" s="116" customFormat="1">
      <c r="A9824" s="136"/>
      <c r="CM9824" s="111"/>
      <c r="CQ9824" s="111"/>
      <c r="EF9824"/>
      <c r="EG9824"/>
      <c r="EH9824"/>
      <c r="EI9824"/>
      <c r="EJ9824"/>
      <c r="EK9824"/>
    </row>
    <row r="9825" spans="1:141" s="116" customFormat="1">
      <c r="A9825" s="136"/>
      <c r="CM9825" s="111"/>
      <c r="CQ9825" s="111"/>
      <c r="EF9825"/>
      <c r="EG9825"/>
      <c r="EH9825"/>
      <c r="EI9825"/>
      <c r="EJ9825"/>
      <c r="EK9825"/>
    </row>
    <row r="9826" spans="1:141" s="116" customFormat="1">
      <c r="A9826" s="136"/>
      <c r="CM9826" s="111"/>
      <c r="CQ9826" s="111"/>
      <c r="EF9826"/>
      <c r="EG9826"/>
      <c r="EH9826"/>
      <c r="EI9826"/>
      <c r="EJ9826"/>
      <c r="EK9826"/>
    </row>
    <row r="9827" spans="1:141" s="116" customFormat="1">
      <c r="A9827" s="136"/>
      <c r="CM9827" s="111"/>
      <c r="CQ9827" s="111"/>
      <c r="EF9827"/>
      <c r="EG9827"/>
      <c r="EH9827"/>
      <c r="EI9827"/>
      <c r="EJ9827"/>
      <c r="EK9827"/>
    </row>
    <row r="9828" spans="1:141" s="116" customFormat="1">
      <c r="A9828" s="136"/>
      <c r="CM9828" s="111"/>
      <c r="CQ9828" s="111"/>
      <c r="EF9828"/>
      <c r="EG9828"/>
      <c r="EH9828"/>
      <c r="EI9828"/>
      <c r="EJ9828"/>
      <c r="EK9828"/>
    </row>
    <row r="9829" spans="1:141" s="116" customFormat="1">
      <c r="A9829" s="136"/>
      <c r="CM9829" s="111"/>
      <c r="CQ9829" s="111"/>
      <c r="EF9829"/>
      <c r="EG9829"/>
      <c r="EH9829"/>
      <c r="EI9829"/>
      <c r="EJ9829"/>
      <c r="EK9829"/>
    </row>
    <row r="9830" spans="1:141" s="116" customFormat="1">
      <c r="A9830" s="136"/>
      <c r="CM9830" s="111"/>
      <c r="CQ9830" s="111"/>
      <c r="EF9830"/>
      <c r="EG9830"/>
      <c r="EH9830"/>
      <c r="EI9830"/>
      <c r="EJ9830"/>
      <c r="EK9830"/>
    </row>
    <row r="9831" spans="1:141" s="116" customFormat="1">
      <c r="A9831" s="136"/>
      <c r="CM9831" s="111"/>
      <c r="CQ9831" s="111"/>
      <c r="EF9831"/>
      <c r="EG9831"/>
      <c r="EH9831"/>
      <c r="EI9831"/>
      <c r="EJ9831"/>
      <c r="EK9831"/>
    </row>
    <row r="9832" spans="1:141" s="116" customFormat="1">
      <c r="A9832" s="136"/>
      <c r="CM9832" s="111"/>
      <c r="CQ9832" s="111"/>
      <c r="EF9832"/>
      <c r="EG9832"/>
      <c r="EH9832"/>
      <c r="EI9832"/>
      <c r="EJ9832"/>
      <c r="EK9832"/>
    </row>
    <row r="9833" spans="1:141" s="116" customFormat="1">
      <c r="A9833" s="136"/>
      <c r="CM9833" s="111"/>
      <c r="CQ9833" s="111"/>
      <c r="EF9833"/>
      <c r="EG9833"/>
      <c r="EH9833"/>
      <c r="EI9833"/>
      <c r="EJ9833"/>
      <c r="EK9833"/>
    </row>
    <row r="9834" spans="1:141" s="116" customFormat="1">
      <c r="A9834" s="136"/>
      <c r="CM9834" s="111"/>
      <c r="CQ9834" s="111"/>
      <c r="EF9834"/>
      <c r="EG9834"/>
      <c r="EH9834"/>
      <c r="EI9834"/>
      <c r="EJ9834"/>
      <c r="EK9834"/>
    </row>
    <row r="9835" spans="1:141" s="116" customFormat="1">
      <c r="A9835" s="136"/>
      <c r="CM9835" s="111"/>
      <c r="CQ9835" s="111"/>
      <c r="EF9835"/>
      <c r="EG9835"/>
      <c r="EH9835"/>
      <c r="EI9835"/>
      <c r="EJ9835"/>
      <c r="EK9835"/>
    </row>
    <row r="9836" spans="1:141" s="116" customFormat="1">
      <c r="A9836" s="136"/>
      <c r="CM9836" s="111"/>
      <c r="CQ9836" s="111"/>
      <c r="EF9836"/>
      <c r="EG9836"/>
      <c r="EH9836"/>
      <c r="EI9836"/>
      <c r="EJ9836"/>
      <c r="EK9836"/>
    </row>
    <row r="9837" spans="1:141" s="116" customFormat="1">
      <c r="A9837" s="136"/>
      <c r="CM9837" s="111"/>
      <c r="CQ9837" s="111"/>
      <c r="EF9837"/>
      <c r="EG9837"/>
      <c r="EH9837"/>
      <c r="EI9837"/>
      <c r="EJ9837"/>
      <c r="EK9837"/>
    </row>
    <row r="9838" spans="1:141" s="116" customFormat="1">
      <c r="A9838" s="136"/>
      <c r="CM9838" s="111"/>
      <c r="CQ9838" s="111"/>
      <c r="EF9838"/>
      <c r="EG9838"/>
      <c r="EH9838"/>
      <c r="EI9838"/>
      <c r="EJ9838"/>
      <c r="EK9838"/>
    </row>
    <row r="9839" spans="1:141" s="116" customFormat="1">
      <c r="A9839" s="136"/>
      <c r="CM9839" s="111"/>
      <c r="CQ9839" s="111"/>
      <c r="EF9839"/>
      <c r="EG9839"/>
      <c r="EH9839"/>
      <c r="EI9839"/>
      <c r="EJ9839"/>
      <c r="EK9839"/>
    </row>
    <row r="9840" spans="1:141" s="116" customFormat="1">
      <c r="A9840" s="136"/>
      <c r="CM9840" s="111"/>
      <c r="CQ9840" s="111"/>
      <c r="EF9840"/>
      <c r="EG9840"/>
      <c r="EH9840"/>
      <c r="EI9840"/>
      <c r="EJ9840"/>
      <c r="EK9840"/>
    </row>
    <row r="9841" spans="1:141" s="116" customFormat="1">
      <c r="A9841" s="136"/>
      <c r="CM9841" s="111"/>
      <c r="CQ9841" s="111"/>
      <c r="EF9841"/>
      <c r="EG9841"/>
      <c r="EH9841"/>
      <c r="EI9841"/>
      <c r="EJ9841"/>
      <c r="EK9841"/>
    </row>
    <row r="9842" spans="1:141" s="116" customFormat="1">
      <c r="A9842" s="136"/>
      <c r="CM9842" s="111"/>
      <c r="CQ9842" s="111"/>
      <c r="EF9842"/>
      <c r="EG9842"/>
      <c r="EH9842"/>
      <c r="EI9842"/>
      <c r="EJ9842"/>
      <c r="EK9842"/>
    </row>
    <row r="9843" spans="1:141" s="116" customFormat="1">
      <c r="A9843" s="136"/>
      <c r="CM9843" s="111"/>
      <c r="CQ9843" s="111"/>
      <c r="EF9843"/>
      <c r="EG9843"/>
      <c r="EH9843"/>
      <c r="EI9843"/>
      <c r="EJ9843"/>
      <c r="EK9843"/>
    </row>
    <row r="9844" spans="1:141" s="116" customFormat="1">
      <c r="A9844" s="136"/>
      <c r="CM9844" s="111"/>
      <c r="CQ9844" s="111"/>
      <c r="EF9844"/>
      <c r="EG9844"/>
      <c r="EH9844"/>
      <c r="EI9844"/>
      <c r="EJ9844"/>
      <c r="EK9844"/>
    </row>
    <row r="9845" spans="1:141" s="116" customFormat="1">
      <c r="A9845" s="136"/>
      <c r="CM9845" s="111"/>
      <c r="CQ9845" s="111"/>
      <c r="EF9845"/>
      <c r="EG9845"/>
      <c r="EH9845"/>
      <c r="EI9845"/>
      <c r="EJ9845"/>
      <c r="EK9845"/>
    </row>
    <row r="9846" spans="1:141" s="116" customFormat="1">
      <c r="A9846" s="136"/>
      <c r="CM9846" s="111"/>
      <c r="CQ9846" s="111"/>
      <c r="EF9846"/>
      <c r="EG9846"/>
      <c r="EH9846"/>
      <c r="EI9846"/>
      <c r="EJ9846"/>
      <c r="EK9846"/>
    </row>
    <row r="9847" spans="1:141" s="116" customFormat="1">
      <c r="A9847" s="136"/>
      <c r="CM9847" s="111"/>
      <c r="CQ9847" s="111"/>
      <c r="EF9847"/>
      <c r="EG9847"/>
      <c r="EH9847"/>
      <c r="EI9847"/>
      <c r="EJ9847"/>
      <c r="EK9847"/>
    </row>
    <row r="9848" spans="1:141" s="116" customFormat="1">
      <c r="A9848" s="136"/>
      <c r="CM9848" s="111"/>
      <c r="CQ9848" s="111"/>
      <c r="EF9848"/>
      <c r="EG9848"/>
      <c r="EH9848"/>
      <c r="EI9848"/>
      <c r="EJ9848"/>
      <c r="EK9848"/>
    </row>
    <row r="9849" spans="1:141" s="116" customFormat="1">
      <c r="A9849" s="136"/>
      <c r="CM9849" s="111"/>
      <c r="CQ9849" s="111"/>
      <c r="EF9849"/>
      <c r="EG9849"/>
      <c r="EH9849"/>
      <c r="EI9849"/>
      <c r="EJ9849"/>
      <c r="EK9849"/>
    </row>
    <row r="9850" spans="1:141" s="116" customFormat="1">
      <c r="A9850" s="136"/>
      <c r="CM9850" s="111"/>
      <c r="CQ9850" s="111"/>
      <c r="EF9850"/>
      <c r="EG9850"/>
      <c r="EH9850"/>
      <c r="EI9850"/>
      <c r="EJ9850"/>
      <c r="EK9850"/>
    </row>
    <row r="9851" spans="1:141" s="116" customFormat="1">
      <c r="A9851" s="136"/>
      <c r="CM9851" s="111"/>
      <c r="CQ9851" s="111"/>
      <c r="EF9851"/>
      <c r="EG9851"/>
      <c r="EH9851"/>
      <c r="EI9851"/>
      <c r="EJ9851"/>
      <c r="EK9851"/>
    </row>
    <row r="9852" spans="1:141" s="116" customFormat="1">
      <c r="A9852" s="136"/>
      <c r="CM9852" s="111"/>
      <c r="CQ9852" s="111"/>
      <c r="EF9852"/>
      <c r="EG9852"/>
      <c r="EH9852"/>
      <c r="EI9852"/>
      <c r="EJ9852"/>
      <c r="EK9852"/>
    </row>
    <row r="9853" spans="1:141" s="116" customFormat="1">
      <c r="A9853" s="136"/>
      <c r="CM9853" s="111"/>
      <c r="CQ9853" s="111"/>
      <c r="EF9853"/>
      <c r="EG9853"/>
      <c r="EH9853"/>
      <c r="EI9853"/>
      <c r="EJ9853"/>
      <c r="EK9853"/>
    </row>
    <row r="9854" spans="1:141" s="116" customFormat="1">
      <c r="A9854" s="136"/>
      <c r="CM9854" s="111"/>
      <c r="CQ9854" s="111"/>
      <c r="EF9854"/>
      <c r="EG9854"/>
      <c r="EH9854"/>
      <c r="EI9854"/>
      <c r="EJ9854"/>
      <c r="EK9854"/>
    </row>
    <row r="9855" spans="1:141" s="116" customFormat="1">
      <c r="A9855" s="136"/>
      <c r="CM9855" s="111"/>
      <c r="CQ9855" s="111"/>
      <c r="EF9855"/>
      <c r="EG9855"/>
      <c r="EH9855"/>
      <c r="EI9855"/>
      <c r="EJ9855"/>
      <c r="EK9855"/>
    </row>
    <row r="9856" spans="1:141" s="116" customFormat="1">
      <c r="A9856" s="136"/>
      <c r="CM9856" s="111"/>
      <c r="CQ9856" s="111"/>
      <c r="EF9856"/>
      <c r="EG9856"/>
      <c r="EH9856"/>
      <c r="EI9856"/>
      <c r="EJ9856"/>
      <c r="EK9856"/>
    </row>
    <row r="9857" spans="1:141" s="116" customFormat="1">
      <c r="A9857" s="136"/>
      <c r="CM9857" s="111"/>
      <c r="CQ9857" s="111"/>
      <c r="EF9857"/>
      <c r="EG9857"/>
      <c r="EH9857"/>
      <c r="EI9857"/>
      <c r="EJ9857"/>
      <c r="EK9857"/>
    </row>
    <row r="9858" spans="1:141" s="116" customFormat="1">
      <c r="A9858" s="136"/>
      <c r="CM9858" s="111"/>
      <c r="CQ9858" s="111"/>
      <c r="EF9858"/>
      <c r="EG9858"/>
      <c r="EH9858"/>
      <c r="EI9858"/>
      <c r="EJ9858"/>
      <c r="EK9858"/>
    </row>
    <row r="9859" spans="1:141" s="116" customFormat="1">
      <c r="A9859" s="136"/>
      <c r="CM9859" s="111"/>
      <c r="CQ9859" s="111"/>
      <c r="EF9859"/>
      <c r="EG9859"/>
      <c r="EH9859"/>
      <c r="EI9859"/>
      <c r="EJ9859"/>
      <c r="EK9859"/>
    </row>
    <row r="9860" spans="1:141" s="116" customFormat="1">
      <c r="A9860" s="136"/>
      <c r="CM9860" s="111"/>
      <c r="CQ9860" s="111"/>
      <c r="EF9860"/>
      <c r="EG9860"/>
      <c r="EH9860"/>
      <c r="EI9860"/>
      <c r="EJ9860"/>
      <c r="EK9860"/>
    </row>
    <row r="9861" spans="1:141" s="116" customFormat="1">
      <c r="A9861" s="136"/>
      <c r="CM9861" s="111"/>
      <c r="CQ9861" s="111"/>
      <c r="EF9861"/>
      <c r="EG9861"/>
      <c r="EH9861"/>
      <c r="EI9861"/>
      <c r="EJ9861"/>
      <c r="EK9861"/>
    </row>
    <row r="9862" spans="1:141" s="116" customFormat="1">
      <c r="A9862" s="136"/>
      <c r="CM9862" s="111"/>
      <c r="CQ9862" s="111"/>
      <c r="EF9862"/>
      <c r="EG9862"/>
      <c r="EH9862"/>
      <c r="EI9862"/>
      <c r="EJ9862"/>
      <c r="EK9862"/>
    </row>
    <row r="9863" spans="1:141" s="116" customFormat="1">
      <c r="A9863" s="136"/>
      <c r="CM9863" s="111"/>
      <c r="CQ9863" s="111"/>
      <c r="EF9863"/>
      <c r="EG9863"/>
      <c r="EH9863"/>
      <c r="EI9863"/>
      <c r="EJ9863"/>
      <c r="EK9863"/>
    </row>
    <row r="9864" spans="1:141" s="116" customFormat="1">
      <c r="A9864" s="136"/>
      <c r="CM9864" s="111"/>
      <c r="CQ9864" s="111"/>
      <c r="EF9864"/>
      <c r="EG9864"/>
      <c r="EH9864"/>
      <c r="EI9864"/>
      <c r="EJ9864"/>
      <c r="EK9864"/>
    </row>
    <row r="9865" spans="1:141" s="116" customFormat="1">
      <c r="A9865" s="136"/>
      <c r="CM9865" s="111"/>
      <c r="CQ9865" s="111"/>
      <c r="EF9865"/>
      <c r="EG9865"/>
      <c r="EH9865"/>
      <c r="EI9865"/>
      <c r="EJ9865"/>
      <c r="EK9865"/>
    </row>
    <row r="9866" spans="1:141" s="116" customFormat="1">
      <c r="A9866" s="136"/>
      <c r="CM9866" s="111"/>
      <c r="CQ9866" s="111"/>
      <c r="EF9866"/>
      <c r="EG9866"/>
      <c r="EH9866"/>
      <c r="EI9866"/>
      <c r="EJ9866"/>
      <c r="EK9866"/>
    </row>
    <row r="9867" spans="1:141" s="116" customFormat="1">
      <c r="A9867" s="136"/>
      <c r="CM9867" s="111"/>
      <c r="CQ9867" s="111"/>
      <c r="EF9867"/>
      <c r="EG9867"/>
      <c r="EH9867"/>
      <c r="EI9867"/>
      <c r="EJ9867"/>
      <c r="EK9867"/>
    </row>
    <row r="9868" spans="1:141" s="116" customFormat="1">
      <c r="A9868" s="136"/>
      <c r="CM9868" s="111"/>
      <c r="CQ9868" s="111"/>
      <c r="EF9868"/>
      <c r="EG9868"/>
      <c r="EH9868"/>
      <c r="EI9868"/>
      <c r="EJ9868"/>
      <c r="EK9868"/>
    </row>
    <row r="9869" spans="1:141" s="116" customFormat="1">
      <c r="A9869" s="136"/>
      <c r="CM9869" s="111"/>
      <c r="CQ9869" s="111"/>
      <c r="EF9869"/>
      <c r="EG9869"/>
      <c r="EH9869"/>
      <c r="EI9869"/>
      <c r="EJ9869"/>
      <c r="EK9869"/>
    </row>
    <row r="9870" spans="1:141" s="116" customFormat="1">
      <c r="A9870" s="136"/>
      <c r="CM9870" s="111"/>
      <c r="CQ9870" s="111"/>
      <c r="EF9870"/>
      <c r="EG9870"/>
      <c r="EH9870"/>
      <c r="EI9870"/>
      <c r="EJ9870"/>
      <c r="EK9870"/>
    </row>
    <row r="9871" spans="1:141" s="116" customFormat="1">
      <c r="A9871" s="136"/>
      <c r="CM9871" s="111"/>
      <c r="CQ9871" s="111"/>
      <c r="EF9871"/>
      <c r="EG9871"/>
      <c r="EH9871"/>
      <c r="EI9871"/>
      <c r="EJ9871"/>
      <c r="EK9871"/>
    </row>
    <row r="9872" spans="1:141" s="116" customFormat="1">
      <c r="A9872" s="136"/>
      <c r="CM9872" s="111"/>
      <c r="CQ9872" s="111"/>
      <c r="EF9872"/>
      <c r="EG9872"/>
      <c r="EH9872"/>
      <c r="EI9872"/>
      <c r="EJ9872"/>
      <c r="EK9872"/>
    </row>
    <row r="9873" spans="1:141" s="116" customFormat="1">
      <c r="A9873" s="136"/>
      <c r="CM9873" s="111"/>
      <c r="CQ9873" s="111"/>
      <c r="EF9873"/>
      <c r="EG9873"/>
      <c r="EH9873"/>
      <c r="EI9873"/>
      <c r="EJ9873"/>
      <c r="EK9873"/>
    </row>
    <row r="9874" spans="1:141" s="116" customFormat="1">
      <c r="A9874" s="136"/>
      <c r="CM9874" s="111"/>
      <c r="CQ9874" s="111"/>
      <c r="EF9874"/>
      <c r="EG9874"/>
      <c r="EH9874"/>
      <c r="EI9874"/>
      <c r="EJ9874"/>
      <c r="EK9874"/>
    </row>
    <row r="9875" spans="1:141" s="116" customFormat="1">
      <c r="A9875" s="136"/>
      <c r="CM9875" s="111"/>
      <c r="CQ9875" s="111"/>
      <c r="EF9875"/>
      <c r="EG9875"/>
      <c r="EH9875"/>
      <c r="EI9875"/>
      <c r="EJ9875"/>
      <c r="EK9875"/>
    </row>
    <row r="9876" spans="1:141" s="116" customFormat="1">
      <c r="A9876" s="136"/>
      <c r="CM9876" s="111"/>
      <c r="CQ9876" s="111"/>
      <c r="EF9876"/>
      <c r="EG9876"/>
      <c r="EH9876"/>
      <c r="EI9876"/>
      <c r="EJ9876"/>
      <c r="EK9876"/>
    </row>
    <row r="9877" spans="1:141" s="116" customFormat="1">
      <c r="A9877" s="136"/>
      <c r="CM9877" s="111"/>
      <c r="CQ9877" s="111"/>
      <c r="EF9877"/>
      <c r="EG9877"/>
      <c r="EH9877"/>
      <c r="EI9877"/>
      <c r="EJ9877"/>
      <c r="EK9877"/>
    </row>
    <row r="9878" spans="1:141" s="116" customFormat="1">
      <c r="A9878" s="136"/>
      <c r="CM9878" s="111"/>
      <c r="CQ9878" s="111"/>
      <c r="EF9878"/>
      <c r="EG9878"/>
      <c r="EH9878"/>
      <c r="EI9878"/>
      <c r="EJ9878"/>
      <c r="EK9878"/>
    </row>
    <row r="9879" spans="1:141" s="116" customFormat="1">
      <c r="A9879" s="136"/>
      <c r="CM9879" s="111"/>
      <c r="CQ9879" s="111"/>
      <c r="EF9879"/>
      <c r="EG9879"/>
      <c r="EH9879"/>
      <c r="EI9879"/>
      <c r="EJ9879"/>
      <c r="EK9879"/>
    </row>
    <row r="9880" spans="1:141" s="116" customFormat="1">
      <c r="A9880" s="136"/>
      <c r="CM9880" s="111"/>
      <c r="CQ9880" s="111"/>
      <c r="EF9880"/>
      <c r="EG9880"/>
      <c r="EH9880"/>
      <c r="EI9880"/>
      <c r="EJ9880"/>
      <c r="EK9880"/>
    </row>
    <row r="9881" spans="1:141" s="116" customFormat="1">
      <c r="A9881" s="136"/>
      <c r="CM9881" s="111"/>
      <c r="CQ9881" s="111"/>
      <c r="EF9881"/>
      <c r="EG9881"/>
      <c r="EH9881"/>
      <c r="EI9881"/>
      <c r="EJ9881"/>
      <c r="EK9881"/>
    </row>
    <row r="9882" spans="1:141" s="116" customFormat="1">
      <c r="A9882" s="136"/>
      <c r="CM9882" s="111"/>
      <c r="CQ9882" s="111"/>
      <c r="EF9882"/>
      <c r="EG9882"/>
      <c r="EH9882"/>
      <c r="EI9882"/>
      <c r="EJ9882"/>
      <c r="EK9882"/>
    </row>
    <row r="9883" spans="1:141" s="116" customFormat="1">
      <c r="A9883" s="136"/>
      <c r="CM9883" s="111"/>
      <c r="CQ9883" s="111"/>
      <c r="EF9883"/>
      <c r="EG9883"/>
      <c r="EH9883"/>
      <c r="EI9883"/>
      <c r="EJ9883"/>
      <c r="EK9883"/>
    </row>
    <row r="9884" spans="1:141" s="116" customFormat="1">
      <c r="A9884" s="136"/>
      <c r="CM9884" s="111"/>
      <c r="CQ9884" s="111"/>
      <c r="EF9884"/>
      <c r="EG9884"/>
      <c r="EH9884"/>
      <c r="EI9884"/>
      <c r="EJ9884"/>
      <c r="EK9884"/>
    </row>
    <row r="9885" spans="1:141" s="116" customFormat="1">
      <c r="A9885" s="136"/>
      <c r="CM9885" s="111"/>
      <c r="CQ9885" s="111"/>
      <c r="EF9885"/>
      <c r="EG9885"/>
      <c r="EH9885"/>
      <c r="EI9885"/>
      <c r="EJ9885"/>
      <c r="EK9885"/>
    </row>
    <row r="9886" spans="1:141" s="116" customFormat="1">
      <c r="A9886" s="136"/>
      <c r="CM9886" s="111"/>
      <c r="CQ9886" s="111"/>
      <c r="EF9886"/>
      <c r="EG9886"/>
      <c r="EH9886"/>
      <c r="EI9886"/>
      <c r="EJ9886"/>
      <c r="EK9886"/>
    </row>
    <row r="9887" spans="1:141" s="116" customFormat="1">
      <c r="A9887" s="136"/>
      <c r="CM9887" s="111"/>
      <c r="CQ9887" s="111"/>
      <c r="EF9887"/>
      <c r="EG9887"/>
      <c r="EH9887"/>
      <c r="EI9887"/>
      <c r="EJ9887"/>
      <c r="EK9887"/>
    </row>
    <row r="9888" spans="1:141" s="116" customFormat="1">
      <c r="A9888" s="136"/>
      <c r="CM9888" s="111"/>
      <c r="CQ9888" s="111"/>
      <c r="EF9888"/>
      <c r="EG9888"/>
      <c r="EH9888"/>
      <c r="EI9888"/>
      <c r="EJ9888"/>
      <c r="EK9888"/>
    </row>
    <row r="9889" spans="1:141" s="116" customFormat="1">
      <c r="A9889" s="136"/>
      <c r="CM9889" s="111"/>
      <c r="CQ9889" s="111"/>
      <c r="EF9889"/>
      <c r="EG9889"/>
      <c r="EH9889"/>
      <c r="EI9889"/>
      <c r="EJ9889"/>
      <c r="EK9889"/>
    </row>
    <row r="9890" spans="1:141" s="116" customFormat="1">
      <c r="A9890" s="136"/>
      <c r="CM9890" s="111"/>
      <c r="CQ9890" s="111"/>
      <c r="EF9890"/>
      <c r="EG9890"/>
      <c r="EH9890"/>
      <c r="EI9890"/>
      <c r="EJ9890"/>
      <c r="EK9890"/>
    </row>
    <row r="9891" spans="1:141" s="116" customFormat="1">
      <c r="A9891" s="136"/>
      <c r="CM9891" s="111"/>
      <c r="CQ9891" s="111"/>
      <c r="EF9891"/>
      <c r="EG9891"/>
      <c r="EH9891"/>
      <c r="EI9891"/>
      <c r="EJ9891"/>
      <c r="EK9891"/>
    </row>
    <row r="9892" spans="1:141" s="116" customFormat="1">
      <c r="A9892" s="136"/>
      <c r="CM9892" s="111"/>
      <c r="CQ9892" s="111"/>
      <c r="EF9892"/>
      <c r="EG9892"/>
      <c r="EH9892"/>
      <c r="EI9892"/>
      <c r="EJ9892"/>
      <c r="EK9892"/>
    </row>
    <row r="9893" spans="1:141" s="116" customFormat="1">
      <c r="A9893" s="136"/>
      <c r="CM9893" s="111"/>
      <c r="CQ9893" s="111"/>
      <c r="EF9893"/>
      <c r="EG9893"/>
      <c r="EH9893"/>
      <c r="EI9893"/>
      <c r="EJ9893"/>
      <c r="EK9893"/>
    </row>
    <row r="9894" spans="1:141" s="116" customFormat="1">
      <c r="A9894" s="136"/>
      <c r="CM9894" s="111"/>
      <c r="CQ9894" s="111"/>
      <c r="EF9894"/>
      <c r="EG9894"/>
      <c r="EH9894"/>
      <c r="EI9894"/>
      <c r="EJ9894"/>
      <c r="EK9894"/>
    </row>
    <row r="9895" spans="1:141" s="116" customFormat="1">
      <c r="A9895" s="136"/>
      <c r="CM9895" s="111"/>
      <c r="CQ9895" s="111"/>
      <c r="EF9895"/>
      <c r="EG9895"/>
      <c r="EH9895"/>
      <c r="EI9895"/>
      <c r="EJ9895"/>
      <c r="EK9895"/>
    </row>
    <row r="9896" spans="1:141" s="116" customFormat="1">
      <c r="A9896" s="136"/>
      <c r="CM9896" s="111"/>
      <c r="CQ9896" s="111"/>
      <c r="EF9896"/>
      <c r="EG9896"/>
      <c r="EH9896"/>
      <c r="EI9896"/>
      <c r="EJ9896"/>
      <c r="EK9896"/>
    </row>
    <row r="9897" spans="1:141" s="116" customFormat="1">
      <c r="A9897" s="136"/>
      <c r="CM9897" s="111"/>
      <c r="CQ9897" s="111"/>
      <c r="EF9897"/>
      <c r="EG9897"/>
      <c r="EH9897"/>
      <c r="EI9897"/>
      <c r="EJ9897"/>
      <c r="EK9897"/>
    </row>
    <row r="9898" spans="1:141" s="116" customFormat="1">
      <c r="A9898" s="136"/>
      <c r="CM9898" s="111"/>
      <c r="CQ9898" s="111"/>
      <c r="EF9898"/>
      <c r="EG9898"/>
      <c r="EH9898"/>
      <c r="EI9898"/>
      <c r="EJ9898"/>
      <c r="EK9898"/>
    </row>
    <row r="9899" spans="1:141" s="116" customFormat="1">
      <c r="A9899" s="136"/>
      <c r="CM9899" s="111"/>
      <c r="CQ9899" s="111"/>
      <c r="EF9899"/>
      <c r="EG9899"/>
      <c r="EH9899"/>
      <c r="EI9899"/>
      <c r="EJ9899"/>
      <c r="EK9899"/>
    </row>
    <row r="9900" spans="1:141" s="116" customFormat="1">
      <c r="A9900" s="136"/>
      <c r="CM9900" s="111"/>
      <c r="CQ9900" s="111"/>
      <c r="EF9900"/>
      <c r="EG9900"/>
      <c r="EH9900"/>
      <c r="EI9900"/>
      <c r="EJ9900"/>
      <c r="EK9900"/>
    </row>
    <row r="9901" spans="1:141" s="116" customFormat="1">
      <c r="A9901" s="136"/>
      <c r="CM9901" s="111"/>
      <c r="CQ9901" s="111"/>
      <c r="EF9901"/>
      <c r="EG9901"/>
      <c r="EH9901"/>
      <c r="EI9901"/>
      <c r="EJ9901"/>
      <c r="EK9901"/>
    </row>
    <row r="9902" spans="1:141" s="116" customFormat="1">
      <c r="A9902" s="136"/>
      <c r="CM9902" s="111"/>
      <c r="CQ9902" s="111"/>
      <c r="EF9902"/>
      <c r="EG9902"/>
      <c r="EH9902"/>
      <c r="EI9902"/>
      <c r="EJ9902"/>
      <c r="EK9902"/>
    </row>
    <row r="9903" spans="1:141" s="116" customFormat="1">
      <c r="A9903" s="136"/>
      <c r="CM9903" s="111"/>
      <c r="CQ9903" s="111"/>
      <c r="EF9903"/>
      <c r="EG9903"/>
      <c r="EH9903"/>
      <c r="EI9903"/>
      <c r="EJ9903"/>
      <c r="EK9903"/>
    </row>
    <row r="9904" spans="1:141" s="116" customFormat="1">
      <c r="A9904" s="136"/>
      <c r="CM9904" s="111"/>
      <c r="CQ9904" s="111"/>
      <c r="EF9904"/>
      <c r="EG9904"/>
      <c r="EH9904"/>
      <c r="EI9904"/>
      <c r="EJ9904"/>
      <c r="EK9904"/>
    </row>
    <row r="9905" spans="1:141" s="116" customFormat="1">
      <c r="A9905" s="136"/>
      <c r="CM9905" s="111"/>
      <c r="CQ9905" s="111"/>
      <c r="EF9905"/>
      <c r="EG9905"/>
      <c r="EH9905"/>
      <c r="EI9905"/>
      <c r="EJ9905"/>
      <c r="EK9905"/>
    </row>
    <row r="9906" spans="1:141" s="116" customFormat="1">
      <c r="A9906" s="136"/>
      <c r="CM9906" s="111"/>
      <c r="CQ9906" s="111"/>
      <c r="EF9906"/>
      <c r="EG9906"/>
      <c r="EH9906"/>
      <c r="EI9906"/>
      <c r="EJ9906"/>
      <c r="EK9906"/>
    </row>
    <row r="9907" spans="1:141" s="116" customFormat="1">
      <c r="A9907" s="136"/>
      <c r="CM9907" s="111"/>
      <c r="CQ9907" s="111"/>
      <c r="EF9907"/>
      <c r="EG9907"/>
      <c r="EH9907"/>
      <c r="EI9907"/>
      <c r="EJ9907"/>
      <c r="EK9907"/>
    </row>
    <row r="9908" spans="1:141" s="116" customFormat="1">
      <c r="A9908" s="136"/>
      <c r="CM9908" s="111"/>
      <c r="CQ9908" s="111"/>
      <c r="EF9908"/>
      <c r="EG9908"/>
      <c r="EH9908"/>
      <c r="EI9908"/>
      <c r="EJ9908"/>
      <c r="EK9908"/>
    </row>
    <row r="9909" spans="1:141" s="116" customFormat="1">
      <c r="A9909" s="136"/>
      <c r="CM9909" s="111"/>
      <c r="CQ9909" s="111"/>
      <c r="EF9909"/>
      <c r="EG9909"/>
      <c r="EH9909"/>
      <c r="EI9909"/>
      <c r="EJ9909"/>
      <c r="EK9909"/>
    </row>
    <row r="9910" spans="1:141" s="116" customFormat="1">
      <c r="A9910" s="136"/>
      <c r="CM9910" s="111"/>
      <c r="CQ9910" s="111"/>
      <c r="EF9910"/>
      <c r="EG9910"/>
      <c r="EH9910"/>
      <c r="EI9910"/>
      <c r="EJ9910"/>
      <c r="EK9910"/>
    </row>
    <row r="9911" spans="1:141" s="116" customFormat="1">
      <c r="A9911" s="136"/>
      <c r="CM9911" s="111"/>
      <c r="CQ9911" s="111"/>
      <c r="EF9911"/>
      <c r="EG9911"/>
      <c r="EH9911"/>
      <c r="EI9911"/>
      <c r="EJ9911"/>
      <c r="EK9911"/>
    </row>
    <row r="9912" spans="1:141" s="116" customFormat="1">
      <c r="A9912" s="136"/>
      <c r="CM9912" s="111"/>
      <c r="CQ9912" s="111"/>
      <c r="EF9912"/>
      <c r="EG9912"/>
      <c r="EH9912"/>
      <c r="EI9912"/>
      <c r="EJ9912"/>
      <c r="EK9912"/>
    </row>
    <row r="9913" spans="1:141" s="116" customFormat="1">
      <c r="A9913" s="136"/>
      <c r="CM9913" s="111"/>
      <c r="CQ9913" s="111"/>
      <c r="EF9913"/>
      <c r="EG9913"/>
      <c r="EH9913"/>
      <c r="EI9913"/>
      <c r="EJ9913"/>
      <c r="EK9913"/>
    </row>
    <row r="9914" spans="1:141" s="116" customFormat="1">
      <c r="A9914" s="136"/>
      <c r="CM9914" s="111"/>
      <c r="CQ9914" s="111"/>
      <c r="EF9914"/>
      <c r="EG9914"/>
      <c r="EH9914"/>
      <c r="EI9914"/>
      <c r="EJ9914"/>
      <c r="EK9914"/>
    </row>
    <row r="9915" spans="1:141" s="116" customFormat="1">
      <c r="A9915" s="136"/>
      <c r="CM9915" s="111"/>
      <c r="CQ9915" s="111"/>
      <c r="EF9915"/>
      <c r="EG9915"/>
      <c r="EH9915"/>
      <c r="EI9915"/>
      <c r="EJ9915"/>
      <c r="EK9915"/>
    </row>
    <row r="9916" spans="1:141" s="116" customFormat="1">
      <c r="A9916" s="136"/>
      <c r="CM9916" s="111"/>
      <c r="CQ9916" s="111"/>
      <c r="EF9916"/>
      <c r="EG9916"/>
      <c r="EH9916"/>
      <c r="EI9916"/>
      <c r="EJ9916"/>
      <c r="EK9916"/>
    </row>
    <row r="9917" spans="1:141" s="116" customFormat="1">
      <c r="A9917" s="136"/>
      <c r="CM9917" s="111"/>
      <c r="CQ9917" s="111"/>
      <c r="EF9917"/>
      <c r="EG9917"/>
      <c r="EH9917"/>
      <c r="EI9917"/>
      <c r="EJ9917"/>
      <c r="EK9917"/>
    </row>
    <row r="9918" spans="1:141" s="116" customFormat="1">
      <c r="A9918" s="136"/>
      <c r="CM9918" s="111"/>
      <c r="CQ9918" s="111"/>
      <c r="EF9918"/>
      <c r="EG9918"/>
      <c r="EH9918"/>
      <c r="EI9918"/>
      <c r="EJ9918"/>
      <c r="EK9918"/>
    </row>
    <row r="9919" spans="1:141" s="116" customFormat="1">
      <c r="A9919" s="136"/>
      <c r="CM9919" s="111"/>
      <c r="CQ9919" s="111"/>
      <c r="EF9919"/>
      <c r="EG9919"/>
      <c r="EH9919"/>
      <c r="EI9919"/>
      <c r="EJ9919"/>
      <c r="EK9919"/>
    </row>
    <row r="9920" spans="1:141" s="116" customFormat="1">
      <c r="A9920" s="136"/>
      <c r="CM9920" s="111"/>
      <c r="CQ9920" s="111"/>
      <c r="EF9920"/>
      <c r="EG9920"/>
      <c r="EH9920"/>
      <c r="EI9920"/>
      <c r="EJ9920"/>
      <c r="EK9920"/>
    </row>
    <row r="9921" spans="1:141" s="116" customFormat="1">
      <c r="A9921" s="136"/>
      <c r="CM9921" s="111"/>
      <c r="CQ9921" s="111"/>
      <c r="EF9921"/>
      <c r="EG9921"/>
      <c r="EH9921"/>
      <c r="EI9921"/>
      <c r="EJ9921"/>
      <c r="EK9921"/>
    </row>
    <row r="9922" spans="1:141" s="116" customFormat="1">
      <c r="A9922" s="136"/>
      <c r="CM9922" s="111"/>
      <c r="CQ9922" s="111"/>
      <c r="EF9922"/>
      <c r="EG9922"/>
      <c r="EH9922"/>
      <c r="EI9922"/>
      <c r="EJ9922"/>
      <c r="EK9922"/>
    </row>
    <row r="9923" spans="1:141" s="116" customFormat="1">
      <c r="A9923" s="136"/>
      <c r="CM9923" s="111"/>
      <c r="CQ9923" s="111"/>
      <c r="EF9923"/>
      <c r="EG9923"/>
      <c r="EH9923"/>
      <c r="EI9923"/>
      <c r="EJ9923"/>
      <c r="EK9923"/>
    </row>
    <row r="9924" spans="1:141" s="116" customFormat="1">
      <c r="A9924" s="136"/>
      <c r="CM9924" s="111"/>
      <c r="CQ9924" s="111"/>
      <c r="EF9924"/>
      <c r="EG9924"/>
      <c r="EH9924"/>
      <c r="EI9924"/>
      <c r="EJ9924"/>
      <c r="EK9924"/>
    </row>
    <row r="9925" spans="1:141" s="116" customFormat="1">
      <c r="A9925" s="136"/>
      <c r="CM9925" s="111"/>
      <c r="CQ9925" s="111"/>
      <c r="EF9925"/>
      <c r="EG9925"/>
      <c r="EH9925"/>
      <c r="EI9925"/>
      <c r="EJ9925"/>
      <c r="EK9925"/>
    </row>
    <row r="9926" spans="1:141" s="116" customFormat="1">
      <c r="A9926" s="136"/>
      <c r="CM9926" s="111"/>
      <c r="CQ9926" s="111"/>
      <c r="EF9926"/>
      <c r="EG9926"/>
      <c r="EH9926"/>
      <c r="EI9926"/>
      <c r="EJ9926"/>
      <c r="EK9926"/>
    </row>
    <row r="9927" spans="1:141" s="116" customFormat="1">
      <c r="A9927" s="136"/>
      <c r="CM9927" s="111"/>
      <c r="CQ9927" s="111"/>
      <c r="EF9927"/>
      <c r="EG9927"/>
      <c r="EH9927"/>
      <c r="EI9927"/>
      <c r="EJ9927"/>
      <c r="EK9927"/>
    </row>
    <row r="9928" spans="1:141" s="116" customFormat="1">
      <c r="A9928" s="136"/>
      <c r="CM9928" s="111"/>
      <c r="CQ9928" s="111"/>
      <c r="EF9928"/>
      <c r="EG9928"/>
      <c r="EH9928"/>
      <c r="EI9928"/>
      <c r="EJ9928"/>
      <c r="EK9928"/>
    </row>
    <row r="9929" spans="1:141" s="116" customFormat="1">
      <c r="A9929" s="136"/>
      <c r="CM9929" s="111"/>
      <c r="CQ9929" s="111"/>
      <c r="EF9929"/>
      <c r="EG9929"/>
      <c r="EH9929"/>
      <c r="EI9929"/>
      <c r="EJ9929"/>
      <c r="EK9929"/>
    </row>
    <row r="9930" spans="1:141" s="116" customFormat="1">
      <c r="A9930" s="136"/>
      <c r="CM9930" s="111"/>
      <c r="CQ9930" s="111"/>
      <c r="EF9930"/>
      <c r="EG9930"/>
      <c r="EH9930"/>
      <c r="EI9930"/>
      <c r="EJ9930"/>
      <c r="EK9930"/>
    </row>
    <row r="9931" spans="1:141" s="116" customFormat="1">
      <c r="A9931" s="136"/>
      <c r="CM9931" s="111"/>
      <c r="CQ9931" s="111"/>
      <c r="EF9931"/>
      <c r="EG9931"/>
      <c r="EH9931"/>
      <c r="EI9931"/>
      <c r="EJ9931"/>
      <c r="EK9931"/>
    </row>
    <row r="9932" spans="1:141" s="116" customFormat="1">
      <c r="A9932" s="136"/>
      <c r="CM9932" s="111"/>
      <c r="CQ9932" s="111"/>
      <c r="EF9932"/>
      <c r="EG9932"/>
      <c r="EH9932"/>
      <c r="EI9932"/>
      <c r="EJ9932"/>
      <c r="EK9932"/>
    </row>
    <row r="9933" spans="1:141" s="116" customFormat="1">
      <c r="A9933" s="136"/>
      <c r="CM9933" s="111"/>
      <c r="CQ9933" s="111"/>
      <c r="EF9933"/>
      <c r="EG9933"/>
      <c r="EH9933"/>
      <c r="EI9933"/>
      <c r="EJ9933"/>
      <c r="EK9933"/>
    </row>
    <row r="9934" spans="1:141" s="116" customFormat="1">
      <c r="A9934" s="136"/>
      <c r="CM9934" s="111"/>
      <c r="CQ9934" s="111"/>
      <c r="EF9934"/>
      <c r="EG9934"/>
      <c r="EH9934"/>
      <c r="EI9934"/>
      <c r="EJ9934"/>
      <c r="EK9934"/>
    </row>
    <row r="9935" spans="1:141" s="116" customFormat="1">
      <c r="A9935" s="136"/>
      <c r="CM9935" s="111"/>
      <c r="CQ9935" s="111"/>
      <c r="EF9935"/>
      <c r="EG9935"/>
      <c r="EH9935"/>
      <c r="EI9935"/>
      <c r="EJ9935"/>
      <c r="EK9935"/>
    </row>
    <row r="9936" spans="1:141" s="116" customFormat="1">
      <c r="A9936" s="136"/>
      <c r="CM9936" s="111"/>
      <c r="CQ9936" s="111"/>
      <c r="EF9936"/>
      <c r="EG9936"/>
      <c r="EH9936"/>
      <c r="EI9936"/>
      <c r="EJ9936"/>
      <c r="EK9936"/>
    </row>
    <row r="9937" spans="1:141" s="116" customFormat="1">
      <c r="A9937" s="136"/>
      <c r="CM9937" s="111"/>
      <c r="CQ9937" s="111"/>
      <c r="EF9937"/>
      <c r="EG9937"/>
      <c r="EH9937"/>
      <c r="EI9937"/>
      <c r="EJ9937"/>
      <c r="EK9937"/>
    </row>
    <row r="9938" spans="1:141" s="116" customFormat="1">
      <c r="A9938" s="136"/>
      <c r="CM9938" s="111"/>
      <c r="CQ9938" s="111"/>
      <c r="EF9938"/>
      <c r="EG9938"/>
      <c r="EH9938"/>
      <c r="EI9938"/>
      <c r="EJ9938"/>
      <c r="EK9938"/>
    </row>
    <row r="9939" spans="1:141" s="116" customFormat="1">
      <c r="A9939" s="136"/>
      <c r="CM9939" s="111"/>
      <c r="CQ9939" s="111"/>
      <c r="EF9939"/>
      <c r="EG9939"/>
      <c r="EH9939"/>
      <c r="EI9939"/>
      <c r="EJ9939"/>
      <c r="EK9939"/>
    </row>
    <row r="9940" spans="1:141" s="116" customFormat="1">
      <c r="A9940" s="136"/>
      <c r="CM9940" s="111"/>
      <c r="CQ9940" s="111"/>
      <c r="EF9940"/>
      <c r="EG9940"/>
      <c r="EH9940"/>
      <c r="EI9940"/>
      <c r="EJ9940"/>
      <c r="EK9940"/>
    </row>
    <row r="9941" spans="1:141" s="116" customFormat="1">
      <c r="A9941" s="136"/>
      <c r="CM9941" s="111"/>
      <c r="CQ9941" s="111"/>
      <c r="EF9941"/>
      <c r="EG9941"/>
      <c r="EH9941"/>
      <c r="EI9941"/>
      <c r="EJ9941"/>
      <c r="EK9941"/>
    </row>
    <row r="9942" spans="1:141" s="116" customFormat="1">
      <c r="A9942" s="136"/>
      <c r="CM9942" s="111"/>
      <c r="CQ9942" s="111"/>
      <c r="EF9942"/>
      <c r="EG9942"/>
      <c r="EH9942"/>
      <c r="EI9942"/>
      <c r="EJ9942"/>
      <c r="EK9942"/>
    </row>
    <row r="9943" spans="1:141" s="116" customFormat="1">
      <c r="A9943" s="136"/>
      <c r="CM9943" s="111"/>
      <c r="CQ9943" s="111"/>
      <c r="EF9943"/>
      <c r="EG9943"/>
      <c r="EH9943"/>
      <c r="EI9943"/>
      <c r="EJ9943"/>
      <c r="EK9943"/>
    </row>
    <row r="9944" spans="1:141" s="116" customFormat="1">
      <c r="A9944" s="136"/>
      <c r="CM9944" s="111"/>
      <c r="CQ9944" s="111"/>
      <c r="EF9944"/>
      <c r="EG9944"/>
      <c r="EH9944"/>
      <c r="EI9944"/>
      <c r="EJ9944"/>
      <c r="EK9944"/>
    </row>
    <row r="9945" spans="1:141" s="116" customFormat="1">
      <c r="A9945" s="136"/>
      <c r="CM9945" s="111"/>
      <c r="CQ9945" s="111"/>
      <c r="EF9945"/>
      <c r="EG9945"/>
      <c r="EH9945"/>
      <c r="EI9945"/>
      <c r="EJ9945"/>
      <c r="EK9945"/>
    </row>
    <row r="9946" spans="1:141" s="116" customFormat="1">
      <c r="A9946" s="136"/>
      <c r="CM9946" s="111"/>
      <c r="CQ9946" s="111"/>
      <c r="EF9946"/>
      <c r="EG9946"/>
      <c r="EH9946"/>
      <c r="EI9946"/>
      <c r="EJ9946"/>
      <c r="EK9946"/>
    </row>
    <row r="9947" spans="1:141" s="116" customFormat="1">
      <c r="A9947" s="136"/>
      <c r="CM9947" s="111"/>
      <c r="CQ9947" s="111"/>
      <c r="EF9947"/>
      <c r="EG9947"/>
      <c r="EH9947"/>
      <c r="EI9947"/>
      <c r="EJ9947"/>
      <c r="EK9947"/>
    </row>
    <row r="9948" spans="1:141" s="116" customFormat="1">
      <c r="A9948" s="136"/>
      <c r="CM9948" s="111"/>
      <c r="CQ9948" s="111"/>
      <c r="EF9948"/>
      <c r="EG9948"/>
      <c r="EH9948"/>
      <c r="EI9948"/>
      <c r="EJ9948"/>
      <c r="EK9948"/>
    </row>
    <row r="9949" spans="1:141" s="116" customFormat="1">
      <c r="A9949" s="136"/>
      <c r="CM9949" s="111"/>
      <c r="CQ9949" s="111"/>
      <c r="EF9949"/>
      <c r="EG9949"/>
      <c r="EH9949"/>
      <c r="EI9949"/>
      <c r="EJ9949"/>
      <c r="EK9949"/>
    </row>
    <row r="9950" spans="1:141" s="116" customFormat="1">
      <c r="A9950" s="136"/>
      <c r="CM9950" s="111"/>
      <c r="CQ9950" s="111"/>
      <c r="EF9950"/>
      <c r="EG9950"/>
      <c r="EH9950"/>
      <c r="EI9950"/>
      <c r="EJ9950"/>
      <c r="EK9950"/>
    </row>
    <row r="9951" spans="1:141" s="116" customFormat="1">
      <c r="A9951" s="136"/>
      <c r="CM9951" s="111"/>
      <c r="CQ9951" s="111"/>
      <c r="EF9951"/>
      <c r="EG9951"/>
      <c r="EH9951"/>
      <c r="EI9951"/>
      <c r="EJ9951"/>
      <c r="EK9951"/>
    </row>
    <row r="9952" spans="1:141" s="116" customFormat="1">
      <c r="A9952" s="136"/>
      <c r="CM9952" s="111"/>
      <c r="CQ9952" s="111"/>
      <c r="EF9952"/>
      <c r="EG9952"/>
      <c r="EH9952"/>
      <c r="EI9952"/>
      <c r="EJ9952"/>
      <c r="EK9952"/>
    </row>
    <row r="9953" spans="1:141" s="116" customFormat="1">
      <c r="A9953" s="136"/>
      <c r="CM9953" s="111"/>
      <c r="CQ9953" s="111"/>
      <c r="EF9953"/>
      <c r="EG9953"/>
      <c r="EH9953"/>
      <c r="EI9953"/>
      <c r="EJ9953"/>
      <c r="EK9953"/>
    </row>
    <row r="9954" spans="1:141" s="116" customFormat="1">
      <c r="A9954" s="136"/>
      <c r="CM9954" s="111"/>
      <c r="CQ9954" s="111"/>
      <c r="EF9954"/>
      <c r="EG9954"/>
      <c r="EH9954"/>
      <c r="EI9954"/>
      <c r="EJ9954"/>
      <c r="EK9954"/>
    </row>
    <row r="9955" spans="1:141" s="116" customFormat="1">
      <c r="A9955" s="136"/>
      <c r="CM9955" s="111"/>
      <c r="CQ9955" s="111"/>
      <c r="EF9955"/>
      <c r="EG9955"/>
      <c r="EH9955"/>
      <c r="EI9955"/>
      <c r="EJ9955"/>
      <c r="EK9955"/>
    </row>
    <row r="9956" spans="1:141" s="116" customFormat="1">
      <c r="A9956" s="136"/>
      <c r="CM9956" s="111"/>
      <c r="CQ9956" s="111"/>
      <c r="EF9956"/>
      <c r="EG9956"/>
      <c r="EH9956"/>
      <c r="EI9956"/>
      <c r="EJ9956"/>
      <c r="EK9956"/>
    </row>
    <row r="9957" spans="1:141" s="116" customFormat="1">
      <c r="A9957" s="136"/>
      <c r="CM9957" s="111"/>
      <c r="CQ9957" s="111"/>
      <c r="EF9957"/>
      <c r="EG9957"/>
      <c r="EH9957"/>
      <c r="EI9957"/>
      <c r="EJ9957"/>
      <c r="EK9957"/>
    </row>
    <row r="9958" spans="1:141" s="116" customFormat="1">
      <c r="A9958" s="136"/>
      <c r="CM9958" s="111"/>
      <c r="CQ9958" s="111"/>
      <c r="EF9958"/>
      <c r="EG9958"/>
      <c r="EH9958"/>
      <c r="EI9958"/>
      <c r="EJ9958"/>
      <c r="EK9958"/>
    </row>
    <row r="9959" spans="1:141" s="116" customFormat="1">
      <c r="A9959" s="136"/>
      <c r="CM9959" s="111"/>
      <c r="CQ9959" s="111"/>
      <c r="EF9959"/>
      <c r="EG9959"/>
      <c r="EH9959"/>
      <c r="EI9959"/>
      <c r="EJ9959"/>
      <c r="EK9959"/>
    </row>
    <row r="9960" spans="1:141" s="116" customFormat="1">
      <c r="A9960" s="136"/>
      <c r="CM9960" s="111"/>
      <c r="CQ9960" s="111"/>
      <c r="EF9960"/>
      <c r="EG9960"/>
      <c r="EH9960"/>
      <c r="EI9960"/>
      <c r="EJ9960"/>
      <c r="EK9960"/>
    </row>
    <row r="9961" spans="1:141" s="116" customFormat="1">
      <c r="A9961" s="136"/>
      <c r="CM9961" s="111"/>
      <c r="CQ9961" s="111"/>
      <c r="EF9961"/>
      <c r="EG9961"/>
      <c r="EH9961"/>
      <c r="EI9961"/>
      <c r="EJ9961"/>
      <c r="EK9961"/>
    </row>
    <row r="9962" spans="1:141" s="116" customFormat="1">
      <c r="A9962" s="136"/>
      <c r="CM9962" s="111"/>
      <c r="CQ9962" s="111"/>
      <c r="EF9962"/>
      <c r="EG9962"/>
      <c r="EH9962"/>
      <c r="EI9962"/>
      <c r="EJ9962"/>
      <c r="EK9962"/>
    </row>
    <row r="9963" spans="1:141" s="116" customFormat="1">
      <c r="A9963" s="136"/>
      <c r="CM9963" s="111"/>
      <c r="CQ9963" s="111"/>
      <c r="EF9963"/>
      <c r="EG9963"/>
      <c r="EH9963"/>
      <c r="EI9963"/>
      <c r="EJ9963"/>
      <c r="EK9963"/>
    </row>
    <row r="9964" spans="1:141" s="116" customFormat="1">
      <c r="A9964" s="136"/>
      <c r="CM9964" s="111"/>
      <c r="CQ9964" s="111"/>
      <c r="EF9964"/>
      <c r="EG9964"/>
      <c r="EH9964"/>
      <c r="EI9964"/>
      <c r="EJ9964"/>
      <c r="EK9964"/>
    </row>
    <row r="9965" spans="1:141" s="116" customFormat="1">
      <c r="A9965" s="136"/>
      <c r="CM9965" s="111"/>
      <c r="CQ9965" s="111"/>
      <c r="EF9965"/>
      <c r="EG9965"/>
      <c r="EH9965"/>
      <c r="EI9965"/>
      <c r="EJ9965"/>
      <c r="EK9965"/>
    </row>
    <row r="9966" spans="1:141" s="116" customFormat="1">
      <c r="A9966" s="136"/>
      <c r="CM9966" s="111"/>
      <c r="CQ9966" s="111"/>
      <c r="EF9966"/>
      <c r="EG9966"/>
      <c r="EH9966"/>
      <c r="EI9966"/>
      <c r="EJ9966"/>
      <c r="EK9966"/>
    </row>
    <row r="9967" spans="1:141" s="116" customFormat="1">
      <c r="A9967" s="136"/>
      <c r="CM9967" s="111"/>
      <c r="CQ9967" s="111"/>
      <c r="EF9967"/>
      <c r="EG9967"/>
      <c r="EH9967"/>
      <c r="EI9967"/>
      <c r="EJ9967"/>
      <c r="EK9967"/>
    </row>
    <row r="9968" spans="1:141" s="116" customFormat="1">
      <c r="A9968" s="136"/>
      <c r="CM9968" s="111"/>
      <c r="CQ9968" s="111"/>
      <c r="EF9968"/>
      <c r="EG9968"/>
      <c r="EH9968"/>
      <c r="EI9968"/>
      <c r="EJ9968"/>
      <c r="EK9968"/>
    </row>
    <row r="9969" spans="1:141" s="116" customFormat="1">
      <c r="A9969" s="136"/>
      <c r="CM9969" s="111"/>
      <c r="CQ9969" s="111"/>
      <c r="EF9969"/>
      <c r="EG9969"/>
      <c r="EH9969"/>
      <c r="EI9969"/>
      <c r="EJ9969"/>
      <c r="EK9969"/>
    </row>
    <row r="9970" spans="1:141" s="116" customFormat="1">
      <c r="A9970" s="136"/>
      <c r="CM9970" s="111"/>
      <c r="CQ9970" s="111"/>
      <c r="EF9970"/>
      <c r="EG9970"/>
      <c r="EH9970"/>
      <c r="EI9970"/>
      <c r="EJ9970"/>
      <c r="EK9970"/>
    </row>
    <row r="9971" spans="1:141" s="116" customFormat="1">
      <c r="A9971" s="136"/>
      <c r="CM9971" s="111"/>
      <c r="CQ9971" s="111"/>
      <c r="EF9971"/>
      <c r="EG9971"/>
      <c r="EH9971"/>
      <c r="EI9971"/>
      <c r="EJ9971"/>
      <c r="EK9971"/>
    </row>
    <row r="9972" spans="1:141" s="116" customFormat="1">
      <c r="A9972" s="136"/>
      <c r="CM9972" s="111"/>
      <c r="CQ9972" s="111"/>
      <c r="EF9972"/>
      <c r="EG9972"/>
      <c r="EH9972"/>
      <c r="EI9972"/>
      <c r="EJ9972"/>
      <c r="EK9972"/>
    </row>
    <row r="9973" spans="1:141" s="116" customFormat="1">
      <c r="A9973" s="136"/>
      <c r="CM9973" s="111"/>
      <c r="CQ9973" s="111"/>
      <c r="EF9973"/>
      <c r="EG9973"/>
      <c r="EH9973"/>
      <c r="EI9973"/>
      <c r="EJ9973"/>
      <c r="EK9973"/>
    </row>
    <row r="9974" spans="1:141" s="116" customFormat="1">
      <c r="A9974" s="136"/>
      <c r="CM9974" s="111"/>
      <c r="CQ9974" s="111"/>
      <c r="EF9974"/>
      <c r="EG9974"/>
      <c r="EH9974"/>
      <c r="EI9974"/>
      <c r="EJ9974"/>
      <c r="EK9974"/>
    </row>
    <row r="9975" spans="1:141" s="116" customFormat="1">
      <c r="A9975" s="136"/>
      <c r="CM9975" s="111"/>
      <c r="CQ9975" s="111"/>
      <c r="EF9975"/>
      <c r="EG9975"/>
      <c r="EH9975"/>
      <c r="EI9975"/>
      <c r="EJ9975"/>
      <c r="EK9975"/>
    </row>
    <row r="9976" spans="1:141" s="116" customFormat="1">
      <c r="A9976" s="136"/>
      <c r="CM9976" s="111"/>
      <c r="CQ9976" s="111"/>
      <c r="EF9976"/>
      <c r="EG9976"/>
      <c r="EH9976"/>
      <c r="EI9976"/>
      <c r="EJ9976"/>
      <c r="EK9976"/>
    </row>
    <row r="9977" spans="1:141" s="116" customFormat="1">
      <c r="A9977" s="136"/>
      <c r="CM9977" s="111"/>
      <c r="CQ9977" s="111"/>
      <c r="EF9977"/>
      <c r="EG9977"/>
      <c r="EH9977"/>
      <c r="EI9977"/>
      <c r="EJ9977"/>
      <c r="EK9977"/>
    </row>
    <row r="9978" spans="1:141" s="116" customFormat="1">
      <c r="A9978" s="136"/>
      <c r="CM9978" s="111"/>
      <c r="CQ9978" s="111"/>
      <c r="EF9978"/>
      <c r="EG9978"/>
      <c r="EH9978"/>
      <c r="EI9978"/>
      <c r="EJ9978"/>
      <c r="EK9978"/>
    </row>
    <row r="9979" spans="1:141" s="116" customFormat="1">
      <c r="A9979" s="136"/>
      <c r="CM9979" s="111"/>
      <c r="CQ9979" s="111"/>
      <c r="EF9979"/>
      <c r="EG9979"/>
      <c r="EH9979"/>
      <c r="EI9979"/>
      <c r="EJ9979"/>
      <c r="EK9979"/>
    </row>
    <row r="9980" spans="1:141" s="116" customFormat="1">
      <c r="A9980" s="136"/>
      <c r="CM9980" s="111"/>
      <c r="CQ9980" s="111"/>
      <c r="EF9980"/>
      <c r="EG9980"/>
      <c r="EH9980"/>
      <c r="EI9980"/>
      <c r="EJ9980"/>
      <c r="EK9980"/>
    </row>
    <row r="9981" spans="1:141" s="116" customFormat="1">
      <c r="A9981" s="136"/>
      <c r="CM9981" s="111"/>
      <c r="CQ9981" s="111"/>
      <c r="EF9981"/>
      <c r="EG9981"/>
      <c r="EH9981"/>
      <c r="EI9981"/>
      <c r="EJ9981"/>
      <c r="EK9981"/>
    </row>
    <row r="9982" spans="1:141" s="116" customFormat="1">
      <c r="A9982" s="136"/>
      <c r="CM9982" s="111"/>
      <c r="CQ9982" s="111"/>
      <c r="EF9982"/>
      <c r="EG9982"/>
      <c r="EH9982"/>
      <c r="EI9982"/>
      <c r="EJ9982"/>
      <c r="EK9982"/>
    </row>
    <row r="9983" spans="1:141" s="116" customFormat="1">
      <c r="A9983" s="136"/>
      <c r="CM9983" s="111"/>
      <c r="CQ9983" s="111"/>
      <c r="EF9983"/>
      <c r="EG9983"/>
      <c r="EH9983"/>
      <c r="EI9983"/>
      <c r="EJ9983"/>
      <c r="EK9983"/>
    </row>
    <row r="9984" spans="1:141" s="116" customFormat="1">
      <c r="A9984" s="136"/>
      <c r="CM9984" s="111"/>
      <c r="CQ9984" s="111"/>
      <c r="EF9984"/>
      <c r="EG9984"/>
      <c r="EH9984"/>
      <c r="EI9984"/>
      <c r="EJ9984"/>
      <c r="EK9984"/>
    </row>
    <row r="9985" spans="1:141" s="116" customFormat="1">
      <c r="A9985" s="136"/>
      <c r="CM9985" s="111"/>
      <c r="CQ9985" s="111"/>
      <c r="EF9985"/>
      <c r="EG9985"/>
      <c r="EH9985"/>
      <c r="EI9985"/>
      <c r="EJ9985"/>
      <c r="EK9985"/>
    </row>
    <row r="9986" spans="1:141" s="116" customFormat="1">
      <c r="A9986" s="136"/>
      <c r="CM9986" s="111"/>
      <c r="CQ9986" s="111"/>
      <c r="EF9986"/>
      <c r="EG9986"/>
      <c r="EH9986"/>
      <c r="EI9986"/>
      <c r="EJ9986"/>
      <c r="EK9986"/>
    </row>
    <row r="9987" spans="1:141" s="116" customFormat="1">
      <c r="A9987" s="136"/>
      <c r="CM9987" s="111"/>
      <c r="CQ9987" s="111"/>
      <c r="EF9987"/>
      <c r="EG9987"/>
      <c r="EH9987"/>
      <c r="EI9987"/>
      <c r="EJ9987"/>
      <c r="EK9987"/>
    </row>
    <row r="9988" spans="1:141" s="116" customFormat="1">
      <c r="A9988" s="136"/>
      <c r="CM9988" s="111"/>
      <c r="CQ9988" s="111"/>
      <c r="EF9988"/>
      <c r="EG9988"/>
      <c r="EH9988"/>
      <c r="EI9988"/>
      <c r="EJ9988"/>
      <c r="EK9988"/>
    </row>
    <row r="9989" spans="1:141" s="116" customFormat="1">
      <c r="A9989" s="136"/>
      <c r="CM9989" s="111"/>
      <c r="CQ9989" s="111"/>
      <c r="EF9989"/>
      <c r="EG9989"/>
      <c r="EH9989"/>
      <c r="EI9989"/>
      <c r="EJ9989"/>
      <c r="EK9989"/>
    </row>
    <row r="9990" spans="1:141" s="116" customFormat="1">
      <c r="A9990" s="136"/>
      <c r="CM9990" s="111"/>
      <c r="CQ9990" s="111"/>
      <c r="EF9990"/>
      <c r="EG9990"/>
      <c r="EH9990"/>
      <c r="EI9990"/>
      <c r="EJ9990"/>
      <c r="EK9990"/>
    </row>
    <row r="9991" spans="1:141" s="116" customFormat="1">
      <c r="A9991" s="136"/>
      <c r="CM9991" s="111"/>
      <c r="CQ9991" s="111"/>
      <c r="EF9991"/>
      <c r="EG9991"/>
      <c r="EH9991"/>
      <c r="EI9991"/>
      <c r="EJ9991"/>
      <c r="EK9991"/>
    </row>
    <row r="9992" spans="1:141" s="116" customFormat="1">
      <c r="A9992" s="136"/>
      <c r="CM9992" s="111"/>
      <c r="CQ9992" s="111"/>
      <c r="EF9992"/>
      <c r="EG9992"/>
      <c r="EH9992"/>
      <c r="EI9992"/>
      <c r="EJ9992"/>
      <c r="EK9992"/>
    </row>
    <row r="9993" spans="1:141" s="116" customFormat="1">
      <c r="A9993" s="136"/>
      <c r="CM9993" s="111"/>
      <c r="CQ9993" s="111"/>
      <c r="EF9993"/>
      <c r="EG9993"/>
      <c r="EH9993"/>
      <c r="EI9993"/>
      <c r="EJ9993"/>
      <c r="EK9993"/>
    </row>
    <row r="9994" spans="1:141" s="116" customFormat="1">
      <c r="A9994" s="136"/>
      <c r="CM9994" s="111"/>
      <c r="CQ9994" s="111"/>
      <c r="EF9994"/>
      <c r="EG9994"/>
      <c r="EH9994"/>
      <c r="EI9994"/>
      <c r="EJ9994"/>
      <c r="EK9994"/>
    </row>
    <row r="9995" spans="1:141" s="116" customFormat="1">
      <c r="A9995" s="136"/>
      <c r="CM9995" s="111"/>
      <c r="CQ9995" s="111"/>
      <c r="EF9995"/>
      <c r="EG9995"/>
      <c r="EH9995"/>
      <c r="EI9995"/>
      <c r="EJ9995"/>
      <c r="EK9995"/>
    </row>
    <row r="9996" spans="1:141" s="116" customFormat="1">
      <c r="A9996" s="136"/>
      <c r="CM9996" s="111"/>
      <c r="CQ9996" s="111"/>
      <c r="EF9996"/>
      <c r="EG9996"/>
      <c r="EH9996"/>
      <c r="EI9996"/>
      <c r="EJ9996"/>
      <c r="EK9996"/>
    </row>
    <row r="9997" spans="1:141" s="116" customFormat="1">
      <c r="A9997" s="136"/>
      <c r="CM9997" s="111"/>
      <c r="CQ9997" s="111"/>
      <c r="EF9997"/>
      <c r="EG9997"/>
      <c r="EH9997"/>
      <c r="EI9997"/>
      <c r="EJ9997"/>
      <c r="EK9997"/>
    </row>
    <row r="9998" spans="1:141" s="116" customFormat="1">
      <c r="A9998" s="136"/>
      <c r="CM9998" s="111"/>
      <c r="CQ9998" s="111"/>
      <c r="EF9998"/>
      <c r="EG9998"/>
      <c r="EH9998"/>
      <c r="EI9998"/>
      <c r="EJ9998"/>
      <c r="EK9998"/>
    </row>
    <row r="9999" spans="1:141" s="116" customFormat="1">
      <c r="A9999" s="136"/>
      <c r="CM9999" s="111"/>
      <c r="CQ9999" s="111"/>
      <c r="EF9999"/>
      <c r="EG9999"/>
      <c r="EH9999"/>
      <c r="EI9999"/>
      <c r="EJ9999"/>
      <c r="EK9999"/>
    </row>
    <row r="10000" spans="1:141" s="116" customFormat="1">
      <c r="A10000" s="136"/>
      <c r="CM10000" s="111"/>
      <c r="CQ10000" s="111"/>
      <c r="EF10000"/>
      <c r="EG10000"/>
      <c r="EH10000"/>
      <c r="EI10000"/>
      <c r="EJ10000"/>
      <c r="EK10000"/>
    </row>
    <row r="10001" spans="1:141" s="116" customFormat="1">
      <c r="A10001" s="136"/>
      <c r="CM10001" s="111"/>
      <c r="CQ10001" s="111"/>
      <c r="EF10001"/>
      <c r="EG10001"/>
      <c r="EH10001"/>
      <c r="EI10001"/>
      <c r="EJ10001"/>
      <c r="EK10001"/>
    </row>
    <row r="10002" spans="1:141" s="116" customFormat="1">
      <c r="A10002" s="136"/>
      <c r="CM10002" s="111"/>
      <c r="CQ10002" s="111"/>
      <c r="EF10002"/>
      <c r="EG10002"/>
      <c r="EH10002"/>
      <c r="EI10002"/>
      <c r="EJ10002"/>
      <c r="EK10002"/>
    </row>
    <row r="10003" spans="1:141" s="116" customFormat="1">
      <c r="A10003" s="136"/>
      <c r="CM10003" s="111"/>
      <c r="CQ10003" s="111"/>
      <c r="EF10003"/>
      <c r="EG10003"/>
      <c r="EH10003"/>
      <c r="EI10003"/>
      <c r="EJ10003"/>
      <c r="EK10003"/>
    </row>
    <row r="10004" spans="1:141" s="116" customFormat="1">
      <c r="A10004" s="136"/>
      <c r="CM10004" s="111"/>
      <c r="CQ10004" s="111"/>
      <c r="EF10004"/>
      <c r="EG10004"/>
      <c r="EH10004"/>
      <c r="EI10004"/>
      <c r="EJ10004"/>
      <c r="EK10004"/>
    </row>
    <row r="10005" spans="1:141" s="116" customFormat="1">
      <c r="A10005" s="136"/>
      <c r="CM10005" s="111"/>
      <c r="CQ10005" s="111"/>
      <c r="EF10005"/>
      <c r="EG10005"/>
      <c r="EH10005"/>
      <c r="EI10005"/>
      <c r="EJ10005"/>
      <c r="EK10005"/>
    </row>
    <row r="10006" spans="1:141" s="116" customFormat="1">
      <c r="A10006" s="136"/>
      <c r="CM10006" s="111"/>
      <c r="CQ10006" s="111"/>
      <c r="EF10006"/>
      <c r="EG10006"/>
      <c r="EH10006"/>
      <c r="EI10006"/>
      <c r="EJ10006"/>
      <c r="EK10006"/>
    </row>
    <row r="10007" spans="1:141" s="116" customFormat="1">
      <c r="A10007" s="136"/>
      <c r="CM10007" s="111"/>
      <c r="CQ10007" s="111"/>
      <c r="EF10007"/>
      <c r="EG10007"/>
      <c r="EH10007"/>
      <c r="EI10007"/>
      <c r="EJ10007"/>
      <c r="EK10007"/>
    </row>
    <row r="10008" spans="1:141" s="116" customFormat="1">
      <c r="A10008" s="136"/>
      <c r="CM10008" s="111"/>
      <c r="CQ10008" s="111"/>
      <c r="EF10008"/>
      <c r="EG10008"/>
      <c r="EH10008"/>
      <c r="EI10008"/>
      <c r="EJ10008"/>
      <c r="EK10008"/>
    </row>
    <row r="10009" spans="1:141" s="116" customFormat="1">
      <c r="A10009" s="136"/>
      <c r="CM10009" s="111"/>
      <c r="CQ10009" s="111"/>
      <c r="EF10009"/>
      <c r="EG10009"/>
      <c r="EH10009"/>
      <c r="EI10009"/>
      <c r="EJ10009"/>
      <c r="EK10009"/>
    </row>
    <row r="10010" spans="1:141" s="116" customFormat="1">
      <c r="A10010" s="136"/>
      <c r="CM10010" s="111"/>
      <c r="CQ10010" s="111"/>
      <c r="EF10010"/>
      <c r="EG10010"/>
      <c r="EH10010"/>
      <c r="EI10010"/>
      <c r="EJ10010"/>
      <c r="EK10010"/>
    </row>
    <row r="10011" spans="1:141" s="116" customFormat="1">
      <c r="A10011" s="136"/>
      <c r="CM10011" s="111"/>
      <c r="CQ10011" s="111"/>
      <c r="EF10011"/>
      <c r="EG10011"/>
      <c r="EH10011"/>
      <c r="EI10011"/>
      <c r="EJ10011"/>
      <c r="EK10011"/>
    </row>
    <row r="10012" spans="1:141" s="116" customFormat="1">
      <c r="A10012" s="136"/>
      <c r="CM10012" s="111"/>
      <c r="CQ10012" s="111"/>
      <c r="EF10012"/>
      <c r="EG10012"/>
      <c r="EH10012"/>
      <c r="EI10012"/>
      <c r="EJ10012"/>
      <c r="EK10012"/>
    </row>
    <row r="10013" spans="1:141" s="116" customFormat="1">
      <c r="A10013" s="136"/>
      <c r="CM10013" s="111"/>
      <c r="CQ10013" s="111"/>
      <c r="EF10013"/>
      <c r="EG10013"/>
      <c r="EH10013"/>
      <c r="EI10013"/>
      <c r="EJ10013"/>
      <c r="EK10013"/>
    </row>
    <row r="10014" spans="1:141" s="116" customFormat="1">
      <c r="A10014" s="136"/>
      <c r="CM10014" s="111"/>
      <c r="CQ10014" s="111"/>
      <c r="EF10014"/>
      <c r="EG10014"/>
      <c r="EH10014"/>
      <c r="EI10014"/>
      <c r="EJ10014"/>
      <c r="EK10014"/>
    </row>
    <row r="10015" spans="1:141" s="116" customFormat="1">
      <c r="A10015" s="136"/>
      <c r="CM10015" s="111"/>
      <c r="CQ10015" s="111"/>
      <c r="EF10015"/>
      <c r="EG10015"/>
      <c r="EH10015"/>
      <c r="EI10015"/>
      <c r="EJ10015"/>
      <c r="EK10015"/>
    </row>
    <row r="10016" spans="1:141" s="116" customFormat="1">
      <c r="A10016" s="136"/>
      <c r="CM10016" s="111"/>
      <c r="CQ10016" s="111"/>
      <c r="EF10016"/>
      <c r="EG10016"/>
      <c r="EH10016"/>
      <c r="EI10016"/>
      <c r="EJ10016"/>
      <c r="EK10016"/>
    </row>
    <row r="10017" spans="1:141" s="116" customFormat="1">
      <c r="A10017" s="136"/>
      <c r="CM10017" s="111"/>
      <c r="CQ10017" s="111"/>
      <c r="EF10017"/>
      <c r="EG10017"/>
      <c r="EH10017"/>
      <c r="EI10017"/>
      <c r="EJ10017"/>
      <c r="EK10017"/>
    </row>
    <row r="10018" spans="1:141" s="116" customFormat="1">
      <c r="A10018" s="136"/>
      <c r="CM10018" s="111"/>
      <c r="CQ10018" s="111"/>
      <c r="EF10018"/>
      <c r="EG10018"/>
      <c r="EH10018"/>
      <c r="EI10018"/>
      <c r="EJ10018"/>
      <c r="EK10018"/>
    </row>
    <row r="10019" spans="1:141" s="116" customFormat="1">
      <c r="A10019" s="136"/>
      <c r="CM10019" s="111"/>
      <c r="CQ10019" s="111"/>
      <c r="EF10019"/>
      <c r="EG10019"/>
      <c r="EH10019"/>
      <c r="EI10019"/>
      <c r="EJ10019"/>
      <c r="EK10019"/>
    </row>
    <row r="10020" spans="1:141" s="116" customFormat="1">
      <c r="A10020" s="136"/>
      <c r="CM10020" s="111"/>
      <c r="CQ10020" s="111"/>
      <c r="EF10020"/>
      <c r="EG10020"/>
      <c r="EH10020"/>
      <c r="EI10020"/>
      <c r="EJ10020"/>
      <c r="EK10020"/>
    </row>
    <row r="10021" spans="1:141" s="116" customFormat="1">
      <c r="A10021" s="136"/>
      <c r="CM10021" s="111"/>
      <c r="CQ10021" s="111"/>
      <c r="EF10021"/>
      <c r="EG10021"/>
      <c r="EH10021"/>
      <c r="EI10021"/>
      <c r="EJ10021"/>
      <c r="EK10021"/>
    </row>
    <row r="10022" spans="1:141" s="116" customFormat="1">
      <c r="A10022" s="136"/>
      <c r="CM10022" s="111"/>
      <c r="CQ10022" s="111"/>
      <c r="EF10022"/>
      <c r="EG10022"/>
      <c r="EH10022"/>
      <c r="EI10022"/>
      <c r="EJ10022"/>
      <c r="EK10022"/>
    </row>
    <row r="10023" spans="1:141" s="116" customFormat="1">
      <c r="A10023" s="136"/>
      <c r="CM10023" s="111"/>
      <c r="CQ10023" s="111"/>
      <c r="EF10023"/>
      <c r="EG10023"/>
      <c r="EH10023"/>
      <c r="EI10023"/>
      <c r="EJ10023"/>
      <c r="EK10023"/>
    </row>
    <row r="10024" spans="1:141" s="116" customFormat="1">
      <c r="A10024" s="136"/>
      <c r="CM10024" s="111"/>
      <c r="CQ10024" s="111"/>
      <c r="EF10024"/>
      <c r="EG10024"/>
      <c r="EH10024"/>
      <c r="EI10024"/>
      <c r="EJ10024"/>
      <c r="EK10024"/>
    </row>
    <row r="10025" spans="1:141" s="116" customFormat="1">
      <c r="A10025" s="136"/>
      <c r="CM10025" s="111"/>
      <c r="CQ10025" s="111"/>
      <c r="EF10025"/>
      <c r="EG10025"/>
      <c r="EH10025"/>
      <c r="EI10025"/>
      <c r="EJ10025"/>
      <c r="EK10025"/>
    </row>
    <row r="10026" spans="1:141" s="116" customFormat="1">
      <c r="A10026" s="136"/>
      <c r="CM10026" s="111"/>
      <c r="CQ10026" s="111"/>
      <c r="EF10026"/>
      <c r="EG10026"/>
      <c r="EH10026"/>
      <c r="EI10026"/>
      <c r="EJ10026"/>
      <c r="EK10026"/>
    </row>
    <row r="10027" spans="1:141" s="116" customFormat="1">
      <c r="A10027" s="136"/>
      <c r="CM10027" s="111"/>
      <c r="CQ10027" s="111"/>
      <c r="EF10027"/>
      <c r="EG10027"/>
      <c r="EH10027"/>
      <c r="EI10027"/>
      <c r="EJ10027"/>
      <c r="EK10027"/>
    </row>
    <row r="10028" spans="1:141" s="116" customFormat="1">
      <c r="A10028" s="136"/>
      <c r="CM10028" s="111"/>
      <c r="CQ10028" s="111"/>
      <c r="EF10028"/>
      <c r="EG10028"/>
      <c r="EH10028"/>
      <c r="EI10028"/>
      <c r="EJ10028"/>
      <c r="EK10028"/>
    </row>
    <row r="10029" spans="1:141" s="116" customFormat="1">
      <c r="A10029" s="136"/>
      <c r="CM10029" s="111"/>
      <c r="CQ10029" s="111"/>
      <c r="EF10029"/>
      <c r="EG10029"/>
      <c r="EH10029"/>
      <c r="EI10029"/>
      <c r="EJ10029"/>
      <c r="EK10029"/>
    </row>
    <row r="10030" spans="1:141" s="116" customFormat="1">
      <c r="A10030" s="136"/>
      <c r="CM10030" s="111"/>
      <c r="CQ10030" s="111"/>
      <c r="EF10030"/>
      <c r="EG10030"/>
      <c r="EH10030"/>
      <c r="EI10030"/>
      <c r="EJ10030"/>
      <c r="EK10030"/>
    </row>
    <row r="10031" spans="1:141" s="116" customFormat="1">
      <c r="A10031" s="136"/>
      <c r="CM10031" s="111"/>
      <c r="CQ10031" s="111"/>
      <c r="EF10031"/>
      <c r="EG10031"/>
      <c r="EH10031"/>
      <c r="EI10031"/>
      <c r="EJ10031"/>
      <c r="EK10031"/>
    </row>
    <row r="10032" spans="1:141" s="116" customFormat="1">
      <c r="A10032" s="136"/>
      <c r="CM10032" s="111"/>
      <c r="CQ10032" s="111"/>
      <c r="EF10032"/>
      <c r="EG10032"/>
      <c r="EH10032"/>
      <c r="EI10032"/>
      <c r="EJ10032"/>
      <c r="EK10032"/>
    </row>
    <row r="10033" spans="1:141" s="116" customFormat="1">
      <c r="A10033" s="136"/>
      <c r="CM10033" s="111"/>
      <c r="CQ10033" s="111"/>
      <c r="EF10033"/>
      <c r="EG10033"/>
      <c r="EH10033"/>
      <c r="EI10033"/>
      <c r="EJ10033"/>
      <c r="EK10033"/>
    </row>
    <row r="10034" spans="1:141" s="116" customFormat="1">
      <c r="A10034" s="136"/>
      <c r="CM10034" s="111"/>
      <c r="CQ10034" s="111"/>
      <c r="EF10034"/>
      <c r="EG10034"/>
      <c r="EH10034"/>
      <c r="EI10034"/>
      <c r="EJ10034"/>
      <c r="EK10034"/>
    </row>
    <row r="10035" spans="1:141" s="116" customFormat="1">
      <c r="A10035" s="136"/>
      <c r="CM10035" s="111"/>
      <c r="CQ10035" s="111"/>
      <c r="EF10035"/>
      <c r="EG10035"/>
      <c r="EH10035"/>
      <c r="EI10035"/>
      <c r="EJ10035"/>
      <c r="EK10035"/>
    </row>
    <row r="10036" spans="1:141" s="116" customFormat="1">
      <c r="A10036" s="136"/>
      <c r="CM10036" s="111"/>
      <c r="CQ10036" s="111"/>
      <c r="EF10036"/>
      <c r="EG10036"/>
      <c r="EH10036"/>
      <c r="EI10036"/>
      <c r="EJ10036"/>
      <c r="EK10036"/>
    </row>
    <row r="10037" spans="1:141" s="116" customFormat="1">
      <c r="A10037" s="136"/>
      <c r="CM10037" s="111"/>
      <c r="CQ10037" s="111"/>
      <c r="EF10037"/>
      <c r="EG10037"/>
      <c r="EH10037"/>
      <c r="EI10037"/>
      <c r="EJ10037"/>
      <c r="EK10037"/>
    </row>
    <row r="10038" spans="1:141" s="116" customFormat="1">
      <c r="A10038" s="136"/>
      <c r="CM10038" s="111"/>
      <c r="CQ10038" s="111"/>
      <c r="EF10038"/>
      <c r="EG10038"/>
      <c r="EH10038"/>
      <c r="EI10038"/>
      <c r="EJ10038"/>
      <c r="EK10038"/>
    </row>
    <row r="10039" spans="1:141" s="116" customFormat="1">
      <c r="A10039" s="136"/>
      <c r="CM10039" s="111"/>
      <c r="CQ10039" s="111"/>
      <c r="EF10039"/>
      <c r="EG10039"/>
      <c r="EH10039"/>
      <c r="EI10039"/>
      <c r="EJ10039"/>
      <c r="EK10039"/>
    </row>
    <row r="10040" spans="1:141" s="116" customFormat="1">
      <c r="A10040" s="136"/>
      <c r="CM10040" s="111"/>
      <c r="CQ10040" s="111"/>
      <c r="EF10040"/>
      <c r="EG10040"/>
      <c r="EH10040"/>
      <c r="EI10040"/>
      <c r="EJ10040"/>
      <c r="EK10040"/>
    </row>
    <row r="10041" spans="1:141" s="116" customFormat="1">
      <c r="A10041" s="136"/>
      <c r="CM10041" s="111"/>
      <c r="CQ10041" s="111"/>
      <c r="EF10041"/>
      <c r="EG10041"/>
      <c r="EH10041"/>
      <c r="EI10041"/>
      <c r="EJ10041"/>
      <c r="EK10041"/>
    </row>
    <row r="10042" spans="1:141" s="116" customFormat="1">
      <c r="A10042" s="136"/>
      <c r="CM10042" s="111"/>
      <c r="CQ10042" s="111"/>
      <c r="EF10042"/>
      <c r="EG10042"/>
      <c r="EH10042"/>
      <c r="EI10042"/>
      <c r="EJ10042"/>
      <c r="EK10042"/>
    </row>
    <row r="10043" spans="1:141" s="116" customFormat="1">
      <c r="A10043" s="136"/>
      <c r="CM10043" s="111"/>
      <c r="CQ10043" s="111"/>
      <c r="EF10043"/>
      <c r="EG10043"/>
      <c r="EH10043"/>
      <c r="EI10043"/>
      <c r="EJ10043"/>
      <c r="EK10043"/>
    </row>
    <row r="10044" spans="1:141" s="116" customFormat="1">
      <c r="A10044" s="136"/>
      <c r="CM10044" s="111"/>
      <c r="CQ10044" s="111"/>
      <c r="EF10044"/>
      <c r="EG10044"/>
      <c r="EH10044"/>
      <c r="EI10044"/>
      <c r="EJ10044"/>
      <c r="EK10044"/>
    </row>
    <row r="10045" spans="1:141" s="116" customFormat="1">
      <c r="A10045" s="136"/>
      <c r="CM10045" s="111"/>
      <c r="CQ10045" s="111"/>
      <c r="EF10045"/>
      <c r="EG10045"/>
      <c r="EH10045"/>
      <c r="EI10045"/>
      <c r="EJ10045"/>
      <c r="EK10045"/>
    </row>
    <row r="10046" spans="1:141" s="116" customFormat="1">
      <c r="A10046" s="136"/>
      <c r="CM10046" s="111"/>
      <c r="CQ10046" s="111"/>
      <c r="EF10046"/>
      <c r="EG10046"/>
      <c r="EH10046"/>
      <c r="EI10046"/>
      <c r="EJ10046"/>
      <c r="EK10046"/>
    </row>
    <row r="10047" spans="1:141" s="116" customFormat="1">
      <c r="A10047" s="136"/>
      <c r="CM10047" s="111"/>
      <c r="CQ10047" s="111"/>
      <c r="EF10047"/>
      <c r="EG10047"/>
      <c r="EH10047"/>
      <c r="EI10047"/>
      <c r="EJ10047"/>
      <c r="EK10047"/>
    </row>
    <row r="10048" spans="1:141" s="116" customFormat="1">
      <c r="A10048" s="136"/>
      <c r="CM10048" s="111"/>
      <c r="CQ10048" s="111"/>
      <c r="EF10048"/>
      <c r="EG10048"/>
      <c r="EH10048"/>
      <c r="EI10048"/>
      <c r="EJ10048"/>
      <c r="EK10048"/>
    </row>
    <row r="10049" spans="1:141" s="116" customFormat="1">
      <c r="A10049" s="136"/>
      <c r="CM10049" s="111"/>
      <c r="CQ10049" s="111"/>
      <c r="EF10049"/>
      <c r="EG10049"/>
      <c r="EH10049"/>
      <c r="EI10049"/>
      <c r="EJ10049"/>
      <c r="EK10049"/>
    </row>
    <row r="10050" spans="1:141" s="116" customFormat="1">
      <c r="A10050" s="136"/>
      <c r="CM10050" s="111"/>
      <c r="CQ10050" s="111"/>
      <c r="EF10050"/>
      <c r="EG10050"/>
      <c r="EH10050"/>
      <c r="EI10050"/>
      <c r="EJ10050"/>
      <c r="EK10050"/>
    </row>
    <row r="10051" spans="1:141" s="116" customFormat="1">
      <c r="A10051" s="136"/>
      <c r="CM10051" s="111"/>
      <c r="CQ10051" s="111"/>
      <c r="EF10051"/>
      <c r="EG10051"/>
      <c r="EH10051"/>
      <c r="EI10051"/>
      <c r="EJ10051"/>
      <c r="EK10051"/>
    </row>
    <row r="10052" spans="1:141" s="116" customFormat="1">
      <c r="A10052" s="136"/>
      <c r="CM10052" s="111"/>
      <c r="CQ10052" s="111"/>
      <c r="EF10052"/>
      <c r="EG10052"/>
      <c r="EH10052"/>
      <c r="EI10052"/>
      <c r="EJ10052"/>
      <c r="EK10052"/>
    </row>
    <row r="10053" spans="1:141" s="116" customFormat="1">
      <c r="A10053" s="136"/>
      <c r="CM10053" s="111"/>
      <c r="CQ10053" s="111"/>
      <c r="EF10053"/>
      <c r="EG10053"/>
      <c r="EH10053"/>
      <c r="EI10053"/>
      <c r="EJ10053"/>
      <c r="EK10053"/>
    </row>
    <row r="10054" spans="1:141" s="116" customFormat="1">
      <c r="A10054" s="136"/>
      <c r="CM10054" s="111"/>
      <c r="CQ10054" s="111"/>
      <c r="EF10054"/>
      <c r="EG10054"/>
      <c r="EH10054"/>
      <c r="EI10054"/>
      <c r="EJ10054"/>
      <c r="EK10054"/>
    </row>
    <row r="10055" spans="1:141" s="116" customFormat="1">
      <c r="A10055" s="136"/>
      <c r="CM10055" s="111"/>
      <c r="CQ10055" s="111"/>
      <c r="EF10055"/>
      <c r="EG10055"/>
      <c r="EH10055"/>
      <c r="EI10055"/>
      <c r="EJ10055"/>
      <c r="EK10055"/>
    </row>
    <row r="10056" spans="1:141" s="116" customFormat="1">
      <c r="A10056" s="136"/>
      <c r="CM10056" s="111"/>
      <c r="CQ10056" s="111"/>
      <c r="EF10056"/>
      <c r="EG10056"/>
      <c r="EH10056"/>
      <c r="EI10056"/>
      <c r="EJ10056"/>
      <c r="EK10056"/>
    </row>
    <row r="10057" spans="1:141" s="116" customFormat="1">
      <c r="A10057" s="136"/>
      <c r="CM10057" s="111"/>
      <c r="CQ10057" s="111"/>
      <c r="EF10057"/>
      <c r="EG10057"/>
      <c r="EH10057"/>
      <c r="EI10057"/>
      <c r="EJ10057"/>
      <c r="EK10057"/>
    </row>
    <row r="10058" spans="1:141" s="116" customFormat="1">
      <c r="A10058" s="136"/>
      <c r="CM10058" s="111"/>
      <c r="CQ10058" s="111"/>
      <c r="EF10058"/>
      <c r="EG10058"/>
      <c r="EH10058"/>
      <c r="EI10058"/>
      <c r="EJ10058"/>
      <c r="EK10058"/>
    </row>
    <row r="10059" spans="1:141" s="116" customFormat="1">
      <c r="A10059" s="136"/>
      <c r="CM10059" s="111"/>
      <c r="CQ10059" s="111"/>
      <c r="EF10059"/>
      <c r="EG10059"/>
      <c r="EH10059"/>
      <c r="EI10059"/>
      <c r="EJ10059"/>
      <c r="EK10059"/>
    </row>
    <row r="10060" spans="1:141" s="116" customFormat="1">
      <c r="A10060" s="136"/>
      <c r="CM10060" s="111"/>
      <c r="CQ10060" s="111"/>
      <c r="EF10060"/>
      <c r="EG10060"/>
      <c r="EH10060"/>
      <c r="EI10060"/>
      <c r="EJ10060"/>
      <c r="EK10060"/>
    </row>
    <row r="10061" spans="1:141" s="116" customFormat="1">
      <c r="A10061" s="136"/>
      <c r="CM10061" s="111"/>
      <c r="CQ10061" s="111"/>
      <c r="EF10061"/>
      <c r="EG10061"/>
      <c r="EH10061"/>
      <c r="EI10061"/>
      <c r="EJ10061"/>
      <c r="EK10061"/>
    </row>
    <row r="10062" spans="1:141" s="116" customFormat="1">
      <c r="A10062" s="136"/>
      <c r="CM10062" s="111"/>
      <c r="CQ10062" s="111"/>
      <c r="EF10062"/>
      <c r="EG10062"/>
      <c r="EH10062"/>
      <c r="EI10062"/>
      <c r="EJ10062"/>
      <c r="EK10062"/>
    </row>
    <row r="10063" spans="1:141" s="116" customFormat="1">
      <c r="A10063" s="136"/>
      <c r="CM10063" s="111"/>
      <c r="CQ10063" s="111"/>
      <c r="EF10063"/>
      <c r="EG10063"/>
      <c r="EH10063"/>
      <c r="EI10063"/>
      <c r="EJ10063"/>
      <c r="EK10063"/>
    </row>
    <row r="10064" spans="1:141" s="116" customFormat="1">
      <c r="A10064" s="136"/>
      <c r="CM10064" s="111"/>
      <c r="CQ10064" s="111"/>
      <c r="EF10064"/>
      <c r="EG10064"/>
      <c r="EH10064"/>
      <c r="EI10064"/>
      <c r="EJ10064"/>
      <c r="EK10064"/>
    </row>
    <row r="10065" spans="1:141" s="116" customFormat="1">
      <c r="A10065" s="136"/>
      <c r="CM10065" s="111"/>
      <c r="CQ10065" s="111"/>
      <c r="EF10065"/>
      <c r="EG10065"/>
      <c r="EH10065"/>
      <c r="EI10065"/>
      <c r="EJ10065"/>
      <c r="EK10065"/>
    </row>
    <row r="10066" spans="1:141" s="116" customFormat="1">
      <c r="A10066" s="136"/>
      <c r="CM10066" s="111"/>
      <c r="CQ10066" s="111"/>
      <c r="EF10066"/>
      <c r="EG10066"/>
      <c r="EH10066"/>
      <c r="EI10066"/>
      <c r="EJ10066"/>
      <c r="EK10066"/>
    </row>
    <row r="10067" spans="1:141" s="116" customFormat="1">
      <c r="A10067" s="136"/>
      <c r="CM10067" s="111"/>
      <c r="CQ10067" s="111"/>
      <c r="EF10067"/>
      <c r="EG10067"/>
      <c r="EH10067"/>
      <c r="EI10067"/>
      <c r="EJ10067"/>
      <c r="EK10067"/>
    </row>
    <row r="10068" spans="1:141" s="116" customFormat="1">
      <c r="A10068" s="136"/>
      <c r="CM10068" s="111"/>
      <c r="CQ10068" s="111"/>
      <c r="EF10068"/>
      <c r="EG10068"/>
      <c r="EH10068"/>
      <c r="EI10068"/>
      <c r="EJ10068"/>
      <c r="EK10068"/>
    </row>
    <row r="10069" spans="1:141" s="116" customFormat="1">
      <c r="A10069" s="136"/>
      <c r="CM10069" s="111"/>
      <c r="CQ10069" s="111"/>
      <c r="EF10069"/>
      <c r="EG10069"/>
      <c r="EH10069"/>
      <c r="EI10069"/>
      <c r="EJ10069"/>
      <c r="EK10069"/>
    </row>
    <row r="10070" spans="1:141" s="116" customFormat="1">
      <c r="A10070" s="136"/>
      <c r="CM10070" s="111"/>
      <c r="CQ10070" s="111"/>
      <c r="EF10070"/>
      <c r="EG10070"/>
      <c r="EH10070"/>
      <c r="EI10070"/>
      <c r="EJ10070"/>
      <c r="EK10070"/>
    </row>
    <row r="10071" spans="1:141" s="116" customFormat="1">
      <c r="A10071" s="136"/>
      <c r="CM10071" s="111"/>
      <c r="CQ10071" s="111"/>
      <c r="EF10071"/>
      <c r="EG10071"/>
      <c r="EH10071"/>
      <c r="EI10071"/>
      <c r="EJ10071"/>
      <c r="EK10071"/>
    </row>
    <row r="10072" spans="1:141" s="116" customFormat="1">
      <c r="A10072" s="136"/>
      <c r="CM10072" s="111"/>
      <c r="CQ10072" s="111"/>
      <c r="EF10072"/>
      <c r="EG10072"/>
      <c r="EH10072"/>
      <c r="EI10072"/>
      <c r="EJ10072"/>
      <c r="EK10072"/>
    </row>
    <row r="10073" spans="1:141" s="116" customFormat="1">
      <c r="A10073" s="136"/>
      <c r="CM10073" s="111"/>
      <c r="CQ10073" s="111"/>
      <c r="EF10073"/>
      <c r="EG10073"/>
      <c r="EH10073"/>
      <c r="EI10073"/>
      <c r="EJ10073"/>
      <c r="EK10073"/>
    </row>
    <row r="10074" spans="1:141" s="116" customFormat="1">
      <c r="A10074" s="136"/>
      <c r="CM10074" s="111"/>
      <c r="CQ10074" s="111"/>
      <c r="EF10074"/>
      <c r="EG10074"/>
      <c r="EH10074"/>
      <c r="EI10074"/>
      <c r="EJ10074"/>
      <c r="EK10074"/>
    </row>
    <row r="10075" spans="1:141" s="116" customFormat="1">
      <c r="A10075" s="136"/>
      <c r="CM10075" s="111"/>
      <c r="CQ10075" s="111"/>
      <c r="EF10075"/>
      <c r="EG10075"/>
      <c r="EH10075"/>
      <c r="EI10075"/>
      <c r="EJ10075"/>
      <c r="EK10075"/>
    </row>
    <row r="10076" spans="1:141" s="116" customFormat="1">
      <c r="A10076" s="136"/>
      <c r="CM10076" s="111"/>
      <c r="CQ10076" s="111"/>
      <c r="EF10076"/>
      <c r="EG10076"/>
      <c r="EH10076"/>
      <c r="EI10076"/>
      <c r="EJ10076"/>
      <c r="EK10076"/>
    </row>
    <row r="10077" spans="1:141" s="116" customFormat="1">
      <c r="A10077" s="136"/>
      <c r="CM10077" s="111"/>
      <c r="CQ10077" s="111"/>
      <c r="EF10077"/>
      <c r="EG10077"/>
      <c r="EH10077"/>
      <c r="EI10077"/>
      <c r="EJ10077"/>
      <c r="EK10077"/>
    </row>
    <row r="10078" spans="1:141" s="116" customFormat="1">
      <c r="A10078" s="136"/>
      <c r="CM10078" s="111"/>
      <c r="CQ10078" s="111"/>
      <c r="EF10078"/>
      <c r="EG10078"/>
      <c r="EH10078"/>
      <c r="EI10078"/>
      <c r="EJ10078"/>
      <c r="EK10078"/>
    </row>
    <row r="10079" spans="1:141" s="116" customFormat="1">
      <c r="A10079" s="136"/>
      <c r="CM10079" s="111"/>
      <c r="CQ10079" s="111"/>
      <c r="EF10079"/>
      <c r="EG10079"/>
      <c r="EH10079"/>
      <c r="EI10079"/>
      <c r="EJ10079"/>
      <c r="EK10079"/>
    </row>
    <row r="10080" spans="1:141" s="116" customFormat="1">
      <c r="A10080" s="136"/>
      <c r="CM10080" s="111"/>
      <c r="CQ10080" s="111"/>
      <c r="EF10080"/>
      <c r="EG10080"/>
      <c r="EH10080"/>
      <c r="EI10080"/>
      <c r="EJ10080"/>
      <c r="EK10080"/>
    </row>
    <row r="10081" spans="1:141" s="116" customFormat="1">
      <c r="A10081" s="136"/>
      <c r="CM10081" s="111"/>
      <c r="CQ10081" s="111"/>
      <c r="EF10081"/>
      <c r="EG10081"/>
      <c r="EH10081"/>
      <c r="EI10081"/>
      <c r="EJ10081"/>
      <c r="EK10081"/>
    </row>
    <row r="10082" spans="1:141" s="116" customFormat="1">
      <c r="A10082" s="136"/>
      <c r="CM10082" s="111"/>
      <c r="CQ10082" s="111"/>
      <c r="EF10082"/>
      <c r="EG10082"/>
      <c r="EH10082"/>
      <c r="EI10082"/>
      <c r="EJ10082"/>
      <c r="EK10082"/>
    </row>
    <row r="10083" spans="1:141" s="116" customFormat="1">
      <c r="A10083" s="136"/>
      <c r="CM10083" s="111"/>
      <c r="CQ10083" s="111"/>
      <c r="EF10083"/>
      <c r="EG10083"/>
      <c r="EH10083"/>
      <c r="EI10083"/>
      <c r="EJ10083"/>
      <c r="EK10083"/>
    </row>
    <row r="10084" spans="1:141" s="116" customFormat="1">
      <c r="A10084" s="136"/>
      <c r="CM10084" s="111"/>
      <c r="CQ10084" s="111"/>
      <c r="EF10084"/>
      <c r="EG10084"/>
      <c r="EH10084"/>
      <c r="EI10084"/>
      <c r="EJ10084"/>
      <c r="EK10084"/>
    </row>
    <row r="10085" spans="1:141" s="116" customFormat="1">
      <c r="A10085" s="136"/>
      <c r="CM10085" s="111"/>
      <c r="CQ10085" s="111"/>
      <c r="EF10085"/>
      <c r="EG10085"/>
      <c r="EH10085"/>
      <c r="EI10085"/>
      <c r="EJ10085"/>
      <c r="EK10085"/>
    </row>
    <row r="10086" spans="1:141" s="116" customFormat="1">
      <c r="A10086" s="136"/>
      <c r="CM10086" s="111"/>
      <c r="CQ10086" s="111"/>
      <c r="EF10086"/>
      <c r="EG10086"/>
      <c r="EH10086"/>
      <c r="EI10086"/>
      <c r="EJ10086"/>
      <c r="EK10086"/>
    </row>
    <row r="10087" spans="1:141" s="116" customFormat="1">
      <c r="A10087" s="136"/>
      <c r="CM10087" s="111"/>
      <c r="CQ10087" s="111"/>
      <c r="EF10087"/>
      <c r="EG10087"/>
      <c r="EH10087"/>
      <c r="EI10087"/>
      <c r="EJ10087"/>
      <c r="EK10087"/>
    </row>
    <row r="10088" spans="1:141" s="116" customFormat="1">
      <c r="A10088" s="136"/>
      <c r="CM10088" s="111"/>
      <c r="CQ10088" s="111"/>
      <c r="EF10088"/>
      <c r="EG10088"/>
      <c r="EH10088"/>
      <c r="EI10088"/>
      <c r="EJ10088"/>
      <c r="EK10088"/>
    </row>
    <row r="10089" spans="1:141" s="116" customFormat="1">
      <c r="A10089" s="136"/>
      <c r="CM10089" s="111"/>
      <c r="CQ10089" s="111"/>
      <c r="EF10089"/>
      <c r="EG10089"/>
      <c r="EH10089"/>
      <c r="EI10089"/>
      <c r="EJ10089"/>
      <c r="EK10089"/>
    </row>
    <row r="10090" spans="1:141" s="116" customFormat="1">
      <c r="A10090" s="136"/>
      <c r="CM10090" s="111"/>
      <c r="CQ10090" s="111"/>
      <c r="EF10090"/>
      <c r="EG10090"/>
      <c r="EH10090"/>
      <c r="EI10090"/>
      <c r="EJ10090"/>
      <c r="EK10090"/>
    </row>
    <row r="10091" spans="1:141" s="116" customFormat="1">
      <c r="A10091" s="136"/>
      <c r="CM10091" s="111"/>
      <c r="CQ10091" s="111"/>
      <c r="EF10091"/>
      <c r="EG10091"/>
      <c r="EH10091"/>
      <c r="EI10091"/>
      <c r="EJ10091"/>
      <c r="EK10091"/>
    </row>
    <row r="10092" spans="1:141" s="116" customFormat="1">
      <c r="A10092" s="136"/>
      <c r="CM10092" s="111"/>
      <c r="CQ10092" s="111"/>
      <c r="EF10092"/>
      <c r="EG10092"/>
      <c r="EH10092"/>
      <c r="EI10092"/>
      <c r="EJ10092"/>
      <c r="EK10092"/>
    </row>
    <row r="10093" spans="1:141" s="116" customFormat="1">
      <c r="A10093" s="136"/>
      <c r="CM10093" s="111"/>
      <c r="CQ10093" s="111"/>
      <c r="EF10093"/>
      <c r="EG10093"/>
      <c r="EH10093"/>
      <c r="EI10093"/>
      <c r="EJ10093"/>
      <c r="EK10093"/>
    </row>
    <row r="10094" spans="1:141" s="116" customFormat="1">
      <c r="A10094" s="136"/>
      <c r="CM10094" s="111"/>
      <c r="CQ10094" s="111"/>
      <c r="EF10094"/>
      <c r="EG10094"/>
      <c r="EH10094"/>
      <c r="EI10094"/>
      <c r="EJ10094"/>
      <c r="EK10094"/>
    </row>
    <row r="10095" spans="1:141" s="116" customFormat="1">
      <c r="A10095" s="136"/>
      <c r="CM10095" s="111"/>
      <c r="CQ10095" s="111"/>
      <c r="EF10095"/>
      <c r="EG10095"/>
      <c r="EH10095"/>
      <c r="EI10095"/>
      <c r="EJ10095"/>
      <c r="EK10095"/>
    </row>
    <row r="10096" spans="1:141" s="116" customFormat="1">
      <c r="A10096" s="136"/>
      <c r="CM10096" s="111"/>
      <c r="CQ10096" s="111"/>
      <c r="EF10096"/>
      <c r="EG10096"/>
      <c r="EH10096"/>
      <c r="EI10096"/>
      <c r="EJ10096"/>
      <c r="EK10096"/>
    </row>
    <row r="10097" spans="1:141" s="116" customFormat="1">
      <c r="A10097" s="136"/>
      <c r="CM10097" s="111"/>
      <c r="CQ10097" s="111"/>
      <c r="EF10097"/>
      <c r="EG10097"/>
      <c r="EH10097"/>
      <c r="EI10097"/>
      <c r="EJ10097"/>
      <c r="EK10097"/>
    </row>
    <row r="10098" spans="1:141" s="116" customFormat="1">
      <c r="A10098" s="136"/>
      <c r="CM10098" s="111"/>
      <c r="CQ10098" s="111"/>
      <c r="EF10098"/>
      <c r="EG10098"/>
      <c r="EH10098"/>
      <c r="EI10098"/>
      <c r="EJ10098"/>
      <c r="EK10098"/>
    </row>
    <row r="10099" spans="1:141" s="116" customFormat="1">
      <c r="A10099" s="136"/>
      <c r="CM10099" s="111"/>
      <c r="CQ10099" s="111"/>
      <c r="EF10099"/>
      <c r="EG10099"/>
      <c r="EH10099"/>
      <c r="EI10099"/>
      <c r="EJ10099"/>
      <c r="EK10099"/>
    </row>
    <row r="10100" spans="1:141" s="116" customFormat="1">
      <c r="A10100" s="136"/>
      <c r="CM10100" s="111"/>
      <c r="CQ10100" s="111"/>
      <c r="EF10100"/>
      <c r="EG10100"/>
      <c r="EH10100"/>
      <c r="EI10100"/>
      <c r="EJ10100"/>
      <c r="EK10100"/>
    </row>
    <row r="10101" spans="1:141" s="116" customFormat="1">
      <c r="A10101" s="136"/>
      <c r="CM10101" s="111"/>
      <c r="CQ10101" s="111"/>
      <c r="EF10101"/>
      <c r="EG10101"/>
      <c r="EH10101"/>
      <c r="EI10101"/>
      <c r="EJ10101"/>
      <c r="EK10101"/>
    </row>
    <row r="10102" spans="1:141" s="116" customFormat="1">
      <c r="A10102" s="136"/>
      <c r="CM10102" s="111"/>
      <c r="CQ10102" s="111"/>
      <c r="EF10102"/>
      <c r="EG10102"/>
      <c r="EH10102"/>
      <c r="EI10102"/>
      <c r="EJ10102"/>
      <c r="EK10102"/>
    </row>
    <row r="10103" spans="1:141" s="116" customFormat="1">
      <c r="A10103" s="136"/>
      <c r="CM10103" s="111"/>
      <c r="CQ10103" s="111"/>
      <c r="EF10103"/>
      <c r="EG10103"/>
      <c r="EH10103"/>
      <c r="EI10103"/>
      <c r="EJ10103"/>
      <c r="EK10103"/>
    </row>
    <row r="10104" spans="1:141" s="116" customFormat="1">
      <c r="A10104" s="136"/>
      <c r="CM10104" s="111"/>
      <c r="CQ10104" s="111"/>
      <c r="EF10104"/>
      <c r="EG10104"/>
      <c r="EH10104"/>
      <c r="EI10104"/>
      <c r="EJ10104"/>
      <c r="EK10104"/>
    </row>
    <row r="10105" spans="1:141" s="116" customFormat="1">
      <c r="A10105" s="136"/>
      <c r="CM10105" s="111"/>
      <c r="CQ10105" s="111"/>
      <c r="EF10105"/>
      <c r="EG10105"/>
      <c r="EH10105"/>
      <c r="EI10105"/>
      <c r="EJ10105"/>
      <c r="EK10105"/>
    </row>
    <row r="10106" spans="1:141" s="116" customFormat="1">
      <c r="A10106" s="136"/>
      <c r="CM10106" s="111"/>
      <c r="CQ10106" s="111"/>
      <c r="EF10106"/>
      <c r="EG10106"/>
      <c r="EH10106"/>
      <c r="EI10106"/>
      <c r="EJ10106"/>
      <c r="EK10106"/>
    </row>
    <row r="10107" spans="1:141" s="116" customFormat="1">
      <c r="A10107" s="136"/>
      <c r="CM10107" s="111"/>
      <c r="CQ10107" s="111"/>
      <c r="EF10107"/>
      <c r="EG10107"/>
      <c r="EH10107"/>
      <c r="EI10107"/>
      <c r="EJ10107"/>
      <c r="EK10107"/>
    </row>
    <row r="10108" spans="1:141" s="116" customFormat="1">
      <c r="A10108" s="136"/>
      <c r="CM10108" s="111"/>
      <c r="CQ10108" s="111"/>
      <c r="EF10108"/>
      <c r="EG10108"/>
      <c r="EH10108"/>
      <c r="EI10108"/>
      <c r="EJ10108"/>
      <c r="EK10108"/>
    </row>
    <row r="10109" spans="1:141" s="116" customFormat="1">
      <c r="A10109" s="136"/>
      <c r="CM10109" s="111"/>
      <c r="CQ10109" s="111"/>
      <c r="EF10109"/>
      <c r="EG10109"/>
      <c r="EH10109"/>
      <c r="EI10109"/>
      <c r="EJ10109"/>
      <c r="EK10109"/>
    </row>
    <row r="10110" spans="1:141" s="116" customFormat="1">
      <c r="A10110" s="136"/>
      <c r="CM10110" s="111"/>
      <c r="CQ10110" s="111"/>
      <c r="EF10110"/>
      <c r="EG10110"/>
      <c r="EH10110"/>
      <c r="EI10110"/>
      <c r="EJ10110"/>
      <c r="EK10110"/>
    </row>
    <row r="10111" spans="1:141" s="116" customFormat="1">
      <c r="A10111" s="136"/>
      <c r="CM10111" s="111"/>
      <c r="CQ10111" s="111"/>
      <c r="EF10111"/>
      <c r="EG10111"/>
      <c r="EH10111"/>
      <c r="EI10111"/>
      <c r="EJ10111"/>
      <c r="EK10111"/>
    </row>
    <row r="10112" spans="1:141" s="116" customFormat="1">
      <c r="A10112" s="136"/>
      <c r="CM10112" s="111"/>
      <c r="CQ10112" s="111"/>
      <c r="EF10112"/>
      <c r="EG10112"/>
      <c r="EH10112"/>
      <c r="EI10112"/>
      <c r="EJ10112"/>
      <c r="EK10112"/>
    </row>
    <row r="10113" spans="1:141" s="116" customFormat="1">
      <c r="A10113" s="136"/>
      <c r="CM10113" s="111"/>
      <c r="CQ10113" s="111"/>
      <c r="EF10113"/>
      <c r="EG10113"/>
      <c r="EH10113"/>
      <c r="EI10113"/>
      <c r="EJ10113"/>
      <c r="EK10113"/>
    </row>
    <row r="10114" spans="1:141" s="116" customFormat="1">
      <c r="A10114" s="136"/>
      <c r="CM10114" s="111"/>
      <c r="CQ10114" s="111"/>
      <c r="EF10114"/>
      <c r="EG10114"/>
      <c r="EH10114"/>
      <c r="EI10114"/>
      <c r="EJ10114"/>
      <c r="EK10114"/>
    </row>
    <row r="10115" spans="1:141" s="116" customFormat="1">
      <c r="A10115" s="136"/>
      <c r="CM10115" s="111"/>
      <c r="CQ10115" s="111"/>
      <c r="EF10115"/>
      <c r="EG10115"/>
      <c r="EH10115"/>
      <c r="EI10115"/>
      <c r="EJ10115"/>
      <c r="EK10115"/>
    </row>
    <row r="10116" spans="1:141" s="116" customFormat="1">
      <c r="A10116" s="136"/>
      <c r="CM10116" s="111"/>
      <c r="CQ10116" s="111"/>
      <c r="EF10116"/>
      <c r="EG10116"/>
      <c r="EH10116"/>
      <c r="EI10116"/>
      <c r="EJ10116"/>
      <c r="EK10116"/>
    </row>
    <row r="10117" spans="1:141" s="116" customFormat="1">
      <c r="A10117" s="136"/>
      <c r="CM10117" s="111"/>
      <c r="CQ10117" s="111"/>
      <c r="EF10117"/>
      <c r="EG10117"/>
      <c r="EH10117"/>
      <c r="EI10117"/>
      <c r="EJ10117"/>
      <c r="EK10117"/>
    </row>
    <row r="10118" spans="1:141" s="116" customFormat="1">
      <c r="A10118" s="136"/>
      <c r="CM10118" s="111"/>
      <c r="CQ10118" s="111"/>
      <c r="EF10118"/>
      <c r="EG10118"/>
      <c r="EH10118"/>
      <c r="EI10118"/>
      <c r="EJ10118"/>
      <c r="EK10118"/>
    </row>
    <row r="10119" spans="1:141" s="116" customFormat="1">
      <c r="A10119" s="136"/>
      <c r="CM10119" s="111"/>
      <c r="CQ10119" s="111"/>
      <c r="EF10119"/>
      <c r="EG10119"/>
      <c r="EH10119"/>
      <c r="EI10119"/>
      <c r="EJ10119"/>
      <c r="EK10119"/>
    </row>
    <row r="10120" spans="1:141" s="116" customFormat="1">
      <c r="A10120" s="136"/>
      <c r="CM10120" s="111"/>
      <c r="CQ10120" s="111"/>
      <c r="EF10120"/>
      <c r="EG10120"/>
      <c r="EH10120"/>
      <c r="EI10120"/>
      <c r="EJ10120"/>
      <c r="EK10120"/>
    </row>
    <row r="10121" spans="1:141" s="116" customFormat="1">
      <c r="A10121" s="136"/>
      <c r="CM10121" s="111"/>
      <c r="CQ10121" s="111"/>
      <c r="EF10121"/>
      <c r="EG10121"/>
      <c r="EH10121"/>
      <c r="EI10121"/>
      <c r="EJ10121"/>
      <c r="EK10121"/>
    </row>
    <row r="10122" spans="1:141" s="116" customFormat="1">
      <c r="A10122" s="136"/>
      <c r="CM10122" s="111"/>
      <c r="CQ10122" s="111"/>
      <c r="EF10122"/>
      <c r="EG10122"/>
      <c r="EH10122"/>
      <c r="EI10122"/>
      <c r="EJ10122"/>
      <c r="EK10122"/>
    </row>
    <row r="10123" spans="1:141" s="116" customFormat="1">
      <c r="A10123" s="136"/>
      <c r="CM10123" s="111"/>
      <c r="CQ10123" s="111"/>
      <c r="EF10123"/>
      <c r="EG10123"/>
      <c r="EH10123"/>
      <c r="EI10123"/>
      <c r="EJ10123"/>
      <c r="EK10123"/>
    </row>
    <row r="10124" spans="1:141" s="116" customFormat="1">
      <c r="A10124" s="136"/>
      <c r="CM10124" s="111"/>
      <c r="CQ10124" s="111"/>
      <c r="EF10124"/>
      <c r="EG10124"/>
      <c r="EH10124"/>
      <c r="EI10124"/>
      <c r="EJ10124"/>
      <c r="EK10124"/>
    </row>
    <row r="10125" spans="1:141" s="116" customFormat="1">
      <c r="A10125" s="136"/>
      <c r="CM10125" s="111"/>
      <c r="CQ10125" s="111"/>
      <c r="EF10125"/>
      <c r="EG10125"/>
      <c r="EH10125"/>
      <c r="EI10125"/>
      <c r="EJ10125"/>
      <c r="EK10125"/>
    </row>
    <row r="10126" spans="1:141" s="116" customFormat="1">
      <c r="A10126" s="136"/>
      <c r="CM10126" s="111"/>
      <c r="CQ10126" s="111"/>
      <c r="EF10126"/>
      <c r="EG10126"/>
      <c r="EH10126"/>
      <c r="EI10126"/>
      <c r="EJ10126"/>
      <c r="EK10126"/>
    </row>
    <row r="10127" spans="1:141" s="116" customFormat="1">
      <c r="A10127" s="136"/>
      <c r="CM10127" s="111"/>
      <c r="CQ10127" s="111"/>
      <c r="EF10127"/>
      <c r="EG10127"/>
      <c r="EH10127"/>
      <c r="EI10127"/>
      <c r="EJ10127"/>
      <c r="EK10127"/>
    </row>
    <row r="10128" spans="1:141" s="116" customFormat="1">
      <c r="A10128" s="136"/>
      <c r="CM10128" s="111"/>
      <c r="CQ10128" s="111"/>
      <c r="EF10128"/>
      <c r="EG10128"/>
      <c r="EH10128"/>
      <c r="EI10128"/>
      <c r="EJ10128"/>
      <c r="EK10128"/>
    </row>
    <row r="10129" spans="1:141" s="116" customFormat="1">
      <c r="A10129" s="136"/>
      <c r="CM10129" s="111"/>
      <c r="CQ10129" s="111"/>
      <c r="EF10129"/>
      <c r="EG10129"/>
      <c r="EH10129"/>
      <c r="EI10129"/>
      <c r="EJ10129"/>
      <c r="EK10129"/>
    </row>
    <row r="10130" spans="1:141" s="116" customFormat="1">
      <c r="A10130" s="136"/>
      <c r="CM10130" s="111"/>
      <c r="CQ10130" s="111"/>
      <c r="EF10130"/>
      <c r="EG10130"/>
      <c r="EH10130"/>
      <c r="EI10130"/>
      <c r="EJ10130"/>
      <c r="EK10130"/>
    </row>
    <row r="10131" spans="1:141" s="116" customFormat="1">
      <c r="A10131" s="136"/>
      <c r="CM10131" s="111"/>
      <c r="CQ10131" s="111"/>
      <c r="EF10131"/>
      <c r="EG10131"/>
      <c r="EH10131"/>
      <c r="EI10131"/>
      <c r="EJ10131"/>
      <c r="EK10131"/>
    </row>
    <row r="10132" spans="1:141" s="116" customFormat="1">
      <c r="A10132" s="136"/>
      <c r="CM10132" s="111"/>
      <c r="CQ10132" s="111"/>
      <c r="EF10132"/>
      <c r="EG10132"/>
      <c r="EH10132"/>
      <c r="EI10132"/>
      <c r="EJ10132"/>
      <c r="EK10132"/>
    </row>
    <row r="10133" spans="1:141" s="116" customFormat="1">
      <c r="A10133" s="136"/>
      <c r="CM10133" s="111"/>
      <c r="CQ10133" s="111"/>
      <c r="EF10133"/>
      <c r="EG10133"/>
      <c r="EH10133"/>
      <c r="EI10133"/>
      <c r="EJ10133"/>
      <c r="EK10133"/>
    </row>
    <row r="10134" spans="1:141" s="116" customFormat="1">
      <c r="A10134" s="136"/>
      <c r="CM10134" s="111"/>
      <c r="CQ10134" s="111"/>
      <c r="EF10134"/>
      <c r="EG10134"/>
      <c r="EH10134"/>
      <c r="EI10134"/>
      <c r="EJ10134"/>
      <c r="EK10134"/>
    </row>
    <row r="10135" spans="1:141" s="116" customFormat="1">
      <c r="A10135" s="136"/>
      <c r="CM10135" s="111"/>
      <c r="CQ10135" s="111"/>
      <c r="EF10135"/>
      <c r="EG10135"/>
      <c r="EH10135"/>
      <c r="EI10135"/>
      <c r="EJ10135"/>
      <c r="EK10135"/>
    </row>
    <row r="10136" spans="1:141" s="116" customFormat="1">
      <c r="A10136" s="136"/>
      <c r="CM10136" s="111"/>
      <c r="CQ10136" s="111"/>
      <c r="EF10136"/>
      <c r="EG10136"/>
      <c r="EH10136"/>
      <c r="EI10136"/>
      <c r="EJ10136"/>
      <c r="EK10136"/>
    </row>
    <row r="10137" spans="1:141" s="116" customFormat="1">
      <c r="A10137" s="136"/>
      <c r="CM10137" s="111"/>
      <c r="CQ10137" s="111"/>
      <c r="EF10137"/>
      <c r="EG10137"/>
      <c r="EH10137"/>
      <c r="EI10137"/>
      <c r="EJ10137"/>
      <c r="EK10137"/>
    </row>
    <row r="10138" spans="1:141" s="116" customFormat="1">
      <c r="A10138" s="136"/>
      <c r="CM10138" s="111"/>
      <c r="CQ10138" s="111"/>
      <c r="EF10138"/>
      <c r="EG10138"/>
      <c r="EH10138"/>
      <c r="EI10138"/>
      <c r="EJ10138"/>
      <c r="EK10138"/>
    </row>
    <row r="10139" spans="1:141" s="116" customFormat="1">
      <c r="A10139" s="136"/>
      <c r="CM10139" s="111"/>
      <c r="CQ10139" s="111"/>
      <c r="EF10139"/>
      <c r="EG10139"/>
      <c r="EH10139"/>
      <c r="EI10139"/>
      <c r="EJ10139"/>
      <c r="EK10139"/>
    </row>
    <row r="10140" spans="1:141" s="116" customFormat="1">
      <c r="A10140" s="136"/>
      <c r="CM10140" s="111"/>
      <c r="CQ10140" s="111"/>
      <c r="EF10140"/>
      <c r="EG10140"/>
      <c r="EH10140"/>
      <c r="EI10140"/>
      <c r="EJ10140"/>
      <c r="EK10140"/>
    </row>
    <row r="10141" spans="1:141" s="116" customFormat="1">
      <c r="A10141" s="136"/>
      <c r="CM10141" s="111"/>
      <c r="CQ10141" s="111"/>
      <c r="EF10141"/>
      <c r="EG10141"/>
      <c r="EH10141"/>
      <c r="EI10141"/>
      <c r="EJ10141"/>
      <c r="EK10141"/>
    </row>
    <row r="10142" spans="1:141" s="116" customFormat="1">
      <c r="A10142" s="136"/>
      <c r="CM10142" s="111"/>
      <c r="CQ10142" s="111"/>
      <c r="EF10142"/>
      <c r="EG10142"/>
      <c r="EH10142"/>
      <c r="EI10142"/>
      <c r="EJ10142"/>
      <c r="EK10142"/>
    </row>
    <row r="10143" spans="1:141" s="116" customFormat="1">
      <c r="A10143" s="136"/>
      <c r="CM10143" s="111"/>
      <c r="CQ10143" s="111"/>
      <c r="EF10143"/>
      <c r="EG10143"/>
      <c r="EH10143"/>
      <c r="EI10143"/>
      <c r="EJ10143"/>
      <c r="EK10143"/>
    </row>
    <row r="10144" spans="1:141" s="116" customFormat="1">
      <c r="A10144" s="136"/>
      <c r="CM10144" s="111"/>
      <c r="CQ10144" s="111"/>
      <c r="EF10144"/>
      <c r="EG10144"/>
      <c r="EH10144"/>
      <c r="EI10144"/>
      <c r="EJ10144"/>
      <c r="EK10144"/>
    </row>
    <row r="10145" spans="1:141" s="116" customFormat="1">
      <c r="A10145" s="136"/>
      <c r="CM10145" s="111"/>
      <c r="CQ10145" s="111"/>
      <c r="EF10145"/>
      <c r="EG10145"/>
      <c r="EH10145"/>
      <c r="EI10145"/>
      <c r="EJ10145"/>
      <c r="EK10145"/>
    </row>
    <row r="10146" spans="1:141" s="116" customFormat="1">
      <c r="A10146" s="136"/>
      <c r="CM10146" s="111"/>
      <c r="CQ10146" s="111"/>
      <c r="EF10146"/>
      <c r="EG10146"/>
      <c r="EH10146"/>
      <c r="EI10146"/>
      <c r="EJ10146"/>
      <c r="EK10146"/>
    </row>
    <row r="10147" spans="1:141" s="116" customFormat="1">
      <c r="A10147" s="136"/>
      <c r="CM10147" s="111"/>
      <c r="CQ10147" s="111"/>
      <c r="EF10147"/>
      <c r="EG10147"/>
      <c r="EH10147"/>
      <c r="EI10147"/>
      <c r="EJ10147"/>
      <c r="EK10147"/>
    </row>
    <row r="10148" spans="1:141" s="116" customFormat="1">
      <c r="A10148" s="136"/>
      <c r="CM10148" s="111"/>
      <c r="CQ10148" s="111"/>
      <c r="EF10148"/>
      <c r="EG10148"/>
      <c r="EH10148"/>
      <c r="EI10148"/>
      <c r="EJ10148"/>
      <c r="EK10148"/>
    </row>
    <row r="10149" spans="1:141" s="116" customFormat="1">
      <c r="A10149" s="136"/>
      <c r="CM10149" s="111"/>
      <c r="CQ10149" s="111"/>
      <c r="EF10149"/>
      <c r="EG10149"/>
      <c r="EH10149"/>
      <c r="EI10149"/>
      <c r="EJ10149"/>
      <c r="EK10149"/>
    </row>
    <row r="10150" spans="1:141" s="116" customFormat="1">
      <c r="A10150" s="136"/>
      <c r="CM10150" s="111"/>
      <c r="CQ10150" s="111"/>
      <c r="EF10150"/>
      <c r="EG10150"/>
      <c r="EH10150"/>
      <c r="EI10150"/>
      <c r="EJ10150"/>
      <c r="EK10150"/>
    </row>
    <row r="10151" spans="1:141" s="116" customFormat="1">
      <c r="A10151" s="136"/>
      <c r="CM10151" s="111"/>
      <c r="CQ10151" s="111"/>
      <c r="EF10151"/>
      <c r="EG10151"/>
      <c r="EH10151"/>
      <c r="EI10151"/>
      <c r="EJ10151"/>
      <c r="EK10151"/>
    </row>
    <row r="10152" spans="1:141" s="116" customFormat="1">
      <c r="A10152" s="136"/>
      <c r="CM10152" s="111"/>
      <c r="CQ10152" s="111"/>
      <c r="EF10152"/>
      <c r="EG10152"/>
      <c r="EH10152"/>
      <c r="EI10152"/>
      <c r="EJ10152"/>
      <c r="EK10152"/>
    </row>
    <row r="10153" spans="1:141" s="116" customFormat="1">
      <c r="A10153" s="136"/>
      <c r="CM10153" s="111"/>
      <c r="CQ10153" s="111"/>
      <c r="EF10153"/>
      <c r="EG10153"/>
      <c r="EH10153"/>
      <c r="EI10153"/>
      <c r="EJ10153"/>
      <c r="EK10153"/>
    </row>
    <row r="10154" spans="1:141" s="116" customFormat="1">
      <c r="A10154" s="136"/>
      <c r="CM10154" s="111"/>
      <c r="CQ10154" s="111"/>
      <c r="EF10154"/>
      <c r="EG10154"/>
      <c r="EH10154"/>
      <c r="EI10154"/>
      <c r="EJ10154"/>
      <c r="EK10154"/>
    </row>
    <row r="10155" spans="1:141" s="116" customFormat="1">
      <c r="A10155" s="136"/>
      <c r="CM10155" s="111"/>
      <c r="CQ10155" s="111"/>
      <c r="EF10155"/>
      <c r="EG10155"/>
      <c r="EH10155"/>
      <c r="EI10155"/>
      <c r="EJ10155"/>
      <c r="EK10155"/>
    </row>
    <row r="10156" spans="1:141" s="116" customFormat="1">
      <c r="A10156" s="136"/>
      <c r="CM10156" s="111"/>
      <c r="CQ10156" s="111"/>
      <c r="EF10156"/>
      <c r="EG10156"/>
      <c r="EH10156"/>
      <c r="EI10156"/>
      <c r="EJ10156"/>
      <c r="EK10156"/>
    </row>
    <row r="10157" spans="1:141" s="116" customFormat="1">
      <c r="A10157" s="136"/>
      <c r="CM10157" s="111"/>
      <c r="CQ10157" s="111"/>
      <c r="EF10157"/>
      <c r="EG10157"/>
      <c r="EH10157"/>
      <c r="EI10157"/>
      <c r="EJ10157"/>
      <c r="EK10157"/>
    </row>
    <row r="10158" spans="1:141" s="116" customFormat="1">
      <c r="A10158" s="136"/>
      <c r="CM10158" s="111"/>
      <c r="CQ10158" s="111"/>
      <c r="EF10158"/>
      <c r="EG10158"/>
      <c r="EH10158"/>
      <c r="EI10158"/>
      <c r="EJ10158"/>
      <c r="EK10158"/>
    </row>
    <row r="10159" spans="1:141" s="116" customFormat="1">
      <c r="A10159" s="136"/>
      <c r="CM10159" s="111"/>
      <c r="CQ10159" s="111"/>
      <c r="EF10159"/>
      <c r="EG10159"/>
      <c r="EH10159"/>
      <c r="EI10159"/>
      <c r="EJ10159"/>
      <c r="EK10159"/>
    </row>
    <row r="10160" spans="1:141" s="116" customFormat="1">
      <c r="A10160" s="136"/>
      <c r="CM10160" s="111"/>
      <c r="CQ10160" s="111"/>
      <c r="EF10160"/>
      <c r="EG10160"/>
      <c r="EH10160"/>
      <c r="EI10160"/>
      <c r="EJ10160"/>
      <c r="EK10160"/>
    </row>
    <row r="10161" spans="1:141" s="116" customFormat="1">
      <c r="A10161" s="136"/>
      <c r="CM10161" s="111"/>
      <c r="CQ10161" s="111"/>
      <c r="EF10161"/>
      <c r="EG10161"/>
      <c r="EH10161"/>
      <c r="EI10161"/>
      <c r="EJ10161"/>
      <c r="EK10161"/>
    </row>
    <row r="10162" spans="1:141" s="116" customFormat="1">
      <c r="A10162" s="136"/>
      <c r="CM10162" s="111"/>
      <c r="CQ10162" s="111"/>
      <c r="EF10162"/>
      <c r="EG10162"/>
      <c r="EH10162"/>
      <c r="EI10162"/>
      <c r="EJ10162"/>
      <c r="EK10162"/>
    </row>
    <row r="10163" spans="1:141" s="116" customFormat="1">
      <c r="A10163" s="136"/>
      <c r="CM10163" s="111"/>
      <c r="CQ10163" s="111"/>
      <c r="EF10163"/>
      <c r="EG10163"/>
      <c r="EH10163"/>
      <c r="EI10163"/>
      <c r="EJ10163"/>
      <c r="EK10163"/>
    </row>
    <row r="10164" spans="1:141" s="116" customFormat="1">
      <c r="A10164" s="136"/>
      <c r="CM10164" s="111"/>
      <c r="CQ10164" s="111"/>
      <c r="EF10164"/>
      <c r="EG10164"/>
      <c r="EH10164"/>
      <c r="EI10164"/>
      <c r="EJ10164"/>
      <c r="EK10164"/>
    </row>
    <row r="10165" spans="1:141" s="116" customFormat="1">
      <c r="A10165" s="136"/>
      <c r="CM10165" s="111"/>
      <c r="CQ10165" s="111"/>
      <c r="EF10165"/>
      <c r="EG10165"/>
      <c r="EH10165"/>
      <c r="EI10165"/>
      <c r="EJ10165"/>
      <c r="EK10165"/>
    </row>
    <row r="10166" spans="1:141" s="116" customFormat="1">
      <c r="A10166" s="136"/>
      <c r="CM10166" s="111"/>
      <c r="CQ10166" s="111"/>
      <c r="EF10166"/>
      <c r="EG10166"/>
      <c r="EH10166"/>
      <c r="EI10166"/>
      <c r="EJ10166"/>
      <c r="EK10166"/>
    </row>
    <row r="10167" spans="1:141" s="116" customFormat="1">
      <c r="A10167" s="136"/>
      <c r="CM10167" s="111"/>
      <c r="CQ10167" s="111"/>
      <c r="EF10167"/>
      <c r="EG10167"/>
      <c r="EH10167"/>
      <c r="EI10167"/>
      <c r="EJ10167"/>
      <c r="EK10167"/>
    </row>
    <row r="10168" spans="1:141" s="116" customFormat="1">
      <c r="A10168" s="136"/>
      <c r="CM10168" s="111"/>
      <c r="CQ10168" s="111"/>
      <c r="EF10168"/>
      <c r="EG10168"/>
      <c r="EH10168"/>
      <c r="EI10168"/>
      <c r="EJ10168"/>
      <c r="EK10168"/>
    </row>
    <row r="10169" spans="1:141" s="116" customFormat="1">
      <c r="A10169" s="136"/>
      <c r="CM10169" s="111"/>
      <c r="CQ10169" s="111"/>
      <c r="EF10169"/>
      <c r="EG10169"/>
      <c r="EH10169"/>
      <c r="EI10169"/>
      <c r="EJ10169"/>
      <c r="EK10169"/>
    </row>
    <row r="10170" spans="1:141" s="116" customFormat="1">
      <c r="A10170" s="136"/>
      <c r="CM10170" s="111"/>
      <c r="CQ10170" s="111"/>
      <c r="EF10170"/>
      <c r="EG10170"/>
      <c r="EH10170"/>
      <c r="EI10170"/>
      <c r="EJ10170"/>
      <c r="EK10170"/>
    </row>
    <row r="10171" spans="1:141" s="116" customFormat="1">
      <c r="A10171" s="136"/>
      <c r="CM10171" s="111"/>
      <c r="CQ10171" s="111"/>
      <c r="EF10171"/>
      <c r="EG10171"/>
      <c r="EH10171"/>
      <c r="EI10171"/>
      <c r="EJ10171"/>
      <c r="EK10171"/>
    </row>
    <row r="10172" spans="1:141" s="116" customFormat="1">
      <c r="A10172" s="136"/>
      <c r="CM10172" s="111"/>
      <c r="CQ10172" s="111"/>
      <c r="EF10172"/>
      <c r="EG10172"/>
      <c r="EH10172"/>
      <c r="EI10172"/>
      <c r="EJ10172"/>
      <c r="EK10172"/>
    </row>
    <row r="10173" spans="1:141" s="116" customFormat="1">
      <c r="A10173" s="136"/>
      <c r="CM10173" s="111"/>
      <c r="CQ10173" s="111"/>
      <c r="EF10173"/>
      <c r="EG10173"/>
      <c r="EH10173"/>
      <c r="EI10173"/>
      <c r="EJ10173"/>
      <c r="EK10173"/>
    </row>
    <row r="10174" spans="1:141" s="116" customFormat="1">
      <c r="A10174" s="136"/>
      <c r="CM10174" s="111"/>
      <c r="CQ10174" s="111"/>
      <c r="EF10174"/>
      <c r="EG10174"/>
      <c r="EH10174"/>
      <c r="EI10174"/>
      <c r="EJ10174"/>
      <c r="EK10174"/>
    </row>
    <row r="10175" spans="1:141" s="116" customFormat="1">
      <c r="A10175" s="136"/>
      <c r="CM10175" s="111"/>
      <c r="CQ10175" s="111"/>
      <c r="EF10175"/>
      <c r="EG10175"/>
      <c r="EH10175"/>
      <c r="EI10175"/>
      <c r="EJ10175"/>
      <c r="EK10175"/>
    </row>
    <row r="10176" spans="1:141" s="116" customFormat="1">
      <c r="A10176" s="136"/>
      <c r="CM10176" s="111"/>
      <c r="CQ10176" s="111"/>
      <c r="EF10176"/>
      <c r="EG10176"/>
      <c r="EH10176"/>
      <c r="EI10176"/>
      <c r="EJ10176"/>
      <c r="EK10176"/>
    </row>
    <row r="10177" spans="1:141" s="116" customFormat="1">
      <c r="A10177" s="136"/>
      <c r="CM10177" s="111"/>
      <c r="CQ10177" s="111"/>
      <c r="EF10177"/>
      <c r="EG10177"/>
      <c r="EH10177"/>
      <c r="EI10177"/>
      <c r="EJ10177"/>
      <c r="EK10177"/>
    </row>
    <row r="10178" spans="1:141" s="116" customFormat="1">
      <c r="A10178" s="136"/>
      <c r="CM10178" s="111"/>
      <c r="CQ10178" s="111"/>
      <c r="EF10178"/>
      <c r="EG10178"/>
      <c r="EH10178"/>
      <c r="EI10178"/>
      <c r="EJ10178"/>
      <c r="EK10178"/>
    </row>
    <row r="10179" spans="1:141" s="116" customFormat="1">
      <c r="A10179" s="136"/>
      <c r="CM10179" s="111"/>
      <c r="CQ10179" s="111"/>
      <c r="EF10179"/>
      <c r="EG10179"/>
      <c r="EH10179"/>
      <c r="EI10179"/>
      <c r="EJ10179"/>
      <c r="EK10179"/>
    </row>
    <row r="10180" spans="1:141" s="116" customFormat="1">
      <c r="A10180" s="136"/>
      <c r="CM10180" s="111"/>
      <c r="CQ10180" s="111"/>
      <c r="EF10180"/>
      <c r="EG10180"/>
      <c r="EH10180"/>
      <c r="EI10180"/>
      <c r="EJ10180"/>
      <c r="EK10180"/>
    </row>
    <row r="10181" spans="1:141" s="116" customFormat="1">
      <c r="A10181" s="136"/>
      <c r="CM10181" s="111"/>
      <c r="CQ10181" s="111"/>
      <c r="EF10181"/>
      <c r="EG10181"/>
      <c r="EH10181"/>
      <c r="EI10181"/>
      <c r="EJ10181"/>
      <c r="EK10181"/>
    </row>
    <row r="10182" spans="1:141" s="116" customFormat="1">
      <c r="A10182" s="136"/>
      <c r="CM10182" s="111"/>
      <c r="CQ10182" s="111"/>
      <c r="EF10182"/>
      <c r="EG10182"/>
      <c r="EH10182"/>
      <c r="EI10182"/>
      <c r="EJ10182"/>
      <c r="EK10182"/>
    </row>
    <row r="10183" spans="1:141" s="116" customFormat="1">
      <c r="A10183" s="136"/>
      <c r="CM10183" s="111"/>
      <c r="CQ10183" s="111"/>
      <c r="EF10183"/>
      <c r="EG10183"/>
      <c r="EH10183"/>
      <c r="EI10183"/>
      <c r="EJ10183"/>
      <c r="EK10183"/>
    </row>
    <row r="10184" spans="1:141" s="116" customFormat="1">
      <c r="A10184" s="136"/>
      <c r="CM10184" s="111"/>
      <c r="CQ10184" s="111"/>
      <c r="EF10184"/>
      <c r="EG10184"/>
      <c r="EH10184"/>
      <c r="EI10184"/>
      <c r="EJ10184"/>
      <c r="EK10184"/>
    </row>
    <row r="10185" spans="1:141" s="116" customFormat="1">
      <c r="A10185" s="136"/>
      <c r="CM10185" s="111"/>
      <c r="CQ10185" s="111"/>
      <c r="EF10185"/>
      <c r="EG10185"/>
      <c r="EH10185"/>
      <c r="EI10185"/>
      <c r="EJ10185"/>
      <c r="EK10185"/>
    </row>
    <row r="10186" spans="1:141" s="116" customFormat="1">
      <c r="A10186" s="136"/>
      <c r="CM10186" s="111"/>
      <c r="CQ10186" s="111"/>
      <c r="EF10186"/>
      <c r="EG10186"/>
      <c r="EH10186"/>
      <c r="EI10186"/>
      <c r="EJ10186"/>
      <c r="EK10186"/>
    </row>
    <row r="10187" spans="1:141" s="116" customFormat="1">
      <c r="A10187" s="136"/>
      <c r="CM10187" s="111"/>
      <c r="CQ10187" s="111"/>
      <c r="EF10187"/>
      <c r="EG10187"/>
      <c r="EH10187"/>
      <c r="EI10187"/>
      <c r="EJ10187"/>
      <c r="EK10187"/>
    </row>
    <row r="10188" spans="1:141" s="116" customFormat="1">
      <c r="A10188" s="136"/>
      <c r="CM10188" s="111"/>
      <c r="CQ10188" s="111"/>
      <c r="EF10188"/>
      <c r="EG10188"/>
      <c r="EH10188"/>
      <c r="EI10188"/>
      <c r="EJ10188"/>
      <c r="EK10188"/>
    </row>
    <row r="10189" spans="1:141" s="116" customFormat="1">
      <c r="A10189" s="136"/>
      <c r="CM10189" s="111"/>
      <c r="CQ10189" s="111"/>
      <c r="EF10189"/>
      <c r="EG10189"/>
      <c r="EH10189"/>
      <c r="EI10189"/>
      <c r="EJ10189"/>
      <c r="EK10189"/>
    </row>
    <row r="10190" spans="1:141" s="116" customFormat="1">
      <c r="A10190" s="136"/>
      <c r="CM10190" s="111"/>
      <c r="CQ10190" s="111"/>
      <c r="EF10190"/>
      <c r="EG10190"/>
      <c r="EH10190"/>
      <c r="EI10190"/>
      <c r="EJ10190"/>
      <c r="EK10190"/>
    </row>
    <row r="10191" spans="1:141" s="116" customFormat="1">
      <c r="A10191" s="136"/>
      <c r="CM10191" s="111"/>
      <c r="CQ10191" s="111"/>
      <c r="EF10191"/>
      <c r="EG10191"/>
      <c r="EH10191"/>
      <c r="EI10191"/>
      <c r="EJ10191"/>
      <c r="EK10191"/>
    </row>
    <row r="10192" spans="1:141" s="116" customFormat="1">
      <c r="A10192" s="136"/>
      <c r="CM10192" s="111"/>
      <c r="CQ10192" s="111"/>
      <c r="EF10192"/>
      <c r="EG10192"/>
      <c r="EH10192"/>
      <c r="EI10192"/>
      <c r="EJ10192"/>
      <c r="EK10192"/>
    </row>
    <row r="10193" spans="1:141" s="116" customFormat="1">
      <c r="A10193" s="136"/>
      <c r="CM10193" s="111"/>
      <c r="CQ10193" s="111"/>
      <c r="EF10193"/>
      <c r="EG10193"/>
      <c r="EH10193"/>
      <c r="EI10193"/>
      <c r="EJ10193"/>
      <c r="EK10193"/>
    </row>
    <row r="10194" spans="1:141" s="116" customFormat="1">
      <c r="A10194" s="136"/>
      <c r="CM10194" s="111"/>
      <c r="CQ10194" s="111"/>
      <c r="EF10194"/>
      <c r="EG10194"/>
      <c r="EH10194"/>
      <c r="EI10194"/>
      <c r="EJ10194"/>
      <c r="EK10194"/>
    </row>
    <row r="10195" spans="1:141" s="116" customFormat="1">
      <c r="A10195" s="136"/>
      <c r="CM10195" s="111"/>
      <c r="CQ10195" s="111"/>
      <c r="EF10195"/>
      <c r="EG10195"/>
      <c r="EH10195"/>
      <c r="EI10195"/>
      <c r="EJ10195"/>
      <c r="EK10195"/>
    </row>
    <row r="10196" spans="1:141" s="116" customFormat="1">
      <c r="A10196" s="136"/>
      <c r="CM10196" s="111"/>
      <c r="CQ10196" s="111"/>
      <c r="EF10196"/>
      <c r="EG10196"/>
      <c r="EH10196"/>
      <c r="EI10196"/>
      <c r="EJ10196"/>
      <c r="EK10196"/>
    </row>
    <row r="10197" spans="1:141" s="116" customFormat="1">
      <c r="A10197" s="136"/>
      <c r="CM10197" s="111"/>
      <c r="CQ10197" s="111"/>
      <c r="EF10197"/>
      <c r="EG10197"/>
      <c r="EH10197"/>
      <c r="EI10197"/>
      <c r="EJ10197"/>
      <c r="EK10197"/>
    </row>
    <row r="10198" spans="1:141" s="116" customFormat="1">
      <c r="A10198" s="136"/>
      <c r="CM10198" s="111"/>
      <c r="CQ10198" s="111"/>
      <c r="EF10198"/>
      <c r="EG10198"/>
      <c r="EH10198"/>
      <c r="EI10198"/>
      <c r="EJ10198"/>
      <c r="EK10198"/>
    </row>
    <row r="10199" spans="1:141" s="116" customFormat="1">
      <c r="A10199" s="136"/>
      <c r="CM10199" s="111"/>
      <c r="CQ10199" s="111"/>
      <c r="EF10199"/>
      <c r="EG10199"/>
      <c r="EH10199"/>
      <c r="EI10199"/>
      <c r="EJ10199"/>
      <c r="EK10199"/>
    </row>
    <row r="10200" spans="1:141" s="116" customFormat="1">
      <c r="A10200" s="136"/>
      <c r="CM10200" s="111"/>
      <c r="CQ10200" s="111"/>
      <c r="EF10200"/>
      <c r="EG10200"/>
      <c r="EH10200"/>
      <c r="EI10200"/>
      <c r="EJ10200"/>
      <c r="EK10200"/>
    </row>
    <row r="10201" spans="1:141" s="116" customFormat="1">
      <c r="A10201" s="136"/>
      <c r="CM10201" s="111"/>
      <c r="CQ10201" s="111"/>
      <c r="EF10201"/>
      <c r="EG10201"/>
      <c r="EH10201"/>
      <c r="EI10201"/>
      <c r="EJ10201"/>
      <c r="EK10201"/>
    </row>
    <row r="10202" spans="1:141" s="116" customFormat="1">
      <c r="A10202" s="136"/>
      <c r="CM10202" s="111"/>
      <c r="CQ10202" s="111"/>
      <c r="EF10202"/>
      <c r="EG10202"/>
      <c r="EH10202"/>
      <c r="EI10202"/>
      <c r="EJ10202"/>
      <c r="EK10202"/>
    </row>
    <row r="10203" spans="1:141" s="116" customFormat="1">
      <c r="A10203" s="136"/>
      <c r="CM10203" s="111"/>
      <c r="CQ10203" s="111"/>
      <c r="EF10203"/>
      <c r="EG10203"/>
      <c r="EH10203"/>
      <c r="EI10203"/>
      <c r="EJ10203"/>
      <c r="EK10203"/>
    </row>
    <row r="10204" spans="1:141" s="116" customFormat="1">
      <c r="A10204" s="136"/>
      <c r="CM10204" s="111"/>
      <c r="CQ10204" s="111"/>
      <c r="EF10204"/>
      <c r="EG10204"/>
      <c r="EH10204"/>
      <c r="EI10204"/>
      <c r="EJ10204"/>
      <c r="EK10204"/>
    </row>
    <row r="10205" spans="1:141" s="116" customFormat="1">
      <c r="A10205" s="136"/>
      <c r="CM10205" s="111"/>
      <c r="CQ10205" s="111"/>
      <c r="EF10205"/>
      <c r="EG10205"/>
      <c r="EH10205"/>
      <c r="EI10205"/>
      <c r="EJ10205"/>
      <c r="EK10205"/>
    </row>
    <row r="10206" spans="1:141" s="116" customFormat="1">
      <c r="A10206" s="136"/>
      <c r="CM10206" s="111"/>
      <c r="CQ10206" s="111"/>
      <c r="EF10206"/>
      <c r="EG10206"/>
      <c r="EH10206"/>
      <c r="EI10206"/>
      <c r="EJ10206"/>
      <c r="EK10206"/>
    </row>
    <row r="10207" spans="1:141" s="116" customFormat="1">
      <c r="A10207" s="136"/>
      <c r="CM10207" s="111"/>
      <c r="CQ10207" s="111"/>
      <c r="EF10207"/>
      <c r="EG10207"/>
      <c r="EH10207"/>
      <c r="EI10207"/>
      <c r="EJ10207"/>
      <c r="EK10207"/>
    </row>
    <row r="10208" spans="1:141" s="116" customFormat="1">
      <c r="A10208" s="136"/>
      <c r="CM10208" s="111"/>
      <c r="CQ10208" s="111"/>
      <c r="EF10208"/>
      <c r="EG10208"/>
      <c r="EH10208"/>
      <c r="EI10208"/>
      <c r="EJ10208"/>
      <c r="EK10208"/>
    </row>
    <row r="10209" spans="1:141" s="116" customFormat="1">
      <c r="A10209" s="136"/>
      <c r="CM10209" s="111"/>
      <c r="CQ10209" s="111"/>
      <c r="EF10209"/>
      <c r="EG10209"/>
      <c r="EH10209"/>
      <c r="EI10209"/>
      <c r="EJ10209"/>
      <c r="EK10209"/>
    </row>
    <row r="10210" spans="1:141" s="116" customFormat="1">
      <c r="A10210" s="136"/>
      <c r="CM10210" s="111"/>
      <c r="CQ10210" s="111"/>
      <c r="EF10210"/>
      <c r="EG10210"/>
      <c r="EH10210"/>
      <c r="EI10210"/>
      <c r="EJ10210"/>
      <c r="EK10210"/>
    </row>
    <row r="10211" spans="1:141" s="116" customFormat="1">
      <c r="A10211" s="136"/>
      <c r="CM10211" s="111"/>
      <c r="CQ10211" s="111"/>
      <c r="EF10211"/>
      <c r="EG10211"/>
      <c r="EH10211"/>
      <c r="EI10211"/>
      <c r="EJ10211"/>
      <c r="EK10211"/>
    </row>
    <row r="10212" spans="1:141" s="116" customFormat="1">
      <c r="A10212" s="136"/>
      <c r="CM10212" s="111"/>
      <c r="CQ10212" s="111"/>
      <c r="EF10212"/>
      <c r="EG10212"/>
      <c r="EH10212"/>
      <c r="EI10212"/>
      <c r="EJ10212"/>
      <c r="EK10212"/>
    </row>
    <row r="10213" spans="1:141" s="116" customFormat="1">
      <c r="A10213" s="136"/>
      <c r="CM10213" s="111"/>
      <c r="CQ10213" s="111"/>
      <c r="EF10213"/>
      <c r="EG10213"/>
      <c r="EH10213"/>
      <c r="EI10213"/>
      <c r="EJ10213"/>
      <c r="EK10213"/>
    </row>
    <row r="10214" spans="1:141" s="116" customFormat="1">
      <c r="A10214" s="136"/>
      <c r="CM10214" s="111"/>
      <c r="CQ10214" s="111"/>
      <c r="EF10214"/>
      <c r="EG10214"/>
      <c r="EH10214"/>
      <c r="EI10214"/>
      <c r="EJ10214"/>
      <c r="EK10214"/>
    </row>
    <row r="10215" spans="1:141" s="116" customFormat="1">
      <c r="A10215" s="136"/>
      <c r="CM10215" s="111"/>
      <c r="CQ10215" s="111"/>
      <c r="EF10215"/>
      <c r="EG10215"/>
      <c r="EH10215"/>
      <c r="EI10215"/>
      <c r="EJ10215"/>
      <c r="EK10215"/>
    </row>
    <row r="10216" spans="1:141" s="116" customFormat="1">
      <c r="A10216" s="136"/>
      <c r="CM10216" s="111"/>
      <c r="CQ10216" s="111"/>
      <c r="EF10216"/>
      <c r="EG10216"/>
      <c r="EH10216"/>
      <c r="EI10216"/>
      <c r="EJ10216"/>
      <c r="EK10216"/>
    </row>
    <row r="10217" spans="1:141" s="116" customFormat="1">
      <c r="A10217" s="136"/>
      <c r="CM10217" s="111"/>
      <c r="CQ10217" s="111"/>
      <c r="EF10217"/>
      <c r="EG10217"/>
      <c r="EH10217"/>
      <c r="EI10217"/>
      <c r="EJ10217"/>
      <c r="EK10217"/>
    </row>
    <row r="10218" spans="1:141" s="116" customFormat="1">
      <c r="A10218" s="136"/>
      <c r="CM10218" s="111"/>
      <c r="CQ10218" s="111"/>
      <c r="EF10218"/>
      <c r="EG10218"/>
      <c r="EH10218"/>
      <c r="EI10218"/>
      <c r="EJ10218"/>
      <c r="EK10218"/>
    </row>
    <row r="10219" spans="1:141" s="116" customFormat="1">
      <c r="A10219" s="136"/>
      <c r="CM10219" s="111"/>
      <c r="CQ10219" s="111"/>
      <c r="EF10219"/>
      <c r="EG10219"/>
      <c r="EH10219"/>
      <c r="EI10219"/>
      <c r="EJ10219"/>
      <c r="EK10219"/>
    </row>
    <row r="10220" spans="1:141" s="116" customFormat="1">
      <c r="A10220" s="136"/>
      <c r="CM10220" s="111"/>
      <c r="CQ10220" s="111"/>
      <c r="EF10220"/>
      <c r="EG10220"/>
      <c r="EH10220"/>
      <c r="EI10220"/>
      <c r="EJ10220"/>
      <c r="EK10220"/>
    </row>
    <row r="10221" spans="1:141" s="116" customFormat="1">
      <c r="A10221" s="136"/>
      <c r="CM10221" s="111"/>
      <c r="CQ10221" s="111"/>
      <c r="EF10221"/>
      <c r="EG10221"/>
      <c r="EH10221"/>
      <c r="EI10221"/>
      <c r="EJ10221"/>
      <c r="EK10221"/>
    </row>
    <row r="10222" spans="1:141" s="116" customFormat="1">
      <c r="A10222" s="136"/>
      <c r="CM10222" s="111"/>
      <c r="CQ10222" s="111"/>
      <c r="EF10222"/>
      <c r="EG10222"/>
      <c r="EH10222"/>
      <c r="EI10222"/>
      <c r="EJ10222"/>
      <c r="EK10222"/>
    </row>
    <row r="10223" spans="1:141" s="116" customFormat="1">
      <c r="A10223" s="136"/>
      <c r="CM10223" s="111"/>
      <c r="CQ10223" s="111"/>
      <c r="EF10223"/>
      <c r="EG10223"/>
      <c r="EH10223"/>
      <c r="EI10223"/>
      <c r="EJ10223"/>
      <c r="EK10223"/>
    </row>
    <row r="10224" spans="1:141" s="116" customFormat="1">
      <c r="A10224" s="136"/>
      <c r="CM10224" s="111"/>
      <c r="CQ10224" s="111"/>
      <c r="EF10224"/>
      <c r="EG10224"/>
      <c r="EH10224"/>
      <c r="EI10224"/>
      <c r="EJ10224"/>
      <c r="EK10224"/>
    </row>
    <row r="10225" spans="1:141" s="116" customFormat="1">
      <c r="A10225" s="136"/>
      <c r="CM10225" s="111"/>
      <c r="CQ10225" s="111"/>
      <c r="EF10225"/>
      <c r="EG10225"/>
      <c r="EH10225"/>
      <c r="EI10225"/>
      <c r="EJ10225"/>
      <c r="EK10225"/>
    </row>
    <row r="10226" spans="1:141" s="116" customFormat="1">
      <c r="A10226" s="136"/>
      <c r="CM10226" s="111"/>
      <c r="CQ10226" s="111"/>
      <c r="EF10226"/>
      <c r="EG10226"/>
      <c r="EH10226"/>
      <c r="EI10226"/>
      <c r="EJ10226"/>
      <c r="EK10226"/>
    </row>
    <row r="10227" spans="1:141" s="116" customFormat="1">
      <c r="A10227" s="136"/>
      <c r="CM10227" s="111"/>
      <c r="CQ10227" s="111"/>
      <c r="EF10227"/>
      <c r="EG10227"/>
      <c r="EH10227"/>
      <c r="EI10227"/>
      <c r="EJ10227"/>
      <c r="EK10227"/>
    </row>
    <row r="10228" spans="1:141" s="116" customFormat="1">
      <c r="A10228" s="136"/>
      <c r="CM10228" s="111"/>
      <c r="CQ10228" s="111"/>
      <c r="EF10228"/>
      <c r="EG10228"/>
      <c r="EH10228"/>
      <c r="EI10228"/>
      <c r="EJ10228"/>
      <c r="EK10228"/>
    </row>
    <row r="10229" spans="1:141" s="116" customFormat="1">
      <c r="A10229" s="136"/>
      <c r="CM10229" s="111"/>
      <c r="CQ10229" s="111"/>
      <c r="EF10229"/>
      <c r="EG10229"/>
      <c r="EH10229"/>
      <c r="EI10229"/>
      <c r="EJ10229"/>
      <c r="EK10229"/>
    </row>
    <row r="10230" spans="1:141" s="116" customFormat="1">
      <c r="A10230" s="136"/>
      <c r="CM10230" s="111"/>
      <c r="CQ10230" s="111"/>
      <c r="EF10230"/>
      <c r="EG10230"/>
      <c r="EH10230"/>
      <c r="EI10230"/>
      <c r="EJ10230"/>
      <c r="EK10230"/>
    </row>
    <row r="10231" spans="1:141" s="116" customFormat="1">
      <c r="A10231" s="136"/>
      <c r="CM10231" s="111"/>
      <c r="CQ10231" s="111"/>
      <c r="EF10231"/>
      <c r="EG10231"/>
      <c r="EH10231"/>
      <c r="EI10231"/>
      <c r="EJ10231"/>
      <c r="EK10231"/>
    </row>
    <row r="10232" spans="1:141" s="116" customFormat="1">
      <c r="A10232" s="136"/>
      <c r="CM10232" s="111"/>
      <c r="CQ10232" s="111"/>
      <c r="EF10232"/>
      <c r="EG10232"/>
      <c r="EH10232"/>
      <c r="EI10232"/>
      <c r="EJ10232"/>
      <c r="EK10232"/>
    </row>
    <row r="10233" spans="1:141" s="116" customFormat="1">
      <c r="A10233" s="136"/>
      <c r="CM10233" s="111"/>
      <c r="CQ10233" s="111"/>
      <c r="EF10233"/>
      <c r="EG10233"/>
      <c r="EH10233"/>
      <c r="EI10233"/>
      <c r="EJ10233"/>
      <c r="EK10233"/>
    </row>
    <row r="10234" spans="1:141" s="116" customFormat="1">
      <c r="A10234" s="136"/>
      <c r="CM10234" s="111"/>
      <c r="CQ10234" s="111"/>
      <c r="EF10234"/>
      <c r="EG10234"/>
      <c r="EH10234"/>
      <c r="EI10234"/>
      <c r="EJ10234"/>
      <c r="EK10234"/>
    </row>
    <row r="10235" spans="1:141" s="116" customFormat="1">
      <c r="A10235" s="136"/>
      <c r="CM10235" s="111"/>
      <c r="CQ10235" s="111"/>
      <c r="EF10235"/>
      <c r="EG10235"/>
      <c r="EH10235"/>
      <c r="EI10235"/>
      <c r="EJ10235"/>
      <c r="EK10235"/>
    </row>
    <row r="10236" spans="1:141" s="116" customFormat="1">
      <c r="A10236" s="136"/>
      <c r="CM10236" s="111"/>
      <c r="CQ10236" s="111"/>
      <c r="EF10236"/>
      <c r="EG10236"/>
      <c r="EH10236"/>
      <c r="EI10236"/>
      <c r="EJ10236"/>
      <c r="EK10236"/>
    </row>
    <row r="10237" spans="1:141" s="116" customFormat="1">
      <c r="A10237" s="136"/>
      <c r="CM10237" s="111"/>
      <c r="CQ10237" s="111"/>
      <c r="EF10237"/>
      <c r="EG10237"/>
      <c r="EH10237"/>
      <c r="EI10237"/>
      <c r="EJ10237"/>
      <c r="EK10237"/>
    </row>
    <row r="10238" spans="1:141" s="116" customFormat="1">
      <c r="A10238" s="136"/>
      <c r="CM10238" s="111"/>
      <c r="CQ10238" s="111"/>
      <c r="EF10238"/>
      <c r="EG10238"/>
      <c r="EH10238"/>
      <c r="EI10238"/>
      <c r="EJ10238"/>
      <c r="EK10238"/>
    </row>
    <row r="10239" spans="1:141" s="116" customFormat="1">
      <c r="A10239" s="136"/>
      <c r="CM10239" s="111"/>
      <c r="CQ10239" s="111"/>
      <c r="EF10239"/>
      <c r="EG10239"/>
      <c r="EH10239"/>
      <c r="EI10239"/>
      <c r="EJ10239"/>
      <c r="EK10239"/>
    </row>
    <row r="10240" spans="1:141" s="116" customFormat="1">
      <c r="A10240" s="136"/>
      <c r="CM10240" s="111"/>
      <c r="CQ10240" s="111"/>
      <c r="EF10240"/>
      <c r="EG10240"/>
      <c r="EH10240"/>
      <c r="EI10240"/>
      <c r="EJ10240"/>
      <c r="EK10240"/>
    </row>
    <row r="10241" spans="1:141" s="116" customFormat="1">
      <c r="A10241" s="136"/>
      <c r="CM10241" s="111"/>
      <c r="CQ10241" s="111"/>
      <c r="EF10241"/>
      <c r="EG10241"/>
      <c r="EH10241"/>
      <c r="EI10241"/>
      <c r="EJ10241"/>
      <c r="EK10241"/>
    </row>
    <row r="10242" spans="1:141" s="116" customFormat="1">
      <c r="A10242" s="136"/>
      <c r="CM10242" s="111"/>
      <c r="CQ10242" s="111"/>
      <c r="EF10242"/>
      <c r="EG10242"/>
      <c r="EH10242"/>
      <c r="EI10242"/>
      <c r="EJ10242"/>
      <c r="EK10242"/>
    </row>
    <row r="10243" spans="1:141" s="116" customFormat="1">
      <c r="A10243" s="136"/>
      <c r="CM10243" s="111"/>
      <c r="CQ10243" s="111"/>
      <c r="EF10243"/>
      <c r="EG10243"/>
      <c r="EH10243"/>
      <c r="EI10243"/>
      <c r="EJ10243"/>
      <c r="EK10243"/>
    </row>
    <row r="10244" spans="1:141" s="116" customFormat="1">
      <c r="A10244" s="136"/>
      <c r="CM10244" s="111"/>
      <c r="CQ10244" s="111"/>
      <c r="EF10244"/>
      <c r="EG10244"/>
      <c r="EH10244"/>
      <c r="EI10244"/>
      <c r="EJ10244"/>
      <c r="EK10244"/>
    </row>
    <row r="10245" spans="1:141" s="116" customFormat="1">
      <c r="A10245" s="136"/>
      <c r="CM10245" s="111"/>
      <c r="CQ10245" s="111"/>
      <c r="EF10245"/>
      <c r="EG10245"/>
      <c r="EH10245"/>
      <c r="EI10245"/>
      <c r="EJ10245"/>
      <c r="EK10245"/>
    </row>
    <row r="10246" spans="1:141" s="116" customFormat="1">
      <c r="A10246" s="136"/>
      <c r="CM10246" s="111"/>
      <c r="CQ10246" s="111"/>
      <c r="EF10246"/>
      <c r="EG10246"/>
      <c r="EH10246"/>
      <c r="EI10246"/>
      <c r="EJ10246"/>
      <c r="EK10246"/>
    </row>
    <row r="10247" spans="1:141" s="116" customFormat="1">
      <c r="A10247" s="136"/>
      <c r="CM10247" s="111"/>
      <c r="CQ10247" s="111"/>
      <c r="EF10247"/>
      <c r="EG10247"/>
      <c r="EH10247"/>
      <c r="EI10247"/>
      <c r="EJ10247"/>
      <c r="EK10247"/>
    </row>
    <row r="10248" spans="1:141" s="116" customFormat="1">
      <c r="A10248" s="136"/>
      <c r="CM10248" s="111"/>
      <c r="CQ10248" s="111"/>
      <c r="EF10248"/>
      <c r="EG10248"/>
      <c r="EH10248"/>
      <c r="EI10248"/>
      <c r="EJ10248"/>
      <c r="EK10248"/>
    </row>
    <row r="10249" spans="1:141" s="116" customFormat="1">
      <c r="A10249" s="136"/>
      <c r="CM10249" s="111"/>
      <c r="CQ10249" s="111"/>
      <c r="EF10249"/>
      <c r="EG10249"/>
      <c r="EH10249"/>
      <c r="EI10249"/>
      <c r="EJ10249"/>
      <c r="EK10249"/>
    </row>
    <row r="10250" spans="1:141" s="116" customFormat="1">
      <c r="A10250" s="136"/>
      <c r="CM10250" s="111"/>
      <c r="CQ10250" s="111"/>
      <c r="EF10250"/>
      <c r="EG10250"/>
      <c r="EH10250"/>
      <c r="EI10250"/>
      <c r="EJ10250"/>
      <c r="EK10250"/>
    </row>
    <row r="10251" spans="1:141" s="116" customFormat="1">
      <c r="A10251" s="136"/>
      <c r="CM10251" s="111"/>
      <c r="CQ10251" s="111"/>
      <c r="EF10251"/>
      <c r="EG10251"/>
      <c r="EH10251"/>
      <c r="EI10251"/>
      <c r="EJ10251"/>
      <c r="EK10251"/>
    </row>
    <row r="10252" spans="1:141" s="116" customFormat="1">
      <c r="A10252" s="136"/>
      <c r="CM10252" s="111"/>
      <c r="CQ10252" s="111"/>
      <c r="EF10252"/>
      <c r="EG10252"/>
      <c r="EH10252"/>
      <c r="EI10252"/>
      <c r="EJ10252"/>
      <c r="EK10252"/>
    </row>
    <row r="10253" spans="1:141" s="116" customFormat="1">
      <c r="A10253" s="136"/>
      <c r="CM10253" s="111"/>
      <c r="CQ10253" s="111"/>
      <c r="EF10253"/>
      <c r="EG10253"/>
      <c r="EH10253"/>
      <c r="EI10253"/>
      <c r="EJ10253"/>
      <c r="EK10253"/>
    </row>
    <row r="10254" spans="1:141" s="116" customFormat="1">
      <c r="A10254" s="136"/>
      <c r="CM10254" s="111"/>
      <c r="CQ10254" s="111"/>
      <c r="EF10254"/>
      <c r="EG10254"/>
      <c r="EH10254"/>
      <c r="EI10254"/>
      <c r="EJ10254"/>
      <c r="EK10254"/>
    </row>
    <row r="10255" spans="1:141" s="116" customFormat="1">
      <c r="A10255" s="136"/>
      <c r="CM10255" s="111"/>
      <c r="CQ10255" s="111"/>
      <c r="EF10255"/>
      <c r="EG10255"/>
      <c r="EH10255"/>
      <c r="EI10255"/>
      <c r="EJ10255"/>
      <c r="EK10255"/>
    </row>
    <row r="10256" spans="1:141" s="116" customFormat="1">
      <c r="A10256" s="136"/>
      <c r="CM10256" s="111"/>
      <c r="CQ10256" s="111"/>
      <c r="EF10256"/>
      <c r="EG10256"/>
      <c r="EH10256"/>
      <c r="EI10256"/>
      <c r="EJ10256"/>
      <c r="EK10256"/>
    </row>
    <row r="10257" spans="1:141" s="116" customFormat="1">
      <c r="A10257" s="136"/>
      <c r="CM10257" s="111"/>
      <c r="CQ10257" s="111"/>
      <c r="EF10257"/>
      <c r="EG10257"/>
      <c r="EH10257"/>
      <c r="EI10257"/>
      <c r="EJ10257"/>
      <c r="EK10257"/>
    </row>
    <row r="10258" spans="1:141" s="116" customFormat="1">
      <c r="A10258" s="136"/>
      <c r="CM10258" s="111"/>
      <c r="CQ10258" s="111"/>
      <c r="EF10258"/>
      <c r="EG10258"/>
      <c r="EH10258"/>
      <c r="EI10258"/>
      <c r="EJ10258"/>
      <c r="EK10258"/>
    </row>
    <row r="10259" spans="1:141" s="116" customFormat="1">
      <c r="A10259" s="136"/>
      <c r="CM10259" s="111"/>
      <c r="CQ10259" s="111"/>
      <c r="EF10259"/>
      <c r="EG10259"/>
      <c r="EH10259"/>
      <c r="EI10259"/>
      <c r="EJ10259"/>
      <c r="EK10259"/>
    </row>
    <row r="10260" spans="1:141" s="116" customFormat="1">
      <c r="A10260" s="136"/>
      <c r="CM10260" s="111"/>
      <c r="CQ10260" s="111"/>
      <c r="EF10260"/>
      <c r="EG10260"/>
      <c r="EH10260"/>
      <c r="EI10260"/>
      <c r="EJ10260"/>
      <c r="EK10260"/>
    </row>
    <row r="10261" spans="1:141" s="116" customFormat="1">
      <c r="A10261" s="136"/>
      <c r="CM10261" s="111"/>
      <c r="CQ10261" s="111"/>
      <c r="EF10261"/>
      <c r="EG10261"/>
      <c r="EH10261"/>
      <c r="EI10261"/>
      <c r="EJ10261"/>
      <c r="EK10261"/>
    </row>
    <row r="10262" spans="1:141" s="116" customFormat="1">
      <c r="A10262" s="136"/>
      <c r="CM10262" s="111"/>
      <c r="CQ10262" s="111"/>
      <c r="EF10262"/>
      <c r="EG10262"/>
      <c r="EH10262"/>
      <c r="EI10262"/>
      <c r="EJ10262"/>
      <c r="EK10262"/>
    </row>
    <row r="10263" spans="1:141" s="116" customFormat="1">
      <c r="A10263" s="136"/>
      <c r="CM10263" s="111"/>
      <c r="CQ10263" s="111"/>
      <c r="EF10263"/>
      <c r="EG10263"/>
      <c r="EH10263"/>
      <c r="EI10263"/>
      <c r="EJ10263"/>
      <c r="EK10263"/>
    </row>
    <row r="10264" spans="1:141" s="116" customFormat="1">
      <c r="A10264" s="136"/>
      <c r="CM10264" s="111"/>
      <c r="CQ10264" s="111"/>
      <c r="EF10264"/>
      <c r="EG10264"/>
      <c r="EH10264"/>
      <c r="EI10264"/>
      <c r="EJ10264"/>
      <c r="EK10264"/>
    </row>
    <row r="10265" spans="1:141" s="116" customFormat="1">
      <c r="A10265" s="136"/>
      <c r="CM10265" s="111"/>
      <c r="CQ10265" s="111"/>
      <c r="EF10265"/>
      <c r="EG10265"/>
      <c r="EH10265"/>
      <c r="EI10265"/>
      <c r="EJ10265"/>
      <c r="EK10265"/>
    </row>
    <row r="10266" spans="1:141" s="116" customFormat="1">
      <c r="A10266" s="136"/>
      <c r="CM10266" s="111"/>
      <c r="CQ10266" s="111"/>
      <c r="EF10266"/>
      <c r="EG10266"/>
      <c r="EH10266"/>
      <c r="EI10266"/>
      <c r="EJ10266"/>
      <c r="EK10266"/>
    </row>
    <row r="10267" spans="1:141" s="116" customFormat="1">
      <c r="A10267" s="136"/>
      <c r="CM10267" s="111"/>
      <c r="CQ10267" s="111"/>
      <c r="EF10267"/>
      <c r="EG10267"/>
      <c r="EH10267"/>
      <c r="EI10267"/>
      <c r="EJ10267"/>
      <c r="EK10267"/>
    </row>
    <row r="10268" spans="1:141" s="116" customFormat="1">
      <c r="A10268" s="136"/>
      <c r="CM10268" s="111"/>
      <c r="CQ10268" s="111"/>
      <c r="EF10268"/>
      <c r="EG10268"/>
      <c r="EH10268"/>
      <c r="EI10268"/>
      <c r="EJ10268"/>
      <c r="EK10268"/>
    </row>
    <row r="10269" spans="1:141" s="116" customFormat="1">
      <c r="A10269" s="136"/>
      <c r="CM10269" s="111"/>
      <c r="CQ10269" s="111"/>
      <c r="EF10269"/>
      <c r="EG10269"/>
      <c r="EH10269"/>
      <c r="EI10269"/>
      <c r="EJ10269"/>
      <c r="EK10269"/>
    </row>
    <row r="10270" spans="1:141" s="116" customFormat="1">
      <c r="A10270" s="136"/>
      <c r="CM10270" s="111"/>
      <c r="CQ10270" s="111"/>
      <c r="EF10270"/>
      <c r="EG10270"/>
      <c r="EH10270"/>
      <c r="EI10270"/>
      <c r="EJ10270"/>
      <c r="EK10270"/>
    </row>
    <row r="10271" spans="1:141" s="116" customFormat="1">
      <c r="A10271" s="136"/>
      <c r="CM10271" s="111"/>
      <c r="CQ10271" s="111"/>
      <c r="EF10271"/>
      <c r="EG10271"/>
      <c r="EH10271"/>
      <c r="EI10271"/>
      <c r="EJ10271"/>
      <c r="EK10271"/>
    </row>
    <row r="10272" spans="1:141" s="116" customFormat="1">
      <c r="A10272" s="136"/>
      <c r="CM10272" s="111"/>
      <c r="CQ10272" s="111"/>
      <c r="EF10272"/>
      <c r="EG10272"/>
      <c r="EH10272"/>
      <c r="EI10272"/>
      <c r="EJ10272"/>
      <c r="EK10272"/>
    </row>
    <row r="10273" spans="1:141" s="116" customFormat="1">
      <c r="A10273" s="136"/>
      <c r="CM10273" s="111"/>
      <c r="CQ10273" s="111"/>
      <c r="EF10273"/>
      <c r="EG10273"/>
      <c r="EH10273"/>
      <c r="EI10273"/>
      <c r="EJ10273"/>
      <c r="EK10273"/>
    </row>
    <row r="10274" spans="1:141" s="116" customFormat="1">
      <c r="A10274" s="136"/>
      <c r="CM10274" s="111"/>
      <c r="CQ10274" s="111"/>
      <c r="EF10274"/>
      <c r="EG10274"/>
      <c r="EH10274"/>
      <c r="EI10274"/>
      <c r="EJ10274"/>
      <c r="EK10274"/>
    </row>
    <row r="10275" spans="1:141" s="116" customFormat="1">
      <c r="A10275" s="136"/>
      <c r="CM10275" s="111"/>
      <c r="CQ10275" s="111"/>
      <c r="EF10275"/>
      <c r="EG10275"/>
      <c r="EH10275"/>
      <c r="EI10275"/>
      <c r="EJ10275"/>
      <c r="EK10275"/>
    </row>
    <row r="10276" spans="1:141" s="116" customFormat="1">
      <c r="A10276" s="136"/>
      <c r="CM10276" s="111"/>
      <c r="CQ10276" s="111"/>
      <c r="EF10276"/>
      <c r="EG10276"/>
      <c r="EH10276"/>
      <c r="EI10276"/>
      <c r="EJ10276"/>
      <c r="EK10276"/>
    </row>
    <row r="10277" spans="1:141" s="116" customFormat="1">
      <c r="A10277" s="136"/>
      <c r="CM10277" s="111"/>
      <c r="CQ10277" s="111"/>
      <c r="EF10277"/>
      <c r="EG10277"/>
      <c r="EH10277"/>
      <c r="EI10277"/>
      <c r="EJ10277"/>
      <c r="EK10277"/>
    </row>
    <row r="10278" spans="1:141" s="116" customFormat="1">
      <c r="A10278" s="136"/>
      <c r="CM10278" s="111"/>
      <c r="CQ10278" s="111"/>
      <c r="EF10278"/>
      <c r="EG10278"/>
      <c r="EH10278"/>
      <c r="EI10278"/>
      <c r="EJ10278"/>
      <c r="EK10278"/>
    </row>
    <row r="10279" spans="1:141" s="116" customFormat="1">
      <c r="A10279" s="136"/>
      <c r="CM10279" s="111"/>
      <c r="CQ10279" s="111"/>
      <c r="EF10279"/>
      <c r="EG10279"/>
      <c r="EH10279"/>
      <c r="EI10279"/>
      <c r="EJ10279"/>
      <c r="EK10279"/>
    </row>
    <row r="10280" spans="1:141" s="116" customFormat="1">
      <c r="A10280" s="136"/>
      <c r="CM10280" s="111"/>
      <c r="CQ10280" s="111"/>
      <c r="EF10280"/>
      <c r="EG10280"/>
      <c r="EH10280"/>
      <c r="EI10280"/>
      <c r="EJ10280"/>
      <c r="EK10280"/>
    </row>
    <row r="10281" spans="1:141" s="116" customFormat="1">
      <c r="A10281" s="136"/>
      <c r="CM10281" s="111"/>
      <c r="CQ10281" s="111"/>
      <c r="EF10281"/>
      <c r="EG10281"/>
      <c r="EH10281"/>
      <c r="EI10281"/>
      <c r="EJ10281"/>
      <c r="EK10281"/>
    </row>
    <row r="10282" spans="1:141" s="116" customFormat="1">
      <c r="A10282" s="136"/>
      <c r="CM10282" s="111"/>
      <c r="CQ10282" s="111"/>
      <c r="EF10282"/>
      <c r="EG10282"/>
      <c r="EH10282"/>
      <c r="EI10282"/>
      <c r="EJ10282"/>
      <c r="EK10282"/>
    </row>
    <row r="10283" spans="1:141" s="116" customFormat="1">
      <c r="A10283" s="136"/>
      <c r="CM10283" s="111"/>
      <c r="CQ10283" s="111"/>
      <c r="EF10283"/>
      <c r="EG10283"/>
      <c r="EH10283"/>
      <c r="EI10283"/>
      <c r="EJ10283"/>
      <c r="EK10283"/>
    </row>
    <row r="10284" spans="1:141" s="116" customFormat="1">
      <c r="A10284" s="136"/>
      <c r="CM10284" s="111"/>
      <c r="CQ10284" s="111"/>
      <c r="EF10284"/>
      <c r="EG10284"/>
      <c r="EH10284"/>
      <c r="EI10284"/>
      <c r="EJ10284"/>
      <c r="EK10284"/>
    </row>
    <row r="10285" spans="1:141" s="116" customFormat="1">
      <c r="A10285" s="136"/>
      <c r="CM10285" s="111"/>
      <c r="CQ10285" s="111"/>
      <c r="EF10285"/>
      <c r="EG10285"/>
      <c r="EH10285"/>
      <c r="EI10285"/>
      <c r="EJ10285"/>
      <c r="EK10285"/>
    </row>
    <row r="10286" spans="1:141" s="116" customFormat="1">
      <c r="A10286" s="136"/>
      <c r="CM10286" s="111"/>
      <c r="CQ10286" s="111"/>
      <c r="EF10286"/>
      <c r="EG10286"/>
      <c r="EH10286"/>
      <c r="EI10286"/>
      <c r="EJ10286"/>
      <c r="EK10286"/>
    </row>
    <row r="10287" spans="1:141" s="116" customFormat="1">
      <c r="A10287" s="136"/>
      <c r="CM10287" s="111"/>
      <c r="CQ10287" s="111"/>
      <c r="EF10287"/>
      <c r="EG10287"/>
      <c r="EH10287"/>
      <c r="EI10287"/>
      <c r="EJ10287"/>
      <c r="EK10287"/>
    </row>
    <row r="10288" spans="1:141" s="116" customFormat="1">
      <c r="A10288" s="136"/>
      <c r="CM10288" s="111"/>
      <c r="CQ10288" s="111"/>
      <c r="EF10288"/>
      <c r="EG10288"/>
      <c r="EH10288"/>
      <c r="EI10288"/>
      <c r="EJ10288"/>
      <c r="EK10288"/>
    </row>
    <row r="10289" spans="1:141" s="116" customFormat="1">
      <c r="A10289" s="136"/>
      <c r="CM10289" s="111"/>
      <c r="CQ10289" s="111"/>
      <c r="EF10289"/>
      <c r="EG10289"/>
      <c r="EH10289"/>
      <c r="EI10289"/>
      <c r="EJ10289"/>
      <c r="EK10289"/>
    </row>
    <row r="10290" spans="1:141" s="116" customFormat="1">
      <c r="A10290" s="136"/>
      <c r="CM10290" s="111"/>
      <c r="CQ10290" s="111"/>
      <c r="EF10290"/>
      <c r="EG10290"/>
      <c r="EH10290"/>
      <c r="EI10290"/>
      <c r="EJ10290"/>
      <c r="EK10290"/>
    </row>
    <row r="10291" spans="1:141" s="116" customFormat="1">
      <c r="A10291" s="136"/>
      <c r="CM10291" s="111"/>
      <c r="CQ10291" s="111"/>
      <c r="EF10291"/>
      <c r="EG10291"/>
      <c r="EH10291"/>
      <c r="EI10291"/>
      <c r="EJ10291"/>
      <c r="EK10291"/>
    </row>
    <row r="10292" spans="1:141" s="116" customFormat="1">
      <c r="A10292" s="136"/>
      <c r="CM10292" s="111"/>
      <c r="CQ10292" s="111"/>
      <c r="EF10292"/>
      <c r="EG10292"/>
      <c r="EH10292"/>
      <c r="EI10292"/>
      <c r="EJ10292"/>
      <c r="EK10292"/>
    </row>
    <row r="10293" spans="1:141" s="116" customFormat="1">
      <c r="A10293" s="136"/>
      <c r="CM10293" s="111"/>
      <c r="CQ10293" s="111"/>
      <c r="EF10293"/>
      <c r="EG10293"/>
      <c r="EH10293"/>
      <c r="EI10293"/>
      <c r="EJ10293"/>
      <c r="EK10293"/>
    </row>
    <row r="10294" spans="1:141" s="116" customFormat="1">
      <c r="A10294" s="136"/>
      <c r="CM10294" s="111"/>
      <c r="CQ10294" s="111"/>
      <c r="EF10294"/>
      <c r="EG10294"/>
      <c r="EH10294"/>
      <c r="EI10294"/>
      <c r="EJ10294"/>
      <c r="EK10294"/>
    </row>
    <row r="10295" spans="1:141" s="116" customFormat="1">
      <c r="A10295" s="136"/>
      <c r="CM10295" s="111"/>
      <c r="CQ10295" s="111"/>
      <c r="EF10295"/>
      <c r="EG10295"/>
      <c r="EH10295"/>
      <c r="EI10295"/>
      <c r="EJ10295"/>
      <c r="EK10295"/>
    </row>
    <row r="10296" spans="1:141" s="116" customFormat="1">
      <c r="A10296" s="136"/>
      <c r="CM10296" s="111"/>
      <c r="CQ10296" s="111"/>
      <c r="EF10296"/>
      <c r="EG10296"/>
      <c r="EH10296"/>
      <c r="EI10296"/>
      <c r="EJ10296"/>
      <c r="EK10296"/>
    </row>
    <row r="10297" spans="1:141" s="116" customFormat="1">
      <c r="A10297" s="136"/>
      <c r="CM10297" s="111"/>
      <c r="CQ10297" s="111"/>
      <c r="EF10297"/>
      <c r="EG10297"/>
      <c r="EH10297"/>
      <c r="EI10297"/>
      <c r="EJ10297"/>
      <c r="EK10297"/>
    </row>
    <row r="10298" spans="1:141" s="116" customFormat="1">
      <c r="A10298" s="136"/>
      <c r="CM10298" s="111"/>
      <c r="CQ10298" s="111"/>
      <c r="EF10298"/>
      <c r="EG10298"/>
      <c r="EH10298"/>
      <c r="EI10298"/>
      <c r="EJ10298"/>
      <c r="EK10298"/>
    </row>
    <row r="10299" spans="1:141" s="116" customFormat="1">
      <c r="A10299" s="136"/>
      <c r="CM10299" s="111"/>
      <c r="CQ10299" s="111"/>
      <c r="EF10299"/>
      <c r="EG10299"/>
      <c r="EH10299"/>
      <c r="EI10299"/>
      <c r="EJ10299"/>
      <c r="EK10299"/>
    </row>
    <row r="10300" spans="1:141" s="116" customFormat="1">
      <c r="A10300" s="136"/>
      <c r="CM10300" s="111"/>
      <c r="CQ10300" s="111"/>
      <c r="EF10300"/>
      <c r="EG10300"/>
      <c r="EH10300"/>
      <c r="EI10300"/>
      <c r="EJ10300"/>
      <c r="EK10300"/>
    </row>
    <row r="10301" spans="1:141" s="116" customFormat="1">
      <c r="A10301" s="136"/>
      <c r="CM10301" s="111"/>
      <c r="CQ10301" s="111"/>
      <c r="EF10301"/>
      <c r="EG10301"/>
      <c r="EH10301"/>
      <c r="EI10301"/>
      <c r="EJ10301"/>
      <c r="EK10301"/>
    </row>
    <row r="10302" spans="1:141" s="116" customFormat="1">
      <c r="A10302" s="136"/>
      <c r="CM10302" s="111"/>
      <c r="CQ10302" s="111"/>
      <c r="EF10302"/>
      <c r="EG10302"/>
      <c r="EH10302"/>
      <c r="EI10302"/>
      <c r="EJ10302"/>
      <c r="EK10302"/>
    </row>
    <row r="10303" spans="1:141" s="116" customFormat="1">
      <c r="A10303" s="136"/>
      <c r="CM10303" s="111"/>
      <c r="CQ10303" s="111"/>
      <c r="EF10303"/>
      <c r="EG10303"/>
      <c r="EH10303"/>
      <c r="EI10303"/>
      <c r="EJ10303"/>
      <c r="EK10303"/>
    </row>
    <row r="10304" spans="1:141" s="116" customFormat="1">
      <c r="A10304" s="136"/>
      <c r="CM10304" s="111"/>
      <c r="CQ10304" s="111"/>
      <c r="EF10304"/>
      <c r="EG10304"/>
      <c r="EH10304"/>
      <c r="EI10304"/>
      <c r="EJ10304"/>
      <c r="EK10304"/>
    </row>
    <row r="10305" spans="1:141" s="116" customFormat="1">
      <c r="A10305" s="136"/>
      <c r="CM10305" s="111"/>
      <c r="CQ10305" s="111"/>
      <c r="EF10305"/>
      <c r="EG10305"/>
      <c r="EH10305"/>
      <c r="EI10305"/>
      <c r="EJ10305"/>
      <c r="EK10305"/>
    </row>
    <row r="10306" spans="1:141" s="116" customFormat="1">
      <c r="A10306" s="136"/>
      <c r="CM10306" s="111"/>
      <c r="CQ10306" s="111"/>
      <c r="EF10306"/>
      <c r="EG10306"/>
      <c r="EH10306"/>
      <c r="EI10306"/>
      <c r="EJ10306"/>
      <c r="EK10306"/>
    </row>
    <row r="10307" spans="1:141" s="116" customFormat="1">
      <c r="A10307" s="136"/>
      <c r="CM10307" s="111"/>
      <c r="CQ10307" s="111"/>
      <c r="EF10307"/>
      <c r="EG10307"/>
      <c r="EH10307"/>
      <c r="EI10307"/>
      <c r="EJ10307"/>
      <c r="EK10307"/>
    </row>
    <row r="10308" spans="1:141" s="116" customFormat="1">
      <c r="A10308" s="136"/>
      <c r="CM10308" s="111"/>
      <c r="CQ10308" s="111"/>
      <c r="EF10308"/>
      <c r="EG10308"/>
      <c r="EH10308"/>
      <c r="EI10308"/>
      <c r="EJ10308"/>
      <c r="EK10308"/>
    </row>
    <row r="10309" spans="1:141" s="116" customFormat="1">
      <c r="A10309" s="136"/>
      <c r="CM10309" s="111"/>
      <c r="CQ10309" s="111"/>
      <c r="EF10309"/>
      <c r="EG10309"/>
      <c r="EH10309"/>
      <c r="EI10309"/>
      <c r="EJ10309"/>
      <c r="EK10309"/>
    </row>
    <row r="10310" spans="1:141" s="116" customFormat="1">
      <c r="A10310" s="136"/>
      <c r="CM10310" s="111"/>
      <c r="CQ10310" s="111"/>
      <c r="EF10310"/>
      <c r="EG10310"/>
      <c r="EH10310"/>
      <c r="EI10310"/>
      <c r="EJ10310"/>
      <c r="EK10310"/>
    </row>
    <row r="10311" spans="1:141" s="116" customFormat="1">
      <c r="A10311" s="136"/>
      <c r="CM10311" s="111"/>
      <c r="CQ10311" s="111"/>
      <c r="EF10311"/>
      <c r="EG10311"/>
      <c r="EH10311"/>
      <c r="EI10311"/>
      <c r="EJ10311"/>
      <c r="EK10311"/>
    </row>
    <row r="10312" spans="1:141" s="116" customFormat="1">
      <c r="A10312" s="136"/>
      <c r="CM10312" s="111"/>
      <c r="CQ10312" s="111"/>
      <c r="EF10312"/>
      <c r="EG10312"/>
      <c r="EH10312"/>
      <c r="EI10312"/>
      <c r="EJ10312"/>
      <c r="EK10312"/>
    </row>
    <row r="10313" spans="1:141" s="116" customFormat="1">
      <c r="A10313" s="136"/>
      <c r="CM10313" s="111"/>
      <c r="CQ10313" s="111"/>
      <c r="EF10313"/>
      <c r="EG10313"/>
      <c r="EH10313"/>
      <c r="EI10313"/>
      <c r="EJ10313"/>
      <c r="EK10313"/>
    </row>
    <row r="10314" spans="1:141" s="116" customFormat="1">
      <c r="A10314" s="136"/>
      <c r="CM10314" s="111"/>
      <c r="CQ10314" s="111"/>
      <c r="EF10314"/>
      <c r="EG10314"/>
      <c r="EH10314"/>
      <c r="EI10314"/>
      <c r="EJ10314"/>
      <c r="EK10314"/>
    </row>
    <row r="10315" spans="1:141" s="116" customFormat="1">
      <c r="A10315" s="136"/>
      <c r="CM10315" s="111"/>
      <c r="CQ10315" s="111"/>
      <c r="EF10315"/>
      <c r="EG10315"/>
      <c r="EH10315"/>
      <c r="EI10315"/>
      <c r="EJ10315"/>
      <c r="EK10315"/>
    </row>
    <row r="10316" spans="1:141" s="116" customFormat="1">
      <c r="A10316" s="136"/>
      <c r="CM10316" s="111"/>
      <c r="CQ10316" s="111"/>
      <c r="EF10316"/>
      <c r="EG10316"/>
      <c r="EH10316"/>
      <c r="EI10316"/>
      <c r="EJ10316"/>
      <c r="EK10316"/>
    </row>
    <row r="10317" spans="1:141" s="116" customFormat="1">
      <c r="A10317" s="136"/>
      <c r="CM10317" s="111"/>
      <c r="CQ10317" s="111"/>
      <c r="EF10317"/>
      <c r="EG10317"/>
      <c r="EH10317"/>
      <c r="EI10317"/>
      <c r="EJ10317"/>
      <c r="EK10317"/>
    </row>
    <row r="10318" spans="1:141" s="116" customFormat="1">
      <c r="A10318" s="136"/>
      <c r="CM10318" s="111"/>
      <c r="CQ10318" s="111"/>
      <c r="EF10318"/>
      <c r="EG10318"/>
      <c r="EH10318"/>
      <c r="EI10318"/>
      <c r="EJ10318"/>
      <c r="EK10318"/>
    </row>
    <row r="10319" spans="1:141" s="116" customFormat="1">
      <c r="A10319" s="136"/>
      <c r="CM10319" s="111"/>
      <c r="CQ10319" s="111"/>
      <c r="EF10319"/>
      <c r="EG10319"/>
      <c r="EH10319"/>
      <c r="EI10319"/>
      <c r="EJ10319"/>
      <c r="EK10319"/>
    </row>
    <row r="10320" spans="1:141" s="116" customFormat="1">
      <c r="A10320" s="136"/>
      <c r="CM10320" s="111"/>
      <c r="CQ10320" s="111"/>
      <c r="EF10320"/>
      <c r="EG10320"/>
      <c r="EH10320"/>
      <c r="EI10320"/>
      <c r="EJ10320"/>
      <c r="EK10320"/>
    </row>
    <row r="10321" spans="1:141" s="116" customFormat="1">
      <c r="A10321" s="136"/>
      <c r="CM10321" s="111"/>
      <c r="CQ10321" s="111"/>
      <c r="EF10321"/>
      <c r="EG10321"/>
      <c r="EH10321"/>
      <c r="EI10321"/>
      <c r="EJ10321"/>
      <c r="EK10321"/>
    </row>
    <row r="10322" spans="1:141" s="116" customFormat="1">
      <c r="A10322" s="136"/>
      <c r="CM10322" s="111"/>
      <c r="CQ10322" s="111"/>
      <c r="EF10322"/>
      <c r="EG10322"/>
      <c r="EH10322"/>
      <c r="EI10322"/>
      <c r="EJ10322"/>
      <c r="EK10322"/>
    </row>
    <row r="10323" spans="1:141" s="116" customFormat="1">
      <c r="A10323" s="136"/>
      <c r="CM10323" s="111"/>
      <c r="CQ10323" s="111"/>
      <c r="EF10323"/>
      <c r="EG10323"/>
      <c r="EH10323"/>
      <c r="EI10323"/>
      <c r="EJ10323"/>
      <c r="EK10323"/>
    </row>
    <row r="10324" spans="1:141" s="116" customFormat="1">
      <c r="A10324" s="136"/>
      <c r="CM10324" s="111"/>
      <c r="CQ10324" s="111"/>
      <c r="EF10324"/>
      <c r="EG10324"/>
      <c r="EH10324"/>
      <c r="EI10324"/>
      <c r="EJ10324"/>
      <c r="EK10324"/>
    </row>
    <row r="10325" spans="1:141" s="116" customFormat="1">
      <c r="A10325" s="136"/>
      <c r="CM10325" s="111"/>
      <c r="CQ10325" s="111"/>
      <c r="EF10325"/>
      <c r="EG10325"/>
      <c r="EH10325"/>
      <c r="EI10325"/>
      <c r="EJ10325"/>
      <c r="EK10325"/>
    </row>
    <row r="10326" spans="1:141" s="116" customFormat="1">
      <c r="A10326" s="136"/>
      <c r="CM10326" s="111"/>
      <c r="CQ10326" s="111"/>
      <c r="EF10326"/>
      <c r="EG10326"/>
      <c r="EH10326"/>
      <c r="EI10326"/>
      <c r="EJ10326"/>
      <c r="EK10326"/>
    </row>
    <row r="10327" spans="1:141" s="116" customFormat="1">
      <c r="A10327" s="136"/>
      <c r="CM10327" s="111"/>
      <c r="CQ10327" s="111"/>
      <c r="EF10327"/>
      <c r="EG10327"/>
      <c r="EH10327"/>
      <c r="EI10327"/>
      <c r="EJ10327"/>
      <c r="EK10327"/>
    </row>
    <row r="10328" spans="1:141" s="116" customFormat="1">
      <c r="A10328" s="136"/>
      <c r="CM10328" s="111"/>
      <c r="CQ10328" s="111"/>
      <c r="EF10328"/>
      <c r="EG10328"/>
      <c r="EH10328"/>
      <c r="EI10328"/>
      <c r="EJ10328"/>
      <c r="EK10328"/>
    </row>
    <row r="10329" spans="1:141" s="116" customFormat="1">
      <c r="A10329" s="136"/>
      <c r="CM10329" s="111"/>
      <c r="CQ10329" s="111"/>
      <c r="EF10329"/>
      <c r="EG10329"/>
      <c r="EH10329"/>
      <c r="EI10329"/>
      <c r="EJ10329"/>
      <c r="EK10329"/>
    </row>
    <row r="10330" spans="1:141" s="116" customFormat="1">
      <c r="A10330" s="136"/>
      <c r="CM10330" s="111"/>
      <c r="CQ10330" s="111"/>
      <c r="EF10330"/>
      <c r="EG10330"/>
      <c r="EH10330"/>
      <c r="EI10330"/>
      <c r="EJ10330"/>
      <c r="EK10330"/>
    </row>
    <row r="10331" spans="1:141" s="116" customFormat="1">
      <c r="A10331" s="136"/>
      <c r="CM10331" s="111"/>
      <c r="CQ10331" s="111"/>
      <c r="EF10331"/>
      <c r="EG10331"/>
      <c r="EH10331"/>
      <c r="EI10331"/>
      <c r="EJ10331"/>
      <c r="EK10331"/>
    </row>
    <row r="10332" spans="1:141" s="116" customFormat="1">
      <c r="A10332" s="136"/>
      <c r="CM10332" s="111"/>
      <c r="CQ10332" s="111"/>
      <c r="EF10332"/>
      <c r="EG10332"/>
      <c r="EH10332"/>
      <c r="EI10332"/>
      <c r="EJ10332"/>
      <c r="EK10332"/>
    </row>
    <row r="10333" spans="1:141" s="116" customFormat="1">
      <c r="A10333" s="136"/>
      <c r="CM10333" s="111"/>
      <c r="CQ10333" s="111"/>
      <c r="EF10333"/>
      <c r="EG10333"/>
      <c r="EH10333"/>
      <c r="EI10333"/>
      <c r="EJ10333"/>
      <c r="EK10333"/>
    </row>
    <row r="10334" spans="1:141" s="116" customFormat="1">
      <c r="A10334" s="136"/>
      <c r="CM10334" s="111"/>
      <c r="CQ10334" s="111"/>
      <c r="EF10334"/>
      <c r="EG10334"/>
      <c r="EH10334"/>
      <c r="EI10334"/>
      <c r="EJ10334"/>
      <c r="EK10334"/>
    </row>
    <row r="10335" spans="1:141" s="116" customFormat="1">
      <c r="A10335" s="136"/>
      <c r="CM10335" s="111"/>
      <c r="CQ10335" s="111"/>
      <c r="EF10335"/>
      <c r="EG10335"/>
      <c r="EH10335"/>
      <c r="EI10335"/>
      <c r="EJ10335"/>
      <c r="EK10335"/>
    </row>
    <row r="10336" spans="1:141" s="116" customFormat="1">
      <c r="A10336" s="136"/>
      <c r="CM10336" s="111"/>
      <c r="CQ10336" s="111"/>
      <c r="EF10336"/>
      <c r="EG10336"/>
      <c r="EH10336"/>
      <c r="EI10336"/>
      <c r="EJ10336"/>
      <c r="EK10336"/>
    </row>
    <row r="10337" spans="1:141" s="116" customFormat="1">
      <c r="A10337" s="136"/>
      <c r="CM10337" s="111"/>
      <c r="CQ10337" s="111"/>
      <c r="EF10337"/>
      <c r="EG10337"/>
      <c r="EH10337"/>
      <c r="EI10337"/>
      <c r="EJ10337"/>
      <c r="EK10337"/>
    </row>
    <row r="10338" spans="1:141" s="116" customFormat="1">
      <c r="A10338" s="136"/>
      <c r="CM10338" s="111"/>
      <c r="CQ10338" s="111"/>
      <c r="EF10338"/>
      <c r="EG10338"/>
      <c r="EH10338"/>
      <c r="EI10338"/>
      <c r="EJ10338"/>
      <c r="EK10338"/>
    </row>
    <row r="10339" spans="1:141" s="116" customFormat="1">
      <c r="A10339" s="136"/>
      <c r="CM10339" s="111"/>
      <c r="CQ10339" s="111"/>
      <c r="EF10339"/>
      <c r="EG10339"/>
      <c r="EH10339"/>
      <c r="EI10339"/>
      <c r="EJ10339"/>
      <c r="EK10339"/>
    </row>
    <row r="10340" spans="1:141" s="116" customFormat="1">
      <c r="A10340" s="136"/>
      <c r="CM10340" s="111"/>
      <c r="CQ10340" s="111"/>
      <c r="EF10340"/>
      <c r="EG10340"/>
      <c r="EH10340"/>
      <c r="EI10340"/>
      <c r="EJ10340"/>
      <c r="EK10340"/>
    </row>
    <row r="10341" spans="1:141" s="116" customFormat="1">
      <c r="A10341" s="136"/>
      <c r="CM10341" s="111"/>
      <c r="CQ10341" s="111"/>
      <c r="EF10341"/>
      <c r="EG10341"/>
      <c r="EH10341"/>
      <c r="EI10341"/>
      <c r="EJ10341"/>
      <c r="EK10341"/>
    </row>
    <row r="10342" spans="1:141" s="116" customFormat="1">
      <c r="A10342" s="136"/>
      <c r="CM10342" s="111"/>
      <c r="CQ10342" s="111"/>
      <c r="EF10342"/>
      <c r="EG10342"/>
      <c r="EH10342"/>
      <c r="EI10342"/>
      <c r="EJ10342"/>
      <c r="EK10342"/>
    </row>
    <row r="10343" spans="1:141" s="116" customFormat="1">
      <c r="A10343" s="136"/>
      <c r="CM10343" s="111"/>
      <c r="CQ10343" s="111"/>
      <c r="EF10343"/>
      <c r="EG10343"/>
      <c r="EH10343"/>
      <c r="EI10343"/>
      <c r="EJ10343"/>
      <c r="EK10343"/>
    </row>
    <row r="10344" spans="1:141" s="116" customFormat="1">
      <c r="A10344" s="136"/>
      <c r="CM10344" s="111"/>
      <c r="CQ10344" s="111"/>
      <c r="EF10344"/>
      <c r="EG10344"/>
      <c r="EH10344"/>
      <c r="EI10344"/>
      <c r="EJ10344"/>
      <c r="EK10344"/>
    </row>
    <row r="10345" spans="1:141" s="116" customFormat="1">
      <c r="A10345" s="136"/>
      <c r="CM10345" s="111"/>
      <c r="CQ10345" s="111"/>
      <c r="EF10345"/>
      <c r="EG10345"/>
      <c r="EH10345"/>
      <c r="EI10345"/>
      <c r="EJ10345"/>
      <c r="EK10345"/>
    </row>
    <row r="10346" spans="1:141" s="116" customFormat="1">
      <c r="A10346" s="136"/>
      <c r="CM10346" s="111"/>
      <c r="CQ10346" s="111"/>
      <c r="EF10346"/>
      <c r="EG10346"/>
      <c r="EH10346"/>
      <c r="EI10346"/>
      <c r="EJ10346"/>
      <c r="EK10346"/>
    </row>
    <row r="10347" spans="1:141" s="116" customFormat="1">
      <c r="A10347" s="136"/>
      <c r="CM10347" s="111"/>
      <c r="CQ10347" s="111"/>
      <c r="EF10347"/>
      <c r="EG10347"/>
      <c r="EH10347"/>
      <c r="EI10347"/>
      <c r="EJ10347"/>
      <c r="EK10347"/>
    </row>
    <row r="10348" spans="1:141" s="116" customFormat="1">
      <c r="A10348" s="136"/>
      <c r="CM10348" s="111"/>
      <c r="CQ10348" s="111"/>
      <c r="EF10348"/>
      <c r="EG10348"/>
      <c r="EH10348"/>
      <c r="EI10348"/>
      <c r="EJ10348"/>
      <c r="EK10348"/>
    </row>
    <row r="10349" spans="1:141" s="116" customFormat="1">
      <c r="A10349" s="136"/>
      <c r="CM10349" s="111"/>
      <c r="CQ10349" s="111"/>
      <c r="EF10349"/>
      <c r="EG10349"/>
      <c r="EH10349"/>
      <c r="EI10349"/>
      <c r="EJ10349"/>
      <c r="EK10349"/>
    </row>
    <row r="10350" spans="1:141" s="116" customFormat="1">
      <c r="A10350" s="136"/>
      <c r="CM10350" s="111"/>
      <c r="CQ10350" s="111"/>
      <c r="EF10350"/>
      <c r="EG10350"/>
      <c r="EH10350"/>
      <c r="EI10350"/>
      <c r="EJ10350"/>
      <c r="EK10350"/>
    </row>
    <row r="10351" spans="1:141" s="116" customFormat="1">
      <c r="A10351" s="136"/>
      <c r="CM10351" s="111"/>
      <c r="CQ10351" s="111"/>
      <c r="EF10351"/>
      <c r="EG10351"/>
      <c r="EH10351"/>
      <c r="EI10351"/>
      <c r="EJ10351"/>
      <c r="EK10351"/>
    </row>
    <row r="10352" spans="1:141" s="116" customFormat="1">
      <c r="A10352" s="136"/>
      <c r="CM10352" s="111"/>
      <c r="CQ10352" s="111"/>
      <c r="EF10352"/>
      <c r="EG10352"/>
      <c r="EH10352"/>
      <c r="EI10352"/>
      <c r="EJ10352"/>
      <c r="EK10352"/>
    </row>
    <row r="10353" spans="1:141" s="116" customFormat="1">
      <c r="A10353" s="136"/>
      <c r="CM10353" s="111"/>
      <c r="CQ10353" s="111"/>
      <c r="EF10353"/>
      <c r="EG10353"/>
      <c r="EH10353"/>
      <c r="EI10353"/>
      <c r="EJ10353"/>
      <c r="EK10353"/>
    </row>
    <row r="10354" spans="1:141" s="116" customFormat="1">
      <c r="A10354" s="136"/>
      <c r="CM10354" s="111"/>
      <c r="CQ10354" s="111"/>
      <c r="EF10354"/>
      <c r="EG10354"/>
      <c r="EH10354"/>
      <c r="EI10354"/>
      <c r="EJ10354"/>
      <c r="EK10354"/>
    </row>
    <row r="10355" spans="1:141" s="116" customFormat="1">
      <c r="A10355" s="136"/>
      <c r="CM10355" s="111"/>
      <c r="CQ10355" s="111"/>
      <c r="EF10355"/>
      <c r="EG10355"/>
      <c r="EH10355"/>
      <c r="EI10355"/>
      <c r="EJ10355"/>
      <c r="EK10355"/>
    </row>
    <row r="10356" spans="1:141" s="116" customFormat="1">
      <c r="A10356" s="136"/>
      <c r="CM10356" s="111"/>
      <c r="CQ10356" s="111"/>
      <c r="EF10356"/>
      <c r="EG10356"/>
      <c r="EH10356"/>
      <c r="EI10356"/>
      <c r="EJ10356"/>
      <c r="EK10356"/>
    </row>
    <row r="10357" spans="1:141" s="116" customFormat="1">
      <c r="A10357" s="136"/>
      <c r="CM10357" s="111"/>
      <c r="CQ10357" s="111"/>
      <c r="EF10357"/>
      <c r="EG10357"/>
      <c r="EH10357"/>
      <c r="EI10357"/>
      <c r="EJ10357"/>
      <c r="EK10357"/>
    </row>
    <row r="10358" spans="1:141" s="116" customFormat="1">
      <c r="A10358" s="136"/>
      <c r="CM10358" s="111"/>
      <c r="CQ10358" s="111"/>
      <c r="EF10358"/>
      <c r="EG10358"/>
      <c r="EH10358"/>
      <c r="EI10358"/>
      <c r="EJ10358"/>
      <c r="EK10358"/>
    </row>
    <row r="10359" spans="1:141" s="116" customFormat="1">
      <c r="A10359" s="136"/>
      <c r="CM10359" s="111"/>
      <c r="CQ10359" s="111"/>
      <c r="EF10359"/>
      <c r="EG10359"/>
      <c r="EH10359"/>
      <c r="EI10359"/>
      <c r="EJ10359"/>
      <c r="EK10359"/>
    </row>
    <row r="10360" spans="1:141" s="116" customFormat="1">
      <c r="A10360" s="136"/>
      <c r="CM10360" s="111"/>
      <c r="CQ10360" s="111"/>
      <c r="EF10360"/>
      <c r="EG10360"/>
      <c r="EH10360"/>
      <c r="EI10360"/>
      <c r="EJ10360"/>
      <c r="EK10360"/>
    </row>
    <row r="10361" spans="1:141" s="116" customFormat="1">
      <c r="A10361" s="136"/>
      <c r="CM10361" s="111"/>
      <c r="CQ10361" s="111"/>
      <c r="EF10361"/>
      <c r="EG10361"/>
      <c r="EH10361"/>
      <c r="EI10361"/>
      <c r="EJ10361"/>
      <c r="EK10361"/>
    </row>
    <row r="10362" spans="1:141" s="116" customFormat="1">
      <c r="A10362" s="136"/>
      <c r="CM10362" s="111"/>
      <c r="CQ10362" s="111"/>
      <c r="EF10362"/>
      <c r="EG10362"/>
      <c r="EH10362"/>
      <c r="EI10362"/>
      <c r="EJ10362"/>
      <c r="EK10362"/>
    </row>
    <row r="10363" spans="1:141" s="116" customFormat="1">
      <c r="A10363" s="136"/>
      <c r="CM10363" s="111"/>
      <c r="CQ10363" s="111"/>
      <c r="EF10363"/>
      <c r="EG10363"/>
      <c r="EH10363"/>
      <c r="EI10363"/>
      <c r="EJ10363"/>
      <c r="EK10363"/>
    </row>
    <row r="10364" spans="1:141" s="116" customFormat="1">
      <c r="A10364" s="136"/>
      <c r="CM10364" s="111"/>
      <c r="CQ10364" s="111"/>
      <c r="EF10364"/>
      <c r="EG10364"/>
      <c r="EH10364"/>
      <c r="EI10364"/>
      <c r="EJ10364"/>
      <c r="EK10364"/>
    </row>
    <row r="10365" spans="1:141" s="116" customFormat="1">
      <c r="A10365" s="136"/>
      <c r="CM10365" s="111"/>
      <c r="CQ10365" s="111"/>
      <c r="EF10365"/>
      <c r="EG10365"/>
      <c r="EH10365"/>
      <c r="EI10365"/>
      <c r="EJ10365"/>
      <c r="EK10365"/>
    </row>
    <row r="10366" spans="1:141" s="116" customFormat="1">
      <c r="A10366" s="136"/>
      <c r="CM10366" s="111"/>
      <c r="CQ10366" s="111"/>
      <c r="EF10366"/>
      <c r="EG10366"/>
      <c r="EH10366"/>
      <c r="EI10366"/>
      <c r="EJ10366"/>
      <c r="EK10366"/>
    </row>
    <row r="10367" spans="1:141" s="116" customFormat="1">
      <c r="A10367" s="136"/>
      <c r="CM10367" s="111"/>
      <c r="CQ10367" s="111"/>
      <c r="EF10367"/>
      <c r="EG10367"/>
      <c r="EH10367"/>
      <c r="EI10367"/>
      <c r="EJ10367"/>
      <c r="EK10367"/>
    </row>
    <row r="10368" spans="1:141" s="116" customFormat="1">
      <c r="A10368" s="136"/>
      <c r="CM10368" s="111"/>
      <c r="CQ10368" s="111"/>
      <c r="EF10368"/>
      <c r="EG10368"/>
      <c r="EH10368"/>
      <c r="EI10368"/>
      <c r="EJ10368"/>
      <c r="EK10368"/>
    </row>
    <row r="10369" spans="1:141" s="116" customFormat="1">
      <c r="A10369" s="136"/>
      <c r="CM10369" s="111"/>
      <c r="CQ10369" s="111"/>
      <c r="EF10369"/>
      <c r="EG10369"/>
      <c r="EH10369"/>
      <c r="EI10369"/>
      <c r="EJ10369"/>
      <c r="EK10369"/>
    </row>
    <row r="10370" spans="1:141" s="116" customFormat="1">
      <c r="A10370" s="136"/>
      <c r="CM10370" s="111"/>
      <c r="CQ10370" s="111"/>
      <c r="EF10370"/>
      <c r="EG10370"/>
      <c r="EH10370"/>
      <c r="EI10370"/>
      <c r="EJ10370"/>
      <c r="EK10370"/>
    </row>
    <row r="10371" spans="1:141" s="116" customFormat="1">
      <c r="A10371" s="136"/>
      <c r="CM10371" s="111"/>
      <c r="CQ10371" s="111"/>
      <c r="EF10371"/>
      <c r="EG10371"/>
      <c r="EH10371"/>
      <c r="EI10371"/>
      <c r="EJ10371"/>
      <c r="EK10371"/>
    </row>
    <row r="10372" spans="1:141" s="116" customFormat="1">
      <c r="A10372" s="136"/>
      <c r="CM10372" s="111"/>
      <c r="CQ10372" s="111"/>
      <c r="EF10372"/>
      <c r="EG10372"/>
      <c r="EH10372"/>
      <c r="EI10372"/>
      <c r="EJ10372"/>
      <c r="EK10372"/>
    </row>
    <row r="10373" spans="1:141" s="116" customFormat="1">
      <c r="A10373" s="136"/>
      <c r="CM10373" s="111"/>
      <c r="CQ10373" s="111"/>
      <c r="EF10373"/>
      <c r="EG10373"/>
      <c r="EH10373"/>
      <c r="EI10373"/>
      <c r="EJ10373"/>
      <c r="EK10373"/>
    </row>
    <row r="10374" spans="1:141" s="116" customFormat="1">
      <c r="A10374" s="136"/>
      <c r="CM10374" s="111"/>
      <c r="CQ10374" s="111"/>
      <c r="EF10374"/>
      <c r="EG10374"/>
      <c r="EH10374"/>
      <c r="EI10374"/>
      <c r="EJ10374"/>
      <c r="EK10374"/>
    </row>
    <row r="10375" spans="1:141" s="116" customFormat="1">
      <c r="A10375" s="136"/>
      <c r="CM10375" s="111"/>
      <c r="CQ10375" s="111"/>
      <c r="EF10375"/>
      <c r="EG10375"/>
      <c r="EH10375"/>
      <c r="EI10375"/>
      <c r="EJ10375"/>
      <c r="EK10375"/>
    </row>
    <row r="10376" spans="1:141" s="116" customFormat="1">
      <c r="A10376" s="136"/>
      <c r="CM10376" s="111"/>
      <c r="CQ10376" s="111"/>
      <c r="EF10376"/>
      <c r="EG10376"/>
      <c r="EH10376"/>
      <c r="EI10376"/>
      <c r="EJ10376"/>
      <c r="EK10376"/>
    </row>
    <row r="10377" spans="1:141" s="116" customFormat="1">
      <c r="A10377" s="136"/>
      <c r="CM10377" s="111"/>
      <c r="CQ10377" s="111"/>
      <c r="EF10377"/>
      <c r="EG10377"/>
      <c r="EH10377"/>
      <c r="EI10377"/>
      <c r="EJ10377"/>
      <c r="EK10377"/>
    </row>
    <row r="10378" spans="1:141" s="116" customFormat="1">
      <c r="A10378" s="136"/>
      <c r="CM10378" s="111"/>
      <c r="CQ10378" s="111"/>
      <c r="EF10378"/>
      <c r="EG10378"/>
      <c r="EH10378"/>
      <c r="EI10378"/>
      <c r="EJ10378"/>
      <c r="EK10378"/>
    </row>
    <row r="10379" spans="1:141" s="116" customFormat="1">
      <c r="A10379" s="136"/>
      <c r="CM10379" s="111"/>
      <c r="CQ10379" s="111"/>
      <c r="EF10379"/>
      <c r="EG10379"/>
      <c r="EH10379"/>
      <c r="EI10379"/>
      <c r="EJ10379"/>
      <c r="EK10379"/>
    </row>
    <row r="10380" spans="1:141" s="116" customFormat="1">
      <c r="A10380" s="136"/>
      <c r="CM10380" s="111"/>
      <c r="CQ10380" s="111"/>
      <c r="EF10380"/>
      <c r="EG10380"/>
      <c r="EH10380"/>
      <c r="EI10380"/>
      <c r="EJ10380"/>
      <c r="EK10380"/>
    </row>
    <row r="10381" spans="1:141" s="116" customFormat="1">
      <c r="A10381" s="136"/>
      <c r="CM10381" s="111"/>
      <c r="CQ10381" s="111"/>
      <c r="EF10381"/>
      <c r="EG10381"/>
      <c r="EH10381"/>
      <c r="EI10381"/>
      <c r="EJ10381"/>
      <c r="EK10381"/>
    </row>
    <row r="10382" spans="1:141" s="116" customFormat="1">
      <c r="A10382" s="136"/>
      <c r="CM10382" s="111"/>
      <c r="CQ10382" s="111"/>
      <c r="EF10382"/>
      <c r="EG10382"/>
      <c r="EH10382"/>
      <c r="EI10382"/>
      <c r="EJ10382"/>
      <c r="EK10382"/>
    </row>
    <row r="10383" spans="1:141" s="116" customFormat="1">
      <c r="A10383" s="136"/>
      <c r="CM10383" s="111"/>
      <c r="CQ10383" s="111"/>
      <c r="EF10383"/>
      <c r="EG10383"/>
      <c r="EH10383"/>
      <c r="EI10383"/>
      <c r="EJ10383"/>
      <c r="EK10383"/>
    </row>
    <row r="10384" spans="1:141" s="116" customFormat="1">
      <c r="A10384" s="136"/>
      <c r="CM10384" s="111"/>
      <c r="CQ10384" s="111"/>
      <c r="EF10384"/>
      <c r="EG10384"/>
      <c r="EH10384"/>
      <c r="EI10384"/>
      <c r="EJ10384"/>
      <c r="EK10384"/>
    </row>
    <row r="10385" spans="1:141" s="116" customFormat="1">
      <c r="A10385" s="136"/>
      <c r="CM10385" s="111"/>
      <c r="CQ10385" s="111"/>
      <c r="EF10385"/>
      <c r="EG10385"/>
      <c r="EH10385"/>
      <c r="EI10385"/>
      <c r="EJ10385"/>
      <c r="EK10385"/>
    </row>
    <row r="10386" spans="1:141" s="116" customFormat="1">
      <c r="A10386" s="136"/>
      <c r="CM10386" s="111"/>
      <c r="CQ10386" s="111"/>
      <c r="EF10386"/>
      <c r="EG10386"/>
      <c r="EH10386"/>
      <c r="EI10386"/>
      <c r="EJ10386"/>
      <c r="EK10386"/>
    </row>
    <row r="10387" spans="1:141" s="116" customFormat="1">
      <c r="A10387" s="136"/>
      <c r="CM10387" s="111"/>
      <c r="CQ10387" s="111"/>
      <c r="EF10387"/>
      <c r="EG10387"/>
      <c r="EH10387"/>
      <c r="EI10387"/>
      <c r="EJ10387"/>
      <c r="EK10387"/>
    </row>
    <row r="10388" spans="1:141" s="116" customFormat="1">
      <c r="A10388" s="136"/>
      <c r="CM10388" s="111"/>
      <c r="CQ10388" s="111"/>
      <c r="EF10388"/>
      <c r="EG10388"/>
      <c r="EH10388"/>
      <c r="EI10388"/>
      <c r="EJ10388"/>
      <c r="EK10388"/>
    </row>
    <row r="10389" spans="1:141" s="116" customFormat="1">
      <c r="A10389" s="136"/>
      <c r="CM10389" s="111"/>
      <c r="CQ10389" s="111"/>
      <c r="EF10389"/>
      <c r="EG10389"/>
      <c r="EH10389"/>
      <c r="EI10389"/>
      <c r="EJ10389"/>
      <c r="EK10389"/>
    </row>
    <row r="10390" spans="1:141" s="116" customFormat="1">
      <c r="A10390" s="136"/>
      <c r="CM10390" s="111"/>
      <c r="CQ10390" s="111"/>
      <c r="EF10390"/>
      <c r="EG10390"/>
      <c r="EH10390"/>
      <c r="EI10390"/>
      <c r="EJ10390"/>
      <c r="EK10390"/>
    </row>
    <row r="10391" spans="1:141" s="116" customFormat="1">
      <c r="A10391" s="136"/>
      <c r="CM10391" s="111"/>
      <c r="CQ10391" s="111"/>
      <c r="EF10391"/>
      <c r="EG10391"/>
      <c r="EH10391"/>
      <c r="EI10391"/>
      <c r="EJ10391"/>
      <c r="EK10391"/>
    </row>
    <row r="10392" spans="1:141" s="116" customFormat="1">
      <c r="A10392" s="136"/>
      <c r="CM10392" s="111"/>
      <c r="CQ10392" s="111"/>
      <c r="EF10392"/>
      <c r="EG10392"/>
      <c r="EH10392"/>
      <c r="EI10392"/>
      <c r="EJ10392"/>
      <c r="EK10392"/>
    </row>
    <row r="10393" spans="1:141" s="116" customFormat="1">
      <c r="A10393" s="136"/>
      <c r="CM10393" s="111"/>
      <c r="CQ10393" s="111"/>
      <c r="EF10393"/>
      <c r="EG10393"/>
      <c r="EH10393"/>
      <c r="EI10393"/>
      <c r="EJ10393"/>
      <c r="EK10393"/>
    </row>
    <row r="10394" spans="1:141" s="116" customFormat="1">
      <c r="A10394" s="136"/>
      <c r="CM10394" s="111"/>
      <c r="CQ10394" s="111"/>
      <c r="EF10394"/>
      <c r="EG10394"/>
      <c r="EH10394"/>
      <c r="EI10394"/>
      <c r="EJ10394"/>
      <c r="EK10394"/>
    </row>
    <row r="10395" spans="1:141" s="116" customFormat="1">
      <c r="A10395" s="136"/>
      <c r="CM10395" s="111"/>
      <c r="CQ10395" s="111"/>
      <c r="EF10395"/>
      <c r="EG10395"/>
      <c r="EH10395"/>
      <c r="EI10395"/>
      <c r="EJ10395"/>
      <c r="EK10395"/>
    </row>
    <row r="10396" spans="1:141" s="116" customFormat="1">
      <c r="A10396" s="136"/>
      <c r="CM10396" s="111"/>
      <c r="CQ10396" s="111"/>
      <c r="EF10396"/>
      <c r="EG10396"/>
      <c r="EH10396"/>
      <c r="EI10396"/>
      <c r="EJ10396"/>
      <c r="EK10396"/>
    </row>
    <row r="10397" spans="1:141" s="116" customFormat="1">
      <c r="A10397" s="136"/>
      <c r="CM10397" s="111"/>
      <c r="CQ10397" s="111"/>
      <c r="EF10397"/>
      <c r="EG10397"/>
      <c r="EH10397"/>
      <c r="EI10397"/>
      <c r="EJ10397"/>
      <c r="EK10397"/>
    </row>
    <row r="10398" spans="1:141" s="116" customFormat="1">
      <c r="A10398" s="136"/>
      <c r="CM10398" s="111"/>
      <c r="CQ10398" s="111"/>
      <c r="EF10398"/>
      <c r="EG10398"/>
      <c r="EH10398"/>
      <c r="EI10398"/>
      <c r="EJ10398"/>
      <c r="EK10398"/>
    </row>
    <row r="10399" spans="1:141" s="116" customFormat="1">
      <c r="A10399" s="136"/>
      <c r="CM10399" s="111"/>
      <c r="CQ10399" s="111"/>
      <c r="EF10399"/>
      <c r="EG10399"/>
      <c r="EH10399"/>
      <c r="EI10399"/>
      <c r="EJ10399"/>
      <c r="EK10399"/>
    </row>
    <row r="10400" spans="1:141" s="116" customFormat="1">
      <c r="A10400" s="136"/>
      <c r="CM10400" s="111"/>
      <c r="CQ10400" s="111"/>
      <c r="EF10400"/>
      <c r="EG10400"/>
      <c r="EH10400"/>
      <c r="EI10400"/>
      <c r="EJ10400"/>
      <c r="EK10400"/>
    </row>
    <row r="10401" spans="1:141" s="116" customFormat="1">
      <c r="A10401" s="136"/>
      <c r="CM10401" s="111"/>
      <c r="CQ10401" s="111"/>
      <c r="EF10401"/>
      <c r="EG10401"/>
      <c r="EH10401"/>
      <c r="EI10401"/>
      <c r="EJ10401"/>
      <c r="EK10401"/>
    </row>
    <row r="10402" spans="1:141" s="116" customFormat="1">
      <c r="A10402" s="136"/>
      <c r="CM10402" s="111"/>
      <c r="CQ10402" s="111"/>
      <c r="EF10402"/>
      <c r="EG10402"/>
      <c r="EH10402"/>
      <c r="EI10402"/>
      <c r="EJ10402"/>
      <c r="EK10402"/>
    </row>
    <row r="10403" spans="1:141" s="116" customFormat="1">
      <c r="A10403" s="136"/>
      <c r="CM10403" s="111"/>
      <c r="CQ10403" s="111"/>
      <c r="EF10403"/>
      <c r="EG10403"/>
      <c r="EH10403"/>
      <c r="EI10403"/>
      <c r="EJ10403"/>
      <c r="EK10403"/>
    </row>
    <row r="10404" spans="1:141" s="116" customFormat="1">
      <c r="A10404" s="136"/>
      <c r="CM10404" s="111"/>
      <c r="CQ10404" s="111"/>
      <c r="EF10404"/>
      <c r="EG10404"/>
      <c r="EH10404"/>
      <c r="EI10404"/>
      <c r="EJ10404"/>
      <c r="EK10404"/>
    </row>
    <row r="10405" spans="1:141" s="116" customFormat="1">
      <c r="A10405" s="136"/>
      <c r="CM10405" s="111"/>
      <c r="CQ10405" s="111"/>
      <c r="EF10405"/>
      <c r="EG10405"/>
      <c r="EH10405"/>
      <c r="EI10405"/>
      <c r="EJ10405"/>
      <c r="EK10405"/>
    </row>
    <row r="10406" spans="1:141" s="116" customFormat="1">
      <c r="A10406" s="136"/>
      <c r="CM10406" s="111"/>
      <c r="CQ10406" s="111"/>
      <c r="EF10406"/>
      <c r="EG10406"/>
      <c r="EH10406"/>
      <c r="EI10406"/>
      <c r="EJ10406"/>
      <c r="EK10406"/>
    </row>
    <row r="10407" spans="1:141" s="116" customFormat="1">
      <c r="A10407" s="136"/>
      <c r="CM10407" s="111"/>
      <c r="CQ10407" s="111"/>
      <c r="EF10407"/>
      <c r="EG10407"/>
      <c r="EH10407"/>
      <c r="EI10407"/>
      <c r="EJ10407"/>
      <c r="EK10407"/>
    </row>
    <row r="10408" spans="1:141" s="116" customFormat="1">
      <c r="A10408" s="136"/>
      <c r="CM10408" s="111"/>
      <c r="CQ10408" s="111"/>
      <c r="EF10408"/>
      <c r="EG10408"/>
      <c r="EH10408"/>
      <c r="EI10408"/>
      <c r="EJ10408"/>
      <c r="EK10408"/>
    </row>
    <row r="10409" spans="1:141" s="116" customFormat="1">
      <c r="A10409" s="136"/>
      <c r="CM10409" s="111"/>
      <c r="CQ10409" s="111"/>
      <c r="EF10409"/>
      <c r="EG10409"/>
      <c r="EH10409"/>
      <c r="EI10409"/>
      <c r="EJ10409"/>
      <c r="EK10409"/>
    </row>
    <row r="10410" spans="1:141" s="116" customFormat="1">
      <c r="A10410" s="136"/>
      <c r="CM10410" s="111"/>
      <c r="CQ10410" s="111"/>
      <c r="EF10410"/>
      <c r="EG10410"/>
      <c r="EH10410"/>
      <c r="EI10410"/>
      <c r="EJ10410"/>
      <c r="EK10410"/>
    </row>
    <row r="10411" spans="1:141" s="116" customFormat="1">
      <c r="A10411" s="136"/>
      <c r="CM10411" s="111"/>
      <c r="CQ10411" s="111"/>
      <c r="EF10411"/>
      <c r="EG10411"/>
      <c r="EH10411"/>
      <c r="EI10411"/>
      <c r="EJ10411"/>
      <c r="EK10411"/>
    </row>
    <row r="10412" spans="1:141" s="116" customFormat="1">
      <c r="A10412" s="136"/>
      <c r="CM10412" s="111"/>
      <c r="CQ10412" s="111"/>
      <c r="EF10412"/>
      <c r="EG10412"/>
      <c r="EH10412"/>
      <c r="EI10412"/>
      <c r="EJ10412"/>
      <c r="EK10412"/>
    </row>
    <row r="10413" spans="1:141" s="116" customFormat="1">
      <c r="A10413" s="136"/>
      <c r="CM10413" s="111"/>
      <c r="CQ10413" s="111"/>
      <c r="EF10413"/>
      <c r="EG10413"/>
      <c r="EH10413"/>
      <c r="EI10413"/>
      <c r="EJ10413"/>
      <c r="EK10413"/>
    </row>
    <row r="10414" spans="1:141" s="116" customFormat="1">
      <c r="A10414" s="136"/>
      <c r="CM10414" s="111"/>
      <c r="CQ10414" s="111"/>
      <c r="EF10414"/>
      <c r="EG10414"/>
      <c r="EH10414"/>
      <c r="EI10414"/>
      <c r="EJ10414"/>
      <c r="EK10414"/>
    </row>
    <row r="10415" spans="1:141" s="116" customFormat="1">
      <c r="A10415" s="136"/>
      <c r="CM10415" s="111"/>
      <c r="CQ10415" s="111"/>
      <c r="EF10415"/>
      <c r="EG10415"/>
      <c r="EH10415"/>
      <c r="EI10415"/>
      <c r="EJ10415"/>
      <c r="EK10415"/>
    </row>
    <row r="10416" spans="1:141" s="116" customFormat="1">
      <c r="A10416" s="136"/>
      <c r="CM10416" s="111"/>
      <c r="CQ10416" s="111"/>
      <c r="EF10416"/>
      <c r="EG10416"/>
      <c r="EH10416"/>
      <c r="EI10416"/>
      <c r="EJ10416"/>
      <c r="EK10416"/>
    </row>
    <row r="10417" spans="1:141" s="116" customFormat="1">
      <c r="A10417" s="136"/>
      <c r="CM10417" s="111"/>
      <c r="CQ10417" s="111"/>
      <c r="EF10417"/>
      <c r="EG10417"/>
      <c r="EH10417"/>
      <c r="EI10417"/>
      <c r="EJ10417"/>
      <c r="EK10417"/>
    </row>
    <row r="10418" spans="1:141" s="116" customFormat="1">
      <c r="A10418" s="136"/>
      <c r="CM10418" s="111"/>
      <c r="CQ10418" s="111"/>
      <c r="EF10418"/>
      <c r="EG10418"/>
      <c r="EH10418"/>
      <c r="EI10418"/>
      <c r="EJ10418"/>
      <c r="EK10418"/>
    </row>
    <row r="10419" spans="1:141" s="116" customFormat="1">
      <c r="A10419" s="136"/>
      <c r="CM10419" s="111"/>
      <c r="CQ10419" s="111"/>
      <c r="EF10419"/>
      <c r="EG10419"/>
      <c r="EH10419"/>
      <c r="EI10419"/>
      <c r="EJ10419"/>
      <c r="EK10419"/>
    </row>
    <row r="10420" spans="1:141" s="116" customFormat="1">
      <c r="A10420" s="136"/>
      <c r="CM10420" s="111"/>
      <c r="CQ10420" s="111"/>
      <c r="EF10420"/>
      <c r="EG10420"/>
      <c r="EH10420"/>
      <c r="EI10420"/>
      <c r="EJ10420"/>
      <c r="EK10420"/>
    </row>
    <row r="10421" spans="1:141" s="116" customFormat="1">
      <c r="A10421" s="136"/>
      <c r="CM10421" s="111"/>
      <c r="CQ10421" s="111"/>
      <c r="EF10421"/>
      <c r="EG10421"/>
      <c r="EH10421"/>
      <c r="EI10421"/>
      <c r="EJ10421"/>
      <c r="EK10421"/>
    </row>
    <row r="10422" spans="1:141" s="116" customFormat="1">
      <c r="A10422" s="136"/>
      <c r="CM10422" s="111"/>
      <c r="CQ10422" s="111"/>
      <c r="EF10422"/>
      <c r="EG10422"/>
      <c r="EH10422"/>
      <c r="EI10422"/>
      <c r="EJ10422"/>
      <c r="EK10422"/>
    </row>
    <row r="10423" spans="1:141" s="116" customFormat="1">
      <c r="A10423" s="136"/>
      <c r="CM10423" s="111"/>
      <c r="CQ10423" s="111"/>
      <c r="EF10423"/>
      <c r="EG10423"/>
      <c r="EH10423"/>
      <c r="EI10423"/>
      <c r="EJ10423"/>
      <c r="EK10423"/>
    </row>
    <row r="10424" spans="1:141" s="116" customFormat="1">
      <c r="A10424" s="136"/>
      <c r="CM10424" s="111"/>
      <c r="CQ10424" s="111"/>
      <c r="EF10424"/>
      <c r="EG10424"/>
      <c r="EH10424"/>
      <c r="EI10424"/>
      <c r="EJ10424"/>
      <c r="EK10424"/>
    </row>
    <row r="10425" spans="1:141" s="116" customFormat="1">
      <c r="A10425" s="136"/>
      <c r="CM10425" s="111"/>
      <c r="CQ10425" s="111"/>
      <c r="EF10425"/>
      <c r="EG10425"/>
      <c r="EH10425"/>
      <c r="EI10425"/>
      <c r="EJ10425"/>
      <c r="EK10425"/>
    </row>
    <row r="10426" spans="1:141" s="116" customFormat="1">
      <c r="A10426" s="136"/>
      <c r="CM10426" s="111"/>
      <c r="CQ10426" s="111"/>
      <c r="EF10426"/>
      <c r="EG10426"/>
      <c r="EH10426"/>
      <c r="EI10426"/>
      <c r="EJ10426"/>
      <c r="EK10426"/>
    </row>
    <row r="10427" spans="1:141" s="116" customFormat="1">
      <c r="A10427" s="136"/>
      <c r="CM10427" s="111"/>
      <c r="CQ10427" s="111"/>
      <c r="EF10427"/>
      <c r="EG10427"/>
      <c r="EH10427"/>
      <c r="EI10427"/>
      <c r="EJ10427"/>
      <c r="EK10427"/>
    </row>
    <row r="10428" spans="1:141" s="116" customFormat="1">
      <c r="A10428" s="136"/>
      <c r="CM10428" s="111"/>
      <c r="CQ10428" s="111"/>
      <c r="EF10428"/>
      <c r="EG10428"/>
      <c r="EH10428"/>
      <c r="EI10428"/>
      <c r="EJ10428"/>
      <c r="EK10428"/>
    </row>
    <row r="10429" spans="1:141" s="116" customFormat="1">
      <c r="A10429" s="136"/>
      <c r="CM10429" s="111"/>
      <c r="CQ10429" s="111"/>
      <c r="EF10429"/>
      <c r="EG10429"/>
      <c r="EH10429"/>
      <c r="EI10429"/>
      <c r="EJ10429"/>
      <c r="EK10429"/>
    </row>
    <row r="10430" spans="1:141" s="116" customFormat="1">
      <c r="A10430" s="136"/>
      <c r="CM10430" s="111"/>
      <c r="CQ10430" s="111"/>
      <c r="EF10430"/>
      <c r="EG10430"/>
      <c r="EH10430"/>
      <c r="EI10430"/>
      <c r="EJ10430"/>
      <c r="EK10430"/>
    </row>
    <row r="10431" spans="1:141" s="116" customFormat="1">
      <c r="A10431" s="136"/>
      <c r="CM10431" s="111"/>
      <c r="CQ10431" s="111"/>
      <c r="EF10431"/>
      <c r="EG10431"/>
      <c r="EH10431"/>
      <c r="EI10431"/>
      <c r="EJ10431"/>
      <c r="EK10431"/>
    </row>
    <row r="10432" spans="1:141" s="116" customFormat="1">
      <c r="A10432" s="136"/>
      <c r="CM10432" s="111"/>
      <c r="CQ10432" s="111"/>
      <c r="EF10432"/>
      <c r="EG10432"/>
      <c r="EH10432"/>
      <c r="EI10432"/>
      <c r="EJ10432"/>
      <c r="EK10432"/>
    </row>
    <row r="10433" spans="1:141" s="116" customFormat="1">
      <c r="A10433" s="136"/>
      <c r="CM10433" s="111"/>
      <c r="CQ10433" s="111"/>
      <c r="EF10433"/>
      <c r="EG10433"/>
      <c r="EH10433"/>
      <c r="EI10433"/>
      <c r="EJ10433"/>
      <c r="EK10433"/>
    </row>
    <row r="10434" spans="1:141" s="116" customFormat="1">
      <c r="A10434" s="136"/>
      <c r="CM10434" s="111"/>
      <c r="CQ10434" s="111"/>
      <c r="EF10434"/>
      <c r="EG10434"/>
      <c r="EH10434"/>
      <c r="EI10434"/>
      <c r="EJ10434"/>
      <c r="EK10434"/>
    </row>
    <row r="10435" spans="1:141" s="116" customFormat="1">
      <c r="A10435" s="136"/>
      <c r="CM10435" s="111"/>
      <c r="CQ10435" s="111"/>
      <c r="EF10435"/>
      <c r="EG10435"/>
      <c r="EH10435"/>
      <c r="EI10435"/>
      <c r="EJ10435"/>
      <c r="EK10435"/>
    </row>
    <row r="10436" spans="1:141" s="116" customFormat="1">
      <c r="A10436" s="136"/>
      <c r="CM10436" s="111"/>
      <c r="CQ10436" s="111"/>
      <c r="EF10436"/>
      <c r="EG10436"/>
      <c r="EH10436"/>
      <c r="EI10436"/>
      <c r="EJ10436"/>
      <c r="EK10436"/>
    </row>
    <row r="10437" spans="1:141" s="116" customFormat="1">
      <c r="A10437" s="136"/>
      <c r="CM10437" s="111"/>
      <c r="CQ10437" s="111"/>
      <c r="EF10437"/>
      <c r="EG10437"/>
      <c r="EH10437"/>
      <c r="EI10437"/>
      <c r="EJ10437"/>
      <c r="EK10437"/>
    </row>
    <row r="10438" spans="1:141" s="116" customFormat="1">
      <c r="A10438" s="136"/>
      <c r="CM10438" s="111"/>
      <c r="CQ10438" s="111"/>
      <c r="EF10438"/>
      <c r="EG10438"/>
      <c r="EH10438"/>
      <c r="EI10438"/>
      <c r="EJ10438"/>
      <c r="EK10438"/>
    </row>
    <row r="10439" spans="1:141" s="116" customFormat="1">
      <c r="A10439" s="136"/>
      <c r="CM10439" s="111"/>
      <c r="CQ10439" s="111"/>
      <c r="EF10439"/>
      <c r="EG10439"/>
      <c r="EH10439"/>
      <c r="EI10439"/>
      <c r="EJ10439"/>
      <c r="EK10439"/>
    </row>
    <row r="10440" spans="1:141" s="116" customFormat="1">
      <c r="A10440" s="136"/>
      <c r="CM10440" s="111"/>
      <c r="CQ10440" s="111"/>
      <c r="EF10440"/>
      <c r="EG10440"/>
      <c r="EH10440"/>
      <c r="EI10440"/>
      <c r="EJ10440"/>
      <c r="EK10440"/>
    </row>
    <row r="10441" spans="1:141" s="116" customFormat="1">
      <c r="A10441" s="136"/>
      <c r="CM10441" s="111"/>
      <c r="CQ10441" s="111"/>
      <c r="EF10441"/>
      <c r="EG10441"/>
      <c r="EH10441"/>
      <c r="EI10441"/>
      <c r="EJ10441"/>
      <c r="EK10441"/>
    </row>
    <row r="10442" spans="1:141" s="116" customFormat="1">
      <c r="A10442" s="136"/>
      <c r="CM10442" s="111"/>
      <c r="CQ10442" s="111"/>
      <c r="EF10442"/>
      <c r="EG10442"/>
      <c r="EH10442"/>
      <c r="EI10442"/>
      <c r="EJ10442"/>
      <c r="EK10442"/>
    </row>
    <row r="10443" spans="1:141" s="116" customFormat="1">
      <c r="A10443" s="136"/>
      <c r="CM10443" s="111"/>
      <c r="CQ10443" s="111"/>
      <c r="EF10443"/>
      <c r="EG10443"/>
      <c r="EH10443"/>
      <c r="EI10443"/>
      <c r="EJ10443"/>
      <c r="EK10443"/>
    </row>
    <row r="10444" spans="1:141" s="116" customFormat="1">
      <c r="A10444" s="136"/>
      <c r="CM10444" s="111"/>
      <c r="CQ10444" s="111"/>
      <c r="EF10444"/>
      <c r="EG10444"/>
      <c r="EH10444"/>
      <c r="EI10444"/>
      <c r="EJ10444"/>
      <c r="EK10444"/>
    </row>
    <row r="10445" spans="1:141" s="116" customFormat="1">
      <c r="A10445" s="136"/>
      <c r="CM10445" s="111"/>
      <c r="CQ10445" s="111"/>
      <c r="EF10445"/>
      <c r="EG10445"/>
      <c r="EH10445"/>
      <c r="EI10445"/>
      <c r="EJ10445"/>
      <c r="EK10445"/>
    </row>
    <row r="10446" spans="1:141" s="116" customFormat="1">
      <c r="A10446" s="136"/>
      <c r="CM10446" s="111"/>
      <c r="CQ10446" s="111"/>
      <c r="EF10446"/>
      <c r="EG10446"/>
      <c r="EH10446"/>
      <c r="EI10446"/>
      <c r="EJ10446"/>
      <c r="EK10446"/>
    </row>
    <row r="10447" spans="1:141" s="116" customFormat="1">
      <c r="A10447" s="136"/>
      <c r="CM10447" s="111"/>
      <c r="CQ10447" s="111"/>
      <c r="EF10447"/>
      <c r="EG10447"/>
      <c r="EH10447"/>
      <c r="EI10447"/>
      <c r="EJ10447"/>
      <c r="EK10447"/>
    </row>
    <row r="10448" spans="1:141" s="116" customFormat="1">
      <c r="A10448" s="136"/>
      <c r="CM10448" s="111"/>
      <c r="CQ10448" s="111"/>
      <c r="EF10448"/>
      <c r="EG10448"/>
      <c r="EH10448"/>
      <c r="EI10448"/>
      <c r="EJ10448"/>
      <c r="EK10448"/>
    </row>
    <row r="10449" spans="1:141" s="116" customFormat="1">
      <c r="A10449" s="136"/>
      <c r="CM10449" s="111"/>
      <c r="CQ10449" s="111"/>
      <c r="EF10449"/>
      <c r="EG10449"/>
      <c r="EH10449"/>
      <c r="EI10449"/>
      <c r="EJ10449"/>
      <c r="EK10449"/>
    </row>
    <row r="10450" spans="1:141" s="116" customFormat="1">
      <c r="A10450" s="136"/>
      <c r="CM10450" s="111"/>
      <c r="CQ10450" s="111"/>
      <c r="EF10450"/>
      <c r="EG10450"/>
      <c r="EH10450"/>
      <c r="EI10450"/>
      <c r="EJ10450"/>
      <c r="EK10450"/>
    </row>
    <row r="10451" spans="1:141" s="116" customFormat="1">
      <c r="A10451" s="136"/>
      <c r="CM10451" s="111"/>
      <c r="CQ10451" s="111"/>
      <c r="EF10451"/>
      <c r="EG10451"/>
      <c r="EH10451"/>
      <c r="EI10451"/>
      <c r="EJ10451"/>
      <c r="EK10451"/>
    </row>
    <row r="10452" spans="1:141" s="116" customFormat="1">
      <c r="A10452" s="136"/>
      <c r="CM10452" s="111"/>
      <c r="CQ10452" s="111"/>
      <c r="EF10452"/>
      <c r="EG10452"/>
      <c r="EH10452"/>
      <c r="EI10452"/>
      <c r="EJ10452"/>
      <c r="EK10452"/>
    </row>
    <row r="10453" spans="1:141" s="116" customFormat="1">
      <c r="A10453" s="136"/>
      <c r="CM10453" s="111"/>
      <c r="CQ10453" s="111"/>
      <c r="EF10453"/>
      <c r="EG10453"/>
      <c r="EH10453"/>
      <c r="EI10453"/>
      <c r="EJ10453"/>
      <c r="EK10453"/>
    </row>
    <row r="10454" spans="1:141" s="116" customFormat="1">
      <c r="A10454" s="136"/>
      <c r="CM10454" s="111"/>
      <c r="CQ10454" s="111"/>
      <c r="EF10454"/>
      <c r="EG10454"/>
      <c r="EH10454"/>
      <c r="EI10454"/>
      <c r="EJ10454"/>
      <c r="EK10454"/>
    </row>
    <row r="10455" spans="1:141" s="116" customFormat="1">
      <c r="A10455" s="136"/>
      <c r="CM10455" s="111"/>
      <c r="CQ10455" s="111"/>
      <c r="EF10455"/>
      <c r="EG10455"/>
      <c r="EH10455"/>
      <c r="EI10455"/>
      <c r="EJ10455"/>
      <c r="EK10455"/>
    </row>
    <row r="10456" spans="1:141" s="116" customFormat="1">
      <c r="A10456" s="136"/>
      <c r="CM10456" s="111"/>
      <c r="CQ10456" s="111"/>
      <c r="EF10456"/>
      <c r="EG10456"/>
      <c r="EH10456"/>
      <c r="EI10456"/>
      <c r="EJ10456"/>
      <c r="EK10456"/>
    </row>
    <row r="10457" spans="1:141" s="116" customFormat="1">
      <c r="A10457" s="136"/>
      <c r="CM10457" s="111"/>
      <c r="CQ10457" s="111"/>
      <c r="EF10457"/>
      <c r="EG10457"/>
      <c r="EH10457"/>
      <c r="EI10457"/>
      <c r="EJ10457"/>
      <c r="EK10457"/>
    </row>
    <row r="10458" spans="1:141" s="116" customFormat="1">
      <c r="A10458" s="136"/>
      <c r="CM10458" s="111"/>
      <c r="CQ10458" s="111"/>
      <c r="EF10458"/>
      <c r="EG10458"/>
      <c r="EH10458"/>
      <c r="EI10458"/>
      <c r="EJ10458"/>
      <c r="EK10458"/>
    </row>
    <row r="10459" spans="1:141" s="116" customFormat="1">
      <c r="A10459" s="136"/>
      <c r="CM10459" s="111"/>
      <c r="CQ10459" s="111"/>
      <c r="EF10459"/>
      <c r="EG10459"/>
      <c r="EH10459"/>
      <c r="EI10459"/>
      <c r="EJ10459"/>
      <c r="EK10459"/>
    </row>
    <row r="10460" spans="1:141" s="116" customFormat="1">
      <c r="A10460" s="136"/>
      <c r="CM10460" s="111"/>
      <c r="CQ10460" s="111"/>
      <c r="EF10460"/>
      <c r="EG10460"/>
      <c r="EH10460"/>
      <c r="EI10460"/>
      <c r="EJ10460"/>
      <c r="EK10460"/>
    </row>
    <row r="10461" spans="1:141" s="116" customFormat="1">
      <c r="A10461" s="136"/>
      <c r="CM10461" s="111"/>
      <c r="CQ10461" s="111"/>
      <c r="EF10461"/>
      <c r="EG10461"/>
      <c r="EH10461"/>
      <c r="EI10461"/>
      <c r="EJ10461"/>
      <c r="EK10461"/>
    </row>
    <row r="10462" spans="1:141" s="116" customFormat="1">
      <c r="A10462" s="136"/>
      <c r="CM10462" s="111"/>
      <c r="CQ10462" s="111"/>
      <c r="EF10462"/>
      <c r="EG10462"/>
      <c r="EH10462"/>
      <c r="EI10462"/>
      <c r="EJ10462"/>
      <c r="EK10462"/>
    </row>
    <row r="10463" spans="1:141" s="116" customFormat="1">
      <c r="A10463" s="136"/>
      <c r="CM10463" s="111"/>
      <c r="CQ10463" s="111"/>
      <c r="EF10463"/>
      <c r="EG10463"/>
      <c r="EH10463"/>
      <c r="EI10463"/>
      <c r="EJ10463"/>
      <c r="EK10463"/>
    </row>
    <row r="10464" spans="1:141" s="116" customFormat="1">
      <c r="A10464" s="136"/>
      <c r="CM10464" s="111"/>
      <c r="CQ10464" s="111"/>
      <c r="EF10464"/>
      <c r="EG10464"/>
      <c r="EH10464"/>
      <c r="EI10464"/>
      <c r="EJ10464"/>
      <c r="EK10464"/>
    </row>
    <row r="10465" spans="1:141" s="116" customFormat="1">
      <c r="A10465" s="136"/>
      <c r="CM10465" s="111"/>
      <c r="CQ10465" s="111"/>
      <c r="EF10465"/>
      <c r="EG10465"/>
      <c r="EH10465"/>
      <c r="EI10465"/>
      <c r="EJ10465"/>
      <c r="EK10465"/>
    </row>
    <row r="10466" spans="1:141" s="116" customFormat="1">
      <c r="A10466" s="136"/>
      <c r="CM10466" s="111"/>
      <c r="CQ10466" s="111"/>
      <c r="EF10466"/>
      <c r="EG10466"/>
      <c r="EH10466"/>
      <c r="EI10466"/>
      <c r="EJ10466"/>
      <c r="EK10466"/>
    </row>
    <row r="10467" spans="1:141" s="116" customFormat="1">
      <c r="A10467" s="136"/>
      <c r="CM10467" s="111"/>
      <c r="CQ10467" s="111"/>
      <c r="EF10467"/>
      <c r="EG10467"/>
      <c r="EH10467"/>
      <c r="EI10467"/>
      <c r="EJ10467"/>
      <c r="EK10467"/>
    </row>
    <row r="10468" spans="1:141" s="116" customFormat="1">
      <c r="A10468" s="136"/>
      <c r="CM10468" s="111"/>
      <c r="CQ10468" s="111"/>
      <c r="EF10468"/>
      <c r="EG10468"/>
      <c r="EH10468"/>
      <c r="EI10468"/>
      <c r="EJ10468"/>
      <c r="EK10468"/>
    </row>
    <row r="10469" spans="1:141" s="116" customFormat="1">
      <c r="A10469" s="136"/>
      <c r="CM10469" s="111"/>
      <c r="CQ10469" s="111"/>
      <c r="EF10469"/>
      <c r="EG10469"/>
      <c r="EH10469"/>
      <c r="EI10469"/>
      <c r="EJ10469"/>
      <c r="EK10469"/>
    </row>
    <row r="10470" spans="1:141" s="116" customFormat="1">
      <c r="A10470" s="136"/>
      <c r="CM10470" s="111"/>
      <c r="CQ10470" s="111"/>
      <c r="EF10470"/>
      <c r="EG10470"/>
      <c r="EH10470"/>
      <c r="EI10470"/>
      <c r="EJ10470"/>
      <c r="EK10470"/>
    </row>
    <row r="10471" spans="1:141" s="116" customFormat="1">
      <c r="A10471" s="136"/>
      <c r="CM10471" s="111"/>
      <c r="CQ10471" s="111"/>
      <c r="EF10471"/>
      <c r="EG10471"/>
      <c r="EH10471"/>
      <c r="EI10471"/>
      <c r="EJ10471"/>
      <c r="EK10471"/>
    </row>
    <row r="10472" spans="1:141" s="116" customFormat="1">
      <c r="A10472" s="136"/>
      <c r="CM10472" s="111"/>
      <c r="CQ10472" s="111"/>
      <c r="EF10472"/>
      <c r="EG10472"/>
      <c r="EH10472"/>
      <c r="EI10472"/>
      <c r="EJ10472"/>
      <c r="EK10472"/>
    </row>
    <row r="10473" spans="1:141" s="116" customFormat="1">
      <c r="A10473" s="136"/>
      <c r="CM10473" s="111"/>
      <c r="CQ10473" s="111"/>
      <c r="EF10473"/>
      <c r="EG10473"/>
      <c r="EH10473"/>
      <c r="EI10473"/>
      <c r="EJ10473"/>
      <c r="EK10473"/>
    </row>
    <row r="10474" spans="1:141" s="116" customFormat="1">
      <c r="A10474" s="136"/>
      <c r="CM10474" s="111"/>
      <c r="CQ10474" s="111"/>
      <c r="EF10474"/>
      <c r="EG10474"/>
      <c r="EH10474"/>
      <c r="EI10474"/>
      <c r="EJ10474"/>
      <c r="EK10474"/>
    </row>
    <row r="10475" spans="1:141" s="116" customFormat="1">
      <c r="A10475" s="136"/>
      <c r="CM10475" s="111"/>
      <c r="CQ10475" s="111"/>
      <c r="EF10475"/>
      <c r="EG10475"/>
      <c r="EH10475"/>
      <c r="EI10475"/>
      <c r="EJ10475"/>
      <c r="EK10475"/>
    </row>
    <row r="10476" spans="1:141" s="116" customFormat="1">
      <c r="A10476" s="136"/>
      <c r="CM10476" s="111"/>
      <c r="CQ10476" s="111"/>
      <c r="EF10476"/>
      <c r="EG10476"/>
      <c r="EH10476"/>
      <c r="EI10476"/>
      <c r="EJ10476"/>
      <c r="EK10476"/>
    </row>
    <row r="10477" spans="1:141" s="116" customFormat="1">
      <c r="A10477" s="136"/>
      <c r="CM10477" s="111"/>
      <c r="CQ10477" s="111"/>
      <c r="EF10477"/>
      <c r="EG10477"/>
      <c r="EH10477"/>
      <c r="EI10477"/>
      <c r="EJ10477"/>
      <c r="EK10477"/>
    </row>
    <row r="10478" spans="1:141" s="116" customFormat="1">
      <c r="A10478" s="136"/>
      <c r="CM10478" s="111"/>
      <c r="CQ10478" s="111"/>
      <c r="EF10478"/>
      <c r="EG10478"/>
      <c r="EH10478"/>
      <c r="EI10478"/>
      <c r="EJ10478"/>
      <c r="EK10478"/>
    </row>
    <row r="10479" spans="1:141" s="116" customFormat="1">
      <c r="A10479" s="136"/>
      <c r="CM10479" s="111"/>
      <c r="CQ10479" s="111"/>
      <c r="EF10479"/>
      <c r="EG10479"/>
      <c r="EH10479"/>
      <c r="EI10479"/>
      <c r="EJ10479"/>
      <c r="EK10479"/>
    </row>
    <row r="10480" spans="1:141" s="116" customFormat="1">
      <c r="A10480" s="136"/>
      <c r="CM10480" s="111"/>
      <c r="CQ10480" s="111"/>
      <c r="EF10480"/>
      <c r="EG10480"/>
      <c r="EH10480"/>
      <c r="EI10480"/>
      <c r="EJ10480"/>
      <c r="EK10480"/>
    </row>
    <row r="10481" spans="1:141" s="116" customFormat="1">
      <c r="A10481" s="136"/>
      <c r="CM10481" s="111"/>
      <c r="CQ10481" s="111"/>
      <c r="EF10481"/>
      <c r="EG10481"/>
      <c r="EH10481"/>
      <c r="EI10481"/>
      <c r="EJ10481"/>
      <c r="EK10481"/>
    </row>
    <row r="10482" spans="1:141" s="116" customFormat="1">
      <c r="A10482" s="136"/>
      <c r="CM10482" s="111"/>
      <c r="CQ10482" s="111"/>
      <c r="EF10482"/>
      <c r="EG10482"/>
      <c r="EH10482"/>
      <c r="EI10482"/>
      <c r="EJ10482"/>
      <c r="EK10482"/>
    </row>
    <row r="10483" spans="1:141" s="116" customFormat="1">
      <c r="A10483" s="136"/>
      <c r="CM10483" s="111"/>
      <c r="CQ10483" s="111"/>
      <c r="EF10483"/>
      <c r="EG10483"/>
      <c r="EH10483"/>
      <c r="EI10483"/>
      <c r="EJ10483"/>
      <c r="EK10483"/>
    </row>
    <row r="10484" spans="1:141" s="116" customFormat="1">
      <c r="A10484" s="136"/>
      <c r="CM10484" s="111"/>
      <c r="CQ10484" s="111"/>
      <c r="EF10484"/>
      <c r="EG10484"/>
      <c r="EH10484"/>
      <c r="EI10484"/>
      <c r="EJ10484"/>
      <c r="EK10484"/>
    </row>
    <row r="10485" spans="1:141" s="116" customFormat="1">
      <c r="A10485" s="136"/>
      <c r="CM10485" s="111"/>
      <c r="CQ10485" s="111"/>
      <c r="EF10485"/>
      <c r="EG10485"/>
      <c r="EH10485"/>
      <c r="EI10485"/>
      <c r="EJ10485"/>
      <c r="EK10485"/>
    </row>
    <row r="10486" spans="1:141" s="116" customFormat="1">
      <c r="A10486" s="136"/>
      <c r="CM10486" s="111"/>
      <c r="CQ10486" s="111"/>
      <c r="EF10486"/>
      <c r="EG10486"/>
      <c r="EH10486"/>
      <c r="EI10486"/>
      <c r="EJ10486"/>
      <c r="EK10486"/>
    </row>
    <row r="10487" spans="1:141" s="116" customFormat="1">
      <c r="A10487" s="136"/>
      <c r="CM10487" s="111"/>
      <c r="CQ10487" s="111"/>
      <c r="EF10487"/>
      <c r="EG10487"/>
      <c r="EH10487"/>
      <c r="EI10487"/>
      <c r="EJ10487"/>
      <c r="EK10487"/>
    </row>
    <row r="10488" spans="1:141" s="116" customFormat="1">
      <c r="A10488" s="136"/>
      <c r="CM10488" s="111"/>
      <c r="CQ10488" s="111"/>
      <c r="EF10488"/>
      <c r="EG10488"/>
      <c r="EH10488"/>
      <c r="EI10488"/>
      <c r="EJ10488"/>
      <c r="EK10488"/>
    </row>
    <row r="10489" spans="1:141" s="116" customFormat="1">
      <c r="A10489" s="136"/>
      <c r="CM10489" s="111"/>
      <c r="CQ10489" s="111"/>
      <c r="EF10489"/>
      <c r="EG10489"/>
      <c r="EH10489"/>
      <c r="EI10489"/>
      <c r="EJ10489"/>
      <c r="EK10489"/>
    </row>
    <row r="10490" spans="1:141" s="116" customFormat="1">
      <c r="A10490" s="136"/>
      <c r="CM10490" s="111"/>
      <c r="CQ10490" s="111"/>
      <c r="EF10490"/>
      <c r="EG10490"/>
      <c r="EH10490"/>
      <c r="EI10490"/>
      <c r="EJ10490"/>
      <c r="EK10490"/>
    </row>
    <row r="10491" spans="1:141" s="116" customFormat="1">
      <c r="A10491" s="136"/>
      <c r="CM10491" s="111"/>
      <c r="CQ10491" s="111"/>
      <c r="EF10491"/>
      <c r="EG10491"/>
      <c r="EH10491"/>
      <c r="EI10491"/>
      <c r="EJ10491"/>
      <c r="EK10491"/>
    </row>
    <row r="10492" spans="1:141" s="116" customFormat="1">
      <c r="A10492" s="136"/>
      <c r="CM10492" s="111"/>
      <c r="CQ10492" s="111"/>
      <c r="EF10492"/>
      <c r="EG10492"/>
      <c r="EH10492"/>
      <c r="EI10492"/>
      <c r="EJ10492"/>
      <c r="EK10492"/>
    </row>
    <row r="10493" spans="1:141" s="116" customFormat="1">
      <c r="A10493" s="136"/>
      <c r="CM10493" s="111"/>
      <c r="CQ10493" s="111"/>
      <c r="EF10493"/>
      <c r="EG10493"/>
      <c r="EH10493"/>
      <c r="EI10493"/>
      <c r="EJ10493"/>
      <c r="EK10493"/>
    </row>
    <row r="10494" spans="1:141" s="116" customFormat="1">
      <c r="A10494" s="136"/>
      <c r="CM10494" s="111"/>
      <c r="CQ10494" s="111"/>
      <c r="EF10494"/>
      <c r="EG10494"/>
      <c r="EH10494"/>
      <c r="EI10494"/>
      <c r="EJ10494"/>
      <c r="EK10494"/>
    </row>
    <row r="10495" spans="1:141" s="116" customFormat="1">
      <c r="A10495" s="136"/>
      <c r="CM10495" s="111"/>
      <c r="CQ10495" s="111"/>
      <c r="EF10495"/>
      <c r="EG10495"/>
      <c r="EH10495"/>
      <c r="EI10495"/>
      <c r="EJ10495"/>
      <c r="EK10495"/>
    </row>
    <row r="10496" spans="1:141" s="116" customFormat="1">
      <c r="A10496" s="136"/>
      <c r="CM10496" s="111"/>
      <c r="CQ10496" s="111"/>
      <c r="EF10496"/>
      <c r="EG10496"/>
      <c r="EH10496"/>
      <c r="EI10496"/>
      <c r="EJ10496"/>
      <c r="EK10496"/>
    </row>
    <row r="10497" spans="1:141" s="116" customFormat="1">
      <c r="A10497" s="136"/>
      <c r="CM10497" s="111"/>
      <c r="CQ10497" s="111"/>
      <c r="EF10497"/>
      <c r="EG10497"/>
      <c r="EH10497"/>
      <c r="EI10497"/>
      <c r="EJ10497"/>
      <c r="EK10497"/>
    </row>
    <row r="10498" spans="1:141" s="116" customFormat="1">
      <c r="A10498" s="136"/>
      <c r="CM10498" s="111"/>
      <c r="CQ10498" s="111"/>
      <c r="EF10498"/>
      <c r="EG10498"/>
      <c r="EH10498"/>
      <c r="EI10498"/>
      <c r="EJ10498"/>
      <c r="EK10498"/>
    </row>
    <row r="10499" spans="1:141" s="116" customFormat="1">
      <c r="A10499" s="136"/>
      <c r="CM10499" s="111"/>
      <c r="CQ10499" s="111"/>
      <c r="EF10499"/>
      <c r="EG10499"/>
      <c r="EH10499"/>
      <c r="EI10499"/>
      <c r="EJ10499"/>
      <c r="EK10499"/>
    </row>
    <row r="10500" spans="1:141" s="116" customFormat="1">
      <c r="A10500" s="136"/>
      <c r="CM10500" s="111"/>
      <c r="CQ10500" s="111"/>
      <c r="EF10500"/>
      <c r="EG10500"/>
      <c r="EH10500"/>
      <c r="EI10500"/>
      <c r="EJ10500"/>
      <c r="EK10500"/>
    </row>
    <row r="10501" spans="1:141" s="116" customFormat="1">
      <c r="A10501" s="136"/>
      <c r="CM10501" s="111"/>
      <c r="CQ10501" s="111"/>
      <c r="EF10501"/>
      <c r="EG10501"/>
      <c r="EH10501"/>
      <c r="EI10501"/>
      <c r="EJ10501"/>
      <c r="EK10501"/>
    </row>
    <row r="10502" spans="1:141" s="116" customFormat="1">
      <c r="A10502" s="136"/>
      <c r="CM10502" s="111"/>
      <c r="CQ10502" s="111"/>
      <c r="EF10502"/>
      <c r="EG10502"/>
      <c r="EH10502"/>
      <c r="EI10502"/>
      <c r="EJ10502"/>
      <c r="EK10502"/>
    </row>
    <row r="10503" spans="1:141" s="116" customFormat="1">
      <c r="A10503" s="136"/>
      <c r="CM10503" s="111"/>
      <c r="CQ10503" s="111"/>
      <c r="EF10503"/>
      <c r="EG10503"/>
      <c r="EH10503"/>
      <c r="EI10503"/>
      <c r="EJ10503"/>
      <c r="EK10503"/>
    </row>
    <row r="10504" spans="1:141" s="116" customFormat="1">
      <c r="A10504" s="136"/>
      <c r="CM10504" s="111"/>
      <c r="CQ10504" s="111"/>
      <c r="EF10504"/>
      <c r="EG10504"/>
      <c r="EH10504"/>
      <c r="EI10504"/>
      <c r="EJ10504"/>
      <c r="EK10504"/>
    </row>
    <row r="10505" spans="1:141" s="116" customFormat="1">
      <c r="A10505" s="136"/>
      <c r="CM10505" s="111"/>
      <c r="CQ10505" s="111"/>
      <c r="EF10505"/>
      <c r="EG10505"/>
      <c r="EH10505"/>
      <c r="EI10505"/>
      <c r="EJ10505"/>
      <c r="EK10505"/>
    </row>
    <row r="10506" spans="1:141" s="116" customFormat="1">
      <c r="A10506" s="136"/>
      <c r="CM10506" s="111"/>
      <c r="CQ10506" s="111"/>
      <c r="EF10506"/>
      <c r="EG10506"/>
      <c r="EH10506"/>
      <c r="EI10506"/>
      <c r="EJ10506"/>
      <c r="EK10506"/>
    </row>
    <row r="10507" spans="1:141" s="116" customFormat="1">
      <c r="A10507" s="136"/>
      <c r="CM10507" s="111"/>
      <c r="CQ10507" s="111"/>
      <c r="EF10507"/>
      <c r="EG10507"/>
      <c r="EH10507"/>
      <c r="EI10507"/>
      <c r="EJ10507"/>
      <c r="EK10507"/>
    </row>
    <row r="10508" spans="1:141" s="116" customFormat="1">
      <c r="A10508" s="136"/>
      <c r="CM10508" s="111"/>
      <c r="CQ10508" s="111"/>
      <c r="EF10508"/>
      <c r="EG10508"/>
      <c r="EH10508"/>
      <c r="EI10508"/>
      <c r="EJ10508"/>
      <c r="EK10508"/>
    </row>
    <row r="10509" spans="1:141" s="116" customFormat="1">
      <c r="A10509" s="136"/>
      <c r="CM10509" s="111"/>
      <c r="CQ10509" s="111"/>
      <c r="EF10509"/>
      <c r="EG10509"/>
      <c r="EH10509"/>
      <c r="EI10509"/>
      <c r="EJ10509"/>
      <c r="EK10509"/>
    </row>
    <row r="10510" spans="1:141" s="116" customFormat="1">
      <c r="A10510" s="136"/>
      <c r="CM10510" s="111"/>
      <c r="CQ10510" s="111"/>
      <c r="EF10510"/>
      <c r="EG10510"/>
      <c r="EH10510"/>
      <c r="EI10510"/>
      <c r="EJ10510"/>
      <c r="EK10510"/>
    </row>
    <row r="10511" spans="1:141" s="116" customFormat="1">
      <c r="A10511" s="136"/>
      <c r="CM10511" s="111"/>
      <c r="CQ10511" s="111"/>
      <c r="EF10511"/>
      <c r="EG10511"/>
      <c r="EH10511"/>
      <c r="EI10511"/>
      <c r="EJ10511"/>
      <c r="EK10511"/>
    </row>
    <row r="10512" spans="1:141" s="116" customFormat="1">
      <c r="A10512" s="136"/>
      <c r="CM10512" s="111"/>
      <c r="CQ10512" s="111"/>
      <c r="EF10512"/>
      <c r="EG10512"/>
      <c r="EH10512"/>
      <c r="EI10512"/>
      <c r="EJ10512"/>
      <c r="EK10512"/>
    </row>
    <row r="10513" spans="1:141" s="116" customFormat="1">
      <c r="A10513" s="136"/>
      <c r="CM10513" s="111"/>
      <c r="CQ10513" s="111"/>
      <c r="EF10513"/>
      <c r="EG10513"/>
      <c r="EH10513"/>
      <c r="EI10513"/>
      <c r="EJ10513"/>
      <c r="EK10513"/>
    </row>
    <row r="10514" spans="1:141" s="116" customFormat="1">
      <c r="A10514" s="136"/>
      <c r="CM10514" s="111"/>
      <c r="CQ10514" s="111"/>
      <c r="EF10514"/>
      <c r="EG10514"/>
      <c r="EH10514"/>
      <c r="EI10514"/>
      <c r="EJ10514"/>
      <c r="EK10514"/>
    </row>
    <row r="10515" spans="1:141" s="116" customFormat="1">
      <c r="A10515" s="136"/>
      <c r="CM10515" s="111"/>
      <c r="CQ10515" s="111"/>
      <c r="EF10515"/>
      <c r="EG10515"/>
      <c r="EH10515"/>
      <c r="EI10515"/>
      <c r="EJ10515"/>
      <c r="EK10515"/>
    </row>
    <row r="10516" spans="1:141" s="116" customFormat="1">
      <c r="A10516" s="136"/>
      <c r="CM10516" s="111"/>
      <c r="CQ10516" s="111"/>
      <c r="EF10516"/>
      <c r="EG10516"/>
      <c r="EH10516"/>
      <c r="EI10516"/>
      <c r="EJ10516"/>
      <c r="EK10516"/>
    </row>
    <row r="10517" spans="1:141" s="116" customFormat="1">
      <c r="A10517" s="136"/>
      <c r="CM10517" s="111"/>
      <c r="CQ10517" s="111"/>
      <c r="EF10517"/>
      <c r="EG10517"/>
      <c r="EH10517"/>
      <c r="EI10517"/>
      <c r="EJ10517"/>
      <c r="EK10517"/>
    </row>
    <row r="10518" spans="1:141" s="116" customFormat="1">
      <c r="A10518" s="136"/>
      <c r="CM10518" s="111"/>
      <c r="CQ10518" s="111"/>
      <c r="EF10518"/>
      <c r="EG10518"/>
      <c r="EH10518"/>
      <c r="EI10518"/>
      <c r="EJ10518"/>
      <c r="EK10518"/>
    </row>
    <row r="10519" spans="1:141" s="116" customFormat="1">
      <c r="A10519" s="136"/>
      <c r="CM10519" s="111"/>
      <c r="CQ10519" s="111"/>
      <c r="EF10519"/>
      <c r="EG10519"/>
      <c r="EH10519"/>
      <c r="EI10519"/>
      <c r="EJ10519"/>
      <c r="EK10519"/>
    </row>
    <row r="10520" spans="1:141" s="116" customFormat="1">
      <c r="A10520" s="136"/>
      <c r="CM10520" s="111"/>
      <c r="CQ10520" s="111"/>
      <c r="EF10520"/>
      <c r="EG10520"/>
      <c r="EH10520"/>
      <c r="EI10520"/>
      <c r="EJ10520"/>
      <c r="EK10520"/>
    </row>
    <row r="10521" spans="1:141" s="116" customFormat="1">
      <c r="A10521" s="136"/>
      <c r="CM10521" s="111"/>
      <c r="CQ10521" s="111"/>
      <c r="EF10521"/>
      <c r="EG10521"/>
      <c r="EH10521"/>
      <c r="EI10521"/>
      <c r="EJ10521"/>
      <c r="EK10521"/>
    </row>
    <row r="10522" spans="1:141" s="116" customFormat="1">
      <c r="A10522" s="136"/>
      <c r="CM10522" s="111"/>
      <c r="CQ10522" s="111"/>
      <c r="EF10522"/>
      <c r="EG10522"/>
      <c r="EH10522"/>
      <c r="EI10522"/>
      <c r="EJ10522"/>
      <c r="EK10522"/>
    </row>
    <row r="10523" spans="1:141" s="116" customFormat="1">
      <c r="A10523" s="136"/>
      <c r="CM10523" s="111"/>
      <c r="CQ10523" s="111"/>
      <c r="EF10523"/>
      <c r="EG10523"/>
      <c r="EH10523"/>
      <c r="EI10523"/>
      <c r="EJ10523"/>
      <c r="EK10523"/>
    </row>
    <row r="10524" spans="1:141" s="116" customFormat="1">
      <c r="A10524" s="136"/>
      <c r="CM10524" s="111"/>
      <c r="CQ10524" s="111"/>
      <c r="EF10524"/>
      <c r="EG10524"/>
      <c r="EH10524"/>
      <c r="EI10524"/>
      <c r="EJ10524"/>
      <c r="EK10524"/>
    </row>
    <row r="10525" spans="1:141" s="116" customFormat="1">
      <c r="A10525" s="136"/>
      <c r="CM10525" s="111"/>
      <c r="CQ10525" s="111"/>
      <c r="EF10525"/>
      <c r="EG10525"/>
      <c r="EH10525"/>
      <c r="EI10525"/>
      <c r="EJ10525"/>
      <c r="EK10525"/>
    </row>
    <row r="10526" spans="1:141" s="116" customFormat="1">
      <c r="A10526" s="136"/>
      <c r="CM10526" s="111"/>
      <c r="CQ10526" s="111"/>
      <c r="EF10526"/>
      <c r="EG10526"/>
      <c r="EH10526"/>
      <c r="EI10526"/>
      <c r="EJ10526"/>
      <c r="EK10526"/>
    </row>
    <row r="10527" spans="1:141" s="116" customFormat="1">
      <c r="A10527" s="136"/>
      <c r="CM10527" s="111"/>
      <c r="CQ10527" s="111"/>
      <c r="EF10527"/>
      <c r="EG10527"/>
      <c r="EH10527"/>
      <c r="EI10527"/>
      <c r="EJ10527"/>
      <c r="EK10527"/>
    </row>
    <row r="10528" spans="1:141" s="116" customFormat="1">
      <c r="A10528" s="136"/>
      <c r="CM10528" s="111"/>
      <c r="CQ10528" s="111"/>
      <c r="EF10528"/>
      <c r="EG10528"/>
      <c r="EH10528"/>
      <c r="EI10528"/>
      <c r="EJ10528"/>
      <c r="EK10528"/>
    </row>
    <row r="10529" spans="1:141" s="116" customFormat="1">
      <c r="A10529" s="136"/>
      <c r="CM10529" s="111"/>
      <c r="CQ10529" s="111"/>
      <c r="EF10529"/>
      <c r="EG10529"/>
      <c r="EH10529"/>
      <c r="EI10529"/>
      <c r="EJ10529"/>
      <c r="EK10529"/>
    </row>
    <row r="10530" spans="1:141" s="116" customFormat="1">
      <c r="A10530" s="136"/>
      <c r="CM10530" s="111"/>
      <c r="CQ10530" s="111"/>
      <c r="EF10530"/>
      <c r="EG10530"/>
      <c r="EH10530"/>
      <c r="EI10530"/>
      <c r="EJ10530"/>
      <c r="EK10530"/>
    </row>
    <row r="10531" spans="1:141" s="116" customFormat="1">
      <c r="A10531" s="136"/>
      <c r="CM10531" s="111"/>
      <c r="CQ10531" s="111"/>
      <c r="EF10531"/>
      <c r="EG10531"/>
      <c r="EH10531"/>
      <c r="EI10531"/>
      <c r="EJ10531"/>
      <c r="EK10531"/>
    </row>
    <row r="10532" spans="1:141" s="116" customFormat="1">
      <c r="A10532" s="136"/>
      <c r="CM10532" s="111"/>
      <c r="CQ10532" s="111"/>
      <c r="EF10532"/>
      <c r="EG10532"/>
      <c r="EH10532"/>
      <c r="EI10532"/>
      <c r="EJ10532"/>
      <c r="EK10532"/>
    </row>
    <row r="10533" spans="1:141" s="116" customFormat="1">
      <c r="A10533" s="136"/>
      <c r="CM10533" s="111"/>
      <c r="CQ10533" s="111"/>
      <c r="EF10533"/>
      <c r="EG10533"/>
      <c r="EH10533"/>
      <c r="EI10533"/>
      <c r="EJ10533"/>
      <c r="EK10533"/>
    </row>
    <row r="10534" spans="1:141" s="116" customFormat="1">
      <c r="A10534" s="136"/>
      <c r="CM10534" s="111"/>
      <c r="CQ10534" s="111"/>
      <c r="EF10534"/>
      <c r="EG10534"/>
      <c r="EH10534"/>
      <c r="EI10534"/>
      <c r="EJ10534"/>
      <c r="EK10534"/>
    </row>
    <row r="10535" spans="1:141" s="116" customFormat="1">
      <c r="A10535" s="136"/>
      <c r="CM10535" s="111"/>
      <c r="CQ10535" s="111"/>
      <c r="EF10535"/>
      <c r="EG10535"/>
      <c r="EH10535"/>
      <c r="EI10535"/>
      <c r="EJ10535"/>
      <c r="EK10535"/>
    </row>
    <row r="10536" spans="1:141" s="116" customFormat="1">
      <c r="A10536" s="136"/>
      <c r="CM10536" s="111"/>
      <c r="CQ10536" s="111"/>
      <c r="EF10536"/>
      <c r="EG10536"/>
      <c r="EH10536"/>
      <c r="EI10536"/>
      <c r="EJ10536"/>
      <c r="EK10536"/>
    </row>
    <row r="10537" spans="1:141" s="116" customFormat="1">
      <c r="A10537" s="136"/>
      <c r="CM10537" s="111"/>
      <c r="CQ10537" s="111"/>
      <c r="EF10537"/>
      <c r="EG10537"/>
      <c r="EH10537"/>
      <c r="EI10537"/>
      <c r="EJ10537"/>
      <c r="EK10537"/>
    </row>
    <row r="10538" spans="1:141" s="116" customFormat="1">
      <c r="A10538" s="136"/>
      <c r="CM10538" s="111"/>
      <c r="CQ10538" s="111"/>
      <c r="EF10538"/>
      <c r="EG10538"/>
      <c r="EH10538"/>
      <c r="EI10538"/>
      <c r="EJ10538"/>
      <c r="EK10538"/>
    </row>
    <row r="10539" spans="1:141" s="116" customFormat="1">
      <c r="A10539" s="136"/>
      <c r="CM10539" s="111"/>
      <c r="CQ10539" s="111"/>
      <c r="EF10539"/>
      <c r="EG10539"/>
      <c r="EH10539"/>
      <c r="EI10539"/>
      <c r="EJ10539"/>
      <c r="EK10539"/>
    </row>
    <row r="10540" spans="1:141" s="116" customFormat="1">
      <c r="A10540" s="136"/>
      <c r="CM10540" s="111"/>
      <c r="CQ10540" s="111"/>
      <c r="EF10540"/>
      <c r="EG10540"/>
      <c r="EH10540"/>
      <c r="EI10540"/>
      <c r="EJ10540"/>
      <c r="EK10540"/>
    </row>
    <row r="10541" spans="1:141" s="116" customFormat="1">
      <c r="A10541" s="136"/>
      <c r="CM10541" s="111"/>
      <c r="CQ10541" s="111"/>
      <c r="EF10541"/>
      <c r="EG10541"/>
      <c r="EH10541"/>
      <c r="EI10541"/>
      <c r="EJ10541"/>
      <c r="EK10541"/>
    </row>
    <row r="10542" spans="1:141" s="116" customFormat="1">
      <c r="A10542" s="136"/>
      <c r="CM10542" s="111"/>
      <c r="CQ10542" s="111"/>
      <c r="EF10542"/>
      <c r="EG10542"/>
      <c r="EH10542"/>
      <c r="EI10542"/>
      <c r="EJ10542"/>
      <c r="EK10542"/>
    </row>
    <row r="10543" spans="1:141" s="116" customFormat="1">
      <c r="A10543" s="136"/>
      <c r="CM10543" s="111"/>
      <c r="CQ10543" s="111"/>
      <c r="EF10543"/>
      <c r="EG10543"/>
      <c r="EH10543"/>
      <c r="EI10543"/>
      <c r="EJ10543"/>
      <c r="EK10543"/>
    </row>
    <row r="10544" spans="1:141" s="116" customFormat="1">
      <c r="A10544" s="136"/>
      <c r="CM10544" s="111"/>
      <c r="CQ10544" s="111"/>
      <c r="EF10544"/>
      <c r="EG10544"/>
      <c r="EH10544"/>
      <c r="EI10544"/>
      <c r="EJ10544"/>
      <c r="EK10544"/>
    </row>
    <row r="10545" spans="1:141" s="116" customFormat="1">
      <c r="A10545" s="136"/>
      <c r="CM10545" s="111"/>
      <c r="CQ10545" s="111"/>
      <c r="EF10545"/>
      <c r="EG10545"/>
      <c r="EH10545"/>
      <c r="EI10545"/>
      <c r="EJ10545"/>
      <c r="EK10545"/>
    </row>
    <row r="10546" spans="1:141" s="116" customFormat="1">
      <c r="A10546" s="136"/>
      <c r="CM10546" s="111"/>
      <c r="CQ10546" s="111"/>
      <c r="EF10546"/>
      <c r="EG10546"/>
      <c r="EH10546"/>
      <c r="EI10546"/>
      <c r="EJ10546"/>
      <c r="EK10546"/>
    </row>
    <row r="10547" spans="1:141" s="116" customFormat="1">
      <c r="A10547" s="136"/>
      <c r="CM10547" s="111"/>
      <c r="CQ10547" s="111"/>
      <c r="EF10547"/>
      <c r="EG10547"/>
      <c r="EH10547"/>
      <c r="EI10547"/>
      <c r="EJ10547"/>
      <c r="EK10547"/>
    </row>
    <row r="10548" spans="1:141" s="116" customFormat="1">
      <c r="A10548" s="136"/>
      <c r="CM10548" s="111"/>
      <c r="CQ10548" s="111"/>
      <c r="EF10548"/>
      <c r="EG10548"/>
      <c r="EH10548"/>
      <c r="EI10548"/>
      <c r="EJ10548"/>
      <c r="EK10548"/>
    </row>
    <row r="10549" spans="1:141" s="116" customFormat="1">
      <c r="A10549" s="136"/>
      <c r="CM10549" s="111"/>
      <c r="CQ10549" s="111"/>
      <c r="EF10549"/>
      <c r="EG10549"/>
      <c r="EH10549"/>
      <c r="EI10549"/>
      <c r="EJ10549"/>
      <c r="EK10549"/>
    </row>
    <row r="10550" spans="1:141" s="116" customFormat="1">
      <c r="A10550" s="136"/>
      <c r="CM10550" s="111"/>
      <c r="CQ10550" s="111"/>
      <c r="EF10550"/>
      <c r="EG10550"/>
      <c r="EH10550"/>
      <c r="EI10550"/>
      <c r="EJ10550"/>
      <c r="EK10550"/>
    </row>
    <row r="10551" spans="1:141" s="116" customFormat="1">
      <c r="A10551" s="136"/>
      <c r="CM10551" s="111"/>
      <c r="CQ10551" s="111"/>
      <c r="EF10551"/>
      <c r="EG10551"/>
      <c r="EH10551"/>
      <c r="EI10551"/>
      <c r="EJ10551"/>
      <c r="EK10551"/>
    </row>
    <row r="10552" spans="1:141" s="116" customFormat="1">
      <c r="A10552" s="136"/>
      <c r="CM10552" s="111"/>
      <c r="CQ10552" s="111"/>
      <c r="EF10552"/>
      <c r="EG10552"/>
      <c r="EH10552"/>
      <c r="EI10552"/>
      <c r="EJ10552"/>
      <c r="EK10552"/>
    </row>
    <row r="10553" spans="1:141" s="116" customFormat="1">
      <c r="A10553" s="136"/>
      <c r="CM10553" s="111"/>
      <c r="CQ10553" s="111"/>
      <c r="EF10553"/>
      <c r="EG10553"/>
      <c r="EH10553"/>
      <c r="EI10553"/>
      <c r="EJ10553"/>
      <c r="EK10553"/>
    </row>
    <row r="10554" spans="1:141" s="116" customFormat="1">
      <c r="A10554" s="136"/>
      <c r="CM10554" s="111"/>
      <c r="CQ10554" s="111"/>
      <c r="EF10554"/>
      <c r="EG10554"/>
      <c r="EH10554"/>
      <c r="EI10554"/>
      <c r="EJ10554"/>
      <c r="EK10554"/>
    </row>
    <row r="10555" spans="1:141" s="116" customFormat="1">
      <c r="A10555" s="136"/>
      <c r="CM10555" s="111"/>
      <c r="CQ10555" s="111"/>
      <c r="EF10555"/>
      <c r="EG10555"/>
      <c r="EH10555"/>
      <c r="EI10555"/>
      <c r="EJ10555"/>
      <c r="EK10555"/>
    </row>
    <row r="10556" spans="1:141" s="116" customFormat="1">
      <c r="A10556" s="136"/>
      <c r="CM10556" s="111"/>
      <c r="CQ10556" s="111"/>
      <c r="EF10556"/>
      <c r="EG10556"/>
      <c r="EH10556"/>
      <c r="EI10556"/>
      <c r="EJ10556"/>
      <c r="EK10556"/>
    </row>
    <row r="10557" spans="1:141" s="116" customFormat="1">
      <c r="A10557" s="136"/>
      <c r="CM10557" s="111"/>
      <c r="CQ10557" s="111"/>
      <c r="EF10557"/>
      <c r="EG10557"/>
      <c r="EH10557"/>
      <c r="EI10557"/>
      <c r="EJ10557"/>
      <c r="EK10557"/>
    </row>
    <row r="10558" spans="1:141" s="116" customFormat="1">
      <c r="A10558" s="136"/>
      <c r="CM10558" s="111"/>
      <c r="CQ10558" s="111"/>
      <c r="EF10558"/>
      <c r="EG10558"/>
      <c r="EH10558"/>
      <c r="EI10558"/>
      <c r="EJ10558"/>
      <c r="EK10558"/>
    </row>
    <row r="10559" spans="1:141" s="116" customFormat="1">
      <c r="A10559" s="136"/>
      <c r="CM10559" s="111"/>
      <c r="CQ10559" s="111"/>
      <c r="EF10559"/>
      <c r="EG10559"/>
      <c r="EH10559"/>
      <c r="EI10559"/>
      <c r="EJ10559"/>
      <c r="EK10559"/>
    </row>
    <row r="10560" spans="1:141" s="116" customFormat="1">
      <c r="A10560" s="136"/>
      <c r="CM10560" s="111"/>
      <c r="CQ10560" s="111"/>
      <c r="EF10560"/>
      <c r="EG10560"/>
      <c r="EH10560"/>
      <c r="EI10560"/>
      <c r="EJ10560"/>
      <c r="EK10560"/>
    </row>
    <row r="10561" spans="1:141" s="116" customFormat="1">
      <c r="A10561" s="136"/>
      <c r="CM10561" s="111"/>
      <c r="CQ10561" s="111"/>
      <c r="EF10561"/>
      <c r="EG10561"/>
      <c r="EH10561"/>
      <c r="EI10561"/>
      <c r="EJ10561"/>
      <c r="EK10561"/>
    </row>
    <row r="10562" spans="1:141" s="116" customFormat="1">
      <c r="A10562" s="136"/>
      <c r="CM10562" s="111"/>
      <c r="CQ10562" s="111"/>
      <c r="EF10562"/>
      <c r="EG10562"/>
      <c r="EH10562"/>
      <c r="EI10562"/>
      <c r="EJ10562"/>
      <c r="EK10562"/>
    </row>
    <row r="10563" spans="1:141" s="116" customFormat="1">
      <c r="A10563" s="136"/>
      <c r="CM10563" s="111"/>
      <c r="CQ10563" s="111"/>
      <c r="EF10563"/>
      <c r="EG10563"/>
      <c r="EH10563"/>
      <c r="EI10563"/>
      <c r="EJ10563"/>
      <c r="EK10563"/>
    </row>
    <row r="10564" spans="1:141" s="116" customFormat="1">
      <c r="A10564" s="136"/>
      <c r="CM10564" s="111"/>
      <c r="CQ10564" s="111"/>
      <c r="EF10564"/>
      <c r="EG10564"/>
      <c r="EH10564"/>
      <c r="EI10564"/>
      <c r="EJ10564"/>
      <c r="EK10564"/>
    </row>
    <row r="10565" spans="1:141" s="116" customFormat="1">
      <c r="A10565" s="136"/>
      <c r="CM10565" s="111"/>
      <c r="CQ10565" s="111"/>
      <c r="EF10565"/>
      <c r="EG10565"/>
      <c r="EH10565"/>
      <c r="EI10565"/>
      <c r="EJ10565"/>
      <c r="EK10565"/>
    </row>
    <row r="10566" spans="1:141" s="116" customFormat="1">
      <c r="A10566" s="136"/>
      <c r="CM10566" s="111"/>
      <c r="CQ10566" s="111"/>
      <c r="EF10566"/>
      <c r="EG10566"/>
      <c r="EH10566"/>
      <c r="EI10566"/>
      <c r="EJ10566"/>
      <c r="EK10566"/>
    </row>
    <row r="10567" spans="1:141" s="116" customFormat="1">
      <c r="A10567" s="136"/>
      <c r="CM10567" s="111"/>
      <c r="CQ10567" s="111"/>
      <c r="EF10567"/>
      <c r="EG10567"/>
      <c r="EH10567"/>
      <c r="EI10567"/>
      <c r="EJ10567"/>
      <c r="EK10567"/>
    </row>
    <row r="10568" spans="1:141" s="116" customFormat="1">
      <c r="A10568" s="136"/>
      <c r="CM10568" s="111"/>
      <c r="CQ10568" s="111"/>
      <c r="EF10568"/>
      <c r="EG10568"/>
      <c r="EH10568"/>
      <c r="EI10568"/>
      <c r="EJ10568"/>
      <c r="EK10568"/>
    </row>
    <row r="10569" spans="1:141" s="116" customFormat="1">
      <c r="A10569" s="136"/>
      <c r="CM10569" s="111"/>
      <c r="CQ10569" s="111"/>
      <c r="EF10569"/>
      <c r="EG10569"/>
      <c r="EH10569"/>
      <c r="EI10569"/>
      <c r="EJ10569"/>
      <c r="EK10569"/>
    </row>
    <row r="10570" spans="1:141" s="116" customFormat="1">
      <c r="A10570" s="136"/>
      <c r="CM10570" s="111"/>
      <c r="CQ10570" s="111"/>
      <c r="EF10570"/>
      <c r="EG10570"/>
      <c r="EH10570"/>
      <c r="EI10570"/>
      <c r="EJ10570"/>
      <c r="EK10570"/>
    </row>
    <row r="10571" spans="1:141" s="116" customFormat="1">
      <c r="A10571" s="136"/>
      <c r="CM10571" s="111"/>
      <c r="CQ10571" s="111"/>
      <c r="EF10571"/>
      <c r="EG10571"/>
      <c r="EH10571"/>
      <c r="EI10571"/>
      <c r="EJ10571"/>
      <c r="EK10571"/>
    </row>
    <row r="10572" spans="1:141" s="116" customFormat="1">
      <c r="A10572" s="136"/>
      <c r="CM10572" s="111"/>
      <c r="CQ10572" s="111"/>
      <c r="EF10572"/>
      <c r="EG10572"/>
      <c r="EH10572"/>
      <c r="EI10572"/>
      <c r="EJ10572"/>
      <c r="EK10572"/>
    </row>
    <row r="10573" spans="1:141" s="116" customFormat="1">
      <c r="A10573" s="136"/>
      <c r="CM10573" s="111"/>
      <c r="CQ10573" s="111"/>
      <c r="EF10573"/>
      <c r="EG10573"/>
      <c r="EH10573"/>
      <c r="EI10573"/>
      <c r="EJ10573"/>
      <c r="EK10573"/>
    </row>
    <row r="10574" spans="1:141" s="116" customFormat="1">
      <c r="A10574" s="136"/>
      <c r="CM10574" s="111"/>
      <c r="CQ10574" s="111"/>
      <c r="EF10574"/>
      <c r="EG10574"/>
      <c r="EH10574"/>
      <c r="EI10574"/>
      <c r="EJ10574"/>
      <c r="EK10574"/>
    </row>
    <row r="10575" spans="1:141" s="116" customFormat="1">
      <c r="A10575" s="136"/>
      <c r="CM10575" s="111"/>
      <c r="CQ10575" s="111"/>
      <c r="EF10575"/>
      <c r="EG10575"/>
      <c r="EH10575"/>
      <c r="EI10575"/>
      <c r="EJ10575"/>
      <c r="EK10575"/>
    </row>
    <row r="10576" spans="1:141" s="116" customFormat="1">
      <c r="A10576" s="136"/>
      <c r="CM10576" s="111"/>
      <c r="CQ10576" s="111"/>
      <c r="EF10576"/>
      <c r="EG10576"/>
      <c r="EH10576"/>
      <c r="EI10576"/>
      <c r="EJ10576"/>
      <c r="EK10576"/>
    </row>
    <row r="10577" spans="1:141" s="116" customFormat="1">
      <c r="A10577" s="136"/>
      <c r="CM10577" s="111"/>
      <c r="CQ10577" s="111"/>
      <c r="EF10577"/>
      <c r="EG10577"/>
      <c r="EH10577"/>
      <c r="EI10577"/>
      <c r="EJ10577"/>
      <c r="EK10577"/>
    </row>
    <row r="10578" spans="1:141" s="116" customFormat="1">
      <c r="A10578" s="136"/>
      <c r="CM10578" s="111"/>
      <c r="CQ10578" s="111"/>
      <c r="EF10578"/>
      <c r="EG10578"/>
      <c r="EH10578"/>
      <c r="EI10578"/>
      <c r="EJ10578"/>
      <c r="EK10578"/>
    </row>
    <row r="10579" spans="1:141" s="116" customFormat="1">
      <c r="A10579" s="136"/>
      <c r="CM10579" s="111"/>
      <c r="CQ10579" s="111"/>
      <c r="EF10579"/>
      <c r="EG10579"/>
      <c r="EH10579"/>
      <c r="EI10579"/>
      <c r="EJ10579"/>
      <c r="EK10579"/>
    </row>
    <row r="10580" spans="1:141" s="116" customFormat="1">
      <c r="A10580" s="136"/>
      <c r="CM10580" s="111"/>
      <c r="CQ10580" s="111"/>
      <c r="EF10580"/>
      <c r="EG10580"/>
      <c r="EH10580"/>
      <c r="EI10580"/>
      <c r="EJ10580"/>
      <c r="EK10580"/>
    </row>
    <row r="10581" spans="1:141" s="116" customFormat="1">
      <c r="A10581" s="136"/>
      <c r="CM10581" s="111"/>
      <c r="CQ10581" s="111"/>
      <c r="EF10581"/>
      <c r="EG10581"/>
      <c r="EH10581"/>
      <c r="EI10581"/>
      <c r="EJ10581"/>
      <c r="EK10581"/>
    </row>
    <row r="10582" spans="1:141" s="116" customFormat="1">
      <c r="A10582" s="136"/>
      <c r="CM10582" s="111"/>
      <c r="CQ10582" s="111"/>
      <c r="EF10582"/>
      <c r="EG10582"/>
      <c r="EH10582"/>
      <c r="EI10582"/>
      <c r="EJ10582"/>
      <c r="EK10582"/>
    </row>
    <row r="10583" spans="1:141" s="116" customFormat="1">
      <c r="A10583" s="136"/>
      <c r="CM10583" s="111"/>
      <c r="CQ10583" s="111"/>
      <c r="EF10583"/>
      <c r="EG10583"/>
      <c r="EH10583"/>
      <c r="EI10583"/>
      <c r="EJ10583"/>
      <c r="EK10583"/>
    </row>
    <row r="10584" spans="1:141" s="116" customFormat="1">
      <c r="A10584" s="136"/>
      <c r="CM10584" s="111"/>
      <c r="CQ10584" s="111"/>
      <c r="EF10584"/>
      <c r="EG10584"/>
      <c r="EH10584"/>
      <c r="EI10584"/>
      <c r="EJ10584"/>
      <c r="EK10584"/>
    </row>
    <row r="10585" spans="1:141" s="116" customFormat="1">
      <c r="A10585" s="136"/>
      <c r="CM10585" s="111"/>
      <c r="CQ10585" s="111"/>
      <c r="EF10585"/>
      <c r="EG10585"/>
      <c r="EH10585"/>
      <c r="EI10585"/>
      <c r="EJ10585"/>
      <c r="EK10585"/>
    </row>
    <row r="10586" spans="1:141" s="116" customFormat="1">
      <c r="A10586" s="136"/>
      <c r="CM10586" s="111"/>
      <c r="CQ10586" s="111"/>
      <c r="EF10586"/>
      <c r="EG10586"/>
      <c r="EH10586"/>
      <c r="EI10586"/>
      <c r="EJ10586"/>
      <c r="EK10586"/>
    </row>
    <row r="10587" spans="1:141" s="116" customFormat="1">
      <c r="A10587" s="136"/>
      <c r="CM10587" s="111"/>
      <c r="CQ10587" s="111"/>
      <c r="EF10587"/>
      <c r="EG10587"/>
      <c r="EH10587"/>
      <c r="EI10587"/>
      <c r="EJ10587"/>
      <c r="EK10587"/>
    </row>
    <row r="10588" spans="1:141" s="116" customFormat="1">
      <c r="A10588" s="136"/>
      <c r="CM10588" s="111"/>
      <c r="CQ10588" s="111"/>
      <c r="EF10588"/>
      <c r="EG10588"/>
      <c r="EH10588"/>
      <c r="EI10588"/>
      <c r="EJ10588"/>
      <c r="EK10588"/>
    </row>
    <row r="10589" spans="1:141" s="116" customFormat="1">
      <c r="A10589" s="136"/>
      <c r="CM10589" s="111"/>
      <c r="CQ10589" s="111"/>
      <c r="EF10589"/>
      <c r="EG10589"/>
      <c r="EH10589"/>
      <c r="EI10589"/>
      <c r="EJ10589"/>
      <c r="EK10589"/>
    </row>
    <row r="10590" spans="1:141" s="116" customFormat="1">
      <c r="A10590" s="136"/>
      <c r="CM10590" s="111"/>
      <c r="CQ10590" s="111"/>
      <c r="EF10590"/>
      <c r="EG10590"/>
      <c r="EH10590"/>
      <c r="EI10590"/>
      <c r="EJ10590"/>
      <c r="EK10590"/>
    </row>
    <row r="10591" spans="1:141" s="116" customFormat="1">
      <c r="A10591" s="136"/>
      <c r="CM10591" s="111"/>
      <c r="CQ10591" s="111"/>
      <c r="EF10591"/>
      <c r="EG10591"/>
      <c r="EH10591"/>
      <c r="EI10591"/>
      <c r="EJ10591"/>
      <c r="EK10591"/>
    </row>
    <row r="10592" spans="1:141" s="116" customFormat="1">
      <c r="A10592" s="136"/>
      <c r="CM10592" s="111"/>
      <c r="CQ10592" s="111"/>
      <c r="EF10592"/>
      <c r="EG10592"/>
      <c r="EH10592"/>
      <c r="EI10592"/>
      <c r="EJ10592"/>
      <c r="EK10592"/>
    </row>
    <row r="10593" spans="1:141" s="116" customFormat="1">
      <c r="A10593" s="136"/>
      <c r="CM10593" s="111"/>
      <c r="CQ10593" s="111"/>
      <c r="EF10593"/>
      <c r="EG10593"/>
      <c r="EH10593"/>
      <c r="EI10593"/>
      <c r="EJ10593"/>
      <c r="EK10593"/>
    </row>
    <row r="10594" spans="1:141" s="116" customFormat="1">
      <c r="A10594" s="136"/>
      <c r="CM10594" s="111"/>
      <c r="CQ10594" s="111"/>
      <c r="EF10594"/>
      <c r="EG10594"/>
      <c r="EH10594"/>
      <c r="EI10594"/>
      <c r="EJ10594"/>
      <c r="EK10594"/>
    </row>
    <row r="10595" spans="1:141" s="116" customFormat="1">
      <c r="A10595" s="136"/>
      <c r="CM10595" s="111"/>
      <c r="CQ10595" s="111"/>
      <c r="EF10595"/>
      <c r="EG10595"/>
      <c r="EH10595"/>
      <c r="EI10595"/>
      <c r="EJ10595"/>
      <c r="EK10595"/>
    </row>
    <row r="10596" spans="1:141" s="116" customFormat="1">
      <c r="A10596" s="136"/>
      <c r="CM10596" s="111"/>
      <c r="CQ10596" s="111"/>
      <c r="EF10596"/>
      <c r="EG10596"/>
      <c r="EH10596"/>
      <c r="EI10596"/>
      <c r="EJ10596"/>
      <c r="EK10596"/>
    </row>
    <row r="10597" spans="1:141" s="116" customFormat="1">
      <c r="A10597" s="136"/>
      <c r="CM10597" s="111"/>
      <c r="CQ10597" s="111"/>
      <c r="EF10597"/>
      <c r="EG10597"/>
      <c r="EH10597"/>
      <c r="EI10597"/>
      <c r="EJ10597"/>
      <c r="EK10597"/>
    </row>
    <row r="10598" spans="1:141" s="116" customFormat="1">
      <c r="A10598" s="136"/>
      <c r="CM10598" s="111"/>
      <c r="CQ10598" s="111"/>
      <c r="EF10598"/>
      <c r="EG10598"/>
      <c r="EH10598"/>
      <c r="EI10598"/>
      <c r="EJ10598"/>
      <c r="EK10598"/>
    </row>
    <row r="10599" spans="1:141" s="116" customFormat="1">
      <c r="A10599" s="136"/>
      <c r="CM10599" s="111"/>
      <c r="CQ10599" s="111"/>
      <c r="EF10599"/>
      <c r="EG10599"/>
      <c r="EH10599"/>
      <c r="EI10599"/>
      <c r="EJ10599"/>
      <c r="EK10599"/>
    </row>
    <row r="10600" spans="1:141" s="116" customFormat="1">
      <c r="A10600" s="136"/>
      <c r="CM10600" s="111"/>
      <c r="CQ10600" s="111"/>
      <c r="EF10600"/>
      <c r="EG10600"/>
      <c r="EH10600"/>
      <c r="EI10600"/>
      <c r="EJ10600"/>
      <c r="EK10600"/>
    </row>
    <row r="10601" spans="1:141" s="116" customFormat="1">
      <c r="A10601" s="136"/>
      <c r="CM10601" s="111"/>
      <c r="CQ10601" s="111"/>
      <c r="EF10601"/>
      <c r="EG10601"/>
      <c r="EH10601"/>
      <c r="EI10601"/>
      <c r="EJ10601"/>
      <c r="EK10601"/>
    </row>
    <row r="10602" spans="1:141" s="116" customFormat="1">
      <c r="A10602" s="136"/>
      <c r="CM10602" s="111"/>
      <c r="CQ10602" s="111"/>
      <c r="EF10602"/>
      <c r="EG10602"/>
      <c r="EH10602"/>
      <c r="EI10602"/>
      <c r="EJ10602"/>
      <c r="EK10602"/>
    </row>
    <row r="10603" spans="1:141" s="116" customFormat="1">
      <c r="A10603" s="136"/>
      <c r="CM10603" s="111"/>
      <c r="CQ10603" s="111"/>
      <c r="EF10603"/>
      <c r="EG10603"/>
      <c r="EH10603"/>
      <c r="EI10603"/>
      <c r="EJ10603"/>
      <c r="EK10603"/>
    </row>
    <row r="10604" spans="1:141" s="116" customFormat="1">
      <c r="A10604" s="136"/>
      <c r="CM10604" s="111"/>
      <c r="CQ10604" s="111"/>
      <c r="EF10604"/>
      <c r="EG10604"/>
      <c r="EH10604"/>
      <c r="EI10604"/>
      <c r="EJ10604"/>
      <c r="EK10604"/>
    </row>
    <row r="10605" spans="1:141" s="116" customFormat="1">
      <c r="A10605" s="136"/>
      <c r="CM10605" s="111"/>
      <c r="CQ10605" s="111"/>
      <c r="EF10605"/>
      <c r="EG10605"/>
      <c r="EH10605"/>
      <c r="EI10605"/>
      <c r="EJ10605"/>
      <c r="EK10605"/>
    </row>
    <row r="10606" spans="1:141" s="116" customFormat="1">
      <c r="A10606" s="136"/>
      <c r="CM10606" s="111"/>
      <c r="CQ10606" s="111"/>
      <c r="EF10606"/>
      <c r="EG10606"/>
      <c r="EH10606"/>
      <c r="EI10606"/>
      <c r="EJ10606"/>
      <c r="EK10606"/>
    </row>
    <row r="10607" spans="1:141" s="116" customFormat="1">
      <c r="A10607" s="136"/>
      <c r="CM10607" s="111"/>
      <c r="CQ10607" s="111"/>
      <c r="EF10607"/>
      <c r="EG10607"/>
      <c r="EH10607"/>
      <c r="EI10607"/>
      <c r="EJ10607"/>
      <c r="EK10607"/>
    </row>
    <row r="10608" spans="1:141" s="116" customFormat="1">
      <c r="A10608" s="136"/>
      <c r="CM10608" s="111"/>
      <c r="CQ10608" s="111"/>
      <c r="EF10608"/>
      <c r="EG10608"/>
      <c r="EH10608"/>
      <c r="EI10608"/>
      <c r="EJ10608"/>
      <c r="EK10608"/>
    </row>
    <row r="10609" spans="1:141" s="116" customFormat="1">
      <c r="A10609" s="136"/>
      <c r="CM10609" s="111"/>
      <c r="CQ10609" s="111"/>
      <c r="EF10609"/>
      <c r="EG10609"/>
      <c r="EH10609"/>
      <c r="EI10609"/>
      <c r="EJ10609"/>
      <c r="EK10609"/>
    </row>
    <row r="10610" spans="1:141" s="116" customFormat="1">
      <c r="A10610" s="136"/>
      <c r="CM10610" s="111"/>
      <c r="CQ10610" s="111"/>
      <c r="EF10610"/>
      <c r="EG10610"/>
      <c r="EH10610"/>
      <c r="EI10610"/>
      <c r="EJ10610"/>
      <c r="EK10610"/>
    </row>
    <row r="10611" spans="1:141" s="116" customFormat="1">
      <c r="A10611" s="136"/>
      <c r="CM10611" s="111"/>
      <c r="CQ10611" s="111"/>
      <c r="EF10611"/>
      <c r="EG10611"/>
      <c r="EH10611"/>
      <c r="EI10611"/>
      <c r="EJ10611"/>
      <c r="EK10611"/>
    </row>
    <row r="10612" spans="1:141" s="116" customFormat="1">
      <c r="A10612" s="136"/>
      <c r="CM10612" s="111"/>
      <c r="CQ10612" s="111"/>
      <c r="EF10612"/>
      <c r="EG10612"/>
      <c r="EH10612"/>
      <c r="EI10612"/>
      <c r="EJ10612"/>
      <c r="EK10612"/>
    </row>
    <row r="10613" spans="1:141" s="116" customFormat="1">
      <c r="A10613" s="136"/>
      <c r="CM10613" s="111"/>
      <c r="CQ10613" s="111"/>
      <c r="EF10613"/>
      <c r="EG10613"/>
      <c r="EH10613"/>
      <c r="EI10613"/>
      <c r="EJ10613"/>
      <c r="EK10613"/>
    </row>
    <row r="10614" spans="1:141" s="116" customFormat="1">
      <c r="A10614" s="136"/>
      <c r="CM10614" s="111"/>
      <c r="CQ10614" s="111"/>
      <c r="EF10614"/>
      <c r="EG10614"/>
      <c r="EH10614"/>
      <c r="EI10614"/>
      <c r="EJ10614"/>
      <c r="EK10614"/>
    </row>
    <row r="10615" spans="1:141" s="116" customFormat="1">
      <c r="A10615" s="136"/>
      <c r="CM10615" s="111"/>
      <c r="CQ10615" s="111"/>
      <c r="EF10615"/>
      <c r="EG10615"/>
      <c r="EH10615"/>
      <c r="EI10615"/>
      <c r="EJ10615"/>
      <c r="EK10615"/>
    </row>
    <row r="10616" spans="1:141" s="116" customFormat="1">
      <c r="A10616" s="136"/>
      <c r="CM10616" s="111"/>
      <c r="CQ10616" s="111"/>
      <c r="EF10616"/>
      <c r="EG10616"/>
      <c r="EH10616"/>
      <c r="EI10616"/>
      <c r="EJ10616"/>
      <c r="EK10616"/>
    </row>
    <row r="10617" spans="1:141" s="116" customFormat="1">
      <c r="A10617" s="136"/>
      <c r="CM10617" s="111"/>
      <c r="CQ10617" s="111"/>
      <c r="EF10617"/>
      <c r="EG10617"/>
      <c r="EH10617"/>
      <c r="EI10617"/>
      <c r="EJ10617"/>
      <c r="EK10617"/>
    </row>
    <row r="10618" spans="1:141" s="116" customFormat="1">
      <c r="A10618" s="136"/>
      <c r="CM10618" s="111"/>
      <c r="CQ10618" s="111"/>
      <c r="EF10618"/>
      <c r="EG10618"/>
      <c r="EH10618"/>
      <c r="EI10618"/>
      <c r="EJ10618"/>
      <c r="EK10618"/>
    </row>
    <row r="10619" spans="1:141" s="116" customFormat="1">
      <c r="A10619" s="136"/>
      <c r="CM10619" s="111"/>
      <c r="CQ10619" s="111"/>
      <c r="EF10619"/>
      <c r="EG10619"/>
      <c r="EH10619"/>
      <c r="EI10619"/>
      <c r="EJ10619"/>
      <c r="EK10619"/>
    </row>
    <row r="10620" spans="1:141" s="116" customFormat="1">
      <c r="A10620" s="136"/>
      <c r="CM10620" s="111"/>
      <c r="CQ10620" s="111"/>
      <c r="EF10620"/>
      <c r="EG10620"/>
      <c r="EH10620"/>
      <c r="EI10620"/>
      <c r="EJ10620"/>
      <c r="EK10620"/>
    </row>
    <row r="10621" spans="1:141" s="116" customFormat="1">
      <c r="A10621" s="136"/>
      <c r="CM10621" s="111"/>
      <c r="CQ10621" s="111"/>
      <c r="EF10621"/>
      <c r="EG10621"/>
      <c r="EH10621"/>
      <c r="EI10621"/>
      <c r="EJ10621"/>
      <c r="EK10621"/>
    </row>
    <row r="10622" spans="1:141" s="116" customFormat="1">
      <c r="A10622" s="136"/>
      <c r="CM10622" s="111"/>
      <c r="CQ10622" s="111"/>
      <c r="EF10622"/>
      <c r="EG10622"/>
      <c r="EH10622"/>
      <c r="EI10622"/>
      <c r="EJ10622"/>
      <c r="EK10622"/>
    </row>
    <row r="10623" spans="1:141" s="116" customFormat="1">
      <c r="A10623" s="136"/>
      <c r="CM10623" s="111"/>
      <c r="CQ10623" s="111"/>
      <c r="EF10623"/>
      <c r="EG10623"/>
      <c r="EH10623"/>
      <c r="EI10623"/>
      <c r="EJ10623"/>
      <c r="EK10623"/>
    </row>
    <row r="10624" spans="1:141" s="116" customFormat="1">
      <c r="A10624" s="136"/>
      <c r="CM10624" s="111"/>
      <c r="CQ10624" s="111"/>
      <c r="EF10624"/>
      <c r="EG10624"/>
      <c r="EH10624"/>
      <c r="EI10624"/>
      <c r="EJ10624"/>
      <c r="EK10624"/>
    </row>
    <row r="10625" spans="1:141" s="116" customFormat="1">
      <c r="A10625" s="136"/>
      <c r="CM10625" s="111"/>
      <c r="CQ10625" s="111"/>
      <c r="EF10625"/>
      <c r="EG10625"/>
      <c r="EH10625"/>
      <c r="EI10625"/>
      <c r="EJ10625"/>
      <c r="EK10625"/>
    </row>
    <row r="10626" spans="1:141" s="116" customFormat="1">
      <c r="A10626" s="136"/>
      <c r="CM10626" s="111"/>
      <c r="CQ10626" s="111"/>
      <c r="EF10626"/>
      <c r="EG10626"/>
      <c r="EH10626"/>
      <c r="EI10626"/>
      <c r="EJ10626"/>
      <c r="EK10626"/>
    </row>
    <row r="10627" spans="1:141" s="116" customFormat="1">
      <c r="A10627" s="136"/>
      <c r="CM10627" s="111"/>
      <c r="CQ10627" s="111"/>
      <c r="EF10627"/>
      <c r="EG10627"/>
      <c r="EH10627"/>
      <c r="EI10627"/>
      <c r="EJ10627"/>
      <c r="EK10627"/>
    </row>
    <row r="10628" spans="1:141" s="116" customFormat="1">
      <c r="A10628" s="136"/>
      <c r="CM10628" s="111"/>
      <c r="CQ10628" s="111"/>
      <c r="EF10628"/>
      <c r="EG10628"/>
      <c r="EH10628"/>
      <c r="EI10628"/>
      <c r="EJ10628"/>
      <c r="EK10628"/>
    </row>
    <row r="10629" spans="1:141" s="116" customFormat="1">
      <c r="A10629" s="136"/>
      <c r="CM10629" s="111"/>
      <c r="CQ10629" s="111"/>
      <c r="EF10629"/>
      <c r="EG10629"/>
      <c r="EH10629"/>
      <c r="EI10629"/>
      <c r="EJ10629"/>
      <c r="EK10629"/>
    </row>
    <row r="10630" spans="1:141" s="116" customFormat="1">
      <c r="A10630" s="136"/>
      <c r="CM10630" s="111"/>
      <c r="CQ10630" s="111"/>
      <c r="EF10630"/>
      <c r="EG10630"/>
      <c r="EH10630"/>
      <c r="EI10630"/>
      <c r="EJ10630"/>
      <c r="EK10630"/>
    </row>
    <row r="10631" spans="1:141" s="116" customFormat="1">
      <c r="A10631" s="136"/>
      <c r="CM10631" s="111"/>
      <c r="CQ10631" s="111"/>
      <c r="EF10631"/>
      <c r="EG10631"/>
      <c r="EH10631"/>
      <c r="EI10631"/>
      <c r="EJ10631"/>
      <c r="EK10631"/>
    </row>
    <row r="10632" spans="1:141" s="116" customFormat="1">
      <c r="A10632" s="136"/>
      <c r="CM10632" s="111"/>
      <c r="CQ10632" s="111"/>
      <c r="EF10632"/>
      <c r="EG10632"/>
      <c r="EH10632"/>
      <c r="EI10632"/>
      <c r="EJ10632"/>
      <c r="EK10632"/>
    </row>
    <row r="10633" spans="1:141" s="116" customFormat="1">
      <c r="A10633" s="136"/>
      <c r="CM10633" s="111"/>
      <c r="CQ10633" s="111"/>
      <c r="EF10633"/>
      <c r="EG10633"/>
      <c r="EH10633"/>
      <c r="EI10633"/>
      <c r="EJ10633"/>
      <c r="EK10633"/>
    </row>
    <row r="10634" spans="1:141" s="116" customFormat="1">
      <c r="A10634" s="136"/>
      <c r="CM10634" s="111"/>
      <c r="CQ10634" s="111"/>
      <c r="EF10634"/>
      <c r="EG10634"/>
      <c r="EH10634"/>
      <c r="EI10634"/>
      <c r="EJ10634"/>
      <c r="EK10634"/>
    </row>
    <row r="10635" spans="1:141" s="116" customFormat="1">
      <c r="A10635" s="136"/>
      <c r="CM10635" s="111"/>
      <c r="CQ10635" s="111"/>
      <c r="EF10635"/>
      <c r="EG10635"/>
      <c r="EH10635"/>
      <c r="EI10635"/>
      <c r="EJ10635"/>
      <c r="EK10635"/>
    </row>
    <row r="10636" spans="1:141" s="116" customFormat="1">
      <c r="A10636" s="136"/>
      <c r="CM10636" s="111"/>
      <c r="CQ10636" s="111"/>
      <c r="EF10636"/>
      <c r="EG10636"/>
      <c r="EH10636"/>
      <c r="EI10636"/>
      <c r="EJ10636"/>
      <c r="EK10636"/>
    </row>
    <row r="10637" spans="1:141" s="116" customFormat="1">
      <c r="A10637" s="136"/>
      <c r="CM10637" s="111"/>
      <c r="CQ10637" s="111"/>
      <c r="EF10637"/>
      <c r="EG10637"/>
      <c r="EH10637"/>
      <c r="EI10637"/>
      <c r="EJ10637"/>
      <c r="EK10637"/>
    </row>
    <row r="10638" spans="1:141" s="116" customFormat="1">
      <c r="A10638" s="136"/>
      <c r="CM10638" s="111"/>
      <c r="CQ10638" s="111"/>
      <c r="EF10638"/>
      <c r="EG10638"/>
      <c r="EH10638"/>
      <c r="EI10638"/>
      <c r="EJ10638"/>
      <c r="EK10638"/>
    </row>
    <row r="10639" spans="1:141" s="116" customFormat="1">
      <c r="A10639" s="136"/>
      <c r="CM10639" s="111"/>
      <c r="CQ10639" s="111"/>
      <c r="EF10639"/>
      <c r="EG10639"/>
      <c r="EH10639"/>
      <c r="EI10639"/>
      <c r="EJ10639"/>
      <c r="EK10639"/>
    </row>
    <row r="10640" spans="1:141" s="116" customFormat="1">
      <c r="A10640" s="136"/>
      <c r="CM10640" s="111"/>
      <c r="CQ10640" s="111"/>
      <c r="EF10640"/>
      <c r="EG10640"/>
      <c r="EH10640"/>
      <c r="EI10640"/>
      <c r="EJ10640"/>
      <c r="EK10640"/>
    </row>
    <row r="10641" spans="1:141" s="116" customFormat="1">
      <c r="A10641" s="136"/>
      <c r="CM10641" s="111"/>
      <c r="CQ10641" s="111"/>
      <c r="EF10641"/>
      <c r="EG10641"/>
      <c r="EH10641"/>
      <c r="EI10641"/>
      <c r="EJ10641"/>
      <c r="EK10641"/>
    </row>
    <row r="10642" spans="1:141" s="116" customFormat="1">
      <c r="A10642" s="136"/>
      <c r="CM10642" s="111"/>
      <c r="CQ10642" s="111"/>
      <c r="EF10642"/>
      <c r="EG10642"/>
      <c r="EH10642"/>
      <c r="EI10642"/>
      <c r="EJ10642"/>
      <c r="EK10642"/>
    </row>
    <row r="10643" spans="1:141" s="116" customFormat="1">
      <c r="A10643" s="136"/>
      <c r="CM10643" s="111"/>
      <c r="CQ10643" s="111"/>
      <c r="EF10643"/>
      <c r="EG10643"/>
      <c r="EH10643"/>
      <c r="EI10643"/>
      <c r="EJ10643"/>
      <c r="EK10643"/>
    </row>
    <row r="10644" spans="1:141" s="116" customFormat="1">
      <c r="A10644" s="136"/>
      <c r="CM10644" s="111"/>
      <c r="CQ10644" s="111"/>
      <c r="EF10644"/>
      <c r="EG10644"/>
      <c r="EH10644"/>
      <c r="EI10644"/>
      <c r="EJ10644"/>
      <c r="EK10644"/>
    </row>
    <row r="10645" spans="1:141" s="116" customFormat="1">
      <c r="A10645" s="136"/>
      <c r="CM10645" s="111"/>
      <c r="CQ10645" s="111"/>
      <c r="EF10645"/>
      <c r="EG10645"/>
      <c r="EH10645"/>
      <c r="EI10645"/>
      <c r="EJ10645"/>
      <c r="EK10645"/>
    </row>
    <row r="10646" spans="1:141" s="116" customFormat="1">
      <c r="A10646" s="136"/>
      <c r="CM10646" s="111"/>
      <c r="CQ10646" s="111"/>
      <c r="EF10646"/>
      <c r="EG10646"/>
      <c r="EH10646"/>
      <c r="EI10646"/>
      <c r="EJ10646"/>
      <c r="EK10646"/>
    </row>
    <row r="10647" spans="1:141" s="116" customFormat="1">
      <c r="A10647" s="136"/>
      <c r="CM10647" s="111"/>
      <c r="CQ10647" s="111"/>
      <c r="EF10647"/>
      <c r="EG10647"/>
      <c r="EH10647"/>
      <c r="EI10647"/>
      <c r="EJ10647"/>
      <c r="EK10647"/>
    </row>
    <row r="10648" spans="1:141" s="116" customFormat="1">
      <c r="A10648" s="136"/>
      <c r="CM10648" s="111"/>
      <c r="CQ10648" s="111"/>
      <c r="EF10648"/>
      <c r="EG10648"/>
      <c r="EH10648"/>
      <c r="EI10648"/>
      <c r="EJ10648"/>
      <c r="EK10648"/>
    </row>
    <row r="10649" spans="1:141" s="116" customFormat="1">
      <c r="A10649" s="136"/>
      <c r="CM10649" s="111"/>
      <c r="CQ10649" s="111"/>
      <c r="EF10649"/>
      <c r="EG10649"/>
      <c r="EH10649"/>
      <c r="EI10649"/>
      <c r="EJ10649"/>
      <c r="EK10649"/>
    </row>
    <row r="10650" spans="1:141" s="116" customFormat="1">
      <c r="A10650" s="136"/>
      <c r="CM10650" s="111"/>
      <c r="CQ10650" s="111"/>
      <c r="EF10650"/>
      <c r="EG10650"/>
      <c r="EH10650"/>
      <c r="EI10650"/>
      <c r="EJ10650"/>
      <c r="EK10650"/>
    </row>
    <row r="10651" spans="1:141" s="116" customFormat="1">
      <c r="A10651" s="136"/>
      <c r="CM10651" s="111"/>
      <c r="CQ10651" s="111"/>
      <c r="EF10651"/>
      <c r="EG10651"/>
      <c r="EH10651"/>
      <c r="EI10651"/>
      <c r="EJ10651"/>
      <c r="EK10651"/>
    </row>
    <row r="10652" spans="1:141" s="116" customFormat="1">
      <c r="A10652" s="136"/>
      <c r="CM10652" s="111"/>
      <c r="CQ10652" s="111"/>
      <c r="EF10652"/>
      <c r="EG10652"/>
      <c r="EH10652"/>
      <c r="EI10652"/>
      <c r="EJ10652"/>
      <c r="EK10652"/>
    </row>
    <row r="10653" spans="1:141" s="116" customFormat="1">
      <c r="A10653" s="136"/>
      <c r="CM10653" s="111"/>
      <c r="CQ10653" s="111"/>
      <c r="EF10653"/>
      <c r="EG10653"/>
      <c r="EH10653"/>
      <c r="EI10653"/>
      <c r="EJ10653"/>
      <c r="EK10653"/>
    </row>
    <row r="10654" spans="1:141" s="116" customFormat="1">
      <c r="A10654" s="136"/>
      <c r="CM10654" s="111"/>
      <c r="CQ10654" s="111"/>
      <c r="EF10654"/>
      <c r="EG10654"/>
      <c r="EH10654"/>
      <c r="EI10654"/>
      <c r="EJ10654"/>
      <c r="EK10654"/>
    </row>
    <row r="10655" spans="1:141" s="116" customFormat="1">
      <c r="A10655" s="136"/>
      <c r="CM10655" s="111"/>
      <c r="CQ10655" s="111"/>
      <c r="EF10655"/>
      <c r="EG10655"/>
      <c r="EH10655"/>
      <c r="EI10655"/>
      <c r="EJ10655"/>
      <c r="EK10655"/>
    </row>
    <row r="10656" spans="1:141" s="116" customFormat="1">
      <c r="A10656" s="136"/>
      <c r="CM10656" s="111"/>
      <c r="CQ10656" s="111"/>
      <c r="EF10656"/>
      <c r="EG10656"/>
      <c r="EH10656"/>
      <c r="EI10656"/>
      <c r="EJ10656"/>
      <c r="EK10656"/>
    </row>
    <row r="10657" spans="1:141" s="116" customFormat="1">
      <c r="A10657" s="136"/>
      <c r="CM10657" s="111"/>
      <c r="CQ10657" s="111"/>
      <c r="EF10657"/>
      <c r="EG10657"/>
      <c r="EH10657"/>
      <c r="EI10657"/>
      <c r="EJ10657"/>
      <c r="EK10657"/>
    </row>
    <row r="10658" spans="1:141" s="116" customFormat="1">
      <c r="A10658" s="136"/>
      <c r="CM10658" s="111"/>
      <c r="CQ10658" s="111"/>
      <c r="EF10658"/>
      <c r="EG10658"/>
      <c r="EH10658"/>
      <c r="EI10658"/>
      <c r="EJ10658"/>
      <c r="EK10658"/>
    </row>
    <row r="10659" spans="1:141" s="116" customFormat="1">
      <c r="A10659" s="136"/>
      <c r="CM10659" s="111"/>
      <c r="CQ10659" s="111"/>
      <c r="EF10659"/>
      <c r="EG10659"/>
      <c r="EH10659"/>
      <c r="EI10659"/>
      <c r="EJ10659"/>
      <c r="EK10659"/>
    </row>
    <row r="10660" spans="1:141" s="116" customFormat="1">
      <c r="A10660" s="136"/>
      <c r="CM10660" s="111"/>
      <c r="CQ10660" s="111"/>
      <c r="EF10660"/>
      <c r="EG10660"/>
      <c r="EH10660"/>
      <c r="EI10660"/>
      <c r="EJ10660"/>
      <c r="EK10660"/>
    </row>
    <row r="10661" spans="1:141" s="116" customFormat="1">
      <c r="A10661" s="136"/>
      <c r="CM10661" s="111"/>
      <c r="CQ10661" s="111"/>
      <c r="EF10661"/>
      <c r="EG10661"/>
      <c r="EH10661"/>
      <c r="EI10661"/>
      <c r="EJ10661"/>
      <c r="EK10661"/>
    </row>
    <row r="10662" spans="1:141" s="116" customFormat="1">
      <c r="A10662" s="136"/>
      <c r="CM10662" s="111"/>
      <c r="CQ10662" s="111"/>
      <c r="EF10662"/>
      <c r="EG10662"/>
      <c r="EH10662"/>
      <c r="EI10662"/>
      <c r="EJ10662"/>
      <c r="EK10662"/>
    </row>
    <row r="10663" spans="1:141" s="116" customFormat="1">
      <c r="A10663" s="136"/>
      <c r="CM10663" s="111"/>
      <c r="CQ10663" s="111"/>
      <c r="EF10663"/>
      <c r="EG10663"/>
      <c r="EH10663"/>
      <c r="EI10663"/>
      <c r="EJ10663"/>
      <c r="EK10663"/>
    </row>
    <row r="10664" spans="1:141" s="116" customFormat="1">
      <c r="A10664" s="136"/>
      <c r="CM10664" s="111"/>
      <c r="CQ10664" s="111"/>
      <c r="EF10664"/>
      <c r="EG10664"/>
      <c r="EH10664"/>
      <c r="EI10664"/>
      <c r="EJ10664"/>
      <c r="EK10664"/>
    </row>
    <row r="10665" spans="1:141" s="116" customFormat="1">
      <c r="A10665" s="136"/>
      <c r="CM10665" s="111"/>
      <c r="CQ10665" s="111"/>
      <c r="EF10665"/>
      <c r="EG10665"/>
      <c r="EH10665"/>
      <c r="EI10665"/>
      <c r="EJ10665"/>
      <c r="EK10665"/>
    </row>
    <row r="10666" spans="1:141" s="116" customFormat="1">
      <c r="A10666" s="136"/>
      <c r="CM10666" s="111"/>
      <c r="CQ10666" s="111"/>
      <c r="EF10666"/>
      <c r="EG10666"/>
      <c r="EH10666"/>
      <c r="EI10666"/>
      <c r="EJ10666"/>
      <c r="EK10666"/>
    </row>
    <row r="10667" spans="1:141" s="116" customFormat="1">
      <c r="A10667" s="136"/>
      <c r="CM10667" s="111"/>
      <c r="CQ10667" s="111"/>
      <c r="EF10667"/>
      <c r="EG10667"/>
      <c r="EH10667"/>
      <c r="EI10667"/>
      <c r="EJ10667"/>
      <c r="EK10667"/>
    </row>
    <row r="10668" spans="1:141" s="116" customFormat="1">
      <c r="A10668" s="136"/>
      <c r="CM10668" s="111"/>
      <c r="CQ10668" s="111"/>
      <c r="EF10668"/>
      <c r="EG10668"/>
      <c r="EH10668"/>
      <c r="EI10668"/>
      <c r="EJ10668"/>
      <c r="EK10668"/>
    </row>
    <row r="10669" spans="1:141" s="116" customFormat="1">
      <c r="A10669" s="136"/>
      <c r="CM10669" s="111"/>
      <c r="CQ10669" s="111"/>
      <c r="EF10669"/>
      <c r="EG10669"/>
      <c r="EH10669"/>
      <c r="EI10669"/>
      <c r="EJ10669"/>
      <c r="EK10669"/>
    </row>
    <row r="10670" spans="1:141" s="116" customFormat="1">
      <c r="A10670" s="136"/>
      <c r="CM10670" s="111"/>
      <c r="CQ10670" s="111"/>
      <c r="EF10670"/>
      <c r="EG10670"/>
      <c r="EH10670"/>
      <c r="EI10670"/>
      <c r="EJ10670"/>
      <c r="EK10670"/>
    </row>
    <row r="10671" spans="1:141" s="116" customFormat="1">
      <c r="A10671" s="136"/>
      <c r="CM10671" s="111"/>
      <c r="CQ10671" s="111"/>
      <c r="EF10671"/>
      <c r="EG10671"/>
      <c r="EH10671"/>
      <c r="EI10671"/>
      <c r="EJ10671"/>
      <c r="EK10671"/>
    </row>
    <row r="10672" spans="1:141" s="116" customFormat="1">
      <c r="A10672" s="136"/>
      <c r="CM10672" s="111"/>
      <c r="CQ10672" s="111"/>
      <c r="EF10672"/>
      <c r="EG10672"/>
      <c r="EH10672"/>
      <c r="EI10672"/>
      <c r="EJ10672"/>
      <c r="EK10672"/>
    </row>
    <row r="10673" spans="1:141" s="116" customFormat="1">
      <c r="A10673" s="136"/>
      <c r="CM10673" s="111"/>
      <c r="CQ10673" s="111"/>
      <c r="EF10673"/>
      <c r="EG10673"/>
      <c r="EH10673"/>
      <c r="EI10673"/>
      <c r="EJ10673"/>
      <c r="EK10673"/>
    </row>
    <row r="10674" spans="1:141" s="116" customFormat="1">
      <c r="A10674" s="136"/>
      <c r="CM10674" s="111"/>
      <c r="CQ10674" s="111"/>
      <c r="EF10674"/>
      <c r="EG10674"/>
      <c r="EH10674"/>
      <c r="EI10674"/>
      <c r="EJ10674"/>
      <c r="EK10674"/>
    </row>
    <row r="10675" spans="1:141" s="116" customFormat="1">
      <c r="A10675" s="136"/>
      <c r="CM10675" s="111"/>
      <c r="CQ10675" s="111"/>
      <c r="EF10675"/>
      <c r="EG10675"/>
      <c r="EH10675"/>
      <c r="EI10675"/>
      <c r="EJ10675"/>
      <c r="EK10675"/>
    </row>
    <row r="10676" spans="1:141" s="116" customFormat="1">
      <c r="A10676" s="136"/>
      <c r="CM10676" s="111"/>
      <c r="CQ10676" s="111"/>
      <c r="EF10676"/>
      <c r="EG10676"/>
      <c r="EH10676"/>
      <c r="EI10676"/>
      <c r="EJ10676"/>
      <c r="EK10676"/>
    </row>
    <row r="10677" spans="1:141" s="116" customFormat="1">
      <c r="A10677" s="136"/>
      <c r="CM10677" s="111"/>
      <c r="CQ10677" s="111"/>
      <c r="EF10677"/>
      <c r="EG10677"/>
      <c r="EH10677"/>
      <c r="EI10677"/>
      <c r="EJ10677"/>
      <c r="EK10677"/>
    </row>
    <row r="10678" spans="1:141" s="116" customFormat="1">
      <c r="A10678" s="136"/>
      <c r="CM10678" s="111"/>
      <c r="CQ10678" s="111"/>
      <c r="EF10678"/>
      <c r="EG10678"/>
      <c r="EH10678"/>
      <c r="EI10678"/>
      <c r="EJ10678"/>
      <c r="EK10678"/>
    </row>
    <row r="10679" spans="1:141" s="116" customFormat="1">
      <c r="A10679" s="136"/>
      <c r="CM10679" s="111"/>
      <c r="CQ10679" s="111"/>
      <c r="EF10679"/>
      <c r="EG10679"/>
      <c r="EH10679"/>
      <c r="EI10679"/>
      <c r="EJ10679"/>
      <c r="EK10679"/>
    </row>
    <row r="10680" spans="1:141" s="116" customFormat="1">
      <c r="A10680" s="136"/>
      <c r="CM10680" s="111"/>
      <c r="CQ10680" s="111"/>
      <c r="EF10680"/>
      <c r="EG10680"/>
      <c r="EH10680"/>
      <c r="EI10680"/>
      <c r="EJ10680"/>
      <c r="EK10680"/>
    </row>
    <row r="10681" spans="1:141" s="116" customFormat="1">
      <c r="A10681" s="136"/>
      <c r="CM10681" s="111"/>
      <c r="CQ10681" s="111"/>
      <c r="EF10681"/>
      <c r="EG10681"/>
      <c r="EH10681"/>
      <c r="EI10681"/>
      <c r="EJ10681"/>
      <c r="EK10681"/>
    </row>
    <row r="10682" spans="1:141" s="116" customFormat="1">
      <c r="A10682" s="136"/>
      <c r="CM10682" s="111"/>
      <c r="CQ10682" s="111"/>
      <c r="EF10682"/>
      <c r="EG10682"/>
      <c r="EH10682"/>
      <c r="EI10682"/>
      <c r="EJ10682"/>
      <c r="EK10682"/>
    </row>
    <row r="10683" spans="1:141" s="116" customFormat="1">
      <c r="A10683" s="136"/>
      <c r="CM10683" s="111"/>
      <c r="CQ10683" s="111"/>
      <c r="EF10683"/>
      <c r="EG10683"/>
      <c r="EH10683"/>
      <c r="EI10683"/>
      <c r="EJ10683"/>
      <c r="EK10683"/>
    </row>
    <row r="10684" spans="1:141" s="116" customFormat="1">
      <c r="A10684" s="136"/>
      <c r="CM10684" s="111"/>
      <c r="CQ10684" s="111"/>
      <c r="EF10684"/>
      <c r="EG10684"/>
      <c r="EH10684"/>
      <c r="EI10684"/>
      <c r="EJ10684"/>
      <c r="EK10684"/>
    </row>
    <row r="10685" spans="1:141" s="116" customFormat="1">
      <c r="A10685" s="136"/>
      <c r="CM10685" s="111"/>
      <c r="CQ10685" s="111"/>
      <c r="EF10685"/>
      <c r="EG10685"/>
      <c r="EH10685"/>
      <c r="EI10685"/>
      <c r="EJ10685"/>
      <c r="EK10685"/>
    </row>
    <row r="10686" spans="1:141" s="116" customFormat="1">
      <c r="A10686" s="136"/>
      <c r="CM10686" s="111"/>
      <c r="CQ10686" s="111"/>
      <c r="EF10686"/>
      <c r="EG10686"/>
      <c r="EH10686"/>
      <c r="EI10686"/>
      <c r="EJ10686"/>
      <c r="EK10686"/>
    </row>
    <row r="10687" spans="1:141" s="116" customFormat="1">
      <c r="A10687" s="136"/>
      <c r="CM10687" s="111"/>
      <c r="CQ10687" s="111"/>
      <c r="EF10687"/>
      <c r="EG10687"/>
      <c r="EH10687"/>
      <c r="EI10687"/>
      <c r="EJ10687"/>
      <c r="EK10687"/>
    </row>
    <row r="10688" spans="1:141" s="116" customFormat="1">
      <c r="A10688" s="136"/>
      <c r="CM10688" s="111"/>
      <c r="CQ10688" s="111"/>
      <c r="EF10688"/>
      <c r="EG10688"/>
      <c r="EH10688"/>
      <c r="EI10688"/>
      <c r="EJ10688"/>
      <c r="EK10688"/>
    </row>
    <row r="10689" spans="1:141" s="116" customFormat="1">
      <c r="A10689" s="136"/>
      <c r="CM10689" s="111"/>
      <c r="CQ10689" s="111"/>
      <c r="EF10689"/>
      <c r="EG10689"/>
      <c r="EH10689"/>
      <c r="EI10689"/>
      <c r="EJ10689"/>
      <c r="EK10689"/>
    </row>
    <row r="10690" spans="1:141" s="116" customFormat="1">
      <c r="A10690" s="136"/>
      <c r="CM10690" s="111"/>
      <c r="CQ10690" s="111"/>
      <c r="EF10690"/>
      <c r="EG10690"/>
      <c r="EH10690"/>
      <c r="EI10690"/>
      <c r="EJ10690"/>
      <c r="EK10690"/>
    </row>
    <row r="10691" spans="1:141" s="116" customFormat="1">
      <c r="A10691" s="136"/>
      <c r="CM10691" s="111"/>
      <c r="CQ10691" s="111"/>
      <c r="EF10691"/>
      <c r="EG10691"/>
      <c r="EH10691"/>
      <c r="EI10691"/>
      <c r="EJ10691"/>
      <c r="EK10691"/>
    </row>
    <row r="10692" spans="1:141" s="116" customFormat="1">
      <c r="A10692" s="136"/>
      <c r="CM10692" s="111"/>
      <c r="CQ10692" s="111"/>
      <c r="EF10692"/>
      <c r="EG10692"/>
      <c r="EH10692"/>
      <c r="EI10692"/>
      <c r="EJ10692"/>
      <c r="EK10692"/>
    </row>
    <row r="10693" spans="1:141" s="116" customFormat="1">
      <c r="A10693" s="136"/>
      <c r="CM10693" s="111"/>
      <c r="CQ10693" s="111"/>
      <c r="EF10693"/>
      <c r="EG10693"/>
      <c r="EH10693"/>
      <c r="EI10693"/>
      <c r="EJ10693"/>
      <c r="EK10693"/>
    </row>
    <row r="10694" spans="1:141" s="116" customFormat="1">
      <c r="A10694" s="136"/>
      <c r="CM10694" s="111"/>
      <c r="CQ10694" s="111"/>
      <c r="EF10694"/>
      <c r="EG10694"/>
      <c r="EH10694"/>
      <c r="EI10694"/>
      <c r="EJ10694"/>
      <c r="EK10694"/>
    </row>
    <row r="10695" spans="1:141" s="116" customFormat="1">
      <c r="A10695" s="136"/>
      <c r="CM10695" s="111"/>
      <c r="CQ10695" s="111"/>
      <c r="EF10695"/>
      <c r="EG10695"/>
      <c r="EH10695"/>
      <c r="EI10695"/>
      <c r="EJ10695"/>
      <c r="EK10695"/>
    </row>
    <row r="10696" spans="1:141" s="116" customFormat="1">
      <c r="A10696" s="136"/>
      <c r="CM10696" s="111"/>
      <c r="CQ10696" s="111"/>
      <c r="EF10696"/>
      <c r="EG10696"/>
      <c r="EH10696"/>
      <c r="EI10696"/>
      <c r="EJ10696"/>
      <c r="EK10696"/>
    </row>
    <row r="10697" spans="1:141" s="116" customFormat="1">
      <c r="A10697" s="136"/>
      <c r="CM10697" s="111"/>
      <c r="CQ10697" s="111"/>
      <c r="EF10697"/>
      <c r="EG10697"/>
      <c r="EH10697"/>
      <c r="EI10697"/>
      <c r="EJ10697"/>
      <c r="EK10697"/>
    </row>
    <row r="10698" spans="1:141" s="116" customFormat="1">
      <c r="A10698" s="136"/>
      <c r="CM10698" s="111"/>
      <c r="CQ10698" s="111"/>
      <c r="EF10698"/>
      <c r="EG10698"/>
      <c r="EH10698"/>
      <c r="EI10698"/>
      <c r="EJ10698"/>
      <c r="EK10698"/>
    </row>
    <row r="10699" spans="1:141" s="116" customFormat="1">
      <c r="A10699" s="136"/>
      <c r="CM10699" s="111"/>
      <c r="CQ10699" s="111"/>
      <c r="EF10699"/>
      <c r="EG10699"/>
      <c r="EH10699"/>
      <c r="EI10699"/>
      <c r="EJ10699"/>
      <c r="EK10699"/>
    </row>
    <row r="10700" spans="1:141" s="116" customFormat="1">
      <c r="A10700" s="136"/>
      <c r="CM10700" s="111"/>
      <c r="CQ10700" s="111"/>
      <c r="EF10700"/>
      <c r="EG10700"/>
      <c r="EH10700"/>
      <c r="EI10700"/>
      <c r="EJ10700"/>
      <c r="EK10700"/>
    </row>
    <row r="10701" spans="1:141" s="116" customFormat="1">
      <c r="A10701" s="136"/>
      <c r="CM10701" s="111"/>
      <c r="CQ10701" s="111"/>
      <c r="EF10701"/>
      <c r="EG10701"/>
      <c r="EH10701"/>
      <c r="EI10701"/>
      <c r="EJ10701"/>
      <c r="EK10701"/>
    </row>
    <row r="10702" spans="1:141" s="116" customFormat="1">
      <c r="A10702" s="136"/>
      <c r="CM10702" s="111"/>
      <c r="CQ10702" s="111"/>
      <c r="EF10702"/>
      <c r="EG10702"/>
      <c r="EH10702"/>
      <c r="EI10702"/>
      <c r="EJ10702"/>
      <c r="EK10702"/>
    </row>
    <row r="10703" spans="1:141" s="116" customFormat="1">
      <c r="A10703" s="136"/>
      <c r="CM10703" s="111"/>
      <c r="CQ10703" s="111"/>
      <c r="EF10703"/>
      <c r="EG10703"/>
      <c r="EH10703"/>
      <c r="EI10703"/>
      <c r="EJ10703"/>
      <c r="EK10703"/>
    </row>
    <row r="10704" spans="1:141" s="116" customFormat="1">
      <c r="A10704" s="136"/>
      <c r="CM10704" s="111"/>
      <c r="CQ10704" s="111"/>
      <c r="EF10704"/>
      <c r="EG10704"/>
      <c r="EH10704"/>
      <c r="EI10704"/>
      <c r="EJ10704"/>
      <c r="EK10704"/>
    </row>
    <row r="10705" spans="1:141" s="116" customFormat="1">
      <c r="A10705" s="136"/>
      <c r="CM10705" s="111"/>
      <c r="CQ10705" s="111"/>
      <c r="EF10705"/>
      <c r="EG10705"/>
      <c r="EH10705"/>
      <c r="EI10705"/>
      <c r="EJ10705"/>
      <c r="EK10705"/>
    </row>
    <row r="10706" spans="1:141" s="116" customFormat="1">
      <c r="A10706" s="136"/>
      <c r="CM10706" s="111"/>
      <c r="CQ10706" s="111"/>
      <c r="EF10706"/>
      <c r="EG10706"/>
      <c r="EH10706"/>
      <c r="EI10706"/>
      <c r="EJ10706"/>
      <c r="EK10706"/>
    </row>
    <row r="10707" spans="1:141" s="116" customFormat="1">
      <c r="A10707" s="136"/>
      <c r="CM10707" s="111"/>
      <c r="CQ10707" s="111"/>
      <c r="EF10707"/>
      <c r="EG10707"/>
      <c r="EH10707"/>
      <c r="EI10707"/>
      <c r="EJ10707"/>
      <c r="EK10707"/>
    </row>
    <row r="10708" spans="1:141" s="116" customFormat="1">
      <c r="A10708" s="136"/>
      <c r="CM10708" s="111"/>
      <c r="CQ10708" s="111"/>
      <c r="EF10708"/>
      <c r="EG10708"/>
      <c r="EH10708"/>
      <c r="EI10708"/>
      <c r="EJ10708"/>
      <c r="EK10708"/>
    </row>
    <row r="10709" spans="1:141" s="116" customFormat="1">
      <c r="A10709" s="136"/>
      <c r="CM10709" s="111"/>
      <c r="CQ10709" s="111"/>
      <c r="EF10709"/>
      <c r="EG10709"/>
      <c r="EH10709"/>
      <c r="EI10709"/>
      <c r="EJ10709"/>
      <c r="EK10709"/>
    </row>
    <row r="10710" spans="1:141" s="116" customFormat="1">
      <c r="A10710" s="136"/>
      <c r="CM10710" s="111"/>
      <c r="CQ10710" s="111"/>
      <c r="EF10710"/>
      <c r="EG10710"/>
      <c r="EH10710"/>
      <c r="EI10710"/>
      <c r="EJ10710"/>
      <c r="EK10710"/>
    </row>
    <row r="10711" spans="1:141" s="116" customFormat="1">
      <c r="A10711" s="136"/>
      <c r="CM10711" s="111"/>
      <c r="CQ10711" s="111"/>
      <c r="EF10711"/>
      <c r="EG10711"/>
      <c r="EH10711"/>
      <c r="EI10711"/>
      <c r="EJ10711"/>
      <c r="EK10711"/>
    </row>
    <row r="10712" spans="1:141" s="116" customFormat="1">
      <c r="A10712" s="136"/>
      <c r="CM10712" s="111"/>
      <c r="CQ10712" s="111"/>
      <c r="EF10712"/>
      <c r="EG10712"/>
      <c r="EH10712"/>
      <c r="EI10712"/>
      <c r="EJ10712"/>
      <c r="EK10712"/>
    </row>
    <row r="10713" spans="1:141" s="116" customFormat="1">
      <c r="A10713" s="136"/>
      <c r="CM10713" s="111"/>
      <c r="CQ10713" s="111"/>
      <c r="EF10713"/>
      <c r="EG10713"/>
      <c r="EH10713"/>
      <c r="EI10713"/>
      <c r="EJ10713"/>
      <c r="EK10713"/>
    </row>
    <row r="10714" spans="1:141" s="116" customFormat="1">
      <c r="A10714" s="136"/>
      <c r="CM10714" s="111"/>
      <c r="CQ10714" s="111"/>
      <c r="EF10714"/>
      <c r="EG10714"/>
      <c r="EH10714"/>
      <c r="EI10714"/>
      <c r="EJ10714"/>
      <c r="EK10714"/>
    </row>
    <row r="10715" spans="1:141" s="116" customFormat="1">
      <c r="A10715" s="136"/>
      <c r="CM10715" s="111"/>
      <c r="CQ10715" s="111"/>
      <c r="EF10715"/>
      <c r="EG10715"/>
      <c r="EH10715"/>
      <c r="EI10715"/>
      <c r="EJ10715"/>
      <c r="EK10715"/>
    </row>
    <row r="10716" spans="1:141" s="116" customFormat="1">
      <c r="A10716" s="136"/>
      <c r="CM10716" s="111"/>
      <c r="CQ10716" s="111"/>
      <c r="EF10716"/>
      <c r="EG10716"/>
      <c r="EH10716"/>
      <c r="EI10716"/>
      <c r="EJ10716"/>
      <c r="EK10716"/>
    </row>
    <row r="10717" spans="1:141" s="116" customFormat="1">
      <c r="A10717" s="136"/>
      <c r="CM10717" s="111"/>
      <c r="CQ10717" s="111"/>
      <c r="EF10717"/>
      <c r="EG10717"/>
      <c r="EH10717"/>
      <c r="EI10717"/>
      <c r="EJ10717"/>
      <c r="EK10717"/>
    </row>
    <row r="10718" spans="1:141" s="116" customFormat="1">
      <c r="A10718" s="136"/>
      <c r="CM10718" s="111"/>
      <c r="CQ10718" s="111"/>
      <c r="EF10718"/>
      <c r="EG10718"/>
      <c r="EH10718"/>
      <c r="EI10718"/>
      <c r="EJ10718"/>
      <c r="EK10718"/>
    </row>
    <row r="10719" spans="1:141" s="116" customFormat="1">
      <c r="A10719" s="136"/>
      <c r="CM10719" s="111"/>
      <c r="CQ10719" s="111"/>
      <c r="EF10719"/>
      <c r="EG10719"/>
      <c r="EH10719"/>
      <c r="EI10719"/>
      <c r="EJ10719"/>
      <c r="EK10719"/>
    </row>
    <row r="10720" spans="1:141" s="116" customFormat="1">
      <c r="A10720" s="136"/>
      <c r="CM10720" s="111"/>
      <c r="CQ10720" s="111"/>
      <c r="EF10720"/>
      <c r="EG10720"/>
      <c r="EH10720"/>
      <c r="EI10720"/>
      <c r="EJ10720"/>
      <c r="EK10720"/>
    </row>
    <row r="10721" spans="1:141" s="116" customFormat="1">
      <c r="A10721" s="136"/>
      <c r="CM10721" s="111"/>
      <c r="CQ10721" s="111"/>
      <c r="EF10721"/>
      <c r="EG10721"/>
      <c r="EH10721"/>
      <c r="EI10721"/>
      <c r="EJ10721"/>
      <c r="EK10721"/>
    </row>
    <row r="10722" spans="1:141" s="116" customFormat="1">
      <c r="A10722" s="136"/>
      <c r="CM10722" s="111"/>
      <c r="CQ10722" s="111"/>
      <c r="EF10722"/>
      <c r="EG10722"/>
      <c r="EH10722"/>
      <c r="EI10722"/>
      <c r="EJ10722"/>
      <c r="EK10722"/>
    </row>
    <row r="10723" spans="1:141" s="116" customFormat="1">
      <c r="A10723" s="136"/>
      <c r="CM10723" s="111"/>
      <c r="CQ10723" s="111"/>
      <c r="EF10723"/>
      <c r="EG10723"/>
      <c r="EH10723"/>
      <c r="EI10723"/>
      <c r="EJ10723"/>
      <c r="EK10723"/>
    </row>
    <row r="10724" spans="1:141" s="116" customFormat="1">
      <c r="A10724" s="136"/>
      <c r="CM10724" s="111"/>
      <c r="CQ10724" s="111"/>
      <c r="EF10724"/>
      <c r="EG10724"/>
      <c r="EH10724"/>
      <c r="EI10724"/>
      <c r="EJ10724"/>
      <c r="EK10724"/>
    </row>
    <row r="10725" spans="1:141" s="116" customFormat="1">
      <c r="A10725" s="136"/>
      <c r="CM10725" s="111"/>
      <c r="CQ10725" s="111"/>
      <c r="EF10725"/>
      <c r="EG10725"/>
      <c r="EH10725"/>
      <c r="EI10725"/>
      <c r="EJ10725"/>
      <c r="EK10725"/>
    </row>
    <row r="10726" spans="1:141" s="116" customFormat="1">
      <c r="A10726" s="136"/>
      <c r="CM10726" s="111"/>
      <c r="CQ10726" s="111"/>
      <c r="EF10726"/>
      <c r="EG10726"/>
      <c r="EH10726"/>
      <c r="EI10726"/>
      <c r="EJ10726"/>
      <c r="EK10726"/>
    </row>
    <row r="10727" spans="1:141" s="116" customFormat="1">
      <c r="A10727" s="136"/>
      <c r="CM10727" s="111"/>
      <c r="CQ10727" s="111"/>
      <c r="EF10727"/>
      <c r="EG10727"/>
      <c r="EH10727"/>
      <c r="EI10727"/>
      <c r="EJ10727"/>
      <c r="EK10727"/>
    </row>
    <row r="10728" spans="1:141" s="116" customFormat="1">
      <c r="A10728" s="136"/>
      <c r="CM10728" s="111"/>
      <c r="CQ10728" s="111"/>
      <c r="EF10728"/>
      <c r="EG10728"/>
      <c r="EH10728"/>
      <c r="EI10728"/>
      <c r="EJ10728"/>
      <c r="EK10728"/>
    </row>
    <row r="10729" spans="1:141" s="116" customFormat="1">
      <c r="A10729" s="136"/>
      <c r="CM10729" s="111"/>
      <c r="CQ10729" s="111"/>
      <c r="EF10729"/>
      <c r="EG10729"/>
      <c r="EH10729"/>
      <c r="EI10729"/>
      <c r="EJ10729"/>
      <c r="EK10729"/>
    </row>
    <row r="10730" spans="1:141" s="116" customFormat="1">
      <c r="A10730" s="136"/>
      <c r="CM10730" s="111"/>
      <c r="CQ10730" s="111"/>
      <c r="EF10730"/>
      <c r="EG10730"/>
      <c r="EH10730"/>
      <c r="EI10730"/>
      <c r="EJ10730"/>
      <c r="EK10730"/>
    </row>
    <row r="10731" spans="1:141" s="116" customFormat="1">
      <c r="A10731" s="136"/>
      <c r="CM10731" s="111"/>
      <c r="CQ10731" s="111"/>
      <c r="EF10731"/>
      <c r="EG10731"/>
      <c r="EH10731"/>
      <c r="EI10731"/>
      <c r="EJ10731"/>
      <c r="EK10731"/>
    </row>
    <row r="10732" spans="1:141" s="116" customFormat="1">
      <c r="A10732" s="136"/>
      <c r="CM10732" s="111"/>
      <c r="CQ10732" s="111"/>
      <c r="EF10732"/>
      <c r="EG10732"/>
      <c r="EH10732"/>
      <c r="EI10732"/>
      <c r="EJ10732"/>
      <c r="EK10732"/>
    </row>
    <row r="10733" spans="1:141" s="116" customFormat="1">
      <c r="A10733" s="136"/>
      <c r="CM10733" s="111"/>
      <c r="CQ10733" s="111"/>
      <c r="EF10733"/>
      <c r="EG10733"/>
      <c r="EH10733"/>
      <c r="EI10733"/>
      <c r="EJ10733"/>
      <c r="EK10733"/>
    </row>
    <row r="10734" spans="1:141" s="116" customFormat="1">
      <c r="A10734" s="136"/>
      <c r="CM10734" s="111"/>
      <c r="CQ10734" s="111"/>
      <c r="EF10734"/>
      <c r="EG10734"/>
      <c r="EH10734"/>
      <c r="EI10734"/>
      <c r="EJ10734"/>
      <c r="EK10734"/>
    </row>
    <row r="10735" spans="1:141" s="116" customFormat="1">
      <c r="A10735" s="136"/>
      <c r="CM10735" s="111"/>
      <c r="CQ10735" s="111"/>
      <c r="EF10735"/>
      <c r="EG10735"/>
      <c r="EH10735"/>
      <c r="EI10735"/>
      <c r="EJ10735"/>
      <c r="EK10735"/>
    </row>
    <row r="10736" spans="1:141" s="116" customFormat="1">
      <c r="A10736" s="136"/>
      <c r="CM10736" s="111"/>
      <c r="CQ10736" s="111"/>
      <c r="EF10736"/>
      <c r="EG10736"/>
      <c r="EH10736"/>
      <c r="EI10736"/>
      <c r="EJ10736"/>
      <c r="EK10736"/>
    </row>
    <row r="10737" spans="1:141" s="116" customFormat="1">
      <c r="A10737" s="136"/>
      <c r="CM10737" s="111"/>
      <c r="CQ10737" s="111"/>
      <c r="EF10737"/>
      <c r="EG10737"/>
      <c r="EH10737"/>
      <c r="EI10737"/>
      <c r="EJ10737"/>
      <c r="EK10737"/>
    </row>
    <row r="10738" spans="1:141" s="116" customFormat="1">
      <c r="A10738" s="136"/>
      <c r="CM10738" s="111"/>
      <c r="CQ10738" s="111"/>
      <c r="EF10738"/>
      <c r="EG10738"/>
      <c r="EH10738"/>
      <c r="EI10738"/>
      <c r="EJ10738"/>
      <c r="EK10738"/>
    </row>
    <row r="10739" spans="1:141" s="116" customFormat="1">
      <c r="A10739" s="136"/>
      <c r="CM10739" s="111"/>
      <c r="CQ10739" s="111"/>
      <c r="EF10739"/>
      <c r="EG10739"/>
      <c r="EH10739"/>
      <c r="EI10739"/>
      <c r="EJ10739"/>
      <c r="EK10739"/>
    </row>
    <row r="10740" spans="1:141" s="116" customFormat="1">
      <c r="A10740" s="136"/>
      <c r="CM10740" s="111"/>
      <c r="CQ10740" s="111"/>
      <c r="EF10740"/>
      <c r="EG10740"/>
      <c r="EH10740"/>
      <c r="EI10740"/>
      <c r="EJ10740"/>
      <c r="EK10740"/>
    </row>
    <row r="10741" spans="1:141" s="116" customFormat="1">
      <c r="A10741" s="136"/>
      <c r="CM10741" s="111"/>
      <c r="CQ10741" s="111"/>
      <c r="EF10741"/>
      <c r="EG10741"/>
      <c r="EH10741"/>
      <c r="EI10741"/>
      <c r="EJ10741"/>
      <c r="EK10741"/>
    </row>
    <row r="10742" spans="1:141" s="116" customFormat="1">
      <c r="A10742" s="136"/>
      <c r="CM10742" s="111"/>
      <c r="CQ10742" s="111"/>
      <c r="EF10742"/>
      <c r="EG10742"/>
      <c r="EH10742"/>
      <c r="EI10742"/>
      <c r="EJ10742"/>
      <c r="EK10742"/>
    </row>
    <row r="10743" spans="1:141" s="116" customFormat="1">
      <c r="A10743" s="136"/>
      <c r="CM10743" s="111"/>
      <c r="CQ10743" s="111"/>
      <c r="EF10743"/>
      <c r="EG10743"/>
      <c r="EH10743"/>
      <c r="EI10743"/>
      <c r="EJ10743"/>
      <c r="EK10743"/>
    </row>
    <row r="10744" spans="1:141" s="116" customFormat="1">
      <c r="A10744" s="136"/>
      <c r="CM10744" s="111"/>
      <c r="CQ10744" s="111"/>
      <c r="EF10744"/>
      <c r="EG10744"/>
      <c r="EH10744"/>
      <c r="EI10744"/>
      <c r="EJ10744"/>
      <c r="EK10744"/>
    </row>
    <row r="10745" spans="1:141" s="116" customFormat="1">
      <c r="A10745" s="136"/>
      <c r="CM10745" s="111"/>
      <c r="CQ10745" s="111"/>
      <c r="EF10745"/>
      <c r="EG10745"/>
      <c r="EH10745"/>
      <c r="EI10745"/>
      <c r="EJ10745"/>
      <c r="EK10745"/>
    </row>
    <row r="10746" spans="1:141" s="116" customFormat="1">
      <c r="A10746" s="136"/>
      <c r="CM10746" s="111"/>
      <c r="CQ10746" s="111"/>
      <c r="EF10746"/>
      <c r="EG10746"/>
      <c r="EH10746"/>
      <c r="EI10746"/>
      <c r="EJ10746"/>
      <c r="EK10746"/>
    </row>
    <row r="10747" spans="1:141" s="116" customFormat="1">
      <c r="A10747" s="136"/>
      <c r="CM10747" s="111"/>
      <c r="CQ10747" s="111"/>
      <c r="EF10747"/>
      <c r="EG10747"/>
      <c r="EH10747"/>
      <c r="EI10747"/>
      <c r="EJ10747"/>
      <c r="EK10747"/>
    </row>
    <row r="10748" spans="1:141" s="116" customFormat="1">
      <c r="A10748" s="136"/>
      <c r="CM10748" s="111"/>
      <c r="CQ10748" s="111"/>
      <c r="EF10748"/>
      <c r="EG10748"/>
      <c r="EH10748"/>
      <c r="EI10748"/>
      <c r="EJ10748"/>
      <c r="EK10748"/>
    </row>
    <row r="10749" spans="1:141" s="116" customFormat="1">
      <c r="A10749" s="136"/>
      <c r="CM10749" s="111"/>
      <c r="CQ10749" s="111"/>
      <c r="EF10749"/>
      <c r="EG10749"/>
      <c r="EH10749"/>
      <c r="EI10749"/>
      <c r="EJ10749"/>
      <c r="EK10749"/>
    </row>
    <row r="10750" spans="1:141" s="116" customFormat="1">
      <c r="A10750" s="136"/>
      <c r="CM10750" s="111"/>
      <c r="CQ10750" s="111"/>
      <c r="EF10750"/>
      <c r="EG10750"/>
      <c r="EH10750"/>
      <c r="EI10750"/>
      <c r="EJ10750"/>
      <c r="EK10750"/>
    </row>
    <row r="10751" spans="1:141" s="116" customFormat="1">
      <c r="A10751" s="136"/>
      <c r="CM10751" s="111"/>
      <c r="CQ10751" s="111"/>
      <c r="EF10751"/>
      <c r="EG10751"/>
      <c r="EH10751"/>
      <c r="EI10751"/>
      <c r="EJ10751"/>
      <c r="EK10751"/>
    </row>
    <row r="10752" spans="1:141" s="116" customFormat="1">
      <c r="A10752" s="136"/>
      <c r="CM10752" s="111"/>
      <c r="CQ10752" s="111"/>
      <c r="EF10752"/>
      <c r="EG10752"/>
      <c r="EH10752"/>
      <c r="EI10752"/>
      <c r="EJ10752"/>
      <c r="EK10752"/>
    </row>
    <row r="10753" spans="1:141" s="116" customFormat="1">
      <c r="A10753" s="136"/>
      <c r="CM10753" s="111"/>
      <c r="CQ10753" s="111"/>
      <c r="EF10753"/>
      <c r="EG10753"/>
      <c r="EH10753"/>
      <c r="EI10753"/>
      <c r="EJ10753"/>
      <c r="EK10753"/>
    </row>
    <row r="10754" spans="1:141" s="116" customFormat="1">
      <c r="A10754" s="136"/>
      <c r="CM10754" s="111"/>
      <c r="CQ10754" s="111"/>
      <c r="EF10754"/>
      <c r="EG10754"/>
      <c r="EH10754"/>
      <c r="EI10754"/>
      <c r="EJ10754"/>
      <c r="EK10754"/>
    </row>
    <row r="10755" spans="1:141" s="116" customFormat="1">
      <c r="A10755" s="136"/>
      <c r="CM10755" s="111"/>
      <c r="CQ10755" s="111"/>
      <c r="EF10755"/>
      <c r="EG10755"/>
      <c r="EH10755"/>
      <c r="EI10755"/>
      <c r="EJ10755"/>
      <c r="EK10755"/>
    </row>
    <row r="10756" spans="1:141" s="116" customFormat="1">
      <c r="A10756" s="136"/>
      <c r="CM10756" s="111"/>
      <c r="CQ10756" s="111"/>
      <c r="EF10756"/>
      <c r="EG10756"/>
      <c r="EH10756"/>
      <c r="EI10756"/>
      <c r="EJ10756"/>
      <c r="EK10756"/>
    </row>
    <row r="10757" spans="1:141" s="116" customFormat="1">
      <c r="A10757" s="136"/>
      <c r="CM10757" s="111"/>
      <c r="CQ10757" s="111"/>
      <c r="EF10757"/>
      <c r="EG10757"/>
      <c r="EH10757"/>
      <c r="EI10757"/>
      <c r="EJ10757"/>
      <c r="EK10757"/>
    </row>
    <row r="10758" spans="1:141" s="116" customFormat="1">
      <c r="A10758" s="136"/>
      <c r="CM10758" s="111"/>
      <c r="CQ10758" s="111"/>
      <c r="EF10758"/>
      <c r="EG10758"/>
      <c r="EH10758"/>
      <c r="EI10758"/>
      <c r="EJ10758"/>
      <c r="EK10758"/>
    </row>
    <row r="10759" spans="1:141" s="116" customFormat="1">
      <c r="A10759" s="136"/>
      <c r="CM10759" s="111"/>
      <c r="CQ10759" s="111"/>
      <c r="EF10759"/>
      <c r="EG10759"/>
      <c r="EH10759"/>
      <c r="EI10759"/>
      <c r="EJ10759"/>
      <c r="EK10759"/>
    </row>
    <row r="10760" spans="1:141" s="116" customFormat="1">
      <c r="A10760" s="136"/>
      <c r="CM10760" s="111"/>
      <c r="CQ10760" s="111"/>
      <c r="EF10760"/>
      <c r="EG10760"/>
      <c r="EH10760"/>
      <c r="EI10760"/>
      <c r="EJ10760"/>
      <c r="EK10760"/>
    </row>
    <row r="10761" spans="1:141" s="116" customFormat="1">
      <c r="A10761" s="136"/>
      <c r="CM10761" s="111"/>
      <c r="CQ10761" s="111"/>
      <c r="EF10761"/>
      <c r="EG10761"/>
      <c r="EH10761"/>
      <c r="EI10761"/>
      <c r="EJ10761"/>
      <c r="EK10761"/>
    </row>
    <row r="10762" spans="1:141" s="116" customFormat="1">
      <c r="A10762" s="136"/>
      <c r="CM10762" s="111"/>
      <c r="CQ10762" s="111"/>
      <c r="EF10762"/>
      <c r="EG10762"/>
      <c r="EH10762"/>
      <c r="EI10762"/>
      <c r="EJ10762"/>
      <c r="EK10762"/>
    </row>
    <row r="10763" spans="1:141" s="116" customFormat="1">
      <c r="A10763" s="136"/>
      <c r="CM10763" s="111"/>
      <c r="CQ10763" s="111"/>
      <c r="EF10763"/>
      <c r="EG10763"/>
      <c r="EH10763"/>
      <c r="EI10763"/>
      <c r="EJ10763"/>
      <c r="EK10763"/>
    </row>
    <row r="10764" spans="1:141" s="116" customFormat="1">
      <c r="A10764" s="136"/>
      <c r="CM10764" s="111"/>
      <c r="CQ10764" s="111"/>
      <c r="EF10764"/>
      <c r="EG10764"/>
      <c r="EH10764"/>
      <c r="EI10764"/>
      <c r="EJ10764"/>
      <c r="EK10764"/>
    </row>
    <row r="10765" spans="1:141" s="116" customFormat="1">
      <c r="A10765" s="136"/>
      <c r="CM10765" s="111"/>
      <c r="CQ10765" s="111"/>
      <c r="EF10765"/>
      <c r="EG10765"/>
      <c r="EH10765"/>
      <c r="EI10765"/>
      <c r="EJ10765"/>
      <c r="EK10765"/>
    </row>
    <row r="10766" spans="1:141" s="116" customFormat="1">
      <c r="A10766" s="136"/>
      <c r="CM10766" s="111"/>
      <c r="CQ10766" s="111"/>
      <c r="EF10766"/>
      <c r="EG10766"/>
      <c r="EH10766"/>
      <c r="EI10766"/>
      <c r="EJ10766"/>
      <c r="EK10766"/>
    </row>
    <row r="10767" spans="1:141" s="116" customFormat="1">
      <c r="A10767" s="136"/>
      <c r="CM10767" s="111"/>
      <c r="CQ10767" s="111"/>
      <c r="EF10767"/>
      <c r="EG10767"/>
      <c r="EH10767"/>
      <c r="EI10767"/>
      <c r="EJ10767"/>
      <c r="EK10767"/>
    </row>
    <row r="10768" spans="1:141" s="116" customFormat="1">
      <c r="A10768" s="136"/>
      <c r="CM10768" s="111"/>
      <c r="CQ10768" s="111"/>
      <c r="EF10768"/>
      <c r="EG10768"/>
      <c r="EH10768"/>
      <c r="EI10768"/>
      <c r="EJ10768"/>
      <c r="EK10768"/>
    </row>
    <row r="10769" spans="1:141" s="116" customFormat="1">
      <c r="A10769" s="136"/>
      <c r="CM10769" s="111"/>
      <c r="CQ10769" s="111"/>
      <c r="EF10769"/>
      <c r="EG10769"/>
      <c r="EH10769"/>
      <c r="EI10769"/>
      <c r="EJ10769"/>
      <c r="EK10769"/>
    </row>
    <row r="10770" spans="1:141" s="116" customFormat="1">
      <c r="A10770" s="136"/>
      <c r="CM10770" s="111"/>
      <c r="CQ10770" s="111"/>
      <c r="EF10770"/>
      <c r="EG10770"/>
      <c r="EH10770"/>
      <c r="EI10770"/>
      <c r="EJ10770"/>
      <c r="EK10770"/>
    </row>
    <row r="10771" spans="1:141" s="116" customFormat="1">
      <c r="A10771" s="136"/>
      <c r="CM10771" s="111"/>
      <c r="CQ10771" s="111"/>
      <c r="EF10771"/>
      <c r="EG10771"/>
      <c r="EH10771"/>
      <c r="EI10771"/>
      <c r="EJ10771"/>
      <c r="EK10771"/>
    </row>
    <row r="10772" spans="1:141" s="116" customFormat="1">
      <c r="A10772" s="136"/>
      <c r="CM10772" s="111"/>
      <c r="CQ10772" s="111"/>
      <c r="EF10772"/>
      <c r="EG10772"/>
      <c r="EH10772"/>
      <c r="EI10772"/>
      <c r="EJ10772"/>
      <c r="EK10772"/>
    </row>
    <row r="10773" spans="1:141" s="116" customFormat="1">
      <c r="A10773" s="136"/>
      <c r="CM10773" s="111"/>
      <c r="CQ10773" s="111"/>
      <c r="EF10773"/>
      <c r="EG10773"/>
      <c r="EH10773"/>
      <c r="EI10773"/>
      <c r="EJ10773"/>
      <c r="EK10773"/>
    </row>
    <row r="10774" spans="1:141" s="116" customFormat="1">
      <c r="A10774" s="136"/>
      <c r="CM10774" s="111"/>
      <c r="CQ10774" s="111"/>
      <c r="EF10774"/>
      <c r="EG10774"/>
      <c r="EH10774"/>
      <c r="EI10774"/>
      <c r="EJ10774"/>
      <c r="EK10774"/>
    </row>
    <row r="10775" spans="1:141" s="116" customFormat="1">
      <c r="A10775" s="136"/>
      <c r="CM10775" s="111"/>
      <c r="CQ10775" s="111"/>
      <c r="EF10775"/>
      <c r="EG10775"/>
      <c r="EH10775"/>
      <c r="EI10775"/>
      <c r="EJ10775"/>
      <c r="EK10775"/>
    </row>
    <row r="10776" spans="1:141" s="116" customFormat="1">
      <c r="A10776" s="136"/>
      <c r="CM10776" s="111"/>
      <c r="CQ10776" s="111"/>
      <c r="EF10776"/>
      <c r="EG10776"/>
      <c r="EH10776"/>
      <c r="EI10776"/>
      <c r="EJ10776"/>
      <c r="EK10776"/>
    </row>
    <row r="10777" spans="1:141" s="116" customFormat="1">
      <c r="A10777" s="136"/>
      <c r="CM10777" s="111"/>
      <c r="CQ10777" s="111"/>
      <c r="EF10777"/>
      <c r="EG10777"/>
      <c r="EH10777"/>
      <c r="EI10777"/>
      <c r="EJ10777"/>
      <c r="EK10777"/>
    </row>
    <row r="10778" spans="1:141" s="116" customFormat="1">
      <c r="A10778" s="136"/>
      <c r="CM10778" s="111"/>
      <c r="CQ10778" s="111"/>
      <c r="EF10778"/>
      <c r="EG10778"/>
      <c r="EH10778"/>
      <c r="EI10778"/>
      <c r="EJ10778"/>
      <c r="EK10778"/>
    </row>
    <row r="10779" spans="1:141" s="116" customFormat="1">
      <c r="A10779" s="136"/>
      <c r="CM10779" s="111"/>
      <c r="CQ10779" s="111"/>
      <c r="EF10779"/>
      <c r="EG10779"/>
      <c r="EH10779"/>
      <c r="EI10779"/>
      <c r="EJ10779"/>
      <c r="EK10779"/>
    </row>
    <row r="10780" spans="1:141" s="116" customFormat="1">
      <c r="A10780" s="136"/>
      <c r="CM10780" s="111"/>
      <c r="CQ10780" s="111"/>
      <c r="EF10780"/>
      <c r="EG10780"/>
      <c r="EH10780"/>
      <c r="EI10780"/>
      <c r="EJ10780"/>
      <c r="EK10780"/>
    </row>
    <row r="10781" spans="1:141" s="116" customFormat="1">
      <c r="A10781" s="136"/>
      <c r="CM10781" s="111"/>
      <c r="CQ10781" s="111"/>
      <c r="EF10781"/>
      <c r="EG10781"/>
      <c r="EH10781"/>
      <c r="EI10781"/>
      <c r="EJ10781"/>
      <c r="EK10781"/>
    </row>
    <row r="10782" spans="1:141" s="116" customFormat="1">
      <c r="A10782" s="136"/>
      <c r="CM10782" s="111"/>
      <c r="CQ10782" s="111"/>
      <c r="EF10782"/>
      <c r="EG10782"/>
      <c r="EH10782"/>
      <c r="EI10782"/>
      <c r="EJ10782"/>
      <c r="EK10782"/>
    </row>
    <row r="10783" spans="1:141" s="116" customFormat="1">
      <c r="A10783" s="136"/>
      <c r="CM10783" s="111"/>
      <c r="CQ10783" s="111"/>
      <c r="EF10783"/>
      <c r="EG10783"/>
      <c r="EH10783"/>
      <c r="EI10783"/>
      <c r="EJ10783"/>
      <c r="EK10783"/>
    </row>
    <row r="10784" spans="1:141" s="116" customFormat="1">
      <c r="A10784" s="136"/>
      <c r="CM10784" s="111"/>
      <c r="CQ10784" s="111"/>
      <c r="EF10784"/>
      <c r="EG10784"/>
      <c r="EH10784"/>
      <c r="EI10784"/>
      <c r="EJ10784"/>
      <c r="EK10784"/>
    </row>
    <row r="10785" spans="1:141" s="116" customFormat="1">
      <c r="A10785" s="136"/>
      <c r="CM10785" s="111"/>
      <c r="CQ10785" s="111"/>
      <c r="EF10785"/>
      <c r="EG10785"/>
      <c r="EH10785"/>
      <c r="EI10785"/>
      <c r="EJ10785"/>
      <c r="EK10785"/>
    </row>
    <row r="10786" spans="1:141" s="116" customFormat="1">
      <c r="A10786" s="136"/>
      <c r="CM10786" s="111"/>
      <c r="CQ10786" s="111"/>
      <c r="EF10786"/>
      <c r="EG10786"/>
      <c r="EH10786"/>
      <c r="EI10786"/>
      <c r="EJ10786"/>
      <c r="EK10786"/>
    </row>
    <row r="10787" spans="1:141" s="116" customFormat="1">
      <c r="A10787" s="136"/>
      <c r="CM10787" s="111"/>
      <c r="CQ10787" s="111"/>
      <c r="EF10787"/>
      <c r="EG10787"/>
      <c r="EH10787"/>
      <c r="EI10787"/>
      <c r="EJ10787"/>
      <c r="EK10787"/>
    </row>
    <row r="10788" spans="1:141" s="116" customFormat="1">
      <c r="A10788" s="136"/>
      <c r="CM10788" s="111"/>
      <c r="CQ10788" s="111"/>
      <c r="EF10788"/>
      <c r="EG10788"/>
      <c r="EH10788"/>
      <c r="EI10788"/>
      <c r="EJ10788"/>
      <c r="EK10788"/>
    </row>
    <row r="10789" spans="1:141" s="116" customFormat="1">
      <c r="A10789" s="136"/>
      <c r="CM10789" s="111"/>
      <c r="CQ10789" s="111"/>
      <c r="EF10789"/>
      <c r="EG10789"/>
      <c r="EH10789"/>
      <c r="EI10789"/>
      <c r="EJ10789"/>
      <c r="EK10789"/>
    </row>
    <row r="10790" spans="1:141" s="116" customFormat="1">
      <c r="A10790" s="136"/>
      <c r="CM10790" s="111"/>
      <c r="CQ10790" s="111"/>
      <c r="EF10790"/>
      <c r="EG10790"/>
      <c r="EH10790"/>
      <c r="EI10790"/>
      <c r="EJ10790"/>
      <c r="EK10790"/>
    </row>
    <row r="10791" spans="1:141" s="116" customFormat="1">
      <c r="A10791" s="136"/>
      <c r="CM10791" s="111"/>
      <c r="CQ10791" s="111"/>
      <c r="EF10791"/>
      <c r="EG10791"/>
      <c r="EH10791"/>
      <c r="EI10791"/>
      <c r="EJ10791"/>
      <c r="EK10791"/>
    </row>
    <row r="10792" spans="1:141" s="116" customFormat="1">
      <c r="A10792" s="136"/>
      <c r="CM10792" s="111"/>
      <c r="CQ10792" s="111"/>
      <c r="EF10792"/>
      <c r="EG10792"/>
      <c r="EH10792"/>
      <c r="EI10792"/>
      <c r="EJ10792"/>
      <c r="EK10792"/>
    </row>
    <row r="10793" spans="1:141" s="116" customFormat="1">
      <c r="A10793" s="136"/>
      <c r="CM10793" s="111"/>
      <c r="CQ10793" s="111"/>
      <c r="EF10793"/>
      <c r="EG10793"/>
      <c r="EH10793"/>
      <c r="EI10793"/>
      <c r="EJ10793"/>
      <c r="EK10793"/>
    </row>
    <row r="10794" spans="1:141" s="116" customFormat="1">
      <c r="A10794" s="136"/>
      <c r="CM10794" s="111"/>
      <c r="CQ10794" s="111"/>
      <c r="EF10794"/>
      <c r="EG10794"/>
      <c r="EH10794"/>
      <c r="EI10794"/>
      <c r="EJ10794"/>
      <c r="EK10794"/>
    </row>
    <row r="10795" spans="1:141" s="116" customFormat="1">
      <c r="A10795" s="136"/>
      <c r="CM10795" s="111"/>
      <c r="CQ10795" s="111"/>
      <c r="EF10795"/>
      <c r="EG10795"/>
      <c r="EH10795"/>
      <c r="EI10795"/>
      <c r="EJ10795"/>
      <c r="EK10795"/>
    </row>
    <row r="10796" spans="1:141" s="116" customFormat="1">
      <c r="A10796" s="136"/>
      <c r="CM10796" s="111"/>
      <c r="CQ10796" s="111"/>
      <c r="EF10796"/>
      <c r="EG10796"/>
      <c r="EH10796"/>
      <c r="EI10796"/>
      <c r="EJ10796"/>
      <c r="EK10796"/>
    </row>
    <row r="10797" spans="1:141" s="116" customFormat="1">
      <c r="A10797" s="136"/>
      <c r="CM10797" s="111"/>
      <c r="CQ10797" s="111"/>
      <c r="EF10797"/>
      <c r="EG10797"/>
      <c r="EH10797"/>
      <c r="EI10797"/>
      <c r="EJ10797"/>
      <c r="EK10797"/>
    </row>
    <row r="10798" spans="1:141" s="116" customFormat="1">
      <c r="A10798" s="136"/>
      <c r="CM10798" s="111"/>
      <c r="CQ10798" s="111"/>
      <c r="EF10798"/>
      <c r="EG10798"/>
      <c r="EH10798"/>
      <c r="EI10798"/>
      <c r="EJ10798"/>
      <c r="EK10798"/>
    </row>
    <row r="10799" spans="1:141" s="116" customFormat="1">
      <c r="A10799" s="136"/>
      <c r="CM10799" s="111"/>
      <c r="CQ10799" s="111"/>
      <c r="EF10799"/>
      <c r="EG10799"/>
      <c r="EH10799"/>
      <c r="EI10799"/>
      <c r="EJ10799"/>
      <c r="EK10799"/>
    </row>
    <row r="10800" spans="1:141" s="116" customFormat="1">
      <c r="A10800" s="136"/>
      <c r="CM10800" s="111"/>
      <c r="CQ10800" s="111"/>
      <c r="EF10800"/>
      <c r="EG10800"/>
      <c r="EH10800"/>
      <c r="EI10800"/>
      <c r="EJ10800"/>
      <c r="EK10800"/>
    </row>
    <row r="10801" spans="1:141" s="116" customFormat="1">
      <c r="A10801" s="136"/>
      <c r="CM10801" s="111"/>
      <c r="CQ10801" s="111"/>
      <c r="EF10801"/>
      <c r="EG10801"/>
      <c r="EH10801"/>
      <c r="EI10801"/>
      <c r="EJ10801"/>
      <c r="EK10801"/>
    </row>
    <row r="10802" spans="1:141" s="116" customFormat="1">
      <c r="A10802" s="136"/>
      <c r="CM10802" s="111"/>
      <c r="CQ10802" s="111"/>
      <c r="EF10802"/>
      <c r="EG10802"/>
      <c r="EH10802"/>
      <c r="EI10802"/>
      <c r="EJ10802"/>
      <c r="EK10802"/>
    </row>
    <row r="10803" spans="1:141" s="116" customFormat="1">
      <c r="A10803" s="136"/>
      <c r="CM10803" s="111"/>
      <c r="CQ10803" s="111"/>
      <c r="EF10803"/>
      <c r="EG10803"/>
      <c r="EH10803"/>
      <c r="EI10803"/>
      <c r="EJ10803"/>
      <c r="EK10803"/>
    </row>
    <row r="10804" spans="1:141" s="116" customFormat="1">
      <c r="A10804" s="136"/>
      <c r="CM10804" s="111"/>
      <c r="CQ10804" s="111"/>
      <c r="EF10804"/>
      <c r="EG10804"/>
      <c r="EH10804"/>
      <c r="EI10804"/>
      <c r="EJ10804"/>
      <c r="EK10804"/>
    </row>
    <row r="10805" spans="1:141" s="116" customFormat="1">
      <c r="A10805" s="136"/>
      <c r="CM10805" s="111"/>
      <c r="CQ10805" s="111"/>
      <c r="EF10805"/>
      <c r="EG10805"/>
      <c r="EH10805"/>
      <c r="EI10805"/>
      <c r="EJ10805"/>
      <c r="EK10805"/>
    </row>
    <row r="10806" spans="1:141" s="116" customFormat="1">
      <c r="A10806" s="136"/>
      <c r="CM10806" s="111"/>
      <c r="CQ10806" s="111"/>
      <c r="EF10806"/>
      <c r="EG10806"/>
      <c r="EH10806"/>
      <c r="EI10806"/>
      <c r="EJ10806"/>
      <c r="EK10806"/>
    </row>
    <row r="10807" spans="1:141" s="116" customFormat="1">
      <c r="A10807" s="136"/>
      <c r="CM10807" s="111"/>
      <c r="CQ10807" s="111"/>
      <c r="EF10807"/>
      <c r="EG10807"/>
      <c r="EH10807"/>
      <c r="EI10807"/>
      <c r="EJ10807"/>
      <c r="EK10807"/>
    </row>
    <row r="10808" spans="1:141" s="116" customFormat="1">
      <c r="A10808" s="136"/>
      <c r="CM10808" s="111"/>
      <c r="CQ10808" s="111"/>
      <c r="EF10808"/>
      <c r="EG10808"/>
      <c r="EH10808"/>
      <c r="EI10808"/>
      <c r="EJ10808"/>
      <c r="EK10808"/>
    </row>
    <row r="10809" spans="1:141" s="116" customFormat="1">
      <c r="A10809" s="136"/>
      <c r="CM10809" s="111"/>
      <c r="CQ10809" s="111"/>
      <c r="EF10809"/>
      <c r="EG10809"/>
      <c r="EH10809"/>
      <c r="EI10809"/>
      <c r="EJ10809"/>
      <c r="EK10809"/>
    </row>
    <row r="10810" spans="1:141" s="116" customFormat="1">
      <c r="A10810" s="136"/>
      <c r="CM10810" s="111"/>
      <c r="CQ10810" s="111"/>
      <c r="EF10810"/>
      <c r="EG10810"/>
      <c r="EH10810"/>
      <c r="EI10810"/>
      <c r="EJ10810"/>
      <c r="EK10810"/>
    </row>
    <row r="10811" spans="1:141" s="116" customFormat="1">
      <c r="A10811" s="136"/>
      <c r="CM10811" s="111"/>
      <c r="CQ10811" s="111"/>
      <c r="EF10811"/>
      <c r="EG10811"/>
      <c r="EH10811"/>
      <c r="EI10811"/>
      <c r="EJ10811"/>
      <c r="EK10811"/>
    </row>
    <row r="10812" spans="1:141" s="116" customFormat="1">
      <c r="A10812" s="136"/>
      <c r="CM10812" s="111"/>
      <c r="CQ10812" s="111"/>
      <c r="EF10812"/>
      <c r="EG10812"/>
      <c r="EH10812"/>
      <c r="EI10812"/>
      <c r="EJ10812"/>
      <c r="EK10812"/>
    </row>
    <row r="10813" spans="1:141" s="116" customFormat="1">
      <c r="A10813" s="136"/>
      <c r="CM10813" s="111"/>
      <c r="CQ10813" s="111"/>
      <c r="EF10813"/>
      <c r="EG10813"/>
      <c r="EH10813"/>
      <c r="EI10813"/>
      <c r="EJ10813"/>
      <c r="EK10813"/>
    </row>
    <row r="10814" spans="1:141" s="116" customFormat="1">
      <c r="A10814" s="136"/>
      <c r="CM10814" s="111"/>
      <c r="CQ10814" s="111"/>
      <c r="EF10814"/>
      <c r="EG10814"/>
      <c r="EH10814"/>
      <c r="EI10814"/>
      <c r="EJ10814"/>
      <c r="EK10814"/>
    </row>
    <row r="10815" spans="1:141" s="116" customFormat="1">
      <c r="A10815" s="136"/>
      <c r="CM10815" s="111"/>
      <c r="CQ10815" s="111"/>
      <c r="EF10815"/>
      <c r="EG10815"/>
      <c r="EH10815"/>
      <c r="EI10815"/>
      <c r="EJ10815"/>
      <c r="EK10815"/>
    </row>
    <row r="10816" spans="1:141" s="116" customFormat="1">
      <c r="A10816" s="136"/>
      <c r="CM10816" s="111"/>
      <c r="CQ10816" s="111"/>
      <c r="EF10816"/>
      <c r="EG10816"/>
      <c r="EH10816"/>
      <c r="EI10816"/>
      <c r="EJ10816"/>
      <c r="EK10816"/>
    </row>
    <row r="10817" spans="1:141" s="116" customFormat="1">
      <c r="A10817" s="136"/>
      <c r="CM10817" s="111"/>
      <c r="CQ10817" s="111"/>
      <c r="EF10817"/>
      <c r="EG10817"/>
      <c r="EH10817"/>
      <c r="EI10817"/>
      <c r="EJ10817"/>
      <c r="EK10817"/>
    </row>
    <row r="10818" spans="1:141" s="116" customFormat="1">
      <c r="A10818" s="136"/>
      <c r="CM10818" s="111"/>
      <c r="CQ10818" s="111"/>
      <c r="EF10818"/>
      <c r="EG10818"/>
      <c r="EH10818"/>
      <c r="EI10818"/>
      <c r="EJ10818"/>
      <c r="EK10818"/>
    </row>
    <row r="10819" spans="1:141" s="116" customFormat="1">
      <c r="A10819" s="136"/>
      <c r="CM10819" s="111"/>
      <c r="CQ10819" s="111"/>
      <c r="EF10819"/>
      <c r="EG10819"/>
      <c r="EH10819"/>
      <c r="EI10819"/>
      <c r="EJ10819"/>
      <c r="EK10819"/>
    </row>
    <row r="10820" spans="1:141" s="116" customFormat="1">
      <c r="A10820" s="136"/>
      <c r="CM10820" s="111"/>
      <c r="CQ10820" s="111"/>
      <c r="EF10820"/>
      <c r="EG10820"/>
      <c r="EH10820"/>
      <c r="EI10820"/>
      <c r="EJ10820"/>
      <c r="EK10820"/>
    </row>
    <row r="10821" spans="1:141" s="116" customFormat="1">
      <c r="A10821" s="136"/>
      <c r="CM10821" s="111"/>
      <c r="CQ10821" s="111"/>
      <c r="EF10821"/>
      <c r="EG10821"/>
      <c r="EH10821"/>
      <c r="EI10821"/>
      <c r="EJ10821"/>
      <c r="EK10821"/>
    </row>
    <row r="10822" spans="1:141" s="116" customFormat="1">
      <c r="A10822" s="136"/>
      <c r="CM10822" s="111"/>
      <c r="CQ10822" s="111"/>
      <c r="EF10822"/>
      <c r="EG10822"/>
      <c r="EH10822"/>
      <c r="EI10822"/>
      <c r="EJ10822"/>
      <c r="EK10822"/>
    </row>
    <row r="10823" spans="1:141" s="116" customFormat="1">
      <c r="A10823" s="136"/>
      <c r="CM10823" s="111"/>
      <c r="CQ10823" s="111"/>
      <c r="EF10823"/>
      <c r="EG10823"/>
      <c r="EH10823"/>
      <c r="EI10823"/>
      <c r="EJ10823"/>
      <c r="EK10823"/>
    </row>
    <row r="10824" spans="1:141" s="116" customFormat="1">
      <c r="A10824" s="136"/>
      <c r="CM10824" s="111"/>
      <c r="CQ10824" s="111"/>
      <c r="EF10824"/>
      <c r="EG10824"/>
      <c r="EH10824"/>
      <c r="EI10824"/>
      <c r="EJ10824"/>
      <c r="EK10824"/>
    </row>
    <row r="10825" spans="1:141" s="116" customFormat="1">
      <c r="A10825" s="136"/>
      <c r="CM10825" s="111"/>
      <c r="CQ10825" s="111"/>
      <c r="EF10825"/>
      <c r="EG10825"/>
      <c r="EH10825"/>
      <c r="EI10825"/>
      <c r="EJ10825"/>
      <c r="EK10825"/>
    </row>
    <row r="10826" spans="1:141" s="116" customFormat="1">
      <c r="A10826" s="136"/>
      <c r="CM10826" s="111"/>
      <c r="CQ10826" s="111"/>
      <c r="EF10826"/>
      <c r="EG10826"/>
      <c r="EH10826"/>
      <c r="EI10826"/>
      <c r="EJ10826"/>
      <c r="EK10826"/>
    </row>
    <row r="10827" spans="1:141" s="116" customFormat="1">
      <c r="A10827" s="136"/>
      <c r="CM10827" s="111"/>
      <c r="CQ10827" s="111"/>
      <c r="EF10827"/>
      <c r="EG10827"/>
      <c r="EH10827"/>
      <c r="EI10827"/>
      <c r="EJ10827"/>
      <c r="EK10827"/>
    </row>
    <row r="10828" spans="1:141" s="116" customFormat="1">
      <c r="A10828" s="136"/>
      <c r="CM10828" s="111"/>
      <c r="CQ10828" s="111"/>
      <c r="EF10828"/>
      <c r="EG10828"/>
      <c r="EH10828"/>
      <c r="EI10828"/>
      <c r="EJ10828"/>
      <c r="EK10828"/>
    </row>
    <row r="10829" spans="1:141" s="116" customFormat="1">
      <c r="A10829" s="136"/>
      <c r="CM10829" s="111"/>
      <c r="CQ10829" s="111"/>
      <c r="EF10829"/>
      <c r="EG10829"/>
      <c r="EH10829"/>
      <c r="EI10829"/>
      <c r="EJ10829"/>
      <c r="EK10829"/>
    </row>
    <row r="10830" spans="1:141" s="116" customFormat="1">
      <c r="A10830" s="136"/>
      <c r="CM10830" s="111"/>
      <c r="CQ10830" s="111"/>
      <c r="EF10830"/>
      <c r="EG10830"/>
      <c r="EH10830"/>
      <c r="EI10830"/>
      <c r="EJ10830"/>
      <c r="EK10830"/>
    </row>
    <row r="10831" spans="1:141" s="116" customFormat="1">
      <c r="A10831" s="136"/>
      <c r="CM10831" s="111"/>
      <c r="CQ10831" s="111"/>
      <c r="EF10831"/>
      <c r="EG10831"/>
      <c r="EH10831"/>
      <c r="EI10831"/>
      <c r="EJ10831"/>
      <c r="EK10831"/>
    </row>
    <row r="10832" spans="1:141" s="116" customFormat="1">
      <c r="A10832" s="136"/>
      <c r="CM10832" s="111"/>
      <c r="CQ10832" s="111"/>
      <c r="EF10832"/>
      <c r="EG10832"/>
      <c r="EH10832"/>
      <c r="EI10832"/>
      <c r="EJ10832"/>
      <c r="EK10832"/>
    </row>
    <row r="10833" spans="1:141" s="116" customFormat="1">
      <c r="A10833" s="136"/>
      <c r="CM10833" s="111"/>
      <c r="CQ10833" s="111"/>
      <c r="EF10833"/>
      <c r="EG10833"/>
      <c r="EH10833"/>
      <c r="EI10833"/>
      <c r="EJ10833"/>
      <c r="EK10833"/>
    </row>
    <row r="10834" spans="1:141" s="116" customFormat="1">
      <c r="A10834" s="136"/>
      <c r="CM10834" s="111"/>
      <c r="CQ10834" s="111"/>
      <c r="EF10834"/>
      <c r="EG10834"/>
      <c r="EH10834"/>
      <c r="EI10834"/>
      <c r="EJ10834"/>
      <c r="EK10834"/>
    </row>
    <row r="10835" spans="1:141" s="116" customFormat="1">
      <c r="A10835" s="136"/>
      <c r="CM10835" s="111"/>
      <c r="CQ10835" s="111"/>
      <c r="EF10835"/>
      <c r="EG10835"/>
      <c r="EH10835"/>
      <c r="EI10835"/>
      <c r="EJ10835"/>
      <c r="EK10835"/>
    </row>
    <row r="10836" spans="1:141" s="116" customFormat="1">
      <c r="A10836" s="136"/>
      <c r="CM10836" s="111"/>
      <c r="CQ10836" s="111"/>
      <c r="EF10836"/>
      <c r="EG10836"/>
      <c r="EH10836"/>
      <c r="EI10836"/>
      <c r="EJ10836"/>
      <c r="EK10836"/>
    </row>
    <row r="10837" spans="1:141" s="116" customFormat="1">
      <c r="A10837" s="136"/>
      <c r="CM10837" s="111"/>
      <c r="CQ10837" s="111"/>
      <c r="EF10837"/>
      <c r="EG10837"/>
      <c r="EH10837"/>
      <c r="EI10837"/>
      <c r="EJ10837"/>
      <c r="EK10837"/>
    </row>
    <row r="10838" spans="1:141" s="116" customFormat="1">
      <c r="A10838" s="136"/>
      <c r="CM10838" s="111"/>
      <c r="CQ10838" s="111"/>
      <c r="EF10838"/>
      <c r="EG10838"/>
      <c r="EH10838"/>
      <c r="EI10838"/>
      <c r="EJ10838"/>
      <c r="EK10838"/>
    </row>
    <row r="10839" spans="1:141" s="116" customFormat="1">
      <c r="A10839" s="136"/>
      <c r="CM10839" s="111"/>
      <c r="CQ10839" s="111"/>
      <c r="EF10839"/>
      <c r="EG10839"/>
      <c r="EH10839"/>
      <c r="EI10839"/>
      <c r="EJ10839"/>
      <c r="EK10839"/>
    </row>
    <row r="10840" spans="1:141" s="116" customFormat="1">
      <c r="A10840" s="136"/>
      <c r="CM10840" s="111"/>
      <c r="CQ10840" s="111"/>
      <c r="EF10840"/>
      <c r="EG10840"/>
      <c r="EH10840"/>
      <c r="EI10840"/>
      <c r="EJ10840"/>
      <c r="EK10840"/>
    </row>
    <row r="10841" spans="1:141" s="116" customFormat="1">
      <c r="A10841" s="136"/>
      <c r="CM10841" s="111"/>
      <c r="CQ10841" s="111"/>
      <c r="EF10841"/>
      <c r="EG10841"/>
      <c r="EH10841"/>
      <c r="EI10841"/>
      <c r="EJ10841"/>
      <c r="EK10841"/>
    </row>
    <row r="10842" spans="1:141" s="116" customFormat="1">
      <c r="A10842" s="136"/>
      <c r="CM10842" s="111"/>
      <c r="CQ10842" s="111"/>
      <c r="EF10842"/>
      <c r="EG10842"/>
      <c r="EH10842"/>
      <c r="EI10842"/>
      <c r="EJ10842"/>
      <c r="EK10842"/>
    </row>
    <row r="10843" spans="1:141" s="116" customFormat="1">
      <c r="A10843" s="136"/>
      <c r="CM10843" s="111"/>
      <c r="CQ10843" s="111"/>
      <c r="EF10843"/>
      <c r="EG10843"/>
      <c r="EH10843"/>
      <c r="EI10843"/>
      <c r="EJ10843"/>
      <c r="EK10843"/>
    </row>
    <row r="10844" spans="1:141" s="116" customFormat="1">
      <c r="A10844" s="136"/>
      <c r="CM10844" s="111"/>
      <c r="CQ10844" s="111"/>
      <c r="EF10844"/>
      <c r="EG10844"/>
      <c r="EH10844"/>
      <c r="EI10844"/>
      <c r="EJ10844"/>
      <c r="EK10844"/>
    </row>
    <row r="10845" spans="1:141" s="116" customFormat="1">
      <c r="A10845" s="136"/>
      <c r="CM10845" s="111"/>
      <c r="CQ10845" s="111"/>
      <c r="EF10845"/>
      <c r="EG10845"/>
      <c r="EH10845"/>
      <c r="EI10845"/>
      <c r="EJ10845"/>
      <c r="EK10845"/>
    </row>
    <row r="10846" spans="1:141" s="116" customFormat="1">
      <c r="A10846" s="136"/>
      <c r="CM10846" s="111"/>
      <c r="CQ10846" s="111"/>
      <c r="EF10846"/>
      <c r="EG10846"/>
      <c r="EH10846"/>
      <c r="EI10846"/>
      <c r="EJ10846"/>
      <c r="EK10846"/>
    </row>
    <row r="10847" spans="1:141" s="116" customFormat="1">
      <c r="A10847" s="136"/>
      <c r="CM10847" s="111"/>
      <c r="CQ10847" s="111"/>
      <c r="EF10847"/>
      <c r="EG10847"/>
      <c r="EH10847"/>
      <c r="EI10847"/>
      <c r="EJ10847"/>
      <c r="EK10847"/>
    </row>
    <row r="10848" spans="1:141" s="116" customFormat="1">
      <c r="A10848" s="136"/>
      <c r="CM10848" s="111"/>
      <c r="CQ10848" s="111"/>
      <c r="EF10848"/>
      <c r="EG10848"/>
      <c r="EH10848"/>
      <c r="EI10848"/>
      <c r="EJ10848"/>
      <c r="EK10848"/>
    </row>
    <row r="10849" spans="1:141" s="116" customFormat="1">
      <c r="A10849" s="136"/>
      <c r="CM10849" s="111"/>
      <c r="CQ10849" s="111"/>
      <c r="EF10849"/>
      <c r="EG10849"/>
      <c r="EH10849"/>
      <c r="EI10849"/>
      <c r="EJ10849"/>
      <c r="EK10849"/>
    </row>
    <row r="10850" spans="1:141" s="116" customFormat="1">
      <c r="A10850" s="136"/>
      <c r="CM10850" s="111"/>
      <c r="CQ10850" s="111"/>
      <c r="EF10850"/>
      <c r="EG10850"/>
      <c r="EH10850"/>
      <c r="EI10850"/>
      <c r="EJ10850"/>
      <c r="EK10850"/>
    </row>
    <row r="10851" spans="1:141" s="116" customFormat="1">
      <c r="A10851" s="136"/>
      <c r="CM10851" s="111"/>
      <c r="CQ10851" s="111"/>
      <c r="EF10851"/>
      <c r="EG10851"/>
      <c r="EH10851"/>
      <c r="EI10851"/>
      <c r="EJ10851"/>
      <c r="EK10851"/>
    </row>
    <row r="10852" spans="1:141" s="116" customFormat="1">
      <c r="A10852" s="136"/>
      <c r="CM10852" s="111"/>
      <c r="CQ10852" s="111"/>
      <c r="EF10852"/>
      <c r="EG10852"/>
      <c r="EH10852"/>
      <c r="EI10852"/>
      <c r="EJ10852"/>
      <c r="EK10852"/>
    </row>
    <row r="10853" spans="1:141" s="116" customFormat="1">
      <c r="A10853" s="136"/>
      <c r="CM10853" s="111"/>
      <c r="CQ10853" s="111"/>
      <c r="EF10853"/>
      <c r="EG10853"/>
      <c r="EH10853"/>
      <c r="EI10853"/>
      <c r="EJ10853"/>
      <c r="EK10853"/>
    </row>
    <row r="10854" spans="1:141" s="116" customFormat="1">
      <c r="A10854" s="136"/>
      <c r="CM10854" s="111"/>
      <c r="CQ10854" s="111"/>
      <c r="EF10854"/>
      <c r="EG10854"/>
      <c r="EH10854"/>
      <c r="EI10854"/>
      <c r="EJ10854"/>
      <c r="EK10854"/>
    </row>
    <row r="10855" spans="1:141" s="116" customFormat="1">
      <c r="A10855" s="136"/>
      <c r="CM10855" s="111"/>
      <c r="CQ10855" s="111"/>
      <c r="EF10855"/>
      <c r="EG10855"/>
      <c r="EH10855"/>
      <c r="EI10855"/>
      <c r="EJ10855"/>
      <c r="EK10855"/>
    </row>
    <row r="10856" spans="1:141" s="116" customFormat="1">
      <c r="A10856" s="136"/>
      <c r="CM10856" s="111"/>
      <c r="CQ10856" s="111"/>
      <c r="EF10856"/>
      <c r="EG10856"/>
      <c r="EH10856"/>
      <c r="EI10856"/>
      <c r="EJ10856"/>
      <c r="EK10856"/>
    </row>
    <row r="10857" spans="1:141" s="116" customFormat="1">
      <c r="A10857" s="136"/>
      <c r="CM10857" s="111"/>
      <c r="CQ10857" s="111"/>
      <c r="EF10857"/>
      <c r="EG10857"/>
      <c r="EH10857"/>
      <c r="EI10857"/>
      <c r="EJ10857"/>
      <c r="EK10857"/>
    </row>
    <row r="10858" spans="1:141" s="116" customFormat="1">
      <c r="A10858" s="136"/>
      <c r="CM10858" s="111"/>
      <c r="CQ10858" s="111"/>
      <c r="EF10858"/>
      <c r="EG10858"/>
      <c r="EH10858"/>
      <c r="EI10858"/>
      <c r="EJ10858"/>
      <c r="EK10858"/>
    </row>
    <row r="10859" spans="1:141" s="116" customFormat="1">
      <c r="A10859" s="136"/>
      <c r="CM10859" s="111"/>
      <c r="CQ10859" s="111"/>
      <c r="EF10859"/>
      <c r="EG10859"/>
      <c r="EH10859"/>
      <c r="EI10859"/>
      <c r="EJ10859"/>
      <c r="EK10859"/>
    </row>
    <row r="10860" spans="1:141" s="116" customFormat="1">
      <c r="A10860" s="136"/>
      <c r="CM10860" s="111"/>
      <c r="CQ10860" s="111"/>
      <c r="EF10860"/>
      <c r="EG10860"/>
      <c r="EH10860"/>
      <c r="EI10860"/>
      <c r="EJ10860"/>
      <c r="EK10860"/>
    </row>
    <row r="10861" spans="1:141" s="116" customFormat="1">
      <c r="A10861" s="136"/>
      <c r="CM10861" s="111"/>
      <c r="CQ10861" s="111"/>
      <c r="EF10861"/>
      <c r="EG10861"/>
      <c r="EH10861"/>
      <c r="EI10861"/>
      <c r="EJ10861"/>
      <c r="EK10861"/>
    </row>
    <row r="10862" spans="1:141" s="116" customFormat="1">
      <c r="A10862" s="136"/>
      <c r="CM10862" s="111"/>
      <c r="CQ10862" s="111"/>
      <c r="EF10862"/>
      <c r="EG10862"/>
      <c r="EH10862"/>
      <c r="EI10862"/>
      <c r="EJ10862"/>
      <c r="EK10862"/>
    </row>
    <row r="10863" spans="1:141" s="116" customFormat="1">
      <c r="A10863" s="136"/>
      <c r="CM10863" s="111"/>
      <c r="CQ10863" s="111"/>
      <c r="EF10863"/>
      <c r="EG10863"/>
      <c r="EH10863"/>
      <c r="EI10863"/>
      <c r="EJ10863"/>
      <c r="EK10863"/>
    </row>
    <row r="10864" spans="1:141" s="116" customFormat="1">
      <c r="A10864" s="136"/>
      <c r="CM10864" s="111"/>
      <c r="CQ10864" s="111"/>
      <c r="EF10864"/>
      <c r="EG10864"/>
      <c r="EH10864"/>
      <c r="EI10864"/>
      <c r="EJ10864"/>
      <c r="EK10864"/>
    </row>
    <row r="10865" spans="1:141" s="116" customFormat="1">
      <c r="A10865" s="136"/>
      <c r="CM10865" s="111"/>
      <c r="CQ10865" s="111"/>
      <c r="EF10865"/>
      <c r="EG10865"/>
      <c r="EH10865"/>
      <c r="EI10865"/>
      <c r="EJ10865"/>
      <c r="EK10865"/>
    </row>
    <row r="10866" spans="1:141" s="116" customFormat="1">
      <c r="A10866" s="136"/>
      <c r="CM10866" s="111"/>
      <c r="CQ10866" s="111"/>
      <c r="EF10866"/>
      <c r="EG10866"/>
      <c r="EH10866"/>
      <c r="EI10866"/>
      <c r="EJ10866"/>
      <c r="EK10866"/>
    </row>
    <row r="10867" spans="1:141" s="116" customFormat="1">
      <c r="A10867" s="136"/>
      <c r="CM10867" s="111"/>
      <c r="CQ10867" s="111"/>
      <c r="EF10867"/>
      <c r="EG10867"/>
      <c r="EH10867"/>
      <c r="EI10867"/>
      <c r="EJ10867"/>
      <c r="EK10867"/>
    </row>
    <row r="10868" spans="1:141" s="116" customFormat="1">
      <c r="A10868" s="136"/>
      <c r="CM10868" s="111"/>
      <c r="CQ10868" s="111"/>
      <c r="EF10868"/>
      <c r="EG10868"/>
      <c r="EH10868"/>
      <c r="EI10868"/>
      <c r="EJ10868"/>
      <c r="EK10868"/>
    </row>
    <row r="10869" spans="1:141" s="116" customFormat="1">
      <c r="A10869" s="136"/>
      <c r="CM10869" s="111"/>
      <c r="CQ10869" s="111"/>
      <c r="EF10869"/>
      <c r="EG10869"/>
      <c r="EH10869"/>
      <c r="EI10869"/>
      <c r="EJ10869"/>
      <c r="EK10869"/>
    </row>
    <row r="10870" spans="1:141" s="116" customFormat="1">
      <c r="A10870" s="136"/>
      <c r="CM10870" s="111"/>
      <c r="CQ10870" s="111"/>
      <c r="EF10870"/>
      <c r="EG10870"/>
      <c r="EH10870"/>
      <c r="EI10870"/>
      <c r="EJ10870"/>
      <c r="EK10870"/>
    </row>
    <row r="10871" spans="1:141" s="116" customFormat="1">
      <c r="A10871" s="136"/>
      <c r="CM10871" s="111"/>
      <c r="CQ10871" s="111"/>
      <c r="EF10871"/>
      <c r="EG10871"/>
      <c r="EH10871"/>
      <c r="EI10871"/>
      <c r="EJ10871"/>
      <c r="EK10871"/>
    </row>
    <row r="10872" spans="1:141" s="116" customFormat="1">
      <c r="A10872" s="136"/>
      <c r="CM10872" s="111"/>
      <c r="CQ10872" s="111"/>
      <c r="EF10872"/>
      <c r="EG10872"/>
      <c r="EH10872"/>
      <c r="EI10872"/>
      <c r="EJ10872"/>
      <c r="EK10872"/>
    </row>
    <row r="10873" spans="1:141" s="116" customFormat="1">
      <c r="A10873" s="136"/>
      <c r="CM10873" s="111"/>
      <c r="CQ10873" s="111"/>
      <c r="EF10873"/>
      <c r="EG10873"/>
      <c r="EH10873"/>
      <c r="EI10873"/>
      <c r="EJ10873"/>
      <c r="EK10873"/>
    </row>
    <row r="10874" spans="1:141" s="116" customFormat="1">
      <c r="A10874" s="136"/>
      <c r="CM10874" s="111"/>
      <c r="CQ10874" s="111"/>
      <c r="EF10874"/>
      <c r="EG10874"/>
      <c r="EH10874"/>
      <c r="EI10874"/>
      <c r="EJ10874"/>
      <c r="EK10874"/>
    </row>
    <row r="10875" spans="1:141" s="116" customFormat="1">
      <c r="A10875" s="136"/>
      <c r="CM10875" s="111"/>
      <c r="CQ10875" s="111"/>
      <c r="EF10875"/>
      <c r="EG10875"/>
      <c r="EH10875"/>
      <c r="EI10875"/>
      <c r="EJ10875"/>
      <c r="EK10875"/>
    </row>
    <row r="10876" spans="1:141" s="116" customFormat="1">
      <c r="A10876" s="136"/>
      <c r="CM10876" s="111"/>
      <c r="CQ10876" s="111"/>
      <c r="EF10876"/>
      <c r="EG10876"/>
      <c r="EH10876"/>
      <c r="EI10876"/>
      <c r="EJ10876"/>
      <c r="EK10876"/>
    </row>
    <row r="10877" spans="1:141" s="116" customFormat="1">
      <c r="A10877" s="136"/>
      <c r="CM10877" s="111"/>
      <c r="CQ10877" s="111"/>
      <c r="EF10877"/>
      <c r="EG10877"/>
      <c r="EH10877"/>
      <c r="EI10877"/>
      <c r="EJ10877"/>
      <c r="EK10877"/>
    </row>
    <row r="10878" spans="1:141" s="116" customFormat="1">
      <c r="A10878" s="136"/>
      <c r="CM10878" s="111"/>
      <c r="CQ10878" s="111"/>
      <c r="EF10878"/>
      <c r="EG10878"/>
      <c r="EH10878"/>
      <c r="EI10878"/>
      <c r="EJ10878"/>
      <c r="EK10878"/>
    </row>
    <row r="10879" spans="1:141" s="116" customFormat="1">
      <c r="A10879" s="136"/>
      <c r="CM10879" s="111"/>
      <c r="CQ10879" s="111"/>
      <c r="EF10879"/>
      <c r="EG10879"/>
      <c r="EH10879"/>
      <c r="EI10879"/>
      <c r="EJ10879"/>
      <c r="EK10879"/>
    </row>
    <row r="10880" spans="1:141" s="116" customFormat="1">
      <c r="A10880" s="136"/>
      <c r="CM10880" s="111"/>
      <c r="CQ10880" s="111"/>
      <c r="EF10880"/>
      <c r="EG10880"/>
      <c r="EH10880"/>
      <c r="EI10880"/>
      <c r="EJ10880"/>
      <c r="EK10880"/>
    </row>
    <row r="10881" spans="1:141" s="116" customFormat="1">
      <c r="A10881" s="136"/>
      <c r="CM10881" s="111"/>
      <c r="CQ10881" s="111"/>
      <c r="EF10881"/>
      <c r="EG10881"/>
      <c r="EH10881"/>
      <c r="EI10881"/>
      <c r="EJ10881"/>
      <c r="EK10881"/>
    </row>
    <row r="10882" spans="1:141" s="116" customFormat="1">
      <c r="A10882" s="136"/>
      <c r="CM10882" s="111"/>
      <c r="CQ10882" s="111"/>
      <c r="EF10882"/>
      <c r="EG10882"/>
      <c r="EH10882"/>
      <c r="EI10882"/>
      <c r="EJ10882"/>
      <c r="EK10882"/>
    </row>
    <row r="10883" spans="1:141" s="116" customFormat="1">
      <c r="A10883" s="136"/>
      <c r="CM10883" s="111"/>
      <c r="CQ10883" s="111"/>
      <c r="EF10883"/>
      <c r="EG10883"/>
      <c r="EH10883"/>
      <c r="EI10883"/>
      <c r="EJ10883"/>
      <c r="EK10883"/>
    </row>
    <row r="10884" spans="1:141" s="116" customFormat="1">
      <c r="A10884" s="136"/>
      <c r="CM10884" s="111"/>
      <c r="CQ10884" s="111"/>
      <c r="EF10884"/>
      <c r="EG10884"/>
      <c r="EH10884"/>
      <c r="EI10884"/>
      <c r="EJ10884"/>
      <c r="EK10884"/>
    </row>
    <row r="10885" spans="1:141" s="116" customFormat="1">
      <c r="A10885" s="136"/>
      <c r="CM10885" s="111"/>
      <c r="CQ10885" s="111"/>
      <c r="EF10885"/>
      <c r="EG10885"/>
      <c r="EH10885"/>
      <c r="EI10885"/>
      <c r="EJ10885"/>
      <c r="EK10885"/>
    </row>
    <row r="10886" spans="1:141" s="116" customFormat="1">
      <c r="A10886" s="136"/>
      <c r="CM10886" s="111"/>
      <c r="CQ10886" s="111"/>
      <c r="EF10886"/>
      <c r="EG10886"/>
      <c r="EH10886"/>
      <c r="EI10886"/>
      <c r="EJ10886"/>
      <c r="EK10886"/>
    </row>
    <row r="10887" spans="1:141" s="116" customFormat="1">
      <c r="A10887" s="136"/>
      <c r="CM10887" s="111"/>
      <c r="CQ10887" s="111"/>
      <c r="EF10887"/>
      <c r="EG10887"/>
      <c r="EH10887"/>
      <c r="EI10887"/>
      <c r="EJ10887"/>
      <c r="EK10887"/>
    </row>
    <row r="10888" spans="1:141" s="116" customFormat="1">
      <c r="A10888" s="136"/>
      <c r="CM10888" s="111"/>
      <c r="CQ10888" s="111"/>
      <c r="EF10888"/>
      <c r="EG10888"/>
      <c r="EH10888"/>
      <c r="EI10888"/>
      <c r="EJ10888"/>
      <c r="EK10888"/>
    </row>
    <row r="10889" spans="1:141" s="116" customFormat="1">
      <c r="A10889" s="136"/>
      <c r="CM10889" s="111"/>
      <c r="CQ10889" s="111"/>
      <c r="EF10889"/>
      <c r="EG10889"/>
      <c r="EH10889"/>
      <c r="EI10889"/>
      <c r="EJ10889"/>
      <c r="EK10889"/>
    </row>
    <row r="10890" spans="1:141" s="116" customFormat="1">
      <c r="A10890" s="136"/>
      <c r="CM10890" s="111"/>
      <c r="CQ10890" s="111"/>
      <c r="EF10890"/>
      <c r="EG10890"/>
      <c r="EH10890"/>
      <c r="EI10890"/>
      <c r="EJ10890"/>
      <c r="EK10890"/>
    </row>
    <row r="10891" spans="1:141" s="116" customFormat="1">
      <c r="A10891" s="136"/>
      <c r="CM10891" s="111"/>
      <c r="CQ10891" s="111"/>
      <c r="EF10891"/>
      <c r="EG10891"/>
      <c r="EH10891"/>
      <c r="EI10891"/>
      <c r="EJ10891"/>
      <c r="EK10891"/>
    </row>
    <row r="10892" spans="1:141" s="116" customFormat="1">
      <c r="A10892" s="136"/>
      <c r="CM10892" s="111"/>
      <c r="CQ10892" s="111"/>
      <c r="EF10892"/>
      <c r="EG10892"/>
      <c r="EH10892"/>
      <c r="EI10892"/>
      <c r="EJ10892"/>
      <c r="EK10892"/>
    </row>
    <row r="10893" spans="1:141" s="116" customFormat="1">
      <c r="A10893" s="136"/>
      <c r="CM10893" s="111"/>
      <c r="CQ10893" s="111"/>
      <c r="EF10893"/>
      <c r="EG10893"/>
      <c r="EH10893"/>
      <c r="EI10893"/>
      <c r="EJ10893"/>
      <c r="EK10893"/>
    </row>
    <row r="10894" spans="1:141" s="116" customFormat="1">
      <c r="A10894" s="136"/>
      <c r="CM10894" s="111"/>
      <c r="CQ10894" s="111"/>
      <c r="EF10894"/>
      <c r="EG10894"/>
      <c r="EH10894"/>
      <c r="EI10894"/>
      <c r="EJ10894"/>
      <c r="EK10894"/>
    </row>
    <row r="10895" spans="1:141" s="116" customFormat="1">
      <c r="A10895" s="136"/>
      <c r="CM10895" s="111"/>
      <c r="CQ10895" s="111"/>
      <c r="EF10895"/>
      <c r="EG10895"/>
      <c r="EH10895"/>
      <c r="EI10895"/>
      <c r="EJ10895"/>
      <c r="EK10895"/>
    </row>
    <row r="10896" spans="1:141" s="116" customFormat="1">
      <c r="A10896" s="136"/>
      <c r="CM10896" s="111"/>
      <c r="CQ10896" s="111"/>
      <c r="EF10896"/>
      <c r="EG10896"/>
      <c r="EH10896"/>
      <c r="EI10896"/>
      <c r="EJ10896"/>
      <c r="EK10896"/>
    </row>
    <row r="10897" spans="1:141" s="116" customFormat="1">
      <c r="A10897" s="136"/>
      <c r="CM10897" s="111"/>
      <c r="CQ10897" s="111"/>
      <c r="EF10897"/>
      <c r="EG10897"/>
      <c r="EH10897"/>
      <c r="EI10897"/>
      <c r="EJ10897"/>
      <c r="EK10897"/>
    </row>
    <row r="10898" spans="1:141" s="116" customFormat="1">
      <c r="A10898" s="136"/>
      <c r="CM10898" s="111"/>
      <c r="CQ10898" s="111"/>
      <c r="EF10898"/>
      <c r="EG10898"/>
      <c r="EH10898"/>
      <c r="EI10898"/>
      <c r="EJ10898"/>
      <c r="EK10898"/>
    </row>
    <row r="10899" spans="1:141" s="116" customFormat="1">
      <c r="A10899" s="136"/>
      <c r="CM10899" s="111"/>
      <c r="CQ10899" s="111"/>
      <c r="EF10899"/>
      <c r="EG10899"/>
      <c r="EH10899"/>
      <c r="EI10899"/>
      <c r="EJ10899"/>
      <c r="EK10899"/>
    </row>
    <row r="10900" spans="1:141" s="116" customFormat="1">
      <c r="A10900" s="136"/>
      <c r="CM10900" s="111"/>
      <c r="CQ10900" s="111"/>
      <c r="EF10900"/>
      <c r="EG10900"/>
      <c r="EH10900"/>
      <c r="EI10900"/>
      <c r="EJ10900"/>
      <c r="EK10900"/>
    </row>
    <row r="10901" spans="1:141" s="116" customFormat="1">
      <c r="A10901" s="136"/>
      <c r="CM10901" s="111"/>
      <c r="CQ10901" s="111"/>
      <c r="EF10901"/>
      <c r="EG10901"/>
      <c r="EH10901"/>
      <c r="EI10901"/>
      <c r="EJ10901"/>
      <c r="EK10901"/>
    </row>
    <row r="10902" spans="1:141" s="116" customFormat="1">
      <c r="A10902" s="136"/>
      <c r="CM10902" s="111"/>
      <c r="CQ10902" s="111"/>
      <c r="EF10902"/>
      <c r="EG10902"/>
      <c r="EH10902"/>
      <c r="EI10902"/>
      <c r="EJ10902"/>
      <c r="EK10902"/>
    </row>
    <row r="10903" spans="1:141" s="116" customFormat="1">
      <c r="A10903" s="136"/>
      <c r="CM10903" s="111"/>
      <c r="CQ10903" s="111"/>
      <c r="EF10903"/>
      <c r="EG10903"/>
      <c r="EH10903"/>
      <c r="EI10903"/>
      <c r="EJ10903"/>
      <c r="EK10903"/>
    </row>
    <row r="10904" spans="1:141" s="116" customFormat="1">
      <c r="A10904" s="136"/>
      <c r="CM10904" s="111"/>
      <c r="CQ10904" s="111"/>
      <c r="EF10904"/>
      <c r="EG10904"/>
      <c r="EH10904"/>
      <c r="EI10904"/>
      <c r="EJ10904"/>
      <c r="EK10904"/>
    </row>
    <row r="10905" spans="1:141" s="116" customFormat="1">
      <c r="A10905" s="136"/>
      <c r="CM10905" s="111"/>
      <c r="CQ10905" s="111"/>
      <c r="EF10905"/>
      <c r="EG10905"/>
      <c r="EH10905"/>
      <c r="EI10905"/>
      <c r="EJ10905"/>
      <c r="EK10905"/>
    </row>
    <row r="10906" spans="1:141" s="116" customFormat="1">
      <c r="A10906" s="136"/>
      <c r="CM10906" s="111"/>
      <c r="CQ10906" s="111"/>
      <c r="EF10906"/>
      <c r="EG10906"/>
      <c r="EH10906"/>
      <c r="EI10906"/>
      <c r="EJ10906"/>
      <c r="EK10906"/>
    </row>
    <row r="10907" spans="1:141" s="116" customFormat="1">
      <c r="A10907" s="136"/>
      <c r="CM10907" s="111"/>
      <c r="CQ10907" s="111"/>
      <c r="EF10907"/>
      <c r="EG10907"/>
      <c r="EH10907"/>
      <c r="EI10907"/>
      <c r="EJ10907"/>
      <c r="EK10907"/>
    </row>
    <row r="10908" spans="1:141" s="116" customFormat="1">
      <c r="A10908" s="136"/>
      <c r="CM10908" s="111"/>
      <c r="CQ10908" s="111"/>
      <c r="EF10908"/>
      <c r="EG10908"/>
      <c r="EH10908"/>
      <c r="EI10908"/>
      <c r="EJ10908"/>
      <c r="EK10908"/>
    </row>
    <row r="10909" spans="1:141" s="116" customFormat="1">
      <c r="A10909" s="136"/>
      <c r="CM10909" s="111"/>
      <c r="CQ10909" s="111"/>
      <c r="EF10909"/>
      <c r="EG10909"/>
      <c r="EH10909"/>
      <c r="EI10909"/>
      <c r="EJ10909"/>
      <c r="EK10909"/>
    </row>
    <row r="10910" spans="1:141" s="116" customFormat="1">
      <c r="A10910" s="136"/>
      <c r="CM10910" s="111"/>
      <c r="CQ10910" s="111"/>
      <c r="EF10910"/>
      <c r="EG10910"/>
      <c r="EH10910"/>
      <c r="EI10910"/>
      <c r="EJ10910"/>
      <c r="EK10910"/>
    </row>
    <row r="10911" spans="1:141" s="116" customFormat="1">
      <c r="A10911" s="136"/>
      <c r="CM10911" s="111"/>
      <c r="CQ10911" s="111"/>
      <c r="EF10911"/>
      <c r="EG10911"/>
      <c r="EH10911"/>
      <c r="EI10911"/>
      <c r="EJ10911"/>
      <c r="EK10911"/>
    </row>
    <row r="10912" spans="1:141" s="116" customFormat="1">
      <c r="A10912" s="136"/>
      <c r="CM10912" s="111"/>
      <c r="CQ10912" s="111"/>
      <c r="EF10912"/>
      <c r="EG10912"/>
      <c r="EH10912"/>
      <c r="EI10912"/>
      <c r="EJ10912"/>
      <c r="EK10912"/>
    </row>
    <row r="10913" spans="1:141" s="116" customFormat="1">
      <c r="A10913" s="136"/>
      <c r="CM10913" s="111"/>
      <c r="CQ10913" s="111"/>
      <c r="EF10913"/>
      <c r="EG10913"/>
      <c r="EH10913"/>
      <c r="EI10913"/>
      <c r="EJ10913"/>
      <c r="EK10913"/>
    </row>
    <row r="10914" spans="1:141" s="116" customFormat="1">
      <c r="A10914" s="136"/>
      <c r="CM10914" s="111"/>
      <c r="CQ10914" s="111"/>
      <c r="EF10914"/>
      <c r="EG10914"/>
      <c r="EH10914"/>
      <c r="EI10914"/>
      <c r="EJ10914"/>
      <c r="EK10914"/>
    </row>
    <row r="10915" spans="1:141" s="116" customFormat="1">
      <c r="A10915" s="136"/>
      <c r="CM10915" s="111"/>
      <c r="CQ10915" s="111"/>
      <c r="EF10915"/>
      <c r="EG10915"/>
      <c r="EH10915"/>
      <c r="EI10915"/>
      <c r="EJ10915"/>
      <c r="EK10915"/>
    </row>
    <row r="10916" spans="1:141" s="116" customFormat="1">
      <c r="A10916" s="136"/>
      <c r="CM10916" s="111"/>
      <c r="CQ10916" s="111"/>
      <c r="EF10916"/>
      <c r="EG10916"/>
      <c r="EH10916"/>
      <c r="EI10916"/>
      <c r="EJ10916"/>
      <c r="EK10916"/>
    </row>
    <row r="10917" spans="1:141" s="116" customFormat="1">
      <c r="A10917" s="136"/>
      <c r="CM10917" s="111"/>
      <c r="CQ10917" s="111"/>
      <c r="EF10917"/>
      <c r="EG10917"/>
      <c r="EH10917"/>
      <c r="EI10917"/>
      <c r="EJ10917"/>
      <c r="EK10917"/>
    </row>
    <row r="10918" spans="1:141" s="116" customFormat="1">
      <c r="A10918" s="136"/>
      <c r="CM10918" s="111"/>
      <c r="CQ10918" s="111"/>
      <c r="EF10918"/>
      <c r="EG10918"/>
      <c r="EH10918"/>
      <c r="EI10918"/>
      <c r="EJ10918"/>
      <c r="EK10918"/>
    </row>
    <row r="10919" spans="1:141" s="116" customFormat="1">
      <c r="A10919" s="136"/>
      <c r="CM10919" s="111"/>
      <c r="CQ10919" s="111"/>
      <c r="EF10919"/>
      <c r="EG10919"/>
      <c r="EH10919"/>
      <c r="EI10919"/>
      <c r="EJ10919"/>
      <c r="EK10919"/>
    </row>
    <row r="10920" spans="1:141" s="116" customFormat="1">
      <c r="A10920" s="136"/>
      <c r="CM10920" s="111"/>
      <c r="CQ10920" s="111"/>
      <c r="EF10920"/>
      <c r="EG10920"/>
      <c r="EH10920"/>
      <c r="EI10920"/>
      <c r="EJ10920"/>
      <c r="EK10920"/>
    </row>
    <row r="10921" spans="1:141" s="116" customFormat="1">
      <c r="A10921" s="136"/>
      <c r="CM10921" s="111"/>
      <c r="CQ10921" s="111"/>
      <c r="EF10921"/>
      <c r="EG10921"/>
      <c r="EH10921"/>
      <c r="EI10921"/>
      <c r="EJ10921"/>
      <c r="EK10921"/>
    </row>
    <row r="10922" spans="1:141" s="116" customFormat="1">
      <c r="A10922" s="136"/>
      <c r="CM10922" s="111"/>
      <c r="CQ10922" s="111"/>
      <c r="EF10922"/>
      <c r="EG10922"/>
      <c r="EH10922"/>
      <c r="EI10922"/>
      <c r="EJ10922"/>
      <c r="EK10922"/>
    </row>
    <row r="10923" spans="1:141" s="116" customFormat="1">
      <c r="A10923" s="136"/>
      <c r="CM10923" s="111"/>
      <c r="CQ10923" s="111"/>
      <c r="EF10923"/>
      <c r="EG10923"/>
      <c r="EH10923"/>
      <c r="EI10923"/>
      <c r="EJ10923"/>
      <c r="EK10923"/>
    </row>
    <row r="10924" spans="1:141" s="116" customFormat="1">
      <c r="A10924" s="136"/>
      <c r="CM10924" s="111"/>
      <c r="CQ10924" s="111"/>
      <c r="EF10924"/>
      <c r="EG10924"/>
      <c r="EH10924"/>
      <c r="EI10924"/>
      <c r="EJ10924"/>
      <c r="EK10924"/>
    </row>
    <row r="10925" spans="1:141" s="116" customFormat="1">
      <c r="A10925" s="136"/>
      <c r="CM10925" s="111"/>
      <c r="CQ10925" s="111"/>
      <c r="EF10925"/>
      <c r="EG10925"/>
      <c r="EH10925"/>
      <c r="EI10925"/>
      <c r="EJ10925"/>
      <c r="EK10925"/>
    </row>
    <row r="10926" spans="1:141" s="116" customFormat="1">
      <c r="A10926" s="136"/>
      <c r="CM10926" s="111"/>
      <c r="CQ10926" s="111"/>
      <c r="EF10926"/>
      <c r="EG10926"/>
      <c r="EH10926"/>
      <c r="EI10926"/>
      <c r="EJ10926"/>
      <c r="EK10926"/>
    </row>
    <row r="10927" spans="1:141" s="116" customFormat="1">
      <c r="A10927" s="136"/>
      <c r="CM10927" s="111"/>
      <c r="CQ10927" s="111"/>
      <c r="EF10927"/>
      <c r="EG10927"/>
      <c r="EH10927"/>
      <c r="EI10927"/>
      <c r="EJ10927"/>
      <c r="EK10927"/>
    </row>
    <row r="10928" spans="1:141" s="116" customFormat="1">
      <c r="A10928" s="136"/>
      <c r="CM10928" s="111"/>
      <c r="CQ10928" s="111"/>
      <c r="EF10928"/>
      <c r="EG10928"/>
      <c r="EH10928"/>
      <c r="EI10928"/>
      <c r="EJ10928"/>
      <c r="EK10928"/>
    </row>
    <row r="10929" spans="1:141" s="116" customFormat="1">
      <c r="A10929" s="136"/>
      <c r="CM10929" s="111"/>
      <c r="CQ10929" s="111"/>
      <c r="EF10929"/>
      <c r="EG10929"/>
      <c r="EH10929"/>
      <c r="EI10929"/>
      <c r="EJ10929"/>
      <c r="EK10929"/>
    </row>
    <row r="10930" spans="1:141" s="116" customFormat="1">
      <c r="A10930" s="136"/>
      <c r="CM10930" s="111"/>
      <c r="CQ10930" s="111"/>
      <c r="EF10930"/>
      <c r="EG10930"/>
      <c r="EH10930"/>
      <c r="EI10930"/>
      <c r="EJ10930"/>
      <c r="EK10930"/>
    </row>
    <row r="10931" spans="1:141" s="116" customFormat="1">
      <c r="A10931" s="136"/>
      <c r="CM10931" s="111"/>
      <c r="CQ10931" s="111"/>
      <c r="EF10931"/>
      <c r="EG10931"/>
      <c r="EH10931"/>
      <c r="EI10931"/>
      <c r="EJ10931"/>
      <c r="EK10931"/>
    </row>
    <row r="10932" spans="1:141" s="116" customFormat="1">
      <c r="A10932" s="136"/>
      <c r="CM10932" s="111"/>
      <c r="CQ10932" s="111"/>
      <c r="EF10932"/>
      <c r="EG10932"/>
      <c r="EH10932"/>
      <c r="EI10932"/>
      <c r="EJ10932"/>
      <c r="EK10932"/>
    </row>
    <row r="10933" spans="1:141" s="116" customFormat="1">
      <c r="A10933" s="136"/>
      <c r="CM10933" s="111"/>
      <c r="CQ10933" s="111"/>
      <c r="EF10933"/>
      <c r="EG10933"/>
      <c r="EH10933"/>
      <c r="EI10933"/>
      <c r="EJ10933"/>
      <c r="EK10933"/>
    </row>
    <row r="10934" spans="1:141" s="116" customFormat="1">
      <c r="A10934" s="136"/>
      <c r="CM10934" s="111"/>
      <c r="CQ10934" s="111"/>
      <c r="EF10934"/>
      <c r="EG10934"/>
      <c r="EH10934"/>
      <c r="EI10934"/>
      <c r="EJ10934"/>
      <c r="EK10934"/>
    </row>
    <row r="10935" spans="1:141" s="116" customFormat="1">
      <c r="A10935" s="136"/>
      <c r="CM10935" s="111"/>
      <c r="CQ10935" s="111"/>
      <c r="EF10935"/>
      <c r="EG10935"/>
      <c r="EH10935"/>
      <c r="EI10935"/>
      <c r="EJ10935"/>
      <c r="EK10935"/>
    </row>
    <row r="10936" spans="1:141" s="116" customFormat="1">
      <c r="A10936" s="136"/>
      <c r="CM10936" s="111"/>
      <c r="CQ10936" s="111"/>
      <c r="EF10936"/>
      <c r="EG10936"/>
      <c r="EH10936"/>
      <c r="EI10936"/>
      <c r="EJ10936"/>
      <c r="EK10936"/>
    </row>
    <row r="10937" spans="1:141" s="116" customFormat="1">
      <c r="A10937" s="136"/>
      <c r="CM10937" s="111"/>
      <c r="CQ10937" s="111"/>
      <c r="EF10937"/>
      <c r="EG10937"/>
      <c r="EH10937"/>
      <c r="EI10937"/>
      <c r="EJ10937"/>
      <c r="EK10937"/>
    </row>
    <row r="10938" spans="1:141" s="116" customFormat="1">
      <c r="A10938" s="136"/>
      <c r="CM10938" s="111"/>
      <c r="CQ10938" s="111"/>
      <c r="EF10938"/>
      <c r="EG10938"/>
      <c r="EH10938"/>
      <c r="EI10938"/>
      <c r="EJ10938"/>
      <c r="EK10938"/>
    </row>
    <row r="10939" spans="1:141" s="116" customFormat="1">
      <c r="A10939" s="136"/>
      <c r="CM10939" s="111"/>
      <c r="CQ10939" s="111"/>
      <c r="EF10939"/>
      <c r="EG10939"/>
      <c r="EH10939"/>
      <c r="EI10939"/>
      <c r="EJ10939"/>
      <c r="EK10939"/>
    </row>
    <row r="10940" spans="1:141" s="116" customFormat="1">
      <c r="A10940" s="136"/>
      <c r="CM10940" s="111"/>
      <c r="CQ10940" s="111"/>
      <c r="EF10940"/>
      <c r="EG10940"/>
      <c r="EH10940"/>
      <c r="EI10940"/>
      <c r="EJ10940"/>
      <c r="EK10940"/>
    </row>
    <row r="10941" spans="1:141" s="116" customFormat="1">
      <c r="A10941" s="136"/>
      <c r="CM10941" s="111"/>
      <c r="CQ10941" s="111"/>
      <c r="EF10941"/>
      <c r="EG10941"/>
      <c r="EH10941"/>
      <c r="EI10941"/>
      <c r="EJ10941"/>
      <c r="EK10941"/>
    </row>
    <row r="10942" spans="1:141" s="116" customFormat="1">
      <c r="A10942" s="136"/>
      <c r="CM10942" s="111"/>
      <c r="CQ10942" s="111"/>
      <c r="EF10942"/>
      <c r="EG10942"/>
      <c r="EH10942"/>
      <c r="EI10942"/>
      <c r="EJ10942"/>
      <c r="EK10942"/>
    </row>
    <row r="10943" spans="1:141" s="116" customFormat="1">
      <c r="A10943" s="136"/>
      <c r="CM10943" s="111"/>
      <c r="CQ10943" s="111"/>
      <c r="EF10943"/>
      <c r="EG10943"/>
      <c r="EH10943"/>
      <c r="EI10943"/>
      <c r="EJ10943"/>
      <c r="EK10943"/>
    </row>
    <row r="10944" spans="1:141" s="116" customFormat="1">
      <c r="A10944" s="136"/>
      <c r="CM10944" s="111"/>
      <c r="CQ10944" s="111"/>
      <c r="EF10944"/>
      <c r="EG10944"/>
      <c r="EH10944"/>
      <c r="EI10944"/>
      <c r="EJ10944"/>
      <c r="EK10944"/>
    </row>
    <row r="10945" spans="1:141" s="116" customFormat="1">
      <c r="A10945" s="136"/>
      <c r="CM10945" s="111"/>
      <c r="CQ10945" s="111"/>
      <c r="EF10945"/>
      <c r="EG10945"/>
      <c r="EH10945"/>
      <c r="EI10945"/>
      <c r="EJ10945"/>
      <c r="EK10945"/>
    </row>
    <row r="10946" spans="1:141" s="116" customFormat="1">
      <c r="A10946" s="136"/>
      <c r="CM10946" s="111"/>
      <c r="CQ10946" s="111"/>
      <c r="EF10946"/>
      <c r="EG10946"/>
      <c r="EH10946"/>
      <c r="EI10946"/>
      <c r="EJ10946"/>
      <c r="EK10946"/>
    </row>
    <row r="10947" spans="1:141" s="116" customFormat="1">
      <c r="A10947" s="136"/>
      <c r="CM10947" s="111"/>
      <c r="CQ10947" s="111"/>
      <c r="EF10947"/>
      <c r="EG10947"/>
      <c r="EH10947"/>
      <c r="EI10947"/>
      <c r="EJ10947"/>
      <c r="EK10947"/>
    </row>
    <row r="10948" spans="1:141" s="116" customFormat="1">
      <c r="A10948" s="136"/>
      <c r="CM10948" s="111"/>
      <c r="CQ10948" s="111"/>
      <c r="EF10948"/>
      <c r="EG10948"/>
      <c r="EH10948"/>
      <c r="EI10948"/>
      <c r="EJ10948"/>
      <c r="EK10948"/>
    </row>
    <row r="10949" spans="1:141" s="116" customFormat="1">
      <c r="A10949" s="136"/>
      <c r="CM10949" s="111"/>
      <c r="CQ10949" s="111"/>
      <c r="EF10949"/>
      <c r="EG10949"/>
      <c r="EH10949"/>
      <c r="EI10949"/>
      <c r="EJ10949"/>
      <c r="EK10949"/>
    </row>
    <row r="10950" spans="1:141" s="116" customFormat="1">
      <c r="A10950" s="136"/>
      <c r="CM10950" s="111"/>
      <c r="CQ10950" s="111"/>
      <c r="EF10950"/>
      <c r="EG10950"/>
      <c r="EH10950"/>
      <c r="EI10950"/>
      <c r="EJ10950"/>
      <c r="EK10950"/>
    </row>
    <row r="10951" spans="1:141" s="116" customFormat="1">
      <c r="A10951" s="136"/>
      <c r="CM10951" s="111"/>
      <c r="CQ10951" s="111"/>
      <c r="EF10951"/>
      <c r="EG10951"/>
      <c r="EH10951"/>
      <c r="EI10951"/>
      <c r="EJ10951"/>
      <c r="EK10951"/>
    </row>
    <row r="10952" spans="1:141" s="116" customFormat="1">
      <c r="A10952" s="136"/>
      <c r="CM10952" s="111"/>
      <c r="CQ10952" s="111"/>
      <c r="EF10952"/>
      <c r="EG10952"/>
      <c r="EH10952"/>
      <c r="EI10952"/>
      <c r="EJ10952"/>
      <c r="EK10952"/>
    </row>
    <row r="10953" spans="1:141" s="116" customFormat="1">
      <c r="A10953" s="136"/>
      <c r="CM10953" s="111"/>
      <c r="CQ10953" s="111"/>
      <c r="EF10953"/>
      <c r="EG10953"/>
      <c r="EH10953"/>
      <c r="EI10953"/>
      <c r="EJ10953"/>
      <c r="EK10953"/>
    </row>
    <row r="10954" spans="1:141" s="116" customFormat="1">
      <c r="A10954" s="136"/>
      <c r="CM10954" s="111"/>
      <c r="CQ10954" s="111"/>
      <c r="EF10954"/>
      <c r="EG10954"/>
      <c r="EH10954"/>
      <c r="EI10954"/>
      <c r="EJ10954"/>
      <c r="EK10954"/>
    </row>
    <row r="10955" spans="1:141" s="116" customFormat="1">
      <c r="A10955" s="136"/>
      <c r="CM10955" s="111"/>
      <c r="CQ10955" s="111"/>
      <c r="EF10955"/>
      <c r="EG10955"/>
      <c r="EH10955"/>
      <c r="EI10955"/>
      <c r="EJ10955"/>
      <c r="EK10955"/>
    </row>
    <row r="10956" spans="1:141" s="116" customFormat="1">
      <c r="A10956" s="136"/>
      <c r="CM10956" s="111"/>
      <c r="CQ10956" s="111"/>
      <c r="EF10956"/>
      <c r="EG10956"/>
      <c r="EH10956"/>
      <c r="EI10956"/>
      <c r="EJ10956"/>
      <c r="EK10956"/>
    </row>
    <row r="10957" spans="1:141" s="116" customFormat="1">
      <c r="A10957" s="136"/>
      <c r="CM10957" s="111"/>
      <c r="CQ10957" s="111"/>
      <c r="EF10957"/>
      <c r="EG10957"/>
      <c r="EH10957"/>
      <c r="EI10957"/>
      <c r="EJ10957"/>
      <c r="EK10957"/>
    </row>
    <row r="10958" spans="1:141" s="116" customFormat="1">
      <c r="A10958" s="136"/>
      <c r="CM10958" s="111"/>
      <c r="CQ10958" s="111"/>
      <c r="EF10958"/>
      <c r="EG10958"/>
      <c r="EH10958"/>
      <c r="EI10958"/>
      <c r="EJ10958"/>
      <c r="EK10958"/>
    </row>
    <row r="10959" spans="1:141" s="116" customFormat="1">
      <c r="A10959" s="136"/>
      <c r="CM10959" s="111"/>
      <c r="CQ10959" s="111"/>
      <c r="EF10959"/>
      <c r="EG10959"/>
      <c r="EH10959"/>
      <c r="EI10959"/>
      <c r="EJ10959"/>
      <c r="EK10959"/>
    </row>
    <row r="10960" spans="1:141" s="116" customFormat="1">
      <c r="A10960" s="136"/>
      <c r="CM10960" s="111"/>
      <c r="CQ10960" s="111"/>
      <c r="EF10960"/>
      <c r="EG10960"/>
      <c r="EH10960"/>
      <c r="EI10960"/>
      <c r="EJ10960"/>
      <c r="EK10960"/>
    </row>
    <row r="10961" spans="1:141" s="116" customFormat="1">
      <c r="A10961" s="136"/>
      <c r="CM10961" s="111"/>
      <c r="CQ10961" s="111"/>
      <c r="EF10961"/>
      <c r="EG10961"/>
      <c r="EH10961"/>
      <c r="EI10961"/>
      <c r="EJ10961"/>
      <c r="EK10961"/>
    </row>
    <row r="10962" spans="1:141" s="116" customFormat="1">
      <c r="A10962" s="136"/>
      <c r="CM10962" s="111"/>
      <c r="CQ10962" s="111"/>
      <c r="EF10962"/>
      <c r="EG10962"/>
      <c r="EH10962"/>
      <c r="EI10962"/>
      <c r="EJ10962"/>
      <c r="EK10962"/>
    </row>
    <row r="10963" spans="1:141" s="116" customFormat="1">
      <c r="A10963" s="136"/>
      <c r="CM10963" s="111"/>
      <c r="CQ10963" s="111"/>
      <c r="EF10963"/>
      <c r="EG10963"/>
      <c r="EH10963"/>
      <c r="EI10963"/>
      <c r="EJ10963"/>
      <c r="EK10963"/>
    </row>
    <row r="10964" spans="1:141" s="116" customFormat="1">
      <c r="A10964" s="136"/>
      <c r="CM10964" s="111"/>
      <c r="CQ10964" s="111"/>
      <c r="EF10964"/>
      <c r="EG10964"/>
      <c r="EH10964"/>
      <c r="EI10964"/>
      <c r="EJ10964"/>
      <c r="EK10964"/>
    </row>
    <row r="10965" spans="1:141" s="116" customFormat="1">
      <c r="A10965" s="136"/>
      <c r="CM10965" s="111"/>
      <c r="CQ10965" s="111"/>
      <c r="EF10965"/>
      <c r="EG10965"/>
      <c r="EH10965"/>
      <c r="EI10965"/>
      <c r="EJ10965"/>
      <c r="EK10965"/>
    </row>
    <row r="10966" spans="1:141" s="116" customFormat="1">
      <c r="A10966" s="136"/>
      <c r="CM10966" s="111"/>
      <c r="CQ10966" s="111"/>
      <c r="EF10966"/>
      <c r="EG10966"/>
      <c r="EH10966"/>
      <c r="EI10966"/>
      <c r="EJ10966"/>
      <c r="EK10966"/>
    </row>
    <row r="10967" spans="1:141" s="116" customFormat="1">
      <c r="A10967" s="136"/>
      <c r="CM10967" s="111"/>
      <c r="CQ10967" s="111"/>
      <c r="EF10967"/>
      <c r="EG10967"/>
      <c r="EH10967"/>
      <c r="EI10967"/>
      <c r="EJ10967"/>
      <c r="EK10967"/>
    </row>
    <row r="10968" spans="1:141" s="116" customFormat="1">
      <c r="A10968" s="136"/>
      <c r="CM10968" s="111"/>
      <c r="CQ10968" s="111"/>
      <c r="EF10968"/>
      <c r="EG10968"/>
      <c r="EH10968"/>
      <c r="EI10968"/>
      <c r="EJ10968"/>
      <c r="EK10968"/>
    </row>
    <row r="10969" spans="1:141" s="116" customFormat="1">
      <c r="A10969" s="136"/>
      <c r="CM10969" s="111"/>
      <c r="CQ10969" s="111"/>
      <c r="EF10969"/>
      <c r="EG10969"/>
      <c r="EH10969"/>
      <c r="EI10969"/>
      <c r="EJ10969"/>
      <c r="EK10969"/>
    </row>
    <row r="10970" spans="1:141" s="116" customFormat="1">
      <c r="A10970" s="136"/>
      <c r="CM10970" s="111"/>
      <c r="CQ10970" s="111"/>
      <c r="EF10970"/>
      <c r="EG10970"/>
      <c r="EH10970"/>
      <c r="EI10970"/>
      <c r="EJ10970"/>
      <c r="EK10970"/>
    </row>
    <row r="10971" spans="1:141" s="116" customFormat="1">
      <c r="A10971" s="136"/>
      <c r="CM10971" s="111"/>
      <c r="CQ10971" s="111"/>
      <c r="EF10971"/>
      <c r="EG10971"/>
      <c r="EH10971"/>
      <c r="EI10971"/>
      <c r="EJ10971"/>
      <c r="EK10971"/>
    </row>
    <row r="10972" spans="1:141" s="116" customFormat="1">
      <c r="A10972" s="136"/>
      <c r="CM10972" s="111"/>
      <c r="CQ10972" s="111"/>
      <c r="EF10972"/>
      <c r="EG10972"/>
      <c r="EH10972"/>
      <c r="EI10972"/>
      <c r="EJ10972"/>
      <c r="EK10972"/>
    </row>
    <row r="10973" spans="1:141" s="116" customFormat="1">
      <c r="A10973" s="136"/>
      <c r="CM10973" s="111"/>
      <c r="CQ10973" s="111"/>
      <c r="EF10973"/>
      <c r="EG10973"/>
      <c r="EH10973"/>
      <c r="EI10973"/>
      <c r="EJ10973"/>
      <c r="EK10973"/>
    </row>
    <row r="10974" spans="1:141" s="116" customFormat="1">
      <c r="A10974" s="136"/>
      <c r="CM10974" s="111"/>
      <c r="CQ10974" s="111"/>
      <c r="EF10974"/>
      <c r="EG10974"/>
      <c r="EH10974"/>
      <c r="EI10974"/>
      <c r="EJ10974"/>
      <c r="EK10974"/>
    </row>
    <row r="10975" spans="1:141" s="116" customFormat="1">
      <c r="A10975" s="136"/>
      <c r="CM10975" s="111"/>
      <c r="CQ10975" s="111"/>
      <c r="EF10975"/>
      <c r="EG10975"/>
      <c r="EH10975"/>
      <c r="EI10975"/>
      <c r="EJ10975"/>
      <c r="EK10975"/>
    </row>
    <row r="10976" spans="1:141" s="116" customFormat="1">
      <c r="A10976" s="136"/>
      <c r="CM10976" s="111"/>
      <c r="CQ10976" s="111"/>
      <c r="EF10976"/>
      <c r="EG10976"/>
      <c r="EH10976"/>
      <c r="EI10976"/>
      <c r="EJ10976"/>
      <c r="EK10976"/>
    </row>
    <row r="10977" spans="1:141" s="116" customFormat="1">
      <c r="A10977" s="136"/>
      <c r="CM10977" s="111"/>
      <c r="CQ10977" s="111"/>
      <c r="EF10977"/>
      <c r="EG10977"/>
      <c r="EH10977"/>
      <c r="EI10977"/>
      <c r="EJ10977"/>
      <c r="EK10977"/>
    </row>
    <row r="10978" spans="1:141" s="116" customFormat="1">
      <c r="A10978" s="136"/>
      <c r="CM10978" s="111"/>
      <c r="CQ10978" s="111"/>
      <c r="EF10978"/>
      <c r="EG10978"/>
      <c r="EH10978"/>
      <c r="EI10978"/>
      <c r="EJ10978"/>
      <c r="EK10978"/>
    </row>
    <row r="10979" spans="1:141" s="116" customFormat="1">
      <c r="A10979" s="136"/>
      <c r="CM10979" s="111"/>
      <c r="CQ10979" s="111"/>
      <c r="EF10979"/>
      <c r="EG10979"/>
      <c r="EH10979"/>
      <c r="EI10979"/>
      <c r="EJ10979"/>
      <c r="EK10979"/>
    </row>
    <row r="10980" spans="1:141" s="116" customFormat="1">
      <c r="A10980" s="136"/>
      <c r="CM10980" s="111"/>
      <c r="CQ10980" s="111"/>
      <c r="EF10980"/>
      <c r="EG10980"/>
      <c r="EH10980"/>
      <c r="EI10980"/>
      <c r="EJ10980"/>
      <c r="EK10980"/>
    </row>
    <row r="10981" spans="1:141" s="116" customFormat="1">
      <c r="A10981" s="136"/>
      <c r="CM10981" s="111"/>
      <c r="CQ10981" s="111"/>
      <c r="EF10981"/>
      <c r="EG10981"/>
      <c r="EH10981"/>
      <c r="EI10981"/>
      <c r="EJ10981"/>
      <c r="EK10981"/>
    </row>
    <row r="10982" spans="1:141" s="116" customFormat="1">
      <c r="A10982" s="136"/>
      <c r="CM10982" s="111"/>
      <c r="CQ10982" s="111"/>
      <c r="EF10982"/>
      <c r="EG10982"/>
      <c r="EH10982"/>
      <c r="EI10982"/>
      <c r="EJ10982"/>
      <c r="EK10982"/>
    </row>
    <row r="10983" spans="1:141" s="116" customFormat="1">
      <c r="A10983" s="136"/>
      <c r="CM10983" s="111"/>
      <c r="CQ10983" s="111"/>
      <c r="EF10983"/>
      <c r="EG10983"/>
      <c r="EH10983"/>
      <c r="EI10983"/>
      <c r="EJ10983"/>
      <c r="EK10983"/>
    </row>
    <row r="10984" spans="1:141" s="116" customFormat="1">
      <c r="A10984" s="136"/>
      <c r="CM10984" s="111"/>
      <c r="CQ10984" s="111"/>
      <c r="EF10984"/>
      <c r="EG10984"/>
      <c r="EH10984"/>
      <c r="EI10984"/>
      <c r="EJ10984"/>
      <c r="EK10984"/>
    </row>
    <row r="10985" spans="1:141" s="116" customFormat="1">
      <c r="A10985" s="136"/>
      <c r="CM10985" s="111"/>
      <c r="CQ10985" s="111"/>
      <c r="EF10985"/>
      <c r="EG10985"/>
      <c r="EH10985"/>
      <c r="EI10985"/>
      <c r="EJ10985"/>
      <c r="EK10985"/>
    </row>
    <row r="10986" spans="1:141" s="116" customFormat="1">
      <c r="A10986" s="136"/>
      <c r="CM10986" s="111"/>
      <c r="CQ10986" s="111"/>
      <c r="EF10986"/>
      <c r="EG10986"/>
      <c r="EH10986"/>
      <c r="EI10986"/>
      <c r="EJ10986"/>
      <c r="EK10986"/>
    </row>
    <row r="10987" spans="1:141" s="116" customFormat="1">
      <c r="A10987" s="136"/>
      <c r="CM10987" s="111"/>
      <c r="CQ10987" s="111"/>
      <c r="EF10987"/>
      <c r="EG10987"/>
      <c r="EH10987"/>
      <c r="EI10987"/>
      <c r="EJ10987"/>
      <c r="EK10987"/>
    </row>
    <row r="10988" spans="1:141" s="116" customFormat="1">
      <c r="A10988" s="136"/>
      <c r="CM10988" s="111"/>
      <c r="CQ10988" s="111"/>
      <c r="EF10988"/>
      <c r="EG10988"/>
      <c r="EH10988"/>
      <c r="EI10988"/>
      <c r="EJ10988"/>
      <c r="EK10988"/>
    </row>
    <row r="10989" spans="1:141" s="116" customFormat="1">
      <c r="A10989" s="136"/>
      <c r="CM10989" s="111"/>
      <c r="CQ10989" s="111"/>
      <c r="EF10989"/>
      <c r="EG10989"/>
      <c r="EH10989"/>
      <c r="EI10989"/>
      <c r="EJ10989"/>
      <c r="EK10989"/>
    </row>
    <row r="10990" spans="1:141" s="116" customFormat="1">
      <c r="A10990" s="136"/>
      <c r="CM10990" s="111"/>
      <c r="CQ10990" s="111"/>
      <c r="EF10990"/>
      <c r="EG10990"/>
      <c r="EH10990"/>
      <c r="EI10990"/>
      <c r="EJ10990"/>
      <c r="EK10990"/>
    </row>
    <row r="10991" spans="1:141" s="116" customFormat="1">
      <c r="A10991" s="136"/>
      <c r="CM10991" s="111"/>
      <c r="CQ10991" s="111"/>
      <c r="EF10991"/>
      <c r="EG10991"/>
      <c r="EH10991"/>
      <c r="EI10991"/>
      <c r="EJ10991"/>
      <c r="EK10991"/>
    </row>
    <row r="10992" spans="1:141" s="116" customFormat="1">
      <c r="A10992" s="136"/>
      <c r="CM10992" s="111"/>
      <c r="CQ10992" s="111"/>
      <c r="EF10992"/>
      <c r="EG10992"/>
      <c r="EH10992"/>
      <c r="EI10992"/>
      <c r="EJ10992"/>
      <c r="EK10992"/>
    </row>
    <row r="10993" spans="1:141" s="116" customFormat="1">
      <c r="A10993" s="136"/>
      <c r="CM10993" s="111"/>
      <c r="CQ10993" s="111"/>
      <c r="EF10993"/>
      <c r="EG10993"/>
      <c r="EH10993"/>
      <c r="EI10993"/>
      <c r="EJ10993"/>
      <c r="EK10993"/>
    </row>
    <row r="10994" spans="1:141" s="116" customFormat="1">
      <c r="A10994" s="136"/>
      <c r="CM10994" s="111"/>
      <c r="CQ10994" s="111"/>
      <c r="EF10994"/>
      <c r="EG10994"/>
      <c r="EH10994"/>
      <c r="EI10994"/>
      <c r="EJ10994"/>
      <c r="EK10994"/>
    </row>
    <row r="10995" spans="1:141" s="116" customFormat="1">
      <c r="A10995" s="136"/>
      <c r="CM10995" s="111"/>
      <c r="CQ10995" s="111"/>
      <c r="EF10995"/>
      <c r="EG10995"/>
      <c r="EH10995"/>
      <c r="EI10995"/>
      <c r="EJ10995"/>
      <c r="EK10995"/>
    </row>
    <row r="10996" spans="1:141" s="116" customFormat="1">
      <c r="A10996" s="136"/>
      <c r="CM10996" s="111"/>
      <c r="CQ10996" s="111"/>
      <c r="EF10996"/>
      <c r="EG10996"/>
      <c r="EH10996"/>
      <c r="EI10996"/>
      <c r="EJ10996"/>
      <c r="EK10996"/>
    </row>
    <row r="10997" spans="1:141" s="116" customFormat="1">
      <c r="A10997" s="136"/>
      <c r="CM10997" s="111"/>
      <c r="CQ10997" s="111"/>
      <c r="EF10997"/>
      <c r="EG10997"/>
      <c r="EH10997"/>
      <c r="EI10997"/>
      <c r="EJ10997"/>
      <c r="EK10997"/>
    </row>
    <row r="10998" spans="1:141" s="116" customFormat="1">
      <c r="A10998" s="136"/>
      <c r="CM10998" s="111"/>
      <c r="CQ10998" s="111"/>
      <c r="EF10998"/>
      <c r="EG10998"/>
      <c r="EH10998"/>
      <c r="EI10998"/>
      <c r="EJ10998"/>
      <c r="EK10998"/>
    </row>
    <row r="10999" spans="1:141" s="116" customFormat="1">
      <c r="A10999" s="136"/>
      <c r="CM10999" s="111"/>
      <c r="CQ10999" s="111"/>
      <c r="EF10999"/>
      <c r="EG10999"/>
      <c r="EH10999"/>
      <c r="EI10999"/>
      <c r="EJ10999"/>
      <c r="EK10999"/>
    </row>
    <row r="11000" spans="1:141" s="116" customFormat="1">
      <c r="A11000" s="136"/>
      <c r="CM11000" s="111"/>
      <c r="CQ11000" s="111"/>
      <c r="EF11000"/>
      <c r="EG11000"/>
      <c r="EH11000"/>
      <c r="EI11000"/>
      <c r="EJ11000"/>
      <c r="EK11000"/>
    </row>
    <row r="11001" spans="1:141" s="116" customFormat="1">
      <c r="A11001" s="136"/>
      <c r="CM11001" s="111"/>
      <c r="CQ11001" s="111"/>
      <c r="EF11001"/>
      <c r="EG11001"/>
      <c r="EH11001"/>
      <c r="EI11001"/>
      <c r="EJ11001"/>
      <c r="EK11001"/>
    </row>
    <row r="11002" spans="1:141" s="116" customFormat="1">
      <c r="A11002" s="136"/>
      <c r="CM11002" s="111"/>
      <c r="CQ11002" s="111"/>
      <c r="EF11002"/>
      <c r="EG11002"/>
      <c r="EH11002"/>
      <c r="EI11002"/>
      <c r="EJ11002"/>
      <c r="EK11002"/>
    </row>
    <row r="11003" spans="1:141" s="116" customFormat="1">
      <c r="A11003" s="136"/>
      <c r="CM11003" s="111"/>
      <c r="CQ11003" s="111"/>
      <c r="EF11003"/>
      <c r="EG11003"/>
      <c r="EH11003"/>
      <c r="EI11003"/>
      <c r="EJ11003"/>
      <c r="EK11003"/>
    </row>
    <row r="11004" spans="1:141" s="116" customFormat="1">
      <c r="A11004" s="136"/>
      <c r="CM11004" s="111"/>
      <c r="CQ11004" s="111"/>
      <c r="EF11004"/>
      <c r="EG11004"/>
      <c r="EH11004"/>
      <c r="EI11004"/>
      <c r="EJ11004"/>
      <c r="EK11004"/>
    </row>
    <row r="11005" spans="1:141" s="116" customFormat="1">
      <c r="A11005" s="136"/>
      <c r="CM11005" s="111"/>
      <c r="CQ11005" s="111"/>
      <c r="EF11005"/>
      <c r="EG11005"/>
      <c r="EH11005"/>
      <c r="EI11005"/>
      <c r="EJ11005"/>
      <c r="EK11005"/>
    </row>
    <row r="11006" spans="1:141" s="116" customFormat="1">
      <c r="A11006" s="136"/>
      <c r="CM11006" s="111"/>
      <c r="CQ11006" s="111"/>
      <c r="EF11006"/>
      <c r="EG11006"/>
      <c r="EH11006"/>
      <c r="EI11006"/>
      <c r="EJ11006"/>
      <c r="EK11006"/>
    </row>
    <row r="11007" spans="1:141" s="116" customFormat="1">
      <c r="A11007" s="136"/>
      <c r="CM11007" s="111"/>
      <c r="CQ11007" s="111"/>
      <c r="EF11007"/>
      <c r="EG11007"/>
      <c r="EH11007"/>
      <c r="EI11007"/>
      <c r="EJ11007"/>
      <c r="EK11007"/>
    </row>
    <row r="11008" spans="1:141" s="116" customFormat="1">
      <c r="A11008" s="136"/>
      <c r="CM11008" s="111"/>
      <c r="CQ11008" s="111"/>
      <c r="EF11008"/>
      <c r="EG11008"/>
      <c r="EH11008"/>
      <c r="EI11008"/>
      <c r="EJ11008"/>
      <c r="EK11008"/>
    </row>
    <row r="11009" spans="1:141" s="116" customFormat="1">
      <c r="A11009" s="136"/>
      <c r="CM11009" s="111"/>
      <c r="CQ11009" s="111"/>
      <c r="EF11009"/>
      <c r="EG11009"/>
      <c r="EH11009"/>
      <c r="EI11009"/>
      <c r="EJ11009"/>
      <c r="EK11009"/>
    </row>
    <row r="11010" spans="1:141" s="116" customFormat="1">
      <c r="A11010" s="136"/>
      <c r="CM11010" s="111"/>
      <c r="CQ11010" s="111"/>
      <c r="EF11010"/>
      <c r="EG11010"/>
      <c r="EH11010"/>
      <c r="EI11010"/>
      <c r="EJ11010"/>
      <c r="EK11010"/>
    </row>
    <row r="11011" spans="1:141" s="116" customFormat="1">
      <c r="A11011" s="136"/>
      <c r="CM11011" s="111"/>
      <c r="CQ11011" s="111"/>
      <c r="EF11011"/>
      <c r="EG11011"/>
      <c r="EH11011"/>
      <c r="EI11011"/>
      <c r="EJ11011"/>
      <c r="EK11011"/>
    </row>
    <row r="11012" spans="1:141" s="116" customFormat="1">
      <c r="A11012" s="136"/>
      <c r="CM11012" s="111"/>
      <c r="CQ11012" s="111"/>
      <c r="EF11012"/>
      <c r="EG11012"/>
      <c r="EH11012"/>
      <c r="EI11012"/>
      <c r="EJ11012"/>
      <c r="EK11012"/>
    </row>
    <row r="11013" spans="1:141" s="116" customFormat="1">
      <c r="A11013" s="136"/>
      <c r="CM11013" s="111"/>
      <c r="CQ11013" s="111"/>
      <c r="EF11013"/>
      <c r="EG11013"/>
      <c r="EH11013"/>
      <c r="EI11013"/>
      <c r="EJ11013"/>
      <c r="EK11013"/>
    </row>
    <row r="11014" spans="1:141" s="116" customFormat="1">
      <c r="A11014" s="136"/>
      <c r="CM11014" s="111"/>
      <c r="CQ11014" s="111"/>
      <c r="EF11014"/>
      <c r="EG11014"/>
      <c r="EH11014"/>
      <c r="EI11014"/>
      <c r="EJ11014"/>
      <c r="EK11014"/>
    </row>
    <row r="11015" spans="1:141" s="116" customFormat="1">
      <c r="A11015" s="136"/>
      <c r="CM11015" s="111"/>
      <c r="CQ11015" s="111"/>
      <c r="EF11015"/>
      <c r="EG11015"/>
      <c r="EH11015"/>
      <c r="EI11015"/>
      <c r="EJ11015"/>
      <c r="EK11015"/>
    </row>
    <row r="11016" spans="1:141" s="116" customFormat="1">
      <c r="A11016" s="136"/>
      <c r="CM11016" s="111"/>
      <c r="CQ11016" s="111"/>
      <c r="EF11016"/>
      <c r="EG11016"/>
      <c r="EH11016"/>
      <c r="EI11016"/>
      <c r="EJ11016"/>
      <c r="EK11016"/>
    </row>
    <row r="11017" spans="1:141" s="116" customFormat="1">
      <c r="A11017" s="136"/>
      <c r="CM11017" s="111"/>
      <c r="CQ11017" s="111"/>
      <c r="EF11017"/>
      <c r="EG11017"/>
      <c r="EH11017"/>
      <c r="EI11017"/>
      <c r="EJ11017"/>
      <c r="EK11017"/>
    </row>
    <row r="11018" spans="1:141" s="116" customFormat="1">
      <c r="A11018" s="136"/>
      <c r="CM11018" s="111"/>
      <c r="CQ11018" s="111"/>
      <c r="EF11018"/>
      <c r="EG11018"/>
      <c r="EH11018"/>
      <c r="EI11018"/>
      <c r="EJ11018"/>
      <c r="EK11018"/>
    </row>
    <row r="11019" spans="1:141" s="116" customFormat="1">
      <c r="A11019" s="136"/>
      <c r="CM11019" s="111"/>
      <c r="CQ11019" s="111"/>
      <c r="EF11019"/>
      <c r="EG11019"/>
      <c r="EH11019"/>
      <c r="EI11019"/>
      <c r="EJ11019"/>
      <c r="EK11019"/>
    </row>
    <row r="11020" spans="1:141" s="116" customFormat="1">
      <c r="A11020" s="136"/>
      <c r="CM11020" s="111"/>
      <c r="CQ11020" s="111"/>
      <c r="EF11020"/>
      <c r="EG11020"/>
      <c r="EH11020"/>
      <c r="EI11020"/>
      <c r="EJ11020"/>
      <c r="EK11020"/>
    </row>
    <row r="11021" spans="1:141" s="116" customFormat="1">
      <c r="A11021" s="136"/>
      <c r="CM11021" s="111"/>
      <c r="CQ11021" s="111"/>
      <c r="EF11021"/>
      <c r="EG11021"/>
      <c r="EH11021"/>
      <c r="EI11021"/>
      <c r="EJ11021"/>
      <c r="EK11021"/>
    </row>
    <row r="11022" spans="1:141" s="116" customFormat="1">
      <c r="A11022" s="136"/>
      <c r="CM11022" s="111"/>
      <c r="CQ11022" s="111"/>
      <c r="EF11022"/>
      <c r="EG11022"/>
      <c r="EH11022"/>
      <c r="EI11022"/>
      <c r="EJ11022"/>
      <c r="EK11022"/>
    </row>
    <row r="11023" spans="1:141" s="116" customFormat="1">
      <c r="A11023" s="136"/>
      <c r="CM11023" s="111"/>
      <c r="CQ11023" s="111"/>
      <c r="EF11023"/>
      <c r="EG11023"/>
      <c r="EH11023"/>
      <c r="EI11023"/>
      <c r="EJ11023"/>
      <c r="EK11023"/>
    </row>
    <row r="11024" spans="1:141" s="116" customFormat="1">
      <c r="A11024" s="136"/>
      <c r="CM11024" s="111"/>
      <c r="CQ11024" s="111"/>
      <c r="EF11024"/>
      <c r="EG11024"/>
      <c r="EH11024"/>
      <c r="EI11024"/>
      <c r="EJ11024"/>
      <c r="EK11024"/>
    </row>
    <row r="11025" spans="1:141" s="116" customFormat="1">
      <c r="A11025" s="136"/>
      <c r="CM11025" s="111"/>
      <c r="CQ11025" s="111"/>
      <c r="EF11025"/>
      <c r="EG11025"/>
      <c r="EH11025"/>
      <c r="EI11025"/>
      <c r="EJ11025"/>
      <c r="EK11025"/>
    </row>
    <row r="11026" spans="1:141" s="116" customFormat="1">
      <c r="A11026" s="136"/>
      <c r="CM11026" s="111"/>
      <c r="CQ11026" s="111"/>
      <c r="EF11026"/>
      <c r="EG11026"/>
      <c r="EH11026"/>
      <c r="EI11026"/>
      <c r="EJ11026"/>
      <c r="EK11026"/>
    </row>
    <row r="11027" spans="1:141" s="116" customFormat="1">
      <c r="A11027" s="136"/>
      <c r="CM11027" s="111"/>
      <c r="CQ11027" s="111"/>
      <c r="EF11027"/>
      <c r="EG11027"/>
      <c r="EH11027"/>
      <c r="EI11027"/>
      <c r="EJ11027"/>
      <c r="EK11027"/>
    </row>
    <row r="11028" spans="1:141" s="116" customFormat="1">
      <c r="A11028" s="136"/>
      <c r="CM11028" s="111"/>
      <c r="CQ11028" s="111"/>
      <c r="EF11028"/>
      <c r="EG11028"/>
      <c r="EH11028"/>
      <c r="EI11028"/>
      <c r="EJ11028"/>
      <c r="EK11028"/>
    </row>
    <row r="11029" spans="1:141" s="116" customFormat="1">
      <c r="A11029" s="136"/>
      <c r="CM11029" s="111"/>
      <c r="CQ11029" s="111"/>
      <c r="EF11029"/>
      <c r="EG11029"/>
      <c r="EH11029"/>
      <c r="EI11029"/>
      <c r="EJ11029"/>
      <c r="EK11029"/>
    </row>
    <row r="11030" spans="1:141" s="116" customFormat="1">
      <c r="A11030" s="136"/>
      <c r="CM11030" s="111"/>
      <c r="CQ11030" s="111"/>
      <c r="EF11030"/>
      <c r="EG11030"/>
      <c r="EH11030"/>
      <c r="EI11030"/>
      <c r="EJ11030"/>
      <c r="EK11030"/>
    </row>
    <row r="11031" spans="1:141" s="116" customFormat="1">
      <c r="A11031" s="136"/>
      <c r="CM11031" s="111"/>
      <c r="CQ11031" s="111"/>
      <c r="EF11031"/>
      <c r="EG11031"/>
      <c r="EH11031"/>
      <c r="EI11031"/>
      <c r="EJ11031"/>
      <c r="EK11031"/>
    </row>
    <row r="11032" spans="1:141" s="116" customFormat="1">
      <c r="A11032" s="136"/>
      <c r="CM11032" s="111"/>
      <c r="CQ11032" s="111"/>
      <c r="EF11032"/>
      <c r="EG11032"/>
      <c r="EH11032"/>
      <c r="EI11032"/>
      <c r="EJ11032"/>
      <c r="EK11032"/>
    </row>
    <row r="11033" spans="1:141" s="116" customFormat="1">
      <c r="A11033" s="136"/>
      <c r="CM11033" s="111"/>
      <c r="CQ11033" s="111"/>
      <c r="EF11033"/>
      <c r="EG11033"/>
      <c r="EH11033"/>
      <c r="EI11033"/>
      <c r="EJ11033"/>
      <c r="EK11033"/>
    </row>
    <row r="11034" spans="1:141" s="116" customFormat="1">
      <c r="A11034" s="136"/>
      <c r="CM11034" s="111"/>
      <c r="CQ11034" s="111"/>
      <c r="EF11034"/>
      <c r="EG11034"/>
      <c r="EH11034"/>
      <c r="EI11034"/>
      <c r="EJ11034"/>
      <c r="EK11034"/>
    </row>
    <row r="11035" spans="1:141" s="116" customFormat="1">
      <c r="A11035" s="136"/>
      <c r="CM11035" s="111"/>
      <c r="CQ11035" s="111"/>
      <c r="EF11035"/>
      <c r="EG11035"/>
      <c r="EH11035"/>
      <c r="EI11035"/>
      <c r="EJ11035"/>
      <c r="EK11035"/>
    </row>
    <row r="11036" spans="1:141" s="116" customFormat="1">
      <c r="A11036" s="136"/>
      <c r="CM11036" s="111"/>
      <c r="CQ11036" s="111"/>
      <c r="EF11036"/>
      <c r="EG11036"/>
      <c r="EH11036"/>
      <c r="EI11036"/>
      <c r="EJ11036"/>
      <c r="EK11036"/>
    </row>
    <row r="11037" spans="1:141" s="116" customFormat="1">
      <c r="A11037" s="136"/>
      <c r="CM11037" s="111"/>
      <c r="CQ11037" s="111"/>
      <c r="EF11037"/>
      <c r="EG11037"/>
      <c r="EH11037"/>
      <c r="EI11037"/>
      <c r="EJ11037"/>
      <c r="EK11037"/>
    </row>
    <row r="11038" spans="1:141" s="116" customFormat="1">
      <c r="A11038" s="136"/>
      <c r="CM11038" s="111"/>
      <c r="CQ11038" s="111"/>
      <c r="EF11038"/>
      <c r="EG11038"/>
      <c r="EH11038"/>
      <c r="EI11038"/>
      <c r="EJ11038"/>
      <c r="EK11038"/>
    </row>
    <row r="11039" spans="1:141" s="116" customFormat="1">
      <c r="A11039" s="136"/>
      <c r="CM11039" s="111"/>
      <c r="CQ11039" s="111"/>
      <c r="EF11039"/>
      <c r="EG11039"/>
      <c r="EH11039"/>
      <c r="EI11039"/>
      <c r="EJ11039"/>
      <c r="EK11039"/>
    </row>
    <row r="11040" spans="1:141" s="116" customFormat="1">
      <c r="A11040" s="136"/>
      <c r="CM11040" s="111"/>
      <c r="CQ11040" s="111"/>
      <c r="EF11040"/>
      <c r="EG11040"/>
      <c r="EH11040"/>
      <c r="EI11040"/>
      <c r="EJ11040"/>
      <c r="EK11040"/>
    </row>
    <row r="11041" spans="1:141" s="116" customFormat="1">
      <c r="A11041" s="136"/>
      <c r="CM11041" s="111"/>
      <c r="CQ11041" s="111"/>
      <c r="EF11041"/>
      <c r="EG11041"/>
      <c r="EH11041"/>
      <c r="EI11041"/>
      <c r="EJ11041"/>
      <c r="EK11041"/>
    </row>
    <row r="11042" spans="1:141" s="116" customFormat="1">
      <c r="A11042" s="136"/>
      <c r="CM11042" s="111"/>
      <c r="CQ11042" s="111"/>
      <c r="EF11042"/>
      <c r="EG11042"/>
      <c r="EH11042"/>
      <c r="EI11042"/>
      <c r="EJ11042"/>
      <c r="EK11042"/>
    </row>
    <row r="11043" spans="1:141" s="116" customFormat="1">
      <c r="A11043" s="136"/>
      <c r="CM11043" s="111"/>
      <c r="CQ11043" s="111"/>
      <c r="EF11043"/>
      <c r="EG11043"/>
      <c r="EH11043"/>
      <c r="EI11043"/>
      <c r="EJ11043"/>
      <c r="EK11043"/>
    </row>
    <row r="11044" spans="1:141" s="116" customFormat="1">
      <c r="A11044" s="136"/>
      <c r="CM11044" s="111"/>
      <c r="CQ11044" s="111"/>
      <c r="EF11044"/>
      <c r="EG11044"/>
      <c r="EH11044"/>
      <c r="EI11044"/>
      <c r="EJ11044"/>
      <c r="EK11044"/>
    </row>
    <row r="11045" spans="1:141" s="116" customFormat="1">
      <c r="A11045" s="136"/>
      <c r="CM11045" s="111"/>
      <c r="CQ11045" s="111"/>
      <c r="EF11045"/>
      <c r="EG11045"/>
      <c r="EH11045"/>
      <c r="EI11045"/>
      <c r="EJ11045"/>
      <c r="EK11045"/>
    </row>
    <row r="11046" spans="1:141" s="116" customFormat="1">
      <c r="A11046" s="136"/>
      <c r="CM11046" s="111"/>
      <c r="CQ11046" s="111"/>
      <c r="EF11046"/>
      <c r="EG11046"/>
      <c r="EH11046"/>
      <c r="EI11046"/>
      <c r="EJ11046"/>
      <c r="EK11046"/>
    </row>
    <row r="11047" spans="1:141" s="116" customFormat="1">
      <c r="A11047" s="136"/>
      <c r="CM11047" s="111"/>
      <c r="CQ11047" s="111"/>
      <c r="EF11047"/>
      <c r="EG11047"/>
      <c r="EH11047"/>
      <c r="EI11047"/>
      <c r="EJ11047"/>
      <c r="EK11047"/>
    </row>
    <row r="11048" spans="1:141" s="116" customFormat="1">
      <c r="A11048" s="136"/>
      <c r="CM11048" s="111"/>
      <c r="CQ11048" s="111"/>
      <c r="EF11048"/>
      <c r="EG11048"/>
      <c r="EH11048"/>
      <c r="EI11048"/>
      <c r="EJ11048"/>
      <c r="EK11048"/>
    </row>
    <row r="11049" spans="1:141" s="116" customFormat="1">
      <c r="A11049" s="136"/>
      <c r="CM11049" s="111"/>
      <c r="CQ11049" s="111"/>
      <c r="EF11049"/>
      <c r="EG11049"/>
      <c r="EH11049"/>
      <c r="EI11049"/>
      <c r="EJ11049"/>
      <c r="EK11049"/>
    </row>
    <row r="11050" spans="1:141" s="116" customFormat="1">
      <c r="A11050" s="136"/>
      <c r="CM11050" s="111"/>
      <c r="CQ11050" s="111"/>
      <c r="EF11050"/>
      <c r="EG11050"/>
      <c r="EH11050"/>
      <c r="EI11050"/>
      <c r="EJ11050"/>
      <c r="EK11050"/>
    </row>
    <row r="11051" spans="1:141" s="116" customFormat="1">
      <c r="A11051" s="136"/>
      <c r="CM11051" s="111"/>
      <c r="CQ11051" s="111"/>
      <c r="EF11051"/>
      <c r="EG11051"/>
      <c r="EH11051"/>
      <c r="EI11051"/>
      <c r="EJ11051"/>
      <c r="EK11051"/>
    </row>
    <row r="11052" spans="1:141" s="116" customFormat="1">
      <c r="A11052" s="136"/>
      <c r="CM11052" s="111"/>
      <c r="CQ11052" s="111"/>
      <c r="EF11052"/>
      <c r="EG11052"/>
      <c r="EH11052"/>
      <c r="EI11052"/>
      <c r="EJ11052"/>
      <c r="EK11052"/>
    </row>
    <row r="11053" spans="1:141" s="116" customFormat="1">
      <c r="A11053" s="136"/>
      <c r="CM11053" s="111"/>
      <c r="CQ11053" s="111"/>
      <c r="EF11053"/>
      <c r="EG11053"/>
      <c r="EH11053"/>
      <c r="EI11053"/>
      <c r="EJ11053"/>
      <c r="EK11053"/>
    </row>
    <row r="11054" spans="1:141" s="116" customFormat="1">
      <c r="A11054" s="136"/>
      <c r="CM11054" s="111"/>
      <c r="CQ11054" s="111"/>
      <c r="EF11054"/>
      <c r="EG11054"/>
      <c r="EH11054"/>
      <c r="EI11054"/>
      <c r="EJ11054"/>
      <c r="EK11054"/>
    </row>
    <row r="11055" spans="1:141" s="116" customFormat="1">
      <c r="A11055" s="136"/>
      <c r="CM11055" s="111"/>
      <c r="CQ11055" s="111"/>
      <c r="EF11055"/>
      <c r="EG11055"/>
      <c r="EH11055"/>
      <c r="EI11055"/>
      <c r="EJ11055"/>
      <c r="EK11055"/>
    </row>
    <row r="11056" spans="1:141" s="116" customFormat="1">
      <c r="A11056" s="136"/>
      <c r="CM11056" s="111"/>
      <c r="CQ11056" s="111"/>
      <c r="EF11056"/>
      <c r="EG11056"/>
      <c r="EH11056"/>
      <c r="EI11056"/>
      <c r="EJ11056"/>
      <c r="EK11056"/>
    </row>
    <row r="11057" spans="1:141" s="116" customFormat="1">
      <c r="A11057" s="136"/>
      <c r="CM11057" s="111"/>
      <c r="CQ11057" s="111"/>
      <c r="EF11057"/>
      <c r="EG11057"/>
      <c r="EH11057"/>
      <c r="EI11057"/>
      <c r="EJ11057"/>
      <c r="EK11057"/>
    </row>
    <row r="11058" spans="1:141" s="116" customFormat="1">
      <c r="A11058" s="136"/>
      <c r="CM11058" s="111"/>
      <c r="CQ11058" s="111"/>
      <c r="EF11058"/>
      <c r="EG11058"/>
      <c r="EH11058"/>
      <c r="EI11058"/>
      <c r="EJ11058"/>
      <c r="EK11058"/>
    </row>
    <row r="11059" spans="1:141" s="116" customFormat="1">
      <c r="A11059" s="136"/>
      <c r="CM11059" s="111"/>
      <c r="CQ11059" s="111"/>
      <c r="EF11059"/>
      <c r="EG11059"/>
      <c r="EH11059"/>
      <c r="EI11059"/>
      <c r="EJ11059"/>
      <c r="EK11059"/>
    </row>
    <row r="11060" spans="1:141" s="116" customFormat="1">
      <c r="A11060" s="136"/>
      <c r="CM11060" s="111"/>
      <c r="CQ11060" s="111"/>
      <c r="EF11060"/>
      <c r="EG11060"/>
      <c r="EH11060"/>
      <c r="EI11060"/>
      <c r="EJ11060"/>
      <c r="EK11060"/>
    </row>
    <row r="11061" spans="1:141" s="116" customFormat="1">
      <c r="A11061" s="136"/>
      <c r="CM11061" s="111"/>
      <c r="CQ11061" s="111"/>
      <c r="EF11061"/>
      <c r="EG11061"/>
      <c r="EH11061"/>
      <c r="EI11061"/>
      <c r="EJ11061"/>
      <c r="EK11061"/>
    </row>
    <row r="11062" spans="1:141" s="116" customFormat="1">
      <c r="A11062" s="136"/>
      <c r="CM11062" s="111"/>
      <c r="CQ11062" s="111"/>
      <c r="EF11062"/>
      <c r="EG11062"/>
      <c r="EH11062"/>
      <c r="EI11062"/>
      <c r="EJ11062"/>
      <c r="EK11062"/>
    </row>
    <row r="11063" spans="1:141" s="116" customFormat="1">
      <c r="A11063" s="136"/>
      <c r="CM11063" s="111"/>
      <c r="CQ11063" s="111"/>
      <c r="EF11063"/>
      <c r="EG11063"/>
      <c r="EH11063"/>
      <c r="EI11063"/>
      <c r="EJ11063"/>
      <c r="EK11063"/>
    </row>
    <row r="11064" spans="1:141" s="116" customFormat="1">
      <c r="A11064" s="136"/>
      <c r="CM11064" s="111"/>
      <c r="CQ11064" s="111"/>
      <c r="EF11064"/>
      <c r="EG11064"/>
      <c r="EH11064"/>
      <c r="EI11064"/>
      <c r="EJ11064"/>
      <c r="EK11064"/>
    </row>
    <row r="11065" spans="1:141" s="116" customFormat="1">
      <c r="A11065" s="136"/>
      <c r="CM11065" s="111"/>
      <c r="CQ11065" s="111"/>
      <c r="EF11065"/>
      <c r="EG11065"/>
      <c r="EH11065"/>
      <c r="EI11065"/>
      <c r="EJ11065"/>
      <c r="EK11065"/>
    </row>
    <row r="11066" spans="1:141" s="116" customFormat="1">
      <c r="A11066" s="136"/>
      <c r="CM11066" s="111"/>
      <c r="CQ11066" s="111"/>
      <c r="EF11066"/>
      <c r="EG11066"/>
      <c r="EH11066"/>
      <c r="EI11066"/>
      <c r="EJ11066"/>
      <c r="EK11066"/>
    </row>
    <row r="11067" spans="1:141" s="116" customFormat="1">
      <c r="A11067" s="136"/>
      <c r="CM11067" s="111"/>
      <c r="CQ11067" s="111"/>
      <c r="EF11067"/>
      <c r="EG11067"/>
      <c r="EH11067"/>
      <c r="EI11067"/>
      <c r="EJ11067"/>
      <c r="EK11067"/>
    </row>
    <row r="11068" spans="1:141" s="116" customFormat="1">
      <c r="A11068" s="136"/>
      <c r="CM11068" s="111"/>
      <c r="CQ11068" s="111"/>
      <c r="EF11068"/>
      <c r="EG11068"/>
      <c r="EH11068"/>
      <c r="EI11068"/>
      <c r="EJ11068"/>
      <c r="EK11068"/>
    </row>
    <row r="11069" spans="1:141" s="116" customFormat="1">
      <c r="A11069" s="136"/>
      <c r="CM11069" s="111"/>
      <c r="CQ11069" s="111"/>
      <c r="EF11069"/>
      <c r="EG11069"/>
      <c r="EH11069"/>
      <c r="EI11069"/>
      <c r="EJ11069"/>
      <c r="EK11069"/>
    </row>
    <row r="11070" spans="1:141" s="116" customFormat="1">
      <c r="A11070" s="136"/>
      <c r="CM11070" s="111"/>
      <c r="CQ11070" s="111"/>
      <c r="EF11070"/>
      <c r="EG11070"/>
      <c r="EH11070"/>
      <c r="EI11070"/>
      <c r="EJ11070"/>
      <c r="EK11070"/>
    </row>
    <row r="11071" spans="1:141" s="116" customFormat="1">
      <c r="A11071" s="136"/>
      <c r="CM11071" s="111"/>
      <c r="CQ11071" s="111"/>
      <c r="EF11071"/>
      <c r="EG11071"/>
      <c r="EH11071"/>
      <c r="EI11071"/>
      <c r="EJ11071"/>
      <c r="EK11071"/>
    </row>
    <row r="11072" spans="1:141" s="116" customFormat="1">
      <c r="A11072" s="136"/>
      <c r="CM11072" s="111"/>
      <c r="CQ11072" s="111"/>
      <c r="EF11072"/>
      <c r="EG11072"/>
      <c r="EH11072"/>
      <c r="EI11072"/>
      <c r="EJ11072"/>
      <c r="EK11072"/>
    </row>
    <row r="11073" spans="1:141" s="116" customFormat="1">
      <c r="A11073" s="136"/>
      <c r="CM11073" s="111"/>
      <c r="CQ11073" s="111"/>
      <c r="EF11073"/>
      <c r="EG11073"/>
      <c r="EH11073"/>
      <c r="EI11073"/>
      <c r="EJ11073"/>
      <c r="EK11073"/>
    </row>
    <row r="11074" spans="1:141" s="116" customFormat="1">
      <c r="A11074" s="136"/>
      <c r="CM11074" s="111"/>
      <c r="CQ11074" s="111"/>
      <c r="EF11074"/>
      <c r="EG11074"/>
      <c r="EH11074"/>
      <c r="EI11074"/>
      <c r="EJ11074"/>
      <c r="EK11074"/>
    </row>
    <row r="11075" spans="1:141" s="116" customFormat="1">
      <c r="A11075" s="136"/>
      <c r="CM11075" s="111"/>
      <c r="CQ11075" s="111"/>
      <c r="EF11075"/>
      <c r="EG11075"/>
      <c r="EH11075"/>
      <c r="EI11075"/>
      <c r="EJ11075"/>
      <c r="EK11075"/>
    </row>
    <row r="11076" spans="1:141" s="116" customFormat="1">
      <c r="A11076" s="136"/>
      <c r="CM11076" s="111"/>
      <c r="CQ11076" s="111"/>
      <c r="EF11076"/>
      <c r="EG11076"/>
      <c r="EH11076"/>
      <c r="EI11076"/>
      <c r="EJ11076"/>
      <c r="EK11076"/>
    </row>
    <row r="11077" spans="1:141" s="116" customFormat="1">
      <c r="A11077" s="136"/>
      <c r="CM11077" s="111"/>
      <c r="CQ11077" s="111"/>
      <c r="EF11077"/>
      <c r="EG11077"/>
      <c r="EH11077"/>
      <c r="EI11077"/>
      <c r="EJ11077"/>
      <c r="EK11077"/>
    </row>
    <row r="11078" spans="1:141" s="116" customFormat="1">
      <c r="A11078" s="136"/>
      <c r="CM11078" s="111"/>
      <c r="CQ11078" s="111"/>
      <c r="EF11078"/>
      <c r="EG11078"/>
      <c r="EH11078"/>
      <c r="EI11078"/>
      <c r="EJ11078"/>
      <c r="EK11078"/>
    </row>
    <row r="11079" spans="1:141" s="116" customFormat="1">
      <c r="A11079" s="136"/>
      <c r="CM11079" s="111"/>
      <c r="CQ11079" s="111"/>
      <c r="EF11079"/>
      <c r="EG11079"/>
      <c r="EH11079"/>
      <c r="EI11079"/>
      <c r="EJ11079"/>
      <c r="EK11079"/>
    </row>
    <row r="11080" spans="1:141" s="116" customFormat="1">
      <c r="A11080" s="136"/>
      <c r="CM11080" s="111"/>
      <c r="CQ11080" s="111"/>
      <c r="EF11080"/>
      <c r="EG11080"/>
      <c r="EH11080"/>
      <c r="EI11080"/>
      <c r="EJ11080"/>
      <c r="EK11080"/>
    </row>
    <row r="11081" spans="1:141" s="116" customFormat="1">
      <c r="A11081" s="136"/>
      <c r="CM11081" s="111"/>
      <c r="CQ11081" s="111"/>
      <c r="EF11081"/>
      <c r="EG11081"/>
      <c r="EH11081"/>
      <c r="EI11081"/>
      <c r="EJ11081"/>
      <c r="EK11081"/>
    </row>
    <row r="11082" spans="1:141" s="116" customFormat="1">
      <c r="A11082" s="136"/>
      <c r="CM11082" s="111"/>
      <c r="CQ11082" s="111"/>
      <c r="EF11082"/>
      <c r="EG11082"/>
      <c r="EH11082"/>
      <c r="EI11082"/>
      <c r="EJ11082"/>
      <c r="EK11082"/>
    </row>
    <row r="11083" spans="1:141" s="116" customFormat="1">
      <c r="A11083" s="136"/>
      <c r="CM11083" s="111"/>
      <c r="CQ11083" s="111"/>
      <c r="EF11083"/>
      <c r="EG11083"/>
      <c r="EH11083"/>
      <c r="EI11083"/>
      <c r="EJ11083"/>
      <c r="EK11083"/>
    </row>
    <row r="11084" spans="1:141" s="116" customFormat="1">
      <c r="A11084" s="136"/>
      <c r="CM11084" s="111"/>
      <c r="CQ11084" s="111"/>
      <c r="EF11084"/>
      <c r="EG11084"/>
      <c r="EH11084"/>
      <c r="EI11084"/>
      <c r="EJ11084"/>
      <c r="EK11084"/>
    </row>
    <row r="11085" spans="1:141" s="116" customFormat="1">
      <c r="A11085" s="136"/>
      <c r="CM11085" s="111"/>
      <c r="CQ11085" s="111"/>
      <c r="EF11085"/>
      <c r="EG11085"/>
      <c r="EH11085"/>
      <c r="EI11085"/>
      <c r="EJ11085"/>
      <c r="EK11085"/>
    </row>
    <row r="11086" spans="1:141" s="116" customFormat="1">
      <c r="A11086" s="136"/>
      <c r="CM11086" s="111"/>
      <c r="CQ11086" s="111"/>
      <c r="EF11086"/>
      <c r="EG11086"/>
      <c r="EH11086"/>
      <c r="EI11086"/>
      <c r="EJ11086"/>
      <c r="EK11086"/>
    </row>
    <row r="11087" spans="1:141" s="116" customFormat="1">
      <c r="A11087" s="136"/>
      <c r="CM11087" s="111"/>
      <c r="CQ11087" s="111"/>
      <c r="EF11087"/>
      <c r="EG11087"/>
      <c r="EH11087"/>
      <c r="EI11087"/>
      <c r="EJ11087"/>
      <c r="EK11087"/>
    </row>
    <row r="11088" spans="1:141" s="116" customFormat="1">
      <c r="A11088" s="136"/>
      <c r="CM11088" s="111"/>
      <c r="CQ11088" s="111"/>
      <c r="EF11088"/>
      <c r="EG11088"/>
      <c r="EH11088"/>
      <c r="EI11088"/>
      <c r="EJ11088"/>
      <c r="EK11088"/>
    </row>
    <row r="11089" spans="1:141" s="116" customFormat="1">
      <c r="A11089" s="136"/>
      <c r="CM11089" s="111"/>
      <c r="CQ11089" s="111"/>
      <c r="EF11089"/>
      <c r="EG11089"/>
      <c r="EH11089"/>
      <c r="EI11089"/>
      <c r="EJ11089"/>
      <c r="EK11089"/>
    </row>
    <row r="11090" spans="1:141" s="116" customFormat="1">
      <c r="A11090" s="136"/>
      <c r="CM11090" s="111"/>
      <c r="CQ11090" s="111"/>
      <c r="EF11090"/>
      <c r="EG11090"/>
      <c r="EH11090"/>
      <c r="EI11090"/>
      <c r="EJ11090"/>
      <c r="EK11090"/>
    </row>
    <row r="11091" spans="1:141" s="116" customFormat="1">
      <c r="A11091" s="136"/>
      <c r="CM11091" s="111"/>
      <c r="CQ11091" s="111"/>
      <c r="EF11091"/>
      <c r="EG11091"/>
      <c r="EH11091"/>
      <c r="EI11091"/>
      <c r="EJ11091"/>
      <c r="EK11091"/>
    </row>
    <row r="11092" spans="1:141" s="116" customFormat="1">
      <c r="A11092" s="136"/>
      <c r="CM11092" s="111"/>
      <c r="CQ11092" s="111"/>
      <c r="EF11092"/>
      <c r="EG11092"/>
      <c r="EH11092"/>
      <c r="EI11092"/>
      <c r="EJ11092"/>
      <c r="EK11092"/>
    </row>
    <row r="11093" spans="1:141" s="116" customFormat="1">
      <c r="A11093" s="136"/>
      <c r="CM11093" s="111"/>
      <c r="CQ11093" s="111"/>
      <c r="EF11093"/>
      <c r="EG11093"/>
      <c r="EH11093"/>
      <c r="EI11093"/>
      <c r="EJ11093"/>
      <c r="EK11093"/>
    </row>
    <row r="11094" spans="1:141" s="116" customFormat="1">
      <c r="A11094" s="136"/>
      <c r="CM11094" s="111"/>
      <c r="CQ11094" s="111"/>
      <c r="EF11094"/>
      <c r="EG11094"/>
      <c r="EH11094"/>
      <c r="EI11094"/>
      <c r="EJ11094"/>
      <c r="EK11094"/>
    </row>
    <row r="11095" spans="1:141" s="116" customFormat="1">
      <c r="A11095" s="136"/>
      <c r="CM11095" s="111"/>
      <c r="CQ11095" s="111"/>
      <c r="EF11095"/>
      <c r="EG11095"/>
      <c r="EH11095"/>
      <c r="EI11095"/>
      <c r="EJ11095"/>
      <c r="EK11095"/>
    </row>
    <row r="11096" spans="1:141" s="116" customFormat="1">
      <c r="A11096" s="136"/>
      <c r="CM11096" s="111"/>
      <c r="CQ11096" s="111"/>
      <c r="EF11096"/>
      <c r="EG11096"/>
      <c r="EH11096"/>
      <c r="EI11096"/>
      <c r="EJ11096"/>
      <c r="EK11096"/>
    </row>
    <row r="11097" spans="1:141" s="116" customFormat="1">
      <c r="A11097" s="136"/>
      <c r="CM11097" s="111"/>
      <c r="CQ11097" s="111"/>
      <c r="EF11097"/>
      <c r="EG11097"/>
      <c r="EH11097"/>
      <c r="EI11097"/>
      <c r="EJ11097"/>
      <c r="EK11097"/>
    </row>
    <row r="11098" spans="1:141" s="116" customFormat="1">
      <c r="A11098" s="136"/>
      <c r="CM11098" s="111"/>
      <c r="CQ11098" s="111"/>
      <c r="EF11098"/>
      <c r="EG11098"/>
      <c r="EH11098"/>
      <c r="EI11098"/>
      <c r="EJ11098"/>
      <c r="EK11098"/>
    </row>
    <row r="11099" spans="1:141" s="116" customFormat="1">
      <c r="A11099" s="136"/>
      <c r="CM11099" s="111"/>
      <c r="CQ11099" s="111"/>
      <c r="EF11099"/>
      <c r="EG11099"/>
      <c r="EH11099"/>
      <c r="EI11099"/>
      <c r="EJ11099"/>
      <c r="EK11099"/>
    </row>
    <row r="11100" spans="1:141" s="116" customFormat="1">
      <c r="A11100" s="136"/>
      <c r="CM11100" s="111"/>
      <c r="CQ11100" s="111"/>
      <c r="EF11100"/>
      <c r="EG11100"/>
      <c r="EH11100"/>
      <c r="EI11100"/>
      <c r="EJ11100"/>
      <c r="EK11100"/>
    </row>
    <row r="11101" spans="1:141" s="116" customFormat="1">
      <c r="A11101" s="136"/>
      <c r="CM11101" s="111"/>
      <c r="CQ11101" s="111"/>
      <c r="EF11101"/>
      <c r="EG11101"/>
      <c r="EH11101"/>
      <c r="EI11101"/>
      <c r="EJ11101"/>
      <c r="EK11101"/>
    </row>
    <row r="11102" spans="1:141" s="116" customFormat="1">
      <c r="A11102" s="136"/>
      <c r="CM11102" s="111"/>
      <c r="CQ11102" s="111"/>
      <c r="EF11102"/>
      <c r="EG11102"/>
      <c r="EH11102"/>
      <c r="EI11102"/>
      <c r="EJ11102"/>
      <c r="EK11102"/>
    </row>
    <row r="11103" spans="1:141" s="116" customFormat="1">
      <c r="A11103" s="136"/>
      <c r="CM11103" s="111"/>
      <c r="CQ11103" s="111"/>
      <c r="EF11103"/>
      <c r="EG11103"/>
      <c r="EH11103"/>
      <c r="EI11103"/>
      <c r="EJ11103"/>
      <c r="EK11103"/>
    </row>
    <row r="11104" spans="1:141" s="116" customFormat="1">
      <c r="A11104" s="136"/>
      <c r="CM11104" s="111"/>
      <c r="CQ11104" s="111"/>
      <c r="EF11104"/>
      <c r="EG11104"/>
      <c r="EH11104"/>
      <c r="EI11104"/>
      <c r="EJ11104"/>
      <c r="EK11104"/>
    </row>
    <row r="11105" spans="1:141" s="116" customFormat="1">
      <c r="A11105" s="136"/>
      <c r="CM11105" s="111"/>
      <c r="CQ11105" s="111"/>
      <c r="EF11105"/>
      <c r="EG11105"/>
      <c r="EH11105"/>
      <c r="EI11105"/>
      <c r="EJ11105"/>
      <c r="EK11105"/>
    </row>
    <row r="11106" spans="1:141" s="116" customFormat="1">
      <c r="A11106" s="136"/>
      <c r="CM11106" s="111"/>
      <c r="CQ11106" s="111"/>
      <c r="EF11106"/>
      <c r="EG11106"/>
      <c r="EH11106"/>
      <c r="EI11106"/>
      <c r="EJ11106"/>
      <c r="EK11106"/>
    </row>
    <row r="11107" spans="1:141" s="116" customFormat="1">
      <c r="A11107" s="136"/>
      <c r="CM11107" s="111"/>
      <c r="CQ11107" s="111"/>
      <c r="EF11107"/>
      <c r="EG11107"/>
      <c r="EH11107"/>
      <c r="EI11107"/>
      <c r="EJ11107"/>
      <c r="EK11107"/>
    </row>
    <row r="11108" spans="1:141" s="116" customFormat="1">
      <c r="A11108" s="136"/>
      <c r="CM11108" s="111"/>
      <c r="CQ11108" s="111"/>
      <c r="EF11108"/>
      <c r="EG11108"/>
      <c r="EH11108"/>
      <c r="EI11108"/>
      <c r="EJ11108"/>
      <c r="EK11108"/>
    </row>
    <row r="11109" spans="1:141" s="116" customFormat="1">
      <c r="A11109" s="136"/>
      <c r="CM11109" s="111"/>
      <c r="CQ11109" s="111"/>
      <c r="EF11109"/>
      <c r="EG11109"/>
      <c r="EH11109"/>
      <c r="EI11109"/>
      <c r="EJ11109"/>
      <c r="EK11109"/>
    </row>
    <row r="11110" spans="1:141" s="116" customFormat="1">
      <c r="A11110" s="136"/>
      <c r="CM11110" s="111"/>
      <c r="CQ11110" s="111"/>
      <c r="EF11110"/>
      <c r="EG11110"/>
      <c r="EH11110"/>
      <c r="EI11110"/>
      <c r="EJ11110"/>
      <c r="EK11110"/>
    </row>
    <row r="11111" spans="1:141" s="116" customFormat="1">
      <c r="A11111" s="136"/>
      <c r="CM11111" s="111"/>
      <c r="CQ11111" s="111"/>
      <c r="EF11111"/>
      <c r="EG11111"/>
      <c r="EH11111"/>
      <c r="EI11111"/>
      <c r="EJ11111"/>
      <c r="EK11111"/>
    </row>
    <row r="11112" spans="1:141" s="116" customFormat="1">
      <c r="A11112" s="136"/>
      <c r="CM11112" s="111"/>
      <c r="CQ11112" s="111"/>
      <c r="EF11112"/>
      <c r="EG11112"/>
      <c r="EH11112"/>
      <c r="EI11112"/>
      <c r="EJ11112"/>
      <c r="EK11112"/>
    </row>
    <row r="11113" spans="1:141" s="116" customFormat="1">
      <c r="A11113" s="136"/>
      <c r="CM11113" s="111"/>
      <c r="CQ11113" s="111"/>
      <c r="EF11113"/>
      <c r="EG11113"/>
      <c r="EH11113"/>
      <c r="EI11113"/>
      <c r="EJ11113"/>
      <c r="EK11113"/>
    </row>
    <row r="11114" spans="1:141" s="116" customFormat="1">
      <c r="A11114" s="136"/>
      <c r="CM11114" s="111"/>
      <c r="CQ11114" s="111"/>
      <c r="EF11114"/>
      <c r="EG11114"/>
      <c r="EH11114"/>
      <c r="EI11114"/>
      <c r="EJ11114"/>
      <c r="EK11114"/>
    </row>
    <row r="11115" spans="1:141" s="116" customFormat="1">
      <c r="A11115" s="136"/>
      <c r="CM11115" s="111"/>
      <c r="CQ11115" s="111"/>
      <c r="EF11115"/>
      <c r="EG11115"/>
      <c r="EH11115"/>
      <c r="EI11115"/>
      <c r="EJ11115"/>
      <c r="EK11115"/>
    </row>
    <row r="11116" spans="1:141" s="116" customFormat="1">
      <c r="A11116" s="136"/>
      <c r="CM11116" s="111"/>
      <c r="CQ11116" s="111"/>
      <c r="EF11116"/>
      <c r="EG11116"/>
      <c r="EH11116"/>
      <c r="EI11116"/>
      <c r="EJ11116"/>
      <c r="EK11116"/>
    </row>
    <row r="11117" spans="1:141" s="116" customFormat="1">
      <c r="A11117" s="136"/>
      <c r="CM11117" s="111"/>
      <c r="CQ11117" s="111"/>
      <c r="EF11117"/>
      <c r="EG11117"/>
      <c r="EH11117"/>
      <c r="EI11117"/>
      <c r="EJ11117"/>
      <c r="EK11117"/>
    </row>
    <row r="11118" spans="1:141" s="116" customFormat="1">
      <c r="A11118" s="136"/>
      <c r="CM11118" s="111"/>
      <c r="CQ11118" s="111"/>
      <c r="EF11118"/>
      <c r="EG11118"/>
      <c r="EH11118"/>
      <c r="EI11118"/>
      <c r="EJ11118"/>
      <c r="EK11118"/>
    </row>
    <row r="11119" spans="1:141" s="116" customFormat="1">
      <c r="A11119" s="136"/>
      <c r="CM11119" s="111"/>
      <c r="CQ11119" s="111"/>
      <c r="EF11119"/>
      <c r="EG11119"/>
      <c r="EH11119"/>
      <c r="EI11119"/>
      <c r="EJ11119"/>
      <c r="EK11119"/>
    </row>
    <row r="11120" spans="1:141" s="116" customFormat="1">
      <c r="A11120" s="136"/>
      <c r="CM11120" s="111"/>
      <c r="CQ11120" s="111"/>
      <c r="EF11120"/>
      <c r="EG11120"/>
      <c r="EH11120"/>
      <c r="EI11120"/>
      <c r="EJ11120"/>
      <c r="EK11120"/>
    </row>
    <row r="11121" spans="1:141" s="116" customFormat="1">
      <c r="A11121" s="136"/>
      <c r="CM11121" s="111"/>
      <c r="CQ11121" s="111"/>
      <c r="EF11121"/>
      <c r="EG11121"/>
      <c r="EH11121"/>
      <c r="EI11121"/>
      <c r="EJ11121"/>
      <c r="EK11121"/>
    </row>
    <row r="11122" spans="1:141" s="116" customFormat="1">
      <c r="A11122" s="136"/>
      <c r="CM11122" s="111"/>
      <c r="CQ11122" s="111"/>
      <c r="EF11122"/>
      <c r="EG11122"/>
      <c r="EH11122"/>
      <c r="EI11122"/>
      <c r="EJ11122"/>
      <c r="EK11122"/>
    </row>
    <row r="11123" spans="1:141" s="116" customFormat="1">
      <c r="A11123" s="136"/>
      <c r="CM11123" s="111"/>
      <c r="CQ11123" s="111"/>
      <c r="EF11123"/>
      <c r="EG11123"/>
      <c r="EH11123"/>
      <c r="EI11123"/>
      <c r="EJ11123"/>
      <c r="EK11123"/>
    </row>
    <row r="11124" spans="1:141" s="116" customFormat="1">
      <c r="A11124" s="136"/>
      <c r="CM11124" s="111"/>
      <c r="CQ11124" s="111"/>
      <c r="EF11124"/>
      <c r="EG11124"/>
      <c r="EH11124"/>
      <c r="EI11124"/>
      <c r="EJ11124"/>
      <c r="EK11124"/>
    </row>
    <row r="11125" spans="1:141" s="116" customFormat="1">
      <c r="A11125" s="136"/>
      <c r="CM11125" s="111"/>
      <c r="CQ11125" s="111"/>
      <c r="EF11125"/>
      <c r="EG11125"/>
      <c r="EH11125"/>
      <c r="EI11125"/>
      <c r="EJ11125"/>
      <c r="EK11125"/>
    </row>
    <row r="11126" spans="1:141" s="116" customFormat="1">
      <c r="A11126" s="136"/>
      <c r="CM11126" s="111"/>
      <c r="CQ11126" s="111"/>
      <c r="EF11126"/>
      <c r="EG11126"/>
      <c r="EH11126"/>
      <c r="EI11126"/>
      <c r="EJ11126"/>
      <c r="EK11126"/>
    </row>
    <row r="11127" spans="1:141" s="116" customFormat="1">
      <c r="A11127" s="136"/>
      <c r="CM11127" s="111"/>
      <c r="CQ11127" s="111"/>
      <c r="EF11127"/>
      <c r="EG11127"/>
      <c r="EH11127"/>
      <c r="EI11127"/>
      <c r="EJ11127"/>
      <c r="EK11127"/>
    </row>
    <row r="11128" spans="1:141" s="116" customFormat="1">
      <c r="A11128" s="136"/>
      <c r="CM11128" s="111"/>
      <c r="CQ11128" s="111"/>
      <c r="EF11128"/>
      <c r="EG11128"/>
      <c r="EH11128"/>
      <c r="EI11128"/>
      <c r="EJ11128"/>
      <c r="EK11128"/>
    </row>
    <row r="11129" spans="1:141" s="116" customFormat="1">
      <c r="A11129" s="136"/>
      <c r="CM11129" s="111"/>
      <c r="CQ11129" s="111"/>
      <c r="EF11129"/>
      <c r="EG11129"/>
      <c r="EH11129"/>
      <c r="EI11129"/>
      <c r="EJ11129"/>
      <c r="EK11129"/>
    </row>
    <row r="11130" spans="1:141" s="116" customFormat="1">
      <c r="A11130" s="136"/>
      <c r="CM11130" s="111"/>
      <c r="CQ11130" s="111"/>
      <c r="EF11130"/>
      <c r="EG11130"/>
      <c r="EH11130"/>
      <c r="EI11130"/>
      <c r="EJ11130"/>
      <c r="EK11130"/>
    </row>
    <row r="11131" spans="1:141" s="116" customFormat="1">
      <c r="A11131" s="136"/>
      <c r="CM11131" s="111"/>
      <c r="CQ11131" s="111"/>
      <c r="EF11131"/>
      <c r="EG11131"/>
      <c r="EH11131"/>
      <c r="EI11131"/>
      <c r="EJ11131"/>
      <c r="EK11131"/>
    </row>
    <row r="11132" spans="1:141" s="116" customFormat="1">
      <c r="A11132" s="136"/>
      <c r="CM11132" s="111"/>
      <c r="CQ11132" s="111"/>
      <c r="EF11132"/>
      <c r="EG11132"/>
      <c r="EH11132"/>
      <c r="EI11132"/>
      <c r="EJ11132"/>
      <c r="EK11132"/>
    </row>
    <row r="11133" spans="1:141" s="116" customFormat="1">
      <c r="A11133" s="136"/>
      <c r="CM11133" s="111"/>
      <c r="CQ11133" s="111"/>
      <c r="EF11133"/>
      <c r="EG11133"/>
      <c r="EH11133"/>
      <c r="EI11133"/>
      <c r="EJ11133"/>
      <c r="EK11133"/>
    </row>
    <row r="11134" spans="1:141" s="116" customFormat="1">
      <c r="A11134" s="136"/>
      <c r="CM11134" s="111"/>
      <c r="CQ11134" s="111"/>
      <c r="EF11134"/>
      <c r="EG11134"/>
      <c r="EH11134"/>
      <c r="EI11134"/>
      <c r="EJ11134"/>
      <c r="EK11134"/>
    </row>
    <row r="11135" spans="1:141" s="116" customFormat="1">
      <c r="A11135" s="136"/>
      <c r="CM11135" s="111"/>
      <c r="CQ11135" s="111"/>
      <c r="EF11135"/>
      <c r="EG11135"/>
      <c r="EH11135"/>
      <c r="EI11135"/>
      <c r="EJ11135"/>
      <c r="EK11135"/>
    </row>
    <row r="11136" spans="1:141" s="116" customFormat="1">
      <c r="A11136" s="136"/>
      <c r="CM11136" s="111"/>
      <c r="CQ11136" s="111"/>
      <c r="EF11136"/>
      <c r="EG11136"/>
      <c r="EH11136"/>
      <c r="EI11136"/>
      <c r="EJ11136"/>
      <c r="EK11136"/>
    </row>
    <row r="11137" spans="1:141" s="116" customFormat="1">
      <c r="A11137" s="136"/>
      <c r="CM11137" s="111"/>
      <c r="CQ11137" s="111"/>
      <c r="EF11137"/>
      <c r="EG11137"/>
      <c r="EH11137"/>
      <c r="EI11137"/>
      <c r="EJ11137"/>
      <c r="EK11137"/>
    </row>
    <row r="11138" spans="1:141" s="116" customFormat="1">
      <c r="A11138" s="136"/>
      <c r="CM11138" s="111"/>
      <c r="CQ11138" s="111"/>
      <c r="EF11138"/>
      <c r="EG11138"/>
      <c r="EH11138"/>
      <c r="EI11138"/>
      <c r="EJ11138"/>
      <c r="EK11138"/>
    </row>
    <row r="11139" spans="1:141" s="116" customFormat="1">
      <c r="A11139" s="136"/>
      <c r="CM11139" s="111"/>
      <c r="CQ11139" s="111"/>
      <c r="EF11139"/>
      <c r="EG11139"/>
      <c r="EH11139"/>
      <c r="EI11139"/>
      <c r="EJ11139"/>
      <c r="EK11139"/>
    </row>
    <row r="11140" spans="1:141" s="116" customFormat="1">
      <c r="A11140" s="136"/>
      <c r="CM11140" s="111"/>
      <c r="CQ11140" s="111"/>
      <c r="EF11140"/>
      <c r="EG11140"/>
      <c r="EH11140"/>
      <c r="EI11140"/>
      <c r="EJ11140"/>
      <c r="EK11140"/>
    </row>
    <row r="11141" spans="1:141" s="116" customFormat="1">
      <c r="A11141" s="136"/>
      <c r="CM11141" s="111"/>
      <c r="CQ11141" s="111"/>
      <c r="EF11141"/>
      <c r="EG11141"/>
      <c r="EH11141"/>
      <c r="EI11141"/>
      <c r="EJ11141"/>
      <c r="EK11141"/>
    </row>
    <row r="11142" spans="1:141" s="116" customFormat="1">
      <c r="A11142" s="136"/>
      <c r="CM11142" s="111"/>
      <c r="CQ11142" s="111"/>
      <c r="EF11142"/>
      <c r="EG11142"/>
      <c r="EH11142"/>
      <c r="EI11142"/>
      <c r="EJ11142"/>
      <c r="EK11142"/>
    </row>
    <row r="11143" spans="1:141" s="116" customFormat="1">
      <c r="A11143" s="136"/>
      <c r="CM11143" s="111"/>
      <c r="CQ11143" s="111"/>
      <c r="EF11143"/>
      <c r="EG11143"/>
      <c r="EH11143"/>
      <c r="EI11143"/>
      <c r="EJ11143"/>
      <c r="EK11143"/>
    </row>
    <row r="11144" spans="1:141" s="116" customFormat="1">
      <c r="A11144" s="136"/>
      <c r="CM11144" s="111"/>
      <c r="CQ11144" s="111"/>
      <c r="EF11144"/>
      <c r="EG11144"/>
      <c r="EH11144"/>
      <c r="EI11144"/>
      <c r="EJ11144"/>
      <c r="EK11144"/>
    </row>
    <row r="11145" spans="1:141" s="116" customFormat="1">
      <c r="A11145" s="136"/>
      <c r="CM11145" s="111"/>
      <c r="CQ11145" s="111"/>
      <c r="EF11145"/>
      <c r="EG11145"/>
      <c r="EH11145"/>
      <c r="EI11145"/>
      <c r="EJ11145"/>
      <c r="EK11145"/>
    </row>
    <row r="11146" spans="1:141" s="116" customFormat="1">
      <c r="A11146" s="136"/>
      <c r="CM11146" s="111"/>
      <c r="CQ11146" s="111"/>
      <c r="EF11146"/>
      <c r="EG11146"/>
      <c r="EH11146"/>
      <c r="EI11146"/>
      <c r="EJ11146"/>
      <c r="EK11146"/>
    </row>
    <row r="11147" spans="1:141" s="116" customFormat="1">
      <c r="A11147" s="136"/>
      <c r="CM11147" s="111"/>
      <c r="CQ11147" s="111"/>
      <c r="EF11147"/>
      <c r="EG11147"/>
      <c r="EH11147"/>
      <c r="EI11147"/>
      <c r="EJ11147"/>
      <c r="EK11147"/>
    </row>
    <row r="11148" spans="1:141" s="116" customFormat="1">
      <c r="A11148" s="136"/>
      <c r="CM11148" s="111"/>
      <c r="CQ11148" s="111"/>
      <c r="EF11148"/>
      <c r="EG11148"/>
      <c r="EH11148"/>
      <c r="EI11148"/>
      <c r="EJ11148"/>
      <c r="EK11148"/>
    </row>
    <row r="11149" spans="1:141" s="116" customFormat="1">
      <c r="A11149" s="136"/>
      <c r="CM11149" s="111"/>
      <c r="CQ11149" s="111"/>
      <c r="EF11149"/>
      <c r="EG11149"/>
      <c r="EH11149"/>
      <c r="EI11149"/>
      <c r="EJ11149"/>
      <c r="EK11149"/>
    </row>
    <row r="11150" spans="1:141" s="116" customFormat="1">
      <c r="A11150" s="136"/>
      <c r="CM11150" s="111"/>
      <c r="CQ11150" s="111"/>
      <c r="EF11150"/>
      <c r="EG11150"/>
      <c r="EH11150"/>
      <c r="EI11150"/>
      <c r="EJ11150"/>
      <c r="EK11150"/>
    </row>
    <row r="11151" spans="1:141" s="116" customFormat="1">
      <c r="A11151" s="136"/>
      <c r="CM11151" s="111"/>
      <c r="CQ11151" s="111"/>
      <c r="EF11151"/>
      <c r="EG11151"/>
      <c r="EH11151"/>
      <c r="EI11151"/>
      <c r="EJ11151"/>
      <c r="EK11151"/>
    </row>
    <row r="11152" spans="1:141" s="116" customFormat="1">
      <c r="A11152" s="136"/>
      <c r="CM11152" s="111"/>
      <c r="CQ11152" s="111"/>
      <c r="EF11152"/>
      <c r="EG11152"/>
      <c r="EH11152"/>
      <c r="EI11152"/>
      <c r="EJ11152"/>
      <c r="EK11152"/>
    </row>
    <row r="11153" spans="1:141" s="116" customFormat="1">
      <c r="A11153" s="136"/>
      <c r="CM11153" s="111"/>
      <c r="CQ11153" s="111"/>
      <c r="EF11153"/>
      <c r="EG11153"/>
      <c r="EH11153"/>
      <c r="EI11153"/>
      <c r="EJ11153"/>
      <c r="EK11153"/>
    </row>
    <row r="11154" spans="1:141" s="116" customFormat="1">
      <c r="A11154" s="136"/>
      <c r="CM11154" s="111"/>
      <c r="CQ11154" s="111"/>
      <c r="EF11154"/>
      <c r="EG11154"/>
      <c r="EH11154"/>
      <c r="EI11154"/>
      <c r="EJ11154"/>
      <c r="EK11154"/>
    </row>
    <row r="11155" spans="1:141" s="116" customFormat="1">
      <c r="A11155" s="136"/>
      <c r="CM11155" s="111"/>
      <c r="CQ11155" s="111"/>
      <c r="EF11155"/>
      <c r="EG11155"/>
      <c r="EH11155"/>
      <c r="EI11155"/>
      <c r="EJ11155"/>
      <c r="EK11155"/>
    </row>
    <row r="11156" spans="1:141" s="116" customFormat="1">
      <c r="A11156" s="136"/>
      <c r="CM11156" s="111"/>
      <c r="CQ11156" s="111"/>
      <c r="EF11156"/>
      <c r="EG11156"/>
      <c r="EH11156"/>
      <c r="EI11156"/>
      <c r="EJ11156"/>
      <c r="EK11156"/>
    </row>
    <row r="11157" spans="1:141" s="116" customFormat="1">
      <c r="A11157" s="136"/>
      <c r="CM11157" s="111"/>
      <c r="CQ11157" s="111"/>
      <c r="EF11157"/>
      <c r="EG11157"/>
      <c r="EH11157"/>
      <c r="EI11157"/>
      <c r="EJ11157"/>
      <c r="EK11157"/>
    </row>
    <row r="11158" spans="1:141" s="116" customFormat="1">
      <c r="A11158" s="136"/>
      <c r="CM11158" s="111"/>
      <c r="CQ11158" s="111"/>
      <c r="EF11158"/>
      <c r="EG11158"/>
      <c r="EH11158"/>
      <c r="EI11158"/>
      <c r="EJ11158"/>
      <c r="EK11158"/>
    </row>
    <row r="11159" spans="1:141" s="116" customFormat="1">
      <c r="A11159" s="136"/>
      <c r="CM11159" s="111"/>
      <c r="CQ11159" s="111"/>
      <c r="EF11159"/>
      <c r="EG11159"/>
      <c r="EH11159"/>
      <c r="EI11159"/>
      <c r="EJ11159"/>
      <c r="EK11159"/>
    </row>
    <row r="11160" spans="1:141" s="116" customFormat="1">
      <c r="A11160" s="136"/>
      <c r="CM11160" s="111"/>
      <c r="CQ11160" s="111"/>
      <c r="EF11160"/>
      <c r="EG11160"/>
      <c r="EH11160"/>
      <c r="EI11160"/>
      <c r="EJ11160"/>
      <c r="EK11160"/>
    </row>
    <row r="11161" spans="1:141" s="116" customFormat="1">
      <c r="A11161" s="136"/>
      <c r="CM11161" s="111"/>
      <c r="CQ11161" s="111"/>
      <c r="EF11161"/>
      <c r="EG11161"/>
      <c r="EH11161"/>
      <c r="EI11161"/>
      <c r="EJ11161"/>
      <c r="EK11161"/>
    </row>
    <row r="11162" spans="1:141" s="116" customFormat="1">
      <c r="A11162" s="136"/>
      <c r="CM11162" s="111"/>
      <c r="CQ11162" s="111"/>
      <c r="EF11162"/>
      <c r="EG11162"/>
      <c r="EH11162"/>
      <c r="EI11162"/>
      <c r="EJ11162"/>
      <c r="EK11162"/>
    </row>
    <row r="11163" spans="1:141" s="116" customFormat="1">
      <c r="A11163" s="136"/>
      <c r="CM11163" s="111"/>
      <c r="CQ11163" s="111"/>
      <c r="EF11163"/>
      <c r="EG11163"/>
      <c r="EH11163"/>
      <c r="EI11163"/>
      <c r="EJ11163"/>
      <c r="EK11163"/>
    </row>
    <row r="11164" spans="1:141" s="116" customFormat="1">
      <c r="A11164" s="136"/>
      <c r="CM11164" s="111"/>
      <c r="CQ11164" s="111"/>
      <c r="EF11164"/>
      <c r="EG11164"/>
      <c r="EH11164"/>
      <c r="EI11164"/>
      <c r="EJ11164"/>
      <c r="EK11164"/>
    </row>
    <row r="11165" spans="1:141" s="116" customFormat="1">
      <c r="A11165" s="136"/>
      <c r="CM11165" s="111"/>
      <c r="CQ11165" s="111"/>
      <c r="EF11165"/>
      <c r="EG11165"/>
      <c r="EH11165"/>
      <c r="EI11165"/>
      <c r="EJ11165"/>
      <c r="EK11165"/>
    </row>
    <row r="11166" spans="1:141" s="116" customFormat="1">
      <c r="A11166" s="136"/>
      <c r="CM11166" s="111"/>
      <c r="CQ11166" s="111"/>
      <c r="EF11166"/>
      <c r="EG11166"/>
      <c r="EH11166"/>
      <c r="EI11166"/>
      <c r="EJ11166"/>
      <c r="EK11166"/>
    </row>
    <row r="11167" spans="1:141" s="116" customFormat="1">
      <c r="A11167" s="136"/>
      <c r="CM11167" s="111"/>
      <c r="CQ11167" s="111"/>
      <c r="EF11167"/>
      <c r="EG11167"/>
      <c r="EH11167"/>
      <c r="EI11167"/>
      <c r="EJ11167"/>
      <c r="EK11167"/>
    </row>
    <row r="11168" spans="1:141" s="116" customFormat="1">
      <c r="A11168" s="136"/>
      <c r="CM11168" s="111"/>
      <c r="CQ11168" s="111"/>
      <c r="EF11168"/>
      <c r="EG11168"/>
      <c r="EH11168"/>
      <c r="EI11168"/>
      <c r="EJ11168"/>
      <c r="EK11168"/>
    </row>
    <row r="11169" spans="1:141" s="116" customFormat="1">
      <c r="A11169" s="136"/>
      <c r="CM11169" s="111"/>
      <c r="CQ11169" s="111"/>
      <c r="EF11169"/>
      <c r="EG11169"/>
      <c r="EH11169"/>
      <c r="EI11169"/>
      <c r="EJ11169"/>
      <c r="EK11169"/>
    </row>
    <row r="11170" spans="1:141" s="116" customFormat="1">
      <c r="A11170" s="136"/>
      <c r="CM11170" s="111"/>
      <c r="CQ11170" s="111"/>
      <c r="EF11170"/>
      <c r="EG11170"/>
      <c r="EH11170"/>
      <c r="EI11170"/>
      <c r="EJ11170"/>
      <c r="EK11170"/>
    </row>
    <row r="11171" spans="1:141" s="116" customFormat="1">
      <c r="A11171" s="136"/>
      <c r="CM11171" s="111"/>
      <c r="CQ11171" s="111"/>
      <c r="EF11171"/>
      <c r="EG11171"/>
      <c r="EH11171"/>
      <c r="EI11171"/>
      <c r="EJ11171"/>
      <c r="EK11171"/>
    </row>
    <row r="11172" spans="1:141" s="116" customFormat="1">
      <c r="A11172" s="136"/>
      <c r="CM11172" s="111"/>
      <c r="CQ11172" s="111"/>
      <c r="EF11172"/>
      <c r="EG11172"/>
      <c r="EH11172"/>
      <c r="EI11172"/>
      <c r="EJ11172"/>
      <c r="EK11172"/>
    </row>
    <row r="11173" spans="1:141" s="116" customFormat="1">
      <c r="A11173" s="136"/>
      <c r="CM11173" s="111"/>
      <c r="CQ11173" s="111"/>
      <c r="EF11173"/>
      <c r="EG11173"/>
      <c r="EH11173"/>
      <c r="EI11173"/>
      <c r="EJ11173"/>
      <c r="EK11173"/>
    </row>
    <row r="11174" spans="1:141" s="116" customFormat="1">
      <c r="A11174" s="136"/>
      <c r="CM11174" s="111"/>
      <c r="CQ11174" s="111"/>
      <c r="EF11174"/>
      <c r="EG11174"/>
      <c r="EH11174"/>
      <c r="EI11174"/>
      <c r="EJ11174"/>
      <c r="EK11174"/>
    </row>
    <row r="11175" spans="1:141" s="116" customFormat="1">
      <c r="A11175" s="136"/>
      <c r="CM11175" s="111"/>
      <c r="CQ11175" s="111"/>
      <c r="EF11175"/>
      <c r="EG11175"/>
      <c r="EH11175"/>
      <c r="EI11175"/>
      <c r="EJ11175"/>
      <c r="EK11175"/>
    </row>
    <row r="11176" spans="1:141" s="116" customFormat="1">
      <c r="A11176" s="136"/>
      <c r="CM11176" s="111"/>
      <c r="CQ11176" s="111"/>
      <c r="EF11176"/>
      <c r="EG11176"/>
      <c r="EH11176"/>
      <c r="EI11176"/>
      <c r="EJ11176"/>
      <c r="EK11176"/>
    </row>
    <row r="11177" spans="1:141" s="116" customFormat="1">
      <c r="A11177" s="136"/>
      <c r="CM11177" s="111"/>
      <c r="CQ11177" s="111"/>
      <c r="EF11177"/>
      <c r="EG11177"/>
      <c r="EH11177"/>
      <c r="EI11177"/>
      <c r="EJ11177"/>
      <c r="EK11177"/>
    </row>
    <row r="11178" spans="1:141" s="116" customFormat="1">
      <c r="A11178" s="136"/>
      <c r="CM11178" s="111"/>
      <c r="CQ11178" s="111"/>
      <c r="EF11178"/>
      <c r="EG11178"/>
      <c r="EH11178"/>
      <c r="EI11178"/>
      <c r="EJ11178"/>
      <c r="EK11178"/>
    </row>
    <row r="11179" spans="1:141" s="116" customFormat="1">
      <c r="A11179" s="136"/>
      <c r="CM11179" s="111"/>
      <c r="CQ11179" s="111"/>
      <c r="EF11179"/>
      <c r="EG11179"/>
      <c r="EH11179"/>
      <c r="EI11179"/>
      <c r="EJ11179"/>
      <c r="EK11179"/>
    </row>
    <row r="11180" spans="1:141" s="116" customFormat="1">
      <c r="A11180" s="136"/>
      <c r="CM11180" s="111"/>
      <c r="CQ11180" s="111"/>
      <c r="EF11180"/>
      <c r="EG11180"/>
      <c r="EH11180"/>
      <c r="EI11180"/>
      <c r="EJ11180"/>
      <c r="EK11180"/>
    </row>
    <row r="11181" spans="1:141" s="116" customFormat="1">
      <c r="A11181" s="136"/>
      <c r="CM11181" s="111"/>
      <c r="CQ11181" s="111"/>
      <c r="EF11181"/>
      <c r="EG11181"/>
      <c r="EH11181"/>
      <c r="EI11181"/>
      <c r="EJ11181"/>
      <c r="EK11181"/>
    </row>
    <row r="11182" spans="1:141" s="116" customFormat="1">
      <c r="A11182" s="136"/>
      <c r="CM11182" s="111"/>
      <c r="CQ11182" s="111"/>
      <c r="EF11182"/>
      <c r="EG11182"/>
      <c r="EH11182"/>
      <c r="EI11182"/>
      <c r="EJ11182"/>
      <c r="EK11182"/>
    </row>
    <row r="11183" spans="1:141" s="116" customFormat="1">
      <c r="A11183" s="136"/>
      <c r="CM11183" s="111"/>
      <c r="CQ11183" s="111"/>
      <c r="EF11183"/>
      <c r="EG11183"/>
      <c r="EH11183"/>
      <c r="EI11183"/>
      <c r="EJ11183"/>
      <c r="EK11183"/>
    </row>
    <row r="11184" spans="1:141" s="116" customFormat="1">
      <c r="A11184" s="136"/>
      <c r="CM11184" s="111"/>
      <c r="CQ11184" s="111"/>
      <c r="EF11184"/>
      <c r="EG11184"/>
      <c r="EH11184"/>
      <c r="EI11184"/>
      <c r="EJ11184"/>
      <c r="EK11184"/>
    </row>
    <row r="11185" spans="1:141" s="116" customFormat="1">
      <c r="A11185" s="136"/>
      <c r="CM11185" s="111"/>
      <c r="CQ11185" s="111"/>
      <c r="EF11185"/>
      <c r="EG11185"/>
      <c r="EH11185"/>
      <c r="EI11185"/>
      <c r="EJ11185"/>
      <c r="EK11185"/>
    </row>
    <row r="11186" spans="1:141" s="116" customFormat="1">
      <c r="A11186" s="136"/>
      <c r="CM11186" s="111"/>
      <c r="CQ11186" s="111"/>
      <c r="EF11186"/>
      <c r="EG11186"/>
      <c r="EH11186"/>
      <c r="EI11186"/>
      <c r="EJ11186"/>
      <c r="EK11186"/>
    </row>
    <row r="11187" spans="1:141" s="116" customFormat="1">
      <c r="A11187" s="136"/>
      <c r="CM11187" s="111"/>
      <c r="CQ11187" s="111"/>
      <c r="EF11187"/>
      <c r="EG11187"/>
      <c r="EH11187"/>
      <c r="EI11187"/>
      <c r="EJ11187"/>
      <c r="EK11187"/>
    </row>
    <row r="11188" spans="1:141" s="116" customFormat="1">
      <c r="A11188" s="136"/>
      <c r="CM11188" s="111"/>
      <c r="CQ11188" s="111"/>
      <c r="EF11188"/>
      <c r="EG11188"/>
      <c r="EH11188"/>
      <c r="EI11188"/>
      <c r="EJ11188"/>
      <c r="EK11188"/>
    </row>
    <row r="11189" spans="1:141" s="116" customFormat="1">
      <c r="A11189" s="136"/>
      <c r="CM11189" s="111"/>
      <c r="CQ11189" s="111"/>
      <c r="EF11189"/>
      <c r="EG11189"/>
      <c r="EH11189"/>
      <c r="EI11189"/>
      <c r="EJ11189"/>
      <c r="EK11189"/>
    </row>
    <row r="11190" spans="1:141" s="116" customFormat="1">
      <c r="A11190" s="136"/>
      <c r="CM11190" s="111"/>
      <c r="CQ11190" s="111"/>
      <c r="EF11190"/>
      <c r="EG11190"/>
      <c r="EH11190"/>
      <c r="EI11190"/>
      <c r="EJ11190"/>
      <c r="EK11190"/>
    </row>
    <row r="11191" spans="1:141" s="116" customFormat="1">
      <c r="A11191" s="136"/>
      <c r="CM11191" s="111"/>
      <c r="CQ11191" s="111"/>
      <c r="EF11191"/>
      <c r="EG11191"/>
      <c r="EH11191"/>
      <c r="EI11191"/>
      <c r="EJ11191"/>
      <c r="EK11191"/>
    </row>
    <row r="11192" spans="1:141" s="116" customFormat="1">
      <c r="A11192" s="136"/>
      <c r="CM11192" s="111"/>
      <c r="CQ11192" s="111"/>
      <c r="EF11192"/>
      <c r="EG11192"/>
      <c r="EH11192"/>
      <c r="EI11192"/>
      <c r="EJ11192"/>
      <c r="EK11192"/>
    </row>
    <row r="11193" spans="1:141" s="116" customFormat="1">
      <c r="A11193" s="136"/>
      <c r="CM11193" s="111"/>
      <c r="CQ11193" s="111"/>
      <c r="EF11193"/>
      <c r="EG11193"/>
      <c r="EH11193"/>
      <c r="EI11193"/>
      <c r="EJ11193"/>
      <c r="EK11193"/>
    </row>
    <row r="11194" spans="1:141" s="116" customFormat="1">
      <c r="A11194" s="136"/>
      <c r="CM11194" s="111"/>
      <c r="CQ11194" s="111"/>
      <c r="EF11194"/>
      <c r="EG11194"/>
      <c r="EH11194"/>
      <c r="EI11194"/>
      <c r="EJ11194"/>
      <c r="EK11194"/>
    </row>
    <row r="11195" spans="1:141" s="116" customFormat="1">
      <c r="A11195" s="136"/>
      <c r="CM11195" s="111"/>
      <c r="CQ11195" s="111"/>
      <c r="EF11195"/>
      <c r="EG11195"/>
      <c r="EH11195"/>
      <c r="EI11195"/>
      <c r="EJ11195"/>
      <c r="EK11195"/>
    </row>
    <row r="11196" spans="1:141" s="116" customFormat="1">
      <c r="A11196" s="136"/>
      <c r="CM11196" s="111"/>
      <c r="CQ11196" s="111"/>
      <c r="EF11196"/>
      <c r="EG11196"/>
      <c r="EH11196"/>
      <c r="EI11196"/>
      <c r="EJ11196"/>
      <c r="EK11196"/>
    </row>
    <row r="11197" spans="1:141" s="116" customFormat="1">
      <c r="A11197" s="136"/>
      <c r="CM11197" s="111"/>
      <c r="CQ11197" s="111"/>
      <c r="EF11197"/>
      <c r="EG11197"/>
      <c r="EH11197"/>
      <c r="EI11197"/>
      <c r="EJ11197"/>
      <c r="EK11197"/>
    </row>
    <row r="11198" spans="1:141" s="116" customFormat="1">
      <c r="A11198" s="136"/>
      <c r="CM11198" s="111"/>
      <c r="CQ11198" s="111"/>
      <c r="EF11198"/>
      <c r="EG11198"/>
      <c r="EH11198"/>
      <c r="EI11198"/>
      <c r="EJ11198"/>
      <c r="EK11198"/>
    </row>
    <row r="11199" spans="1:141" s="116" customFormat="1">
      <c r="A11199" s="136"/>
      <c r="CM11199" s="111"/>
      <c r="CQ11199" s="111"/>
      <c r="EF11199"/>
      <c r="EG11199"/>
      <c r="EH11199"/>
      <c r="EI11199"/>
      <c r="EJ11199"/>
      <c r="EK11199"/>
    </row>
    <row r="11200" spans="1:141" s="116" customFormat="1">
      <c r="A11200" s="136"/>
      <c r="CM11200" s="111"/>
      <c r="CQ11200" s="111"/>
      <c r="EF11200"/>
      <c r="EG11200"/>
      <c r="EH11200"/>
      <c r="EI11200"/>
      <c r="EJ11200"/>
      <c r="EK11200"/>
    </row>
    <row r="11201" spans="1:141" s="116" customFormat="1">
      <c r="A11201" s="136"/>
      <c r="CM11201" s="111"/>
      <c r="CQ11201" s="111"/>
      <c r="EF11201"/>
      <c r="EG11201"/>
      <c r="EH11201"/>
      <c r="EI11201"/>
      <c r="EJ11201"/>
      <c r="EK11201"/>
    </row>
    <row r="11202" spans="1:141" s="116" customFormat="1">
      <c r="A11202" s="136"/>
      <c r="CM11202" s="111"/>
      <c r="CQ11202" s="111"/>
      <c r="EF11202"/>
      <c r="EG11202"/>
      <c r="EH11202"/>
      <c r="EI11202"/>
      <c r="EJ11202"/>
      <c r="EK11202"/>
    </row>
    <row r="11203" spans="1:141" s="116" customFormat="1">
      <c r="A11203" s="136"/>
      <c r="CM11203" s="111"/>
      <c r="CQ11203" s="111"/>
      <c r="EF11203"/>
      <c r="EG11203"/>
      <c r="EH11203"/>
      <c r="EI11203"/>
      <c r="EJ11203"/>
      <c r="EK11203"/>
    </row>
    <row r="11204" spans="1:141" s="116" customFormat="1">
      <c r="A11204" s="136"/>
      <c r="CM11204" s="111"/>
      <c r="CQ11204" s="111"/>
      <c r="EF11204"/>
      <c r="EG11204"/>
      <c r="EH11204"/>
      <c r="EI11204"/>
      <c r="EJ11204"/>
      <c r="EK11204"/>
    </row>
    <row r="11205" spans="1:141" s="116" customFormat="1">
      <c r="A11205" s="136"/>
      <c r="CM11205" s="111"/>
      <c r="CQ11205" s="111"/>
      <c r="EF11205"/>
      <c r="EG11205"/>
      <c r="EH11205"/>
      <c r="EI11205"/>
      <c r="EJ11205"/>
      <c r="EK11205"/>
    </row>
    <row r="11206" spans="1:141" s="116" customFormat="1">
      <c r="A11206" s="136"/>
      <c r="CM11206" s="111"/>
      <c r="CQ11206" s="111"/>
      <c r="EF11206"/>
      <c r="EG11206"/>
      <c r="EH11206"/>
      <c r="EI11206"/>
      <c r="EJ11206"/>
      <c r="EK11206"/>
    </row>
    <row r="11207" spans="1:141" s="116" customFormat="1">
      <c r="A11207" s="136"/>
      <c r="CM11207" s="111"/>
      <c r="CQ11207" s="111"/>
      <c r="EF11207"/>
      <c r="EG11207"/>
      <c r="EH11207"/>
      <c r="EI11207"/>
      <c r="EJ11207"/>
      <c r="EK11207"/>
    </row>
    <row r="11208" spans="1:141" s="116" customFormat="1">
      <c r="A11208" s="136"/>
      <c r="CM11208" s="111"/>
      <c r="CQ11208" s="111"/>
      <c r="EF11208"/>
      <c r="EG11208"/>
      <c r="EH11208"/>
      <c r="EI11208"/>
      <c r="EJ11208"/>
      <c r="EK11208"/>
    </row>
    <row r="11209" spans="1:141" s="116" customFormat="1">
      <c r="A11209" s="136"/>
      <c r="CM11209" s="111"/>
      <c r="CQ11209" s="111"/>
      <c r="EF11209"/>
      <c r="EG11209"/>
      <c r="EH11209"/>
      <c r="EI11209"/>
      <c r="EJ11209"/>
      <c r="EK11209"/>
    </row>
    <row r="11210" spans="1:141" s="116" customFormat="1">
      <c r="A11210" s="136"/>
      <c r="CM11210" s="111"/>
      <c r="CQ11210" s="111"/>
      <c r="EF11210"/>
      <c r="EG11210"/>
      <c r="EH11210"/>
      <c r="EI11210"/>
      <c r="EJ11210"/>
      <c r="EK11210"/>
    </row>
    <row r="11211" spans="1:141" s="116" customFormat="1">
      <c r="A11211" s="136"/>
      <c r="CM11211" s="111"/>
      <c r="CQ11211" s="111"/>
      <c r="EF11211"/>
      <c r="EG11211"/>
      <c r="EH11211"/>
      <c r="EI11211"/>
      <c r="EJ11211"/>
      <c r="EK11211"/>
    </row>
    <row r="11212" spans="1:141" s="116" customFormat="1">
      <c r="A11212" s="136"/>
      <c r="CM11212" s="111"/>
      <c r="CQ11212" s="111"/>
      <c r="EF11212"/>
      <c r="EG11212"/>
      <c r="EH11212"/>
      <c r="EI11212"/>
      <c r="EJ11212"/>
      <c r="EK11212"/>
    </row>
    <row r="11213" spans="1:141" s="116" customFormat="1">
      <c r="A11213" s="136"/>
      <c r="CM11213" s="111"/>
      <c r="CQ11213" s="111"/>
      <c r="EF11213"/>
      <c r="EG11213"/>
      <c r="EH11213"/>
      <c r="EI11213"/>
      <c r="EJ11213"/>
      <c r="EK11213"/>
    </row>
    <row r="11214" spans="1:141" s="116" customFormat="1">
      <c r="A11214" s="136"/>
      <c r="CM11214" s="111"/>
      <c r="CQ11214" s="111"/>
      <c r="EF11214"/>
      <c r="EG11214"/>
      <c r="EH11214"/>
      <c r="EI11214"/>
      <c r="EJ11214"/>
      <c r="EK11214"/>
    </row>
    <row r="11215" spans="1:141" s="116" customFormat="1">
      <c r="A11215" s="136"/>
      <c r="CM11215" s="111"/>
      <c r="CQ11215" s="111"/>
      <c r="EF11215"/>
      <c r="EG11215"/>
      <c r="EH11215"/>
      <c r="EI11215"/>
      <c r="EJ11215"/>
      <c r="EK11215"/>
    </row>
    <row r="11216" spans="1:141" s="116" customFormat="1">
      <c r="A11216" s="136"/>
      <c r="CM11216" s="111"/>
      <c r="CQ11216" s="111"/>
      <c r="EF11216"/>
      <c r="EG11216"/>
      <c r="EH11216"/>
      <c r="EI11216"/>
      <c r="EJ11216"/>
      <c r="EK11216"/>
    </row>
    <row r="11217" spans="1:141" s="116" customFormat="1">
      <c r="A11217" s="136"/>
      <c r="CM11217" s="111"/>
      <c r="CQ11217" s="111"/>
      <c r="EF11217"/>
      <c r="EG11217"/>
      <c r="EH11217"/>
      <c r="EI11217"/>
      <c r="EJ11217"/>
      <c r="EK11217"/>
    </row>
    <row r="11218" spans="1:141" s="116" customFormat="1">
      <c r="A11218" s="136"/>
      <c r="CM11218" s="111"/>
      <c r="CQ11218" s="111"/>
      <c r="EF11218"/>
      <c r="EG11218"/>
      <c r="EH11218"/>
      <c r="EI11218"/>
      <c r="EJ11218"/>
      <c r="EK11218"/>
    </row>
    <row r="11219" spans="1:141" s="116" customFormat="1">
      <c r="A11219" s="136"/>
      <c r="CM11219" s="111"/>
      <c r="CQ11219" s="111"/>
      <c r="EF11219"/>
      <c r="EG11219"/>
      <c r="EH11219"/>
      <c r="EI11219"/>
      <c r="EJ11219"/>
      <c r="EK11219"/>
    </row>
    <row r="11220" spans="1:141" s="116" customFormat="1">
      <c r="A11220" s="136"/>
      <c r="CM11220" s="111"/>
      <c r="CQ11220" s="111"/>
      <c r="EF11220"/>
      <c r="EG11220"/>
      <c r="EH11220"/>
      <c r="EI11220"/>
      <c r="EJ11220"/>
      <c r="EK11220"/>
    </row>
    <row r="11221" spans="1:141" s="116" customFormat="1">
      <c r="A11221" s="136"/>
      <c r="CM11221" s="111"/>
      <c r="CQ11221" s="111"/>
      <c r="EF11221"/>
      <c r="EG11221"/>
      <c r="EH11221"/>
      <c r="EI11221"/>
      <c r="EJ11221"/>
      <c r="EK11221"/>
    </row>
    <row r="11222" spans="1:141" s="116" customFormat="1">
      <c r="A11222" s="136"/>
      <c r="CM11222" s="111"/>
      <c r="CQ11222" s="111"/>
      <c r="EF11222"/>
      <c r="EG11222"/>
      <c r="EH11222"/>
      <c r="EI11222"/>
      <c r="EJ11222"/>
      <c r="EK11222"/>
    </row>
    <row r="11223" spans="1:141" s="116" customFormat="1">
      <c r="A11223" s="136"/>
      <c r="CM11223" s="111"/>
      <c r="CQ11223" s="111"/>
      <c r="EF11223"/>
      <c r="EG11223"/>
      <c r="EH11223"/>
      <c r="EI11223"/>
      <c r="EJ11223"/>
      <c r="EK11223"/>
    </row>
    <row r="11224" spans="1:141" s="116" customFormat="1">
      <c r="A11224" s="136"/>
      <c r="CM11224" s="111"/>
      <c r="CQ11224" s="111"/>
      <c r="EF11224"/>
      <c r="EG11224"/>
      <c r="EH11224"/>
      <c r="EI11224"/>
      <c r="EJ11224"/>
      <c r="EK11224"/>
    </row>
    <row r="11225" spans="1:141" s="116" customFormat="1">
      <c r="A11225" s="136"/>
      <c r="CM11225" s="111"/>
      <c r="CQ11225" s="111"/>
      <c r="EF11225"/>
      <c r="EG11225"/>
      <c r="EH11225"/>
      <c r="EI11225"/>
      <c r="EJ11225"/>
      <c r="EK11225"/>
    </row>
    <row r="11226" spans="1:141" s="116" customFormat="1">
      <c r="A11226" s="136"/>
      <c r="CM11226" s="111"/>
      <c r="CQ11226" s="111"/>
      <c r="EF11226"/>
      <c r="EG11226"/>
      <c r="EH11226"/>
      <c r="EI11226"/>
      <c r="EJ11226"/>
      <c r="EK11226"/>
    </row>
    <row r="11227" spans="1:141" s="116" customFormat="1">
      <c r="A11227" s="136"/>
      <c r="CM11227" s="111"/>
      <c r="CQ11227" s="111"/>
      <c r="EF11227"/>
      <c r="EG11227"/>
      <c r="EH11227"/>
      <c r="EI11227"/>
      <c r="EJ11227"/>
      <c r="EK11227"/>
    </row>
    <row r="11228" spans="1:141" s="116" customFormat="1">
      <c r="A11228" s="136"/>
      <c r="CM11228" s="111"/>
      <c r="CQ11228" s="111"/>
      <c r="EF11228"/>
      <c r="EG11228"/>
      <c r="EH11228"/>
      <c r="EI11228"/>
      <c r="EJ11228"/>
      <c r="EK11228"/>
    </row>
    <row r="11229" spans="1:141" s="116" customFormat="1">
      <c r="A11229" s="136"/>
      <c r="CM11229" s="111"/>
      <c r="CQ11229" s="111"/>
      <c r="EF11229"/>
      <c r="EG11229"/>
      <c r="EH11229"/>
      <c r="EI11229"/>
      <c r="EJ11229"/>
      <c r="EK11229"/>
    </row>
    <row r="11230" spans="1:141" s="116" customFormat="1">
      <c r="A11230" s="136"/>
      <c r="CM11230" s="111"/>
      <c r="CQ11230" s="111"/>
      <c r="EF11230"/>
      <c r="EG11230"/>
      <c r="EH11230"/>
      <c r="EI11230"/>
      <c r="EJ11230"/>
      <c r="EK11230"/>
    </row>
    <row r="11231" spans="1:141" s="116" customFormat="1">
      <c r="A11231" s="136"/>
      <c r="CM11231" s="111"/>
      <c r="CQ11231" s="111"/>
      <c r="EF11231"/>
      <c r="EG11231"/>
      <c r="EH11231"/>
      <c r="EI11231"/>
      <c r="EJ11231"/>
      <c r="EK11231"/>
    </row>
    <row r="11232" spans="1:141" s="116" customFormat="1">
      <c r="A11232" s="136"/>
      <c r="CM11232" s="111"/>
      <c r="CQ11232" s="111"/>
      <c r="EF11232"/>
      <c r="EG11232"/>
      <c r="EH11232"/>
      <c r="EI11232"/>
      <c r="EJ11232"/>
      <c r="EK11232"/>
    </row>
    <row r="11233" spans="1:141" s="116" customFormat="1">
      <c r="A11233" s="136"/>
      <c r="CM11233" s="111"/>
      <c r="CQ11233" s="111"/>
      <c r="EF11233"/>
      <c r="EG11233"/>
      <c r="EH11233"/>
      <c r="EI11233"/>
      <c r="EJ11233"/>
      <c r="EK11233"/>
    </row>
    <row r="11234" spans="1:141" s="116" customFormat="1">
      <c r="A11234" s="136"/>
      <c r="CM11234" s="111"/>
      <c r="CQ11234" s="111"/>
      <c r="EF11234"/>
      <c r="EG11234"/>
      <c r="EH11234"/>
      <c r="EI11234"/>
      <c r="EJ11234"/>
      <c r="EK11234"/>
    </row>
    <row r="11235" spans="1:141" s="116" customFormat="1">
      <c r="A11235" s="136"/>
      <c r="CM11235" s="111"/>
      <c r="CQ11235" s="111"/>
      <c r="EF11235"/>
      <c r="EG11235"/>
      <c r="EH11235"/>
      <c r="EI11235"/>
      <c r="EJ11235"/>
      <c r="EK11235"/>
    </row>
    <row r="11236" spans="1:141" s="116" customFormat="1">
      <c r="A11236" s="136"/>
      <c r="CM11236" s="111"/>
      <c r="CQ11236" s="111"/>
      <c r="EF11236"/>
      <c r="EG11236"/>
      <c r="EH11236"/>
      <c r="EI11236"/>
      <c r="EJ11236"/>
      <c r="EK11236"/>
    </row>
    <row r="11237" spans="1:141" s="116" customFormat="1">
      <c r="A11237" s="136"/>
      <c r="CM11237" s="111"/>
      <c r="CQ11237" s="111"/>
      <c r="EF11237"/>
      <c r="EG11237"/>
      <c r="EH11237"/>
      <c r="EI11237"/>
      <c r="EJ11237"/>
      <c r="EK11237"/>
    </row>
    <row r="11238" spans="1:141" s="116" customFormat="1">
      <c r="A11238" s="136"/>
      <c r="CM11238" s="111"/>
      <c r="CQ11238" s="111"/>
      <c r="EF11238"/>
      <c r="EG11238"/>
      <c r="EH11238"/>
      <c r="EI11238"/>
      <c r="EJ11238"/>
      <c r="EK11238"/>
    </row>
    <row r="11239" spans="1:141" s="116" customFormat="1">
      <c r="A11239" s="136"/>
      <c r="CM11239" s="111"/>
      <c r="CQ11239" s="111"/>
      <c r="EF11239"/>
      <c r="EG11239"/>
      <c r="EH11239"/>
      <c r="EI11239"/>
      <c r="EJ11239"/>
      <c r="EK11239"/>
    </row>
    <row r="11240" spans="1:141" s="116" customFormat="1">
      <c r="A11240" s="136"/>
      <c r="CM11240" s="111"/>
      <c r="CQ11240" s="111"/>
      <c r="EF11240"/>
      <c r="EG11240"/>
      <c r="EH11240"/>
      <c r="EI11240"/>
      <c r="EJ11240"/>
      <c r="EK11240"/>
    </row>
    <row r="11241" spans="1:141" s="116" customFormat="1">
      <c r="A11241" s="136"/>
      <c r="CM11241" s="111"/>
      <c r="CQ11241" s="111"/>
      <c r="EF11241"/>
      <c r="EG11241"/>
      <c r="EH11241"/>
      <c r="EI11241"/>
      <c r="EJ11241"/>
      <c r="EK11241"/>
    </row>
    <row r="11242" spans="1:141" s="116" customFormat="1">
      <c r="A11242" s="136"/>
      <c r="CM11242" s="111"/>
      <c r="CQ11242" s="111"/>
      <c r="EF11242"/>
      <c r="EG11242"/>
      <c r="EH11242"/>
      <c r="EI11242"/>
      <c r="EJ11242"/>
      <c r="EK11242"/>
    </row>
    <row r="11243" spans="1:141" s="116" customFormat="1">
      <c r="A11243" s="136"/>
      <c r="CM11243" s="111"/>
      <c r="CQ11243" s="111"/>
      <c r="EF11243"/>
      <c r="EG11243"/>
      <c r="EH11243"/>
      <c r="EI11243"/>
      <c r="EJ11243"/>
      <c r="EK11243"/>
    </row>
    <row r="11244" spans="1:141" s="116" customFormat="1">
      <c r="A11244" s="136"/>
      <c r="CM11244" s="111"/>
      <c r="CQ11244" s="111"/>
      <c r="EF11244"/>
      <c r="EG11244"/>
      <c r="EH11244"/>
      <c r="EI11244"/>
      <c r="EJ11244"/>
      <c r="EK11244"/>
    </row>
    <row r="11245" spans="1:141" s="116" customFormat="1">
      <c r="A11245" s="136"/>
      <c r="CM11245" s="111"/>
      <c r="CQ11245" s="111"/>
      <c r="EF11245"/>
      <c r="EG11245"/>
      <c r="EH11245"/>
      <c r="EI11245"/>
      <c r="EJ11245"/>
      <c r="EK11245"/>
    </row>
    <row r="11246" spans="1:141" s="116" customFormat="1">
      <c r="A11246" s="136"/>
      <c r="CM11246" s="111"/>
      <c r="CQ11246" s="111"/>
      <c r="EF11246"/>
      <c r="EG11246"/>
      <c r="EH11246"/>
      <c r="EI11246"/>
      <c r="EJ11246"/>
      <c r="EK11246"/>
    </row>
    <row r="11247" spans="1:141" s="116" customFormat="1">
      <c r="A11247" s="136"/>
      <c r="CM11247" s="111"/>
      <c r="CQ11247" s="111"/>
      <c r="EF11247"/>
      <c r="EG11247"/>
      <c r="EH11247"/>
      <c r="EI11247"/>
      <c r="EJ11247"/>
      <c r="EK11247"/>
    </row>
    <row r="11248" spans="1:141" s="116" customFormat="1">
      <c r="A11248" s="136"/>
      <c r="CM11248" s="111"/>
      <c r="CQ11248" s="111"/>
      <c r="EF11248"/>
      <c r="EG11248"/>
      <c r="EH11248"/>
      <c r="EI11248"/>
      <c r="EJ11248"/>
      <c r="EK11248"/>
    </row>
    <row r="11249" spans="1:141" s="116" customFormat="1">
      <c r="A11249" s="136"/>
      <c r="CM11249" s="111"/>
      <c r="CQ11249" s="111"/>
      <c r="EF11249"/>
      <c r="EG11249"/>
      <c r="EH11249"/>
      <c r="EI11249"/>
      <c r="EJ11249"/>
      <c r="EK11249"/>
    </row>
    <row r="11250" spans="1:141" s="116" customFormat="1">
      <c r="A11250" s="136"/>
      <c r="CM11250" s="111"/>
      <c r="CQ11250" s="111"/>
      <c r="EF11250"/>
      <c r="EG11250"/>
      <c r="EH11250"/>
      <c r="EI11250"/>
      <c r="EJ11250"/>
      <c r="EK11250"/>
    </row>
    <row r="11251" spans="1:141" s="116" customFormat="1">
      <c r="A11251" s="136"/>
      <c r="CM11251" s="111"/>
      <c r="CQ11251" s="111"/>
      <c r="EF11251"/>
      <c r="EG11251"/>
      <c r="EH11251"/>
      <c r="EI11251"/>
      <c r="EJ11251"/>
      <c r="EK11251"/>
    </row>
    <row r="11252" spans="1:141" s="116" customFormat="1">
      <c r="A11252" s="136"/>
      <c r="CM11252" s="111"/>
      <c r="CQ11252" s="111"/>
      <c r="EF11252"/>
      <c r="EG11252"/>
      <c r="EH11252"/>
      <c r="EI11252"/>
      <c r="EJ11252"/>
      <c r="EK11252"/>
    </row>
    <row r="11253" spans="1:141" s="116" customFormat="1">
      <c r="A11253" s="136"/>
      <c r="CM11253" s="111"/>
      <c r="CQ11253" s="111"/>
      <c r="EF11253"/>
      <c r="EG11253"/>
      <c r="EH11253"/>
      <c r="EI11253"/>
      <c r="EJ11253"/>
      <c r="EK11253"/>
    </row>
    <row r="11254" spans="1:141" s="116" customFormat="1">
      <c r="A11254" s="136"/>
      <c r="CM11254" s="111"/>
      <c r="CQ11254" s="111"/>
      <c r="EF11254"/>
      <c r="EG11254"/>
      <c r="EH11254"/>
      <c r="EI11254"/>
      <c r="EJ11254"/>
      <c r="EK11254"/>
    </row>
    <row r="11255" spans="1:141" s="116" customFormat="1">
      <c r="A11255" s="136"/>
      <c r="CM11255" s="111"/>
      <c r="CQ11255" s="111"/>
      <c r="EF11255"/>
      <c r="EG11255"/>
      <c r="EH11255"/>
      <c r="EI11255"/>
      <c r="EJ11255"/>
      <c r="EK11255"/>
    </row>
    <row r="11256" spans="1:141" s="116" customFormat="1">
      <c r="A11256" s="136"/>
      <c r="CM11256" s="111"/>
      <c r="CQ11256" s="111"/>
      <c r="EF11256"/>
      <c r="EG11256"/>
      <c r="EH11256"/>
      <c r="EI11256"/>
      <c r="EJ11256"/>
      <c r="EK11256"/>
    </row>
    <row r="11257" spans="1:141" s="116" customFormat="1">
      <c r="A11257" s="136"/>
      <c r="CM11257" s="111"/>
      <c r="CQ11257" s="111"/>
      <c r="EF11257"/>
      <c r="EG11257"/>
      <c r="EH11257"/>
      <c r="EI11257"/>
      <c r="EJ11257"/>
      <c r="EK11257"/>
    </row>
    <row r="11258" spans="1:141" s="116" customFormat="1">
      <c r="A11258" s="136"/>
      <c r="CM11258" s="111"/>
      <c r="CQ11258" s="111"/>
      <c r="EF11258"/>
      <c r="EG11258"/>
      <c r="EH11258"/>
      <c r="EI11258"/>
      <c r="EJ11258"/>
      <c r="EK11258"/>
    </row>
    <row r="11259" spans="1:141" s="116" customFormat="1">
      <c r="A11259" s="136"/>
      <c r="CM11259" s="111"/>
      <c r="CQ11259" s="111"/>
      <c r="EF11259"/>
      <c r="EG11259"/>
      <c r="EH11259"/>
      <c r="EI11259"/>
      <c r="EJ11259"/>
      <c r="EK11259"/>
    </row>
    <row r="11260" spans="1:141" s="116" customFormat="1">
      <c r="A11260" s="136"/>
      <c r="CM11260" s="111"/>
      <c r="CQ11260" s="111"/>
      <c r="EF11260"/>
      <c r="EG11260"/>
      <c r="EH11260"/>
      <c r="EI11260"/>
      <c r="EJ11260"/>
      <c r="EK11260"/>
    </row>
    <row r="11261" spans="1:141" s="116" customFormat="1">
      <c r="A11261" s="136"/>
      <c r="CM11261" s="111"/>
      <c r="CQ11261" s="111"/>
      <c r="EF11261"/>
      <c r="EG11261"/>
      <c r="EH11261"/>
      <c r="EI11261"/>
      <c r="EJ11261"/>
      <c r="EK11261"/>
    </row>
    <row r="11262" spans="1:141" s="116" customFormat="1">
      <c r="A11262" s="136"/>
      <c r="CM11262" s="111"/>
      <c r="CQ11262" s="111"/>
      <c r="EF11262"/>
      <c r="EG11262"/>
      <c r="EH11262"/>
      <c r="EI11262"/>
      <c r="EJ11262"/>
      <c r="EK11262"/>
    </row>
    <row r="11263" spans="1:141" s="116" customFormat="1">
      <c r="A11263" s="136"/>
      <c r="CM11263" s="111"/>
      <c r="CQ11263" s="111"/>
      <c r="EF11263"/>
      <c r="EG11263"/>
      <c r="EH11263"/>
      <c r="EI11263"/>
      <c r="EJ11263"/>
      <c r="EK11263"/>
    </row>
    <row r="11264" spans="1:141" s="116" customFormat="1">
      <c r="A11264" s="136"/>
      <c r="CM11264" s="111"/>
      <c r="CQ11264" s="111"/>
      <c r="EF11264"/>
      <c r="EG11264"/>
      <c r="EH11264"/>
      <c r="EI11264"/>
      <c r="EJ11264"/>
      <c r="EK11264"/>
    </row>
    <row r="11265" spans="1:141" s="116" customFormat="1">
      <c r="A11265" s="136"/>
      <c r="CM11265" s="111"/>
      <c r="CQ11265" s="111"/>
      <c r="EF11265"/>
      <c r="EG11265"/>
      <c r="EH11265"/>
      <c r="EI11265"/>
      <c r="EJ11265"/>
      <c r="EK11265"/>
    </row>
    <row r="11266" spans="1:141" s="116" customFormat="1">
      <c r="A11266" s="136"/>
      <c r="CM11266" s="111"/>
      <c r="CQ11266" s="111"/>
      <c r="EF11266"/>
      <c r="EG11266"/>
      <c r="EH11266"/>
      <c r="EI11266"/>
      <c r="EJ11266"/>
      <c r="EK11266"/>
    </row>
    <row r="11267" spans="1:141" s="116" customFormat="1">
      <c r="A11267" s="136"/>
      <c r="CM11267" s="111"/>
      <c r="CQ11267" s="111"/>
      <c r="EF11267"/>
      <c r="EG11267"/>
      <c r="EH11267"/>
      <c r="EI11267"/>
      <c r="EJ11267"/>
      <c r="EK11267"/>
    </row>
    <row r="11268" spans="1:141" s="116" customFormat="1">
      <c r="A11268" s="136"/>
      <c r="CM11268" s="111"/>
      <c r="CQ11268" s="111"/>
      <c r="EF11268"/>
      <c r="EG11268"/>
      <c r="EH11268"/>
      <c r="EI11268"/>
      <c r="EJ11268"/>
      <c r="EK11268"/>
    </row>
    <row r="11269" spans="1:141" s="116" customFormat="1">
      <c r="A11269" s="136"/>
      <c r="CM11269" s="111"/>
      <c r="CQ11269" s="111"/>
      <c r="EF11269"/>
      <c r="EG11269"/>
      <c r="EH11269"/>
      <c r="EI11269"/>
      <c r="EJ11269"/>
      <c r="EK11269"/>
    </row>
    <row r="11270" spans="1:141" s="116" customFormat="1">
      <c r="A11270" s="136"/>
      <c r="CM11270" s="111"/>
      <c r="CQ11270" s="111"/>
      <c r="EF11270"/>
      <c r="EG11270"/>
      <c r="EH11270"/>
      <c r="EI11270"/>
      <c r="EJ11270"/>
      <c r="EK11270"/>
    </row>
    <row r="11271" spans="1:141" s="116" customFormat="1">
      <c r="A11271" s="136"/>
      <c r="CM11271" s="111"/>
      <c r="CQ11271" s="111"/>
      <c r="EF11271"/>
      <c r="EG11271"/>
      <c r="EH11271"/>
      <c r="EI11271"/>
      <c r="EJ11271"/>
      <c r="EK11271"/>
    </row>
    <row r="11272" spans="1:141" s="116" customFormat="1">
      <c r="A11272" s="136"/>
      <c r="CM11272" s="111"/>
      <c r="CQ11272" s="111"/>
      <c r="EF11272"/>
      <c r="EG11272"/>
      <c r="EH11272"/>
      <c r="EI11272"/>
      <c r="EJ11272"/>
      <c r="EK11272"/>
    </row>
    <row r="11273" spans="1:141" s="116" customFormat="1">
      <c r="A11273" s="136"/>
      <c r="CM11273" s="111"/>
      <c r="CQ11273" s="111"/>
      <c r="EF11273"/>
      <c r="EG11273"/>
      <c r="EH11273"/>
      <c r="EI11273"/>
      <c r="EJ11273"/>
      <c r="EK11273"/>
    </row>
    <row r="11274" spans="1:141" s="116" customFormat="1">
      <c r="A11274" s="136"/>
      <c r="CM11274" s="111"/>
      <c r="CQ11274" s="111"/>
      <c r="EF11274"/>
      <c r="EG11274"/>
      <c r="EH11274"/>
      <c r="EI11274"/>
      <c r="EJ11274"/>
      <c r="EK11274"/>
    </row>
    <row r="11275" spans="1:141" s="116" customFormat="1">
      <c r="A11275" s="136"/>
      <c r="CM11275" s="111"/>
      <c r="CQ11275" s="111"/>
      <c r="EF11275"/>
      <c r="EG11275"/>
      <c r="EH11275"/>
      <c r="EI11275"/>
      <c r="EJ11275"/>
      <c r="EK11275"/>
    </row>
    <row r="11276" spans="1:141" s="116" customFormat="1">
      <c r="A11276" s="136"/>
      <c r="CM11276" s="111"/>
      <c r="CQ11276" s="111"/>
      <c r="EF11276"/>
      <c r="EG11276"/>
      <c r="EH11276"/>
      <c r="EI11276"/>
      <c r="EJ11276"/>
      <c r="EK11276"/>
    </row>
    <row r="11277" spans="1:141" s="116" customFormat="1">
      <c r="A11277" s="136"/>
      <c r="CM11277" s="111"/>
      <c r="CQ11277" s="111"/>
      <c r="EF11277"/>
      <c r="EG11277"/>
      <c r="EH11277"/>
      <c r="EI11277"/>
      <c r="EJ11277"/>
      <c r="EK11277"/>
    </row>
    <row r="11278" spans="1:141" s="116" customFormat="1">
      <c r="A11278" s="136"/>
      <c r="CM11278" s="111"/>
      <c r="CQ11278" s="111"/>
      <c r="EF11278"/>
      <c r="EG11278"/>
      <c r="EH11278"/>
      <c r="EI11278"/>
      <c r="EJ11278"/>
      <c r="EK11278"/>
    </row>
    <row r="11279" spans="1:141" s="116" customFormat="1">
      <c r="A11279" s="136"/>
      <c r="CM11279" s="111"/>
      <c r="CQ11279" s="111"/>
      <c r="EF11279"/>
      <c r="EG11279"/>
      <c r="EH11279"/>
      <c r="EI11279"/>
      <c r="EJ11279"/>
      <c r="EK11279"/>
    </row>
    <row r="11280" spans="1:141" s="116" customFormat="1">
      <c r="A11280" s="136"/>
      <c r="CM11280" s="111"/>
      <c r="CQ11280" s="111"/>
      <c r="EF11280"/>
      <c r="EG11280"/>
      <c r="EH11280"/>
      <c r="EI11280"/>
      <c r="EJ11280"/>
      <c r="EK11280"/>
    </row>
    <row r="11281" spans="1:141" s="116" customFormat="1">
      <c r="A11281" s="136"/>
      <c r="CM11281" s="111"/>
      <c r="CQ11281" s="111"/>
      <c r="EF11281"/>
      <c r="EG11281"/>
      <c r="EH11281"/>
      <c r="EI11281"/>
      <c r="EJ11281"/>
      <c r="EK11281"/>
    </row>
    <row r="11282" spans="1:141" s="116" customFormat="1">
      <c r="A11282" s="136"/>
      <c r="CM11282" s="111"/>
      <c r="CQ11282" s="111"/>
      <c r="EF11282"/>
      <c r="EG11282"/>
      <c r="EH11282"/>
      <c r="EI11282"/>
      <c r="EJ11282"/>
      <c r="EK11282"/>
    </row>
    <row r="11283" spans="1:141" s="116" customFormat="1">
      <c r="A11283" s="136"/>
      <c r="CM11283" s="111"/>
      <c r="CQ11283" s="111"/>
      <c r="EF11283"/>
      <c r="EG11283"/>
      <c r="EH11283"/>
      <c r="EI11283"/>
      <c r="EJ11283"/>
      <c r="EK11283"/>
    </row>
    <row r="11284" spans="1:141" s="116" customFormat="1">
      <c r="A11284" s="136"/>
      <c r="CM11284" s="111"/>
      <c r="CQ11284" s="111"/>
      <c r="EF11284"/>
      <c r="EG11284"/>
      <c r="EH11284"/>
      <c r="EI11284"/>
      <c r="EJ11284"/>
      <c r="EK11284"/>
    </row>
    <row r="11285" spans="1:141" s="116" customFormat="1">
      <c r="A11285" s="136"/>
      <c r="CM11285" s="111"/>
      <c r="CQ11285" s="111"/>
      <c r="EF11285"/>
      <c r="EG11285"/>
      <c r="EH11285"/>
      <c r="EI11285"/>
      <c r="EJ11285"/>
      <c r="EK11285"/>
    </row>
    <row r="11286" spans="1:141" s="116" customFormat="1">
      <c r="A11286" s="136"/>
      <c r="CM11286" s="111"/>
      <c r="CQ11286" s="111"/>
      <c r="EF11286"/>
      <c r="EG11286"/>
      <c r="EH11286"/>
      <c r="EI11286"/>
      <c r="EJ11286"/>
      <c r="EK11286"/>
    </row>
    <row r="11287" spans="1:141" s="116" customFormat="1">
      <c r="A11287" s="136"/>
      <c r="CM11287" s="111"/>
      <c r="CQ11287" s="111"/>
      <c r="EF11287"/>
      <c r="EG11287"/>
      <c r="EH11287"/>
      <c r="EI11287"/>
      <c r="EJ11287"/>
      <c r="EK11287"/>
    </row>
    <row r="11288" spans="1:141" s="116" customFormat="1">
      <c r="A11288" s="136"/>
      <c r="CM11288" s="111"/>
      <c r="CQ11288" s="111"/>
      <c r="EF11288"/>
      <c r="EG11288"/>
      <c r="EH11288"/>
      <c r="EI11288"/>
      <c r="EJ11288"/>
      <c r="EK11288"/>
    </row>
    <row r="11289" spans="1:141" s="116" customFormat="1">
      <c r="A11289" s="136"/>
      <c r="CM11289" s="111"/>
      <c r="CQ11289" s="111"/>
      <c r="EF11289"/>
      <c r="EG11289"/>
      <c r="EH11289"/>
      <c r="EI11289"/>
      <c r="EJ11289"/>
      <c r="EK11289"/>
    </row>
    <row r="11290" spans="1:141" s="116" customFormat="1">
      <c r="A11290" s="136"/>
      <c r="CM11290" s="111"/>
      <c r="CQ11290" s="111"/>
      <c r="EF11290"/>
      <c r="EG11290"/>
      <c r="EH11290"/>
      <c r="EI11290"/>
      <c r="EJ11290"/>
      <c r="EK11290"/>
    </row>
    <row r="11291" spans="1:141" s="116" customFormat="1">
      <c r="A11291" s="136"/>
      <c r="CM11291" s="111"/>
      <c r="CQ11291" s="111"/>
      <c r="EF11291"/>
      <c r="EG11291"/>
      <c r="EH11291"/>
      <c r="EI11291"/>
      <c r="EJ11291"/>
      <c r="EK11291"/>
    </row>
    <row r="11292" spans="1:141" s="116" customFormat="1">
      <c r="A11292" s="136"/>
      <c r="CM11292" s="111"/>
      <c r="CQ11292" s="111"/>
      <c r="EF11292"/>
      <c r="EG11292"/>
      <c r="EH11292"/>
      <c r="EI11292"/>
      <c r="EJ11292"/>
      <c r="EK11292"/>
    </row>
    <row r="11293" spans="1:141" s="116" customFormat="1">
      <c r="A11293" s="136"/>
      <c r="CM11293" s="111"/>
      <c r="CQ11293" s="111"/>
      <c r="EF11293"/>
      <c r="EG11293"/>
      <c r="EH11293"/>
      <c r="EI11293"/>
      <c r="EJ11293"/>
      <c r="EK11293"/>
    </row>
    <row r="11294" spans="1:141" s="116" customFormat="1">
      <c r="A11294" s="136"/>
      <c r="CM11294" s="111"/>
      <c r="CQ11294" s="111"/>
      <c r="EF11294"/>
      <c r="EG11294"/>
      <c r="EH11294"/>
      <c r="EI11294"/>
      <c r="EJ11294"/>
      <c r="EK11294"/>
    </row>
    <row r="11295" spans="1:141" s="116" customFormat="1">
      <c r="A11295" s="136"/>
      <c r="CM11295" s="111"/>
      <c r="CQ11295" s="111"/>
      <c r="EF11295"/>
      <c r="EG11295"/>
      <c r="EH11295"/>
      <c r="EI11295"/>
      <c r="EJ11295"/>
      <c r="EK11295"/>
    </row>
    <row r="11296" spans="1:141" s="116" customFormat="1">
      <c r="A11296" s="136"/>
      <c r="CM11296" s="111"/>
      <c r="CQ11296" s="111"/>
      <c r="EF11296"/>
      <c r="EG11296"/>
      <c r="EH11296"/>
      <c r="EI11296"/>
      <c r="EJ11296"/>
      <c r="EK11296"/>
    </row>
    <row r="11297" spans="1:141" s="116" customFormat="1">
      <c r="A11297" s="136"/>
      <c r="CM11297" s="111"/>
      <c r="CQ11297" s="111"/>
      <c r="EF11297"/>
      <c r="EG11297"/>
      <c r="EH11297"/>
      <c r="EI11297"/>
      <c r="EJ11297"/>
      <c r="EK11297"/>
    </row>
    <row r="11298" spans="1:141" s="116" customFormat="1">
      <c r="A11298" s="136"/>
      <c r="CM11298" s="111"/>
      <c r="CQ11298" s="111"/>
      <c r="EF11298"/>
      <c r="EG11298"/>
      <c r="EH11298"/>
      <c r="EI11298"/>
      <c r="EJ11298"/>
      <c r="EK11298"/>
    </row>
    <row r="11299" spans="1:141" s="116" customFormat="1">
      <c r="A11299" s="136"/>
      <c r="CM11299" s="111"/>
      <c r="CQ11299" s="111"/>
      <c r="EF11299"/>
      <c r="EG11299"/>
      <c r="EH11299"/>
      <c r="EI11299"/>
      <c r="EJ11299"/>
      <c r="EK11299"/>
    </row>
    <row r="11300" spans="1:141" s="116" customFormat="1">
      <c r="A11300" s="136"/>
      <c r="CM11300" s="111"/>
      <c r="CQ11300" s="111"/>
      <c r="EF11300"/>
      <c r="EG11300"/>
      <c r="EH11300"/>
      <c r="EI11300"/>
      <c r="EJ11300"/>
      <c r="EK11300"/>
    </row>
    <row r="11301" spans="1:141" s="116" customFormat="1">
      <c r="A11301" s="136"/>
      <c r="CM11301" s="111"/>
      <c r="CQ11301" s="111"/>
      <c r="EF11301"/>
      <c r="EG11301"/>
      <c r="EH11301"/>
      <c r="EI11301"/>
      <c r="EJ11301"/>
      <c r="EK11301"/>
    </row>
    <row r="11302" spans="1:141" s="116" customFormat="1">
      <c r="A11302" s="136"/>
      <c r="CM11302" s="111"/>
      <c r="CQ11302" s="111"/>
      <c r="EF11302"/>
      <c r="EG11302"/>
      <c r="EH11302"/>
      <c r="EI11302"/>
      <c r="EJ11302"/>
      <c r="EK11302"/>
    </row>
    <row r="11303" spans="1:141" s="116" customFormat="1">
      <c r="A11303" s="136"/>
      <c r="CM11303" s="111"/>
      <c r="CQ11303" s="111"/>
      <c r="EF11303"/>
      <c r="EG11303"/>
      <c r="EH11303"/>
      <c r="EI11303"/>
      <c r="EJ11303"/>
      <c r="EK11303"/>
    </row>
    <row r="11304" spans="1:141" s="116" customFormat="1">
      <c r="A11304" s="136"/>
      <c r="CM11304" s="111"/>
      <c r="CQ11304" s="111"/>
      <c r="EF11304"/>
      <c r="EG11304"/>
      <c r="EH11304"/>
      <c r="EI11304"/>
      <c r="EJ11304"/>
      <c r="EK11304"/>
    </row>
    <row r="11305" spans="1:141" s="116" customFormat="1">
      <c r="A11305" s="136"/>
      <c r="CM11305" s="111"/>
      <c r="CQ11305" s="111"/>
      <c r="EF11305"/>
      <c r="EG11305"/>
      <c r="EH11305"/>
      <c r="EI11305"/>
      <c r="EJ11305"/>
      <c r="EK11305"/>
    </row>
    <row r="11306" spans="1:141" s="116" customFormat="1">
      <c r="A11306" s="136"/>
      <c r="CM11306" s="111"/>
      <c r="CQ11306" s="111"/>
      <c r="EF11306"/>
      <c r="EG11306"/>
      <c r="EH11306"/>
      <c r="EI11306"/>
      <c r="EJ11306"/>
      <c r="EK11306"/>
    </row>
    <row r="11307" spans="1:141" s="116" customFormat="1">
      <c r="A11307" s="136"/>
      <c r="CM11307" s="111"/>
      <c r="CQ11307" s="111"/>
      <c r="EF11307"/>
      <c r="EG11307"/>
      <c r="EH11307"/>
      <c r="EI11307"/>
      <c r="EJ11307"/>
      <c r="EK11307"/>
    </row>
    <row r="11308" spans="1:141" s="116" customFormat="1">
      <c r="A11308" s="136"/>
      <c r="CM11308" s="111"/>
      <c r="CQ11308" s="111"/>
      <c r="EF11308"/>
      <c r="EG11308"/>
      <c r="EH11308"/>
      <c r="EI11308"/>
      <c r="EJ11308"/>
      <c r="EK11308"/>
    </row>
    <row r="11309" spans="1:141" s="116" customFormat="1">
      <c r="A11309" s="136"/>
      <c r="CM11309" s="111"/>
      <c r="CQ11309" s="111"/>
      <c r="EF11309"/>
      <c r="EG11309"/>
      <c r="EH11309"/>
      <c r="EI11309"/>
      <c r="EJ11309"/>
      <c r="EK11309"/>
    </row>
    <row r="11310" spans="1:141" s="116" customFormat="1">
      <c r="A11310" s="136"/>
      <c r="CM11310" s="111"/>
      <c r="CQ11310" s="111"/>
      <c r="EF11310"/>
      <c r="EG11310"/>
      <c r="EH11310"/>
      <c r="EI11310"/>
      <c r="EJ11310"/>
      <c r="EK11310"/>
    </row>
    <row r="11311" spans="1:141" s="116" customFormat="1">
      <c r="A11311" s="136"/>
      <c r="CM11311" s="111"/>
      <c r="CQ11311" s="111"/>
      <c r="EF11311"/>
      <c r="EG11311"/>
      <c r="EH11311"/>
      <c r="EI11311"/>
      <c r="EJ11311"/>
      <c r="EK11311"/>
    </row>
    <row r="11312" spans="1:141" s="116" customFormat="1">
      <c r="A11312" s="136"/>
      <c r="CM11312" s="111"/>
      <c r="CQ11312" s="111"/>
      <c r="EF11312"/>
      <c r="EG11312"/>
      <c r="EH11312"/>
      <c r="EI11312"/>
      <c r="EJ11312"/>
      <c r="EK11312"/>
    </row>
    <row r="11313" spans="1:141" s="116" customFormat="1">
      <c r="A11313" s="136"/>
      <c r="CM11313" s="111"/>
      <c r="CQ11313" s="111"/>
      <c r="EF11313"/>
      <c r="EG11313"/>
      <c r="EH11313"/>
      <c r="EI11313"/>
      <c r="EJ11313"/>
      <c r="EK11313"/>
    </row>
    <row r="11314" spans="1:141" s="116" customFormat="1">
      <c r="A11314" s="136"/>
      <c r="CM11314" s="111"/>
      <c r="CQ11314" s="111"/>
      <c r="EF11314"/>
      <c r="EG11314"/>
      <c r="EH11314"/>
      <c r="EI11314"/>
      <c r="EJ11314"/>
      <c r="EK11314"/>
    </row>
    <row r="11315" spans="1:141" s="116" customFormat="1">
      <c r="A11315" s="136"/>
      <c r="CM11315" s="111"/>
      <c r="CQ11315" s="111"/>
      <c r="EF11315"/>
      <c r="EG11315"/>
      <c r="EH11315"/>
      <c r="EI11315"/>
      <c r="EJ11315"/>
      <c r="EK11315"/>
    </row>
    <row r="11316" spans="1:141" s="116" customFormat="1">
      <c r="A11316" s="136"/>
      <c r="CM11316" s="111"/>
      <c r="CQ11316" s="111"/>
      <c r="EF11316"/>
      <c r="EG11316"/>
      <c r="EH11316"/>
      <c r="EI11316"/>
      <c r="EJ11316"/>
      <c r="EK11316"/>
    </row>
    <row r="11317" spans="1:141" s="116" customFormat="1">
      <c r="A11317" s="136"/>
      <c r="CM11317" s="111"/>
      <c r="CQ11317" s="111"/>
      <c r="EF11317"/>
      <c r="EG11317"/>
      <c r="EH11317"/>
      <c r="EI11317"/>
      <c r="EJ11317"/>
      <c r="EK11317"/>
    </row>
    <row r="11318" spans="1:141" s="116" customFormat="1">
      <c r="A11318" s="136"/>
      <c r="CM11318" s="111"/>
      <c r="CQ11318" s="111"/>
      <c r="EF11318"/>
      <c r="EG11318"/>
      <c r="EH11318"/>
      <c r="EI11318"/>
      <c r="EJ11318"/>
      <c r="EK11318"/>
    </row>
    <row r="11319" spans="1:141" s="116" customFormat="1">
      <c r="A11319" s="136"/>
      <c r="CM11319" s="111"/>
      <c r="CQ11319" s="111"/>
      <c r="EF11319"/>
      <c r="EG11319"/>
      <c r="EH11319"/>
      <c r="EI11319"/>
      <c r="EJ11319"/>
      <c r="EK11319"/>
    </row>
    <row r="11320" spans="1:141" s="116" customFormat="1">
      <c r="A11320" s="136"/>
      <c r="CM11320" s="111"/>
      <c r="CQ11320" s="111"/>
      <c r="EF11320"/>
      <c r="EG11320"/>
      <c r="EH11320"/>
      <c r="EI11320"/>
      <c r="EJ11320"/>
      <c r="EK11320"/>
    </row>
    <row r="11321" spans="1:141" s="116" customFormat="1">
      <c r="A11321" s="136"/>
      <c r="CM11321" s="111"/>
      <c r="CQ11321" s="111"/>
      <c r="EF11321"/>
      <c r="EG11321"/>
      <c r="EH11321"/>
      <c r="EI11321"/>
      <c r="EJ11321"/>
      <c r="EK11321"/>
    </row>
    <row r="11322" spans="1:141" s="116" customFormat="1">
      <c r="A11322" s="136"/>
      <c r="CM11322" s="111"/>
      <c r="CQ11322" s="111"/>
      <c r="EF11322"/>
      <c r="EG11322"/>
      <c r="EH11322"/>
      <c r="EI11322"/>
      <c r="EJ11322"/>
      <c r="EK11322"/>
    </row>
    <row r="11323" spans="1:141" s="116" customFormat="1">
      <c r="A11323" s="136"/>
      <c r="CM11323" s="111"/>
      <c r="CQ11323" s="111"/>
      <c r="EF11323"/>
      <c r="EG11323"/>
      <c r="EH11323"/>
      <c r="EI11323"/>
      <c r="EJ11323"/>
      <c r="EK11323"/>
    </row>
    <row r="11324" spans="1:141" s="116" customFormat="1">
      <c r="A11324" s="136"/>
      <c r="CM11324" s="111"/>
      <c r="CQ11324" s="111"/>
      <c r="EF11324"/>
      <c r="EG11324"/>
      <c r="EH11324"/>
      <c r="EI11324"/>
      <c r="EJ11324"/>
      <c r="EK11324"/>
    </row>
    <row r="11325" spans="1:141" s="116" customFormat="1">
      <c r="A11325" s="136"/>
      <c r="CM11325" s="111"/>
      <c r="CQ11325" s="111"/>
      <c r="EF11325"/>
      <c r="EG11325"/>
      <c r="EH11325"/>
      <c r="EI11325"/>
      <c r="EJ11325"/>
      <c r="EK11325"/>
    </row>
    <row r="11326" spans="1:141" s="116" customFormat="1">
      <c r="A11326" s="136"/>
      <c r="CM11326" s="111"/>
      <c r="CQ11326" s="111"/>
      <c r="EF11326"/>
      <c r="EG11326"/>
      <c r="EH11326"/>
      <c r="EI11326"/>
      <c r="EJ11326"/>
      <c r="EK11326"/>
    </row>
    <row r="11327" spans="1:141" s="116" customFormat="1">
      <c r="A11327" s="136"/>
      <c r="CM11327" s="111"/>
      <c r="CQ11327" s="111"/>
      <c r="EF11327"/>
      <c r="EG11327"/>
      <c r="EH11327"/>
      <c r="EI11327"/>
      <c r="EJ11327"/>
      <c r="EK11327"/>
    </row>
    <row r="11328" spans="1:141" s="116" customFormat="1">
      <c r="A11328" s="136"/>
      <c r="CM11328" s="111"/>
      <c r="CQ11328" s="111"/>
      <c r="EF11328"/>
      <c r="EG11328"/>
      <c r="EH11328"/>
      <c r="EI11328"/>
      <c r="EJ11328"/>
      <c r="EK11328"/>
    </row>
    <row r="11329" spans="1:141" s="116" customFormat="1">
      <c r="A11329" s="136"/>
      <c r="CM11329" s="111"/>
      <c r="CQ11329" s="111"/>
      <c r="EF11329"/>
      <c r="EG11329"/>
      <c r="EH11329"/>
      <c r="EI11329"/>
      <c r="EJ11329"/>
      <c r="EK11329"/>
    </row>
    <row r="11330" spans="1:141" s="116" customFormat="1">
      <c r="A11330" s="136"/>
      <c r="CM11330" s="111"/>
      <c r="CQ11330" s="111"/>
      <c r="EF11330"/>
      <c r="EG11330"/>
      <c r="EH11330"/>
      <c r="EI11330"/>
      <c r="EJ11330"/>
      <c r="EK11330"/>
    </row>
    <row r="11331" spans="1:141" s="116" customFormat="1">
      <c r="A11331" s="136"/>
      <c r="CM11331" s="111"/>
      <c r="CQ11331" s="111"/>
      <c r="EF11331"/>
      <c r="EG11331"/>
      <c r="EH11331"/>
      <c r="EI11331"/>
      <c r="EJ11331"/>
      <c r="EK11331"/>
    </row>
    <row r="11332" spans="1:141" s="116" customFormat="1">
      <c r="A11332" s="136"/>
      <c r="CM11332" s="111"/>
      <c r="CQ11332" s="111"/>
      <c r="EF11332"/>
      <c r="EG11332"/>
      <c r="EH11332"/>
      <c r="EI11332"/>
      <c r="EJ11332"/>
      <c r="EK11332"/>
    </row>
    <row r="11333" spans="1:141" s="116" customFormat="1">
      <c r="A11333" s="136"/>
      <c r="CM11333" s="111"/>
      <c r="CQ11333" s="111"/>
      <c r="EF11333"/>
      <c r="EG11333"/>
      <c r="EH11333"/>
      <c r="EI11333"/>
      <c r="EJ11333"/>
      <c r="EK11333"/>
    </row>
    <row r="11334" spans="1:141" s="116" customFormat="1">
      <c r="A11334" s="136"/>
      <c r="CM11334" s="111"/>
      <c r="CQ11334" s="111"/>
      <c r="EF11334"/>
      <c r="EG11334"/>
      <c r="EH11334"/>
      <c r="EI11334"/>
      <c r="EJ11334"/>
      <c r="EK11334"/>
    </row>
    <row r="11335" spans="1:141" s="116" customFormat="1">
      <c r="A11335" s="136"/>
      <c r="CM11335" s="111"/>
      <c r="CQ11335" s="111"/>
      <c r="EF11335"/>
      <c r="EG11335"/>
      <c r="EH11335"/>
      <c r="EI11335"/>
      <c r="EJ11335"/>
      <c r="EK11335"/>
    </row>
    <row r="11336" spans="1:141" s="116" customFormat="1">
      <c r="A11336" s="136"/>
      <c r="CM11336" s="111"/>
      <c r="CQ11336" s="111"/>
      <c r="EF11336"/>
      <c r="EG11336"/>
      <c r="EH11336"/>
      <c r="EI11336"/>
      <c r="EJ11336"/>
      <c r="EK11336"/>
    </row>
    <row r="11337" spans="1:141" s="116" customFormat="1">
      <c r="A11337" s="136"/>
      <c r="CM11337" s="111"/>
      <c r="CQ11337" s="111"/>
      <c r="EF11337"/>
      <c r="EG11337"/>
      <c r="EH11337"/>
      <c r="EI11337"/>
      <c r="EJ11337"/>
      <c r="EK11337"/>
    </row>
    <row r="11338" spans="1:141" s="116" customFormat="1">
      <c r="A11338" s="136"/>
      <c r="CM11338" s="111"/>
      <c r="CQ11338" s="111"/>
      <c r="EF11338"/>
      <c r="EG11338"/>
      <c r="EH11338"/>
      <c r="EI11338"/>
      <c r="EJ11338"/>
      <c r="EK11338"/>
    </row>
    <row r="11339" spans="1:141" s="116" customFormat="1">
      <c r="A11339" s="136"/>
      <c r="CM11339" s="111"/>
      <c r="CQ11339" s="111"/>
      <c r="EF11339"/>
      <c r="EG11339"/>
      <c r="EH11339"/>
      <c r="EI11339"/>
      <c r="EJ11339"/>
      <c r="EK11339"/>
    </row>
    <row r="11340" spans="1:141" s="116" customFormat="1">
      <c r="A11340" s="136"/>
      <c r="CM11340" s="111"/>
      <c r="CQ11340" s="111"/>
      <c r="EF11340"/>
      <c r="EG11340"/>
      <c r="EH11340"/>
      <c r="EI11340"/>
      <c r="EJ11340"/>
      <c r="EK11340"/>
    </row>
    <row r="11341" spans="1:141" s="116" customFormat="1">
      <c r="A11341" s="136"/>
      <c r="CM11341" s="111"/>
      <c r="CQ11341" s="111"/>
      <c r="EF11341"/>
      <c r="EG11341"/>
      <c r="EH11341"/>
      <c r="EI11341"/>
      <c r="EJ11341"/>
      <c r="EK11341"/>
    </row>
    <row r="11342" spans="1:141" s="116" customFormat="1">
      <c r="A11342" s="136"/>
      <c r="CM11342" s="111"/>
      <c r="CQ11342" s="111"/>
      <c r="EF11342"/>
      <c r="EG11342"/>
      <c r="EH11342"/>
      <c r="EI11342"/>
      <c r="EJ11342"/>
      <c r="EK11342"/>
    </row>
    <row r="11343" spans="1:141" s="116" customFormat="1">
      <c r="A11343" s="136"/>
      <c r="CM11343" s="111"/>
      <c r="CQ11343" s="111"/>
      <c r="EF11343"/>
      <c r="EG11343"/>
      <c r="EH11343"/>
      <c r="EI11343"/>
      <c r="EJ11343"/>
      <c r="EK11343"/>
    </row>
    <row r="11344" spans="1:141" s="116" customFormat="1">
      <c r="A11344" s="136"/>
      <c r="CM11344" s="111"/>
      <c r="CQ11344" s="111"/>
      <c r="EF11344"/>
      <c r="EG11344"/>
      <c r="EH11344"/>
      <c r="EI11344"/>
      <c r="EJ11344"/>
      <c r="EK11344"/>
    </row>
    <row r="11345" spans="1:141" s="116" customFormat="1">
      <c r="A11345" s="136"/>
      <c r="CM11345" s="111"/>
      <c r="CQ11345" s="111"/>
      <c r="EF11345"/>
      <c r="EG11345"/>
      <c r="EH11345"/>
      <c r="EI11345"/>
      <c r="EJ11345"/>
      <c r="EK11345"/>
    </row>
    <row r="11346" spans="1:141" s="116" customFormat="1">
      <c r="A11346" s="136"/>
      <c r="CM11346" s="111"/>
      <c r="CQ11346" s="111"/>
      <c r="EF11346"/>
      <c r="EG11346"/>
      <c r="EH11346"/>
      <c r="EI11346"/>
      <c r="EJ11346"/>
      <c r="EK11346"/>
    </row>
    <row r="11347" spans="1:141" s="116" customFormat="1">
      <c r="A11347" s="136"/>
      <c r="CM11347" s="111"/>
      <c r="CQ11347" s="111"/>
      <c r="EF11347"/>
      <c r="EG11347"/>
      <c r="EH11347"/>
      <c r="EI11347"/>
      <c r="EJ11347"/>
      <c r="EK11347"/>
    </row>
    <row r="11348" spans="1:141" s="116" customFormat="1">
      <c r="A11348" s="136"/>
      <c r="CM11348" s="111"/>
      <c r="CQ11348" s="111"/>
      <c r="EF11348"/>
      <c r="EG11348"/>
      <c r="EH11348"/>
      <c r="EI11348"/>
      <c r="EJ11348"/>
      <c r="EK11348"/>
    </row>
    <row r="11349" spans="1:141" s="116" customFormat="1">
      <c r="A11349" s="136"/>
      <c r="CM11349" s="111"/>
      <c r="CQ11349" s="111"/>
      <c r="EF11349"/>
      <c r="EG11349"/>
      <c r="EH11349"/>
      <c r="EI11349"/>
      <c r="EJ11349"/>
      <c r="EK11349"/>
    </row>
    <row r="11350" spans="1:141" s="116" customFormat="1">
      <c r="A11350" s="136"/>
      <c r="CM11350" s="111"/>
      <c r="CQ11350" s="111"/>
      <c r="EF11350"/>
      <c r="EG11350"/>
      <c r="EH11350"/>
      <c r="EI11350"/>
      <c r="EJ11350"/>
      <c r="EK11350"/>
    </row>
    <row r="11351" spans="1:141" s="116" customFormat="1">
      <c r="A11351" s="136"/>
      <c r="CM11351" s="111"/>
      <c r="CQ11351" s="111"/>
      <c r="EF11351"/>
      <c r="EG11351"/>
      <c r="EH11351"/>
      <c r="EI11351"/>
      <c r="EJ11351"/>
      <c r="EK11351"/>
    </row>
    <row r="11352" spans="1:141" s="116" customFormat="1">
      <c r="A11352" s="136"/>
      <c r="CM11352" s="111"/>
      <c r="CQ11352" s="111"/>
      <c r="EF11352"/>
      <c r="EG11352"/>
      <c r="EH11352"/>
      <c r="EI11352"/>
      <c r="EJ11352"/>
      <c r="EK11352"/>
    </row>
    <row r="11353" spans="1:141" s="116" customFormat="1">
      <c r="A11353" s="136"/>
      <c r="CM11353" s="111"/>
      <c r="CQ11353" s="111"/>
      <c r="EF11353"/>
      <c r="EG11353"/>
      <c r="EH11353"/>
      <c r="EI11353"/>
      <c r="EJ11353"/>
      <c r="EK11353"/>
    </row>
    <row r="11354" spans="1:141" s="116" customFormat="1">
      <c r="A11354" s="136"/>
      <c r="CM11354" s="111"/>
      <c r="CQ11354" s="111"/>
      <c r="EF11354"/>
      <c r="EG11354"/>
      <c r="EH11354"/>
      <c r="EI11354"/>
      <c r="EJ11354"/>
      <c r="EK11354"/>
    </row>
    <row r="11355" spans="1:141" s="116" customFormat="1">
      <c r="A11355" s="136"/>
      <c r="CM11355" s="111"/>
      <c r="CQ11355" s="111"/>
      <c r="EF11355"/>
      <c r="EG11355"/>
      <c r="EH11355"/>
      <c r="EI11355"/>
      <c r="EJ11355"/>
      <c r="EK11355"/>
    </row>
    <row r="11356" spans="1:141" s="116" customFormat="1">
      <c r="A11356" s="136"/>
      <c r="CM11356" s="111"/>
      <c r="CQ11356" s="111"/>
      <c r="EF11356"/>
      <c r="EG11356"/>
      <c r="EH11356"/>
      <c r="EI11356"/>
      <c r="EJ11356"/>
      <c r="EK11356"/>
    </row>
    <row r="11357" spans="1:141" s="116" customFormat="1">
      <c r="A11357" s="136"/>
      <c r="CM11357" s="111"/>
      <c r="CQ11357" s="111"/>
      <c r="EF11357"/>
      <c r="EG11357"/>
      <c r="EH11357"/>
      <c r="EI11357"/>
      <c r="EJ11357"/>
      <c r="EK11357"/>
    </row>
    <row r="11358" spans="1:141" s="116" customFormat="1">
      <c r="A11358" s="136"/>
      <c r="CM11358" s="111"/>
      <c r="CQ11358" s="111"/>
      <c r="EF11358"/>
      <c r="EG11358"/>
      <c r="EH11358"/>
      <c r="EI11358"/>
      <c r="EJ11358"/>
      <c r="EK11358"/>
    </row>
    <row r="11359" spans="1:141" s="116" customFormat="1">
      <c r="A11359" s="136"/>
      <c r="CM11359" s="111"/>
      <c r="CQ11359" s="111"/>
      <c r="EF11359"/>
      <c r="EG11359"/>
      <c r="EH11359"/>
      <c r="EI11359"/>
      <c r="EJ11359"/>
      <c r="EK11359"/>
    </row>
    <row r="11360" spans="1:141" s="116" customFormat="1">
      <c r="A11360" s="136"/>
      <c r="CM11360" s="111"/>
      <c r="CQ11360" s="111"/>
      <c r="EF11360"/>
      <c r="EG11360"/>
      <c r="EH11360"/>
      <c r="EI11360"/>
      <c r="EJ11360"/>
      <c r="EK11360"/>
    </row>
    <row r="11361" spans="1:141" s="116" customFormat="1">
      <c r="A11361" s="136"/>
      <c r="CM11361" s="111"/>
      <c r="CQ11361" s="111"/>
      <c r="EF11361"/>
      <c r="EG11361"/>
      <c r="EH11361"/>
      <c r="EI11361"/>
      <c r="EJ11361"/>
      <c r="EK11361"/>
    </row>
    <row r="11362" spans="1:141" s="116" customFormat="1">
      <c r="A11362" s="136"/>
      <c r="CM11362" s="111"/>
      <c r="CQ11362" s="111"/>
      <c r="EF11362"/>
      <c r="EG11362"/>
      <c r="EH11362"/>
      <c r="EI11362"/>
      <c r="EJ11362"/>
      <c r="EK11362"/>
    </row>
    <row r="11363" spans="1:141" s="116" customFormat="1">
      <c r="A11363" s="136"/>
      <c r="CM11363" s="111"/>
      <c r="CQ11363" s="111"/>
      <c r="EF11363"/>
      <c r="EG11363"/>
      <c r="EH11363"/>
      <c r="EI11363"/>
      <c r="EJ11363"/>
      <c r="EK11363"/>
    </row>
    <row r="11364" spans="1:141" s="116" customFormat="1">
      <c r="A11364" s="136"/>
      <c r="CM11364" s="111"/>
      <c r="CQ11364" s="111"/>
      <c r="EF11364"/>
      <c r="EG11364"/>
      <c r="EH11364"/>
      <c r="EI11364"/>
      <c r="EJ11364"/>
      <c r="EK11364"/>
    </row>
    <row r="11365" spans="1:141" s="116" customFormat="1">
      <c r="A11365" s="136"/>
      <c r="CM11365" s="111"/>
      <c r="CQ11365" s="111"/>
      <c r="EF11365"/>
      <c r="EG11365"/>
      <c r="EH11365"/>
      <c r="EI11365"/>
      <c r="EJ11365"/>
      <c r="EK11365"/>
    </row>
    <row r="11366" spans="1:141" s="116" customFormat="1">
      <c r="A11366" s="136"/>
      <c r="CM11366" s="111"/>
      <c r="CQ11366" s="111"/>
      <c r="EF11366"/>
      <c r="EG11366"/>
      <c r="EH11366"/>
      <c r="EI11366"/>
      <c r="EJ11366"/>
      <c r="EK11366"/>
    </row>
    <row r="11367" spans="1:141" s="116" customFormat="1">
      <c r="A11367" s="136"/>
      <c r="CM11367" s="111"/>
      <c r="CQ11367" s="111"/>
      <c r="EF11367"/>
      <c r="EG11367"/>
      <c r="EH11367"/>
      <c r="EI11367"/>
      <c r="EJ11367"/>
      <c r="EK11367"/>
    </row>
    <row r="11368" spans="1:141" s="116" customFormat="1">
      <c r="A11368" s="136"/>
      <c r="CM11368" s="111"/>
      <c r="CQ11368" s="111"/>
      <c r="EF11368"/>
      <c r="EG11368"/>
      <c r="EH11368"/>
      <c r="EI11368"/>
      <c r="EJ11368"/>
      <c r="EK11368"/>
    </row>
    <row r="11369" spans="1:141" s="116" customFormat="1">
      <c r="A11369" s="136"/>
      <c r="CM11369" s="111"/>
      <c r="CQ11369" s="111"/>
      <c r="EF11369"/>
      <c r="EG11369"/>
      <c r="EH11369"/>
      <c r="EI11369"/>
      <c r="EJ11369"/>
      <c r="EK11369"/>
    </row>
    <row r="11370" spans="1:141" s="116" customFormat="1">
      <c r="A11370" s="136"/>
      <c r="CM11370" s="111"/>
      <c r="CQ11370" s="111"/>
      <c r="EF11370"/>
      <c r="EG11370"/>
      <c r="EH11370"/>
      <c r="EI11370"/>
      <c r="EJ11370"/>
      <c r="EK11370"/>
    </row>
    <row r="11371" spans="1:141" s="116" customFormat="1">
      <c r="A11371" s="136"/>
      <c r="CM11371" s="111"/>
      <c r="CQ11371" s="111"/>
      <c r="EF11371"/>
      <c r="EG11371"/>
      <c r="EH11371"/>
      <c r="EI11371"/>
      <c r="EJ11371"/>
      <c r="EK11371"/>
    </row>
    <row r="11372" spans="1:141" s="116" customFormat="1">
      <c r="A11372" s="136"/>
      <c r="CM11372" s="111"/>
      <c r="CQ11372" s="111"/>
      <c r="EF11372"/>
      <c r="EG11372"/>
      <c r="EH11372"/>
      <c r="EI11372"/>
      <c r="EJ11372"/>
      <c r="EK11372"/>
    </row>
    <row r="11373" spans="1:141" s="116" customFormat="1">
      <c r="A11373" s="136"/>
      <c r="CM11373" s="111"/>
      <c r="CQ11373" s="111"/>
      <c r="EF11373"/>
      <c r="EG11373"/>
      <c r="EH11373"/>
      <c r="EI11373"/>
      <c r="EJ11373"/>
      <c r="EK11373"/>
    </row>
    <row r="11374" spans="1:141" s="116" customFormat="1">
      <c r="A11374" s="136"/>
      <c r="CM11374" s="111"/>
      <c r="CQ11374" s="111"/>
      <c r="EF11374"/>
      <c r="EG11374"/>
      <c r="EH11374"/>
      <c r="EI11374"/>
      <c r="EJ11374"/>
      <c r="EK11374"/>
    </row>
    <row r="11375" spans="1:141" s="116" customFormat="1">
      <c r="A11375" s="136"/>
      <c r="CM11375" s="111"/>
      <c r="CQ11375" s="111"/>
      <c r="EF11375"/>
      <c r="EG11375"/>
      <c r="EH11375"/>
      <c r="EI11375"/>
      <c r="EJ11375"/>
      <c r="EK11375"/>
    </row>
    <row r="11376" spans="1:141" s="116" customFormat="1">
      <c r="A11376" s="136"/>
      <c r="CM11376" s="111"/>
      <c r="CQ11376" s="111"/>
      <c r="EF11376"/>
      <c r="EG11376"/>
      <c r="EH11376"/>
      <c r="EI11376"/>
      <c r="EJ11376"/>
      <c r="EK11376"/>
    </row>
    <row r="11377" spans="1:141" s="116" customFormat="1">
      <c r="A11377" s="136"/>
      <c r="CM11377" s="111"/>
      <c r="CQ11377" s="111"/>
      <c r="EF11377"/>
      <c r="EG11377"/>
      <c r="EH11377"/>
      <c r="EI11377"/>
      <c r="EJ11377"/>
      <c r="EK11377"/>
    </row>
    <row r="11378" spans="1:141" s="116" customFormat="1">
      <c r="A11378" s="136"/>
      <c r="CM11378" s="111"/>
      <c r="CQ11378" s="111"/>
      <c r="EF11378"/>
      <c r="EG11378"/>
      <c r="EH11378"/>
      <c r="EI11378"/>
      <c r="EJ11378"/>
      <c r="EK11378"/>
    </row>
    <row r="11379" spans="1:141" s="116" customFormat="1">
      <c r="A11379" s="136"/>
      <c r="CM11379" s="111"/>
      <c r="CQ11379" s="111"/>
      <c r="EF11379"/>
      <c r="EG11379"/>
      <c r="EH11379"/>
      <c r="EI11379"/>
      <c r="EJ11379"/>
      <c r="EK11379"/>
    </row>
    <row r="11380" spans="1:141" s="116" customFormat="1">
      <c r="A11380" s="136"/>
      <c r="CM11380" s="111"/>
      <c r="CQ11380" s="111"/>
      <c r="EF11380"/>
      <c r="EG11380"/>
      <c r="EH11380"/>
      <c r="EI11380"/>
      <c r="EJ11380"/>
      <c r="EK11380"/>
    </row>
    <row r="11381" spans="1:141" s="116" customFormat="1">
      <c r="A11381" s="136"/>
      <c r="CM11381" s="111"/>
      <c r="CQ11381" s="111"/>
      <c r="EF11381"/>
      <c r="EG11381"/>
      <c r="EH11381"/>
      <c r="EI11381"/>
      <c r="EJ11381"/>
      <c r="EK11381"/>
    </row>
    <row r="11382" spans="1:141" s="116" customFormat="1">
      <c r="A11382" s="136"/>
      <c r="CM11382" s="111"/>
      <c r="CQ11382" s="111"/>
      <c r="EF11382"/>
      <c r="EG11382"/>
      <c r="EH11382"/>
      <c r="EI11382"/>
      <c r="EJ11382"/>
      <c r="EK11382"/>
    </row>
    <row r="11383" spans="1:141" s="116" customFormat="1">
      <c r="A11383" s="136"/>
      <c r="CM11383" s="111"/>
      <c r="CQ11383" s="111"/>
      <c r="EF11383"/>
      <c r="EG11383"/>
      <c r="EH11383"/>
      <c r="EI11383"/>
      <c r="EJ11383"/>
      <c r="EK11383"/>
    </row>
    <row r="11384" spans="1:141" s="116" customFormat="1">
      <c r="A11384" s="136"/>
      <c r="CM11384" s="111"/>
      <c r="CQ11384" s="111"/>
      <c r="EF11384"/>
      <c r="EG11384"/>
      <c r="EH11384"/>
      <c r="EI11384"/>
      <c r="EJ11384"/>
      <c r="EK11384"/>
    </row>
    <row r="11385" spans="1:141" s="116" customFormat="1">
      <c r="A11385" s="136"/>
      <c r="CM11385" s="111"/>
      <c r="CQ11385" s="111"/>
      <c r="EF11385"/>
      <c r="EG11385"/>
      <c r="EH11385"/>
      <c r="EI11385"/>
      <c r="EJ11385"/>
      <c r="EK11385"/>
    </row>
    <row r="11386" spans="1:141" s="116" customFormat="1">
      <c r="A11386" s="136"/>
      <c r="CM11386" s="111"/>
      <c r="CQ11386" s="111"/>
      <c r="EF11386"/>
      <c r="EG11386"/>
      <c r="EH11386"/>
      <c r="EI11386"/>
      <c r="EJ11386"/>
      <c r="EK11386"/>
    </row>
    <row r="11387" spans="1:141" s="116" customFormat="1">
      <c r="A11387" s="136"/>
      <c r="CM11387" s="111"/>
      <c r="CQ11387" s="111"/>
      <c r="EF11387"/>
      <c r="EG11387"/>
      <c r="EH11387"/>
      <c r="EI11387"/>
      <c r="EJ11387"/>
      <c r="EK11387"/>
    </row>
    <row r="11388" spans="1:141" s="116" customFormat="1">
      <c r="A11388" s="136"/>
      <c r="CM11388" s="111"/>
      <c r="CQ11388" s="111"/>
      <c r="EF11388"/>
      <c r="EG11388"/>
      <c r="EH11388"/>
      <c r="EI11388"/>
      <c r="EJ11388"/>
      <c r="EK11388"/>
    </row>
    <row r="11389" spans="1:141" s="116" customFormat="1">
      <c r="A11389" s="136"/>
      <c r="CM11389" s="111"/>
      <c r="CQ11389" s="111"/>
      <c r="EF11389"/>
      <c r="EG11389"/>
      <c r="EH11389"/>
      <c r="EI11389"/>
      <c r="EJ11389"/>
      <c r="EK11389"/>
    </row>
    <row r="11390" spans="1:141" s="116" customFormat="1">
      <c r="A11390" s="136"/>
      <c r="CM11390" s="111"/>
      <c r="CQ11390" s="111"/>
      <c r="EF11390"/>
      <c r="EG11390"/>
      <c r="EH11390"/>
      <c r="EI11390"/>
      <c r="EJ11390"/>
      <c r="EK11390"/>
    </row>
    <row r="11391" spans="1:141" s="116" customFormat="1">
      <c r="A11391" s="136"/>
      <c r="CM11391" s="111"/>
      <c r="CQ11391" s="111"/>
      <c r="EF11391"/>
      <c r="EG11391"/>
      <c r="EH11391"/>
      <c r="EI11391"/>
      <c r="EJ11391"/>
      <c r="EK11391"/>
    </row>
    <row r="11392" spans="1:141" s="116" customFormat="1">
      <c r="A11392" s="136"/>
      <c r="CM11392" s="111"/>
      <c r="CQ11392" s="111"/>
      <c r="EF11392"/>
      <c r="EG11392"/>
      <c r="EH11392"/>
      <c r="EI11392"/>
      <c r="EJ11392"/>
      <c r="EK11392"/>
    </row>
    <row r="11393" spans="1:141" s="116" customFormat="1">
      <c r="A11393" s="136"/>
      <c r="CM11393" s="111"/>
      <c r="CQ11393" s="111"/>
      <c r="EF11393"/>
      <c r="EG11393"/>
      <c r="EH11393"/>
      <c r="EI11393"/>
      <c r="EJ11393"/>
      <c r="EK11393"/>
    </row>
    <row r="11394" spans="1:141" s="116" customFormat="1">
      <c r="A11394" s="136"/>
      <c r="CM11394" s="111"/>
      <c r="CQ11394" s="111"/>
      <c r="EF11394"/>
      <c r="EG11394"/>
      <c r="EH11394"/>
      <c r="EI11394"/>
      <c r="EJ11394"/>
      <c r="EK11394"/>
    </row>
    <row r="11395" spans="1:141" s="116" customFormat="1">
      <c r="A11395" s="136"/>
      <c r="CM11395" s="111"/>
      <c r="CQ11395" s="111"/>
      <c r="EF11395"/>
      <c r="EG11395"/>
      <c r="EH11395"/>
      <c r="EI11395"/>
      <c r="EJ11395"/>
      <c r="EK11395"/>
    </row>
    <row r="11396" spans="1:141" s="116" customFormat="1">
      <c r="A11396" s="136"/>
      <c r="CM11396" s="111"/>
      <c r="CQ11396" s="111"/>
      <c r="EF11396"/>
      <c r="EG11396"/>
      <c r="EH11396"/>
      <c r="EI11396"/>
      <c r="EJ11396"/>
      <c r="EK11396"/>
    </row>
    <row r="11397" spans="1:141" s="116" customFormat="1">
      <c r="A11397" s="136"/>
      <c r="CM11397" s="111"/>
      <c r="CQ11397" s="111"/>
      <c r="EF11397"/>
      <c r="EG11397"/>
      <c r="EH11397"/>
      <c r="EI11397"/>
      <c r="EJ11397"/>
      <c r="EK11397"/>
    </row>
    <row r="11398" spans="1:141" s="116" customFormat="1">
      <c r="A11398" s="136"/>
      <c r="CM11398" s="111"/>
      <c r="CQ11398" s="111"/>
      <c r="EF11398"/>
      <c r="EG11398"/>
      <c r="EH11398"/>
      <c r="EI11398"/>
      <c r="EJ11398"/>
      <c r="EK11398"/>
    </row>
    <row r="11399" spans="1:141" s="116" customFormat="1">
      <c r="A11399" s="136"/>
      <c r="CM11399" s="111"/>
      <c r="CQ11399" s="111"/>
      <c r="EF11399"/>
      <c r="EG11399"/>
      <c r="EH11399"/>
      <c r="EI11399"/>
      <c r="EJ11399"/>
      <c r="EK11399"/>
    </row>
    <row r="11400" spans="1:141" s="116" customFormat="1">
      <c r="A11400" s="136"/>
      <c r="CM11400" s="111"/>
      <c r="CQ11400" s="111"/>
      <c r="EF11400"/>
      <c r="EG11400"/>
      <c r="EH11400"/>
      <c r="EI11400"/>
      <c r="EJ11400"/>
      <c r="EK11400"/>
    </row>
    <row r="11401" spans="1:141" s="116" customFormat="1">
      <c r="A11401" s="136"/>
      <c r="CM11401" s="111"/>
      <c r="CQ11401" s="111"/>
      <c r="EF11401"/>
      <c r="EG11401"/>
      <c r="EH11401"/>
      <c r="EI11401"/>
      <c r="EJ11401"/>
      <c r="EK11401"/>
    </row>
    <row r="11402" spans="1:141" s="116" customFormat="1">
      <c r="A11402" s="136"/>
      <c r="CM11402" s="111"/>
      <c r="CQ11402" s="111"/>
      <c r="EF11402"/>
      <c r="EG11402"/>
      <c r="EH11402"/>
      <c r="EI11402"/>
      <c r="EJ11402"/>
      <c r="EK11402"/>
    </row>
    <row r="11403" spans="1:141" s="116" customFormat="1">
      <c r="A11403" s="136"/>
      <c r="CM11403" s="111"/>
      <c r="CQ11403" s="111"/>
      <c r="EF11403"/>
      <c r="EG11403"/>
      <c r="EH11403"/>
      <c r="EI11403"/>
      <c r="EJ11403"/>
      <c r="EK11403"/>
    </row>
    <row r="11404" spans="1:141" s="116" customFormat="1">
      <c r="A11404" s="136"/>
      <c r="CM11404" s="111"/>
      <c r="CQ11404" s="111"/>
      <c r="EF11404"/>
      <c r="EG11404"/>
      <c r="EH11404"/>
      <c r="EI11404"/>
      <c r="EJ11404"/>
      <c r="EK11404"/>
    </row>
    <row r="11405" spans="1:141" s="116" customFormat="1">
      <c r="A11405" s="136"/>
      <c r="CM11405" s="111"/>
      <c r="CQ11405" s="111"/>
      <c r="EF11405"/>
      <c r="EG11405"/>
      <c r="EH11405"/>
      <c r="EI11405"/>
      <c r="EJ11405"/>
      <c r="EK11405"/>
    </row>
    <row r="11406" spans="1:141" s="116" customFormat="1">
      <c r="A11406" s="136"/>
      <c r="CM11406" s="111"/>
      <c r="CQ11406" s="111"/>
      <c r="EF11406"/>
      <c r="EG11406"/>
      <c r="EH11406"/>
      <c r="EI11406"/>
      <c r="EJ11406"/>
      <c r="EK11406"/>
    </row>
    <row r="11407" spans="1:141" s="116" customFormat="1">
      <c r="A11407" s="136"/>
      <c r="CM11407" s="111"/>
      <c r="CQ11407" s="111"/>
      <c r="EF11407"/>
      <c r="EG11407"/>
      <c r="EH11407"/>
      <c r="EI11407"/>
      <c r="EJ11407"/>
      <c r="EK11407"/>
    </row>
    <row r="11408" spans="1:141" s="116" customFormat="1">
      <c r="A11408" s="136"/>
      <c r="CM11408" s="111"/>
      <c r="CQ11408" s="111"/>
      <c r="EF11408"/>
      <c r="EG11408"/>
      <c r="EH11408"/>
      <c r="EI11408"/>
      <c r="EJ11408"/>
      <c r="EK11408"/>
    </row>
    <row r="11409" spans="1:141" s="116" customFormat="1">
      <c r="A11409" s="136"/>
      <c r="CM11409" s="111"/>
      <c r="CQ11409" s="111"/>
      <c r="EF11409"/>
      <c r="EG11409"/>
      <c r="EH11409"/>
      <c r="EI11409"/>
      <c r="EJ11409"/>
      <c r="EK11409"/>
    </row>
    <row r="11410" spans="1:141" s="116" customFormat="1">
      <c r="A11410" s="136"/>
      <c r="CM11410" s="111"/>
      <c r="CQ11410" s="111"/>
      <c r="EF11410"/>
      <c r="EG11410"/>
      <c r="EH11410"/>
      <c r="EI11410"/>
      <c r="EJ11410"/>
      <c r="EK11410"/>
    </row>
    <row r="11411" spans="1:141" s="116" customFormat="1">
      <c r="A11411" s="136"/>
      <c r="CM11411" s="111"/>
      <c r="CQ11411" s="111"/>
      <c r="EF11411"/>
      <c r="EG11411"/>
      <c r="EH11411"/>
      <c r="EI11411"/>
      <c r="EJ11411"/>
      <c r="EK11411"/>
    </row>
    <row r="11412" spans="1:141" s="116" customFormat="1">
      <c r="A11412" s="136"/>
      <c r="CM11412" s="111"/>
      <c r="CQ11412" s="111"/>
      <c r="EF11412"/>
      <c r="EG11412"/>
      <c r="EH11412"/>
      <c r="EI11412"/>
      <c r="EJ11412"/>
      <c r="EK11412"/>
    </row>
    <row r="11413" spans="1:141" s="116" customFormat="1">
      <c r="A11413" s="136"/>
      <c r="CM11413" s="111"/>
      <c r="CQ11413" s="111"/>
      <c r="EF11413"/>
      <c r="EG11413"/>
      <c r="EH11413"/>
      <c r="EI11413"/>
      <c r="EJ11413"/>
      <c r="EK11413"/>
    </row>
    <row r="11414" spans="1:141" s="116" customFormat="1">
      <c r="A11414" s="136"/>
      <c r="CM11414" s="111"/>
      <c r="CQ11414" s="111"/>
      <c r="EF11414"/>
      <c r="EG11414"/>
      <c r="EH11414"/>
      <c r="EI11414"/>
      <c r="EJ11414"/>
      <c r="EK11414"/>
    </row>
    <row r="11415" spans="1:141" s="116" customFormat="1">
      <c r="A11415" s="136"/>
      <c r="CM11415" s="111"/>
      <c r="CQ11415" s="111"/>
      <c r="EF11415"/>
      <c r="EG11415"/>
      <c r="EH11415"/>
      <c r="EI11415"/>
      <c r="EJ11415"/>
      <c r="EK11415"/>
    </row>
    <row r="11416" spans="1:141" s="116" customFormat="1">
      <c r="A11416" s="136"/>
      <c r="CM11416" s="111"/>
      <c r="CQ11416" s="111"/>
      <c r="EF11416"/>
      <c r="EG11416"/>
      <c r="EH11416"/>
      <c r="EI11416"/>
      <c r="EJ11416"/>
      <c r="EK11416"/>
    </row>
    <row r="11417" spans="1:141" s="116" customFormat="1">
      <c r="A11417" s="136"/>
      <c r="CM11417" s="111"/>
      <c r="CQ11417" s="111"/>
      <c r="EF11417"/>
      <c r="EG11417"/>
      <c r="EH11417"/>
      <c r="EI11417"/>
      <c r="EJ11417"/>
      <c r="EK11417"/>
    </row>
    <row r="11418" spans="1:141" s="116" customFormat="1">
      <c r="A11418" s="136"/>
      <c r="CM11418" s="111"/>
      <c r="CQ11418" s="111"/>
      <c r="EF11418"/>
      <c r="EG11418"/>
      <c r="EH11418"/>
      <c r="EI11418"/>
      <c r="EJ11418"/>
      <c r="EK11418"/>
    </row>
    <row r="11419" spans="1:141" s="116" customFormat="1">
      <c r="A11419" s="136"/>
      <c r="CM11419" s="111"/>
      <c r="CQ11419" s="111"/>
      <c r="EF11419"/>
      <c r="EG11419"/>
      <c r="EH11419"/>
      <c r="EI11419"/>
      <c r="EJ11419"/>
      <c r="EK11419"/>
    </row>
    <row r="11420" spans="1:141" s="116" customFormat="1">
      <c r="A11420" s="136"/>
      <c r="CM11420" s="111"/>
      <c r="CQ11420" s="111"/>
      <c r="EF11420"/>
      <c r="EG11420"/>
      <c r="EH11420"/>
      <c r="EI11420"/>
      <c r="EJ11420"/>
      <c r="EK11420"/>
    </row>
    <row r="11421" spans="1:141" s="116" customFormat="1">
      <c r="A11421" s="136"/>
      <c r="CM11421" s="111"/>
      <c r="CQ11421" s="111"/>
      <c r="EF11421"/>
      <c r="EG11421"/>
      <c r="EH11421"/>
      <c r="EI11421"/>
      <c r="EJ11421"/>
      <c r="EK11421"/>
    </row>
    <row r="11422" spans="1:141" s="116" customFormat="1">
      <c r="A11422" s="136"/>
      <c r="CM11422" s="111"/>
      <c r="CQ11422" s="111"/>
      <c r="EF11422"/>
      <c r="EG11422"/>
      <c r="EH11422"/>
      <c r="EI11422"/>
      <c r="EJ11422"/>
      <c r="EK11422"/>
    </row>
    <row r="11423" spans="1:141" s="116" customFormat="1">
      <c r="A11423" s="136"/>
      <c r="CM11423" s="111"/>
      <c r="CQ11423" s="111"/>
      <c r="EF11423"/>
      <c r="EG11423"/>
      <c r="EH11423"/>
      <c r="EI11423"/>
      <c r="EJ11423"/>
      <c r="EK11423"/>
    </row>
    <row r="11424" spans="1:141" s="116" customFormat="1">
      <c r="A11424" s="136"/>
      <c r="CM11424" s="111"/>
      <c r="CQ11424" s="111"/>
      <c r="EF11424"/>
      <c r="EG11424"/>
      <c r="EH11424"/>
      <c r="EI11424"/>
      <c r="EJ11424"/>
      <c r="EK11424"/>
    </row>
    <row r="11425" spans="1:141" s="116" customFormat="1">
      <c r="A11425" s="136"/>
      <c r="CM11425" s="111"/>
      <c r="CQ11425" s="111"/>
      <c r="EF11425"/>
      <c r="EG11425"/>
      <c r="EH11425"/>
      <c r="EI11425"/>
      <c r="EJ11425"/>
      <c r="EK11425"/>
    </row>
    <row r="11426" spans="1:141" s="116" customFormat="1">
      <c r="A11426" s="136"/>
      <c r="CM11426" s="111"/>
      <c r="CQ11426" s="111"/>
      <c r="EF11426"/>
      <c r="EG11426"/>
      <c r="EH11426"/>
      <c r="EI11426"/>
      <c r="EJ11426"/>
      <c r="EK11426"/>
    </row>
    <row r="11427" spans="1:141" s="116" customFormat="1">
      <c r="A11427" s="136"/>
      <c r="CM11427" s="111"/>
      <c r="CQ11427" s="111"/>
      <c r="EF11427"/>
      <c r="EG11427"/>
      <c r="EH11427"/>
      <c r="EI11427"/>
      <c r="EJ11427"/>
      <c r="EK11427"/>
    </row>
    <row r="11428" spans="1:141" s="116" customFormat="1">
      <c r="A11428" s="136"/>
      <c r="CM11428" s="111"/>
      <c r="CQ11428" s="111"/>
      <c r="EF11428"/>
      <c r="EG11428"/>
      <c r="EH11428"/>
      <c r="EI11428"/>
      <c r="EJ11428"/>
      <c r="EK11428"/>
    </row>
    <row r="11429" spans="1:141" s="116" customFormat="1">
      <c r="A11429" s="136"/>
      <c r="CM11429" s="111"/>
      <c r="CQ11429" s="111"/>
      <c r="EF11429"/>
      <c r="EG11429"/>
      <c r="EH11429"/>
      <c r="EI11429"/>
      <c r="EJ11429"/>
      <c r="EK11429"/>
    </row>
    <row r="11430" spans="1:141" s="116" customFormat="1">
      <c r="A11430" s="136"/>
      <c r="CM11430" s="111"/>
      <c r="CQ11430" s="111"/>
      <c r="EF11430"/>
      <c r="EG11430"/>
      <c r="EH11430"/>
      <c r="EI11430"/>
      <c r="EJ11430"/>
      <c r="EK11430"/>
    </row>
    <row r="11431" spans="1:141" s="116" customFormat="1">
      <c r="A11431" s="136"/>
      <c r="CM11431" s="111"/>
      <c r="CQ11431" s="111"/>
      <c r="EF11431"/>
      <c r="EG11431"/>
      <c r="EH11431"/>
      <c r="EI11431"/>
      <c r="EJ11431"/>
      <c r="EK11431"/>
    </row>
    <row r="11432" spans="1:141" s="116" customFormat="1">
      <c r="A11432" s="136"/>
      <c r="CM11432" s="111"/>
      <c r="CQ11432" s="111"/>
      <c r="EF11432"/>
      <c r="EG11432"/>
      <c r="EH11432"/>
      <c r="EI11432"/>
      <c r="EJ11432"/>
      <c r="EK11432"/>
    </row>
    <row r="11433" spans="1:141" s="116" customFormat="1">
      <c r="A11433" s="136"/>
      <c r="CM11433" s="111"/>
      <c r="CQ11433" s="111"/>
      <c r="EF11433"/>
      <c r="EG11433"/>
      <c r="EH11433"/>
      <c r="EI11433"/>
      <c r="EJ11433"/>
      <c r="EK11433"/>
    </row>
    <row r="11434" spans="1:141" s="116" customFormat="1">
      <c r="A11434" s="136"/>
      <c r="CM11434" s="111"/>
      <c r="CQ11434" s="111"/>
      <c r="EF11434"/>
      <c r="EG11434"/>
      <c r="EH11434"/>
      <c r="EI11434"/>
      <c r="EJ11434"/>
      <c r="EK11434"/>
    </row>
    <row r="11435" spans="1:141" s="116" customFormat="1">
      <c r="A11435" s="136"/>
      <c r="CM11435" s="111"/>
      <c r="CQ11435" s="111"/>
      <c r="EF11435"/>
      <c r="EG11435"/>
      <c r="EH11435"/>
      <c r="EI11435"/>
      <c r="EJ11435"/>
      <c r="EK11435"/>
    </row>
    <row r="11436" spans="1:141" s="116" customFormat="1">
      <c r="A11436" s="136"/>
      <c r="CM11436" s="111"/>
      <c r="CQ11436" s="111"/>
      <c r="EF11436"/>
      <c r="EG11436"/>
      <c r="EH11436"/>
      <c r="EI11436"/>
      <c r="EJ11436"/>
      <c r="EK11436"/>
    </row>
    <row r="11437" spans="1:141" s="116" customFormat="1">
      <c r="A11437" s="136"/>
      <c r="CM11437" s="111"/>
      <c r="CQ11437" s="111"/>
      <c r="EF11437"/>
      <c r="EG11437"/>
      <c r="EH11437"/>
      <c r="EI11437"/>
      <c r="EJ11437"/>
      <c r="EK11437"/>
    </row>
    <row r="11438" spans="1:141" s="116" customFormat="1">
      <c r="A11438" s="136"/>
      <c r="CM11438" s="111"/>
      <c r="CQ11438" s="111"/>
      <c r="EF11438"/>
      <c r="EG11438"/>
      <c r="EH11438"/>
      <c r="EI11438"/>
      <c r="EJ11438"/>
      <c r="EK11438"/>
    </row>
    <row r="11439" spans="1:141" s="116" customFormat="1">
      <c r="A11439" s="136"/>
      <c r="CM11439" s="111"/>
      <c r="CQ11439" s="111"/>
      <c r="EF11439"/>
      <c r="EG11439"/>
      <c r="EH11439"/>
      <c r="EI11439"/>
      <c r="EJ11439"/>
      <c r="EK11439"/>
    </row>
    <row r="11440" spans="1:141" s="116" customFormat="1">
      <c r="A11440" s="136"/>
      <c r="CM11440" s="111"/>
      <c r="CQ11440" s="111"/>
      <c r="EF11440"/>
      <c r="EG11440"/>
      <c r="EH11440"/>
      <c r="EI11440"/>
      <c r="EJ11440"/>
      <c r="EK11440"/>
    </row>
    <row r="11441" spans="1:141" s="116" customFormat="1">
      <c r="A11441" s="136"/>
      <c r="CM11441" s="111"/>
      <c r="CQ11441" s="111"/>
      <c r="EF11441"/>
      <c r="EG11441"/>
      <c r="EH11441"/>
      <c r="EI11441"/>
      <c r="EJ11441"/>
      <c r="EK11441"/>
    </row>
    <row r="11442" spans="1:141" s="116" customFormat="1">
      <c r="A11442" s="136"/>
      <c r="CM11442" s="111"/>
      <c r="CQ11442" s="111"/>
      <c r="EF11442"/>
      <c r="EG11442"/>
      <c r="EH11442"/>
      <c r="EI11442"/>
      <c r="EJ11442"/>
      <c r="EK11442"/>
    </row>
    <row r="11443" spans="1:141" s="116" customFormat="1">
      <c r="A11443" s="136"/>
      <c r="CM11443" s="111"/>
      <c r="CQ11443" s="111"/>
      <c r="EF11443"/>
      <c r="EG11443"/>
      <c r="EH11443"/>
      <c r="EI11443"/>
      <c r="EJ11443"/>
      <c r="EK11443"/>
    </row>
    <row r="11444" spans="1:141" s="116" customFormat="1">
      <c r="A11444" s="136"/>
      <c r="CM11444" s="111"/>
      <c r="CQ11444" s="111"/>
      <c r="EF11444"/>
      <c r="EG11444"/>
      <c r="EH11444"/>
      <c r="EI11444"/>
      <c r="EJ11444"/>
      <c r="EK11444"/>
    </row>
    <row r="11445" spans="1:141" s="116" customFormat="1">
      <c r="A11445" s="136"/>
      <c r="CM11445" s="111"/>
      <c r="CQ11445" s="111"/>
      <c r="EF11445"/>
      <c r="EG11445"/>
      <c r="EH11445"/>
      <c r="EI11445"/>
      <c r="EJ11445"/>
      <c r="EK11445"/>
    </row>
    <row r="11446" spans="1:141" s="116" customFormat="1">
      <c r="A11446" s="136"/>
      <c r="CM11446" s="111"/>
      <c r="CQ11446" s="111"/>
      <c r="EF11446"/>
      <c r="EG11446"/>
      <c r="EH11446"/>
      <c r="EI11446"/>
      <c r="EJ11446"/>
      <c r="EK11446"/>
    </row>
    <row r="11447" spans="1:141" s="116" customFormat="1">
      <c r="A11447" s="136"/>
      <c r="CM11447" s="111"/>
      <c r="CQ11447" s="111"/>
      <c r="EF11447"/>
      <c r="EG11447"/>
      <c r="EH11447"/>
      <c r="EI11447"/>
      <c r="EJ11447"/>
      <c r="EK11447"/>
    </row>
    <row r="11448" spans="1:141" s="116" customFormat="1">
      <c r="A11448" s="136"/>
      <c r="CM11448" s="111"/>
      <c r="CQ11448" s="111"/>
      <c r="EF11448"/>
      <c r="EG11448"/>
      <c r="EH11448"/>
      <c r="EI11448"/>
      <c r="EJ11448"/>
      <c r="EK11448"/>
    </row>
    <row r="11449" spans="1:141" s="116" customFormat="1">
      <c r="A11449" s="136"/>
      <c r="CM11449" s="111"/>
      <c r="CQ11449" s="111"/>
      <c r="EF11449"/>
      <c r="EG11449"/>
      <c r="EH11449"/>
      <c r="EI11449"/>
      <c r="EJ11449"/>
      <c r="EK11449"/>
    </row>
    <row r="11450" spans="1:141" s="116" customFormat="1">
      <c r="A11450" s="136"/>
      <c r="CM11450" s="111"/>
      <c r="CQ11450" s="111"/>
      <c r="EF11450"/>
      <c r="EG11450"/>
      <c r="EH11450"/>
      <c r="EI11450"/>
      <c r="EJ11450"/>
      <c r="EK11450"/>
    </row>
    <row r="11451" spans="1:141" s="116" customFormat="1">
      <c r="A11451" s="136"/>
      <c r="CM11451" s="111"/>
      <c r="CQ11451" s="111"/>
      <c r="EF11451"/>
      <c r="EG11451"/>
      <c r="EH11451"/>
      <c r="EI11451"/>
      <c r="EJ11451"/>
      <c r="EK11451"/>
    </row>
    <row r="11452" spans="1:141" s="116" customFormat="1">
      <c r="A11452" s="136"/>
      <c r="CM11452" s="111"/>
      <c r="CQ11452" s="111"/>
      <c r="EF11452"/>
      <c r="EG11452"/>
      <c r="EH11452"/>
      <c r="EI11452"/>
      <c r="EJ11452"/>
      <c r="EK11452"/>
    </row>
    <row r="11453" spans="1:141" s="116" customFormat="1">
      <c r="A11453" s="136"/>
      <c r="CM11453" s="111"/>
      <c r="CQ11453" s="111"/>
      <c r="EF11453"/>
      <c r="EG11453"/>
      <c r="EH11453"/>
      <c r="EI11453"/>
      <c r="EJ11453"/>
      <c r="EK11453"/>
    </row>
    <row r="11454" spans="1:141" s="116" customFormat="1">
      <c r="A11454" s="136"/>
      <c r="CM11454" s="111"/>
      <c r="CQ11454" s="111"/>
      <c r="EF11454"/>
      <c r="EG11454"/>
      <c r="EH11454"/>
      <c r="EI11454"/>
      <c r="EJ11454"/>
      <c r="EK11454"/>
    </row>
    <row r="11455" spans="1:141" s="116" customFormat="1">
      <c r="A11455" s="136"/>
      <c r="CM11455" s="111"/>
      <c r="CQ11455" s="111"/>
      <c r="EF11455"/>
      <c r="EG11455"/>
      <c r="EH11455"/>
      <c r="EI11455"/>
      <c r="EJ11455"/>
      <c r="EK11455"/>
    </row>
    <row r="11456" spans="1:141" s="116" customFormat="1">
      <c r="A11456" s="136"/>
      <c r="CM11456" s="111"/>
      <c r="CQ11456" s="111"/>
      <c r="EF11456"/>
      <c r="EG11456"/>
      <c r="EH11456"/>
      <c r="EI11456"/>
      <c r="EJ11456"/>
      <c r="EK11456"/>
    </row>
    <row r="11457" spans="1:141" s="116" customFormat="1">
      <c r="A11457" s="136"/>
      <c r="CM11457" s="111"/>
      <c r="CQ11457" s="111"/>
      <c r="EF11457"/>
      <c r="EG11457"/>
      <c r="EH11457"/>
      <c r="EI11457"/>
      <c r="EJ11457"/>
      <c r="EK11457"/>
    </row>
    <row r="11458" spans="1:141" s="116" customFormat="1">
      <c r="A11458" s="136"/>
      <c r="CM11458" s="111"/>
      <c r="CQ11458" s="111"/>
      <c r="EF11458"/>
      <c r="EG11458"/>
      <c r="EH11458"/>
      <c r="EI11458"/>
      <c r="EJ11458"/>
      <c r="EK11458"/>
    </row>
    <row r="11459" spans="1:141" s="116" customFormat="1">
      <c r="A11459" s="136"/>
      <c r="CM11459" s="111"/>
      <c r="CQ11459" s="111"/>
      <c r="EF11459"/>
      <c r="EG11459"/>
      <c r="EH11459"/>
      <c r="EI11459"/>
      <c r="EJ11459"/>
      <c r="EK11459"/>
    </row>
    <row r="11460" spans="1:141" s="116" customFormat="1">
      <c r="A11460" s="136"/>
      <c r="CM11460" s="111"/>
      <c r="CQ11460" s="111"/>
      <c r="EF11460"/>
      <c r="EG11460"/>
      <c r="EH11460"/>
      <c r="EI11460"/>
      <c r="EJ11460"/>
      <c r="EK11460"/>
    </row>
    <row r="11461" spans="1:141" s="116" customFormat="1">
      <c r="A11461" s="136"/>
      <c r="CM11461" s="111"/>
      <c r="CQ11461" s="111"/>
      <c r="EF11461"/>
      <c r="EG11461"/>
      <c r="EH11461"/>
      <c r="EI11461"/>
      <c r="EJ11461"/>
      <c r="EK11461"/>
    </row>
    <row r="11462" spans="1:141" s="116" customFormat="1">
      <c r="A11462" s="136"/>
      <c r="CM11462" s="111"/>
      <c r="CQ11462" s="111"/>
      <c r="EF11462"/>
      <c r="EG11462"/>
      <c r="EH11462"/>
      <c r="EI11462"/>
      <c r="EJ11462"/>
      <c r="EK11462"/>
    </row>
    <row r="11463" spans="1:141" s="116" customFormat="1">
      <c r="A11463" s="136"/>
      <c r="CM11463" s="111"/>
      <c r="CQ11463" s="111"/>
      <c r="EF11463"/>
      <c r="EG11463"/>
      <c r="EH11463"/>
      <c r="EI11463"/>
      <c r="EJ11463"/>
      <c r="EK11463"/>
    </row>
    <row r="11464" spans="1:141" s="116" customFormat="1">
      <c r="A11464" s="136"/>
      <c r="CM11464" s="111"/>
      <c r="CQ11464" s="111"/>
      <c r="EF11464"/>
      <c r="EG11464"/>
      <c r="EH11464"/>
      <c r="EI11464"/>
      <c r="EJ11464"/>
      <c r="EK11464"/>
    </row>
    <row r="11465" spans="1:141" s="116" customFormat="1">
      <c r="A11465" s="136"/>
      <c r="CM11465" s="111"/>
      <c r="CQ11465" s="111"/>
      <c r="EF11465"/>
      <c r="EG11465"/>
      <c r="EH11465"/>
      <c r="EI11465"/>
      <c r="EJ11465"/>
      <c r="EK11465"/>
    </row>
    <row r="11466" spans="1:141" s="116" customFormat="1">
      <c r="A11466" s="136"/>
      <c r="CM11466" s="111"/>
      <c r="CQ11466" s="111"/>
      <c r="EF11466"/>
      <c r="EG11466"/>
      <c r="EH11466"/>
      <c r="EI11466"/>
      <c r="EJ11466"/>
      <c r="EK11466"/>
    </row>
    <row r="11467" spans="1:141" s="116" customFormat="1">
      <c r="A11467" s="136"/>
      <c r="CM11467" s="111"/>
      <c r="CQ11467" s="111"/>
      <c r="EF11467"/>
      <c r="EG11467"/>
      <c r="EH11467"/>
      <c r="EI11467"/>
      <c r="EJ11467"/>
      <c r="EK11467"/>
    </row>
    <row r="11468" spans="1:141" s="116" customFormat="1">
      <c r="A11468" s="136"/>
      <c r="CM11468" s="111"/>
      <c r="CQ11468" s="111"/>
      <c r="EF11468"/>
      <c r="EG11468"/>
      <c r="EH11468"/>
      <c r="EI11468"/>
      <c r="EJ11468"/>
      <c r="EK11468"/>
    </row>
    <row r="11469" spans="1:141" s="116" customFormat="1">
      <c r="A11469" s="136"/>
      <c r="CM11469" s="111"/>
      <c r="CQ11469" s="111"/>
      <c r="EF11469"/>
      <c r="EG11469"/>
      <c r="EH11469"/>
      <c r="EI11469"/>
      <c r="EJ11469"/>
      <c r="EK11469"/>
    </row>
    <row r="11470" spans="1:141" s="116" customFormat="1">
      <c r="A11470" s="136"/>
      <c r="CM11470" s="111"/>
      <c r="CQ11470" s="111"/>
      <c r="EF11470"/>
      <c r="EG11470"/>
      <c r="EH11470"/>
      <c r="EI11470"/>
      <c r="EJ11470"/>
      <c r="EK11470"/>
    </row>
    <row r="11471" spans="1:141" s="116" customFormat="1">
      <c r="A11471" s="136"/>
      <c r="CM11471" s="111"/>
      <c r="CQ11471" s="111"/>
      <c r="EF11471"/>
      <c r="EG11471"/>
      <c r="EH11471"/>
      <c r="EI11471"/>
      <c r="EJ11471"/>
      <c r="EK11471"/>
    </row>
    <row r="11472" spans="1:141" s="116" customFormat="1">
      <c r="A11472" s="136"/>
      <c r="CM11472" s="111"/>
      <c r="CQ11472" s="111"/>
      <c r="EF11472"/>
      <c r="EG11472"/>
      <c r="EH11472"/>
      <c r="EI11472"/>
      <c r="EJ11472"/>
      <c r="EK11472"/>
    </row>
    <row r="11473" spans="1:141" s="116" customFormat="1">
      <c r="A11473" s="136"/>
      <c r="CM11473" s="111"/>
      <c r="CQ11473" s="111"/>
      <c r="EF11473"/>
      <c r="EG11473"/>
      <c r="EH11473"/>
      <c r="EI11473"/>
      <c r="EJ11473"/>
      <c r="EK11473"/>
    </row>
    <row r="11474" spans="1:141" s="116" customFormat="1">
      <c r="A11474" s="136"/>
      <c r="CM11474" s="111"/>
      <c r="CQ11474" s="111"/>
      <c r="EF11474"/>
      <c r="EG11474"/>
      <c r="EH11474"/>
      <c r="EI11474"/>
      <c r="EJ11474"/>
      <c r="EK11474"/>
    </row>
    <row r="11475" spans="1:141" s="116" customFormat="1">
      <c r="A11475" s="136"/>
      <c r="CM11475" s="111"/>
      <c r="CQ11475" s="111"/>
      <c r="EF11475"/>
      <c r="EG11475"/>
      <c r="EH11475"/>
      <c r="EI11475"/>
      <c r="EJ11475"/>
      <c r="EK11475"/>
    </row>
    <row r="11476" spans="1:141" s="116" customFormat="1">
      <c r="A11476" s="136"/>
      <c r="CM11476" s="111"/>
      <c r="CQ11476" s="111"/>
      <c r="EF11476"/>
      <c r="EG11476"/>
      <c r="EH11476"/>
      <c r="EI11476"/>
      <c r="EJ11476"/>
      <c r="EK11476"/>
    </row>
    <row r="11477" spans="1:141" s="116" customFormat="1">
      <c r="A11477" s="136"/>
      <c r="CM11477" s="111"/>
      <c r="CQ11477" s="111"/>
      <c r="EF11477"/>
      <c r="EG11477"/>
      <c r="EH11477"/>
      <c r="EI11477"/>
      <c r="EJ11477"/>
      <c r="EK11477"/>
    </row>
    <row r="11478" spans="1:141" s="116" customFormat="1">
      <c r="A11478" s="136"/>
      <c r="CM11478" s="111"/>
      <c r="CQ11478" s="111"/>
      <c r="EF11478"/>
      <c r="EG11478"/>
      <c r="EH11478"/>
      <c r="EI11478"/>
      <c r="EJ11478"/>
      <c r="EK11478"/>
    </row>
    <row r="11479" spans="1:141" s="116" customFormat="1">
      <c r="A11479" s="136"/>
      <c r="CM11479" s="111"/>
      <c r="CQ11479" s="111"/>
      <c r="EF11479"/>
      <c r="EG11479"/>
      <c r="EH11479"/>
      <c r="EI11479"/>
      <c r="EJ11479"/>
      <c r="EK11479"/>
    </row>
    <row r="11480" spans="1:141" s="116" customFormat="1">
      <c r="A11480" s="136"/>
      <c r="CM11480" s="111"/>
      <c r="CQ11480" s="111"/>
      <c r="EF11480"/>
      <c r="EG11480"/>
      <c r="EH11480"/>
      <c r="EI11480"/>
      <c r="EJ11480"/>
      <c r="EK11480"/>
    </row>
    <row r="11481" spans="1:141" s="116" customFormat="1">
      <c r="A11481" s="136"/>
      <c r="CM11481" s="111"/>
      <c r="CQ11481" s="111"/>
      <c r="EF11481"/>
      <c r="EG11481"/>
      <c r="EH11481"/>
      <c r="EI11481"/>
      <c r="EJ11481"/>
      <c r="EK11481"/>
    </row>
    <row r="11482" spans="1:141" s="116" customFormat="1">
      <c r="A11482" s="136"/>
      <c r="CM11482" s="111"/>
      <c r="CQ11482" s="111"/>
      <c r="EF11482"/>
      <c r="EG11482"/>
      <c r="EH11482"/>
      <c r="EI11482"/>
      <c r="EJ11482"/>
      <c r="EK11482"/>
    </row>
    <row r="11483" spans="1:141" s="116" customFormat="1">
      <c r="A11483" s="136"/>
      <c r="CM11483" s="111"/>
      <c r="CQ11483" s="111"/>
      <c r="EF11483"/>
      <c r="EG11483"/>
      <c r="EH11483"/>
      <c r="EI11483"/>
      <c r="EJ11483"/>
      <c r="EK11483"/>
    </row>
    <row r="11484" spans="1:141" s="116" customFormat="1">
      <c r="A11484" s="136"/>
      <c r="CM11484" s="111"/>
      <c r="CQ11484" s="111"/>
      <c r="EF11484"/>
      <c r="EG11484"/>
      <c r="EH11484"/>
      <c r="EI11484"/>
      <c r="EJ11484"/>
      <c r="EK11484"/>
    </row>
    <row r="11485" spans="1:141" s="116" customFormat="1">
      <c r="A11485" s="136"/>
      <c r="CM11485" s="111"/>
      <c r="CQ11485" s="111"/>
      <c r="EF11485"/>
      <c r="EG11485"/>
      <c r="EH11485"/>
      <c r="EI11485"/>
      <c r="EJ11485"/>
      <c r="EK11485"/>
    </row>
    <row r="11486" spans="1:141" s="116" customFormat="1">
      <c r="A11486" s="136"/>
      <c r="CM11486" s="111"/>
      <c r="CQ11486" s="111"/>
      <c r="EF11486"/>
      <c r="EG11486"/>
      <c r="EH11486"/>
      <c r="EI11486"/>
      <c r="EJ11486"/>
      <c r="EK11486"/>
    </row>
    <row r="11487" spans="1:141" s="116" customFormat="1">
      <c r="A11487" s="136"/>
      <c r="CM11487" s="111"/>
      <c r="CQ11487" s="111"/>
      <c r="EF11487"/>
      <c r="EG11487"/>
      <c r="EH11487"/>
      <c r="EI11487"/>
      <c r="EJ11487"/>
      <c r="EK11487"/>
    </row>
    <row r="11488" spans="1:141" s="116" customFormat="1">
      <c r="A11488" s="136"/>
      <c r="CM11488" s="111"/>
      <c r="CQ11488" s="111"/>
      <c r="EF11488"/>
      <c r="EG11488"/>
      <c r="EH11488"/>
      <c r="EI11488"/>
      <c r="EJ11488"/>
      <c r="EK11488"/>
    </row>
    <row r="11489" spans="1:141" s="116" customFormat="1">
      <c r="A11489" s="136"/>
      <c r="CM11489" s="111"/>
      <c r="CQ11489" s="111"/>
      <c r="EF11489"/>
      <c r="EG11489"/>
      <c r="EH11489"/>
      <c r="EI11489"/>
      <c r="EJ11489"/>
      <c r="EK11489"/>
    </row>
    <row r="11490" spans="1:141" s="116" customFormat="1">
      <c r="A11490" s="136"/>
      <c r="CM11490" s="111"/>
      <c r="CQ11490" s="111"/>
      <c r="EF11490"/>
      <c r="EG11490"/>
      <c r="EH11490"/>
      <c r="EI11490"/>
      <c r="EJ11490"/>
      <c r="EK11490"/>
    </row>
    <row r="11491" spans="1:141" s="116" customFormat="1">
      <c r="A11491" s="136"/>
      <c r="CM11491" s="111"/>
      <c r="CQ11491" s="111"/>
      <c r="EF11491"/>
      <c r="EG11491"/>
      <c r="EH11491"/>
      <c r="EI11491"/>
      <c r="EJ11491"/>
      <c r="EK11491"/>
    </row>
    <row r="11492" spans="1:141" s="116" customFormat="1">
      <c r="A11492" s="136"/>
      <c r="CM11492" s="111"/>
      <c r="CQ11492" s="111"/>
      <c r="EF11492"/>
      <c r="EG11492"/>
      <c r="EH11492"/>
      <c r="EI11492"/>
      <c r="EJ11492"/>
      <c r="EK11492"/>
    </row>
    <row r="11493" spans="1:141" s="116" customFormat="1">
      <c r="A11493" s="136"/>
      <c r="CM11493" s="111"/>
      <c r="CQ11493" s="111"/>
      <c r="EF11493"/>
      <c r="EG11493"/>
      <c r="EH11493"/>
      <c r="EI11493"/>
      <c r="EJ11493"/>
      <c r="EK11493"/>
    </row>
    <row r="11494" spans="1:141" s="116" customFormat="1">
      <c r="A11494" s="136"/>
      <c r="CM11494" s="111"/>
      <c r="CQ11494" s="111"/>
      <c r="EF11494"/>
      <c r="EG11494"/>
      <c r="EH11494"/>
      <c r="EI11494"/>
      <c r="EJ11494"/>
      <c r="EK11494"/>
    </row>
    <row r="11495" spans="1:141" s="116" customFormat="1">
      <c r="A11495" s="136"/>
      <c r="CM11495" s="111"/>
      <c r="CQ11495" s="111"/>
      <c r="EF11495"/>
      <c r="EG11495"/>
      <c r="EH11495"/>
      <c r="EI11495"/>
      <c r="EJ11495"/>
      <c r="EK11495"/>
    </row>
    <row r="11496" spans="1:141" s="116" customFormat="1">
      <c r="A11496" s="136"/>
      <c r="CM11496" s="111"/>
      <c r="CQ11496" s="111"/>
      <c r="EF11496"/>
      <c r="EG11496"/>
      <c r="EH11496"/>
      <c r="EI11496"/>
      <c r="EJ11496"/>
      <c r="EK11496"/>
    </row>
    <row r="11497" spans="1:141" s="116" customFormat="1">
      <c r="A11497" s="136"/>
      <c r="CM11497" s="111"/>
      <c r="CQ11497" s="111"/>
      <c r="EF11497"/>
      <c r="EG11497"/>
      <c r="EH11497"/>
      <c r="EI11497"/>
      <c r="EJ11497"/>
      <c r="EK11497"/>
    </row>
    <row r="11498" spans="1:141" s="116" customFormat="1">
      <c r="A11498" s="136"/>
      <c r="CM11498" s="111"/>
      <c r="CQ11498" s="111"/>
      <c r="EF11498"/>
      <c r="EG11498"/>
      <c r="EH11498"/>
      <c r="EI11498"/>
      <c r="EJ11498"/>
      <c r="EK11498"/>
    </row>
    <row r="11499" spans="1:141" s="116" customFormat="1">
      <c r="A11499" s="136"/>
      <c r="CM11499" s="111"/>
      <c r="CQ11499" s="111"/>
      <c r="EF11499"/>
      <c r="EG11499"/>
      <c r="EH11499"/>
      <c r="EI11499"/>
      <c r="EJ11499"/>
      <c r="EK11499"/>
    </row>
    <row r="11500" spans="1:141" s="116" customFormat="1">
      <c r="A11500" s="136"/>
      <c r="CM11500" s="111"/>
      <c r="CQ11500" s="111"/>
      <c r="EF11500"/>
      <c r="EG11500"/>
      <c r="EH11500"/>
      <c r="EI11500"/>
      <c r="EJ11500"/>
      <c r="EK11500"/>
    </row>
    <row r="11501" spans="1:141" s="116" customFormat="1">
      <c r="A11501" s="136"/>
      <c r="CM11501" s="111"/>
      <c r="CQ11501" s="111"/>
      <c r="EF11501"/>
      <c r="EG11501"/>
      <c r="EH11501"/>
      <c r="EI11501"/>
      <c r="EJ11501"/>
      <c r="EK11501"/>
    </row>
    <row r="11502" spans="1:141" s="116" customFormat="1">
      <c r="A11502" s="136"/>
      <c r="CM11502" s="111"/>
      <c r="CQ11502" s="111"/>
      <c r="EF11502"/>
      <c r="EG11502"/>
      <c r="EH11502"/>
      <c r="EI11502"/>
      <c r="EJ11502"/>
      <c r="EK11502"/>
    </row>
    <row r="11503" spans="1:141" s="116" customFormat="1">
      <c r="A11503" s="136"/>
      <c r="CM11503" s="111"/>
      <c r="CQ11503" s="111"/>
      <c r="EF11503"/>
      <c r="EG11503"/>
      <c r="EH11503"/>
      <c r="EI11503"/>
      <c r="EJ11503"/>
      <c r="EK11503"/>
    </row>
    <row r="11504" spans="1:141" s="116" customFormat="1">
      <c r="A11504" s="136"/>
      <c r="CM11504" s="111"/>
      <c r="CQ11504" s="111"/>
      <c r="EF11504"/>
      <c r="EG11504"/>
      <c r="EH11504"/>
      <c r="EI11504"/>
      <c r="EJ11504"/>
      <c r="EK11504"/>
    </row>
    <row r="11505" spans="1:141" s="116" customFormat="1">
      <c r="A11505" s="136"/>
      <c r="CM11505" s="111"/>
      <c r="CQ11505" s="111"/>
      <c r="EF11505"/>
      <c r="EG11505"/>
      <c r="EH11505"/>
      <c r="EI11505"/>
      <c r="EJ11505"/>
      <c r="EK11505"/>
    </row>
    <row r="11506" spans="1:141" s="116" customFormat="1">
      <c r="A11506" s="136"/>
      <c r="CM11506" s="111"/>
      <c r="CQ11506" s="111"/>
      <c r="EF11506"/>
      <c r="EG11506"/>
      <c r="EH11506"/>
      <c r="EI11506"/>
      <c r="EJ11506"/>
      <c r="EK11506"/>
    </row>
    <row r="11507" spans="1:141" s="116" customFormat="1">
      <c r="A11507" s="136"/>
      <c r="CM11507" s="111"/>
      <c r="CQ11507" s="111"/>
      <c r="EF11507"/>
      <c r="EG11507"/>
      <c r="EH11507"/>
      <c r="EI11507"/>
      <c r="EJ11507"/>
      <c r="EK11507"/>
    </row>
    <row r="11508" spans="1:141" s="116" customFormat="1">
      <c r="A11508" s="136"/>
      <c r="CM11508" s="111"/>
      <c r="CQ11508" s="111"/>
      <c r="EF11508"/>
      <c r="EG11508"/>
      <c r="EH11508"/>
      <c r="EI11508"/>
      <c r="EJ11508"/>
      <c r="EK11508"/>
    </row>
    <row r="11509" spans="1:141" s="116" customFormat="1">
      <c r="A11509" s="136"/>
      <c r="CM11509" s="111"/>
      <c r="CQ11509" s="111"/>
      <c r="EF11509"/>
      <c r="EG11509"/>
      <c r="EH11509"/>
      <c r="EI11509"/>
      <c r="EJ11509"/>
      <c r="EK11509"/>
    </row>
    <row r="11510" spans="1:141" s="116" customFormat="1">
      <c r="A11510" s="136"/>
      <c r="CM11510" s="111"/>
      <c r="CQ11510" s="111"/>
      <c r="EF11510"/>
      <c r="EG11510"/>
      <c r="EH11510"/>
      <c r="EI11510"/>
      <c r="EJ11510"/>
      <c r="EK11510"/>
    </row>
    <row r="11511" spans="1:141" s="116" customFormat="1">
      <c r="A11511" s="136"/>
      <c r="CM11511" s="111"/>
      <c r="CQ11511" s="111"/>
      <c r="EF11511"/>
      <c r="EG11511"/>
      <c r="EH11511"/>
      <c r="EI11511"/>
      <c r="EJ11511"/>
      <c r="EK11511"/>
    </row>
    <row r="11512" spans="1:141" s="116" customFormat="1">
      <c r="A11512" s="136"/>
      <c r="CM11512" s="111"/>
      <c r="CQ11512" s="111"/>
      <c r="EF11512"/>
      <c r="EG11512"/>
      <c r="EH11512"/>
      <c r="EI11512"/>
      <c r="EJ11512"/>
      <c r="EK11512"/>
    </row>
    <row r="11513" spans="1:141" s="116" customFormat="1">
      <c r="A11513" s="136"/>
      <c r="CM11513" s="111"/>
      <c r="CQ11513" s="111"/>
      <c r="EF11513"/>
      <c r="EG11513"/>
      <c r="EH11513"/>
      <c r="EI11513"/>
      <c r="EJ11513"/>
      <c r="EK11513"/>
    </row>
    <row r="11514" spans="1:141" s="116" customFormat="1">
      <c r="A11514" s="136"/>
      <c r="CM11514" s="111"/>
      <c r="CQ11514" s="111"/>
      <c r="EF11514"/>
      <c r="EG11514"/>
      <c r="EH11514"/>
      <c r="EI11514"/>
      <c r="EJ11514"/>
      <c r="EK11514"/>
    </row>
    <row r="11515" spans="1:141" s="116" customFormat="1">
      <c r="A11515" s="136"/>
      <c r="CM11515" s="111"/>
      <c r="CQ11515" s="111"/>
      <c r="EF11515"/>
      <c r="EG11515"/>
      <c r="EH11515"/>
      <c r="EI11515"/>
      <c r="EJ11515"/>
      <c r="EK11515"/>
    </row>
    <row r="11516" spans="1:141" s="116" customFormat="1">
      <c r="A11516" s="136"/>
      <c r="CM11516" s="111"/>
      <c r="CQ11516" s="111"/>
      <c r="EF11516"/>
      <c r="EG11516"/>
      <c r="EH11516"/>
      <c r="EI11516"/>
      <c r="EJ11516"/>
      <c r="EK11516"/>
    </row>
    <row r="11517" spans="1:141" s="116" customFormat="1">
      <c r="A11517" s="136"/>
      <c r="CM11517" s="111"/>
      <c r="CQ11517" s="111"/>
      <c r="EF11517"/>
      <c r="EG11517"/>
      <c r="EH11517"/>
      <c r="EI11517"/>
      <c r="EJ11517"/>
      <c r="EK11517"/>
    </row>
    <row r="11518" spans="1:141" s="116" customFormat="1">
      <c r="A11518" s="136"/>
      <c r="CM11518" s="111"/>
      <c r="CQ11518" s="111"/>
      <c r="EF11518"/>
      <c r="EG11518"/>
      <c r="EH11518"/>
      <c r="EI11518"/>
      <c r="EJ11518"/>
      <c r="EK11518"/>
    </row>
    <row r="11519" spans="1:141" s="116" customFormat="1">
      <c r="A11519" s="136"/>
      <c r="CM11519" s="111"/>
      <c r="CQ11519" s="111"/>
      <c r="EF11519"/>
      <c r="EG11519"/>
      <c r="EH11519"/>
      <c r="EI11519"/>
      <c r="EJ11519"/>
      <c r="EK11519"/>
    </row>
    <row r="11520" spans="1:141" s="116" customFormat="1">
      <c r="A11520" s="136"/>
      <c r="CM11520" s="111"/>
      <c r="CQ11520" s="111"/>
      <c r="EF11520"/>
      <c r="EG11520"/>
      <c r="EH11520"/>
      <c r="EI11520"/>
      <c r="EJ11520"/>
      <c r="EK11520"/>
    </row>
    <row r="11521" spans="1:141" s="116" customFormat="1">
      <c r="A11521" s="136"/>
      <c r="CM11521" s="111"/>
      <c r="CQ11521" s="111"/>
      <c r="EF11521"/>
      <c r="EG11521"/>
      <c r="EH11521"/>
      <c r="EI11521"/>
      <c r="EJ11521"/>
      <c r="EK11521"/>
    </row>
    <row r="11522" spans="1:141" s="116" customFormat="1">
      <c r="A11522" s="136"/>
      <c r="CM11522" s="111"/>
      <c r="CQ11522" s="111"/>
      <c r="EF11522"/>
      <c r="EG11522"/>
      <c r="EH11522"/>
      <c r="EI11522"/>
      <c r="EJ11522"/>
      <c r="EK11522"/>
    </row>
    <row r="11523" spans="1:141" s="116" customFormat="1">
      <c r="A11523" s="136"/>
      <c r="CM11523" s="111"/>
      <c r="CQ11523" s="111"/>
      <c r="EF11523"/>
      <c r="EG11523"/>
      <c r="EH11523"/>
      <c r="EI11523"/>
      <c r="EJ11523"/>
      <c r="EK11523"/>
    </row>
    <row r="11524" spans="1:141" s="116" customFormat="1">
      <c r="A11524" s="136"/>
      <c r="CM11524" s="111"/>
      <c r="CQ11524" s="111"/>
      <c r="EF11524"/>
      <c r="EG11524"/>
      <c r="EH11524"/>
      <c r="EI11524"/>
      <c r="EJ11524"/>
      <c r="EK11524"/>
    </row>
    <row r="11525" spans="1:141" s="116" customFormat="1">
      <c r="A11525" s="136"/>
      <c r="CM11525" s="111"/>
      <c r="CQ11525" s="111"/>
      <c r="EF11525"/>
      <c r="EG11525"/>
      <c r="EH11525"/>
      <c r="EI11525"/>
      <c r="EJ11525"/>
      <c r="EK11525"/>
    </row>
    <row r="11526" spans="1:141" s="116" customFormat="1">
      <c r="A11526" s="136"/>
      <c r="CM11526" s="111"/>
      <c r="CQ11526" s="111"/>
      <c r="EF11526"/>
      <c r="EG11526"/>
      <c r="EH11526"/>
      <c r="EI11526"/>
      <c r="EJ11526"/>
      <c r="EK11526"/>
    </row>
    <row r="11527" spans="1:141" s="116" customFormat="1">
      <c r="A11527" s="136"/>
      <c r="CM11527" s="111"/>
      <c r="CQ11527" s="111"/>
      <c r="EF11527"/>
      <c r="EG11527"/>
      <c r="EH11527"/>
      <c r="EI11527"/>
      <c r="EJ11527"/>
      <c r="EK11527"/>
    </row>
    <row r="11528" spans="1:141" s="116" customFormat="1">
      <c r="A11528" s="136"/>
      <c r="CM11528" s="111"/>
      <c r="CQ11528" s="111"/>
      <c r="EF11528"/>
      <c r="EG11528"/>
      <c r="EH11528"/>
      <c r="EI11528"/>
      <c r="EJ11528"/>
      <c r="EK11528"/>
    </row>
    <row r="11529" spans="1:141" s="116" customFormat="1">
      <c r="A11529" s="136"/>
      <c r="CM11529" s="111"/>
      <c r="CQ11529" s="111"/>
      <c r="EF11529"/>
      <c r="EG11529"/>
      <c r="EH11529"/>
      <c r="EI11529"/>
      <c r="EJ11529"/>
      <c r="EK11529"/>
    </row>
    <row r="11530" spans="1:141" s="116" customFormat="1">
      <c r="A11530" s="136"/>
      <c r="CM11530" s="111"/>
      <c r="CQ11530" s="111"/>
      <c r="EF11530"/>
      <c r="EG11530"/>
      <c r="EH11530"/>
      <c r="EI11530"/>
      <c r="EJ11530"/>
      <c r="EK11530"/>
    </row>
    <row r="11531" spans="1:141" s="116" customFormat="1">
      <c r="A11531" s="136"/>
      <c r="CM11531" s="111"/>
      <c r="CQ11531" s="111"/>
      <c r="EF11531"/>
      <c r="EG11531"/>
      <c r="EH11531"/>
      <c r="EI11531"/>
      <c r="EJ11531"/>
      <c r="EK11531"/>
    </row>
    <row r="11532" spans="1:141" s="116" customFormat="1">
      <c r="A11532" s="136"/>
      <c r="CM11532" s="111"/>
      <c r="CQ11532" s="111"/>
      <c r="EF11532"/>
      <c r="EG11532"/>
      <c r="EH11532"/>
      <c r="EI11532"/>
      <c r="EJ11532"/>
      <c r="EK11532"/>
    </row>
    <row r="11533" spans="1:141" s="116" customFormat="1">
      <c r="A11533" s="136"/>
      <c r="CM11533" s="111"/>
      <c r="CQ11533" s="111"/>
      <c r="EF11533"/>
      <c r="EG11533"/>
      <c r="EH11533"/>
      <c r="EI11533"/>
      <c r="EJ11533"/>
      <c r="EK11533"/>
    </row>
    <row r="11534" spans="1:141" s="116" customFormat="1">
      <c r="A11534" s="136"/>
      <c r="CM11534" s="111"/>
      <c r="CQ11534" s="111"/>
      <c r="EF11534"/>
      <c r="EG11534"/>
      <c r="EH11534"/>
      <c r="EI11534"/>
      <c r="EJ11534"/>
      <c r="EK11534"/>
    </row>
    <row r="11535" spans="1:141" s="116" customFormat="1">
      <c r="A11535" s="136"/>
      <c r="CM11535" s="111"/>
      <c r="CQ11535" s="111"/>
      <c r="EF11535"/>
      <c r="EG11535"/>
      <c r="EH11535"/>
      <c r="EI11535"/>
      <c r="EJ11535"/>
      <c r="EK11535"/>
    </row>
    <row r="11536" spans="1:141" s="116" customFormat="1">
      <c r="A11536" s="136"/>
      <c r="CM11536" s="111"/>
      <c r="CQ11536" s="111"/>
      <c r="EF11536"/>
      <c r="EG11536"/>
      <c r="EH11536"/>
      <c r="EI11536"/>
      <c r="EJ11536"/>
      <c r="EK11536"/>
    </row>
    <row r="11537" spans="1:141" s="116" customFormat="1">
      <c r="A11537" s="136"/>
      <c r="CM11537" s="111"/>
      <c r="CQ11537" s="111"/>
      <c r="EF11537"/>
      <c r="EG11537"/>
      <c r="EH11537"/>
      <c r="EI11537"/>
      <c r="EJ11537"/>
      <c r="EK11537"/>
    </row>
    <row r="11538" spans="1:141" s="116" customFormat="1">
      <c r="A11538" s="136"/>
      <c r="CM11538" s="111"/>
      <c r="CQ11538" s="111"/>
      <c r="EF11538"/>
      <c r="EG11538"/>
      <c r="EH11538"/>
      <c r="EI11538"/>
      <c r="EJ11538"/>
      <c r="EK11538"/>
    </row>
    <row r="11539" spans="1:141" s="116" customFormat="1">
      <c r="A11539" s="136"/>
      <c r="CM11539" s="111"/>
      <c r="CQ11539" s="111"/>
      <c r="EF11539"/>
      <c r="EG11539"/>
      <c r="EH11539"/>
      <c r="EI11539"/>
      <c r="EJ11539"/>
      <c r="EK11539"/>
    </row>
    <row r="11540" spans="1:141" s="116" customFormat="1">
      <c r="A11540" s="136"/>
      <c r="CM11540" s="111"/>
      <c r="CQ11540" s="111"/>
      <c r="EF11540"/>
      <c r="EG11540"/>
      <c r="EH11540"/>
      <c r="EI11540"/>
      <c r="EJ11540"/>
      <c r="EK11540"/>
    </row>
    <row r="11541" spans="1:141" s="116" customFormat="1">
      <c r="A11541" s="136"/>
      <c r="CM11541" s="111"/>
      <c r="CQ11541" s="111"/>
      <c r="EF11541"/>
      <c r="EG11541"/>
      <c r="EH11541"/>
      <c r="EI11541"/>
      <c r="EJ11541"/>
      <c r="EK11541"/>
    </row>
    <row r="11542" spans="1:141" s="116" customFormat="1">
      <c r="A11542" s="136"/>
      <c r="CM11542" s="111"/>
      <c r="CQ11542" s="111"/>
      <c r="EF11542"/>
      <c r="EG11542"/>
      <c r="EH11542"/>
      <c r="EI11542"/>
      <c r="EJ11542"/>
      <c r="EK11542"/>
    </row>
    <row r="11543" spans="1:141" s="116" customFormat="1">
      <c r="A11543" s="136"/>
      <c r="CM11543" s="111"/>
      <c r="CQ11543" s="111"/>
      <c r="EF11543"/>
      <c r="EG11543"/>
      <c r="EH11543"/>
      <c r="EI11543"/>
      <c r="EJ11543"/>
      <c r="EK11543"/>
    </row>
    <row r="11544" spans="1:141" s="116" customFormat="1">
      <c r="A11544" s="136"/>
      <c r="CM11544" s="111"/>
      <c r="CQ11544" s="111"/>
      <c r="EF11544"/>
      <c r="EG11544"/>
      <c r="EH11544"/>
      <c r="EI11544"/>
      <c r="EJ11544"/>
      <c r="EK11544"/>
    </row>
    <row r="11545" spans="1:141" s="116" customFormat="1">
      <c r="A11545" s="136"/>
      <c r="CM11545" s="111"/>
      <c r="CQ11545" s="111"/>
      <c r="EF11545"/>
      <c r="EG11545"/>
      <c r="EH11545"/>
      <c r="EI11545"/>
      <c r="EJ11545"/>
      <c r="EK11545"/>
    </row>
    <row r="11546" spans="1:141" s="116" customFormat="1">
      <c r="A11546" s="136"/>
      <c r="CM11546" s="111"/>
      <c r="CQ11546" s="111"/>
      <c r="EF11546"/>
      <c r="EG11546"/>
      <c r="EH11546"/>
      <c r="EI11546"/>
      <c r="EJ11546"/>
      <c r="EK11546"/>
    </row>
    <row r="11547" spans="1:141" s="116" customFormat="1">
      <c r="A11547" s="136"/>
      <c r="CM11547" s="111"/>
      <c r="CQ11547" s="111"/>
      <c r="EF11547"/>
      <c r="EG11547"/>
      <c r="EH11547"/>
      <c r="EI11547"/>
      <c r="EJ11547"/>
      <c r="EK11547"/>
    </row>
    <row r="11548" spans="1:141" s="116" customFormat="1">
      <c r="A11548" s="136"/>
      <c r="CM11548" s="111"/>
      <c r="CQ11548" s="111"/>
      <c r="EF11548"/>
      <c r="EG11548"/>
      <c r="EH11548"/>
      <c r="EI11548"/>
      <c r="EJ11548"/>
      <c r="EK11548"/>
    </row>
    <row r="11549" spans="1:141" s="116" customFormat="1">
      <c r="A11549" s="136"/>
      <c r="CM11549" s="111"/>
      <c r="CQ11549" s="111"/>
      <c r="EF11549"/>
      <c r="EG11549"/>
      <c r="EH11549"/>
      <c r="EI11549"/>
      <c r="EJ11549"/>
      <c r="EK11549"/>
    </row>
    <row r="11550" spans="1:141" s="116" customFormat="1">
      <c r="A11550" s="136"/>
      <c r="CM11550" s="111"/>
      <c r="CQ11550" s="111"/>
      <c r="EF11550"/>
      <c r="EG11550"/>
      <c r="EH11550"/>
      <c r="EI11550"/>
      <c r="EJ11550"/>
      <c r="EK11550"/>
    </row>
    <row r="11551" spans="1:141" s="116" customFormat="1">
      <c r="A11551" s="136"/>
      <c r="CM11551" s="111"/>
      <c r="CQ11551" s="111"/>
      <c r="EF11551"/>
      <c r="EG11551"/>
      <c r="EH11551"/>
      <c r="EI11551"/>
      <c r="EJ11551"/>
      <c r="EK11551"/>
    </row>
    <row r="11552" spans="1:141" s="116" customFormat="1">
      <c r="A11552" s="136"/>
      <c r="CM11552" s="111"/>
      <c r="CQ11552" s="111"/>
      <c r="EF11552"/>
      <c r="EG11552"/>
      <c r="EH11552"/>
      <c r="EI11552"/>
      <c r="EJ11552"/>
      <c r="EK11552"/>
    </row>
    <row r="11553" spans="1:141" s="116" customFormat="1">
      <c r="A11553" s="136"/>
      <c r="CM11553" s="111"/>
      <c r="CQ11553" s="111"/>
      <c r="EF11553"/>
      <c r="EG11553"/>
      <c r="EH11553"/>
      <c r="EI11553"/>
      <c r="EJ11553"/>
      <c r="EK11553"/>
    </row>
    <row r="11554" spans="1:141" s="116" customFormat="1">
      <c r="A11554" s="136"/>
      <c r="CM11554" s="111"/>
      <c r="CQ11554" s="111"/>
      <c r="EF11554"/>
      <c r="EG11554"/>
      <c r="EH11554"/>
      <c r="EI11554"/>
      <c r="EJ11554"/>
      <c r="EK11554"/>
    </row>
    <row r="11555" spans="1:141" s="116" customFormat="1">
      <c r="A11555" s="136"/>
      <c r="CM11555" s="111"/>
      <c r="CQ11555" s="111"/>
      <c r="EF11555"/>
      <c r="EG11555"/>
      <c r="EH11555"/>
      <c r="EI11555"/>
      <c r="EJ11555"/>
      <c r="EK11555"/>
    </row>
    <row r="11556" spans="1:141" s="116" customFormat="1">
      <c r="A11556" s="136"/>
      <c r="CM11556" s="111"/>
      <c r="CQ11556" s="111"/>
      <c r="EF11556"/>
      <c r="EG11556"/>
      <c r="EH11556"/>
      <c r="EI11556"/>
      <c r="EJ11556"/>
      <c r="EK11556"/>
    </row>
    <row r="11557" spans="1:141" s="116" customFormat="1">
      <c r="A11557" s="136"/>
      <c r="CM11557" s="111"/>
      <c r="CQ11557" s="111"/>
      <c r="EF11557"/>
      <c r="EG11557"/>
      <c r="EH11557"/>
      <c r="EI11557"/>
      <c r="EJ11557"/>
      <c r="EK11557"/>
    </row>
    <row r="11558" spans="1:141" s="116" customFormat="1">
      <c r="A11558" s="136"/>
      <c r="CM11558" s="111"/>
      <c r="CQ11558" s="111"/>
      <c r="EF11558"/>
      <c r="EG11558"/>
      <c r="EH11558"/>
      <c r="EI11558"/>
      <c r="EJ11558"/>
      <c r="EK11558"/>
    </row>
    <row r="11559" spans="1:141" s="116" customFormat="1">
      <c r="A11559" s="136"/>
      <c r="CM11559" s="111"/>
      <c r="CQ11559" s="111"/>
      <c r="EF11559"/>
      <c r="EG11559"/>
      <c r="EH11559"/>
      <c r="EI11559"/>
      <c r="EJ11559"/>
      <c r="EK11559"/>
    </row>
    <row r="11560" spans="1:141" s="116" customFormat="1">
      <c r="A11560" s="136"/>
      <c r="CM11560" s="111"/>
      <c r="CQ11560" s="111"/>
      <c r="EF11560"/>
      <c r="EG11560"/>
      <c r="EH11560"/>
      <c r="EI11560"/>
      <c r="EJ11560"/>
      <c r="EK11560"/>
    </row>
    <row r="11561" spans="1:141" s="116" customFormat="1">
      <c r="A11561" s="136"/>
      <c r="CM11561" s="111"/>
      <c r="CQ11561" s="111"/>
      <c r="EF11561"/>
      <c r="EG11561"/>
      <c r="EH11561"/>
      <c r="EI11561"/>
      <c r="EJ11561"/>
      <c r="EK11561"/>
    </row>
    <row r="11562" spans="1:141" s="116" customFormat="1">
      <c r="A11562" s="136"/>
      <c r="CM11562" s="111"/>
      <c r="CQ11562" s="111"/>
      <c r="EF11562"/>
      <c r="EG11562"/>
      <c r="EH11562"/>
      <c r="EI11562"/>
      <c r="EJ11562"/>
      <c r="EK11562"/>
    </row>
    <row r="11563" spans="1:141" s="116" customFormat="1">
      <c r="A11563" s="136"/>
      <c r="CM11563" s="111"/>
      <c r="CQ11563" s="111"/>
      <c r="EF11563"/>
      <c r="EG11563"/>
      <c r="EH11563"/>
      <c r="EI11563"/>
      <c r="EJ11563"/>
      <c r="EK11563"/>
    </row>
    <row r="11564" spans="1:141" s="116" customFormat="1">
      <c r="A11564" s="136"/>
      <c r="CM11564" s="111"/>
      <c r="CQ11564" s="111"/>
      <c r="EF11564"/>
      <c r="EG11564"/>
      <c r="EH11564"/>
      <c r="EI11564"/>
      <c r="EJ11564"/>
      <c r="EK11564"/>
    </row>
    <row r="11565" spans="1:141" s="116" customFormat="1">
      <c r="A11565" s="136"/>
      <c r="CM11565" s="111"/>
      <c r="CQ11565" s="111"/>
      <c r="EF11565"/>
      <c r="EG11565"/>
      <c r="EH11565"/>
      <c r="EI11565"/>
      <c r="EJ11565"/>
      <c r="EK11565"/>
    </row>
    <row r="11566" spans="1:141" s="116" customFormat="1">
      <c r="A11566" s="136"/>
      <c r="CM11566" s="111"/>
      <c r="CQ11566" s="111"/>
      <c r="EF11566"/>
      <c r="EG11566"/>
      <c r="EH11566"/>
      <c r="EI11566"/>
      <c r="EJ11566"/>
      <c r="EK11566"/>
    </row>
    <row r="11567" spans="1:141" s="116" customFormat="1">
      <c r="A11567" s="136"/>
      <c r="CM11567" s="111"/>
      <c r="CQ11567" s="111"/>
      <c r="EF11567"/>
      <c r="EG11567"/>
      <c r="EH11567"/>
      <c r="EI11567"/>
      <c r="EJ11567"/>
      <c r="EK11567"/>
    </row>
    <row r="11568" spans="1:141" s="116" customFormat="1">
      <c r="A11568" s="136"/>
      <c r="CM11568" s="111"/>
      <c r="CQ11568" s="111"/>
      <c r="EF11568"/>
      <c r="EG11568"/>
      <c r="EH11568"/>
      <c r="EI11568"/>
      <c r="EJ11568"/>
      <c r="EK11568"/>
    </row>
    <row r="11569" spans="1:141" s="116" customFormat="1">
      <c r="A11569" s="136"/>
      <c r="CM11569" s="111"/>
      <c r="CQ11569" s="111"/>
      <c r="EF11569"/>
      <c r="EG11569"/>
      <c r="EH11569"/>
      <c r="EI11569"/>
      <c r="EJ11569"/>
      <c r="EK11569"/>
    </row>
    <row r="11570" spans="1:141" s="116" customFormat="1">
      <c r="A11570" s="136"/>
      <c r="CM11570" s="111"/>
      <c r="CQ11570" s="111"/>
      <c r="EF11570"/>
      <c r="EG11570"/>
      <c r="EH11570"/>
      <c r="EI11570"/>
      <c r="EJ11570"/>
      <c r="EK11570"/>
    </row>
    <row r="11571" spans="1:141" s="116" customFormat="1">
      <c r="A11571" s="136"/>
      <c r="CM11571" s="111"/>
      <c r="CQ11571" s="111"/>
      <c r="EF11571"/>
      <c r="EG11571"/>
      <c r="EH11571"/>
      <c r="EI11571"/>
      <c r="EJ11571"/>
      <c r="EK11571"/>
    </row>
    <row r="11572" spans="1:141" s="116" customFormat="1">
      <c r="A11572" s="136"/>
      <c r="CM11572" s="111"/>
      <c r="CQ11572" s="111"/>
      <c r="EF11572"/>
      <c r="EG11572"/>
      <c r="EH11572"/>
      <c r="EI11572"/>
      <c r="EJ11572"/>
      <c r="EK11572"/>
    </row>
    <row r="11573" spans="1:141" s="116" customFormat="1">
      <c r="A11573" s="136"/>
      <c r="CM11573" s="111"/>
      <c r="CQ11573" s="111"/>
      <c r="EF11573"/>
      <c r="EG11573"/>
      <c r="EH11573"/>
      <c r="EI11573"/>
      <c r="EJ11573"/>
      <c r="EK11573"/>
    </row>
    <row r="11574" spans="1:141" s="116" customFormat="1">
      <c r="A11574" s="136"/>
      <c r="CM11574" s="111"/>
      <c r="CQ11574" s="111"/>
      <c r="EF11574"/>
      <c r="EG11574"/>
      <c r="EH11574"/>
      <c r="EI11574"/>
      <c r="EJ11574"/>
      <c r="EK11574"/>
    </row>
    <row r="11575" spans="1:141" s="116" customFormat="1">
      <c r="A11575" s="136"/>
      <c r="CM11575" s="111"/>
      <c r="CQ11575" s="111"/>
      <c r="EF11575"/>
      <c r="EG11575"/>
      <c r="EH11575"/>
      <c r="EI11575"/>
      <c r="EJ11575"/>
      <c r="EK11575"/>
    </row>
    <row r="11576" spans="1:141" s="116" customFormat="1">
      <c r="A11576" s="136"/>
      <c r="CM11576" s="111"/>
      <c r="CQ11576" s="111"/>
      <c r="EF11576"/>
      <c r="EG11576"/>
      <c r="EH11576"/>
      <c r="EI11576"/>
      <c r="EJ11576"/>
      <c r="EK11576"/>
    </row>
    <row r="11577" spans="1:141" s="116" customFormat="1">
      <c r="A11577" s="136"/>
      <c r="CM11577" s="111"/>
      <c r="CQ11577" s="111"/>
      <c r="EF11577"/>
      <c r="EG11577"/>
      <c r="EH11577"/>
      <c r="EI11577"/>
      <c r="EJ11577"/>
      <c r="EK11577"/>
    </row>
    <row r="11578" spans="1:141" s="116" customFormat="1">
      <c r="A11578" s="136"/>
      <c r="CM11578" s="111"/>
      <c r="CQ11578" s="111"/>
      <c r="EF11578"/>
      <c r="EG11578"/>
      <c r="EH11578"/>
      <c r="EI11578"/>
      <c r="EJ11578"/>
      <c r="EK11578"/>
    </row>
    <row r="11579" spans="1:141" s="116" customFormat="1">
      <c r="A11579" s="136"/>
      <c r="CM11579" s="111"/>
      <c r="CQ11579" s="111"/>
      <c r="EF11579"/>
      <c r="EG11579"/>
      <c r="EH11579"/>
      <c r="EI11579"/>
      <c r="EJ11579"/>
      <c r="EK11579"/>
    </row>
    <row r="11580" spans="1:141" s="116" customFormat="1">
      <c r="A11580" s="136"/>
      <c r="CM11580" s="111"/>
      <c r="CQ11580" s="111"/>
      <c r="EF11580"/>
      <c r="EG11580"/>
      <c r="EH11580"/>
      <c r="EI11580"/>
      <c r="EJ11580"/>
      <c r="EK11580"/>
    </row>
    <row r="11581" spans="1:141" s="116" customFormat="1">
      <c r="A11581" s="136"/>
      <c r="CM11581" s="111"/>
      <c r="CQ11581" s="111"/>
      <c r="EF11581"/>
      <c r="EG11581"/>
      <c r="EH11581"/>
      <c r="EI11581"/>
      <c r="EJ11581"/>
      <c r="EK11581"/>
    </row>
    <row r="11582" spans="1:141" s="116" customFormat="1">
      <c r="A11582" s="136"/>
      <c r="CM11582" s="111"/>
      <c r="CQ11582" s="111"/>
      <c r="EF11582"/>
      <c r="EG11582"/>
      <c r="EH11582"/>
      <c r="EI11582"/>
      <c r="EJ11582"/>
      <c r="EK11582"/>
    </row>
    <row r="11583" spans="1:141" s="116" customFormat="1">
      <c r="A11583" s="136"/>
      <c r="CM11583" s="111"/>
      <c r="CQ11583" s="111"/>
      <c r="EF11583"/>
      <c r="EG11583"/>
      <c r="EH11583"/>
      <c r="EI11583"/>
      <c r="EJ11583"/>
      <c r="EK11583"/>
    </row>
    <row r="11584" spans="1:141" s="116" customFormat="1">
      <c r="A11584" s="136"/>
      <c r="CM11584" s="111"/>
      <c r="CQ11584" s="111"/>
      <c r="EF11584"/>
      <c r="EG11584"/>
      <c r="EH11584"/>
      <c r="EI11584"/>
      <c r="EJ11584"/>
      <c r="EK11584"/>
    </row>
    <row r="11585" spans="1:141" s="116" customFormat="1">
      <c r="A11585" s="136"/>
      <c r="CM11585" s="111"/>
      <c r="CQ11585" s="111"/>
      <c r="EF11585"/>
      <c r="EG11585"/>
      <c r="EH11585"/>
      <c r="EI11585"/>
      <c r="EJ11585"/>
      <c r="EK11585"/>
    </row>
    <row r="11586" spans="1:141" s="116" customFormat="1">
      <c r="A11586" s="136"/>
      <c r="CM11586" s="111"/>
      <c r="CQ11586" s="111"/>
      <c r="EF11586"/>
      <c r="EG11586"/>
      <c r="EH11586"/>
      <c r="EI11586"/>
      <c r="EJ11586"/>
      <c r="EK11586"/>
    </row>
    <row r="11587" spans="1:141" s="116" customFormat="1">
      <c r="A11587" s="136"/>
      <c r="CM11587" s="111"/>
      <c r="CQ11587" s="111"/>
      <c r="EF11587"/>
      <c r="EG11587"/>
      <c r="EH11587"/>
      <c r="EI11587"/>
      <c r="EJ11587"/>
      <c r="EK11587"/>
    </row>
    <row r="11588" spans="1:141" s="116" customFormat="1">
      <c r="A11588" s="136"/>
      <c r="CM11588" s="111"/>
      <c r="CQ11588" s="111"/>
      <c r="EF11588"/>
      <c r="EG11588"/>
      <c r="EH11588"/>
      <c r="EI11588"/>
      <c r="EJ11588"/>
      <c r="EK11588"/>
    </row>
    <row r="11589" spans="1:141" s="116" customFormat="1">
      <c r="A11589" s="136"/>
      <c r="CM11589" s="111"/>
      <c r="CQ11589" s="111"/>
      <c r="EF11589"/>
      <c r="EG11589"/>
      <c r="EH11589"/>
      <c r="EI11589"/>
      <c r="EJ11589"/>
      <c r="EK11589"/>
    </row>
    <row r="11590" spans="1:141" s="116" customFormat="1">
      <c r="A11590" s="136"/>
      <c r="CM11590" s="111"/>
      <c r="CQ11590" s="111"/>
      <c r="EF11590"/>
      <c r="EG11590"/>
      <c r="EH11590"/>
      <c r="EI11590"/>
      <c r="EJ11590"/>
      <c r="EK11590"/>
    </row>
    <row r="11591" spans="1:141" s="116" customFormat="1">
      <c r="A11591" s="136"/>
      <c r="CM11591" s="111"/>
      <c r="CQ11591" s="111"/>
      <c r="EF11591"/>
      <c r="EG11591"/>
      <c r="EH11591"/>
      <c r="EI11591"/>
      <c r="EJ11591"/>
      <c r="EK11591"/>
    </row>
    <row r="11592" spans="1:141" s="116" customFormat="1">
      <c r="A11592" s="136"/>
      <c r="CM11592" s="111"/>
      <c r="CQ11592" s="111"/>
      <c r="EF11592"/>
      <c r="EG11592"/>
      <c r="EH11592"/>
      <c r="EI11592"/>
      <c r="EJ11592"/>
      <c r="EK11592"/>
    </row>
    <row r="11593" spans="1:141" s="116" customFormat="1">
      <c r="A11593" s="136"/>
      <c r="CM11593" s="111"/>
      <c r="CQ11593" s="111"/>
      <c r="EF11593"/>
      <c r="EG11593"/>
      <c r="EH11593"/>
      <c r="EI11593"/>
      <c r="EJ11593"/>
      <c r="EK11593"/>
    </row>
    <row r="11594" spans="1:141" s="116" customFormat="1">
      <c r="A11594" s="136"/>
      <c r="CM11594" s="111"/>
      <c r="CQ11594" s="111"/>
      <c r="EF11594"/>
      <c r="EG11594"/>
      <c r="EH11594"/>
      <c r="EI11594"/>
      <c r="EJ11594"/>
      <c r="EK11594"/>
    </row>
    <row r="11595" spans="1:141" s="116" customFormat="1">
      <c r="A11595" s="136"/>
      <c r="CM11595" s="111"/>
      <c r="CQ11595" s="111"/>
      <c r="EF11595"/>
      <c r="EG11595"/>
      <c r="EH11595"/>
      <c r="EI11595"/>
      <c r="EJ11595"/>
      <c r="EK11595"/>
    </row>
    <row r="11596" spans="1:141" s="116" customFormat="1">
      <c r="A11596" s="136"/>
      <c r="CM11596" s="111"/>
      <c r="CQ11596" s="111"/>
      <c r="EF11596"/>
      <c r="EG11596"/>
      <c r="EH11596"/>
      <c r="EI11596"/>
      <c r="EJ11596"/>
      <c r="EK11596"/>
    </row>
    <row r="11597" spans="1:141" s="116" customFormat="1">
      <c r="A11597" s="136"/>
      <c r="CM11597" s="111"/>
      <c r="CQ11597" s="111"/>
      <c r="EF11597"/>
      <c r="EG11597"/>
      <c r="EH11597"/>
      <c r="EI11597"/>
      <c r="EJ11597"/>
      <c r="EK11597"/>
    </row>
    <row r="11598" spans="1:141" s="116" customFormat="1">
      <c r="A11598" s="136"/>
      <c r="CM11598" s="111"/>
      <c r="CQ11598" s="111"/>
      <c r="EF11598"/>
      <c r="EG11598"/>
      <c r="EH11598"/>
      <c r="EI11598"/>
      <c r="EJ11598"/>
      <c r="EK11598"/>
    </row>
    <row r="11599" spans="1:141" s="116" customFormat="1">
      <c r="A11599" s="136"/>
      <c r="CM11599" s="111"/>
      <c r="CQ11599" s="111"/>
      <c r="EF11599"/>
      <c r="EG11599"/>
      <c r="EH11599"/>
      <c r="EI11599"/>
      <c r="EJ11599"/>
      <c r="EK11599"/>
    </row>
    <row r="11600" spans="1:141" s="116" customFormat="1">
      <c r="A11600" s="136"/>
      <c r="CM11600" s="111"/>
      <c r="CQ11600" s="111"/>
      <c r="EF11600"/>
      <c r="EG11600"/>
      <c r="EH11600"/>
      <c r="EI11600"/>
      <c r="EJ11600"/>
      <c r="EK11600"/>
    </row>
    <row r="11601" spans="1:141" s="116" customFormat="1">
      <c r="A11601" s="136"/>
      <c r="CM11601" s="111"/>
      <c r="CQ11601" s="111"/>
      <c r="EF11601"/>
      <c r="EG11601"/>
      <c r="EH11601"/>
      <c r="EI11601"/>
      <c r="EJ11601"/>
      <c r="EK11601"/>
    </row>
    <row r="11602" spans="1:141" s="116" customFormat="1">
      <c r="A11602" s="136"/>
      <c r="CM11602" s="111"/>
      <c r="CQ11602" s="111"/>
      <c r="EF11602"/>
      <c r="EG11602"/>
      <c r="EH11602"/>
      <c r="EI11602"/>
      <c r="EJ11602"/>
      <c r="EK11602"/>
    </row>
    <row r="11603" spans="1:141" s="116" customFormat="1">
      <c r="A11603" s="136"/>
      <c r="CM11603" s="111"/>
      <c r="CQ11603" s="111"/>
      <c r="EF11603"/>
      <c r="EG11603"/>
      <c r="EH11603"/>
      <c r="EI11603"/>
      <c r="EJ11603"/>
      <c r="EK11603"/>
    </row>
    <row r="11604" spans="1:141" s="116" customFormat="1">
      <c r="A11604" s="136"/>
      <c r="CM11604" s="111"/>
      <c r="CQ11604" s="111"/>
      <c r="EF11604"/>
      <c r="EG11604"/>
      <c r="EH11604"/>
      <c r="EI11604"/>
      <c r="EJ11604"/>
      <c r="EK11604"/>
    </row>
    <row r="11605" spans="1:141" s="116" customFormat="1">
      <c r="A11605" s="136"/>
      <c r="CM11605" s="111"/>
      <c r="CQ11605" s="111"/>
      <c r="EF11605"/>
      <c r="EG11605"/>
      <c r="EH11605"/>
      <c r="EI11605"/>
      <c r="EJ11605"/>
      <c r="EK11605"/>
    </row>
    <row r="11606" spans="1:141" s="116" customFormat="1">
      <c r="A11606" s="136"/>
      <c r="CM11606" s="111"/>
      <c r="CQ11606" s="111"/>
      <c r="EF11606"/>
      <c r="EG11606"/>
      <c r="EH11606"/>
      <c r="EI11606"/>
      <c r="EJ11606"/>
      <c r="EK11606"/>
    </row>
    <row r="11607" spans="1:141" s="116" customFormat="1">
      <c r="A11607" s="136"/>
      <c r="CM11607" s="111"/>
      <c r="CQ11607" s="111"/>
      <c r="EF11607"/>
      <c r="EG11607"/>
      <c r="EH11607"/>
      <c r="EI11607"/>
      <c r="EJ11607"/>
      <c r="EK11607"/>
    </row>
    <row r="11608" spans="1:141" s="116" customFormat="1">
      <c r="A11608" s="136"/>
      <c r="CM11608" s="111"/>
      <c r="CQ11608" s="111"/>
      <c r="EF11608"/>
      <c r="EG11608"/>
      <c r="EH11608"/>
      <c r="EI11608"/>
      <c r="EJ11608"/>
      <c r="EK11608"/>
    </row>
    <row r="11609" spans="1:141" s="116" customFormat="1">
      <c r="A11609" s="136"/>
      <c r="CM11609" s="111"/>
      <c r="CQ11609" s="111"/>
      <c r="EF11609"/>
      <c r="EG11609"/>
      <c r="EH11609"/>
      <c r="EI11609"/>
      <c r="EJ11609"/>
      <c r="EK11609"/>
    </row>
    <row r="11610" spans="1:141" s="116" customFormat="1">
      <c r="A11610" s="136"/>
      <c r="CM11610" s="111"/>
      <c r="CQ11610" s="111"/>
      <c r="EF11610"/>
      <c r="EG11610"/>
      <c r="EH11610"/>
      <c r="EI11610"/>
      <c r="EJ11610"/>
      <c r="EK11610"/>
    </row>
    <row r="11611" spans="1:141" s="116" customFormat="1">
      <c r="A11611" s="136"/>
      <c r="CM11611" s="111"/>
      <c r="CQ11611" s="111"/>
      <c r="EF11611"/>
      <c r="EG11611"/>
      <c r="EH11611"/>
      <c r="EI11611"/>
      <c r="EJ11611"/>
      <c r="EK11611"/>
    </row>
    <row r="11612" spans="1:141" s="116" customFormat="1">
      <c r="A11612" s="136"/>
      <c r="CM11612" s="111"/>
      <c r="CQ11612" s="111"/>
      <c r="EF11612"/>
      <c r="EG11612"/>
      <c r="EH11612"/>
      <c r="EI11612"/>
      <c r="EJ11612"/>
      <c r="EK11612"/>
    </row>
    <row r="11613" spans="1:141" s="116" customFormat="1">
      <c r="A11613" s="136"/>
      <c r="CM11613" s="111"/>
      <c r="CQ11613" s="111"/>
      <c r="EF11613"/>
      <c r="EG11613"/>
      <c r="EH11613"/>
      <c r="EI11613"/>
      <c r="EJ11613"/>
      <c r="EK11613"/>
    </row>
    <row r="11614" spans="1:141" s="116" customFormat="1">
      <c r="A11614" s="136"/>
      <c r="CM11614" s="111"/>
      <c r="CQ11614" s="111"/>
      <c r="EF11614"/>
      <c r="EG11614"/>
      <c r="EH11614"/>
      <c r="EI11614"/>
      <c r="EJ11614"/>
      <c r="EK11614"/>
    </row>
    <row r="11615" spans="1:141" s="116" customFormat="1">
      <c r="A11615" s="136"/>
      <c r="CM11615" s="111"/>
      <c r="CQ11615" s="111"/>
      <c r="EF11615"/>
      <c r="EG11615"/>
      <c r="EH11615"/>
      <c r="EI11615"/>
      <c r="EJ11615"/>
      <c r="EK11615"/>
    </row>
    <row r="11616" spans="1:141" s="116" customFormat="1">
      <c r="A11616" s="136"/>
      <c r="CM11616" s="111"/>
      <c r="CQ11616" s="111"/>
      <c r="EF11616"/>
      <c r="EG11616"/>
      <c r="EH11616"/>
      <c r="EI11616"/>
      <c r="EJ11616"/>
      <c r="EK11616"/>
    </row>
    <row r="11617" spans="1:141" s="116" customFormat="1">
      <c r="A11617" s="136"/>
      <c r="CM11617" s="111"/>
      <c r="CQ11617" s="111"/>
      <c r="EF11617"/>
      <c r="EG11617"/>
      <c r="EH11617"/>
      <c r="EI11617"/>
      <c r="EJ11617"/>
      <c r="EK11617"/>
    </row>
    <row r="11618" spans="1:141" s="116" customFormat="1">
      <c r="A11618" s="136"/>
      <c r="CM11618" s="111"/>
      <c r="CQ11618" s="111"/>
      <c r="EF11618"/>
      <c r="EG11618"/>
      <c r="EH11618"/>
      <c r="EI11618"/>
      <c r="EJ11618"/>
      <c r="EK11618"/>
    </row>
    <row r="11619" spans="1:141" s="116" customFormat="1">
      <c r="A11619" s="136"/>
      <c r="CM11619" s="111"/>
      <c r="CQ11619" s="111"/>
      <c r="EF11619"/>
      <c r="EG11619"/>
      <c r="EH11619"/>
      <c r="EI11619"/>
      <c r="EJ11619"/>
      <c r="EK11619"/>
    </row>
    <row r="11620" spans="1:141" s="116" customFormat="1">
      <c r="A11620" s="136"/>
      <c r="CM11620" s="111"/>
      <c r="CQ11620" s="111"/>
      <c r="EF11620"/>
      <c r="EG11620"/>
      <c r="EH11620"/>
      <c r="EI11620"/>
      <c r="EJ11620"/>
      <c r="EK11620"/>
    </row>
    <row r="11621" spans="1:141" s="116" customFormat="1">
      <c r="A11621" s="136"/>
      <c r="CM11621" s="111"/>
      <c r="CQ11621" s="111"/>
      <c r="EF11621"/>
      <c r="EG11621"/>
      <c r="EH11621"/>
      <c r="EI11621"/>
      <c r="EJ11621"/>
      <c r="EK11621"/>
    </row>
    <row r="11622" spans="1:141" s="116" customFormat="1">
      <c r="A11622" s="136"/>
      <c r="CM11622" s="111"/>
      <c r="CQ11622" s="111"/>
      <c r="EF11622"/>
      <c r="EG11622"/>
      <c r="EH11622"/>
      <c r="EI11622"/>
      <c r="EJ11622"/>
      <c r="EK11622"/>
    </row>
    <row r="11623" spans="1:141" s="116" customFormat="1">
      <c r="A11623" s="136"/>
      <c r="CM11623" s="111"/>
      <c r="CQ11623" s="111"/>
      <c r="EF11623"/>
      <c r="EG11623"/>
      <c r="EH11623"/>
      <c r="EI11623"/>
      <c r="EJ11623"/>
      <c r="EK11623"/>
    </row>
    <row r="11624" spans="1:141" s="116" customFormat="1">
      <c r="A11624" s="136"/>
      <c r="CM11624" s="111"/>
      <c r="CQ11624" s="111"/>
      <c r="EF11624"/>
      <c r="EG11624"/>
      <c r="EH11624"/>
      <c r="EI11624"/>
      <c r="EJ11624"/>
      <c r="EK11624"/>
    </row>
    <row r="11625" spans="1:141" s="116" customFormat="1">
      <c r="A11625" s="136"/>
      <c r="CM11625" s="111"/>
      <c r="CQ11625" s="111"/>
      <c r="EF11625"/>
      <c r="EG11625"/>
      <c r="EH11625"/>
      <c r="EI11625"/>
      <c r="EJ11625"/>
      <c r="EK11625"/>
    </row>
    <row r="11626" spans="1:141" s="116" customFormat="1">
      <c r="A11626" s="136"/>
      <c r="CM11626" s="111"/>
      <c r="CQ11626" s="111"/>
      <c r="EF11626"/>
      <c r="EG11626"/>
      <c r="EH11626"/>
      <c r="EI11626"/>
      <c r="EJ11626"/>
      <c r="EK11626"/>
    </row>
    <row r="11627" spans="1:141" s="116" customFormat="1">
      <c r="A11627" s="136"/>
      <c r="CM11627" s="111"/>
      <c r="CQ11627" s="111"/>
      <c r="EF11627"/>
      <c r="EG11627"/>
      <c r="EH11627"/>
      <c r="EI11627"/>
      <c r="EJ11627"/>
      <c r="EK11627"/>
    </row>
    <row r="11628" spans="1:141" s="116" customFormat="1">
      <c r="A11628" s="136"/>
      <c r="CM11628" s="111"/>
      <c r="CQ11628" s="111"/>
      <c r="EF11628"/>
      <c r="EG11628"/>
      <c r="EH11628"/>
      <c r="EI11628"/>
      <c r="EJ11628"/>
      <c r="EK11628"/>
    </row>
    <row r="11629" spans="1:141" s="116" customFormat="1">
      <c r="A11629" s="136"/>
      <c r="CM11629" s="111"/>
      <c r="CQ11629" s="111"/>
      <c r="EF11629"/>
      <c r="EG11629"/>
      <c r="EH11629"/>
      <c r="EI11629"/>
      <c r="EJ11629"/>
      <c r="EK11629"/>
    </row>
    <row r="11630" spans="1:141" s="116" customFormat="1">
      <c r="A11630" s="136"/>
      <c r="CM11630" s="111"/>
      <c r="CQ11630" s="111"/>
      <c r="EF11630"/>
      <c r="EG11630"/>
      <c r="EH11630"/>
      <c r="EI11630"/>
      <c r="EJ11630"/>
      <c r="EK11630"/>
    </row>
    <row r="11631" spans="1:141" s="116" customFormat="1">
      <c r="A11631" s="136"/>
      <c r="CM11631" s="111"/>
      <c r="CQ11631" s="111"/>
      <c r="EF11631"/>
      <c r="EG11631"/>
      <c r="EH11631"/>
      <c r="EI11631"/>
      <c r="EJ11631"/>
      <c r="EK11631"/>
    </row>
    <row r="11632" spans="1:141" s="116" customFormat="1">
      <c r="A11632" s="136"/>
      <c r="CM11632" s="111"/>
      <c r="CQ11632" s="111"/>
      <c r="EF11632"/>
      <c r="EG11632"/>
      <c r="EH11632"/>
      <c r="EI11632"/>
      <c r="EJ11632"/>
      <c r="EK11632"/>
    </row>
    <row r="11633" spans="1:141" s="116" customFormat="1">
      <c r="A11633" s="136"/>
      <c r="CM11633" s="111"/>
      <c r="CQ11633" s="111"/>
      <c r="EF11633"/>
      <c r="EG11633"/>
      <c r="EH11633"/>
      <c r="EI11633"/>
      <c r="EJ11633"/>
      <c r="EK11633"/>
    </row>
    <row r="11634" spans="1:141" s="116" customFormat="1">
      <c r="A11634" s="136"/>
      <c r="CM11634" s="111"/>
      <c r="CQ11634" s="111"/>
      <c r="EF11634"/>
      <c r="EG11634"/>
      <c r="EH11634"/>
      <c r="EI11634"/>
      <c r="EJ11634"/>
      <c r="EK11634"/>
    </row>
    <row r="11635" spans="1:141" s="116" customFormat="1">
      <c r="A11635" s="136"/>
      <c r="CM11635" s="111"/>
      <c r="CQ11635" s="111"/>
      <c r="EF11635"/>
      <c r="EG11635"/>
      <c r="EH11635"/>
      <c r="EI11635"/>
      <c r="EJ11635"/>
      <c r="EK11635"/>
    </row>
    <row r="11636" spans="1:141" s="116" customFormat="1">
      <c r="A11636" s="136"/>
      <c r="CM11636" s="111"/>
      <c r="CQ11636" s="111"/>
      <c r="EF11636"/>
      <c r="EG11636"/>
      <c r="EH11636"/>
      <c r="EI11636"/>
      <c r="EJ11636"/>
      <c r="EK11636"/>
    </row>
    <row r="11637" spans="1:141" s="116" customFormat="1">
      <c r="A11637" s="136"/>
      <c r="CM11637" s="111"/>
      <c r="CQ11637" s="111"/>
      <c r="EF11637"/>
      <c r="EG11637"/>
      <c r="EH11637"/>
      <c r="EI11637"/>
      <c r="EJ11637"/>
      <c r="EK11637"/>
    </row>
    <row r="11638" spans="1:141" s="116" customFormat="1">
      <c r="A11638" s="136"/>
      <c r="CM11638" s="111"/>
      <c r="CQ11638" s="111"/>
      <c r="EF11638"/>
      <c r="EG11638"/>
      <c r="EH11638"/>
      <c r="EI11638"/>
      <c r="EJ11638"/>
      <c r="EK11638"/>
    </row>
    <row r="11639" spans="1:141" s="116" customFormat="1">
      <c r="A11639" s="136"/>
      <c r="CM11639" s="111"/>
      <c r="CQ11639" s="111"/>
      <c r="EF11639"/>
      <c r="EG11639"/>
      <c r="EH11639"/>
      <c r="EI11639"/>
      <c r="EJ11639"/>
      <c r="EK11639"/>
    </row>
    <row r="11640" spans="1:141" s="116" customFormat="1">
      <c r="A11640" s="136"/>
      <c r="CM11640" s="111"/>
      <c r="CQ11640" s="111"/>
      <c r="EF11640"/>
      <c r="EG11640"/>
      <c r="EH11640"/>
      <c r="EI11640"/>
      <c r="EJ11640"/>
      <c r="EK11640"/>
    </row>
    <row r="11641" spans="1:141" s="116" customFormat="1">
      <c r="A11641" s="136"/>
      <c r="CM11641" s="111"/>
      <c r="CQ11641" s="111"/>
      <c r="EF11641"/>
      <c r="EG11641"/>
      <c r="EH11641"/>
      <c r="EI11641"/>
      <c r="EJ11641"/>
      <c r="EK11641"/>
    </row>
    <row r="11642" spans="1:141" s="116" customFormat="1">
      <c r="A11642" s="136"/>
      <c r="CM11642" s="111"/>
      <c r="CQ11642" s="111"/>
      <c r="EF11642"/>
      <c r="EG11642"/>
      <c r="EH11642"/>
      <c r="EI11642"/>
      <c r="EJ11642"/>
      <c r="EK11642"/>
    </row>
    <row r="11643" spans="1:141" s="116" customFormat="1">
      <c r="A11643" s="136"/>
      <c r="CM11643" s="111"/>
      <c r="CQ11643" s="111"/>
      <c r="EF11643"/>
      <c r="EG11643"/>
      <c r="EH11643"/>
      <c r="EI11643"/>
      <c r="EJ11643"/>
      <c r="EK11643"/>
    </row>
    <row r="11644" spans="1:141" s="116" customFormat="1">
      <c r="A11644" s="136"/>
      <c r="CM11644" s="111"/>
      <c r="CQ11644" s="111"/>
      <c r="EF11644"/>
      <c r="EG11644"/>
      <c r="EH11644"/>
      <c r="EI11644"/>
      <c r="EJ11644"/>
      <c r="EK11644"/>
    </row>
    <row r="11645" spans="1:141" s="116" customFormat="1">
      <c r="A11645" s="136"/>
      <c r="CM11645" s="111"/>
      <c r="CQ11645" s="111"/>
      <c r="EF11645"/>
      <c r="EG11645"/>
      <c r="EH11645"/>
      <c r="EI11645"/>
      <c r="EJ11645"/>
      <c r="EK11645"/>
    </row>
    <row r="11646" spans="1:141" s="116" customFormat="1">
      <c r="A11646" s="136"/>
      <c r="CM11646" s="111"/>
      <c r="CQ11646" s="111"/>
      <c r="EF11646"/>
      <c r="EG11646"/>
      <c r="EH11646"/>
      <c r="EI11646"/>
      <c r="EJ11646"/>
      <c r="EK11646"/>
    </row>
    <row r="11647" spans="1:141" s="116" customFormat="1">
      <c r="A11647" s="136"/>
      <c r="CM11647" s="111"/>
      <c r="CQ11647" s="111"/>
      <c r="EF11647"/>
      <c r="EG11647"/>
      <c r="EH11647"/>
      <c r="EI11647"/>
      <c r="EJ11647"/>
      <c r="EK11647"/>
    </row>
    <row r="11648" spans="1:141" s="116" customFormat="1">
      <c r="A11648" s="136"/>
      <c r="CM11648" s="111"/>
      <c r="CQ11648" s="111"/>
      <c r="EF11648"/>
      <c r="EG11648"/>
      <c r="EH11648"/>
      <c r="EI11648"/>
      <c r="EJ11648"/>
      <c r="EK11648"/>
    </row>
    <row r="11649" spans="1:141" s="116" customFormat="1">
      <c r="A11649" s="136"/>
      <c r="CM11649" s="111"/>
      <c r="CQ11649" s="111"/>
      <c r="EF11649"/>
      <c r="EG11649"/>
      <c r="EH11649"/>
      <c r="EI11649"/>
      <c r="EJ11649"/>
      <c r="EK11649"/>
    </row>
    <row r="11650" spans="1:141" s="116" customFormat="1">
      <c r="A11650" s="136"/>
      <c r="CM11650" s="111"/>
      <c r="CQ11650" s="111"/>
      <c r="EF11650"/>
      <c r="EG11650"/>
      <c r="EH11650"/>
      <c r="EI11650"/>
      <c r="EJ11650"/>
      <c r="EK11650"/>
    </row>
    <row r="11651" spans="1:141" s="116" customFormat="1">
      <c r="A11651" s="136"/>
      <c r="CM11651" s="111"/>
      <c r="CQ11651" s="111"/>
      <c r="EF11651"/>
      <c r="EG11651"/>
      <c r="EH11651"/>
      <c r="EI11651"/>
      <c r="EJ11651"/>
      <c r="EK11651"/>
    </row>
    <row r="11652" spans="1:141" s="116" customFormat="1">
      <c r="A11652" s="136"/>
      <c r="CM11652" s="111"/>
      <c r="CQ11652" s="111"/>
      <c r="EF11652"/>
      <c r="EG11652"/>
      <c r="EH11652"/>
      <c r="EI11652"/>
      <c r="EJ11652"/>
      <c r="EK11652"/>
    </row>
    <row r="11653" spans="1:141" s="116" customFormat="1">
      <c r="A11653" s="136"/>
      <c r="CM11653" s="111"/>
      <c r="CQ11653" s="111"/>
      <c r="EF11653"/>
      <c r="EG11653"/>
      <c r="EH11653"/>
      <c r="EI11653"/>
      <c r="EJ11653"/>
      <c r="EK11653"/>
    </row>
    <row r="11654" spans="1:141" s="116" customFormat="1">
      <c r="A11654" s="136"/>
      <c r="CM11654" s="111"/>
      <c r="CQ11654" s="111"/>
      <c r="EF11654"/>
      <c r="EG11654"/>
      <c r="EH11654"/>
      <c r="EI11654"/>
      <c r="EJ11654"/>
      <c r="EK11654"/>
    </row>
    <row r="11655" spans="1:141" s="116" customFormat="1">
      <c r="A11655" s="136"/>
      <c r="CM11655" s="111"/>
      <c r="CQ11655" s="111"/>
      <c r="EF11655"/>
      <c r="EG11655"/>
      <c r="EH11655"/>
      <c r="EI11655"/>
      <c r="EJ11655"/>
      <c r="EK11655"/>
    </row>
    <row r="11656" spans="1:141" s="116" customFormat="1">
      <c r="A11656" s="136"/>
      <c r="CM11656" s="111"/>
      <c r="CQ11656" s="111"/>
      <c r="EF11656"/>
      <c r="EG11656"/>
      <c r="EH11656"/>
      <c r="EI11656"/>
      <c r="EJ11656"/>
      <c r="EK11656"/>
    </row>
    <row r="11657" spans="1:141" s="116" customFormat="1">
      <c r="A11657" s="136"/>
      <c r="CM11657" s="111"/>
      <c r="CQ11657" s="111"/>
      <c r="EF11657"/>
      <c r="EG11657"/>
      <c r="EH11657"/>
      <c r="EI11657"/>
      <c r="EJ11657"/>
      <c r="EK11657"/>
    </row>
    <row r="11658" spans="1:141" s="116" customFormat="1">
      <c r="A11658" s="136"/>
      <c r="CM11658" s="111"/>
      <c r="CQ11658" s="111"/>
      <c r="EF11658"/>
      <c r="EG11658"/>
      <c r="EH11658"/>
      <c r="EI11658"/>
      <c r="EJ11658"/>
      <c r="EK11658"/>
    </row>
    <row r="11659" spans="1:141" s="116" customFormat="1">
      <c r="A11659" s="136"/>
      <c r="CM11659" s="111"/>
      <c r="CQ11659" s="111"/>
      <c r="EF11659"/>
      <c r="EG11659"/>
      <c r="EH11659"/>
      <c r="EI11659"/>
      <c r="EJ11659"/>
      <c r="EK11659"/>
    </row>
    <row r="11660" spans="1:141" s="116" customFormat="1">
      <c r="A11660" s="136"/>
      <c r="CM11660" s="111"/>
      <c r="CQ11660" s="111"/>
      <c r="EF11660"/>
      <c r="EG11660"/>
      <c r="EH11660"/>
      <c r="EI11660"/>
      <c r="EJ11660"/>
      <c r="EK11660"/>
    </row>
    <row r="11661" spans="1:141" s="116" customFormat="1">
      <c r="A11661" s="136"/>
      <c r="CM11661" s="111"/>
      <c r="CQ11661" s="111"/>
      <c r="EF11661"/>
      <c r="EG11661"/>
      <c r="EH11661"/>
      <c r="EI11661"/>
      <c r="EJ11661"/>
      <c r="EK11661"/>
    </row>
    <row r="11662" spans="1:141" s="116" customFormat="1">
      <c r="A11662" s="136"/>
      <c r="CM11662" s="111"/>
      <c r="CQ11662" s="111"/>
      <c r="EF11662"/>
      <c r="EG11662"/>
      <c r="EH11662"/>
      <c r="EI11662"/>
      <c r="EJ11662"/>
      <c r="EK11662"/>
    </row>
    <row r="11663" spans="1:141" s="116" customFormat="1">
      <c r="A11663" s="136"/>
      <c r="CM11663" s="111"/>
      <c r="CQ11663" s="111"/>
      <c r="EF11663"/>
      <c r="EG11663"/>
      <c r="EH11663"/>
      <c r="EI11663"/>
      <c r="EJ11663"/>
      <c r="EK11663"/>
    </row>
    <row r="11664" spans="1:141" s="116" customFormat="1">
      <c r="A11664" s="136"/>
      <c r="CM11664" s="111"/>
      <c r="CQ11664" s="111"/>
      <c r="EF11664"/>
      <c r="EG11664"/>
      <c r="EH11664"/>
      <c r="EI11664"/>
      <c r="EJ11664"/>
      <c r="EK11664"/>
    </row>
    <row r="11665" spans="1:141" s="116" customFormat="1">
      <c r="A11665" s="136"/>
      <c r="CM11665" s="111"/>
      <c r="CQ11665" s="111"/>
      <c r="EF11665"/>
      <c r="EG11665"/>
      <c r="EH11665"/>
      <c r="EI11665"/>
      <c r="EJ11665"/>
      <c r="EK11665"/>
    </row>
    <row r="11666" spans="1:141" s="116" customFormat="1">
      <c r="A11666" s="136"/>
      <c r="CM11666" s="111"/>
      <c r="CQ11666" s="111"/>
      <c r="EF11666"/>
      <c r="EG11666"/>
      <c r="EH11666"/>
      <c r="EI11666"/>
      <c r="EJ11666"/>
      <c r="EK11666"/>
    </row>
    <row r="11667" spans="1:141" s="116" customFormat="1">
      <c r="A11667" s="136"/>
      <c r="CM11667" s="111"/>
      <c r="CQ11667" s="111"/>
      <c r="EF11667"/>
      <c r="EG11667"/>
      <c r="EH11667"/>
      <c r="EI11667"/>
      <c r="EJ11667"/>
      <c r="EK11667"/>
    </row>
    <row r="11668" spans="1:141" s="116" customFormat="1">
      <c r="A11668" s="136"/>
      <c r="CM11668" s="111"/>
      <c r="CQ11668" s="111"/>
      <c r="EF11668"/>
      <c r="EG11668"/>
      <c r="EH11668"/>
      <c r="EI11668"/>
      <c r="EJ11668"/>
      <c r="EK11668"/>
    </row>
    <row r="11669" spans="1:141" s="116" customFormat="1">
      <c r="A11669" s="136"/>
      <c r="CM11669" s="111"/>
      <c r="CQ11669" s="111"/>
      <c r="EF11669"/>
      <c r="EG11669"/>
      <c r="EH11669"/>
      <c r="EI11669"/>
      <c r="EJ11669"/>
      <c r="EK11669"/>
    </row>
    <row r="11670" spans="1:141" s="116" customFormat="1">
      <c r="A11670" s="136"/>
      <c r="CM11670" s="111"/>
      <c r="CQ11670" s="111"/>
      <c r="EF11670"/>
      <c r="EG11670"/>
      <c r="EH11670"/>
      <c r="EI11670"/>
      <c r="EJ11670"/>
      <c r="EK11670"/>
    </row>
    <row r="11671" spans="1:141" s="116" customFormat="1">
      <c r="A11671" s="136"/>
      <c r="CM11671" s="111"/>
      <c r="CQ11671" s="111"/>
      <c r="EF11671"/>
      <c r="EG11671"/>
      <c r="EH11671"/>
      <c r="EI11671"/>
      <c r="EJ11671"/>
      <c r="EK11671"/>
    </row>
    <row r="11672" spans="1:141" s="116" customFormat="1">
      <c r="A11672" s="136"/>
      <c r="CM11672" s="111"/>
      <c r="CQ11672" s="111"/>
      <c r="EF11672"/>
      <c r="EG11672"/>
      <c r="EH11672"/>
      <c r="EI11672"/>
      <c r="EJ11672"/>
      <c r="EK11672"/>
    </row>
    <row r="11673" spans="1:141" s="116" customFormat="1">
      <c r="A11673" s="136"/>
      <c r="CM11673" s="111"/>
      <c r="CQ11673" s="111"/>
      <c r="EF11673"/>
      <c r="EG11673"/>
      <c r="EH11673"/>
      <c r="EI11673"/>
      <c r="EJ11673"/>
      <c r="EK11673"/>
    </row>
    <row r="11674" spans="1:141" s="116" customFormat="1">
      <c r="A11674" s="136"/>
      <c r="CM11674" s="111"/>
      <c r="CQ11674" s="111"/>
      <c r="EF11674"/>
      <c r="EG11674"/>
      <c r="EH11674"/>
      <c r="EI11674"/>
      <c r="EJ11674"/>
      <c r="EK11674"/>
    </row>
    <row r="11675" spans="1:141" s="116" customFormat="1">
      <c r="A11675" s="136"/>
      <c r="CM11675" s="111"/>
      <c r="CQ11675" s="111"/>
      <c r="EF11675"/>
      <c r="EG11675"/>
      <c r="EH11675"/>
      <c r="EI11675"/>
      <c r="EJ11675"/>
      <c r="EK11675"/>
    </row>
    <row r="11676" spans="1:141" s="116" customFormat="1">
      <c r="A11676" s="136"/>
      <c r="CM11676" s="111"/>
      <c r="CQ11676" s="111"/>
      <c r="EF11676"/>
      <c r="EG11676"/>
      <c r="EH11676"/>
      <c r="EI11676"/>
      <c r="EJ11676"/>
      <c r="EK11676"/>
    </row>
    <row r="11677" spans="1:141" s="116" customFormat="1">
      <c r="A11677" s="136"/>
      <c r="CM11677" s="111"/>
      <c r="CQ11677" s="111"/>
      <c r="EF11677"/>
      <c r="EG11677"/>
      <c r="EH11677"/>
      <c r="EI11677"/>
      <c r="EJ11677"/>
      <c r="EK11677"/>
    </row>
    <row r="11678" spans="1:141" s="116" customFormat="1">
      <c r="A11678" s="136"/>
      <c r="CM11678" s="111"/>
      <c r="CQ11678" s="111"/>
      <c r="EF11678"/>
      <c r="EG11678"/>
      <c r="EH11678"/>
      <c r="EI11678"/>
      <c r="EJ11678"/>
      <c r="EK11678"/>
    </row>
    <row r="11679" spans="1:141" s="116" customFormat="1">
      <c r="A11679" s="136"/>
      <c r="CM11679" s="111"/>
      <c r="CQ11679" s="111"/>
      <c r="EF11679"/>
      <c r="EG11679"/>
      <c r="EH11679"/>
      <c r="EI11679"/>
      <c r="EJ11679"/>
      <c r="EK11679"/>
    </row>
    <row r="11680" spans="1:141" s="116" customFormat="1">
      <c r="A11680" s="136"/>
      <c r="CM11680" s="111"/>
      <c r="CQ11680" s="111"/>
      <c r="EF11680"/>
      <c r="EG11680"/>
      <c r="EH11680"/>
      <c r="EI11680"/>
      <c r="EJ11680"/>
      <c r="EK11680"/>
    </row>
    <row r="11681" spans="1:141" s="116" customFormat="1">
      <c r="A11681" s="136"/>
      <c r="CM11681" s="111"/>
      <c r="CQ11681" s="111"/>
      <c r="EF11681"/>
      <c r="EG11681"/>
      <c r="EH11681"/>
      <c r="EI11681"/>
      <c r="EJ11681"/>
      <c r="EK11681"/>
    </row>
    <row r="11682" spans="1:141" s="116" customFormat="1">
      <c r="A11682" s="136"/>
      <c r="CM11682" s="111"/>
      <c r="CQ11682" s="111"/>
      <c r="EF11682"/>
      <c r="EG11682"/>
      <c r="EH11682"/>
      <c r="EI11682"/>
      <c r="EJ11682"/>
      <c r="EK11682"/>
    </row>
    <row r="11683" spans="1:141" s="116" customFormat="1">
      <c r="A11683" s="136"/>
      <c r="CM11683" s="111"/>
      <c r="CQ11683" s="111"/>
      <c r="EF11683"/>
      <c r="EG11683"/>
      <c r="EH11683"/>
      <c r="EI11683"/>
      <c r="EJ11683"/>
      <c r="EK11683"/>
    </row>
    <row r="11684" spans="1:141" s="116" customFormat="1">
      <c r="A11684" s="136"/>
      <c r="CM11684" s="111"/>
      <c r="CQ11684" s="111"/>
      <c r="EF11684"/>
      <c r="EG11684"/>
      <c r="EH11684"/>
      <c r="EI11684"/>
      <c r="EJ11684"/>
      <c r="EK11684"/>
    </row>
    <row r="11685" spans="1:141" s="116" customFormat="1">
      <c r="A11685" s="136"/>
      <c r="CM11685" s="111"/>
      <c r="CQ11685" s="111"/>
      <c r="EF11685"/>
      <c r="EG11685"/>
      <c r="EH11685"/>
      <c r="EI11685"/>
      <c r="EJ11685"/>
      <c r="EK11685"/>
    </row>
    <row r="11686" spans="1:141" s="116" customFormat="1">
      <c r="A11686" s="136"/>
      <c r="CM11686" s="111"/>
      <c r="CQ11686" s="111"/>
      <c r="EF11686"/>
      <c r="EG11686"/>
      <c r="EH11686"/>
      <c r="EI11686"/>
      <c r="EJ11686"/>
      <c r="EK11686"/>
    </row>
    <row r="11687" spans="1:141" s="116" customFormat="1">
      <c r="A11687" s="136"/>
      <c r="CM11687" s="111"/>
      <c r="CQ11687" s="111"/>
      <c r="EF11687"/>
      <c r="EG11687"/>
      <c r="EH11687"/>
      <c r="EI11687"/>
      <c r="EJ11687"/>
      <c r="EK11687"/>
    </row>
    <row r="11688" spans="1:141" s="116" customFormat="1">
      <c r="A11688" s="136"/>
      <c r="CM11688" s="111"/>
      <c r="CQ11688" s="111"/>
      <c r="EF11688"/>
      <c r="EG11688"/>
      <c r="EH11688"/>
      <c r="EI11688"/>
      <c r="EJ11688"/>
      <c r="EK11688"/>
    </row>
    <row r="11689" spans="1:141" s="116" customFormat="1">
      <c r="A11689" s="136"/>
      <c r="CM11689" s="111"/>
      <c r="CQ11689" s="111"/>
      <c r="EF11689"/>
      <c r="EG11689"/>
      <c r="EH11689"/>
      <c r="EI11689"/>
      <c r="EJ11689"/>
      <c r="EK11689"/>
    </row>
    <row r="11690" spans="1:141" s="116" customFormat="1">
      <c r="A11690" s="136"/>
      <c r="CM11690" s="111"/>
      <c r="CQ11690" s="111"/>
      <c r="EF11690"/>
      <c r="EG11690"/>
      <c r="EH11690"/>
      <c r="EI11690"/>
      <c r="EJ11690"/>
      <c r="EK11690"/>
    </row>
    <row r="11691" spans="1:141" s="116" customFormat="1">
      <c r="A11691" s="136"/>
      <c r="CM11691" s="111"/>
      <c r="CQ11691" s="111"/>
      <c r="EF11691"/>
      <c r="EG11691"/>
      <c r="EH11691"/>
      <c r="EI11691"/>
      <c r="EJ11691"/>
      <c r="EK11691"/>
    </row>
    <row r="11692" spans="1:141" s="116" customFormat="1">
      <c r="A11692" s="136"/>
      <c r="CM11692" s="111"/>
      <c r="CQ11692" s="111"/>
      <c r="EF11692"/>
      <c r="EG11692"/>
      <c r="EH11692"/>
      <c r="EI11692"/>
      <c r="EJ11692"/>
      <c r="EK11692"/>
    </row>
    <row r="11693" spans="1:141" s="116" customFormat="1">
      <c r="A11693" s="136"/>
      <c r="CM11693" s="111"/>
      <c r="CQ11693" s="111"/>
      <c r="EF11693"/>
      <c r="EG11693"/>
      <c r="EH11693"/>
      <c r="EI11693"/>
      <c r="EJ11693"/>
      <c r="EK11693"/>
    </row>
    <row r="11694" spans="1:141" s="116" customFormat="1">
      <c r="A11694" s="136"/>
      <c r="CM11694" s="111"/>
      <c r="CQ11694" s="111"/>
      <c r="EF11694"/>
      <c r="EG11694"/>
      <c r="EH11694"/>
      <c r="EI11694"/>
      <c r="EJ11694"/>
      <c r="EK11694"/>
    </row>
    <row r="11695" spans="1:141" s="116" customFormat="1">
      <c r="A11695" s="136"/>
      <c r="CM11695" s="111"/>
      <c r="CQ11695" s="111"/>
      <c r="EF11695"/>
      <c r="EG11695"/>
      <c r="EH11695"/>
      <c r="EI11695"/>
      <c r="EJ11695"/>
      <c r="EK11695"/>
    </row>
    <row r="11696" spans="1:141" s="116" customFormat="1">
      <c r="A11696" s="136"/>
      <c r="CM11696" s="111"/>
      <c r="CQ11696" s="111"/>
      <c r="EF11696"/>
      <c r="EG11696"/>
      <c r="EH11696"/>
      <c r="EI11696"/>
      <c r="EJ11696"/>
      <c r="EK11696"/>
    </row>
    <row r="11697" spans="1:141" s="116" customFormat="1">
      <c r="A11697" s="136"/>
      <c r="CM11697" s="111"/>
      <c r="CQ11697" s="111"/>
      <c r="EF11697"/>
      <c r="EG11697"/>
      <c r="EH11697"/>
      <c r="EI11697"/>
      <c r="EJ11697"/>
      <c r="EK11697"/>
    </row>
    <row r="11698" spans="1:141" s="116" customFormat="1">
      <c r="A11698" s="136"/>
      <c r="CM11698" s="111"/>
      <c r="CQ11698" s="111"/>
      <c r="EF11698"/>
      <c r="EG11698"/>
      <c r="EH11698"/>
      <c r="EI11698"/>
      <c r="EJ11698"/>
      <c r="EK11698"/>
    </row>
    <row r="11699" spans="1:141" s="116" customFormat="1">
      <c r="A11699" s="136"/>
      <c r="CM11699" s="111"/>
      <c r="CQ11699" s="111"/>
      <c r="EF11699"/>
      <c r="EG11699"/>
      <c r="EH11699"/>
      <c r="EI11699"/>
      <c r="EJ11699"/>
      <c r="EK11699"/>
    </row>
    <row r="11700" spans="1:141" s="116" customFormat="1">
      <c r="A11700" s="136"/>
      <c r="CM11700" s="111"/>
      <c r="CQ11700" s="111"/>
      <c r="EF11700"/>
      <c r="EG11700"/>
      <c r="EH11700"/>
      <c r="EI11700"/>
      <c r="EJ11700"/>
      <c r="EK11700"/>
    </row>
    <row r="11701" spans="1:141" s="116" customFormat="1">
      <c r="A11701" s="136"/>
      <c r="CM11701" s="111"/>
      <c r="CQ11701" s="111"/>
      <c r="EF11701"/>
      <c r="EG11701"/>
      <c r="EH11701"/>
      <c r="EI11701"/>
      <c r="EJ11701"/>
      <c r="EK11701"/>
    </row>
    <row r="11702" spans="1:141" s="116" customFormat="1">
      <c r="A11702" s="136"/>
      <c r="CM11702" s="111"/>
      <c r="CQ11702" s="111"/>
      <c r="EF11702"/>
      <c r="EG11702"/>
      <c r="EH11702"/>
      <c r="EI11702"/>
      <c r="EJ11702"/>
      <c r="EK11702"/>
    </row>
    <row r="11703" spans="1:141" s="116" customFormat="1">
      <c r="A11703" s="136"/>
      <c r="CM11703" s="111"/>
      <c r="CQ11703" s="111"/>
      <c r="EF11703"/>
      <c r="EG11703"/>
      <c r="EH11703"/>
      <c r="EI11703"/>
      <c r="EJ11703"/>
      <c r="EK11703"/>
    </row>
    <row r="11704" spans="1:141" s="116" customFormat="1">
      <c r="A11704" s="136"/>
      <c r="CM11704" s="111"/>
      <c r="CQ11704" s="111"/>
      <c r="EF11704"/>
      <c r="EG11704"/>
      <c r="EH11704"/>
      <c r="EI11704"/>
      <c r="EJ11704"/>
      <c r="EK11704"/>
    </row>
    <row r="11705" spans="1:141" s="116" customFormat="1">
      <c r="A11705" s="136"/>
      <c r="CM11705" s="111"/>
      <c r="CQ11705" s="111"/>
      <c r="EF11705"/>
      <c r="EG11705"/>
      <c r="EH11705"/>
      <c r="EI11705"/>
      <c r="EJ11705"/>
      <c r="EK11705"/>
    </row>
    <row r="11706" spans="1:141" s="116" customFormat="1">
      <c r="A11706" s="136"/>
      <c r="CM11706" s="111"/>
      <c r="CQ11706" s="111"/>
      <c r="EF11706"/>
      <c r="EG11706"/>
      <c r="EH11706"/>
      <c r="EI11706"/>
      <c r="EJ11706"/>
      <c r="EK11706"/>
    </row>
    <row r="11707" spans="1:141" s="116" customFormat="1">
      <c r="A11707" s="136"/>
      <c r="CM11707" s="111"/>
      <c r="CQ11707" s="111"/>
      <c r="EF11707"/>
      <c r="EG11707"/>
      <c r="EH11707"/>
      <c r="EI11707"/>
      <c r="EJ11707"/>
      <c r="EK11707"/>
    </row>
    <row r="11708" spans="1:141" s="116" customFormat="1">
      <c r="A11708" s="136"/>
      <c r="CM11708" s="111"/>
      <c r="CQ11708" s="111"/>
      <c r="EF11708"/>
      <c r="EG11708"/>
      <c r="EH11708"/>
      <c r="EI11708"/>
      <c r="EJ11708"/>
      <c r="EK11708"/>
    </row>
    <row r="11709" spans="1:141" s="116" customFormat="1">
      <c r="A11709" s="136"/>
      <c r="CM11709" s="111"/>
      <c r="CQ11709" s="111"/>
      <c r="EF11709"/>
      <c r="EG11709"/>
      <c r="EH11709"/>
      <c r="EI11709"/>
      <c r="EJ11709"/>
      <c r="EK11709"/>
    </row>
    <row r="11710" spans="1:141" s="116" customFormat="1">
      <c r="A11710" s="136"/>
      <c r="CM11710" s="111"/>
      <c r="CQ11710" s="111"/>
      <c r="EF11710"/>
      <c r="EG11710"/>
      <c r="EH11710"/>
      <c r="EI11710"/>
      <c r="EJ11710"/>
      <c r="EK11710"/>
    </row>
    <row r="11711" spans="1:141" s="116" customFormat="1">
      <c r="A11711" s="136"/>
      <c r="CM11711" s="111"/>
      <c r="CQ11711" s="111"/>
      <c r="EF11711"/>
      <c r="EG11711"/>
      <c r="EH11711"/>
      <c r="EI11711"/>
      <c r="EJ11711"/>
      <c r="EK11711"/>
    </row>
    <row r="11712" spans="1:141" s="116" customFormat="1">
      <c r="A11712" s="136"/>
      <c r="CM11712" s="111"/>
      <c r="CQ11712" s="111"/>
      <c r="EF11712"/>
      <c r="EG11712"/>
      <c r="EH11712"/>
      <c r="EI11712"/>
      <c r="EJ11712"/>
      <c r="EK11712"/>
    </row>
    <row r="11713" spans="1:141" s="116" customFormat="1">
      <c r="A11713" s="136"/>
      <c r="CM11713" s="111"/>
      <c r="CQ11713" s="111"/>
      <c r="EF11713"/>
      <c r="EG11713"/>
      <c r="EH11713"/>
      <c r="EI11713"/>
      <c r="EJ11713"/>
      <c r="EK11713"/>
    </row>
    <row r="11714" spans="1:141" s="116" customFormat="1">
      <c r="A11714" s="136"/>
      <c r="CM11714" s="111"/>
      <c r="CQ11714" s="111"/>
      <c r="EF11714"/>
      <c r="EG11714"/>
      <c r="EH11714"/>
      <c r="EI11714"/>
      <c r="EJ11714"/>
      <c r="EK11714"/>
    </row>
    <row r="11715" spans="1:141" s="116" customFormat="1">
      <c r="A11715" s="136"/>
      <c r="CM11715" s="111"/>
      <c r="CQ11715" s="111"/>
      <c r="EF11715"/>
      <c r="EG11715"/>
      <c r="EH11715"/>
      <c r="EI11715"/>
      <c r="EJ11715"/>
      <c r="EK11715"/>
    </row>
    <row r="11716" spans="1:141" s="116" customFormat="1">
      <c r="A11716" s="136"/>
      <c r="CM11716" s="111"/>
      <c r="CQ11716" s="111"/>
      <c r="EF11716"/>
      <c r="EG11716"/>
      <c r="EH11716"/>
      <c r="EI11716"/>
      <c r="EJ11716"/>
      <c r="EK11716"/>
    </row>
    <row r="11717" spans="1:141" s="116" customFormat="1">
      <c r="A11717" s="136"/>
      <c r="CM11717" s="111"/>
      <c r="CQ11717" s="111"/>
      <c r="EF11717"/>
      <c r="EG11717"/>
      <c r="EH11717"/>
      <c r="EI11717"/>
      <c r="EJ11717"/>
      <c r="EK11717"/>
    </row>
    <row r="11718" spans="1:141" s="116" customFormat="1">
      <c r="A11718" s="136"/>
      <c r="CM11718" s="111"/>
      <c r="CQ11718" s="111"/>
      <c r="EF11718"/>
      <c r="EG11718"/>
      <c r="EH11718"/>
      <c r="EI11718"/>
      <c r="EJ11718"/>
      <c r="EK11718"/>
    </row>
    <row r="11719" spans="1:141" s="116" customFormat="1">
      <c r="A11719" s="136"/>
      <c r="CM11719" s="111"/>
      <c r="CQ11719" s="111"/>
      <c r="EF11719"/>
      <c r="EG11719"/>
      <c r="EH11719"/>
      <c r="EI11719"/>
      <c r="EJ11719"/>
      <c r="EK11719"/>
    </row>
    <row r="11720" spans="1:141" s="116" customFormat="1">
      <c r="A11720" s="136"/>
      <c r="CM11720" s="111"/>
      <c r="CQ11720" s="111"/>
      <c r="EF11720"/>
      <c r="EG11720"/>
      <c r="EH11720"/>
      <c r="EI11720"/>
      <c r="EJ11720"/>
      <c r="EK11720"/>
    </row>
    <row r="11721" spans="1:141" s="116" customFormat="1">
      <c r="A11721" s="136"/>
      <c r="CM11721" s="111"/>
      <c r="CQ11721" s="111"/>
      <c r="EF11721"/>
      <c r="EG11721"/>
      <c r="EH11721"/>
      <c r="EI11721"/>
      <c r="EJ11721"/>
      <c r="EK11721"/>
    </row>
    <row r="11722" spans="1:141" s="116" customFormat="1">
      <c r="A11722" s="136"/>
      <c r="CM11722" s="111"/>
      <c r="CQ11722" s="111"/>
      <c r="EF11722"/>
      <c r="EG11722"/>
      <c r="EH11722"/>
      <c r="EI11722"/>
      <c r="EJ11722"/>
      <c r="EK11722"/>
    </row>
    <row r="11723" spans="1:141" s="116" customFormat="1">
      <c r="A11723" s="136"/>
      <c r="CM11723" s="111"/>
      <c r="CQ11723" s="111"/>
      <c r="EF11723"/>
      <c r="EG11723"/>
      <c r="EH11723"/>
      <c r="EI11723"/>
      <c r="EJ11723"/>
      <c r="EK11723"/>
    </row>
    <row r="11724" spans="1:141" s="116" customFormat="1">
      <c r="A11724" s="136"/>
      <c r="CM11724" s="111"/>
      <c r="CQ11724" s="111"/>
      <c r="EF11724"/>
      <c r="EG11724"/>
      <c r="EH11724"/>
      <c r="EI11724"/>
      <c r="EJ11724"/>
      <c r="EK11724"/>
    </row>
    <row r="11725" spans="1:141" s="116" customFormat="1">
      <c r="A11725" s="136"/>
      <c r="CM11725" s="111"/>
      <c r="CQ11725" s="111"/>
      <c r="EF11725"/>
      <c r="EG11725"/>
      <c r="EH11725"/>
      <c r="EI11725"/>
      <c r="EJ11725"/>
      <c r="EK11725"/>
    </row>
    <row r="11726" spans="1:141" s="116" customFormat="1">
      <c r="A11726" s="136"/>
      <c r="CM11726" s="111"/>
      <c r="CQ11726" s="111"/>
      <c r="EF11726"/>
      <c r="EG11726"/>
      <c r="EH11726"/>
      <c r="EI11726"/>
      <c r="EJ11726"/>
      <c r="EK11726"/>
    </row>
    <row r="11727" spans="1:141" s="116" customFormat="1">
      <c r="A11727" s="136"/>
      <c r="CM11727" s="111"/>
      <c r="CQ11727" s="111"/>
      <c r="EF11727"/>
      <c r="EG11727"/>
      <c r="EH11727"/>
      <c r="EI11727"/>
      <c r="EJ11727"/>
      <c r="EK11727"/>
    </row>
    <row r="11728" spans="1:141" s="116" customFormat="1">
      <c r="A11728" s="136"/>
      <c r="CM11728" s="111"/>
      <c r="CQ11728" s="111"/>
      <c r="EF11728"/>
      <c r="EG11728"/>
      <c r="EH11728"/>
      <c r="EI11728"/>
      <c r="EJ11728"/>
      <c r="EK11728"/>
    </row>
    <row r="11729" spans="1:141" s="116" customFormat="1">
      <c r="A11729" s="136"/>
      <c r="CM11729" s="111"/>
      <c r="CQ11729" s="111"/>
      <c r="EF11729"/>
      <c r="EG11729"/>
      <c r="EH11729"/>
      <c r="EI11729"/>
      <c r="EJ11729"/>
      <c r="EK11729"/>
    </row>
    <row r="11730" spans="1:141" s="116" customFormat="1">
      <c r="A11730" s="136"/>
      <c r="CM11730" s="111"/>
      <c r="CQ11730" s="111"/>
      <c r="EF11730"/>
      <c r="EG11730"/>
      <c r="EH11730"/>
      <c r="EI11730"/>
      <c r="EJ11730"/>
      <c r="EK11730"/>
    </row>
    <row r="11731" spans="1:141" s="116" customFormat="1">
      <c r="A11731" s="136"/>
      <c r="CM11731" s="111"/>
      <c r="CQ11731" s="111"/>
      <c r="EF11731"/>
      <c r="EG11731"/>
      <c r="EH11731"/>
      <c r="EI11731"/>
      <c r="EJ11731"/>
      <c r="EK11731"/>
    </row>
    <row r="11732" spans="1:141" s="116" customFormat="1">
      <c r="A11732" s="136"/>
      <c r="CM11732" s="111"/>
      <c r="CQ11732" s="111"/>
      <c r="EF11732"/>
      <c r="EG11732"/>
      <c r="EH11732"/>
      <c r="EI11732"/>
      <c r="EJ11732"/>
      <c r="EK11732"/>
    </row>
    <row r="11733" spans="1:141" s="116" customFormat="1">
      <c r="A11733" s="136"/>
      <c r="CM11733" s="111"/>
      <c r="CQ11733" s="111"/>
      <c r="EF11733"/>
      <c r="EG11733"/>
      <c r="EH11733"/>
      <c r="EI11733"/>
      <c r="EJ11733"/>
      <c r="EK11733"/>
    </row>
    <row r="11734" spans="1:141" s="116" customFormat="1">
      <c r="A11734" s="136"/>
      <c r="CM11734" s="111"/>
      <c r="CQ11734" s="111"/>
      <c r="EF11734"/>
      <c r="EG11734"/>
      <c r="EH11734"/>
      <c r="EI11734"/>
      <c r="EJ11734"/>
      <c r="EK11734"/>
    </row>
    <row r="11735" spans="1:141" s="116" customFormat="1">
      <c r="A11735" s="136"/>
      <c r="CM11735" s="111"/>
      <c r="CQ11735" s="111"/>
      <c r="EF11735"/>
      <c r="EG11735"/>
      <c r="EH11735"/>
      <c r="EI11735"/>
      <c r="EJ11735"/>
      <c r="EK11735"/>
    </row>
    <row r="11736" spans="1:141" s="116" customFormat="1">
      <c r="A11736" s="136"/>
      <c r="CM11736" s="111"/>
      <c r="CQ11736" s="111"/>
      <c r="EF11736"/>
      <c r="EG11736"/>
      <c r="EH11736"/>
      <c r="EI11736"/>
      <c r="EJ11736"/>
      <c r="EK11736"/>
    </row>
    <row r="11737" spans="1:141" s="116" customFormat="1">
      <c r="A11737" s="136"/>
      <c r="CM11737" s="111"/>
      <c r="CQ11737" s="111"/>
      <c r="EF11737"/>
      <c r="EG11737"/>
      <c r="EH11737"/>
      <c r="EI11737"/>
      <c r="EJ11737"/>
      <c r="EK11737"/>
    </row>
    <row r="11738" spans="1:141" s="116" customFormat="1">
      <c r="A11738" s="136"/>
      <c r="CM11738" s="111"/>
      <c r="CQ11738" s="111"/>
      <c r="EF11738"/>
      <c r="EG11738"/>
      <c r="EH11738"/>
      <c r="EI11738"/>
      <c r="EJ11738"/>
      <c r="EK11738"/>
    </row>
    <row r="11739" spans="1:141" s="116" customFormat="1">
      <c r="A11739" s="136"/>
      <c r="CM11739" s="111"/>
      <c r="CQ11739" s="111"/>
      <c r="EF11739"/>
      <c r="EG11739"/>
      <c r="EH11739"/>
      <c r="EI11739"/>
      <c r="EJ11739"/>
      <c r="EK11739"/>
    </row>
    <row r="11740" spans="1:141" s="116" customFormat="1">
      <c r="A11740" s="136"/>
      <c r="CM11740" s="111"/>
      <c r="CQ11740" s="111"/>
      <c r="EF11740"/>
      <c r="EG11740"/>
      <c r="EH11740"/>
      <c r="EI11740"/>
      <c r="EJ11740"/>
      <c r="EK11740"/>
    </row>
    <row r="11741" spans="1:141" s="116" customFormat="1">
      <c r="A11741" s="136"/>
      <c r="CM11741" s="111"/>
      <c r="CQ11741" s="111"/>
      <c r="EF11741"/>
      <c r="EG11741"/>
      <c r="EH11741"/>
      <c r="EI11741"/>
      <c r="EJ11741"/>
      <c r="EK11741"/>
    </row>
    <row r="11742" spans="1:141" s="116" customFormat="1">
      <c r="A11742" s="136"/>
      <c r="CM11742" s="111"/>
      <c r="CQ11742" s="111"/>
      <c r="EF11742"/>
      <c r="EG11742"/>
      <c r="EH11742"/>
      <c r="EI11742"/>
      <c r="EJ11742"/>
      <c r="EK11742"/>
    </row>
    <row r="11743" spans="1:141" s="116" customFormat="1">
      <c r="A11743" s="136"/>
      <c r="CM11743" s="111"/>
      <c r="CQ11743" s="111"/>
      <c r="EF11743"/>
      <c r="EG11743"/>
      <c r="EH11743"/>
      <c r="EI11743"/>
      <c r="EJ11743"/>
      <c r="EK11743"/>
    </row>
    <row r="11744" spans="1:141" s="116" customFormat="1">
      <c r="A11744" s="136"/>
      <c r="CM11744" s="111"/>
      <c r="CQ11744" s="111"/>
      <c r="EF11744"/>
      <c r="EG11744"/>
      <c r="EH11744"/>
      <c r="EI11744"/>
      <c r="EJ11744"/>
      <c r="EK11744"/>
    </row>
    <row r="11745" spans="1:141" s="116" customFormat="1">
      <c r="A11745" s="136"/>
      <c r="CM11745" s="111"/>
      <c r="CQ11745" s="111"/>
      <c r="EF11745"/>
      <c r="EG11745"/>
      <c r="EH11745"/>
      <c r="EI11745"/>
      <c r="EJ11745"/>
      <c r="EK11745"/>
    </row>
    <row r="11746" spans="1:141" s="116" customFormat="1">
      <c r="A11746" s="136"/>
      <c r="CM11746" s="111"/>
      <c r="CQ11746" s="111"/>
      <c r="EF11746"/>
      <c r="EG11746"/>
      <c r="EH11746"/>
      <c r="EI11746"/>
      <c r="EJ11746"/>
      <c r="EK11746"/>
    </row>
    <row r="11747" spans="1:141" s="116" customFormat="1">
      <c r="A11747" s="136"/>
      <c r="CM11747" s="111"/>
      <c r="CQ11747" s="111"/>
      <c r="EF11747"/>
      <c r="EG11747"/>
      <c r="EH11747"/>
      <c r="EI11747"/>
      <c r="EJ11747"/>
      <c r="EK11747"/>
    </row>
    <row r="11748" spans="1:141" s="116" customFormat="1">
      <c r="A11748" s="136"/>
      <c r="CM11748" s="111"/>
      <c r="CQ11748" s="111"/>
      <c r="EF11748"/>
      <c r="EG11748"/>
      <c r="EH11748"/>
      <c r="EI11748"/>
      <c r="EJ11748"/>
      <c r="EK11748"/>
    </row>
    <row r="11749" spans="1:141" s="116" customFormat="1">
      <c r="A11749" s="136"/>
      <c r="CM11749" s="111"/>
      <c r="CQ11749" s="111"/>
      <c r="EF11749"/>
      <c r="EG11749"/>
      <c r="EH11749"/>
      <c r="EI11749"/>
      <c r="EJ11749"/>
      <c r="EK11749"/>
    </row>
    <row r="11750" spans="1:141" s="116" customFormat="1">
      <c r="A11750" s="136"/>
      <c r="CM11750" s="111"/>
      <c r="CQ11750" s="111"/>
      <c r="EF11750"/>
      <c r="EG11750"/>
      <c r="EH11750"/>
      <c r="EI11750"/>
      <c r="EJ11750"/>
      <c r="EK11750"/>
    </row>
    <row r="11751" spans="1:141" s="116" customFormat="1">
      <c r="A11751" s="136"/>
      <c r="CM11751" s="111"/>
      <c r="CQ11751" s="111"/>
      <c r="EF11751"/>
      <c r="EG11751"/>
      <c r="EH11751"/>
      <c r="EI11751"/>
      <c r="EJ11751"/>
      <c r="EK11751"/>
    </row>
    <row r="11752" spans="1:141" s="116" customFormat="1">
      <c r="A11752" s="136"/>
      <c r="CM11752" s="111"/>
      <c r="CQ11752" s="111"/>
      <c r="EF11752"/>
      <c r="EG11752"/>
      <c r="EH11752"/>
      <c r="EI11752"/>
      <c r="EJ11752"/>
      <c r="EK11752"/>
    </row>
    <row r="11753" spans="1:141" s="116" customFormat="1">
      <c r="A11753" s="136"/>
      <c r="CM11753" s="111"/>
      <c r="CQ11753" s="111"/>
      <c r="EF11753"/>
      <c r="EG11753"/>
      <c r="EH11753"/>
      <c r="EI11753"/>
      <c r="EJ11753"/>
      <c r="EK11753"/>
    </row>
    <row r="11754" spans="1:141" s="116" customFormat="1">
      <c r="A11754" s="136"/>
      <c r="CM11754" s="111"/>
      <c r="CQ11754" s="111"/>
      <c r="EF11754"/>
      <c r="EG11754"/>
      <c r="EH11754"/>
      <c r="EI11754"/>
      <c r="EJ11754"/>
      <c r="EK11754"/>
    </row>
    <row r="11755" spans="1:141" s="116" customFormat="1">
      <c r="A11755" s="136"/>
      <c r="CM11755" s="111"/>
      <c r="CQ11755" s="111"/>
      <c r="EF11755"/>
      <c r="EG11755"/>
      <c r="EH11755"/>
      <c r="EI11755"/>
      <c r="EJ11755"/>
      <c r="EK11755"/>
    </row>
    <row r="11756" spans="1:141" s="116" customFormat="1">
      <c r="A11756" s="136"/>
      <c r="CM11756" s="111"/>
      <c r="CQ11756" s="111"/>
      <c r="EF11756"/>
      <c r="EG11756"/>
      <c r="EH11756"/>
      <c r="EI11756"/>
      <c r="EJ11756"/>
      <c r="EK11756"/>
    </row>
    <row r="11757" spans="1:141" s="116" customFormat="1">
      <c r="A11757" s="136"/>
      <c r="CM11757" s="111"/>
      <c r="CQ11757" s="111"/>
      <c r="EF11757"/>
      <c r="EG11757"/>
      <c r="EH11757"/>
      <c r="EI11757"/>
      <c r="EJ11757"/>
      <c r="EK11757"/>
    </row>
    <row r="11758" spans="1:141" s="116" customFormat="1">
      <c r="A11758" s="136"/>
      <c r="CM11758" s="111"/>
      <c r="CQ11758" s="111"/>
      <c r="EF11758"/>
      <c r="EG11758"/>
      <c r="EH11758"/>
      <c r="EI11758"/>
      <c r="EJ11758"/>
      <c r="EK11758"/>
    </row>
    <row r="11759" spans="1:141" s="116" customFormat="1">
      <c r="A11759" s="136"/>
      <c r="CM11759" s="111"/>
      <c r="CQ11759" s="111"/>
      <c r="EF11759"/>
      <c r="EG11759"/>
      <c r="EH11759"/>
      <c r="EI11759"/>
      <c r="EJ11759"/>
      <c r="EK11759"/>
    </row>
    <row r="11760" spans="1:141" s="116" customFormat="1">
      <c r="A11760" s="136"/>
      <c r="CM11760" s="111"/>
      <c r="CQ11760" s="111"/>
      <c r="EF11760"/>
      <c r="EG11760"/>
      <c r="EH11760"/>
      <c r="EI11760"/>
      <c r="EJ11760"/>
      <c r="EK11760"/>
    </row>
    <row r="11761" spans="1:141" s="116" customFormat="1">
      <c r="A11761" s="136"/>
      <c r="CM11761" s="111"/>
      <c r="CQ11761" s="111"/>
      <c r="EF11761"/>
      <c r="EG11761"/>
      <c r="EH11761"/>
      <c r="EI11761"/>
      <c r="EJ11761"/>
      <c r="EK11761"/>
    </row>
    <row r="11762" spans="1:141" s="116" customFormat="1">
      <c r="A11762" s="136"/>
      <c r="CM11762" s="111"/>
      <c r="CQ11762" s="111"/>
      <c r="EF11762"/>
      <c r="EG11762"/>
      <c r="EH11762"/>
      <c r="EI11762"/>
      <c r="EJ11762"/>
      <c r="EK11762"/>
    </row>
    <row r="11763" spans="1:141" s="116" customFormat="1">
      <c r="A11763" s="136"/>
      <c r="CM11763" s="111"/>
      <c r="CQ11763" s="111"/>
      <c r="EF11763"/>
      <c r="EG11763"/>
      <c r="EH11763"/>
      <c r="EI11763"/>
      <c r="EJ11763"/>
      <c r="EK11763"/>
    </row>
    <row r="11764" spans="1:141" s="116" customFormat="1">
      <c r="A11764" s="136"/>
      <c r="CM11764" s="111"/>
      <c r="CQ11764" s="111"/>
      <c r="EF11764"/>
      <c r="EG11764"/>
      <c r="EH11764"/>
      <c r="EI11764"/>
      <c r="EJ11764"/>
      <c r="EK11764"/>
    </row>
    <row r="11765" spans="1:141" s="116" customFormat="1">
      <c r="A11765" s="136"/>
      <c r="CM11765" s="111"/>
      <c r="CQ11765" s="111"/>
      <c r="EF11765"/>
      <c r="EG11765"/>
      <c r="EH11765"/>
      <c r="EI11765"/>
      <c r="EJ11765"/>
      <c r="EK11765"/>
    </row>
    <row r="11766" spans="1:141" s="116" customFormat="1">
      <c r="A11766" s="136"/>
      <c r="CM11766" s="111"/>
      <c r="CQ11766" s="111"/>
      <c r="EF11766"/>
      <c r="EG11766"/>
      <c r="EH11766"/>
      <c r="EI11766"/>
      <c r="EJ11766"/>
      <c r="EK11766"/>
    </row>
    <row r="11767" spans="1:141" s="116" customFormat="1">
      <c r="A11767" s="136"/>
      <c r="CM11767" s="111"/>
      <c r="CQ11767" s="111"/>
      <c r="EF11767"/>
      <c r="EG11767"/>
      <c r="EH11767"/>
      <c r="EI11767"/>
      <c r="EJ11767"/>
      <c r="EK11767"/>
    </row>
    <row r="11768" spans="1:141" s="116" customFormat="1">
      <c r="A11768" s="136"/>
      <c r="CM11768" s="111"/>
      <c r="CQ11768" s="111"/>
      <c r="EF11768"/>
      <c r="EG11768"/>
      <c r="EH11768"/>
      <c r="EI11768"/>
      <c r="EJ11768"/>
      <c r="EK11768"/>
    </row>
    <row r="11769" spans="1:141" s="116" customFormat="1">
      <c r="A11769" s="136"/>
      <c r="CM11769" s="111"/>
      <c r="CQ11769" s="111"/>
      <c r="EF11769"/>
      <c r="EG11769"/>
      <c r="EH11769"/>
      <c r="EI11769"/>
      <c r="EJ11769"/>
      <c r="EK11769"/>
    </row>
    <row r="11770" spans="1:141" s="116" customFormat="1">
      <c r="A11770" s="136"/>
      <c r="CM11770" s="111"/>
      <c r="CQ11770" s="111"/>
      <c r="EF11770"/>
      <c r="EG11770"/>
      <c r="EH11770"/>
      <c r="EI11770"/>
      <c r="EJ11770"/>
      <c r="EK11770"/>
    </row>
    <row r="11771" spans="1:141" s="116" customFormat="1">
      <c r="A11771" s="136"/>
      <c r="CM11771" s="111"/>
      <c r="CQ11771" s="111"/>
      <c r="EF11771"/>
      <c r="EG11771"/>
      <c r="EH11771"/>
      <c r="EI11771"/>
      <c r="EJ11771"/>
      <c r="EK11771"/>
    </row>
    <row r="11772" spans="1:141" s="116" customFormat="1">
      <c r="A11772" s="136"/>
      <c r="CM11772" s="111"/>
      <c r="CQ11772" s="111"/>
      <c r="EF11772"/>
      <c r="EG11772"/>
      <c r="EH11772"/>
      <c r="EI11772"/>
      <c r="EJ11772"/>
      <c r="EK11772"/>
    </row>
    <row r="11773" spans="1:141" s="116" customFormat="1">
      <c r="A11773" s="136"/>
      <c r="CM11773" s="111"/>
      <c r="CQ11773" s="111"/>
      <c r="EF11773"/>
      <c r="EG11773"/>
      <c r="EH11773"/>
      <c r="EI11773"/>
      <c r="EJ11773"/>
      <c r="EK11773"/>
    </row>
    <row r="11774" spans="1:141" s="116" customFormat="1">
      <c r="A11774" s="136"/>
      <c r="CM11774" s="111"/>
      <c r="CQ11774" s="111"/>
      <c r="EF11774"/>
      <c r="EG11774"/>
      <c r="EH11774"/>
      <c r="EI11774"/>
      <c r="EJ11774"/>
      <c r="EK11774"/>
    </row>
    <row r="11775" spans="1:141" s="116" customFormat="1">
      <c r="A11775" s="136"/>
      <c r="CM11775" s="111"/>
      <c r="CQ11775" s="111"/>
      <c r="EF11775"/>
      <c r="EG11775"/>
      <c r="EH11775"/>
      <c r="EI11775"/>
      <c r="EJ11775"/>
      <c r="EK11775"/>
    </row>
    <row r="11776" spans="1:141" s="116" customFormat="1">
      <c r="A11776" s="136"/>
      <c r="CM11776" s="111"/>
      <c r="CQ11776" s="111"/>
      <c r="EF11776"/>
      <c r="EG11776"/>
      <c r="EH11776"/>
      <c r="EI11776"/>
      <c r="EJ11776"/>
      <c r="EK11776"/>
    </row>
    <row r="11777" spans="1:141" s="116" customFormat="1">
      <c r="A11777" s="136"/>
      <c r="CM11777" s="111"/>
      <c r="CQ11777" s="111"/>
      <c r="EF11777"/>
      <c r="EG11777"/>
      <c r="EH11777"/>
      <c r="EI11777"/>
      <c r="EJ11777"/>
      <c r="EK11777"/>
    </row>
    <row r="11778" spans="1:141" s="116" customFormat="1">
      <c r="A11778" s="136"/>
      <c r="CM11778" s="111"/>
      <c r="CQ11778" s="111"/>
      <c r="EF11778"/>
      <c r="EG11778"/>
      <c r="EH11778"/>
      <c r="EI11778"/>
      <c r="EJ11778"/>
      <c r="EK11778"/>
    </row>
    <row r="11779" spans="1:141" s="116" customFormat="1">
      <c r="A11779" s="136"/>
      <c r="CM11779" s="111"/>
      <c r="CQ11779" s="111"/>
      <c r="EF11779"/>
      <c r="EG11779"/>
      <c r="EH11779"/>
      <c r="EI11779"/>
      <c r="EJ11779"/>
      <c r="EK11779"/>
    </row>
    <row r="11780" spans="1:141" s="116" customFormat="1">
      <c r="A11780" s="136"/>
      <c r="CM11780" s="111"/>
      <c r="CQ11780" s="111"/>
      <c r="EF11780"/>
      <c r="EG11780"/>
      <c r="EH11780"/>
      <c r="EI11780"/>
      <c r="EJ11780"/>
      <c r="EK11780"/>
    </row>
    <row r="11781" spans="1:141" s="116" customFormat="1">
      <c r="A11781" s="136"/>
      <c r="CM11781" s="111"/>
      <c r="CQ11781" s="111"/>
      <c r="EF11781"/>
      <c r="EG11781"/>
      <c r="EH11781"/>
      <c r="EI11781"/>
      <c r="EJ11781"/>
      <c r="EK11781"/>
    </row>
    <row r="11782" spans="1:141" s="116" customFormat="1">
      <c r="A11782" s="136"/>
      <c r="CM11782" s="111"/>
      <c r="CQ11782" s="111"/>
      <c r="EF11782"/>
      <c r="EG11782"/>
      <c r="EH11782"/>
      <c r="EI11782"/>
      <c r="EJ11782"/>
      <c r="EK11782"/>
    </row>
    <row r="11783" spans="1:141" s="116" customFormat="1">
      <c r="A11783" s="136"/>
      <c r="CM11783" s="111"/>
      <c r="CQ11783" s="111"/>
      <c r="EF11783"/>
      <c r="EG11783"/>
      <c r="EH11783"/>
      <c r="EI11783"/>
      <c r="EJ11783"/>
      <c r="EK11783"/>
    </row>
    <row r="11784" spans="1:141" s="116" customFormat="1">
      <c r="A11784" s="136"/>
      <c r="CM11784" s="111"/>
      <c r="CQ11784" s="111"/>
      <c r="EF11784"/>
      <c r="EG11784"/>
      <c r="EH11784"/>
      <c r="EI11784"/>
      <c r="EJ11784"/>
      <c r="EK11784"/>
    </row>
    <row r="11785" spans="1:141" s="116" customFormat="1">
      <c r="A11785" s="136"/>
      <c r="CM11785" s="111"/>
      <c r="CQ11785" s="111"/>
      <c r="EF11785"/>
      <c r="EG11785"/>
      <c r="EH11785"/>
      <c r="EI11785"/>
      <c r="EJ11785"/>
      <c r="EK11785"/>
    </row>
    <row r="11786" spans="1:141" s="116" customFormat="1">
      <c r="A11786" s="136"/>
      <c r="CM11786" s="111"/>
      <c r="CQ11786" s="111"/>
      <c r="EF11786"/>
      <c r="EG11786"/>
      <c r="EH11786"/>
      <c r="EI11786"/>
      <c r="EJ11786"/>
      <c r="EK11786"/>
    </row>
    <row r="11787" spans="1:141" s="116" customFormat="1">
      <c r="A11787" s="136"/>
      <c r="CM11787" s="111"/>
      <c r="CQ11787" s="111"/>
      <c r="EF11787"/>
      <c r="EG11787"/>
      <c r="EH11787"/>
      <c r="EI11787"/>
      <c r="EJ11787"/>
      <c r="EK11787"/>
    </row>
    <row r="11788" spans="1:141" s="116" customFormat="1">
      <c r="A11788" s="136"/>
      <c r="CM11788" s="111"/>
      <c r="CQ11788" s="111"/>
      <c r="EF11788"/>
      <c r="EG11788"/>
      <c r="EH11788"/>
      <c r="EI11788"/>
      <c r="EJ11788"/>
      <c r="EK11788"/>
    </row>
    <row r="11789" spans="1:141" s="116" customFormat="1">
      <c r="A11789" s="136"/>
      <c r="CM11789" s="111"/>
      <c r="CQ11789" s="111"/>
      <c r="EF11789"/>
      <c r="EG11789"/>
      <c r="EH11789"/>
      <c r="EI11789"/>
      <c r="EJ11789"/>
      <c r="EK11789"/>
    </row>
    <row r="11790" spans="1:141" s="116" customFormat="1">
      <c r="A11790" s="136"/>
      <c r="CM11790" s="111"/>
      <c r="CQ11790" s="111"/>
      <c r="EF11790"/>
      <c r="EG11790"/>
      <c r="EH11790"/>
      <c r="EI11790"/>
      <c r="EJ11790"/>
      <c r="EK11790"/>
    </row>
    <row r="11791" spans="1:141" s="116" customFormat="1">
      <c r="A11791" s="136"/>
      <c r="CM11791" s="111"/>
      <c r="CQ11791" s="111"/>
      <c r="EF11791"/>
      <c r="EG11791"/>
      <c r="EH11791"/>
      <c r="EI11791"/>
      <c r="EJ11791"/>
      <c r="EK11791"/>
    </row>
    <row r="11792" spans="1:141" s="116" customFormat="1">
      <c r="A11792" s="136"/>
      <c r="CM11792" s="111"/>
      <c r="CQ11792" s="111"/>
      <c r="EF11792"/>
      <c r="EG11792"/>
      <c r="EH11792"/>
      <c r="EI11792"/>
      <c r="EJ11792"/>
      <c r="EK11792"/>
    </row>
    <row r="11793" spans="1:141" s="116" customFormat="1">
      <c r="A11793" s="136"/>
      <c r="CM11793" s="111"/>
      <c r="CQ11793" s="111"/>
      <c r="EF11793"/>
      <c r="EG11793"/>
      <c r="EH11793"/>
      <c r="EI11793"/>
      <c r="EJ11793"/>
      <c r="EK11793"/>
    </row>
    <row r="11794" spans="1:141" s="116" customFormat="1">
      <c r="A11794" s="136"/>
      <c r="CM11794" s="111"/>
      <c r="CQ11794" s="111"/>
      <c r="EF11794"/>
      <c r="EG11794"/>
      <c r="EH11794"/>
      <c r="EI11794"/>
      <c r="EJ11794"/>
      <c r="EK11794"/>
    </row>
    <row r="11795" spans="1:141" s="116" customFormat="1">
      <c r="A11795" s="136"/>
      <c r="CM11795" s="111"/>
      <c r="CQ11795" s="111"/>
      <c r="EF11795"/>
      <c r="EG11795"/>
      <c r="EH11795"/>
      <c r="EI11795"/>
      <c r="EJ11795"/>
      <c r="EK11795"/>
    </row>
    <row r="11796" spans="1:141" s="116" customFormat="1">
      <c r="A11796" s="136"/>
      <c r="CM11796" s="111"/>
      <c r="CQ11796" s="111"/>
      <c r="EF11796"/>
      <c r="EG11796"/>
      <c r="EH11796"/>
      <c r="EI11796"/>
      <c r="EJ11796"/>
      <c r="EK11796"/>
    </row>
    <row r="11797" spans="1:141" s="116" customFormat="1">
      <c r="A11797" s="136"/>
      <c r="CM11797" s="111"/>
      <c r="CQ11797" s="111"/>
      <c r="EF11797"/>
      <c r="EG11797"/>
      <c r="EH11797"/>
      <c r="EI11797"/>
      <c r="EJ11797"/>
      <c r="EK11797"/>
    </row>
    <row r="11798" spans="1:141" s="116" customFormat="1">
      <c r="A11798" s="136"/>
      <c r="CM11798" s="111"/>
      <c r="CQ11798" s="111"/>
      <c r="EF11798"/>
      <c r="EG11798"/>
      <c r="EH11798"/>
      <c r="EI11798"/>
      <c r="EJ11798"/>
      <c r="EK11798"/>
    </row>
    <row r="11799" spans="1:141" s="116" customFormat="1">
      <c r="A11799" s="136"/>
      <c r="CM11799" s="111"/>
      <c r="CQ11799" s="111"/>
      <c r="EF11799"/>
      <c r="EG11799"/>
      <c r="EH11799"/>
      <c r="EI11799"/>
      <c r="EJ11799"/>
      <c r="EK11799"/>
    </row>
    <row r="11800" spans="1:141" s="116" customFormat="1">
      <c r="A11800" s="136"/>
      <c r="CM11800" s="111"/>
      <c r="CQ11800" s="111"/>
      <c r="EF11800"/>
      <c r="EG11800"/>
      <c r="EH11800"/>
      <c r="EI11800"/>
      <c r="EJ11800"/>
      <c r="EK11800"/>
    </row>
    <row r="11801" spans="1:141" s="116" customFormat="1">
      <c r="A11801" s="136"/>
      <c r="CM11801" s="111"/>
      <c r="CQ11801" s="111"/>
      <c r="EF11801"/>
      <c r="EG11801"/>
      <c r="EH11801"/>
      <c r="EI11801"/>
      <c r="EJ11801"/>
      <c r="EK11801"/>
    </row>
    <row r="11802" spans="1:141" s="116" customFormat="1">
      <c r="A11802" s="136"/>
      <c r="CM11802" s="111"/>
      <c r="CQ11802" s="111"/>
      <c r="EF11802"/>
      <c r="EG11802"/>
      <c r="EH11802"/>
      <c r="EI11802"/>
      <c r="EJ11802"/>
      <c r="EK11802"/>
    </row>
    <row r="11803" spans="1:141" s="116" customFormat="1">
      <c r="A11803" s="136"/>
      <c r="CM11803" s="111"/>
      <c r="CQ11803" s="111"/>
      <c r="EF11803"/>
      <c r="EG11803"/>
      <c r="EH11803"/>
      <c r="EI11803"/>
      <c r="EJ11803"/>
      <c r="EK11803"/>
    </row>
    <row r="11804" spans="1:141" s="116" customFormat="1">
      <c r="A11804" s="136"/>
      <c r="CM11804" s="111"/>
      <c r="CQ11804" s="111"/>
      <c r="EF11804"/>
      <c r="EG11804"/>
      <c r="EH11804"/>
      <c r="EI11804"/>
      <c r="EJ11804"/>
      <c r="EK11804"/>
    </row>
    <row r="11805" spans="1:141" s="116" customFormat="1">
      <c r="A11805" s="136"/>
      <c r="CM11805" s="111"/>
      <c r="CQ11805" s="111"/>
      <c r="EF11805"/>
      <c r="EG11805"/>
      <c r="EH11805"/>
      <c r="EI11805"/>
      <c r="EJ11805"/>
      <c r="EK11805"/>
    </row>
    <row r="11806" spans="1:141" s="116" customFormat="1">
      <c r="A11806" s="136"/>
      <c r="CM11806" s="111"/>
      <c r="CQ11806" s="111"/>
      <c r="EF11806"/>
      <c r="EG11806"/>
      <c r="EH11806"/>
      <c r="EI11806"/>
      <c r="EJ11806"/>
      <c r="EK11806"/>
    </row>
    <row r="11807" spans="1:141" s="116" customFormat="1">
      <c r="A11807" s="136"/>
      <c r="CM11807" s="111"/>
      <c r="CQ11807" s="111"/>
      <c r="EF11807"/>
      <c r="EG11807"/>
      <c r="EH11807"/>
      <c r="EI11807"/>
      <c r="EJ11807"/>
      <c r="EK11807"/>
    </row>
    <row r="11808" spans="1:141" s="116" customFormat="1">
      <c r="A11808" s="136"/>
      <c r="CM11808" s="111"/>
      <c r="CQ11808" s="111"/>
      <c r="EF11808"/>
      <c r="EG11808"/>
      <c r="EH11808"/>
      <c r="EI11808"/>
      <c r="EJ11808"/>
      <c r="EK11808"/>
    </row>
    <row r="11809" spans="1:141" s="116" customFormat="1">
      <c r="A11809" s="136"/>
      <c r="CM11809" s="111"/>
      <c r="CQ11809" s="111"/>
      <c r="EF11809"/>
      <c r="EG11809"/>
      <c r="EH11809"/>
      <c r="EI11809"/>
      <c r="EJ11809"/>
      <c r="EK11809"/>
    </row>
    <row r="11810" spans="1:141" s="116" customFormat="1">
      <c r="A11810" s="136"/>
      <c r="CM11810" s="111"/>
      <c r="CQ11810" s="111"/>
      <c r="EF11810"/>
      <c r="EG11810"/>
      <c r="EH11810"/>
      <c r="EI11810"/>
      <c r="EJ11810"/>
      <c r="EK11810"/>
    </row>
    <row r="11811" spans="1:141" s="116" customFormat="1">
      <c r="A11811" s="136"/>
      <c r="CM11811" s="111"/>
      <c r="CQ11811" s="111"/>
      <c r="EF11811"/>
      <c r="EG11811"/>
      <c r="EH11811"/>
      <c r="EI11811"/>
      <c r="EJ11811"/>
      <c r="EK11811"/>
    </row>
    <row r="11812" spans="1:141" s="116" customFormat="1">
      <c r="A11812" s="136"/>
      <c r="CM11812" s="111"/>
      <c r="CQ11812" s="111"/>
      <c r="EF11812"/>
      <c r="EG11812"/>
      <c r="EH11812"/>
      <c r="EI11812"/>
      <c r="EJ11812"/>
      <c r="EK11812"/>
    </row>
    <row r="11813" spans="1:141" s="116" customFormat="1">
      <c r="A11813" s="136"/>
      <c r="CM11813" s="111"/>
      <c r="CQ11813" s="111"/>
      <c r="EF11813"/>
      <c r="EG11813"/>
      <c r="EH11813"/>
      <c r="EI11813"/>
      <c r="EJ11813"/>
      <c r="EK11813"/>
    </row>
    <row r="11814" spans="1:141" s="116" customFormat="1">
      <c r="A11814" s="136"/>
      <c r="CM11814" s="111"/>
      <c r="CQ11814" s="111"/>
      <c r="EF11814"/>
      <c r="EG11814"/>
      <c r="EH11814"/>
      <c r="EI11814"/>
      <c r="EJ11814"/>
      <c r="EK11814"/>
    </row>
    <row r="11815" spans="1:141" s="116" customFormat="1">
      <c r="A11815" s="136"/>
      <c r="CM11815" s="111"/>
      <c r="CQ11815" s="111"/>
      <c r="EF11815"/>
      <c r="EG11815"/>
      <c r="EH11815"/>
      <c r="EI11815"/>
      <c r="EJ11815"/>
      <c r="EK11815"/>
    </row>
    <row r="11816" spans="1:141" s="116" customFormat="1">
      <c r="A11816" s="136"/>
      <c r="CM11816" s="111"/>
      <c r="CQ11816" s="111"/>
      <c r="EF11816"/>
      <c r="EG11816"/>
      <c r="EH11816"/>
      <c r="EI11816"/>
      <c r="EJ11816"/>
      <c r="EK11816"/>
    </row>
    <row r="11817" spans="1:141" s="116" customFormat="1">
      <c r="A11817" s="136"/>
      <c r="CM11817" s="111"/>
      <c r="CQ11817" s="111"/>
      <c r="EF11817"/>
      <c r="EG11817"/>
      <c r="EH11817"/>
      <c r="EI11817"/>
      <c r="EJ11817"/>
      <c r="EK11817"/>
    </row>
    <row r="11818" spans="1:141" s="116" customFormat="1">
      <c r="A11818" s="136"/>
      <c r="CM11818" s="111"/>
      <c r="CQ11818" s="111"/>
      <c r="EF11818"/>
      <c r="EG11818"/>
      <c r="EH11818"/>
      <c r="EI11818"/>
      <c r="EJ11818"/>
      <c r="EK11818"/>
    </row>
    <row r="11819" spans="1:141" s="116" customFormat="1">
      <c r="A11819" s="136"/>
      <c r="CM11819" s="111"/>
      <c r="CQ11819" s="111"/>
      <c r="EF11819"/>
      <c r="EG11819"/>
      <c r="EH11819"/>
      <c r="EI11819"/>
      <c r="EJ11819"/>
      <c r="EK11819"/>
    </row>
    <row r="11820" spans="1:141" s="116" customFormat="1">
      <c r="A11820" s="136"/>
      <c r="CM11820" s="111"/>
      <c r="CQ11820" s="111"/>
      <c r="EF11820"/>
      <c r="EG11820"/>
      <c r="EH11820"/>
      <c r="EI11820"/>
      <c r="EJ11820"/>
      <c r="EK11820"/>
    </row>
    <row r="11821" spans="1:141" s="116" customFormat="1">
      <c r="A11821" s="136"/>
      <c r="CM11821" s="111"/>
      <c r="CQ11821" s="111"/>
      <c r="EF11821"/>
      <c r="EG11821"/>
      <c r="EH11821"/>
      <c r="EI11821"/>
      <c r="EJ11821"/>
      <c r="EK11821"/>
    </row>
    <row r="11822" spans="1:141" s="116" customFormat="1">
      <c r="A11822" s="136"/>
      <c r="CM11822" s="111"/>
      <c r="CQ11822" s="111"/>
      <c r="EF11822"/>
      <c r="EG11822"/>
      <c r="EH11822"/>
      <c r="EI11822"/>
      <c r="EJ11822"/>
      <c r="EK11822"/>
    </row>
    <row r="11823" spans="1:141" s="116" customFormat="1">
      <c r="A11823" s="136"/>
      <c r="CM11823" s="111"/>
      <c r="CQ11823" s="111"/>
      <c r="EF11823"/>
      <c r="EG11823"/>
      <c r="EH11823"/>
      <c r="EI11823"/>
      <c r="EJ11823"/>
      <c r="EK11823"/>
    </row>
    <row r="11824" spans="1:141" s="116" customFormat="1">
      <c r="A11824" s="136"/>
      <c r="CM11824" s="111"/>
      <c r="CQ11824" s="111"/>
      <c r="EF11824"/>
      <c r="EG11824"/>
      <c r="EH11824"/>
      <c r="EI11824"/>
      <c r="EJ11824"/>
      <c r="EK11824"/>
    </row>
    <row r="11825" spans="1:141" s="116" customFormat="1">
      <c r="A11825" s="136"/>
      <c r="CM11825" s="111"/>
      <c r="CQ11825" s="111"/>
      <c r="EF11825"/>
      <c r="EG11825"/>
      <c r="EH11825"/>
      <c r="EI11825"/>
      <c r="EJ11825"/>
      <c r="EK11825"/>
    </row>
    <row r="11826" spans="1:141" s="116" customFormat="1">
      <c r="A11826" s="136"/>
      <c r="CM11826" s="111"/>
      <c r="CQ11826" s="111"/>
      <c r="EF11826"/>
      <c r="EG11826"/>
      <c r="EH11826"/>
      <c r="EI11826"/>
      <c r="EJ11826"/>
      <c r="EK11826"/>
    </row>
    <row r="11827" spans="1:141" s="116" customFormat="1">
      <c r="A11827" s="136"/>
      <c r="CM11827" s="111"/>
      <c r="CQ11827" s="111"/>
      <c r="EF11827"/>
      <c r="EG11827"/>
      <c r="EH11827"/>
      <c r="EI11827"/>
      <c r="EJ11827"/>
      <c r="EK11827"/>
    </row>
    <row r="11828" spans="1:141" s="116" customFormat="1">
      <c r="A11828" s="136"/>
      <c r="CM11828" s="111"/>
      <c r="CQ11828" s="111"/>
      <c r="EF11828"/>
      <c r="EG11828"/>
      <c r="EH11828"/>
      <c r="EI11828"/>
      <c r="EJ11828"/>
      <c r="EK11828"/>
    </row>
    <row r="11829" spans="1:141" s="116" customFormat="1">
      <c r="A11829" s="136"/>
      <c r="CM11829" s="111"/>
      <c r="CQ11829" s="111"/>
      <c r="EF11829"/>
      <c r="EG11829"/>
      <c r="EH11829"/>
      <c r="EI11829"/>
      <c r="EJ11829"/>
      <c r="EK11829"/>
    </row>
    <row r="11830" spans="1:141" s="116" customFormat="1">
      <c r="A11830" s="136"/>
      <c r="CM11830" s="111"/>
      <c r="CQ11830" s="111"/>
      <c r="EF11830"/>
      <c r="EG11830"/>
      <c r="EH11830"/>
      <c r="EI11830"/>
      <c r="EJ11830"/>
      <c r="EK11830"/>
    </row>
    <row r="11831" spans="1:141" s="116" customFormat="1">
      <c r="A11831" s="136"/>
      <c r="CM11831" s="111"/>
      <c r="CQ11831" s="111"/>
      <c r="EF11831"/>
      <c r="EG11831"/>
      <c r="EH11831"/>
      <c r="EI11831"/>
      <c r="EJ11831"/>
      <c r="EK11831"/>
    </row>
    <row r="11832" spans="1:141" s="116" customFormat="1">
      <c r="A11832" s="136"/>
      <c r="CM11832" s="111"/>
      <c r="CQ11832" s="111"/>
      <c r="EF11832"/>
      <c r="EG11832"/>
      <c r="EH11832"/>
      <c r="EI11832"/>
      <c r="EJ11832"/>
      <c r="EK11832"/>
    </row>
    <row r="11833" spans="1:141" s="116" customFormat="1">
      <c r="A11833" s="136"/>
      <c r="CM11833" s="111"/>
      <c r="CQ11833" s="111"/>
      <c r="EF11833"/>
      <c r="EG11833"/>
      <c r="EH11833"/>
      <c r="EI11833"/>
      <c r="EJ11833"/>
      <c r="EK11833"/>
    </row>
    <row r="11834" spans="1:141" s="116" customFormat="1">
      <c r="A11834" s="136"/>
      <c r="CM11834" s="111"/>
      <c r="CQ11834" s="111"/>
      <c r="EF11834"/>
      <c r="EG11834"/>
      <c r="EH11834"/>
      <c r="EI11834"/>
      <c r="EJ11834"/>
      <c r="EK11834"/>
    </row>
    <row r="11835" spans="1:141" s="116" customFormat="1">
      <c r="A11835" s="136"/>
      <c r="CM11835" s="111"/>
      <c r="CQ11835" s="111"/>
      <c r="EF11835"/>
      <c r="EG11835"/>
      <c r="EH11835"/>
      <c r="EI11835"/>
      <c r="EJ11835"/>
      <c r="EK11835"/>
    </row>
    <row r="11836" spans="1:141" s="116" customFormat="1">
      <c r="A11836" s="136"/>
      <c r="CM11836" s="111"/>
      <c r="CQ11836" s="111"/>
      <c r="EF11836"/>
      <c r="EG11836"/>
      <c r="EH11836"/>
      <c r="EI11836"/>
      <c r="EJ11836"/>
      <c r="EK11836"/>
    </row>
    <row r="11837" spans="1:141" s="116" customFormat="1">
      <c r="A11837" s="136"/>
      <c r="CM11837" s="111"/>
      <c r="CQ11837" s="111"/>
      <c r="EF11837"/>
      <c r="EG11837"/>
      <c r="EH11837"/>
      <c r="EI11837"/>
      <c r="EJ11837"/>
      <c r="EK11837"/>
    </row>
    <row r="11838" spans="1:141" s="116" customFormat="1">
      <c r="A11838" s="136"/>
      <c r="CM11838" s="111"/>
      <c r="CQ11838" s="111"/>
      <c r="EF11838"/>
      <c r="EG11838"/>
      <c r="EH11838"/>
      <c r="EI11838"/>
      <c r="EJ11838"/>
      <c r="EK11838"/>
    </row>
    <row r="11839" spans="1:141" s="116" customFormat="1">
      <c r="A11839" s="136"/>
      <c r="CM11839" s="111"/>
      <c r="CQ11839" s="111"/>
      <c r="EF11839"/>
      <c r="EG11839"/>
      <c r="EH11839"/>
      <c r="EI11839"/>
      <c r="EJ11839"/>
      <c r="EK11839"/>
    </row>
    <row r="11840" spans="1:141" s="116" customFormat="1">
      <c r="A11840" s="136"/>
      <c r="CM11840" s="111"/>
      <c r="CQ11840" s="111"/>
      <c r="EF11840"/>
      <c r="EG11840"/>
      <c r="EH11840"/>
      <c r="EI11840"/>
      <c r="EJ11840"/>
      <c r="EK11840"/>
    </row>
    <row r="11841" spans="1:141" s="116" customFormat="1">
      <c r="A11841" s="136"/>
      <c r="CM11841" s="111"/>
      <c r="CQ11841" s="111"/>
      <c r="EF11841"/>
      <c r="EG11841"/>
      <c r="EH11841"/>
      <c r="EI11841"/>
      <c r="EJ11841"/>
      <c r="EK11841"/>
    </row>
    <row r="11842" spans="1:141" s="116" customFormat="1">
      <c r="A11842" s="136"/>
      <c r="CM11842" s="111"/>
      <c r="CQ11842" s="111"/>
      <c r="EF11842"/>
      <c r="EG11842"/>
      <c r="EH11842"/>
      <c r="EI11842"/>
      <c r="EJ11842"/>
      <c r="EK11842"/>
    </row>
    <row r="11843" spans="1:141" s="116" customFormat="1">
      <c r="A11843" s="136"/>
      <c r="CM11843" s="111"/>
      <c r="CQ11843" s="111"/>
      <c r="EF11843"/>
      <c r="EG11843"/>
      <c r="EH11843"/>
      <c r="EI11843"/>
      <c r="EJ11843"/>
      <c r="EK11843"/>
    </row>
    <row r="11844" spans="1:141" s="116" customFormat="1">
      <c r="A11844" s="136"/>
      <c r="CM11844" s="111"/>
      <c r="CQ11844" s="111"/>
      <c r="EF11844"/>
      <c r="EG11844"/>
      <c r="EH11844"/>
      <c r="EI11844"/>
      <c r="EJ11844"/>
      <c r="EK11844"/>
    </row>
    <row r="11845" spans="1:141" s="116" customFormat="1">
      <c r="A11845" s="136"/>
      <c r="CM11845" s="111"/>
      <c r="CQ11845" s="111"/>
      <c r="EF11845"/>
      <c r="EG11845"/>
      <c r="EH11845"/>
      <c r="EI11845"/>
      <c r="EJ11845"/>
      <c r="EK11845"/>
    </row>
    <row r="11846" spans="1:141" s="116" customFormat="1">
      <c r="A11846" s="136"/>
      <c r="CM11846" s="111"/>
      <c r="CQ11846" s="111"/>
      <c r="EF11846"/>
      <c r="EG11846"/>
      <c r="EH11846"/>
      <c r="EI11846"/>
      <c r="EJ11846"/>
      <c r="EK11846"/>
    </row>
    <row r="11847" spans="1:141" s="116" customFormat="1">
      <c r="A11847" s="136"/>
      <c r="CM11847" s="111"/>
      <c r="CQ11847" s="111"/>
      <c r="EF11847"/>
      <c r="EG11847"/>
      <c r="EH11847"/>
      <c r="EI11847"/>
      <c r="EJ11847"/>
      <c r="EK11847"/>
    </row>
    <row r="11848" spans="1:141" s="116" customFormat="1">
      <c r="A11848" s="136"/>
      <c r="CM11848" s="111"/>
      <c r="CQ11848" s="111"/>
      <c r="EF11848"/>
      <c r="EG11848"/>
      <c r="EH11848"/>
      <c r="EI11848"/>
      <c r="EJ11848"/>
      <c r="EK11848"/>
    </row>
    <row r="11849" spans="1:141" s="116" customFormat="1">
      <c r="A11849" s="136"/>
      <c r="CM11849" s="111"/>
      <c r="CQ11849" s="111"/>
      <c r="EF11849"/>
      <c r="EG11849"/>
      <c r="EH11849"/>
      <c r="EI11849"/>
      <c r="EJ11849"/>
      <c r="EK11849"/>
    </row>
    <row r="11850" spans="1:141" s="116" customFormat="1">
      <c r="A11850" s="136"/>
      <c r="CM11850" s="111"/>
      <c r="CQ11850" s="111"/>
      <c r="EF11850"/>
      <c r="EG11850"/>
      <c r="EH11850"/>
      <c r="EI11850"/>
      <c r="EJ11850"/>
      <c r="EK11850"/>
    </row>
    <row r="11851" spans="1:141" s="116" customFormat="1">
      <c r="A11851" s="136"/>
      <c r="CM11851" s="111"/>
      <c r="CQ11851" s="111"/>
      <c r="EF11851"/>
      <c r="EG11851"/>
      <c r="EH11851"/>
      <c r="EI11851"/>
      <c r="EJ11851"/>
      <c r="EK11851"/>
    </row>
    <row r="11852" spans="1:141" s="116" customFormat="1">
      <c r="A11852" s="136"/>
      <c r="CM11852" s="111"/>
      <c r="CQ11852" s="111"/>
      <c r="EF11852"/>
      <c r="EG11852"/>
      <c r="EH11852"/>
      <c r="EI11852"/>
      <c r="EJ11852"/>
      <c r="EK11852"/>
    </row>
    <row r="11853" spans="1:141" s="116" customFormat="1">
      <c r="A11853" s="136"/>
      <c r="CM11853" s="111"/>
      <c r="CQ11853" s="111"/>
      <c r="EF11853"/>
      <c r="EG11853"/>
      <c r="EH11853"/>
      <c r="EI11853"/>
      <c r="EJ11853"/>
      <c r="EK11853"/>
    </row>
    <row r="11854" spans="1:141" s="116" customFormat="1">
      <c r="A11854" s="136"/>
      <c r="CM11854" s="111"/>
      <c r="CQ11854" s="111"/>
      <c r="EF11854"/>
      <c r="EG11854"/>
      <c r="EH11854"/>
      <c r="EI11854"/>
      <c r="EJ11854"/>
      <c r="EK11854"/>
    </row>
    <row r="11855" spans="1:141" s="116" customFormat="1">
      <c r="A11855" s="136"/>
      <c r="CM11855" s="111"/>
      <c r="CQ11855" s="111"/>
      <c r="EF11855"/>
      <c r="EG11855"/>
      <c r="EH11855"/>
      <c r="EI11855"/>
      <c r="EJ11855"/>
      <c r="EK11855"/>
    </row>
    <row r="11856" spans="1:141" s="116" customFormat="1">
      <c r="A11856" s="136"/>
      <c r="CM11856" s="111"/>
      <c r="CQ11856" s="111"/>
      <c r="EF11856"/>
      <c r="EG11856"/>
      <c r="EH11856"/>
      <c r="EI11856"/>
      <c r="EJ11856"/>
      <c r="EK11856"/>
    </row>
    <row r="11857" spans="1:141" s="116" customFormat="1">
      <c r="A11857" s="136"/>
      <c r="CM11857" s="111"/>
      <c r="CQ11857" s="111"/>
      <c r="EF11857"/>
      <c r="EG11857"/>
      <c r="EH11857"/>
      <c r="EI11857"/>
      <c r="EJ11857"/>
      <c r="EK11857"/>
    </row>
    <row r="11858" spans="1:141" s="116" customFormat="1">
      <c r="A11858" s="136"/>
      <c r="CM11858" s="111"/>
      <c r="CQ11858" s="111"/>
      <c r="EF11858"/>
      <c r="EG11858"/>
      <c r="EH11858"/>
      <c r="EI11858"/>
      <c r="EJ11858"/>
      <c r="EK11858"/>
    </row>
    <row r="11859" spans="1:141" s="116" customFormat="1">
      <c r="A11859" s="136"/>
      <c r="CM11859" s="111"/>
      <c r="CQ11859" s="111"/>
      <c r="EF11859"/>
      <c r="EG11859"/>
      <c r="EH11859"/>
      <c r="EI11859"/>
      <c r="EJ11859"/>
      <c r="EK11859"/>
    </row>
    <row r="11860" spans="1:141" s="116" customFormat="1">
      <c r="A11860" s="136"/>
      <c r="CM11860" s="111"/>
      <c r="CQ11860" s="111"/>
      <c r="EF11860"/>
      <c r="EG11860"/>
      <c r="EH11860"/>
      <c r="EI11860"/>
      <c r="EJ11860"/>
      <c r="EK11860"/>
    </row>
    <row r="11861" spans="1:141" s="116" customFormat="1">
      <c r="A11861" s="136"/>
      <c r="CM11861" s="111"/>
      <c r="CQ11861" s="111"/>
      <c r="EF11861"/>
      <c r="EG11861"/>
      <c r="EH11861"/>
      <c r="EI11861"/>
      <c r="EJ11861"/>
      <c r="EK11861"/>
    </row>
    <row r="11862" spans="1:141" s="116" customFormat="1">
      <c r="A11862" s="136"/>
      <c r="CM11862" s="111"/>
      <c r="CQ11862" s="111"/>
      <c r="EF11862"/>
      <c r="EG11862"/>
      <c r="EH11862"/>
      <c r="EI11862"/>
      <c r="EJ11862"/>
      <c r="EK11862"/>
    </row>
    <row r="11863" spans="1:141" s="116" customFormat="1">
      <c r="A11863" s="136"/>
      <c r="CM11863" s="111"/>
      <c r="CQ11863" s="111"/>
      <c r="EF11863"/>
      <c r="EG11863"/>
      <c r="EH11863"/>
      <c r="EI11863"/>
      <c r="EJ11863"/>
      <c r="EK11863"/>
    </row>
    <row r="11864" spans="1:141" s="116" customFormat="1">
      <c r="A11864" s="136"/>
      <c r="CM11864" s="111"/>
      <c r="CQ11864" s="111"/>
      <c r="EF11864"/>
      <c r="EG11864"/>
      <c r="EH11864"/>
      <c r="EI11864"/>
      <c r="EJ11864"/>
      <c r="EK11864"/>
    </row>
    <row r="11865" spans="1:141" s="116" customFormat="1">
      <c r="A11865" s="136"/>
      <c r="CM11865" s="111"/>
      <c r="CQ11865" s="111"/>
      <c r="EF11865"/>
      <c r="EG11865"/>
      <c r="EH11865"/>
      <c r="EI11865"/>
      <c r="EJ11865"/>
      <c r="EK11865"/>
    </row>
    <row r="11866" spans="1:141" s="116" customFormat="1">
      <c r="A11866" s="136"/>
      <c r="CM11866" s="111"/>
      <c r="CQ11866" s="111"/>
      <c r="EF11866"/>
      <c r="EG11866"/>
      <c r="EH11866"/>
      <c r="EI11866"/>
      <c r="EJ11866"/>
      <c r="EK11866"/>
    </row>
    <row r="11867" spans="1:141" s="116" customFormat="1">
      <c r="A11867" s="136"/>
      <c r="CM11867" s="111"/>
      <c r="CQ11867" s="111"/>
      <c r="EF11867"/>
      <c r="EG11867"/>
      <c r="EH11867"/>
      <c r="EI11867"/>
      <c r="EJ11867"/>
      <c r="EK11867"/>
    </row>
    <row r="11868" spans="1:141" s="116" customFormat="1">
      <c r="A11868" s="136"/>
      <c r="CM11868" s="111"/>
      <c r="CQ11868" s="111"/>
      <c r="EF11868"/>
      <c r="EG11868"/>
      <c r="EH11868"/>
      <c r="EI11868"/>
      <c r="EJ11868"/>
      <c r="EK11868"/>
    </row>
    <row r="11869" spans="1:141" s="116" customFormat="1">
      <c r="A11869" s="136"/>
      <c r="CM11869" s="111"/>
      <c r="CQ11869" s="111"/>
      <c r="EF11869"/>
      <c r="EG11869"/>
      <c r="EH11869"/>
      <c r="EI11869"/>
      <c r="EJ11869"/>
      <c r="EK11869"/>
    </row>
    <row r="11870" spans="1:141" s="116" customFormat="1">
      <c r="A11870" s="136"/>
      <c r="CM11870" s="111"/>
      <c r="CQ11870" s="111"/>
      <c r="EF11870"/>
      <c r="EG11870"/>
      <c r="EH11870"/>
      <c r="EI11870"/>
      <c r="EJ11870"/>
      <c r="EK11870"/>
    </row>
    <row r="11871" spans="1:141" s="116" customFormat="1">
      <c r="A11871" s="136"/>
      <c r="CM11871" s="111"/>
      <c r="CQ11871" s="111"/>
      <c r="EF11871"/>
      <c r="EG11871"/>
      <c r="EH11871"/>
      <c r="EI11871"/>
      <c r="EJ11871"/>
      <c r="EK11871"/>
    </row>
    <row r="11872" spans="1:141" s="116" customFormat="1">
      <c r="A11872" s="136"/>
      <c r="CM11872" s="111"/>
      <c r="CQ11872" s="111"/>
      <c r="EF11872"/>
      <c r="EG11872"/>
      <c r="EH11872"/>
      <c r="EI11872"/>
      <c r="EJ11872"/>
      <c r="EK11872"/>
    </row>
    <row r="11873" spans="1:141" s="116" customFormat="1">
      <c r="A11873" s="136"/>
      <c r="CM11873" s="111"/>
      <c r="CQ11873" s="111"/>
      <c r="EF11873"/>
      <c r="EG11873"/>
      <c r="EH11873"/>
      <c r="EI11873"/>
      <c r="EJ11873"/>
      <c r="EK11873"/>
    </row>
    <row r="11874" spans="1:141" s="116" customFormat="1">
      <c r="A11874" s="136"/>
      <c r="CM11874" s="111"/>
      <c r="CQ11874" s="111"/>
      <c r="EF11874"/>
      <c r="EG11874"/>
      <c r="EH11874"/>
      <c r="EI11874"/>
      <c r="EJ11874"/>
      <c r="EK11874"/>
    </row>
    <row r="11875" spans="1:141" s="116" customFormat="1">
      <c r="A11875" s="136"/>
      <c r="CM11875" s="111"/>
      <c r="CQ11875" s="111"/>
      <c r="EF11875"/>
      <c r="EG11875"/>
      <c r="EH11875"/>
      <c r="EI11875"/>
      <c r="EJ11875"/>
      <c r="EK11875"/>
    </row>
    <row r="11876" spans="1:141" s="116" customFormat="1">
      <c r="A11876" s="136"/>
      <c r="CM11876" s="111"/>
      <c r="CQ11876" s="111"/>
      <c r="EF11876"/>
      <c r="EG11876"/>
      <c r="EH11876"/>
      <c r="EI11876"/>
      <c r="EJ11876"/>
      <c r="EK11876"/>
    </row>
    <row r="11877" spans="1:141" s="116" customFormat="1">
      <c r="A11877" s="136"/>
      <c r="CM11877" s="111"/>
      <c r="CQ11877" s="111"/>
      <c r="EF11877"/>
      <c r="EG11877"/>
      <c r="EH11877"/>
      <c r="EI11877"/>
      <c r="EJ11877"/>
      <c r="EK11877"/>
    </row>
    <row r="11878" spans="1:141" s="116" customFormat="1">
      <c r="A11878" s="136"/>
      <c r="CM11878" s="111"/>
      <c r="CQ11878" s="111"/>
      <c r="EF11878"/>
      <c r="EG11878"/>
      <c r="EH11878"/>
      <c r="EI11878"/>
      <c r="EJ11878"/>
      <c r="EK11878"/>
    </row>
    <row r="11879" spans="1:141" s="116" customFormat="1">
      <c r="A11879" s="136"/>
      <c r="CM11879" s="111"/>
      <c r="CQ11879" s="111"/>
      <c r="EF11879"/>
      <c r="EG11879"/>
      <c r="EH11879"/>
      <c r="EI11879"/>
      <c r="EJ11879"/>
      <c r="EK11879"/>
    </row>
    <row r="11880" spans="1:141" s="116" customFormat="1">
      <c r="A11880" s="136"/>
      <c r="CM11880" s="111"/>
      <c r="CQ11880" s="111"/>
      <c r="EF11880"/>
      <c r="EG11880"/>
      <c r="EH11880"/>
      <c r="EI11880"/>
      <c r="EJ11880"/>
      <c r="EK11880"/>
    </row>
    <row r="11881" spans="1:141" s="116" customFormat="1">
      <c r="A11881" s="136"/>
      <c r="CM11881" s="111"/>
      <c r="CQ11881" s="111"/>
      <c r="EF11881"/>
      <c r="EG11881"/>
      <c r="EH11881"/>
      <c r="EI11881"/>
      <c r="EJ11881"/>
      <c r="EK11881"/>
    </row>
    <row r="11882" spans="1:141" s="116" customFormat="1">
      <c r="A11882" s="136"/>
      <c r="CM11882" s="111"/>
      <c r="CQ11882" s="111"/>
      <c r="EF11882"/>
      <c r="EG11882"/>
      <c r="EH11882"/>
      <c r="EI11882"/>
      <c r="EJ11882"/>
      <c r="EK11882"/>
    </row>
    <row r="11883" spans="1:141" s="116" customFormat="1">
      <c r="A11883" s="136"/>
      <c r="CM11883" s="111"/>
      <c r="CQ11883" s="111"/>
      <c r="EF11883"/>
      <c r="EG11883"/>
      <c r="EH11883"/>
      <c r="EI11883"/>
      <c r="EJ11883"/>
      <c r="EK11883"/>
    </row>
    <row r="11884" spans="1:141" s="116" customFormat="1">
      <c r="A11884" s="136"/>
      <c r="CM11884" s="111"/>
      <c r="CQ11884" s="111"/>
      <c r="EF11884"/>
      <c r="EG11884"/>
      <c r="EH11884"/>
      <c r="EI11884"/>
      <c r="EJ11884"/>
      <c r="EK11884"/>
    </row>
    <row r="11885" spans="1:141" s="116" customFormat="1">
      <c r="A11885" s="136"/>
      <c r="CM11885" s="111"/>
      <c r="CQ11885" s="111"/>
      <c r="EF11885"/>
      <c r="EG11885"/>
      <c r="EH11885"/>
      <c r="EI11885"/>
      <c r="EJ11885"/>
      <c r="EK11885"/>
    </row>
    <row r="11886" spans="1:141" s="116" customFormat="1">
      <c r="A11886" s="136"/>
      <c r="CM11886" s="111"/>
      <c r="CQ11886" s="111"/>
      <c r="EF11886"/>
      <c r="EG11886"/>
      <c r="EH11886"/>
      <c r="EI11886"/>
      <c r="EJ11886"/>
      <c r="EK11886"/>
    </row>
    <row r="11887" spans="1:141" s="116" customFormat="1">
      <c r="A11887" s="136"/>
      <c r="CM11887" s="111"/>
      <c r="CQ11887" s="111"/>
      <c r="EF11887"/>
      <c r="EG11887"/>
      <c r="EH11887"/>
      <c r="EI11887"/>
      <c r="EJ11887"/>
      <c r="EK11887"/>
    </row>
    <row r="11888" spans="1:141" s="116" customFormat="1">
      <c r="A11888" s="136"/>
      <c r="CM11888" s="111"/>
      <c r="CQ11888" s="111"/>
      <c r="EF11888"/>
      <c r="EG11888"/>
      <c r="EH11888"/>
      <c r="EI11888"/>
      <c r="EJ11888"/>
      <c r="EK11888"/>
    </row>
    <row r="11889" spans="1:141" s="116" customFormat="1">
      <c r="A11889" s="136"/>
      <c r="CM11889" s="111"/>
      <c r="CQ11889" s="111"/>
      <c r="EF11889"/>
      <c r="EG11889"/>
      <c r="EH11889"/>
      <c r="EI11889"/>
      <c r="EJ11889"/>
      <c r="EK11889"/>
    </row>
    <row r="11890" spans="1:141" s="116" customFormat="1">
      <c r="A11890" s="136"/>
      <c r="CM11890" s="111"/>
      <c r="CQ11890" s="111"/>
      <c r="EF11890"/>
      <c r="EG11890"/>
      <c r="EH11890"/>
      <c r="EI11890"/>
      <c r="EJ11890"/>
      <c r="EK11890"/>
    </row>
    <row r="11891" spans="1:141" s="116" customFormat="1">
      <c r="A11891" s="136"/>
      <c r="CM11891" s="111"/>
      <c r="CQ11891" s="111"/>
      <c r="EF11891"/>
      <c r="EG11891"/>
      <c r="EH11891"/>
      <c r="EI11891"/>
      <c r="EJ11891"/>
      <c r="EK11891"/>
    </row>
    <row r="11892" spans="1:141" s="116" customFormat="1">
      <c r="A11892" s="136"/>
      <c r="CM11892" s="111"/>
      <c r="CQ11892" s="111"/>
      <c r="EF11892"/>
      <c r="EG11892"/>
      <c r="EH11892"/>
      <c r="EI11892"/>
      <c r="EJ11892"/>
      <c r="EK11892"/>
    </row>
    <row r="11893" spans="1:141" s="116" customFormat="1">
      <c r="A11893" s="136"/>
      <c r="CM11893" s="111"/>
      <c r="CQ11893" s="111"/>
      <c r="EF11893"/>
      <c r="EG11893"/>
      <c r="EH11893"/>
      <c r="EI11893"/>
      <c r="EJ11893"/>
      <c r="EK11893"/>
    </row>
    <row r="11894" spans="1:141" s="116" customFormat="1">
      <c r="A11894" s="136"/>
      <c r="CM11894" s="111"/>
      <c r="CQ11894" s="111"/>
      <c r="EF11894"/>
      <c r="EG11894"/>
      <c r="EH11894"/>
      <c r="EI11894"/>
      <c r="EJ11894"/>
      <c r="EK11894"/>
    </row>
    <row r="11895" spans="1:141" s="116" customFormat="1">
      <c r="A11895" s="136"/>
      <c r="CM11895" s="111"/>
      <c r="CQ11895" s="111"/>
      <c r="EF11895"/>
      <c r="EG11895"/>
      <c r="EH11895"/>
      <c r="EI11895"/>
      <c r="EJ11895"/>
      <c r="EK11895"/>
    </row>
    <row r="11896" spans="1:141" s="116" customFormat="1">
      <c r="A11896" s="136"/>
      <c r="CM11896" s="111"/>
      <c r="CQ11896" s="111"/>
      <c r="EF11896"/>
      <c r="EG11896"/>
      <c r="EH11896"/>
      <c r="EI11896"/>
      <c r="EJ11896"/>
      <c r="EK11896"/>
    </row>
    <row r="11897" spans="1:141" s="116" customFormat="1">
      <c r="A11897" s="136"/>
      <c r="CM11897" s="111"/>
      <c r="CQ11897" s="111"/>
      <c r="EF11897"/>
      <c r="EG11897"/>
      <c r="EH11897"/>
      <c r="EI11897"/>
      <c r="EJ11897"/>
      <c r="EK11897"/>
    </row>
    <row r="11898" spans="1:141" s="116" customFormat="1">
      <c r="A11898" s="136"/>
      <c r="CM11898" s="111"/>
      <c r="CQ11898" s="111"/>
      <c r="EF11898"/>
      <c r="EG11898"/>
      <c r="EH11898"/>
      <c r="EI11898"/>
      <c r="EJ11898"/>
      <c r="EK11898"/>
    </row>
    <row r="11899" spans="1:141" s="116" customFormat="1">
      <c r="A11899" s="136"/>
      <c r="CM11899" s="111"/>
      <c r="CQ11899" s="111"/>
      <c r="EF11899"/>
      <c r="EG11899"/>
      <c r="EH11899"/>
      <c r="EI11899"/>
      <c r="EJ11899"/>
      <c r="EK11899"/>
    </row>
    <row r="11900" spans="1:141" s="116" customFormat="1">
      <c r="A11900" s="136"/>
      <c r="CM11900" s="111"/>
      <c r="CQ11900" s="111"/>
      <c r="EF11900"/>
      <c r="EG11900"/>
      <c r="EH11900"/>
      <c r="EI11900"/>
      <c r="EJ11900"/>
      <c r="EK11900"/>
    </row>
    <row r="11901" spans="1:141" s="116" customFormat="1">
      <c r="A11901" s="136"/>
      <c r="CM11901" s="111"/>
      <c r="CQ11901" s="111"/>
      <c r="EF11901"/>
      <c r="EG11901"/>
      <c r="EH11901"/>
      <c r="EI11901"/>
      <c r="EJ11901"/>
      <c r="EK11901"/>
    </row>
    <row r="11902" spans="1:141" s="116" customFormat="1">
      <c r="A11902" s="136"/>
      <c r="CM11902" s="111"/>
      <c r="CQ11902" s="111"/>
      <c r="EF11902"/>
      <c r="EG11902"/>
      <c r="EH11902"/>
      <c r="EI11902"/>
      <c r="EJ11902"/>
      <c r="EK11902"/>
    </row>
    <row r="11903" spans="1:141" s="116" customFormat="1">
      <c r="A11903" s="136"/>
      <c r="CM11903" s="111"/>
      <c r="CQ11903" s="111"/>
      <c r="EF11903"/>
      <c r="EG11903"/>
      <c r="EH11903"/>
      <c r="EI11903"/>
      <c r="EJ11903"/>
      <c r="EK11903"/>
    </row>
    <row r="11904" spans="1:141" s="116" customFormat="1">
      <c r="A11904" s="136"/>
      <c r="CM11904" s="111"/>
      <c r="CQ11904" s="111"/>
      <c r="EF11904"/>
      <c r="EG11904"/>
      <c r="EH11904"/>
      <c r="EI11904"/>
      <c r="EJ11904"/>
      <c r="EK11904"/>
    </row>
    <row r="11905" spans="1:141" s="116" customFormat="1">
      <c r="A11905" s="136"/>
      <c r="CM11905" s="111"/>
      <c r="CQ11905" s="111"/>
      <c r="EF11905"/>
      <c r="EG11905"/>
      <c r="EH11905"/>
      <c r="EI11905"/>
      <c r="EJ11905"/>
      <c r="EK11905"/>
    </row>
    <row r="11906" spans="1:141" s="116" customFormat="1">
      <c r="A11906" s="136"/>
      <c r="CM11906" s="111"/>
      <c r="CQ11906" s="111"/>
      <c r="EF11906"/>
      <c r="EG11906"/>
      <c r="EH11906"/>
      <c r="EI11906"/>
      <c r="EJ11906"/>
      <c r="EK11906"/>
    </row>
    <row r="11907" spans="1:141" s="116" customFormat="1">
      <c r="A11907" s="136"/>
      <c r="CM11907" s="111"/>
      <c r="CQ11907" s="111"/>
      <c r="EF11907"/>
      <c r="EG11907"/>
      <c r="EH11907"/>
      <c r="EI11907"/>
      <c r="EJ11907"/>
      <c r="EK11907"/>
    </row>
    <row r="11908" spans="1:141" s="116" customFormat="1">
      <c r="A11908" s="136"/>
      <c r="CM11908" s="111"/>
      <c r="CQ11908" s="111"/>
      <c r="EF11908"/>
      <c r="EG11908"/>
      <c r="EH11908"/>
      <c r="EI11908"/>
      <c r="EJ11908"/>
      <c r="EK11908"/>
    </row>
    <row r="11909" spans="1:141" s="116" customFormat="1">
      <c r="A11909" s="136"/>
      <c r="CM11909" s="111"/>
      <c r="CQ11909" s="111"/>
      <c r="EF11909"/>
      <c r="EG11909"/>
      <c r="EH11909"/>
      <c r="EI11909"/>
      <c r="EJ11909"/>
      <c r="EK11909"/>
    </row>
    <row r="11910" spans="1:141" s="116" customFormat="1">
      <c r="A11910" s="136"/>
      <c r="CM11910" s="111"/>
      <c r="CQ11910" s="111"/>
      <c r="EF11910"/>
      <c r="EG11910"/>
      <c r="EH11910"/>
      <c r="EI11910"/>
      <c r="EJ11910"/>
      <c r="EK11910"/>
    </row>
    <row r="11911" spans="1:141" s="116" customFormat="1">
      <c r="A11911" s="136"/>
      <c r="CM11911" s="111"/>
      <c r="CQ11911" s="111"/>
      <c r="EF11911"/>
      <c r="EG11911"/>
      <c r="EH11911"/>
      <c r="EI11911"/>
      <c r="EJ11911"/>
      <c r="EK11911"/>
    </row>
    <row r="11912" spans="1:141" s="116" customFormat="1">
      <c r="A11912" s="136"/>
      <c r="CM11912" s="111"/>
      <c r="CQ11912" s="111"/>
      <c r="EF11912"/>
      <c r="EG11912"/>
      <c r="EH11912"/>
      <c r="EI11912"/>
      <c r="EJ11912"/>
      <c r="EK11912"/>
    </row>
    <row r="11913" spans="1:141" s="116" customFormat="1">
      <c r="A11913" s="136"/>
      <c r="CM11913" s="111"/>
      <c r="CQ11913" s="111"/>
      <c r="EF11913"/>
      <c r="EG11913"/>
      <c r="EH11913"/>
      <c r="EI11913"/>
      <c r="EJ11913"/>
      <c r="EK11913"/>
    </row>
    <row r="11914" spans="1:141" s="116" customFormat="1">
      <c r="A11914" s="136"/>
      <c r="CM11914" s="111"/>
      <c r="CQ11914" s="111"/>
      <c r="EF11914"/>
      <c r="EG11914"/>
      <c r="EH11914"/>
      <c r="EI11914"/>
      <c r="EJ11914"/>
      <c r="EK11914"/>
    </row>
    <row r="11915" spans="1:141" s="116" customFormat="1">
      <c r="A11915" s="136"/>
      <c r="CM11915" s="111"/>
      <c r="CQ11915" s="111"/>
      <c r="EF11915"/>
      <c r="EG11915"/>
      <c r="EH11915"/>
      <c r="EI11915"/>
      <c r="EJ11915"/>
      <c r="EK11915"/>
    </row>
    <row r="11916" spans="1:141" s="116" customFormat="1">
      <c r="A11916" s="136"/>
      <c r="CM11916" s="111"/>
      <c r="CQ11916" s="111"/>
      <c r="EF11916"/>
      <c r="EG11916"/>
      <c r="EH11916"/>
      <c r="EI11916"/>
      <c r="EJ11916"/>
      <c r="EK11916"/>
    </row>
    <row r="11917" spans="1:141" s="116" customFormat="1">
      <c r="A11917" s="136"/>
      <c r="CM11917" s="111"/>
      <c r="CQ11917" s="111"/>
      <c r="EF11917"/>
      <c r="EG11917"/>
      <c r="EH11917"/>
      <c r="EI11917"/>
      <c r="EJ11917"/>
      <c r="EK11917"/>
    </row>
    <row r="11918" spans="1:141" s="116" customFormat="1">
      <c r="A11918" s="136"/>
      <c r="CM11918" s="111"/>
      <c r="CQ11918" s="111"/>
      <c r="EF11918"/>
      <c r="EG11918"/>
      <c r="EH11918"/>
      <c r="EI11918"/>
      <c r="EJ11918"/>
      <c r="EK11918"/>
    </row>
    <row r="11919" spans="1:141" s="116" customFormat="1">
      <c r="A11919" s="136"/>
      <c r="CM11919" s="111"/>
      <c r="CQ11919" s="111"/>
      <c r="EF11919"/>
      <c r="EG11919"/>
      <c r="EH11919"/>
      <c r="EI11919"/>
      <c r="EJ11919"/>
      <c r="EK11919"/>
    </row>
    <row r="11920" spans="1:141" s="116" customFormat="1">
      <c r="A11920" s="136"/>
      <c r="CM11920" s="111"/>
      <c r="CQ11920" s="111"/>
      <c r="EF11920"/>
      <c r="EG11920"/>
      <c r="EH11920"/>
      <c r="EI11920"/>
      <c r="EJ11920"/>
      <c r="EK11920"/>
    </row>
    <row r="11921" spans="1:141" s="116" customFormat="1">
      <c r="A11921" s="136"/>
      <c r="CM11921" s="111"/>
      <c r="CQ11921" s="111"/>
      <c r="EF11921"/>
      <c r="EG11921"/>
      <c r="EH11921"/>
      <c r="EI11921"/>
      <c r="EJ11921"/>
      <c r="EK11921"/>
    </row>
    <row r="11922" spans="1:141" s="116" customFormat="1">
      <c r="A11922" s="136"/>
      <c r="CM11922" s="111"/>
      <c r="CQ11922" s="111"/>
      <c r="EF11922"/>
      <c r="EG11922"/>
      <c r="EH11922"/>
      <c r="EI11922"/>
      <c r="EJ11922"/>
      <c r="EK11922"/>
    </row>
    <row r="11923" spans="1:141" s="116" customFormat="1">
      <c r="A11923" s="136"/>
      <c r="CM11923" s="111"/>
      <c r="CQ11923" s="111"/>
      <c r="EF11923"/>
      <c r="EG11923"/>
      <c r="EH11923"/>
      <c r="EI11923"/>
      <c r="EJ11923"/>
      <c r="EK11923"/>
    </row>
    <row r="11924" spans="1:141" s="116" customFormat="1">
      <c r="A11924" s="136"/>
      <c r="CM11924" s="111"/>
      <c r="CQ11924" s="111"/>
      <c r="EF11924"/>
      <c r="EG11924"/>
      <c r="EH11924"/>
      <c r="EI11924"/>
      <c r="EJ11924"/>
      <c r="EK11924"/>
    </row>
    <row r="11925" spans="1:141" s="116" customFormat="1">
      <c r="A11925" s="136"/>
      <c r="CM11925" s="111"/>
      <c r="CQ11925" s="111"/>
      <c r="EF11925"/>
      <c r="EG11925"/>
      <c r="EH11925"/>
      <c r="EI11925"/>
      <c r="EJ11925"/>
      <c r="EK11925"/>
    </row>
    <row r="11926" spans="1:141" s="116" customFormat="1">
      <c r="A11926" s="136"/>
      <c r="CM11926" s="111"/>
      <c r="CQ11926" s="111"/>
      <c r="EF11926"/>
      <c r="EG11926"/>
      <c r="EH11926"/>
      <c r="EI11926"/>
      <c r="EJ11926"/>
      <c r="EK11926"/>
    </row>
    <row r="11927" spans="1:141" s="116" customFormat="1">
      <c r="A11927" s="136"/>
      <c r="CM11927" s="111"/>
      <c r="CQ11927" s="111"/>
      <c r="EF11927"/>
      <c r="EG11927"/>
      <c r="EH11927"/>
      <c r="EI11927"/>
      <c r="EJ11927"/>
      <c r="EK11927"/>
    </row>
    <row r="11928" spans="1:141" s="116" customFormat="1">
      <c r="A11928" s="136"/>
      <c r="CM11928" s="111"/>
      <c r="CQ11928" s="111"/>
      <c r="EF11928"/>
      <c r="EG11928"/>
      <c r="EH11928"/>
      <c r="EI11928"/>
      <c r="EJ11928"/>
      <c r="EK11928"/>
    </row>
    <row r="11929" spans="1:141" s="116" customFormat="1">
      <c r="A11929" s="136"/>
      <c r="CM11929" s="111"/>
      <c r="CQ11929" s="111"/>
      <c r="EF11929"/>
      <c r="EG11929"/>
      <c r="EH11929"/>
      <c r="EI11929"/>
      <c r="EJ11929"/>
      <c r="EK11929"/>
    </row>
    <row r="11930" spans="1:141" s="116" customFormat="1">
      <c r="A11930" s="136"/>
      <c r="CM11930" s="111"/>
      <c r="CQ11930" s="111"/>
      <c r="EF11930"/>
      <c r="EG11930"/>
      <c r="EH11930"/>
      <c r="EI11930"/>
      <c r="EJ11930"/>
      <c r="EK11930"/>
    </row>
    <row r="11931" spans="1:141" s="116" customFormat="1">
      <c r="A11931" s="136"/>
      <c r="CM11931" s="111"/>
      <c r="CQ11931" s="111"/>
      <c r="EF11931"/>
      <c r="EG11931"/>
      <c r="EH11931"/>
      <c r="EI11931"/>
      <c r="EJ11931"/>
      <c r="EK11931"/>
    </row>
    <row r="11932" spans="1:141" s="116" customFormat="1">
      <c r="A11932" s="136"/>
      <c r="CM11932" s="111"/>
      <c r="CQ11932" s="111"/>
      <c r="EF11932"/>
      <c r="EG11932"/>
      <c r="EH11932"/>
      <c r="EI11932"/>
      <c r="EJ11932"/>
      <c r="EK11932"/>
    </row>
    <row r="11933" spans="1:141" s="116" customFormat="1">
      <c r="A11933" s="136"/>
      <c r="CM11933" s="111"/>
      <c r="CQ11933" s="111"/>
      <c r="EF11933"/>
      <c r="EG11933"/>
      <c r="EH11933"/>
      <c r="EI11933"/>
      <c r="EJ11933"/>
      <c r="EK11933"/>
    </row>
    <row r="11934" spans="1:141" s="116" customFormat="1">
      <c r="A11934" s="136"/>
      <c r="CM11934" s="111"/>
      <c r="CQ11934" s="111"/>
      <c r="EF11934"/>
      <c r="EG11934"/>
      <c r="EH11934"/>
      <c r="EI11934"/>
      <c r="EJ11934"/>
      <c r="EK11934"/>
    </row>
    <row r="11935" spans="1:141" s="116" customFormat="1">
      <c r="A11935" s="136"/>
      <c r="CM11935" s="111"/>
      <c r="CQ11935" s="111"/>
      <c r="EF11935"/>
      <c r="EG11935"/>
      <c r="EH11935"/>
      <c r="EI11935"/>
      <c r="EJ11935"/>
      <c r="EK11935"/>
    </row>
    <row r="11936" spans="1:141" s="116" customFormat="1">
      <c r="A11936" s="136"/>
      <c r="CM11936" s="111"/>
      <c r="CQ11936" s="111"/>
      <c r="EF11936"/>
      <c r="EG11936"/>
      <c r="EH11936"/>
      <c r="EI11936"/>
      <c r="EJ11936"/>
      <c r="EK11936"/>
    </row>
    <row r="11937" spans="1:141" s="116" customFormat="1">
      <c r="A11937" s="136"/>
      <c r="CM11937" s="111"/>
      <c r="CQ11937" s="111"/>
      <c r="EF11937"/>
      <c r="EG11937"/>
      <c r="EH11937"/>
      <c r="EI11937"/>
      <c r="EJ11937"/>
      <c r="EK11937"/>
    </row>
    <row r="11938" spans="1:141" s="116" customFormat="1">
      <c r="A11938" s="136"/>
      <c r="CM11938" s="111"/>
      <c r="CQ11938" s="111"/>
      <c r="EF11938"/>
      <c r="EG11938"/>
      <c r="EH11938"/>
      <c r="EI11938"/>
      <c r="EJ11938"/>
      <c r="EK11938"/>
    </row>
    <row r="11939" spans="1:141" s="116" customFormat="1">
      <c r="A11939" s="136"/>
      <c r="CM11939" s="111"/>
      <c r="CQ11939" s="111"/>
      <c r="EF11939"/>
      <c r="EG11939"/>
      <c r="EH11939"/>
      <c r="EI11939"/>
      <c r="EJ11939"/>
      <c r="EK11939"/>
    </row>
    <row r="11940" spans="1:141" s="116" customFormat="1">
      <c r="A11940" s="136"/>
      <c r="CM11940" s="111"/>
      <c r="CQ11940" s="111"/>
      <c r="EF11940"/>
      <c r="EG11940"/>
      <c r="EH11940"/>
      <c r="EI11940"/>
      <c r="EJ11940"/>
      <c r="EK11940"/>
    </row>
    <row r="11941" spans="1:141" s="116" customFormat="1">
      <c r="A11941" s="136"/>
      <c r="CM11941" s="111"/>
      <c r="CQ11941" s="111"/>
      <c r="EF11941"/>
      <c r="EG11941"/>
      <c r="EH11941"/>
      <c r="EI11941"/>
      <c r="EJ11941"/>
      <c r="EK11941"/>
    </row>
    <row r="11942" spans="1:141" s="116" customFormat="1">
      <c r="A11942" s="136"/>
      <c r="CM11942" s="111"/>
      <c r="CQ11942" s="111"/>
      <c r="EF11942"/>
      <c r="EG11942"/>
      <c r="EH11942"/>
      <c r="EI11942"/>
      <c r="EJ11942"/>
      <c r="EK11942"/>
    </row>
    <row r="11943" spans="1:141" s="116" customFormat="1">
      <c r="A11943" s="136"/>
      <c r="CM11943" s="111"/>
      <c r="CQ11943" s="111"/>
      <c r="EF11943"/>
      <c r="EG11943"/>
      <c r="EH11943"/>
      <c r="EI11943"/>
      <c r="EJ11943"/>
      <c r="EK11943"/>
    </row>
    <row r="11944" spans="1:141" s="116" customFormat="1">
      <c r="A11944" s="136"/>
      <c r="CM11944" s="111"/>
      <c r="CQ11944" s="111"/>
      <c r="EF11944"/>
      <c r="EG11944"/>
      <c r="EH11944"/>
      <c r="EI11944"/>
      <c r="EJ11944"/>
      <c r="EK11944"/>
    </row>
    <row r="11945" spans="1:141" s="116" customFormat="1">
      <c r="A11945" s="136"/>
      <c r="CM11945" s="111"/>
      <c r="CQ11945" s="111"/>
      <c r="EF11945"/>
      <c r="EG11945"/>
      <c r="EH11945"/>
      <c r="EI11945"/>
      <c r="EJ11945"/>
      <c r="EK11945"/>
    </row>
    <row r="11946" spans="1:141" s="116" customFormat="1">
      <c r="A11946" s="136"/>
      <c r="CM11946" s="111"/>
      <c r="CQ11946" s="111"/>
      <c r="EF11946"/>
      <c r="EG11946"/>
      <c r="EH11946"/>
      <c r="EI11946"/>
      <c r="EJ11946"/>
      <c r="EK11946"/>
    </row>
    <row r="11947" spans="1:141" s="116" customFormat="1">
      <c r="A11947" s="136"/>
      <c r="CM11947" s="111"/>
      <c r="CQ11947" s="111"/>
      <c r="EF11947"/>
      <c r="EG11947"/>
      <c r="EH11947"/>
      <c r="EI11947"/>
      <c r="EJ11947"/>
      <c r="EK11947"/>
    </row>
    <row r="11948" spans="1:141" s="116" customFormat="1">
      <c r="A11948" s="136"/>
      <c r="CM11948" s="111"/>
      <c r="CQ11948" s="111"/>
      <c r="EF11948"/>
      <c r="EG11948"/>
      <c r="EH11948"/>
      <c r="EI11948"/>
      <c r="EJ11948"/>
      <c r="EK11948"/>
    </row>
    <row r="11949" spans="1:141" s="116" customFormat="1">
      <c r="A11949" s="136"/>
      <c r="CM11949" s="111"/>
      <c r="CQ11949" s="111"/>
      <c r="EF11949"/>
      <c r="EG11949"/>
      <c r="EH11949"/>
      <c r="EI11949"/>
      <c r="EJ11949"/>
      <c r="EK11949"/>
    </row>
    <row r="11950" spans="1:141" s="116" customFormat="1">
      <c r="A11950" s="136"/>
      <c r="CM11950" s="111"/>
      <c r="CQ11950" s="111"/>
      <c r="EF11950"/>
      <c r="EG11950"/>
      <c r="EH11950"/>
      <c r="EI11950"/>
      <c r="EJ11950"/>
      <c r="EK11950"/>
    </row>
    <row r="11951" spans="1:141" s="116" customFormat="1">
      <c r="A11951" s="136"/>
      <c r="CM11951" s="111"/>
      <c r="CQ11951" s="111"/>
      <c r="EF11951"/>
      <c r="EG11951"/>
      <c r="EH11951"/>
      <c r="EI11951"/>
      <c r="EJ11951"/>
      <c r="EK11951"/>
    </row>
    <row r="11952" spans="1:141" s="116" customFormat="1">
      <c r="A11952" s="136"/>
      <c r="CM11952" s="111"/>
      <c r="CQ11952" s="111"/>
      <c r="EF11952"/>
      <c r="EG11952"/>
      <c r="EH11952"/>
      <c r="EI11952"/>
      <c r="EJ11952"/>
      <c r="EK11952"/>
    </row>
    <row r="11953" spans="1:141" s="116" customFormat="1">
      <c r="A11953" s="136"/>
      <c r="CM11953" s="111"/>
      <c r="CQ11953" s="111"/>
      <c r="EF11953"/>
      <c r="EG11953"/>
      <c r="EH11953"/>
      <c r="EI11953"/>
      <c r="EJ11953"/>
      <c r="EK11953"/>
    </row>
    <row r="11954" spans="1:141" s="116" customFormat="1">
      <c r="A11954" s="136"/>
      <c r="CM11954" s="111"/>
      <c r="CQ11954" s="111"/>
      <c r="EF11954"/>
      <c r="EG11954"/>
      <c r="EH11954"/>
      <c r="EI11954"/>
      <c r="EJ11954"/>
      <c r="EK11954"/>
    </row>
    <row r="11955" spans="1:141" s="116" customFormat="1">
      <c r="A11955" s="136"/>
      <c r="CM11955" s="111"/>
      <c r="CQ11955" s="111"/>
      <c r="EF11955"/>
      <c r="EG11955"/>
      <c r="EH11955"/>
      <c r="EI11955"/>
      <c r="EJ11955"/>
      <c r="EK11955"/>
    </row>
    <row r="11956" spans="1:141" s="116" customFormat="1">
      <c r="A11956" s="136"/>
      <c r="CM11956" s="111"/>
      <c r="CQ11956" s="111"/>
      <c r="EF11956"/>
      <c r="EG11956"/>
      <c r="EH11956"/>
      <c r="EI11956"/>
      <c r="EJ11956"/>
      <c r="EK11956"/>
    </row>
    <row r="11957" spans="1:141" s="116" customFormat="1">
      <c r="A11957" s="136"/>
      <c r="CM11957" s="111"/>
      <c r="CQ11957" s="111"/>
      <c r="EF11957"/>
      <c r="EG11957"/>
      <c r="EH11957"/>
      <c r="EI11957"/>
      <c r="EJ11957"/>
      <c r="EK11957"/>
    </row>
    <row r="11958" spans="1:141" s="116" customFormat="1">
      <c r="A11958" s="136"/>
      <c r="CM11958" s="111"/>
      <c r="CQ11958" s="111"/>
      <c r="EF11958"/>
      <c r="EG11958"/>
      <c r="EH11958"/>
      <c r="EI11958"/>
      <c r="EJ11958"/>
      <c r="EK11958"/>
    </row>
    <row r="11959" spans="1:141" s="116" customFormat="1">
      <c r="A11959" s="136"/>
      <c r="CM11959" s="111"/>
      <c r="CQ11959" s="111"/>
      <c r="EF11959"/>
      <c r="EG11959"/>
      <c r="EH11959"/>
      <c r="EI11959"/>
      <c r="EJ11959"/>
      <c r="EK11959"/>
    </row>
    <row r="11960" spans="1:141" s="116" customFormat="1">
      <c r="A11960" s="136"/>
      <c r="CM11960" s="111"/>
      <c r="CQ11960" s="111"/>
      <c r="EF11960"/>
      <c r="EG11960"/>
      <c r="EH11960"/>
      <c r="EI11960"/>
      <c r="EJ11960"/>
      <c r="EK11960"/>
    </row>
    <row r="11961" spans="1:141" s="116" customFormat="1">
      <c r="A11961" s="136"/>
      <c r="CM11961" s="111"/>
      <c r="CQ11961" s="111"/>
      <c r="EF11961"/>
      <c r="EG11961"/>
      <c r="EH11961"/>
      <c r="EI11961"/>
      <c r="EJ11961"/>
      <c r="EK11961"/>
    </row>
    <row r="11962" spans="1:141" s="116" customFormat="1">
      <c r="A11962" s="136"/>
      <c r="CM11962" s="111"/>
      <c r="CQ11962" s="111"/>
      <c r="EF11962"/>
      <c r="EG11962"/>
      <c r="EH11962"/>
      <c r="EI11962"/>
      <c r="EJ11962"/>
      <c r="EK11962"/>
    </row>
    <row r="11963" spans="1:141" s="116" customFormat="1">
      <c r="A11963" s="136"/>
      <c r="CM11963" s="111"/>
      <c r="CQ11963" s="111"/>
      <c r="EF11963"/>
      <c r="EG11963"/>
      <c r="EH11963"/>
      <c r="EI11963"/>
      <c r="EJ11963"/>
      <c r="EK11963"/>
    </row>
    <row r="11964" spans="1:141" s="116" customFormat="1">
      <c r="A11964" s="136"/>
      <c r="CM11964" s="111"/>
      <c r="CQ11964" s="111"/>
      <c r="EF11964"/>
      <c r="EG11964"/>
      <c r="EH11964"/>
      <c r="EI11964"/>
      <c r="EJ11964"/>
      <c r="EK11964"/>
    </row>
    <row r="11965" spans="1:141" s="116" customFormat="1">
      <c r="A11965" s="136"/>
      <c r="CM11965" s="111"/>
      <c r="CQ11965" s="111"/>
      <c r="EF11965"/>
      <c r="EG11965"/>
      <c r="EH11965"/>
      <c r="EI11965"/>
      <c r="EJ11965"/>
      <c r="EK11965"/>
    </row>
    <row r="11966" spans="1:141" s="116" customFormat="1">
      <c r="A11966" s="136"/>
      <c r="CM11966" s="111"/>
      <c r="CQ11966" s="111"/>
      <c r="EF11966"/>
      <c r="EG11966"/>
      <c r="EH11966"/>
      <c r="EI11966"/>
      <c r="EJ11966"/>
      <c r="EK11966"/>
    </row>
    <row r="11967" spans="1:141" s="116" customFormat="1">
      <c r="A11967" s="136"/>
      <c r="CM11967" s="111"/>
      <c r="CQ11967" s="111"/>
      <c r="EF11967"/>
      <c r="EG11967"/>
      <c r="EH11967"/>
      <c r="EI11967"/>
      <c r="EJ11967"/>
      <c r="EK11967"/>
    </row>
    <row r="11968" spans="1:141" s="116" customFormat="1">
      <c r="A11968" s="136"/>
      <c r="CM11968" s="111"/>
      <c r="CQ11968" s="111"/>
      <c r="EF11968"/>
      <c r="EG11968"/>
      <c r="EH11968"/>
      <c r="EI11968"/>
      <c r="EJ11968"/>
      <c r="EK11968"/>
    </row>
    <row r="11969" spans="1:141" s="116" customFormat="1">
      <c r="A11969" s="136"/>
      <c r="CM11969" s="111"/>
      <c r="CQ11969" s="111"/>
      <c r="EF11969"/>
      <c r="EG11969"/>
      <c r="EH11969"/>
      <c r="EI11969"/>
      <c r="EJ11969"/>
      <c r="EK11969"/>
    </row>
    <row r="11970" spans="1:141" s="116" customFormat="1">
      <c r="A11970" s="136"/>
      <c r="CM11970" s="111"/>
      <c r="CQ11970" s="111"/>
      <c r="EF11970"/>
      <c r="EG11970"/>
      <c r="EH11970"/>
      <c r="EI11970"/>
      <c r="EJ11970"/>
      <c r="EK11970"/>
    </row>
    <row r="11971" spans="1:141" s="116" customFormat="1">
      <c r="A11971" s="136"/>
      <c r="CM11971" s="111"/>
      <c r="CQ11971" s="111"/>
      <c r="EF11971"/>
      <c r="EG11971"/>
      <c r="EH11971"/>
      <c r="EI11971"/>
      <c r="EJ11971"/>
      <c r="EK11971"/>
    </row>
    <row r="11972" spans="1:141" s="116" customFormat="1">
      <c r="A11972" s="136"/>
      <c r="CM11972" s="111"/>
      <c r="CQ11972" s="111"/>
      <c r="EF11972"/>
      <c r="EG11972"/>
      <c r="EH11972"/>
      <c r="EI11972"/>
      <c r="EJ11972"/>
      <c r="EK11972"/>
    </row>
    <row r="11973" spans="1:141" s="116" customFormat="1">
      <c r="A11973" s="136"/>
      <c r="CM11973" s="111"/>
      <c r="CQ11973" s="111"/>
      <c r="EF11973"/>
      <c r="EG11973"/>
      <c r="EH11973"/>
      <c r="EI11973"/>
      <c r="EJ11973"/>
      <c r="EK11973"/>
    </row>
    <row r="11974" spans="1:141" s="116" customFormat="1">
      <c r="A11974" s="136"/>
      <c r="CM11974" s="111"/>
      <c r="CQ11974" s="111"/>
      <c r="EF11974"/>
      <c r="EG11974"/>
      <c r="EH11974"/>
      <c r="EI11974"/>
      <c r="EJ11974"/>
      <c r="EK11974"/>
    </row>
    <row r="11975" spans="1:141" s="116" customFormat="1">
      <c r="A11975" s="136"/>
      <c r="CM11975" s="111"/>
      <c r="CQ11975" s="111"/>
      <c r="EF11975"/>
      <c r="EG11975"/>
      <c r="EH11975"/>
      <c r="EI11975"/>
      <c r="EJ11975"/>
      <c r="EK11975"/>
    </row>
    <row r="11976" spans="1:141" s="116" customFormat="1">
      <c r="A11976" s="136"/>
      <c r="CM11976" s="111"/>
      <c r="CQ11976" s="111"/>
      <c r="EF11976"/>
      <c r="EG11976"/>
      <c r="EH11976"/>
      <c r="EI11976"/>
      <c r="EJ11976"/>
      <c r="EK11976"/>
    </row>
    <row r="11977" spans="1:141" s="116" customFormat="1">
      <c r="A11977" s="136"/>
      <c r="CM11977" s="111"/>
      <c r="CQ11977" s="111"/>
      <c r="EF11977"/>
      <c r="EG11977"/>
      <c r="EH11977"/>
      <c r="EI11977"/>
      <c r="EJ11977"/>
      <c r="EK11977"/>
    </row>
    <row r="11978" spans="1:141" s="116" customFormat="1">
      <c r="A11978" s="136"/>
      <c r="CM11978" s="111"/>
      <c r="CQ11978" s="111"/>
      <c r="EF11978"/>
      <c r="EG11978"/>
      <c r="EH11978"/>
      <c r="EI11978"/>
      <c r="EJ11978"/>
      <c r="EK11978"/>
    </row>
    <row r="11979" spans="1:141" s="116" customFormat="1">
      <c r="A11979" s="136"/>
      <c r="CM11979" s="111"/>
      <c r="CQ11979" s="111"/>
      <c r="EF11979"/>
      <c r="EG11979"/>
      <c r="EH11979"/>
      <c r="EI11979"/>
      <c r="EJ11979"/>
      <c r="EK11979"/>
    </row>
    <row r="11980" spans="1:141" s="116" customFormat="1">
      <c r="A11980" s="136"/>
      <c r="CM11980" s="111"/>
      <c r="CQ11980" s="111"/>
      <c r="EF11980"/>
      <c r="EG11980"/>
      <c r="EH11980"/>
      <c r="EI11980"/>
      <c r="EJ11980"/>
      <c r="EK11980"/>
    </row>
    <row r="11981" spans="1:141" s="116" customFormat="1">
      <c r="A11981" s="136"/>
      <c r="CM11981" s="111"/>
      <c r="CQ11981" s="111"/>
      <c r="EF11981"/>
      <c r="EG11981"/>
      <c r="EH11981"/>
      <c r="EI11981"/>
      <c r="EJ11981"/>
      <c r="EK11981"/>
    </row>
    <row r="11982" spans="1:141" s="116" customFormat="1">
      <c r="A11982" s="136"/>
      <c r="CM11982" s="111"/>
      <c r="CQ11982" s="111"/>
      <c r="EF11982"/>
      <c r="EG11982"/>
      <c r="EH11982"/>
      <c r="EI11982"/>
      <c r="EJ11982"/>
      <c r="EK11982"/>
    </row>
    <row r="11983" spans="1:141" s="116" customFormat="1">
      <c r="A11983" s="136"/>
      <c r="CM11983" s="111"/>
      <c r="CQ11983" s="111"/>
      <c r="EF11983"/>
      <c r="EG11983"/>
      <c r="EH11983"/>
      <c r="EI11983"/>
      <c r="EJ11983"/>
      <c r="EK11983"/>
    </row>
    <row r="11984" spans="1:141" s="116" customFormat="1">
      <c r="A11984" s="136"/>
      <c r="CM11984" s="111"/>
      <c r="CQ11984" s="111"/>
      <c r="EF11984"/>
      <c r="EG11984"/>
      <c r="EH11984"/>
      <c r="EI11984"/>
      <c r="EJ11984"/>
      <c r="EK11984"/>
    </row>
    <row r="11985" spans="1:141" s="116" customFormat="1">
      <c r="A11985" s="136"/>
      <c r="CM11985" s="111"/>
      <c r="CQ11985" s="111"/>
      <c r="EF11985"/>
      <c r="EG11985"/>
      <c r="EH11985"/>
      <c r="EI11985"/>
      <c r="EJ11985"/>
      <c r="EK11985"/>
    </row>
    <row r="11986" spans="1:141" s="116" customFormat="1">
      <c r="A11986" s="136"/>
      <c r="CM11986" s="111"/>
      <c r="CQ11986" s="111"/>
      <c r="EF11986"/>
      <c r="EG11986"/>
      <c r="EH11986"/>
      <c r="EI11986"/>
      <c r="EJ11986"/>
      <c r="EK11986"/>
    </row>
    <row r="11987" spans="1:141" s="116" customFormat="1">
      <c r="A11987" s="136"/>
      <c r="CM11987" s="111"/>
      <c r="CQ11987" s="111"/>
      <c r="EF11987"/>
      <c r="EG11987"/>
      <c r="EH11987"/>
      <c r="EI11987"/>
      <c r="EJ11987"/>
      <c r="EK11987"/>
    </row>
    <row r="11988" spans="1:141" s="116" customFormat="1">
      <c r="A11988" s="136"/>
      <c r="CM11988" s="111"/>
      <c r="CQ11988" s="111"/>
      <c r="EF11988"/>
      <c r="EG11988"/>
      <c r="EH11988"/>
      <c r="EI11988"/>
      <c r="EJ11988"/>
      <c r="EK11988"/>
    </row>
    <row r="11989" spans="1:141" s="116" customFormat="1">
      <c r="A11989" s="136"/>
      <c r="CM11989" s="111"/>
      <c r="CQ11989" s="111"/>
      <c r="EF11989"/>
      <c r="EG11989"/>
      <c r="EH11989"/>
      <c r="EI11989"/>
      <c r="EJ11989"/>
      <c r="EK11989"/>
    </row>
    <row r="11990" spans="1:141" s="116" customFormat="1">
      <c r="A11990" s="136"/>
      <c r="CM11990" s="111"/>
      <c r="CQ11990" s="111"/>
      <c r="EF11990"/>
      <c r="EG11990"/>
      <c r="EH11990"/>
      <c r="EI11990"/>
      <c r="EJ11990"/>
      <c r="EK11990"/>
    </row>
    <row r="11991" spans="1:141" s="116" customFormat="1">
      <c r="A11991" s="136"/>
      <c r="CM11991" s="111"/>
      <c r="CQ11991" s="111"/>
      <c r="EF11991"/>
      <c r="EG11991"/>
      <c r="EH11991"/>
      <c r="EI11991"/>
      <c r="EJ11991"/>
      <c r="EK11991"/>
    </row>
    <row r="11992" spans="1:141" s="116" customFormat="1">
      <c r="A11992" s="136"/>
      <c r="CM11992" s="111"/>
      <c r="CQ11992" s="111"/>
      <c r="EF11992"/>
      <c r="EG11992"/>
      <c r="EH11992"/>
      <c r="EI11992"/>
      <c r="EJ11992"/>
      <c r="EK11992"/>
    </row>
    <row r="11993" spans="1:141" s="116" customFormat="1">
      <c r="A11993" s="136"/>
      <c r="CM11993" s="111"/>
      <c r="CQ11993" s="111"/>
      <c r="EF11993"/>
      <c r="EG11993"/>
      <c r="EH11993"/>
      <c r="EI11993"/>
      <c r="EJ11993"/>
      <c r="EK11993"/>
    </row>
    <row r="11994" spans="1:141" s="116" customFormat="1">
      <c r="A11994" s="136"/>
      <c r="CM11994" s="111"/>
      <c r="CQ11994" s="111"/>
      <c r="EF11994"/>
      <c r="EG11994"/>
      <c r="EH11994"/>
      <c r="EI11994"/>
      <c r="EJ11994"/>
      <c r="EK11994"/>
    </row>
    <row r="11995" spans="1:141" s="116" customFormat="1">
      <c r="A11995" s="136"/>
      <c r="CM11995" s="111"/>
      <c r="CQ11995" s="111"/>
      <c r="EF11995"/>
      <c r="EG11995"/>
      <c r="EH11995"/>
      <c r="EI11995"/>
      <c r="EJ11995"/>
      <c r="EK11995"/>
    </row>
    <row r="11996" spans="1:141" s="116" customFormat="1">
      <c r="A11996" s="136"/>
      <c r="CM11996" s="111"/>
      <c r="CQ11996" s="111"/>
      <c r="EF11996"/>
      <c r="EG11996"/>
      <c r="EH11996"/>
      <c r="EI11996"/>
      <c r="EJ11996"/>
      <c r="EK11996"/>
    </row>
    <row r="11997" spans="1:141" s="116" customFormat="1">
      <c r="A11997" s="136"/>
      <c r="CM11997" s="111"/>
      <c r="CQ11997" s="111"/>
      <c r="EF11997"/>
      <c r="EG11997"/>
      <c r="EH11997"/>
      <c r="EI11997"/>
      <c r="EJ11997"/>
      <c r="EK11997"/>
    </row>
    <row r="11998" spans="1:141" s="116" customFormat="1">
      <c r="A11998" s="136"/>
      <c r="CM11998" s="111"/>
      <c r="CQ11998" s="111"/>
      <c r="EF11998"/>
      <c r="EG11998"/>
      <c r="EH11998"/>
      <c r="EI11998"/>
      <c r="EJ11998"/>
      <c r="EK11998"/>
    </row>
    <row r="11999" spans="1:141" s="116" customFormat="1">
      <c r="A11999" s="136"/>
      <c r="CM11999" s="111"/>
      <c r="CQ11999" s="111"/>
      <c r="EF11999"/>
      <c r="EG11999"/>
      <c r="EH11999"/>
      <c r="EI11999"/>
      <c r="EJ11999"/>
      <c r="EK11999"/>
    </row>
    <row r="12000" spans="1:141" s="116" customFormat="1">
      <c r="A12000" s="136"/>
      <c r="CM12000" s="111"/>
      <c r="CQ12000" s="111"/>
      <c r="EF12000"/>
      <c r="EG12000"/>
      <c r="EH12000"/>
      <c r="EI12000"/>
      <c r="EJ12000"/>
      <c r="EK12000"/>
    </row>
    <row r="12001" spans="1:141" s="116" customFormat="1">
      <c r="A12001" s="136"/>
      <c r="CM12001" s="111"/>
      <c r="CQ12001" s="111"/>
      <c r="EF12001"/>
      <c r="EG12001"/>
      <c r="EH12001"/>
      <c r="EI12001"/>
      <c r="EJ12001"/>
      <c r="EK12001"/>
    </row>
    <row r="12002" spans="1:141" s="116" customFormat="1">
      <c r="A12002" s="136"/>
      <c r="CM12002" s="111"/>
      <c r="CQ12002" s="111"/>
      <c r="EF12002"/>
      <c r="EG12002"/>
      <c r="EH12002"/>
      <c r="EI12002"/>
      <c r="EJ12002"/>
      <c r="EK12002"/>
    </row>
    <row r="12003" spans="1:141" s="116" customFormat="1">
      <c r="A12003" s="136"/>
      <c r="CM12003" s="111"/>
      <c r="CQ12003" s="111"/>
      <c r="EF12003"/>
      <c r="EG12003"/>
      <c r="EH12003"/>
      <c r="EI12003"/>
      <c r="EJ12003"/>
      <c r="EK12003"/>
    </row>
    <row r="12004" spans="1:141" s="116" customFormat="1">
      <c r="A12004" s="136"/>
      <c r="CM12004" s="111"/>
      <c r="CQ12004" s="111"/>
      <c r="EF12004"/>
      <c r="EG12004"/>
      <c r="EH12004"/>
      <c r="EI12004"/>
      <c r="EJ12004"/>
      <c r="EK12004"/>
    </row>
    <row r="12005" spans="1:141" s="116" customFormat="1">
      <c r="A12005" s="136"/>
      <c r="CM12005" s="111"/>
      <c r="CQ12005" s="111"/>
      <c r="EF12005"/>
      <c r="EG12005"/>
      <c r="EH12005"/>
      <c r="EI12005"/>
      <c r="EJ12005"/>
      <c r="EK12005"/>
    </row>
    <row r="12006" spans="1:141" s="116" customFormat="1">
      <c r="A12006" s="136"/>
      <c r="CM12006" s="111"/>
      <c r="CQ12006" s="111"/>
      <c r="EF12006"/>
      <c r="EG12006"/>
      <c r="EH12006"/>
      <c r="EI12006"/>
      <c r="EJ12006"/>
      <c r="EK12006"/>
    </row>
    <row r="12007" spans="1:141" s="116" customFormat="1">
      <c r="A12007" s="136"/>
      <c r="CM12007" s="111"/>
      <c r="CQ12007" s="111"/>
      <c r="EF12007"/>
      <c r="EG12007"/>
      <c r="EH12007"/>
      <c r="EI12007"/>
      <c r="EJ12007"/>
      <c r="EK12007"/>
    </row>
    <row r="12008" spans="1:141" s="116" customFormat="1">
      <c r="A12008" s="136"/>
      <c r="CM12008" s="111"/>
      <c r="CQ12008" s="111"/>
      <c r="EF12008"/>
      <c r="EG12008"/>
      <c r="EH12008"/>
      <c r="EI12008"/>
      <c r="EJ12008"/>
      <c r="EK12008"/>
    </row>
    <row r="12009" spans="1:141" s="116" customFormat="1">
      <c r="A12009" s="136"/>
      <c r="CM12009" s="111"/>
      <c r="CQ12009" s="111"/>
      <c r="EF12009"/>
      <c r="EG12009"/>
      <c r="EH12009"/>
      <c r="EI12009"/>
      <c r="EJ12009"/>
      <c r="EK12009"/>
    </row>
    <row r="12010" spans="1:141" s="116" customFormat="1">
      <c r="A12010" s="136"/>
      <c r="CM12010" s="111"/>
      <c r="CQ12010" s="111"/>
      <c r="EF12010"/>
      <c r="EG12010"/>
      <c r="EH12010"/>
      <c r="EI12010"/>
      <c r="EJ12010"/>
      <c r="EK12010"/>
    </row>
    <row r="12011" spans="1:141" s="116" customFormat="1">
      <c r="A12011" s="136"/>
      <c r="CM12011" s="111"/>
      <c r="CQ12011" s="111"/>
      <c r="EF12011"/>
      <c r="EG12011"/>
      <c r="EH12011"/>
      <c r="EI12011"/>
      <c r="EJ12011"/>
      <c r="EK12011"/>
    </row>
    <row r="12012" spans="1:141" s="116" customFormat="1">
      <c r="A12012" s="136"/>
      <c r="CM12012" s="111"/>
      <c r="CQ12012" s="111"/>
      <c r="EF12012"/>
      <c r="EG12012"/>
      <c r="EH12012"/>
      <c r="EI12012"/>
      <c r="EJ12012"/>
      <c r="EK12012"/>
    </row>
    <row r="12013" spans="1:141" s="116" customFormat="1">
      <c r="A12013" s="136"/>
      <c r="CM12013" s="111"/>
      <c r="CQ12013" s="111"/>
      <c r="EF12013"/>
      <c r="EG12013"/>
      <c r="EH12013"/>
      <c r="EI12013"/>
      <c r="EJ12013"/>
      <c r="EK12013"/>
    </row>
    <row r="12014" spans="1:141" s="116" customFormat="1">
      <c r="A12014" s="136"/>
      <c r="CM12014" s="111"/>
      <c r="CQ12014" s="111"/>
      <c r="EF12014"/>
      <c r="EG12014"/>
      <c r="EH12014"/>
      <c r="EI12014"/>
      <c r="EJ12014"/>
      <c r="EK12014"/>
    </row>
    <row r="12015" spans="1:141" s="116" customFormat="1">
      <c r="A12015" s="136"/>
      <c r="CM12015" s="111"/>
      <c r="CQ12015" s="111"/>
      <c r="EF12015"/>
      <c r="EG12015"/>
      <c r="EH12015"/>
      <c r="EI12015"/>
      <c r="EJ12015"/>
      <c r="EK12015"/>
    </row>
    <row r="12016" spans="1:141" s="116" customFormat="1">
      <c r="A12016" s="136"/>
      <c r="CM12016" s="111"/>
      <c r="CQ12016" s="111"/>
      <c r="EF12016"/>
      <c r="EG12016"/>
      <c r="EH12016"/>
      <c r="EI12016"/>
      <c r="EJ12016"/>
      <c r="EK12016"/>
    </row>
    <row r="12017" spans="1:141" s="116" customFormat="1">
      <c r="A12017" s="136"/>
      <c r="CM12017" s="111"/>
      <c r="CQ12017" s="111"/>
      <c r="EF12017"/>
      <c r="EG12017"/>
      <c r="EH12017"/>
      <c r="EI12017"/>
      <c r="EJ12017"/>
      <c r="EK12017"/>
    </row>
    <row r="12018" spans="1:141" s="116" customFormat="1">
      <c r="A12018" s="136"/>
      <c r="CM12018" s="111"/>
      <c r="CQ12018" s="111"/>
      <c r="EF12018"/>
      <c r="EG12018"/>
      <c r="EH12018"/>
      <c r="EI12018"/>
      <c r="EJ12018"/>
      <c r="EK12018"/>
    </row>
    <row r="12019" spans="1:141" s="116" customFormat="1">
      <c r="A12019" s="136"/>
      <c r="CM12019" s="111"/>
      <c r="CQ12019" s="111"/>
      <c r="EF12019"/>
      <c r="EG12019"/>
      <c r="EH12019"/>
      <c r="EI12019"/>
      <c r="EJ12019"/>
      <c r="EK12019"/>
    </row>
    <row r="12020" spans="1:141" s="116" customFormat="1">
      <c r="A12020" s="136"/>
      <c r="CM12020" s="111"/>
      <c r="CQ12020" s="111"/>
      <c r="EF12020"/>
      <c r="EG12020"/>
      <c r="EH12020"/>
      <c r="EI12020"/>
      <c r="EJ12020"/>
      <c r="EK12020"/>
    </row>
    <row r="12021" spans="1:141" s="116" customFormat="1">
      <c r="A12021" s="136"/>
      <c r="CM12021" s="111"/>
      <c r="CQ12021" s="111"/>
      <c r="EF12021"/>
      <c r="EG12021"/>
      <c r="EH12021"/>
      <c r="EI12021"/>
      <c r="EJ12021"/>
      <c r="EK12021"/>
    </row>
    <row r="12022" spans="1:141" s="116" customFormat="1">
      <c r="A12022" s="136"/>
      <c r="CM12022" s="111"/>
      <c r="CQ12022" s="111"/>
      <c r="EF12022"/>
      <c r="EG12022"/>
      <c r="EH12022"/>
      <c r="EI12022"/>
      <c r="EJ12022"/>
      <c r="EK12022"/>
    </row>
    <row r="12023" spans="1:141" s="116" customFormat="1">
      <c r="A12023" s="136"/>
      <c r="CM12023" s="111"/>
      <c r="CQ12023" s="111"/>
      <c r="EF12023"/>
      <c r="EG12023"/>
      <c r="EH12023"/>
      <c r="EI12023"/>
      <c r="EJ12023"/>
      <c r="EK12023"/>
    </row>
    <row r="12024" spans="1:141" s="116" customFormat="1">
      <c r="A12024" s="136"/>
      <c r="CM12024" s="111"/>
      <c r="CQ12024" s="111"/>
      <c r="EF12024"/>
      <c r="EG12024"/>
      <c r="EH12024"/>
      <c r="EI12024"/>
      <c r="EJ12024"/>
      <c r="EK12024"/>
    </row>
    <row r="12025" spans="1:141" s="116" customFormat="1">
      <c r="A12025" s="136"/>
      <c r="CM12025" s="111"/>
      <c r="CQ12025" s="111"/>
      <c r="EF12025"/>
      <c r="EG12025"/>
      <c r="EH12025"/>
      <c r="EI12025"/>
      <c r="EJ12025"/>
      <c r="EK12025"/>
    </row>
    <row r="12026" spans="1:141" s="116" customFormat="1">
      <c r="A12026" s="136"/>
      <c r="CM12026" s="111"/>
      <c r="CQ12026" s="111"/>
      <c r="EF12026"/>
      <c r="EG12026"/>
      <c r="EH12026"/>
      <c r="EI12026"/>
      <c r="EJ12026"/>
      <c r="EK12026"/>
    </row>
    <row r="12027" spans="1:141" s="116" customFormat="1">
      <c r="A12027" s="136"/>
      <c r="CM12027" s="111"/>
      <c r="CQ12027" s="111"/>
      <c r="EF12027"/>
      <c r="EG12027"/>
      <c r="EH12027"/>
      <c r="EI12027"/>
      <c r="EJ12027"/>
      <c r="EK12027"/>
    </row>
    <row r="12028" spans="1:141" s="116" customFormat="1">
      <c r="A12028" s="136"/>
      <c r="CM12028" s="111"/>
      <c r="CQ12028" s="111"/>
      <c r="EF12028"/>
      <c r="EG12028"/>
      <c r="EH12028"/>
      <c r="EI12028"/>
      <c r="EJ12028"/>
      <c r="EK12028"/>
    </row>
    <row r="12029" spans="1:141" s="116" customFormat="1">
      <c r="A12029" s="136"/>
      <c r="CM12029" s="111"/>
      <c r="CQ12029" s="111"/>
      <c r="EF12029"/>
      <c r="EG12029"/>
      <c r="EH12029"/>
      <c r="EI12029"/>
      <c r="EJ12029"/>
      <c r="EK12029"/>
    </row>
    <row r="12030" spans="1:141" s="116" customFormat="1">
      <c r="A12030" s="136"/>
      <c r="CM12030" s="111"/>
      <c r="CQ12030" s="111"/>
      <c r="EF12030"/>
      <c r="EG12030"/>
      <c r="EH12030"/>
      <c r="EI12030"/>
      <c r="EJ12030"/>
      <c r="EK12030"/>
    </row>
    <row r="12031" spans="1:141" s="116" customFormat="1">
      <c r="A12031" s="136"/>
      <c r="CM12031" s="111"/>
      <c r="CQ12031" s="111"/>
      <c r="EF12031"/>
      <c r="EG12031"/>
      <c r="EH12031"/>
      <c r="EI12031"/>
      <c r="EJ12031"/>
      <c r="EK12031"/>
    </row>
    <row r="12032" spans="1:141" s="116" customFormat="1">
      <c r="A12032" s="136"/>
      <c r="CM12032" s="111"/>
      <c r="CQ12032" s="111"/>
      <c r="EF12032"/>
      <c r="EG12032"/>
      <c r="EH12032"/>
      <c r="EI12032"/>
      <c r="EJ12032"/>
      <c r="EK12032"/>
    </row>
    <row r="12033" spans="1:141" s="116" customFormat="1">
      <c r="A12033" s="136"/>
      <c r="CM12033" s="111"/>
      <c r="CQ12033" s="111"/>
      <c r="EF12033"/>
      <c r="EG12033"/>
      <c r="EH12033"/>
      <c r="EI12033"/>
      <c r="EJ12033"/>
      <c r="EK12033"/>
    </row>
    <row r="12034" spans="1:141" s="116" customFormat="1">
      <c r="A12034" s="136"/>
      <c r="CM12034" s="111"/>
      <c r="CQ12034" s="111"/>
      <c r="EF12034"/>
      <c r="EG12034"/>
      <c r="EH12034"/>
      <c r="EI12034"/>
      <c r="EJ12034"/>
      <c r="EK12034"/>
    </row>
    <row r="12035" spans="1:141" s="116" customFormat="1">
      <c r="A12035" s="136"/>
      <c r="CM12035" s="111"/>
      <c r="CQ12035" s="111"/>
      <c r="EF12035"/>
      <c r="EG12035"/>
      <c r="EH12035"/>
      <c r="EI12035"/>
      <c r="EJ12035"/>
      <c r="EK12035"/>
    </row>
    <row r="12036" spans="1:141" s="116" customFormat="1">
      <c r="A12036" s="136"/>
      <c r="CM12036" s="111"/>
      <c r="CQ12036" s="111"/>
      <c r="EF12036"/>
      <c r="EG12036"/>
      <c r="EH12036"/>
      <c r="EI12036"/>
      <c r="EJ12036"/>
      <c r="EK12036"/>
    </row>
    <row r="12037" spans="1:141" s="116" customFormat="1">
      <c r="A12037" s="136"/>
      <c r="CM12037" s="111"/>
      <c r="CQ12037" s="111"/>
      <c r="EF12037"/>
      <c r="EG12037"/>
      <c r="EH12037"/>
      <c r="EI12037"/>
      <c r="EJ12037"/>
      <c r="EK12037"/>
    </row>
    <row r="12038" spans="1:141" s="116" customFormat="1">
      <c r="A12038" s="136"/>
      <c r="CM12038" s="111"/>
      <c r="CQ12038" s="111"/>
      <c r="EF12038"/>
      <c r="EG12038"/>
      <c r="EH12038"/>
      <c r="EI12038"/>
      <c r="EJ12038"/>
      <c r="EK12038"/>
    </row>
    <row r="12039" spans="1:141" s="116" customFormat="1">
      <c r="A12039" s="136"/>
      <c r="CM12039" s="111"/>
      <c r="CQ12039" s="111"/>
      <c r="EF12039"/>
      <c r="EG12039"/>
      <c r="EH12039"/>
      <c r="EI12039"/>
      <c r="EJ12039"/>
      <c r="EK12039"/>
    </row>
    <row r="12040" spans="1:141" s="116" customFormat="1">
      <c r="A12040" s="136"/>
      <c r="CM12040" s="111"/>
      <c r="CQ12040" s="111"/>
      <c r="EF12040"/>
      <c r="EG12040"/>
      <c r="EH12040"/>
      <c r="EI12040"/>
      <c r="EJ12040"/>
      <c r="EK12040"/>
    </row>
    <row r="12041" spans="1:141" s="116" customFormat="1">
      <c r="A12041" s="136"/>
      <c r="CM12041" s="111"/>
      <c r="CQ12041" s="111"/>
      <c r="EF12041"/>
      <c r="EG12041"/>
      <c r="EH12041"/>
      <c r="EI12041"/>
      <c r="EJ12041"/>
      <c r="EK12041"/>
    </row>
    <row r="12042" spans="1:141" s="116" customFormat="1">
      <c r="A12042" s="136"/>
      <c r="CM12042" s="111"/>
      <c r="CQ12042" s="111"/>
      <c r="EF12042"/>
      <c r="EG12042"/>
      <c r="EH12042"/>
      <c r="EI12042"/>
      <c r="EJ12042"/>
      <c r="EK12042"/>
    </row>
    <row r="12043" spans="1:141" s="116" customFormat="1">
      <c r="A12043" s="136"/>
      <c r="CM12043" s="111"/>
      <c r="CQ12043" s="111"/>
      <c r="EF12043"/>
      <c r="EG12043"/>
      <c r="EH12043"/>
      <c r="EI12043"/>
      <c r="EJ12043"/>
      <c r="EK12043"/>
    </row>
    <row r="12044" spans="1:141" s="116" customFormat="1">
      <c r="A12044" s="136"/>
      <c r="CM12044" s="111"/>
      <c r="CQ12044" s="111"/>
      <c r="EF12044"/>
      <c r="EG12044"/>
      <c r="EH12044"/>
      <c r="EI12044"/>
      <c r="EJ12044"/>
      <c r="EK12044"/>
    </row>
    <row r="12045" spans="1:141" s="116" customFormat="1">
      <c r="A12045" s="136"/>
      <c r="CM12045" s="111"/>
      <c r="CQ12045" s="111"/>
      <c r="EF12045"/>
      <c r="EG12045"/>
      <c r="EH12045"/>
      <c r="EI12045"/>
      <c r="EJ12045"/>
      <c r="EK12045"/>
    </row>
    <row r="12046" spans="1:141" s="116" customFormat="1">
      <c r="A12046" s="136"/>
      <c r="CM12046" s="111"/>
      <c r="CQ12046" s="111"/>
      <c r="EF12046"/>
      <c r="EG12046"/>
      <c r="EH12046"/>
      <c r="EI12046"/>
      <c r="EJ12046"/>
      <c r="EK12046"/>
    </row>
    <row r="12047" spans="1:141" s="116" customFormat="1">
      <c r="A12047" s="136"/>
      <c r="CM12047" s="111"/>
      <c r="CQ12047" s="111"/>
      <c r="EF12047"/>
      <c r="EG12047"/>
      <c r="EH12047"/>
      <c r="EI12047"/>
      <c r="EJ12047"/>
      <c r="EK12047"/>
    </row>
    <row r="12048" spans="1:141" s="116" customFormat="1">
      <c r="A12048" s="136"/>
      <c r="CM12048" s="111"/>
      <c r="CQ12048" s="111"/>
      <c r="EF12048"/>
      <c r="EG12048"/>
      <c r="EH12048"/>
      <c r="EI12048"/>
      <c r="EJ12048"/>
      <c r="EK12048"/>
    </row>
    <row r="12049" spans="1:141" s="116" customFormat="1">
      <c r="A12049" s="136"/>
      <c r="CM12049" s="111"/>
      <c r="CQ12049" s="111"/>
      <c r="EF12049"/>
      <c r="EG12049"/>
      <c r="EH12049"/>
      <c r="EI12049"/>
      <c r="EJ12049"/>
      <c r="EK12049"/>
    </row>
    <row r="12050" spans="1:141" s="116" customFormat="1">
      <c r="A12050" s="136"/>
      <c r="CM12050" s="111"/>
      <c r="CQ12050" s="111"/>
      <c r="EF12050"/>
      <c r="EG12050"/>
      <c r="EH12050"/>
      <c r="EI12050"/>
      <c r="EJ12050"/>
      <c r="EK12050"/>
    </row>
    <row r="12051" spans="1:141" s="116" customFormat="1">
      <c r="A12051" s="136"/>
      <c r="CM12051" s="111"/>
      <c r="CQ12051" s="111"/>
      <c r="EF12051"/>
      <c r="EG12051"/>
      <c r="EH12051"/>
      <c r="EI12051"/>
      <c r="EJ12051"/>
      <c r="EK12051"/>
    </row>
    <row r="12052" spans="1:141" s="116" customFormat="1">
      <c r="A12052" s="136"/>
      <c r="CM12052" s="111"/>
      <c r="CQ12052" s="111"/>
      <c r="EF12052"/>
      <c r="EG12052"/>
      <c r="EH12052"/>
      <c r="EI12052"/>
      <c r="EJ12052"/>
      <c r="EK12052"/>
    </row>
    <row r="12053" spans="1:141" s="116" customFormat="1">
      <c r="A12053" s="136"/>
      <c r="CM12053" s="111"/>
      <c r="CQ12053" s="111"/>
      <c r="EF12053"/>
      <c r="EG12053"/>
      <c r="EH12053"/>
      <c r="EI12053"/>
      <c r="EJ12053"/>
      <c r="EK12053"/>
    </row>
    <row r="12054" spans="1:141" s="116" customFormat="1">
      <c r="A12054" s="136"/>
      <c r="CM12054" s="111"/>
      <c r="CQ12054" s="111"/>
      <c r="EF12054"/>
      <c r="EG12054"/>
      <c r="EH12054"/>
      <c r="EI12054"/>
      <c r="EJ12054"/>
      <c r="EK12054"/>
    </row>
    <row r="12055" spans="1:141" s="116" customFormat="1">
      <c r="A12055" s="136"/>
      <c r="CM12055" s="111"/>
      <c r="CQ12055" s="111"/>
      <c r="EF12055"/>
      <c r="EG12055"/>
      <c r="EH12055"/>
      <c r="EI12055"/>
      <c r="EJ12055"/>
      <c r="EK12055"/>
    </row>
    <row r="12056" spans="1:141" s="116" customFormat="1">
      <c r="A12056" s="136"/>
      <c r="CM12056" s="111"/>
      <c r="CQ12056" s="111"/>
      <c r="EF12056"/>
      <c r="EG12056"/>
      <c r="EH12056"/>
      <c r="EI12056"/>
      <c r="EJ12056"/>
      <c r="EK12056"/>
    </row>
    <row r="12057" spans="1:141" s="116" customFormat="1">
      <c r="A12057" s="136"/>
      <c r="CM12057" s="111"/>
      <c r="CQ12057" s="111"/>
      <c r="EF12057"/>
      <c r="EG12057"/>
      <c r="EH12057"/>
      <c r="EI12057"/>
      <c r="EJ12057"/>
      <c r="EK12057"/>
    </row>
    <row r="12058" spans="1:141" s="116" customFormat="1">
      <c r="A12058" s="136"/>
      <c r="CM12058" s="111"/>
      <c r="CQ12058" s="111"/>
      <c r="EF12058"/>
      <c r="EG12058"/>
      <c r="EH12058"/>
      <c r="EI12058"/>
      <c r="EJ12058"/>
      <c r="EK12058"/>
    </row>
    <row r="12059" spans="1:141" s="116" customFormat="1">
      <c r="A12059" s="136"/>
      <c r="CM12059" s="111"/>
      <c r="CQ12059" s="111"/>
      <c r="EF12059"/>
      <c r="EG12059"/>
      <c r="EH12059"/>
      <c r="EI12059"/>
      <c r="EJ12059"/>
      <c r="EK12059"/>
    </row>
    <row r="12060" spans="1:141" s="116" customFormat="1">
      <c r="A12060" s="136"/>
      <c r="CM12060" s="111"/>
      <c r="CQ12060" s="111"/>
      <c r="EF12060"/>
      <c r="EG12060"/>
      <c r="EH12060"/>
      <c r="EI12060"/>
      <c r="EJ12060"/>
      <c r="EK12060"/>
    </row>
    <row r="12061" spans="1:141" s="116" customFormat="1">
      <c r="A12061" s="136"/>
      <c r="CM12061" s="111"/>
      <c r="CQ12061" s="111"/>
      <c r="EF12061"/>
      <c r="EG12061"/>
      <c r="EH12061"/>
      <c r="EI12061"/>
      <c r="EJ12061"/>
      <c r="EK12061"/>
    </row>
    <row r="12062" spans="1:141" s="116" customFormat="1">
      <c r="A12062" s="136"/>
      <c r="CM12062" s="111"/>
      <c r="CQ12062" s="111"/>
      <c r="EF12062"/>
      <c r="EG12062"/>
      <c r="EH12062"/>
      <c r="EI12062"/>
      <c r="EJ12062"/>
      <c r="EK12062"/>
    </row>
    <row r="12063" spans="1:141" s="116" customFormat="1">
      <c r="A12063" s="136"/>
      <c r="CM12063" s="111"/>
      <c r="CQ12063" s="111"/>
      <c r="EF12063"/>
      <c r="EG12063"/>
      <c r="EH12063"/>
      <c r="EI12063"/>
      <c r="EJ12063"/>
      <c r="EK12063"/>
    </row>
    <row r="12064" spans="1:141" s="116" customFormat="1">
      <c r="A12064" s="136"/>
      <c r="CM12064" s="111"/>
      <c r="CQ12064" s="111"/>
      <c r="EF12064"/>
      <c r="EG12064"/>
      <c r="EH12064"/>
      <c r="EI12064"/>
      <c r="EJ12064"/>
      <c r="EK12064"/>
    </row>
    <row r="12065" spans="1:141" s="116" customFormat="1">
      <c r="A12065" s="136"/>
      <c r="CM12065" s="111"/>
      <c r="CQ12065" s="111"/>
      <c r="EF12065"/>
      <c r="EG12065"/>
      <c r="EH12065"/>
      <c r="EI12065"/>
      <c r="EJ12065"/>
      <c r="EK12065"/>
    </row>
    <row r="12066" spans="1:141" s="116" customFormat="1">
      <c r="A12066" s="136"/>
      <c r="CM12066" s="111"/>
      <c r="CQ12066" s="111"/>
      <c r="EF12066"/>
      <c r="EG12066"/>
      <c r="EH12066"/>
      <c r="EI12066"/>
      <c r="EJ12066"/>
      <c r="EK12066"/>
    </row>
    <row r="12067" spans="1:141" s="116" customFormat="1">
      <c r="A12067" s="136"/>
      <c r="CM12067" s="111"/>
      <c r="CQ12067" s="111"/>
      <c r="EF12067"/>
      <c r="EG12067"/>
      <c r="EH12067"/>
      <c r="EI12067"/>
      <c r="EJ12067"/>
      <c r="EK12067"/>
    </row>
    <row r="12068" spans="1:141" s="116" customFormat="1">
      <c r="A12068" s="136"/>
      <c r="CM12068" s="111"/>
      <c r="CQ12068" s="111"/>
      <c r="EF12068"/>
      <c r="EG12068"/>
      <c r="EH12068"/>
      <c r="EI12068"/>
      <c r="EJ12068"/>
      <c r="EK12068"/>
    </row>
    <row r="12069" spans="1:141" s="116" customFormat="1">
      <c r="A12069" s="136"/>
      <c r="CM12069" s="111"/>
      <c r="CQ12069" s="111"/>
      <c r="EF12069"/>
      <c r="EG12069"/>
      <c r="EH12069"/>
      <c r="EI12069"/>
      <c r="EJ12069"/>
      <c r="EK12069"/>
    </row>
    <row r="12070" spans="1:141" s="116" customFormat="1">
      <c r="A12070" s="136"/>
      <c r="CM12070" s="111"/>
      <c r="CQ12070" s="111"/>
      <c r="EF12070"/>
      <c r="EG12070"/>
      <c r="EH12070"/>
      <c r="EI12070"/>
      <c r="EJ12070"/>
      <c r="EK12070"/>
    </row>
    <row r="12071" spans="1:141" s="116" customFormat="1">
      <c r="A12071" s="136"/>
      <c r="CM12071" s="111"/>
      <c r="CQ12071" s="111"/>
      <c r="EF12071"/>
      <c r="EG12071"/>
      <c r="EH12071"/>
      <c r="EI12071"/>
      <c r="EJ12071"/>
      <c r="EK12071"/>
    </row>
    <row r="12072" spans="1:141" s="116" customFormat="1">
      <c r="A12072" s="136"/>
      <c r="CM12072" s="111"/>
      <c r="CQ12072" s="111"/>
      <c r="EF12072"/>
      <c r="EG12072"/>
      <c r="EH12072"/>
      <c r="EI12072"/>
      <c r="EJ12072"/>
      <c r="EK12072"/>
    </row>
    <row r="12073" spans="1:141" s="116" customFormat="1">
      <c r="A12073" s="136"/>
      <c r="CM12073" s="111"/>
      <c r="CQ12073" s="111"/>
      <c r="EF12073"/>
      <c r="EG12073"/>
      <c r="EH12073"/>
      <c r="EI12073"/>
      <c r="EJ12073"/>
      <c r="EK12073"/>
    </row>
    <row r="12074" spans="1:141" s="116" customFormat="1">
      <c r="A12074" s="136"/>
      <c r="CM12074" s="111"/>
      <c r="CQ12074" s="111"/>
      <c r="EF12074"/>
      <c r="EG12074"/>
      <c r="EH12074"/>
      <c r="EI12074"/>
      <c r="EJ12074"/>
      <c r="EK12074"/>
    </row>
    <row r="12075" spans="1:141" s="116" customFormat="1">
      <c r="A12075" s="136"/>
      <c r="CM12075" s="111"/>
      <c r="CQ12075" s="111"/>
      <c r="EF12075"/>
      <c r="EG12075"/>
      <c r="EH12075"/>
      <c r="EI12075"/>
      <c r="EJ12075"/>
      <c r="EK12075"/>
    </row>
    <row r="12076" spans="1:141" s="116" customFormat="1">
      <c r="A12076" s="136"/>
      <c r="CM12076" s="111"/>
      <c r="CQ12076" s="111"/>
      <c r="EF12076"/>
      <c r="EG12076"/>
      <c r="EH12076"/>
      <c r="EI12076"/>
      <c r="EJ12076"/>
      <c r="EK12076"/>
    </row>
    <row r="12077" spans="1:141" s="116" customFormat="1">
      <c r="A12077" s="136"/>
      <c r="CM12077" s="111"/>
      <c r="CQ12077" s="111"/>
      <c r="EF12077"/>
      <c r="EG12077"/>
      <c r="EH12077"/>
      <c r="EI12077"/>
      <c r="EJ12077"/>
      <c r="EK12077"/>
    </row>
    <row r="12078" spans="1:141" s="116" customFormat="1">
      <c r="A12078" s="136"/>
      <c r="CM12078" s="111"/>
      <c r="CQ12078" s="111"/>
      <c r="EF12078"/>
      <c r="EG12078"/>
      <c r="EH12078"/>
      <c r="EI12078"/>
      <c r="EJ12078"/>
      <c r="EK12078"/>
    </row>
    <row r="12079" spans="1:141" s="116" customFormat="1">
      <c r="A12079" s="136"/>
      <c r="CM12079" s="111"/>
      <c r="CQ12079" s="111"/>
      <c r="EF12079"/>
      <c r="EG12079"/>
      <c r="EH12079"/>
      <c r="EI12079"/>
      <c r="EJ12079"/>
      <c r="EK12079"/>
    </row>
    <row r="12080" spans="1:141" s="116" customFormat="1">
      <c r="A12080" s="136"/>
      <c r="CM12080" s="111"/>
      <c r="CQ12080" s="111"/>
      <c r="EF12080"/>
      <c r="EG12080"/>
      <c r="EH12080"/>
      <c r="EI12080"/>
      <c r="EJ12080"/>
      <c r="EK12080"/>
    </row>
    <row r="12081" spans="1:141" s="116" customFormat="1">
      <c r="A12081" s="136"/>
      <c r="CM12081" s="111"/>
      <c r="CQ12081" s="111"/>
      <c r="EF12081"/>
      <c r="EG12081"/>
      <c r="EH12081"/>
      <c r="EI12081"/>
      <c r="EJ12081"/>
      <c r="EK12081"/>
    </row>
    <row r="12082" spans="1:141" s="116" customFormat="1">
      <c r="A12082" s="136"/>
      <c r="CM12082" s="111"/>
      <c r="CQ12082" s="111"/>
      <c r="EF12082"/>
      <c r="EG12082"/>
      <c r="EH12082"/>
      <c r="EI12082"/>
      <c r="EJ12082"/>
      <c r="EK12082"/>
    </row>
    <row r="12083" spans="1:141" s="116" customFormat="1">
      <c r="A12083" s="136"/>
      <c r="CM12083" s="111"/>
      <c r="CQ12083" s="111"/>
      <c r="EF12083"/>
      <c r="EG12083"/>
      <c r="EH12083"/>
      <c r="EI12083"/>
      <c r="EJ12083"/>
      <c r="EK12083"/>
    </row>
    <row r="12084" spans="1:141" s="116" customFormat="1">
      <c r="A12084" s="136"/>
      <c r="CM12084" s="111"/>
      <c r="CQ12084" s="111"/>
      <c r="EF12084"/>
      <c r="EG12084"/>
      <c r="EH12084"/>
      <c r="EI12084"/>
      <c r="EJ12084"/>
      <c r="EK12084"/>
    </row>
    <row r="12085" spans="1:141" s="116" customFormat="1">
      <c r="A12085" s="136"/>
      <c r="CM12085" s="111"/>
      <c r="CQ12085" s="111"/>
      <c r="EF12085"/>
      <c r="EG12085"/>
      <c r="EH12085"/>
      <c r="EI12085"/>
      <c r="EJ12085"/>
      <c r="EK12085"/>
    </row>
    <row r="12086" spans="1:141" s="116" customFormat="1">
      <c r="A12086" s="136"/>
      <c r="CM12086" s="111"/>
      <c r="CQ12086" s="111"/>
      <c r="EF12086"/>
      <c r="EG12086"/>
      <c r="EH12086"/>
      <c r="EI12086"/>
      <c r="EJ12086"/>
      <c r="EK12086"/>
    </row>
    <row r="12087" spans="1:141" s="116" customFormat="1">
      <c r="A12087" s="136"/>
      <c r="CM12087" s="111"/>
      <c r="CQ12087" s="111"/>
      <c r="EF12087"/>
      <c r="EG12087"/>
      <c r="EH12087"/>
      <c r="EI12087"/>
      <c r="EJ12087"/>
      <c r="EK12087"/>
    </row>
    <row r="12088" spans="1:141" s="116" customFormat="1">
      <c r="A12088" s="136"/>
      <c r="CM12088" s="111"/>
      <c r="CQ12088" s="111"/>
      <c r="EF12088"/>
      <c r="EG12088"/>
      <c r="EH12088"/>
      <c r="EI12088"/>
      <c r="EJ12088"/>
      <c r="EK12088"/>
    </row>
    <row r="12089" spans="1:141" s="116" customFormat="1">
      <c r="A12089" s="136"/>
      <c r="CM12089" s="111"/>
      <c r="CQ12089" s="111"/>
      <c r="EF12089"/>
      <c r="EG12089"/>
      <c r="EH12089"/>
      <c r="EI12089"/>
      <c r="EJ12089"/>
      <c r="EK12089"/>
    </row>
    <row r="12090" spans="1:141" s="116" customFormat="1">
      <c r="A12090" s="136"/>
      <c r="CM12090" s="111"/>
      <c r="CQ12090" s="111"/>
      <c r="EF12090"/>
      <c r="EG12090"/>
      <c r="EH12090"/>
      <c r="EI12090"/>
      <c r="EJ12090"/>
      <c r="EK12090"/>
    </row>
    <row r="12091" spans="1:141" s="116" customFormat="1">
      <c r="A12091" s="136"/>
      <c r="CM12091" s="111"/>
      <c r="CQ12091" s="111"/>
      <c r="EF12091"/>
      <c r="EG12091"/>
      <c r="EH12091"/>
      <c r="EI12091"/>
      <c r="EJ12091"/>
      <c r="EK12091"/>
    </row>
    <row r="12092" spans="1:141" s="116" customFormat="1">
      <c r="A12092" s="136"/>
      <c r="CM12092" s="111"/>
      <c r="CQ12092" s="111"/>
      <c r="EF12092"/>
      <c r="EG12092"/>
      <c r="EH12092"/>
      <c r="EI12092"/>
      <c r="EJ12092"/>
      <c r="EK12092"/>
    </row>
    <row r="12093" spans="1:141" s="116" customFormat="1">
      <c r="A12093" s="136"/>
      <c r="CM12093" s="111"/>
      <c r="CQ12093" s="111"/>
      <c r="EF12093"/>
      <c r="EG12093"/>
      <c r="EH12093"/>
      <c r="EI12093"/>
      <c r="EJ12093"/>
      <c r="EK12093"/>
    </row>
    <row r="12094" spans="1:141" s="116" customFormat="1">
      <c r="A12094" s="136"/>
      <c r="CM12094" s="111"/>
      <c r="CQ12094" s="111"/>
      <c r="EF12094"/>
      <c r="EG12094"/>
      <c r="EH12094"/>
      <c r="EI12094"/>
      <c r="EJ12094"/>
      <c r="EK12094"/>
    </row>
    <row r="12095" spans="1:141" s="116" customFormat="1">
      <c r="A12095" s="136"/>
      <c r="CM12095" s="111"/>
      <c r="CQ12095" s="111"/>
      <c r="EF12095"/>
      <c r="EG12095"/>
      <c r="EH12095"/>
      <c r="EI12095"/>
      <c r="EJ12095"/>
      <c r="EK12095"/>
    </row>
    <row r="12096" spans="1:141" s="116" customFormat="1">
      <c r="A12096" s="136"/>
      <c r="CM12096" s="111"/>
      <c r="CQ12096" s="111"/>
      <c r="EF12096"/>
      <c r="EG12096"/>
      <c r="EH12096"/>
      <c r="EI12096"/>
      <c r="EJ12096"/>
      <c r="EK12096"/>
    </row>
    <row r="12097" spans="1:141" s="116" customFormat="1">
      <c r="A12097" s="136"/>
      <c r="CM12097" s="111"/>
      <c r="CQ12097" s="111"/>
      <c r="EF12097"/>
      <c r="EG12097"/>
      <c r="EH12097"/>
      <c r="EI12097"/>
      <c r="EJ12097"/>
      <c r="EK12097"/>
    </row>
    <row r="12098" spans="1:141" s="116" customFormat="1">
      <c r="A12098" s="136"/>
      <c r="CM12098" s="111"/>
      <c r="CQ12098" s="111"/>
      <c r="EF12098"/>
      <c r="EG12098"/>
      <c r="EH12098"/>
      <c r="EI12098"/>
      <c r="EJ12098"/>
      <c r="EK12098"/>
    </row>
    <row r="12099" spans="1:141" s="116" customFormat="1">
      <c r="A12099" s="136"/>
      <c r="CM12099" s="111"/>
      <c r="CQ12099" s="111"/>
      <c r="EF12099"/>
      <c r="EG12099"/>
      <c r="EH12099"/>
      <c r="EI12099"/>
      <c r="EJ12099"/>
      <c r="EK12099"/>
    </row>
    <row r="12100" spans="1:141" s="116" customFormat="1">
      <c r="A12100" s="136"/>
      <c r="CM12100" s="111"/>
      <c r="CQ12100" s="111"/>
      <c r="EF12100"/>
      <c r="EG12100"/>
      <c r="EH12100"/>
      <c r="EI12100"/>
      <c r="EJ12100"/>
      <c r="EK12100"/>
    </row>
    <row r="12101" spans="1:141" s="116" customFormat="1">
      <c r="A12101" s="136"/>
      <c r="CM12101" s="111"/>
      <c r="CQ12101" s="111"/>
      <c r="EF12101"/>
      <c r="EG12101"/>
      <c r="EH12101"/>
      <c r="EI12101"/>
      <c r="EJ12101"/>
      <c r="EK12101"/>
    </row>
    <row r="12102" spans="1:141" s="116" customFormat="1">
      <c r="A12102" s="136"/>
      <c r="CM12102" s="111"/>
      <c r="CQ12102" s="111"/>
      <c r="EF12102"/>
      <c r="EG12102"/>
      <c r="EH12102"/>
      <c r="EI12102"/>
      <c r="EJ12102"/>
      <c r="EK12102"/>
    </row>
    <row r="12103" spans="1:141" s="116" customFormat="1">
      <c r="A12103" s="136"/>
      <c r="CM12103" s="111"/>
      <c r="CQ12103" s="111"/>
      <c r="EF12103"/>
      <c r="EG12103"/>
      <c r="EH12103"/>
      <c r="EI12103"/>
      <c r="EJ12103"/>
      <c r="EK12103"/>
    </row>
    <row r="12104" spans="1:141" s="116" customFormat="1">
      <c r="A12104" s="136"/>
      <c r="CM12104" s="111"/>
      <c r="CQ12104" s="111"/>
      <c r="EF12104"/>
      <c r="EG12104"/>
      <c r="EH12104"/>
      <c r="EI12104"/>
      <c r="EJ12104"/>
      <c r="EK12104"/>
    </row>
    <row r="12105" spans="1:141" s="116" customFormat="1">
      <c r="A12105" s="136"/>
      <c r="CM12105" s="111"/>
      <c r="CQ12105" s="111"/>
      <c r="EF12105"/>
      <c r="EG12105"/>
      <c r="EH12105"/>
      <c r="EI12105"/>
      <c r="EJ12105"/>
      <c r="EK12105"/>
    </row>
    <row r="12106" spans="1:141" s="116" customFormat="1">
      <c r="A12106" s="136"/>
      <c r="CM12106" s="111"/>
      <c r="CQ12106" s="111"/>
      <c r="EF12106"/>
      <c r="EG12106"/>
      <c r="EH12106"/>
      <c r="EI12106"/>
      <c r="EJ12106"/>
      <c r="EK12106"/>
    </row>
    <row r="12107" spans="1:141" s="116" customFormat="1">
      <c r="A12107" s="136"/>
      <c r="CM12107" s="111"/>
      <c r="CQ12107" s="111"/>
      <c r="EF12107"/>
      <c r="EG12107"/>
      <c r="EH12107"/>
      <c r="EI12107"/>
      <c r="EJ12107"/>
      <c r="EK12107"/>
    </row>
    <row r="12108" spans="1:141" s="116" customFormat="1">
      <c r="A12108" s="136"/>
      <c r="CM12108" s="111"/>
      <c r="CQ12108" s="111"/>
      <c r="EF12108"/>
      <c r="EG12108"/>
      <c r="EH12108"/>
      <c r="EI12108"/>
      <c r="EJ12108"/>
      <c r="EK12108"/>
    </row>
    <row r="12109" spans="1:141" s="116" customFormat="1">
      <c r="A12109" s="136"/>
      <c r="CM12109" s="111"/>
      <c r="CQ12109" s="111"/>
      <c r="EF12109"/>
      <c r="EG12109"/>
      <c r="EH12109"/>
      <c r="EI12109"/>
      <c r="EJ12109"/>
      <c r="EK12109"/>
    </row>
    <row r="12110" spans="1:141" s="116" customFormat="1">
      <c r="A12110" s="136"/>
      <c r="CM12110" s="111"/>
      <c r="CQ12110" s="111"/>
      <c r="EF12110"/>
      <c r="EG12110"/>
      <c r="EH12110"/>
      <c r="EI12110"/>
      <c r="EJ12110"/>
      <c r="EK12110"/>
    </row>
    <row r="12111" spans="1:141" s="116" customFormat="1">
      <c r="A12111" s="136"/>
      <c r="CM12111" s="111"/>
      <c r="CQ12111" s="111"/>
      <c r="EF12111"/>
      <c r="EG12111"/>
      <c r="EH12111"/>
      <c r="EI12111"/>
      <c r="EJ12111"/>
      <c r="EK12111"/>
    </row>
    <row r="12112" spans="1:141" s="116" customFormat="1">
      <c r="A12112" s="136"/>
      <c r="CM12112" s="111"/>
      <c r="CQ12112" s="111"/>
      <c r="EF12112"/>
      <c r="EG12112"/>
      <c r="EH12112"/>
      <c r="EI12112"/>
      <c r="EJ12112"/>
      <c r="EK12112"/>
    </row>
    <row r="12113" spans="1:141" s="116" customFormat="1">
      <c r="A12113" s="136"/>
      <c r="CM12113" s="111"/>
      <c r="CQ12113" s="111"/>
      <c r="EF12113"/>
      <c r="EG12113"/>
      <c r="EH12113"/>
      <c r="EI12113"/>
      <c r="EJ12113"/>
      <c r="EK12113"/>
    </row>
    <row r="12114" spans="1:141" s="116" customFormat="1">
      <c r="A12114" s="136"/>
      <c r="CM12114" s="111"/>
      <c r="CQ12114" s="111"/>
      <c r="EF12114"/>
      <c r="EG12114"/>
      <c r="EH12114"/>
      <c r="EI12114"/>
      <c r="EJ12114"/>
      <c r="EK12114"/>
    </row>
    <row r="12115" spans="1:141" s="116" customFormat="1">
      <c r="A12115" s="136"/>
      <c r="CM12115" s="111"/>
      <c r="CQ12115" s="111"/>
      <c r="EF12115"/>
      <c r="EG12115"/>
      <c r="EH12115"/>
      <c r="EI12115"/>
      <c r="EJ12115"/>
      <c r="EK12115"/>
    </row>
    <row r="12116" spans="1:141" s="116" customFormat="1">
      <c r="A12116" s="136"/>
      <c r="CM12116" s="111"/>
      <c r="CQ12116" s="111"/>
      <c r="EF12116"/>
      <c r="EG12116"/>
      <c r="EH12116"/>
      <c r="EI12116"/>
      <c r="EJ12116"/>
      <c r="EK12116"/>
    </row>
    <row r="12117" spans="1:141" s="116" customFormat="1">
      <c r="A12117" s="136"/>
      <c r="CM12117" s="111"/>
      <c r="CQ12117" s="111"/>
      <c r="EF12117"/>
      <c r="EG12117"/>
      <c r="EH12117"/>
      <c r="EI12117"/>
      <c r="EJ12117"/>
      <c r="EK12117"/>
    </row>
    <row r="12118" spans="1:141" s="116" customFormat="1">
      <c r="A12118" s="136"/>
      <c r="CM12118" s="111"/>
      <c r="CQ12118" s="111"/>
      <c r="EF12118"/>
      <c r="EG12118"/>
      <c r="EH12118"/>
      <c r="EI12118"/>
      <c r="EJ12118"/>
      <c r="EK12118"/>
    </row>
    <row r="12119" spans="1:141" s="116" customFormat="1">
      <c r="A12119" s="136"/>
      <c r="CM12119" s="111"/>
      <c r="CQ12119" s="111"/>
      <c r="EF12119"/>
      <c r="EG12119"/>
      <c r="EH12119"/>
      <c r="EI12119"/>
      <c r="EJ12119"/>
      <c r="EK12119"/>
    </row>
    <row r="12120" spans="1:141" s="116" customFormat="1">
      <c r="A12120" s="136"/>
      <c r="CM12120" s="111"/>
      <c r="CQ12120" s="111"/>
      <c r="EF12120"/>
      <c r="EG12120"/>
      <c r="EH12120"/>
      <c r="EI12120"/>
      <c r="EJ12120"/>
      <c r="EK12120"/>
    </row>
    <row r="12121" spans="1:141" s="116" customFormat="1">
      <c r="A12121" s="136"/>
      <c r="CM12121" s="111"/>
      <c r="CQ12121" s="111"/>
      <c r="EF12121"/>
      <c r="EG12121"/>
      <c r="EH12121"/>
      <c r="EI12121"/>
      <c r="EJ12121"/>
      <c r="EK12121"/>
    </row>
    <row r="12122" spans="1:141" s="116" customFormat="1">
      <c r="A12122" s="136"/>
      <c r="CM12122" s="111"/>
      <c r="CQ12122" s="111"/>
      <c r="EF12122"/>
      <c r="EG12122"/>
      <c r="EH12122"/>
      <c r="EI12122"/>
      <c r="EJ12122"/>
      <c r="EK12122"/>
    </row>
    <row r="12123" spans="1:141" s="116" customFormat="1">
      <c r="A12123" s="136"/>
      <c r="CM12123" s="111"/>
      <c r="CQ12123" s="111"/>
      <c r="EF12123"/>
      <c r="EG12123"/>
      <c r="EH12123"/>
      <c r="EI12123"/>
      <c r="EJ12123"/>
      <c r="EK12123"/>
    </row>
    <row r="12124" spans="1:141" s="116" customFormat="1">
      <c r="A12124" s="136"/>
      <c r="CM12124" s="111"/>
      <c r="CQ12124" s="111"/>
      <c r="EF12124"/>
      <c r="EG12124"/>
      <c r="EH12124"/>
      <c r="EI12124"/>
      <c r="EJ12124"/>
      <c r="EK12124"/>
    </row>
    <row r="12125" spans="1:141" s="116" customFormat="1">
      <c r="A12125" s="136"/>
      <c r="CM12125" s="111"/>
      <c r="CQ12125" s="111"/>
      <c r="EF12125"/>
      <c r="EG12125"/>
      <c r="EH12125"/>
      <c r="EI12125"/>
      <c r="EJ12125"/>
      <c r="EK12125"/>
    </row>
    <row r="12126" spans="1:141" s="116" customFormat="1">
      <c r="A12126" s="136"/>
      <c r="CM12126" s="111"/>
      <c r="CQ12126" s="111"/>
      <c r="EF12126"/>
      <c r="EG12126"/>
      <c r="EH12126"/>
      <c r="EI12126"/>
      <c r="EJ12126"/>
      <c r="EK12126"/>
    </row>
    <row r="12127" spans="1:141" s="116" customFormat="1">
      <c r="A12127" s="136"/>
      <c r="CM12127" s="111"/>
      <c r="CQ12127" s="111"/>
      <c r="EF12127"/>
      <c r="EG12127"/>
      <c r="EH12127"/>
      <c r="EI12127"/>
      <c r="EJ12127"/>
      <c r="EK12127"/>
    </row>
    <row r="12128" spans="1:141" s="116" customFormat="1">
      <c r="A12128" s="136"/>
      <c r="CM12128" s="111"/>
      <c r="CQ12128" s="111"/>
      <c r="EF12128"/>
      <c r="EG12128"/>
      <c r="EH12128"/>
      <c r="EI12128"/>
      <c r="EJ12128"/>
      <c r="EK12128"/>
    </row>
    <row r="12129" spans="1:141" s="116" customFormat="1">
      <c r="A12129" s="136"/>
      <c r="CM12129" s="111"/>
      <c r="CQ12129" s="111"/>
      <c r="EF12129"/>
      <c r="EG12129"/>
      <c r="EH12129"/>
      <c r="EI12129"/>
      <c r="EJ12129"/>
      <c r="EK12129"/>
    </row>
    <row r="12130" spans="1:141" s="116" customFormat="1">
      <c r="A12130" s="136"/>
      <c r="CM12130" s="111"/>
      <c r="CQ12130" s="111"/>
      <c r="EF12130"/>
      <c r="EG12130"/>
      <c r="EH12130"/>
      <c r="EI12130"/>
      <c r="EJ12130"/>
      <c r="EK12130"/>
    </row>
    <row r="12131" spans="1:141" s="116" customFormat="1">
      <c r="A12131" s="136"/>
      <c r="CM12131" s="111"/>
      <c r="CQ12131" s="111"/>
      <c r="EF12131"/>
      <c r="EG12131"/>
      <c r="EH12131"/>
      <c r="EI12131"/>
      <c r="EJ12131"/>
      <c r="EK12131"/>
    </row>
    <row r="12132" spans="1:141" s="116" customFormat="1">
      <c r="A12132" s="136"/>
      <c r="CM12132" s="111"/>
      <c r="CQ12132" s="111"/>
      <c r="EF12132"/>
      <c r="EG12132"/>
      <c r="EH12132"/>
      <c r="EI12132"/>
      <c r="EJ12132"/>
      <c r="EK12132"/>
    </row>
    <row r="12133" spans="1:141" s="116" customFormat="1">
      <c r="A12133" s="136"/>
      <c r="CM12133" s="111"/>
      <c r="CQ12133" s="111"/>
      <c r="EF12133"/>
      <c r="EG12133"/>
      <c r="EH12133"/>
      <c r="EI12133"/>
      <c r="EJ12133"/>
      <c r="EK12133"/>
    </row>
    <row r="12134" spans="1:141" s="116" customFormat="1">
      <c r="A12134" s="136"/>
      <c r="CM12134" s="111"/>
      <c r="CQ12134" s="111"/>
      <c r="EF12134"/>
      <c r="EG12134"/>
      <c r="EH12134"/>
      <c r="EI12134"/>
      <c r="EJ12134"/>
      <c r="EK12134"/>
    </row>
    <row r="12135" spans="1:141" s="116" customFormat="1">
      <c r="A12135" s="136"/>
      <c r="CM12135" s="111"/>
      <c r="CQ12135" s="111"/>
      <c r="EF12135"/>
      <c r="EG12135"/>
      <c r="EH12135"/>
      <c r="EI12135"/>
      <c r="EJ12135"/>
      <c r="EK12135"/>
    </row>
    <row r="12136" spans="1:141" s="116" customFormat="1">
      <c r="A12136" s="136"/>
      <c r="CM12136" s="111"/>
      <c r="CQ12136" s="111"/>
      <c r="EF12136"/>
      <c r="EG12136"/>
      <c r="EH12136"/>
      <c r="EI12136"/>
      <c r="EJ12136"/>
      <c r="EK12136"/>
    </row>
    <row r="12137" spans="1:141" s="116" customFormat="1">
      <c r="A12137" s="136"/>
      <c r="CM12137" s="111"/>
      <c r="CQ12137" s="111"/>
      <c r="EF12137"/>
      <c r="EG12137"/>
      <c r="EH12137"/>
      <c r="EI12137"/>
      <c r="EJ12137"/>
      <c r="EK12137"/>
    </row>
    <row r="12138" spans="1:141" s="116" customFormat="1">
      <c r="A12138" s="136"/>
      <c r="CM12138" s="111"/>
      <c r="CQ12138" s="111"/>
      <c r="EF12138"/>
      <c r="EG12138"/>
      <c r="EH12138"/>
      <c r="EI12138"/>
      <c r="EJ12138"/>
      <c r="EK12138"/>
    </row>
    <row r="12139" spans="1:141" s="116" customFormat="1">
      <c r="A12139" s="136"/>
      <c r="CM12139" s="111"/>
      <c r="CQ12139" s="111"/>
      <c r="EF12139"/>
      <c r="EG12139"/>
      <c r="EH12139"/>
      <c r="EI12139"/>
      <c r="EJ12139"/>
      <c r="EK12139"/>
    </row>
    <row r="12140" spans="1:141" s="116" customFormat="1">
      <c r="A12140" s="136"/>
      <c r="CM12140" s="111"/>
      <c r="CQ12140" s="111"/>
      <c r="EF12140"/>
      <c r="EG12140"/>
      <c r="EH12140"/>
      <c r="EI12140"/>
      <c r="EJ12140"/>
      <c r="EK12140"/>
    </row>
    <row r="12141" spans="1:141" s="116" customFormat="1">
      <c r="A12141" s="136"/>
      <c r="CM12141" s="111"/>
      <c r="CQ12141" s="111"/>
      <c r="EF12141"/>
      <c r="EG12141"/>
      <c r="EH12141"/>
      <c r="EI12141"/>
      <c r="EJ12141"/>
      <c r="EK12141"/>
    </row>
    <row r="12142" spans="1:141" s="116" customFormat="1">
      <c r="A12142" s="136"/>
      <c r="CM12142" s="111"/>
      <c r="CQ12142" s="111"/>
      <c r="EF12142"/>
      <c r="EG12142"/>
      <c r="EH12142"/>
      <c r="EI12142"/>
      <c r="EJ12142"/>
      <c r="EK12142"/>
    </row>
    <row r="12143" spans="1:141" s="116" customFormat="1">
      <c r="A12143" s="136"/>
      <c r="CM12143" s="111"/>
      <c r="CQ12143" s="111"/>
      <c r="EF12143"/>
      <c r="EG12143"/>
      <c r="EH12143"/>
      <c r="EI12143"/>
      <c r="EJ12143"/>
      <c r="EK12143"/>
    </row>
    <row r="12144" spans="1:141" s="116" customFormat="1">
      <c r="A12144" s="136"/>
      <c r="CM12144" s="111"/>
      <c r="CQ12144" s="111"/>
      <c r="EF12144"/>
      <c r="EG12144"/>
      <c r="EH12144"/>
      <c r="EI12144"/>
      <c r="EJ12144"/>
      <c r="EK12144"/>
    </row>
    <row r="12145" spans="1:141" s="116" customFormat="1">
      <c r="A12145" s="136"/>
      <c r="CM12145" s="111"/>
      <c r="CQ12145" s="111"/>
      <c r="EF12145"/>
      <c r="EG12145"/>
      <c r="EH12145"/>
      <c r="EI12145"/>
      <c r="EJ12145"/>
      <c r="EK12145"/>
    </row>
    <row r="12146" spans="1:141" s="116" customFormat="1">
      <c r="A12146" s="136"/>
      <c r="CM12146" s="111"/>
      <c r="CQ12146" s="111"/>
      <c r="EF12146"/>
      <c r="EG12146"/>
      <c r="EH12146"/>
      <c r="EI12146"/>
      <c r="EJ12146"/>
      <c r="EK12146"/>
    </row>
    <row r="12147" spans="1:141" s="116" customFormat="1">
      <c r="A12147" s="136"/>
      <c r="CM12147" s="111"/>
      <c r="CQ12147" s="111"/>
      <c r="EF12147"/>
      <c r="EG12147"/>
      <c r="EH12147"/>
      <c r="EI12147"/>
      <c r="EJ12147"/>
      <c r="EK12147"/>
    </row>
    <row r="12148" spans="1:141" s="116" customFormat="1">
      <c r="A12148" s="136"/>
      <c r="CM12148" s="111"/>
      <c r="CQ12148" s="111"/>
      <c r="EF12148"/>
      <c r="EG12148"/>
      <c r="EH12148"/>
      <c r="EI12148"/>
      <c r="EJ12148"/>
      <c r="EK12148"/>
    </row>
    <row r="12149" spans="1:141" s="116" customFormat="1">
      <c r="A12149" s="136"/>
      <c r="CM12149" s="111"/>
      <c r="CQ12149" s="111"/>
      <c r="EF12149"/>
      <c r="EG12149"/>
      <c r="EH12149"/>
      <c r="EI12149"/>
      <c r="EJ12149"/>
      <c r="EK12149"/>
    </row>
    <row r="12150" spans="1:141" s="116" customFormat="1">
      <c r="A12150" s="136"/>
      <c r="CM12150" s="111"/>
      <c r="CQ12150" s="111"/>
      <c r="EF12150"/>
      <c r="EG12150"/>
      <c r="EH12150"/>
      <c r="EI12150"/>
      <c r="EJ12150"/>
      <c r="EK12150"/>
    </row>
    <row r="12151" spans="1:141" s="116" customFormat="1">
      <c r="A12151" s="136"/>
      <c r="CM12151" s="111"/>
      <c r="CQ12151" s="111"/>
      <c r="EF12151"/>
      <c r="EG12151"/>
      <c r="EH12151"/>
      <c r="EI12151"/>
      <c r="EJ12151"/>
      <c r="EK12151"/>
    </row>
    <row r="12152" spans="1:141" s="116" customFormat="1">
      <c r="A12152" s="136"/>
      <c r="CM12152" s="111"/>
      <c r="CQ12152" s="111"/>
      <c r="EF12152"/>
      <c r="EG12152"/>
      <c r="EH12152"/>
      <c r="EI12152"/>
      <c r="EJ12152"/>
      <c r="EK12152"/>
    </row>
    <row r="12153" spans="1:141" s="116" customFormat="1">
      <c r="A12153" s="136"/>
      <c r="CM12153" s="111"/>
      <c r="CQ12153" s="111"/>
      <c r="EF12153"/>
      <c r="EG12153"/>
      <c r="EH12153"/>
      <c r="EI12153"/>
      <c r="EJ12153"/>
      <c r="EK12153"/>
    </row>
    <row r="12154" spans="1:141" s="116" customFormat="1">
      <c r="A12154" s="136"/>
      <c r="CM12154" s="111"/>
      <c r="CQ12154" s="111"/>
      <c r="EF12154"/>
      <c r="EG12154"/>
      <c r="EH12154"/>
      <c r="EI12154"/>
      <c r="EJ12154"/>
      <c r="EK12154"/>
    </row>
    <row r="12155" spans="1:141" s="116" customFormat="1">
      <c r="A12155" s="136"/>
      <c r="CM12155" s="111"/>
      <c r="CQ12155" s="111"/>
      <c r="EF12155"/>
      <c r="EG12155"/>
      <c r="EH12155"/>
      <c r="EI12155"/>
      <c r="EJ12155"/>
      <c r="EK12155"/>
    </row>
    <row r="12156" spans="1:141" s="116" customFormat="1">
      <c r="A12156" s="136"/>
      <c r="CM12156" s="111"/>
      <c r="CQ12156" s="111"/>
      <c r="EF12156"/>
      <c r="EG12156"/>
      <c r="EH12156"/>
      <c r="EI12156"/>
      <c r="EJ12156"/>
      <c r="EK12156"/>
    </row>
    <row r="12157" spans="1:141" s="116" customFormat="1">
      <c r="A12157" s="136"/>
      <c r="CM12157" s="111"/>
      <c r="CQ12157" s="111"/>
      <c r="EF12157"/>
      <c r="EG12157"/>
      <c r="EH12157"/>
      <c r="EI12157"/>
      <c r="EJ12157"/>
      <c r="EK12157"/>
    </row>
    <row r="12158" spans="1:141" s="116" customFormat="1">
      <c r="A12158" s="136"/>
      <c r="CM12158" s="111"/>
      <c r="CQ12158" s="111"/>
      <c r="EF12158"/>
      <c r="EG12158"/>
      <c r="EH12158"/>
      <c r="EI12158"/>
      <c r="EJ12158"/>
      <c r="EK12158"/>
    </row>
    <row r="12159" spans="1:141" s="116" customFormat="1">
      <c r="A12159" s="136"/>
      <c r="CM12159" s="111"/>
      <c r="CQ12159" s="111"/>
      <c r="EF12159"/>
      <c r="EG12159"/>
      <c r="EH12159"/>
      <c r="EI12159"/>
      <c r="EJ12159"/>
      <c r="EK12159"/>
    </row>
    <row r="12160" spans="1:141" s="116" customFormat="1">
      <c r="A12160" s="136"/>
      <c r="CM12160" s="111"/>
      <c r="CQ12160" s="111"/>
      <c r="EF12160"/>
      <c r="EG12160"/>
      <c r="EH12160"/>
      <c r="EI12160"/>
      <c r="EJ12160"/>
      <c r="EK12160"/>
    </row>
    <row r="12161" spans="1:141" s="116" customFormat="1">
      <c r="A12161" s="136"/>
      <c r="CM12161" s="111"/>
      <c r="CQ12161" s="111"/>
      <c r="EF12161"/>
      <c r="EG12161"/>
      <c r="EH12161"/>
      <c r="EI12161"/>
      <c r="EJ12161"/>
      <c r="EK12161"/>
    </row>
    <row r="12162" spans="1:141" s="116" customFormat="1">
      <c r="A12162" s="136"/>
      <c r="CM12162" s="111"/>
      <c r="CQ12162" s="111"/>
      <c r="EF12162"/>
      <c r="EG12162"/>
      <c r="EH12162"/>
      <c r="EI12162"/>
      <c r="EJ12162"/>
      <c r="EK12162"/>
    </row>
    <row r="12163" spans="1:141" s="116" customFormat="1">
      <c r="A12163" s="136"/>
      <c r="CM12163" s="111"/>
      <c r="CQ12163" s="111"/>
      <c r="EF12163"/>
      <c r="EG12163"/>
      <c r="EH12163"/>
      <c r="EI12163"/>
      <c r="EJ12163"/>
      <c r="EK12163"/>
    </row>
    <row r="12164" spans="1:141" s="116" customFormat="1">
      <c r="A12164" s="136"/>
      <c r="CM12164" s="111"/>
      <c r="CQ12164" s="111"/>
      <c r="EF12164"/>
      <c r="EG12164"/>
      <c r="EH12164"/>
      <c r="EI12164"/>
      <c r="EJ12164"/>
      <c r="EK12164"/>
    </row>
    <row r="12165" spans="1:141" s="116" customFormat="1">
      <c r="A12165" s="136"/>
      <c r="CM12165" s="111"/>
      <c r="CQ12165" s="111"/>
      <c r="EF12165"/>
      <c r="EG12165"/>
      <c r="EH12165"/>
      <c r="EI12165"/>
      <c r="EJ12165"/>
      <c r="EK12165"/>
    </row>
    <row r="12166" spans="1:141" s="116" customFormat="1">
      <c r="A12166" s="136"/>
      <c r="CM12166" s="111"/>
      <c r="CQ12166" s="111"/>
      <c r="EF12166"/>
      <c r="EG12166"/>
      <c r="EH12166"/>
      <c r="EI12166"/>
      <c r="EJ12166"/>
      <c r="EK12166"/>
    </row>
    <row r="12167" spans="1:141" s="116" customFormat="1">
      <c r="A12167" s="136"/>
      <c r="CM12167" s="111"/>
      <c r="CQ12167" s="111"/>
      <c r="EF12167"/>
      <c r="EG12167"/>
      <c r="EH12167"/>
      <c r="EI12167"/>
      <c r="EJ12167"/>
      <c r="EK12167"/>
    </row>
    <row r="12168" spans="1:141" s="116" customFormat="1">
      <c r="A12168" s="136"/>
      <c r="CM12168" s="111"/>
      <c r="CQ12168" s="111"/>
      <c r="EF12168"/>
      <c r="EG12168"/>
      <c r="EH12168"/>
      <c r="EI12168"/>
      <c r="EJ12168"/>
      <c r="EK12168"/>
    </row>
    <row r="12169" spans="1:141" s="116" customFormat="1">
      <c r="A12169" s="136"/>
      <c r="CM12169" s="111"/>
      <c r="CQ12169" s="111"/>
      <c r="EF12169"/>
      <c r="EG12169"/>
      <c r="EH12169"/>
      <c r="EI12169"/>
      <c r="EJ12169"/>
      <c r="EK12169"/>
    </row>
    <row r="12170" spans="1:141" s="116" customFormat="1">
      <c r="A12170" s="136"/>
      <c r="CM12170" s="111"/>
      <c r="CQ12170" s="111"/>
      <c r="EF12170"/>
      <c r="EG12170"/>
      <c r="EH12170"/>
      <c r="EI12170"/>
      <c r="EJ12170"/>
      <c r="EK12170"/>
    </row>
    <row r="12171" spans="1:141" s="116" customFormat="1">
      <c r="A12171" s="136"/>
      <c r="CM12171" s="111"/>
      <c r="CQ12171" s="111"/>
      <c r="EF12171"/>
      <c r="EG12171"/>
      <c r="EH12171"/>
      <c r="EI12171"/>
      <c r="EJ12171"/>
      <c r="EK12171"/>
    </row>
    <row r="12172" spans="1:141" s="116" customFormat="1">
      <c r="A12172" s="136"/>
      <c r="CM12172" s="111"/>
      <c r="CQ12172" s="111"/>
      <c r="EF12172"/>
      <c r="EG12172"/>
      <c r="EH12172"/>
      <c r="EI12172"/>
      <c r="EJ12172"/>
      <c r="EK12172"/>
    </row>
    <row r="12173" spans="1:141" s="116" customFormat="1">
      <c r="A12173" s="136"/>
      <c r="CM12173" s="111"/>
      <c r="CQ12173" s="111"/>
      <c r="EF12173"/>
      <c r="EG12173"/>
      <c r="EH12173"/>
      <c r="EI12173"/>
      <c r="EJ12173"/>
      <c r="EK12173"/>
    </row>
    <row r="12174" spans="1:141" s="116" customFormat="1">
      <c r="A12174" s="136"/>
      <c r="CM12174" s="111"/>
      <c r="CQ12174" s="111"/>
      <c r="EF12174"/>
      <c r="EG12174"/>
      <c r="EH12174"/>
      <c r="EI12174"/>
      <c r="EJ12174"/>
      <c r="EK12174"/>
    </row>
    <row r="12175" spans="1:141" s="116" customFormat="1">
      <c r="A12175" s="136"/>
      <c r="CM12175" s="111"/>
      <c r="CQ12175" s="111"/>
      <c r="EF12175"/>
      <c r="EG12175"/>
      <c r="EH12175"/>
      <c r="EI12175"/>
      <c r="EJ12175"/>
      <c r="EK12175"/>
    </row>
    <row r="12176" spans="1:141" s="116" customFormat="1">
      <c r="A12176" s="136"/>
      <c r="CM12176" s="111"/>
      <c r="CQ12176" s="111"/>
      <c r="EF12176"/>
      <c r="EG12176"/>
      <c r="EH12176"/>
      <c r="EI12176"/>
      <c r="EJ12176"/>
      <c r="EK12176"/>
    </row>
    <row r="12177" spans="1:141" s="116" customFormat="1">
      <c r="A12177" s="136"/>
      <c r="CM12177" s="111"/>
      <c r="CQ12177" s="111"/>
      <c r="EF12177"/>
      <c r="EG12177"/>
      <c r="EH12177"/>
      <c r="EI12177"/>
      <c r="EJ12177"/>
      <c r="EK12177"/>
    </row>
    <row r="12178" spans="1:141" s="116" customFormat="1">
      <c r="A12178" s="136"/>
      <c r="CM12178" s="111"/>
      <c r="CQ12178" s="111"/>
      <c r="EF12178"/>
      <c r="EG12178"/>
      <c r="EH12178"/>
      <c r="EI12178"/>
      <c r="EJ12178"/>
      <c r="EK12178"/>
    </row>
    <row r="12179" spans="1:141" s="116" customFormat="1">
      <c r="A12179" s="136"/>
      <c r="CM12179" s="111"/>
      <c r="CQ12179" s="111"/>
      <c r="EF12179"/>
      <c r="EG12179"/>
      <c r="EH12179"/>
      <c r="EI12179"/>
      <c r="EJ12179"/>
      <c r="EK12179"/>
    </row>
    <row r="12180" spans="1:141" s="116" customFormat="1">
      <c r="A12180" s="136"/>
      <c r="CM12180" s="111"/>
      <c r="CQ12180" s="111"/>
      <c r="EF12180"/>
      <c r="EG12180"/>
      <c r="EH12180"/>
      <c r="EI12180"/>
      <c r="EJ12180"/>
      <c r="EK12180"/>
    </row>
    <row r="12181" spans="1:141" s="116" customFormat="1">
      <c r="A12181" s="136"/>
      <c r="CM12181" s="111"/>
      <c r="CQ12181" s="111"/>
      <c r="EF12181"/>
      <c r="EG12181"/>
      <c r="EH12181"/>
      <c r="EI12181"/>
      <c r="EJ12181"/>
      <c r="EK12181"/>
    </row>
    <row r="12182" spans="1:141" s="116" customFormat="1">
      <c r="A12182" s="136"/>
      <c r="CM12182" s="111"/>
      <c r="CQ12182" s="111"/>
      <c r="EF12182"/>
      <c r="EG12182"/>
      <c r="EH12182"/>
      <c r="EI12182"/>
      <c r="EJ12182"/>
      <c r="EK12182"/>
    </row>
    <row r="12183" spans="1:141" s="116" customFormat="1">
      <c r="A12183" s="136"/>
      <c r="CM12183" s="111"/>
      <c r="CQ12183" s="111"/>
      <c r="EF12183"/>
      <c r="EG12183"/>
      <c r="EH12183"/>
      <c r="EI12183"/>
      <c r="EJ12183"/>
      <c r="EK12183"/>
    </row>
    <row r="12184" spans="1:141" s="116" customFormat="1">
      <c r="A12184" s="136"/>
      <c r="CM12184" s="111"/>
      <c r="CQ12184" s="111"/>
      <c r="EF12184"/>
      <c r="EG12184"/>
      <c r="EH12184"/>
      <c r="EI12184"/>
      <c r="EJ12184"/>
      <c r="EK12184"/>
    </row>
    <row r="12185" spans="1:141" s="116" customFormat="1">
      <c r="A12185" s="136"/>
      <c r="CM12185" s="111"/>
      <c r="CQ12185" s="111"/>
      <c r="EF12185"/>
      <c r="EG12185"/>
      <c r="EH12185"/>
      <c r="EI12185"/>
      <c r="EJ12185"/>
      <c r="EK12185"/>
    </row>
    <row r="12186" spans="1:141" s="116" customFormat="1">
      <c r="A12186" s="136"/>
      <c r="CM12186" s="111"/>
      <c r="CQ12186" s="111"/>
      <c r="EF12186"/>
      <c r="EG12186"/>
      <c r="EH12186"/>
      <c r="EI12186"/>
      <c r="EJ12186"/>
      <c r="EK12186"/>
    </row>
    <row r="12187" spans="1:141" s="116" customFormat="1">
      <c r="A12187" s="136"/>
      <c r="CM12187" s="111"/>
      <c r="CQ12187" s="111"/>
      <c r="EF12187"/>
      <c r="EG12187"/>
      <c r="EH12187"/>
      <c r="EI12187"/>
      <c r="EJ12187"/>
      <c r="EK12187"/>
    </row>
    <row r="12188" spans="1:141" s="116" customFormat="1">
      <c r="A12188" s="136"/>
      <c r="CM12188" s="111"/>
      <c r="CQ12188" s="111"/>
      <c r="EF12188"/>
      <c r="EG12188"/>
      <c r="EH12188"/>
      <c r="EI12188"/>
      <c r="EJ12188"/>
      <c r="EK12188"/>
    </row>
    <row r="12189" spans="1:141" s="116" customFormat="1">
      <c r="A12189" s="136"/>
      <c r="CM12189" s="111"/>
      <c r="CQ12189" s="111"/>
      <c r="EF12189"/>
      <c r="EG12189"/>
      <c r="EH12189"/>
      <c r="EI12189"/>
      <c r="EJ12189"/>
      <c r="EK12189"/>
    </row>
    <row r="12190" spans="1:141" s="116" customFormat="1">
      <c r="A12190" s="136"/>
      <c r="CM12190" s="111"/>
      <c r="CQ12190" s="111"/>
      <c r="EF12190"/>
      <c r="EG12190"/>
      <c r="EH12190"/>
      <c r="EI12190"/>
      <c r="EJ12190"/>
      <c r="EK12190"/>
    </row>
    <row r="12191" spans="1:141" s="116" customFormat="1">
      <c r="A12191" s="136"/>
      <c r="CM12191" s="111"/>
      <c r="CQ12191" s="111"/>
      <c r="EF12191"/>
      <c r="EG12191"/>
      <c r="EH12191"/>
      <c r="EI12191"/>
      <c r="EJ12191"/>
      <c r="EK12191"/>
    </row>
    <row r="12192" spans="1:141" s="116" customFormat="1">
      <c r="A12192" s="136"/>
      <c r="CM12192" s="111"/>
      <c r="CQ12192" s="111"/>
      <c r="EF12192"/>
      <c r="EG12192"/>
      <c r="EH12192"/>
      <c r="EI12192"/>
      <c r="EJ12192"/>
      <c r="EK12192"/>
    </row>
    <row r="12193" spans="1:141" s="116" customFormat="1">
      <c r="A12193" s="136"/>
      <c r="CM12193" s="111"/>
      <c r="CQ12193" s="111"/>
      <c r="EF12193"/>
      <c r="EG12193"/>
      <c r="EH12193"/>
      <c r="EI12193"/>
      <c r="EJ12193"/>
      <c r="EK12193"/>
    </row>
    <row r="12194" spans="1:141" s="116" customFormat="1">
      <c r="A12194" s="136"/>
      <c r="CM12194" s="111"/>
      <c r="CQ12194" s="111"/>
      <c r="EF12194"/>
      <c r="EG12194"/>
      <c r="EH12194"/>
      <c r="EI12194"/>
      <c r="EJ12194"/>
      <c r="EK12194"/>
    </row>
    <row r="12195" spans="1:141" s="116" customFormat="1">
      <c r="A12195" s="136"/>
      <c r="CM12195" s="111"/>
      <c r="CQ12195" s="111"/>
      <c r="EF12195"/>
      <c r="EG12195"/>
      <c r="EH12195"/>
      <c r="EI12195"/>
      <c r="EJ12195"/>
      <c r="EK12195"/>
    </row>
    <row r="12196" spans="1:141" s="116" customFormat="1">
      <c r="A12196" s="136"/>
      <c r="CM12196" s="111"/>
      <c r="CQ12196" s="111"/>
      <c r="EF12196"/>
      <c r="EG12196"/>
      <c r="EH12196"/>
      <c r="EI12196"/>
      <c r="EJ12196"/>
      <c r="EK12196"/>
    </row>
    <row r="12197" spans="1:141" s="116" customFormat="1">
      <c r="A12197" s="136"/>
      <c r="CM12197" s="111"/>
      <c r="CQ12197" s="111"/>
      <c r="EF12197"/>
      <c r="EG12197"/>
      <c r="EH12197"/>
      <c r="EI12197"/>
      <c r="EJ12197"/>
      <c r="EK12197"/>
    </row>
    <row r="12198" spans="1:141" s="116" customFormat="1">
      <c r="A12198" s="136"/>
      <c r="CM12198" s="111"/>
      <c r="CQ12198" s="111"/>
      <c r="EF12198"/>
      <c r="EG12198"/>
      <c r="EH12198"/>
      <c r="EI12198"/>
      <c r="EJ12198"/>
      <c r="EK12198"/>
    </row>
    <row r="12199" spans="1:141" s="116" customFormat="1">
      <c r="A12199" s="136"/>
      <c r="CM12199" s="111"/>
      <c r="CQ12199" s="111"/>
      <c r="EF12199"/>
      <c r="EG12199"/>
      <c r="EH12199"/>
      <c r="EI12199"/>
      <c r="EJ12199"/>
      <c r="EK12199"/>
    </row>
    <row r="12200" spans="1:141" s="116" customFormat="1">
      <c r="A12200" s="136"/>
      <c r="CM12200" s="111"/>
      <c r="CQ12200" s="111"/>
      <c r="EF12200"/>
      <c r="EG12200"/>
      <c r="EH12200"/>
      <c r="EI12200"/>
      <c r="EJ12200"/>
      <c r="EK12200"/>
    </row>
    <row r="12201" spans="1:141" s="116" customFormat="1">
      <c r="A12201" s="136"/>
      <c r="CM12201" s="111"/>
      <c r="CQ12201" s="111"/>
      <c r="EF12201"/>
      <c r="EG12201"/>
      <c r="EH12201"/>
      <c r="EI12201"/>
      <c r="EJ12201"/>
      <c r="EK12201"/>
    </row>
    <row r="12202" spans="1:141" s="116" customFormat="1">
      <c r="A12202" s="136"/>
      <c r="CM12202" s="111"/>
      <c r="CQ12202" s="111"/>
      <c r="EF12202"/>
      <c r="EG12202"/>
      <c r="EH12202"/>
      <c r="EI12202"/>
      <c r="EJ12202"/>
      <c r="EK12202"/>
    </row>
    <row r="12203" spans="1:141" s="116" customFormat="1">
      <c r="A12203" s="136"/>
      <c r="CM12203" s="111"/>
      <c r="CQ12203" s="111"/>
      <c r="EF12203"/>
      <c r="EG12203"/>
      <c r="EH12203"/>
      <c r="EI12203"/>
      <c r="EJ12203"/>
      <c r="EK12203"/>
    </row>
    <row r="12204" spans="1:141" s="116" customFormat="1">
      <c r="A12204" s="136"/>
      <c r="CM12204" s="111"/>
      <c r="CQ12204" s="111"/>
      <c r="EF12204"/>
      <c r="EG12204"/>
      <c r="EH12204"/>
      <c r="EI12204"/>
      <c r="EJ12204"/>
      <c r="EK12204"/>
    </row>
    <row r="12205" spans="1:141" s="116" customFormat="1">
      <c r="A12205" s="136"/>
      <c r="CM12205" s="111"/>
      <c r="CQ12205" s="111"/>
      <c r="EF12205"/>
      <c r="EG12205"/>
      <c r="EH12205"/>
      <c r="EI12205"/>
      <c r="EJ12205"/>
      <c r="EK12205"/>
    </row>
    <row r="12206" spans="1:141" s="116" customFormat="1">
      <c r="A12206" s="136"/>
      <c r="CM12206" s="111"/>
      <c r="CQ12206" s="111"/>
      <c r="EF12206"/>
      <c r="EG12206"/>
      <c r="EH12206"/>
      <c r="EI12206"/>
      <c r="EJ12206"/>
      <c r="EK12206"/>
    </row>
    <row r="12207" spans="1:141" s="116" customFormat="1">
      <c r="A12207" s="136"/>
      <c r="CM12207" s="111"/>
      <c r="CQ12207" s="111"/>
      <c r="EF12207"/>
      <c r="EG12207"/>
      <c r="EH12207"/>
      <c r="EI12207"/>
      <c r="EJ12207"/>
      <c r="EK12207"/>
    </row>
    <row r="12208" spans="1:141" s="116" customFormat="1">
      <c r="A12208" s="136"/>
      <c r="CM12208" s="111"/>
      <c r="CQ12208" s="111"/>
      <c r="EF12208"/>
      <c r="EG12208"/>
      <c r="EH12208"/>
      <c r="EI12208"/>
      <c r="EJ12208"/>
      <c r="EK12208"/>
    </row>
    <row r="12209" spans="1:141" s="116" customFormat="1">
      <c r="A12209" s="136"/>
      <c r="CM12209" s="111"/>
      <c r="CQ12209" s="111"/>
      <c r="EF12209"/>
      <c r="EG12209"/>
      <c r="EH12209"/>
      <c r="EI12209"/>
      <c r="EJ12209"/>
      <c r="EK12209"/>
    </row>
    <row r="12210" spans="1:141" s="116" customFormat="1">
      <c r="A12210" s="136"/>
      <c r="CM12210" s="111"/>
      <c r="CQ12210" s="111"/>
      <c r="EF12210"/>
      <c r="EG12210"/>
      <c r="EH12210"/>
      <c r="EI12210"/>
      <c r="EJ12210"/>
      <c r="EK12210"/>
    </row>
    <row r="12211" spans="1:141" s="116" customFormat="1">
      <c r="A12211" s="136"/>
      <c r="CM12211" s="111"/>
      <c r="CQ12211" s="111"/>
      <c r="EF12211"/>
      <c r="EG12211"/>
      <c r="EH12211"/>
      <c r="EI12211"/>
      <c r="EJ12211"/>
      <c r="EK12211"/>
    </row>
    <row r="12212" spans="1:141" s="116" customFormat="1">
      <c r="A12212" s="136"/>
      <c r="CM12212" s="111"/>
      <c r="CQ12212" s="111"/>
      <c r="EF12212"/>
      <c r="EG12212"/>
      <c r="EH12212"/>
      <c r="EI12212"/>
      <c r="EJ12212"/>
      <c r="EK12212"/>
    </row>
    <row r="12213" spans="1:141" s="116" customFormat="1">
      <c r="A12213" s="136"/>
      <c r="CM12213" s="111"/>
      <c r="CQ12213" s="111"/>
      <c r="EF12213"/>
      <c r="EG12213"/>
      <c r="EH12213"/>
      <c r="EI12213"/>
      <c r="EJ12213"/>
      <c r="EK12213"/>
    </row>
    <row r="12214" spans="1:141" s="116" customFormat="1">
      <c r="A12214" s="136"/>
      <c r="CM12214" s="111"/>
      <c r="CQ12214" s="111"/>
      <c r="EF12214"/>
      <c r="EG12214"/>
      <c r="EH12214"/>
      <c r="EI12214"/>
      <c r="EJ12214"/>
      <c r="EK12214"/>
    </row>
    <row r="12215" spans="1:141" s="116" customFormat="1">
      <c r="A12215" s="136"/>
      <c r="CM12215" s="111"/>
      <c r="CQ12215" s="111"/>
      <c r="EF12215"/>
      <c r="EG12215"/>
      <c r="EH12215"/>
      <c r="EI12215"/>
      <c r="EJ12215"/>
      <c r="EK12215"/>
    </row>
    <row r="12216" spans="1:141" s="116" customFormat="1">
      <c r="A12216" s="136"/>
      <c r="CM12216" s="111"/>
      <c r="CQ12216" s="111"/>
      <c r="EF12216"/>
      <c r="EG12216"/>
      <c r="EH12216"/>
      <c r="EI12216"/>
      <c r="EJ12216"/>
      <c r="EK12216"/>
    </row>
    <row r="12217" spans="1:141" s="116" customFormat="1">
      <c r="A12217" s="136"/>
      <c r="CM12217" s="111"/>
      <c r="CQ12217" s="111"/>
      <c r="EF12217"/>
      <c r="EG12217"/>
      <c r="EH12217"/>
      <c r="EI12217"/>
      <c r="EJ12217"/>
      <c r="EK12217"/>
    </row>
    <row r="12218" spans="1:141" s="116" customFormat="1">
      <c r="A12218" s="136"/>
      <c r="CM12218" s="111"/>
      <c r="CQ12218" s="111"/>
      <c r="EF12218"/>
      <c r="EG12218"/>
      <c r="EH12218"/>
      <c r="EI12218"/>
      <c r="EJ12218"/>
      <c r="EK12218"/>
    </row>
    <row r="12219" spans="1:141" s="116" customFormat="1">
      <c r="A12219" s="136"/>
      <c r="CM12219" s="111"/>
      <c r="CQ12219" s="111"/>
      <c r="EF12219"/>
      <c r="EG12219"/>
      <c r="EH12219"/>
      <c r="EI12219"/>
      <c r="EJ12219"/>
      <c r="EK12219"/>
    </row>
    <row r="12220" spans="1:141" s="116" customFormat="1">
      <c r="A12220" s="136"/>
      <c r="CM12220" s="111"/>
      <c r="CQ12220" s="111"/>
      <c r="EF12220"/>
      <c r="EG12220"/>
      <c r="EH12220"/>
      <c r="EI12220"/>
      <c r="EJ12220"/>
      <c r="EK12220"/>
    </row>
    <row r="12221" spans="1:141" s="116" customFormat="1">
      <c r="A12221" s="136"/>
      <c r="CM12221" s="111"/>
      <c r="CQ12221" s="111"/>
      <c r="EF12221"/>
      <c r="EG12221"/>
      <c r="EH12221"/>
      <c r="EI12221"/>
      <c r="EJ12221"/>
      <c r="EK12221"/>
    </row>
    <row r="12222" spans="1:141" s="116" customFormat="1">
      <c r="A12222" s="136"/>
      <c r="CM12222" s="111"/>
      <c r="CQ12222" s="111"/>
      <c r="EF12222"/>
      <c r="EG12222"/>
      <c r="EH12222"/>
      <c r="EI12222"/>
      <c r="EJ12222"/>
      <c r="EK12222"/>
    </row>
    <row r="12223" spans="1:141" s="116" customFormat="1">
      <c r="A12223" s="136"/>
      <c r="CM12223" s="111"/>
      <c r="CQ12223" s="111"/>
      <c r="EF12223"/>
      <c r="EG12223"/>
      <c r="EH12223"/>
      <c r="EI12223"/>
      <c r="EJ12223"/>
      <c r="EK12223"/>
    </row>
    <row r="12224" spans="1:141" s="116" customFormat="1">
      <c r="A12224" s="136"/>
      <c r="CM12224" s="111"/>
      <c r="CQ12224" s="111"/>
      <c r="EF12224"/>
      <c r="EG12224"/>
      <c r="EH12224"/>
      <c r="EI12224"/>
      <c r="EJ12224"/>
      <c r="EK12224"/>
    </row>
    <row r="12225" spans="1:141" s="116" customFormat="1">
      <c r="A12225" s="136"/>
      <c r="CM12225" s="111"/>
      <c r="CQ12225" s="111"/>
      <c r="EF12225"/>
      <c r="EG12225"/>
      <c r="EH12225"/>
      <c r="EI12225"/>
      <c r="EJ12225"/>
      <c r="EK12225"/>
    </row>
    <row r="12226" spans="1:141" s="116" customFormat="1">
      <c r="A12226" s="136"/>
      <c r="CM12226" s="111"/>
      <c r="CQ12226" s="111"/>
      <c r="EF12226"/>
      <c r="EG12226"/>
      <c r="EH12226"/>
      <c r="EI12226"/>
      <c r="EJ12226"/>
      <c r="EK12226"/>
    </row>
    <row r="12227" spans="1:141" s="116" customFormat="1">
      <c r="A12227" s="136"/>
      <c r="CM12227" s="111"/>
      <c r="CQ12227" s="111"/>
      <c r="EF12227"/>
      <c r="EG12227"/>
      <c r="EH12227"/>
      <c r="EI12227"/>
      <c r="EJ12227"/>
      <c r="EK12227"/>
    </row>
    <row r="12228" spans="1:141" s="116" customFormat="1">
      <c r="A12228" s="136"/>
      <c r="CM12228" s="111"/>
      <c r="CQ12228" s="111"/>
      <c r="EF12228"/>
      <c r="EG12228"/>
      <c r="EH12228"/>
      <c r="EI12228"/>
      <c r="EJ12228"/>
      <c r="EK12228"/>
    </row>
    <row r="12229" spans="1:141" s="116" customFormat="1">
      <c r="A12229" s="136"/>
      <c r="CM12229" s="111"/>
      <c r="CQ12229" s="111"/>
      <c r="EF12229"/>
      <c r="EG12229"/>
      <c r="EH12229"/>
      <c r="EI12229"/>
      <c r="EJ12229"/>
      <c r="EK12229"/>
    </row>
    <row r="12230" spans="1:141" s="116" customFormat="1">
      <c r="A12230" s="136"/>
      <c r="CM12230" s="111"/>
      <c r="CQ12230" s="111"/>
      <c r="EF12230"/>
      <c r="EG12230"/>
      <c r="EH12230"/>
      <c r="EI12230"/>
      <c r="EJ12230"/>
      <c r="EK12230"/>
    </row>
    <row r="12231" spans="1:141" s="116" customFormat="1">
      <c r="A12231" s="136"/>
      <c r="CM12231" s="111"/>
      <c r="CQ12231" s="111"/>
      <c r="EF12231"/>
      <c r="EG12231"/>
      <c r="EH12231"/>
      <c r="EI12231"/>
      <c r="EJ12231"/>
      <c r="EK12231"/>
    </row>
    <row r="12232" spans="1:141" s="116" customFormat="1">
      <c r="A12232" s="136"/>
      <c r="CM12232" s="111"/>
      <c r="CQ12232" s="111"/>
      <c r="EF12232"/>
      <c r="EG12232"/>
      <c r="EH12232"/>
      <c r="EI12232"/>
      <c r="EJ12232"/>
      <c r="EK12232"/>
    </row>
    <row r="12233" spans="1:141" s="116" customFormat="1">
      <c r="A12233" s="136"/>
      <c r="CM12233" s="111"/>
      <c r="CQ12233" s="111"/>
      <c r="EF12233"/>
      <c r="EG12233"/>
      <c r="EH12233"/>
      <c r="EI12233"/>
      <c r="EJ12233"/>
      <c r="EK12233"/>
    </row>
    <row r="12234" spans="1:141" s="116" customFormat="1">
      <c r="A12234" s="136"/>
      <c r="CM12234" s="111"/>
      <c r="CQ12234" s="111"/>
      <c r="EF12234"/>
      <c r="EG12234"/>
      <c r="EH12234"/>
      <c r="EI12234"/>
      <c r="EJ12234"/>
      <c r="EK12234"/>
    </row>
    <row r="12235" spans="1:141" s="116" customFormat="1">
      <c r="A12235" s="136"/>
      <c r="CM12235" s="111"/>
      <c r="CQ12235" s="111"/>
      <c r="EF12235"/>
      <c r="EG12235"/>
      <c r="EH12235"/>
      <c r="EI12235"/>
      <c r="EJ12235"/>
      <c r="EK12235"/>
    </row>
    <row r="12236" spans="1:141" s="116" customFormat="1">
      <c r="A12236" s="136"/>
      <c r="CM12236" s="111"/>
      <c r="CQ12236" s="111"/>
      <c r="EF12236"/>
      <c r="EG12236"/>
      <c r="EH12236"/>
      <c r="EI12236"/>
      <c r="EJ12236"/>
      <c r="EK12236"/>
    </row>
    <row r="12237" spans="1:141" s="116" customFormat="1">
      <c r="A12237" s="136"/>
      <c r="CM12237" s="111"/>
      <c r="CQ12237" s="111"/>
      <c r="EF12237"/>
      <c r="EG12237"/>
      <c r="EH12237"/>
      <c r="EI12237"/>
      <c r="EJ12237"/>
      <c r="EK12237"/>
    </row>
    <row r="12238" spans="1:141" s="116" customFormat="1">
      <c r="A12238" s="136"/>
      <c r="CM12238" s="111"/>
      <c r="CQ12238" s="111"/>
      <c r="EF12238"/>
      <c r="EG12238"/>
      <c r="EH12238"/>
      <c r="EI12238"/>
      <c r="EJ12238"/>
      <c r="EK12238"/>
    </row>
    <row r="12239" spans="1:141" s="116" customFormat="1">
      <c r="A12239" s="136"/>
      <c r="CM12239" s="111"/>
      <c r="CQ12239" s="111"/>
      <c r="EF12239"/>
      <c r="EG12239"/>
      <c r="EH12239"/>
      <c r="EI12239"/>
      <c r="EJ12239"/>
      <c r="EK12239"/>
    </row>
    <row r="12240" spans="1:141" s="116" customFormat="1">
      <c r="A12240" s="136"/>
      <c r="CM12240" s="111"/>
      <c r="CQ12240" s="111"/>
      <c r="EF12240"/>
      <c r="EG12240"/>
      <c r="EH12240"/>
      <c r="EI12240"/>
      <c r="EJ12240"/>
      <c r="EK12240"/>
    </row>
    <row r="12241" spans="1:141" s="116" customFormat="1">
      <c r="A12241" s="136"/>
      <c r="CM12241" s="111"/>
      <c r="CQ12241" s="111"/>
      <c r="EF12241"/>
      <c r="EG12241"/>
      <c r="EH12241"/>
      <c r="EI12241"/>
      <c r="EJ12241"/>
      <c r="EK12241"/>
    </row>
    <row r="12242" spans="1:141" s="116" customFormat="1">
      <c r="A12242" s="136"/>
      <c r="CM12242" s="111"/>
      <c r="CQ12242" s="111"/>
      <c r="EF12242"/>
      <c r="EG12242"/>
      <c r="EH12242"/>
      <c r="EI12242"/>
      <c r="EJ12242"/>
      <c r="EK12242"/>
    </row>
    <row r="12243" spans="1:141" s="116" customFormat="1">
      <c r="A12243" s="136"/>
      <c r="CM12243" s="111"/>
      <c r="CQ12243" s="111"/>
      <c r="EF12243"/>
      <c r="EG12243"/>
      <c r="EH12243"/>
      <c r="EI12243"/>
      <c r="EJ12243"/>
      <c r="EK12243"/>
    </row>
    <row r="12244" spans="1:141" s="116" customFormat="1">
      <c r="A12244" s="136"/>
      <c r="CM12244" s="111"/>
      <c r="CQ12244" s="111"/>
      <c r="EF12244"/>
      <c r="EG12244"/>
      <c r="EH12244"/>
      <c r="EI12244"/>
      <c r="EJ12244"/>
      <c r="EK12244"/>
    </row>
    <row r="12245" spans="1:141" s="116" customFormat="1">
      <c r="A12245" s="136"/>
      <c r="CM12245" s="111"/>
      <c r="CQ12245" s="111"/>
      <c r="EF12245"/>
      <c r="EG12245"/>
      <c r="EH12245"/>
      <c r="EI12245"/>
      <c r="EJ12245"/>
      <c r="EK12245"/>
    </row>
    <row r="12246" spans="1:141" s="116" customFormat="1">
      <c r="A12246" s="136"/>
      <c r="CM12246" s="111"/>
      <c r="CQ12246" s="111"/>
      <c r="EF12246"/>
      <c r="EG12246"/>
      <c r="EH12246"/>
      <c r="EI12246"/>
      <c r="EJ12246"/>
      <c r="EK12246"/>
    </row>
    <row r="12247" spans="1:141" s="116" customFormat="1">
      <c r="A12247" s="136"/>
      <c r="CM12247" s="111"/>
      <c r="CQ12247" s="111"/>
      <c r="EF12247"/>
      <c r="EG12247"/>
      <c r="EH12247"/>
      <c r="EI12247"/>
      <c r="EJ12247"/>
      <c r="EK12247"/>
    </row>
    <row r="12248" spans="1:141" s="116" customFormat="1">
      <c r="A12248" s="136"/>
      <c r="CM12248" s="111"/>
      <c r="CQ12248" s="111"/>
      <c r="EF12248"/>
      <c r="EG12248"/>
      <c r="EH12248"/>
      <c r="EI12248"/>
      <c r="EJ12248"/>
      <c r="EK12248"/>
    </row>
    <row r="12249" spans="1:141" s="116" customFormat="1">
      <c r="A12249" s="136"/>
      <c r="CM12249" s="111"/>
      <c r="CQ12249" s="111"/>
      <c r="EF12249"/>
      <c r="EG12249"/>
      <c r="EH12249"/>
      <c r="EI12249"/>
      <c r="EJ12249"/>
      <c r="EK12249"/>
    </row>
    <row r="12250" spans="1:141" s="116" customFormat="1">
      <c r="A12250" s="136"/>
      <c r="CM12250" s="111"/>
      <c r="CQ12250" s="111"/>
      <c r="EF12250"/>
      <c r="EG12250"/>
      <c r="EH12250"/>
      <c r="EI12250"/>
      <c r="EJ12250"/>
      <c r="EK12250"/>
    </row>
    <row r="12251" spans="1:141" s="116" customFormat="1">
      <c r="A12251" s="136"/>
      <c r="CM12251" s="111"/>
      <c r="CQ12251" s="111"/>
      <c r="EF12251"/>
      <c r="EG12251"/>
      <c r="EH12251"/>
      <c r="EI12251"/>
      <c r="EJ12251"/>
      <c r="EK12251"/>
    </row>
    <row r="12252" spans="1:141" s="116" customFormat="1">
      <c r="A12252" s="136"/>
      <c r="CM12252" s="111"/>
      <c r="CQ12252" s="111"/>
      <c r="EF12252"/>
      <c r="EG12252"/>
      <c r="EH12252"/>
      <c r="EI12252"/>
      <c r="EJ12252"/>
      <c r="EK12252"/>
    </row>
    <row r="12253" spans="1:141" s="116" customFormat="1">
      <c r="A12253" s="136"/>
      <c r="CM12253" s="111"/>
      <c r="CQ12253" s="111"/>
      <c r="EF12253"/>
      <c r="EG12253"/>
      <c r="EH12253"/>
      <c r="EI12253"/>
      <c r="EJ12253"/>
      <c r="EK12253"/>
    </row>
    <row r="12254" spans="1:141" s="116" customFormat="1">
      <c r="A12254" s="136"/>
      <c r="CM12254" s="111"/>
      <c r="CQ12254" s="111"/>
      <c r="EF12254"/>
      <c r="EG12254"/>
      <c r="EH12254"/>
      <c r="EI12254"/>
      <c r="EJ12254"/>
      <c r="EK12254"/>
    </row>
    <row r="12255" spans="1:141" s="116" customFormat="1">
      <c r="A12255" s="136"/>
      <c r="CM12255" s="111"/>
      <c r="CQ12255" s="111"/>
      <c r="EF12255"/>
      <c r="EG12255"/>
      <c r="EH12255"/>
      <c r="EI12255"/>
      <c r="EJ12255"/>
      <c r="EK12255"/>
    </row>
    <row r="12256" spans="1:141" s="116" customFormat="1">
      <c r="A12256" s="136"/>
      <c r="CM12256" s="111"/>
      <c r="CQ12256" s="111"/>
      <c r="EF12256"/>
      <c r="EG12256"/>
      <c r="EH12256"/>
      <c r="EI12256"/>
      <c r="EJ12256"/>
      <c r="EK12256"/>
    </row>
    <row r="12257" spans="1:141" s="116" customFormat="1">
      <c r="A12257" s="136"/>
      <c r="CM12257" s="111"/>
      <c r="CQ12257" s="111"/>
      <c r="EF12257"/>
      <c r="EG12257"/>
      <c r="EH12257"/>
      <c r="EI12257"/>
      <c r="EJ12257"/>
      <c r="EK12257"/>
    </row>
    <row r="12258" spans="1:141" s="116" customFormat="1">
      <c r="A12258" s="136"/>
      <c r="CM12258" s="111"/>
      <c r="CQ12258" s="111"/>
      <c r="EF12258"/>
      <c r="EG12258"/>
      <c r="EH12258"/>
      <c r="EI12258"/>
      <c r="EJ12258"/>
      <c r="EK12258"/>
    </row>
    <row r="12259" spans="1:141" s="116" customFormat="1">
      <c r="A12259" s="136"/>
      <c r="CM12259" s="111"/>
      <c r="CQ12259" s="111"/>
      <c r="EF12259"/>
      <c r="EG12259"/>
      <c r="EH12259"/>
      <c r="EI12259"/>
      <c r="EJ12259"/>
      <c r="EK12259"/>
    </row>
    <row r="12260" spans="1:141" s="116" customFormat="1">
      <c r="A12260" s="136"/>
      <c r="CM12260" s="111"/>
      <c r="CQ12260" s="111"/>
      <c r="EF12260"/>
      <c r="EG12260"/>
      <c r="EH12260"/>
      <c r="EI12260"/>
      <c r="EJ12260"/>
      <c r="EK12260"/>
    </row>
    <row r="12261" spans="1:141" s="116" customFormat="1">
      <c r="A12261" s="136"/>
      <c r="CM12261" s="111"/>
      <c r="CQ12261" s="111"/>
      <c r="EF12261"/>
      <c r="EG12261"/>
      <c r="EH12261"/>
      <c r="EI12261"/>
      <c r="EJ12261"/>
      <c r="EK12261"/>
    </row>
    <row r="12262" spans="1:141" s="116" customFormat="1">
      <c r="A12262" s="136"/>
      <c r="CM12262" s="111"/>
      <c r="CQ12262" s="111"/>
      <c r="EF12262"/>
      <c r="EG12262"/>
      <c r="EH12262"/>
      <c r="EI12262"/>
      <c r="EJ12262"/>
      <c r="EK12262"/>
    </row>
    <row r="12263" spans="1:141" s="116" customFormat="1">
      <c r="A12263" s="136"/>
      <c r="CM12263" s="111"/>
      <c r="CQ12263" s="111"/>
      <c r="EF12263"/>
      <c r="EG12263"/>
      <c r="EH12263"/>
      <c r="EI12263"/>
      <c r="EJ12263"/>
      <c r="EK12263"/>
    </row>
    <row r="12264" spans="1:141" s="116" customFormat="1">
      <c r="A12264" s="136"/>
      <c r="CM12264" s="111"/>
      <c r="CQ12264" s="111"/>
      <c r="EF12264"/>
      <c r="EG12264"/>
      <c r="EH12264"/>
      <c r="EI12264"/>
      <c r="EJ12264"/>
      <c r="EK12264"/>
    </row>
    <row r="12265" spans="1:141" s="116" customFormat="1">
      <c r="A12265" s="136"/>
      <c r="CM12265" s="111"/>
      <c r="CQ12265" s="111"/>
      <c r="EF12265"/>
      <c r="EG12265"/>
      <c r="EH12265"/>
      <c r="EI12265"/>
      <c r="EJ12265"/>
      <c r="EK12265"/>
    </row>
    <row r="12266" spans="1:141" s="116" customFormat="1">
      <c r="A12266" s="136"/>
      <c r="CM12266" s="111"/>
      <c r="CQ12266" s="111"/>
      <c r="EF12266"/>
      <c r="EG12266"/>
      <c r="EH12266"/>
      <c r="EI12266"/>
      <c r="EJ12266"/>
      <c r="EK12266"/>
    </row>
    <row r="12267" spans="1:141" s="116" customFormat="1">
      <c r="A12267" s="136"/>
      <c r="CM12267" s="111"/>
      <c r="CQ12267" s="111"/>
      <c r="EF12267"/>
      <c r="EG12267"/>
      <c r="EH12267"/>
      <c r="EI12267"/>
      <c r="EJ12267"/>
      <c r="EK12267"/>
    </row>
    <row r="12268" spans="1:141" s="116" customFormat="1">
      <c r="A12268" s="136"/>
      <c r="CM12268" s="111"/>
      <c r="CQ12268" s="111"/>
      <c r="EF12268"/>
      <c r="EG12268"/>
      <c r="EH12268"/>
      <c r="EI12268"/>
      <c r="EJ12268"/>
      <c r="EK12268"/>
    </row>
    <row r="12269" spans="1:141" s="116" customFormat="1">
      <c r="A12269" s="136"/>
      <c r="CM12269" s="111"/>
      <c r="CQ12269" s="111"/>
      <c r="EF12269"/>
      <c r="EG12269"/>
      <c r="EH12269"/>
      <c r="EI12269"/>
      <c r="EJ12269"/>
      <c r="EK12269"/>
    </row>
    <row r="12270" spans="1:141" s="116" customFormat="1">
      <c r="A12270" s="136"/>
      <c r="CM12270" s="111"/>
      <c r="CQ12270" s="111"/>
      <c r="EF12270"/>
      <c r="EG12270"/>
      <c r="EH12270"/>
      <c r="EI12270"/>
      <c r="EJ12270"/>
      <c r="EK12270"/>
    </row>
    <row r="12271" spans="1:141" s="116" customFormat="1">
      <c r="A12271" s="136"/>
      <c r="CM12271" s="111"/>
      <c r="CQ12271" s="111"/>
      <c r="EF12271"/>
      <c r="EG12271"/>
      <c r="EH12271"/>
      <c r="EI12271"/>
      <c r="EJ12271"/>
      <c r="EK12271"/>
    </row>
    <row r="12272" spans="1:141" s="116" customFormat="1">
      <c r="A12272" s="136"/>
      <c r="CM12272" s="111"/>
      <c r="CQ12272" s="111"/>
      <c r="EF12272"/>
      <c r="EG12272"/>
      <c r="EH12272"/>
      <c r="EI12272"/>
      <c r="EJ12272"/>
      <c r="EK12272"/>
    </row>
    <row r="12273" spans="1:141" s="116" customFormat="1">
      <c r="A12273" s="136"/>
      <c r="CM12273" s="111"/>
      <c r="CQ12273" s="111"/>
      <c r="EF12273"/>
      <c r="EG12273"/>
      <c r="EH12273"/>
      <c r="EI12273"/>
      <c r="EJ12273"/>
      <c r="EK12273"/>
    </row>
    <row r="12274" spans="1:141" s="116" customFormat="1">
      <c r="A12274" s="136"/>
      <c r="CM12274" s="111"/>
      <c r="CQ12274" s="111"/>
      <c r="EF12274"/>
      <c r="EG12274"/>
      <c r="EH12274"/>
      <c r="EI12274"/>
      <c r="EJ12274"/>
      <c r="EK12274"/>
    </row>
    <row r="12275" spans="1:141" s="116" customFormat="1">
      <c r="A12275" s="136"/>
      <c r="CM12275" s="111"/>
      <c r="CQ12275" s="111"/>
      <c r="EF12275"/>
      <c r="EG12275"/>
      <c r="EH12275"/>
      <c r="EI12275"/>
      <c r="EJ12275"/>
      <c r="EK12275"/>
    </row>
    <row r="12276" spans="1:141" s="116" customFormat="1">
      <c r="A12276" s="136"/>
      <c r="CM12276" s="111"/>
      <c r="CQ12276" s="111"/>
      <c r="EF12276"/>
      <c r="EG12276"/>
      <c r="EH12276"/>
      <c r="EI12276"/>
      <c r="EJ12276"/>
      <c r="EK12276"/>
    </row>
    <row r="12277" spans="1:141" s="116" customFormat="1">
      <c r="A12277" s="136"/>
      <c r="CM12277" s="111"/>
      <c r="CQ12277" s="111"/>
      <c r="EF12277"/>
      <c r="EG12277"/>
      <c r="EH12277"/>
      <c r="EI12277"/>
      <c r="EJ12277"/>
      <c r="EK12277"/>
    </row>
    <row r="12278" spans="1:141" s="116" customFormat="1">
      <c r="A12278" s="136"/>
      <c r="CM12278" s="111"/>
      <c r="CQ12278" s="111"/>
      <c r="EF12278"/>
      <c r="EG12278"/>
      <c r="EH12278"/>
      <c r="EI12278"/>
      <c r="EJ12278"/>
      <c r="EK12278"/>
    </row>
    <row r="12279" spans="1:141" s="116" customFormat="1">
      <c r="A12279" s="136"/>
      <c r="CM12279" s="111"/>
      <c r="CQ12279" s="111"/>
      <c r="EF12279"/>
      <c r="EG12279"/>
      <c r="EH12279"/>
      <c r="EI12279"/>
      <c r="EJ12279"/>
      <c r="EK12279"/>
    </row>
    <row r="12280" spans="1:141" s="116" customFormat="1">
      <c r="A12280" s="136"/>
      <c r="CM12280" s="111"/>
      <c r="CQ12280" s="111"/>
      <c r="EF12280"/>
      <c r="EG12280"/>
      <c r="EH12280"/>
      <c r="EI12280"/>
      <c r="EJ12280"/>
      <c r="EK12280"/>
    </row>
    <row r="12281" spans="1:141" s="116" customFormat="1">
      <c r="A12281" s="136"/>
      <c r="CM12281" s="111"/>
      <c r="CQ12281" s="111"/>
      <c r="EF12281"/>
      <c r="EG12281"/>
      <c r="EH12281"/>
      <c r="EI12281"/>
      <c r="EJ12281"/>
      <c r="EK12281"/>
    </row>
    <row r="12282" spans="1:141" s="116" customFormat="1">
      <c r="A12282" s="136"/>
      <c r="CM12282" s="111"/>
      <c r="CQ12282" s="111"/>
      <c r="EF12282"/>
      <c r="EG12282"/>
      <c r="EH12282"/>
      <c r="EI12282"/>
      <c r="EJ12282"/>
      <c r="EK12282"/>
    </row>
    <row r="12283" spans="1:141" s="116" customFormat="1">
      <c r="A12283" s="136"/>
      <c r="CM12283" s="111"/>
      <c r="CQ12283" s="111"/>
      <c r="EF12283"/>
      <c r="EG12283"/>
      <c r="EH12283"/>
      <c r="EI12283"/>
      <c r="EJ12283"/>
      <c r="EK12283"/>
    </row>
    <row r="12284" spans="1:141" s="116" customFormat="1">
      <c r="A12284" s="136"/>
      <c r="CM12284" s="111"/>
      <c r="CQ12284" s="111"/>
      <c r="EF12284"/>
      <c r="EG12284"/>
      <c r="EH12284"/>
      <c r="EI12284"/>
      <c r="EJ12284"/>
      <c r="EK12284"/>
    </row>
    <row r="12285" spans="1:141" s="116" customFormat="1">
      <c r="A12285" s="136"/>
      <c r="CM12285" s="111"/>
      <c r="CQ12285" s="111"/>
      <c r="EF12285"/>
      <c r="EG12285"/>
      <c r="EH12285"/>
      <c r="EI12285"/>
      <c r="EJ12285"/>
      <c r="EK12285"/>
    </row>
    <row r="12286" spans="1:141" s="116" customFormat="1">
      <c r="A12286" s="136"/>
      <c r="CM12286" s="111"/>
      <c r="CQ12286" s="111"/>
      <c r="EF12286"/>
      <c r="EG12286"/>
      <c r="EH12286"/>
      <c r="EI12286"/>
      <c r="EJ12286"/>
      <c r="EK12286"/>
    </row>
    <row r="12287" spans="1:141" s="116" customFormat="1">
      <c r="A12287" s="136"/>
      <c r="CM12287" s="111"/>
      <c r="CQ12287" s="111"/>
      <c r="EF12287"/>
      <c r="EG12287"/>
      <c r="EH12287"/>
      <c r="EI12287"/>
      <c r="EJ12287"/>
      <c r="EK12287"/>
    </row>
    <row r="12288" spans="1:141" s="116" customFormat="1">
      <c r="A12288" s="136"/>
      <c r="CM12288" s="111"/>
      <c r="CQ12288" s="111"/>
      <c r="EF12288"/>
      <c r="EG12288"/>
      <c r="EH12288"/>
      <c r="EI12288"/>
      <c r="EJ12288"/>
      <c r="EK12288"/>
    </row>
    <row r="12289" spans="1:141" s="116" customFormat="1">
      <c r="A12289" s="136"/>
      <c r="CM12289" s="111"/>
      <c r="CQ12289" s="111"/>
      <c r="EF12289"/>
      <c r="EG12289"/>
      <c r="EH12289"/>
      <c r="EI12289"/>
      <c r="EJ12289"/>
      <c r="EK12289"/>
    </row>
    <row r="12290" spans="1:141" s="116" customFormat="1">
      <c r="A12290" s="136"/>
      <c r="CM12290" s="111"/>
      <c r="CQ12290" s="111"/>
      <c r="EF12290"/>
      <c r="EG12290"/>
      <c r="EH12290"/>
      <c r="EI12290"/>
      <c r="EJ12290"/>
      <c r="EK12290"/>
    </row>
    <row r="12291" spans="1:141" s="116" customFormat="1">
      <c r="A12291" s="136"/>
      <c r="CM12291" s="111"/>
      <c r="CQ12291" s="111"/>
      <c r="EF12291"/>
      <c r="EG12291"/>
      <c r="EH12291"/>
      <c r="EI12291"/>
      <c r="EJ12291"/>
      <c r="EK12291"/>
    </row>
    <row r="12292" spans="1:141" s="116" customFormat="1">
      <c r="A12292" s="136"/>
      <c r="CM12292" s="111"/>
      <c r="CQ12292" s="111"/>
      <c r="EF12292"/>
      <c r="EG12292"/>
      <c r="EH12292"/>
      <c r="EI12292"/>
      <c r="EJ12292"/>
      <c r="EK12292"/>
    </row>
    <row r="12293" spans="1:141" s="116" customFormat="1">
      <c r="A12293" s="136"/>
      <c r="CM12293" s="111"/>
      <c r="CQ12293" s="111"/>
      <c r="EF12293"/>
      <c r="EG12293"/>
      <c r="EH12293"/>
      <c r="EI12293"/>
      <c r="EJ12293"/>
      <c r="EK12293"/>
    </row>
    <row r="12294" spans="1:141" s="116" customFormat="1">
      <c r="A12294" s="136"/>
      <c r="CM12294" s="111"/>
      <c r="CQ12294" s="111"/>
      <c r="EF12294"/>
      <c r="EG12294"/>
      <c r="EH12294"/>
      <c r="EI12294"/>
      <c r="EJ12294"/>
      <c r="EK12294"/>
    </row>
    <row r="12295" spans="1:141" s="116" customFormat="1">
      <c r="A12295" s="136"/>
      <c r="CM12295" s="111"/>
      <c r="CQ12295" s="111"/>
      <c r="EF12295"/>
      <c r="EG12295"/>
      <c r="EH12295"/>
      <c r="EI12295"/>
      <c r="EJ12295"/>
      <c r="EK12295"/>
    </row>
    <row r="12296" spans="1:141" s="116" customFormat="1">
      <c r="A12296" s="136"/>
      <c r="CM12296" s="111"/>
      <c r="CQ12296" s="111"/>
      <c r="EF12296"/>
      <c r="EG12296"/>
      <c r="EH12296"/>
      <c r="EI12296"/>
      <c r="EJ12296"/>
      <c r="EK12296"/>
    </row>
    <row r="12297" spans="1:141" s="116" customFormat="1">
      <c r="A12297" s="136"/>
      <c r="CM12297" s="111"/>
      <c r="CQ12297" s="111"/>
      <c r="EF12297"/>
      <c r="EG12297"/>
      <c r="EH12297"/>
      <c r="EI12297"/>
      <c r="EJ12297"/>
      <c r="EK12297"/>
    </row>
    <row r="12298" spans="1:141" s="116" customFormat="1">
      <c r="A12298" s="136"/>
      <c r="CM12298" s="111"/>
      <c r="CQ12298" s="111"/>
      <c r="EF12298"/>
      <c r="EG12298"/>
      <c r="EH12298"/>
      <c r="EI12298"/>
      <c r="EJ12298"/>
      <c r="EK12298"/>
    </row>
    <row r="12299" spans="1:141" s="116" customFormat="1">
      <c r="A12299" s="136"/>
      <c r="CM12299" s="111"/>
      <c r="CQ12299" s="111"/>
      <c r="EF12299"/>
      <c r="EG12299"/>
      <c r="EH12299"/>
      <c r="EI12299"/>
      <c r="EJ12299"/>
      <c r="EK12299"/>
    </row>
    <row r="12300" spans="1:141" s="116" customFormat="1">
      <c r="A12300" s="136"/>
      <c r="CM12300" s="111"/>
      <c r="CQ12300" s="111"/>
      <c r="EF12300"/>
      <c r="EG12300"/>
      <c r="EH12300"/>
      <c r="EI12300"/>
      <c r="EJ12300"/>
      <c r="EK12300"/>
    </row>
    <row r="12301" spans="1:141" s="116" customFormat="1">
      <c r="A12301" s="136"/>
      <c r="CM12301" s="111"/>
      <c r="CQ12301" s="111"/>
      <c r="EF12301"/>
      <c r="EG12301"/>
      <c r="EH12301"/>
      <c r="EI12301"/>
      <c r="EJ12301"/>
      <c r="EK12301"/>
    </row>
    <row r="12302" spans="1:141" s="116" customFormat="1">
      <c r="A12302" s="136"/>
      <c r="CM12302" s="111"/>
      <c r="CQ12302" s="111"/>
      <c r="EF12302"/>
      <c r="EG12302"/>
      <c r="EH12302"/>
      <c r="EI12302"/>
      <c r="EJ12302"/>
      <c r="EK12302"/>
    </row>
    <row r="12303" spans="1:141" s="116" customFormat="1">
      <c r="A12303" s="136"/>
      <c r="CM12303" s="111"/>
      <c r="CQ12303" s="111"/>
      <c r="EF12303"/>
      <c r="EG12303"/>
      <c r="EH12303"/>
      <c r="EI12303"/>
      <c r="EJ12303"/>
      <c r="EK12303"/>
    </row>
    <row r="12304" spans="1:141" s="116" customFormat="1">
      <c r="A12304" s="136"/>
      <c r="CM12304" s="111"/>
      <c r="CQ12304" s="111"/>
      <c r="EF12304"/>
      <c r="EG12304"/>
      <c r="EH12304"/>
      <c r="EI12304"/>
      <c r="EJ12304"/>
      <c r="EK12304"/>
    </row>
    <row r="12305" spans="1:141" s="116" customFormat="1">
      <c r="A12305" s="136"/>
      <c r="CM12305" s="111"/>
      <c r="CQ12305" s="111"/>
      <c r="EF12305"/>
      <c r="EG12305"/>
      <c r="EH12305"/>
      <c r="EI12305"/>
      <c r="EJ12305"/>
      <c r="EK12305"/>
    </row>
    <row r="12306" spans="1:141" s="116" customFormat="1">
      <c r="A12306" s="136"/>
      <c r="CM12306" s="111"/>
      <c r="CQ12306" s="111"/>
      <c r="EF12306"/>
      <c r="EG12306"/>
      <c r="EH12306"/>
      <c r="EI12306"/>
      <c r="EJ12306"/>
      <c r="EK12306"/>
    </row>
    <row r="12307" spans="1:141" s="116" customFormat="1">
      <c r="A12307" s="136"/>
      <c r="CM12307" s="111"/>
      <c r="CQ12307" s="111"/>
      <c r="EF12307"/>
      <c r="EG12307"/>
      <c r="EH12307"/>
      <c r="EI12307"/>
      <c r="EJ12307"/>
      <c r="EK12307"/>
    </row>
    <row r="12308" spans="1:141" s="116" customFormat="1">
      <c r="A12308" s="136"/>
      <c r="CM12308" s="111"/>
      <c r="CQ12308" s="111"/>
      <c r="EF12308"/>
      <c r="EG12308"/>
      <c r="EH12308"/>
      <c r="EI12308"/>
      <c r="EJ12308"/>
      <c r="EK12308"/>
    </row>
    <row r="12309" spans="1:141" s="116" customFormat="1">
      <c r="A12309" s="136"/>
      <c r="CM12309" s="111"/>
      <c r="CQ12309" s="111"/>
      <c r="EF12309"/>
      <c r="EG12309"/>
      <c r="EH12309"/>
      <c r="EI12309"/>
      <c r="EJ12309"/>
      <c r="EK12309"/>
    </row>
    <row r="12310" spans="1:141" s="116" customFormat="1">
      <c r="A12310" s="136"/>
      <c r="CM12310" s="111"/>
      <c r="CQ12310" s="111"/>
      <c r="EF12310"/>
      <c r="EG12310"/>
      <c r="EH12310"/>
      <c r="EI12310"/>
      <c r="EJ12310"/>
      <c r="EK12310"/>
    </row>
    <row r="12311" spans="1:141" s="116" customFormat="1">
      <c r="A12311" s="136"/>
      <c r="CM12311" s="111"/>
      <c r="CQ12311" s="111"/>
      <c r="EF12311"/>
      <c r="EG12311"/>
      <c r="EH12311"/>
      <c r="EI12311"/>
      <c r="EJ12311"/>
      <c r="EK12311"/>
    </row>
    <row r="12312" spans="1:141" s="116" customFormat="1">
      <c r="A12312" s="136"/>
      <c r="CM12312" s="111"/>
      <c r="CQ12312" s="111"/>
      <c r="EF12312"/>
      <c r="EG12312"/>
      <c r="EH12312"/>
      <c r="EI12312"/>
      <c r="EJ12312"/>
      <c r="EK12312"/>
    </row>
    <row r="12313" spans="1:141" s="116" customFormat="1">
      <c r="A12313" s="136"/>
      <c r="CM12313" s="111"/>
      <c r="CQ12313" s="111"/>
      <c r="EF12313"/>
      <c r="EG12313"/>
      <c r="EH12313"/>
      <c r="EI12313"/>
      <c r="EJ12313"/>
      <c r="EK12313"/>
    </row>
    <row r="12314" spans="1:141" s="116" customFormat="1">
      <c r="A12314" s="136"/>
      <c r="CM12314" s="111"/>
      <c r="CQ12314" s="111"/>
      <c r="EF12314"/>
      <c r="EG12314"/>
      <c r="EH12314"/>
      <c r="EI12314"/>
      <c r="EJ12314"/>
      <c r="EK12314"/>
    </row>
    <row r="12315" spans="1:141" s="116" customFormat="1">
      <c r="A12315" s="136"/>
      <c r="CM12315" s="111"/>
      <c r="CQ12315" s="111"/>
      <c r="EF12315"/>
      <c r="EG12315"/>
      <c r="EH12315"/>
      <c r="EI12315"/>
      <c r="EJ12315"/>
      <c r="EK12315"/>
    </row>
    <row r="12316" spans="1:141" s="116" customFormat="1">
      <c r="A12316" s="136"/>
      <c r="CM12316" s="111"/>
      <c r="CQ12316" s="111"/>
      <c r="EF12316"/>
      <c r="EG12316"/>
      <c r="EH12316"/>
      <c r="EI12316"/>
      <c r="EJ12316"/>
      <c r="EK12316"/>
    </row>
    <row r="12317" spans="1:141" s="116" customFormat="1">
      <c r="A12317" s="136"/>
      <c r="CM12317" s="111"/>
      <c r="CQ12317" s="111"/>
      <c r="EF12317"/>
      <c r="EG12317"/>
      <c r="EH12317"/>
      <c r="EI12317"/>
      <c r="EJ12317"/>
      <c r="EK12317"/>
    </row>
    <row r="12318" spans="1:141" s="116" customFormat="1">
      <c r="A12318" s="136"/>
      <c r="CM12318" s="111"/>
      <c r="CQ12318" s="111"/>
      <c r="EF12318"/>
      <c r="EG12318"/>
      <c r="EH12318"/>
      <c r="EI12318"/>
      <c r="EJ12318"/>
      <c r="EK12318"/>
    </row>
    <row r="12319" spans="1:141" s="116" customFormat="1">
      <c r="A12319" s="136"/>
      <c r="CM12319" s="111"/>
      <c r="CQ12319" s="111"/>
      <c r="EF12319"/>
      <c r="EG12319"/>
      <c r="EH12319"/>
      <c r="EI12319"/>
      <c r="EJ12319"/>
      <c r="EK12319"/>
    </row>
    <row r="12320" spans="1:141" s="116" customFormat="1">
      <c r="A12320" s="136"/>
      <c r="CM12320" s="111"/>
      <c r="CQ12320" s="111"/>
      <c r="EF12320"/>
      <c r="EG12320"/>
      <c r="EH12320"/>
      <c r="EI12320"/>
      <c r="EJ12320"/>
      <c r="EK12320"/>
    </row>
    <row r="12321" spans="1:141" s="116" customFormat="1">
      <c r="A12321" s="136"/>
      <c r="CM12321" s="111"/>
      <c r="CQ12321" s="111"/>
      <c r="EF12321"/>
      <c r="EG12321"/>
      <c r="EH12321"/>
      <c r="EI12321"/>
      <c r="EJ12321"/>
      <c r="EK12321"/>
    </row>
    <row r="12322" spans="1:141" s="116" customFormat="1">
      <c r="A12322" s="136"/>
      <c r="CM12322" s="111"/>
      <c r="CQ12322" s="111"/>
      <c r="EF12322"/>
      <c r="EG12322"/>
      <c r="EH12322"/>
      <c r="EI12322"/>
      <c r="EJ12322"/>
      <c r="EK12322"/>
    </row>
    <row r="12323" spans="1:141" s="116" customFormat="1">
      <c r="A12323" s="136"/>
      <c r="CM12323" s="111"/>
      <c r="CQ12323" s="111"/>
      <c r="EF12323"/>
      <c r="EG12323"/>
      <c r="EH12323"/>
      <c r="EI12323"/>
      <c r="EJ12323"/>
      <c r="EK12323"/>
    </row>
    <row r="12324" spans="1:141" s="116" customFormat="1">
      <c r="A12324" s="136"/>
      <c r="CM12324" s="111"/>
      <c r="CQ12324" s="111"/>
      <c r="EF12324"/>
      <c r="EG12324"/>
      <c r="EH12324"/>
      <c r="EI12324"/>
      <c r="EJ12324"/>
      <c r="EK12324"/>
    </row>
    <row r="12325" spans="1:141" s="116" customFormat="1">
      <c r="A12325" s="136"/>
      <c r="CM12325" s="111"/>
      <c r="CQ12325" s="111"/>
      <c r="EF12325"/>
      <c r="EG12325"/>
      <c r="EH12325"/>
      <c r="EI12325"/>
      <c r="EJ12325"/>
      <c r="EK12325"/>
    </row>
    <row r="12326" spans="1:141" s="116" customFormat="1">
      <c r="A12326" s="136"/>
      <c r="CM12326" s="111"/>
      <c r="CQ12326" s="111"/>
      <c r="EF12326"/>
      <c r="EG12326"/>
      <c r="EH12326"/>
      <c r="EI12326"/>
      <c r="EJ12326"/>
      <c r="EK12326"/>
    </row>
    <row r="12327" spans="1:141" s="116" customFormat="1">
      <c r="A12327" s="136"/>
      <c r="CM12327" s="111"/>
      <c r="CQ12327" s="111"/>
      <c r="EF12327"/>
      <c r="EG12327"/>
      <c r="EH12327"/>
      <c r="EI12327"/>
      <c r="EJ12327"/>
      <c r="EK12327"/>
    </row>
    <row r="12328" spans="1:141" s="116" customFormat="1">
      <c r="A12328" s="136"/>
      <c r="CM12328" s="111"/>
      <c r="CQ12328" s="111"/>
      <c r="EF12328"/>
      <c r="EG12328"/>
      <c r="EH12328"/>
      <c r="EI12328"/>
      <c r="EJ12328"/>
      <c r="EK12328"/>
    </row>
    <row r="12329" spans="1:141" s="116" customFormat="1">
      <c r="A12329" s="136"/>
      <c r="CM12329" s="111"/>
      <c r="CQ12329" s="111"/>
      <c r="EF12329"/>
      <c r="EG12329"/>
      <c r="EH12329"/>
      <c r="EI12329"/>
      <c r="EJ12329"/>
      <c r="EK12329"/>
    </row>
    <row r="12330" spans="1:141" s="116" customFormat="1">
      <c r="A12330" s="136"/>
      <c r="CM12330" s="111"/>
      <c r="CQ12330" s="111"/>
      <c r="EF12330"/>
      <c r="EG12330"/>
      <c r="EH12330"/>
      <c r="EI12330"/>
      <c r="EJ12330"/>
      <c r="EK12330"/>
    </row>
    <row r="12331" spans="1:141" s="116" customFormat="1">
      <c r="A12331" s="136"/>
      <c r="CM12331" s="111"/>
      <c r="CQ12331" s="111"/>
      <c r="EF12331"/>
      <c r="EG12331"/>
      <c r="EH12331"/>
      <c r="EI12331"/>
      <c r="EJ12331"/>
      <c r="EK12331"/>
    </row>
    <row r="12332" spans="1:141" s="116" customFormat="1">
      <c r="A12332" s="136"/>
      <c r="CM12332" s="111"/>
      <c r="CQ12332" s="111"/>
      <c r="EF12332"/>
      <c r="EG12332"/>
      <c r="EH12332"/>
      <c r="EI12332"/>
      <c r="EJ12332"/>
      <c r="EK12332"/>
    </row>
    <row r="12333" spans="1:141" s="116" customFormat="1">
      <c r="A12333" s="136"/>
      <c r="CM12333" s="111"/>
      <c r="CQ12333" s="111"/>
      <c r="EF12333"/>
      <c r="EG12333"/>
      <c r="EH12333"/>
      <c r="EI12333"/>
      <c r="EJ12333"/>
      <c r="EK12333"/>
    </row>
    <row r="12334" spans="1:141" s="116" customFormat="1">
      <c r="A12334" s="136"/>
      <c r="CM12334" s="111"/>
      <c r="CQ12334" s="111"/>
      <c r="EF12334"/>
      <c r="EG12334"/>
      <c r="EH12334"/>
      <c r="EI12334"/>
      <c r="EJ12334"/>
      <c r="EK12334"/>
    </row>
    <row r="12335" spans="1:141" s="116" customFormat="1">
      <c r="A12335" s="136"/>
      <c r="CM12335" s="111"/>
      <c r="CQ12335" s="111"/>
      <c r="EF12335"/>
      <c r="EG12335"/>
      <c r="EH12335"/>
      <c r="EI12335"/>
      <c r="EJ12335"/>
      <c r="EK12335"/>
    </row>
    <row r="12336" spans="1:141" s="116" customFormat="1">
      <c r="A12336" s="136"/>
      <c r="CM12336" s="111"/>
      <c r="CQ12336" s="111"/>
      <c r="EF12336"/>
      <c r="EG12336"/>
      <c r="EH12336"/>
      <c r="EI12336"/>
      <c r="EJ12336"/>
      <c r="EK12336"/>
    </row>
    <row r="12337" spans="1:141" s="116" customFormat="1">
      <c r="A12337" s="136"/>
      <c r="CM12337" s="111"/>
      <c r="CQ12337" s="111"/>
      <c r="EF12337"/>
      <c r="EG12337"/>
      <c r="EH12337"/>
      <c r="EI12337"/>
      <c r="EJ12337"/>
      <c r="EK12337"/>
    </row>
    <row r="12338" spans="1:141" s="116" customFormat="1">
      <c r="A12338" s="136"/>
      <c r="CM12338" s="111"/>
      <c r="CQ12338" s="111"/>
      <c r="EF12338"/>
      <c r="EG12338"/>
      <c r="EH12338"/>
      <c r="EI12338"/>
      <c r="EJ12338"/>
      <c r="EK12338"/>
    </row>
    <row r="12339" spans="1:141" s="116" customFormat="1">
      <c r="A12339" s="136"/>
      <c r="CM12339" s="111"/>
      <c r="CQ12339" s="111"/>
      <c r="EF12339"/>
      <c r="EG12339"/>
      <c r="EH12339"/>
      <c r="EI12339"/>
      <c r="EJ12339"/>
      <c r="EK12339"/>
    </row>
    <row r="12340" spans="1:141" s="116" customFormat="1">
      <c r="A12340" s="136"/>
      <c r="CM12340" s="111"/>
      <c r="CQ12340" s="111"/>
      <c r="EF12340"/>
      <c r="EG12340"/>
      <c r="EH12340"/>
      <c r="EI12340"/>
      <c r="EJ12340"/>
      <c r="EK12340"/>
    </row>
    <row r="12341" spans="1:141" s="116" customFormat="1">
      <c r="A12341" s="136"/>
      <c r="CM12341" s="111"/>
      <c r="CQ12341" s="111"/>
      <c r="EF12341"/>
      <c r="EG12341"/>
      <c r="EH12341"/>
      <c r="EI12341"/>
      <c r="EJ12341"/>
      <c r="EK12341"/>
    </row>
    <row r="12342" spans="1:141" s="116" customFormat="1">
      <c r="A12342" s="136"/>
      <c r="CM12342" s="111"/>
      <c r="CQ12342" s="111"/>
      <c r="EF12342"/>
      <c r="EG12342"/>
      <c r="EH12342"/>
      <c r="EI12342"/>
      <c r="EJ12342"/>
      <c r="EK12342"/>
    </row>
    <row r="12343" spans="1:141" s="116" customFormat="1">
      <c r="A12343" s="136"/>
      <c r="CM12343" s="111"/>
      <c r="CQ12343" s="111"/>
      <c r="EF12343"/>
      <c r="EG12343"/>
      <c r="EH12343"/>
      <c r="EI12343"/>
      <c r="EJ12343"/>
      <c r="EK12343"/>
    </row>
    <row r="12344" spans="1:141" s="116" customFormat="1">
      <c r="A12344" s="136"/>
      <c r="CM12344" s="111"/>
      <c r="CQ12344" s="111"/>
      <c r="EF12344"/>
      <c r="EG12344"/>
      <c r="EH12344"/>
      <c r="EI12344"/>
      <c r="EJ12344"/>
      <c r="EK12344"/>
    </row>
    <row r="12345" spans="1:141" s="116" customFormat="1">
      <c r="A12345" s="136"/>
      <c r="CM12345" s="111"/>
      <c r="CQ12345" s="111"/>
      <c r="EF12345"/>
      <c r="EG12345"/>
      <c r="EH12345"/>
      <c r="EI12345"/>
      <c r="EJ12345"/>
      <c r="EK12345"/>
    </row>
    <row r="12346" spans="1:141" s="116" customFormat="1">
      <c r="A12346" s="136"/>
      <c r="CM12346" s="111"/>
      <c r="CQ12346" s="111"/>
      <c r="EF12346"/>
      <c r="EG12346"/>
      <c r="EH12346"/>
      <c r="EI12346"/>
      <c r="EJ12346"/>
      <c r="EK12346"/>
    </row>
    <row r="12347" spans="1:141" s="116" customFormat="1">
      <c r="A12347" s="136"/>
      <c r="CM12347" s="111"/>
      <c r="CQ12347" s="111"/>
      <c r="EF12347"/>
      <c r="EG12347"/>
      <c r="EH12347"/>
      <c r="EI12347"/>
      <c r="EJ12347"/>
      <c r="EK12347"/>
    </row>
    <row r="12348" spans="1:141" s="116" customFormat="1">
      <c r="A12348" s="136"/>
      <c r="CM12348" s="111"/>
      <c r="CQ12348" s="111"/>
      <c r="EF12348"/>
      <c r="EG12348"/>
      <c r="EH12348"/>
      <c r="EI12348"/>
      <c r="EJ12348"/>
      <c r="EK12348"/>
    </row>
    <row r="12349" spans="1:141" s="116" customFormat="1">
      <c r="A12349" s="136"/>
      <c r="CM12349" s="111"/>
      <c r="CQ12349" s="111"/>
      <c r="EF12349"/>
      <c r="EG12349"/>
      <c r="EH12349"/>
      <c r="EI12349"/>
      <c r="EJ12349"/>
      <c r="EK12349"/>
    </row>
    <row r="12350" spans="1:141" s="116" customFormat="1">
      <c r="A12350" s="136"/>
      <c r="CM12350" s="111"/>
      <c r="CQ12350" s="111"/>
      <c r="EF12350"/>
      <c r="EG12350"/>
      <c r="EH12350"/>
      <c r="EI12350"/>
      <c r="EJ12350"/>
      <c r="EK12350"/>
    </row>
    <row r="12351" spans="1:141" s="116" customFormat="1">
      <c r="A12351" s="136"/>
      <c r="CM12351" s="111"/>
      <c r="CQ12351" s="111"/>
      <c r="EF12351"/>
      <c r="EG12351"/>
      <c r="EH12351"/>
      <c r="EI12351"/>
      <c r="EJ12351"/>
      <c r="EK12351"/>
    </row>
    <row r="12352" spans="1:141" s="116" customFormat="1">
      <c r="A12352" s="136"/>
      <c r="CM12352" s="111"/>
      <c r="CQ12352" s="111"/>
      <c r="EF12352"/>
      <c r="EG12352"/>
      <c r="EH12352"/>
      <c r="EI12352"/>
      <c r="EJ12352"/>
      <c r="EK12352"/>
    </row>
    <row r="12353" spans="1:141" s="116" customFormat="1">
      <c r="A12353" s="136"/>
      <c r="CM12353" s="111"/>
      <c r="CQ12353" s="111"/>
      <c r="EF12353"/>
      <c r="EG12353"/>
      <c r="EH12353"/>
      <c r="EI12353"/>
      <c r="EJ12353"/>
      <c r="EK12353"/>
    </row>
    <row r="12354" spans="1:141" s="116" customFormat="1">
      <c r="A12354" s="136"/>
      <c r="CM12354" s="111"/>
      <c r="CQ12354" s="111"/>
      <c r="EF12354"/>
      <c r="EG12354"/>
      <c r="EH12354"/>
      <c r="EI12354"/>
      <c r="EJ12354"/>
      <c r="EK12354"/>
    </row>
    <row r="12355" spans="1:141" s="116" customFormat="1">
      <c r="A12355" s="136"/>
      <c r="CM12355" s="111"/>
      <c r="CQ12355" s="111"/>
      <c r="EF12355"/>
      <c r="EG12355"/>
      <c r="EH12355"/>
      <c r="EI12355"/>
      <c r="EJ12355"/>
      <c r="EK12355"/>
    </row>
    <row r="12356" spans="1:141" s="116" customFormat="1">
      <c r="A12356" s="136"/>
      <c r="CM12356" s="111"/>
      <c r="CQ12356" s="111"/>
      <c r="EF12356"/>
      <c r="EG12356"/>
      <c r="EH12356"/>
      <c r="EI12356"/>
      <c r="EJ12356"/>
      <c r="EK12356"/>
    </row>
    <row r="12357" spans="1:141" s="116" customFormat="1">
      <c r="A12357" s="136"/>
      <c r="CM12357" s="111"/>
      <c r="CQ12357" s="111"/>
      <c r="EF12357"/>
      <c r="EG12357"/>
      <c r="EH12357"/>
      <c r="EI12357"/>
      <c r="EJ12357"/>
      <c r="EK12357"/>
    </row>
    <row r="12358" spans="1:141" s="116" customFormat="1">
      <c r="A12358" s="136"/>
      <c r="CM12358" s="111"/>
      <c r="CQ12358" s="111"/>
      <c r="EF12358"/>
      <c r="EG12358"/>
      <c r="EH12358"/>
      <c r="EI12358"/>
      <c r="EJ12358"/>
      <c r="EK12358"/>
    </row>
    <row r="12359" spans="1:141" s="116" customFormat="1">
      <c r="A12359" s="136"/>
      <c r="CM12359" s="111"/>
      <c r="CQ12359" s="111"/>
      <c r="EF12359"/>
      <c r="EG12359"/>
      <c r="EH12359"/>
      <c r="EI12359"/>
      <c r="EJ12359"/>
      <c r="EK12359"/>
    </row>
    <row r="12360" spans="1:141" s="116" customFormat="1">
      <c r="A12360" s="136"/>
      <c r="CM12360" s="111"/>
      <c r="CQ12360" s="111"/>
      <c r="EF12360"/>
      <c r="EG12360"/>
      <c r="EH12360"/>
      <c r="EI12360"/>
      <c r="EJ12360"/>
      <c r="EK12360"/>
    </row>
    <row r="12361" spans="1:141" s="116" customFormat="1">
      <c r="A12361" s="136"/>
      <c r="CM12361" s="111"/>
      <c r="CQ12361" s="111"/>
      <c r="EF12361"/>
      <c r="EG12361"/>
      <c r="EH12361"/>
      <c r="EI12361"/>
      <c r="EJ12361"/>
      <c r="EK12361"/>
    </row>
    <row r="12362" spans="1:141" s="116" customFormat="1">
      <c r="A12362" s="136"/>
      <c r="CM12362" s="111"/>
      <c r="CQ12362" s="111"/>
      <c r="EF12362"/>
      <c r="EG12362"/>
      <c r="EH12362"/>
      <c r="EI12362"/>
      <c r="EJ12362"/>
      <c r="EK12362"/>
    </row>
    <row r="12363" spans="1:141" s="116" customFormat="1">
      <c r="A12363" s="136"/>
      <c r="CM12363" s="111"/>
      <c r="CQ12363" s="111"/>
      <c r="EF12363"/>
      <c r="EG12363"/>
      <c r="EH12363"/>
      <c r="EI12363"/>
      <c r="EJ12363"/>
      <c r="EK12363"/>
    </row>
    <row r="12364" spans="1:141" s="116" customFormat="1">
      <c r="A12364" s="136"/>
      <c r="CM12364" s="111"/>
      <c r="CQ12364" s="111"/>
      <c r="EF12364"/>
      <c r="EG12364"/>
      <c r="EH12364"/>
      <c r="EI12364"/>
      <c r="EJ12364"/>
      <c r="EK12364"/>
    </row>
    <row r="12365" spans="1:141" s="116" customFormat="1">
      <c r="A12365" s="136"/>
      <c r="CM12365" s="111"/>
      <c r="CQ12365" s="111"/>
      <c r="EF12365"/>
      <c r="EG12365"/>
      <c r="EH12365"/>
      <c r="EI12365"/>
      <c r="EJ12365"/>
      <c r="EK12365"/>
    </row>
    <row r="12366" spans="1:141" s="116" customFormat="1">
      <c r="A12366" s="136"/>
      <c r="CM12366" s="111"/>
      <c r="CQ12366" s="111"/>
      <c r="EF12366"/>
      <c r="EG12366"/>
      <c r="EH12366"/>
      <c r="EI12366"/>
      <c r="EJ12366"/>
      <c r="EK12366"/>
    </row>
    <row r="12367" spans="1:141" s="116" customFormat="1">
      <c r="A12367" s="136"/>
      <c r="CM12367" s="111"/>
      <c r="CQ12367" s="111"/>
      <c r="EF12367"/>
      <c r="EG12367"/>
      <c r="EH12367"/>
      <c r="EI12367"/>
      <c r="EJ12367"/>
      <c r="EK12367"/>
    </row>
    <row r="12368" spans="1:141" s="116" customFormat="1">
      <c r="A12368" s="136"/>
      <c r="CM12368" s="111"/>
      <c r="CQ12368" s="111"/>
      <c r="EF12368"/>
      <c r="EG12368"/>
      <c r="EH12368"/>
      <c r="EI12368"/>
      <c r="EJ12368"/>
      <c r="EK12368"/>
    </row>
    <row r="12369" spans="1:141" s="116" customFormat="1">
      <c r="A12369" s="136"/>
      <c r="CM12369" s="111"/>
      <c r="CQ12369" s="111"/>
      <c r="EF12369"/>
      <c r="EG12369"/>
      <c r="EH12369"/>
      <c r="EI12369"/>
      <c r="EJ12369"/>
      <c r="EK12369"/>
    </row>
    <row r="12370" spans="1:141" s="116" customFormat="1">
      <c r="A12370" s="136"/>
      <c r="CM12370" s="111"/>
      <c r="CQ12370" s="111"/>
      <c r="EF12370"/>
      <c r="EG12370"/>
      <c r="EH12370"/>
      <c r="EI12370"/>
      <c r="EJ12370"/>
      <c r="EK12370"/>
    </row>
    <row r="12371" spans="1:141" s="116" customFormat="1">
      <c r="A12371" s="136"/>
      <c r="CM12371" s="111"/>
      <c r="CQ12371" s="111"/>
      <c r="EF12371"/>
      <c r="EG12371"/>
      <c r="EH12371"/>
      <c r="EI12371"/>
      <c r="EJ12371"/>
      <c r="EK12371"/>
    </row>
    <row r="12372" spans="1:141" s="116" customFormat="1">
      <c r="A12372" s="136"/>
      <c r="CM12372" s="111"/>
      <c r="CQ12372" s="111"/>
      <c r="EF12372"/>
      <c r="EG12372"/>
      <c r="EH12372"/>
      <c r="EI12372"/>
      <c r="EJ12372"/>
      <c r="EK12372"/>
    </row>
    <row r="12373" spans="1:141" s="116" customFormat="1">
      <c r="A12373" s="136"/>
      <c r="CM12373" s="111"/>
      <c r="CQ12373" s="111"/>
      <c r="EF12373"/>
      <c r="EG12373"/>
      <c r="EH12373"/>
      <c r="EI12373"/>
      <c r="EJ12373"/>
      <c r="EK12373"/>
    </row>
    <row r="12374" spans="1:141" s="116" customFormat="1">
      <c r="A12374" s="136"/>
      <c r="CM12374" s="111"/>
      <c r="CQ12374" s="111"/>
      <c r="EF12374"/>
      <c r="EG12374"/>
      <c r="EH12374"/>
      <c r="EI12374"/>
      <c r="EJ12374"/>
      <c r="EK12374"/>
    </row>
    <row r="12375" spans="1:141" s="116" customFormat="1">
      <c r="A12375" s="136"/>
      <c r="CM12375" s="111"/>
      <c r="CQ12375" s="111"/>
      <c r="EF12375"/>
      <c r="EG12375"/>
      <c r="EH12375"/>
      <c r="EI12375"/>
      <c r="EJ12375"/>
      <c r="EK12375"/>
    </row>
    <row r="12376" spans="1:141" s="116" customFormat="1">
      <c r="A12376" s="136"/>
      <c r="CM12376" s="111"/>
      <c r="CQ12376" s="111"/>
      <c r="EF12376"/>
      <c r="EG12376"/>
      <c r="EH12376"/>
      <c r="EI12376"/>
      <c r="EJ12376"/>
      <c r="EK12376"/>
    </row>
    <row r="12377" spans="1:141" s="116" customFormat="1">
      <c r="A12377" s="136"/>
      <c r="CM12377" s="111"/>
      <c r="CQ12377" s="111"/>
      <c r="EF12377"/>
      <c r="EG12377"/>
      <c r="EH12377"/>
      <c r="EI12377"/>
      <c r="EJ12377"/>
      <c r="EK12377"/>
    </row>
    <row r="12378" spans="1:141" s="116" customFormat="1">
      <c r="A12378" s="136"/>
      <c r="CM12378" s="111"/>
      <c r="CQ12378" s="111"/>
      <c r="EF12378"/>
      <c r="EG12378"/>
      <c r="EH12378"/>
      <c r="EI12378"/>
      <c r="EJ12378"/>
      <c r="EK12378"/>
    </row>
    <row r="12379" spans="1:141" s="116" customFormat="1">
      <c r="A12379" s="136"/>
      <c r="CM12379" s="111"/>
      <c r="CQ12379" s="111"/>
      <c r="EF12379"/>
      <c r="EG12379"/>
      <c r="EH12379"/>
      <c r="EI12379"/>
      <c r="EJ12379"/>
      <c r="EK12379"/>
    </row>
    <row r="12380" spans="1:141" s="116" customFormat="1">
      <c r="A12380" s="136"/>
      <c r="CM12380" s="111"/>
      <c r="CQ12380" s="111"/>
      <c r="EF12380"/>
      <c r="EG12380"/>
      <c r="EH12380"/>
      <c r="EI12380"/>
      <c r="EJ12380"/>
      <c r="EK12380"/>
    </row>
    <row r="12381" spans="1:141" s="116" customFormat="1">
      <c r="A12381" s="136"/>
      <c r="CM12381" s="111"/>
      <c r="CQ12381" s="111"/>
      <c r="EF12381"/>
      <c r="EG12381"/>
      <c r="EH12381"/>
      <c r="EI12381"/>
      <c r="EJ12381"/>
      <c r="EK12381"/>
    </row>
    <row r="12382" spans="1:141" s="116" customFormat="1">
      <c r="A12382" s="136"/>
      <c r="CM12382" s="111"/>
      <c r="CQ12382" s="111"/>
      <c r="EF12382"/>
      <c r="EG12382"/>
      <c r="EH12382"/>
      <c r="EI12382"/>
      <c r="EJ12382"/>
      <c r="EK12382"/>
    </row>
    <row r="12383" spans="1:141" s="116" customFormat="1">
      <c r="A12383" s="136"/>
      <c r="CM12383" s="111"/>
      <c r="CQ12383" s="111"/>
      <c r="EF12383"/>
      <c r="EG12383"/>
      <c r="EH12383"/>
      <c r="EI12383"/>
      <c r="EJ12383"/>
      <c r="EK12383"/>
    </row>
    <row r="12384" spans="1:141" s="116" customFormat="1">
      <c r="A12384" s="136"/>
      <c r="CM12384" s="111"/>
      <c r="CQ12384" s="111"/>
      <c r="EF12384"/>
      <c r="EG12384"/>
      <c r="EH12384"/>
      <c r="EI12384"/>
      <c r="EJ12384"/>
      <c r="EK12384"/>
    </row>
    <row r="12385" spans="1:141" s="116" customFormat="1">
      <c r="A12385" s="136"/>
      <c r="CM12385" s="111"/>
      <c r="CQ12385" s="111"/>
      <c r="EF12385"/>
      <c r="EG12385"/>
      <c r="EH12385"/>
      <c r="EI12385"/>
      <c r="EJ12385"/>
      <c r="EK12385"/>
    </row>
    <row r="12386" spans="1:141" s="116" customFormat="1">
      <c r="A12386" s="136"/>
      <c r="CM12386" s="111"/>
      <c r="CQ12386" s="111"/>
      <c r="EF12386"/>
      <c r="EG12386"/>
      <c r="EH12386"/>
      <c r="EI12386"/>
      <c r="EJ12386"/>
      <c r="EK12386"/>
    </row>
    <row r="12387" spans="1:141" s="116" customFormat="1">
      <c r="A12387" s="136"/>
      <c r="CM12387" s="111"/>
      <c r="CQ12387" s="111"/>
      <c r="EF12387"/>
      <c r="EG12387"/>
      <c r="EH12387"/>
      <c r="EI12387"/>
      <c r="EJ12387"/>
      <c r="EK12387"/>
    </row>
    <row r="12388" spans="1:141" s="116" customFormat="1">
      <c r="A12388" s="136"/>
      <c r="CM12388" s="111"/>
      <c r="CQ12388" s="111"/>
      <c r="EF12388"/>
      <c r="EG12388"/>
      <c r="EH12388"/>
      <c r="EI12388"/>
      <c r="EJ12388"/>
      <c r="EK12388"/>
    </row>
    <row r="12389" spans="1:141" s="116" customFormat="1">
      <c r="A12389" s="136"/>
      <c r="CM12389" s="111"/>
      <c r="CQ12389" s="111"/>
      <c r="EF12389"/>
      <c r="EG12389"/>
      <c r="EH12389"/>
      <c r="EI12389"/>
      <c r="EJ12389"/>
      <c r="EK12389"/>
    </row>
    <row r="12390" spans="1:141" s="116" customFormat="1">
      <c r="A12390" s="136"/>
      <c r="CM12390" s="111"/>
      <c r="CQ12390" s="111"/>
      <c r="EF12390"/>
      <c r="EG12390"/>
      <c r="EH12390"/>
      <c r="EI12390"/>
      <c r="EJ12390"/>
      <c r="EK12390"/>
    </row>
    <row r="12391" spans="1:141" s="116" customFormat="1">
      <c r="A12391" s="136"/>
      <c r="CM12391" s="111"/>
      <c r="CQ12391" s="111"/>
      <c r="EF12391"/>
      <c r="EG12391"/>
      <c r="EH12391"/>
      <c r="EI12391"/>
      <c r="EJ12391"/>
      <c r="EK12391"/>
    </row>
    <row r="12392" spans="1:141" s="116" customFormat="1">
      <c r="A12392" s="136"/>
      <c r="CM12392" s="111"/>
      <c r="CQ12392" s="111"/>
      <c r="EF12392"/>
      <c r="EG12392"/>
      <c r="EH12392"/>
      <c r="EI12392"/>
      <c r="EJ12392"/>
      <c r="EK12392"/>
    </row>
    <row r="12393" spans="1:141" s="116" customFormat="1">
      <c r="A12393" s="136"/>
      <c r="CM12393" s="111"/>
      <c r="CQ12393" s="111"/>
      <c r="EF12393"/>
      <c r="EG12393"/>
      <c r="EH12393"/>
      <c r="EI12393"/>
      <c r="EJ12393"/>
      <c r="EK12393"/>
    </row>
    <row r="12394" spans="1:141" s="116" customFormat="1">
      <c r="A12394" s="136"/>
      <c r="CM12394" s="111"/>
      <c r="CQ12394" s="111"/>
      <c r="EF12394"/>
      <c r="EG12394"/>
      <c r="EH12394"/>
      <c r="EI12394"/>
      <c r="EJ12394"/>
      <c r="EK12394"/>
    </row>
    <row r="12395" spans="1:141" s="116" customFormat="1">
      <c r="A12395" s="136"/>
      <c r="CM12395" s="111"/>
      <c r="CQ12395" s="111"/>
      <c r="EF12395"/>
      <c r="EG12395"/>
      <c r="EH12395"/>
      <c r="EI12395"/>
      <c r="EJ12395"/>
      <c r="EK12395"/>
    </row>
    <row r="12396" spans="1:141" s="116" customFormat="1">
      <c r="A12396" s="136"/>
      <c r="CM12396" s="111"/>
      <c r="CQ12396" s="111"/>
      <c r="EF12396"/>
      <c r="EG12396"/>
      <c r="EH12396"/>
      <c r="EI12396"/>
      <c r="EJ12396"/>
      <c r="EK12396"/>
    </row>
    <row r="12397" spans="1:141" s="116" customFormat="1">
      <c r="A12397" s="136"/>
      <c r="CM12397" s="111"/>
      <c r="CQ12397" s="111"/>
      <c r="EF12397"/>
      <c r="EG12397"/>
      <c r="EH12397"/>
      <c r="EI12397"/>
      <c r="EJ12397"/>
      <c r="EK12397"/>
    </row>
    <row r="12398" spans="1:141" s="116" customFormat="1">
      <c r="A12398" s="136"/>
      <c r="CM12398" s="111"/>
      <c r="CQ12398" s="111"/>
      <c r="EF12398"/>
      <c r="EG12398"/>
      <c r="EH12398"/>
      <c r="EI12398"/>
      <c r="EJ12398"/>
      <c r="EK12398"/>
    </row>
    <row r="12399" spans="1:141" s="116" customFormat="1">
      <c r="A12399" s="136"/>
      <c r="CM12399" s="111"/>
      <c r="CQ12399" s="111"/>
      <c r="EF12399"/>
      <c r="EG12399"/>
      <c r="EH12399"/>
      <c r="EI12399"/>
      <c r="EJ12399"/>
      <c r="EK12399"/>
    </row>
    <row r="12400" spans="1:141" s="116" customFormat="1">
      <c r="A12400" s="136"/>
      <c r="CM12400" s="111"/>
      <c r="CQ12400" s="111"/>
      <c r="EF12400"/>
      <c r="EG12400"/>
      <c r="EH12400"/>
      <c r="EI12400"/>
      <c r="EJ12400"/>
      <c r="EK12400"/>
    </row>
    <row r="12401" spans="1:141" s="116" customFormat="1">
      <c r="A12401" s="136"/>
      <c r="CM12401" s="111"/>
      <c r="CQ12401" s="111"/>
      <c r="EF12401"/>
      <c r="EG12401"/>
      <c r="EH12401"/>
      <c r="EI12401"/>
      <c r="EJ12401"/>
      <c r="EK12401"/>
    </row>
    <row r="12402" spans="1:141" s="116" customFormat="1">
      <c r="A12402" s="136"/>
      <c r="CM12402" s="111"/>
      <c r="CQ12402" s="111"/>
      <c r="EF12402"/>
      <c r="EG12402"/>
      <c r="EH12402"/>
      <c r="EI12402"/>
      <c r="EJ12402"/>
      <c r="EK12402"/>
    </row>
    <row r="12403" spans="1:141" s="116" customFormat="1">
      <c r="A12403" s="136"/>
      <c r="CM12403" s="111"/>
      <c r="CQ12403" s="111"/>
      <c r="EF12403"/>
      <c r="EG12403"/>
      <c r="EH12403"/>
      <c r="EI12403"/>
      <c r="EJ12403"/>
      <c r="EK12403"/>
    </row>
    <row r="12404" spans="1:141" s="116" customFormat="1">
      <c r="A12404" s="136"/>
      <c r="CM12404" s="111"/>
      <c r="CQ12404" s="111"/>
      <c r="EF12404"/>
      <c r="EG12404"/>
      <c r="EH12404"/>
      <c r="EI12404"/>
      <c r="EJ12404"/>
      <c r="EK12404"/>
    </row>
    <row r="12405" spans="1:141" s="116" customFormat="1">
      <c r="A12405" s="136"/>
      <c r="CM12405" s="111"/>
      <c r="CQ12405" s="111"/>
      <c r="EF12405"/>
      <c r="EG12405"/>
      <c r="EH12405"/>
      <c r="EI12405"/>
      <c r="EJ12405"/>
      <c r="EK12405"/>
    </row>
    <row r="12406" spans="1:141" s="116" customFormat="1">
      <c r="A12406" s="136"/>
      <c r="CM12406" s="111"/>
      <c r="CQ12406" s="111"/>
      <c r="EF12406"/>
      <c r="EG12406"/>
      <c r="EH12406"/>
      <c r="EI12406"/>
      <c r="EJ12406"/>
      <c r="EK12406"/>
    </row>
    <row r="12407" spans="1:141" s="116" customFormat="1">
      <c r="A12407" s="136"/>
      <c r="CM12407" s="111"/>
      <c r="CQ12407" s="111"/>
      <c r="EF12407"/>
      <c r="EG12407"/>
      <c r="EH12407"/>
      <c r="EI12407"/>
      <c r="EJ12407"/>
      <c r="EK12407"/>
    </row>
    <row r="12408" spans="1:141" s="116" customFormat="1">
      <c r="A12408" s="136"/>
      <c r="CM12408" s="111"/>
      <c r="CQ12408" s="111"/>
      <c r="EF12408"/>
      <c r="EG12408"/>
      <c r="EH12408"/>
      <c r="EI12408"/>
      <c r="EJ12408"/>
      <c r="EK12408"/>
    </row>
    <row r="12409" spans="1:141" s="116" customFormat="1">
      <c r="A12409" s="136"/>
      <c r="CM12409" s="111"/>
      <c r="CQ12409" s="111"/>
      <c r="EF12409"/>
      <c r="EG12409"/>
      <c r="EH12409"/>
      <c r="EI12409"/>
      <c r="EJ12409"/>
      <c r="EK12409"/>
    </row>
    <row r="12410" spans="1:141" s="116" customFormat="1">
      <c r="A12410" s="136"/>
      <c r="CM12410" s="111"/>
      <c r="CQ12410" s="111"/>
      <c r="EF12410"/>
      <c r="EG12410"/>
      <c r="EH12410"/>
      <c r="EI12410"/>
      <c r="EJ12410"/>
      <c r="EK12410"/>
    </row>
    <row r="12411" spans="1:141" s="116" customFormat="1">
      <c r="A12411" s="136"/>
      <c r="CM12411" s="111"/>
      <c r="CQ12411" s="111"/>
      <c r="EF12411"/>
      <c r="EG12411"/>
      <c r="EH12411"/>
      <c r="EI12411"/>
      <c r="EJ12411"/>
      <c r="EK12411"/>
    </row>
    <row r="12412" spans="1:141" s="116" customFormat="1">
      <c r="A12412" s="136"/>
      <c r="CM12412" s="111"/>
      <c r="CQ12412" s="111"/>
      <c r="EF12412"/>
      <c r="EG12412"/>
      <c r="EH12412"/>
      <c r="EI12412"/>
      <c r="EJ12412"/>
      <c r="EK12412"/>
    </row>
    <row r="12413" spans="1:141" s="116" customFormat="1">
      <c r="A12413" s="136"/>
      <c r="CM12413" s="111"/>
      <c r="CQ12413" s="111"/>
      <c r="EF12413"/>
      <c r="EG12413"/>
      <c r="EH12413"/>
      <c r="EI12413"/>
      <c r="EJ12413"/>
      <c r="EK12413"/>
    </row>
    <row r="12414" spans="1:141" s="116" customFormat="1">
      <c r="A12414" s="136"/>
      <c r="CM12414" s="111"/>
      <c r="CQ12414" s="111"/>
      <c r="EF12414"/>
      <c r="EG12414"/>
      <c r="EH12414"/>
      <c r="EI12414"/>
      <c r="EJ12414"/>
      <c r="EK12414"/>
    </row>
    <row r="12415" spans="1:141" s="116" customFormat="1">
      <c r="A12415" s="136"/>
      <c r="CM12415" s="111"/>
      <c r="CQ12415" s="111"/>
      <c r="EF12415"/>
      <c r="EG12415"/>
      <c r="EH12415"/>
      <c r="EI12415"/>
      <c r="EJ12415"/>
      <c r="EK12415"/>
    </row>
    <row r="12416" spans="1:141" s="116" customFormat="1">
      <c r="A12416" s="136"/>
      <c r="CM12416" s="111"/>
      <c r="CQ12416" s="111"/>
      <c r="EF12416"/>
      <c r="EG12416"/>
      <c r="EH12416"/>
      <c r="EI12416"/>
      <c r="EJ12416"/>
      <c r="EK12416"/>
    </row>
    <row r="12417" spans="1:141" s="116" customFormat="1">
      <c r="A12417" s="136"/>
      <c r="CM12417" s="111"/>
      <c r="CQ12417" s="111"/>
      <c r="EF12417"/>
      <c r="EG12417"/>
      <c r="EH12417"/>
      <c r="EI12417"/>
      <c r="EJ12417"/>
      <c r="EK12417"/>
    </row>
    <row r="12418" spans="1:141" s="116" customFormat="1">
      <c r="A12418" s="136"/>
      <c r="CM12418" s="111"/>
      <c r="CQ12418" s="111"/>
      <c r="EF12418"/>
      <c r="EG12418"/>
      <c r="EH12418"/>
      <c r="EI12418"/>
      <c r="EJ12418"/>
      <c r="EK12418"/>
    </row>
    <row r="12419" spans="1:141" s="116" customFormat="1">
      <c r="A12419" s="136"/>
      <c r="CM12419" s="111"/>
      <c r="CQ12419" s="111"/>
      <c r="EF12419"/>
      <c r="EG12419"/>
      <c r="EH12419"/>
      <c r="EI12419"/>
      <c r="EJ12419"/>
      <c r="EK12419"/>
    </row>
    <row r="12420" spans="1:141" s="116" customFormat="1">
      <c r="A12420" s="136"/>
      <c r="CM12420" s="111"/>
      <c r="CQ12420" s="111"/>
      <c r="EF12420"/>
      <c r="EG12420"/>
      <c r="EH12420"/>
      <c r="EI12420"/>
      <c r="EJ12420"/>
      <c r="EK12420"/>
    </row>
    <row r="12421" spans="1:141" s="116" customFormat="1">
      <c r="A12421" s="136"/>
      <c r="CM12421" s="111"/>
      <c r="CQ12421" s="111"/>
      <c r="EF12421"/>
      <c r="EG12421"/>
      <c r="EH12421"/>
      <c r="EI12421"/>
      <c r="EJ12421"/>
      <c r="EK12421"/>
    </row>
    <row r="12422" spans="1:141" s="116" customFormat="1">
      <c r="A12422" s="136"/>
      <c r="CM12422" s="111"/>
      <c r="CQ12422" s="111"/>
      <c r="EF12422"/>
      <c r="EG12422"/>
      <c r="EH12422"/>
      <c r="EI12422"/>
      <c r="EJ12422"/>
      <c r="EK12422"/>
    </row>
    <row r="12423" spans="1:141" s="116" customFormat="1">
      <c r="A12423" s="136"/>
      <c r="CM12423" s="111"/>
      <c r="CQ12423" s="111"/>
      <c r="EF12423"/>
      <c r="EG12423"/>
      <c r="EH12423"/>
      <c r="EI12423"/>
      <c r="EJ12423"/>
      <c r="EK12423"/>
    </row>
    <row r="12424" spans="1:141" s="116" customFormat="1">
      <c r="A12424" s="136"/>
      <c r="CM12424" s="111"/>
      <c r="CQ12424" s="111"/>
      <c r="EF12424"/>
      <c r="EG12424"/>
      <c r="EH12424"/>
      <c r="EI12424"/>
      <c r="EJ12424"/>
      <c r="EK12424"/>
    </row>
    <row r="12425" spans="1:141" s="116" customFormat="1">
      <c r="A12425" s="136"/>
      <c r="CM12425" s="111"/>
      <c r="CQ12425" s="111"/>
      <c r="EF12425"/>
      <c r="EG12425"/>
      <c r="EH12425"/>
      <c r="EI12425"/>
      <c r="EJ12425"/>
      <c r="EK12425"/>
    </row>
    <row r="12426" spans="1:141" s="116" customFormat="1">
      <c r="A12426" s="136"/>
      <c r="CM12426" s="111"/>
      <c r="CQ12426" s="111"/>
      <c r="EF12426"/>
      <c r="EG12426"/>
      <c r="EH12426"/>
      <c r="EI12426"/>
      <c r="EJ12426"/>
      <c r="EK12426"/>
    </row>
    <row r="12427" spans="1:141" s="116" customFormat="1">
      <c r="A12427" s="136"/>
      <c r="CM12427" s="111"/>
      <c r="CQ12427" s="111"/>
      <c r="EF12427"/>
      <c r="EG12427"/>
      <c r="EH12427"/>
      <c r="EI12427"/>
      <c r="EJ12427"/>
      <c r="EK12427"/>
    </row>
    <row r="12428" spans="1:141" s="116" customFormat="1">
      <c r="A12428" s="136"/>
      <c r="CM12428" s="111"/>
      <c r="CQ12428" s="111"/>
      <c r="EF12428"/>
      <c r="EG12428"/>
      <c r="EH12428"/>
      <c r="EI12428"/>
      <c r="EJ12428"/>
      <c r="EK12428"/>
    </row>
    <row r="12429" spans="1:141" s="116" customFormat="1">
      <c r="A12429" s="136"/>
      <c r="CM12429" s="111"/>
      <c r="CQ12429" s="111"/>
      <c r="EF12429"/>
      <c r="EG12429"/>
      <c r="EH12429"/>
      <c r="EI12429"/>
      <c r="EJ12429"/>
      <c r="EK12429"/>
    </row>
    <row r="12430" spans="1:141" s="116" customFormat="1">
      <c r="A12430" s="136"/>
      <c r="CM12430" s="111"/>
      <c r="CQ12430" s="111"/>
      <c r="EF12430"/>
      <c r="EG12430"/>
      <c r="EH12430"/>
      <c r="EI12430"/>
      <c r="EJ12430"/>
      <c r="EK12430"/>
    </row>
    <row r="12431" spans="1:141" s="116" customFormat="1">
      <c r="A12431" s="136"/>
      <c r="CM12431" s="111"/>
      <c r="CQ12431" s="111"/>
      <c r="EF12431"/>
      <c r="EG12431"/>
      <c r="EH12431"/>
      <c r="EI12431"/>
      <c r="EJ12431"/>
      <c r="EK12431"/>
    </row>
    <row r="12432" spans="1:141" s="116" customFormat="1">
      <c r="A12432" s="136"/>
      <c r="CM12432" s="111"/>
      <c r="CQ12432" s="111"/>
      <c r="EF12432"/>
      <c r="EG12432"/>
      <c r="EH12432"/>
      <c r="EI12432"/>
      <c r="EJ12432"/>
      <c r="EK12432"/>
    </row>
    <row r="12433" spans="1:141" s="116" customFormat="1">
      <c r="A12433" s="136"/>
      <c r="CM12433" s="111"/>
      <c r="CQ12433" s="111"/>
      <c r="EF12433"/>
      <c r="EG12433"/>
      <c r="EH12433"/>
      <c r="EI12433"/>
      <c r="EJ12433"/>
      <c r="EK12433"/>
    </row>
    <row r="12434" spans="1:141" s="116" customFormat="1">
      <c r="A12434" s="136"/>
      <c r="CM12434" s="111"/>
      <c r="CQ12434" s="111"/>
      <c r="EF12434"/>
      <c r="EG12434"/>
      <c r="EH12434"/>
      <c r="EI12434"/>
      <c r="EJ12434"/>
      <c r="EK12434"/>
    </row>
    <row r="12435" spans="1:141" s="116" customFormat="1">
      <c r="A12435" s="136"/>
      <c r="CM12435" s="111"/>
      <c r="CQ12435" s="111"/>
      <c r="EF12435"/>
      <c r="EG12435"/>
      <c r="EH12435"/>
      <c r="EI12435"/>
      <c r="EJ12435"/>
      <c r="EK12435"/>
    </row>
    <row r="12436" spans="1:141" s="116" customFormat="1">
      <c r="A12436" s="136"/>
      <c r="CM12436" s="111"/>
      <c r="CQ12436" s="111"/>
      <c r="EF12436"/>
      <c r="EG12436"/>
      <c r="EH12436"/>
      <c r="EI12436"/>
      <c r="EJ12436"/>
      <c r="EK12436"/>
    </row>
    <row r="12437" spans="1:141" s="116" customFormat="1">
      <c r="A12437" s="136"/>
      <c r="CM12437" s="111"/>
      <c r="CQ12437" s="111"/>
      <c r="EF12437"/>
      <c r="EG12437"/>
      <c r="EH12437"/>
      <c r="EI12437"/>
      <c r="EJ12437"/>
      <c r="EK12437"/>
    </row>
    <row r="12438" spans="1:141" s="116" customFormat="1">
      <c r="A12438" s="136"/>
      <c r="CM12438" s="111"/>
      <c r="CQ12438" s="111"/>
      <c r="EF12438"/>
      <c r="EG12438"/>
      <c r="EH12438"/>
      <c r="EI12438"/>
      <c r="EJ12438"/>
      <c r="EK12438"/>
    </row>
    <row r="12439" spans="1:141" s="116" customFormat="1">
      <c r="A12439" s="136"/>
      <c r="CM12439" s="111"/>
      <c r="CQ12439" s="111"/>
      <c r="EF12439"/>
      <c r="EG12439"/>
      <c r="EH12439"/>
      <c r="EI12439"/>
      <c r="EJ12439"/>
      <c r="EK12439"/>
    </row>
    <row r="12440" spans="1:141" s="116" customFormat="1">
      <c r="A12440" s="136"/>
      <c r="CM12440" s="111"/>
      <c r="CQ12440" s="111"/>
      <c r="EF12440"/>
      <c r="EG12440"/>
      <c r="EH12440"/>
      <c r="EI12440"/>
      <c r="EJ12440"/>
      <c r="EK12440"/>
    </row>
    <row r="12441" spans="1:141" s="116" customFormat="1">
      <c r="A12441" s="136"/>
      <c r="CM12441" s="111"/>
      <c r="CQ12441" s="111"/>
      <c r="EF12441"/>
      <c r="EG12441"/>
      <c r="EH12441"/>
      <c r="EI12441"/>
      <c r="EJ12441"/>
      <c r="EK12441"/>
    </row>
    <row r="12442" spans="1:141" s="116" customFormat="1">
      <c r="A12442" s="136"/>
      <c r="CM12442" s="111"/>
      <c r="CQ12442" s="111"/>
      <c r="EF12442"/>
      <c r="EG12442"/>
      <c r="EH12442"/>
      <c r="EI12442"/>
      <c r="EJ12442"/>
      <c r="EK12442"/>
    </row>
    <row r="12443" spans="1:141" s="116" customFormat="1">
      <c r="A12443" s="136"/>
      <c r="CM12443" s="111"/>
      <c r="CQ12443" s="111"/>
      <c r="EF12443"/>
      <c r="EG12443"/>
      <c r="EH12443"/>
      <c r="EI12443"/>
      <c r="EJ12443"/>
      <c r="EK12443"/>
    </row>
    <row r="12444" spans="1:141" s="116" customFormat="1">
      <c r="A12444" s="136"/>
      <c r="CM12444" s="111"/>
      <c r="CQ12444" s="111"/>
      <c r="EF12444"/>
      <c r="EG12444"/>
      <c r="EH12444"/>
      <c r="EI12444"/>
      <c r="EJ12444"/>
      <c r="EK12444"/>
    </row>
    <row r="12445" spans="1:141" s="116" customFormat="1">
      <c r="A12445" s="136"/>
      <c r="CM12445" s="111"/>
      <c r="CQ12445" s="111"/>
      <c r="EF12445"/>
      <c r="EG12445"/>
      <c r="EH12445"/>
      <c r="EI12445"/>
      <c r="EJ12445"/>
      <c r="EK12445"/>
    </row>
    <row r="12446" spans="1:141" s="116" customFormat="1">
      <c r="A12446" s="136"/>
      <c r="CM12446" s="111"/>
      <c r="CQ12446" s="111"/>
      <c r="EF12446"/>
      <c r="EG12446"/>
      <c r="EH12446"/>
      <c r="EI12446"/>
      <c r="EJ12446"/>
      <c r="EK12446"/>
    </row>
    <row r="12447" spans="1:141" s="116" customFormat="1">
      <c r="A12447" s="136"/>
      <c r="CM12447" s="111"/>
      <c r="CQ12447" s="111"/>
      <c r="EF12447"/>
      <c r="EG12447"/>
      <c r="EH12447"/>
      <c r="EI12447"/>
      <c r="EJ12447"/>
      <c r="EK12447"/>
    </row>
    <row r="12448" spans="1:141" s="116" customFormat="1">
      <c r="A12448" s="136"/>
      <c r="CM12448" s="111"/>
      <c r="CQ12448" s="111"/>
      <c r="EF12448"/>
      <c r="EG12448"/>
      <c r="EH12448"/>
      <c r="EI12448"/>
      <c r="EJ12448"/>
      <c r="EK12448"/>
    </row>
    <row r="12449" spans="1:141" s="116" customFormat="1">
      <c r="A12449" s="136"/>
      <c r="CM12449" s="111"/>
      <c r="CQ12449" s="111"/>
      <c r="EF12449"/>
      <c r="EG12449"/>
      <c r="EH12449"/>
      <c r="EI12449"/>
      <c r="EJ12449"/>
      <c r="EK12449"/>
    </row>
    <row r="12450" spans="1:141" s="116" customFormat="1">
      <c r="A12450" s="136"/>
      <c r="CM12450" s="111"/>
      <c r="CQ12450" s="111"/>
      <c r="EF12450"/>
      <c r="EG12450"/>
      <c r="EH12450"/>
      <c r="EI12450"/>
      <c r="EJ12450"/>
      <c r="EK12450"/>
    </row>
    <row r="12451" spans="1:141" s="116" customFormat="1">
      <c r="A12451" s="136"/>
      <c r="CM12451" s="111"/>
      <c r="CQ12451" s="111"/>
      <c r="EF12451"/>
      <c r="EG12451"/>
      <c r="EH12451"/>
      <c r="EI12451"/>
      <c r="EJ12451"/>
      <c r="EK12451"/>
    </row>
    <row r="12452" spans="1:141" s="116" customFormat="1">
      <c r="A12452" s="136"/>
      <c r="CM12452" s="111"/>
      <c r="CQ12452" s="111"/>
      <c r="EF12452"/>
      <c r="EG12452"/>
      <c r="EH12452"/>
      <c r="EI12452"/>
      <c r="EJ12452"/>
      <c r="EK12452"/>
    </row>
    <row r="12453" spans="1:141" s="116" customFormat="1">
      <c r="A12453" s="136"/>
      <c r="CM12453" s="111"/>
      <c r="CQ12453" s="111"/>
      <c r="EF12453"/>
      <c r="EG12453"/>
      <c r="EH12453"/>
      <c r="EI12453"/>
      <c r="EJ12453"/>
      <c r="EK12453"/>
    </row>
    <row r="12454" spans="1:141" s="116" customFormat="1">
      <c r="A12454" s="136"/>
      <c r="CM12454" s="111"/>
      <c r="CQ12454" s="111"/>
      <c r="EF12454"/>
      <c r="EG12454"/>
      <c r="EH12454"/>
      <c r="EI12454"/>
      <c r="EJ12454"/>
      <c r="EK12454"/>
    </row>
    <row r="12455" spans="1:141" s="116" customFormat="1">
      <c r="A12455" s="136"/>
      <c r="CM12455" s="111"/>
      <c r="CQ12455" s="111"/>
      <c r="EF12455"/>
      <c r="EG12455"/>
      <c r="EH12455"/>
      <c r="EI12455"/>
      <c r="EJ12455"/>
      <c r="EK12455"/>
    </row>
    <row r="12456" spans="1:141" s="116" customFormat="1">
      <c r="A12456" s="136"/>
      <c r="CM12456" s="111"/>
      <c r="CQ12456" s="111"/>
      <c r="EF12456"/>
      <c r="EG12456"/>
      <c r="EH12456"/>
      <c r="EI12456"/>
      <c r="EJ12456"/>
      <c r="EK12456"/>
    </row>
    <row r="12457" spans="1:141" s="116" customFormat="1">
      <c r="A12457" s="136"/>
      <c r="CM12457" s="111"/>
      <c r="CQ12457" s="111"/>
      <c r="EF12457"/>
      <c r="EG12457"/>
      <c r="EH12457"/>
      <c r="EI12457"/>
      <c r="EJ12457"/>
      <c r="EK12457"/>
    </row>
    <row r="12458" spans="1:141" s="116" customFormat="1">
      <c r="A12458" s="136"/>
      <c r="CM12458" s="111"/>
      <c r="CQ12458" s="111"/>
      <c r="EF12458"/>
      <c r="EG12458"/>
      <c r="EH12458"/>
      <c r="EI12458"/>
      <c r="EJ12458"/>
      <c r="EK12458"/>
    </row>
    <row r="12459" spans="1:141" s="116" customFormat="1">
      <c r="A12459" s="136"/>
      <c r="CM12459" s="111"/>
      <c r="CQ12459" s="111"/>
      <c r="EF12459"/>
      <c r="EG12459"/>
      <c r="EH12459"/>
      <c r="EI12459"/>
      <c r="EJ12459"/>
      <c r="EK12459"/>
    </row>
    <row r="12460" spans="1:141" s="116" customFormat="1">
      <c r="A12460" s="136"/>
      <c r="CM12460" s="111"/>
      <c r="CQ12460" s="111"/>
      <c r="EF12460"/>
      <c r="EG12460"/>
      <c r="EH12460"/>
      <c r="EI12460"/>
      <c r="EJ12460"/>
      <c r="EK12460"/>
    </row>
    <row r="12461" spans="1:141" s="116" customFormat="1">
      <c r="A12461" s="136"/>
      <c r="CM12461" s="111"/>
      <c r="CQ12461" s="111"/>
      <c r="EF12461"/>
      <c r="EG12461"/>
      <c r="EH12461"/>
      <c r="EI12461"/>
      <c r="EJ12461"/>
      <c r="EK12461"/>
    </row>
    <row r="12462" spans="1:141" s="116" customFormat="1">
      <c r="A12462" s="136"/>
      <c r="CM12462" s="111"/>
      <c r="CQ12462" s="111"/>
      <c r="EF12462"/>
      <c r="EG12462"/>
      <c r="EH12462"/>
      <c r="EI12462"/>
      <c r="EJ12462"/>
      <c r="EK12462"/>
    </row>
    <row r="12463" spans="1:141" s="116" customFormat="1">
      <c r="A12463" s="136"/>
      <c r="CM12463" s="111"/>
      <c r="CQ12463" s="111"/>
      <c r="EF12463"/>
      <c r="EG12463"/>
      <c r="EH12463"/>
      <c r="EI12463"/>
      <c r="EJ12463"/>
      <c r="EK12463"/>
    </row>
    <row r="12464" spans="1:141" s="116" customFormat="1">
      <c r="A12464" s="136"/>
      <c r="CM12464" s="111"/>
      <c r="CQ12464" s="111"/>
      <c r="EF12464"/>
      <c r="EG12464"/>
      <c r="EH12464"/>
      <c r="EI12464"/>
      <c r="EJ12464"/>
      <c r="EK12464"/>
    </row>
    <row r="12465" spans="1:141" s="116" customFormat="1">
      <c r="A12465" s="136"/>
      <c r="CM12465" s="111"/>
      <c r="CQ12465" s="111"/>
      <c r="EF12465"/>
      <c r="EG12465"/>
      <c r="EH12465"/>
      <c r="EI12465"/>
      <c r="EJ12465"/>
      <c r="EK12465"/>
    </row>
    <row r="12466" spans="1:141" s="116" customFormat="1">
      <c r="A12466" s="136"/>
      <c r="CM12466" s="111"/>
      <c r="CQ12466" s="111"/>
      <c r="EF12466"/>
      <c r="EG12466"/>
      <c r="EH12466"/>
      <c r="EI12466"/>
      <c r="EJ12466"/>
      <c r="EK12466"/>
    </row>
    <row r="12467" spans="1:141" s="116" customFormat="1">
      <c r="A12467" s="136"/>
      <c r="CM12467" s="111"/>
      <c r="CQ12467" s="111"/>
      <c r="EF12467"/>
      <c r="EG12467"/>
      <c r="EH12467"/>
      <c r="EI12467"/>
      <c r="EJ12467"/>
      <c r="EK12467"/>
    </row>
    <row r="12468" spans="1:141" s="116" customFormat="1">
      <c r="A12468" s="136"/>
      <c r="CM12468" s="111"/>
      <c r="CQ12468" s="111"/>
      <c r="EF12468"/>
      <c r="EG12468"/>
      <c r="EH12468"/>
      <c r="EI12468"/>
      <c r="EJ12468"/>
      <c r="EK12468"/>
    </row>
    <row r="12469" spans="1:141" s="116" customFormat="1">
      <c r="A12469" s="136"/>
      <c r="CM12469" s="111"/>
      <c r="CQ12469" s="111"/>
      <c r="EF12469"/>
      <c r="EG12469"/>
      <c r="EH12469"/>
      <c r="EI12469"/>
      <c r="EJ12469"/>
      <c r="EK12469"/>
    </row>
    <row r="12470" spans="1:141" s="116" customFormat="1">
      <c r="A12470" s="136"/>
      <c r="CM12470" s="111"/>
      <c r="CQ12470" s="111"/>
      <c r="EF12470"/>
      <c r="EG12470"/>
      <c r="EH12470"/>
      <c r="EI12470"/>
      <c r="EJ12470"/>
      <c r="EK12470"/>
    </row>
    <row r="12471" spans="1:141" s="116" customFormat="1">
      <c r="A12471" s="136"/>
      <c r="CM12471" s="111"/>
      <c r="CQ12471" s="111"/>
      <c r="EF12471"/>
      <c r="EG12471"/>
      <c r="EH12471"/>
      <c r="EI12471"/>
      <c r="EJ12471"/>
      <c r="EK12471"/>
    </row>
    <row r="12472" spans="1:141" s="116" customFormat="1">
      <c r="A12472" s="136"/>
      <c r="CM12472" s="111"/>
      <c r="CQ12472" s="111"/>
      <c r="EF12472"/>
      <c r="EG12472"/>
      <c r="EH12472"/>
      <c r="EI12472"/>
      <c r="EJ12472"/>
      <c r="EK12472"/>
    </row>
    <row r="12473" spans="1:141" s="116" customFormat="1">
      <c r="A12473" s="136"/>
      <c r="CM12473" s="111"/>
      <c r="CQ12473" s="111"/>
      <c r="EF12473"/>
      <c r="EG12473"/>
      <c r="EH12473"/>
      <c r="EI12473"/>
      <c r="EJ12473"/>
      <c r="EK12473"/>
    </row>
    <row r="12474" spans="1:141" s="116" customFormat="1">
      <c r="A12474" s="136"/>
      <c r="CM12474" s="111"/>
      <c r="CQ12474" s="111"/>
      <c r="EF12474"/>
      <c r="EG12474"/>
      <c r="EH12474"/>
      <c r="EI12474"/>
      <c r="EJ12474"/>
      <c r="EK12474"/>
    </row>
    <row r="12475" spans="1:141" s="116" customFormat="1">
      <c r="A12475" s="136"/>
      <c r="CM12475" s="111"/>
      <c r="CQ12475" s="111"/>
      <c r="EF12475"/>
      <c r="EG12475"/>
      <c r="EH12475"/>
      <c r="EI12475"/>
      <c r="EJ12475"/>
      <c r="EK12475"/>
    </row>
    <row r="12476" spans="1:141" s="116" customFormat="1">
      <c r="A12476" s="136"/>
      <c r="CM12476" s="111"/>
      <c r="CQ12476" s="111"/>
      <c r="EF12476"/>
      <c r="EG12476"/>
      <c r="EH12476"/>
      <c r="EI12476"/>
      <c r="EJ12476"/>
      <c r="EK12476"/>
    </row>
    <row r="12477" spans="1:141" s="116" customFormat="1">
      <c r="A12477" s="136"/>
      <c r="CM12477" s="111"/>
      <c r="CQ12477" s="111"/>
      <c r="EF12477"/>
      <c r="EG12477"/>
      <c r="EH12477"/>
      <c r="EI12477"/>
      <c r="EJ12477"/>
      <c r="EK12477"/>
    </row>
    <row r="12478" spans="1:141" s="116" customFormat="1">
      <c r="A12478" s="136"/>
      <c r="CM12478" s="111"/>
      <c r="CQ12478" s="111"/>
      <c r="EF12478"/>
      <c r="EG12478"/>
      <c r="EH12478"/>
      <c r="EI12478"/>
      <c r="EJ12478"/>
      <c r="EK12478"/>
    </row>
    <row r="12479" spans="1:141" s="116" customFormat="1">
      <c r="A12479" s="136"/>
      <c r="CM12479" s="111"/>
      <c r="CQ12479" s="111"/>
      <c r="EF12479"/>
      <c r="EG12479"/>
      <c r="EH12479"/>
      <c r="EI12479"/>
      <c r="EJ12479"/>
      <c r="EK12479"/>
    </row>
    <row r="12480" spans="1:141" s="116" customFormat="1">
      <c r="A12480" s="136"/>
      <c r="CM12480" s="111"/>
      <c r="CQ12480" s="111"/>
      <c r="EF12480"/>
      <c r="EG12480"/>
      <c r="EH12480"/>
      <c r="EI12480"/>
      <c r="EJ12480"/>
      <c r="EK12480"/>
    </row>
    <row r="12481" spans="1:141" s="116" customFormat="1">
      <c r="A12481" s="136"/>
      <c r="CM12481" s="111"/>
      <c r="CQ12481" s="111"/>
      <c r="EF12481"/>
      <c r="EG12481"/>
      <c r="EH12481"/>
      <c r="EI12481"/>
      <c r="EJ12481"/>
      <c r="EK12481"/>
    </row>
    <row r="12482" spans="1:141" s="116" customFormat="1">
      <c r="A12482" s="136"/>
      <c r="CM12482" s="111"/>
      <c r="CQ12482" s="111"/>
      <c r="EF12482"/>
      <c r="EG12482"/>
      <c r="EH12482"/>
      <c r="EI12482"/>
      <c r="EJ12482"/>
      <c r="EK12482"/>
    </row>
    <row r="12483" spans="1:141" s="116" customFormat="1">
      <c r="A12483" s="136"/>
      <c r="CM12483" s="111"/>
      <c r="CQ12483" s="111"/>
      <c r="EF12483"/>
      <c r="EG12483"/>
      <c r="EH12483"/>
      <c r="EI12483"/>
      <c r="EJ12483"/>
      <c r="EK12483"/>
    </row>
    <row r="12484" spans="1:141" s="116" customFormat="1">
      <c r="A12484" s="136"/>
      <c r="CM12484" s="111"/>
      <c r="CQ12484" s="111"/>
      <c r="EF12484"/>
      <c r="EG12484"/>
      <c r="EH12484"/>
      <c r="EI12484"/>
      <c r="EJ12484"/>
      <c r="EK12484"/>
    </row>
    <row r="12485" spans="1:141" s="116" customFormat="1">
      <c r="A12485" s="136"/>
      <c r="CM12485" s="111"/>
      <c r="CQ12485" s="111"/>
      <c r="EF12485"/>
      <c r="EG12485"/>
      <c r="EH12485"/>
      <c r="EI12485"/>
      <c r="EJ12485"/>
      <c r="EK12485"/>
    </row>
    <row r="12486" spans="1:141" s="116" customFormat="1">
      <c r="A12486" s="136"/>
      <c r="CM12486" s="111"/>
      <c r="CQ12486" s="111"/>
      <c r="EF12486"/>
      <c r="EG12486"/>
      <c r="EH12486"/>
      <c r="EI12486"/>
      <c r="EJ12486"/>
      <c r="EK12486"/>
    </row>
    <row r="12487" spans="1:141" s="116" customFormat="1">
      <c r="A12487" s="136"/>
      <c r="CM12487" s="111"/>
      <c r="CQ12487" s="111"/>
      <c r="EF12487"/>
      <c r="EG12487"/>
      <c r="EH12487"/>
      <c r="EI12487"/>
      <c r="EJ12487"/>
      <c r="EK12487"/>
    </row>
    <row r="12488" spans="1:141" s="116" customFormat="1">
      <c r="A12488" s="136"/>
      <c r="CM12488" s="111"/>
      <c r="CQ12488" s="111"/>
      <c r="EF12488"/>
      <c r="EG12488"/>
      <c r="EH12488"/>
      <c r="EI12488"/>
      <c r="EJ12488"/>
      <c r="EK12488"/>
    </row>
    <row r="12489" spans="1:141" s="116" customFormat="1">
      <c r="A12489" s="136"/>
      <c r="CM12489" s="111"/>
      <c r="CQ12489" s="111"/>
      <c r="EF12489"/>
      <c r="EG12489"/>
      <c r="EH12489"/>
      <c r="EI12489"/>
      <c r="EJ12489"/>
      <c r="EK12489"/>
    </row>
    <row r="12490" spans="1:141" s="116" customFormat="1">
      <c r="A12490" s="136"/>
      <c r="CM12490" s="111"/>
      <c r="CQ12490" s="111"/>
      <c r="EF12490"/>
      <c r="EG12490"/>
      <c r="EH12490"/>
      <c r="EI12490"/>
      <c r="EJ12490"/>
      <c r="EK12490"/>
    </row>
    <row r="12491" spans="1:141" s="116" customFormat="1">
      <c r="A12491" s="136"/>
      <c r="CM12491" s="111"/>
      <c r="CQ12491" s="111"/>
      <c r="EF12491"/>
      <c r="EG12491"/>
      <c r="EH12491"/>
      <c r="EI12491"/>
      <c r="EJ12491"/>
      <c r="EK12491"/>
    </row>
    <row r="12492" spans="1:141" s="116" customFormat="1">
      <c r="A12492" s="136"/>
      <c r="CM12492" s="111"/>
      <c r="CQ12492" s="111"/>
      <c r="EF12492"/>
      <c r="EG12492"/>
      <c r="EH12492"/>
      <c r="EI12492"/>
      <c r="EJ12492"/>
      <c r="EK12492"/>
    </row>
    <row r="12493" spans="1:141" s="116" customFormat="1">
      <c r="A12493" s="136"/>
      <c r="CM12493" s="111"/>
      <c r="CQ12493" s="111"/>
      <c r="EF12493"/>
      <c r="EG12493"/>
      <c r="EH12493"/>
      <c r="EI12493"/>
      <c r="EJ12493"/>
      <c r="EK12493"/>
    </row>
    <row r="12494" spans="1:141" s="116" customFormat="1">
      <c r="A12494" s="136"/>
      <c r="CM12494" s="111"/>
      <c r="CQ12494" s="111"/>
      <c r="EF12494"/>
      <c r="EG12494"/>
      <c r="EH12494"/>
      <c r="EI12494"/>
      <c r="EJ12494"/>
      <c r="EK12494"/>
    </row>
    <row r="12495" spans="1:141" s="116" customFormat="1">
      <c r="A12495" s="136"/>
      <c r="CM12495" s="111"/>
      <c r="CQ12495" s="111"/>
      <c r="EF12495"/>
      <c r="EG12495"/>
      <c r="EH12495"/>
      <c r="EI12495"/>
      <c r="EJ12495"/>
      <c r="EK12495"/>
    </row>
    <row r="12496" spans="1:141" s="116" customFormat="1">
      <c r="A12496" s="136"/>
      <c r="CM12496" s="111"/>
      <c r="CQ12496" s="111"/>
      <c r="EF12496"/>
      <c r="EG12496"/>
      <c r="EH12496"/>
      <c r="EI12496"/>
      <c r="EJ12496"/>
      <c r="EK12496"/>
    </row>
    <row r="12497" spans="1:141" s="116" customFormat="1">
      <c r="A12497" s="136"/>
      <c r="CM12497" s="111"/>
      <c r="CQ12497" s="111"/>
      <c r="EF12497"/>
      <c r="EG12497"/>
      <c r="EH12497"/>
      <c r="EI12497"/>
      <c r="EJ12497"/>
      <c r="EK12497"/>
    </row>
    <row r="12498" spans="1:141" s="116" customFormat="1">
      <c r="A12498" s="136"/>
      <c r="CM12498" s="111"/>
      <c r="CQ12498" s="111"/>
      <c r="EF12498"/>
      <c r="EG12498"/>
      <c r="EH12498"/>
      <c r="EI12498"/>
      <c r="EJ12498"/>
      <c r="EK12498"/>
    </row>
    <row r="12499" spans="1:141" s="116" customFormat="1">
      <c r="A12499" s="136"/>
      <c r="CM12499" s="111"/>
      <c r="CQ12499" s="111"/>
      <c r="EF12499"/>
      <c r="EG12499"/>
      <c r="EH12499"/>
      <c r="EI12499"/>
      <c r="EJ12499"/>
      <c r="EK12499"/>
    </row>
    <row r="12500" spans="1:141" s="116" customFormat="1">
      <c r="A12500" s="136"/>
      <c r="CM12500" s="111"/>
      <c r="CQ12500" s="111"/>
      <c r="EF12500"/>
      <c r="EG12500"/>
      <c r="EH12500"/>
      <c r="EI12500"/>
      <c r="EJ12500"/>
      <c r="EK12500"/>
    </row>
    <row r="12501" spans="1:141" s="116" customFormat="1">
      <c r="A12501" s="136"/>
      <c r="CM12501" s="111"/>
      <c r="CQ12501" s="111"/>
      <c r="EF12501"/>
      <c r="EG12501"/>
      <c r="EH12501"/>
      <c r="EI12501"/>
      <c r="EJ12501"/>
      <c r="EK12501"/>
    </row>
    <row r="12502" spans="1:141" s="116" customFormat="1">
      <c r="A12502" s="136"/>
      <c r="CM12502" s="111"/>
      <c r="CQ12502" s="111"/>
      <c r="EF12502"/>
      <c r="EG12502"/>
      <c r="EH12502"/>
      <c r="EI12502"/>
      <c r="EJ12502"/>
      <c r="EK12502"/>
    </row>
    <row r="12503" spans="1:141" s="116" customFormat="1">
      <c r="A12503" s="136"/>
      <c r="CM12503" s="111"/>
      <c r="CQ12503" s="111"/>
      <c r="EF12503"/>
      <c r="EG12503"/>
      <c r="EH12503"/>
      <c r="EI12503"/>
      <c r="EJ12503"/>
      <c r="EK12503"/>
    </row>
    <row r="12504" spans="1:141" s="116" customFormat="1">
      <c r="A12504" s="136"/>
      <c r="CM12504" s="111"/>
      <c r="CQ12504" s="111"/>
      <c r="EF12504"/>
      <c r="EG12504"/>
      <c r="EH12504"/>
      <c r="EI12504"/>
      <c r="EJ12504"/>
      <c r="EK12504"/>
    </row>
    <row r="12505" spans="1:141" s="116" customFormat="1">
      <c r="A12505" s="136"/>
      <c r="CM12505" s="111"/>
      <c r="CQ12505" s="111"/>
      <c r="EF12505"/>
      <c r="EG12505"/>
      <c r="EH12505"/>
      <c r="EI12505"/>
      <c r="EJ12505"/>
      <c r="EK12505"/>
    </row>
    <row r="12506" spans="1:141" s="116" customFormat="1">
      <c r="A12506" s="136"/>
      <c r="CM12506" s="111"/>
      <c r="CQ12506" s="111"/>
      <c r="EF12506"/>
      <c r="EG12506"/>
      <c r="EH12506"/>
      <c r="EI12506"/>
      <c r="EJ12506"/>
      <c r="EK12506"/>
    </row>
    <row r="12507" spans="1:141" s="116" customFormat="1">
      <c r="A12507" s="136"/>
      <c r="CM12507" s="111"/>
      <c r="CQ12507" s="111"/>
      <c r="EF12507"/>
      <c r="EG12507"/>
      <c r="EH12507"/>
      <c r="EI12507"/>
      <c r="EJ12507"/>
      <c r="EK12507"/>
    </row>
    <row r="12508" spans="1:141" s="116" customFormat="1">
      <c r="A12508" s="136"/>
      <c r="CM12508" s="111"/>
      <c r="CQ12508" s="111"/>
      <c r="EF12508"/>
      <c r="EG12508"/>
      <c r="EH12508"/>
      <c r="EI12508"/>
      <c r="EJ12508"/>
      <c r="EK12508"/>
    </row>
    <row r="12509" spans="1:141" s="116" customFormat="1">
      <c r="A12509" s="136"/>
      <c r="CM12509" s="111"/>
      <c r="CQ12509" s="111"/>
      <c r="EF12509"/>
      <c r="EG12509"/>
      <c r="EH12509"/>
      <c r="EI12509"/>
      <c r="EJ12509"/>
      <c r="EK12509"/>
    </row>
    <row r="12510" spans="1:141" s="116" customFormat="1">
      <c r="A12510" s="136"/>
      <c r="CM12510" s="111"/>
      <c r="CQ12510" s="111"/>
      <c r="EF12510"/>
      <c r="EG12510"/>
      <c r="EH12510"/>
      <c r="EI12510"/>
      <c r="EJ12510"/>
      <c r="EK12510"/>
    </row>
    <row r="12511" spans="1:141" s="116" customFormat="1">
      <c r="A12511" s="136"/>
      <c r="CM12511" s="111"/>
      <c r="CQ12511" s="111"/>
      <c r="EF12511"/>
      <c r="EG12511"/>
      <c r="EH12511"/>
      <c r="EI12511"/>
      <c r="EJ12511"/>
      <c r="EK12511"/>
    </row>
    <row r="12512" spans="1:141" s="116" customFormat="1">
      <c r="A12512" s="136"/>
      <c r="CM12512" s="111"/>
      <c r="CQ12512" s="111"/>
      <c r="EF12512"/>
      <c r="EG12512"/>
      <c r="EH12512"/>
      <c r="EI12512"/>
      <c r="EJ12512"/>
      <c r="EK12512"/>
    </row>
    <row r="12513" spans="1:141" s="116" customFormat="1">
      <c r="A12513" s="136"/>
      <c r="CM12513" s="111"/>
      <c r="CQ12513" s="111"/>
      <c r="EF12513"/>
      <c r="EG12513"/>
      <c r="EH12513"/>
      <c r="EI12513"/>
      <c r="EJ12513"/>
      <c r="EK12513"/>
    </row>
    <row r="12514" spans="1:141" s="116" customFormat="1">
      <c r="A12514" s="136"/>
      <c r="CM12514" s="111"/>
      <c r="CQ12514" s="111"/>
      <c r="EF12514"/>
      <c r="EG12514"/>
      <c r="EH12514"/>
      <c r="EI12514"/>
      <c r="EJ12514"/>
      <c r="EK12514"/>
    </row>
    <row r="12515" spans="1:141" s="116" customFormat="1">
      <c r="A12515" s="136"/>
      <c r="CM12515" s="111"/>
      <c r="CQ12515" s="111"/>
      <c r="EF12515"/>
      <c r="EG12515"/>
      <c r="EH12515"/>
      <c r="EI12515"/>
      <c r="EJ12515"/>
      <c r="EK12515"/>
    </row>
    <row r="12516" spans="1:141" s="116" customFormat="1">
      <c r="A12516" s="136"/>
      <c r="CM12516" s="111"/>
      <c r="CQ12516" s="111"/>
      <c r="EF12516"/>
      <c r="EG12516"/>
      <c r="EH12516"/>
      <c r="EI12516"/>
      <c r="EJ12516"/>
      <c r="EK12516"/>
    </row>
    <row r="12517" spans="1:141" s="116" customFormat="1">
      <c r="A12517" s="136"/>
      <c r="CM12517" s="111"/>
      <c r="CQ12517" s="111"/>
      <c r="EF12517"/>
      <c r="EG12517"/>
      <c r="EH12517"/>
      <c r="EI12517"/>
      <c r="EJ12517"/>
      <c r="EK12517"/>
    </row>
    <row r="12518" spans="1:141" s="116" customFormat="1">
      <c r="A12518" s="136"/>
      <c r="CM12518" s="111"/>
      <c r="CQ12518" s="111"/>
      <c r="EF12518"/>
      <c r="EG12518"/>
      <c r="EH12518"/>
      <c r="EI12518"/>
      <c r="EJ12518"/>
      <c r="EK12518"/>
    </row>
    <row r="12519" spans="1:141" s="116" customFormat="1">
      <c r="A12519" s="136"/>
      <c r="CM12519" s="111"/>
      <c r="CQ12519" s="111"/>
      <c r="EF12519"/>
      <c r="EG12519"/>
      <c r="EH12519"/>
      <c r="EI12519"/>
      <c r="EJ12519"/>
      <c r="EK12519"/>
    </row>
    <row r="12520" spans="1:141" s="116" customFormat="1">
      <c r="A12520" s="136"/>
      <c r="CM12520" s="111"/>
      <c r="CQ12520" s="111"/>
      <c r="EF12520"/>
      <c r="EG12520"/>
      <c r="EH12520"/>
      <c r="EI12520"/>
      <c r="EJ12520"/>
      <c r="EK12520"/>
    </row>
    <row r="12521" spans="1:141" s="116" customFormat="1">
      <c r="A12521" s="136"/>
      <c r="CM12521" s="111"/>
      <c r="CQ12521" s="111"/>
      <c r="EF12521"/>
      <c r="EG12521"/>
      <c r="EH12521"/>
      <c r="EI12521"/>
      <c r="EJ12521"/>
      <c r="EK12521"/>
    </row>
    <row r="12522" spans="1:141" s="116" customFormat="1">
      <c r="A12522" s="136"/>
      <c r="CM12522" s="111"/>
      <c r="CQ12522" s="111"/>
      <c r="EF12522"/>
      <c r="EG12522"/>
      <c r="EH12522"/>
      <c r="EI12522"/>
      <c r="EJ12522"/>
      <c r="EK12522"/>
    </row>
    <row r="12523" spans="1:141" s="116" customFormat="1">
      <c r="A12523" s="136"/>
      <c r="CM12523" s="111"/>
      <c r="CQ12523" s="111"/>
      <c r="EF12523"/>
      <c r="EG12523"/>
      <c r="EH12523"/>
      <c r="EI12523"/>
      <c r="EJ12523"/>
      <c r="EK12523"/>
    </row>
    <row r="12524" spans="1:141" s="116" customFormat="1">
      <c r="A12524" s="136"/>
      <c r="CM12524" s="111"/>
      <c r="CQ12524" s="111"/>
      <c r="EF12524"/>
      <c r="EG12524"/>
      <c r="EH12524"/>
      <c r="EI12524"/>
      <c r="EJ12524"/>
      <c r="EK12524"/>
    </row>
    <row r="12525" spans="1:141" s="116" customFormat="1">
      <c r="A12525" s="136"/>
      <c r="CM12525" s="111"/>
      <c r="CQ12525" s="111"/>
      <c r="EF12525"/>
      <c r="EG12525"/>
      <c r="EH12525"/>
      <c r="EI12525"/>
      <c r="EJ12525"/>
      <c r="EK12525"/>
    </row>
    <row r="12526" spans="1:141" s="116" customFormat="1">
      <c r="A12526" s="136"/>
      <c r="CM12526" s="111"/>
      <c r="CQ12526" s="111"/>
      <c r="EF12526"/>
      <c r="EG12526"/>
      <c r="EH12526"/>
      <c r="EI12526"/>
      <c r="EJ12526"/>
      <c r="EK12526"/>
    </row>
    <row r="12527" spans="1:141" s="116" customFormat="1">
      <c r="A12527" s="136"/>
      <c r="CM12527" s="111"/>
      <c r="CQ12527" s="111"/>
      <c r="EF12527"/>
      <c r="EG12527"/>
      <c r="EH12527"/>
      <c r="EI12527"/>
      <c r="EJ12527"/>
      <c r="EK12527"/>
    </row>
    <row r="12528" spans="1:141" s="116" customFormat="1">
      <c r="A12528" s="136"/>
      <c r="CM12528" s="111"/>
      <c r="CQ12528" s="111"/>
      <c r="EF12528"/>
      <c r="EG12528"/>
      <c r="EH12528"/>
      <c r="EI12528"/>
      <c r="EJ12528"/>
      <c r="EK12528"/>
    </row>
    <row r="12529" spans="1:141" s="116" customFormat="1">
      <c r="A12529" s="136"/>
      <c r="CM12529" s="111"/>
      <c r="CQ12529" s="111"/>
      <c r="EF12529"/>
      <c r="EG12529"/>
      <c r="EH12529"/>
      <c r="EI12529"/>
      <c r="EJ12529"/>
      <c r="EK12529"/>
    </row>
    <row r="12530" spans="1:141" s="116" customFormat="1">
      <c r="A12530" s="136"/>
      <c r="CM12530" s="111"/>
      <c r="CQ12530" s="111"/>
      <c r="EF12530"/>
      <c r="EG12530"/>
      <c r="EH12530"/>
      <c r="EI12530"/>
      <c r="EJ12530"/>
      <c r="EK12530"/>
    </row>
    <row r="12531" spans="1:141" s="116" customFormat="1">
      <c r="A12531" s="136"/>
      <c r="CM12531" s="111"/>
      <c r="CQ12531" s="111"/>
      <c r="EF12531"/>
      <c r="EG12531"/>
      <c r="EH12531"/>
      <c r="EI12531"/>
      <c r="EJ12531"/>
      <c r="EK12531"/>
    </row>
    <row r="12532" spans="1:141" s="116" customFormat="1">
      <c r="A12532" s="136"/>
      <c r="CM12532" s="111"/>
      <c r="CQ12532" s="111"/>
      <c r="EF12532"/>
      <c r="EG12532"/>
      <c r="EH12532"/>
      <c r="EI12532"/>
      <c r="EJ12532"/>
      <c r="EK12532"/>
    </row>
    <row r="12533" spans="1:141" s="116" customFormat="1">
      <c r="A12533" s="136"/>
      <c r="CM12533" s="111"/>
      <c r="CQ12533" s="111"/>
      <c r="EF12533"/>
      <c r="EG12533"/>
      <c r="EH12533"/>
      <c r="EI12533"/>
      <c r="EJ12533"/>
      <c r="EK12533"/>
    </row>
    <row r="12534" spans="1:141" s="116" customFormat="1">
      <c r="A12534" s="136"/>
      <c r="CM12534" s="111"/>
      <c r="CQ12534" s="111"/>
      <c r="EF12534"/>
      <c r="EG12534"/>
      <c r="EH12534"/>
      <c r="EI12534"/>
      <c r="EJ12534"/>
      <c r="EK12534"/>
    </row>
    <row r="12535" spans="1:141" s="116" customFormat="1">
      <c r="A12535" s="136"/>
      <c r="CM12535" s="111"/>
      <c r="CQ12535" s="111"/>
      <c r="EF12535"/>
      <c r="EG12535"/>
      <c r="EH12535"/>
      <c r="EI12535"/>
      <c r="EJ12535"/>
      <c r="EK12535"/>
    </row>
    <row r="12536" spans="1:141" s="116" customFormat="1">
      <c r="A12536" s="136"/>
      <c r="CM12536" s="111"/>
      <c r="CQ12536" s="111"/>
      <c r="EF12536"/>
      <c r="EG12536"/>
      <c r="EH12536"/>
      <c r="EI12536"/>
      <c r="EJ12536"/>
      <c r="EK12536"/>
    </row>
    <row r="12537" spans="1:141" s="116" customFormat="1">
      <c r="A12537" s="136"/>
      <c r="CM12537" s="111"/>
      <c r="CQ12537" s="111"/>
      <c r="EF12537"/>
      <c r="EG12537"/>
      <c r="EH12537"/>
      <c r="EI12537"/>
      <c r="EJ12537"/>
      <c r="EK12537"/>
    </row>
    <row r="12538" spans="1:141" s="116" customFormat="1">
      <c r="A12538" s="136"/>
      <c r="CM12538" s="111"/>
      <c r="CQ12538" s="111"/>
      <c r="EF12538"/>
      <c r="EG12538"/>
      <c r="EH12538"/>
      <c r="EI12538"/>
      <c r="EJ12538"/>
      <c r="EK12538"/>
    </row>
    <row r="12539" spans="1:141" s="116" customFormat="1">
      <c r="A12539" s="136"/>
      <c r="CM12539" s="111"/>
      <c r="CQ12539" s="111"/>
      <c r="EF12539"/>
      <c r="EG12539"/>
      <c r="EH12539"/>
      <c r="EI12539"/>
      <c r="EJ12539"/>
      <c r="EK12539"/>
    </row>
    <row r="12540" spans="1:141" s="116" customFormat="1">
      <c r="A12540" s="136"/>
      <c r="CM12540" s="111"/>
      <c r="CQ12540" s="111"/>
      <c r="EF12540"/>
      <c r="EG12540"/>
      <c r="EH12540"/>
      <c r="EI12540"/>
      <c r="EJ12540"/>
      <c r="EK12540"/>
    </row>
    <row r="12541" spans="1:141" s="116" customFormat="1">
      <c r="A12541" s="136"/>
      <c r="CM12541" s="111"/>
      <c r="CQ12541" s="111"/>
      <c r="EF12541"/>
      <c r="EG12541"/>
      <c r="EH12541"/>
      <c r="EI12541"/>
      <c r="EJ12541"/>
      <c r="EK12541"/>
    </row>
    <row r="12542" spans="1:141" s="116" customFormat="1">
      <c r="A12542" s="136"/>
      <c r="CM12542" s="111"/>
      <c r="CQ12542" s="111"/>
      <c r="EF12542"/>
      <c r="EG12542"/>
      <c r="EH12542"/>
      <c r="EI12542"/>
      <c r="EJ12542"/>
      <c r="EK12542"/>
    </row>
    <row r="12543" spans="1:141" s="116" customFormat="1">
      <c r="A12543" s="136"/>
      <c r="CM12543" s="111"/>
      <c r="CQ12543" s="111"/>
      <c r="EF12543"/>
      <c r="EG12543"/>
      <c r="EH12543"/>
      <c r="EI12543"/>
      <c r="EJ12543"/>
      <c r="EK12543"/>
    </row>
    <row r="12544" spans="1:141" s="116" customFormat="1">
      <c r="A12544" s="136"/>
      <c r="CM12544" s="111"/>
      <c r="CQ12544" s="111"/>
      <c r="EF12544"/>
      <c r="EG12544"/>
      <c r="EH12544"/>
      <c r="EI12544"/>
      <c r="EJ12544"/>
      <c r="EK12544"/>
    </row>
    <row r="12545" spans="1:141" s="116" customFormat="1">
      <c r="A12545" s="136"/>
      <c r="CM12545" s="111"/>
      <c r="CQ12545" s="111"/>
      <c r="EF12545"/>
      <c r="EG12545"/>
      <c r="EH12545"/>
      <c r="EI12545"/>
      <c r="EJ12545"/>
      <c r="EK12545"/>
    </row>
    <row r="12546" spans="1:141" s="116" customFormat="1">
      <c r="A12546" s="136"/>
      <c r="CM12546" s="111"/>
      <c r="CQ12546" s="111"/>
      <c r="EF12546"/>
      <c r="EG12546"/>
      <c r="EH12546"/>
      <c r="EI12546"/>
      <c r="EJ12546"/>
      <c r="EK12546"/>
    </row>
    <row r="12547" spans="1:141" s="116" customFormat="1">
      <c r="A12547" s="136"/>
      <c r="CM12547" s="111"/>
      <c r="CQ12547" s="111"/>
      <c r="EF12547"/>
      <c r="EG12547"/>
      <c r="EH12547"/>
      <c r="EI12547"/>
      <c r="EJ12547"/>
      <c r="EK12547"/>
    </row>
    <row r="12548" spans="1:141" s="116" customFormat="1">
      <c r="A12548" s="136"/>
      <c r="CM12548" s="111"/>
      <c r="CQ12548" s="111"/>
      <c r="EF12548"/>
      <c r="EG12548"/>
      <c r="EH12548"/>
      <c r="EI12548"/>
      <c r="EJ12548"/>
      <c r="EK12548"/>
    </row>
    <row r="12549" spans="1:141" s="116" customFormat="1">
      <c r="A12549" s="136"/>
      <c r="CM12549" s="111"/>
      <c r="CQ12549" s="111"/>
      <c r="EF12549"/>
      <c r="EG12549"/>
      <c r="EH12549"/>
      <c r="EI12549"/>
      <c r="EJ12549"/>
      <c r="EK12549"/>
    </row>
    <row r="12550" spans="1:141" s="116" customFormat="1">
      <c r="A12550" s="136"/>
      <c r="CM12550" s="111"/>
      <c r="CQ12550" s="111"/>
      <c r="EF12550"/>
      <c r="EG12550"/>
      <c r="EH12550"/>
      <c r="EI12550"/>
      <c r="EJ12550"/>
      <c r="EK12550"/>
    </row>
    <row r="12551" spans="1:141" s="116" customFormat="1">
      <c r="A12551" s="136"/>
      <c r="CM12551" s="111"/>
      <c r="CQ12551" s="111"/>
      <c r="EF12551"/>
      <c r="EG12551"/>
      <c r="EH12551"/>
      <c r="EI12551"/>
      <c r="EJ12551"/>
      <c r="EK12551"/>
    </row>
    <row r="12552" spans="1:141" s="116" customFormat="1">
      <c r="A12552" s="136"/>
      <c r="CM12552" s="111"/>
      <c r="CQ12552" s="111"/>
      <c r="EF12552"/>
      <c r="EG12552"/>
      <c r="EH12552"/>
      <c r="EI12552"/>
      <c r="EJ12552"/>
      <c r="EK12552"/>
    </row>
    <row r="12553" spans="1:141" s="116" customFormat="1">
      <c r="A12553" s="136"/>
      <c r="CM12553" s="111"/>
      <c r="CQ12553" s="111"/>
      <c r="EF12553"/>
      <c r="EG12553"/>
      <c r="EH12553"/>
      <c r="EI12553"/>
      <c r="EJ12553"/>
      <c r="EK12553"/>
    </row>
    <row r="12554" spans="1:141" s="116" customFormat="1">
      <c r="A12554" s="136"/>
      <c r="CM12554" s="111"/>
      <c r="CQ12554" s="111"/>
      <c r="EF12554"/>
      <c r="EG12554"/>
      <c r="EH12554"/>
      <c r="EI12554"/>
      <c r="EJ12554"/>
      <c r="EK12554"/>
    </row>
    <row r="12555" spans="1:141" s="116" customFormat="1">
      <c r="A12555" s="136"/>
      <c r="CM12555" s="111"/>
      <c r="CQ12555" s="111"/>
      <c r="EF12555"/>
      <c r="EG12555"/>
      <c r="EH12555"/>
      <c r="EI12555"/>
      <c r="EJ12555"/>
      <c r="EK12555"/>
    </row>
    <row r="12556" spans="1:141" s="116" customFormat="1">
      <c r="A12556" s="136"/>
      <c r="CM12556" s="111"/>
      <c r="CQ12556" s="111"/>
      <c r="EF12556"/>
      <c r="EG12556"/>
      <c r="EH12556"/>
      <c r="EI12556"/>
      <c r="EJ12556"/>
      <c r="EK12556"/>
    </row>
    <row r="12557" spans="1:141" s="116" customFormat="1">
      <c r="A12557" s="136"/>
      <c r="CM12557" s="111"/>
      <c r="CQ12557" s="111"/>
      <c r="EF12557"/>
      <c r="EG12557"/>
      <c r="EH12557"/>
      <c r="EI12557"/>
      <c r="EJ12557"/>
      <c r="EK12557"/>
    </row>
    <row r="12558" spans="1:141" s="116" customFormat="1">
      <c r="A12558" s="136"/>
      <c r="CM12558" s="111"/>
      <c r="CQ12558" s="111"/>
      <c r="EF12558"/>
      <c r="EG12558"/>
      <c r="EH12558"/>
      <c r="EI12558"/>
      <c r="EJ12558"/>
      <c r="EK12558"/>
    </row>
    <row r="12559" spans="1:141" s="116" customFormat="1">
      <c r="A12559" s="136"/>
      <c r="CM12559" s="111"/>
      <c r="CQ12559" s="111"/>
      <c r="EF12559"/>
      <c r="EG12559"/>
      <c r="EH12559"/>
      <c r="EI12559"/>
      <c r="EJ12559"/>
      <c r="EK12559"/>
    </row>
    <row r="12560" spans="1:141" s="116" customFormat="1">
      <c r="A12560" s="136"/>
      <c r="CM12560" s="111"/>
      <c r="CQ12560" s="111"/>
      <c r="EF12560"/>
      <c r="EG12560"/>
      <c r="EH12560"/>
      <c r="EI12560"/>
      <c r="EJ12560"/>
      <c r="EK12560"/>
    </row>
    <row r="12561" spans="1:141" s="116" customFormat="1">
      <c r="A12561" s="136"/>
      <c r="CM12561" s="111"/>
      <c r="CQ12561" s="111"/>
      <c r="EF12561"/>
      <c r="EG12561"/>
      <c r="EH12561"/>
      <c r="EI12561"/>
      <c r="EJ12561"/>
      <c r="EK12561"/>
    </row>
    <row r="12562" spans="1:141" s="116" customFormat="1">
      <c r="A12562" s="136"/>
      <c r="CM12562" s="111"/>
      <c r="CQ12562" s="111"/>
      <c r="EF12562"/>
      <c r="EG12562"/>
      <c r="EH12562"/>
      <c r="EI12562"/>
      <c r="EJ12562"/>
      <c r="EK12562"/>
    </row>
    <row r="12563" spans="1:141" s="116" customFormat="1">
      <c r="A12563" s="136"/>
      <c r="CM12563" s="111"/>
      <c r="CQ12563" s="111"/>
      <c r="EF12563"/>
      <c r="EG12563"/>
      <c r="EH12563"/>
      <c r="EI12563"/>
      <c r="EJ12563"/>
      <c r="EK12563"/>
    </row>
    <row r="12564" spans="1:141" s="116" customFormat="1">
      <c r="A12564" s="136"/>
      <c r="CM12564" s="111"/>
      <c r="CQ12564" s="111"/>
      <c r="EF12564"/>
      <c r="EG12564"/>
      <c r="EH12564"/>
      <c r="EI12564"/>
      <c r="EJ12564"/>
      <c r="EK12564"/>
    </row>
    <row r="12565" spans="1:141" s="116" customFormat="1">
      <c r="A12565" s="136"/>
      <c r="CM12565" s="111"/>
      <c r="CQ12565" s="111"/>
      <c r="EF12565"/>
      <c r="EG12565"/>
      <c r="EH12565"/>
      <c r="EI12565"/>
      <c r="EJ12565"/>
      <c r="EK12565"/>
    </row>
    <row r="12566" spans="1:141" s="116" customFormat="1">
      <c r="A12566" s="136"/>
      <c r="CM12566" s="111"/>
      <c r="CQ12566" s="111"/>
      <c r="EF12566"/>
      <c r="EG12566"/>
      <c r="EH12566"/>
      <c r="EI12566"/>
      <c r="EJ12566"/>
      <c r="EK12566"/>
    </row>
    <row r="12567" spans="1:141" s="116" customFormat="1">
      <c r="A12567" s="136"/>
      <c r="CM12567" s="111"/>
      <c r="CQ12567" s="111"/>
      <c r="EF12567"/>
      <c r="EG12567"/>
      <c r="EH12567"/>
      <c r="EI12567"/>
      <c r="EJ12567"/>
      <c r="EK12567"/>
    </row>
    <row r="12568" spans="1:141" s="116" customFormat="1">
      <c r="A12568" s="136"/>
      <c r="CM12568" s="111"/>
      <c r="CQ12568" s="111"/>
      <c r="EF12568"/>
      <c r="EG12568"/>
      <c r="EH12568"/>
      <c r="EI12568"/>
      <c r="EJ12568"/>
      <c r="EK12568"/>
    </row>
    <row r="12569" spans="1:141" s="116" customFormat="1">
      <c r="A12569" s="136"/>
      <c r="CM12569" s="111"/>
      <c r="CQ12569" s="111"/>
      <c r="EF12569"/>
      <c r="EG12569"/>
      <c r="EH12569"/>
      <c r="EI12569"/>
      <c r="EJ12569"/>
      <c r="EK12569"/>
    </row>
    <row r="12570" spans="1:141" s="116" customFormat="1">
      <c r="A12570" s="136"/>
      <c r="CM12570" s="111"/>
      <c r="CQ12570" s="111"/>
      <c r="EF12570"/>
      <c r="EG12570"/>
      <c r="EH12570"/>
      <c r="EI12570"/>
      <c r="EJ12570"/>
      <c r="EK12570"/>
    </row>
    <row r="12571" spans="1:141" s="116" customFormat="1">
      <c r="A12571" s="136"/>
      <c r="CM12571" s="111"/>
      <c r="CQ12571" s="111"/>
      <c r="EF12571"/>
      <c r="EG12571"/>
      <c r="EH12571"/>
      <c r="EI12571"/>
      <c r="EJ12571"/>
      <c r="EK12571"/>
    </row>
    <row r="12572" spans="1:141" s="116" customFormat="1">
      <c r="A12572" s="136"/>
      <c r="CM12572" s="111"/>
      <c r="CQ12572" s="111"/>
      <c r="EF12572"/>
      <c r="EG12572"/>
      <c r="EH12572"/>
      <c r="EI12572"/>
      <c r="EJ12572"/>
      <c r="EK12572"/>
    </row>
    <row r="12573" spans="1:141" s="116" customFormat="1">
      <c r="A12573" s="136"/>
      <c r="CM12573" s="111"/>
      <c r="CQ12573" s="111"/>
      <c r="EF12573"/>
      <c r="EG12573"/>
      <c r="EH12573"/>
      <c r="EI12573"/>
      <c r="EJ12573"/>
      <c r="EK12573"/>
    </row>
    <row r="12574" spans="1:141" s="116" customFormat="1">
      <c r="A12574" s="136"/>
      <c r="CM12574" s="111"/>
      <c r="CQ12574" s="111"/>
      <c r="EF12574"/>
      <c r="EG12574"/>
      <c r="EH12574"/>
      <c r="EI12574"/>
      <c r="EJ12574"/>
      <c r="EK12574"/>
    </row>
    <row r="12575" spans="1:141" s="116" customFormat="1">
      <c r="A12575" s="136"/>
      <c r="CM12575" s="111"/>
      <c r="CQ12575" s="111"/>
      <c r="EF12575"/>
      <c r="EG12575"/>
      <c r="EH12575"/>
      <c r="EI12575"/>
      <c r="EJ12575"/>
      <c r="EK12575"/>
    </row>
    <row r="12576" spans="1:141" s="116" customFormat="1">
      <c r="A12576" s="136"/>
      <c r="CM12576" s="111"/>
      <c r="CQ12576" s="111"/>
      <c r="EF12576"/>
      <c r="EG12576"/>
      <c r="EH12576"/>
      <c r="EI12576"/>
      <c r="EJ12576"/>
      <c r="EK12576"/>
    </row>
    <row r="12577" spans="1:141" s="116" customFormat="1">
      <c r="A12577" s="136"/>
      <c r="CM12577" s="111"/>
      <c r="CQ12577" s="111"/>
      <c r="EF12577"/>
      <c r="EG12577"/>
      <c r="EH12577"/>
      <c r="EI12577"/>
      <c r="EJ12577"/>
      <c r="EK12577"/>
    </row>
    <row r="12578" spans="1:141" s="116" customFormat="1">
      <c r="A12578" s="136"/>
      <c r="CM12578" s="111"/>
      <c r="CQ12578" s="111"/>
      <c r="EF12578"/>
      <c r="EG12578"/>
      <c r="EH12578"/>
      <c r="EI12578"/>
      <c r="EJ12578"/>
      <c r="EK12578"/>
    </row>
    <row r="12579" spans="1:141" s="116" customFormat="1">
      <c r="A12579" s="136"/>
      <c r="CM12579" s="111"/>
      <c r="CQ12579" s="111"/>
      <c r="EF12579"/>
      <c r="EG12579"/>
      <c r="EH12579"/>
      <c r="EI12579"/>
      <c r="EJ12579"/>
      <c r="EK12579"/>
    </row>
    <row r="12580" spans="1:141" s="116" customFormat="1">
      <c r="A12580" s="136"/>
      <c r="CM12580" s="111"/>
      <c r="CQ12580" s="111"/>
      <c r="EF12580"/>
      <c r="EG12580"/>
      <c r="EH12580"/>
      <c r="EI12580"/>
      <c r="EJ12580"/>
      <c r="EK12580"/>
    </row>
    <row r="12581" spans="1:141" s="116" customFormat="1">
      <c r="A12581" s="136"/>
      <c r="CM12581" s="111"/>
      <c r="CQ12581" s="111"/>
      <c r="EF12581"/>
      <c r="EG12581"/>
      <c r="EH12581"/>
      <c r="EI12581"/>
      <c r="EJ12581"/>
      <c r="EK12581"/>
    </row>
    <row r="12582" spans="1:141" s="116" customFormat="1">
      <c r="A12582" s="136"/>
      <c r="CM12582" s="111"/>
      <c r="CQ12582" s="111"/>
      <c r="EF12582"/>
      <c r="EG12582"/>
      <c r="EH12582"/>
      <c r="EI12582"/>
      <c r="EJ12582"/>
      <c r="EK12582"/>
    </row>
    <row r="12583" spans="1:141" s="116" customFormat="1">
      <c r="A12583" s="136"/>
      <c r="CM12583" s="111"/>
      <c r="CQ12583" s="111"/>
      <c r="EF12583"/>
      <c r="EG12583"/>
      <c r="EH12583"/>
      <c r="EI12583"/>
      <c r="EJ12583"/>
      <c r="EK12583"/>
    </row>
    <row r="12584" spans="1:141" s="116" customFormat="1">
      <c r="A12584" s="136"/>
      <c r="CM12584" s="111"/>
      <c r="CQ12584" s="111"/>
      <c r="EF12584"/>
      <c r="EG12584"/>
      <c r="EH12584"/>
      <c r="EI12584"/>
      <c r="EJ12584"/>
      <c r="EK12584"/>
    </row>
    <row r="12585" spans="1:141" s="116" customFormat="1">
      <c r="A12585" s="136"/>
      <c r="CM12585" s="111"/>
      <c r="CQ12585" s="111"/>
      <c r="EF12585"/>
      <c r="EG12585"/>
      <c r="EH12585"/>
      <c r="EI12585"/>
      <c r="EJ12585"/>
      <c r="EK12585"/>
    </row>
    <row r="12586" spans="1:141" s="116" customFormat="1">
      <c r="A12586" s="136"/>
      <c r="CM12586" s="111"/>
      <c r="CQ12586" s="111"/>
      <c r="EF12586"/>
      <c r="EG12586"/>
      <c r="EH12586"/>
      <c r="EI12586"/>
      <c r="EJ12586"/>
      <c r="EK12586"/>
    </row>
    <row r="12587" spans="1:141" s="116" customFormat="1">
      <c r="A12587" s="136"/>
      <c r="CM12587" s="111"/>
      <c r="CQ12587" s="111"/>
      <c r="EF12587"/>
      <c r="EG12587"/>
      <c r="EH12587"/>
      <c r="EI12587"/>
      <c r="EJ12587"/>
      <c r="EK12587"/>
    </row>
    <row r="12588" spans="1:141" s="116" customFormat="1">
      <c r="A12588" s="136"/>
      <c r="CM12588" s="111"/>
      <c r="CQ12588" s="111"/>
      <c r="EF12588"/>
      <c r="EG12588"/>
      <c r="EH12588"/>
      <c r="EI12588"/>
      <c r="EJ12588"/>
      <c r="EK12588"/>
    </row>
    <row r="12589" spans="1:141" s="116" customFormat="1">
      <c r="A12589" s="136"/>
      <c r="CM12589" s="111"/>
      <c r="CQ12589" s="111"/>
      <c r="EF12589"/>
      <c r="EG12589"/>
      <c r="EH12589"/>
      <c r="EI12589"/>
      <c r="EJ12589"/>
      <c r="EK12589"/>
    </row>
    <row r="12590" spans="1:141" s="116" customFormat="1">
      <c r="A12590" s="136"/>
      <c r="CM12590" s="111"/>
      <c r="CQ12590" s="111"/>
      <c r="EF12590"/>
      <c r="EG12590"/>
      <c r="EH12590"/>
      <c r="EI12590"/>
      <c r="EJ12590"/>
      <c r="EK12590"/>
    </row>
    <row r="12591" spans="1:141" s="116" customFormat="1">
      <c r="A12591" s="136"/>
      <c r="CM12591" s="111"/>
      <c r="CQ12591" s="111"/>
      <c r="EF12591"/>
      <c r="EG12591"/>
      <c r="EH12591"/>
      <c r="EI12591"/>
      <c r="EJ12591"/>
      <c r="EK12591"/>
    </row>
    <row r="12592" spans="1:141" s="116" customFormat="1">
      <c r="A12592" s="136"/>
      <c r="CM12592" s="111"/>
      <c r="CQ12592" s="111"/>
      <c r="EF12592"/>
      <c r="EG12592"/>
      <c r="EH12592"/>
      <c r="EI12592"/>
      <c r="EJ12592"/>
      <c r="EK12592"/>
    </row>
    <row r="12593" spans="1:141" s="116" customFormat="1">
      <c r="A12593" s="136"/>
      <c r="CM12593" s="111"/>
      <c r="CQ12593" s="111"/>
      <c r="EF12593"/>
      <c r="EG12593"/>
      <c r="EH12593"/>
      <c r="EI12593"/>
      <c r="EJ12593"/>
      <c r="EK12593"/>
    </row>
    <row r="12594" spans="1:141" s="116" customFormat="1">
      <c r="A12594" s="136"/>
      <c r="CM12594" s="111"/>
      <c r="CQ12594" s="111"/>
      <c r="EF12594"/>
      <c r="EG12594"/>
      <c r="EH12594"/>
      <c r="EI12594"/>
      <c r="EJ12594"/>
      <c r="EK12594"/>
    </row>
    <row r="12595" spans="1:141" s="116" customFormat="1">
      <c r="A12595" s="136"/>
      <c r="CM12595" s="111"/>
      <c r="CQ12595" s="111"/>
      <c r="EF12595"/>
      <c r="EG12595"/>
      <c r="EH12595"/>
      <c r="EI12595"/>
      <c r="EJ12595"/>
      <c r="EK12595"/>
    </row>
    <row r="12596" spans="1:141" s="116" customFormat="1">
      <c r="A12596" s="136"/>
      <c r="CM12596" s="111"/>
      <c r="CQ12596" s="111"/>
      <c r="EF12596"/>
      <c r="EG12596"/>
      <c r="EH12596"/>
      <c r="EI12596"/>
      <c r="EJ12596"/>
      <c r="EK12596"/>
    </row>
    <row r="12597" spans="1:141" s="116" customFormat="1">
      <c r="A12597" s="136"/>
      <c r="CM12597" s="111"/>
      <c r="CQ12597" s="111"/>
      <c r="EF12597"/>
      <c r="EG12597"/>
      <c r="EH12597"/>
      <c r="EI12597"/>
      <c r="EJ12597"/>
      <c r="EK12597"/>
    </row>
    <row r="12598" spans="1:141" s="116" customFormat="1">
      <c r="A12598" s="136"/>
      <c r="CM12598" s="111"/>
      <c r="CQ12598" s="111"/>
      <c r="EF12598"/>
      <c r="EG12598"/>
      <c r="EH12598"/>
      <c r="EI12598"/>
      <c r="EJ12598"/>
      <c r="EK12598"/>
    </row>
    <row r="12599" spans="1:141" s="116" customFormat="1">
      <c r="A12599" s="136"/>
      <c r="CM12599" s="111"/>
      <c r="CQ12599" s="111"/>
      <c r="EF12599"/>
      <c r="EG12599"/>
      <c r="EH12599"/>
      <c r="EI12599"/>
      <c r="EJ12599"/>
      <c r="EK12599"/>
    </row>
    <row r="12600" spans="1:141" s="116" customFormat="1">
      <c r="A12600" s="136"/>
      <c r="CM12600" s="111"/>
      <c r="CQ12600" s="111"/>
      <c r="EF12600"/>
      <c r="EG12600"/>
      <c r="EH12600"/>
      <c r="EI12600"/>
      <c r="EJ12600"/>
      <c r="EK12600"/>
    </row>
    <row r="12601" spans="1:141" s="116" customFormat="1">
      <c r="A12601" s="136"/>
      <c r="CM12601" s="111"/>
      <c r="CQ12601" s="111"/>
      <c r="EF12601"/>
      <c r="EG12601"/>
      <c r="EH12601"/>
      <c r="EI12601"/>
      <c r="EJ12601"/>
      <c r="EK12601"/>
    </row>
    <row r="12602" spans="1:141" s="116" customFormat="1">
      <c r="A12602" s="136"/>
      <c r="CM12602" s="111"/>
      <c r="CQ12602" s="111"/>
      <c r="EF12602"/>
      <c r="EG12602"/>
      <c r="EH12602"/>
      <c r="EI12602"/>
      <c r="EJ12602"/>
      <c r="EK12602"/>
    </row>
    <row r="12603" spans="1:141" s="116" customFormat="1">
      <c r="A12603" s="136"/>
      <c r="CM12603" s="111"/>
      <c r="CQ12603" s="111"/>
      <c r="EF12603"/>
      <c r="EG12603"/>
      <c r="EH12603"/>
      <c r="EI12603"/>
      <c r="EJ12603"/>
      <c r="EK12603"/>
    </row>
    <row r="12604" spans="1:141" s="116" customFormat="1">
      <c r="A12604" s="136"/>
      <c r="CM12604" s="111"/>
      <c r="CQ12604" s="111"/>
      <c r="EF12604"/>
      <c r="EG12604"/>
      <c r="EH12604"/>
      <c r="EI12604"/>
      <c r="EJ12604"/>
      <c r="EK12604"/>
    </row>
    <row r="12605" spans="1:141" s="116" customFormat="1">
      <c r="A12605" s="136"/>
      <c r="CM12605" s="111"/>
      <c r="CQ12605" s="111"/>
      <c r="EF12605"/>
      <c r="EG12605"/>
      <c r="EH12605"/>
      <c r="EI12605"/>
      <c r="EJ12605"/>
      <c r="EK12605"/>
    </row>
    <row r="12606" spans="1:141" s="116" customFormat="1">
      <c r="A12606" s="136"/>
      <c r="CM12606" s="111"/>
      <c r="CQ12606" s="111"/>
      <c r="EF12606"/>
      <c r="EG12606"/>
      <c r="EH12606"/>
      <c r="EI12606"/>
      <c r="EJ12606"/>
      <c r="EK12606"/>
    </row>
    <row r="12607" spans="1:141" s="116" customFormat="1">
      <c r="A12607" s="136"/>
      <c r="CM12607" s="111"/>
      <c r="CQ12607" s="111"/>
      <c r="EF12607"/>
      <c r="EG12607"/>
      <c r="EH12607"/>
      <c r="EI12607"/>
      <c r="EJ12607"/>
      <c r="EK12607"/>
    </row>
    <row r="12608" spans="1:141" s="116" customFormat="1">
      <c r="A12608" s="136"/>
      <c r="CM12608" s="111"/>
      <c r="CQ12608" s="111"/>
      <c r="EF12608"/>
      <c r="EG12608"/>
      <c r="EH12608"/>
      <c r="EI12608"/>
      <c r="EJ12608"/>
      <c r="EK12608"/>
    </row>
    <row r="12609" spans="1:141" s="116" customFormat="1">
      <c r="A12609" s="136"/>
      <c r="CM12609" s="111"/>
      <c r="CQ12609" s="111"/>
      <c r="EF12609"/>
      <c r="EG12609"/>
      <c r="EH12609"/>
      <c r="EI12609"/>
      <c r="EJ12609"/>
      <c r="EK12609"/>
    </row>
    <row r="12610" spans="1:141" s="116" customFormat="1">
      <c r="A12610" s="136"/>
      <c r="CM12610" s="111"/>
      <c r="CQ12610" s="111"/>
      <c r="EF12610"/>
      <c r="EG12610"/>
      <c r="EH12610"/>
      <c r="EI12610"/>
      <c r="EJ12610"/>
      <c r="EK12610"/>
    </row>
    <row r="12611" spans="1:141" s="116" customFormat="1">
      <c r="A12611" s="136"/>
      <c r="CM12611" s="111"/>
      <c r="CQ12611" s="111"/>
      <c r="EF12611"/>
      <c r="EG12611"/>
      <c r="EH12611"/>
      <c r="EI12611"/>
      <c r="EJ12611"/>
      <c r="EK12611"/>
    </row>
    <row r="12612" spans="1:141" s="116" customFormat="1">
      <c r="A12612" s="136"/>
      <c r="CM12612" s="111"/>
      <c r="CQ12612" s="111"/>
      <c r="EF12612"/>
      <c r="EG12612"/>
      <c r="EH12612"/>
      <c r="EI12612"/>
      <c r="EJ12612"/>
      <c r="EK12612"/>
    </row>
    <row r="12613" spans="1:141" s="116" customFormat="1">
      <c r="A12613" s="136"/>
      <c r="CM12613" s="111"/>
      <c r="CQ12613" s="111"/>
      <c r="EF12613"/>
      <c r="EG12613"/>
      <c r="EH12613"/>
      <c r="EI12613"/>
      <c r="EJ12613"/>
      <c r="EK12613"/>
    </row>
    <row r="12614" spans="1:141" s="116" customFormat="1">
      <c r="A12614" s="136"/>
      <c r="CM12614" s="111"/>
      <c r="CQ12614" s="111"/>
      <c r="EF12614"/>
      <c r="EG12614"/>
      <c r="EH12614"/>
      <c r="EI12614"/>
      <c r="EJ12614"/>
      <c r="EK12614"/>
    </row>
    <row r="12615" spans="1:141" s="116" customFormat="1">
      <c r="A12615" s="136"/>
      <c r="CM12615" s="111"/>
      <c r="CQ12615" s="111"/>
      <c r="EF12615"/>
      <c r="EG12615"/>
      <c r="EH12615"/>
      <c r="EI12615"/>
      <c r="EJ12615"/>
      <c r="EK12615"/>
    </row>
    <row r="12616" spans="1:141" s="116" customFormat="1">
      <c r="A12616" s="136"/>
      <c r="CM12616" s="111"/>
      <c r="CQ12616" s="111"/>
      <c r="EF12616"/>
      <c r="EG12616"/>
      <c r="EH12616"/>
      <c r="EI12616"/>
      <c r="EJ12616"/>
      <c r="EK12616"/>
    </row>
    <row r="12617" spans="1:141" s="116" customFormat="1">
      <c r="A12617" s="136"/>
      <c r="CM12617" s="111"/>
      <c r="CQ12617" s="111"/>
      <c r="EF12617"/>
      <c r="EG12617"/>
      <c r="EH12617"/>
      <c r="EI12617"/>
      <c r="EJ12617"/>
      <c r="EK12617"/>
    </row>
    <row r="12618" spans="1:141" s="116" customFormat="1">
      <c r="A12618" s="136"/>
      <c r="CM12618" s="111"/>
      <c r="CQ12618" s="111"/>
      <c r="EF12618"/>
      <c r="EG12618"/>
      <c r="EH12618"/>
      <c r="EI12618"/>
      <c r="EJ12618"/>
      <c r="EK12618"/>
    </row>
    <row r="12619" spans="1:141" s="116" customFormat="1">
      <c r="A12619" s="136"/>
      <c r="CM12619" s="111"/>
      <c r="CQ12619" s="111"/>
      <c r="EF12619"/>
      <c r="EG12619"/>
      <c r="EH12619"/>
      <c r="EI12619"/>
      <c r="EJ12619"/>
      <c r="EK12619"/>
    </row>
    <row r="12620" spans="1:141" s="116" customFormat="1">
      <c r="A12620" s="136"/>
      <c r="CM12620" s="111"/>
      <c r="CQ12620" s="111"/>
      <c r="EF12620"/>
      <c r="EG12620"/>
      <c r="EH12620"/>
      <c r="EI12620"/>
      <c r="EJ12620"/>
      <c r="EK12620"/>
    </row>
    <row r="12621" spans="1:141" s="116" customFormat="1">
      <c r="A12621" s="136"/>
      <c r="CM12621" s="111"/>
      <c r="CQ12621" s="111"/>
      <c r="EF12621"/>
      <c r="EG12621"/>
      <c r="EH12621"/>
      <c r="EI12621"/>
      <c r="EJ12621"/>
      <c r="EK12621"/>
    </row>
    <row r="12622" spans="1:141" s="116" customFormat="1">
      <c r="A12622" s="136"/>
      <c r="CM12622" s="111"/>
      <c r="CQ12622" s="111"/>
      <c r="EF12622"/>
      <c r="EG12622"/>
      <c r="EH12622"/>
      <c r="EI12622"/>
      <c r="EJ12622"/>
      <c r="EK12622"/>
    </row>
    <row r="12623" spans="1:141" s="116" customFormat="1">
      <c r="A12623" s="136"/>
      <c r="CM12623" s="111"/>
      <c r="CQ12623" s="111"/>
      <c r="EF12623"/>
      <c r="EG12623"/>
      <c r="EH12623"/>
      <c r="EI12623"/>
      <c r="EJ12623"/>
      <c r="EK12623"/>
    </row>
    <row r="12624" spans="1:141" s="116" customFormat="1">
      <c r="A12624" s="136"/>
      <c r="CM12624" s="111"/>
      <c r="CQ12624" s="111"/>
      <c r="EF12624"/>
      <c r="EG12624"/>
      <c r="EH12624"/>
      <c r="EI12624"/>
      <c r="EJ12624"/>
      <c r="EK12624"/>
    </row>
    <row r="12625" spans="1:141" s="116" customFormat="1">
      <c r="A12625" s="136"/>
      <c r="CM12625" s="111"/>
      <c r="CQ12625" s="111"/>
      <c r="EF12625"/>
      <c r="EG12625"/>
      <c r="EH12625"/>
      <c r="EI12625"/>
      <c r="EJ12625"/>
      <c r="EK12625"/>
    </row>
    <row r="12626" spans="1:141" s="116" customFormat="1">
      <c r="A12626" s="136"/>
      <c r="CM12626" s="111"/>
      <c r="CQ12626" s="111"/>
      <c r="EF12626"/>
      <c r="EG12626"/>
      <c r="EH12626"/>
      <c r="EI12626"/>
      <c r="EJ12626"/>
      <c r="EK12626"/>
    </row>
    <row r="12627" spans="1:141" s="116" customFormat="1">
      <c r="A12627" s="136"/>
      <c r="CM12627" s="111"/>
      <c r="CQ12627" s="111"/>
      <c r="EF12627"/>
      <c r="EG12627"/>
      <c r="EH12627"/>
      <c r="EI12627"/>
      <c r="EJ12627"/>
      <c r="EK12627"/>
    </row>
    <row r="12628" spans="1:141" s="116" customFormat="1">
      <c r="A12628" s="136"/>
      <c r="CM12628" s="111"/>
      <c r="CQ12628" s="111"/>
      <c r="EF12628"/>
      <c r="EG12628"/>
      <c r="EH12628"/>
      <c r="EI12628"/>
      <c r="EJ12628"/>
      <c r="EK12628"/>
    </row>
    <row r="12629" spans="1:141" s="116" customFormat="1">
      <c r="A12629" s="136"/>
      <c r="CM12629" s="111"/>
      <c r="CQ12629" s="111"/>
      <c r="EF12629"/>
      <c r="EG12629"/>
      <c r="EH12629"/>
      <c r="EI12629"/>
      <c r="EJ12629"/>
      <c r="EK12629"/>
    </row>
    <row r="12630" spans="1:141" s="116" customFormat="1">
      <c r="A12630" s="136"/>
      <c r="CM12630" s="111"/>
      <c r="CQ12630" s="111"/>
      <c r="EF12630"/>
      <c r="EG12630"/>
      <c r="EH12630"/>
      <c r="EI12630"/>
      <c r="EJ12630"/>
      <c r="EK12630"/>
    </row>
    <row r="12631" spans="1:141" s="116" customFormat="1">
      <c r="A12631" s="136"/>
      <c r="CM12631" s="111"/>
      <c r="CQ12631" s="111"/>
      <c r="EF12631"/>
      <c r="EG12631"/>
      <c r="EH12631"/>
      <c r="EI12631"/>
      <c r="EJ12631"/>
      <c r="EK12631"/>
    </row>
    <row r="12632" spans="1:141" s="116" customFormat="1">
      <c r="A12632" s="136"/>
      <c r="CM12632" s="111"/>
      <c r="CQ12632" s="111"/>
      <c r="EF12632"/>
      <c r="EG12632"/>
      <c r="EH12632"/>
      <c r="EI12632"/>
      <c r="EJ12632"/>
      <c r="EK12632"/>
    </row>
    <row r="12633" spans="1:141" s="116" customFormat="1">
      <c r="A12633" s="136"/>
      <c r="CM12633" s="111"/>
      <c r="CQ12633" s="111"/>
      <c r="EF12633"/>
      <c r="EG12633"/>
      <c r="EH12633"/>
      <c r="EI12633"/>
      <c r="EJ12633"/>
      <c r="EK12633"/>
    </row>
    <row r="12634" spans="1:141" s="116" customFormat="1">
      <c r="A12634" s="136"/>
      <c r="CM12634" s="111"/>
      <c r="CQ12634" s="111"/>
      <c r="EF12634"/>
      <c r="EG12634"/>
      <c r="EH12634"/>
      <c r="EI12634"/>
      <c r="EJ12634"/>
      <c r="EK12634"/>
    </row>
    <row r="12635" spans="1:141" s="116" customFormat="1">
      <c r="A12635" s="136"/>
      <c r="CM12635" s="111"/>
      <c r="CQ12635" s="111"/>
      <c r="EF12635"/>
      <c r="EG12635"/>
      <c r="EH12635"/>
      <c r="EI12635"/>
      <c r="EJ12635"/>
      <c r="EK12635"/>
    </row>
    <row r="12636" spans="1:141" s="116" customFormat="1">
      <c r="A12636" s="136"/>
      <c r="CM12636" s="111"/>
      <c r="CQ12636" s="111"/>
      <c r="EF12636"/>
      <c r="EG12636"/>
      <c r="EH12636"/>
      <c r="EI12636"/>
      <c r="EJ12636"/>
      <c r="EK12636"/>
    </row>
    <row r="12637" spans="1:141" s="116" customFormat="1">
      <c r="A12637" s="136"/>
      <c r="CM12637" s="111"/>
      <c r="CQ12637" s="111"/>
      <c r="EF12637"/>
      <c r="EG12637"/>
      <c r="EH12637"/>
      <c r="EI12637"/>
      <c r="EJ12637"/>
      <c r="EK12637"/>
    </row>
    <row r="12638" spans="1:141" s="116" customFormat="1">
      <c r="A12638" s="136"/>
      <c r="CM12638" s="111"/>
      <c r="CQ12638" s="111"/>
      <c r="EF12638"/>
      <c r="EG12638"/>
      <c r="EH12638"/>
      <c r="EI12638"/>
      <c r="EJ12638"/>
      <c r="EK12638"/>
    </row>
    <row r="12639" spans="1:141" s="116" customFormat="1">
      <c r="A12639" s="136"/>
      <c r="CM12639" s="111"/>
      <c r="CQ12639" s="111"/>
      <c r="EF12639"/>
      <c r="EG12639"/>
      <c r="EH12639"/>
      <c r="EI12639"/>
      <c r="EJ12639"/>
      <c r="EK12639"/>
    </row>
    <row r="12640" spans="1:141" s="116" customFormat="1">
      <c r="A12640" s="136"/>
      <c r="CM12640" s="111"/>
      <c r="CQ12640" s="111"/>
      <c r="EF12640"/>
      <c r="EG12640"/>
      <c r="EH12640"/>
      <c r="EI12640"/>
      <c r="EJ12640"/>
      <c r="EK12640"/>
    </row>
    <row r="12641" spans="1:141" s="116" customFormat="1">
      <c r="A12641" s="136"/>
      <c r="CM12641" s="111"/>
      <c r="CQ12641" s="111"/>
      <c r="EF12641"/>
      <c r="EG12641"/>
      <c r="EH12641"/>
      <c r="EI12641"/>
      <c r="EJ12641"/>
      <c r="EK12641"/>
    </row>
    <row r="12642" spans="1:141" s="116" customFormat="1">
      <c r="A12642" s="136"/>
      <c r="CM12642" s="111"/>
      <c r="CQ12642" s="111"/>
      <c r="EF12642"/>
      <c r="EG12642"/>
      <c r="EH12642"/>
      <c r="EI12642"/>
      <c r="EJ12642"/>
      <c r="EK12642"/>
    </row>
    <row r="12643" spans="1:141" s="116" customFormat="1">
      <c r="A12643" s="136"/>
      <c r="CM12643" s="111"/>
      <c r="CQ12643" s="111"/>
      <c r="EF12643"/>
      <c r="EG12643"/>
      <c r="EH12643"/>
      <c r="EI12643"/>
      <c r="EJ12643"/>
      <c r="EK12643"/>
    </row>
    <row r="12644" spans="1:141" s="116" customFormat="1">
      <c r="A12644" s="136"/>
      <c r="CM12644" s="111"/>
      <c r="CQ12644" s="111"/>
      <c r="EF12644"/>
      <c r="EG12644"/>
      <c r="EH12644"/>
      <c r="EI12644"/>
      <c r="EJ12644"/>
      <c r="EK12644"/>
    </row>
    <row r="12645" spans="1:141" s="116" customFormat="1">
      <c r="A12645" s="136"/>
      <c r="CM12645" s="111"/>
      <c r="CQ12645" s="111"/>
      <c r="EF12645"/>
      <c r="EG12645"/>
      <c r="EH12645"/>
      <c r="EI12645"/>
      <c r="EJ12645"/>
      <c r="EK12645"/>
    </row>
    <row r="12646" spans="1:141" s="116" customFormat="1">
      <c r="A12646" s="136"/>
      <c r="CM12646" s="111"/>
      <c r="CQ12646" s="111"/>
      <c r="EF12646"/>
      <c r="EG12646"/>
      <c r="EH12646"/>
      <c r="EI12646"/>
      <c r="EJ12646"/>
      <c r="EK12646"/>
    </row>
    <row r="12647" spans="1:141" s="116" customFormat="1">
      <c r="A12647" s="136"/>
      <c r="CM12647" s="111"/>
      <c r="CQ12647" s="111"/>
      <c r="EF12647"/>
      <c r="EG12647"/>
      <c r="EH12647"/>
      <c r="EI12647"/>
      <c r="EJ12647"/>
      <c r="EK12647"/>
    </row>
    <row r="12648" spans="1:141" s="116" customFormat="1">
      <c r="A12648" s="136"/>
      <c r="CM12648" s="111"/>
      <c r="CQ12648" s="111"/>
      <c r="EF12648"/>
      <c r="EG12648"/>
      <c r="EH12648"/>
      <c r="EI12648"/>
      <c r="EJ12648"/>
      <c r="EK12648"/>
    </row>
    <row r="12649" spans="1:141" s="116" customFormat="1">
      <c r="A12649" s="136"/>
      <c r="CM12649" s="111"/>
      <c r="CQ12649" s="111"/>
      <c r="EF12649"/>
      <c r="EG12649"/>
      <c r="EH12649"/>
      <c r="EI12649"/>
      <c r="EJ12649"/>
      <c r="EK12649"/>
    </row>
    <row r="12650" spans="1:141" s="116" customFormat="1">
      <c r="A12650" s="136"/>
      <c r="CM12650" s="111"/>
      <c r="CQ12650" s="111"/>
      <c r="EF12650"/>
      <c r="EG12650"/>
      <c r="EH12650"/>
      <c r="EI12650"/>
      <c r="EJ12650"/>
      <c r="EK12650"/>
    </row>
    <row r="12651" spans="1:141" s="116" customFormat="1">
      <c r="A12651" s="136"/>
      <c r="CM12651" s="111"/>
      <c r="CQ12651" s="111"/>
      <c r="EF12651"/>
      <c r="EG12651"/>
      <c r="EH12651"/>
      <c r="EI12651"/>
      <c r="EJ12651"/>
      <c r="EK12651"/>
    </row>
    <row r="12652" spans="1:141" s="116" customFormat="1">
      <c r="A12652" s="136"/>
      <c r="CM12652" s="111"/>
      <c r="CQ12652" s="111"/>
      <c r="EF12652"/>
      <c r="EG12652"/>
      <c r="EH12652"/>
      <c r="EI12652"/>
      <c r="EJ12652"/>
      <c r="EK12652"/>
    </row>
    <row r="12653" spans="1:141" s="116" customFormat="1">
      <c r="A12653" s="136"/>
      <c r="CM12653" s="111"/>
      <c r="CQ12653" s="111"/>
      <c r="EF12653"/>
      <c r="EG12653"/>
      <c r="EH12653"/>
      <c r="EI12653"/>
      <c r="EJ12653"/>
      <c r="EK12653"/>
    </row>
    <row r="12654" spans="1:141" s="116" customFormat="1">
      <c r="A12654" s="136"/>
      <c r="CM12654" s="111"/>
      <c r="CQ12654" s="111"/>
      <c r="EF12654"/>
      <c r="EG12654"/>
      <c r="EH12654"/>
      <c r="EI12654"/>
      <c r="EJ12654"/>
      <c r="EK12654"/>
    </row>
    <row r="12655" spans="1:141" s="116" customFormat="1">
      <c r="A12655" s="136"/>
      <c r="CM12655" s="111"/>
      <c r="CQ12655" s="111"/>
      <c r="EF12655"/>
      <c r="EG12655"/>
      <c r="EH12655"/>
      <c r="EI12655"/>
      <c r="EJ12655"/>
      <c r="EK12655"/>
    </row>
    <row r="12656" spans="1:141" s="116" customFormat="1">
      <c r="A12656" s="136"/>
      <c r="CM12656" s="111"/>
      <c r="CQ12656" s="111"/>
      <c r="EF12656"/>
      <c r="EG12656"/>
      <c r="EH12656"/>
      <c r="EI12656"/>
      <c r="EJ12656"/>
      <c r="EK12656"/>
    </row>
    <row r="12657" spans="1:141" s="116" customFormat="1">
      <c r="A12657" s="136"/>
      <c r="CM12657" s="111"/>
      <c r="CQ12657" s="111"/>
      <c r="EF12657"/>
      <c r="EG12657"/>
      <c r="EH12657"/>
      <c r="EI12657"/>
      <c r="EJ12657"/>
      <c r="EK12657"/>
    </row>
    <row r="12658" spans="1:141" s="116" customFormat="1">
      <c r="A12658" s="136"/>
      <c r="CM12658" s="111"/>
      <c r="CQ12658" s="111"/>
      <c r="EF12658"/>
      <c r="EG12658"/>
      <c r="EH12658"/>
      <c r="EI12658"/>
      <c r="EJ12658"/>
      <c r="EK12658"/>
    </row>
    <row r="12659" spans="1:141" s="116" customFormat="1">
      <c r="A12659" s="136"/>
      <c r="CM12659" s="111"/>
      <c r="CQ12659" s="111"/>
      <c r="EF12659"/>
      <c r="EG12659"/>
      <c r="EH12659"/>
      <c r="EI12659"/>
      <c r="EJ12659"/>
      <c r="EK12659"/>
    </row>
    <row r="12660" spans="1:141" s="116" customFormat="1">
      <c r="A12660" s="136"/>
      <c r="CM12660" s="111"/>
      <c r="CQ12660" s="111"/>
      <c r="EF12660"/>
      <c r="EG12660"/>
      <c r="EH12660"/>
      <c r="EI12660"/>
      <c r="EJ12660"/>
      <c r="EK12660"/>
    </row>
    <row r="12661" spans="1:141" s="116" customFormat="1">
      <c r="A12661" s="136"/>
      <c r="CM12661" s="111"/>
      <c r="CQ12661" s="111"/>
      <c r="EF12661"/>
      <c r="EG12661"/>
      <c r="EH12661"/>
      <c r="EI12661"/>
      <c r="EJ12661"/>
      <c r="EK12661"/>
    </row>
    <row r="12662" spans="1:141" s="116" customFormat="1">
      <c r="A12662" s="136"/>
      <c r="CM12662" s="111"/>
      <c r="CQ12662" s="111"/>
      <c r="EF12662"/>
      <c r="EG12662"/>
      <c r="EH12662"/>
      <c r="EI12662"/>
      <c r="EJ12662"/>
      <c r="EK12662"/>
    </row>
    <row r="12663" spans="1:141" s="116" customFormat="1">
      <c r="A12663" s="136"/>
      <c r="CM12663" s="111"/>
      <c r="CQ12663" s="111"/>
      <c r="EF12663"/>
      <c r="EG12663"/>
      <c r="EH12663"/>
      <c r="EI12663"/>
      <c r="EJ12663"/>
      <c r="EK12663"/>
    </row>
    <row r="12664" spans="1:141" s="116" customFormat="1">
      <c r="A12664" s="136"/>
      <c r="CM12664" s="111"/>
      <c r="CQ12664" s="111"/>
      <c r="EF12664"/>
      <c r="EG12664"/>
      <c r="EH12664"/>
      <c r="EI12664"/>
      <c r="EJ12664"/>
      <c r="EK12664"/>
    </row>
    <row r="12665" spans="1:141" s="116" customFormat="1">
      <c r="A12665" s="136"/>
      <c r="CM12665" s="111"/>
      <c r="CQ12665" s="111"/>
      <c r="EF12665"/>
      <c r="EG12665"/>
      <c r="EH12665"/>
      <c r="EI12665"/>
      <c r="EJ12665"/>
      <c r="EK12665"/>
    </row>
    <row r="12666" spans="1:141" s="116" customFormat="1">
      <c r="A12666" s="136"/>
      <c r="CM12666" s="111"/>
      <c r="CQ12666" s="111"/>
      <c r="EF12666"/>
      <c r="EG12666"/>
      <c r="EH12666"/>
      <c r="EI12666"/>
      <c r="EJ12666"/>
      <c r="EK12666"/>
    </row>
    <row r="12667" spans="1:141" s="116" customFormat="1">
      <c r="A12667" s="136"/>
      <c r="CM12667" s="111"/>
      <c r="CQ12667" s="111"/>
      <c r="EF12667"/>
      <c r="EG12667"/>
      <c r="EH12667"/>
      <c r="EI12667"/>
      <c r="EJ12667"/>
      <c r="EK12667"/>
    </row>
    <row r="12668" spans="1:141" s="116" customFormat="1">
      <c r="A12668" s="136"/>
      <c r="CM12668" s="111"/>
      <c r="CQ12668" s="111"/>
      <c r="EF12668"/>
      <c r="EG12668"/>
      <c r="EH12668"/>
      <c r="EI12668"/>
      <c r="EJ12668"/>
      <c r="EK12668"/>
    </row>
    <row r="12669" spans="1:141" s="116" customFormat="1">
      <c r="A12669" s="136"/>
      <c r="CM12669" s="111"/>
      <c r="CQ12669" s="111"/>
      <c r="EF12669"/>
      <c r="EG12669"/>
      <c r="EH12669"/>
      <c r="EI12669"/>
      <c r="EJ12669"/>
      <c r="EK12669"/>
    </row>
    <row r="12670" spans="1:141" s="116" customFormat="1">
      <c r="A12670" s="136"/>
      <c r="CM12670" s="111"/>
      <c r="CQ12670" s="111"/>
      <c r="EF12670"/>
      <c r="EG12670"/>
      <c r="EH12670"/>
      <c r="EI12670"/>
      <c r="EJ12670"/>
      <c r="EK12670"/>
    </row>
    <row r="12671" spans="1:141" s="116" customFormat="1">
      <c r="A12671" s="136"/>
      <c r="CM12671" s="111"/>
      <c r="CQ12671" s="111"/>
      <c r="EF12671"/>
      <c r="EG12671"/>
      <c r="EH12671"/>
      <c r="EI12671"/>
      <c r="EJ12671"/>
      <c r="EK12671"/>
    </row>
    <row r="12672" spans="1:141" s="116" customFormat="1">
      <c r="A12672" s="136"/>
      <c r="CM12672" s="111"/>
      <c r="CQ12672" s="111"/>
      <c r="EF12672"/>
      <c r="EG12672"/>
      <c r="EH12672"/>
      <c r="EI12672"/>
      <c r="EJ12672"/>
      <c r="EK12672"/>
    </row>
    <row r="12673" spans="1:141" s="116" customFormat="1">
      <c r="A12673" s="136"/>
      <c r="CM12673" s="111"/>
      <c r="CQ12673" s="111"/>
      <c r="EF12673"/>
      <c r="EG12673"/>
      <c r="EH12673"/>
      <c r="EI12673"/>
      <c r="EJ12673"/>
      <c r="EK12673"/>
    </row>
    <row r="12674" spans="1:141" s="116" customFormat="1">
      <c r="A12674" s="136"/>
      <c r="CM12674" s="111"/>
      <c r="CQ12674" s="111"/>
      <c r="EF12674"/>
      <c r="EG12674"/>
      <c r="EH12674"/>
      <c r="EI12674"/>
      <c r="EJ12674"/>
      <c r="EK12674"/>
    </row>
    <row r="12675" spans="1:141" s="116" customFormat="1">
      <c r="A12675" s="136"/>
      <c r="CM12675" s="111"/>
      <c r="CQ12675" s="111"/>
      <c r="EF12675"/>
      <c r="EG12675"/>
      <c r="EH12675"/>
      <c r="EI12675"/>
      <c r="EJ12675"/>
      <c r="EK12675"/>
    </row>
    <row r="12676" spans="1:141" s="116" customFormat="1">
      <c r="A12676" s="136"/>
      <c r="CM12676" s="111"/>
      <c r="CQ12676" s="111"/>
      <c r="EF12676"/>
      <c r="EG12676"/>
      <c r="EH12676"/>
      <c r="EI12676"/>
      <c r="EJ12676"/>
      <c r="EK12676"/>
    </row>
    <row r="12677" spans="1:141" s="116" customFormat="1">
      <c r="A12677" s="136"/>
      <c r="CM12677" s="111"/>
      <c r="CQ12677" s="111"/>
      <c r="EF12677"/>
      <c r="EG12677"/>
      <c r="EH12677"/>
      <c r="EI12677"/>
      <c r="EJ12677"/>
      <c r="EK12677"/>
    </row>
    <row r="12678" spans="1:141" s="116" customFormat="1">
      <c r="A12678" s="136"/>
      <c r="CM12678" s="111"/>
      <c r="CQ12678" s="111"/>
      <c r="EF12678"/>
      <c r="EG12678"/>
      <c r="EH12678"/>
      <c r="EI12678"/>
      <c r="EJ12678"/>
      <c r="EK12678"/>
    </row>
    <row r="12679" spans="1:141" s="116" customFormat="1">
      <c r="A12679" s="136"/>
      <c r="CM12679" s="111"/>
      <c r="CQ12679" s="111"/>
      <c r="EF12679"/>
      <c r="EG12679"/>
      <c r="EH12679"/>
      <c r="EI12679"/>
      <c r="EJ12679"/>
      <c r="EK12679"/>
    </row>
    <row r="12680" spans="1:141" s="116" customFormat="1">
      <c r="A12680" s="136"/>
      <c r="CM12680" s="111"/>
      <c r="CQ12680" s="111"/>
      <c r="EF12680"/>
      <c r="EG12680"/>
      <c r="EH12680"/>
      <c r="EI12680"/>
      <c r="EJ12680"/>
      <c r="EK12680"/>
    </row>
    <row r="12681" spans="1:141" s="116" customFormat="1">
      <c r="A12681" s="136"/>
      <c r="CM12681" s="111"/>
      <c r="CQ12681" s="111"/>
      <c r="EF12681"/>
      <c r="EG12681"/>
      <c r="EH12681"/>
      <c r="EI12681"/>
      <c r="EJ12681"/>
      <c r="EK12681"/>
    </row>
    <row r="12682" spans="1:141" s="116" customFormat="1">
      <c r="A12682" s="136"/>
      <c r="CM12682" s="111"/>
      <c r="CQ12682" s="111"/>
      <c r="EF12682"/>
      <c r="EG12682"/>
      <c r="EH12682"/>
      <c r="EI12682"/>
      <c r="EJ12682"/>
      <c r="EK12682"/>
    </row>
    <row r="12683" spans="1:141" s="116" customFormat="1">
      <c r="A12683" s="136"/>
      <c r="CM12683" s="111"/>
      <c r="CQ12683" s="111"/>
      <c r="EF12683"/>
      <c r="EG12683"/>
      <c r="EH12683"/>
      <c r="EI12683"/>
      <c r="EJ12683"/>
      <c r="EK12683"/>
    </row>
    <row r="12684" spans="1:141" s="116" customFormat="1">
      <c r="A12684" s="136"/>
      <c r="CM12684" s="111"/>
      <c r="CQ12684" s="111"/>
      <c r="EF12684"/>
      <c r="EG12684"/>
      <c r="EH12684"/>
      <c r="EI12684"/>
      <c r="EJ12684"/>
      <c r="EK12684"/>
    </row>
    <row r="12685" spans="1:141" s="116" customFormat="1">
      <c r="A12685" s="136"/>
      <c r="CM12685" s="111"/>
      <c r="CQ12685" s="111"/>
      <c r="EF12685"/>
      <c r="EG12685"/>
      <c r="EH12685"/>
      <c r="EI12685"/>
      <c r="EJ12685"/>
      <c r="EK12685"/>
    </row>
    <row r="12686" spans="1:141" s="116" customFormat="1">
      <c r="A12686" s="136"/>
      <c r="CM12686" s="111"/>
      <c r="CQ12686" s="111"/>
      <c r="EF12686"/>
      <c r="EG12686"/>
      <c r="EH12686"/>
      <c r="EI12686"/>
      <c r="EJ12686"/>
      <c r="EK12686"/>
    </row>
    <row r="12687" spans="1:141" s="116" customFormat="1">
      <c r="A12687" s="136"/>
      <c r="CM12687" s="111"/>
      <c r="CQ12687" s="111"/>
      <c r="EF12687"/>
      <c r="EG12687"/>
      <c r="EH12687"/>
      <c r="EI12687"/>
      <c r="EJ12687"/>
      <c r="EK12687"/>
    </row>
    <row r="12688" spans="1:141" s="116" customFormat="1">
      <c r="A12688" s="136"/>
      <c r="CM12688" s="111"/>
      <c r="CQ12688" s="111"/>
      <c r="EF12688"/>
      <c r="EG12688"/>
      <c r="EH12688"/>
      <c r="EI12688"/>
      <c r="EJ12688"/>
      <c r="EK12688"/>
    </row>
    <row r="12689" spans="1:141" s="116" customFormat="1">
      <c r="A12689" s="136"/>
      <c r="CM12689" s="111"/>
      <c r="CQ12689" s="111"/>
      <c r="EF12689"/>
      <c r="EG12689"/>
      <c r="EH12689"/>
      <c r="EI12689"/>
      <c r="EJ12689"/>
      <c r="EK12689"/>
    </row>
    <row r="12690" spans="1:141" s="116" customFormat="1">
      <c r="A12690" s="136"/>
      <c r="CM12690" s="111"/>
      <c r="CQ12690" s="111"/>
      <c r="EF12690"/>
      <c r="EG12690"/>
      <c r="EH12690"/>
      <c r="EI12690"/>
      <c r="EJ12690"/>
      <c r="EK12690"/>
    </row>
    <row r="12691" spans="1:141" s="116" customFormat="1">
      <c r="A12691" s="136"/>
      <c r="CM12691" s="111"/>
      <c r="CQ12691" s="111"/>
      <c r="EF12691"/>
      <c r="EG12691"/>
      <c r="EH12691"/>
      <c r="EI12691"/>
      <c r="EJ12691"/>
      <c r="EK12691"/>
    </row>
    <row r="12692" spans="1:141" s="116" customFormat="1">
      <c r="A12692" s="136"/>
      <c r="CM12692" s="111"/>
      <c r="CQ12692" s="111"/>
      <c r="EF12692"/>
      <c r="EG12692"/>
      <c r="EH12692"/>
      <c r="EI12692"/>
      <c r="EJ12692"/>
      <c r="EK12692"/>
    </row>
    <row r="12693" spans="1:141" s="116" customFormat="1">
      <c r="A12693" s="136"/>
      <c r="CM12693" s="111"/>
      <c r="CQ12693" s="111"/>
      <c r="EF12693"/>
      <c r="EG12693"/>
      <c r="EH12693"/>
      <c r="EI12693"/>
      <c r="EJ12693"/>
      <c r="EK12693"/>
    </row>
    <row r="12694" spans="1:141" s="116" customFormat="1">
      <c r="A12694" s="136"/>
      <c r="CM12694" s="111"/>
      <c r="CQ12694" s="111"/>
      <c r="EF12694"/>
      <c r="EG12694"/>
      <c r="EH12694"/>
      <c r="EI12694"/>
      <c r="EJ12694"/>
      <c r="EK12694"/>
    </row>
    <row r="12695" spans="1:141" s="116" customFormat="1">
      <c r="A12695" s="136"/>
      <c r="CM12695" s="111"/>
      <c r="CQ12695" s="111"/>
      <c r="EF12695"/>
      <c r="EG12695"/>
      <c r="EH12695"/>
      <c r="EI12695"/>
      <c r="EJ12695"/>
      <c r="EK12695"/>
    </row>
    <row r="12696" spans="1:141" s="116" customFormat="1">
      <c r="A12696" s="136"/>
      <c r="CM12696" s="111"/>
      <c r="CQ12696" s="111"/>
      <c r="EF12696"/>
      <c r="EG12696"/>
      <c r="EH12696"/>
      <c r="EI12696"/>
      <c r="EJ12696"/>
      <c r="EK12696"/>
    </row>
    <row r="12697" spans="1:141" s="116" customFormat="1">
      <c r="A12697" s="136"/>
      <c r="CM12697" s="111"/>
      <c r="CQ12697" s="111"/>
      <c r="EF12697"/>
      <c r="EG12697"/>
      <c r="EH12697"/>
      <c r="EI12697"/>
      <c r="EJ12697"/>
      <c r="EK12697"/>
    </row>
    <row r="12698" spans="1:141" s="116" customFormat="1">
      <c r="A12698" s="136"/>
      <c r="CM12698" s="111"/>
      <c r="CQ12698" s="111"/>
      <c r="EF12698"/>
      <c r="EG12698"/>
      <c r="EH12698"/>
      <c r="EI12698"/>
      <c r="EJ12698"/>
      <c r="EK12698"/>
    </row>
    <row r="12699" spans="1:141" s="116" customFormat="1">
      <c r="A12699" s="136"/>
      <c r="CM12699" s="111"/>
      <c r="CQ12699" s="111"/>
      <c r="EF12699"/>
      <c r="EG12699"/>
      <c r="EH12699"/>
      <c r="EI12699"/>
      <c r="EJ12699"/>
      <c r="EK12699"/>
    </row>
    <row r="12700" spans="1:141" s="116" customFormat="1">
      <c r="A12700" s="136"/>
      <c r="CM12700" s="111"/>
      <c r="CQ12700" s="111"/>
      <c r="EF12700"/>
      <c r="EG12700"/>
      <c r="EH12700"/>
      <c r="EI12700"/>
      <c r="EJ12700"/>
      <c r="EK12700"/>
    </row>
    <row r="12701" spans="1:141" s="116" customFormat="1">
      <c r="A12701" s="136"/>
      <c r="CM12701" s="111"/>
      <c r="CQ12701" s="111"/>
      <c r="EF12701"/>
      <c r="EG12701"/>
      <c r="EH12701"/>
      <c r="EI12701"/>
      <c r="EJ12701"/>
      <c r="EK12701"/>
    </row>
    <row r="12702" spans="1:141" s="116" customFormat="1">
      <c r="A12702" s="136"/>
      <c r="CM12702" s="111"/>
      <c r="CQ12702" s="111"/>
      <c r="EF12702"/>
      <c r="EG12702"/>
      <c r="EH12702"/>
      <c r="EI12702"/>
      <c r="EJ12702"/>
      <c r="EK12702"/>
    </row>
    <row r="12703" spans="1:141" s="116" customFormat="1">
      <c r="A12703" s="136"/>
      <c r="CM12703" s="111"/>
      <c r="CQ12703" s="111"/>
      <c r="EF12703"/>
      <c r="EG12703"/>
      <c r="EH12703"/>
      <c r="EI12703"/>
      <c r="EJ12703"/>
      <c r="EK12703"/>
    </row>
    <row r="12704" spans="1:141" s="116" customFormat="1">
      <c r="A12704" s="136"/>
      <c r="CM12704" s="111"/>
      <c r="CQ12704" s="111"/>
      <c r="EF12704"/>
      <c r="EG12704"/>
      <c r="EH12704"/>
      <c r="EI12704"/>
      <c r="EJ12704"/>
      <c r="EK12704"/>
    </row>
    <row r="12705" spans="1:141" s="116" customFormat="1">
      <c r="A12705" s="136"/>
      <c r="CM12705" s="111"/>
      <c r="CQ12705" s="111"/>
      <c r="EF12705"/>
      <c r="EG12705"/>
      <c r="EH12705"/>
      <c r="EI12705"/>
      <c r="EJ12705"/>
      <c r="EK12705"/>
    </row>
    <row r="12706" spans="1:141" s="116" customFormat="1">
      <c r="A12706" s="136"/>
      <c r="CM12706" s="111"/>
      <c r="CQ12706" s="111"/>
      <c r="EF12706"/>
      <c r="EG12706"/>
      <c r="EH12706"/>
      <c r="EI12706"/>
      <c r="EJ12706"/>
      <c r="EK12706"/>
    </row>
    <row r="12707" spans="1:141" s="116" customFormat="1">
      <c r="A12707" s="136"/>
      <c r="CM12707" s="111"/>
      <c r="CQ12707" s="111"/>
      <c r="EF12707"/>
      <c r="EG12707"/>
      <c r="EH12707"/>
      <c r="EI12707"/>
      <c r="EJ12707"/>
      <c r="EK12707"/>
    </row>
    <row r="12708" spans="1:141" s="116" customFormat="1">
      <c r="A12708" s="136"/>
      <c r="CM12708" s="111"/>
      <c r="CQ12708" s="111"/>
      <c r="EF12708"/>
      <c r="EG12708"/>
      <c r="EH12708"/>
      <c r="EI12708"/>
      <c r="EJ12708"/>
      <c r="EK12708"/>
    </row>
    <row r="12709" spans="1:141" s="116" customFormat="1">
      <c r="A12709" s="136"/>
      <c r="CM12709" s="111"/>
      <c r="CQ12709" s="111"/>
      <c r="EF12709"/>
      <c r="EG12709"/>
      <c r="EH12709"/>
      <c r="EI12709"/>
      <c r="EJ12709"/>
      <c r="EK12709"/>
    </row>
    <row r="12710" spans="1:141" s="116" customFormat="1">
      <c r="A12710" s="136"/>
      <c r="CM12710" s="111"/>
      <c r="CQ12710" s="111"/>
      <c r="EF12710"/>
      <c r="EG12710"/>
      <c r="EH12710"/>
      <c r="EI12710"/>
      <c r="EJ12710"/>
      <c r="EK12710"/>
    </row>
    <row r="12711" spans="1:141" s="116" customFormat="1">
      <c r="A12711" s="136"/>
      <c r="CM12711" s="111"/>
      <c r="CQ12711" s="111"/>
      <c r="EF12711"/>
      <c r="EG12711"/>
      <c r="EH12711"/>
      <c r="EI12711"/>
      <c r="EJ12711"/>
      <c r="EK12711"/>
    </row>
    <row r="12712" spans="1:141" s="116" customFormat="1">
      <c r="A12712" s="136"/>
      <c r="CM12712" s="111"/>
      <c r="CQ12712" s="111"/>
      <c r="EF12712"/>
      <c r="EG12712"/>
      <c r="EH12712"/>
      <c r="EI12712"/>
      <c r="EJ12712"/>
      <c r="EK12712"/>
    </row>
    <row r="12713" spans="1:141" s="116" customFormat="1">
      <c r="A12713" s="136"/>
      <c r="CM12713" s="111"/>
      <c r="CQ12713" s="111"/>
      <c r="EF12713"/>
      <c r="EG12713"/>
      <c r="EH12713"/>
      <c r="EI12713"/>
      <c r="EJ12713"/>
      <c r="EK12713"/>
    </row>
    <row r="12714" spans="1:141" s="116" customFormat="1">
      <c r="A12714" s="136"/>
      <c r="CM12714" s="111"/>
      <c r="CQ12714" s="111"/>
      <c r="EF12714"/>
      <c r="EG12714"/>
      <c r="EH12714"/>
      <c r="EI12714"/>
      <c r="EJ12714"/>
      <c r="EK12714"/>
    </row>
    <row r="12715" spans="1:141" s="116" customFormat="1">
      <c r="A12715" s="136"/>
      <c r="CM12715" s="111"/>
      <c r="CQ12715" s="111"/>
      <c r="EF12715"/>
      <c r="EG12715"/>
      <c r="EH12715"/>
      <c r="EI12715"/>
      <c r="EJ12715"/>
      <c r="EK12715"/>
    </row>
    <row r="12716" spans="1:141" s="116" customFormat="1">
      <c r="A12716" s="136"/>
      <c r="CM12716" s="111"/>
      <c r="CQ12716" s="111"/>
      <c r="EF12716"/>
      <c r="EG12716"/>
      <c r="EH12716"/>
      <c r="EI12716"/>
      <c r="EJ12716"/>
      <c r="EK12716"/>
    </row>
    <row r="12717" spans="1:141" s="116" customFormat="1">
      <c r="A12717" s="136"/>
      <c r="CM12717" s="111"/>
      <c r="CQ12717" s="111"/>
      <c r="EF12717"/>
      <c r="EG12717"/>
      <c r="EH12717"/>
      <c r="EI12717"/>
      <c r="EJ12717"/>
      <c r="EK12717"/>
    </row>
    <row r="12718" spans="1:141" s="116" customFormat="1">
      <c r="A12718" s="136"/>
      <c r="CM12718" s="111"/>
      <c r="CQ12718" s="111"/>
      <c r="EF12718"/>
      <c r="EG12718"/>
      <c r="EH12718"/>
      <c r="EI12718"/>
      <c r="EJ12718"/>
      <c r="EK12718"/>
    </row>
    <row r="12719" spans="1:141" s="116" customFormat="1">
      <c r="A12719" s="136"/>
      <c r="CM12719" s="111"/>
      <c r="CQ12719" s="111"/>
      <c r="EF12719"/>
      <c r="EG12719"/>
      <c r="EH12719"/>
      <c r="EI12719"/>
      <c r="EJ12719"/>
      <c r="EK12719"/>
    </row>
    <row r="12720" spans="1:141" s="116" customFormat="1">
      <c r="A12720" s="136"/>
      <c r="CM12720" s="111"/>
      <c r="CQ12720" s="111"/>
      <c r="EF12720"/>
      <c r="EG12720"/>
      <c r="EH12720"/>
      <c r="EI12720"/>
      <c r="EJ12720"/>
      <c r="EK12720"/>
    </row>
    <row r="12721" spans="1:141" s="116" customFormat="1">
      <c r="A12721" s="136"/>
      <c r="CM12721" s="111"/>
      <c r="CQ12721" s="111"/>
      <c r="EF12721"/>
      <c r="EG12721"/>
      <c r="EH12721"/>
      <c r="EI12721"/>
      <c r="EJ12721"/>
      <c r="EK12721"/>
    </row>
    <row r="12722" spans="1:141" s="116" customFormat="1">
      <c r="A12722" s="136"/>
      <c r="CM12722" s="111"/>
      <c r="CQ12722" s="111"/>
      <c r="EF12722"/>
      <c r="EG12722"/>
      <c r="EH12722"/>
      <c r="EI12722"/>
      <c r="EJ12722"/>
      <c r="EK12722"/>
    </row>
    <row r="12723" spans="1:141" s="116" customFormat="1">
      <c r="A12723" s="136"/>
      <c r="CM12723" s="111"/>
      <c r="CQ12723" s="111"/>
      <c r="EF12723"/>
      <c r="EG12723"/>
      <c r="EH12723"/>
      <c r="EI12723"/>
      <c r="EJ12723"/>
      <c r="EK12723"/>
    </row>
    <row r="12724" spans="1:141" s="116" customFormat="1">
      <c r="A12724" s="136"/>
      <c r="CM12724" s="111"/>
      <c r="CQ12724" s="111"/>
      <c r="EF12724"/>
      <c r="EG12724"/>
      <c r="EH12724"/>
      <c r="EI12724"/>
      <c r="EJ12724"/>
      <c r="EK12724"/>
    </row>
    <row r="12725" spans="1:141" s="116" customFormat="1">
      <c r="A12725" s="136"/>
      <c r="CM12725" s="111"/>
      <c r="CQ12725" s="111"/>
      <c r="EF12725"/>
      <c r="EG12725"/>
      <c r="EH12725"/>
      <c r="EI12725"/>
      <c r="EJ12725"/>
      <c r="EK12725"/>
    </row>
    <row r="12726" spans="1:141" s="116" customFormat="1">
      <c r="A12726" s="136"/>
      <c r="CM12726" s="111"/>
      <c r="CQ12726" s="111"/>
      <c r="EF12726"/>
      <c r="EG12726"/>
      <c r="EH12726"/>
      <c r="EI12726"/>
      <c r="EJ12726"/>
      <c r="EK12726"/>
    </row>
    <row r="12727" spans="1:141" s="116" customFormat="1">
      <c r="A12727" s="136"/>
      <c r="CM12727" s="111"/>
      <c r="CQ12727" s="111"/>
      <c r="EF12727"/>
      <c r="EG12727"/>
      <c r="EH12727"/>
      <c r="EI12727"/>
      <c r="EJ12727"/>
      <c r="EK12727"/>
    </row>
    <row r="12728" spans="1:141" s="116" customFormat="1">
      <c r="A12728" s="136"/>
      <c r="CM12728" s="111"/>
      <c r="CQ12728" s="111"/>
      <c r="EF12728"/>
      <c r="EG12728"/>
      <c r="EH12728"/>
      <c r="EI12728"/>
      <c r="EJ12728"/>
      <c r="EK12728"/>
    </row>
    <row r="12729" spans="1:141" s="116" customFormat="1">
      <c r="A12729" s="136"/>
      <c r="CM12729" s="111"/>
      <c r="CQ12729" s="111"/>
      <c r="EF12729"/>
      <c r="EG12729"/>
      <c r="EH12729"/>
      <c r="EI12729"/>
      <c r="EJ12729"/>
      <c r="EK12729"/>
    </row>
    <row r="12730" spans="1:141" s="116" customFormat="1">
      <c r="A12730" s="136"/>
      <c r="CM12730" s="111"/>
      <c r="CQ12730" s="111"/>
      <c r="EF12730"/>
      <c r="EG12730"/>
      <c r="EH12730"/>
      <c r="EI12730"/>
      <c r="EJ12730"/>
      <c r="EK12730"/>
    </row>
    <row r="12731" spans="1:141" s="116" customFormat="1">
      <c r="A12731" s="136"/>
      <c r="CM12731" s="111"/>
      <c r="CQ12731" s="111"/>
      <c r="EF12731"/>
      <c r="EG12731"/>
      <c r="EH12731"/>
      <c r="EI12731"/>
      <c r="EJ12731"/>
      <c r="EK12731"/>
    </row>
    <row r="12732" spans="1:141" s="116" customFormat="1">
      <c r="A12732" s="136"/>
      <c r="CM12732" s="111"/>
      <c r="CQ12732" s="111"/>
      <c r="EF12732"/>
      <c r="EG12732"/>
      <c r="EH12732"/>
      <c r="EI12732"/>
      <c r="EJ12732"/>
      <c r="EK12732"/>
    </row>
    <row r="12733" spans="1:141" s="116" customFormat="1">
      <c r="A12733" s="136"/>
      <c r="CM12733" s="111"/>
      <c r="CQ12733" s="111"/>
      <c r="EF12733"/>
      <c r="EG12733"/>
      <c r="EH12733"/>
      <c r="EI12733"/>
      <c r="EJ12733"/>
      <c r="EK12733"/>
    </row>
    <row r="12734" spans="1:141" s="116" customFormat="1">
      <c r="A12734" s="136"/>
      <c r="CM12734" s="111"/>
      <c r="CQ12734" s="111"/>
      <c r="EF12734"/>
      <c r="EG12734"/>
      <c r="EH12734"/>
      <c r="EI12734"/>
      <c r="EJ12734"/>
      <c r="EK12734"/>
    </row>
    <row r="12735" spans="1:141" s="116" customFormat="1">
      <c r="A12735" s="136"/>
      <c r="CM12735" s="111"/>
      <c r="CQ12735" s="111"/>
      <c r="EF12735"/>
      <c r="EG12735"/>
      <c r="EH12735"/>
      <c r="EI12735"/>
      <c r="EJ12735"/>
      <c r="EK12735"/>
    </row>
    <row r="12736" spans="1:141" s="116" customFormat="1">
      <c r="A12736" s="136"/>
      <c r="CM12736" s="111"/>
      <c r="CQ12736" s="111"/>
      <c r="EF12736"/>
      <c r="EG12736"/>
      <c r="EH12736"/>
      <c r="EI12736"/>
      <c r="EJ12736"/>
      <c r="EK12736"/>
    </row>
    <row r="12737" spans="1:141" s="116" customFormat="1">
      <c r="A12737" s="136"/>
      <c r="CM12737" s="111"/>
      <c r="CQ12737" s="111"/>
      <c r="EF12737"/>
      <c r="EG12737"/>
      <c r="EH12737"/>
      <c r="EI12737"/>
      <c r="EJ12737"/>
      <c r="EK12737"/>
    </row>
    <row r="12738" spans="1:141" s="116" customFormat="1">
      <c r="A12738" s="136"/>
      <c r="CM12738" s="111"/>
      <c r="CQ12738" s="111"/>
      <c r="EF12738"/>
      <c r="EG12738"/>
      <c r="EH12738"/>
      <c r="EI12738"/>
      <c r="EJ12738"/>
      <c r="EK12738"/>
    </row>
    <row r="12739" spans="1:141" s="116" customFormat="1">
      <c r="A12739" s="136"/>
      <c r="CM12739" s="111"/>
      <c r="CQ12739" s="111"/>
      <c r="EF12739"/>
      <c r="EG12739"/>
      <c r="EH12739"/>
      <c r="EI12739"/>
      <c r="EJ12739"/>
      <c r="EK12739"/>
    </row>
    <row r="12740" spans="1:141" s="116" customFormat="1">
      <c r="A12740" s="136"/>
      <c r="CM12740" s="111"/>
      <c r="CQ12740" s="111"/>
      <c r="EF12740"/>
      <c r="EG12740"/>
      <c r="EH12740"/>
      <c r="EI12740"/>
      <c r="EJ12740"/>
      <c r="EK12740"/>
    </row>
    <row r="12741" spans="1:141" s="116" customFormat="1">
      <c r="A12741" s="136"/>
      <c r="CM12741" s="111"/>
      <c r="CQ12741" s="111"/>
      <c r="EF12741"/>
      <c r="EG12741"/>
      <c r="EH12741"/>
      <c r="EI12741"/>
      <c r="EJ12741"/>
      <c r="EK12741"/>
    </row>
    <row r="12742" spans="1:141" s="116" customFormat="1">
      <c r="A12742" s="136"/>
      <c r="CM12742" s="111"/>
      <c r="CQ12742" s="111"/>
      <c r="EF12742"/>
      <c r="EG12742"/>
      <c r="EH12742"/>
      <c r="EI12742"/>
      <c r="EJ12742"/>
      <c r="EK12742"/>
    </row>
    <row r="12743" spans="1:141" s="116" customFormat="1">
      <c r="A12743" s="136"/>
      <c r="CM12743" s="111"/>
      <c r="CQ12743" s="111"/>
      <c r="EF12743"/>
      <c r="EG12743"/>
      <c r="EH12743"/>
      <c r="EI12743"/>
      <c r="EJ12743"/>
      <c r="EK12743"/>
    </row>
    <row r="12744" spans="1:141" s="116" customFormat="1">
      <c r="A12744" s="136"/>
      <c r="CM12744" s="111"/>
      <c r="CQ12744" s="111"/>
      <c r="EF12744"/>
      <c r="EG12744"/>
      <c r="EH12744"/>
      <c r="EI12744"/>
      <c r="EJ12744"/>
      <c r="EK12744"/>
    </row>
    <row r="12745" spans="1:141" s="116" customFormat="1">
      <c r="A12745" s="136"/>
      <c r="CM12745" s="111"/>
      <c r="CQ12745" s="111"/>
      <c r="EF12745"/>
      <c r="EG12745"/>
      <c r="EH12745"/>
      <c r="EI12745"/>
      <c r="EJ12745"/>
      <c r="EK12745"/>
    </row>
    <row r="12746" spans="1:141" s="116" customFormat="1">
      <c r="A12746" s="136"/>
      <c r="CM12746" s="111"/>
      <c r="CQ12746" s="111"/>
      <c r="EF12746"/>
      <c r="EG12746"/>
      <c r="EH12746"/>
      <c r="EI12746"/>
      <c r="EJ12746"/>
      <c r="EK12746"/>
    </row>
    <row r="12747" spans="1:141" s="116" customFormat="1">
      <c r="A12747" s="136"/>
      <c r="CM12747" s="111"/>
      <c r="CQ12747" s="111"/>
      <c r="EF12747"/>
      <c r="EG12747"/>
      <c r="EH12747"/>
      <c r="EI12747"/>
      <c r="EJ12747"/>
      <c r="EK12747"/>
    </row>
    <row r="12748" spans="1:141" s="116" customFormat="1">
      <c r="A12748" s="136"/>
      <c r="CM12748" s="111"/>
      <c r="CQ12748" s="111"/>
      <c r="EF12748"/>
      <c r="EG12748"/>
      <c r="EH12748"/>
      <c r="EI12748"/>
      <c r="EJ12748"/>
      <c r="EK12748"/>
    </row>
    <row r="12749" spans="1:141" s="116" customFormat="1">
      <c r="A12749" s="136"/>
      <c r="CM12749" s="111"/>
      <c r="CQ12749" s="111"/>
      <c r="EF12749"/>
      <c r="EG12749"/>
      <c r="EH12749"/>
      <c r="EI12749"/>
      <c r="EJ12749"/>
      <c r="EK12749"/>
    </row>
    <row r="12750" spans="1:141" s="116" customFormat="1">
      <c r="A12750" s="136"/>
      <c r="CM12750" s="111"/>
      <c r="CQ12750" s="111"/>
      <c r="EF12750"/>
      <c r="EG12750"/>
      <c r="EH12750"/>
      <c r="EI12750"/>
      <c r="EJ12750"/>
      <c r="EK12750"/>
    </row>
    <row r="12751" spans="1:141" s="116" customFormat="1">
      <c r="A12751" s="136"/>
      <c r="CM12751" s="111"/>
      <c r="CQ12751" s="111"/>
      <c r="EF12751"/>
      <c r="EG12751"/>
      <c r="EH12751"/>
      <c r="EI12751"/>
      <c r="EJ12751"/>
      <c r="EK12751"/>
    </row>
    <row r="12752" spans="1:141" s="116" customFormat="1">
      <c r="A12752" s="136"/>
      <c r="CM12752" s="111"/>
      <c r="CQ12752" s="111"/>
      <c r="EF12752"/>
      <c r="EG12752"/>
      <c r="EH12752"/>
      <c r="EI12752"/>
      <c r="EJ12752"/>
      <c r="EK12752"/>
    </row>
    <row r="12753" spans="1:141" s="116" customFormat="1">
      <c r="A12753" s="136"/>
      <c r="CM12753" s="111"/>
      <c r="CQ12753" s="111"/>
      <c r="EF12753"/>
      <c r="EG12753"/>
      <c r="EH12753"/>
      <c r="EI12753"/>
      <c r="EJ12753"/>
      <c r="EK12753"/>
    </row>
    <row r="12754" spans="1:141" s="116" customFormat="1">
      <c r="A12754" s="136"/>
      <c r="CM12754" s="111"/>
      <c r="CQ12754" s="111"/>
      <c r="EF12754"/>
      <c r="EG12754"/>
      <c r="EH12754"/>
      <c r="EI12754"/>
      <c r="EJ12754"/>
      <c r="EK12754"/>
    </row>
    <row r="12755" spans="1:141" s="116" customFormat="1">
      <c r="A12755" s="136"/>
      <c r="CM12755" s="111"/>
      <c r="CQ12755" s="111"/>
      <c r="EF12755"/>
      <c r="EG12755"/>
      <c r="EH12755"/>
      <c r="EI12755"/>
      <c r="EJ12755"/>
      <c r="EK12755"/>
    </row>
    <row r="12756" spans="1:141" s="116" customFormat="1">
      <c r="A12756" s="136"/>
      <c r="CM12756" s="111"/>
      <c r="CQ12756" s="111"/>
      <c r="EF12756"/>
      <c r="EG12756"/>
      <c r="EH12756"/>
      <c r="EI12756"/>
      <c r="EJ12756"/>
      <c r="EK12756"/>
    </row>
    <row r="12757" spans="1:141" s="116" customFormat="1">
      <c r="A12757" s="136"/>
      <c r="CM12757" s="111"/>
      <c r="CQ12757" s="111"/>
      <c r="EF12757"/>
      <c r="EG12757"/>
      <c r="EH12757"/>
      <c r="EI12757"/>
      <c r="EJ12757"/>
      <c r="EK12757"/>
    </row>
    <row r="12758" spans="1:141" s="116" customFormat="1">
      <c r="A12758" s="136"/>
      <c r="CM12758" s="111"/>
      <c r="CQ12758" s="111"/>
      <c r="EF12758"/>
      <c r="EG12758"/>
      <c r="EH12758"/>
      <c r="EI12758"/>
      <c r="EJ12758"/>
      <c r="EK12758"/>
    </row>
    <row r="12759" spans="1:141" s="116" customFormat="1">
      <c r="A12759" s="136"/>
      <c r="CM12759" s="111"/>
      <c r="CQ12759" s="111"/>
      <c r="EF12759"/>
      <c r="EG12759"/>
      <c r="EH12759"/>
      <c r="EI12759"/>
      <c r="EJ12759"/>
      <c r="EK12759"/>
    </row>
    <row r="12760" spans="1:141" s="116" customFormat="1">
      <c r="A12760" s="136"/>
      <c r="CM12760" s="111"/>
      <c r="CQ12760" s="111"/>
      <c r="EF12760"/>
      <c r="EG12760"/>
      <c r="EH12760"/>
      <c r="EI12760"/>
      <c r="EJ12760"/>
      <c r="EK12760"/>
    </row>
    <row r="12761" spans="1:141" s="116" customFormat="1">
      <c r="A12761" s="136"/>
      <c r="CM12761" s="111"/>
      <c r="CQ12761" s="111"/>
      <c r="EF12761"/>
      <c r="EG12761"/>
      <c r="EH12761"/>
      <c r="EI12761"/>
      <c r="EJ12761"/>
      <c r="EK12761"/>
    </row>
    <row r="12762" spans="1:141" s="116" customFormat="1">
      <c r="A12762" s="136"/>
      <c r="CM12762" s="111"/>
      <c r="CQ12762" s="111"/>
      <c r="EF12762"/>
      <c r="EG12762"/>
      <c r="EH12762"/>
      <c r="EI12762"/>
      <c r="EJ12762"/>
      <c r="EK12762"/>
    </row>
    <row r="12763" spans="1:141" s="116" customFormat="1">
      <c r="A12763" s="136"/>
      <c r="CM12763" s="111"/>
      <c r="CQ12763" s="111"/>
      <c r="EF12763"/>
      <c r="EG12763"/>
      <c r="EH12763"/>
      <c r="EI12763"/>
      <c r="EJ12763"/>
      <c r="EK12763"/>
    </row>
    <row r="12764" spans="1:141" s="116" customFormat="1">
      <c r="A12764" s="136"/>
      <c r="CM12764" s="111"/>
      <c r="CQ12764" s="111"/>
      <c r="EF12764"/>
      <c r="EG12764"/>
      <c r="EH12764"/>
      <c r="EI12764"/>
      <c r="EJ12764"/>
      <c r="EK12764"/>
    </row>
    <row r="12765" spans="1:141" s="116" customFormat="1">
      <c r="A12765" s="136"/>
      <c r="CM12765" s="111"/>
      <c r="CQ12765" s="111"/>
      <c r="EF12765"/>
      <c r="EG12765"/>
      <c r="EH12765"/>
      <c r="EI12765"/>
      <c r="EJ12765"/>
      <c r="EK12765"/>
    </row>
    <row r="12766" spans="1:141" s="116" customFormat="1">
      <c r="A12766" s="136"/>
      <c r="CM12766" s="111"/>
      <c r="CQ12766" s="111"/>
      <c r="EF12766"/>
      <c r="EG12766"/>
      <c r="EH12766"/>
      <c r="EI12766"/>
      <c r="EJ12766"/>
      <c r="EK12766"/>
    </row>
    <row r="12767" spans="1:141" s="116" customFormat="1">
      <c r="A12767" s="136"/>
      <c r="CM12767" s="111"/>
      <c r="CQ12767" s="111"/>
      <c r="EF12767"/>
      <c r="EG12767"/>
      <c r="EH12767"/>
      <c r="EI12767"/>
      <c r="EJ12767"/>
      <c r="EK12767"/>
    </row>
    <row r="12768" spans="1:141" s="116" customFormat="1">
      <c r="A12768" s="136"/>
      <c r="CM12768" s="111"/>
      <c r="CQ12768" s="111"/>
      <c r="EF12768"/>
      <c r="EG12768"/>
      <c r="EH12768"/>
      <c r="EI12768"/>
      <c r="EJ12768"/>
      <c r="EK12768"/>
    </row>
    <row r="12769" spans="1:141" s="116" customFormat="1">
      <c r="A12769" s="136"/>
      <c r="CM12769" s="111"/>
      <c r="CQ12769" s="111"/>
      <c r="EF12769"/>
      <c r="EG12769"/>
      <c r="EH12769"/>
      <c r="EI12769"/>
      <c r="EJ12769"/>
      <c r="EK12769"/>
    </row>
    <row r="12770" spans="1:141" s="116" customFormat="1">
      <c r="A12770" s="136"/>
      <c r="CM12770" s="111"/>
      <c r="CQ12770" s="111"/>
      <c r="EF12770"/>
      <c r="EG12770"/>
      <c r="EH12770"/>
      <c r="EI12770"/>
      <c r="EJ12770"/>
      <c r="EK12770"/>
    </row>
    <row r="12771" spans="1:141" s="116" customFormat="1">
      <c r="A12771" s="136"/>
      <c r="CM12771" s="111"/>
      <c r="CQ12771" s="111"/>
      <c r="EF12771"/>
      <c r="EG12771"/>
      <c r="EH12771"/>
      <c r="EI12771"/>
      <c r="EJ12771"/>
      <c r="EK12771"/>
    </row>
    <row r="12772" spans="1:141" s="116" customFormat="1">
      <c r="A12772" s="136"/>
      <c r="CM12772" s="111"/>
      <c r="CQ12772" s="111"/>
      <c r="EF12772"/>
      <c r="EG12772"/>
      <c r="EH12772"/>
      <c r="EI12772"/>
      <c r="EJ12772"/>
      <c r="EK12772"/>
    </row>
    <row r="12773" spans="1:141" s="116" customFormat="1">
      <c r="A12773" s="136"/>
      <c r="CM12773" s="111"/>
      <c r="CQ12773" s="111"/>
      <c r="EF12773"/>
      <c r="EG12773"/>
      <c r="EH12773"/>
      <c r="EI12773"/>
      <c r="EJ12773"/>
      <c r="EK12773"/>
    </row>
    <row r="12774" spans="1:141" s="116" customFormat="1">
      <c r="A12774" s="136"/>
      <c r="CM12774" s="111"/>
      <c r="CQ12774" s="111"/>
      <c r="EF12774"/>
      <c r="EG12774"/>
      <c r="EH12774"/>
      <c r="EI12774"/>
      <c r="EJ12774"/>
      <c r="EK12774"/>
    </row>
    <row r="12775" spans="1:141" s="116" customFormat="1">
      <c r="A12775" s="136"/>
      <c r="CM12775" s="111"/>
      <c r="CQ12775" s="111"/>
      <c r="EF12775"/>
      <c r="EG12775"/>
      <c r="EH12775"/>
      <c r="EI12775"/>
      <c r="EJ12775"/>
      <c r="EK12775"/>
    </row>
    <row r="12776" spans="1:141" s="116" customFormat="1">
      <c r="A12776" s="136"/>
      <c r="CM12776" s="111"/>
      <c r="CQ12776" s="111"/>
      <c r="EF12776"/>
      <c r="EG12776"/>
      <c r="EH12776"/>
      <c r="EI12776"/>
      <c r="EJ12776"/>
      <c r="EK12776"/>
    </row>
    <row r="12777" spans="1:141" s="116" customFormat="1">
      <c r="A12777" s="136"/>
      <c r="CM12777" s="111"/>
      <c r="CQ12777" s="111"/>
      <c r="EF12777"/>
      <c r="EG12777"/>
      <c r="EH12777"/>
      <c r="EI12777"/>
      <c r="EJ12777"/>
      <c r="EK12777"/>
    </row>
    <row r="12778" spans="1:141" s="116" customFormat="1">
      <c r="A12778" s="136"/>
      <c r="CM12778" s="111"/>
      <c r="CQ12778" s="111"/>
      <c r="EF12778"/>
      <c r="EG12778"/>
      <c r="EH12778"/>
      <c r="EI12778"/>
      <c r="EJ12778"/>
      <c r="EK12778"/>
    </row>
    <row r="12779" spans="1:141" s="116" customFormat="1">
      <c r="A12779" s="136"/>
      <c r="CM12779" s="111"/>
      <c r="CQ12779" s="111"/>
      <c r="EF12779"/>
      <c r="EG12779"/>
      <c r="EH12779"/>
      <c r="EI12779"/>
      <c r="EJ12779"/>
      <c r="EK12779"/>
    </row>
    <row r="12780" spans="1:141" s="116" customFormat="1">
      <c r="A12780" s="136"/>
      <c r="CM12780" s="111"/>
      <c r="CQ12780" s="111"/>
      <c r="EF12780"/>
      <c r="EG12780"/>
      <c r="EH12780"/>
      <c r="EI12780"/>
      <c r="EJ12780"/>
      <c r="EK12780"/>
    </row>
    <row r="12781" spans="1:141" s="116" customFormat="1">
      <c r="A12781" s="136"/>
      <c r="CM12781" s="111"/>
      <c r="CQ12781" s="111"/>
      <c r="EF12781"/>
      <c r="EG12781"/>
      <c r="EH12781"/>
      <c r="EI12781"/>
      <c r="EJ12781"/>
      <c r="EK12781"/>
    </row>
    <row r="12782" spans="1:141" s="116" customFormat="1">
      <c r="A12782" s="136"/>
      <c r="CM12782" s="111"/>
      <c r="CQ12782" s="111"/>
      <c r="EF12782"/>
      <c r="EG12782"/>
      <c r="EH12782"/>
      <c r="EI12782"/>
      <c r="EJ12782"/>
      <c r="EK12782"/>
    </row>
    <row r="12783" spans="1:141" s="116" customFormat="1">
      <c r="A12783" s="136"/>
      <c r="CM12783" s="111"/>
      <c r="CQ12783" s="111"/>
      <c r="EF12783"/>
      <c r="EG12783"/>
      <c r="EH12783"/>
      <c r="EI12783"/>
      <c r="EJ12783"/>
      <c r="EK12783"/>
    </row>
    <row r="12784" spans="1:141" s="116" customFormat="1">
      <c r="A12784" s="136"/>
      <c r="CM12784" s="111"/>
      <c r="CQ12784" s="111"/>
      <c r="EF12784"/>
      <c r="EG12784"/>
      <c r="EH12784"/>
      <c r="EI12784"/>
      <c r="EJ12784"/>
      <c r="EK12784"/>
    </row>
    <row r="12785" spans="1:141" s="116" customFormat="1">
      <c r="A12785" s="136"/>
      <c r="CM12785" s="111"/>
      <c r="CQ12785" s="111"/>
      <c r="EF12785"/>
      <c r="EG12785"/>
      <c r="EH12785"/>
      <c r="EI12785"/>
      <c r="EJ12785"/>
      <c r="EK12785"/>
    </row>
    <row r="12786" spans="1:141" s="116" customFormat="1">
      <c r="A12786" s="136"/>
      <c r="CM12786" s="111"/>
      <c r="CQ12786" s="111"/>
      <c r="EF12786"/>
      <c r="EG12786"/>
      <c r="EH12786"/>
      <c r="EI12786"/>
      <c r="EJ12786"/>
      <c r="EK12786"/>
    </row>
    <row r="12787" spans="1:141" s="116" customFormat="1">
      <c r="A12787" s="136"/>
      <c r="CM12787" s="111"/>
      <c r="CQ12787" s="111"/>
      <c r="EF12787"/>
      <c r="EG12787"/>
      <c r="EH12787"/>
      <c r="EI12787"/>
      <c r="EJ12787"/>
      <c r="EK12787"/>
    </row>
    <row r="12788" spans="1:141" s="116" customFormat="1">
      <c r="A12788" s="136"/>
      <c r="CM12788" s="111"/>
      <c r="CQ12788" s="111"/>
      <c r="EF12788"/>
      <c r="EG12788"/>
      <c r="EH12788"/>
      <c r="EI12788"/>
      <c r="EJ12788"/>
      <c r="EK12788"/>
    </row>
    <row r="12789" spans="1:141" s="116" customFormat="1">
      <c r="A12789" s="136"/>
      <c r="CM12789" s="111"/>
      <c r="CQ12789" s="111"/>
      <c r="EF12789"/>
      <c r="EG12789"/>
      <c r="EH12789"/>
      <c r="EI12789"/>
      <c r="EJ12789"/>
      <c r="EK12789"/>
    </row>
    <row r="12790" spans="1:141" s="116" customFormat="1">
      <c r="A12790" s="136"/>
      <c r="CM12790" s="111"/>
      <c r="CQ12790" s="111"/>
      <c r="EF12790"/>
      <c r="EG12790"/>
      <c r="EH12790"/>
      <c r="EI12790"/>
      <c r="EJ12790"/>
      <c r="EK12790"/>
    </row>
    <row r="12791" spans="1:141" s="116" customFormat="1">
      <c r="A12791" s="136"/>
      <c r="CM12791" s="111"/>
      <c r="CQ12791" s="111"/>
      <c r="EF12791"/>
      <c r="EG12791"/>
      <c r="EH12791"/>
      <c r="EI12791"/>
      <c r="EJ12791"/>
      <c r="EK12791"/>
    </row>
    <row r="12792" spans="1:141" s="116" customFormat="1">
      <c r="A12792" s="136"/>
      <c r="CM12792" s="111"/>
      <c r="CQ12792" s="111"/>
      <c r="EF12792"/>
      <c r="EG12792"/>
      <c r="EH12792"/>
      <c r="EI12792"/>
      <c r="EJ12792"/>
      <c r="EK12792"/>
    </row>
    <row r="12793" spans="1:141" s="116" customFormat="1">
      <c r="A12793" s="136"/>
      <c r="CM12793" s="111"/>
      <c r="CQ12793" s="111"/>
      <c r="EF12793"/>
      <c r="EG12793"/>
      <c r="EH12793"/>
      <c r="EI12793"/>
      <c r="EJ12793"/>
      <c r="EK12793"/>
    </row>
    <row r="12794" spans="1:141" s="116" customFormat="1">
      <c r="A12794" s="136"/>
      <c r="CM12794" s="111"/>
      <c r="CQ12794" s="111"/>
      <c r="EF12794"/>
      <c r="EG12794"/>
      <c r="EH12794"/>
      <c r="EI12794"/>
      <c r="EJ12794"/>
      <c r="EK12794"/>
    </row>
    <row r="12795" spans="1:141" s="116" customFormat="1">
      <c r="A12795" s="136"/>
      <c r="CM12795" s="111"/>
      <c r="CQ12795" s="111"/>
      <c r="EF12795"/>
      <c r="EG12795"/>
      <c r="EH12795"/>
      <c r="EI12795"/>
      <c r="EJ12795"/>
      <c r="EK12795"/>
    </row>
    <row r="12796" spans="1:141" s="116" customFormat="1">
      <c r="A12796" s="136"/>
      <c r="CM12796" s="111"/>
      <c r="CQ12796" s="111"/>
      <c r="EF12796"/>
      <c r="EG12796"/>
      <c r="EH12796"/>
      <c r="EI12796"/>
      <c r="EJ12796"/>
      <c r="EK12796"/>
    </row>
    <row r="12797" spans="1:141" s="116" customFormat="1">
      <c r="A12797" s="136"/>
      <c r="CM12797" s="111"/>
      <c r="CQ12797" s="111"/>
      <c r="EF12797"/>
      <c r="EG12797"/>
      <c r="EH12797"/>
      <c r="EI12797"/>
      <c r="EJ12797"/>
      <c r="EK12797"/>
    </row>
    <row r="12798" spans="1:141" s="116" customFormat="1">
      <c r="A12798" s="136"/>
      <c r="CM12798" s="111"/>
      <c r="CQ12798" s="111"/>
      <c r="EF12798"/>
      <c r="EG12798"/>
      <c r="EH12798"/>
      <c r="EI12798"/>
      <c r="EJ12798"/>
      <c r="EK12798"/>
    </row>
    <row r="12799" spans="1:141" s="116" customFormat="1">
      <c r="A12799" s="136"/>
      <c r="CM12799" s="111"/>
      <c r="CQ12799" s="111"/>
      <c r="EF12799"/>
      <c r="EG12799"/>
      <c r="EH12799"/>
      <c r="EI12799"/>
      <c r="EJ12799"/>
      <c r="EK12799"/>
    </row>
    <row r="12800" spans="1:141" s="116" customFormat="1">
      <c r="A12800" s="136"/>
      <c r="CM12800" s="111"/>
      <c r="CQ12800" s="111"/>
      <c r="EF12800"/>
      <c r="EG12800"/>
      <c r="EH12800"/>
      <c r="EI12800"/>
      <c r="EJ12800"/>
      <c r="EK12800"/>
    </row>
    <row r="12801" spans="1:141" s="116" customFormat="1">
      <c r="A12801" s="136"/>
      <c r="CM12801" s="111"/>
      <c r="CQ12801" s="111"/>
      <c r="EF12801"/>
      <c r="EG12801"/>
      <c r="EH12801"/>
      <c r="EI12801"/>
      <c r="EJ12801"/>
      <c r="EK12801"/>
    </row>
    <row r="12802" spans="1:141" s="116" customFormat="1">
      <c r="A12802" s="136"/>
      <c r="CM12802" s="111"/>
      <c r="CQ12802" s="111"/>
      <c r="EF12802"/>
      <c r="EG12802"/>
      <c r="EH12802"/>
      <c r="EI12802"/>
      <c r="EJ12802"/>
      <c r="EK12802"/>
    </row>
    <row r="12803" spans="1:141" s="116" customFormat="1">
      <c r="A12803" s="136"/>
      <c r="CM12803" s="111"/>
      <c r="CQ12803" s="111"/>
      <c r="EF12803"/>
      <c r="EG12803"/>
      <c r="EH12803"/>
      <c r="EI12803"/>
      <c r="EJ12803"/>
      <c r="EK12803"/>
    </row>
    <row r="12804" spans="1:141" s="116" customFormat="1">
      <c r="A12804" s="136"/>
      <c r="CM12804" s="111"/>
      <c r="CQ12804" s="111"/>
      <c r="EF12804"/>
      <c r="EG12804"/>
      <c r="EH12804"/>
      <c r="EI12804"/>
      <c r="EJ12804"/>
      <c r="EK12804"/>
    </row>
    <row r="12805" spans="1:141" s="116" customFormat="1">
      <c r="A12805" s="136"/>
      <c r="CM12805" s="111"/>
      <c r="CQ12805" s="111"/>
      <c r="EF12805"/>
      <c r="EG12805"/>
      <c r="EH12805"/>
      <c r="EI12805"/>
      <c r="EJ12805"/>
      <c r="EK12805"/>
    </row>
    <row r="12806" spans="1:141" s="116" customFormat="1">
      <c r="A12806" s="136"/>
      <c r="CM12806" s="111"/>
      <c r="CQ12806" s="111"/>
      <c r="EF12806"/>
      <c r="EG12806"/>
      <c r="EH12806"/>
      <c r="EI12806"/>
      <c r="EJ12806"/>
      <c r="EK12806"/>
    </row>
    <row r="12807" spans="1:141" s="116" customFormat="1">
      <c r="A12807" s="136"/>
      <c r="CM12807" s="111"/>
      <c r="CQ12807" s="111"/>
      <c r="EF12807"/>
      <c r="EG12807"/>
      <c r="EH12807"/>
      <c r="EI12807"/>
      <c r="EJ12807"/>
      <c r="EK12807"/>
    </row>
    <row r="12808" spans="1:141" s="116" customFormat="1">
      <c r="A12808" s="136"/>
      <c r="CM12808" s="111"/>
      <c r="CQ12808" s="111"/>
      <c r="EF12808"/>
      <c r="EG12808"/>
      <c r="EH12808"/>
      <c r="EI12808"/>
      <c r="EJ12808"/>
      <c r="EK12808"/>
    </row>
    <row r="12809" spans="1:141" s="116" customFormat="1">
      <c r="A12809" s="136"/>
      <c r="CM12809" s="111"/>
      <c r="CQ12809" s="111"/>
      <c r="EF12809"/>
      <c r="EG12809"/>
      <c r="EH12809"/>
      <c r="EI12809"/>
      <c r="EJ12809"/>
      <c r="EK12809"/>
    </row>
    <row r="12810" spans="1:141" s="116" customFormat="1">
      <c r="A12810" s="136"/>
      <c r="CM12810" s="111"/>
      <c r="CQ12810" s="111"/>
      <c r="EF12810"/>
      <c r="EG12810"/>
      <c r="EH12810"/>
      <c r="EI12810"/>
      <c r="EJ12810"/>
      <c r="EK12810"/>
    </row>
    <row r="12811" spans="1:141" s="116" customFormat="1">
      <c r="A12811" s="136"/>
      <c r="CM12811" s="111"/>
      <c r="CQ12811" s="111"/>
      <c r="EF12811"/>
      <c r="EG12811"/>
      <c r="EH12811"/>
      <c r="EI12811"/>
      <c r="EJ12811"/>
      <c r="EK12811"/>
    </row>
    <row r="12812" spans="1:141" s="116" customFormat="1">
      <c r="A12812" s="136"/>
      <c r="CM12812" s="111"/>
      <c r="CQ12812" s="111"/>
      <c r="EF12812"/>
      <c r="EG12812"/>
      <c r="EH12812"/>
      <c r="EI12812"/>
      <c r="EJ12812"/>
      <c r="EK12812"/>
    </row>
    <row r="12813" spans="1:141" s="116" customFormat="1">
      <c r="A12813" s="136"/>
      <c r="CM12813" s="111"/>
      <c r="CQ12813" s="111"/>
      <c r="EF12813"/>
      <c r="EG12813"/>
      <c r="EH12813"/>
      <c r="EI12813"/>
      <c r="EJ12813"/>
      <c r="EK12813"/>
    </row>
    <row r="12814" spans="1:141" s="116" customFormat="1">
      <c r="A12814" s="136"/>
      <c r="CM12814" s="111"/>
      <c r="CQ12814" s="111"/>
      <c r="EF12814"/>
      <c r="EG12814"/>
      <c r="EH12814"/>
      <c r="EI12814"/>
      <c r="EJ12814"/>
      <c r="EK12814"/>
    </row>
    <row r="12815" spans="1:141" s="116" customFormat="1">
      <c r="A12815" s="136"/>
      <c r="CM12815" s="111"/>
      <c r="CQ12815" s="111"/>
      <c r="EF12815"/>
      <c r="EG12815"/>
      <c r="EH12815"/>
      <c r="EI12815"/>
      <c r="EJ12815"/>
      <c r="EK12815"/>
    </row>
    <row r="12816" spans="1:141" s="116" customFormat="1">
      <c r="A12816" s="136"/>
      <c r="CM12816" s="111"/>
      <c r="CQ12816" s="111"/>
      <c r="EF12816"/>
      <c r="EG12816"/>
      <c r="EH12816"/>
      <c r="EI12816"/>
      <c r="EJ12816"/>
      <c r="EK12816"/>
    </row>
    <row r="12817" spans="1:141" s="116" customFormat="1">
      <c r="A12817" s="136"/>
      <c r="CM12817" s="111"/>
      <c r="CQ12817" s="111"/>
      <c r="EF12817"/>
      <c r="EG12817"/>
      <c r="EH12817"/>
      <c r="EI12817"/>
      <c r="EJ12817"/>
      <c r="EK12817"/>
    </row>
    <row r="12818" spans="1:141" s="116" customFormat="1">
      <c r="A12818" s="136"/>
      <c r="CM12818" s="111"/>
      <c r="CQ12818" s="111"/>
      <c r="EF12818"/>
      <c r="EG12818"/>
      <c r="EH12818"/>
      <c r="EI12818"/>
      <c r="EJ12818"/>
      <c r="EK12818"/>
    </row>
    <row r="12819" spans="1:141" s="116" customFormat="1">
      <c r="A12819" s="136"/>
      <c r="CM12819" s="111"/>
      <c r="CQ12819" s="111"/>
      <c r="EF12819"/>
      <c r="EG12819"/>
      <c r="EH12819"/>
      <c r="EI12819"/>
      <c r="EJ12819"/>
      <c r="EK12819"/>
    </row>
    <row r="12820" spans="1:141" s="116" customFormat="1">
      <c r="A12820" s="136"/>
      <c r="CM12820" s="111"/>
      <c r="CQ12820" s="111"/>
      <c r="EF12820"/>
      <c r="EG12820"/>
      <c r="EH12820"/>
      <c r="EI12820"/>
      <c r="EJ12820"/>
      <c r="EK12820"/>
    </row>
    <row r="12821" spans="1:141" s="116" customFormat="1">
      <c r="A12821" s="136"/>
      <c r="CM12821" s="111"/>
      <c r="CQ12821" s="111"/>
      <c r="EF12821"/>
      <c r="EG12821"/>
      <c r="EH12821"/>
      <c r="EI12821"/>
      <c r="EJ12821"/>
      <c r="EK12821"/>
    </row>
    <row r="12822" spans="1:141" s="116" customFormat="1">
      <c r="A12822" s="136"/>
      <c r="CM12822" s="111"/>
      <c r="CQ12822" s="111"/>
      <c r="EF12822"/>
      <c r="EG12822"/>
      <c r="EH12822"/>
      <c r="EI12822"/>
      <c r="EJ12822"/>
      <c r="EK12822"/>
    </row>
    <row r="12823" spans="1:141" s="116" customFormat="1">
      <c r="A12823" s="136"/>
      <c r="CM12823" s="111"/>
      <c r="CQ12823" s="111"/>
      <c r="EF12823"/>
      <c r="EG12823"/>
      <c r="EH12823"/>
      <c r="EI12823"/>
      <c r="EJ12823"/>
      <c r="EK12823"/>
    </row>
    <row r="12824" spans="1:141" s="116" customFormat="1">
      <c r="A12824" s="136"/>
      <c r="CM12824" s="111"/>
      <c r="CQ12824" s="111"/>
      <c r="EF12824"/>
      <c r="EG12824"/>
      <c r="EH12824"/>
      <c r="EI12824"/>
      <c r="EJ12824"/>
      <c r="EK12824"/>
    </row>
    <row r="12825" spans="1:141" s="116" customFormat="1">
      <c r="A12825" s="136"/>
      <c r="CM12825" s="111"/>
      <c r="CQ12825" s="111"/>
      <c r="EF12825"/>
      <c r="EG12825"/>
      <c r="EH12825"/>
      <c r="EI12825"/>
      <c r="EJ12825"/>
      <c r="EK12825"/>
    </row>
    <row r="12826" spans="1:141" s="116" customFormat="1">
      <c r="A12826" s="136"/>
      <c r="CM12826" s="111"/>
      <c r="CQ12826" s="111"/>
      <c r="EF12826"/>
      <c r="EG12826"/>
      <c r="EH12826"/>
      <c r="EI12826"/>
      <c r="EJ12826"/>
      <c r="EK12826"/>
    </row>
    <row r="12827" spans="1:141" s="116" customFormat="1">
      <c r="A12827" s="136"/>
      <c r="CM12827" s="111"/>
      <c r="CQ12827" s="111"/>
      <c r="EF12827"/>
      <c r="EG12827"/>
      <c r="EH12827"/>
      <c r="EI12827"/>
      <c r="EJ12827"/>
      <c r="EK12827"/>
    </row>
    <row r="12828" spans="1:141" s="116" customFormat="1">
      <c r="A12828" s="136"/>
      <c r="CM12828" s="111"/>
      <c r="CQ12828" s="111"/>
      <c r="EF12828"/>
      <c r="EG12828"/>
      <c r="EH12828"/>
      <c r="EI12828"/>
      <c r="EJ12828"/>
      <c r="EK12828"/>
    </row>
    <row r="12829" spans="1:141" s="116" customFormat="1">
      <c r="A12829" s="136"/>
      <c r="CM12829" s="111"/>
      <c r="CQ12829" s="111"/>
      <c r="EF12829"/>
      <c r="EG12829"/>
      <c r="EH12829"/>
      <c r="EI12829"/>
      <c r="EJ12829"/>
      <c r="EK12829"/>
    </row>
    <row r="12830" spans="1:141" s="116" customFormat="1">
      <c r="A12830" s="136"/>
      <c r="CM12830" s="111"/>
      <c r="CQ12830" s="111"/>
      <c r="EF12830"/>
      <c r="EG12830"/>
      <c r="EH12830"/>
      <c r="EI12830"/>
      <c r="EJ12830"/>
      <c r="EK12830"/>
    </row>
    <row r="12831" spans="1:141" s="116" customFormat="1">
      <c r="A12831" s="136"/>
      <c r="CM12831" s="111"/>
      <c r="CQ12831" s="111"/>
      <c r="EF12831"/>
      <c r="EG12831"/>
      <c r="EH12831"/>
      <c r="EI12831"/>
      <c r="EJ12831"/>
      <c r="EK12831"/>
    </row>
    <row r="12832" spans="1:141" s="116" customFormat="1">
      <c r="A12832" s="136"/>
      <c r="CM12832" s="111"/>
      <c r="CQ12832" s="111"/>
      <c r="EF12832"/>
      <c r="EG12832"/>
      <c r="EH12832"/>
      <c r="EI12832"/>
      <c r="EJ12832"/>
      <c r="EK12832"/>
    </row>
    <row r="12833" spans="1:141" s="116" customFormat="1">
      <c r="A12833" s="136"/>
      <c r="CM12833" s="111"/>
      <c r="CQ12833" s="111"/>
      <c r="EF12833"/>
      <c r="EG12833"/>
      <c r="EH12833"/>
      <c r="EI12833"/>
      <c r="EJ12833"/>
      <c r="EK12833"/>
    </row>
    <row r="12834" spans="1:141" s="116" customFormat="1">
      <c r="A12834" s="136"/>
      <c r="CM12834" s="111"/>
      <c r="CQ12834" s="111"/>
      <c r="EF12834"/>
      <c r="EG12834"/>
      <c r="EH12834"/>
      <c r="EI12834"/>
      <c r="EJ12834"/>
      <c r="EK12834"/>
    </row>
    <row r="12835" spans="1:141" s="116" customFormat="1">
      <c r="A12835" s="136"/>
      <c r="CM12835" s="111"/>
      <c r="CQ12835" s="111"/>
      <c r="EF12835"/>
      <c r="EG12835"/>
      <c r="EH12835"/>
      <c r="EI12835"/>
      <c r="EJ12835"/>
      <c r="EK12835"/>
    </row>
    <row r="12836" spans="1:141" s="116" customFormat="1">
      <c r="A12836" s="136"/>
      <c r="CM12836" s="111"/>
      <c r="CQ12836" s="111"/>
      <c r="EF12836"/>
      <c r="EG12836"/>
      <c r="EH12836"/>
      <c r="EI12836"/>
      <c r="EJ12836"/>
      <c r="EK12836"/>
    </row>
    <row r="12837" spans="1:141" s="116" customFormat="1">
      <c r="A12837" s="136"/>
      <c r="CM12837" s="111"/>
      <c r="CQ12837" s="111"/>
      <c r="EF12837"/>
      <c r="EG12837"/>
      <c r="EH12837"/>
      <c r="EI12837"/>
      <c r="EJ12837"/>
      <c r="EK12837"/>
    </row>
    <row r="12838" spans="1:141" s="116" customFormat="1">
      <c r="A12838" s="136"/>
      <c r="CM12838" s="111"/>
      <c r="CQ12838" s="111"/>
      <c r="EF12838"/>
      <c r="EG12838"/>
      <c r="EH12838"/>
      <c r="EI12838"/>
      <c r="EJ12838"/>
      <c r="EK12838"/>
    </row>
    <row r="12839" spans="1:141" s="116" customFormat="1">
      <c r="A12839" s="136"/>
      <c r="CM12839" s="111"/>
      <c r="CQ12839" s="111"/>
      <c r="EF12839"/>
      <c r="EG12839"/>
      <c r="EH12839"/>
      <c r="EI12839"/>
      <c r="EJ12839"/>
      <c r="EK12839"/>
    </row>
    <row r="12840" spans="1:141" s="116" customFormat="1">
      <c r="A12840" s="136"/>
      <c r="CM12840" s="111"/>
      <c r="CQ12840" s="111"/>
      <c r="EF12840"/>
      <c r="EG12840"/>
      <c r="EH12840"/>
      <c r="EI12840"/>
      <c r="EJ12840"/>
      <c r="EK12840"/>
    </row>
    <row r="12841" spans="1:141" s="116" customFormat="1">
      <c r="A12841" s="136"/>
      <c r="CM12841" s="111"/>
      <c r="CQ12841" s="111"/>
      <c r="EF12841"/>
      <c r="EG12841"/>
      <c r="EH12841"/>
      <c r="EI12841"/>
      <c r="EJ12841"/>
      <c r="EK12841"/>
    </row>
    <row r="12842" spans="1:141" s="116" customFormat="1">
      <c r="A12842" s="136"/>
      <c r="CM12842" s="111"/>
      <c r="CQ12842" s="111"/>
      <c r="EF12842"/>
      <c r="EG12842"/>
      <c r="EH12842"/>
      <c r="EI12842"/>
      <c r="EJ12842"/>
      <c r="EK12842"/>
    </row>
    <row r="12843" spans="1:141" s="116" customFormat="1">
      <c r="A12843" s="136"/>
      <c r="CM12843" s="111"/>
      <c r="CQ12843" s="111"/>
      <c r="EF12843"/>
      <c r="EG12843"/>
      <c r="EH12843"/>
      <c r="EI12843"/>
      <c r="EJ12843"/>
      <c r="EK12843"/>
    </row>
    <row r="12844" spans="1:141" s="116" customFormat="1">
      <c r="A12844" s="136"/>
      <c r="CM12844" s="111"/>
      <c r="CQ12844" s="111"/>
      <c r="EF12844"/>
      <c r="EG12844"/>
      <c r="EH12844"/>
      <c r="EI12844"/>
      <c r="EJ12844"/>
      <c r="EK12844"/>
    </row>
    <row r="12845" spans="1:141" s="116" customFormat="1">
      <c r="A12845" s="136"/>
      <c r="CM12845" s="111"/>
      <c r="CQ12845" s="111"/>
      <c r="EF12845"/>
      <c r="EG12845"/>
      <c r="EH12845"/>
      <c r="EI12845"/>
      <c r="EJ12845"/>
      <c r="EK12845"/>
    </row>
    <row r="12846" spans="1:141" s="116" customFormat="1">
      <c r="A12846" s="136"/>
      <c r="CM12846" s="111"/>
      <c r="CQ12846" s="111"/>
      <c r="EF12846"/>
      <c r="EG12846"/>
      <c r="EH12846"/>
      <c r="EI12846"/>
      <c r="EJ12846"/>
      <c r="EK12846"/>
    </row>
    <row r="12847" spans="1:141" s="116" customFormat="1">
      <c r="A12847" s="136"/>
      <c r="CM12847" s="111"/>
      <c r="CQ12847" s="111"/>
      <c r="EF12847"/>
      <c r="EG12847"/>
      <c r="EH12847"/>
      <c r="EI12847"/>
      <c r="EJ12847"/>
      <c r="EK12847"/>
    </row>
    <row r="12848" spans="1:141" s="116" customFormat="1">
      <c r="A12848" s="136"/>
      <c r="CM12848" s="111"/>
      <c r="CQ12848" s="111"/>
      <c r="EF12848"/>
      <c r="EG12848"/>
      <c r="EH12848"/>
      <c r="EI12848"/>
      <c r="EJ12848"/>
      <c r="EK12848"/>
    </row>
    <row r="12849" spans="1:141" s="116" customFormat="1">
      <c r="A12849" s="136"/>
      <c r="CM12849" s="111"/>
      <c r="CQ12849" s="111"/>
      <c r="EF12849"/>
      <c r="EG12849"/>
      <c r="EH12849"/>
      <c r="EI12849"/>
      <c r="EJ12849"/>
      <c r="EK12849"/>
    </row>
    <row r="12850" spans="1:141" s="116" customFormat="1">
      <c r="A12850" s="136"/>
      <c r="CM12850" s="111"/>
      <c r="CQ12850" s="111"/>
      <c r="EF12850"/>
      <c r="EG12850"/>
      <c r="EH12850"/>
      <c r="EI12850"/>
      <c r="EJ12850"/>
      <c r="EK12850"/>
    </row>
    <row r="12851" spans="1:141" s="116" customFormat="1">
      <c r="A12851" s="136"/>
      <c r="CM12851" s="111"/>
      <c r="CQ12851" s="111"/>
      <c r="EF12851"/>
      <c r="EG12851"/>
      <c r="EH12851"/>
      <c r="EI12851"/>
      <c r="EJ12851"/>
      <c r="EK12851"/>
    </row>
    <row r="12852" spans="1:141" s="116" customFormat="1">
      <c r="A12852" s="136"/>
      <c r="CM12852" s="111"/>
      <c r="CQ12852" s="111"/>
      <c r="EF12852"/>
      <c r="EG12852"/>
      <c r="EH12852"/>
      <c r="EI12852"/>
      <c r="EJ12852"/>
      <c r="EK12852"/>
    </row>
    <row r="12853" spans="1:141" s="116" customFormat="1">
      <c r="A12853" s="136"/>
      <c r="CM12853" s="111"/>
      <c r="CQ12853" s="111"/>
      <c r="EF12853"/>
      <c r="EG12853"/>
      <c r="EH12853"/>
      <c r="EI12853"/>
      <c r="EJ12853"/>
      <c r="EK12853"/>
    </row>
    <row r="12854" spans="1:141" s="116" customFormat="1">
      <c r="A12854" s="136"/>
      <c r="CM12854" s="111"/>
      <c r="CQ12854" s="111"/>
      <c r="EF12854"/>
      <c r="EG12854"/>
      <c r="EH12854"/>
      <c r="EI12854"/>
      <c r="EJ12854"/>
      <c r="EK12854"/>
    </row>
    <row r="12855" spans="1:141" s="116" customFormat="1">
      <c r="A12855" s="136"/>
      <c r="CM12855" s="111"/>
      <c r="CQ12855" s="111"/>
      <c r="EF12855"/>
      <c r="EG12855"/>
      <c r="EH12855"/>
      <c r="EI12855"/>
      <c r="EJ12855"/>
      <c r="EK12855"/>
    </row>
    <row r="12856" spans="1:141" s="116" customFormat="1">
      <c r="A12856" s="136"/>
      <c r="CM12856" s="111"/>
      <c r="CQ12856" s="111"/>
      <c r="EF12856"/>
      <c r="EG12856"/>
      <c r="EH12856"/>
      <c r="EI12856"/>
      <c r="EJ12856"/>
      <c r="EK12856"/>
    </row>
    <row r="12857" spans="1:141" s="116" customFormat="1">
      <c r="A12857" s="136"/>
      <c r="CM12857" s="111"/>
      <c r="CQ12857" s="111"/>
      <c r="EF12857"/>
      <c r="EG12857"/>
      <c r="EH12857"/>
      <c r="EI12857"/>
      <c r="EJ12857"/>
      <c r="EK12857"/>
    </row>
    <row r="12858" spans="1:141" s="116" customFormat="1">
      <c r="A12858" s="136"/>
      <c r="CM12858" s="111"/>
      <c r="CQ12858" s="111"/>
      <c r="EF12858"/>
      <c r="EG12858"/>
      <c r="EH12858"/>
      <c r="EI12858"/>
      <c r="EJ12858"/>
      <c r="EK12858"/>
    </row>
    <row r="12859" spans="1:141" s="116" customFormat="1">
      <c r="A12859" s="136"/>
      <c r="CM12859" s="111"/>
      <c r="CQ12859" s="111"/>
      <c r="EF12859"/>
      <c r="EG12859"/>
      <c r="EH12859"/>
      <c r="EI12859"/>
      <c r="EJ12859"/>
      <c r="EK12859"/>
    </row>
    <row r="12860" spans="1:141" s="116" customFormat="1">
      <c r="A12860" s="136"/>
      <c r="CM12860" s="111"/>
      <c r="CQ12860" s="111"/>
      <c r="EF12860"/>
      <c r="EG12860"/>
      <c r="EH12860"/>
      <c r="EI12860"/>
      <c r="EJ12860"/>
      <c r="EK12860"/>
    </row>
    <row r="12861" spans="1:141" s="116" customFormat="1">
      <c r="A12861" s="136"/>
      <c r="CM12861" s="111"/>
      <c r="CQ12861" s="111"/>
      <c r="EF12861"/>
      <c r="EG12861"/>
      <c r="EH12861"/>
      <c r="EI12861"/>
      <c r="EJ12861"/>
      <c r="EK12861"/>
    </row>
    <row r="12862" spans="1:141" s="116" customFormat="1">
      <c r="A12862" s="136"/>
      <c r="CM12862" s="111"/>
      <c r="CQ12862" s="111"/>
      <c r="EF12862"/>
      <c r="EG12862"/>
      <c r="EH12862"/>
      <c r="EI12862"/>
      <c r="EJ12862"/>
      <c r="EK12862"/>
    </row>
    <row r="12863" spans="1:141" s="116" customFormat="1">
      <c r="A12863" s="136"/>
      <c r="CM12863" s="111"/>
      <c r="CQ12863" s="111"/>
      <c r="EF12863"/>
      <c r="EG12863"/>
      <c r="EH12863"/>
      <c r="EI12863"/>
      <c r="EJ12863"/>
      <c r="EK12863"/>
    </row>
    <row r="12864" spans="1:141" s="116" customFormat="1">
      <c r="A12864" s="136"/>
      <c r="CM12864" s="111"/>
      <c r="CQ12864" s="111"/>
      <c r="EF12864"/>
      <c r="EG12864"/>
      <c r="EH12864"/>
      <c r="EI12864"/>
      <c r="EJ12864"/>
      <c r="EK12864"/>
    </row>
    <row r="12865" spans="1:141" s="116" customFormat="1">
      <c r="A12865" s="136"/>
      <c r="CM12865" s="111"/>
      <c r="CQ12865" s="111"/>
      <c r="EF12865"/>
      <c r="EG12865"/>
      <c r="EH12865"/>
      <c r="EI12865"/>
      <c r="EJ12865"/>
      <c r="EK12865"/>
    </row>
    <row r="12866" spans="1:141" s="116" customFormat="1">
      <c r="A12866" s="136"/>
      <c r="CM12866" s="111"/>
      <c r="CQ12866" s="111"/>
      <c r="EF12866"/>
      <c r="EG12866"/>
      <c r="EH12866"/>
      <c r="EI12866"/>
      <c r="EJ12866"/>
      <c r="EK12866"/>
    </row>
    <row r="12867" spans="1:141" s="116" customFormat="1">
      <c r="A12867" s="136"/>
      <c r="CM12867" s="111"/>
      <c r="CQ12867" s="111"/>
      <c r="EF12867"/>
      <c r="EG12867"/>
      <c r="EH12867"/>
      <c r="EI12867"/>
      <c r="EJ12867"/>
      <c r="EK12867"/>
    </row>
    <row r="12868" spans="1:141" s="116" customFormat="1">
      <c r="A12868" s="136"/>
      <c r="CM12868" s="111"/>
      <c r="CQ12868" s="111"/>
      <c r="EF12868"/>
      <c r="EG12868"/>
      <c r="EH12868"/>
      <c r="EI12868"/>
      <c r="EJ12868"/>
      <c r="EK12868"/>
    </row>
    <row r="12869" spans="1:141" s="116" customFormat="1">
      <c r="A12869" s="136"/>
      <c r="CM12869" s="111"/>
      <c r="CQ12869" s="111"/>
      <c r="EF12869"/>
      <c r="EG12869"/>
      <c r="EH12869"/>
      <c r="EI12869"/>
      <c r="EJ12869"/>
      <c r="EK12869"/>
    </row>
    <row r="12870" spans="1:141" s="116" customFormat="1">
      <c r="A12870" s="136"/>
      <c r="CM12870" s="111"/>
      <c r="CQ12870" s="111"/>
      <c r="EF12870"/>
      <c r="EG12870"/>
      <c r="EH12870"/>
      <c r="EI12870"/>
      <c r="EJ12870"/>
      <c r="EK12870"/>
    </row>
    <row r="12871" spans="1:141" s="116" customFormat="1">
      <c r="A12871" s="136"/>
      <c r="CM12871" s="111"/>
      <c r="CQ12871" s="111"/>
      <c r="EF12871"/>
      <c r="EG12871"/>
      <c r="EH12871"/>
      <c r="EI12871"/>
      <c r="EJ12871"/>
      <c r="EK12871"/>
    </row>
    <row r="12872" spans="1:141" s="116" customFormat="1">
      <c r="A12872" s="136"/>
      <c r="CM12872" s="111"/>
      <c r="CQ12872" s="111"/>
      <c r="EF12872"/>
      <c r="EG12872"/>
      <c r="EH12872"/>
      <c r="EI12872"/>
      <c r="EJ12872"/>
      <c r="EK12872"/>
    </row>
    <row r="12873" spans="1:141" s="116" customFormat="1">
      <c r="A12873" s="136"/>
      <c r="CM12873" s="111"/>
      <c r="CQ12873" s="111"/>
      <c r="EF12873"/>
      <c r="EG12873"/>
      <c r="EH12873"/>
      <c r="EI12873"/>
      <c r="EJ12873"/>
      <c r="EK12873"/>
    </row>
    <row r="12874" spans="1:141" s="116" customFormat="1">
      <c r="A12874" s="136"/>
      <c r="CM12874" s="111"/>
      <c r="CQ12874" s="111"/>
      <c r="EF12874"/>
      <c r="EG12874"/>
      <c r="EH12874"/>
      <c r="EI12874"/>
      <c r="EJ12874"/>
      <c r="EK12874"/>
    </row>
    <row r="12875" spans="1:141" s="116" customFormat="1">
      <c r="A12875" s="136"/>
      <c r="CM12875" s="111"/>
      <c r="CQ12875" s="111"/>
      <c r="EF12875"/>
      <c r="EG12875"/>
      <c r="EH12875"/>
      <c r="EI12875"/>
      <c r="EJ12875"/>
      <c r="EK12875"/>
    </row>
    <row r="12876" spans="1:141" s="116" customFormat="1">
      <c r="A12876" s="136"/>
      <c r="CM12876" s="111"/>
      <c r="CQ12876" s="111"/>
      <c r="EF12876"/>
      <c r="EG12876"/>
      <c r="EH12876"/>
      <c r="EI12876"/>
      <c r="EJ12876"/>
      <c r="EK12876"/>
    </row>
    <row r="12877" spans="1:141" s="116" customFormat="1">
      <c r="A12877" s="136"/>
      <c r="CM12877" s="111"/>
      <c r="CQ12877" s="111"/>
      <c r="EF12877"/>
      <c r="EG12877"/>
      <c r="EH12877"/>
      <c r="EI12877"/>
      <c r="EJ12877"/>
      <c r="EK12877"/>
    </row>
    <row r="12878" spans="1:141" s="116" customFormat="1">
      <c r="A12878" s="136"/>
      <c r="CM12878" s="111"/>
      <c r="CQ12878" s="111"/>
      <c r="EF12878"/>
      <c r="EG12878"/>
      <c r="EH12878"/>
      <c r="EI12878"/>
      <c r="EJ12878"/>
      <c r="EK12878"/>
    </row>
    <row r="12879" spans="1:141" s="116" customFormat="1">
      <c r="A12879" s="136"/>
      <c r="CM12879" s="111"/>
      <c r="CQ12879" s="111"/>
      <c r="EF12879"/>
      <c r="EG12879"/>
      <c r="EH12879"/>
      <c r="EI12879"/>
      <c r="EJ12879"/>
      <c r="EK12879"/>
    </row>
    <row r="12880" spans="1:141" s="116" customFormat="1">
      <c r="A12880" s="136"/>
      <c r="CM12880" s="111"/>
      <c r="CQ12880" s="111"/>
      <c r="EF12880"/>
      <c r="EG12880"/>
      <c r="EH12880"/>
      <c r="EI12880"/>
      <c r="EJ12880"/>
      <c r="EK12880"/>
    </row>
    <row r="12881" spans="1:141" s="116" customFormat="1">
      <c r="A12881" s="136"/>
      <c r="CM12881" s="111"/>
      <c r="CQ12881" s="111"/>
      <c r="EF12881"/>
      <c r="EG12881"/>
      <c r="EH12881"/>
      <c r="EI12881"/>
      <c r="EJ12881"/>
      <c r="EK12881"/>
    </row>
    <row r="12882" spans="1:141" s="116" customFormat="1">
      <c r="A12882" s="136"/>
      <c r="CM12882" s="111"/>
      <c r="CQ12882" s="111"/>
      <c r="EF12882"/>
      <c r="EG12882"/>
      <c r="EH12882"/>
      <c r="EI12882"/>
      <c r="EJ12882"/>
      <c r="EK12882"/>
    </row>
    <row r="12883" spans="1:141" s="116" customFormat="1">
      <c r="A12883" s="136"/>
      <c r="CM12883" s="111"/>
      <c r="CQ12883" s="111"/>
      <c r="EF12883"/>
      <c r="EG12883"/>
      <c r="EH12883"/>
      <c r="EI12883"/>
      <c r="EJ12883"/>
      <c r="EK12883"/>
    </row>
    <row r="12884" spans="1:141" s="116" customFormat="1">
      <c r="A12884" s="136"/>
      <c r="CM12884" s="111"/>
      <c r="CQ12884" s="111"/>
      <c r="EF12884"/>
      <c r="EG12884"/>
      <c r="EH12884"/>
      <c r="EI12884"/>
      <c r="EJ12884"/>
      <c r="EK12884"/>
    </row>
    <row r="12885" spans="1:141" s="116" customFormat="1">
      <c r="A12885" s="136"/>
      <c r="CM12885" s="111"/>
      <c r="CQ12885" s="111"/>
      <c r="EF12885"/>
      <c r="EG12885"/>
      <c r="EH12885"/>
      <c r="EI12885"/>
      <c r="EJ12885"/>
      <c r="EK12885"/>
    </row>
    <row r="12886" spans="1:141" s="116" customFormat="1">
      <c r="A12886" s="136"/>
      <c r="CM12886" s="111"/>
      <c r="CQ12886" s="111"/>
      <c r="EF12886"/>
      <c r="EG12886"/>
      <c r="EH12886"/>
      <c r="EI12886"/>
      <c r="EJ12886"/>
      <c r="EK12886"/>
    </row>
    <row r="12887" spans="1:141" s="116" customFormat="1">
      <c r="A12887" s="136"/>
      <c r="CM12887" s="111"/>
      <c r="CQ12887" s="111"/>
      <c r="EF12887"/>
      <c r="EG12887"/>
      <c r="EH12887"/>
      <c r="EI12887"/>
      <c r="EJ12887"/>
      <c r="EK12887"/>
    </row>
    <row r="12888" spans="1:141" s="116" customFormat="1">
      <c r="A12888" s="136"/>
      <c r="CM12888" s="111"/>
      <c r="CQ12888" s="111"/>
      <c r="EF12888"/>
      <c r="EG12888"/>
      <c r="EH12888"/>
      <c r="EI12888"/>
      <c r="EJ12888"/>
      <c r="EK12888"/>
    </row>
    <row r="12889" spans="1:141" s="116" customFormat="1">
      <c r="A12889" s="136"/>
      <c r="CM12889" s="111"/>
      <c r="CQ12889" s="111"/>
      <c r="EF12889"/>
      <c r="EG12889"/>
      <c r="EH12889"/>
      <c r="EI12889"/>
      <c r="EJ12889"/>
      <c r="EK12889"/>
    </row>
    <row r="12890" spans="1:141" s="116" customFormat="1">
      <c r="A12890" s="136"/>
      <c r="CM12890" s="111"/>
      <c r="CQ12890" s="111"/>
      <c r="EF12890"/>
      <c r="EG12890"/>
      <c r="EH12890"/>
      <c r="EI12890"/>
      <c r="EJ12890"/>
      <c r="EK12890"/>
    </row>
    <row r="12891" spans="1:141" s="116" customFormat="1">
      <c r="A12891" s="136"/>
      <c r="CM12891" s="111"/>
      <c r="CQ12891" s="111"/>
      <c r="EF12891"/>
      <c r="EG12891"/>
      <c r="EH12891"/>
      <c r="EI12891"/>
      <c r="EJ12891"/>
      <c r="EK12891"/>
    </row>
    <row r="12892" spans="1:141" s="116" customFormat="1">
      <c r="A12892" s="136"/>
      <c r="CM12892" s="111"/>
      <c r="CQ12892" s="111"/>
      <c r="EF12892"/>
      <c r="EG12892"/>
      <c r="EH12892"/>
      <c r="EI12892"/>
      <c r="EJ12892"/>
      <c r="EK12892"/>
    </row>
    <row r="12893" spans="1:141" s="116" customFormat="1">
      <c r="A12893" s="136"/>
      <c r="CM12893" s="111"/>
      <c r="CQ12893" s="111"/>
      <c r="EF12893"/>
      <c r="EG12893"/>
      <c r="EH12893"/>
      <c r="EI12893"/>
      <c r="EJ12893"/>
      <c r="EK12893"/>
    </row>
    <row r="12894" spans="1:141" s="116" customFormat="1">
      <c r="A12894" s="136"/>
      <c r="CM12894" s="111"/>
      <c r="CQ12894" s="111"/>
      <c r="EF12894"/>
      <c r="EG12894"/>
      <c r="EH12894"/>
      <c r="EI12894"/>
      <c r="EJ12894"/>
      <c r="EK12894"/>
    </row>
    <row r="12895" spans="1:141" s="116" customFormat="1">
      <c r="A12895" s="136"/>
      <c r="CM12895" s="111"/>
      <c r="CQ12895" s="111"/>
      <c r="EF12895"/>
      <c r="EG12895"/>
      <c r="EH12895"/>
      <c r="EI12895"/>
      <c r="EJ12895"/>
      <c r="EK12895"/>
    </row>
    <row r="12896" spans="1:141" s="116" customFormat="1">
      <c r="A12896" s="136"/>
      <c r="CM12896" s="111"/>
      <c r="CQ12896" s="111"/>
      <c r="EF12896"/>
      <c r="EG12896"/>
      <c r="EH12896"/>
      <c r="EI12896"/>
      <c r="EJ12896"/>
      <c r="EK12896"/>
    </row>
    <row r="12897" spans="1:141" s="116" customFormat="1">
      <c r="A12897" s="136"/>
      <c r="CM12897" s="111"/>
      <c r="CQ12897" s="111"/>
      <c r="EF12897"/>
      <c r="EG12897"/>
      <c r="EH12897"/>
      <c r="EI12897"/>
      <c r="EJ12897"/>
      <c r="EK12897"/>
    </row>
    <row r="12898" spans="1:141" s="116" customFormat="1">
      <c r="A12898" s="136"/>
      <c r="CM12898" s="111"/>
      <c r="CQ12898" s="111"/>
      <c r="EF12898"/>
      <c r="EG12898"/>
      <c r="EH12898"/>
      <c r="EI12898"/>
      <c r="EJ12898"/>
      <c r="EK12898"/>
    </row>
    <row r="12899" spans="1:141" s="116" customFormat="1">
      <c r="A12899" s="136"/>
      <c r="CM12899" s="111"/>
      <c r="CQ12899" s="111"/>
      <c r="EF12899"/>
      <c r="EG12899"/>
      <c r="EH12899"/>
      <c r="EI12899"/>
      <c r="EJ12899"/>
      <c r="EK12899"/>
    </row>
    <row r="12900" spans="1:141" s="116" customFormat="1">
      <c r="A12900" s="136"/>
      <c r="CM12900" s="111"/>
      <c r="CQ12900" s="111"/>
      <c r="EF12900"/>
      <c r="EG12900"/>
      <c r="EH12900"/>
      <c r="EI12900"/>
      <c r="EJ12900"/>
      <c r="EK12900"/>
    </row>
    <row r="12901" spans="1:141" s="116" customFormat="1">
      <c r="A12901" s="136"/>
      <c r="CM12901" s="111"/>
      <c r="CQ12901" s="111"/>
      <c r="EF12901"/>
      <c r="EG12901"/>
      <c r="EH12901"/>
      <c r="EI12901"/>
      <c r="EJ12901"/>
      <c r="EK12901"/>
    </row>
    <row r="12902" spans="1:141" s="116" customFormat="1">
      <c r="A12902" s="136"/>
      <c r="CM12902" s="111"/>
      <c r="CQ12902" s="111"/>
      <c r="EF12902"/>
      <c r="EG12902"/>
      <c r="EH12902"/>
      <c r="EI12902"/>
      <c r="EJ12902"/>
      <c r="EK12902"/>
    </row>
    <row r="12903" spans="1:141" s="116" customFormat="1">
      <c r="A12903" s="136"/>
      <c r="CM12903" s="111"/>
      <c r="CQ12903" s="111"/>
      <c r="EF12903"/>
      <c r="EG12903"/>
      <c r="EH12903"/>
      <c r="EI12903"/>
      <c r="EJ12903"/>
      <c r="EK12903"/>
    </row>
    <row r="12904" spans="1:141" s="116" customFormat="1">
      <c r="A12904" s="136"/>
      <c r="CM12904" s="111"/>
      <c r="CQ12904" s="111"/>
      <c r="EF12904"/>
      <c r="EG12904"/>
      <c r="EH12904"/>
      <c r="EI12904"/>
      <c r="EJ12904"/>
      <c r="EK12904"/>
    </row>
    <row r="12905" spans="1:141" s="116" customFormat="1">
      <c r="A12905" s="136"/>
      <c r="CM12905" s="111"/>
      <c r="CQ12905" s="111"/>
      <c r="EF12905"/>
      <c r="EG12905"/>
      <c r="EH12905"/>
      <c r="EI12905"/>
      <c r="EJ12905"/>
      <c r="EK12905"/>
    </row>
    <row r="12906" spans="1:141" s="116" customFormat="1">
      <c r="A12906" s="136"/>
      <c r="CM12906" s="111"/>
      <c r="CQ12906" s="111"/>
      <c r="EF12906"/>
      <c r="EG12906"/>
      <c r="EH12906"/>
      <c r="EI12906"/>
      <c r="EJ12906"/>
      <c r="EK12906"/>
    </row>
    <row r="12907" spans="1:141" s="116" customFormat="1">
      <c r="A12907" s="136"/>
      <c r="CM12907" s="111"/>
      <c r="CQ12907" s="111"/>
      <c r="EF12907"/>
      <c r="EG12907"/>
      <c r="EH12907"/>
      <c r="EI12907"/>
      <c r="EJ12907"/>
      <c r="EK12907"/>
    </row>
    <row r="12908" spans="1:141" s="116" customFormat="1">
      <c r="A12908" s="136"/>
      <c r="CM12908" s="111"/>
      <c r="CQ12908" s="111"/>
      <c r="EF12908"/>
      <c r="EG12908"/>
      <c r="EH12908"/>
      <c r="EI12908"/>
      <c r="EJ12908"/>
      <c r="EK12908"/>
    </row>
    <row r="12909" spans="1:141" s="116" customFormat="1">
      <c r="A12909" s="136"/>
      <c r="CM12909" s="111"/>
      <c r="CQ12909" s="111"/>
      <c r="EF12909"/>
      <c r="EG12909"/>
      <c r="EH12909"/>
      <c r="EI12909"/>
      <c r="EJ12909"/>
      <c r="EK12909"/>
    </row>
    <row r="12910" spans="1:141" s="116" customFormat="1">
      <c r="A12910" s="136"/>
      <c r="CM12910" s="111"/>
      <c r="CQ12910" s="111"/>
      <c r="EF12910"/>
      <c r="EG12910"/>
      <c r="EH12910"/>
      <c r="EI12910"/>
      <c r="EJ12910"/>
      <c r="EK12910"/>
    </row>
    <row r="12911" spans="1:141" s="116" customFormat="1">
      <c r="A12911" s="136"/>
      <c r="CM12911" s="111"/>
      <c r="CQ12911" s="111"/>
      <c r="EF12911"/>
      <c r="EG12911"/>
      <c r="EH12911"/>
      <c r="EI12911"/>
      <c r="EJ12911"/>
      <c r="EK12911"/>
    </row>
    <row r="12912" spans="1:141" s="116" customFormat="1">
      <c r="A12912" s="136"/>
      <c r="CM12912" s="111"/>
      <c r="CQ12912" s="111"/>
      <c r="EF12912"/>
      <c r="EG12912"/>
      <c r="EH12912"/>
      <c r="EI12912"/>
      <c r="EJ12912"/>
      <c r="EK12912"/>
    </row>
    <row r="12913" spans="1:141" s="116" customFormat="1">
      <c r="A12913" s="136"/>
      <c r="CM12913" s="111"/>
      <c r="CQ12913" s="111"/>
      <c r="EF12913"/>
      <c r="EG12913"/>
      <c r="EH12913"/>
      <c r="EI12913"/>
      <c r="EJ12913"/>
      <c r="EK12913"/>
    </row>
    <row r="12914" spans="1:141" s="116" customFormat="1">
      <c r="A12914" s="136"/>
      <c r="CM12914" s="111"/>
      <c r="CQ12914" s="111"/>
      <c r="EF12914"/>
      <c r="EG12914"/>
      <c r="EH12914"/>
      <c r="EI12914"/>
      <c r="EJ12914"/>
      <c r="EK12914"/>
    </row>
    <row r="12915" spans="1:141" s="116" customFormat="1">
      <c r="A12915" s="136"/>
      <c r="CM12915" s="111"/>
      <c r="CQ12915" s="111"/>
      <c r="EF12915"/>
      <c r="EG12915"/>
      <c r="EH12915"/>
      <c r="EI12915"/>
      <c r="EJ12915"/>
      <c r="EK12915"/>
    </row>
    <row r="12916" spans="1:141" s="116" customFormat="1">
      <c r="A12916" s="136"/>
      <c r="CM12916" s="111"/>
      <c r="CQ12916" s="111"/>
      <c r="EF12916"/>
      <c r="EG12916"/>
      <c r="EH12916"/>
      <c r="EI12916"/>
      <c r="EJ12916"/>
      <c r="EK12916"/>
    </row>
    <row r="12917" spans="1:141" s="116" customFormat="1">
      <c r="A12917" s="136"/>
      <c r="CM12917" s="111"/>
      <c r="CQ12917" s="111"/>
      <c r="EF12917"/>
      <c r="EG12917"/>
      <c r="EH12917"/>
      <c r="EI12917"/>
      <c r="EJ12917"/>
      <c r="EK12917"/>
    </row>
    <row r="12918" spans="1:141" s="116" customFormat="1">
      <c r="A12918" s="136"/>
      <c r="CM12918" s="111"/>
      <c r="CQ12918" s="111"/>
      <c r="EF12918"/>
      <c r="EG12918"/>
      <c r="EH12918"/>
      <c r="EI12918"/>
      <c r="EJ12918"/>
      <c r="EK12918"/>
    </row>
    <row r="12919" spans="1:141" s="116" customFormat="1">
      <c r="A12919" s="136"/>
      <c r="CM12919" s="111"/>
      <c r="CQ12919" s="111"/>
      <c r="EF12919"/>
      <c r="EG12919"/>
      <c r="EH12919"/>
      <c r="EI12919"/>
      <c r="EJ12919"/>
      <c r="EK12919"/>
    </row>
    <row r="12920" spans="1:141" s="116" customFormat="1">
      <c r="A12920" s="136"/>
      <c r="CM12920" s="111"/>
      <c r="CQ12920" s="111"/>
      <c r="EF12920"/>
      <c r="EG12920"/>
      <c r="EH12920"/>
      <c r="EI12920"/>
      <c r="EJ12920"/>
      <c r="EK12920"/>
    </row>
    <row r="12921" spans="1:141" s="116" customFormat="1">
      <c r="A12921" s="136"/>
      <c r="CM12921" s="111"/>
      <c r="CQ12921" s="111"/>
      <c r="EF12921"/>
      <c r="EG12921"/>
      <c r="EH12921"/>
      <c r="EI12921"/>
      <c r="EJ12921"/>
      <c r="EK12921"/>
    </row>
    <row r="12922" spans="1:141" s="116" customFormat="1">
      <c r="A12922" s="136"/>
      <c r="CM12922" s="111"/>
      <c r="CQ12922" s="111"/>
      <c r="EF12922"/>
      <c r="EG12922"/>
      <c r="EH12922"/>
      <c r="EI12922"/>
      <c r="EJ12922"/>
      <c r="EK12922"/>
    </row>
    <row r="12923" spans="1:141" s="116" customFormat="1">
      <c r="A12923" s="136"/>
      <c r="CM12923" s="111"/>
      <c r="CQ12923" s="111"/>
      <c r="EF12923"/>
      <c r="EG12923"/>
      <c r="EH12923"/>
      <c r="EI12923"/>
      <c r="EJ12923"/>
      <c r="EK12923"/>
    </row>
    <row r="12924" spans="1:141" s="116" customFormat="1">
      <c r="A12924" s="136"/>
      <c r="CM12924" s="111"/>
      <c r="CQ12924" s="111"/>
      <c r="EF12924"/>
      <c r="EG12924"/>
      <c r="EH12924"/>
      <c r="EI12924"/>
      <c r="EJ12924"/>
      <c r="EK12924"/>
    </row>
    <row r="12925" spans="1:141" s="116" customFormat="1">
      <c r="A12925" s="136"/>
      <c r="CM12925" s="111"/>
      <c r="CQ12925" s="111"/>
      <c r="EF12925"/>
      <c r="EG12925"/>
      <c r="EH12925"/>
      <c r="EI12925"/>
      <c r="EJ12925"/>
      <c r="EK12925"/>
    </row>
    <row r="12926" spans="1:141" s="116" customFormat="1">
      <c r="A12926" s="136"/>
      <c r="CM12926" s="111"/>
      <c r="CQ12926" s="111"/>
      <c r="EF12926"/>
      <c r="EG12926"/>
      <c r="EH12926"/>
      <c r="EI12926"/>
      <c r="EJ12926"/>
      <c r="EK12926"/>
    </row>
    <row r="12927" spans="1:141" s="116" customFormat="1">
      <c r="A12927" s="136"/>
      <c r="CM12927" s="111"/>
      <c r="CQ12927" s="111"/>
      <c r="EF12927"/>
      <c r="EG12927"/>
      <c r="EH12927"/>
      <c r="EI12927"/>
      <c r="EJ12927"/>
      <c r="EK12927"/>
    </row>
    <row r="12928" spans="1:141" s="116" customFormat="1">
      <c r="A12928" s="136"/>
      <c r="CM12928" s="111"/>
      <c r="CQ12928" s="111"/>
      <c r="EF12928"/>
      <c r="EG12928"/>
      <c r="EH12928"/>
      <c r="EI12928"/>
      <c r="EJ12928"/>
      <c r="EK12928"/>
    </row>
    <row r="12929" spans="1:141" s="116" customFormat="1">
      <c r="A12929" s="136"/>
      <c r="CM12929" s="111"/>
      <c r="CQ12929" s="111"/>
      <c r="EF12929"/>
      <c r="EG12929"/>
      <c r="EH12929"/>
      <c r="EI12929"/>
      <c r="EJ12929"/>
      <c r="EK12929"/>
    </row>
    <row r="12930" spans="1:141" s="116" customFormat="1">
      <c r="A12930" s="136"/>
      <c r="CM12930" s="111"/>
      <c r="CQ12930" s="111"/>
      <c r="EF12930"/>
      <c r="EG12930"/>
      <c r="EH12930"/>
      <c r="EI12930"/>
      <c r="EJ12930"/>
      <c r="EK12930"/>
    </row>
    <row r="12931" spans="1:141" s="116" customFormat="1">
      <c r="A12931" s="136"/>
      <c r="CM12931" s="111"/>
      <c r="CQ12931" s="111"/>
      <c r="EF12931"/>
      <c r="EG12931"/>
      <c r="EH12931"/>
      <c r="EI12931"/>
      <c r="EJ12931"/>
      <c r="EK12931"/>
    </row>
    <row r="12932" spans="1:141" s="116" customFormat="1">
      <c r="A12932" s="136"/>
      <c r="CM12932" s="111"/>
      <c r="CQ12932" s="111"/>
      <c r="EF12932"/>
      <c r="EG12932"/>
      <c r="EH12932"/>
      <c r="EI12932"/>
      <c r="EJ12932"/>
      <c r="EK12932"/>
    </row>
    <row r="12933" spans="1:141" s="116" customFormat="1">
      <c r="A12933" s="136"/>
      <c r="CM12933" s="111"/>
      <c r="CQ12933" s="111"/>
      <c r="EF12933"/>
      <c r="EG12933"/>
      <c r="EH12933"/>
      <c r="EI12933"/>
      <c r="EJ12933"/>
      <c r="EK12933"/>
    </row>
    <row r="12934" spans="1:141" s="116" customFormat="1">
      <c r="A12934" s="136"/>
      <c r="CM12934" s="111"/>
      <c r="CQ12934" s="111"/>
      <c r="EF12934"/>
      <c r="EG12934"/>
      <c r="EH12934"/>
      <c r="EI12934"/>
      <c r="EJ12934"/>
      <c r="EK12934"/>
    </row>
    <row r="12935" spans="1:141" s="116" customFormat="1">
      <c r="A12935" s="136"/>
      <c r="CM12935" s="111"/>
      <c r="CQ12935" s="111"/>
      <c r="EF12935"/>
      <c r="EG12935"/>
      <c r="EH12935"/>
      <c r="EI12935"/>
      <c r="EJ12935"/>
      <c r="EK12935"/>
    </row>
    <row r="12936" spans="1:141" s="116" customFormat="1">
      <c r="A12936" s="136"/>
      <c r="CM12936" s="111"/>
      <c r="CQ12936" s="111"/>
      <c r="EF12936"/>
      <c r="EG12936"/>
      <c r="EH12936"/>
      <c r="EI12936"/>
      <c r="EJ12936"/>
      <c r="EK12936"/>
    </row>
    <row r="12937" spans="1:141" s="116" customFormat="1">
      <c r="A12937" s="136"/>
      <c r="CM12937" s="111"/>
      <c r="CQ12937" s="111"/>
      <c r="EF12937"/>
      <c r="EG12937"/>
      <c r="EH12937"/>
      <c r="EI12937"/>
      <c r="EJ12937"/>
      <c r="EK12937"/>
    </row>
    <row r="12938" spans="1:141" s="116" customFormat="1">
      <c r="A12938" s="136"/>
      <c r="CM12938" s="111"/>
      <c r="CQ12938" s="111"/>
      <c r="EF12938"/>
      <c r="EG12938"/>
      <c r="EH12938"/>
      <c r="EI12938"/>
      <c r="EJ12938"/>
      <c r="EK12938"/>
    </row>
    <row r="12939" spans="1:141" s="116" customFormat="1">
      <c r="A12939" s="136"/>
      <c r="CM12939" s="111"/>
      <c r="CQ12939" s="111"/>
      <c r="EF12939"/>
      <c r="EG12939"/>
      <c r="EH12939"/>
      <c r="EI12939"/>
      <c r="EJ12939"/>
      <c r="EK12939"/>
    </row>
    <row r="12940" spans="1:141" s="116" customFormat="1">
      <c r="A12940" s="136"/>
      <c r="CM12940" s="111"/>
      <c r="CQ12940" s="111"/>
      <c r="EF12940"/>
      <c r="EG12940"/>
      <c r="EH12940"/>
      <c r="EI12940"/>
      <c r="EJ12940"/>
      <c r="EK12940"/>
    </row>
    <row r="12941" spans="1:141" s="116" customFormat="1">
      <c r="A12941" s="136"/>
      <c r="CM12941" s="111"/>
      <c r="CQ12941" s="111"/>
      <c r="EF12941"/>
      <c r="EG12941"/>
      <c r="EH12941"/>
      <c r="EI12941"/>
      <c r="EJ12941"/>
      <c r="EK12941"/>
    </row>
    <row r="12942" spans="1:141" s="116" customFormat="1">
      <c r="A12942" s="136"/>
      <c r="CM12942" s="111"/>
      <c r="CQ12942" s="111"/>
      <c r="EF12942"/>
      <c r="EG12942"/>
      <c r="EH12942"/>
      <c r="EI12942"/>
      <c r="EJ12942"/>
      <c r="EK12942"/>
    </row>
    <row r="12943" spans="1:141" s="116" customFormat="1">
      <c r="A12943" s="136"/>
      <c r="CM12943" s="111"/>
      <c r="CQ12943" s="111"/>
      <c r="EF12943"/>
      <c r="EG12943"/>
      <c r="EH12943"/>
      <c r="EI12943"/>
      <c r="EJ12943"/>
      <c r="EK12943"/>
    </row>
    <row r="12944" spans="1:141" s="116" customFormat="1">
      <c r="A12944" s="136"/>
      <c r="CM12944" s="111"/>
      <c r="CQ12944" s="111"/>
      <c r="EF12944"/>
      <c r="EG12944"/>
      <c r="EH12944"/>
      <c r="EI12944"/>
      <c r="EJ12944"/>
      <c r="EK12944"/>
    </row>
    <row r="12945" spans="1:141" s="116" customFormat="1">
      <c r="A12945" s="136"/>
      <c r="CM12945" s="111"/>
      <c r="CQ12945" s="111"/>
      <c r="EF12945"/>
      <c r="EG12945"/>
      <c r="EH12945"/>
      <c r="EI12945"/>
      <c r="EJ12945"/>
      <c r="EK12945"/>
    </row>
    <row r="12946" spans="1:141" s="116" customFormat="1">
      <c r="A12946" s="136"/>
      <c r="CM12946" s="111"/>
      <c r="CQ12946" s="111"/>
      <c r="EF12946"/>
      <c r="EG12946"/>
      <c r="EH12946"/>
      <c r="EI12946"/>
      <c r="EJ12946"/>
      <c r="EK12946"/>
    </row>
    <row r="12947" spans="1:141" s="116" customFormat="1">
      <c r="A12947" s="136"/>
      <c r="CM12947" s="111"/>
      <c r="CQ12947" s="111"/>
      <c r="EF12947"/>
      <c r="EG12947"/>
      <c r="EH12947"/>
      <c r="EI12947"/>
      <c r="EJ12947"/>
      <c r="EK12947"/>
    </row>
    <row r="12948" spans="1:141" s="116" customFormat="1">
      <c r="A12948" s="136"/>
      <c r="CM12948" s="111"/>
      <c r="CQ12948" s="111"/>
      <c r="EF12948"/>
      <c r="EG12948"/>
      <c r="EH12948"/>
      <c r="EI12948"/>
      <c r="EJ12948"/>
      <c r="EK12948"/>
    </row>
    <row r="12949" spans="1:141" s="116" customFormat="1">
      <c r="A12949" s="136"/>
      <c r="CM12949" s="111"/>
      <c r="CQ12949" s="111"/>
      <c r="EF12949"/>
      <c r="EG12949"/>
      <c r="EH12949"/>
      <c r="EI12949"/>
      <c r="EJ12949"/>
      <c r="EK12949"/>
    </row>
    <row r="12950" spans="1:141" s="116" customFormat="1">
      <c r="A12950" s="136"/>
      <c r="CM12950" s="111"/>
      <c r="CQ12950" s="111"/>
      <c r="EF12950"/>
      <c r="EG12950"/>
      <c r="EH12950"/>
      <c r="EI12950"/>
      <c r="EJ12950"/>
      <c r="EK12950"/>
    </row>
    <row r="12951" spans="1:141" s="116" customFormat="1">
      <c r="A12951" s="136"/>
      <c r="CM12951" s="111"/>
      <c r="CQ12951" s="111"/>
      <c r="EF12951"/>
      <c r="EG12951"/>
      <c r="EH12951"/>
      <c r="EI12951"/>
      <c r="EJ12951"/>
      <c r="EK12951"/>
    </row>
    <row r="12952" spans="1:141" s="116" customFormat="1">
      <c r="A12952" s="136"/>
      <c r="CM12952" s="111"/>
      <c r="CQ12952" s="111"/>
      <c r="EF12952"/>
      <c r="EG12952"/>
      <c r="EH12952"/>
      <c r="EI12952"/>
      <c r="EJ12952"/>
      <c r="EK12952"/>
    </row>
    <row r="12953" spans="1:141" s="116" customFormat="1">
      <c r="A12953" s="136"/>
      <c r="CM12953" s="111"/>
      <c r="CQ12953" s="111"/>
      <c r="EF12953"/>
      <c r="EG12953"/>
      <c r="EH12953"/>
      <c r="EI12953"/>
      <c r="EJ12953"/>
      <c r="EK12953"/>
    </row>
    <row r="12954" spans="1:141" s="116" customFormat="1">
      <c r="A12954" s="136"/>
      <c r="CM12954" s="111"/>
      <c r="CQ12954" s="111"/>
      <c r="EF12954"/>
      <c r="EG12954"/>
      <c r="EH12954"/>
      <c r="EI12954"/>
      <c r="EJ12954"/>
      <c r="EK12954"/>
    </row>
    <row r="12955" spans="1:141" s="116" customFormat="1">
      <c r="A12955" s="136"/>
      <c r="CM12955" s="111"/>
      <c r="CQ12955" s="111"/>
      <c r="EF12955"/>
      <c r="EG12955"/>
      <c r="EH12955"/>
      <c r="EI12955"/>
      <c r="EJ12955"/>
      <c r="EK12955"/>
    </row>
    <row r="12956" spans="1:141" s="116" customFormat="1">
      <c r="A12956" s="136"/>
      <c r="CM12956" s="111"/>
      <c r="CQ12956" s="111"/>
      <c r="EF12956"/>
      <c r="EG12956"/>
      <c r="EH12956"/>
      <c r="EI12956"/>
      <c r="EJ12956"/>
      <c r="EK12956"/>
    </row>
    <row r="12957" spans="1:141" s="116" customFormat="1">
      <c r="A12957" s="136"/>
      <c r="CM12957" s="111"/>
      <c r="CQ12957" s="111"/>
      <c r="EF12957"/>
      <c r="EG12957"/>
      <c r="EH12957"/>
      <c r="EI12957"/>
      <c r="EJ12957"/>
      <c r="EK12957"/>
    </row>
    <row r="12958" spans="1:141" s="116" customFormat="1">
      <c r="A12958" s="136"/>
      <c r="CM12958" s="111"/>
      <c r="CQ12958" s="111"/>
      <c r="EF12958"/>
      <c r="EG12958"/>
      <c r="EH12958"/>
      <c r="EI12958"/>
      <c r="EJ12958"/>
      <c r="EK12958"/>
    </row>
    <row r="12959" spans="1:141" s="116" customFormat="1">
      <c r="A12959" s="136"/>
      <c r="CM12959" s="111"/>
      <c r="CQ12959" s="111"/>
      <c r="EF12959"/>
      <c r="EG12959"/>
      <c r="EH12959"/>
      <c r="EI12959"/>
      <c r="EJ12959"/>
      <c r="EK12959"/>
    </row>
    <row r="12960" spans="1:141" s="116" customFormat="1">
      <c r="A12960" s="136"/>
      <c r="CM12960" s="111"/>
      <c r="CQ12960" s="111"/>
      <c r="EF12960"/>
      <c r="EG12960"/>
      <c r="EH12960"/>
      <c r="EI12960"/>
      <c r="EJ12960"/>
      <c r="EK12960"/>
    </row>
    <row r="12961" spans="1:141" s="116" customFormat="1">
      <c r="A12961" s="136"/>
      <c r="CM12961" s="111"/>
      <c r="CQ12961" s="111"/>
      <c r="EF12961"/>
      <c r="EG12961"/>
      <c r="EH12961"/>
      <c r="EI12961"/>
      <c r="EJ12961"/>
      <c r="EK12961"/>
    </row>
    <row r="12962" spans="1:141" s="116" customFormat="1">
      <c r="A12962" s="136"/>
      <c r="CM12962" s="111"/>
      <c r="CQ12962" s="111"/>
      <c r="EF12962"/>
      <c r="EG12962"/>
      <c r="EH12962"/>
      <c r="EI12962"/>
      <c r="EJ12962"/>
      <c r="EK12962"/>
    </row>
    <row r="12963" spans="1:141" s="116" customFormat="1">
      <c r="A12963" s="136"/>
      <c r="CM12963" s="111"/>
      <c r="CQ12963" s="111"/>
      <c r="EF12963"/>
      <c r="EG12963"/>
      <c r="EH12963"/>
      <c r="EI12963"/>
      <c r="EJ12963"/>
      <c r="EK12963"/>
    </row>
    <row r="12964" spans="1:141" s="116" customFormat="1">
      <c r="A12964" s="136"/>
      <c r="CM12964" s="111"/>
      <c r="CQ12964" s="111"/>
      <c r="EF12964"/>
      <c r="EG12964"/>
      <c r="EH12964"/>
      <c r="EI12964"/>
      <c r="EJ12964"/>
      <c r="EK12964"/>
    </row>
    <row r="12965" spans="1:141" s="116" customFormat="1">
      <c r="A12965" s="136"/>
      <c r="CM12965" s="111"/>
      <c r="CQ12965" s="111"/>
      <c r="EF12965"/>
      <c r="EG12965"/>
      <c r="EH12965"/>
      <c r="EI12965"/>
      <c r="EJ12965"/>
      <c r="EK12965"/>
    </row>
    <row r="12966" spans="1:141" s="116" customFormat="1">
      <c r="A12966" s="136"/>
      <c r="CM12966" s="111"/>
      <c r="CQ12966" s="111"/>
      <c r="EF12966"/>
      <c r="EG12966"/>
      <c r="EH12966"/>
      <c r="EI12966"/>
      <c r="EJ12966"/>
      <c r="EK12966"/>
    </row>
    <row r="12967" spans="1:141" s="116" customFormat="1">
      <c r="A12967" s="136"/>
      <c r="CM12967" s="111"/>
      <c r="CQ12967" s="111"/>
      <c r="EF12967"/>
      <c r="EG12967"/>
      <c r="EH12967"/>
      <c r="EI12967"/>
      <c r="EJ12967"/>
      <c r="EK12967"/>
    </row>
    <row r="12968" spans="1:141" s="116" customFormat="1">
      <c r="A12968" s="136"/>
      <c r="CM12968" s="111"/>
      <c r="CQ12968" s="111"/>
      <c r="EF12968"/>
      <c r="EG12968"/>
      <c r="EH12968"/>
      <c r="EI12968"/>
      <c r="EJ12968"/>
      <c r="EK12968"/>
    </row>
    <row r="12969" spans="1:141" s="116" customFormat="1">
      <c r="A12969" s="136"/>
      <c r="CM12969" s="111"/>
      <c r="CQ12969" s="111"/>
      <c r="EF12969"/>
      <c r="EG12969"/>
      <c r="EH12969"/>
      <c r="EI12969"/>
      <c r="EJ12969"/>
      <c r="EK12969"/>
    </row>
    <row r="12970" spans="1:141" s="116" customFormat="1">
      <c r="A12970" s="136"/>
      <c r="CM12970" s="111"/>
      <c r="CQ12970" s="111"/>
      <c r="EF12970"/>
      <c r="EG12970"/>
      <c r="EH12970"/>
      <c r="EI12970"/>
      <c r="EJ12970"/>
      <c r="EK12970"/>
    </row>
    <row r="12971" spans="1:141" s="116" customFormat="1">
      <c r="A12971" s="136"/>
      <c r="CM12971" s="111"/>
      <c r="CQ12971" s="111"/>
      <c r="EF12971"/>
      <c r="EG12971"/>
      <c r="EH12971"/>
      <c r="EI12971"/>
      <c r="EJ12971"/>
      <c r="EK12971"/>
    </row>
    <row r="12972" spans="1:141" s="116" customFormat="1">
      <c r="A12972" s="136"/>
      <c r="CM12972" s="111"/>
      <c r="CQ12972" s="111"/>
      <c r="EF12972"/>
      <c r="EG12972"/>
      <c r="EH12972"/>
      <c r="EI12972"/>
      <c r="EJ12972"/>
      <c r="EK12972"/>
    </row>
    <row r="12973" spans="1:141" s="116" customFormat="1">
      <c r="A12973" s="136"/>
      <c r="CM12973" s="111"/>
      <c r="CQ12973" s="111"/>
      <c r="EF12973"/>
      <c r="EG12973"/>
      <c r="EH12973"/>
      <c r="EI12973"/>
      <c r="EJ12973"/>
      <c r="EK12973"/>
    </row>
    <row r="12974" spans="1:141" s="116" customFormat="1">
      <c r="A12974" s="136"/>
      <c r="CM12974" s="111"/>
      <c r="CQ12974" s="111"/>
      <c r="EF12974"/>
      <c r="EG12974"/>
      <c r="EH12974"/>
      <c r="EI12974"/>
      <c r="EJ12974"/>
      <c r="EK12974"/>
    </row>
    <row r="12975" spans="1:141" s="116" customFormat="1">
      <c r="A12975" s="136"/>
      <c r="CM12975" s="111"/>
      <c r="CQ12975" s="111"/>
      <c r="EF12975"/>
      <c r="EG12975"/>
      <c r="EH12975"/>
      <c r="EI12975"/>
      <c r="EJ12975"/>
      <c r="EK12975"/>
    </row>
    <row r="12976" spans="1:141" s="116" customFormat="1">
      <c r="A12976" s="136"/>
      <c r="CM12976" s="111"/>
      <c r="CQ12976" s="111"/>
      <c r="EF12976"/>
      <c r="EG12976"/>
      <c r="EH12976"/>
      <c r="EI12976"/>
      <c r="EJ12976"/>
      <c r="EK12976"/>
    </row>
    <row r="12977" spans="1:141" s="116" customFormat="1">
      <c r="A12977" s="136"/>
      <c r="CM12977" s="111"/>
      <c r="CQ12977" s="111"/>
      <c r="EF12977"/>
      <c r="EG12977"/>
      <c r="EH12977"/>
      <c r="EI12977"/>
      <c r="EJ12977"/>
      <c r="EK12977"/>
    </row>
    <row r="12978" spans="1:141" s="116" customFormat="1">
      <c r="A12978" s="136"/>
      <c r="CM12978" s="111"/>
      <c r="CQ12978" s="111"/>
      <c r="EF12978"/>
      <c r="EG12978"/>
      <c r="EH12978"/>
      <c r="EI12978"/>
      <c r="EJ12978"/>
      <c r="EK12978"/>
    </row>
    <row r="12979" spans="1:141" s="116" customFormat="1">
      <c r="A12979" s="136"/>
      <c r="CM12979" s="111"/>
      <c r="CQ12979" s="111"/>
      <c r="EF12979"/>
      <c r="EG12979"/>
      <c r="EH12979"/>
      <c r="EI12979"/>
      <c r="EJ12979"/>
      <c r="EK12979"/>
    </row>
    <row r="12980" spans="1:141" s="116" customFormat="1">
      <c r="A12980" s="136"/>
      <c r="CM12980" s="111"/>
      <c r="CQ12980" s="111"/>
      <c r="EF12980"/>
      <c r="EG12980"/>
      <c r="EH12980"/>
      <c r="EI12980"/>
      <c r="EJ12980"/>
      <c r="EK12980"/>
    </row>
    <row r="12981" spans="1:141" s="116" customFormat="1">
      <c r="A12981" s="136"/>
      <c r="CM12981" s="111"/>
      <c r="CQ12981" s="111"/>
      <c r="EF12981"/>
      <c r="EG12981"/>
      <c r="EH12981"/>
      <c r="EI12981"/>
      <c r="EJ12981"/>
      <c r="EK12981"/>
    </row>
    <row r="12982" spans="1:141" s="116" customFormat="1">
      <c r="A12982" s="136"/>
      <c r="CM12982" s="111"/>
      <c r="CQ12982" s="111"/>
      <c r="EF12982"/>
      <c r="EG12982"/>
      <c r="EH12982"/>
      <c r="EI12982"/>
      <c r="EJ12982"/>
      <c r="EK12982"/>
    </row>
    <row r="12983" spans="1:141" s="116" customFormat="1">
      <c r="A12983" s="136"/>
      <c r="CM12983" s="111"/>
      <c r="CQ12983" s="111"/>
      <c r="EF12983"/>
      <c r="EG12983"/>
      <c r="EH12983"/>
      <c r="EI12983"/>
      <c r="EJ12983"/>
      <c r="EK12983"/>
    </row>
    <row r="12984" spans="1:141" s="116" customFormat="1">
      <c r="A12984" s="136"/>
      <c r="CM12984" s="111"/>
      <c r="CQ12984" s="111"/>
      <c r="EF12984"/>
      <c r="EG12984"/>
      <c r="EH12984"/>
      <c r="EI12984"/>
      <c r="EJ12984"/>
      <c r="EK12984"/>
    </row>
    <row r="12985" spans="1:141" s="116" customFormat="1">
      <c r="A12985" s="136"/>
      <c r="CM12985" s="111"/>
      <c r="CQ12985" s="111"/>
      <c r="EF12985"/>
      <c r="EG12985"/>
      <c r="EH12985"/>
      <c r="EI12985"/>
      <c r="EJ12985"/>
      <c r="EK12985"/>
    </row>
    <row r="12986" spans="1:141" s="116" customFormat="1">
      <c r="A12986" s="136"/>
      <c r="CM12986" s="111"/>
      <c r="CQ12986" s="111"/>
      <c r="EF12986"/>
      <c r="EG12986"/>
      <c r="EH12986"/>
      <c r="EI12986"/>
      <c r="EJ12986"/>
      <c r="EK12986"/>
    </row>
    <row r="12987" spans="1:141" s="116" customFormat="1">
      <c r="A12987" s="136"/>
      <c r="CM12987" s="111"/>
      <c r="CQ12987" s="111"/>
      <c r="EF12987"/>
      <c r="EG12987"/>
      <c r="EH12987"/>
      <c r="EI12987"/>
      <c r="EJ12987"/>
      <c r="EK12987"/>
    </row>
    <row r="12988" spans="1:141" s="116" customFormat="1">
      <c r="A12988" s="136"/>
      <c r="CM12988" s="111"/>
      <c r="CQ12988" s="111"/>
      <c r="EF12988"/>
      <c r="EG12988"/>
      <c r="EH12988"/>
      <c r="EI12988"/>
      <c r="EJ12988"/>
      <c r="EK12988"/>
    </row>
    <row r="12989" spans="1:141" s="116" customFormat="1">
      <c r="A12989" s="136"/>
      <c r="CM12989" s="111"/>
      <c r="CQ12989" s="111"/>
      <c r="EF12989"/>
      <c r="EG12989"/>
      <c r="EH12989"/>
      <c r="EI12989"/>
      <c r="EJ12989"/>
      <c r="EK12989"/>
    </row>
    <row r="12990" spans="1:141" s="116" customFormat="1">
      <c r="A12990" s="136"/>
      <c r="CM12990" s="111"/>
      <c r="CQ12990" s="111"/>
      <c r="EF12990"/>
      <c r="EG12990"/>
      <c r="EH12990"/>
      <c r="EI12990"/>
      <c r="EJ12990"/>
      <c r="EK12990"/>
    </row>
    <row r="12991" spans="1:141" s="116" customFormat="1">
      <c r="A12991" s="136"/>
      <c r="CM12991" s="111"/>
      <c r="CQ12991" s="111"/>
      <c r="EF12991"/>
      <c r="EG12991"/>
      <c r="EH12991"/>
      <c r="EI12991"/>
      <c r="EJ12991"/>
      <c r="EK12991"/>
    </row>
    <row r="12992" spans="1:141" s="116" customFormat="1">
      <c r="A12992" s="136"/>
      <c r="CM12992" s="111"/>
      <c r="CQ12992" s="111"/>
      <c r="EF12992"/>
      <c r="EG12992"/>
      <c r="EH12992"/>
      <c r="EI12992"/>
      <c r="EJ12992"/>
      <c r="EK12992"/>
    </row>
    <row r="12993" spans="1:141" s="116" customFormat="1">
      <c r="A12993" s="136"/>
      <c r="CM12993" s="111"/>
      <c r="CQ12993" s="111"/>
      <c r="EF12993"/>
      <c r="EG12993"/>
      <c r="EH12993"/>
      <c r="EI12993"/>
      <c r="EJ12993"/>
      <c r="EK12993"/>
    </row>
    <row r="12994" spans="1:141" s="116" customFormat="1">
      <c r="A12994" s="136"/>
      <c r="CM12994" s="111"/>
      <c r="CQ12994" s="111"/>
      <c r="EF12994"/>
      <c r="EG12994"/>
      <c r="EH12994"/>
      <c r="EI12994"/>
      <c r="EJ12994"/>
      <c r="EK12994"/>
    </row>
    <row r="12995" spans="1:141" s="116" customFormat="1">
      <c r="A12995" s="136"/>
      <c r="CM12995" s="111"/>
      <c r="CQ12995" s="111"/>
      <c r="EF12995"/>
      <c r="EG12995"/>
      <c r="EH12995"/>
      <c r="EI12995"/>
      <c r="EJ12995"/>
      <c r="EK12995"/>
    </row>
    <row r="12996" spans="1:141" s="116" customFormat="1">
      <c r="A12996" s="136"/>
      <c r="CM12996" s="111"/>
      <c r="CQ12996" s="111"/>
      <c r="EF12996"/>
      <c r="EG12996"/>
      <c r="EH12996"/>
      <c r="EI12996"/>
      <c r="EJ12996"/>
      <c r="EK12996"/>
    </row>
    <row r="12997" spans="1:141" s="116" customFormat="1">
      <c r="A12997" s="136"/>
      <c r="CM12997" s="111"/>
      <c r="CQ12997" s="111"/>
      <c r="EF12997"/>
      <c r="EG12997"/>
      <c r="EH12997"/>
      <c r="EI12997"/>
      <c r="EJ12997"/>
      <c r="EK12997"/>
    </row>
    <row r="12998" spans="1:141" s="116" customFormat="1">
      <c r="A12998" s="136"/>
      <c r="CM12998" s="111"/>
      <c r="CQ12998" s="111"/>
      <c r="EF12998"/>
      <c r="EG12998"/>
      <c r="EH12998"/>
      <c r="EI12998"/>
      <c r="EJ12998"/>
      <c r="EK12998"/>
    </row>
    <row r="12999" spans="1:141" s="116" customFormat="1">
      <c r="A12999" s="136"/>
      <c r="CM12999" s="111"/>
      <c r="CQ12999" s="111"/>
      <c r="EF12999"/>
      <c r="EG12999"/>
      <c r="EH12999"/>
      <c r="EI12999"/>
      <c r="EJ12999"/>
      <c r="EK12999"/>
    </row>
    <row r="13000" spans="1:141" s="116" customFormat="1">
      <c r="A13000" s="136"/>
      <c r="CM13000" s="111"/>
      <c r="CQ13000" s="111"/>
      <c r="EF13000"/>
      <c r="EG13000"/>
      <c r="EH13000"/>
      <c r="EI13000"/>
      <c r="EJ13000"/>
      <c r="EK13000"/>
    </row>
    <row r="13001" spans="1:141" s="116" customFormat="1">
      <c r="A13001" s="136"/>
      <c r="CM13001" s="111"/>
      <c r="CQ13001" s="111"/>
      <c r="EF13001"/>
      <c r="EG13001"/>
      <c r="EH13001"/>
      <c r="EI13001"/>
      <c r="EJ13001"/>
      <c r="EK13001"/>
    </row>
    <row r="13002" spans="1:141" s="116" customFormat="1">
      <c r="A13002" s="136"/>
      <c r="CM13002" s="111"/>
      <c r="CQ13002" s="111"/>
      <c r="EF13002"/>
      <c r="EG13002"/>
      <c r="EH13002"/>
      <c r="EI13002"/>
      <c r="EJ13002"/>
      <c r="EK13002"/>
    </row>
    <row r="13003" spans="1:141" s="116" customFormat="1">
      <c r="A13003" s="136"/>
      <c r="CM13003" s="111"/>
      <c r="CQ13003" s="111"/>
      <c r="EF13003"/>
      <c r="EG13003"/>
      <c r="EH13003"/>
      <c r="EI13003"/>
      <c r="EJ13003"/>
      <c r="EK13003"/>
    </row>
    <row r="13004" spans="1:141" s="116" customFormat="1">
      <c r="A13004" s="136"/>
      <c r="CM13004" s="111"/>
      <c r="CQ13004" s="111"/>
      <c r="EF13004"/>
      <c r="EG13004"/>
      <c r="EH13004"/>
      <c r="EI13004"/>
      <c r="EJ13004"/>
      <c r="EK13004"/>
    </row>
    <row r="13005" spans="1:141" s="116" customFormat="1">
      <c r="A13005" s="136"/>
      <c r="CM13005" s="111"/>
      <c r="CQ13005" s="111"/>
      <c r="EF13005"/>
      <c r="EG13005"/>
      <c r="EH13005"/>
      <c r="EI13005"/>
      <c r="EJ13005"/>
      <c r="EK13005"/>
    </row>
    <row r="13006" spans="1:141" s="116" customFormat="1">
      <c r="A13006" s="136"/>
      <c r="CM13006" s="111"/>
      <c r="CQ13006" s="111"/>
      <c r="EF13006"/>
      <c r="EG13006"/>
      <c r="EH13006"/>
      <c r="EI13006"/>
      <c r="EJ13006"/>
      <c r="EK13006"/>
    </row>
    <row r="13007" spans="1:141" s="116" customFormat="1">
      <c r="A13007" s="136"/>
      <c r="CM13007" s="111"/>
      <c r="CQ13007" s="111"/>
      <c r="EF13007"/>
      <c r="EG13007"/>
      <c r="EH13007"/>
      <c r="EI13007"/>
      <c r="EJ13007"/>
      <c r="EK13007"/>
    </row>
    <row r="13008" spans="1:141" s="116" customFormat="1">
      <c r="A13008" s="136"/>
      <c r="CM13008" s="111"/>
      <c r="CQ13008" s="111"/>
      <c r="EF13008"/>
      <c r="EG13008"/>
      <c r="EH13008"/>
      <c r="EI13008"/>
      <c r="EJ13008"/>
      <c r="EK13008"/>
    </row>
    <row r="13009" spans="1:141" s="116" customFormat="1">
      <c r="A13009" s="136"/>
      <c r="CM13009" s="111"/>
      <c r="CQ13009" s="111"/>
      <c r="EF13009"/>
      <c r="EG13009"/>
      <c r="EH13009"/>
      <c r="EI13009"/>
      <c r="EJ13009"/>
      <c r="EK13009"/>
    </row>
    <row r="13010" spans="1:141" s="116" customFormat="1">
      <c r="A13010" s="136"/>
      <c r="CM13010" s="111"/>
      <c r="CQ13010" s="111"/>
      <c r="EF13010"/>
      <c r="EG13010"/>
      <c r="EH13010"/>
      <c r="EI13010"/>
      <c r="EJ13010"/>
      <c r="EK13010"/>
    </row>
    <row r="13011" spans="1:141" s="116" customFormat="1">
      <c r="A13011" s="136"/>
      <c r="CM13011" s="111"/>
      <c r="CQ13011" s="111"/>
      <c r="EF13011"/>
      <c r="EG13011"/>
      <c r="EH13011"/>
      <c r="EI13011"/>
      <c r="EJ13011"/>
      <c r="EK13011"/>
    </row>
    <row r="13012" spans="1:141" s="116" customFormat="1">
      <c r="A13012" s="136"/>
      <c r="CM13012" s="111"/>
      <c r="CQ13012" s="111"/>
      <c r="EF13012"/>
      <c r="EG13012"/>
      <c r="EH13012"/>
      <c r="EI13012"/>
      <c r="EJ13012"/>
      <c r="EK13012"/>
    </row>
    <row r="13013" spans="1:141" s="116" customFormat="1">
      <c r="A13013" s="136"/>
      <c r="CM13013" s="111"/>
      <c r="CQ13013" s="111"/>
      <c r="EF13013"/>
      <c r="EG13013"/>
      <c r="EH13013"/>
      <c r="EI13013"/>
      <c r="EJ13013"/>
      <c r="EK13013"/>
    </row>
    <row r="13014" spans="1:141" s="116" customFormat="1">
      <c r="A13014" s="136"/>
      <c r="CM13014" s="111"/>
      <c r="CQ13014" s="111"/>
      <c r="EF13014"/>
      <c r="EG13014"/>
      <c r="EH13014"/>
      <c r="EI13014"/>
      <c r="EJ13014"/>
      <c r="EK13014"/>
    </row>
    <row r="13015" spans="1:141" s="116" customFormat="1">
      <c r="A13015" s="136"/>
      <c r="CM13015" s="111"/>
      <c r="CQ13015" s="111"/>
      <c r="EF13015"/>
      <c r="EG13015"/>
      <c r="EH13015"/>
      <c r="EI13015"/>
      <c r="EJ13015"/>
      <c r="EK13015"/>
    </row>
    <row r="13016" spans="1:141" s="116" customFormat="1">
      <c r="A13016" s="136"/>
      <c r="CM13016" s="111"/>
      <c r="CQ13016" s="111"/>
      <c r="EF13016"/>
      <c r="EG13016"/>
      <c r="EH13016"/>
      <c r="EI13016"/>
      <c r="EJ13016"/>
      <c r="EK13016"/>
    </row>
    <row r="13017" spans="1:141" s="116" customFormat="1">
      <c r="A13017" s="136"/>
      <c r="CM13017" s="111"/>
      <c r="CQ13017" s="111"/>
      <c r="EF13017"/>
      <c r="EG13017"/>
      <c r="EH13017"/>
      <c r="EI13017"/>
      <c r="EJ13017"/>
      <c r="EK13017"/>
    </row>
    <row r="13018" spans="1:141" s="116" customFormat="1">
      <c r="A13018" s="136"/>
      <c r="CM13018" s="111"/>
      <c r="CQ13018" s="111"/>
      <c r="EF13018"/>
      <c r="EG13018"/>
      <c r="EH13018"/>
      <c r="EI13018"/>
      <c r="EJ13018"/>
      <c r="EK13018"/>
    </row>
    <row r="13019" spans="1:141" s="116" customFormat="1">
      <c r="A13019" s="136"/>
      <c r="CM13019" s="111"/>
      <c r="CQ13019" s="111"/>
      <c r="EF13019"/>
      <c r="EG13019"/>
      <c r="EH13019"/>
      <c r="EI13019"/>
      <c r="EJ13019"/>
      <c r="EK13019"/>
    </row>
    <row r="13020" spans="1:141" s="116" customFormat="1">
      <c r="A13020" s="136"/>
      <c r="CM13020" s="111"/>
      <c r="CQ13020" s="111"/>
      <c r="EF13020"/>
      <c r="EG13020"/>
      <c r="EH13020"/>
      <c r="EI13020"/>
      <c r="EJ13020"/>
      <c r="EK13020"/>
    </row>
    <row r="13021" spans="1:141" s="116" customFormat="1">
      <c r="A13021" s="136"/>
      <c r="CM13021" s="111"/>
      <c r="CQ13021" s="111"/>
      <c r="EF13021"/>
      <c r="EG13021"/>
      <c r="EH13021"/>
      <c r="EI13021"/>
      <c r="EJ13021"/>
      <c r="EK13021"/>
    </row>
    <row r="13022" spans="1:141" s="116" customFormat="1">
      <c r="A13022" s="136"/>
      <c r="CM13022" s="111"/>
      <c r="CQ13022" s="111"/>
      <c r="EF13022"/>
      <c r="EG13022"/>
      <c r="EH13022"/>
      <c r="EI13022"/>
      <c r="EJ13022"/>
      <c r="EK13022"/>
    </row>
    <row r="13023" spans="1:141" s="116" customFormat="1">
      <c r="A13023" s="136"/>
      <c r="CM13023" s="111"/>
      <c r="CQ13023" s="111"/>
      <c r="EF13023"/>
      <c r="EG13023"/>
      <c r="EH13023"/>
      <c r="EI13023"/>
      <c r="EJ13023"/>
      <c r="EK13023"/>
    </row>
    <row r="13024" spans="1:141" s="116" customFormat="1">
      <c r="A13024" s="136"/>
      <c r="CM13024" s="111"/>
      <c r="CQ13024" s="111"/>
      <c r="EF13024"/>
      <c r="EG13024"/>
      <c r="EH13024"/>
      <c r="EI13024"/>
      <c r="EJ13024"/>
      <c r="EK13024"/>
    </row>
    <row r="13025" spans="1:141" s="116" customFormat="1">
      <c r="A13025" s="136"/>
      <c r="CM13025" s="111"/>
      <c r="CQ13025" s="111"/>
      <c r="EF13025"/>
      <c r="EG13025"/>
      <c r="EH13025"/>
      <c r="EI13025"/>
      <c r="EJ13025"/>
      <c r="EK13025"/>
    </row>
    <row r="13026" spans="1:141" s="116" customFormat="1">
      <c r="A13026" s="136"/>
      <c r="CM13026" s="111"/>
      <c r="CQ13026" s="111"/>
      <c r="EF13026"/>
      <c r="EG13026"/>
      <c r="EH13026"/>
      <c r="EI13026"/>
      <c r="EJ13026"/>
      <c r="EK13026"/>
    </row>
    <row r="13027" spans="1:141" s="116" customFormat="1">
      <c r="A13027" s="136"/>
      <c r="CM13027" s="111"/>
      <c r="CQ13027" s="111"/>
      <c r="EF13027"/>
      <c r="EG13027"/>
      <c r="EH13027"/>
      <c r="EI13027"/>
      <c r="EJ13027"/>
      <c r="EK13027"/>
    </row>
    <row r="13028" spans="1:141" s="116" customFormat="1">
      <c r="A13028" s="136"/>
      <c r="CM13028" s="111"/>
      <c r="CQ13028" s="111"/>
      <c r="EF13028"/>
      <c r="EG13028"/>
      <c r="EH13028"/>
      <c r="EI13028"/>
      <c r="EJ13028"/>
      <c r="EK13028"/>
    </row>
    <row r="13029" spans="1:141" s="116" customFormat="1">
      <c r="A13029" s="136"/>
      <c r="CM13029" s="111"/>
      <c r="CQ13029" s="111"/>
      <c r="EF13029"/>
      <c r="EG13029"/>
      <c r="EH13029"/>
      <c r="EI13029"/>
      <c r="EJ13029"/>
      <c r="EK13029"/>
    </row>
    <row r="13030" spans="1:141" s="116" customFormat="1">
      <c r="A13030" s="136"/>
      <c r="CM13030" s="111"/>
      <c r="CQ13030" s="111"/>
      <c r="EF13030"/>
      <c r="EG13030"/>
      <c r="EH13030"/>
      <c r="EI13030"/>
      <c r="EJ13030"/>
      <c r="EK13030"/>
    </row>
    <row r="13031" spans="1:141" s="116" customFormat="1">
      <c r="A13031" s="136"/>
      <c r="CM13031" s="111"/>
      <c r="CQ13031" s="111"/>
      <c r="EF13031"/>
      <c r="EG13031"/>
      <c r="EH13031"/>
      <c r="EI13031"/>
      <c r="EJ13031"/>
      <c r="EK13031"/>
    </row>
    <row r="13032" spans="1:141" s="116" customFormat="1">
      <c r="A13032" s="136"/>
      <c r="CM13032" s="111"/>
      <c r="CQ13032" s="111"/>
      <c r="EF13032"/>
      <c r="EG13032"/>
      <c r="EH13032"/>
      <c r="EI13032"/>
      <c r="EJ13032"/>
      <c r="EK13032"/>
    </row>
    <row r="13033" spans="1:141" s="116" customFormat="1">
      <c r="A13033" s="136"/>
      <c r="CM13033" s="111"/>
      <c r="CQ13033" s="111"/>
      <c r="EF13033"/>
      <c r="EG13033"/>
      <c r="EH13033"/>
      <c r="EI13033"/>
      <c r="EJ13033"/>
      <c r="EK13033"/>
    </row>
    <row r="13034" spans="1:141" s="116" customFormat="1">
      <c r="A13034" s="136"/>
      <c r="CM13034" s="111"/>
      <c r="CQ13034" s="111"/>
      <c r="EF13034"/>
      <c r="EG13034"/>
      <c r="EH13034"/>
      <c r="EI13034"/>
      <c r="EJ13034"/>
      <c r="EK13034"/>
    </row>
    <row r="13035" spans="1:141" s="116" customFormat="1">
      <c r="A13035" s="136"/>
      <c r="CM13035" s="111"/>
      <c r="CQ13035" s="111"/>
      <c r="EF13035"/>
      <c r="EG13035"/>
      <c r="EH13035"/>
      <c r="EI13035"/>
      <c r="EJ13035"/>
      <c r="EK13035"/>
    </row>
    <row r="13036" spans="1:141" s="116" customFormat="1">
      <c r="A13036" s="136"/>
      <c r="CM13036" s="111"/>
      <c r="CQ13036" s="111"/>
      <c r="EF13036"/>
      <c r="EG13036"/>
      <c r="EH13036"/>
      <c r="EI13036"/>
      <c r="EJ13036"/>
      <c r="EK13036"/>
    </row>
    <row r="13037" spans="1:141" s="116" customFormat="1">
      <c r="A13037" s="136"/>
      <c r="CM13037" s="111"/>
      <c r="CQ13037" s="111"/>
      <c r="EF13037"/>
      <c r="EG13037"/>
      <c r="EH13037"/>
      <c r="EI13037"/>
      <c r="EJ13037"/>
      <c r="EK13037"/>
    </row>
    <row r="13038" spans="1:141" s="116" customFormat="1">
      <c r="A13038" s="136"/>
      <c r="CM13038" s="111"/>
      <c r="CQ13038" s="111"/>
      <c r="EF13038"/>
      <c r="EG13038"/>
      <c r="EH13038"/>
      <c r="EI13038"/>
      <c r="EJ13038"/>
      <c r="EK13038"/>
    </row>
    <row r="13039" spans="1:141" s="116" customFormat="1">
      <c r="A13039" s="136"/>
      <c r="CM13039" s="111"/>
      <c r="CQ13039" s="111"/>
      <c r="EF13039"/>
      <c r="EG13039"/>
      <c r="EH13039"/>
      <c r="EI13039"/>
      <c r="EJ13039"/>
      <c r="EK13039"/>
    </row>
    <row r="13040" spans="1:141" s="116" customFormat="1">
      <c r="A13040" s="136"/>
      <c r="CM13040" s="111"/>
      <c r="CQ13040" s="111"/>
      <c r="EF13040"/>
      <c r="EG13040"/>
      <c r="EH13040"/>
      <c r="EI13040"/>
      <c r="EJ13040"/>
      <c r="EK13040"/>
    </row>
    <row r="13041" spans="1:141" s="116" customFormat="1">
      <c r="A13041" s="136"/>
      <c r="CM13041" s="111"/>
      <c r="CQ13041" s="111"/>
      <c r="EF13041"/>
      <c r="EG13041"/>
      <c r="EH13041"/>
      <c r="EI13041"/>
      <c r="EJ13041"/>
      <c r="EK13041"/>
    </row>
    <row r="13042" spans="1:141" s="116" customFormat="1">
      <c r="A13042" s="136"/>
      <c r="CM13042" s="111"/>
      <c r="CQ13042" s="111"/>
      <c r="EF13042"/>
      <c r="EG13042"/>
      <c r="EH13042"/>
      <c r="EI13042"/>
      <c r="EJ13042"/>
      <c r="EK13042"/>
    </row>
    <row r="13043" spans="1:141" s="116" customFormat="1">
      <c r="A13043" s="136"/>
      <c r="CM13043" s="111"/>
      <c r="CQ13043" s="111"/>
      <c r="EF13043"/>
      <c r="EG13043"/>
      <c r="EH13043"/>
      <c r="EI13043"/>
      <c r="EJ13043"/>
      <c r="EK13043"/>
    </row>
    <row r="13044" spans="1:141" s="116" customFormat="1">
      <c r="A13044" s="136"/>
      <c r="CM13044" s="111"/>
      <c r="CQ13044" s="111"/>
      <c r="EF13044"/>
      <c r="EG13044"/>
      <c r="EH13044"/>
      <c r="EI13044"/>
      <c r="EJ13044"/>
      <c r="EK13044"/>
    </row>
    <row r="13045" spans="1:141" s="116" customFormat="1">
      <c r="A13045" s="136"/>
      <c r="CM13045" s="111"/>
      <c r="CQ13045" s="111"/>
      <c r="EF13045"/>
      <c r="EG13045"/>
      <c r="EH13045"/>
      <c r="EI13045"/>
      <c r="EJ13045"/>
      <c r="EK13045"/>
    </row>
    <row r="13046" spans="1:141" s="116" customFormat="1">
      <c r="A13046" s="136"/>
      <c r="CM13046" s="111"/>
      <c r="CQ13046" s="111"/>
      <c r="EF13046"/>
      <c r="EG13046"/>
      <c r="EH13046"/>
      <c r="EI13046"/>
      <c r="EJ13046"/>
      <c r="EK13046"/>
    </row>
    <row r="13047" spans="1:141" s="116" customFormat="1">
      <c r="A13047" s="136"/>
      <c r="CM13047" s="111"/>
      <c r="CQ13047" s="111"/>
      <c r="EF13047"/>
      <c r="EG13047"/>
      <c r="EH13047"/>
      <c r="EI13047"/>
      <c r="EJ13047"/>
      <c r="EK13047"/>
    </row>
    <row r="13048" spans="1:141" s="116" customFormat="1">
      <c r="A13048" s="136"/>
      <c r="CM13048" s="111"/>
      <c r="CQ13048" s="111"/>
      <c r="EF13048"/>
      <c r="EG13048"/>
      <c r="EH13048"/>
      <c r="EI13048"/>
      <c r="EJ13048"/>
      <c r="EK13048"/>
    </row>
    <row r="13049" spans="1:141" s="116" customFormat="1">
      <c r="A13049" s="136"/>
      <c r="CM13049" s="111"/>
      <c r="CQ13049" s="111"/>
      <c r="EF13049"/>
      <c r="EG13049"/>
      <c r="EH13049"/>
      <c r="EI13049"/>
      <c r="EJ13049"/>
      <c r="EK13049"/>
    </row>
    <row r="13050" spans="1:141" s="116" customFormat="1">
      <c r="A13050" s="136"/>
      <c r="CM13050" s="111"/>
      <c r="CQ13050" s="111"/>
      <c r="EF13050"/>
      <c r="EG13050"/>
      <c r="EH13050"/>
      <c r="EI13050"/>
      <c r="EJ13050"/>
      <c r="EK13050"/>
    </row>
    <row r="13051" spans="1:141" s="116" customFormat="1">
      <c r="A13051" s="136"/>
      <c r="CM13051" s="111"/>
      <c r="CQ13051" s="111"/>
      <c r="EF13051"/>
      <c r="EG13051"/>
      <c r="EH13051"/>
      <c r="EI13051"/>
      <c r="EJ13051"/>
      <c r="EK13051"/>
    </row>
    <row r="13052" spans="1:141" s="116" customFormat="1">
      <c r="A13052" s="136"/>
      <c r="CM13052" s="111"/>
      <c r="CQ13052" s="111"/>
      <c r="EF13052"/>
      <c r="EG13052"/>
      <c r="EH13052"/>
      <c r="EI13052"/>
      <c r="EJ13052"/>
      <c r="EK13052"/>
    </row>
    <row r="13053" spans="1:141" s="116" customFormat="1">
      <c r="A13053" s="136"/>
      <c r="CM13053" s="111"/>
      <c r="CQ13053" s="111"/>
      <c r="EF13053"/>
      <c r="EG13053"/>
      <c r="EH13053"/>
      <c r="EI13053"/>
      <c r="EJ13053"/>
      <c r="EK13053"/>
    </row>
    <row r="13054" spans="1:141" s="116" customFormat="1">
      <c r="A13054" s="136"/>
      <c r="CM13054" s="111"/>
      <c r="CQ13054" s="111"/>
      <c r="EF13054"/>
      <c r="EG13054"/>
      <c r="EH13054"/>
      <c r="EI13054"/>
      <c r="EJ13054"/>
      <c r="EK13054"/>
    </row>
    <row r="13055" spans="1:141" s="116" customFormat="1">
      <c r="A13055" s="136"/>
      <c r="CM13055" s="111"/>
      <c r="CQ13055" s="111"/>
      <c r="EF13055"/>
      <c r="EG13055"/>
      <c r="EH13055"/>
      <c r="EI13055"/>
      <c r="EJ13055"/>
      <c r="EK13055"/>
    </row>
    <row r="13056" spans="1:141" s="116" customFormat="1">
      <c r="A13056" s="136"/>
      <c r="CM13056" s="111"/>
      <c r="CQ13056" s="111"/>
      <c r="EF13056"/>
      <c r="EG13056"/>
      <c r="EH13056"/>
      <c r="EI13056"/>
      <c r="EJ13056"/>
      <c r="EK13056"/>
    </row>
    <row r="13057" spans="1:141" s="116" customFormat="1">
      <c r="A13057" s="136"/>
      <c r="CM13057" s="111"/>
      <c r="CQ13057" s="111"/>
      <c r="EF13057"/>
      <c r="EG13057"/>
      <c r="EH13057"/>
      <c r="EI13057"/>
      <c r="EJ13057"/>
      <c r="EK13057"/>
    </row>
    <row r="13058" spans="1:141" s="116" customFormat="1">
      <c r="A13058" s="136"/>
      <c r="CM13058" s="111"/>
      <c r="CQ13058" s="111"/>
      <c r="EF13058"/>
      <c r="EG13058"/>
      <c r="EH13058"/>
      <c r="EI13058"/>
      <c r="EJ13058"/>
      <c r="EK13058"/>
    </row>
    <row r="13059" spans="1:141" s="116" customFormat="1">
      <c r="A13059" s="136"/>
      <c r="CM13059" s="111"/>
      <c r="CQ13059" s="111"/>
      <c r="EF13059"/>
      <c r="EG13059"/>
      <c r="EH13059"/>
      <c r="EI13059"/>
      <c r="EJ13059"/>
      <c r="EK13059"/>
    </row>
    <row r="13060" spans="1:141" s="116" customFormat="1">
      <c r="A13060" s="136"/>
      <c r="CM13060" s="111"/>
      <c r="CQ13060" s="111"/>
      <c r="EF13060"/>
      <c r="EG13060"/>
      <c r="EH13060"/>
      <c r="EI13060"/>
      <c r="EJ13060"/>
      <c r="EK13060"/>
    </row>
    <row r="13061" spans="1:141" s="116" customFormat="1">
      <c r="A13061" s="136"/>
      <c r="CM13061" s="111"/>
      <c r="CQ13061" s="111"/>
      <c r="EF13061"/>
      <c r="EG13061"/>
      <c r="EH13061"/>
      <c r="EI13061"/>
      <c r="EJ13061"/>
      <c r="EK13061"/>
    </row>
    <row r="13062" spans="1:141" s="116" customFormat="1">
      <c r="A13062" s="136"/>
      <c r="CM13062" s="111"/>
      <c r="CQ13062" s="111"/>
      <c r="EF13062"/>
      <c r="EG13062"/>
      <c r="EH13062"/>
      <c r="EI13062"/>
      <c r="EJ13062"/>
      <c r="EK13062"/>
    </row>
    <row r="13063" spans="1:141" s="116" customFormat="1">
      <c r="A13063" s="136"/>
      <c r="CM13063" s="111"/>
      <c r="CQ13063" s="111"/>
      <c r="EF13063"/>
      <c r="EG13063"/>
      <c r="EH13063"/>
      <c r="EI13063"/>
      <c r="EJ13063"/>
      <c r="EK13063"/>
    </row>
    <row r="13064" spans="1:141" s="116" customFormat="1">
      <c r="A13064" s="136"/>
      <c r="CM13064" s="111"/>
      <c r="CQ13064" s="111"/>
      <c r="EF13064"/>
      <c r="EG13064"/>
      <c r="EH13064"/>
      <c r="EI13064"/>
      <c r="EJ13064"/>
      <c r="EK13064"/>
    </row>
    <row r="13065" spans="1:141" s="116" customFormat="1">
      <c r="A13065" s="136"/>
      <c r="CM13065" s="111"/>
      <c r="CQ13065" s="111"/>
      <c r="EF13065"/>
      <c r="EG13065"/>
      <c r="EH13065"/>
      <c r="EI13065"/>
      <c r="EJ13065"/>
      <c r="EK13065"/>
    </row>
    <row r="13066" spans="1:141" s="116" customFormat="1">
      <c r="A13066" s="136"/>
      <c r="CM13066" s="111"/>
      <c r="CQ13066" s="111"/>
      <c r="EF13066"/>
      <c r="EG13066"/>
      <c r="EH13066"/>
      <c r="EI13066"/>
      <c r="EJ13066"/>
      <c r="EK13066"/>
    </row>
    <row r="13067" spans="1:141" s="116" customFormat="1">
      <c r="A13067" s="136"/>
      <c r="CM13067" s="111"/>
      <c r="CQ13067" s="111"/>
      <c r="EF13067"/>
      <c r="EG13067"/>
      <c r="EH13067"/>
      <c r="EI13067"/>
      <c r="EJ13067"/>
      <c r="EK13067"/>
    </row>
    <row r="13068" spans="1:141" s="116" customFormat="1">
      <c r="A13068" s="136"/>
      <c r="CM13068" s="111"/>
      <c r="CQ13068" s="111"/>
      <c r="EF13068"/>
      <c r="EG13068"/>
      <c r="EH13068"/>
      <c r="EI13068"/>
      <c r="EJ13068"/>
      <c r="EK13068"/>
    </row>
    <row r="13069" spans="1:141" s="116" customFormat="1">
      <c r="A13069" s="136"/>
      <c r="CM13069" s="111"/>
      <c r="CQ13069" s="111"/>
      <c r="EF13069"/>
      <c r="EG13069"/>
      <c r="EH13069"/>
      <c r="EI13069"/>
      <c r="EJ13069"/>
      <c r="EK13069"/>
    </row>
    <row r="13070" spans="1:141" s="116" customFormat="1">
      <c r="A13070" s="136"/>
      <c r="CM13070" s="111"/>
      <c r="CQ13070" s="111"/>
      <c r="EF13070"/>
      <c r="EG13070"/>
      <c r="EH13070"/>
      <c r="EI13070"/>
      <c r="EJ13070"/>
      <c r="EK13070"/>
    </row>
    <row r="13071" spans="1:141" s="116" customFormat="1">
      <c r="A13071" s="136"/>
      <c r="CM13071" s="111"/>
      <c r="CQ13071" s="111"/>
      <c r="EF13071"/>
      <c r="EG13071"/>
      <c r="EH13071"/>
      <c r="EI13071"/>
      <c r="EJ13071"/>
      <c r="EK13071"/>
    </row>
    <row r="13072" spans="1:141" s="116" customFormat="1">
      <c r="A13072" s="136"/>
      <c r="CM13072" s="111"/>
      <c r="CQ13072" s="111"/>
      <c r="EF13072"/>
      <c r="EG13072"/>
      <c r="EH13072"/>
      <c r="EI13072"/>
      <c r="EJ13072"/>
      <c r="EK13072"/>
    </row>
    <row r="13073" spans="1:141" s="116" customFormat="1">
      <c r="A13073" s="136"/>
      <c r="CM13073" s="111"/>
      <c r="CQ13073" s="111"/>
      <c r="EF13073"/>
      <c r="EG13073"/>
      <c r="EH13073"/>
      <c r="EI13073"/>
      <c r="EJ13073"/>
      <c r="EK13073"/>
    </row>
    <row r="13074" spans="1:141" s="116" customFormat="1">
      <c r="A13074" s="136"/>
      <c r="CM13074" s="111"/>
      <c r="CQ13074" s="111"/>
      <c r="EF13074"/>
      <c r="EG13074"/>
      <c r="EH13074"/>
      <c r="EI13074"/>
      <c r="EJ13074"/>
      <c r="EK13074"/>
    </row>
    <row r="13075" spans="1:141" s="116" customFormat="1">
      <c r="A13075" s="136"/>
      <c r="CM13075" s="111"/>
      <c r="CQ13075" s="111"/>
      <c r="EF13075"/>
      <c r="EG13075"/>
      <c r="EH13075"/>
      <c r="EI13075"/>
      <c r="EJ13075"/>
      <c r="EK13075"/>
    </row>
    <row r="13076" spans="1:141" s="116" customFormat="1">
      <c r="A13076" s="136"/>
      <c r="CM13076" s="111"/>
      <c r="CQ13076" s="111"/>
      <c r="EF13076"/>
      <c r="EG13076"/>
      <c r="EH13076"/>
      <c r="EI13076"/>
      <c r="EJ13076"/>
      <c r="EK13076"/>
    </row>
    <row r="13077" spans="1:141" s="116" customFormat="1">
      <c r="A13077" s="136"/>
      <c r="CM13077" s="111"/>
      <c r="CQ13077" s="111"/>
      <c r="EF13077"/>
      <c r="EG13077"/>
      <c r="EH13077"/>
      <c r="EI13077"/>
      <c r="EJ13077"/>
      <c r="EK13077"/>
    </row>
    <row r="13078" spans="1:141" s="116" customFormat="1">
      <c r="A13078" s="136"/>
      <c r="CM13078" s="111"/>
      <c r="CQ13078" s="111"/>
      <c r="EF13078"/>
      <c r="EG13078"/>
      <c r="EH13078"/>
      <c r="EI13078"/>
      <c r="EJ13078"/>
      <c r="EK13078"/>
    </row>
    <row r="13079" spans="1:141" s="116" customFormat="1">
      <c r="A13079" s="136"/>
      <c r="CM13079" s="111"/>
      <c r="CQ13079" s="111"/>
      <c r="EF13079"/>
      <c r="EG13079"/>
      <c r="EH13079"/>
      <c r="EI13079"/>
      <c r="EJ13079"/>
      <c r="EK13079"/>
    </row>
    <row r="13080" spans="1:141" s="116" customFormat="1">
      <c r="A13080" s="136"/>
      <c r="CM13080" s="111"/>
      <c r="CQ13080" s="111"/>
      <c r="EF13080"/>
      <c r="EG13080"/>
      <c r="EH13080"/>
      <c r="EI13080"/>
      <c r="EJ13080"/>
      <c r="EK13080"/>
    </row>
    <row r="13081" spans="1:141" s="116" customFormat="1">
      <c r="A13081" s="136"/>
      <c r="CM13081" s="111"/>
      <c r="CQ13081" s="111"/>
      <c r="EF13081"/>
      <c r="EG13081"/>
      <c r="EH13081"/>
      <c r="EI13081"/>
      <c r="EJ13081"/>
      <c r="EK13081"/>
    </row>
    <row r="13082" spans="1:141" s="116" customFormat="1">
      <c r="A13082" s="136"/>
      <c r="CM13082" s="111"/>
      <c r="CQ13082" s="111"/>
      <c r="EF13082"/>
      <c r="EG13082"/>
      <c r="EH13082"/>
      <c r="EI13082"/>
      <c r="EJ13082"/>
      <c r="EK13082"/>
    </row>
    <row r="13083" spans="1:141" s="116" customFormat="1">
      <c r="A13083" s="136"/>
      <c r="CM13083" s="111"/>
      <c r="CQ13083" s="111"/>
      <c r="EF13083"/>
      <c r="EG13083"/>
      <c r="EH13083"/>
      <c r="EI13083"/>
      <c r="EJ13083"/>
      <c r="EK13083"/>
    </row>
    <row r="13084" spans="1:141" s="116" customFormat="1">
      <c r="A13084" s="136"/>
      <c r="CM13084" s="111"/>
      <c r="CQ13084" s="111"/>
      <c r="EF13084"/>
      <c r="EG13084"/>
      <c r="EH13084"/>
      <c r="EI13084"/>
      <c r="EJ13084"/>
      <c r="EK13084"/>
    </row>
    <row r="13085" spans="1:141" s="116" customFormat="1">
      <c r="A13085" s="136"/>
      <c r="CM13085" s="111"/>
      <c r="CQ13085" s="111"/>
      <c r="EF13085"/>
      <c r="EG13085"/>
      <c r="EH13085"/>
      <c r="EI13085"/>
      <c r="EJ13085"/>
      <c r="EK13085"/>
    </row>
    <row r="13086" spans="1:141" s="116" customFormat="1">
      <c r="A13086" s="136"/>
      <c r="CM13086" s="111"/>
      <c r="CQ13086" s="111"/>
      <c r="EF13086"/>
      <c r="EG13086"/>
      <c r="EH13086"/>
      <c r="EI13086"/>
      <c r="EJ13086"/>
      <c r="EK13086"/>
    </row>
    <row r="13087" spans="1:141" s="116" customFormat="1">
      <c r="A13087" s="136"/>
      <c r="CM13087" s="111"/>
      <c r="CQ13087" s="111"/>
      <c r="EF13087"/>
      <c r="EG13087"/>
      <c r="EH13087"/>
      <c r="EI13087"/>
      <c r="EJ13087"/>
      <c r="EK13087"/>
    </row>
    <row r="13088" spans="1:141" s="116" customFormat="1">
      <c r="A13088" s="136"/>
      <c r="CM13088" s="111"/>
      <c r="CQ13088" s="111"/>
      <c r="EF13088"/>
      <c r="EG13088"/>
      <c r="EH13088"/>
      <c r="EI13088"/>
      <c r="EJ13088"/>
      <c r="EK13088"/>
    </row>
    <row r="13089" spans="1:141" s="116" customFormat="1">
      <c r="A13089" s="136"/>
      <c r="CM13089" s="111"/>
      <c r="CQ13089" s="111"/>
      <c r="EF13089"/>
      <c r="EG13089"/>
      <c r="EH13089"/>
      <c r="EI13089"/>
      <c r="EJ13089"/>
      <c r="EK13089"/>
    </row>
    <row r="13090" spans="1:141" s="116" customFormat="1">
      <c r="A13090" s="136"/>
      <c r="CM13090" s="111"/>
      <c r="CQ13090" s="111"/>
      <c r="EF13090"/>
      <c r="EG13090"/>
      <c r="EH13090"/>
      <c r="EI13090"/>
      <c r="EJ13090"/>
      <c r="EK13090"/>
    </row>
    <row r="13091" spans="1:141" s="116" customFormat="1">
      <c r="A13091" s="136"/>
      <c r="CM13091" s="111"/>
      <c r="CQ13091" s="111"/>
      <c r="EF13091"/>
      <c r="EG13091"/>
      <c r="EH13091"/>
      <c r="EI13091"/>
      <c r="EJ13091"/>
      <c r="EK13091"/>
    </row>
    <row r="13092" spans="1:141" s="116" customFormat="1">
      <c r="A13092" s="136"/>
      <c r="CM13092" s="111"/>
      <c r="CQ13092" s="111"/>
      <c r="EF13092"/>
      <c r="EG13092"/>
      <c r="EH13092"/>
      <c r="EI13092"/>
      <c r="EJ13092"/>
      <c r="EK13092"/>
    </row>
    <row r="13093" spans="1:141" s="116" customFormat="1">
      <c r="A13093" s="136"/>
      <c r="CM13093" s="111"/>
      <c r="CQ13093" s="111"/>
      <c r="EF13093"/>
      <c r="EG13093"/>
      <c r="EH13093"/>
      <c r="EI13093"/>
      <c r="EJ13093"/>
      <c r="EK13093"/>
    </row>
    <row r="13094" spans="1:141" s="116" customFormat="1">
      <c r="A13094" s="136"/>
      <c r="CM13094" s="111"/>
      <c r="CQ13094" s="111"/>
      <c r="EF13094"/>
      <c r="EG13094"/>
      <c r="EH13094"/>
      <c r="EI13094"/>
      <c r="EJ13094"/>
      <c r="EK13094"/>
    </row>
    <row r="13095" spans="1:141" s="116" customFormat="1">
      <c r="A13095" s="136"/>
      <c r="CM13095" s="111"/>
      <c r="CQ13095" s="111"/>
      <c r="EF13095"/>
      <c r="EG13095"/>
      <c r="EH13095"/>
      <c r="EI13095"/>
      <c r="EJ13095"/>
      <c r="EK13095"/>
    </row>
    <row r="13096" spans="1:141" s="116" customFormat="1">
      <c r="A13096" s="136"/>
      <c r="CM13096" s="111"/>
      <c r="CQ13096" s="111"/>
      <c r="EF13096"/>
      <c r="EG13096"/>
      <c r="EH13096"/>
      <c r="EI13096"/>
      <c r="EJ13096"/>
      <c r="EK13096"/>
    </row>
    <row r="13097" spans="1:141" s="116" customFormat="1">
      <c r="A13097" s="136"/>
      <c r="CM13097" s="111"/>
      <c r="CQ13097" s="111"/>
      <c r="EF13097"/>
      <c r="EG13097"/>
      <c r="EH13097"/>
      <c r="EI13097"/>
      <c r="EJ13097"/>
      <c r="EK13097"/>
    </row>
    <row r="13098" spans="1:141" s="116" customFormat="1">
      <c r="A13098" s="136"/>
      <c r="CM13098" s="111"/>
      <c r="CQ13098" s="111"/>
      <c r="EF13098"/>
      <c r="EG13098"/>
      <c r="EH13098"/>
      <c r="EI13098"/>
      <c r="EJ13098"/>
      <c r="EK13098"/>
    </row>
    <row r="13099" spans="1:141" s="116" customFormat="1">
      <c r="A13099" s="136"/>
      <c r="CM13099" s="111"/>
      <c r="CQ13099" s="111"/>
      <c r="EF13099"/>
      <c r="EG13099"/>
      <c r="EH13099"/>
      <c r="EI13099"/>
      <c r="EJ13099"/>
      <c r="EK13099"/>
    </row>
    <row r="13100" spans="1:141" s="116" customFormat="1">
      <c r="A13100" s="136"/>
      <c r="CM13100" s="111"/>
      <c r="CQ13100" s="111"/>
      <c r="EF13100"/>
      <c r="EG13100"/>
      <c r="EH13100"/>
      <c r="EI13100"/>
      <c r="EJ13100"/>
      <c r="EK13100"/>
    </row>
    <row r="13101" spans="1:141" s="116" customFormat="1">
      <c r="A13101" s="136"/>
      <c r="CM13101" s="111"/>
      <c r="CQ13101" s="111"/>
      <c r="EF13101"/>
      <c r="EG13101"/>
      <c r="EH13101"/>
      <c r="EI13101"/>
      <c r="EJ13101"/>
      <c r="EK13101"/>
    </row>
    <row r="13102" spans="1:141" s="116" customFormat="1">
      <c r="A13102" s="136"/>
      <c r="CM13102" s="111"/>
      <c r="CQ13102" s="111"/>
      <c r="EF13102"/>
      <c r="EG13102"/>
      <c r="EH13102"/>
      <c r="EI13102"/>
      <c r="EJ13102"/>
      <c r="EK13102"/>
    </row>
    <row r="13103" spans="1:141" s="116" customFormat="1">
      <c r="A13103" s="136"/>
      <c r="CM13103" s="111"/>
      <c r="CQ13103" s="111"/>
      <c r="EF13103"/>
      <c r="EG13103"/>
      <c r="EH13103"/>
      <c r="EI13103"/>
      <c r="EJ13103"/>
      <c r="EK13103"/>
    </row>
    <row r="13104" spans="1:141" s="116" customFormat="1">
      <c r="A13104" s="136"/>
      <c r="CM13104" s="111"/>
      <c r="CQ13104" s="111"/>
      <c r="EF13104"/>
      <c r="EG13104"/>
      <c r="EH13104"/>
      <c r="EI13104"/>
      <c r="EJ13104"/>
      <c r="EK13104"/>
    </row>
    <row r="13105" spans="1:141" s="116" customFormat="1">
      <c r="A13105" s="136"/>
      <c r="CM13105" s="111"/>
      <c r="CQ13105" s="111"/>
      <c r="EF13105"/>
      <c r="EG13105"/>
      <c r="EH13105"/>
      <c r="EI13105"/>
      <c r="EJ13105"/>
      <c r="EK13105"/>
    </row>
    <row r="13106" spans="1:141" s="116" customFormat="1">
      <c r="A13106" s="136"/>
      <c r="CM13106" s="111"/>
      <c r="CQ13106" s="111"/>
      <c r="EF13106"/>
      <c r="EG13106"/>
      <c r="EH13106"/>
      <c r="EI13106"/>
      <c r="EJ13106"/>
      <c r="EK13106"/>
    </row>
    <row r="13107" spans="1:141" s="116" customFormat="1">
      <c r="A13107" s="136"/>
      <c r="CM13107" s="111"/>
      <c r="CQ13107" s="111"/>
      <c r="EF13107"/>
      <c r="EG13107"/>
      <c r="EH13107"/>
      <c r="EI13107"/>
      <c r="EJ13107"/>
      <c r="EK13107"/>
    </row>
    <row r="13108" spans="1:141" s="116" customFormat="1">
      <c r="A13108" s="136"/>
      <c r="CM13108" s="111"/>
      <c r="CQ13108" s="111"/>
      <c r="EF13108"/>
      <c r="EG13108"/>
      <c r="EH13108"/>
      <c r="EI13108"/>
      <c r="EJ13108"/>
      <c r="EK13108"/>
    </row>
    <row r="13109" spans="1:141" s="116" customFormat="1">
      <c r="A13109" s="136"/>
      <c r="CM13109" s="111"/>
      <c r="CQ13109" s="111"/>
      <c r="EF13109"/>
      <c r="EG13109"/>
      <c r="EH13109"/>
      <c r="EI13109"/>
      <c r="EJ13109"/>
      <c r="EK13109"/>
    </row>
    <row r="13110" spans="1:141" s="116" customFormat="1">
      <c r="A13110" s="136"/>
      <c r="CM13110" s="111"/>
      <c r="CQ13110" s="111"/>
      <c r="EF13110"/>
      <c r="EG13110"/>
      <c r="EH13110"/>
      <c r="EI13110"/>
      <c r="EJ13110"/>
      <c r="EK13110"/>
    </row>
    <row r="13111" spans="1:141" s="116" customFormat="1">
      <c r="A13111" s="136"/>
      <c r="CM13111" s="111"/>
      <c r="CQ13111" s="111"/>
      <c r="EF13111"/>
      <c r="EG13111"/>
      <c r="EH13111"/>
      <c r="EI13111"/>
      <c r="EJ13111"/>
      <c r="EK13111"/>
    </row>
    <row r="13112" spans="1:141" s="116" customFormat="1">
      <c r="A13112" s="136"/>
      <c r="CM13112" s="111"/>
      <c r="CQ13112" s="111"/>
      <c r="EF13112"/>
      <c r="EG13112"/>
      <c r="EH13112"/>
      <c r="EI13112"/>
      <c r="EJ13112"/>
      <c r="EK13112"/>
    </row>
    <row r="13113" spans="1:141" s="116" customFormat="1">
      <c r="A13113" s="136"/>
      <c r="CM13113" s="111"/>
      <c r="CQ13113" s="111"/>
      <c r="EF13113"/>
      <c r="EG13113"/>
      <c r="EH13113"/>
      <c r="EI13113"/>
      <c r="EJ13113"/>
      <c r="EK13113"/>
    </row>
    <row r="13114" spans="1:141" s="116" customFormat="1">
      <c r="A13114" s="136"/>
      <c r="CM13114" s="111"/>
      <c r="CQ13114" s="111"/>
      <c r="EF13114"/>
      <c r="EG13114"/>
      <c r="EH13114"/>
      <c r="EI13114"/>
      <c r="EJ13114"/>
      <c r="EK13114"/>
    </row>
    <row r="13115" spans="1:141" s="116" customFormat="1">
      <c r="A13115" s="136"/>
      <c r="CM13115" s="111"/>
      <c r="CQ13115" s="111"/>
      <c r="EF13115"/>
      <c r="EG13115"/>
      <c r="EH13115"/>
      <c r="EI13115"/>
      <c r="EJ13115"/>
      <c r="EK13115"/>
    </row>
    <row r="13116" spans="1:141" s="116" customFormat="1">
      <c r="A13116" s="136"/>
      <c r="CM13116" s="111"/>
      <c r="CQ13116" s="111"/>
      <c r="EF13116"/>
      <c r="EG13116"/>
      <c r="EH13116"/>
      <c r="EI13116"/>
      <c r="EJ13116"/>
      <c r="EK13116"/>
    </row>
    <row r="13117" spans="1:141" s="116" customFormat="1">
      <c r="A13117" s="136"/>
      <c r="CM13117" s="111"/>
      <c r="CQ13117" s="111"/>
      <c r="EF13117"/>
      <c r="EG13117"/>
      <c r="EH13117"/>
      <c r="EI13117"/>
      <c r="EJ13117"/>
      <c r="EK13117"/>
    </row>
    <row r="13118" spans="1:141" s="116" customFormat="1">
      <c r="A13118" s="136"/>
      <c r="CM13118" s="111"/>
      <c r="CQ13118" s="111"/>
      <c r="EF13118"/>
      <c r="EG13118"/>
      <c r="EH13118"/>
      <c r="EI13118"/>
      <c r="EJ13118"/>
      <c r="EK13118"/>
    </row>
    <row r="13119" spans="1:141" s="116" customFormat="1">
      <c r="A13119" s="136"/>
      <c r="CM13119" s="111"/>
      <c r="CQ13119" s="111"/>
      <c r="EF13119"/>
      <c r="EG13119"/>
      <c r="EH13119"/>
      <c r="EI13119"/>
      <c r="EJ13119"/>
      <c r="EK13119"/>
    </row>
    <row r="13120" spans="1:141" s="116" customFormat="1">
      <c r="A13120" s="136"/>
      <c r="CM13120" s="111"/>
      <c r="CQ13120" s="111"/>
      <c r="EF13120"/>
      <c r="EG13120"/>
      <c r="EH13120"/>
      <c r="EI13120"/>
      <c r="EJ13120"/>
      <c r="EK13120"/>
    </row>
    <row r="13121" spans="1:141" s="116" customFormat="1">
      <c r="A13121" s="136"/>
      <c r="CM13121" s="111"/>
      <c r="CQ13121" s="111"/>
      <c r="EF13121"/>
      <c r="EG13121"/>
      <c r="EH13121"/>
      <c r="EI13121"/>
      <c r="EJ13121"/>
      <c r="EK13121"/>
    </row>
    <row r="13122" spans="1:141" s="116" customFormat="1">
      <c r="A13122" s="136"/>
      <c r="CM13122" s="111"/>
      <c r="CQ13122" s="111"/>
      <c r="EF13122"/>
      <c r="EG13122"/>
      <c r="EH13122"/>
      <c r="EI13122"/>
      <c r="EJ13122"/>
      <c r="EK13122"/>
    </row>
    <row r="13123" spans="1:141" s="116" customFormat="1">
      <c r="A13123" s="136"/>
      <c r="CM13123" s="111"/>
      <c r="CQ13123" s="111"/>
      <c r="EF13123"/>
      <c r="EG13123"/>
      <c r="EH13123"/>
      <c r="EI13123"/>
      <c r="EJ13123"/>
      <c r="EK13123"/>
    </row>
    <row r="13124" spans="1:141" s="116" customFormat="1">
      <c r="A13124" s="136"/>
      <c r="CM13124" s="111"/>
      <c r="CQ13124" s="111"/>
      <c r="EF13124"/>
      <c r="EG13124"/>
      <c r="EH13124"/>
      <c r="EI13124"/>
      <c r="EJ13124"/>
      <c r="EK13124"/>
    </row>
    <row r="13125" spans="1:141" s="116" customFormat="1">
      <c r="A13125" s="136"/>
      <c r="CM13125" s="111"/>
      <c r="CQ13125" s="111"/>
      <c r="EF13125"/>
      <c r="EG13125"/>
      <c r="EH13125"/>
      <c r="EI13125"/>
      <c r="EJ13125"/>
      <c r="EK13125"/>
    </row>
    <row r="13126" spans="1:141" s="116" customFormat="1">
      <c r="A13126" s="136"/>
      <c r="CM13126" s="111"/>
      <c r="CQ13126" s="111"/>
      <c r="EF13126"/>
      <c r="EG13126"/>
      <c r="EH13126"/>
      <c r="EI13126"/>
      <c r="EJ13126"/>
      <c r="EK13126"/>
    </row>
    <row r="13127" spans="1:141" s="116" customFormat="1">
      <c r="A13127" s="136"/>
      <c r="CM13127" s="111"/>
      <c r="CQ13127" s="111"/>
      <c r="EF13127"/>
      <c r="EG13127"/>
      <c r="EH13127"/>
      <c r="EI13127"/>
      <c r="EJ13127"/>
      <c r="EK13127"/>
    </row>
    <row r="13128" spans="1:141" s="116" customFormat="1">
      <c r="A13128" s="136"/>
      <c r="CM13128" s="111"/>
      <c r="CQ13128" s="111"/>
      <c r="EF13128"/>
      <c r="EG13128"/>
      <c r="EH13128"/>
      <c r="EI13128"/>
      <c r="EJ13128"/>
      <c r="EK13128"/>
    </row>
    <row r="13129" spans="1:141" s="116" customFormat="1">
      <c r="A13129" s="136"/>
      <c r="CM13129" s="111"/>
      <c r="CQ13129" s="111"/>
      <c r="EF13129"/>
      <c r="EG13129"/>
      <c r="EH13129"/>
      <c r="EI13129"/>
      <c r="EJ13129"/>
      <c r="EK13129"/>
    </row>
    <row r="13130" spans="1:141" s="116" customFormat="1">
      <c r="A13130" s="136"/>
      <c r="CM13130" s="111"/>
      <c r="CQ13130" s="111"/>
      <c r="EF13130"/>
      <c r="EG13130"/>
      <c r="EH13130"/>
      <c r="EI13130"/>
      <c r="EJ13130"/>
      <c r="EK13130"/>
    </row>
    <row r="13131" spans="1:141" s="116" customFormat="1">
      <c r="A13131" s="136"/>
      <c r="CM13131" s="111"/>
      <c r="CQ13131" s="111"/>
      <c r="EF13131"/>
      <c r="EG13131"/>
      <c r="EH13131"/>
      <c r="EI13131"/>
      <c r="EJ13131"/>
      <c r="EK13131"/>
    </row>
    <row r="13132" spans="1:141" s="116" customFormat="1">
      <c r="A13132" s="136"/>
      <c r="CM13132" s="111"/>
      <c r="CQ13132" s="111"/>
      <c r="EF13132"/>
      <c r="EG13132"/>
      <c r="EH13132"/>
      <c r="EI13132"/>
      <c r="EJ13132"/>
      <c r="EK13132"/>
    </row>
    <row r="13133" spans="1:141" s="116" customFormat="1">
      <c r="A13133" s="136"/>
      <c r="CM13133" s="111"/>
      <c r="CQ13133" s="111"/>
      <c r="EF13133"/>
      <c r="EG13133"/>
      <c r="EH13133"/>
      <c r="EI13133"/>
      <c r="EJ13133"/>
      <c r="EK13133"/>
    </row>
    <row r="13134" spans="1:141" s="116" customFormat="1">
      <c r="A13134" s="136"/>
      <c r="CM13134" s="111"/>
      <c r="CQ13134" s="111"/>
      <c r="EF13134"/>
      <c r="EG13134"/>
      <c r="EH13134"/>
      <c r="EI13134"/>
      <c r="EJ13134"/>
      <c r="EK13134"/>
    </row>
    <row r="13135" spans="1:141" s="116" customFormat="1">
      <c r="A13135" s="136"/>
      <c r="CM13135" s="111"/>
      <c r="CQ13135" s="111"/>
      <c r="EF13135"/>
      <c r="EG13135"/>
      <c r="EH13135"/>
      <c r="EI13135"/>
      <c r="EJ13135"/>
      <c r="EK13135"/>
    </row>
    <row r="13136" spans="1:141" s="116" customFormat="1">
      <c r="A13136" s="136"/>
      <c r="CM13136" s="111"/>
      <c r="CQ13136" s="111"/>
      <c r="EF13136"/>
      <c r="EG13136"/>
      <c r="EH13136"/>
      <c r="EI13136"/>
      <c r="EJ13136"/>
      <c r="EK13136"/>
    </row>
    <row r="13137" spans="1:141" s="116" customFormat="1">
      <c r="A13137" s="136"/>
      <c r="CM13137" s="111"/>
      <c r="CQ13137" s="111"/>
      <c r="EF13137"/>
      <c r="EG13137"/>
      <c r="EH13137"/>
      <c r="EI13137"/>
      <c r="EJ13137"/>
      <c r="EK13137"/>
    </row>
    <row r="13138" spans="1:141" s="116" customFormat="1">
      <c r="A13138" s="136"/>
      <c r="CM13138" s="111"/>
      <c r="CQ13138" s="111"/>
      <c r="EF13138"/>
      <c r="EG13138"/>
      <c r="EH13138"/>
      <c r="EI13138"/>
      <c r="EJ13138"/>
      <c r="EK13138"/>
    </row>
    <row r="13139" spans="1:141" s="116" customFormat="1">
      <c r="A13139" s="136"/>
      <c r="CM13139" s="111"/>
      <c r="CQ13139" s="111"/>
      <c r="EF13139"/>
      <c r="EG13139"/>
      <c r="EH13139"/>
      <c r="EI13139"/>
      <c r="EJ13139"/>
      <c r="EK13139"/>
    </row>
    <row r="13140" spans="1:141" s="116" customFormat="1">
      <c r="A13140" s="136"/>
      <c r="CM13140" s="111"/>
      <c r="CQ13140" s="111"/>
      <c r="EF13140"/>
      <c r="EG13140"/>
      <c r="EH13140"/>
      <c r="EI13140"/>
      <c r="EJ13140"/>
      <c r="EK13140"/>
    </row>
    <row r="13141" spans="1:141" s="116" customFormat="1">
      <c r="A13141" s="136"/>
      <c r="CM13141" s="111"/>
      <c r="CQ13141" s="111"/>
      <c r="EF13141"/>
      <c r="EG13141"/>
      <c r="EH13141"/>
      <c r="EI13141"/>
      <c r="EJ13141"/>
      <c r="EK13141"/>
    </row>
    <row r="13142" spans="1:141" s="116" customFormat="1">
      <c r="A13142" s="136"/>
      <c r="CM13142" s="111"/>
      <c r="CQ13142" s="111"/>
      <c r="EF13142"/>
      <c r="EG13142"/>
      <c r="EH13142"/>
      <c r="EI13142"/>
      <c r="EJ13142"/>
      <c r="EK13142"/>
    </row>
    <row r="13143" spans="1:141" s="116" customFormat="1">
      <c r="A13143" s="136"/>
      <c r="CM13143" s="111"/>
      <c r="CQ13143" s="111"/>
      <c r="EF13143"/>
      <c r="EG13143"/>
      <c r="EH13143"/>
      <c r="EI13143"/>
      <c r="EJ13143"/>
      <c r="EK13143"/>
    </row>
    <row r="13144" spans="1:141" s="116" customFormat="1">
      <c r="A13144" s="136"/>
      <c r="CM13144" s="111"/>
      <c r="CQ13144" s="111"/>
      <c r="EF13144"/>
      <c r="EG13144"/>
      <c r="EH13144"/>
      <c r="EI13144"/>
      <c r="EJ13144"/>
      <c r="EK13144"/>
    </row>
    <row r="13145" spans="1:141" s="116" customFormat="1">
      <c r="A13145" s="136"/>
      <c r="CM13145" s="111"/>
      <c r="CQ13145" s="111"/>
      <c r="EF13145"/>
      <c r="EG13145"/>
      <c r="EH13145"/>
      <c r="EI13145"/>
      <c r="EJ13145"/>
      <c r="EK13145"/>
    </row>
    <row r="13146" spans="1:141" s="116" customFormat="1">
      <c r="A13146" s="136"/>
      <c r="CM13146" s="111"/>
      <c r="CQ13146" s="111"/>
      <c r="EF13146"/>
      <c r="EG13146"/>
      <c r="EH13146"/>
      <c r="EI13146"/>
      <c r="EJ13146"/>
      <c r="EK13146"/>
    </row>
    <row r="13147" spans="1:141" s="116" customFormat="1">
      <c r="A13147" s="136"/>
      <c r="CM13147" s="111"/>
      <c r="CQ13147" s="111"/>
      <c r="EF13147"/>
      <c r="EG13147"/>
      <c r="EH13147"/>
      <c r="EI13147"/>
      <c r="EJ13147"/>
      <c r="EK13147"/>
    </row>
    <row r="13148" spans="1:141" s="116" customFormat="1">
      <c r="A13148" s="136"/>
      <c r="CM13148" s="111"/>
      <c r="CQ13148" s="111"/>
      <c r="EF13148"/>
      <c r="EG13148"/>
      <c r="EH13148"/>
      <c r="EI13148"/>
      <c r="EJ13148"/>
      <c r="EK13148"/>
    </row>
    <row r="13149" spans="1:141" s="116" customFormat="1">
      <c r="A13149" s="136"/>
      <c r="CM13149" s="111"/>
      <c r="CQ13149" s="111"/>
      <c r="EF13149"/>
      <c r="EG13149"/>
      <c r="EH13149"/>
      <c r="EI13149"/>
      <c r="EJ13149"/>
      <c r="EK13149"/>
    </row>
    <row r="13150" spans="1:141" s="116" customFormat="1">
      <c r="A13150" s="136"/>
      <c r="CM13150" s="111"/>
      <c r="CQ13150" s="111"/>
      <c r="EF13150"/>
      <c r="EG13150"/>
      <c r="EH13150"/>
      <c r="EI13150"/>
      <c r="EJ13150"/>
      <c r="EK13150"/>
    </row>
    <row r="13151" spans="1:141" s="116" customFormat="1">
      <c r="A13151" s="136"/>
      <c r="CM13151" s="111"/>
      <c r="CQ13151" s="111"/>
      <c r="EF13151"/>
      <c r="EG13151"/>
      <c r="EH13151"/>
      <c r="EI13151"/>
      <c r="EJ13151"/>
      <c r="EK13151"/>
    </row>
    <row r="13152" spans="1:141" s="116" customFormat="1">
      <c r="A13152" s="136"/>
      <c r="CM13152" s="111"/>
      <c r="CQ13152" s="111"/>
      <c r="EF13152"/>
      <c r="EG13152"/>
      <c r="EH13152"/>
      <c r="EI13152"/>
      <c r="EJ13152"/>
      <c r="EK13152"/>
    </row>
    <row r="13153" spans="1:141" s="116" customFormat="1">
      <c r="A13153" s="136"/>
      <c r="CM13153" s="111"/>
      <c r="CQ13153" s="111"/>
      <c r="EF13153"/>
      <c r="EG13153"/>
      <c r="EH13153"/>
      <c r="EI13153"/>
      <c r="EJ13153"/>
      <c r="EK13153"/>
    </row>
    <row r="13154" spans="1:141" s="116" customFormat="1">
      <c r="A13154" s="136"/>
      <c r="CM13154" s="111"/>
      <c r="CQ13154" s="111"/>
      <c r="EF13154"/>
      <c r="EG13154"/>
      <c r="EH13154"/>
      <c r="EI13154"/>
      <c r="EJ13154"/>
      <c r="EK13154"/>
    </row>
    <row r="13155" spans="1:141" s="116" customFormat="1">
      <c r="A13155" s="136"/>
      <c r="CM13155" s="111"/>
      <c r="CQ13155" s="111"/>
      <c r="EF13155"/>
      <c r="EG13155"/>
      <c r="EH13155"/>
      <c r="EI13155"/>
      <c r="EJ13155"/>
      <c r="EK13155"/>
    </row>
    <row r="13156" spans="1:141" s="116" customFormat="1">
      <c r="A13156" s="136"/>
      <c r="CM13156" s="111"/>
      <c r="CQ13156" s="111"/>
      <c r="EF13156"/>
      <c r="EG13156"/>
      <c r="EH13156"/>
      <c r="EI13156"/>
      <c r="EJ13156"/>
      <c r="EK13156"/>
    </row>
    <row r="13157" spans="1:141" s="116" customFormat="1">
      <c r="A13157" s="136"/>
      <c r="CM13157" s="111"/>
      <c r="CQ13157" s="111"/>
      <c r="EF13157"/>
      <c r="EG13157"/>
      <c r="EH13157"/>
      <c r="EI13157"/>
      <c r="EJ13157"/>
      <c r="EK13157"/>
    </row>
    <row r="13158" spans="1:141" s="116" customFormat="1">
      <c r="A13158" s="136"/>
      <c r="CM13158" s="111"/>
      <c r="CQ13158" s="111"/>
      <c r="EF13158"/>
      <c r="EG13158"/>
      <c r="EH13158"/>
      <c r="EI13158"/>
      <c r="EJ13158"/>
      <c r="EK13158"/>
    </row>
    <row r="13159" spans="1:141" s="116" customFormat="1">
      <c r="A13159" s="136"/>
      <c r="CM13159" s="111"/>
      <c r="CQ13159" s="111"/>
      <c r="EF13159"/>
      <c r="EG13159"/>
      <c r="EH13159"/>
      <c r="EI13159"/>
      <c r="EJ13159"/>
      <c r="EK13159"/>
    </row>
    <row r="13160" spans="1:141" s="116" customFormat="1">
      <c r="A13160" s="136"/>
      <c r="CM13160" s="111"/>
      <c r="CQ13160" s="111"/>
      <c r="EF13160"/>
      <c r="EG13160"/>
      <c r="EH13160"/>
      <c r="EI13160"/>
      <c r="EJ13160"/>
      <c r="EK13160"/>
    </row>
    <row r="13161" spans="1:141" s="116" customFormat="1">
      <c r="A13161" s="136"/>
      <c r="CM13161" s="111"/>
      <c r="CQ13161" s="111"/>
      <c r="EF13161"/>
      <c r="EG13161"/>
      <c r="EH13161"/>
      <c r="EI13161"/>
      <c r="EJ13161"/>
      <c r="EK13161"/>
    </row>
    <row r="13162" spans="1:141" s="116" customFormat="1">
      <c r="A13162" s="136"/>
      <c r="CM13162" s="111"/>
      <c r="CQ13162" s="111"/>
      <c r="EF13162"/>
      <c r="EG13162"/>
      <c r="EH13162"/>
      <c r="EI13162"/>
      <c r="EJ13162"/>
      <c r="EK13162"/>
    </row>
    <row r="13163" spans="1:141" s="116" customFormat="1">
      <c r="A13163" s="136"/>
      <c r="CM13163" s="111"/>
      <c r="CQ13163" s="111"/>
      <c r="EF13163"/>
      <c r="EG13163"/>
      <c r="EH13163"/>
      <c r="EI13163"/>
      <c r="EJ13163"/>
      <c r="EK13163"/>
    </row>
    <row r="13164" spans="1:141" s="116" customFormat="1">
      <c r="A13164" s="136"/>
      <c r="CM13164" s="111"/>
      <c r="CQ13164" s="111"/>
      <c r="EF13164"/>
      <c r="EG13164"/>
      <c r="EH13164"/>
      <c r="EI13164"/>
      <c r="EJ13164"/>
      <c r="EK13164"/>
    </row>
    <row r="13165" spans="1:141" s="116" customFormat="1">
      <c r="A13165" s="136"/>
      <c r="CM13165" s="111"/>
      <c r="CQ13165" s="111"/>
      <c r="EF13165"/>
      <c r="EG13165"/>
      <c r="EH13165"/>
      <c r="EI13165"/>
      <c r="EJ13165"/>
      <c r="EK13165"/>
    </row>
    <row r="13166" spans="1:141" s="116" customFormat="1">
      <c r="A13166" s="136"/>
      <c r="CM13166" s="111"/>
      <c r="CQ13166" s="111"/>
      <c r="EF13166"/>
      <c r="EG13166"/>
      <c r="EH13166"/>
      <c r="EI13166"/>
      <c r="EJ13166"/>
      <c r="EK13166"/>
    </row>
    <row r="13167" spans="1:141" s="116" customFormat="1">
      <c r="A13167" s="136"/>
      <c r="CM13167" s="111"/>
      <c r="CQ13167" s="111"/>
      <c r="EF13167"/>
      <c r="EG13167"/>
      <c r="EH13167"/>
      <c r="EI13167"/>
      <c r="EJ13167"/>
      <c r="EK13167"/>
    </row>
    <row r="13168" spans="1:141" s="116" customFormat="1">
      <c r="A13168" s="136"/>
      <c r="CM13168" s="111"/>
      <c r="CQ13168" s="111"/>
      <c r="EF13168"/>
      <c r="EG13168"/>
      <c r="EH13168"/>
      <c r="EI13168"/>
      <c r="EJ13168"/>
      <c r="EK13168"/>
    </row>
    <row r="13169" spans="1:141" s="116" customFormat="1">
      <c r="A13169" s="136"/>
      <c r="CM13169" s="111"/>
      <c r="CQ13169" s="111"/>
      <c r="EF13169"/>
      <c r="EG13169"/>
      <c r="EH13169"/>
      <c r="EI13169"/>
      <c r="EJ13169"/>
      <c r="EK13169"/>
    </row>
    <row r="13170" spans="1:141" s="116" customFormat="1">
      <c r="A13170" s="136"/>
      <c r="CM13170" s="111"/>
      <c r="CQ13170" s="111"/>
      <c r="EF13170"/>
      <c r="EG13170"/>
      <c r="EH13170"/>
      <c r="EI13170"/>
      <c r="EJ13170"/>
      <c r="EK13170"/>
    </row>
    <row r="13171" spans="1:141" s="116" customFormat="1">
      <c r="A13171" s="136"/>
      <c r="CM13171" s="111"/>
      <c r="CQ13171" s="111"/>
      <c r="EF13171"/>
      <c r="EG13171"/>
      <c r="EH13171"/>
      <c r="EI13171"/>
      <c r="EJ13171"/>
      <c r="EK13171"/>
    </row>
    <row r="13172" spans="1:141" s="116" customFormat="1">
      <c r="A13172" s="136"/>
      <c r="CM13172" s="111"/>
      <c r="CQ13172" s="111"/>
      <c r="EF13172"/>
      <c r="EG13172"/>
      <c r="EH13172"/>
      <c r="EI13172"/>
      <c r="EJ13172"/>
      <c r="EK13172"/>
    </row>
    <row r="13173" spans="1:141" s="116" customFormat="1">
      <c r="A13173" s="136"/>
      <c r="CM13173" s="111"/>
      <c r="CQ13173" s="111"/>
      <c r="EF13173"/>
      <c r="EG13173"/>
      <c r="EH13173"/>
      <c r="EI13173"/>
      <c r="EJ13173"/>
      <c r="EK13173"/>
    </row>
    <row r="13174" spans="1:141" s="116" customFormat="1">
      <c r="A13174" s="136"/>
      <c r="CM13174" s="111"/>
      <c r="CQ13174" s="111"/>
      <c r="EF13174"/>
      <c r="EG13174"/>
      <c r="EH13174"/>
      <c r="EI13174"/>
      <c r="EJ13174"/>
      <c r="EK13174"/>
    </row>
    <row r="13175" spans="1:141" s="116" customFormat="1">
      <c r="A13175" s="136"/>
      <c r="CM13175" s="111"/>
      <c r="CQ13175" s="111"/>
      <c r="EF13175"/>
      <c r="EG13175"/>
      <c r="EH13175"/>
      <c r="EI13175"/>
      <c r="EJ13175"/>
      <c r="EK13175"/>
    </row>
    <row r="13176" spans="1:141" s="116" customFormat="1">
      <c r="A13176" s="136"/>
      <c r="CM13176" s="111"/>
      <c r="CQ13176" s="111"/>
      <c r="EF13176"/>
      <c r="EG13176"/>
      <c r="EH13176"/>
      <c r="EI13176"/>
      <c r="EJ13176"/>
      <c r="EK13176"/>
    </row>
    <row r="13177" spans="1:141" s="116" customFormat="1">
      <c r="A13177" s="136"/>
      <c r="CM13177" s="111"/>
      <c r="CQ13177" s="111"/>
      <c r="EF13177"/>
      <c r="EG13177"/>
      <c r="EH13177"/>
      <c r="EI13177"/>
      <c r="EJ13177"/>
      <c r="EK13177"/>
    </row>
    <row r="13178" spans="1:141" s="116" customFormat="1">
      <c r="A13178" s="136"/>
      <c r="CM13178" s="111"/>
      <c r="CQ13178" s="111"/>
      <c r="EF13178"/>
      <c r="EG13178"/>
      <c r="EH13178"/>
      <c r="EI13178"/>
      <c r="EJ13178"/>
      <c r="EK13178"/>
    </row>
    <row r="13179" spans="1:141" s="116" customFormat="1">
      <c r="A13179" s="136"/>
      <c r="CM13179" s="111"/>
      <c r="CQ13179" s="111"/>
      <c r="EF13179"/>
      <c r="EG13179"/>
      <c r="EH13179"/>
      <c r="EI13179"/>
      <c r="EJ13179"/>
      <c r="EK13179"/>
    </row>
    <row r="13180" spans="1:141" s="116" customFormat="1">
      <c r="A13180" s="136"/>
      <c r="CM13180" s="111"/>
      <c r="CQ13180" s="111"/>
      <c r="EF13180"/>
      <c r="EG13180"/>
      <c r="EH13180"/>
      <c r="EI13180"/>
      <c r="EJ13180"/>
      <c r="EK13180"/>
    </row>
    <row r="13181" spans="1:141" s="116" customFormat="1">
      <c r="A13181" s="136"/>
      <c r="CM13181" s="111"/>
      <c r="CQ13181" s="111"/>
      <c r="EF13181"/>
      <c r="EG13181"/>
      <c r="EH13181"/>
      <c r="EI13181"/>
      <c r="EJ13181"/>
      <c r="EK13181"/>
    </row>
    <row r="13182" spans="1:141" s="116" customFormat="1">
      <c r="A13182" s="136"/>
      <c r="CM13182" s="111"/>
      <c r="CQ13182" s="111"/>
      <c r="EF13182"/>
      <c r="EG13182"/>
      <c r="EH13182"/>
      <c r="EI13182"/>
      <c r="EJ13182"/>
      <c r="EK13182"/>
    </row>
    <row r="13183" spans="1:141" s="116" customFormat="1">
      <c r="A13183" s="136"/>
      <c r="CM13183" s="111"/>
      <c r="CQ13183" s="111"/>
      <c r="EF13183"/>
      <c r="EG13183"/>
      <c r="EH13183"/>
      <c r="EI13183"/>
      <c r="EJ13183"/>
      <c r="EK13183"/>
    </row>
    <row r="13184" spans="1:141" s="116" customFormat="1">
      <c r="A13184" s="136"/>
      <c r="CM13184" s="111"/>
      <c r="CQ13184" s="111"/>
      <c r="EF13184"/>
      <c r="EG13184"/>
      <c r="EH13184"/>
      <c r="EI13184"/>
      <c r="EJ13184"/>
      <c r="EK13184"/>
    </row>
    <row r="13185" spans="1:141" s="116" customFormat="1">
      <c r="A13185" s="136"/>
      <c r="CM13185" s="111"/>
      <c r="CQ13185" s="111"/>
      <c r="EF13185"/>
      <c r="EG13185"/>
      <c r="EH13185"/>
      <c r="EI13185"/>
      <c r="EJ13185"/>
      <c r="EK13185"/>
    </row>
    <row r="13186" spans="1:141" s="116" customFormat="1">
      <c r="A13186" s="136"/>
      <c r="CM13186" s="111"/>
      <c r="CQ13186" s="111"/>
      <c r="EF13186"/>
      <c r="EG13186"/>
      <c r="EH13186"/>
      <c r="EI13186"/>
      <c r="EJ13186"/>
      <c r="EK13186"/>
    </row>
    <row r="13187" spans="1:141" s="116" customFormat="1">
      <c r="A13187" s="136"/>
      <c r="CM13187" s="111"/>
      <c r="CQ13187" s="111"/>
      <c r="EF13187"/>
      <c r="EG13187"/>
      <c r="EH13187"/>
      <c r="EI13187"/>
      <c r="EJ13187"/>
      <c r="EK13187"/>
    </row>
    <row r="13188" spans="1:141" s="116" customFormat="1">
      <c r="A13188" s="136"/>
      <c r="CM13188" s="111"/>
      <c r="CQ13188" s="111"/>
      <c r="EF13188"/>
      <c r="EG13188"/>
      <c r="EH13188"/>
      <c r="EI13188"/>
      <c r="EJ13188"/>
      <c r="EK13188"/>
    </row>
    <row r="13189" spans="1:141" s="116" customFormat="1">
      <c r="A13189" s="136"/>
      <c r="CM13189" s="111"/>
      <c r="CQ13189" s="111"/>
      <c r="EF13189"/>
      <c r="EG13189"/>
      <c r="EH13189"/>
      <c r="EI13189"/>
      <c r="EJ13189"/>
      <c r="EK13189"/>
    </row>
    <row r="13190" spans="1:141" s="116" customFormat="1">
      <c r="A13190" s="136"/>
      <c r="CM13190" s="111"/>
      <c r="CQ13190" s="111"/>
      <c r="EF13190"/>
      <c r="EG13190"/>
      <c r="EH13190"/>
      <c r="EI13190"/>
      <c r="EJ13190"/>
      <c r="EK13190"/>
    </row>
    <row r="13191" spans="1:141" s="116" customFormat="1">
      <c r="A13191" s="136"/>
      <c r="CM13191" s="111"/>
      <c r="CQ13191" s="111"/>
      <c r="EF13191"/>
      <c r="EG13191"/>
      <c r="EH13191"/>
      <c r="EI13191"/>
      <c r="EJ13191"/>
      <c r="EK13191"/>
    </row>
    <row r="13192" spans="1:141" s="116" customFormat="1">
      <c r="A13192" s="136"/>
      <c r="CM13192" s="111"/>
      <c r="CQ13192" s="111"/>
      <c r="EF13192"/>
      <c r="EG13192"/>
      <c r="EH13192"/>
      <c r="EI13192"/>
      <c r="EJ13192"/>
      <c r="EK13192"/>
    </row>
    <row r="13193" spans="1:141" s="116" customFormat="1">
      <c r="A13193" s="136"/>
      <c r="CM13193" s="111"/>
      <c r="CQ13193" s="111"/>
      <c r="EF13193"/>
      <c r="EG13193"/>
      <c r="EH13193"/>
      <c r="EI13193"/>
      <c r="EJ13193"/>
      <c r="EK13193"/>
    </row>
    <row r="13194" spans="1:141" s="116" customFormat="1">
      <c r="A13194" s="136"/>
      <c r="CM13194" s="111"/>
      <c r="CQ13194" s="111"/>
      <c r="EF13194"/>
      <c r="EG13194"/>
      <c r="EH13194"/>
      <c r="EI13194"/>
      <c r="EJ13194"/>
      <c r="EK13194"/>
    </row>
    <row r="13195" spans="1:141" s="116" customFormat="1">
      <c r="A13195" s="136"/>
      <c r="CM13195" s="111"/>
      <c r="CQ13195" s="111"/>
      <c r="EF13195"/>
      <c r="EG13195"/>
      <c r="EH13195"/>
      <c r="EI13195"/>
      <c r="EJ13195"/>
      <c r="EK13195"/>
    </row>
    <row r="13196" spans="1:141" s="116" customFormat="1">
      <c r="A13196" s="136"/>
      <c r="CM13196" s="111"/>
      <c r="CQ13196" s="111"/>
      <c r="EF13196"/>
      <c r="EG13196"/>
      <c r="EH13196"/>
      <c r="EI13196"/>
      <c r="EJ13196"/>
      <c r="EK13196"/>
    </row>
    <row r="13197" spans="1:141" s="116" customFormat="1">
      <c r="A13197" s="136"/>
      <c r="CM13197" s="111"/>
      <c r="CQ13197" s="111"/>
      <c r="EF13197"/>
      <c r="EG13197"/>
      <c r="EH13197"/>
      <c r="EI13197"/>
      <c r="EJ13197"/>
      <c r="EK13197"/>
    </row>
    <row r="13198" spans="1:141" s="116" customFormat="1">
      <c r="A13198" s="136"/>
      <c r="CM13198" s="111"/>
      <c r="CQ13198" s="111"/>
      <c r="EF13198"/>
      <c r="EG13198"/>
      <c r="EH13198"/>
      <c r="EI13198"/>
      <c r="EJ13198"/>
      <c r="EK13198"/>
    </row>
    <row r="13199" spans="1:141" s="116" customFormat="1">
      <c r="A13199" s="136"/>
      <c r="CM13199" s="111"/>
      <c r="CQ13199" s="111"/>
      <c r="EF13199"/>
      <c r="EG13199"/>
      <c r="EH13199"/>
      <c r="EI13199"/>
      <c r="EJ13199"/>
      <c r="EK13199"/>
    </row>
    <row r="13200" spans="1:141" s="116" customFormat="1">
      <c r="A13200" s="136"/>
      <c r="CM13200" s="111"/>
      <c r="CQ13200" s="111"/>
      <c r="EF13200"/>
      <c r="EG13200"/>
      <c r="EH13200"/>
      <c r="EI13200"/>
      <c r="EJ13200"/>
      <c r="EK13200"/>
    </row>
    <row r="13201" spans="1:141" s="116" customFormat="1">
      <c r="A13201" s="136"/>
      <c r="CM13201" s="111"/>
      <c r="CQ13201" s="111"/>
      <c r="EF13201"/>
      <c r="EG13201"/>
      <c r="EH13201"/>
      <c r="EI13201"/>
      <c r="EJ13201"/>
      <c r="EK13201"/>
    </row>
    <row r="13202" spans="1:141" s="116" customFormat="1">
      <c r="A13202" s="136"/>
      <c r="CM13202" s="111"/>
      <c r="CQ13202" s="111"/>
      <c r="EF13202"/>
      <c r="EG13202"/>
      <c r="EH13202"/>
      <c r="EI13202"/>
      <c r="EJ13202"/>
      <c r="EK13202"/>
    </row>
    <row r="13203" spans="1:141" s="116" customFormat="1">
      <c r="A13203" s="136"/>
      <c r="CM13203" s="111"/>
      <c r="CQ13203" s="111"/>
      <c r="EF13203"/>
      <c r="EG13203"/>
      <c r="EH13203"/>
      <c r="EI13203"/>
      <c r="EJ13203"/>
      <c r="EK13203"/>
    </row>
    <row r="13204" spans="1:141" s="116" customFormat="1">
      <c r="A13204" s="136"/>
      <c r="CM13204" s="111"/>
      <c r="CQ13204" s="111"/>
      <c r="EF13204"/>
      <c r="EG13204"/>
      <c r="EH13204"/>
      <c r="EI13204"/>
      <c r="EJ13204"/>
      <c r="EK13204"/>
    </row>
    <row r="13205" spans="1:141" s="116" customFormat="1">
      <c r="A13205" s="136"/>
      <c r="CM13205" s="111"/>
      <c r="CQ13205" s="111"/>
      <c r="EF13205"/>
      <c r="EG13205"/>
      <c r="EH13205"/>
      <c r="EI13205"/>
      <c r="EJ13205"/>
      <c r="EK13205"/>
    </row>
    <row r="13206" spans="1:141" s="116" customFormat="1">
      <c r="A13206" s="136"/>
      <c r="CM13206" s="111"/>
      <c r="CQ13206" s="111"/>
      <c r="EF13206"/>
      <c r="EG13206"/>
      <c r="EH13206"/>
      <c r="EI13206"/>
      <c r="EJ13206"/>
      <c r="EK13206"/>
    </row>
    <row r="13207" spans="1:141" s="116" customFormat="1">
      <c r="A13207" s="136"/>
      <c r="CM13207" s="111"/>
      <c r="CQ13207" s="111"/>
      <c r="EF13207"/>
      <c r="EG13207"/>
      <c r="EH13207"/>
      <c r="EI13207"/>
      <c r="EJ13207"/>
      <c r="EK13207"/>
    </row>
    <row r="13208" spans="1:141" s="116" customFormat="1">
      <c r="A13208" s="136"/>
      <c r="CM13208" s="111"/>
      <c r="CQ13208" s="111"/>
      <c r="EF13208"/>
      <c r="EG13208"/>
      <c r="EH13208"/>
      <c r="EI13208"/>
      <c r="EJ13208"/>
      <c r="EK13208"/>
    </row>
    <row r="13209" spans="1:141" s="116" customFormat="1">
      <c r="A13209" s="136"/>
      <c r="CM13209" s="111"/>
      <c r="CQ13209" s="111"/>
      <c r="EF13209"/>
      <c r="EG13209"/>
      <c r="EH13209"/>
      <c r="EI13209"/>
      <c r="EJ13209"/>
      <c r="EK13209"/>
    </row>
    <row r="13210" spans="1:141" s="116" customFormat="1">
      <c r="A13210" s="136"/>
      <c r="CM13210" s="111"/>
      <c r="CQ13210" s="111"/>
      <c r="EF13210"/>
      <c r="EG13210"/>
      <c r="EH13210"/>
      <c r="EI13210"/>
      <c r="EJ13210"/>
      <c r="EK13210"/>
    </row>
    <row r="13211" spans="1:141" s="116" customFormat="1">
      <c r="A13211" s="136"/>
      <c r="CM13211" s="111"/>
      <c r="CQ13211" s="111"/>
      <c r="EF13211"/>
      <c r="EG13211"/>
      <c r="EH13211"/>
      <c r="EI13211"/>
      <c r="EJ13211"/>
      <c r="EK13211"/>
    </row>
    <row r="13212" spans="1:141" s="116" customFormat="1">
      <c r="A13212" s="136"/>
      <c r="CM13212" s="111"/>
      <c r="CQ13212" s="111"/>
      <c r="EF13212"/>
      <c r="EG13212"/>
      <c r="EH13212"/>
      <c r="EI13212"/>
      <c r="EJ13212"/>
      <c r="EK13212"/>
    </row>
    <row r="13213" spans="1:141" s="116" customFormat="1">
      <c r="A13213" s="136"/>
      <c r="CM13213" s="111"/>
      <c r="CQ13213" s="111"/>
      <c r="EF13213"/>
      <c r="EG13213"/>
      <c r="EH13213"/>
      <c r="EI13213"/>
      <c r="EJ13213"/>
      <c r="EK13213"/>
    </row>
    <row r="13214" spans="1:141" s="116" customFormat="1">
      <c r="A13214" s="136"/>
      <c r="CM13214" s="111"/>
      <c r="CQ13214" s="111"/>
      <c r="EF13214"/>
      <c r="EG13214"/>
      <c r="EH13214"/>
      <c r="EI13214"/>
      <c r="EJ13214"/>
      <c r="EK13214"/>
    </row>
    <row r="13215" spans="1:141" s="116" customFormat="1">
      <c r="A13215" s="136"/>
      <c r="CM13215" s="111"/>
      <c r="CQ13215" s="111"/>
      <c r="EF13215"/>
      <c r="EG13215"/>
      <c r="EH13215"/>
      <c r="EI13215"/>
      <c r="EJ13215"/>
      <c r="EK13215"/>
    </row>
    <row r="13216" spans="1:141" s="116" customFormat="1">
      <c r="A13216" s="136"/>
      <c r="CM13216" s="111"/>
      <c r="CQ13216" s="111"/>
      <c r="EF13216"/>
      <c r="EG13216"/>
      <c r="EH13216"/>
      <c r="EI13216"/>
      <c r="EJ13216"/>
      <c r="EK13216"/>
    </row>
    <row r="13217" spans="1:141" s="116" customFormat="1">
      <c r="A13217" s="136"/>
      <c r="CM13217" s="111"/>
      <c r="CQ13217" s="111"/>
      <c r="EF13217"/>
      <c r="EG13217"/>
      <c r="EH13217"/>
      <c r="EI13217"/>
      <c r="EJ13217"/>
      <c r="EK13217"/>
    </row>
    <row r="13218" spans="1:141" s="116" customFormat="1">
      <c r="A13218" s="136"/>
      <c r="CM13218" s="111"/>
      <c r="CQ13218" s="111"/>
      <c r="EF13218"/>
      <c r="EG13218"/>
      <c r="EH13218"/>
      <c r="EI13218"/>
      <c r="EJ13218"/>
      <c r="EK13218"/>
    </row>
    <row r="13219" spans="1:141" s="116" customFormat="1">
      <c r="A13219" s="136"/>
      <c r="CM13219" s="111"/>
      <c r="CQ13219" s="111"/>
      <c r="EF13219"/>
      <c r="EG13219"/>
      <c r="EH13219"/>
      <c r="EI13219"/>
      <c r="EJ13219"/>
      <c r="EK13219"/>
    </row>
    <row r="13220" spans="1:141" s="116" customFormat="1">
      <c r="A13220" s="136"/>
      <c r="CM13220" s="111"/>
      <c r="CQ13220" s="111"/>
      <c r="EF13220"/>
      <c r="EG13220"/>
      <c r="EH13220"/>
      <c r="EI13220"/>
      <c r="EJ13220"/>
      <c r="EK13220"/>
    </row>
    <row r="13221" spans="1:141" s="116" customFormat="1">
      <c r="A13221" s="136"/>
      <c r="CM13221" s="111"/>
      <c r="CQ13221" s="111"/>
      <c r="EF13221"/>
      <c r="EG13221"/>
      <c r="EH13221"/>
      <c r="EI13221"/>
      <c r="EJ13221"/>
      <c r="EK13221"/>
    </row>
    <row r="13222" spans="1:141" s="116" customFormat="1">
      <c r="A13222" s="136"/>
      <c r="CM13222" s="111"/>
      <c r="CQ13222" s="111"/>
      <c r="EF13222"/>
      <c r="EG13222"/>
      <c r="EH13222"/>
      <c r="EI13222"/>
      <c r="EJ13222"/>
      <c r="EK13222"/>
    </row>
    <row r="13223" spans="1:141" s="116" customFormat="1">
      <c r="A13223" s="136"/>
      <c r="CM13223" s="111"/>
      <c r="CQ13223" s="111"/>
      <c r="EF13223"/>
      <c r="EG13223"/>
      <c r="EH13223"/>
      <c r="EI13223"/>
      <c r="EJ13223"/>
      <c r="EK13223"/>
    </row>
    <row r="13224" spans="1:141" s="116" customFormat="1">
      <c r="A13224" s="136"/>
      <c r="CM13224" s="111"/>
      <c r="CQ13224" s="111"/>
      <c r="EF13224"/>
      <c r="EG13224"/>
      <c r="EH13224"/>
      <c r="EI13224"/>
      <c r="EJ13224"/>
      <c r="EK13224"/>
    </row>
    <row r="13225" spans="1:141" s="116" customFormat="1">
      <c r="A13225" s="136"/>
      <c r="CM13225" s="111"/>
      <c r="CQ13225" s="111"/>
      <c r="EF13225"/>
      <c r="EG13225"/>
      <c r="EH13225"/>
      <c r="EI13225"/>
      <c r="EJ13225"/>
      <c r="EK13225"/>
    </row>
    <row r="13226" spans="1:141" s="116" customFormat="1">
      <c r="A13226" s="136"/>
      <c r="CM13226" s="111"/>
      <c r="CQ13226" s="111"/>
      <c r="EF13226"/>
      <c r="EG13226"/>
      <c r="EH13226"/>
      <c r="EI13226"/>
      <c r="EJ13226"/>
      <c r="EK13226"/>
    </row>
    <row r="13227" spans="1:141" s="116" customFormat="1">
      <c r="A13227" s="136"/>
      <c r="CM13227" s="111"/>
      <c r="CQ13227" s="111"/>
      <c r="EF13227"/>
      <c r="EG13227"/>
      <c r="EH13227"/>
      <c r="EI13227"/>
      <c r="EJ13227"/>
      <c r="EK13227"/>
    </row>
    <row r="13228" spans="1:141" s="116" customFormat="1">
      <c r="A13228" s="136"/>
      <c r="CM13228" s="111"/>
      <c r="CQ13228" s="111"/>
      <c r="EF13228"/>
      <c r="EG13228"/>
      <c r="EH13228"/>
      <c r="EI13228"/>
      <c r="EJ13228"/>
      <c r="EK13228"/>
    </row>
    <row r="13229" spans="1:141" s="116" customFormat="1">
      <c r="A13229" s="136"/>
      <c r="CM13229" s="111"/>
      <c r="CQ13229" s="111"/>
      <c r="EF13229"/>
      <c r="EG13229"/>
      <c r="EH13229"/>
      <c r="EI13229"/>
      <c r="EJ13229"/>
      <c r="EK13229"/>
    </row>
    <row r="13230" spans="1:141" s="116" customFormat="1">
      <c r="A13230" s="136"/>
      <c r="CM13230" s="111"/>
      <c r="CQ13230" s="111"/>
      <c r="EF13230"/>
      <c r="EG13230"/>
      <c r="EH13230"/>
      <c r="EI13230"/>
      <c r="EJ13230"/>
      <c r="EK13230"/>
    </row>
    <row r="13231" spans="1:141" s="116" customFormat="1">
      <c r="A13231" s="136"/>
      <c r="CM13231" s="111"/>
      <c r="CQ13231" s="111"/>
      <c r="EF13231"/>
      <c r="EG13231"/>
      <c r="EH13231"/>
      <c r="EI13231"/>
      <c r="EJ13231"/>
      <c r="EK13231"/>
    </row>
    <row r="13232" spans="1:141" s="116" customFormat="1">
      <c r="A13232" s="136"/>
      <c r="CM13232" s="111"/>
      <c r="CQ13232" s="111"/>
      <c r="EF13232"/>
      <c r="EG13232"/>
      <c r="EH13232"/>
      <c r="EI13232"/>
      <c r="EJ13232"/>
      <c r="EK13232"/>
    </row>
    <row r="13233" spans="1:141" s="116" customFormat="1">
      <c r="A13233" s="136"/>
      <c r="CM13233" s="111"/>
      <c r="CQ13233" s="111"/>
      <c r="EF13233"/>
      <c r="EG13233"/>
      <c r="EH13233"/>
      <c r="EI13233"/>
      <c r="EJ13233"/>
      <c r="EK13233"/>
    </row>
    <row r="13234" spans="1:141" s="116" customFormat="1">
      <c r="A13234" s="136"/>
      <c r="CM13234" s="111"/>
      <c r="CQ13234" s="111"/>
      <c r="EF13234"/>
      <c r="EG13234"/>
      <c r="EH13234"/>
      <c r="EI13234"/>
      <c r="EJ13234"/>
      <c r="EK13234"/>
    </row>
    <row r="13235" spans="1:141" s="116" customFormat="1">
      <c r="A13235" s="136"/>
      <c r="CM13235" s="111"/>
      <c r="CQ13235" s="111"/>
      <c r="EF13235"/>
      <c r="EG13235"/>
      <c r="EH13235"/>
      <c r="EI13235"/>
      <c r="EJ13235"/>
      <c r="EK13235"/>
    </row>
    <row r="13236" spans="1:141" s="116" customFormat="1">
      <c r="A13236" s="136"/>
      <c r="CM13236" s="111"/>
      <c r="CQ13236" s="111"/>
      <c r="EF13236"/>
      <c r="EG13236"/>
      <c r="EH13236"/>
      <c r="EI13236"/>
      <c r="EJ13236"/>
      <c r="EK13236"/>
    </row>
    <row r="13237" spans="1:141" s="116" customFormat="1">
      <c r="A13237" s="136"/>
      <c r="CM13237" s="111"/>
      <c r="CQ13237" s="111"/>
      <c r="EF13237"/>
      <c r="EG13237"/>
      <c r="EH13237"/>
      <c r="EI13237"/>
      <c r="EJ13237"/>
      <c r="EK13237"/>
    </row>
    <row r="13238" spans="1:141" s="116" customFormat="1">
      <c r="A13238" s="136"/>
      <c r="CM13238" s="111"/>
      <c r="CQ13238" s="111"/>
      <c r="EF13238"/>
      <c r="EG13238"/>
      <c r="EH13238"/>
      <c r="EI13238"/>
      <c r="EJ13238"/>
      <c r="EK13238"/>
    </row>
    <row r="13239" spans="1:141" s="116" customFormat="1">
      <c r="A13239" s="136"/>
      <c r="CM13239" s="111"/>
      <c r="CQ13239" s="111"/>
      <c r="EF13239"/>
      <c r="EG13239"/>
      <c r="EH13239"/>
      <c r="EI13239"/>
      <c r="EJ13239"/>
      <c r="EK13239"/>
    </row>
    <row r="13240" spans="1:141" s="116" customFormat="1">
      <c r="A13240" s="136"/>
      <c r="CM13240" s="111"/>
      <c r="CQ13240" s="111"/>
      <c r="EF13240"/>
      <c r="EG13240"/>
      <c r="EH13240"/>
      <c r="EI13240"/>
      <c r="EJ13240"/>
      <c r="EK13240"/>
    </row>
    <row r="13241" spans="1:141" s="116" customFormat="1">
      <c r="A13241" s="136"/>
      <c r="CM13241" s="111"/>
      <c r="CQ13241" s="111"/>
      <c r="EF13241"/>
      <c r="EG13241"/>
      <c r="EH13241"/>
      <c r="EI13241"/>
      <c r="EJ13241"/>
      <c r="EK13241"/>
    </row>
    <row r="13242" spans="1:141" s="116" customFormat="1">
      <c r="A13242" s="136"/>
      <c r="CM13242" s="111"/>
      <c r="CQ13242" s="111"/>
      <c r="EF13242"/>
      <c r="EG13242"/>
      <c r="EH13242"/>
      <c r="EI13242"/>
      <c r="EJ13242"/>
      <c r="EK13242"/>
    </row>
    <row r="13243" spans="1:141" s="116" customFormat="1">
      <c r="A13243" s="136"/>
      <c r="CM13243" s="111"/>
      <c r="CQ13243" s="111"/>
      <c r="EF13243"/>
      <c r="EG13243"/>
      <c r="EH13243"/>
      <c r="EI13243"/>
      <c r="EJ13243"/>
      <c r="EK13243"/>
    </row>
    <row r="13244" spans="1:141" s="116" customFormat="1">
      <c r="A13244" s="136"/>
      <c r="CM13244" s="111"/>
      <c r="CQ13244" s="111"/>
      <c r="EF13244"/>
      <c r="EG13244"/>
      <c r="EH13244"/>
      <c r="EI13244"/>
      <c r="EJ13244"/>
      <c r="EK13244"/>
    </row>
    <row r="13245" spans="1:141" s="116" customFormat="1">
      <c r="A13245" s="136"/>
      <c r="CM13245" s="111"/>
      <c r="CQ13245" s="111"/>
      <c r="EF13245"/>
      <c r="EG13245"/>
      <c r="EH13245"/>
      <c r="EI13245"/>
      <c r="EJ13245"/>
      <c r="EK13245"/>
    </row>
    <row r="13246" spans="1:141" s="116" customFormat="1">
      <c r="A13246" s="136"/>
      <c r="CM13246" s="111"/>
      <c r="CQ13246" s="111"/>
      <c r="EF13246"/>
      <c r="EG13246"/>
      <c r="EH13246"/>
      <c r="EI13246"/>
      <c r="EJ13246"/>
      <c r="EK13246"/>
    </row>
    <row r="13247" spans="1:141" s="116" customFormat="1">
      <c r="A13247" s="136"/>
      <c r="CM13247" s="111"/>
      <c r="CQ13247" s="111"/>
      <c r="EF13247"/>
      <c r="EG13247"/>
      <c r="EH13247"/>
      <c r="EI13247"/>
      <c r="EJ13247"/>
      <c r="EK13247"/>
    </row>
    <row r="13248" spans="1:141" s="116" customFormat="1">
      <c r="A13248" s="136"/>
      <c r="CM13248" s="111"/>
      <c r="CQ13248" s="111"/>
      <c r="EF13248"/>
      <c r="EG13248"/>
      <c r="EH13248"/>
      <c r="EI13248"/>
      <c r="EJ13248"/>
      <c r="EK13248"/>
    </row>
    <row r="13249" spans="1:141" s="116" customFormat="1">
      <c r="A13249" s="136"/>
      <c r="CM13249" s="111"/>
      <c r="CQ13249" s="111"/>
      <c r="EF13249"/>
      <c r="EG13249"/>
      <c r="EH13249"/>
      <c r="EI13249"/>
      <c r="EJ13249"/>
      <c r="EK13249"/>
    </row>
    <row r="13250" spans="1:141" s="116" customFormat="1">
      <c r="A13250" s="136"/>
      <c r="CM13250" s="111"/>
      <c r="CQ13250" s="111"/>
      <c r="EF13250"/>
      <c r="EG13250"/>
      <c r="EH13250"/>
      <c r="EI13250"/>
      <c r="EJ13250"/>
      <c r="EK13250"/>
    </row>
    <row r="13251" spans="1:141" s="116" customFormat="1">
      <c r="A13251" s="136"/>
      <c r="CM13251" s="111"/>
      <c r="CQ13251" s="111"/>
      <c r="EF13251"/>
      <c r="EG13251"/>
      <c r="EH13251"/>
      <c r="EI13251"/>
      <c r="EJ13251"/>
      <c r="EK13251"/>
    </row>
    <row r="13252" spans="1:141" s="116" customFormat="1">
      <c r="A13252" s="136"/>
      <c r="CM13252" s="111"/>
      <c r="CQ13252" s="111"/>
      <c r="EF13252"/>
      <c r="EG13252"/>
      <c r="EH13252"/>
      <c r="EI13252"/>
      <c r="EJ13252"/>
      <c r="EK13252"/>
    </row>
    <row r="13253" spans="1:141" s="116" customFormat="1">
      <c r="A13253" s="136"/>
      <c r="CM13253" s="111"/>
      <c r="CQ13253" s="111"/>
      <c r="EF13253"/>
      <c r="EG13253"/>
      <c r="EH13253"/>
      <c r="EI13253"/>
      <c r="EJ13253"/>
      <c r="EK13253"/>
    </row>
    <row r="13254" spans="1:141" s="116" customFormat="1">
      <c r="A13254" s="136"/>
      <c r="CM13254" s="111"/>
      <c r="CQ13254" s="111"/>
      <c r="EF13254"/>
      <c r="EG13254"/>
      <c r="EH13254"/>
      <c r="EI13254"/>
      <c r="EJ13254"/>
      <c r="EK13254"/>
    </row>
    <row r="13255" spans="1:141" s="116" customFormat="1">
      <c r="A13255" s="136"/>
      <c r="CM13255" s="111"/>
      <c r="CQ13255" s="111"/>
      <c r="EF13255"/>
      <c r="EG13255"/>
      <c r="EH13255"/>
      <c r="EI13255"/>
      <c r="EJ13255"/>
      <c r="EK13255"/>
    </row>
    <row r="13256" spans="1:141" s="116" customFormat="1">
      <c r="A13256" s="136"/>
      <c r="CM13256" s="111"/>
      <c r="CQ13256" s="111"/>
      <c r="EF13256"/>
      <c r="EG13256"/>
      <c r="EH13256"/>
      <c r="EI13256"/>
      <c r="EJ13256"/>
      <c r="EK13256"/>
    </row>
    <row r="13257" spans="1:141" s="116" customFormat="1">
      <c r="A13257" s="136"/>
      <c r="CM13257" s="111"/>
      <c r="CQ13257" s="111"/>
      <c r="EF13257"/>
      <c r="EG13257"/>
      <c r="EH13257"/>
      <c r="EI13257"/>
      <c r="EJ13257"/>
      <c r="EK13257"/>
    </row>
    <row r="13258" spans="1:141" s="116" customFormat="1">
      <c r="A13258" s="136"/>
      <c r="CM13258" s="111"/>
      <c r="CQ13258" s="111"/>
      <c r="EF13258"/>
      <c r="EG13258"/>
      <c r="EH13258"/>
      <c r="EI13258"/>
      <c r="EJ13258"/>
      <c r="EK13258"/>
    </row>
    <row r="13259" spans="1:141" s="116" customFormat="1">
      <c r="A13259" s="136"/>
      <c r="CM13259" s="111"/>
      <c r="CQ13259" s="111"/>
      <c r="EF13259"/>
      <c r="EG13259"/>
      <c r="EH13259"/>
      <c r="EI13259"/>
      <c r="EJ13259"/>
      <c r="EK13259"/>
    </row>
    <row r="13260" spans="1:141" s="116" customFormat="1">
      <c r="A13260" s="136"/>
      <c r="CM13260" s="111"/>
      <c r="CQ13260" s="111"/>
      <c r="EF13260"/>
      <c r="EG13260"/>
      <c r="EH13260"/>
      <c r="EI13260"/>
      <c r="EJ13260"/>
      <c r="EK13260"/>
    </row>
    <row r="13261" spans="1:141" s="116" customFormat="1">
      <c r="A13261" s="136"/>
      <c r="CM13261" s="111"/>
      <c r="CQ13261" s="111"/>
      <c r="EF13261"/>
      <c r="EG13261"/>
      <c r="EH13261"/>
      <c r="EI13261"/>
      <c r="EJ13261"/>
      <c r="EK13261"/>
    </row>
    <row r="13262" spans="1:141" s="116" customFormat="1">
      <c r="A13262" s="136"/>
      <c r="CM13262" s="111"/>
      <c r="CQ13262" s="111"/>
      <c r="EF13262"/>
      <c r="EG13262"/>
      <c r="EH13262"/>
      <c r="EI13262"/>
      <c r="EJ13262"/>
      <c r="EK13262"/>
    </row>
    <row r="13263" spans="1:141" s="116" customFormat="1">
      <c r="A13263" s="136"/>
      <c r="CM13263" s="111"/>
      <c r="CQ13263" s="111"/>
      <c r="EF13263"/>
      <c r="EG13263"/>
      <c r="EH13263"/>
      <c r="EI13263"/>
      <c r="EJ13263"/>
      <c r="EK13263"/>
    </row>
    <row r="13264" spans="1:141" s="116" customFormat="1">
      <c r="A13264" s="136"/>
      <c r="CM13264" s="111"/>
      <c r="CQ13264" s="111"/>
      <c r="EF13264"/>
      <c r="EG13264"/>
      <c r="EH13264"/>
      <c r="EI13264"/>
      <c r="EJ13264"/>
      <c r="EK13264"/>
    </row>
    <row r="13265" spans="1:141" s="116" customFormat="1">
      <c r="A13265" s="136"/>
      <c r="CM13265" s="111"/>
      <c r="CQ13265" s="111"/>
      <c r="EF13265"/>
      <c r="EG13265"/>
      <c r="EH13265"/>
      <c r="EI13265"/>
      <c r="EJ13265"/>
      <c r="EK13265"/>
    </row>
    <row r="13266" spans="1:141" s="116" customFormat="1">
      <c r="A13266" s="136"/>
      <c r="CM13266" s="111"/>
      <c r="CQ13266" s="111"/>
      <c r="EF13266"/>
      <c r="EG13266"/>
      <c r="EH13266"/>
      <c r="EI13266"/>
      <c r="EJ13266"/>
      <c r="EK13266"/>
    </row>
    <row r="13267" spans="1:141" s="116" customFormat="1">
      <c r="A13267" s="136"/>
      <c r="CM13267" s="111"/>
      <c r="CQ13267" s="111"/>
      <c r="EF13267"/>
      <c r="EG13267"/>
      <c r="EH13267"/>
      <c r="EI13267"/>
      <c r="EJ13267"/>
      <c r="EK13267"/>
    </row>
    <row r="13268" spans="1:141" s="116" customFormat="1">
      <c r="A13268" s="136"/>
      <c r="CM13268" s="111"/>
      <c r="CQ13268" s="111"/>
      <c r="EF13268"/>
      <c r="EG13268"/>
      <c r="EH13268"/>
      <c r="EI13268"/>
      <c r="EJ13268"/>
      <c r="EK13268"/>
    </row>
    <row r="13269" spans="1:141" s="116" customFormat="1">
      <c r="A13269" s="136"/>
      <c r="CM13269" s="111"/>
      <c r="CQ13269" s="111"/>
      <c r="EF13269"/>
      <c r="EG13269"/>
      <c r="EH13269"/>
      <c r="EI13269"/>
      <c r="EJ13269"/>
      <c r="EK13269"/>
    </row>
    <row r="13270" spans="1:141" s="116" customFormat="1">
      <c r="A13270" s="136"/>
      <c r="CM13270" s="111"/>
      <c r="CQ13270" s="111"/>
      <c r="EF13270"/>
      <c r="EG13270"/>
      <c r="EH13270"/>
      <c r="EI13270"/>
      <c r="EJ13270"/>
      <c r="EK13270"/>
    </row>
    <row r="13271" spans="1:141" s="116" customFormat="1">
      <c r="A13271" s="136"/>
      <c r="CM13271" s="111"/>
      <c r="CQ13271" s="111"/>
      <c r="EF13271"/>
      <c r="EG13271"/>
      <c r="EH13271"/>
      <c r="EI13271"/>
      <c r="EJ13271"/>
      <c r="EK13271"/>
    </row>
    <row r="13272" spans="1:141" s="116" customFormat="1">
      <c r="A13272" s="136"/>
      <c r="CM13272" s="111"/>
      <c r="CQ13272" s="111"/>
      <c r="EF13272"/>
      <c r="EG13272"/>
      <c r="EH13272"/>
      <c r="EI13272"/>
      <c r="EJ13272"/>
      <c r="EK13272"/>
    </row>
    <row r="13273" spans="1:141" s="116" customFormat="1">
      <c r="A13273" s="136"/>
      <c r="CM13273" s="111"/>
      <c r="CQ13273" s="111"/>
      <c r="EF13273"/>
      <c r="EG13273"/>
      <c r="EH13273"/>
      <c r="EI13273"/>
      <c r="EJ13273"/>
      <c r="EK13273"/>
    </row>
    <row r="13274" spans="1:141" s="116" customFormat="1">
      <c r="A13274" s="136"/>
      <c r="CM13274" s="111"/>
      <c r="CQ13274" s="111"/>
      <c r="EF13274"/>
      <c r="EG13274"/>
      <c r="EH13274"/>
      <c r="EI13274"/>
      <c r="EJ13274"/>
      <c r="EK13274"/>
    </row>
    <row r="13275" spans="1:141" s="116" customFormat="1">
      <c r="A13275" s="136"/>
      <c r="CM13275" s="111"/>
      <c r="CQ13275" s="111"/>
      <c r="EF13275"/>
      <c r="EG13275"/>
      <c r="EH13275"/>
      <c r="EI13275"/>
      <c r="EJ13275"/>
      <c r="EK13275"/>
    </row>
    <row r="13276" spans="1:141" s="116" customFormat="1">
      <c r="A13276" s="136"/>
      <c r="CM13276" s="111"/>
      <c r="CQ13276" s="111"/>
      <c r="EF13276"/>
      <c r="EG13276"/>
      <c r="EH13276"/>
      <c r="EI13276"/>
      <c r="EJ13276"/>
      <c r="EK13276"/>
    </row>
    <row r="13277" spans="1:141" s="116" customFormat="1">
      <c r="A13277" s="136"/>
      <c r="CM13277" s="111"/>
      <c r="CQ13277" s="111"/>
      <c r="EF13277"/>
      <c r="EG13277"/>
      <c r="EH13277"/>
      <c r="EI13277"/>
      <c r="EJ13277"/>
      <c r="EK13277"/>
    </row>
    <row r="13278" spans="1:141" s="116" customFormat="1">
      <c r="A13278" s="136"/>
      <c r="CM13278" s="111"/>
      <c r="CQ13278" s="111"/>
      <c r="EF13278"/>
      <c r="EG13278"/>
      <c r="EH13278"/>
      <c r="EI13278"/>
      <c r="EJ13278"/>
      <c r="EK13278"/>
    </row>
    <row r="13279" spans="1:141" s="116" customFormat="1">
      <c r="A13279" s="136"/>
      <c r="CM13279" s="111"/>
      <c r="CQ13279" s="111"/>
      <c r="EF13279"/>
      <c r="EG13279"/>
      <c r="EH13279"/>
      <c r="EI13279"/>
      <c r="EJ13279"/>
      <c r="EK13279"/>
    </row>
    <row r="13280" spans="1:141" s="116" customFormat="1">
      <c r="A13280" s="136"/>
      <c r="CM13280" s="111"/>
      <c r="CQ13280" s="111"/>
      <c r="EF13280"/>
      <c r="EG13280"/>
      <c r="EH13280"/>
      <c r="EI13280"/>
      <c r="EJ13280"/>
      <c r="EK13280"/>
    </row>
    <row r="13281" spans="1:141" s="116" customFormat="1">
      <c r="A13281" s="136"/>
      <c r="CM13281" s="111"/>
      <c r="CQ13281" s="111"/>
      <c r="EF13281"/>
      <c r="EG13281"/>
      <c r="EH13281"/>
      <c r="EI13281"/>
      <c r="EJ13281"/>
      <c r="EK13281"/>
    </row>
    <row r="13282" spans="1:141" s="116" customFormat="1">
      <c r="A13282" s="136"/>
      <c r="CM13282" s="111"/>
      <c r="CQ13282" s="111"/>
      <c r="EF13282"/>
      <c r="EG13282"/>
      <c r="EH13282"/>
      <c r="EI13282"/>
      <c r="EJ13282"/>
      <c r="EK13282"/>
    </row>
    <row r="13283" spans="1:141" s="116" customFormat="1">
      <c r="A13283" s="136"/>
      <c r="CM13283" s="111"/>
      <c r="CQ13283" s="111"/>
      <c r="EF13283"/>
      <c r="EG13283"/>
      <c r="EH13283"/>
      <c r="EI13283"/>
      <c r="EJ13283"/>
      <c r="EK13283"/>
    </row>
    <row r="13284" spans="1:141" s="116" customFormat="1">
      <c r="A13284" s="136"/>
      <c r="CM13284" s="111"/>
      <c r="CQ13284" s="111"/>
      <c r="EF13284"/>
      <c r="EG13284"/>
      <c r="EH13284"/>
      <c r="EI13284"/>
      <c r="EJ13284"/>
      <c r="EK13284"/>
    </row>
    <row r="13285" spans="1:141" s="116" customFormat="1">
      <c r="A13285" s="136"/>
      <c r="CM13285" s="111"/>
      <c r="CQ13285" s="111"/>
      <c r="EF13285"/>
      <c r="EG13285"/>
      <c r="EH13285"/>
      <c r="EI13285"/>
      <c r="EJ13285"/>
      <c r="EK13285"/>
    </row>
    <row r="13286" spans="1:141" s="116" customFormat="1">
      <c r="A13286" s="136"/>
      <c r="CM13286" s="111"/>
      <c r="CQ13286" s="111"/>
      <c r="EF13286"/>
      <c r="EG13286"/>
      <c r="EH13286"/>
      <c r="EI13286"/>
      <c r="EJ13286"/>
      <c r="EK13286"/>
    </row>
    <row r="13287" spans="1:141" s="116" customFormat="1">
      <c r="A13287" s="136"/>
      <c r="CM13287" s="111"/>
      <c r="CQ13287" s="111"/>
      <c r="EF13287"/>
      <c r="EG13287"/>
      <c r="EH13287"/>
      <c r="EI13287"/>
      <c r="EJ13287"/>
      <c r="EK13287"/>
    </row>
    <row r="13288" spans="1:141" s="116" customFormat="1">
      <c r="A13288" s="136"/>
      <c r="CM13288" s="111"/>
      <c r="CQ13288" s="111"/>
      <c r="EF13288"/>
      <c r="EG13288"/>
      <c r="EH13288"/>
      <c r="EI13288"/>
      <c r="EJ13288"/>
      <c r="EK13288"/>
    </row>
    <row r="13289" spans="1:141" s="116" customFormat="1">
      <c r="A13289" s="136"/>
      <c r="CM13289" s="111"/>
      <c r="CQ13289" s="111"/>
      <c r="EF13289"/>
      <c r="EG13289"/>
      <c r="EH13289"/>
      <c r="EI13289"/>
      <c r="EJ13289"/>
      <c r="EK13289"/>
    </row>
    <row r="13290" spans="1:141" s="116" customFormat="1">
      <c r="A13290" s="136"/>
      <c r="CM13290" s="111"/>
      <c r="CQ13290" s="111"/>
      <c r="EF13290"/>
      <c r="EG13290"/>
      <c r="EH13290"/>
      <c r="EI13290"/>
      <c r="EJ13290"/>
      <c r="EK13290"/>
    </row>
    <row r="13291" spans="1:141" s="116" customFormat="1">
      <c r="A13291" s="136"/>
      <c r="CM13291" s="111"/>
      <c r="CQ13291" s="111"/>
      <c r="EF13291"/>
      <c r="EG13291"/>
      <c r="EH13291"/>
      <c r="EI13291"/>
      <c r="EJ13291"/>
      <c r="EK13291"/>
    </row>
    <row r="13292" spans="1:141" s="116" customFormat="1">
      <c r="A13292" s="136"/>
      <c r="CM13292" s="111"/>
      <c r="CQ13292" s="111"/>
      <c r="EF13292"/>
      <c r="EG13292"/>
      <c r="EH13292"/>
      <c r="EI13292"/>
      <c r="EJ13292"/>
      <c r="EK13292"/>
    </row>
    <row r="13293" spans="1:141" s="116" customFormat="1">
      <c r="A13293" s="136"/>
      <c r="CM13293" s="111"/>
      <c r="CQ13293" s="111"/>
      <c r="EF13293"/>
      <c r="EG13293"/>
      <c r="EH13293"/>
      <c r="EI13293"/>
      <c r="EJ13293"/>
      <c r="EK13293"/>
    </row>
    <row r="13294" spans="1:141" s="116" customFormat="1">
      <c r="A13294" s="136"/>
      <c r="CM13294" s="111"/>
      <c r="CQ13294" s="111"/>
      <c r="EF13294"/>
      <c r="EG13294"/>
      <c r="EH13294"/>
      <c r="EI13294"/>
      <c r="EJ13294"/>
      <c r="EK13294"/>
    </row>
    <row r="13295" spans="1:141" s="116" customFormat="1">
      <c r="A13295" s="136"/>
      <c r="CM13295" s="111"/>
      <c r="CQ13295" s="111"/>
      <c r="EF13295"/>
      <c r="EG13295"/>
      <c r="EH13295"/>
      <c r="EI13295"/>
      <c r="EJ13295"/>
      <c r="EK13295"/>
    </row>
    <row r="13296" spans="1:141" s="116" customFormat="1">
      <c r="A13296" s="136"/>
      <c r="CM13296" s="111"/>
      <c r="CQ13296" s="111"/>
      <c r="EF13296"/>
      <c r="EG13296"/>
      <c r="EH13296"/>
      <c r="EI13296"/>
      <c r="EJ13296"/>
      <c r="EK13296"/>
    </row>
    <row r="13297" spans="1:141" s="116" customFormat="1">
      <c r="A13297" s="136"/>
      <c r="CM13297" s="111"/>
      <c r="CQ13297" s="111"/>
      <c r="EF13297"/>
      <c r="EG13297"/>
      <c r="EH13297"/>
      <c r="EI13297"/>
      <c r="EJ13297"/>
      <c r="EK13297"/>
    </row>
    <row r="13298" spans="1:141" s="116" customFormat="1">
      <c r="A13298" s="136"/>
      <c r="CM13298" s="111"/>
      <c r="CQ13298" s="111"/>
      <c r="EF13298"/>
      <c r="EG13298"/>
      <c r="EH13298"/>
      <c r="EI13298"/>
      <c r="EJ13298"/>
      <c r="EK13298"/>
    </row>
    <row r="13299" spans="1:141" s="116" customFormat="1">
      <c r="A13299" s="136"/>
      <c r="CM13299" s="111"/>
      <c r="CQ13299" s="111"/>
      <c r="EF13299"/>
      <c r="EG13299"/>
      <c r="EH13299"/>
      <c r="EI13299"/>
      <c r="EJ13299"/>
      <c r="EK13299"/>
    </row>
    <row r="13300" spans="1:141" s="116" customFormat="1">
      <c r="A13300" s="136"/>
      <c r="CM13300" s="111"/>
      <c r="CQ13300" s="111"/>
      <c r="EF13300"/>
      <c r="EG13300"/>
      <c r="EH13300"/>
      <c r="EI13300"/>
      <c r="EJ13300"/>
      <c r="EK13300"/>
    </row>
    <row r="13301" spans="1:141" s="116" customFormat="1">
      <c r="A13301" s="136"/>
      <c r="CM13301" s="111"/>
      <c r="CQ13301" s="111"/>
      <c r="EF13301"/>
      <c r="EG13301"/>
      <c r="EH13301"/>
      <c r="EI13301"/>
      <c r="EJ13301"/>
      <c r="EK13301"/>
    </row>
    <row r="13302" spans="1:141" s="116" customFormat="1">
      <c r="A13302" s="136"/>
      <c r="CM13302" s="111"/>
      <c r="CQ13302" s="111"/>
      <c r="EF13302"/>
      <c r="EG13302"/>
      <c r="EH13302"/>
      <c r="EI13302"/>
      <c r="EJ13302"/>
      <c r="EK13302"/>
    </row>
    <row r="13303" spans="1:141" s="116" customFormat="1">
      <c r="A13303" s="136"/>
      <c r="CM13303" s="111"/>
      <c r="CQ13303" s="111"/>
      <c r="EF13303"/>
      <c r="EG13303"/>
      <c r="EH13303"/>
      <c r="EI13303"/>
      <c r="EJ13303"/>
      <c r="EK13303"/>
    </row>
    <row r="13304" spans="1:141" s="116" customFormat="1">
      <c r="A13304" s="136"/>
      <c r="CM13304" s="111"/>
      <c r="CQ13304" s="111"/>
      <c r="EF13304"/>
      <c r="EG13304"/>
      <c r="EH13304"/>
      <c r="EI13304"/>
      <c r="EJ13304"/>
      <c r="EK13304"/>
    </row>
    <row r="13305" spans="1:141" s="116" customFormat="1">
      <c r="A13305" s="136"/>
      <c r="CM13305" s="111"/>
      <c r="CQ13305" s="111"/>
      <c r="EF13305"/>
      <c r="EG13305"/>
      <c r="EH13305"/>
      <c r="EI13305"/>
      <c r="EJ13305"/>
      <c r="EK13305"/>
    </row>
    <row r="13306" spans="1:141" s="116" customFormat="1">
      <c r="A13306" s="136"/>
      <c r="CM13306" s="111"/>
      <c r="CQ13306" s="111"/>
      <c r="EF13306"/>
      <c r="EG13306"/>
      <c r="EH13306"/>
      <c r="EI13306"/>
      <c r="EJ13306"/>
      <c r="EK13306"/>
    </row>
    <row r="13307" spans="1:141" s="116" customFormat="1">
      <c r="A13307" s="136"/>
      <c r="CM13307" s="111"/>
      <c r="CQ13307" s="111"/>
      <c r="EF13307"/>
      <c r="EG13307"/>
      <c r="EH13307"/>
      <c r="EI13307"/>
      <c r="EJ13307"/>
      <c r="EK13307"/>
    </row>
    <row r="13308" spans="1:141" s="116" customFormat="1">
      <c r="A13308" s="136"/>
      <c r="CM13308" s="111"/>
      <c r="CQ13308" s="111"/>
      <c r="EF13308"/>
      <c r="EG13308"/>
      <c r="EH13308"/>
      <c r="EI13308"/>
      <c r="EJ13308"/>
      <c r="EK13308"/>
    </row>
    <row r="13309" spans="1:141" s="116" customFormat="1">
      <c r="A13309" s="136"/>
      <c r="CM13309" s="111"/>
      <c r="CQ13309" s="111"/>
      <c r="EF13309"/>
      <c r="EG13309"/>
      <c r="EH13309"/>
      <c r="EI13309"/>
      <c r="EJ13309"/>
      <c r="EK13309"/>
    </row>
    <row r="13310" spans="1:141" s="116" customFormat="1">
      <c r="A13310" s="136"/>
      <c r="CM13310" s="111"/>
      <c r="CQ13310" s="111"/>
      <c r="EF13310"/>
      <c r="EG13310"/>
      <c r="EH13310"/>
      <c r="EI13310"/>
      <c r="EJ13310"/>
      <c r="EK13310"/>
    </row>
    <row r="13311" spans="1:141" s="116" customFormat="1">
      <c r="A13311" s="136"/>
      <c r="CM13311" s="111"/>
      <c r="CQ13311" s="111"/>
      <c r="EF13311"/>
      <c r="EG13311"/>
      <c r="EH13311"/>
      <c r="EI13311"/>
      <c r="EJ13311"/>
      <c r="EK13311"/>
    </row>
    <row r="13312" spans="1:141" s="116" customFormat="1">
      <c r="A13312" s="136"/>
      <c r="CM13312" s="111"/>
      <c r="CQ13312" s="111"/>
      <c r="EF13312"/>
      <c r="EG13312"/>
      <c r="EH13312"/>
      <c r="EI13312"/>
      <c r="EJ13312"/>
      <c r="EK13312"/>
    </row>
    <row r="13313" spans="1:141" s="116" customFormat="1">
      <c r="A13313" s="136"/>
      <c r="CM13313" s="111"/>
      <c r="CQ13313" s="111"/>
      <c r="EF13313"/>
      <c r="EG13313"/>
      <c r="EH13313"/>
      <c r="EI13313"/>
      <c r="EJ13313"/>
      <c r="EK13313"/>
    </row>
    <row r="13314" spans="1:141" s="116" customFormat="1">
      <c r="A13314" s="136"/>
      <c r="CM13314" s="111"/>
      <c r="CQ13314" s="111"/>
      <c r="EF13314"/>
      <c r="EG13314"/>
      <c r="EH13314"/>
      <c r="EI13314"/>
      <c r="EJ13314"/>
      <c r="EK13314"/>
    </row>
    <row r="13315" spans="1:141" s="116" customFormat="1">
      <c r="A13315" s="136"/>
      <c r="CM13315" s="111"/>
      <c r="CQ13315" s="111"/>
      <c r="EF13315"/>
      <c r="EG13315"/>
      <c r="EH13315"/>
      <c r="EI13315"/>
      <c r="EJ13315"/>
      <c r="EK13315"/>
    </row>
    <row r="13316" spans="1:141" s="116" customFormat="1">
      <c r="A13316" s="136"/>
      <c r="CM13316" s="111"/>
      <c r="CQ13316" s="111"/>
      <c r="EF13316"/>
      <c r="EG13316"/>
      <c r="EH13316"/>
      <c r="EI13316"/>
      <c r="EJ13316"/>
      <c r="EK13316"/>
    </row>
    <row r="13317" spans="1:141" s="116" customFormat="1">
      <c r="A13317" s="136"/>
      <c r="CM13317" s="111"/>
      <c r="CQ13317" s="111"/>
      <c r="EF13317"/>
      <c r="EG13317"/>
      <c r="EH13317"/>
      <c r="EI13317"/>
      <c r="EJ13317"/>
      <c r="EK13317"/>
    </row>
    <row r="13318" spans="1:141" s="116" customFormat="1">
      <c r="A13318" s="136"/>
      <c r="CM13318" s="111"/>
      <c r="CQ13318" s="111"/>
      <c r="EF13318"/>
      <c r="EG13318"/>
      <c r="EH13318"/>
      <c r="EI13318"/>
      <c r="EJ13318"/>
      <c r="EK13318"/>
    </row>
    <row r="13319" spans="1:141" s="116" customFormat="1">
      <c r="A13319" s="136"/>
      <c r="CM13319" s="111"/>
      <c r="CQ13319" s="111"/>
      <c r="EF13319"/>
      <c r="EG13319"/>
      <c r="EH13319"/>
      <c r="EI13319"/>
      <c r="EJ13319"/>
      <c r="EK13319"/>
    </row>
    <row r="13320" spans="1:141" s="116" customFormat="1">
      <c r="A13320" s="136"/>
      <c r="CM13320" s="111"/>
      <c r="CQ13320" s="111"/>
      <c r="EF13320"/>
      <c r="EG13320"/>
      <c r="EH13320"/>
      <c r="EI13320"/>
      <c r="EJ13320"/>
      <c r="EK13320"/>
    </row>
    <row r="13321" spans="1:141" s="116" customFormat="1">
      <c r="A13321" s="136"/>
      <c r="CM13321" s="111"/>
      <c r="CQ13321" s="111"/>
      <c r="EF13321"/>
      <c r="EG13321"/>
      <c r="EH13321"/>
      <c r="EI13321"/>
      <c r="EJ13321"/>
      <c r="EK13321"/>
    </row>
    <row r="13322" spans="1:141" s="116" customFormat="1">
      <c r="A13322" s="136"/>
      <c r="CM13322" s="111"/>
      <c r="CQ13322" s="111"/>
      <c r="EF13322"/>
      <c r="EG13322"/>
      <c r="EH13322"/>
      <c r="EI13322"/>
      <c r="EJ13322"/>
      <c r="EK13322"/>
    </row>
    <row r="13323" spans="1:141" s="116" customFormat="1">
      <c r="A13323" s="136"/>
      <c r="CM13323" s="111"/>
      <c r="CQ13323" s="111"/>
      <c r="EF13323"/>
      <c r="EG13323"/>
      <c r="EH13323"/>
      <c r="EI13323"/>
      <c r="EJ13323"/>
      <c r="EK13323"/>
    </row>
    <row r="13324" spans="1:141" s="116" customFormat="1">
      <c r="A13324" s="136"/>
      <c r="CM13324" s="111"/>
      <c r="CQ13324" s="111"/>
      <c r="EF13324"/>
      <c r="EG13324"/>
      <c r="EH13324"/>
      <c r="EI13324"/>
      <c r="EJ13324"/>
      <c r="EK13324"/>
    </row>
    <row r="13325" spans="1:141" s="116" customFormat="1">
      <c r="A13325" s="136"/>
      <c r="CM13325" s="111"/>
      <c r="CQ13325" s="111"/>
      <c r="EF13325"/>
      <c r="EG13325"/>
      <c r="EH13325"/>
      <c r="EI13325"/>
      <c r="EJ13325"/>
      <c r="EK13325"/>
    </row>
    <row r="13326" spans="1:141" s="116" customFormat="1">
      <c r="A13326" s="136"/>
      <c r="CM13326" s="111"/>
      <c r="CQ13326" s="111"/>
      <c r="EF13326"/>
      <c r="EG13326"/>
      <c r="EH13326"/>
      <c r="EI13326"/>
      <c r="EJ13326"/>
      <c r="EK13326"/>
    </row>
    <row r="13327" spans="1:141" s="116" customFormat="1">
      <c r="A13327" s="136"/>
      <c r="CM13327" s="111"/>
      <c r="CQ13327" s="111"/>
      <c r="EF13327"/>
      <c r="EG13327"/>
      <c r="EH13327"/>
      <c r="EI13327"/>
      <c r="EJ13327"/>
      <c r="EK13327"/>
    </row>
    <row r="13328" spans="1:141" s="116" customFormat="1">
      <c r="A13328" s="136"/>
      <c r="CM13328" s="111"/>
      <c r="CQ13328" s="111"/>
      <c r="EF13328"/>
      <c r="EG13328"/>
      <c r="EH13328"/>
      <c r="EI13328"/>
      <c r="EJ13328"/>
      <c r="EK13328"/>
    </row>
    <row r="13329" spans="1:141" s="116" customFormat="1">
      <c r="A13329" s="136"/>
      <c r="CM13329" s="111"/>
      <c r="CQ13329" s="111"/>
      <c r="EF13329"/>
      <c r="EG13329"/>
      <c r="EH13329"/>
      <c r="EI13329"/>
      <c r="EJ13329"/>
      <c r="EK13329"/>
    </row>
    <row r="13330" spans="1:141" s="116" customFormat="1">
      <c r="A13330" s="136"/>
      <c r="CM13330" s="111"/>
      <c r="CQ13330" s="111"/>
      <c r="EF13330"/>
      <c r="EG13330"/>
      <c r="EH13330"/>
      <c r="EI13330"/>
      <c r="EJ13330"/>
      <c r="EK13330"/>
    </row>
    <row r="13331" spans="1:141" s="116" customFormat="1">
      <c r="A13331" s="136"/>
      <c r="CM13331" s="111"/>
      <c r="CQ13331" s="111"/>
      <c r="EF13331"/>
      <c r="EG13331"/>
      <c r="EH13331"/>
      <c r="EI13331"/>
      <c r="EJ13331"/>
      <c r="EK13331"/>
    </row>
    <row r="13332" spans="1:141" s="116" customFormat="1">
      <c r="A13332" s="136"/>
      <c r="CM13332" s="111"/>
      <c r="CQ13332" s="111"/>
      <c r="EF13332"/>
      <c r="EG13332"/>
      <c r="EH13332"/>
      <c r="EI13332"/>
      <c r="EJ13332"/>
      <c r="EK13332"/>
    </row>
    <row r="13333" spans="1:141" s="116" customFormat="1">
      <c r="A13333" s="136"/>
      <c r="CM13333" s="111"/>
      <c r="CQ13333" s="111"/>
      <c r="EF13333"/>
      <c r="EG13333"/>
      <c r="EH13333"/>
      <c r="EI13333"/>
      <c r="EJ13333"/>
      <c r="EK13333"/>
    </row>
    <row r="13334" spans="1:141" s="116" customFormat="1">
      <c r="A13334" s="136"/>
      <c r="CM13334" s="111"/>
      <c r="CQ13334" s="111"/>
      <c r="EF13334"/>
      <c r="EG13334"/>
      <c r="EH13334"/>
      <c r="EI13334"/>
      <c r="EJ13334"/>
      <c r="EK13334"/>
    </row>
    <row r="13335" spans="1:141" s="116" customFormat="1">
      <c r="A13335" s="136"/>
      <c r="CM13335" s="111"/>
      <c r="CQ13335" s="111"/>
      <c r="EF13335"/>
      <c r="EG13335"/>
      <c r="EH13335"/>
      <c r="EI13335"/>
      <c r="EJ13335"/>
      <c r="EK13335"/>
    </row>
    <row r="13336" spans="1:141" s="116" customFormat="1">
      <c r="A13336" s="136"/>
      <c r="CM13336" s="111"/>
      <c r="CQ13336" s="111"/>
      <c r="EF13336"/>
      <c r="EG13336"/>
      <c r="EH13336"/>
      <c r="EI13336"/>
      <c r="EJ13336"/>
      <c r="EK13336"/>
    </row>
    <row r="13337" spans="1:141" s="116" customFormat="1">
      <c r="A13337" s="136"/>
      <c r="CM13337" s="111"/>
      <c r="CQ13337" s="111"/>
      <c r="EF13337"/>
      <c r="EG13337"/>
      <c r="EH13337"/>
      <c r="EI13337"/>
      <c r="EJ13337"/>
      <c r="EK13337"/>
    </row>
    <row r="13338" spans="1:141" s="116" customFormat="1">
      <c r="A13338" s="136"/>
      <c r="CM13338" s="111"/>
      <c r="CQ13338" s="111"/>
      <c r="EF13338"/>
      <c r="EG13338"/>
      <c r="EH13338"/>
      <c r="EI13338"/>
      <c r="EJ13338"/>
      <c r="EK13338"/>
    </row>
    <row r="13339" spans="1:141" s="116" customFormat="1">
      <c r="A13339" s="136"/>
      <c r="CM13339" s="111"/>
      <c r="CQ13339" s="111"/>
      <c r="EF13339"/>
      <c r="EG13339"/>
      <c r="EH13339"/>
      <c r="EI13339"/>
      <c r="EJ13339"/>
      <c r="EK13339"/>
    </row>
    <row r="13340" spans="1:141" s="116" customFormat="1">
      <c r="A13340" s="136"/>
      <c r="CM13340" s="111"/>
      <c r="CQ13340" s="111"/>
      <c r="EF13340"/>
      <c r="EG13340"/>
      <c r="EH13340"/>
      <c r="EI13340"/>
      <c r="EJ13340"/>
      <c r="EK13340"/>
    </row>
    <row r="13341" spans="1:141" s="116" customFormat="1">
      <c r="A13341" s="136"/>
      <c r="CM13341" s="111"/>
      <c r="CQ13341" s="111"/>
      <c r="EF13341"/>
      <c r="EG13341"/>
      <c r="EH13341"/>
      <c r="EI13341"/>
      <c r="EJ13341"/>
      <c r="EK13341"/>
    </row>
    <row r="13342" spans="1:141" s="116" customFormat="1">
      <c r="A13342" s="136"/>
      <c r="CM13342" s="111"/>
      <c r="CQ13342" s="111"/>
      <c r="EF13342"/>
      <c r="EG13342"/>
      <c r="EH13342"/>
      <c r="EI13342"/>
      <c r="EJ13342"/>
      <c r="EK13342"/>
    </row>
    <row r="13343" spans="1:141" s="116" customFormat="1">
      <c r="A13343" s="136"/>
      <c r="CM13343" s="111"/>
      <c r="CQ13343" s="111"/>
      <c r="EF13343"/>
      <c r="EG13343"/>
      <c r="EH13343"/>
      <c r="EI13343"/>
      <c r="EJ13343"/>
      <c r="EK13343"/>
    </row>
    <row r="13344" spans="1:141" s="116" customFormat="1">
      <c r="A13344" s="136"/>
      <c r="CM13344" s="111"/>
      <c r="CQ13344" s="111"/>
      <c r="EF13344"/>
      <c r="EG13344"/>
      <c r="EH13344"/>
      <c r="EI13344"/>
      <c r="EJ13344"/>
      <c r="EK13344"/>
    </row>
    <row r="13345" spans="1:141" s="116" customFormat="1">
      <c r="A13345" s="136"/>
      <c r="CM13345" s="111"/>
      <c r="CQ13345" s="111"/>
      <c r="EF13345"/>
      <c r="EG13345"/>
      <c r="EH13345"/>
      <c r="EI13345"/>
      <c r="EJ13345"/>
      <c r="EK13345"/>
    </row>
    <row r="13346" spans="1:141" s="116" customFormat="1">
      <c r="A13346" s="136"/>
      <c r="CM13346" s="111"/>
      <c r="CQ13346" s="111"/>
      <c r="EF13346"/>
      <c r="EG13346"/>
      <c r="EH13346"/>
      <c r="EI13346"/>
      <c r="EJ13346"/>
      <c r="EK13346"/>
    </row>
    <row r="13347" spans="1:141" s="116" customFormat="1">
      <c r="A13347" s="136"/>
      <c r="CM13347" s="111"/>
      <c r="CQ13347" s="111"/>
      <c r="EF13347"/>
      <c r="EG13347"/>
      <c r="EH13347"/>
      <c r="EI13347"/>
      <c r="EJ13347"/>
      <c r="EK13347"/>
    </row>
    <row r="13348" spans="1:141" s="116" customFormat="1">
      <c r="A13348" s="136"/>
      <c r="CM13348" s="111"/>
      <c r="CQ13348" s="111"/>
      <c r="EF13348"/>
      <c r="EG13348"/>
      <c r="EH13348"/>
      <c r="EI13348"/>
      <c r="EJ13348"/>
      <c r="EK13348"/>
    </row>
    <row r="13349" spans="1:141" s="116" customFormat="1">
      <c r="A13349" s="136"/>
      <c r="CM13349" s="111"/>
      <c r="CQ13349" s="111"/>
      <c r="EF13349"/>
      <c r="EG13349"/>
      <c r="EH13349"/>
      <c r="EI13349"/>
      <c r="EJ13349"/>
      <c r="EK13349"/>
    </row>
    <row r="13350" spans="1:141" s="116" customFormat="1">
      <c r="A13350" s="136"/>
      <c r="CM13350" s="111"/>
      <c r="CQ13350" s="111"/>
      <c r="EF13350"/>
      <c r="EG13350"/>
      <c r="EH13350"/>
      <c r="EI13350"/>
      <c r="EJ13350"/>
      <c r="EK13350"/>
    </row>
    <row r="13351" spans="1:141" s="116" customFormat="1">
      <c r="A13351" s="136"/>
      <c r="CM13351" s="111"/>
      <c r="CQ13351" s="111"/>
      <c r="EF13351"/>
      <c r="EG13351"/>
      <c r="EH13351"/>
      <c r="EI13351"/>
      <c r="EJ13351"/>
      <c r="EK13351"/>
    </row>
    <row r="13352" spans="1:141" s="116" customFormat="1">
      <c r="A13352" s="136"/>
      <c r="CM13352" s="111"/>
      <c r="CQ13352" s="111"/>
      <c r="EF13352"/>
      <c r="EG13352"/>
      <c r="EH13352"/>
      <c r="EI13352"/>
      <c r="EJ13352"/>
      <c r="EK13352"/>
    </row>
    <row r="13353" spans="1:141" s="116" customFormat="1">
      <c r="A13353" s="136"/>
      <c r="CM13353" s="111"/>
      <c r="CQ13353" s="111"/>
      <c r="EF13353"/>
      <c r="EG13353"/>
      <c r="EH13353"/>
      <c r="EI13353"/>
      <c r="EJ13353"/>
      <c r="EK13353"/>
    </row>
    <row r="13354" spans="1:141" s="116" customFormat="1">
      <c r="A13354" s="136"/>
      <c r="CM13354" s="111"/>
      <c r="CQ13354" s="111"/>
      <c r="EF13354"/>
      <c r="EG13354"/>
      <c r="EH13354"/>
      <c r="EI13354"/>
      <c r="EJ13354"/>
      <c r="EK13354"/>
    </row>
    <row r="13355" spans="1:141" s="116" customFormat="1">
      <c r="A13355" s="136"/>
      <c r="CM13355" s="111"/>
      <c r="CQ13355" s="111"/>
      <c r="EF13355"/>
      <c r="EG13355"/>
      <c r="EH13355"/>
      <c r="EI13355"/>
      <c r="EJ13355"/>
      <c r="EK13355"/>
    </row>
    <row r="13356" spans="1:141" s="116" customFormat="1">
      <c r="A13356" s="136"/>
      <c r="CM13356" s="111"/>
      <c r="CQ13356" s="111"/>
      <c r="EF13356"/>
      <c r="EG13356"/>
      <c r="EH13356"/>
      <c r="EI13356"/>
      <c r="EJ13356"/>
      <c r="EK13356"/>
    </row>
    <row r="13357" spans="1:141" s="116" customFormat="1">
      <c r="A13357" s="136"/>
      <c r="CM13357" s="111"/>
      <c r="CQ13357" s="111"/>
      <c r="EF13357"/>
      <c r="EG13357"/>
      <c r="EH13357"/>
      <c r="EI13357"/>
      <c r="EJ13357"/>
      <c r="EK13357"/>
    </row>
    <row r="13358" spans="1:141" s="116" customFormat="1">
      <c r="A13358" s="136"/>
      <c r="CM13358" s="111"/>
      <c r="CQ13358" s="111"/>
      <c r="EF13358"/>
      <c r="EG13358"/>
      <c r="EH13358"/>
      <c r="EI13358"/>
      <c r="EJ13358"/>
      <c r="EK13358"/>
    </row>
    <row r="13359" spans="1:141" s="116" customFormat="1">
      <c r="A13359" s="136"/>
      <c r="CM13359" s="111"/>
      <c r="CQ13359" s="111"/>
      <c r="EF13359"/>
      <c r="EG13359"/>
      <c r="EH13359"/>
      <c r="EI13359"/>
      <c r="EJ13359"/>
      <c r="EK13359"/>
    </row>
    <row r="13360" spans="1:141" s="116" customFormat="1">
      <c r="A13360" s="136"/>
      <c r="CM13360" s="111"/>
      <c r="CQ13360" s="111"/>
      <c r="EF13360"/>
      <c r="EG13360"/>
      <c r="EH13360"/>
      <c r="EI13360"/>
      <c r="EJ13360"/>
      <c r="EK13360"/>
    </row>
    <row r="13361" spans="1:141" s="116" customFormat="1">
      <c r="A13361" s="136"/>
      <c r="CM13361" s="111"/>
      <c r="CQ13361" s="111"/>
      <c r="EF13361"/>
      <c r="EG13361"/>
      <c r="EH13361"/>
      <c r="EI13361"/>
      <c r="EJ13361"/>
      <c r="EK13361"/>
    </row>
    <row r="13362" spans="1:141" s="116" customFormat="1">
      <c r="A13362" s="136"/>
      <c r="CM13362" s="111"/>
      <c r="CQ13362" s="111"/>
      <c r="EF13362"/>
      <c r="EG13362"/>
      <c r="EH13362"/>
      <c r="EI13362"/>
      <c r="EJ13362"/>
      <c r="EK13362"/>
    </row>
    <row r="13363" spans="1:141" s="116" customFormat="1">
      <c r="A13363" s="136"/>
      <c r="CM13363" s="111"/>
      <c r="CQ13363" s="111"/>
      <c r="EF13363"/>
      <c r="EG13363"/>
      <c r="EH13363"/>
      <c r="EI13363"/>
      <c r="EJ13363"/>
      <c r="EK13363"/>
    </row>
    <row r="13364" spans="1:141" s="116" customFormat="1">
      <c r="A13364" s="136"/>
      <c r="CM13364" s="111"/>
      <c r="CQ13364" s="111"/>
      <c r="EF13364"/>
      <c r="EG13364"/>
      <c r="EH13364"/>
      <c r="EI13364"/>
      <c r="EJ13364"/>
      <c r="EK13364"/>
    </row>
    <row r="13365" spans="1:141" s="116" customFormat="1">
      <c r="A13365" s="136"/>
      <c r="CM13365" s="111"/>
      <c r="CQ13365" s="111"/>
      <c r="EF13365"/>
      <c r="EG13365"/>
      <c r="EH13365"/>
      <c r="EI13365"/>
      <c r="EJ13365"/>
      <c r="EK13365"/>
    </row>
    <row r="13366" spans="1:141" s="116" customFormat="1">
      <c r="A13366" s="136"/>
      <c r="CM13366" s="111"/>
      <c r="CQ13366" s="111"/>
      <c r="EF13366"/>
      <c r="EG13366"/>
      <c r="EH13366"/>
      <c r="EI13366"/>
      <c r="EJ13366"/>
      <c r="EK13366"/>
    </row>
    <row r="13367" spans="1:141" s="116" customFormat="1">
      <c r="A13367" s="136"/>
      <c r="CM13367" s="111"/>
      <c r="CQ13367" s="111"/>
      <c r="EF13367"/>
      <c r="EG13367"/>
      <c r="EH13367"/>
      <c r="EI13367"/>
      <c r="EJ13367"/>
      <c r="EK13367"/>
    </row>
    <row r="13368" spans="1:141" s="116" customFormat="1">
      <c r="A13368" s="136"/>
      <c r="CM13368" s="111"/>
      <c r="CQ13368" s="111"/>
      <c r="EF13368"/>
      <c r="EG13368"/>
      <c r="EH13368"/>
      <c r="EI13368"/>
      <c r="EJ13368"/>
      <c r="EK13368"/>
    </row>
    <row r="13369" spans="1:141" s="116" customFormat="1">
      <c r="A13369" s="136"/>
      <c r="CM13369" s="111"/>
      <c r="CQ13369" s="111"/>
      <c r="EF13369"/>
      <c r="EG13369"/>
      <c r="EH13369"/>
      <c r="EI13369"/>
      <c r="EJ13369"/>
      <c r="EK13369"/>
    </row>
    <row r="13370" spans="1:141" s="116" customFormat="1">
      <c r="A13370" s="136"/>
      <c r="CM13370" s="111"/>
      <c r="CQ13370" s="111"/>
      <c r="EF13370"/>
      <c r="EG13370"/>
      <c r="EH13370"/>
      <c r="EI13370"/>
      <c r="EJ13370"/>
      <c r="EK13370"/>
    </row>
    <row r="13371" spans="1:141" s="116" customFormat="1">
      <c r="A13371" s="136"/>
      <c r="CM13371" s="111"/>
      <c r="CQ13371" s="111"/>
      <c r="EF13371"/>
      <c r="EG13371"/>
      <c r="EH13371"/>
      <c r="EI13371"/>
      <c r="EJ13371"/>
      <c r="EK13371"/>
    </row>
    <row r="13372" spans="1:141" s="116" customFormat="1">
      <c r="A13372" s="136"/>
      <c r="CM13372" s="111"/>
      <c r="CQ13372" s="111"/>
      <c r="EF13372"/>
      <c r="EG13372"/>
      <c r="EH13372"/>
      <c r="EI13372"/>
      <c r="EJ13372"/>
      <c r="EK13372"/>
    </row>
    <row r="13373" spans="1:141" s="116" customFormat="1">
      <c r="A13373" s="136"/>
      <c r="CM13373" s="111"/>
      <c r="CQ13373" s="111"/>
      <c r="EF13373"/>
      <c r="EG13373"/>
      <c r="EH13373"/>
      <c r="EI13373"/>
      <c r="EJ13373"/>
      <c r="EK13373"/>
    </row>
    <row r="13374" spans="1:141" s="116" customFormat="1">
      <c r="A13374" s="136"/>
      <c r="CM13374" s="111"/>
      <c r="CQ13374" s="111"/>
      <c r="EF13374"/>
      <c r="EG13374"/>
      <c r="EH13374"/>
      <c r="EI13374"/>
      <c r="EJ13374"/>
      <c r="EK13374"/>
    </row>
    <row r="13375" spans="1:141" s="116" customFormat="1">
      <c r="A13375" s="136"/>
      <c r="CM13375" s="111"/>
      <c r="CQ13375" s="111"/>
      <c r="EF13375"/>
      <c r="EG13375"/>
      <c r="EH13375"/>
      <c r="EI13375"/>
      <c r="EJ13375"/>
      <c r="EK13375"/>
    </row>
    <row r="13376" spans="1:141" s="116" customFormat="1">
      <c r="A13376" s="136"/>
      <c r="CM13376" s="111"/>
      <c r="CQ13376" s="111"/>
      <c r="EF13376"/>
      <c r="EG13376"/>
      <c r="EH13376"/>
      <c r="EI13376"/>
      <c r="EJ13376"/>
      <c r="EK13376"/>
    </row>
    <row r="13377" spans="1:141" s="116" customFormat="1">
      <c r="A13377" s="136"/>
      <c r="CM13377" s="111"/>
      <c r="CQ13377" s="111"/>
      <c r="EF13377"/>
      <c r="EG13377"/>
      <c r="EH13377"/>
      <c r="EI13377"/>
      <c r="EJ13377"/>
      <c r="EK13377"/>
    </row>
    <row r="13378" spans="1:141" s="116" customFormat="1">
      <c r="A13378" s="136"/>
      <c r="CM13378" s="111"/>
      <c r="CQ13378" s="111"/>
      <c r="EF13378"/>
      <c r="EG13378"/>
      <c r="EH13378"/>
      <c r="EI13378"/>
      <c r="EJ13378"/>
      <c r="EK13378"/>
    </row>
    <row r="13379" spans="1:141" s="116" customFormat="1">
      <c r="A13379" s="136"/>
      <c r="CM13379" s="111"/>
      <c r="CQ13379" s="111"/>
      <c r="EF13379"/>
      <c r="EG13379"/>
      <c r="EH13379"/>
      <c r="EI13379"/>
      <c r="EJ13379"/>
      <c r="EK13379"/>
    </row>
    <row r="13380" spans="1:141" s="116" customFormat="1">
      <c r="A13380" s="136"/>
      <c r="CM13380" s="111"/>
      <c r="CQ13380" s="111"/>
      <c r="EF13380"/>
      <c r="EG13380"/>
      <c r="EH13380"/>
      <c r="EI13380"/>
      <c r="EJ13380"/>
      <c r="EK13380"/>
    </row>
    <row r="13381" spans="1:141" s="116" customFormat="1">
      <c r="A13381" s="136"/>
      <c r="CM13381" s="111"/>
      <c r="CQ13381" s="111"/>
      <c r="EF13381"/>
      <c r="EG13381"/>
      <c r="EH13381"/>
      <c r="EI13381"/>
      <c r="EJ13381"/>
      <c r="EK13381"/>
    </row>
    <row r="13382" spans="1:141" s="116" customFormat="1">
      <c r="A13382" s="136"/>
      <c r="CM13382" s="111"/>
      <c r="CQ13382" s="111"/>
      <c r="EF13382"/>
      <c r="EG13382"/>
      <c r="EH13382"/>
      <c r="EI13382"/>
      <c r="EJ13382"/>
      <c r="EK13382"/>
    </row>
    <row r="13383" spans="1:141" s="116" customFormat="1">
      <c r="A13383" s="136"/>
      <c r="CM13383" s="111"/>
      <c r="CQ13383" s="111"/>
      <c r="EF13383"/>
      <c r="EG13383"/>
      <c r="EH13383"/>
      <c r="EI13383"/>
      <c r="EJ13383"/>
      <c r="EK13383"/>
    </row>
    <row r="13384" spans="1:141" s="116" customFormat="1">
      <c r="A13384" s="136"/>
      <c r="CM13384" s="111"/>
      <c r="CQ13384" s="111"/>
      <c r="EF13384"/>
      <c r="EG13384"/>
      <c r="EH13384"/>
      <c r="EI13384"/>
      <c r="EJ13384"/>
      <c r="EK13384"/>
    </row>
    <row r="13385" spans="1:141" s="116" customFormat="1">
      <c r="A13385" s="136"/>
      <c r="CM13385" s="111"/>
      <c r="CQ13385" s="111"/>
      <c r="EF13385"/>
      <c r="EG13385"/>
      <c r="EH13385"/>
      <c r="EI13385"/>
      <c r="EJ13385"/>
      <c r="EK13385"/>
    </row>
    <row r="13386" spans="1:141" s="116" customFormat="1">
      <c r="A13386" s="136"/>
      <c r="CM13386" s="111"/>
      <c r="CQ13386" s="111"/>
      <c r="EF13386"/>
      <c r="EG13386"/>
      <c r="EH13386"/>
      <c r="EI13386"/>
      <c r="EJ13386"/>
      <c r="EK13386"/>
    </row>
    <row r="13387" spans="1:141" s="116" customFormat="1">
      <c r="A13387" s="136"/>
      <c r="CM13387" s="111"/>
      <c r="CQ13387" s="111"/>
      <c r="EF13387"/>
      <c r="EG13387"/>
      <c r="EH13387"/>
      <c r="EI13387"/>
      <c r="EJ13387"/>
      <c r="EK13387"/>
    </row>
    <row r="13388" spans="1:141" s="116" customFormat="1">
      <c r="A13388" s="136"/>
      <c r="CM13388" s="111"/>
      <c r="CQ13388" s="111"/>
      <c r="EF13388"/>
      <c r="EG13388"/>
      <c r="EH13388"/>
      <c r="EI13388"/>
      <c r="EJ13388"/>
      <c r="EK13388"/>
    </row>
    <row r="13389" spans="1:141" s="116" customFormat="1">
      <c r="A13389" s="136"/>
      <c r="CM13389" s="111"/>
      <c r="CQ13389" s="111"/>
      <c r="EF13389"/>
      <c r="EG13389"/>
      <c r="EH13389"/>
      <c r="EI13389"/>
      <c r="EJ13389"/>
      <c r="EK13389"/>
    </row>
    <row r="13390" spans="1:141" s="116" customFormat="1">
      <c r="A13390" s="136"/>
      <c r="CM13390" s="111"/>
      <c r="CQ13390" s="111"/>
      <c r="EF13390"/>
      <c r="EG13390"/>
      <c r="EH13390"/>
      <c r="EI13390"/>
      <c r="EJ13390"/>
      <c r="EK13390"/>
    </row>
    <row r="13391" spans="1:141" s="116" customFormat="1">
      <c r="A13391" s="136"/>
      <c r="CM13391" s="111"/>
      <c r="CQ13391" s="111"/>
      <c r="EF13391"/>
      <c r="EG13391"/>
      <c r="EH13391"/>
      <c r="EI13391"/>
      <c r="EJ13391"/>
      <c r="EK13391"/>
    </row>
    <row r="13392" spans="1:141" s="116" customFormat="1">
      <c r="A13392" s="136"/>
      <c r="CM13392" s="111"/>
      <c r="CQ13392" s="111"/>
      <c r="EF13392"/>
      <c r="EG13392"/>
      <c r="EH13392"/>
      <c r="EI13392"/>
      <c r="EJ13392"/>
      <c r="EK13392"/>
    </row>
    <row r="13393" spans="1:141" s="116" customFormat="1">
      <c r="A13393" s="136"/>
      <c r="CM13393" s="111"/>
      <c r="CQ13393" s="111"/>
      <c r="EF13393"/>
      <c r="EG13393"/>
      <c r="EH13393"/>
      <c r="EI13393"/>
      <c r="EJ13393"/>
      <c r="EK13393"/>
    </row>
    <row r="13394" spans="1:141" s="116" customFormat="1">
      <c r="A13394" s="136"/>
      <c r="CM13394" s="111"/>
      <c r="CQ13394" s="111"/>
      <c r="EF13394"/>
      <c r="EG13394"/>
      <c r="EH13394"/>
      <c r="EI13394"/>
      <c r="EJ13394"/>
      <c r="EK13394"/>
    </row>
    <row r="13395" spans="1:141" s="116" customFormat="1">
      <c r="A13395" s="136"/>
      <c r="CM13395" s="111"/>
      <c r="CQ13395" s="111"/>
      <c r="EF13395"/>
      <c r="EG13395"/>
      <c r="EH13395"/>
      <c r="EI13395"/>
      <c r="EJ13395"/>
      <c r="EK13395"/>
    </row>
    <row r="13396" spans="1:141" s="116" customFormat="1">
      <c r="A13396" s="136"/>
      <c r="CM13396" s="111"/>
      <c r="CQ13396" s="111"/>
      <c r="EF13396"/>
      <c r="EG13396"/>
      <c r="EH13396"/>
      <c r="EI13396"/>
      <c r="EJ13396"/>
      <c r="EK13396"/>
    </row>
    <row r="13397" spans="1:141" s="116" customFormat="1">
      <c r="A13397" s="136"/>
      <c r="CM13397" s="111"/>
      <c r="CQ13397" s="111"/>
      <c r="EF13397"/>
      <c r="EG13397"/>
      <c r="EH13397"/>
      <c r="EI13397"/>
      <c r="EJ13397"/>
      <c r="EK13397"/>
    </row>
    <row r="13398" spans="1:141" s="116" customFormat="1">
      <c r="A13398" s="136"/>
      <c r="CM13398" s="111"/>
      <c r="CQ13398" s="111"/>
      <c r="EF13398"/>
      <c r="EG13398"/>
      <c r="EH13398"/>
      <c r="EI13398"/>
      <c r="EJ13398"/>
      <c r="EK13398"/>
    </row>
    <row r="13399" spans="1:141" s="116" customFormat="1">
      <c r="A13399" s="136"/>
      <c r="CM13399" s="111"/>
      <c r="CQ13399" s="111"/>
      <c r="EF13399"/>
      <c r="EG13399"/>
      <c r="EH13399"/>
      <c r="EI13399"/>
      <c r="EJ13399"/>
      <c r="EK13399"/>
    </row>
    <row r="13400" spans="1:141" s="116" customFormat="1">
      <c r="A13400" s="136"/>
      <c r="CM13400" s="111"/>
      <c r="CQ13400" s="111"/>
      <c r="EF13400"/>
      <c r="EG13400"/>
      <c r="EH13400"/>
      <c r="EI13400"/>
      <c r="EJ13400"/>
      <c r="EK13400"/>
    </row>
    <row r="13401" spans="1:141" s="116" customFormat="1">
      <c r="A13401" s="136"/>
      <c r="CM13401" s="111"/>
      <c r="CQ13401" s="111"/>
      <c r="EF13401"/>
      <c r="EG13401"/>
      <c r="EH13401"/>
      <c r="EI13401"/>
      <c r="EJ13401"/>
      <c r="EK13401"/>
    </row>
    <row r="13402" spans="1:141" s="116" customFormat="1">
      <c r="A13402" s="136"/>
      <c r="CM13402" s="111"/>
      <c r="CQ13402" s="111"/>
      <c r="EF13402"/>
      <c r="EG13402"/>
      <c r="EH13402"/>
      <c r="EI13402"/>
      <c r="EJ13402"/>
      <c r="EK13402"/>
    </row>
    <row r="13403" spans="1:141" s="116" customFormat="1">
      <c r="A13403" s="136"/>
      <c r="CM13403" s="111"/>
      <c r="CQ13403" s="111"/>
      <c r="EF13403"/>
      <c r="EG13403"/>
      <c r="EH13403"/>
      <c r="EI13403"/>
      <c r="EJ13403"/>
      <c r="EK13403"/>
    </row>
    <row r="13404" spans="1:141" s="116" customFormat="1">
      <c r="A13404" s="136"/>
      <c r="CM13404" s="111"/>
      <c r="CQ13404" s="111"/>
      <c r="EF13404"/>
      <c r="EG13404"/>
      <c r="EH13404"/>
      <c r="EI13404"/>
      <c r="EJ13404"/>
      <c r="EK13404"/>
    </row>
    <row r="13405" spans="1:141" s="116" customFormat="1">
      <c r="A13405" s="136"/>
      <c r="CM13405" s="111"/>
      <c r="CQ13405" s="111"/>
      <c r="EF13405"/>
      <c r="EG13405"/>
      <c r="EH13405"/>
      <c r="EI13405"/>
      <c r="EJ13405"/>
      <c r="EK13405"/>
    </row>
    <row r="13406" spans="1:141" s="116" customFormat="1">
      <c r="A13406" s="136"/>
      <c r="CM13406" s="111"/>
      <c r="CQ13406" s="111"/>
      <c r="EF13406"/>
      <c r="EG13406"/>
      <c r="EH13406"/>
      <c r="EI13406"/>
      <c r="EJ13406"/>
      <c r="EK13406"/>
    </row>
    <row r="13407" spans="1:141" s="116" customFormat="1">
      <c r="A13407" s="136"/>
      <c r="CM13407" s="111"/>
      <c r="CQ13407" s="111"/>
      <c r="EF13407"/>
      <c r="EG13407"/>
      <c r="EH13407"/>
      <c r="EI13407"/>
      <c r="EJ13407"/>
      <c r="EK13407"/>
    </row>
    <row r="13408" spans="1:141" s="116" customFormat="1">
      <c r="A13408" s="136"/>
      <c r="CM13408" s="111"/>
      <c r="CQ13408" s="111"/>
      <c r="EF13408"/>
      <c r="EG13408"/>
      <c r="EH13408"/>
      <c r="EI13408"/>
      <c r="EJ13408"/>
      <c r="EK13408"/>
    </row>
    <row r="13409" spans="1:141" s="116" customFormat="1">
      <c r="A13409" s="136"/>
      <c r="CM13409" s="111"/>
      <c r="CQ13409" s="111"/>
      <c r="EF13409"/>
      <c r="EG13409"/>
      <c r="EH13409"/>
      <c r="EI13409"/>
      <c r="EJ13409"/>
      <c r="EK13409"/>
    </row>
    <row r="13410" spans="1:141" s="116" customFormat="1">
      <c r="A13410" s="136"/>
      <c r="CM13410" s="111"/>
      <c r="CQ13410" s="111"/>
      <c r="EF13410"/>
      <c r="EG13410"/>
      <c r="EH13410"/>
      <c r="EI13410"/>
      <c r="EJ13410"/>
      <c r="EK13410"/>
    </row>
    <row r="13411" spans="1:141" s="116" customFormat="1">
      <c r="A13411" s="136"/>
      <c r="CM13411" s="111"/>
      <c r="CQ13411" s="111"/>
      <c r="EF13411"/>
      <c r="EG13411"/>
      <c r="EH13411"/>
      <c r="EI13411"/>
      <c r="EJ13411"/>
      <c r="EK13411"/>
    </row>
    <row r="13412" spans="1:141" s="116" customFormat="1">
      <c r="A13412" s="136"/>
      <c r="CM13412" s="111"/>
      <c r="CQ13412" s="111"/>
      <c r="EF13412"/>
      <c r="EG13412"/>
      <c r="EH13412"/>
      <c r="EI13412"/>
      <c r="EJ13412"/>
      <c r="EK13412"/>
    </row>
    <row r="13413" spans="1:141" s="116" customFormat="1">
      <c r="A13413" s="136"/>
      <c r="CM13413" s="111"/>
      <c r="CQ13413" s="111"/>
      <c r="EF13413"/>
      <c r="EG13413"/>
      <c r="EH13413"/>
      <c r="EI13413"/>
      <c r="EJ13413"/>
      <c r="EK13413"/>
    </row>
    <row r="13414" spans="1:141" s="116" customFormat="1">
      <c r="A13414" s="136"/>
      <c r="CM13414" s="111"/>
      <c r="CQ13414" s="111"/>
      <c r="EF13414"/>
      <c r="EG13414"/>
      <c r="EH13414"/>
      <c r="EI13414"/>
      <c r="EJ13414"/>
      <c r="EK13414"/>
    </row>
    <row r="13415" spans="1:141" s="116" customFormat="1">
      <c r="A13415" s="136"/>
      <c r="CM13415" s="111"/>
      <c r="CQ13415" s="111"/>
      <c r="EF13415"/>
      <c r="EG13415"/>
      <c r="EH13415"/>
      <c r="EI13415"/>
      <c r="EJ13415"/>
      <c r="EK13415"/>
    </row>
    <row r="13416" spans="1:141" s="116" customFormat="1">
      <c r="A13416" s="136"/>
      <c r="CM13416" s="111"/>
      <c r="CQ13416" s="111"/>
      <c r="EF13416"/>
      <c r="EG13416"/>
      <c r="EH13416"/>
      <c r="EI13416"/>
      <c r="EJ13416"/>
      <c r="EK13416"/>
    </row>
    <row r="13417" spans="1:141" s="116" customFormat="1">
      <c r="A13417" s="136"/>
      <c r="CM13417" s="111"/>
      <c r="CQ13417" s="111"/>
      <c r="EF13417"/>
      <c r="EG13417"/>
      <c r="EH13417"/>
      <c r="EI13417"/>
      <c r="EJ13417"/>
      <c r="EK13417"/>
    </row>
    <row r="13418" spans="1:141" s="116" customFormat="1">
      <c r="A13418" s="136"/>
      <c r="CM13418" s="111"/>
      <c r="CQ13418" s="111"/>
      <c r="EF13418"/>
      <c r="EG13418"/>
      <c r="EH13418"/>
      <c r="EI13418"/>
      <c r="EJ13418"/>
      <c r="EK13418"/>
    </row>
    <row r="13419" spans="1:141" s="116" customFormat="1">
      <c r="A13419" s="136"/>
      <c r="CM13419" s="111"/>
      <c r="CQ13419" s="111"/>
      <c r="EF13419"/>
      <c r="EG13419"/>
      <c r="EH13419"/>
      <c r="EI13419"/>
      <c r="EJ13419"/>
      <c r="EK13419"/>
    </row>
    <row r="13420" spans="1:141" s="116" customFormat="1">
      <c r="A13420" s="136"/>
      <c r="CM13420" s="111"/>
      <c r="CQ13420" s="111"/>
      <c r="EF13420"/>
      <c r="EG13420"/>
      <c r="EH13420"/>
      <c r="EI13420"/>
      <c r="EJ13420"/>
      <c r="EK13420"/>
    </row>
    <row r="13421" spans="1:141" s="116" customFormat="1">
      <c r="A13421" s="136"/>
      <c r="CM13421" s="111"/>
      <c r="CQ13421" s="111"/>
      <c r="EF13421"/>
      <c r="EG13421"/>
      <c r="EH13421"/>
      <c r="EI13421"/>
      <c r="EJ13421"/>
      <c r="EK13421"/>
    </row>
    <row r="13422" spans="1:141" s="116" customFormat="1">
      <c r="A13422" s="136"/>
      <c r="CM13422" s="111"/>
      <c r="CQ13422" s="111"/>
      <c r="EF13422"/>
      <c r="EG13422"/>
      <c r="EH13422"/>
      <c r="EI13422"/>
      <c r="EJ13422"/>
      <c r="EK13422"/>
    </row>
    <row r="13423" spans="1:141" s="116" customFormat="1">
      <c r="A13423" s="136"/>
      <c r="CM13423" s="111"/>
      <c r="CQ13423" s="111"/>
      <c r="EF13423"/>
      <c r="EG13423"/>
      <c r="EH13423"/>
      <c r="EI13423"/>
      <c r="EJ13423"/>
      <c r="EK13423"/>
    </row>
    <row r="13424" spans="1:141" s="116" customFormat="1">
      <c r="A13424" s="136"/>
      <c r="CM13424" s="111"/>
      <c r="CQ13424" s="111"/>
      <c r="EF13424"/>
      <c r="EG13424"/>
      <c r="EH13424"/>
      <c r="EI13424"/>
      <c r="EJ13424"/>
      <c r="EK13424"/>
    </row>
    <row r="13425" spans="1:141" s="116" customFormat="1">
      <c r="A13425" s="136"/>
      <c r="CM13425" s="111"/>
      <c r="CQ13425" s="111"/>
      <c r="EF13425"/>
      <c r="EG13425"/>
      <c r="EH13425"/>
      <c r="EI13425"/>
      <c r="EJ13425"/>
      <c r="EK13425"/>
    </row>
    <row r="13426" spans="1:141" s="116" customFormat="1">
      <c r="A13426" s="136"/>
      <c r="CM13426" s="111"/>
      <c r="CQ13426" s="111"/>
      <c r="EF13426"/>
      <c r="EG13426"/>
      <c r="EH13426"/>
      <c r="EI13426"/>
      <c r="EJ13426"/>
      <c r="EK13426"/>
    </row>
    <row r="13427" spans="1:141" s="116" customFormat="1">
      <c r="A13427" s="136"/>
      <c r="CM13427" s="111"/>
      <c r="CQ13427" s="111"/>
      <c r="EF13427"/>
      <c r="EG13427"/>
      <c r="EH13427"/>
      <c r="EI13427"/>
      <c r="EJ13427"/>
      <c r="EK13427"/>
    </row>
    <row r="13428" spans="1:141" s="116" customFormat="1">
      <c r="A13428" s="136"/>
      <c r="CM13428" s="111"/>
      <c r="CQ13428" s="111"/>
      <c r="EF13428"/>
      <c r="EG13428"/>
      <c r="EH13428"/>
      <c r="EI13428"/>
      <c r="EJ13428"/>
      <c r="EK13428"/>
    </row>
    <row r="13429" spans="1:141" s="116" customFormat="1">
      <c r="A13429" s="136"/>
      <c r="CM13429" s="111"/>
      <c r="CQ13429" s="111"/>
      <c r="EF13429"/>
      <c r="EG13429"/>
      <c r="EH13429"/>
      <c r="EI13429"/>
      <c r="EJ13429"/>
      <c r="EK13429"/>
    </row>
    <row r="13430" spans="1:141" s="116" customFormat="1">
      <c r="A13430" s="136"/>
      <c r="CM13430" s="111"/>
      <c r="CQ13430" s="111"/>
      <c r="EF13430"/>
      <c r="EG13430"/>
      <c r="EH13430"/>
      <c r="EI13430"/>
      <c r="EJ13430"/>
      <c r="EK13430"/>
    </row>
    <row r="13431" spans="1:141" s="116" customFormat="1">
      <c r="A13431" s="136"/>
      <c r="CM13431" s="111"/>
      <c r="CQ13431" s="111"/>
      <c r="EF13431"/>
      <c r="EG13431"/>
      <c r="EH13431"/>
      <c r="EI13431"/>
      <c r="EJ13431"/>
      <c r="EK13431"/>
    </row>
    <row r="13432" spans="1:141" s="116" customFormat="1">
      <c r="A13432" s="136"/>
      <c r="CM13432" s="111"/>
      <c r="CQ13432" s="111"/>
      <c r="EF13432"/>
      <c r="EG13432"/>
      <c r="EH13432"/>
      <c r="EI13432"/>
      <c r="EJ13432"/>
      <c r="EK13432"/>
    </row>
    <row r="13433" spans="1:141" s="116" customFormat="1">
      <c r="A13433" s="136"/>
      <c r="CM13433" s="111"/>
      <c r="CQ13433" s="111"/>
      <c r="EF13433"/>
      <c r="EG13433"/>
      <c r="EH13433"/>
      <c r="EI13433"/>
      <c r="EJ13433"/>
      <c r="EK13433"/>
    </row>
    <row r="13434" spans="1:141" s="116" customFormat="1">
      <c r="A13434" s="136"/>
      <c r="CM13434" s="111"/>
      <c r="CQ13434" s="111"/>
      <c r="EF13434"/>
      <c r="EG13434"/>
      <c r="EH13434"/>
      <c r="EI13434"/>
      <c r="EJ13434"/>
      <c r="EK13434"/>
    </row>
    <row r="13435" spans="1:141" s="116" customFormat="1">
      <c r="A13435" s="136"/>
      <c r="CM13435" s="111"/>
      <c r="CQ13435" s="111"/>
      <c r="EF13435"/>
      <c r="EG13435"/>
      <c r="EH13435"/>
      <c r="EI13435"/>
      <c r="EJ13435"/>
      <c r="EK13435"/>
    </row>
    <row r="13436" spans="1:141" s="116" customFormat="1">
      <c r="A13436" s="136"/>
      <c r="CM13436" s="111"/>
      <c r="CQ13436" s="111"/>
      <c r="EF13436"/>
      <c r="EG13436"/>
      <c r="EH13436"/>
      <c r="EI13436"/>
      <c r="EJ13436"/>
      <c r="EK13436"/>
    </row>
    <row r="13437" spans="1:141" s="116" customFormat="1">
      <c r="A13437" s="136"/>
      <c r="CM13437" s="111"/>
      <c r="CQ13437" s="111"/>
      <c r="EF13437"/>
      <c r="EG13437"/>
      <c r="EH13437"/>
      <c r="EI13437"/>
      <c r="EJ13437"/>
      <c r="EK13437"/>
    </row>
    <row r="13438" spans="1:141" s="116" customFormat="1">
      <c r="A13438" s="136"/>
      <c r="CM13438" s="111"/>
      <c r="CQ13438" s="111"/>
      <c r="EF13438"/>
      <c r="EG13438"/>
      <c r="EH13438"/>
      <c r="EI13438"/>
      <c r="EJ13438"/>
      <c r="EK13438"/>
    </row>
    <row r="13439" spans="1:141" s="116" customFormat="1">
      <c r="A13439" s="136"/>
      <c r="CM13439" s="111"/>
      <c r="CQ13439" s="111"/>
      <c r="EF13439"/>
      <c r="EG13439"/>
      <c r="EH13439"/>
      <c r="EI13439"/>
      <c r="EJ13439"/>
      <c r="EK13439"/>
    </row>
    <row r="13440" spans="1:141" s="116" customFormat="1">
      <c r="A13440" s="136"/>
      <c r="CM13440" s="111"/>
      <c r="CQ13440" s="111"/>
      <c r="EF13440"/>
      <c r="EG13440"/>
      <c r="EH13440"/>
      <c r="EI13440"/>
      <c r="EJ13440"/>
      <c r="EK13440"/>
    </row>
    <row r="13441" spans="1:141" s="116" customFormat="1">
      <c r="A13441" s="136"/>
      <c r="CM13441" s="111"/>
      <c r="CQ13441" s="111"/>
      <c r="EF13441"/>
      <c r="EG13441"/>
      <c r="EH13441"/>
      <c r="EI13441"/>
      <c r="EJ13441"/>
      <c r="EK13441"/>
    </row>
    <row r="13442" spans="1:141" s="116" customFormat="1">
      <c r="A13442" s="136"/>
      <c r="CM13442" s="111"/>
      <c r="CQ13442" s="111"/>
      <c r="EF13442"/>
      <c r="EG13442"/>
      <c r="EH13442"/>
      <c r="EI13442"/>
      <c r="EJ13442"/>
      <c r="EK13442"/>
    </row>
    <row r="13443" spans="1:141" s="116" customFormat="1">
      <c r="A13443" s="136"/>
      <c r="CM13443" s="111"/>
      <c r="CQ13443" s="111"/>
      <c r="EF13443"/>
      <c r="EG13443"/>
      <c r="EH13443"/>
      <c r="EI13443"/>
      <c r="EJ13443"/>
      <c r="EK13443"/>
    </row>
    <row r="13444" spans="1:141" s="116" customFormat="1">
      <c r="A13444" s="136"/>
      <c r="CM13444" s="111"/>
      <c r="CQ13444" s="111"/>
      <c r="EF13444"/>
      <c r="EG13444"/>
      <c r="EH13444"/>
      <c r="EI13444"/>
      <c r="EJ13444"/>
      <c r="EK13444"/>
    </row>
    <row r="13445" spans="1:141" s="116" customFormat="1">
      <c r="A13445" s="136"/>
      <c r="CM13445" s="111"/>
      <c r="CQ13445" s="111"/>
      <c r="EF13445"/>
      <c r="EG13445"/>
      <c r="EH13445"/>
      <c r="EI13445"/>
      <c r="EJ13445"/>
      <c r="EK13445"/>
    </row>
    <row r="13446" spans="1:141" s="116" customFormat="1">
      <c r="A13446" s="136"/>
      <c r="CM13446" s="111"/>
      <c r="CQ13446" s="111"/>
      <c r="EF13446"/>
      <c r="EG13446"/>
      <c r="EH13446"/>
      <c r="EI13446"/>
      <c r="EJ13446"/>
      <c r="EK13446"/>
    </row>
    <row r="13447" spans="1:141" s="116" customFormat="1">
      <c r="A13447" s="136"/>
      <c r="CM13447" s="111"/>
      <c r="CQ13447" s="111"/>
      <c r="EF13447"/>
      <c r="EG13447"/>
      <c r="EH13447"/>
      <c r="EI13447"/>
      <c r="EJ13447"/>
      <c r="EK13447"/>
    </row>
    <row r="13448" spans="1:141" s="116" customFormat="1">
      <c r="A13448" s="136"/>
      <c r="CM13448" s="111"/>
      <c r="CQ13448" s="111"/>
      <c r="EF13448"/>
      <c r="EG13448"/>
      <c r="EH13448"/>
      <c r="EI13448"/>
      <c r="EJ13448"/>
      <c r="EK13448"/>
    </row>
    <row r="13449" spans="1:141" s="116" customFormat="1">
      <c r="A13449" s="136"/>
      <c r="CM13449" s="111"/>
      <c r="CQ13449" s="111"/>
      <c r="EF13449"/>
      <c r="EG13449"/>
      <c r="EH13449"/>
      <c r="EI13449"/>
      <c r="EJ13449"/>
      <c r="EK13449"/>
    </row>
    <row r="13450" spans="1:141" s="116" customFormat="1">
      <c r="A13450" s="136"/>
      <c r="CM13450" s="111"/>
      <c r="CQ13450" s="111"/>
      <c r="EF13450"/>
      <c r="EG13450"/>
      <c r="EH13450"/>
      <c r="EI13450"/>
      <c r="EJ13450"/>
      <c r="EK13450"/>
    </row>
    <row r="13451" spans="1:141" s="116" customFormat="1">
      <c r="A13451" s="136"/>
      <c r="CM13451" s="111"/>
      <c r="CQ13451" s="111"/>
      <c r="EF13451"/>
      <c r="EG13451"/>
      <c r="EH13451"/>
      <c r="EI13451"/>
      <c r="EJ13451"/>
      <c r="EK13451"/>
    </row>
    <row r="13452" spans="1:141" s="116" customFormat="1">
      <c r="A13452" s="136"/>
      <c r="CM13452" s="111"/>
      <c r="CQ13452" s="111"/>
      <c r="EF13452"/>
      <c r="EG13452"/>
      <c r="EH13452"/>
      <c r="EI13452"/>
      <c r="EJ13452"/>
      <c r="EK13452"/>
    </row>
    <row r="13453" spans="1:141" s="116" customFormat="1">
      <c r="A13453" s="136"/>
      <c r="CM13453" s="111"/>
      <c r="CQ13453" s="111"/>
      <c r="EF13453"/>
      <c r="EG13453"/>
      <c r="EH13453"/>
      <c r="EI13453"/>
      <c r="EJ13453"/>
      <c r="EK13453"/>
    </row>
    <row r="13454" spans="1:141" s="116" customFormat="1">
      <c r="A13454" s="136"/>
      <c r="CM13454" s="111"/>
      <c r="CQ13454" s="111"/>
      <c r="EF13454"/>
      <c r="EG13454"/>
      <c r="EH13454"/>
      <c r="EI13454"/>
      <c r="EJ13454"/>
      <c r="EK13454"/>
    </row>
    <row r="13455" spans="1:141" s="116" customFormat="1">
      <c r="A13455" s="136"/>
      <c r="CM13455" s="111"/>
      <c r="CQ13455" s="111"/>
      <c r="EF13455"/>
      <c r="EG13455"/>
      <c r="EH13455"/>
      <c r="EI13455"/>
      <c r="EJ13455"/>
      <c r="EK13455"/>
    </row>
    <row r="13456" spans="1:141" s="116" customFormat="1">
      <c r="A13456" s="136"/>
      <c r="CM13456" s="111"/>
      <c r="CQ13456" s="111"/>
      <c r="EF13456"/>
      <c r="EG13456"/>
      <c r="EH13456"/>
      <c r="EI13456"/>
      <c r="EJ13456"/>
      <c r="EK13456"/>
    </row>
    <row r="13457" spans="1:141" s="116" customFormat="1">
      <c r="A13457" s="136"/>
      <c r="CM13457" s="111"/>
      <c r="CQ13457" s="111"/>
      <c r="EF13457"/>
      <c r="EG13457"/>
      <c r="EH13457"/>
      <c r="EI13457"/>
      <c r="EJ13457"/>
      <c r="EK13457"/>
    </row>
    <row r="13458" spans="1:141" s="116" customFormat="1">
      <c r="A13458" s="136"/>
      <c r="CM13458" s="111"/>
      <c r="CQ13458" s="111"/>
      <c r="EF13458"/>
      <c r="EG13458"/>
      <c r="EH13458"/>
      <c r="EI13458"/>
      <c r="EJ13458"/>
      <c r="EK13458"/>
    </row>
    <row r="13459" spans="1:141" s="116" customFormat="1">
      <c r="A13459" s="136"/>
      <c r="CM13459" s="111"/>
      <c r="CQ13459" s="111"/>
      <c r="EF13459"/>
      <c r="EG13459"/>
      <c r="EH13459"/>
      <c r="EI13459"/>
      <c r="EJ13459"/>
      <c r="EK13459"/>
    </row>
    <row r="13460" spans="1:141" s="116" customFormat="1">
      <c r="A13460" s="136"/>
      <c r="CM13460" s="111"/>
      <c r="CQ13460" s="111"/>
      <c r="EF13460"/>
      <c r="EG13460"/>
      <c r="EH13460"/>
      <c r="EI13460"/>
      <c r="EJ13460"/>
      <c r="EK13460"/>
    </row>
    <row r="13461" spans="1:141" s="116" customFormat="1">
      <c r="A13461" s="136"/>
      <c r="CM13461" s="111"/>
      <c r="CQ13461" s="111"/>
      <c r="EF13461"/>
      <c r="EG13461"/>
      <c r="EH13461"/>
      <c r="EI13461"/>
      <c r="EJ13461"/>
      <c r="EK13461"/>
    </row>
    <row r="13462" spans="1:141" s="116" customFormat="1">
      <c r="A13462" s="136"/>
      <c r="CM13462" s="111"/>
      <c r="CQ13462" s="111"/>
      <c r="EF13462"/>
      <c r="EG13462"/>
      <c r="EH13462"/>
      <c r="EI13462"/>
      <c r="EJ13462"/>
      <c r="EK13462"/>
    </row>
    <row r="13463" spans="1:141" s="116" customFormat="1">
      <c r="A13463" s="136"/>
      <c r="CM13463" s="111"/>
      <c r="CQ13463" s="111"/>
      <c r="EF13463"/>
      <c r="EG13463"/>
      <c r="EH13463"/>
      <c r="EI13463"/>
      <c r="EJ13463"/>
      <c r="EK13463"/>
    </row>
    <row r="13464" spans="1:141" s="116" customFormat="1">
      <c r="A13464" s="136"/>
      <c r="CM13464" s="111"/>
      <c r="CQ13464" s="111"/>
      <c r="EF13464"/>
      <c r="EG13464"/>
      <c r="EH13464"/>
      <c r="EI13464"/>
      <c r="EJ13464"/>
      <c r="EK13464"/>
    </row>
    <row r="13465" spans="1:141" s="116" customFormat="1">
      <c r="A13465" s="136"/>
      <c r="CM13465" s="111"/>
      <c r="CQ13465" s="111"/>
      <c r="EF13465"/>
      <c r="EG13465"/>
      <c r="EH13465"/>
      <c r="EI13465"/>
      <c r="EJ13465"/>
      <c r="EK13465"/>
    </row>
    <row r="13466" spans="1:141" s="116" customFormat="1">
      <c r="A13466" s="136"/>
      <c r="CM13466" s="111"/>
      <c r="CQ13466" s="111"/>
      <c r="EF13466"/>
      <c r="EG13466"/>
      <c r="EH13466"/>
      <c r="EI13466"/>
      <c r="EJ13466"/>
      <c r="EK13466"/>
    </row>
    <row r="13467" spans="1:141" s="116" customFormat="1">
      <c r="A13467" s="136"/>
      <c r="CM13467" s="111"/>
      <c r="CQ13467" s="111"/>
      <c r="EF13467"/>
      <c r="EG13467"/>
      <c r="EH13467"/>
      <c r="EI13467"/>
      <c r="EJ13467"/>
      <c r="EK13467"/>
    </row>
    <row r="13468" spans="1:141" s="116" customFormat="1">
      <c r="A13468" s="136"/>
      <c r="CM13468" s="111"/>
      <c r="CQ13468" s="111"/>
      <c r="EF13468"/>
      <c r="EG13468"/>
      <c r="EH13468"/>
      <c r="EI13468"/>
      <c r="EJ13468"/>
      <c r="EK13468"/>
    </row>
    <row r="13469" spans="1:141" s="116" customFormat="1">
      <c r="A13469" s="136"/>
      <c r="CM13469" s="111"/>
      <c r="CQ13469" s="111"/>
      <c r="EF13469"/>
      <c r="EG13469"/>
      <c r="EH13469"/>
      <c r="EI13469"/>
      <c r="EJ13469"/>
      <c r="EK13469"/>
    </row>
    <row r="13470" spans="1:141" s="116" customFormat="1">
      <c r="A13470" s="136"/>
      <c r="CM13470" s="111"/>
      <c r="CQ13470" s="111"/>
      <c r="EF13470"/>
      <c r="EG13470"/>
      <c r="EH13470"/>
      <c r="EI13470"/>
      <c r="EJ13470"/>
      <c r="EK13470"/>
    </row>
    <row r="13471" spans="1:141" s="116" customFormat="1">
      <c r="A13471" s="136"/>
      <c r="CM13471" s="111"/>
      <c r="CQ13471" s="111"/>
      <c r="EF13471"/>
      <c r="EG13471"/>
      <c r="EH13471"/>
      <c r="EI13471"/>
      <c r="EJ13471"/>
      <c r="EK13471"/>
    </row>
    <row r="13472" spans="1:141" s="116" customFormat="1">
      <c r="A13472" s="136"/>
      <c r="CM13472" s="111"/>
      <c r="CQ13472" s="111"/>
      <c r="EF13472"/>
      <c r="EG13472"/>
      <c r="EH13472"/>
      <c r="EI13472"/>
      <c r="EJ13472"/>
      <c r="EK13472"/>
    </row>
    <row r="13473" spans="1:141" s="116" customFormat="1">
      <c r="A13473" s="136"/>
      <c r="CM13473" s="111"/>
      <c r="CQ13473" s="111"/>
      <c r="EF13473"/>
      <c r="EG13473"/>
      <c r="EH13473"/>
      <c r="EI13473"/>
      <c r="EJ13473"/>
      <c r="EK13473"/>
    </row>
    <row r="13474" spans="1:141" s="116" customFormat="1">
      <c r="A13474" s="136"/>
      <c r="CM13474" s="111"/>
      <c r="CQ13474" s="111"/>
      <c r="EF13474"/>
      <c r="EG13474"/>
      <c r="EH13474"/>
      <c r="EI13474"/>
      <c r="EJ13474"/>
      <c r="EK13474"/>
    </row>
    <row r="13475" spans="1:141" s="116" customFormat="1">
      <c r="A13475" s="136"/>
      <c r="CM13475" s="111"/>
      <c r="CQ13475" s="111"/>
      <c r="EF13475"/>
      <c r="EG13475"/>
      <c r="EH13475"/>
      <c r="EI13475"/>
      <c r="EJ13475"/>
      <c r="EK13475"/>
    </row>
    <row r="13476" spans="1:141" s="116" customFormat="1">
      <c r="A13476" s="136"/>
      <c r="CM13476" s="111"/>
      <c r="CQ13476" s="111"/>
      <c r="EF13476"/>
      <c r="EG13476"/>
      <c r="EH13476"/>
      <c r="EI13476"/>
      <c r="EJ13476"/>
      <c r="EK13476"/>
    </row>
    <row r="13477" spans="1:141" s="116" customFormat="1">
      <c r="A13477" s="136"/>
      <c r="CM13477" s="111"/>
      <c r="CQ13477" s="111"/>
      <c r="EF13477"/>
      <c r="EG13477"/>
      <c r="EH13477"/>
      <c r="EI13477"/>
      <c r="EJ13477"/>
      <c r="EK13477"/>
    </row>
    <row r="13478" spans="1:141" s="116" customFormat="1">
      <c r="A13478" s="136"/>
      <c r="CM13478" s="111"/>
      <c r="CQ13478" s="111"/>
      <c r="EF13478"/>
      <c r="EG13478"/>
      <c r="EH13478"/>
      <c r="EI13478"/>
      <c r="EJ13478"/>
      <c r="EK13478"/>
    </row>
    <row r="13479" spans="1:141" s="116" customFormat="1">
      <c r="A13479" s="136"/>
      <c r="CM13479" s="111"/>
      <c r="CQ13479" s="111"/>
      <c r="EF13479"/>
      <c r="EG13479"/>
      <c r="EH13479"/>
      <c r="EI13479"/>
      <c r="EJ13479"/>
      <c r="EK13479"/>
    </row>
    <row r="13480" spans="1:141" s="116" customFormat="1">
      <c r="A13480" s="136"/>
      <c r="CM13480" s="111"/>
      <c r="CQ13480" s="111"/>
      <c r="EF13480"/>
      <c r="EG13480"/>
      <c r="EH13480"/>
      <c r="EI13480"/>
      <c r="EJ13480"/>
      <c r="EK13480"/>
    </row>
    <row r="13481" spans="1:141" s="116" customFormat="1">
      <c r="A13481" s="136"/>
      <c r="CM13481" s="111"/>
      <c r="CQ13481" s="111"/>
      <c r="EF13481"/>
      <c r="EG13481"/>
      <c r="EH13481"/>
      <c r="EI13481"/>
      <c r="EJ13481"/>
      <c r="EK13481"/>
    </row>
    <row r="13482" spans="1:141" s="116" customFormat="1">
      <c r="A13482" s="136"/>
      <c r="CM13482" s="111"/>
      <c r="CQ13482" s="111"/>
      <c r="EF13482"/>
      <c r="EG13482"/>
      <c r="EH13482"/>
      <c r="EI13482"/>
      <c r="EJ13482"/>
      <c r="EK13482"/>
    </row>
    <row r="13483" spans="1:141" s="116" customFormat="1">
      <c r="A13483" s="136"/>
      <c r="CM13483" s="111"/>
      <c r="CQ13483" s="111"/>
      <c r="EF13483"/>
      <c r="EG13483"/>
      <c r="EH13483"/>
      <c r="EI13483"/>
      <c r="EJ13483"/>
      <c r="EK13483"/>
    </row>
    <row r="13484" spans="1:141" s="116" customFormat="1">
      <c r="A13484" s="136"/>
      <c r="CM13484" s="111"/>
      <c r="CQ13484" s="111"/>
      <c r="EF13484"/>
      <c r="EG13484"/>
      <c r="EH13484"/>
      <c r="EI13484"/>
      <c r="EJ13484"/>
      <c r="EK13484"/>
    </row>
    <row r="13485" spans="1:141" s="116" customFormat="1">
      <c r="A13485" s="136"/>
      <c r="CM13485" s="111"/>
      <c r="CQ13485" s="111"/>
      <c r="EF13485"/>
      <c r="EG13485"/>
      <c r="EH13485"/>
      <c r="EI13485"/>
      <c r="EJ13485"/>
      <c r="EK13485"/>
    </row>
    <row r="13486" spans="1:141" s="116" customFormat="1">
      <c r="A13486" s="136"/>
      <c r="CM13486" s="111"/>
      <c r="CQ13486" s="111"/>
      <c r="EF13486"/>
      <c r="EG13486"/>
      <c r="EH13486"/>
      <c r="EI13486"/>
      <c r="EJ13486"/>
      <c r="EK13486"/>
    </row>
    <row r="13487" spans="1:141" s="116" customFormat="1">
      <c r="A13487" s="136"/>
      <c r="CM13487" s="111"/>
      <c r="CQ13487" s="111"/>
      <c r="EF13487"/>
      <c r="EG13487"/>
      <c r="EH13487"/>
      <c r="EI13487"/>
      <c r="EJ13487"/>
      <c r="EK13487"/>
    </row>
    <row r="13488" spans="1:141" s="116" customFormat="1">
      <c r="A13488" s="136"/>
      <c r="CM13488" s="111"/>
      <c r="CQ13488" s="111"/>
      <c r="EF13488"/>
      <c r="EG13488"/>
      <c r="EH13488"/>
      <c r="EI13488"/>
      <c r="EJ13488"/>
      <c r="EK13488"/>
    </row>
    <row r="13489" spans="1:141" s="116" customFormat="1">
      <c r="A13489" s="136"/>
      <c r="CM13489" s="111"/>
      <c r="CQ13489" s="111"/>
      <c r="EF13489"/>
      <c r="EG13489"/>
      <c r="EH13489"/>
      <c r="EI13489"/>
      <c r="EJ13489"/>
      <c r="EK13489"/>
    </row>
    <row r="13490" spans="1:141" s="116" customFormat="1">
      <c r="A13490" s="136"/>
      <c r="CM13490" s="111"/>
      <c r="CQ13490" s="111"/>
      <c r="EF13490"/>
      <c r="EG13490"/>
      <c r="EH13490"/>
      <c r="EI13490"/>
      <c r="EJ13490"/>
      <c r="EK13490"/>
    </row>
    <row r="13491" spans="1:141" s="116" customFormat="1">
      <c r="A13491" s="136"/>
      <c r="CM13491" s="111"/>
      <c r="CQ13491" s="111"/>
      <c r="EF13491"/>
      <c r="EG13491"/>
      <c r="EH13491"/>
      <c r="EI13491"/>
      <c r="EJ13491"/>
      <c r="EK13491"/>
    </row>
    <row r="13492" spans="1:141" s="116" customFormat="1">
      <c r="A13492" s="136"/>
      <c r="CM13492" s="111"/>
      <c r="CQ13492" s="111"/>
      <c r="EF13492"/>
      <c r="EG13492"/>
      <c r="EH13492"/>
      <c r="EI13492"/>
      <c r="EJ13492"/>
      <c r="EK13492"/>
    </row>
    <row r="13493" spans="1:141" s="116" customFormat="1">
      <c r="A13493" s="136"/>
      <c r="CM13493" s="111"/>
      <c r="CQ13493" s="111"/>
      <c r="EF13493"/>
      <c r="EG13493"/>
      <c r="EH13493"/>
      <c r="EI13493"/>
      <c r="EJ13493"/>
      <c r="EK13493"/>
    </row>
    <row r="13494" spans="1:141" s="116" customFormat="1">
      <c r="A13494" s="136"/>
      <c r="CM13494" s="111"/>
      <c r="CQ13494" s="111"/>
      <c r="EF13494"/>
      <c r="EG13494"/>
      <c r="EH13494"/>
      <c r="EI13494"/>
      <c r="EJ13494"/>
      <c r="EK13494"/>
    </row>
    <row r="13495" spans="1:141" s="116" customFormat="1">
      <c r="A13495" s="136"/>
      <c r="CM13495" s="111"/>
      <c r="CQ13495" s="111"/>
      <c r="EF13495"/>
      <c r="EG13495"/>
      <c r="EH13495"/>
      <c r="EI13495"/>
      <c r="EJ13495"/>
      <c r="EK13495"/>
    </row>
    <row r="13496" spans="1:141" s="116" customFormat="1">
      <c r="A13496" s="136"/>
      <c r="CM13496" s="111"/>
      <c r="CQ13496" s="111"/>
      <c r="EF13496"/>
      <c r="EG13496"/>
      <c r="EH13496"/>
      <c r="EI13496"/>
      <c r="EJ13496"/>
      <c r="EK13496"/>
    </row>
    <row r="13497" spans="1:141" s="116" customFormat="1">
      <c r="A13497" s="136"/>
      <c r="CM13497" s="111"/>
      <c r="CQ13497" s="111"/>
      <c r="EF13497"/>
      <c r="EG13497"/>
      <c r="EH13497"/>
      <c r="EI13497"/>
      <c r="EJ13497"/>
      <c r="EK13497"/>
    </row>
    <row r="13498" spans="1:141" s="116" customFormat="1">
      <c r="A13498" s="136"/>
      <c r="CM13498" s="111"/>
      <c r="CQ13498" s="111"/>
      <c r="EF13498"/>
      <c r="EG13498"/>
      <c r="EH13498"/>
      <c r="EI13498"/>
      <c r="EJ13498"/>
      <c r="EK13498"/>
    </row>
    <row r="13499" spans="1:141" s="116" customFormat="1">
      <c r="A13499" s="136"/>
      <c r="CM13499" s="111"/>
      <c r="CQ13499" s="111"/>
      <c r="EF13499"/>
      <c r="EG13499"/>
      <c r="EH13499"/>
      <c r="EI13499"/>
      <c r="EJ13499"/>
      <c r="EK13499"/>
    </row>
    <row r="13500" spans="1:141" s="116" customFormat="1">
      <c r="A13500" s="136"/>
      <c r="CM13500" s="111"/>
      <c r="CQ13500" s="111"/>
      <c r="EF13500"/>
      <c r="EG13500"/>
      <c r="EH13500"/>
      <c r="EI13500"/>
      <c r="EJ13500"/>
      <c r="EK13500"/>
    </row>
    <row r="13501" spans="1:141" s="116" customFormat="1">
      <c r="A13501" s="136"/>
      <c r="CM13501" s="111"/>
      <c r="CQ13501" s="111"/>
      <c r="EF13501"/>
      <c r="EG13501"/>
      <c r="EH13501"/>
      <c r="EI13501"/>
      <c r="EJ13501"/>
      <c r="EK13501"/>
    </row>
    <row r="13502" spans="1:141" s="116" customFormat="1">
      <c r="A13502" s="136"/>
      <c r="CM13502" s="111"/>
      <c r="CQ13502" s="111"/>
      <c r="EF13502"/>
      <c r="EG13502"/>
      <c r="EH13502"/>
      <c r="EI13502"/>
      <c r="EJ13502"/>
      <c r="EK13502"/>
    </row>
    <row r="13503" spans="1:141" s="116" customFormat="1">
      <c r="A13503" s="136"/>
      <c r="CM13503" s="111"/>
      <c r="CQ13503" s="111"/>
      <c r="EF13503"/>
      <c r="EG13503"/>
      <c r="EH13503"/>
      <c r="EI13503"/>
      <c r="EJ13503"/>
      <c r="EK13503"/>
    </row>
    <row r="13504" spans="1:141" s="116" customFormat="1">
      <c r="A13504" s="136"/>
      <c r="CM13504" s="111"/>
      <c r="CQ13504" s="111"/>
      <c r="EF13504"/>
      <c r="EG13504"/>
      <c r="EH13504"/>
      <c r="EI13504"/>
      <c r="EJ13504"/>
      <c r="EK13504"/>
    </row>
    <row r="13505" spans="1:141" s="116" customFormat="1">
      <c r="A13505" s="136"/>
      <c r="CM13505" s="111"/>
      <c r="CQ13505" s="111"/>
      <c r="EF13505"/>
      <c r="EG13505"/>
      <c r="EH13505"/>
      <c r="EI13505"/>
      <c r="EJ13505"/>
      <c r="EK13505"/>
    </row>
    <row r="13506" spans="1:141" s="116" customFormat="1">
      <c r="A13506" s="136"/>
      <c r="CM13506" s="111"/>
      <c r="CQ13506" s="111"/>
      <c r="EF13506"/>
      <c r="EG13506"/>
      <c r="EH13506"/>
      <c r="EI13506"/>
      <c r="EJ13506"/>
      <c r="EK13506"/>
    </row>
    <row r="13507" spans="1:141" s="116" customFormat="1">
      <c r="A13507" s="136"/>
      <c r="CM13507" s="111"/>
      <c r="CQ13507" s="111"/>
      <c r="EF13507"/>
      <c r="EG13507"/>
      <c r="EH13507"/>
      <c r="EI13507"/>
      <c r="EJ13507"/>
      <c r="EK13507"/>
    </row>
    <row r="13508" spans="1:141" s="116" customFormat="1">
      <c r="A13508" s="136"/>
      <c r="CM13508" s="111"/>
      <c r="CQ13508" s="111"/>
      <c r="EF13508"/>
      <c r="EG13508"/>
      <c r="EH13508"/>
      <c r="EI13508"/>
      <c r="EJ13508"/>
      <c r="EK13508"/>
    </row>
    <row r="13509" spans="1:141" s="116" customFormat="1">
      <c r="A13509" s="136"/>
      <c r="CM13509" s="111"/>
      <c r="CQ13509" s="111"/>
      <c r="EF13509"/>
      <c r="EG13509"/>
      <c r="EH13509"/>
      <c r="EI13509"/>
      <c r="EJ13509"/>
      <c r="EK13509"/>
    </row>
    <row r="13510" spans="1:141" s="116" customFormat="1">
      <c r="A13510" s="136"/>
      <c r="CM13510" s="111"/>
      <c r="CQ13510" s="111"/>
      <c r="EF13510"/>
      <c r="EG13510"/>
      <c r="EH13510"/>
      <c r="EI13510"/>
      <c r="EJ13510"/>
      <c r="EK13510"/>
    </row>
    <row r="13511" spans="1:141" s="116" customFormat="1">
      <c r="A13511" s="136"/>
      <c r="CM13511" s="111"/>
      <c r="CQ13511" s="111"/>
      <c r="EF13511"/>
      <c r="EG13511"/>
      <c r="EH13511"/>
      <c r="EI13511"/>
      <c r="EJ13511"/>
      <c r="EK13511"/>
    </row>
    <row r="13512" spans="1:141" s="116" customFormat="1">
      <c r="A13512" s="136"/>
      <c r="CM13512" s="111"/>
      <c r="CQ13512" s="111"/>
      <c r="EF13512"/>
      <c r="EG13512"/>
      <c r="EH13512"/>
      <c r="EI13512"/>
      <c r="EJ13512"/>
      <c r="EK13512"/>
    </row>
    <row r="13513" spans="1:141" s="116" customFormat="1">
      <c r="A13513" s="136"/>
      <c r="CM13513" s="111"/>
      <c r="CQ13513" s="111"/>
      <c r="EF13513"/>
      <c r="EG13513"/>
      <c r="EH13513"/>
      <c r="EI13513"/>
      <c r="EJ13513"/>
      <c r="EK13513"/>
    </row>
    <row r="13514" spans="1:141" s="116" customFormat="1">
      <c r="A13514" s="136"/>
      <c r="CM13514" s="111"/>
      <c r="CQ13514" s="111"/>
      <c r="EF13514"/>
      <c r="EG13514"/>
      <c r="EH13514"/>
      <c r="EI13514"/>
      <c r="EJ13514"/>
      <c r="EK13514"/>
    </row>
    <row r="13515" spans="1:141" s="116" customFormat="1">
      <c r="A13515" s="136"/>
      <c r="CM13515" s="111"/>
      <c r="CQ13515" s="111"/>
      <c r="EF13515"/>
      <c r="EG13515"/>
      <c r="EH13515"/>
      <c r="EI13515"/>
      <c r="EJ13515"/>
      <c r="EK13515"/>
    </row>
    <row r="13516" spans="1:141" s="116" customFormat="1">
      <c r="A13516" s="136"/>
      <c r="CM13516" s="111"/>
      <c r="CQ13516" s="111"/>
      <c r="EF13516"/>
      <c r="EG13516"/>
      <c r="EH13516"/>
      <c r="EI13516"/>
      <c r="EJ13516"/>
      <c r="EK13516"/>
    </row>
    <row r="13517" spans="1:141" s="116" customFormat="1">
      <c r="A13517" s="136"/>
      <c r="CM13517" s="111"/>
      <c r="CQ13517" s="111"/>
      <c r="EF13517"/>
      <c r="EG13517"/>
      <c r="EH13517"/>
      <c r="EI13517"/>
      <c r="EJ13517"/>
      <c r="EK13517"/>
    </row>
    <row r="13518" spans="1:141" s="116" customFormat="1">
      <c r="A13518" s="136"/>
      <c r="CM13518" s="111"/>
      <c r="CQ13518" s="111"/>
      <c r="EF13518"/>
      <c r="EG13518"/>
      <c r="EH13518"/>
      <c r="EI13518"/>
      <c r="EJ13518"/>
      <c r="EK13518"/>
    </row>
    <row r="13519" spans="1:141" s="116" customFormat="1">
      <c r="A13519" s="136"/>
      <c r="CM13519" s="111"/>
      <c r="CQ13519" s="111"/>
      <c r="EF13519"/>
      <c r="EG13519"/>
      <c r="EH13519"/>
      <c r="EI13519"/>
      <c r="EJ13519"/>
      <c r="EK13519"/>
    </row>
    <row r="13520" spans="1:141" s="116" customFormat="1">
      <c r="A13520" s="136"/>
      <c r="CM13520" s="111"/>
      <c r="CQ13520" s="111"/>
      <c r="EF13520"/>
      <c r="EG13520"/>
      <c r="EH13520"/>
      <c r="EI13520"/>
      <c r="EJ13520"/>
      <c r="EK13520"/>
    </row>
    <row r="13521" spans="1:141" s="116" customFormat="1">
      <c r="A13521" s="136"/>
      <c r="CM13521" s="111"/>
      <c r="CQ13521" s="111"/>
      <c r="EF13521"/>
      <c r="EG13521"/>
      <c r="EH13521"/>
      <c r="EI13521"/>
      <c r="EJ13521"/>
      <c r="EK13521"/>
    </row>
    <row r="13522" spans="1:141" s="116" customFormat="1">
      <c r="A13522" s="136"/>
      <c r="CM13522" s="111"/>
      <c r="CQ13522" s="111"/>
      <c r="EF13522"/>
      <c r="EG13522"/>
      <c r="EH13522"/>
      <c r="EI13522"/>
      <c r="EJ13522"/>
      <c r="EK13522"/>
    </row>
    <row r="13523" spans="1:141" s="116" customFormat="1">
      <c r="A13523" s="136"/>
      <c r="CM13523" s="111"/>
      <c r="CQ13523" s="111"/>
      <c r="EF13523"/>
      <c r="EG13523"/>
      <c r="EH13523"/>
      <c r="EI13523"/>
      <c r="EJ13523"/>
      <c r="EK13523"/>
    </row>
    <row r="13524" spans="1:141" s="116" customFormat="1">
      <c r="A13524" s="136"/>
      <c r="CM13524" s="111"/>
      <c r="CQ13524" s="111"/>
      <c r="EF13524"/>
      <c r="EG13524"/>
      <c r="EH13524"/>
      <c r="EI13524"/>
      <c r="EJ13524"/>
      <c r="EK13524"/>
    </row>
    <row r="13525" spans="1:141" s="116" customFormat="1">
      <c r="A13525" s="136"/>
      <c r="CM13525" s="111"/>
      <c r="CQ13525" s="111"/>
      <c r="EF13525"/>
      <c r="EG13525"/>
      <c r="EH13525"/>
      <c r="EI13525"/>
      <c r="EJ13525"/>
      <c r="EK13525"/>
    </row>
    <row r="13526" spans="1:141" s="116" customFormat="1">
      <c r="A13526" s="136"/>
      <c r="CM13526" s="111"/>
      <c r="CQ13526" s="111"/>
      <c r="EF13526"/>
      <c r="EG13526"/>
      <c r="EH13526"/>
      <c r="EI13526"/>
      <c r="EJ13526"/>
      <c r="EK13526"/>
    </row>
    <row r="13527" spans="1:141" s="116" customFormat="1">
      <c r="A13527" s="136"/>
      <c r="CM13527" s="111"/>
      <c r="CQ13527" s="111"/>
      <c r="EF13527"/>
      <c r="EG13527"/>
      <c r="EH13527"/>
      <c r="EI13527"/>
      <c r="EJ13527"/>
      <c r="EK13527"/>
    </row>
    <row r="13528" spans="1:141" s="116" customFormat="1">
      <c r="A13528" s="136"/>
      <c r="CM13528" s="111"/>
      <c r="CQ13528" s="111"/>
      <c r="EF13528"/>
      <c r="EG13528"/>
      <c r="EH13528"/>
      <c r="EI13528"/>
      <c r="EJ13528"/>
      <c r="EK13528"/>
    </row>
    <row r="13529" spans="1:141" s="116" customFormat="1">
      <c r="A13529" s="136"/>
      <c r="CM13529" s="111"/>
      <c r="CQ13529" s="111"/>
      <c r="EF13529"/>
      <c r="EG13529"/>
      <c r="EH13529"/>
      <c r="EI13529"/>
      <c r="EJ13529"/>
      <c r="EK13529"/>
    </row>
    <row r="13530" spans="1:141" s="116" customFormat="1">
      <c r="A13530" s="136"/>
      <c r="CM13530" s="111"/>
      <c r="CQ13530" s="111"/>
      <c r="EF13530"/>
      <c r="EG13530"/>
      <c r="EH13530"/>
      <c r="EI13530"/>
      <c r="EJ13530"/>
      <c r="EK13530"/>
    </row>
    <row r="13531" spans="1:141" s="116" customFormat="1">
      <c r="A13531" s="136"/>
      <c r="CM13531" s="111"/>
      <c r="CQ13531" s="111"/>
      <c r="EF13531"/>
      <c r="EG13531"/>
      <c r="EH13531"/>
      <c r="EI13531"/>
      <c r="EJ13531"/>
      <c r="EK13531"/>
    </row>
    <row r="13532" spans="1:141" s="116" customFormat="1">
      <c r="A13532" s="136"/>
      <c r="CM13532" s="111"/>
      <c r="CQ13532" s="111"/>
      <c r="EF13532"/>
      <c r="EG13532"/>
      <c r="EH13532"/>
      <c r="EI13532"/>
      <c r="EJ13532"/>
      <c r="EK13532"/>
    </row>
    <row r="13533" spans="1:141" s="116" customFormat="1">
      <c r="A13533" s="136"/>
      <c r="CM13533" s="111"/>
      <c r="CQ13533" s="111"/>
      <c r="EF13533"/>
      <c r="EG13533"/>
      <c r="EH13533"/>
      <c r="EI13533"/>
      <c r="EJ13533"/>
      <c r="EK13533"/>
    </row>
    <row r="13534" spans="1:141" s="116" customFormat="1">
      <c r="A13534" s="136"/>
      <c r="CM13534" s="111"/>
      <c r="CQ13534" s="111"/>
      <c r="EF13534"/>
      <c r="EG13534"/>
      <c r="EH13534"/>
      <c r="EI13534"/>
      <c r="EJ13534"/>
      <c r="EK13534"/>
    </row>
    <row r="13535" spans="1:141" s="116" customFormat="1">
      <c r="A13535" s="136"/>
      <c r="CM13535" s="111"/>
      <c r="CQ13535" s="111"/>
      <c r="EF13535"/>
      <c r="EG13535"/>
      <c r="EH13535"/>
      <c r="EI13535"/>
      <c r="EJ13535"/>
      <c r="EK13535"/>
    </row>
    <row r="13536" spans="1:141" s="116" customFormat="1">
      <c r="A13536" s="136"/>
      <c r="CM13536" s="111"/>
      <c r="CQ13536" s="111"/>
      <c r="EF13536"/>
      <c r="EG13536"/>
      <c r="EH13536"/>
      <c r="EI13536"/>
      <c r="EJ13536"/>
      <c r="EK13536"/>
    </row>
    <row r="13537" spans="1:141" s="116" customFormat="1">
      <c r="A13537" s="136"/>
      <c r="CM13537" s="111"/>
      <c r="CQ13537" s="111"/>
      <c r="EF13537"/>
      <c r="EG13537"/>
      <c r="EH13537"/>
      <c r="EI13537"/>
      <c r="EJ13537"/>
      <c r="EK13537"/>
    </row>
    <row r="13538" spans="1:141" s="116" customFormat="1">
      <c r="A13538" s="136"/>
      <c r="CM13538" s="111"/>
      <c r="CQ13538" s="111"/>
      <c r="EF13538"/>
      <c r="EG13538"/>
      <c r="EH13538"/>
      <c r="EI13538"/>
      <c r="EJ13538"/>
      <c r="EK13538"/>
    </row>
    <row r="13539" spans="1:141" s="116" customFormat="1">
      <c r="A13539" s="136"/>
      <c r="CM13539" s="111"/>
      <c r="CQ13539" s="111"/>
      <c r="EF13539"/>
      <c r="EG13539"/>
      <c r="EH13539"/>
      <c r="EI13539"/>
      <c r="EJ13539"/>
      <c r="EK13539"/>
    </row>
    <row r="13540" spans="1:141" s="116" customFormat="1">
      <c r="A13540" s="136"/>
      <c r="CM13540" s="111"/>
      <c r="CQ13540" s="111"/>
      <c r="EF13540"/>
      <c r="EG13540"/>
      <c r="EH13540"/>
      <c r="EI13540"/>
      <c r="EJ13540"/>
      <c r="EK13540"/>
    </row>
    <row r="13541" spans="1:141" s="116" customFormat="1">
      <c r="A13541" s="136"/>
      <c r="CM13541" s="111"/>
      <c r="CQ13541" s="111"/>
      <c r="EF13541"/>
      <c r="EG13541"/>
      <c r="EH13541"/>
      <c r="EI13541"/>
      <c r="EJ13541"/>
      <c r="EK13541"/>
    </row>
    <row r="13542" spans="1:141" s="116" customFormat="1">
      <c r="A13542" s="136"/>
      <c r="CM13542" s="111"/>
      <c r="CQ13542" s="111"/>
      <c r="EF13542"/>
      <c r="EG13542"/>
      <c r="EH13542"/>
      <c r="EI13542"/>
      <c r="EJ13542"/>
      <c r="EK13542"/>
    </row>
    <row r="13543" spans="1:141" s="116" customFormat="1">
      <c r="A13543" s="136"/>
      <c r="CM13543" s="111"/>
      <c r="CQ13543" s="111"/>
      <c r="EF13543"/>
      <c r="EG13543"/>
      <c r="EH13543"/>
      <c r="EI13543"/>
      <c r="EJ13543"/>
      <c r="EK13543"/>
    </row>
    <row r="13544" spans="1:141" s="116" customFormat="1">
      <c r="A13544" s="136"/>
      <c r="CM13544" s="111"/>
      <c r="CQ13544" s="111"/>
      <c r="EF13544"/>
      <c r="EG13544"/>
      <c r="EH13544"/>
      <c r="EI13544"/>
      <c r="EJ13544"/>
      <c r="EK13544"/>
    </row>
    <row r="13545" spans="1:141" s="116" customFormat="1">
      <c r="A13545" s="136"/>
      <c r="CM13545" s="111"/>
      <c r="CQ13545" s="111"/>
      <c r="EF13545"/>
      <c r="EG13545"/>
      <c r="EH13545"/>
      <c r="EI13545"/>
      <c r="EJ13545"/>
      <c r="EK13545"/>
    </row>
    <row r="13546" spans="1:141" s="116" customFormat="1">
      <c r="A13546" s="136"/>
      <c r="CM13546" s="111"/>
      <c r="CQ13546" s="111"/>
      <c r="EF13546"/>
      <c r="EG13546"/>
      <c r="EH13546"/>
      <c r="EI13546"/>
      <c r="EJ13546"/>
      <c r="EK13546"/>
    </row>
    <row r="13547" spans="1:141" s="116" customFormat="1">
      <c r="A13547" s="136"/>
      <c r="CM13547" s="111"/>
      <c r="CQ13547" s="111"/>
      <c r="EF13547"/>
      <c r="EG13547"/>
      <c r="EH13547"/>
      <c r="EI13547"/>
      <c r="EJ13547"/>
      <c r="EK13547"/>
    </row>
    <row r="13548" spans="1:141" s="116" customFormat="1">
      <c r="A13548" s="136"/>
      <c r="CM13548" s="111"/>
      <c r="CQ13548" s="111"/>
      <c r="EF13548"/>
      <c r="EG13548"/>
      <c r="EH13548"/>
      <c r="EI13548"/>
      <c r="EJ13548"/>
      <c r="EK13548"/>
    </row>
    <row r="13549" spans="1:141" s="116" customFormat="1">
      <c r="A13549" s="136"/>
      <c r="CM13549" s="111"/>
      <c r="CQ13549" s="111"/>
      <c r="EF13549"/>
      <c r="EG13549"/>
      <c r="EH13549"/>
      <c r="EI13549"/>
      <c r="EJ13549"/>
      <c r="EK13549"/>
    </row>
    <row r="13550" spans="1:141" s="116" customFormat="1">
      <c r="A13550" s="136"/>
      <c r="CM13550" s="111"/>
      <c r="CQ13550" s="111"/>
      <c r="EF13550"/>
      <c r="EG13550"/>
      <c r="EH13550"/>
      <c r="EI13550"/>
      <c r="EJ13550"/>
      <c r="EK13550"/>
    </row>
    <row r="13551" spans="1:141" s="116" customFormat="1">
      <c r="A13551" s="136"/>
      <c r="CM13551" s="111"/>
      <c r="CQ13551" s="111"/>
      <c r="EF13551"/>
      <c r="EG13551"/>
      <c r="EH13551"/>
      <c r="EI13551"/>
      <c r="EJ13551"/>
      <c r="EK13551"/>
    </row>
    <row r="13552" spans="1:141" s="116" customFormat="1">
      <c r="A13552" s="136"/>
      <c r="CM13552" s="111"/>
      <c r="CQ13552" s="111"/>
      <c r="EF13552"/>
      <c r="EG13552"/>
      <c r="EH13552"/>
      <c r="EI13552"/>
      <c r="EJ13552"/>
      <c r="EK13552"/>
    </row>
    <row r="13553" spans="1:141" s="116" customFormat="1">
      <c r="A13553" s="136"/>
      <c r="CM13553" s="111"/>
      <c r="CQ13553" s="111"/>
      <c r="EF13553"/>
      <c r="EG13553"/>
      <c r="EH13553"/>
      <c r="EI13553"/>
      <c r="EJ13553"/>
      <c r="EK13553"/>
    </row>
    <row r="13554" spans="1:141" s="116" customFormat="1">
      <c r="A13554" s="136"/>
      <c r="CM13554" s="111"/>
      <c r="CQ13554" s="111"/>
      <c r="EF13554"/>
      <c r="EG13554"/>
      <c r="EH13554"/>
      <c r="EI13554"/>
      <c r="EJ13554"/>
      <c r="EK13554"/>
    </row>
    <row r="13555" spans="1:141" s="116" customFormat="1">
      <c r="A13555" s="136"/>
      <c r="CM13555" s="111"/>
      <c r="CQ13555" s="111"/>
      <c r="EF13555"/>
      <c r="EG13555"/>
      <c r="EH13555"/>
      <c r="EI13555"/>
      <c r="EJ13555"/>
      <c r="EK13555"/>
    </row>
    <row r="13556" spans="1:141" s="116" customFormat="1">
      <c r="A13556" s="136"/>
      <c r="CM13556" s="111"/>
      <c r="CQ13556" s="111"/>
      <c r="EF13556"/>
      <c r="EG13556"/>
      <c r="EH13556"/>
      <c r="EI13556"/>
      <c r="EJ13556"/>
      <c r="EK13556"/>
    </row>
    <row r="13557" spans="1:141" s="116" customFormat="1">
      <c r="A13557" s="136"/>
      <c r="CM13557" s="111"/>
      <c r="CQ13557" s="111"/>
      <c r="EF13557"/>
      <c r="EG13557"/>
      <c r="EH13557"/>
      <c r="EI13557"/>
      <c r="EJ13557"/>
      <c r="EK13557"/>
    </row>
    <row r="13558" spans="1:141" s="116" customFormat="1">
      <c r="A13558" s="136"/>
      <c r="CM13558" s="111"/>
      <c r="CQ13558" s="111"/>
      <c r="EF13558"/>
      <c r="EG13558"/>
      <c r="EH13558"/>
      <c r="EI13558"/>
      <c r="EJ13558"/>
      <c r="EK13558"/>
    </row>
    <row r="13559" spans="1:141" s="116" customFormat="1">
      <c r="A13559" s="136"/>
      <c r="CM13559" s="111"/>
      <c r="CQ13559" s="111"/>
      <c r="EF13559"/>
      <c r="EG13559"/>
      <c r="EH13559"/>
      <c r="EI13559"/>
      <c r="EJ13559"/>
      <c r="EK13559"/>
    </row>
    <row r="13560" spans="1:141" s="116" customFormat="1">
      <c r="A13560" s="136"/>
      <c r="CM13560" s="111"/>
      <c r="CQ13560" s="111"/>
      <c r="EF13560"/>
      <c r="EG13560"/>
      <c r="EH13560"/>
      <c r="EI13560"/>
      <c r="EJ13560"/>
      <c r="EK13560"/>
    </row>
    <row r="13561" spans="1:141" s="116" customFormat="1">
      <c r="A13561" s="136"/>
      <c r="CM13561" s="111"/>
      <c r="CQ13561" s="111"/>
      <c r="EF13561"/>
      <c r="EG13561"/>
      <c r="EH13561"/>
      <c r="EI13561"/>
      <c r="EJ13561"/>
      <c r="EK13561"/>
    </row>
    <row r="13562" spans="1:141" s="116" customFormat="1">
      <c r="A13562" s="136"/>
      <c r="CM13562" s="111"/>
      <c r="CQ13562" s="111"/>
      <c r="EF13562"/>
      <c r="EG13562"/>
      <c r="EH13562"/>
      <c r="EI13562"/>
      <c r="EJ13562"/>
      <c r="EK13562"/>
    </row>
    <row r="13563" spans="1:141" s="116" customFormat="1">
      <c r="A13563" s="136"/>
      <c r="CM13563" s="111"/>
      <c r="CQ13563" s="111"/>
      <c r="EF13563"/>
      <c r="EG13563"/>
      <c r="EH13563"/>
      <c r="EI13563"/>
      <c r="EJ13563"/>
      <c r="EK13563"/>
    </row>
    <row r="13564" spans="1:141" s="116" customFormat="1">
      <c r="A13564" s="136"/>
      <c r="CM13564" s="111"/>
      <c r="CQ13564" s="111"/>
      <c r="EF13564"/>
      <c r="EG13564"/>
      <c r="EH13564"/>
      <c r="EI13564"/>
      <c r="EJ13564"/>
      <c r="EK13564"/>
    </row>
    <row r="13565" spans="1:141" s="116" customFormat="1">
      <c r="A13565" s="136"/>
      <c r="CM13565" s="111"/>
      <c r="CQ13565" s="111"/>
      <c r="EF13565"/>
      <c r="EG13565"/>
      <c r="EH13565"/>
      <c r="EI13565"/>
      <c r="EJ13565"/>
      <c r="EK13565"/>
    </row>
    <row r="13566" spans="1:141" s="116" customFormat="1">
      <c r="A13566" s="136"/>
      <c r="CM13566" s="111"/>
      <c r="CQ13566" s="111"/>
      <c r="EF13566"/>
      <c r="EG13566"/>
      <c r="EH13566"/>
      <c r="EI13566"/>
      <c r="EJ13566"/>
      <c r="EK13566"/>
    </row>
    <row r="13567" spans="1:141" s="116" customFormat="1">
      <c r="A13567" s="136"/>
      <c r="CM13567" s="111"/>
      <c r="CQ13567" s="111"/>
      <c r="EF13567"/>
      <c r="EG13567"/>
      <c r="EH13567"/>
      <c r="EI13567"/>
      <c r="EJ13567"/>
      <c r="EK13567"/>
    </row>
    <row r="13568" spans="1:141" s="116" customFormat="1">
      <c r="A13568" s="136"/>
      <c r="CM13568" s="111"/>
      <c r="CQ13568" s="111"/>
      <c r="EF13568"/>
      <c r="EG13568"/>
      <c r="EH13568"/>
      <c r="EI13568"/>
      <c r="EJ13568"/>
      <c r="EK13568"/>
    </row>
    <row r="13569" spans="1:141" s="116" customFormat="1">
      <c r="A13569" s="136"/>
      <c r="CM13569" s="111"/>
      <c r="CQ13569" s="111"/>
      <c r="EF13569"/>
      <c r="EG13569"/>
      <c r="EH13569"/>
      <c r="EI13569"/>
      <c r="EJ13569"/>
      <c r="EK13569"/>
    </row>
    <row r="13570" spans="1:141" s="116" customFormat="1">
      <c r="A13570" s="136"/>
      <c r="CM13570" s="111"/>
      <c r="CQ13570" s="111"/>
      <c r="EF13570"/>
      <c r="EG13570"/>
      <c r="EH13570"/>
      <c r="EI13570"/>
      <c r="EJ13570"/>
      <c r="EK13570"/>
    </row>
    <row r="13571" spans="1:141" s="116" customFormat="1">
      <c r="A13571" s="136"/>
      <c r="CM13571" s="111"/>
      <c r="CQ13571" s="111"/>
      <c r="EF13571"/>
      <c r="EG13571"/>
      <c r="EH13571"/>
      <c r="EI13571"/>
      <c r="EJ13571"/>
      <c r="EK13571"/>
    </row>
    <row r="13572" spans="1:141" s="116" customFormat="1">
      <c r="A13572" s="136"/>
      <c r="CM13572" s="111"/>
      <c r="CQ13572" s="111"/>
      <c r="EF13572"/>
      <c r="EG13572"/>
      <c r="EH13572"/>
      <c r="EI13572"/>
      <c r="EJ13572"/>
      <c r="EK13572"/>
    </row>
    <row r="13573" spans="1:141" s="116" customFormat="1">
      <c r="A13573" s="136"/>
      <c r="CM13573" s="111"/>
      <c r="CQ13573" s="111"/>
      <c r="EF13573"/>
      <c r="EG13573"/>
      <c r="EH13573"/>
      <c r="EI13573"/>
      <c r="EJ13573"/>
      <c r="EK13573"/>
    </row>
    <row r="13574" spans="1:141" s="116" customFormat="1">
      <c r="A13574" s="136"/>
      <c r="CM13574" s="111"/>
      <c r="CQ13574" s="111"/>
      <c r="EF13574"/>
      <c r="EG13574"/>
      <c r="EH13574"/>
      <c r="EI13574"/>
      <c r="EJ13574"/>
      <c r="EK13574"/>
    </row>
    <row r="13575" spans="1:141" s="116" customFormat="1">
      <c r="A13575" s="136"/>
      <c r="CM13575" s="111"/>
      <c r="CQ13575" s="111"/>
      <c r="EF13575"/>
      <c r="EG13575"/>
      <c r="EH13575"/>
      <c r="EI13575"/>
      <c r="EJ13575"/>
      <c r="EK13575"/>
    </row>
    <row r="13576" spans="1:141" s="116" customFormat="1">
      <c r="A13576" s="136"/>
      <c r="CM13576" s="111"/>
      <c r="CQ13576" s="111"/>
      <c r="EF13576"/>
      <c r="EG13576"/>
      <c r="EH13576"/>
      <c r="EI13576"/>
      <c r="EJ13576"/>
      <c r="EK13576"/>
    </row>
    <row r="13577" spans="1:141" s="116" customFormat="1">
      <c r="A13577" s="136"/>
      <c r="CM13577" s="111"/>
      <c r="CQ13577" s="111"/>
      <c r="EF13577"/>
      <c r="EG13577"/>
      <c r="EH13577"/>
      <c r="EI13577"/>
      <c r="EJ13577"/>
      <c r="EK13577"/>
    </row>
    <row r="13578" spans="1:141" s="116" customFormat="1">
      <c r="A13578" s="136"/>
      <c r="CM13578" s="111"/>
      <c r="CQ13578" s="111"/>
      <c r="EF13578"/>
      <c r="EG13578"/>
      <c r="EH13578"/>
      <c r="EI13578"/>
      <c r="EJ13578"/>
      <c r="EK13578"/>
    </row>
    <row r="13579" spans="1:141" s="116" customFormat="1">
      <c r="A13579" s="136"/>
      <c r="CM13579" s="111"/>
      <c r="CQ13579" s="111"/>
      <c r="EF13579"/>
      <c r="EG13579"/>
      <c r="EH13579"/>
      <c r="EI13579"/>
      <c r="EJ13579"/>
      <c r="EK13579"/>
    </row>
    <row r="13580" spans="1:141" s="116" customFormat="1">
      <c r="A13580" s="136"/>
      <c r="CM13580" s="111"/>
      <c r="CQ13580" s="111"/>
      <c r="EF13580"/>
      <c r="EG13580"/>
      <c r="EH13580"/>
      <c r="EI13580"/>
      <c r="EJ13580"/>
      <c r="EK13580"/>
    </row>
    <row r="13581" spans="1:141" s="116" customFormat="1">
      <c r="A13581" s="136"/>
      <c r="CM13581" s="111"/>
      <c r="CQ13581" s="111"/>
      <c r="EF13581"/>
      <c r="EG13581"/>
      <c r="EH13581"/>
      <c r="EI13581"/>
      <c r="EJ13581"/>
      <c r="EK13581"/>
    </row>
    <row r="13582" spans="1:141" s="116" customFormat="1">
      <c r="A13582" s="136"/>
      <c r="CM13582" s="111"/>
      <c r="CQ13582" s="111"/>
      <c r="EF13582"/>
      <c r="EG13582"/>
      <c r="EH13582"/>
      <c r="EI13582"/>
      <c r="EJ13582"/>
      <c r="EK13582"/>
    </row>
    <row r="13583" spans="1:141" s="116" customFormat="1">
      <c r="A13583" s="136"/>
      <c r="CM13583" s="111"/>
      <c r="CQ13583" s="111"/>
      <c r="EF13583"/>
      <c r="EG13583"/>
      <c r="EH13583"/>
      <c r="EI13583"/>
      <c r="EJ13583"/>
      <c r="EK13583"/>
    </row>
    <row r="13584" spans="1:141" s="116" customFormat="1">
      <c r="A13584" s="136"/>
      <c r="CM13584" s="111"/>
      <c r="CQ13584" s="111"/>
      <c r="EF13584"/>
      <c r="EG13584"/>
      <c r="EH13584"/>
      <c r="EI13584"/>
      <c r="EJ13584"/>
      <c r="EK13584"/>
    </row>
    <row r="13585" spans="1:141" s="116" customFormat="1">
      <c r="A13585" s="136"/>
      <c r="CM13585" s="111"/>
      <c r="CQ13585" s="111"/>
      <c r="EF13585"/>
      <c r="EG13585"/>
      <c r="EH13585"/>
      <c r="EI13585"/>
      <c r="EJ13585"/>
      <c r="EK13585"/>
    </row>
    <row r="13586" spans="1:141" s="116" customFormat="1">
      <c r="A13586" s="136"/>
      <c r="CM13586" s="111"/>
      <c r="CQ13586" s="111"/>
      <c r="EF13586"/>
      <c r="EG13586"/>
      <c r="EH13586"/>
      <c r="EI13586"/>
      <c r="EJ13586"/>
      <c r="EK13586"/>
    </row>
    <row r="13587" spans="1:141" s="116" customFormat="1">
      <c r="A13587" s="136"/>
      <c r="CM13587" s="111"/>
      <c r="CQ13587" s="111"/>
      <c r="EF13587"/>
      <c r="EG13587"/>
      <c r="EH13587"/>
      <c r="EI13587"/>
      <c r="EJ13587"/>
      <c r="EK13587"/>
    </row>
    <row r="13588" spans="1:141" s="116" customFormat="1">
      <c r="A13588" s="136"/>
      <c r="CM13588" s="111"/>
      <c r="CQ13588" s="111"/>
      <c r="EF13588"/>
      <c r="EG13588"/>
      <c r="EH13588"/>
      <c r="EI13588"/>
      <c r="EJ13588"/>
      <c r="EK13588"/>
    </row>
    <row r="13589" spans="1:141" s="116" customFormat="1">
      <c r="A13589" s="136"/>
      <c r="CM13589" s="111"/>
      <c r="CQ13589" s="111"/>
      <c r="EF13589"/>
      <c r="EG13589"/>
      <c r="EH13589"/>
      <c r="EI13589"/>
      <c r="EJ13589"/>
      <c r="EK13589"/>
    </row>
    <row r="13590" spans="1:141" s="116" customFormat="1">
      <c r="A13590" s="136"/>
      <c r="CM13590" s="111"/>
      <c r="CQ13590" s="111"/>
      <c r="EF13590"/>
      <c r="EG13590"/>
      <c r="EH13590"/>
      <c r="EI13590"/>
      <c r="EJ13590"/>
      <c r="EK13590"/>
    </row>
    <row r="13591" spans="1:141" s="116" customFormat="1">
      <c r="A13591" s="136"/>
      <c r="CM13591" s="111"/>
      <c r="CQ13591" s="111"/>
      <c r="EF13591"/>
      <c r="EG13591"/>
      <c r="EH13591"/>
      <c r="EI13591"/>
      <c r="EJ13591"/>
      <c r="EK13591"/>
    </row>
    <row r="13592" spans="1:141" s="116" customFormat="1">
      <c r="A13592" s="136"/>
      <c r="CM13592" s="111"/>
      <c r="CQ13592" s="111"/>
      <c r="EF13592"/>
      <c r="EG13592"/>
      <c r="EH13592"/>
      <c r="EI13592"/>
      <c r="EJ13592"/>
      <c r="EK13592"/>
    </row>
    <row r="13593" spans="1:141" s="116" customFormat="1">
      <c r="A13593" s="136"/>
      <c r="CM13593" s="111"/>
      <c r="CQ13593" s="111"/>
      <c r="EF13593"/>
      <c r="EG13593"/>
      <c r="EH13593"/>
      <c r="EI13593"/>
      <c r="EJ13593"/>
      <c r="EK13593"/>
    </row>
    <row r="13594" spans="1:141" s="116" customFormat="1">
      <c r="A13594" s="136"/>
      <c r="CM13594" s="111"/>
      <c r="CQ13594" s="111"/>
      <c r="EF13594"/>
      <c r="EG13594"/>
      <c r="EH13594"/>
      <c r="EI13594"/>
      <c r="EJ13594"/>
      <c r="EK13594"/>
    </row>
    <row r="13595" spans="1:141" s="116" customFormat="1">
      <c r="A13595" s="136"/>
      <c r="CM13595" s="111"/>
      <c r="CQ13595" s="111"/>
      <c r="EF13595"/>
      <c r="EG13595"/>
      <c r="EH13595"/>
      <c r="EI13595"/>
      <c r="EJ13595"/>
      <c r="EK13595"/>
    </row>
    <row r="13596" spans="1:141" s="116" customFormat="1">
      <c r="A13596" s="136"/>
      <c r="CM13596" s="111"/>
      <c r="CQ13596" s="111"/>
      <c r="EF13596"/>
      <c r="EG13596"/>
      <c r="EH13596"/>
      <c r="EI13596"/>
      <c r="EJ13596"/>
      <c r="EK13596"/>
    </row>
    <row r="13597" spans="1:141" s="116" customFormat="1">
      <c r="A13597" s="136"/>
      <c r="CM13597" s="111"/>
      <c r="CQ13597" s="111"/>
      <c r="EF13597"/>
      <c r="EG13597"/>
      <c r="EH13597"/>
      <c r="EI13597"/>
      <c r="EJ13597"/>
      <c r="EK13597"/>
    </row>
    <row r="13598" spans="1:141" s="116" customFormat="1">
      <c r="A13598" s="136"/>
      <c r="CM13598" s="111"/>
      <c r="CQ13598" s="111"/>
      <c r="EF13598"/>
      <c r="EG13598"/>
      <c r="EH13598"/>
      <c r="EI13598"/>
      <c r="EJ13598"/>
      <c r="EK13598"/>
    </row>
    <row r="13599" spans="1:141" s="116" customFormat="1">
      <c r="A13599" s="136"/>
      <c r="CM13599" s="111"/>
      <c r="CQ13599" s="111"/>
      <c r="EF13599"/>
      <c r="EG13599"/>
      <c r="EH13599"/>
      <c r="EI13599"/>
      <c r="EJ13599"/>
      <c r="EK13599"/>
    </row>
    <row r="13600" spans="1:141" s="116" customFormat="1">
      <c r="A13600" s="136"/>
      <c r="CM13600" s="111"/>
      <c r="CQ13600" s="111"/>
      <c r="EF13600"/>
      <c r="EG13600"/>
      <c r="EH13600"/>
      <c r="EI13600"/>
      <c r="EJ13600"/>
      <c r="EK13600"/>
    </row>
    <row r="13601" spans="1:141" s="116" customFormat="1">
      <c r="A13601" s="136"/>
      <c r="CM13601" s="111"/>
      <c r="CQ13601" s="111"/>
      <c r="EF13601"/>
      <c r="EG13601"/>
      <c r="EH13601"/>
      <c r="EI13601"/>
      <c r="EJ13601"/>
      <c r="EK13601"/>
    </row>
    <row r="13602" spans="1:141" s="116" customFormat="1">
      <c r="A13602" s="136"/>
      <c r="CM13602" s="111"/>
      <c r="CQ13602" s="111"/>
      <c r="EF13602"/>
      <c r="EG13602"/>
      <c r="EH13602"/>
      <c r="EI13602"/>
      <c r="EJ13602"/>
      <c r="EK13602"/>
    </row>
    <row r="13603" spans="1:141" s="116" customFormat="1">
      <c r="A13603" s="136"/>
      <c r="CM13603" s="111"/>
      <c r="CQ13603" s="111"/>
      <c r="EF13603"/>
      <c r="EG13603"/>
      <c r="EH13603"/>
      <c r="EI13603"/>
      <c r="EJ13603"/>
      <c r="EK13603"/>
    </row>
    <row r="13604" spans="1:141" s="116" customFormat="1">
      <c r="A13604" s="136"/>
      <c r="CM13604" s="111"/>
      <c r="CQ13604" s="111"/>
      <c r="EF13604"/>
      <c r="EG13604"/>
      <c r="EH13604"/>
      <c r="EI13604"/>
      <c r="EJ13604"/>
      <c r="EK13604"/>
    </row>
    <row r="13605" spans="1:141" s="116" customFormat="1">
      <c r="A13605" s="136"/>
      <c r="CM13605" s="111"/>
      <c r="CQ13605" s="111"/>
      <c r="EF13605"/>
      <c r="EG13605"/>
      <c r="EH13605"/>
      <c r="EI13605"/>
      <c r="EJ13605"/>
      <c r="EK13605"/>
    </row>
    <row r="13606" spans="1:141" s="116" customFormat="1">
      <c r="A13606" s="136"/>
      <c r="CM13606" s="111"/>
      <c r="CQ13606" s="111"/>
      <c r="EF13606"/>
      <c r="EG13606"/>
      <c r="EH13606"/>
      <c r="EI13606"/>
      <c r="EJ13606"/>
      <c r="EK13606"/>
    </row>
    <row r="13607" spans="1:141" s="116" customFormat="1">
      <c r="A13607" s="136"/>
      <c r="CM13607" s="111"/>
      <c r="CQ13607" s="111"/>
      <c r="EF13607"/>
      <c r="EG13607"/>
      <c r="EH13607"/>
      <c r="EI13607"/>
      <c r="EJ13607"/>
      <c r="EK13607"/>
    </row>
    <row r="13608" spans="1:141" s="116" customFormat="1">
      <c r="A13608" s="136"/>
      <c r="CM13608" s="111"/>
      <c r="CQ13608" s="111"/>
      <c r="EF13608"/>
      <c r="EG13608"/>
      <c r="EH13608"/>
      <c r="EI13608"/>
      <c r="EJ13608"/>
      <c r="EK13608"/>
    </row>
    <row r="13609" spans="1:141" s="116" customFormat="1">
      <c r="A13609" s="136"/>
      <c r="CM13609" s="111"/>
      <c r="CQ13609" s="111"/>
      <c r="EF13609"/>
      <c r="EG13609"/>
      <c r="EH13609"/>
      <c r="EI13609"/>
      <c r="EJ13609"/>
      <c r="EK13609"/>
    </row>
    <row r="13610" spans="1:141" s="116" customFormat="1">
      <c r="A13610" s="136"/>
      <c r="CM13610" s="111"/>
      <c r="CQ13610" s="111"/>
      <c r="EF13610"/>
      <c r="EG13610"/>
      <c r="EH13610"/>
      <c r="EI13610"/>
      <c r="EJ13610"/>
      <c r="EK13610"/>
    </row>
    <row r="13611" spans="1:141" s="116" customFormat="1">
      <c r="A13611" s="136"/>
      <c r="CM13611" s="111"/>
      <c r="CQ13611" s="111"/>
      <c r="EF13611"/>
      <c r="EG13611"/>
      <c r="EH13611"/>
      <c r="EI13611"/>
      <c r="EJ13611"/>
      <c r="EK13611"/>
    </row>
    <row r="13612" spans="1:141" s="116" customFormat="1">
      <c r="A13612" s="136"/>
      <c r="CM13612" s="111"/>
      <c r="CQ13612" s="111"/>
      <c r="EF13612"/>
      <c r="EG13612"/>
      <c r="EH13612"/>
      <c r="EI13612"/>
      <c r="EJ13612"/>
      <c r="EK13612"/>
    </row>
    <row r="13613" spans="1:141" s="116" customFormat="1">
      <c r="A13613" s="136"/>
      <c r="CM13613" s="111"/>
      <c r="CQ13613" s="111"/>
      <c r="EF13613"/>
      <c r="EG13613"/>
      <c r="EH13613"/>
      <c r="EI13613"/>
      <c r="EJ13613"/>
      <c r="EK13613"/>
    </row>
    <row r="13614" spans="1:141" s="116" customFormat="1">
      <c r="A13614" s="136"/>
      <c r="CM13614" s="111"/>
      <c r="CQ13614" s="111"/>
      <c r="EF13614"/>
      <c r="EG13614"/>
      <c r="EH13614"/>
      <c r="EI13614"/>
      <c r="EJ13614"/>
      <c r="EK13614"/>
    </row>
    <row r="13615" spans="1:141" s="116" customFormat="1">
      <c r="A13615" s="136"/>
      <c r="CM13615" s="111"/>
      <c r="CQ13615" s="111"/>
      <c r="EF13615"/>
      <c r="EG13615"/>
      <c r="EH13615"/>
      <c r="EI13615"/>
      <c r="EJ13615"/>
      <c r="EK13615"/>
    </row>
    <row r="13616" spans="1:141" s="116" customFormat="1">
      <c r="A13616" s="136"/>
      <c r="CM13616" s="111"/>
      <c r="CQ13616" s="111"/>
      <c r="EF13616"/>
      <c r="EG13616"/>
      <c r="EH13616"/>
      <c r="EI13616"/>
      <c r="EJ13616"/>
      <c r="EK13616"/>
    </row>
    <row r="13617" spans="1:141" s="116" customFormat="1">
      <c r="A13617" s="136"/>
      <c r="CM13617" s="111"/>
      <c r="CQ13617" s="111"/>
      <c r="EF13617"/>
      <c r="EG13617"/>
      <c r="EH13617"/>
      <c r="EI13617"/>
      <c r="EJ13617"/>
      <c r="EK13617"/>
    </row>
    <row r="13618" spans="1:141" s="116" customFormat="1">
      <c r="A13618" s="136"/>
      <c r="CM13618" s="111"/>
      <c r="CQ13618" s="111"/>
      <c r="EF13618"/>
      <c r="EG13618"/>
      <c r="EH13618"/>
      <c r="EI13618"/>
      <c r="EJ13618"/>
      <c r="EK13618"/>
    </row>
    <row r="13619" spans="1:141" s="116" customFormat="1">
      <c r="A13619" s="136"/>
      <c r="CM13619" s="111"/>
      <c r="CQ13619" s="111"/>
      <c r="EF13619"/>
      <c r="EG13619"/>
      <c r="EH13619"/>
      <c r="EI13619"/>
      <c r="EJ13619"/>
      <c r="EK13619"/>
    </row>
    <row r="13620" spans="1:141" s="116" customFormat="1">
      <c r="A13620" s="136"/>
      <c r="CM13620" s="111"/>
      <c r="CQ13620" s="111"/>
      <c r="EF13620"/>
      <c r="EG13620"/>
      <c r="EH13620"/>
      <c r="EI13620"/>
      <c r="EJ13620"/>
      <c r="EK13620"/>
    </row>
    <row r="13621" spans="1:141" s="116" customFormat="1">
      <c r="A13621" s="136"/>
      <c r="CM13621" s="111"/>
      <c r="CQ13621" s="111"/>
      <c r="EF13621"/>
      <c r="EG13621"/>
      <c r="EH13621"/>
      <c r="EI13621"/>
      <c r="EJ13621"/>
      <c r="EK13621"/>
    </row>
    <row r="13622" spans="1:141" s="116" customFormat="1">
      <c r="A13622" s="136"/>
      <c r="CM13622" s="111"/>
      <c r="CQ13622" s="111"/>
      <c r="EF13622"/>
      <c r="EG13622"/>
      <c r="EH13622"/>
      <c r="EI13622"/>
      <c r="EJ13622"/>
      <c r="EK13622"/>
    </row>
    <row r="13623" spans="1:141" s="116" customFormat="1">
      <c r="A13623" s="136"/>
      <c r="CM13623" s="111"/>
      <c r="CQ13623" s="111"/>
      <c r="EF13623"/>
      <c r="EG13623"/>
      <c r="EH13623"/>
      <c r="EI13623"/>
      <c r="EJ13623"/>
      <c r="EK13623"/>
    </row>
    <row r="13624" spans="1:141" s="116" customFormat="1">
      <c r="A13624" s="136"/>
      <c r="CM13624" s="111"/>
      <c r="CQ13624" s="111"/>
      <c r="EF13624"/>
      <c r="EG13624"/>
      <c r="EH13624"/>
      <c r="EI13624"/>
      <c r="EJ13624"/>
      <c r="EK13624"/>
    </row>
    <row r="13625" spans="1:141" s="116" customFormat="1">
      <c r="A13625" s="136"/>
      <c r="CM13625" s="111"/>
      <c r="CQ13625" s="111"/>
      <c r="EF13625"/>
      <c r="EG13625"/>
      <c r="EH13625"/>
      <c r="EI13625"/>
      <c r="EJ13625"/>
      <c r="EK13625"/>
    </row>
    <row r="13626" spans="1:141" s="116" customFormat="1">
      <c r="A13626" s="136"/>
      <c r="CM13626" s="111"/>
      <c r="CQ13626" s="111"/>
      <c r="EF13626"/>
      <c r="EG13626"/>
      <c r="EH13626"/>
      <c r="EI13626"/>
      <c r="EJ13626"/>
      <c r="EK13626"/>
    </row>
    <row r="13627" spans="1:141" s="116" customFormat="1">
      <c r="A13627" s="136"/>
      <c r="CM13627" s="111"/>
      <c r="CQ13627" s="111"/>
      <c r="EF13627"/>
      <c r="EG13627"/>
      <c r="EH13627"/>
      <c r="EI13627"/>
      <c r="EJ13627"/>
      <c r="EK13627"/>
    </row>
    <row r="13628" spans="1:141" s="116" customFormat="1">
      <c r="A13628" s="136"/>
      <c r="CM13628" s="111"/>
      <c r="CQ13628" s="111"/>
      <c r="EF13628"/>
      <c r="EG13628"/>
      <c r="EH13628"/>
      <c r="EI13628"/>
      <c r="EJ13628"/>
      <c r="EK13628"/>
    </row>
    <row r="13629" spans="1:141" s="116" customFormat="1">
      <c r="A13629" s="136"/>
      <c r="CM13629" s="111"/>
      <c r="CQ13629" s="111"/>
      <c r="EF13629"/>
      <c r="EG13629"/>
      <c r="EH13629"/>
      <c r="EI13629"/>
      <c r="EJ13629"/>
      <c r="EK13629"/>
    </row>
    <row r="13630" spans="1:141" s="116" customFormat="1">
      <c r="A13630" s="136"/>
      <c r="CM13630" s="111"/>
      <c r="CQ13630" s="111"/>
      <c r="EF13630"/>
      <c r="EG13630"/>
      <c r="EH13630"/>
      <c r="EI13630"/>
      <c r="EJ13630"/>
      <c r="EK13630"/>
    </row>
    <row r="13631" spans="1:141" s="116" customFormat="1">
      <c r="A13631" s="136"/>
      <c r="CM13631" s="111"/>
      <c r="CQ13631" s="111"/>
      <c r="EF13631"/>
      <c r="EG13631"/>
      <c r="EH13631"/>
      <c r="EI13631"/>
      <c r="EJ13631"/>
      <c r="EK13631"/>
    </row>
    <row r="13632" spans="1:141" s="116" customFormat="1">
      <c r="A13632" s="136"/>
      <c r="CM13632" s="111"/>
      <c r="CQ13632" s="111"/>
      <c r="EF13632"/>
      <c r="EG13632"/>
      <c r="EH13632"/>
      <c r="EI13632"/>
      <c r="EJ13632"/>
      <c r="EK13632"/>
    </row>
    <row r="13633" spans="1:141" s="116" customFormat="1">
      <c r="A13633" s="136"/>
      <c r="CM13633" s="111"/>
      <c r="CQ13633" s="111"/>
      <c r="EF13633"/>
      <c r="EG13633"/>
      <c r="EH13633"/>
      <c r="EI13633"/>
      <c r="EJ13633"/>
      <c r="EK13633"/>
    </row>
    <row r="13634" spans="1:141" s="116" customFormat="1">
      <c r="A13634" s="136"/>
      <c r="CM13634" s="111"/>
      <c r="CQ13634" s="111"/>
      <c r="EF13634"/>
      <c r="EG13634"/>
      <c r="EH13634"/>
      <c r="EI13634"/>
      <c r="EJ13634"/>
      <c r="EK13634"/>
    </row>
    <row r="13635" spans="1:141" s="116" customFormat="1">
      <c r="A13635" s="136"/>
      <c r="CM13635" s="111"/>
      <c r="CQ13635" s="111"/>
      <c r="EF13635"/>
      <c r="EG13635"/>
      <c r="EH13635"/>
      <c r="EI13635"/>
      <c r="EJ13635"/>
      <c r="EK13635"/>
    </row>
    <row r="13636" spans="1:141" s="116" customFormat="1">
      <c r="A13636" s="136"/>
      <c r="CM13636" s="111"/>
      <c r="CQ13636" s="111"/>
      <c r="EF13636"/>
      <c r="EG13636"/>
      <c r="EH13636"/>
      <c r="EI13636"/>
      <c r="EJ13636"/>
      <c r="EK13636"/>
    </row>
    <row r="13637" spans="1:141" s="116" customFormat="1">
      <c r="A13637" s="136"/>
      <c r="CM13637" s="111"/>
      <c r="CQ13637" s="111"/>
      <c r="EF13637"/>
      <c r="EG13637"/>
      <c r="EH13637"/>
      <c r="EI13637"/>
      <c r="EJ13637"/>
      <c r="EK13637"/>
    </row>
    <row r="13638" spans="1:141" s="116" customFormat="1">
      <c r="A13638" s="136"/>
      <c r="CM13638" s="111"/>
      <c r="CQ13638" s="111"/>
      <c r="EF13638"/>
      <c r="EG13638"/>
      <c r="EH13638"/>
      <c r="EI13638"/>
      <c r="EJ13638"/>
      <c r="EK13638"/>
    </row>
    <row r="13639" spans="1:141" s="116" customFormat="1">
      <c r="A13639" s="136"/>
      <c r="CM13639" s="111"/>
      <c r="CQ13639" s="111"/>
      <c r="EF13639"/>
      <c r="EG13639"/>
      <c r="EH13639"/>
      <c r="EI13639"/>
      <c r="EJ13639"/>
      <c r="EK13639"/>
    </row>
    <row r="13640" spans="1:141" s="116" customFormat="1">
      <c r="A13640" s="136"/>
      <c r="CM13640" s="111"/>
      <c r="CQ13640" s="111"/>
      <c r="EF13640"/>
      <c r="EG13640"/>
      <c r="EH13640"/>
      <c r="EI13640"/>
      <c r="EJ13640"/>
      <c r="EK13640"/>
    </row>
    <row r="13641" spans="1:141" s="116" customFormat="1">
      <c r="A13641" s="136"/>
      <c r="CM13641" s="111"/>
      <c r="CQ13641" s="111"/>
      <c r="EF13641"/>
      <c r="EG13641"/>
      <c r="EH13641"/>
      <c r="EI13641"/>
      <c r="EJ13641"/>
      <c r="EK13641"/>
    </row>
    <row r="13642" spans="1:141" s="116" customFormat="1">
      <c r="A13642" s="136"/>
      <c r="CM13642" s="111"/>
      <c r="CQ13642" s="111"/>
      <c r="EF13642"/>
      <c r="EG13642"/>
      <c r="EH13642"/>
      <c r="EI13642"/>
      <c r="EJ13642"/>
      <c r="EK13642"/>
    </row>
    <row r="13643" spans="1:141" s="116" customFormat="1">
      <c r="A13643" s="136"/>
      <c r="CM13643" s="111"/>
      <c r="CQ13643" s="111"/>
      <c r="EF13643"/>
      <c r="EG13643"/>
      <c r="EH13643"/>
      <c r="EI13643"/>
      <c r="EJ13643"/>
      <c r="EK13643"/>
    </row>
    <row r="13644" spans="1:141" s="116" customFormat="1">
      <c r="A13644" s="136"/>
      <c r="CM13644" s="111"/>
      <c r="CQ13644" s="111"/>
      <c r="EF13644"/>
      <c r="EG13644"/>
      <c r="EH13644"/>
      <c r="EI13644"/>
      <c r="EJ13644"/>
      <c r="EK13644"/>
    </row>
    <row r="13645" spans="1:141" s="116" customFormat="1">
      <c r="A13645" s="136"/>
      <c r="CM13645" s="111"/>
      <c r="CQ13645" s="111"/>
      <c r="EF13645"/>
      <c r="EG13645"/>
      <c r="EH13645"/>
      <c r="EI13645"/>
      <c r="EJ13645"/>
      <c r="EK13645"/>
    </row>
    <row r="13646" spans="1:141" s="116" customFormat="1">
      <c r="A13646" s="136"/>
      <c r="CM13646" s="111"/>
      <c r="CQ13646" s="111"/>
      <c r="EF13646"/>
      <c r="EG13646"/>
      <c r="EH13646"/>
      <c r="EI13646"/>
      <c r="EJ13646"/>
      <c r="EK13646"/>
    </row>
    <row r="13647" spans="1:141" s="116" customFormat="1">
      <c r="A13647" s="136"/>
      <c r="CM13647" s="111"/>
      <c r="CQ13647" s="111"/>
      <c r="EF13647"/>
      <c r="EG13647"/>
      <c r="EH13647"/>
      <c r="EI13647"/>
      <c r="EJ13647"/>
      <c r="EK13647"/>
    </row>
    <row r="13648" spans="1:141" s="116" customFormat="1">
      <c r="A13648" s="136"/>
      <c r="CM13648" s="111"/>
      <c r="CQ13648" s="111"/>
      <c r="EF13648"/>
      <c r="EG13648"/>
      <c r="EH13648"/>
      <c r="EI13648"/>
      <c r="EJ13648"/>
      <c r="EK13648"/>
    </row>
    <row r="13649" spans="1:141" s="116" customFormat="1">
      <c r="A13649" s="136"/>
      <c r="CM13649" s="111"/>
      <c r="CQ13649" s="111"/>
      <c r="EF13649"/>
      <c r="EG13649"/>
      <c r="EH13649"/>
      <c r="EI13649"/>
      <c r="EJ13649"/>
      <c r="EK13649"/>
    </row>
    <row r="13650" spans="1:141" s="116" customFormat="1">
      <c r="A13650" s="136"/>
      <c r="CM13650" s="111"/>
      <c r="CQ13650" s="111"/>
      <c r="EF13650"/>
      <c r="EG13650"/>
      <c r="EH13650"/>
      <c r="EI13650"/>
      <c r="EJ13650"/>
      <c r="EK13650"/>
    </row>
    <row r="13651" spans="1:141" s="116" customFormat="1">
      <c r="A13651" s="136"/>
      <c r="CM13651" s="111"/>
      <c r="CQ13651" s="111"/>
      <c r="EF13651"/>
      <c r="EG13651"/>
      <c r="EH13651"/>
      <c r="EI13651"/>
      <c r="EJ13651"/>
      <c r="EK13651"/>
    </row>
    <row r="13652" spans="1:141" s="116" customFormat="1">
      <c r="A13652" s="136"/>
      <c r="CM13652" s="111"/>
      <c r="CQ13652" s="111"/>
      <c r="EF13652"/>
      <c r="EG13652"/>
      <c r="EH13652"/>
      <c r="EI13652"/>
      <c r="EJ13652"/>
      <c r="EK13652"/>
    </row>
    <row r="13653" spans="1:141" s="116" customFormat="1">
      <c r="A13653" s="136"/>
      <c r="CM13653" s="111"/>
      <c r="CQ13653" s="111"/>
      <c r="EF13653"/>
      <c r="EG13653"/>
      <c r="EH13653"/>
      <c r="EI13653"/>
      <c r="EJ13653"/>
      <c r="EK13653"/>
    </row>
    <row r="13654" spans="1:141" s="116" customFormat="1">
      <c r="A13654" s="136"/>
      <c r="CM13654" s="111"/>
      <c r="CQ13654" s="111"/>
      <c r="EF13654"/>
      <c r="EG13654"/>
      <c r="EH13654"/>
      <c r="EI13654"/>
      <c r="EJ13654"/>
      <c r="EK13654"/>
    </row>
    <row r="13655" spans="1:141" s="116" customFormat="1">
      <c r="A13655" s="136"/>
      <c r="CM13655" s="111"/>
      <c r="CQ13655" s="111"/>
      <c r="EF13655"/>
      <c r="EG13655"/>
      <c r="EH13655"/>
      <c r="EI13655"/>
      <c r="EJ13655"/>
      <c r="EK13655"/>
    </row>
    <row r="13656" spans="1:141" s="116" customFormat="1">
      <c r="A13656" s="136"/>
      <c r="CM13656" s="111"/>
      <c r="CQ13656" s="111"/>
      <c r="EF13656"/>
      <c r="EG13656"/>
      <c r="EH13656"/>
      <c r="EI13656"/>
      <c r="EJ13656"/>
      <c r="EK13656"/>
    </row>
    <row r="13657" spans="1:141" s="116" customFormat="1">
      <c r="A13657" s="136"/>
      <c r="CM13657" s="111"/>
      <c r="CQ13657" s="111"/>
      <c r="EF13657"/>
      <c r="EG13657"/>
      <c r="EH13657"/>
      <c r="EI13657"/>
      <c r="EJ13657"/>
      <c r="EK13657"/>
    </row>
    <row r="13658" spans="1:141" s="116" customFormat="1">
      <c r="A13658" s="136"/>
      <c r="CM13658" s="111"/>
      <c r="CQ13658" s="111"/>
      <c r="EF13658"/>
      <c r="EG13658"/>
      <c r="EH13658"/>
      <c r="EI13658"/>
      <c r="EJ13658"/>
      <c r="EK13658"/>
    </row>
    <row r="13659" spans="1:141" s="116" customFormat="1">
      <c r="A13659" s="136"/>
      <c r="CM13659" s="111"/>
      <c r="CQ13659" s="111"/>
      <c r="EF13659"/>
      <c r="EG13659"/>
      <c r="EH13659"/>
      <c r="EI13659"/>
      <c r="EJ13659"/>
      <c r="EK13659"/>
    </row>
    <row r="13660" spans="1:141" s="116" customFormat="1">
      <c r="A13660" s="136"/>
      <c r="CM13660" s="111"/>
      <c r="CQ13660" s="111"/>
      <c r="EF13660"/>
      <c r="EG13660"/>
      <c r="EH13660"/>
      <c r="EI13660"/>
      <c r="EJ13660"/>
      <c r="EK13660"/>
    </row>
    <row r="13661" spans="1:141" s="116" customFormat="1">
      <c r="A13661" s="136"/>
      <c r="CM13661" s="111"/>
      <c r="CQ13661" s="111"/>
      <c r="EF13661"/>
      <c r="EG13661"/>
      <c r="EH13661"/>
      <c r="EI13661"/>
      <c r="EJ13661"/>
      <c r="EK13661"/>
    </row>
    <row r="13662" spans="1:141" s="116" customFormat="1">
      <c r="A13662" s="136"/>
      <c r="CM13662" s="111"/>
      <c r="CQ13662" s="111"/>
      <c r="EF13662"/>
      <c r="EG13662"/>
      <c r="EH13662"/>
      <c r="EI13662"/>
      <c r="EJ13662"/>
      <c r="EK13662"/>
    </row>
    <row r="13663" spans="1:141" s="116" customFormat="1">
      <c r="A13663" s="136"/>
      <c r="CM13663" s="111"/>
      <c r="CQ13663" s="111"/>
      <c r="EF13663"/>
      <c r="EG13663"/>
      <c r="EH13663"/>
      <c r="EI13663"/>
      <c r="EJ13663"/>
      <c r="EK13663"/>
    </row>
    <row r="13664" spans="1:141" s="116" customFormat="1">
      <c r="A13664" s="136"/>
      <c r="CM13664" s="111"/>
      <c r="CQ13664" s="111"/>
      <c r="EF13664"/>
      <c r="EG13664"/>
      <c r="EH13664"/>
      <c r="EI13664"/>
      <c r="EJ13664"/>
      <c r="EK13664"/>
    </row>
    <row r="13665" spans="1:141" s="116" customFormat="1">
      <c r="A13665" s="136"/>
      <c r="CM13665" s="111"/>
      <c r="CQ13665" s="111"/>
      <c r="EF13665"/>
      <c r="EG13665"/>
      <c r="EH13665"/>
      <c r="EI13665"/>
      <c r="EJ13665"/>
      <c r="EK13665"/>
    </row>
    <row r="13666" spans="1:141" s="116" customFormat="1">
      <c r="A13666" s="136"/>
      <c r="CM13666" s="111"/>
      <c r="CQ13666" s="111"/>
      <c r="EF13666"/>
      <c r="EG13666"/>
      <c r="EH13666"/>
      <c r="EI13666"/>
      <c r="EJ13666"/>
      <c r="EK13666"/>
    </row>
    <row r="13667" spans="1:141" s="116" customFormat="1">
      <c r="A13667" s="136"/>
      <c r="CM13667" s="111"/>
      <c r="CQ13667" s="111"/>
      <c r="EF13667"/>
      <c r="EG13667"/>
      <c r="EH13667"/>
      <c r="EI13667"/>
      <c r="EJ13667"/>
      <c r="EK13667"/>
    </row>
    <row r="13668" spans="1:141" s="116" customFormat="1">
      <c r="A13668" s="136"/>
      <c r="CM13668" s="111"/>
      <c r="CQ13668" s="111"/>
      <c r="EF13668"/>
      <c r="EG13668"/>
      <c r="EH13668"/>
      <c r="EI13668"/>
      <c r="EJ13668"/>
      <c r="EK13668"/>
    </row>
    <row r="13669" spans="1:141" s="116" customFormat="1">
      <c r="A13669" s="136"/>
      <c r="CM13669" s="111"/>
      <c r="CQ13669" s="111"/>
      <c r="EF13669"/>
      <c r="EG13669"/>
      <c r="EH13669"/>
      <c r="EI13669"/>
      <c r="EJ13669"/>
      <c r="EK13669"/>
    </row>
    <row r="13670" spans="1:141" s="116" customFormat="1">
      <c r="A13670" s="136"/>
      <c r="CM13670" s="111"/>
      <c r="CQ13670" s="111"/>
      <c r="EF13670"/>
      <c r="EG13670"/>
      <c r="EH13670"/>
      <c r="EI13670"/>
      <c r="EJ13670"/>
      <c r="EK13670"/>
    </row>
    <row r="13671" spans="1:141" s="116" customFormat="1">
      <c r="A13671" s="136"/>
      <c r="CM13671" s="111"/>
      <c r="CQ13671" s="111"/>
      <c r="EF13671"/>
      <c r="EG13671"/>
      <c r="EH13671"/>
      <c r="EI13671"/>
      <c r="EJ13671"/>
      <c r="EK13671"/>
    </row>
    <row r="13672" spans="1:141" s="116" customFormat="1">
      <c r="A13672" s="136"/>
      <c r="CM13672" s="111"/>
      <c r="CQ13672" s="111"/>
      <c r="EF13672"/>
      <c r="EG13672"/>
      <c r="EH13672"/>
      <c r="EI13672"/>
      <c r="EJ13672"/>
      <c r="EK13672"/>
    </row>
    <row r="13673" spans="1:141" s="116" customFormat="1">
      <c r="A13673" s="136"/>
      <c r="CM13673" s="111"/>
      <c r="CQ13673" s="111"/>
      <c r="EF13673"/>
      <c r="EG13673"/>
      <c r="EH13673"/>
      <c r="EI13673"/>
      <c r="EJ13673"/>
      <c r="EK13673"/>
    </row>
    <row r="13674" spans="1:141" s="116" customFormat="1">
      <c r="A13674" s="136"/>
      <c r="CM13674" s="111"/>
      <c r="CQ13674" s="111"/>
      <c r="EF13674"/>
      <c r="EG13674"/>
      <c r="EH13674"/>
      <c r="EI13674"/>
      <c r="EJ13674"/>
      <c r="EK13674"/>
    </row>
    <row r="13675" spans="1:141" s="116" customFormat="1">
      <c r="A13675" s="136"/>
      <c r="CM13675" s="111"/>
      <c r="CQ13675" s="111"/>
      <c r="EF13675"/>
      <c r="EG13675"/>
      <c r="EH13675"/>
      <c r="EI13675"/>
      <c r="EJ13675"/>
      <c r="EK13675"/>
    </row>
    <row r="13676" spans="1:141" s="116" customFormat="1">
      <c r="A13676" s="136"/>
      <c r="CM13676" s="111"/>
      <c r="CQ13676" s="111"/>
      <c r="EF13676"/>
      <c r="EG13676"/>
      <c r="EH13676"/>
      <c r="EI13676"/>
      <c r="EJ13676"/>
      <c r="EK13676"/>
    </row>
    <row r="13677" spans="1:141" s="116" customFormat="1">
      <c r="A13677" s="136"/>
      <c r="CM13677" s="111"/>
      <c r="CQ13677" s="111"/>
      <c r="EF13677"/>
      <c r="EG13677"/>
      <c r="EH13677"/>
      <c r="EI13677"/>
      <c r="EJ13677"/>
      <c r="EK13677"/>
    </row>
    <row r="13678" spans="1:141" s="116" customFormat="1">
      <c r="A13678" s="136"/>
      <c r="CM13678" s="111"/>
      <c r="CQ13678" s="111"/>
      <c r="EF13678"/>
      <c r="EG13678"/>
      <c r="EH13678"/>
      <c r="EI13678"/>
      <c r="EJ13678"/>
      <c r="EK13678"/>
    </row>
    <row r="13679" spans="1:141" s="116" customFormat="1">
      <c r="A13679" s="136"/>
      <c r="CM13679" s="111"/>
      <c r="CQ13679" s="111"/>
      <c r="EF13679"/>
      <c r="EG13679"/>
      <c r="EH13679"/>
      <c r="EI13679"/>
      <c r="EJ13679"/>
      <c r="EK13679"/>
    </row>
    <row r="13680" spans="1:141" s="116" customFormat="1">
      <c r="A13680" s="136"/>
      <c r="CM13680" s="111"/>
      <c r="CQ13680" s="111"/>
      <c r="EF13680"/>
      <c r="EG13680"/>
      <c r="EH13680"/>
      <c r="EI13680"/>
      <c r="EJ13680"/>
      <c r="EK13680"/>
    </row>
    <row r="13681" spans="1:141" s="116" customFormat="1">
      <c r="A13681" s="136"/>
      <c r="CM13681" s="111"/>
      <c r="CQ13681" s="111"/>
      <c r="EF13681"/>
      <c r="EG13681"/>
      <c r="EH13681"/>
      <c r="EI13681"/>
      <c r="EJ13681"/>
      <c r="EK13681"/>
    </row>
    <row r="13682" spans="1:141" s="116" customFormat="1">
      <c r="A13682" s="136"/>
      <c r="CM13682" s="111"/>
      <c r="CQ13682" s="111"/>
      <c r="EF13682"/>
      <c r="EG13682"/>
      <c r="EH13682"/>
      <c r="EI13682"/>
      <c r="EJ13682"/>
      <c r="EK13682"/>
    </row>
    <row r="13683" spans="1:141" s="116" customFormat="1">
      <c r="A13683" s="136"/>
      <c r="CM13683" s="111"/>
      <c r="CQ13683" s="111"/>
      <c r="EF13683"/>
      <c r="EG13683"/>
      <c r="EH13683"/>
      <c r="EI13683"/>
      <c r="EJ13683"/>
      <c r="EK13683"/>
    </row>
    <row r="13684" spans="1:141" s="116" customFormat="1">
      <c r="A13684" s="136"/>
      <c r="CM13684" s="111"/>
      <c r="CQ13684" s="111"/>
      <c r="EF13684"/>
      <c r="EG13684"/>
      <c r="EH13684"/>
      <c r="EI13684"/>
      <c r="EJ13684"/>
      <c r="EK13684"/>
    </row>
    <row r="13685" spans="1:141" s="116" customFormat="1">
      <c r="A13685" s="136"/>
      <c r="CM13685" s="111"/>
      <c r="CQ13685" s="111"/>
      <c r="EF13685"/>
      <c r="EG13685"/>
      <c r="EH13685"/>
      <c r="EI13685"/>
      <c r="EJ13685"/>
      <c r="EK13685"/>
    </row>
    <row r="13686" spans="1:141" s="116" customFormat="1">
      <c r="A13686" s="136"/>
      <c r="CM13686" s="111"/>
      <c r="CQ13686" s="111"/>
      <c r="EF13686"/>
      <c r="EG13686"/>
      <c r="EH13686"/>
      <c r="EI13686"/>
      <c r="EJ13686"/>
      <c r="EK13686"/>
    </row>
    <row r="13687" spans="1:141" s="116" customFormat="1">
      <c r="A13687" s="136"/>
      <c r="CM13687" s="111"/>
      <c r="CQ13687" s="111"/>
      <c r="EF13687"/>
      <c r="EG13687"/>
      <c r="EH13687"/>
      <c r="EI13687"/>
      <c r="EJ13687"/>
      <c r="EK13687"/>
    </row>
    <row r="13688" spans="1:141" s="116" customFormat="1">
      <c r="A13688" s="136"/>
      <c r="CM13688" s="111"/>
      <c r="CQ13688" s="111"/>
      <c r="EF13688"/>
      <c r="EG13688"/>
      <c r="EH13688"/>
      <c r="EI13688"/>
      <c r="EJ13688"/>
      <c r="EK13688"/>
    </row>
    <row r="13689" spans="1:141" s="116" customFormat="1">
      <c r="A13689" s="136"/>
      <c r="CM13689" s="111"/>
      <c r="CQ13689" s="111"/>
      <c r="EF13689"/>
      <c r="EG13689"/>
      <c r="EH13689"/>
      <c r="EI13689"/>
      <c r="EJ13689"/>
      <c r="EK13689"/>
    </row>
    <row r="13690" spans="1:141" s="116" customFormat="1">
      <c r="A13690" s="136"/>
      <c r="CM13690" s="111"/>
      <c r="CQ13690" s="111"/>
      <c r="EF13690"/>
      <c r="EG13690"/>
      <c r="EH13690"/>
      <c r="EI13690"/>
      <c r="EJ13690"/>
      <c r="EK13690"/>
    </row>
    <row r="13691" spans="1:141" s="116" customFormat="1">
      <c r="A13691" s="136"/>
      <c r="CM13691" s="111"/>
      <c r="CQ13691" s="111"/>
      <c r="EF13691"/>
      <c r="EG13691"/>
      <c r="EH13691"/>
      <c r="EI13691"/>
      <c r="EJ13691"/>
      <c r="EK13691"/>
    </row>
    <row r="13692" spans="1:141" s="116" customFormat="1">
      <c r="A13692" s="136"/>
      <c r="CM13692" s="111"/>
      <c r="CQ13692" s="111"/>
      <c r="EF13692"/>
      <c r="EG13692"/>
      <c r="EH13692"/>
      <c r="EI13692"/>
      <c r="EJ13692"/>
      <c r="EK13692"/>
    </row>
    <row r="13693" spans="1:141" s="116" customFormat="1">
      <c r="A13693" s="136"/>
      <c r="CM13693" s="111"/>
      <c r="CQ13693" s="111"/>
      <c r="EF13693"/>
      <c r="EG13693"/>
      <c r="EH13693"/>
      <c r="EI13693"/>
      <c r="EJ13693"/>
      <c r="EK13693"/>
    </row>
    <row r="13694" spans="1:141" s="116" customFormat="1">
      <c r="A13694" s="136"/>
      <c r="CM13694" s="111"/>
      <c r="CQ13694" s="111"/>
      <c r="EF13694"/>
      <c r="EG13694"/>
      <c r="EH13694"/>
      <c r="EI13694"/>
      <c r="EJ13694"/>
      <c r="EK13694"/>
    </row>
    <row r="13695" spans="1:141" s="116" customFormat="1">
      <c r="A13695" s="136"/>
      <c r="CM13695" s="111"/>
      <c r="CQ13695" s="111"/>
      <c r="EF13695"/>
      <c r="EG13695"/>
      <c r="EH13695"/>
      <c r="EI13695"/>
      <c r="EJ13695"/>
      <c r="EK13695"/>
    </row>
    <row r="13696" spans="1:141" s="116" customFormat="1">
      <c r="A13696" s="136"/>
      <c r="CM13696" s="111"/>
      <c r="CQ13696" s="111"/>
      <c r="EF13696"/>
      <c r="EG13696"/>
      <c r="EH13696"/>
      <c r="EI13696"/>
      <c r="EJ13696"/>
      <c r="EK13696"/>
    </row>
    <row r="13697" spans="1:141" s="116" customFormat="1">
      <c r="A13697" s="136"/>
      <c r="CM13697" s="111"/>
      <c r="CQ13697" s="111"/>
      <c r="EF13697"/>
      <c r="EG13697"/>
      <c r="EH13697"/>
      <c r="EI13697"/>
      <c r="EJ13697"/>
      <c r="EK13697"/>
    </row>
    <row r="13698" spans="1:141" s="116" customFormat="1">
      <c r="A13698" s="136"/>
      <c r="CM13698" s="111"/>
      <c r="CQ13698" s="111"/>
      <c r="EF13698"/>
      <c r="EG13698"/>
      <c r="EH13698"/>
      <c r="EI13698"/>
      <c r="EJ13698"/>
      <c r="EK13698"/>
    </row>
    <row r="13699" spans="1:141" s="116" customFormat="1">
      <c r="A13699" s="136"/>
      <c r="CM13699" s="111"/>
      <c r="CQ13699" s="111"/>
      <c r="EF13699"/>
      <c r="EG13699"/>
      <c r="EH13699"/>
      <c r="EI13699"/>
      <c r="EJ13699"/>
      <c r="EK13699"/>
    </row>
    <row r="13700" spans="1:141" s="116" customFormat="1">
      <c r="A13700" s="136"/>
      <c r="CM13700" s="111"/>
      <c r="CQ13700" s="111"/>
      <c r="EF13700"/>
      <c r="EG13700"/>
      <c r="EH13700"/>
      <c r="EI13700"/>
      <c r="EJ13700"/>
      <c r="EK13700"/>
    </row>
    <row r="13701" spans="1:141" s="116" customFormat="1">
      <c r="A13701" s="136"/>
      <c r="CM13701" s="111"/>
      <c r="CQ13701" s="111"/>
      <c r="EF13701"/>
      <c r="EG13701"/>
      <c r="EH13701"/>
      <c r="EI13701"/>
      <c r="EJ13701"/>
      <c r="EK13701"/>
    </row>
    <row r="13702" spans="1:141" s="116" customFormat="1">
      <c r="A13702" s="136"/>
      <c r="CM13702" s="111"/>
      <c r="CQ13702" s="111"/>
      <c r="EF13702"/>
      <c r="EG13702"/>
      <c r="EH13702"/>
      <c r="EI13702"/>
      <c r="EJ13702"/>
      <c r="EK13702"/>
    </row>
    <row r="13703" spans="1:141" s="116" customFormat="1">
      <c r="A13703" s="136"/>
      <c r="CM13703" s="111"/>
      <c r="CQ13703" s="111"/>
      <c r="EF13703"/>
      <c r="EG13703"/>
      <c r="EH13703"/>
      <c r="EI13703"/>
      <c r="EJ13703"/>
      <c r="EK13703"/>
    </row>
    <row r="13704" spans="1:141" s="116" customFormat="1">
      <c r="A13704" s="136"/>
      <c r="CM13704" s="111"/>
      <c r="CQ13704" s="111"/>
      <c r="EF13704"/>
      <c r="EG13704"/>
      <c r="EH13704"/>
      <c r="EI13704"/>
      <c r="EJ13704"/>
      <c r="EK13704"/>
    </row>
    <row r="13705" spans="1:141" s="116" customFormat="1">
      <c r="A13705" s="136"/>
      <c r="CM13705" s="111"/>
      <c r="CQ13705" s="111"/>
      <c r="EF13705"/>
      <c r="EG13705"/>
      <c r="EH13705"/>
      <c r="EI13705"/>
      <c r="EJ13705"/>
      <c r="EK13705"/>
    </row>
    <row r="13706" spans="1:141" s="116" customFormat="1">
      <c r="A13706" s="136"/>
      <c r="CM13706" s="111"/>
      <c r="CQ13706" s="111"/>
      <c r="EF13706"/>
      <c r="EG13706"/>
      <c r="EH13706"/>
      <c r="EI13706"/>
      <c r="EJ13706"/>
      <c r="EK13706"/>
    </row>
    <row r="13707" spans="1:141" s="116" customFormat="1">
      <c r="A13707" s="136"/>
      <c r="CM13707" s="111"/>
      <c r="CQ13707" s="111"/>
      <c r="EF13707"/>
      <c r="EG13707"/>
      <c r="EH13707"/>
      <c r="EI13707"/>
      <c r="EJ13707"/>
      <c r="EK13707"/>
    </row>
    <row r="13708" spans="1:141" s="116" customFormat="1">
      <c r="A13708" s="136"/>
      <c r="CM13708" s="111"/>
      <c r="CQ13708" s="111"/>
      <c r="EF13708"/>
      <c r="EG13708"/>
      <c r="EH13708"/>
      <c r="EI13708"/>
      <c r="EJ13708"/>
      <c r="EK13708"/>
    </row>
    <row r="13709" spans="1:141" s="116" customFormat="1">
      <c r="A13709" s="136"/>
      <c r="CM13709" s="111"/>
      <c r="CQ13709" s="111"/>
      <c r="EF13709"/>
      <c r="EG13709"/>
      <c r="EH13709"/>
      <c r="EI13709"/>
      <c r="EJ13709"/>
      <c r="EK13709"/>
    </row>
    <row r="13710" spans="1:141" s="116" customFormat="1">
      <c r="A13710" s="136"/>
      <c r="CM13710" s="111"/>
      <c r="CQ13710" s="111"/>
      <c r="EF13710"/>
      <c r="EG13710"/>
      <c r="EH13710"/>
      <c r="EI13710"/>
      <c r="EJ13710"/>
      <c r="EK13710"/>
    </row>
    <row r="13711" spans="1:141" s="116" customFormat="1">
      <c r="A13711" s="136"/>
      <c r="CM13711" s="111"/>
      <c r="CQ13711" s="111"/>
      <c r="EF13711"/>
      <c r="EG13711"/>
      <c r="EH13711"/>
      <c r="EI13711"/>
      <c r="EJ13711"/>
      <c r="EK13711"/>
    </row>
    <row r="13712" spans="1:141" s="116" customFormat="1">
      <c r="A13712" s="136"/>
      <c r="CM13712" s="111"/>
      <c r="CQ13712" s="111"/>
      <c r="EF13712"/>
      <c r="EG13712"/>
      <c r="EH13712"/>
      <c r="EI13712"/>
      <c r="EJ13712"/>
      <c r="EK13712"/>
    </row>
    <row r="13713" spans="1:141" s="116" customFormat="1">
      <c r="A13713" s="136"/>
      <c r="CM13713" s="111"/>
      <c r="CQ13713" s="111"/>
      <c r="EF13713"/>
      <c r="EG13713"/>
      <c r="EH13713"/>
      <c r="EI13713"/>
      <c r="EJ13713"/>
      <c r="EK13713"/>
    </row>
    <row r="13714" spans="1:141" s="116" customFormat="1">
      <c r="A13714" s="136"/>
      <c r="CM13714" s="111"/>
      <c r="CQ13714" s="111"/>
      <c r="EF13714"/>
      <c r="EG13714"/>
      <c r="EH13714"/>
      <c r="EI13714"/>
      <c r="EJ13714"/>
      <c r="EK13714"/>
    </row>
    <row r="13715" spans="1:141" s="116" customFormat="1">
      <c r="A13715" s="136"/>
      <c r="CM13715" s="111"/>
      <c r="CQ13715" s="111"/>
      <c r="EF13715"/>
      <c r="EG13715"/>
      <c r="EH13715"/>
      <c r="EI13715"/>
      <c r="EJ13715"/>
      <c r="EK13715"/>
    </row>
    <row r="13716" spans="1:141" s="116" customFormat="1">
      <c r="A13716" s="136"/>
      <c r="CM13716" s="111"/>
      <c r="CQ13716" s="111"/>
      <c r="EF13716"/>
      <c r="EG13716"/>
      <c r="EH13716"/>
      <c r="EI13716"/>
      <c r="EJ13716"/>
      <c r="EK13716"/>
    </row>
    <row r="13717" spans="1:141" s="116" customFormat="1">
      <c r="A13717" s="136"/>
      <c r="CM13717" s="111"/>
      <c r="CQ13717" s="111"/>
      <c r="EF13717"/>
      <c r="EG13717"/>
      <c r="EH13717"/>
      <c r="EI13717"/>
      <c r="EJ13717"/>
      <c r="EK13717"/>
    </row>
    <row r="13718" spans="1:141" s="116" customFormat="1">
      <c r="A13718" s="136"/>
      <c r="CM13718" s="111"/>
      <c r="CQ13718" s="111"/>
      <c r="EF13718"/>
      <c r="EG13718"/>
      <c r="EH13718"/>
      <c r="EI13718"/>
      <c r="EJ13718"/>
      <c r="EK13718"/>
    </row>
    <row r="13719" spans="1:141" s="116" customFormat="1">
      <c r="A13719" s="136"/>
      <c r="CM13719" s="111"/>
      <c r="CQ13719" s="111"/>
      <c r="EF13719"/>
      <c r="EG13719"/>
      <c r="EH13719"/>
      <c r="EI13719"/>
      <c r="EJ13719"/>
      <c r="EK13719"/>
    </row>
    <row r="13720" spans="1:141" s="116" customFormat="1">
      <c r="A13720" s="136"/>
      <c r="CM13720" s="111"/>
      <c r="CQ13720" s="111"/>
      <c r="EF13720"/>
      <c r="EG13720"/>
      <c r="EH13720"/>
      <c r="EI13720"/>
      <c r="EJ13720"/>
      <c r="EK13720"/>
    </row>
    <row r="13721" spans="1:141" s="116" customFormat="1">
      <c r="A13721" s="136"/>
      <c r="CM13721" s="111"/>
      <c r="CQ13721" s="111"/>
      <c r="EF13721"/>
      <c r="EG13721"/>
      <c r="EH13721"/>
      <c r="EI13721"/>
      <c r="EJ13721"/>
      <c r="EK13721"/>
    </row>
    <row r="13722" spans="1:141" s="116" customFormat="1">
      <c r="A13722" s="136"/>
      <c r="CM13722" s="111"/>
      <c r="CQ13722" s="111"/>
      <c r="EF13722"/>
      <c r="EG13722"/>
      <c r="EH13722"/>
      <c r="EI13722"/>
      <c r="EJ13722"/>
      <c r="EK13722"/>
    </row>
    <row r="13723" spans="1:141" s="116" customFormat="1">
      <c r="A13723" s="136"/>
      <c r="CM13723" s="111"/>
      <c r="CQ13723" s="111"/>
      <c r="EF13723"/>
      <c r="EG13723"/>
      <c r="EH13723"/>
      <c r="EI13723"/>
      <c r="EJ13723"/>
      <c r="EK13723"/>
    </row>
    <row r="13724" spans="1:141" s="116" customFormat="1">
      <c r="A13724" s="136"/>
      <c r="CM13724" s="111"/>
      <c r="CQ13724" s="111"/>
      <c r="EF13724"/>
      <c r="EG13724"/>
      <c r="EH13724"/>
      <c r="EI13724"/>
      <c r="EJ13724"/>
      <c r="EK13724"/>
    </row>
    <row r="13725" spans="1:141" s="116" customFormat="1">
      <c r="A13725" s="136"/>
      <c r="CM13725" s="111"/>
      <c r="CQ13725" s="111"/>
      <c r="EF13725"/>
      <c r="EG13725"/>
      <c r="EH13725"/>
      <c r="EI13725"/>
      <c r="EJ13725"/>
      <c r="EK13725"/>
    </row>
    <row r="13726" spans="1:141" s="116" customFormat="1">
      <c r="A13726" s="136"/>
      <c r="CM13726" s="111"/>
      <c r="CQ13726" s="111"/>
      <c r="EF13726"/>
      <c r="EG13726"/>
      <c r="EH13726"/>
      <c r="EI13726"/>
      <c r="EJ13726"/>
      <c r="EK13726"/>
    </row>
    <row r="13727" spans="1:141" s="116" customFormat="1">
      <c r="A13727" s="136"/>
      <c r="CM13727" s="111"/>
      <c r="CQ13727" s="111"/>
      <c r="EF13727"/>
      <c r="EG13727"/>
      <c r="EH13727"/>
      <c r="EI13727"/>
      <c r="EJ13727"/>
      <c r="EK13727"/>
    </row>
    <row r="13728" spans="1:141" s="116" customFormat="1">
      <c r="A13728" s="136"/>
      <c r="CM13728" s="111"/>
      <c r="CQ13728" s="111"/>
      <c r="EF13728"/>
      <c r="EG13728"/>
      <c r="EH13728"/>
      <c r="EI13728"/>
      <c r="EJ13728"/>
      <c r="EK13728"/>
    </row>
    <row r="13729" spans="1:141" s="116" customFormat="1">
      <c r="A13729" s="136"/>
      <c r="CM13729" s="111"/>
      <c r="CQ13729" s="111"/>
      <c r="EF13729"/>
      <c r="EG13729"/>
      <c r="EH13729"/>
      <c r="EI13729"/>
      <c r="EJ13729"/>
      <c r="EK13729"/>
    </row>
    <row r="13730" spans="1:141" s="116" customFormat="1">
      <c r="A13730" s="136"/>
      <c r="CM13730" s="111"/>
      <c r="CQ13730" s="111"/>
      <c r="EF13730"/>
      <c r="EG13730"/>
      <c r="EH13730"/>
      <c r="EI13730"/>
      <c r="EJ13730"/>
      <c r="EK13730"/>
    </row>
    <row r="13731" spans="1:141" s="116" customFormat="1">
      <c r="A13731" s="136"/>
      <c r="CM13731" s="111"/>
      <c r="CQ13731" s="111"/>
      <c r="EF13731"/>
      <c r="EG13731"/>
      <c r="EH13731"/>
      <c r="EI13731"/>
      <c r="EJ13731"/>
      <c r="EK13731"/>
    </row>
    <row r="13732" spans="1:141" s="116" customFormat="1">
      <c r="A13732" s="136"/>
      <c r="CM13732" s="111"/>
      <c r="CQ13732" s="111"/>
      <c r="EF13732"/>
      <c r="EG13732"/>
      <c r="EH13732"/>
      <c r="EI13732"/>
      <c r="EJ13732"/>
      <c r="EK13732"/>
    </row>
    <row r="13733" spans="1:141" s="116" customFormat="1">
      <c r="A13733" s="136"/>
      <c r="CM13733" s="111"/>
      <c r="CQ13733" s="111"/>
      <c r="EF13733"/>
      <c r="EG13733"/>
      <c r="EH13733"/>
      <c r="EI13733"/>
      <c r="EJ13733"/>
      <c r="EK13733"/>
    </row>
    <row r="13734" spans="1:141" s="116" customFormat="1">
      <c r="A13734" s="136"/>
      <c r="CM13734" s="111"/>
      <c r="CQ13734" s="111"/>
      <c r="EF13734"/>
      <c r="EG13734"/>
      <c r="EH13734"/>
      <c r="EI13734"/>
      <c r="EJ13734"/>
      <c r="EK13734"/>
    </row>
    <row r="13735" spans="1:141" s="116" customFormat="1">
      <c r="A13735" s="136"/>
      <c r="CM13735" s="111"/>
      <c r="CQ13735" s="111"/>
      <c r="EF13735"/>
      <c r="EG13735"/>
      <c r="EH13735"/>
      <c r="EI13735"/>
      <c r="EJ13735"/>
      <c r="EK13735"/>
    </row>
    <row r="13736" spans="1:141" s="116" customFormat="1">
      <c r="A13736" s="136"/>
      <c r="CM13736" s="111"/>
      <c r="CQ13736" s="111"/>
      <c r="EF13736"/>
      <c r="EG13736"/>
      <c r="EH13736"/>
      <c r="EI13736"/>
      <c r="EJ13736"/>
      <c r="EK13736"/>
    </row>
    <row r="13737" spans="1:141" s="116" customFormat="1">
      <c r="A13737" s="136"/>
      <c r="CM13737" s="111"/>
      <c r="CQ13737" s="111"/>
      <c r="EF13737"/>
      <c r="EG13737"/>
      <c r="EH13737"/>
      <c r="EI13737"/>
      <c r="EJ13737"/>
      <c r="EK13737"/>
    </row>
    <row r="13738" spans="1:141" s="116" customFormat="1">
      <c r="A13738" s="136"/>
      <c r="CM13738" s="111"/>
      <c r="CQ13738" s="111"/>
      <c r="EF13738"/>
      <c r="EG13738"/>
      <c r="EH13738"/>
      <c r="EI13738"/>
      <c r="EJ13738"/>
      <c r="EK13738"/>
    </row>
    <row r="13739" spans="1:141" s="116" customFormat="1">
      <c r="A13739" s="136"/>
      <c r="CM13739" s="111"/>
      <c r="CQ13739" s="111"/>
      <c r="EF13739"/>
      <c r="EG13739"/>
      <c r="EH13739"/>
      <c r="EI13739"/>
      <c r="EJ13739"/>
      <c r="EK13739"/>
    </row>
    <row r="13740" spans="1:141" s="116" customFormat="1">
      <c r="A13740" s="136"/>
      <c r="CM13740" s="111"/>
      <c r="CQ13740" s="111"/>
      <c r="EF13740"/>
      <c r="EG13740"/>
      <c r="EH13740"/>
      <c r="EI13740"/>
      <c r="EJ13740"/>
      <c r="EK13740"/>
    </row>
    <row r="13741" spans="1:141" s="116" customFormat="1">
      <c r="A13741" s="136"/>
      <c r="CM13741" s="111"/>
      <c r="CQ13741" s="111"/>
      <c r="EF13741"/>
      <c r="EG13741"/>
      <c r="EH13741"/>
      <c r="EI13741"/>
      <c r="EJ13741"/>
      <c r="EK13741"/>
    </row>
    <row r="13742" spans="1:141" s="116" customFormat="1">
      <c r="A13742" s="136"/>
      <c r="CM13742" s="111"/>
      <c r="CQ13742" s="111"/>
      <c r="EF13742"/>
      <c r="EG13742"/>
      <c r="EH13742"/>
      <c r="EI13742"/>
      <c r="EJ13742"/>
      <c r="EK13742"/>
    </row>
    <row r="13743" spans="1:141" s="116" customFormat="1">
      <c r="A13743" s="136"/>
      <c r="CM13743" s="111"/>
      <c r="CQ13743" s="111"/>
      <c r="EF13743"/>
      <c r="EG13743"/>
      <c r="EH13743"/>
      <c r="EI13743"/>
      <c r="EJ13743"/>
      <c r="EK13743"/>
    </row>
    <row r="13744" spans="1:141" s="116" customFormat="1">
      <c r="A13744" s="136"/>
      <c r="CM13744" s="111"/>
      <c r="CQ13744" s="111"/>
      <c r="EF13744"/>
      <c r="EG13744"/>
      <c r="EH13744"/>
      <c r="EI13744"/>
      <c r="EJ13744"/>
      <c r="EK13744"/>
    </row>
    <row r="13745" spans="1:141" s="116" customFormat="1">
      <c r="A13745" s="136"/>
      <c r="CM13745" s="111"/>
      <c r="CQ13745" s="111"/>
      <c r="EF13745"/>
      <c r="EG13745"/>
      <c r="EH13745"/>
      <c r="EI13745"/>
      <c r="EJ13745"/>
      <c r="EK13745"/>
    </row>
    <row r="13746" spans="1:141" s="116" customFormat="1">
      <c r="A13746" s="136"/>
      <c r="CM13746" s="111"/>
      <c r="CQ13746" s="111"/>
      <c r="EF13746"/>
      <c r="EG13746"/>
      <c r="EH13746"/>
      <c r="EI13746"/>
      <c r="EJ13746"/>
      <c r="EK13746"/>
    </row>
    <row r="13747" spans="1:141" s="116" customFormat="1">
      <c r="A13747" s="136"/>
      <c r="CM13747" s="111"/>
      <c r="CQ13747" s="111"/>
      <c r="EF13747"/>
      <c r="EG13747"/>
      <c r="EH13747"/>
      <c r="EI13747"/>
      <c r="EJ13747"/>
      <c r="EK13747"/>
    </row>
    <row r="13748" spans="1:141" s="116" customFormat="1">
      <c r="A13748" s="136"/>
      <c r="CM13748" s="111"/>
      <c r="CQ13748" s="111"/>
      <c r="EF13748"/>
      <c r="EG13748"/>
      <c r="EH13748"/>
      <c r="EI13748"/>
      <c r="EJ13748"/>
      <c r="EK13748"/>
    </row>
    <row r="13749" spans="1:141" s="116" customFormat="1">
      <c r="A13749" s="136"/>
      <c r="CM13749" s="111"/>
      <c r="CQ13749" s="111"/>
      <c r="EF13749"/>
      <c r="EG13749"/>
      <c r="EH13749"/>
      <c r="EI13749"/>
      <c r="EJ13749"/>
      <c r="EK13749"/>
    </row>
    <row r="13750" spans="1:141" s="116" customFormat="1">
      <c r="A13750" s="136"/>
      <c r="CM13750" s="111"/>
      <c r="CQ13750" s="111"/>
      <c r="EF13750"/>
      <c r="EG13750"/>
      <c r="EH13750"/>
      <c r="EI13750"/>
      <c r="EJ13750"/>
      <c r="EK13750"/>
    </row>
    <row r="13751" spans="1:141" s="116" customFormat="1">
      <c r="A13751" s="136"/>
      <c r="CM13751" s="111"/>
      <c r="CQ13751" s="111"/>
      <c r="EF13751"/>
      <c r="EG13751"/>
      <c r="EH13751"/>
      <c r="EI13751"/>
      <c r="EJ13751"/>
      <c r="EK13751"/>
    </row>
    <row r="13752" spans="1:141" s="116" customFormat="1">
      <c r="A13752" s="136"/>
      <c r="CM13752" s="111"/>
      <c r="CQ13752" s="111"/>
      <c r="EF13752"/>
      <c r="EG13752"/>
      <c r="EH13752"/>
      <c r="EI13752"/>
      <c r="EJ13752"/>
      <c r="EK13752"/>
    </row>
    <row r="13753" spans="1:141" s="116" customFormat="1">
      <c r="A13753" s="136"/>
      <c r="CM13753" s="111"/>
      <c r="CQ13753" s="111"/>
      <c r="EF13753"/>
      <c r="EG13753"/>
      <c r="EH13753"/>
      <c r="EI13753"/>
      <c r="EJ13753"/>
      <c r="EK13753"/>
    </row>
    <row r="13754" spans="1:141" s="116" customFormat="1">
      <c r="A13754" s="136"/>
      <c r="CM13754" s="111"/>
      <c r="CQ13754" s="111"/>
      <c r="EF13754"/>
      <c r="EG13754"/>
      <c r="EH13754"/>
      <c r="EI13754"/>
      <c r="EJ13754"/>
      <c r="EK13754"/>
    </row>
    <row r="13755" spans="1:141" s="116" customFormat="1">
      <c r="A13755" s="136"/>
      <c r="CM13755" s="111"/>
      <c r="CQ13755" s="111"/>
      <c r="EF13755"/>
      <c r="EG13755"/>
      <c r="EH13755"/>
      <c r="EI13755"/>
      <c r="EJ13755"/>
      <c r="EK13755"/>
    </row>
    <row r="13756" spans="1:141" s="116" customFormat="1">
      <c r="A13756" s="136"/>
      <c r="CM13756" s="111"/>
      <c r="CQ13756" s="111"/>
      <c r="EF13756"/>
      <c r="EG13756"/>
      <c r="EH13756"/>
      <c r="EI13756"/>
      <c r="EJ13756"/>
      <c r="EK13756"/>
    </row>
    <row r="13757" spans="1:141" s="116" customFormat="1">
      <c r="A13757" s="136"/>
      <c r="CM13757" s="111"/>
      <c r="CQ13757" s="111"/>
      <c r="EF13757"/>
      <c r="EG13757"/>
      <c r="EH13757"/>
      <c r="EI13757"/>
      <c r="EJ13757"/>
      <c r="EK13757"/>
    </row>
    <row r="13758" spans="1:141" s="116" customFormat="1">
      <c r="A13758" s="136"/>
      <c r="CM13758" s="111"/>
      <c r="CQ13758" s="111"/>
      <c r="EF13758"/>
      <c r="EG13758"/>
      <c r="EH13758"/>
      <c r="EI13758"/>
      <c r="EJ13758"/>
      <c r="EK13758"/>
    </row>
    <row r="13759" spans="1:141" s="116" customFormat="1">
      <c r="A13759" s="136"/>
      <c r="CM13759" s="111"/>
      <c r="CQ13759" s="111"/>
      <c r="EF13759"/>
      <c r="EG13759"/>
      <c r="EH13759"/>
      <c r="EI13759"/>
      <c r="EJ13759"/>
      <c r="EK13759"/>
    </row>
    <row r="13760" spans="1:141" s="116" customFormat="1">
      <c r="A13760" s="136"/>
      <c r="CM13760" s="111"/>
      <c r="CQ13760" s="111"/>
      <c r="EF13760"/>
      <c r="EG13760"/>
      <c r="EH13760"/>
      <c r="EI13760"/>
      <c r="EJ13760"/>
      <c r="EK13760"/>
    </row>
    <row r="13761" spans="1:141" s="116" customFormat="1">
      <c r="A13761" s="136"/>
      <c r="CM13761" s="111"/>
      <c r="CQ13761" s="111"/>
      <c r="EF13761"/>
      <c r="EG13761"/>
      <c r="EH13761"/>
      <c r="EI13761"/>
      <c r="EJ13761"/>
      <c r="EK13761"/>
    </row>
    <row r="13762" spans="1:141" s="116" customFormat="1">
      <c r="A13762" s="136"/>
      <c r="CM13762" s="111"/>
      <c r="CQ13762" s="111"/>
      <c r="EF13762"/>
      <c r="EG13762"/>
      <c r="EH13762"/>
      <c r="EI13762"/>
      <c r="EJ13762"/>
      <c r="EK13762"/>
    </row>
    <row r="13763" spans="1:141" s="116" customFormat="1">
      <c r="A13763" s="136"/>
      <c r="CM13763" s="111"/>
      <c r="CQ13763" s="111"/>
      <c r="EF13763"/>
      <c r="EG13763"/>
      <c r="EH13763"/>
      <c r="EI13763"/>
      <c r="EJ13763"/>
      <c r="EK13763"/>
    </row>
    <row r="13764" spans="1:141" s="116" customFormat="1">
      <c r="A13764" s="136"/>
      <c r="CM13764" s="111"/>
      <c r="CQ13764" s="111"/>
      <c r="EF13764"/>
      <c r="EG13764"/>
      <c r="EH13764"/>
      <c r="EI13764"/>
      <c r="EJ13764"/>
      <c r="EK13764"/>
    </row>
    <row r="13765" spans="1:141" s="116" customFormat="1">
      <c r="A13765" s="136"/>
      <c r="CM13765" s="111"/>
      <c r="CQ13765" s="111"/>
      <c r="EF13765"/>
      <c r="EG13765"/>
      <c r="EH13765"/>
      <c r="EI13765"/>
      <c r="EJ13765"/>
      <c r="EK13765"/>
    </row>
    <row r="13766" spans="1:141" s="116" customFormat="1">
      <c r="A13766" s="136"/>
      <c r="CM13766" s="111"/>
      <c r="CQ13766" s="111"/>
      <c r="EF13766"/>
      <c r="EG13766"/>
      <c r="EH13766"/>
      <c r="EI13766"/>
      <c r="EJ13766"/>
      <c r="EK13766"/>
    </row>
    <row r="13767" spans="1:141" s="116" customFormat="1">
      <c r="A13767" s="136"/>
      <c r="CM13767" s="111"/>
      <c r="CQ13767" s="111"/>
      <c r="EF13767"/>
      <c r="EG13767"/>
      <c r="EH13767"/>
      <c r="EI13767"/>
      <c r="EJ13767"/>
      <c r="EK13767"/>
    </row>
    <row r="13768" spans="1:141" s="116" customFormat="1">
      <c r="A13768" s="136"/>
      <c r="CM13768" s="111"/>
      <c r="CQ13768" s="111"/>
      <c r="EF13768"/>
      <c r="EG13768"/>
      <c r="EH13768"/>
      <c r="EI13768"/>
      <c r="EJ13768"/>
      <c r="EK13768"/>
    </row>
    <row r="13769" spans="1:141" s="116" customFormat="1">
      <c r="A13769" s="136"/>
      <c r="CM13769" s="111"/>
      <c r="CQ13769" s="111"/>
      <c r="EF13769"/>
      <c r="EG13769"/>
      <c r="EH13769"/>
      <c r="EI13769"/>
      <c r="EJ13769"/>
      <c r="EK13769"/>
    </row>
    <row r="13770" spans="1:141" s="116" customFormat="1">
      <c r="A13770" s="136"/>
      <c r="CM13770" s="111"/>
      <c r="CQ13770" s="111"/>
      <c r="EF13770"/>
      <c r="EG13770"/>
      <c r="EH13770"/>
      <c r="EI13770"/>
      <c r="EJ13770"/>
      <c r="EK13770"/>
    </row>
    <row r="13771" spans="1:141" s="116" customFormat="1">
      <c r="A13771" s="136"/>
      <c r="CM13771" s="111"/>
      <c r="CQ13771" s="111"/>
      <c r="EF13771"/>
      <c r="EG13771"/>
      <c r="EH13771"/>
      <c r="EI13771"/>
      <c r="EJ13771"/>
      <c r="EK13771"/>
    </row>
    <row r="13772" spans="1:141" s="116" customFormat="1">
      <c r="A13772" s="136"/>
      <c r="CM13772" s="111"/>
      <c r="CQ13772" s="111"/>
      <c r="EF13772"/>
      <c r="EG13772"/>
      <c r="EH13772"/>
      <c r="EI13772"/>
      <c r="EJ13772"/>
      <c r="EK13772"/>
    </row>
    <row r="13773" spans="1:141" s="116" customFormat="1">
      <c r="A13773" s="136"/>
      <c r="CM13773" s="111"/>
      <c r="CQ13773" s="111"/>
      <c r="EF13773"/>
      <c r="EG13773"/>
      <c r="EH13773"/>
      <c r="EI13773"/>
      <c r="EJ13773"/>
      <c r="EK13773"/>
    </row>
    <row r="13774" spans="1:141" s="116" customFormat="1">
      <c r="A13774" s="136"/>
      <c r="CM13774" s="111"/>
      <c r="CQ13774" s="111"/>
      <c r="EF13774"/>
      <c r="EG13774"/>
      <c r="EH13774"/>
      <c r="EI13774"/>
      <c r="EJ13774"/>
      <c r="EK13774"/>
    </row>
    <row r="13775" spans="1:141" s="116" customFormat="1">
      <c r="A13775" s="136"/>
      <c r="CM13775" s="111"/>
      <c r="CQ13775" s="111"/>
      <c r="EF13775"/>
      <c r="EG13775"/>
      <c r="EH13775"/>
      <c r="EI13775"/>
      <c r="EJ13775"/>
      <c r="EK13775"/>
    </row>
    <row r="13776" spans="1:141" s="116" customFormat="1">
      <c r="A13776" s="136"/>
      <c r="CM13776" s="111"/>
      <c r="CQ13776" s="111"/>
      <c r="EF13776"/>
      <c r="EG13776"/>
      <c r="EH13776"/>
      <c r="EI13776"/>
      <c r="EJ13776"/>
      <c r="EK13776"/>
    </row>
    <row r="13777" spans="1:141" s="116" customFormat="1">
      <c r="A13777" s="136"/>
      <c r="CM13777" s="111"/>
      <c r="CQ13777" s="111"/>
      <c r="EF13777"/>
      <c r="EG13777"/>
      <c r="EH13777"/>
      <c r="EI13777"/>
      <c r="EJ13777"/>
      <c r="EK13777"/>
    </row>
    <row r="13778" spans="1:141" s="116" customFormat="1">
      <c r="A13778" s="136"/>
      <c r="CM13778" s="111"/>
      <c r="CQ13778" s="111"/>
      <c r="EF13778"/>
      <c r="EG13778"/>
      <c r="EH13778"/>
      <c r="EI13778"/>
      <c r="EJ13778"/>
      <c r="EK13778"/>
    </row>
    <row r="13779" spans="1:141" s="116" customFormat="1">
      <c r="A13779" s="136"/>
      <c r="CM13779" s="111"/>
      <c r="CQ13779" s="111"/>
      <c r="EF13779"/>
      <c r="EG13779"/>
      <c r="EH13779"/>
      <c r="EI13779"/>
      <c r="EJ13779"/>
      <c r="EK13779"/>
    </row>
    <row r="13780" spans="1:141" s="116" customFormat="1">
      <c r="A13780" s="136"/>
      <c r="CM13780" s="111"/>
      <c r="CQ13780" s="111"/>
      <c r="EF13780"/>
      <c r="EG13780"/>
      <c r="EH13780"/>
      <c r="EI13780"/>
      <c r="EJ13780"/>
      <c r="EK13780"/>
    </row>
    <row r="13781" spans="1:141" s="116" customFormat="1">
      <c r="A13781" s="136"/>
      <c r="CM13781" s="111"/>
      <c r="CQ13781" s="111"/>
      <c r="EF13781"/>
      <c r="EG13781"/>
      <c r="EH13781"/>
      <c r="EI13781"/>
      <c r="EJ13781"/>
      <c r="EK13781"/>
    </row>
    <row r="13782" spans="1:141" s="116" customFormat="1">
      <c r="A13782" s="136"/>
      <c r="CM13782" s="111"/>
      <c r="CQ13782" s="111"/>
      <c r="EF13782"/>
      <c r="EG13782"/>
      <c r="EH13782"/>
      <c r="EI13782"/>
      <c r="EJ13782"/>
      <c r="EK13782"/>
    </row>
    <row r="13783" spans="1:141" s="116" customFormat="1">
      <c r="A13783" s="136"/>
      <c r="CM13783" s="111"/>
      <c r="CQ13783" s="111"/>
      <c r="EF13783"/>
      <c r="EG13783"/>
      <c r="EH13783"/>
      <c r="EI13783"/>
      <c r="EJ13783"/>
      <c r="EK13783"/>
    </row>
    <row r="13784" spans="1:141" s="116" customFormat="1">
      <c r="A13784" s="136"/>
      <c r="CM13784" s="111"/>
      <c r="CQ13784" s="111"/>
      <c r="EF13784"/>
      <c r="EG13784"/>
      <c r="EH13784"/>
      <c r="EI13784"/>
      <c r="EJ13784"/>
      <c r="EK13784"/>
    </row>
    <row r="13785" spans="1:141" s="116" customFormat="1">
      <c r="A13785" s="136"/>
      <c r="CM13785" s="111"/>
      <c r="CQ13785" s="111"/>
      <c r="EF13785"/>
      <c r="EG13785"/>
      <c r="EH13785"/>
      <c r="EI13785"/>
      <c r="EJ13785"/>
      <c r="EK13785"/>
    </row>
    <row r="13786" spans="1:141" s="116" customFormat="1">
      <c r="A13786" s="136"/>
      <c r="CM13786" s="111"/>
      <c r="CQ13786" s="111"/>
      <c r="EF13786"/>
      <c r="EG13786"/>
      <c r="EH13786"/>
      <c r="EI13786"/>
      <c r="EJ13786"/>
      <c r="EK13786"/>
    </row>
    <row r="13787" spans="1:141" s="116" customFormat="1">
      <c r="A13787" s="136"/>
      <c r="CM13787" s="111"/>
      <c r="CQ13787" s="111"/>
      <c r="EF13787"/>
      <c r="EG13787"/>
      <c r="EH13787"/>
      <c r="EI13787"/>
      <c r="EJ13787"/>
      <c r="EK13787"/>
    </row>
    <row r="13788" spans="1:141" s="116" customFormat="1">
      <c r="A13788" s="136"/>
      <c r="CM13788" s="111"/>
      <c r="CQ13788" s="111"/>
      <c r="EF13788"/>
      <c r="EG13788"/>
      <c r="EH13788"/>
      <c r="EI13788"/>
      <c r="EJ13788"/>
      <c r="EK13788"/>
    </row>
    <row r="13789" spans="1:141" s="116" customFormat="1">
      <c r="A13789" s="136"/>
      <c r="CM13789" s="111"/>
      <c r="CQ13789" s="111"/>
      <c r="EF13789"/>
      <c r="EG13789"/>
      <c r="EH13789"/>
      <c r="EI13789"/>
      <c r="EJ13789"/>
      <c r="EK13789"/>
    </row>
    <row r="13790" spans="1:141" s="116" customFormat="1">
      <c r="A13790" s="136"/>
      <c r="CM13790" s="111"/>
      <c r="CQ13790" s="111"/>
      <c r="EF13790"/>
      <c r="EG13790"/>
      <c r="EH13790"/>
      <c r="EI13790"/>
      <c r="EJ13790"/>
      <c r="EK13790"/>
    </row>
    <row r="13791" spans="1:141" s="116" customFormat="1">
      <c r="A13791" s="136"/>
      <c r="CM13791" s="111"/>
      <c r="CQ13791" s="111"/>
      <c r="EF13791"/>
      <c r="EG13791"/>
      <c r="EH13791"/>
      <c r="EI13791"/>
      <c r="EJ13791"/>
      <c r="EK13791"/>
    </row>
    <row r="13792" spans="1:141" s="116" customFormat="1">
      <c r="A13792" s="136"/>
      <c r="CM13792" s="111"/>
      <c r="CQ13792" s="111"/>
      <c r="EF13792"/>
      <c r="EG13792"/>
      <c r="EH13792"/>
      <c r="EI13792"/>
      <c r="EJ13792"/>
      <c r="EK13792"/>
    </row>
    <row r="13793" spans="1:141" s="116" customFormat="1">
      <c r="A13793" s="136"/>
      <c r="CM13793" s="111"/>
      <c r="CQ13793" s="111"/>
      <c r="EF13793"/>
      <c r="EG13793"/>
      <c r="EH13793"/>
      <c r="EI13793"/>
      <c r="EJ13793"/>
      <c r="EK13793"/>
    </row>
    <row r="13794" spans="1:141" s="116" customFormat="1">
      <c r="A13794" s="136"/>
      <c r="CM13794" s="111"/>
      <c r="CQ13794" s="111"/>
      <c r="EF13794"/>
      <c r="EG13794"/>
      <c r="EH13794"/>
      <c r="EI13794"/>
      <c r="EJ13794"/>
      <c r="EK13794"/>
    </row>
    <row r="13795" spans="1:141" s="116" customFormat="1">
      <c r="A13795" s="136"/>
      <c r="CM13795" s="111"/>
      <c r="CQ13795" s="111"/>
      <c r="EF13795"/>
      <c r="EG13795"/>
      <c r="EH13795"/>
      <c r="EI13795"/>
      <c r="EJ13795"/>
      <c r="EK13795"/>
    </row>
    <row r="13796" spans="1:141" s="116" customFormat="1">
      <c r="A13796" s="136"/>
      <c r="CM13796" s="111"/>
      <c r="CQ13796" s="111"/>
      <c r="EF13796"/>
      <c r="EG13796"/>
      <c r="EH13796"/>
      <c r="EI13796"/>
      <c r="EJ13796"/>
      <c r="EK13796"/>
    </row>
    <row r="13797" spans="1:141" s="116" customFormat="1">
      <c r="A13797" s="136"/>
      <c r="CM13797" s="111"/>
      <c r="CQ13797" s="111"/>
      <c r="EF13797"/>
      <c r="EG13797"/>
      <c r="EH13797"/>
      <c r="EI13797"/>
      <c r="EJ13797"/>
      <c r="EK13797"/>
    </row>
    <row r="13798" spans="1:141" s="116" customFormat="1">
      <c r="A13798" s="136"/>
      <c r="CM13798" s="111"/>
      <c r="CQ13798" s="111"/>
      <c r="EF13798"/>
      <c r="EG13798"/>
      <c r="EH13798"/>
      <c r="EI13798"/>
      <c r="EJ13798"/>
      <c r="EK13798"/>
    </row>
    <row r="13799" spans="1:141" s="116" customFormat="1">
      <c r="A13799" s="136"/>
      <c r="CM13799" s="111"/>
      <c r="CQ13799" s="111"/>
      <c r="EF13799"/>
      <c r="EG13799"/>
      <c r="EH13799"/>
      <c r="EI13799"/>
      <c r="EJ13799"/>
      <c r="EK13799"/>
    </row>
    <row r="13800" spans="1:141" s="116" customFormat="1">
      <c r="A13800" s="136"/>
      <c r="CM13800" s="111"/>
      <c r="CQ13800" s="111"/>
      <c r="EF13800"/>
      <c r="EG13800"/>
      <c r="EH13800"/>
      <c r="EI13800"/>
      <c r="EJ13800"/>
      <c r="EK13800"/>
    </row>
    <row r="13801" spans="1:141" s="116" customFormat="1">
      <c r="A13801" s="136"/>
      <c r="CM13801" s="111"/>
      <c r="CQ13801" s="111"/>
      <c r="EF13801"/>
      <c r="EG13801"/>
      <c r="EH13801"/>
      <c r="EI13801"/>
      <c r="EJ13801"/>
      <c r="EK13801"/>
    </row>
    <row r="13802" spans="1:141" s="116" customFormat="1">
      <c r="A13802" s="136"/>
      <c r="CM13802" s="111"/>
      <c r="CQ13802" s="111"/>
      <c r="EF13802"/>
      <c r="EG13802"/>
      <c r="EH13802"/>
      <c r="EI13802"/>
      <c r="EJ13802"/>
      <c r="EK13802"/>
    </row>
    <row r="13803" spans="1:141" s="116" customFormat="1">
      <c r="A13803" s="136"/>
      <c r="CM13803" s="111"/>
      <c r="CQ13803" s="111"/>
      <c r="EF13803"/>
      <c r="EG13803"/>
      <c r="EH13803"/>
      <c r="EI13803"/>
      <c r="EJ13803"/>
      <c r="EK13803"/>
    </row>
    <row r="13804" spans="1:141" s="116" customFormat="1">
      <c r="A13804" s="136"/>
      <c r="CM13804" s="111"/>
      <c r="CQ13804" s="111"/>
      <c r="EF13804"/>
      <c r="EG13804"/>
      <c r="EH13804"/>
      <c r="EI13804"/>
      <c r="EJ13804"/>
      <c r="EK13804"/>
    </row>
    <row r="13805" spans="1:141" s="116" customFormat="1">
      <c r="A13805" s="136"/>
      <c r="CM13805" s="111"/>
      <c r="CQ13805" s="111"/>
      <c r="EF13805"/>
      <c r="EG13805"/>
      <c r="EH13805"/>
      <c r="EI13805"/>
      <c r="EJ13805"/>
      <c r="EK13805"/>
    </row>
    <row r="13806" spans="1:141" s="116" customFormat="1">
      <c r="A13806" s="136"/>
      <c r="CM13806" s="111"/>
      <c r="CQ13806" s="111"/>
      <c r="EF13806"/>
      <c r="EG13806"/>
      <c r="EH13806"/>
      <c r="EI13806"/>
      <c r="EJ13806"/>
      <c r="EK13806"/>
    </row>
    <row r="13807" spans="1:141" s="116" customFormat="1">
      <c r="A13807" s="136"/>
      <c r="CM13807" s="111"/>
      <c r="CQ13807" s="111"/>
      <c r="EF13807"/>
      <c r="EG13807"/>
      <c r="EH13807"/>
      <c r="EI13807"/>
      <c r="EJ13807"/>
      <c r="EK13807"/>
    </row>
    <row r="13808" spans="1:141" s="116" customFormat="1">
      <c r="A13808" s="136"/>
      <c r="CM13808" s="111"/>
      <c r="CQ13808" s="111"/>
      <c r="EF13808"/>
      <c r="EG13808"/>
      <c r="EH13808"/>
      <c r="EI13808"/>
      <c r="EJ13808"/>
      <c r="EK13808"/>
    </row>
    <row r="13809" spans="1:141" s="116" customFormat="1">
      <c r="A13809" s="136"/>
      <c r="CM13809" s="111"/>
      <c r="CQ13809" s="111"/>
      <c r="EF13809"/>
      <c r="EG13809"/>
      <c r="EH13809"/>
      <c r="EI13809"/>
      <c r="EJ13809"/>
      <c r="EK13809"/>
    </row>
    <row r="13810" spans="1:141" s="116" customFormat="1">
      <c r="A13810" s="136"/>
      <c r="CM13810" s="111"/>
      <c r="CQ13810" s="111"/>
      <c r="EF13810"/>
      <c r="EG13810"/>
      <c r="EH13810"/>
      <c r="EI13810"/>
      <c r="EJ13810"/>
      <c r="EK13810"/>
    </row>
    <row r="13811" spans="1:141" s="116" customFormat="1">
      <c r="A13811" s="136"/>
      <c r="CM13811" s="111"/>
      <c r="CQ13811" s="111"/>
      <c r="EF13811"/>
      <c r="EG13811"/>
      <c r="EH13811"/>
      <c r="EI13811"/>
      <c r="EJ13811"/>
      <c r="EK13811"/>
    </row>
    <row r="13812" spans="1:141" s="116" customFormat="1">
      <c r="A13812" s="136"/>
      <c r="CM13812" s="111"/>
      <c r="CQ13812" s="111"/>
      <c r="EF13812"/>
      <c r="EG13812"/>
      <c r="EH13812"/>
      <c r="EI13812"/>
      <c r="EJ13812"/>
      <c r="EK13812"/>
    </row>
    <row r="13813" spans="1:141" s="116" customFormat="1">
      <c r="A13813" s="136"/>
      <c r="CM13813" s="111"/>
      <c r="CQ13813" s="111"/>
      <c r="EF13813"/>
      <c r="EG13813"/>
      <c r="EH13813"/>
      <c r="EI13813"/>
      <c r="EJ13813"/>
      <c r="EK13813"/>
    </row>
    <row r="13814" spans="1:141" s="116" customFormat="1">
      <c r="A13814" s="136"/>
      <c r="CM13814" s="111"/>
      <c r="CQ13814" s="111"/>
      <c r="EF13814"/>
      <c r="EG13814"/>
      <c r="EH13814"/>
      <c r="EI13814"/>
      <c r="EJ13814"/>
      <c r="EK13814"/>
    </row>
    <row r="13815" spans="1:141" s="116" customFormat="1">
      <c r="A13815" s="136"/>
      <c r="CM13815" s="111"/>
      <c r="CQ13815" s="111"/>
      <c r="EF13815"/>
      <c r="EG13815"/>
      <c r="EH13815"/>
      <c r="EI13815"/>
      <c r="EJ13815"/>
      <c r="EK13815"/>
    </row>
    <row r="13816" spans="1:141" s="116" customFormat="1">
      <c r="A13816" s="136"/>
      <c r="CM13816" s="111"/>
      <c r="CQ13816" s="111"/>
      <c r="EF13816"/>
      <c r="EG13816"/>
      <c r="EH13816"/>
      <c r="EI13816"/>
      <c r="EJ13816"/>
      <c r="EK13816"/>
    </row>
    <row r="13817" spans="1:141" s="116" customFormat="1">
      <c r="A13817" s="136"/>
      <c r="CM13817" s="111"/>
      <c r="CQ13817" s="111"/>
      <c r="EF13817"/>
      <c r="EG13817"/>
      <c r="EH13817"/>
      <c r="EI13817"/>
      <c r="EJ13817"/>
      <c r="EK13817"/>
    </row>
    <row r="13818" spans="1:141" s="116" customFormat="1">
      <c r="A13818" s="136"/>
      <c r="CM13818" s="111"/>
      <c r="CQ13818" s="111"/>
      <c r="EF13818"/>
      <c r="EG13818"/>
      <c r="EH13818"/>
      <c r="EI13818"/>
      <c r="EJ13818"/>
      <c r="EK13818"/>
    </row>
    <row r="13819" spans="1:141" s="116" customFormat="1">
      <c r="A13819" s="136"/>
      <c r="CM13819" s="111"/>
      <c r="CQ13819" s="111"/>
      <c r="EF13819"/>
      <c r="EG13819"/>
      <c r="EH13819"/>
      <c r="EI13819"/>
      <c r="EJ13819"/>
      <c r="EK13819"/>
    </row>
    <row r="13820" spans="1:141" s="116" customFormat="1">
      <c r="A13820" s="136"/>
      <c r="CM13820" s="111"/>
      <c r="CQ13820" s="111"/>
      <c r="EF13820"/>
      <c r="EG13820"/>
      <c r="EH13820"/>
      <c r="EI13820"/>
      <c r="EJ13820"/>
      <c r="EK13820"/>
    </row>
    <row r="13821" spans="1:141" s="116" customFormat="1">
      <c r="A13821" s="136"/>
      <c r="CM13821" s="111"/>
      <c r="CQ13821" s="111"/>
      <c r="EF13821"/>
      <c r="EG13821"/>
      <c r="EH13821"/>
      <c r="EI13821"/>
      <c r="EJ13821"/>
      <c r="EK13821"/>
    </row>
    <row r="13822" spans="1:141" s="116" customFormat="1">
      <c r="A13822" s="136"/>
      <c r="CM13822" s="111"/>
      <c r="CQ13822" s="111"/>
      <c r="EF13822"/>
      <c r="EG13822"/>
      <c r="EH13822"/>
      <c r="EI13822"/>
      <c r="EJ13822"/>
      <c r="EK13822"/>
    </row>
    <row r="13823" spans="1:141" s="116" customFormat="1">
      <c r="A13823" s="136"/>
      <c r="CM13823" s="111"/>
      <c r="CQ13823" s="111"/>
      <c r="EF13823"/>
      <c r="EG13823"/>
      <c r="EH13823"/>
      <c r="EI13823"/>
      <c r="EJ13823"/>
      <c r="EK13823"/>
    </row>
    <row r="13824" spans="1:141" s="116" customFormat="1">
      <c r="A13824" s="136"/>
      <c r="CM13824" s="111"/>
      <c r="CQ13824" s="111"/>
      <c r="EF13824"/>
      <c r="EG13824"/>
      <c r="EH13824"/>
      <c r="EI13824"/>
      <c r="EJ13824"/>
      <c r="EK13824"/>
    </row>
    <row r="13825" spans="1:141" s="116" customFormat="1">
      <c r="A13825" s="136"/>
      <c r="CM13825" s="111"/>
      <c r="CQ13825" s="111"/>
      <c r="EF13825"/>
      <c r="EG13825"/>
      <c r="EH13825"/>
      <c r="EI13825"/>
      <c r="EJ13825"/>
      <c r="EK13825"/>
    </row>
    <row r="13826" spans="1:141" s="116" customFormat="1">
      <c r="A13826" s="136"/>
      <c r="CM13826" s="111"/>
      <c r="CQ13826" s="111"/>
      <c r="EF13826"/>
      <c r="EG13826"/>
      <c r="EH13826"/>
      <c r="EI13826"/>
      <c r="EJ13826"/>
      <c r="EK13826"/>
    </row>
    <row r="13827" spans="1:141" s="116" customFormat="1">
      <c r="A13827" s="136"/>
      <c r="CM13827" s="111"/>
      <c r="CQ13827" s="111"/>
      <c r="EF13827"/>
      <c r="EG13827"/>
      <c r="EH13827"/>
      <c r="EI13827"/>
      <c r="EJ13827"/>
      <c r="EK13827"/>
    </row>
    <row r="13828" spans="1:141" s="116" customFormat="1">
      <c r="A13828" s="136"/>
      <c r="CM13828" s="111"/>
      <c r="CQ13828" s="111"/>
      <c r="EF13828"/>
      <c r="EG13828"/>
      <c r="EH13828"/>
      <c r="EI13828"/>
      <c r="EJ13828"/>
      <c r="EK13828"/>
    </row>
    <row r="13829" spans="1:141" s="116" customFormat="1">
      <c r="A13829" s="136"/>
      <c r="CM13829" s="111"/>
      <c r="CQ13829" s="111"/>
      <c r="EF13829"/>
      <c r="EG13829"/>
      <c r="EH13829"/>
      <c r="EI13829"/>
      <c r="EJ13829"/>
      <c r="EK13829"/>
    </row>
    <row r="13830" spans="1:141" s="116" customFormat="1">
      <c r="A13830" s="136"/>
      <c r="CM13830" s="111"/>
      <c r="CQ13830" s="111"/>
      <c r="EF13830"/>
      <c r="EG13830"/>
      <c r="EH13830"/>
      <c r="EI13830"/>
      <c r="EJ13830"/>
      <c r="EK13830"/>
    </row>
    <row r="13831" spans="1:141" s="116" customFormat="1">
      <c r="A13831" s="136"/>
      <c r="CM13831" s="111"/>
      <c r="CQ13831" s="111"/>
      <c r="EF13831"/>
      <c r="EG13831"/>
      <c r="EH13831"/>
      <c r="EI13831"/>
      <c r="EJ13831"/>
      <c r="EK13831"/>
    </row>
    <row r="13832" spans="1:141" s="116" customFormat="1">
      <c r="A13832" s="136"/>
      <c r="CM13832" s="111"/>
      <c r="CQ13832" s="111"/>
      <c r="EF13832"/>
      <c r="EG13832"/>
      <c r="EH13832"/>
      <c r="EI13832"/>
      <c r="EJ13832"/>
      <c r="EK13832"/>
    </row>
    <row r="13833" spans="1:141" s="116" customFormat="1">
      <c r="A13833" s="136"/>
      <c r="CM13833" s="111"/>
      <c r="CQ13833" s="111"/>
      <c r="EF13833"/>
      <c r="EG13833"/>
      <c r="EH13833"/>
      <c r="EI13833"/>
      <c r="EJ13833"/>
      <c r="EK13833"/>
    </row>
    <row r="13834" spans="1:141" s="116" customFormat="1">
      <c r="A13834" s="136"/>
      <c r="CM13834" s="111"/>
      <c r="CQ13834" s="111"/>
      <c r="EF13834"/>
      <c r="EG13834"/>
      <c r="EH13834"/>
      <c r="EI13834"/>
      <c r="EJ13834"/>
      <c r="EK13834"/>
    </row>
    <row r="13835" spans="1:141" s="116" customFormat="1">
      <c r="A13835" s="136"/>
      <c r="CM13835" s="111"/>
      <c r="CQ13835" s="111"/>
      <c r="EF13835"/>
      <c r="EG13835"/>
      <c r="EH13835"/>
      <c r="EI13835"/>
      <c r="EJ13835"/>
      <c r="EK13835"/>
    </row>
    <row r="13836" spans="1:141" s="116" customFormat="1">
      <c r="A13836" s="136"/>
      <c r="CM13836" s="111"/>
      <c r="CQ13836" s="111"/>
      <c r="EF13836"/>
      <c r="EG13836"/>
      <c r="EH13836"/>
      <c r="EI13836"/>
      <c r="EJ13836"/>
      <c r="EK13836"/>
    </row>
    <row r="13837" spans="1:141" s="116" customFormat="1">
      <c r="A13837" s="136"/>
      <c r="CM13837" s="111"/>
      <c r="CQ13837" s="111"/>
      <c r="EF13837"/>
      <c r="EG13837"/>
      <c r="EH13837"/>
      <c r="EI13837"/>
      <c r="EJ13837"/>
      <c r="EK13837"/>
    </row>
    <row r="13838" spans="1:141" s="116" customFormat="1">
      <c r="A13838" s="136"/>
      <c r="CM13838" s="111"/>
      <c r="CQ13838" s="111"/>
      <c r="EF13838"/>
      <c r="EG13838"/>
      <c r="EH13838"/>
      <c r="EI13838"/>
      <c r="EJ13838"/>
      <c r="EK13838"/>
    </row>
    <row r="13839" spans="1:141" s="116" customFormat="1">
      <c r="A13839" s="136"/>
      <c r="CM13839" s="111"/>
      <c r="CQ13839" s="111"/>
      <c r="EF13839"/>
      <c r="EG13839"/>
      <c r="EH13839"/>
      <c r="EI13839"/>
      <c r="EJ13839"/>
      <c r="EK13839"/>
    </row>
    <row r="13840" spans="1:141" s="116" customFormat="1">
      <c r="A13840" s="136"/>
      <c r="CM13840" s="111"/>
      <c r="CQ13840" s="111"/>
      <c r="EF13840"/>
      <c r="EG13840"/>
      <c r="EH13840"/>
      <c r="EI13840"/>
      <c r="EJ13840"/>
      <c r="EK13840"/>
    </row>
    <row r="13841" spans="1:141" s="116" customFormat="1">
      <c r="A13841" s="136"/>
      <c r="CM13841" s="111"/>
      <c r="CQ13841" s="111"/>
      <c r="EF13841"/>
      <c r="EG13841"/>
      <c r="EH13841"/>
      <c r="EI13841"/>
      <c r="EJ13841"/>
      <c r="EK13841"/>
    </row>
    <row r="13842" spans="1:141" s="116" customFormat="1">
      <c r="A13842" s="136"/>
      <c r="CM13842" s="111"/>
      <c r="CQ13842" s="111"/>
      <c r="EF13842"/>
      <c r="EG13842"/>
      <c r="EH13842"/>
      <c r="EI13842"/>
      <c r="EJ13842"/>
      <c r="EK13842"/>
    </row>
    <row r="13843" spans="1:141" s="116" customFormat="1">
      <c r="A13843" s="136"/>
      <c r="CM13843" s="111"/>
      <c r="CQ13843" s="111"/>
      <c r="EF13843"/>
      <c r="EG13843"/>
      <c r="EH13843"/>
      <c r="EI13843"/>
      <c r="EJ13843"/>
      <c r="EK13843"/>
    </row>
    <row r="13844" spans="1:141" s="116" customFormat="1">
      <c r="A13844" s="136"/>
      <c r="CM13844" s="111"/>
      <c r="CQ13844" s="111"/>
      <c r="EF13844"/>
      <c r="EG13844"/>
      <c r="EH13844"/>
      <c r="EI13844"/>
      <c r="EJ13844"/>
      <c r="EK13844"/>
    </row>
    <row r="13845" spans="1:141" s="116" customFormat="1">
      <c r="A13845" s="136"/>
      <c r="CM13845" s="111"/>
      <c r="CQ13845" s="111"/>
      <c r="EF13845"/>
      <c r="EG13845"/>
      <c r="EH13845"/>
      <c r="EI13845"/>
      <c r="EJ13845"/>
      <c r="EK13845"/>
    </row>
    <row r="13846" spans="1:141" s="116" customFormat="1">
      <c r="A13846" s="136"/>
      <c r="CM13846" s="111"/>
      <c r="CQ13846" s="111"/>
      <c r="EF13846"/>
      <c r="EG13846"/>
      <c r="EH13846"/>
      <c r="EI13846"/>
      <c r="EJ13846"/>
      <c r="EK13846"/>
    </row>
    <row r="13847" spans="1:141" s="116" customFormat="1">
      <c r="A13847" s="136"/>
      <c r="CM13847" s="111"/>
      <c r="CQ13847" s="111"/>
      <c r="EF13847"/>
      <c r="EG13847"/>
      <c r="EH13847"/>
      <c r="EI13847"/>
      <c r="EJ13847"/>
      <c r="EK13847"/>
    </row>
    <row r="13848" spans="1:141" s="116" customFormat="1">
      <c r="A13848" s="136"/>
      <c r="CM13848" s="111"/>
      <c r="CQ13848" s="111"/>
      <c r="EF13848"/>
      <c r="EG13848"/>
      <c r="EH13848"/>
      <c r="EI13848"/>
      <c r="EJ13848"/>
      <c r="EK13848"/>
    </row>
    <row r="13849" spans="1:141" s="116" customFormat="1">
      <c r="A13849" s="136"/>
      <c r="CM13849" s="111"/>
      <c r="CQ13849" s="111"/>
      <c r="EF13849"/>
      <c r="EG13849"/>
      <c r="EH13849"/>
      <c r="EI13849"/>
      <c r="EJ13849"/>
      <c r="EK13849"/>
    </row>
    <row r="13850" spans="1:141" s="116" customFormat="1">
      <c r="A13850" s="136"/>
      <c r="CM13850" s="111"/>
      <c r="CQ13850" s="111"/>
      <c r="EF13850"/>
      <c r="EG13850"/>
      <c r="EH13850"/>
      <c r="EI13850"/>
      <c r="EJ13850"/>
      <c r="EK13850"/>
    </row>
    <row r="13851" spans="1:141" s="116" customFormat="1">
      <c r="A13851" s="136"/>
      <c r="CM13851" s="111"/>
      <c r="CQ13851" s="111"/>
      <c r="EF13851"/>
      <c r="EG13851"/>
      <c r="EH13851"/>
      <c r="EI13851"/>
      <c r="EJ13851"/>
      <c r="EK13851"/>
    </row>
    <row r="13852" spans="1:141" s="116" customFormat="1">
      <c r="A13852" s="136"/>
      <c r="CM13852" s="111"/>
      <c r="CQ13852" s="111"/>
      <c r="EF13852"/>
      <c r="EG13852"/>
      <c r="EH13852"/>
      <c r="EI13852"/>
      <c r="EJ13852"/>
      <c r="EK13852"/>
    </row>
    <row r="13853" spans="1:141" s="116" customFormat="1">
      <c r="A13853" s="136"/>
      <c r="CM13853" s="111"/>
      <c r="CQ13853" s="111"/>
      <c r="EF13853"/>
      <c r="EG13853"/>
      <c r="EH13853"/>
      <c r="EI13853"/>
      <c r="EJ13853"/>
      <c r="EK13853"/>
    </row>
    <row r="13854" spans="1:141" s="116" customFormat="1">
      <c r="A13854" s="136"/>
      <c r="CM13854" s="111"/>
      <c r="CQ13854" s="111"/>
      <c r="EF13854"/>
      <c r="EG13854"/>
      <c r="EH13854"/>
      <c r="EI13854"/>
      <c r="EJ13854"/>
      <c r="EK13854"/>
    </row>
    <row r="13855" spans="1:141" s="116" customFormat="1">
      <c r="A13855" s="136"/>
      <c r="CM13855" s="111"/>
      <c r="CQ13855" s="111"/>
      <c r="EF13855"/>
      <c r="EG13855"/>
      <c r="EH13855"/>
      <c r="EI13855"/>
      <c r="EJ13855"/>
      <c r="EK13855"/>
    </row>
    <row r="13856" spans="1:141" s="116" customFormat="1">
      <c r="A13856" s="136"/>
      <c r="CM13856" s="111"/>
      <c r="CQ13856" s="111"/>
      <c r="EF13856"/>
      <c r="EG13856"/>
      <c r="EH13856"/>
      <c r="EI13856"/>
      <c r="EJ13856"/>
      <c r="EK13856"/>
    </row>
    <row r="13857" spans="1:141" s="116" customFormat="1">
      <c r="A13857" s="136"/>
      <c r="CM13857" s="111"/>
      <c r="CQ13857" s="111"/>
      <c r="EF13857"/>
      <c r="EG13857"/>
      <c r="EH13857"/>
      <c r="EI13857"/>
      <c r="EJ13857"/>
      <c r="EK13857"/>
    </row>
    <row r="13858" spans="1:141" s="116" customFormat="1">
      <c r="A13858" s="136"/>
      <c r="CM13858" s="111"/>
      <c r="CQ13858" s="111"/>
      <c r="EF13858"/>
      <c r="EG13858"/>
      <c r="EH13858"/>
      <c r="EI13858"/>
      <c r="EJ13858"/>
      <c r="EK13858"/>
    </row>
    <row r="13859" spans="1:141" s="116" customFormat="1">
      <c r="A13859" s="136"/>
      <c r="CM13859" s="111"/>
      <c r="CQ13859" s="111"/>
      <c r="EF13859"/>
      <c r="EG13859"/>
      <c r="EH13859"/>
      <c r="EI13859"/>
      <c r="EJ13859"/>
      <c r="EK13859"/>
    </row>
    <row r="13860" spans="1:141" s="116" customFormat="1">
      <c r="A13860" s="136"/>
      <c r="CM13860" s="111"/>
      <c r="CQ13860" s="111"/>
      <c r="EF13860"/>
      <c r="EG13860"/>
      <c r="EH13860"/>
      <c r="EI13860"/>
      <c r="EJ13860"/>
      <c r="EK13860"/>
    </row>
    <row r="13861" spans="1:141" s="116" customFormat="1">
      <c r="A13861" s="136"/>
      <c r="CM13861" s="111"/>
      <c r="CQ13861" s="111"/>
      <c r="EF13861"/>
      <c r="EG13861"/>
      <c r="EH13861"/>
      <c r="EI13861"/>
      <c r="EJ13861"/>
      <c r="EK13861"/>
    </row>
    <row r="13862" spans="1:141" s="116" customFormat="1">
      <c r="A13862" s="136"/>
      <c r="CM13862" s="111"/>
      <c r="CQ13862" s="111"/>
      <c r="EF13862"/>
      <c r="EG13862"/>
      <c r="EH13862"/>
      <c r="EI13862"/>
      <c r="EJ13862"/>
      <c r="EK13862"/>
    </row>
    <row r="13863" spans="1:141" s="116" customFormat="1">
      <c r="A13863" s="136"/>
      <c r="CM13863" s="111"/>
      <c r="CQ13863" s="111"/>
      <c r="EF13863"/>
      <c r="EG13863"/>
      <c r="EH13863"/>
      <c r="EI13863"/>
      <c r="EJ13863"/>
      <c r="EK13863"/>
    </row>
    <row r="13864" spans="1:141" s="116" customFormat="1">
      <c r="A13864" s="136"/>
      <c r="CM13864" s="111"/>
      <c r="CQ13864" s="111"/>
      <c r="EF13864"/>
      <c r="EG13864"/>
      <c r="EH13864"/>
      <c r="EI13864"/>
      <c r="EJ13864"/>
      <c r="EK13864"/>
    </row>
    <row r="13865" spans="1:141" s="116" customFormat="1">
      <c r="A13865" s="136"/>
      <c r="CM13865" s="111"/>
      <c r="CQ13865" s="111"/>
      <c r="EF13865"/>
      <c r="EG13865"/>
      <c r="EH13865"/>
      <c r="EI13865"/>
      <c r="EJ13865"/>
      <c r="EK13865"/>
    </row>
    <row r="13866" spans="1:141" s="116" customFormat="1">
      <c r="A13866" s="136"/>
      <c r="CM13866" s="111"/>
      <c r="CQ13866" s="111"/>
      <c r="EF13866"/>
      <c r="EG13866"/>
      <c r="EH13866"/>
      <c r="EI13866"/>
      <c r="EJ13866"/>
      <c r="EK13866"/>
    </row>
    <row r="13867" spans="1:141" s="116" customFormat="1">
      <c r="A13867" s="136"/>
      <c r="CM13867" s="111"/>
      <c r="CQ13867" s="111"/>
      <c r="EF13867"/>
      <c r="EG13867"/>
      <c r="EH13867"/>
      <c r="EI13867"/>
      <c r="EJ13867"/>
      <c r="EK13867"/>
    </row>
    <row r="13868" spans="1:141" s="116" customFormat="1">
      <c r="A13868" s="136"/>
      <c r="CM13868" s="111"/>
      <c r="CQ13868" s="111"/>
      <c r="EF13868"/>
      <c r="EG13868"/>
      <c r="EH13868"/>
      <c r="EI13868"/>
      <c r="EJ13868"/>
      <c r="EK13868"/>
    </row>
    <row r="13869" spans="1:141" s="116" customFormat="1">
      <c r="A13869" s="136"/>
      <c r="CM13869" s="111"/>
      <c r="CQ13869" s="111"/>
      <c r="EF13869"/>
      <c r="EG13869"/>
      <c r="EH13869"/>
      <c r="EI13869"/>
      <c r="EJ13869"/>
      <c r="EK13869"/>
    </row>
    <row r="13870" spans="1:141" s="116" customFormat="1">
      <c r="A13870" s="136"/>
      <c r="CM13870" s="111"/>
      <c r="CQ13870" s="111"/>
      <c r="EF13870"/>
      <c r="EG13870"/>
      <c r="EH13870"/>
      <c r="EI13870"/>
      <c r="EJ13870"/>
      <c r="EK13870"/>
    </row>
    <row r="13871" spans="1:141" s="116" customFormat="1">
      <c r="A13871" s="136"/>
      <c r="CM13871" s="111"/>
      <c r="CQ13871" s="111"/>
      <c r="EF13871"/>
      <c r="EG13871"/>
      <c r="EH13871"/>
      <c r="EI13871"/>
      <c r="EJ13871"/>
      <c r="EK13871"/>
    </row>
    <row r="13872" spans="1:141" s="116" customFormat="1">
      <c r="A13872" s="136"/>
      <c r="CM13872" s="111"/>
      <c r="CQ13872" s="111"/>
      <c r="EF13872"/>
      <c r="EG13872"/>
      <c r="EH13872"/>
      <c r="EI13872"/>
      <c r="EJ13872"/>
      <c r="EK13872"/>
    </row>
    <row r="13873" spans="1:141" s="116" customFormat="1">
      <c r="A13873" s="136"/>
      <c r="CM13873" s="111"/>
      <c r="CQ13873" s="111"/>
      <c r="EF13873"/>
      <c r="EG13873"/>
      <c r="EH13873"/>
      <c r="EI13873"/>
      <c r="EJ13873"/>
      <c r="EK13873"/>
    </row>
    <row r="13874" spans="1:141" s="116" customFormat="1">
      <c r="A13874" s="136"/>
      <c r="CM13874" s="111"/>
      <c r="CQ13874" s="111"/>
      <c r="EF13874"/>
      <c r="EG13874"/>
      <c r="EH13874"/>
      <c r="EI13874"/>
      <c r="EJ13874"/>
      <c r="EK13874"/>
    </row>
    <row r="13875" spans="1:141" s="116" customFormat="1">
      <c r="A13875" s="136"/>
      <c r="CM13875" s="111"/>
      <c r="CQ13875" s="111"/>
      <c r="EF13875"/>
      <c r="EG13875"/>
      <c r="EH13875"/>
      <c r="EI13875"/>
      <c r="EJ13875"/>
      <c r="EK13875"/>
    </row>
    <row r="13876" spans="1:141" s="116" customFormat="1">
      <c r="A13876" s="136"/>
      <c r="CM13876" s="111"/>
      <c r="CQ13876" s="111"/>
      <c r="EF13876"/>
      <c r="EG13876"/>
      <c r="EH13876"/>
      <c r="EI13876"/>
      <c r="EJ13876"/>
      <c r="EK13876"/>
    </row>
    <row r="13877" spans="1:141" s="116" customFormat="1">
      <c r="A13877" s="136"/>
      <c r="CM13877" s="111"/>
      <c r="CQ13877" s="111"/>
      <c r="EF13877"/>
      <c r="EG13877"/>
      <c r="EH13877"/>
      <c r="EI13877"/>
      <c r="EJ13877"/>
      <c r="EK13877"/>
    </row>
    <row r="13878" spans="1:141" s="116" customFormat="1">
      <c r="A13878" s="136"/>
      <c r="CM13878" s="111"/>
      <c r="CQ13878" s="111"/>
      <c r="EF13878"/>
      <c r="EG13878"/>
      <c r="EH13878"/>
      <c r="EI13878"/>
      <c r="EJ13878"/>
      <c r="EK13878"/>
    </row>
    <row r="13879" spans="1:141" s="116" customFormat="1">
      <c r="A13879" s="136"/>
      <c r="CM13879" s="111"/>
      <c r="CQ13879" s="111"/>
      <c r="EF13879"/>
      <c r="EG13879"/>
      <c r="EH13879"/>
      <c r="EI13879"/>
      <c r="EJ13879"/>
      <c r="EK13879"/>
    </row>
    <row r="13880" spans="1:141" s="116" customFormat="1">
      <c r="A13880" s="136"/>
      <c r="CM13880" s="111"/>
      <c r="CQ13880" s="111"/>
      <c r="EF13880"/>
      <c r="EG13880"/>
      <c r="EH13880"/>
      <c r="EI13880"/>
      <c r="EJ13880"/>
      <c r="EK13880"/>
    </row>
    <row r="13881" spans="1:141" s="116" customFormat="1">
      <c r="A13881" s="136"/>
      <c r="CM13881" s="111"/>
      <c r="CQ13881" s="111"/>
      <c r="EF13881"/>
      <c r="EG13881"/>
      <c r="EH13881"/>
      <c r="EI13881"/>
      <c r="EJ13881"/>
      <c r="EK13881"/>
    </row>
    <row r="13882" spans="1:141" s="116" customFormat="1">
      <c r="A13882" s="136"/>
      <c r="CM13882" s="111"/>
      <c r="CQ13882" s="111"/>
      <c r="EF13882"/>
      <c r="EG13882"/>
      <c r="EH13882"/>
      <c r="EI13882"/>
      <c r="EJ13882"/>
      <c r="EK13882"/>
    </row>
    <row r="13883" spans="1:141" s="116" customFormat="1">
      <c r="A13883" s="136"/>
      <c r="CM13883" s="111"/>
      <c r="CQ13883" s="111"/>
      <c r="EF13883"/>
      <c r="EG13883"/>
      <c r="EH13883"/>
      <c r="EI13883"/>
      <c r="EJ13883"/>
      <c r="EK13883"/>
    </row>
    <row r="13884" spans="1:141" s="116" customFormat="1">
      <c r="A13884" s="136"/>
      <c r="CM13884" s="111"/>
      <c r="CQ13884" s="111"/>
      <c r="EF13884"/>
      <c r="EG13884"/>
      <c r="EH13884"/>
      <c r="EI13884"/>
      <c r="EJ13884"/>
      <c r="EK13884"/>
    </row>
    <row r="13885" spans="1:141" s="116" customFormat="1">
      <c r="A13885" s="136"/>
      <c r="CM13885" s="111"/>
      <c r="CQ13885" s="111"/>
      <c r="EF13885"/>
      <c r="EG13885"/>
      <c r="EH13885"/>
      <c r="EI13885"/>
      <c r="EJ13885"/>
      <c r="EK13885"/>
    </row>
    <row r="13886" spans="1:141" s="116" customFormat="1">
      <c r="A13886" s="136"/>
      <c r="CM13886" s="111"/>
      <c r="CQ13886" s="111"/>
      <c r="EF13886"/>
      <c r="EG13886"/>
      <c r="EH13886"/>
      <c r="EI13886"/>
      <c r="EJ13886"/>
      <c r="EK13886"/>
    </row>
    <row r="13887" spans="1:141" s="116" customFormat="1">
      <c r="A13887" s="136"/>
      <c r="CM13887" s="111"/>
      <c r="CQ13887" s="111"/>
      <c r="EF13887"/>
      <c r="EG13887"/>
      <c r="EH13887"/>
      <c r="EI13887"/>
      <c r="EJ13887"/>
      <c r="EK13887"/>
    </row>
    <row r="13888" spans="1:141" s="116" customFormat="1">
      <c r="A13888" s="136"/>
      <c r="CM13888" s="111"/>
      <c r="CQ13888" s="111"/>
      <c r="EF13888"/>
      <c r="EG13888"/>
      <c r="EH13888"/>
      <c r="EI13888"/>
      <c r="EJ13888"/>
      <c r="EK13888"/>
    </row>
    <row r="13889" spans="1:141" s="116" customFormat="1">
      <c r="A13889" s="136"/>
      <c r="CM13889" s="111"/>
      <c r="CQ13889" s="111"/>
      <c r="EF13889"/>
      <c r="EG13889"/>
      <c r="EH13889"/>
      <c r="EI13889"/>
      <c r="EJ13889"/>
      <c r="EK13889"/>
    </row>
    <row r="13890" spans="1:141" s="116" customFormat="1">
      <c r="A13890" s="136"/>
      <c r="CM13890" s="111"/>
      <c r="CQ13890" s="111"/>
      <c r="EF13890"/>
      <c r="EG13890"/>
      <c r="EH13890"/>
      <c r="EI13890"/>
      <c r="EJ13890"/>
      <c r="EK13890"/>
    </row>
    <row r="13891" spans="1:141" s="116" customFormat="1">
      <c r="A13891" s="136"/>
      <c r="CM13891" s="111"/>
      <c r="CQ13891" s="111"/>
      <c r="EF13891"/>
      <c r="EG13891"/>
      <c r="EH13891"/>
      <c r="EI13891"/>
      <c r="EJ13891"/>
      <c r="EK13891"/>
    </row>
    <row r="13892" spans="1:141" s="116" customFormat="1">
      <c r="A13892" s="136"/>
      <c r="CM13892" s="111"/>
      <c r="CQ13892" s="111"/>
      <c r="EF13892"/>
      <c r="EG13892"/>
      <c r="EH13892"/>
      <c r="EI13892"/>
      <c r="EJ13892"/>
      <c r="EK13892"/>
    </row>
    <row r="13893" spans="1:141" s="116" customFormat="1">
      <c r="A13893" s="136"/>
      <c r="CM13893" s="111"/>
      <c r="CQ13893" s="111"/>
      <c r="EF13893"/>
      <c r="EG13893"/>
      <c r="EH13893"/>
      <c r="EI13893"/>
      <c r="EJ13893"/>
      <c r="EK13893"/>
    </row>
    <row r="13894" spans="1:141" s="116" customFormat="1">
      <c r="A13894" s="136"/>
      <c r="CM13894" s="111"/>
      <c r="CQ13894" s="111"/>
      <c r="EF13894"/>
      <c r="EG13894"/>
      <c r="EH13894"/>
      <c r="EI13894"/>
      <c r="EJ13894"/>
      <c r="EK13894"/>
    </row>
    <row r="13895" spans="1:141" s="116" customFormat="1">
      <c r="A13895" s="136"/>
      <c r="CM13895" s="111"/>
      <c r="CQ13895" s="111"/>
      <c r="EF13895"/>
      <c r="EG13895"/>
      <c r="EH13895"/>
      <c r="EI13895"/>
      <c r="EJ13895"/>
      <c r="EK13895"/>
    </row>
    <row r="13896" spans="1:141" s="116" customFormat="1">
      <c r="A13896" s="136"/>
      <c r="CM13896" s="111"/>
      <c r="CQ13896" s="111"/>
      <c r="EF13896"/>
      <c r="EG13896"/>
      <c r="EH13896"/>
      <c r="EI13896"/>
      <c r="EJ13896"/>
      <c r="EK13896"/>
    </row>
    <row r="13897" spans="1:141" s="116" customFormat="1">
      <c r="A13897" s="136"/>
      <c r="CM13897" s="111"/>
      <c r="CQ13897" s="111"/>
      <c r="EF13897"/>
      <c r="EG13897"/>
      <c r="EH13897"/>
      <c r="EI13897"/>
      <c r="EJ13897"/>
      <c r="EK13897"/>
    </row>
    <row r="13898" spans="1:141" s="116" customFormat="1">
      <c r="A13898" s="136"/>
      <c r="CM13898" s="111"/>
      <c r="CQ13898" s="111"/>
      <c r="EF13898"/>
      <c r="EG13898"/>
      <c r="EH13898"/>
      <c r="EI13898"/>
      <c r="EJ13898"/>
      <c r="EK13898"/>
    </row>
    <row r="13899" spans="1:141" s="116" customFormat="1">
      <c r="A13899" s="136"/>
      <c r="CM13899" s="111"/>
      <c r="CQ13899" s="111"/>
      <c r="EF13899"/>
      <c r="EG13899"/>
      <c r="EH13899"/>
      <c r="EI13899"/>
      <c r="EJ13899"/>
      <c r="EK13899"/>
    </row>
    <row r="13900" spans="1:141" s="116" customFormat="1">
      <c r="A13900" s="136"/>
      <c r="CM13900" s="111"/>
      <c r="CQ13900" s="111"/>
      <c r="EF13900"/>
      <c r="EG13900"/>
      <c r="EH13900"/>
      <c r="EI13900"/>
      <c r="EJ13900"/>
      <c r="EK13900"/>
    </row>
    <row r="13901" spans="1:141" s="116" customFormat="1">
      <c r="A13901" s="136"/>
      <c r="CM13901" s="111"/>
      <c r="CQ13901" s="111"/>
      <c r="EF13901"/>
      <c r="EG13901"/>
      <c r="EH13901"/>
      <c r="EI13901"/>
      <c r="EJ13901"/>
      <c r="EK13901"/>
    </row>
    <row r="13902" spans="1:141" s="116" customFormat="1">
      <c r="A13902" s="136"/>
      <c r="CM13902" s="111"/>
      <c r="CQ13902" s="111"/>
      <c r="EF13902"/>
      <c r="EG13902"/>
      <c r="EH13902"/>
      <c r="EI13902"/>
      <c r="EJ13902"/>
      <c r="EK13902"/>
    </row>
    <row r="13903" spans="1:141" s="116" customFormat="1">
      <c r="A13903" s="136"/>
      <c r="CM13903" s="111"/>
      <c r="CQ13903" s="111"/>
      <c r="EF13903"/>
      <c r="EG13903"/>
      <c r="EH13903"/>
      <c r="EI13903"/>
      <c r="EJ13903"/>
      <c r="EK13903"/>
    </row>
    <row r="13904" spans="1:141" s="116" customFormat="1">
      <c r="A13904" s="136"/>
      <c r="CM13904" s="111"/>
      <c r="CQ13904" s="111"/>
      <c r="EF13904"/>
      <c r="EG13904"/>
      <c r="EH13904"/>
      <c r="EI13904"/>
      <c r="EJ13904"/>
      <c r="EK13904"/>
    </row>
    <row r="13905" spans="1:141" s="116" customFormat="1">
      <c r="A13905" s="136"/>
      <c r="CM13905" s="111"/>
      <c r="CQ13905" s="111"/>
      <c r="EF13905"/>
      <c r="EG13905"/>
      <c r="EH13905"/>
      <c r="EI13905"/>
      <c r="EJ13905"/>
      <c r="EK13905"/>
    </row>
    <row r="13906" spans="1:141" s="116" customFormat="1">
      <c r="A13906" s="136"/>
      <c r="CM13906" s="111"/>
      <c r="CQ13906" s="111"/>
      <c r="EF13906"/>
      <c r="EG13906"/>
      <c r="EH13906"/>
      <c r="EI13906"/>
      <c r="EJ13906"/>
      <c r="EK13906"/>
    </row>
    <row r="13907" spans="1:141" s="116" customFormat="1">
      <c r="A13907" s="136"/>
      <c r="CM13907" s="111"/>
      <c r="CQ13907" s="111"/>
      <c r="EF13907"/>
      <c r="EG13907"/>
      <c r="EH13907"/>
      <c r="EI13907"/>
      <c r="EJ13907"/>
      <c r="EK13907"/>
    </row>
    <row r="13908" spans="1:141" s="116" customFormat="1">
      <c r="A13908" s="136"/>
      <c r="CM13908" s="111"/>
      <c r="CQ13908" s="111"/>
      <c r="EF13908"/>
      <c r="EG13908"/>
      <c r="EH13908"/>
      <c r="EI13908"/>
      <c r="EJ13908"/>
      <c r="EK13908"/>
    </row>
    <row r="13909" spans="1:141" s="116" customFormat="1">
      <c r="A13909" s="136"/>
      <c r="CM13909" s="111"/>
      <c r="CQ13909" s="111"/>
      <c r="EF13909"/>
      <c r="EG13909"/>
      <c r="EH13909"/>
      <c r="EI13909"/>
      <c r="EJ13909"/>
      <c r="EK13909"/>
    </row>
    <row r="13910" spans="1:141" s="116" customFormat="1">
      <c r="A13910" s="136"/>
      <c r="CM13910" s="111"/>
      <c r="CQ13910" s="111"/>
      <c r="EF13910"/>
      <c r="EG13910"/>
      <c r="EH13910"/>
      <c r="EI13910"/>
      <c r="EJ13910"/>
      <c r="EK13910"/>
    </row>
    <row r="13911" spans="1:141" s="116" customFormat="1">
      <c r="A13911" s="136"/>
      <c r="CM13911" s="111"/>
      <c r="CQ13911" s="111"/>
      <c r="EF13911"/>
      <c r="EG13911"/>
      <c r="EH13911"/>
      <c r="EI13911"/>
      <c r="EJ13911"/>
      <c r="EK13911"/>
    </row>
    <row r="13912" spans="1:141" s="116" customFormat="1">
      <c r="A13912" s="136"/>
      <c r="CM13912" s="111"/>
      <c r="CQ13912" s="111"/>
      <c r="EF13912"/>
      <c r="EG13912"/>
      <c r="EH13912"/>
      <c r="EI13912"/>
      <c r="EJ13912"/>
      <c r="EK13912"/>
    </row>
    <row r="13913" spans="1:141" s="116" customFormat="1">
      <c r="A13913" s="136"/>
      <c r="CM13913" s="111"/>
      <c r="CQ13913" s="111"/>
      <c r="EF13913"/>
      <c r="EG13913"/>
      <c r="EH13913"/>
      <c r="EI13913"/>
      <c r="EJ13913"/>
      <c r="EK13913"/>
    </row>
    <row r="13914" spans="1:141" s="116" customFormat="1">
      <c r="A13914" s="136"/>
      <c r="CM13914" s="111"/>
      <c r="CQ13914" s="111"/>
      <c r="EF13914"/>
      <c r="EG13914"/>
      <c r="EH13914"/>
      <c r="EI13914"/>
      <c r="EJ13914"/>
      <c r="EK13914"/>
    </row>
    <row r="13915" spans="1:141" s="116" customFormat="1">
      <c r="A13915" s="136"/>
      <c r="CM13915" s="111"/>
      <c r="CQ13915" s="111"/>
      <c r="EF13915"/>
      <c r="EG13915"/>
      <c r="EH13915"/>
      <c r="EI13915"/>
      <c r="EJ13915"/>
      <c r="EK13915"/>
    </row>
    <row r="13916" spans="1:141" s="116" customFormat="1">
      <c r="A13916" s="136"/>
      <c r="CM13916" s="111"/>
      <c r="CQ13916" s="111"/>
      <c r="EF13916"/>
      <c r="EG13916"/>
      <c r="EH13916"/>
      <c r="EI13916"/>
      <c r="EJ13916"/>
      <c r="EK13916"/>
    </row>
    <row r="13917" spans="1:141" s="116" customFormat="1">
      <c r="A13917" s="136"/>
      <c r="CM13917" s="111"/>
      <c r="CQ13917" s="111"/>
      <c r="EF13917"/>
      <c r="EG13917"/>
      <c r="EH13917"/>
      <c r="EI13917"/>
      <c r="EJ13917"/>
      <c r="EK13917"/>
    </row>
    <row r="13918" spans="1:141" s="116" customFormat="1">
      <c r="A13918" s="136"/>
      <c r="CM13918" s="111"/>
      <c r="CQ13918" s="111"/>
      <c r="EF13918"/>
      <c r="EG13918"/>
      <c r="EH13918"/>
      <c r="EI13918"/>
      <c r="EJ13918"/>
      <c r="EK13918"/>
    </row>
    <row r="13919" spans="1:141" s="116" customFormat="1">
      <c r="A13919" s="136"/>
      <c r="CM13919" s="111"/>
      <c r="CQ13919" s="111"/>
      <c r="EF13919"/>
      <c r="EG13919"/>
      <c r="EH13919"/>
      <c r="EI13919"/>
      <c r="EJ13919"/>
      <c r="EK13919"/>
    </row>
    <row r="13920" spans="1:141" s="116" customFormat="1">
      <c r="A13920" s="136"/>
      <c r="CM13920" s="111"/>
      <c r="CQ13920" s="111"/>
      <c r="EF13920"/>
      <c r="EG13920"/>
      <c r="EH13920"/>
      <c r="EI13920"/>
      <c r="EJ13920"/>
      <c r="EK13920"/>
    </row>
    <row r="13921" spans="1:141" s="116" customFormat="1">
      <c r="A13921" s="136"/>
      <c r="CM13921" s="111"/>
      <c r="CQ13921" s="111"/>
      <c r="EF13921"/>
      <c r="EG13921"/>
      <c r="EH13921"/>
      <c r="EI13921"/>
      <c r="EJ13921"/>
      <c r="EK13921"/>
    </row>
    <row r="13922" spans="1:141" s="116" customFormat="1">
      <c r="A13922" s="136"/>
      <c r="CM13922" s="111"/>
      <c r="CQ13922" s="111"/>
      <c r="EF13922"/>
      <c r="EG13922"/>
      <c r="EH13922"/>
      <c r="EI13922"/>
      <c r="EJ13922"/>
      <c r="EK13922"/>
    </row>
    <row r="13923" spans="1:141" s="116" customFormat="1">
      <c r="A13923" s="136"/>
      <c r="CM13923" s="111"/>
      <c r="CQ13923" s="111"/>
      <c r="EF13923"/>
      <c r="EG13923"/>
      <c r="EH13923"/>
      <c r="EI13923"/>
      <c r="EJ13923"/>
      <c r="EK13923"/>
    </row>
    <row r="13924" spans="1:141" s="116" customFormat="1">
      <c r="A13924" s="136"/>
      <c r="CM13924" s="111"/>
      <c r="CQ13924" s="111"/>
      <c r="EF13924"/>
      <c r="EG13924"/>
      <c r="EH13924"/>
      <c r="EI13924"/>
      <c r="EJ13924"/>
      <c r="EK13924"/>
    </row>
    <row r="13925" spans="1:141" s="116" customFormat="1">
      <c r="A13925" s="136"/>
      <c r="CM13925" s="111"/>
      <c r="CQ13925" s="111"/>
      <c r="EF13925"/>
      <c r="EG13925"/>
      <c r="EH13925"/>
      <c r="EI13925"/>
      <c r="EJ13925"/>
      <c r="EK13925"/>
    </row>
    <row r="13926" spans="1:141" s="116" customFormat="1">
      <c r="A13926" s="136"/>
      <c r="CM13926" s="111"/>
      <c r="CQ13926" s="111"/>
      <c r="EF13926"/>
      <c r="EG13926"/>
      <c r="EH13926"/>
      <c r="EI13926"/>
      <c r="EJ13926"/>
      <c r="EK13926"/>
    </row>
    <row r="13927" spans="1:141" s="116" customFormat="1">
      <c r="A13927" s="136"/>
      <c r="CM13927" s="111"/>
      <c r="CQ13927" s="111"/>
      <c r="EF13927"/>
      <c r="EG13927"/>
      <c r="EH13927"/>
      <c r="EI13927"/>
      <c r="EJ13927"/>
      <c r="EK13927"/>
    </row>
    <row r="13928" spans="1:141" s="116" customFormat="1">
      <c r="A13928" s="136"/>
      <c r="CM13928" s="111"/>
      <c r="CQ13928" s="111"/>
      <c r="EF13928"/>
      <c r="EG13928"/>
      <c r="EH13928"/>
      <c r="EI13928"/>
      <c r="EJ13928"/>
      <c r="EK13928"/>
    </row>
    <row r="13929" spans="1:141" s="116" customFormat="1">
      <c r="A13929" s="136"/>
      <c r="CM13929" s="111"/>
      <c r="CQ13929" s="111"/>
      <c r="EF13929"/>
      <c r="EG13929"/>
      <c r="EH13929"/>
      <c r="EI13929"/>
      <c r="EJ13929"/>
      <c r="EK13929"/>
    </row>
    <row r="13930" spans="1:141" s="116" customFormat="1">
      <c r="A13930" s="136"/>
      <c r="CM13930" s="111"/>
      <c r="CQ13930" s="111"/>
      <c r="EF13930"/>
      <c r="EG13930"/>
      <c r="EH13930"/>
      <c r="EI13930"/>
      <c r="EJ13930"/>
      <c r="EK13930"/>
    </row>
    <row r="13931" spans="1:141" s="116" customFormat="1">
      <c r="A13931" s="136"/>
      <c r="CM13931" s="111"/>
      <c r="CQ13931" s="111"/>
      <c r="EF13931"/>
      <c r="EG13931"/>
      <c r="EH13931"/>
      <c r="EI13931"/>
      <c r="EJ13931"/>
      <c r="EK13931"/>
    </row>
    <row r="13932" spans="1:141" s="116" customFormat="1">
      <c r="A13932" s="136"/>
      <c r="CM13932" s="111"/>
      <c r="CQ13932" s="111"/>
      <c r="EF13932"/>
      <c r="EG13932"/>
      <c r="EH13932"/>
      <c r="EI13932"/>
      <c r="EJ13932"/>
      <c r="EK13932"/>
    </row>
    <row r="13933" spans="1:141" s="116" customFormat="1">
      <c r="A13933" s="136"/>
      <c r="CM13933" s="111"/>
      <c r="CQ13933" s="111"/>
      <c r="EF13933"/>
      <c r="EG13933"/>
      <c r="EH13933"/>
      <c r="EI13933"/>
      <c r="EJ13933"/>
      <c r="EK13933"/>
    </row>
    <row r="13934" spans="1:141" s="116" customFormat="1">
      <c r="A13934" s="136"/>
      <c r="CM13934" s="111"/>
      <c r="CQ13934" s="111"/>
      <c r="EF13934"/>
      <c r="EG13934"/>
      <c r="EH13934"/>
      <c r="EI13934"/>
      <c r="EJ13934"/>
      <c r="EK13934"/>
    </row>
    <row r="13935" spans="1:141" s="116" customFormat="1">
      <c r="A13935" s="136"/>
      <c r="CM13935" s="111"/>
      <c r="CQ13935" s="111"/>
      <c r="EF13935"/>
      <c r="EG13935"/>
      <c r="EH13935"/>
      <c r="EI13935"/>
      <c r="EJ13935"/>
      <c r="EK13935"/>
    </row>
    <row r="13936" spans="1:141" s="116" customFormat="1">
      <c r="A13936" s="136"/>
      <c r="CM13936" s="111"/>
      <c r="CQ13936" s="111"/>
      <c r="EF13936"/>
      <c r="EG13936"/>
      <c r="EH13936"/>
      <c r="EI13936"/>
      <c r="EJ13936"/>
      <c r="EK13936"/>
    </row>
    <row r="13937" spans="1:141" s="116" customFormat="1">
      <c r="A13937" s="136"/>
      <c r="CM13937" s="111"/>
      <c r="CQ13937" s="111"/>
      <c r="EF13937"/>
      <c r="EG13937"/>
      <c r="EH13937"/>
      <c r="EI13937"/>
      <c r="EJ13937"/>
      <c r="EK13937"/>
    </row>
    <row r="13938" spans="1:141" s="116" customFormat="1">
      <c r="A13938" s="136"/>
      <c r="CM13938" s="111"/>
      <c r="CQ13938" s="111"/>
      <c r="EF13938"/>
      <c r="EG13938"/>
      <c r="EH13938"/>
      <c r="EI13938"/>
      <c r="EJ13938"/>
      <c r="EK13938"/>
    </row>
    <row r="13939" spans="1:141" s="116" customFormat="1">
      <c r="A13939" s="136"/>
      <c r="CM13939" s="111"/>
      <c r="CQ13939" s="111"/>
      <c r="EF13939"/>
      <c r="EG13939"/>
      <c r="EH13939"/>
      <c r="EI13939"/>
      <c r="EJ13939"/>
      <c r="EK13939"/>
    </row>
    <row r="13940" spans="1:141" s="116" customFormat="1">
      <c r="A13940" s="136"/>
      <c r="CM13940" s="111"/>
      <c r="CQ13940" s="111"/>
      <c r="EF13940"/>
      <c r="EG13940"/>
      <c r="EH13940"/>
      <c r="EI13940"/>
      <c r="EJ13940"/>
      <c r="EK13940"/>
    </row>
    <row r="13941" spans="1:141" s="116" customFormat="1">
      <c r="A13941" s="136"/>
      <c r="CM13941" s="111"/>
      <c r="CQ13941" s="111"/>
      <c r="EF13941"/>
      <c r="EG13941"/>
      <c r="EH13941"/>
      <c r="EI13941"/>
      <c r="EJ13941"/>
      <c r="EK13941"/>
    </row>
    <row r="13942" spans="1:141" s="116" customFormat="1">
      <c r="A13942" s="136"/>
      <c r="CM13942" s="111"/>
      <c r="CQ13942" s="111"/>
      <c r="EF13942"/>
      <c r="EG13942"/>
      <c r="EH13942"/>
      <c r="EI13942"/>
      <c r="EJ13942"/>
      <c r="EK13942"/>
    </row>
    <row r="13943" spans="1:141" s="116" customFormat="1">
      <c r="A13943" s="136"/>
      <c r="CM13943" s="111"/>
      <c r="CQ13943" s="111"/>
      <c r="EF13943"/>
      <c r="EG13943"/>
      <c r="EH13943"/>
      <c r="EI13943"/>
      <c r="EJ13943"/>
      <c r="EK13943"/>
    </row>
    <row r="13944" spans="1:141" s="116" customFormat="1">
      <c r="A13944" s="136"/>
      <c r="CM13944" s="111"/>
      <c r="CQ13944" s="111"/>
      <c r="EF13944"/>
      <c r="EG13944"/>
      <c r="EH13944"/>
      <c r="EI13944"/>
      <c r="EJ13944"/>
      <c r="EK13944"/>
    </row>
    <row r="13945" spans="1:141" s="116" customFormat="1">
      <c r="A13945" s="136"/>
      <c r="CM13945" s="111"/>
      <c r="CQ13945" s="111"/>
      <c r="EF13945"/>
      <c r="EG13945"/>
      <c r="EH13945"/>
      <c r="EI13945"/>
      <c r="EJ13945"/>
      <c r="EK13945"/>
    </row>
    <row r="13946" spans="1:141" s="116" customFormat="1">
      <c r="A13946" s="136"/>
      <c r="CM13946" s="111"/>
      <c r="CQ13946" s="111"/>
      <c r="EF13946"/>
      <c r="EG13946"/>
      <c r="EH13946"/>
      <c r="EI13946"/>
      <c r="EJ13946"/>
      <c r="EK13946"/>
    </row>
    <row r="13947" spans="1:141" s="116" customFormat="1">
      <c r="A13947" s="136"/>
      <c r="CM13947" s="111"/>
      <c r="CQ13947" s="111"/>
      <c r="EF13947"/>
      <c r="EG13947"/>
      <c r="EH13947"/>
      <c r="EI13947"/>
      <c r="EJ13947"/>
      <c r="EK13947"/>
    </row>
    <row r="13948" spans="1:141" s="116" customFormat="1">
      <c r="A13948" s="136"/>
      <c r="CM13948" s="111"/>
      <c r="CQ13948" s="111"/>
      <c r="EF13948"/>
      <c r="EG13948"/>
      <c r="EH13948"/>
      <c r="EI13948"/>
      <c r="EJ13948"/>
      <c r="EK13948"/>
    </row>
    <row r="13949" spans="1:141" s="116" customFormat="1">
      <c r="A13949" s="136"/>
      <c r="CM13949" s="111"/>
      <c r="CQ13949" s="111"/>
      <c r="EF13949"/>
      <c r="EG13949"/>
      <c r="EH13949"/>
      <c r="EI13949"/>
      <c r="EJ13949"/>
      <c r="EK13949"/>
    </row>
    <row r="13950" spans="1:141" s="116" customFormat="1">
      <c r="A13950" s="136"/>
      <c r="CM13950" s="111"/>
      <c r="CQ13950" s="111"/>
      <c r="EF13950"/>
      <c r="EG13950"/>
      <c r="EH13950"/>
      <c r="EI13950"/>
      <c r="EJ13950"/>
      <c r="EK13950"/>
    </row>
    <row r="13951" spans="1:141" s="116" customFormat="1">
      <c r="A13951" s="136"/>
      <c r="CM13951" s="111"/>
      <c r="CQ13951" s="111"/>
      <c r="EF13951"/>
      <c r="EG13951"/>
      <c r="EH13951"/>
      <c r="EI13951"/>
      <c r="EJ13951"/>
      <c r="EK13951"/>
    </row>
    <row r="13952" spans="1:141" s="116" customFormat="1">
      <c r="A13952" s="136"/>
      <c r="CM13952" s="111"/>
      <c r="CQ13952" s="111"/>
      <c r="EF13952"/>
      <c r="EG13952"/>
      <c r="EH13952"/>
      <c r="EI13952"/>
      <c r="EJ13952"/>
      <c r="EK13952"/>
    </row>
    <row r="13953" spans="1:141" s="116" customFormat="1">
      <c r="A13953" s="136"/>
      <c r="CM13953" s="111"/>
      <c r="CQ13953" s="111"/>
      <c r="EF13953"/>
      <c r="EG13953"/>
      <c r="EH13953"/>
      <c r="EI13953"/>
      <c r="EJ13953"/>
      <c r="EK13953"/>
    </row>
    <row r="13954" spans="1:141" s="116" customFormat="1">
      <c r="A13954" s="136"/>
      <c r="CM13954" s="111"/>
      <c r="CQ13954" s="111"/>
      <c r="EF13954"/>
      <c r="EG13954"/>
      <c r="EH13954"/>
      <c r="EI13954"/>
      <c r="EJ13954"/>
      <c r="EK13954"/>
    </row>
    <row r="13955" spans="1:141" s="116" customFormat="1">
      <c r="A13955" s="136"/>
      <c r="CM13955" s="111"/>
      <c r="CQ13955" s="111"/>
      <c r="EF13955"/>
      <c r="EG13955"/>
      <c r="EH13955"/>
      <c r="EI13955"/>
      <c r="EJ13955"/>
      <c r="EK13955"/>
    </row>
    <row r="13956" spans="1:141" s="116" customFormat="1">
      <c r="A13956" s="136"/>
      <c r="CM13956" s="111"/>
      <c r="CQ13956" s="111"/>
      <c r="EF13956"/>
      <c r="EG13956"/>
      <c r="EH13956"/>
      <c r="EI13956"/>
      <c r="EJ13956"/>
      <c r="EK13956"/>
    </row>
    <row r="13957" spans="1:141" s="116" customFormat="1">
      <c r="A13957" s="136"/>
      <c r="CM13957" s="111"/>
      <c r="CQ13957" s="111"/>
      <c r="EF13957"/>
      <c r="EG13957"/>
      <c r="EH13957"/>
      <c r="EI13957"/>
      <c r="EJ13957"/>
      <c r="EK13957"/>
    </row>
    <row r="13958" spans="1:141" s="116" customFormat="1">
      <c r="A13958" s="136"/>
      <c r="CM13958" s="111"/>
      <c r="CQ13958" s="111"/>
      <c r="EF13958"/>
      <c r="EG13958"/>
      <c r="EH13958"/>
      <c r="EI13958"/>
      <c r="EJ13958"/>
      <c r="EK13958"/>
    </row>
    <row r="13959" spans="1:141" s="116" customFormat="1">
      <c r="A13959" s="136"/>
      <c r="CM13959" s="111"/>
      <c r="CQ13959" s="111"/>
      <c r="EF13959"/>
      <c r="EG13959"/>
      <c r="EH13959"/>
      <c r="EI13959"/>
      <c r="EJ13959"/>
      <c r="EK13959"/>
    </row>
    <row r="13960" spans="1:141" s="116" customFormat="1">
      <c r="A13960" s="136"/>
      <c r="CM13960" s="111"/>
      <c r="CQ13960" s="111"/>
      <c r="EF13960"/>
      <c r="EG13960"/>
      <c r="EH13960"/>
      <c r="EI13960"/>
      <c r="EJ13960"/>
      <c r="EK13960"/>
    </row>
    <row r="13961" spans="1:141" s="116" customFormat="1">
      <c r="A13961" s="136"/>
      <c r="CM13961" s="111"/>
      <c r="CQ13961" s="111"/>
      <c r="EF13961"/>
      <c r="EG13961"/>
      <c r="EH13961"/>
      <c r="EI13961"/>
      <c r="EJ13961"/>
      <c r="EK13961"/>
    </row>
    <row r="13962" spans="1:141" s="116" customFormat="1">
      <c r="A13962" s="136"/>
      <c r="CM13962" s="111"/>
      <c r="CQ13962" s="111"/>
      <c r="EF13962"/>
      <c r="EG13962"/>
      <c r="EH13962"/>
      <c r="EI13962"/>
      <c r="EJ13962"/>
      <c r="EK13962"/>
    </row>
    <row r="13963" spans="1:141" s="116" customFormat="1">
      <c r="A13963" s="136"/>
      <c r="CM13963" s="111"/>
      <c r="CQ13963" s="111"/>
      <c r="EF13963"/>
      <c r="EG13963"/>
      <c r="EH13963"/>
      <c r="EI13963"/>
      <c r="EJ13963"/>
      <c r="EK13963"/>
    </row>
    <row r="13964" spans="1:141" s="116" customFormat="1">
      <c r="A13964" s="136"/>
      <c r="CM13964" s="111"/>
      <c r="CQ13964" s="111"/>
      <c r="EF13964"/>
      <c r="EG13964"/>
      <c r="EH13964"/>
      <c r="EI13964"/>
      <c r="EJ13964"/>
      <c r="EK13964"/>
    </row>
    <row r="13965" spans="1:141" s="116" customFormat="1">
      <c r="A13965" s="136"/>
      <c r="CM13965" s="111"/>
      <c r="CQ13965" s="111"/>
      <c r="EF13965"/>
      <c r="EG13965"/>
      <c r="EH13965"/>
      <c r="EI13965"/>
      <c r="EJ13965"/>
      <c r="EK13965"/>
    </row>
    <row r="13966" spans="1:141" s="116" customFormat="1">
      <c r="A13966" s="136"/>
      <c r="CM13966" s="111"/>
      <c r="CQ13966" s="111"/>
      <c r="EF13966"/>
      <c r="EG13966"/>
      <c r="EH13966"/>
      <c r="EI13966"/>
      <c r="EJ13966"/>
      <c r="EK13966"/>
    </row>
    <row r="13967" spans="1:141" s="116" customFormat="1">
      <c r="A13967" s="136"/>
      <c r="CM13967" s="111"/>
      <c r="CQ13967" s="111"/>
      <c r="EF13967"/>
      <c r="EG13967"/>
      <c r="EH13967"/>
      <c r="EI13967"/>
      <c r="EJ13967"/>
      <c r="EK13967"/>
    </row>
    <row r="13968" spans="1:141" s="116" customFormat="1">
      <c r="A13968" s="136"/>
      <c r="CM13968" s="111"/>
      <c r="CQ13968" s="111"/>
      <c r="EF13968"/>
      <c r="EG13968"/>
      <c r="EH13968"/>
      <c r="EI13968"/>
      <c r="EJ13968"/>
      <c r="EK13968"/>
    </row>
    <row r="13969" spans="1:141" s="116" customFormat="1">
      <c r="A13969" s="136"/>
      <c r="CM13969" s="111"/>
      <c r="CQ13969" s="111"/>
      <c r="EF13969"/>
      <c r="EG13969"/>
      <c r="EH13969"/>
      <c r="EI13969"/>
      <c r="EJ13969"/>
      <c r="EK13969"/>
    </row>
    <row r="13970" spans="1:141" s="116" customFormat="1">
      <c r="A13970" s="136"/>
      <c r="CM13970" s="111"/>
      <c r="CQ13970" s="111"/>
      <c r="EF13970"/>
      <c r="EG13970"/>
      <c r="EH13970"/>
      <c r="EI13970"/>
      <c r="EJ13970"/>
      <c r="EK13970"/>
    </row>
    <row r="13971" spans="1:141" s="116" customFormat="1">
      <c r="A13971" s="136"/>
      <c r="CM13971" s="111"/>
      <c r="CQ13971" s="111"/>
      <c r="EF13971"/>
      <c r="EG13971"/>
      <c r="EH13971"/>
      <c r="EI13971"/>
      <c r="EJ13971"/>
      <c r="EK13971"/>
    </row>
    <row r="13972" spans="1:141" s="116" customFormat="1">
      <c r="A13972" s="136"/>
      <c r="CM13972" s="111"/>
      <c r="CQ13972" s="111"/>
      <c r="EF13972"/>
      <c r="EG13972"/>
      <c r="EH13972"/>
      <c r="EI13972"/>
      <c r="EJ13972"/>
      <c r="EK13972"/>
    </row>
    <row r="13973" spans="1:141" s="116" customFormat="1">
      <c r="A13973" s="136"/>
      <c r="CM13973" s="111"/>
      <c r="CQ13973" s="111"/>
      <c r="EF13973"/>
      <c r="EG13973"/>
      <c r="EH13973"/>
      <c r="EI13973"/>
      <c r="EJ13973"/>
      <c r="EK13973"/>
    </row>
    <row r="13974" spans="1:141" s="116" customFormat="1">
      <c r="A13974" s="136"/>
      <c r="CM13974" s="111"/>
      <c r="CQ13974" s="111"/>
      <c r="EF13974"/>
      <c r="EG13974"/>
      <c r="EH13974"/>
      <c r="EI13974"/>
      <c r="EJ13974"/>
      <c r="EK13974"/>
    </row>
    <row r="13975" spans="1:141" s="116" customFormat="1">
      <c r="A13975" s="136"/>
      <c r="CM13975" s="111"/>
      <c r="CQ13975" s="111"/>
      <c r="EF13975"/>
      <c r="EG13975"/>
      <c r="EH13975"/>
      <c r="EI13975"/>
      <c r="EJ13975"/>
      <c r="EK13975"/>
    </row>
    <row r="13976" spans="1:141" s="116" customFormat="1">
      <c r="A13976" s="136"/>
      <c r="CM13976" s="111"/>
      <c r="CQ13976" s="111"/>
      <c r="EF13976"/>
      <c r="EG13976"/>
      <c r="EH13976"/>
      <c r="EI13976"/>
      <c r="EJ13976"/>
      <c r="EK13976"/>
    </row>
    <row r="13977" spans="1:141" s="116" customFormat="1">
      <c r="A13977" s="136"/>
      <c r="CM13977" s="111"/>
      <c r="CQ13977" s="111"/>
      <c r="EF13977"/>
      <c r="EG13977"/>
      <c r="EH13977"/>
      <c r="EI13977"/>
      <c r="EJ13977"/>
      <c r="EK13977"/>
    </row>
    <row r="13978" spans="1:141" s="116" customFormat="1">
      <c r="A13978" s="136"/>
      <c r="CM13978" s="111"/>
      <c r="CQ13978" s="111"/>
      <c r="EF13978"/>
      <c r="EG13978"/>
      <c r="EH13978"/>
      <c r="EI13978"/>
      <c r="EJ13978"/>
      <c r="EK13978"/>
    </row>
    <row r="13979" spans="1:141" s="116" customFormat="1">
      <c r="A13979" s="136"/>
      <c r="CM13979" s="111"/>
      <c r="CQ13979" s="111"/>
      <c r="EF13979"/>
      <c r="EG13979"/>
      <c r="EH13979"/>
      <c r="EI13979"/>
      <c r="EJ13979"/>
      <c r="EK13979"/>
    </row>
    <row r="13980" spans="1:141" s="116" customFormat="1">
      <c r="A13980" s="136"/>
      <c r="CM13980" s="111"/>
      <c r="CQ13980" s="111"/>
      <c r="EF13980"/>
      <c r="EG13980"/>
      <c r="EH13980"/>
      <c r="EI13980"/>
      <c r="EJ13980"/>
      <c r="EK13980"/>
    </row>
    <row r="13981" spans="1:141" s="116" customFormat="1">
      <c r="A13981" s="136"/>
      <c r="CM13981" s="111"/>
      <c r="CQ13981" s="111"/>
      <c r="EF13981"/>
      <c r="EG13981"/>
      <c r="EH13981"/>
      <c r="EI13981"/>
      <c r="EJ13981"/>
      <c r="EK13981"/>
    </row>
    <row r="13982" spans="1:141" s="116" customFormat="1">
      <c r="A13982" s="136"/>
      <c r="CM13982" s="111"/>
      <c r="CQ13982" s="111"/>
      <c r="EF13982"/>
      <c r="EG13982"/>
      <c r="EH13982"/>
      <c r="EI13982"/>
      <c r="EJ13982"/>
      <c r="EK13982"/>
    </row>
    <row r="13983" spans="1:141" s="116" customFormat="1">
      <c r="A13983" s="136"/>
      <c r="CM13983" s="111"/>
      <c r="CQ13983" s="111"/>
      <c r="EF13983"/>
      <c r="EG13983"/>
      <c r="EH13983"/>
      <c r="EI13983"/>
      <c r="EJ13983"/>
      <c r="EK13983"/>
    </row>
    <row r="13984" spans="1:141" s="116" customFormat="1">
      <c r="A13984" s="136"/>
      <c r="CM13984" s="111"/>
      <c r="CQ13984" s="111"/>
      <c r="EF13984"/>
      <c r="EG13984"/>
      <c r="EH13984"/>
      <c r="EI13984"/>
      <c r="EJ13984"/>
      <c r="EK13984"/>
    </row>
    <row r="13985" spans="1:141" s="116" customFormat="1">
      <c r="A13985" s="136"/>
      <c r="CM13985" s="111"/>
      <c r="CQ13985" s="111"/>
      <c r="EF13985"/>
      <c r="EG13985"/>
      <c r="EH13985"/>
      <c r="EI13985"/>
      <c r="EJ13985"/>
      <c r="EK13985"/>
    </row>
    <row r="13986" spans="1:141" s="116" customFormat="1">
      <c r="A13986" s="136"/>
      <c r="CM13986" s="111"/>
      <c r="CQ13986" s="111"/>
      <c r="EF13986"/>
      <c r="EG13986"/>
      <c r="EH13986"/>
      <c r="EI13986"/>
      <c r="EJ13986"/>
      <c r="EK13986"/>
    </row>
    <row r="13987" spans="1:141" s="116" customFormat="1">
      <c r="A13987" s="136"/>
      <c r="CM13987" s="111"/>
      <c r="CQ13987" s="111"/>
      <c r="EF13987"/>
      <c r="EG13987"/>
      <c r="EH13987"/>
      <c r="EI13987"/>
      <c r="EJ13987"/>
      <c r="EK13987"/>
    </row>
    <row r="13988" spans="1:141" s="116" customFormat="1">
      <c r="A13988" s="136"/>
      <c r="CM13988" s="111"/>
      <c r="CQ13988" s="111"/>
      <c r="EF13988"/>
      <c r="EG13988"/>
      <c r="EH13988"/>
      <c r="EI13988"/>
      <c r="EJ13988"/>
      <c r="EK13988"/>
    </row>
    <row r="13989" spans="1:141" s="116" customFormat="1">
      <c r="A13989" s="136"/>
      <c r="CM13989" s="111"/>
      <c r="CQ13989" s="111"/>
      <c r="EF13989"/>
      <c r="EG13989"/>
      <c r="EH13989"/>
      <c r="EI13989"/>
      <c r="EJ13989"/>
      <c r="EK13989"/>
    </row>
    <row r="13990" spans="1:141" s="116" customFormat="1">
      <c r="A13990" s="136"/>
      <c r="CM13990" s="111"/>
      <c r="CQ13990" s="111"/>
      <c r="EF13990"/>
      <c r="EG13990"/>
      <c r="EH13990"/>
      <c r="EI13990"/>
      <c r="EJ13990"/>
      <c r="EK13990"/>
    </row>
    <row r="13991" spans="1:141" s="116" customFormat="1">
      <c r="A13991" s="136"/>
      <c r="CM13991" s="111"/>
      <c r="CQ13991" s="111"/>
      <c r="EF13991"/>
      <c r="EG13991"/>
      <c r="EH13991"/>
      <c r="EI13991"/>
      <c r="EJ13991"/>
      <c r="EK13991"/>
    </row>
    <row r="13992" spans="1:141" s="116" customFormat="1">
      <c r="A13992" s="136"/>
      <c r="CM13992" s="111"/>
      <c r="CQ13992" s="111"/>
      <c r="EF13992"/>
      <c r="EG13992"/>
      <c r="EH13992"/>
      <c r="EI13992"/>
      <c r="EJ13992"/>
      <c r="EK13992"/>
    </row>
    <row r="13993" spans="1:141" s="116" customFormat="1">
      <c r="A13993" s="136"/>
      <c r="CM13993" s="111"/>
      <c r="CQ13993" s="111"/>
      <c r="EF13993"/>
      <c r="EG13993"/>
      <c r="EH13993"/>
      <c r="EI13993"/>
      <c r="EJ13993"/>
      <c r="EK13993"/>
    </row>
    <row r="13994" spans="1:141" s="116" customFormat="1">
      <c r="A13994" s="136"/>
      <c r="CM13994" s="111"/>
      <c r="CQ13994" s="111"/>
      <c r="EF13994"/>
      <c r="EG13994"/>
      <c r="EH13994"/>
      <c r="EI13994"/>
      <c r="EJ13994"/>
      <c r="EK13994"/>
    </row>
    <row r="13995" spans="1:141" s="116" customFormat="1">
      <c r="A13995" s="136"/>
      <c r="CM13995" s="111"/>
      <c r="CQ13995" s="111"/>
      <c r="EF13995"/>
      <c r="EG13995"/>
      <c r="EH13995"/>
      <c r="EI13995"/>
      <c r="EJ13995"/>
      <c r="EK13995"/>
    </row>
    <row r="13996" spans="1:141" s="116" customFormat="1">
      <c r="A13996" s="136"/>
      <c r="CM13996" s="111"/>
      <c r="CQ13996" s="111"/>
      <c r="EF13996"/>
      <c r="EG13996"/>
      <c r="EH13996"/>
      <c r="EI13996"/>
      <c r="EJ13996"/>
      <c r="EK13996"/>
    </row>
    <row r="13997" spans="1:141" s="116" customFormat="1">
      <c r="A13997" s="136"/>
      <c r="CM13997" s="111"/>
      <c r="CQ13997" s="111"/>
      <c r="EF13997"/>
      <c r="EG13997"/>
      <c r="EH13997"/>
      <c r="EI13997"/>
      <c r="EJ13997"/>
      <c r="EK13997"/>
    </row>
    <row r="13998" spans="1:141" s="116" customFormat="1">
      <c r="A13998" s="136"/>
      <c r="CM13998" s="111"/>
      <c r="CQ13998" s="111"/>
      <c r="EF13998"/>
      <c r="EG13998"/>
      <c r="EH13998"/>
      <c r="EI13998"/>
      <c r="EJ13998"/>
      <c r="EK13998"/>
    </row>
    <row r="13999" spans="1:141" s="116" customFormat="1">
      <c r="A13999" s="136"/>
      <c r="CM13999" s="111"/>
      <c r="CQ13999" s="111"/>
      <c r="EF13999"/>
      <c r="EG13999"/>
      <c r="EH13999"/>
      <c r="EI13999"/>
      <c r="EJ13999"/>
      <c r="EK13999"/>
    </row>
    <row r="14000" spans="1:141" s="116" customFormat="1">
      <c r="A14000" s="136"/>
      <c r="CM14000" s="111"/>
      <c r="CQ14000" s="111"/>
      <c r="EF14000"/>
      <c r="EG14000"/>
      <c r="EH14000"/>
      <c r="EI14000"/>
      <c r="EJ14000"/>
      <c r="EK14000"/>
    </row>
    <row r="14001" spans="1:141" s="116" customFormat="1">
      <c r="A14001" s="136"/>
      <c r="CM14001" s="111"/>
      <c r="CQ14001" s="111"/>
      <c r="EF14001"/>
      <c r="EG14001"/>
      <c r="EH14001"/>
      <c r="EI14001"/>
      <c r="EJ14001"/>
      <c r="EK14001"/>
    </row>
    <row r="14002" spans="1:141" s="116" customFormat="1">
      <c r="A14002" s="136"/>
      <c r="CM14002" s="111"/>
      <c r="CQ14002" s="111"/>
      <c r="EF14002"/>
      <c r="EG14002"/>
      <c r="EH14002"/>
      <c r="EI14002"/>
      <c r="EJ14002"/>
      <c r="EK14002"/>
    </row>
    <row r="14003" spans="1:141" s="116" customFormat="1">
      <c r="A14003" s="136"/>
      <c r="CM14003" s="111"/>
      <c r="CQ14003" s="111"/>
      <c r="EF14003"/>
      <c r="EG14003"/>
      <c r="EH14003"/>
      <c r="EI14003"/>
      <c r="EJ14003"/>
      <c r="EK14003"/>
    </row>
    <row r="14004" spans="1:141" s="116" customFormat="1">
      <c r="A14004" s="136"/>
      <c r="CM14004" s="111"/>
      <c r="CQ14004" s="111"/>
      <c r="EF14004"/>
      <c r="EG14004"/>
      <c r="EH14004"/>
      <c r="EI14004"/>
      <c r="EJ14004"/>
      <c r="EK14004"/>
    </row>
    <row r="14005" spans="1:141" s="116" customFormat="1">
      <c r="A14005" s="136"/>
      <c r="CM14005" s="111"/>
      <c r="CQ14005" s="111"/>
      <c r="EF14005"/>
      <c r="EG14005"/>
      <c r="EH14005"/>
      <c r="EI14005"/>
      <c r="EJ14005"/>
      <c r="EK14005"/>
    </row>
    <row r="14006" spans="1:141" s="116" customFormat="1">
      <c r="A14006" s="136"/>
      <c r="CM14006" s="111"/>
      <c r="CQ14006" s="111"/>
      <c r="EF14006"/>
      <c r="EG14006"/>
      <c r="EH14006"/>
      <c r="EI14006"/>
      <c r="EJ14006"/>
      <c r="EK14006"/>
    </row>
    <row r="14007" spans="1:141" s="116" customFormat="1">
      <c r="A14007" s="136"/>
      <c r="CM14007" s="111"/>
      <c r="CQ14007" s="111"/>
      <c r="EF14007"/>
      <c r="EG14007"/>
      <c r="EH14007"/>
      <c r="EI14007"/>
      <c r="EJ14007"/>
      <c r="EK14007"/>
    </row>
    <row r="14008" spans="1:141" s="116" customFormat="1">
      <c r="A14008" s="136"/>
      <c r="CM14008" s="111"/>
      <c r="CQ14008" s="111"/>
      <c r="EF14008"/>
      <c r="EG14008"/>
      <c r="EH14008"/>
      <c r="EI14008"/>
      <c r="EJ14008"/>
      <c r="EK14008"/>
    </row>
    <row r="14009" spans="1:141" s="116" customFormat="1">
      <c r="A14009" s="136"/>
      <c r="CM14009" s="111"/>
      <c r="CQ14009" s="111"/>
      <c r="EF14009"/>
      <c r="EG14009"/>
      <c r="EH14009"/>
      <c r="EI14009"/>
      <c r="EJ14009"/>
      <c r="EK14009"/>
    </row>
    <row r="14010" spans="1:141" s="116" customFormat="1">
      <c r="A14010" s="136"/>
      <c r="CM14010" s="111"/>
      <c r="CQ14010" s="111"/>
      <c r="EF14010"/>
      <c r="EG14010"/>
      <c r="EH14010"/>
      <c r="EI14010"/>
      <c r="EJ14010"/>
      <c r="EK14010"/>
    </row>
    <row r="14011" spans="1:141" s="116" customFormat="1">
      <c r="A14011" s="136"/>
      <c r="CM14011" s="111"/>
      <c r="CQ14011" s="111"/>
      <c r="EF14011"/>
      <c r="EG14011"/>
      <c r="EH14011"/>
      <c r="EI14011"/>
      <c r="EJ14011"/>
      <c r="EK14011"/>
    </row>
    <row r="14012" spans="1:141" s="116" customFormat="1">
      <c r="A14012" s="136"/>
      <c r="CM14012" s="111"/>
      <c r="CQ14012" s="111"/>
      <c r="EF14012"/>
      <c r="EG14012"/>
      <c r="EH14012"/>
      <c r="EI14012"/>
      <c r="EJ14012"/>
      <c r="EK14012"/>
    </row>
    <row r="14013" spans="1:141" s="116" customFormat="1">
      <c r="A14013" s="136"/>
      <c r="CM14013" s="111"/>
      <c r="CQ14013" s="111"/>
      <c r="EF14013"/>
      <c r="EG14013"/>
      <c r="EH14013"/>
      <c r="EI14013"/>
      <c r="EJ14013"/>
      <c r="EK14013"/>
    </row>
    <row r="14014" spans="1:141" s="116" customFormat="1">
      <c r="A14014" s="136"/>
      <c r="CM14014" s="111"/>
      <c r="CQ14014" s="111"/>
      <c r="EF14014"/>
      <c r="EG14014"/>
      <c r="EH14014"/>
      <c r="EI14014"/>
      <c r="EJ14014"/>
      <c r="EK14014"/>
    </row>
    <row r="14015" spans="1:141" s="116" customFormat="1">
      <c r="A14015" s="136"/>
      <c r="CM14015" s="111"/>
      <c r="CQ14015" s="111"/>
      <c r="EF14015"/>
      <c r="EG14015"/>
      <c r="EH14015"/>
      <c r="EI14015"/>
      <c r="EJ14015"/>
      <c r="EK14015"/>
    </row>
    <row r="14016" spans="1:141" s="116" customFormat="1">
      <c r="A14016" s="136"/>
      <c r="CM14016" s="111"/>
      <c r="CQ14016" s="111"/>
      <c r="EF14016"/>
      <c r="EG14016"/>
      <c r="EH14016"/>
      <c r="EI14016"/>
      <c r="EJ14016"/>
      <c r="EK14016"/>
    </row>
    <row r="14017" spans="1:141" s="116" customFormat="1">
      <c r="A14017" s="136"/>
      <c r="CM14017" s="111"/>
      <c r="CQ14017" s="111"/>
      <c r="EF14017"/>
      <c r="EG14017"/>
      <c r="EH14017"/>
      <c r="EI14017"/>
      <c r="EJ14017"/>
      <c r="EK14017"/>
    </row>
    <row r="14018" spans="1:141" s="116" customFormat="1">
      <c r="A14018" s="136"/>
      <c r="CM14018" s="111"/>
      <c r="CQ14018" s="111"/>
      <c r="EF14018"/>
      <c r="EG14018"/>
      <c r="EH14018"/>
      <c r="EI14018"/>
      <c r="EJ14018"/>
      <c r="EK14018"/>
    </row>
    <row r="14019" spans="1:141" s="116" customFormat="1">
      <c r="A14019" s="136"/>
      <c r="CM14019" s="111"/>
      <c r="CQ14019" s="111"/>
      <c r="EF14019"/>
      <c r="EG14019"/>
      <c r="EH14019"/>
      <c r="EI14019"/>
      <c r="EJ14019"/>
      <c r="EK14019"/>
    </row>
    <row r="14020" spans="1:141" s="116" customFormat="1">
      <c r="A14020" s="136"/>
      <c r="CM14020" s="111"/>
      <c r="CQ14020" s="111"/>
      <c r="EF14020"/>
      <c r="EG14020"/>
      <c r="EH14020"/>
      <c r="EI14020"/>
      <c r="EJ14020"/>
      <c r="EK14020"/>
    </row>
    <row r="14021" spans="1:141" s="116" customFormat="1">
      <c r="A14021" s="136"/>
      <c r="CM14021" s="111"/>
      <c r="CQ14021" s="111"/>
      <c r="EF14021"/>
      <c r="EG14021"/>
      <c r="EH14021"/>
      <c r="EI14021"/>
      <c r="EJ14021"/>
      <c r="EK14021"/>
    </row>
    <row r="14022" spans="1:141" s="116" customFormat="1">
      <c r="A14022" s="136"/>
      <c r="CM14022" s="111"/>
      <c r="CQ14022" s="111"/>
      <c r="EF14022"/>
      <c r="EG14022"/>
      <c r="EH14022"/>
      <c r="EI14022"/>
      <c r="EJ14022"/>
      <c r="EK14022"/>
    </row>
    <row r="14023" spans="1:141" s="116" customFormat="1">
      <c r="A14023" s="136"/>
      <c r="CM14023" s="111"/>
      <c r="CQ14023" s="111"/>
      <c r="EF14023"/>
      <c r="EG14023"/>
      <c r="EH14023"/>
      <c r="EI14023"/>
      <c r="EJ14023"/>
      <c r="EK14023"/>
    </row>
    <row r="14024" spans="1:141" s="116" customFormat="1">
      <c r="A14024" s="136"/>
      <c r="CM14024" s="111"/>
      <c r="CQ14024" s="111"/>
      <c r="EF14024"/>
      <c r="EG14024"/>
      <c r="EH14024"/>
      <c r="EI14024"/>
      <c r="EJ14024"/>
      <c r="EK14024"/>
    </row>
    <row r="14025" spans="1:141" s="116" customFormat="1">
      <c r="A14025" s="136"/>
      <c r="CM14025" s="111"/>
      <c r="CQ14025" s="111"/>
      <c r="EF14025"/>
      <c r="EG14025"/>
      <c r="EH14025"/>
      <c r="EI14025"/>
      <c r="EJ14025"/>
      <c r="EK14025"/>
    </row>
    <row r="14026" spans="1:141" s="116" customFormat="1">
      <c r="A14026" s="136"/>
      <c r="CM14026" s="111"/>
      <c r="CQ14026" s="111"/>
      <c r="EF14026"/>
      <c r="EG14026"/>
      <c r="EH14026"/>
      <c r="EI14026"/>
      <c r="EJ14026"/>
      <c r="EK14026"/>
    </row>
    <row r="14027" spans="1:141" s="116" customFormat="1">
      <c r="A14027" s="136"/>
      <c r="CM14027" s="111"/>
      <c r="CQ14027" s="111"/>
      <c r="EF14027"/>
      <c r="EG14027"/>
      <c r="EH14027"/>
      <c r="EI14027"/>
      <c r="EJ14027"/>
      <c r="EK14027"/>
    </row>
    <row r="14028" spans="1:141" s="116" customFormat="1">
      <c r="A14028" s="136"/>
      <c r="CM14028" s="111"/>
      <c r="CQ14028" s="111"/>
      <c r="EF14028"/>
      <c r="EG14028"/>
      <c r="EH14028"/>
      <c r="EI14028"/>
      <c r="EJ14028"/>
      <c r="EK14028"/>
    </row>
    <row r="14029" spans="1:141" s="116" customFormat="1">
      <c r="A14029" s="136"/>
      <c r="CM14029" s="111"/>
      <c r="CQ14029" s="111"/>
      <c r="EF14029"/>
      <c r="EG14029"/>
      <c r="EH14029"/>
      <c r="EI14029"/>
      <c r="EJ14029"/>
      <c r="EK14029"/>
    </row>
    <row r="14030" spans="1:141" s="116" customFormat="1">
      <c r="A14030" s="136"/>
      <c r="CM14030" s="111"/>
      <c r="CQ14030" s="111"/>
      <c r="EF14030"/>
      <c r="EG14030"/>
      <c r="EH14030"/>
      <c r="EI14030"/>
      <c r="EJ14030"/>
      <c r="EK14030"/>
    </row>
    <row r="14031" spans="1:141" s="116" customFormat="1">
      <c r="A14031" s="136"/>
      <c r="CM14031" s="111"/>
      <c r="CQ14031" s="111"/>
      <c r="EF14031"/>
      <c r="EG14031"/>
      <c r="EH14031"/>
      <c r="EI14031"/>
      <c r="EJ14031"/>
      <c r="EK14031"/>
    </row>
    <row r="14032" spans="1:141" s="116" customFormat="1">
      <c r="A14032" s="136"/>
      <c r="CM14032" s="111"/>
      <c r="CQ14032" s="111"/>
      <c r="EF14032"/>
      <c r="EG14032"/>
      <c r="EH14032"/>
      <c r="EI14032"/>
      <c r="EJ14032"/>
      <c r="EK14032"/>
    </row>
    <row r="14033" spans="1:141" s="116" customFormat="1">
      <c r="A14033" s="136"/>
      <c r="CM14033" s="111"/>
      <c r="CQ14033" s="111"/>
      <c r="EF14033"/>
      <c r="EG14033"/>
      <c r="EH14033"/>
      <c r="EI14033"/>
      <c r="EJ14033"/>
      <c r="EK14033"/>
    </row>
    <row r="14034" spans="1:141" s="116" customFormat="1">
      <c r="A14034" s="136"/>
      <c r="CM14034" s="111"/>
      <c r="CQ14034" s="111"/>
      <c r="EF14034"/>
      <c r="EG14034"/>
      <c r="EH14034"/>
      <c r="EI14034"/>
      <c r="EJ14034"/>
      <c r="EK14034"/>
    </row>
    <row r="14035" spans="1:141" s="116" customFormat="1">
      <c r="A14035" s="136"/>
      <c r="CM14035" s="111"/>
      <c r="CQ14035" s="111"/>
      <c r="EF14035"/>
      <c r="EG14035"/>
      <c r="EH14035"/>
      <c r="EI14035"/>
      <c r="EJ14035"/>
      <c r="EK14035"/>
    </row>
    <row r="14036" spans="1:141" s="116" customFormat="1">
      <c r="A14036" s="136"/>
      <c r="CM14036" s="111"/>
      <c r="CQ14036" s="111"/>
      <c r="EF14036"/>
      <c r="EG14036"/>
      <c r="EH14036"/>
      <c r="EI14036"/>
      <c r="EJ14036"/>
      <c r="EK14036"/>
    </row>
    <row r="14037" spans="1:141" s="116" customFormat="1">
      <c r="A14037" s="136"/>
      <c r="CM14037" s="111"/>
      <c r="CQ14037" s="111"/>
      <c r="EF14037"/>
      <c r="EG14037"/>
      <c r="EH14037"/>
      <c r="EI14037"/>
      <c r="EJ14037"/>
      <c r="EK14037"/>
    </row>
    <row r="14038" spans="1:141" s="116" customFormat="1">
      <c r="A14038" s="136"/>
      <c r="CM14038" s="111"/>
      <c r="CQ14038" s="111"/>
      <c r="EF14038"/>
      <c r="EG14038"/>
      <c r="EH14038"/>
      <c r="EI14038"/>
      <c r="EJ14038"/>
      <c r="EK14038"/>
    </row>
    <row r="14039" spans="1:141" s="116" customFormat="1">
      <c r="A14039" s="136"/>
      <c r="CM14039" s="111"/>
      <c r="CQ14039" s="111"/>
      <c r="EF14039"/>
      <c r="EG14039"/>
      <c r="EH14039"/>
      <c r="EI14039"/>
      <c r="EJ14039"/>
      <c r="EK14039"/>
    </row>
    <row r="14040" spans="1:141" s="116" customFormat="1">
      <c r="A14040" s="136"/>
      <c r="CM14040" s="111"/>
      <c r="CQ14040" s="111"/>
      <c r="EF14040"/>
      <c r="EG14040"/>
      <c r="EH14040"/>
      <c r="EI14040"/>
      <c r="EJ14040"/>
      <c r="EK14040"/>
    </row>
    <row r="14041" spans="1:141" s="116" customFormat="1">
      <c r="A14041" s="136"/>
      <c r="CM14041" s="111"/>
      <c r="CQ14041" s="111"/>
      <c r="EF14041"/>
      <c r="EG14041"/>
      <c r="EH14041"/>
      <c r="EI14041"/>
      <c r="EJ14041"/>
      <c r="EK14041"/>
    </row>
    <row r="14042" spans="1:141" s="116" customFormat="1">
      <c r="A14042" s="136"/>
      <c r="CM14042" s="111"/>
      <c r="CQ14042" s="111"/>
      <c r="EF14042"/>
      <c r="EG14042"/>
      <c r="EH14042"/>
      <c r="EI14042"/>
      <c r="EJ14042"/>
      <c r="EK14042"/>
    </row>
    <row r="14043" spans="1:141" s="116" customFormat="1">
      <c r="A14043" s="136"/>
      <c r="CM14043" s="111"/>
      <c r="CQ14043" s="111"/>
      <c r="EF14043"/>
      <c r="EG14043"/>
      <c r="EH14043"/>
      <c r="EI14043"/>
      <c r="EJ14043"/>
      <c r="EK14043"/>
    </row>
    <row r="14044" spans="1:141" s="116" customFormat="1">
      <c r="A14044" s="136"/>
      <c r="CM14044" s="111"/>
      <c r="CQ14044" s="111"/>
      <c r="EF14044"/>
      <c r="EG14044"/>
      <c r="EH14044"/>
      <c r="EI14044"/>
      <c r="EJ14044"/>
      <c r="EK14044"/>
    </row>
    <row r="14045" spans="1:141" s="116" customFormat="1">
      <c r="A14045" s="136"/>
      <c r="CM14045" s="111"/>
      <c r="CQ14045" s="111"/>
      <c r="EF14045"/>
      <c r="EG14045"/>
      <c r="EH14045"/>
      <c r="EI14045"/>
      <c r="EJ14045"/>
      <c r="EK14045"/>
    </row>
    <row r="14046" spans="1:141" s="116" customFormat="1">
      <c r="A14046" s="136"/>
      <c r="CM14046" s="111"/>
      <c r="CQ14046" s="111"/>
      <c r="EF14046"/>
      <c r="EG14046"/>
      <c r="EH14046"/>
      <c r="EI14046"/>
      <c r="EJ14046"/>
      <c r="EK14046"/>
    </row>
    <row r="14047" spans="1:141" s="116" customFormat="1">
      <c r="A14047" s="136"/>
      <c r="CM14047" s="111"/>
      <c r="CQ14047" s="111"/>
      <c r="EF14047"/>
      <c r="EG14047"/>
      <c r="EH14047"/>
      <c r="EI14047"/>
      <c r="EJ14047"/>
      <c r="EK14047"/>
    </row>
    <row r="14048" spans="1:141" s="116" customFormat="1">
      <c r="A14048" s="136"/>
      <c r="CM14048" s="111"/>
      <c r="CQ14048" s="111"/>
      <c r="EF14048"/>
      <c r="EG14048"/>
      <c r="EH14048"/>
      <c r="EI14048"/>
      <c r="EJ14048"/>
      <c r="EK14048"/>
    </row>
    <row r="14049" spans="1:141" s="116" customFormat="1">
      <c r="A14049" s="136"/>
      <c r="CM14049" s="111"/>
      <c r="CQ14049" s="111"/>
      <c r="EF14049"/>
      <c r="EG14049"/>
      <c r="EH14049"/>
      <c r="EI14049"/>
      <c r="EJ14049"/>
      <c r="EK14049"/>
    </row>
    <row r="14050" spans="1:141" s="116" customFormat="1">
      <c r="A14050" s="136"/>
      <c r="CM14050" s="111"/>
      <c r="CQ14050" s="111"/>
      <c r="EF14050"/>
      <c r="EG14050"/>
      <c r="EH14050"/>
      <c r="EI14050"/>
      <c r="EJ14050"/>
      <c r="EK14050"/>
    </row>
    <row r="14051" spans="1:141" s="116" customFormat="1">
      <c r="A14051" s="136"/>
      <c r="CM14051" s="111"/>
      <c r="CQ14051" s="111"/>
      <c r="EF14051"/>
      <c r="EG14051"/>
      <c r="EH14051"/>
      <c r="EI14051"/>
      <c r="EJ14051"/>
      <c r="EK14051"/>
    </row>
    <row r="14052" spans="1:141" s="116" customFormat="1">
      <c r="A14052" s="136"/>
      <c r="CM14052" s="111"/>
      <c r="CQ14052" s="111"/>
      <c r="EF14052"/>
      <c r="EG14052"/>
      <c r="EH14052"/>
      <c r="EI14052"/>
      <c r="EJ14052"/>
      <c r="EK14052"/>
    </row>
    <row r="14053" spans="1:141" s="116" customFormat="1">
      <c r="A14053" s="136"/>
      <c r="CM14053" s="111"/>
      <c r="CQ14053" s="111"/>
      <c r="EF14053"/>
      <c r="EG14053"/>
      <c r="EH14053"/>
      <c r="EI14053"/>
      <c r="EJ14053"/>
      <c r="EK14053"/>
    </row>
    <row r="14054" spans="1:141" s="116" customFormat="1">
      <c r="A14054" s="136"/>
      <c r="CM14054" s="111"/>
      <c r="CQ14054" s="111"/>
      <c r="EF14054"/>
      <c r="EG14054"/>
      <c r="EH14054"/>
      <c r="EI14054"/>
      <c r="EJ14054"/>
      <c r="EK14054"/>
    </row>
    <row r="14055" spans="1:141" s="116" customFormat="1">
      <c r="A14055" s="136"/>
      <c r="CM14055" s="111"/>
      <c r="CQ14055" s="111"/>
      <c r="EF14055"/>
      <c r="EG14055"/>
      <c r="EH14055"/>
      <c r="EI14055"/>
      <c r="EJ14055"/>
      <c r="EK14055"/>
    </row>
    <row r="14056" spans="1:141" s="116" customFormat="1">
      <c r="A14056" s="136"/>
      <c r="CM14056" s="111"/>
      <c r="CQ14056" s="111"/>
      <c r="EF14056"/>
      <c r="EG14056"/>
      <c r="EH14056"/>
      <c r="EI14056"/>
      <c r="EJ14056"/>
      <c r="EK14056"/>
    </row>
    <row r="14057" spans="1:141" s="116" customFormat="1">
      <c r="A14057" s="136"/>
      <c r="CM14057" s="111"/>
      <c r="CQ14057" s="111"/>
      <c r="EF14057"/>
      <c r="EG14057"/>
      <c r="EH14057"/>
      <c r="EI14057"/>
      <c r="EJ14057"/>
      <c r="EK14057"/>
    </row>
    <row r="14058" spans="1:141" s="116" customFormat="1">
      <c r="A14058" s="136"/>
      <c r="CM14058" s="111"/>
      <c r="CQ14058" s="111"/>
      <c r="EF14058"/>
      <c r="EG14058"/>
      <c r="EH14058"/>
      <c r="EI14058"/>
      <c r="EJ14058"/>
      <c r="EK14058"/>
    </row>
    <row r="14059" spans="1:141" s="116" customFormat="1">
      <c r="A14059" s="136"/>
      <c r="CM14059" s="111"/>
      <c r="CQ14059" s="111"/>
      <c r="EF14059"/>
      <c r="EG14059"/>
      <c r="EH14059"/>
      <c r="EI14059"/>
      <c r="EJ14059"/>
      <c r="EK14059"/>
    </row>
    <row r="14060" spans="1:141" s="116" customFormat="1">
      <c r="A14060" s="136"/>
      <c r="CM14060" s="111"/>
      <c r="CQ14060" s="111"/>
      <c r="EF14060"/>
      <c r="EG14060"/>
      <c r="EH14060"/>
      <c r="EI14060"/>
      <c r="EJ14060"/>
      <c r="EK14060"/>
    </row>
    <row r="14061" spans="1:141" s="116" customFormat="1">
      <c r="A14061" s="136"/>
      <c r="CM14061" s="111"/>
      <c r="CQ14061" s="111"/>
      <c r="EF14061"/>
      <c r="EG14061"/>
      <c r="EH14061"/>
      <c r="EI14061"/>
      <c r="EJ14061"/>
      <c r="EK14061"/>
    </row>
    <row r="14062" spans="1:141" s="116" customFormat="1">
      <c r="A14062" s="136"/>
      <c r="CM14062" s="111"/>
      <c r="CQ14062" s="111"/>
      <c r="EF14062"/>
      <c r="EG14062"/>
      <c r="EH14062"/>
      <c r="EI14062"/>
      <c r="EJ14062"/>
      <c r="EK14062"/>
    </row>
    <row r="14063" spans="1:141" s="116" customFormat="1">
      <c r="A14063" s="136"/>
      <c r="CM14063" s="111"/>
      <c r="CQ14063" s="111"/>
      <c r="EF14063"/>
      <c r="EG14063"/>
      <c r="EH14063"/>
      <c r="EI14063"/>
      <c r="EJ14063"/>
      <c r="EK14063"/>
    </row>
    <row r="14064" spans="1:141" s="116" customFormat="1">
      <c r="A14064" s="136"/>
      <c r="CM14064" s="111"/>
      <c r="CQ14064" s="111"/>
      <c r="EF14064"/>
      <c r="EG14064"/>
      <c r="EH14064"/>
      <c r="EI14064"/>
      <c r="EJ14064"/>
      <c r="EK14064"/>
    </row>
    <row r="14065" spans="1:141" s="116" customFormat="1">
      <c r="A14065" s="136"/>
      <c r="CM14065" s="111"/>
      <c r="CQ14065" s="111"/>
      <c r="EF14065"/>
      <c r="EG14065"/>
      <c r="EH14065"/>
      <c r="EI14065"/>
      <c r="EJ14065"/>
      <c r="EK14065"/>
    </row>
    <row r="14066" spans="1:141" s="116" customFormat="1">
      <c r="A14066" s="136"/>
      <c r="CM14066" s="111"/>
      <c r="CQ14066" s="111"/>
      <c r="EF14066"/>
      <c r="EG14066"/>
      <c r="EH14066"/>
      <c r="EI14066"/>
      <c r="EJ14066"/>
      <c r="EK14066"/>
    </row>
    <row r="14067" spans="1:141" s="116" customFormat="1">
      <c r="A14067" s="136"/>
      <c r="CM14067" s="111"/>
      <c r="CQ14067" s="111"/>
      <c r="EF14067"/>
      <c r="EG14067"/>
      <c r="EH14067"/>
      <c r="EI14067"/>
      <c r="EJ14067"/>
      <c r="EK14067"/>
    </row>
    <row r="14068" spans="1:141" s="116" customFormat="1">
      <c r="A14068" s="136"/>
      <c r="CM14068" s="111"/>
      <c r="CQ14068" s="111"/>
      <c r="EF14068"/>
      <c r="EG14068"/>
      <c r="EH14068"/>
      <c r="EI14068"/>
      <c r="EJ14068"/>
      <c r="EK14068"/>
    </row>
    <row r="14069" spans="1:141" s="116" customFormat="1">
      <c r="A14069" s="136"/>
      <c r="CM14069" s="111"/>
      <c r="CQ14069" s="111"/>
      <c r="EF14069"/>
      <c r="EG14069"/>
      <c r="EH14069"/>
      <c r="EI14069"/>
      <c r="EJ14069"/>
      <c r="EK14069"/>
    </row>
    <row r="14070" spans="1:141" s="116" customFormat="1">
      <c r="A14070" s="136"/>
      <c r="CM14070" s="111"/>
      <c r="CQ14070" s="111"/>
      <c r="EF14070"/>
      <c r="EG14070"/>
      <c r="EH14070"/>
      <c r="EI14070"/>
      <c r="EJ14070"/>
      <c r="EK14070"/>
    </row>
    <row r="14071" spans="1:141" s="116" customFormat="1">
      <c r="A14071" s="136"/>
      <c r="CM14071" s="111"/>
      <c r="CQ14071" s="111"/>
      <c r="EF14071"/>
      <c r="EG14071"/>
      <c r="EH14071"/>
      <c r="EI14071"/>
      <c r="EJ14071"/>
      <c r="EK14071"/>
    </row>
    <row r="14072" spans="1:141" s="116" customFormat="1">
      <c r="A14072" s="136"/>
      <c r="CM14072" s="111"/>
      <c r="CQ14072" s="111"/>
      <c r="EF14072"/>
      <c r="EG14072"/>
      <c r="EH14072"/>
      <c r="EI14072"/>
      <c r="EJ14072"/>
      <c r="EK14072"/>
    </row>
    <row r="14073" spans="1:141" s="116" customFormat="1">
      <c r="A14073" s="136"/>
      <c r="CM14073" s="111"/>
      <c r="CQ14073" s="111"/>
      <c r="EF14073"/>
      <c r="EG14073"/>
      <c r="EH14073"/>
      <c r="EI14073"/>
      <c r="EJ14073"/>
      <c r="EK14073"/>
    </row>
    <row r="14074" spans="1:141" s="116" customFormat="1">
      <c r="A14074" s="136"/>
      <c r="CM14074" s="111"/>
      <c r="CQ14074" s="111"/>
      <c r="EF14074"/>
      <c r="EG14074"/>
      <c r="EH14074"/>
      <c r="EI14074"/>
      <c r="EJ14074"/>
      <c r="EK14074"/>
    </row>
    <row r="14075" spans="1:141" s="116" customFormat="1">
      <c r="A14075" s="136"/>
      <c r="CM14075" s="111"/>
      <c r="CQ14075" s="111"/>
      <c r="EF14075"/>
      <c r="EG14075"/>
      <c r="EH14075"/>
      <c r="EI14075"/>
      <c r="EJ14075"/>
      <c r="EK14075"/>
    </row>
    <row r="14076" spans="1:141" s="116" customFormat="1">
      <c r="A14076" s="136"/>
      <c r="CM14076" s="111"/>
      <c r="CQ14076" s="111"/>
      <c r="EF14076"/>
      <c r="EG14076"/>
      <c r="EH14076"/>
      <c r="EI14076"/>
      <c r="EJ14076"/>
      <c r="EK14076"/>
    </row>
    <row r="14077" spans="1:141" s="116" customFormat="1">
      <c r="A14077" s="136"/>
      <c r="CM14077" s="111"/>
      <c r="CQ14077" s="111"/>
      <c r="EF14077"/>
      <c r="EG14077"/>
      <c r="EH14077"/>
      <c r="EI14077"/>
      <c r="EJ14077"/>
      <c r="EK14077"/>
    </row>
    <row r="14078" spans="1:141" s="116" customFormat="1">
      <c r="A14078" s="136"/>
      <c r="CM14078" s="111"/>
      <c r="CQ14078" s="111"/>
      <c r="EF14078"/>
      <c r="EG14078"/>
      <c r="EH14078"/>
      <c r="EI14078"/>
      <c r="EJ14078"/>
      <c r="EK14078"/>
    </row>
    <row r="14079" spans="1:141" s="116" customFormat="1">
      <c r="A14079" s="136"/>
      <c r="CM14079" s="111"/>
      <c r="CQ14079" s="111"/>
      <c r="EF14079"/>
      <c r="EG14079"/>
      <c r="EH14079"/>
      <c r="EI14079"/>
      <c r="EJ14079"/>
      <c r="EK14079"/>
    </row>
    <row r="14080" spans="1:141" s="116" customFormat="1">
      <c r="A14080" s="136"/>
      <c r="CM14080" s="111"/>
      <c r="CQ14080" s="111"/>
      <c r="EF14080"/>
      <c r="EG14080"/>
      <c r="EH14080"/>
      <c r="EI14080"/>
      <c r="EJ14080"/>
      <c r="EK14080"/>
    </row>
    <row r="14081" spans="1:141" s="116" customFormat="1">
      <c r="A14081" s="136"/>
      <c r="CM14081" s="111"/>
      <c r="CQ14081" s="111"/>
      <c r="EF14081"/>
      <c r="EG14081"/>
      <c r="EH14081"/>
      <c r="EI14081"/>
      <c r="EJ14081"/>
      <c r="EK14081"/>
    </row>
    <row r="14082" spans="1:141" s="116" customFormat="1">
      <c r="A14082" s="136"/>
      <c r="CM14082" s="111"/>
      <c r="CQ14082" s="111"/>
      <c r="EF14082"/>
      <c r="EG14082"/>
      <c r="EH14082"/>
      <c r="EI14082"/>
      <c r="EJ14082"/>
      <c r="EK14082"/>
    </row>
    <row r="14083" spans="1:141" s="116" customFormat="1">
      <c r="A14083" s="136"/>
      <c r="CM14083" s="111"/>
      <c r="CQ14083" s="111"/>
      <c r="EF14083"/>
      <c r="EG14083"/>
      <c r="EH14083"/>
      <c r="EI14083"/>
      <c r="EJ14083"/>
      <c r="EK14083"/>
    </row>
    <row r="14084" spans="1:141" s="116" customFormat="1">
      <c r="A14084" s="136"/>
      <c r="CM14084" s="111"/>
      <c r="CQ14084" s="111"/>
      <c r="EF14084"/>
      <c r="EG14084"/>
      <c r="EH14084"/>
      <c r="EI14084"/>
      <c r="EJ14084"/>
      <c r="EK14084"/>
    </row>
    <row r="14085" spans="1:141" s="116" customFormat="1">
      <c r="A14085" s="136"/>
      <c r="CM14085" s="111"/>
      <c r="CQ14085" s="111"/>
      <c r="EF14085"/>
      <c r="EG14085"/>
      <c r="EH14085"/>
      <c r="EI14085"/>
      <c r="EJ14085"/>
      <c r="EK14085"/>
    </row>
    <row r="14086" spans="1:141" s="116" customFormat="1">
      <c r="A14086" s="136"/>
      <c r="CM14086" s="111"/>
      <c r="CQ14086" s="111"/>
      <c r="EF14086"/>
      <c r="EG14086"/>
      <c r="EH14086"/>
      <c r="EI14086"/>
      <c r="EJ14086"/>
      <c r="EK14086"/>
    </row>
    <row r="14087" spans="1:141" s="116" customFormat="1">
      <c r="A14087" s="136"/>
      <c r="CM14087" s="111"/>
      <c r="CQ14087" s="111"/>
      <c r="EF14087"/>
      <c r="EG14087"/>
      <c r="EH14087"/>
      <c r="EI14087"/>
      <c r="EJ14087"/>
      <c r="EK14087"/>
    </row>
    <row r="14088" spans="1:141" s="116" customFormat="1">
      <c r="A14088" s="136"/>
      <c r="CM14088" s="111"/>
      <c r="CQ14088" s="111"/>
      <c r="EF14088"/>
      <c r="EG14088"/>
      <c r="EH14088"/>
      <c r="EI14088"/>
      <c r="EJ14088"/>
      <c r="EK14088"/>
    </row>
    <row r="14089" spans="1:141" s="116" customFormat="1">
      <c r="A14089" s="136"/>
      <c r="CM14089" s="111"/>
      <c r="CQ14089" s="111"/>
      <c r="EF14089"/>
      <c r="EG14089"/>
      <c r="EH14089"/>
      <c r="EI14089"/>
      <c r="EJ14089"/>
      <c r="EK14089"/>
    </row>
    <row r="14090" spans="1:141" s="116" customFormat="1">
      <c r="A14090" s="136"/>
      <c r="CM14090" s="111"/>
      <c r="CQ14090" s="111"/>
      <c r="EF14090"/>
      <c r="EG14090"/>
      <c r="EH14090"/>
      <c r="EI14090"/>
      <c r="EJ14090"/>
      <c r="EK14090"/>
    </row>
    <row r="14091" spans="1:141" s="116" customFormat="1">
      <c r="A14091" s="136"/>
      <c r="CM14091" s="111"/>
      <c r="CQ14091" s="111"/>
      <c r="EF14091"/>
      <c r="EG14091"/>
      <c r="EH14091"/>
      <c r="EI14091"/>
      <c r="EJ14091"/>
      <c r="EK14091"/>
    </row>
    <row r="14092" spans="1:141" s="116" customFormat="1">
      <c r="A14092" s="136"/>
      <c r="CM14092" s="111"/>
      <c r="CQ14092" s="111"/>
      <c r="EF14092"/>
      <c r="EG14092"/>
      <c r="EH14092"/>
      <c r="EI14092"/>
      <c r="EJ14092"/>
      <c r="EK14092"/>
    </row>
    <row r="14093" spans="1:141" s="116" customFormat="1">
      <c r="A14093" s="136"/>
      <c r="CM14093" s="111"/>
      <c r="CQ14093" s="111"/>
      <c r="EF14093"/>
      <c r="EG14093"/>
      <c r="EH14093"/>
      <c r="EI14093"/>
      <c r="EJ14093"/>
      <c r="EK14093"/>
    </row>
    <row r="14094" spans="1:141" s="116" customFormat="1">
      <c r="A14094" s="136"/>
      <c r="CM14094" s="111"/>
      <c r="CQ14094" s="111"/>
      <c r="EF14094"/>
      <c r="EG14094"/>
      <c r="EH14094"/>
      <c r="EI14094"/>
      <c r="EJ14094"/>
      <c r="EK14094"/>
    </row>
    <row r="14095" spans="1:141" s="116" customFormat="1">
      <c r="A14095" s="136"/>
      <c r="CM14095" s="111"/>
      <c r="CQ14095" s="111"/>
      <c r="EF14095"/>
      <c r="EG14095"/>
      <c r="EH14095"/>
      <c r="EI14095"/>
      <c r="EJ14095"/>
      <c r="EK14095"/>
    </row>
    <row r="14096" spans="1:141" s="116" customFormat="1">
      <c r="A14096" s="136"/>
      <c r="CM14096" s="111"/>
      <c r="CQ14096" s="111"/>
      <c r="EF14096"/>
      <c r="EG14096"/>
      <c r="EH14096"/>
      <c r="EI14096"/>
      <c r="EJ14096"/>
      <c r="EK14096"/>
    </row>
    <row r="14097" spans="1:141" s="116" customFormat="1">
      <c r="A14097" s="136"/>
      <c r="CM14097" s="111"/>
      <c r="CQ14097" s="111"/>
      <c r="EF14097"/>
      <c r="EG14097"/>
      <c r="EH14097"/>
      <c r="EI14097"/>
      <c r="EJ14097"/>
      <c r="EK14097"/>
    </row>
    <row r="14098" spans="1:141" s="116" customFormat="1">
      <c r="A14098" s="136"/>
      <c r="CM14098" s="111"/>
      <c r="CQ14098" s="111"/>
      <c r="EF14098"/>
      <c r="EG14098"/>
      <c r="EH14098"/>
      <c r="EI14098"/>
      <c r="EJ14098"/>
      <c r="EK14098"/>
    </row>
    <row r="14099" spans="1:141" s="116" customFormat="1">
      <c r="A14099" s="136"/>
      <c r="CM14099" s="111"/>
      <c r="CQ14099" s="111"/>
      <c r="EF14099"/>
      <c r="EG14099"/>
      <c r="EH14099"/>
      <c r="EI14099"/>
      <c r="EJ14099"/>
      <c r="EK14099"/>
    </row>
    <row r="14100" spans="1:141" s="116" customFormat="1">
      <c r="A14100" s="136"/>
      <c r="CM14100" s="111"/>
      <c r="CQ14100" s="111"/>
      <c r="EF14100"/>
      <c r="EG14100"/>
      <c r="EH14100"/>
      <c r="EI14100"/>
      <c r="EJ14100"/>
      <c r="EK14100"/>
    </row>
    <row r="14101" spans="1:141" s="116" customFormat="1">
      <c r="A14101" s="136"/>
      <c r="CM14101" s="111"/>
      <c r="CQ14101" s="111"/>
      <c r="EF14101"/>
      <c r="EG14101"/>
      <c r="EH14101"/>
      <c r="EI14101"/>
      <c r="EJ14101"/>
      <c r="EK14101"/>
    </row>
    <row r="14102" spans="1:141" s="116" customFormat="1">
      <c r="A14102" s="136"/>
      <c r="CM14102" s="111"/>
      <c r="CQ14102" s="111"/>
      <c r="EF14102"/>
      <c r="EG14102"/>
      <c r="EH14102"/>
      <c r="EI14102"/>
      <c r="EJ14102"/>
      <c r="EK14102"/>
    </row>
    <row r="14103" spans="1:141" s="116" customFormat="1">
      <c r="A14103" s="136"/>
      <c r="CM14103" s="111"/>
      <c r="CQ14103" s="111"/>
      <c r="EF14103"/>
      <c r="EG14103"/>
      <c r="EH14103"/>
      <c r="EI14103"/>
      <c r="EJ14103"/>
      <c r="EK14103"/>
    </row>
    <row r="14104" spans="1:141" s="116" customFormat="1">
      <c r="A14104" s="136"/>
      <c r="CM14104" s="111"/>
      <c r="CQ14104" s="111"/>
      <c r="EF14104"/>
      <c r="EG14104"/>
      <c r="EH14104"/>
      <c r="EI14104"/>
      <c r="EJ14104"/>
      <c r="EK14104"/>
    </row>
    <row r="14105" spans="1:141" s="116" customFormat="1">
      <c r="A14105" s="136"/>
      <c r="CM14105" s="111"/>
      <c r="CQ14105" s="111"/>
      <c r="EF14105"/>
      <c r="EG14105"/>
      <c r="EH14105"/>
      <c r="EI14105"/>
      <c r="EJ14105"/>
      <c r="EK14105"/>
    </row>
    <row r="14106" spans="1:141" s="116" customFormat="1">
      <c r="A14106" s="136"/>
      <c r="CM14106" s="111"/>
      <c r="CQ14106" s="111"/>
      <c r="EF14106"/>
      <c r="EG14106"/>
      <c r="EH14106"/>
      <c r="EI14106"/>
      <c r="EJ14106"/>
      <c r="EK14106"/>
    </row>
    <row r="14107" spans="1:141" s="116" customFormat="1">
      <c r="A14107" s="136"/>
      <c r="CM14107" s="111"/>
      <c r="CQ14107" s="111"/>
      <c r="EF14107"/>
      <c r="EG14107"/>
      <c r="EH14107"/>
      <c r="EI14107"/>
      <c r="EJ14107"/>
      <c r="EK14107"/>
    </row>
    <row r="14108" spans="1:141" s="116" customFormat="1">
      <c r="A14108" s="136"/>
      <c r="CM14108" s="111"/>
      <c r="CQ14108" s="111"/>
      <c r="EF14108"/>
      <c r="EG14108"/>
      <c r="EH14108"/>
      <c r="EI14108"/>
      <c r="EJ14108"/>
      <c r="EK14108"/>
    </row>
    <row r="14109" spans="1:141" s="116" customFormat="1">
      <c r="A14109" s="136"/>
      <c r="CM14109" s="111"/>
      <c r="CQ14109" s="111"/>
      <c r="EF14109"/>
      <c r="EG14109"/>
      <c r="EH14109"/>
      <c r="EI14109"/>
      <c r="EJ14109"/>
      <c r="EK14109"/>
    </row>
    <row r="14110" spans="1:141" s="116" customFormat="1">
      <c r="A14110" s="136"/>
      <c r="CM14110" s="111"/>
      <c r="CQ14110" s="111"/>
      <c r="EF14110"/>
      <c r="EG14110"/>
      <c r="EH14110"/>
      <c r="EI14110"/>
      <c r="EJ14110"/>
      <c r="EK14110"/>
    </row>
    <row r="14111" spans="1:141" s="116" customFormat="1">
      <c r="A14111" s="136"/>
      <c r="CM14111" s="111"/>
      <c r="CQ14111" s="111"/>
      <c r="EF14111"/>
      <c r="EG14111"/>
      <c r="EH14111"/>
      <c r="EI14111"/>
      <c r="EJ14111"/>
      <c r="EK14111"/>
    </row>
    <row r="14112" spans="1:141" s="116" customFormat="1">
      <c r="A14112" s="136"/>
      <c r="CM14112" s="111"/>
      <c r="CQ14112" s="111"/>
      <c r="EF14112"/>
      <c r="EG14112"/>
      <c r="EH14112"/>
      <c r="EI14112"/>
      <c r="EJ14112"/>
      <c r="EK14112"/>
    </row>
    <row r="14113" spans="1:141" s="116" customFormat="1">
      <c r="A14113" s="136"/>
      <c r="CM14113" s="111"/>
      <c r="CQ14113" s="111"/>
      <c r="EF14113"/>
      <c r="EG14113"/>
      <c r="EH14113"/>
      <c r="EI14113"/>
      <c r="EJ14113"/>
      <c r="EK14113"/>
    </row>
    <row r="14114" spans="1:141" s="116" customFormat="1">
      <c r="A14114" s="136"/>
      <c r="CM14114" s="111"/>
      <c r="CQ14114" s="111"/>
      <c r="EF14114"/>
      <c r="EG14114"/>
      <c r="EH14114"/>
      <c r="EI14114"/>
      <c r="EJ14114"/>
      <c r="EK14114"/>
    </row>
    <row r="14115" spans="1:141" s="116" customFormat="1">
      <c r="A14115" s="136"/>
      <c r="CM14115" s="111"/>
      <c r="CQ14115" s="111"/>
      <c r="EF14115"/>
      <c r="EG14115"/>
      <c r="EH14115"/>
      <c r="EI14115"/>
      <c r="EJ14115"/>
      <c r="EK14115"/>
    </row>
    <row r="14116" spans="1:141" s="116" customFormat="1">
      <c r="A14116" s="136"/>
      <c r="CM14116" s="111"/>
      <c r="CQ14116" s="111"/>
      <c r="EF14116"/>
      <c r="EG14116"/>
      <c r="EH14116"/>
      <c r="EI14116"/>
      <c r="EJ14116"/>
      <c r="EK14116"/>
    </row>
    <row r="14117" spans="1:141" s="116" customFormat="1">
      <c r="A14117" s="136"/>
      <c r="CM14117" s="111"/>
      <c r="CQ14117" s="111"/>
      <c r="EF14117"/>
      <c r="EG14117"/>
      <c r="EH14117"/>
      <c r="EI14117"/>
      <c r="EJ14117"/>
      <c r="EK14117"/>
    </row>
    <row r="14118" spans="1:141" s="116" customFormat="1">
      <c r="A14118" s="136"/>
      <c r="CM14118" s="111"/>
      <c r="CQ14118" s="111"/>
      <c r="EF14118"/>
      <c r="EG14118"/>
      <c r="EH14118"/>
      <c r="EI14118"/>
      <c r="EJ14118"/>
      <c r="EK14118"/>
    </row>
    <row r="14119" spans="1:141" s="116" customFormat="1">
      <c r="A14119" s="136"/>
      <c r="CM14119" s="111"/>
      <c r="CQ14119" s="111"/>
      <c r="EF14119"/>
      <c r="EG14119"/>
      <c r="EH14119"/>
      <c r="EI14119"/>
      <c r="EJ14119"/>
      <c r="EK14119"/>
    </row>
    <row r="14120" spans="1:141" s="116" customFormat="1">
      <c r="A14120" s="136"/>
      <c r="CM14120" s="111"/>
      <c r="CQ14120" s="111"/>
      <c r="EF14120"/>
      <c r="EG14120"/>
      <c r="EH14120"/>
      <c r="EI14120"/>
      <c r="EJ14120"/>
      <c r="EK14120"/>
    </row>
    <row r="14121" spans="1:141" s="116" customFormat="1">
      <c r="A14121" s="136"/>
      <c r="CM14121" s="111"/>
      <c r="CQ14121" s="111"/>
      <c r="EF14121"/>
      <c r="EG14121"/>
      <c r="EH14121"/>
      <c r="EI14121"/>
      <c r="EJ14121"/>
      <c r="EK14121"/>
    </row>
    <row r="14122" spans="1:141" s="116" customFormat="1">
      <c r="A14122" s="136"/>
      <c r="CM14122" s="111"/>
      <c r="CQ14122" s="111"/>
      <c r="EF14122"/>
      <c r="EG14122"/>
      <c r="EH14122"/>
      <c r="EI14122"/>
      <c r="EJ14122"/>
      <c r="EK14122"/>
    </row>
    <row r="14123" spans="1:141" s="116" customFormat="1">
      <c r="A14123" s="136"/>
      <c r="CM14123" s="111"/>
      <c r="CQ14123" s="111"/>
      <c r="EF14123"/>
      <c r="EG14123"/>
      <c r="EH14123"/>
      <c r="EI14123"/>
      <c r="EJ14123"/>
      <c r="EK14123"/>
    </row>
    <row r="14124" spans="1:141" s="116" customFormat="1">
      <c r="A14124" s="136"/>
      <c r="CM14124" s="111"/>
      <c r="CQ14124" s="111"/>
      <c r="EF14124"/>
      <c r="EG14124"/>
      <c r="EH14124"/>
      <c r="EI14124"/>
      <c r="EJ14124"/>
      <c r="EK14124"/>
    </row>
    <row r="14125" spans="1:141" s="116" customFormat="1">
      <c r="A14125" s="136"/>
      <c r="CM14125" s="111"/>
      <c r="CQ14125" s="111"/>
      <c r="EF14125"/>
      <c r="EG14125"/>
      <c r="EH14125"/>
      <c r="EI14125"/>
      <c r="EJ14125"/>
      <c r="EK14125"/>
    </row>
    <row r="14126" spans="1:141" s="116" customFormat="1">
      <c r="A14126" s="136"/>
      <c r="CM14126" s="111"/>
      <c r="CQ14126" s="111"/>
      <c r="EF14126"/>
      <c r="EG14126"/>
      <c r="EH14126"/>
      <c r="EI14126"/>
      <c r="EJ14126"/>
      <c r="EK14126"/>
    </row>
    <row r="14127" spans="1:141" s="116" customFormat="1">
      <c r="A14127" s="136"/>
      <c r="CM14127" s="111"/>
      <c r="CQ14127" s="111"/>
      <c r="EF14127"/>
      <c r="EG14127"/>
      <c r="EH14127"/>
      <c r="EI14127"/>
      <c r="EJ14127"/>
      <c r="EK14127"/>
    </row>
    <row r="14128" spans="1:141" s="116" customFormat="1">
      <c r="A14128" s="136"/>
      <c r="CM14128" s="111"/>
      <c r="CQ14128" s="111"/>
      <c r="EF14128"/>
      <c r="EG14128"/>
      <c r="EH14128"/>
      <c r="EI14128"/>
      <c r="EJ14128"/>
      <c r="EK14128"/>
    </row>
    <row r="14129" spans="1:141" s="116" customFormat="1">
      <c r="A14129" s="136"/>
      <c r="CM14129" s="111"/>
      <c r="CQ14129" s="111"/>
      <c r="EF14129"/>
      <c r="EG14129"/>
      <c r="EH14129"/>
      <c r="EI14129"/>
      <c r="EJ14129"/>
      <c r="EK14129"/>
    </row>
    <row r="14130" spans="1:141" s="116" customFormat="1">
      <c r="A14130" s="136"/>
      <c r="CM14130" s="111"/>
      <c r="CQ14130" s="111"/>
      <c r="EF14130"/>
      <c r="EG14130"/>
      <c r="EH14130"/>
      <c r="EI14130"/>
      <c r="EJ14130"/>
      <c r="EK14130"/>
    </row>
    <row r="14131" spans="1:141" s="116" customFormat="1">
      <c r="A14131" s="136"/>
      <c r="CM14131" s="111"/>
      <c r="CQ14131" s="111"/>
      <c r="EF14131"/>
      <c r="EG14131"/>
      <c r="EH14131"/>
      <c r="EI14131"/>
      <c r="EJ14131"/>
      <c r="EK14131"/>
    </row>
    <row r="14132" spans="1:141" s="116" customFormat="1">
      <c r="A14132" s="136"/>
      <c r="CM14132" s="111"/>
      <c r="CQ14132" s="111"/>
      <c r="EF14132"/>
      <c r="EG14132"/>
      <c r="EH14132"/>
      <c r="EI14132"/>
      <c r="EJ14132"/>
      <c r="EK14132"/>
    </row>
    <row r="14133" spans="1:141" s="116" customFormat="1">
      <c r="A14133" s="136"/>
      <c r="CM14133" s="111"/>
      <c r="CQ14133" s="111"/>
      <c r="EF14133"/>
      <c r="EG14133"/>
      <c r="EH14133"/>
      <c r="EI14133"/>
      <c r="EJ14133"/>
      <c r="EK14133"/>
    </row>
    <row r="14134" spans="1:141" s="116" customFormat="1">
      <c r="A14134" s="136"/>
      <c r="CM14134" s="111"/>
      <c r="CQ14134" s="111"/>
      <c r="EF14134"/>
      <c r="EG14134"/>
      <c r="EH14134"/>
      <c r="EI14134"/>
      <c r="EJ14134"/>
      <c r="EK14134"/>
    </row>
    <row r="14135" spans="1:141" s="116" customFormat="1">
      <c r="A14135" s="136"/>
      <c r="CM14135" s="111"/>
      <c r="CQ14135" s="111"/>
      <c r="EF14135"/>
      <c r="EG14135"/>
      <c r="EH14135"/>
      <c r="EI14135"/>
      <c r="EJ14135"/>
      <c r="EK14135"/>
    </row>
    <row r="14136" spans="1:141" s="116" customFormat="1">
      <c r="A14136" s="136"/>
      <c r="CM14136" s="111"/>
      <c r="CQ14136" s="111"/>
      <c r="EF14136"/>
      <c r="EG14136"/>
      <c r="EH14136"/>
      <c r="EI14136"/>
      <c r="EJ14136"/>
      <c r="EK14136"/>
    </row>
    <row r="14137" spans="1:141" s="116" customFormat="1">
      <c r="A14137" s="136"/>
      <c r="CM14137" s="111"/>
      <c r="CQ14137" s="111"/>
      <c r="EF14137"/>
      <c r="EG14137"/>
      <c r="EH14137"/>
      <c r="EI14137"/>
      <c r="EJ14137"/>
      <c r="EK14137"/>
    </row>
    <row r="14138" spans="1:141" s="116" customFormat="1">
      <c r="A14138" s="136"/>
      <c r="CM14138" s="111"/>
      <c r="CQ14138" s="111"/>
      <c r="EF14138"/>
      <c r="EG14138"/>
      <c r="EH14138"/>
      <c r="EI14138"/>
      <c r="EJ14138"/>
      <c r="EK14138"/>
    </row>
    <row r="14139" spans="1:141" s="116" customFormat="1">
      <c r="A14139" s="136"/>
      <c r="CM14139" s="111"/>
      <c r="CQ14139" s="111"/>
      <c r="EF14139"/>
      <c r="EG14139"/>
      <c r="EH14139"/>
      <c r="EI14139"/>
      <c r="EJ14139"/>
      <c r="EK14139"/>
    </row>
    <row r="14140" spans="1:141" s="116" customFormat="1">
      <c r="A14140" s="136"/>
      <c r="CM14140" s="111"/>
      <c r="CQ14140" s="111"/>
      <c r="EF14140"/>
      <c r="EG14140"/>
      <c r="EH14140"/>
      <c r="EI14140"/>
      <c r="EJ14140"/>
      <c r="EK14140"/>
    </row>
    <row r="14141" spans="1:141" s="116" customFormat="1">
      <c r="A14141" s="136"/>
      <c r="CM14141" s="111"/>
      <c r="CQ14141" s="111"/>
      <c r="EF14141"/>
      <c r="EG14141"/>
      <c r="EH14141"/>
      <c r="EI14141"/>
      <c r="EJ14141"/>
      <c r="EK14141"/>
    </row>
    <row r="14142" spans="1:141" s="116" customFormat="1">
      <c r="A14142" s="136"/>
      <c r="CM14142" s="111"/>
      <c r="CQ14142" s="111"/>
      <c r="EF14142"/>
      <c r="EG14142"/>
      <c r="EH14142"/>
      <c r="EI14142"/>
      <c r="EJ14142"/>
      <c r="EK14142"/>
    </row>
    <row r="14143" spans="1:141" s="116" customFormat="1">
      <c r="A14143" s="136"/>
      <c r="CM14143" s="111"/>
      <c r="CQ14143" s="111"/>
      <c r="EF14143"/>
      <c r="EG14143"/>
      <c r="EH14143"/>
      <c r="EI14143"/>
      <c r="EJ14143"/>
      <c r="EK14143"/>
    </row>
    <row r="14144" spans="1:141" s="116" customFormat="1">
      <c r="A14144" s="136"/>
      <c r="CM14144" s="111"/>
      <c r="CQ14144" s="111"/>
      <c r="EF14144"/>
      <c r="EG14144"/>
      <c r="EH14144"/>
      <c r="EI14144"/>
      <c r="EJ14144"/>
      <c r="EK14144"/>
    </row>
    <row r="14145" spans="1:141" s="116" customFormat="1">
      <c r="A14145" s="136"/>
      <c r="CM14145" s="111"/>
      <c r="CQ14145" s="111"/>
      <c r="EF14145"/>
      <c r="EG14145"/>
      <c r="EH14145"/>
      <c r="EI14145"/>
      <c r="EJ14145"/>
      <c r="EK14145"/>
    </row>
    <row r="14146" spans="1:141" s="116" customFormat="1">
      <c r="A14146" s="136"/>
      <c r="CM14146" s="111"/>
      <c r="CQ14146" s="111"/>
      <c r="EF14146"/>
      <c r="EG14146"/>
      <c r="EH14146"/>
      <c r="EI14146"/>
      <c r="EJ14146"/>
      <c r="EK14146"/>
    </row>
    <row r="14147" spans="1:141" s="116" customFormat="1">
      <c r="A14147" s="136"/>
      <c r="CM14147" s="111"/>
      <c r="CQ14147" s="111"/>
      <c r="EF14147"/>
      <c r="EG14147"/>
      <c r="EH14147"/>
      <c r="EI14147"/>
      <c r="EJ14147"/>
      <c r="EK14147"/>
    </row>
    <row r="14148" spans="1:141" s="116" customFormat="1">
      <c r="A14148" s="136"/>
      <c r="CM14148" s="111"/>
      <c r="CQ14148" s="111"/>
      <c r="EF14148"/>
      <c r="EG14148"/>
      <c r="EH14148"/>
      <c r="EI14148"/>
      <c r="EJ14148"/>
      <c r="EK14148"/>
    </row>
    <row r="14149" spans="1:141" s="116" customFormat="1">
      <c r="A14149" s="136"/>
      <c r="CM14149" s="111"/>
      <c r="CQ14149" s="111"/>
      <c r="EF14149"/>
      <c r="EG14149"/>
      <c r="EH14149"/>
      <c r="EI14149"/>
      <c r="EJ14149"/>
      <c r="EK14149"/>
    </row>
    <row r="14150" spans="1:141" s="116" customFormat="1">
      <c r="A14150" s="136"/>
      <c r="CM14150" s="111"/>
      <c r="CQ14150" s="111"/>
      <c r="EF14150"/>
      <c r="EG14150"/>
      <c r="EH14150"/>
      <c r="EI14150"/>
      <c r="EJ14150"/>
      <c r="EK14150"/>
    </row>
    <row r="14151" spans="1:141" s="116" customFormat="1">
      <c r="A14151" s="136"/>
      <c r="CM14151" s="111"/>
      <c r="CQ14151" s="111"/>
      <c r="EF14151"/>
      <c r="EG14151"/>
      <c r="EH14151"/>
      <c r="EI14151"/>
      <c r="EJ14151"/>
      <c r="EK14151"/>
    </row>
    <row r="14152" spans="1:141" s="116" customFormat="1">
      <c r="A14152" s="136"/>
      <c r="CM14152" s="111"/>
      <c r="CQ14152" s="111"/>
      <c r="EF14152"/>
      <c r="EG14152"/>
      <c r="EH14152"/>
      <c r="EI14152"/>
      <c r="EJ14152"/>
      <c r="EK14152"/>
    </row>
    <row r="14153" spans="1:141" s="116" customFormat="1">
      <c r="A14153" s="136"/>
      <c r="CM14153" s="111"/>
      <c r="CQ14153" s="111"/>
      <c r="EF14153"/>
      <c r="EG14153"/>
      <c r="EH14153"/>
      <c r="EI14153"/>
      <c r="EJ14153"/>
      <c r="EK14153"/>
    </row>
    <row r="14154" spans="1:141" s="116" customFormat="1">
      <c r="A14154" s="136"/>
      <c r="CM14154" s="111"/>
      <c r="CQ14154" s="111"/>
      <c r="EF14154"/>
      <c r="EG14154"/>
      <c r="EH14154"/>
      <c r="EI14154"/>
      <c r="EJ14154"/>
      <c r="EK14154"/>
    </row>
    <row r="14155" spans="1:141" s="116" customFormat="1">
      <c r="A14155" s="136"/>
      <c r="CM14155" s="111"/>
      <c r="CQ14155" s="111"/>
      <c r="EF14155"/>
      <c r="EG14155"/>
      <c r="EH14155"/>
      <c r="EI14155"/>
      <c r="EJ14155"/>
      <c r="EK14155"/>
    </row>
    <row r="14156" spans="1:141" s="116" customFormat="1">
      <c r="A14156" s="136"/>
      <c r="CM14156" s="111"/>
      <c r="CQ14156" s="111"/>
      <c r="EF14156"/>
      <c r="EG14156"/>
      <c r="EH14156"/>
      <c r="EI14156"/>
      <c r="EJ14156"/>
      <c r="EK14156"/>
    </row>
    <row r="14157" spans="1:141" s="116" customFormat="1">
      <c r="A14157" s="136"/>
      <c r="CM14157" s="111"/>
      <c r="CQ14157" s="111"/>
      <c r="EF14157"/>
      <c r="EG14157"/>
      <c r="EH14157"/>
      <c r="EI14157"/>
      <c r="EJ14157"/>
      <c r="EK14157"/>
    </row>
    <row r="14158" spans="1:141" s="116" customFormat="1">
      <c r="A14158" s="136"/>
      <c r="CM14158" s="111"/>
      <c r="CQ14158" s="111"/>
      <c r="EF14158"/>
      <c r="EG14158"/>
      <c r="EH14158"/>
      <c r="EI14158"/>
      <c r="EJ14158"/>
      <c r="EK14158"/>
    </row>
    <row r="14159" spans="1:141" s="116" customFormat="1">
      <c r="A14159" s="136"/>
      <c r="CM14159" s="111"/>
      <c r="CQ14159" s="111"/>
      <c r="EF14159"/>
      <c r="EG14159"/>
      <c r="EH14159"/>
      <c r="EI14159"/>
      <c r="EJ14159"/>
      <c r="EK14159"/>
    </row>
    <row r="14160" spans="1:141" s="116" customFormat="1">
      <c r="A14160" s="136"/>
      <c r="CM14160" s="111"/>
      <c r="CQ14160" s="111"/>
      <c r="EF14160"/>
      <c r="EG14160"/>
      <c r="EH14160"/>
      <c r="EI14160"/>
      <c r="EJ14160"/>
      <c r="EK14160"/>
    </row>
    <row r="14161" spans="1:141" s="116" customFormat="1">
      <c r="A14161" s="136"/>
      <c r="CM14161" s="111"/>
      <c r="CQ14161" s="111"/>
      <c r="EF14161"/>
      <c r="EG14161"/>
      <c r="EH14161"/>
      <c r="EI14161"/>
      <c r="EJ14161"/>
      <c r="EK14161"/>
    </row>
    <row r="14162" spans="1:141" s="116" customFormat="1">
      <c r="A14162" s="136"/>
      <c r="CM14162" s="111"/>
      <c r="CQ14162" s="111"/>
      <c r="EF14162"/>
      <c r="EG14162"/>
      <c r="EH14162"/>
      <c r="EI14162"/>
      <c r="EJ14162"/>
      <c r="EK14162"/>
    </row>
    <row r="14163" spans="1:141" s="116" customFormat="1">
      <c r="A14163" s="136"/>
      <c r="CM14163" s="111"/>
      <c r="CQ14163" s="111"/>
      <c r="EF14163"/>
      <c r="EG14163"/>
      <c r="EH14163"/>
      <c r="EI14163"/>
      <c r="EJ14163"/>
      <c r="EK14163"/>
    </row>
    <row r="14164" spans="1:141" s="116" customFormat="1">
      <c r="A14164" s="136"/>
      <c r="CM14164" s="111"/>
      <c r="CQ14164" s="111"/>
      <c r="EF14164"/>
      <c r="EG14164"/>
      <c r="EH14164"/>
      <c r="EI14164"/>
      <c r="EJ14164"/>
      <c r="EK14164"/>
    </row>
    <row r="14165" spans="1:141" s="116" customFormat="1">
      <c r="A14165" s="136"/>
      <c r="CM14165" s="111"/>
      <c r="CQ14165" s="111"/>
      <c r="EF14165"/>
      <c r="EG14165"/>
      <c r="EH14165"/>
      <c r="EI14165"/>
      <c r="EJ14165"/>
      <c r="EK14165"/>
    </row>
    <row r="14166" spans="1:141" s="116" customFormat="1">
      <c r="A14166" s="136"/>
      <c r="CM14166" s="111"/>
      <c r="CQ14166" s="111"/>
      <c r="EF14166"/>
      <c r="EG14166"/>
      <c r="EH14166"/>
      <c r="EI14166"/>
      <c r="EJ14166"/>
      <c r="EK14166"/>
    </row>
    <row r="14167" spans="1:141" s="116" customFormat="1">
      <c r="A14167" s="136"/>
      <c r="CM14167" s="111"/>
      <c r="CQ14167" s="111"/>
      <c r="EF14167"/>
      <c r="EG14167"/>
      <c r="EH14167"/>
      <c r="EI14167"/>
      <c r="EJ14167"/>
      <c r="EK14167"/>
    </row>
    <row r="14168" spans="1:141" s="116" customFormat="1">
      <c r="A14168" s="136"/>
      <c r="CM14168" s="111"/>
      <c r="CQ14168" s="111"/>
      <c r="EF14168"/>
      <c r="EG14168"/>
      <c r="EH14168"/>
      <c r="EI14168"/>
      <c r="EJ14168"/>
      <c r="EK14168"/>
    </row>
    <row r="14169" spans="1:141" s="116" customFormat="1">
      <c r="A14169" s="136"/>
      <c r="CM14169" s="111"/>
      <c r="CQ14169" s="111"/>
      <c r="EF14169"/>
      <c r="EG14169"/>
      <c r="EH14169"/>
      <c r="EI14169"/>
      <c r="EJ14169"/>
      <c r="EK14169"/>
    </row>
    <row r="14170" spans="1:141" s="116" customFormat="1">
      <c r="A14170" s="136"/>
      <c r="CM14170" s="111"/>
      <c r="CQ14170" s="111"/>
      <c r="EF14170"/>
      <c r="EG14170"/>
      <c r="EH14170"/>
      <c r="EI14170"/>
      <c r="EJ14170"/>
      <c r="EK14170"/>
    </row>
    <row r="14171" spans="1:141" s="116" customFormat="1">
      <c r="A14171" s="136"/>
      <c r="CM14171" s="111"/>
      <c r="CQ14171" s="111"/>
      <c r="EF14171"/>
      <c r="EG14171"/>
      <c r="EH14171"/>
      <c r="EI14171"/>
      <c r="EJ14171"/>
      <c r="EK14171"/>
    </row>
    <row r="14172" spans="1:141" s="116" customFormat="1">
      <c r="A14172" s="136"/>
      <c r="CM14172" s="111"/>
      <c r="CQ14172" s="111"/>
      <c r="EF14172"/>
      <c r="EG14172"/>
      <c r="EH14172"/>
      <c r="EI14172"/>
      <c r="EJ14172"/>
      <c r="EK14172"/>
    </row>
    <row r="14173" spans="1:141" s="116" customFormat="1">
      <c r="A14173" s="136"/>
      <c r="CM14173" s="111"/>
      <c r="CQ14173" s="111"/>
      <c r="EF14173"/>
      <c r="EG14173"/>
      <c r="EH14173"/>
      <c r="EI14173"/>
      <c r="EJ14173"/>
      <c r="EK14173"/>
    </row>
    <row r="14174" spans="1:141" s="116" customFormat="1">
      <c r="A14174" s="136"/>
      <c r="CM14174" s="111"/>
      <c r="CQ14174" s="111"/>
      <c r="EF14174"/>
      <c r="EG14174"/>
      <c r="EH14174"/>
      <c r="EI14174"/>
      <c r="EJ14174"/>
      <c r="EK14174"/>
    </row>
    <row r="14175" spans="1:141" s="116" customFormat="1">
      <c r="A14175" s="136"/>
      <c r="CM14175" s="111"/>
      <c r="CQ14175" s="111"/>
      <c r="EF14175"/>
      <c r="EG14175"/>
      <c r="EH14175"/>
      <c r="EI14175"/>
      <c r="EJ14175"/>
      <c r="EK14175"/>
    </row>
    <row r="14176" spans="1:141" s="116" customFormat="1">
      <c r="A14176" s="136"/>
      <c r="CM14176" s="111"/>
      <c r="CQ14176" s="111"/>
      <c r="EF14176"/>
      <c r="EG14176"/>
      <c r="EH14176"/>
      <c r="EI14176"/>
      <c r="EJ14176"/>
      <c r="EK14176"/>
    </row>
    <row r="14177" spans="1:141" s="116" customFormat="1">
      <c r="A14177" s="136"/>
      <c r="CM14177" s="111"/>
      <c r="CQ14177" s="111"/>
      <c r="EF14177"/>
      <c r="EG14177"/>
      <c r="EH14177"/>
      <c r="EI14177"/>
      <c r="EJ14177"/>
      <c r="EK14177"/>
    </row>
    <row r="14178" spans="1:141" s="116" customFormat="1">
      <c r="A14178" s="136"/>
      <c r="CM14178" s="111"/>
      <c r="CQ14178" s="111"/>
      <c r="EF14178"/>
      <c r="EG14178"/>
      <c r="EH14178"/>
      <c r="EI14178"/>
      <c r="EJ14178"/>
      <c r="EK14178"/>
    </row>
    <row r="14179" spans="1:141" s="116" customFormat="1">
      <c r="A14179" s="136"/>
      <c r="CM14179" s="111"/>
      <c r="CQ14179" s="111"/>
      <c r="EF14179"/>
      <c r="EG14179"/>
      <c r="EH14179"/>
      <c r="EI14179"/>
      <c r="EJ14179"/>
      <c r="EK14179"/>
    </row>
    <row r="14180" spans="1:141" s="116" customFormat="1">
      <c r="A14180" s="136"/>
      <c r="CM14180" s="111"/>
      <c r="CQ14180" s="111"/>
      <c r="EF14180"/>
      <c r="EG14180"/>
      <c r="EH14180"/>
      <c r="EI14180"/>
      <c r="EJ14180"/>
      <c r="EK14180"/>
    </row>
    <row r="14181" spans="1:141" s="116" customFormat="1">
      <c r="A14181" s="136"/>
      <c r="CM14181" s="111"/>
      <c r="CQ14181" s="111"/>
      <c r="EF14181"/>
      <c r="EG14181"/>
      <c r="EH14181"/>
      <c r="EI14181"/>
      <c r="EJ14181"/>
      <c r="EK14181"/>
    </row>
    <row r="14182" spans="1:141" s="116" customFormat="1">
      <c r="A14182" s="136"/>
      <c r="CM14182" s="111"/>
      <c r="CQ14182" s="111"/>
      <c r="EF14182"/>
      <c r="EG14182"/>
      <c r="EH14182"/>
      <c r="EI14182"/>
      <c r="EJ14182"/>
      <c r="EK14182"/>
    </row>
    <row r="14183" spans="1:141" s="116" customFormat="1">
      <c r="A14183" s="136"/>
      <c r="CM14183" s="111"/>
      <c r="CQ14183" s="111"/>
      <c r="EF14183"/>
      <c r="EG14183"/>
      <c r="EH14183"/>
      <c r="EI14183"/>
      <c r="EJ14183"/>
      <c r="EK14183"/>
    </row>
    <row r="14184" spans="1:141" s="116" customFormat="1">
      <c r="A14184" s="136"/>
      <c r="CM14184" s="111"/>
      <c r="CQ14184" s="111"/>
      <c r="EF14184"/>
      <c r="EG14184"/>
      <c r="EH14184"/>
      <c r="EI14184"/>
      <c r="EJ14184"/>
      <c r="EK14184"/>
    </row>
    <row r="14185" spans="1:141" s="116" customFormat="1">
      <c r="A14185" s="136"/>
      <c r="CM14185" s="111"/>
      <c r="CQ14185" s="111"/>
      <c r="EF14185"/>
      <c r="EG14185"/>
      <c r="EH14185"/>
      <c r="EI14185"/>
      <c r="EJ14185"/>
      <c r="EK14185"/>
    </row>
    <row r="14186" spans="1:141" s="116" customFormat="1">
      <c r="A14186" s="136"/>
      <c r="CM14186" s="111"/>
      <c r="CQ14186" s="111"/>
      <c r="EF14186"/>
      <c r="EG14186"/>
      <c r="EH14186"/>
      <c r="EI14186"/>
      <c r="EJ14186"/>
      <c r="EK14186"/>
    </row>
    <row r="14187" spans="1:141" s="116" customFormat="1">
      <c r="A14187" s="136"/>
      <c r="CM14187" s="111"/>
      <c r="CQ14187" s="111"/>
      <c r="EF14187"/>
      <c r="EG14187"/>
      <c r="EH14187"/>
      <c r="EI14187"/>
      <c r="EJ14187"/>
      <c r="EK14187"/>
    </row>
    <row r="14188" spans="1:141" s="116" customFormat="1">
      <c r="A14188" s="136"/>
      <c r="CM14188" s="111"/>
      <c r="CQ14188" s="111"/>
      <c r="EF14188"/>
      <c r="EG14188"/>
      <c r="EH14188"/>
      <c r="EI14188"/>
      <c r="EJ14188"/>
      <c r="EK14188"/>
    </row>
    <row r="14189" spans="1:141" s="116" customFormat="1">
      <c r="A14189" s="136"/>
      <c r="CM14189" s="111"/>
      <c r="CQ14189" s="111"/>
      <c r="EF14189"/>
      <c r="EG14189"/>
      <c r="EH14189"/>
      <c r="EI14189"/>
      <c r="EJ14189"/>
      <c r="EK14189"/>
    </row>
    <row r="14190" spans="1:141" s="116" customFormat="1">
      <c r="A14190" s="136"/>
      <c r="CM14190" s="111"/>
      <c r="CQ14190" s="111"/>
      <c r="EF14190"/>
      <c r="EG14190"/>
      <c r="EH14190"/>
      <c r="EI14190"/>
      <c r="EJ14190"/>
      <c r="EK14190"/>
    </row>
    <row r="14191" spans="1:141" s="116" customFormat="1">
      <c r="A14191" s="136"/>
      <c r="CM14191" s="111"/>
      <c r="CQ14191" s="111"/>
      <c r="EF14191"/>
      <c r="EG14191"/>
      <c r="EH14191"/>
      <c r="EI14191"/>
      <c r="EJ14191"/>
      <c r="EK14191"/>
    </row>
    <row r="14192" spans="1:141" s="116" customFormat="1">
      <c r="A14192" s="136"/>
      <c r="CM14192" s="111"/>
      <c r="CQ14192" s="111"/>
      <c r="EF14192"/>
      <c r="EG14192"/>
      <c r="EH14192"/>
      <c r="EI14192"/>
      <c r="EJ14192"/>
      <c r="EK14192"/>
    </row>
    <row r="14193" spans="1:141" s="116" customFormat="1">
      <c r="A14193" s="136"/>
      <c r="CM14193" s="111"/>
      <c r="CQ14193" s="111"/>
      <c r="EF14193"/>
      <c r="EG14193"/>
      <c r="EH14193"/>
      <c r="EI14193"/>
      <c r="EJ14193"/>
      <c r="EK14193"/>
    </row>
    <row r="14194" spans="1:141" s="116" customFormat="1">
      <c r="A14194" s="136"/>
      <c r="CM14194" s="111"/>
      <c r="CQ14194" s="111"/>
      <c r="EF14194"/>
      <c r="EG14194"/>
      <c r="EH14194"/>
      <c r="EI14194"/>
      <c r="EJ14194"/>
      <c r="EK14194"/>
    </row>
    <row r="14195" spans="1:141" s="116" customFormat="1">
      <c r="A14195" s="136"/>
      <c r="CM14195" s="111"/>
      <c r="CQ14195" s="111"/>
      <c r="EF14195"/>
      <c r="EG14195"/>
      <c r="EH14195"/>
      <c r="EI14195"/>
      <c r="EJ14195"/>
      <c r="EK14195"/>
    </row>
    <row r="14196" spans="1:141" s="116" customFormat="1">
      <c r="A14196" s="136"/>
      <c r="CM14196" s="111"/>
      <c r="CQ14196" s="111"/>
      <c r="EF14196"/>
      <c r="EG14196"/>
      <c r="EH14196"/>
      <c r="EI14196"/>
      <c r="EJ14196"/>
      <c r="EK14196"/>
    </row>
    <row r="14197" spans="1:141" s="116" customFormat="1">
      <c r="A14197" s="136"/>
      <c r="CM14197" s="111"/>
      <c r="CQ14197" s="111"/>
      <c r="EF14197"/>
      <c r="EG14197"/>
      <c r="EH14197"/>
      <c r="EI14197"/>
      <c r="EJ14197"/>
      <c r="EK14197"/>
    </row>
    <row r="14198" spans="1:141" s="116" customFormat="1">
      <c r="A14198" s="136"/>
      <c r="CM14198" s="111"/>
      <c r="CQ14198" s="111"/>
      <c r="EF14198"/>
      <c r="EG14198"/>
      <c r="EH14198"/>
      <c r="EI14198"/>
      <c r="EJ14198"/>
      <c r="EK14198"/>
    </row>
    <row r="14199" spans="1:141" s="116" customFormat="1">
      <c r="A14199" s="136"/>
      <c r="CM14199" s="111"/>
      <c r="CQ14199" s="111"/>
      <c r="EF14199"/>
      <c r="EG14199"/>
      <c r="EH14199"/>
      <c r="EI14199"/>
      <c r="EJ14199"/>
      <c r="EK14199"/>
    </row>
    <row r="14200" spans="1:141" s="116" customFormat="1">
      <c r="A14200" s="136"/>
      <c r="CM14200" s="111"/>
      <c r="CQ14200" s="111"/>
      <c r="EF14200"/>
      <c r="EG14200"/>
      <c r="EH14200"/>
      <c r="EI14200"/>
      <c r="EJ14200"/>
      <c r="EK14200"/>
    </row>
    <row r="14201" spans="1:141" s="116" customFormat="1">
      <c r="A14201" s="136"/>
      <c r="CM14201" s="111"/>
      <c r="CQ14201" s="111"/>
      <c r="EF14201"/>
      <c r="EG14201"/>
      <c r="EH14201"/>
      <c r="EI14201"/>
      <c r="EJ14201"/>
      <c r="EK14201"/>
    </row>
    <row r="14202" spans="1:141" s="116" customFormat="1">
      <c r="A14202" s="136"/>
      <c r="CM14202" s="111"/>
      <c r="CQ14202" s="111"/>
      <c r="EF14202"/>
      <c r="EG14202"/>
      <c r="EH14202"/>
      <c r="EI14202"/>
      <c r="EJ14202"/>
      <c r="EK14202"/>
    </row>
    <row r="14203" spans="1:141" s="116" customFormat="1">
      <c r="A14203" s="136"/>
      <c r="CM14203" s="111"/>
      <c r="CQ14203" s="111"/>
      <c r="EF14203"/>
      <c r="EG14203"/>
      <c r="EH14203"/>
      <c r="EI14203"/>
      <c r="EJ14203"/>
      <c r="EK14203"/>
    </row>
    <row r="14204" spans="1:141" s="116" customFormat="1">
      <c r="A14204" s="136"/>
      <c r="CM14204" s="111"/>
      <c r="CQ14204" s="111"/>
      <c r="EF14204"/>
      <c r="EG14204"/>
      <c r="EH14204"/>
      <c r="EI14204"/>
      <c r="EJ14204"/>
      <c r="EK14204"/>
    </row>
    <row r="14205" spans="1:141" s="116" customFormat="1">
      <c r="A14205" s="136"/>
      <c r="CM14205" s="111"/>
      <c r="CQ14205" s="111"/>
      <c r="EF14205"/>
      <c r="EG14205"/>
      <c r="EH14205"/>
      <c r="EI14205"/>
      <c r="EJ14205"/>
      <c r="EK14205"/>
    </row>
    <row r="14206" spans="1:141" s="116" customFormat="1">
      <c r="A14206" s="136"/>
      <c r="CM14206" s="111"/>
      <c r="CQ14206" s="111"/>
      <c r="EF14206"/>
      <c r="EG14206"/>
      <c r="EH14206"/>
      <c r="EI14206"/>
      <c r="EJ14206"/>
      <c r="EK14206"/>
    </row>
    <row r="14207" spans="1:141" s="116" customFormat="1">
      <c r="A14207" s="136"/>
      <c r="CM14207" s="111"/>
      <c r="CQ14207" s="111"/>
      <c r="EF14207"/>
      <c r="EG14207"/>
      <c r="EH14207"/>
      <c r="EI14207"/>
      <c r="EJ14207"/>
      <c r="EK14207"/>
    </row>
    <row r="14208" spans="1:141" s="116" customFormat="1">
      <c r="A14208" s="136"/>
      <c r="CM14208" s="111"/>
      <c r="CQ14208" s="111"/>
      <c r="EF14208"/>
      <c r="EG14208"/>
      <c r="EH14208"/>
      <c r="EI14208"/>
      <c r="EJ14208"/>
      <c r="EK14208"/>
    </row>
    <row r="14209" spans="1:141" s="116" customFormat="1">
      <c r="A14209" s="136"/>
      <c r="CM14209" s="111"/>
      <c r="CQ14209" s="111"/>
      <c r="EF14209"/>
      <c r="EG14209"/>
      <c r="EH14209"/>
      <c r="EI14209"/>
      <c r="EJ14209"/>
      <c r="EK14209"/>
    </row>
    <row r="14210" spans="1:141" s="116" customFormat="1">
      <c r="A14210" s="136"/>
      <c r="CM14210" s="111"/>
      <c r="CQ14210" s="111"/>
      <c r="EF14210"/>
      <c r="EG14210"/>
      <c r="EH14210"/>
      <c r="EI14210"/>
      <c r="EJ14210"/>
      <c r="EK14210"/>
    </row>
    <row r="14211" spans="1:141" s="116" customFormat="1">
      <c r="A14211" s="136"/>
      <c r="CM14211" s="111"/>
      <c r="CQ14211" s="111"/>
      <c r="EF14211"/>
      <c r="EG14211"/>
      <c r="EH14211"/>
      <c r="EI14211"/>
      <c r="EJ14211"/>
      <c r="EK14211"/>
    </row>
    <row r="14212" spans="1:141" s="116" customFormat="1">
      <c r="A14212" s="136"/>
      <c r="CM14212" s="111"/>
      <c r="CQ14212" s="111"/>
      <c r="EF14212"/>
      <c r="EG14212"/>
      <c r="EH14212"/>
      <c r="EI14212"/>
      <c r="EJ14212"/>
      <c r="EK14212"/>
    </row>
    <row r="14213" spans="1:141" s="116" customFormat="1">
      <c r="A14213" s="136"/>
      <c r="CM14213" s="111"/>
      <c r="CQ14213" s="111"/>
      <c r="EF14213"/>
      <c r="EG14213"/>
      <c r="EH14213"/>
      <c r="EI14213"/>
      <c r="EJ14213"/>
      <c r="EK14213"/>
    </row>
    <row r="14214" spans="1:141" s="116" customFormat="1">
      <c r="A14214" s="136"/>
      <c r="CM14214" s="111"/>
      <c r="CQ14214" s="111"/>
      <c r="EF14214"/>
      <c r="EG14214"/>
      <c r="EH14214"/>
      <c r="EI14214"/>
      <c r="EJ14214"/>
      <c r="EK14214"/>
    </row>
    <row r="14215" spans="1:141" s="116" customFormat="1">
      <c r="A14215" s="136"/>
      <c r="CM14215" s="111"/>
      <c r="CQ14215" s="111"/>
      <c r="EF14215"/>
      <c r="EG14215"/>
      <c r="EH14215"/>
      <c r="EI14215"/>
      <c r="EJ14215"/>
      <c r="EK14215"/>
    </row>
    <row r="14216" spans="1:141" s="116" customFormat="1">
      <c r="A14216" s="136"/>
      <c r="CM14216" s="111"/>
      <c r="CQ14216" s="111"/>
      <c r="EF14216"/>
      <c r="EG14216"/>
      <c r="EH14216"/>
      <c r="EI14216"/>
      <c r="EJ14216"/>
      <c r="EK14216"/>
    </row>
    <row r="14217" spans="1:141" s="116" customFormat="1">
      <c r="A14217" s="136"/>
      <c r="CM14217" s="111"/>
      <c r="CQ14217" s="111"/>
      <c r="EF14217"/>
      <c r="EG14217"/>
      <c r="EH14217"/>
      <c r="EI14217"/>
      <c r="EJ14217"/>
      <c r="EK14217"/>
    </row>
    <row r="14218" spans="1:141" s="116" customFormat="1">
      <c r="A14218" s="136"/>
      <c r="CM14218" s="111"/>
      <c r="CQ14218" s="111"/>
      <c r="EF14218"/>
      <c r="EG14218"/>
      <c r="EH14218"/>
      <c r="EI14218"/>
      <c r="EJ14218"/>
      <c r="EK14218"/>
    </row>
    <row r="14219" spans="1:141" s="116" customFormat="1">
      <c r="A14219" s="136"/>
      <c r="CM14219" s="111"/>
      <c r="CQ14219" s="111"/>
      <c r="EF14219"/>
      <c r="EG14219"/>
      <c r="EH14219"/>
      <c r="EI14219"/>
      <c r="EJ14219"/>
      <c r="EK14219"/>
    </row>
    <row r="14220" spans="1:141" s="116" customFormat="1">
      <c r="A14220" s="136"/>
      <c r="CM14220" s="111"/>
      <c r="CQ14220" s="111"/>
      <c r="EF14220"/>
      <c r="EG14220"/>
      <c r="EH14220"/>
      <c r="EI14220"/>
      <c r="EJ14220"/>
      <c r="EK14220"/>
    </row>
    <row r="14221" spans="1:141" s="116" customFormat="1">
      <c r="A14221" s="136"/>
      <c r="CM14221" s="111"/>
      <c r="CQ14221" s="111"/>
      <c r="EF14221"/>
      <c r="EG14221"/>
      <c r="EH14221"/>
      <c r="EI14221"/>
      <c r="EJ14221"/>
      <c r="EK14221"/>
    </row>
    <row r="14222" spans="1:141" s="116" customFormat="1">
      <c r="A14222" s="136"/>
      <c r="CM14222" s="111"/>
      <c r="CQ14222" s="111"/>
      <c r="EF14222"/>
      <c r="EG14222"/>
      <c r="EH14222"/>
      <c r="EI14222"/>
      <c r="EJ14222"/>
      <c r="EK14222"/>
    </row>
    <row r="14223" spans="1:141" s="116" customFormat="1">
      <c r="A14223" s="136"/>
      <c r="CM14223" s="111"/>
      <c r="CQ14223" s="111"/>
      <c r="EF14223"/>
      <c r="EG14223"/>
      <c r="EH14223"/>
      <c r="EI14223"/>
      <c r="EJ14223"/>
      <c r="EK14223"/>
    </row>
    <row r="14224" spans="1:141" s="116" customFormat="1">
      <c r="A14224" s="136"/>
      <c r="CM14224" s="111"/>
      <c r="CQ14224" s="111"/>
      <c r="EF14224"/>
      <c r="EG14224"/>
      <c r="EH14224"/>
      <c r="EI14224"/>
      <c r="EJ14224"/>
      <c r="EK14224"/>
    </row>
    <row r="14225" spans="1:141" s="116" customFormat="1">
      <c r="A14225" s="136"/>
      <c r="CM14225" s="111"/>
      <c r="CQ14225" s="111"/>
      <c r="EF14225"/>
      <c r="EG14225"/>
      <c r="EH14225"/>
      <c r="EI14225"/>
      <c r="EJ14225"/>
      <c r="EK14225"/>
    </row>
    <row r="14226" spans="1:141" s="116" customFormat="1">
      <c r="A14226" s="136"/>
      <c r="CM14226" s="111"/>
      <c r="CQ14226" s="111"/>
      <c r="EF14226"/>
      <c r="EG14226"/>
      <c r="EH14226"/>
      <c r="EI14226"/>
      <c r="EJ14226"/>
      <c r="EK14226"/>
    </row>
    <row r="14227" spans="1:141" s="116" customFormat="1">
      <c r="A14227" s="136"/>
      <c r="CM14227" s="111"/>
      <c r="CQ14227" s="111"/>
      <c r="EF14227"/>
      <c r="EG14227"/>
      <c r="EH14227"/>
      <c r="EI14227"/>
      <c r="EJ14227"/>
      <c r="EK14227"/>
    </row>
    <row r="14228" spans="1:141" s="116" customFormat="1">
      <c r="A14228" s="136"/>
      <c r="CM14228" s="111"/>
      <c r="CQ14228" s="111"/>
      <c r="EF14228"/>
      <c r="EG14228"/>
      <c r="EH14228"/>
      <c r="EI14228"/>
      <c r="EJ14228"/>
      <c r="EK14228"/>
    </row>
    <row r="14229" spans="1:141" s="116" customFormat="1">
      <c r="A14229" s="136"/>
      <c r="CM14229" s="111"/>
      <c r="CQ14229" s="111"/>
      <c r="EF14229"/>
      <c r="EG14229"/>
      <c r="EH14229"/>
      <c r="EI14229"/>
      <c r="EJ14229"/>
      <c r="EK14229"/>
    </row>
    <row r="14230" spans="1:141" s="116" customFormat="1">
      <c r="A14230" s="136"/>
      <c r="CM14230" s="111"/>
      <c r="CQ14230" s="111"/>
      <c r="EF14230"/>
      <c r="EG14230"/>
      <c r="EH14230"/>
      <c r="EI14230"/>
      <c r="EJ14230"/>
      <c r="EK14230"/>
    </row>
    <row r="14231" spans="1:141" s="116" customFormat="1">
      <c r="A14231" s="136"/>
      <c r="CM14231" s="111"/>
      <c r="CQ14231" s="111"/>
      <c r="EF14231"/>
      <c r="EG14231"/>
      <c r="EH14231"/>
      <c r="EI14231"/>
      <c r="EJ14231"/>
      <c r="EK14231"/>
    </row>
    <row r="14232" spans="1:141" s="116" customFormat="1">
      <c r="A14232" s="136"/>
      <c r="CM14232" s="111"/>
      <c r="CQ14232" s="111"/>
      <c r="EF14232"/>
      <c r="EG14232"/>
      <c r="EH14232"/>
      <c r="EI14232"/>
      <c r="EJ14232"/>
      <c r="EK14232"/>
    </row>
    <row r="14233" spans="1:141" s="116" customFormat="1">
      <c r="A14233" s="136"/>
      <c r="CM14233" s="111"/>
      <c r="CQ14233" s="111"/>
      <c r="EF14233"/>
      <c r="EG14233"/>
      <c r="EH14233"/>
      <c r="EI14233"/>
      <c r="EJ14233"/>
      <c r="EK14233"/>
    </row>
    <row r="14234" spans="1:141" s="116" customFormat="1">
      <c r="A14234" s="136"/>
      <c r="CM14234" s="111"/>
      <c r="CQ14234" s="111"/>
      <c r="EF14234"/>
      <c r="EG14234"/>
      <c r="EH14234"/>
      <c r="EI14234"/>
      <c r="EJ14234"/>
      <c r="EK14234"/>
    </row>
    <row r="14235" spans="1:141" s="116" customFormat="1">
      <c r="A14235" s="136"/>
      <c r="CM14235" s="111"/>
      <c r="CQ14235" s="111"/>
      <c r="EF14235"/>
      <c r="EG14235"/>
      <c r="EH14235"/>
      <c r="EI14235"/>
      <c r="EJ14235"/>
      <c r="EK14235"/>
    </row>
    <row r="14236" spans="1:141" s="116" customFormat="1">
      <c r="A14236" s="136"/>
      <c r="CM14236" s="111"/>
      <c r="CQ14236" s="111"/>
      <c r="EF14236"/>
      <c r="EG14236"/>
      <c r="EH14236"/>
      <c r="EI14236"/>
      <c r="EJ14236"/>
      <c r="EK14236"/>
    </row>
    <row r="14237" spans="1:141" s="116" customFormat="1">
      <c r="A14237" s="136"/>
      <c r="CM14237" s="111"/>
      <c r="CQ14237" s="111"/>
      <c r="EF14237"/>
      <c r="EG14237"/>
      <c r="EH14237"/>
      <c r="EI14237"/>
      <c r="EJ14237"/>
      <c r="EK14237"/>
    </row>
    <row r="14238" spans="1:141" s="116" customFormat="1">
      <c r="A14238" s="136"/>
      <c r="CM14238" s="111"/>
      <c r="CQ14238" s="111"/>
      <c r="EF14238"/>
      <c r="EG14238"/>
      <c r="EH14238"/>
      <c r="EI14238"/>
      <c r="EJ14238"/>
      <c r="EK14238"/>
    </row>
    <row r="14239" spans="1:141" s="116" customFormat="1">
      <c r="A14239" s="136"/>
      <c r="CM14239" s="111"/>
      <c r="CQ14239" s="111"/>
      <c r="EF14239"/>
      <c r="EG14239"/>
      <c r="EH14239"/>
      <c r="EI14239"/>
      <c r="EJ14239"/>
      <c r="EK14239"/>
    </row>
    <row r="14240" spans="1:141" s="116" customFormat="1">
      <c r="A14240" s="136"/>
      <c r="CM14240" s="111"/>
      <c r="CQ14240" s="111"/>
      <c r="EF14240"/>
      <c r="EG14240"/>
      <c r="EH14240"/>
      <c r="EI14240"/>
      <c r="EJ14240"/>
      <c r="EK14240"/>
    </row>
    <row r="14241" spans="1:141" s="116" customFormat="1">
      <c r="A14241" s="136"/>
      <c r="CM14241" s="111"/>
      <c r="CQ14241" s="111"/>
      <c r="EF14241"/>
      <c r="EG14241"/>
      <c r="EH14241"/>
      <c r="EI14241"/>
      <c r="EJ14241"/>
      <c r="EK14241"/>
    </row>
    <row r="14242" spans="1:141" s="116" customFormat="1">
      <c r="A14242" s="136"/>
      <c r="CM14242" s="111"/>
      <c r="CQ14242" s="111"/>
      <c r="EF14242"/>
      <c r="EG14242"/>
      <c r="EH14242"/>
      <c r="EI14242"/>
      <c r="EJ14242"/>
      <c r="EK14242"/>
    </row>
    <row r="14243" spans="1:141" s="116" customFormat="1">
      <c r="A14243" s="136"/>
      <c r="CM14243" s="111"/>
      <c r="CQ14243" s="111"/>
      <c r="EF14243"/>
      <c r="EG14243"/>
      <c r="EH14243"/>
      <c r="EI14243"/>
      <c r="EJ14243"/>
      <c r="EK14243"/>
    </row>
    <row r="14244" spans="1:141" s="116" customFormat="1">
      <c r="A14244" s="136"/>
      <c r="CM14244" s="111"/>
      <c r="CQ14244" s="111"/>
      <c r="EF14244"/>
      <c r="EG14244"/>
      <c r="EH14244"/>
      <c r="EI14244"/>
      <c r="EJ14244"/>
      <c r="EK14244"/>
    </row>
    <row r="14245" spans="1:141" s="116" customFormat="1">
      <c r="A14245" s="136"/>
      <c r="CM14245" s="111"/>
      <c r="CQ14245" s="111"/>
      <c r="EF14245"/>
      <c r="EG14245"/>
      <c r="EH14245"/>
      <c r="EI14245"/>
      <c r="EJ14245"/>
      <c r="EK14245"/>
    </row>
    <row r="14246" spans="1:141" s="116" customFormat="1">
      <c r="A14246" s="136"/>
      <c r="CM14246" s="111"/>
      <c r="CQ14246" s="111"/>
      <c r="EF14246"/>
      <c r="EG14246"/>
      <c r="EH14246"/>
      <c r="EI14246"/>
      <c r="EJ14246"/>
      <c r="EK14246"/>
    </row>
    <row r="14247" spans="1:141" s="116" customFormat="1">
      <c r="A14247" s="136"/>
      <c r="CM14247" s="111"/>
      <c r="CQ14247" s="111"/>
      <c r="EF14247"/>
      <c r="EG14247"/>
      <c r="EH14247"/>
      <c r="EI14247"/>
      <c r="EJ14247"/>
      <c r="EK14247"/>
    </row>
    <row r="14248" spans="1:141" s="116" customFormat="1">
      <c r="A14248" s="136"/>
      <c r="CM14248" s="111"/>
      <c r="CQ14248" s="111"/>
      <c r="EF14248"/>
      <c r="EG14248"/>
      <c r="EH14248"/>
      <c r="EI14248"/>
      <c r="EJ14248"/>
      <c r="EK14248"/>
    </row>
    <row r="14249" spans="1:141" s="116" customFormat="1">
      <c r="A14249" s="136"/>
      <c r="CM14249" s="111"/>
      <c r="CQ14249" s="111"/>
      <c r="EF14249"/>
      <c r="EG14249"/>
      <c r="EH14249"/>
      <c r="EI14249"/>
      <c r="EJ14249"/>
      <c r="EK14249"/>
    </row>
    <row r="14250" spans="1:141" s="116" customFormat="1">
      <c r="A14250" s="136"/>
      <c r="CM14250" s="111"/>
      <c r="CQ14250" s="111"/>
      <c r="EF14250"/>
      <c r="EG14250"/>
      <c r="EH14250"/>
      <c r="EI14250"/>
      <c r="EJ14250"/>
      <c r="EK14250"/>
    </row>
    <row r="14251" spans="1:141" s="116" customFormat="1">
      <c r="A14251" s="136"/>
      <c r="CM14251" s="111"/>
      <c r="CQ14251" s="111"/>
      <c r="EF14251"/>
      <c r="EG14251"/>
      <c r="EH14251"/>
      <c r="EI14251"/>
      <c r="EJ14251"/>
      <c r="EK14251"/>
    </row>
    <row r="14252" spans="1:141" s="116" customFormat="1">
      <c r="A14252" s="136"/>
      <c r="CM14252" s="111"/>
      <c r="CQ14252" s="111"/>
      <c r="EF14252"/>
      <c r="EG14252"/>
      <c r="EH14252"/>
      <c r="EI14252"/>
      <c r="EJ14252"/>
      <c r="EK14252"/>
    </row>
    <row r="14253" spans="1:141" s="116" customFormat="1">
      <c r="A14253" s="136"/>
      <c r="CM14253" s="111"/>
      <c r="CQ14253" s="111"/>
      <c r="EF14253"/>
      <c r="EG14253"/>
      <c r="EH14253"/>
      <c r="EI14253"/>
      <c r="EJ14253"/>
      <c r="EK14253"/>
    </row>
    <row r="14254" spans="1:141" s="116" customFormat="1">
      <c r="A14254" s="136"/>
      <c r="CM14254" s="111"/>
      <c r="CQ14254" s="111"/>
      <c r="EF14254"/>
      <c r="EG14254"/>
      <c r="EH14254"/>
      <c r="EI14254"/>
      <c r="EJ14254"/>
      <c r="EK14254"/>
    </row>
    <row r="14255" spans="1:141" s="116" customFormat="1">
      <c r="A14255" s="136"/>
      <c r="CM14255" s="111"/>
      <c r="CQ14255" s="111"/>
      <c r="EF14255"/>
      <c r="EG14255"/>
      <c r="EH14255"/>
      <c r="EI14255"/>
      <c r="EJ14255"/>
      <c r="EK14255"/>
    </row>
    <row r="14256" spans="1:141" s="116" customFormat="1">
      <c r="A14256" s="136"/>
      <c r="CM14256" s="111"/>
      <c r="CQ14256" s="111"/>
      <c r="EF14256"/>
      <c r="EG14256"/>
      <c r="EH14256"/>
      <c r="EI14256"/>
      <c r="EJ14256"/>
      <c r="EK14256"/>
    </row>
    <row r="14257" spans="1:141" s="116" customFormat="1">
      <c r="A14257" s="136"/>
      <c r="CM14257" s="111"/>
      <c r="CQ14257" s="111"/>
      <c r="EF14257"/>
      <c r="EG14257"/>
      <c r="EH14257"/>
      <c r="EI14257"/>
      <c r="EJ14257"/>
      <c r="EK14257"/>
    </row>
    <row r="14258" spans="1:141" s="116" customFormat="1">
      <c r="A14258" s="136"/>
      <c r="CM14258" s="111"/>
      <c r="CQ14258" s="111"/>
      <c r="EF14258"/>
      <c r="EG14258"/>
      <c r="EH14258"/>
      <c r="EI14258"/>
      <c r="EJ14258"/>
      <c r="EK14258"/>
    </row>
    <row r="14259" spans="1:141" s="116" customFormat="1">
      <c r="A14259" s="136"/>
      <c r="CM14259" s="111"/>
      <c r="CQ14259" s="111"/>
      <c r="EF14259"/>
      <c r="EG14259"/>
      <c r="EH14259"/>
      <c r="EI14259"/>
      <c r="EJ14259"/>
      <c r="EK14259"/>
    </row>
    <row r="14260" spans="1:141" s="116" customFormat="1">
      <c r="A14260" s="136"/>
      <c r="CM14260" s="111"/>
      <c r="CQ14260" s="111"/>
      <c r="EF14260"/>
      <c r="EG14260"/>
      <c r="EH14260"/>
      <c r="EI14260"/>
      <c r="EJ14260"/>
      <c r="EK14260"/>
    </row>
    <row r="14261" spans="1:141" s="116" customFormat="1">
      <c r="A14261" s="136"/>
      <c r="CM14261" s="111"/>
      <c r="CQ14261" s="111"/>
      <c r="EF14261"/>
      <c r="EG14261"/>
      <c r="EH14261"/>
      <c r="EI14261"/>
      <c r="EJ14261"/>
      <c r="EK14261"/>
    </row>
    <row r="14262" spans="1:141" s="116" customFormat="1">
      <c r="A14262" s="136"/>
      <c r="CM14262" s="111"/>
      <c r="CQ14262" s="111"/>
      <c r="EF14262"/>
      <c r="EG14262"/>
      <c r="EH14262"/>
      <c r="EI14262"/>
      <c r="EJ14262"/>
      <c r="EK14262"/>
    </row>
    <row r="14263" spans="1:141" s="116" customFormat="1">
      <c r="A14263" s="136"/>
      <c r="CM14263" s="111"/>
      <c r="CQ14263" s="111"/>
      <c r="EF14263"/>
      <c r="EG14263"/>
      <c r="EH14263"/>
      <c r="EI14263"/>
      <c r="EJ14263"/>
      <c r="EK14263"/>
    </row>
    <row r="14264" spans="1:141" s="116" customFormat="1">
      <c r="A14264" s="136"/>
      <c r="CM14264" s="111"/>
      <c r="CQ14264" s="111"/>
      <c r="EF14264"/>
      <c r="EG14264"/>
      <c r="EH14264"/>
      <c r="EI14264"/>
      <c r="EJ14264"/>
      <c r="EK14264"/>
    </row>
    <row r="14265" spans="1:141" s="116" customFormat="1">
      <c r="A14265" s="136"/>
      <c r="CM14265" s="111"/>
      <c r="CQ14265" s="111"/>
      <c r="EF14265"/>
      <c r="EG14265"/>
      <c r="EH14265"/>
      <c r="EI14265"/>
      <c r="EJ14265"/>
      <c r="EK14265"/>
    </row>
    <row r="14266" spans="1:141" s="116" customFormat="1">
      <c r="A14266" s="136"/>
      <c r="CM14266" s="111"/>
      <c r="CQ14266" s="111"/>
      <c r="EF14266"/>
      <c r="EG14266"/>
      <c r="EH14266"/>
      <c r="EI14266"/>
      <c r="EJ14266"/>
      <c r="EK14266"/>
    </row>
    <row r="14267" spans="1:141" s="116" customFormat="1">
      <c r="A14267" s="136"/>
      <c r="CM14267" s="111"/>
      <c r="CQ14267" s="111"/>
      <c r="EF14267"/>
      <c r="EG14267"/>
      <c r="EH14267"/>
      <c r="EI14267"/>
      <c r="EJ14267"/>
      <c r="EK14267"/>
    </row>
    <row r="14268" spans="1:141" s="116" customFormat="1">
      <c r="A14268" s="136"/>
      <c r="CM14268" s="111"/>
      <c r="CQ14268" s="111"/>
      <c r="EF14268"/>
      <c r="EG14268"/>
      <c r="EH14268"/>
      <c r="EI14268"/>
      <c r="EJ14268"/>
      <c r="EK14268"/>
    </row>
    <row r="14269" spans="1:141" s="116" customFormat="1">
      <c r="A14269" s="136"/>
      <c r="CM14269" s="111"/>
      <c r="CQ14269" s="111"/>
      <c r="EF14269"/>
      <c r="EG14269"/>
      <c r="EH14269"/>
      <c r="EI14269"/>
      <c r="EJ14269"/>
      <c r="EK14269"/>
    </row>
    <row r="14270" spans="1:141" s="116" customFormat="1">
      <c r="A14270" s="136"/>
      <c r="CM14270" s="111"/>
      <c r="CQ14270" s="111"/>
      <c r="EF14270"/>
      <c r="EG14270"/>
      <c r="EH14270"/>
      <c r="EI14270"/>
      <c r="EJ14270"/>
      <c r="EK14270"/>
    </row>
    <row r="14271" spans="1:141" s="116" customFormat="1">
      <c r="A14271" s="136"/>
      <c r="CM14271" s="111"/>
      <c r="CQ14271" s="111"/>
      <c r="EF14271"/>
      <c r="EG14271"/>
      <c r="EH14271"/>
      <c r="EI14271"/>
      <c r="EJ14271"/>
      <c r="EK14271"/>
    </row>
    <row r="14272" spans="1:141" s="116" customFormat="1">
      <c r="A14272" s="136"/>
      <c r="CM14272" s="111"/>
      <c r="CQ14272" s="111"/>
      <c r="EF14272"/>
      <c r="EG14272"/>
      <c r="EH14272"/>
      <c r="EI14272"/>
      <c r="EJ14272"/>
      <c r="EK14272"/>
    </row>
    <row r="14273" spans="1:141" s="116" customFormat="1">
      <c r="A14273" s="136"/>
      <c r="CM14273" s="111"/>
      <c r="CQ14273" s="111"/>
      <c r="EF14273"/>
      <c r="EG14273"/>
      <c r="EH14273"/>
      <c r="EI14273"/>
      <c r="EJ14273"/>
      <c r="EK14273"/>
    </row>
    <row r="14274" spans="1:141" s="116" customFormat="1">
      <c r="A14274" s="136"/>
      <c r="CM14274" s="111"/>
      <c r="CQ14274" s="111"/>
      <c r="EF14274"/>
      <c r="EG14274"/>
      <c r="EH14274"/>
      <c r="EI14274"/>
      <c r="EJ14274"/>
      <c r="EK14274"/>
    </row>
    <row r="14275" spans="1:141" s="116" customFormat="1">
      <c r="A14275" s="136"/>
      <c r="CM14275" s="111"/>
      <c r="CQ14275" s="111"/>
      <c r="EF14275"/>
      <c r="EG14275"/>
      <c r="EH14275"/>
      <c r="EI14275"/>
      <c r="EJ14275"/>
      <c r="EK14275"/>
    </row>
    <row r="14276" spans="1:141" s="116" customFormat="1">
      <c r="A14276" s="136"/>
      <c r="CM14276" s="111"/>
      <c r="CQ14276" s="111"/>
      <c r="EF14276"/>
      <c r="EG14276"/>
      <c r="EH14276"/>
      <c r="EI14276"/>
      <c r="EJ14276"/>
      <c r="EK14276"/>
    </row>
    <row r="14277" spans="1:141" s="116" customFormat="1">
      <c r="A14277" s="136"/>
      <c r="CM14277" s="111"/>
      <c r="CQ14277" s="111"/>
      <c r="EF14277"/>
      <c r="EG14277"/>
      <c r="EH14277"/>
      <c r="EI14277"/>
      <c r="EJ14277"/>
      <c r="EK14277"/>
    </row>
    <row r="14278" spans="1:141" s="116" customFormat="1">
      <c r="A14278" s="136"/>
      <c r="CM14278" s="111"/>
      <c r="CQ14278" s="111"/>
      <c r="EF14278"/>
      <c r="EG14278"/>
      <c r="EH14278"/>
      <c r="EI14278"/>
      <c r="EJ14278"/>
      <c r="EK14278"/>
    </row>
    <row r="14279" spans="1:141" s="116" customFormat="1">
      <c r="A14279" s="136"/>
      <c r="CM14279" s="111"/>
      <c r="CQ14279" s="111"/>
      <c r="EF14279"/>
      <c r="EG14279"/>
      <c r="EH14279"/>
      <c r="EI14279"/>
      <c r="EJ14279"/>
      <c r="EK14279"/>
    </row>
    <row r="14280" spans="1:141" s="116" customFormat="1">
      <c r="A14280" s="136"/>
      <c r="CM14280" s="111"/>
      <c r="CQ14280" s="111"/>
      <c r="EF14280"/>
      <c r="EG14280"/>
      <c r="EH14280"/>
      <c r="EI14280"/>
      <c r="EJ14280"/>
      <c r="EK14280"/>
    </row>
    <row r="14281" spans="1:141" s="116" customFormat="1">
      <c r="A14281" s="136"/>
      <c r="CM14281" s="111"/>
      <c r="CQ14281" s="111"/>
      <c r="EF14281"/>
      <c r="EG14281"/>
      <c r="EH14281"/>
      <c r="EI14281"/>
      <c r="EJ14281"/>
      <c r="EK14281"/>
    </row>
    <row r="14282" spans="1:141" s="116" customFormat="1">
      <c r="A14282" s="136"/>
      <c r="CM14282" s="111"/>
      <c r="CQ14282" s="111"/>
      <c r="EF14282"/>
      <c r="EG14282"/>
      <c r="EH14282"/>
      <c r="EI14282"/>
      <c r="EJ14282"/>
      <c r="EK14282"/>
    </row>
    <row r="14283" spans="1:141" s="116" customFormat="1">
      <c r="A14283" s="136"/>
      <c r="CM14283" s="111"/>
      <c r="CQ14283" s="111"/>
      <c r="EF14283"/>
      <c r="EG14283"/>
      <c r="EH14283"/>
      <c r="EI14283"/>
      <c r="EJ14283"/>
      <c r="EK14283"/>
    </row>
    <row r="14284" spans="1:141" s="116" customFormat="1">
      <c r="A14284" s="136"/>
      <c r="CM14284" s="111"/>
      <c r="CQ14284" s="111"/>
      <c r="EF14284"/>
      <c r="EG14284"/>
      <c r="EH14284"/>
      <c r="EI14284"/>
      <c r="EJ14284"/>
      <c r="EK14284"/>
    </row>
    <row r="14285" spans="1:141" s="116" customFormat="1">
      <c r="A14285" s="136"/>
      <c r="CM14285" s="111"/>
      <c r="CQ14285" s="111"/>
      <c r="EF14285"/>
      <c r="EG14285"/>
      <c r="EH14285"/>
      <c r="EI14285"/>
      <c r="EJ14285"/>
      <c r="EK14285"/>
    </row>
    <row r="14286" spans="1:141" s="116" customFormat="1">
      <c r="A14286" s="136"/>
      <c r="CM14286" s="111"/>
      <c r="CQ14286" s="111"/>
      <c r="EF14286"/>
      <c r="EG14286"/>
      <c r="EH14286"/>
      <c r="EI14286"/>
      <c r="EJ14286"/>
      <c r="EK14286"/>
    </row>
    <row r="14287" spans="1:141" s="116" customFormat="1">
      <c r="A14287" s="136"/>
      <c r="CM14287" s="111"/>
      <c r="CQ14287" s="111"/>
      <c r="EF14287"/>
      <c r="EG14287"/>
      <c r="EH14287"/>
      <c r="EI14287"/>
      <c r="EJ14287"/>
      <c r="EK14287"/>
    </row>
    <row r="14288" spans="1:141" s="116" customFormat="1">
      <c r="A14288" s="136"/>
      <c r="CM14288" s="111"/>
      <c r="CQ14288" s="111"/>
      <c r="EF14288"/>
      <c r="EG14288"/>
      <c r="EH14288"/>
      <c r="EI14288"/>
      <c r="EJ14288"/>
      <c r="EK14288"/>
    </row>
    <row r="14289" spans="1:141" s="116" customFormat="1">
      <c r="A14289" s="136"/>
      <c r="CM14289" s="111"/>
      <c r="CQ14289" s="111"/>
      <c r="EF14289"/>
      <c r="EG14289"/>
      <c r="EH14289"/>
      <c r="EI14289"/>
      <c r="EJ14289"/>
      <c r="EK14289"/>
    </row>
    <row r="14290" spans="1:141" s="116" customFormat="1">
      <c r="A14290" s="136"/>
      <c r="CM14290" s="111"/>
      <c r="CQ14290" s="111"/>
      <c r="EF14290"/>
      <c r="EG14290"/>
      <c r="EH14290"/>
      <c r="EI14290"/>
      <c r="EJ14290"/>
      <c r="EK14290"/>
    </row>
    <row r="14291" spans="1:141" s="116" customFormat="1">
      <c r="A14291" s="136"/>
      <c r="CM14291" s="111"/>
      <c r="CQ14291" s="111"/>
      <c r="EF14291"/>
      <c r="EG14291"/>
      <c r="EH14291"/>
      <c r="EI14291"/>
      <c r="EJ14291"/>
      <c r="EK14291"/>
    </row>
    <row r="14292" spans="1:141" s="116" customFormat="1">
      <c r="A14292" s="136"/>
      <c r="CM14292" s="111"/>
      <c r="CQ14292" s="111"/>
      <c r="EF14292"/>
      <c r="EG14292"/>
      <c r="EH14292"/>
      <c r="EI14292"/>
      <c r="EJ14292"/>
      <c r="EK14292"/>
    </row>
    <row r="14293" spans="1:141" s="116" customFormat="1">
      <c r="A14293" s="136"/>
      <c r="CM14293" s="111"/>
      <c r="CQ14293" s="111"/>
      <c r="EF14293"/>
      <c r="EG14293"/>
      <c r="EH14293"/>
      <c r="EI14293"/>
      <c r="EJ14293"/>
      <c r="EK14293"/>
    </row>
    <row r="14294" spans="1:141" s="116" customFormat="1">
      <c r="A14294" s="136"/>
      <c r="CM14294" s="111"/>
      <c r="CQ14294" s="111"/>
      <c r="EF14294"/>
      <c r="EG14294"/>
      <c r="EH14294"/>
      <c r="EI14294"/>
      <c r="EJ14294"/>
      <c r="EK14294"/>
    </row>
    <row r="14295" spans="1:141" s="116" customFormat="1">
      <c r="A14295" s="136"/>
      <c r="CM14295" s="111"/>
      <c r="CQ14295" s="111"/>
      <c r="EF14295"/>
      <c r="EG14295"/>
      <c r="EH14295"/>
      <c r="EI14295"/>
      <c r="EJ14295"/>
      <c r="EK14295"/>
    </row>
    <row r="14296" spans="1:141" s="116" customFormat="1">
      <c r="A14296" s="136"/>
      <c r="CM14296" s="111"/>
      <c r="CQ14296" s="111"/>
      <c r="EF14296"/>
      <c r="EG14296"/>
      <c r="EH14296"/>
      <c r="EI14296"/>
      <c r="EJ14296"/>
      <c r="EK14296"/>
    </row>
    <row r="14297" spans="1:141" s="116" customFormat="1">
      <c r="A14297" s="136"/>
      <c r="CM14297" s="111"/>
      <c r="CQ14297" s="111"/>
      <c r="EF14297"/>
      <c r="EG14297"/>
      <c r="EH14297"/>
      <c r="EI14297"/>
      <c r="EJ14297"/>
      <c r="EK14297"/>
    </row>
    <row r="14298" spans="1:141" s="116" customFormat="1">
      <c r="A14298" s="136"/>
      <c r="CM14298" s="111"/>
      <c r="CQ14298" s="111"/>
      <c r="EF14298"/>
      <c r="EG14298"/>
      <c r="EH14298"/>
      <c r="EI14298"/>
      <c r="EJ14298"/>
      <c r="EK14298"/>
    </row>
    <row r="14299" spans="1:141" s="116" customFormat="1">
      <c r="A14299" s="136"/>
      <c r="CM14299" s="111"/>
      <c r="CQ14299" s="111"/>
      <c r="EF14299"/>
      <c r="EG14299"/>
      <c r="EH14299"/>
      <c r="EI14299"/>
      <c r="EJ14299"/>
      <c r="EK14299"/>
    </row>
    <row r="14300" spans="1:141" s="116" customFormat="1">
      <c r="A14300" s="136"/>
      <c r="CM14300" s="111"/>
      <c r="CQ14300" s="111"/>
      <c r="EF14300"/>
      <c r="EG14300"/>
      <c r="EH14300"/>
      <c r="EI14300"/>
      <c r="EJ14300"/>
      <c r="EK14300"/>
    </row>
    <row r="14301" spans="1:141" s="116" customFormat="1">
      <c r="A14301" s="136"/>
      <c r="CM14301" s="111"/>
      <c r="CQ14301" s="111"/>
      <c r="EF14301"/>
      <c r="EG14301"/>
      <c r="EH14301"/>
      <c r="EI14301"/>
      <c r="EJ14301"/>
      <c r="EK14301"/>
    </row>
    <row r="14302" spans="1:141" s="116" customFormat="1">
      <c r="A14302" s="136"/>
      <c r="CM14302" s="111"/>
      <c r="CQ14302" s="111"/>
      <c r="EF14302"/>
      <c r="EG14302"/>
      <c r="EH14302"/>
      <c r="EI14302"/>
      <c r="EJ14302"/>
      <c r="EK14302"/>
    </row>
    <row r="14303" spans="1:141" s="116" customFormat="1">
      <c r="A14303" s="136"/>
      <c r="CM14303" s="111"/>
      <c r="CQ14303" s="111"/>
      <c r="EF14303"/>
      <c r="EG14303"/>
      <c r="EH14303"/>
      <c r="EI14303"/>
      <c r="EJ14303"/>
      <c r="EK14303"/>
    </row>
    <row r="14304" spans="1:141" s="116" customFormat="1">
      <c r="A14304" s="136"/>
      <c r="CM14304" s="111"/>
      <c r="CQ14304" s="111"/>
      <c r="EF14304"/>
      <c r="EG14304"/>
      <c r="EH14304"/>
      <c r="EI14304"/>
      <c r="EJ14304"/>
      <c r="EK14304"/>
    </row>
    <row r="14305" spans="1:141" s="116" customFormat="1">
      <c r="A14305" s="136"/>
      <c r="CM14305" s="111"/>
      <c r="CQ14305" s="111"/>
      <c r="EF14305"/>
      <c r="EG14305"/>
      <c r="EH14305"/>
      <c r="EI14305"/>
      <c r="EJ14305"/>
      <c r="EK14305"/>
    </row>
    <row r="14306" spans="1:141" s="116" customFormat="1">
      <c r="A14306" s="136"/>
      <c r="CM14306" s="111"/>
      <c r="CQ14306" s="111"/>
      <c r="EF14306"/>
      <c r="EG14306"/>
      <c r="EH14306"/>
      <c r="EI14306"/>
      <c r="EJ14306"/>
      <c r="EK14306"/>
    </row>
    <row r="14307" spans="1:141" s="116" customFormat="1">
      <c r="A14307" s="136"/>
      <c r="CM14307" s="111"/>
      <c r="CQ14307" s="111"/>
      <c r="EF14307"/>
      <c r="EG14307"/>
      <c r="EH14307"/>
      <c r="EI14307"/>
      <c r="EJ14307"/>
      <c r="EK14307"/>
    </row>
    <row r="14308" spans="1:141" s="116" customFormat="1">
      <c r="A14308" s="136"/>
      <c r="CM14308" s="111"/>
      <c r="CQ14308" s="111"/>
      <c r="EF14308"/>
      <c r="EG14308"/>
      <c r="EH14308"/>
      <c r="EI14308"/>
      <c r="EJ14308"/>
      <c r="EK14308"/>
    </row>
    <row r="14309" spans="1:141" s="116" customFormat="1">
      <c r="A14309" s="136"/>
      <c r="CM14309" s="111"/>
      <c r="CQ14309" s="111"/>
      <c r="EF14309"/>
      <c r="EG14309"/>
      <c r="EH14309"/>
      <c r="EI14309"/>
      <c r="EJ14309"/>
      <c r="EK14309"/>
    </row>
    <row r="14310" spans="1:141" s="116" customFormat="1">
      <c r="A14310" s="136"/>
      <c r="CM14310" s="111"/>
      <c r="CQ14310" s="111"/>
      <c r="EF14310"/>
      <c r="EG14310"/>
      <c r="EH14310"/>
      <c r="EI14310"/>
      <c r="EJ14310"/>
      <c r="EK14310"/>
    </row>
    <row r="14311" spans="1:141" s="116" customFormat="1">
      <c r="A14311" s="136"/>
      <c r="CM14311" s="111"/>
      <c r="CQ14311" s="111"/>
      <c r="EF14311"/>
      <c r="EG14311"/>
      <c r="EH14311"/>
      <c r="EI14311"/>
      <c r="EJ14311"/>
      <c r="EK14311"/>
    </row>
    <row r="14312" spans="1:141" s="116" customFormat="1">
      <c r="A14312" s="136"/>
      <c r="CM14312" s="111"/>
      <c r="CQ14312" s="111"/>
      <c r="EF14312"/>
      <c r="EG14312"/>
      <c r="EH14312"/>
      <c r="EI14312"/>
      <c r="EJ14312"/>
      <c r="EK14312"/>
    </row>
    <row r="14313" spans="1:141" s="116" customFormat="1">
      <c r="A14313" s="136"/>
      <c r="CM14313" s="111"/>
      <c r="CQ14313" s="111"/>
      <c r="EF14313"/>
      <c r="EG14313"/>
      <c r="EH14313"/>
      <c r="EI14313"/>
      <c r="EJ14313"/>
      <c r="EK14313"/>
    </row>
    <row r="14314" spans="1:141" s="116" customFormat="1">
      <c r="A14314" s="136"/>
      <c r="CM14314" s="111"/>
      <c r="CQ14314" s="111"/>
      <c r="EF14314"/>
      <c r="EG14314"/>
      <c r="EH14314"/>
      <c r="EI14314"/>
      <c r="EJ14314"/>
      <c r="EK14314"/>
    </row>
    <row r="14315" spans="1:141" s="116" customFormat="1">
      <c r="A14315" s="136"/>
      <c r="CM14315" s="111"/>
      <c r="CQ14315" s="111"/>
      <c r="EF14315"/>
      <c r="EG14315"/>
      <c r="EH14315"/>
      <c r="EI14315"/>
      <c r="EJ14315"/>
      <c r="EK14315"/>
    </row>
    <row r="14316" spans="1:141" s="116" customFormat="1">
      <c r="A14316" s="136"/>
      <c r="CM14316" s="111"/>
      <c r="CQ14316" s="111"/>
      <c r="EF14316"/>
      <c r="EG14316"/>
      <c r="EH14316"/>
      <c r="EI14316"/>
      <c r="EJ14316"/>
      <c r="EK14316"/>
    </row>
    <row r="14317" spans="1:141" s="116" customFormat="1">
      <c r="A14317" s="136"/>
      <c r="CM14317" s="111"/>
      <c r="CQ14317" s="111"/>
      <c r="EF14317"/>
      <c r="EG14317"/>
      <c r="EH14317"/>
      <c r="EI14317"/>
      <c r="EJ14317"/>
      <c r="EK14317"/>
    </row>
    <row r="14318" spans="1:141" s="116" customFormat="1">
      <c r="A14318" s="136"/>
      <c r="CM14318" s="111"/>
      <c r="CQ14318" s="111"/>
      <c r="EF14318"/>
      <c r="EG14318"/>
      <c r="EH14318"/>
      <c r="EI14318"/>
      <c r="EJ14318"/>
      <c r="EK14318"/>
    </row>
    <row r="14319" spans="1:141" s="116" customFormat="1">
      <c r="A14319" s="136"/>
      <c r="CM14319" s="111"/>
      <c r="CQ14319" s="111"/>
      <c r="EF14319"/>
      <c r="EG14319"/>
      <c r="EH14319"/>
      <c r="EI14319"/>
      <c r="EJ14319"/>
      <c r="EK14319"/>
    </row>
    <row r="14320" spans="1:141" s="116" customFormat="1">
      <c r="A14320" s="136"/>
      <c r="CM14320" s="111"/>
      <c r="CQ14320" s="111"/>
      <c r="EF14320"/>
      <c r="EG14320"/>
      <c r="EH14320"/>
      <c r="EI14320"/>
      <c r="EJ14320"/>
      <c r="EK14320"/>
    </row>
    <row r="14321" spans="1:141" s="116" customFormat="1">
      <c r="A14321" s="136"/>
      <c r="CM14321" s="111"/>
      <c r="CQ14321" s="111"/>
      <c r="EF14321"/>
      <c r="EG14321"/>
      <c r="EH14321"/>
      <c r="EI14321"/>
      <c r="EJ14321"/>
      <c r="EK14321"/>
    </row>
    <row r="14322" spans="1:141" s="116" customFormat="1">
      <c r="A14322" s="136"/>
      <c r="CM14322" s="111"/>
      <c r="CQ14322" s="111"/>
      <c r="EF14322"/>
      <c r="EG14322"/>
      <c r="EH14322"/>
      <c r="EI14322"/>
      <c r="EJ14322"/>
      <c r="EK14322"/>
    </row>
    <row r="14323" spans="1:141" s="116" customFormat="1">
      <c r="A14323" s="136"/>
      <c r="CM14323" s="111"/>
      <c r="CQ14323" s="111"/>
      <c r="EF14323"/>
      <c r="EG14323"/>
      <c r="EH14323"/>
      <c r="EI14323"/>
      <c r="EJ14323"/>
      <c r="EK14323"/>
    </row>
    <row r="14324" spans="1:141" s="116" customFormat="1">
      <c r="A14324" s="136"/>
      <c r="CM14324" s="111"/>
      <c r="CQ14324" s="111"/>
      <c r="EF14324"/>
      <c r="EG14324"/>
      <c r="EH14324"/>
      <c r="EI14324"/>
      <c r="EJ14324"/>
      <c r="EK14324"/>
    </row>
    <row r="14325" spans="1:141" s="116" customFormat="1">
      <c r="A14325" s="136"/>
      <c r="CM14325" s="111"/>
      <c r="CQ14325" s="111"/>
      <c r="EF14325"/>
      <c r="EG14325"/>
      <c r="EH14325"/>
      <c r="EI14325"/>
      <c r="EJ14325"/>
      <c r="EK14325"/>
    </row>
    <row r="14326" spans="1:141" s="116" customFormat="1">
      <c r="A14326" s="136"/>
      <c r="CM14326" s="111"/>
      <c r="CQ14326" s="111"/>
      <c r="EF14326"/>
      <c r="EG14326"/>
      <c r="EH14326"/>
      <c r="EI14326"/>
      <c r="EJ14326"/>
      <c r="EK14326"/>
    </row>
    <row r="14327" spans="1:141" s="116" customFormat="1">
      <c r="A14327" s="136"/>
      <c r="CM14327" s="111"/>
      <c r="CQ14327" s="111"/>
      <c r="EF14327"/>
      <c r="EG14327"/>
      <c r="EH14327"/>
      <c r="EI14327"/>
      <c r="EJ14327"/>
      <c r="EK14327"/>
    </row>
    <row r="14328" spans="1:141" s="116" customFormat="1">
      <c r="A14328" s="136"/>
      <c r="CM14328" s="111"/>
      <c r="CQ14328" s="111"/>
      <c r="EF14328"/>
      <c r="EG14328"/>
      <c r="EH14328"/>
      <c r="EI14328"/>
      <c r="EJ14328"/>
      <c r="EK14328"/>
    </row>
    <row r="14329" spans="1:141" s="116" customFormat="1">
      <c r="A14329" s="136"/>
      <c r="CM14329" s="111"/>
      <c r="CQ14329" s="111"/>
      <c r="EF14329"/>
      <c r="EG14329"/>
      <c r="EH14329"/>
      <c r="EI14329"/>
      <c r="EJ14329"/>
      <c r="EK14329"/>
    </row>
    <row r="14330" spans="1:141" s="116" customFormat="1">
      <c r="A14330" s="136"/>
      <c r="CM14330" s="111"/>
      <c r="CQ14330" s="111"/>
      <c r="EF14330"/>
      <c r="EG14330"/>
      <c r="EH14330"/>
      <c r="EI14330"/>
      <c r="EJ14330"/>
      <c r="EK14330"/>
    </row>
    <row r="14331" spans="1:141" s="116" customFormat="1">
      <c r="A14331" s="136"/>
      <c r="CM14331" s="111"/>
      <c r="CQ14331" s="111"/>
      <c r="EF14331"/>
      <c r="EG14331"/>
      <c r="EH14331"/>
      <c r="EI14331"/>
      <c r="EJ14331"/>
      <c r="EK14331"/>
    </row>
    <row r="14332" spans="1:141" s="116" customFormat="1">
      <c r="A14332" s="136"/>
      <c r="CM14332" s="111"/>
      <c r="CQ14332" s="111"/>
      <c r="EF14332"/>
      <c r="EG14332"/>
      <c r="EH14332"/>
      <c r="EI14332"/>
      <c r="EJ14332"/>
      <c r="EK14332"/>
    </row>
    <row r="14333" spans="1:141" s="116" customFormat="1">
      <c r="A14333" s="136"/>
      <c r="CM14333" s="111"/>
      <c r="CQ14333" s="111"/>
      <c r="EF14333"/>
      <c r="EG14333"/>
      <c r="EH14333"/>
      <c r="EI14333"/>
      <c r="EJ14333"/>
      <c r="EK14333"/>
    </row>
    <row r="14334" spans="1:141" s="116" customFormat="1">
      <c r="A14334" s="136"/>
      <c r="CM14334" s="111"/>
      <c r="CQ14334" s="111"/>
      <c r="EF14334"/>
      <c r="EG14334"/>
      <c r="EH14334"/>
      <c r="EI14334"/>
      <c r="EJ14334"/>
      <c r="EK14334"/>
    </row>
    <row r="14335" spans="1:141" s="116" customFormat="1">
      <c r="A14335" s="136"/>
      <c r="CM14335" s="111"/>
      <c r="CQ14335" s="111"/>
      <c r="EF14335"/>
      <c r="EG14335"/>
      <c r="EH14335"/>
      <c r="EI14335"/>
      <c r="EJ14335"/>
      <c r="EK14335"/>
    </row>
    <row r="14336" spans="1:141" s="116" customFormat="1">
      <c r="A14336" s="136"/>
      <c r="CM14336" s="111"/>
      <c r="CQ14336" s="111"/>
      <c r="EF14336"/>
      <c r="EG14336"/>
      <c r="EH14336"/>
      <c r="EI14336"/>
      <c r="EJ14336"/>
      <c r="EK14336"/>
    </row>
    <row r="14337" spans="1:141" s="116" customFormat="1">
      <c r="A14337" s="136"/>
      <c r="CM14337" s="111"/>
      <c r="CQ14337" s="111"/>
      <c r="EF14337"/>
      <c r="EG14337"/>
      <c r="EH14337"/>
      <c r="EI14337"/>
      <c r="EJ14337"/>
      <c r="EK14337"/>
    </row>
    <row r="14338" spans="1:141" s="116" customFormat="1">
      <c r="A14338" s="136"/>
      <c r="CM14338" s="111"/>
      <c r="CQ14338" s="111"/>
      <c r="EF14338"/>
      <c r="EG14338"/>
      <c r="EH14338"/>
      <c r="EI14338"/>
      <c r="EJ14338"/>
      <c r="EK14338"/>
    </row>
    <row r="14339" spans="1:141" s="116" customFormat="1">
      <c r="A14339" s="136"/>
      <c r="CM14339" s="111"/>
      <c r="CQ14339" s="111"/>
      <c r="EF14339"/>
      <c r="EG14339"/>
      <c r="EH14339"/>
      <c r="EI14339"/>
      <c r="EJ14339"/>
      <c r="EK14339"/>
    </row>
    <row r="14340" spans="1:141" s="116" customFormat="1">
      <c r="A14340" s="136"/>
      <c r="CM14340" s="111"/>
      <c r="CQ14340" s="111"/>
      <c r="EF14340"/>
      <c r="EG14340"/>
      <c r="EH14340"/>
      <c r="EI14340"/>
      <c r="EJ14340"/>
      <c r="EK14340"/>
    </row>
    <row r="14341" spans="1:141" s="116" customFormat="1">
      <c r="A14341" s="136"/>
      <c r="CM14341" s="111"/>
      <c r="CQ14341" s="111"/>
      <c r="EF14341"/>
      <c r="EG14341"/>
      <c r="EH14341"/>
      <c r="EI14341"/>
      <c r="EJ14341"/>
      <c r="EK14341"/>
    </row>
    <row r="14342" spans="1:141" s="116" customFormat="1">
      <c r="A14342" s="136"/>
      <c r="CM14342" s="111"/>
      <c r="CQ14342" s="111"/>
      <c r="EF14342"/>
      <c r="EG14342"/>
      <c r="EH14342"/>
      <c r="EI14342"/>
      <c r="EJ14342"/>
      <c r="EK14342"/>
    </row>
    <row r="14343" spans="1:141" s="116" customFormat="1">
      <c r="A14343" s="136"/>
      <c r="CM14343" s="111"/>
      <c r="CQ14343" s="111"/>
      <c r="EF14343"/>
      <c r="EG14343"/>
      <c r="EH14343"/>
      <c r="EI14343"/>
      <c r="EJ14343"/>
      <c r="EK14343"/>
    </row>
    <row r="14344" spans="1:141" s="116" customFormat="1">
      <c r="A14344" s="136"/>
      <c r="CM14344" s="111"/>
      <c r="CQ14344" s="111"/>
      <c r="EF14344"/>
      <c r="EG14344"/>
      <c r="EH14344"/>
      <c r="EI14344"/>
      <c r="EJ14344"/>
      <c r="EK14344"/>
    </row>
    <row r="14345" spans="1:141" s="116" customFormat="1">
      <c r="A14345" s="136"/>
      <c r="CM14345" s="111"/>
      <c r="CQ14345" s="111"/>
      <c r="EF14345"/>
      <c r="EG14345"/>
      <c r="EH14345"/>
      <c r="EI14345"/>
      <c r="EJ14345"/>
      <c r="EK14345"/>
    </row>
    <row r="14346" spans="1:141" s="116" customFormat="1">
      <c r="A14346" s="136"/>
      <c r="CM14346" s="111"/>
      <c r="CQ14346" s="111"/>
      <c r="EF14346"/>
      <c r="EG14346"/>
      <c r="EH14346"/>
      <c r="EI14346"/>
      <c r="EJ14346"/>
      <c r="EK14346"/>
    </row>
    <row r="14347" spans="1:141" s="116" customFormat="1">
      <c r="A14347" s="136"/>
      <c r="CM14347" s="111"/>
      <c r="CQ14347" s="111"/>
      <c r="EF14347"/>
      <c r="EG14347"/>
      <c r="EH14347"/>
      <c r="EI14347"/>
      <c r="EJ14347"/>
      <c r="EK14347"/>
    </row>
    <row r="14348" spans="1:141" s="116" customFormat="1">
      <c r="A14348" s="136"/>
      <c r="CM14348" s="111"/>
      <c r="CQ14348" s="111"/>
      <c r="EF14348"/>
      <c r="EG14348"/>
      <c r="EH14348"/>
      <c r="EI14348"/>
      <c r="EJ14348"/>
      <c r="EK14348"/>
    </row>
    <row r="14349" spans="1:141" s="116" customFormat="1">
      <c r="A14349" s="136"/>
      <c r="CM14349" s="111"/>
      <c r="CQ14349" s="111"/>
      <c r="EF14349"/>
      <c r="EG14349"/>
      <c r="EH14349"/>
      <c r="EI14349"/>
      <c r="EJ14349"/>
      <c r="EK14349"/>
    </row>
    <row r="14350" spans="1:141" s="116" customFormat="1">
      <c r="A14350" s="136"/>
      <c r="CM14350" s="111"/>
      <c r="CQ14350" s="111"/>
      <c r="EF14350"/>
      <c r="EG14350"/>
      <c r="EH14350"/>
      <c r="EI14350"/>
      <c r="EJ14350"/>
      <c r="EK14350"/>
    </row>
    <row r="14351" spans="1:141" s="116" customFormat="1">
      <c r="A14351" s="136"/>
      <c r="CM14351" s="111"/>
      <c r="CQ14351" s="111"/>
      <c r="EF14351"/>
      <c r="EG14351"/>
      <c r="EH14351"/>
      <c r="EI14351"/>
      <c r="EJ14351"/>
      <c r="EK14351"/>
    </row>
    <row r="14352" spans="1:141" s="116" customFormat="1">
      <c r="A14352" s="136"/>
      <c r="CM14352" s="111"/>
      <c r="CQ14352" s="111"/>
      <c r="EF14352"/>
      <c r="EG14352"/>
      <c r="EH14352"/>
      <c r="EI14352"/>
      <c r="EJ14352"/>
      <c r="EK14352"/>
    </row>
    <row r="14353" spans="1:141" s="116" customFormat="1">
      <c r="A14353" s="136"/>
      <c r="CM14353" s="111"/>
      <c r="CQ14353" s="111"/>
      <c r="EF14353"/>
      <c r="EG14353"/>
      <c r="EH14353"/>
      <c r="EI14353"/>
      <c r="EJ14353"/>
      <c r="EK14353"/>
    </row>
    <row r="14354" spans="1:141" s="116" customFormat="1">
      <c r="A14354" s="136"/>
      <c r="CM14354" s="111"/>
      <c r="CQ14354" s="111"/>
      <c r="EF14354"/>
      <c r="EG14354"/>
      <c r="EH14354"/>
      <c r="EI14354"/>
      <c r="EJ14354"/>
      <c r="EK14354"/>
    </row>
    <row r="14355" spans="1:141" s="116" customFormat="1">
      <c r="A14355" s="136"/>
      <c r="CM14355" s="111"/>
      <c r="CQ14355" s="111"/>
      <c r="EF14355"/>
      <c r="EG14355"/>
      <c r="EH14355"/>
      <c r="EI14355"/>
      <c r="EJ14355"/>
      <c r="EK14355"/>
    </row>
    <row r="14356" spans="1:141" s="116" customFormat="1">
      <c r="A14356" s="136"/>
      <c r="CM14356" s="111"/>
      <c r="CQ14356" s="111"/>
      <c r="EF14356"/>
      <c r="EG14356"/>
      <c r="EH14356"/>
      <c r="EI14356"/>
      <c r="EJ14356"/>
      <c r="EK14356"/>
    </row>
    <row r="14357" spans="1:141" s="116" customFormat="1">
      <c r="A14357" s="136"/>
      <c r="CM14357" s="111"/>
      <c r="CQ14357" s="111"/>
      <c r="EF14357"/>
      <c r="EG14357"/>
      <c r="EH14357"/>
      <c r="EI14357"/>
      <c r="EJ14357"/>
      <c r="EK14357"/>
    </row>
    <row r="14358" spans="1:141" s="116" customFormat="1">
      <c r="A14358" s="136"/>
      <c r="CM14358" s="111"/>
      <c r="CQ14358" s="111"/>
      <c r="EF14358"/>
      <c r="EG14358"/>
      <c r="EH14358"/>
      <c r="EI14358"/>
      <c r="EJ14358"/>
      <c r="EK14358"/>
    </row>
    <row r="14359" spans="1:141" s="116" customFormat="1">
      <c r="A14359" s="136"/>
      <c r="CM14359" s="111"/>
      <c r="CQ14359" s="111"/>
      <c r="EF14359"/>
      <c r="EG14359"/>
      <c r="EH14359"/>
      <c r="EI14359"/>
      <c r="EJ14359"/>
      <c r="EK14359"/>
    </row>
    <row r="14360" spans="1:141" s="116" customFormat="1">
      <c r="A14360" s="136"/>
      <c r="CM14360" s="111"/>
      <c r="CQ14360" s="111"/>
      <c r="EF14360"/>
      <c r="EG14360"/>
      <c r="EH14360"/>
      <c r="EI14360"/>
      <c r="EJ14360"/>
      <c r="EK14360"/>
    </row>
    <row r="14361" spans="1:141" s="116" customFormat="1">
      <c r="A14361" s="136"/>
      <c r="CM14361" s="111"/>
      <c r="CQ14361" s="111"/>
      <c r="EF14361"/>
      <c r="EG14361"/>
      <c r="EH14361"/>
      <c r="EI14361"/>
      <c r="EJ14361"/>
      <c r="EK14361"/>
    </row>
    <row r="14362" spans="1:141" s="116" customFormat="1">
      <c r="A14362" s="136"/>
      <c r="CM14362" s="111"/>
      <c r="CQ14362" s="111"/>
      <c r="EF14362"/>
      <c r="EG14362"/>
      <c r="EH14362"/>
      <c r="EI14362"/>
      <c r="EJ14362"/>
      <c r="EK14362"/>
    </row>
    <row r="14363" spans="1:141" s="116" customFormat="1">
      <c r="A14363" s="136"/>
      <c r="CM14363" s="111"/>
      <c r="CQ14363" s="111"/>
      <c r="EF14363"/>
      <c r="EG14363"/>
      <c r="EH14363"/>
      <c r="EI14363"/>
      <c r="EJ14363"/>
      <c r="EK14363"/>
    </row>
    <row r="14364" spans="1:141" s="116" customFormat="1">
      <c r="A14364" s="136"/>
      <c r="CM14364" s="111"/>
      <c r="CQ14364" s="111"/>
      <c r="EF14364"/>
      <c r="EG14364"/>
      <c r="EH14364"/>
      <c r="EI14364"/>
      <c r="EJ14364"/>
      <c r="EK14364"/>
    </row>
    <row r="14365" spans="1:141" s="116" customFormat="1">
      <c r="A14365" s="136"/>
      <c r="CM14365" s="111"/>
      <c r="CQ14365" s="111"/>
      <c r="EF14365"/>
      <c r="EG14365"/>
      <c r="EH14365"/>
      <c r="EI14365"/>
      <c r="EJ14365"/>
      <c r="EK14365"/>
    </row>
    <row r="14366" spans="1:141" s="116" customFormat="1">
      <c r="A14366" s="136"/>
      <c r="CM14366" s="111"/>
      <c r="CQ14366" s="111"/>
      <c r="EF14366"/>
      <c r="EG14366"/>
      <c r="EH14366"/>
      <c r="EI14366"/>
      <c r="EJ14366"/>
      <c r="EK14366"/>
    </row>
    <row r="14367" spans="1:141" s="116" customFormat="1">
      <c r="A14367" s="136"/>
      <c r="CM14367" s="111"/>
      <c r="CQ14367" s="111"/>
      <c r="EF14367"/>
      <c r="EG14367"/>
      <c r="EH14367"/>
      <c r="EI14367"/>
      <c r="EJ14367"/>
      <c r="EK14367"/>
    </row>
    <row r="14368" spans="1:141" s="116" customFormat="1">
      <c r="A14368" s="136"/>
      <c r="CM14368" s="111"/>
      <c r="CQ14368" s="111"/>
      <c r="EF14368"/>
      <c r="EG14368"/>
      <c r="EH14368"/>
      <c r="EI14368"/>
      <c r="EJ14368"/>
      <c r="EK14368"/>
    </row>
    <row r="14369" spans="1:141" s="116" customFormat="1">
      <c r="A14369" s="136"/>
      <c r="CM14369" s="111"/>
      <c r="CQ14369" s="111"/>
      <c r="EF14369"/>
      <c r="EG14369"/>
      <c r="EH14369"/>
      <c r="EI14369"/>
      <c r="EJ14369"/>
      <c r="EK14369"/>
    </row>
    <row r="14370" spans="1:141" s="116" customFormat="1">
      <c r="A14370" s="136"/>
      <c r="CM14370" s="111"/>
      <c r="CQ14370" s="111"/>
      <c r="EF14370"/>
      <c r="EG14370"/>
      <c r="EH14370"/>
      <c r="EI14370"/>
      <c r="EJ14370"/>
      <c r="EK14370"/>
    </row>
    <row r="14371" spans="1:141" s="116" customFormat="1">
      <c r="A14371" s="136"/>
      <c r="CM14371" s="111"/>
      <c r="CQ14371" s="111"/>
      <c r="EF14371"/>
      <c r="EG14371"/>
      <c r="EH14371"/>
      <c r="EI14371"/>
      <c r="EJ14371"/>
      <c r="EK14371"/>
    </row>
    <row r="14372" spans="1:141" s="116" customFormat="1">
      <c r="A14372" s="136"/>
      <c r="CM14372" s="111"/>
      <c r="CQ14372" s="111"/>
      <c r="EF14372"/>
      <c r="EG14372"/>
      <c r="EH14372"/>
      <c r="EI14372"/>
      <c r="EJ14372"/>
      <c r="EK14372"/>
    </row>
    <row r="14373" spans="1:141" s="116" customFormat="1">
      <c r="A14373" s="136"/>
      <c r="CM14373" s="111"/>
      <c r="CQ14373" s="111"/>
      <c r="EF14373"/>
      <c r="EG14373"/>
      <c r="EH14373"/>
      <c r="EI14373"/>
      <c r="EJ14373"/>
      <c r="EK14373"/>
    </row>
    <row r="14374" spans="1:141" s="116" customFormat="1">
      <c r="A14374" s="136"/>
      <c r="CM14374" s="111"/>
      <c r="CQ14374" s="111"/>
      <c r="EF14374"/>
      <c r="EG14374"/>
      <c r="EH14374"/>
      <c r="EI14374"/>
      <c r="EJ14374"/>
      <c r="EK14374"/>
    </row>
    <row r="14375" spans="1:141" s="116" customFormat="1">
      <c r="A14375" s="136"/>
      <c r="CM14375" s="111"/>
      <c r="CQ14375" s="111"/>
      <c r="EF14375"/>
      <c r="EG14375"/>
      <c r="EH14375"/>
      <c r="EI14375"/>
      <c r="EJ14375"/>
      <c r="EK14375"/>
    </row>
    <row r="14376" spans="1:141" s="116" customFormat="1">
      <c r="A14376" s="136"/>
      <c r="CM14376" s="111"/>
      <c r="CQ14376" s="111"/>
      <c r="EF14376"/>
      <c r="EG14376"/>
      <c r="EH14376"/>
      <c r="EI14376"/>
      <c r="EJ14376"/>
      <c r="EK14376"/>
    </row>
    <row r="14377" spans="1:141" s="116" customFormat="1">
      <c r="A14377" s="136"/>
      <c r="CM14377" s="111"/>
      <c r="CQ14377" s="111"/>
      <c r="EF14377"/>
      <c r="EG14377"/>
      <c r="EH14377"/>
      <c r="EI14377"/>
      <c r="EJ14377"/>
      <c r="EK14377"/>
    </row>
    <row r="14378" spans="1:141" s="116" customFormat="1">
      <c r="A14378" s="136"/>
      <c r="CM14378" s="111"/>
      <c r="CQ14378" s="111"/>
      <c r="EF14378"/>
      <c r="EG14378"/>
      <c r="EH14378"/>
      <c r="EI14378"/>
      <c r="EJ14378"/>
      <c r="EK14378"/>
    </row>
    <row r="14379" spans="1:141" s="116" customFormat="1">
      <c r="A14379" s="136"/>
      <c r="CM14379" s="111"/>
      <c r="CQ14379" s="111"/>
      <c r="EF14379"/>
      <c r="EG14379"/>
      <c r="EH14379"/>
      <c r="EI14379"/>
      <c r="EJ14379"/>
      <c r="EK14379"/>
    </row>
    <row r="14380" spans="1:141" s="116" customFormat="1">
      <c r="A14380" s="136"/>
      <c r="CM14380" s="111"/>
      <c r="CQ14380" s="111"/>
      <c r="EF14380"/>
      <c r="EG14380"/>
      <c r="EH14380"/>
      <c r="EI14380"/>
      <c r="EJ14380"/>
      <c r="EK14380"/>
    </row>
    <row r="14381" spans="1:141" s="116" customFormat="1">
      <c r="A14381" s="136"/>
      <c r="CM14381" s="111"/>
      <c r="CQ14381" s="111"/>
      <c r="EF14381"/>
      <c r="EG14381"/>
      <c r="EH14381"/>
      <c r="EI14381"/>
      <c r="EJ14381"/>
      <c r="EK14381"/>
    </row>
    <row r="14382" spans="1:141" s="116" customFormat="1">
      <c r="A14382" s="136"/>
      <c r="CM14382" s="111"/>
      <c r="CQ14382" s="111"/>
      <c r="EF14382"/>
      <c r="EG14382"/>
      <c r="EH14382"/>
      <c r="EI14382"/>
      <c r="EJ14382"/>
      <c r="EK14382"/>
    </row>
    <row r="14383" spans="1:141" s="116" customFormat="1">
      <c r="A14383" s="136"/>
      <c r="CM14383" s="111"/>
      <c r="CQ14383" s="111"/>
      <c r="EF14383"/>
      <c r="EG14383"/>
      <c r="EH14383"/>
      <c r="EI14383"/>
      <c r="EJ14383"/>
      <c r="EK14383"/>
    </row>
    <row r="14384" spans="1:141" s="116" customFormat="1">
      <c r="A14384" s="136"/>
      <c r="CM14384" s="111"/>
      <c r="CQ14384" s="111"/>
      <c r="EF14384"/>
      <c r="EG14384"/>
      <c r="EH14384"/>
      <c r="EI14384"/>
      <c r="EJ14384"/>
      <c r="EK14384"/>
    </row>
    <row r="14385" spans="1:141" s="116" customFormat="1">
      <c r="A14385" s="136"/>
      <c r="CM14385" s="111"/>
      <c r="CQ14385" s="111"/>
      <c r="EF14385"/>
      <c r="EG14385"/>
      <c r="EH14385"/>
      <c r="EI14385"/>
      <c r="EJ14385"/>
      <c r="EK14385"/>
    </row>
    <row r="14386" spans="1:141" s="116" customFormat="1">
      <c r="A14386" s="136"/>
      <c r="CM14386" s="111"/>
      <c r="CQ14386" s="111"/>
      <c r="EF14386"/>
      <c r="EG14386"/>
      <c r="EH14386"/>
      <c r="EI14386"/>
      <c r="EJ14386"/>
      <c r="EK14386"/>
    </row>
    <row r="14387" spans="1:141" s="116" customFormat="1">
      <c r="A14387" s="136"/>
      <c r="CM14387" s="111"/>
      <c r="CQ14387" s="111"/>
      <c r="EF14387"/>
      <c r="EG14387"/>
      <c r="EH14387"/>
      <c r="EI14387"/>
      <c r="EJ14387"/>
      <c r="EK14387"/>
    </row>
    <row r="14388" spans="1:141" s="116" customFormat="1">
      <c r="A14388" s="136"/>
      <c r="CM14388" s="111"/>
      <c r="CQ14388" s="111"/>
      <c r="EF14388"/>
      <c r="EG14388"/>
      <c r="EH14388"/>
      <c r="EI14388"/>
      <c r="EJ14388"/>
      <c r="EK14388"/>
    </row>
    <row r="14389" spans="1:141" s="116" customFormat="1">
      <c r="A14389" s="136"/>
      <c r="CM14389" s="111"/>
      <c r="CQ14389" s="111"/>
      <c r="EF14389"/>
      <c r="EG14389"/>
      <c r="EH14389"/>
      <c r="EI14389"/>
      <c r="EJ14389"/>
      <c r="EK14389"/>
    </row>
    <row r="14390" spans="1:141" s="116" customFormat="1">
      <c r="A14390" s="136"/>
      <c r="CM14390" s="111"/>
      <c r="CQ14390" s="111"/>
      <c r="EF14390"/>
      <c r="EG14390"/>
      <c r="EH14390"/>
      <c r="EI14390"/>
      <c r="EJ14390"/>
      <c r="EK14390"/>
    </row>
    <row r="14391" spans="1:141" s="116" customFormat="1">
      <c r="A14391" s="136"/>
      <c r="CM14391" s="111"/>
      <c r="CQ14391" s="111"/>
      <c r="EF14391"/>
      <c r="EG14391"/>
      <c r="EH14391"/>
      <c r="EI14391"/>
      <c r="EJ14391"/>
      <c r="EK14391"/>
    </row>
    <row r="14392" spans="1:141" s="116" customFormat="1">
      <c r="A14392" s="136"/>
      <c r="CM14392" s="111"/>
      <c r="CQ14392" s="111"/>
      <c r="EF14392"/>
      <c r="EG14392"/>
      <c r="EH14392"/>
      <c r="EI14392"/>
      <c r="EJ14392"/>
      <c r="EK14392"/>
    </row>
    <row r="14393" spans="1:141" s="116" customFormat="1">
      <c r="A14393" s="136"/>
      <c r="CM14393" s="111"/>
      <c r="CQ14393" s="111"/>
      <c r="EF14393"/>
      <c r="EG14393"/>
      <c r="EH14393"/>
      <c r="EI14393"/>
      <c r="EJ14393"/>
      <c r="EK14393"/>
    </row>
    <row r="14394" spans="1:141" s="116" customFormat="1">
      <c r="A14394" s="136"/>
      <c r="CM14394" s="111"/>
      <c r="CQ14394" s="111"/>
      <c r="EF14394"/>
      <c r="EG14394"/>
      <c r="EH14394"/>
      <c r="EI14394"/>
      <c r="EJ14394"/>
      <c r="EK14394"/>
    </row>
    <row r="14395" spans="1:141" s="116" customFormat="1">
      <c r="A14395" s="136"/>
      <c r="CM14395" s="111"/>
      <c r="CQ14395" s="111"/>
      <c r="EF14395"/>
      <c r="EG14395"/>
      <c r="EH14395"/>
      <c r="EI14395"/>
      <c r="EJ14395"/>
      <c r="EK14395"/>
    </row>
    <row r="14396" spans="1:141" s="116" customFormat="1">
      <c r="A14396" s="136"/>
      <c r="CM14396" s="111"/>
      <c r="CQ14396" s="111"/>
      <c r="EF14396"/>
      <c r="EG14396"/>
      <c r="EH14396"/>
      <c r="EI14396"/>
      <c r="EJ14396"/>
      <c r="EK14396"/>
    </row>
    <row r="14397" spans="1:141" s="116" customFormat="1">
      <c r="A14397" s="136"/>
      <c r="CM14397" s="111"/>
      <c r="CQ14397" s="111"/>
      <c r="EF14397"/>
      <c r="EG14397"/>
      <c r="EH14397"/>
      <c r="EI14397"/>
      <c r="EJ14397"/>
      <c r="EK14397"/>
    </row>
    <row r="14398" spans="1:141" s="116" customFormat="1">
      <c r="A14398" s="136"/>
      <c r="CM14398" s="111"/>
      <c r="CQ14398" s="111"/>
      <c r="EF14398"/>
      <c r="EG14398"/>
      <c r="EH14398"/>
      <c r="EI14398"/>
      <c r="EJ14398"/>
      <c r="EK14398"/>
    </row>
    <row r="14399" spans="1:141" s="116" customFormat="1">
      <c r="A14399" s="136"/>
      <c r="CM14399" s="111"/>
      <c r="CQ14399" s="111"/>
      <c r="EF14399"/>
      <c r="EG14399"/>
      <c r="EH14399"/>
      <c r="EI14399"/>
      <c r="EJ14399"/>
      <c r="EK14399"/>
    </row>
    <row r="14400" spans="1:141" s="116" customFormat="1">
      <c r="A14400" s="136"/>
      <c r="CM14400" s="111"/>
      <c r="CQ14400" s="111"/>
      <c r="EF14400"/>
      <c r="EG14400"/>
      <c r="EH14400"/>
      <c r="EI14400"/>
      <c r="EJ14400"/>
      <c r="EK14400"/>
    </row>
    <row r="14401" spans="1:141" s="116" customFormat="1">
      <c r="A14401" s="136"/>
      <c r="CM14401" s="111"/>
      <c r="CQ14401" s="111"/>
      <c r="EF14401"/>
      <c r="EG14401"/>
      <c r="EH14401"/>
      <c r="EI14401"/>
      <c r="EJ14401"/>
      <c r="EK14401"/>
    </row>
    <row r="14402" spans="1:141" s="116" customFormat="1">
      <c r="A14402" s="136"/>
      <c r="CM14402" s="111"/>
      <c r="CQ14402" s="111"/>
      <c r="EF14402"/>
      <c r="EG14402"/>
      <c r="EH14402"/>
      <c r="EI14402"/>
      <c r="EJ14402"/>
      <c r="EK14402"/>
    </row>
    <row r="14403" spans="1:141" s="116" customFormat="1">
      <c r="A14403" s="136"/>
      <c r="CM14403" s="111"/>
      <c r="CQ14403" s="111"/>
      <c r="EF14403"/>
      <c r="EG14403"/>
      <c r="EH14403"/>
      <c r="EI14403"/>
      <c r="EJ14403"/>
      <c r="EK14403"/>
    </row>
    <row r="14404" spans="1:141" s="116" customFormat="1">
      <c r="A14404" s="136"/>
      <c r="CM14404" s="111"/>
      <c r="CQ14404" s="111"/>
      <c r="EF14404"/>
      <c r="EG14404"/>
      <c r="EH14404"/>
      <c r="EI14404"/>
      <c r="EJ14404"/>
      <c r="EK14404"/>
    </row>
    <row r="14405" spans="1:141" s="116" customFormat="1">
      <c r="A14405" s="136"/>
      <c r="CM14405" s="111"/>
      <c r="CQ14405" s="111"/>
      <c r="EF14405"/>
      <c r="EG14405"/>
      <c r="EH14405"/>
      <c r="EI14405"/>
      <c r="EJ14405"/>
      <c r="EK14405"/>
    </row>
    <row r="14406" spans="1:141" s="116" customFormat="1">
      <c r="A14406" s="136"/>
      <c r="CM14406" s="111"/>
      <c r="CQ14406" s="111"/>
      <c r="EF14406"/>
      <c r="EG14406"/>
      <c r="EH14406"/>
      <c r="EI14406"/>
      <c r="EJ14406"/>
      <c r="EK14406"/>
    </row>
    <row r="14407" spans="1:141" s="116" customFormat="1">
      <c r="A14407" s="136"/>
      <c r="CM14407" s="111"/>
      <c r="CQ14407" s="111"/>
      <c r="EF14407"/>
      <c r="EG14407"/>
      <c r="EH14407"/>
      <c r="EI14407"/>
      <c r="EJ14407"/>
      <c r="EK14407"/>
    </row>
    <row r="14408" spans="1:141" s="116" customFormat="1">
      <c r="A14408" s="136"/>
      <c r="CM14408" s="111"/>
      <c r="CQ14408" s="111"/>
      <c r="EF14408"/>
      <c r="EG14408"/>
      <c r="EH14408"/>
      <c r="EI14408"/>
      <c r="EJ14408"/>
      <c r="EK14408"/>
    </row>
    <row r="14409" spans="1:141" s="116" customFormat="1">
      <c r="A14409" s="136"/>
      <c r="CM14409" s="111"/>
      <c r="CQ14409" s="111"/>
      <c r="EF14409"/>
      <c r="EG14409"/>
      <c r="EH14409"/>
      <c r="EI14409"/>
      <c r="EJ14409"/>
      <c r="EK14409"/>
    </row>
    <row r="14410" spans="1:141" s="116" customFormat="1">
      <c r="A14410" s="136"/>
      <c r="CM14410" s="111"/>
      <c r="CQ14410" s="111"/>
      <c r="EF14410"/>
      <c r="EG14410"/>
      <c r="EH14410"/>
      <c r="EI14410"/>
      <c r="EJ14410"/>
      <c r="EK14410"/>
    </row>
    <row r="14411" spans="1:141" s="116" customFormat="1">
      <c r="A14411" s="136"/>
      <c r="CM14411" s="111"/>
      <c r="CQ14411" s="111"/>
      <c r="EF14411"/>
      <c r="EG14411"/>
      <c r="EH14411"/>
      <c r="EI14411"/>
      <c r="EJ14411"/>
      <c r="EK14411"/>
    </row>
    <row r="14412" spans="1:141" s="116" customFormat="1">
      <c r="A14412" s="136"/>
      <c r="CM14412" s="111"/>
      <c r="CQ14412" s="111"/>
      <c r="EF14412"/>
      <c r="EG14412"/>
      <c r="EH14412"/>
      <c r="EI14412"/>
      <c r="EJ14412"/>
      <c r="EK14412"/>
    </row>
    <row r="14413" spans="1:141" s="116" customFormat="1">
      <c r="A14413" s="136"/>
      <c r="CM14413" s="111"/>
      <c r="CQ14413" s="111"/>
      <c r="EF14413"/>
      <c r="EG14413"/>
      <c r="EH14413"/>
      <c r="EI14413"/>
      <c r="EJ14413"/>
      <c r="EK14413"/>
    </row>
    <row r="14414" spans="1:141" s="116" customFormat="1">
      <c r="A14414" s="136"/>
      <c r="CM14414" s="111"/>
      <c r="CQ14414" s="111"/>
      <c r="EF14414"/>
      <c r="EG14414"/>
      <c r="EH14414"/>
      <c r="EI14414"/>
      <c r="EJ14414"/>
      <c r="EK14414"/>
    </row>
    <row r="14415" spans="1:141" s="116" customFormat="1">
      <c r="A14415" s="136"/>
      <c r="CM14415" s="111"/>
      <c r="CQ14415" s="111"/>
      <c r="EF14415"/>
      <c r="EG14415"/>
      <c r="EH14415"/>
      <c r="EI14415"/>
      <c r="EJ14415"/>
      <c r="EK14415"/>
    </row>
    <row r="14416" spans="1:141" s="116" customFormat="1">
      <c r="A14416" s="136"/>
      <c r="CM14416" s="111"/>
      <c r="CQ14416" s="111"/>
      <c r="EF14416"/>
      <c r="EG14416"/>
      <c r="EH14416"/>
      <c r="EI14416"/>
      <c r="EJ14416"/>
      <c r="EK14416"/>
    </row>
    <row r="14417" spans="1:141" s="116" customFormat="1">
      <c r="A14417" s="136"/>
      <c r="CM14417" s="111"/>
      <c r="CQ14417" s="111"/>
      <c r="EF14417"/>
      <c r="EG14417"/>
      <c r="EH14417"/>
      <c r="EI14417"/>
      <c r="EJ14417"/>
      <c r="EK14417"/>
    </row>
    <row r="14418" spans="1:141" s="116" customFormat="1">
      <c r="A14418" s="136"/>
      <c r="CM14418" s="111"/>
      <c r="CQ14418" s="111"/>
      <c r="EF14418"/>
      <c r="EG14418"/>
      <c r="EH14418"/>
      <c r="EI14418"/>
      <c r="EJ14418"/>
      <c r="EK14418"/>
    </row>
    <row r="14419" spans="1:141" s="116" customFormat="1">
      <c r="A14419" s="136"/>
      <c r="CM14419" s="111"/>
      <c r="CQ14419" s="111"/>
      <c r="EF14419"/>
      <c r="EG14419"/>
      <c r="EH14419"/>
      <c r="EI14419"/>
      <c r="EJ14419"/>
      <c r="EK14419"/>
    </row>
    <row r="14420" spans="1:141" s="116" customFormat="1">
      <c r="A14420" s="136"/>
      <c r="CM14420" s="111"/>
      <c r="CQ14420" s="111"/>
      <c r="EF14420"/>
      <c r="EG14420"/>
      <c r="EH14420"/>
      <c r="EI14420"/>
      <c r="EJ14420"/>
      <c r="EK14420"/>
    </row>
    <row r="14421" spans="1:141" s="116" customFormat="1">
      <c r="A14421" s="136"/>
      <c r="CM14421" s="111"/>
      <c r="CQ14421" s="111"/>
      <c r="EF14421"/>
      <c r="EG14421"/>
      <c r="EH14421"/>
      <c r="EI14421"/>
      <c r="EJ14421"/>
      <c r="EK14421"/>
    </row>
    <row r="14422" spans="1:141" s="116" customFormat="1">
      <c r="A14422" s="136"/>
      <c r="CM14422" s="111"/>
      <c r="CQ14422" s="111"/>
      <c r="EF14422"/>
      <c r="EG14422"/>
      <c r="EH14422"/>
      <c r="EI14422"/>
      <c r="EJ14422"/>
      <c r="EK14422"/>
    </row>
    <row r="14423" spans="1:141" s="116" customFormat="1">
      <c r="A14423" s="136"/>
      <c r="CM14423" s="111"/>
      <c r="CQ14423" s="111"/>
      <c r="EF14423"/>
      <c r="EG14423"/>
      <c r="EH14423"/>
      <c r="EI14423"/>
      <c r="EJ14423"/>
      <c r="EK14423"/>
    </row>
    <row r="14424" spans="1:141" s="116" customFormat="1">
      <c r="A14424" s="136"/>
      <c r="CM14424" s="111"/>
      <c r="CQ14424" s="111"/>
      <c r="EF14424"/>
      <c r="EG14424"/>
      <c r="EH14424"/>
      <c r="EI14424"/>
      <c r="EJ14424"/>
      <c r="EK14424"/>
    </row>
    <row r="14425" spans="1:141" s="116" customFormat="1">
      <c r="A14425" s="136"/>
      <c r="CM14425" s="111"/>
      <c r="CQ14425" s="111"/>
      <c r="EF14425"/>
      <c r="EG14425"/>
      <c r="EH14425"/>
      <c r="EI14425"/>
      <c r="EJ14425"/>
      <c r="EK14425"/>
    </row>
    <row r="14426" spans="1:141" s="116" customFormat="1">
      <c r="A14426" s="136"/>
      <c r="CM14426" s="111"/>
      <c r="CQ14426" s="111"/>
      <c r="EF14426"/>
      <c r="EG14426"/>
      <c r="EH14426"/>
      <c r="EI14426"/>
      <c r="EJ14426"/>
      <c r="EK14426"/>
    </row>
    <row r="14427" spans="1:141" s="116" customFormat="1">
      <c r="A14427" s="136"/>
      <c r="CM14427" s="111"/>
      <c r="CQ14427" s="111"/>
      <c r="EF14427"/>
      <c r="EG14427"/>
      <c r="EH14427"/>
      <c r="EI14427"/>
      <c r="EJ14427"/>
      <c r="EK14427"/>
    </row>
    <row r="14428" spans="1:141" s="116" customFormat="1">
      <c r="A14428" s="136"/>
      <c r="CM14428" s="111"/>
      <c r="CQ14428" s="111"/>
      <c r="EF14428"/>
      <c r="EG14428"/>
      <c r="EH14428"/>
      <c r="EI14428"/>
      <c r="EJ14428"/>
      <c r="EK14428"/>
    </row>
    <row r="14429" spans="1:141" s="116" customFormat="1">
      <c r="A14429" s="136"/>
      <c r="CM14429" s="111"/>
      <c r="CQ14429" s="111"/>
      <c r="EF14429"/>
      <c r="EG14429"/>
      <c r="EH14429"/>
      <c r="EI14429"/>
      <c r="EJ14429"/>
      <c r="EK14429"/>
    </row>
    <row r="14430" spans="1:141" s="116" customFormat="1">
      <c r="A14430" s="136"/>
      <c r="CM14430" s="111"/>
      <c r="CQ14430" s="111"/>
      <c r="EF14430"/>
      <c r="EG14430"/>
      <c r="EH14430"/>
      <c r="EI14430"/>
      <c r="EJ14430"/>
      <c r="EK14430"/>
    </row>
    <row r="14431" spans="1:141" s="116" customFormat="1">
      <c r="A14431" s="136"/>
      <c r="CM14431" s="111"/>
      <c r="CQ14431" s="111"/>
      <c r="EF14431"/>
      <c r="EG14431"/>
      <c r="EH14431"/>
      <c r="EI14431"/>
      <c r="EJ14431"/>
      <c r="EK14431"/>
    </row>
    <row r="14432" spans="1:141" s="116" customFormat="1">
      <c r="A14432" s="136"/>
      <c r="CM14432" s="111"/>
      <c r="CQ14432" s="111"/>
      <c r="EF14432"/>
      <c r="EG14432"/>
      <c r="EH14432"/>
      <c r="EI14432"/>
      <c r="EJ14432"/>
      <c r="EK14432"/>
    </row>
    <row r="14433" spans="1:141" s="116" customFormat="1">
      <c r="A14433" s="136"/>
      <c r="CM14433" s="111"/>
      <c r="CQ14433" s="111"/>
      <c r="EF14433"/>
      <c r="EG14433"/>
      <c r="EH14433"/>
      <c r="EI14433"/>
      <c r="EJ14433"/>
      <c r="EK14433"/>
    </row>
    <row r="14434" spans="1:141" s="116" customFormat="1">
      <c r="A14434" s="136"/>
      <c r="CM14434" s="111"/>
      <c r="CQ14434" s="111"/>
      <c r="EF14434"/>
      <c r="EG14434"/>
      <c r="EH14434"/>
      <c r="EI14434"/>
      <c r="EJ14434"/>
      <c r="EK14434"/>
    </row>
    <row r="14435" spans="1:141" s="116" customFormat="1">
      <c r="A14435" s="136"/>
      <c r="CM14435" s="111"/>
      <c r="CQ14435" s="111"/>
      <c r="EF14435"/>
      <c r="EG14435"/>
      <c r="EH14435"/>
      <c r="EI14435"/>
      <c r="EJ14435"/>
      <c r="EK14435"/>
    </row>
    <row r="14436" spans="1:141" s="116" customFormat="1">
      <c r="A14436" s="136"/>
      <c r="CM14436" s="111"/>
      <c r="CQ14436" s="111"/>
      <c r="EF14436"/>
      <c r="EG14436"/>
      <c r="EH14436"/>
      <c r="EI14436"/>
      <c r="EJ14436"/>
      <c r="EK14436"/>
    </row>
    <row r="14437" spans="1:141" s="116" customFormat="1">
      <c r="A14437" s="136"/>
      <c r="CM14437" s="111"/>
      <c r="CQ14437" s="111"/>
      <c r="EF14437"/>
      <c r="EG14437"/>
      <c r="EH14437"/>
      <c r="EI14437"/>
      <c r="EJ14437"/>
      <c r="EK14437"/>
    </row>
    <row r="14438" spans="1:141" s="116" customFormat="1">
      <c r="A14438" s="136"/>
      <c r="CM14438" s="111"/>
      <c r="CQ14438" s="111"/>
      <c r="EF14438"/>
      <c r="EG14438"/>
      <c r="EH14438"/>
      <c r="EI14438"/>
      <c r="EJ14438"/>
      <c r="EK14438"/>
    </row>
    <row r="14439" spans="1:141" s="116" customFormat="1">
      <c r="A14439" s="136"/>
      <c r="CM14439" s="111"/>
      <c r="CQ14439" s="111"/>
      <c r="EF14439"/>
      <c r="EG14439"/>
      <c r="EH14439"/>
      <c r="EI14439"/>
      <c r="EJ14439"/>
      <c r="EK14439"/>
    </row>
    <row r="14440" spans="1:141" s="116" customFormat="1">
      <c r="A14440" s="136"/>
      <c r="CM14440" s="111"/>
      <c r="CQ14440" s="111"/>
      <c r="EF14440"/>
      <c r="EG14440"/>
      <c r="EH14440"/>
      <c r="EI14440"/>
      <c r="EJ14440"/>
      <c r="EK14440"/>
    </row>
    <row r="14441" spans="1:141" s="116" customFormat="1">
      <c r="A14441" s="136"/>
      <c r="CM14441" s="111"/>
      <c r="CQ14441" s="111"/>
      <c r="EF14441"/>
      <c r="EG14441"/>
      <c r="EH14441"/>
      <c r="EI14441"/>
      <c r="EJ14441"/>
      <c r="EK14441"/>
    </row>
    <row r="14442" spans="1:141" s="116" customFormat="1">
      <c r="A14442" s="136"/>
      <c r="CM14442" s="111"/>
      <c r="CQ14442" s="111"/>
      <c r="EF14442"/>
      <c r="EG14442"/>
      <c r="EH14442"/>
      <c r="EI14442"/>
      <c r="EJ14442"/>
      <c r="EK14442"/>
    </row>
    <row r="14443" spans="1:141" s="116" customFormat="1">
      <c r="A14443" s="136"/>
      <c r="CM14443" s="111"/>
      <c r="CQ14443" s="111"/>
      <c r="EF14443"/>
      <c r="EG14443"/>
      <c r="EH14443"/>
      <c r="EI14443"/>
      <c r="EJ14443"/>
      <c r="EK14443"/>
    </row>
    <row r="14444" spans="1:141" s="116" customFormat="1">
      <c r="A14444" s="136"/>
      <c r="CM14444" s="111"/>
      <c r="CQ14444" s="111"/>
      <c r="EF14444"/>
      <c r="EG14444"/>
      <c r="EH14444"/>
      <c r="EI14444"/>
      <c r="EJ14444"/>
      <c r="EK14444"/>
    </row>
    <row r="14445" spans="1:141" s="116" customFormat="1">
      <c r="A14445" s="136"/>
      <c r="CM14445" s="111"/>
      <c r="CQ14445" s="111"/>
      <c r="EF14445"/>
      <c r="EG14445"/>
      <c r="EH14445"/>
      <c r="EI14445"/>
      <c r="EJ14445"/>
      <c r="EK14445"/>
    </row>
    <row r="14446" spans="1:141" s="116" customFormat="1">
      <c r="A14446" s="136"/>
      <c r="CM14446" s="111"/>
      <c r="CQ14446" s="111"/>
      <c r="EF14446"/>
      <c r="EG14446"/>
      <c r="EH14446"/>
      <c r="EI14446"/>
      <c r="EJ14446"/>
      <c r="EK14446"/>
    </row>
    <row r="14447" spans="1:141" s="116" customFormat="1">
      <c r="A14447" s="136"/>
      <c r="CM14447" s="111"/>
      <c r="CQ14447" s="111"/>
      <c r="EF14447"/>
      <c r="EG14447"/>
      <c r="EH14447"/>
      <c r="EI14447"/>
      <c r="EJ14447"/>
      <c r="EK14447"/>
    </row>
    <row r="14448" spans="1:141" s="116" customFormat="1">
      <c r="A14448" s="136"/>
      <c r="CM14448" s="111"/>
      <c r="CQ14448" s="111"/>
      <c r="EF14448"/>
      <c r="EG14448"/>
      <c r="EH14448"/>
      <c r="EI14448"/>
      <c r="EJ14448"/>
      <c r="EK14448"/>
    </row>
    <row r="14449" spans="1:141" s="116" customFormat="1">
      <c r="A14449" s="136"/>
      <c r="CM14449" s="111"/>
      <c r="CQ14449" s="111"/>
      <c r="EF14449"/>
      <c r="EG14449"/>
      <c r="EH14449"/>
      <c r="EI14449"/>
      <c r="EJ14449"/>
      <c r="EK14449"/>
    </row>
    <row r="14450" spans="1:141" s="116" customFormat="1">
      <c r="A14450" s="136"/>
      <c r="CM14450" s="111"/>
      <c r="CQ14450" s="111"/>
      <c r="EF14450"/>
      <c r="EG14450"/>
      <c r="EH14450"/>
      <c r="EI14450"/>
      <c r="EJ14450"/>
      <c r="EK14450"/>
    </row>
    <row r="14451" spans="1:141" s="116" customFormat="1">
      <c r="A14451" s="136"/>
      <c r="CM14451" s="111"/>
      <c r="CQ14451" s="111"/>
      <c r="EF14451"/>
      <c r="EG14451"/>
      <c r="EH14451"/>
      <c r="EI14451"/>
      <c r="EJ14451"/>
      <c r="EK14451"/>
    </row>
    <row r="14452" spans="1:141" s="116" customFormat="1">
      <c r="A14452" s="136"/>
      <c r="CM14452" s="111"/>
      <c r="CQ14452" s="111"/>
      <c r="EF14452"/>
      <c r="EG14452"/>
      <c r="EH14452"/>
      <c r="EI14452"/>
      <c r="EJ14452"/>
      <c r="EK14452"/>
    </row>
    <row r="14453" spans="1:141" s="116" customFormat="1">
      <c r="A14453" s="136"/>
      <c r="CM14453" s="111"/>
      <c r="CQ14453" s="111"/>
      <c r="EF14453"/>
      <c r="EG14453"/>
      <c r="EH14453"/>
      <c r="EI14453"/>
      <c r="EJ14453"/>
      <c r="EK14453"/>
    </row>
    <row r="14454" spans="1:141" s="116" customFormat="1">
      <c r="A14454" s="136"/>
      <c r="CM14454" s="111"/>
      <c r="CQ14454" s="111"/>
      <c r="EF14454"/>
      <c r="EG14454"/>
      <c r="EH14454"/>
      <c r="EI14454"/>
      <c r="EJ14454"/>
      <c r="EK14454"/>
    </row>
    <row r="14455" spans="1:141" s="116" customFormat="1">
      <c r="A14455" s="136"/>
      <c r="CM14455" s="111"/>
      <c r="CQ14455" s="111"/>
      <c r="EF14455"/>
      <c r="EG14455"/>
      <c r="EH14455"/>
      <c r="EI14455"/>
      <c r="EJ14455"/>
      <c r="EK14455"/>
    </row>
    <row r="14456" spans="1:141" s="116" customFormat="1">
      <c r="A14456" s="136"/>
      <c r="CM14456" s="111"/>
      <c r="CQ14456" s="111"/>
      <c r="EF14456"/>
      <c r="EG14456"/>
      <c r="EH14456"/>
      <c r="EI14456"/>
      <c r="EJ14456"/>
      <c r="EK14456"/>
    </row>
    <row r="14457" spans="1:141" s="116" customFormat="1">
      <c r="A14457" s="136"/>
      <c r="CM14457" s="111"/>
      <c r="CQ14457" s="111"/>
      <c r="EF14457"/>
      <c r="EG14457"/>
      <c r="EH14457"/>
      <c r="EI14457"/>
      <c r="EJ14457"/>
      <c r="EK14457"/>
    </row>
    <row r="14458" spans="1:141" s="116" customFormat="1">
      <c r="A14458" s="136"/>
      <c r="CM14458" s="111"/>
      <c r="CQ14458" s="111"/>
      <c r="EF14458"/>
      <c r="EG14458"/>
      <c r="EH14458"/>
      <c r="EI14458"/>
      <c r="EJ14458"/>
      <c r="EK14458"/>
    </row>
    <row r="14459" spans="1:141" s="116" customFormat="1">
      <c r="A14459" s="136"/>
      <c r="CM14459" s="111"/>
      <c r="CQ14459" s="111"/>
      <c r="EF14459"/>
      <c r="EG14459"/>
      <c r="EH14459"/>
      <c r="EI14459"/>
      <c r="EJ14459"/>
      <c r="EK14459"/>
    </row>
    <row r="14460" spans="1:141" s="116" customFormat="1">
      <c r="A14460" s="136"/>
      <c r="CM14460" s="111"/>
      <c r="CQ14460" s="111"/>
      <c r="EF14460"/>
      <c r="EG14460"/>
      <c r="EH14460"/>
      <c r="EI14460"/>
      <c r="EJ14460"/>
      <c r="EK14460"/>
    </row>
    <row r="14461" spans="1:141" s="116" customFormat="1">
      <c r="A14461" s="136"/>
      <c r="CM14461" s="111"/>
      <c r="CQ14461" s="111"/>
      <c r="EF14461"/>
      <c r="EG14461"/>
      <c r="EH14461"/>
      <c r="EI14461"/>
      <c r="EJ14461"/>
      <c r="EK14461"/>
    </row>
    <row r="14462" spans="1:141" s="116" customFormat="1">
      <c r="A14462" s="136"/>
      <c r="CM14462" s="111"/>
      <c r="CQ14462" s="111"/>
      <c r="EF14462"/>
      <c r="EG14462"/>
      <c r="EH14462"/>
      <c r="EI14462"/>
      <c r="EJ14462"/>
      <c r="EK14462"/>
    </row>
    <row r="14463" spans="1:141" s="116" customFormat="1">
      <c r="A14463" s="136"/>
      <c r="CM14463" s="111"/>
      <c r="CQ14463" s="111"/>
      <c r="EF14463"/>
      <c r="EG14463"/>
      <c r="EH14463"/>
      <c r="EI14463"/>
      <c r="EJ14463"/>
      <c r="EK14463"/>
    </row>
    <row r="14464" spans="1:141" s="116" customFormat="1">
      <c r="A14464" s="136"/>
      <c r="CM14464" s="111"/>
      <c r="CQ14464" s="111"/>
      <c r="EF14464"/>
      <c r="EG14464"/>
      <c r="EH14464"/>
      <c r="EI14464"/>
      <c r="EJ14464"/>
      <c r="EK14464"/>
    </row>
    <row r="14465" spans="1:141" s="116" customFormat="1">
      <c r="A14465" s="136"/>
      <c r="CM14465" s="111"/>
      <c r="CQ14465" s="111"/>
      <c r="EF14465"/>
      <c r="EG14465"/>
      <c r="EH14465"/>
      <c r="EI14465"/>
      <c r="EJ14465"/>
      <c r="EK14465"/>
    </row>
    <row r="14466" spans="1:141" s="116" customFormat="1">
      <c r="A14466" s="136"/>
      <c r="CM14466" s="111"/>
      <c r="CQ14466" s="111"/>
      <c r="EF14466"/>
      <c r="EG14466"/>
      <c r="EH14466"/>
      <c r="EI14466"/>
      <c r="EJ14466"/>
      <c r="EK14466"/>
    </row>
    <row r="14467" spans="1:141" s="116" customFormat="1">
      <c r="A14467" s="136"/>
      <c r="CM14467" s="111"/>
      <c r="CQ14467" s="111"/>
      <c r="EF14467"/>
      <c r="EG14467"/>
      <c r="EH14467"/>
      <c r="EI14467"/>
      <c r="EJ14467"/>
      <c r="EK14467"/>
    </row>
    <row r="14468" spans="1:141" s="116" customFormat="1">
      <c r="A14468" s="136"/>
      <c r="CM14468" s="111"/>
      <c r="CQ14468" s="111"/>
      <c r="EF14468"/>
      <c r="EG14468"/>
      <c r="EH14468"/>
      <c r="EI14468"/>
      <c r="EJ14468"/>
      <c r="EK14468"/>
    </row>
    <row r="14469" spans="1:141" s="116" customFormat="1">
      <c r="A14469" s="136"/>
      <c r="CM14469" s="111"/>
      <c r="CQ14469" s="111"/>
      <c r="EF14469"/>
      <c r="EG14469"/>
      <c r="EH14469"/>
      <c r="EI14469"/>
      <c r="EJ14469"/>
      <c r="EK14469"/>
    </row>
    <row r="14470" spans="1:141" s="116" customFormat="1">
      <c r="A14470" s="136"/>
      <c r="CM14470" s="111"/>
      <c r="CQ14470" s="111"/>
      <c r="EF14470"/>
      <c r="EG14470"/>
      <c r="EH14470"/>
      <c r="EI14470"/>
      <c r="EJ14470"/>
      <c r="EK14470"/>
    </row>
    <row r="14471" spans="1:141" s="116" customFormat="1">
      <c r="A14471" s="136"/>
      <c r="CM14471" s="111"/>
      <c r="CQ14471" s="111"/>
      <c r="EF14471"/>
      <c r="EG14471"/>
      <c r="EH14471"/>
      <c r="EI14471"/>
      <c r="EJ14471"/>
      <c r="EK14471"/>
    </row>
    <row r="14472" spans="1:141" s="116" customFormat="1">
      <c r="A14472" s="136"/>
      <c r="CM14472" s="111"/>
      <c r="CQ14472" s="111"/>
      <c r="EF14472"/>
      <c r="EG14472"/>
      <c r="EH14472"/>
      <c r="EI14472"/>
      <c r="EJ14472"/>
      <c r="EK14472"/>
    </row>
    <row r="14473" spans="1:141" s="116" customFormat="1">
      <c r="A14473" s="136"/>
      <c r="CM14473" s="111"/>
      <c r="CQ14473" s="111"/>
      <c r="EF14473"/>
      <c r="EG14473"/>
      <c r="EH14473"/>
      <c r="EI14473"/>
      <c r="EJ14473"/>
      <c r="EK14473"/>
    </row>
    <row r="14474" spans="1:141" s="116" customFormat="1">
      <c r="A14474" s="136"/>
      <c r="CM14474" s="111"/>
      <c r="CQ14474" s="111"/>
      <c r="EF14474"/>
      <c r="EG14474"/>
      <c r="EH14474"/>
      <c r="EI14474"/>
      <c r="EJ14474"/>
      <c r="EK14474"/>
    </row>
    <row r="14475" spans="1:141" s="116" customFormat="1">
      <c r="A14475" s="136"/>
      <c r="CM14475" s="111"/>
      <c r="CQ14475" s="111"/>
      <c r="EF14475"/>
      <c r="EG14475"/>
      <c r="EH14475"/>
      <c r="EI14475"/>
      <c r="EJ14475"/>
      <c r="EK14475"/>
    </row>
    <row r="14476" spans="1:141" s="116" customFormat="1">
      <c r="A14476" s="136"/>
      <c r="CM14476" s="111"/>
      <c r="CQ14476" s="111"/>
      <c r="EF14476"/>
      <c r="EG14476"/>
      <c r="EH14476"/>
      <c r="EI14476"/>
      <c r="EJ14476"/>
      <c r="EK14476"/>
    </row>
    <row r="14477" spans="1:141" s="116" customFormat="1">
      <c r="A14477" s="136"/>
      <c r="CM14477" s="111"/>
      <c r="CQ14477" s="111"/>
      <c r="EF14477"/>
      <c r="EG14477"/>
      <c r="EH14477"/>
      <c r="EI14477"/>
      <c r="EJ14477"/>
      <c r="EK14477"/>
    </row>
    <row r="14478" spans="1:141" s="116" customFormat="1">
      <c r="A14478" s="136"/>
      <c r="CM14478" s="111"/>
      <c r="CQ14478" s="111"/>
      <c r="EF14478"/>
      <c r="EG14478"/>
      <c r="EH14478"/>
      <c r="EI14478"/>
      <c r="EJ14478"/>
      <c r="EK14478"/>
    </row>
    <row r="14479" spans="1:141" s="116" customFormat="1">
      <c r="A14479" s="136"/>
      <c r="CM14479" s="111"/>
      <c r="CQ14479" s="111"/>
      <c r="EF14479"/>
      <c r="EG14479"/>
      <c r="EH14479"/>
      <c r="EI14479"/>
      <c r="EJ14479"/>
      <c r="EK14479"/>
    </row>
    <row r="14480" spans="1:141" s="116" customFormat="1">
      <c r="A14480" s="136"/>
      <c r="CM14480" s="111"/>
      <c r="CQ14480" s="111"/>
      <c r="EF14480"/>
      <c r="EG14480"/>
      <c r="EH14480"/>
      <c r="EI14480"/>
      <c r="EJ14480"/>
      <c r="EK14480"/>
    </row>
    <row r="14481" spans="1:141" s="116" customFormat="1">
      <c r="A14481" s="136"/>
      <c r="CM14481" s="111"/>
      <c r="CQ14481" s="111"/>
      <c r="EF14481"/>
      <c r="EG14481"/>
      <c r="EH14481"/>
      <c r="EI14481"/>
      <c r="EJ14481"/>
      <c r="EK14481"/>
    </row>
    <row r="14482" spans="1:141" s="116" customFormat="1">
      <c r="A14482" s="136"/>
      <c r="CM14482" s="111"/>
      <c r="CQ14482" s="111"/>
      <c r="EF14482"/>
      <c r="EG14482"/>
      <c r="EH14482"/>
      <c r="EI14482"/>
      <c r="EJ14482"/>
      <c r="EK14482"/>
    </row>
    <row r="14483" spans="1:141" s="116" customFormat="1">
      <c r="A14483" s="136"/>
      <c r="CM14483" s="111"/>
      <c r="CQ14483" s="111"/>
      <c r="EF14483"/>
      <c r="EG14483"/>
      <c r="EH14483"/>
      <c r="EI14483"/>
      <c r="EJ14483"/>
      <c r="EK14483"/>
    </row>
    <row r="14484" spans="1:141" s="116" customFormat="1">
      <c r="A14484" s="136"/>
      <c r="CM14484" s="111"/>
      <c r="CQ14484" s="111"/>
      <c r="EF14484"/>
      <c r="EG14484"/>
      <c r="EH14484"/>
      <c r="EI14484"/>
      <c r="EJ14484"/>
      <c r="EK14484"/>
    </row>
    <row r="14485" spans="1:141" s="116" customFormat="1">
      <c r="A14485" s="136"/>
      <c r="CM14485" s="111"/>
      <c r="CQ14485" s="111"/>
      <c r="EF14485"/>
      <c r="EG14485"/>
      <c r="EH14485"/>
      <c r="EI14485"/>
      <c r="EJ14485"/>
      <c r="EK14485"/>
    </row>
    <row r="14486" spans="1:141" s="116" customFormat="1">
      <c r="A14486" s="136"/>
      <c r="CM14486" s="111"/>
      <c r="CQ14486" s="111"/>
      <c r="EF14486"/>
      <c r="EG14486"/>
      <c r="EH14486"/>
      <c r="EI14486"/>
      <c r="EJ14486"/>
      <c r="EK14486"/>
    </row>
    <row r="14487" spans="1:141" s="116" customFormat="1">
      <c r="A14487" s="136"/>
      <c r="CM14487" s="111"/>
      <c r="CQ14487" s="111"/>
      <c r="EF14487"/>
      <c r="EG14487"/>
      <c r="EH14487"/>
      <c r="EI14487"/>
      <c r="EJ14487"/>
      <c r="EK14487"/>
    </row>
    <row r="14488" spans="1:141" s="116" customFormat="1">
      <c r="A14488" s="136"/>
      <c r="CM14488" s="111"/>
      <c r="CQ14488" s="111"/>
      <c r="EF14488"/>
      <c r="EG14488"/>
      <c r="EH14488"/>
      <c r="EI14488"/>
      <c r="EJ14488"/>
      <c r="EK14488"/>
    </row>
    <row r="14489" spans="1:141" s="116" customFormat="1">
      <c r="A14489" s="136"/>
      <c r="CM14489" s="111"/>
      <c r="CQ14489" s="111"/>
      <c r="EF14489"/>
      <c r="EG14489"/>
      <c r="EH14489"/>
      <c r="EI14489"/>
      <c r="EJ14489"/>
      <c r="EK14489"/>
    </row>
    <row r="14490" spans="1:141" s="116" customFormat="1">
      <c r="A14490" s="136"/>
      <c r="CM14490" s="111"/>
      <c r="CQ14490" s="111"/>
      <c r="EF14490"/>
      <c r="EG14490"/>
      <c r="EH14490"/>
      <c r="EI14490"/>
      <c r="EJ14490"/>
      <c r="EK14490"/>
    </row>
    <row r="14491" spans="1:141" s="116" customFormat="1">
      <c r="A14491" s="136"/>
      <c r="CM14491" s="111"/>
      <c r="CQ14491" s="111"/>
      <c r="EF14491"/>
      <c r="EG14491"/>
      <c r="EH14491"/>
      <c r="EI14491"/>
      <c r="EJ14491"/>
      <c r="EK14491"/>
    </row>
    <row r="14492" spans="1:141" s="116" customFormat="1">
      <c r="A14492" s="136"/>
      <c r="CM14492" s="111"/>
      <c r="CQ14492" s="111"/>
      <c r="EF14492"/>
      <c r="EG14492"/>
      <c r="EH14492"/>
      <c r="EI14492"/>
      <c r="EJ14492"/>
      <c r="EK14492"/>
    </row>
    <row r="14493" spans="1:141" s="116" customFormat="1">
      <c r="A14493" s="136"/>
      <c r="CM14493" s="111"/>
      <c r="CQ14493" s="111"/>
      <c r="EF14493"/>
      <c r="EG14493"/>
      <c r="EH14493"/>
      <c r="EI14493"/>
      <c r="EJ14493"/>
      <c r="EK14493"/>
    </row>
    <row r="14494" spans="1:141" s="116" customFormat="1">
      <c r="A14494" s="136"/>
      <c r="CM14494" s="111"/>
      <c r="CQ14494" s="111"/>
      <c r="EF14494"/>
      <c r="EG14494"/>
      <c r="EH14494"/>
      <c r="EI14494"/>
      <c r="EJ14494"/>
      <c r="EK14494"/>
    </row>
    <row r="14495" spans="1:141" s="116" customFormat="1">
      <c r="A14495" s="136"/>
      <c r="CM14495" s="111"/>
      <c r="CQ14495" s="111"/>
      <c r="EF14495"/>
      <c r="EG14495"/>
      <c r="EH14495"/>
      <c r="EI14495"/>
      <c r="EJ14495"/>
      <c r="EK14495"/>
    </row>
    <row r="14496" spans="1:141" s="116" customFormat="1">
      <c r="A14496" s="136"/>
      <c r="CM14496" s="111"/>
      <c r="CQ14496" s="111"/>
      <c r="EF14496"/>
      <c r="EG14496"/>
      <c r="EH14496"/>
      <c r="EI14496"/>
      <c r="EJ14496"/>
      <c r="EK14496"/>
    </row>
    <row r="14497" spans="1:141" s="116" customFormat="1">
      <c r="A14497" s="136"/>
      <c r="CM14497" s="111"/>
      <c r="CQ14497" s="111"/>
      <c r="EF14497"/>
      <c r="EG14497"/>
      <c r="EH14497"/>
      <c r="EI14497"/>
      <c r="EJ14497"/>
      <c r="EK14497"/>
    </row>
    <row r="14498" spans="1:141" s="116" customFormat="1">
      <c r="A14498" s="136"/>
      <c r="CM14498" s="111"/>
      <c r="CQ14498" s="111"/>
      <c r="EF14498"/>
      <c r="EG14498"/>
      <c r="EH14498"/>
      <c r="EI14498"/>
      <c r="EJ14498"/>
      <c r="EK14498"/>
    </row>
    <row r="14499" spans="1:141" s="116" customFormat="1">
      <c r="A14499" s="136"/>
      <c r="CM14499" s="111"/>
      <c r="CQ14499" s="111"/>
      <c r="EF14499"/>
      <c r="EG14499"/>
      <c r="EH14499"/>
      <c r="EI14499"/>
      <c r="EJ14499"/>
      <c r="EK14499"/>
    </row>
    <row r="14500" spans="1:141" s="116" customFormat="1">
      <c r="A14500" s="136"/>
      <c r="CM14500" s="111"/>
      <c r="CQ14500" s="111"/>
      <c r="EF14500"/>
      <c r="EG14500"/>
      <c r="EH14500"/>
      <c r="EI14500"/>
      <c r="EJ14500"/>
      <c r="EK14500"/>
    </row>
    <row r="14501" spans="1:141" s="116" customFormat="1">
      <c r="A14501" s="136"/>
      <c r="CM14501" s="111"/>
      <c r="CQ14501" s="111"/>
      <c r="EF14501"/>
      <c r="EG14501"/>
      <c r="EH14501"/>
      <c r="EI14501"/>
      <c r="EJ14501"/>
      <c r="EK14501"/>
    </row>
    <row r="14502" spans="1:141" s="116" customFormat="1">
      <c r="A14502" s="136"/>
      <c r="CM14502" s="111"/>
      <c r="CQ14502" s="111"/>
      <c r="EF14502"/>
      <c r="EG14502"/>
      <c r="EH14502"/>
      <c r="EI14502"/>
      <c r="EJ14502"/>
      <c r="EK14502"/>
    </row>
    <row r="14503" spans="1:141" s="116" customFormat="1">
      <c r="A14503" s="136"/>
      <c r="CM14503" s="111"/>
      <c r="CQ14503" s="111"/>
      <c r="EF14503"/>
      <c r="EG14503"/>
      <c r="EH14503"/>
      <c r="EI14503"/>
      <c r="EJ14503"/>
      <c r="EK14503"/>
    </row>
    <row r="14504" spans="1:141" s="116" customFormat="1">
      <c r="A14504" s="136"/>
      <c r="CM14504" s="111"/>
      <c r="CQ14504" s="111"/>
      <c r="EF14504"/>
      <c r="EG14504"/>
      <c r="EH14504"/>
      <c r="EI14504"/>
      <c r="EJ14504"/>
      <c r="EK14504"/>
    </row>
    <row r="14505" spans="1:141" s="116" customFormat="1">
      <c r="A14505" s="136"/>
      <c r="CM14505" s="111"/>
      <c r="CQ14505" s="111"/>
      <c r="EF14505"/>
      <c r="EG14505"/>
      <c r="EH14505"/>
      <c r="EI14505"/>
      <c r="EJ14505"/>
      <c r="EK14505"/>
    </row>
    <row r="14506" spans="1:141" s="116" customFormat="1">
      <c r="A14506" s="136"/>
      <c r="CM14506" s="111"/>
      <c r="CQ14506" s="111"/>
      <c r="EF14506"/>
      <c r="EG14506"/>
      <c r="EH14506"/>
      <c r="EI14506"/>
      <c r="EJ14506"/>
      <c r="EK14506"/>
    </row>
    <row r="14507" spans="1:141" s="116" customFormat="1">
      <c r="A14507" s="136"/>
      <c r="CM14507" s="111"/>
      <c r="CQ14507" s="111"/>
      <c r="EF14507"/>
      <c r="EG14507"/>
      <c r="EH14507"/>
      <c r="EI14507"/>
      <c r="EJ14507"/>
      <c r="EK14507"/>
    </row>
    <row r="14508" spans="1:141" s="116" customFormat="1">
      <c r="A14508" s="136"/>
      <c r="CM14508" s="111"/>
      <c r="CQ14508" s="111"/>
      <c r="EF14508"/>
      <c r="EG14508"/>
      <c r="EH14508"/>
      <c r="EI14508"/>
      <c r="EJ14508"/>
      <c r="EK14508"/>
    </row>
    <row r="14509" spans="1:141" s="116" customFormat="1">
      <c r="A14509" s="136"/>
      <c r="CM14509" s="111"/>
      <c r="CQ14509" s="111"/>
      <c r="EF14509"/>
      <c r="EG14509"/>
      <c r="EH14509"/>
      <c r="EI14509"/>
      <c r="EJ14509"/>
      <c r="EK14509"/>
    </row>
    <row r="14510" spans="1:141" s="116" customFormat="1">
      <c r="A14510" s="136"/>
      <c r="CM14510" s="111"/>
      <c r="CQ14510" s="111"/>
      <c r="EF14510"/>
      <c r="EG14510"/>
      <c r="EH14510"/>
      <c r="EI14510"/>
      <c r="EJ14510"/>
      <c r="EK14510"/>
    </row>
    <row r="14511" spans="1:141" s="116" customFormat="1">
      <c r="A14511" s="136"/>
      <c r="CM14511" s="111"/>
      <c r="CQ14511" s="111"/>
      <c r="EF14511"/>
      <c r="EG14511"/>
      <c r="EH14511"/>
      <c r="EI14511"/>
      <c r="EJ14511"/>
      <c r="EK14511"/>
    </row>
    <row r="14512" spans="1:141" s="116" customFormat="1">
      <c r="A14512" s="136"/>
      <c r="CM14512" s="111"/>
      <c r="CQ14512" s="111"/>
      <c r="EF14512"/>
      <c r="EG14512"/>
      <c r="EH14512"/>
      <c r="EI14512"/>
      <c r="EJ14512"/>
      <c r="EK14512"/>
    </row>
    <row r="14513" spans="1:141" s="116" customFormat="1">
      <c r="A14513" s="136"/>
      <c r="CM14513" s="111"/>
      <c r="CQ14513" s="111"/>
      <c r="EF14513"/>
      <c r="EG14513"/>
      <c r="EH14513"/>
      <c r="EI14513"/>
      <c r="EJ14513"/>
      <c r="EK14513"/>
    </row>
    <row r="14514" spans="1:141" s="116" customFormat="1">
      <c r="A14514" s="136"/>
      <c r="CM14514" s="111"/>
      <c r="CQ14514" s="111"/>
      <c r="EF14514"/>
      <c r="EG14514"/>
      <c r="EH14514"/>
      <c r="EI14514"/>
      <c r="EJ14514"/>
      <c r="EK14514"/>
    </row>
    <row r="14515" spans="1:141" s="116" customFormat="1">
      <c r="A14515" s="136"/>
      <c r="CM14515" s="111"/>
      <c r="CQ14515" s="111"/>
      <c r="EF14515"/>
      <c r="EG14515"/>
      <c r="EH14515"/>
      <c r="EI14515"/>
      <c r="EJ14515"/>
      <c r="EK14515"/>
    </row>
    <row r="14516" spans="1:141" s="116" customFormat="1">
      <c r="A14516" s="136"/>
      <c r="CM14516" s="111"/>
      <c r="CQ14516" s="111"/>
      <c r="EF14516"/>
      <c r="EG14516"/>
      <c r="EH14516"/>
      <c r="EI14516"/>
      <c r="EJ14516"/>
      <c r="EK14516"/>
    </row>
    <row r="14517" spans="1:141" s="116" customFormat="1">
      <c r="A14517" s="136"/>
      <c r="CM14517" s="111"/>
      <c r="CQ14517" s="111"/>
      <c r="EF14517"/>
      <c r="EG14517"/>
      <c r="EH14517"/>
      <c r="EI14517"/>
      <c r="EJ14517"/>
      <c r="EK14517"/>
    </row>
    <row r="14518" spans="1:141" s="116" customFormat="1">
      <c r="A14518" s="136"/>
      <c r="CM14518" s="111"/>
      <c r="CQ14518" s="111"/>
      <c r="EF14518"/>
      <c r="EG14518"/>
      <c r="EH14518"/>
      <c r="EI14518"/>
      <c r="EJ14518"/>
      <c r="EK14518"/>
    </row>
    <row r="14519" spans="1:141" s="116" customFormat="1">
      <c r="A14519" s="136"/>
      <c r="CM14519" s="111"/>
      <c r="CQ14519" s="111"/>
      <c r="EF14519"/>
      <c r="EG14519"/>
      <c r="EH14519"/>
      <c r="EI14519"/>
      <c r="EJ14519"/>
      <c r="EK14519"/>
    </row>
    <row r="14520" spans="1:141" s="116" customFormat="1">
      <c r="A14520" s="136"/>
      <c r="CM14520" s="111"/>
      <c r="CQ14520" s="111"/>
      <c r="EF14520"/>
      <c r="EG14520"/>
      <c r="EH14520"/>
      <c r="EI14520"/>
      <c r="EJ14520"/>
      <c r="EK14520"/>
    </row>
    <row r="14521" spans="1:141" s="116" customFormat="1">
      <c r="A14521" s="136"/>
      <c r="CM14521" s="111"/>
      <c r="CQ14521" s="111"/>
      <c r="EF14521"/>
      <c r="EG14521"/>
      <c r="EH14521"/>
      <c r="EI14521"/>
      <c r="EJ14521"/>
      <c r="EK14521"/>
    </row>
    <row r="14522" spans="1:141" s="116" customFormat="1">
      <c r="A14522" s="136"/>
      <c r="CM14522" s="111"/>
      <c r="CQ14522" s="111"/>
      <c r="EF14522"/>
      <c r="EG14522"/>
      <c r="EH14522"/>
      <c r="EI14522"/>
      <c r="EJ14522"/>
      <c r="EK14522"/>
    </row>
    <row r="14523" spans="1:141" s="116" customFormat="1">
      <c r="A14523" s="136"/>
      <c r="CM14523" s="111"/>
      <c r="CQ14523" s="111"/>
      <c r="EF14523"/>
      <c r="EG14523"/>
      <c r="EH14523"/>
      <c r="EI14523"/>
      <c r="EJ14523"/>
      <c r="EK14523"/>
    </row>
    <row r="14524" spans="1:141" s="116" customFormat="1">
      <c r="A14524" s="136"/>
      <c r="CM14524" s="111"/>
      <c r="CQ14524" s="111"/>
      <c r="EF14524"/>
      <c r="EG14524"/>
      <c r="EH14524"/>
      <c r="EI14524"/>
      <c r="EJ14524"/>
      <c r="EK14524"/>
    </row>
    <row r="14525" spans="1:141" s="116" customFormat="1">
      <c r="A14525" s="136"/>
      <c r="CM14525" s="111"/>
      <c r="CQ14525" s="111"/>
      <c r="EF14525"/>
      <c r="EG14525"/>
      <c r="EH14525"/>
      <c r="EI14525"/>
      <c r="EJ14525"/>
      <c r="EK14525"/>
    </row>
    <row r="14526" spans="1:141" s="116" customFormat="1">
      <c r="A14526" s="136"/>
      <c r="CM14526" s="111"/>
      <c r="CQ14526" s="111"/>
      <c r="EF14526"/>
      <c r="EG14526"/>
      <c r="EH14526"/>
      <c r="EI14526"/>
      <c r="EJ14526"/>
      <c r="EK14526"/>
    </row>
    <row r="14527" spans="1:141" s="116" customFormat="1">
      <c r="A14527" s="136"/>
      <c r="CM14527" s="111"/>
      <c r="CQ14527" s="111"/>
      <c r="EF14527"/>
      <c r="EG14527"/>
      <c r="EH14527"/>
      <c r="EI14527"/>
      <c r="EJ14527"/>
      <c r="EK14527"/>
    </row>
    <row r="14528" spans="1:141" s="116" customFormat="1">
      <c r="A14528" s="136"/>
      <c r="CM14528" s="111"/>
      <c r="CQ14528" s="111"/>
      <c r="EF14528"/>
      <c r="EG14528"/>
      <c r="EH14528"/>
      <c r="EI14528"/>
      <c r="EJ14528"/>
      <c r="EK14528"/>
    </row>
    <row r="14529" spans="1:141" s="116" customFormat="1">
      <c r="A14529" s="136"/>
      <c r="CM14529" s="111"/>
      <c r="CQ14529" s="111"/>
      <c r="EF14529"/>
      <c r="EG14529"/>
      <c r="EH14529"/>
      <c r="EI14529"/>
      <c r="EJ14529"/>
      <c r="EK14529"/>
    </row>
    <row r="14530" spans="1:141" s="116" customFormat="1">
      <c r="A14530" s="136"/>
      <c r="CM14530" s="111"/>
      <c r="CQ14530" s="111"/>
      <c r="EF14530"/>
      <c r="EG14530"/>
      <c r="EH14530"/>
      <c r="EI14530"/>
      <c r="EJ14530"/>
      <c r="EK14530"/>
    </row>
    <row r="14531" spans="1:141" s="116" customFormat="1">
      <c r="A14531" s="136"/>
      <c r="CM14531" s="111"/>
      <c r="CQ14531" s="111"/>
      <c r="EF14531"/>
      <c r="EG14531"/>
      <c r="EH14531"/>
      <c r="EI14531"/>
      <c r="EJ14531"/>
      <c r="EK14531"/>
    </row>
    <row r="14532" spans="1:141" s="116" customFormat="1">
      <c r="A14532" s="136"/>
      <c r="CM14532" s="111"/>
      <c r="CQ14532" s="111"/>
      <c r="EF14532"/>
      <c r="EG14532"/>
      <c r="EH14532"/>
      <c r="EI14532"/>
      <c r="EJ14532"/>
      <c r="EK14532"/>
    </row>
    <row r="14533" spans="1:141" s="116" customFormat="1">
      <c r="A14533" s="136"/>
      <c r="CM14533" s="111"/>
      <c r="CQ14533" s="111"/>
      <c r="EF14533"/>
      <c r="EG14533"/>
      <c r="EH14533"/>
      <c r="EI14533"/>
      <c r="EJ14533"/>
      <c r="EK14533"/>
    </row>
    <row r="14534" spans="1:141" s="116" customFormat="1">
      <c r="A14534" s="136"/>
      <c r="CM14534" s="111"/>
      <c r="CQ14534" s="111"/>
      <c r="EF14534"/>
      <c r="EG14534"/>
      <c r="EH14534"/>
      <c r="EI14534"/>
      <c r="EJ14534"/>
      <c r="EK14534"/>
    </row>
    <row r="14535" spans="1:141" s="116" customFormat="1">
      <c r="A14535" s="136"/>
      <c r="CM14535" s="111"/>
      <c r="CQ14535" s="111"/>
      <c r="EF14535"/>
      <c r="EG14535"/>
      <c r="EH14535"/>
      <c r="EI14535"/>
      <c r="EJ14535"/>
      <c r="EK14535"/>
    </row>
    <row r="14536" spans="1:141" s="116" customFormat="1">
      <c r="A14536" s="136"/>
      <c r="CM14536" s="111"/>
      <c r="CQ14536" s="111"/>
      <c r="EF14536"/>
      <c r="EG14536"/>
      <c r="EH14536"/>
      <c r="EI14536"/>
      <c r="EJ14536"/>
      <c r="EK14536"/>
    </row>
    <row r="14537" spans="1:141" s="116" customFormat="1">
      <c r="A14537" s="136"/>
      <c r="CM14537" s="111"/>
      <c r="CQ14537" s="111"/>
      <c r="EF14537"/>
      <c r="EG14537"/>
      <c r="EH14537"/>
      <c r="EI14537"/>
      <c r="EJ14537"/>
      <c r="EK14537"/>
    </row>
    <row r="14538" spans="1:141" s="116" customFormat="1">
      <c r="A14538" s="136"/>
      <c r="CM14538" s="111"/>
      <c r="CQ14538" s="111"/>
      <c r="EF14538"/>
      <c r="EG14538"/>
      <c r="EH14538"/>
      <c r="EI14538"/>
      <c r="EJ14538"/>
      <c r="EK14538"/>
    </row>
    <row r="14539" spans="1:141" s="116" customFormat="1">
      <c r="A14539" s="136"/>
      <c r="CM14539" s="111"/>
      <c r="CQ14539" s="111"/>
      <c r="EF14539"/>
      <c r="EG14539"/>
      <c r="EH14539"/>
      <c r="EI14539"/>
      <c r="EJ14539"/>
      <c r="EK14539"/>
    </row>
    <row r="14540" spans="1:141" s="116" customFormat="1">
      <c r="A14540" s="136"/>
      <c r="CM14540" s="111"/>
      <c r="CQ14540" s="111"/>
      <c r="EF14540"/>
      <c r="EG14540"/>
      <c r="EH14540"/>
      <c r="EI14540"/>
      <c r="EJ14540"/>
      <c r="EK14540"/>
    </row>
    <row r="14541" spans="1:141" s="116" customFormat="1">
      <c r="A14541" s="136"/>
      <c r="CM14541" s="111"/>
      <c r="CQ14541" s="111"/>
      <c r="EF14541"/>
      <c r="EG14541"/>
      <c r="EH14541"/>
      <c r="EI14541"/>
      <c r="EJ14541"/>
      <c r="EK14541"/>
    </row>
    <row r="14542" spans="1:141" s="116" customFormat="1">
      <c r="A14542" s="136"/>
      <c r="CM14542" s="111"/>
      <c r="CQ14542" s="111"/>
      <c r="EF14542"/>
      <c r="EG14542"/>
      <c r="EH14542"/>
      <c r="EI14542"/>
      <c r="EJ14542"/>
      <c r="EK14542"/>
    </row>
    <row r="14543" spans="1:141" s="116" customFormat="1">
      <c r="A14543" s="136"/>
      <c r="CM14543" s="111"/>
      <c r="CQ14543" s="111"/>
      <c r="EF14543"/>
      <c r="EG14543"/>
      <c r="EH14543"/>
      <c r="EI14543"/>
      <c r="EJ14543"/>
      <c r="EK14543"/>
    </row>
    <row r="14544" spans="1:141" s="116" customFormat="1">
      <c r="A14544" s="136"/>
      <c r="CM14544" s="111"/>
      <c r="CQ14544" s="111"/>
      <c r="EF14544"/>
      <c r="EG14544"/>
      <c r="EH14544"/>
      <c r="EI14544"/>
      <c r="EJ14544"/>
      <c r="EK14544"/>
    </row>
    <row r="14545" spans="1:141" s="116" customFormat="1">
      <c r="A14545" s="136"/>
      <c r="CM14545" s="111"/>
      <c r="CQ14545" s="111"/>
      <c r="EF14545"/>
      <c r="EG14545"/>
      <c r="EH14545"/>
      <c r="EI14545"/>
      <c r="EJ14545"/>
      <c r="EK14545"/>
    </row>
    <row r="14546" spans="1:141" s="116" customFormat="1">
      <c r="A14546" s="136"/>
      <c r="CM14546" s="111"/>
      <c r="CQ14546" s="111"/>
      <c r="EF14546"/>
      <c r="EG14546"/>
      <c r="EH14546"/>
      <c r="EI14546"/>
      <c r="EJ14546"/>
      <c r="EK14546"/>
    </row>
    <row r="14547" spans="1:141" s="116" customFormat="1">
      <c r="A14547" s="136"/>
      <c r="CM14547" s="111"/>
      <c r="CQ14547" s="111"/>
      <c r="EF14547"/>
      <c r="EG14547"/>
      <c r="EH14547"/>
      <c r="EI14547"/>
      <c r="EJ14547"/>
      <c r="EK14547"/>
    </row>
    <row r="14548" spans="1:141" s="116" customFormat="1">
      <c r="A14548" s="136"/>
      <c r="CM14548" s="111"/>
      <c r="CQ14548" s="111"/>
      <c r="EF14548"/>
      <c r="EG14548"/>
      <c r="EH14548"/>
      <c r="EI14548"/>
      <c r="EJ14548"/>
      <c r="EK14548"/>
    </row>
    <row r="14549" spans="1:141" s="116" customFormat="1">
      <c r="A14549" s="136"/>
      <c r="CM14549" s="111"/>
      <c r="CQ14549" s="111"/>
      <c r="EF14549"/>
      <c r="EG14549"/>
      <c r="EH14549"/>
      <c r="EI14549"/>
      <c r="EJ14549"/>
      <c r="EK14549"/>
    </row>
    <row r="14550" spans="1:141" s="116" customFormat="1">
      <c r="A14550" s="136"/>
      <c r="CM14550" s="111"/>
      <c r="CQ14550" s="111"/>
      <c r="EF14550"/>
      <c r="EG14550"/>
      <c r="EH14550"/>
      <c r="EI14550"/>
      <c r="EJ14550"/>
      <c r="EK14550"/>
    </row>
    <row r="14551" spans="1:141" s="116" customFormat="1">
      <c r="A14551" s="136"/>
      <c r="CM14551" s="111"/>
      <c r="CQ14551" s="111"/>
      <c r="EF14551"/>
      <c r="EG14551"/>
      <c r="EH14551"/>
      <c r="EI14551"/>
      <c r="EJ14551"/>
      <c r="EK14551"/>
    </row>
    <row r="14552" spans="1:141" s="116" customFormat="1">
      <c r="A14552" s="136"/>
      <c r="CM14552" s="111"/>
      <c r="CQ14552" s="111"/>
      <c r="EF14552"/>
      <c r="EG14552"/>
      <c r="EH14552"/>
      <c r="EI14552"/>
      <c r="EJ14552"/>
      <c r="EK14552"/>
    </row>
    <row r="14553" spans="1:141" s="116" customFormat="1">
      <c r="A14553" s="136"/>
      <c r="CM14553" s="111"/>
      <c r="CQ14553" s="111"/>
      <c r="EF14553"/>
      <c r="EG14553"/>
      <c r="EH14553"/>
      <c r="EI14553"/>
      <c r="EJ14553"/>
      <c r="EK14553"/>
    </row>
    <row r="14554" spans="1:141" s="116" customFormat="1">
      <c r="A14554" s="136"/>
      <c r="CM14554" s="111"/>
      <c r="CQ14554" s="111"/>
      <c r="EF14554"/>
      <c r="EG14554"/>
      <c r="EH14554"/>
      <c r="EI14554"/>
      <c r="EJ14554"/>
      <c r="EK14554"/>
    </row>
    <row r="14555" spans="1:141" s="116" customFormat="1">
      <c r="A14555" s="136"/>
      <c r="CM14555" s="111"/>
      <c r="CQ14555" s="111"/>
      <c r="EF14555"/>
      <c r="EG14555"/>
      <c r="EH14555"/>
      <c r="EI14555"/>
      <c r="EJ14555"/>
      <c r="EK14555"/>
    </row>
    <row r="14556" spans="1:141" s="116" customFormat="1">
      <c r="A14556" s="136"/>
      <c r="CM14556" s="111"/>
      <c r="CQ14556" s="111"/>
      <c r="EF14556"/>
      <c r="EG14556"/>
      <c r="EH14556"/>
      <c r="EI14556"/>
      <c r="EJ14556"/>
      <c r="EK14556"/>
    </row>
    <row r="14557" spans="1:141" s="116" customFormat="1">
      <c r="A14557" s="136"/>
      <c r="CM14557" s="111"/>
      <c r="CQ14557" s="111"/>
      <c r="EF14557"/>
      <c r="EG14557"/>
      <c r="EH14557"/>
      <c r="EI14557"/>
      <c r="EJ14557"/>
      <c r="EK14557"/>
    </row>
    <row r="14558" spans="1:141" s="116" customFormat="1">
      <c r="A14558" s="136"/>
      <c r="CM14558" s="111"/>
      <c r="CQ14558" s="111"/>
      <c r="EF14558"/>
      <c r="EG14558"/>
      <c r="EH14558"/>
      <c r="EI14558"/>
      <c r="EJ14558"/>
      <c r="EK14558"/>
    </row>
    <row r="14559" spans="1:141" s="116" customFormat="1">
      <c r="A14559" s="136"/>
      <c r="CM14559" s="111"/>
      <c r="CQ14559" s="111"/>
      <c r="EF14559"/>
      <c r="EG14559"/>
      <c r="EH14559"/>
      <c r="EI14559"/>
      <c r="EJ14559"/>
      <c r="EK14559"/>
    </row>
    <row r="14560" spans="1:141" s="116" customFormat="1">
      <c r="A14560" s="136"/>
      <c r="CM14560" s="111"/>
      <c r="CQ14560" s="111"/>
      <c r="EF14560"/>
      <c r="EG14560"/>
      <c r="EH14560"/>
      <c r="EI14560"/>
      <c r="EJ14560"/>
      <c r="EK14560"/>
    </row>
    <row r="14561" spans="1:141" s="116" customFormat="1">
      <c r="A14561" s="136"/>
      <c r="CM14561" s="111"/>
      <c r="CQ14561" s="111"/>
      <c r="EF14561"/>
      <c r="EG14561"/>
      <c r="EH14561"/>
      <c r="EI14561"/>
      <c r="EJ14561"/>
      <c r="EK14561"/>
    </row>
    <row r="14562" spans="1:141" s="116" customFormat="1">
      <c r="A14562" s="136"/>
      <c r="CM14562" s="111"/>
      <c r="CQ14562" s="111"/>
      <c r="EF14562"/>
      <c r="EG14562"/>
      <c r="EH14562"/>
      <c r="EI14562"/>
      <c r="EJ14562"/>
      <c r="EK14562"/>
    </row>
    <row r="14563" spans="1:141" s="116" customFormat="1">
      <c r="A14563" s="136"/>
      <c r="CM14563" s="111"/>
      <c r="CQ14563" s="111"/>
      <c r="EF14563"/>
      <c r="EG14563"/>
      <c r="EH14563"/>
      <c r="EI14563"/>
      <c r="EJ14563"/>
      <c r="EK14563"/>
    </row>
    <row r="14564" spans="1:141" s="116" customFormat="1">
      <c r="A14564" s="136"/>
      <c r="CM14564" s="111"/>
      <c r="CQ14564" s="111"/>
      <c r="EF14564"/>
      <c r="EG14564"/>
      <c r="EH14564"/>
      <c r="EI14564"/>
      <c r="EJ14564"/>
      <c r="EK14564"/>
    </row>
    <row r="14565" spans="1:141" s="116" customFormat="1">
      <c r="A14565" s="136"/>
      <c r="CM14565" s="111"/>
      <c r="CQ14565" s="111"/>
      <c r="EF14565"/>
      <c r="EG14565"/>
      <c r="EH14565"/>
      <c r="EI14565"/>
      <c r="EJ14565"/>
      <c r="EK14565"/>
    </row>
    <row r="14566" spans="1:141" s="116" customFormat="1">
      <c r="A14566" s="136"/>
      <c r="CM14566" s="111"/>
      <c r="CQ14566" s="111"/>
      <c r="EF14566"/>
      <c r="EG14566"/>
      <c r="EH14566"/>
      <c r="EI14566"/>
      <c r="EJ14566"/>
      <c r="EK14566"/>
    </row>
    <row r="14567" spans="1:141" s="116" customFormat="1">
      <c r="A14567" s="136"/>
      <c r="CM14567" s="111"/>
      <c r="CQ14567" s="111"/>
      <c r="EF14567"/>
      <c r="EG14567"/>
      <c r="EH14567"/>
      <c r="EI14567"/>
      <c r="EJ14567"/>
      <c r="EK14567"/>
    </row>
    <row r="14568" spans="1:141" s="116" customFormat="1">
      <c r="A14568" s="136"/>
      <c r="CM14568" s="111"/>
      <c r="CQ14568" s="111"/>
      <c r="EF14568"/>
      <c r="EG14568"/>
      <c r="EH14568"/>
      <c r="EI14568"/>
      <c r="EJ14568"/>
      <c r="EK14568"/>
    </row>
    <row r="14569" spans="1:141" s="116" customFormat="1">
      <c r="A14569" s="136"/>
      <c r="CM14569" s="111"/>
      <c r="CQ14569" s="111"/>
      <c r="EF14569"/>
      <c r="EG14569"/>
      <c r="EH14569"/>
      <c r="EI14569"/>
      <c r="EJ14569"/>
      <c r="EK14569"/>
    </row>
    <row r="14570" spans="1:141" s="116" customFormat="1">
      <c r="A14570" s="136"/>
      <c r="CM14570" s="111"/>
      <c r="CQ14570" s="111"/>
      <c r="EF14570"/>
      <c r="EG14570"/>
      <c r="EH14570"/>
      <c r="EI14570"/>
      <c r="EJ14570"/>
      <c r="EK14570"/>
    </row>
    <row r="14571" spans="1:141" s="116" customFormat="1">
      <c r="A14571" s="136"/>
      <c r="CM14571" s="111"/>
      <c r="CQ14571" s="111"/>
      <c r="EF14571"/>
      <c r="EG14571"/>
      <c r="EH14571"/>
      <c r="EI14571"/>
      <c r="EJ14571"/>
      <c r="EK14571"/>
    </row>
    <row r="14572" spans="1:141" s="116" customFormat="1">
      <c r="A14572" s="136"/>
      <c r="CM14572" s="111"/>
      <c r="CQ14572" s="111"/>
      <c r="EF14572"/>
      <c r="EG14572"/>
      <c r="EH14572"/>
      <c r="EI14572"/>
      <c r="EJ14572"/>
      <c r="EK14572"/>
    </row>
    <row r="14573" spans="1:141" s="116" customFormat="1">
      <c r="A14573" s="136"/>
      <c r="CM14573" s="111"/>
      <c r="CQ14573" s="111"/>
      <c r="EF14573"/>
      <c r="EG14573"/>
      <c r="EH14573"/>
      <c r="EI14573"/>
      <c r="EJ14573"/>
      <c r="EK14573"/>
    </row>
    <row r="14574" spans="1:141" s="116" customFormat="1">
      <c r="A14574" s="136"/>
      <c r="CM14574" s="111"/>
      <c r="CQ14574" s="111"/>
      <c r="EF14574"/>
      <c r="EG14574"/>
      <c r="EH14574"/>
      <c r="EI14574"/>
      <c r="EJ14574"/>
      <c r="EK14574"/>
    </row>
    <row r="14575" spans="1:141" s="116" customFormat="1">
      <c r="A14575" s="136"/>
      <c r="CM14575" s="111"/>
      <c r="CQ14575" s="111"/>
      <c r="EF14575"/>
      <c r="EG14575"/>
      <c r="EH14575"/>
      <c r="EI14575"/>
      <c r="EJ14575"/>
      <c r="EK14575"/>
    </row>
    <row r="14576" spans="1:141" s="116" customFormat="1">
      <c r="A14576" s="136"/>
      <c r="CM14576" s="111"/>
      <c r="CQ14576" s="111"/>
      <c r="EF14576"/>
      <c r="EG14576"/>
      <c r="EH14576"/>
      <c r="EI14576"/>
      <c r="EJ14576"/>
      <c r="EK14576"/>
    </row>
    <row r="14577" spans="1:141" s="116" customFormat="1">
      <c r="A14577" s="136"/>
      <c r="CM14577" s="111"/>
      <c r="CQ14577" s="111"/>
      <c r="EF14577"/>
      <c r="EG14577"/>
      <c r="EH14577"/>
      <c r="EI14577"/>
      <c r="EJ14577"/>
      <c r="EK14577"/>
    </row>
    <row r="14578" spans="1:141" s="116" customFormat="1">
      <c r="A14578" s="136"/>
      <c r="CM14578" s="111"/>
      <c r="CQ14578" s="111"/>
      <c r="EF14578"/>
      <c r="EG14578"/>
      <c r="EH14578"/>
      <c r="EI14578"/>
      <c r="EJ14578"/>
      <c r="EK14578"/>
    </row>
    <row r="14579" spans="1:141" s="116" customFormat="1">
      <c r="A14579" s="136"/>
      <c r="CM14579" s="111"/>
      <c r="CQ14579" s="111"/>
      <c r="EF14579"/>
      <c r="EG14579"/>
      <c r="EH14579"/>
      <c r="EI14579"/>
      <c r="EJ14579"/>
      <c r="EK14579"/>
    </row>
    <row r="14580" spans="1:141" s="116" customFormat="1">
      <c r="A14580" s="136"/>
      <c r="CM14580" s="111"/>
      <c r="CQ14580" s="111"/>
      <c r="EF14580"/>
      <c r="EG14580"/>
      <c r="EH14580"/>
      <c r="EI14580"/>
      <c r="EJ14580"/>
      <c r="EK14580"/>
    </row>
    <row r="14581" spans="1:141" s="116" customFormat="1">
      <c r="A14581" s="136"/>
      <c r="CM14581" s="111"/>
      <c r="CQ14581" s="111"/>
      <c r="EF14581"/>
      <c r="EG14581"/>
      <c r="EH14581"/>
      <c r="EI14581"/>
      <c r="EJ14581"/>
      <c r="EK14581"/>
    </row>
    <row r="14582" spans="1:141" s="116" customFormat="1">
      <c r="A14582" s="136"/>
      <c r="CM14582" s="111"/>
      <c r="CQ14582" s="111"/>
      <c r="EF14582"/>
      <c r="EG14582"/>
      <c r="EH14582"/>
      <c r="EI14582"/>
      <c r="EJ14582"/>
      <c r="EK14582"/>
    </row>
    <row r="14583" spans="1:141" s="116" customFormat="1">
      <c r="A14583" s="136"/>
      <c r="CM14583" s="111"/>
      <c r="CQ14583" s="111"/>
      <c r="EF14583"/>
      <c r="EG14583"/>
      <c r="EH14583"/>
      <c r="EI14583"/>
      <c r="EJ14583"/>
      <c r="EK14583"/>
    </row>
    <row r="14584" spans="1:141" s="116" customFormat="1">
      <c r="A14584" s="136"/>
      <c r="CM14584" s="111"/>
      <c r="CQ14584" s="111"/>
      <c r="EF14584"/>
      <c r="EG14584"/>
      <c r="EH14584"/>
      <c r="EI14584"/>
      <c r="EJ14584"/>
      <c r="EK14584"/>
    </row>
    <row r="14585" spans="1:141" s="116" customFormat="1">
      <c r="A14585" s="136"/>
      <c r="CM14585" s="111"/>
      <c r="CQ14585" s="111"/>
      <c r="EF14585"/>
      <c r="EG14585"/>
      <c r="EH14585"/>
      <c r="EI14585"/>
      <c r="EJ14585"/>
      <c r="EK14585"/>
    </row>
    <row r="14586" spans="1:141" s="116" customFormat="1">
      <c r="A14586" s="136"/>
      <c r="CM14586" s="111"/>
      <c r="CQ14586" s="111"/>
      <c r="EF14586"/>
      <c r="EG14586"/>
      <c r="EH14586"/>
      <c r="EI14586"/>
      <c r="EJ14586"/>
      <c r="EK14586"/>
    </row>
    <row r="14587" spans="1:141" s="116" customFormat="1">
      <c r="A14587" s="136"/>
      <c r="CM14587" s="111"/>
      <c r="CQ14587" s="111"/>
      <c r="EF14587"/>
      <c r="EG14587"/>
      <c r="EH14587"/>
      <c r="EI14587"/>
      <c r="EJ14587"/>
      <c r="EK14587"/>
    </row>
    <row r="14588" spans="1:141" s="116" customFormat="1">
      <c r="A14588" s="136"/>
      <c r="CM14588" s="111"/>
      <c r="CQ14588" s="111"/>
      <c r="EF14588"/>
      <c r="EG14588"/>
      <c r="EH14588"/>
      <c r="EI14588"/>
      <c r="EJ14588"/>
      <c r="EK14588"/>
    </row>
    <row r="14589" spans="1:141" s="116" customFormat="1">
      <c r="A14589" s="136"/>
      <c r="CM14589" s="111"/>
      <c r="CQ14589" s="111"/>
      <c r="EF14589"/>
      <c r="EG14589"/>
      <c r="EH14589"/>
      <c r="EI14589"/>
      <c r="EJ14589"/>
      <c r="EK14589"/>
    </row>
    <row r="14590" spans="1:141" s="116" customFormat="1">
      <c r="A14590" s="136"/>
      <c r="CM14590" s="111"/>
      <c r="CQ14590" s="111"/>
      <c r="EF14590"/>
      <c r="EG14590"/>
      <c r="EH14590"/>
      <c r="EI14590"/>
      <c r="EJ14590"/>
      <c r="EK14590"/>
    </row>
    <row r="14591" spans="1:141" s="116" customFormat="1">
      <c r="A14591" s="136"/>
      <c r="CM14591" s="111"/>
      <c r="CQ14591" s="111"/>
      <c r="EF14591"/>
      <c r="EG14591"/>
      <c r="EH14591"/>
      <c r="EI14591"/>
      <c r="EJ14591"/>
      <c r="EK14591"/>
    </row>
    <row r="14592" spans="1:141" s="116" customFormat="1">
      <c r="A14592" s="136"/>
      <c r="CM14592" s="111"/>
      <c r="CQ14592" s="111"/>
      <c r="EF14592"/>
      <c r="EG14592"/>
      <c r="EH14592"/>
      <c r="EI14592"/>
      <c r="EJ14592"/>
      <c r="EK14592"/>
    </row>
    <row r="14593" spans="1:141" s="116" customFormat="1">
      <c r="A14593" s="136"/>
      <c r="CM14593" s="111"/>
      <c r="CQ14593" s="111"/>
      <c r="EF14593"/>
      <c r="EG14593"/>
      <c r="EH14593"/>
      <c r="EI14593"/>
      <c r="EJ14593"/>
      <c r="EK14593"/>
    </row>
    <row r="14594" spans="1:141" s="116" customFormat="1">
      <c r="A14594" s="136"/>
      <c r="CM14594" s="111"/>
      <c r="CQ14594" s="111"/>
      <c r="EF14594"/>
      <c r="EG14594"/>
      <c r="EH14594"/>
      <c r="EI14594"/>
      <c r="EJ14594"/>
      <c r="EK14594"/>
    </row>
    <row r="14595" spans="1:141" s="116" customFormat="1">
      <c r="A14595" s="136"/>
      <c r="CM14595" s="111"/>
      <c r="CQ14595" s="111"/>
      <c r="EF14595"/>
      <c r="EG14595"/>
      <c r="EH14595"/>
      <c r="EI14595"/>
      <c r="EJ14595"/>
      <c r="EK14595"/>
    </row>
    <row r="14596" spans="1:141" s="116" customFormat="1">
      <c r="A14596" s="136"/>
      <c r="CM14596" s="111"/>
      <c r="CQ14596" s="111"/>
      <c r="EF14596"/>
      <c r="EG14596"/>
      <c r="EH14596"/>
      <c r="EI14596"/>
      <c r="EJ14596"/>
      <c r="EK14596"/>
    </row>
    <row r="14597" spans="1:141" s="116" customFormat="1">
      <c r="A14597" s="136"/>
      <c r="CM14597" s="111"/>
      <c r="CQ14597" s="111"/>
      <c r="EF14597"/>
      <c r="EG14597"/>
      <c r="EH14597"/>
      <c r="EI14597"/>
      <c r="EJ14597"/>
      <c r="EK14597"/>
    </row>
    <row r="14598" spans="1:141" s="116" customFormat="1">
      <c r="A14598" s="136"/>
      <c r="CM14598" s="111"/>
      <c r="CQ14598" s="111"/>
      <c r="EF14598"/>
      <c r="EG14598"/>
      <c r="EH14598"/>
      <c r="EI14598"/>
      <c r="EJ14598"/>
      <c r="EK14598"/>
    </row>
    <row r="14599" spans="1:141" s="116" customFormat="1">
      <c r="A14599" s="136"/>
      <c r="CM14599" s="111"/>
      <c r="CQ14599" s="111"/>
      <c r="EF14599"/>
      <c r="EG14599"/>
      <c r="EH14599"/>
      <c r="EI14599"/>
      <c r="EJ14599"/>
      <c r="EK14599"/>
    </row>
    <row r="14600" spans="1:141" s="116" customFormat="1">
      <c r="A14600" s="136"/>
      <c r="CM14600" s="111"/>
      <c r="CQ14600" s="111"/>
      <c r="EF14600"/>
      <c r="EG14600"/>
      <c r="EH14600"/>
      <c r="EI14600"/>
      <c r="EJ14600"/>
      <c r="EK14600"/>
    </row>
    <row r="14601" spans="1:141" s="116" customFormat="1">
      <c r="A14601" s="136"/>
      <c r="CM14601" s="111"/>
      <c r="CQ14601" s="111"/>
      <c r="EF14601"/>
      <c r="EG14601"/>
      <c r="EH14601"/>
      <c r="EI14601"/>
      <c r="EJ14601"/>
      <c r="EK14601"/>
    </row>
    <row r="14602" spans="1:141" s="116" customFormat="1">
      <c r="A14602" s="136"/>
      <c r="CM14602" s="111"/>
      <c r="CQ14602" s="111"/>
      <c r="EF14602"/>
      <c r="EG14602"/>
      <c r="EH14602"/>
      <c r="EI14602"/>
      <c r="EJ14602"/>
      <c r="EK14602"/>
    </row>
    <row r="14603" spans="1:141" s="116" customFormat="1">
      <c r="A14603" s="136"/>
      <c r="CM14603" s="111"/>
      <c r="CQ14603" s="111"/>
      <c r="EF14603"/>
      <c r="EG14603"/>
      <c r="EH14603"/>
      <c r="EI14603"/>
      <c r="EJ14603"/>
      <c r="EK14603"/>
    </row>
    <row r="14604" spans="1:141" s="116" customFormat="1">
      <c r="A14604" s="136"/>
      <c r="CM14604" s="111"/>
      <c r="CQ14604" s="111"/>
      <c r="EF14604"/>
      <c r="EG14604"/>
      <c r="EH14604"/>
      <c r="EI14604"/>
      <c r="EJ14604"/>
      <c r="EK14604"/>
    </row>
    <row r="14605" spans="1:141" s="116" customFormat="1">
      <c r="A14605" s="136"/>
      <c r="CM14605" s="111"/>
      <c r="CQ14605" s="111"/>
      <c r="EF14605"/>
      <c r="EG14605"/>
      <c r="EH14605"/>
      <c r="EI14605"/>
      <c r="EJ14605"/>
      <c r="EK14605"/>
    </row>
    <row r="14606" spans="1:141" s="116" customFormat="1">
      <c r="A14606" s="136"/>
      <c r="CM14606" s="111"/>
      <c r="CQ14606" s="111"/>
      <c r="EF14606"/>
      <c r="EG14606"/>
      <c r="EH14606"/>
      <c r="EI14606"/>
      <c r="EJ14606"/>
      <c r="EK14606"/>
    </row>
    <row r="14607" spans="1:141" s="116" customFormat="1">
      <c r="A14607" s="136"/>
      <c r="CM14607" s="111"/>
      <c r="CQ14607" s="111"/>
      <c r="EF14607"/>
      <c r="EG14607"/>
      <c r="EH14607"/>
      <c r="EI14607"/>
      <c r="EJ14607"/>
      <c r="EK14607"/>
    </row>
    <row r="14608" spans="1:141" s="116" customFormat="1">
      <c r="A14608" s="136"/>
      <c r="CM14608" s="111"/>
      <c r="CQ14608" s="111"/>
      <c r="EF14608"/>
      <c r="EG14608"/>
      <c r="EH14608"/>
      <c r="EI14608"/>
      <c r="EJ14608"/>
      <c r="EK14608"/>
    </row>
    <row r="14609" spans="1:141" s="116" customFormat="1">
      <c r="A14609" s="136"/>
      <c r="CM14609" s="111"/>
      <c r="CQ14609" s="111"/>
      <c r="EF14609"/>
      <c r="EG14609"/>
      <c r="EH14609"/>
      <c r="EI14609"/>
      <c r="EJ14609"/>
      <c r="EK14609"/>
    </row>
    <row r="14610" spans="1:141" s="116" customFormat="1">
      <c r="A14610" s="136"/>
      <c r="CM14610" s="111"/>
      <c r="CQ14610" s="111"/>
      <c r="EF14610"/>
      <c r="EG14610"/>
      <c r="EH14610"/>
      <c r="EI14610"/>
      <c r="EJ14610"/>
      <c r="EK14610"/>
    </row>
    <row r="14611" spans="1:141" s="116" customFormat="1">
      <c r="A14611" s="136"/>
      <c r="CM14611" s="111"/>
      <c r="CQ14611" s="111"/>
      <c r="EF14611"/>
      <c r="EG14611"/>
      <c r="EH14611"/>
      <c r="EI14611"/>
      <c r="EJ14611"/>
      <c r="EK14611"/>
    </row>
    <row r="14612" spans="1:141" s="116" customFormat="1">
      <c r="A14612" s="136"/>
      <c r="CM14612" s="111"/>
      <c r="CQ14612" s="111"/>
      <c r="EF14612"/>
      <c r="EG14612"/>
      <c r="EH14612"/>
      <c r="EI14612"/>
      <c r="EJ14612"/>
      <c r="EK14612"/>
    </row>
    <row r="14613" spans="1:141" s="116" customFormat="1">
      <c r="A14613" s="136"/>
      <c r="CM14613" s="111"/>
      <c r="CQ14613" s="111"/>
      <c r="EF14613"/>
      <c r="EG14613"/>
      <c r="EH14613"/>
      <c r="EI14613"/>
      <c r="EJ14613"/>
      <c r="EK14613"/>
    </row>
    <row r="14614" spans="1:141" s="116" customFormat="1">
      <c r="A14614" s="136"/>
      <c r="CM14614" s="111"/>
      <c r="CQ14614" s="111"/>
      <c r="EF14614"/>
      <c r="EG14614"/>
      <c r="EH14614"/>
      <c r="EI14614"/>
      <c r="EJ14614"/>
      <c r="EK14614"/>
    </row>
    <row r="14615" spans="1:141" s="116" customFormat="1">
      <c r="A14615" s="136"/>
      <c r="CM14615" s="111"/>
      <c r="CQ14615" s="111"/>
      <c r="EF14615"/>
      <c r="EG14615"/>
      <c r="EH14615"/>
      <c r="EI14615"/>
      <c r="EJ14615"/>
      <c r="EK14615"/>
    </row>
    <row r="14616" spans="1:141" s="116" customFormat="1">
      <c r="A14616" s="136"/>
      <c r="CM14616" s="111"/>
      <c r="CQ14616" s="111"/>
      <c r="EF14616"/>
      <c r="EG14616"/>
      <c r="EH14616"/>
      <c r="EI14616"/>
      <c r="EJ14616"/>
      <c r="EK14616"/>
    </row>
    <row r="14617" spans="1:141" s="116" customFormat="1">
      <c r="A14617" s="136"/>
      <c r="CM14617" s="111"/>
      <c r="CQ14617" s="111"/>
      <c r="EF14617"/>
      <c r="EG14617"/>
      <c r="EH14617"/>
      <c r="EI14617"/>
      <c r="EJ14617"/>
      <c r="EK14617"/>
    </row>
    <row r="14618" spans="1:141" s="116" customFormat="1">
      <c r="A14618" s="136"/>
      <c r="CM14618" s="111"/>
      <c r="CQ14618" s="111"/>
      <c r="EF14618"/>
      <c r="EG14618"/>
      <c r="EH14618"/>
      <c r="EI14618"/>
      <c r="EJ14618"/>
      <c r="EK14618"/>
    </row>
    <row r="14619" spans="1:141" s="116" customFormat="1">
      <c r="A14619" s="136"/>
      <c r="CM14619" s="111"/>
      <c r="CQ14619" s="111"/>
      <c r="EF14619"/>
      <c r="EG14619"/>
      <c r="EH14619"/>
      <c r="EI14619"/>
      <c r="EJ14619"/>
      <c r="EK14619"/>
    </row>
    <row r="14620" spans="1:141" s="116" customFormat="1">
      <c r="A14620" s="136"/>
      <c r="CM14620" s="111"/>
      <c r="CQ14620" s="111"/>
      <c r="EF14620"/>
      <c r="EG14620"/>
      <c r="EH14620"/>
      <c r="EI14620"/>
      <c r="EJ14620"/>
      <c r="EK14620"/>
    </row>
    <row r="14621" spans="1:141" s="116" customFormat="1">
      <c r="A14621" s="136"/>
      <c r="CM14621" s="111"/>
      <c r="CQ14621" s="111"/>
      <c r="EF14621"/>
      <c r="EG14621"/>
      <c r="EH14621"/>
      <c r="EI14621"/>
      <c r="EJ14621"/>
      <c r="EK14621"/>
    </row>
    <row r="14622" spans="1:141" s="116" customFormat="1">
      <c r="A14622" s="136"/>
      <c r="CM14622" s="111"/>
      <c r="CQ14622" s="111"/>
      <c r="EF14622"/>
      <c r="EG14622"/>
      <c r="EH14622"/>
      <c r="EI14622"/>
      <c r="EJ14622"/>
      <c r="EK14622"/>
    </row>
    <row r="14623" spans="1:141" s="116" customFormat="1">
      <c r="A14623" s="136"/>
      <c r="CM14623" s="111"/>
      <c r="CQ14623" s="111"/>
      <c r="EF14623"/>
      <c r="EG14623"/>
      <c r="EH14623"/>
      <c r="EI14623"/>
      <c r="EJ14623"/>
      <c r="EK14623"/>
    </row>
    <row r="14624" spans="1:141" s="116" customFormat="1">
      <c r="A14624" s="136"/>
      <c r="CM14624" s="111"/>
      <c r="CQ14624" s="111"/>
      <c r="EF14624"/>
      <c r="EG14624"/>
      <c r="EH14624"/>
      <c r="EI14624"/>
      <c r="EJ14624"/>
      <c r="EK14624"/>
    </row>
    <row r="14625" spans="1:141" s="116" customFormat="1">
      <c r="A14625" s="136"/>
      <c r="CM14625" s="111"/>
      <c r="CQ14625" s="111"/>
      <c r="EF14625"/>
      <c r="EG14625"/>
      <c r="EH14625"/>
      <c r="EI14625"/>
      <c r="EJ14625"/>
      <c r="EK14625"/>
    </row>
    <row r="14626" spans="1:141" s="116" customFormat="1">
      <c r="A14626" s="136"/>
      <c r="CM14626" s="111"/>
      <c r="CQ14626" s="111"/>
      <c r="EF14626"/>
      <c r="EG14626"/>
      <c r="EH14626"/>
      <c r="EI14626"/>
      <c r="EJ14626"/>
      <c r="EK14626"/>
    </row>
    <row r="14627" spans="1:141" s="116" customFormat="1">
      <c r="A14627" s="136"/>
      <c r="CM14627" s="111"/>
      <c r="CQ14627" s="111"/>
      <c r="EF14627"/>
      <c r="EG14627"/>
      <c r="EH14627"/>
      <c r="EI14627"/>
      <c r="EJ14627"/>
      <c r="EK14627"/>
    </row>
    <row r="14628" spans="1:141" s="116" customFormat="1">
      <c r="A14628" s="136"/>
      <c r="CM14628" s="111"/>
      <c r="CQ14628" s="111"/>
      <c r="EF14628"/>
      <c r="EG14628"/>
      <c r="EH14628"/>
      <c r="EI14628"/>
      <c r="EJ14628"/>
      <c r="EK14628"/>
    </row>
    <row r="14629" spans="1:141" s="116" customFormat="1">
      <c r="A14629" s="136"/>
      <c r="CM14629" s="111"/>
      <c r="CQ14629" s="111"/>
      <c r="EF14629"/>
      <c r="EG14629"/>
      <c r="EH14629"/>
      <c r="EI14629"/>
      <c r="EJ14629"/>
      <c r="EK14629"/>
    </row>
    <row r="14630" spans="1:141" s="116" customFormat="1">
      <c r="A14630" s="136"/>
      <c r="CM14630" s="111"/>
      <c r="CQ14630" s="111"/>
      <c r="EF14630"/>
      <c r="EG14630"/>
      <c r="EH14630"/>
      <c r="EI14630"/>
      <c r="EJ14630"/>
      <c r="EK14630"/>
    </row>
    <row r="14631" spans="1:141" s="116" customFormat="1">
      <c r="A14631" s="136"/>
      <c r="CM14631" s="111"/>
      <c r="CQ14631" s="111"/>
      <c r="EF14631"/>
      <c r="EG14631"/>
      <c r="EH14631"/>
      <c r="EI14631"/>
      <c r="EJ14631"/>
      <c r="EK14631"/>
    </row>
    <row r="14632" spans="1:141" s="116" customFormat="1">
      <c r="A14632" s="136"/>
      <c r="CM14632" s="111"/>
      <c r="CQ14632" s="111"/>
      <c r="EF14632"/>
      <c r="EG14632"/>
      <c r="EH14632"/>
      <c r="EI14632"/>
      <c r="EJ14632"/>
      <c r="EK14632"/>
    </row>
    <row r="14633" spans="1:141" s="116" customFormat="1">
      <c r="A14633" s="136"/>
      <c r="CM14633" s="111"/>
      <c r="CQ14633" s="111"/>
      <c r="EF14633"/>
      <c r="EG14633"/>
      <c r="EH14633"/>
      <c r="EI14633"/>
      <c r="EJ14633"/>
      <c r="EK14633"/>
    </row>
    <row r="14634" spans="1:141" s="116" customFormat="1">
      <c r="A14634" s="136"/>
      <c r="CM14634" s="111"/>
      <c r="CQ14634" s="111"/>
      <c r="EF14634"/>
      <c r="EG14634"/>
      <c r="EH14634"/>
      <c r="EI14634"/>
      <c r="EJ14634"/>
      <c r="EK14634"/>
    </row>
    <row r="14635" spans="1:141" s="116" customFormat="1">
      <c r="A14635" s="136"/>
      <c r="CM14635" s="111"/>
      <c r="CQ14635" s="111"/>
      <c r="EF14635"/>
      <c r="EG14635"/>
      <c r="EH14635"/>
      <c r="EI14635"/>
      <c r="EJ14635"/>
      <c r="EK14635"/>
    </row>
    <row r="14636" spans="1:141" s="116" customFormat="1">
      <c r="A14636" s="136"/>
      <c r="CM14636" s="111"/>
      <c r="CQ14636" s="111"/>
      <c r="EF14636"/>
      <c r="EG14636"/>
      <c r="EH14636"/>
      <c r="EI14636"/>
      <c r="EJ14636"/>
      <c r="EK14636"/>
    </row>
    <row r="14637" spans="1:141" s="116" customFormat="1">
      <c r="A14637" s="136"/>
      <c r="CM14637" s="111"/>
      <c r="CQ14637" s="111"/>
      <c r="EF14637"/>
      <c r="EG14637"/>
      <c r="EH14637"/>
      <c r="EI14637"/>
      <c r="EJ14637"/>
      <c r="EK14637"/>
    </row>
    <row r="14638" spans="1:141" s="116" customFormat="1">
      <c r="A14638" s="136"/>
      <c r="CM14638" s="111"/>
      <c r="CQ14638" s="111"/>
      <c r="EF14638"/>
      <c r="EG14638"/>
      <c r="EH14638"/>
      <c r="EI14638"/>
      <c r="EJ14638"/>
      <c r="EK14638"/>
    </row>
    <row r="14639" spans="1:141" s="116" customFormat="1">
      <c r="A14639" s="136"/>
      <c r="CM14639" s="111"/>
      <c r="CQ14639" s="111"/>
      <c r="EF14639"/>
      <c r="EG14639"/>
      <c r="EH14639"/>
      <c r="EI14639"/>
      <c r="EJ14639"/>
      <c r="EK14639"/>
    </row>
    <row r="14640" spans="1:141" s="116" customFormat="1">
      <c r="A14640" s="136"/>
      <c r="CM14640" s="111"/>
      <c r="CQ14640" s="111"/>
      <c r="EF14640"/>
      <c r="EG14640"/>
      <c r="EH14640"/>
      <c r="EI14640"/>
      <c r="EJ14640"/>
      <c r="EK14640"/>
    </row>
    <row r="14641" spans="1:141" s="116" customFormat="1">
      <c r="A14641" s="136"/>
      <c r="CM14641" s="111"/>
      <c r="CQ14641" s="111"/>
      <c r="EF14641"/>
      <c r="EG14641"/>
      <c r="EH14641"/>
      <c r="EI14641"/>
      <c r="EJ14641"/>
      <c r="EK14641"/>
    </row>
    <row r="14642" spans="1:141" s="116" customFormat="1">
      <c r="A14642" s="136"/>
      <c r="CM14642" s="111"/>
      <c r="CQ14642" s="111"/>
      <c r="EF14642"/>
      <c r="EG14642"/>
      <c r="EH14642"/>
      <c r="EI14642"/>
      <c r="EJ14642"/>
      <c r="EK14642"/>
    </row>
    <row r="14643" spans="1:141" s="116" customFormat="1">
      <c r="A14643" s="136"/>
      <c r="CM14643" s="111"/>
      <c r="CQ14643" s="111"/>
      <c r="EF14643"/>
      <c r="EG14643"/>
      <c r="EH14643"/>
      <c r="EI14643"/>
      <c r="EJ14643"/>
      <c r="EK14643"/>
    </row>
    <row r="14644" spans="1:141" s="116" customFormat="1">
      <c r="A14644" s="136"/>
      <c r="CM14644" s="111"/>
      <c r="CQ14644" s="111"/>
      <c r="EF14644"/>
      <c r="EG14644"/>
      <c r="EH14644"/>
      <c r="EI14644"/>
      <c r="EJ14644"/>
      <c r="EK14644"/>
    </row>
    <row r="14645" spans="1:141" s="116" customFormat="1">
      <c r="A14645" s="136"/>
      <c r="CM14645" s="111"/>
      <c r="CQ14645" s="111"/>
      <c r="EF14645"/>
      <c r="EG14645"/>
      <c r="EH14645"/>
      <c r="EI14645"/>
      <c r="EJ14645"/>
      <c r="EK14645"/>
    </row>
    <row r="14646" spans="1:141" s="116" customFormat="1">
      <c r="A14646" s="136"/>
      <c r="CM14646" s="111"/>
      <c r="CQ14646" s="111"/>
      <c r="EF14646"/>
      <c r="EG14646"/>
      <c r="EH14646"/>
      <c r="EI14646"/>
      <c r="EJ14646"/>
      <c r="EK14646"/>
    </row>
    <row r="14647" spans="1:141" s="116" customFormat="1">
      <c r="A14647" s="136"/>
      <c r="CM14647" s="111"/>
      <c r="CQ14647" s="111"/>
      <c r="EF14647"/>
      <c r="EG14647"/>
      <c r="EH14647"/>
      <c r="EI14647"/>
      <c r="EJ14647"/>
      <c r="EK14647"/>
    </row>
    <row r="14648" spans="1:141" s="116" customFormat="1">
      <c r="A14648" s="136"/>
      <c r="CM14648" s="111"/>
      <c r="CQ14648" s="111"/>
      <c r="EF14648"/>
      <c r="EG14648"/>
      <c r="EH14648"/>
      <c r="EI14648"/>
      <c r="EJ14648"/>
      <c r="EK14648"/>
    </row>
    <row r="14649" spans="1:141" s="116" customFormat="1">
      <c r="A14649" s="136"/>
      <c r="CM14649" s="111"/>
      <c r="CQ14649" s="111"/>
      <c r="EF14649"/>
      <c r="EG14649"/>
      <c r="EH14649"/>
      <c r="EI14649"/>
      <c r="EJ14649"/>
      <c r="EK14649"/>
    </row>
    <row r="14650" spans="1:141" s="116" customFormat="1">
      <c r="A14650" s="136"/>
      <c r="CM14650" s="111"/>
      <c r="CQ14650" s="111"/>
      <c r="EF14650"/>
      <c r="EG14650"/>
      <c r="EH14650"/>
      <c r="EI14650"/>
      <c r="EJ14650"/>
      <c r="EK14650"/>
    </row>
    <row r="14651" spans="1:141" s="116" customFormat="1">
      <c r="A14651" s="136"/>
      <c r="CM14651" s="111"/>
      <c r="CQ14651" s="111"/>
      <c r="EF14651"/>
      <c r="EG14651"/>
      <c r="EH14651"/>
      <c r="EI14651"/>
      <c r="EJ14651"/>
      <c r="EK14651"/>
    </row>
    <row r="14652" spans="1:141" s="116" customFormat="1">
      <c r="A14652" s="136"/>
      <c r="CM14652" s="111"/>
      <c r="CQ14652" s="111"/>
      <c r="EF14652"/>
      <c r="EG14652"/>
      <c r="EH14652"/>
      <c r="EI14652"/>
      <c r="EJ14652"/>
      <c r="EK14652"/>
    </row>
    <row r="14653" spans="1:141" s="116" customFormat="1">
      <c r="A14653" s="136"/>
      <c r="CM14653" s="111"/>
      <c r="CQ14653" s="111"/>
      <c r="EF14653"/>
      <c r="EG14653"/>
      <c r="EH14653"/>
      <c r="EI14653"/>
      <c r="EJ14653"/>
      <c r="EK14653"/>
    </row>
    <row r="14654" spans="1:141" s="116" customFormat="1">
      <c r="A14654" s="136"/>
      <c r="CM14654" s="111"/>
      <c r="CQ14654" s="111"/>
      <c r="EF14654"/>
      <c r="EG14654"/>
      <c r="EH14654"/>
      <c r="EI14654"/>
      <c r="EJ14654"/>
      <c r="EK14654"/>
    </row>
    <row r="14655" spans="1:141" s="116" customFormat="1">
      <c r="A14655" s="136"/>
      <c r="CM14655" s="111"/>
      <c r="CQ14655" s="111"/>
      <c r="EF14655"/>
      <c r="EG14655"/>
      <c r="EH14655"/>
      <c r="EI14655"/>
      <c r="EJ14655"/>
      <c r="EK14655"/>
    </row>
    <row r="14656" spans="1:141" s="116" customFormat="1">
      <c r="A14656" s="136"/>
      <c r="CM14656" s="111"/>
      <c r="CQ14656" s="111"/>
      <c r="EF14656"/>
      <c r="EG14656"/>
      <c r="EH14656"/>
      <c r="EI14656"/>
      <c r="EJ14656"/>
      <c r="EK14656"/>
    </row>
    <row r="14657" spans="1:141" s="116" customFormat="1">
      <c r="A14657" s="136"/>
      <c r="CM14657" s="111"/>
      <c r="CQ14657" s="111"/>
      <c r="EF14657"/>
      <c r="EG14657"/>
      <c r="EH14657"/>
      <c r="EI14657"/>
      <c r="EJ14657"/>
      <c r="EK14657"/>
    </row>
    <row r="14658" spans="1:141" s="116" customFormat="1">
      <c r="A14658" s="136"/>
      <c r="CM14658" s="111"/>
      <c r="CQ14658" s="111"/>
      <c r="EF14658"/>
      <c r="EG14658"/>
      <c r="EH14658"/>
      <c r="EI14658"/>
      <c r="EJ14658"/>
      <c r="EK14658"/>
    </row>
    <row r="14659" spans="1:141" s="116" customFormat="1">
      <c r="A14659" s="136"/>
      <c r="CM14659" s="111"/>
      <c r="CQ14659" s="111"/>
      <c r="EF14659"/>
      <c r="EG14659"/>
      <c r="EH14659"/>
      <c r="EI14659"/>
      <c r="EJ14659"/>
      <c r="EK14659"/>
    </row>
    <row r="14660" spans="1:141" s="116" customFormat="1">
      <c r="A14660" s="136"/>
      <c r="CM14660" s="111"/>
      <c r="CQ14660" s="111"/>
      <c r="EF14660"/>
      <c r="EG14660"/>
      <c r="EH14660"/>
      <c r="EI14660"/>
      <c r="EJ14660"/>
      <c r="EK14660"/>
    </row>
    <row r="14661" spans="1:141" s="116" customFormat="1">
      <c r="A14661" s="136"/>
      <c r="CM14661" s="111"/>
      <c r="CQ14661" s="111"/>
      <c r="EF14661"/>
      <c r="EG14661"/>
      <c r="EH14661"/>
      <c r="EI14661"/>
      <c r="EJ14661"/>
      <c r="EK14661"/>
    </row>
    <row r="14662" spans="1:141" s="116" customFormat="1">
      <c r="A14662" s="136"/>
      <c r="CM14662" s="111"/>
      <c r="CQ14662" s="111"/>
      <c r="EF14662"/>
      <c r="EG14662"/>
      <c r="EH14662"/>
      <c r="EI14662"/>
      <c r="EJ14662"/>
      <c r="EK14662"/>
    </row>
    <row r="14663" spans="1:141" s="116" customFormat="1">
      <c r="A14663" s="136"/>
      <c r="CM14663" s="111"/>
      <c r="CQ14663" s="111"/>
      <c r="EF14663"/>
      <c r="EG14663"/>
      <c r="EH14663"/>
      <c r="EI14663"/>
      <c r="EJ14663"/>
      <c r="EK14663"/>
    </row>
    <row r="14664" spans="1:141" s="116" customFormat="1">
      <c r="A14664" s="136"/>
      <c r="CM14664" s="111"/>
      <c r="CQ14664" s="111"/>
      <c r="EF14664"/>
      <c r="EG14664"/>
      <c r="EH14664"/>
      <c r="EI14664"/>
      <c r="EJ14664"/>
      <c r="EK14664"/>
    </row>
    <row r="14665" spans="1:141" s="116" customFormat="1">
      <c r="A14665" s="136"/>
      <c r="CM14665" s="111"/>
      <c r="CQ14665" s="111"/>
      <c r="EF14665"/>
      <c r="EG14665"/>
      <c r="EH14665"/>
      <c r="EI14665"/>
      <c r="EJ14665"/>
      <c r="EK14665"/>
    </row>
    <row r="14666" spans="1:141" s="116" customFormat="1">
      <c r="A14666" s="136"/>
      <c r="CM14666" s="111"/>
      <c r="CQ14666" s="111"/>
      <c r="EF14666"/>
      <c r="EG14666"/>
      <c r="EH14666"/>
      <c r="EI14666"/>
      <c r="EJ14666"/>
      <c r="EK14666"/>
    </row>
    <row r="14667" spans="1:141" s="116" customFormat="1">
      <c r="A14667" s="136"/>
      <c r="CM14667" s="111"/>
      <c r="CQ14667" s="111"/>
      <c r="EF14667"/>
      <c r="EG14667"/>
      <c r="EH14667"/>
      <c r="EI14667"/>
      <c r="EJ14667"/>
      <c r="EK14667"/>
    </row>
    <row r="14668" spans="1:141" s="116" customFormat="1">
      <c r="A14668" s="136"/>
      <c r="CM14668" s="111"/>
      <c r="CQ14668" s="111"/>
      <c r="EF14668"/>
      <c r="EG14668"/>
      <c r="EH14668"/>
      <c r="EI14668"/>
      <c r="EJ14668"/>
      <c r="EK14668"/>
    </row>
    <row r="14669" spans="1:141" s="116" customFormat="1">
      <c r="A14669" s="136"/>
      <c r="CM14669" s="111"/>
      <c r="CQ14669" s="111"/>
      <c r="EF14669"/>
      <c r="EG14669"/>
      <c r="EH14669"/>
      <c r="EI14669"/>
      <c r="EJ14669"/>
      <c r="EK14669"/>
    </row>
    <row r="14670" spans="1:141" s="116" customFormat="1">
      <c r="A14670" s="136"/>
      <c r="CM14670" s="111"/>
      <c r="CQ14670" s="111"/>
      <c r="EF14670"/>
      <c r="EG14670"/>
      <c r="EH14670"/>
      <c r="EI14670"/>
      <c r="EJ14670"/>
      <c r="EK14670"/>
    </row>
    <row r="14671" spans="1:141" s="116" customFormat="1">
      <c r="A14671" s="136"/>
      <c r="CM14671" s="111"/>
      <c r="CQ14671" s="111"/>
      <c r="EF14671"/>
      <c r="EG14671"/>
      <c r="EH14671"/>
      <c r="EI14671"/>
      <c r="EJ14671"/>
      <c r="EK14671"/>
    </row>
    <row r="14672" spans="1:141" s="116" customFormat="1">
      <c r="A14672" s="136"/>
      <c r="CM14672" s="111"/>
      <c r="CQ14672" s="111"/>
      <c r="EF14672"/>
      <c r="EG14672"/>
      <c r="EH14672"/>
      <c r="EI14672"/>
      <c r="EJ14672"/>
      <c r="EK14672"/>
    </row>
    <row r="14673" spans="1:141" s="116" customFormat="1">
      <c r="A14673" s="136"/>
      <c r="CM14673" s="111"/>
      <c r="CQ14673" s="111"/>
      <c r="EF14673"/>
      <c r="EG14673"/>
      <c r="EH14673"/>
      <c r="EI14673"/>
      <c r="EJ14673"/>
      <c r="EK14673"/>
    </row>
    <row r="14674" spans="1:141" s="116" customFormat="1">
      <c r="A14674" s="136"/>
      <c r="CM14674" s="111"/>
      <c r="CQ14674" s="111"/>
      <c r="EF14674"/>
      <c r="EG14674"/>
      <c r="EH14674"/>
      <c r="EI14674"/>
      <c r="EJ14674"/>
      <c r="EK14674"/>
    </row>
    <row r="14675" spans="1:141" s="116" customFormat="1">
      <c r="A14675" s="136"/>
      <c r="CM14675" s="111"/>
      <c r="CQ14675" s="111"/>
      <c r="EF14675"/>
      <c r="EG14675"/>
      <c r="EH14675"/>
      <c r="EI14675"/>
      <c r="EJ14675"/>
      <c r="EK14675"/>
    </row>
    <row r="14676" spans="1:141" s="116" customFormat="1">
      <c r="A14676" s="136"/>
      <c r="CM14676" s="111"/>
      <c r="CQ14676" s="111"/>
      <c r="EF14676"/>
      <c r="EG14676"/>
      <c r="EH14676"/>
      <c r="EI14676"/>
      <c r="EJ14676"/>
      <c r="EK14676"/>
    </row>
    <row r="14677" spans="1:141" s="116" customFormat="1">
      <c r="A14677" s="136"/>
      <c r="CM14677" s="111"/>
      <c r="CQ14677" s="111"/>
      <c r="EF14677"/>
      <c r="EG14677"/>
      <c r="EH14677"/>
      <c r="EI14677"/>
      <c r="EJ14677"/>
      <c r="EK14677"/>
    </row>
    <row r="14678" spans="1:141" s="116" customFormat="1">
      <c r="A14678" s="136"/>
      <c r="CM14678" s="111"/>
      <c r="CQ14678" s="111"/>
      <c r="EF14678"/>
      <c r="EG14678"/>
      <c r="EH14678"/>
      <c r="EI14678"/>
      <c r="EJ14678"/>
      <c r="EK14678"/>
    </row>
    <row r="14679" spans="1:141" s="116" customFormat="1">
      <c r="A14679" s="136"/>
      <c r="CM14679" s="111"/>
      <c r="CQ14679" s="111"/>
      <c r="EF14679"/>
      <c r="EG14679"/>
      <c r="EH14679"/>
      <c r="EI14679"/>
      <c r="EJ14679"/>
      <c r="EK14679"/>
    </row>
    <row r="14680" spans="1:141" s="116" customFormat="1">
      <c r="A14680" s="136"/>
      <c r="CM14680" s="111"/>
      <c r="CQ14680" s="111"/>
      <c r="EF14680"/>
      <c r="EG14680"/>
      <c r="EH14680"/>
      <c r="EI14680"/>
      <c r="EJ14680"/>
      <c r="EK14680"/>
    </row>
    <row r="14681" spans="1:141" s="116" customFormat="1">
      <c r="A14681" s="136"/>
      <c r="CM14681" s="111"/>
      <c r="CQ14681" s="111"/>
      <c r="EF14681"/>
      <c r="EG14681"/>
      <c r="EH14681"/>
      <c r="EI14681"/>
      <c r="EJ14681"/>
      <c r="EK14681"/>
    </row>
    <row r="14682" spans="1:141" s="116" customFormat="1">
      <c r="A14682" s="136"/>
      <c r="CM14682" s="111"/>
      <c r="CQ14682" s="111"/>
      <c r="EF14682"/>
      <c r="EG14682"/>
      <c r="EH14682"/>
      <c r="EI14682"/>
      <c r="EJ14682"/>
      <c r="EK14682"/>
    </row>
    <row r="14683" spans="1:141" s="116" customFormat="1">
      <c r="A14683" s="136"/>
      <c r="CM14683" s="111"/>
      <c r="CQ14683" s="111"/>
      <c r="EF14683"/>
      <c r="EG14683"/>
      <c r="EH14683"/>
      <c r="EI14683"/>
      <c r="EJ14683"/>
      <c r="EK14683"/>
    </row>
    <row r="14684" spans="1:141" s="116" customFormat="1">
      <c r="A14684" s="136"/>
      <c r="CM14684" s="111"/>
      <c r="CQ14684" s="111"/>
      <c r="EF14684"/>
      <c r="EG14684"/>
      <c r="EH14684"/>
      <c r="EI14684"/>
      <c r="EJ14684"/>
      <c r="EK14684"/>
    </row>
    <row r="14685" spans="1:141" s="116" customFormat="1">
      <c r="A14685" s="136"/>
      <c r="CM14685" s="111"/>
      <c r="CQ14685" s="111"/>
      <c r="EF14685"/>
      <c r="EG14685"/>
      <c r="EH14685"/>
      <c r="EI14685"/>
      <c r="EJ14685"/>
      <c r="EK14685"/>
    </row>
    <row r="14686" spans="1:141" s="116" customFormat="1">
      <c r="A14686" s="136"/>
      <c r="CM14686" s="111"/>
      <c r="CQ14686" s="111"/>
      <c r="EF14686"/>
      <c r="EG14686"/>
      <c r="EH14686"/>
      <c r="EI14686"/>
      <c r="EJ14686"/>
      <c r="EK14686"/>
    </row>
    <row r="14687" spans="1:141" s="116" customFormat="1">
      <c r="A14687" s="136"/>
      <c r="CM14687" s="111"/>
      <c r="CQ14687" s="111"/>
      <c r="EF14687"/>
      <c r="EG14687"/>
      <c r="EH14687"/>
      <c r="EI14687"/>
      <c r="EJ14687"/>
      <c r="EK14687"/>
    </row>
    <row r="14688" spans="1:141" s="116" customFormat="1">
      <c r="A14688" s="136"/>
      <c r="CM14688" s="111"/>
      <c r="CQ14688" s="111"/>
      <c r="EF14688"/>
      <c r="EG14688"/>
      <c r="EH14688"/>
      <c r="EI14688"/>
      <c r="EJ14688"/>
      <c r="EK14688"/>
    </row>
    <row r="14689" spans="1:141" s="116" customFormat="1">
      <c r="A14689" s="136"/>
      <c r="CM14689" s="111"/>
      <c r="CQ14689" s="111"/>
      <c r="EF14689"/>
      <c r="EG14689"/>
      <c r="EH14689"/>
      <c r="EI14689"/>
      <c r="EJ14689"/>
      <c r="EK14689"/>
    </row>
    <row r="14690" spans="1:141" s="116" customFormat="1">
      <c r="A14690" s="136"/>
      <c r="CM14690" s="111"/>
      <c r="CQ14690" s="111"/>
      <c r="EF14690"/>
      <c r="EG14690"/>
      <c r="EH14690"/>
      <c r="EI14690"/>
      <c r="EJ14690"/>
      <c r="EK14690"/>
    </row>
    <row r="14691" spans="1:141" s="116" customFormat="1">
      <c r="A14691" s="136"/>
      <c r="CM14691" s="111"/>
      <c r="CQ14691" s="111"/>
      <c r="EF14691"/>
      <c r="EG14691"/>
      <c r="EH14691"/>
      <c r="EI14691"/>
      <c r="EJ14691"/>
      <c r="EK14691"/>
    </row>
    <row r="14692" spans="1:141" s="116" customFormat="1">
      <c r="A14692" s="136"/>
      <c r="CM14692" s="111"/>
      <c r="CQ14692" s="111"/>
      <c r="EF14692"/>
      <c r="EG14692"/>
      <c r="EH14692"/>
      <c r="EI14692"/>
      <c r="EJ14692"/>
      <c r="EK14692"/>
    </row>
    <row r="14693" spans="1:141" s="116" customFormat="1">
      <c r="A14693" s="136"/>
      <c r="CM14693" s="111"/>
      <c r="CQ14693" s="111"/>
      <c r="EF14693"/>
      <c r="EG14693"/>
      <c r="EH14693"/>
      <c r="EI14693"/>
      <c r="EJ14693"/>
      <c r="EK14693"/>
    </row>
    <row r="14694" spans="1:141" s="116" customFormat="1">
      <c r="A14694" s="136"/>
      <c r="CM14694" s="111"/>
      <c r="CQ14694" s="111"/>
      <c r="EF14694"/>
      <c r="EG14694"/>
      <c r="EH14694"/>
      <c r="EI14694"/>
      <c r="EJ14694"/>
      <c r="EK14694"/>
    </row>
    <row r="14695" spans="1:141" s="116" customFormat="1">
      <c r="A14695" s="136"/>
      <c r="CM14695" s="111"/>
      <c r="CQ14695" s="111"/>
      <c r="EF14695"/>
      <c r="EG14695"/>
      <c r="EH14695"/>
      <c r="EI14695"/>
      <c r="EJ14695"/>
      <c r="EK14695"/>
    </row>
    <row r="14696" spans="1:141" s="116" customFormat="1">
      <c r="A14696" s="136"/>
      <c r="CM14696" s="111"/>
      <c r="CQ14696" s="111"/>
      <c r="EF14696"/>
      <c r="EG14696"/>
      <c r="EH14696"/>
      <c r="EI14696"/>
      <c r="EJ14696"/>
      <c r="EK14696"/>
    </row>
    <row r="14697" spans="1:141" s="116" customFormat="1">
      <c r="A14697" s="136"/>
      <c r="CM14697" s="111"/>
      <c r="CQ14697" s="111"/>
      <c r="EF14697"/>
      <c r="EG14697"/>
      <c r="EH14697"/>
      <c r="EI14697"/>
      <c r="EJ14697"/>
      <c r="EK14697"/>
    </row>
    <row r="14698" spans="1:141" s="116" customFormat="1">
      <c r="A14698" s="136"/>
      <c r="CM14698" s="111"/>
      <c r="CQ14698" s="111"/>
      <c r="EF14698"/>
      <c r="EG14698"/>
      <c r="EH14698"/>
      <c r="EI14698"/>
      <c r="EJ14698"/>
      <c r="EK14698"/>
    </row>
    <row r="14699" spans="1:141" s="116" customFormat="1">
      <c r="A14699" s="136"/>
      <c r="CM14699" s="111"/>
      <c r="CQ14699" s="111"/>
      <c r="EF14699"/>
      <c r="EG14699"/>
      <c r="EH14699"/>
      <c r="EI14699"/>
      <c r="EJ14699"/>
      <c r="EK14699"/>
    </row>
    <row r="14700" spans="1:141" s="116" customFormat="1">
      <c r="A14700" s="136"/>
      <c r="CM14700" s="111"/>
      <c r="CQ14700" s="111"/>
      <c r="EF14700"/>
      <c r="EG14700"/>
      <c r="EH14700"/>
      <c r="EI14700"/>
      <c r="EJ14700"/>
      <c r="EK14700"/>
    </row>
    <row r="14701" spans="1:141" s="116" customFormat="1">
      <c r="A14701" s="136"/>
      <c r="CM14701" s="111"/>
      <c r="CQ14701" s="111"/>
      <c r="EF14701"/>
      <c r="EG14701"/>
      <c r="EH14701"/>
      <c r="EI14701"/>
      <c r="EJ14701"/>
      <c r="EK14701"/>
    </row>
    <row r="14702" spans="1:141" s="116" customFormat="1">
      <c r="A14702" s="136"/>
      <c r="CM14702" s="111"/>
      <c r="CQ14702" s="111"/>
      <c r="EF14702"/>
      <c r="EG14702"/>
      <c r="EH14702"/>
      <c r="EI14702"/>
      <c r="EJ14702"/>
      <c r="EK14702"/>
    </row>
    <row r="14703" spans="1:141" s="116" customFormat="1">
      <c r="A14703" s="136"/>
      <c r="CM14703" s="111"/>
      <c r="CQ14703" s="111"/>
      <c r="EF14703"/>
      <c r="EG14703"/>
      <c r="EH14703"/>
      <c r="EI14703"/>
      <c r="EJ14703"/>
      <c r="EK14703"/>
    </row>
    <row r="14704" spans="1:141" s="116" customFormat="1">
      <c r="A14704" s="136"/>
      <c r="CM14704" s="111"/>
      <c r="CQ14704" s="111"/>
      <c r="EF14704"/>
      <c r="EG14704"/>
      <c r="EH14704"/>
      <c r="EI14704"/>
      <c r="EJ14704"/>
      <c r="EK14704"/>
    </row>
    <row r="14705" spans="1:141" s="116" customFormat="1">
      <c r="A14705" s="136"/>
      <c r="CM14705" s="111"/>
      <c r="CQ14705" s="111"/>
      <c r="EF14705"/>
      <c r="EG14705"/>
      <c r="EH14705"/>
      <c r="EI14705"/>
      <c r="EJ14705"/>
      <c r="EK14705"/>
    </row>
    <row r="14706" spans="1:141" s="116" customFormat="1">
      <c r="A14706" s="136"/>
      <c r="CM14706" s="111"/>
      <c r="CQ14706" s="111"/>
      <c r="EF14706"/>
      <c r="EG14706"/>
      <c r="EH14706"/>
      <c r="EI14706"/>
      <c r="EJ14706"/>
      <c r="EK14706"/>
    </row>
    <row r="14707" spans="1:141" s="116" customFormat="1">
      <c r="A14707" s="136"/>
      <c r="CM14707" s="111"/>
      <c r="CQ14707" s="111"/>
      <c r="EF14707"/>
      <c r="EG14707"/>
      <c r="EH14707"/>
      <c r="EI14707"/>
      <c r="EJ14707"/>
      <c r="EK14707"/>
    </row>
    <row r="14708" spans="1:141" s="116" customFormat="1">
      <c r="A14708" s="136"/>
      <c r="CM14708" s="111"/>
      <c r="CQ14708" s="111"/>
      <c r="EF14708"/>
      <c r="EG14708"/>
      <c r="EH14708"/>
      <c r="EI14708"/>
      <c r="EJ14708"/>
      <c r="EK14708"/>
    </row>
    <row r="14709" spans="1:141" s="116" customFormat="1">
      <c r="A14709" s="136"/>
      <c r="CM14709" s="111"/>
      <c r="CQ14709" s="111"/>
      <c r="EF14709"/>
      <c r="EG14709"/>
      <c r="EH14709"/>
      <c r="EI14709"/>
      <c r="EJ14709"/>
      <c r="EK14709"/>
    </row>
    <row r="14710" spans="1:141" s="116" customFormat="1">
      <c r="A14710" s="136"/>
      <c r="CM14710" s="111"/>
      <c r="CQ14710" s="111"/>
      <c r="EF14710"/>
      <c r="EG14710"/>
      <c r="EH14710"/>
      <c r="EI14710"/>
      <c r="EJ14710"/>
      <c r="EK14710"/>
    </row>
    <row r="14711" spans="1:141" s="116" customFormat="1">
      <c r="A14711" s="136"/>
      <c r="CM14711" s="111"/>
      <c r="CQ14711" s="111"/>
      <c r="EF14711"/>
      <c r="EG14711"/>
      <c r="EH14711"/>
      <c r="EI14711"/>
      <c r="EJ14711"/>
      <c r="EK14711"/>
    </row>
    <row r="14712" spans="1:141" s="116" customFormat="1">
      <c r="A14712" s="136"/>
      <c r="CM14712" s="111"/>
      <c r="CQ14712" s="111"/>
      <c r="EF14712"/>
      <c r="EG14712"/>
      <c r="EH14712"/>
      <c r="EI14712"/>
      <c r="EJ14712"/>
      <c r="EK14712"/>
    </row>
    <row r="14713" spans="1:141" s="116" customFormat="1">
      <c r="A14713" s="136"/>
      <c r="CM14713" s="111"/>
      <c r="CQ14713" s="111"/>
      <c r="EF14713"/>
      <c r="EG14713"/>
      <c r="EH14713"/>
      <c r="EI14713"/>
      <c r="EJ14713"/>
      <c r="EK14713"/>
    </row>
    <row r="14714" spans="1:141" s="116" customFormat="1">
      <c r="A14714" s="136"/>
      <c r="CM14714" s="111"/>
      <c r="CQ14714" s="111"/>
      <c r="EF14714"/>
      <c r="EG14714"/>
      <c r="EH14714"/>
      <c r="EI14714"/>
      <c r="EJ14714"/>
      <c r="EK14714"/>
    </row>
    <row r="14715" spans="1:141" s="116" customFormat="1">
      <c r="A14715" s="136"/>
      <c r="CM14715" s="111"/>
      <c r="CQ14715" s="111"/>
      <c r="EF14715"/>
      <c r="EG14715"/>
      <c r="EH14715"/>
      <c r="EI14715"/>
      <c r="EJ14715"/>
      <c r="EK14715"/>
    </row>
    <row r="14716" spans="1:141" s="116" customFormat="1">
      <c r="A14716" s="136"/>
      <c r="CM14716" s="111"/>
      <c r="CQ14716" s="111"/>
      <c r="EF14716"/>
      <c r="EG14716"/>
      <c r="EH14716"/>
      <c r="EI14716"/>
      <c r="EJ14716"/>
      <c r="EK14716"/>
    </row>
    <row r="14717" spans="1:141" s="116" customFormat="1">
      <c r="A14717" s="136"/>
      <c r="CM14717" s="111"/>
      <c r="CQ14717" s="111"/>
      <c r="EF14717"/>
      <c r="EG14717"/>
      <c r="EH14717"/>
      <c r="EI14717"/>
      <c r="EJ14717"/>
      <c r="EK14717"/>
    </row>
    <row r="14718" spans="1:141" s="116" customFormat="1">
      <c r="A14718" s="136"/>
      <c r="CM14718" s="111"/>
      <c r="CQ14718" s="111"/>
      <c r="EF14718"/>
      <c r="EG14718"/>
      <c r="EH14718"/>
      <c r="EI14718"/>
      <c r="EJ14718"/>
      <c r="EK14718"/>
    </row>
    <row r="14719" spans="1:141" s="116" customFormat="1">
      <c r="A14719" s="136"/>
      <c r="CM14719" s="111"/>
      <c r="CQ14719" s="111"/>
      <c r="EF14719"/>
      <c r="EG14719"/>
      <c r="EH14719"/>
      <c r="EI14719"/>
      <c r="EJ14719"/>
      <c r="EK14719"/>
    </row>
    <row r="14720" spans="1:141" s="116" customFormat="1">
      <c r="A14720" s="136"/>
      <c r="CM14720" s="111"/>
      <c r="CQ14720" s="111"/>
      <c r="EF14720"/>
      <c r="EG14720"/>
      <c r="EH14720"/>
      <c r="EI14720"/>
      <c r="EJ14720"/>
      <c r="EK14720"/>
    </row>
    <row r="14721" spans="1:141" s="116" customFormat="1">
      <c r="A14721" s="136"/>
      <c r="CM14721" s="111"/>
      <c r="CQ14721" s="111"/>
      <c r="EF14721"/>
      <c r="EG14721"/>
      <c r="EH14721"/>
      <c r="EI14721"/>
      <c r="EJ14721"/>
      <c r="EK14721"/>
    </row>
    <row r="14722" spans="1:141" s="116" customFormat="1">
      <c r="A14722" s="136"/>
      <c r="CM14722" s="111"/>
      <c r="CQ14722" s="111"/>
      <c r="EF14722"/>
      <c r="EG14722"/>
      <c r="EH14722"/>
      <c r="EI14722"/>
      <c r="EJ14722"/>
      <c r="EK14722"/>
    </row>
    <row r="14723" spans="1:141" s="116" customFormat="1">
      <c r="A14723" s="136"/>
      <c r="CM14723" s="111"/>
      <c r="CQ14723" s="111"/>
      <c r="EF14723"/>
      <c r="EG14723"/>
      <c r="EH14723"/>
      <c r="EI14723"/>
      <c r="EJ14723"/>
      <c r="EK14723"/>
    </row>
    <row r="14724" spans="1:141" s="116" customFormat="1">
      <c r="A14724" s="136"/>
      <c r="CM14724" s="111"/>
      <c r="CQ14724" s="111"/>
      <c r="EF14724"/>
      <c r="EG14724"/>
      <c r="EH14724"/>
      <c r="EI14724"/>
      <c r="EJ14724"/>
      <c r="EK14724"/>
    </row>
    <row r="14725" spans="1:141" s="116" customFormat="1">
      <c r="A14725" s="136"/>
      <c r="CM14725" s="111"/>
      <c r="CQ14725" s="111"/>
      <c r="EF14725"/>
      <c r="EG14725"/>
      <c r="EH14725"/>
      <c r="EI14725"/>
      <c r="EJ14725"/>
      <c r="EK14725"/>
    </row>
    <row r="14726" spans="1:141" s="116" customFormat="1">
      <c r="A14726" s="136"/>
      <c r="CM14726" s="111"/>
      <c r="CQ14726" s="111"/>
      <c r="EF14726"/>
      <c r="EG14726"/>
      <c r="EH14726"/>
      <c r="EI14726"/>
      <c r="EJ14726"/>
      <c r="EK14726"/>
    </row>
    <row r="14727" spans="1:141" s="116" customFormat="1">
      <c r="A14727" s="136"/>
      <c r="CM14727" s="111"/>
      <c r="CQ14727" s="111"/>
      <c r="EF14727"/>
      <c r="EG14727"/>
      <c r="EH14727"/>
      <c r="EI14727"/>
      <c r="EJ14727"/>
      <c r="EK14727"/>
    </row>
    <row r="14728" spans="1:141" s="116" customFormat="1">
      <c r="A14728" s="136"/>
      <c r="CM14728" s="111"/>
      <c r="CQ14728" s="111"/>
      <c r="EF14728"/>
      <c r="EG14728"/>
      <c r="EH14728"/>
      <c r="EI14728"/>
      <c r="EJ14728"/>
      <c r="EK14728"/>
    </row>
    <row r="14729" spans="1:141" s="116" customFormat="1">
      <c r="A14729" s="136"/>
      <c r="CM14729" s="111"/>
      <c r="CQ14729" s="111"/>
      <c r="EF14729"/>
      <c r="EG14729"/>
      <c r="EH14729"/>
      <c r="EI14729"/>
      <c r="EJ14729"/>
      <c r="EK14729"/>
    </row>
    <row r="14730" spans="1:141" s="116" customFormat="1">
      <c r="A14730" s="136"/>
      <c r="CM14730" s="111"/>
      <c r="CQ14730" s="111"/>
      <c r="EF14730"/>
      <c r="EG14730"/>
      <c r="EH14730"/>
      <c r="EI14730"/>
      <c r="EJ14730"/>
      <c r="EK14730"/>
    </row>
    <row r="14731" spans="1:141" s="116" customFormat="1">
      <c r="A14731" s="136"/>
      <c r="CM14731" s="111"/>
      <c r="CQ14731" s="111"/>
      <c r="EF14731"/>
      <c r="EG14731"/>
      <c r="EH14731"/>
      <c r="EI14731"/>
      <c r="EJ14731"/>
      <c r="EK14731"/>
    </row>
    <row r="14732" spans="1:141" s="116" customFormat="1">
      <c r="A14732" s="136"/>
      <c r="CM14732" s="111"/>
      <c r="CQ14732" s="111"/>
      <c r="EF14732"/>
      <c r="EG14732"/>
      <c r="EH14732"/>
      <c r="EI14732"/>
      <c r="EJ14732"/>
      <c r="EK14732"/>
    </row>
    <row r="14733" spans="1:141" s="116" customFormat="1">
      <c r="A14733" s="136"/>
      <c r="CM14733" s="111"/>
      <c r="CQ14733" s="111"/>
      <c r="EF14733"/>
      <c r="EG14733"/>
      <c r="EH14733"/>
      <c r="EI14733"/>
      <c r="EJ14733"/>
      <c r="EK14733"/>
    </row>
    <row r="14734" spans="1:141" s="116" customFormat="1">
      <c r="A14734" s="136"/>
      <c r="CM14734" s="111"/>
      <c r="CQ14734" s="111"/>
      <c r="EF14734"/>
      <c r="EG14734"/>
      <c r="EH14734"/>
      <c r="EI14734"/>
      <c r="EJ14734"/>
      <c r="EK14734"/>
    </row>
    <row r="14735" spans="1:141" s="116" customFormat="1">
      <c r="A14735" s="136"/>
      <c r="CM14735" s="111"/>
      <c r="CQ14735" s="111"/>
      <c r="EF14735"/>
      <c r="EG14735"/>
      <c r="EH14735"/>
      <c r="EI14735"/>
      <c r="EJ14735"/>
      <c r="EK14735"/>
    </row>
    <row r="14736" spans="1:141" s="116" customFormat="1">
      <c r="A14736" s="136"/>
      <c r="CM14736" s="111"/>
      <c r="CQ14736" s="111"/>
      <c r="EF14736"/>
      <c r="EG14736"/>
      <c r="EH14736"/>
      <c r="EI14736"/>
      <c r="EJ14736"/>
      <c r="EK14736"/>
    </row>
    <row r="14737" spans="1:141" s="116" customFormat="1">
      <c r="A14737" s="136"/>
      <c r="CM14737" s="111"/>
      <c r="CQ14737" s="111"/>
      <c r="EF14737"/>
      <c r="EG14737"/>
      <c r="EH14737"/>
      <c r="EI14737"/>
      <c r="EJ14737"/>
      <c r="EK14737"/>
    </row>
    <row r="14738" spans="1:141" s="116" customFormat="1">
      <c r="A14738" s="136"/>
      <c r="CM14738" s="111"/>
      <c r="CQ14738" s="111"/>
      <c r="EF14738"/>
      <c r="EG14738"/>
      <c r="EH14738"/>
      <c r="EI14738"/>
      <c r="EJ14738"/>
      <c r="EK14738"/>
    </row>
    <row r="14739" spans="1:141" s="116" customFormat="1">
      <c r="A14739" s="136"/>
      <c r="CM14739" s="111"/>
      <c r="CQ14739" s="111"/>
      <c r="EF14739"/>
      <c r="EG14739"/>
      <c r="EH14739"/>
      <c r="EI14739"/>
      <c r="EJ14739"/>
      <c r="EK14739"/>
    </row>
    <row r="14740" spans="1:141" s="116" customFormat="1">
      <c r="A14740" s="136"/>
      <c r="CM14740" s="111"/>
      <c r="CQ14740" s="111"/>
      <c r="EF14740"/>
      <c r="EG14740"/>
      <c r="EH14740"/>
      <c r="EI14740"/>
      <c r="EJ14740"/>
      <c r="EK14740"/>
    </row>
    <row r="14741" spans="1:141" s="116" customFormat="1">
      <c r="A14741" s="136"/>
      <c r="CM14741" s="111"/>
      <c r="CQ14741" s="111"/>
      <c r="EF14741"/>
      <c r="EG14741"/>
      <c r="EH14741"/>
      <c r="EI14741"/>
      <c r="EJ14741"/>
      <c r="EK14741"/>
    </row>
    <row r="14742" spans="1:141" s="116" customFormat="1">
      <c r="A14742" s="136"/>
      <c r="CM14742" s="111"/>
      <c r="CQ14742" s="111"/>
      <c r="EF14742"/>
      <c r="EG14742"/>
      <c r="EH14742"/>
      <c r="EI14742"/>
      <c r="EJ14742"/>
      <c r="EK14742"/>
    </row>
    <row r="14743" spans="1:141" s="116" customFormat="1">
      <c r="A14743" s="136"/>
      <c r="CM14743" s="111"/>
      <c r="CQ14743" s="111"/>
      <c r="EF14743"/>
      <c r="EG14743"/>
      <c r="EH14743"/>
      <c r="EI14743"/>
      <c r="EJ14743"/>
      <c r="EK14743"/>
    </row>
    <row r="14744" spans="1:141" s="116" customFormat="1">
      <c r="A14744" s="136"/>
      <c r="CM14744" s="111"/>
      <c r="CQ14744" s="111"/>
      <c r="EF14744"/>
      <c r="EG14744"/>
      <c r="EH14744"/>
      <c r="EI14744"/>
      <c r="EJ14744"/>
      <c r="EK14744"/>
    </row>
    <row r="14745" spans="1:141" s="116" customFormat="1">
      <c r="A14745" s="136"/>
      <c r="CM14745" s="111"/>
      <c r="CQ14745" s="111"/>
      <c r="EF14745"/>
      <c r="EG14745"/>
      <c r="EH14745"/>
      <c r="EI14745"/>
      <c r="EJ14745"/>
      <c r="EK14745"/>
    </row>
    <row r="14746" spans="1:141" s="116" customFormat="1">
      <c r="A14746" s="136"/>
      <c r="CM14746" s="111"/>
      <c r="CQ14746" s="111"/>
      <c r="EF14746"/>
      <c r="EG14746"/>
      <c r="EH14746"/>
      <c r="EI14746"/>
      <c r="EJ14746"/>
      <c r="EK14746"/>
    </row>
    <row r="14747" spans="1:141" s="116" customFormat="1">
      <c r="A14747" s="136"/>
      <c r="CM14747" s="111"/>
      <c r="CQ14747" s="111"/>
      <c r="EF14747"/>
      <c r="EG14747"/>
      <c r="EH14747"/>
      <c r="EI14747"/>
      <c r="EJ14747"/>
      <c r="EK14747"/>
    </row>
    <row r="14748" spans="1:141" s="116" customFormat="1">
      <c r="A14748" s="136"/>
      <c r="CM14748" s="111"/>
      <c r="CQ14748" s="111"/>
      <c r="EF14748"/>
      <c r="EG14748"/>
      <c r="EH14748"/>
      <c r="EI14748"/>
      <c r="EJ14748"/>
      <c r="EK14748"/>
    </row>
    <row r="14749" spans="1:141" s="116" customFormat="1">
      <c r="A14749" s="136"/>
      <c r="CM14749" s="111"/>
      <c r="CQ14749" s="111"/>
      <c r="EF14749"/>
      <c r="EG14749"/>
      <c r="EH14749"/>
      <c r="EI14749"/>
      <c r="EJ14749"/>
      <c r="EK14749"/>
    </row>
    <row r="14750" spans="1:141" s="116" customFormat="1">
      <c r="A14750" s="136"/>
      <c r="CM14750" s="111"/>
      <c r="CQ14750" s="111"/>
      <c r="EF14750"/>
      <c r="EG14750"/>
      <c r="EH14750"/>
      <c r="EI14750"/>
      <c r="EJ14750"/>
      <c r="EK14750"/>
    </row>
    <row r="14751" spans="1:141" s="116" customFormat="1">
      <c r="A14751" s="136"/>
      <c r="CM14751" s="111"/>
      <c r="CQ14751" s="111"/>
      <c r="EF14751"/>
      <c r="EG14751"/>
      <c r="EH14751"/>
      <c r="EI14751"/>
      <c r="EJ14751"/>
      <c r="EK14751"/>
    </row>
    <row r="14752" spans="1:141" s="116" customFormat="1">
      <c r="A14752" s="136"/>
      <c r="CM14752" s="111"/>
      <c r="CQ14752" s="111"/>
      <c r="EF14752"/>
      <c r="EG14752"/>
      <c r="EH14752"/>
      <c r="EI14752"/>
      <c r="EJ14752"/>
      <c r="EK14752"/>
    </row>
    <row r="14753" spans="1:141" s="116" customFormat="1">
      <c r="A14753" s="136"/>
      <c r="CM14753" s="111"/>
      <c r="CQ14753" s="111"/>
      <c r="EF14753"/>
      <c r="EG14753"/>
      <c r="EH14753"/>
      <c r="EI14753"/>
      <c r="EJ14753"/>
      <c r="EK14753"/>
    </row>
    <row r="14754" spans="1:141" s="116" customFormat="1">
      <c r="A14754" s="136"/>
      <c r="CM14754" s="111"/>
      <c r="CQ14754" s="111"/>
      <c r="EF14754"/>
      <c r="EG14754"/>
      <c r="EH14754"/>
      <c r="EI14754"/>
      <c r="EJ14754"/>
      <c r="EK14754"/>
    </row>
    <row r="14755" spans="1:141" s="116" customFormat="1">
      <c r="A14755" s="136"/>
      <c r="CM14755" s="111"/>
      <c r="CQ14755" s="111"/>
      <c r="EF14755"/>
      <c r="EG14755"/>
      <c r="EH14755"/>
      <c r="EI14755"/>
      <c r="EJ14755"/>
      <c r="EK14755"/>
    </row>
    <row r="14756" spans="1:141" s="116" customFormat="1">
      <c r="A14756" s="136"/>
      <c r="CM14756" s="111"/>
      <c r="CQ14756" s="111"/>
      <c r="EF14756"/>
      <c r="EG14756"/>
      <c r="EH14756"/>
      <c r="EI14756"/>
      <c r="EJ14756"/>
      <c r="EK14756"/>
    </row>
    <row r="14757" spans="1:141" s="116" customFormat="1">
      <c r="A14757" s="136"/>
      <c r="CM14757" s="111"/>
      <c r="CQ14757" s="111"/>
      <c r="EF14757"/>
      <c r="EG14757"/>
      <c r="EH14757"/>
      <c r="EI14757"/>
      <c r="EJ14757"/>
      <c r="EK14757"/>
    </row>
    <row r="14758" spans="1:141" s="116" customFormat="1">
      <c r="A14758" s="136"/>
      <c r="CM14758" s="111"/>
      <c r="CQ14758" s="111"/>
      <c r="EF14758"/>
      <c r="EG14758"/>
      <c r="EH14758"/>
      <c r="EI14758"/>
      <c r="EJ14758"/>
      <c r="EK14758"/>
    </row>
    <row r="14759" spans="1:141" s="116" customFormat="1">
      <c r="A14759" s="136"/>
      <c r="CM14759" s="111"/>
      <c r="CQ14759" s="111"/>
      <c r="EF14759"/>
      <c r="EG14759"/>
      <c r="EH14759"/>
      <c r="EI14759"/>
      <c r="EJ14759"/>
      <c r="EK14759"/>
    </row>
    <row r="14760" spans="1:141" s="116" customFormat="1">
      <c r="A14760" s="136"/>
      <c r="CM14760" s="111"/>
      <c r="CQ14760" s="111"/>
      <c r="EF14760"/>
      <c r="EG14760"/>
      <c r="EH14760"/>
      <c r="EI14760"/>
      <c r="EJ14760"/>
      <c r="EK14760"/>
    </row>
    <row r="14761" spans="1:141" s="116" customFormat="1">
      <c r="A14761" s="136"/>
      <c r="CM14761" s="111"/>
      <c r="CQ14761" s="111"/>
      <c r="EF14761"/>
      <c r="EG14761"/>
      <c r="EH14761"/>
      <c r="EI14761"/>
      <c r="EJ14761"/>
      <c r="EK14761"/>
    </row>
    <row r="14762" spans="1:141" s="116" customFormat="1">
      <c r="A14762" s="136"/>
      <c r="CM14762" s="111"/>
      <c r="CQ14762" s="111"/>
      <c r="EF14762"/>
      <c r="EG14762"/>
      <c r="EH14762"/>
      <c r="EI14762"/>
      <c r="EJ14762"/>
      <c r="EK14762"/>
    </row>
    <row r="14763" spans="1:141" s="116" customFormat="1">
      <c r="A14763" s="136"/>
      <c r="CM14763" s="111"/>
      <c r="CQ14763" s="111"/>
      <c r="EF14763"/>
      <c r="EG14763"/>
      <c r="EH14763"/>
      <c r="EI14763"/>
      <c r="EJ14763"/>
      <c r="EK14763"/>
    </row>
    <row r="14764" spans="1:141" s="116" customFormat="1">
      <c r="A14764" s="136"/>
      <c r="CM14764" s="111"/>
      <c r="CQ14764" s="111"/>
      <c r="EF14764"/>
      <c r="EG14764"/>
      <c r="EH14764"/>
      <c r="EI14764"/>
      <c r="EJ14764"/>
      <c r="EK14764"/>
    </row>
    <row r="14765" spans="1:141" s="116" customFormat="1">
      <c r="A14765" s="136"/>
      <c r="CM14765" s="111"/>
      <c r="CQ14765" s="111"/>
      <c r="EF14765"/>
      <c r="EG14765"/>
      <c r="EH14765"/>
      <c r="EI14765"/>
      <c r="EJ14765"/>
      <c r="EK14765"/>
    </row>
    <row r="14766" spans="1:141" s="116" customFormat="1">
      <c r="A14766" s="136"/>
      <c r="CM14766" s="111"/>
      <c r="CQ14766" s="111"/>
      <c r="EF14766"/>
      <c r="EG14766"/>
      <c r="EH14766"/>
      <c r="EI14766"/>
      <c r="EJ14766"/>
      <c r="EK14766"/>
    </row>
    <row r="14767" spans="1:141" s="116" customFormat="1">
      <c r="A14767" s="136"/>
      <c r="CM14767" s="111"/>
      <c r="CQ14767" s="111"/>
      <c r="EF14767"/>
      <c r="EG14767"/>
      <c r="EH14767"/>
      <c r="EI14767"/>
      <c r="EJ14767"/>
      <c r="EK14767"/>
    </row>
    <row r="14768" spans="1:141" s="116" customFormat="1">
      <c r="A14768" s="136"/>
      <c r="CM14768" s="111"/>
      <c r="CQ14768" s="111"/>
      <c r="EF14768"/>
      <c r="EG14768"/>
      <c r="EH14768"/>
      <c r="EI14768"/>
      <c r="EJ14768"/>
      <c r="EK14768"/>
    </row>
    <row r="14769" spans="1:141" s="116" customFormat="1">
      <c r="A14769" s="136"/>
      <c r="CM14769" s="111"/>
      <c r="CQ14769" s="111"/>
      <c r="EF14769"/>
      <c r="EG14769"/>
      <c r="EH14769"/>
      <c r="EI14769"/>
      <c r="EJ14769"/>
      <c r="EK14769"/>
    </row>
    <row r="14770" spans="1:141" s="116" customFormat="1">
      <c r="A14770" s="136"/>
      <c r="CM14770" s="111"/>
      <c r="CQ14770" s="111"/>
      <c r="EF14770"/>
      <c r="EG14770"/>
      <c r="EH14770"/>
      <c r="EI14770"/>
      <c r="EJ14770"/>
      <c r="EK14770"/>
    </row>
    <row r="14771" spans="1:141" s="116" customFormat="1">
      <c r="A14771" s="136"/>
      <c r="CM14771" s="111"/>
      <c r="CQ14771" s="111"/>
      <c r="EF14771"/>
      <c r="EG14771"/>
      <c r="EH14771"/>
      <c r="EI14771"/>
      <c r="EJ14771"/>
      <c r="EK14771"/>
    </row>
    <row r="14772" spans="1:141" s="116" customFormat="1">
      <c r="A14772" s="136"/>
      <c r="CM14772" s="111"/>
      <c r="CQ14772" s="111"/>
      <c r="EF14772"/>
      <c r="EG14772"/>
      <c r="EH14772"/>
      <c r="EI14772"/>
      <c r="EJ14772"/>
      <c r="EK14772"/>
    </row>
    <row r="14773" spans="1:141" s="116" customFormat="1">
      <c r="A14773" s="136"/>
      <c r="CM14773" s="111"/>
      <c r="CQ14773" s="111"/>
      <c r="EF14773"/>
      <c r="EG14773"/>
      <c r="EH14773"/>
      <c r="EI14773"/>
      <c r="EJ14773"/>
      <c r="EK14773"/>
    </row>
    <row r="14774" spans="1:141" s="116" customFormat="1">
      <c r="A14774" s="136"/>
      <c r="CM14774" s="111"/>
      <c r="CQ14774" s="111"/>
      <c r="EF14774"/>
      <c r="EG14774"/>
      <c r="EH14774"/>
      <c r="EI14774"/>
      <c r="EJ14774"/>
      <c r="EK14774"/>
    </row>
    <row r="14775" spans="1:141" s="116" customFormat="1">
      <c r="A14775" s="136"/>
      <c r="CM14775" s="111"/>
      <c r="CQ14775" s="111"/>
      <c r="EF14775"/>
      <c r="EG14775"/>
      <c r="EH14775"/>
      <c r="EI14775"/>
      <c r="EJ14775"/>
      <c r="EK14775"/>
    </row>
    <row r="14776" spans="1:141" s="116" customFormat="1">
      <c r="A14776" s="136"/>
      <c r="CM14776" s="111"/>
      <c r="CQ14776" s="111"/>
      <c r="EF14776"/>
      <c r="EG14776"/>
      <c r="EH14776"/>
      <c r="EI14776"/>
      <c r="EJ14776"/>
      <c r="EK14776"/>
    </row>
    <row r="14777" spans="1:141" s="116" customFormat="1">
      <c r="A14777" s="136"/>
      <c r="CM14777" s="111"/>
      <c r="CQ14777" s="111"/>
      <c r="EF14777"/>
      <c r="EG14777"/>
      <c r="EH14777"/>
      <c r="EI14777"/>
      <c r="EJ14777"/>
      <c r="EK14777"/>
    </row>
    <row r="14778" spans="1:141" s="116" customFormat="1">
      <c r="A14778" s="136"/>
      <c r="CM14778" s="111"/>
      <c r="CQ14778" s="111"/>
      <c r="EF14778"/>
      <c r="EG14778"/>
      <c r="EH14778"/>
      <c r="EI14778"/>
      <c r="EJ14778"/>
      <c r="EK14778"/>
    </row>
    <row r="14779" spans="1:141" s="116" customFormat="1">
      <c r="A14779" s="136"/>
      <c r="CM14779" s="111"/>
      <c r="CQ14779" s="111"/>
      <c r="EF14779"/>
      <c r="EG14779"/>
      <c r="EH14779"/>
      <c r="EI14779"/>
      <c r="EJ14779"/>
      <c r="EK14779"/>
    </row>
    <row r="14780" spans="1:141" s="116" customFormat="1">
      <c r="A14780" s="136"/>
      <c r="CM14780" s="111"/>
      <c r="CQ14780" s="111"/>
      <c r="EF14780"/>
      <c r="EG14780"/>
      <c r="EH14780"/>
      <c r="EI14780"/>
      <c r="EJ14780"/>
      <c r="EK14780"/>
    </row>
    <row r="14781" spans="1:141" s="116" customFormat="1">
      <c r="A14781" s="136"/>
      <c r="CM14781" s="111"/>
      <c r="CQ14781" s="111"/>
      <c r="EF14781"/>
      <c r="EG14781"/>
      <c r="EH14781"/>
      <c r="EI14781"/>
      <c r="EJ14781"/>
      <c r="EK14781"/>
    </row>
    <row r="14782" spans="1:141" s="116" customFormat="1">
      <c r="A14782" s="136"/>
      <c r="CM14782" s="111"/>
      <c r="CQ14782" s="111"/>
      <c r="EF14782"/>
      <c r="EG14782"/>
      <c r="EH14782"/>
      <c r="EI14782"/>
      <c r="EJ14782"/>
      <c r="EK14782"/>
    </row>
    <row r="14783" spans="1:141" s="116" customFormat="1">
      <c r="A14783" s="136"/>
      <c r="CM14783" s="111"/>
      <c r="CQ14783" s="111"/>
      <c r="EF14783"/>
      <c r="EG14783"/>
      <c r="EH14783"/>
      <c r="EI14783"/>
      <c r="EJ14783"/>
      <c r="EK14783"/>
    </row>
    <row r="14784" spans="1:141" s="116" customFormat="1">
      <c r="A14784" s="136"/>
      <c r="CM14784" s="111"/>
      <c r="CQ14784" s="111"/>
      <c r="EF14784"/>
      <c r="EG14784"/>
      <c r="EH14784"/>
      <c r="EI14784"/>
      <c r="EJ14784"/>
      <c r="EK14784"/>
    </row>
    <row r="14785" spans="1:141" s="116" customFormat="1">
      <c r="A14785" s="136"/>
      <c r="CM14785" s="111"/>
      <c r="CQ14785" s="111"/>
      <c r="EF14785"/>
      <c r="EG14785"/>
      <c r="EH14785"/>
      <c r="EI14785"/>
      <c r="EJ14785"/>
      <c r="EK14785"/>
    </row>
    <row r="14786" spans="1:141" s="116" customFormat="1">
      <c r="A14786" s="136"/>
      <c r="CM14786" s="111"/>
      <c r="CQ14786" s="111"/>
      <c r="EF14786"/>
      <c r="EG14786"/>
      <c r="EH14786"/>
      <c r="EI14786"/>
      <c r="EJ14786"/>
      <c r="EK14786"/>
    </row>
    <row r="14787" spans="1:141" s="116" customFormat="1">
      <c r="A14787" s="136"/>
      <c r="CM14787" s="111"/>
      <c r="CQ14787" s="111"/>
      <c r="EF14787"/>
      <c r="EG14787"/>
      <c r="EH14787"/>
      <c r="EI14787"/>
      <c r="EJ14787"/>
      <c r="EK14787"/>
    </row>
    <row r="14788" spans="1:141" s="116" customFormat="1">
      <c r="A14788" s="136"/>
      <c r="CM14788" s="111"/>
      <c r="CQ14788" s="111"/>
      <c r="EF14788"/>
      <c r="EG14788"/>
      <c r="EH14788"/>
      <c r="EI14788"/>
      <c r="EJ14788"/>
      <c r="EK14788"/>
    </row>
    <row r="14789" spans="1:141" s="116" customFormat="1">
      <c r="A14789" s="136"/>
      <c r="CM14789" s="111"/>
      <c r="CQ14789" s="111"/>
      <c r="EF14789"/>
      <c r="EG14789"/>
      <c r="EH14789"/>
      <c r="EI14789"/>
      <c r="EJ14789"/>
      <c r="EK14789"/>
    </row>
    <row r="14790" spans="1:141" s="116" customFormat="1">
      <c r="A14790" s="136"/>
      <c r="CM14790" s="111"/>
      <c r="CQ14790" s="111"/>
      <c r="EF14790"/>
      <c r="EG14790"/>
      <c r="EH14790"/>
      <c r="EI14790"/>
      <c r="EJ14790"/>
      <c r="EK14790"/>
    </row>
    <row r="14791" spans="1:141" s="116" customFormat="1">
      <c r="A14791" s="136"/>
      <c r="CM14791" s="111"/>
      <c r="CQ14791" s="111"/>
      <c r="EF14791"/>
      <c r="EG14791"/>
      <c r="EH14791"/>
      <c r="EI14791"/>
      <c r="EJ14791"/>
      <c r="EK14791"/>
    </row>
    <row r="14792" spans="1:141" s="116" customFormat="1">
      <c r="A14792" s="136"/>
      <c r="CM14792" s="111"/>
      <c r="CQ14792" s="111"/>
      <c r="EF14792"/>
      <c r="EG14792"/>
      <c r="EH14792"/>
      <c r="EI14792"/>
      <c r="EJ14792"/>
      <c r="EK14792"/>
    </row>
    <row r="14793" spans="1:141" s="116" customFormat="1">
      <c r="A14793" s="136"/>
      <c r="CM14793" s="111"/>
      <c r="CQ14793" s="111"/>
      <c r="EF14793"/>
      <c r="EG14793"/>
      <c r="EH14793"/>
      <c r="EI14793"/>
      <c r="EJ14793"/>
      <c r="EK14793"/>
    </row>
    <row r="14794" spans="1:141" s="116" customFormat="1">
      <c r="A14794" s="136"/>
      <c r="CM14794" s="111"/>
      <c r="CQ14794" s="111"/>
      <c r="EF14794"/>
      <c r="EG14794"/>
      <c r="EH14794"/>
      <c r="EI14794"/>
      <c r="EJ14794"/>
      <c r="EK14794"/>
    </row>
    <row r="14795" spans="1:141" s="116" customFormat="1">
      <c r="A14795" s="136"/>
      <c r="CM14795" s="111"/>
      <c r="CQ14795" s="111"/>
      <c r="EF14795"/>
      <c r="EG14795"/>
      <c r="EH14795"/>
      <c r="EI14795"/>
      <c r="EJ14795"/>
      <c r="EK14795"/>
    </row>
    <row r="14796" spans="1:141" s="116" customFormat="1">
      <c r="A14796" s="136"/>
      <c r="CM14796" s="111"/>
      <c r="CQ14796" s="111"/>
      <c r="EF14796"/>
      <c r="EG14796"/>
      <c r="EH14796"/>
      <c r="EI14796"/>
      <c r="EJ14796"/>
      <c r="EK14796"/>
    </row>
    <row r="14797" spans="1:141" s="116" customFormat="1">
      <c r="A14797" s="136"/>
      <c r="CM14797" s="111"/>
      <c r="CQ14797" s="111"/>
      <c r="EF14797"/>
      <c r="EG14797"/>
      <c r="EH14797"/>
      <c r="EI14797"/>
      <c r="EJ14797"/>
      <c r="EK14797"/>
    </row>
    <row r="14798" spans="1:141" s="116" customFormat="1">
      <c r="A14798" s="136"/>
      <c r="CM14798" s="111"/>
      <c r="CQ14798" s="111"/>
      <c r="EF14798"/>
      <c r="EG14798"/>
      <c r="EH14798"/>
      <c r="EI14798"/>
      <c r="EJ14798"/>
      <c r="EK14798"/>
    </row>
    <row r="14799" spans="1:141" s="116" customFormat="1">
      <c r="A14799" s="136"/>
      <c r="CM14799" s="111"/>
      <c r="CQ14799" s="111"/>
      <c r="EF14799"/>
      <c r="EG14799"/>
      <c r="EH14799"/>
      <c r="EI14799"/>
      <c r="EJ14799"/>
      <c r="EK14799"/>
    </row>
    <row r="14800" spans="1:141" s="116" customFormat="1">
      <c r="A14800" s="136"/>
      <c r="CM14800" s="111"/>
      <c r="CQ14800" s="111"/>
      <c r="EF14800"/>
      <c r="EG14800"/>
      <c r="EH14800"/>
      <c r="EI14800"/>
      <c r="EJ14800"/>
      <c r="EK14800"/>
    </row>
    <row r="14801" spans="1:141" s="116" customFormat="1">
      <c r="A14801" s="136"/>
      <c r="CM14801" s="111"/>
      <c r="CQ14801" s="111"/>
      <c r="EF14801"/>
      <c r="EG14801"/>
      <c r="EH14801"/>
      <c r="EI14801"/>
      <c r="EJ14801"/>
      <c r="EK14801"/>
    </row>
    <row r="14802" spans="1:141" s="116" customFormat="1">
      <c r="A14802" s="136"/>
      <c r="CM14802" s="111"/>
      <c r="CQ14802" s="111"/>
      <c r="EF14802"/>
      <c r="EG14802"/>
      <c r="EH14802"/>
      <c r="EI14802"/>
      <c r="EJ14802"/>
      <c r="EK14802"/>
    </row>
    <row r="14803" spans="1:141" s="116" customFormat="1">
      <c r="A14803" s="136"/>
      <c r="CM14803" s="111"/>
      <c r="CQ14803" s="111"/>
      <c r="EF14803"/>
      <c r="EG14803"/>
      <c r="EH14803"/>
      <c r="EI14803"/>
      <c r="EJ14803"/>
      <c r="EK14803"/>
    </row>
    <row r="14804" spans="1:141" s="116" customFormat="1">
      <c r="A14804" s="136"/>
      <c r="CM14804" s="111"/>
      <c r="CQ14804" s="111"/>
      <c r="EF14804"/>
      <c r="EG14804"/>
      <c r="EH14804"/>
      <c r="EI14804"/>
      <c r="EJ14804"/>
      <c r="EK14804"/>
    </row>
    <row r="14805" spans="1:141" s="116" customFormat="1">
      <c r="A14805" s="136"/>
      <c r="CM14805" s="111"/>
      <c r="CQ14805" s="111"/>
      <c r="EF14805"/>
      <c r="EG14805"/>
      <c r="EH14805"/>
      <c r="EI14805"/>
      <c r="EJ14805"/>
      <c r="EK14805"/>
    </row>
    <row r="14806" spans="1:141" s="116" customFormat="1">
      <c r="A14806" s="136"/>
      <c r="CM14806" s="111"/>
      <c r="CQ14806" s="111"/>
      <c r="EF14806"/>
      <c r="EG14806"/>
      <c r="EH14806"/>
      <c r="EI14806"/>
      <c r="EJ14806"/>
      <c r="EK14806"/>
    </row>
    <row r="14807" spans="1:141" s="116" customFormat="1">
      <c r="A14807" s="136"/>
      <c r="CM14807" s="111"/>
      <c r="CQ14807" s="111"/>
      <c r="EF14807"/>
      <c r="EG14807"/>
      <c r="EH14807"/>
      <c r="EI14807"/>
      <c r="EJ14807"/>
      <c r="EK14807"/>
    </row>
    <row r="14808" spans="1:141" s="116" customFormat="1">
      <c r="A14808" s="136"/>
      <c r="CM14808" s="111"/>
      <c r="CQ14808" s="111"/>
      <c r="EF14808"/>
      <c r="EG14808"/>
      <c r="EH14808"/>
      <c r="EI14808"/>
      <c r="EJ14808"/>
      <c r="EK14808"/>
    </row>
    <row r="14809" spans="1:141" s="116" customFormat="1">
      <c r="A14809" s="136"/>
      <c r="CM14809" s="111"/>
      <c r="CQ14809" s="111"/>
      <c r="EF14809"/>
      <c r="EG14809"/>
      <c r="EH14809"/>
      <c r="EI14809"/>
      <c r="EJ14809"/>
      <c r="EK14809"/>
    </row>
    <row r="14810" spans="1:141" s="116" customFormat="1">
      <c r="A14810" s="136"/>
      <c r="CM14810" s="111"/>
      <c r="CQ14810" s="111"/>
      <c r="EF14810"/>
      <c r="EG14810"/>
      <c r="EH14810"/>
      <c r="EI14810"/>
      <c r="EJ14810"/>
      <c r="EK14810"/>
    </row>
    <row r="14811" spans="1:141" s="116" customFormat="1">
      <c r="A14811" s="136"/>
      <c r="CM14811" s="111"/>
      <c r="CQ14811" s="111"/>
      <c r="EF14811"/>
      <c r="EG14811"/>
      <c r="EH14811"/>
      <c r="EI14811"/>
      <c r="EJ14811"/>
      <c r="EK14811"/>
    </row>
    <row r="14812" spans="1:141" s="116" customFormat="1">
      <c r="A14812" s="136"/>
      <c r="CM14812" s="111"/>
      <c r="CQ14812" s="111"/>
      <c r="EF14812"/>
      <c r="EG14812"/>
      <c r="EH14812"/>
      <c r="EI14812"/>
      <c r="EJ14812"/>
      <c r="EK14812"/>
    </row>
    <row r="14813" spans="1:141" s="116" customFormat="1">
      <c r="A14813" s="136"/>
      <c r="CM14813" s="111"/>
      <c r="CQ14813" s="111"/>
      <c r="EF14813"/>
      <c r="EG14813"/>
      <c r="EH14813"/>
      <c r="EI14813"/>
      <c r="EJ14813"/>
      <c r="EK14813"/>
    </row>
    <row r="14814" spans="1:141" s="116" customFormat="1">
      <c r="A14814" s="136"/>
      <c r="CM14814" s="111"/>
      <c r="CQ14814" s="111"/>
      <c r="EF14814"/>
      <c r="EG14814"/>
      <c r="EH14814"/>
      <c r="EI14814"/>
      <c r="EJ14814"/>
      <c r="EK14814"/>
    </row>
    <row r="14815" spans="1:141" s="116" customFormat="1">
      <c r="A14815" s="136"/>
      <c r="CM14815" s="111"/>
      <c r="CQ14815" s="111"/>
      <c r="EF14815"/>
      <c r="EG14815"/>
      <c r="EH14815"/>
      <c r="EI14815"/>
      <c r="EJ14815"/>
      <c r="EK14815"/>
    </row>
    <row r="14816" spans="1:141" s="116" customFormat="1">
      <c r="A14816" s="136"/>
      <c r="CM14816" s="111"/>
      <c r="CQ14816" s="111"/>
      <c r="EF14816"/>
      <c r="EG14816"/>
      <c r="EH14816"/>
      <c r="EI14816"/>
      <c r="EJ14816"/>
      <c r="EK14816"/>
    </row>
    <row r="14817" spans="1:141" s="116" customFormat="1">
      <c r="A14817" s="136"/>
      <c r="CM14817" s="111"/>
      <c r="CQ14817" s="111"/>
      <c r="EF14817"/>
      <c r="EG14817"/>
      <c r="EH14817"/>
      <c r="EI14817"/>
      <c r="EJ14817"/>
      <c r="EK14817"/>
    </row>
    <row r="14818" spans="1:141" s="116" customFormat="1">
      <c r="A14818" s="136"/>
      <c r="CM14818" s="111"/>
      <c r="CQ14818" s="111"/>
      <c r="EF14818"/>
      <c r="EG14818"/>
      <c r="EH14818"/>
      <c r="EI14818"/>
      <c r="EJ14818"/>
      <c r="EK14818"/>
    </row>
    <row r="14819" spans="1:141" s="116" customFormat="1">
      <c r="A14819" s="136"/>
      <c r="CM14819" s="111"/>
      <c r="CQ14819" s="111"/>
      <c r="EF14819"/>
      <c r="EG14819"/>
      <c r="EH14819"/>
      <c r="EI14819"/>
      <c r="EJ14819"/>
      <c r="EK14819"/>
    </row>
    <row r="14820" spans="1:141" s="116" customFormat="1">
      <c r="A14820" s="136"/>
      <c r="CM14820" s="111"/>
      <c r="CQ14820" s="111"/>
      <c r="EF14820"/>
      <c r="EG14820"/>
      <c r="EH14820"/>
      <c r="EI14820"/>
      <c r="EJ14820"/>
      <c r="EK14820"/>
    </row>
    <row r="14821" spans="1:141" s="116" customFormat="1">
      <c r="A14821" s="136"/>
      <c r="CM14821" s="111"/>
      <c r="CQ14821" s="111"/>
      <c r="EF14821"/>
      <c r="EG14821"/>
      <c r="EH14821"/>
      <c r="EI14821"/>
      <c r="EJ14821"/>
      <c r="EK14821"/>
    </row>
    <row r="14822" spans="1:141" s="116" customFormat="1">
      <c r="A14822" s="136"/>
      <c r="CM14822" s="111"/>
      <c r="CQ14822" s="111"/>
      <c r="EF14822"/>
      <c r="EG14822"/>
      <c r="EH14822"/>
      <c r="EI14822"/>
      <c r="EJ14822"/>
      <c r="EK14822"/>
    </row>
    <row r="14823" spans="1:141" s="116" customFormat="1">
      <c r="A14823" s="136"/>
      <c r="CM14823" s="111"/>
      <c r="CQ14823" s="111"/>
      <c r="EF14823"/>
      <c r="EG14823"/>
      <c r="EH14823"/>
      <c r="EI14823"/>
      <c r="EJ14823"/>
      <c r="EK14823"/>
    </row>
    <row r="14824" spans="1:141" s="116" customFormat="1">
      <c r="A14824" s="136"/>
      <c r="CM14824" s="111"/>
      <c r="CQ14824" s="111"/>
      <c r="EF14824"/>
      <c r="EG14824"/>
      <c r="EH14824"/>
      <c r="EI14824"/>
      <c r="EJ14824"/>
      <c r="EK14824"/>
    </row>
    <row r="14825" spans="1:141" s="116" customFormat="1">
      <c r="A14825" s="136"/>
      <c r="CM14825" s="111"/>
      <c r="CQ14825" s="111"/>
      <c r="EF14825"/>
      <c r="EG14825"/>
      <c r="EH14825"/>
      <c r="EI14825"/>
      <c r="EJ14825"/>
      <c r="EK14825"/>
    </row>
    <row r="14826" spans="1:141" s="116" customFormat="1">
      <c r="A14826" s="136"/>
      <c r="CM14826" s="111"/>
      <c r="CQ14826" s="111"/>
      <c r="EF14826"/>
      <c r="EG14826"/>
      <c r="EH14826"/>
      <c r="EI14826"/>
      <c r="EJ14826"/>
      <c r="EK14826"/>
    </row>
    <row r="14827" spans="1:141" s="116" customFormat="1">
      <c r="A14827" s="136"/>
      <c r="CM14827" s="111"/>
      <c r="CQ14827" s="111"/>
      <c r="EF14827"/>
      <c r="EG14827"/>
      <c r="EH14827"/>
      <c r="EI14827"/>
      <c r="EJ14827"/>
      <c r="EK14827"/>
    </row>
    <row r="14828" spans="1:141" s="116" customFormat="1">
      <c r="A14828" s="136"/>
      <c r="CM14828" s="111"/>
      <c r="CQ14828" s="111"/>
      <c r="EF14828"/>
      <c r="EG14828"/>
      <c r="EH14828"/>
      <c r="EI14828"/>
      <c r="EJ14828"/>
      <c r="EK14828"/>
    </row>
    <row r="14829" spans="1:141" s="116" customFormat="1">
      <c r="A14829" s="136"/>
      <c r="CM14829" s="111"/>
      <c r="CQ14829" s="111"/>
      <c r="EF14829"/>
      <c r="EG14829"/>
      <c r="EH14829"/>
      <c r="EI14829"/>
      <c r="EJ14829"/>
      <c r="EK14829"/>
    </row>
    <row r="14830" spans="1:141" s="116" customFormat="1">
      <c r="A14830" s="136"/>
      <c r="CM14830" s="111"/>
      <c r="CQ14830" s="111"/>
      <c r="EF14830"/>
      <c r="EG14830"/>
      <c r="EH14830"/>
      <c r="EI14830"/>
      <c r="EJ14830"/>
      <c r="EK14830"/>
    </row>
    <row r="14831" spans="1:141" s="116" customFormat="1">
      <c r="A14831" s="136"/>
      <c r="CM14831" s="111"/>
      <c r="CQ14831" s="111"/>
      <c r="EF14831"/>
      <c r="EG14831"/>
      <c r="EH14831"/>
      <c r="EI14831"/>
      <c r="EJ14831"/>
      <c r="EK14831"/>
    </row>
    <row r="14832" spans="1:141" s="116" customFormat="1">
      <c r="A14832" s="136"/>
      <c r="CM14832" s="111"/>
      <c r="CQ14832" s="111"/>
      <c r="EF14832"/>
      <c r="EG14832"/>
      <c r="EH14832"/>
      <c r="EI14832"/>
      <c r="EJ14832"/>
      <c r="EK14832"/>
    </row>
    <row r="14833" spans="1:141" s="116" customFormat="1">
      <c r="A14833" s="136"/>
      <c r="CM14833" s="111"/>
      <c r="CQ14833" s="111"/>
      <c r="EF14833"/>
      <c r="EG14833"/>
      <c r="EH14833"/>
      <c r="EI14833"/>
      <c r="EJ14833"/>
      <c r="EK14833"/>
    </row>
    <row r="14834" spans="1:141" s="116" customFormat="1">
      <c r="A14834" s="136"/>
      <c r="CM14834" s="111"/>
      <c r="CQ14834" s="111"/>
      <c r="EF14834"/>
      <c r="EG14834"/>
      <c r="EH14834"/>
      <c r="EI14834"/>
      <c r="EJ14834"/>
      <c r="EK14834"/>
    </row>
    <row r="14835" spans="1:141" s="116" customFormat="1">
      <c r="A14835" s="136"/>
      <c r="CM14835" s="111"/>
      <c r="CQ14835" s="111"/>
      <c r="EF14835"/>
      <c r="EG14835"/>
      <c r="EH14835"/>
      <c r="EI14835"/>
      <c r="EJ14835"/>
      <c r="EK14835"/>
    </row>
    <row r="14836" spans="1:141" s="116" customFormat="1">
      <c r="A14836" s="136"/>
      <c r="CM14836" s="111"/>
      <c r="CQ14836" s="111"/>
      <c r="EF14836"/>
      <c r="EG14836"/>
      <c r="EH14836"/>
      <c r="EI14836"/>
      <c r="EJ14836"/>
      <c r="EK14836"/>
    </row>
    <row r="14837" spans="1:141" s="116" customFormat="1">
      <c r="A14837" s="136"/>
      <c r="CM14837" s="111"/>
      <c r="CQ14837" s="111"/>
      <c r="EF14837"/>
      <c r="EG14837"/>
      <c r="EH14837"/>
      <c r="EI14837"/>
      <c r="EJ14837"/>
      <c r="EK14837"/>
    </row>
    <row r="14838" spans="1:141" s="116" customFormat="1">
      <c r="A14838" s="136"/>
      <c r="CM14838" s="111"/>
      <c r="CQ14838" s="111"/>
      <c r="EF14838"/>
      <c r="EG14838"/>
      <c r="EH14838"/>
      <c r="EI14838"/>
      <c r="EJ14838"/>
      <c r="EK14838"/>
    </row>
    <row r="14839" spans="1:141" s="116" customFormat="1">
      <c r="A14839" s="136"/>
      <c r="CM14839" s="111"/>
      <c r="CQ14839" s="111"/>
      <c r="EF14839"/>
      <c r="EG14839"/>
      <c r="EH14839"/>
      <c r="EI14839"/>
      <c r="EJ14839"/>
      <c r="EK14839"/>
    </row>
    <row r="14840" spans="1:141" s="116" customFormat="1">
      <c r="A14840" s="136"/>
      <c r="CM14840" s="111"/>
      <c r="CQ14840" s="111"/>
      <c r="EF14840"/>
      <c r="EG14840"/>
      <c r="EH14840"/>
      <c r="EI14840"/>
      <c r="EJ14840"/>
      <c r="EK14840"/>
    </row>
    <row r="14841" spans="1:141" s="116" customFormat="1">
      <c r="A14841" s="136"/>
      <c r="CM14841" s="111"/>
      <c r="CQ14841" s="111"/>
      <c r="EF14841"/>
      <c r="EG14841"/>
      <c r="EH14841"/>
      <c r="EI14841"/>
      <c r="EJ14841"/>
      <c r="EK14841"/>
    </row>
    <row r="14842" spans="1:141" s="116" customFormat="1">
      <c r="A14842" s="136"/>
      <c r="CM14842" s="111"/>
      <c r="CQ14842" s="111"/>
      <c r="EF14842"/>
      <c r="EG14842"/>
      <c r="EH14842"/>
      <c r="EI14842"/>
      <c r="EJ14842"/>
      <c r="EK14842"/>
    </row>
    <row r="14843" spans="1:141" s="116" customFormat="1">
      <c r="A14843" s="136"/>
      <c r="CM14843" s="111"/>
      <c r="CQ14843" s="111"/>
      <c r="EF14843"/>
      <c r="EG14843"/>
      <c r="EH14843"/>
      <c r="EI14843"/>
      <c r="EJ14843"/>
      <c r="EK14843"/>
    </row>
    <row r="14844" spans="1:141" s="116" customFormat="1">
      <c r="A14844" s="136"/>
      <c r="CM14844" s="111"/>
      <c r="CQ14844" s="111"/>
      <c r="EF14844"/>
      <c r="EG14844"/>
      <c r="EH14844"/>
      <c r="EI14844"/>
      <c r="EJ14844"/>
      <c r="EK14844"/>
    </row>
    <row r="14845" spans="1:141" s="116" customFormat="1">
      <c r="A14845" s="136"/>
      <c r="CM14845" s="111"/>
      <c r="CQ14845" s="111"/>
      <c r="EF14845"/>
      <c r="EG14845"/>
      <c r="EH14845"/>
      <c r="EI14845"/>
      <c r="EJ14845"/>
      <c r="EK14845"/>
    </row>
    <row r="14846" spans="1:141" s="116" customFormat="1">
      <c r="A14846" s="136"/>
      <c r="CM14846" s="111"/>
      <c r="CQ14846" s="111"/>
      <c r="EF14846"/>
      <c r="EG14846"/>
      <c r="EH14846"/>
      <c r="EI14846"/>
      <c r="EJ14846"/>
      <c r="EK14846"/>
    </row>
    <row r="14847" spans="1:141" s="116" customFormat="1">
      <c r="A14847" s="136"/>
      <c r="CM14847" s="111"/>
      <c r="CQ14847" s="111"/>
      <c r="EF14847"/>
      <c r="EG14847"/>
      <c r="EH14847"/>
      <c r="EI14847"/>
      <c r="EJ14847"/>
      <c r="EK14847"/>
    </row>
    <row r="14848" spans="1:141" s="116" customFormat="1">
      <c r="A14848" s="136"/>
      <c r="CM14848" s="111"/>
      <c r="CQ14848" s="111"/>
      <c r="EF14848"/>
      <c r="EG14848"/>
      <c r="EH14848"/>
      <c r="EI14848"/>
      <c r="EJ14848"/>
      <c r="EK14848"/>
    </row>
    <row r="14849" spans="1:141" s="116" customFormat="1">
      <c r="A14849" s="136"/>
      <c r="CM14849" s="111"/>
      <c r="CQ14849" s="111"/>
      <c r="EF14849"/>
      <c r="EG14849"/>
      <c r="EH14849"/>
      <c r="EI14849"/>
      <c r="EJ14849"/>
      <c r="EK14849"/>
    </row>
    <row r="14850" spans="1:141" s="116" customFormat="1">
      <c r="A14850" s="136"/>
      <c r="CM14850" s="111"/>
      <c r="CQ14850" s="111"/>
      <c r="EF14850"/>
      <c r="EG14850"/>
      <c r="EH14850"/>
      <c r="EI14850"/>
      <c r="EJ14850"/>
      <c r="EK14850"/>
    </row>
    <row r="14851" spans="1:141" s="116" customFormat="1">
      <c r="A14851" s="136"/>
      <c r="CM14851" s="111"/>
      <c r="CQ14851" s="111"/>
      <c r="EF14851"/>
      <c r="EG14851"/>
      <c r="EH14851"/>
      <c r="EI14851"/>
      <c r="EJ14851"/>
      <c r="EK14851"/>
    </row>
    <row r="14852" spans="1:141" s="116" customFormat="1">
      <c r="A14852" s="136"/>
      <c r="CM14852" s="111"/>
      <c r="CQ14852" s="111"/>
      <c r="EF14852"/>
      <c r="EG14852"/>
      <c r="EH14852"/>
      <c r="EI14852"/>
      <c r="EJ14852"/>
      <c r="EK14852"/>
    </row>
    <row r="14853" spans="1:141" s="116" customFormat="1">
      <c r="A14853" s="136"/>
      <c r="CM14853" s="111"/>
      <c r="CQ14853" s="111"/>
      <c r="EF14853"/>
      <c r="EG14853"/>
      <c r="EH14853"/>
      <c r="EI14853"/>
      <c r="EJ14853"/>
      <c r="EK14853"/>
    </row>
    <row r="14854" spans="1:141" s="116" customFormat="1">
      <c r="A14854" s="136"/>
      <c r="CM14854" s="111"/>
      <c r="CQ14854" s="111"/>
      <c r="EF14854"/>
      <c r="EG14854"/>
      <c r="EH14854"/>
      <c r="EI14854"/>
      <c r="EJ14854"/>
      <c r="EK14854"/>
    </row>
    <row r="14855" spans="1:141" s="116" customFormat="1">
      <c r="A14855" s="136"/>
      <c r="CM14855" s="111"/>
      <c r="CQ14855" s="111"/>
      <c r="EF14855"/>
      <c r="EG14855"/>
      <c r="EH14855"/>
      <c r="EI14855"/>
      <c r="EJ14855"/>
      <c r="EK14855"/>
    </row>
    <row r="14856" spans="1:141" s="116" customFormat="1">
      <c r="A14856" s="136"/>
      <c r="CM14856" s="111"/>
      <c r="CQ14856" s="111"/>
      <c r="EF14856"/>
      <c r="EG14856"/>
      <c r="EH14856"/>
      <c r="EI14856"/>
      <c r="EJ14856"/>
      <c r="EK14856"/>
    </row>
    <row r="14857" spans="1:141" s="116" customFormat="1">
      <c r="A14857" s="136"/>
      <c r="CM14857" s="111"/>
      <c r="CQ14857" s="111"/>
      <c r="EF14857"/>
      <c r="EG14857"/>
      <c r="EH14857"/>
      <c r="EI14857"/>
      <c r="EJ14857"/>
      <c r="EK14857"/>
    </row>
    <row r="14858" spans="1:141" s="116" customFormat="1">
      <c r="A14858" s="136"/>
      <c r="CM14858" s="111"/>
      <c r="CQ14858" s="111"/>
      <c r="EF14858"/>
      <c r="EG14858"/>
      <c r="EH14858"/>
      <c r="EI14858"/>
      <c r="EJ14858"/>
      <c r="EK14858"/>
    </row>
    <row r="14859" spans="1:141" s="116" customFormat="1">
      <c r="A14859" s="136"/>
      <c r="CM14859" s="111"/>
      <c r="CQ14859" s="111"/>
      <c r="EF14859"/>
      <c r="EG14859"/>
      <c r="EH14859"/>
      <c r="EI14859"/>
      <c r="EJ14859"/>
      <c r="EK14859"/>
    </row>
    <row r="14860" spans="1:141" s="116" customFormat="1">
      <c r="A14860" s="136"/>
      <c r="CM14860" s="111"/>
      <c r="CQ14860" s="111"/>
      <c r="EF14860"/>
      <c r="EG14860"/>
      <c r="EH14860"/>
      <c r="EI14860"/>
      <c r="EJ14860"/>
      <c r="EK14860"/>
    </row>
    <row r="14861" spans="1:141" s="116" customFormat="1">
      <c r="A14861" s="136"/>
      <c r="CM14861" s="111"/>
      <c r="CQ14861" s="111"/>
      <c r="EF14861"/>
      <c r="EG14861"/>
      <c r="EH14861"/>
      <c r="EI14861"/>
      <c r="EJ14861"/>
      <c r="EK14861"/>
    </row>
    <row r="14862" spans="1:141" s="116" customFormat="1">
      <c r="A14862" s="136"/>
      <c r="CM14862" s="111"/>
      <c r="CQ14862" s="111"/>
      <c r="EF14862"/>
      <c r="EG14862"/>
      <c r="EH14862"/>
      <c r="EI14862"/>
      <c r="EJ14862"/>
      <c r="EK14862"/>
    </row>
    <row r="14863" spans="1:141" s="116" customFormat="1">
      <c r="A14863" s="136"/>
      <c r="CM14863" s="111"/>
      <c r="CQ14863" s="111"/>
      <c r="EF14863"/>
      <c r="EG14863"/>
      <c r="EH14863"/>
      <c r="EI14863"/>
      <c r="EJ14863"/>
      <c r="EK14863"/>
    </row>
    <row r="14864" spans="1:141" s="116" customFormat="1">
      <c r="A14864" s="136"/>
      <c r="CM14864" s="111"/>
      <c r="CQ14864" s="111"/>
      <c r="EF14864"/>
      <c r="EG14864"/>
      <c r="EH14864"/>
      <c r="EI14864"/>
      <c r="EJ14864"/>
      <c r="EK14864"/>
    </row>
    <row r="14865" spans="1:141" s="116" customFormat="1">
      <c r="A14865" s="136"/>
      <c r="CM14865" s="111"/>
      <c r="CQ14865" s="111"/>
      <c r="EF14865"/>
      <c r="EG14865"/>
      <c r="EH14865"/>
      <c r="EI14865"/>
      <c r="EJ14865"/>
      <c r="EK14865"/>
    </row>
    <row r="14866" spans="1:141" s="116" customFormat="1">
      <c r="A14866" s="136"/>
      <c r="CM14866" s="111"/>
      <c r="CQ14866" s="111"/>
      <c r="EF14866"/>
      <c r="EG14866"/>
      <c r="EH14866"/>
      <c r="EI14866"/>
      <c r="EJ14866"/>
      <c r="EK14866"/>
    </row>
    <row r="14867" spans="1:141" s="116" customFormat="1">
      <c r="A14867" s="136"/>
      <c r="CM14867" s="111"/>
      <c r="CQ14867" s="111"/>
      <c r="EF14867"/>
      <c r="EG14867"/>
      <c r="EH14867"/>
      <c r="EI14867"/>
      <c r="EJ14867"/>
      <c r="EK14867"/>
    </row>
    <row r="14868" spans="1:141" s="116" customFormat="1">
      <c r="A14868" s="136"/>
      <c r="CM14868" s="111"/>
      <c r="CQ14868" s="111"/>
      <c r="EF14868"/>
      <c r="EG14868"/>
      <c r="EH14868"/>
      <c r="EI14868"/>
      <c r="EJ14868"/>
      <c r="EK14868"/>
    </row>
    <row r="14869" spans="1:141" s="116" customFormat="1">
      <c r="A14869" s="136"/>
      <c r="CM14869" s="111"/>
      <c r="CQ14869" s="111"/>
      <c r="EF14869"/>
      <c r="EG14869"/>
      <c r="EH14869"/>
      <c r="EI14869"/>
      <c r="EJ14869"/>
      <c r="EK14869"/>
    </row>
    <row r="14870" spans="1:141" s="116" customFormat="1">
      <c r="A14870" s="136"/>
      <c r="CM14870" s="111"/>
      <c r="CQ14870" s="111"/>
      <c r="EF14870"/>
      <c r="EG14870"/>
      <c r="EH14870"/>
      <c r="EI14870"/>
      <c r="EJ14870"/>
      <c r="EK14870"/>
    </row>
    <row r="14871" spans="1:141" s="116" customFormat="1">
      <c r="A14871" s="136"/>
      <c r="CM14871" s="111"/>
      <c r="CQ14871" s="111"/>
      <c r="EF14871"/>
      <c r="EG14871"/>
      <c r="EH14871"/>
      <c r="EI14871"/>
      <c r="EJ14871"/>
      <c r="EK14871"/>
    </row>
    <row r="14872" spans="1:141" s="116" customFormat="1">
      <c r="A14872" s="136"/>
      <c r="CM14872" s="111"/>
      <c r="CQ14872" s="111"/>
      <c r="EF14872"/>
      <c r="EG14872"/>
      <c r="EH14872"/>
      <c r="EI14872"/>
      <c r="EJ14872"/>
      <c r="EK14872"/>
    </row>
    <row r="14873" spans="1:141" s="116" customFormat="1">
      <c r="A14873" s="136"/>
      <c r="CM14873" s="111"/>
      <c r="CQ14873" s="111"/>
      <c r="EF14873"/>
      <c r="EG14873"/>
      <c r="EH14873"/>
      <c r="EI14873"/>
      <c r="EJ14873"/>
      <c r="EK14873"/>
    </row>
    <row r="14874" spans="1:141" s="116" customFormat="1">
      <c r="A14874" s="136"/>
      <c r="CM14874" s="111"/>
      <c r="CQ14874" s="111"/>
      <c r="EF14874"/>
      <c r="EG14874"/>
      <c r="EH14874"/>
      <c r="EI14874"/>
      <c r="EJ14874"/>
      <c r="EK14874"/>
    </row>
    <row r="14875" spans="1:141" s="116" customFormat="1">
      <c r="A14875" s="136"/>
      <c r="CM14875" s="111"/>
      <c r="CQ14875" s="111"/>
      <c r="EF14875"/>
      <c r="EG14875"/>
      <c r="EH14875"/>
      <c r="EI14875"/>
      <c r="EJ14875"/>
      <c r="EK14875"/>
    </row>
    <row r="14876" spans="1:141" s="116" customFormat="1">
      <c r="A14876" s="136"/>
      <c r="CM14876" s="111"/>
      <c r="CQ14876" s="111"/>
      <c r="EF14876"/>
      <c r="EG14876"/>
      <c r="EH14876"/>
      <c r="EI14876"/>
      <c r="EJ14876"/>
      <c r="EK14876"/>
    </row>
    <row r="14877" spans="1:141" s="116" customFormat="1">
      <c r="A14877" s="136"/>
      <c r="CM14877" s="111"/>
      <c r="CQ14877" s="111"/>
      <c r="EF14877"/>
      <c r="EG14877"/>
      <c r="EH14877"/>
      <c r="EI14877"/>
      <c r="EJ14877"/>
      <c r="EK14877"/>
    </row>
    <row r="14878" spans="1:141" s="116" customFormat="1">
      <c r="A14878" s="136"/>
      <c r="CM14878" s="111"/>
      <c r="CQ14878" s="111"/>
      <c r="EF14878"/>
      <c r="EG14878"/>
      <c r="EH14878"/>
      <c r="EI14878"/>
      <c r="EJ14878"/>
      <c r="EK14878"/>
    </row>
    <row r="14879" spans="1:141" s="116" customFormat="1">
      <c r="A14879" s="136"/>
      <c r="CM14879" s="111"/>
      <c r="CQ14879" s="111"/>
      <c r="EF14879"/>
      <c r="EG14879"/>
      <c r="EH14879"/>
      <c r="EI14879"/>
      <c r="EJ14879"/>
      <c r="EK14879"/>
    </row>
    <row r="14880" spans="1:141" s="116" customFormat="1">
      <c r="A14880" s="136"/>
      <c r="CM14880" s="111"/>
      <c r="CQ14880" s="111"/>
      <c r="EF14880"/>
      <c r="EG14880"/>
      <c r="EH14880"/>
      <c r="EI14880"/>
      <c r="EJ14880"/>
      <c r="EK14880"/>
    </row>
    <row r="14881" spans="1:141" s="116" customFormat="1">
      <c r="A14881" s="136"/>
      <c r="CM14881" s="111"/>
      <c r="CQ14881" s="111"/>
      <c r="EF14881"/>
      <c r="EG14881"/>
      <c r="EH14881"/>
      <c r="EI14881"/>
      <c r="EJ14881"/>
      <c r="EK14881"/>
    </row>
    <row r="14882" spans="1:141" s="116" customFormat="1">
      <c r="A14882" s="136"/>
      <c r="CM14882" s="111"/>
      <c r="CQ14882" s="111"/>
      <c r="EF14882"/>
      <c r="EG14882"/>
      <c r="EH14882"/>
      <c r="EI14882"/>
      <c r="EJ14882"/>
      <c r="EK14882"/>
    </row>
    <row r="14883" spans="1:141" s="116" customFormat="1">
      <c r="A14883" s="136"/>
      <c r="CM14883" s="111"/>
      <c r="CQ14883" s="111"/>
      <c r="EF14883"/>
      <c r="EG14883"/>
      <c r="EH14883"/>
      <c r="EI14883"/>
      <c r="EJ14883"/>
      <c r="EK14883"/>
    </row>
    <row r="14884" spans="1:141" s="116" customFormat="1">
      <c r="A14884" s="136"/>
      <c r="CM14884" s="111"/>
      <c r="CQ14884" s="111"/>
      <c r="EF14884"/>
      <c r="EG14884"/>
      <c r="EH14884"/>
      <c r="EI14884"/>
      <c r="EJ14884"/>
      <c r="EK14884"/>
    </row>
    <row r="14885" spans="1:141" s="116" customFormat="1">
      <c r="A14885" s="136"/>
      <c r="CM14885" s="111"/>
      <c r="CQ14885" s="111"/>
      <c r="EF14885"/>
      <c r="EG14885"/>
      <c r="EH14885"/>
      <c r="EI14885"/>
      <c r="EJ14885"/>
      <c r="EK14885"/>
    </row>
    <row r="14886" spans="1:141" s="116" customFormat="1">
      <c r="A14886" s="136"/>
      <c r="CM14886" s="111"/>
      <c r="CQ14886" s="111"/>
      <c r="EF14886"/>
      <c r="EG14886"/>
      <c r="EH14886"/>
      <c r="EI14886"/>
      <c r="EJ14886"/>
      <c r="EK14886"/>
    </row>
    <row r="14887" spans="1:141" s="116" customFormat="1">
      <c r="A14887" s="136"/>
      <c r="CM14887" s="111"/>
      <c r="CQ14887" s="111"/>
      <c r="EF14887"/>
      <c r="EG14887"/>
      <c r="EH14887"/>
      <c r="EI14887"/>
      <c r="EJ14887"/>
      <c r="EK14887"/>
    </row>
    <row r="14888" spans="1:141" s="116" customFormat="1">
      <c r="A14888" s="136"/>
      <c r="CM14888" s="111"/>
      <c r="CQ14888" s="111"/>
      <c r="EF14888"/>
      <c r="EG14888"/>
      <c r="EH14888"/>
      <c r="EI14888"/>
      <c r="EJ14888"/>
      <c r="EK14888"/>
    </row>
    <row r="14889" spans="1:141" s="116" customFormat="1">
      <c r="A14889" s="136"/>
      <c r="CM14889" s="111"/>
      <c r="CQ14889" s="111"/>
      <c r="EF14889"/>
      <c r="EG14889"/>
      <c r="EH14889"/>
      <c r="EI14889"/>
      <c r="EJ14889"/>
      <c r="EK14889"/>
    </row>
    <row r="14890" spans="1:141" s="116" customFormat="1">
      <c r="A14890" s="136"/>
      <c r="CM14890" s="111"/>
      <c r="CQ14890" s="111"/>
      <c r="EF14890"/>
      <c r="EG14890"/>
      <c r="EH14890"/>
      <c r="EI14890"/>
      <c r="EJ14890"/>
      <c r="EK14890"/>
    </row>
    <row r="14891" spans="1:141" s="116" customFormat="1">
      <c r="A14891" s="136"/>
      <c r="CM14891" s="111"/>
      <c r="CQ14891" s="111"/>
      <c r="EF14891"/>
      <c r="EG14891"/>
      <c r="EH14891"/>
      <c r="EI14891"/>
      <c r="EJ14891"/>
      <c r="EK14891"/>
    </row>
    <row r="14892" spans="1:141" s="116" customFormat="1">
      <c r="A14892" s="136"/>
      <c r="CM14892" s="111"/>
      <c r="CQ14892" s="111"/>
      <c r="EF14892"/>
      <c r="EG14892"/>
      <c r="EH14892"/>
      <c r="EI14892"/>
      <c r="EJ14892"/>
      <c r="EK14892"/>
    </row>
    <row r="14893" spans="1:141" s="116" customFormat="1">
      <c r="A14893" s="136"/>
      <c r="CM14893" s="111"/>
      <c r="CQ14893" s="111"/>
      <c r="EF14893"/>
      <c r="EG14893"/>
      <c r="EH14893"/>
      <c r="EI14893"/>
      <c r="EJ14893"/>
      <c r="EK14893"/>
    </row>
    <row r="14894" spans="1:141" s="116" customFormat="1">
      <c r="A14894" s="136"/>
      <c r="CM14894" s="111"/>
      <c r="CQ14894" s="111"/>
      <c r="EF14894"/>
      <c r="EG14894"/>
      <c r="EH14894"/>
      <c r="EI14894"/>
      <c r="EJ14894"/>
      <c r="EK14894"/>
    </row>
    <row r="14895" spans="1:141" s="116" customFormat="1">
      <c r="A14895" s="136"/>
      <c r="CM14895" s="111"/>
      <c r="CQ14895" s="111"/>
      <c r="EF14895"/>
      <c r="EG14895"/>
      <c r="EH14895"/>
      <c r="EI14895"/>
      <c r="EJ14895"/>
      <c r="EK14895"/>
    </row>
    <row r="14896" spans="1:141" s="116" customFormat="1">
      <c r="A14896" s="136"/>
      <c r="CM14896" s="111"/>
      <c r="CQ14896" s="111"/>
      <c r="EF14896"/>
      <c r="EG14896"/>
      <c r="EH14896"/>
      <c r="EI14896"/>
      <c r="EJ14896"/>
      <c r="EK14896"/>
    </row>
    <row r="14897" spans="1:141" s="116" customFormat="1">
      <c r="A14897" s="136"/>
      <c r="CM14897" s="111"/>
      <c r="CQ14897" s="111"/>
      <c r="EF14897"/>
      <c r="EG14897"/>
      <c r="EH14897"/>
      <c r="EI14897"/>
      <c r="EJ14897"/>
      <c r="EK14897"/>
    </row>
    <row r="14898" spans="1:141" s="116" customFormat="1">
      <c r="A14898" s="136"/>
      <c r="CM14898" s="111"/>
      <c r="CQ14898" s="111"/>
      <c r="EF14898"/>
      <c r="EG14898"/>
      <c r="EH14898"/>
      <c r="EI14898"/>
      <c r="EJ14898"/>
      <c r="EK14898"/>
    </row>
    <row r="14899" spans="1:141" s="116" customFormat="1">
      <c r="A14899" s="136"/>
      <c r="CM14899" s="111"/>
      <c r="CQ14899" s="111"/>
      <c r="EF14899"/>
      <c r="EG14899"/>
      <c r="EH14899"/>
      <c r="EI14899"/>
      <c r="EJ14899"/>
      <c r="EK14899"/>
    </row>
    <row r="14900" spans="1:141" s="116" customFormat="1">
      <c r="A14900" s="136"/>
      <c r="CM14900" s="111"/>
      <c r="CQ14900" s="111"/>
      <c r="EF14900"/>
      <c r="EG14900"/>
      <c r="EH14900"/>
      <c r="EI14900"/>
      <c r="EJ14900"/>
      <c r="EK14900"/>
    </row>
    <row r="14901" spans="1:141" s="116" customFormat="1">
      <c r="A14901" s="136"/>
      <c r="CM14901" s="111"/>
      <c r="CQ14901" s="111"/>
      <c r="EF14901"/>
      <c r="EG14901"/>
      <c r="EH14901"/>
      <c r="EI14901"/>
      <c r="EJ14901"/>
      <c r="EK14901"/>
    </row>
    <row r="14902" spans="1:141" s="116" customFormat="1">
      <c r="A14902" s="136"/>
      <c r="CM14902" s="111"/>
      <c r="CQ14902" s="111"/>
      <c r="EF14902"/>
      <c r="EG14902"/>
      <c r="EH14902"/>
      <c r="EI14902"/>
      <c r="EJ14902"/>
      <c r="EK14902"/>
    </row>
    <row r="14903" spans="1:141" s="116" customFormat="1">
      <c r="A14903" s="136"/>
      <c r="CM14903" s="111"/>
      <c r="CQ14903" s="111"/>
      <c r="EF14903"/>
      <c r="EG14903"/>
      <c r="EH14903"/>
      <c r="EI14903"/>
      <c r="EJ14903"/>
      <c r="EK14903"/>
    </row>
    <row r="14904" spans="1:141" s="116" customFormat="1">
      <c r="A14904" s="136"/>
      <c r="CM14904" s="111"/>
      <c r="CQ14904" s="111"/>
      <c r="EF14904"/>
      <c r="EG14904"/>
      <c r="EH14904"/>
      <c r="EI14904"/>
      <c r="EJ14904"/>
      <c r="EK14904"/>
    </row>
    <row r="14905" spans="1:141" s="116" customFormat="1">
      <c r="A14905" s="136"/>
      <c r="CM14905" s="111"/>
      <c r="CQ14905" s="111"/>
      <c r="EF14905"/>
      <c r="EG14905"/>
      <c r="EH14905"/>
      <c r="EI14905"/>
      <c r="EJ14905"/>
      <c r="EK14905"/>
    </row>
    <row r="14906" spans="1:141" s="116" customFormat="1">
      <c r="A14906" s="136"/>
      <c r="CM14906" s="111"/>
      <c r="CQ14906" s="111"/>
      <c r="EF14906"/>
      <c r="EG14906"/>
      <c r="EH14906"/>
      <c r="EI14906"/>
      <c r="EJ14906"/>
      <c r="EK14906"/>
    </row>
    <row r="14907" spans="1:141" s="116" customFormat="1">
      <c r="A14907" s="136"/>
      <c r="CM14907" s="111"/>
      <c r="CQ14907" s="111"/>
      <c r="EF14907"/>
      <c r="EG14907"/>
      <c r="EH14907"/>
      <c r="EI14907"/>
      <c r="EJ14907"/>
      <c r="EK14907"/>
    </row>
    <row r="14908" spans="1:141" s="116" customFormat="1">
      <c r="A14908" s="136"/>
      <c r="CM14908" s="111"/>
      <c r="CQ14908" s="111"/>
      <c r="EF14908"/>
      <c r="EG14908"/>
      <c r="EH14908"/>
      <c r="EI14908"/>
      <c r="EJ14908"/>
      <c r="EK14908"/>
    </row>
    <row r="14909" spans="1:141" s="116" customFormat="1">
      <c r="A14909" s="136"/>
      <c r="CM14909" s="111"/>
      <c r="CQ14909" s="111"/>
      <c r="EF14909"/>
      <c r="EG14909"/>
      <c r="EH14909"/>
      <c r="EI14909"/>
      <c r="EJ14909"/>
      <c r="EK14909"/>
    </row>
    <row r="14910" spans="1:141" s="116" customFormat="1">
      <c r="A14910" s="136"/>
      <c r="CM14910" s="111"/>
      <c r="CQ14910" s="111"/>
      <c r="EF14910"/>
      <c r="EG14910"/>
      <c r="EH14910"/>
      <c r="EI14910"/>
      <c r="EJ14910"/>
      <c r="EK14910"/>
    </row>
    <row r="14911" spans="1:141" s="116" customFormat="1">
      <c r="A14911" s="136"/>
      <c r="CM14911" s="111"/>
      <c r="CQ14911" s="111"/>
      <c r="EF14911"/>
      <c r="EG14911"/>
      <c r="EH14911"/>
      <c r="EI14911"/>
      <c r="EJ14911"/>
      <c r="EK14911"/>
    </row>
    <row r="14912" spans="1:141" s="116" customFormat="1">
      <c r="A14912" s="136"/>
      <c r="CM14912" s="111"/>
      <c r="CQ14912" s="111"/>
      <c r="EF14912"/>
      <c r="EG14912"/>
      <c r="EH14912"/>
      <c r="EI14912"/>
      <c r="EJ14912"/>
      <c r="EK14912"/>
    </row>
    <row r="14913" spans="1:141" s="116" customFormat="1">
      <c r="A14913" s="136"/>
      <c r="CM14913" s="111"/>
      <c r="CQ14913" s="111"/>
      <c r="EF14913"/>
      <c r="EG14913"/>
      <c r="EH14913"/>
      <c r="EI14913"/>
      <c r="EJ14913"/>
      <c r="EK14913"/>
    </row>
    <row r="14914" spans="1:141" s="116" customFormat="1">
      <c r="A14914" s="136"/>
      <c r="CM14914" s="111"/>
      <c r="CQ14914" s="111"/>
      <c r="EF14914"/>
      <c r="EG14914"/>
      <c r="EH14914"/>
      <c r="EI14914"/>
      <c r="EJ14914"/>
      <c r="EK14914"/>
    </row>
    <row r="14915" spans="1:141" s="116" customFormat="1">
      <c r="A14915" s="136"/>
      <c r="CM14915" s="111"/>
      <c r="CQ14915" s="111"/>
      <c r="EF14915"/>
      <c r="EG14915"/>
      <c r="EH14915"/>
      <c r="EI14915"/>
      <c r="EJ14915"/>
      <c r="EK14915"/>
    </row>
    <row r="14916" spans="1:141" s="116" customFormat="1">
      <c r="A14916" s="136"/>
      <c r="CM14916" s="111"/>
      <c r="CQ14916" s="111"/>
      <c r="EF14916"/>
      <c r="EG14916"/>
      <c r="EH14916"/>
      <c r="EI14916"/>
      <c r="EJ14916"/>
      <c r="EK14916"/>
    </row>
    <row r="14917" spans="1:141" s="116" customFormat="1">
      <c r="A14917" s="136"/>
      <c r="CM14917" s="111"/>
      <c r="CQ14917" s="111"/>
      <c r="EF14917"/>
      <c r="EG14917"/>
      <c r="EH14917"/>
      <c r="EI14917"/>
      <c r="EJ14917"/>
      <c r="EK14917"/>
    </row>
    <row r="14918" spans="1:141" s="116" customFormat="1">
      <c r="A14918" s="136"/>
      <c r="CM14918" s="111"/>
      <c r="CQ14918" s="111"/>
      <c r="EF14918"/>
      <c r="EG14918"/>
      <c r="EH14918"/>
      <c r="EI14918"/>
      <c r="EJ14918"/>
      <c r="EK14918"/>
    </row>
    <row r="14919" spans="1:141" s="116" customFormat="1">
      <c r="A14919" s="136"/>
      <c r="CM14919" s="111"/>
      <c r="CQ14919" s="111"/>
      <c r="EF14919"/>
      <c r="EG14919"/>
      <c r="EH14919"/>
      <c r="EI14919"/>
      <c r="EJ14919"/>
      <c r="EK14919"/>
    </row>
    <row r="14920" spans="1:141" s="116" customFormat="1">
      <c r="A14920" s="136"/>
      <c r="CM14920" s="111"/>
      <c r="CQ14920" s="111"/>
      <c r="EF14920"/>
      <c r="EG14920"/>
      <c r="EH14920"/>
      <c r="EI14920"/>
      <c r="EJ14920"/>
      <c r="EK14920"/>
    </row>
    <row r="14921" spans="1:141" s="116" customFormat="1">
      <c r="A14921" s="136"/>
      <c r="CM14921" s="111"/>
      <c r="CQ14921" s="111"/>
      <c r="EF14921"/>
      <c r="EG14921"/>
      <c r="EH14921"/>
      <c r="EI14921"/>
      <c r="EJ14921"/>
      <c r="EK14921"/>
    </row>
    <row r="14922" spans="1:141" s="116" customFormat="1">
      <c r="A14922" s="136"/>
      <c r="CM14922" s="111"/>
      <c r="CQ14922" s="111"/>
      <c r="EF14922"/>
      <c r="EG14922"/>
      <c r="EH14922"/>
      <c r="EI14922"/>
      <c r="EJ14922"/>
      <c r="EK14922"/>
    </row>
    <row r="14923" spans="1:141" s="116" customFormat="1">
      <c r="A14923" s="136"/>
      <c r="CM14923" s="111"/>
      <c r="CQ14923" s="111"/>
      <c r="EF14923"/>
      <c r="EG14923"/>
      <c r="EH14923"/>
      <c r="EI14923"/>
      <c r="EJ14923"/>
      <c r="EK14923"/>
    </row>
    <row r="14924" spans="1:141" s="116" customFormat="1">
      <c r="A14924" s="136"/>
      <c r="CM14924" s="111"/>
      <c r="CQ14924" s="111"/>
      <c r="EF14924"/>
      <c r="EG14924"/>
      <c r="EH14924"/>
      <c r="EI14924"/>
      <c r="EJ14924"/>
      <c r="EK14924"/>
    </row>
    <row r="14925" spans="1:141" s="116" customFormat="1">
      <c r="A14925" s="136"/>
      <c r="CM14925" s="111"/>
      <c r="CQ14925" s="111"/>
      <c r="EF14925"/>
      <c r="EG14925"/>
      <c r="EH14925"/>
      <c r="EI14925"/>
      <c r="EJ14925"/>
      <c r="EK14925"/>
    </row>
    <row r="14926" spans="1:141" s="116" customFormat="1">
      <c r="A14926" s="136"/>
      <c r="CM14926" s="111"/>
      <c r="CQ14926" s="111"/>
      <c r="EF14926"/>
      <c r="EG14926"/>
      <c r="EH14926"/>
      <c r="EI14926"/>
      <c r="EJ14926"/>
      <c r="EK14926"/>
    </row>
    <row r="14927" spans="1:141" s="116" customFormat="1">
      <c r="A14927" s="136"/>
      <c r="CM14927" s="111"/>
      <c r="CQ14927" s="111"/>
      <c r="EF14927"/>
      <c r="EG14927"/>
      <c r="EH14927"/>
      <c r="EI14927"/>
      <c r="EJ14927"/>
      <c r="EK14927"/>
    </row>
    <row r="14928" spans="1:141" s="116" customFormat="1">
      <c r="A14928" s="136"/>
      <c r="CM14928" s="111"/>
      <c r="CQ14928" s="111"/>
      <c r="EF14928"/>
      <c r="EG14928"/>
      <c r="EH14928"/>
      <c r="EI14928"/>
      <c r="EJ14928"/>
      <c r="EK14928"/>
    </row>
    <row r="14929" spans="1:141" s="116" customFormat="1">
      <c r="A14929" s="136"/>
      <c r="CM14929" s="111"/>
      <c r="CQ14929" s="111"/>
      <c r="EF14929"/>
      <c r="EG14929"/>
      <c r="EH14929"/>
      <c r="EI14929"/>
      <c r="EJ14929"/>
      <c r="EK14929"/>
    </row>
    <row r="14930" spans="1:141" s="116" customFormat="1">
      <c r="A14930" s="136"/>
      <c r="CM14930" s="111"/>
      <c r="CQ14930" s="111"/>
      <c r="EF14930"/>
      <c r="EG14930"/>
      <c r="EH14930"/>
      <c r="EI14930"/>
      <c r="EJ14930"/>
      <c r="EK14930"/>
    </row>
    <row r="14931" spans="1:141" s="116" customFormat="1">
      <c r="A14931" s="136"/>
      <c r="CM14931" s="111"/>
      <c r="CQ14931" s="111"/>
      <c r="EF14931"/>
      <c r="EG14931"/>
      <c r="EH14931"/>
      <c r="EI14931"/>
      <c r="EJ14931"/>
      <c r="EK14931"/>
    </row>
    <row r="14932" spans="1:141" s="116" customFormat="1">
      <c r="A14932" s="136"/>
      <c r="CM14932" s="111"/>
      <c r="CQ14932" s="111"/>
      <c r="EF14932"/>
      <c r="EG14932"/>
      <c r="EH14932"/>
      <c r="EI14932"/>
      <c r="EJ14932"/>
      <c r="EK14932"/>
    </row>
    <row r="14933" spans="1:141" s="116" customFormat="1">
      <c r="A14933" s="136"/>
      <c r="CM14933" s="111"/>
      <c r="CQ14933" s="111"/>
      <c r="EF14933"/>
      <c r="EG14933"/>
      <c r="EH14933"/>
      <c r="EI14933"/>
      <c r="EJ14933"/>
      <c r="EK14933"/>
    </row>
    <row r="14934" spans="1:141" s="116" customFormat="1">
      <c r="A14934" s="136"/>
      <c r="CM14934" s="111"/>
      <c r="CQ14934" s="111"/>
      <c r="EF14934"/>
      <c r="EG14934"/>
      <c r="EH14934"/>
      <c r="EI14934"/>
      <c r="EJ14934"/>
      <c r="EK14934"/>
    </row>
    <row r="14935" spans="1:141" s="116" customFormat="1">
      <c r="A14935" s="136"/>
      <c r="CM14935" s="111"/>
      <c r="CQ14935" s="111"/>
      <c r="EF14935"/>
      <c r="EG14935"/>
      <c r="EH14935"/>
      <c r="EI14935"/>
      <c r="EJ14935"/>
      <c r="EK14935"/>
    </row>
    <row r="14936" spans="1:141" s="116" customFormat="1">
      <c r="A14936" s="136"/>
      <c r="CM14936" s="111"/>
      <c r="CQ14936" s="111"/>
      <c r="EF14936"/>
      <c r="EG14936"/>
      <c r="EH14936"/>
      <c r="EI14936"/>
      <c r="EJ14936"/>
      <c r="EK14936"/>
    </row>
    <row r="14937" spans="1:141" s="116" customFormat="1">
      <c r="A14937" s="136"/>
      <c r="CM14937" s="111"/>
      <c r="CQ14937" s="111"/>
      <c r="EF14937"/>
      <c r="EG14937"/>
      <c r="EH14937"/>
      <c r="EI14937"/>
      <c r="EJ14937"/>
      <c r="EK14937"/>
    </row>
    <row r="14938" spans="1:141" s="116" customFormat="1">
      <c r="A14938" s="136"/>
      <c r="CM14938" s="111"/>
      <c r="CQ14938" s="111"/>
      <c r="EF14938"/>
      <c r="EG14938"/>
      <c r="EH14938"/>
      <c r="EI14938"/>
      <c r="EJ14938"/>
      <c r="EK14938"/>
    </row>
    <row r="14939" spans="1:141" s="116" customFormat="1">
      <c r="A14939" s="136"/>
      <c r="CM14939" s="111"/>
      <c r="CQ14939" s="111"/>
      <c r="EF14939"/>
      <c r="EG14939"/>
      <c r="EH14939"/>
      <c r="EI14939"/>
      <c r="EJ14939"/>
      <c r="EK14939"/>
    </row>
    <row r="14940" spans="1:141" s="116" customFormat="1">
      <c r="A14940" s="136"/>
      <c r="CM14940" s="111"/>
      <c r="CQ14940" s="111"/>
      <c r="EF14940"/>
      <c r="EG14940"/>
      <c r="EH14940"/>
      <c r="EI14940"/>
      <c r="EJ14940"/>
      <c r="EK14940"/>
    </row>
    <row r="14941" spans="1:141" s="116" customFormat="1">
      <c r="A14941" s="136"/>
      <c r="CM14941" s="111"/>
      <c r="CQ14941" s="111"/>
      <c r="EF14941"/>
      <c r="EG14941"/>
      <c r="EH14941"/>
      <c r="EI14941"/>
      <c r="EJ14941"/>
      <c r="EK14941"/>
    </row>
    <row r="14942" spans="1:141" s="116" customFormat="1">
      <c r="A14942" s="136"/>
      <c r="CM14942" s="111"/>
      <c r="CQ14942" s="111"/>
      <c r="EF14942"/>
      <c r="EG14942"/>
      <c r="EH14942"/>
      <c r="EI14942"/>
      <c r="EJ14942"/>
      <c r="EK14942"/>
    </row>
    <row r="14943" spans="1:141" s="116" customFormat="1">
      <c r="A14943" s="136"/>
      <c r="CM14943" s="111"/>
      <c r="CQ14943" s="111"/>
      <c r="EF14943"/>
      <c r="EG14943"/>
      <c r="EH14943"/>
      <c r="EI14943"/>
      <c r="EJ14943"/>
      <c r="EK14943"/>
    </row>
    <row r="14944" spans="1:141" s="116" customFormat="1">
      <c r="A14944" s="136"/>
      <c r="CM14944" s="111"/>
      <c r="CQ14944" s="111"/>
      <c r="EF14944"/>
      <c r="EG14944"/>
      <c r="EH14944"/>
      <c r="EI14944"/>
      <c r="EJ14944"/>
      <c r="EK14944"/>
    </row>
    <row r="14945" spans="1:141" s="116" customFormat="1">
      <c r="A14945" s="136"/>
      <c r="CM14945" s="111"/>
      <c r="CQ14945" s="111"/>
      <c r="EF14945"/>
      <c r="EG14945"/>
      <c r="EH14945"/>
      <c r="EI14945"/>
      <c r="EJ14945"/>
      <c r="EK14945"/>
    </row>
    <row r="14946" spans="1:141" s="116" customFormat="1">
      <c r="A14946" s="136"/>
      <c r="CM14946" s="111"/>
      <c r="CQ14946" s="111"/>
      <c r="EF14946"/>
      <c r="EG14946"/>
      <c r="EH14946"/>
      <c r="EI14946"/>
      <c r="EJ14946"/>
      <c r="EK14946"/>
    </row>
    <row r="14947" spans="1:141" s="116" customFormat="1">
      <c r="A14947" s="136"/>
      <c r="CM14947" s="111"/>
      <c r="CQ14947" s="111"/>
      <c r="EF14947"/>
      <c r="EG14947"/>
      <c r="EH14947"/>
      <c r="EI14947"/>
      <c r="EJ14947"/>
      <c r="EK14947"/>
    </row>
    <row r="14948" spans="1:141" s="116" customFormat="1">
      <c r="A14948" s="136"/>
      <c r="CM14948" s="111"/>
      <c r="CQ14948" s="111"/>
      <c r="EF14948"/>
      <c r="EG14948"/>
      <c r="EH14948"/>
      <c r="EI14948"/>
      <c r="EJ14948"/>
      <c r="EK14948"/>
    </row>
    <row r="14949" spans="1:141" s="116" customFormat="1">
      <c r="A14949" s="136"/>
      <c r="CM14949" s="111"/>
      <c r="CQ14949" s="111"/>
      <c r="EF14949"/>
      <c r="EG14949"/>
      <c r="EH14949"/>
      <c r="EI14949"/>
      <c r="EJ14949"/>
      <c r="EK14949"/>
    </row>
    <row r="14950" spans="1:141" s="116" customFormat="1">
      <c r="A14950" s="136"/>
      <c r="CM14950" s="111"/>
      <c r="CQ14950" s="111"/>
      <c r="EF14950"/>
      <c r="EG14950"/>
      <c r="EH14950"/>
      <c r="EI14950"/>
      <c r="EJ14950"/>
      <c r="EK14950"/>
    </row>
    <row r="14951" spans="1:141" s="116" customFormat="1">
      <c r="A14951" s="136"/>
      <c r="CM14951" s="111"/>
      <c r="CQ14951" s="111"/>
      <c r="EF14951"/>
      <c r="EG14951"/>
      <c r="EH14951"/>
      <c r="EI14951"/>
      <c r="EJ14951"/>
      <c r="EK14951"/>
    </row>
    <row r="14952" spans="1:141" s="116" customFormat="1">
      <c r="A14952" s="136"/>
      <c r="CM14952" s="111"/>
      <c r="CQ14952" s="111"/>
      <c r="EF14952"/>
      <c r="EG14952"/>
      <c r="EH14952"/>
      <c r="EI14952"/>
      <c r="EJ14952"/>
      <c r="EK14952"/>
    </row>
    <row r="14953" spans="1:141" s="116" customFormat="1">
      <c r="A14953" s="136"/>
      <c r="CM14953" s="111"/>
      <c r="CQ14953" s="111"/>
      <c r="EF14953"/>
      <c r="EG14953"/>
      <c r="EH14953"/>
      <c r="EI14953"/>
      <c r="EJ14953"/>
      <c r="EK14953"/>
    </row>
    <row r="14954" spans="1:141" s="116" customFormat="1">
      <c r="A14954" s="136"/>
      <c r="CM14954" s="111"/>
      <c r="CQ14954" s="111"/>
      <c r="EF14954"/>
      <c r="EG14954"/>
      <c r="EH14954"/>
      <c r="EI14954"/>
      <c r="EJ14954"/>
      <c r="EK14954"/>
    </row>
    <row r="14955" spans="1:141" s="116" customFormat="1">
      <c r="A14955" s="136"/>
      <c r="CM14955" s="111"/>
      <c r="CQ14955" s="111"/>
      <c r="EF14955"/>
      <c r="EG14955"/>
      <c r="EH14955"/>
      <c r="EI14955"/>
      <c r="EJ14955"/>
      <c r="EK14955"/>
    </row>
    <row r="14956" spans="1:141" s="116" customFormat="1">
      <c r="A14956" s="136"/>
      <c r="CM14956" s="111"/>
      <c r="CQ14956" s="111"/>
      <c r="EF14956"/>
      <c r="EG14956"/>
      <c r="EH14956"/>
      <c r="EI14956"/>
      <c r="EJ14956"/>
      <c r="EK14956"/>
    </row>
    <row r="14957" spans="1:141" s="116" customFormat="1">
      <c r="A14957" s="136"/>
      <c r="CM14957" s="111"/>
      <c r="CQ14957" s="111"/>
      <c r="EF14957"/>
      <c r="EG14957"/>
      <c r="EH14957"/>
      <c r="EI14957"/>
      <c r="EJ14957"/>
      <c r="EK14957"/>
    </row>
    <row r="14958" spans="1:141" s="116" customFormat="1">
      <c r="A14958" s="136"/>
      <c r="CM14958" s="111"/>
      <c r="CQ14958" s="111"/>
      <c r="EF14958"/>
      <c r="EG14958"/>
      <c r="EH14958"/>
      <c r="EI14958"/>
      <c r="EJ14958"/>
      <c r="EK14958"/>
    </row>
    <row r="14959" spans="1:141" s="116" customFormat="1">
      <c r="A14959" s="136"/>
      <c r="CM14959" s="111"/>
      <c r="CQ14959" s="111"/>
      <c r="EF14959"/>
      <c r="EG14959"/>
      <c r="EH14959"/>
      <c r="EI14959"/>
      <c r="EJ14959"/>
      <c r="EK14959"/>
    </row>
    <row r="14960" spans="1:141" s="116" customFormat="1">
      <c r="A14960" s="136"/>
      <c r="CM14960" s="111"/>
      <c r="CQ14960" s="111"/>
      <c r="EF14960"/>
      <c r="EG14960"/>
      <c r="EH14960"/>
      <c r="EI14960"/>
      <c r="EJ14960"/>
      <c r="EK14960"/>
    </row>
    <row r="14961" spans="1:141" s="116" customFormat="1">
      <c r="A14961" s="136"/>
      <c r="CM14961" s="111"/>
      <c r="CQ14961" s="111"/>
      <c r="EF14961"/>
      <c r="EG14961"/>
      <c r="EH14961"/>
      <c r="EI14961"/>
      <c r="EJ14961"/>
      <c r="EK14961"/>
    </row>
    <row r="14962" spans="1:141" s="116" customFormat="1">
      <c r="A14962" s="136"/>
      <c r="CM14962" s="111"/>
      <c r="CQ14962" s="111"/>
      <c r="EF14962"/>
      <c r="EG14962"/>
      <c r="EH14962"/>
      <c r="EI14962"/>
      <c r="EJ14962"/>
      <c r="EK14962"/>
    </row>
    <row r="14963" spans="1:141" s="116" customFormat="1">
      <c r="A14963" s="136"/>
      <c r="CM14963" s="111"/>
      <c r="CQ14963" s="111"/>
      <c r="EF14963"/>
      <c r="EG14963"/>
      <c r="EH14963"/>
      <c r="EI14963"/>
      <c r="EJ14963"/>
      <c r="EK14963"/>
    </row>
    <row r="14964" spans="1:141" s="116" customFormat="1">
      <c r="A14964" s="136"/>
      <c r="CM14964" s="111"/>
      <c r="CQ14964" s="111"/>
      <c r="EF14964"/>
      <c r="EG14964"/>
      <c r="EH14964"/>
      <c r="EI14964"/>
      <c r="EJ14964"/>
      <c r="EK14964"/>
    </row>
    <row r="14965" spans="1:141" s="116" customFormat="1">
      <c r="A14965" s="136"/>
      <c r="CM14965" s="111"/>
      <c r="CQ14965" s="111"/>
      <c r="EF14965"/>
      <c r="EG14965"/>
      <c r="EH14965"/>
      <c r="EI14965"/>
      <c r="EJ14965"/>
      <c r="EK14965"/>
    </row>
    <row r="14966" spans="1:141" s="116" customFormat="1">
      <c r="A14966" s="136"/>
      <c r="CM14966" s="111"/>
      <c r="CQ14966" s="111"/>
      <c r="EF14966"/>
      <c r="EG14966"/>
      <c r="EH14966"/>
      <c r="EI14966"/>
      <c r="EJ14966"/>
      <c r="EK14966"/>
    </row>
    <row r="14967" spans="1:141" s="116" customFormat="1">
      <c r="A14967" s="136"/>
      <c r="CM14967" s="111"/>
      <c r="CQ14967" s="111"/>
      <c r="EF14967"/>
      <c r="EG14967"/>
      <c r="EH14967"/>
      <c r="EI14967"/>
      <c r="EJ14967"/>
      <c r="EK14967"/>
    </row>
    <row r="14968" spans="1:141" s="116" customFormat="1">
      <c r="A14968" s="136"/>
      <c r="CM14968" s="111"/>
      <c r="CQ14968" s="111"/>
      <c r="EF14968"/>
      <c r="EG14968"/>
      <c r="EH14968"/>
      <c r="EI14968"/>
      <c r="EJ14968"/>
      <c r="EK14968"/>
    </row>
    <row r="14969" spans="1:141" s="116" customFormat="1">
      <c r="A14969" s="136"/>
      <c r="CM14969" s="111"/>
      <c r="CQ14969" s="111"/>
      <c r="EF14969"/>
      <c r="EG14969"/>
      <c r="EH14969"/>
      <c r="EI14969"/>
      <c r="EJ14969"/>
      <c r="EK14969"/>
    </row>
    <row r="14970" spans="1:141" s="116" customFormat="1">
      <c r="A14970" s="136"/>
      <c r="CM14970" s="111"/>
      <c r="CQ14970" s="111"/>
      <c r="EF14970"/>
      <c r="EG14970"/>
      <c r="EH14970"/>
      <c r="EI14970"/>
      <c r="EJ14970"/>
      <c r="EK14970"/>
    </row>
    <row r="14971" spans="1:141" s="116" customFormat="1">
      <c r="A14971" s="136"/>
      <c r="CM14971" s="111"/>
      <c r="CQ14971" s="111"/>
      <c r="EF14971"/>
      <c r="EG14971"/>
      <c r="EH14971"/>
      <c r="EI14971"/>
      <c r="EJ14971"/>
      <c r="EK14971"/>
    </row>
    <row r="14972" spans="1:141" s="116" customFormat="1">
      <c r="A14972" s="136"/>
      <c r="CM14972" s="111"/>
      <c r="CQ14972" s="111"/>
      <c r="EF14972"/>
      <c r="EG14972"/>
      <c r="EH14972"/>
      <c r="EI14972"/>
      <c r="EJ14972"/>
      <c r="EK14972"/>
    </row>
    <row r="14973" spans="1:141" s="116" customFormat="1">
      <c r="A14973" s="136"/>
      <c r="CM14973" s="111"/>
      <c r="CQ14973" s="111"/>
      <c r="EF14973"/>
      <c r="EG14973"/>
      <c r="EH14973"/>
      <c r="EI14973"/>
      <c r="EJ14973"/>
      <c r="EK14973"/>
    </row>
    <row r="14974" spans="1:141" s="116" customFormat="1">
      <c r="A14974" s="136"/>
      <c r="CM14974" s="111"/>
      <c r="CQ14974" s="111"/>
      <c r="EF14974"/>
      <c r="EG14974"/>
      <c r="EH14974"/>
      <c r="EI14974"/>
      <c r="EJ14974"/>
      <c r="EK14974"/>
    </row>
    <row r="14975" spans="1:141" s="116" customFormat="1">
      <c r="A14975" s="136"/>
      <c r="CM14975" s="111"/>
      <c r="CQ14975" s="111"/>
      <c r="EF14975"/>
      <c r="EG14975"/>
      <c r="EH14975"/>
      <c r="EI14975"/>
      <c r="EJ14975"/>
      <c r="EK14975"/>
    </row>
    <row r="14976" spans="1:141" s="116" customFormat="1">
      <c r="A14976" s="136"/>
      <c r="CM14976" s="111"/>
      <c r="CQ14976" s="111"/>
      <c r="EF14976"/>
      <c r="EG14976"/>
      <c r="EH14976"/>
      <c r="EI14976"/>
      <c r="EJ14976"/>
      <c r="EK14976"/>
    </row>
    <row r="14977" spans="1:141" s="116" customFormat="1">
      <c r="A14977" s="136"/>
      <c r="CM14977" s="111"/>
      <c r="CQ14977" s="111"/>
      <c r="EF14977"/>
      <c r="EG14977"/>
      <c r="EH14977"/>
      <c r="EI14977"/>
      <c r="EJ14977"/>
      <c r="EK14977"/>
    </row>
    <row r="14978" spans="1:141" s="116" customFormat="1">
      <c r="A14978" s="136"/>
      <c r="CM14978" s="111"/>
      <c r="CQ14978" s="111"/>
      <c r="EF14978"/>
      <c r="EG14978"/>
      <c r="EH14978"/>
      <c r="EI14978"/>
      <c r="EJ14978"/>
      <c r="EK14978"/>
    </row>
    <row r="14979" spans="1:141" s="116" customFormat="1">
      <c r="A14979" s="136"/>
      <c r="CM14979" s="111"/>
      <c r="CQ14979" s="111"/>
      <c r="EF14979"/>
      <c r="EG14979"/>
      <c r="EH14979"/>
      <c r="EI14979"/>
      <c r="EJ14979"/>
      <c r="EK14979"/>
    </row>
    <row r="14980" spans="1:141" s="116" customFormat="1">
      <c r="A14980" s="136"/>
      <c r="CM14980" s="111"/>
      <c r="CQ14980" s="111"/>
      <c r="EF14980"/>
      <c r="EG14980"/>
      <c r="EH14980"/>
      <c r="EI14980"/>
      <c r="EJ14980"/>
      <c r="EK14980"/>
    </row>
    <row r="14981" spans="1:141" s="116" customFormat="1">
      <c r="A14981" s="136"/>
      <c r="CM14981" s="111"/>
      <c r="CQ14981" s="111"/>
      <c r="EF14981"/>
      <c r="EG14981"/>
      <c r="EH14981"/>
      <c r="EI14981"/>
      <c r="EJ14981"/>
      <c r="EK14981"/>
    </row>
    <row r="14982" spans="1:141" s="116" customFormat="1">
      <c r="A14982" s="136"/>
      <c r="CM14982" s="111"/>
      <c r="CQ14982" s="111"/>
      <c r="EF14982"/>
      <c r="EG14982"/>
      <c r="EH14982"/>
      <c r="EI14982"/>
      <c r="EJ14982"/>
      <c r="EK14982"/>
    </row>
    <row r="14983" spans="1:141" s="116" customFormat="1">
      <c r="A14983" s="136"/>
      <c r="CM14983" s="111"/>
      <c r="CQ14983" s="111"/>
      <c r="EF14983"/>
      <c r="EG14983"/>
      <c r="EH14983"/>
      <c r="EI14983"/>
      <c r="EJ14983"/>
      <c r="EK14983"/>
    </row>
    <row r="14984" spans="1:141" s="116" customFormat="1">
      <c r="A14984" s="136"/>
      <c r="CM14984" s="111"/>
      <c r="CQ14984" s="111"/>
      <c r="EF14984"/>
      <c r="EG14984"/>
      <c r="EH14984"/>
      <c r="EI14984"/>
      <c r="EJ14984"/>
      <c r="EK14984"/>
    </row>
    <row r="14985" spans="1:141" s="116" customFormat="1">
      <c r="A14985" s="136"/>
      <c r="CM14985" s="111"/>
      <c r="CQ14985" s="111"/>
      <c r="EF14985"/>
      <c r="EG14985"/>
      <c r="EH14985"/>
      <c r="EI14985"/>
      <c r="EJ14985"/>
      <c r="EK14985"/>
    </row>
    <row r="14986" spans="1:141" s="116" customFormat="1">
      <c r="A14986" s="136"/>
      <c r="CM14986" s="111"/>
      <c r="CQ14986" s="111"/>
      <c r="EF14986"/>
      <c r="EG14986"/>
      <c r="EH14986"/>
      <c r="EI14986"/>
      <c r="EJ14986"/>
      <c r="EK14986"/>
    </row>
    <row r="14987" spans="1:141" s="116" customFormat="1">
      <c r="A14987" s="136"/>
      <c r="CM14987" s="111"/>
      <c r="CQ14987" s="111"/>
      <c r="EF14987"/>
      <c r="EG14987"/>
      <c r="EH14987"/>
      <c r="EI14987"/>
      <c r="EJ14987"/>
      <c r="EK14987"/>
    </row>
    <row r="14988" spans="1:141" s="116" customFormat="1">
      <c r="A14988" s="136"/>
      <c r="CM14988" s="111"/>
      <c r="CQ14988" s="111"/>
      <c r="EF14988"/>
      <c r="EG14988"/>
      <c r="EH14988"/>
      <c r="EI14988"/>
      <c r="EJ14988"/>
      <c r="EK14988"/>
    </row>
    <row r="14989" spans="1:141" s="116" customFormat="1">
      <c r="A14989" s="136"/>
      <c r="CM14989" s="111"/>
      <c r="CQ14989" s="111"/>
      <c r="EF14989"/>
      <c r="EG14989"/>
      <c r="EH14989"/>
      <c r="EI14989"/>
      <c r="EJ14989"/>
      <c r="EK14989"/>
    </row>
    <row r="14990" spans="1:141" s="116" customFormat="1">
      <c r="A14990" s="136"/>
      <c r="CM14990" s="111"/>
      <c r="CQ14990" s="111"/>
      <c r="EF14990"/>
      <c r="EG14990"/>
      <c r="EH14990"/>
      <c r="EI14990"/>
      <c r="EJ14990"/>
      <c r="EK14990"/>
    </row>
    <row r="14991" spans="1:141" s="116" customFormat="1">
      <c r="A14991" s="136"/>
      <c r="CM14991" s="111"/>
      <c r="CQ14991" s="111"/>
      <c r="EF14991"/>
      <c r="EG14991"/>
      <c r="EH14991"/>
      <c r="EI14991"/>
      <c r="EJ14991"/>
      <c r="EK14991"/>
    </row>
    <row r="14992" spans="1:141" s="116" customFormat="1">
      <c r="A14992" s="136"/>
      <c r="CM14992" s="111"/>
      <c r="CQ14992" s="111"/>
      <c r="EF14992"/>
      <c r="EG14992"/>
      <c r="EH14992"/>
      <c r="EI14992"/>
      <c r="EJ14992"/>
      <c r="EK14992"/>
    </row>
    <row r="14993" spans="1:141" s="116" customFormat="1">
      <c r="A14993" s="136"/>
      <c r="CM14993" s="111"/>
      <c r="CQ14993" s="111"/>
      <c r="EF14993"/>
      <c r="EG14993"/>
      <c r="EH14993"/>
      <c r="EI14993"/>
      <c r="EJ14993"/>
      <c r="EK14993"/>
    </row>
    <row r="14994" spans="1:141" s="116" customFormat="1">
      <c r="A14994" s="136"/>
      <c r="CM14994" s="111"/>
      <c r="CQ14994" s="111"/>
      <c r="EF14994"/>
      <c r="EG14994"/>
      <c r="EH14994"/>
      <c r="EI14994"/>
      <c r="EJ14994"/>
      <c r="EK14994"/>
    </row>
    <row r="14995" spans="1:141" s="116" customFormat="1">
      <c r="A14995" s="136"/>
      <c r="CM14995" s="111"/>
      <c r="CQ14995" s="111"/>
      <c r="EF14995"/>
      <c r="EG14995"/>
      <c r="EH14995"/>
      <c r="EI14995"/>
      <c r="EJ14995"/>
      <c r="EK14995"/>
    </row>
    <row r="14996" spans="1:141" s="116" customFormat="1">
      <c r="A14996" s="136"/>
      <c r="CM14996" s="111"/>
      <c r="CQ14996" s="111"/>
      <c r="EF14996"/>
      <c r="EG14996"/>
      <c r="EH14996"/>
      <c r="EI14996"/>
      <c r="EJ14996"/>
      <c r="EK14996"/>
    </row>
    <row r="14997" spans="1:141" s="116" customFormat="1">
      <c r="A14997" s="136"/>
      <c r="CM14997" s="111"/>
      <c r="CQ14997" s="111"/>
      <c r="EF14997"/>
      <c r="EG14997"/>
      <c r="EH14997"/>
      <c r="EI14997"/>
      <c r="EJ14997"/>
      <c r="EK14997"/>
    </row>
    <row r="14998" spans="1:141" s="116" customFormat="1">
      <c r="A14998" s="136"/>
      <c r="CM14998" s="111"/>
      <c r="CQ14998" s="111"/>
      <c r="EF14998"/>
      <c r="EG14998"/>
      <c r="EH14998"/>
      <c r="EI14998"/>
      <c r="EJ14998"/>
      <c r="EK14998"/>
    </row>
    <row r="14999" spans="1:141" s="116" customFormat="1">
      <c r="A14999" s="136"/>
      <c r="CM14999" s="111"/>
      <c r="CQ14999" s="111"/>
      <c r="EF14999"/>
      <c r="EG14999"/>
      <c r="EH14999"/>
      <c r="EI14999"/>
      <c r="EJ14999"/>
      <c r="EK14999"/>
    </row>
    <row r="15000" spans="1:141" s="116" customFormat="1">
      <c r="A15000" s="136"/>
      <c r="CM15000" s="111"/>
      <c r="CQ15000" s="111"/>
      <c r="EF15000"/>
      <c r="EG15000"/>
      <c r="EH15000"/>
      <c r="EI15000"/>
      <c r="EJ15000"/>
      <c r="EK15000"/>
    </row>
    <row r="15001" spans="1:141" s="116" customFormat="1">
      <c r="A15001" s="136"/>
      <c r="CM15001" s="111"/>
      <c r="CQ15001" s="111"/>
      <c r="EF15001"/>
      <c r="EG15001"/>
      <c r="EH15001"/>
      <c r="EI15001"/>
      <c r="EJ15001"/>
      <c r="EK15001"/>
    </row>
    <row r="15002" spans="1:141" s="116" customFormat="1">
      <c r="A15002" s="136"/>
      <c r="CM15002" s="111"/>
      <c r="CQ15002" s="111"/>
      <c r="EF15002"/>
      <c r="EG15002"/>
      <c r="EH15002"/>
      <c r="EI15002"/>
      <c r="EJ15002"/>
      <c r="EK15002"/>
    </row>
    <row r="15003" spans="1:141" s="116" customFormat="1">
      <c r="A15003" s="136"/>
      <c r="CM15003" s="111"/>
      <c r="CQ15003" s="111"/>
      <c r="EF15003"/>
      <c r="EG15003"/>
      <c r="EH15003"/>
      <c r="EI15003"/>
      <c r="EJ15003"/>
      <c r="EK15003"/>
    </row>
    <row r="15004" spans="1:141" s="116" customFormat="1">
      <c r="A15004" s="136"/>
      <c r="CM15004" s="111"/>
      <c r="CQ15004" s="111"/>
      <c r="EF15004"/>
      <c r="EG15004"/>
      <c r="EH15004"/>
      <c r="EI15004"/>
      <c r="EJ15004"/>
      <c r="EK15004"/>
    </row>
    <row r="15005" spans="1:141" s="116" customFormat="1">
      <c r="A15005" s="136"/>
      <c r="CM15005" s="111"/>
      <c r="CQ15005" s="111"/>
      <c r="EF15005"/>
      <c r="EG15005"/>
      <c r="EH15005"/>
      <c r="EI15005"/>
      <c r="EJ15005"/>
      <c r="EK15005"/>
    </row>
    <row r="15006" spans="1:141" s="116" customFormat="1">
      <c r="A15006" s="136"/>
      <c r="CM15006" s="111"/>
      <c r="CQ15006" s="111"/>
      <c r="EF15006"/>
      <c r="EG15006"/>
      <c r="EH15006"/>
      <c r="EI15006"/>
      <c r="EJ15006"/>
      <c r="EK15006"/>
    </row>
    <row r="15007" spans="1:141" s="116" customFormat="1">
      <c r="A15007" s="136"/>
      <c r="CM15007" s="111"/>
      <c r="CQ15007" s="111"/>
      <c r="EF15007"/>
      <c r="EG15007"/>
      <c r="EH15007"/>
      <c r="EI15007"/>
      <c r="EJ15007"/>
      <c r="EK15007"/>
    </row>
    <row r="15008" spans="1:141" s="116" customFormat="1">
      <c r="A15008" s="136"/>
      <c r="CM15008" s="111"/>
      <c r="CQ15008" s="111"/>
      <c r="EF15008"/>
      <c r="EG15008"/>
      <c r="EH15008"/>
      <c r="EI15008"/>
      <c r="EJ15008"/>
      <c r="EK15008"/>
    </row>
    <row r="15009" spans="1:141" s="116" customFormat="1">
      <c r="A15009" s="136"/>
      <c r="CM15009" s="111"/>
      <c r="CQ15009" s="111"/>
      <c r="EF15009"/>
      <c r="EG15009"/>
      <c r="EH15009"/>
      <c r="EI15009"/>
      <c r="EJ15009"/>
      <c r="EK15009"/>
    </row>
    <row r="15010" spans="1:141" s="116" customFormat="1">
      <c r="A15010" s="136"/>
      <c r="CM15010" s="111"/>
      <c r="CQ15010" s="111"/>
      <c r="EF15010"/>
      <c r="EG15010"/>
      <c r="EH15010"/>
      <c r="EI15010"/>
      <c r="EJ15010"/>
      <c r="EK15010"/>
    </row>
    <row r="15011" spans="1:141" s="116" customFormat="1">
      <c r="A15011" s="136"/>
      <c r="CM15011" s="111"/>
      <c r="CQ15011" s="111"/>
      <c r="EF15011"/>
      <c r="EG15011"/>
      <c r="EH15011"/>
      <c r="EI15011"/>
      <c r="EJ15011"/>
      <c r="EK15011"/>
    </row>
    <row r="15012" spans="1:141" s="116" customFormat="1">
      <c r="A15012" s="136"/>
      <c r="CM15012" s="111"/>
      <c r="CQ15012" s="111"/>
      <c r="EF15012"/>
      <c r="EG15012"/>
      <c r="EH15012"/>
      <c r="EI15012"/>
      <c r="EJ15012"/>
      <c r="EK15012"/>
    </row>
    <row r="15013" spans="1:141" s="116" customFormat="1">
      <c r="A15013" s="136"/>
      <c r="CM15013" s="111"/>
      <c r="CQ15013" s="111"/>
      <c r="EF15013"/>
      <c r="EG15013"/>
      <c r="EH15013"/>
      <c r="EI15013"/>
      <c r="EJ15013"/>
      <c r="EK15013"/>
    </row>
    <row r="15014" spans="1:141" s="116" customFormat="1">
      <c r="A15014" s="136"/>
      <c r="CM15014" s="111"/>
      <c r="CQ15014" s="111"/>
      <c r="EF15014"/>
      <c r="EG15014"/>
      <c r="EH15014"/>
      <c r="EI15014"/>
      <c r="EJ15014"/>
      <c r="EK15014"/>
    </row>
    <row r="15015" spans="1:141" s="116" customFormat="1">
      <c r="A15015" s="136"/>
      <c r="CM15015" s="111"/>
      <c r="CQ15015" s="111"/>
      <c r="EF15015"/>
      <c r="EG15015"/>
      <c r="EH15015"/>
      <c r="EI15015"/>
      <c r="EJ15015"/>
      <c r="EK15015"/>
    </row>
    <row r="15016" spans="1:141" s="116" customFormat="1">
      <c r="A15016" s="136"/>
      <c r="CM15016" s="111"/>
      <c r="CQ15016" s="111"/>
      <c r="EF15016"/>
      <c r="EG15016"/>
      <c r="EH15016"/>
      <c r="EI15016"/>
      <c r="EJ15016"/>
      <c r="EK15016"/>
    </row>
    <row r="15017" spans="1:141" s="116" customFormat="1">
      <c r="A15017" s="136"/>
      <c r="CM15017" s="111"/>
      <c r="CQ15017" s="111"/>
      <c r="EF15017"/>
      <c r="EG15017"/>
      <c r="EH15017"/>
      <c r="EI15017"/>
      <c r="EJ15017"/>
      <c r="EK15017"/>
    </row>
    <row r="15018" spans="1:141" s="116" customFormat="1">
      <c r="A15018" s="136"/>
      <c r="CM15018" s="111"/>
      <c r="CQ15018" s="111"/>
      <c r="EF15018"/>
      <c r="EG15018"/>
      <c r="EH15018"/>
      <c r="EI15018"/>
      <c r="EJ15018"/>
      <c r="EK15018"/>
    </row>
    <row r="15019" spans="1:141" s="116" customFormat="1">
      <c r="A15019" s="136"/>
      <c r="CM15019" s="111"/>
      <c r="CQ15019" s="111"/>
      <c r="EF15019"/>
      <c r="EG15019"/>
      <c r="EH15019"/>
      <c r="EI15019"/>
      <c r="EJ15019"/>
      <c r="EK15019"/>
    </row>
    <row r="15020" spans="1:141" s="116" customFormat="1">
      <c r="A15020" s="136"/>
      <c r="CM15020" s="111"/>
      <c r="CQ15020" s="111"/>
      <c r="EF15020"/>
      <c r="EG15020"/>
      <c r="EH15020"/>
      <c r="EI15020"/>
      <c r="EJ15020"/>
      <c r="EK15020"/>
    </row>
    <row r="15021" spans="1:141" s="116" customFormat="1">
      <c r="A15021" s="136"/>
      <c r="CM15021" s="111"/>
      <c r="CQ15021" s="111"/>
      <c r="EF15021"/>
      <c r="EG15021"/>
      <c r="EH15021"/>
      <c r="EI15021"/>
      <c r="EJ15021"/>
      <c r="EK15021"/>
    </row>
    <row r="15022" spans="1:141" s="116" customFormat="1">
      <c r="A15022" s="136"/>
      <c r="CM15022" s="111"/>
      <c r="CQ15022" s="111"/>
      <c r="EF15022"/>
      <c r="EG15022"/>
      <c r="EH15022"/>
      <c r="EI15022"/>
      <c r="EJ15022"/>
      <c r="EK15022"/>
    </row>
    <row r="15023" spans="1:141" s="116" customFormat="1">
      <c r="A15023" s="136"/>
      <c r="CM15023" s="111"/>
      <c r="CQ15023" s="111"/>
      <c r="EF15023"/>
      <c r="EG15023"/>
      <c r="EH15023"/>
      <c r="EI15023"/>
      <c r="EJ15023"/>
      <c r="EK15023"/>
    </row>
    <row r="15024" spans="1:141" s="116" customFormat="1">
      <c r="A15024" s="136"/>
      <c r="CM15024" s="111"/>
      <c r="CQ15024" s="111"/>
      <c r="EF15024"/>
      <c r="EG15024"/>
      <c r="EH15024"/>
      <c r="EI15024"/>
      <c r="EJ15024"/>
      <c r="EK15024"/>
    </row>
    <row r="15025" spans="1:141" s="116" customFormat="1">
      <c r="A15025" s="136"/>
      <c r="CM15025" s="111"/>
      <c r="CQ15025" s="111"/>
      <c r="EF15025"/>
      <c r="EG15025"/>
      <c r="EH15025"/>
      <c r="EI15025"/>
      <c r="EJ15025"/>
      <c r="EK15025"/>
    </row>
    <row r="15026" spans="1:141" s="116" customFormat="1">
      <c r="A15026" s="136"/>
      <c r="CM15026" s="111"/>
      <c r="CQ15026" s="111"/>
      <c r="EF15026"/>
      <c r="EG15026"/>
      <c r="EH15026"/>
      <c r="EI15026"/>
      <c r="EJ15026"/>
      <c r="EK15026"/>
    </row>
    <row r="15027" spans="1:141" s="116" customFormat="1">
      <c r="A15027" s="136"/>
      <c r="CM15027" s="111"/>
      <c r="CQ15027" s="111"/>
      <c r="EF15027"/>
      <c r="EG15027"/>
      <c r="EH15027"/>
      <c r="EI15027"/>
      <c r="EJ15027"/>
      <c r="EK15027"/>
    </row>
    <row r="15028" spans="1:141" s="116" customFormat="1">
      <c r="A15028" s="136"/>
      <c r="CM15028" s="111"/>
      <c r="CQ15028" s="111"/>
      <c r="EF15028"/>
      <c r="EG15028"/>
      <c r="EH15028"/>
      <c r="EI15028"/>
      <c r="EJ15028"/>
      <c r="EK15028"/>
    </row>
    <row r="15029" spans="1:141" s="116" customFormat="1">
      <c r="A15029" s="136"/>
      <c r="CM15029" s="111"/>
      <c r="CQ15029" s="111"/>
      <c r="EF15029"/>
      <c r="EG15029"/>
      <c r="EH15029"/>
      <c r="EI15029"/>
      <c r="EJ15029"/>
      <c r="EK15029"/>
    </row>
    <row r="15030" spans="1:141" s="116" customFormat="1">
      <c r="A15030" s="136"/>
      <c r="CM15030" s="111"/>
      <c r="CQ15030" s="111"/>
      <c r="EF15030"/>
      <c r="EG15030"/>
      <c r="EH15030"/>
      <c r="EI15030"/>
      <c r="EJ15030"/>
      <c r="EK15030"/>
    </row>
    <row r="15031" spans="1:141" s="116" customFormat="1">
      <c r="A15031" s="136"/>
      <c r="CM15031" s="111"/>
      <c r="CQ15031" s="111"/>
      <c r="EF15031"/>
      <c r="EG15031"/>
      <c r="EH15031"/>
      <c r="EI15031"/>
      <c r="EJ15031"/>
      <c r="EK15031"/>
    </row>
    <row r="15032" spans="1:141" s="116" customFormat="1">
      <c r="A15032" s="136"/>
      <c r="CM15032" s="111"/>
      <c r="CQ15032" s="111"/>
      <c r="EF15032"/>
      <c r="EG15032"/>
      <c r="EH15032"/>
      <c r="EI15032"/>
      <c r="EJ15032"/>
      <c r="EK15032"/>
    </row>
    <row r="15033" spans="1:141" s="116" customFormat="1">
      <c r="A15033" s="136"/>
      <c r="CM15033" s="111"/>
      <c r="CQ15033" s="111"/>
      <c r="EF15033"/>
      <c r="EG15033"/>
      <c r="EH15033"/>
      <c r="EI15033"/>
      <c r="EJ15033"/>
      <c r="EK15033"/>
    </row>
    <row r="15034" spans="1:141" s="116" customFormat="1">
      <c r="A15034" s="136"/>
      <c r="CM15034" s="111"/>
      <c r="CQ15034" s="111"/>
      <c r="EF15034"/>
      <c r="EG15034"/>
      <c r="EH15034"/>
      <c r="EI15034"/>
      <c r="EJ15034"/>
      <c r="EK15034"/>
    </row>
    <row r="15035" spans="1:141" s="116" customFormat="1">
      <c r="A15035" s="136"/>
      <c r="CM15035" s="111"/>
      <c r="CQ15035" s="111"/>
      <c r="EF15035"/>
      <c r="EG15035"/>
      <c r="EH15035"/>
      <c r="EI15035"/>
      <c r="EJ15035"/>
      <c r="EK15035"/>
    </row>
    <row r="15036" spans="1:141" s="116" customFormat="1">
      <c r="A15036" s="136"/>
      <c r="CM15036" s="111"/>
      <c r="CQ15036" s="111"/>
      <c r="EF15036"/>
      <c r="EG15036"/>
      <c r="EH15036"/>
      <c r="EI15036"/>
      <c r="EJ15036"/>
      <c r="EK15036"/>
    </row>
    <row r="15037" spans="1:141" s="116" customFormat="1">
      <c r="A15037" s="136"/>
      <c r="CM15037" s="111"/>
      <c r="CQ15037" s="111"/>
      <c r="EF15037"/>
      <c r="EG15037"/>
      <c r="EH15037"/>
      <c r="EI15037"/>
      <c r="EJ15037"/>
      <c r="EK15037"/>
    </row>
    <row r="15038" spans="1:141" s="116" customFormat="1">
      <c r="A15038" s="136"/>
      <c r="CM15038" s="111"/>
      <c r="CQ15038" s="111"/>
      <c r="EF15038"/>
      <c r="EG15038"/>
      <c r="EH15038"/>
      <c r="EI15038"/>
      <c r="EJ15038"/>
      <c r="EK15038"/>
    </row>
    <row r="15039" spans="1:141" s="116" customFormat="1">
      <c r="A15039" s="136"/>
      <c r="CM15039" s="111"/>
      <c r="CQ15039" s="111"/>
      <c r="EF15039"/>
      <c r="EG15039"/>
      <c r="EH15039"/>
      <c r="EI15039"/>
      <c r="EJ15039"/>
      <c r="EK15039"/>
    </row>
    <row r="15040" spans="1:141" s="116" customFormat="1">
      <c r="A15040" s="136"/>
      <c r="CM15040" s="111"/>
      <c r="CQ15040" s="111"/>
      <c r="EF15040"/>
      <c r="EG15040"/>
      <c r="EH15040"/>
      <c r="EI15040"/>
      <c r="EJ15040"/>
      <c r="EK15040"/>
    </row>
    <row r="15041" spans="1:141" s="116" customFormat="1">
      <c r="A15041" s="136"/>
      <c r="CM15041" s="111"/>
      <c r="CQ15041" s="111"/>
      <c r="EF15041"/>
      <c r="EG15041"/>
      <c r="EH15041"/>
      <c r="EI15041"/>
      <c r="EJ15041"/>
      <c r="EK15041"/>
    </row>
    <row r="15042" spans="1:141" s="116" customFormat="1">
      <c r="A15042" s="136"/>
      <c r="CM15042" s="111"/>
      <c r="CQ15042" s="111"/>
      <c r="EF15042"/>
      <c r="EG15042"/>
      <c r="EH15042"/>
      <c r="EI15042"/>
      <c r="EJ15042"/>
      <c r="EK15042"/>
    </row>
    <row r="15043" spans="1:141" s="116" customFormat="1">
      <c r="A15043" s="136"/>
      <c r="CM15043" s="111"/>
      <c r="CQ15043" s="111"/>
      <c r="EF15043"/>
      <c r="EG15043"/>
      <c r="EH15043"/>
      <c r="EI15043"/>
      <c r="EJ15043"/>
      <c r="EK15043"/>
    </row>
    <row r="15044" spans="1:141" s="116" customFormat="1">
      <c r="A15044" s="136"/>
      <c r="CM15044" s="111"/>
      <c r="CQ15044" s="111"/>
      <c r="EF15044"/>
      <c r="EG15044"/>
      <c r="EH15044"/>
      <c r="EI15044"/>
      <c r="EJ15044"/>
      <c r="EK15044"/>
    </row>
    <row r="15045" spans="1:141" s="116" customFormat="1">
      <c r="A15045" s="136"/>
      <c r="CM15045" s="111"/>
      <c r="CQ15045" s="111"/>
      <c r="EF15045"/>
      <c r="EG15045"/>
      <c r="EH15045"/>
      <c r="EI15045"/>
      <c r="EJ15045"/>
      <c r="EK15045"/>
    </row>
    <row r="15046" spans="1:141" s="116" customFormat="1">
      <c r="A15046" s="136"/>
      <c r="CM15046" s="111"/>
      <c r="CQ15046" s="111"/>
      <c r="EF15046"/>
      <c r="EG15046"/>
      <c r="EH15046"/>
      <c r="EI15046"/>
      <c r="EJ15046"/>
      <c r="EK15046"/>
    </row>
    <row r="15047" spans="1:141" s="116" customFormat="1">
      <c r="A15047" s="136"/>
      <c r="CM15047" s="111"/>
      <c r="CQ15047" s="111"/>
      <c r="EF15047"/>
      <c r="EG15047"/>
      <c r="EH15047"/>
      <c r="EI15047"/>
      <c r="EJ15047"/>
      <c r="EK15047"/>
    </row>
    <row r="15048" spans="1:141" s="116" customFormat="1">
      <c r="A15048" s="136"/>
      <c r="CM15048" s="111"/>
      <c r="CQ15048" s="111"/>
      <c r="EF15048"/>
      <c r="EG15048"/>
      <c r="EH15048"/>
      <c r="EI15048"/>
      <c r="EJ15048"/>
      <c r="EK15048"/>
    </row>
    <row r="15049" spans="1:141" s="116" customFormat="1">
      <c r="A15049" s="136"/>
      <c r="CM15049" s="111"/>
      <c r="CQ15049" s="111"/>
      <c r="EF15049"/>
      <c r="EG15049"/>
      <c r="EH15049"/>
      <c r="EI15049"/>
      <c r="EJ15049"/>
      <c r="EK15049"/>
    </row>
    <row r="15050" spans="1:141" s="116" customFormat="1">
      <c r="A15050" s="136"/>
      <c r="CM15050" s="111"/>
      <c r="CQ15050" s="111"/>
      <c r="EF15050"/>
      <c r="EG15050"/>
      <c r="EH15050"/>
      <c r="EI15050"/>
      <c r="EJ15050"/>
      <c r="EK15050"/>
    </row>
    <row r="15051" spans="1:141" s="116" customFormat="1">
      <c r="A15051" s="136"/>
      <c r="CM15051" s="111"/>
      <c r="CQ15051" s="111"/>
      <c r="EF15051"/>
      <c r="EG15051"/>
      <c r="EH15051"/>
      <c r="EI15051"/>
      <c r="EJ15051"/>
      <c r="EK15051"/>
    </row>
    <row r="15052" spans="1:141" s="116" customFormat="1">
      <c r="A15052" s="136"/>
      <c r="CM15052" s="111"/>
      <c r="CQ15052" s="111"/>
      <c r="EF15052"/>
      <c r="EG15052"/>
      <c r="EH15052"/>
      <c r="EI15052"/>
      <c r="EJ15052"/>
      <c r="EK15052"/>
    </row>
    <row r="15053" spans="1:141" s="116" customFormat="1">
      <c r="A15053" s="136"/>
      <c r="CM15053" s="111"/>
      <c r="CQ15053" s="111"/>
      <c r="EF15053"/>
      <c r="EG15053"/>
      <c r="EH15053"/>
      <c r="EI15053"/>
      <c r="EJ15053"/>
      <c r="EK15053"/>
    </row>
    <row r="15054" spans="1:141" s="116" customFormat="1">
      <c r="A15054" s="136"/>
      <c r="CM15054" s="111"/>
      <c r="CQ15054" s="111"/>
      <c r="EF15054"/>
      <c r="EG15054"/>
      <c r="EH15054"/>
      <c r="EI15054"/>
      <c r="EJ15054"/>
      <c r="EK15054"/>
    </row>
    <row r="15055" spans="1:141" s="116" customFormat="1">
      <c r="A15055" s="136"/>
      <c r="CM15055" s="111"/>
      <c r="CQ15055" s="111"/>
      <c r="EF15055"/>
      <c r="EG15055"/>
      <c r="EH15055"/>
      <c r="EI15055"/>
      <c r="EJ15055"/>
      <c r="EK15055"/>
    </row>
    <row r="15056" spans="1:141" s="116" customFormat="1">
      <c r="A15056" s="136"/>
      <c r="CM15056" s="111"/>
      <c r="CQ15056" s="111"/>
      <c r="EF15056"/>
      <c r="EG15056"/>
      <c r="EH15056"/>
      <c r="EI15056"/>
      <c r="EJ15056"/>
      <c r="EK15056"/>
    </row>
    <row r="15057" spans="1:141" s="116" customFormat="1">
      <c r="A15057" s="136"/>
      <c r="CM15057" s="111"/>
      <c r="CQ15057" s="111"/>
      <c r="EF15057"/>
      <c r="EG15057"/>
      <c r="EH15057"/>
      <c r="EI15057"/>
      <c r="EJ15057"/>
      <c r="EK15057"/>
    </row>
    <row r="15058" spans="1:141" s="116" customFormat="1">
      <c r="A15058" s="136"/>
      <c r="CM15058" s="111"/>
      <c r="CQ15058" s="111"/>
      <c r="EF15058"/>
      <c r="EG15058"/>
      <c r="EH15058"/>
      <c r="EI15058"/>
      <c r="EJ15058"/>
      <c r="EK15058"/>
    </row>
    <row r="15059" spans="1:141" s="116" customFormat="1">
      <c r="A15059" s="136"/>
      <c r="CM15059" s="111"/>
      <c r="CQ15059" s="111"/>
      <c r="EF15059"/>
      <c r="EG15059"/>
      <c r="EH15059"/>
      <c r="EI15059"/>
      <c r="EJ15059"/>
      <c r="EK15059"/>
    </row>
    <row r="15060" spans="1:141" s="116" customFormat="1">
      <c r="A15060" s="136"/>
      <c r="CM15060" s="111"/>
      <c r="CQ15060" s="111"/>
      <c r="EF15060"/>
      <c r="EG15060"/>
      <c r="EH15060"/>
      <c r="EI15060"/>
      <c r="EJ15060"/>
      <c r="EK15060"/>
    </row>
    <row r="15061" spans="1:141" s="116" customFormat="1">
      <c r="A15061" s="136"/>
      <c r="CM15061" s="111"/>
      <c r="CQ15061" s="111"/>
      <c r="EF15061"/>
      <c r="EG15061"/>
      <c r="EH15061"/>
      <c r="EI15061"/>
      <c r="EJ15061"/>
      <c r="EK15061"/>
    </row>
    <row r="15062" spans="1:141" s="116" customFormat="1">
      <c r="A15062" s="136"/>
      <c r="CM15062" s="111"/>
      <c r="CQ15062" s="111"/>
      <c r="EF15062"/>
      <c r="EG15062"/>
      <c r="EH15062"/>
      <c r="EI15062"/>
      <c r="EJ15062"/>
      <c r="EK15062"/>
    </row>
    <row r="15063" spans="1:141" s="116" customFormat="1">
      <c r="A15063" s="136"/>
      <c r="CM15063" s="111"/>
      <c r="CQ15063" s="111"/>
      <c r="EF15063"/>
      <c r="EG15063"/>
      <c r="EH15063"/>
      <c r="EI15063"/>
      <c r="EJ15063"/>
      <c r="EK15063"/>
    </row>
    <row r="15064" spans="1:141" s="116" customFormat="1">
      <c r="A15064" s="136"/>
      <c r="CM15064" s="111"/>
      <c r="CQ15064" s="111"/>
      <c r="EF15064"/>
      <c r="EG15064"/>
      <c r="EH15064"/>
      <c r="EI15064"/>
      <c r="EJ15064"/>
      <c r="EK15064"/>
    </row>
    <row r="15065" spans="1:141" s="116" customFormat="1">
      <c r="A15065" s="136"/>
      <c r="CM15065" s="111"/>
      <c r="CQ15065" s="111"/>
      <c r="EF15065"/>
      <c r="EG15065"/>
      <c r="EH15065"/>
      <c r="EI15065"/>
      <c r="EJ15065"/>
      <c r="EK15065"/>
    </row>
    <row r="15066" spans="1:141" s="116" customFormat="1">
      <c r="A15066" s="136"/>
      <c r="CM15066" s="111"/>
      <c r="CQ15066" s="111"/>
      <c r="EF15066"/>
      <c r="EG15066"/>
      <c r="EH15066"/>
      <c r="EI15066"/>
      <c r="EJ15066"/>
      <c r="EK15066"/>
    </row>
    <row r="15067" spans="1:141" s="116" customFormat="1">
      <c r="A15067" s="136"/>
      <c r="CM15067" s="111"/>
      <c r="CQ15067" s="111"/>
      <c r="EF15067"/>
      <c r="EG15067"/>
      <c r="EH15067"/>
      <c r="EI15067"/>
      <c r="EJ15067"/>
      <c r="EK15067"/>
    </row>
    <row r="15068" spans="1:141" s="116" customFormat="1">
      <c r="A15068" s="136"/>
      <c r="CM15068" s="111"/>
      <c r="CQ15068" s="111"/>
      <c r="EF15068"/>
      <c r="EG15068"/>
      <c r="EH15068"/>
      <c r="EI15068"/>
      <c r="EJ15068"/>
      <c r="EK15068"/>
    </row>
    <row r="15069" spans="1:141" s="116" customFormat="1">
      <c r="A15069" s="136"/>
      <c r="CM15069" s="111"/>
      <c r="CQ15069" s="111"/>
      <c r="EF15069"/>
      <c r="EG15069"/>
      <c r="EH15069"/>
      <c r="EI15069"/>
      <c r="EJ15069"/>
      <c r="EK15069"/>
    </row>
    <row r="15070" spans="1:141" s="116" customFormat="1">
      <c r="A15070" s="136"/>
      <c r="CM15070" s="111"/>
      <c r="CQ15070" s="111"/>
      <c r="EF15070"/>
      <c r="EG15070"/>
      <c r="EH15070"/>
      <c r="EI15070"/>
      <c r="EJ15070"/>
      <c r="EK15070"/>
    </row>
    <row r="15071" spans="1:141" s="116" customFormat="1">
      <c r="A15071" s="136"/>
      <c r="CM15071" s="111"/>
      <c r="CQ15071" s="111"/>
      <c r="EF15071"/>
      <c r="EG15071"/>
      <c r="EH15071"/>
      <c r="EI15071"/>
      <c r="EJ15071"/>
      <c r="EK15071"/>
    </row>
    <row r="15072" spans="1:141" s="116" customFormat="1">
      <c r="A15072" s="136"/>
      <c r="CM15072" s="111"/>
      <c r="CQ15072" s="111"/>
      <c r="EF15072"/>
      <c r="EG15072"/>
      <c r="EH15072"/>
      <c r="EI15072"/>
      <c r="EJ15072"/>
      <c r="EK15072"/>
    </row>
    <row r="15073" spans="1:141" s="116" customFormat="1">
      <c r="A15073" s="136"/>
      <c r="CM15073" s="111"/>
      <c r="CQ15073" s="111"/>
      <c r="EF15073"/>
      <c r="EG15073"/>
      <c r="EH15073"/>
      <c r="EI15073"/>
      <c r="EJ15073"/>
      <c r="EK15073"/>
    </row>
    <row r="15074" spans="1:141" s="116" customFormat="1">
      <c r="A15074" s="136"/>
      <c r="CM15074" s="111"/>
      <c r="CQ15074" s="111"/>
      <c r="EF15074"/>
      <c r="EG15074"/>
      <c r="EH15074"/>
      <c r="EI15074"/>
      <c r="EJ15074"/>
      <c r="EK15074"/>
    </row>
    <row r="15075" spans="1:141" s="116" customFormat="1">
      <c r="A15075" s="136"/>
      <c r="CM15075" s="111"/>
      <c r="CQ15075" s="111"/>
      <c r="EF15075"/>
      <c r="EG15075"/>
      <c r="EH15075"/>
      <c r="EI15075"/>
      <c r="EJ15075"/>
      <c r="EK15075"/>
    </row>
    <row r="15076" spans="1:141" s="116" customFormat="1">
      <c r="A15076" s="136"/>
      <c r="CM15076" s="111"/>
      <c r="CQ15076" s="111"/>
      <c r="EF15076"/>
      <c r="EG15076"/>
      <c r="EH15076"/>
      <c r="EI15076"/>
      <c r="EJ15076"/>
      <c r="EK15076"/>
    </row>
    <row r="15077" spans="1:141" s="116" customFormat="1">
      <c r="A15077" s="136"/>
      <c r="CM15077" s="111"/>
      <c r="CQ15077" s="111"/>
      <c r="EF15077"/>
      <c r="EG15077"/>
      <c r="EH15077"/>
      <c r="EI15077"/>
      <c r="EJ15077"/>
      <c r="EK15077"/>
    </row>
    <row r="15078" spans="1:141" s="116" customFormat="1">
      <c r="A15078" s="136"/>
      <c r="CM15078" s="111"/>
      <c r="CQ15078" s="111"/>
      <c r="EF15078"/>
      <c r="EG15078"/>
      <c r="EH15078"/>
      <c r="EI15078"/>
      <c r="EJ15078"/>
      <c r="EK15078"/>
    </row>
    <row r="15079" spans="1:141" s="116" customFormat="1">
      <c r="A15079" s="136"/>
      <c r="CM15079" s="111"/>
      <c r="CQ15079" s="111"/>
      <c r="EF15079"/>
      <c r="EG15079"/>
      <c r="EH15079"/>
      <c r="EI15079"/>
      <c r="EJ15079"/>
      <c r="EK15079"/>
    </row>
    <row r="15080" spans="1:141" s="116" customFormat="1">
      <c r="A15080" s="136"/>
      <c r="CM15080" s="111"/>
      <c r="CQ15080" s="111"/>
      <c r="EF15080"/>
      <c r="EG15080"/>
      <c r="EH15080"/>
      <c r="EI15080"/>
      <c r="EJ15080"/>
      <c r="EK15080"/>
    </row>
    <row r="15081" spans="1:141" s="116" customFormat="1">
      <c r="A15081" s="136"/>
      <c r="CM15081" s="111"/>
      <c r="CQ15081" s="111"/>
      <c r="EF15081"/>
      <c r="EG15081"/>
      <c r="EH15081"/>
      <c r="EI15081"/>
      <c r="EJ15081"/>
      <c r="EK15081"/>
    </row>
    <row r="15082" spans="1:141" s="116" customFormat="1">
      <c r="A15082" s="136"/>
      <c r="CM15082" s="111"/>
      <c r="CQ15082" s="111"/>
      <c r="EF15082"/>
      <c r="EG15082"/>
      <c r="EH15082"/>
      <c r="EI15082"/>
      <c r="EJ15082"/>
      <c r="EK15082"/>
    </row>
    <row r="15083" spans="1:141" s="116" customFormat="1">
      <c r="A15083" s="136"/>
      <c r="CM15083" s="111"/>
      <c r="CQ15083" s="111"/>
      <c r="EF15083"/>
      <c r="EG15083"/>
      <c r="EH15083"/>
      <c r="EI15083"/>
      <c r="EJ15083"/>
      <c r="EK15083"/>
    </row>
    <row r="15084" spans="1:141" s="116" customFormat="1">
      <c r="A15084" s="136"/>
      <c r="CM15084" s="111"/>
      <c r="CQ15084" s="111"/>
      <c r="EF15084"/>
      <c r="EG15084"/>
      <c r="EH15084"/>
      <c r="EI15084"/>
      <c r="EJ15084"/>
      <c r="EK15084"/>
    </row>
    <row r="15085" spans="1:141" s="116" customFormat="1">
      <c r="A15085" s="136"/>
      <c r="CM15085" s="111"/>
      <c r="CQ15085" s="111"/>
      <c r="EF15085"/>
      <c r="EG15085"/>
      <c r="EH15085"/>
      <c r="EI15085"/>
      <c r="EJ15085"/>
      <c r="EK15085"/>
    </row>
    <row r="15086" spans="1:141" s="116" customFormat="1">
      <c r="A15086" s="136"/>
      <c r="CM15086" s="111"/>
      <c r="CQ15086" s="111"/>
      <c r="EF15086"/>
      <c r="EG15086"/>
      <c r="EH15086"/>
      <c r="EI15086"/>
      <c r="EJ15086"/>
      <c r="EK15086"/>
    </row>
    <row r="15087" spans="1:141" s="116" customFormat="1">
      <c r="A15087" s="136"/>
      <c r="CM15087" s="111"/>
      <c r="CQ15087" s="111"/>
      <c r="EF15087"/>
      <c r="EG15087"/>
      <c r="EH15087"/>
      <c r="EI15087"/>
      <c r="EJ15087"/>
      <c r="EK15087"/>
    </row>
    <row r="15088" spans="1:141" s="116" customFormat="1">
      <c r="A15088" s="136"/>
      <c r="CM15088" s="111"/>
      <c r="CQ15088" s="111"/>
      <c r="EF15088"/>
      <c r="EG15088"/>
      <c r="EH15088"/>
      <c r="EI15088"/>
      <c r="EJ15088"/>
      <c r="EK15088"/>
    </row>
    <row r="15089" spans="1:141" s="116" customFormat="1">
      <c r="A15089" s="136"/>
      <c r="CM15089" s="111"/>
      <c r="CQ15089" s="111"/>
      <c r="EF15089"/>
      <c r="EG15089"/>
      <c r="EH15089"/>
      <c r="EI15089"/>
      <c r="EJ15089"/>
      <c r="EK15089"/>
    </row>
    <row r="15090" spans="1:141" s="116" customFormat="1">
      <c r="A15090" s="136"/>
      <c r="CM15090" s="111"/>
      <c r="CQ15090" s="111"/>
      <c r="EF15090"/>
      <c r="EG15090"/>
      <c r="EH15090"/>
      <c r="EI15090"/>
      <c r="EJ15090"/>
      <c r="EK15090"/>
    </row>
    <row r="15091" spans="1:141" s="116" customFormat="1">
      <c r="A15091" s="136"/>
      <c r="CM15091" s="111"/>
      <c r="CQ15091" s="111"/>
      <c r="EF15091"/>
      <c r="EG15091"/>
      <c r="EH15091"/>
      <c r="EI15091"/>
      <c r="EJ15091"/>
      <c r="EK15091"/>
    </row>
    <row r="15092" spans="1:141" s="116" customFormat="1">
      <c r="A15092" s="136"/>
      <c r="CM15092" s="111"/>
      <c r="CQ15092" s="111"/>
      <c r="EF15092"/>
      <c r="EG15092"/>
      <c r="EH15092"/>
      <c r="EI15092"/>
      <c r="EJ15092"/>
      <c r="EK15092"/>
    </row>
    <row r="15093" spans="1:141" s="116" customFormat="1">
      <c r="A15093" s="136"/>
      <c r="CM15093" s="111"/>
      <c r="CQ15093" s="111"/>
      <c r="EF15093"/>
      <c r="EG15093"/>
      <c r="EH15093"/>
      <c r="EI15093"/>
      <c r="EJ15093"/>
      <c r="EK15093"/>
    </row>
    <row r="15094" spans="1:141" s="116" customFormat="1">
      <c r="A15094" s="136"/>
      <c r="CM15094" s="111"/>
      <c r="CQ15094" s="111"/>
      <c r="EF15094"/>
      <c r="EG15094"/>
      <c r="EH15094"/>
      <c r="EI15094"/>
      <c r="EJ15094"/>
      <c r="EK15094"/>
    </row>
    <row r="15095" spans="1:141" s="116" customFormat="1">
      <c r="A15095" s="136"/>
      <c r="CM15095" s="111"/>
      <c r="CQ15095" s="111"/>
      <c r="EF15095"/>
      <c r="EG15095"/>
      <c r="EH15095"/>
      <c r="EI15095"/>
      <c r="EJ15095"/>
      <c r="EK15095"/>
    </row>
    <row r="15096" spans="1:141" s="116" customFormat="1">
      <c r="A15096" s="136"/>
      <c r="CM15096" s="111"/>
      <c r="CQ15096" s="111"/>
      <c r="EF15096"/>
      <c r="EG15096"/>
      <c r="EH15096"/>
      <c r="EI15096"/>
      <c r="EJ15096"/>
      <c r="EK15096"/>
    </row>
    <row r="15097" spans="1:141" s="116" customFormat="1">
      <c r="A15097" s="136"/>
      <c r="CM15097" s="111"/>
      <c r="CQ15097" s="111"/>
      <c r="EF15097"/>
      <c r="EG15097"/>
      <c r="EH15097"/>
      <c r="EI15097"/>
      <c r="EJ15097"/>
      <c r="EK15097"/>
    </row>
    <row r="15098" spans="1:141" s="116" customFormat="1">
      <c r="A15098" s="136"/>
      <c r="CM15098" s="111"/>
      <c r="CQ15098" s="111"/>
      <c r="EF15098"/>
      <c r="EG15098"/>
      <c r="EH15098"/>
      <c r="EI15098"/>
      <c r="EJ15098"/>
      <c r="EK15098"/>
    </row>
    <row r="15099" spans="1:141" s="116" customFormat="1">
      <c r="A15099" s="136"/>
      <c r="CM15099" s="111"/>
      <c r="CQ15099" s="111"/>
      <c r="EF15099"/>
      <c r="EG15099"/>
      <c r="EH15099"/>
      <c r="EI15099"/>
      <c r="EJ15099"/>
      <c r="EK15099"/>
    </row>
    <row r="15100" spans="1:141" s="116" customFormat="1">
      <c r="A15100" s="136"/>
      <c r="CM15100" s="111"/>
      <c r="CQ15100" s="111"/>
      <c r="EF15100"/>
      <c r="EG15100"/>
      <c r="EH15100"/>
      <c r="EI15100"/>
      <c r="EJ15100"/>
      <c r="EK15100"/>
    </row>
    <row r="15101" spans="1:141" s="116" customFormat="1">
      <c r="A15101" s="136"/>
      <c r="CM15101" s="111"/>
      <c r="CQ15101" s="111"/>
      <c r="EF15101"/>
      <c r="EG15101"/>
      <c r="EH15101"/>
      <c r="EI15101"/>
      <c r="EJ15101"/>
      <c r="EK15101"/>
    </row>
    <row r="15102" spans="1:141" s="116" customFormat="1">
      <c r="A15102" s="136"/>
      <c r="CM15102" s="111"/>
      <c r="CQ15102" s="111"/>
      <c r="EF15102"/>
      <c r="EG15102"/>
      <c r="EH15102"/>
      <c r="EI15102"/>
      <c r="EJ15102"/>
      <c r="EK15102"/>
    </row>
    <row r="15103" spans="1:141" s="116" customFormat="1">
      <c r="A15103" s="136"/>
      <c r="CM15103" s="111"/>
      <c r="CQ15103" s="111"/>
      <c r="EF15103"/>
      <c r="EG15103"/>
      <c r="EH15103"/>
      <c r="EI15103"/>
      <c r="EJ15103"/>
      <c r="EK15103"/>
    </row>
    <row r="15104" spans="1:141" s="116" customFormat="1">
      <c r="A15104" s="136"/>
      <c r="CM15104" s="111"/>
      <c r="CQ15104" s="111"/>
      <c r="EF15104"/>
      <c r="EG15104"/>
      <c r="EH15104"/>
      <c r="EI15104"/>
      <c r="EJ15104"/>
      <c r="EK15104"/>
    </row>
    <row r="15105" spans="1:141" s="116" customFormat="1">
      <c r="A15105" s="136"/>
      <c r="CM15105" s="111"/>
      <c r="CQ15105" s="111"/>
      <c r="EF15105"/>
      <c r="EG15105"/>
      <c r="EH15105"/>
      <c r="EI15105"/>
      <c r="EJ15105"/>
      <c r="EK15105"/>
    </row>
    <row r="15106" spans="1:141" s="116" customFormat="1">
      <c r="A15106" s="136"/>
      <c r="CM15106" s="111"/>
      <c r="CQ15106" s="111"/>
      <c r="EF15106"/>
      <c r="EG15106"/>
      <c r="EH15106"/>
      <c r="EI15106"/>
      <c r="EJ15106"/>
      <c r="EK15106"/>
    </row>
    <row r="15107" spans="1:141" s="116" customFormat="1">
      <c r="A15107" s="136"/>
      <c r="CM15107" s="111"/>
      <c r="CQ15107" s="111"/>
      <c r="EF15107"/>
      <c r="EG15107"/>
      <c r="EH15107"/>
      <c r="EI15107"/>
      <c r="EJ15107"/>
      <c r="EK15107"/>
    </row>
    <row r="15108" spans="1:141" s="116" customFormat="1">
      <c r="A15108" s="136"/>
      <c r="CM15108" s="111"/>
      <c r="CQ15108" s="111"/>
      <c r="EF15108"/>
      <c r="EG15108"/>
      <c r="EH15108"/>
      <c r="EI15108"/>
      <c r="EJ15108"/>
      <c r="EK15108"/>
    </row>
    <row r="15109" spans="1:141" s="116" customFormat="1">
      <c r="A15109" s="136"/>
      <c r="CM15109" s="111"/>
      <c r="CQ15109" s="111"/>
      <c r="EF15109"/>
      <c r="EG15109"/>
      <c r="EH15109"/>
      <c r="EI15109"/>
      <c r="EJ15109"/>
      <c r="EK15109"/>
    </row>
    <row r="15110" spans="1:141" s="116" customFormat="1">
      <c r="A15110" s="136"/>
      <c r="CM15110" s="111"/>
      <c r="CQ15110" s="111"/>
      <c r="EF15110"/>
      <c r="EG15110"/>
      <c r="EH15110"/>
      <c r="EI15110"/>
      <c r="EJ15110"/>
      <c r="EK15110"/>
    </row>
    <row r="15111" spans="1:141" s="116" customFormat="1">
      <c r="A15111" s="136"/>
      <c r="CM15111" s="111"/>
      <c r="CQ15111" s="111"/>
      <c r="EF15111"/>
      <c r="EG15111"/>
      <c r="EH15111"/>
      <c r="EI15111"/>
      <c r="EJ15111"/>
      <c r="EK15111"/>
    </row>
    <row r="15112" spans="1:141" s="116" customFormat="1">
      <c r="A15112" s="136"/>
      <c r="CM15112" s="111"/>
      <c r="CQ15112" s="111"/>
      <c r="EF15112"/>
      <c r="EG15112"/>
      <c r="EH15112"/>
      <c r="EI15112"/>
      <c r="EJ15112"/>
      <c r="EK15112"/>
    </row>
    <row r="15113" spans="1:141" s="116" customFormat="1">
      <c r="A15113" s="136"/>
      <c r="CM15113" s="111"/>
      <c r="CQ15113" s="111"/>
      <c r="EF15113"/>
      <c r="EG15113"/>
      <c r="EH15113"/>
      <c r="EI15113"/>
      <c r="EJ15113"/>
      <c r="EK15113"/>
    </row>
    <row r="15114" spans="1:141" s="116" customFormat="1">
      <c r="A15114" s="136"/>
      <c r="CM15114" s="111"/>
      <c r="CQ15114" s="111"/>
      <c r="EF15114"/>
      <c r="EG15114"/>
      <c r="EH15114"/>
      <c r="EI15114"/>
      <c r="EJ15114"/>
      <c r="EK15114"/>
    </row>
    <row r="15115" spans="1:141" s="116" customFormat="1">
      <c r="A15115" s="136"/>
      <c r="CM15115" s="111"/>
      <c r="CQ15115" s="111"/>
      <c r="EF15115"/>
      <c r="EG15115"/>
      <c r="EH15115"/>
      <c r="EI15115"/>
      <c r="EJ15115"/>
      <c r="EK15115"/>
    </row>
    <row r="15116" spans="1:141" s="116" customFormat="1">
      <c r="A15116" s="136"/>
      <c r="CM15116" s="111"/>
      <c r="CQ15116" s="111"/>
      <c r="EF15116"/>
      <c r="EG15116"/>
      <c r="EH15116"/>
      <c r="EI15116"/>
      <c r="EJ15116"/>
      <c r="EK15116"/>
    </row>
    <row r="15117" spans="1:141" s="116" customFormat="1">
      <c r="A15117" s="136"/>
      <c r="CM15117" s="111"/>
      <c r="CQ15117" s="111"/>
      <c r="EF15117"/>
      <c r="EG15117"/>
      <c r="EH15117"/>
      <c r="EI15117"/>
      <c r="EJ15117"/>
      <c r="EK15117"/>
    </row>
    <row r="15118" spans="1:141" s="116" customFormat="1">
      <c r="A15118" s="136"/>
      <c r="CM15118" s="111"/>
      <c r="CQ15118" s="111"/>
      <c r="EF15118"/>
      <c r="EG15118"/>
      <c r="EH15118"/>
      <c r="EI15118"/>
      <c r="EJ15118"/>
      <c r="EK15118"/>
    </row>
    <row r="15119" spans="1:141" s="116" customFormat="1">
      <c r="A15119" s="136"/>
      <c r="CM15119" s="111"/>
      <c r="CQ15119" s="111"/>
      <c r="EF15119"/>
      <c r="EG15119"/>
      <c r="EH15119"/>
      <c r="EI15119"/>
      <c r="EJ15119"/>
      <c r="EK15119"/>
    </row>
    <row r="15120" spans="1:141" s="116" customFormat="1">
      <c r="A15120" s="136"/>
      <c r="CM15120" s="111"/>
      <c r="CQ15120" s="111"/>
      <c r="EF15120"/>
      <c r="EG15120"/>
      <c r="EH15120"/>
      <c r="EI15120"/>
      <c r="EJ15120"/>
      <c r="EK15120"/>
    </row>
    <row r="15121" spans="1:141" s="116" customFormat="1">
      <c r="A15121" s="136"/>
      <c r="CM15121" s="111"/>
      <c r="CQ15121" s="111"/>
      <c r="EF15121"/>
      <c r="EG15121"/>
      <c r="EH15121"/>
      <c r="EI15121"/>
      <c r="EJ15121"/>
      <c r="EK15121"/>
    </row>
    <row r="15122" spans="1:141" s="116" customFormat="1">
      <c r="A15122" s="136"/>
      <c r="CM15122" s="111"/>
      <c r="CQ15122" s="111"/>
      <c r="EF15122"/>
      <c r="EG15122"/>
      <c r="EH15122"/>
      <c r="EI15122"/>
      <c r="EJ15122"/>
      <c r="EK15122"/>
    </row>
    <row r="15123" spans="1:141" s="116" customFormat="1">
      <c r="A15123" s="136"/>
      <c r="CM15123" s="111"/>
      <c r="CQ15123" s="111"/>
      <c r="EF15123"/>
      <c r="EG15123"/>
      <c r="EH15123"/>
      <c r="EI15123"/>
      <c r="EJ15123"/>
      <c r="EK15123"/>
    </row>
    <row r="15124" spans="1:141" s="116" customFormat="1">
      <c r="A15124" s="136"/>
      <c r="CM15124" s="111"/>
      <c r="CQ15124" s="111"/>
      <c r="EF15124"/>
      <c r="EG15124"/>
      <c r="EH15124"/>
      <c r="EI15124"/>
      <c r="EJ15124"/>
      <c r="EK15124"/>
    </row>
    <row r="15125" spans="1:141" s="116" customFormat="1">
      <c r="A15125" s="136"/>
      <c r="CM15125" s="111"/>
      <c r="CQ15125" s="111"/>
      <c r="EF15125"/>
      <c r="EG15125"/>
      <c r="EH15125"/>
      <c r="EI15125"/>
      <c r="EJ15125"/>
      <c r="EK15125"/>
    </row>
    <row r="15126" spans="1:141" s="116" customFormat="1">
      <c r="A15126" s="136"/>
      <c r="CM15126" s="111"/>
      <c r="CQ15126" s="111"/>
      <c r="EF15126"/>
      <c r="EG15126"/>
      <c r="EH15126"/>
      <c r="EI15126"/>
      <c r="EJ15126"/>
      <c r="EK15126"/>
    </row>
    <row r="15127" spans="1:141" s="116" customFormat="1">
      <c r="A15127" s="136"/>
      <c r="CM15127" s="111"/>
      <c r="CQ15127" s="111"/>
      <c r="EF15127"/>
      <c r="EG15127"/>
      <c r="EH15127"/>
      <c r="EI15127"/>
      <c r="EJ15127"/>
      <c r="EK15127"/>
    </row>
    <row r="15128" spans="1:141" s="116" customFormat="1">
      <c r="A15128" s="136"/>
      <c r="CM15128" s="111"/>
      <c r="CQ15128" s="111"/>
      <c r="EF15128"/>
      <c r="EG15128"/>
      <c r="EH15128"/>
      <c r="EI15128"/>
      <c r="EJ15128"/>
      <c r="EK15128"/>
    </row>
    <row r="15129" spans="1:141" s="116" customFormat="1">
      <c r="A15129" s="136"/>
      <c r="CM15129" s="111"/>
      <c r="CQ15129" s="111"/>
      <c r="EF15129"/>
      <c r="EG15129"/>
      <c r="EH15129"/>
      <c r="EI15129"/>
      <c r="EJ15129"/>
      <c r="EK15129"/>
    </row>
    <row r="15130" spans="1:141" s="116" customFormat="1">
      <c r="A15130" s="136"/>
      <c r="CM15130" s="111"/>
      <c r="CQ15130" s="111"/>
      <c r="EF15130"/>
      <c r="EG15130"/>
      <c r="EH15130"/>
      <c r="EI15130"/>
      <c r="EJ15130"/>
      <c r="EK15130"/>
    </row>
    <row r="15131" spans="1:141" s="116" customFormat="1">
      <c r="A15131" s="136"/>
      <c r="CM15131" s="111"/>
      <c r="CQ15131" s="111"/>
      <c r="EF15131"/>
      <c r="EG15131"/>
      <c r="EH15131"/>
      <c r="EI15131"/>
      <c r="EJ15131"/>
      <c r="EK15131"/>
    </row>
    <row r="15132" spans="1:141" s="116" customFormat="1">
      <c r="A15132" s="136"/>
      <c r="CM15132" s="111"/>
      <c r="CQ15132" s="111"/>
      <c r="EF15132"/>
      <c r="EG15132"/>
      <c r="EH15132"/>
      <c r="EI15132"/>
      <c r="EJ15132"/>
      <c r="EK15132"/>
    </row>
    <row r="15133" spans="1:141" s="116" customFormat="1">
      <c r="A15133" s="136"/>
      <c r="CM15133" s="111"/>
      <c r="CQ15133" s="111"/>
      <c r="EF15133"/>
      <c r="EG15133"/>
      <c r="EH15133"/>
      <c r="EI15133"/>
      <c r="EJ15133"/>
      <c r="EK15133"/>
    </row>
    <row r="15134" spans="1:141" s="116" customFormat="1">
      <c r="A15134" s="136"/>
      <c r="CM15134" s="111"/>
      <c r="CQ15134" s="111"/>
      <c r="EF15134"/>
      <c r="EG15134"/>
      <c r="EH15134"/>
      <c r="EI15134"/>
      <c r="EJ15134"/>
      <c r="EK15134"/>
    </row>
    <row r="15135" spans="1:141" s="116" customFormat="1">
      <c r="A15135" s="136"/>
      <c r="CM15135" s="111"/>
      <c r="CQ15135" s="111"/>
      <c r="EF15135"/>
      <c r="EG15135"/>
      <c r="EH15135"/>
      <c r="EI15135"/>
      <c r="EJ15135"/>
      <c r="EK15135"/>
    </row>
    <row r="15136" spans="1:141" s="116" customFormat="1">
      <c r="A15136" s="136"/>
      <c r="CM15136" s="111"/>
      <c r="CQ15136" s="111"/>
      <c r="EF15136"/>
      <c r="EG15136"/>
      <c r="EH15136"/>
      <c r="EI15136"/>
      <c r="EJ15136"/>
      <c r="EK15136"/>
    </row>
    <row r="15137" spans="1:141" s="116" customFormat="1">
      <c r="A15137" s="136"/>
      <c r="CM15137" s="111"/>
      <c r="CQ15137" s="111"/>
      <c r="EF15137"/>
      <c r="EG15137"/>
      <c r="EH15137"/>
      <c r="EI15137"/>
      <c r="EJ15137"/>
      <c r="EK15137"/>
    </row>
    <row r="15138" spans="1:141" s="116" customFormat="1">
      <c r="A15138" s="136"/>
      <c r="CM15138" s="111"/>
      <c r="CQ15138" s="111"/>
      <c r="EF15138"/>
      <c r="EG15138"/>
      <c r="EH15138"/>
      <c r="EI15138"/>
      <c r="EJ15138"/>
      <c r="EK15138"/>
    </row>
    <row r="15139" spans="1:141" s="116" customFormat="1">
      <c r="A15139" s="136"/>
      <c r="CM15139" s="111"/>
      <c r="CQ15139" s="111"/>
      <c r="EF15139"/>
      <c r="EG15139"/>
      <c r="EH15139"/>
      <c r="EI15139"/>
      <c r="EJ15139"/>
      <c r="EK15139"/>
    </row>
    <row r="15140" spans="1:141" s="116" customFormat="1">
      <c r="A15140" s="136"/>
      <c r="CM15140" s="111"/>
      <c r="CQ15140" s="111"/>
      <c r="EF15140"/>
      <c r="EG15140"/>
      <c r="EH15140"/>
      <c r="EI15140"/>
      <c r="EJ15140"/>
      <c r="EK15140"/>
    </row>
    <row r="15141" spans="1:141" s="116" customFormat="1">
      <c r="A15141" s="136"/>
      <c r="CM15141" s="111"/>
      <c r="CQ15141" s="111"/>
      <c r="EF15141"/>
      <c r="EG15141"/>
      <c r="EH15141"/>
      <c r="EI15141"/>
      <c r="EJ15141"/>
      <c r="EK15141"/>
    </row>
    <row r="15142" spans="1:141" s="116" customFormat="1">
      <c r="A15142" s="136"/>
      <c r="CM15142" s="111"/>
      <c r="CQ15142" s="111"/>
      <c r="EF15142"/>
      <c r="EG15142"/>
      <c r="EH15142"/>
      <c r="EI15142"/>
      <c r="EJ15142"/>
      <c r="EK15142"/>
    </row>
    <row r="15143" spans="1:141" s="116" customFormat="1">
      <c r="A15143" s="136"/>
      <c r="CM15143" s="111"/>
      <c r="CQ15143" s="111"/>
      <c r="EF15143"/>
      <c r="EG15143"/>
      <c r="EH15143"/>
      <c r="EI15143"/>
      <c r="EJ15143"/>
      <c r="EK15143"/>
    </row>
    <row r="15144" spans="1:141" s="116" customFormat="1">
      <c r="A15144" s="136"/>
      <c r="CM15144" s="111"/>
      <c r="CQ15144" s="111"/>
      <c r="EF15144"/>
      <c r="EG15144"/>
      <c r="EH15144"/>
      <c r="EI15144"/>
      <c r="EJ15144"/>
      <c r="EK15144"/>
    </row>
    <row r="15145" spans="1:141" s="116" customFormat="1">
      <c r="A15145" s="136"/>
      <c r="CM15145" s="111"/>
      <c r="CQ15145" s="111"/>
      <c r="EF15145"/>
      <c r="EG15145"/>
      <c r="EH15145"/>
      <c r="EI15145"/>
      <c r="EJ15145"/>
      <c r="EK15145"/>
    </row>
    <row r="15146" spans="1:141" s="116" customFormat="1">
      <c r="A15146" s="136"/>
      <c r="CM15146" s="111"/>
      <c r="CQ15146" s="111"/>
      <c r="EF15146"/>
      <c r="EG15146"/>
      <c r="EH15146"/>
      <c r="EI15146"/>
      <c r="EJ15146"/>
      <c r="EK15146"/>
    </row>
    <row r="15147" spans="1:141" s="116" customFormat="1">
      <c r="A15147" s="136"/>
      <c r="CM15147" s="111"/>
      <c r="CQ15147" s="111"/>
      <c r="EF15147"/>
      <c r="EG15147"/>
      <c r="EH15147"/>
      <c r="EI15147"/>
      <c r="EJ15147"/>
      <c r="EK15147"/>
    </row>
    <row r="15148" spans="1:141" s="116" customFormat="1">
      <c r="A15148" s="136"/>
      <c r="CM15148" s="111"/>
      <c r="CQ15148" s="111"/>
      <c r="EF15148"/>
      <c r="EG15148"/>
      <c r="EH15148"/>
      <c r="EI15148"/>
      <c r="EJ15148"/>
      <c r="EK15148"/>
    </row>
    <row r="15149" spans="1:141" s="116" customFormat="1">
      <c r="A15149" s="136"/>
      <c r="CM15149" s="111"/>
      <c r="CQ15149" s="111"/>
      <c r="EF15149"/>
      <c r="EG15149"/>
      <c r="EH15149"/>
      <c r="EI15149"/>
      <c r="EJ15149"/>
      <c r="EK15149"/>
    </row>
    <row r="15150" spans="1:141" s="116" customFormat="1">
      <c r="A15150" s="136"/>
      <c r="CM15150" s="111"/>
      <c r="CQ15150" s="111"/>
      <c r="EF15150"/>
      <c r="EG15150"/>
      <c r="EH15150"/>
      <c r="EI15150"/>
      <c r="EJ15150"/>
      <c r="EK15150"/>
    </row>
    <row r="15151" spans="1:141" s="116" customFormat="1">
      <c r="A15151" s="136"/>
      <c r="CM15151" s="111"/>
      <c r="CQ15151" s="111"/>
      <c r="EF15151"/>
      <c r="EG15151"/>
      <c r="EH15151"/>
      <c r="EI15151"/>
      <c r="EJ15151"/>
      <c r="EK15151"/>
    </row>
    <row r="15152" spans="1:141" s="116" customFormat="1">
      <c r="A15152" s="136"/>
      <c r="CM15152" s="111"/>
      <c r="CQ15152" s="111"/>
      <c r="EF15152"/>
      <c r="EG15152"/>
      <c r="EH15152"/>
      <c r="EI15152"/>
      <c r="EJ15152"/>
      <c r="EK15152"/>
    </row>
    <row r="15153" spans="1:141" s="116" customFormat="1">
      <c r="A15153" s="136"/>
      <c r="CM15153" s="111"/>
      <c r="CQ15153" s="111"/>
      <c r="EF15153"/>
      <c r="EG15153"/>
      <c r="EH15153"/>
      <c r="EI15153"/>
      <c r="EJ15153"/>
      <c r="EK15153"/>
    </row>
    <row r="15154" spans="1:141" s="116" customFormat="1">
      <c r="A15154" s="136"/>
      <c r="CM15154" s="111"/>
      <c r="CQ15154" s="111"/>
      <c r="EF15154"/>
      <c r="EG15154"/>
      <c r="EH15154"/>
      <c r="EI15154"/>
      <c r="EJ15154"/>
      <c r="EK15154"/>
    </row>
    <row r="15155" spans="1:141" s="116" customFormat="1">
      <c r="A15155" s="136"/>
      <c r="CM15155" s="111"/>
      <c r="CQ15155" s="111"/>
      <c r="EF15155"/>
      <c r="EG15155"/>
      <c r="EH15155"/>
      <c r="EI15155"/>
      <c r="EJ15155"/>
      <c r="EK15155"/>
    </row>
    <row r="15156" spans="1:141" s="116" customFormat="1">
      <c r="A15156" s="136"/>
      <c r="CM15156" s="111"/>
      <c r="CQ15156" s="111"/>
      <c r="EF15156"/>
      <c r="EG15156"/>
      <c r="EH15156"/>
      <c r="EI15156"/>
      <c r="EJ15156"/>
      <c r="EK15156"/>
    </row>
    <row r="15157" spans="1:141" s="116" customFormat="1">
      <c r="A15157" s="136"/>
      <c r="CM15157" s="111"/>
      <c r="CQ15157" s="111"/>
      <c r="EF15157"/>
      <c r="EG15157"/>
      <c r="EH15157"/>
      <c r="EI15157"/>
      <c r="EJ15157"/>
      <c r="EK15157"/>
    </row>
    <row r="15158" spans="1:141" s="116" customFormat="1">
      <c r="A15158" s="136"/>
      <c r="CM15158" s="111"/>
      <c r="CQ15158" s="111"/>
      <c r="EF15158"/>
      <c r="EG15158"/>
      <c r="EH15158"/>
      <c r="EI15158"/>
      <c r="EJ15158"/>
      <c r="EK15158"/>
    </row>
    <row r="15159" spans="1:141" s="116" customFormat="1">
      <c r="A15159" s="136"/>
      <c r="CM15159" s="111"/>
      <c r="CQ15159" s="111"/>
      <c r="EF15159"/>
      <c r="EG15159"/>
      <c r="EH15159"/>
      <c r="EI15159"/>
      <c r="EJ15159"/>
      <c r="EK15159"/>
    </row>
    <row r="15160" spans="1:141" s="116" customFormat="1">
      <c r="A15160" s="136"/>
      <c r="CM15160" s="111"/>
      <c r="CQ15160" s="111"/>
      <c r="EF15160"/>
      <c r="EG15160"/>
      <c r="EH15160"/>
      <c r="EI15160"/>
      <c r="EJ15160"/>
      <c r="EK15160"/>
    </row>
    <row r="15161" spans="1:141" s="116" customFormat="1">
      <c r="A15161" s="136"/>
      <c r="CM15161" s="111"/>
      <c r="CQ15161" s="111"/>
      <c r="EF15161"/>
      <c r="EG15161"/>
      <c r="EH15161"/>
      <c r="EI15161"/>
      <c r="EJ15161"/>
      <c r="EK15161"/>
    </row>
    <row r="15162" spans="1:141" s="116" customFormat="1">
      <c r="A15162" s="136"/>
      <c r="CM15162" s="111"/>
      <c r="CQ15162" s="111"/>
      <c r="EF15162"/>
      <c r="EG15162"/>
      <c r="EH15162"/>
      <c r="EI15162"/>
      <c r="EJ15162"/>
      <c r="EK15162"/>
    </row>
    <row r="15163" spans="1:141" s="116" customFormat="1">
      <c r="A15163" s="136"/>
      <c r="CM15163" s="111"/>
      <c r="CQ15163" s="111"/>
      <c r="EF15163"/>
      <c r="EG15163"/>
      <c r="EH15163"/>
      <c r="EI15163"/>
      <c r="EJ15163"/>
      <c r="EK15163"/>
    </row>
    <row r="15164" spans="1:141" s="116" customFormat="1">
      <c r="A15164" s="136"/>
      <c r="CM15164" s="111"/>
      <c r="CQ15164" s="111"/>
      <c r="EF15164"/>
      <c r="EG15164"/>
      <c r="EH15164"/>
      <c r="EI15164"/>
      <c r="EJ15164"/>
      <c r="EK15164"/>
    </row>
    <row r="15165" spans="1:141" s="116" customFormat="1">
      <c r="A15165" s="136"/>
      <c r="CM15165" s="111"/>
      <c r="CQ15165" s="111"/>
      <c r="EF15165"/>
      <c r="EG15165"/>
      <c r="EH15165"/>
      <c r="EI15165"/>
      <c r="EJ15165"/>
      <c r="EK15165"/>
    </row>
    <row r="15166" spans="1:141" s="116" customFormat="1">
      <c r="A15166" s="136"/>
      <c r="CM15166" s="111"/>
      <c r="CQ15166" s="111"/>
      <c r="EF15166"/>
      <c r="EG15166"/>
      <c r="EH15166"/>
      <c r="EI15166"/>
      <c r="EJ15166"/>
      <c r="EK15166"/>
    </row>
    <row r="15167" spans="1:141" s="116" customFormat="1">
      <c r="A15167" s="136"/>
      <c r="CM15167" s="111"/>
      <c r="CQ15167" s="111"/>
      <c r="EF15167"/>
      <c r="EG15167"/>
      <c r="EH15167"/>
      <c r="EI15167"/>
      <c r="EJ15167"/>
      <c r="EK15167"/>
    </row>
    <row r="15168" spans="1:141" s="116" customFormat="1">
      <c r="A15168" s="136"/>
      <c r="CM15168" s="111"/>
      <c r="CQ15168" s="111"/>
      <c r="EF15168"/>
      <c r="EG15168"/>
      <c r="EH15168"/>
      <c r="EI15168"/>
      <c r="EJ15168"/>
      <c r="EK15168"/>
    </row>
    <row r="15169" spans="1:141" s="116" customFormat="1">
      <c r="A15169" s="136"/>
      <c r="CM15169" s="111"/>
      <c r="CQ15169" s="111"/>
      <c r="EF15169"/>
      <c r="EG15169"/>
      <c r="EH15169"/>
      <c r="EI15169"/>
      <c r="EJ15169"/>
      <c r="EK15169"/>
    </row>
    <row r="15170" spans="1:141" s="116" customFormat="1">
      <c r="A15170" s="136"/>
      <c r="CM15170" s="111"/>
      <c r="CQ15170" s="111"/>
      <c r="EF15170"/>
      <c r="EG15170"/>
      <c r="EH15170"/>
      <c r="EI15170"/>
      <c r="EJ15170"/>
      <c r="EK15170"/>
    </row>
    <row r="15171" spans="1:141" s="116" customFormat="1">
      <c r="A15171" s="136"/>
      <c r="CM15171" s="111"/>
      <c r="CQ15171" s="111"/>
      <c r="EF15171"/>
      <c r="EG15171"/>
      <c r="EH15171"/>
      <c r="EI15171"/>
      <c r="EJ15171"/>
      <c r="EK15171"/>
    </row>
    <row r="15172" spans="1:141" s="116" customFormat="1">
      <c r="A15172" s="136"/>
      <c r="CM15172" s="111"/>
      <c r="CQ15172" s="111"/>
      <c r="EF15172"/>
      <c r="EG15172"/>
      <c r="EH15172"/>
      <c r="EI15172"/>
      <c r="EJ15172"/>
      <c r="EK15172"/>
    </row>
    <row r="15173" spans="1:141" s="116" customFormat="1">
      <c r="A15173" s="136"/>
      <c r="CM15173" s="111"/>
      <c r="CQ15173" s="111"/>
      <c r="EF15173"/>
      <c r="EG15173"/>
      <c r="EH15173"/>
      <c r="EI15173"/>
      <c r="EJ15173"/>
      <c r="EK15173"/>
    </row>
    <row r="15174" spans="1:141" s="116" customFormat="1">
      <c r="A15174" s="136"/>
      <c r="CM15174" s="111"/>
      <c r="CQ15174" s="111"/>
      <c r="EF15174"/>
      <c r="EG15174"/>
      <c r="EH15174"/>
      <c r="EI15174"/>
      <c r="EJ15174"/>
      <c r="EK15174"/>
    </row>
    <row r="15175" spans="1:141" s="116" customFormat="1">
      <c r="A15175" s="136"/>
      <c r="CM15175" s="111"/>
      <c r="CQ15175" s="111"/>
      <c r="EF15175"/>
      <c r="EG15175"/>
      <c r="EH15175"/>
      <c r="EI15175"/>
      <c r="EJ15175"/>
      <c r="EK15175"/>
    </row>
    <row r="15176" spans="1:141" s="116" customFormat="1">
      <c r="A15176" s="136"/>
      <c r="CM15176" s="111"/>
      <c r="CQ15176" s="111"/>
      <c r="EF15176"/>
      <c r="EG15176"/>
      <c r="EH15176"/>
      <c r="EI15176"/>
      <c r="EJ15176"/>
      <c r="EK15176"/>
    </row>
    <row r="15177" spans="1:141" s="116" customFormat="1">
      <c r="A15177" s="136"/>
      <c r="CM15177" s="111"/>
      <c r="CQ15177" s="111"/>
      <c r="EF15177"/>
      <c r="EG15177"/>
      <c r="EH15177"/>
      <c r="EI15177"/>
      <c r="EJ15177"/>
      <c r="EK15177"/>
    </row>
    <row r="15178" spans="1:141" s="116" customFormat="1">
      <c r="A15178" s="136"/>
      <c r="CM15178" s="111"/>
      <c r="CQ15178" s="111"/>
      <c r="EF15178"/>
      <c r="EG15178"/>
      <c r="EH15178"/>
      <c r="EI15178"/>
      <c r="EJ15178"/>
      <c r="EK15178"/>
    </row>
    <row r="15179" spans="1:141" s="116" customFormat="1">
      <c r="A15179" s="136"/>
      <c r="CM15179" s="111"/>
      <c r="CQ15179" s="111"/>
      <c r="EF15179"/>
      <c r="EG15179"/>
      <c r="EH15179"/>
      <c r="EI15179"/>
      <c r="EJ15179"/>
      <c r="EK15179"/>
    </row>
    <row r="15180" spans="1:141" s="116" customFormat="1">
      <c r="A15180" s="136"/>
      <c r="CM15180" s="111"/>
      <c r="CQ15180" s="111"/>
      <c r="EF15180"/>
      <c r="EG15180"/>
      <c r="EH15180"/>
      <c r="EI15180"/>
      <c r="EJ15180"/>
      <c r="EK15180"/>
    </row>
    <row r="15181" spans="1:141" s="116" customFormat="1">
      <c r="A15181" s="136"/>
      <c r="CM15181" s="111"/>
      <c r="CQ15181" s="111"/>
      <c r="EF15181"/>
      <c r="EG15181"/>
      <c r="EH15181"/>
      <c r="EI15181"/>
      <c r="EJ15181"/>
      <c r="EK15181"/>
    </row>
    <row r="15182" spans="1:141" s="116" customFormat="1">
      <c r="A15182" s="136"/>
      <c r="CM15182" s="111"/>
      <c r="CQ15182" s="111"/>
      <c r="EF15182"/>
      <c r="EG15182"/>
      <c r="EH15182"/>
      <c r="EI15182"/>
      <c r="EJ15182"/>
      <c r="EK15182"/>
    </row>
    <row r="15183" spans="1:141" s="116" customFormat="1">
      <c r="A15183" s="136"/>
      <c r="CM15183" s="111"/>
      <c r="CQ15183" s="111"/>
      <c r="EF15183"/>
      <c r="EG15183"/>
      <c r="EH15183"/>
      <c r="EI15183"/>
      <c r="EJ15183"/>
      <c r="EK15183"/>
    </row>
    <row r="15184" spans="1:141" s="116" customFormat="1">
      <c r="A15184" s="136"/>
      <c r="CM15184" s="111"/>
      <c r="CQ15184" s="111"/>
      <c r="EF15184"/>
      <c r="EG15184"/>
      <c r="EH15184"/>
      <c r="EI15184"/>
      <c r="EJ15184"/>
      <c r="EK15184"/>
    </row>
    <row r="15185" spans="1:141" s="116" customFormat="1">
      <c r="A15185" s="136"/>
      <c r="CM15185" s="111"/>
      <c r="CQ15185" s="111"/>
      <c r="EF15185"/>
      <c r="EG15185"/>
      <c r="EH15185"/>
      <c r="EI15185"/>
      <c r="EJ15185"/>
      <c r="EK15185"/>
    </row>
    <row r="15186" spans="1:141" s="116" customFormat="1">
      <c r="A15186" s="136"/>
      <c r="CM15186" s="111"/>
      <c r="CQ15186" s="111"/>
      <c r="EF15186"/>
      <c r="EG15186"/>
      <c r="EH15186"/>
      <c r="EI15186"/>
      <c r="EJ15186"/>
      <c r="EK15186"/>
    </row>
    <row r="15187" spans="1:141" s="116" customFormat="1">
      <c r="A15187" s="136"/>
      <c r="CM15187" s="111"/>
      <c r="CQ15187" s="111"/>
      <c r="EF15187"/>
      <c r="EG15187"/>
      <c r="EH15187"/>
      <c r="EI15187"/>
      <c r="EJ15187"/>
      <c r="EK15187"/>
    </row>
    <row r="15188" spans="1:141" s="116" customFormat="1">
      <c r="A15188" s="136"/>
      <c r="CM15188" s="111"/>
      <c r="CQ15188" s="111"/>
      <c r="EF15188"/>
      <c r="EG15188"/>
      <c r="EH15188"/>
      <c r="EI15188"/>
      <c r="EJ15188"/>
      <c r="EK15188"/>
    </row>
    <row r="15189" spans="1:141" s="116" customFormat="1">
      <c r="A15189" s="136"/>
      <c r="CM15189" s="111"/>
      <c r="CQ15189" s="111"/>
      <c r="EF15189"/>
      <c r="EG15189"/>
      <c r="EH15189"/>
      <c r="EI15189"/>
      <c r="EJ15189"/>
      <c r="EK15189"/>
    </row>
    <row r="15190" spans="1:141" s="116" customFormat="1">
      <c r="A15190" s="136"/>
      <c r="CM15190" s="111"/>
      <c r="CQ15190" s="111"/>
      <c r="EF15190"/>
      <c r="EG15190"/>
      <c r="EH15190"/>
      <c r="EI15190"/>
      <c r="EJ15190"/>
      <c r="EK15190"/>
    </row>
    <row r="15191" spans="1:141" s="116" customFormat="1">
      <c r="A15191" s="136"/>
      <c r="CM15191" s="111"/>
      <c r="CQ15191" s="111"/>
      <c r="EF15191"/>
      <c r="EG15191"/>
      <c r="EH15191"/>
      <c r="EI15191"/>
      <c r="EJ15191"/>
      <c r="EK15191"/>
    </row>
    <row r="15192" spans="1:141" s="116" customFormat="1">
      <c r="A15192" s="136"/>
      <c r="CM15192" s="111"/>
      <c r="CQ15192" s="111"/>
      <c r="EF15192"/>
      <c r="EG15192"/>
      <c r="EH15192"/>
      <c r="EI15192"/>
      <c r="EJ15192"/>
      <c r="EK15192"/>
    </row>
    <row r="15193" spans="1:141" s="116" customFormat="1">
      <c r="A15193" s="136"/>
      <c r="CM15193" s="111"/>
      <c r="CQ15193" s="111"/>
      <c r="EF15193"/>
      <c r="EG15193"/>
      <c r="EH15193"/>
      <c r="EI15193"/>
      <c r="EJ15193"/>
      <c r="EK15193"/>
    </row>
    <row r="15194" spans="1:141" s="116" customFormat="1">
      <c r="A15194" s="136"/>
      <c r="CM15194" s="111"/>
      <c r="CQ15194" s="111"/>
      <c r="EF15194"/>
      <c r="EG15194"/>
      <c r="EH15194"/>
      <c r="EI15194"/>
      <c r="EJ15194"/>
      <c r="EK15194"/>
    </row>
    <row r="15195" spans="1:141" s="116" customFormat="1">
      <c r="A15195" s="136"/>
      <c r="CM15195" s="111"/>
      <c r="CQ15195" s="111"/>
      <c r="EF15195"/>
      <c r="EG15195"/>
      <c r="EH15195"/>
      <c r="EI15195"/>
      <c r="EJ15195"/>
      <c r="EK15195"/>
    </row>
    <row r="15196" spans="1:141" s="116" customFormat="1">
      <c r="A15196" s="136"/>
      <c r="CM15196" s="111"/>
      <c r="CQ15196" s="111"/>
      <c r="EF15196"/>
      <c r="EG15196"/>
      <c r="EH15196"/>
      <c r="EI15196"/>
      <c r="EJ15196"/>
      <c r="EK15196"/>
    </row>
    <row r="15197" spans="1:141" s="116" customFormat="1">
      <c r="A15197" s="136"/>
      <c r="CM15197" s="111"/>
      <c r="CQ15197" s="111"/>
      <c r="EF15197"/>
      <c r="EG15197"/>
      <c r="EH15197"/>
      <c r="EI15197"/>
      <c r="EJ15197"/>
      <c r="EK15197"/>
    </row>
    <row r="15198" spans="1:141" s="116" customFormat="1">
      <c r="A15198" s="136"/>
      <c r="CM15198" s="111"/>
      <c r="CQ15198" s="111"/>
      <c r="EF15198"/>
      <c r="EG15198"/>
      <c r="EH15198"/>
      <c r="EI15198"/>
      <c r="EJ15198"/>
      <c r="EK15198"/>
    </row>
    <row r="15199" spans="1:141" s="116" customFormat="1">
      <c r="A15199" s="136"/>
      <c r="CM15199" s="111"/>
      <c r="CQ15199" s="111"/>
      <c r="EF15199"/>
      <c r="EG15199"/>
      <c r="EH15199"/>
      <c r="EI15199"/>
      <c r="EJ15199"/>
      <c r="EK15199"/>
    </row>
    <row r="15200" spans="1:141" s="116" customFormat="1">
      <c r="A15200" s="136"/>
      <c r="CM15200" s="111"/>
      <c r="CQ15200" s="111"/>
      <c r="EF15200"/>
      <c r="EG15200"/>
      <c r="EH15200"/>
      <c r="EI15200"/>
      <c r="EJ15200"/>
      <c r="EK15200"/>
    </row>
    <row r="15201" spans="1:141" s="116" customFormat="1">
      <c r="A15201" s="136"/>
      <c r="CM15201" s="111"/>
      <c r="CQ15201" s="111"/>
      <c r="EF15201"/>
      <c r="EG15201"/>
      <c r="EH15201"/>
      <c r="EI15201"/>
      <c r="EJ15201"/>
      <c r="EK15201"/>
    </row>
    <row r="15202" spans="1:141" s="116" customFormat="1">
      <c r="A15202" s="136"/>
      <c r="CM15202" s="111"/>
      <c r="CQ15202" s="111"/>
      <c r="EF15202"/>
      <c r="EG15202"/>
      <c r="EH15202"/>
      <c r="EI15202"/>
      <c r="EJ15202"/>
      <c r="EK15202"/>
    </row>
    <row r="15203" spans="1:141" s="116" customFormat="1">
      <c r="A15203" s="136"/>
      <c r="CM15203" s="111"/>
      <c r="CQ15203" s="111"/>
      <c r="EF15203"/>
      <c r="EG15203"/>
      <c r="EH15203"/>
      <c r="EI15203"/>
      <c r="EJ15203"/>
      <c r="EK15203"/>
    </row>
    <row r="15204" spans="1:141" s="116" customFormat="1">
      <c r="A15204" s="136"/>
      <c r="CM15204" s="111"/>
      <c r="CQ15204" s="111"/>
      <c r="EF15204"/>
      <c r="EG15204"/>
      <c r="EH15204"/>
      <c r="EI15204"/>
      <c r="EJ15204"/>
      <c r="EK15204"/>
    </row>
    <row r="15205" spans="1:141" s="116" customFormat="1">
      <c r="A15205" s="136"/>
      <c r="CM15205" s="111"/>
      <c r="CQ15205" s="111"/>
      <c r="EF15205"/>
      <c r="EG15205"/>
      <c r="EH15205"/>
      <c r="EI15205"/>
      <c r="EJ15205"/>
      <c r="EK15205"/>
    </row>
    <row r="15206" spans="1:141" s="116" customFormat="1">
      <c r="A15206" s="136"/>
      <c r="CM15206" s="111"/>
      <c r="CQ15206" s="111"/>
      <c r="EF15206"/>
      <c r="EG15206"/>
      <c r="EH15206"/>
      <c r="EI15206"/>
      <c r="EJ15206"/>
      <c r="EK15206"/>
    </row>
    <row r="15207" spans="1:141" s="116" customFormat="1">
      <c r="A15207" s="136"/>
      <c r="CM15207" s="111"/>
      <c r="CQ15207" s="111"/>
      <c r="EF15207"/>
      <c r="EG15207"/>
      <c r="EH15207"/>
      <c r="EI15207"/>
      <c r="EJ15207"/>
      <c r="EK15207"/>
    </row>
    <row r="15208" spans="1:141" s="116" customFormat="1">
      <c r="A15208" s="136"/>
      <c r="CM15208" s="111"/>
      <c r="CQ15208" s="111"/>
      <c r="EF15208"/>
      <c r="EG15208"/>
      <c r="EH15208"/>
      <c r="EI15208"/>
      <c r="EJ15208"/>
      <c r="EK15208"/>
    </row>
    <row r="15209" spans="1:141" s="116" customFormat="1">
      <c r="A15209" s="136"/>
      <c r="CM15209" s="111"/>
      <c r="CQ15209" s="111"/>
      <c r="EF15209"/>
      <c r="EG15209"/>
      <c r="EH15209"/>
      <c r="EI15209"/>
      <c r="EJ15209"/>
      <c r="EK15209"/>
    </row>
    <row r="15210" spans="1:141" s="116" customFormat="1">
      <c r="A15210" s="136"/>
      <c r="CM15210" s="111"/>
      <c r="CQ15210" s="111"/>
      <c r="EF15210"/>
      <c r="EG15210"/>
      <c r="EH15210"/>
      <c r="EI15210"/>
      <c r="EJ15210"/>
      <c r="EK15210"/>
    </row>
    <row r="15211" spans="1:141" s="116" customFormat="1">
      <c r="A15211" s="136"/>
      <c r="CM15211" s="111"/>
      <c r="CQ15211" s="111"/>
      <c r="EF15211"/>
      <c r="EG15211"/>
      <c r="EH15211"/>
      <c r="EI15211"/>
      <c r="EJ15211"/>
      <c r="EK15211"/>
    </row>
    <row r="15212" spans="1:141" s="116" customFormat="1">
      <c r="A15212" s="136"/>
      <c r="CM15212" s="111"/>
      <c r="CQ15212" s="111"/>
      <c r="EF15212"/>
      <c r="EG15212"/>
      <c r="EH15212"/>
      <c r="EI15212"/>
      <c r="EJ15212"/>
      <c r="EK15212"/>
    </row>
    <row r="15213" spans="1:141" s="116" customFormat="1">
      <c r="A15213" s="136"/>
      <c r="CM15213" s="111"/>
      <c r="CQ15213" s="111"/>
      <c r="EF15213"/>
      <c r="EG15213"/>
      <c r="EH15213"/>
      <c r="EI15213"/>
      <c r="EJ15213"/>
      <c r="EK15213"/>
    </row>
    <row r="15214" spans="1:141" s="116" customFormat="1">
      <c r="A15214" s="136"/>
      <c r="CM15214" s="111"/>
      <c r="CQ15214" s="111"/>
      <c r="EF15214"/>
      <c r="EG15214"/>
      <c r="EH15214"/>
      <c r="EI15214"/>
      <c r="EJ15214"/>
      <c r="EK15214"/>
    </row>
    <row r="15215" spans="1:141" s="116" customFormat="1">
      <c r="A15215" s="136"/>
      <c r="CM15215" s="111"/>
      <c r="CQ15215" s="111"/>
      <c r="EF15215"/>
      <c r="EG15215"/>
      <c r="EH15215"/>
      <c r="EI15215"/>
      <c r="EJ15215"/>
      <c r="EK15215"/>
    </row>
    <row r="15216" spans="1:141" s="116" customFormat="1">
      <c r="A15216" s="136"/>
      <c r="CM15216" s="111"/>
      <c r="CQ15216" s="111"/>
      <c r="EF15216"/>
      <c r="EG15216"/>
      <c r="EH15216"/>
      <c r="EI15216"/>
      <c r="EJ15216"/>
      <c r="EK15216"/>
    </row>
    <row r="15217" spans="1:141" s="116" customFormat="1">
      <c r="A15217" s="136"/>
      <c r="CM15217" s="111"/>
      <c r="CQ15217" s="111"/>
      <c r="EF15217"/>
      <c r="EG15217"/>
      <c r="EH15217"/>
      <c r="EI15217"/>
      <c r="EJ15217"/>
      <c r="EK15217"/>
    </row>
    <row r="15218" spans="1:141" s="116" customFormat="1">
      <c r="A15218" s="136"/>
      <c r="CM15218" s="111"/>
      <c r="CQ15218" s="111"/>
      <c r="EF15218"/>
      <c r="EG15218"/>
      <c r="EH15218"/>
      <c r="EI15218"/>
      <c r="EJ15218"/>
      <c r="EK15218"/>
    </row>
    <row r="15219" spans="1:141" s="116" customFormat="1">
      <c r="A15219" s="136"/>
      <c r="CM15219" s="111"/>
      <c r="CQ15219" s="111"/>
      <c r="EF15219"/>
      <c r="EG15219"/>
      <c r="EH15219"/>
      <c r="EI15219"/>
      <c r="EJ15219"/>
      <c r="EK15219"/>
    </row>
    <row r="15220" spans="1:141" s="116" customFormat="1">
      <c r="A15220" s="136"/>
      <c r="CM15220" s="111"/>
      <c r="CQ15220" s="111"/>
      <c r="EF15220"/>
      <c r="EG15220"/>
      <c r="EH15220"/>
      <c r="EI15220"/>
      <c r="EJ15220"/>
      <c r="EK15220"/>
    </row>
    <row r="15221" spans="1:141" s="116" customFormat="1">
      <c r="A15221" s="136"/>
      <c r="CM15221" s="111"/>
      <c r="CQ15221" s="111"/>
      <c r="EF15221"/>
      <c r="EG15221"/>
      <c r="EH15221"/>
      <c r="EI15221"/>
      <c r="EJ15221"/>
      <c r="EK15221"/>
    </row>
    <row r="15222" spans="1:141" s="116" customFormat="1">
      <c r="A15222" s="136"/>
      <c r="CM15222" s="111"/>
      <c r="CQ15222" s="111"/>
      <c r="EF15222"/>
      <c r="EG15222"/>
      <c r="EH15222"/>
      <c r="EI15222"/>
      <c r="EJ15222"/>
      <c r="EK15222"/>
    </row>
    <row r="15223" spans="1:141" s="116" customFormat="1">
      <c r="A15223" s="136"/>
      <c r="CM15223" s="111"/>
      <c r="CQ15223" s="111"/>
      <c r="EF15223"/>
      <c r="EG15223"/>
      <c r="EH15223"/>
      <c r="EI15223"/>
      <c r="EJ15223"/>
      <c r="EK15223"/>
    </row>
    <row r="15224" spans="1:141" s="116" customFormat="1">
      <c r="A15224" s="136"/>
      <c r="CM15224" s="111"/>
      <c r="CQ15224" s="111"/>
      <c r="EF15224"/>
      <c r="EG15224"/>
      <c r="EH15224"/>
      <c r="EI15224"/>
      <c r="EJ15224"/>
      <c r="EK15224"/>
    </row>
    <row r="15225" spans="1:141" s="116" customFormat="1">
      <c r="A15225" s="136"/>
      <c r="CM15225" s="111"/>
      <c r="CQ15225" s="111"/>
      <c r="EF15225"/>
      <c r="EG15225"/>
      <c r="EH15225"/>
      <c r="EI15225"/>
      <c r="EJ15225"/>
      <c r="EK15225"/>
    </row>
    <row r="15226" spans="1:141" s="116" customFormat="1">
      <c r="A15226" s="136"/>
      <c r="CM15226" s="111"/>
      <c r="CQ15226" s="111"/>
      <c r="EF15226"/>
      <c r="EG15226"/>
      <c r="EH15226"/>
      <c r="EI15226"/>
      <c r="EJ15226"/>
      <c r="EK15226"/>
    </row>
    <row r="15227" spans="1:141" s="116" customFormat="1">
      <c r="A15227" s="136"/>
      <c r="CM15227" s="111"/>
      <c r="CQ15227" s="111"/>
      <c r="EF15227"/>
      <c r="EG15227"/>
      <c r="EH15227"/>
      <c r="EI15227"/>
      <c r="EJ15227"/>
      <c r="EK15227"/>
    </row>
    <row r="15228" spans="1:141" s="116" customFormat="1">
      <c r="A15228" s="136"/>
      <c r="CM15228" s="111"/>
      <c r="CQ15228" s="111"/>
      <c r="EF15228"/>
      <c r="EG15228"/>
      <c r="EH15228"/>
      <c r="EI15228"/>
      <c r="EJ15228"/>
      <c r="EK15228"/>
    </row>
    <row r="15229" spans="1:141" s="116" customFormat="1">
      <c r="A15229" s="136"/>
      <c r="CM15229" s="111"/>
      <c r="CQ15229" s="111"/>
      <c r="EF15229"/>
      <c r="EG15229"/>
      <c r="EH15229"/>
      <c r="EI15229"/>
      <c r="EJ15229"/>
      <c r="EK15229"/>
    </row>
    <row r="15230" spans="1:141" s="116" customFormat="1">
      <c r="A15230" s="136"/>
      <c r="CM15230" s="111"/>
      <c r="CQ15230" s="111"/>
      <c r="EF15230"/>
      <c r="EG15230"/>
      <c r="EH15230"/>
      <c r="EI15230"/>
      <c r="EJ15230"/>
      <c r="EK15230"/>
    </row>
    <row r="15231" spans="1:141" s="116" customFormat="1">
      <c r="A15231" s="136"/>
      <c r="CM15231" s="111"/>
      <c r="CQ15231" s="111"/>
      <c r="EF15231"/>
      <c r="EG15231"/>
      <c r="EH15231"/>
      <c r="EI15231"/>
      <c r="EJ15231"/>
      <c r="EK15231"/>
    </row>
    <row r="15232" spans="1:141" s="116" customFormat="1">
      <c r="A15232" s="136"/>
      <c r="CM15232" s="111"/>
      <c r="CQ15232" s="111"/>
      <c r="EF15232"/>
      <c r="EG15232"/>
      <c r="EH15232"/>
      <c r="EI15232"/>
      <c r="EJ15232"/>
      <c r="EK15232"/>
    </row>
    <row r="15233" spans="1:141" s="116" customFormat="1">
      <c r="A15233" s="136"/>
      <c r="CM15233" s="111"/>
      <c r="CQ15233" s="111"/>
      <c r="EF15233"/>
      <c r="EG15233"/>
      <c r="EH15233"/>
      <c r="EI15233"/>
      <c r="EJ15233"/>
      <c r="EK15233"/>
    </row>
    <row r="15234" spans="1:141" s="116" customFormat="1">
      <c r="A15234" s="136"/>
      <c r="CM15234" s="111"/>
      <c r="CQ15234" s="111"/>
      <c r="EF15234"/>
      <c r="EG15234"/>
      <c r="EH15234"/>
      <c r="EI15234"/>
      <c r="EJ15234"/>
      <c r="EK15234"/>
    </row>
    <row r="15235" spans="1:141" s="116" customFormat="1">
      <c r="A15235" s="136"/>
      <c r="CM15235" s="111"/>
      <c r="CQ15235" s="111"/>
      <c r="EF15235"/>
      <c r="EG15235"/>
      <c r="EH15235"/>
      <c r="EI15235"/>
      <c r="EJ15235"/>
      <c r="EK15235"/>
    </row>
    <row r="15236" spans="1:141" s="116" customFormat="1">
      <c r="A15236" s="136"/>
      <c r="CM15236" s="111"/>
      <c r="CQ15236" s="111"/>
      <c r="EF15236"/>
      <c r="EG15236"/>
      <c r="EH15236"/>
      <c r="EI15236"/>
      <c r="EJ15236"/>
      <c r="EK15236"/>
    </row>
    <row r="15237" spans="1:141" s="116" customFormat="1">
      <c r="A15237" s="136"/>
      <c r="CM15237" s="111"/>
      <c r="CQ15237" s="111"/>
      <c r="EF15237"/>
      <c r="EG15237"/>
      <c r="EH15237"/>
      <c r="EI15237"/>
      <c r="EJ15237"/>
      <c r="EK15237"/>
    </row>
    <row r="15238" spans="1:141" s="116" customFormat="1">
      <c r="A15238" s="136"/>
      <c r="CM15238" s="111"/>
      <c r="CQ15238" s="111"/>
      <c r="EF15238"/>
      <c r="EG15238"/>
      <c r="EH15238"/>
      <c r="EI15238"/>
      <c r="EJ15238"/>
      <c r="EK15238"/>
    </row>
    <row r="15239" spans="1:141" s="116" customFormat="1">
      <c r="A15239" s="136"/>
      <c r="CM15239" s="111"/>
      <c r="CQ15239" s="111"/>
      <c r="EF15239"/>
      <c r="EG15239"/>
      <c r="EH15239"/>
      <c r="EI15239"/>
      <c r="EJ15239"/>
      <c r="EK15239"/>
    </row>
    <row r="15240" spans="1:141" s="116" customFormat="1">
      <c r="A15240" s="136"/>
      <c r="CM15240" s="111"/>
      <c r="CQ15240" s="111"/>
      <c r="EF15240"/>
      <c r="EG15240"/>
      <c r="EH15240"/>
      <c r="EI15240"/>
      <c r="EJ15240"/>
      <c r="EK15240"/>
    </row>
    <row r="15241" spans="1:141" s="116" customFormat="1">
      <c r="A15241" s="136"/>
      <c r="CM15241" s="111"/>
      <c r="CQ15241" s="111"/>
      <c r="EF15241"/>
      <c r="EG15241"/>
      <c r="EH15241"/>
      <c r="EI15241"/>
      <c r="EJ15241"/>
      <c r="EK15241"/>
    </row>
    <row r="15242" spans="1:141" s="116" customFormat="1">
      <c r="A15242" s="136"/>
      <c r="CM15242" s="111"/>
      <c r="CQ15242" s="111"/>
      <c r="EF15242"/>
      <c r="EG15242"/>
      <c r="EH15242"/>
      <c r="EI15242"/>
      <c r="EJ15242"/>
      <c r="EK15242"/>
    </row>
    <row r="15243" spans="1:141" s="116" customFormat="1">
      <c r="A15243" s="136"/>
      <c r="CM15243" s="111"/>
      <c r="CQ15243" s="111"/>
      <c r="EF15243"/>
      <c r="EG15243"/>
      <c r="EH15243"/>
      <c r="EI15243"/>
      <c r="EJ15243"/>
      <c r="EK15243"/>
    </row>
    <row r="15244" spans="1:141" s="116" customFormat="1">
      <c r="A15244" s="136"/>
      <c r="CM15244" s="111"/>
      <c r="CQ15244" s="111"/>
      <c r="EF15244"/>
      <c r="EG15244"/>
      <c r="EH15244"/>
      <c r="EI15244"/>
      <c r="EJ15244"/>
      <c r="EK15244"/>
    </row>
    <row r="15245" spans="1:141" s="116" customFormat="1">
      <c r="A15245" s="136"/>
      <c r="CM15245" s="111"/>
      <c r="CQ15245" s="111"/>
      <c r="EF15245"/>
      <c r="EG15245"/>
      <c r="EH15245"/>
      <c r="EI15245"/>
      <c r="EJ15245"/>
      <c r="EK15245"/>
    </row>
    <row r="15246" spans="1:141" s="116" customFormat="1">
      <c r="A15246" s="136"/>
      <c r="CM15246" s="111"/>
      <c r="CQ15246" s="111"/>
      <c r="EF15246"/>
      <c r="EG15246"/>
      <c r="EH15246"/>
      <c r="EI15246"/>
      <c r="EJ15246"/>
      <c r="EK15246"/>
    </row>
    <row r="15247" spans="1:141" s="116" customFormat="1">
      <c r="A15247" s="136"/>
      <c r="CM15247" s="111"/>
      <c r="CQ15247" s="111"/>
      <c r="EF15247"/>
      <c r="EG15247"/>
      <c r="EH15247"/>
      <c r="EI15247"/>
      <c r="EJ15247"/>
      <c r="EK15247"/>
    </row>
    <row r="15248" spans="1:141" s="116" customFormat="1">
      <c r="A15248" s="136"/>
      <c r="CM15248" s="111"/>
      <c r="CQ15248" s="111"/>
      <c r="EF15248"/>
      <c r="EG15248"/>
      <c r="EH15248"/>
      <c r="EI15248"/>
      <c r="EJ15248"/>
      <c r="EK15248"/>
    </row>
    <row r="15249" spans="1:141" s="116" customFormat="1">
      <c r="A15249" s="136"/>
      <c r="CM15249" s="111"/>
      <c r="CQ15249" s="111"/>
      <c r="EF15249"/>
      <c r="EG15249"/>
      <c r="EH15249"/>
      <c r="EI15249"/>
      <c r="EJ15249"/>
      <c r="EK15249"/>
    </row>
    <row r="15250" spans="1:141" s="116" customFormat="1">
      <c r="A15250" s="136"/>
      <c r="CM15250" s="111"/>
      <c r="CQ15250" s="111"/>
      <c r="EF15250"/>
      <c r="EG15250"/>
      <c r="EH15250"/>
      <c r="EI15250"/>
      <c r="EJ15250"/>
      <c r="EK15250"/>
    </row>
    <row r="15251" spans="1:141" s="116" customFormat="1">
      <c r="A15251" s="136"/>
      <c r="CM15251" s="111"/>
      <c r="CQ15251" s="111"/>
      <c r="EF15251"/>
      <c r="EG15251"/>
      <c r="EH15251"/>
      <c r="EI15251"/>
      <c r="EJ15251"/>
      <c r="EK15251"/>
    </row>
    <row r="15252" spans="1:141" s="116" customFormat="1">
      <c r="A15252" s="136"/>
      <c r="CM15252" s="111"/>
      <c r="CQ15252" s="111"/>
      <c r="EF15252"/>
      <c r="EG15252"/>
      <c r="EH15252"/>
      <c r="EI15252"/>
      <c r="EJ15252"/>
      <c r="EK15252"/>
    </row>
    <row r="15253" spans="1:141" s="116" customFormat="1">
      <c r="A15253" s="136"/>
      <c r="CM15253" s="111"/>
      <c r="CQ15253" s="111"/>
      <c r="EF15253"/>
      <c r="EG15253"/>
      <c r="EH15253"/>
      <c r="EI15253"/>
      <c r="EJ15253"/>
      <c r="EK15253"/>
    </row>
    <row r="15254" spans="1:141" s="116" customFormat="1">
      <c r="A15254" s="136"/>
      <c r="CM15254" s="111"/>
      <c r="CQ15254" s="111"/>
      <c r="EF15254"/>
      <c r="EG15254"/>
      <c r="EH15254"/>
      <c r="EI15254"/>
      <c r="EJ15254"/>
      <c r="EK15254"/>
    </row>
    <row r="15255" spans="1:141" s="116" customFormat="1">
      <c r="A15255" s="136"/>
      <c r="CM15255" s="111"/>
      <c r="CQ15255" s="111"/>
      <c r="EF15255"/>
      <c r="EG15255"/>
      <c r="EH15255"/>
      <c r="EI15255"/>
      <c r="EJ15255"/>
      <c r="EK15255"/>
    </row>
    <row r="15256" spans="1:141" s="116" customFormat="1">
      <c r="A15256" s="136"/>
      <c r="CM15256" s="111"/>
      <c r="CQ15256" s="111"/>
      <c r="EF15256"/>
      <c r="EG15256"/>
      <c r="EH15256"/>
      <c r="EI15256"/>
      <c r="EJ15256"/>
      <c r="EK15256"/>
    </row>
    <row r="15257" spans="1:141" s="116" customFormat="1">
      <c r="A15257" s="136"/>
      <c r="CM15257" s="111"/>
      <c r="CQ15257" s="111"/>
      <c r="EF15257"/>
      <c r="EG15257"/>
      <c r="EH15257"/>
      <c r="EI15257"/>
      <c r="EJ15257"/>
      <c r="EK15257"/>
    </row>
    <row r="15258" spans="1:141" s="116" customFormat="1">
      <c r="A15258" s="136"/>
      <c r="CM15258" s="111"/>
      <c r="CQ15258" s="111"/>
      <c r="EF15258"/>
      <c r="EG15258"/>
      <c r="EH15258"/>
      <c r="EI15258"/>
      <c r="EJ15258"/>
      <c r="EK15258"/>
    </row>
    <row r="15259" spans="1:141" s="116" customFormat="1">
      <c r="A15259" s="136"/>
      <c r="CM15259" s="111"/>
      <c r="CQ15259" s="111"/>
      <c r="EF15259"/>
      <c r="EG15259"/>
      <c r="EH15259"/>
      <c r="EI15259"/>
      <c r="EJ15259"/>
      <c r="EK15259"/>
    </row>
    <row r="15260" spans="1:141" s="116" customFormat="1">
      <c r="A15260" s="136"/>
      <c r="CM15260" s="111"/>
      <c r="CQ15260" s="111"/>
      <c r="EF15260"/>
      <c r="EG15260"/>
      <c r="EH15260"/>
      <c r="EI15260"/>
      <c r="EJ15260"/>
      <c r="EK15260"/>
    </row>
    <row r="15261" spans="1:141" s="116" customFormat="1">
      <c r="A15261" s="136"/>
      <c r="CM15261" s="111"/>
      <c r="CQ15261" s="111"/>
      <c r="EF15261"/>
      <c r="EG15261"/>
      <c r="EH15261"/>
      <c r="EI15261"/>
      <c r="EJ15261"/>
      <c r="EK15261"/>
    </row>
    <row r="15262" spans="1:141" s="116" customFormat="1">
      <c r="A15262" s="136"/>
      <c r="CM15262" s="111"/>
      <c r="CQ15262" s="111"/>
      <c r="EF15262"/>
      <c r="EG15262"/>
      <c r="EH15262"/>
      <c r="EI15262"/>
      <c r="EJ15262"/>
      <c r="EK15262"/>
    </row>
    <row r="15263" spans="1:141" s="116" customFormat="1">
      <c r="A15263" s="136"/>
      <c r="CM15263" s="111"/>
      <c r="CQ15263" s="111"/>
      <c r="EF15263"/>
      <c r="EG15263"/>
      <c r="EH15263"/>
      <c r="EI15263"/>
      <c r="EJ15263"/>
      <c r="EK15263"/>
    </row>
    <row r="15264" spans="1:141" s="116" customFormat="1">
      <c r="A15264" s="136"/>
      <c r="CM15264" s="111"/>
      <c r="CQ15264" s="111"/>
      <c r="EF15264"/>
      <c r="EG15264"/>
      <c r="EH15264"/>
      <c r="EI15264"/>
      <c r="EJ15264"/>
      <c r="EK15264"/>
    </row>
    <row r="15265" spans="1:141" s="116" customFormat="1">
      <c r="A15265" s="136"/>
      <c r="CM15265" s="111"/>
      <c r="CQ15265" s="111"/>
      <c r="EF15265"/>
      <c r="EG15265"/>
      <c r="EH15265"/>
      <c r="EI15265"/>
      <c r="EJ15265"/>
      <c r="EK15265"/>
    </row>
    <row r="15266" spans="1:141" s="116" customFormat="1">
      <c r="A15266" s="136"/>
      <c r="CM15266" s="111"/>
      <c r="CQ15266" s="111"/>
      <c r="EF15266"/>
      <c r="EG15266"/>
      <c r="EH15266"/>
      <c r="EI15266"/>
      <c r="EJ15266"/>
      <c r="EK15266"/>
    </row>
    <row r="15267" spans="1:141" s="116" customFormat="1">
      <c r="A15267" s="136"/>
      <c r="CM15267" s="111"/>
      <c r="CQ15267" s="111"/>
      <c r="EF15267"/>
      <c r="EG15267"/>
      <c r="EH15267"/>
      <c r="EI15267"/>
      <c r="EJ15267"/>
      <c r="EK15267"/>
    </row>
    <row r="15268" spans="1:141" s="116" customFormat="1">
      <c r="A15268" s="136"/>
      <c r="CM15268" s="111"/>
      <c r="CQ15268" s="111"/>
      <c r="EF15268"/>
      <c r="EG15268"/>
      <c r="EH15268"/>
      <c r="EI15268"/>
      <c r="EJ15268"/>
      <c r="EK15268"/>
    </row>
    <row r="15269" spans="1:141" s="116" customFormat="1">
      <c r="A15269" s="136"/>
      <c r="CM15269" s="111"/>
      <c r="CQ15269" s="111"/>
      <c r="EF15269"/>
      <c r="EG15269"/>
      <c r="EH15269"/>
      <c r="EI15269"/>
      <c r="EJ15269"/>
      <c r="EK15269"/>
    </row>
    <row r="15270" spans="1:141" s="116" customFormat="1">
      <c r="A15270" s="136"/>
      <c r="CM15270" s="111"/>
      <c r="CQ15270" s="111"/>
      <c r="EF15270"/>
      <c r="EG15270"/>
      <c r="EH15270"/>
      <c r="EI15270"/>
      <c r="EJ15270"/>
      <c r="EK15270"/>
    </row>
    <row r="15271" spans="1:141" s="116" customFormat="1">
      <c r="A15271" s="136"/>
      <c r="CM15271" s="111"/>
      <c r="CQ15271" s="111"/>
      <c r="EF15271"/>
      <c r="EG15271"/>
      <c r="EH15271"/>
      <c r="EI15271"/>
      <c r="EJ15271"/>
      <c r="EK15271"/>
    </row>
    <row r="15272" spans="1:141" s="116" customFormat="1">
      <c r="A15272" s="136"/>
      <c r="CM15272" s="111"/>
      <c r="CQ15272" s="111"/>
      <c r="EF15272"/>
      <c r="EG15272"/>
      <c r="EH15272"/>
      <c r="EI15272"/>
      <c r="EJ15272"/>
      <c r="EK15272"/>
    </row>
    <row r="15273" spans="1:141" s="116" customFormat="1">
      <c r="A15273" s="136"/>
      <c r="CM15273" s="111"/>
      <c r="CQ15273" s="111"/>
      <c r="EF15273"/>
      <c r="EG15273"/>
      <c r="EH15273"/>
      <c r="EI15273"/>
      <c r="EJ15273"/>
      <c r="EK15273"/>
    </row>
    <row r="15274" spans="1:141" s="116" customFormat="1">
      <c r="A15274" s="136"/>
      <c r="CM15274" s="111"/>
      <c r="CQ15274" s="111"/>
      <c r="EF15274"/>
      <c r="EG15274"/>
      <c r="EH15274"/>
      <c r="EI15274"/>
      <c r="EJ15274"/>
      <c r="EK15274"/>
    </row>
    <row r="15275" spans="1:141" s="116" customFormat="1">
      <c r="A15275" s="136"/>
      <c r="CM15275" s="111"/>
      <c r="CQ15275" s="111"/>
      <c r="EF15275"/>
      <c r="EG15275"/>
      <c r="EH15275"/>
      <c r="EI15275"/>
      <c r="EJ15275"/>
      <c r="EK15275"/>
    </row>
    <row r="15276" spans="1:141" s="116" customFormat="1">
      <c r="A15276" s="136"/>
      <c r="CM15276" s="111"/>
      <c r="CQ15276" s="111"/>
      <c r="EF15276"/>
      <c r="EG15276"/>
      <c r="EH15276"/>
      <c r="EI15276"/>
      <c r="EJ15276"/>
      <c r="EK15276"/>
    </row>
    <row r="15277" spans="1:141" s="116" customFormat="1">
      <c r="A15277" s="136"/>
      <c r="CM15277" s="111"/>
      <c r="CQ15277" s="111"/>
      <c r="EF15277"/>
      <c r="EG15277"/>
      <c r="EH15277"/>
      <c r="EI15277"/>
      <c r="EJ15277"/>
      <c r="EK15277"/>
    </row>
    <row r="15278" spans="1:141" s="116" customFormat="1">
      <c r="A15278" s="136"/>
      <c r="CM15278" s="111"/>
      <c r="CQ15278" s="111"/>
      <c r="EF15278"/>
      <c r="EG15278"/>
      <c r="EH15278"/>
      <c r="EI15278"/>
      <c r="EJ15278"/>
      <c r="EK15278"/>
    </row>
    <row r="15279" spans="1:141" s="116" customFormat="1">
      <c r="A15279" s="136"/>
      <c r="CM15279" s="111"/>
      <c r="CQ15279" s="111"/>
      <c r="EF15279"/>
      <c r="EG15279"/>
      <c r="EH15279"/>
      <c r="EI15279"/>
      <c r="EJ15279"/>
      <c r="EK15279"/>
    </row>
    <row r="15280" spans="1:141" s="116" customFormat="1">
      <c r="A15280" s="136"/>
      <c r="CM15280" s="111"/>
      <c r="CQ15280" s="111"/>
      <c r="EF15280"/>
      <c r="EG15280"/>
      <c r="EH15280"/>
      <c r="EI15280"/>
      <c r="EJ15280"/>
      <c r="EK15280"/>
    </row>
    <row r="15281" spans="1:141" s="116" customFormat="1">
      <c r="A15281" s="136"/>
      <c r="CM15281" s="111"/>
      <c r="CQ15281" s="111"/>
      <c r="EF15281"/>
      <c r="EG15281"/>
      <c r="EH15281"/>
      <c r="EI15281"/>
      <c r="EJ15281"/>
      <c r="EK15281"/>
    </row>
    <row r="15282" spans="1:141" s="116" customFormat="1">
      <c r="A15282" s="136"/>
      <c r="CM15282" s="111"/>
      <c r="CQ15282" s="111"/>
      <c r="EF15282"/>
      <c r="EG15282"/>
      <c r="EH15282"/>
      <c r="EI15282"/>
      <c r="EJ15282"/>
      <c r="EK15282"/>
    </row>
    <row r="15283" spans="1:141" s="116" customFormat="1">
      <c r="A15283" s="136"/>
      <c r="CM15283" s="111"/>
      <c r="CQ15283" s="111"/>
      <c r="EF15283"/>
      <c r="EG15283"/>
      <c r="EH15283"/>
      <c r="EI15283"/>
      <c r="EJ15283"/>
      <c r="EK15283"/>
    </row>
    <row r="15284" spans="1:141" s="116" customFormat="1">
      <c r="A15284" s="136"/>
      <c r="CM15284" s="111"/>
      <c r="CQ15284" s="111"/>
      <c r="EF15284"/>
      <c r="EG15284"/>
      <c r="EH15284"/>
      <c r="EI15284"/>
      <c r="EJ15284"/>
      <c r="EK15284"/>
    </row>
    <row r="15285" spans="1:141" s="116" customFormat="1">
      <c r="A15285" s="136"/>
      <c r="CM15285" s="111"/>
      <c r="CQ15285" s="111"/>
      <c r="EF15285"/>
      <c r="EG15285"/>
      <c r="EH15285"/>
      <c r="EI15285"/>
      <c r="EJ15285"/>
      <c r="EK15285"/>
    </row>
    <row r="15286" spans="1:141" s="116" customFormat="1">
      <c r="A15286" s="136"/>
      <c r="CM15286" s="111"/>
      <c r="CQ15286" s="111"/>
      <c r="EF15286"/>
      <c r="EG15286"/>
      <c r="EH15286"/>
      <c r="EI15286"/>
      <c r="EJ15286"/>
      <c r="EK15286"/>
    </row>
    <row r="15287" spans="1:141" s="116" customFormat="1">
      <c r="A15287" s="136"/>
      <c r="CM15287" s="111"/>
      <c r="CQ15287" s="111"/>
      <c r="EF15287"/>
      <c r="EG15287"/>
      <c r="EH15287"/>
      <c r="EI15287"/>
      <c r="EJ15287"/>
      <c r="EK15287"/>
    </row>
    <row r="15288" spans="1:141" s="116" customFormat="1">
      <c r="A15288" s="136"/>
      <c r="CM15288" s="111"/>
      <c r="CQ15288" s="111"/>
      <c r="EF15288"/>
      <c r="EG15288"/>
      <c r="EH15288"/>
      <c r="EI15288"/>
      <c r="EJ15288"/>
      <c r="EK15288"/>
    </row>
    <row r="15289" spans="1:141" s="116" customFormat="1">
      <c r="A15289" s="136"/>
      <c r="CM15289" s="111"/>
      <c r="CQ15289" s="111"/>
      <c r="EF15289"/>
      <c r="EG15289"/>
      <c r="EH15289"/>
      <c r="EI15289"/>
      <c r="EJ15289"/>
      <c r="EK15289"/>
    </row>
    <row r="15290" spans="1:141" s="116" customFormat="1">
      <c r="A15290" s="136"/>
      <c r="CM15290" s="111"/>
      <c r="CQ15290" s="111"/>
      <c r="EF15290"/>
      <c r="EG15290"/>
      <c r="EH15290"/>
      <c r="EI15290"/>
      <c r="EJ15290"/>
      <c r="EK15290"/>
    </row>
    <row r="15291" spans="1:141" s="116" customFormat="1">
      <c r="A15291" s="136"/>
      <c r="CM15291" s="111"/>
      <c r="CQ15291" s="111"/>
      <c r="EF15291"/>
      <c r="EG15291"/>
      <c r="EH15291"/>
      <c r="EI15291"/>
      <c r="EJ15291"/>
      <c r="EK15291"/>
    </row>
    <row r="15292" spans="1:141" s="116" customFormat="1">
      <c r="A15292" s="136"/>
      <c r="CM15292" s="111"/>
      <c r="CQ15292" s="111"/>
      <c r="EF15292"/>
      <c r="EG15292"/>
      <c r="EH15292"/>
      <c r="EI15292"/>
      <c r="EJ15292"/>
      <c r="EK15292"/>
    </row>
    <row r="15293" spans="1:141" s="116" customFormat="1">
      <c r="A15293" s="136"/>
      <c r="CM15293" s="111"/>
      <c r="CQ15293" s="111"/>
      <c r="EF15293"/>
      <c r="EG15293"/>
      <c r="EH15293"/>
      <c r="EI15293"/>
      <c r="EJ15293"/>
      <c r="EK15293"/>
    </row>
    <row r="15294" spans="1:141" s="116" customFormat="1">
      <c r="A15294" s="136"/>
      <c r="CM15294" s="111"/>
      <c r="CQ15294" s="111"/>
      <c r="EF15294"/>
      <c r="EG15294"/>
      <c r="EH15294"/>
      <c r="EI15294"/>
      <c r="EJ15294"/>
      <c r="EK15294"/>
    </row>
    <row r="15295" spans="1:141" s="116" customFormat="1">
      <c r="A15295" s="136"/>
      <c r="CM15295" s="111"/>
      <c r="CQ15295" s="111"/>
      <c r="EF15295"/>
      <c r="EG15295"/>
      <c r="EH15295"/>
      <c r="EI15295"/>
      <c r="EJ15295"/>
      <c r="EK15295"/>
    </row>
    <row r="15296" spans="1:141" s="116" customFormat="1">
      <c r="A15296" s="136"/>
      <c r="CM15296" s="111"/>
      <c r="CQ15296" s="111"/>
      <c r="EF15296"/>
      <c r="EG15296"/>
      <c r="EH15296"/>
      <c r="EI15296"/>
      <c r="EJ15296"/>
      <c r="EK15296"/>
    </row>
    <row r="15297" spans="1:141" s="116" customFormat="1">
      <c r="A15297" s="136"/>
      <c r="CM15297" s="111"/>
      <c r="CQ15297" s="111"/>
      <c r="EF15297"/>
      <c r="EG15297"/>
      <c r="EH15297"/>
      <c r="EI15297"/>
      <c r="EJ15297"/>
      <c r="EK15297"/>
    </row>
    <row r="15298" spans="1:141" s="116" customFormat="1">
      <c r="A15298" s="136"/>
      <c r="CM15298" s="111"/>
      <c r="CQ15298" s="111"/>
      <c r="EF15298"/>
      <c r="EG15298"/>
      <c r="EH15298"/>
      <c r="EI15298"/>
      <c r="EJ15298"/>
      <c r="EK15298"/>
    </row>
    <row r="15299" spans="1:141" s="116" customFormat="1">
      <c r="A15299" s="136"/>
      <c r="CM15299" s="111"/>
      <c r="CQ15299" s="111"/>
      <c r="EF15299"/>
      <c r="EG15299"/>
      <c r="EH15299"/>
      <c r="EI15299"/>
      <c r="EJ15299"/>
      <c r="EK15299"/>
    </row>
    <row r="15300" spans="1:141" s="116" customFormat="1">
      <c r="A15300" s="136"/>
      <c r="CM15300" s="111"/>
      <c r="CQ15300" s="111"/>
      <c r="EF15300"/>
      <c r="EG15300"/>
      <c r="EH15300"/>
      <c r="EI15300"/>
      <c r="EJ15300"/>
      <c r="EK15300"/>
    </row>
    <row r="15301" spans="1:141" s="116" customFormat="1">
      <c r="A15301" s="136"/>
      <c r="CM15301" s="111"/>
      <c r="CQ15301" s="111"/>
      <c r="EF15301"/>
      <c r="EG15301"/>
      <c r="EH15301"/>
      <c r="EI15301"/>
      <c r="EJ15301"/>
      <c r="EK15301"/>
    </row>
    <row r="15302" spans="1:141" s="116" customFormat="1">
      <c r="A15302" s="136"/>
      <c r="CM15302" s="111"/>
      <c r="CQ15302" s="111"/>
      <c r="EF15302"/>
      <c r="EG15302"/>
      <c r="EH15302"/>
      <c r="EI15302"/>
      <c r="EJ15302"/>
      <c r="EK15302"/>
    </row>
    <row r="15303" spans="1:141" s="116" customFormat="1">
      <c r="A15303" s="136"/>
      <c r="CM15303" s="111"/>
      <c r="CQ15303" s="111"/>
      <c r="EF15303"/>
      <c r="EG15303"/>
      <c r="EH15303"/>
      <c r="EI15303"/>
      <c r="EJ15303"/>
      <c r="EK15303"/>
    </row>
    <row r="15304" spans="1:141" s="116" customFormat="1">
      <c r="A15304" s="136"/>
      <c r="CM15304" s="111"/>
      <c r="CQ15304" s="111"/>
      <c r="EF15304"/>
      <c r="EG15304"/>
      <c r="EH15304"/>
      <c r="EI15304"/>
      <c r="EJ15304"/>
      <c r="EK15304"/>
    </row>
    <row r="15305" spans="1:141" s="116" customFormat="1">
      <c r="A15305" s="136"/>
      <c r="CM15305" s="111"/>
      <c r="CQ15305" s="111"/>
      <c r="EF15305"/>
      <c r="EG15305"/>
      <c r="EH15305"/>
      <c r="EI15305"/>
      <c r="EJ15305"/>
      <c r="EK15305"/>
    </row>
    <row r="15306" spans="1:141" s="116" customFormat="1">
      <c r="A15306" s="136"/>
      <c r="CM15306" s="111"/>
      <c r="CQ15306" s="111"/>
      <c r="EF15306"/>
      <c r="EG15306"/>
      <c r="EH15306"/>
      <c r="EI15306"/>
      <c r="EJ15306"/>
      <c r="EK15306"/>
    </row>
    <row r="15307" spans="1:141" s="116" customFormat="1">
      <c r="A15307" s="136"/>
      <c r="CM15307" s="111"/>
      <c r="CQ15307" s="111"/>
      <c r="EF15307"/>
      <c r="EG15307"/>
      <c r="EH15307"/>
      <c r="EI15307"/>
      <c r="EJ15307"/>
      <c r="EK15307"/>
    </row>
    <row r="15308" spans="1:141" s="116" customFormat="1">
      <c r="A15308" s="136"/>
      <c r="CM15308" s="111"/>
      <c r="CQ15308" s="111"/>
      <c r="EF15308"/>
      <c r="EG15308"/>
      <c r="EH15308"/>
      <c r="EI15308"/>
      <c r="EJ15308"/>
      <c r="EK15308"/>
    </row>
    <row r="15309" spans="1:141" s="116" customFormat="1">
      <c r="A15309" s="136"/>
      <c r="CM15309" s="111"/>
      <c r="CQ15309" s="111"/>
      <c r="EF15309"/>
      <c r="EG15309"/>
      <c r="EH15309"/>
      <c r="EI15309"/>
      <c r="EJ15309"/>
      <c r="EK15309"/>
    </row>
    <row r="15310" spans="1:141" s="116" customFormat="1">
      <c r="A15310" s="136"/>
      <c r="CM15310" s="111"/>
      <c r="CQ15310" s="111"/>
      <c r="EF15310"/>
      <c r="EG15310"/>
      <c r="EH15310"/>
      <c r="EI15310"/>
      <c r="EJ15310"/>
      <c r="EK15310"/>
    </row>
    <row r="15311" spans="1:141" s="116" customFormat="1">
      <c r="A15311" s="136"/>
      <c r="CM15311" s="111"/>
      <c r="CQ15311" s="111"/>
      <c r="EF15311"/>
      <c r="EG15311"/>
      <c r="EH15311"/>
      <c r="EI15311"/>
      <c r="EJ15311"/>
      <c r="EK15311"/>
    </row>
    <row r="15312" spans="1:141" s="116" customFormat="1">
      <c r="A15312" s="136"/>
      <c r="CM15312" s="111"/>
      <c r="CQ15312" s="111"/>
      <c r="EF15312"/>
      <c r="EG15312"/>
      <c r="EH15312"/>
      <c r="EI15312"/>
      <c r="EJ15312"/>
      <c r="EK15312"/>
    </row>
    <row r="15313" spans="1:141" s="116" customFormat="1">
      <c r="A15313" s="136"/>
      <c r="CM15313" s="111"/>
      <c r="CQ15313" s="111"/>
      <c r="EF15313"/>
      <c r="EG15313"/>
      <c r="EH15313"/>
      <c r="EI15313"/>
      <c r="EJ15313"/>
      <c r="EK15313"/>
    </row>
    <row r="15314" spans="1:141" s="116" customFormat="1">
      <c r="A15314" s="136"/>
      <c r="CM15314" s="111"/>
      <c r="CQ15314" s="111"/>
      <c r="EF15314"/>
      <c r="EG15314"/>
      <c r="EH15314"/>
      <c r="EI15314"/>
      <c r="EJ15314"/>
      <c r="EK15314"/>
    </row>
    <row r="15315" spans="1:141" s="116" customFormat="1">
      <c r="A15315" s="136"/>
      <c r="CM15315" s="111"/>
      <c r="CQ15315" s="111"/>
      <c r="EF15315"/>
      <c r="EG15315"/>
      <c r="EH15315"/>
      <c r="EI15315"/>
      <c r="EJ15315"/>
      <c r="EK15315"/>
    </row>
    <row r="15316" spans="1:141" s="116" customFormat="1">
      <c r="A15316" s="136"/>
      <c r="CM15316" s="111"/>
      <c r="CQ15316" s="111"/>
      <c r="EF15316"/>
      <c r="EG15316"/>
      <c r="EH15316"/>
      <c r="EI15316"/>
      <c r="EJ15316"/>
      <c r="EK15316"/>
    </row>
    <row r="15317" spans="1:141" s="116" customFormat="1">
      <c r="A15317" s="136"/>
      <c r="CM15317" s="111"/>
      <c r="CQ15317" s="111"/>
      <c r="EF15317"/>
      <c r="EG15317"/>
      <c r="EH15317"/>
      <c r="EI15317"/>
      <c r="EJ15317"/>
      <c r="EK15317"/>
    </row>
    <row r="15318" spans="1:141" s="116" customFormat="1">
      <c r="A15318" s="136"/>
      <c r="CM15318" s="111"/>
      <c r="CQ15318" s="111"/>
      <c r="EF15318"/>
      <c r="EG15318"/>
      <c r="EH15318"/>
      <c r="EI15318"/>
      <c r="EJ15318"/>
      <c r="EK15318"/>
    </row>
    <row r="15319" spans="1:141" s="116" customFormat="1">
      <c r="A15319" s="136"/>
      <c r="CM15319" s="111"/>
      <c r="CQ15319" s="111"/>
      <c r="EF15319"/>
      <c r="EG15319"/>
      <c r="EH15319"/>
      <c r="EI15319"/>
      <c r="EJ15319"/>
      <c r="EK15319"/>
    </row>
    <row r="15320" spans="1:141" s="116" customFormat="1">
      <c r="A15320" s="136"/>
      <c r="CM15320" s="111"/>
      <c r="CQ15320" s="111"/>
      <c r="EF15320"/>
      <c r="EG15320"/>
      <c r="EH15320"/>
      <c r="EI15320"/>
      <c r="EJ15320"/>
      <c r="EK15320"/>
    </row>
    <row r="15321" spans="1:141" s="116" customFormat="1">
      <c r="A15321" s="136"/>
      <c r="CM15321" s="111"/>
      <c r="CQ15321" s="111"/>
      <c r="EF15321"/>
      <c r="EG15321"/>
      <c r="EH15321"/>
      <c r="EI15321"/>
      <c r="EJ15321"/>
      <c r="EK15321"/>
    </row>
    <row r="15322" spans="1:141" s="116" customFormat="1">
      <c r="A15322" s="136"/>
      <c r="CM15322" s="111"/>
      <c r="CQ15322" s="111"/>
      <c r="EF15322"/>
      <c r="EG15322"/>
      <c r="EH15322"/>
      <c r="EI15322"/>
      <c r="EJ15322"/>
      <c r="EK15322"/>
    </row>
    <row r="15323" spans="1:141" s="116" customFormat="1">
      <c r="A15323" s="136"/>
      <c r="CM15323" s="111"/>
      <c r="CQ15323" s="111"/>
      <c r="EF15323"/>
      <c r="EG15323"/>
      <c r="EH15323"/>
      <c r="EI15323"/>
      <c r="EJ15323"/>
      <c r="EK15323"/>
    </row>
    <row r="15324" spans="1:141" s="116" customFormat="1">
      <c r="A15324" s="136"/>
      <c r="CM15324" s="111"/>
      <c r="CQ15324" s="111"/>
      <c r="EF15324"/>
      <c r="EG15324"/>
      <c r="EH15324"/>
      <c r="EI15324"/>
      <c r="EJ15324"/>
      <c r="EK15324"/>
    </row>
    <row r="15325" spans="1:141" s="116" customFormat="1">
      <c r="A15325" s="136"/>
      <c r="CM15325" s="111"/>
      <c r="CQ15325" s="111"/>
      <c r="EF15325"/>
      <c r="EG15325"/>
      <c r="EH15325"/>
      <c r="EI15325"/>
      <c r="EJ15325"/>
      <c r="EK15325"/>
    </row>
    <row r="15326" spans="1:141" s="116" customFormat="1">
      <c r="A15326" s="136"/>
      <c r="CM15326" s="111"/>
      <c r="CQ15326" s="111"/>
      <c r="EF15326"/>
      <c r="EG15326"/>
      <c r="EH15326"/>
      <c r="EI15326"/>
      <c r="EJ15326"/>
      <c r="EK15326"/>
    </row>
    <row r="15327" spans="1:141" s="116" customFormat="1">
      <c r="A15327" s="136"/>
      <c r="CM15327" s="111"/>
      <c r="CQ15327" s="111"/>
      <c r="EF15327"/>
      <c r="EG15327"/>
      <c r="EH15327"/>
      <c r="EI15327"/>
      <c r="EJ15327"/>
      <c r="EK15327"/>
    </row>
    <row r="15328" spans="1:141" s="116" customFormat="1">
      <c r="A15328" s="136"/>
      <c r="CM15328" s="111"/>
      <c r="CQ15328" s="111"/>
      <c r="EF15328"/>
      <c r="EG15328"/>
      <c r="EH15328"/>
      <c r="EI15328"/>
      <c r="EJ15328"/>
      <c r="EK15328"/>
    </row>
    <row r="15329" spans="1:141" s="116" customFormat="1">
      <c r="A15329" s="136"/>
      <c r="CM15329" s="111"/>
      <c r="CQ15329" s="111"/>
      <c r="EF15329"/>
      <c r="EG15329"/>
      <c r="EH15329"/>
      <c r="EI15329"/>
      <c r="EJ15329"/>
      <c r="EK15329"/>
    </row>
    <row r="15330" spans="1:141" s="116" customFormat="1">
      <c r="A15330" s="136"/>
      <c r="CM15330" s="111"/>
      <c r="CQ15330" s="111"/>
      <c r="EF15330"/>
      <c r="EG15330"/>
      <c r="EH15330"/>
      <c r="EI15330"/>
      <c r="EJ15330"/>
      <c r="EK15330"/>
    </row>
    <row r="15331" spans="1:141" s="116" customFormat="1">
      <c r="A15331" s="136"/>
      <c r="CM15331" s="111"/>
      <c r="CQ15331" s="111"/>
      <c r="EF15331"/>
      <c r="EG15331"/>
      <c r="EH15331"/>
      <c r="EI15331"/>
      <c r="EJ15331"/>
      <c r="EK15331"/>
    </row>
    <row r="15332" spans="1:141" s="116" customFormat="1">
      <c r="A15332" s="136"/>
      <c r="CM15332" s="111"/>
      <c r="CQ15332" s="111"/>
      <c r="EF15332"/>
      <c r="EG15332"/>
      <c r="EH15332"/>
      <c r="EI15332"/>
      <c r="EJ15332"/>
      <c r="EK15332"/>
    </row>
    <row r="15333" spans="1:141" s="116" customFormat="1">
      <c r="A15333" s="136"/>
      <c r="CM15333" s="111"/>
      <c r="CQ15333" s="111"/>
      <c r="EF15333"/>
      <c r="EG15333"/>
      <c r="EH15333"/>
      <c r="EI15333"/>
      <c r="EJ15333"/>
      <c r="EK15333"/>
    </row>
    <row r="15334" spans="1:141" s="116" customFormat="1">
      <c r="A15334" s="136"/>
      <c r="CM15334" s="111"/>
      <c r="CQ15334" s="111"/>
      <c r="EF15334"/>
      <c r="EG15334"/>
      <c r="EH15334"/>
      <c r="EI15334"/>
      <c r="EJ15334"/>
      <c r="EK15334"/>
    </row>
    <row r="15335" spans="1:141" s="116" customFormat="1">
      <c r="A15335" s="136"/>
      <c r="CM15335" s="111"/>
      <c r="CQ15335" s="111"/>
      <c r="EF15335"/>
      <c r="EG15335"/>
      <c r="EH15335"/>
      <c r="EI15335"/>
      <c r="EJ15335"/>
      <c r="EK15335"/>
    </row>
    <row r="15336" spans="1:141" s="116" customFormat="1">
      <c r="A15336" s="136"/>
      <c r="CM15336" s="111"/>
      <c r="CQ15336" s="111"/>
      <c r="EF15336"/>
      <c r="EG15336"/>
      <c r="EH15336"/>
      <c r="EI15336"/>
      <c r="EJ15336"/>
      <c r="EK15336"/>
    </row>
    <row r="15337" spans="1:141" s="116" customFormat="1">
      <c r="A15337" s="136"/>
      <c r="CM15337" s="111"/>
      <c r="CQ15337" s="111"/>
      <c r="EF15337"/>
      <c r="EG15337"/>
      <c r="EH15337"/>
      <c r="EI15337"/>
      <c r="EJ15337"/>
      <c r="EK15337"/>
    </row>
    <row r="15338" spans="1:141" s="116" customFormat="1">
      <c r="A15338" s="136"/>
      <c r="CM15338" s="111"/>
      <c r="CQ15338" s="111"/>
      <c r="EF15338"/>
      <c r="EG15338"/>
      <c r="EH15338"/>
      <c r="EI15338"/>
      <c r="EJ15338"/>
      <c r="EK15338"/>
    </row>
    <row r="15339" spans="1:141" s="116" customFormat="1">
      <c r="A15339" s="136"/>
      <c r="CM15339" s="111"/>
      <c r="CQ15339" s="111"/>
      <c r="EF15339"/>
      <c r="EG15339"/>
      <c r="EH15339"/>
      <c r="EI15339"/>
      <c r="EJ15339"/>
      <c r="EK15339"/>
    </row>
    <row r="15340" spans="1:141" s="116" customFormat="1">
      <c r="A15340" s="136"/>
      <c r="CM15340" s="111"/>
      <c r="CQ15340" s="111"/>
      <c r="EF15340"/>
      <c r="EG15340"/>
      <c r="EH15340"/>
      <c r="EI15340"/>
      <c r="EJ15340"/>
      <c r="EK15340"/>
    </row>
    <row r="15341" spans="1:141" s="116" customFormat="1">
      <c r="A15341" s="136"/>
      <c r="CM15341" s="111"/>
      <c r="CQ15341" s="111"/>
      <c r="EF15341"/>
      <c r="EG15341"/>
      <c r="EH15341"/>
      <c r="EI15341"/>
      <c r="EJ15341"/>
      <c r="EK15341"/>
    </row>
    <row r="15342" spans="1:141" s="116" customFormat="1">
      <c r="A15342" s="136"/>
      <c r="CM15342" s="111"/>
      <c r="CQ15342" s="111"/>
      <c r="EF15342"/>
      <c r="EG15342"/>
      <c r="EH15342"/>
      <c r="EI15342"/>
      <c r="EJ15342"/>
      <c r="EK15342"/>
    </row>
    <row r="15343" spans="1:141" s="116" customFormat="1">
      <c r="A15343" s="136"/>
      <c r="CM15343" s="111"/>
      <c r="CQ15343" s="111"/>
      <c r="EF15343"/>
      <c r="EG15343"/>
      <c r="EH15343"/>
      <c r="EI15343"/>
      <c r="EJ15343"/>
      <c r="EK15343"/>
    </row>
    <row r="15344" spans="1:141" s="116" customFormat="1">
      <c r="A15344" s="136"/>
      <c r="CM15344" s="111"/>
      <c r="CQ15344" s="111"/>
      <c r="EF15344"/>
      <c r="EG15344"/>
      <c r="EH15344"/>
      <c r="EI15344"/>
      <c r="EJ15344"/>
      <c r="EK15344"/>
    </row>
    <row r="15345" spans="1:141" s="116" customFormat="1">
      <c r="A15345" s="136"/>
      <c r="CM15345" s="111"/>
      <c r="CQ15345" s="111"/>
      <c r="EF15345"/>
      <c r="EG15345"/>
      <c r="EH15345"/>
      <c r="EI15345"/>
      <c r="EJ15345"/>
      <c r="EK15345"/>
    </row>
    <row r="15346" spans="1:141" s="116" customFormat="1">
      <c r="A15346" s="136"/>
      <c r="CM15346" s="111"/>
      <c r="CQ15346" s="111"/>
      <c r="EF15346"/>
      <c r="EG15346"/>
      <c r="EH15346"/>
      <c r="EI15346"/>
      <c r="EJ15346"/>
      <c r="EK15346"/>
    </row>
    <row r="15347" spans="1:141" s="116" customFormat="1">
      <c r="A15347" s="136"/>
      <c r="CM15347" s="111"/>
      <c r="CQ15347" s="111"/>
      <c r="EF15347"/>
      <c r="EG15347"/>
      <c r="EH15347"/>
      <c r="EI15347"/>
      <c r="EJ15347"/>
      <c r="EK15347"/>
    </row>
    <row r="15348" spans="1:141" s="116" customFormat="1">
      <c r="A15348" s="136"/>
      <c r="CM15348" s="111"/>
      <c r="CQ15348" s="111"/>
      <c r="EF15348"/>
      <c r="EG15348"/>
      <c r="EH15348"/>
      <c r="EI15348"/>
      <c r="EJ15348"/>
      <c r="EK15348"/>
    </row>
    <row r="15349" spans="1:141" s="116" customFormat="1">
      <c r="A15349" s="136"/>
      <c r="CM15349" s="111"/>
      <c r="CQ15349" s="111"/>
      <c r="EF15349"/>
      <c r="EG15349"/>
      <c r="EH15349"/>
      <c r="EI15349"/>
      <c r="EJ15349"/>
      <c r="EK15349"/>
    </row>
    <row r="15350" spans="1:141" s="116" customFormat="1">
      <c r="A15350" s="136"/>
      <c r="CM15350" s="111"/>
      <c r="CQ15350" s="111"/>
      <c r="EF15350"/>
      <c r="EG15350"/>
      <c r="EH15350"/>
      <c r="EI15350"/>
      <c r="EJ15350"/>
      <c r="EK15350"/>
    </row>
    <row r="15351" spans="1:141" s="116" customFormat="1">
      <c r="A15351" s="136"/>
      <c r="CM15351" s="111"/>
      <c r="CQ15351" s="111"/>
      <c r="EF15351"/>
      <c r="EG15351"/>
      <c r="EH15351"/>
      <c r="EI15351"/>
      <c r="EJ15351"/>
      <c r="EK15351"/>
    </row>
    <row r="15352" spans="1:141" s="116" customFormat="1">
      <c r="A15352" s="136"/>
      <c r="CM15352" s="111"/>
      <c r="CQ15352" s="111"/>
      <c r="EF15352"/>
      <c r="EG15352"/>
      <c r="EH15352"/>
      <c r="EI15352"/>
      <c r="EJ15352"/>
      <c r="EK15352"/>
    </row>
    <row r="15353" spans="1:141" s="116" customFormat="1">
      <c r="A15353" s="136"/>
      <c r="CM15353" s="111"/>
      <c r="CQ15353" s="111"/>
      <c r="EF15353"/>
      <c r="EG15353"/>
      <c r="EH15353"/>
      <c r="EI15353"/>
      <c r="EJ15353"/>
      <c r="EK15353"/>
    </row>
    <row r="15354" spans="1:141" s="116" customFormat="1">
      <c r="A15354" s="136"/>
      <c r="CM15354" s="111"/>
      <c r="CQ15354" s="111"/>
      <c r="EF15354"/>
      <c r="EG15354"/>
      <c r="EH15354"/>
      <c r="EI15354"/>
      <c r="EJ15354"/>
      <c r="EK15354"/>
    </row>
    <row r="15355" spans="1:141" s="116" customFormat="1">
      <c r="A15355" s="136"/>
      <c r="CM15355" s="111"/>
      <c r="CQ15355" s="111"/>
      <c r="EF15355"/>
      <c r="EG15355"/>
      <c r="EH15355"/>
      <c r="EI15355"/>
      <c r="EJ15355"/>
      <c r="EK15355"/>
    </row>
    <row r="15356" spans="1:141" s="116" customFormat="1">
      <c r="A15356" s="136"/>
      <c r="CM15356" s="111"/>
      <c r="CQ15356" s="111"/>
      <c r="EF15356"/>
      <c r="EG15356"/>
      <c r="EH15356"/>
      <c r="EI15356"/>
      <c r="EJ15356"/>
      <c r="EK15356"/>
    </row>
    <row r="15357" spans="1:141" s="116" customFormat="1">
      <c r="A15357" s="136"/>
      <c r="CM15357" s="111"/>
      <c r="CQ15357" s="111"/>
      <c r="EF15357"/>
      <c r="EG15357"/>
      <c r="EH15357"/>
      <c r="EI15357"/>
      <c r="EJ15357"/>
      <c r="EK15357"/>
    </row>
    <row r="15358" spans="1:141" s="116" customFormat="1">
      <c r="A15358" s="136"/>
      <c r="CM15358" s="111"/>
      <c r="CQ15358" s="111"/>
      <c r="EF15358"/>
      <c r="EG15358"/>
      <c r="EH15358"/>
      <c r="EI15358"/>
      <c r="EJ15358"/>
      <c r="EK15358"/>
    </row>
    <row r="15359" spans="1:141" s="116" customFormat="1">
      <c r="A15359" s="136"/>
      <c r="CM15359" s="111"/>
      <c r="CQ15359" s="111"/>
      <c r="EF15359"/>
      <c r="EG15359"/>
      <c r="EH15359"/>
      <c r="EI15359"/>
      <c r="EJ15359"/>
      <c r="EK15359"/>
    </row>
    <row r="15360" spans="1:141" s="116" customFormat="1">
      <c r="A15360" s="136"/>
      <c r="CM15360" s="111"/>
      <c r="CQ15360" s="111"/>
      <c r="EF15360"/>
      <c r="EG15360"/>
      <c r="EH15360"/>
      <c r="EI15360"/>
      <c r="EJ15360"/>
      <c r="EK15360"/>
    </row>
    <row r="15361" spans="1:141" s="116" customFormat="1">
      <c r="A15361" s="136"/>
      <c r="CM15361" s="111"/>
      <c r="CQ15361" s="111"/>
      <c r="EF15361"/>
      <c r="EG15361"/>
      <c r="EH15361"/>
      <c r="EI15361"/>
      <c r="EJ15361"/>
      <c r="EK15361"/>
    </row>
    <row r="15362" spans="1:141" s="116" customFormat="1">
      <c r="A15362" s="136"/>
      <c r="CM15362" s="111"/>
      <c r="CQ15362" s="111"/>
      <c r="EF15362"/>
      <c r="EG15362"/>
      <c r="EH15362"/>
      <c r="EI15362"/>
      <c r="EJ15362"/>
      <c r="EK15362"/>
    </row>
    <row r="15363" spans="1:141" s="116" customFormat="1">
      <c r="A15363" s="136"/>
      <c r="CM15363" s="111"/>
      <c r="CQ15363" s="111"/>
      <c r="EF15363"/>
      <c r="EG15363"/>
      <c r="EH15363"/>
      <c r="EI15363"/>
      <c r="EJ15363"/>
      <c r="EK15363"/>
    </row>
    <row r="15364" spans="1:141" s="116" customFormat="1">
      <c r="A15364" s="136"/>
      <c r="CM15364" s="111"/>
      <c r="CQ15364" s="111"/>
      <c r="EF15364"/>
      <c r="EG15364"/>
      <c r="EH15364"/>
      <c r="EI15364"/>
      <c r="EJ15364"/>
      <c r="EK15364"/>
    </row>
    <row r="15365" spans="1:141" s="116" customFormat="1">
      <c r="A15365" s="136"/>
      <c r="CM15365" s="111"/>
      <c r="CQ15365" s="111"/>
      <c r="EF15365"/>
      <c r="EG15365"/>
      <c r="EH15365"/>
      <c r="EI15365"/>
      <c r="EJ15365"/>
      <c r="EK15365"/>
    </row>
    <row r="15366" spans="1:141" s="116" customFormat="1">
      <c r="A15366" s="136"/>
      <c r="CM15366" s="111"/>
      <c r="CQ15366" s="111"/>
      <c r="EF15366"/>
      <c r="EG15366"/>
      <c r="EH15366"/>
      <c r="EI15366"/>
      <c r="EJ15366"/>
      <c r="EK15366"/>
    </row>
    <row r="15367" spans="1:141" s="116" customFormat="1">
      <c r="A15367" s="136"/>
      <c r="CM15367" s="111"/>
      <c r="CQ15367" s="111"/>
      <c r="EF15367"/>
      <c r="EG15367"/>
      <c r="EH15367"/>
      <c r="EI15367"/>
      <c r="EJ15367"/>
      <c r="EK15367"/>
    </row>
    <row r="15368" spans="1:141" s="116" customFormat="1">
      <c r="A15368" s="136"/>
      <c r="CM15368" s="111"/>
      <c r="CQ15368" s="111"/>
      <c r="EF15368"/>
      <c r="EG15368"/>
      <c r="EH15368"/>
      <c r="EI15368"/>
      <c r="EJ15368"/>
      <c r="EK15368"/>
    </row>
    <row r="15369" spans="1:141" s="116" customFormat="1">
      <c r="A15369" s="136"/>
      <c r="CM15369" s="111"/>
      <c r="CQ15369" s="111"/>
      <c r="EF15369"/>
      <c r="EG15369"/>
      <c r="EH15369"/>
      <c r="EI15369"/>
      <c r="EJ15369"/>
      <c r="EK15369"/>
    </row>
    <row r="15370" spans="1:141" s="116" customFormat="1">
      <c r="A15370" s="136"/>
      <c r="CM15370" s="111"/>
      <c r="CQ15370" s="111"/>
      <c r="EF15370"/>
      <c r="EG15370"/>
      <c r="EH15370"/>
      <c r="EI15370"/>
      <c r="EJ15370"/>
      <c r="EK15370"/>
    </row>
    <row r="15371" spans="1:141" s="116" customFormat="1">
      <c r="A15371" s="136"/>
      <c r="CM15371" s="111"/>
      <c r="CQ15371" s="111"/>
      <c r="EF15371"/>
      <c r="EG15371"/>
      <c r="EH15371"/>
      <c r="EI15371"/>
      <c r="EJ15371"/>
      <c r="EK15371"/>
    </row>
    <row r="15372" spans="1:141" s="116" customFormat="1">
      <c r="A15372" s="136"/>
      <c r="CM15372" s="111"/>
      <c r="CQ15372" s="111"/>
      <c r="EF15372"/>
      <c r="EG15372"/>
      <c r="EH15372"/>
      <c r="EI15372"/>
      <c r="EJ15372"/>
      <c r="EK15372"/>
    </row>
    <row r="15373" spans="1:141" s="116" customFormat="1">
      <c r="A15373" s="136"/>
      <c r="CM15373" s="111"/>
      <c r="CQ15373" s="111"/>
      <c r="EF15373"/>
      <c r="EG15373"/>
      <c r="EH15373"/>
      <c r="EI15373"/>
      <c r="EJ15373"/>
      <c r="EK15373"/>
    </row>
    <row r="15374" spans="1:141" s="116" customFormat="1">
      <c r="A15374" s="136"/>
      <c r="CM15374" s="111"/>
      <c r="CQ15374" s="111"/>
      <c r="EF15374"/>
      <c r="EG15374"/>
      <c r="EH15374"/>
      <c r="EI15374"/>
      <c r="EJ15374"/>
      <c r="EK15374"/>
    </row>
    <row r="15375" spans="1:141" s="116" customFormat="1">
      <c r="A15375" s="136"/>
      <c r="CM15375" s="111"/>
      <c r="CQ15375" s="111"/>
      <c r="EF15375"/>
      <c r="EG15375"/>
      <c r="EH15375"/>
      <c r="EI15375"/>
      <c r="EJ15375"/>
      <c r="EK15375"/>
    </row>
    <row r="15376" spans="1:141" s="116" customFormat="1">
      <c r="A15376" s="136"/>
      <c r="CM15376" s="111"/>
      <c r="CQ15376" s="111"/>
      <c r="EF15376"/>
      <c r="EG15376"/>
      <c r="EH15376"/>
      <c r="EI15376"/>
      <c r="EJ15376"/>
      <c r="EK15376"/>
    </row>
    <row r="15377" spans="1:141" s="116" customFormat="1">
      <c r="A15377" s="136"/>
      <c r="CM15377" s="111"/>
      <c r="CQ15377" s="111"/>
      <c r="EF15377"/>
      <c r="EG15377"/>
      <c r="EH15377"/>
      <c r="EI15377"/>
      <c r="EJ15377"/>
      <c r="EK15377"/>
    </row>
    <row r="15378" spans="1:141" s="116" customFormat="1">
      <c r="A15378" s="136"/>
      <c r="CM15378" s="111"/>
      <c r="CQ15378" s="111"/>
      <c r="EF15378"/>
      <c r="EG15378"/>
      <c r="EH15378"/>
      <c r="EI15378"/>
      <c r="EJ15378"/>
      <c r="EK15378"/>
    </row>
    <row r="15379" spans="1:141" s="116" customFormat="1">
      <c r="A15379" s="136"/>
      <c r="CM15379" s="111"/>
      <c r="CQ15379" s="111"/>
      <c r="EF15379"/>
      <c r="EG15379"/>
      <c r="EH15379"/>
      <c r="EI15379"/>
      <c r="EJ15379"/>
      <c r="EK15379"/>
    </row>
    <row r="15380" spans="1:141" s="116" customFormat="1">
      <c r="A15380" s="136"/>
      <c r="CM15380" s="111"/>
      <c r="CQ15380" s="111"/>
      <c r="EF15380"/>
      <c r="EG15380"/>
      <c r="EH15380"/>
      <c r="EI15380"/>
      <c r="EJ15380"/>
      <c r="EK15380"/>
    </row>
    <row r="15381" spans="1:141" s="116" customFormat="1">
      <c r="A15381" s="136"/>
      <c r="CM15381" s="111"/>
      <c r="CQ15381" s="111"/>
      <c r="EF15381"/>
      <c r="EG15381"/>
      <c r="EH15381"/>
      <c r="EI15381"/>
      <c r="EJ15381"/>
      <c r="EK15381"/>
    </row>
    <row r="15382" spans="1:141" s="116" customFormat="1">
      <c r="A15382" s="136"/>
      <c r="CM15382" s="111"/>
      <c r="CQ15382" s="111"/>
      <c r="EF15382"/>
      <c r="EG15382"/>
      <c r="EH15382"/>
      <c r="EI15382"/>
      <c r="EJ15382"/>
      <c r="EK15382"/>
    </row>
    <row r="15383" spans="1:141" s="116" customFormat="1">
      <c r="A15383" s="136"/>
      <c r="CM15383" s="111"/>
      <c r="CQ15383" s="111"/>
      <c r="EF15383"/>
      <c r="EG15383"/>
      <c r="EH15383"/>
      <c r="EI15383"/>
      <c r="EJ15383"/>
      <c r="EK15383"/>
    </row>
    <row r="15384" spans="1:141" s="116" customFormat="1">
      <c r="A15384" s="136"/>
      <c r="CM15384" s="111"/>
      <c r="CQ15384" s="111"/>
      <c r="EF15384"/>
      <c r="EG15384"/>
      <c r="EH15384"/>
      <c r="EI15384"/>
      <c r="EJ15384"/>
      <c r="EK15384"/>
    </row>
    <row r="15385" spans="1:141" s="116" customFormat="1">
      <c r="A15385" s="136"/>
      <c r="CM15385" s="111"/>
      <c r="CQ15385" s="111"/>
      <c r="EF15385"/>
      <c r="EG15385"/>
      <c r="EH15385"/>
      <c r="EI15385"/>
      <c r="EJ15385"/>
      <c r="EK15385"/>
    </row>
    <row r="15386" spans="1:141" s="116" customFormat="1">
      <c r="A15386" s="136"/>
      <c r="CM15386" s="111"/>
      <c r="CQ15386" s="111"/>
      <c r="EF15386"/>
      <c r="EG15386"/>
      <c r="EH15386"/>
      <c r="EI15386"/>
      <c r="EJ15386"/>
      <c r="EK15386"/>
    </row>
    <row r="15387" spans="1:141" s="116" customFormat="1">
      <c r="A15387" s="136"/>
      <c r="CM15387" s="111"/>
      <c r="CQ15387" s="111"/>
      <c r="EF15387"/>
      <c r="EG15387"/>
      <c r="EH15387"/>
      <c r="EI15387"/>
      <c r="EJ15387"/>
      <c r="EK15387"/>
    </row>
    <row r="15388" spans="1:141" s="116" customFormat="1">
      <c r="A15388" s="136"/>
      <c r="CM15388" s="111"/>
      <c r="CQ15388" s="111"/>
      <c r="EF15388"/>
      <c r="EG15388"/>
      <c r="EH15388"/>
      <c r="EI15388"/>
      <c r="EJ15388"/>
      <c r="EK15388"/>
    </row>
    <row r="15389" spans="1:141" s="116" customFormat="1">
      <c r="A15389" s="136"/>
      <c r="CM15389" s="111"/>
      <c r="CQ15389" s="111"/>
      <c r="EF15389"/>
      <c r="EG15389"/>
      <c r="EH15389"/>
      <c r="EI15389"/>
      <c r="EJ15389"/>
      <c r="EK15389"/>
    </row>
    <row r="15390" spans="1:141" s="116" customFormat="1">
      <c r="A15390" s="136"/>
      <c r="CM15390" s="111"/>
      <c r="CQ15390" s="111"/>
      <c r="EF15390"/>
      <c r="EG15390"/>
      <c r="EH15390"/>
      <c r="EI15390"/>
      <c r="EJ15390"/>
      <c r="EK15390"/>
    </row>
    <row r="15391" spans="1:141" s="116" customFormat="1">
      <c r="A15391" s="136"/>
      <c r="CM15391" s="111"/>
      <c r="CQ15391" s="111"/>
      <c r="EF15391"/>
      <c r="EG15391"/>
      <c r="EH15391"/>
      <c r="EI15391"/>
      <c r="EJ15391"/>
      <c r="EK15391"/>
    </row>
    <row r="15392" spans="1:141" s="116" customFormat="1">
      <c r="A15392" s="136"/>
      <c r="CM15392" s="111"/>
      <c r="CQ15392" s="111"/>
      <c r="EF15392"/>
      <c r="EG15392"/>
      <c r="EH15392"/>
      <c r="EI15392"/>
      <c r="EJ15392"/>
      <c r="EK15392"/>
    </row>
    <row r="15393" spans="1:141" s="116" customFormat="1">
      <c r="A15393" s="136"/>
      <c r="CM15393" s="111"/>
      <c r="CQ15393" s="111"/>
      <c r="EF15393"/>
      <c r="EG15393"/>
      <c r="EH15393"/>
      <c r="EI15393"/>
      <c r="EJ15393"/>
      <c r="EK15393"/>
    </row>
    <row r="15394" spans="1:141" s="116" customFormat="1">
      <c r="A15394" s="136"/>
      <c r="CM15394" s="111"/>
      <c r="CQ15394" s="111"/>
      <c r="EF15394"/>
      <c r="EG15394"/>
      <c r="EH15394"/>
      <c r="EI15394"/>
      <c r="EJ15394"/>
      <c r="EK15394"/>
    </row>
    <row r="15395" spans="1:141" s="116" customFormat="1">
      <c r="A15395" s="136"/>
      <c r="CM15395" s="111"/>
      <c r="CQ15395" s="111"/>
      <c r="EF15395"/>
      <c r="EG15395"/>
      <c r="EH15395"/>
      <c r="EI15395"/>
      <c r="EJ15395"/>
      <c r="EK15395"/>
    </row>
    <row r="15396" spans="1:141" s="116" customFormat="1">
      <c r="A15396" s="136"/>
      <c r="CM15396" s="111"/>
      <c r="CQ15396" s="111"/>
      <c r="EF15396"/>
      <c r="EG15396"/>
      <c r="EH15396"/>
      <c r="EI15396"/>
      <c r="EJ15396"/>
      <c r="EK15396"/>
    </row>
    <row r="15397" spans="1:141" s="116" customFormat="1">
      <c r="A15397" s="136"/>
      <c r="CM15397" s="111"/>
      <c r="CQ15397" s="111"/>
      <c r="EF15397"/>
      <c r="EG15397"/>
      <c r="EH15397"/>
      <c r="EI15397"/>
      <c r="EJ15397"/>
      <c r="EK15397"/>
    </row>
    <row r="15398" spans="1:141" s="116" customFormat="1">
      <c r="A15398" s="136"/>
      <c r="CM15398" s="111"/>
      <c r="CQ15398" s="111"/>
      <c r="EF15398"/>
      <c r="EG15398"/>
      <c r="EH15398"/>
      <c r="EI15398"/>
      <c r="EJ15398"/>
      <c r="EK15398"/>
    </row>
    <row r="15399" spans="1:141" s="116" customFormat="1">
      <c r="A15399" s="136"/>
      <c r="CM15399" s="111"/>
      <c r="CQ15399" s="111"/>
      <c r="EF15399"/>
      <c r="EG15399"/>
      <c r="EH15399"/>
      <c r="EI15399"/>
      <c r="EJ15399"/>
      <c r="EK15399"/>
    </row>
    <row r="15400" spans="1:141" s="116" customFormat="1">
      <c r="A15400" s="136"/>
      <c r="CM15400" s="111"/>
      <c r="CQ15400" s="111"/>
      <c r="EF15400"/>
      <c r="EG15400"/>
      <c r="EH15400"/>
      <c r="EI15400"/>
      <c r="EJ15400"/>
      <c r="EK15400"/>
    </row>
    <row r="15401" spans="1:141" s="116" customFormat="1">
      <c r="A15401" s="136"/>
      <c r="CM15401" s="111"/>
      <c r="CQ15401" s="111"/>
      <c r="EF15401"/>
      <c r="EG15401"/>
      <c r="EH15401"/>
      <c r="EI15401"/>
      <c r="EJ15401"/>
      <c r="EK15401"/>
    </row>
    <row r="15402" spans="1:141" s="116" customFormat="1">
      <c r="A15402" s="136"/>
      <c r="CM15402" s="111"/>
      <c r="CQ15402" s="111"/>
      <c r="EF15402"/>
      <c r="EG15402"/>
      <c r="EH15402"/>
      <c r="EI15402"/>
      <c r="EJ15402"/>
      <c r="EK15402"/>
    </row>
    <row r="15403" spans="1:141" s="116" customFormat="1">
      <c r="A15403" s="136"/>
      <c r="CM15403" s="111"/>
      <c r="CQ15403" s="111"/>
      <c r="EF15403"/>
      <c r="EG15403"/>
      <c r="EH15403"/>
      <c r="EI15403"/>
      <c r="EJ15403"/>
      <c r="EK15403"/>
    </row>
    <row r="15404" spans="1:141" s="116" customFormat="1">
      <c r="A15404" s="136"/>
      <c r="CM15404" s="111"/>
      <c r="CQ15404" s="111"/>
      <c r="EF15404"/>
      <c r="EG15404"/>
      <c r="EH15404"/>
      <c r="EI15404"/>
      <c r="EJ15404"/>
      <c r="EK15404"/>
    </row>
    <row r="15405" spans="1:141" s="116" customFormat="1">
      <c r="A15405" s="136"/>
      <c r="CM15405" s="111"/>
      <c r="CQ15405" s="111"/>
      <c r="EF15405"/>
      <c r="EG15405"/>
      <c r="EH15405"/>
      <c r="EI15405"/>
      <c r="EJ15405"/>
      <c r="EK15405"/>
    </row>
    <row r="15406" spans="1:141" s="116" customFormat="1">
      <c r="A15406" s="136"/>
      <c r="CM15406" s="111"/>
      <c r="CQ15406" s="111"/>
      <c r="EF15406"/>
      <c r="EG15406"/>
      <c r="EH15406"/>
      <c r="EI15406"/>
      <c r="EJ15406"/>
      <c r="EK15406"/>
    </row>
    <row r="15407" spans="1:141" s="116" customFormat="1">
      <c r="A15407" s="136"/>
      <c r="CM15407" s="111"/>
      <c r="CQ15407" s="111"/>
      <c r="EF15407"/>
      <c r="EG15407"/>
      <c r="EH15407"/>
      <c r="EI15407"/>
      <c r="EJ15407"/>
      <c r="EK15407"/>
    </row>
    <row r="15408" spans="1:141" s="116" customFormat="1">
      <c r="A15408" s="136"/>
      <c r="CM15408" s="111"/>
      <c r="CQ15408" s="111"/>
      <c r="EF15408"/>
      <c r="EG15408"/>
      <c r="EH15408"/>
      <c r="EI15408"/>
      <c r="EJ15408"/>
      <c r="EK15408"/>
    </row>
    <row r="15409" spans="1:141" s="116" customFormat="1">
      <c r="A15409" s="136"/>
      <c r="CM15409" s="111"/>
      <c r="CQ15409" s="111"/>
      <c r="EF15409"/>
      <c r="EG15409"/>
      <c r="EH15409"/>
      <c r="EI15409"/>
      <c r="EJ15409"/>
      <c r="EK15409"/>
    </row>
    <row r="15410" spans="1:141" s="116" customFormat="1">
      <c r="A15410" s="136"/>
      <c r="CM15410" s="111"/>
      <c r="CQ15410" s="111"/>
      <c r="EF15410"/>
      <c r="EG15410"/>
      <c r="EH15410"/>
      <c r="EI15410"/>
      <c r="EJ15410"/>
      <c r="EK15410"/>
    </row>
    <row r="15411" spans="1:141" s="116" customFormat="1">
      <c r="A15411" s="136"/>
      <c r="CM15411" s="111"/>
      <c r="CQ15411" s="111"/>
      <c r="EF15411"/>
      <c r="EG15411"/>
      <c r="EH15411"/>
      <c r="EI15411"/>
      <c r="EJ15411"/>
      <c r="EK15411"/>
    </row>
    <row r="15412" spans="1:141" s="116" customFormat="1">
      <c r="A15412" s="136"/>
      <c r="CM15412" s="111"/>
      <c r="CQ15412" s="111"/>
      <c r="EF15412"/>
      <c r="EG15412"/>
      <c r="EH15412"/>
      <c r="EI15412"/>
      <c r="EJ15412"/>
      <c r="EK15412"/>
    </row>
    <row r="15413" spans="1:141" s="116" customFormat="1">
      <c r="A15413" s="136"/>
      <c r="CM15413" s="111"/>
      <c r="CQ15413" s="111"/>
      <c r="EF15413"/>
      <c r="EG15413"/>
      <c r="EH15413"/>
      <c r="EI15413"/>
      <c r="EJ15413"/>
      <c r="EK15413"/>
    </row>
    <row r="15414" spans="1:141" s="116" customFormat="1">
      <c r="A15414" s="136"/>
      <c r="CM15414" s="111"/>
      <c r="CQ15414" s="111"/>
      <c r="EF15414"/>
      <c r="EG15414"/>
      <c r="EH15414"/>
      <c r="EI15414"/>
      <c r="EJ15414"/>
      <c r="EK15414"/>
    </row>
    <row r="15415" spans="1:141" s="116" customFormat="1">
      <c r="A15415" s="136"/>
      <c r="CM15415" s="111"/>
      <c r="CQ15415" s="111"/>
      <c r="EF15415"/>
      <c r="EG15415"/>
      <c r="EH15415"/>
      <c r="EI15415"/>
      <c r="EJ15415"/>
      <c r="EK15415"/>
    </row>
    <row r="15416" spans="1:141" s="116" customFormat="1">
      <c r="A15416" s="136"/>
      <c r="CM15416" s="111"/>
      <c r="CQ15416" s="111"/>
      <c r="EF15416"/>
      <c r="EG15416"/>
      <c r="EH15416"/>
      <c r="EI15416"/>
      <c r="EJ15416"/>
      <c r="EK15416"/>
    </row>
    <row r="15417" spans="1:141" s="116" customFormat="1">
      <c r="A15417" s="136"/>
      <c r="CM15417" s="111"/>
      <c r="CQ15417" s="111"/>
      <c r="EF15417"/>
      <c r="EG15417"/>
      <c r="EH15417"/>
      <c r="EI15417"/>
      <c r="EJ15417"/>
      <c r="EK15417"/>
    </row>
    <row r="15418" spans="1:141" s="116" customFormat="1">
      <c r="A15418" s="136"/>
      <c r="CM15418" s="111"/>
      <c r="CQ15418" s="111"/>
      <c r="EF15418"/>
      <c r="EG15418"/>
      <c r="EH15418"/>
      <c r="EI15418"/>
      <c r="EJ15418"/>
      <c r="EK15418"/>
    </row>
    <row r="15419" spans="1:141" s="116" customFormat="1">
      <c r="A15419" s="136"/>
      <c r="CM15419" s="111"/>
      <c r="CQ15419" s="111"/>
      <c r="EF15419"/>
      <c r="EG15419"/>
      <c r="EH15419"/>
      <c r="EI15419"/>
      <c r="EJ15419"/>
      <c r="EK15419"/>
    </row>
    <row r="15420" spans="1:141" s="116" customFormat="1">
      <c r="A15420" s="136"/>
      <c r="CM15420" s="111"/>
      <c r="CQ15420" s="111"/>
      <c r="EF15420"/>
      <c r="EG15420"/>
      <c r="EH15420"/>
      <c r="EI15420"/>
      <c r="EJ15420"/>
      <c r="EK15420"/>
    </row>
    <row r="15421" spans="1:141" s="116" customFormat="1">
      <c r="A15421" s="136"/>
      <c r="CM15421" s="111"/>
      <c r="CQ15421" s="111"/>
      <c r="EF15421"/>
      <c r="EG15421"/>
      <c r="EH15421"/>
      <c r="EI15421"/>
      <c r="EJ15421"/>
      <c r="EK15421"/>
    </row>
    <row r="15422" spans="1:141" s="116" customFormat="1">
      <c r="A15422" s="136"/>
      <c r="CM15422" s="111"/>
      <c r="CQ15422" s="111"/>
      <c r="EF15422"/>
      <c r="EG15422"/>
      <c r="EH15422"/>
      <c r="EI15422"/>
      <c r="EJ15422"/>
      <c r="EK15422"/>
    </row>
    <row r="15423" spans="1:141" s="116" customFormat="1">
      <c r="A15423" s="136"/>
      <c r="CM15423" s="111"/>
      <c r="CQ15423" s="111"/>
      <c r="EF15423"/>
      <c r="EG15423"/>
      <c r="EH15423"/>
      <c r="EI15423"/>
      <c r="EJ15423"/>
      <c r="EK15423"/>
    </row>
    <row r="15424" spans="1:141" s="116" customFormat="1">
      <c r="A15424" s="136"/>
      <c r="CM15424" s="111"/>
      <c r="CQ15424" s="111"/>
      <c r="EF15424"/>
      <c r="EG15424"/>
      <c r="EH15424"/>
      <c r="EI15424"/>
      <c r="EJ15424"/>
      <c r="EK15424"/>
    </row>
    <row r="15425" spans="1:141" s="116" customFormat="1">
      <c r="A15425" s="136"/>
      <c r="CM15425" s="111"/>
      <c r="CQ15425" s="111"/>
      <c r="EF15425"/>
      <c r="EG15425"/>
      <c r="EH15425"/>
      <c r="EI15425"/>
      <c r="EJ15425"/>
      <c r="EK15425"/>
    </row>
    <row r="15426" spans="1:141" s="116" customFormat="1">
      <c r="A15426" s="136"/>
      <c r="CM15426" s="111"/>
      <c r="CQ15426" s="111"/>
      <c r="EF15426"/>
      <c r="EG15426"/>
      <c r="EH15426"/>
      <c r="EI15426"/>
      <c r="EJ15426"/>
      <c r="EK15426"/>
    </row>
    <row r="15427" spans="1:141" s="116" customFormat="1">
      <c r="A15427" s="136"/>
      <c r="CM15427" s="111"/>
      <c r="CQ15427" s="111"/>
      <c r="EF15427"/>
      <c r="EG15427"/>
      <c r="EH15427"/>
      <c r="EI15427"/>
      <c r="EJ15427"/>
      <c r="EK15427"/>
    </row>
    <row r="15428" spans="1:141" s="116" customFormat="1">
      <c r="A15428" s="136"/>
      <c r="CM15428" s="111"/>
      <c r="CQ15428" s="111"/>
      <c r="EF15428"/>
      <c r="EG15428"/>
      <c r="EH15428"/>
      <c r="EI15428"/>
      <c r="EJ15428"/>
      <c r="EK15428"/>
    </row>
    <row r="15429" spans="1:141" s="116" customFormat="1">
      <c r="A15429" s="136"/>
      <c r="CM15429" s="111"/>
      <c r="CQ15429" s="111"/>
      <c r="EF15429"/>
      <c r="EG15429"/>
      <c r="EH15429"/>
      <c r="EI15429"/>
      <c r="EJ15429"/>
      <c r="EK15429"/>
    </row>
    <row r="15430" spans="1:141" s="116" customFormat="1">
      <c r="A15430" s="136"/>
      <c r="CM15430" s="111"/>
      <c r="CQ15430" s="111"/>
      <c r="EF15430"/>
      <c r="EG15430"/>
      <c r="EH15430"/>
      <c r="EI15430"/>
      <c r="EJ15430"/>
      <c r="EK15430"/>
    </row>
    <row r="15431" spans="1:141" s="116" customFormat="1">
      <c r="A15431" s="136"/>
      <c r="CM15431" s="111"/>
      <c r="CQ15431" s="111"/>
      <c r="EF15431"/>
      <c r="EG15431"/>
      <c r="EH15431"/>
      <c r="EI15431"/>
      <c r="EJ15431"/>
      <c r="EK15431"/>
    </row>
    <row r="15432" spans="1:141" s="116" customFormat="1">
      <c r="A15432" s="136"/>
      <c r="CM15432" s="111"/>
      <c r="CQ15432" s="111"/>
      <c r="EF15432"/>
      <c r="EG15432"/>
      <c r="EH15432"/>
      <c r="EI15432"/>
      <c r="EJ15432"/>
      <c r="EK15432"/>
    </row>
    <row r="15433" spans="1:141" s="116" customFormat="1">
      <c r="A15433" s="136"/>
      <c r="CM15433" s="111"/>
      <c r="CQ15433" s="111"/>
      <c r="EF15433"/>
      <c r="EG15433"/>
      <c r="EH15433"/>
      <c r="EI15433"/>
      <c r="EJ15433"/>
      <c r="EK15433"/>
    </row>
    <row r="15434" spans="1:141" s="116" customFormat="1">
      <c r="A15434" s="136"/>
      <c r="CM15434" s="111"/>
      <c r="CQ15434" s="111"/>
      <c r="EF15434"/>
      <c r="EG15434"/>
      <c r="EH15434"/>
      <c r="EI15434"/>
      <c r="EJ15434"/>
      <c r="EK15434"/>
    </row>
    <row r="15435" spans="1:141" s="116" customFormat="1">
      <c r="A15435" s="136"/>
      <c r="CM15435" s="111"/>
      <c r="CQ15435" s="111"/>
      <c r="EF15435"/>
      <c r="EG15435"/>
      <c r="EH15435"/>
      <c r="EI15435"/>
      <c r="EJ15435"/>
      <c r="EK15435"/>
    </row>
    <row r="15436" spans="1:141" s="116" customFormat="1">
      <c r="A15436" s="136"/>
      <c r="CM15436" s="111"/>
      <c r="CQ15436" s="111"/>
      <c r="EF15436"/>
      <c r="EG15436"/>
      <c r="EH15436"/>
      <c r="EI15436"/>
      <c r="EJ15436"/>
      <c r="EK15436"/>
    </row>
    <row r="15437" spans="1:141" s="116" customFormat="1">
      <c r="A15437" s="136"/>
      <c r="CM15437" s="111"/>
      <c r="CQ15437" s="111"/>
      <c r="EF15437"/>
      <c r="EG15437"/>
      <c r="EH15437"/>
      <c r="EI15437"/>
      <c r="EJ15437"/>
      <c r="EK15437"/>
    </row>
    <row r="15438" spans="1:141" s="116" customFormat="1">
      <c r="A15438" s="136"/>
      <c r="CM15438" s="111"/>
      <c r="CQ15438" s="111"/>
      <c r="EF15438"/>
      <c r="EG15438"/>
      <c r="EH15438"/>
      <c r="EI15438"/>
      <c r="EJ15438"/>
      <c r="EK15438"/>
    </row>
    <row r="15439" spans="1:141" s="116" customFormat="1">
      <c r="A15439" s="136"/>
      <c r="CM15439" s="111"/>
      <c r="CQ15439" s="111"/>
      <c r="EF15439"/>
      <c r="EG15439"/>
      <c r="EH15439"/>
      <c r="EI15439"/>
      <c r="EJ15439"/>
      <c r="EK15439"/>
    </row>
    <row r="15440" spans="1:141" s="116" customFormat="1">
      <c r="A15440" s="136"/>
      <c r="CM15440" s="111"/>
      <c r="CQ15440" s="111"/>
      <c r="EF15440"/>
      <c r="EG15440"/>
      <c r="EH15440"/>
      <c r="EI15440"/>
      <c r="EJ15440"/>
      <c r="EK15440"/>
    </row>
    <row r="15441" spans="1:141" s="116" customFormat="1">
      <c r="A15441" s="136"/>
      <c r="CM15441" s="111"/>
      <c r="CQ15441" s="111"/>
      <c r="EF15441"/>
      <c r="EG15441"/>
      <c r="EH15441"/>
      <c r="EI15441"/>
      <c r="EJ15441"/>
      <c r="EK15441"/>
    </row>
    <row r="15442" spans="1:141" s="116" customFormat="1">
      <c r="A15442" s="136"/>
      <c r="CM15442" s="111"/>
      <c r="CQ15442" s="111"/>
      <c r="EF15442"/>
      <c r="EG15442"/>
      <c r="EH15442"/>
      <c r="EI15442"/>
      <c r="EJ15442"/>
      <c r="EK15442"/>
    </row>
    <row r="15443" spans="1:141" s="116" customFormat="1">
      <c r="A15443" s="136"/>
      <c r="CM15443" s="111"/>
      <c r="CQ15443" s="111"/>
      <c r="EF15443"/>
      <c r="EG15443"/>
      <c r="EH15443"/>
      <c r="EI15443"/>
      <c r="EJ15443"/>
      <c r="EK15443"/>
    </row>
    <row r="15444" spans="1:141" s="116" customFormat="1">
      <c r="A15444" s="136"/>
      <c r="CM15444" s="111"/>
      <c r="CQ15444" s="111"/>
      <c r="EF15444"/>
      <c r="EG15444"/>
      <c r="EH15444"/>
      <c r="EI15444"/>
      <c r="EJ15444"/>
      <c r="EK15444"/>
    </row>
    <row r="15445" spans="1:141" s="116" customFormat="1">
      <c r="A15445" s="136"/>
      <c r="CM15445" s="111"/>
      <c r="CQ15445" s="111"/>
      <c r="EF15445"/>
      <c r="EG15445"/>
      <c r="EH15445"/>
      <c r="EI15445"/>
      <c r="EJ15445"/>
      <c r="EK15445"/>
    </row>
    <row r="15446" spans="1:141" s="116" customFormat="1">
      <c r="A15446" s="136"/>
      <c r="CM15446" s="111"/>
      <c r="CQ15446" s="111"/>
      <c r="EF15446"/>
      <c r="EG15446"/>
      <c r="EH15446"/>
      <c r="EI15446"/>
      <c r="EJ15446"/>
      <c r="EK15446"/>
    </row>
    <row r="15447" spans="1:141" s="116" customFormat="1">
      <c r="A15447" s="136"/>
      <c r="CM15447" s="111"/>
      <c r="CQ15447" s="111"/>
      <c r="EF15447"/>
      <c r="EG15447"/>
      <c r="EH15447"/>
      <c r="EI15447"/>
      <c r="EJ15447"/>
      <c r="EK15447"/>
    </row>
    <row r="15448" spans="1:141" s="116" customFormat="1">
      <c r="A15448" s="136"/>
      <c r="CM15448" s="111"/>
      <c r="CQ15448" s="111"/>
      <c r="EF15448"/>
      <c r="EG15448"/>
      <c r="EH15448"/>
      <c r="EI15448"/>
      <c r="EJ15448"/>
      <c r="EK15448"/>
    </row>
    <row r="15449" spans="1:141" s="116" customFormat="1">
      <c r="A15449" s="136"/>
      <c r="CM15449" s="111"/>
      <c r="CQ15449" s="111"/>
      <c r="EF15449"/>
      <c r="EG15449"/>
      <c r="EH15449"/>
      <c r="EI15449"/>
      <c r="EJ15449"/>
      <c r="EK15449"/>
    </row>
    <row r="15450" spans="1:141" s="116" customFormat="1">
      <c r="A15450" s="136"/>
      <c r="CM15450" s="111"/>
      <c r="CQ15450" s="111"/>
      <c r="EF15450"/>
      <c r="EG15450"/>
      <c r="EH15450"/>
      <c r="EI15450"/>
      <c r="EJ15450"/>
      <c r="EK15450"/>
    </row>
    <row r="15451" spans="1:141" s="116" customFormat="1">
      <c r="A15451" s="136"/>
      <c r="CM15451" s="111"/>
      <c r="CQ15451" s="111"/>
      <c r="EF15451"/>
      <c r="EG15451"/>
      <c r="EH15451"/>
      <c r="EI15451"/>
      <c r="EJ15451"/>
      <c r="EK15451"/>
    </row>
    <row r="15452" spans="1:141" s="116" customFormat="1">
      <c r="A15452" s="136"/>
      <c r="CM15452" s="111"/>
      <c r="CQ15452" s="111"/>
      <c r="EF15452"/>
      <c r="EG15452"/>
      <c r="EH15452"/>
      <c r="EI15452"/>
      <c r="EJ15452"/>
      <c r="EK15452"/>
    </row>
    <row r="15453" spans="1:141" s="116" customFormat="1">
      <c r="A15453" s="136"/>
      <c r="CM15453" s="111"/>
      <c r="CQ15453" s="111"/>
      <c r="EF15453"/>
      <c r="EG15453"/>
      <c r="EH15453"/>
      <c r="EI15453"/>
      <c r="EJ15453"/>
      <c r="EK15453"/>
    </row>
    <row r="15454" spans="1:141" s="116" customFormat="1">
      <c r="A15454" s="136"/>
      <c r="CM15454" s="111"/>
      <c r="CQ15454" s="111"/>
      <c r="EF15454"/>
      <c r="EG15454"/>
      <c r="EH15454"/>
      <c r="EI15454"/>
      <c r="EJ15454"/>
      <c r="EK15454"/>
    </row>
    <row r="15455" spans="1:141" s="116" customFormat="1">
      <c r="A15455" s="136"/>
      <c r="CM15455" s="111"/>
      <c r="CQ15455" s="111"/>
      <c r="EF15455"/>
      <c r="EG15455"/>
      <c r="EH15455"/>
      <c r="EI15455"/>
      <c r="EJ15455"/>
      <c r="EK15455"/>
    </row>
    <row r="15456" spans="1:141" s="116" customFormat="1">
      <c r="A15456" s="136"/>
      <c r="CM15456" s="111"/>
      <c r="CQ15456" s="111"/>
      <c r="EF15456"/>
      <c r="EG15456"/>
      <c r="EH15456"/>
      <c r="EI15456"/>
      <c r="EJ15456"/>
      <c r="EK15456"/>
    </row>
    <row r="15457" spans="1:141" s="116" customFormat="1">
      <c r="A15457" s="136"/>
      <c r="CM15457" s="111"/>
      <c r="CQ15457" s="111"/>
      <c r="EF15457"/>
      <c r="EG15457"/>
      <c r="EH15457"/>
      <c r="EI15457"/>
      <c r="EJ15457"/>
      <c r="EK15457"/>
    </row>
    <row r="15458" spans="1:141" s="116" customFormat="1">
      <c r="A15458" s="136"/>
      <c r="CM15458" s="111"/>
      <c r="CQ15458" s="111"/>
      <c r="EF15458"/>
      <c r="EG15458"/>
      <c r="EH15458"/>
      <c r="EI15458"/>
      <c r="EJ15458"/>
      <c r="EK15458"/>
    </row>
    <row r="15459" spans="1:141" s="116" customFormat="1">
      <c r="A15459" s="136"/>
      <c r="CM15459" s="111"/>
      <c r="CQ15459" s="111"/>
      <c r="EF15459"/>
      <c r="EG15459"/>
      <c r="EH15459"/>
      <c r="EI15459"/>
      <c r="EJ15459"/>
      <c r="EK15459"/>
    </row>
    <row r="15460" spans="1:141" s="116" customFormat="1">
      <c r="A15460" s="136"/>
      <c r="CM15460" s="111"/>
      <c r="CQ15460" s="111"/>
      <c r="EF15460"/>
      <c r="EG15460"/>
      <c r="EH15460"/>
      <c r="EI15460"/>
      <c r="EJ15460"/>
      <c r="EK15460"/>
    </row>
    <row r="15461" spans="1:141" s="116" customFormat="1">
      <c r="A15461" s="136"/>
      <c r="CM15461" s="111"/>
      <c r="CQ15461" s="111"/>
      <c r="EF15461"/>
      <c r="EG15461"/>
      <c r="EH15461"/>
      <c r="EI15461"/>
      <c r="EJ15461"/>
      <c r="EK15461"/>
    </row>
    <row r="15462" spans="1:141" s="116" customFormat="1">
      <c r="A15462" s="136"/>
      <c r="CM15462" s="111"/>
      <c r="CQ15462" s="111"/>
      <c r="EF15462"/>
      <c r="EG15462"/>
      <c r="EH15462"/>
      <c r="EI15462"/>
      <c r="EJ15462"/>
      <c r="EK15462"/>
    </row>
    <row r="15463" spans="1:141" s="116" customFormat="1">
      <c r="A15463" s="136"/>
      <c r="CM15463" s="111"/>
      <c r="CQ15463" s="111"/>
      <c r="EF15463"/>
      <c r="EG15463"/>
      <c r="EH15463"/>
      <c r="EI15463"/>
      <c r="EJ15463"/>
      <c r="EK15463"/>
    </row>
    <row r="15464" spans="1:141" s="116" customFormat="1">
      <c r="A15464" s="136"/>
      <c r="CM15464" s="111"/>
      <c r="CQ15464" s="111"/>
      <c r="EF15464"/>
      <c r="EG15464"/>
      <c r="EH15464"/>
      <c r="EI15464"/>
      <c r="EJ15464"/>
      <c r="EK15464"/>
    </row>
    <row r="15465" spans="1:141" s="116" customFormat="1">
      <c r="A15465" s="136"/>
      <c r="CM15465" s="111"/>
      <c r="CQ15465" s="111"/>
      <c r="EF15465"/>
      <c r="EG15465"/>
      <c r="EH15465"/>
      <c r="EI15465"/>
      <c r="EJ15465"/>
      <c r="EK15465"/>
    </row>
    <row r="15466" spans="1:141" s="116" customFormat="1">
      <c r="A15466" s="136"/>
      <c r="CM15466" s="111"/>
      <c r="CQ15466" s="111"/>
      <c r="EF15466"/>
      <c r="EG15466"/>
      <c r="EH15466"/>
      <c r="EI15466"/>
      <c r="EJ15466"/>
      <c r="EK15466"/>
    </row>
    <row r="15467" spans="1:141" s="116" customFormat="1">
      <c r="A15467" s="136"/>
      <c r="CM15467" s="111"/>
      <c r="CQ15467" s="111"/>
      <c r="EF15467"/>
      <c r="EG15467"/>
      <c r="EH15467"/>
      <c r="EI15467"/>
      <c r="EJ15467"/>
      <c r="EK15467"/>
    </row>
    <row r="15468" spans="1:141" s="116" customFormat="1">
      <c r="A15468" s="136"/>
      <c r="CM15468" s="111"/>
      <c r="CQ15468" s="111"/>
      <c r="EF15468"/>
      <c r="EG15468"/>
      <c r="EH15468"/>
      <c r="EI15468"/>
      <c r="EJ15468"/>
      <c r="EK15468"/>
    </row>
    <row r="15469" spans="1:141" s="116" customFormat="1">
      <c r="A15469" s="136"/>
      <c r="CM15469" s="111"/>
      <c r="CQ15469" s="111"/>
      <c r="EF15469"/>
      <c r="EG15469"/>
      <c r="EH15469"/>
      <c r="EI15469"/>
      <c r="EJ15469"/>
      <c r="EK15469"/>
    </row>
    <row r="15470" spans="1:141" s="116" customFormat="1">
      <c r="A15470" s="136"/>
      <c r="CM15470" s="111"/>
      <c r="CQ15470" s="111"/>
      <c r="EF15470"/>
      <c r="EG15470"/>
      <c r="EH15470"/>
      <c r="EI15470"/>
      <c r="EJ15470"/>
      <c r="EK15470"/>
    </row>
    <row r="15471" spans="1:141" s="116" customFormat="1">
      <c r="A15471" s="136"/>
      <c r="CM15471" s="111"/>
      <c r="CQ15471" s="111"/>
      <c r="EF15471"/>
      <c r="EG15471"/>
      <c r="EH15471"/>
      <c r="EI15471"/>
      <c r="EJ15471"/>
      <c r="EK15471"/>
    </row>
    <row r="15472" spans="1:141" s="116" customFormat="1">
      <c r="A15472" s="136"/>
      <c r="CM15472" s="111"/>
      <c r="CQ15472" s="111"/>
      <c r="EF15472"/>
      <c r="EG15472"/>
      <c r="EH15472"/>
      <c r="EI15472"/>
      <c r="EJ15472"/>
      <c r="EK15472"/>
    </row>
    <row r="15473" spans="1:141" s="116" customFormat="1">
      <c r="A15473" s="136"/>
      <c r="CM15473" s="111"/>
      <c r="CQ15473" s="111"/>
      <c r="EF15473"/>
      <c r="EG15473"/>
      <c r="EH15473"/>
      <c r="EI15473"/>
      <c r="EJ15473"/>
      <c r="EK15473"/>
    </row>
    <row r="15474" spans="1:141" s="116" customFormat="1">
      <c r="A15474" s="136"/>
      <c r="CM15474" s="111"/>
      <c r="CQ15474" s="111"/>
      <c r="EF15474"/>
      <c r="EG15474"/>
      <c r="EH15474"/>
      <c r="EI15474"/>
      <c r="EJ15474"/>
      <c r="EK15474"/>
    </row>
    <row r="15475" spans="1:141" s="116" customFormat="1">
      <c r="A15475" s="136"/>
      <c r="CM15475" s="111"/>
      <c r="CQ15475" s="111"/>
      <c r="EF15475"/>
      <c r="EG15475"/>
      <c r="EH15475"/>
      <c r="EI15475"/>
      <c r="EJ15475"/>
      <c r="EK15475"/>
    </row>
    <row r="15476" spans="1:141" s="116" customFormat="1">
      <c r="A15476" s="136"/>
      <c r="CM15476" s="111"/>
      <c r="CQ15476" s="111"/>
      <c r="EF15476"/>
      <c r="EG15476"/>
      <c r="EH15476"/>
      <c r="EI15476"/>
      <c r="EJ15476"/>
      <c r="EK15476"/>
    </row>
    <row r="15477" spans="1:141" s="116" customFormat="1">
      <c r="A15477" s="136"/>
      <c r="CM15477" s="111"/>
      <c r="CQ15477" s="111"/>
      <c r="EF15477"/>
      <c r="EG15477"/>
      <c r="EH15477"/>
      <c r="EI15477"/>
      <c r="EJ15477"/>
      <c r="EK15477"/>
    </row>
    <row r="15478" spans="1:141" s="116" customFormat="1">
      <c r="A15478" s="136"/>
      <c r="CM15478" s="111"/>
      <c r="CQ15478" s="111"/>
      <c r="EF15478"/>
      <c r="EG15478"/>
      <c r="EH15478"/>
      <c r="EI15478"/>
      <c r="EJ15478"/>
      <c r="EK15478"/>
    </row>
    <row r="15479" spans="1:141" s="116" customFormat="1">
      <c r="A15479" s="136"/>
      <c r="CM15479" s="111"/>
      <c r="CQ15479" s="111"/>
      <c r="EF15479"/>
      <c r="EG15479"/>
      <c r="EH15479"/>
      <c r="EI15479"/>
      <c r="EJ15479"/>
      <c r="EK15479"/>
    </row>
    <row r="15480" spans="1:141" s="116" customFormat="1">
      <c r="A15480" s="136"/>
      <c r="CM15480" s="111"/>
      <c r="CQ15480" s="111"/>
      <c r="EF15480"/>
      <c r="EG15480"/>
      <c r="EH15480"/>
      <c r="EI15480"/>
      <c r="EJ15480"/>
      <c r="EK15480"/>
    </row>
    <row r="15481" spans="1:141" s="116" customFormat="1">
      <c r="A15481" s="136"/>
      <c r="CM15481" s="111"/>
      <c r="CQ15481" s="111"/>
      <c r="EF15481"/>
      <c r="EG15481"/>
      <c r="EH15481"/>
      <c r="EI15481"/>
      <c r="EJ15481"/>
      <c r="EK15481"/>
    </row>
    <row r="15482" spans="1:141" s="116" customFormat="1">
      <c r="A15482" s="136"/>
      <c r="CM15482" s="111"/>
      <c r="CQ15482" s="111"/>
      <c r="EF15482"/>
      <c r="EG15482"/>
      <c r="EH15482"/>
      <c r="EI15482"/>
      <c r="EJ15482"/>
      <c r="EK15482"/>
    </row>
    <row r="15483" spans="1:141" s="116" customFormat="1">
      <c r="A15483" s="136"/>
      <c r="CM15483" s="111"/>
      <c r="CQ15483" s="111"/>
      <c r="EF15483"/>
      <c r="EG15483"/>
      <c r="EH15483"/>
      <c r="EI15483"/>
      <c r="EJ15483"/>
      <c r="EK15483"/>
    </row>
    <row r="15484" spans="1:141" s="116" customFormat="1">
      <c r="A15484" s="136"/>
      <c r="CM15484" s="111"/>
      <c r="CQ15484" s="111"/>
      <c r="EF15484"/>
      <c r="EG15484"/>
      <c r="EH15484"/>
      <c r="EI15484"/>
      <c r="EJ15484"/>
      <c r="EK15484"/>
    </row>
    <row r="15485" spans="1:141" s="116" customFormat="1">
      <c r="A15485" s="136"/>
      <c r="CM15485" s="111"/>
      <c r="CQ15485" s="111"/>
      <c r="EF15485"/>
      <c r="EG15485"/>
      <c r="EH15485"/>
      <c r="EI15485"/>
      <c r="EJ15485"/>
      <c r="EK15485"/>
    </row>
    <row r="15486" spans="1:141" s="116" customFormat="1">
      <c r="A15486" s="136"/>
      <c r="CM15486" s="111"/>
      <c r="CQ15486" s="111"/>
      <c r="EF15486"/>
      <c r="EG15486"/>
      <c r="EH15486"/>
      <c r="EI15486"/>
      <c r="EJ15486"/>
      <c r="EK15486"/>
    </row>
    <row r="15487" spans="1:141" s="116" customFormat="1">
      <c r="A15487" s="136"/>
      <c r="CM15487" s="111"/>
      <c r="CQ15487" s="111"/>
      <c r="EF15487"/>
      <c r="EG15487"/>
      <c r="EH15487"/>
      <c r="EI15487"/>
      <c r="EJ15487"/>
      <c r="EK15487"/>
    </row>
    <row r="15488" spans="1:141" s="116" customFormat="1">
      <c r="A15488" s="136"/>
      <c r="CM15488" s="111"/>
      <c r="CQ15488" s="111"/>
      <c r="EF15488"/>
      <c r="EG15488"/>
      <c r="EH15488"/>
      <c r="EI15488"/>
      <c r="EJ15488"/>
      <c r="EK15488"/>
    </row>
    <row r="15489" spans="1:141" s="116" customFormat="1">
      <c r="A15489" s="136"/>
      <c r="CM15489" s="111"/>
      <c r="CQ15489" s="111"/>
      <c r="EF15489"/>
      <c r="EG15489"/>
      <c r="EH15489"/>
      <c r="EI15489"/>
      <c r="EJ15489"/>
      <c r="EK15489"/>
    </row>
    <row r="15490" spans="1:141" s="116" customFormat="1">
      <c r="A15490" s="136"/>
      <c r="CM15490" s="111"/>
      <c r="CQ15490" s="111"/>
      <c r="EF15490"/>
      <c r="EG15490"/>
      <c r="EH15490"/>
      <c r="EI15490"/>
      <c r="EJ15490"/>
      <c r="EK15490"/>
    </row>
    <row r="15491" spans="1:141" s="116" customFormat="1">
      <c r="A15491" s="136"/>
      <c r="CM15491" s="111"/>
      <c r="CQ15491" s="111"/>
      <c r="EF15491"/>
      <c r="EG15491"/>
      <c r="EH15491"/>
      <c r="EI15491"/>
      <c r="EJ15491"/>
      <c r="EK15491"/>
    </row>
    <row r="15492" spans="1:141" s="116" customFormat="1">
      <c r="A15492" s="136"/>
      <c r="CM15492" s="111"/>
      <c r="CQ15492" s="111"/>
      <c r="EF15492"/>
      <c r="EG15492"/>
      <c r="EH15492"/>
      <c r="EI15492"/>
      <c r="EJ15492"/>
      <c r="EK15492"/>
    </row>
    <row r="15493" spans="1:141" s="116" customFormat="1">
      <c r="A15493" s="136"/>
      <c r="CM15493" s="111"/>
      <c r="CQ15493" s="111"/>
      <c r="EF15493"/>
      <c r="EG15493"/>
      <c r="EH15493"/>
      <c r="EI15493"/>
      <c r="EJ15493"/>
      <c r="EK15493"/>
    </row>
    <row r="15494" spans="1:141" s="116" customFormat="1">
      <c r="A15494" s="136"/>
      <c r="CM15494" s="111"/>
      <c r="CQ15494" s="111"/>
      <c r="EF15494"/>
      <c r="EG15494"/>
      <c r="EH15494"/>
      <c r="EI15494"/>
      <c r="EJ15494"/>
      <c r="EK15494"/>
    </row>
    <row r="15495" spans="1:141" s="116" customFormat="1">
      <c r="A15495" s="136"/>
      <c r="CM15495" s="111"/>
      <c r="CQ15495" s="111"/>
      <c r="EF15495"/>
      <c r="EG15495"/>
      <c r="EH15495"/>
      <c r="EI15495"/>
      <c r="EJ15495"/>
      <c r="EK15495"/>
    </row>
    <row r="15496" spans="1:141" s="116" customFormat="1">
      <c r="A15496" s="136"/>
      <c r="CM15496" s="111"/>
      <c r="CQ15496" s="111"/>
      <c r="EF15496"/>
      <c r="EG15496"/>
      <c r="EH15496"/>
      <c r="EI15496"/>
      <c r="EJ15496"/>
      <c r="EK15496"/>
    </row>
    <row r="15497" spans="1:141" s="116" customFormat="1">
      <c r="A15497" s="136"/>
      <c r="CM15497" s="111"/>
      <c r="CQ15497" s="111"/>
      <c r="EF15497"/>
      <c r="EG15497"/>
      <c r="EH15497"/>
      <c r="EI15497"/>
      <c r="EJ15497"/>
      <c r="EK15497"/>
    </row>
    <row r="15498" spans="1:141" s="116" customFormat="1">
      <c r="A15498" s="136"/>
      <c r="CM15498" s="111"/>
      <c r="CQ15498" s="111"/>
      <c r="EF15498"/>
      <c r="EG15498"/>
      <c r="EH15498"/>
      <c r="EI15498"/>
      <c r="EJ15498"/>
      <c r="EK15498"/>
    </row>
    <row r="15499" spans="1:141" s="116" customFormat="1">
      <c r="A15499" s="136"/>
      <c r="CM15499" s="111"/>
      <c r="CQ15499" s="111"/>
      <c r="EF15499"/>
      <c r="EG15499"/>
      <c r="EH15499"/>
      <c r="EI15499"/>
      <c r="EJ15499"/>
      <c r="EK15499"/>
    </row>
    <row r="15500" spans="1:141" s="116" customFormat="1">
      <c r="A15500" s="136"/>
      <c r="CM15500" s="111"/>
      <c r="CQ15500" s="111"/>
      <c r="EF15500"/>
      <c r="EG15500"/>
      <c r="EH15500"/>
      <c r="EI15500"/>
      <c r="EJ15500"/>
      <c r="EK15500"/>
    </row>
    <row r="15501" spans="1:141" s="116" customFormat="1">
      <c r="A15501" s="136"/>
      <c r="CM15501" s="111"/>
      <c r="CQ15501" s="111"/>
      <c r="EF15501"/>
      <c r="EG15501"/>
      <c r="EH15501"/>
      <c r="EI15501"/>
      <c r="EJ15501"/>
      <c r="EK15501"/>
    </row>
    <row r="15502" spans="1:141" s="116" customFormat="1">
      <c r="A15502" s="136"/>
      <c r="CM15502" s="111"/>
      <c r="CQ15502" s="111"/>
      <c r="EF15502"/>
      <c r="EG15502"/>
      <c r="EH15502"/>
      <c r="EI15502"/>
      <c r="EJ15502"/>
      <c r="EK15502"/>
    </row>
    <row r="15503" spans="1:141" s="116" customFormat="1">
      <c r="A15503" s="136"/>
      <c r="CM15503" s="111"/>
      <c r="CQ15503" s="111"/>
      <c r="EF15503"/>
      <c r="EG15503"/>
      <c r="EH15503"/>
      <c r="EI15503"/>
      <c r="EJ15503"/>
      <c r="EK15503"/>
    </row>
    <row r="15504" spans="1:141" s="116" customFormat="1">
      <c r="A15504" s="136"/>
      <c r="CM15504" s="111"/>
      <c r="CQ15504" s="111"/>
      <c r="EF15504"/>
      <c r="EG15504"/>
      <c r="EH15504"/>
      <c r="EI15504"/>
      <c r="EJ15504"/>
      <c r="EK15504"/>
    </row>
    <row r="15505" spans="1:141" s="116" customFormat="1">
      <c r="A15505" s="136"/>
      <c r="CM15505" s="111"/>
      <c r="CQ15505" s="111"/>
      <c r="EF15505"/>
      <c r="EG15505"/>
      <c r="EH15505"/>
      <c r="EI15505"/>
      <c r="EJ15505"/>
      <c r="EK15505"/>
    </row>
    <row r="15506" spans="1:141" s="116" customFormat="1">
      <c r="A15506" s="136"/>
      <c r="CM15506" s="111"/>
      <c r="CQ15506" s="111"/>
      <c r="EF15506"/>
      <c r="EG15506"/>
      <c r="EH15506"/>
      <c r="EI15506"/>
      <c r="EJ15506"/>
      <c r="EK15506"/>
    </row>
    <row r="15507" spans="1:141" s="116" customFormat="1">
      <c r="A15507" s="136"/>
      <c r="CM15507" s="111"/>
      <c r="CQ15507" s="111"/>
      <c r="EF15507"/>
      <c r="EG15507"/>
      <c r="EH15507"/>
      <c r="EI15507"/>
      <c r="EJ15507"/>
      <c r="EK15507"/>
    </row>
    <row r="15508" spans="1:141" s="116" customFormat="1">
      <c r="A15508" s="136"/>
      <c r="CM15508" s="111"/>
      <c r="CQ15508" s="111"/>
      <c r="EF15508"/>
      <c r="EG15508"/>
      <c r="EH15508"/>
      <c r="EI15508"/>
      <c r="EJ15508"/>
      <c r="EK15508"/>
    </row>
    <row r="15509" spans="1:141" s="116" customFormat="1">
      <c r="A15509" s="136"/>
      <c r="CM15509" s="111"/>
      <c r="CQ15509" s="111"/>
      <c r="EF15509"/>
      <c r="EG15509"/>
      <c r="EH15509"/>
      <c r="EI15509"/>
      <c r="EJ15509"/>
      <c r="EK15509"/>
    </row>
    <row r="15510" spans="1:141" s="116" customFormat="1">
      <c r="A15510" s="136"/>
      <c r="CM15510" s="111"/>
      <c r="CQ15510" s="111"/>
      <c r="EF15510"/>
      <c r="EG15510"/>
      <c r="EH15510"/>
      <c r="EI15510"/>
      <c r="EJ15510"/>
      <c r="EK15510"/>
    </row>
    <row r="15511" spans="1:141" s="116" customFormat="1">
      <c r="A15511" s="136"/>
      <c r="CM15511" s="111"/>
      <c r="CQ15511" s="111"/>
      <c r="EF15511"/>
      <c r="EG15511"/>
      <c r="EH15511"/>
      <c r="EI15511"/>
      <c r="EJ15511"/>
      <c r="EK15511"/>
    </row>
    <row r="15512" spans="1:141" s="116" customFormat="1">
      <c r="A15512" s="136"/>
      <c r="CM15512" s="111"/>
      <c r="CQ15512" s="111"/>
      <c r="EF15512"/>
      <c r="EG15512"/>
      <c r="EH15512"/>
      <c r="EI15512"/>
      <c r="EJ15512"/>
      <c r="EK15512"/>
    </row>
    <row r="15513" spans="1:141" s="116" customFormat="1">
      <c r="A15513" s="136"/>
      <c r="CM15513" s="111"/>
      <c r="CQ15513" s="111"/>
      <c r="EF15513"/>
      <c r="EG15513"/>
      <c r="EH15513"/>
      <c r="EI15513"/>
      <c r="EJ15513"/>
      <c r="EK15513"/>
    </row>
    <row r="15514" spans="1:141" s="116" customFormat="1">
      <c r="A15514" s="136"/>
      <c r="CM15514" s="111"/>
      <c r="CQ15514" s="111"/>
      <c r="EF15514"/>
      <c r="EG15514"/>
      <c r="EH15514"/>
      <c r="EI15514"/>
      <c r="EJ15514"/>
      <c r="EK15514"/>
    </row>
    <row r="15515" spans="1:141" s="116" customFormat="1">
      <c r="A15515" s="136"/>
      <c r="CM15515" s="111"/>
      <c r="CQ15515" s="111"/>
      <c r="EF15515"/>
      <c r="EG15515"/>
      <c r="EH15515"/>
      <c r="EI15515"/>
      <c r="EJ15515"/>
      <c r="EK15515"/>
    </row>
    <row r="15516" spans="1:141" s="116" customFormat="1">
      <c r="A15516" s="136"/>
      <c r="CM15516" s="111"/>
      <c r="CQ15516" s="111"/>
      <c r="EF15516"/>
      <c r="EG15516"/>
      <c r="EH15516"/>
      <c r="EI15516"/>
      <c r="EJ15516"/>
      <c r="EK15516"/>
    </row>
    <row r="15517" spans="1:141" s="116" customFormat="1">
      <c r="A15517" s="136"/>
      <c r="CM15517" s="111"/>
      <c r="CQ15517" s="111"/>
      <c r="EF15517"/>
      <c r="EG15517"/>
      <c r="EH15517"/>
      <c r="EI15517"/>
      <c r="EJ15517"/>
      <c r="EK15517"/>
    </row>
    <row r="15518" spans="1:141" s="116" customFormat="1">
      <c r="A15518" s="136"/>
      <c r="CM15518" s="111"/>
      <c r="CQ15518" s="111"/>
      <c r="EF15518"/>
      <c r="EG15518"/>
      <c r="EH15518"/>
      <c r="EI15518"/>
      <c r="EJ15518"/>
      <c r="EK15518"/>
    </row>
    <row r="15519" spans="1:141" s="116" customFormat="1">
      <c r="A15519" s="136"/>
      <c r="CM15519" s="111"/>
      <c r="CQ15519" s="111"/>
      <c r="EF15519"/>
      <c r="EG15519"/>
      <c r="EH15519"/>
      <c r="EI15519"/>
      <c r="EJ15519"/>
      <c r="EK15519"/>
    </row>
    <row r="15520" spans="1:141" s="116" customFormat="1">
      <c r="A15520" s="136"/>
      <c r="CM15520" s="111"/>
      <c r="CQ15520" s="111"/>
      <c r="EF15520"/>
      <c r="EG15520"/>
      <c r="EH15520"/>
      <c r="EI15520"/>
      <c r="EJ15520"/>
      <c r="EK15520"/>
    </row>
    <row r="15521" spans="1:141" s="116" customFormat="1">
      <c r="A15521" s="136"/>
      <c r="CM15521" s="111"/>
      <c r="CQ15521" s="111"/>
      <c r="EF15521"/>
      <c r="EG15521"/>
      <c r="EH15521"/>
      <c r="EI15521"/>
      <c r="EJ15521"/>
      <c r="EK15521"/>
    </row>
    <row r="15522" spans="1:141" s="116" customFormat="1">
      <c r="A15522" s="136"/>
      <c r="CM15522" s="111"/>
      <c r="CQ15522" s="111"/>
      <c r="EF15522"/>
      <c r="EG15522"/>
      <c r="EH15522"/>
      <c r="EI15522"/>
      <c r="EJ15522"/>
      <c r="EK15522"/>
    </row>
    <row r="15523" spans="1:141" s="116" customFormat="1">
      <c r="A15523" s="136"/>
      <c r="CM15523" s="111"/>
      <c r="CQ15523" s="111"/>
      <c r="EF15523"/>
      <c r="EG15523"/>
      <c r="EH15523"/>
      <c r="EI15523"/>
      <c r="EJ15523"/>
      <c r="EK15523"/>
    </row>
    <row r="15524" spans="1:141" s="116" customFormat="1">
      <c r="A15524" s="136"/>
      <c r="CM15524" s="111"/>
      <c r="CQ15524" s="111"/>
      <c r="EF15524"/>
      <c r="EG15524"/>
      <c r="EH15524"/>
      <c r="EI15524"/>
      <c r="EJ15524"/>
      <c r="EK15524"/>
    </row>
    <row r="15525" spans="1:141" s="116" customFormat="1">
      <c r="A15525" s="136"/>
      <c r="CM15525" s="111"/>
      <c r="CQ15525" s="111"/>
      <c r="EF15525"/>
      <c r="EG15525"/>
      <c r="EH15525"/>
      <c r="EI15525"/>
      <c r="EJ15525"/>
      <c r="EK15525"/>
    </row>
    <row r="15526" spans="1:141" s="116" customFormat="1">
      <c r="A15526" s="136"/>
      <c r="CM15526" s="111"/>
      <c r="CQ15526" s="111"/>
      <c r="EF15526"/>
      <c r="EG15526"/>
      <c r="EH15526"/>
      <c r="EI15526"/>
      <c r="EJ15526"/>
      <c r="EK15526"/>
    </row>
    <row r="15527" spans="1:141" s="116" customFormat="1">
      <c r="A15527" s="136"/>
      <c r="CM15527" s="111"/>
      <c r="CQ15527" s="111"/>
      <c r="EF15527"/>
      <c r="EG15527"/>
      <c r="EH15527"/>
      <c r="EI15527"/>
      <c r="EJ15527"/>
      <c r="EK15527"/>
    </row>
    <row r="15528" spans="1:141" s="116" customFormat="1">
      <c r="A15528" s="136"/>
      <c r="CM15528" s="111"/>
      <c r="CQ15528" s="111"/>
      <c r="EF15528"/>
      <c r="EG15528"/>
      <c r="EH15528"/>
      <c r="EI15528"/>
      <c r="EJ15528"/>
      <c r="EK15528"/>
    </row>
    <row r="15529" spans="1:141" s="116" customFormat="1">
      <c r="A15529" s="136"/>
      <c r="CM15529" s="111"/>
      <c r="CQ15529" s="111"/>
      <c r="EF15529"/>
      <c r="EG15529"/>
      <c r="EH15529"/>
      <c r="EI15529"/>
      <c r="EJ15529"/>
      <c r="EK15529"/>
    </row>
    <row r="15530" spans="1:141" s="116" customFormat="1">
      <c r="A15530" s="136"/>
      <c r="CM15530" s="111"/>
      <c r="CQ15530" s="111"/>
      <c r="EF15530"/>
      <c r="EG15530"/>
      <c r="EH15530"/>
      <c r="EI15530"/>
      <c r="EJ15530"/>
      <c r="EK15530"/>
    </row>
    <row r="15531" spans="1:141" s="116" customFormat="1">
      <c r="A15531" s="136"/>
      <c r="CM15531" s="111"/>
      <c r="CQ15531" s="111"/>
      <c r="EF15531"/>
      <c r="EG15531"/>
      <c r="EH15531"/>
      <c r="EI15531"/>
      <c r="EJ15531"/>
      <c r="EK15531"/>
    </row>
    <row r="15532" spans="1:141" s="116" customFormat="1">
      <c r="A15532" s="136"/>
      <c r="CM15532" s="111"/>
      <c r="CQ15532" s="111"/>
      <c r="EF15532"/>
      <c r="EG15532"/>
      <c r="EH15532"/>
      <c r="EI15532"/>
      <c r="EJ15532"/>
      <c r="EK15532"/>
    </row>
    <row r="15533" spans="1:141" s="116" customFormat="1">
      <c r="A15533" s="136"/>
      <c r="CM15533" s="111"/>
      <c r="CQ15533" s="111"/>
      <c r="EF15533"/>
      <c r="EG15533"/>
      <c r="EH15533"/>
      <c r="EI15533"/>
      <c r="EJ15533"/>
      <c r="EK15533"/>
    </row>
    <row r="15534" spans="1:141" s="116" customFormat="1">
      <c r="A15534" s="136"/>
      <c r="CM15534" s="111"/>
      <c r="CQ15534" s="111"/>
      <c r="EF15534"/>
      <c r="EG15534"/>
      <c r="EH15534"/>
      <c r="EI15534"/>
      <c r="EJ15534"/>
      <c r="EK15534"/>
    </row>
    <row r="15535" spans="1:141" s="116" customFormat="1">
      <c r="A15535" s="136"/>
      <c r="CM15535" s="111"/>
      <c r="CQ15535" s="111"/>
      <c r="EF15535"/>
      <c r="EG15535"/>
      <c r="EH15535"/>
      <c r="EI15535"/>
      <c r="EJ15535"/>
      <c r="EK15535"/>
    </row>
    <row r="15536" spans="1:141" s="116" customFormat="1">
      <c r="A15536" s="136"/>
      <c r="CM15536" s="111"/>
      <c r="CQ15536" s="111"/>
      <c r="EF15536"/>
      <c r="EG15536"/>
      <c r="EH15536"/>
      <c r="EI15536"/>
      <c r="EJ15536"/>
      <c r="EK15536"/>
    </row>
    <row r="15537" spans="1:141" s="116" customFormat="1">
      <c r="A15537" s="136"/>
      <c r="CM15537" s="111"/>
      <c r="CQ15537" s="111"/>
      <c r="EF15537"/>
      <c r="EG15537"/>
      <c r="EH15537"/>
      <c r="EI15537"/>
      <c r="EJ15537"/>
      <c r="EK15537"/>
    </row>
    <row r="15538" spans="1:141" s="116" customFormat="1">
      <c r="A15538" s="136"/>
      <c r="CM15538" s="111"/>
      <c r="CQ15538" s="111"/>
      <c r="EF15538"/>
      <c r="EG15538"/>
      <c r="EH15538"/>
      <c r="EI15538"/>
      <c r="EJ15538"/>
      <c r="EK15538"/>
    </row>
    <row r="15539" spans="1:141" s="116" customFormat="1">
      <c r="A15539" s="136"/>
      <c r="CM15539" s="111"/>
      <c r="CQ15539" s="111"/>
      <c r="EF15539"/>
      <c r="EG15539"/>
      <c r="EH15539"/>
      <c r="EI15539"/>
      <c r="EJ15539"/>
      <c r="EK15539"/>
    </row>
    <row r="15540" spans="1:141" s="116" customFormat="1">
      <c r="A15540" s="136"/>
      <c r="CM15540" s="111"/>
      <c r="CQ15540" s="111"/>
      <c r="EF15540"/>
      <c r="EG15540"/>
      <c r="EH15540"/>
      <c r="EI15540"/>
      <c r="EJ15540"/>
      <c r="EK15540"/>
    </row>
    <row r="15541" spans="1:141" s="116" customFormat="1">
      <c r="A15541" s="136"/>
      <c r="CM15541" s="111"/>
      <c r="CQ15541" s="111"/>
      <c r="EF15541"/>
      <c r="EG15541"/>
      <c r="EH15541"/>
      <c r="EI15541"/>
      <c r="EJ15541"/>
      <c r="EK15541"/>
    </row>
    <row r="15542" spans="1:141" s="116" customFormat="1">
      <c r="A15542" s="136"/>
      <c r="CM15542" s="111"/>
      <c r="CQ15542" s="111"/>
      <c r="EF15542"/>
      <c r="EG15542"/>
      <c r="EH15542"/>
      <c r="EI15542"/>
      <c r="EJ15542"/>
      <c r="EK15542"/>
    </row>
    <row r="15543" spans="1:141" s="116" customFormat="1">
      <c r="A15543" s="136"/>
      <c r="CM15543" s="111"/>
      <c r="CQ15543" s="111"/>
      <c r="EF15543"/>
      <c r="EG15543"/>
      <c r="EH15543"/>
      <c r="EI15543"/>
      <c r="EJ15543"/>
      <c r="EK15543"/>
    </row>
    <row r="15544" spans="1:141" s="116" customFormat="1">
      <c r="A15544" s="136"/>
      <c r="CM15544" s="111"/>
      <c r="CQ15544" s="111"/>
      <c r="EF15544"/>
      <c r="EG15544"/>
      <c r="EH15544"/>
      <c r="EI15544"/>
      <c r="EJ15544"/>
      <c r="EK15544"/>
    </row>
    <row r="15545" spans="1:141" s="116" customFormat="1">
      <c r="A15545" s="136"/>
      <c r="CM15545" s="111"/>
      <c r="CQ15545" s="111"/>
      <c r="EF15545"/>
      <c r="EG15545"/>
      <c r="EH15545"/>
      <c r="EI15545"/>
      <c r="EJ15545"/>
      <c r="EK15545"/>
    </row>
    <row r="15546" spans="1:141" s="116" customFormat="1">
      <c r="A15546" s="136"/>
      <c r="CM15546" s="111"/>
      <c r="CQ15546" s="111"/>
      <c r="EF15546"/>
      <c r="EG15546"/>
      <c r="EH15546"/>
      <c r="EI15546"/>
      <c r="EJ15546"/>
      <c r="EK15546"/>
    </row>
    <row r="15547" spans="1:141" s="116" customFormat="1">
      <c r="A15547" s="136"/>
      <c r="CM15547" s="111"/>
      <c r="CQ15547" s="111"/>
      <c r="EF15547"/>
      <c r="EG15547"/>
      <c r="EH15547"/>
      <c r="EI15547"/>
      <c r="EJ15547"/>
      <c r="EK15547"/>
    </row>
    <row r="15548" spans="1:141" s="116" customFormat="1">
      <c r="A15548" s="136"/>
      <c r="CM15548" s="111"/>
      <c r="CQ15548" s="111"/>
      <c r="EF15548"/>
      <c r="EG15548"/>
      <c r="EH15548"/>
      <c r="EI15548"/>
      <c r="EJ15548"/>
      <c r="EK15548"/>
    </row>
    <row r="15549" spans="1:141" s="116" customFormat="1">
      <c r="A15549" s="136"/>
      <c r="CM15549" s="111"/>
      <c r="CQ15549" s="111"/>
      <c r="EF15549"/>
      <c r="EG15549"/>
      <c r="EH15549"/>
      <c r="EI15549"/>
      <c r="EJ15549"/>
      <c r="EK15549"/>
    </row>
    <row r="15550" spans="1:141" s="116" customFormat="1">
      <c r="A15550" s="136"/>
      <c r="CM15550" s="111"/>
      <c r="CQ15550" s="111"/>
      <c r="EF15550"/>
      <c r="EG15550"/>
      <c r="EH15550"/>
      <c r="EI15550"/>
      <c r="EJ15550"/>
      <c r="EK15550"/>
    </row>
    <row r="15551" spans="1:141" s="116" customFormat="1">
      <c r="A15551" s="136"/>
      <c r="CM15551" s="111"/>
      <c r="CQ15551" s="111"/>
      <c r="EF15551"/>
      <c r="EG15551"/>
      <c r="EH15551"/>
      <c r="EI15551"/>
      <c r="EJ15551"/>
      <c r="EK15551"/>
    </row>
    <row r="15552" spans="1:141" s="116" customFormat="1">
      <c r="A15552" s="136"/>
      <c r="CM15552" s="111"/>
      <c r="CQ15552" s="111"/>
      <c r="EF15552"/>
      <c r="EG15552"/>
      <c r="EH15552"/>
      <c r="EI15552"/>
      <c r="EJ15552"/>
      <c r="EK15552"/>
    </row>
    <row r="15553" spans="1:141" s="116" customFormat="1">
      <c r="A15553" s="136"/>
      <c r="CM15553" s="111"/>
      <c r="CQ15553" s="111"/>
      <c r="EF15553"/>
      <c r="EG15553"/>
      <c r="EH15553"/>
      <c r="EI15553"/>
      <c r="EJ15553"/>
      <c r="EK15553"/>
    </row>
    <row r="15554" spans="1:141" s="116" customFormat="1">
      <c r="A15554" s="136"/>
      <c r="CM15554" s="111"/>
      <c r="CQ15554" s="111"/>
      <c r="EF15554"/>
      <c r="EG15554"/>
      <c r="EH15554"/>
      <c r="EI15554"/>
      <c r="EJ15554"/>
      <c r="EK15554"/>
    </row>
    <row r="15555" spans="1:141" s="116" customFormat="1">
      <c r="A15555" s="136"/>
      <c r="CM15555" s="111"/>
      <c r="CQ15555" s="111"/>
      <c r="EF15555"/>
      <c r="EG15555"/>
      <c r="EH15555"/>
      <c r="EI15555"/>
      <c r="EJ15555"/>
      <c r="EK15555"/>
    </row>
    <row r="15556" spans="1:141" s="116" customFormat="1">
      <c r="A15556" s="136"/>
      <c r="CM15556" s="111"/>
      <c r="CQ15556" s="111"/>
      <c r="EF15556"/>
      <c r="EG15556"/>
      <c r="EH15556"/>
      <c r="EI15556"/>
      <c r="EJ15556"/>
      <c r="EK15556"/>
    </row>
    <row r="15557" spans="1:141" s="116" customFormat="1">
      <c r="A15557" s="136"/>
      <c r="CM15557" s="111"/>
      <c r="CQ15557" s="111"/>
      <c r="EF15557"/>
      <c r="EG15557"/>
      <c r="EH15557"/>
      <c r="EI15557"/>
      <c r="EJ15557"/>
      <c r="EK15557"/>
    </row>
    <row r="15558" spans="1:141" s="116" customFormat="1">
      <c r="A15558" s="136"/>
      <c r="CM15558" s="111"/>
      <c r="CQ15558" s="111"/>
      <c r="EF15558"/>
      <c r="EG15558"/>
      <c r="EH15558"/>
      <c r="EI15558"/>
      <c r="EJ15558"/>
      <c r="EK15558"/>
    </row>
    <row r="15559" spans="1:141" s="116" customFormat="1">
      <c r="A15559" s="136"/>
      <c r="CM15559" s="111"/>
      <c r="CQ15559" s="111"/>
      <c r="EF15559"/>
      <c r="EG15559"/>
      <c r="EH15559"/>
      <c r="EI15559"/>
      <c r="EJ15559"/>
      <c r="EK15559"/>
    </row>
    <row r="15560" spans="1:141" s="116" customFormat="1">
      <c r="A15560" s="136"/>
      <c r="CM15560" s="111"/>
      <c r="CQ15560" s="111"/>
      <c r="EF15560"/>
      <c r="EG15560"/>
      <c r="EH15560"/>
      <c r="EI15560"/>
      <c r="EJ15560"/>
      <c r="EK15560"/>
    </row>
    <row r="15561" spans="1:141" s="116" customFormat="1">
      <c r="A15561" s="136"/>
      <c r="CM15561" s="111"/>
      <c r="CQ15561" s="111"/>
      <c r="EF15561"/>
      <c r="EG15561"/>
      <c r="EH15561"/>
      <c r="EI15561"/>
      <c r="EJ15561"/>
      <c r="EK15561"/>
    </row>
    <row r="15562" spans="1:141" s="116" customFormat="1">
      <c r="A15562" s="136"/>
      <c r="CM15562" s="111"/>
      <c r="CQ15562" s="111"/>
      <c r="EF15562"/>
      <c r="EG15562"/>
      <c r="EH15562"/>
      <c r="EI15562"/>
      <c r="EJ15562"/>
      <c r="EK15562"/>
    </row>
    <row r="15563" spans="1:141" s="116" customFormat="1">
      <c r="A15563" s="136"/>
      <c r="CM15563" s="111"/>
      <c r="CQ15563" s="111"/>
      <c r="EF15563"/>
      <c r="EG15563"/>
      <c r="EH15563"/>
      <c r="EI15563"/>
      <c r="EJ15563"/>
      <c r="EK15563"/>
    </row>
    <row r="15564" spans="1:141" s="116" customFormat="1">
      <c r="A15564" s="136"/>
      <c r="CM15564" s="111"/>
      <c r="CQ15564" s="111"/>
      <c r="EF15564"/>
      <c r="EG15564"/>
      <c r="EH15564"/>
      <c r="EI15564"/>
      <c r="EJ15564"/>
      <c r="EK15564"/>
    </row>
    <row r="15565" spans="1:141" s="116" customFormat="1">
      <c r="A15565" s="136"/>
      <c r="CM15565" s="111"/>
      <c r="CQ15565" s="111"/>
      <c r="EF15565"/>
      <c r="EG15565"/>
      <c r="EH15565"/>
      <c r="EI15565"/>
      <c r="EJ15565"/>
      <c r="EK15565"/>
    </row>
    <row r="15566" spans="1:141" s="116" customFormat="1">
      <c r="A15566" s="136"/>
      <c r="CM15566" s="111"/>
      <c r="CQ15566" s="111"/>
      <c r="EF15566"/>
      <c r="EG15566"/>
      <c r="EH15566"/>
      <c r="EI15566"/>
      <c r="EJ15566"/>
      <c r="EK15566"/>
    </row>
    <row r="15567" spans="1:141" s="116" customFormat="1">
      <c r="A15567" s="136"/>
      <c r="CM15567" s="111"/>
      <c r="CQ15567" s="111"/>
      <c r="EF15567"/>
      <c r="EG15567"/>
      <c r="EH15567"/>
      <c r="EI15567"/>
      <c r="EJ15567"/>
      <c r="EK15567"/>
    </row>
    <row r="15568" spans="1:141" s="116" customFormat="1">
      <c r="A15568" s="136"/>
      <c r="CM15568" s="111"/>
      <c r="CQ15568" s="111"/>
      <c r="EF15568"/>
      <c r="EG15568"/>
      <c r="EH15568"/>
      <c r="EI15568"/>
      <c r="EJ15568"/>
      <c r="EK15568"/>
    </row>
    <row r="15569" spans="1:141" s="116" customFormat="1">
      <c r="A15569" s="136"/>
      <c r="CM15569" s="111"/>
      <c r="CQ15569" s="111"/>
      <c r="EF15569"/>
      <c r="EG15569"/>
      <c r="EH15569"/>
      <c r="EI15569"/>
      <c r="EJ15569"/>
      <c r="EK15569"/>
    </row>
    <row r="15570" spans="1:141" s="116" customFormat="1">
      <c r="A15570" s="136"/>
      <c r="CM15570" s="111"/>
      <c r="CQ15570" s="111"/>
      <c r="EF15570"/>
      <c r="EG15570"/>
      <c r="EH15570"/>
      <c r="EI15570"/>
      <c r="EJ15570"/>
      <c r="EK15570"/>
    </row>
    <row r="15571" spans="1:141" s="116" customFormat="1">
      <c r="A15571" s="136"/>
      <c r="CM15571" s="111"/>
      <c r="CQ15571" s="111"/>
      <c r="EF15571"/>
      <c r="EG15571"/>
      <c r="EH15571"/>
      <c r="EI15571"/>
      <c r="EJ15571"/>
      <c r="EK15571"/>
    </row>
    <row r="15572" spans="1:141" s="116" customFormat="1">
      <c r="A15572" s="136"/>
      <c r="CM15572" s="111"/>
      <c r="CQ15572" s="111"/>
      <c r="EF15572"/>
      <c r="EG15572"/>
      <c r="EH15572"/>
      <c r="EI15572"/>
      <c r="EJ15572"/>
      <c r="EK15572"/>
    </row>
    <row r="15573" spans="1:141" s="116" customFormat="1">
      <c r="A15573" s="136"/>
      <c r="CM15573" s="111"/>
      <c r="CQ15573" s="111"/>
      <c r="EF15573"/>
      <c r="EG15573"/>
      <c r="EH15573"/>
      <c r="EI15573"/>
      <c r="EJ15573"/>
      <c r="EK15573"/>
    </row>
    <row r="15574" spans="1:141" s="116" customFormat="1">
      <c r="A15574" s="136"/>
      <c r="CM15574" s="111"/>
      <c r="CQ15574" s="111"/>
      <c r="EF15574"/>
      <c r="EG15574"/>
      <c r="EH15574"/>
      <c r="EI15574"/>
      <c r="EJ15574"/>
      <c r="EK15574"/>
    </row>
    <row r="15575" spans="1:141" s="116" customFormat="1">
      <c r="A15575" s="136"/>
      <c r="CM15575" s="111"/>
      <c r="CQ15575" s="111"/>
      <c r="EF15575"/>
      <c r="EG15575"/>
      <c r="EH15575"/>
      <c r="EI15575"/>
      <c r="EJ15575"/>
      <c r="EK15575"/>
    </row>
    <row r="15576" spans="1:141" s="116" customFormat="1">
      <c r="A15576" s="136"/>
      <c r="CM15576" s="111"/>
      <c r="CQ15576" s="111"/>
      <c r="EF15576"/>
      <c r="EG15576"/>
      <c r="EH15576"/>
      <c r="EI15576"/>
      <c r="EJ15576"/>
      <c r="EK15576"/>
    </row>
    <row r="15577" spans="1:141" s="116" customFormat="1">
      <c r="A15577" s="136"/>
      <c r="CM15577" s="111"/>
      <c r="CQ15577" s="111"/>
      <c r="EF15577"/>
      <c r="EG15577"/>
      <c r="EH15577"/>
      <c r="EI15577"/>
      <c r="EJ15577"/>
      <c r="EK15577"/>
    </row>
    <row r="15578" spans="1:141" s="116" customFormat="1">
      <c r="A15578" s="136"/>
      <c r="CM15578" s="111"/>
      <c r="CQ15578" s="111"/>
      <c r="EF15578"/>
      <c r="EG15578"/>
      <c r="EH15578"/>
      <c r="EI15578"/>
      <c r="EJ15578"/>
      <c r="EK15578"/>
    </row>
    <row r="15579" spans="1:141" s="116" customFormat="1">
      <c r="A15579" s="136"/>
      <c r="CM15579" s="111"/>
      <c r="CQ15579" s="111"/>
      <c r="EF15579"/>
      <c r="EG15579"/>
      <c r="EH15579"/>
      <c r="EI15579"/>
      <c r="EJ15579"/>
      <c r="EK15579"/>
    </row>
    <row r="15580" spans="1:141" s="116" customFormat="1">
      <c r="A15580" s="136"/>
      <c r="CM15580" s="111"/>
      <c r="CQ15580" s="111"/>
      <c r="EF15580"/>
      <c r="EG15580"/>
      <c r="EH15580"/>
      <c r="EI15580"/>
      <c r="EJ15580"/>
      <c r="EK15580"/>
    </row>
    <row r="15581" spans="1:141" s="116" customFormat="1">
      <c r="A15581" s="136"/>
      <c r="CM15581" s="111"/>
      <c r="CQ15581" s="111"/>
      <c r="EF15581"/>
      <c r="EG15581"/>
      <c r="EH15581"/>
      <c r="EI15581"/>
      <c r="EJ15581"/>
      <c r="EK15581"/>
    </row>
    <row r="15582" spans="1:141" s="116" customFormat="1">
      <c r="A15582" s="136"/>
      <c r="CM15582" s="111"/>
      <c r="CQ15582" s="111"/>
      <c r="EF15582"/>
      <c r="EG15582"/>
      <c r="EH15582"/>
      <c r="EI15582"/>
      <c r="EJ15582"/>
      <c r="EK15582"/>
    </row>
    <row r="15583" spans="1:141" s="116" customFormat="1">
      <c r="A15583" s="136"/>
      <c r="CM15583" s="111"/>
      <c r="CQ15583" s="111"/>
      <c r="EF15583"/>
      <c r="EG15583"/>
      <c r="EH15583"/>
      <c r="EI15583"/>
      <c r="EJ15583"/>
      <c r="EK15583"/>
    </row>
    <row r="15584" spans="1:141" s="116" customFormat="1">
      <c r="A15584" s="136"/>
      <c r="CM15584" s="111"/>
      <c r="CQ15584" s="111"/>
      <c r="EF15584"/>
      <c r="EG15584"/>
      <c r="EH15584"/>
      <c r="EI15584"/>
      <c r="EJ15584"/>
      <c r="EK15584"/>
    </row>
    <row r="15585" spans="1:141" s="116" customFormat="1">
      <c r="A15585" s="136"/>
      <c r="CM15585" s="111"/>
      <c r="CQ15585" s="111"/>
      <c r="EF15585"/>
      <c r="EG15585"/>
      <c r="EH15585"/>
      <c r="EI15585"/>
      <c r="EJ15585"/>
      <c r="EK15585"/>
    </row>
    <row r="15586" spans="1:141" s="116" customFormat="1">
      <c r="A15586" s="136"/>
      <c r="CM15586" s="111"/>
      <c r="CQ15586" s="111"/>
      <c r="EF15586"/>
      <c r="EG15586"/>
      <c r="EH15586"/>
      <c r="EI15586"/>
      <c r="EJ15586"/>
      <c r="EK15586"/>
    </row>
    <row r="15587" spans="1:141" s="116" customFormat="1">
      <c r="A15587" s="136"/>
      <c r="CM15587" s="111"/>
      <c r="CQ15587" s="111"/>
      <c r="EF15587"/>
      <c r="EG15587"/>
      <c r="EH15587"/>
      <c r="EI15587"/>
      <c r="EJ15587"/>
      <c r="EK15587"/>
    </row>
    <row r="15588" spans="1:141" s="116" customFormat="1">
      <c r="A15588" s="136"/>
      <c r="CM15588" s="111"/>
      <c r="CQ15588" s="111"/>
      <c r="EF15588"/>
      <c r="EG15588"/>
      <c r="EH15588"/>
      <c r="EI15588"/>
      <c r="EJ15588"/>
      <c r="EK15588"/>
    </row>
    <row r="15589" spans="1:141" s="116" customFormat="1">
      <c r="A15589" s="136"/>
      <c r="CM15589" s="111"/>
      <c r="CQ15589" s="111"/>
      <c r="EF15589"/>
      <c r="EG15589"/>
      <c r="EH15589"/>
      <c r="EI15589"/>
      <c r="EJ15589"/>
      <c r="EK15589"/>
    </row>
    <row r="15590" spans="1:141" s="116" customFormat="1">
      <c r="A15590" s="136"/>
      <c r="CM15590" s="111"/>
      <c r="CQ15590" s="111"/>
      <c r="EF15590"/>
      <c r="EG15590"/>
      <c r="EH15590"/>
      <c r="EI15590"/>
      <c r="EJ15590"/>
      <c r="EK15590"/>
    </row>
    <row r="15591" spans="1:141" s="116" customFormat="1">
      <c r="A15591" s="136"/>
      <c r="CM15591" s="111"/>
      <c r="CQ15591" s="111"/>
      <c r="EF15591"/>
      <c r="EG15591"/>
      <c r="EH15591"/>
      <c r="EI15591"/>
      <c r="EJ15591"/>
      <c r="EK15591"/>
    </row>
    <row r="15592" spans="1:141" s="116" customFormat="1">
      <c r="A15592" s="136"/>
      <c r="CM15592" s="111"/>
      <c r="CQ15592" s="111"/>
      <c r="EF15592"/>
      <c r="EG15592"/>
      <c r="EH15592"/>
      <c r="EI15592"/>
      <c r="EJ15592"/>
      <c r="EK15592"/>
    </row>
    <row r="15593" spans="1:141" s="116" customFormat="1">
      <c r="A15593" s="136"/>
      <c r="CM15593" s="111"/>
      <c r="CQ15593" s="111"/>
      <c r="EF15593"/>
      <c r="EG15593"/>
      <c r="EH15593"/>
      <c r="EI15593"/>
      <c r="EJ15593"/>
      <c r="EK15593"/>
    </row>
    <row r="15594" spans="1:141" s="116" customFormat="1">
      <c r="A15594" s="136"/>
      <c r="CM15594" s="111"/>
      <c r="CQ15594" s="111"/>
      <c r="EF15594"/>
      <c r="EG15594"/>
      <c r="EH15594"/>
      <c r="EI15594"/>
      <c r="EJ15594"/>
      <c r="EK15594"/>
    </row>
    <row r="15595" spans="1:141" s="116" customFormat="1">
      <c r="A15595" s="136"/>
      <c r="CM15595" s="111"/>
      <c r="CQ15595" s="111"/>
      <c r="EF15595"/>
      <c r="EG15595"/>
      <c r="EH15595"/>
      <c r="EI15595"/>
      <c r="EJ15595"/>
      <c r="EK15595"/>
    </row>
    <row r="15596" spans="1:141" s="116" customFormat="1">
      <c r="A15596" s="136"/>
      <c r="CM15596" s="111"/>
      <c r="CQ15596" s="111"/>
      <c r="EF15596"/>
      <c r="EG15596"/>
      <c r="EH15596"/>
      <c r="EI15596"/>
      <c r="EJ15596"/>
      <c r="EK15596"/>
    </row>
    <row r="15597" spans="1:141" s="116" customFormat="1">
      <c r="A15597" s="136"/>
      <c r="CM15597" s="111"/>
      <c r="CQ15597" s="111"/>
      <c r="EF15597"/>
      <c r="EG15597"/>
      <c r="EH15597"/>
      <c r="EI15597"/>
      <c r="EJ15597"/>
      <c r="EK15597"/>
    </row>
    <row r="15598" spans="1:141" s="116" customFormat="1">
      <c r="A15598" s="136"/>
      <c r="CM15598" s="111"/>
      <c r="CQ15598" s="111"/>
      <c r="EF15598"/>
      <c r="EG15598"/>
      <c r="EH15598"/>
      <c r="EI15598"/>
      <c r="EJ15598"/>
      <c r="EK15598"/>
    </row>
    <row r="15599" spans="1:141" s="116" customFormat="1">
      <c r="A15599" s="136"/>
      <c r="CM15599" s="111"/>
      <c r="CQ15599" s="111"/>
      <c r="EF15599"/>
      <c r="EG15599"/>
      <c r="EH15599"/>
      <c r="EI15599"/>
      <c r="EJ15599"/>
      <c r="EK15599"/>
    </row>
    <row r="15600" spans="1:141" s="116" customFormat="1">
      <c r="A15600" s="136"/>
      <c r="CM15600" s="111"/>
      <c r="CQ15600" s="111"/>
      <c r="EF15600"/>
      <c r="EG15600"/>
      <c r="EH15600"/>
      <c r="EI15600"/>
      <c r="EJ15600"/>
      <c r="EK15600"/>
    </row>
    <row r="15601" spans="1:141" s="116" customFormat="1">
      <c r="A15601" s="136"/>
      <c r="CM15601" s="111"/>
      <c r="CQ15601" s="111"/>
      <c r="EF15601"/>
      <c r="EG15601"/>
      <c r="EH15601"/>
      <c r="EI15601"/>
      <c r="EJ15601"/>
      <c r="EK15601"/>
    </row>
    <row r="15602" spans="1:141" s="116" customFormat="1">
      <c r="A15602" s="136"/>
      <c r="CM15602" s="111"/>
      <c r="CQ15602" s="111"/>
      <c r="EF15602"/>
      <c r="EG15602"/>
      <c r="EH15602"/>
      <c r="EI15602"/>
      <c r="EJ15602"/>
      <c r="EK15602"/>
    </row>
    <row r="15603" spans="1:141" s="116" customFormat="1">
      <c r="A15603" s="136"/>
      <c r="CM15603" s="111"/>
      <c r="CQ15603" s="111"/>
      <c r="EF15603"/>
      <c r="EG15603"/>
      <c r="EH15603"/>
      <c r="EI15603"/>
      <c r="EJ15603"/>
      <c r="EK15603"/>
    </row>
    <row r="15604" spans="1:141" s="116" customFormat="1">
      <c r="A15604" s="136"/>
      <c r="CM15604" s="111"/>
      <c r="CQ15604" s="111"/>
      <c r="EF15604"/>
      <c r="EG15604"/>
      <c r="EH15604"/>
      <c r="EI15604"/>
      <c r="EJ15604"/>
      <c r="EK15604"/>
    </row>
    <row r="15605" spans="1:141" s="116" customFormat="1">
      <c r="A15605" s="136"/>
      <c r="CM15605" s="111"/>
      <c r="CQ15605" s="111"/>
      <c r="EF15605"/>
      <c r="EG15605"/>
      <c r="EH15605"/>
      <c r="EI15605"/>
      <c r="EJ15605"/>
      <c r="EK15605"/>
    </row>
    <row r="15606" spans="1:141" s="116" customFormat="1">
      <c r="A15606" s="136"/>
      <c r="CM15606" s="111"/>
      <c r="CQ15606" s="111"/>
      <c r="EF15606"/>
      <c r="EG15606"/>
      <c r="EH15606"/>
      <c r="EI15606"/>
      <c r="EJ15606"/>
      <c r="EK15606"/>
    </row>
    <row r="15607" spans="1:141" s="116" customFormat="1">
      <c r="A15607" s="136"/>
      <c r="CM15607" s="111"/>
      <c r="CQ15607" s="111"/>
      <c r="EF15607"/>
      <c r="EG15607"/>
      <c r="EH15607"/>
      <c r="EI15607"/>
      <c r="EJ15607"/>
      <c r="EK15607"/>
    </row>
    <row r="15608" spans="1:141" s="116" customFormat="1">
      <c r="A15608" s="136"/>
      <c r="CM15608" s="111"/>
      <c r="CQ15608" s="111"/>
      <c r="EF15608"/>
      <c r="EG15608"/>
      <c r="EH15608"/>
      <c r="EI15608"/>
      <c r="EJ15608"/>
      <c r="EK15608"/>
    </row>
    <row r="15609" spans="1:141" s="116" customFormat="1">
      <c r="A15609" s="136"/>
      <c r="CM15609" s="111"/>
      <c r="CQ15609" s="111"/>
      <c r="EF15609"/>
      <c r="EG15609"/>
      <c r="EH15609"/>
      <c r="EI15609"/>
      <c r="EJ15609"/>
      <c r="EK15609"/>
    </row>
    <row r="15610" spans="1:141" s="116" customFormat="1">
      <c r="A15610" s="136"/>
      <c r="CM15610" s="111"/>
      <c r="CQ15610" s="111"/>
      <c r="EF15610"/>
      <c r="EG15610"/>
      <c r="EH15610"/>
      <c r="EI15610"/>
      <c r="EJ15610"/>
      <c r="EK15610"/>
    </row>
    <row r="15611" spans="1:141" s="116" customFormat="1">
      <c r="A15611" s="136"/>
      <c r="CM15611" s="111"/>
      <c r="CQ15611" s="111"/>
      <c r="EF15611"/>
      <c r="EG15611"/>
      <c r="EH15611"/>
      <c r="EI15611"/>
      <c r="EJ15611"/>
      <c r="EK15611"/>
    </row>
    <row r="15612" spans="1:141" s="116" customFormat="1">
      <c r="A15612" s="136"/>
      <c r="CM15612" s="111"/>
      <c r="CQ15612" s="111"/>
      <c r="EF15612"/>
      <c r="EG15612"/>
      <c r="EH15612"/>
      <c r="EI15612"/>
      <c r="EJ15612"/>
      <c r="EK15612"/>
    </row>
    <row r="15613" spans="1:141" s="116" customFormat="1">
      <c r="A15613" s="136"/>
      <c r="CM15613" s="111"/>
      <c r="CQ15613" s="111"/>
      <c r="EF15613"/>
      <c r="EG15613"/>
      <c r="EH15613"/>
      <c r="EI15613"/>
      <c r="EJ15613"/>
      <c r="EK15613"/>
    </row>
    <row r="15614" spans="1:141" s="116" customFormat="1">
      <c r="A15614" s="136"/>
      <c r="CM15614" s="111"/>
      <c r="CQ15614" s="111"/>
      <c r="EF15614"/>
      <c r="EG15614"/>
      <c r="EH15614"/>
      <c r="EI15614"/>
      <c r="EJ15614"/>
      <c r="EK15614"/>
    </row>
    <row r="15615" spans="1:141" s="116" customFormat="1">
      <c r="A15615" s="136"/>
      <c r="CM15615" s="111"/>
      <c r="CQ15615" s="111"/>
      <c r="EF15615"/>
      <c r="EG15615"/>
      <c r="EH15615"/>
      <c r="EI15615"/>
      <c r="EJ15615"/>
      <c r="EK15615"/>
    </row>
    <row r="15616" spans="1:141" s="116" customFormat="1">
      <c r="A15616" s="136"/>
      <c r="CM15616" s="111"/>
      <c r="CQ15616" s="111"/>
      <c r="EF15616"/>
      <c r="EG15616"/>
      <c r="EH15616"/>
      <c r="EI15616"/>
      <c r="EJ15616"/>
      <c r="EK15616"/>
    </row>
    <row r="15617" spans="1:141" s="116" customFormat="1">
      <c r="A15617" s="136"/>
      <c r="CM15617" s="111"/>
      <c r="CQ15617" s="111"/>
      <c r="EF15617"/>
      <c r="EG15617"/>
      <c r="EH15617"/>
      <c r="EI15617"/>
      <c r="EJ15617"/>
      <c r="EK15617"/>
    </row>
    <row r="15618" spans="1:141" s="116" customFormat="1">
      <c r="A15618" s="136"/>
      <c r="CM15618" s="111"/>
      <c r="CQ15618" s="111"/>
      <c r="EF15618"/>
      <c r="EG15618"/>
      <c r="EH15618"/>
      <c r="EI15618"/>
      <c r="EJ15618"/>
      <c r="EK15618"/>
    </row>
    <row r="15619" spans="1:141" s="116" customFormat="1">
      <c r="A15619" s="136"/>
      <c r="CM15619" s="111"/>
      <c r="CQ15619" s="111"/>
      <c r="EF15619"/>
      <c r="EG15619"/>
      <c r="EH15619"/>
      <c r="EI15619"/>
      <c r="EJ15619"/>
      <c r="EK15619"/>
    </row>
    <row r="15620" spans="1:141" s="116" customFormat="1">
      <c r="A15620" s="136"/>
      <c r="CM15620" s="111"/>
      <c r="CQ15620" s="111"/>
      <c r="EF15620"/>
      <c r="EG15620"/>
      <c r="EH15620"/>
      <c r="EI15620"/>
      <c r="EJ15620"/>
      <c r="EK15620"/>
    </row>
    <row r="15621" spans="1:141" s="116" customFormat="1">
      <c r="A15621" s="136"/>
      <c r="CM15621" s="111"/>
      <c r="CQ15621" s="111"/>
      <c r="EF15621"/>
      <c r="EG15621"/>
      <c r="EH15621"/>
      <c r="EI15621"/>
      <c r="EJ15621"/>
      <c r="EK15621"/>
    </row>
    <row r="15622" spans="1:141" s="116" customFormat="1">
      <c r="A15622" s="136"/>
      <c r="CM15622" s="111"/>
      <c r="CQ15622" s="111"/>
      <c r="EF15622"/>
      <c r="EG15622"/>
      <c r="EH15622"/>
      <c r="EI15622"/>
      <c r="EJ15622"/>
      <c r="EK15622"/>
    </row>
    <row r="15623" spans="1:141" s="116" customFormat="1">
      <c r="A15623" s="136"/>
      <c r="CM15623" s="111"/>
      <c r="CQ15623" s="111"/>
      <c r="EF15623"/>
      <c r="EG15623"/>
      <c r="EH15623"/>
      <c r="EI15623"/>
      <c r="EJ15623"/>
      <c r="EK15623"/>
    </row>
    <row r="15624" spans="1:141" s="116" customFormat="1">
      <c r="A15624" s="136"/>
      <c r="CM15624" s="111"/>
      <c r="CQ15624" s="111"/>
      <c r="EF15624"/>
      <c r="EG15624"/>
      <c r="EH15624"/>
      <c r="EI15624"/>
      <c r="EJ15624"/>
      <c r="EK15624"/>
    </row>
    <row r="15625" spans="1:141" s="116" customFormat="1">
      <c r="A15625" s="136"/>
      <c r="CM15625" s="111"/>
      <c r="CQ15625" s="111"/>
      <c r="EF15625"/>
      <c r="EG15625"/>
      <c r="EH15625"/>
      <c r="EI15625"/>
      <c r="EJ15625"/>
      <c r="EK15625"/>
    </row>
    <row r="15626" spans="1:141" s="116" customFormat="1">
      <c r="A15626" s="136"/>
      <c r="CM15626" s="111"/>
      <c r="CQ15626" s="111"/>
      <c r="EF15626"/>
      <c r="EG15626"/>
      <c r="EH15626"/>
      <c r="EI15626"/>
      <c r="EJ15626"/>
      <c r="EK15626"/>
    </row>
    <row r="15627" spans="1:141" s="116" customFormat="1">
      <c r="A15627" s="136"/>
      <c r="CM15627" s="111"/>
      <c r="CQ15627" s="111"/>
      <c r="EF15627"/>
      <c r="EG15627"/>
      <c r="EH15627"/>
      <c r="EI15627"/>
      <c r="EJ15627"/>
      <c r="EK15627"/>
    </row>
    <row r="15628" spans="1:141" s="116" customFormat="1">
      <c r="A15628" s="136"/>
      <c r="CM15628" s="111"/>
      <c r="CQ15628" s="111"/>
      <c r="EF15628"/>
      <c r="EG15628"/>
      <c r="EH15628"/>
      <c r="EI15628"/>
      <c r="EJ15628"/>
      <c r="EK15628"/>
    </row>
    <row r="15629" spans="1:141" s="116" customFormat="1">
      <c r="A15629" s="136"/>
      <c r="CM15629" s="111"/>
      <c r="CQ15629" s="111"/>
      <c r="EF15629"/>
      <c r="EG15629"/>
      <c r="EH15629"/>
      <c r="EI15629"/>
      <c r="EJ15629"/>
      <c r="EK15629"/>
    </row>
    <row r="15630" spans="1:141" s="116" customFormat="1">
      <c r="A15630" s="136"/>
      <c r="CM15630" s="111"/>
      <c r="CQ15630" s="111"/>
      <c r="EF15630"/>
      <c r="EG15630"/>
      <c r="EH15630"/>
      <c r="EI15630"/>
      <c r="EJ15630"/>
      <c r="EK15630"/>
    </row>
    <row r="15631" spans="1:141" s="116" customFormat="1">
      <c r="A15631" s="136"/>
      <c r="CM15631" s="111"/>
      <c r="CQ15631" s="111"/>
      <c r="EF15631"/>
      <c r="EG15631"/>
      <c r="EH15631"/>
      <c r="EI15631"/>
      <c r="EJ15631"/>
      <c r="EK15631"/>
    </row>
    <row r="15632" spans="1:141" s="116" customFormat="1">
      <c r="A15632" s="136"/>
      <c r="CM15632" s="111"/>
      <c r="CQ15632" s="111"/>
      <c r="EF15632"/>
      <c r="EG15632"/>
      <c r="EH15632"/>
      <c r="EI15632"/>
      <c r="EJ15632"/>
      <c r="EK15632"/>
    </row>
    <row r="15633" spans="1:141" s="116" customFormat="1">
      <c r="A15633" s="136"/>
      <c r="CM15633" s="111"/>
      <c r="CQ15633" s="111"/>
      <c r="EF15633"/>
      <c r="EG15633"/>
      <c r="EH15633"/>
      <c r="EI15633"/>
      <c r="EJ15633"/>
      <c r="EK15633"/>
    </row>
    <row r="15634" spans="1:141" s="116" customFormat="1">
      <c r="A15634" s="136"/>
      <c r="CM15634" s="111"/>
      <c r="CQ15634" s="111"/>
      <c r="EF15634"/>
      <c r="EG15634"/>
      <c r="EH15634"/>
      <c r="EI15634"/>
      <c r="EJ15634"/>
      <c r="EK15634"/>
    </row>
    <row r="15635" spans="1:141" s="116" customFormat="1">
      <c r="A15635" s="136"/>
      <c r="CM15635" s="111"/>
      <c r="CQ15635" s="111"/>
      <c r="EF15635"/>
      <c r="EG15635"/>
      <c r="EH15635"/>
      <c r="EI15635"/>
      <c r="EJ15635"/>
      <c r="EK15635"/>
    </row>
    <row r="15636" spans="1:141" s="116" customFormat="1">
      <c r="A15636" s="136"/>
      <c r="CM15636" s="111"/>
      <c r="CQ15636" s="111"/>
      <c r="EF15636"/>
      <c r="EG15636"/>
      <c r="EH15636"/>
      <c r="EI15636"/>
      <c r="EJ15636"/>
      <c r="EK15636"/>
    </row>
    <row r="15637" spans="1:141" s="116" customFormat="1">
      <c r="A15637" s="136"/>
      <c r="CM15637" s="111"/>
      <c r="CQ15637" s="111"/>
      <c r="EF15637"/>
      <c r="EG15637"/>
      <c r="EH15637"/>
      <c r="EI15637"/>
      <c r="EJ15637"/>
      <c r="EK15637"/>
    </row>
    <row r="15638" spans="1:141" s="116" customFormat="1">
      <c r="A15638" s="136"/>
      <c r="CM15638" s="111"/>
      <c r="CQ15638" s="111"/>
      <c r="EF15638"/>
      <c r="EG15638"/>
      <c r="EH15638"/>
      <c r="EI15638"/>
      <c r="EJ15638"/>
      <c r="EK15638"/>
    </row>
    <row r="15639" spans="1:141" s="116" customFormat="1">
      <c r="A15639" s="136"/>
      <c r="CM15639" s="111"/>
      <c r="CQ15639" s="111"/>
      <c r="EF15639"/>
      <c r="EG15639"/>
      <c r="EH15639"/>
      <c r="EI15639"/>
      <c r="EJ15639"/>
      <c r="EK15639"/>
    </row>
    <row r="15640" spans="1:141" s="116" customFormat="1">
      <c r="A15640" s="136"/>
      <c r="CM15640" s="111"/>
      <c r="CQ15640" s="111"/>
      <c r="EF15640"/>
      <c r="EG15640"/>
      <c r="EH15640"/>
      <c r="EI15640"/>
      <c r="EJ15640"/>
      <c r="EK15640"/>
    </row>
    <row r="15641" spans="1:141" s="116" customFormat="1">
      <c r="A15641" s="136"/>
      <c r="CM15641" s="111"/>
      <c r="CQ15641" s="111"/>
      <c r="EF15641"/>
      <c r="EG15641"/>
      <c r="EH15641"/>
      <c r="EI15641"/>
      <c r="EJ15641"/>
      <c r="EK15641"/>
    </row>
    <row r="15642" spans="1:141" s="116" customFormat="1">
      <c r="A15642" s="136"/>
      <c r="CM15642" s="111"/>
      <c r="CQ15642" s="111"/>
      <c r="EF15642"/>
      <c r="EG15642"/>
      <c r="EH15642"/>
      <c r="EI15642"/>
      <c r="EJ15642"/>
      <c r="EK15642"/>
    </row>
    <row r="15643" spans="1:141" s="116" customFormat="1">
      <c r="A15643" s="136"/>
      <c r="CM15643" s="111"/>
      <c r="CQ15643" s="111"/>
      <c r="EF15643"/>
      <c r="EG15643"/>
      <c r="EH15643"/>
      <c r="EI15643"/>
      <c r="EJ15643"/>
      <c r="EK15643"/>
    </row>
    <row r="15644" spans="1:141" s="116" customFormat="1">
      <c r="A15644" s="136"/>
      <c r="CM15644" s="111"/>
      <c r="CQ15644" s="111"/>
      <c r="EF15644"/>
      <c r="EG15644"/>
      <c r="EH15644"/>
      <c r="EI15644"/>
      <c r="EJ15644"/>
      <c r="EK15644"/>
    </row>
    <row r="15645" spans="1:141" s="116" customFormat="1">
      <c r="A15645" s="136"/>
      <c r="CM15645" s="111"/>
      <c r="CQ15645" s="111"/>
      <c r="EF15645"/>
      <c r="EG15645"/>
      <c r="EH15645"/>
      <c r="EI15645"/>
      <c r="EJ15645"/>
      <c r="EK15645"/>
    </row>
    <row r="15646" spans="1:141" s="116" customFormat="1">
      <c r="A15646" s="136"/>
      <c r="CM15646" s="111"/>
      <c r="CQ15646" s="111"/>
      <c r="EF15646"/>
      <c r="EG15646"/>
      <c r="EH15646"/>
      <c r="EI15646"/>
      <c r="EJ15646"/>
      <c r="EK15646"/>
    </row>
    <row r="15647" spans="1:141" s="116" customFormat="1">
      <c r="A15647" s="136"/>
      <c r="CM15647" s="111"/>
      <c r="CQ15647" s="111"/>
      <c r="EF15647"/>
      <c r="EG15647"/>
      <c r="EH15647"/>
      <c r="EI15647"/>
      <c r="EJ15647"/>
      <c r="EK15647"/>
    </row>
    <row r="15648" spans="1:141" s="116" customFormat="1">
      <c r="A15648" s="136"/>
      <c r="CM15648" s="111"/>
      <c r="CQ15648" s="111"/>
      <c r="EF15648"/>
      <c r="EG15648"/>
      <c r="EH15648"/>
      <c r="EI15648"/>
      <c r="EJ15648"/>
      <c r="EK15648"/>
    </row>
    <row r="15649" spans="1:141" s="116" customFormat="1">
      <c r="A15649" s="136"/>
      <c r="CM15649" s="111"/>
      <c r="CQ15649" s="111"/>
      <c r="EF15649"/>
      <c r="EG15649"/>
      <c r="EH15649"/>
      <c r="EI15649"/>
      <c r="EJ15649"/>
      <c r="EK15649"/>
    </row>
    <row r="15650" spans="1:141" s="116" customFormat="1">
      <c r="A15650" s="136"/>
      <c r="CM15650" s="111"/>
      <c r="CQ15650" s="111"/>
      <c r="EF15650"/>
      <c r="EG15650"/>
      <c r="EH15650"/>
      <c r="EI15650"/>
      <c r="EJ15650"/>
      <c r="EK15650"/>
    </row>
    <row r="15651" spans="1:141" s="116" customFormat="1">
      <c r="A15651" s="136"/>
      <c r="CM15651" s="111"/>
      <c r="CQ15651" s="111"/>
      <c r="EF15651"/>
      <c r="EG15651"/>
      <c r="EH15651"/>
      <c r="EI15651"/>
      <c r="EJ15651"/>
      <c r="EK15651"/>
    </row>
    <row r="15652" spans="1:141" s="116" customFormat="1">
      <c r="A15652" s="136"/>
      <c r="CM15652" s="111"/>
      <c r="CQ15652" s="111"/>
      <c r="EF15652"/>
      <c r="EG15652"/>
      <c r="EH15652"/>
      <c r="EI15652"/>
      <c r="EJ15652"/>
      <c r="EK15652"/>
    </row>
    <row r="15653" spans="1:141" s="116" customFormat="1">
      <c r="A15653" s="136"/>
      <c r="CM15653" s="111"/>
      <c r="CQ15653" s="111"/>
      <c r="EF15653"/>
      <c r="EG15653"/>
      <c r="EH15653"/>
      <c r="EI15653"/>
      <c r="EJ15653"/>
      <c r="EK15653"/>
    </row>
    <row r="15654" spans="1:141" s="116" customFormat="1">
      <c r="A15654" s="136"/>
      <c r="CM15654" s="111"/>
      <c r="CQ15654" s="111"/>
      <c r="EF15654"/>
      <c r="EG15654"/>
      <c r="EH15654"/>
      <c r="EI15654"/>
      <c r="EJ15654"/>
      <c r="EK15654"/>
    </row>
    <row r="15655" spans="1:141" s="116" customFormat="1">
      <c r="A15655" s="136"/>
      <c r="CM15655" s="111"/>
      <c r="CQ15655" s="111"/>
      <c r="EF15655"/>
      <c r="EG15655"/>
      <c r="EH15655"/>
      <c r="EI15655"/>
      <c r="EJ15655"/>
      <c r="EK15655"/>
    </row>
    <row r="15656" spans="1:141" s="116" customFormat="1">
      <c r="A15656" s="136"/>
      <c r="CM15656" s="111"/>
      <c r="CQ15656" s="111"/>
      <c r="EF15656"/>
      <c r="EG15656"/>
      <c r="EH15656"/>
      <c r="EI15656"/>
      <c r="EJ15656"/>
      <c r="EK15656"/>
    </row>
    <row r="15657" spans="1:141" s="116" customFormat="1">
      <c r="A15657" s="136"/>
      <c r="CM15657" s="111"/>
      <c r="CQ15657" s="111"/>
      <c r="EF15657"/>
      <c r="EG15657"/>
      <c r="EH15657"/>
      <c r="EI15657"/>
      <c r="EJ15657"/>
      <c r="EK15657"/>
    </row>
    <row r="15658" spans="1:141" s="116" customFormat="1">
      <c r="A15658" s="136"/>
      <c r="CM15658" s="111"/>
      <c r="CQ15658" s="111"/>
      <c r="EF15658"/>
      <c r="EG15658"/>
      <c r="EH15658"/>
      <c r="EI15658"/>
      <c r="EJ15658"/>
      <c r="EK15658"/>
    </row>
    <row r="15659" spans="1:141" s="116" customFormat="1">
      <c r="A15659" s="136"/>
      <c r="CM15659" s="111"/>
      <c r="CQ15659" s="111"/>
      <c r="EF15659"/>
      <c r="EG15659"/>
      <c r="EH15659"/>
      <c r="EI15659"/>
      <c r="EJ15659"/>
      <c r="EK15659"/>
    </row>
    <row r="15660" spans="1:141" s="116" customFormat="1">
      <c r="A15660" s="136"/>
      <c r="CM15660" s="111"/>
      <c r="CQ15660" s="111"/>
      <c r="EF15660"/>
      <c r="EG15660"/>
      <c r="EH15660"/>
      <c r="EI15660"/>
      <c r="EJ15660"/>
      <c r="EK15660"/>
    </row>
    <row r="15661" spans="1:141" s="116" customFormat="1">
      <c r="A15661" s="136"/>
      <c r="CM15661" s="111"/>
      <c r="CQ15661" s="111"/>
      <c r="EF15661"/>
      <c r="EG15661"/>
      <c r="EH15661"/>
      <c r="EI15661"/>
      <c r="EJ15661"/>
      <c r="EK15661"/>
    </row>
    <row r="15662" spans="1:141" s="116" customFormat="1">
      <c r="A15662" s="136"/>
      <c r="CM15662" s="111"/>
      <c r="CQ15662" s="111"/>
      <c r="EF15662"/>
      <c r="EG15662"/>
      <c r="EH15662"/>
      <c r="EI15662"/>
      <c r="EJ15662"/>
      <c r="EK15662"/>
    </row>
    <row r="15663" spans="1:141" s="116" customFormat="1">
      <c r="A15663" s="136"/>
      <c r="CM15663" s="111"/>
      <c r="CQ15663" s="111"/>
      <c r="EF15663"/>
      <c r="EG15663"/>
      <c r="EH15663"/>
      <c r="EI15663"/>
      <c r="EJ15663"/>
      <c r="EK15663"/>
    </row>
    <row r="15664" spans="1:141" s="116" customFormat="1">
      <c r="A15664" s="136"/>
      <c r="CM15664" s="111"/>
      <c r="CQ15664" s="111"/>
      <c r="EF15664"/>
      <c r="EG15664"/>
      <c r="EH15664"/>
      <c r="EI15664"/>
      <c r="EJ15664"/>
      <c r="EK15664"/>
    </row>
    <row r="15665" spans="1:141" s="116" customFormat="1">
      <c r="A15665" s="136"/>
      <c r="CM15665" s="111"/>
      <c r="CQ15665" s="111"/>
      <c r="EF15665"/>
      <c r="EG15665"/>
      <c r="EH15665"/>
      <c r="EI15665"/>
      <c r="EJ15665"/>
      <c r="EK15665"/>
    </row>
    <row r="15666" spans="1:141" s="116" customFormat="1">
      <c r="A15666" s="136"/>
      <c r="CM15666" s="111"/>
      <c r="CQ15666" s="111"/>
      <c r="EF15666"/>
      <c r="EG15666"/>
      <c r="EH15666"/>
      <c r="EI15666"/>
      <c r="EJ15666"/>
      <c r="EK15666"/>
    </row>
    <row r="15667" spans="1:141" s="116" customFormat="1">
      <c r="A15667" s="136"/>
      <c r="CM15667" s="111"/>
      <c r="CQ15667" s="111"/>
      <c r="EF15667"/>
      <c r="EG15667"/>
      <c r="EH15667"/>
      <c r="EI15667"/>
      <c r="EJ15667"/>
      <c r="EK15667"/>
    </row>
    <row r="15668" spans="1:141" s="116" customFormat="1">
      <c r="A15668" s="136"/>
      <c r="CM15668" s="111"/>
      <c r="CQ15668" s="111"/>
      <c r="EF15668"/>
      <c r="EG15668"/>
      <c r="EH15668"/>
      <c r="EI15668"/>
      <c r="EJ15668"/>
      <c r="EK15668"/>
    </row>
    <row r="15669" spans="1:141" s="116" customFormat="1">
      <c r="A15669" s="136"/>
      <c r="CM15669" s="111"/>
      <c r="CQ15669" s="111"/>
      <c r="EF15669"/>
      <c r="EG15669"/>
      <c r="EH15669"/>
      <c r="EI15669"/>
      <c r="EJ15669"/>
      <c r="EK15669"/>
    </row>
    <row r="15670" spans="1:141" s="116" customFormat="1">
      <c r="A15670" s="136"/>
      <c r="CM15670" s="111"/>
      <c r="CQ15670" s="111"/>
      <c r="EF15670"/>
      <c r="EG15670"/>
      <c r="EH15670"/>
      <c r="EI15670"/>
      <c r="EJ15670"/>
      <c r="EK15670"/>
    </row>
    <row r="15671" spans="1:141" s="116" customFormat="1">
      <c r="A15671" s="136"/>
      <c r="CM15671" s="111"/>
      <c r="CQ15671" s="111"/>
      <c r="EF15671"/>
      <c r="EG15671"/>
      <c r="EH15671"/>
      <c r="EI15671"/>
      <c r="EJ15671"/>
      <c r="EK15671"/>
    </row>
    <row r="15672" spans="1:141" s="116" customFormat="1">
      <c r="A15672" s="136"/>
      <c r="CM15672" s="111"/>
      <c r="CQ15672" s="111"/>
      <c r="EF15672"/>
      <c r="EG15672"/>
      <c r="EH15672"/>
      <c r="EI15672"/>
      <c r="EJ15672"/>
      <c r="EK15672"/>
    </row>
    <row r="15673" spans="1:141" s="116" customFormat="1">
      <c r="A15673" s="136"/>
      <c r="CM15673" s="111"/>
      <c r="CQ15673" s="111"/>
      <c r="EF15673"/>
      <c r="EG15673"/>
      <c r="EH15673"/>
      <c r="EI15673"/>
      <c r="EJ15673"/>
      <c r="EK15673"/>
    </row>
    <row r="15674" spans="1:141" s="116" customFormat="1">
      <c r="A15674" s="136"/>
      <c r="CM15674" s="111"/>
      <c r="CQ15674" s="111"/>
      <c r="EF15674"/>
      <c r="EG15674"/>
      <c r="EH15674"/>
      <c r="EI15674"/>
      <c r="EJ15674"/>
      <c r="EK15674"/>
    </row>
    <row r="15675" spans="1:141" s="116" customFormat="1">
      <c r="A15675" s="136"/>
      <c r="CM15675" s="111"/>
      <c r="CQ15675" s="111"/>
      <c r="EF15675"/>
      <c r="EG15675"/>
      <c r="EH15675"/>
      <c r="EI15675"/>
      <c r="EJ15675"/>
      <c r="EK15675"/>
    </row>
    <row r="15676" spans="1:141" s="116" customFormat="1">
      <c r="A15676" s="136"/>
      <c r="CM15676" s="111"/>
      <c r="CQ15676" s="111"/>
      <c r="EF15676"/>
      <c r="EG15676"/>
      <c r="EH15676"/>
      <c r="EI15676"/>
      <c r="EJ15676"/>
      <c r="EK15676"/>
    </row>
    <row r="15677" spans="1:141" s="116" customFormat="1">
      <c r="A15677" s="136"/>
      <c r="CM15677" s="111"/>
      <c r="CQ15677" s="111"/>
      <c r="EF15677"/>
      <c r="EG15677"/>
      <c r="EH15677"/>
      <c r="EI15677"/>
      <c r="EJ15677"/>
      <c r="EK15677"/>
    </row>
    <row r="15678" spans="1:141" s="116" customFormat="1">
      <c r="A15678" s="136"/>
      <c r="CM15678" s="111"/>
      <c r="CQ15678" s="111"/>
      <c r="EF15678"/>
      <c r="EG15678"/>
      <c r="EH15678"/>
      <c r="EI15678"/>
      <c r="EJ15678"/>
      <c r="EK15678"/>
    </row>
    <row r="15679" spans="1:141" s="116" customFormat="1">
      <c r="A15679" s="136"/>
      <c r="CM15679" s="111"/>
      <c r="CQ15679" s="111"/>
      <c r="EF15679"/>
      <c r="EG15679"/>
      <c r="EH15679"/>
      <c r="EI15679"/>
      <c r="EJ15679"/>
      <c r="EK15679"/>
    </row>
    <row r="15680" spans="1:141" s="116" customFormat="1">
      <c r="A15680" s="136"/>
      <c r="CM15680" s="111"/>
      <c r="CQ15680" s="111"/>
      <c r="EF15680"/>
      <c r="EG15680"/>
      <c r="EH15680"/>
      <c r="EI15680"/>
      <c r="EJ15680"/>
      <c r="EK15680"/>
    </row>
    <row r="15681" spans="1:141" s="116" customFormat="1">
      <c r="A15681" s="136"/>
      <c r="CM15681" s="111"/>
      <c r="CQ15681" s="111"/>
      <c r="EF15681"/>
      <c r="EG15681"/>
      <c r="EH15681"/>
      <c r="EI15681"/>
      <c r="EJ15681"/>
      <c r="EK15681"/>
    </row>
    <row r="15682" spans="1:141" s="116" customFormat="1">
      <c r="A15682" s="136"/>
      <c r="CM15682" s="111"/>
      <c r="CQ15682" s="111"/>
      <c r="EF15682"/>
      <c r="EG15682"/>
      <c r="EH15682"/>
      <c r="EI15682"/>
      <c r="EJ15682"/>
      <c r="EK15682"/>
    </row>
    <row r="15683" spans="1:141" s="116" customFormat="1">
      <c r="A15683" s="136"/>
      <c r="CM15683" s="111"/>
      <c r="CQ15683" s="111"/>
      <c r="EF15683"/>
      <c r="EG15683"/>
      <c r="EH15683"/>
      <c r="EI15683"/>
      <c r="EJ15683"/>
      <c r="EK15683"/>
    </row>
    <row r="15684" spans="1:141" s="116" customFormat="1">
      <c r="A15684" s="136"/>
      <c r="CM15684" s="111"/>
      <c r="CQ15684" s="111"/>
      <c r="EF15684"/>
      <c r="EG15684"/>
      <c r="EH15684"/>
      <c r="EI15684"/>
      <c r="EJ15684"/>
      <c r="EK15684"/>
    </row>
    <row r="15685" spans="1:141" s="116" customFormat="1">
      <c r="A15685" s="136"/>
      <c r="CM15685" s="111"/>
      <c r="CQ15685" s="111"/>
      <c r="EF15685"/>
      <c r="EG15685"/>
      <c r="EH15685"/>
      <c r="EI15685"/>
      <c r="EJ15685"/>
      <c r="EK15685"/>
    </row>
    <row r="15686" spans="1:141" s="116" customFormat="1">
      <c r="A15686" s="136"/>
      <c r="CM15686" s="111"/>
      <c r="CQ15686" s="111"/>
      <c r="EF15686"/>
      <c r="EG15686"/>
      <c r="EH15686"/>
      <c r="EI15686"/>
      <c r="EJ15686"/>
      <c r="EK15686"/>
    </row>
    <row r="15687" spans="1:141" s="116" customFormat="1">
      <c r="A15687" s="136"/>
      <c r="CM15687" s="111"/>
      <c r="CQ15687" s="111"/>
      <c r="EF15687"/>
      <c r="EG15687"/>
      <c r="EH15687"/>
      <c r="EI15687"/>
      <c r="EJ15687"/>
      <c r="EK15687"/>
    </row>
    <row r="15688" spans="1:141" s="116" customFormat="1">
      <c r="A15688" s="136"/>
      <c r="CM15688" s="111"/>
      <c r="CQ15688" s="111"/>
      <c r="EF15688"/>
      <c r="EG15688"/>
      <c r="EH15688"/>
      <c r="EI15688"/>
      <c r="EJ15688"/>
      <c r="EK15688"/>
    </row>
    <row r="15689" spans="1:141" s="116" customFormat="1">
      <c r="A15689" s="136"/>
      <c r="CM15689" s="111"/>
      <c r="CQ15689" s="111"/>
      <c r="EF15689"/>
      <c r="EG15689"/>
      <c r="EH15689"/>
      <c r="EI15689"/>
      <c r="EJ15689"/>
      <c r="EK15689"/>
    </row>
    <row r="15690" spans="1:141" s="116" customFormat="1">
      <c r="A15690" s="136"/>
      <c r="CM15690" s="111"/>
      <c r="CQ15690" s="111"/>
      <c r="EF15690"/>
      <c r="EG15690"/>
      <c r="EH15690"/>
      <c r="EI15690"/>
      <c r="EJ15690"/>
      <c r="EK15690"/>
    </row>
    <row r="15691" spans="1:141" s="116" customFormat="1">
      <c r="A15691" s="136"/>
      <c r="CM15691" s="111"/>
      <c r="CQ15691" s="111"/>
      <c r="EF15691"/>
      <c r="EG15691"/>
      <c r="EH15691"/>
      <c r="EI15691"/>
      <c r="EJ15691"/>
      <c r="EK15691"/>
    </row>
    <row r="15692" spans="1:141" s="116" customFormat="1">
      <c r="A15692" s="136"/>
      <c r="CM15692" s="111"/>
      <c r="CQ15692" s="111"/>
      <c r="EF15692"/>
      <c r="EG15692"/>
      <c r="EH15692"/>
      <c r="EI15692"/>
      <c r="EJ15692"/>
      <c r="EK15692"/>
    </row>
    <row r="15693" spans="1:141" s="116" customFormat="1">
      <c r="A15693" s="136"/>
      <c r="CM15693" s="111"/>
      <c r="CQ15693" s="111"/>
      <c r="EF15693"/>
      <c r="EG15693"/>
      <c r="EH15693"/>
      <c r="EI15693"/>
      <c r="EJ15693"/>
      <c r="EK15693"/>
    </row>
    <row r="15694" spans="1:141" s="116" customFormat="1">
      <c r="A15694" s="136"/>
      <c r="CM15694" s="111"/>
      <c r="CQ15694" s="111"/>
      <c r="EF15694"/>
      <c r="EG15694"/>
      <c r="EH15694"/>
      <c r="EI15694"/>
      <c r="EJ15694"/>
      <c r="EK15694"/>
    </row>
    <row r="15695" spans="1:141" s="116" customFormat="1">
      <c r="A15695" s="136"/>
      <c r="CM15695" s="111"/>
      <c r="CQ15695" s="111"/>
      <c r="EF15695"/>
      <c r="EG15695"/>
      <c r="EH15695"/>
      <c r="EI15695"/>
      <c r="EJ15695"/>
      <c r="EK15695"/>
    </row>
    <row r="15696" spans="1:141" s="116" customFormat="1">
      <c r="A15696" s="136"/>
      <c r="CM15696" s="111"/>
      <c r="CQ15696" s="111"/>
      <c r="EF15696"/>
      <c r="EG15696"/>
      <c r="EH15696"/>
      <c r="EI15696"/>
      <c r="EJ15696"/>
      <c r="EK15696"/>
    </row>
    <row r="15697" spans="1:141" s="116" customFormat="1">
      <c r="A15697" s="136"/>
      <c r="CM15697" s="111"/>
      <c r="CQ15697" s="111"/>
      <c r="EF15697"/>
      <c r="EG15697"/>
      <c r="EH15697"/>
      <c r="EI15697"/>
      <c r="EJ15697"/>
      <c r="EK15697"/>
    </row>
    <row r="15698" spans="1:141" s="116" customFormat="1">
      <c r="A15698" s="136"/>
      <c r="CM15698" s="111"/>
      <c r="CQ15698" s="111"/>
      <c r="EF15698"/>
      <c r="EG15698"/>
      <c r="EH15698"/>
      <c r="EI15698"/>
      <c r="EJ15698"/>
      <c r="EK15698"/>
    </row>
    <row r="15699" spans="1:141" s="116" customFormat="1">
      <c r="A15699" s="136"/>
      <c r="CM15699" s="111"/>
      <c r="CQ15699" s="111"/>
      <c r="EF15699"/>
      <c r="EG15699"/>
      <c r="EH15699"/>
      <c r="EI15699"/>
      <c r="EJ15699"/>
      <c r="EK15699"/>
    </row>
    <row r="15700" spans="1:141" s="116" customFormat="1">
      <c r="A15700" s="136"/>
      <c r="CM15700" s="111"/>
      <c r="CQ15700" s="111"/>
      <c r="EF15700"/>
      <c r="EG15700"/>
      <c r="EH15700"/>
      <c r="EI15700"/>
      <c r="EJ15700"/>
      <c r="EK15700"/>
    </row>
    <row r="15701" spans="1:141" s="116" customFormat="1">
      <c r="A15701" s="136"/>
      <c r="CM15701" s="111"/>
      <c r="CQ15701" s="111"/>
      <c r="EF15701"/>
      <c r="EG15701"/>
      <c r="EH15701"/>
      <c r="EI15701"/>
      <c r="EJ15701"/>
      <c r="EK15701"/>
    </row>
    <row r="15702" spans="1:141" s="116" customFormat="1">
      <c r="A15702" s="136"/>
      <c r="CM15702" s="111"/>
      <c r="CQ15702" s="111"/>
      <c r="EF15702"/>
      <c r="EG15702"/>
      <c r="EH15702"/>
      <c r="EI15702"/>
      <c r="EJ15702"/>
      <c r="EK15702"/>
    </row>
    <row r="15703" spans="1:141" s="116" customFormat="1">
      <c r="A15703" s="136"/>
      <c r="CM15703" s="111"/>
      <c r="CQ15703" s="111"/>
      <c r="EF15703"/>
      <c r="EG15703"/>
      <c r="EH15703"/>
      <c r="EI15703"/>
      <c r="EJ15703"/>
      <c r="EK15703"/>
    </row>
    <row r="15704" spans="1:141" s="116" customFormat="1">
      <c r="A15704" s="136"/>
      <c r="CM15704" s="111"/>
      <c r="CQ15704" s="111"/>
      <c r="EF15704"/>
      <c r="EG15704"/>
      <c r="EH15704"/>
      <c r="EI15704"/>
      <c r="EJ15704"/>
      <c r="EK15704"/>
    </row>
    <row r="15705" spans="1:141" s="116" customFormat="1">
      <c r="A15705" s="136"/>
      <c r="CM15705" s="111"/>
      <c r="CQ15705" s="111"/>
      <c r="EF15705"/>
      <c r="EG15705"/>
      <c r="EH15705"/>
      <c r="EI15705"/>
      <c r="EJ15705"/>
      <c r="EK15705"/>
    </row>
    <row r="15706" spans="1:141" s="116" customFormat="1">
      <c r="A15706" s="136"/>
      <c r="CM15706" s="111"/>
      <c r="CQ15706" s="111"/>
      <c r="EF15706"/>
      <c r="EG15706"/>
      <c r="EH15706"/>
      <c r="EI15706"/>
      <c r="EJ15706"/>
      <c r="EK15706"/>
    </row>
    <row r="15707" spans="1:141" s="116" customFormat="1">
      <c r="A15707" s="136"/>
      <c r="CM15707" s="111"/>
      <c r="CQ15707" s="111"/>
      <c r="EF15707"/>
      <c r="EG15707"/>
      <c r="EH15707"/>
      <c r="EI15707"/>
      <c r="EJ15707"/>
      <c r="EK15707"/>
    </row>
    <row r="15708" spans="1:141" s="116" customFormat="1">
      <c r="A15708" s="136"/>
      <c r="CM15708" s="111"/>
      <c r="CQ15708" s="111"/>
      <c r="EF15708"/>
      <c r="EG15708"/>
      <c r="EH15708"/>
      <c r="EI15708"/>
      <c r="EJ15708"/>
      <c r="EK15708"/>
    </row>
    <row r="15709" spans="1:141" s="116" customFormat="1">
      <c r="A15709" s="136"/>
      <c r="CM15709" s="111"/>
      <c r="CQ15709" s="111"/>
      <c r="EF15709"/>
      <c r="EG15709"/>
      <c r="EH15709"/>
      <c r="EI15709"/>
      <c r="EJ15709"/>
      <c r="EK15709"/>
    </row>
    <row r="15710" spans="1:141" s="116" customFormat="1">
      <c r="A15710" s="136"/>
      <c r="CM15710" s="111"/>
      <c r="CQ15710" s="111"/>
      <c r="EF15710"/>
      <c r="EG15710"/>
      <c r="EH15710"/>
      <c r="EI15710"/>
      <c r="EJ15710"/>
      <c r="EK15710"/>
    </row>
    <row r="15711" spans="1:141" s="116" customFormat="1">
      <c r="A15711" s="136"/>
      <c r="CM15711" s="111"/>
      <c r="CQ15711" s="111"/>
      <c r="EF15711"/>
      <c r="EG15711"/>
      <c r="EH15711"/>
      <c r="EI15711"/>
      <c r="EJ15711"/>
      <c r="EK15711"/>
    </row>
    <row r="15712" spans="1:141" s="116" customFormat="1">
      <c r="A15712" s="136"/>
      <c r="CM15712" s="111"/>
      <c r="CQ15712" s="111"/>
      <c r="EF15712"/>
      <c r="EG15712"/>
      <c r="EH15712"/>
      <c r="EI15712"/>
      <c r="EJ15712"/>
      <c r="EK15712"/>
    </row>
    <row r="15713" spans="1:141" s="116" customFormat="1">
      <c r="A15713" s="136"/>
      <c r="CM15713" s="111"/>
      <c r="CQ15713" s="111"/>
      <c r="EF15713"/>
      <c r="EG15713"/>
      <c r="EH15713"/>
      <c r="EI15713"/>
      <c r="EJ15713"/>
      <c r="EK15713"/>
    </row>
    <row r="15714" spans="1:141" s="116" customFormat="1">
      <c r="A15714" s="136"/>
      <c r="CM15714" s="111"/>
      <c r="CQ15714" s="111"/>
      <c r="EF15714"/>
      <c r="EG15714"/>
      <c r="EH15714"/>
      <c r="EI15714"/>
      <c r="EJ15714"/>
      <c r="EK15714"/>
    </row>
    <row r="15715" spans="1:141" s="116" customFormat="1">
      <c r="A15715" s="136"/>
      <c r="CM15715" s="111"/>
      <c r="CQ15715" s="111"/>
      <c r="EF15715"/>
      <c r="EG15715"/>
      <c r="EH15715"/>
      <c r="EI15715"/>
      <c r="EJ15715"/>
      <c r="EK15715"/>
    </row>
    <row r="15716" spans="1:141" s="116" customFormat="1">
      <c r="A15716" s="136"/>
      <c r="CM15716" s="111"/>
      <c r="CQ15716" s="111"/>
      <c r="EF15716"/>
      <c r="EG15716"/>
      <c r="EH15716"/>
      <c r="EI15716"/>
      <c r="EJ15716"/>
      <c r="EK15716"/>
    </row>
    <row r="15717" spans="1:141" s="116" customFormat="1">
      <c r="A15717" s="136"/>
      <c r="CM15717" s="111"/>
      <c r="CQ15717" s="111"/>
      <c r="EF15717"/>
      <c r="EG15717"/>
      <c r="EH15717"/>
      <c r="EI15717"/>
      <c r="EJ15717"/>
      <c r="EK15717"/>
    </row>
    <row r="15718" spans="1:141" s="116" customFormat="1">
      <c r="A15718" s="136"/>
      <c r="CM15718" s="111"/>
      <c r="CQ15718" s="111"/>
      <c r="EF15718"/>
      <c r="EG15718"/>
      <c r="EH15718"/>
      <c r="EI15718"/>
      <c r="EJ15718"/>
      <c r="EK15718"/>
    </row>
    <row r="15719" spans="1:141" s="116" customFormat="1">
      <c r="A15719" s="136"/>
      <c r="CM15719" s="111"/>
      <c r="CQ15719" s="111"/>
      <c r="EF15719"/>
      <c r="EG15719"/>
      <c r="EH15719"/>
      <c r="EI15719"/>
      <c r="EJ15719"/>
      <c r="EK15719"/>
    </row>
    <row r="15720" spans="1:141" s="116" customFormat="1">
      <c r="A15720" s="136"/>
      <c r="CM15720" s="111"/>
      <c r="CQ15720" s="111"/>
      <c r="EF15720"/>
      <c r="EG15720"/>
      <c r="EH15720"/>
      <c r="EI15720"/>
      <c r="EJ15720"/>
      <c r="EK15720"/>
    </row>
    <row r="15721" spans="1:141" s="116" customFormat="1">
      <c r="A15721" s="136"/>
      <c r="CM15721" s="111"/>
      <c r="CQ15721" s="111"/>
      <c r="EF15721"/>
      <c r="EG15721"/>
      <c r="EH15721"/>
      <c r="EI15721"/>
      <c r="EJ15721"/>
      <c r="EK15721"/>
    </row>
    <row r="15722" spans="1:141" s="116" customFormat="1">
      <c r="A15722" s="136"/>
      <c r="CM15722" s="111"/>
      <c r="CQ15722" s="111"/>
      <c r="EF15722"/>
      <c r="EG15722"/>
      <c r="EH15722"/>
      <c r="EI15722"/>
      <c r="EJ15722"/>
      <c r="EK15722"/>
    </row>
    <row r="15723" spans="1:141" s="116" customFormat="1">
      <c r="A15723" s="136"/>
      <c r="CM15723" s="111"/>
      <c r="CQ15723" s="111"/>
      <c r="EF15723"/>
      <c r="EG15723"/>
      <c r="EH15723"/>
      <c r="EI15723"/>
      <c r="EJ15723"/>
      <c r="EK15723"/>
    </row>
    <row r="15724" spans="1:141" s="116" customFormat="1">
      <c r="A15724" s="136"/>
      <c r="CM15724" s="111"/>
      <c r="CQ15724" s="111"/>
      <c r="EF15724"/>
      <c r="EG15724"/>
      <c r="EH15724"/>
      <c r="EI15724"/>
      <c r="EJ15724"/>
      <c r="EK15724"/>
    </row>
    <row r="15725" spans="1:141" s="116" customFormat="1">
      <c r="A15725" s="136"/>
      <c r="CM15725" s="111"/>
      <c r="CQ15725" s="111"/>
      <c r="EF15725"/>
      <c r="EG15725"/>
      <c r="EH15725"/>
      <c r="EI15725"/>
      <c r="EJ15725"/>
      <c r="EK15725"/>
    </row>
    <row r="15726" spans="1:141" s="116" customFormat="1">
      <c r="A15726" s="136"/>
      <c r="CM15726" s="111"/>
      <c r="CQ15726" s="111"/>
      <c r="EF15726"/>
      <c r="EG15726"/>
      <c r="EH15726"/>
      <c r="EI15726"/>
      <c r="EJ15726"/>
      <c r="EK15726"/>
    </row>
    <row r="15727" spans="1:141" s="116" customFormat="1">
      <c r="A15727" s="136"/>
      <c r="CM15727" s="111"/>
      <c r="CQ15727" s="111"/>
      <c r="EF15727"/>
      <c r="EG15727"/>
      <c r="EH15727"/>
      <c r="EI15727"/>
      <c r="EJ15727"/>
      <c r="EK15727"/>
    </row>
    <row r="15728" spans="1:141" s="116" customFormat="1">
      <c r="A15728" s="136"/>
      <c r="CM15728" s="111"/>
      <c r="CQ15728" s="111"/>
      <c r="EF15728"/>
      <c r="EG15728"/>
      <c r="EH15728"/>
      <c r="EI15728"/>
      <c r="EJ15728"/>
      <c r="EK15728"/>
    </row>
    <row r="15729" spans="1:141" s="116" customFormat="1">
      <c r="A15729" s="136"/>
      <c r="CM15729" s="111"/>
      <c r="CQ15729" s="111"/>
      <c r="EF15729"/>
      <c r="EG15729"/>
      <c r="EH15729"/>
      <c r="EI15729"/>
      <c r="EJ15729"/>
      <c r="EK15729"/>
    </row>
    <row r="15730" spans="1:141" s="116" customFormat="1">
      <c r="A15730" s="136"/>
      <c r="CM15730" s="111"/>
      <c r="CQ15730" s="111"/>
      <c r="EF15730"/>
      <c r="EG15730"/>
      <c r="EH15730"/>
      <c r="EI15730"/>
      <c r="EJ15730"/>
      <c r="EK15730"/>
    </row>
    <row r="15731" spans="1:141" s="116" customFormat="1">
      <c r="A15731" s="136"/>
      <c r="CM15731" s="111"/>
      <c r="CQ15731" s="111"/>
      <c r="EF15731"/>
      <c r="EG15731"/>
      <c r="EH15731"/>
      <c r="EI15731"/>
      <c r="EJ15731"/>
      <c r="EK15731"/>
    </row>
    <row r="15732" spans="1:141" s="116" customFormat="1">
      <c r="A15732" s="136"/>
      <c r="CM15732" s="111"/>
      <c r="CQ15732" s="111"/>
      <c r="EF15732"/>
      <c r="EG15732"/>
      <c r="EH15732"/>
      <c r="EI15732"/>
      <c r="EJ15732"/>
      <c r="EK15732"/>
    </row>
    <row r="15733" spans="1:141" s="116" customFormat="1">
      <c r="A15733" s="136"/>
      <c r="CM15733" s="111"/>
      <c r="CQ15733" s="111"/>
      <c r="EF15733"/>
      <c r="EG15733"/>
      <c r="EH15733"/>
      <c r="EI15733"/>
      <c r="EJ15733"/>
      <c r="EK15733"/>
    </row>
    <row r="15734" spans="1:141" s="116" customFormat="1">
      <c r="A15734" s="136"/>
      <c r="CM15734" s="111"/>
      <c r="CQ15734" s="111"/>
      <c r="EF15734"/>
      <c r="EG15734"/>
      <c r="EH15734"/>
      <c r="EI15734"/>
      <c r="EJ15734"/>
      <c r="EK15734"/>
    </row>
    <row r="15735" spans="1:141" s="116" customFormat="1">
      <c r="A15735" s="136"/>
      <c r="CM15735" s="111"/>
      <c r="CQ15735" s="111"/>
      <c r="EF15735"/>
      <c r="EG15735"/>
      <c r="EH15735"/>
      <c r="EI15735"/>
      <c r="EJ15735"/>
      <c r="EK15735"/>
    </row>
    <row r="15736" spans="1:141" s="116" customFormat="1">
      <c r="A15736" s="136"/>
      <c r="CM15736" s="111"/>
      <c r="CQ15736" s="111"/>
      <c r="EF15736"/>
      <c r="EG15736"/>
      <c r="EH15736"/>
      <c r="EI15736"/>
      <c r="EJ15736"/>
      <c r="EK15736"/>
    </row>
    <row r="15737" spans="1:141" s="116" customFormat="1">
      <c r="A15737" s="136"/>
      <c r="CM15737" s="111"/>
      <c r="CQ15737" s="111"/>
      <c r="EF15737"/>
      <c r="EG15737"/>
      <c r="EH15737"/>
      <c r="EI15737"/>
      <c r="EJ15737"/>
      <c r="EK15737"/>
    </row>
    <row r="15738" spans="1:141" s="116" customFormat="1">
      <c r="A15738" s="136"/>
      <c r="CM15738" s="111"/>
      <c r="CQ15738" s="111"/>
      <c r="EF15738"/>
      <c r="EG15738"/>
      <c r="EH15738"/>
      <c r="EI15738"/>
      <c r="EJ15738"/>
      <c r="EK15738"/>
    </row>
    <row r="15739" spans="1:141" s="116" customFormat="1">
      <c r="A15739" s="136"/>
      <c r="CM15739" s="111"/>
      <c r="CQ15739" s="111"/>
      <c r="EF15739"/>
      <c r="EG15739"/>
      <c r="EH15739"/>
      <c r="EI15739"/>
      <c r="EJ15739"/>
      <c r="EK15739"/>
    </row>
    <row r="15740" spans="1:141" s="116" customFormat="1">
      <c r="A15740" s="136"/>
      <c r="CM15740" s="111"/>
      <c r="CQ15740" s="111"/>
      <c r="EF15740"/>
      <c r="EG15740"/>
      <c r="EH15740"/>
      <c r="EI15740"/>
      <c r="EJ15740"/>
      <c r="EK15740"/>
    </row>
    <row r="15741" spans="1:141" s="116" customFormat="1">
      <c r="A15741" s="136"/>
      <c r="CM15741" s="111"/>
      <c r="CQ15741" s="111"/>
      <c r="EF15741"/>
      <c r="EG15741"/>
      <c r="EH15741"/>
      <c r="EI15741"/>
      <c r="EJ15741"/>
      <c r="EK15741"/>
    </row>
    <row r="15742" spans="1:141" s="116" customFormat="1">
      <c r="A15742" s="136"/>
      <c r="CM15742" s="111"/>
      <c r="CQ15742" s="111"/>
      <c r="EF15742"/>
      <c r="EG15742"/>
      <c r="EH15742"/>
      <c r="EI15742"/>
      <c r="EJ15742"/>
      <c r="EK15742"/>
    </row>
    <row r="15743" spans="1:141" s="116" customFormat="1">
      <c r="A15743" s="136"/>
      <c r="CM15743" s="111"/>
      <c r="CQ15743" s="111"/>
      <c r="EF15743"/>
      <c r="EG15743"/>
      <c r="EH15743"/>
      <c r="EI15743"/>
      <c r="EJ15743"/>
      <c r="EK15743"/>
    </row>
    <row r="15744" spans="1:141" s="116" customFormat="1">
      <c r="A15744" s="136"/>
      <c r="CM15744" s="111"/>
      <c r="CQ15744" s="111"/>
      <c r="EF15744"/>
      <c r="EG15744"/>
      <c r="EH15744"/>
      <c r="EI15744"/>
      <c r="EJ15744"/>
      <c r="EK15744"/>
    </row>
    <row r="15745" spans="1:141" s="116" customFormat="1">
      <c r="A15745" s="136"/>
      <c r="CM15745" s="111"/>
      <c r="CQ15745" s="111"/>
      <c r="EF15745"/>
      <c r="EG15745"/>
      <c r="EH15745"/>
      <c r="EI15745"/>
      <c r="EJ15745"/>
      <c r="EK15745"/>
    </row>
    <row r="15746" spans="1:141" s="116" customFormat="1">
      <c r="A15746" s="136"/>
      <c r="CM15746" s="111"/>
      <c r="CQ15746" s="111"/>
      <c r="EF15746"/>
      <c r="EG15746"/>
      <c r="EH15746"/>
      <c r="EI15746"/>
      <c r="EJ15746"/>
      <c r="EK15746"/>
    </row>
    <row r="15747" spans="1:141" s="116" customFormat="1">
      <c r="A15747" s="136"/>
      <c r="CM15747" s="111"/>
      <c r="CQ15747" s="111"/>
      <c r="EF15747"/>
      <c r="EG15747"/>
      <c r="EH15747"/>
      <c r="EI15747"/>
      <c r="EJ15747"/>
      <c r="EK15747"/>
    </row>
    <row r="15748" spans="1:141" s="116" customFormat="1">
      <c r="A15748" s="136"/>
      <c r="CM15748" s="111"/>
      <c r="CQ15748" s="111"/>
      <c r="EF15748"/>
      <c r="EG15748"/>
      <c r="EH15748"/>
      <c r="EI15748"/>
      <c r="EJ15748"/>
      <c r="EK15748"/>
    </row>
    <row r="15749" spans="1:141" s="116" customFormat="1">
      <c r="A15749" s="136"/>
      <c r="CM15749" s="111"/>
      <c r="CQ15749" s="111"/>
      <c r="EF15749"/>
      <c r="EG15749"/>
      <c r="EH15749"/>
      <c r="EI15749"/>
      <c r="EJ15749"/>
      <c r="EK15749"/>
    </row>
    <row r="15750" spans="1:141" s="116" customFormat="1">
      <c r="A15750" s="136"/>
      <c r="CM15750" s="111"/>
      <c r="CQ15750" s="111"/>
      <c r="EF15750"/>
      <c r="EG15750"/>
      <c r="EH15750"/>
      <c r="EI15750"/>
      <c r="EJ15750"/>
      <c r="EK15750"/>
    </row>
    <row r="15751" spans="1:141" s="116" customFormat="1">
      <c r="A15751" s="136"/>
      <c r="CM15751" s="111"/>
      <c r="CQ15751" s="111"/>
      <c r="EF15751"/>
      <c r="EG15751"/>
      <c r="EH15751"/>
      <c r="EI15751"/>
      <c r="EJ15751"/>
      <c r="EK15751"/>
    </row>
    <row r="15752" spans="1:141" s="116" customFormat="1">
      <c r="A15752" s="136"/>
      <c r="CM15752" s="111"/>
      <c r="CQ15752" s="111"/>
      <c r="EF15752"/>
      <c r="EG15752"/>
      <c r="EH15752"/>
      <c r="EI15752"/>
      <c r="EJ15752"/>
      <c r="EK15752"/>
    </row>
    <row r="15753" spans="1:141" s="116" customFormat="1">
      <c r="A15753" s="136"/>
      <c r="CM15753" s="111"/>
      <c r="CQ15753" s="111"/>
      <c r="EF15753"/>
      <c r="EG15753"/>
      <c r="EH15753"/>
      <c r="EI15753"/>
      <c r="EJ15753"/>
      <c r="EK15753"/>
    </row>
    <row r="15754" spans="1:141" s="116" customFormat="1">
      <c r="A15754" s="136"/>
      <c r="CM15754" s="111"/>
      <c r="CQ15754" s="111"/>
      <c r="EF15754"/>
      <c r="EG15754"/>
      <c r="EH15754"/>
      <c r="EI15754"/>
      <c r="EJ15754"/>
      <c r="EK15754"/>
    </row>
    <row r="15755" spans="1:141" s="116" customFormat="1">
      <c r="A15755" s="136"/>
      <c r="CM15755" s="111"/>
      <c r="CQ15755" s="111"/>
      <c r="EF15755"/>
      <c r="EG15755"/>
      <c r="EH15755"/>
      <c r="EI15755"/>
      <c r="EJ15755"/>
      <c r="EK15755"/>
    </row>
    <row r="15756" spans="1:141" s="116" customFormat="1">
      <c r="A15756" s="136"/>
      <c r="CM15756" s="111"/>
      <c r="CQ15756" s="111"/>
      <c r="EF15756"/>
      <c r="EG15756"/>
      <c r="EH15756"/>
      <c r="EI15756"/>
      <c r="EJ15756"/>
      <c r="EK15756"/>
    </row>
    <row r="15757" spans="1:141" s="116" customFormat="1">
      <c r="A15757" s="136"/>
      <c r="CM15757" s="111"/>
      <c r="CQ15757" s="111"/>
      <c r="EF15757"/>
      <c r="EG15757"/>
      <c r="EH15757"/>
      <c r="EI15757"/>
      <c r="EJ15757"/>
      <c r="EK15757"/>
    </row>
    <row r="15758" spans="1:141" s="116" customFormat="1">
      <c r="A15758" s="136"/>
      <c r="CM15758" s="111"/>
      <c r="CQ15758" s="111"/>
      <c r="EF15758"/>
      <c r="EG15758"/>
      <c r="EH15758"/>
      <c r="EI15758"/>
      <c r="EJ15758"/>
      <c r="EK15758"/>
    </row>
    <row r="15759" spans="1:141" s="116" customFormat="1">
      <c r="A15759" s="136"/>
      <c r="CM15759" s="111"/>
      <c r="CQ15759" s="111"/>
      <c r="EF15759"/>
      <c r="EG15759"/>
      <c r="EH15759"/>
      <c r="EI15759"/>
      <c r="EJ15759"/>
      <c r="EK15759"/>
    </row>
    <row r="15760" spans="1:141" s="116" customFormat="1">
      <c r="A15760" s="136"/>
      <c r="CM15760" s="111"/>
      <c r="CQ15760" s="111"/>
      <c r="EF15760"/>
      <c r="EG15760"/>
      <c r="EH15760"/>
      <c r="EI15760"/>
      <c r="EJ15760"/>
      <c r="EK15760"/>
    </row>
    <row r="15761" spans="1:141" s="116" customFormat="1">
      <c r="A15761" s="136"/>
      <c r="CM15761" s="111"/>
      <c r="CQ15761" s="111"/>
      <c r="EF15761"/>
      <c r="EG15761"/>
      <c r="EH15761"/>
      <c r="EI15761"/>
      <c r="EJ15761"/>
      <c r="EK15761"/>
    </row>
    <row r="15762" spans="1:141" s="116" customFormat="1">
      <c r="A15762" s="136"/>
      <c r="CM15762" s="111"/>
      <c r="CQ15762" s="111"/>
      <c r="EF15762"/>
      <c r="EG15762"/>
      <c r="EH15762"/>
      <c r="EI15762"/>
      <c r="EJ15762"/>
      <c r="EK15762"/>
    </row>
    <row r="15763" spans="1:141" s="116" customFormat="1">
      <c r="A15763" s="136"/>
      <c r="CM15763" s="111"/>
      <c r="CQ15763" s="111"/>
      <c r="EF15763"/>
      <c r="EG15763"/>
      <c r="EH15763"/>
      <c r="EI15763"/>
      <c r="EJ15763"/>
      <c r="EK15763"/>
    </row>
    <row r="15764" spans="1:141" s="116" customFormat="1">
      <c r="A15764" s="136"/>
      <c r="CM15764" s="111"/>
      <c r="CQ15764" s="111"/>
      <c r="EF15764"/>
      <c r="EG15764"/>
      <c r="EH15764"/>
      <c r="EI15764"/>
      <c r="EJ15764"/>
      <c r="EK15764"/>
    </row>
    <row r="15765" spans="1:141" s="116" customFormat="1">
      <c r="A15765" s="136"/>
      <c r="CM15765" s="111"/>
      <c r="CQ15765" s="111"/>
      <c r="EF15765"/>
      <c r="EG15765"/>
      <c r="EH15765"/>
      <c r="EI15765"/>
      <c r="EJ15765"/>
      <c r="EK15765"/>
    </row>
    <row r="15766" spans="1:141" s="116" customFormat="1">
      <c r="A15766" s="136"/>
      <c r="CM15766" s="111"/>
      <c r="CQ15766" s="111"/>
      <c r="EF15766"/>
      <c r="EG15766"/>
      <c r="EH15766"/>
      <c r="EI15766"/>
      <c r="EJ15766"/>
      <c r="EK15766"/>
    </row>
    <row r="15767" spans="1:141" s="116" customFormat="1">
      <c r="A15767" s="136"/>
      <c r="CM15767" s="111"/>
      <c r="CQ15767" s="111"/>
      <c r="EF15767"/>
      <c r="EG15767"/>
      <c r="EH15767"/>
      <c r="EI15767"/>
      <c r="EJ15767"/>
      <c r="EK15767"/>
    </row>
    <row r="15768" spans="1:141" s="116" customFormat="1">
      <c r="A15768" s="136"/>
      <c r="CM15768" s="111"/>
      <c r="CQ15768" s="111"/>
      <c r="EF15768"/>
      <c r="EG15768"/>
      <c r="EH15768"/>
      <c r="EI15768"/>
      <c r="EJ15768"/>
      <c r="EK15768"/>
    </row>
    <row r="15769" spans="1:141" s="116" customFormat="1">
      <c r="A15769" s="136"/>
      <c r="CM15769" s="111"/>
      <c r="CQ15769" s="111"/>
      <c r="EF15769"/>
      <c r="EG15769"/>
      <c r="EH15769"/>
      <c r="EI15769"/>
      <c r="EJ15769"/>
      <c r="EK15769"/>
    </row>
    <row r="15770" spans="1:141" s="116" customFormat="1">
      <c r="A15770" s="136"/>
      <c r="CM15770" s="111"/>
      <c r="CQ15770" s="111"/>
      <c r="EF15770"/>
      <c r="EG15770"/>
      <c r="EH15770"/>
      <c r="EI15770"/>
      <c r="EJ15770"/>
      <c r="EK15770"/>
    </row>
    <row r="15771" spans="1:141" s="116" customFormat="1">
      <c r="A15771" s="136"/>
      <c r="CM15771" s="111"/>
      <c r="CQ15771" s="111"/>
      <c r="EF15771"/>
      <c r="EG15771"/>
      <c r="EH15771"/>
      <c r="EI15771"/>
      <c r="EJ15771"/>
      <c r="EK15771"/>
    </row>
    <row r="15772" spans="1:141" s="116" customFormat="1">
      <c r="A15772" s="136"/>
      <c r="CM15772" s="111"/>
      <c r="CQ15772" s="111"/>
      <c r="EF15772"/>
      <c r="EG15772"/>
      <c r="EH15772"/>
      <c r="EI15772"/>
      <c r="EJ15772"/>
      <c r="EK15772"/>
    </row>
    <row r="15773" spans="1:141" s="116" customFormat="1">
      <c r="A15773" s="136"/>
      <c r="CM15773" s="111"/>
      <c r="CQ15773" s="111"/>
      <c r="EF15773"/>
      <c r="EG15773"/>
      <c r="EH15773"/>
      <c r="EI15773"/>
      <c r="EJ15773"/>
      <c r="EK15773"/>
    </row>
    <row r="15774" spans="1:141" s="116" customFormat="1">
      <c r="A15774" s="136"/>
      <c r="CM15774" s="111"/>
      <c r="CQ15774" s="111"/>
      <c r="EF15774"/>
      <c r="EG15774"/>
      <c r="EH15774"/>
      <c r="EI15774"/>
      <c r="EJ15774"/>
      <c r="EK15774"/>
    </row>
    <row r="15775" spans="1:141" s="116" customFormat="1">
      <c r="A15775" s="136"/>
      <c r="CM15775" s="111"/>
      <c r="CQ15775" s="111"/>
      <c r="EF15775"/>
      <c r="EG15775"/>
      <c r="EH15775"/>
      <c r="EI15775"/>
      <c r="EJ15775"/>
      <c r="EK15775"/>
    </row>
    <row r="15776" spans="1:141" s="116" customFormat="1">
      <c r="A15776" s="136"/>
      <c r="CM15776" s="111"/>
      <c r="CQ15776" s="111"/>
      <c r="EF15776"/>
      <c r="EG15776"/>
      <c r="EH15776"/>
      <c r="EI15776"/>
      <c r="EJ15776"/>
      <c r="EK15776"/>
    </row>
    <row r="15777" spans="1:141" s="116" customFormat="1">
      <c r="A15777" s="136"/>
      <c r="CM15777" s="111"/>
      <c r="CQ15777" s="111"/>
      <c r="EF15777"/>
      <c r="EG15777"/>
      <c r="EH15777"/>
      <c r="EI15777"/>
      <c r="EJ15777"/>
      <c r="EK15777"/>
    </row>
    <row r="15778" spans="1:141" s="116" customFormat="1">
      <c r="A15778" s="136"/>
      <c r="CM15778" s="111"/>
      <c r="CQ15778" s="111"/>
      <c r="EF15778"/>
      <c r="EG15778"/>
      <c r="EH15778"/>
      <c r="EI15778"/>
      <c r="EJ15778"/>
      <c r="EK15778"/>
    </row>
    <row r="15779" spans="1:141" s="116" customFormat="1">
      <c r="A15779" s="136"/>
      <c r="CM15779" s="111"/>
      <c r="CQ15779" s="111"/>
      <c r="EF15779"/>
      <c r="EG15779"/>
      <c r="EH15779"/>
      <c r="EI15779"/>
      <c r="EJ15779"/>
      <c r="EK15779"/>
    </row>
    <row r="15780" spans="1:141" s="116" customFormat="1">
      <c r="A15780" s="136"/>
      <c r="CM15780" s="111"/>
      <c r="CQ15780" s="111"/>
      <c r="EF15780"/>
      <c r="EG15780"/>
      <c r="EH15780"/>
      <c r="EI15780"/>
      <c r="EJ15780"/>
      <c r="EK15780"/>
    </row>
    <row r="15781" spans="1:141" s="116" customFormat="1">
      <c r="A15781" s="136"/>
      <c r="CM15781" s="111"/>
      <c r="CQ15781" s="111"/>
      <c r="EF15781"/>
      <c r="EG15781"/>
      <c r="EH15781"/>
      <c r="EI15781"/>
      <c r="EJ15781"/>
      <c r="EK15781"/>
    </row>
    <row r="15782" spans="1:141" s="116" customFormat="1">
      <c r="A15782" s="136"/>
      <c r="CM15782" s="111"/>
      <c r="CQ15782" s="111"/>
      <c r="EF15782"/>
      <c r="EG15782"/>
      <c r="EH15782"/>
      <c r="EI15782"/>
      <c r="EJ15782"/>
      <c r="EK15782"/>
    </row>
    <row r="15783" spans="1:141" s="116" customFormat="1">
      <c r="A15783" s="136"/>
      <c r="CM15783" s="111"/>
      <c r="CQ15783" s="111"/>
      <c r="EF15783"/>
      <c r="EG15783"/>
      <c r="EH15783"/>
      <c r="EI15783"/>
      <c r="EJ15783"/>
      <c r="EK15783"/>
    </row>
    <row r="15784" spans="1:141" s="116" customFormat="1">
      <c r="A15784" s="136"/>
      <c r="CM15784" s="111"/>
      <c r="CQ15784" s="111"/>
      <c r="EF15784"/>
      <c r="EG15784"/>
      <c r="EH15784"/>
      <c r="EI15784"/>
      <c r="EJ15784"/>
      <c r="EK15784"/>
    </row>
    <row r="15785" spans="1:141" s="116" customFormat="1">
      <c r="A15785" s="136"/>
      <c r="CM15785" s="111"/>
      <c r="CQ15785" s="111"/>
      <c r="EF15785"/>
      <c r="EG15785"/>
      <c r="EH15785"/>
      <c r="EI15785"/>
      <c r="EJ15785"/>
      <c r="EK15785"/>
    </row>
    <row r="15786" spans="1:141" s="116" customFormat="1">
      <c r="A15786" s="136"/>
      <c r="CM15786" s="111"/>
      <c r="CQ15786" s="111"/>
      <c r="EF15786"/>
      <c r="EG15786"/>
      <c r="EH15786"/>
      <c r="EI15786"/>
      <c r="EJ15786"/>
      <c r="EK15786"/>
    </row>
    <row r="15787" spans="1:141" s="116" customFormat="1">
      <c r="A15787" s="136"/>
      <c r="CM15787" s="111"/>
      <c r="CQ15787" s="111"/>
      <c r="EF15787"/>
      <c r="EG15787"/>
      <c r="EH15787"/>
      <c r="EI15787"/>
      <c r="EJ15787"/>
      <c r="EK15787"/>
    </row>
    <row r="15788" spans="1:141" s="116" customFormat="1">
      <c r="A15788" s="136"/>
      <c r="CM15788" s="111"/>
      <c r="CQ15788" s="111"/>
      <c r="EF15788"/>
      <c r="EG15788"/>
      <c r="EH15788"/>
      <c r="EI15788"/>
      <c r="EJ15788"/>
      <c r="EK15788"/>
    </row>
    <row r="15789" spans="1:141" s="116" customFormat="1">
      <c r="A15789" s="136"/>
      <c r="CM15789" s="111"/>
      <c r="CQ15789" s="111"/>
      <c r="EF15789"/>
      <c r="EG15789"/>
      <c r="EH15789"/>
      <c r="EI15789"/>
      <c r="EJ15789"/>
      <c r="EK15789"/>
    </row>
    <row r="15790" spans="1:141" s="116" customFormat="1">
      <c r="A15790" s="136"/>
      <c r="CM15790" s="111"/>
      <c r="CQ15790" s="111"/>
      <c r="EF15790"/>
      <c r="EG15790"/>
      <c r="EH15790"/>
      <c r="EI15790"/>
      <c r="EJ15790"/>
      <c r="EK15790"/>
    </row>
    <row r="15791" spans="1:141" s="116" customFormat="1">
      <c r="A15791" s="136"/>
      <c r="CM15791" s="111"/>
      <c r="CQ15791" s="111"/>
      <c r="EF15791"/>
      <c r="EG15791"/>
      <c r="EH15791"/>
      <c r="EI15791"/>
      <c r="EJ15791"/>
      <c r="EK15791"/>
    </row>
    <row r="15792" spans="1:141" s="116" customFormat="1">
      <c r="A15792" s="136"/>
      <c r="CM15792" s="111"/>
      <c r="CQ15792" s="111"/>
      <c r="EF15792"/>
      <c r="EG15792"/>
      <c r="EH15792"/>
      <c r="EI15792"/>
      <c r="EJ15792"/>
      <c r="EK15792"/>
    </row>
    <row r="15793" spans="1:141" s="116" customFormat="1">
      <c r="A15793" s="136"/>
      <c r="CM15793" s="111"/>
      <c r="CQ15793" s="111"/>
      <c r="EF15793"/>
      <c r="EG15793"/>
      <c r="EH15793"/>
      <c r="EI15793"/>
      <c r="EJ15793"/>
      <c r="EK15793"/>
    </row>
    <row r="15794" spans="1:141" s="116" customFormat="1">
      <c r="A15794" s="136"/>
      <c r="CM15794" s="111"/>
      <c r="CQ15794" s="111"/>
      <c r="EF15794"/>
      <c r="EG15794"/>
      <c r="EH15794"/>
      <c r="EI15794"/>
      <c r="EJ15794"/>
      <c r="EK15794"/>
    </row>
    <row r="15795" spans="1:141" s="116" customFormat="1">
      <c r="A15795" s="136"/>
      <c r="CM15795" s="111"/>
      <c r="CQ15795" s="111"/>
      <c r="EF15795"/>
      <c r="EG15795"/>
      <c r="EH15795"/>
      <c r="EI15795"/>
      <c r="EJ15795"/>
      <c r="EK15795"/>
    </row>
    <row r="15796" spans="1:141" s="116" customFormat="1">
      <c r="A15796" s="136"/>
      <c r="CM15796" s="111"/>
      <c r="CQ15796" s="111"/>
      <c r="EF15796"/>
      <c r="EG15796"/>
      <c r="EH15796"/>
      <c r="EI15796"/>
      <c r="EJ15796"/>
      <c r="EK15796"/>
    </row>
    <row r="15797" spans="1:141" s="116" customFormat="1">
      <c r="A15797" s="136"/>
      <c r="CM15797" s="111"/>
      <c r="CQ15797" s="111"/>
      <c r="EF15797"/>
      <c r="EG15797"/>
      <c r="EH15797"/>
      <c r="EI15797"/>
      <c r="EJ15797"/>
      <c r="EK15797"/>
    </row>
    <row r="15798" spans="1:141" s="116" customFormat="1">
      <c r="A15798" s="136"/>
      <c r="CM15798" s="111"/>
      <c r="CQ15798" s="111"/>
      <c r="EF15798"/>
      <c r="EG15798"/>
      <c r="EH15798"/>
      <c r="EI15798"/>
      <c r="EJ15798"/>
      <c r="EK15798"/>
    </row>
    <row r="15799" spans="1:141" s="116" customFormat="1">
      <c r="A15799" s="136"/>
      <c r="CM15799" s="111"/>
      <c r="CQ15799" s="111"/>
      <c r="EF15799"/>
      <c r="EG15799"/>
      <c r="EH15799"/>
      <c r="EI15799"/>
      <c r="EJ15799"/>
      <c r="EK15799"/>
    </row>
    <row r="15800" spans="1:141" s="116" customFormat="1">
      <c r="A15800" s="136"/>
      <c r="CM15800" s="111"/>
      <c r="CQ15800" s="111"/>
      <c r="EF15800"/>
      <c r="EG15800"/>
      <c r="EH15800"/>
      <c r="EI15800"/>
      <c r="EJ15800"/>
      <c r="EK15800"/>
    </row>
    <row r="15801" spans="1:141" s="116" customFormat="1">
      <c r="A15801" s="136"/>
      <c r="CM15801" s="111"/>
      <c r="CQ15801" s="111"/>
      <c r="EF15801"/>
      <c r="EG15801"/>
      <c r="EH15801"/>
      <c r="EI15801"/>
      <c r="EJ15801"/>
      <c r="EK15801"/>
    </row>
    <row r="15802" spans="1:141" s="116" customFormat="1">
      <c r="A15802" s="136"/>
      <c r="CM15802" s="111"/>
      <c r="CQ15802" s="111"/>
      <c r="EF15802"/>
      <c r="EG15802"/>
      <c r="EH15802"/>
      <c r="EI15802"/>
      <c r="EJ15802"/>
      <c r="EK15802"/>
    </row>
    <row r="15803" spans="1:141" s="116" customFormat="1">
      <c r="A15803" s="136"/>
      <c r="CM15803" s="111"/>
      <c r="CQ15803" s="111"/>
      <c r="EF15803"/>
      <c r="EG15803"/>
      <c r="EH15803"/>
      <c r="EI15803"/>
      <c r="EJ15803"/>
      <c r="EK15803"/>
    </row>
    <row r="15804" spans="1:141" s="116" customFormat="1">
      <c r="A15804" s="136"/>
      <c r="CM15804" s="111"/>
      <c r="CQ15804" s="111"/>
      <c r="EF15804"/>
      <c r="EG15804"/>
      <c r="EH15804"/>
      <c r="EI15804"/>
      <c r="EJ15804"/>
      <c r="EK15804"/>
    </row>
    <row r="15805" spans="1:141" s="116" customFormat="1">
      <c r="A15805" s="136"/>
      <c r="CM15805" s="111"/>
      <c r="CQ15805" s="111"/>
      <c r="EF15805"/>
      <c r="EG15805"/>
      <c r="EH15805"/>
      <c r="EI15805"/>
      <c r="EJ15805"/>
      <c r="EK15805"/>
    </row>
    <row r="15806" spans="1:141" s="116" customFormat="1">
      <c r="A15806" s="136"/>
      <c r="CM15806" s="111"/>
      <c r="CQ15806" s="111"/>
      <c r="EF15806"/>
      <c r="EG15806"/>
      <c r="EH15806"/>
      <c r="EI15806"/>
      <c r="EJ15806"/>
      <c r="EK15806"/>
    </row>
    <row r="15807" spans="1:141" s="116" customFormat="1">
      <c r="A15807" s="136"/>
      <c r="CM15807" s="111"/>
      <c r="CQ15807" s="111"/>
      <c r="EF15807"/>
      <c r="EG15807"/>
      <c r="EH15807"/>
      <c r="EI15807"/>
      <c r="EJ15807"/>
      <c r="EK15807"/>
    </row>
    <row r="15808" spans="1:141" s="116" customFormat="1">
      <c r="A15808" s="136"/>
      <c r="CM15808" s="111"/>
      <c r="CQ15808" s="111"/>
      <c r="EF15808"/>
      <c r="EG15808"/>
      <c r="EH15808"/>
      <c r="EI15808"/>
      <c r="EJ15808"/>
      <c r="EK15808"/>
    </row>
    <row r="15809" spans="1:141" s="116" customFormat="1">
      <c r="A15809" s="136"/>
      <c r="CM15809" s="111"/>
      <c r="CQ15809" s="111"/>
      <c r="EF15809"/>
      <c r="EG15809"/>
      <c r="EH15809"/>
      <c r="EI15809"/>
      <c r="EJ15809"/>
      <c r="EK15809"/>
    </row>
    <row r="15810" spans="1:141" s="116" customFormat="1">
      <c r="A15810" s="136"/>
      <c r="CM15810" s="111"/>
      <c r="CQ15810" s="111"/>
      <c r="EF15810"/>
      <c r="EG15810"/>
      <c r="EH15810"/>
      <c r="EI15810"/>
      <c r="EJ15810"/>
      <c r="EK15810"/>
    </row>
    <row r="15811" spans="1:141" s="116" customFormat="1">
      <c r="A15811" s="136"/>
      <c r="CM15811" s="111"/>
      <c r="CQ15811" s="111"/>
      <c r="EF15811"/>
      <c r="EG15811"/>
      <c r="EH15811"/>
      <c r="EI15811"/>
      <c r="EJ15811"/>
      <c r="EK15811"/>
    </row>
    <row r="15812" spans="1:141" s="116" customFormat="1">
      <c r="A15812" s="136"/>
      <c r="CM15812" s="111"/>
      <c r="CQ15812" s="111"/>
      <c r="EF15812"/>
      <c r="EG15812"/>
      <c r="EH15812"/>
      <c r="EI15812"/>
      <c r="EJ15812"/>
      <c r="EK15812"/>
    </row>
    <row r="15813" spans="1:141" s="116" customFormat="1">
      <c r="A15813" s="136"/>
      <c r="CM15813" s="111"/>
      <c r="CQ15813" s="111"/>
      <c r="EF15813"/>
      <c r="EG15813"/>
      <c r="EH15813"/>
      <c r="EI15813"/>
      <c r="EJ15813"/>
      <c r="EK15813"/>
    </row>
    <row r="15814" spans="1:141" s="116" customFormat="1">
      <c r="A15814" s="136"/>
      <c r="CM15814" s="111"/>
      <c r="CQ15814" s="111"/>
      <c r="EF15814"/>
      <c r="EG15814"/>
      <c r="EH15814"/>
      <c r="EI15814"/>
      <c r="EJ15814"/>
      <c r="EK15814"/>
    </row>
    <row r="15815" spans="1:141" s="116" customFormat="1">
      <c r="A15815" s="136"/>
      <c r="CM15815" s="111"/>
      <c r="CQ15815" s="111"/>
      <c r="EF15815"/>
      <c r="EG15815"/>
      <c r="EH15815"/>
      <c r="EI15815"/>
      <c r="EJ15815"/>
      <c r="EK15815"/>
    </row>
    <row r="15816" spans="1:141" s="116" customFormat="1">
      <c r="A15816" s="136"/>
      <c r="CM15816" s="111"/>
      <c r="CQ15816" s="111"/>
      <c r="EF15816"/>
      <c r="EG15816"/>
      <c r="EH15816"/>
      <c r="EI15816"/>
      <c r="EJ15816"/>
      <c r="EK15816"/>
    </row>
    <row r="15817" spans="1:141" s="116" customFormat="1">
      <c r="A15817" s="136"/>
      <c r="CM15817" s="111"/>
      <c r="CQ15817" s="111"/>
      <c r="EF15817"/>
      <c r="EG15817"/>
      <c r="EH15817"/>
      <c r="EI15817"/>
      <c r="EJ15817"/>
      <c r="EK15817"/>
    </row>
    <row r="15818" spans="1:141" s="116" customFormat="1">
      <c r="A15818" s="136"/>
      <c r="CM15818" s="111"/>
      <c r="CQ15818" s="111"/>
      <c r="EF15818"/>
      <c r="EG15818"/>
      <c r="EH15818"/>
      <c r="EI15818"/>
      <c r="EJ15818"/>
      <c r="EK15818"/>
    </row>
    <row r="15819" spans="1:141" s="116" customFormat="1">
      <c r="A15819" s="136"/>
      <c r="CM15819" s="111"/>
      <c r="CQ15819" s="111"/>
      <c r="EF15819"/>
      <c r="EG15819"/>
      <c r="EH15819"/>
      <c r="EI15819"/>
      <c r="EJ15819"/>
      <c r="EK15819"/>
    </row>
    <row r="15820" spans="1:141" s="116" customFormat="1">
      <c r="A15820" s="136"/>
      <c r="CM15820" s="111"/>
      <c r="CQ15820" s="111"/>
      <c r="EF15820"/>
      <c r="EG15820"/>
      <c r="EH15820"/>
      <c r="EI15820"/>
      <c r="EJ15820"/>
      <c r="EK15820"/>
    </row>
    <row r="15821" spans="1:141" s="116" customFormat="1">
      <c r="A15821" s="136"/>
      <c r="CM15821" s="111"/>
      <c r="CQ15821" s="111"/>
      <c r="EF15821"/>
      <c r="EG15821"/>
      <c r="EH15821"/>
      <c r="EI15821"/>
      <c r="EJ15821"/>
      <c r="EK15821"/>
    </row>
    <row r="15822" spans="1:141" s="116" customFormat="1">
      <c r="A15822" s="136"/>
      <c r="CM15822" s="111"/>
      <c r="CQ15822" s="111"/>
      <c r="EF15822"/>
      <c r="EG15822"/>
      <c r="EH15822"/>
      <c r="EI15822"/>
      <c r="EJ15822"/>
      <c r="EK15822"/>
    </row>
    <row r="15823" spans="1:141" s="116" customFormat="1">
      <c r="A15823" s="136"/>
      <c r="CM15823" s="111"/>
      <c r="CQ15823" s="111"/>
      <c r="EF15823"/>
      <c r="EG15823"/>
      <c r="EH15823"/>
      <c r="EI15823"/>
      <c r="EJ15823"/>
      <c r="EK15823"/>
    </row>
    <row r="15824" spans="1:141" s="116" customFormat="1">
      <c r="A15824" s="136"/>
      <c r="CM15824" s="111"/>
      <c r="CQ15824" s="111"/>
      <c r="EF15824"/>
      <c r="EG15824"/>
      <c r="EH15824"/>
      <c r="EI15824"/>
      <c r="EJ15824"/>
      <c r="EK15824"/>
    </row>
    <row r="15825" spans="1:141" s="116" customFormat="1">
      <c r="A15825" s="136"/>
      <c r="CM15825" s="111"/>
      <c r="CQ15825" s="111"/>
      <c r="EF15825"/>
      <c r="EG15825"/>
      <c r="EH15825"/>
      <c r="EI15825"/>
      <c r="EJ15825"/>
      <c r="EK15825"/>
    </row>
    <row r="15826" spans="1:141" s="116" customFormat="1">
      <c r="A15826" s="136"/>
      <c r="CM15826" s="111"/>
      <c r="CQ15826" s="111"/>
      <c r="EF15826"/>
      <c r="EG15826"/>
      <c r="EH15826"/>
      <c r="EI15826"/>
      <c r="EJ15826"/>
      <c r="EK15826"/>
    </row>
    <row r="15827" spans="1:141" s="116" customFormat="1">
      <c r="A15827" s="136"/>
      <c r="CM15827" s="111"/>
      <c r="CQ15827" s="111"/>
      <c r="EF15827"/>
      <c r="EG15827"/>
      <c r="EH15827"/>
      <c r="EI15827"/>
      <c r="EJ15827"/>
      <c r="EK15827"/>
    </row>
    <row r="15828" spans="1:141" s="116" customFormat="1">
      <c r="A15828" s="136"/>
      <c r="CM15828" s="111"/>
      <c r="CQ15828" s="111"/>
      <c r="EF15828"/>
      <c r="EG15828"/>
      <c r="EH15828"/>
      <c r="EI15828"/>
      <c r="EJ15828"/>
      <c r="EK15828"/>
    </row>
    <row r="15829" spans="1:141" s="116" customFormat="1">
      <c r="A15829" s="136"/>
      <c r="CM15829" s="111"/>
      <c r="CQ15829" s="111"/>
      <c r="EF15829"/>
      <c r="EG15829"/>
      <c r="EH15829"/>
      <c r="EI15829"/>
      <c r="EJ15829"/>
      <c r="EK15829"/>
    </row>
    <row r="15830" spans="1:141" s="116" customFormat="1">
      <c r="A15830" s="136"/>
      <c r="CM15830" s="111"/>
      <c r="CQ15830" s="111"/>
      <c r="EF15830"/>
      <c r="EG15830"/>
      <c r="EH15830"/>
      <c r="EI15830"/>
      <c r="EJ15830"/>
      <c r="EK15830"/>
    </row>
    <row r="15831" spans="1:141" s="116" customFormat="1">
      <c r="A15831" s="136"/>
      <c r="CM15831" s="111"/>
      <c r="CQ15831" s="111"/>
      <c r="EF15831"/>
      <c r="EG15831"/>
      <c r="EH15831"/>
      <c r="EI15831"/>
      <c r="EJ15831"/>
      <c r="EK15831"/>
    </row>
    <row r="15832" spans="1:141" s="116" customFormat="1">
      <c r="A15832" s="136"/>
      <c r="CM15832" s="111"/>
      <c r="CQ15832" s="111"/>
      <c r="EF15832"/>
      <c r="EG15832"/>
      <c r="EH15832"/>
      <c r="EI15832"/>
      <c r="EJ15832"/>
      <c r="EK15832"/>
    </row>
    <row r="15833" spans="1:141" s="116" customFormat="1">
      <c r="A15833" s="136"/>
      <c r="CM15833" s="111"/>
      <c r="CQ15833" s="111"/>
      <c r="EF15833"/>
      <c r="EG15833"/>
      <c r="EH15833"/>
      <c r="EI15833"/>
      <c r="EJ15833"/>
      <c r="EK15833"/>
    </row>
    <row r="15834" spans="1:141" s="116" customFormat="1">
      <c r="A15834" s="136"/>
      <c r="CM15834" s="111"/>
      <c r="CQ15834" s="111"/>
      <c r="EF15834"/>
      <c r="EG15834"/>
      <c r="EH15834"/>
      <c r="EI15834"/>
      <c r="EJ15834"/>
      <c r="EK15834"/>
    </row>
    <row r="15835" spans="1:141" s="116" customFormat="1">
      <c r="A15835" s="136"/>
      <c r="CM15835" s="111"/>
      <c r="CQ15835" s="111"/>
      <c r="EF15835"/>
      <c r="EG15835"/>
      <c r="EH15835"/>
      <c r="EI15835"/>
      <c r="EJ15835"/>
      <c r="EK15835"/>
    </row>
    <row r="15836" spans="1:141" s="116" customFormat="1">
      <c r="A15836" s="136"/>
      <c r="CM15836" s="111"/>
      <c r="CQ15836" s="111"/>
      <c r="EF15836"/>
      <c r="EG15836"/>
      <c r="EH15836"/>
      <c r="EI15836"/>
      <c r="EJ15836"/>
      <c r="EK15836"/>
    </row>
    <row r="15837" spans="1:141" s="116" customFormat="1">
      <c r="A15837" s="136"/>
      <c r="CM15837" s="111"/>
      <c r="CQ15837" s="111"/>
      <c r="EF15837"/>
      <c r="EG15837"/>
      <c r="EH15837"/>
      <c r="EI15837"/>
      <c r="EJ15837"/>
      <c r="EK15837"/>
    </row>
    <row r="15838" spans="1:141" s="116" customFormat="1">
      <c r="A15838" s="136"/>
      <c r="CM15838" s="111"/>
      <c r="CQ15838" s="111"/>
      <c r="EF15838"/>
      <c r="EG15838"/>
      <c r="EH15838"/>
      <c r="EI15838"/>
      <c r="EJ15838"/>
      <c r="EK15838"/>
    </row>
    <row r="15839" spans="1:141" s="116" customFormat="1">
      <c r="A15839" s="136"/>
      <c r="CM15839" s="111"/>
      <c r="CQ15839" s="111"/>
      <c r="EF15839"/>
      <c r="EG15839"/>
      <c r="EH15839"/>
      <c r="EI15839"/>
      <c r="EJ15839"/>
      <c r="EK15839"/>
    </row>
    <row r="15840" spans="1:141" s="116" customFormat="1">
      <c r="A15840" s="136"/>
      <c r="CM15840" s="111"/>
      <c r="CQ15840" s="111"/>
      <c r="EF15840"/>
      <c r="EG15840"/>
      <c r="EH15840"/>
      <c r="EI15840"/>
      <c r="EJ15840"/>
      <c r="EK15840"/>
    </row>
    <row r="15841" spans="1:141" s="116" customFormat="1">
      <c r="A15841" s="136"/>
      <c r="CM15841" s="111"/>
      <c r="CQ15841" s="111"/>
      <c r="EF15841"/>
      <c r="EG15841"/>
      <c r="EH15841"/>
      <c r="EI15841"/>
      <c r="EJ15841"/>
      <c r="EK15841"/>
    </row>
    <row r="15842" spans="1:141" s="116" customFormat="1">
      <c r="A15842" s="136"/>
      <c r="CM15842" s="111"/>
      <c r="CQ15842" s="111"/>
      <c r="EF15842"/>
      <c r="EG15842"/>
      <c r="EH15842"/>
      <c r="EI15842"/>
      <c r="EJ15842"/>
      <c r="EK15842"/>
    </row>
    <row r="15843" spans="1:141" s="116" customFormat="1">
      <c r="A15843" s="136"/>
      <c r="CM15843" s="111"/>
      <c r="CQ15843" s="111"/>
      <c r="EF15843"/>
      <c r="EG15843"/>
      <c r="EH15843"/>
      <c r="EI15843"/>
      <c r="EJ15843"/>
      <c r="EK15843"/>
    </row>
    <row r="15844" spans="1:141" s="116" customFormat="1">
      <c r="A15844" s="136"/>
      <c r="CM15844" s="111"/>
      <c r="CQ15844" s="111"/>
      <c r="EF15844"/>
      <c r="EG15844"/>
      <c r="EH15844"/>
      <c r="EI15844"/>
      <c r="EJ15844"/>
      <c r="EK15844"/>
    </row>
    <row r="15845" spans="1:141" s="116" customFormat="1">
      <c r="A15845" s="136"/>
      <c r="CM15845" s="111"/>
      <c r="CQ15845" s="111"/>
      <c r="EF15845"/>
      <c r="EG15845"/>
      <c r="EH15845"/>
      <c r="EI15845"/>
      <c r="EJ15845"/>
      <c r="EK15845"/>
    </row>
    <row r="15846" spans="1:141" s="116" customFormat="1">
      <c r="A15846" s="136"/>
      <c r="CM15846" s="111"/>
      <c r="CQ15846" s="111"/>
      <c r="EF15846"/>
      <c r="EG15846"/>
      <c r="EH15846"/>
      <c r="EI15846"/>
      <c r="EJ15846"/>
      <c r="EK15846"/>
    </row>
    <row r="15847" spans="1:141" s="116" customFormat="1">
      <c r="A15847" s="136"/>
      <c r="CM15847" s="111"/>
      <c r="CQ15847" s="111"/>
      <c r="EF15847"/>
      <c r="EG15847"/>
      <c r="EH15847"/>
      <c r="EI15847"/>
      <c r="EJ15847"/>
      <c r="EK15847"/>
    </row>
    <row r="15848" spans="1:141" s="116" customFormat="1">
      <c r="A15848" s="136"/>
      <c r="CM15848" s="111"/>
      <c r="CQ15848" s="111"/>
      <c r="EF15848"/>
      <c r="EG15848"/>
      <c r="EH15848"/>
      <c r="EI15848"/>
      <c r="EJ15848"/>
      <c r="EK15848"/>
    </row>
    <row r="15849" spans="1:141" s="116" customFormat="1">
      <c r="A15849" s="136"/>
      <c r="CM15849" s="111"/>
      <c r="CQ15849" s="111"/>
      <c r="EF15849"/>
      <c r="EG15849"/>
      <c r="EH15849"/>
      <c r="EI15849"/>
      <c r="EJ15849"/>
      <c r="EK15849"/>
    </row>
    <row r="15850" spans="1:141" s="116" customFormat="1">
      <c r="A15850" s="136"/>
      <c r="CM15850" s="111"/>
      <c r="CQ15850" s="111"/>
      <c r="EF15850"/>
      <c r="EG15850"/>
      <c r="EH15850"/>
      <c r="EI15850"/>
      <c r="EJ15850"/>
      <c r="EK15850"/>
    </row>
    <row r="15851" spans="1:141" s="116" customFormat="1">
      <c r="A15851" s="136"/>
      <c r="CM15851" s="111"/>
      <c r="CQ15851" s="111"/>
      <c r="EF15851"/>
      <c r="EG15851"/>
      <c r="EH15851"/>
      <c r="EI15851"/>
      <c r="EJ15851"/>
      <c r="EK15851"/>
    </row>
    <row r="15852" spans="1:141" s="116" customFormat="1">
      <c r="A15852" s="136"/>
      <c r="CM15852" s="111"/>
      <c r="CQ15852" s="111"/>
      <c r="EF15852"/>
      <c r="EG15852"/>
      <c r="EH15852"/>
      <c r="EI15852"/>
      <c r="EJ15852"/>
      <c r="EK15852"/>
    </row>
    <row r="15853" spans="1:141" s="116" customFormat="1">
      <c r="A15853" s="136"/>
      <c r="CM15853" s="111"/>
      <c r="CQ15853" s="111"/>
      <c r="EF15853"/>
      <c r="EG15853"/>
      <c r="EH15853"/>
      <c r="EI15853"/>
      <c r="EJ15853"/>
      <c r="EK15853"/>
    </row>
    <row r="15854" spans="1:141" s="116" customFormat="1">
      <c r="A15854" s="136"/>
      <c r="CM15854" s="111"/>
      <c r="CQ15854" s="111"/>
      <c r="EF15854"/>
      <c r="EG15854"/>
      <c r="EH15854"/>
      <c r="EI15854"/>
      <c r="EJ15854"/>
      <c r="EK15854"/>
    </row>
    <row r="15855" spans="1:141" s="116" customFormat="1">
      <c r="A15855" s="136"/>
      <c r="CM15855" s="111"/>
      <c r="CQ15855" s="111"/>
      <c r="EF15855"/>
      <c r="EG15855"/>
      <c r="EH15855"/>
      <c r="EI15855"/>
      <c r="EJ15855"/>
      <c r="EK15855"/>
    </row>
    <row r="15856" spans="1:141" s="116" customFormat="1">
      <c r="A15856" s="136"/>
      <c r="CM15856" s="111"/>
      <c r="CQ15856" s="111"/>
      <c r="EF15856"/>
      <c r="EG15856"/>
      <c r="EH15856"/>
      <c r="EI15856"/>
      <c r="EJ15856"/>
      <c r="EK15856"/>
    </row>
    <row r="15857" spans="1:141" s="116" customFormat="1">
      <c r="A15857" s="136"/>
      <c r="CM15857" s="111"/>
      <c r="CQ15857" s="111"/>
      <c r="EF15857"/>
      <c r="EG15857"/>
      <c r="EH15857"/>
      <c r="EI15857"/>
      <c r="EJ15857"/>
      <c r="EK15857"/>
    </row>
    <row r="15858" spans="1:141" s="116" customFormat="1">
      <c r="A15858" s="136"/>
      <c r="CM15858" s="111"/>
      <c r="CQ15858" s="111"/>
      <c r="EF15858"/>
      <c r="EG15858"/>
      <c r="EH15858"/>
      <c r="EI15858"/>
      <c r="EJ15858"/>
      <c r="EK15858"/>
    </row>
    <row r="15859" spans="1:141" s="116" customFormat="1">
      <c r="A15859" s="136"/>
      <c r="CM15859" s="111"/>
      <c r="CQ15859" s="111"/>
      <c r="EF15859"/>
      <c r="EG15859"/>
      <c r="EH15859"/>
      <c r="EI15859"/>
      <c r="EJ15859"/>
      <c r="EK15859"/>
    </row>
    <row r="15860" spans="1:141" s="116" customFormat="1">
      <c r="A15860" s="136"/>
      <c r="CM15860" s="111"/>
      <c r="CQ15860" s="111"/>
      <c r="EF15860"/>
      <c r="EG15860"/>
      <c r="EH15860"/>
      <c r="EI15860"/>
      <c r="EJ15860"/>
      <c r="EK15860"/>
    </row>
    <row r="15861" spans="1:141" s="116" customFormat="1">
      <c r="A15861" s="136"/>
      <c r="CM15861" s="111"/>
      <c r="CQ15861" s="111"/>
      <c r="EF15861"/>
      <c r="EG15861"/>
      <c r="EH15861"/>
      <c r="EI15861"/>
      <c r="EJ15861"/>
      <c r="EK15861"/>
    </row>
    <row r="15862" spans="1:141" s="116" customFormat="1">
      <c r="A15862" s="136"/>
      <c r="CM15862" s="111"/>
      <c r="CQ15862" s="111"/>
      <c r="EF15862"/>
      <c r="EG15862"/>
      <c r="EH15862"/>
      <c r="EI15862"/>
      <c r="EJ15862"/>
      <c r="EK15862"/>
    </row>
    <row r="15863" spans="1:141" s="116" customFormat="1">
      <c r="A15863" s="136"/>
      <c r="CM15863" s="111"/>
      <c r="CQ15863" s="111"/>
      <c r="EF15863"/>
      <c r="EG15863"/>
      <c r="EH15863"/>
      <c r="EI15863"/>
      <c r="EJ15863"/>
      <c r="EK15863"/>
    </row>
    <row r="15864" spans="1:141" s="116" customFormat="1">
      <c r="A15864" s="136"/>
      <c r="CM15864" s="111"/>
      <c r="CQ15864" s="111"/>
      <c r="EF15864"/>
      <c r="EG15864"/>
      <c r="EH15864"/>
      <c r="EI15864"/>
      <c r="EJ15864"/>
      <c r="EK15864"/>
    </row>
    <row r="15865" spans="1:141" s="116" customFormat="1">
      <c r="A15865" s="136"/>
      <c r="CM15865" s="111"/>
      <c r="CQ15865" s="111"/>
      <c r="EF15865"/>
      <c r="EG15865"/>
      <c r="EH15865"/>
      <c r="EI15865"/>
      <c r="EJ15865"/>
      <c r="EK15865"/>
    </row>
    <row r="15866" spans="1:141" s="116" customFormat="1">
      <c r="A15866" s="136"/>
      <c r="CM15866" s="111"/>
      <c r="CQ15866" s="111"/>
      <c r="EF15866"/>
      <c r="EG15866"/>
      <c r="EH15866"/>
      <c r="EI15866"/>
      <c r="EJ15866"/>
      <c r="EK15866"/>
    </row>
    <row r="15867" spans="1:141" s="116" customFormat="1">
      <c r="A15867" s="136"/>
      <c r="CM15867" s="111"/>
      <c r="CQ15867" s="111"/>
      <c r="EF15867"/>
      <c r="EG15867"/>
      <c r="EH15867"/>
      <c r="EI15867"/>
      <c r="EJ15867"/>
      <c r="EK15867"/>
    </row>
    <row r="15868" spans="1:141" s="116" customFormat="1">
      <c r="A15868" s="136"/>
      <c r="CM15868" s="111"/>
      <c r="CQ15868" s="111"/>
      <c r="EF15868"/>
      <c r="EG15868"/>
      <c r="EH15868"/>
      <c r="EI15868"/>
      <c r="EJ15868"/>
      <c r="EK15868"/>
    </row>
    <row r="15869" spans="1:141" s="116" customFormat="1">
      <c r="A15869" s="136"/>
      <c r="CM15869" s="111"/>
      <c r="CQ15869" s="111"/>
      <c r="EF15869"/>
      <c r="EG15869"/>
      <c r="EH15869"/>
      <c r="EI15869"/>
      <c r="EJ15869"/>
      <c r="EK15869"/>
    </row>
    <row r="15870" spans="1:141" s="116" customFormat="1">
      <c r="A15870" s="136"/>
      <c r="CM15870" s="111"/>
      <c r="CQ15870" s="111"/>
      <c r="EF15870"/>
      <c r="EG15870"/>
      <c r="EH15870"/>
      <c r="EI15870"/>
      <c r="EJ15870"/>
      <c r="EK15870"/>
    </row>
    <row r="15871" spans="1:141" s="116" customFormat="1">
      <c r="A15871" s="136"/>
      <c r="CM15871" s="111"/>
      <c r="CQ15871" s="111"/>
      <c r="EF15871"/>
      <c r="EG15871"/>
      <c r="EH15871"/>
      <c r="EI15871"/>
      <c r="EJ15871"/>
      <c r="EK15871"/>
    </row>
    <row r="15872" spans="1:141" s="116" customFormat="1">
      <c r="A15872" s="136"/>
      <c r="CM15872" s="111"/>
      <c r="CQ15872" s="111"/>
      <c r="EF15872"/>
      <c r="EG15872"/>
      <c r="EH15872"/>
      <c r="EI15872"/>
      <c r="EJ15872"/>
      <c r="EK15872"/>
    </row>
    <row r="15873" spans="1:141" s="116" customFormat="1">
      <c r="A15873" s="136"/>
      <c r="CM15873" s="111"/>
      <c r="CQ15873" s="111"/>
      <c r="EF15873"/>
      <c r="EG15873"/>
      <c r="EH15873"/>
      <c r="EI15873"/>
      <c r="EJ15873"/>
      <c r="EK15873"/>
    </row>
    <row r="15874" spans="1:141" s="116" customFormat="1">
      <c r="A15874" s="136"/>
      <c r="CM15874" s="111"/>
      <c r="CQ15874" s="111"/>
      <c r="EF15874"/>
      <c r="EG15874"/>
      <c r="EH15874"/>
      <c r="EI15874"/>
      <c r="EJ15874"/>
      <c r="EK15874"/>
    </row>
    <row r="15875" spans="1:141" s="116" customFormat="1">
      <c r="A15875" s="136"/>
      <c r="CM15875" s="111"/>
      <c r="CQ15875" s="111"/>
      <c r="EF15875"/>
      <c r="EG15875"/>
      <c r="EH15875"/>
      <c r="EI15875"/>
      <c r="EJ15875"/>
      <c r="EK15875"/>
    </row>
    <row r="15876" spans="1:141" s="116" customFormat="1">
      <c r="A15876" s="136"/>
      <c r="CM15876" s="111"/>
      <c r="CQ15876" s="111"/>
      <c r="EF15876"/>
      <c r="EG15876"/>
      <c r="EH15876"/>
      <c r="EI15876"/>
      <c r="EJ15876"/>
      <c r="EK15876"/>
    </row>
    <row r="15877" spans="1:141" s="116" customFormat="1">
      <c r="A15877" s="136"/>
      <c r="CM15877" s="111"/>
      <c r="CQ15877" s="111"/>
      <c r="EF15877"/>
      <c r="EG15877"/>
      <c r="EH15877"/>
      <c r="EI15877"/>
      <c r="EJ15877"/>
      <c r="EK15877"/>
    </row>
    <row r="15878" spans="1:141" s="116" customFormat="1">
      <c r="A15878" s="136"/>
      <c r="CM15878" s="111"/>
      <c r="CQ15878" s="111"/>
      <c r="EF15878"/>
      <c r="EG15878"/>
      <c r="EH15878"/>
      <c r="EI15878"/>
      <c r="EJ15878"/>
      <c r="EK15878"/>
    </row>
    <row r="15879" spans="1:141" s="116" customFormat="1">
      <c r="A15879" s="136"/>
      <c r="CM15879" s="111"/>
      <c r="CQ15879" s="111"/>
      <c r="EF15879"/>
      <c r="EG15879"/>
      <c r="EH15879"/>
      <c r="EI15879"/>
      <c r="EJ15879"/>
      <c r="EK15879"/>
    </row>
    <row r="15880" spans="1:141" s="116" customFormat="1">
      <c r="A15880" s="136"/>
      <c r="CM15880" s="111"/>
      <c r="CQ15880" s="111"/>
      <c r="EF15880"/>
      <c r="EG15880"/>
      <c r="EH15880"/>
      <c r="EI15880"/>
      <c r="EJ15880"/>
      <c r="EK15880"/>
    </row>
    <row r="15881" spans="1:141" s="116" customFormat="1">
      <c r="A15881" s="136"/>
      <c r="CM15881" s="111"/>
      <c r="CQ15881" s="111"/>
      <c r="EF15881"/>
      <c r="EG15881"/>
      <c r="EH15881"/>
      <c r="EI15881"/>
      <c r="EJ15881"/>
      <c r="EK15881"/>
    </row>
    <row r="15882" spans="1:141" s="116" customFormat="1">
      <c r="A15882" s="136"/>
      <c r="CM15882" s="111"/>
      <c r="CQ15882" s="111"/>
      <c r="EF15882"/>
      <c r="EG15882"/>
      <c r="EH15882"/>
      <c r="EI15882"/>
      <c r="EJ15882"/>
      <c r="EK15882"/>
    </row>
    <row r="15883" spans="1:141" s="116" customFormat="1">
      <c r="A15883" s="136"/>
      <c r="CM15883" s="111"/>
      <c r="CQ15883" s="111"/>
      <c r="EF15883"/>
      <c r="EG15883"/>
      <c r="EH15883"/>
      <c r="EI15883"/>
      <c r="EJ15883"/>
      <c r="EK15883"/>
    </row>
    <row r="15884" spans="1:141" s="116" customFormat="1">
      <c r="A15884" s="136"/>
      <c r="CM15884" s="111"/>
      <c r="CQ15884" s="111"/>
      <c r="EF15884"/>
      <c r="EG15884"/>
      <c r="EH15884"/>
      <c r="EI15884"/>
      <c r="EJ15884"/>
      <c r="EK15884"/>
    </row>
    <row r="15885" spans="1:141" s="116" customFormat="1">
      <c r="A15885" s="136"/>
      <c r="CM15885" s="111"/>
      <c r="CQ15885" s="111"/>
      <c r="EF15885"/>
      <c r="EG15885"/>
      <c r="EH15885"/>
      <c r="EI15885"/>
      <c r="EJ15885"/>
      <c r="EK15885"/>
    </row>
    <row r="15886" spans="1:141" s="116" customFormat="1">
      <c r="A15886" s="136"/>
      <c r="CM15886" s="111"/>
      <c r="CQ15886" s="111"/>
      <c r="EF15886"/>
      <c r="EG15886"/>
      <c r="EH15886"/>
      <c r="EI15886"/>
      <c r="EJ15886"/>
      <c r="EK15886"/>
    </row>
    <row r="15887" spans="1:141" s="116" customFormat="1">
      <c r="A15887" s="136"/>
      <c r="CM15887" s="111"/>
      <c r="CQ15887" s="111"/>
      <c r="EF15887"/>
      <c r="EG15887"/>
      <c r="EH15887"/>
      <c r="EI15887"/>
      <c r="EJ15887"/>
      <c r="EK15887"/>
    </row>
    <row r="15888" spans="1:141" s="116" customFormat="1">
      <c r="A15888" s="136"/>
      <c r="CM15888" s="111"/>
      <c r="CQ15888" s="111"/>
      <c r="EF15888"/>
      <c r="EG15888"/>
      <c r="EH15888"/>
      <c r="EI15888"/>
      <c r="EJ15888"/>
      <c r="EK15888"/>
    </row>
    <row r="15889" spans="1:141" s="116" customFormat="1">
      <c r="A15889" s="136"/>
      <c r="CM15889" s="111"/>
      <c r="CQ15889" s="111"/>
      <c r="EF15889"/>
      <c r="EG15889"/>
      <c r="EH15889"/>
      <c r="EI15889"/>
      <c r="EJ15889"/>
      <c r="EK15889"/>
    </row>
    <row r="15890" spans="1:141" s="116" customFormat="1">
      <c r="A15890" s="136"/>
      <c r="CM15890" s="111"/>
      <c r="CQ15890" s="111"/>
      <c r="EF15890"/>
      <c r="EG15890"/>
      <c r="EH15890"/>
      <c r="EI15890"/>
      <c r="EJ15890"/>
      <c r="EK15890"/>
    </row>
    <row r="15891" spans="1:141" s="116" customFormat="1">
      <c r="A15891" s="136"/>
      <c r="CM15891" s="111"/>
      <c r="CQ15891" s="111"/>
      <c r="EF15891"/>
      <c r="EG15891"/>
      <c r="EH15891"/>
      <c r="EI15891"/>
      <c r="EJ15891"/>
      <c r="EK15891"/>
    </row>
    <row r="15892" spans="1:141" s="116" customFormat="1">
      <c r="A15892" s="136"/>
      <c r="CM15892" s="111"/>
      <c r="CQ15892" s="111"/>
      <c r="EF15892"/>
      <c r="EG15892"/>
      <c r="EH15892"/>
      <c r="EI15892"/>
      <c r="EJ15892"/>
      <c r="EK15892"/>
    </row>
    <row r="15893" spans="1:141" s="116" customFormat="1">
      <c r="A15893" s="136"/>
      <c r="CM15893" s="111"/>
      <c r="CQ15893" s="111"/>
      <c r="EF15893"/>
      <c r="EG15893"/>
      <c r="EH15893"/>
      <c r="EI15893"/>
      <c r="EJ15893"/>
      <c r="EK15893"/>
    </row>
    <row r="15894" spans="1:141" s="116" customFormat="1">
      <c r="A15894" s="136"/>
      <c r="CM15894" s="111"/>
      <c r="CQ15894" s="111"/>
      <c r="EF15894"/>
      <c r="EG15894"/>
      <c r="EH15894"/>
      <c r="EI15894"/>
      <c r="EJ15894"/>
      <c r="EK15894"/>
    </row>
    <row r="15895" spans="1:141" s="116" customFormat="1">
      <c r="A15895" s="136"/>
      <c r="CM15895" s="111"/>
      <c r="CQ15895" s="111"/>
      <c r="EF15895"/>
      <c r="EG15895"/>
      <c r="EH15895"/>
      <c r="EI15895"/>
      <c r="EJ15895"/>
      <c r="EK15895"/>
    </row>
    <row r="15896" spans="1:141" s="116" customFormat="1">
      <c r="A15896" s="136"/>
      <c r="CM15896" s="111"/>
      <c r="CQ15896" s="111"/>
      <c r="EF15896"/>
      <c r="EG15896"/>
      <c r="EH15896"/>
      <c r="EI15896"/>
      <c r="EJ15896"/>
      <c r="EK15896"/>
    </row>
    <row r="15897" spans="1:141" s="116" customFormat="1">
      <c r="A15897" s="136"/>
      <c r="CM15897" s="111"/>
      <c r="CQ15897" s="111"/>
      <c r="EF15897"/>
      <c r="EG15897"/>
      <c r="EH15897"/>
      <c r="EI15897"/>
      <c r="EJ15897"/>
      <c r="EK15897"/>
    </row>
    <row r="15898" spans="1:141" s="116" customFormat="1">
      <c r="A15898" s="136"/>
      <c r="CM15898" s="111"/>
      <c r="CQ15898" s="111"/>
      <c r="EF15898"/>
      <c r="EG15898"/>
      <c r="EH15898"/>
      <c r="EI15898"/>
      <c r="EJ15898"/>
      <c r="EK15898"/>
    </row>
    <row r="15899" spans="1:141" s="116" customFormat="1">
      <c r="A15899" s="136"/>
      <c r="CM15899" s="111"/>
      <c r="CQ15899" s="111"/>
      <c r="EF15899"/>
      <c r="EG15899"/>
      <c r="EH15899"/>
      <c r="EI15899"/>
      <c r="EJ15899"/>
      <c r="EK15899"/>
    </row>
    <row r="15900" spans="1:141" s="116" customFormat="1">
      <c r="A15900" s="136"/>
      <c r="CM15900" s="111"/>
      <c r="CQ15900" s="111"/>
      <c r="EF15900"/>
      <c r="EG15900"/>
      <c r="EH15900"/>
      <c r="EI15900"/>
      <c r="EJ15900"/>
      <c r="EK15900"/>
    </row>
    <row r="15901" spans="1:141" s="116" customFormat="1">
      <c r="A15901" s="136"/>
      <c r="CM15901" s="111"/>
      <c r="CQ15901" s="111"/>
      <c r="EF15901"/>
      <c r="EG15901"/>
      <c r="EH15901"/>
      <c r="EI15901"/>
      <c r="EJ15901"/>
      <c r="EK15901"/>
    </row>
    <row r="15902" spans="1:141" s="116" customFormat="1">
      <c r="A15902" s="136"/>
      <c r="CM15902" s="111"/>
      <c r="CQ15902" s="111"/>
      <c r="EF15902"/>
      <c r="EG15902"/>
      <c r="EH15902"/>
      <c r="EI15902"/>
      <c r="EJ15902"/>
      <c r="EK15902"/>
    </row>
    <row r="15903" spans="1:141" s="116" customFormat="1">
      <c r="A15903" s="136"/>
      <c r="CM15903" s="111"/>
      <c r="CQ15903" s="111"/>
      <c r="EF15903"/>
      <c r="EG15903"/>
      <c r="EH15903"/>
      <c r="EI15903"/>
      <c r="EJ15903"/>
      <c r="EK15903"/>
    </row>
    <row r="15904" spans="1:141" s="116" customFormat="1">
      <c r="A15904" s="136"/>
      <c r="CM15904" s="111"/>
      <c r="CQ15904" s="111"/>
      <c r="EF15904"/>
      <c r="EG15904"/>
      <c r="EH15904"/>
      <c r="EI15904"/>
      <c r="EJ15904"/>
      <c r="EK15904"/>
    </row>
    <row r="15905" spans="1:141" s="116" customFormat="1">
      <c r="A15905" s="136"/>
      <c r="CM15905" s="111"/>
      <c r="CQ15905" s="111"/>
      <c r="EF15905"/>
      <c r="EG15905"/>
      <c r="EH15905"/>
      <c r="EI15905"/>
      <c r="EJ15905"/>
      <c r="EK15905"/>
    </row>
    <row r="15906" spans="1:141" s="116" customFormat="1">
      <c r="A15906" s="136"/>
      <c r="CM15906" s="111"/>
      <c r="CQ15906" s="111"/>
      <c r="EF15906"/>
      <c r="EG15906"/>
      <c r="EH15906"/>
      <c r="EI15906"/>
      <c r="EJ15906"/>
      <c r="EK15906"/>
    </row>
    <row r="15907" spans="1:141" s="116" customFormat="1">
      <c r="A15907" s="136"/>
      <c r="CM15907" s="111"/>
      <c r="CQ15907" s="111"/>
      <c r="EF15907"/>
      <c r="EG15907"/>
      <c r="EH15907"/>
      <c r="EI15907"/>
      <c r="EJ15907"/>
      <c r="EK15907"/>
    </row>
    <row r="15908" spans="1:141" s="116" customFormat="1">
      <c r="A15908" s="136"/>
      <c r="CM15908" s="111"/>
      <c r="CQ15908" s="111"/>
      <c r="EF15908"/>
      <c r="EG15908"/>
      <c r="EH15908"/>
      <c r="EI15908"/>
      <c r="EJ15908"/>
      <c r="EK15908"/>
    </row>
    <row r="15909" spans="1:141" s="116" customFormat="1">
      <c r="A15909" s="136"/>
      <c r="CM15909" s="111"/>
      <c r="CQ15909" s="111"/>
      <c r="EF15909"/>
      <c r="EG15909"/>
      <c r="EH15909"/>
      <c r="EI15909"/>
      <c r="EJ15909"/>
      <c r="EK15909"/>
    </row>
    <row r="15910" spans="1:141" s="116" customFormat="1">
      <c r="A15910" s="136"/>
      <c r="CM15910" s="111"/>
      <c r="CQ15910" s="111"/>
      <c r="EF15910"/>
      <c r="EG15910"/>
      <c r="EH15910"/>
      <c r="EI15910"/>
      <c r="EJ15910"/>
      <c r="EK15910"/>
    </row>
    <row r="15911" spans="1:141" s="116" customFormat="1">
      <c r="A15911" s="136"/>
      <c r="CM15911" s="111"/>
      <c r="CQ15911" s="111"/>
      <c r="EF15911"/>
      <c r="EG15911"/>
      <c r="EH15911"/>
      <c r="EI15911"/>
      <c r="EJ15911"/>
      <c r="EK15911"/>
    </row>
    <row r="15912" spans="1:141" s="116" customFormat="1">
      <c r="A15912" s="136"/>
      <c r="CM15912" s="111"/>
      <c r="CQ15912" s="111"/>
      <c r="EF15912"/>
      <c r="EG15912"/>
      <c r="EH15912"/>
      <c r="EI15912"/>
      <c r="EJ15912"/>
      <c r="EK15912"/>
    </row>
    <row r="15913" spans="1:141" s="116" customFormat="1">
      <c r="A15913" s="136"/>
      <c r="CM15913" s="111"/>
      <c r="CQ15913" s="111"/>
      <c r="EF15913"/>
      <c r="EG15913"/>
      <c r="EH15913"/>
      <c r="EI15913"/>
      <c r="EJ15913"/>
      <c r="EK15913"/>
    </row>
    <row r="15914" spans="1:141" s="116" customFormat="1">
      <c r="A15914" s="136"/>
      <c r="CM15914" s="111"/>
      <c r="CQ15914" s="111"/>
      <c r="EF15914"/>
      <c r="EG15914"/>
      <c r="EH15914"/>
      <c r="EI15914"/>
      <c r="EJ15914"/>
      <c r="EK15914"/>
    </row>
    <row r="15915" spans="1:141" s="116" customFormat="1">
      <c r="A15915" s="136"/>
      <c r="CM15915" s="111"/>
      <c r="CQ15915" s="111"/>
      <c r="EF15915"/>
      <c r="EG15915"/>
      <c r="EH15915"/>
      <c r="EI15915"/>
      <c r="EJ15915"/>
      <c r="EK15915"/>
    </row>
    <row r="15916" spans="1:141" s="116" customFormat="1">
      <c r="A15916" s="136"/>
      <c r="CM15916" s="111"/>
      <c r="CQ15916" s="111"/>
      <c r="EF15916"/>
      <c r="EG15916"/>
      <c r="EH15916"/>
      <c r="EI15916"/>
      <c r="EJ15916"/>
      <c r="EK15916"/>
    </row>
    <row r="15917" spans="1:141" s="116" customFormat="1">
      <c r="A15917" s="136"/>
      <c r="CM15917" s="111"/>
      <c r="CQ15917" s="111"/>
      <c r="EF15917"/>
      <c r="EG15917"/>
      <c r="EH15917"/>
      <c r="EI15917"/>
      <c r="EJ15917"/>
      <c r="EK15917"/>
    </row>
    <row r="15918" spans="1:141" s="116" customFormat="1">
      <c r="A15918" s="136"/>
      <c r="CM15918" s="111"/>
      <c r="CQ15918" s="111"/>
      <c r="EF15918"/>
      <c r="EG15918"/>
      <c r="EH15918"/>
      <c r="EI15918"/>
      <c r="EJ15918"/>
      <c r="EK15918"/>
    </row>
    <row r="15919" spans="1:141" s="116" customFormat="1">
      <c r="A15919" s="136"/>
      <c r="CM15919" s="111"/>
      <c r="CQ15919" s="111"/>
      <c r="EF15919"/>
      <c r="EG15919"/>
      <c r="EH15919"/>
      <c r="EI15919"/>
      <c r="EJ15919"/>
      <c r="EK15919"/>
    </row>
    <row r="15920" spans="1:141" s="116" customFormat="1">
      <c r="A15920" s="136"/>
      <c r="CM15920" s="111"/>
      <c r="CQ15920" s="111"/>
      <c r="EF15920"/>
      <c r="EG15920"/>
      <c r="EH15920"/>
      <c r="EI15920"/>
      <c r="EJ15920"/>
      <c r="EK15920"/>
    </row>
    <row r="15921" spans="1:141" s="116" customFormat="1">
      <c r="A15921" s="136"/>
      <c r="CM15921" s="111"/>
      <c r="CQ15921" s="111"/>
      <c r="EF15921"/>
      <c r="EG15921"/>
      <c r="EH15921"/>
      <c r="EI15921"/>
      <c r="EJ15921"/>
      <c r="EK15921"/>
    </row>
    <row r="15922" spans="1:141" s="116" customFormat="1">
      <c r="A15922" s="136"/>
      <c r="CM15922" s="111"/>
      <c r="CQ15922" s="111"/>
      <c r="EF15922"/>
      <c r="EG15922"/>
      <c r="EH15922"/>
      <c r="EI15922"/>
      <c r="EJ15922"/>
      <c r="EK15922"/>
    </row>
    <row r="15923" spans="1:141" s="116" customFormat="1">
      <c r="A15923" s="136"/>
      <c r="CM15923" s="111"/>
      <c r="CQ15923" s="111"/>
      <c r="EF15923"/>
      <c r="EG15923"/>
      <c r="EH15923"/>
      <c r="EI15923"/>
      <c r="EJ15923"/>
      <c r="EK15923"/>
    </row>
    <row r="15924" spans="1:141" s="116" customFormat="1">
      <c r="A15924" s="136"/>
      <c r="CM15924" s="111"/>
      <c r="CQ15924" s="111"/>
      <c r="EF15924"/>
      <c r="EG15924"/>
      <c r="EH15924"/>
      <c r="EI15924"/>
      <c r="EJ15924"/>
      <c r="EK15924"/>
    </row>
    <row r="15925" spans="1:141" s="116" customFormat="1">
      <c r="A15925" s="136"/>
      <c r="CM15925" s="111"/>
      <c r="CQ15925" s="111"/>
      <c r="EF15925"/>
      <c r="EG15925"/>
      <c r="EH15925"/>
      <c r="EI15925"/>
      <c r="EJ15925"/>
      <c r="EK15925"/>
    </row>
    <row r="15926" spans="1:141" s="116" customFormat="1">
      <c r="A15926" s="136"/>
      <c r="CM15926" s="111"/>
      <c r="CQ15926" s="111"/>
      <c r="EF15926"/>
      <c r="EG15926"/>
      <c r="EH15926"/>
      <c r="EI15926"/>
      <c r="EJ15926"/>
      <c r="EK15926"/>
    </row>
    <row r="15927" spans="1:141" s="116" customFormat="1">
      <c r="A15927" s="136"/>
      <c r="CM15927" s="111"/>
      <c r="CQ15927" s="111"/>
      <c r="EF15927"/>
      <c r="EG15927"/>
      <c r="EH15927"/>
      <c r="EI15927"/>
      <c r="EJ15927"/>
      <c r="EK15927"/>
    </row>
    <row r="15928" spans="1:141" s="116" customFormat="1">
      <c r="A15928" s="136"/>
      <c r="CM15928" s="111"/>
      <c r="CQ15928" s="111"/>
      <c r="EF15928"/>
      <c r="EG15928"/>
      <c r="EH15928"/>
      <c r="EI15928"/>
      <c r="EJ15928"/>
      <c r="EK15928"/>
    </row>
    <row r="15929" spans="1:141" s="116" customFormat="1">
      <c r="A15929" s="136"/>
      <c r="CM15929" s="111"/>
      <c r="CQ15929" s="111"/>
      <c r="EF15929"/>
      <c r="EG15929"/>
      <c r="EH15929"/>
      <c r="EI15929"/>
      <c r="EJ15929"/>
      <c r="EK15929"/>
    </row>
    <row r="15930" spans="1:141" s="116" customFormat="1">
      <c r="A15930" s="136"/>
      <c r="CM15930" s="111"/>
      <c r="CQ15930" s="111"/>
      <c r="EF15930"/>
      <c r="EG15930"/>
      <c r="EH15930"/>
      <c r="EI15930"/>
      <c r="EJ15930"/>
      <c r="EK15930"/>
    </row>
    <row r="15931" spans="1:141" s="116" customFormat="1">
      <c r="A15931" s="136"/>
      <c r="CM15931" s="111"/>
      <c r="CQ15931" s="111"/>
      <c r="EF15931"/>
      <c r="EG15931"/>
      <c r="EH15931"/>
      <c r="EI15931"/>
      <c r="EJ15931"/>
      <c r="EK15931"/>
    </row>
    <row r="15932" spans="1:141" s="116" customFormat="1">
      <c r="A15932" s="136"/>
      <c r="CM15932" s="111"/>
      <c r="CQ15932" s="111"/>
      <c r="EF15932"/>
      <c r="EG15932"/>
      <c r="EH15932"/>
      <c r="EI15932"/>
      <c r="EJ15932"/>
      <c r="EK15932"/>
    </row>
    <row r="15933" spans="1:141" s="116" customFormat="1">
      <c r="A15933" s="136"/>
      <c r="CM15933" s="111"/>
      <c r="CQ15933" s="111"/>
      <c r="EF15933"/>
      <c r="EG15933"/>
      <c r="EH15933"/>
      <c r="EI15933"/>
      <c r="EJ15933"/>
      <c r="EK15933"/>
    </row>
    <row r="15934" spans="1:141" s="116" customFormat="1">
      <c r="A15934" s="136"/>
      <c r="CM15934" s="111"/>
      <c r="CQ15934" s="111"/>
      <c r="EF15934"/>
      <c r="EG15934"/>
      <c r="EH15934"/>
      <c r="EI15934"/>
      <c r="EJ15934"/>
      <c r="EK15934"/>
    </row>
    <row r="15935" spans="1:141" s="116" customFormat="1">
      <c r="A15935" s="136"/>
      <c r="CM15935" s="111"/>
      <c r="CQ15935" s="111"/>
      <c r="EF15935"/>
      <c r="EG15935"/>
      <c r="EH15935"/>
      <c r="EI15935"/>
      <c r="EJ15935"/>
      <c r="EK15935"/>
    </row>
    <row r="15936" spans="1:141" s="116" customFormat="1">
      <c r="A15936" s="136"/>
      <c r="CM15936" s="111"/>
      <c r="CQ15936" s="111"/>
      <c r="EF15936"/>
      <c r="EG15936"/>
      <c r="EH15936"/>
      <c r="EI15936"/>
      <c r="EJ15936"/>
      <c r="EK15936"/>
    </row>
    <row r="15937" spans="1:141" s="116" customFormat="1">
      <c r="A15937" s="136"/>
      <c r="CM15937" s="111"/>
      <c r="CQ15937" s="111"/>
      <c r="EF15937"/>
      <c r="EG15937"/>
      <c r="EH15937"/>
      <c r="EI15937"/>
      <c r="EJ15937"/>
      <c r="EK15937"/>
    </row>
    <row r="15938" spans="1:141" s="116" customFormat="1">
      <c r="A15938" s="136"/>
      <c r="CM15938" s="111"/>
      <c r="CQ15938" s="111"/>
      <c r="EF15938"/>
      <c r="EG15938"/>
      <c r="EH15938"/>
      <c r="EI15938"/>
      <c r="EJ15938"/>
      <c r="EK15938"/>
    </row>
    <row r="15939" spans="1:141" s="116" customFormat="1">
      <c r="A15939" s="136"/>
      <c r="CM15939" s="111"/>
      <c r="CQ15939" s="111"/>
      <c r="EF15939"/>
      <c r="EG15939"/>
      <c r="EH15939"/>
      <c r="EI15939"/>
      <c r="EJ15939"/>
      <c r="EK15939"/>
    </row>
    <row r="15940" spans="1:141" s="116" customFormat="1">
      <c r="A15940" s="136"/>
      <c r="CM15940" s="111"/>
      <c r="CQ15940" s="111"/>
      <c r="EF15940"/>
      <c r="EG15940"/>
      <c r="EH15940"/>
      <c r="EI15940"/>
      <c r="EJ15940"/>
      <c r="EK15940"/>
    </row>
    <row r="15941" spans="1:141" s="116" customFormat="1">
      <c r="A15941" s="136"/>
      <c r="CM15941" s="111"/>
      <c r="CQ15941" s="111"/>
      <c r="EF15941"/>
      <c r="EG15941"/>
      <c r="EH15941"/>
      <c r="EI15941"/>
      <c r="EJ15941"/>
      <c r="EK15941"/>
    </row>
    <row r="15942" spans="1:141" s="116" customFormat="1">
      <c r="A15942" s="136"/>
      <c r="CM15942" s="111"/>
      <c r="CQ15942" s="111"/>
      <c r="EF15942"/>
      <c r="EG15942"/>
      <c r="EH15942"/>
      <c r="EI15942"/>
      <c r="EJ15942"/>
      <c r="EK15942"/>
    </row>
    <row r="15943" spans="1:141" s="116" customFormat="1">
      <c r="A15943" s="136"/>
      <c r="CM15943" s="111"/>
      <c r="CQ15943" s="111"/>
      <c r="EF15943"/>
      <c r="EG15943"/>
      <c r="EH15943"/>
      <c r="EI15943"/>
      <c r="EJ15943"/>
      <c r="EK15943"/>
    </row>
    <row r="15944" spans="1:141" s="116" customFormat="1">
      <c r="A15944" s="136"/>
      <c r="CM15944" s="111"/>
      <c r="CQ15944" s="111"/>
      <c r="EF15944"/>
      <c r="EG15944"/>
      <c r="EH15944"/>
      <c r="EI15944"/>
      <c r="EJ15944"/>
      <c r="EK15944"/>
    </row>
    <row r="15945" spans="1:141" s="116" customFormat="1">
      <c r="A15945" s="136"/>
      <c r="CM15945" s="111"/>
      <c r="CQ15945" s="111"/>
      <c r="EF15945"/>
      <c r="EG15945"/>
      <c r="EH15945"/>
      <c r="EI15945"/>
      <c r="EJ15945"/>
      <c r="EK15945"/>
    </row>
    <row r="15946" spans="1:141" s="116" customFormat="1">
      <c r="A15946" s="136"/>
      <c r="CM15946" s="111"/>
      <c r="CQ15946" s="111"/>
      <c r="EF15946"/>
      <c r="EG15946"/>
      <c r="EH15946"/>
      <c r="EI15946"/>
      <c r="EJ15946"/>
      <c r="EK15946"/>
    </row>
    <row r="15947" spans="1:141" s="116" customFormat="1">
      <c r="A15947" s="136"/>
      <c r="CM15947" s="111"/>
      <c r="CQ15947" s="111"/>
      <c r="EF15947"/>
      <c r="EG15947"/>
      <c r="EH15947"/>
      <c r="EI15947"/>
      <c r="EJ15947"/>
      <c r="EK15947"/>
    </row>
    <row r="15948" spans="1:141" s="116" customFormat="1">
      <c r="A15948" s="136"/>
      <c r="CM15948" s="111"/>
      <c r="CQ15948" s="111"/>
      <c r="EF15948"/>
      <c r="EG15948"/>
      <c r="EH15948"/>
      <c r="EI15948"/>
      <c r="EJ15948"/>
      <c r="EK15948"/>
    </row>
    <row r="15949" spans="1:141" s="116" customFormat="1">
      <c r="A15949" s="136"/>
      <c r="CM15949" s="111"/>
      <c r="CQ15949" s="111"/>
      <c r="EF15949"/>
      <c r="EG15949"/>
      <c r="EH15949"/>
      <c r="EI15949"/>
      <c r="EJ15949"/>
      <c r="EK15949"/>
    </row>
    <row r="15950" spans="1:141" s="116" customFormat="1">
      <c r="A15950" s="136"/>
      <c r="CM15950" s="111"/>
      <c r="CQ15950" s="111"/>
      <c r="EF15950"/>
      <c r="EG15950"/>
      <c r="EH15950"/>
      <c r="EI15950"/>
      <c r="EJ15950"/>
      <c r="EK15950"/>
    </row>
    <row r="15951" spans="1:141" s="116" customFormat="1">
      <c r="A15951" s="136"/>
      <c r="CM15951" s="111"/>
      <c r="CQ15951" s="111"/>
      <c r="EF15951"/>
      <c r="EG15951"/>
      <c r="EH15951"/>
      <c r="EI15951"/>
      <c r="EJ15951"/>
      <c r="EK15951"/>
    </row>
    <row r="15952" spans="1:141" s="116" customFormat="1">
      <c r="A15952" s="136"/>
      <c r="CM15952" s="111"/>
      <c r="CQ15952" s="111"/>
      <c r="EF15952"/>
      <c r="EG15952"/>
      <c r="EH15952"/>
      <c r="EI15952"/>
      <c r="EJ15952"/>
      <c r="EK15952"/>
    </row>
    <row r="15953" spans="1:141" s="116" customFormat="1">
      <c r="A15953" s="136"/>
      <c r="CM15953" s="111"/>
      <c r="CQ15953" s="111"/>
      <c r="EF15953"/>
      <c r="EG15953"/>
      <c r="EH15953"/>
      <c r="EI15953"/>
      <c r="EJ15953"/>
      <c r="EK15953"/>
    </row>
    <row r="15954" spans="1:141" s="116" customFormat="1">
      <c r="A15954" s="136"/>
      <c r="CM15954" s="111"/>
      <c r="CQ15954" s="111"/>
      <c r="EF15954"/>
      <c r="EG15954"/>
      <c r="EH15954"/>
      <c r="EI15954"/>
      <c r="EJ15954"/>
      <c r="EK15954"/>
    </row>
    <row r="15955" spans="1:141" s="116" customFormat="1">
      <c r="A15955" s="136"/>
      <c r="CM15955" s="111"/>
      <c r="CQ15955" s="111"/>
      <c r="EF15955"/>
      <c r="EG15955"/>
      <c r="EH15955"/>
      <c r="EI15955"/>
      <c r="EJ15955"/>
      <c r="EK15955"/>
    </row>
    <row r="15956" spans="1:141" s="116" customFormat="1">
      <c r="A15956" s="136"/>
      <c r="CM15956" s="111"/>
      <c r="CQ15956" s="111"/>
      <c r="EF15956"/>
      <c r="EG15956"/>
      <c r="EH15956"/>
      <c r="EI15956"/>
      <c r="EJ15956"/>
      <c r="EK15956"/>
    </row>
    <row r="15957" spans="1:141" s="116" customFormat="1">
      <c r="A15957" s="136"/>
      <c r="CM15957" s="111"/>
      <c r="CQ15957" s="111"/>
      <c r="EF15957"/>
      <c r="EG15957"/>
      <c r="EH15957"/>
      <c r="EI15957"/>
      <c r="EJ15957"/>
      <c r="EK15957"/>
    </row>
    <row r="15958" spans="1:141" s="116" customFormat="1">
      <c r="A15958" s="136"/>
      <c r="CM15958" s="111"/>
      <c r="CQ15958" s="111"/>
      <c r="EF15958"/>
      <c r="EG15958"/>
      <c r="EH15958"/>
      <c r="EI15958"/>
      <c r="EJ15958"/>
      <c r="EK15958"/>
    </row>
    <row r="15959" spans="1:141" s="116" customFormat="1">
      <c r="A15959" s="136"/>
      <c r="CM15959" s="111"/>
      <c r="CQ15959" s="111"/>
      <c r="EF15959"/>
      <c r="EG15959"/>
      <c r="EH15959"/>
      <c r="EI15959"/>
      <c r="EJ15959"/>
      <c r="EK15959"/>
    </row>
    <row r="15960" spans="1:141" s="116" customFormat="1">
      <c r="A15960" s="136"/>
      <c r="CM15960" s="111"/>
      <c r="CQ15960" s="111"/>
      <c r="EF15960"/>
      <c r="EG15960"/>
      <c r="EH15960"/>
      <c r="EI15960"/>
      <c r="EJ15960"/>
      <c r="EK15960"/>
    </row>
    <row r="15961" spans="1:141" s="116" customFormat="1">
      <c r="A15961" s="136"/>
      <c r="CM15961" s="111"/>
      <c r="CQ15961" s="111"/>
      <c r="EF15961"/>
      <c r="EG15961"/>
      <c r="EH15961"/>
      <c r="EI15961"/>
      <c r="EJ15961"/>
      <c r="EK15961"/>
    </row>
    <row r="15962" spans="1:141" s="116" customFormat="1">
      <c r="A15962" s="136"/>
      <c r="CM15962" s="111"/>
      <c r="CQ15962" s="111"/>
      <c r="EF15962"/>
      <c r="EG15962"/>
      <c r="EH15962"/>
      <c r="EI15962"/>
      <c r="EJ15962"/>
      <c r="EK15962"/>
    </row>
    <row r="15963" spans="1:141" s="116" customFormat="1">
      <c r="A15963" s="136"/>
      <c r="CM15963" s="111"/>
      <c r="CQ15963" s="111"/>
      <c r="EF15963"/>
      <c r="EG15963"/>
      <c r="EH15963"/>
      <c r="EI15963"/>
      <c r="EJ15963"/>
      <c r="EK15963"/>
    </row>
    <row r="15964" spans="1:141" s="116" customFormat="1">
      <c r="A15964" s="136"/>
      <c r="CM15964" s="111"/>
      <c r="CQ15964" s="111"/>
      <c r="EF15964"/>
      <c r="EG15964"/>
      <c r="EH15964"/>
      <c r="EI15964"/>
      <c r="EJ15964"/>
      <c r="EK15964"/>
    </row>
    <row r="15965" spans="1:141" s="116" customFormat="1">
      <c r="A15965" s="136"/>
      <c r="CM15965" s="111"/>
      <c r="CQ15965" s="111"/>
      <c r="EF15965"/>
      <c r="EG15965"/>
      <c r="EH15965"/>
      <c r="EI15965"/>
      <c r="EJ15965"/>
      <c r="EK15965"/>
    </row>
    <row r="15966" spans="1:141" s="116" customFormat="1">
      <c r="A15966" s="136"/>
      <c r="CM15966" s="111"/>
      <c r="CQ15966" s="111"/>
      <c r="EF15966"/>
      <c r="EG15966"/>
      <c r="EH15966"/>
      <c r="EI15966"/>
      <c r="EJ15966"/>
      <c r="EK15966"/>
    </row>
    <row r="15967" spans="1:141" s="116" customFormat="1">
      <c r="A15967" s="136"/>
      <c r="CM15967" s="111"/>
      <c r="CQ15967" s="111"/>
      <c r="EF15967"/>
      <c r="EG15967"/>
      <c r="EH15967"/>
      <c r="EI15967"/>
      <c r="EJ15967"/>
      <c r="EK15967"/>
    </row>
    <row r="15968" spans="1:141" s="116" customFormat="1">
      <c r="A15968" s="136"/>
      <c r="CM15968" s="111"/>
      <c r="CQ15968" s="111"/>
      <c r="EF15968"/>
      <c r="EG15968"/>
      <c r="EH15968"/>
      <c r="EI15968"/>
      <c r="EJ15968"/>
      <c r="EK15968"/>
    </row>
    <row r="15969" spans="1:141" s="116" customFormat="1">
      <c r="A15969" s="136"/>
      <c r="CM15969" s="111"/>
      <c r="CQ15969" s="111"/>
      <c r="EF15969"/>
      <c r="EG15969"/>
      <c r="EH15969"/>
      <c r="EI15969"/>
      <c r="EJ15969"/>
      <c r="EK15969"/>
    </row>
    <row r="15970" spans="1:141" s="116" customFormat="1">
      <c r="A15970" s="136"/>
      <c r="CM15970" s="111"/>
      <c r="CQ15970" s="111"/>
      <c r="EF15970"/>
      <c r="EG15970"/>
      <c r="EH15970"/>
      <c r="EI15970"/>
      <c r="EJ15970"/>
      <c r="EK15970"/>
    </row>
    <row r="15971" spans="1:141" s="116" customFormat="1">
      <c r="A15971" s="136"/>
      <c r="CM15971" s="111"/>
      <c r="CQ15971" s="111"/>
      <c r="EF15971"/>
      <c r="EG15971"/>
      <c r="EH15971"/>
      <c r="EI15971"/>
      <c r="EJ15971"/>
      <c r="EK15971"/>
    </row>
    <row r="15972" spans="1:141" s="116" customFormat="1">
      <c r="A15972" s="136"/>
      <c r="CM15972" s="111"/>
      <c r="CQ15972" s="111"/>
      <c r="EF15972"/>
      <c r="EG15972"/>
      <c r="EH15972"/>
      <c r="EI15972"/>
      <c r="EJ15972"/>
      <c r="EK15972"/>
    </row>
    <row r="15973" spans="1:141" s="116" customFormat="1">
      <c r="A15973" s="136"/>
      <c r="CM15973" s="111"/>
      <c r="CQ15973" s="111"/>
      <c r="EF15973"/>
      <c r="EG15973"/>
      <c r="EH15973"/>
      <c r="EI15973"/>
      <c r="EJ15973"/>
      <c r="EK15973"/>
    </row>
    <row r="15974" spans="1:141" s="116" customFormat="1">
      <c r="A15974" s="136"/>
      <c r="CM15974" s="111"/>
      <c r="CQ15974" s="111"/>
      <c r="EF15974"/>
      <c r="EG15974"/>
      <c r="EH15974"/>
      <c r="EI15974"/>
      <c r="EJ15974"/>
      <c r="EK15974"/>
    </row>
    <row r="15975" spans="1:141" s="116" customFormat="1">
      <c r="A15975" s="136"/>
      <c r="CM15975" s="111"/>
      <c r="CQ15975" s="111"/>
      <c r="EF15975"/>
      <c r="EG15975"/>
      <c r="EH15975"/>
      <c r="EI15975"/>
      <c r="EJ15975"/>
      <c r="EK15975"/>
    </row>
    <row r="15976" spans="1:141" s="116" customFormat="1">
      <c r="A15976" s="136"/>
      <c r="CM15976" s="111"/>
      <c r="CQ15976" s="111"/>
      <c r="EF15976"/>
      <c r="EG15976"/>
      <c r="EH15976"/>
      <c r="EI15976"/>
      <c r="EJ15976"/>
      <c r="EK15976"/>
    </row>
    <row r="15977" spans="1:141" s="116" customFormat="1">
      <c r="A15977" s="136"/>
      <c r="CM15977" s="111"/>
      <c r="CQ15977" s="111"/>
      <c r="EF15977"/>
      <c r="EG15977"/>
      <c r="EH15977"/>
      <c r="EI15977"/>
      <c r="EJ15977"/>
      <c r="EK15977"/>
    </row>
    <row r="15978" spans="1:141" s="116" customFormat="1">
      <c r="A15978" s="136"/>
      <c r="CM15978" s="111"/>
      <c r="CQ15978" s="111"/>
      <c r="EF15978"/>
      <c r="EG15978"/>
      <c r="EH15978"/>
      <c r="EI15978"/>
      <c r="EJ15978"/>
      <c r="EK15978"/>
    </row>
    <row r="15979" spans="1:141" s="116" customFormat="1">
      <c r="A15979" s="136"/>
      <c r="CM15979" s="111"/>
      <c r="CQ15979" s="111"/>
      <c r="EF15979"/>
      <c r="EG15979"/>
      <c r="EH15979"/>
      <c r="EI15979"/>
      <c r="EJ15979"/>
      <c r="EK15979"/>
    </row>
    <row r="15980" spans="1:141" s="116" customFormat="1">
      <c r="A15980" s="136"/>
      <c r="CM15980" s="111"/>
      <c r="CQ15980" s="111"/>
      <c r="EF15980"/>
      <c r="EG15980"/>
      <c r="EH15980"/>
      <c r="EI15980"/>
      <c r="EJ15980"/>
      <c r="EK15980"/>
    </row>
    <row r="15981" spans="1:141" s="116" customFormat="1">
      <c r="A15981" s="136"/>
      <c r="CM15981" s="111"/>
      <c r="CQ15981" s="111"/>
      <c r="EF15981"/>
      <c r="EG15981"/>
      <c r="EH15981"/>
      <c r="EI15981"/>
      <c r="EJ15981"/>
      <c r="EK15981"/>
    </row>
    <row r="15982" spans="1:141" s="116" customFormat="1">
      <c r="A15982" s="136"/>
      <c r="CM15982" s="111"/>
      <c r="CQ15982" s="111"/>
      <c r="EF15982"/>
      <c r="EG15982"/>
      <c r="EH15982"/>
      <c r="EI15982"/>
      <c r="EJ15982"/>
      <c r="EK15982"/>
    </row>
    <row r="15983" spans="1:141" s="116" customFormat="1">
      <c r="A15983" s="136"/>
      <c r="CM15983" s="111"/>
      <c r="CQ15983" s="111"/>
      <c r="EF15983"/>
      <c r="EG15983"/>
      <c r="EH15983"/>
      <c r="EI15983"/>
      <c r="EJ15983"/>
      <c r="EK15983"/>
    </row>
    <row r="15984" spans="1:141" s="116" customFormat="1">
      <c r="A15984" s="136"/>
      <c r="CM15984" s="111"/>
      <c r="CQ15984" s="111"/>
      <c r="EF15984"/>
      <c r="EG15984"/>
      <c r="EH15984"/>
      <c r="EI15984"/>
      <c r="EJ15984"/>
      <c r="EK15984"/>
    </row>
    <row r="15985" spans="1:141" s="116" customFormat="1">
      <c r="A15985" s="136"/>
      <c r="CM15985" s="111"/>
      <c r="CQ15985" s="111"/>
      <c r="EF15985"/>
      <c r="EG15985"/>
      <c r="EH15985"/>
      <c r="EI15985"/>
      <c r="EJ15985"/>
      <c r="EK15985"/>
    </row>
    <row r="15986" spans="1:141" s="116" customFormat="1">
      <c r="A15986" s="136"/>
      <c r="CM15986" s="111"/>
      <c r="CQ15986" s="111"/>
      <c r="EF15986"/>
      <c r="EG15986"/>
      <c r="EH15986"/>
      <c r="EI15986"/>
      <c r="EJ15986"/>
      <c r="EK15986"/>
    </row>
    <row r="15987" spans="1:141" s="116" customFormat="1">
      <c r="A15987" s="136"/>
      <c r="CM15987" s="111"/>
      <c r="CQ15987" s="111"/>
      <c r="EF15987"/>
      <c r="EG15987"/>
      <c r="EH15987"/>
      <c r="EI15987"/>
      <c r="EJ15987"/>
      <c r="EK15987"/>
    </row>
    <row r="15988" spans="1:141" s="116" customFormat="1">
      <c r="A15988" s="136"/>
      <c r="CM15988" s="111"/>
      <c r="CQ15988" s="111"/>
      <c r="EF15988"/>
      <c r="EG15988"/>
      <c r="EH15988"/>
      <c r="EI15988"/>
      <c r="EJ15988"/>
      <c r="EK15988"/>
    </row>
    <row r="15989" spans="1:141" s="116" customFormat="1">
      <c r="A15989" s="136"/>
      <c r="CM15989" s="111"/>
      <c r="CQ15989" s="111"/>
      <c r="EF15989"/>
      <c r="EG15989"/>
      <c r="EH15989"/>
      <c r="EI15989"/>
      <c r="EJ15989"/>
      <c r="EK15989"/>
    </row>
    <row r="15990" spans="1:141" s="116" customFormat="1">
      <c r="A15990" s="136"/>
      <c r="CM15990" s="111"/>
      <c r="CQ15990" s="111"/>
      <c r="EF15990"/>
      <c r="EG15990"/>
      <c r="EH15990"/>
      <c r="EI15990"/>
      <c r="EJ15990"/>
      <c r="EK15990"/>
    </row>
    <row r="15991" spans="1:141" s="116" customFormat="1">
      <c r="A15991" s="136"/>
      <c r="CM15991" s="111"/>
      <c r="CQ15991" s="111"/>
      <c r="EF15991"/>
      <c r="EG15991"/>
      <c r="EH15991"/>
      <c r="EI15991"/>
      <c r="EJ15991"/>
      <c r="EK15991"/>
    </row>
    <row r="15992" spans="1:141" s="116" customFormat="1">
      <c r="A15992" s="136"/>
      <c r="CM15992" s="111"/>
      <c r="CQ15992" s="111"/>
      <c r="EF15992"/>
      <c r="EG15992"/>
      <c r="EH15992"/>
      <c r="EI15992"/>
      <c r="EJ15992"/>
      <c r="EK15992"/>
    </row>
    <row r="15993" spans="1:141" s="116" customFormat="1">
      <c r="A15993" s="136"/>
      <c r="CM15993" s="111"/>
      <c r="CQ15993" s="111"/>
      <c r="EF15993"/>
      <c r="EG15993"/>
      <c r="EH15993"/>
      <c r="EI15993"/>
      <c r="EJ15993"/>
      <c r="EK15993"/>
    </row>
    <row r="15994" spans="1:141" s="116" customFormat="1">
      <c r="A15994" s="136"/>
      <c r="CM15994" s="111"/>
      <c r="CQ15994" s="111"/>
      <c r="EF15994"/>
      <c r="EG15994"/>
      <c r="EH15994"/>
      <c r="EI15994"/>
      <c r="EJ15994"/>
      <c r="EK15994"/>
    </row>
    <row r="15995" spans="1:141" s="116" customFormat="1">
      <c r="A15995" s="136"/>
      <c r="CM15995" s="111"/>
      <c r="CQ15995" s="111"/>
      <c r="EF15995"/>
      <c r="EG15995"/>
      <c r="EH15995"/>
      <c r="EI15995"/>
      <c r="EJ15995"/>
      <c r="EK15995"/>
    </row>
    <row r="15996" spans="1:141" s="116" customFormat="1">
      <c r="A15996" s="136"/>
      <c r="CM15996" s="111"/>
      <c r="CQ15996" s="111"/>
      <c r="EF15996"/>
      <c r="EG15996"/>
      <c r="EH15996"/>
      <c r="EI15996"/>
      <c r="EJ15996"/>
      <c r="EK15996"/>
    </row>
    <row r="15997" spans="1:141" s="116" customFormat="1">
      <c r="A15997" s="136"/>
      <c r="CM15997" s="111"/>
      <c r="CQ15997" s="111"/>
      <c r="EF15997"/>
      <c r="EG15997"/>
      <c r="EH15997"/>
      <c r="EI15997"/>
      <c r="EJ15997"/>
      <c r="EK15997"/>
    </row>
    <row r="15998" spans="1:141" s="116" customFormat="1">
      <c r="A15998" s="136"/>
      <c r="CM15998" s="111"/>
      <c r="CQ15998" s="111"/>
      <c r="EF15998"/>
      <c r="EG15998"/>
      <c r="EH15998"/>
      <c r="EI15998"/>
      <c r="EJ15998"/>
      <c r="EK15998"/>
    </row>
    <row r="15999" spans="1:141" s="116" customFormat="1">
      <c r="A15999" s="136"/>
      <c r="CM15999" s="111"/>
      <c r="CQ15999" s="111"/>
      <c r="EF15999"/>
      <c r="EG15999"/>
      <c r="EH15999"/>
      <c r="EI15999"/>
      <c r="EJ15999"/>
      <c r="EK15999"/>
    </row>
    <row r="16000" spans="1:141" s="116" customFormat="1">
      <c r="A16000" s="136"/>
      <c r="CM16000" s="111"/>
      <c r="CQ16000" s="111"/>
      <c r="EF16000"/>
      <c r="EG16000"/>
      <c r="EH16000"/>
      <c r="EI16000"/>
      <c r="EJ16000"/>
      <c r="EK16000"/>
    </row>
    <row r="16001" spans="1:141" s="116" customFormat="1">
      <c r="A16001" s="136"/>
      <c r="CM16001" s="111"/>
      <c r="CQ16001" s="111"/>
      <c r="EF16001"/>
      <c r="EG16001"/>
      <c r="EH16001"/>
      <c r="EI16001"/>
      <c r="EJ16001"/>
      <c r="EK16001"/>
    </row>
    <row r="16002" spans="1:141" s="116" customFormat="1">
      <c r="A16002" s="136"/>
      <c r="CM16002" s="111"/>
      <c r="CQ16002" s="111"/>
      <c r="EF16002"/>
      <c r="EG16002"/>
      <c r="EH16002"/>
      <c r="EI16002"/>
      <c r="EJ16002"/>
      <c r="EK16002"/>
    </row>
    <row r="16003" spans="1:141" s="116" customFormat="1">
      <c r="A16003" s="136"/>
      <c r="CM16003" s="111"/>
      <c r="CQ16003" s="111"/>
      <c r="EF16003"/>
      <c r="EG16003"/>
      <c r="EH16003"/>
      <c r="EI16003"/>
      <c r="EJ16003"/>
      <c r="EK16003"/>
    </row>
    <row r="16004" spans="1:141" s="116" customFormat="1">
      <c r="A16004" s="136"/>
      <c r="CM16004" s="111"/>
      <c r="CQ16004" s="111"/>
      <c r="EF16004"/>
      <c r="EG16004"/>
      <c r="EH16004"/>
      <c r="EI16004"/>
      <c r="EJ16004"/>
      <c r="EK16004"/>
    </row>
    <row r="16005" spans="1:141" s="116" customFormat="1">
      <c r="A16005" s="136"/>
      <c r="CM16005" s="111"/>
      <c r="CQ16005" s="111"/>
      <c r="EF16005"/>
      <c r="EG16005"/>
      <c r="EH16005"/>
      <c r="EI16005"/>
      <c r="EJ16005"/>
      <c r="EK16005"/>
    </row>
    <row r="16006" spans="1:141" s="116" customFormat="1">
      <c r="A16006" s="136"/>
      <c r="CM16006" s="111"/>
      <c r="CQ16006" s="111"/>
      <c r="EF16006"/>
      <c r="EG16006"/>
      <c r="EH16006"/>
      <c r="EI16006"/>
      <c r="EJ16006"/>
      <c r="EK16006"/>
    </row>
    <row r="16007" spans="1:141" s="116" customFormat="1">
      <c r="A16007" s="136"/>
      <c r="CM16007" s="111"/>
      <c r="CQ16007" s="111"/>
      <c r="EF16007"/>
      <c r="EG16007"/>
      <c r="EH16007"/>
      <c r="EI16007"/>
      <c r="EJ16007"/>
      <c r="EK16007"/>
    </row>
    <row r="16008" spans="1:141" s="116" customFormat="1">
      <c r="A16008" s="136"/>
      <c r="CM16008" s="111"/>
      <c r="CQ16008" s="111"/>
      <c r="EF16008"/>
      <c r="EG16008"/>
      <c r="EH16008"/>
      <c r="EI16008"/>
      <c r="EJ16008"/>
      <c r="EK16008"/>
    </row>
    <row r="16009" spans="1:141" s="116" customFormat="1">
      <c r="A16009" s="136"/>
      <c r="CM16009" s="111"/>
      <c r="CQ16009" s="111"/>
      <c r="EF16009"/>
      <c r="EG16009"/>
      <c r="EH16009"/>
      <c r="EI16009"/>
      <c r="EJ16009"/>
      <c r="EK16009"/>
    </row>
    <row r="16010" spans="1:141" s="116" customFormat="1">
      <c r="A16010" s="136"/>
      <c r="CM16010" s="111"/>
      <c r="CQ16010" s="111"/>
      <c r="EF16010"/>
      <c r="EG16010"/>
      <c r="EH16010"/>
      <c r="EI16010"/>
      <c r="EJ16010"/>
      <c r="EK16010"/>
    </row>
    <row r="16011" spans="1:141" s="116" customFormat="1">
      <c r="A16011" s="136"/>
      <c r="CM16011" s="111"/>
      <c r="CQ16011" s="111"/>
      <c r="EF16011"/>
      <c r="EG16011"/>
      <c r="EH16011"/>
      <c r="EI16011"/>
      <c r="EJ16011"/>
      <c r="EK16011"/>
    </row>
    <row r="16012" spans="1:141" s="116" customFormat="1">
      <c r="A16012" s="136"/>
      <c r="CM16012" s="111"/>
      <c r="CQ16012" s="111"/>
      <c r="EF16012"/>
      <c r="EG16012"/>
      <c r="EH16012"/>
      <c r="EI16012"/>
      <c r="EJ16012"/>
      <c r="EK16012"/>
    </row>
    <row r="16013" spans="1:141" s="116" customFormat="1">
      <c r="A16013" s="136"/>
      <c r="CM16013" s="111"/>
      <c r="CQ16013" s="111"/>
      <c r="EF16013"/>
      <c r="EG16013"/>
      <c r="EH16013"/>
      <c r="EI16013"/>
      <c r="EJ16013"/>
      <c r="EK16013"/>
    </row>
    <row r="16014" spans="1:141" s="116" customFormat="1">
      <c r="A16014" s="136"/>
      <c r="CM16014" s="111"/>
      <c r="CQ16014" s="111"/>
      <c r="EF16014"/>
      <c r="EG16014"/>
      <c r="EH16014"/>
      <c r="EI16014"/>
      <c r="EJ16014"/>
      <c r="EK16014"/>
    </row>
    <row r="16015" spans="1:141" s="116" customFormat="1">
      <c r="A16015" s="136"/>
      <c r="CM16015" s="111"/>
      <c r="CQ16015" s="111"/>
      <c r="EF16015"/>
      <c r="EG16015"/>
      <c r="EH16015"/>
      <c r="EI16015"/>
      <c r="EJ16015"/>
      <c r="EK16015"/>
    </row>
    <row r="16016" spans="1:141" s="116" customFormat="1">
      <c r="A16016" s="136"/>
      <c r="CM16016" s="111"/>
      <c r="CQ16016" s="111"/>
      <c r="EF16016"/>
      <c r="EG16016"/>
      <c r="EH16016"/>
      <c r="EI16016"/>
      <c r="EJ16016"/>
      <c r="EK16016"/>
    </row>
    <row r="16017" spans="1:141" s="116" customFormat="1">
      <c r="A16017" s="136"/>
      <c r="CM16017" s="111"/>
      <c r="CQ16017" s="111"/>
      <c r="EF16017"/>
      <c r="EG16017"/>
      <c r="EH16017"/>
      <c r="EI16017"/>
      <c r="EJ16017"/>
      <c r="EK16017"/>
    </row>
    <row r="16018" spans="1:141" s="116" customFormat="1">
      <c r="A16018" s="136"/>
      <c r="CM16018" s="111"/>
      <c r="CQ16018" s="111"/>
      <c r="EF16018"/>
      <c r="EG16018"/>
      <c r="EH16018"/>
      <c r="EI16018"/>
      <c r="EJ16018"/>
      <c r="EK16018"/>
    </row>
    <row r="16019" spans="1:141" s="116" customFormat="1">
      <c r="A16019" s="136"/>
      <c r="CM16019" s="111"/>
      <c r="CQ16019" s="111"/>
      <c r="EF16019"/>
      <c r="EG16019"/>
      <c r="EH16019"/>
      <c r="EI16019"/>
      <c r="EJ16019"/>
      <c r="EK16019"/>
    </row>
    <row r="16020" spans="1:141" s="116" customFormat="1">
      <c r="A16020" s="136"/>
      <c r="CM16020" s="111"/>
      <c r="CQ16020" s="111"/>
      <c r="EF16020"/>
      <c r="EG16020"/>
      <c r="EH16020"/>
      <c r="EI16020"/>
      <c r="EJ16020"/>
      <c r="EK16020"/>
    </row>
    <row r="16021" spans="1:141" s="116" customFormat="1">
      <c r="A16021" s="136"/>
      <c r="CM16021" s="111"/>
      <c r="CQ16021" s="111"/>
      <c r="EF16021"/>
      <c r="EG16021"/>
      <c r="EH16021"/>
      <c r="EI16021"/>
      <c r="EJ16021"/>
      <c r="EK16021"/>
    </row>
    <row r="16022" spans="1:141" s="116" customFormat="1">
      <c r="A16022" s="136"/>
      <c r="CM16022" s="111"/>
      <c r="CQ16022" s="111"/>
      <c r="EF16022"/>
      <c r="EG16022"/>
      <c r="EH16022"/>
      <c r="EI16022"/>
      <c r="EJ16022"/>
      <c r="EK16022"/>
    </row>
    <row r="16023" spans="1:141" s="116" customFormat="1">
      <c r="A16023" s="136"/>
      <c r="CM16023" s="111"/>
      <c r="CQ16023" s="111"/>
      <c r="EF16023"/>
      <c r="EG16023"/>
      <c r="EH16023"/>
      <c r="EI16023"/>
      <c r="EJ16023"/>
      <c r="EK16023"/>
    </row>
    <row r="16024" spans="1:141" s="116" customFormat="1">
      <c r="A16024" s="136"/>
      <c r="CM16024" s="111"/>
      <c r="CQ16024" s="111"/>
      <c r="EF16024"/>
      <c r="EG16024"/>
      <c r="EH16024"/>
      <c r="EI16024"/>
      <c r="EJ16024"/>
      <c r="EK16024"/>
    </row>
    <row r="16025" spans="1:141" s="116" customFormat="1">
      <c r="A16025" s="136"/>
      <c r="CM16025" s="111"/>
      <c r="CQ16025" s="111"/>
      <c r="EF16025"/>
      <c r="EG16025"/>
      <c r="EH16025"/>
      <c r="EI16025"/>
      <c r="EJ16025"/>
      <c r="EK16025"/>
    </row>
    <row r="16026" spans="1:141" s="116" customFormat="1">
      <c r="A16026" s="136"/>
      <c r="CM16026" s="111"/>
      <c r="CQ16026" s="111"/>
      <c r="EF16026"/>
      <c r="EG16026"/>
      <c r="EH16026"/>
      <c r="EI16026"/>
      <c r="EJ16026"/>
      <c r="EK16026"/>
    </row>
    <row r="16027" spans="1:141" s="116" customFormat="1">
      <c r="A16027" s="136"/>
      <c r="CM16027" s="111"/>
      <c r="CQ16027" s="111"/>
      <c r="EF16027"/>
      <c r="EG16027"/>
      <c r="EH16027"/>
      <c r="EI16027"/>
      <c r="EJ16027"/>
      <c r="EK16027"/>
    </row>
    <row r="16028" spans="1:141" s="116" customFormat="1">
      <c r="A16028" s="136"/>
      <c r="CM16028" s="111"/>
      <c r="CQ16028" s="111"/>
      <c r="EF16028"/>
      <c r="EG16028"/>
      <c r="EH16028"/>
      <c r="EI16028"/>
      <c r="EJ16028"/>
      <c r="EK16028"/>
    </row>
    <row r="16029" spans="1:141" s="116" customFormat="1">
      <c r="A16029" s="136"/>
      <c r="CM16029" s="111"/>
      <c r="CQ16029" s="111"/>
      <c r="EF16029"/>
      <c r="EG16029"/>
      <c r="EH16029"/>
      <c r="EI16029"/>
      <c r="EJ16029"/>
      <c r="EK16029"/>
    </row>
    <row r="16030" spans="1:141" s="116" customFormat="1">
      <c r="A16030" s="136"/>
      <c r="CM16030" s="111"/>
      <c r="CQ16030" s="111"/>
      <c r="EF16030"/>
      <c r="EG16030"/>
      <c r="EH16030"/>
      <c r="EI16030"/>
      <c r="EJ16030"/>
      <c r="EK16030"/>
    </row>
    <row r="16031" spans="1:141" s="116" customFormat="1">
      <c r="A16031" s="136"/>
      <c r="CM16031" s="111"/>
      <c r="CQ16031" s="111"/>
      <c r="EF16031"/>
      <c r="EG16031"/>
      <c r="EH16031"/>
      <c r="EI16031"/>
      <c r="EJ16031"/>
      <c r="EK16031"/>
    </row>
    <row r="16032" spans="1:141" s="116" customFormat="1">
      <c r="A16032" s="136"/>
      <c r="CM16032" s="111"/>
      <c r="CQ16032" s="111"/>
      <c r="EF16032"/>
      <c r="EG16032"/>
      <c r="EH16032"/>
      <c r="EI16032"/>
      <c r="EJ16032"/>
      <c r="EK16032"/>
    </row>
    <row r="16033" spans="1:141" s="116" customFormat="1">
      <c r="A16033" s="136"/>
      <c r="CM16033" s="111"/>
      <c r="CQ16033" s="111"/>
      <c r="EF16033"/>
      <c r="EG16033"/>
      <c r="EH16033"/>
      <c r="EI16033"/>
      <c r="EJ16033"/>
      <c r="EK16033"/>
    </row>
    <row r="16034" spans="1:141" s="116" customFormat="1">
      <c r="A16034" s="136"/>
      <c r="CM16034" s="111"/>
      <c r="CQ16034" s="111"/>
      <c r="EF16034"/>
      <c r="EG16034"/>
      <c r="EH16034"/>
      <c r="EI16034"/>
      <c r="EJ16034"/>
      <c r="EK16034"/>
    </row>
    <row r="16035" spans="1:141" s="116" customFormat="1">
      <c r="A16035" s="136"/>
      <c r="CM16035" s="111"/>
      <c r="CQ16035" s="111"/>
      <c r="EF16035"/>
      <c r="EG16035"/>
      <c r="EH16035"/>
      <c r="EI16035"/>
      <c r="EJ16035"/>
      <c r="EK16035"/>
    </row>
    <row r="16036" spans="1:141" s="116" customFormat="1">
      <c r="A16036" s="136"/>
      <c r="CM16036" s="111"/>
      <c r="CQ16036" s="111"/>
      <c r="EF16036"/>
      <c r="EG16036"/>
      <c r="EH16036"/>
      <c r="EI16036"/>
      <c r="EJ16036"/>
      <c r="EK16036"/>
    </row>
    <row r="16037" spans="1:141" s="116" customFormat="1">
      <c r="A16037" s="136"/>
      <c r="CM16037" s="111"/>
      <c r="CQ16037" s="111"/>
      <c r="EF16037"/>
      <c r="EG16037"/>
      <c r="EH16037"/>
      <c r="EI16037"/>
      <c r="EJ16037"/>
      <c r="EK16037"/>
    </row>
    <row r="16038" spans="1:141" s="116" customFormat="1">
      <c r="A16038" s="136"/>
      <c r="CM16038" s="111"/>
      <c r="CQ16038" s="111"/>
      <c r="EF16038"/>
      <c r="EG16038"/>
      <c r="EH16038"/>
      <c r="EI16038"/>
      <c r="EJ16038"/>
      <c r="EK16038"/>
    </row>
    <row r="16039" spans="1:141" s="116" customFormat="1">
      <c r="A16039" s="136"/>
      <c r="CM16039" s="111"/>
      <c r="CQ16039" s="111"/>
      <c r="EF16039"/>
      <c r="EG16039"/>
      <c r="EH16039"/>
      <c r="EI16039"/>
      <c r="EJ16039"/>
      <c r="EK16039"/>
    </row>
    <row r="16040" spans="1:141" s="116" customFormat="1">
      <c r="A16040" s="136"/>
      <c r="CM16040" s="111"/>
      <c r="CQ16040" s="111"/>
      <c r="EF16040"/>
      <c r="EG16040"/>
      <c r="EH16040"/>
      <c r="EI16040"/>
      <c r="EJ16040"/>
      <c r="EK16040"/>
    </row>
    <row r="16041" spans="1:141" s="116" customFormat="1">
      <c r="A16041" s="136"/>
      <c r="CM16041" s="111"/>
      <c r="CQ16041" s="111"/>
      <c r="EF16041"/>
      <c r="EG16041"/>
      <c r="EH16041"/>
      <c r="EI16041"/>
      <c r="EJ16041"/>
      <c r="EK16041"/>
    </row>
    <row r="16042" spans="1:141" s="116" customFormat="1">
      <c r="A16042" s="136"/>
      <c r="CM16042" s="111"/>
      <c r="CQ16042" s="111"/>
      <c r="EF16042"/>
      <c r="EG16042"/>
      <c r="EH16042"/>
      <c r="EI16042"/>
      <c r="EJ16042"/>
      <c r="EK16042"/>
    </row>
    <row r="16043" spans="1:141" s="116" customFormat="1">
      <c r="A16043" s="136"/>
      <c r="CM16043" s="111"/>
      <c r="CQ16043" s="111"/>
      <c r="EF16043"/>
      <c r="EG16043"/>
      <c r="EH16043"/>
      <c r="EI16043"/>
      <c r="EJ16043"/>
      <c r="EK16043"/>
    </row>
    <row r="16044" spans="1:141" s="116" customFormat="1">
      <c r="A16044" s="136"/>
      <c r="CM16044" s="111"/>
      <c r="CQ16044" s="111"/>
      <c r="EF16044"/>
      <c r="EG16044"/>
      <c r="EH16044"/>
      <c r="EI16044"/>
      <c r="EJ16044"/>
      <c r="EK16044"/>
    </row>
    <row r="16045" spans="1:141" s="116" customFormat="1">
      <c r="A16045" s="136"/>
      <c r="CM16045" s="111"/>
      <c r="CQ16045" s="111"/>
      <c r="EF16045"/>
      <c r="EG16045"/>
      <c r="EH16045"/>
      <c r="EI16045"/>
      <c r="EJ16045"/>
      <c r="EK16045"/>
    </row>
    <row r="16046" spans="1:141" s="116" customFormat="1">
      <c r="A16046" s="136"/>
      <c r="CM16046" s="111"/>
      <c r="CQ16046" s="111"/>
      <c r="EF16046"/>
      <c r="EG16046"/>
      <c r="EH16046"/>
      <c r="EI16046"/>
      <c r="EJ16046"/>
      <c r="EK16046"/>
    </row>
    <row r="16047" spans="1:141" s="116" customFormat="1">
      <c r="A16047" s="136"/>
      <c r="CM16047" s="111"/>
      <c r="CQ16047" s="111"/>
      <c r="EF16047"/>
      <c r="EG16047"/>
      <c r="EH16047"/>
      <c r="EI16047"/>
      <c r="EJ16047"/>
      <c r="EK16047"/>
    </row>
    <row r="16048" spans="1:141" s="116" customFormat="1">
      <c r="A16048" s="136"/>
      <c r="CM16048" s="111"/>
      <c r="CQ16048" s="111"/>
      <c r="EF16048"/>
      <c r="EG16048"/>
      <c r="EH16048"/>
      <c r="EI16048"/>
      <c r="EJ16048"/>
      <c r="EK16048"/>
    </row>
    <row r="16049" spans="1:141" s="116" customFormat="1">
      <c r="A16049" s="136"/>
      <c r="CM16049" s="111"/>
      <c r="CQ16049" s="111"/>
      <c r="EF16049"/>
      <c r="EG16049"/>
      <c r="EH16049"/>
      <c r="EI16049"/>
      <c r="EJ16049"/>
      <c r="EK16049"/>
    </row>
    <row r="16050" spans="1:141" s="116" customFormat="1">
      <c r="A16050" s="136"/>
      <c r="CM16050" s="111"/>
      <c r="CQ16050" s="111"/>
      <c r="EF16050"/>
      <c r="EG16050"/>
      <c r="EH16050"/>
      <c r="EI16050"/>
      <c r="EJ16050"/>
      <c r="EK16050"/>
    </row>
    <row r="16051" spans="1:141" s="116" customFormat="1">
      <c r="A16051" s="136"/>
      <c r="CM16051" s="111"/>
      <c r="CQ16051" s="111"/>
      <c r="EF16051"/>
      <c r="EG16051"/>
      <c r="EH16051"/>
      <c r="EI16051"/>
      <c r="EJ16051"/>
      <c r="EK16051"/>
    </row>
    <row r="16052" spans="1:141" s="116" customFormat="1">
      <c r="A16052" s="136"/>
      <c r="CM16052" s="111"/>
      <c r="CQ16052" s="111"/>
      <c r="EF16052"/>
      <c r="EG16052"/>
      <c r="EH16052"/>
      <c r="EI16052"/>
      <c r="EJ16052"/>
      <c r="EK16052"/>
    </row>
    <row r="16053" spans="1:141" s="116" customFormat="1">
      <c r="A16053" s="136"/>
      <c r="CM16053" s="111"/>
      <c r="CQ16053" s="111"/>
      <c r="EF16053"/>
      <c r="EG16053"/>
      <c r="EH16053"/>
      <c r="EI16053"/>
      <c r="EJ16053"/>
      <c r="EK16053"/>
    </row>
    <row r="16054" spans="1:141" s="116" customFormat="1">
      <c r="A16054" s="136"/>
      <c r="CM16054" s="111"/>
      <c r="CQ16054" s="111"/>
      <c r="EF16054"/>
      <c r="EG16054"/>
      <c r="EH16054"/>
      <c r="EI16054"/>
      <c r="EJ16054"/>
      <c r="EK16054"/>
    </row>
    <row r="16055" spans="1:141" s="116" customFormat="1">
      <c r="A16055" s="136"/>
      <c r="CM16055" s="111"/>
      <c r="CQ16055" s="111"/>
      <c r="EF16055"/>
      <c r="EG16055"/>
      <c r="EH16055"/>
      <c r="EI16055"/>
      <c r="EJ16055"/>
      <c r="EK16055"/>
    </row>
    <row r="16056" spans="1:141" s="116" customFormat="1">
      <c r="A16056" s="136"/>
      <c r="CM16056" s="111"/>
      <c r="CQ16056" s="111"/>
      <c r="EF16056"/>
      <c r="EG16056"/>
      <c r="EH16056"/>
      <c r="EI16056"/>
      <c r="EJ16056"/>
      <c r="EK16056"/>
    </row>
    <row r="16057" spans="1:141" s="116" customFormat="1">
      <c r="A16057" s="136"/>
      <c r="CM16057" s="111"/>
      <c r="CQ16057" s="111"/>
      <c r="EF16057"/>
      <c r="EG16057"/>
      <c r="EH16057"/>
      <c r="EI16057"/>
      <c r="EJ16057"/>
      <c r="EK16057"/>
    </row>
    <row r="16058" spans="1:141" s="116" customFormat="1">
      <c r="A16058" s="136"/>
      <c r="CM16058" s="111"/>
      <c r="CQ16058" s="111"/>
      <c r="EF16058"/>
      <c r="EG16058"/>
      <c r="EH16058"/>
      <c r="EI16058"/>
      <c r="EJ16058"/>
      <c r="EK16058"/>
    </row>
    <row r="16059" spans="1:141" s="116" customFormat="1">
      <c r="A16059" s="136"/>
      <c r="CM16059" s="111"/>
      <c r="CQ16059" s="111"/>
      <c r="EF16059"/>
      <c r="EG16059"/>
      <c r="EH16059"/>
      <c r="EI16059"/>
      <c r="EJ16059"/>
      <c r="EK16059"/>
    </row>
    <row r="16060" spans="1:141" s="116" customFormat="1">
      <c r="A16060" s="136"/>
      <c r="CM16060" s="111"/>
      <c r="CQ16060" s="111"/>
      <c r="EF16060"/>
      <c r="EG16060"/>
      <c r="EH16060"/>
      <c r="EI16060"/>
      <c r="EJ16060"/>
      <c r="EK16060"/>
    </row>
    <row r="16061" spans="1:141" s="116" customFormat="1">
      <c r="A16061" s="136"/>
      <c r="CM16061" s="111"/>
      <c r="CQ16061" s="111"/>
      <c r="EF16061"/>
      <c r="EG16061"/>
      <c r="EH16061"/>
      <c r="EI16061"/>
      <c r="EJ16061"/>
      <c r="EK16061"/>
    </row>
    <row r="16062" spans="1:141" s="116" customFormat="1">
      <c r="A16062" s="136"/>
      <c r="CM16062" s="111"/>
      <c r="CQ16062" s="111"/>
      <c r="EF16062"/>
      <c r="EG16062"/>
      <c r="EH16062"/>
      <c r="EI16062"/>
      <c r="EJ16062"/>
      <c r="EK16062"/>
    </row>
    <row r="16063" spans="1:141" s="116" customFormat="1">
      <c r="A16063" s="136"/>
      <c r="CM16063" s="111"/>
      <c r="CQ16063" s="111"/>
      <c r="EF16063"/>
      <c r="EG16063"/>
      <c r="EH16063"/>
      <c r="EI16063"/>
      <c r="EJ16063"/>
      <c r="EK16063"/>
    </row>
    <row r="16064" spans="1:141" s="116" customFormat="1">
      <c r="A16064" s="136"/>
      <c r="CM16064" s="111"/>
      <c r="CQ16064" s="111"/>
      <c r="EF16064"/>
      <c r="EG16064"/>
      <c r="EH16064"/>
      <c r="EI16064"/>
      <c r="EJ16064"/>
      <c r="EK16064"/>
    </row>
    <row r="16065" spans="1:141" s="116" customFormat="1">
      <c r="A16065" s="136"/>
      <c r="CM16065" s="111"/>
      <c r="CQ16065" s="111"/>
      <c r="EF16065"/>
      <c r="EG16065"/>
      <c r="EH16065"/>
      <c r="EI16065"/>
      <c r="EJ16065"/>
      <c r="EK16065"/>
    </row>
    <row r="16066" spans="1:141" s="116" customFormat="1">
      <c r="A16066" s="136"/>
      <c r="CM16066" s="111"/>
      <c r="CQ16066" s="111"/>
      <c r="EF16066"/>
      <c r="EG16066"/>
      <c r="EH16066"/>
      <c r="EI16066"/>
      <c r="EJ16066"/>
      <c r="EK16066"/>
    </row>
    <row r="16067" spans="1:141" s="116" customFormat="1">
      <c r="A16067" s="136"/>
      <c r="CM16067" s="111"/>
      <c r="CQ16067" s="111"/>
      <c r="EF16067"/>
      <c r="EG16067"/>
      <c r="EH16067"/>
      <c r="EI16067"/>
      <c r="EJ16067"/>
      <c r="EK16067"/>
    </row>
    <row r="16068" spans="1:141" s="116" customFormat="1">
      <c r="A16068" s="136"/>
      <c r="CM16068" s="111"/>
      <c r="CQ16068" s="111"/>
      <c r="EF16068"/>
      <c r="EG16068"/>
      <c r="EH16068"/>
      <c r="EI16068"/>
      <c r="EJ16068"/>
      <c r="EK16068"/>
    </row>
    <row r="16069" spans="1:141" s="116" customFormat="1">
      <c r="A16069" s="136"/>
      <c r="CM16069" s="111"/>
      <c r="CQ16069" s="111"/>
      <c r="EF16069"/>
      <c r="EG16069"/>
      <c r="EH16069"/>
      <c r="EI16069"/>
      <c r="EJ16069"/>
      <c r="EK16069"/>
    </row>
    <row r="16070" spans="1:141" s="116" customFormat="1">
      <c r="A16070" s="136"/>
      <c r="CM16070" s="111"/>
      <c r="CQ16070" s="111"/>
      <c r="EF16070"/>
      <c r="EG16070"/>
      <c r="EH16070"/>
      <c r="EI16070"/>
      <c r="EJ16070"/>
      <c r="EK16070"/>
    </row>
    <row r="16071" spans="1:141" s="116" customFormat="1">
      <c r="A16071" s="136"/>
      <c r="CM16071" s="111"/>
      <c r="CQ16071" s="111"/>
      <c r="EF16071"/>
      <c r="EG16071"/>
      <c r="EH16071"/>
      <c r="EI16071"/>
      <c r="EJ16071"/>
      <c r="EK16071"/>
    </row>
    <row r="16072" spans="1:141" s="116" customFormat="1">
      <c r="A16072" s="136"/>
      <c r="CM16072" s="111"/>
      <c r="CQ16072" s="111"/>
      <c r="EF16072"/>
      <c r="EG16072"/>
      <c r="EH16072"/>
      <c r="EI16072"/>
      <c r="EJ16072"/>
      <c r="EK16072"/>
    </row>
    <row r="16073" spans="1:141" s="116" customFormat="1">
      <c r="A16073" s="136"/>
      <c r="CM16073" s="111"/>
      <c r="CQ16073" s="111"/>
      <c r="EF16073"/>
      <c r="EG16073"/>
      <c r="EH16073"/>
      <c r="EI16073"/>
      <c r="EJ16073"/>
      <c r="EK16073"/>
    </row>
    <row r="16074" spans="1:141" s="116" customFormat="1">
      <c r="A16074" s="136"/>
      <c r="CM16074" s="111"/>
      <c r="CQ16074" s="111"/>
      <c r="EF16074"/>
      <c r="EG16074"/>
      <c r="EH16074"/>
      <c r="EI16074"/>
      <c r="EJ16074"/>
      <c r="EK16074"/>
    </row>
    <row r="16075" spans="1:141" s="116" customFormat="1">
      <c r="A16075" s="136"/>
      <c r="CM16075" s="111"/>
      <c r="CQ16075" s="111"/>
      <c r="EF16075"/>
      <c r="EG16075"/>
      <c r="EH16075"/>
      <c r="EI16075"/>
      <c r="EJ16075"/>
      <c r="EK16075"/>
    </row>
    <row r="16076" spans="1:141" s="116" customFormat="1">
      <c r="A16076" s="136"/>
      <c r="CM16076" s="111"/>
      <c r="CQ16076" s="111"/>
      <c r="EF16076"/>
      <c r="EG16076"/>
      <c r="EH16076"/>
      <c r="EI16076"/>
      <c r="EJ16076"/>
      <c r="EK16076"/>
    </row>
    <row r="16077" spans="1:141" s="116" customFormat="1">
      <c r="A16077" s="136"/>
      <c r="CM16077" s="111"/>
      <c r="CQ16077" s="111"/>
      <c r="EF16077"/>
      <c r="EG16077"/>
      <c r="EH16077"/>
      <c r="EI16077"/>
      <c r="EJ16077"/>
      <c r="EK16077"/>
    </row>
    <row r="16078" spans="1:141" s="116" customFormat="1">
      <c r="A16078" s="136"/>
      <c r="CM16078" s="111"/>
      <c r="CQ16078" s="111"/>
      <c r="EF16078"/>
      <c r="EG16078"/>
      <c r="EH16078"/>
      <c r="EI16078"/>
      <c r="EJ16078"/>
      <c r="EK16078"/>
    </row>
    <row r="16079" spans="1:141" s="116" customFormat="1">
      <c r="A16079" s="136"/>
      <c r="CM16079" s="111"/>
      <c r="CQ16079" s="111"/>
      <c r="EF16079"/>
      <c r="EG16079"/>
      <c r="EH16079"/>
      <c r="EI16079"/>
      <c r="EJ16079"/>
      <c r="EK16079"/>
    </row>
    <row r="16080" spans="1:141" s="116" customFormat="1">
      <c r="A16080" s="136"/>
      <c r="CM16080" s="111"/>
      <c r="CQ16080" s="111"/>
      <c r="EF16080"/>
      <c r="EG16080"/>
      <c r="EH16080"/>
      <c r="EI16080"/>
      <c r="EJ16080"/>
      <c r="EK16080"/>
    </row>
    <row r="16081" spans="1:141" s="116" customFormat="1">
      <c r="A16081" s="136"/>
      <c r="CM16081" s="111"/>
      <c r="CQ16081" s="111"/>
      <c r="EF16081"/>
      <c r="EG16081"/>
      <c r="EH16081"/>
      <c r="EI16081"/>
      <c r="EJ16081"/>
      <c r="EK16081"/>
    </row>
    <row r="16082" spans="1:141" s="116" customFormat="1">
      <c r="A16082" s="136"/>
      <c r="CM16082" s="111"/>
      <c r="CQ16082" s="111"/>
      <c r="EF16082"/>
      <c r="EG16082"/>
      <c r="EH16082"/>
      <c r="EI16082"/>
      <c r="EJ16082"/>
      <c r="EK16082"/>
    </row>
    <row r="16083" spans="1:141" s="116" customFormat="1">
      <c r="A16083" s="136"/>
      <c r="CM16083" s="111"/>
      <c r="CQ16083" s="111"/>
      <c r="EF16083"/>
      <c r="EG16083"/>
      <c r="EH16083"/>
      <c r="EI16083"/>
      <c r="EJ16083"/>
      <c r="EK16083"/>
    </row>
    <row r="16084" spans="1:141" s="116" customFormat="1">
      <c r="A16084" s="136"/>
      <c r="CM16084" s="111"/>
      <c r="CQ16084" s="111"/>
      <c r="EF16084"/>
      <c r="EG16084"/>
      <c r="EH16084"/>
      <c r="EI16084"/>
      <c r="EJ16084"/>
      <c r="EK16084"/>
    </row>
    <row r="16085" spans="1:141" s="116" customFormat="1">
      <c r="A16085" s="136"/>
      <c r="CM16085" s="111"/>
      <c r="CQ16085" s="111"/>
      <c r="EF16085"/>
      <c r="EG16085"/>
      <c r="EH16085"/>
      <c r="EI16085"/>
      <c r="EJ16085"/>
      <c r="EK16085"/>
    </row>
    <row r="16086" spans="1:141" s="116" customFormat="1">
      <c r="A16086" s="136"/>
      <c r="CM16086" s="111"/>
      <c r="CQ16086" s="111"/>
      <c r="EF16086"/>
      <c r="EG16086"/>
      <c r="EH16086"/>
      <c r="EI16086"/>
      <c r="EJ16086"/>
      <c r="EK16086"/>
    </row>
    <row r="16087" spans="1:141" s="116" customFormat="1">
      <c r="A16087" s="136"/>
      <c r="CM16087" s="111"/>
      <c r="CQ16087" s="111"/>
      <c r="EF16087"/>
      <c r="EG16087"/>
      <c r="EH16087"/>
      <c r="EI16087"/>
      <c r="EJ16087"/>
      <c r="EK16087"/>
    </row>
    <row r="16088" spans="1:141" s="116" customFormat="1">
      <c r="A16088" s="136"/>
      <c r="CM16088" s="111"/>
      <c r="CQ16088" s="111"/>
      <c r="EF16088"/>
      <c r="EG16088"/>
      <c r="EH16088"/>
      <c r="EI16088"/>
      <c r="EJ16088"/>
      <c r="EK16088"/>
    </row>
    <row r="16089" spans="1:141" s="116" customFormat="1">
      <c r="A16089" s="136"/>
      <c r="CM16089" s="111"/>
      <c r="CQ16089" s="111"/>
      <c r="EF16089"/>
      <c r="EG16089"/>
      <c r="EH16089"/>
      <c r="EI16089"/>
      <c r="EJ16089"/>
      <c r="EK16089"/>
    </row>
    <row r="16090" spans="1:141" s="116" customFormat="1">
      <c r="A16090" s="136"/>
      <c r="CM16090" s="111"/>
      <c r="CQ16090" s="111"/>
      <c r="EF16090"/>
      <c r="EG16090"/>
      <c r="EH16090"/>
      <c r="EI16090"/>
      <c r="EJ16090"/>
      <c r="EK16090"/>
    </row>
    <row r="16091" spans="1:141" s="116" customFormat="1">
      <c r="A16091" s="136"/>
      <c r="CM16091" s="111"/>
      <c r="CQ16091" s="111"/>
      <c r="EF16091"/>
      <c r="EG16091"/>
      <c r="EH16091"/>
      <c r="EI16091"/>
      <c r="EJ16091"/>
      <c r="EK16091"/>
    </row>
    <row r="16092" spans="1:141" s="116" customFormat="1">
      <c r="A16092" s="136"/>
      <c r="CM16092" s="111"/>
      <c r="CQ16092" s="111"/>
      <c r="EF16092"/>
      <c r="EG16092"/>
      <c r="EH16092"/>
      <c r="EI16092"/>
      <c r="EJ16092"/>
      <c r="EK16092"/>
    </row>
    <row r="16093" spans="1:141" s="116" customFormat="1">
      <c r="A16093" s="136"/>
      <c r="CM16093" s="111"/>
      <c r="CQ16093" s="111"/>
      <c r="EF16093"/>
      <c r="EG16093"/>
      <c r="EH16093"/>
      <c r="EI16093"/>
      <c r="EJ16093"/>
      <c r="EK16093"/>
    </row>
    <row r="16094" spans="1:141" s="116" customFormat="1">
      <c r="A16094" s="136"/>
      <c r="CM16094" s="111"/>
      <c r="CQ16094" s="111"/>
      <c r="EF16094"/>
      <c r="EG16094"/>
      <c r="EH16094"/>
      <c r="EI16094"/>
      <c r="EJ16094"/>
      <c r="EK16094"/>
    </row>
    <row r="16095" spans="1:141" s="116" customFormat="1">
      <c r="A16095" s="136"/>
      <c r="CM16095" s="111"/>
      <c r="CQ16095" s="111"/>
      <c r="EF16095"/>
      <c r="EG16095"/>
      <c r="EH16095"/>
      <c r="EI16095"/>
      <c r="EJ16095"/>
      <c r="EK16095"/>
    </row>
    <row r="16096" spans="1:141" s="116" customFormat="1">
      <c r="A16096" s="136"/>
      <c r="CM16096" s="111"/>
      <c r="CQ16096" s="111"/>
      <c r="EF16096"/>
      <c r="EG16096"/>
      <c r="EH16096"/>
      <c r="EI16096"/>
      <c r="EJ16096"/>
      <c r="EK16096"/>
    </row>
    <row r="16097" spans="1:141" s="116" customFormat="1">
      <c r="A16097" s="136"/>
      <c r="CM16097" s="111"/>
      <c r="CQ16097" s="111"/>
      <c r="EF16097"/>
      <c r="EG16097"/>
      <c r="EH16097"/>
      <c r="EI16097"/>
      <c r="EJ16097"/>
      <c r="EK16097"/>
    </row>
    <row r="16098" spans="1:141" s="116" customFormat="1">
      <c r="A16098" s="136"/>
      <c r="CM16098" s="111"/>
      <c r="CQ16098" s="111"/>
      <c r="EF16098"/>
      <c r="EG16098"/>
      <c r="EH16098"/>
      <c r="EI16098"/>
      <c r="EJ16098"/>
      <c r="EK16098"/>
    </row>
    <row r="16099" spans="1:141" s="116" customFormat="1">
      <c r="A16099" s="136"/>
      <c r="CM16099" s="111"/>
      <c r="CQ16099" s="111"/>
      <c r="EF16099"/>
      <c r="EG16099"/>
      <c r="EH16099"/>
      <c r="EI16099"/>
      <c r="EJ16099"/>
      <c r="EK16099"/>
    </row>
    <row r="16100" spans="1:141" s="116" customFormat="1">
      <c r="A16100" s="136"/>
      <c r="CM16100" s="111"/>
      <c r="CQ16100" s="111"/>
      <c r="EF16100"/>
      <c r="EG16100"/>
      <c r="EH16100"/>
      <c r="EI16100"/>
      <c r="EJ16100"/>
      <c r="EK16100"/>
    </row>
    <row r="16101" spans="1:141" s="116" customFormat="1">
      <c r="A16101" s="136"/>
      <c r="CM16101" s="111"/>
      <c r="CQ16101" s="111"/>
      <c r="EF16101"/>
      <c r="EG16101"/>
      <c r="EH16101"/>
      <c r="EI16101"/>
      <c r="EJ16101"/>
      <c r="EK16101"/>
    </row>
    <row r="16102" spans="1:141" s="116" customFormat="1">
      <c r="A16102" s="136"/>
      <c r="CM16102" s="111"/>
      <c r="CQ16102" s="111"/>
      <c r="EF16102"/>
      <c r="EG16102"/>
      <c r="EH16102"/>
      <c r="EI16102"/>
      <c r="EJ16102"/>
      <c r="EK16102"/>
    </row>
    <row r="16103" spans="1:141" s="116" customFormat="1">
      <c r="A16103" s="136"/>
      <c r="CM16103" s="111"/>
      <c r="CQ16103" s="111"/>
      <c r="EF16103"/>
      <c r="EG16103"/>
      <c r="EH16103"/>
      <c r="EI16103"/>
      <c r="EJ16103"/>
      <c r="EK16103"/>
    </row>
    <row r="16104" spans="1:141" s="116" customFormat="1">
      <c r="A16104" s="136"/>
      <c r="CM16104" s="111"/>
      <c r="CQ16104" s="111"/>
      <c r="EF16104"/>
      <c r="EG16104"/>
      <c r="EH16104"/>
      <c r="EI16104"/>
      <c r="EJ16104"/>
      <c r="EK16104"/>
    </row>
    <row r="16105" spans="1:141" s="116" customFormat="1">
      <c r="A16105" s="136"/>
      <c r="CM16105" s="111"/>
      <c r="CQ16105" s="111"/>
      <c r="EF16105"/>
      <c r="EG16105"/>
      <c r="EH16105"/>
      <c r="EI16105"/>
      <c r="EJ16105"/>
      <c r="EK16105"/>
    </row>
    <row r="16106" spans="1:141" s="116" customFormat="1">
      <c r="A16106" s="136"/>
      <c r="CM16106" s="111"/>
      <c r="CQ16106" s="111"/>
      <c r="EF16106"/>
      <c r="EG16106"/>
      <c r="EH16106"/>
      <c r="EI16106"/>
      <c r="EJ16106"/>
      <c r="EK16106"/>
    </row>
    <row r="16107" spans="1:141" s="116" customFormat="1">
      <c r="A16107" s="136"/>
      <c r="CM16107" s="111"/>
      <c r="CQ16107" s="111"/>
      <c r="EF16107"/>
      <c r="EG16107"/>
      <c r="EH16107"/>
      <c r="EI16107"/>
      <c r="EJ16107"/>
      <c r="EK16107"/>
    </row>
    <row r="16108" spans="1:141" s="116" customFormat="1">
      <c r="A16108" s="136"/>
      <c r="CM16108" s="111"/>
      <c r="CQ16108" s="111"/>
      <c r="EF16108"/>
      <c r="EG16108"/>
      <c r="EH16108"/>
      <c r="EI16108"/>
      <c r="EJ16108"/>
      <c r="EK16108"/>
    </row>
    <row r="16109" spans="1:141" s="116" customFormat="1">
      <c r="A16109" s="136"/>
      <c r="CM16109" s="111"/>
      <c r="CQ16109" s="111"/>
      <c r="EF16109"/>
      <c r="EG16109"/>
      <c r="EH16109"/>
      <c r="EI16109"/>
      <c r="EJ16109"/>
      <c r="EK16109"/>
    </row>
    <row r="16110" spans="1:141" s="116" customFormat="1">
      <c r="A16110" s="136"/>
      <c r="CM16110" s="111"/>
      <c r="CQ16110" s="111"/>
      <c r="EF16110"/>
      <c r="EG16110"/>
      <c r="EH16110"/>
      <c r="EI16110"/>
      <c r="EJ16110"/>
      <c r="EK16110"/>
    </row>
    <row r="16111" spans="1:141" s="116" customFormat="1">
      <c r="A16111" s="136"/>
      <c r="CM16111" s="111"/>
      <c r="CQ16111" s="111"/>
      <c r="EF16111"/>
      <c r="EG16111"/>
      <c r="EH16111"/>
      <c r="EI16111"/>
      <c r="EJ16111"/>
      <c r="EK16111"/>
    </row>
    <row r="16112" spans="1:141" s="116" customFormat="1">
      <c r="A16112" s="136"/>
      <c r="CM16112" s="111"/>
      <c r="CQ16112" s="111"/>
      <c r="EF16112"/>
      <c r="EG16112"/>
      <c r="EH16112"/>
      <c r="EI16112"/>
      <c r="EJ16112"/>
      <c r="EK16112"/>
    </row>
    <row r="16113" spans="1:141" s="116" customFormat="1">
      <c r="A16113" s="136"/>
      <c r="CM16113" s="111"/>
      <c r="CQ16113" s="111"/>
      <c r="EF16113"/>
      <c r="EG16113"/>
      <c r="EH16113"/>
      <c r="EI16113"/>
      <c r="EJ16113"/>
      <c r="EK16113"/>
    </row>
    <row r="16114" spans="1:141" s="116" customFormat="1">
      <c r="A16114" s="136"/>
      <c r="CM16114" s="111"/>
      <c r="CQ16114" s="111"/>
      <c r="EF16114"/>
      <c r="EG16114"/>
      <c r="EH16114"/>
      <c r="EI16114"/>
      <c r="EJ16114"/>
      <c r="EK16114"/>
    </row>
    <row r="16115" spans="1:141" s="116" customFormat="1">
      <c r="A16115" s="136"/>
      <c r="CM16115" s="111"/>
      <c r="CQ16115" s="111"/>
      <c r="EF16115"/>
      <c r="EG16115"/>
      <c r="EH16115"/>
      <c r="EI16115"/>
      <c r="EJ16115"/>
      <c r="EK16115"/>
    </row>
    <row r="16116" spans="1:141" s="116" customFormat="1">
      <c r="A16116" s="136"/>
      <c r="CM16116" s="111"/>
      <c r="CQ16116" s="111"/>
      <c r="EF16116"/>
      <c r="EG16116"/>
      <c r="EH16116"/>
      <c r="EI16116"/>
      <c r="EJ16116"/>
      <c r="EK16116"/>
    </row>
    <row r="16117" spans="1:141" s="116" customFormat="1">
      <c r="A16117" s="136"/>
      <c r="CM16117" s="111"/>
      <c r="CQ16117" s="111"/>
      <c r="EF16117"/>
      <c r="EG16117"/>
      <c r="EH16117"/>
      <c r="EI16117"/>
      <c r="EJ16117"/>
      <c r="EK16117"/>
    </row>
    <row r="16118" spans="1:141" s="116" customFormat="1">
      <c r="A16118" s="136"/>
      <c r="CM16118" s="111"/>
      <c r="CQ16118" s="111"/>
      <c r="EF16118"/>
      <c r="EG16118"/>
      <c r="EH16118"/>
      <c r="EI16118"/>
      <c r="EJ16118"/>
      <c r="EK16118"/>
    </row>
    <row r="16119" spans="1:141" s="116" customFormat="1">
      <c r="A16119" s="136"/>
      <c r="CM16119" s="111"/>
      <c r="CQ16119" s="111"/>
      <c r="EF16119"/>
      <c r="EG16119"/>
      <c r="EH16119"/>
      <c r="EI16119"/>
      <c r="EJ16119"/>
      <c r="EK16119"/>
    </row>
    <row r="16120" spans="1:141" s="116" customFormat="1">
      <c r="A16120" s="136"/>
      <c r="CM16120" s="111"/>
      <c r="CQ16120" s="111"/>
      <c r="EF16120"/>
      <c r="EG16120"/>
      <c r="EH16120"/>
      <c r="EI16120"/>
      <c r="EJ16120"/>
      <c r="EK16120"/>
    </row>
    <row r="16121" spans="1:141" s="116" customFormat="1">
      <c r="A16121" s="136"/>
      <c r="CM16121" s="111"/>
      <c r="CQ16121" s="111"/>
      <c r="EF16121"/>
      <c r="EG16121"/>
      <c r="EH16121"/>
      <c r="EI16121"/>
      <c r="EJ16121"/>
      <c r="EK16121"/>
    </row>
    <row r="16122" spans="1:141" s="116" customFormat="1">
      <c r="A16122" s="136"/>
      <c r="CM16122" s="111"/>
      <c r="CQ16122" s="111"/>
      <c r="EF16122"/>
      <c r="EG16122"/>
      <c r="EH16122"/>
      <c r="EI16122"/>
      <c r="EJ16122"/>
      <c r="EK16122"/>
    </row>
    <row r="16123" spans="1:141" s="116" customFormat="1">
      <c r="A16123" s="136"/>
      <c r="CM16123" s="111"/>
      <c r="CQ16123" s="111"/>
      <c r="EF16123"/>
      <c r="EG16123"/>
      <c r="EH16123"/>
      <c r="EI16123"/>
      <c r="EJ16123"/>
      <c r="EK16123"/>
    </row>
    <row r="16124" spans="1:141" s="116" customFormat="1">
      <c r="A16124" s="136"/>
      <c r="CM16124" s="111"/>
      <c r="CQ16124" s="111"/>
      <c r="EF16124"/>
      <c r="EG16124"/>
      <c r="EH16124"/>
      <c r="EI16124"/>
      <c r="EJ16124"/>
      <c r="EK16124"/>
    </row>
    <row r="16125" spans="1:141" s="116" customFormat="1">
      <c r="A16125" s="136"/>
      <c r="CM16125" s="111"/>
      <c r="CQ16125" s="111"/>
      <c r="EF16125"/>
      <c r="EG16125"/>
      <c r="EH16125"/>
      <c r="EI16125"/>
      <c r="EJ16125"/>
      <c r="EK16125"/>
    </row>
    <row r="16126" spans="1:141" s="116" customFormat="1">
      <c r="A16126" s="136"/>
      <c r="CM16126" s="111"/>
      <c r="CQ16126" s="111"/>
      <c r="EF16126"/>
      <c r="EG16126"/>
      <c r="EH16126"/>
      <c r="EI16126"/>
      <c r="EJ16126"/>
      <c r="EK16126"/>
    </row>
    <row r="16127" spans="1:141" s="116" customFormat="1">
      <c r="A16127" s="136"/>
      <c r="CM16127" s="111"/>
      <c r="CQ16127" s="111"/>
      <c r="EF16127"/>
      <c r="EG16127"/>
      <c r="EH16127"/>
      <c r="EI16127"/>
      <c r="EJ16127"/>
      <c r="EK16127"/>
    </row>
    <row r="16128" spans="1:141" s="116" customFormat="1">
      <c r="A16128" s="136"/>
      <c r="CM16128" s="111"/>
      <c r="CQ16128" s="111"/>
      <c r="EF16128"/>
      <c r="EG16128"/>
      <c r="EH16128"/>
      <c r="EI16128"/>
      <c r="EJ16128"/>
      <c r="EK16128"/>
    </row>
    <row r="16129" spans="1:141" s="116" customFormat="1">
      <c r="A16129" s="136"/>
      <c r="CM16129" s="111"/>
      <c r="CQ16129" s="111"/>
      <c r="EF16129"/>
      <c r="EG16129"/>
      <c r="EH16129"/>
      <c r="EI16129"/>
      <c r="EJ16129"/>
      <c r="EK16129"/>
    </row>
    <row r="16130" spans="1:141" s="116" customFormat="1">
      <c r="A16130" s="136"/>
      <c r="CM16130" s="111"/>
      <c r="CQ16130" s="111"/>
      <c r="EF16130"/>
      <c r="EG16130"/>
      <c r="EH16130"/>
      <c r="EI16130"/>
      <c r="EJ16130"/>
      <c r="EK16130"/>
    </row>
    <row r="16131" spans="1:141" s="116" customFormat="1">
      <c r="A16131" s="136"/>
      <c r="CM16131" s="111"/>
      <c r="CQ16131" s="111"/>
      <c r="EF16131"/>
      <c r="EG16131"/>
      <c r="EH16131"/>
      <c r="EI16131"/>
      <c r="EJ16131"/>
      <c r="EK16131"/>
    </row>
    <row r="16132" spans="1:141" s="116" customFormat="1">
      <c r="A16132" s="136"/>
      <c r="CM16132" s="111"/>
      <c r="CQ16132" s="111"/>
      <c r="EF16132"/>
      <c r="EG16132"/>
      <c r="EH16132"/>
      <c r="EI16132"/>
      <c r="EJ16132"/>
      <c r="EK16132"/>
    </row>
    <row r="16133" spans="1:141" s="116" customFormat="1">
      <c r="A16133" s="136"/>
      <c r="CM16133" s="111"/>
      <c r="CQ16133" s="111"/>
      <c r="EF16133"/>
      <c r="EG16133"/>
      <c r="EH16133"/>
      <c r="EI16133"/>
      <c r="EJ16133"/>
      <c r="EK16133"/>
    </row>
    <row r="16134" spans="1:141" s="116" customFormat="1">
      <c r="A16134" s="136"/>
      <c r="CM16134" s="111"/>
      <c r="CQ16134" s="111"/>
      <c r="EF16134"/>
      <c r="EG16134"/>
      <c r="EH16134"/>
      <c r="EI16134"/>
      <c r="EJ16134"/>
      <c r="EK16134"/>
    </row>
    <row r="16135" spans="1:141" s="116" customFormat="1">
      <c r="A16135" s="136"/>
      <c r="CM16135" s="111"/>
      <c r="CQ16135" s="111"/>
      <c r="EF16135"/>
      <c r="EG16135"/>
      <c r="EH16135"/>
      <c r="EI16135"/>
      <c r="EJ16135"/>
      <c r="EK16135"/>
    </row>
    <row r="16136" spans="1:141" s="116" customFormat="1">
      <c r="A16136" s="136"/>
      <c r="CM16136" s="111"/>
      <c r="CQ16136" s="111"/>
      <c r="EF16136"/>
      <c r="EG16136"/>
      <c r="EH16136"/>
      <c r="EI16136"/>
      <c r="EJ16136"/>
      <c r="EK16136"/>
    </row>
    <row r="16137" spans="1:141" s="116" customFormat="1">
      <c r="A16137" s="136"/>
      <c r="CM16137" s="111"/>
      <c r="CQ16137" s="111"/>
      <c r="EF16137"/>
      <c r="EG16137"/>
      <c r="EH16137"/>
      <c r="EI16137"/>
      <c r="EJ16137"/>
      <c r="EK16137"/>
    </row>
    <row r="16138" spans="1:141" s="116" customFormat="1">
      <c r="A16138" s="136"/>
      <c r="CM16138" s="111"/>
      <c r="CQ16138" s="111"/>
      <c r="EF16138"/>
      <c r="EG16138"/>
      <c r="EH16138"/>
      <c r="EI16138"/>
      <c r="EJ16138"/>
      <c r="EK16138"/>
    </row>
    <row r="16139" spans="1:141" s="116" customFormat="1">
      <c r="A16139" s="136"/>
      <c r="CM16139" s="111"/>
      <c r="CQ16139" s="111"/>
      <c r="EF16139"/>
      <c r="EG16139"/>
      <c r="EH16139"/>
      <c r="EI16139"/>
      <c r="EJ16139"/>
      <c r="EK16139"/>
    </row>
    <row r="16140" spans="1:141" s="116" customFormat="1">
      <c r="A16140" s="136"/>
      <c r="CM16140" s="111"/>
      <c r="CQ16140" s="111"/>
      <c r="EF16140"/>
      <c r="EG16140"/>
      <c r="EH16140"/>
      <c r="EI16140"/>
      <c r="EJ16140"/>
      <c r="EK16140"/>
    </row>
    <row r="16141" spans="1:141" s="116" customFormat="1">
      <c r="A16141" s="136"/>
      <c r="CM16141" s="111"/>
      <c r="CQ16141" s="111"/>
      <c r="EF16141"/>
      <c r="EG16141"/>
      <c r="EH16141"/>
      <c r="EI16141"/>
      <c r="EJ16141"/>
      <c r="EK16141"/>
    </row>
    <row r="16142" spans="1:141" s="116" customFormat="1">
      <c r="A16142" s="136"/>
      <c r="CM16142" s="111"/>
      <c r="CQ16142" s="111"/>
      <c r="EF16142"/>
      <c r="EG16142"/>
      <c r="EH16142"/>
      <c r="EI16142"/>
      <c r="EJ16142"/>
      <c r="EK16142"/>
    </row>
    <row r="16143" spans="1:141" s="116" customFormat="1">
      <c r="A16143" s="136"/>
      <c r="CM16143" s="111"/>
      <c r="CQ16143" s="111"/>
      <c r="EF16143"/>
      <c r="EG16143"/>
      <c r="EH16143"/>
      <c r="EI16143"/>
      <c r="EJ16143"/>
      <c r="EK16143"/>
    </row>
    <row r="16144" spans="1:141" s="116" customFormat="1">
      <c r="A16144" s="136"/>
      <c r="CM16144" s="111"/>
      <c r="CQ16144" s="111"/>
      <c r="EF16144"/>
      <c r="EG16144"/>
      <c r="EH16144"/>
      <c r="EI16144"/>
      <c r="EJ16144"/>
      <c r="EK16144"/>
    </row>
    <row r="16145" spans="1:141" s="116" customFormat="1">
      <c r="A16145" s="136"/>
      <c r="CM16145" s="111"/>
      <c r="CQ16145" s="111"/>
      <c r="EF16145"/>
      <c r="EG16145"/>
      <c r="EH16145"/>
      <c r="EI16145"/>
      <c r="EJ16145"/>
      <c r="EK16145"/>
    </row>
    <row r="16146" spans="1:141" s="116" customFormat="1">
      <c r="A16146" s="136"/>
      <c r="CM16146" s="111"/>
      <c r="CQ16146" s="111"/>
      <c r="EF16146"/>
      <c r="EG16146"/>
      <c r="EH16146"/>
      <c r="EI16146"/>
      <c r="EJ16146"/>
      <c r="EK16146"/>
    </row>
    <row r="16147" spans="1:141" s="116" customFormat="1">
      <c r="A16147" s="136"/>
      <c r="CM16147" s="111"/>
      <c r="CQ16147" s="111"/>
      <c r="EF16147"/>
      <c r="EG16147"/>
      <c r="EH16147"/>
      <c r="EI16147"/>
      <c r="EJ16147"/>
      <c r="EK16147"/>
    </row>
    <row r="16148" spans="1:141" s="116" customFormat="1">
      <c r="A16148" s="136"/>
      <c r="CM16148" s="111"/>
      <c r="CQ16148" s="111"/>
      <c r="EF16148"/>
      <c r="EG16148"/>
      <c r="EH16148"/>
      <c r="EI16148"/>
      <c r="EJ16148"/>
      <c r="EK16148"/>
    </row>
    <row r="16149" spans="1:141" s="116" customFormat="1">
      <c r="A16149" s="136"/>
      <c r="CM16149" s="111"/>
      <c r="CQ16149" s="111"/>
      <c r="EF16149"/>
      <c r="EG16149"/>
      <c r="EH16149"/>
      <c r="EI16149"/>
      <c r="EJ16149"/>
      <c r="EK16149"/>
    </row>
    <row r="16150" spans="1:141" s="116" customFormat="1">
      <c r="A16150" s="136"/>
      <c r="CM16150" s="111"/>
      <c r="CQ16150" s="111"/>
      <c r="EF16150"/>
      <c r="EG16150"/>
      <c r="EH16150"/>
      <c r="EI16150"/>
      <c r="EJ16150"/>
      <c r="EK16150"/>
    </row>
    <row r="16151" spans="1:141" s="116" customFormat="1">
      <c r="A16151" s="136"/>
      <c r="CM16151" s="111"/>
      <c r="CQ16151" s="111"/>
      <c r="EF16151"/>
      <c r="EG16151"/>
      <c r="EH16151"/>
      <c r="EI16151"/>
      <c r="EJ16151"/>
      <c r="EK16151"/>
    </row>
    <row r="16152" spans="1:141" s="116" customFormat="1">
      <c r="A16152" s="136"/>
      <c r="CM16152" s="111"/>
      <c r="CQ16152" s="111"/>
      <c r="EF16152"/>
      <c r="EG16152"/>
      <c r="EH16152"/>
      <c r="EI16152"/>
      <c r="EJ16152"/>
      <c r="EK16152"/>
    </row>
    <row r="16153" spans="1:141" s="116" customFormat="1">
      <c r="A16153" s="136"/>
      <c r="CM16153" s="111"/>
      <c r="CQ16153" s="111"/>
      <c r="EF16153"/>
      <c r="EG16153"/>
      <c r="EH16153"/>
      <c r="EI16153"/>
      <c r="EJ16153"/>
      <c r="EK16153"/>
    </row>
    <row r="16154" spans="1:141" s="116" customFormat="1">
      <c r="A16154" s="136"/>
      <c r="CM16154" s="111"/>
      <c r="CQ16154" s="111"/>
      <c r="EF16154"/>
      <c r="EG16154"/>
      <c r="EH16154"/>
      <c r="EI16154"/>
      <c r="EJ16154"/>
      <c r="EK16154"/>
    </row>
    <row r="16155" spans="1:141" s="116" customFormat="1">
      <c r="A16155" s="136"/>
      <c r="CM16155" s="111"/>
      <c r="CQ16155" s="111"/>
      <c r="EF16155"/>
      <c r="EG16155"/>
      <c r="EH16155"/>
      <c r="EI16155"/>
      <c r="EJ16155"/>
      <c r="EK16155"/>
    </row>
    <row r="16156" spans="1:141" s="116" customFormat="1">
      <c r="A16156" s="136"/>
      <c r="CM16156" s="111"/>
      <c r="CQ16156" s="111"/>
      <c r="EF16156"/>
      <c r="EG16156"/>
      <c r="EH16156"/>
      <c r="EI16156"/>
      <c r="EJ16156"/>
      <c r="EK16156"/>
    </row>
    <row r="16157" spans="1:141" s="116" customFormat="1">
      <c r="A16157" s="136"/>
      <c r="CM16157" s="111"/>
      <c r="CQ16157" s="111"/>
      <c r="EF16157"/>
      <c r="EG16157"/>
      <c r="EH16157"/>
      <c r="EI16157"/>
      <c r="EJ16157"/>
      <c r="EK16157"/>
    </row>
    <row r="16158" spans="1:141" s="116" customFormat="1">
      <c r="A16158" s="136"/>
      <c r="CM16158" s="111"/>
      <c r="CQ16158" s="111"/>
      <c r="EF16158"/>
      <c r="EG16158"/>
      <c r="EH16158"/>
      <c r="EI16158"/>
      <c r="EJ16158"/>
      <c r="EK16158"/>
    </row>
    <row r="16159" spans="1:141" s="116" customFormat="1">
      <c r="A16159" s="136"/>
      <c r="CM16159" s="111"/>
      <c r="CQ16159" s="111"/>
      <c r="EF16159"/>
      <c r="EG16159"/>
      <c r="EH16159"/>
      <c r="EI16159"/>
      <c r="EJ16159"/>
      <c r="EK16159"/>
    </row>
    <row r="16160" spans="1:141" s="116" customFormat="1">
      <c r="A16160" s="136"/>
      <c r="CM16160" s="111"/>
      <c r="CQ16160" s="111"/>
      <c r="EF16160"/>
      <c r="EG16160"/>
      <c r="EH16160"/>
      <c r="EI16160"/>
      <c r="EJ16160"/>
      <c r="EK16160"/>
    </row>
    <row r="16161" spans="1:141" s="116" customFormat="1">
      <c r="A16161" s="136"/>
      <c r="CM16161" s="111"/>
      <c r="CQ16161" s="111"/>
      <c r="EF16161"/>
      <c r="EG16161"/>
      <c r="EH16161"/>
      <c r="EI16161"/>
      <c r="EJ16161"/>
      <c r="EK16161"/>
    </row>
    <row r="16162" spans="1:141" s="116" customFormat="1">
      <c r="A16162" s="136"/>
      <c r="CM16162" s="111"/>
      <c r="CQ16162" s="111"/>
      <c r="EF16162"/>
      <c r="EG16162"/>
      <c r="EH16162"/>
      <c r="EI16162"/>
      <c r="EJ16162"/>
      <c r="EK16162"/>
    </row>
    <row r="16163" spans="1:141" s="116" customFormat="1">
      <c r="A16163" s="136"/>
      <c r="CM16163" s="111"/>
      <c r="CQ16163" s="111"/>
      <c r="EF16163"/>
      <c r="EG16163"/>
      <c r="EH16163"/>
      <c r="EI16163"/>
      <c r="EJ16163"/>
      <c r="EK16163"/>
    </row>
    <row r="16164" spans="1:141" s="116" customFormat="1">
      <c r="A16164" s="136"/>
      <c r="CM16164" s="111"/>
      <c r="CQ16164" s="111"/>
      <c r="EF16164"/>
      <c r="EG16164"/>
      <c r="EH16164"/>
      <c r="EI16164"/>
      <c r="EJ16164"/>
      <c r="EK16164"/>
    </row>
    <row r="16165" spans="1:141" s="116" customFormat="1">
      <c r="A16165" s="136"/>
      <c r="CM16165" s="111"/>
      <c r="CQ16165" s="111"/>
      <c r="EF16165"/>
      <c r="EG16165"/>
      <c r="EH16165"/>
      <c r="EI16165"/>
      <c r="EJ16165"/>
      <c r="EK16165"/>
    </row>
    <row r="16166" spans="1:141" s="116" customFormat="1">
      <c r="A16166" s="136"/>
      <c r="CM16166" s="111"/>
      <c r="CQ16166" s="111"/>
      <c r="EF16166"/>
      <c r="EG16166"/>
      <c r="EH16166"/>
      <c r="EI16166"/>
      <c r="EJ16166"/>
      <c r="EK16166"/>
    </row>
    <row r="16167" spans="1:141" s="116" customFormat="1">
      <c r="A16167" s="136"/>
      <c r="CM16167" s="111"/>
      <c r="CQ16167" s="111"/>
      <c r="EF16167"/>
      <c r="EG16167"/>
      <c r="EH16167"/>
      <c r="EI16167"/>
      <c r="EJ16167"/>
      <c r="EK16167"/>
    </row>
    <row r="16168" spans="1:141" s="116" customFormat="1">
      <c r="A16168" s="136"/>
      <c r="CM16168" s="111"/>
      <c r="CQ16168" s="111"/>
      <c r="EF16168"/>
      <c r="EG16168"/>
      <c r="EH16168"/>
      <c r="EI16168"/>
      <c r="EJ16168"/>
      <c r="EK16168"/>
    </row>
    <row r="16169" spans="1:141" s="116" customFormat="1">
      <c r="A16169" s="136"/>
      <c r="CM16169" s="111"/>
      <c r="CQ16169" s="111"/>
      <c r="EF16169"/>
      <c r="EG16169"/>
      <c r="EH16169"/>
      <c r="EI16169"/>
      <c r="EJ16169"/>
      <c r="EK16169"/>
    </row>
    <row r="16170" spans="1:141" s="116" customFormat="1">
      <c r="A16170" s="136"/>
      <c r="CM16170" s="111"/>
      <c r="CQ16170" s="111"/>
      <c r="EF16170"/>
      <c r="EG16170"/>
      <c r="EH16170"/>
      <c r="EI16170"/>
      <c r="EJ16170"/>
      <c r="EK16170"/>
    </row>
    <row r="16171" spans="1:141" s="116" customFormat="1">
      <c r="A16171" s="136"/>
      <c r="CM16171" s="111"/>
      <c r="CQ16171" s="111"/>
      <c r="EF16171"/>
      <c r="EG16171"/>
      <c r="EH16171"/>
      <c r="EI16171"/>
      <c r="EJ16171"/>
      <c r="EK16171"/>
    </row>
    <row r="16172" spans="1:141" s="116" customFormat="1">
      <c r="A16172" s="136"/>
      <c r="CM16172" s="111"/>
      <c r="CQ16172" s="111"/>
      <c r="EF16172"/>
      <c r="EG16172"/>
      <c r="EH16172"/>
      <c r="EI16172"/>
      <c r="EJ16172"/>
      <c r="EK16172"/>
    </row>
    <row r="16173" spans="1:141" s="116" customFormat="1">
      <c r="A16173" s="136"/>
      <c r="CM16173" s="111"/>
      <c r="CQ16173" s="111"/>
      <c r="EF16173"/>
      <c r="EG16173"/>
      <c r="EH16173"/>
      <c r="EI16173"/>
      <c r="EJ16173"/>
      <c r="EK16173"/>
    </row>
    <row r="16174" spans="1:141" s="116" customFormat="1">
      <c r="A16174" s="136"/>
      <c r="CM16174" s="111"/>
      <c r="CQ16174" s="111"/>
      <c r="EF16174"/>
      <c r="EG16174"/>
      <c r="EH16174"/>
      <c r="EI16174"/>
      <c r="EJ16174"/>
      <c r="EK16174"/>
    </row>
    <row r="16175" spans="1:141" s="116" customFormat="1">
      <c r="A16175" s="136"/>
      <c r="CM16175" s="111"/>
      <c r="CQ16175" s="111"/>
      <c r="EF16175"/>
      <c r="EG16175"/>
      <c r="EH16175"/>
      <c r="EI16175"/>
      <c r="EJ16175"/>
      <c r="EK16175"/>
    </row>
    <row r="16176" spans="1:141" s="116" customFormat="1">
      <c r="A16176" s="136"/>
      <c r="CM16176" s="111"/>
      <c r="CQ16176" s="111"/>
      <c r="EF16176"/>
      <c r="EG16176"/>
      <c r="EH16176"/>
      <c r="EI16176"/>
      <c r="EJ16176"/>
      <c r="EK16176"/>
    </row>
    <row r="16177" spans="1:141" s="116" customFormat="1">
      <c r="A16177" s="136"/>
      <c r="CM16177" s="111"/>
      <c r="CQ16177" s="111"/>
      <c r="EF16177"/>
      <c r="EG16177"/>
      <c r="EH16177"/>
      <c r="EI16177"/>
      <c r="EJ16177"/>
      <c r="EK16177"/>
    </row>
    <row r="16178" spans="1:141" s="116" customFormat="1">
      <c r="A16178" s="136"/>
      <c r="CM16178" s="111"/>
      <c r="CQ16178" s="111"/>
      <c r="EF16178"/>
      <c r="EG16178"/>
      <c r="EH16178"/>
      <c r="EI16178"/>
      <c r="EJ16178"/>
      <c r="EK16178"/>
    </row>
    <row r="16179" spans="1:141" s="116" customFormat="1">
      <c r="A16179" s="136"/>
      <c r="CM16179" s="111"/>
      <c r="CQ16179" s="111"/>
      <c r="EF16179"/>
      <c r="EG16179"/>
      <c r="EH16179"/>
      <c r="EI16179"/>
      <c r="EJ16179"/>
      <c r="EK16179"/>
    </row>
    <row r="16180" spans="1:141" s="116" customFormat="1">
      <c r="A16180" s="136"/>
      <c r="CM16180" s="111"/>
      <c r="CQ16180" s="111"/>
      <c r="EF16180"/>
      <c r="EG16180"/>
      <c r="EH16180"/>
      <c r="EI16180"/>
      <c r="EJ16180"/>
      <c r="EK16180"/>
    </row>
    <row r="16181" spans="1:141" s="116" customFormat="1">
      <c r="A16181" s="136"/>
      <c r="CM16181" s="111"/>
      <c r="CQ16181" s="111"/>
      <c r="EF16181"/>
      <c r="EG16181"/>
      <c r="EH16181"/>
      <c r="EI16181"/>
      <c r="EJ16181"/>
      <c r="EK16181"/>
    </row>
    <row r="16182" spans="1:141" s="116" customFormat="1">
      <c r="A16182" s="136"/>
      <c r="CM16182" s="111"/>
      <c r="CQ16182" s="111"/>
      <c r="EF16182"/>
      <c r="EG16182"/>
      <c r="EH16182"/>
      <c r="EI16182"/>
      <c r="EJ16182"/>
      <c r="EK16182"/>
    </row>
    <row r="16183" spans="1:141" s="116" customFormat="1">
      <c r="A16183" s="136"/>
      <c r="CM16183" s="111"/>
      <c r="CQ16183" s="111"/>
      <c r="EF16183"/>
      <c r="EG16183"/>
      <c r="EH16183"/>
      <c r="EI16183"/>
      <c r="EJ16183"/>
      <c r="EK16183"/>
    </row>
    <row r="16184" spans="1:141" s="116" customFormat="1">
      <c r="A16184" s="136"/>
      <c r="CM16184" s="111"/>
      <c r="CQ16184" s="111"/>
      <c r="EF16184"/>
      <c r="EG16184"/>
      <c r="EH16184"/>
      <c r="EI16184"/>
      <c r="EJ16184"/>
      <c r="EK16184"/>
    </row>
    <row r="16185" spans="1:141" s="116" customFormat="1">
      <c r="A16185" s="136"/>
      <c r="CM16185" s="111"/>
      <c r="CQ16185" s="111"/>
      <c r="EF16185"/>
      <c r="EG16185"/>
      <c r="EH16185"/>
      <c r="EI16185"/>
      <c r="EJ16185"/>
      <c r="EK16185"/>
    </row>
    <row r="16186" spans="1:141" s="116" customFormat="1">
      <c r="A16186" s="136"/>
      <c r="CM16186" s="111"/>
      <c r="CQ16186" s="111"/>
      <c r="EF16186"/>
      <c r="EG16186"/>
      <c r="EH16186"/>
      <c r="EI16186"/>
      <c r="EJ16186"/>
      <c r="EK16186"/>
    </row>
    <row r="16187" spans="1:141" s="116" customFormat="1">
      <c r="A16187" s="136"/>
      <c r="CM16187" s="111"/>
      <c r="CQ16187" s="111"/>
      <c r="EF16187"/>
      <c r="EG16187"/>
      <c r="EH16187"/>
      <c r="EI16187"/>
      <c r="EJ16187"/>
      <c r="EK16187"/>
    </row>
    <row r="16188" spans="1:141" s="116" customFormat="1">
      <c r="A16188" s="136"/>
      <c r="CM16188" s="111"/>
      <c r="CQ16188" s="111"/>
      <c r="EF16188"/>
      <c r="EG16188"/>
      <c r="EH16188"/>
      <c r="EI16188"/>
      <c r="EJ16188"/>
      <c r="EK16188"/>
    </row>
    <row r="16189" spans="1:141" s="116" customFormat="1">
      <c r="A16189" s="136"/>
      <c r="CM16189" s="111"/>
      <c r="CQ16189" s="111"/>
      <c r="EF16189"/>
      <c r="EG16189"/>
      <c r="EH16189"/>
      <c r="EI16189"/>
      <c r="EJ16189"/>
      <c r="EK16189"/>
    </row>
    <row r="16190" spans="1:141" s="116" customFormat="1">
      <c r="A16190" s="136"/>
      <c r="CM16190" s="111"/>
      <c r="CQ16190" s="111"/>
      <c r="EF16190"/>
      <c r="EG16190"/>
      <c r="EH16190"/>
      <c r="EI16190"/>
      <c r="EJ16190"/>
      <c r="EK16190"/>
    </row>
    <row r="16191" spans="1:141" s="116" customFormat="1">
      <c r="A16191" s="136"/>
      <c r="CM16191" s="111"/>
      <c r="CQ16191" s="111"/>
      <c r="EF16191"/>
      <c r="EG16191"/>
      <c r="EH16191"/>
      <c r="EI16191"/>
      <c r="EJ16191"/>
      <c r="EK16191"/>
    </row>
    <row r="16192" spans="1:141" s="116" customFormat="1">
      <c r="A16192" s="136"/>
      <c r="CM16192" s="111"/>
      <c r="CQ16192" s="111"/>
      <c r="EF16192"/>
      <c r="EG16192"/>
      <c r="EH16192"/>
      <c r="EI16192"/>
      <c r="EJ16192"/>
      <c r="EK16192"/>
    </row>
    <row r="16193" spans="1:141" s="116" customFormat="1">
      <c r="A16193" s="136"/>
      <c r="CM16193" s="111"/>
      <c r="CQ16193" s="111"/>
      <c r="EF16193"/>
      <c r="EG16193"/>
      <c r="EH16193"/>
      <c r="EI16193"/>
      <c r="EJ16193"/>
      <c r="EK16193"/>
    </row>
    <row r="16194" spans="1:141" s="116" customFormat="1">
      <c r="A16194" s="136"/>
      <c r="CM16194" s="111"/>
      <c r="CQ16194" s="111"/>
      <c r="EF16194"/>
      <c r="EG16194"/>
      <c r="EH16194"/>
      <c r="EI16194"/>
      <c r="EJ16194"/>
      <c r="EK16194"/>
    </row>
    <row r="16195" spans="1:141" s="116" customFormat="1">
      <c r="A16195" s="136"/>
      <c r="CM16195" s="111"/>
      <c r="CQ16195" s="111"/>
      <c r="EF16195"/>
      <c r="EG16195"/>
      <c r="EH16195"/>
      <c r="EI16195"/>
      <c r="EJ16195"/>
      <c r="EK16195"/>
    </row>
    <row r="16196" spans="1:141" s="116" customFormat="1">
      <c r="A16196" s="136"/>
      <c r="CM16196" s="111"/>
      <c r="CQ16196" s="111"/>
      <c r="EF16196"/>
      <c r="EG16196"/>
      <c r="EH16196"/>
      <c r="EI16196"/>
      <c r="EJ16196"/>
      <c r="EK16196"/>
    </row>
    <row r="16197" spans="1:141" s="116" customFormat="1">
      <c r="A16197" s="136"/>
      <c r="CM16197" s="111"/>
      <c r="CQ16197" s="111"/>
      <c r="EF16197"/>
      <c r="EG16197"/>
      <c r="EH16197"/>
      <c r="EI16197"/>
      <c r="EJ16197"/>
      <c r="EK16197"/>
    </row>
    <row r="16198" spans="1:141" s="116" customFormat="1">
      <c r="A16198" s="136"/>
      <c r="CM16198" s="111"/>
      <c r="CQ16198" s="111"/>
      <c r="EF16198"/>
      <c r="EG16198"/>
      <c r="EH16198"/>
      <c r="EI16198"/>
      <c r="EJ16198"/>
      <c r="EK16198"/>
    </row>
    <row r="16199" spans="1:141" s="116" customFormat="1">
      <c r="A16199" s="136"/>
      <c r="CM16199" s="111"/>
      <c r="CQ16199" s="111"/>
      <c r="EF16199"/>
      <c r="EG16199"/>
      <c r="EH16199"/>
      <c r="EI16199"/>
      <c r="EJ16199"/>
      <c r="EK16199"/>
    </row>
    <row r="16200" spans="1:141" s="116" customFormat="1">
      <c r="A16200" s="136"/>
      <c r="CM16200" s="111"/>
      <c r="CQ16200" s="111"/>
      <c r="EF16200"/>
      <c r="EG16200"/>
      <c r="EH16200"/>
      <c r="EI16200"/>
      <c r="EJ16200"/>
      <c r="EK16200"/>
    </row>
    <row r="16201" spans="1:141" s="116" customFormat="1">
      <c r="A16201" s="136"/>
      <c r="CM16201" s="111"/>
      <c r="CQ16201" s="111"/>
      <c r="EF16201"/>
      <c r="EG16201"/>
      <c r="EH16201"/>
      <c r="EI16201"/>
      <c r="EJ16201"/>
      <c r="EK16201"/>
    </row>
    <row r="16202" spans="1:141" s="116" customFormat="1">
      <c r="A16202" s="136"/>
      <c r="CM16202" s="111"/>
      <c r="CQ16202" s="111"/>
      <c r="EF16202"/>
      <c r="EG16202"/>
      <c r="EH16202"/>
      <c r="EI16202"/>
      <c r="EJ16202"/>
      <c r="EK16202"/>
    </row>
    <row r="16203" spans="1:141" s="116" customFormat="1">
      <c r="A16203" s="136"/>
      <c r="CM16203" s="111"/>
      <c r="CQ16203" s="111"/>
      <c r="EF16203"/>
      <c r="EG16203"/>
      <c r="EH16203"/>
      <c r="EI16203"/>
      <c r="EJ16203"/>
      <c r="EK16203"/>
    </row>
    <row r="16204" spans="1:141" s="116" customFormat="1">
      <c r="A16204" s="136"/>
      <c r="CM16204" s="111"/>
      <c r="CQ16204" s="111"/>
      <c r="EF16204"/>
      <c r="EG16204"/>
      <c r="EH16204"/>
      <c r="EI16204"/>
      <c r="EJ16204"/>
      <c r="EK16204"/>
    </row>
    <row r="16205" spans="1:141" s="116" customFormat="1">
      <c r="A16205" s="136"/>
      <c r="CM16205" s="111"/>
      <c r="CQ16205" s="111"/>
      <c r="EF16205"/>
      <c r="EG16205"/>
      <c r="EH16205"/>
      <c r="EI16205"/>
      <c r="EJ16205"/>
      <c r="EK16205"/>
    </row>
    <row r="16206" spans="1:141" s="116" customFormat="1">
      <c r="A16206" s="136"/>
      <c r="CM16206" s="111"/>
      <c r="CQ16206" s="111"/>
      <c r="EF16206"/>
      <c r="EG16206"/>
      <c r="EH16206"/>
      <c r="EI16206"/>
      <c r="EJ16206"/>
      <c r="EK16206"/>
    </row>
    <row r="16207" spans="1:141" s="116" customFormat="1">
      <c r="A16207" s="136"/>
      <c r="CM16207" s="111"/>
      <c r="CQ16207" s="111"/>
      <c r="EF16207"/>
      <c r="EG16207"/>
      <c r="EH16207"/>
      <c r="EI16207"/>
      <c r="EJ16207"/>
      <c r="EK16207"/>
    </row>
    <row r="16208" spans="1:141" s="116" customFormat="1">
      <c r="A16208" s="136"/>
      <c r="CM16208" s="111"/>
      <c r="CQ16208" s="111"/>
      <c r="EF16208"/>
      <c r="EG16208"/>
      <c r="EH16208"/>
      <c r="EI16208"/>
      <c r="EJ16208"/>
      <c r="EK16208"/>
    </row>
    <row r="16209" spans="1:141" s="116" customFormat="1">
      <c r="A16209" s="136"/>
      <c r="CM16209" s="111"/>
      <c r="CQ16209" s="111"/>
      <c r="EF16209"/>
      <c r="EG16209"/>
      <c r="EH16209"/>
      <c r="EI16209"/>
      <c r="EJ16209"/>
      <c r="EK16209"/>
    </row>
    <row r="16210" spans="1:141" s="116" customFormat="1">
      <c r="A16210" s="136"/>
      <c r="CM16210" s="111"/>
      <c r="CQ16210" s="111"/>
      <c r="EF16210"/>
      <c r="EG16210"/>
      <c r="EH16210"/>
      <c r="EI16210"/>
      <c r="EJ16210"/>
      <c r="EK16210"/>
    </row>
    <row r="16211" spans="1:141" s="116" customFormat="1">
      <c r="A16211" s="136"/>
      <c r="CM16211" s="111"/>
      <c r="CQ16211" s="111"/>
      <c r="EF16211"/>
      <c r="EG16211"/>
      <c r="EH16211"/>
      <c r="EI16211"/>
      <c r="EJ16211"/>
      <c r="EK16211"/>
    </row>
    <row r="16212" spans="1:141" s="116" customFormat="1">
      <c r="A16212" s="136"/>
      <c r="CM16212" s="111"/>
      <c r="CQ16212" s="111"/>
      <c r="EF16212"/>
      <c r="EG16212"/>
      <c r="EH16212"/>
      <c r="EI16212"/>
      <c r="EJ16212"/>
      <c r="EK16212"/>
    </row>
    <row r="16213" spans="1:141" s="116" customFormat="1">
      <c r="A16213" s="136"/>
      <c r="CM16213" s="111"/>
      <c r="CQ16213" s="111"/>
      <c r="EF16213"/>
      <c r="EG16213"/>
      <c r="EH16213"/>
      <c r="EI16213"/>
      <c r="EJ16213"/>
      <c r="EK16213"/>
    </row>
    <row r="16214" spans="1:141" s="116" customFormat="1">
      <c r="A16214" s="136"/>
      <c r="CM16214" s="111"/>
      <c r="CQ16214" s="111"/>
      <c r="EF16214"/>
      <c r="EG16214"/>
      <c r="EH16214"/>
      <c r="EI16214"/>
      <c r="EJ16214"/>
      <c r="EK16214"/>
    </row>
    <row r="16215" spans="1:141" s="116" customFormat="1">
      <c r="A16215" s="136"/>
      <c r="CM16215" s="111"/>
      <c r="CQ16215" s="111"/>
      <c r="EF16215"/>
      <c r="EG16215"/>
      <c r="EH16215"/>
      <c r="EI16215"/>
      <c r="EJ16215"/>
      <c r="EK16215"/>
    </row>
    <row r="16216" spans="1:141" s="116" customFormat="1">
      <c r="A16216" s="136"/>
      <c r="CM16216" s="111"/>
      <c r="CQ16216" s="111"/>
      <c r="EF16216"/>
      <c r="EG16216"/>
      <c r="EH16216"/>
      <c r="EI16216"/>
      <c r="EJ16216"/>
      <c r="EK16216"/>
    </row>
    <row r="16217" spans="1:141" s="116" customFormat="1">
      <c r="A16217" s="136"/>
      <c r="CM16217" s="111"/>
      <c r="CQ16217" s="111"/>
      <c r="EF16217"/>
      <c r="EG16217"/>
      <c r="EH16217"/>
      <c r="EI16217"/>
      <c r="EJ16217"/>
      <c r="EK16217"/>
    </row>
    <row r="16218" spans="1:141" s="116" customFormat="1">
      <c r="A16218" s="136"/>
      <c r="CM16218" s="111"/>
      <c r="CQ16218" s="111"/>
      <c r="EF16218"/>
      <c r="EG16218"/>
      <c r="EH16218"/>
      <c r="EI16218"/>
      <c r="EJ16218"/>
      <c r="EK16218"/>
    </row>
    <row r="16219" spans="1:141" s="116" customFormat="1">
      <c r="A16219" s="136"/>
      <c r="CM16219" s="111"/>
      <c r="CQ16219" s="111"/>
      <c r="EF16219"/>
      <c r="EG16219"/>
      <c r="EH16219"/>
      <c r="EI16219"/>
      <c r="EJ16219"/>
      <c r="EK16219"/>
    </row>
    <row r="16220" spans="1:141" s="116" customFormat="1">
      <c r="A16220" s="136"/>
      <c r="CM16220" s="111"/>
      <c r="CQ16220" s="111"/>
      <c r="EF16220"/>
      <c r="EG16220"/>
      <c r="EH16220"/>
      <c r="EI16220"/>
      <c r="EJ16220"/>
      <c r="EK16220"/>
    </row>
    <row r="16221" spans="1:141" s="116" customFormat="1">
      <c r="A16221" s="136"/>
      <c r="CM16221" s="111"/>
      <c r="CQ16221" s="111"/>
      <c r="EF16221"/>
      <c r="EG16221"/>
      <c r="EH16221"/>
      <c r="EI16221"/>
      <c r="EJ16221"/>
      <c r="EK16221"/>
    </row>
    <row r="16222" spans="1:141" s="116" customFormat="1">
      <c r="A16222" s="136"/>
      <c r="CM16222" s="111"/>
      <c r="CQ16222" s="111"/>
      <c r="EF16222"/>
      <c r="EG16222"/>
      <c r="EH16222"/>
      <c r="EI16222"/>
      <c r="EJ16222"/>
      <c r="EK16222"/>
    </row>
    <row r="16223" spans="1:141" s="116" customFormat="1">
      <c r="A16223" s="136"/>
      <c r="CM16223" s="111"/>
      <c r="CQ16223" s="111"/>
      <c r="EF16223"/>
      <c r="EG16223"/>
      <c r="EH16223"/>
      <c r="EI16223"/>
      <c r="EJ16223"/>
      <c r="EK16223"/>
    </row>
    <row r="16224" spans="1:141" s="116" customFormat="1">
      <c r="A16224" s="136"/>
      <c r="CM16224" s="111"/>
      <c r="CQ16224" s="111"/>
      <c r="EF16224"/>
      <c r="EG16224"/>
      <c r="EH16224"/>
      <c r="EI16224"/>
      <c r="EJ16224"/>
      <c r="EK16224"/>
    </row>
    <row r="16225" spans="1:141" s="116" customFormat="1">
      <c r="A16225" s="136"/>
      <c r="CM16225" s="111"/>
      <c r="CQ16225" s="111"/>
      <c r="EF16225"/>
      <c r="EG16225"/>
      <c r="EH16225"/>
      <c r="EI16225"/>
      <c r="EJ16225"/>
      <c r="EK16225"/>
    </row>
    <row r="16226" spans="1:141" s="116" customFormat="1">
      <c r="A16226" s="136"/>
      <c r="CM16226" s="111"/>
      <c r="CQ16226" s="111"/>
      <c r="EF16226"/>
      <c r="EG16226"/>
      <c r="EH16226"/>
      <c r="EI16226"/>
      <c r="EJ16226"/>
      <c r="EK16226"/>
    </row>
    <row r="16227" spans="1:141" s="116" customFormat="1">
      <c r="A16227" s="136"/>
      <c r="CM16227" s="111"/>
      <c r="CQ16227" s="111"/>
      <c r="EF16227"/>
      <c r="EG16227"/>
      <c r="EH16227"/>
      <c r="EI16227"/>
      <c r="EJ16227"/>
      <c r="EK16227"/>
    </row>
    <row r="16228" spans="1:141" s="116" customFormat="1">
      <c r="A16228" s="136"/>
      <c r="CM16228" s="111"/>
      <c r="CQ16228" s="111"/>
      <c r="EF16228"/>
      <c r="EG16228"/>
      <c r="EH16228"/>
      <c r="EI16228"/>
      <c r="EJ16228"/>
      <c r="EK16228"/>
    </row>
    <row r="16229" spans="1:141" s="116" customFormat="1">
      <c r="A16229" s="136"/>
      <c r="CM16229" s="111"/>
      <c r="CQ16229" s="111"/>
      <c r="EF16229"/>
      <c r="EG16229"/>
      <c r="EH16229"/>
      <c r="EI16229"/>
      <c r="EJ16229"/>
      <c r="EK16229"/>
    </row>
    <row r="16230" spans="1:141" s="116" customFormat="1">
      <c r="A16230" s="136"/>
      <c r="CM16230" s="111"/>
      <c r="CQ16230" s="111"/>
      <c r="EF16230"/>
      <c r="EG16230"/>
      <c r="EH16230"/>
      <c r="EI16230"/>
      <c r="EJ16230"/>
      <c r="EK16230"/>
    </row>
    <row r="16231" spans="1:141" s="116" customFormat="1">
      <c r="A16231" s="136"/>
      <c r="CM16231" s="111"/>
      <c r="CQ16231" s="111"/>
      <c r="EF16231"/>
      <c r="EG16231"/>
      <c r="EH16231"/>
      <c r="EI16231"/>
      <c r="EJ16231"/>
      <c r="EK16231"/>
    </row>
    <row r="16232" spans="1:141" s="116" customFormat="1">
      <c r="A16232" s="136"/>
      <c r="CM16232" s="111"/>
      <c r="CQ16232" s="111"/>
      <c r="EF16232"/>
      <c r="EG16232"/>
      <c r="EH16232"/>
      <c r="EI16232"/>
      <c r="EJ16232"/>
      <c r="EK16232"/>
    </row>
    <row r="16233" spans="1:141" s="116" customFormat="1">
      <c r="A16233" s="136"/>
      <c r="CM16233" s="111"/>
      <c r="CQ16233" s="111"/>
      <c r="EF16233"/>
      <c r="EG16233"/>
      <c r="EH16233"/>
      <c r="EI16233"/>
      <c r="EJ16233"/>
      <c r="EK16233"/>
    </row>
    <row r="16234" spans="1:141" s="116" customFormat="1">
      <c r="A16234" s="136"/>
      <c r="CM16234" s="111"/>
      <c r="CQ16234" s="111"/>
      <c r="EF16234"/>
      <c r="EG16234"/>
      <c r="EH16234"/>
      <c r="EI16234"/>
      <c r="EJ16234"/>
      <c r="EK16234"/>
    </row>
    <row r="16235" spans="1:141" s="116" customFormat="1">
      <c r="A16235" s="136"/>
      <c r="CM16235" s="111"/>
      <c r="CQ16235" s="111"/>
      <c r="EF16235"/>
      <c r="EG16235"/>
      <c r="EH16235"/>
      <c r="EI16235"/>
      <c r="EJ16235"/>
      <c r="EK16235"/>
    </row>
    <row r="16236" spans="1:141" s="116" customFormat="1">
      <c r="A16236" s="136"/>
      <c r="CM16236" s="111"/>
      <c r="CQ16236" s="111"/>
      <c r="EF16236"/>
      <c r="EG16236"/>
      <c r="EH16236"/>
      <c r="EI16236"/>
      <c r="EJ16236"/>
      <c r="EK16236"/>
    </row>
    <row r="16237" spans="1:141" s="116" customFormat="1">
      <c r="A16237" s="136"/>
      <c r="CM16237" s="111"/>
      <c r="CQ16237" s="111"/>
      <c r="EF16237"/>
      <c r="EG16237"/>
      <c r="EH16237"/>
      <c r="EI16237"/>
      <c r="EJ16237"/>
      <c r="EK16237"/>
    </row>
    <row r="16238" spans="1:141" s="116" customFormat="1">
      <c r="A16238" s="136"/>
      <c r="CM16238" s="111"/>
      <c r="CQ16238" s="111"/>
      <c r="EF16238"/>
      <c r="EG16238"/>
      <c r="EH16238"/>
      <c r="EI16238"/>
      <c r="EJ16238"/>
      <c r="EK16238"/>
    </row>
    <row r="16239" spans="1:141" s="116" customFormat="1">
      <c r="A16239" s="136"/>
      <c r="CM16239" s="111"/>
      <c r="CQ16239" s="111"/>
      <c r="EF16239"/>
      <c r="EG16239"/>
      <c r="EH16239"/>
      <c r="EI16239"/>
      <c r="EJ16239"/>
      <c r="EK16239"/>
    </row>
    <row r="16240" spans="1:141" s="116" customFormat="1">
      <c r="A16240" s="136"/>
      <c r="CM16240" s="111"/>
      <c r="CQ16240" s="111"/>
      <c r="EF16240"/>
      <c r="EG16240"/>
      <c r="EH16240"/>
      <c r="EI16240"/>
      <c r="EJ16240"/>
      <c r="EK16240"/>
    </row>
    <row r="16241" spans="1:141" s="116" customFormat="1">
      <c r="A16241" s="136"/>
      <c r="CM16241" s="111"/>
      <c r="CQ16241" s="111"/>
      <c r="EF16241"/>
      <c r="EG16241"/>
      <c r="EH16241"/>
      <c r="EI16241"/>
      <c r="EJ16241"/>
      <c r="EK16241"/>
    </row>
    <row r="16242" spans="1:141" s="116" customFormat="1">
      <c r="A16242" s="136"/>
      <c r="CM16242" s="111"/>
      <c r="CQ16242" s="111"/>
      <c r="EF16242"/>
      <c r="EG16242"/>
      <c r="EH16242"/>
      <c r="EI16242"/>
      <c r="EJ16242"/>
      <c r="EK16242"/>
    </row>
    <row r="16243" spans="1:141" s="116" customFormat="1">
      <c r="A16243" s="136"/>
      <c r="CM16243" s="111"/>
      <c r="CQ16243" s="111"/>
      <c r="EF16243"/>
      <c r="EG16243"/>
      <c r="EH16243"/>
      <c r="EI16243"/>
      <c r="EJ16243"/>
      <c r="EK16243"/>
    </row>
    <row r="16244" spans="1:141" s="116" customFormat="1">
      <c r="A16244" s="136"/>
      <c r="CM16244" s="111"/>
      <c r="CQ16244" s="111"/>
      <c r="EF16244"/>
      <c r="EG16244"/>
      <c r="EH16244"/>
      <c r="EI16244"/>
      <c r="EJ16244"/>
      <c r="EK16244"/>
    </row>
    <row r="16245" spans="1:141" s="116" customFormat="1">
      <c r="A16245" s="136"/>
      <c r="CM16245" s="111"/>
      <c r="CQ16245" s="111"/>
      <c r="EF16245"/>
      <c r="EG16245"/>
      <c r="EH16245"/>
      <c r="EI16245"/>
      <c r="EJ16245"/>
      <c r="EK16245"/>
    </row>
    <row r="16246" spans="1:141" s="116" customFormat="1">
      <c r="A16246" s="136"/>
      <c r="CM16246" s="111"/>
      <c r="CQ16246" s="111"/>
      <c r="EF16246"/>
      <c r="EG16246"/>
      <c r="EH16246"/>
      <c r="EI16246"/>
      <c r="EJ16246"/>
      <c r="EK16246"/>
    </row>
    <row r="16247" spans="1:141" s="116" customFormat="1">
      <c r="A16247" s="136"/>
      <c r="CM16247" s="111"/>
      <c r="CQ16247" s="111"/>
      <c r="EF16247"/>
      <c r="EG16247"/>
      <c r="EH16247"/>
      <c r="EI16247"/>
      <c r="EJ16247"/>
      <c r="EK16247"/>
    </row>
    <row r="16248" spans="1:141" s="116" customFormat="1">
      <c r="A16248" s="136"/>
      <c r="CM16248" s="111"/>
      <c r="CQ16248" s="111"/>
      <c r="EF16248"/>
      <c r="EG16248"/>
      <c r="EH16248"/>
      <c r="EI16248"/>
      <c r="EJ16248"/>
      <c r="EK16248"/>
    </row>
    <row r="16249" spans="1:141" s="116" customFormat="1">
      <c r="A16249" s="136"/>
      <c r="CM16249" s="111"/>
      <c r="CQ16249" s="111"/>
      <c r="EF16249"/>
      <c r="EG16249"/>
      <c r="EH16249"/>
      <c r="EI16249"/>
      <c r="EJ16249"/>
      <c r="EK16249"/>
    </row>
    <row r="16250" spans="1:141" s="116" customFormat="1">
      <c r="A16250" s="136"/>
      <c r="CM16250" s="111"/>
      <c r="CQ16250" s="111"/>
      <c r="EF16250"/>
      <c r="EG16250"/>
      <c r="EH16250"/>
      <c r="EI16250"/>
      <c r="EJ16250"/>
      <c r="EK16250"/>
    </row>
    <row r="16251" spans="1:141" s="116" customFormat="1">
      <c r="A16251" s="136"/>
      <c r="CM16251" s="111"/>
      <c r="CQ16251" s="111"/>
      <c r="EF16251"/>
      <c r="EG16251"/>
      <c r="EH16251"/>
      <c r="EI16251"/>
      <c r="EJ16251"/>
      <c r="EK16251"/>
    </row>
    <row r="16252" spans="1:141" s="116" customFormat="1">
      <c r="A16252" s="136"/>
      <c r="CM16252" s="111"/>
      <c r="CQ16252" s="111"/>
      <c r="EF16252"/>
      <c r="EG16252"/>
      <c r="EH16252"/>
      <c r="EI16252"/>
      <c r="EJ16252"/>
      <c r="EK16252"/>
    </row>
    <row r="16253" spans="1:141" s="116" customFormat="1">
      <c r="A16253" s="136"/>
      <c r="CM16253" s="111"/>
      <c r="CQ16253" s="111"/>
      <c r="EF16253"/>
      <c r="EG16253"/>
      <c r="EH16253"/>
      <c r="EI16253"/>
      <c r="EJ16253"/>
      <c r="EK16253"/>
    </row>
    <row r="16254" spans="1:141" s="116" customFormat="1">
      <c r="A16254" s="136"/>
      <c r="CM16254" s="111"/>
      <c r="CQ16254" s="111"/>
      <c r="EF16254"/>
      <c r="EG16254"/>
      <c r="EH16254"/>
      <c r="EI16254"/>
      <c r="EJ16254"/>
      <c r="EK16254"/>
    </row>
    <row r="16255" spans="1:141" s="116" customFormat="1">
      <c r="A16255" s="136"/>
      <c r="CM16255" s="111"/>
      <c r="CQ16255" s="111"/>
      <c r="EF16255"/>
      <c r="EG16255"/>
      <c r="EH16255"/>
      <c r="EI16255"/>
      <c r="EJ16255"/>
      <c r="EK16255"/>
    </row>
    <row r="16256" spans="1:141" s="116" customFormat="1">
      <c r="A16256" s="136"/>
      <c r="CM16256" s="111"/>
      <c r="CQ16256" s="111"/>
      <c r="EF16256"/>
      <c r="EG16256"/>
      <c r="EH16256"/>
      <c r="EI16256"/>
      <c r="EJ16256"/>
      <c r="EK16256"/>
    </row>
    <row r="16257" spans="1:141" s="116" customFormat="1">
      <c r="A16257" s="136"/>
      <c r="CM16257" s="111"/>
      <c r="CQ16257" s="111"/>
      <c r="EF16257"/>
      <c r="EG16257"/>
      <c r="EH16257"/>
      <c r="EI16257"/>
      <c r="EJ16257"/>
      <c r="EK16257"/>
    </row>
    <row r="16258" spans="1:141" s="116" customFormat="1">
      <c r="A16258" s="136"/>
      <c r="CM16258" s="111"/>
      <c r="CQ16258" s="111"/>
      <c r="EF16258"/>
      <c r="EG16258"/>
      <c r="EH16258"/>
      <c r="EI16258"/>
      <c r="EJ16258"/>
      <c r="EK16258"/>
    </row>
    <row r="16259" spans="1:141" s="116" customFormat="1">
      <c r="A16259" s="136"/>
      <c r="CM16259" s="111"/>
      <c r="CQ16259" s="111"/>
      <c r="EF16259"/>
      <c r="EG16259"/>
      <c r="EH16259"/>
      <c r="EI16259"/>
      <c r="EJ16259"/>
      <c r="EK16259"/>
    </row>
    <row r="16260" spans="1:141" s="116" customFormat="1">
      <c r="A16260" s="136"/>
      <c r="CM16260" s="111"/>
      <c r="CQ16260" s="111"/>
      <c r="EF16260"/>
      <c r="EG16260"/>
      <c r="EH16260"/>
      <c r="EI16260"/>
      <c r="EJ16260"/>
      <c r="EK16260"/>
    </row>
    <row r="16261" spans="1:141" s="116" customFormat="1">
      <c r="A16261" s="136"/>
      <c r="CM16261" s="111"/>
      <c r="CQ16261" s="111"/>
      <c r="EF16261"/>
      <c r="EG16261"/>
      <c r="EH16261"/>
      <c r="EI16261"/>
      <c r="EJ16261"/>
      <c r="EK16261"/>
    </row>
    <row r="16262" spans="1:141" s="116" customFormat="1">
      <c r="A16262" s="136"/>
      <c r="CM16262" s="111"/>
      <c r="CQ16262" s="111"/>
      <c r="EF16262"/>
      <c r="EG16262"/>
      <c r="EH16262"/>
      <c r="EI16262"/>
      <c r="EJ16262"/>
      <c r="EK16262"/>
    </row>
    <row r="16263" spans="1:141" s="116" customFormat="1">
      <c r="A16263" s="136"/>
      <c r="CM16263" s="111"/>
      <c r="CQ16263" s="111"/>
      <c r="EF16263"/>
      <c r="EG16263"/>
      <c r="EH16263"/>
      <c r="EI16263"/>
      <c r="EJ16263"/>
      <c r="EK16263"/>
    </row>
    <row r="16264" spans="1:141" s="116" customFormat="1">
      <c r="A16264" s="136"/>
      <c r="CM16264" s="111"/>
      <c r="CQ16264" s="111"/>
      <c r="EF16264"/>
      <c r="EG16264"/>
      <c r="EH16264"/>
      <c r="EI16264"/>
      <c r="EJ16264"/>
      <c r="EK16264"/>
    </row>
    <row r="16265" spans="1:141" s="116" customFormat="1">
      <c r="A16265" s="136"/>
      <c r="CM16265" s="111"/>
      <c r="CQ16265" s="111"/>
      <c r="EF16265"/>
      <c r="EG16265"/>
      <c r="EH16265"/>
      <c r="EI16265"/>
      <c r="EJ16265"/>
      <c r="EK16265"/>
    </row>
    <row r="16266" spans="1:141" s="116" customFormat="1">
      <c r="A16266" s="136"/>
      <c r="CM16266" s="111"/>
      <c r="CQ16266" s="111"/>
      <c r="EF16266"/>
      <c r="EG16266"/>
      <c r="EH16266"/>
      <c r="EI16266"/>
      <c r="EJ16266"/>
      <c r="EK16266"/>
    </row>
    <row r="16267" spans="1:141" s="116" customFormat="1">
      <c r="A16267" s="136"/>
      <c r="CM16267" s="111"/>
      <c r="CQ16267" s="111"/>
      <c r="EF16267"/>
      <c r="EG16267"/>
      <c r="EH16267"/>
      <c r="EI16267"/>
      <c r="EJ16267"/>
      <c r="EK16267"/>
    </row>
    <row r="16268" spans="1:141" s="116" customFormat="1">
      <c r="A16268" s="136"/>
      <c r="CM16268" s="111"/>
      <c r="CQ16268" s="111"/>
      <c r="EF16268"/>
      <c r="EG16268"/>
      <c r="EH16268"/>
      <c r="EI16268"/>
      <c r="EJ16268"/>
      <c r="EK16268"/>
    </row>
    <row r="16269" spans="1:141" s="116" customFormat="1">
      <c r="A16269" s="136"/>
      <c r="CM16269" s="111"/>
      <c r="CQ16269" s="111"/>
      <c r="EF16269"/>
      <c r="EG16269"/>
      <c r="EH16269"/>
      <c r="EI16269"/>
      <c r="EJ16269"/>
      <c r="EK16269"/>
    </row>
    <row r="16270" spans="1:141" s="116" customFormat="1">
      <c r="A16270" s="136"/>
      <c r="CM16270" s="111"/>
      <c r="CQ16270" s="111"/>
      <c r="EF16270"/>
      <c r="EG16270"/>
      <c r="EH16270"/>
      <c r="EI16270"/>
      <c r="EJ16270"/>
      <c r="EK16270"/>
    </row>
    <row r="16271" spans="1:141" s="116" customFormat="1">
      <c r="A16271" s="136"/>
      <c r="CM16271" s="111"/>
      <c r="CQ16271" s="111"/>
      <c r="EF16271"/>
      <c r="EG16271"/>
      <c r="EH16271"/>
      <c r="EI16271"/>
      <c r="EJ16271"/>
      <c r="EK16271"/>
    </row>
    <row r="16272" spans="1:141" s="116" customFormat="1">
      <c r="A16272" s="136"/>
      <c r="CM16272" s="111"/>
      <c r="CQ16272" s="111"/>
      <c r="EF16272"/>
      <c r="EG16272"/>
      <c r="EH16272"/>
      <c r="EI16272"/>
      <c r="EJ16272"/>
      <c r="EK16272"/>
    </row>
    <row r="16273" spans="1:141" s="116" customFormat="1">
      <c r="A16273" s="136"/>
      <c r="CM16273" s="111"/>
      <c r="CQ16273" s="111"/>
      <c r="EF16273"/>
      <c r="EG16273"/>
      <c r="EH16273"/>
      <c r="EI16273"/>
      <c r="EJ16273"/>
      <c r="EK16273"/>
    </row>
    <row r="16274" spans="1:141" s="116" customFormat="1">
      <c r="A16274" s="136"/>
      <c r="CM16274" s="111"/>
      <c r="CQ16274" s="111"/>
      <c r="EF16274"/>
      <c r="EG16274"/>
      <c r="EH16274"/>
      <c r="EI16274"/>
      <c r="EJ16274"/>
      <c r="EK16274"/>
    </row>
    <row r="16275" spans="1:141" s="116" customFormat="1">
      <c r="A16275" s="136"/>
      <c r="CM16275" s="111"/>
      <c r="CQ16275" s="111"/>
      <c r="EF16275"/>
      <c r="EG16275"/>
      <c r="EH16275"/>
      <c r="EI16275"/>
      <c r="EJ16275"/>
      <c r="EK16275"/>
    </row>
    <row r="16276" spans="1:141" s="116" customFormat="1">
      <c r="A16276" s="136"/>
      <c r="CM16276" s="111"/>
      <c r="CQ16276" s="111"/>
      <c r="EF16276"/>
      <c r="EG16276"/>
      <c r="EH16276"/>
      <c r="EI16276"/>
      <c r="EJ16276"/>
      <c r="EK16276"/>
    </row>
    <row r="16277" spans="1:141" s="116" customFormat="1">
      <c r="A16277" s="136"/>
      <c r="CM16277" s="111"/>
      <c r="CQ16277" s="111"/>
      <c r="EF16277"/>
      <c r="EG16277"/>
      <c r="EH16277"/>
      <c r="EI16277"/>
      <c r="EJ16277"/>
      <c r="EK16277"/>
    </row>
    <row r="16278" spans="1:141" s="116" customFormat="1">
      <c r="A16278" s="136"/>
      <c r="CM16278" s="111"/>
      <c r="CQ16278" s="111"/>
      <c r="EF16278"/>
      <c r="EG16278"/>
      <c r="EH16278"/>
      <c r="EI16278"/>
      <c r="EJ16278"/>
      <c r="EK16278"/>
    </row>
    <row r="16279" spans="1:141" s="116" customFormat="1">
      <c r="A16279" s="136"/>
      <c r="CM16279" s="111"/>
      <c r="CQ16279" s="111"/>
      <c r="EF16279"/>
      <c r="EG16279"/>
      <c r="EH16279"/>
      <c r="EI16279"/>
      <c r="EJ16279"/>
      <c r="EK16279"/>
    </row>
    <row r="16280" spans="1:141" s="116" customFormat="1">
      <c r="A16280" s="136"/>
      <c r="CM16280" s="111"/>
      <c r="CQ16280" s="111"/>
      <c r="EF16280"/>
      <c r="EG16280"/>
      <c r="EH16280"/>
      <c r="EI16280"/>
      <c r="EJ16280"/>
      <c r="EK16280"/>
    </row>
    <row r="16281" spans="1:141" s="116" customFormat="1">
      <c r="A16281" s="136"/>
      <c r="CM16281" s="111"/>
      <c r="CQ16281" s="111"/>
      <c r="EF16281"/>
      <c r="EG16281"/>
      <c r="EH16281"/>
      <c r="EI16281"/>
      <c r="EJ16281"/>
      <c r="EK16281"/>
    </row>
    <row r="16282" spans="1:141" s="116" customFormat="1">
      <c r="A16282" s="136"/>
      <c r="CM16282" s="111"/>
      <c r="CQ16282" s="111"/>
      <c r="EF16282"/>
      <c r="EG16282"/>
      <c r="EH16282"/>
      <c r="EI16282"/>
      <c r="EJ16282"/>
      <c r="EK16282"/>
    </row>
    <row r="16283" spans="1:141" s="116" customFormat="1">
      <c r="A16283" s="136"/>
      <c r="CM16283" s="111"/>
      <c r="CQ16283" s="111"/>
      <c r="EF16283"/>
      <c r="EG16283"/>
      <c r="EH16283"/>
      <c r="EI16283"/>
      <c r="EJ16283"/>
      <c r="EK16283"/>
    </row>
    <row r="16284" spans="1:141" s="116" customFormat="1">
      <c r="A16284" s="136"/>
      <c r="CM16284" s="111"/>
      <c r="CQ16284" s="111"/>
      <c r="EF16284"/>
      <c r="EG16284"/>
      <c r="EH16284"/>
      <c r="EI16284"/>
      <c r="EJ16284"/>
      <c r="EK16284"/>
    </row>
    <row r="16285" spans="1:141" s="116" customFormat="1">
      <c r="A16285" s="136"/>
      <c r="CM16285" s="111"/>
      <c r="CQ16285" s="111"/>
      <c r="EF16285"/>
      <c r="EG16285"/>
      <c r="EH16285"/>
      <c r="EI16285"/>
      <c r="EJ16285"/>
      <c r="EK16285"/>
    </row>
    <row r="16286" spans="1:141" s="116" customFormat="1">
      <c r="A16286" s="136"/>
      <c r="CM16286" s="111"/>
      <c r="CQ16286" s="111"/>
      <c r="EF16286"/>
      <c r="EG16286"/>
      <c r="EH16286"/>
      <c r="EI16286"/>
      <c r="EJ16286"/>
      <c r="EK16286"/>
    </row>
    <row r="16287" spans="1:141" s="116" customFormat="1">
      <c r="A16287" s="136"/>
      <c r="CM16287" s="111"/>
      <c r="CQ16287" s="111"/>
      <c r="EF16287"/>
      <c r="EG16287"/>
      <c r="EH16287"/>
      <c r="EI16287"/>
      <c r="EJ16287"/>
      <c r="EK16287"/>
    </row>
    <row r="16288" spans="1:141" s="116" customFormat="1">
      <c r="A16288" s="136"/>
      <c r="CM16288" s="111"/>
      <c r="CQ16288" s="111"/>
      <c r="EF16288"/>
      <c r="EG16288"/>
      <c r="EH16288"/>
      <c r="EI16288"/>
      <c r="EJ16288"/>
      <c r="EK16288"/>
    </row>
    <row r="16289" spans="1:141" s="116" customFormat="1">
      <c r="A16289" s="136"/>
      <c r="CM16289" s="111"/>
      <c r="CQ16289" s="111"/>
      <c r="EF16289"/>
      <c r="EG16289"/>
      <c r="EH16289"/>
      <c r="EI16289"/>
      <c r="EJ16289"/>
      <c r="EK16289"/>
    </row>
    <row r="16290" spans="1:141" s="116" customFormat="1">
      <c r="A16290" s="136"/>
      <c r="CM16290" s="111"/>
      <c r="CQ16290" s="111"/>
      <c r="EF16290"/>
      <c r="EG16290"/>
      <c r="EH16290"/>
      <c r="EI16290"/>
      <c r="EJ16290"/>
      <c r="EK16290"/>
    </row>
    <row r="16291" spans="1:141" s="116" customFormat="1">
      <c r="A16291" s="136"/>
      <c r="CM16291" s="111"/>
      <c r="CQ16291" s="111"/>
      <c r="EF16291"/>
      <c r="EG16291"/>
      <c r="EH16291"/>
      <c r="EI16291"/>
      <c r="EJ16291"/>
      <c r="EK16291"/>
    </row>
    <row r="16292" spans="1:141" s="116" customFormat="1">
      <c r="A16292" s="136"/>
      <c r="CM16292" s="111"/>
      <c r="CQ16292" s="111"/>
      <c r="EF16292"/>
      <c r="EG16292"/>
      <c r="EH16292"/>
      <c r="EI16292"/>
      <c r="EJ16292"/>
      <c r="EK16292"/>
    </row>
    <row r="16293" spans="1:141" s="116" customFormat="1">
      <c r="A16293" s="136"/>
      <c r="CM16293" s="111"/>
      <c r="CQ16293" s="111"/>
      <c r="EF16293"/>
      <c r="EG16293"/>
      <c r="EH16293"/>
      <c r="EI16293"/>
      <c r="EJ16293"/>
      <c r="EK16293"/>
    </row>
    <row r="16294" spans="1:141" s="116" customFormat="1">
      <c r="A16294" s="136"/>
      <c r="CM16294" s="111"/>
      <c r="CQ16294" s="111"/>
      <c r="EF16294"/>
      <c r="EG16294"/>
      <c r="EH16294"/>
      <c r="EI16294"/>
      <c r="EJ16294"/>
      <c r="EK16294"/>
    </row>
    <row r="16295" spans="1:141" s="116" customFormat="1">
      <c r="A16295" s="136"/>
      <c r="CM16295" s="111"/>
      <c r="CQ16295" s="111"/>
      <c r="EF16295"/>
      <c r="EG16295"/>
      <c r="EH16295"/>
      <c r="EI16295"/>
      <c r="EJ16295"/>
      <c r="EK16295"/>
    </row>
    <row r="16296" spans="1:141" s="116" customFormat="1">
      <c r="A16296" s="136"/>
      <c r="CM16296" s="111"/>
      <c r="CQ16296" s="111"/>
      <c r="EF16296"/>
      <c r="EG16296"/>
      <c r="EH16296"/>
      <c r="EI16296"/>
      <c r="EJ16296"/>
      <c r="EK16296"/>
    </row>
    <row r="16297" spans="1:141" s="116" customFormat="1">
      <c r="A16297" s="136"/>
      <c r="CM16297" s="111"/>
      <c r="CQ16297" s="111"/>
      <c r="EF16297"/>
      <c r="EG16297"/>
      <c r="EH16297"/>
      <c r="EI16297"/>
      <c r="EJ16297"/>
      <c r="EK16297"/>
    </row>
    <row r="16298" spans="1:141" s="116" customFormat="1">
      <c r="A16298" s="136"/>
      <c r="CM16298" s="111"/>
      <c r="CQ16298" s="111"/>
      <c r="EF16298"/>
      <c r="EG16298"/>
      <c r="EH16298"/>
      <c r="EI16298"/>
      <c r="EJ16298"/>
      <c r="EK16298"/>
    </row>
    <row r="16299" spans="1:141" s="116" customFormat="1">
      <c r="A16299" s="136"/>
      <c r="CM16299" s="111"/>
      <c r="CQ16299" s="111"/>
      <c r="EF16299"/>
      <c r="EG16299"/>
      <c r="EH16299"/>
      <c r="EI16299"/>
      <c r="EJ16299"/>
      <c r="EK16299"/>
    </row>
    <row r="16300" spans="1:141" s="116" customFormat="1">
      <c r="A16300" s="136"/>
      <c r="CM16300" s="111"/>
      <c r="CQ16300" s="111"/>
      <c r="EF16300"/>
      <c r="EG16300"/>
      <c r="EH16300"/>
      <c r="EI16300"/>
      <c r="EJ16300"/>
      <c r="EK16300"/>
    </row>
    <row r="16301" spans="1:141" s="116" customFormat="1">
      <c r="A16301" s="136"/>
      <c r="CM16301" s="111"/>
      <c r="CQ16301" s="111"/>
      <c r="EF16301"/>
      <c r="EG16301"/>
      <c r="EH16301"/>
      <c r="EI16301"/>
      <c r="EJ16301"/>
      <c r="EK16301"/>
    </row>
    <row r="16302" spans="1:141" s="116" customFormat="1">
      <c r="A16302" s="136"/>
      <c r="CM16302" s="111"/>
      <c r="CQ16302" s="111"/>
      <c r="EF16302"/>
      <c r="EG16302"/>
      <c r="EH16302"/>
      <c r="EI16302"/>
      <c r="EJ16302"/>
      <c r="EK16302"/>
    </row>
    <row r="16303" spans="1:141" s="116" customFormat="1">
      <c r="A16303" s="136"/>
      <c r="CM16303" s="111"/>
      <c r="CQ16303" s="111"/>
      <c r="EF16303"/>
      <c r="EG16303"/>
      <c r="EH16303"/>
      <c r="EI16303"/>
      <c r="EJ16303"/>
      <c r="EK16303"/>
    </row>
    <row r="16304" spans="1:141" s="116" customFormat="1">
      <c r="A16304" s="136"/>
      <c r="CM16304" s="111"/>
      <c r="CQ16304" s="111"/>
      <c r="EF16304"/>
      <c r="EG16304"/>
      <c r="EH16304"/>
      <c r="EI16304"/>
      <c r="EJ16304"/>
      <c r="EK16304"/>
    </row>
    <row r="16305" spans="1:141" s="116" customFormat="1">
      <c r="A16305" s="136"/>
      <c r="CM16305" s="111"/>
      <c r="CQ16305" s="111"/>
      <c r="EF16305"/>
      <c r="EG16305"/>
      <c r="EH16305"/>
      <c r="EI16305"/>
      <c r="EJ16305"/>
      <c r="EK16305"/>
    </row>
    <row r="16306" spans="1:141" s="116" customFormat="1">
      <c r="A16306" s="136"/>
      <c r="CM16306" s="111"/>
      <c r="CQ16306" s="111"/>
      <c r="EF16306"/>
      <c r="EG16306"/>
      <c r="EH16306"/>
      <c r="EI16306"/>
      <c r="EJ16306"/>
      <c r="EK16306"/>
    </row>
    <row r="16307" spans="1:141" s="116" customFormat="1">
      <c r="A16307" s="136"/>
      <c r="CM16307" s="111"/>
      <c r="CQ16307" s="111"/>
      <c r="EF16307"/>
      <c r="EG16307"/>
      <c r="EH16307"/>
      <c r="EI16307"/>
      <c r="EJ16307"/>
      <c r="EK16307"/>
    </row>
    <row r="16308" spans="1:141" s="116" customFormat="1">
      <c r="A16308" s="136"/>
      <c r="CM16308" s="111"/>
      <c r="CQ16308" s="111"/>
      <c r="EF16308"/>
      <c r="EG16308"/>
      <c r="EH16308"/>
      <c r="EI16308"/>
      <c r="EJ16308"/>
      <c r="EK16308"/>
    </row>
    <row r="16309" spans="1:141" s="116" customFormat="1">
      <c r="A16309" s="136"/>
      <c r="CM16309" s="111"/>
      <c r="CQ16309" s="111"/>
      <c r="EF16309"/>
      <c r="EG16309"/>
      <c r="EH16309"/>
      <c r="EI16309"/>
      <c r="EJ16309"/>
      <c r="EK16309"/>
    </row>
    <row r="16310" spans="1:141" s="116" customFormat="1">
      <c r="A16310" s="136"/>
      <c r="CM16310" s="111"/>
      <c r="CQ16310" s="111"/>
      <c r="EF16310"/>
      <c r="EG16310"/>
      <c r="EH16310"/>
      <c r="EI16310"/>
      <c r="EJ16310"/>
      <c r="EK16310"/>
    </row>
    <row r="16311" spans="1:141" s="116" customFormat="1">
      <c r="A16311" s="136"/>
      <c r="CM16311" s="111"/>
      <c r="CQ16311" s="111"/>
      <c r="EF16311"/>
      <c r="EG16311"/>
      <c r="EH16311"/>
      <c r="EI16311"/>
      <c r="EJ16311"/>
      <c r="EK16311"/>
    </row>
    <row r="16312" spans="1:141" s="116" customFormat="1">
      <c r="A16312" s="136"/>
      <c r="CM16312" s="111"/>
      <c r="CQ16312" s="111"/>
      <c r="EF16312"/>
      <c r="EG16312"/>
      <c r="EH16312"/>
      <c r="EI16312"/>
      <c r="EJ16312"/>
      <c r="EK16312"/>
    </row>
    <row r="16313" spans="1:141" s="116" customFormat="1">
      <c r="A16313" s="136"/>
      <c r="CM16313" s="111"/>
      <c r="CQ16313" s="111"/>
      <c r="EF16313"/>
      <c r="EG16313"/>
      <c r="EH16313"/>
      <c r="EI16313"/>
      <c r="EJ16313"/>
      <c r="EK16313"/>
    </row>
    <row r="16314" spans="1:141" s="116" customFormat="1">
      <c r="A16314" s="136"/>
      <c r="CM16314" s="111"/>
      <c r="CQ16314" s="111"/>
      <c r="EF16314"/>
      <c r="EG16314"/>
      <c r="EH16314"/>
      <c r="EI16314"/>
      <c r="EJ16314"/>
      <c r="EK16314"/>
    </row>
    <row r="16315" spans="1:141" s="116" customFormat="1">
      <c r="A16315" s="136"/>
      <c r="CM16315" s="111"/>
      <c r="CQ16315" s="111"/>
      <c r="EF16315"/>
      <c r="EG16315"/>
      <c r="EH16315"/>
      <c r="EI16315"/>
      <c r="EJ16315"/>
      <c r="EK16315"/>
    </row>
    <row r="16316" spans="1:141" s="116" customFormat="1">
      <c r="A16316" s="136"/>
      <c r="CM16316" s="111"/>
      <c r="CQ16316" s="111"/>
      <c r="EF16316"/>
      <c r="EG16316"/>
      <c r="EH16316"/>
      <c r="EI16316"/>
      <c r="EJ16316"/>
      <c r="EK16316"/>
    </row>
    <row r="16317" spans="1:141" s="116" customFormat="1">
      <c r="A16317" s="136"/>
      <c r="CM16317" s="111"/>
      <c r="CQ16317" s="111"/>
      <c r="EF16317"/>
      <c r="EG16317"/>
      <c r="EH16317"/>
      <c r="EI16317"/>
      <c r="EJ16317"/>
      <c r="EK16317"/>
    </row>
    <row r="16318" spans="1:141" s="116" customFormat="1">
      <c r="A16318" s="136"/>
      <c r="CM16318" s="111"/>
      <c r="CQ16318" s="111"/>
      <c r="EF16318"/>
      <c r="EG16318"/>
      <c r="EH16318"/>
      <c r="EI16318"/>
      <c r="EJ16318"/>
      <c r="EK16318"/>
    </row>
    <row r="16319" spans="1:141" s="116" customFormat="1">
      <c r="A16319" s="136"/>
      <c r="CM16319" s="111"/>
      <c r="CQ16319" s="111"/>
      <c r="EF16319"/>
      <c r="EG16319"/>
      <c r="EH16319"/>
      <c r="EI16319"/>
      <c r="EJ16319"/>
      <c r="EK16319"/>
    </row>
    <row r="16320" spans="1:141" s="116" customFormat="1">
      <c r="A16320" s="136"/>
      <c r="CM16320" s="111"/>
      <c r="CQ16320" s="111"/>
      <c r="EF16320"/>
      <c r="EG16320"/>
      <c r="EH16320"/>
      <c r="EI16320"/>
      <c r="EJ16320"/>
      <c r="EK16320"/>
    </row>
    <row r="16321" spans="1:141" s="116" customFormat="1">
      <c r="A16321" s="136"/>
      <c r="CM16321" s="111"/>
      <c r="CQ16321" s="111"/>
      <c r="EF16321"/>
      <c r="EG16321"/>
      <c r="EH16321"/>
      <c r="EI16321"/>
      <c r="EJ16321"/>
      <c r="EK16321"/>
    </row>
    <row r="16322" spans="1:141" s="116" customFormat="1">
      <c r="A16322" s="136"/>
      <c r="CM16322" s="111"/>
      <c r="CQ16322" s="111"/>
      <c r="EF16322"/>
      <c r="EG16322"/>
      <c r="EH16322"/>
      <c r="EI16322"/>
      <c r="EJ16322"/>
      <c r="EK16322"/>
    </row>
    <row r="16323" spans="1:141" s="116" customFormat="1">
      <c r="A16323" s="136"/>
      <c r="CM16323" s="111"/>
      <c r="CQ16323" s="111"/>
      <c r="EF16323"/>
      <c r="EG16323"/>
      <c r="EH16323"/>
      <c r="EI16323"/>
      <c r="EJ16323"/>
      <c r="EK16323"/>
    </row>
    <row r="16324" spans="1:141" s="116" customFormat="1">
      <c r="A16324" s="136"/>
      <c r="CM16324" s="111"/>
      <c r="CQ16324" s="111"/>
      <c r="EF16324"/>
      <c r="EG16324"/>
      <c r="EH16324"/>
      <c r="EI16324"/>
      <c r="EJ16324"/>
      <c r="EK16324"/>
    </row>
    <row r="16325" spans="1:141" s="116" customFormat="1">
      <c r="A16325" s="136"/>
      <c r="CM16325" s="111"/>
      <c r="CQ16325" s="111"/>
      <c r="EF16325"/>
      <c r="EG16325"/>
      <c r="EH16325"/>
      <c r="EI16325"/>
      <c r="EJ16325"/>
      <c r="EK16325"/>
    </row>
    <row r="16326" spans="1:141" s="116" customFormat="1">
      <c r="A16326" s="136"/>
      <c r="CM16326" s="111"/>
      <c r="CQ16326" s="111"/>
      <c r="EF16326"/>
      <c r="EG16326"/>
      <c r="EH16326"/>
      <c r="EI16326"/>
      <c r="EJ16326"/>
      <c r="EK16326"/>
    </row>
    <row r="16327" spans="1:141" s="116" customFormat="1">
      <c r="A16327" s="136"/>
      <c r="CM16327" s="111"/>
      <c r="CQ16327" s="111"/>
      <c r="EF16327"/>
      <c r="EG16327"/>
      <c r="EH16327"/>
      <c r="EI16327"/>
      <c r="EJ16327"/>
      <c r="EK16327"/>
    </row>
    <row r="16328" spans="1:141" s="116" customFormat="1">
      <c r="A16328" s="136"/>
      <c r="CM16328" s="111"/>
      <c r="CQ16328" s="111"/>
      <c r="EF16328"/>
      <c r="EG16328"/>
      <c r="EH16328"/>
      <c r="EI16328"/>
      <c r="EJ16328"/>
      <c r="EK16328"/>
    </row>
    <row r="16329" spans="1:141" s="116" customFormat="1">
      <c r="A16329" s="136"/>
      <c r="CM16329" s="111"/>
      <c r="CQ16329" s="111"/>
      <c r="EF16329"/>
      <c r="EG16329"/>
      <c r="EH16329"/>
      <c r="EI16329"/>
      <c r="EJ16329"/>
      <c r="EK16329"/>
    </row>
    <row r="16330" spans="1:141" s="116" customFormat="1">
      <c r="A16330" s="136"/>
      <c r="CM16330" s="111"/>
      <c r="CQ16330" s="111"/>
      <c r="EF16330"/>
      <c r="EG16330"/>
      <c r="EH16330"/>
      <c r="EI16330"/>
      <c r="EJ16330"/>
      <c r="EK16330"/>
    </row>
    <row r="16331" spans="1:141" s="116" customFormat="1">
      <c r="A16331" s="136"/>
      <c r="CM16331" s="111"/>
      <c r="CQ16331" s="111"/>
      <c r="EF16331"/>
      <c r="EG16331"/>
      <c r="EH16331"/>
      <c r="EI16331"/>
      <c r="EJ16331"/>
      <c r="EK16331"/>
    </row>
    <row r="16332" spans="1:141" s="116" customFormat="1">
      <c r="A16332" s="136"/>
      <c r="CM16332" s="111"/>
      <c r="CQ16332" s="111"/>
      <c r="EF16332"/>
      <c r="EG16332"/>
      <c r="EH16332"/>
      <c r="EI16332"/>
      <c r="EJ16332"/>
      <c r="EK16332"/>
    </row>
    <row r="16333" spans="1:141" s="116" customFormat="1">
      <c r="A16333" s="136"/>
      <c r="CM16333" s="111"/>
      <c r="CQ16333" s="111"/>
      <c r="EF16333"/>
      <c r="EG16333"/>
      <c r="EH16333"/>
      <c r="EI16333"/>
      <c r="EJ16333"/>
      <c r="EK16333"/>
    </row>
    <row r="16334" spans="1:141" s="116" customFormat="1">
      <c r="A16334" s="136"/>
      <c r="CM16334" s="111"/>
      <c r="CQ16334" s="111"/>
      <c r="EF16334"/>
      <c r="EG16334"/>
      <c r="EH16334"/>
      <c r="EI16334"/>
      <c r="EJ16334"/>
      <c r="EK16334"/>
    </row>
    <row r="16335" spans="1:141" s="116" customFormat="1">
      <c r="A16335" s="136"/>
      <c r="CM16335" s="111"/>
      <c r="CQ16335" s="111"/>
      <c r="EF16335"/>
      <c r="EG16335"/>
      <c r="EH16335"/>
      <c r="EI16335"/>
      <c r="EJ16335"/>
      <c r="EK16335"/>
    </row>
    <row r="16336" spans="1:141" s="116" customFormat="1">
      <c r="A16336" s="136"/>
      <c r="CM16336" s="111"/>
      <c r="CQ16336" s="111"/>
      <c r="EF16336"/>
      <c r="EG16336"/>
      <c r="EH16336"/>
      <c r="EI16336"/>
      <c r="EJ16336"/>
      <c r="EK16336"/>
    </row>
    <row r="16337" spans="1:141" s="116" customFormat="1">
      <c r="A16337" s="136"/>
      <c r="CM16337" s="111"/>
      <c r="CQ16337" s="111"/>
      <c r="EF16337"/>
      <c r="EG16337"/>
      <c r="EH16337"/>
      <c r="EI16337"/>
      <c r="EJ16337"/>
      <c r="EK16337"/>
    </row>
    <row r="16338" spans="1:141" s="116" customFormat="1">
      <c r="A16338" s="136"/>
      <c r="CM16338" s="111"/>
      <c r="CQ16338" s="111"/>
      <c r="EF16338"/>
      <c r="EG16338"/>
      <c r="EH16338"/>
      <c r="EI16338"/>
      <c r="EJ16338"/>
      <c r="EK16338"/>
    </row>
    <row r="16339" spans="1:141" s="116" customFormat="1">
      <c r="A16339" s="136"/>
      <c r="CM16339" s="111"/>
      <c r="CQ16339" s="111"/>
      <c r="EF16339"/>
      <c r="EG16339"/>
      <c r="EH16339"/>
      <c r="EI16339"/>
      <c r="EJ16339"/>
      <c r="EK16339"/>
    </row>
    <row r="16340" spans="1:141" s="116" customFormat="1">
      <c r="A16340" s="136"/>
      <c r="CM16340" s="111"/>
      <c r="CQ16340" s="111"/>
      <c r="EF16340"/>
      <c r="EG16340"/>
      <c r="EH16340"/>
      <c r="EI16340"/>
      <c r="EJ16340"/>
      <c r="EK16340"/>
    </row>
    <row r="16341" spans="1:141" s="116" customFormat="1">
      <c r="A16341" s="136"/>
      <c r="CM16341" s="111"/>
      <c r="CQ16341" s="111"/>
      <c r="EF16341"/>
      <c r="EG16341"/>
      <c r="EH16341"/>
      <c r="EI16341"/>
      <c r="EJ16341"/>
      <c r="EK16341"/>
    </row>
    <row r="16342" spans="1:141" s="116" customFormat="1">
      <c r="A16342" s="136"/>
      <c r="CM16342" s="111"/>
      <c r="CQ16342" s="111"/>
      <c r="EF16342"/>
      <c r="EG16342"/>
      <c r="EH16342"/>
      <c r="EI16342"/>
      <c r="EJ16342"/>
      <c r="EK16342"/>
    </row>
    <row r="16343" spans="1:141" s="116" customFormat="1">
      <c r="A16343" s="136"/>
      <c r="CM16343" s="111"/>
      <c r="CQ16343" s="111"/>
      <c r="EF16343"/>
      <c r="EG16343"/>
      <c r="EH16343"/>
      <c r="EI16343"/>
      <c r="EJ16343"/>
      <c r="EK16343"/>
    </row>
    <row r="16344" spans="1:141" s="116" customFormat="1">
      <c r="A16344" s="136"/>
      <c r="CM16344" s="111"/>
      <c r="CQ16344" s="111"/>
      <c r="EF16344"/>
      <c r="EG16344"/>
      <c r="EH16344"/>
      <c r="EI16344"/>
      <c r="EJ16344"/>
      <c r="EK16344"/>
    </row>
    <row r="16345" spans="1:141" s="116" customFormat="1">
      <c r="A16345" s="136"/>
      <c r="CM16345" s="111"/>
      <c r="CQ16345" s="111"/>
      <c r="EF16345"/>
      <c r="EG16345"/>
      <c r="EH16345"/>
      <c r="EI16345"/>
      <c r="EJ16345"/>
      <c r="EK16345"/>
    </row>
    <row r="16346" spans="1:141" s="116" customFormat="1">
      <c r="A16346" s="136"/>
      <c r="CM16346" s="111"/>
      <c r="CQ16346" s="111"/>
      <c r="EF16346"/>
      <c r="EG16346"/>
      <c r="EH16346"/>
      <c r="EI16346"/>
      <c r="EJ16346"/>
      <c r="EK16346"/>
    </row>
    <row r="16347" spans="1:141" s="116" customFormat="1">
      <c r="A16347" s="136"/>
      <c r="CM16347" s="111"/>
      <c r="CQ16347" s="111"/>
      <c r="EF16347"/>
      <c r="EG16347"/>
      <c r="EH16347"/>
      <c r="EI16347"/>
      <c r="EJ16347"/>
      <c r="EK16347"/>
    </row>
    <row r="16348" spans="1:141" s="116" customFormat="1">
      <c r="A16348" s="136"/>
      <c r="CM16348" s="111"/>
      <c r="CQ16348" s="111"/>
      <c r="EF16348"/>
      <c r="EG16348"/>
      <c r="EH16348"/>
      <c r="EI16348"/>
      <c r="EJ16348"/>
      <c r="EK16348"/>
    </row>
    <row r="16349" spans="1:141" s="116" customFormat="1">
      <c r="A16349" s="136"/>
      <c r="CM16349" s="111"/>
      <c r="CQ16349" s="111"/>
      <c r="EF16349"/>
      <c r="EG16349"/>
      <c r="EH16349"/>
      <c r="EI16349"/>
      <c r="EJ16349"/>
      <c r="EK16349"/>
    </row>
    <row r="16350" spans="1:141" s="116" customFormat="1">
      <c r="A16350" s="136"/>
      <c r="CM16350" s="111"/>
      <c r="CQ16350" s="111"/>
      <c r="EF16350"/>
      <c r="EG16350"/>
      <c r="EH16350"/>
      <c r="EI16350"/>
      <c r="EJ16350"/>
      <c r="EK16350"/>
    </row>
    <row r="16351" spans="1:141" s="116" customFormat="1">
      <c r="A16351" s="136"/>
      <c r="CM16351" s="111"/>
      <c r="CQ16351" s="111"/>
      <c r="EF16351"/>
      <c r="EG16351"/>
      <c r="EH16351"/>
      <c r="EI16351"/>
      <c r="EJ16351"/>
      <c r="EK16351"/>
    </row>
    <row r="16352" spans="1:141" s="116" customFormat="1">
      <c r="A16352" s="136"/>
      <c r="CM16352" s="111"/>
      <c r="CQ16352" s="111"/>
      <c r="EF16352"/>
      <c r="EG16352"/>
      <c r="EH16352"/>
      <c r="EI16352"/>
      <c r="EJ16352"/>
      <c r="EK16352"/>
    </row>
    <row r="16353" spans="1:141" s="116" customFormat="1">
      <c r="A16353" s="136"/>
      <c r="CM16353" s="111"/>
      <c r="CQ16353" s="111"/>
      <c r="EF16353"/>
      <c r="EG16353"/>
      <c r="EH16353"/>
      <c r="EI16353"/>
      <c r="EJ16353"/>
      <c r="EK16353"/>
    </row>
    <row r="16354" spans="1:141" s="116" customFormat="1">
      <c r="A16354" s="136"/>
      <c r="CM16354" s="111"/>
      <c r="CQ16354" s="111"/>
      <c r="EF16354"/>
      <c r="EG16354"/>
      <c r="EH16354"/>
      <c r="EI16354"/>
      <c r="EJ16354"/>
      <c r="EK16354"/>
    </row>
    <row r="16355" spans="1:141" s="116" customFormat="1">
      <c r="A16355" s="136"/>
      <c r="CM16355" s="111"/>
      <c r="CQ16355" s="111"/>
      <c r="EF16355"/>
      <c r="EG16355"/>
      <c r="EH16355"/>
      <c r="EI16355"/>
      <c r="EJ16355"/>
      <c r="EK16355"/>
    </row>
    <row r="16356" spans="1:141" s="116" customFormat="1">
      <c r="A16356" s="136"/>
      <c r="CM16356" s="111"/>
      <c r="CQ16356" s="111"/>
      <c r="EF16356"/>
      <c r="EG16356"/>
      <c r="EH16356"/>
      <c r="EI16356"/>
      <c r="EJ16356"/>
      <c r="EK16356"/>
    </row>
    <row r="16357" spans="1:141" s="116" customFormat="1">
      <c r="A16357" s="136"/>
      <c r="CM16357" s="111"/>
      <c r="CQ16357" s="111"/>
      <c r="EF16357"/>
      <c r="EG16357"/>
      <c r="EH16357"/>
      <c r="EI16357"/>
      <c r="EJ16357"/>
      <c r="EK16357"/>
    </row>
    <row r="16358" spans="1:141" s="116" customFormat="1">
      <c r="A16358" s="136"/>
      <c r="CM16358" s="111"/>
      <c r="CQ16358" s="111"/>
      <c r="EF16358"/>
      <c r="EG16358"/>
      <c r="EH16358"/>
      <c r="EI16358"/>
      <c r="EJ16358"/>
      <c r="EK16358"/>
    </row>
    <row r="16359" spans="1:141" s="116" customFormat="1">
      <c r="A16359" s="136"/>
      <c r="CM16359" s="111"/>
      <c r="CQ16359" s="111"/>
      <c r="EF16359"/>
      <c r="EG16359"/>
      <c r="EH16359"/>
      <c r="EI16359"/>
      <c r="EJ16359"/>
      <c r="EK16359"/>
    </row>
    <row r="16360" spans="1:141" s="116" customFormat="1">
      <c r="A16360" s="136"/>
      <c r="CM16360" s="111"/>
      <c r="CQ16360" s="111"/>
      <c r="EF16360"/>
      <c r="EG16360"/>
      <c r="EH16360"/>
      <c r="EI16360"/>
      <c r="EJ16360"/>
      <c r="EK16360"/>
    </row>
    <row r="16361" spans="1:141" s="116" customFormat="1">
      <c r="A16361" s="136"/>
      <c r="CM16361" s="111"/>
      <c r="CQ16361" s="111"/>
      <c r="EF16361"/>
      <c r="EG16361"/>
      <c r="EH16361"/>
      <c r="EI16361"/>
      <c r="EJ16361"/>
      <c r="EK16361"/>
    </row>
    <row r="16362" spans="1:141" s="116" customFormat="1">
      <c r="A16362" s="136"/>
      <c r="CM16362" s="111"/>
      <c r="CQ16362" s="111"/>
      <c r="EF16362"/>
      <c r="EG16362"/>
      <c r="EH16362"/>
      <c r="EI16362"/>
      <c r="EJ16362"/>
      <c r="EK16362"/>
    </row>
    <row r="16363" spans="1:141" s="116" customFormat="1">
      <c r="A16363" s="136"/>
      <c r="CM16363" s="111"/>
      <c r="CQ16363" s="111"/>
      <c r="EF16363"/>
      <c r="EG16363"/>
      <c r="EH16363"/>
      <c r="EI16363"/>
      <c r="EJ16363"/>
      <c r="EK16363"/>
    </row>
    <row r="16364" spans="1:141" s="116" customFormat="1">
      <c r="A16364" s="136"/>
      <c r="CM16364" s="111"/>
      <c r="CQ16364" s="111"/>
      <c r="EF16364"/>
      <c r="EG16364"/>
      <c r="EH16364"/>
      <c r="EI16364"/>
      <c r="EJ16364"/>
      <c r="EK16364"/>
    </row>
    <row r="16365" spans="1:141" s="116" customFormat="1">
      <c r="A16365" s="136"/>
      <c r="CM16365" s="111"/>
      <c r="CQ16365" s="111"/>
      <c r="EF16365"/>
      <c r="EG16365"/>
      <c r="EH16365"/>
      <c r="EI16365"/>
      <c r="EJ16365"/>
      <c r="EK16365"/>
    </row>
    <row r="16366" spans="1:141" s="116" customFormat="1">
      <c r="A16366" s="136"/>
      <c r="CM16366" s="111"/>
      <c r="CQ16366" s="111"/>
      <c r="EF16366"/>
      <c r="EG16366"/>
      <c r="EH16366"/>
      <c r="EI16366"/>
      <c r="EJ16366"/>
      <c r="EK16366"/>
    </row>
    <row r="16367" spans="1:141" s="116" customFormat="1">
      <c r="A16367" s="136"/>
      <c r="CM16367" s="111"/>
      <c r="CQ16367" s="111"/>
      <c r="EF16367"/>
      <c r="EG16367"/>
      <c r="EH16367"/>
      <c r="EI16367"/>
      <c r="EJ16367"/>
      <c r="EK16367"/>
    </row>
    <row r="16368" spans="1:141" s="116" customFormat="1">
      <c r="A16368" s="136"/>
      <c r="CM16368" s="111"/>
      <c r="CQ16368" s="111"/>
      <c r="EF16368"/>
      <c r="EG16368"/>
      <c r="EH16368"/>
      <c r="EI16368"/>
      <c r="EJ16368"/>
      <c r="EK16368"/>
    </row>
    <row r="16369" spans="1:141" s="116" customFormat="1">
      <c r="A16369" s="136"/>
      <c r="CM16369" s="111"/>
      <c r="CQ16369" s="111"/>
      <c r="EF16369"/>
      <c r="EG16369"/>
      <c r="EH16369"/>
      <c r="EI16369"/>
      <c r="EJ16369"/>
      <c r="EK16369"/>
    </row>
    <row r="16370" spans="1:141" s="116" customFormat="1">
      <c r="A16370" s="136"/>
      <c r="CM16370" s="111"/>
      <c r="CQ16370" s="111"/>
      <c r="EF16370"/>
      <c r="EG16370"/>
      <c r="EH16370"/>
      <c r="EI16370"/>
      <c r="EJ16370"/>
      <c r="EK16370"/>
    </row>
    <row r="16371" spans="1:141" s="116" customFormat="1">
      <c r="A16371" s="136"/>
      <c r="CM16371" s="111"/>
      <c r="CQ16371" s="111"/>
      <c r="EF16371"/>
      <c r="EG16371"/>
      <c r="EH16371"/>
      <c r="EI16371"/>
      <c r="EJ16371"/>
      <c r="EK16371"/>
    </row>
    <row r="16372" spans="1:141" s="116" customFormat="1">
      <c r="A16372" s="136"/>
      <c r="CM16372" s="111"/>
      <c r="CQ16372" s="111"/>
      <c r="EF16372"/>
      <c r="EG16372"/>
      <c r="EH16372"/>
      <c r="EI16372"/>
      <c r="EJ16372"/>
      <c r="EK16372"/>
    </row>
    <row r="16373" spans="1:141" s="116" customFormat="1">
      <c r="A16373" s="136"/>
      <c r="CM16373" s="111"/>
      <c r="CQ16373" s="111"/>
      <c r="EF16373"/>
      <c r="EG16373"/>
      <c r="EH16373"/>
      <c r="EI16373"/>
      <c r="EJ16373"/>
      <c r="EK16373"/>
    </row>
    <row r="16374" spans="1:141" s="116" customFormat="1">
      <c r="A16374" s="136"/>
      <c r="CM16374" s="111"/>
      <c r="CQ16374" s="111"/>
      <c r="EF16374"/>
      <c r="EG16374"/>
      <c r="EH16374"/>
      <c r="EI16374"/>
      <c r="EJ16374"/>
      <c r="EK16374"/>
    </row>
    <row r="16375" spans="1:141" s="116" customFormat="1">
      <c r="A16375" s="136"/>
      <c r="CM16375" s="111"/>
      <c r="CQ16375" s="111"/>
      <c r="EF16375"/>
      <c r="EG16375"/>
      <c r="EH16375"/>
      <c r="EI16375"/>
      <c r="EJ16375"/>
      <c r="EK16375"/>
    </row>
    <row r="16376" spans="1:141" s="116" customFormat="1">
      <c r="A16376" s="136"/>
      <c r="CM16376" s="111"/>
      <c r="CQ16376" s="111"/>
      <c r="EF16376"/>
      <c r="EG16376"/>
      <c r="EH16376"/>
      <c r="EI16376"/>
      <c r="EJ16376"/>
      <c r="EK16376"/>
    </row>
    <row r="16377" spans="1:141" s="116" customFormat="1">
      <c r="A16377" s="136"/>
      <c r="CM16377" s="111"/>
      <c r="CQ16377" s="111"/>
      <c r="EF16377"/>
      <c r="EG16377"/>
      <c r="EH16377"/>
      <c r="EI16377"/>
      <c r="EJ16377"/>
      <c r="EK16377"/>
    </row>
    <row r="16378" spans="1:141" s="116" customFormat="1">
      <c r="A16378" s="136"/>
      <c r="CM16378" s="111"/>
      <c r="CQ16378" s="111"/>
      <c r="EF16378"/>
      <c r="EG16378"/>
      <c r="EH16378"/>
      <c r="EI16378"/>
      <c r="EJ16378"/>
      <c r="EK16378"/>
    </row>
    <row r="16379" spans="1:141" s="116" customFormat="1">
      <c r="A16379" s="136"/>
      <c r="CM16379" s="111"/>
      <c r="CQ16379" s="111"/>
      <c r="EF16379"/>
      <c r="EG16379"/>
      <c r="EH16379"/>
      <c r="EI16379"/>
      <c r="EJ16379"/>
      <c r="EK16379"/>
    </row>
    <row r="16380" spans="1:141" s="116" customFormat="1">
      <c r="A16380" s="136"/>
      <c r="CM16380" s="111"/>
      <c r="CQ16380" s="111"/>
      <c r="EF16380"/>
      <c r="EG16380"/>
      <c r="EH16380"/>
      <c r="EI16380"/>
      <c r="EJ16380"/>
      <c r="EK16380"/>
    </row>
    <row r="16381" spans="1:141" s="116" customFormat="1">
      <c r="A16381" s="136"/>
      <c r="CM16381" s="111"/>
      <c r="CQ16381" s="111"/>
      <c r="EF16381"/>
      <c r="EG16381"/>
      <c r="EH16381"/>
      <c r="EI16381"/>
      <c r="EJ16381"/>
      <c r="EK16381"/>
    </row>
    <row r="16382" spans="1:141" s="116" customFormat="1">
      <c r="A16382" s="136"/>
      <c r="CM16382" s="111"/>
      <c r="CQ16382" s="111"/>
      <c r="EF16382"/>
      <c r="EG16382"/>
      <c r="EH16382"/>
      <c r="EI16382"/>
      <c r="EJ16382"/>
      <c r="EK16382"/>
    </row>
    <row r="16383" spans="1:141" s="116" customFormat="1">
      <c r="A16383" s="136"/>
      <c r="CM16383" s="111"/>
      <c r="CQ16383" s="111"/>
      <c r="EF16383"/>
      <c r="EG16383"/>
      <c r="EH16383"/>
      <c r="EI16383"/>
      <c r="EJ16383"/>
      <c r="EK16383"/>
    </row>
    <row r="16384" spans="1:141" s="116" customFormat="1">
      <c r="A16384" s="136"/>
      <c r="CM16384" s="111"/>
      <c r="CQ16384" s="111"/>
      <c r="EF16384"/>
      <c r="EG16384"/>
      <c r="EH16384"/>
      <c r="EI16384"/>
      <c r="EJ16384"/>
      <c r="EK16384"/>
    </row>
    <row r="16385" spans="1:141" s="116" customFormat="1">
      <c r="A16385" s="136"/>
      <c r="CM16385" s="111"/>
      <c r="CQ16385" s="111"/>
      <c r="EF16385"/>
      <c r="EG16385"/>
      <c r="EH16385"/>
      <c r="EI16385"/>
      <c r="EJ16385"/>
      <c r="EK16385"/>
    </row>
    <row r="16386" spans="1:141" s="116" customFormat="1">
      <c r="A16386" s="136"/>
      <c r="CM16386" s="111"/>
      <c r="CQ16386" s="111"/>
      <c r="EF16386"/>
      <c r="EG16386"/>
      <c r="EH16386"/>
      <c r="EI16386"/>
      <c r="EJ16386"/>
      <c r="EK16386"/>
    </row>
    <row r="16387" spans="1:141" s="116" customFormat="1">
      <c r="A16387" s="136"/>
      <c r="CM16387" s="111"/>
      <c r="CQ16387" s="111"/>
      <c r="EF16387"/>
      <c r="EG16387"/>
      <c r="EH16387"/>
      <c r="EI16387"/>
      <c r="EJ16387"/>
      <c r="EK16387"/>
    </row>
    <row r="16388" spans="1:141" s="116" customFormat="1">
      <c r="A16388" s="136"/>
      <c r="CM16388" s="111"/>
      <c r="CQ16388" s="111"/>
      <c r="EF16388"/>
      <c r="EG16388"/>
      <c r="EH16388"/>
      <c r="EI16388"/>
      <c r="EJ16388"/>
      <c r="EK16388"/>
    </row>
    <row r="16389" spans="1:141" s="116" customFormat="1">
      <c r="A16389" s="136"/>
      <c r="CM16389" s="111"/>
      <c r="CQ16389" s="111"/>
      <c r="EF16389"/>
      <c r="EG16389"/>
      <c r="EH16389"/>
      <c r="EI16389"/>
      <c r="EJ16389"/>
      <c r="EK16389"/>
    </row>
    <row r="16390" spans="1:141" s="116" customFormat="1">
      <c r="A16390" s="136"/>
      <c r="CM16390" s="111"/>
      <c r="CQ16390" s="111"/>
      <c r="EF16390"/>
      <c r="EG16390"/>
      <c r="EH16390"/>
      <c r="EI16390"/>
      <c r="EJ16390"/>
      <c r="EK16390"/>
    </row>
    <row r="16391" spans="1:141" s="116" customFormat="1">
      <c r="A16391" s="136"/>
      <c r="CM16391" s="111"/>
      <c r="CQ16391" s="111"/>
      <c r="EF16391"/>
      <c r="EG16391"/>
      <c r="EH16391"/>
      <c r="EI16391"/>
      <c r="EJ16391"/>
      <c r="EK16391"/>
    </row>
    <row r="16392" spans="1:141" s="116" customFormat="1">
      <c r="A16392" s="136"/>
      <c r="CM16392" s="111"/>
      <c r="CQ16392" s="111"/>
      <c r="EF16392"/>
      <c r="EG16392"/>
      <c r="EH16392"/>
      <c r="EI16392"/>
      <c r="EJ16392"/>
      <c r="EK16392"/>
    </row>
    <row r="16393" spans="1:141" s="116" customFormat="1">
      <c r="A16393" s="136"/>
      <c r="CM16393" s="111"/>
      <c r="CQ16393" s="111"/>
      <c r="EF16393"/>
      <c r="EG16393"/>
      <c r="EH16393"/>
      <c r="EI16393"/>
      <c r="EJ16393"/>
      <c r="EK16393"/>
    </row>
    <row r="16394" spans="1:141" s="116" customFormat="1">
      <c r="A16394" s="136"/>
      <c r="CM16394" s="111"/>
      <c r="CQ16394" s="111"/>
      <c r="EF16394"/>
      <c r="EG16394"/>
      <c r="EH16394"/>
      <c r="EI16394"/>
      <c r="EJ16394"/>
      <c r="EK16394"/>
    </row>
    <row r="16395" spans="1:141" s="116" customFormat="1">
      <c r="A16395" s="136"/>
      <c r="CM16395" s="111"/>
      <c r="CQ16395" s="111"/>
      <c r="EF16395"/>
      <c r="EG16395"/>
      <c r="EH16395"/>
      <c r="EI16395"/>
      <c r="EJ16395"/>
      <c r="EK16395"/>
    </row>
    <row r="16396" spans="1:141" s="116" customFormat="1">
      <c r="A16396" s="136"/>
      <c r="CM16396" s="111"/>
      <c r="CQ16396" s="111"/>
      <c r="EF16396"/>
      <c r="EG16396"/>
      <c r="EH16396"/>
      <c r="EI16396"/>
      <c r="EJ16396"/>
      <c r="EK16396"/>
    </row>
    <row r="16397" spans="1:141" s="116" customFormat="1">
      <c r="A16397" s="136"/>
      <c r="CM16397" s="111"/>
      <c r="CQ16397" s="111"/>
      <c r="EF16397"/>
      <c r="EG16397"/>
      <c r="EH16397"/>
      <c r="EI16397"/>
      <c r="EJ16397"/>
      <c r="EK16397"/>
    </row>
    <row r="16398" spans="1:141" s="116" customFormat="1">
      <c r="A16398" s="136"/>
      <c r="CM16398" s="111"/>
      <c r="CQ16398" s="111"/>
      <c r="EF16398"/>
      <c r="EG16398"/>
      <c r="EH16398"/>
      <c r="EI16398"/>
      <c r="EJ16398"/>
      <c r="EK16398"/>
    </row>
    <row r="16399" spans="1:141" s="116" customFormat="1">
      <c r="A16399" s="136"/>
      <c r="CM16399" s="111"/>
      <c r="CQ16399" s="111"/>
      <c r="EF16399"/>
      <c r="EG16399"/>
      <c r="EH16399"/>
      <c r="EI16399"/>
      <c r="EJ16399"/>
      <c r="EK16399"/>
    </row>
    <row r="16400" spans="1:141" s="116" customFormat="1">
      <c r="A16400" s="136"/>
      <c r="CM16400" s="111"/>
      <c r="CQ16400" s="111"/>
      <c r="EF16400"/>
      <c r="EG16400"/>
      <c r="EH16400"/>
      <c r="EI16400"/>
      <c r="EJ16400"/>
      <c r="EK16400"/>
    </row>
    <row r="16401" spans="1:141" s="116" customFormat="1">
      <c r="A16401" s="136"/>
      <c r="CM16401" s="111"/>
      <c r="CQ16401" s="111"/>
      <c r="EF16401"/>
      <c r="EG16401"/>
      <c r="EH16401"/>
      <c r="EI16401"/>
      <c r="EJ16401"/>
      <c r="EK16401"/>
    </row>
    <row r="16402" spans="1:141" s="116" customFormat="1">
      <c r="A16402" s="136"/>
      <c r="CM16402" s="111"/>
      <c r="CQ16402" s="111"/>
      <c r="EF16402"/>
      <c r="EG16402"/>
      <c r="EH16402"/>
      <c r="EI16402"/>
      <c r="EJ16402"/>
      <c r="EK16402"/>
    </row>
    <row r="16403" spans="1:141" s="116" customFormat="1">
      <c r="A16403" s="136"/>
      <c r="CM16403" s="111"/>
      <c r="CQ16403" s="111"/>
      <c r="EF16403"/>
      <c r="EG16403"/>
      <c r="EH16403"/>
      <c r="EI16403"/>
      <c r="EJ16403"/>
      <c r="EK16403"/>
    </row>
    <row r="16404" spans="1:141" s="116" customFormat="1">
      <c r="A16404" s="136"/>
      <c r="CM16404" s="111"/>
      <c r="CQ16404" s="111"/>
      <c r="EF16404"/>
      <c r="EG16404"/>
      <c r="EH16404"/>
      <c r="EI16404"/>
      <c r="EJ16404"/>
      <c r="EK16404"/>
    </row>
    <row r="16405" spans="1:141" s="116" customFormat="1">
      <c r="A16405" s="136"/>
      <c r="CM16405" s="111"/>
      <c r="CQ16405" s="111"/>
      <c r="EF16405"/>
      <c r="EG16405"/>
      <c r="EH16405"/>
      <c r="EI16405"/>
      <c r="EJ16405"/>
      <c r="EK16405"/>
    </row>
    <row r="16406" spans="1:141" s="116" customFormat="1">
      <c r="A16406" s="136"/>
      <c r="CM16406" s="111"/>
      <c r="CQ16406" s="111"/>
      <c r="EF16406"/>
      <c r="EG16406"/>
      <c r="EH16406"/>
      <c r="EI16406"/>
      <c r="EJ16406"/>
      <c r="EK16406"/>
    </row>
    <row r="16407" spans="1:141" s="116" customFormat="1">
      <c r="A16407" s="136"/>
      <c r="CM16407" s="111"/>
      <c r="CQ16407" s="111"/>
      <c r="EF16407"/>
      <c r="EG16407"/>
      <c r="EH16407"/>
      <c r="EI16407"/>
      <c r="EJ16407"/>
      <c r="EK16407"/>
    </row>
    <row r="16408" spans="1:141" s="116" customFormat="1">
      <c r="A16408" s="136"/>
      <c r="CM16408" s="111"/>
      <c r="CQ16408" s="111"/>
      <c r="EF16408"/>
      <c r="EG16408"/>
      <c r="EH16408"/>
      <c r="EI16408"/>
      <c r="EJ16408"/>
      <c r="EK16408"/>
    </row>
    <row r="16409" spans="1:141" s="116" customFormat="1">
      <c r="A16409" s="136"/>
      <c r="CM16409" s="111"/>
      <c r="CQ16409" s="111"/>
      <c r="EF16409"/>
      <c r="EG16409"/>
      <c r="EH16409"/>
      <c r="EI16409"/>
      <c r="EJ16409"/>
      <c r="EK16409"/>
    </row>
    <row r="16410" spans="1:141" s="116" customFormat="1">
      <c r="A16410" s="136"/>
      <c r="CM16410" s="111"/>
      <c r="CQ16410" s="111"/>
      <c r="EF16410"/>
      <c r="EG16410"/>
      <c r="EH16410"/>
      <c r="EI16410"/>
      <c r="EJ16410"/>
      <c r="EK16410"/>
    </row>
    <row r="16411" spans="1:141" s="116" customFormat="1">
      <c r="A16411" s="136"/>
      <c r="CM16411" s="111"/>
      <c r="CQ16411" s="111"/>
      <c r="EF16411"/>
      <c r="EG16411"/>
      <c r="EH16411"/>
      <c r="EI16411"/>
      <c r="EJ16411"/>
      <c r="EK16411"/>
    </row>
    <row r="16412" spans="1:141" s="116" customFormat="1">
      <c r="A16412" s="136"/>
      <c r="CM16412" s="111"/>
      <c r="CQ16412" s="111"/>
      <c r="EF16412"/>
      <c r="EG16412"/>
      <c r="EH16412"/>
      <c r="EI16412"/>
      <c r="EJ16412"/>
      <c r="EK16412"/>
    </row>
    <row r="16413" spans="1:141" s="116" customFormat="1">
      <c r="A16413" s="136"/>
      <c r="CM16413" s="111"/>
      <c r="CQ16413" s="111"/>
      <c r="EF16413"/>
      <c r="EG16413"/>
      <c r="EH16413"/>
      <c r="EI16413"/>
      <c r="EJ16413"/>
      <c r="EK16413"/>
    </row>
    <row r="16414" spans="1:141" s="116" customFormat="1">
      <c r="A16414" s="136"/>
      <c r="CM16414" s="111"/>
      <c r="CQ16414" s="111"/>
      <c r="EF16414"/>
      <c r="EG16414"/>
      <c r="EH16414"/>
      <c r="EI16414"/>
      <c r="EJ16414"/>
      <c r="EK16414"/>
    </row>
    <row r="16415" spans="1:141" s="116" customFormat="1">
      <c r="A16415" s="136"/>
      <c r="CM16415" s="111"/>
      <c r="CQ16415" s="111"/>
      <c r="EF16415"/>
      <c r="EG16415"/>
      <c r="EH16415"/>
      <c r="EI16415"/>
      <c r="EJ16415"/>
      <c r="EK16415"/>
    </row>
    <row r="16416" spans="1:141" s="116" customFormat="1">
      <c r="A16416" s="136"/>
      <c r="CM16416" s="111"/>
      <c r="CQ16416" s="111"/>
      <c r="EF16416"/>
      <c r="EG16416"/>
      <c r="EH16416"/>
      <c r="EI16416"/>
      <c r="EJ16416"/>
      <c r="EK16416"/>
    </row>
    <row r="16417" spans="1:141" s="116" customFormat="1">
      <c r="A16417" s="136"/>
      <c r="CM16417" s="111"/>
      <c r="CQ16417" s="111"/>
      <c r="EF16417"/>
      <c r="EG16417"/>
      <c r="EH16417"/>
      <c r="EI16417"/>
      <c r="EJ16417"/>
      <c r="EK16417"/>
    </row>
    <row r="16418" spans="1:141" s="116" customFormat="1">
      <c r="A16418" s="136"/>
      <c r="CM16418" s="111"/>
      <c r="CQ16418" s="111"/>
      <c r="EF16418"/>
      <c r="EG16418"/>
      <c r="EH16418"/>
      <c r="EI16418"/>
      <c r="EJ16418"/>
      <c r="EK16418"/>
    </row>
    <row r="16419" spans="1:141" s="116" customFormat="1">
      <c r="A16419" s="136"/>
      <c r="CM16419" s="111"/>
      <c r="CQ16419" s="111"/>
      <c r="EF16419"/>
      <c r="EG16419"/>
      <c r="EH16419"/>
      <c r="EI16419"/>
      <c r="EJ16419"/>
      <c r="EK16419"/>
    </row>
    <row r="16420" spans="1:141" s="116" customFormat="1">
      <c r="A16420" s="136"/>
      <c r="CM16420" s="111"/>
      <c r="CQ16420" s="111"/>
      <c r="EF16420"/>
      <c r="EG16420"/>
      <c r="EH16420"/>
      <c r="EI16420"/>
      <c r="EJ16420"/>
      <c r="EK16420"/>
    </row>
    <row r="16421" spans="1:141" s="116" customFormat="1">
      <c r="A16421" s="136"/>
      <c r="CM16421" s="111"/>
      <c r="CQ16421" s="111"/>
      <c r="EF16421"/>
      <c r="EG16421"/>
      <c r="EH16421"/>
      <c r="EI16421"/>
      <c r="EJ16421"/>
      <c r="EK16421"/>
    </row>
    <row r="16422" spans="1:141" s="116" customFormat="1">
      <c r="A16422" s="136"/>
      <c r="CM16422" s="111"/>
      <c r="CQ16422" s="111"/>
      <c r="EF16422"/>
      <c r="EG16422"/>
      <c r="EH16422"/>
      <c r="EI16422"/>
      <c r="EJ16422"/>
      <c r="EK16422"/>
    </row>
    <row r="16423" spans="1:141" s="116" customFormat="1">
      <c r="A16423" s="136"/>
      <c r="CM16423" s="111"/>
      <c r="CQ16423" s="111"/>
      <c r="EF16423"/>
      <c r="EG16423"/>
      <c r="EH16423"/>
      <c r="EI16423"/>
      <c r="EJ16423"/>
      <c r="EK16423"/>
    </row>
    <row r="16424" spans="1:141" s="116" customFormat="1">
      <c r="A16424" s="136"/>
      <c r="CM16424" s="111"/>
      <c r="CQ16424" s="111"/>
      <c r="EF16424"/>
      <c r="EG16424"/>
      <c r="EH16424"/>
      <c r="EI16424"/>
      <c r="EJ16424"/>
      <c r="EK16424"/>
    </row>
    <row r="16425" spans="1:141" s="116" customFormat="1">
      <c r="A16425" s="136"/>
      <c r="CM16425" s="111"/>
      <c r="CQ16425" s="111"/>
      <c r="EF16425"/>
      <c r="EG16425"/>
      <c r="EH16425"/>
      <c r="EI16425"/>
      <c r="EJ16425"/>
      <c r="EK16425"/>
    </row>
    <row r="16426" spans="1:141" s="116" customFormat="1">
      <c r="A16426" s="136"/>
      <c r="CM16426" s="111"/>
      <c r="CQ16426" s="111"/>
      <c r="EF16426"/>
      <c r="EG16426"/>
      <c r="EH16426"/>
      <c r="EI16426"/>
      <c r="EJ16426"/>
      <c r="EK16426"/>
    </row>
    <row r="16427" spans="1:141" s="116" customFormat="1">
      <c r="A16427" s="136"/>
      <c r="CM16427" s="111"/>
      <c r="CQ16427" s="111"/>
      <c r="EF16427"/>
      <c r="EG16427"/>
      <c r="EH16427"/>
      <c r="EI16427"/>
      <c r="EJ16427"/>
      <c r="EK16427"/>
    </row>
    <row r="16428" spans="1:141" s="116" customFormat="1">
      <c r="A16428" s="136"/>
      <c r="CM16428" s="111"/>
      <c r="CQ16428" s="111"/>
      <c r="EF16428"/>
      <c r="EG16428"/>
      <c r="EH16428"/>
      <c r="EI16428"/>
      <c r="EJ16428"/>
      <c r="EK16428"/>
    </row>
    <row r="16429" spans="1:141" s="116" customFormat="1">
      <c r="A16429" s="136"/>
      <c r="CM16429" s="111"/>
      <c r="CQ16429" s="111"/>
      <c r="EF16429"/>
      <c r="EG16429"/>
      <c r="EH16429"/>
      <c r="EI16429"/>
      <c r="EJ16429"/>
      <c r="EK16429"/>
    </row>
    <row r="16430" spans="1:141" s="116" customFormat="1">
      <c r="A16430" s="136"/>
      <c r="CM16430" s="111"/>
      <c r="CQ16430" s="111"/>
      <c r="EF16430"/>
      <c r="EG16430"/>
      <c r="EH16430"/>
      <c r="EI16430"/>
      <c r="EJ16430"/>
      <c r="EK16430"/>
    </row>
    <row r="16431" spans="1:141" s="116" customFormat="1">
      <c r="A16431" s="136"/>
      <c r="CM16431" s="111"/>
      <c r="CQ16431" s="111"/>
      <c r="EF16431"/>
      <c r="EG16431"/>
      <c r="EH16431"/>
      <c r="EI16431"/>
      <c r="EJ16431"/>
      <c r="EK16431"/>
    </row>
    <row r="16432" spans="1:141" s="116" customFormat="1">
      <c r="A16432" s="136"/>
      <c r="CM16432" s="111"/>
      <c r="CQ16432" s="111"/>
      <c r="EF16432"/>
      <c r="EG16432"/>
      <c r="EH16432"/>
      <c r="EI16432"/>
      <c r="EJ16432"/>
      <c r="EK16432"/>
    </row>
    <row r="16433" spans="1:141" s="116" customFormat="1">
      <c r="A16433" s="136"/>
      <c r="CM16433" s="111"/>
      <c r="CQ16433" s="111"/>
      <c r="EF16433"/>
      <c r="EG16433"/>
      <c r="EH16433"/>
      <c r="EI16433"/>
      <c r="EJ16433"/>
      <c r="EK16433"/>
    </row>
    <row r="16434" spans="1:141" s="116" customFormat="1">
      <c r="A16434" s="136"/>
      <c r="CM16434" s="111"/>
      <c r="CQ16434" s="111"/>
      <c r="EF16434"/>
      <c r="EG16434"/>
      <c r="EH16434"/>
      <c r="EI16434"/>
      <c r="EJ16434"/>
      <c r="EK16434"/>
    </row>
    <row r="16435" spans="1:141" s="116" customFormat="1">
      <c r="A16435" s="136"/>
      <c r="CM16435" s="111"/>
      <c r="CQ16435" s="111"/>
      <c r="EF16435"/>
      <c r="EG16435"/>
      <c r="EH16435"/>
      <c r="EI16435"/>
      <c r="EJ16435"/>
      <c r="EK16435"/>
    </row>
    <row r="16436" spans="1:141" s="116" customFormat="1">
      <c r="A16436" s="136"/>
      <c r="CM16436" s="111"/>
      <c r="CQ16436" s="111"/>
      <c r="EF16436"/>
      <c r="EG16436"/>
      <c r="EH16436"/>
      <c r="EI16436"/>
      <c r="EJ16436"/>
      <c r="EK16436"/>
    </row>
    <row r="16437" spans="1:141" s="116" customFormat="1">
      <c r="A16437" s="136"/>
      <c r="CM16437" s="111"/>
      <c r="CQ16437" s="111"/>
      <c r="EF16437"/>
      <c r="EG16437"/>
      <c r="EH16437"/>
      <c r="EI16437"/>
      <c r="EJ16437"/>
      <c r="EK16437"/>
    </row>
    <row r="16438" spans="1:141" s="116" customFormat="1">
      <c r="A16438" s="136"/>
      <c r="CM16438" s="111"/>
      <c r="CQ16438" s="111"/>
      <c r="EF16438"/>
      <c r="EG16438"/>
      <c r="EH16438"/>
      <c r="EI16438"/>
      <c r="EJ16438"/>
      <c r="EK16438"/>
    </row>
    <row r="16439" spans="1:141" s="116" customFormat="1">
      <c r="A16439" s="136"/>
      <c r="CM16439" s="111"/>
      <c r="CQ16439" s="111"/>
      <c r="EF16439"/>
      <c r="EG16439"/>
      <c r="EH16439"/>
      <c r="EI16439"/>
      <c r="EJ16439"/>
      <c r="EK16439"/>
    </row>
    <row r="16440" spans="1:141" s="116" customFormat="1">
      <c r="A16440" s="136"/>
      <c r="CM16440" s="111"/>
      <c r="CQ16440" s="111"/>
      <c r="EF16440"/>
      <c r="EG16440"/>
      <c r="EH16440"/>
      <c r="EI16440"/>
      <c r="EJ16440"/>
      <c r="EK16440"/>
    </row>
    <row r="16441" spans="1:141" s="116" customFormat="1">
      <c r="A16441" s="136"/>
      <c r="CM16441" s="111"/>
      <c r="CQ16441" s="111"/>
      <c r="EF16441"/>
      <c r="EG16441"/>
      <c r="EH16441"/>
      <c r="EI16441"/>
      <c r="EJ16441"/>
      <c r="EK16441"/>
    </row>
    <row r="16442" spans="1:141" s="116" customFormat="1">
      <c r="A16442" s="136"/>
      <c r="CM16442" s="111"/>
      <c r="CQ16442" s="111"/>
      <c r="EF16442"/>
      <c r="EG16442"/>
      <c r="EH16442"/>
      <c r="EI16442"/>
      <c r="EJ16442"/>
      <c r="EK16442"/>
    </row>
    <row r="16443" spans="1:141" s="116" customFormat="1">
      <c r="A16443" s="136"/>
      <c r="CM16443" s="111"/>
      <c r="CQ16443" s="111"/>
      <c r="EF16443"/>
      <c r="EG16443"/>
      <c r="EH16443"/>
      <c r="EI16443"/>
      <c r="EJ16443"/>
      <c r="EK16443"/>
    </row>
    <row r="16444" spans="1:141" s="116" customFormat="1">
      <c r="A16444" s="136"/>
      <c r="CM16444" s="111"/>
      <c r="CQ16444" s="111"/>
      <c r="EF16444"/>
      <c r="EG16444"/>
      <c r="EH16444"/>
      <c r="EI16444"/>
      <c r="EJ16444"/>
      <c r="EK16444"/>
    </row>
    <row r="16445" spans="1:141" s="116" customFormat="1">
      <c r="A16445" s="136"/>
      <c r="CM16445" s="111"/>
      <c r="CQ16445" s="111"/>
      <c r="EF16445"/>
      <c r="EG16445"/>
      <c r="EH16445"/>
      <c r="EI16445"/>
      <c r="EJ16445"/>
      <c r="EK16445"/>
    </row>
    <row r="16446" spans="1:141" s="116" customFormat="1">
      <c r="A16446" s="136"/>
      <c r="CM16446" s="111"/>
      <c r="CQ16446" s="111"/>
      <c r="EF16446"/>
      <c r="EG16446"/>
      <c r="EH16446"/>
      <c r="EI16446"/>
      <c r="EJ16446"/>
      <c r="EK16446"/>
    </row>
    <row r="16447" spans="1:141" s="116" customFormat="1">
      <c r="A16447" s="136"/>
      <c r="CM16447" s="111"/>
      <c r="CQ16447" s="111"/>
      <c r="EF16447"/>
      <c r="EG16447"/>
      <c r="EH16447"/>
      <c r="EI16447"/>
      <c r="EJ16447"/>
      <c r="EK16447"/>
    </row>
    <row r="16448" spans="1:141" s="116" customFormat="1">
      <c r="A16448" s="136"/>
      <c r="CM16448" s="111"/>
      <c r="CQ16448" s="111"/>
      <c r="EF16448"/>
      <c r="EG16448"/>
      <c r="EH16448"/>
      <c r="EI16448"/>
      <c r="EJ16448"/>
      <c r="EK16448"/>
    </row>
    <row r="16449" spans="1:141" s="116" customFormat="1">
      <c r="A16449" s="136"/>
      <c r="CM16449" s="111"/>
      <c r="CQ16449" s="111"/>
      <c r="EF16449"/>
      <c r="EG16449"/>
      <c r="EH16449"/>
      <c r="EI16449"/>
      <c r="EJ16449"/>
      <c r="EK16449"/>
    </row>
    <row r="16450" spans="1:141" s="116" customFormat="1">
      <c r="A16450" s="136"/>
      <c r="CM16450" s="111"/>
      <c r="CQ16450" s="111"/>
      <c r="EF16450"/>
      <c r="EG16450"/>
      <c r="EH16450"/>
      <c r="EI16450"/>
      <c r="EJ16450"/>
      <c r="EK16450"/>
    </row>
    <row r="16451" spans="1:141" s="116" customFormat="1">
      <c r="A16451" s="136"/>
      <c r="CM16451" s="111"/>
      <c r="CQ16451" s="111"/>
      <c r="EF16451"/>
      <c r="EG16451"/>
      <c r="EH16451"/>
      <c r="EI16451"/>
      <c r="EJ16451"/>
      <c r="EK16451"/>
    </row>
    <row r="16452" spans="1:141" s="116" customFormat="1">
      <c r="A16452" s="136"/>
      <c r="CM16452" s="111"/>
      <c r="CQ16452" s="111"/>
      <c r="EF16452"/>
      <c r="EG16452"/>
      <c r="EH16452"/>
      <c r="EI16452"/>
      <c r="EJ16452"/>
      <c r="EK16452"/>
    </row>
    <row r="16453" spans="1:141" s="116" customFormat="1">
      <c r="A16453" s="136"/>
      <c r="CM16453" s="111"/>
      <c r="CQ16453" s="111"/>
      <c r="EF16453"/>
      <c r="EG16453"/>
      <c r="EH16453"/>
      <c r="EI16453"/>
      <c r="EJ16453"/>
      <c r="EK16453"/>
    </row>
    <row r="16454" spans="1:141" s="116" customFormat="1">
      <c r="A16454" s="136"/>
      <c r="CM16454" s="111"/>
      <c r="CQ16454" s="111"/>
      <c r="EF16454"/>
      <c r="EG16454"/>
      <c r="EH16454"/>
      <c r="EI16454"/>
      <c r="EJ16454"/>
      <c r="EK16454"/>
    </row>
    <row r="16455" spans="1:141" s="116" customFormat="1">
      <c r="A16455" s="136"/>
      <c r="CM16455" s="111"/>
      <c r="CQ16455" s="111"/>
      <c r="EF16455"/>
      <c r="EG16455"/>
      <c r="EH16455"/>
      <c r="EI16455"/>
      <c r="EJ16455"/>
      <c r="EK16455"/>
    </row>
    <row r="16456" spans="1:141" s="116" customFormat="1">
      <c r="A16456" s="136"/>
      <c r="CM16456" s="111"/>
      <c r="CQ16456" s="111"/>
      <c r="EF16456"/>
      <c r="EG16456"/>
      <c r="EH16456"/>
      <c r="EI16456"/>
      <c r="EJ16456"/>
      <c r="EK16456"/>
    </row>
    <row r="16457" spans="1:141" s="116" customFormat="1">
      <c r="A16457" s="136"/>
      <c r="CM16457" s="111"/>
      <c r="CQ16457" s="111"/>
      <c r="EF16457"/>
      <c r="EG16457"/>
      <c r="EH16457"/>
      <c r="EI16457"/>
      <c r="EJ16457"/>
      <c r="EK16457"/>
    </row>
    <row r="16458" spans="1:141" s="116" customFormat="1">
      <c r="A16458" s="136"/>
      <c r="CM16458" s="111"/>
      <c r="CQ16458" s="111"/>
      <c r="EF16458"/>
      <c r="EG16458"/>
      <c r="EH16458"/>
      <c r="EI16458"/>
      <c r="EJ16458"/>
      <c r="EK16458"/>
    </row>
    <row r="16459" spans="1:141" s="116" customFormat="1">
      <c r="A16459" s="136"/>
      <c r="CM16459" s="111"/>
      <c r="CQ16459" s="111"/>
      <c r="EF16459"/>
      <c r="EG16459"/>
      <c r="EH16459"/>
      <c r="EI16459"/>
      <c r="EJ16459"/>
      <c r="EK16459"/>
    </row>
    <row r="16460" spans="1:141" s="116" customFormat="1">
      <c r="A16460" s="136"/>
      <c r="CM16460" s="111"/>
      <c r="CQ16460" s="111"/>
      <c r="EF16460"/>
      <c r="EG16460"/>
      <c r="EH16460"/>
      <c r="EI16460"/>
      <c r="EJ16460"/>
      <c r="EK16460"/>
    </row>
    <row r="16461" spans="1:141" s="116" customFormat="1">
      <c r="A16461" s="136"/>
      <c r="CM16461" s="111"/>
      <c r="CQ16461" s="111"/>
      <c r="EF16461"/>
      <c r="EG16461"/>
      <c r="EH16461"/>
      <c r="EI16461"/>
      <c r="EJ16461"/>
      <c r="EK16461"/>
    </row>
    <row r="16462" spans="1:141" s="116" customFormat="1">
      <c r="A16462" s="136"/>
      <c r="CM16462" s="111"/>
      <c r="CQ16462" s="111"/>
      <c r="EF16462"/>
      <c r="EG16462"/>
      <c r="EH16462"/>
      <c r="EI16462"/>
      <c r="EJ16462"/>
      <c r="EK16462"/>
    </row>
    <row r="16463" spans="1:141" s="116" customFormat="1">
      <c r="A16463" s="136"/>
      <c r="CM16463" s="111"/>
      <c r="CQ16463" s="111"/>
      <c r="EF16463"/>
      <c r="EG16463"/>
      <c r="EH16463"/>
      <c r="EI16463"/>
      <c r="EJ16463"/>
      <c r="EK16463"/>
    </row>
    <row r="16464" spans="1:141" s="116" customFormat="1">
      <c r="A16464" s="136"/>
      <c r="CM16464" s="111"/>
      <c r="CQ16464" s="111"/>
      <c r="EF16464"/>
      <c r="EG16464"/>
      <c r="EH16464"/>
      <c r="EI16464"/>
      <c r="EJ16464"/>
      <c r="EK16464"/>
    </row>
    <row r="16465" spans="1:141" s="116" customFormat="1">
      <c r="A16465" s="136"/>
      <c r="CM16465" s="111"/>
      <c r="CQ16465" s="111"/>
      <c r="EF16465"/>
      <c r="EG16465"/>
      <c r="EH16465"/>
      <c r="EI16465"/>
      <c r="EJ16465"/>
      <c r="EK16465"/>
    </row>
    <row r="16466" spans="1:141" s="116" customFormat="1">
      <c r="A16466" s="136"/>
      <c r="CM16466" s="111"/>
      <c r="CQ16466" s="111"/>
      <c r="EF16466"/>
      <c r="EG16466"/>
      <c r="EH16466"/>
      <c r="EI16466"/>
      <c r="EJ16466"/>
      <c r="EK16466"/>
    </row>
    <row r="16467" spans="1:141" s="116" customFormat="1">
      <c r="A16467" s="136"/>
      <c r="CM16467" s="111"/>
      <c r="CQ16467" s="111"/>
      <c r="EF16467"/>
      <c r="EG16467"/>
      <c r="EH16467"/>
      <c r="EI16467"/>
      <c r="EJ16467"/>
      <c r="EK16467"/>
    </row>
    <row r="16468" spans="1:141" s="116" customFormat="1">
      <c r="A16468" s="136"/>
      <c r="CM16468" s="111"/>
      <c r="CQ16468" s="111"/>
      <c r="EF16468"/>
      <c r="EG16468"/>
      <c r="EH16468"/>
      <c r="EI16468"/>
      <c r="EJ16468"/>
      <c r="EK16468"/>
    </row>
    <row r="16469" spans="1:141" s="116" customFormat="1">
      <c r="A16469" s="136"/>
      <c r="CM16469" s="111"/>
      <c r="CQ16469" s="111"/>
      <c r="EF16469"/>
      <c r="EG16469"/>
      <c r="EH16469"/>
      <c r="EI16469"/>
      <c r="EJ16469"/>
      <c r="EK16469"/>
    </row>
    <row r="16470" spans="1:141" s="116" customFormat="1">
      <c r="A16470" s="136"/>
      <c r="CM16470" s="111"/>
      <c r="CQ16470" s="111"/>
      <c r="EF16470"/>
      <c r="EG16470"/>
      <c r="EH16470"/>
      <c r="EI16470"/>
      <c r="EJ16470"/>
      <c r="EK16470"/>
    </row>
    <row r="16471" spans="1:141" s="116" customFormat="1">
      <c r="A16471" s="136"/>
      <c r="CM16471" s="111"/>
      <c r="CQ16471" s="111"/>
      <c r="EF16471"/>
      <c r="EG16471"/>
      <c r="EH16471"/>
      <c r="EI16471"/>
      <c r="EJ16471"/>
      <c r="EK16471"/>
    </row>
    <row r="16472" spans="1:141" s="116" customFormat="1">
      <c r="A16472" s="136"/>
      <c r="CM16472" s="111"/>
      <c r="CQ16472" s="111"/>
      <c r="EF16472"/>
      <c r="EG16472"/>
      <c r="EH16472"/>
      <c r="EI16472"/>
      <c r="EJ16472"/>
      <c r="EK16472"/>
    </row>
    <row r="16473" spans="1:141" s="116" customFormat="1">
      <c r="A16473" s="136"/>
      <c r="CM16473" s="111"/>
      <c r="CQ16473" s="111"/>
      <c r="EF16473"/>
      <c r="EG16473"/>
      <c r="EH16473"/>
      <c r="EI16473"/>
      <c r="EJ16473"/>
      <c r="EK16473"/>
    </row>
    <row r="16474" spans="1:141" s="116" customFormat="1">
      <c r="A16474" s="136"/>
      <c r="CM16474" s="111"/>
      <c r="CQ16474" s="111"/>
      <c r="EF16474"/>
      <c r="EG16474"/>
      <c r="EH16474"/>
      <c r="EI16474"/>
      <c r="EJ16474"/>
      <c r="EK16474"/>
    </row>
    <row r="16475" spans="1:141" s="116" customFormat="1">
      <c r="A16475" s="136"/>
      <c r="CM16475" s="111"/>
      <c r="CQ16475" s="111"/>
      <c r="EF16475"/>
      <c r="EG16475"/>
      <c r="EH16475"/>
      <c r="EI16475"/>
      <c r="EJ16475"/>
      <c r="EK16475"/>
    </row>
    <row r="16476" spans="1:141" s="116" customFormat="1">
      <c r="A16476" s="136"/>
      <c r="CM16476" s="111"/>
      <c r="CQ16476" s="111"/>
      <c r="EF16476"/>
      <c r="EG16476"/>
      <c r="EH16476"/>
      <c r="EI16476"/>
      <c r="EJ16476"/>
      <c r="EK16476"/>
    </row>
    <row r="16477" spans="1:141" s="116" customFormat="1">
      <c r="A16477" s="136"/>
      <c r="CM16477" s="111"/>
      <c r="CQ16477" s="111"/>
      <c r="EF16477"/>
      <c r="EG16477"/>
      <c r="EH16477"/>
      <c r="EI16477"/>
      <c r="EJ16477"/>
      <c r="EK16477"/>
    </row>
    <row r="16478" spans="1:141" s="116" customFormat="1">
      <c r="A16478" s="136"/>
      <c r="CM16478" s="111"/>
      <c r="CQ16478" s="111"/>
      <c r="EF16478"/>
      <c r="EG16478"/>
      <c r="EH16478"/>
      <c r="EI16478"/>
      <c r="EJ16478"/>
      <c r="EK16478"/>
    </row>
    <row r="16479" spans="1:141" s="116" customFormat="1">
      <c r="A16479" s="136"/>
      <c r="CM16479" s="111"/>
      <c r="CQ16479" s="111"/>
      <c r="EF16479"/>
      <c r="EG16479"/>
      <c r="EH16479"/>
      <c r="EI16479"/>
      <c r="EJ16479"/>
      <c r="EK16479"/>
    </row>
    <row r="16480" spans="1:141" s="116" customFormat="1">
      <c r="A16480" s="136"/>
      <c r="CM16480" s="111"/>
      <c r="CQ16480" s="111"/>
      <c r="EF16480"/>
      <c r="EG16480"/>
      <c r="EH16480"/>
      <c r="EI16480"/>
      <c r="EJ16480"/>
      <c r="EK16480"/>
    </row>
    <row r="16481" spans="1:141" s="116" customFormat="1">
      <c r="A16481" s="136"/>
      <c r="CM16481" s="111"/>
      <c r="CQ16481" s="111"/>
      <c r="EF16481"/>
      <c r="EG16481"/>
      <c r="EH16481"/>
      <c r="EI16481"/>
      <c r="EJ16481"/>
      <c r="EK16481"/>
    </row>
    <row r="16482" spans="1:141" s="116" customFormat="1">
      <c r="A16482" s="136"/>
      <c r="CM16482" s="111"/>
      <c r="CQ16482" s="111"/>
      <c r="EF16482"/>
      <c r="EG16482"/>
      <c r="EH16482"/>
      <c r="EI16482"/>
      <c r="EJ16482"/>
      <c r="EK16482"/>
    </row>
    <row r="16483" spans="1:141" s="116" customFormat="1">
      <c r="A16483" s="136"/>
      <c r="CM16483" s="111"/>
      <c r="CQ16483" s="111"/>
      <c r="EF16483"/>
      <c r="EG16483"/>
      <c r="EH16483"/>
      <c r="EI16483"/>
      <c r="EJ16483"/>
      <c r="EK16483"/>
    </row>
    <row r="16484" spans="1:141" s="116" customFormat="1">
      <c r="A16484" s="136"/>
      <c r="CM16484" s="111"/>
      <c r="CQ16484" s="111"/>
      <c r="EF16484"/>
      <c r="EG16484"/>
      <c r="EH16484"/>
      <c r="EI16484"/>
      <c r="EJ16484"/>
      <c r="EK16484"/>
    </row>
    <row r="16485" spans="1:141" s="116" customFormat="1">
      <c r="A16485" s="136"/>
      <c r="CM16485" s="111"/>
      <c r="CQ16485" s="111"/>
      <c r="EF16485"/>
      <c r="EG16485"/>
      <c r="EH16485"/>
      <c r="EI16485"/>
      <c r="EJ16485"/>
      <c r="EK16485"/>
    </row>
    <row r="16486" spans="1:141" s="116" customFormat="1">
      <c r="A16486" s="136"/>
      <c r="CM16486" s="111"/>
      <c r="CQ16486" s="111"/>
      <c r="EF16486"/>
      <c r="EG16486"/>
      <c r="EH16486"/>
      <c r="EI16486"/>
      <c r="EJ16486"/>
      <c r="EK16486"/>
    </row>
    <row r="16487" spans="1:141" s="116" customFormat="1">
      <c r="A16487" s="136"/>
      <c r="CM16487" s="111"/>
      <c r="CQ16487" s="111"/>
      <c r="EF16487"/>
      <c r="EG16487"/>
      <c r="EH16487"/>
      <c r="EI16487"/>
      <c r="EJ16487"/>
      <c r="EK16487"/>
    </row>
    <row r="16488" spans="1:141" s="116" customFormat="1">
      <c r="A16488" s="136"/>
      <c r="CM16488" s="111"/>
      <c r="CQ16488" s="111"/>
      <c r="EF16488"/>
      <c r="EG16488"/>
      <c r="EH16488"/>
      <c r="EI16488"/>
      <c r="EJ16488"/>
      <c r="EK16488"/>
    </row>
    <row r="16489" spans="1:141" s="116" customFormat="1">
      <c r="A16489" s="136"/>
      <c r="CM16489" s="111"/>
      <c r="CQ16489" s="111"/>
      <c r="EF16489"/>
      <c r="EG16489"/>
      <c r="EH16489"/>
      <c r="EI16489"/>
      <c r="EJ16489"/>
      <c r="EK16489"/>
    </row>
    <row r="16490" spans="1:141" s="116" customFormat="1">
      <c r="A16490" s="136"/>
      <c r="CM16490" s="111"/>
      <c r="CQ16490" s="111"/>
      <c r="EF16490"/>
      <c r="EG16490"/>
      <c r="EH16490"/>
      <c r="EI16490"/>
      <c r="EJ16490"/>
      <c r="EK16490"/>
    </row>
    <row r="16491" spans="1:141" s="116" customFormat="1">
      <c r="A16491" s="136"/>
      <c r="CM16491" s="111"/>
      <c r="CQ16491" s="111"/>
      <c r="EF16491"/>
      <c r="EG16491"/>
      <c r="EH16491"/>
      <c r="EI16491"/>
      <c r="EJ16491"/>
      <c r="EK16491"/>
    </row>
    <row r="16492" spans="1:141" s="116" customFormat="1">
      <c r="A16492" s="136"/>
      <c r="CM16492" s="111"/>
      <c r="CQ16492" s="111"/>
      <c r="EF16492"/>
      <c r="EG16492"/>
      <c r="EH16492"/>
      <c r="EI16492"/>
      <c r="EJ16492"/>
      <c r="EK16492"/>
    </row>
    <row r="16493" spans="1:141" s="116" customFormat="1">
      <c r="A16493" s="136"/>
      <c r="CM16493" s="111"/>
      <c r="CQ16493" s="111"/>
      <c r="EF16493"/>
      <c r="EG16493"/>
      <c r="EH16493"/>
      <c r="EI16493"/>
      <c r="EJ16493"/>
      <c r="EK16493"/>
    </row>
    <row r="16494" spans="1:141" s="116" customFormat="1">
      <c r="A16494" s="136"/>
      <c r="CM16494" s="111"/>
      <c r="CQ16494" s="111"/>
      <c r="EF16494"/>
      <c r="EG16494"/>
      <c r="EH16494"/>
      <c r="EI16494"/>
      <c r="EJ16494"/>
      <c r="EK16494"/>
    </row>
    <row r="16495" spans="1:141" s="116" customFormat="1">
      <c r="A16495" s="136"/>
      <c r="CM16495" s="111"/>
      <c r="CQ16495" s="111"/>
      <c r="EF16495"/>
      <c r="EG16495"/>
      <c r="EH16495"/>
      <c r="EI16495"/>
      <c r="EJ16495"/>
      <c r="EK16495"/>
    </row>
    <row r="16496" spans="1:141" s="116" customFormat="1">
      <c r="A16496" s="136"/>
      <c r="CM16496" s="111"/>
      <c r="CQ16496" s="111"/>
      <c r="EF16496"/>
      <c r="EG16496"/>
      <c r="EH16496"/>
      <c r="EI16496"/>
      <c r="EJ16496"/>
      <c r="EK16496"/>
    </row>
    <row r="16497" spans="1:141" s="116" customFormat="1">
      <c r="A16497" s="136"/>
      <c r="CM16497" s="111"/>
      <c r="CQ16497" s="111"/>
      <c r="EF16497"/>
      <c r="EG16497"/>
      <c r="EH16497"/>
      <c r="EI16497"/>
      <c r="EJ16497"/>
      <c r="EK16497"/>
    </row>
    <row r="16498" spans="1:141" s="116" customFormat="1">
      <c r="A16498" s="136"/>
      <c r="CM16498" s="111"/>
      <c r="CQ16498" s="111"/>
      <c r="EF16498"/>
      <c r="EG16498"/>
      <c r="EH16498"/>
      <c r="EI16498"/>
      <c r="EJ16498"/>
      <c r="EK16498"/>
    </row>
    <row r="16499" spans="1:141" s="116" customFormat="1">
      <c r="A16499" s="136"/>
      <c r="CM16499" s="111"/>
      <c r="CQ16499" s="111"/>
      <c r="EF16499"/>
      <c r="EG16499"/>
      <c r="EH16499"/>
      <c r="EI16499"/>
      <c r="EJ16499"/>
      <c r="EK16499"/>
    </row>
    <row r="16500" spans="1:141" s="116" customFormat="1">
      <c r="A16500" s="136"/>
      <c r="CM16500" s="111"/>
      <c r="CQ16500" s="111"/>
      <c r="EF16500"/>
      <c r="EG16500"/>
      <c r="EH16500"/>
      <c r="EI16500"/>
      <c r="EJ16500"/>
      <c r="EK16500"/>
    </row>
    <row r="16501" spans="1:141" s="116" customFormat="1">
      <c r="A16501" s="136"/>
      <c r="CM16501" s="111"/>
      <c r="CQ16501" s="111"/>
      <c r="EF16501"/>
      <c r="EG16501"/>
      <c r="EH16501"/>
      <c r="EI16501"/>
      <c r="EJ16501"/>
      <c r="EK16501"/>
    </row>
    <row r="16502" spans="1:141" s="116" customFormat="1">
      <c r="A16502" s="136"/>
      <c r="CM16502" s="111"/>
      <c r="CQ16502" s="111"/>
      <c r="EF16502"/>
      <c r="EG16502"/>
      <c r="EH16502"/>
      <c r="EI16502"/>
      <c r="EJ16502"/>
      <c r="EK16502"/>
    </row>
    <row r="16503" spans="1:141" s="116" customFormat="1">
      <c r="A16503" s="136"/>
      <c r="CM16503" s="111"/>
      <c r="CQ16503" s="111"/>
      <c r="EF16503"/>
      <c r="EG16503"/>
      <c r="EH16503"/>
      <c r="EI16503"/>
      <c r="EJ16503"/>
      <c r="EK16503"/>
    </row>
    <row r="16504" spans="1:141" s="116" customFormat="1">
      <c r="A16504" s="136"/>
      <c r="CM16504" s="111"/>
      <c r="CQ16504" s="111"/>
      <c r="EF16504"/>
      <c r="EG16504"/>
      <c r="EH16504"/>
      <c r="EI16504"/>
      <c r="EJ16504"/>
      <c r="EK16504"/>
    </row>
    <row r="16505" spans="1:141" s="116" customFormat="1">
      <c r="A16505" s="136"/>
      <c r="CM16505" s="111"/>
      <c r="CQ16505" s="111"/>
      <c r="EF16505"/>
      <c r="EG16505"/>
      <c r="EH16505"/>
      <c r="EI16505"/>
      <c r="EJ16505"/>
      <c r="EK16505"/>
    </row>
    <row r="16506" spans="1:141" s="116" customFormat="1">
      <c r="A16506" s="136"/>
      <c r="CM16506" s="111"/>
      <c r="CQ16506" s="111"/>
      <c r="EF16506"/>
      <c r="EG16506"/>
      <c r="EH16506"/>
      <c r="EI16506"/>
      <c r="EJ16506"/>
      <c r="EK16506"/>
    </row>
    <row r="16507" spans="1:141" s="116" customFormat="1">
      <c r="A16507" s="136"/>
      <c r="CM16507" s="111"/>
      <c r="CQ16507" s="111"/>
      <c r="EF16507"/>
      <c r="EG16507"/>
      <c r="EH16507"/>
      <c r="EI16507"/>
      <c r="EJ16507"/>
      <c r="EK16507"/>
    </row>
    <row r="16508" spans="1:141" s="116" customFormat="1">
      <c r="A16508" s="136"/>
      <c r="CM16508" s="111"/>
      <c r="CQ16508" s="111"/>
      <c r="EF16508"/>
      <c r="EG16508"/>
      <c r="EH16508"/>
      <c r="EI16508"/>
      <c r="EJ16508"/>
      <c r="EK16508"/>
    </row>
    <row r="16509" spans="1:141" s="116" customFormat="1">
      <c r="A16509" s="136"/>
      <c r="CM16509" s="111"/>
      <c r="CQ16509" s="111"/>
      <c r="EF16509"/>
      <c r="EG16509"/>
      <c r="EH16509"/>
      <c r="EI16509"/>
      <c r="EJ16509"/>
      <c r="EK16509"/>
    </row>
    <row r="16510" spans="1:141" s="116" customFormat="1">
      <c r="A16510" s="136"/>
      <c r="CM16510" s="111"/>
      <c r="CQ16510" s="111"/>
      <c r="EF16510"/>
      <c r="EG16510"/>
      <c r="EH16510"/>
      <c r="EI16510"/>
      <c r="EJ16510"/>
      <c r="EK16510"/>
    </row>
    <row r="16511" spans="1:141" s="116" customFormat="1">
      <c r="A16511" s="136"/>
      <c r="CM16511" s="111"/>
      <c r="CQ16511" s="111"/>
      <c r="EF16511"/>
      <c r="EG16511"/>
      <c r="EH16511"/>
      <c r="EI16511"/>
      <c r="EJ16511"/>
      <c r="EK16511"/>
    </row>
    <row r="16512" spans="1:141" s="116" customFormat="1">
      <c r="A16512" s="136"/>
      <c r="CM16512" s="111"/>
      <c r="CQ16512" s="111"/>
      <c r="EF16512"/>
      <c r="EG16512"/>
      <c r="EH16512"/>
      <c r="EI16512"/>
      <c r="EJ16512"/>
      <c r="EK16512"/>
    </row>
    <row r="16513" spans="1:141" s="116" customFormat="1">
      <c r="A16513" s="136"/>
      <c r="CM16513" s="111"/>
      <c r="CQ16513" s="111"/>
      <c r="EF16513"/>
      <c r="EG16513"/>
      <c r="EH16513"/>
      <c r="EI16513"/>
      <c r="EJ16513"/>
      <c r="EK16513"/>
    </row>
    <row r="16514" spans="1:141" s="116" customFormat="1">
      <c r="A16514" s="136"/>
      <c r="CM16514" s="111"/>
      <c r="CQ16514" s="111"/>
      <c r="EF16514"/>
      <c r="EG16514"/>
      <c r="EH16514"/>
      <c r="EI16514"/>
      <c r="EJ16514"/>
      <c r="EK16514"/>
    </row>
    <row r="16515" spans="1:141" s="116" customFormat="1">
      <c r="A16515" s="136"/>
      <c r="CM16515" s="111"/>
      <c r="CQ16515" s="111"/>
      <c r="EF16515"/>
      <c r="EG16515"/>
      <c r="EH16515"/>
      <c r="EI16515"/>
      <c r="EJ16515"/>
      <c r="EK16515"/>
    </row>
    <row r="16516" spans="1:141" s="116" customFormat="1">
      <c r="A16516" s="136"/>
      <c r="CM16516" s="111"/>
      <c r="CQ16516" s="111"/>
      <c r="EF16516"/>
      <c r="EG16516"/>
      <c r="EH16516"/>
      <c r="EI16516"/>
      <c r="EJ16516"/>
      <c r="EK16516"/>
    </row>
    <row r="16517" spans="1:141" s="116" customFormat="1">
      <c r="A16517" s="136"/>
      <c r="CM16517" s="111"/>
      <c r="CQ16517" s="111"/>
      <c r="EF16517"/>
      <c r="EG16517"/>
      <c r="EH16517"/>
      <c r="EI16517"/>
      <c r="EJ16517"/>
      <c r="EK16517"/>
    </row>
    <row r="16518" spans="1:141" s="116" customFormat="1">
      <c r="A16518" s="136"/>
      <c r="CM16518" s="111"/>
      <c r="CQ16518" s="111"/>
      <c r="EF16518"/>
      <c r="EG16518"/>
      <c r="EH16518"/>
      <c r="EI16518"/>
      <c r="EJ16518"/>
      <c r="EK16518"/>
    </row>
    <row r="16519" spans="1:141" s="116" customFormat="1">
      <c r="A16519" s="136"/>
      <c r="CM16519" s="111"/>
      <c r="CQ16519" s="111"/>
      <c r="EF16519"/>
      <c r="EG16519"/>
      <c r="EH16519"/>
      <c r="EI16519"/>
      <c r="EJ16519"/>
      <c r="EK16519"/>
    </row>
    <row r="16520" spans="1:141" s="116" customFormat="1">
      <c r="A16520" s="136"/>
      <c r="CM16520" s="111"/>
      <c r="CQ16520" s="111"/>
      <c r="EF16520"/>
      <c r="EG16520"/>
      <c r="EH16520"/>
      <c r="EI16520"/>
      <c r="EJ16520"/>
      <c r="EK16520"/>
    </row>
    <row r="16521" spans="1:141" s="116" customFormat="1">
      <c r="A16521" s="136"/>
      <c r="CM16521" s="111"/>
      <c r="CQ16521" s="111"/>
      <c r="EF16521"/>
      <c r="EG16521"/>
      <c r="EH16521"/>
      <c r="EI16521"/>
      <c r="EJ16521"/>
      <c r="EK16521"/>
    </row>
    <row r="16522" spans="1:141" s="116" customFormat="1">
      <c r="A16522" s="136"/>
      <c r="CM16522" s="111"/>
      <c r="CQ16522" s="111"/>
      <c r="EF16522"/>
      <c r="EG16522"/>
      <c r="EH16522"/>
      <c r="EI16522"/>
      <c r="EJ16522"/>
      <c r="EK16522"/>
    </row>
    <row r="16523" spans="1:141" s="116" customFormat="1">
      <c r="A16523" s="136"/>
      <c r="CM16523" s="111"/>
      <c r="CQ16523" s="111"/>
      <c r="EF16523"/>
      <c r="EG16523"/>
      <c r="EH16523"/>
      <c r="EI16523"/>
      <c r="EJ16523"/>
      <c r="EK16523"/>
    </row>
    <row r="16524" spans="1:141" s="116" customFormat="1">
      <c r="A16524" s="136"/>
      <c r="CM16524" s="111"/>
      <c r="CQ16524" s="111"/>
      <c r="EF16524"/>
      <c r="EG16524"/>
      <c r="EH16524"/>
      <c r="EI16524"/>
      <c r="EJ16524"/>
      <c r="EK16524"/>
    </row>
    <row r="16525" spans="1:141" s="116" customFormat="1">
      <c r="A16525" s="136"/>
      <c r="CM16525" s="111"/>
      <c r="CQ16525" s="111"/>
      <c r="EF16525"/>
      <c r="EG16525"/>
      <c r="EH16525"/>
      <c r="EI16525"/>
      <c r="EJ16525"/>
      <c r="EK16525"/>
    </row>
    <row r="16526" spans="1:141" s="116" customFormat="1">
      <c r="A16526" s="136"/>
      <c r="CM16526" s="111"/>
      <c r="CQ16526" s="111"/>
      <c r="EF16526"/>
      <c r="EG16526"/>
      <c r="EH16526"/>
      <c r="EI16526"/>
      <c r="EJ16526"/>
      <c r="EK16526"/>
    </row>
    <row r="16527" spans="1:141" s="116" customFormat="1">
      <c r="A16527" s="136"/>
      <c r="CM16527" s="111"/>
      <c r="CQ16527" s="111"/>
      <c r="EF16527"/>
      <c r="EG16527"/>
      <c r="EH16527"/>
      <c r="EI16527"/>
      <c r="EJ16527"/>
      <c r="EK16527"/>
    </row>
    <row r="16528" spans="1:141" s="116" customFormat="1">
      <c r="A16528" s="136"/>
      <c r="CM16528" s="111"/>
      <c r="CQ16528" s="111"/>
      <c r="EF16528"/>
      <c r="EG16528"/>
      <c r="EH16528"/>
      <c r="EI16528"/>
      <c r="EJ16528"/>
      <c r="EK16528"/>
    </row>
    <row r="16529" spans="1:141" s="116" customFormat="1">
      <c r="A16529" s="136"/>
      <c r="CM16529" s="111"/>
      <c r="CQ16529" s="111"/>
      <c r="EF16529"/>
      <c r="EG16529"/>
      <c r="EH16529"/>
      <c r="EI16529"/>
      <c r="EJ16529"/>
      <c r="EK16529"/>
    </row>
    <row r="16530" spans="1:141" s="116" customFormat="1">
      <c r="A16530" s="136"/>
      <c r="CM16530" s="111"/>
      <c r="CQ16530" s="111"/>
      <c r="EF16530"/>
      <c r="EG16530"/>
      <c r="EH16530"/>
      <c r="EI16530"/>
      <c r="EJ16530"/>
      <c r="EK16530"/>
    </row>
    <row r="16531" spans="1:141" s="116" customFormat="1">
      <c r="A16531" s="136"/>
      <c r="CM16531" s="111"/>
      <c r="CQ16531" s="111"/>
      <c r="EF16531"/>
      <c r="EG16531"/>
      <c r="EH16531"/>
      <c r="EI16531"/>
      <c r="EJ16531"/>
      <c r="EK16531"/>
    </row>
    <row r="16532" spans="1:141" s="116" customFormat="1">
      <c r="A16532" s="136"/>
      <c r="CM16532" s="111"/>
      <c r="CQ16532" s="111"/>
      <c r="EF16532"/>
      <c r="EG16532"/>
      <c r="EH16532"/>
      <c r="EI16532"/>
      <c r="EJ16532"/>
      <c r="EK16532"/>
    </row>
    <row r="16533" spans="1:141" s="116" customFormat="1">
      <c r="A16533" s="136"/>
      <c r="CM16533" s="111"/>
      <c r="CQ16533" s="111"/>
      <c r="EF16533"/>
      <c r="EG16533"/>
      <c r="EH16533"/>
      <c r="EI16533"/>
      <c r="EJ16533"/>
      <c r="EK16533"/>
    </row>
    <row r="16534" spans="1:141" s="116" customFormat="1">
      <c r="A16534" s="136"/>
      <c r="CM16534" s="111"/>
      <c r="CQ16534" s="111"/>
      <c r="EF16534"/>
      <c r="EG16534"/>
      <c r="EH16534"/>
      <c r="EI16534"/>
      <c r="EJ16534"/>
      <c r="EK16534"/>
    </row>
    <row r="16535" spans="1:141" s="116" customFormat="1">
      <c r="A16535" s="136"/>
      <c r="CM16535" s="111"/>
      <c r="CQ16535" s="111"/>
      <c r="EF16535"/>
      <c r="EG16535"/>
      <c r="EH16535"/>
      <c r="EI16535"/>
      <c r="EJ16535"/>
      <c r="EK16535"/>
    </row>
    <row r="16536" spans="1:141" s="116" customFormat="1">
      <c r="A16536" s="136"/>
      <c r="CM16536" s="111"/>
      <c r="CQ16536" s="111"/>
      <c r="EF16536"/>
      <c r="EG16536"/>
      <c r="EH16536"/>
      <c r="EI16536"/>
      <c r="EJ16536"/>
      <c r="EK16536"/>
    </row>
    <row r="16537" spans="1:141" s="116" customFormat="1">
      <c r="A16537" s="136"/>
      <c r="CM16537" s="111"/>
      <c r="CQ16537" s="111"/>
      <c r="EF16537"/>
      <c r="EG16537"/>
      <c r="EH16537"/>
      <c r="EI16537"/>
      <c r="EJ16537"/>
      <c r="EK16537"/>
    </row>
    <row r="16538" spans="1:141" s="116" customFormat="1">
      <c r="A16538" s="136"/>
      <c r="CM16538" s="111"/>
      <c r="CQ16538" s="111"/>
      <c r="EF16538"/>
      <c r="EG16538"/>
      <c r="EH16538"/>
      <c r="EI16538"/>
      <c r="EJ16538"/>
      <c r="EK16538"/>
    </row>
    <row r="16539" spans="1:141" s="116" customFormat="1">
      <c r="A16539" s="136"/>
      <c r="CM16539" s="111"/>
      <c r="CQ16539" s="111"/>
      <c r="EF16539"/>
      <c r="EG16539"/>
      <c r="EH16539"/>
      <c r="EI16539"/>
      <c r="EJ16539"/>
      <c r="EK16539"/>
    </row>
    <row r="16540" spans="1:141" s="116" customFormat="1">
      <c r="A16540" s="136"/>
      <c r="CM16540" s="111"/>
      <c r="CQ16540" s="111"/>
      <c r="EF16540"/>
      <c r="EG16540"/>
      <c r="EH16540"/>
      <c r="EI16540"/>
      <c r="EJ16540"/>
      <c r="EK16540"/>
    </row>
    <row r="16541" spans="1:141" s="116" customFormat="1">
      <c r="A16541" s="136"/>
      <c r="CM16541" s="111"/>
      <c r="CQ16541" s="111"/>
      <c r="EF16541"/>
      <c r="EG16541"/>
      <c r="EH16541"/>
      <c r="EI16541"/>
      <c r="EJ16541"/>
      <c r="EK16541"/>
    </row>
    <row r="16542" spans="1:141" s="116" customFormat="1">
      <c r="A16542" s="136"/>
      <c r="CM16542" s="111"/>
      <c r="CQ16542" s="111"/>
      <c r="EF16542"/>
      <c r="EG16542"/>
      <c r="EH16542"/>
      <c r="EI16542"/>
      <c r="EJ16542"/>
      <c r="EK16542"/>
    </row>
    <row r="16543" spans="1:141" s="116" customFormat="1">
      <c r="A16543" s="136"/>
      <c r="CM16543" s="111"/>
      <c r="CQ16543" s="111"/>
      <c r="EF16543"/>
      <c r="EG16543"/>
      <c r="EH16543"/>
      <c r="EI16543"/>
      <c r="EJ16543"/>
      <c r="EK16543"/>
    </row>
    <row r="16544" spans="1:141" s="116" customFormat="1">
      <c r="A16544" s="136"/>
      <c r="CM16544" s="111"/>
      <c r="CQ16544" s="111"/>
      <c r="EF16544"/>
      <c r="EG16544"/>
      <c r="EH16544"/>
      <c r="EI16544"/>
      <c r="EJ16544"/>
      <c r="EK16544"/>
    </row>
    <row r="16545" spans="1:141" s="116" customFormat="1">
      <c r="A16545" s="136"/>
      <c r="CM16545" s="111"/>
      <c r="CQ16545" s="111"/>
      <c r="EF16545"/>
      <c r="EG16545"/>
      <c r="EH16545"/>
      <c r="EI16545"/>
      <c r="EJ16545"/>
      <c r="EK16545"/>
    </row>
    <row r="16546" spans="1:141" s="116" customFormat="1">
      <c r="A16546" s="136"/>
      <c r="CM16546" s="111"/>
      <c r="CQ16546" s="111"/>
      <c r="EF16546"/>
      <c r="EG16546"/>
      <c r="EH16546"/>
      <c r="EI16546"/>
      <c r="EJ16546"/>
      <c r="EK16546"/>
    </row>
    <row r="16547" spans="1:141" s="116" customFormat="1">
      <c r="A16547" s="136"/>
      <c r="CM16547" s="111"/>
      <c r="CQ16547" s="111"/>
      <c r="EF16547"/>
      <c r="EG16547"/>
      <c r="EH16547"/>
      <c r="EI16547"/>
      <c r="EJ16547"/>
      <c r="EK16547"/>
    </row>
    <row r="16548" spans="1:141" s="116" customFormat="1">
      <c r="A16548" s="136"/>
      <c r="CM16548" s="111"/>
      <c r="CQ16548" s="111"/>
      <c r="EF16548"/>
      <c r="EG16548"/>
      <c r="EH16548"/>
      <c r="EI16548"/>
      <c r="EJ16548"/>
      <c r="EK16548"/>
    </row>
    <row r="16549" spans="1:141" s="116" customFormat="1">
      <c r="A16549" s="136"/>
      <c r="CM16549" s="111"/>
      <c r="CQ16549" s="111"/>
      <c r="EF16549"/>
      <c r="EG16549"/>
      <c r="EH16549"/>
      <c r="EI16549"/>
      <c r="EJ16549"/>
      <c r="EK16549"/>
    </row>
    <row r="16550" spans="1:141" s="116" customFormat="1">
      <c r="A16550" s="136"/>
      <c r="CM16550" s="111"/>
      <c r="CQ16550" s="111"/>
      <c r="EF16550"/>
      <c r="EG16550"/>
      <c r="EH16550"/>
      <c r="EI16550"/>
      <c r="EJ16550"/>
      <c r="EK16550"/>
    </row>
    <row r="16551" spans="1:141" s="116" customFormat="1">
      <c r="A16551" s="136"/>
      <c r="CM16551" s="111"/>
      <c r="CQ16551" s="111"/>
      <c r="EF16551"/>
      <c r="EG16551"/>
      <c r="EH16551"/>
      <c r="EI16551"/>
      <c r="EJ16551"/>
      <c r="EK16551"/>
    </row>
    <row r="16552" spans="1:141" s="116" customFormat="1">
      <c r="A16552" s="136"/>
      <c r="CM16552" s="111"/>
      <c r="CQ16552" s="111"/>
      <c r="EF16552"/>
      <c r="EG16552"/>
      <c r="EH16552"/>
      <c r="EI16552"/>
      <c r="EJ16552"/>
      <c r="EK16552"/>
    </row>
    <row r="16553" spans="1:141" s="116" customFormat="1">
      <c r="A16553" s="136"/>
      <c r="CM16553" s="111"/>
      <c r="CQ16553" s="111"/>
      <c r="EF16553"/>
      <c r="EG16553"/>
      <c r="EH16553"/>
      <c r="EI16553"/>
      <c r="EJ16553"/>
      <c r="EK16553"/>
    </row>
    <row r="16554" spans="1:141" s="116" customFormat="1">
      <c r="A16554" s="136"/>
      <c r="CM16554" s="111"/>
      <c r="CQ16554" s="111"/>
      <c r="EF16554"/>
      <c r="EG16554"/>
      <c r="EH16554"/>
      <c r="EI16554"/>
      <c r="EJ16554"/>
      <c r="EK16554"/>
    </row>
    <row r="16555" spans="1:141" s="116" customFormat="1">
      <c r="A16555" s="136"/>
      <c r="CM16555" s="111"/>
      <c r="CQ16555" s="111"/>
      <c r="EF16555"/>
      <c r="EG16555"/>
      <c r="EH16555"/>
      <c r="EI16555"/>
      <c r="EJ16555"/>
      <c r="EK16555"/>
    </row>
    <row r="16556" spans="1:141" s="116" customFormat="1">
      <c r="A16556" s="136"/>
      <c r="CM16556" s="111"/>
      <c r="CQ16556" s="111"/>
      <c r="EF16556"/>
      <c r="EG16556"/>
      <c r="EH16556"/>
      <c r="EI16556"/>
      <c r="EJ16556"/>
      <c r="EK16556"/>
    </row>
    <row r="16557" spans="1:141" s="116" customFormat="1">
      <c r="A16557" s="136"/>
      <c r="CM16557" s="111"/>
      <c r="CQ16557" s="111"/>
      <c r="EF16557"/>
      <c r="EG16557"/>
      <c r="EH16557"/>
      <c r="EI16557"/>
      <c r="EJ16557"/>
      <c r="EK16557"/>
    </row>
    <row r="16558" spans="1:141" s="116" customFormat="1">
      <c r="A16558" s="136"/>
      <c r="CM16558" s="111"/>
      <c r="CQ16558" s="111"/>
      <c r="EF16558"/>
      <c r="EG16558"/>
      <c r="EH16558"/>
      <c r="EI16558"/>
      <c r="EJ16558"/>
      <c r="EK16558"/>
    </row>
    <row r="16559" spans="1:141" s="116" customFormat="1">
      <c r="A16559" s="136"/>
      <c r="CM16559" s="111"/>
      <c r="CQ16559" s="111"/>
      <c r="EF16559"/>
      <c r="EG16559"/>
      <c r="EH16559"/>
      <c r="EI16559"/>
      <c r="EJ16559"/>
      <c r="EK16559"/>
    </row>
    <row r="16560" spans="1:141" s="116" customFormat="1">
      <c r="A16560" s="136"/>
      <c r="CM16560" s="111"/>
      <c r="CQ16560" s="111"/>
      <c r="EF16560"/>
      <c r="EG16560"/>
      <c r="EH16560"/>
      <c r="EI16560"/>
      <c r="EJ16560"/>
      <c r="EK16560"/>
    </row>
    <row r="16561" spans="1:141" s="116" customFormat="1">
      <c r="A16561" s="136"/>
      <c r="CM16561" s="111"/>
      <c r="CQ16561" s="111"/>
      <c r="EF16561"/>
      <c r="EG16561"/>
      <c r="EH16561"/>
      <c r="EI16561"/>
      <c r="EJ16561"/>
      <c r="EK16561"/>
    </row>
    <row r="16562" spans="1:141" s="116" customFormat="1">
      <c r="A16562" s="136"/>
      <c r="CM16562" s="111"/>
      <c r="CQ16562" s="111"/>
      <c r="EF16562"/>
      <c r="EG16562"/>
      <c r="EH16562"/>
      <c r="EI16562"/>
      <c r="EJ16562"/>
      <c r="EK16562"/>
    </row>
    <row r="16563" spans="1:141" s="116" customFormat="1">
      <c r="A16563" s="136"/>
      <c r="CM16563" s="111"/>
      <c r="CQ16563" s="111"/>
      <c r="EF16563"/>
      <c r="EG16563"/>
      <c r="EH16563"/>
      <c r="EI16563"/>
      <c r="EJ16563"/>
      <c r="EK16563"/>
    </row>
    <row r="16564" spans="1:141" s="116" customFormat="1">
      <c r="A16564" s="136"/>
      <c r="CM16564" s="111"/>
      <c r="CQ16564" s="111"/>
      <c r="EF16564"/>
      <c r="EG16564"/>
      <c r="EH16564"/>
      <c r="EI16564"/>
      <c r="EJ16564"/>
      <c r="EK16564"/>
    </row>
    <row r="16565" spans="1:141" s="116" customFormat="1">
      <c r="A16565" s="136"/>
      <c r="CM16565" s="111"/>
      <c r="CQ16565" s="111"/>
      <c r="EF16565"/>
      <c r="EG16565"/>
      <c r="EH16565"/>
      <c r="EI16565"/>
      <c r="EJ16565"/>
      <c r="EK16565"/>
    </row>
    <row r="16566" spans="1:141" s="116" customFormat="1">
      <c r="A16566" s="136"/>
      <c r="CM16566" s="111"/>
      <c r="CQ16566" s="111"/>
      <c r="EF16566"/>
      <c r="EG16566"/>
      <c r="EH16566"/>
      <c r="EI16566"/>
      <c r="EJ16566"/>
      <c r="EK16566"/>
    </row>
    <row r="16567" spans="1:141" s="116" customFormat="1">
      <c r="A16567" s="136"/>
      <c r="CM16567" s="111"/>
      <c r="CQ16567" s="111"/>
      <c r="EF16567"/>
      <c r="EG16567"/>
      <c r="EH16567"/>
      <c r="EI16567"/>
      <c r="EJ16567"/>
      <c r="EK16567"/>
    </row>
    <row r="16568" spans="1:141" s="116" customFormat="1">
      <c r="A16568" s="136"/>
      <c r="CM16568" s="111"/>
      <c r="CQ16568" s="111"/>
      <c r="EF16568"/>
      <c r="EG16568"/>
      <c r="EH16568"/>
      <c r="EI16568"/>
      <c r="EJ16568"/>
      <c r="EK16568"/>
    </row>
    <row r="16569" spans="1:141" s="116" customFormat="1">
      <c r="A16569" s="136"/>
      <c r="CM16569" s="111"/>
      <c r="CQ16569" s="111"/>
      <c r="EF16569"/>
      <c r="EG16569"/>
      <c r="EH16569"/>
      <c r="EI16569"/>
      <c r="EJ16569"/>
      <c r="EK16569"/>
    </row>
    <row r="16570" spans="1:141" s="116" customFormat="1">
      <c r="A16570" s="136"/>
      <c r="CM16570" s="111"/>
      <c r="CQ16570" s="111"/>
      <c r="EF16570"/>
      <c r="EG16570"/>
      <c r="EH16570"/>
      <c r="EI16570"/>
      <c r="EJ16570"/>
      <c r="EK16570"/>
    </row>
    <row r="16571" spans="1:141" s="116" customFormat="1">
      <c r="A16571" s="136"/>
      <c r="CM16571" s="111"/>
      <c r="CQ16571" s="111"/>
      <c r="EF16571"/>
      <c r="EG16571"/>
      <c r="EH16571"/>
      <c r="EI16571"/>
      <c r="EJ16571"/>
      <c r="EK16571"/>
    </row>
    <row r="16572" spans="1:141" s="116" customFormat="1">
      <c r="A16572" s="136"/>
      <c r="CM16572" s="111"/>
      <c r="CQ16572" s="111"/>
      <c r="EF16572"/>
      <c r="EG16572"/>
      <c r="EH16572"/>
      <c r="EI16572"/>
      <c r="EJ16572"/>
      <c r="EK16572"/>
    </row>
    <row r="16573" spans="1:141" s="116" customFormat="1">
      <c r="A16573" s="136"/>
      <c r="CM16573" s="111"/>
      <c r="CQ16573" s="111"/>
      <c r="EF16573"/>
      <c r="EG16573"/>
      <c r="EH16573"/>
      <c r="EI16573"/>
      <c r="EJ16573"/>
      <c r="EK16573"/>
    </row>
    <row r="16574" spans="1:141" s="116" customFormat="1">
      <c r="A16574" s="136"/>
      <c r="CM16574" s="111"/>
      <c r="CQ16574" s="111"/>
      <c r="EF16574"/>
      <c r="EG16574"/>
      <c r="EH16574"/>
      <c r="EI16574"/>
      <c r="EJ16574"/>
      <c r="EK16574"/>
    </row>
    <row r="16575" spans="1:141" s="116" customFormat="1">
      <c r="A16575" s="136"/>
      <c r="CM16575" s="111"/>
      <c r="CQ16575" s="111"/>
      <c r="EF16575"/>
      <c r="EG16575"/>
      <c r="EH16575"/>
      <c r="EI16575"/>
      <c r="EJ16575"/>
      <c r="EK16575"/>
    </row>
    <row r="16576" spans="1:141" s="116" customFormat="1">
      <c r="A16576" s="136"/>
      <c r="CM16576" s="111"/>
      <c r="CQ16576" s="111"/>
      <c r="EF16576"/>
      <c r="EG16576"/>
      <c r="EH16576"/>
      <c r="EI16576"/>
      <c r="EJ16576"/>
      <c r="EK16576"/>
    </row>
    <row r="16577" spans="1:141" s="116" customFormat="1">
      <c r="A16577" s="136"/>
      <c r="CM16577" s="111"/>
      <c r="CQ16577" s="111"/>
      <c r="EF16577"/>
      <c r="EG16577"/>
      <c r="EH16577"/>
      <c r="EI16577"/>
      <c r="EJ16577"/>
      <c r="EK16577"/>
    </row>
    <row r="16578" spans="1:141" s="116" customFormat="1">
      <c r="A16578" s="136"/>
      <c r="CM16578" s="111"/>
      <c r="CQ16578" s="111"/>
      <c r="EF16578"/>
      <c r="EG16578"/>
      <c r="EH16578"/>
      <c r="EI16578"/>
      <c r="EJ16578"/>
      <c r="EK16578"/>
    </row>
    <row r="16579" spans="1:141" s="116" customFormat="1">
      <c r="A16579" s="136"/>
      <c r="CM16579" s="111"/>
      <c r="CQ16579" s="111"/>
      <c r="EF16579"/>
      <c r="EG16579"/>
      <c r="EH16579"/>
      <c r="EI16579"/>
      <c r="EJ16579"/>
      <c r="EK16579"/>
    </row>
    <row r="16580" spans="1:141" s="116" customFormat="1">
      <c r="A16580" s="136"/>
      <c r="CM16580" s="111"/>
      <c r="CQ16580" s="111"/>
      <c r="EF16580"/>
      <c r="EG16580"/>
      <c r="EH16580"/>
      <c r="EI16580"/>
      <c r="EJ16580"/>
      <c r="EK16580"/>
    </row>
    <row r="16581" spans="1:141" s="116" customFormat="1">
      <c r="A16581" s="136"/>
      <c r="CM16581" s="111"/>
      <c r="CQ16581" s="111"/>
      <c r="EF16581"/>
      <c r="EG16581"/>
      <c r="EH16581"/>
      <c r="EI16581"/>
      <c r="EJ16581"/>
      <c r="EK16581"/>
    </row>
    <row r="16582" spans="1:141" s="116" customFormat="1">
      <c r="A16582" s="136"/>
      <c r="CM16582" s="111"/>
      <c r="CQ16582" s="111"/>
      <c r="EF16582"/>
      <c r="EG16582"/>
      <c r="EH16582"/>
      <c r="EI16582"/>
      <c r="EJ16582"/>
      <c r="EK16582"/>
    </row>
    <row r="16583" spans="1:141" s="116" customFormat="1">
      <c r="A16583" s="136"/>
      <c r="CM16583" s="111"/>
      <c r="CQ16583" s="111"/>
      <c r="EF16583"/>
      <c r="EG16583"/>
      <c r="EH16583"/>
      <c r="EI16583"/>
      <c r="EJ16583"/>
      <c r="EK16583"/>
    </row>
    <row r="16584" spans="1:141" s="116" customFormat="1">
      <c r="A16584" s="136"/>
      <c r="CM16584" s="111"/>
      <c r="CQ16584" s="111"/>
      <c r="EF16584"/>
      <c r="EG16584"/>
      <c r="EH16584"/>
      <c r="EI16584"/>
      <c r="EJ16584"/>
      <c r="EK16584"/>
    </row>
    <row r="16585" spans="1:141" s="116" customFormat="1">
      <c r="A16585" s="136"/>
      <c r="CM16585" s="111"/>
      <c r="CQ16585" s="111"/>
      <c r="EF16585"/>
      <c r="EG16585"/>
      <c r="EH16585"/>
      <c r="EI16585"/>
      <c r="EJ16585"/>
      <c r="EK16585"/>
    </row>
    <row r="16586" spans="1:141" s="116" customFormat="1">
      <c r="A16586" s="136"/>
      <c r="CM16586" s="111"/>
      <c r="CQ16586" s="111"/>
      <c r="EF16586"/>
      <c r="EG16586"/>
      <c r="EH16586"/>
      <c r="EI16586"/>
      <c r="EJ16586"/>
      <c r="EK16586"/>
    </row>
    <row r="16587" spans="1:141" s="116" customFormat="1">
      <c r="A16587" s="136"/>
      <c r="CM16587" s="111"/>
      <c r="CQ16587" s="111"/>
      <c r="EF16587"/>
      <c r="EG16587"/>
      <c r="EH16587"/>
      <c r="EI16587"/>
      <c r="EJ16587"/>
      <c r="EK16587"/>
    </row>
    <row r="16588" spans="1:141" s="116" customFormat="1">
      <c r="A16588" s="136"/>
      <c r="CM16588" s="111"/>
      <c r="CQ16588" s="111"/>
      <c r="EF16588"/>
      <c r="EG16588"/>
      <c r="EH16588"/>
      <c r="EI16588"/>
      <c r="EJ16588"/>
      <c r="EK16588"/>
    </row>
    <row r="16589" spans="1:141" s="116" customFormat="1">
      <c r="A16589" s="136"/>
      <c r="CM16589" s="111"/>
      <c r="CQ16589" s="111"/>
      <c r="EF16589"/>
      <c r="EG16589"/>
      <c r="EH16589"/>
      <c r="EI16589"/>
      <c r="EJ16589"/>
      <c r="EK16589"/>
    </row>
    <row r="16590" spans="1:141" s="116" customFormat="1">
      <c r="A16590" s="136"/>
      <c r="CM16590" s="111"/>
      <c r="CQ16590" s="111"/>
      <c r="EF16590"/>
      <c r="EG16590"/>
      <c r="EH16590"/>
      <c r="EI16590"/>
      <c r="EJ16590"/>
      <c r="EK16590"/>
    </row>
    <row r="16591" spans="1:141" s="116" customFormat="1">
      <c r="A16591" s="136"/>
      <c r="CM16591" s="111"/>
      <c r="CQ16591" s="111"/>
      <c r="EF16591"/>
      <c r="EG16591"/>
      <c r="EH16591"/>
      <c r="EI16591"/>
      <c r="EJ16591"/>
      <c r="EK16591"/>
    </row>
    <row r="16592" spans="1:141" s="116" customFormat="1">
      <c r="A16592" s="136"/>
      <c r="CM16592" s="111"/>
      <c r="CQ16592" s="111"/>
      <c r="EF16592"/>
      <c r="EG16592"/>
      <c r="EH16592"/>
      <c r="EI16592"/>
      <c r="EJ16592"/>
      <c r="EK16592"/>
    </row>
    <row r="16593" spans="1:141" s="116" customFormat="1">
      <c r="A16593" s="136"/>
      <c r="CM16593" s="111"/>
      <c r="CQ16593" s="111"/>
      <c r="EF16593"/>
      <c r="EG16593"/>
      <c r="EH16593"/>
      <c r="EI16593"/>
      <c r="EJ16593"/>
      <c r="EK16593"/>
    </row>
    <row r="16594" spans="1:141" s="116" customFormat="1">
      <c r="A16594" s="136"/>
      <c r="CM16594" s="111"/>
      <c r="CQ16594" s="111"/>
      <c r="EF16594"/>
      <c r="EG16594"/>
      <c r="EH16594"/>
      <c r="EI16594"/>
      <c r="EJ16594"/>
      <c r="EK16594"/>
    </row>
    <row r="16595" spans="1:141" s="116" customFormat="1">
      <c r="A16595" s="136"/>
      <c r="CM16595" s="111"/>
      <c r="CQ16595" s="111"/>
      <c r="EF16595"/>
      <c r="EG16595"/>
      <c r="EH16595"/>
      <c r="EI16595"/>
      <c r="EJ16595"/>
      <c r="EK16595"/>
    </row>
    <row r="16596" spans="1:141" s="116" customFormat="1">
      <c r="A16596" s="136"/>
      <c r="CM16596" s="111"/>
      <c r="CQ16596" s="111"/>
      <c r="EF16596"/>
      <c r="EG16596"/>
      <c r="EH16596"/>
      <c r="EI16596"/>
      <c r="EJ16596"/>
      <c r="EK16596"/>
    </row>
    <row r="16597" spans="1:141" s="116" customFormat="1">
      <c r="A16597" s="136"/>
      <c r="CM16597" s="111"/>
      <c r="CQ16597" s="111"/>
      <c r="EF16597"/>
      <c r="EG16597"/>
      <c r="EH16597"/>
      <c r="EI16597"/>
      <c r="EJ16597"/>
      <c r="EK16597"/>
    </row>
    <row r="16598" spans="1:141" s="116" customFormat="1">
      <c r="A16598" s="136"/>
      <c r="CM16598" s="111"/>
      <c r="CQ16598" s="111"/>
      <c r="EF16598"/>
      <c r="EG16598"/>
      <c r="EH16598"/>
      <c r="EI16598"/>
      <c r="EJ16598"/>
      <c r="EK16598"/>
    </row>
    <row r="16599" spans="1:141" s="116" customFormat="1">
      <c r="A16599" s="136"/>
      <c r="CM16599" s="111"/>
      <c r="CQ16599" s="111"/>
      <c r="EF16599"/>
      <c r="EG16599"/>
      <c r="EH16599"/>
      <c r="EI16599"/>
      <c r="EJ16599"/>
      <c r="EK16599"/>
    </row>
    <row r="16600" spans="1:141" s="116" customFormat="1">
      <c r="A16600" s="136"/>
      <c r="CM16600" s="111"/>
      <c r="CQ16600" s="111"/>
      <c r="EF16600"/>
      <c r="EG16600"/>
      <c r="EH16600"/>
      <c r="EI16600"/>
      <c r="EJ16600"/>
      <c r="EK16600"/>
    </row>
    <row r="16601" spans="1:141" s="116" customFormat="1">
      <c r="A16601" s="136"/>
      <c r="CM16601" s="111"/>
      <c r="CQ16601" s="111"/>
      <c r="EF16601"/>
      <c r="EG16601"/>
      <c r="EH16601"/>
      <c r="EI16601"/>
      <c r="EJ16601"/>
      <c r="EK16601"/>
    </row>
    <row r="16602" spans="1:141" s="116" customFormat="1">
      <c r="A16602" s="136"/>
      <c r="CM16602" s="111"/>
      <c r="CQ16602" s="111"/>
      <c r="EF16602"/>
      <c r="EG16602"/>
      <c r="EH16602"/>
      <c r="EI16602"/>
      <c r="EJ16602"/>
      <c r="EK16602"/>
    </row>
    <row r="16603" spans="1:141" s="116" customFormat="1">
      <c r="A16603" s="136"/>
      <c r="CM16603" s="111"/>
      <c r="CQ16603" s="111"/>
      <c r="EF16603"/>
      <c r="EG16603"/>
      <c r="EH16603"/>
      <c r="EI16603"/>
      <c r="EJ16603"/>
      <c r="EK16603"/>
    </row>
    <row r="16604" spans="1:141" s="116" customFormat="1">
      <c r="A16604" s="136"/>
      <c r="CM16604" s="111"/>
      <c r="CQ16604" s="111"/>
      <c r="EF16604"/>
      <c r="EG16604"/>
      <c r="EH16604"/>
      <c r="EI16604"/>
      <c r="EJ16604"/>
      <c r="EK16604"/>
    </row>
    <row r="16605" spans="1:141" s="116" customFormat="1">
      <c r="A16605" s="136"/>
      <c r="CM16605" s="111"/>
      <c r="CQ16605" s="111"/>
      <c r="EF16605"/>
      <c r="EG16605"/>
      <c r="EH16605"/>
      <c r="EI16605"/>
      <c r="EJ16605"/>
      <c r="EK16605"/>
    </row>
    <row r="16606" spans="1:141" s="116" customFormat="1">
      <c r="A16606" s="136"/>
      <c r="CM16606" s="111"/>
      <c r="CQ16606" s="111"/>
      <c r="EF16606"/>
      <c r="EG16606"/>
      <c r="EH16606"/>
      <c r="EI16606"/>
      <c r="EJ16606"/>
      <c r="EK16606"/>
    </row>
    <row r="16607" spans="1:141" s="116" customFormat="1">
      <c r="A16607" s="136"/>
      <c r="CM16607" s="111"/>
      <c r="CQ16607" s="111"/>
      <c r="EF16607"/>
      <c r="EG16607"/>
      <c r="EH16607"/>
      <c r="EI16607"/>
      <c r="EJ16607"/>
      <c r="EK16607"/>
    </row>
    <row r="16608" spans="1:141" s="116" customFormat="1">
      <c r="A16608" s="136"/>
      <c r="CM16608" s="111"/>
      <c r="CQ16608" s="111"/>
      <c r="EF16608"/>
      <c r="EG16608"/>
      <c r="EH16608"/>
      <c r="EI16608"/>
      <c r="EJ16608"/>
      <c r="EK16608"/>
    </row>
    <row r="16609" spans="1:141" s="116" customFormat="1">
      <c r="A16609" s="136"/>
      <c r="CM16609" s="111"/>
      <c r="CQ16609" s="111"/>
      <c r="EF16609"/>
      <c r="EG16609"/>
      <c r="EH16609"/>
      <c r="EI16609"/>
      <c r="EJ16609"/>
      <c r="EK16609"/>
    </row>
    <row r="16610" spans="1:141" s="116" customFormat="1">
      <c r="A16610" s="136"/>
      <c r="CM16610" s="111"/>
      <c r="CQ16610" s="111"/>
      <c r="EF16610"/>
      <c r="EG16610"/>
      <c r="EH16610"/>
      <c r="EI16610"/>
      <c r="EJ16610"/>
      <c r="EK16610"/>
    </row>
    <row r="16611" spans="1:141" s="116" customFormat="1">
      <c r="A16611" s="136"/>
      <c r="CM16611" s="111"/>
      <c r="CQ16611" s="111"/>
      <c r="EF16611"/>
      <c r="EG16611"/>
      <c r="EH16611"/>
      <c r="EI16611"/>
      <c r="EJ16611"/>
      <c r="EK16611"/>
    </row>
    <row r="16612" spans="1:141" s="116" customFormat="1">
      <c r="A16612" s="136"/>
      <c r="CM16612" s="111"/>
      <c r="CQ16612" s="111"/>
      <c r="EF16612"/>
      <c r="EG16612"/>
      <c r="EH16612"/>
      <c r="EI16612"/>
      <c r="EJ16612"/>
      <c r="EK16612"/>
    </row>
    <row r="16613" spans="1:141" s="116" customFormat="1">
      <c r="A16613" s="136"/>
      <c r="CM16613" s="111"/>
      <c r="CQ16613" s="111"/>
      <c r="EF16613"/>
      <c r="EG16613"/>
      <c r="EH16613"/>
      <c r="EI16613"/>
      <c r="EJ16613"/>
      <c r="EK16613"/>
    </row>
    <row r="16614" spans="1:141" s="116" customFormat="1">
      <c r="A16614" s="136"/>
      <c r="CM16614" s="111"/>
      <c r="CQ16614" s="111"/>
      <c r="EF16614"/>
      <c r="EG16614"/>
      <c r="EH16614"/>
      <c r="EI16614"/>
      <c r="EJ16614"/>
      <c r="EK16614"/>
    </row>
    <row r="16615" spans="1:141" s="116" customFormat="1">
      <c r="A16615" s="136"/>
      <c r="CM16615" s="111"/>
      <c r="CQ16615" s="111"/>
      <c r="EF16615"/>
      <c r="EG16615"/>
      <c r="EH16615"/>
      <c r="EI16615"/>
      <c r="EJ16615"/>
      <c r="EK16615"/>
    </row>
    <row r="16616" spans="1:141" s="116" customFormat="1">
      <c r="A16616" s="136"/>
      <c r="CM16616" s="111"/>
      <c r="CQ16616" s="111"/>
      <c r="EF16616"/>
      <c r="EG16616"/>
      <c r="EH16616"/>
      <c r="EI16616"/>
      <c r="EJ16616"/>
      <c r="EK16616"/>
    </row>
    <row r="16617" spans="1:141" s="116" customFormat="1">
      <c r="A16617" s="136"/>
      <c r="CM16617" s="111"/>
      <c r="CQ16617" s="111"/>
      <c r="EF16617"/>
      <c r="EG16617"/>
      <c r="EH16617"/>
      <c r="EI16617"/>
      <c r="EJ16617"/>
      <c r="EK16617"/>
    </row>
    <row r="16618" spans="1:141" s="116" customFormat="1">
      <c r="A16618" s="136"/>
      <c r="CM16618" s="111"/>
      <c r="CQ16618" s="111"/>
      <c r="EF16618"/>
      <c r="EG16618"/>
      <c r="EH16618"/>
      <c r="EI16618"/>
      <c r="EJ16618"/>
      <c r="EK16618"/>
    </row>
    <row r="16619" spans="1:141" s="116" customFormat="1">
      <c r="A16619" s="136"/>
      <c r="CM16619" s="111"/>
      <c r="CQ16619" s="111"/>
      <c r="EF16619"/>
      <c r="EG16619"/>
      <c r="EH16619"/>
      <c r="EI16619"/>
      <c r="EJ16619"/>
      <c r="EK16619"/>
    </row>
    <row r="16620" spans="1:141" s="116" customFormat="1">
      <c r="A16620" s="136"/>
      <c r="CM16620" s="111"/>
      <c r="CQ16620" s="111"/>
      <c r="EF16620"/>
      <c r="EG16620"/>
      <c r="EH16620"/>
      <c r="EI16620"/>
      <c r="EJ16620"/>
      <c r="EK16620"/>
    </row>
    <row r="16621" spans="1:141" s="116" customFormat="1">
      <c r="A16621" s="136"/>
      <c r="CM16621" s="111"/>
      <c r="CQ16621" s="111"/>
      <c r="EF16621"/>
      <c r="EG16621"/>
      <c r="EH16621"/>
      <c r="EI16621"/>
      <c r="EJ16621"/>
      <c r="EK16621"/>
    </row>
    <row r="16622" spans="1:141" s="116" customFormat="1">
      <c r="A16622" s="136"/>
      <c r="CM16622" s="111"/>
      <c r="CQ16622" s="111"/>
      <c r="EF16622"/>
      <c r="EG16622"/>
      <c r="EH16622"/>
      <c r="EI16622"/>
      <c r="EJ16622"/>
      <c r="EK16622"/>
    </row>
    <row r="16623" spans="1:141" s="116" customFormat="1">
      <c r="A16623" s="136"/>
      <c r="CM16623" s="111"/>
      <c r="CQ16623" s="111"/>
      <c r="EF16623"/>
      <c r="EG16623"/>
      <c r="EH16623"/>
      <c r="EI16623"/>
      <c r="EJ16623"/>
      <c r="EK16623"/>
    </row>
    <row r="16624" spans="1:141" s="116" customFormat="1">
      <c r="A16624" s="136"/>
      <c r="CM16624" s="111"/>
      <c r="CQ16624" s="111"/>
      <c r="EF16624"/>
      <c r="EG16624"/>
      <c r="EH16624"/>
      <c r="EI16624"/>
      <c r="EJ16624"/>
      <c r="EK16624"/>
    </row>
    <row r="16625" spans="1:141" s="116" customFormat="1">
      <c r="A16625" s="136"/>
      <c r="CM16625" s="111"/>
      <c r="CQ16625" s="111"/>
      <c r="EF16625"/>
      <c r="EG16625"/>
      <c r="EH16625"/>
      <c r="EI16625"/>
      <c r="EJ16625"/>
      <c r="EK16625"/>
    </row>
    <row r="16626" spans="1:141" s="116" customFormat="1">
      <c r="A16626" s="136"/>
      <c r="CM16626" s="111"/>
      <c r="CQ16626" s="111"/>
      <c r="EF16626"/>
      <c r="EG16626"/>
      <c r="EH16626"/>
      <c r="EI16626"/>
      <c r="EJ16626"/>
      <c r="EK16626"/>
    </row>
    <row r="16627" spans="1:141" s="116" customFormat="1">
      <c r="A16627" s="136"/>
      <c r="CM16627" s="111"/>
      <c r="CQ16627" s="111"/>
      <c r="EF16627"/>
      <c r="EG16627"/>
      <c r="EH16627"/>
      <c r="EI16627"/>
      <c r="EJ16627"/>
      <c r="EK16627"/>
    </row>
    <row r="16628" spans="1:141" s="116" customFormat="1">
      <c r="A16628" s="136"/>
      <c r="CM16628" s="111"/>
      <c r="CQ16628" s="111"/>
      <c r="EF16628"/>
      <c r="EG16628"/>
      <c r="EH16628"/>
      <c r="EI16628"/>
      <c r="EJ16628"/>
      <c r="EK16628"/>
    </row>
    <row r="16629" spans="1:141" s="116" customFormat="1">
      <c r="A16629" s="136"/>
      <c r="CM16629" s="111"/>
      <c r="CQ16629" s="111"/>
      <c r="EF16629"/>
      <c r="EG16629"/>
      <c r="EH16629"/>
      <c r="EI16629"/>
      <c r="EJ16629"/>
      <c r="EK16629"/>
    </row>
    <row r="16630" spans="1:141" s="116" customFormat="1">
      <c r="A16630" s="136"/>
      <c r="CM16630" s="111"/>
      <c r="CQ16630" s="111"/>
      <c r="EF16630"/>
      <c r="EG16630"/>
      <c r="EH16630"/>
      <c r="EI16630"/>
      <c r="EJ16630"/>
      <c r="EK16630"/>
    </row>
    <row r="16631" spans="1:141" s="116" customFormat="1">
      <c r="A16631" s="136"/>
      <c r="CM16631" s="111"/>
      <c r="CQ16631" s="111"/>
      <c r="EF16631"/>
      <c r="EG16631"/>
      <c r="EH16631"/>
      <c r="EI16631"/>
      <c r="EJ16631"/>
      <c r="EK16631"/>
    </row>
    <row r="16632" spans="1:141" s="116" customFormat="1">
      <c r="A16632" s="136"/>
      <c r="CM16632" s="111"/>
      <c r="CQ16632" s="111"/>
      <c r="EF16632"/>
      <c r="EG16632"/>
      <c r="EH16632"/>
      <c r="EI16632"/>
      <c r="EJ16632"/>
      <c r="EK16632"/>
    </row>
    <row r="16633" spans="1:141" s="116" customFormat="1">
      <c r="A16633" s="136"/>
      <c r="CM16633" s="111"/>
      <c r="CQ16633" s="111"/>
      <c r="EF16633"/>
      <c r="EG16633"/>
      <c r="EH16633"/>
      <c r="EI16633"/>
      <c r="EJ16633"/>
      <c r="EK16633"/>
    </row>
    <row r="16634" spans="1:141" s="116" customFormat="1">
      <c r="A16634" s="136"/>
      <c r="CM16634" s="111"/>
      <c r="CQ16634" s="111"/>
      <c r="EF16634"/>
      <c r="EG16634"/>
      <c r="EH16634"/>
      <c r="EI16634"/>
      <c r="EJ16634"/>
      <c r="EK16634"/>
    </row>
    <row r="16635" spans="1:141" s="116" customFormat="1">
      <c r="A16635" s="136"/>
      <c r="CM16635" s="111"/>
      <c r="CQ16635" s="111"/>
      <c r="EF16635"/>
      <c r="EG16635"/>
      <c r="EH16635"/>
      <c r="EI16635"/>
      <c r="EJ16635"/>
      <c r="EK16635"/>
    </row>
    <row r="16636" spans="1:141" s="116" customFormat="1">
      <c r="A16636" s="136"/>
      <c r="CM16636" s="111"/>
      <c r="CQ16636" s="111"/>
      <c r="EF16636"/>
      <c r="EG16636"/>
      <c r="EH16636"/>
      <c r="EI16636"/>
      <c r="EJ16636"/>
      <c r="EK16636"/>
    </row>
    <row r="16637" spans="1:141" s="116" customFormat="1">
      <c r="A16637" s="136"/>
      <c r="CM16637" s="111"/>
      <c r="CQ16637" s="111"/>
      <c r="EF16637"/>
      <c r="EG16637"/>
      <c r="EH16637"/>
      <c r="EI16637"/>
      <c r="EJ16637"/>
      <c r="EK16637"/>
    </row>
    <row r="16638" spans="1:141" s="116" customFormat="1">
      <c r="A16638" s="136"/>
      <c r="CM16638" s="111"/>
      <c r="CQ16638" s="111"/>
      <c r="EF16638"/>
      <c r="EG16638"/>
      <c r="EH16638"/>
      <c r="EI16638"/>
      <c r="EJ16638"/>
      <c r="EK16638"/>
    </row>
    <row r="16639" spans="1:141" s="116" customFormat="1">
      <c r="A16639" s="136"/>
      <c r="CM16639" s="111"/>
      <c r="CQ16639" s="111"/>
      <c r="EF16639"/>
      <c r="EG16639"/>
      <c r="EH16639"/>
      <c r="EI16639"/>
      <c r="EJ16639"/>
      <c r="EK16639"/>
    </row>
    <row r="16640" spans="1:141" s="116" customFormat="1">
      <c r="A16640" s="136"/>
      <c r="CM16640" s="111"/>
      <c r="CQ16640" s="111"/>
      <c r="EF16640"/>
      <c r="EG16640"/>
      <c r="EH16640"/>
      <c r="EI16640"/>
      <c r="EJ16640"/>
      <c r="EK16640"/>
    </row>
    <row r="16641" spans="1:141" s="116" customFormat="1">
      <c r="A16641" s="136"/>
      <c r="CM16641" s="111"/>
      <c r="CQ16641" s="111"/>
      <c r="EF16641"/>
      <c r="EG16641"/>
      <c r="EH16641"/>
      <c r="EI16641"/>
      <c r="EJ16641"/>
      <c r="EK16641"/>
    </row>
    <row r="16642" spans="1:141" s="116" customFormat="1">
      <c r="A16642" s="136"/>
      <c r="CM16642" s="111"/>
      <c r="CQ16642" s="111"/>
      <c r="EF16642"/>
      <c r="EG16642"/>
      <c r="EH16642"/>
      <c r="EI16642"/>
      <c r="EJ16642"/>
      <c r="EK16642"/>
    </row>
    <row r="16643" spans="1:141" s="116" customFormat="1">
      <c r="A16643" s="136"/>
      <c r="CM16643" s="111"/>
      <c r="CQ16643" s="111"/>
      <c r="EF16643"/>
      <c r="EG16643"/>
      <c r="EH16643"/>
      <c r="EI16643"/>
      <c r="EJ16643"/>
      <c r="EK16643"/>
    </row>
    <row r="16644" spans="1:141" s="116" customFormat="1">
      <c r="A16644" s="136"/>
      <c r="CM16644" s="111"/>
      <c r="CQ16644" s="111"/>
      <c r="EF16644"/>
      <c r="EG16644"/>
      <c r="EH16644"/>
      <c r="EI16644"/>
      <c r="EJ16644"/>
      <c r="EK16644"/>
    </row>
    <row r="16645" spans="1:141" s="116" customFormat="1">
      <c r="A16645" s="136"/>
      <c r="CM16645" s="111"/>
      <c r="CQ16645" s="111"/>
      <c r="EF16645"/>
      <c r="EG16645"/>
      <c r="EH16645"/>
      <c r="EI16645"/>
      <c r="EJ16645"/>
      <c r="EK16645"/>
    </row>
    <row r="16646" spans="1:141" s="116" customFormat="1">
      <c r="A16646" s="136"/>
      <c r="CM16646" s="111"/>
      <c r="CQ16646" s="111"/>
      <c r="EF16646"/>
      <c r="EG16646"/>
      <c r="EH16646"/>
      <c r="EI16646"/>
      <c r="EJ16646"/>
      <c r="EK16646"/>
    </row>
    <row r="16647" spans="1:141" s="116" customFormat="1">
      <c r="A16647" s="136"/>
      <c r="CM16647" s="111"/>
      <c r="CQ16647" s="111"/>
      <c r="EF16647"/>
      <c r="EG16647"/>
      <c r="EH16647"/>
      <c r="EI16647"/>
      <c r="EJ16647"/>
      <c r="EK16647"/>
    </row>
    <row r="16648" spans="1:141" s="116" customFormat="1">
      <c r="A16648" s="136"/>
      <c r="CM16648" s="111"/>
      <c r="CQ16648" s="111"/>
      <c r="EF16648"/>
      <c r="EG16648"/>
      <c r="EH16648"/>
      <c r="EI16648"/>
      <c r="EJ16648"/>
      <c r="EK16648"/>
    </row>
    <row r="16649" spans="1:141" s="116" customFormat="1">
      <c r="A16649" s="136"/>
      <c r="CM16649" s="111"/>
      <c r="CQ16649" s="111"/>
      <c r="EF16649"/>
      <c r="EG16649"/>
      <c r="EH16649"/>
      <c r="EI16649"/>
      <c r="EJ16649"/>
      <c r="EK16649"/>
    </row>
    <row r="16650" spans="1:141" s="116" customFormat="1">
      <c r="A16650" s="136"/>
      <c r="CM16650" s="111"/>
      <c r="CQ16650" s="111"/>
      <c r="EF16650"/>
      <c r="EG16650"/>
      <c r="EH16650"/>
      <c r="EI16650"/>
      <c r="EJ16650"/>
      <c r="EK16650"/>
    </row>
    <row r="16651" spans="1:141" s="116" customFormat="1">
      <c r="A16651" s="136"/>
      <c r="CM16651" s="111"/>
      <c r="CQ16651" s="111"/>
      <c r="EF16651"/>
      <c r="EG16651"/>
      <c r="EH16651"/>
      <c r="EI16651"/>
      <c r="EJ16651"/>
      <c r="EK16651"/>
    </row>
    <row r="16652" spans="1:141" s="116" customFormat="1">
      <c r="A16652" s="136"/>
      <c r="CM16652" s="111"/>
      <c r="CQ16652" s="111"/>
      <c r="EF16652"/>
      <c r="EG16652"/>
      <c r="EH16652"/>
      <c r="EI16652"/>
      <c r="EJ16652"/>
      <c r="EK16652"/>
    </row>
    <row r="16653" spans="1:141" s="116" customFormat="1">
      <c r="A16653" s="136"/>
      <c r="CM16653" s="111"/>
      <c r="CQ16653" s="111"/>
      <c r="EF16653"/>
      <c r="EG16653"/>
      <c r="EH16653"/>
      <c r="EI16653"/>
      <c r="EJ16653"/>
      <c r="EK16653"/>
    </row>
    <row r="16654" spans="1:141" s="116" customFormat="1">
      <c r="A16654" s="136"/>
      <c r="CM16654" s="111"/>
      <c r="CQ16654" s="111"/>
      <c r="EF16654"/>
      <c r="EG16654"/>
      <c r="EH16654"/>
      <c r="EI16654"/>
      <c r="EJ16654"/>
      <c r="EK16654"/>
    </row>
    <row r="16655" spans="1:141" s="116" customFormat="1">
      <c r="A16655" s="136"/>
      <c r="CM16655" s="111"/>
      <c r="CQ16655" s="111"/>
      <c r="EF16655"/>
      <c r="EG16655"/>
      <c r="EH16655"/>
      <c r="EI16655"/>
      <c r="EJ16655"/>
      <c r="EK16655"/>
    </row>
    <row r="16656" spans="1:141" s="116" customFormat="1">
      <c r="A16656" s="136"/>
      <c r="CM16656" s="111"/>
      <c r="CQ16656" s="111"/>
      <c r="EF16656"/>
      <c r="EG16656"/>
      <c r="EH16656"/>
      <c r="EI16656"/>
      <c r="EJ16656"/>
      <c r="EK16656"/>
    </row>
    <row r="16657" spans="1:141" s="116" customFormat="1">
      <c r="A16657" s="136"/>
      <c r="CM16657" s="111"/>
      <c r="CQ16657" s="111"/>
      <c r="EF16657"/>
      <c r="EG16657"/>
      <c r="EH16657"/>
      <c r="EI16657"/>
      <c r="EJ16657"/>
      <c r="EK16657"/>
    </row>
    <row r="16658" spans="1:141" s="116" customFormat="1">
      <c r="A16658" s="136"/>
      <c r="CM16658" s="111"/>
      <c r="CQ16658" s="111"/>
      <c r="EF16658"/>
      <c r="EG16658"/>
      <c r="EH16658"/>
      <c r="EI16658"/>
      <c r="EJ16658"/>
      <c r="EK16658"/>
    </row>
    <row r="16659" spans="1:141" s="116" customFormat="1">
      <c r="A16659" s="136"/>
      <c r="CM16659" s="111"/>
      <c r="CQ16659" s="111"/>
      <c r="EF16659"/>
      <c r="EG16659"/>
      <c r="EH16659"/>
      <c r="EI16659"/>
      <c r="EJ16659"/>
      <c r="EK16659"/>
    </row>
    <row r="16660" spans="1:141" s="116" customFormat="1">
      <c r="A16660" s="136"/>
      <c r="CM16660" s="111"/>
      <c r="CQ16660" s="111"/>
      <c r="EF16660"/>
      <c r="EG16660"/>
      <c r="EH16660"/>
      <c r="EI16660"/>
      <c r="EJ16660"/>
      <c r="EK16660"/>
    </row>
    <row r="16661" spans="1:141" s="116" customFormat="1">
      <c r="A16661" s="136"/>
      <c r="CM16661" s="111"/>
      <c r="CQ16661" s="111"/>
      <c r="EF16661"/>
      <c r="EG16661"/>
      <c r="EH16661"/>
      <c r="EI16661"/>
      <c r="EJ16661"/>
      <c r="EK16661"/>
    </row>
    <row r="16662" spans="1:141" s="116" customFormat="1">
      <c r="A16662" s="136"/>
      <c r="CM16662" s="111"/>
      <c r="CQ16662" s="111"/>
      <c r="EF16662"/>
      <c r="EG16662"/>
      <c r="EH16662"/>
      <c r="EI16662"/>
      <c r="EJ16662"/>
      <c r="EK16662"/>
    </row>
    <row r="16663" spans="1:141" s="116" customFormat="1">
      <c r="A16663" s="136"/>
      <c r="CM16663" s="111"/>
      <c r="CQ16663" s="111"/>
      <c r="EF16663"/>
      <c r="EG16663"/>
      <c r="EH16663"/>
      <c r="EI16663"/>
      <c r="EJ16663"/>
      <c r="EK16663"/>
    </row>
    <row r="16664" spans="1:141" s="116" customFormat="1">
      <c r="A16664" s="136"/>
      <c r="CM16664" s="111"/>
      <c r="CQ16664" s="111"/>
      <c r="EF16664"/>
      <c r="EG16664"/>
      <c r="EH16664"/>
      <c r="EI16664"/>
      <c r="EJ16664"/>
      <c r="EK16664"/>
    </row>
    <row r="16665" spans="1:141" s="116" customFormat="1">
      <c r="A16665" s="136"/>
      <c r="CM16665" s="111"/>
      <c r="CQ16665" s="111"/>
      <c r="EF16665"/>
      <c r="EG16665"/>
      <c r="EH16665"/>
      <c r="EI16665"/>
      <c r="EJ16665"/>
      <c r="EK16665"/>
    </row>
    <row r="16666" spans="1:141" s="116" customFormat="1">
      <c r="A16666" s="136"/>
      <c r="CM16666" s="111"/>
      <c r="CQ16666" s="111"/>
      <c r="EF16666"/>
      <c r="EG16666"/>
      <c r="EH16666"/>
      <c r="EI16666"/>
      <c r="EJ16666"/>
      <c r="EK16666"/>
    </row>
    <row r="16667" spans="1:141" s="116" customFormat="1">
      <c r="A16667" s="136"/>
      <c r="CM16667" s="111"/>
      <c r="CQ16667" s="111"/>
      <c r="EF16667"/>
      <c r="EG16667"/>
      <c r="EH16667"/>
      <c r="EI16667"/>
      <c r="EJ16667"/>
      <c r="EK16667"/>
    </row>
    <row r="16668" spans="1:141" s="116" customFormat="1">
      <c r="A16668" s="136"/>
      <c r="CM16668" s="111"/>
      <c r="CQ16668" s="111"/>
      <c r="EF16668"/>
      <c r="EG16668"/>
      <c r="EH16668"/>
      <c r="EI16668"/>
      <c r="EJ16668"/>
      <c r="EK16668"/>
    </row>
    <row r="16669" spans="1:141" s="116" customFormat="1">
      <c r="A16669" s="136"/>
      <c r="CM16669" s="111"/>
      <c r="CQ16669" s="111"/>
      <c r="EF16669"/>
      <c r="EG16669"/>
      <c r="EH16669"/>
      <c r="EI16669"/>
      <c r="EJ16669"/>
      <c r="EK16669"/>
    </row>
    <row r="16670" spans="1:141" s="116" customFormat="1">
      <c r="A16670" s="136"/>
      <c r="CM16670" s="111"/>
      <c r="CQ16670" s="111"/>
      <c r="EF16670"/>
      <c r="EG16670"/>
      <c r="EH16670"/>
      <c r="EI16670"/>
      <c r="EJ16670"/>
      <c r="EK16670"/>
    </row>
    <row r="16671" spans="1:141" s="116" customFormat="1">
      <c r="A16671" s="136"/>
      <c r="CM16671" s="111"/>
      <c r="CQ16671" s="111"/>
      <c r="EF16671"/>
      <c r="EG16671"/>
      <c r="EH16671"/>
      <c r="EI16671"/>
      <c r="EJ16671"/>
      <c r="EK16671"/>
    </row>
    <row r="16672" spans="1:141" s="116" customFormat="1">
      <c r="A16672" s="136"/>
      <c r="CM16672" s="111"/>
      <c r="CQ16672" s="111"/>
      <c r="EF16672"/>
      <c r="EG16672"/>
      <c r="EH16672"/>
      <c r="EI16672"/>
      <c r="EJ16672"/>
      <c r="EK16672"/>
    </row>
    <row r="16673" spans="1:141" s="116" customFormat="1">
      <c r="A16673" s="136"/>
      <c r="CM16673" s="111"/>
      <c r="CQ16673" s="111"/>
      <c r="EF16673"/>
      <c r="EG16673"/>
      <c r="EH16673"/>
      <c r="EI16673"/>
      <c r="EJ16673"/>
      <c r="EK16673"/>
    </row>
    <row r="16674" spans="1:141" s="116" customFormat="1">
      <c r="A16674" s="136"/>
      <c r="CM16674" s="111"/>
      <c r="CQ16674" s="111"/>
      <c r="EF16674"/>
      <c r="EG16674"/>
      <c r="EH16674"/>
      <c r="EI16674"/>
      <c r="EJ16674"/>
      <c r="EK16674"/>
    </row>
    <row r="16675" spans="1:141" s="116" customFormat="1">
      <c r="A16675" s="136"/>
      <c r="CM16675" s="111"/>
      <c r="CQ16675" s="111"/>
      <c r="EF16675"/>
      <c r="EG16675"/>
      <c r="EH16675"/>
      <c r="EI16675"/>
      <c r="EJ16675"/>
      <c r="EK16675"/>
    </row>
    <row r="16676" spans="1:141" s="116" customFormat="1">
      <c r="A16676" s="136"/>
      <c r="CM16676" s="111"/>
      <c r="CQ16676" s="111"/>
      <c r="EF16676"/>
      <c r="EG16676"/>
      <c r="EH16676"/>
      <c r="EI16676"/>
      <c r="EJ16676"/>
      <c r="EK16676"/>
    </row>
    <row r="16677" spans="1:141" s="116" customFormat="1">
      <c r="A16677" s="136"/>
      <c r="CM16677" s="111"/>
      <c r="CQ16677" s="111"/>
      <c r="EF16677"/>
      <c r="EG16677"/>
      <c r="EH16677"/>
      <c r="EI16677"/>
      <c r="EJ16677"/>
      <c r="EK16677"/>
    </row>
    <row r="16678" spans="1:141" s="116" customFormat="1">
      <c r="A16678" s="136"/>
      <c r="CM16678" s="111"/>
      <c r="CQ16678" s="111"/>
      <c r="EF16678"/>
      <c r="EG16678"/>
      <c r="EH16678"/>
      <c r="EI16678"/>
      <c r="EJ16678"/>
      <c r="EK16678"/>
    </row>
    <row r="16679" spans="1:141" s="116" customFormat="1">
      <c r="A16679" s="136"/>
      <c r="CM16679" s="111"/>
      <c r="CQ16679" s="111"/>
      <c r="EF16679"/>
      <c r="EG16679"/>
      <c r="EH16679"/>
      <c r="EI16679"/>
      <c r="EJ16679"/>
      <c r="EK16679"/>
    </row>
    <row r="16680" spans="1:141" s="116" customFormat="1">
      <c r="A16680" s="136"/>
      <c r="CM16680" s="111"/>
      <c r="CQ16680" s="111"/>
      <c r="EF16680"/>
      <c r="EG16680"/>
      <c r="EH16680"/>
      <c r="EI16680"/>
      <c r="EJ16680"/>
      <c r="EK16680"/>
    </row>
    <row r="16681" spans="1:141" s="116" customFormat="1">
      <c r="A16681" s="136"/>
      <c r="CM16681" s="111"/>
      <c r="CQ16681" s="111"/>
      <c r="EF16681"/>
      <c r="EG16681"/>
      <c r="EH16681"/>
      <c r="EI16681"/>
      <c r="EJ16681"/>
      <c r="EK16681"/>
    </row>
    <row r="16682" spans="1:141" s="116" customFormat="1">
      <c r="A16682" s="136"/>
      <c r="CM16682" s="111"/>
      <c r="CQ16682" s="111"/>
      <c r="EF16682"/>
      <c r="EG16682"/>
      <c r="EH16682"/>
      <c r="EI16682"/>
      <c r="EJ16682"/>
      <c r="EK16682"/>
    </row>
    <row r="16683" spans="1:141" s="116" customFormat="1">
      <c r="A16683" s="136"/>
      <c r="CM16683" s="111"/>
      <c r="CQ16683" s="111"/>
      <c r="EF16683"/>
      <c r="EG16683"/>
      <c r="EH16683"/>
      <c r="EI16683"/>
      <c r="EJ16683"/>
      <c r="EK16683"/>
    </row>
    <row r="16684" spans="1:141" s="116" customFormat="1">
      <c r="A16684" s="136"/>
      <c r="CM16684" s="111"/>
      <c r="CQ16684" s="111"/>
      <c r="EF16684"/>
      <c r="EG16684"/>
      <c r="EH16684"/>
      <c r="EI16684"/>
      <c r="EJ16684"/>
      <c r="EK16684"/>
    </row>
    <row r="16685" spans="1:141" s="116" customFormat="1">
      <c r="A16685" s="136"/>
      <c r="CM16685" s="111"/>
      <c r="CQ16685" s="111"/>
      <c r="EF16685"/>
      <c r="EG16685"/>
      <c r="EH16685"/>
      <c r="EI16685"/>
      <c r="EJ16685"/>
      <c r="EK16685"/>
    </row>
    <row r="16686" spans="1:141" s="116" customFormat="1">
      <c r="A16686" s="136"/>
      <c r="CM16686" s="111"/>
      <c r="CQ16686" s="111"/>
      <c r="EF16686"/>
      <c r="EG16686"/>
      <c r="EH16686"/>
      <c r="EI16686"/>
      <c r="EJ16686"/>
      <c r="EK16686"/>
    </row>
    <row r="16687" spans="1:141" s="116" customFormat="1">
      <c r="A16687" s="136"/>
      <c r="CM16687" s="111"/>
      <c r="CQ16687" s="111"/>
      <c r="EF16687"/>
      <c r="EG16687"/>
      <c r="EH16687"/>
      <c r="EI16687"/>
      <c r="EJ16687"/>
      <c r="EK16687"/>
    </row>
    <row r="16688" spans="1:141" s="116" customFormat="1">
      <c r="A16688" s="136"/>
      <c r="CM16688" s="111"/>
      <c r="CQ16688" s="111"/>
      <c r="EF16688"/>
      <c r="EG16688"/>
      <c r="EH16688"/>
      <c r="EI16688"/>
      <c r="EJ16688"/>
      <c r="EK16688"/>
    </row>
    <row r="16689" spans="1:141" s="116" customFormat="1">
      <c r="A16689" s="136"/>
      <c r="CM16689" s="111"/>
      <c r="CQ16689" s="111"/>
      <c r="EF16689"/>
      <c r="EG16689"/>
      <c r="EH16689"/>
      <c r="EI16689"/>
      <c r="EJ16689"/>
      <c r="EK16689"/>
    </row>
    <row r="16690" spans="1:141" s="116" customFormat="1">
      <c r="A16690" s="136"/>
      <c r="CM16690" s="111"/>
      <c r="CQ16690" s="111"/>
      <c r="EF16690"/>
      <c r="EG16690"/>
      <c r="EH16690"/>
      <c r="EI16690"/>
      <c r="EJ16690"/>
      <c r="EK16690"/>
    </row>
    <row r="16691" spans="1:141" s="116" customFormat="1">
      <c r="A16691" s="136"/>
      <c r="CM16691" s="111"/>
      <c r="CQ16691" s="111"/>
      <c r="EF16691"/>
      <c r="EG16691"/>
      <c r="EH16691"/>
      <c r="EI16691"/>
      <c r="EJ16691"/>
      <c r="EK16691"/>
    </row>
    <row r="16692" spans="1:141" s="116" customFormat="1">
      <c r="A16692" s="136"/>
      <c r="CM16692" s="111"/>
      <c r="CQ16692" s="111"/>
      <c r="EF16692"/>
      <c r="EG16692"/>
      <c r="EH16692"/>
      <c r="EI16692"/>
      <c r="EJ16692"/>
      <c r="EK16692"/>
    </row>
    <row r="16693" spans="1:141" s="116" customFormat="1">
      <c r="A16693" s="136"/>
      <c r="CM16693" s="111"/>
      <c r="CQ16693" s="111"/>
      <c r="EF16693"/>
      <c r="EG16693"/>
      <c r="EH16693"/>
      <c r="EI16693"/>
      <c r="EJ16693"/>
      <c r="EK16693"/>
    </row>
    <row r="16694" spans="1:141" s="116" customFormat="1">
      <c r="A16694" s="136"/>
      <c r="CM16694" s="111"/>
      <c r="CQ16694" s="111"/>
      <c r="EF16694"/>
      <c r="EG16694"/>
      <c r="EH16694"/>
      <c r="EI16694"/>
      <c r="EJ16694"/>
      <c r="EK16694"/>
    </row>
    <row r="16695" spans="1:141" s="116" customFormat="1">
      <c r="A16695" s="136"/>
      <c r="CM16695" s="111"/>
      <c r="CQ16695" s="111"/>
      <c r="EF16695"/>
      <c r="EG16695"/>
      <c r="EH16695"/>
      <c r="EI16695"/>
      <c r="EJ16695"/>
      <c r="EK16695"/>
    </row>
    <row r="16696" spans="1:141" s="116" customFormat="1">
      <c r="A16696" s="136"/>
      <c r="CM16696" s="111"/>
      <c r="CQ16696" s="111"/>
      <c r="EF16696"/>
      <c r="EG16696"/>
      <c r="EH16696"/>
      <c r="EI16696"/>
      <c r="EJ16696"/>
      <c r="EK16696"/>
    </row>
    <row r="16697" spans="1:141" s="116" customFormat="1">
      <c r="A16697" s="136"/>
      <c r="CM16697" s="111"/>
      <c r="CQ16697" s="111"/>
      <c r="EF16697"/>
      <c r="EG16697"/>
      <c r="EH16697"/>
      <c r="EI16697"/>
      <c r="EJ16697"/>
      <c r="EK16697"/>
    </row>
    <row r="16698" spans="1:141" s="116" customFormat="1">
      <c r="A16698" s="136"/>
      <c r="CM16698" s="111"/>
      <c r="CQ16698" s="111"/>
      <c r="EF16698"/>
      <c r="EG16698"/>
      <c r="EH16698"/>
      <c r="EI16698"/>
      <c r="EJ16698"/>
      <c r="EK16698"/>
    </row>
    <row r="16699" spans="1:141" s="116" customFormat="1">
      <c r="A16699" s="136"/>
      <c r="CM16699" s="111"/>
      <c r="CQ16699" s="111"/>
      <c r="EF16699"/>
      <c r="EG16699"/>
      <c r="EH16699"/>
      <c r="EI16699"/>
      <c r="EJ16699"/>
      <c r="EK16699"/>
    </row>
    <row r="16700" spans="1:141" s="116" customFormat="1">
      <c r="A16700" s="136"/>
      <c r="CM16700" s="111"/>
      <c r="CQ16700" s="111"/>
      <c r="EF16700"/>
      <c r="EG16700"/>
      <c r="EH16700"/>
      <c r="EI16700"/>
      <c r="EJ16700"/>
      <c r="EK16700"/>
    </row>
    <row r="16701" spans="1:141" s="116" customFormat="1">
      <c r="A16701" s="136"/>
      <c r="CM16701" s="111"/>
      <c r="CQ16701" s="111"/>
      <c r="EF16701"/>
      <c r="EG16701"/>
      <c r="EH16701"/>
      <c r="EI16701"/>
      <c r="EJ16701"/>
      <c r="EK16701"/>
    </row>
    <row r="16702" spans="1:141" s="116" customFormat="1">
      <c r="A16702" s="136"/>
      <c r="CM16702" s="111"/>
      <c r="CQ16702" s="111"/>
      <c r="EF16702"/>
      <c r="EG16702"/>
      <c r="EH16702"/>
      <c r="EI16702"/>
      <c r="EJ16702"/>
      <c r="EK16702"/>
    </row>
    <row r="16703" spans="1:141" s="116" customFormat="1">
      <c r="A16703" s="136"/>
      <c r="CM16703" s="111"/>
      <c r="CQ16703" s="111"/>
      <c r="EF16703"/>
      <c r="EG16703"/>
      <c r="EH16703"/>
      <c r="EI16703"/>
      <c r="EJ16703"/>
      <c r="EK16703"/>
    </row>
    <row r="16704" spans="1:141" s="116" customFormat="1">
      <c r="A16704" s="136"/>
      <c r="CM16704" s="111"/>
      <c r="CQ16704" s="111"/>
      <c r="EF16704"/>
      <c r="EG16704"/>
      <c r="EH16704"/>
      <c r="EI16704"/>
      <c r="EJ16704"/>
      <c r="EK16704"/>
    </row>
    <row r="16705" spans="1:141" s="116" customFormat="1">
      <c r="A16705" s="136"/>
      <c r="CM16705" s="111"/>
      <c r="CQ16705" s="111"/>
      <c r="EF16705"/>
      <c r="EG16705"/>
      <c r="EH16705"/>
      <c r="EI16705"/>
      <c r="EJ16705"/>
      <c r="EK16705"/>
    </row>
    <row r="16706" spans="1:141" s="116" customFormat="1">
      <c r="A16706" s="136"/>
      <c r="CM16706" s="111"/>
      <c r="CQ16706" s="111"/>
      <c r="EF16706"/>
      <c r="EG16706"/>
      <c r="EH16706"/>
      <c r="EI16706"/>
      <c r="EJ16706"/>
      <c r="EK16706"/>
    </row>
    <row r="16707" spans="1:141" s="116" customFormat="1">
      <c r="A16707" s="136"/>
      <c r="CM16707" s="111"/>
      <c r="CQ16707" s="111"/>
      <c r="EF16707"/>
      <c r="EG16707"/>
      <c r="EH16707"/>
      <c r="EI16707"/>
      <c r="EJ16707"/>
      <c r="EK16707"/>
    </row>
    <row r="16708" spans="1:141" s="116" customFormat="1">
      <c r="A16708" s="136"/>
      <c r="CM16708" s="111"/>
      <c r="CQ16708" s="111"/>
      <c r="EF16708"/>
      <c r="EG16708"/>
      <c r="EH16708"/>
      <c r="EI16708"/>
      <c r="EJ16708"/>
      <c r="EK16708"/>
    </row>
    <row r="16709" spans="1:141" s="116" customFormat="1">
      <c r="A16709" s="136"/>
      <c r="CM16709" s="111"/>
      <c r="CQ16709" s="111"/>
      <c r="EF16709"/>
      <c r="EG16709"/>
      <c r="EH16709"/>
      <c r="EI16709"/>
      <c r="EJ16709"/>
      <c r="EK16709"/>
    </row>
    <row r="16710" spans="1:141" s="116" customFormat="1">
      <c r="A16710" s="136"/>
      <c r="CM16710" s="111"/>
      <c r="CQ16710" s="111"/>
      <c r="EF16710"/>
      <c r="EG16710"/>
      <c r="EH16710"/>
      <c r="EI16710"/>
      <c r="EJ16710"/>
      <c r="EK16710"/>
    </row>
    <row r="16711" spans="1:141" s="116" customFormat="1">
      <c r="A16711" s="136"/>
      <c r="CM16711" s="111"/>
      <c r="CQ16711" s="111"/>
      <c r="EF16711"/>
      <c r="EG16711"/>
      <c r="EH16711"/>
      <c r="EI16711"/>
      <c r="EJ16711"/>
      <c r="EK16711"/>
    </row>
    <row r="16712" spans="1:141" s="116" customFormat="1">
      <c r="A16712" s="136"/>
      <c r="CM16712" s="111"/>
      <c r="CQ16712" s="111"/>
      <c r="EF16712"/>
      <c r="EG16712"/>
      <c r="EH16712"/>
      <c r="EI16712"/>
      <c r="EJ16712"/>
      <c r="EK16712"/>
    </row>
    <row r="16713" spans="1:141" s="116" customFormat="1">
      <c r="A16713" s="136"/>
      <c r="CM16713" s="111"/>
      <c r="CQ16713" s="111"/>
      <c r="EF16713"/>
      <c r="EG16713"/>
      <c r="EH16713"/>
      <c r="EI16713"/>
      <c r="EJ16713"/>
      <c r="EK16713"/>
    </row>
    <row r="16714" spans="1:141" s="116" customFormat="1">
      <c r="A16714" s="136"/>
      <c r="CM16714" s="111"/>
      <c r="CQ16714" s="111"/>
      <c r="EF16714"/>
      <c r="EG16714"/>
      <c r="EH16714"/>
      <c r="EI16714"/>
      <c r="EJ16714"/>
      <c r="EK16714"/>
    </row>
    <row r="16715" spans="1:141" s="116" customFormat="1">
      <c r="A16715" s="136"/>
      <c r="CM16715" s="111"/>
      <c r="CQ16715" s="111"/>
      <c r="EF16715"/>
      <c r="EG16715"/>
      <c r="EH16715"/>
      <c r="EI16715"/>
      <c r="EJ16715"/>
      <c r="EK16715"/>
    </row>
    <row r="16716" spans="1:141" s="116" customFormat="1">
      <c r="A16716" s="136"/>
      <c r="CM16716" s="111"/>
      <c r="CQ16716" s="111"/>
      <c r="EF16716"/>
      <c r="EG16716"/>
      <c r="EH16716"/>
      <c r="EI16716"/>
      <c r="EJ16716"/>
      <c r="EK16716"/>
    </row>
    <row r="16717" spans="1:141" s="116" customFormat="1">
      <c r="A16717" s="136"/>
      <c r="CM16717" s="111"/>
      <c r="CQ16717" s="111"/>
      <c r="EF16717"/>
      <c r="EG16717"/>
      <c r="EH16717"/>
      <c r="EI16717"/>
      <c r="EJ16717"/>
      <c r="EK16717"/>
    </row>
    <row r="16718" spans="1:141" s="116" customFormat="1">
      <c r="A16718" s="136"/>
      <c r="CM16718" s="111"/>
      <c r="CQ16718" s="111"/>
      <c r="EF16718"/>
      <c r="EG16718"/>
      <c r="EH16718"/>
      <c r="EI16718"/>
      <c r="EJ16718"/>
      <c r="EK16718"/>
    </row>
    <row r="16719" spans="1:141" s="116" customFormat="1">
      <c r="A16719" s="136"/>
      <c r="CM16719" s="111"/>
      <c r="CQ16719" s="111"/>
      <c r="EF16719"/>
      <c r="EG16719"/>
      <c r="EH16719"/>
      <c r="EI16719"/>
      <c r="EJ16719"/>
      <c r="EK16719"/>
    </row>
    <row r="16720" spans="1:141" s="116" customFormat="1">
      <c r="A16720" s="136"/>
      <c r="CM16720" s="111"/>
      <c r="CQ16720" s="111"/>
      <c r="EF16720"/>
      <c r="EG16720"/>
      <c r="EH16720"/>
      <c r="EI16720"/>
      <c r="EJ16720"/>
      <c r="EK16720"/>
    </row>
    <row r="16721" spans="1:141" s="116" customFormat="1">
      <c r="A16721" s="136"/>
      <c r="CM16721" s="111"/>
      <c r="CQ16721" s="111"/>
      <c r="EF16721"/>
      <c r="EG16721"/>
      <c r="EH16721"/>
      <c r="EI16721"/>
      <c r="EJ16721"/>
      <c r="EK16721"/>
    </row>
    <row r="16722" spans="1:141" s="116" customFormat="1">
      <c r="A16722" s="136"/>
      <c r="CM16722" s="111"/>
      <c r="CQ16722" s="111"/>
      <c r="EF16722"/>
      <c r="EG16722"/>
      <c r="EH16722"/>
      <c r="EI16722"/>
      <c r="EJ16722"/>
      <c r="EK16722"/>
    </row>
    <row r="16723" spans="1:141" s="116" customFormat="1">
      <c r="A16723" s="136"/>
      <c r="CM16723" s="111"/>
      <c r="CQ16723" s="111"/>
      <c r="EF16723"/>
      <c r="EG16723"/>
      <c r="EH16723"/>
      <c r="EI16723"/>
      <c r="EJ16723"/>
      <c r="EK16723"/>
    </row>
    <row r="16724" spans="1:141" s="116" customFormat="1">
      <c r="A16724" s="136"/>
      <c r="CM16724" s="111"/>
      <c r="CQ16724" s="111"/>
      <c r="EF16724"/>
      <c r="EG16724"/>
      <c r="EH16724"/>
      <c r="EI16724"/>
      <c r="EJ16724"/>
      <c r="EK16724"/>
    </row>
    <row r="16725" spans="1:141" s="116" customFormat="1">
      <c r="A16725" s="136"/>
      <c r="CM16725" s="111"/>
      <c r="CQ16725" s="111"/>
      <c r="EF16725"/>
      <c r="EG16725"/>
      <c r="EH16725"/>
      <c r="EI16725"/>
      <c r="EJ16725"/>
      <c r="EK16725"/>
    </row>
    <row r="16726" spans="1:141" s="116" customFormat="1">
      <c r="A16726" s="136"/>
      <c r="CM16726" s="111"/>
      <c r="CQ16726" s="111"/>
      <c r="EF16726"/>
      <c r="EG16726"/>
      <c r="EH16726"/>
      <c r="EI16726"/>
      <c r="EJ16726"/>
      <c r="EK16726"/>
    </row>
    <row r="16727" spans="1:141" s="116" customFormat="1">
      <c r="A16727" s="136"/>
      <c r="CM16727" s="111"/>
      <c r="CQ16727" s="111"/>
      <c r="EF16727"/>
      <c r="EG16727"/>
      <c r="EH16727"/>
      <c r="EI16727"/>
      <c r="EJ16727"/>
      <c r="EK16727"/>
    </row>
    <row r="16728" spans="1:141" s="116" customFormat="1">
      <c r="A16728" s="136"/>
      <c r="CM16728" s="111"/>
      <c r="CQ16728" s="111"/>
      <c r="EF16728"/>
      <c r="EG16728"/>
      <c r="EH16728"/>
      <c r="EI16728"/>
      <c r="EJ16728"/>
      <c r="EK16728"/>
    </row>
    <row r="16729" spans="1:141" s="116" customFormat="1">
      <c r="A16729" s="136"/>
      <c r="CM16729" s="111"/>
      <c r="CQ16729" s="111"/>
      <c r="EF16729"/>
      <c r="EG16729"/>
      <c r="EH16729"/>
      <c r="EI16729"/>
      <c r="EJ16729"/>
      <c r="EK16729"/>
    </row>
    <row r="16730" spans="1:141" s="116" customFormat="1">
      <c r="A16730" s="136"/>
      <c r="CM16730" s="111"/>
      <c r="CQ16730" s="111"/>
      <c r="EF16730"/>
      <c r="EG16730"/>
      <c r="EH16730"/>
      <c r="EI16730"/>
      <c r="EJ16730"/>
      <c r="EK16730"/>
    </row>
    <row r="16731" spans="1:141" s="116" customFormat="1">
      <c r="A16731" s="136"/>
      <c r="CM16731" s="111"/>
      <c r="CQ16731" s="111"/>
      <c r="EF16731"/>
      <c r="EG16731"/>
      <c r="EH16731"/>
      <c r="EI16731"/>
      <c r="EJ16731"/>
      <c r="EK16731"/>
    </row>
    <row r="16732" spans="1:141" s="116" customFormat="1">
      <c r="A16732" s="136"/>
      <c r="CM16732" s="111"/>
      <c r="CQ16732" s="111"/>
      <c r="EF16732"/>
      <c r="EG16732"/>
      <c r="EH16732"/>
      <c r="EI16732"/>
      <c r="EJ16732"/>
      <c r="EK16732"/>
    </row>
    <row r="16733" spans="1:141" s="116" customFormat="1">
      <c r="A16733" s="136"/>
      <c r="CM16733" s="111"/>
      <c r="CQ16733" s="111"/>
      <c r="EF16733"/>
      <c r="EG16733"/>
      <c r="EH16733"/>
      <c r="EI16733"/>
      <c r="EJ16733"/>
      <c r="EK16733"/>
    </row>
    <row r="16734" spans="1:141" s="116" customFormat="1">
      <c r="A16734" s="136"/>
      <c r="CM16734" s="111"/>
      <c r="CQ16734" s="111"/>
      <c r="EF16734"/>
      <c r="EG16734"/>
      <c r="EH16734"/>
      <c r="EI16734"/>
      <c r="EJ16734"/>
      <c r="EK16734"/>
    </row>
    <row r="16735" spans="1:141" s="116" customFormat="1">
      <c r="A16735" s="136"/>
      <c r="CM16735" s="111"/>
      <c r="CQ16735" s="111"/>
      <c r="EF16735"/>
      <c r="EG16735"/>
      <c r="EH16735"/>
      <c r="EI16735"/>
      <c r="EJ16735"/>
      <c r="EK16735"/>
    </row>
    <row r="16736" spans="1:141" s="116" customFormat="1">
      <c r="A16736" s="136"/>
      <c r="CM16736" s="111"/>
      <c r="CQ16736" s="111"/>
      <c r="EF16736"/>
      <c r="EG16736"/>
      <c r="EH16736"/>
      <c r="EI16736"/>
      <c r="EJ16736"/>
      <c r="EK16736"/>
    </row>
    <row r="16737" spans="1:141" s="116" customFormat="1">
      <c r="A16737" s="136"/>
      <c r="CM16737" s="111"/>
      <c r="CQ16737" s="111"/>
      <c r="EF16737"/>
      <c r="EG16737"/>
      <c r="EH16737"/>
      <c r="EI16737"/>
      <c r="EJ16737"/>
      <c r="EK16737"/>
    </row>
    <row r="16738" spans="1:141" s="116" customFormat="1">
      <c r="A16738" s="136"/>
      <c r="CM16738" s="111"/>
      <c r="CQ16738" s="111"/>
      <c r="EF16738"/>
      <c r="EG16738"/>
      <c r="EH16738"/>
      <c r="EI16738"/>
      <c r="EJ16738"/>
      <c r="EK16738"/>
    </row>
    <row r="16739" spans="1:141" s="116" customFormat="1">
      <c r="A16739" s="136"/>
      <c r="CM16739" s="111"/>
      <c r="CQ16739" s="111"/>
      <c r="EF16739"/>
      <c r="EG16739"/>
      <c r="EH16739"/>
      <c r="EI16739"/>
      <c r="EJ16739"/>
      <c r="EK16739"/>
    </row>
    <row r="16740" spans="1:141" s="116" customFormat="1">
      <c r="A16740" s="136"/>
      <c r="CM16740" s="111"/>
      <c r="CQ16740" s="111"/>
      <c r="EF16740"/>
      <c r="EG16740"/>
      <c r="EH16740"/>
      <c r="EI16740"/>
      <c r="EJ16740"/>
      <c r="EK16740"/>
    </row>
    <row r="16741" spans="1:141" s="116" customFormat="1">
      <c r="A16741" s="136"/>
      <c r="CM16741" s="111"/>
      <c r="CQ16741" s="111"/>
      <c r="EF16741"/>
      <c r="EG16741"/>
      <c r="EH16741"/>
      <c r="EI16741"/>
      <c r="EJ16741"/>
      <c r="EK16741"/>
    </row>
    <row r="16742" spans="1:141" s="116" customFormat="1">
      <c r="A16742" s="136"/>
      <c r="CM16742" s="111"/>
      <c r="CQ16742" s="111"/>
      <c r="EF16742"/>
      <c r="EG16742"/>
      <c r="EH16742"/>
      <c r="EI16742"/>
      <c r="EJ16742"/>
      <c r="EK16742"/>
    </row>
    <row r="16743" spans="1:141" s="116" customFormat="1">
      <c r="A16743" s="136"/>
      <c r="CM16743" s="111"/>
      <c r="CQ16743" s="111"/>
      <c r="EF16743"/>
      <c r="EG16743"/>
      <c r="EH16743"/>
      <c r="EI16743"/>
      <c r="EJ16743"/>
      <c r="EK16743"/>
    </row>
    <row r="16744" spans="1:141" s="116" customFormat="1">
      <c r="A16744" s="136"/>
      <c r="CM16744" s="111"/>
      <c r="CQ16744" s="111"/>
      <c r="EF16744"/>
      <c r="EG16744"/>
      <c r="EH16744"/>
      <c r="EI16744"/>
      <c r="EJ16744"/>
      <c r="EK16744"/>
    </row>
    <row r="16745" spans="1:141" s="116" customFormat="1">
      <c r="A16745" s="136"/>
      <c r="CM16745" s="111"/>
      <c r="CQ16745" s="111"/>
      <c r="EF16745"/>
      <c r="EG16745"/>
      <c r="EH16745"/>
      <c r="EI16745"/>
      <c r="EJ16745"/>
      <c r="EK16745"/>
    </row>
    <row r="16746" spans="1:141" s="116" customFormat="1">
      <c r="A16746" s="136"/>
      <c r="CM16746" s="111"/>
      <c r="CQ16746" s="111"/>
      <c r="EF16746"/>
      <c r="EG16746"/>
      <c r="EH16746"/>
      <c r="EI16746"/>
      <c r="EJ16746"/>
      <c r="EK16746"/>
    </row>
    <row r="16747" spans="1:141" s="116" customFormat="1">
      <c r="A16747" s="136"/>
      <c r="CM16747" s="111"/>
      <c r="CQ16747" s="111"/>
      <c r="EF16747"/>
      <c r="EG16747"/>
      <c r="EH16747"/>
      <c r="EI16747"/>
      <c r="EJ16747"/>
      <c r="EK16747"/>
    </row>
    <row r="16748" spans="1:141" s="116" customFormat="1">
      <c r="A16748" s="136"/>
      <c r="CM16748" s="111"/>
      <c r="CQ16748" s="111"/>
      <c r="EF16748"/>
      <c r="EG16748"/>
      <c r="EH16748"/>
      <c r="EI16748"/>
      <c r="EJ16748"/>
      <c r="EK16748"/>
    </row>
    <row r="16749" spans="1:141" s="116" customFormat="1">
      <c r="A16749" s="136"/>
      <c r="CM16749" s="111"/>
      <c r="CQ16749" s="111"/>
      <c r="EF16749"/>
      <c r="EG16749"/>
      <c r="EH16749"/>
      <c r="EI16749"/>
      <c r="EJ16749"/>
      <c r="EK16749"/>
    </row>
    <row r="16750" spans="1:141" s="116" customFormat="1">
      <c r="A16750" s="136"/>
      <c r="CM16750" s="111"/>
      <c r="CQ16750" s="111"/>
      <c r="EF16750"/>
      <c r="EG16750"/>
      <c r="EH16750"/>
      <c r="EI16750"/>
      <c r="EJ16750"/>
      <c r="EK16750"/>
    </row>
    <row r="16751" spans="1:141" s="116" customFormat="1">
      <c r="A16751" s="136"/>
      <c r="CM16751" s="111"/>
      <c r="CQ16751" s="111"/>
      <c r="EF16751"/>
      <c r="EG16751"/>
      <c r="EH16751"/>
      <c r="EI16751"/>
      <c r="EJ16751"/>
      <c r="EK16751"/>
    </row>
    <row r="16752" spans="1:141" s="116" customFormat="1">
      <c r="A16752" s="136"/>
      <c r="CM16752" s="111"/>
      <c r="CQ16752" s="111"/>
      <c r="EF16752"/>
      <c r="EG16752"/>
      <c r="EH16752"/>
      <c r="EI16752"/>
      <c r="EJ16752"/>
      <c r="EK16752"/>
    </row>
    <row r="16753" spans="1:141" s="116" customFormat="1">
      <c r="A16753" s="136"/>
      <c r="CM16753" s="111"/>
      <c r="CQ16753" s="111"/>
      <c r="EF16753"/>
      <c r="EG16753"/>
      <c r="EH16753"/>
      <c r="EI16753"/>
      <c r="EJ16753"/>
      <c r="EK16753"/>
    </row>
    <row r="16754" spans="1:141" s="116" customFormat="1">
      <c r="A16754" s="136"/>
      <c r="CM16754" s="111"/>
      <c r="CQ16754" s="111"/>
      <c r="EF16754"/>
      <c r="EG16754"/>
      <c r="EH16754"/>
      <c r="EI16754"/>
      <c r="EJ16754"/>
      <c r="EK16754"/>
    </row>
    <row r="16755" spans="1:141" s="116" customFormat="1">
      <c r="A16755" s="136"/>
      <c r="CM16755" s="111"/>
      <c r="CQ16755" s="111"/>
      <c r="EF16755"/>
      <c r="EG16755"/>
      <c r="EH16755"/>
      <c r="EI16755"/>
      <c r="EJ16755"/>
      <c r="EK16755"/>
    </row>
    <row r="16756" spans="1:141" s="116" customFormat="1">
      <c r="A16756" s="136"/>
      <c r="CM16756" s="111"/>
      <c r="CQ16756" s="111"/>
      <c r="EF16756"/>
      <c r="EG16756"/>
      <c r="EH16756"/>
      <c r="EI16756"/>
      <c r="EJ16756"/>
      <c r="EK16756"/>
    </row>
    <row r="16757" spans="1:141" s="116" customFormat="1">
      <c r="A16757" s="136"/>
      <c r="CM16757" s="111"/>
      <c r="CQ16757" s="111"/>
      <c r="EF16757"/>
      <c r="EG16757"/>
      <c r="EH16757"/>
      <c r="EI16757"/>
      <c r="EJ16757"/>
      <c r="EK16757"/>
    </row>
    <row r="16758" spans="1:141" s="116" customFormat="1">
      <c r="A16758" s="136"/>
      <c r="CM16758" s="111"/>
      <c r="CQ16758" s="111"/>
      <c r="EF16758"/>
      <c r="EG16758"/>
      <c r="EH16758"/>
      <c r="EI16758"/>
      <c r="EJ16758"/>
      <c r="EK16758"/>
    </row>
    <row r="16759" spans="1:141" s="116" customFormat="1">
      <c r="A16759" s="136"/>
      <c r="CM16759" s="111"/>
      <c r="CQ16759" s="111"/>
      <c r="EF16759"/>
      <c r="EG16759"/>
      <c r="EH16759"/>
      <c r="EI16759"/>
      <c r="EJ16759"/>
      <c r="EK16759"/>
    </row>
    <row r="16760" spans="1:141" s="116" customFormat="1">
      <c r="A16760" s="136"/>
      <c r="CM16760" s="111"/>
      <c r="CQ16760" s="111"/>
      <c r="EF16760"/>
      <c r="EG16760"/>
      <c r="EH16760"/>
      <c r="EI16760"/>
      <c r="EJ16760"/>
      <c r="EK16760"/>
    </row>
    <row r="16761" spans="1:141" s="116" customFormat="1">
      <c r="A16761" s="136"/>
      <c r="CM16761" s="111"/>
      <c r="CQ16761" s="111"/>
      <c r="EF16761"/>
      <c r="EG16761"/>
      <c r="EH16761"/>
      <c r="EI16761"/>
      <c r="EJ16761"/>
      <c r="EK16761"/>
    </row>
    <row r="16762" spans="1:141" s="116" customFormat="1">
      <c r="A16762" s="136"/>
      <c r="CM16762" s="111"/>
      <c r="CQ16762" s="111"/>
      <c r="EF16762"/>
      <c r="EG16762"/>
      <c r="EH16762"/>
      <c r="EI16762"/>
      <c r="EJ16762"/>
      <c r="EK16762"/>
    </row>
    <row r="16763" spans="1:141" s="116" customFormat="1">
      <c r="A16763" s="136"/>
      <c r="CM16763" s="111"/>
      <c r="CQ16763" s="111"/>
      <c r="EF16763"/>
      <c r="EG16763"/>
      <c r="EH16763"/>
      <c r="EI16763"/>
      <c r="EJ16763"/>
      <c r="EK16763"/>
    </row>
    <row r="16764" spans="1:141" s="116" customFormat="1">
      <c r="A16764" s="136"/>
      <c r="CM16764" s="111"/>
      <c r="CQ16764" s="111"/>
      <c r="EF16764"/>
      <c r="EG16764"/>
      <c r="EH16764"/>
      <c r="EI16764"/>
      <c r="EJ16764"/>
      <c r="EK16764"/>
    </row>
    <row r="16765" spans="1:141" s="116" customFormat="1">
      <c r="A16765" s="136"/>
      <c r="CM16765" s="111"/>
      <c r="CQ16765" s="111"/>
      <c r="EF16765"/>
      <c r="EG16765"/>
      <c r="EH16765"/>
      <c r="EI16765"/>
      <c r="EJ16765"/>
      <c r="EK16765"/>
    </row>
    <row r="16766" spans="1:141" s="116" customFormat="1">
      <c r="A16766" s="136"/>
      <c r="CM16766" s="111"/>
      <c r="CQ16766" s="111"/>
      <c r="EF16766"/>
      <c r="EG16766"/>
      <c r="EH16766"/>
      <c r="EI16766"/>
      <c r="EJ16766"/>
      <c r="EK16766"/>
    </row>
    <row r="16767" spans="1:141" s="116" customFormat="1">
      <c r="A16767" s="136"/>
      <c r="CM16767" s="111"/>
      <c r="CQ16767" s="111"/>
      <c r="EF16767"/>
      <c r="EG16767"/>
      <c r="EH16767"/>
      <c r="EI16767"/>
      <c r="EJ16767"/>
      <c r="EK16767"/>
    </row>
    <row r="16768" spans="1:141" s="116" customFormat="1">
      <c r="A16768" s="136"/>
      <c r="CM16768" s="111"/>
      <c r="CQ16768" s="111"/>
      <c r="EF16768"/>
      <c r="EG16768"/>
      <c r="EH16768"/>
      <c r="EI16768"/>
      <c r="EJ16768"/>
      <c r="EK16768"/>
    </row>
    <row r="16769" spans="1:141" s="116" customFormat="1">
      <c r="A16769" s="136"/>
      <c r="CM16769" s="111"/>
      <c r="CQ16769" s="111"/>
      <c r="EF16769"/>
      <c r="EG16769"/>
      <c r="EH16769"/>
      <c r="EI16769"/>
      <c r="EJ16769"/>
      <c r="EK16769"/>
    </row>
    <row r="16770" spans="1:141" s="116" customFormat="1">
      <c r="A16770" s="136"/>
      <c r="CM16770" s="111"/>
      <c r="CQ16770" s="111"/>
      <c r="EF16770"/>
      <c r="EG16770"/>
      <c r="EH16770"/>
      <c r="EI16770"/>
      <c r="EJ16770"/>
      <c r="EK16770"/>
    </row>
    <row r="16771" spans="1:141" s="116" customFormat="1">
      <c r="A16771" s="136"/>
      <c r="CM16771" s="111"/>
      <c r="CQ16771" s="111"/>
      <c r="EF16771"/>
      <c r="EG16771"/>
      <c r="EH16771"/>
      <c r="EI16771"/>
      <c r="EJ16771"/>
      <c r="EK16771"/>
    </row>
    <row r="16772" spans="1:141" s="116" customFormat="1">
      <c r="A16772" s="136"/>
      <c r="CM16772" s="111"/>
      <c r="CQ16772" s="111"/>
      <c r="EF16772"/>
      <c r="EG16772"/>
      <c r="EH16772"/>
      <c r="EI16772"/>
      <c r="EJ16772"/>
      <c r="EK16772"/>
    </row>
    <row r="16773" spans="1:141" s="116" customFormat="1">
      <c r="A16773" s="136"/>
      <c r="CM16773" s="111"/>
      <c r="CQ16773" s="111"/>
      <c r="EF16773"/>
      <c r="EG16773"/>
      <c r="EH16773"/>
      <c r="EI16773"/>
      <c r="EJ16773"/>
      <c r="EK16773"/>
    </row>
    <row r="16774" spans="1:141" s="116" customFormat="1">
      <c r="A16774" s="136"/>
      <c r="CM16774" s="111"/>
      <c r="CQ16774" s="111"/>
      <c r="EF16774"/>
      <c r="EG16774"/>
      <c r="EH16774"/>
      <c r="EI16774"/>
      <c r="EJ16774"/>
      <c r="EK16774"/>
    </row>
    <row r="16775" spans="1:141" s="116" customFormat="1">
      <c r="A16775" s="136"/>
      <c r="CM16775" s="111"/>
      <c r="CQ16775" s="111"/>
      <c r="EF16775"/>
      <c r="EG16775"/>
      <c r="EH16775"/>
      <c r="EI16775"/>
      <c r="EJ16775"/>
      <c r="EK16775"/>
    </row>
    <row r="16776" spans="1:141" s="116" customFormat="1">
      <c r="A16776" s="136"/>
      <c r="CM16776" s="111"/>
      <c r="CQ16776" s="111"/>
      <c r="EF16776"/>
      <c r="EG16776"/>
      <c r="EH16776"/>
      <c r="EI16776"/>
      <c r="EJ16776"/>
      <c r="EK16776"/>
    </row>
    <row r="16777" spans="1:141" s="116" customFormat="1">
      <c r="A16777" s="136"/>
      <c r="CM16777" s="111"/>
      <c r="CQ16777" s="111"/>
      <c r="EF16777"/>
      <c r="EG16777"/>
      <c r="EH16777"/>
      <c r="EI16777"/>
      <c r="EJ16777"/>
      <c r="EK16777"/>
    </row>
    <row r="16778" spans="1:141" s="116" customFormat="1">
      <c r="A16778" s="136"/>
      <c r="CM16778" s="111"/>
      <c r="CQ16778" s="111"/>
      <c r="EF16778"/>
      <c r="EG16778"/>
      <c r="EH16778"/>
      <c r="EI16778"/>
      <c r="EJ16778"/>
      <c r="EK16778"/>
    </row>
    <row r="16779" spans="1:141" s="116" customFormat="1">
      <c r="A16779" s="136"/>
      <c r="CM16779" s="111"/>
      <c r="CQ16779" s="111"/>
      <c r="EF16779"/>
      <c r="EG16779"/>
      <c r="EH16779"/>
      <c r="EI16779"/>
      <c r="EJ16779"/>
      <c r="EK16779"/>
    </row>
    <row r="16780" spans="1:141" s="116" customFormat="1">
      <c r="A16780" s="136"/>
      <c r="CM16780" s="111"/>
      <c r="CQ16780" s="111"/>
      <c r="EF16780"/>
      <c r="EG16780"/>
      <c r="EH16780"/>
      <c r="EI16780"/>
      <c r="EJ16780"/>
      <c r="EK16780"/>
    </row>
    <row r="16781" spans="1:141" s="116" customFormat="1">
      <c r="A16781" s="136"/>
      <c r="CM16781" s="111"/>
      <c r="CQ16781" s="111"/>
      <c r="EF16781"/>
      <c r="EG16781"/>
      <c r="EH16781"/>
      <c r="EI16781"/>
      <c r="EJ16781"/>
      <c r="EK16781"/>
    </row>
    <row r="16782" spans="1:141" s="116" customFormat="1">
      <c r="A16782" s="136"/>
      <c r="CM16782" s="111"/>
      <c r="CQ16782" s="111"/>
      <c r="EF16782"/>
      <c r="EG16782"/>
      <c r="EH16782"/>
      <c r="EI16782"/>
      <c r="EJ16782"/>
      <c r="EK16782"/>
    </row>
    <row r="16783" spans="1:141" s="116" customFormat="1">
      <c r="A16783" s="136"/>
      <c r="CM16783" s="111"/>
      <c r="CQ16783" s="111"/>
      <c r="EF16783"/>
      <c r="EG16783"/>
      <c r="EH16783"/>
      <c r="EI16783"/>
      <c r="EJ16783"/>
      <c r="EK16783"/>
    </row>
    <row r="16784" spans="1:141" s="116" customFormat="1">
      <c r="A16784" s="136"/>
      <c r="CM16784" s="111"/>
      <c r="CQ16784" s="111"/>
      <c r="EF16784"/>
      <c r="EG16784"/>
      <c r="EH16784"/>
      <c r="EI16784"/>
      <c r="EJ16784"/>
      <c r="EK16784"/>
    </row>
    <row r="16785" spans="1:141" s="116" customFormat="1">
      <c r="A16785" s="136"/>
      <c r="CM16785" s="111"/>
      <c r="CQ16785" s="111"/>
      <c r="EF16785"/>
      <c r="EG16785"/>
      <c r="EH16785"/>
      <c r="EI16785"/>
      <c r="EJ16785"/>
      <c r="EK16785"/>
    </row>
    <row r="16786" spans="1:141" s="116" customFormat="1">
      <c r="A16786" s="136"/>
      <c r="CM16786" s="111"/>
      <c r="CQ16786" s="111"/>
      <c r="EF16786"/>
      <c r="EG16786"/>
      <c r="EH16786"/>
      <c r="EI16786"/>
      <c r="EJ16786"/>
      <c r="EK16786"/>
    </row>
    <row r="16787" spans="1:141" s="116" customFormat="1">
      <c r="A16787" s="136"/>
      <c r="CM16787" s="111"/>
      <c r="CQ16787" s="111"/>
      <c r="EF16787"/>
      <c r="EG16787"/>
      <c r="EH16787"/>
      <c r="EI16787"/>
      <c r="EJ16787"/>
      <c r="EK16787"/>
    </row>
    <row r="16788" spans="1:141" s="116" customFormat="1">
      <c r="A16788" s="136"/>
      <c r="CM16788" s="111"/>
      <c r="CQ16788" s="111"/>
      <c r="EF16788"/>
      <c r="EG16788"/>
      <c r="EH16788"/>
      <c r="EI16788"/>
      <c r="EJ16788"/>
      <c r="EK16788"/>
    </row>
    <row r="16789" spans="1:141" s="116" customFormat="1">
      <c r="A16789" s="136"/>
      <c r="CM16789" s="111"/>
      <c r="CQ16789" s="111"/>
      <c r="EF16789"/>
      <c r="EG16789"/>
      <c r="EH16789"/>
      <c r="EI16789"/>
      <c r="EJ16789"/>
      <c r="EK16789"/>
    </row>
    <row r="16790" spans="1:141" s="116" customFormat="1">
      <c r="A16790" s="136"/>
      <c r="CM16790" s="111"/>
      <c r="CQ16790" s="111"/>
      <c r="EF16790"/>
      <c r="EG16790"/>
      <c r="EH16790"/>
      <c r="EI16790"/>
      <c r="EJ16790"/>
      <c r="EK16790"/>
    </row>
    <row r="16791" spans="1:141" s="116" customFormat="1">
      <c r="A16791" s="136"/>
      <c r="CM16791" s="111"/>
      <c r="CQ16791" s="111"/>
      <c r="EF16791"/>
      <c r="EG16791"/>
      <c r="EH16791"/>
      <c r="EI16791"/>
      <c r="EJ16791"/>
      <c r="EK16791"/>
    </row>
    <row r="16792" spans="1:141" s="116" customFormat="1">
      <c r="A16792" s="136"/>
      <c r="CM16792" s="111"/>
      <c r="CQ16792" s="111"/>
      <c r="EF16792"/>
      <c r="EG16792"/>
      <c r="EH16792"/>
      <c r="EI16792"/>
      <c r="EJ16792"/>
      <c r="EK16792"/>
    </row>
    <row r="16793" spans="1:141" s="116" customFormat="1">
      <c r="A16793" s="136"/>
      <c r="CM16793" s="111"/>
      <c r="CQ16793" s="111"/>
      <c r="EF16793"/>
      <c r="EG16793"/>
      <c r="EH16793"/>
      <c r="EI16793"/>
      <c r="EJ16793"/>
      <c r="EK16793"/>
    </row>
    <row r="16794" spans="1:141" s="116" customFormat="1">
      <c r="A16794" s="136"/>
      <c r="CM16794" s="111"/>
      <c r="CQ16794" s="111"/>
      <c r="EF16794"/>
      <c r="EG16794"/>
      <c r="EH16794"/>
      <c r="EI16794"/>
      <c r="EJ16794"/>
      <c r="EK16794"/>
    </row>
    <row r="16795" spans="1:141" s="116" customFormat="1">
      <c r="A16795" s="136"/>
      <c r="CM16795" s="111"/>
      <c r="CQ16795" s="111"/>
      <c r="EF16795"/>
      <c r="EG16795"/>
      <c r="EH16795"/>
      <c r="EI16795"/>
      <c r="EJ16795"/>
      <c r="EK16795"/>
    </row>
    <row r="16796" spans="1:141" s="116" customFormat="1">
      <c r="A16796" s="136"/>
      <c r="CM16796" s="111"/>
      <c r="CQ16796" s="111"/>
      <c r="EF16796"/>
      <c r="EG16796"/>
      <c r="EH16796"/>
      <c r="EI16796"/>
      <c r="EJ16796"/>
      <c r="EK16796"/>
    </row>
    <row r="16797" spans="1:141" s="116" customFormat="1">
      <c r="A16797" s="136"/>
      <c r="CM16797" s="111"/>
      <c r="CQ16797" s="111"/>
      <c r="EF16797"/>
      <c r="EG16797"/>
      <c r="EH16797"/>
      <c r="EI16797"/>
      <c r="EJ16797"/>
      <c r="EK16797"/>
    </row>
    <row r="16798" spans="1:141" s="116" customFormat="1">
      <c r="A16798" s="136"/>
      <c r="CM16798" s="111"/>
      <c r="CQ16798" s="111"/>
      <c r="EF16798"/>
      <c r="EG16798"/>
      <c r="EH16798"/>
      <c r="EI16798"/>
      <c r="EJ16798"/>
      <c r="EK16798"/>
    </row>
    <row r="16799" spans="1:141" s="116" customFormat="1">
      <c r="A16799" s="136"/>
      <c r="CM16799" s="111"/>
      <c r="CQ16799" s="111"/>
      <c r="EF16799"/>
      <c r="EG16799"/>
      <c r="EH16799"/>
      <c r="EI16799"/>
      <c r="EJ16799"/>
      <c r="EK16799"/>
    </row>
    <row r="16800" spans="1:141" s="116" customFormat="1">
      <c r="A16800" s="136"/>
      <c r="CM16800" s="111"/>
      <c r="CQ16800" s="111"/>
      <c r="EF16800"/>
      <c r="EG16800"/>
      <c r="EH16800"/>
      <c r="EI16800"/>
      <c r="EJ16800"/>
      <c r="EK16800"/>
    </row>
    <row r="16801" spans="1:141" s="116" customFormat="1">
      <c r="A16801" s="136"/>
      <c r="CM16801" s="111"/>
      <c r="CQ16801" s="111"/>
      <c r="EF16801"/>
      <c r="EG16801"/>
      <c r="EH16801"/>
      <c r="EI16801"/>
      <c r="EJ16801"/>
      <c r="EK16801"/>
    </row>
    <row r="16802" spans="1:141" s="116" customFormat="1">
      <c r="A16802" s="136"/>
      <c r="CM16802" s="111"/>
      <c r="CQ16802" s="111"/>
      <c r="EF16802"/>
      <c r="EG16802"/>
      <c r="EH16802"/>
      <c r="EI16802"/>
      <c r="EJ16802"/>
      <c r="EK16802"/>
    </row>
    <row r="16803" spans="1:141" s="116" customFormat="1">
      <c r="A16803" s="136"/>
      <c r="CM16803" s="111"/>
      <c r="CQ16803" s="111"/>
      <c r="EF16803"/>
      <c r="EG16803"/>
      <c r="EH16803"/>
      <c r="EI16803"/>
      <c r="EJ16803"/>
      <c r="EK16803"/>
    </row>
    <row r="16804" spans="1:141" s="116" customFormat="1">
      <c r="A16804" s="136"/>
      <c r="CM16804" s="111"/>
      <c r="CQ16804" s="111"/>
      <c r="EF16804"/>
      <c r="EG16804"/>
      <c r="EH16804"/>
      <c r="EI16804"/>
      <c r="EJ16804"/>
      <c r="EK16804"/>
    </row>
    <row r="16805" spans="1:141" s="116" customFormat="1">
      <c r="A16805" s="136"/>
      <c r="CM16805" s="111"/>
      <c r="CQ16805" s="111"/>
      <c r="EF16805"/>
      <c r="EG16805"/>
      <c r="EH16805"/>
      <c r="EI16805"/>
      <c r="EJ16805"/>
      <c r="EK16805"/>
    </row>
    <row r="16806" spans="1:141" s="116" customFormat="1">
      <c r="A16806" s="136"/>
      <c r="CM16806" s="111"/>
      <c r="CQ16806" s="111"/>
      <c r="EF16806"/>
      <c r="EG16806"/>
      <c r="EH16806"/>
      <c r="EI16806"/>
      <c r="EJ16806"/>
      <c r="EK16806"/>
    </row>
    <row r="16807" spans="1:141" s="116" customFormat="1">
      <c r="A16807" s="136"/>
      <c r="CM16807" s="111"/>
      <c r="CQ16807" s="111"/>
      <c r="EF16807"/>
      <c r="EG16807"/>
      <c r="EH16807"/>
      <c r="EI16807"/>
      <c r="EJ16807"/>
      <c r="EK16807"/>
    </row>
    <row r="16808" spans="1:141" s="116" customFormat="1">
      <c r="A16808" s="136"/>
      <c r="CM16808" s="111"/>
      <c r="CQ16808" s="111"/>
      <c r="EF16808"/>
      <c r="EG16808"/>
      <c r="EH16808"/>
      <c r="EI16808"/>
      <c r="EJ16808"/>
      <c r="EK16808"/>
    </row>
    <row r="16809" spans="1:141" s="116" customFormat="1">
      <c r="A16809" s="136"/>
      <c r="CM16809" s="111"/>
      <c r="CQ16809" s="111"/>
      <c r="EF16809"/>
      <c r="EG16809"/>
      <c r="EH16809"/>
      <c r="EI16809"/>
      <c r="EJ16809"/>
      <c r="EK16809"/>
    </row>
    <row r="16810" spans="1:141" s="116" customFormat="1">
      <c r="A16810" s="136"/>
      <c r="CM16810" s="111"/>
      <c r="CQ16810" s="111"/>
      <c r="EF16810"/>
      <c r="EG16810"/>
      <c r="EH16810"/>
      <c r="EI16810"/>
      <c r="EJ16810"/>
      <c r="EK16810"/>
    </row>
    <row r="16811" spans="1:141" s="116" customFormat="1">
      <c r="A16811" s="136"/>
      <c r="CM16811" s="111"/>
      <c r="CQ16811" s="111"/>
      <c r="EF16811"/>
      <c r="EG16811"/>
      <c r="EH16811"/>
      <c r="EI16811"/>
      <c r="EJ16811"/>
      <c r="EK16811"/>
    </row>
    <row r="16812" spans="1:141" s="116" customFormat="1">
      <c r="A16812" s="136"/>
      <c r="CM16812" s="111"/>
      <c r="CQ16812" s="111"/>
      <c r="EF16812"/>
      <c r="EG16812"/>
      <c r="EH16812"/>
      <c r="EI16812"/>
      <c r="EJ16812"/>
      <c r="EK16812"/>
    </row>
    <row r="16813" spans="1:141" s="116" customFormat="1">
      <c r="A16813" s="136"/>
      <c r="CM16813" s="111"/>
      <c r="CQ16813" s="111"/>
      <c r="EF16813"/>
      <c r="EG16813"/>
      <c r="EH16813"/>
      <c r="EI16813"/>
      <c r="EJ16813"/>
      <c r="EK16813"/>
    </row>
    <row r="16814" spans="1:141" s="116" customFormat="1">
      <c r="A16814" s="136"/>
      <c r="CM16814" s="111"/>
      <c r="CQ16814" s="111"/>
      <c r="EF16814"/>
      <c r="EG16814"/>
      <c r="EH16814"/>
      <c r="EI16814"/>
      <c r="EJ16814"/>
      <c r="EK16814"/>
    </row>
    <row r="16815" spans="1:141" s="116" customFormat="1">
      <c r="A16815" s="136"/>
      <c r="CM16815" s="111"/>
      <c r="CQ16815" s="111"/>
      <c r="EF16815"/>
      <c r="EG16815"/>
      <c r="EH16815"/>
      <c r="EI16815"/>
      <c r="EJ16815"/>
      <c r="EK16815"/>
    </row>
    <row r="16816" spans="1:141" s="116" customFormat="1">
      <c r="A16816" s="136"/>
      <c r="CM16816" s="111"/>
      <c r="CQ16816" s="111"/>
      <c r="EF16816"/>
      <c r="EG16816"/>
      <c r="EH16816"/>
      <c r="EI16816"/>
      <c r="EJ16816"/>
      <c r="EK16816"/>
    </row>
    <row r="16817" spans="1:141" s="116" customFormat="1">
      <c r="A16817" s="136"/>
      <c r="CM16817" s="111"/>
      <c r="CQ16817" s="111"/>
      <c r="EF16817"/>
      <c r="EG16817"/>
      <c r="EH16817"/>
      <c r="EI16817"/>
      <c r="EJ16817"/>
      <c r="EK16817"/>
    </row>
    <row r="16818" spans="1:141" s="116" customFormat="1">
      <c r="A16818" s="136"/>
      <c r="CM16818" s="111"/>
      <c r="CQ16818" s="111"/>
      <c r="EF16818"/>
      <c r="EG16818"/>
      <c r="EH16818"/>
      <c r="EI16818"/>
      <c r="EJ16818"/>
      <c r="EK16818"/>
    </row>
    <row r="16819" spans="1:141" s="116" customFormat="1">
      <c r="A16819" s="136"/>
      <c r="CM16819" s="111"/>
      <c r="CQ16819" s="111"/>
      <c r="EF16819"/>
      <c r="EG16819"/>
      <c r="EH16819"/>
      <c r="EI16819"/>
      <c r="EJ16819"/>
      <c r="EK16819"/>
    </row>
    <row r="16820" spans="1:141" s="116" customFormat="1">
      <c r="A16820" s="136"/>
      <c r="CM16820" s="111"/>
      <c r="CQ16820" s="111"/>
      <c r="EF16820"/>
      <c r="EG16820"/>
      <c r="EH16820"/>
      <c r="EI16820"/>
      <c r="EJ16820"/>
      <c r="EK16820"/>
    </row>
    <row r="16821" spans="1:141" s="116" customFormat="1">
      <c r="A16821" s="136"/>
      <c r="CM16821" s="111"/>
      <c r="CQ16821" s="111"/>
      <c r="EF16821"/>
      <c r="EG16821"/>
      <c r="EH16821"/>
      <c r="EI16821"/>
      <c r="EJ16821"/>
      <c r="EK16821"/>
    </row>
    <row r="16822" spans="1:141" s="116" customFormat="1">
      <c r="A16822" s="136"/>
      <c r="CM16822" s="111"/>
      <c r="CQ16822" s="111"/>
      <c r="EF16822"/>
      <c r="EG16822"/>
      <c r="EH16822"/>
      <c r="EI16822"/>
      <c r="EJ16822"/>
      <c r="EK16822"/>
    </row>
    <row r="16823" spans="1:141" s="116" customFormat="1">
      <c r="A16823" s="136"/>
      <c r="CM16823" s="111"/>
      <c r="CQ16823" s="111"/>
      <c r="EF16823"/>
      <c r="EG16823"/>
      <c r="EH16823"/>
      <c r="EI16823"/>
      <c r="EJ16823"/>
      <c r="EK16823"/>
    </row>
    <row r="16824" spans="1:141" s="116" customFormat="1">
      <c r="A16824" s="136"/>
      <c r="CM16824" s="111"/>
      <c r="CQ16824" s="111"/>
      <c r="EF16824"/>
      <c r="EG16824"/>
      <c r="EH16824"/>
      <c r="EI16824"/>
      <c r="EJ16824"/>
      <c r="EK16824"/>
    </row>
    <row r="16825" spans="1:141" s="116" customFormat="1">
      <c r="A16825" s="136"/>
      <c r="CM16825" s="111"/>
      <c r="CQ16825" s="111"/>
      <c r="EF16825"/>
      <c r="EG16825"/>
      <c r="EH16825"/>
      <c r="EI16825"/>
      <c r="EJ16825"/>
      <c r="EK16825"/>
    </row>
    <row r="16826" spans="1:141" s="116" customFormat="1">
      <c r="A16826" s="136"/>
      <c r="CM16826" s="111"/>
      <c r="CQ16826" s="111"/>
      <c r="EF16826"/>
      <c r="EG16826"/>
      <c r="EH16826"/>
      <c r="EI16826"/>
      <c r="EJ16826"/>
      <c r="EK16826"/>
    </row>
    <row r="16827" spans="1:141" s="116" customFormat="1">
      <c r="A16827" s="136"/>
      <c r="CM16827" s="111"/>
      <c r="CQ16827" s="111"/>
      <c r="EF16827"/>
      <c r="EG16827"/>
      <c r="EH16827"/>
      <c r="EI16827"/>
      <c r="EJ16827"/>
      <c r="EK16827"/>
    </row>
    <row r="16828" spans="1:141" s="116" customFormat="1">
      <c r="A16828" s="136"/>
      <c r="CM16828" s="111"/>
      <c r="CQ16828" s="111"/>
      <c r="EF16828"/>
      <c r="EG16828"/>
      <c r="EH16828"/>
      <c r="EI16828"/>
      <c r="EJ16828"/>
      <c r="EK16828"/>
    </row>
    <row r="16829" spans="1:141" s="116" customFormat="1">
      <c r="A16829" s="136"/>
      <c r="CM16829" s="111"/>
      <c r="CQ16829" s="111"/>
      <c r="EF16829"/>
      <c r="EG16829"/>
      <c r="EH16829"/>
      <c r="EI16829"/>
      <c r="EJ16829"/>
      <c r="EK16829"/>
    </row>
    <row r="16830" spans="1:141" s="116" customFormat="1">
      <c r="A16830" s="136"/>
      <c r="CM16830" s="111"/>
      <c r="CQ16830" s="111"/>
      <c r="EF16830"/>
      <c r="EG16830"/>
      <c r="EH16830"/>
      <c r="EI16830"/>
      <c r="EJ16830"/>
      <c r="EK16830"/>
    </row>
    <row r="16831" spans="1:141" s="116" customFormat="1">
      <c r="A16831" s="136"/>
      <c r="CM16831" s="111"/>
      <c r="CQ16831" s="111"/>
      <c r="EF16831"/>
      <c r="EG16831"/>
      <c r="EH16831"/>
      <c r="EI16831"/>
      <c r="EJ16831"/>
      <c r="EK16831"/>
    </row>
    <row r="16832" spans="1:141" s="116" customFormat="1">
      <c r="A16832" s="136"/>
      <c r="CM16832" s="111"/>
      <c r="CQ16832" s="111"/>
      <c r="EF16832"/>
      <c r="EG16832"/>
      <c r="EH16832"/>
      <c r="EI16832"/>
      <c r="EJ16832"/>
      <c r="EK16832"/>
    </row>
    <row r="16833" spans="1:141" s="116" customFormat="1">
      <c r="A16833" s="136"/>
      <c r="CM16833" s="111"/>
      <c r="CQ16833" s="111"/>
      <c r="EF16833"/>
      <c r="EG16833"/>
      <c r="EH16833"/>
      <c r="EI16833"/>
      <c r="EJ16833"/>
      <c r="EK16833"/>
    </row>
    <row r="16834" spans="1:141" s="116" customFormat="1">
      <c r="A16834" s="136"/>
      <c r="CM16834" s="111"/>
      <c r="CQ16834" s="111"/>
      <c r="EF16834"/>
      <c r="EG16834"/>
      <c r="EH16834"/>
      <c r="EI16834"/>
      <c r="EJ16834"/>
      <c r="EK16834"/>
    </row>
    <row r="16835" spans="1:141" s="116" customFormat="1">
      <c r="A16835" s="136"/>
      <c r="CM16835" s="111"/>
      <c r="CQ16835" s="111"/>
      <c r="EF16835"/>
      <c r="EG16835"/>
      <c r="EH16835"/>
      <c r="EI16835"/>
      <c r="EJ16835"/>
      <c r="EK16835"/>
    </row>
    <row r="16836" spans="1:141" s="116" customFormat="1">
      <c r="A16836" s="136"/>
      <c r="CM16836" s="111"/>
      <c r="CQ16836" s="111"/>
      <c r="EF16836"/>
      <c r="EG16836"/>
      <c r="EH16836"/>
      <c r="EI16836"/>
      <c r="EJ16836"/>
      <c r="EK16836"/>
    </row>
    <row r="16837" spans="1:141" s="116" customFormat="1">
      <c r="A16837" s="136"/>
      <c r="CM16837" s="111"/>
      <c r="CQ16837" s="111"/>
      <c r="EF16837"/>
      <c r="EG16837"/>
      <c r="EH16837"/>
      <c r="EI16837"/>
      <c r="EJ16837"/>
      <c r="EK16837"/>
    </row>
    <row r="16838" spans="1:141" s="116" customFormat="1">
      <c r="A16838" s="136"/>
      <c r="CM16838" s="111"/>
      <c r="CQ16838" s="111"/>
      <c r="EF16838"/>
      <c r="EG16838"/>
      <c r="EH16838"/>
      <c r="EI16838"/>
      <c r="EJ16838"/>
      <c r="EK16838"/>
    </row>
    <row r="16839" spans="1:141" s="116" customFormat="1">
      <c r="A16839" s="136"/>
      <c r="CM16839" s="111"/>
      <c r="CQ16839" s="111"/>
      <c r="EF16839"/>
      <c r="EG16839"/>
      <c r="EH16839"/>
      <c r="EI16839"/>
      <c r="EJ16839"/>
      <c r="EK16839"/>
    </row>
    <row r="16840" spans="1:141" s="116" customFormat="1">
      <c r="A16840" s="136"/>
      <c r="CM16840" s="111"/>
      <c r="CQ16840" s="111"/>
      <c r="EF16840"/>
      <c r="EG16840"/>
      <c r="EH16840"/>
      <c r="EI16840"/>
      <c r="EJ16840"/>
      <c r="EK16840"/>
    </row>
    <row r="16841" spans="1:141" s="116" customFormat="1">
      <c r="A16841" s="136"/>
      <c r="CM16841" s="111"/>
      <c r="CQ16841" s="111"/>
      <c r="EF16841"/>
      <c r="EG16841"/>
      <c r="EH16841"/>
      <c r="EI16841"/>
      <c r="EJ16841"/>
      <c r="EK16841"/>
    </row>
    <row r="16842" spans="1:141" s="116" customFormat="1">
      <c r="A16842" s="136"/>
      <c r="CM16842" s="111"/>
      <c r="CQ16842" s="111"/>
      <c r="EF16842"/>
      <c r="EG16842"/>
      <c r="EH16842"/>
      <c r="EI16842"/>
      <c r="EJ16842"/>
      <c r="EK16842"/>
    </row>
    <row r="16843" spans="1:141" s="116" customFormat="1">
      <c r="A16843" s="136"/>
      <c r="CM16843" s="111"/>
      <c r="CQ16843" s="111"/>
      <c r="EF16843"/>
      <c r="EG16843"/>
      <c r="EH16843"/>
      <c r="EI16843"/>
      <c r="EJ16843"/>
      <c r="EK16843"/>
    </row>
    <row r="16844" spans="1:141" s="116" customFormat="1">
      <c r="A16844" s="136"/>
      <c r="CM16844" s="111"/>
      <c r="CQ16844" s="111"/>
      <c r="EF16844"/>
      <c r="EG16844"/>
      <c r="EH16844"/>
      <c r="EI16844"/>
      <c r="EJ16844"/>
      <c r="EK16844"/>
    </row>
    <row r="16845" spans="1:141" s="116" customFormat="1">
      <c r="A16845" s="136"/>
      <c r="CM16845" s="111"/>
      <c r="CQ16845" s="111"/>
      <c r="EF16845"/>
      <c r="EG16845"/>
      <c r="EH16845"/>
      <c r="EI16845"/>
      <c r="EJ16845"/>
      <c r="EK16845"/>
    </row>
    <row r="16846" spans="1:141" s="116" customFormat="1">
      <c r="A16846" s="136"/>
      <c r="CM16846" s="111"/>
      <c r="CQ16846" s="111"/>
      <c r="EF16846"/>
      <c r="EG16846"/>
      <c r="EH16846"/>
      <c r="EI16846"/>
      <c r="EJ16846"/>
      <c r="EK16846"/>
    </row>
    <row r="16847" spans="1:141" s="116" customFormat="1">
      <c r="A16847" s="136"/>
      <c r="CM16847" s="111"/>
      <c r="CQ16847" s="111"/>
      <c r="EF16847"/>
      <c r="EG16847"/>
      <c r="EH16847"/>
      <c r="EI16847"/>
      <c r="EJ16847"/>
      <c r="EK16847"/>
    </row>
    <row r="16848" spans="1:141" s="116" customFormat="1">
      <c r="A16848" s="136"/>
      <c r="CM16848" s="111"/>
      <c r="CQ16848" s="111"/>
      <c r="EF16848"/>
      <c r="EG16848"/>
      <c r="EH16848"/>
      <c r="EI16848"/>
      <c r="EJ16848"/>
      <c r="EK16848"/>
    </row>
    <row r="16849" spans="1:141" s="116" customFormat="1">
      <c r="A16849" s="136"/>
      <c r="CM16849" s="111"/>
      <c r="CQ16849" s="111"/>
      <c r="EF16849"/>
      <c r="EG16849"/>
      <c r="EH16849"/>
      <c r="EI16849"/>
      <c r="EJ16849"/>
      <c r="EK16849"/>
    </row>
    <row r="16850" spans="1:141" s="116" customFormat="1">
      <c r="A16850" s="136"/>
      <c r="CM16850" s="111"/>
      <c r="CQ16850" s="111"/>
      <c r="EF16850"/>
      <c r="EG16850"/>
      <c r="EH16850"/>
      <c r="EI16850"/>
      <c r="EJ16850"/>
      <c r="EK16850"/>
    </row>
    <row r="16851" spans="1:141" s="116" customFormat="1">
      <c r="A16851" s="136"/>
      <c r="CM16851" s="111"/>
      <c r="CQ16851" s="111"/>
      <c r="EF16851"/>
      <c r="EG16851"/>
      <c r="EH16851"/>
      <c r="EI16851"/>
      <c r="EJ16851"/>
      <c r="EK16851"/>
    </row>
    <row r="16852" spans="1:141" s="116" customFormat="1">
      <c r="A16852" s="136"/>
      <c r="CM16852" s="111"/>
      <c r="CQ16852" s="111"/>
      <c r="EF16852"/>
      <c r="EG16852"/>
      <c r="EH16852"/>
      <c r="EI16852"/>
      <c r="EJ16852"/>
      <c r="EK16852"/>
    </row>
    <row r="16853" spans="1:141" s="116" customFormat="1">
      <c r="A16853" s="136"/>
      <c r="CM16853" s="111"/>
      <c r="CQ16853" s="111"/>
      <c r="EF16853"/>
      <c r="EG16853"/>
      <c r="EH16853"/>
      <c r="EI16853"/>
      <c r="EJ16853"/>
      <c r="EK16853"/>
    </row>
    <row r="16854" spans="1:141" s="116" customFormat="1">
      <c r="A16854" s="136"/>
      <c r="CM16854" s="111"/>
      <c r="CQ16854" s="111"/>
      <c r="EF16854"/>
      <c r="EG16854"/>
      <c r="EH16854"/>
      <c r="EI16854"/>
      <c r="EJ16854"/>
      <c r="EK16854"/>
    </row>
    <row r="16855" spans="1:141" s="116" customFormat="1">
      <c r="A16855" s="136"/>
      <c r="CM16855" s="111"/>
      <c r="CQ16855" s="111"/>
      <c r="EF16855"/>
      <c r="EG16855"/>
      <c r="EH16855"/>
      <c r="EI16855"/>
      <c r="EJ16855"/>
      <c r="EK16855"/>
    </row>
    <row r="16856" spans="1:141" s="116" customFormat="1">
      <c r="A16856" s="136"/>
      <c r="CM16856" s="111"/>
      <c r="CQ16856" s="111"/>
      <c r="EF16856"/>
      <c r="EG16856"/>
      <c r="EH16856"/>
      <c r="EI16856"/>
      <c r="EJ16856"/>
      <c r="EK16856"/>
    </row>
    <row r="16857" spans="1:141" s="116" customFormat="1">
      <c r="A16857" s="136"/>
      <c r="CM16857" s="111"/>
      <c r="CQ16857" s="111"/>
      <c r="EF16857"/>
      <c r="EG16857"/>
      <c r="EH16857"/>
      <c r="EI16857"/>
      <c r="EJ16857"/>
      <c r="EK16857"/>
    </row>
    <row r="16858" spans="1:141" s="116" customFormat="1">
      <c r="A16858" s="136"/>
      <c r="CM16858" s="111"/>
      <c r="CQ16858" s="111"/>
      <c r="EF16858"/>
      <c r="EG16858"/>
      <c r="EH16858"/>
      <c r="EI16858"/>
      <c r="EJ16858"/>
      <c r="EK16858"/>
    </row>
    <row r="16859" spans="1:141" s="116" customFormat="1">
      <c r="A16859" s="136"/>
      <c r="CM16859" s="111"/>
      <c r="CQ16859" s="111"/>
      <c r="EF16859"/>
      <c r="EG16859"/>
      <c r="EH16859"/>
      <c r="EI16859"/>
      <c r="EJ16859"/>
      <c r="EK16859"/>
    </row>
    <row r="16860" spans="1:141" s="116" customFormat="1">
      <c r="A16860" s="136"/>
      <c r="CM16860" s="111"/>
      <c r="CQ16860" s="111"/>
      <c r="EF16860"/>
      <c r="EG16860"/>
      <c r="EH16860"/>
      <c r="EI16860"/>
      <c r="EJ16860"/>
      <c r="EK16860"/>
    </row>
    <row r="16861" spans="1:141" s="116" customFormat="1">
      <c r="A16861" s="136"/>
      <c r="CM16861" s="111"/>
      <c r="CQ16861" s="111"/>
      <c r="EF16861"/>
      <c r="EG16861"/>
      <c r="EH16861"/>
      <c r="EI16861"/>
      <c r="EJ16861"/>
      <c r="EK16861"/>
    </row>
    <row r="16862" spans="1:141" s="116" customFormat="1">
      <c r="A16862" s="136"/>
      <c r="CM16862" s="111"/>
      <c r="CQ16862" s="111"/>
      <c r="EF16862"/>
      <c r="EG16862"/>
      <c r="EH16862"/>
      <c r="EI16862"/>
      <c r="EJ16862"/>
      <c r="EK16862"/>
    </row>
    <row r="16863" spans="1:141" s="116" customFormat="1">
      <c r="A16863" s="136"/>
      <c r="CM16863" s="111"/>
      <c r="CQ16863" s="111"/>
      <c r="EF16863"/>
      <c r="EG16863"/>
      <c r="EH16863"/>
      <c r="EI16863"/>
      <c r="EJ16863"/>
      <c r="EK16863"/>
    </row>
    <row r="16864" spans="1:141" s="116" customFormat="1">
      <c r="A16864" s="136"/>
      <c r="CM16864" s="111"/>
      <c r="CQ16864" s="111"/>
      <c r="EF16864"/>
      <c r="EG16864"/>
      <c r="EH16864"/>
      <c r="EI16864"/>
      <c r="EJ16864"/>
      <c r="EK16864"/>
    </row>
    <row r="16865" spans="1:141" s="116" customFormat="1">
      <c r="A16865" s="136"/>
      <c r="CM16865" s="111"/>
      <c r="CQ16865" s="111"/>
      <c r="EF16865"/>
      <c r="EG16865"/>
      <c r="EH16865"/>
      <c r="EI16865"/>
      <c r="EJ16865"/>
      <c r="EK16865"/>
    </row>
    <row r="16866" spans="1:141" s="116" customFormat="1">
      <c r="A16866" s="136"/>
      <c r="CM16866" s="111"/>
      <c r="CQ16866" s="111"/>
      <c r="EF16866"/>
      <c r="EG16866"/>
      <c r="EH16866"/>
      <c r="EI16866"/>
      <c r="EJ16866"/>
      <c r="EK16866"/>
    </row>
    <row r="16867" spans="1:141" s="116" customFormat="1">
      <c r="A16867" s="136"/>
      <c r="CM16867" s="111"/>
      <c r="CQ16867" s="111"/>
      <c r="EF16867"/>
      <c r="EG16867"/>
      <c r="EH16867"/>
      <c r="EI16867"/>
      <c r="EJ16867"/>
      <c r="EK16867"/>
    </row>
    <row r="16868" spans="1:141" s="116" customFormat="1">
      <c r="A16868" s="136"/>
      <c r="CM16868" s="111"/>
      <c r="CQ16868" s="111"/>
      <c r="EF16868"/>
      <c r="EG16868"/>
      <c r="EH16868"/>
      <c r="EI16868"/>
      <c r="EJ16868"/>
      <c r="EK16868"/>
    </row>
    <row r="16869" spans="1:141" s="116" customFormat="1">
      <c r="A16869" s="136"/>
      <c r="CM16869" s="111"/>
      <c r="CQ16869" s="111"/>
      <c r="EF16869"/>
      <c r="EG16869"/>
      <c r="EH16869"/>
      <c r="EI16869"/>
      <c r="EJ16869"/>
      <c r="EK16869"/>
    </row>
    <row r="16870" spans="1:141" s="116" customFormat="1">
      <c r="A16870" s="136"/>
      <c r="CM16870" s="111"/>
      <c r="CQ16870" s="111"/>
      <c r="EF16870"/>
      <c r="EG16870"/>
      <c r="EH16870"/>
      <c r="EI16870"/>
      <c r="EJ16870"/>
      <c r="EK16870"/>
    </row>
    <row r="16871" spans="1:141" s="116" customFormat="1">
      <c r="A16871" s="136"/>
      <c r="CM16871" s="111"/>
      <c r="CQ16871" s="111"/>
      <c r="EF16871"/>
      <c r="EG16871"/>
      <c r="EH16871"/>
      <c r="EI16871"/>
      <c r="EJ16871"/>
      <c r="EK16871"/>
    </row>
    <row r="16872" spans="1:141" s="116" customFormat="1">
      <c r="A16872" s="136"/>
      <c r="CM16872" s="111"/>
      <c r="CQ16872" s="111"/>
      <c r="EF16872"/>
      <c r="EG16872"/>
      <c r="EH16872"/>
      <c r="EI16872"/>
      <c r="EJ16872"/>
      <c r="EK16872"/>
    </row>
    <row r="16873" spans="1:141" s="116" customFormat="1">
      <c r="A16873" s="136"/>
      <c r="CM16873" s="111"/>
      <c r="CQ16873" s="111"/>
      <c r="EF16873"/>
      <c r="EG16873"/>
      <c r="EH16873"/>
      <c r="EI16873"/>
      <c r="EJ16873"/>
      <c r="EK16873"/>
    </row>
    <row r="16874" spans="1:141" s="116" customFormat="1">
      <c r="A16874" s="136"/>
      <c r="CM16874" s="111"/>
      <c r="CQ16874" s="111"/>
      <c r="EF16874"/>
      <c r="EG16874"/>
      <c r="EH16874"/>
      <c r="EI16874"/>
      <c r="EJ16874"/>
      <c r="EK16874"/>
    </row>
    <row r="16875" spans="1:141" s="116" customFormat="1">
      <c r="A16875" s="136"/>
      <c r="CM16875" s="111"/>
      <c r="CQ16875" s="111"/>
      <c r="EF16875"/>
      <c r="EG16875"/>
      <c r="EH16875"/>
      <c r="EI16875"/>
      <c r="EJ16875"/>
      <c r="EK16875"/>
    </row>
    <row r="16876" spans="1:141" s="116" customFormat="1">
      <c r="A16876" s="136"/>
      <c r="CM16876" s="111"/>
      <c r="CQ16876" s="111"/>
      <c r="EF16876"/>
      <c r="EG16876"/>
      <c r="EH16876"/>
      <c r="EI16876"/>
      <c r="EJ16876"/>
      <c r="EK16876"/>
    </row>
    <row r="16877" spans="1:141" s="116" customFormat="1">
      <c r="A16877" s="136"/>
      <c r="CM16877" s="111"/>
      <c r="CQ16877" s="111"/>
      <c r="EF16877"/>
      <c r="EG16877"/>
      <c r="EH16877"/>
      <c r="EI16877"/>
      <c r="EJ16877"/>
      <c r="EK16877"/>
    </row>
    <row r="16878" spans="1:141" s="116" customFormat="1">
      <c r="A16878" s="136"/>
      <c r="CM16878" s="111"/>
      <c r="CQ16878" s="111"/>
      <c r="EF16878"/>
      <c r="EG16878"/>
      <c r="EH16878"/>
      <c r="EI16878"/>
      <c r="EJ16878"/>
      <c r="EK16878"/>
    </row>
    <row r="16879" spans="1:141" s="116" customFormat="1">
      <c r="A16879" s="136"/>
      <c r="CM16879" s="111"/>
      <c r="CQ16879" s="111"/>
      <c r="EF16879"/>
      <c r="EG16879"/>
      <c r="EH16879"/>
      <c r="EI16879"/>
      <c r="EJ16879"/>
      <c r="EK16879"/>
    </row>
    <row r="16880" spans="1:141" s="116" customFormat="1">
      <c r="A16880" s="136"/>
      <c r="CM16880" s="111"/>
      <c r="CQ16880" s="111"/>
      <c r="EF16880"/>
      <c r="EG16880"/>
      <c r="EH16880"/>
      <c r="EI16880"/>
      <c r="EJ16880"/>
      <c r="EK16880"/>
    </row>
    <row r="16881" spans="1:141" s="116" customFormat="1">
      <c r="A16881" s="136"/>
      <c r="CM16881" s="111"/>
      <c r="CQ16881" s="111"/>
      <c r="EF16881"/>
      <c r="EG16881"/>
      <c r="EH16881"/>
      <c r="EI16881"/>
      <c r="EJ16881"/>
      <c r="EK16881"/>
    </row>
    <row r="16882" spans="1:141" s="116" customFormat="1">
      <c r="A16882" s="136"/>
      <c r="CM16882" s="111"/>
      <c r="CQ16882" s="111"/>
      <c r="EF16882"/>
      <c r="EG16882"/>
      <c r="EH16882"/>
      <c r="EI16882"/>
      <c r="EJ16882"/>
      <c r="EK16882"/>
    </row>
    <row r="16883" spans="1:141" s="116" customFormat="1">
      <c r="A16883" s="136"/>
      <c r="CM16883" s="111"/>
      <c r="CQ16883" s="111"/>
      <c r="EF16883"/>
      <c r="EG16883"/>
      <c r="EH16883"/>
      <c r="EI16883"/>
      <c r="EJ16883"/>
      <c r="EK16883"/>
    </row>
    <row r="16884" spans="1:141" s="116" customFormat="1">
      <c r="A16884" s="136"/>
      <c r="CM16884" s="111"/>
      <c r="CQ16884" s="111"/>
      <c r="EF16884"/>
      <c r="EG16884"/>
      <c r="EH16884"/>
      <c r="EI16884"/>
      <c r="EJ16884"/>
      <c r="EK16884"/>
    </row>
    <row r="16885" spans="1:141" s="116" customFormat="1">
      <c r="A16885" s="136"/>
      <c r="CM16885" s="111"/>
      <c r="CQ16885" s="111"/>
      <c r="EF16885"/>
      <c r="EG16885"/>
      <c r="EH16885"/>
      <c r="EI16885"/>
      <c r="EJ16885"/>
      <c r="EK16885"/>
    </row>
    <row r="16886" spans="1:141" s="116" customFormat="1">
      <c r="A16886" s="136"/>
      <c r="CM16886" s="111"/>
      <c r="CQ16886" s="111"/>
      <c r="EF16886"/>
      <c r="EG16886"/>
      <c r="EH16886"/>
      <c r="EI16886"/>
      <c r="EJ16886"/>
      <c r="EK16886"/>
    </row>
    <row r="16887" spans="1:141" s="116" customFormat="1">
      <c r="A16887" s="136"/>
      <c r="CM16887" s="111"/>
      <c r="CQ16887" s="111"/>
      <c r="EF16887"/>
      <c r="EG16887"/>
      <c r="EH16887"/>
      <c r="EI16887"/>
      <c r="EJ16887"/>
      <c r="EK16887"/>
    </row>
    <row r="16888" spans="1:141" s="116" customFormat="1">
      <c r="A16888" s="136"/>
      <c r="CM16888" s="111"/>
      <c r="CQ16888" s="111"/>
      <c r="EF16888"/>
      <c r="EG16888"/>
      <c r="EH16888"/>
      <c r="EI16888"/>
      <c r="EJ16888"/>
      <c r="EK16888"/>
    </row>
    <row r="16889" spans="1:141" s="116" customFormat="1">
      <c r="A16889" s="136"/>
      <c r="CM16889" s="111"/>
      <c r="CQ16889" s="111"/>
      <c r="EF16889"/>
      <c r="EG16889"/>
      <c r="EH16889"/>
      <c r="EI16889"/>
      <c r="EJ16889"/>
      <c r="EK16889"/>
    </row>
    <row r="16890" spans="1:141" s="116" customFormat="1">
      <c r="A16890" s="136"/>
      <c r="CM16890" s="111"/>
      <c r="CQ16890" s="111"/>
      <c r="EF16890"/>
      <c r="EG16890"/>
      <c r="EH16890"/>
      <c r="EI16890"/>
      <c r="EJ16890"/>
      <c r="EK16890"/>
    </row>
    <row r="16891" spans="1:141" s="116" customFormat="1">
      <c r="A16891" s="136"/>
      <c r="CM16891" s="111"/>
      <c r="CQ16891" s="111"/>
      <c r="EF16891"/>
      <c r="EG16891"/>
      <c r="EH16891"/>
      <c r="EI16891"/>
      <c r="EJ16891"/>
      <c r="EK16891"/>
    </row>
    <row r="16892" spans="1:141" s="116" customFormat="1">
      <c r="A16892" s="136"/>
      <c r="CM16892" s="111"/>
      <c r="CQ16892" s="111"/>
      <c r="EF16892"/>
      <c r="EG16892"/>
      <c r="EH16892"/>
      <c r="EI16892"/>
      <c r="EJ16892"/>
      <c r="EK16892"/>
    </row>
    <row r="16893" spans="1:141" s="116" customFormat="1">
      <c r="A16893" s="136"/>
      <c r="CM16893" s="111"/>
      <c r="CQ16893" s="111"/>
      <c r="EF16893"/>
      <c r="EG16893"/>
      <c r="EH16893"/>
      <c r="EI16893"/>
      <c r="EJ16893"/>
      <c r="EK16893"/>
    </row>
    <row r="16894" spans="1:141" s="116" customFormat="1">
      <c r="A16894" s="136"/>
      <c r="CM16894" s="111"/>
      <c r="CQ16894" s="111"/>
      <c r="EF16894"/>
      <c r="EG16894"/>
      <c r="EH16894"/>
      <c r="EI16894"/>
      <c r="EJ16894"/>
      <c r="EK16894"/>
    </row>
    <row r="16895" spans="1:141" s="116" customFormat="1">
      <c r="A16895" s="136"/>
      <c r="CM16895" s="111"/>
      <c r="CQ16895" s="111"/>
      <c r="EF16895"/>
      <c r="EG16895"/>
      <c r="EH16895"/>
      <c r="EI16895"/>
      <c r="EJ16895"/>
      <c r="EK16895"/>
    </row>
    <row r="16896" spans="1:141" s="116" customFormat="1">
      <c r="A16896" s="136"/>
      <c r="CM16896" s="111"/>
      <c r="CQ16896" s="111"/>
      <c r="EF16896"/>
      <c r="EG16896"/>
      <c r="EH16896"/>
      <c r="EI16896"/>
      <c r="EJ16896"/>
      <c r="EK16896"/>
    </row>
    <row r="16897" spans="1:141" s="116" customFormat="1">
      <c r="A16897" s="136"/>
      <c r="CM16897" s="111"/>
      <c r="CQ16897" s="111"/>
      <c r="EF16897"/>
      <c r="EG16897"/>
      <c r="EH16897"/>
      <c r="EI16897"/>
      <c r="EJ16897"/>
      <c r="EK16897"/>
    </row>
    <row r="16898" spans="1:141" s="116" customFormat="1">
      <c r="A16898" s="136"/>
      <c r="CM16898" s="111"/>
      <c r="CQ16898" s="111"/>
      <c r="EF16898"/>
      <c r="EG16898"/>
      <c r="EH16898"/>
      <c r="EI16898"/>
      <c r="EJ16898"/>
      <c r="EK16898"/>
    </row>
    <row r="16899" spans="1:141" s="116" customFormat="1">
      <c r="A16899" s="136"/>
      <c r="CM16899" s="111"/>
      <c r="CQ16899" s="111"/>
      <c r="EF16899"/>
      <c r="EG16899"/>
      <c r="EH16899"/>
      <c r="EI16899"/>
      <c r="EJ16899"/>
      <c r="EK16899"/>
    </row>
    <row r="16900" spans="1:141" s="116" customFormat="1">
      <c r="A16900" s="136"/>
      <c r="CM16900" s="111"/>
      <c r="CQ16900" s="111"/>
      <c r="EF16900"/>
      <c r="EG16900"/>
      <c r="EH16900"/>
      <c r="EI16900"/>
      <c r="EJ16900"/>
      <c r="EK16900"/>
    </row>
    <row r="16901" spans="1:141" s="116" customFormat="1">
      <c r="A16901" s="136"/>
      <c r="CM16901" s="111"/>
      <c r="CQ16901" s="111"/>
      <c r="EF16901"/>
      <c r="EG16901"/>
      <c r="EH16901"/>
      <c r="EI16901"/>
      <c r="EJ16901"/>
      <c r="EK16901"/>
    </row>
    <row r="16902" spans="1:141" s="116" customFormat="1">
      <c r="A16902" s="136"/>
      <c r="CM16902" s="111"/>
      <c r="CQ16902" s="111"/>
      <c r="EF16902"/>
      <c r="EG16902"/>
      <c r="EH16902"/>
      <c r="EI16902"/>
      <c r="EJ16902"/>
      <c r="EK16902"/>
    </row>
    <row r="16903" spans="1:141" s="116" customFormat="1">
      <c r="A16903" s="136"/>
      <c r="CM16903" s="111"/>
      <c r="CQ16903" s="111"/>
      <c r="EF16903"/>
      <c r="EG16903"/>
      <c r="EH16903"/>
      <c r="EI16903"/>
      <c r="EJ16903"/>
      <c r="EK16903"/>
    </row>
    <row r="16904" spans="1:141" s="116" customFormat="1">
      <c r="A16904" s="136"/>
      <c r="CM16904" s="111"/>
      <c r="CQ16904" s="111"/>
      <c r="EF16904"/>
      <c r="EG16904"/>
      <c r="EH16904"/>
      <c r="EI16904"/>
      <c r="EJ16904"/>
      <c r="EK16904"/>
    </row>
    <row r="16905" spans="1:141" s="116" customFormat="1">
      <c r="A16905" s="136"/>
      <c r="CM16905" s="111"/>
      <c r="CQ16905" s="111"/>
      <c r="EF16905"/>
      <c r="EG16905"/>
      <c r="EH16905"/>
      <c r="EI16905"/>
      <c r="EJ16905"/>
      <c r="EK16905"/>
    </row>
    <row r="16906" spans="1:141" s="116" customFormat="1">
      <c r="A16906" s="136"/>
      <c r="CM16906" s="111"/>
      <c r="CQ16906" s="111"/>
      <c r="EF16906"/>
      <c r="EG16906"/>
      <c r="EH16906"/>
      <c r="EI16906"/>
      <c r="EJ16906"/>
      <c r="EK16906"/>
    </row>
    <row r="16907" spans="1:141" s="116" customFormat="1">
      <c r="A16907" s="136"/>
      <c r="CM16907" s="111"/>
      <c r="CQ16907" s="111"/>
      <c r="EF16907"/>
      <c r="EG16907"/>
      <c r="EH16907"/>
      <c r="EI16907"/>
      <c r="EJ16907"/>
      <c r="EK16907"/>
    </row>
    <row r="16908" spans="1:141" s="116" customFormat="1">
      <c r="A16908" s="136"/>
      <c r="CM16908" s="111"/>
      <c r="CQ16908" s="111"/>
      <c r="EF16908"/>
      <c r="EG16908"/>
      <c r="EH16908"/>
      <c r="EI16908"/>
      <c r="EJ16908"/>
      <c r="EK16908"/>
    </row>
    <row r="16909" spans="1:141" s="116" customFormat="1">
      <c r="A16909" s="136"/>
      <c r="CM16909" s="111"/>
      <c r="CQ16909" s="111"/>
      <c r="EF16909"/>
      <c r="EG16909"/>
      <c r="EH16909"/>
      <c r="EI16909"/>
      <c r="EJ16909"/>
      <c r="EK16909"/>
    </row>
    <row r="16910" spans="1:141" s="116" customFormat="1">
      <c r="A16910" s="136"/>
      <c r="CM16910" s="111"/>
      <c r="CQ16910" s="111"/>
      <c r="EF16910"/>
      <c r="EG16910"/>
      <c r="EH16910"/>
      <c r="EI16910"/>
      <c r="EJ16910"/>
      <c r="EK16910"/>
    </row>
    <row r="16911" spans="1:141" s="116" customFormat="1">
      <c r="A16911" s="136"/>
      <c r="CM16911" s="111"/>
      <c r="CQ16911" s="111"/>
      <c r="EF16911"/>
      <c r="EG16911"/>
      <c r="EH16911"/>
      <c r="EI16911"/>
      <c r="EJ16911"/>
      <c r="EK16911"/>
    </row>
    <row r="16912" spans="1:141" s="116" customFormat="1">
      <c r="A16912" s="136"/>
      <c r="CM16912" s="111"/>
      <c r="CQ16912" s="111"/>
      <c r="EF16912"/>
      <c r="EG16912"/>
      <c r="EH16912"/>
      <c r="EI16912"/>
      <c r="EJ16912"/>
      <c r="EK16912"/>
    </row>
    <row r="16913" spans="1:141" s="116" customFormat="1">
      <c r="A16913" s="136"/>
      <c r="CM16913" s="111"/>
      <c r="CQ16913" s="111"/>
      <c r="EF16913"/>
      <c r="EG16913"/>
      <c r="EH16913"/>
      <c r="EI16913"/>
      <c r="EJ16913"/>
      <c r="EK16913"/>
    </row>
    <row r="16914" spans="1:141" s="116" customFormat="1">
      <c r="A16914" s="136"/>
      <c r="CM16914" s="111"/>
      <c r="CQ16914" s="111"/>
      <c r="EF16914"/>
      <c r="EG16914"/>
      <c r="EH16914"/>
      <c r="EI16914"/>
      <c r="EJ16914"/>
      <c r="EK16914"/>
    </row>
    <row r="16915" spans="1:141" s="116" customFormat="1">
      <c r="A16915" s="136"/>
      <c r="CM16915" s="111"/>
      <c r="CQ16915" s="111"/>
      <c r="EF16915"/>
      <c r="EG16915"/>
      <c r="EH16915"/>
      <c r="EI16915"/>
      <c r="EJ16915"/>
      <c r="EK16915"/>
    </row>
    <row r="16916" spans="1:141" s="116" customFormat="1">
      <c r="A16916" s="136"/>
      <c r="CM16916" s="111"/>
      <c r="CQ16916" s="111"/>
      <c r="EF16916"/>
      <c r="EG16916"/>
      <c r="EH16916"/>
      <c r="EI16916"/>
      <c r="EJ16916"/>
      <c r="EK16916"/>
    </row>
    <row r="16917" spans="1:141" s="116" customFormat="1">
      <c r="A16917" s="136"/>
      <c r="CM16917" s="111"/>
      <c r="CQ16917" s="111"/>
      <c r="EF16917"/>
      <c r="EG16917"/>
      <c r="EH16917"/>
      <c r="EI16917"/>
      <c r="EJ16917"/>
      <c r="EK16917"/>
    </row>
    <row r="16918" spans="1:141" s="116" customFormat="1">
      <c r="A16918" s="136"/>
      <c r="CM16918" s="111"/>
      <c r="CQ16918" s="111"/>
      <c r="EF16918"/>
      <c r="EG16918"/>
      <c r="EH16918"/>
      <c r="EI16918"/>
      <c r="EJ16918"/>
      <c r="EK16918"/>
    </row>
    <row r="16919" spans="1:141" s="116" customFormat="1">
      <c r="A16919" s="136"/>
      <c r="CM16919" s="111"/>
      <c r="CQ16919" s="111"/>
      <c r="EF16919"/>
      <c r="EG16919"/>
      <c r="EH16919"/>
      <c r="EI16919"/>
      <c r="EJ16919"/>
      <c r="EK16919"/>
    </row>
    <row r="16920" spans="1:141" s="116" customFormat="1">
      <c r="A16920" s="136"/>
      <c r="CM16920" s="111"/>
      <c r="CQ16920" s="111"/>
      <c r="EF16920"/>
      <c r="EG16920"/>
      <c r="EH16920"/>
      <c r="EI16920"/>
      <c r="EJ16920"/>
      <c r="EK16920"/>
    </row>
    <row r="16921" spans="1:141" s="116" customFormat="1">
      <c r="A16921" s="136"/>
      <c r="CM16921" s="111"/>
      <c r="CQ16921" s="111"/>
      <c r="EF16921"/>
      <c r="EG16921"/>
      <c r="EH16921"/>
      <c r="EI16921"/>
      <c r="EJ16921"/>
      <c r="EK16921"/>
    </row>
    <row r="16922" spans="1:141" s="116" customFormat="1">
      <c r="A16922" s="136"/>
      <c r="CM16922" s="111"/>
      <c r="CQ16922" s="111"/>
      <c r="EF16922"/>
      <c r="EG16922"/>
      <c r="EH16922"/>
      <c r="EI16922"/>
      <c r="EJ16922"/>
      <c r="EK16922"/>
    </row>
    <row r="16923" spans="1:141" s="116" customFormat="1">
      <c r="A16923" s="136"/>
      <c r="CM16923" s="111"/>
      <c r="CQ16923" s="111"/>
      <c r="EF16923"/>
      <c r="EG16923"/>
      <c r="EH16923"/>
      <c r="EI16923"/>
      <c r="EJ16923"/>
      <c r="EK16923"/>
    </row>
    <row r="16924" spans="1:141" s="116" customFormat="1">
      <c r="A16924" s="136"/>
      <c r="CM16924" s="111"/>
      <c r="CQ16924" s="111"/>
      <c r="EF16924"/>
      <c r="EG16924"/>
      <c r="EH16924"/>
      <c r="EI16924"/>
      <c r="EJ16924"/>
      <c r="EK16924"/>
    </row>
    <row r="16925" spans="1:141" s="116" customFormat="1">
      <c r="A16925" s="136"/>
      <c r="CM16925" s="111"/>
      <c r="CQ16925" s="111"/>
      <c r="EF16925"/>
      <c r="EG16925"/>
      <c r="EH16925"/>
      <c r="EI16925"/>
      <c r="EJ16925"/>
      <c r="EK16925"/>
    </row>
    <row r="16926" spans="1:141" s="116" customFormat="1">
      <c r="A16926" s="136"/>
      <c r="CM16926" s="111"/>
      <c r="CQ16926" s="111"/>
      <c r="EF16926"/>
      <c r="EG16926"/>
      <c r="EH16926"/>
      <c r="EI16926"/>
      <c r="EJ16926"/>
      <c r="EK16926"/>
    </row>
    <row r="16927" spans="1:141" s="116" customFormat="1">
      <c r="A16927" s="136"/>
      <c r="CM16927" s="111"/>
      <c r="CQ16927" s="111"/>
      <c r="EF16927"/>
      <c r="EG16927"/>
      <c r="EH16927"/>
      <c r="EI16927"/>
      <c r="EJ16927"/>
      <c r="EK16927"/>
    </row>
    <row r="16928" spans="1:141" s="116" customFormat="1">
      <c r="A16928" s="136"/>
      <c r="CM16928" s="111"/>
      <c r="CQ16928" s="111"/>
      <c r="EF16928"/>
      <c r="EG16928"/>
      <c r="EH16928"/>
      <c r="EI16928"/>
      <c r="EJ16928"/>
      <c r="EK16928"/>
    </row>
    <row r="16929" spans="1:141" s="116" customFormat="1">
      <c r="A16929" s="136"/>
      <c r="CM16929" s="111"/>
      <c r="CQ16929" s="111"/>
      <c r="EF16929"/>
      <c r="EG16929"/>
      <c r="EH16929"/>
      <c r="EI16929"/>
      <c r="EJ16929"/>
      <c r="EK16929"/>
    </row>
    <row r="16930" spans="1:141" s="116" customFormat="1">
      <c r="A16930" s="136"/>
      <c r="CM16930" s="111"/>
      <c r="CQ16930" s="111"/>
      <c r="EF16930"/>
      <c r="EG16930"/>
      <c r="EH16930"/>
      <c r="EI16930"/>
      <c r="EJ16930"/>
      <c r="EK16930"/>
    </row>
    <row r="16931" spans="1:141" s="116" customFormat="1">
      <c r="A16931" s="136"/>
      <c r="CM16931" s="111"/>
      <c r="CQ16931" s="111"/>
      <c r="EF16931"/>
      <c r="EG16931"/>
      <c r="EH16931"/>
      <c r="EI16931"/>
      <c r="EJ16931"/>
      <c r="EK16931"/>
    </row>
    <row r="16932" spans="1:141" s="116" customFormat="1">
      <c r="A16932" s="136"/>
      <c r="CM16932" s="111"/>
      <c r="CQ16932" s="111"/>
      <c r="EF16932"/>
      <c r="EG16932"/>
      <c r="EH16932"/>
      <c r="EI16932"/>
      <c r="EJ16932"/>
      <c r="EK16932"/>
    </row>
    <row r="16933" spans="1:141" s="116" customFormat="1">
      <c r="A16933" s="136"/>
      <c r="CM16933" s="111"/>
      <c r="CQ16933" s="111"/>
      <c r="EF16933"/>
      <c r="EG16933"/>
      <c r="EH16933"/>
      <c r="EI16933"/>
      <c r="EJ16933"/>
      <c r="EK16933"/>
    </row>
    <row r="16934" spans="1:141" s="116" customFormat="1">
      <c r="A16934" s="136"/>
      <c r="CM16934" s="111"/>
      <c r="CQ16934" s="111"/>
      <c r="EF16934"/>
      <c r="EG16934"/>
      <c r="EH16934"/>
      <c r="EI16934"/>
      <c r="EJ16934"/>
      <c r="EK16934"/>
    </row>
    <row r="16935" spans="1:141" s="116" customFormat="1">
      <c r="A16935" s="136"/>
      <c r="CM16935" s="111"/>
      <c r="CQ16935" s="111"/>
      <c r="EF16935"/>
      <c r="EG16935"/>
      <c r="EH16935"/>
      <c r="EI16935"/>
      <c r="EJ16935"/>
      <c r="EK16935"/>
    </row>
    <row r="16936" spans="1:141" s="116" customFormat="1">
      <c r="A16936" s="136"/>
      <c r="CM16936" s="111"/>
      <c r="CQ16936" s="111"/>
      <c r="EF16936"/>
      <c r="EG16936"/>
      <c r="EH16936"/>
      <c r="EI16936"/>
      <c r="EJ16936"/>
      <c r="EK16936"/>
    </row>
    <row r="16937" spans="1:141" s="116" customFormat="1">
      <c r="A16937" s="136"/>
      <c r="CM16937" s="111"/>
      <c r="CQ16937" s="111"/>
      <c r="EF16937"/>
      <c r="EG16937"/>
      <c r="EH16937"/>
      <c r="EI16937"/>
      <c r="EJ16937"/>
      <c r="EK16937"/>
    </row>
    <row r="16938" spans="1:141" s="116" customFormat="1">
      <c r="A16938" s="136"/>
      <c r="CM16938" s="111"/>
      <c r="CQ16938" s="111"/>
      <c r="EF16938"/>
      <c r="EG16938"/>
      <c r="EH16938"/>
      <c r="EI16938"/>
      <c r="EJ16938"/>
      <c r="EK16938"/>
    </row>
    <row r="16939" spans="1:141" s="116" customFormat="1">
      <c r="A16939" s="136"/>
      <c r="CM16939" s="111"/>
      <c r="CQ16939" s="111"/>
      <c r="EF16939"/>
      <c r="EG16939"/>
      <c r="EH16939"/>
      <c r="EI16939"/>
      <c r="EJ16939"/>
      <c r="EK16939"/>
    </row>
    <row r="16940" spans="1:141" s="116" customFormat="1">
      <c r="A16940" s="136"/>
      <c r="CM16940" s="111"/>
      <c r="CQ16940" s="111"/>
      <c r="EF16940"/>
      <c r="EG16940"/>
      <c r="EH16940"/>
      <c r="EI16940"/>
      <c r="EJ16940"/>
      <c r="EK16940"/>
    </row>
    <row r="16941" spans="1:141" s="116" customFormat="1">
      <c r="A16941" s="136"/>
      <c r="CM16941" s="111"/>
      <c r="CQ16941" s="111"/>
      <c r="EF16941"/>
      <c r="EG16941"/>
      <c r="EH16941"/>
      <c r="EI16941"/>
      <c r="EJ16941"/>
      <c r="EK16941"/>
    </row>
    <row r="16942" spans="1:141" s="116" customFormat="1">
      <c r="A16942" s="136"/>
      <c r="CM16942" s="111"/>
      <c r="CQ16942" s="111"/>
      <c r="EF16942"/>
      <c r="EG16942"/>
      <c r="EH16942"/>
      <c r="EI16942"/>
      <c r="EJ16942"/>
      <c r="EK16942"/>
    </row>
    <row r="16943" spans="1:141" s="116" customFormat="1">
      <c r="A16943" s="136"/>
      <c r="CM16943" s="111"/>
      <c r="CQ16943" s="111"/>
      <c r="EF16943"/>
      <c r="EG16943"/>
      <c r="EH16943"/>
      <c r="EI16943"/>
      <c r="EJ16943"/>
      <c r="EK16943"/>
    </row>
    <row r="16944" spans="1:141" s="116" customFormat="1">
      <c r="A16944" s="136"/>
      <c r="CM16944" s="111"/>
      <c r="CQ16944" s="111"/>
      <c r="EF16944"/>
      <c r="EG16944"/>
      <c r="EH16944"/>
      <c r="EI16944"/>
      <c r="EJ16944"/>
      <c r="EK16944"/>
    </row>
    <row r="16945" spans="1:141" s="116" customFormat="1">
      <c r="A16945" s="136"/>
      <c r="CM16945" s="111"/>
      <c r="CQ16945" s="111"/>
      <c r="EF16945"/>
      <c r="EG16945"/>
      <c r="EH16945"/>
      <c r="EI16945"/>
      <c r="EJ16945"/>
      <c r="EK16945"/>
    </row>
    <row r="16946" spans="1:141" s="116" customFormat="1">
      <c r="A16946" s="136"/>
      <c r="CM16946" s="111"/>
      <c r="CQ16946" s="111"/>
      <c r="EF16946"/>
      <c r="EG16946"/>
      <c r="EH16946"/>
      <c r="EI16946"/>
      <c r="EJ16946"/>
      <c r="EK16946"/>
    </row>
    <row r="16947" spans="1:141" s="116" customFormat="1">
      <c r="A16947" s="136"/>
      <c r="CM16947" s="111"/>
      <c r="CQ16947" s="111"/>
      <c r="EF16947"/>
      <c r="EG16947"/>
      <c r="EH16947"/>
      <c r="EI16947"/>
      <c r="EJ16947"/>
      <c r="EK16947"/>
    </row>
    <row r="16948" spans="1:141" s="116" customFormat="1">
      <c r="A16948" s="136"/>
      <c r="CM16948" s="111"/>
      <c r="CQ16948" s="111"/>
      <c r="EF16948"/>
      <c r="EG16948"/>
      <c r="EH16948"/>
      <c r="EI16948"/>
      <c r="EJ16948"/>
      <c r="EK16948"/>
    </row>
    <row r="16949" spans="1:141" s="116" customFormat="1">
      <c r="A16949" s="136"/>
      <c r="CM16949" s="111"/>
      <c r="CQ16949" s="111"/>
      <c r="EF16949"/>
      <c r="EG16949"/>
      <c r="EH16949"/>
      <c r="EI16949"/>
      <c r="EJ16949"/>
      <c r="EK16949"/>
    </row>
    <row r="16950" spans="1:141" s="116" customFormat="1">
      <c r="A16950" s="136"/>
      <c r="CM16950" s="111"/>
      <c r="CQ16950" s="111"/>
      <c r="EF16950"/>
      <c r="EG16950"/>
      <c r="EH16950"/>
      <c r="EI16950"/>
      <c r="EJ16950"/>
      <c r="EK16950"/>
    </row>
    <row r="16951" spans="1:141" s="116" customFormat="1">
      <c r="A16951" s="136"/>
      <c r="CM16951" s="111"/>
      <c r="CQ16951" s="111"/>
      <c r="EF16951"/>
      <c r="EG16951"/>
      <c r="EH16951"/>
      <c r="EI16951"/>
      <c r="EJ16951"/>
      <c r="EK16951"/>
    </row>
    <row r="16952" spans="1:141" s="116" customFormat="1">
      <c r="A16952" s="136"/>
      <c r="CM16952" s="111"/>
      <c r="CQ16952" s="111"/>
      <c r="EF16952"/>
      <c r="EG16952"/>
      <c r="EH16952"/>
      <c r="EI16952"/>
      <c r="EJ16952"/>
      <c r="EK16952"/>
    </row>
    <row r="16953" spans="1:141" s="116" customFormat="1">
      <c r="A16953" s="136"/>
      <c r="CM16953" s="111"/>
      <c r="CQ16953" s="111"/>
      <c r="EF16953"/>
      <c r="EG16953"/>
      <c r="EH16953"/>
      <c r="EI16953"/>
      <c r="EJ16953"/>
      <c r="EK16953"/>
    </row>
    <row r="16954" spans="1:141" s="116" customFormat="1">
      <c r="A16954" s="136"/>
      <c r="CM16954" s="111"/>
      <c r="CQ16954" s="111"/>
      <c r="EF16954"/>
      <c r="EG16954"/>
      <c r="EH16954"/>
      <c r="EI16954"/>
      <c r="EJ16954"/>
      <c r="EK16954"/>
    </row>
    <row r="16955" spans="1:141" s="116" customFormat="1">
      <c r="A16955" s="136"/>
      <c r="CM16955" s="111"/>
      <c r="CQ16955" s="111"/>
      <c r="EF16955"/>
      <c r="EG16955"/>
      <c r="EH16955"/>
      <c r="EI16955"/>
      <c r="EJ16955"/>
      <c r="EK16955"/>
    </row>
    <row r="16956" spans="1:141" s="116" customFormat="1">
      <c r="A16956" s="136"/>
      <c r="CM16956" s="111"/>
      <c r="CQ16956" s="111"/>
      <c r="EF16956"/>
      <c r="EG16956"/>
      <c r="EH16956"/>
      <c r="EI16956"/>
      <c r="EJ16956"/>
      <c r="EK16956"/>
    </row>
    <row r="16957" spans="1:141" s="116" customFormat="1">
      <c r="A16957" s="136"/>
      <c r="CM16957" s="111"/>
      <c r="CQ16957" s="111"/>
      <c r="EF16957"/>
      <c r="EG16957"/>
      <c r="EH16957"/>
      <c r="EI16957"/>
      <c r="EJ16957"/>
      <c r="EK16957"/>
    </row>
    <row r="16958" spans="1:141" s="116" customFormat="1">
      <c r="A16958" s="136"/>
      <c r="CM16958" s="111"/>
      <c r="CQ16958" s="111"/>
      <c r="EF16958"/>
      <c r="EG16958"/>
      <c r="EH16958"/>
      <c r="EI16958"/>
      <c r="EJ16958"/>
      <c r="EK16958"/>
    </row>
    <row r="16959" spans="1:141" s="116" customFormat="1">
      <c r="A16959" s="136"/>
      <c r="CM16959" s="111"/>
      <c r="CQ16959" s="111"/>
      <c r="EF16959"/>
      <c r="EG16959"/>
      <c r="EH16959"/>
      <c r="EI16959"/>
      <c r="EJ16959"/>
      <c r="EK16959"/>
    </row>
    <row r="16960" spans="1:141" s="116" customFormat="1">
      <c r="A16960" s="136"/>
      <c r="CM16960" s="111"/>
      <c r="CQ16960" s="111"/>
      <c r="EF16960"/>
      <c r="EG16960"/>
      <c r="EH16960"/>
      <c r="EI16960"/>
      <c r="EJ16960"/>
      <c r="EK16960"/>
    </row>
    <row r="16961" spans="1:141" s="116" customFormat="1">
      <c r="A16961" s="136"/>
      <c r="CM16961" s="111"/>
      <c r="CQ16961" s="111"/>
      <c r="EF16961"/>
      <c r="EG16961"/>
      <c r="EH16961"/>
      <c r="EI16961"/>
      <c r="EJ16961"/>
      <c r="EK16961"/>
    </row>
    <row r="16962" spans="1:141" s="116" customFormat="1">
      <c r="A16962" s="136"/>
      <c r="CM16962" s="111"/>
      <c r="CQ16962" s="111"/>
      <c r="EF16962"/>
      <c r="EG16962"/>
      <c r="EH16962"/>
      <c r="EI16962"/>
      <c r="EJ16962"/>
      <c r="EK16962"/>
    </row>
    <row r="16963" spans="1:141" s="116" customFormat="1">
      <c r="A16963" s="136"/>
      <c r="CM16963" s="111"/>
      <c r="CQ16963" s="111"/>
      <c r="EF16963"/>
      <c r="EG16963"/>
      <c r="EH16963"/>
      <c r="EI16963"/>
      <c r="EJ16963"/>
      <c r="EK16963"/>
    </row>
    <row r="16964" spans="1:141" s="116" customFormat="1">
      <c r="A16964" s="136"/>
      <c r="CM16964" s="111"/>
      <c r="CQ16964" s="111"/>
      <c r="EF16964"/>
      <c r="EG16964"/>
      <c r="EH16964"/>
      <c r="EI16964"/>
      <c r="EJ16964"/>
      <c r="EK16964"/>
    </row>
    <row r="16965" spans="1:141" s="116" customFormat="1">
      <c r="A16965" s="136"/>
      <c r="CM16965" s="111"/>
      <c r="CQ16965" s="111"/>
      <c r="EF16965"/>
      <c r="EG16965"/>
      <c r="EH16965"/>
      <c r="EI16965"/>
      <c r="EJ16965"/>
      <c r="EK16965"/>
    </row>
    <row r="16966" spans="1:141" s="116" customFormat="1">
      <c r="A16966" s="136"/>
      <c r="CM16966" s="111"/>
      <c r="CQ16966" s="111"/>
      <c r="EF16966"/>
      <c r="EG16966"/>
      <c r="EH16966"/>
      <c r="EI16966"/>
      <c r="EJ16966"/>
      <c r="EK16966"/>
    </row>
    <row r="16967" spans="1:141" s="116" customFormat="1">
      <c r="A16967" s="136"/>
      <c r="CM16967" s="111"/>
      <c r="CQ16967" s="111"/>
      <c r="EF16967"/>
      <c r="EG16967"/>
      <c r="EH16967"/>
      <c r="EI16967"/>
      <c r="EJ16967"/>
      <c r="EK16967"/>
    </row>
    <row r="16968" spans="1:141" s="116" customFormat="1">
      <c r="A16968" s="136"/>
      <c r="CM16968" s="111"/>
      <c r="CQ16968" s="111"/>
      <c r="EF16968"/>
      <c r="EG16968"/>
      <c r="EH16968"/>
      <c r="EI16968"/>
      <c r="EJ16968"/>
      <c r="EK16968"/>
    </row>
    <row r="16969" spans="1:141" s="116" customFormat="1">
      <c r="A16969" s="136"/>
      <c r="CM16969" s="111"/>
      <c r="CQ16969" s="111"/>
      <c r="EF16969"/>
      <c r="EG16969"/>
      <c r="EH16969"/>
      <c r="EI16969"/>
      <c r="EJ16969"/>
      <c r="EK16969"/>
    </row>
    <row r="16970" spans="1:141" s="116" customFormat="1">
      <c r="A16970" s="136"/>
      <c r="CM16970" s="111"/>
      <c r="CQ16970" s="111"/>
      <c r="EF16970"/>
      <c r="EG16970"/>
      <c r="EH16970"/>
      <c r="EI16970"/>
      <c r="EJ16970"/>
      <c r="EK16970"/>
    </row>
    <row r="16971" spans="1:141" s="116" customFormat="1">
      <c r="A16971" s="136"/>
      <c r="CM16971" s="111"/>
      <c r="CQ16971" s="111"/>
      <c r="EF16971"/>
      <c r="EG16971"/>
      <c r="EH16971"/>
      <c r="EI16971"/>
      <c r="EJ16971"/>
      <c r="EK16971"/>
    </row>
    <row r="16972" spans="1:141" s="116" customFormat="1">
      <c r="A16972" s="136"/>
      <c r="CM16972" s="111"/>
      <c r="CQ16972" s="111"/>
      <c r="EF16972"/>
      <c r="EG16972"/>
      <c r="EH16972"/>
      <c r="EI16972"/>
      <c r="EJ16972"/>
      <c r="EK16972"/>
    </row>
    <row r="16973" spans="1:141" s="116" customFormat="1">
      <c r="A16973" s="136"/>
      <c r="CM16973" s="111"/>
      <c r="CQ16973" s="111"/>
      <c r="EF16973"/>
      <c r="EG16973"/>
      <c r="EH16973"/>
      <c r="EI16973"/>
      <c r="EJ16973"/>
      <c r="EK16973"/>
    </row>
    <row r="16974" spans="1:141" s="116" customFormat="1">
      <c r="A16974" s="136"/>
      <c r="CM16974" s="111"/>
      <c r="CQ16974" s="111"/>
      <c r="EF16974"/>
      <c r="EG16974"/>
      <c r="EH16974"/>
      <c r="EI16974"/>
      <c r="EJ16974"/>
      <c r="EK16974"/>
    </row>
    <row r="16975" spans="1:141" s="116" customFormat="1">
      <c r="A16975" s="136"/>
      <c r="CM16975" s="111"/>
      <c r="CQ16975" s="111"/>
      <c r="EF16975"/>
      <c r="EG16975"/>
      <c r="EH16975"/>
      <c r="EI16975"/>
      <c r="EJ16975"/>
      <c r="EK16975"/>
    </row>
    <row r="16976" spans="1:141" s="116" customFormat="1">
      <c r="A16976" s="136"/>
      <c r="CM16976" s="111"/>
      <c r="CQ16976" s="111"/>
      <c r="EF16976"/>
      <c r="EG16976"/>
      <c r="EH16976"/>
      <c r="EI16976"/>
      <c r="EJ16976"/>
      <c r="EK16976"/>
    </row>
    <row r="16977" spans="1:141" s="116" customFormat="1">
      <c r="A16977" s="136"/>
      <c r="CM16977" s="111"/>
      <c r="CQ16977" s="111"/>
      <c r="EF16977"/>
      <c r="EG16977"/>
      <c r="EH16977"/>
      <c r="EI16977"/>
      <c r="EJ16977"/>
      <c r="EK16977"/>
    </row>
    <row r="16978" spans="1:141" s="116" customFormat="1">
      <c r="A16978" s="136"/>
      <c r="CM16978" s="111"/>
      <c r="CQ16978" s="111"/>
      <c r="EF16978"/>
      <c r="EG16978"/>
      <c r="EH16978"/>
      <c r="EI16978"/>
      <c r="EJ16978"/>
      <c r="EK16978"/>
    </row>
    <row r="16979" spans="1:141" s="116" customFormat="1">
      <c r="A16979" s="136"/>
      <c r="CM16979" s="111"/>
      <c r="CQ16979" s="111"/>
      <c r="EF16979"/>
      <c r="EG16979"/>
      <c r="EH16979"/>
      <c r="EI16979"/>
      <c r="EJ16979"/>
      <c r="EK16979"/>
    </row>
    <row r="16980" spans="1:141" s="116" customFormat="1">
      <c r="A16980" s="136"/>
      <c r="CM16980" s="111"/>
      <c r="CQ16980" s="111"/>
      <c r="EF16980"/>
      <c r="EG16980"/>
      <c r="EH16980"/>
      <c r="EI16980"/>
      <c r="EJ16980"/>
      <c r="EK16980"/>
    </row>
    <row r="16981" spans="1:141" s="116" customFormat="1">
      <c r="A16981" s="136"/>
      <c r="CM16981" s="111"/>
      <c r="CQ16981" s="111"/>
      <c r="EF16981"/>
      <c r="EG16981"/>
      <c r="EH16981"/>
      <c r="EI16981"/>
      <c r="EJ16981"/>
      <c r="EK16981"/>
    </row>
    <row r="16982" spans="1:141" s="116" customFormat="1">
      <c r="A16982" s="136"/>
      <c r="CM16982" s="111"/>
      <c r="CQ16982" s="111"/>
      <c r="EF16982"/>
      <c r="EG16982"/>
      <c r="EH16982"/>
      <c r="EI16982"/>
      <c r="EJ16982"/>
      <c r="EK16982"/>
    </row>
    <row r="16983" spans="1:141" s="116" customFormat="1">
      <c r="A16983" s="136"/>
      <c r="CM16983" s="111"/>
      <c r="CQ16983" s="111"/>
      <c r="EF16983"/>
      <c r="EG16983"/>
      <c r="EH16983"/>
      <c r="EI16983"/>
      <c r="EJ16983"/>
      <c r="EK16983"/>
    </row>
    <row r="16984" spans="1:141" s="116" customFormat="1">
      <c r="A16984" s="136"/>
      <c r="CM16984" s="111"/>
      <c r="CQ16984" s="111"/>
      <c r="EF16984"/>
      <c r="EG16984"/>
      <c r="EH16984"/>
      <c r="EI16984"/>
      <c r="EJ16984"/>
      <c r="EK16984"/>
    </row>
    <row r="16985" spans="1:141" s="116" customFormat="1">
      <c r="A16985" s="136"/>
      <c r="CM16985" s="111"/>
      <c r="CQ16985" s="111"/>
      <c r="EF16985"/>
      <c r="EG16985"/>
      <c r="EH16985"/>
      <c r="EI16985"/>
      <c r="EJ16985"/>
      <c r="EK16985"/>
    </row>
    <row r="16986" spans="1:141" s="116" customFormat="1">
      <c r="A16986" s="136"/>
      <c r="CM16986" s="111"/>
      <c r="CQ16986" s="111"/>
      <c r="EF16986"/>
      <c r="EG16986"/>
      <c r="EH16986"/>
      <c r="EI16986"/>
      <c r="EJ16986"/>
      <c r="EK16986"/>
    </row>
    <row r="16987" spans="1:141" s="116" customFormat="1">
      <c r="A16987" s="136"/>
      <c r="CM16987" s="111"/>
      <c r="CQ16987" s="111"/>
      <c r="EF16987"/>
      <c r="EG16987"/>
      <c r="EH16987"/>
      <c r="EI16987"/>
      <c r="EJ16987"/>
      <c r="EK16987"/>
    </row>
    <row r="16988" spans="1:141" s="116" customFormat="1">
      <c r="A16988" s="136"/>
      <c r="CM16988" s="111"/>
      <c r="CQ16988" s="111"/>
      <c r="EF16988"/>
      <c r="EG16988"/>
      <c r="EH16988"/>
      <c r="EI16988"/>
      <c r="EJ16988"/>
      <c r="EK16988"/>
    </row>
    <row r="16989" spans="1:141" s="116" customFormat="1">
      <c r="A16989" s="136"/>
      <c r="CM16989" s="111"/>
      <c r="CQ16989" s="111"/>
      <c r="EF16989"/>
      <c r="EG16989"/>
      <c r="EH16989"/>
      <c r="EI16989"/>
      <c r="EJ16989"/>
      <c r="EK16989"/>
    </row>
    <row r="16990" spans="1:141" s="116" customFormat="1">
      <c r="A16990" s="136"/>
      <c r="CM16990" s="111"/>
      <c r="CQ16990" s="111"/>
      <c r="EF16990"/>
      <c r="EG16990"/>
      <c r="EH16990"/>
      <c r="EI16990"/>
      <c r="EJ16990"/>
      <c r="EK16990"/>
    </row>
    <row r="16991" spans="1:141" s="116" customFormat="1">
      <c r="A16991" s="136"/>
      <c r="CM16991" s="111"/>
      <c r="CQ16991" s="111"/>
      <c r="EF16991"/>
      <c r="EG16991"/>
      <c r="EH16991"/>
      <c r="EI16991"/>
      <c r="EJ16991"/>
      <c r="EK16991"/>
    </row>
    <row r="16992" spans="1:141" s="116" customFormat="1">
      <c r="A16992" s="136"/>
      <c r="CM16992" s="111"/>
      <c r="CQ16992" s="111"/>
      <c r="EF16992"/>
      <c r="EG16992"/>
      <c r="EH16992"/>
      <c r="EI16992"/>
      <c r="EJ16992"/>
      <c r="EK16992"/>
    </row>
    <row r="16993" spans="1:141" s="116" customFormat="1">
      <c r="A16993" s="136"/>
      <c r="CM16993" s="111"/>
      <c r="CQ16993" s="111"/>
      <c r="EF16993"/>
      <c r="EG16993"/>
      <c r="EH16993"/>
      <c r="EI16993"/>
      <c r="EJ16993"/>
      <c r="EK16993"/>
    </row>
    <row r="16994" spans="1:141" s="116" customFormat="1">
      <c r="A16994" s="136"/>
      <c r="CM16994" s="111"/>
      <c r="CQ16994" s="111"/>
      <c r="EF16994"/>
      <c r="EG16994"/>
      <c r="EH16994"/>
      <c r="EI16994"/>
      <c r="EJ16994"/>
      <c r="EK16994"/>
    </row>
    <row r="16995" spans="1:141" s="116" customFormat="1">
      <c r="A16995" s="136"/>
      <c r="CM16995" s="111"/>
      <c r="CQ16995" s="111"/>
      <c r="EF16995"/>
      <c r="EG16995"/>
      <c r="EH16995"/>
      <c r="EI16995"/>
      <c r="EJ16995"/>
      <c r="EK16995"/>
    </row>
    <row r="16996" spans="1:141" s="116" customFormat="1">
      <c r="A16996" s="136"/>
      <c r="CM16996" s="111"/>
      <c r="CQ16996" s="111"/>
      <c r="EF16996"/>
      <c r="EG16996"/>
      <c r="EH16996"/>
      <c r="EI16996"/>
      <c r="EJ16996"/>
      <c r="EK16996"/>
    </row>
    <row r="16997" spans="1:141" s="116" customFormat="1">
      <c r="A16997" s="136"/>
      <c r="CM16997" s="111"/>
      <c r="CQ16997" s="111"/>
      <c r="EF16997"/>
      <c r="EG16997"/>
      <c r="EH16997"/>
      <c r="EI16997"/>
      <c r="EJ16997"/>
      <c r="EK16997"/>
    </row>
    <row r="16998" spans="1:141" s="116" customFormat="1">
      <c r="A16998" s="136"/>
      <c r="CM16998" s="111"/>
      <c r="CQ16998" s="111"/>
      <c r="EF16998"/>
      <c r="EG16998"/>
      <c r="EH16998"/>
      <c r="EI16998"/>
      <c r="EJ16998"/>
      <c r="EK16998"/>
    </row>
    <row r="16999" spans="1:141" s="116" customFormat="1">
      <c r="A16999" s="136"/>
      <c r="CM16999" s="111"/>
      <c r="CQ16999" s="111"/>
      <c r="EF16999"/>
      <c r="EG16999"/>
      <c r="EH16999"/>
      <c r="EI16999"/>
      <c r="EJ16999"/>
      <c r="EK16999"/>
    </row>
    <row r="17000" spans="1:141" s="116" customFormat="1">
      <c r="A17000" s="136"/>
      <c r="CM17000" s="111"/>
      <c r="CQ17000" s="111"/>
      <c r="EF17000"/>
      <c r="EG17000"/>
      <c r="EH17000"/>
      <c r="EI17000"/>
      <c r="EJ17000"/>
      <c r="EK17000"/>
    </row>
    <row r="17001" spans="1:141" s="116" customFormat="1">
      <c r="A17001" s="136"/>
      <c r="CM17001" s="111"/>
      <c r="CQ17001" s="111"/>
      <c r="EF17001"/>
      <c r="EG17001"/>
      <c r="EH17001"/>
      <c r="EI17001"/>
      <c r="EJ17001"/>
      <c r="EK17001"/>
    </row>
    <row r="17002" spans="1:141" s="116" customFormat="1">
      <c r="A17002" s="136"/>
      <c r="CM17002" s="111"/>
      <c r="CQ17002" s="111"/>
      <c r="EF17002"/>
      <c r="EG17002"/>
      <c r="EH17002"/>
      <c r="EI17002"/>
      <c r="EJ17002"/>
      <c r="EK17002"/>
    </row>
    <row r="17003" spans="1:141" s="116" customFormat="1">
      <c r="A17003" s="136"/>
      <c r="CM17003" s="111"/>
      <c r="CQ17003" s="111"/>
      <c r="EF17003"/>
      <c r="EG17003"/>
      <c r="EH17003"/>
      <c r="EI17003"/>
      <c r="EJ17003"/>
      <c r="EK17003"/>
    </row>
    <row r="17004" spans="1:141" s="116" customFormat="1">
      <c r="A17004" s="136"/>
      <c r="CM17004" s="111"/>
      <c r="CQ17004" s="111"/>
      <c r="EF17004"/>
      <c r="EG17004"/>
      <c r="EH17004"/>
      <c r="EI17004"/>
      <c r="EJ17004"/>
      <c r="EK17004"/>
    </row>
    <row r="17005" spans="1:141" s="116" customFormat="1">
      <c r="A17005" s="136"/>
      <c r="CM17005" s="111"/>
      <c r="CQ17005" s="111"/>
      <c r="EF17005"/>
      <c r="EG17005"/>
      <c r="EH17005"/>
      <c r="EI17005"/>
      <c r="EJ17005"/>
      <c r="EK17005"/>
    </row>
    <row r="17006" spans="1:141" s="116" customFormat="1">
      <c r="A17006" s="136"/>
      <c r="CM17006" s="111"/>
      <c r="CQ17006" s="111"/>
      <c r="EF17006"/>
      <c r="EG17006"/>
      <c r="EH17006"/>
      <c r="EI17006"/>
      <c r="EJ17006"/>
      <c r="EK17006"/>
    </row>
    <row r="17007" spans="1:141" s="116" customFormat="1">
      <c r="A17007" s="136"/>
      <c r="CM17007" s="111"/>
      <c r="CQ17007" s="111"/>
      <c r="EF17007"/>
      <c r="EG17007"/>
      <c r="EH17007"/>
      <c r="EI17007"/>
      <c r="EJ17007"/>
      <c r="EK17007"/>
    </row>
    <row r="17008" spans="1:141" s="116" customFormat="1">
      <c r="A17008" s="136"/>
      <c r="CM17008" s="111"/>
      <c r="CQ17008" s="111"/>
      <c r="EF17008"/>
      <c r="EG17008"/>
      <c r="EH17008"/>
      <c r="EI17008"/>
      <c r="EJ17008"/>
      <c r="EK17008"/>
    </row>
    <row r="17009" spans="1:141" s="116" customFormat="1">
      <c r="A17009" s="136"/>
      <c r="CM17009" s="111"/>
      <c r="CQ17009" s="111"/>
      <c r="EF17009"/>
      <c r="EG17009"/>
      <c r="EH17009"/>
      <c r="EI17009"/>
      <c r="EJ17009"/>
      <c r="EK17009"/>
    </row>
    <row r="17010" spans="1:141" s="116" customFormat="1">
      <c r="A17010" s="136"/>
      <c r="CM17010" s="111"/>
      <c r="CQ17010" s="111"/>
      <c r="EF17010"/>
      <c r="EG17010"/>
      <c r="EH17010"/>
      <c r="EI17010"/>
      <c r="EJ17010"/>
      <c r="EK17010"/>
    </row>
    <row r="17011" spans="1:141" s="116" customFormat="1">
      <c r="A17011" s="136"/>
      <c r="CM17011" s="111"/>
      <c r="CQ17011" s="111"/>
      <c r="EF17011"/>
      <c r="EG17011"/>
      <c r="EH17011"/>
      <c r="EI17011"/>
      <c r="EJ17011"/>
      <c r="EK17011"/>
    </row>
    <row r="17012" spans="1:141" s="116" customFormat="1">
      <c r="A17012" s="136"/>
      <c r="CM17012" s="111"/>
      <c r="CQ17012" s="111"/>
      <c r="EF17012"/>
      <c r="EG17012"/>
      <c r="EH17012"/>
      <c r="EI17012"/>
      <c r="EJ17012"/>
      <c r="EK17012"/>
    </row>
    <row r="17013" spans="1:141" s="116" customFormat="1">
      <c r="A17013" s="136"/>
      <c r="CM17013" s="111"/>
      <c r="CQ17013" s="111"/>
      <c r="EF17013"/>
      <c r="EG17013"/>
      <c r="EH17013"/>
      <c r="EI17013"/>
      <c r="EJ17013"/>
      <c r="EK17013"/>
    </row>
    <row r="17014" spans="1:141" s="116" customFormat="1">
      <c r="A17014" s="136"/>
      <c r="CM17014" s="111"/>
      <c r="CQ17014" s="111"/>
      <c r="EF17014"/>
      <c r="EG17014"/>
      <c r="EH17014"/>
      <c r="EI17014"/>
      <c r="EJ17014"/>
      <c r="EK17014"/>
    </row>
    <row r="17015" spans="1:141" s="116" customFormat="1">
      <c r="A17015" s="136"/>
      <c r="CM17015" s="111"/>
      <c r="CQ17015" s="111"/>
      <c r="EF17015"/>
      <c r="EG17015"/>
      <c r="EH17015"/>
      <c r="EI17015"/>
      <c r="EJ17015"/>
      <c r="EK17015"/>
    </row>
    <row r="17016" spans="1:141" s="116" customFormat="1">
      <c r="A17016" s="136"/>
      <c r="CM17016" s="111"/>
      <c r="CQ17016" s="111"/>
      <c r="EF17016"/>
      <c r="EG17016"/>
      <c r="EH17016"/>
      <c r="EI17016"/>
      <c r="EJ17016"/>
      <c r="EK17016"/>
    </row>
    <row r="17017" spans="1:141" s="116" customFormat="1">
      <c r="A17017" s="136"/>
      <c r="CM17017" s="111"/>
      <c r="CQ17017" s="111"/>
      <c r="EF17017"/>
      <c r="EG17017"/>
      <c r="EH17017"/>
      <c r="EI17017"/>
      <c r="EJ17017"/>
      <c r="EK17017"/>
    </row>
    <row r="17018" spans="1:141" s="116" customFormat="1">
      <c r="A17018" s="136"/>
      <c r="CM17018" s="111"/>
      <c r="CQ17018" s="111"/>
      <c r="EF17018"/>
      <c r="EG17018"/>
      <c r="EH17018"/>
      <c r="EI17018"/>
      <c r="EJ17018"/>
      <c r="EK17018"/>
    </row>
    <row r="17019" spans="1:141" s="116" customFormat="1">
      <c r="A17019" s="136"/>
      <c r="CM17019" s="111"/>
      <c r="CQ17019" s="111"/>
      <c r="EF17019"/>
      <c r="EG17019"/>
      <c r="EH17019"/>
      <c r="EI17019"/>
      <c r="EJ17019"/>
      <c r="EK17019"/>
    </row>
    <row r="17020" spans="1:141" s="116" customFormat="1">
      <c r="A17020" s="136"/>
      <c r="CM17020" s="111"/>
      <c r="CQ17020" s="111"/>
      <c r="EF17020"/>
      <c r="EG17020"/>
      <c r="EH17020"/>
      <c r="EI17020"/>
      <c r="EJ17020"/>
      <c r="EK17020"/>
    </row>
    <row r="17021" spans="1:141" s="116" customFormat="1">
      <c r="A17021" s="136"/>
      <c r="CM17021" s="111"/>
      <c r="CQ17021" s="111"/>
      <c r="EF17021"/>
      <c r="EG17021"/>
      <c r="EH17021"/>
      <c r="EI17021"/>
      <c r="EJ17021"/>
      <c r="EK17021"/>
    </row>
    <row r="17022" spans="1:141" s="116" customFormat="1">
      <c r="A17022" s="136"/>
      <c r="CM17022" s="111"/>
      <c r="CQ17022" s="111"/>
      <c r="EF17022"/>
      <c r="EG17022"/>
      <c r="EH17022"/>
      <c r="EI17022"/>
      <c r="EJ17022"/>
      <c r="EK17022"/>
    </row>
    <row r="17023" spans="1:141" s="116" customFormat="1">
      <c r="A17023" s="136"/>
      <c r="CM17023" s="111"/>
      <c r="CQ17023" s="111"/>
      <c r="EF17023"/>
      <c r="EG17023"/>
      <c r="EH17023"/>
      <c r="EI17023"/>
      <c r="EJ17023"/>
      <c r="EK17023"/>
    </row>
    <row r="17024" spans="1:141" s="116" customFormat="1">
      <c r="A17024" s="136"/>
      <c r="CM17024" s="111"/>
      <c r="CQ17024" s="111"/>
      <c r="EF17024"/>
      <c r="EG17024"/>
      <c r="EH17024"/>
      <c r="EI17024"/>
      <c r="EJ17024"/>
      <c r="EK17024"/>
    </row>
    <row r="17025" spans="1:141" s="116" customFormat="1">
      <c r="A17025" s="136"/>
      <c r="CM17025" s="111"/>
      <c r="CQ17025" s="111"/>
      <c r="EF17025"/>
      <c r="EG17025"/>
      <c r="EH17025"/>
      <c r="EI17025"/>
      <c r="EJ17025"/>
      <c r="EK17025"/>
    </row>
    <row r="17026" spans="1:141" s="116" customFormat="1">
      <c r="A17026" s="136"/>
      <c r="CM17026" s="111"/>
      <c r="CQ17026" s="111"/>
      <c r="EF17026"/>
      <c r="EG17026"/>
      <c r="EH17026"/>
      <c r="EI17026"/>
      <c r="EJ17026"/>
      <c r="EK17026"/>
    </row>
    <row r="17027" spans="1:141" s="116" customFormat="1">
      <c r="A17027" s="136"/>
      <c r="CM17027" s="111"/>
      <c r="CQ17027" s="111"/>
      <c r="EF17027"/>
      <c r="EG17027"/>
      <c r="EH17027"/>
      <c r="EI17027"/>
      <c r="EJ17027"/>
      <c r="EK17027"/>
    </row>
    <row r="17028" spans="1:141" s="116" customFormat="1">
      <c r="A17028" s="136"/>
      <c r="CM17028" s="111"/>
      <c r="CQ17028" s="111"/>
      <c r="EF17028"/>
      <c r="EG17028"/>
      <c r="EH17028"/>
      <c r="EI17028"/>
      <c r="EJ17028"/>
      <c r="EK17028"/>
    </row>
    <row r="17029" spans="1:141" s="116" customFormat="1">
      <c r="A17029" s="136"/>
      <c r="CM17029" s="111"/>
      <c r="CQ17029" s="111"/>
      <c r="EF17029"/>
      <c r="EG17029"/>
      <c r="EH17029"/>
      <c r="EI17029"/>
      <c r="EJ17029"/>
      <c r="EK17029"/>
    </row>
    <row r="17030" spans="1:141" s="116" customFormat="1">
      <c r="A17030" s="136"/>
      <c r="CM17030" s="111"/>
      <c r="CQ17030" s="111"/>
      <c r="EF17030"/>
      <c r="EG17030"/>
      <c r="EH17030"/>
      <c r="EI17030"/>
      <c r="EJ17030"/>
      <c r="EK17030"/>
    </row>
    <row r="17031" spans="1:141" s="116" customFormat="1">
      <c r="A17031" s="136"/>
      <c r="CM17031" s="111"/>
      <c r="CQ17031" s="111"/>
      <c r="EF17031"/>
      <c r="EG17031"/>
      <c r="EH17031"/>
      <c r="EI17031"/>
      <c r="EJ17031"/>
      <c r="EK17031"/>
    </row>
    <row r="17032" spans="1:141" s="116" customFormat="1">
      <c r="A17032" s="136"/>
      <c r="CM17032" s="111"/>
      <c r="CQ17032" s="111"/>
      <c r="EF17032"/>
      <c r="EG17032"/>
      <c r="EH17032"/>
      <c r="EI17032"/>
      <c r="EJ17032"/>
      <c r="EK17032"/>
    </row>
    <row r="17033" spans="1:141" s="116" customFormat="1">
      <c r="A17033" s="136"/>
      <c r="CM17033" s="111"/>
      <c r="CQ17033" s="111"/>
      <c r="EF17033"/>
      <c r="EG17033"/>
      <c r="EH17033"/>
      <c r="EI17033"/>
      <c r="EJ17033"/>
      <c r="EK17033"/>
    </row>
    <row r="17034" spans="1:141" s="116" customFormat="1">
      <c r="A17034" s="136"/>
      <c r="CM17034" s="111"/>
      <c r="CQ17034" s="111"/>
      <c r="EF17034"/>
      <c r="EG17034"/>
      <c r="EH17034"/>
      <c r="EI17034"/>
      <c r="EJ17034"/>
      <c r="EK17034"/>
    </row>
    <row r="17035" spans="1:141" s="116" customFormat="1">
      <c r="A17035" s="136"/>
      <c r="CM17035" s="111"/>
      <c r="CQ17035" s="111"/>
      <c r="EF17035"/>
      <c r="EG17035"/>
      <c r="EH17035"/>
      <c r="EI17035"/>
      <c r="EJ17035"/>
      <c r="EK17035"/>
    </row>
    <row r="17036" spans="1:141" s="116" customFormat="1">
      <c r="A17036" s="136"/>
      <c r="CM17036" s="111"/>
      <c r="CQ17036" s="111"/>
      <c r="EF17036"/>
      <c r="EG17036"/>
      <c r="EH17036"/>
      <c r="EI17036"/>
      <c r="EJ17036"/>
      <c r="EK17036"/>
    </row>
    <row r="17037" spans="1:141" s="116" customFormat="1">
      <c r="A17037" s="136"/>
      <c r="CM17037" s="111"/>
      <c r="CQ17037" s="111"/>
      <c r="EF17037"/>
      <c r="EG17037"/>
      <c r="EH17037"/>
      <c r="EI17037"/>
      <c r="EJ17037"/>
      <c r="EK17037"/>
    </row>
    <row r="17038" spans="1:141" s="116" customFormat="1">
      <c r="A17038" s="136"/>
      <c r="CM17038" s="111"/>
      <c r="CQ17038" s="111"/>
      <c r="EF17038"/>
      <c r="EG17038"/>
      <c r="EH17038"/>
      <c r="EI17038"/>
      <c r="EJ17038"/>
      <c r="EK17038"/>
    </row>
    <row r="17039" spans="1:141" s="116" customFormat="1">
      <c r="A17039" s="136"/>
      <c r="CM17039" s="111"/>
      <c r="CQ17039" s="111"/>
      <c r="EF17039"/>
      <c r="EG17039"/>
      <c r="EH17039"/>
      <c r="EI17039"/>
      <c r="EJ17039"/>
      <c r="EK17039"/>
    </row>
    <row r="17040" spans="1:141" s="116" customFormat="1">
      <c r="A17040" s="136"/>
      <c r="CM17040" s="111"/>
      <c r="CQ17040" s="111"/>
      <c r="EF17040"/>
      <c r="EG17040"/>
      <c r="EH17040"/>
      <c r="EI17040"/>
      <c r="EJ17040"/>
      <c r="EK17040"/>
    </row>
    <row r="17041" spans="1:141" s="116" customFormat="1">
      <c r="A17041" s="136"/>
      <c r="CM17041" s="111"/>
      <c r="CQ17041" s="111"/>
      <c r="EF17041"/>
      <c r="EG17041"/>
      <c r="EH17041"/>
      <c r="EI17041"/>
      <c r="EJ17041"/>
      <c r="EK17041"/>
    </row>
    <row r="17042" spans="1:141" s="116" customFormat="1">
      <c r="A17042" s="136"/>
      <c r="CM17042" s="111"/>
      <c r="CQ17042" s="111"/>
      <c r="EF17042"/>
      <c r="EG17042"/>
      <c r="EH17042"/>
      <c r="EI17042"/>
      <c r="EJ17042"/>
      <c r="EK17042"/>
    </row>
    <row r="17043" spans="1:141" s="116" customFormat="1">
      <c r="A17043" s="136"/>
      <c r="CM17043" s="111"/>
      <c r="CQ17043" s="111"/>
      <c r="EF17043"/>
      <c r="EG17043"/>
      <c r="EH17043"/>
      <c r="EI17043"/>
      <c r="EJ17043"/>
      <c r="EK17043"/>
    </row>
    <row r="17044" spans="1:141" s="116" customFormat="1">
      <c r="A17044" s="136"/>
      <c r="CM17044" s="111"/>
      <c r="CQ17044" s="111"/>
      <c r="EF17044"/>
      <c r="EG17044"/>
      <c r="EH17044"/>
      <c r="EI17044"/>
      <c r="EJ17044"/>
      <c r="EK17044"/>
    </row>
    <row r="17045" spans="1:141" s="116" customFormat="1">
      <c r="A17045" s="136"/>
      <c r="CM17045" s="111"/>
      <c r="CQ17045" s="111"/>
      <c r="EF17045"/>
      <c r="EG17045"/>
      <c r="EH17045"/>
      <c r="EI17045"/>
      <c r="EJ17045"/>
      <c r="EK17045"/>
    </row>
    <row r="17046" spans="1:141" s="116" customFormat="1">
      <c r="A17046" s="136"/>
      <c r="CM17046" s="111"/>
      <c r="CQ17046" s="111"/>
      <c r="EF17046"/>
      <c r="EG17046"/>
      <c r="EH17046"/>
      <c r="EI17046"/>
      <c r="EJ17046"/>
      <c r="EK17046"/>
    </row>
    <row r="17047" spans="1:141" s="116" customFormat="1">
      <c r="A17047" s="136"/>
      <c r="CM17047" s="111"/>
      <c r="CQ17047" s="111"/>
      <c r="EF17047"/>
      <c r="EG17047"/>
      <c r="EH17047"/>
      <c r="EI17047"/>
      <c r="EJ17047"/>
      <c r="EK17047"/>
    </row>
    <row r="17048" spans="1:141" s="116" customFormat="1">
      <c r="A17048" s="136"/>
      <c r="CM17048" s="111"/>
      <c r="CQ17048" s="111"/>
      <c r="EF17048"/>
      <c r="EG17048"/>
      <c r="EH17048"/>
      <c r="EI17048"/>
      <c r="EJ17048"/>
      <c r="EK17048"/>
    </row>
    <row r="17049" spans="1:141" s="116" customFormat="1">
      <c r="A17049" s="136"/>
      <c r="CM17049" s="111"/>
      <c r="CQ17049" s="111"/>
      <c r="EF17049"/>
      <c r="EG17049"/>
      <c r="EH17049"/>
      <c r="EI17049"/>
      <c r="EJ17049"/>
      <c r="EK17049"/>
    </row>
    <row r="17050" spans="1:141" s="116" customFormat="1">
      <c r="A17050" s="136"/>
      <c r="CM17050" s="111"/>
      <c r="CQ17050" s="111"/>
      <c r="EF17050"/>
      <c r="EG17050"/>
      <c r="EH17050"/>
      <c r="EI17050"/>
      <c r="EJ17050"/>
      <c r="EK17050"/>
    </row>
    <row r="17051" spans="1:141" s="116" customFormat="1">
      <c r="A17051" s="136"/>
      <c r="CM17051" s="111"/>
      <c r="CQ17051" s="111"/>
      <c r="EF17051"/>
      <c r="EG17051"/>
      <c r="EH17051"/>
      <c r="EI17051"/>
      <c r="EJ17051"/>
      <c r="EK17051"/>
    </row>
    <row r="17052" spans="1:141" s="116" customFormat="1">
      <c r="A17052" s="136"/>
      <c r="CM17052" s="111"/>
      <c r="CQ17052" s="111"/>
      <c r="EF17052"/>
      <c r="EG17052"/>
      <c r="EH17052"/>
      <c r="EI17052"/>
      <c r="EJ17052"/>
      <c r="EK17052"/>
    </row>
    <row r="17053" spans="1:141" s="116" customFormat="1">
      <c r="A17053" s="136"/>
      <c r="CM17053" s="111"/>
      <c r="CQ17053" s="111"/>
      <c r="EF17053"/>
      <c r="EG17053"/>
      <c r="EH17053"/>
      <c r="EI17053"/>
      <c r="EJ17053"/>
      <c r="EK17053"/>
    </row>
    <row r="17054" spans="1:141" s="116" customFormat="1">
      <c r="A17054" s="136"/>
      <c r="CM17054" s="111"/>
      <c r="CQ17054" s="111"/>
      <c r="EF17054"/>
      <c r="EG17054"/>
      <c r="EH17054"/>
      <c r="EI17054"/>
      <c r="EJ17054"/>
      <c r="EK17054"/>
    </row>
    <row r="17055" spans="1:141" s="116" customFormat="1">
      <c r="A17055" s="136"/>
      <c r="CM17055" s="111"/>
      <c r="CQ17055" s="111"/>
      <c r="EF17055"/>
      <c r="EG17055"/>
      <c r="EH17055"/>
      <c r="EI17055"/>
      <c r="EJ17055"/>
      <c r="EK17055"/>
    </row>
    <row r="17056" spans="1:141" s="116" customFormat="1">
      <c r="A17056" s="136"/>
      <c r="CM17056" s="111"/>
      <c r="CQ17056" s="111"/>
      <c r="EF17056"/>
      <c r="EG17056"/>
      <c r="EH17056"/>
      <c r="EI17056"/>
      <c r="EJ17056"/>
      <c r="EK17056"/>
    </row>
    <row r="17057" spans="1:141" s="116" customFormat="1">
      <c r="A17057" s="136"/>
      <c r="CM17057" s="111"/>
      <c r="CQ17057" s="111"/>
      <c r="EF17057"/>
      <c r="EG17057"/>
      <c r="EH17057"/>
      <c r="EI17057"/>
      <c r="EJ17057"/>
      <c r="EK17057"/>
    </row>
    <row r="17058" spans="1:141" s="116" customFormat="1">
      <c r="A17058" s="136"/>
      <c r="CM17058" s="111"/>
      <c r="CQ17058" s="111"/>
      <c r="EF17058"/>
      <c r="EG17058"/>
      <c r="EH17058"/>
      <c r="EI17058"/>
      <c r="EJ17058"/>
      <c r="EK17058"/>
    </row>
    <row r="17059" spans="1:141" s="116" customFormat="1">
      <c r="A17059" s="136"/>
      <c r="CM17059" s="111"/>
      <c r="CQ17059" s="111"/>
      <c r="EF17059"/>
      <c r="EG17059"/>
      <c r="EH17059"/>
      <c r="EI17059"/>
      <c r="EJ17059"/>
      <c r="EK17059"/>
    </row>
    <row r="17060" spans="1:141" s="116" customFormat="1">
      <c r="A17060" s="136"/>
      <c r="CM17060" s="111"/>
      <c r="CQ17060" s="111"/>
      <c r="EF17060"/>
      <c r="EG17060"/>
      <c r="EH17060"/>
      <c r="EI17060"/>
      <c r="EJ17060"/>
      <c r="EK17060"/>
    </row>
    <row r="17061" spans="1:141" s="116" customFormat="1">
      <c r="A17061" s="136"/>
      <c r="CM17061" s="111"/>
      <c r="CQ17061" s="111"/>
      <c r="EF17061"/>
      <c r="EG17061"/>
      <c r="EH17061"/>
      <c r="EI17061"/>
      <c r="EJ17061"/>
      <c r="EK17061"/>
    </row>
    <row r="17062" spans="1:141" s="116" customFormat="1">
      <c r="A17062" s="136"/>
      <c r="CM17062" s="111"/>
      <c r="CQ17062" s="111"/>
      <c r="EF17062"/>
      <c r="EG17062"/>
      <c r="EH17062"/>
      <c r="EI17062"/>
      <c r="EJ17062"/>
      <c r="EK17062"/>
    </row>
    <row r="17063" spans="1:141" s="116" customFormat="1">
      <c r="A17063" s="136"/>
      <c r="CM17063" s="111"/>
      <c r="CQ17063" s="111"/>
      <c r="EF17063"/>
      <c r="EG17063"/>
      <c r="EH17063"/>
      <c r="EI17063"/>
      <c r="EJ17063"/>
      <c r="EK17063"/>
    </row>
    <row r="17064" spans="1:141" s="116" customFormat="1">
      <c r="A17064" s="136"/>
      <c r="CM17064" s="111"/>
      <c r="CQ17064" s="111"/>
      <c r="EF17064"/>
      <c r="EG17064"/>
      <c r="EH17064"/>
      <c r="EI17064"/>
      <c r="EJ17064"/>
      <c r="EK17064"/>
    </row>
    <row r="17065" spans="1:141" s="116" customFormat="1">
      <c r="A17065" s="136"/>
      <c r="CM17065" s="111"/>
      <c r="CQ17065" s="111"/>
      <c r="EF17065"/>
      <c r="EG17065"/>
      <c r="EH17065"/>
      <c r="EI17065"/>
      <c r="EJ17065"/>
      <c r="EK17065"/>
    </row>
    <row r="17066" spans="1:141" s="116" customFormat="1">
      <c r="A17066" s="136"/>
      <c r="CM17066" s="111"/>
      <c r="CQ17066" s="111"/>
      <c r="EF17066"/>
      <c r="EG17066"/>
      <c r="EH17066"/>
      <c r="EI17066"/>
      <c r="EJ17066"/>
      <c r="EK17066"/>
    </row>
    <row r="17067" spans="1:141" s="116" customFormat="1">
      <c r="A17067" s="136"/>
      <c r="CM17067" s="111"/>
      <c r="CQ17067" s="111"/>
      <c r="EF17067"/>
      <c r="EG17067"/>
      <c r="EH17067"/>
      <c r="EI17067"/>
      <c r="EJ17067"/>
      <c r="EK17067"/>
    </row>
    <row r="17068" spans="1:141" s="116" customFormat="1">
      <c r="A17068" s="136"/>
      <c r="CM17068" s="111"/>
      <c r="CQ17068" s="111"/>
      <c r="EF17068"/>
      <c r="EG17068"/>
      <c r="EH17068"/>
      <c r="EI17068"/>
      <c r="EJ17068"/>
      <c r="EK17068"/>
    </row>
    <row r="17069" spans="1:141" s="116" customFormat="1">
      <c r="A17069" s="136"/>
      <c r="CM17069" s="111"/>
      <c r="CQ17069" s="111"/>
      <c r="EF17069"/>
      <c r="EG17069"/>
      <c r="EH17069"/>
      <c r="EI17069"/>
      <c r="EJ17069"/>
      <c r="EK17069"/>
    </row>
    <row r="17070" spans="1:141" s="116" customFormat="1">
      <c r="A17070" s="136"/>
      <c r="CM17070" s="111"/>
      <c r="CQ17070" s="111"/>
      <c r="EF17070"/>
      <c r="EG17070"/>
      <c r="EH17070"/>
      <c r="EI17070"/>
      <c r="EJ17070"/>
      <c r="EK17070"/>
    </row>
    <row r="17071" spans="1:141" s="116" customFormat="1">
      <c r="A17071" s="136"/>
      <c r="CM17071" s="111"/>
      <c r="CQ17071" s="111"/>
      <c r="EF17071"/>
      <c r="EG17071"/>
      <c r="EH17071"/>
      <c r="EI17071"/>
      <c r="EJ17071"/>
      <c r="EK17071"/>
    </row>
    <row r="17072" spans="1:141" s="116" customFormat="1">
      <c r="A17072" s="136"/>
      <c r="CM17072" s="111"/>
      <c r="CQ17072" s="111"/>
      <c r="EF17072"/>
      <c r="EG17072"/>
      <c r="EH17072"/>
      <c r="EI17072"/>
      <c r="EJ17072"/>
      <c r="EK17072"/>
    </row>
    <row r="17073" spans="1:141" s="116" customFormat="1">
      <c r="A17073" s="136"/>
      <c r="CM17073" s="111"/>
      <c r="CQ17073" s="111"/>
      <c r="EF17073"/>
      <c r="EG17073"/>
      <c r="EH17073"/>
      <c r="EI17073"/>
      <c r="EJ17073"/>
      <c r="EK17073"/>
    </row>
    <row r="17074" spans="1:141" s="116" customFormat="1">
      <c r="A17074" s="136"/>
      <c r="CM17074" s="111"/>
      <c r="CQ17074" s="111"/>
      <c r="EF17074"/>
      <c r="EG17074"/>
      <c r="EH17074"/>
      <c r="EI17074"/>
      <c r="EJ17074"/>
      <c r="EK17074"/>
    </row>
    <row r="17075" spans="1:141" s="116" customFormat="1">
      <c r="A17075" s="136"/>
      <c r="CM17075" s="111"/>
      <c r="CQ17075" s="111"/>
      <c r="EF17075"/>
      <c r="EG17075"/>
      <c r="EH17075"/>
      <c r="EI17075"/>
      <c r="EJ17075"/>
      <c r="EK17075"/>
    </row>
    <row r="17076" spans="1:141" s="116" customFormat="1">
      <c r="A17076" s="136"/>
      <c r="CM17076" s="111"/>
      <c r="CQ17076" s="111"/>
      <c r="EF17076"/>
      <c r="EG17076"/>
      <c r="EH17076"/>
      <c r="EI17076"/>
      <c r="EJ17076"/>
      <c r="EK17076"/>
    </row>
    <row r="17077" spans="1:141" s="116" customFormat="1">
      <c r="A17077" s="136"/>
      <c r="CM17077" s="111"/>
      <c r="CQ17077" s="111"/>
      <c r="EF17077"/>
      <c r="EG17077"/>
      <c r="EH17077"/>
      <c r="EI17077"/>
      <c r="EJ17077"/>
      <c r="EK17077"/>
    </row>
    <row r="17078" spans="1:141" s="116" customFormat="1">
      <c r="A17078" s="136"/>
      <c r="CM17078" s="111"/>
      <c r="CQ17078" s="111"/>
      <c r="EF17078"/>
      <c r="EG17078"/>
      <c r="EH17078"/>
      <c r="EI17078"/>
      <c r="EJ17078"/>
      <c r="EK17078"/>
    </row>
    <row r="17079" spans="1:141" s="116" customFormat="1">
      <c r="A17079" s="136"/>
      <c r="CM17079" s="111"/>
      <c r="CQ17079" s="111"/>
      <c r="EF17079"/>
      <c r="EG17079"/>
      <c r="EH17079"/>
      <c r="EI17079"/>
      <c r="EJ17079"/>
      <c r="EK17079"/>
    </row>
    <row r="17080" spans="1:141" s="116" customFormat="1">
      <c r="A17080" s="136"/>
      <c r="CM17080" s="111"/>
      <c r="CQ17080" s="111"/>
      <c r="EF17080"/>
      <c r="EG17080"/>
      <c r="EH17080"/>
      <c r="EI17080"/>
      <c r="EJ17080"/>
      <c r="EK17080"/>
    </row>
    <row r="17081" spans="1:141" s="116" customFormat="1">
      <c r="A17081" s="136"/>
      <c r="CM17081" s="111"/>
      <c r="CQ17081" s="111"/>
      <c r="EF17081"/>
      <c r="EG17081"/>
      <c r="EH17081"/>
      <c r="EI17081"/>
      <c r="EJ17081"/>
      <c r="EK17081"/>
    </row>
    <row r="17082" spans="1:141" s="116" customFormat="1">
      <c r="A17082" s="136"/>
      <c r="CM17082" s="111"/>
      <c r="CQ17082" s="111"/>
      <c r="EF17082"/>
      <c r="EG17082"/>
      <c r="EH17082"/>
      <c r="EI17082"/>
      <c r="EJ17082"/>
      <c r="EK17082"/>
    </row>
    <row r="17083" spans="1:141" s="116" customFormat="1">
      <c r="A17083" s="136"/>
      <c r="CM17083" s="111"/>
      <c r="CQ17083" s="111"/>
      <c r="EF17083"/>
      <c r="EG17083"/>
      <c r="EH17083"/>
      <c r="EI17083"/>
      <c r="EJ17083"/>
      <c r="EK17083"/>
    </row>
    <row r="17084" spans="1:141" s="116" customFormat="1">
      <c r="A17084" s="136"/>
      <c r="CM17084" s="111"/>
      <c r="CQ17084" s="111"/>
      <c r="EF17084"/>
      <c r="EG17084"/>
      <c r="EH17084"/>
      <c r="EI17084"/>
      <c r="EJ17084"/>
      <c r="EK17084"/>
    </row>
    <row r="17085" spans="1:141" s="116" customFormat="1">
      <c r="A17085" s="136"/>
      <c r="CM17085" s="111"/>
      <c r="CQ17085" s="111"/>
      <c r="EF17085"/>
      <c r="EG17085"/>
      <c r="EH17085"/>
      <c r="EI17085"/>
      <c r="EJ17085"/>
      <c r="EK17085"/>
    </row>
    <row r="17086" spans="1:141" s="116" customFormat="1">
      <c r="A17086" s="136"/>
      <c r="CM17086" s="111"/>
      <c r="CQ17086" s="111"/>
      <c r="EF17086"/>
      <c r="EG17086"/>
      <c r="EH17086"/>
      <c r="EI17086"/>
      <c r="EJ17086"/>
      <c r="EK17086"/>
    </row>
    <row r="17087" spans="1:141" s="116" customFormat="1">
      <c r="A17087" s="136"/>
      <c r="CM17087" s="111"/>
      <c r="CQ17087" s="111"/>
      <c r="EF17087"/>
      <c r="EG17087"/>
      <c r="EH17087"/>
      <c r="EI17087"/>
      <c r="EJ17087"/>
      <c r="EK17087"/>
    </row>
    <row r="17088" spans="1:141" s="116" customFormat="1">
      <c r="A17088" s="136"/>
      <c r="CM17088" s="111"/>
      <c r="CQ17088" s="111"/>
      <c r="EF17088"/>
      <c r="EG17088"/>
      <c r="EH17088"/>
      <c r="EI17088"/>
      <c r="EJ17088"/>
      <c r="EK17088"/>
    </row>
    <row r="17089" spans="1:141" s="116" customFormat="1">
      <c r="A17089" s="136"/>
      <c r="CM17089" s="111"/>
      <c r="CQ17089" s="111"/>
      <c r="EF17089"/>
      <c r="EG17089"/>
      <c r="EH17089"/>
      <c r="EI17089"/>
      <c r="EJ17089"/>
      <c r="EK17089"/>
    </row>
    <row r="17090" spans="1:141" s="116" customFormat="1">
      <c r="A17090" s="136"/>
      <c r="CM17090" s="111"/>
      <c r="CQ17090" s="111"/>
      <c r="EF17090"/>
      <c r="EG17090"/>
      <c r="EH17090"/>
      <c r="EI17090"/>
      <c r="EJ17090"/>
      <c r="EK17090"/>
    </row>
    <row r="17091" spans="1:141" s="116" customFormat="1">
      <c r="A17091" s="136"/>
      <c r="CM17091" s="111"/>
      <c r="CQ17091" s="111"/>
      <c r="EF17091"/>
      <c r="EG17091"/>
      <c r="EH17091"/>
      <c r="EI17091"/>
      <c r="EJ17091"/>
      <c r="EK17091"/>
    </row>
    <row r="17092" spans="1:141" s="116" customFormat="1">
      <c r="A17092" s="136"/>
      <c r="CM17092" s="111"/>
      <c r="CQ17092" s="111"/>
      <c r="EF17092"/>
      <c r="EG17092"/>
      <c r="EH17092"/>
      <c r="EI17092"/>
      <c r="EJ17092"/>
      <c r="EK17092"/>
    </row>
    <row r="17093" spans="1:141" s="116" customFormat="1">
      <c r="A17093" s="136"/>
      <c r="CM17093" s="111"/>
      <c r="CQ17093" s="111"/>
      <c r="EF17093"/>
      <c r="EG17093"/>
      <c r="EH17093"/>
      <c r="EI17093"/>
      <c r="EJ17093"/>
      <c r="EK17093"/>
    </row>
    <row r="17094" spans="1:141" s="116" customFormat="1">
      <c r="A17094" s="136"/>
      <c r="CM17094" s="111"/>
      <c r="CQ17094" s="111"/>
      <c r="EF17094"/>
      <c r="EG17094"/>
      <c r="EH17094"/>
      <c r="EI17094"/>
      <c r="EJ17094"/>
      <c r="EK17094"/>
    </row>
    <row r="17095" spans="1:141" s="116" customFormat="1">
      <c r="A17095" s="136"/>
      <c r="CM17095" s="111"/>
      <c r="CQ17095" s="111"/>
      <c r="EF17095"/>
      <c r="EG17095"/>
      <c r="EH17095"/>
      <c r="EI17095"/>
      <c r="EJ17095"/>
      <c r="EK17095"/>
    </row>
    <row r="17096" spans="1:141" s="116" customFormat="1">
      <c r="A17096" s="136"/>
      <c r="CM17096" s="111"/>
      <c r="CQ17096" s="111"/>
      <c r="EF17096"/>
      <c r="EG17096"/>
      <c r="EH17096"/>
      <c r="EI17096"/>
      <c r="EJ17096"/>
      <c r="EK17096"/>
    </row>
    <row r="17097" spans="1:141" s="116" customFormat="1">
      <c r="A17097" s="136"/>
      <c r="CM17097" s="111"/>
      <c r="CQ17097" s="111"/>
      <c r="EF17097"/>
      <c r="EG17097"/>
      <c r="EH17097"/>
      <c r="EI17097"/>
      <c r="EJ17097"/>
      <c r="EK17097"/>
    </row>
    <row r="17098" spans="1:141" s="116" customFormat="1">
      <c r="A17098" s="136"/>
      <c r="CM17098" s="111"/>
      <c r="CQ17098" s="111"/>
      <c r="EF17098"/>
      <c r="EG17098"/>
      <c r="EH17098"/>
      <c r="EI17098"/>
      <c r="EJ17098"/>
      <c r="EK17098"/>
    </row>
    <row r="17099" spans="1:141" s="116" customFormat="1">
      <c r="A17099" s="136"/>
      <c r="CM17099" s="111"/>
      <c r="CQ17099" s="111"/>
      <c r="EF17099"/>
      <c r="EG17099"/>
      <c r="EH17099"/>
      <c r="EI17099"/>
      <c r="EJ17099"/>
      <c r="EK17099"/>
    </row>
    <row r="17100" spans="1:141" s="116" customFormat="1">
      <c r="A17100" s="136"/>
      <c r="CM17100" s="111"/>
      <c r="CQ17100" s="111"/>
      <c r="EF17100"/>
      <c r="EG17100"/>
      <c r="EH17100"/>
      <c r="EI17100"/>
      <c r="EJ17100"/>
      <c r="EK17100"/>
    </row>
    <row r="17101" spans="1:141" s="116" customFormat="1">
      <c r="A17101" s="136"/>
      <c r="CM17101" s="111"/>
      <c r="CQ17101" s="111"/>
      <c r="EF17101"/>
      <c r="EG17101"/>
      <c r="EH17101"/>
      <c r="EI17101"/>
      <c r="EJ17101"/>
      <c r="EK17101"/>
    </row>
    <row r="17102" spans="1:141" s="116" customFormat="1">
      <c r="A17102" s="136"/>
      <c r="CM17102" s="111"/>
      <c r="CQ17102" s="111"/>
      <c r="EF17102"/>
      <c r="EG17102"/>
      <c r="EH17102"/>
      <c r="EI17102"/>
      <c r="EJ17102"/>
      <c r="EK17102"/>
    </row>
    <row r="17103" spans="1:141" s="116" customFormat="1">
      <c r="A17103" s="136"/>
      <c r="CM17103" s="111"/>
      <c r="CQ17103" s="111"/>
      <c r="EF17103"/>
      <c r="EG17103"/>
      <c r="EH17103"/>
      <c r="EI17103"/>
      <c r="EJ17103"/>
      <c r="EK17103"/>
    </row>
    <row r="17104" spans="1:141" s="116" customFormat="1">
      <c r="A17104" s="136"/>
      <c r="CM17104" s="111"/>
      <c r="CQ17104" s="111"/>
      <c r="EF17104"/>
      <c r="EG17104"/>
      <c r="EH17104"/>
      <c r="EI17104"/>
      <c r="EJ17104"/>
      <c r="EK17104"/>
    </row>
    <row r="17105" spans="1:141" s="116" customFormat="1">
      <c r="A17105" s="136"/>
      <c r="CM17105" s="111"/>
      <c r="CQ17105" s="111"/>
      <c r="EF17105"/>
      <c r="EG17105"/>
      <c r="EH17105"/>
      <c r="EI17105"/>
      <c r="EJ17105"/>
      <c r="EK17105"/>
    </row>
    <row r="17106" spans="1:141" s="116" customFormat="1">
      <c r="A17106" s="136"/>
      <c r="CM17106" s="111"/>
      <c r="CQ17106" s="111"/>
      <c r="EF17106"/>
      <c r="EG17106"/>
      <c r="EH17106"/>
      <c r="EI17106"/>
      <c r="EJ17106"/>
      <c r="EK17106"/>
    </row>
    <row r="17107" spans="1:141" s="116" customFormat="1">
      <c r="A17107" s="136"/>
      <c r="CM17107" s="111"/>
      <c r="CQ17107" s="111"/>
      <c r="EF17107"/>
      <c r="EG17107"/>
      <c r="EH17107"/>
      <c r="EI17107"/>
      <c r="EJ17107"/>
      <c r="EK17107"/>
    </row>
    <row r="17108" spans="1:141" s="116" customFormat="1">
      <c r="A17108" s="136"/>
      <c r="CM17108" s="111"/>
      <c r="CQ17108" s="111"/>
      <c r="EF17108"/>
      <c r="EG17108"/>
      <c r="EH17108"/>
      <c r="EI17108"/>
      <c r="EJ17108"/>
      <c r="EK17108"/>
    </row>
    <row r="17109" spans="1:141" s="116" customFormat="1">
      <c r="A17109" s="136"/>
      <c r="CM17109" s="111"/>
      <c r="CQ17109" s="111"/>
      <c r="EF17109"/>
      <c r="EG17109"/>
      <c r="EH17109"/>
      <c r="EI17109"/>
      <c r="EJ17109"/>
      <c r="EK17109"/>
    </row>
    <row r="17110" spans="1:141" s="116" customFormat="1">
      <c r="A17110" s="136"/>
      <c r="CM17110" s="111"/>
      <c r="CQ17110" s="111"/>
      <c r="EF17110"/>
      <c r="EG17110"/>
      <c r="EH17110"/>
      <c r="EI17110"/>
      <c r="EJ17110"/>
      <c r="EK17110"/>
    </row>
    <row r="17111" spans="1:141" s="116" customFormat="1">
      <c r="A17111" s="136"/>
      <c r="CM17111" s="111"/>
      <c r="CQ17111" s="111"/>
      <c r="EF17111"/>
      <c r="EG17111"/>
      <c r="EH17111"/>
      <c r="EI17111"/>
      <c r="EJ17111"/>
      <c r="EK17111"/>
    </row>
    <row r="17112" spans="1:141" s="116" customFormat="1">
      <c r="A17112" s="136"/>
      <c r="CM17112" s="111"/>
      <c r="CQ17112" s="111"/>
      <c r="EF17112"/>
      <c r="EG17112"/>
      <c r="EH17112"/>
      <c r="EI17112"/>
      <c r="EJ17112"/>
      <c r="EK17112"/>
    </row>
    <row r="17113" spans="1:141" s="116" customFormat="1">
      <c r="A17113" s="136"/>
      <c r="CM17113" s="111"/>
      <c r="CQ17113" s="111"/>
      <c r="EF17113"/>
      <c r="EG17113"/>
      <c r="EH17113"/>
      <c r="EI17113"/>
      <c r="EJ17113"/>
      <c r="EK17113"/>
    </row>
    <row r="17114" spans="1:141" s="116" customFormat="1">
      <c r="A17114" s="136"/>
      <c r="CM17114" s="111"/>
      <c r="CQ17114" s="111"/>
      <c r="EF17114"/>
      <c r="EG17114"/>
      <c r="EH17114"/>
      <c r="EI17114"/>
      <c r="EJ17114"/>
      <c r="EK17114"/>
    </row>
    <row r="17115" spans="1:141" s="116" customFormat="1">
      <c r="A17115" s="136"/>
      <c r="CM17115" s="111"/>
      <c r="CQ17115" s="111"/>
      <c r="EF17115"/>
      <c r="EG17115"/>
      <c r="EH17115"/>
      <c r="EI17115"/>
      <c r="EJ17115"/>
      <c r="EK17115"/>
    </row>
    <row r="17116" spans="1:141" s="116" customFormat="1">
      <c r="A17116" s="136"/>
      <c r="CM17116" s="111"/>
      <c r="CQ17116" s="111"/>
      <c r="EF17116"/>
      <c r="EG17116"/>
      <c r="EH17116"/>
      <c r="EI17116"/>
      <c r="EJ17116"/>
      <c r="EK17116"/>
    </row>
    <row r="17117" spans="1:141" s="116" customFormat="1">
      <c r="A17117" s="136"/>
      <c r="CM17117" s="111"/>
      <c r="CQ17117" s="111"/>
      <c r="EF17117"/>
      <c r="EG17117"/>
      <c r="EH17117"/>
      <c r="EI17117"/>
      <c r="EJ17117"/>
      <c r="EK17117"/>
    </row>
    <row r="17118" spans="1:141" s="116" customFormat="1">
      <c r="A17118" s="136"/>
      <c r="CM17118" s="111"/>
      <c r="CQ17118" s="111"/>
      <c r="EF17118"/>
      <c r="EG17118"/>
      <c r="EH17118"/>
      <c r="EI17118"/>
      <c r="EJ17118"/>
      <c r="EK17118"/>
    </row>
    <row r="17119" spans="1:141" s="116" customFormat="1">
      <c r="A17119" s="136"/>
      <c r="CM17119" s="111"/>
      <c r="CQ17119" s="111"/>
      <c r="EF17119"/>
      <c r="EG17119"/>
      <c r="EH17119"/>
      <c r="EI17119"/>
      <c r="EJ17119"/>
      <c r="EK17119"/>
    </row>
    <row r="17120" spans="1:141" s="116" customFormat="1">
      <c r="A17120" s="136"/>
      <c r="CM17120" s="111"/>
      <c r="CQ17120" s="111"/>
      <c r="EF17120"/>
      <c r="EG17120"/>
      <c r="EH17120"/>
      <c r="EI17120"/>
      <c r="EJ17120"/>
      <c r="EK17120"/>
    </row>
    <row r="17121" spans="1:141" s="116" customFormat="1">
      <c r="A17121" s="136"/>
      <c r="CM17121" s="111"/>
      <c r="CQ17121" s="111"/>
      <c r="EF17121"/>
      <c r="EG17121"/>
      <c r="EH17121"/>
      <c r="EI17121"/>
      <c r="EJ17121"/>
      <c r="EK17121"/>
    </row>
    <row r="17122" spans="1:141" s="116" customFormat="1">
      <c r="A17122" s="136"/>
      <c r="CM17122" s="111"/>
      <c r="CQ17122" s="111"/>
      <c r="EF17122"/>
      <c r="EG17122"/>
      <c r="EH17122"/>
      <c r="EI17122"/>
      <c r="EJ17122"/>
      <c r="EK17122"/>
    </row>
    <row r="17123" spans="1:141" s="116" customFormat="1">
      <c r="A17123" s="136"/>
      <c r="CM17123" s="111"/>
      <c r="CQ17123" s="111"/>
      <c r="EF17123"/>
      <c r="EG17123"/>
      <c r="EH17123"/>
      <c r="EI17123"/>
      <c r="EJ17123"/>
      <c r="EK17123"/>
    </row>
    <row r="17124" spans="1:141" s="116" customFormat="1">
      <c r="A17124" s="136"/>
      <c r="CM17124" s="111"/>
      <c r="CQ17124" s="111"/>
      <c r="EF17124"/>
      <c r="EG17124"/>
      <c r="EH17124"/>
      <c r="EI17124"/>
      <c r="EJ17124"/>
      <c r="EK17124"/>
    </row>
    <row r="17125" spans="1:141" s="116" customFormat="1">
      <c r="A17125" s="136"/>
      <c r="CM17125" s="111"/>
      <c r="CQ17125" s="111"/>
      <c r="EF17125"/>
      <c r="EG17125"/>
      <c r="EH17125"/>
      <c r="EI17125"/>
      <c r="EJ17125"/>
      <c r="EK17125"/>
    </row>
    <row r="17126" spans="1:141" s="116" customFormat="1">
      <c r="A17126" s="136"/>
      <c r="CM17126" s="111"/>
      <c r="CQ17126" s="111"/>
      <c r="EF17126"/>
      <c r="EG17126"/>
      <c r="EH17126"/>
      <c r="EI17126"/>
      <c r="EJ17126"/>
      <c r="EK17126"/>
    </row>
    <row r="17127" spans="1:141" s="116" customFormat="1">
      <c r="A17127" s="136"/>
      <c r="CM17127" s="111"/>
      <c r="CQ17127" s="111"/>
      <c r="EF17127"/>
      <c r="EG17127"/>
      <c r="EH17127"/>
      <c r="EI17127"/>
      <c r="EJ17127"/>
      <c r="EK17127"/>
    </row>
    <row r="17128" spans="1:141" s="116" customFormat="1">
      <c r="A17128" s="136"/>
      <c r="CM17128" s="111"/>
      <c r="CQ17128" s="111"/>
      <c r="EF17128"/>
      <c r="EG17128"/>
      <c r="EH17128"/>
      <c r="EI17128"/>
      <c r="EJ17128"/>
      <c r="EK17128"/>
    </row>
    <row r="17129" spans="1:141" s="116" customFormat="1">
      <c r="A17129" s="136"/>
      <c r="CM17129" s="111"/>
      <c r="CQ17129" s="111"/>
      <c r="EF17129"/>
      <c r="EG17129"/>
      <c r="EH17129"/>
      <c r="EI17129"/>
      <c r="EJ17129"/>
      <c r="EK17129"/>
    </row>
    <row r="17130" spans="1:141" s="116" customFormat="1">
      <c r="A17130" s="136"/>
      <c r="CM17130" s="111"/>
      <c r="CQ17130" s="111"/>
      <c r="EF17130"/>
      <c r="EG17130"/>
      <c r="EH17130"/>
      <c r="EI17130"/>
      <c r="EJ17130"/>
      <c r="EK17130"/>
    </row>
    <row r="17131" spans="1:141" s="116" customFormat="1">
      <c r="A17131" s="136"/>
      <c r="CM17131" s="111"/>
      <c r="CQ17131" s="111"/>
      <c r="EF17131"/>
      <c r="EG17131"/>
      <c r="EH17131"/>
      <c r="EI17131"/>
      <c r="EJ17131"/>
      <c r="EK17131"/>
    </row>
    <row r="17132" spans="1:141" s="116" customFormat="1">
      <c r="A17132" s="136"/>
      <c r="CM17132" s="111"/>
      <c r="CQ17132" s="111"/>
      <c r="EF17132"/>
      <c r="EG17132"/>
      <c r="EH17132"/>
      <c r="EI17132"/>
      <c r="EJ17132"/>
      <c r="EK17132"/>
    </row>
    <row r="17133" spans="1:141" s="116" customFormat="1">
      <c r="A17133" s="136"/>
      <c r="CM17133" s="111"/>
      <c r="CQ17133" s="111"/>
      <c r="EF17133"/>
      <c r="EG17133"/>
      <c r="EH17133"/>
      <c r="EI17133"/>
      <c r="EJ17133"/>
      <c r="EK17133"/>
    </row>
    <row r="17134" spans="1:141" s="116" customFormat="1">
      <c r="A17134" s="136"/>
      <c r="CM17134" s="111"/>
      <c r="CQ17134" s="111"/>
      <c r="EF17134"/>
      <c r="EG17134"/>
      <c r="EH17134"/>
      <c r="EI17134"/>
      <c r="EJ17134"/>
      <c r="EK17134"/>
    </row>
    <row r="17135" spans="1:141" s="116" customFormat="1">
      <c r="A17135" s="136"/>
      <c r="CM17135" s="111"/>
      <c r="CQ17135" s="111"/>
      <c r="EF17135"/>
      <c r="EG17135"/>
      <c r="EH17135"/>
      <c r="EI17135"/>
      <c r="EJ17135"/>
      <c r="EK17135"/>
    </row>
    <row r="17136" spans="1:141" s="116" customFormat="1">
      <c r="A17136" s="136"/>
      <c r="CM17136" s="111"/>
      <c r="CQ17136" s="111"/>
      <c r="EF17136"/>
      <c r="EG17136"/>
      <c r="EH17136"/>
      <c r="EI17136"/>
      <c r="EJ17136"/>
      <c r="EK17136"/>
    </row>
    <row r="17137" spans="1:141" s="116" customFormat="1">
      <c r="A17137" s="136"/>
      <c r="CM17137" s="111"/>
      <c r="CQ17137" s="111"/>
      <c r="EF17137"/>
      <c r="EG17137"/>
      <c r="EH17137"/>
      <c r="EI17137"/>
      <c r="EJ17137"/>
      <c r="EK17137"/>
    </row>
    <row r="17138" spans="1:141" s="116" customFormat="1">
      <c r="A17138" s="136"/>
      <c r="CM17138" s="111"/>
      <c r="CQ17138" s="111"/>
      <c r="EF17138"/>
      <c r="EG17138"/>
      <c r="EH17138"/>
      <c r="EI17138"/>
      <c r="EJ17138"/>
      <c r="EK17138"/>
    </row>
    <row r="17139" spans="1:141" s="116" customFormat="1">
      <c r="A17139" s="136"/>
      <c r="CM17139" s="111"/>
      <c r="CQ17139" s="111"/>
      <c r="EF17139"/>
      <c r="EG17139"/>
      <c r="EH17139"/>
      <c r="EI17139"/>
      <c r="EJ17139"/>
      <c r="EK17139"/>
    </row>
    <row r="17140" spans="1:141" s="116" customFormat="1">
      <c r="A17140" s="136"/>
      <c r="CM17140" s="111"/>
      <c r="CQ17140" s="111"/>
      <c r="EF17140"/>
      <c r="EG17140"/>
      <c r="EH17140"/>
      <c r="EI17140"/>
      <c r="EJ17140"/>
      <c r="EK17140"/>
    </row>
    <row r="17141" spans="1:141" s="116" customFormat="1">
      <c r="A17141" s="136"/>
      <c r="CM17141" s="111"/>
      <c r="CQ17141" s="111"/>
      <c r="EF17141"/>
      <c r="EG17141"/>
      <c r="EH17141"/>
      <c r="EI17141"/>
      <c r="EJ17141"/>
      <c r="EK17141"/>
    </row>
    <row r="17142" spans="1:141" s="116" customFormat="1">
      <c r="A17142" s="136"/>
      <c r="CM17142" s="111"/>
      <c r="CQ17142" s="111"/>
      <c r="EF17142"/>
      <c r="EG17142"/>
      <c r="EH17142"/>
      <c r="EI17142"/>
      <c r="EJ17142"/>
      <c r="EK17142"/>
    </row>
    <row r="17143" spans="1:141" s="116" customFormat="1">
      <c r="A17143" s="136"/>
      <c r="CM17143" s="111"/>
      <c r="CQ17143" s="111"/>
      <c r="EF17143"/>
      <c r="EG17143"/>
      <c r="EH17143"/>
      <c r="EI17143"/>
      <c r="EJ17143"/>
      <c r="EK17143"/>
    </row>
    <row r="17144" spans="1:141" s="116" customFormat="1">
      <c r="A17144" s="136"/>
      <c r="CM17144" s="111"/>
      <c r="CQ17144" s="111"/>
      <c r="EF17144"/>
      <c r="EG17144"/>
      <c r="EH17144"/>
      <c r="EI17144"/>
      <c r="EJ17144"/>
      <c r="EK17144"/>
    </row>
    <row r="17145" spans="1:141" s="116" customFormat="1">
      <c r="A17145" s="136"/>
      <c r="CM17145" s="111"/>
      <c r="CQ17145" s="111"/>
      <c r="EF17145"/>
      <c r="EG17145"/>
      <c r="EH17145"/>
      <c r="EI17145"/>
      <c r="EJ17145"/>
      <c r="EK17145"/>
    </row>
    <row r="17146" spans="1:141" s="116" customFormat="1">
      <c r="A17146" s="136"/>
      <c r="CM17146" s="111"/>
      <c r="CQ17146" s="111"/>
      <c r="EF17146"/>
      <c r="EG17146"/>
      <c r="EH17146"/>
      <c r="EI17146"/>
      <c r="EJ17146"/>
      <c r="EK17146"/>
    </row>
    <row r="17147" spans="1:141" s="116" customFormat="1">
      <c r="A17147" s="136"/>
      <c r="CM17147" s="111"/>
      <c r="CQ17147" s="111"/>
      <c r="EF17147"/>
      <c r="EG17147"/>
      <c r="EH17147"/>
      <c r="EI17147"/>
      <c r="EJ17147"/>
      <c r="EK17147"/>
    </row>
    <row r="17148" spans="1:141" s="116" customFormat="1">
      <c r="A17148" s="136"/>
      <c r="CM17148" s="111"/>
      <c r="CQ17148" s="111"/>
      <c r="EF17148"/>
      <c r="EG17148"/>
      <c r="EH17148"/>
      <c r="EI17148"/>
      <c r="EJ17148"/>
      <c r="EK17148"/>
    </row>
    <row r="17149" spans="1:141" s="116" customFormat="1">
      <c r="A17149" s="136"/>
      <c r="CM17149" s="111"/>
      <c r="CQ17149" s="111"/>
      <c r="EF17149"/>
      <c r="EG17149"/>
      <c r="EH17149"/>
      <c r="EI17149"/>
      <c r="EJ17149"/>
      <c r="EK17149"/>
    </row>
    <row r="17150" spans="1:141" s="116" customFormat="1">
      <c r="A17150" s="136"/>
      <c r="CM17150" s="111"/>
      <c r="CQ17150" s="111"/>
      <c r="EF17150"/>
      <c r="EG17150"/>
      <c r="EH17150"/>
      <c r="EI17150"/>
      <c r="EJ17150"/>
      <c r="EK17150"/>
    </row>
    <row r="17151" spans="1:141" s="116" customFormat="1">
      <c r="A17151" s="136"/>
      <c r="CM17151" s="111"/>
      <c r="CQ17151" s="111"/>
      <c r="EF17151"/>
      <c r="EG17151"/>
      <c r="EH17151"/>
      <c r="EI17151"/>
      <c r="EJ17151"/>
      <c r="EK17151"/>
    </row>
    <row r="17152" spans="1:141" s="116" customFormat="1">
      <c r="A17152" s="136"/>
      <c r="CM17152" s="111"/>
      <c r="CQ17152" s="111"/>
      <c r="EF17152"/>
      <c r="EG17152"/>
      <c r="EH17152"/>
      <c r="EI17152"/>
      <c r="EJ17152"/>
      <c r="EK17152"/>
    </row>
    <row r="17153" spans="1:141" s="116" customFormat="1">
      <c r="A17153" s="136"/>
      <c r="CM17153" s="111"/>
      <c r="CQ17153" s="111"/>
      <c r="EF17153"/>
      <c r="EG17153"/>
      <c r="EH17153"/>
      <c r="EI17153"/>
      <c r="EJ17153"/>
      <c r="EK17153"/>
    </row>
    <row r="17154" spans="1:141" s="116" customFormat="1">
      <c r="A17154" s="136"/>
      <c r="CM17154" s="111"/>
      <c r="CQ17154" s="111"/>
      <c r="EF17154"/>
      <c r="EG17154"/>
      <c r="EH17154"/>
      <c r="EI17154"/>
      <c r="EJ17154"/>
      <c r="EK17154"/>
    </row>
    <row r="17155" spans="1:141" s="116" customFormat="1">
      <c r="A17155" s="136"/>
      <c r="CM17155" s="111"/>
      <c r="CQ17155" s="111"/>
      <c r="EF17155"/>
      <c r="EG17155"/>
      <c r="EH17155"/>
      <c r="EI17155"/>
      <c r="EJ17155"/>
      <c r="EK17155"/>
    </row>
    <row r="17156" spans="1:141" s="116" customFormat="1">
      <c r="A17156" s="136"/>
      <c r="CM17156" s="111"/>
      <c r="CQ17156" s="111"/>
      <c r="EF17156"/>
      <c r="EG17156"/>
      <c r="EH17156"/>
      <c r="EI17156"/>
      <c r="EJ17156"/>
      <c r="EK17156"/>
    </row>
    <row r="17157" spans="1:141" s="116" customFormat="1">
      <c r="A17157" s="136"/>
      <c r="CM17157" s="111"/>
      <c r="CQ17157" s="111"/>
      <c r="EF17157"/>
      <c r="EG17157"/>
      <c r="EH17157"/>
      <c r="EI17157"/>
      <c r="EJ17157"/>
      <c r="EK17157"/>
    </row>
    <row r="17158" spans="1:141" s="116" customFormat="1">
      <c r="A17158" s="136"/>
      <c r="CM17158" s="111"/>
      <c r="CQ17158" s="111"/>
      <c r="EF17158"/>
      <c r="EG17158"/>
      <c r="EH17158"/>
      <c r="EI17158"/>
      <c r="EJ17158"/>
      <c r="EK17158"/>
    </row>
    <row r="17159" spans="1:141" s="116" customFormat="1">
      <c r="A17159" s="136"/>
      <c r="CM17159" s="111"/>
      <c r="CQ17159" s="111"/>
      <c r="EF17159"/>
      <c r="EG17159"/>
      <c r="EH17159"/>
      <c r="EI17159"/>
      <c r="EJ17159"/>
      <c r="EK17159"/>
    </row>
    <row r="17160" spans="1:141" s="116" customFormat="1">
      <c r="A17160" s="136"/>
      <c r="CM17160" s="111"/>
      <c r="CQ17160" s="111"/>
      <c r="EF17160"/>
      <c r="EG17160"/>
      <c r="EH17160"/>
      <c r="EI17160"/>
      <c r="EJ17160"/>
      <c r="EK17160"/>
    </row>
    <row r="17161" spans="1:141" s="116" customFormat="1">
      <c r="A17161" s="136"/>
      <c r="CM17161" s="111"/>
      <c r="CQ17161" s="111"/>
      <c r="EF17161"/>
      <c r="EG17161"/>
      <c r="EH17161"/>
      <c r="EI17161"/>
      <c r="EJ17161"/>
      <c r="EK17161"/>
    </row>
    <row r="17162" spans="1:141" s="116" customFormat="1">
      <c r="A17162" s="136"/>
      <c r="CM17162" s="111"/>
      <c r="CQ17162" s="111"/>
      <c r="EF17162"/>
      <c r="EG17162"/>
      <c r="EH17162"/>
      <c r="EI17162"/>
      <c r="EJ17162"/>
      <c r="EK17162"/>
    </row>
    <row r="17163" spans="1:141" s="116" customFormat="1">
      <c r="A17163" s="136"/>
      <c r="CM17163" s="111"/>
      <c r="CQ17163" s="111"/>
      <c r="EF17163"/>
      <c r="EG17163"/>
      <c r="EH17163"/>
      <c r="EI17163"/>
      <c r="EJ17163"/>
      <c r="EK17163"/>
    </row>
    <row r="17164" spans="1:141" s="116" customFormat="1">
      <c r="A17164" s="136"/>
      <c r="CM17164" s="111"/>
      <c r="CQ17164" s="111"/>
      <c r="EF17164"/>
      <c r="EG17164"/>
      <c r="EH17164"/>
      <c r="EI17164"/>
      <c r="EJ17164"/>
      <c r="EK17164"/>
    </row>
    <row r="17165" spans="1:141" s="116" customFormat="1">
      <c r="A17165" s="136"/>
      <c r="CM17165" s="111"/>
      <c r="CQ17165" s="111"/>
      <c r="EF17165"/>
      <c r="EG17165"/>
      <c r="EH17165"/>
      <c r="EI17165"/>
      <c r="EJ17165"/>
      <c r="EK17165"/>
    </row>
    <row r="17166" spans="1:141" s="116" customFormat="1">
      <c r="A17166" s="136"/>
      <c r="CM17166" s="111"/>
      <c r="CQ17166" s="111"/>
      <c r="EF17166"/>
      <c r="EG17166"/>
      <c r="EH17166"/>
      <c r="EI17166"/>
      <c r="EJ17166"/>
      <c r="EK17166"/>
    </row>
    <row r="17167" spans="1:141" s="116" customFormat="1">
      <c r="A17167" s="136"/>
      <c r="CM17167" s="111"/>
      <c r="CQ17167" s="111"/>
      <c r="EF17167"/>
      <c r="EG17167"/>
      <c r="EH17167"/>
      <c r="EI17167"/>
      <c r="EJ17167"/>
      <c r="EK17167"/>
    </row>
    <row r="17168" spans="1:141" s="116" customFormat="1">
      <c r="A17168" s="136"/>
      <c r="CM17168" s="111"/>
      <c r="CQ17168" s="111"/>
      <c r="EF17168"/>
      <c r="EG17168"/>
      <c r="EH17168"/>
      <c r="EI17168"/>
      <c r="EJ17168"/>
      <c r="EK17168"/>
    </row>
    <row r="17169" spans="1:141" s="116" customFormat="1">
      <c r="A17169" s="136"/>
      <c r="CM17169" s="111"/>
      <c r="CQ17169" s="111"/>
      <c r="EF17169"/>
      <c r="EG17169"/>
      <c r="EH17169"/>
      <c r="EI17169"/>
      <c r="EJ17169"/>
      <c r="EK17169"/>
    </row>
    <row r="17170" spans="1:141" s="116" customFormat="1">
      <c r="A17170" s="136"/>
      <c r="CM17170" s="111"/>
      <c r="CQ17170" s="111"/>
      <c r="EF17170"/>
      <c r="EG17170"/>
      <c r="EH17170"/>
      <c r="EI17170"/>
      <c r="EJ17170"/>
      <c r="EK17170"/>
    </row>
    <row r="17171" spans="1:141" s="116" customFormat="1">
      <c r="A17171" s="136"/>
      <c r="CM17171" s="111"/>
      <c r="CQ17171" s="111"/>
      <c r="EF17171"/>
      <c r="EG17171"/>
      <c r="EH17171"/>
      <c r="EI17171"/>
      <c r="EJ17171"/>
      <c r="EK17171"/>
    </row>
    <row r="17172" spans="1:141" s="116" customFormat="1">
      <c r="A17172" s="136"/>
      <c r="CM17172" s="111"/>
      <c r="CQ17172" s="111"/>
      <c r="EF17172"/>
      <c r="EG17172"/>
      <c r="EH17172"/>
      <c r="EI17172"/>
      <c r="EJ17172"/>
      <c r="EK17172"/>
    </row>
    <row r="17173" spans="1:141" s="116" customFormat="1">
      <c r="A17173" s="136"/>
      <c r="CM17173" s="111"/>
      <c r="CQ17173" s="111"/>
      <c r="EF17173"/>
      <c r="EG17173"/>
      <c r="EH17173"/>
      <c r="EI17173"/>
      <c r="EJ17173"/>
      <c r="EK17173"/>
    </row>
    <row r="17174" spans="1:141" s="116" customFormat="1">
      <c r="A17174" s="136"/>
      <c r="CM17174" s="111"/>
      <c r="CQ17174" s="111"/>
      <c r="EF17174"/>
      <c r="EG17174"/>
      <c r="EH17174"/>
      <c r="EI17174"/>
      <c r="EJ17174"/>
      <c r="EK17174"/>
    </row>
    <row r="17175" spans="1:141" s="116" customFormat="1">
      <c r="A17175" s="136"/>
      <c r="CM17175" s="111"/>
      <c r="CQ17175" s="111"/>
      <c r="EF17175"/>
      <c r="EG17175"/>
      <c r="EH17175"/>
      <c r="EI17175"/>
      <c r="EJ17175"/>
      <c r="EK17175"/>
    </row>
    <row r="17176" spans="1:141" s="116" customFormat="1">
      <c r="A17176" s="136"/>
      <c r="CM17176" s="111"/>
      <c r="CQ17176" s="111"/>
      <c r="EF17176"/>
      <c r="EG17176"/>
      <c r="EH17176"/>
      <c r="EI17176"/>
      <c r="EJ17176"/>
      <c r="EK17176"/>
    </row>
    <row r="17177" spans="1:141" s="116" customFormat="1">
      <c r="A17177" s="136"/>
      <c r="CM17177" s="111"/>
      <c r="CQ17177" s="111"/>
      <c r="EF17177"/>
      <c r="EG17177"/>
      <c r="EH17177"/>
      <c r="EI17177"/>
      <c r="EJ17177"/>
      <c r="EK17177"/>
    </row>
    <row r="17178" spans="1:141" s="116" customFormat="1">
      <c r="A17178" s="136"/>
      <c r="CM17178" s="111"/>
      <c r="CQ17178" s="111"/>
      <c r="EF17178"/>
      <c r="EG17178"/>
      <c r="EH17178"/>
      <c r="EI17178"/>
      <c r="EJ17178"/>
      <c r="EK17178"/>
    </row>
    <row r="17179" spans="1:141" s="116" customFormat="1">
      <c r="A17179" s="136"/>
      <c r="CM17179" s="111"/>
      <c r="CQ17179" s="111"/>
      <c r="EF17179"/>
      <c r="EG17179"/>
      <c r="EH17179"/>
      <c r="EI17179"/>
      <c r="EJ17179"/>
      <c r="EK17179"/>
    </row>
    <row r="17180" spans="1:141" s="116" customFormat="1">
      <c r="A17180" s="136"/>
      <c r="CM17180" s="111"/>
      <c r="CQ17180" s="111"/>
      <c r="EF17180"/>
      <c r="EG17180"/>
      <c r="EH17180"/>
      <c r="EI17180"/>
      <c r="EJ17180"/>
      <c r="EK17180"/>
    </row>
    <row r="17181" spans="1:141" s="116" customFormat="1">
      <c r="A17181" s="136"/>
      <c r="CM17181" s="111"/>
      <c r="CQ17181" s="111"/>
      <c r="EF17181"/>
      <c r="EG17181"/>
      <c r="EH17181"/>
      <c r="EI17181"/>
      <c r="EJ17181"/>
      <c r="EK17181"/>
    </row>
    <row r="17182" spans="1:141" s="116" customFormat="1">
      <c r="A17182" s="136"/>
      <c r="CM17182" s="111"/>
      <c r="CQ17182" s="111"/>
      <c r="EF17182"/>
      <c r="EG17182"/>
      <c r="EH17182"/>
      <c r="EI17182"/>
      <c r="EJ17182"/>
      <c r="EK17182"/>
    </row>
    <row r="17183" spans="1:141" s="116" customFormat="1">
      <c r="A17183" s="136"/>
      <c r="CM17183" s="111"/>
      <c r="CQ17183" s="111"/>
      <c r="EF17183"/>
      <c r="EG17183"/>
      <c r="EH17183"/>
      <c r="EI17183"/>
      <c r="EJ17183"/>
      <c r="EK17183"/>
    </row>
    <row r="17184" spans="1:141" s="116" customFormat="1">
      <c r="A17184" s="136"/>
      <c r="CM17184" s="111"/>
      <c r="CQ17184" s="111"/>
      <c r="EF17184"/>
      <c r="EG17184"/>
      <c r="EH17184"/>
      <c r="EI17184"/>
      <c r="EJ17184"/>
      <c r="EK17184"/>
    </row>
    <row r="17185" spans="1:141" s="116" customFormat="1">
      <c r="A17185" s="136"/>
      <c r="CM17185" s="111"/>
      <c r="CQ17185" s="111"/>
      <c r="EF17185"/>
      <c r="EG17185"/>
      <c r="EH17185"/>
      <c r="EI17185"/>
      <c r="EJ17185"/>
      <c r="EK17185"/>
    </row>
    <row r="17186" spans="1:141" s="116" customFormat="1">
      <c r="A17186" s="136"/>
      <c r="CM17186" s="111"/>
      <c r="CQ17186" s="111"/>
      <c r="EF17186"/>
      <c r="EG17186"/>
      <c r="EH17186"/>
      <c r="EI17186"/>
      <c r="EJ17186"/>
      <c r="EK17186"/>
    </row>
    <row r="17187" spans="1:141" s="116" customFormat="1">
      <c r="A17187" s="136"/>
      <c r="CM17187" s="111"/>
      <c r="CQ17187" s="111"/>
      <c r="EF17187"/>
      <c r="EG17187"/>
      <c r="EH17187"/>
      <c r="EI17187"/>
      <c r="EJ17187"/>
      <c r="EK17187"/>
    </row>
    <row r="17188" spans="1:141" s="116" customFormat="1">
      <c r="A17188" s="136"/>
      <c r="CM17188" s="111"/>
      <c r="CQ17188" s="111"/>
      <c r="EF17188"/>
      <c r="EG17188"/>
      <c r="EH17188"/>
      <c r="EI17188"/>
      <c r="EJ17188"/>
      <c r="EK17188"/>
    </row>
    <row r="17189" spans="1:141" s="116" customFormat="1">
      <c r="A17189" s="136"/>
      <c r="CM17189" s="111"/>
      <c r="CQ17189" s="111"/>
      <c r="EF17189"/>
      <c r="EG17189"/>
      <c r="EH17189"/>
      <c r="EI17189"/>
      <c r="EJ17189"/>
      <c r="EK17189"/>
    </row>
    <row r="17190" spans="1:141" s="116" customFormat="1">
      <c r="A17190" s="136"/>
      <c r="CM17190" s="111"/>
      <c r="CQ17190" s="111"/>
      <c r="EF17190"/>
      <c r="EG17190"/>
      <c r="EH17190"/>
      <c r="EI17190"/>
      <c r="EJ17190"/>
      <c r="EK17190"/>
    </row>
    <row r="17191" spans="1:141" s="116" customFormat="1">
      <c r="A17191" s="136"/>
      <c r="CM17191" s="111"/>
      <c r="CQ17191" s="111"/>
      <c r="EF17191"/>
      <c r="EG17191"/>
      <c r="EH17191"/>
      <c r="EI17191"/>
      <c r="EJ17191"/>
      <c r="EK17191"/>
    </row>
    <row r="17192" spans="1:141" s="116" customFormat="1">
      <c r="A17192" s="136"/>
      <c r="CM17192" s="111"/>
      <c r="CQ17192" s="111"/>
      <c r="EF17192"/>
      <c r="EG17192"/>
      <c r="EH17192"/>
      <c r="EI17192"/>
      <c r="EJ17192"/>
      <c r="EK17192"/>
    </row>
    <row r="17193" spans="1:141" s="116" customFormat="1">
      <c r="A17193" s="136"/>
      <c r="CM17193" s="111"/>
      <c r="CQ17193" s="111"/>
      <c r="EF17193"/>
      <c r="EG17193"/>
      <c r="EH17193"/>
      <c r="EI17193"/>
      <c r="EJ17193"/>
      <c r="EK17193"/>
    </row>
    <row r="17194" spans="1:141" s="116" customFormat="1">
      <c r="A17194" s="136"/>
      <c r="CM17194" s="111"/>
      <c r="CQ17194" s="111"/>
      <c r="EF17194"/>
      <c r="EG17194"/>
      <c r="EH17194"/>
      <c r="EI17194"/>
      <c r="EJ17194"/>
      <c r="EK17194"/>
    </row>
    <row r="17195" spans="1:141" s="116" customFormat="1">
      <c r="A17195" s="136"/>
      <c r="CM17195" s="111"/>
      <c r="CQ17195" s="111"/>
      <c r="EF17195"/>
      <c r="EG17195"/>
      <c r="EH17195"/>
      <c r="EI17195"/>
      <c r="EJ17195"/>
      <c r="EK17195"/>
    </row>
    <row r="17196" spans="1:141" s="116" customFormat="1">
      <c r="A17196" s="136"/>
      <c r="CM17196" s="111"/>
      <c r="CQ17196" s="111"/>
      <c r="EF17196"/>
      <c r="EG17196"/>
      <c r="EH17196"/>
      <c r="EI17196"/>
      <c r="EJ17196"/>
      <c r="EK17196"/>
    </row>
    <row r="17197" spans="1:141" s="116" customFormat="1">
      <c r="A17197" s="136"/>
      <c r="CM17197" s="111"/>
      <c r="CQ17197" s="111"/>
      <c r="EF17197"/>
      <c r="EG17197"/>
      <c r="EH17197"/>
      <c r="EI17197"/>
      <c r="EJ17197"/>
      <c r="EK17197"/>
    </row>
    <row r="17198" spans="1:141" s="116" customFormat="1">
      <c r="A17198" s="136"/>
      <c r="CM17198" s="111"/>
      <c r="CQ17198" s="111"/>
      <c r="EF17198"/>
      <c r="EG17198"/>
      <c r="EH17198"/>
      <c r="EI17198"/>
      <c r="EJ17198"/>
      <c r="EK17198"/>
    </row>
    <row r="17199" spans="1:141" s="116" customFormat="1">
      <c r="A17199" s="136"/>
      <c r="CM17199" s="111"/>
      <c r="CQ17199" s="111"/>
      <c r="EF17199"/>
      <c r="EG17199"/>
      <c r="EH17199"/>
      <c r="EI17199"/>
      <c r="EJ17199"/>
      <c r="EK17199"/>
    </row>
    <row r="17200" spans="1:141" s="116" customFormat="1">
      <c r="A17200" s="136"/>
      <c r="CM17200" s="111"/>
      <c r="CQ17200" s="111"/>
      <c r="EF17200"/>
      <c r="EG17200"/>
      <c r="EH17200"/>
      <c r="EI17200"/>
      <c r="EJ17200"/>
      <c r="EK17200"/>
    </row>
    <row r="17201" spans="1:141" s="116" customFormat="1">
      <c r="A17201" s="136"/>
      <c r="CM17201" s="111"/>
      <c r="CQ17201" s="111"/>
      <c r="EF17201"/>
      <c r="EG17201"/>
      <c r="EH17201"/>
      <c r="EI17201"/>
      <c r="EJ17201"/>
      <c r="EK17201"/>
    </row>
    <row r="17202" spans="1:141" s="116" customFormat="1">
      <c r="A17202" s="136"/>
      <c r="CM17202" s="111"/>
      <c r="CQ17202" s="111"/>
      <c r="EF17202"/>
      <c r="EG17202"/>
      <c r="EH17202"/>
      <c r="EI17202"/>
      <c r="EJ17202"/>
      <c r="EK17202"/>
    </row>
    <row r="17203" spans="1:141" s="116" customFormat="1">
      <c r="A17203" s="136"/>
      <c r="CM17203" s="111"/>
      <c r="CQ17203" s="111"/>
      <c r="EF17203"/>
      <c r="EG17203"/>
      <c r="EH17203"/>
      <c r="EI17203"/>
      <c r="EJ17203"/>
      <c r="EK17203"/>
    </row>
    <row r="17204" spans="1:141" s="116" customFormat="1">
      <c r="A17204" s="136"/>
      <c r="CM17204" s="111"/>
      <c r="CQ17204" s="111"/>
      <c r="EF17204"/>
      <c r="EG17204"/>
      <c r="EH17204"/>
      <c r="EI17204"/>
      <c r="EJ17204"/>
      <c r="EK17204"/>
    </row>
    <row r="17205" spans="1:141" s="116" customFormat="1">
      <c r="A17205" s="136"/>
      <c r="CM17205" s="111"/>
      <c r="CQ17205" s="111"/>
      <c r="EF17205"/>
      <c r="EG17205"/>
      <c r="EH17205"/>
      <c r="EI17205"/>
      <c r="EJ17205"/>
      <c r="EK17205"/>
    </row>
    <row r="17206" spans="1:141" s="116" customFormat="1">
      <c r="A17206" s="136"/>
      <c r="CM17206" s="111"/>
      <c r="CQ17206" s="111"/>
      <c r="EF17206"/>
      <c r="EG17206"/>
      <c r="EH17206"/>
      <c r="EI17206"/>
      <c r="EJ17206"/>
      <c r="EK17206"/>
    </row>
    <row r="17207" spans="1:141" s="116" customFormat="1">
      <c r="A17207" s="136"/>
      <c r="CM17207" s="111"/>
      <c r="CQ17207" s="111"/>
      <c r="EF17207"/>
      <c r="EG17207"/>
      <c r="EH17207"/>
      <c r="EI17207"/>
      <c r="EJ17207"/>
      <c r="EK17207"/>
    </row>
    <row r="17208" spans="1:141" s="116" customFormat="1">
      <c r="A17208" s="136"/>
      <c r="CM17208" s="111"/>
      <c r="CQ17208" s="111"/>
      <c r="EF17208"/>
      <c r="EG17208"/>
      <c r="EH17208"/>
      <c r="EI17208"/>
      <c r="EJ17208"/>
      <c r="EK17208"/>
    </row>
    <row r="17209" spans="1:141" s="116" customFormat="1">
      <c r="A17209" s="136"/>
      <c r="CM17209" s="111"/>
      <c r="CQ17209" s="111"/>
      <c r="EF17209"/>
      <c r="EG17209"/>
      <c r="EH17209"/>
      <c r="EI17209"/>
      <c r="EJ17209"/>
      <c r="EK17209"/>
    </row>
    <row r="17210" spans="1:141" s="116" customFormat="1">
      <c r="A17210" s="136"/>
      <c r="CM17210" s="111"/>
      <c r="CQ17210" s="111"/>
      <c r="EF17210"/>
      <c r="EG17210"/>
      <c r="EH17210"/>
      <c r="EI17210"/>
      <c r="EJ17210"/>
      <c r="EK17210"/>
    </row>
    <row r="17211" spans="1:141" s="116" customFormat="1">
      <c r="A17211" s="136"/>
      <c r="CM17211" s="111"/>
      <c r="CQ17211" s="111"/>
      <c r="EF17211"/>
      <c r="EG17211"/>
      <c r="EH17211"/>
      <c r="EI17211"/>
      <c r="EJ17211"/>
      <c r="EK17211"/>
    </row>
    <row r="17212" spans="1:141" s="116" customFormat="1">
      <c r="A17212" s="136"/>
      <c r="CM17212" s="111"/>
      <c r="CQ17212" s="111"/>
      <c r="EF17212"/>
      <c r="EG17212"/>
      <c r="EH17212"/>
      <c r="EI17212"/>
      <c r="EJ17212"/>
      <c r="EK17212"/>
    </row>
    <row r="17213" spans="1:141" s="116" customFormat="1">
      <c r="A17213" s="136"/>
      <c r="CM17213" s="111"/>
      <c r="CQ17213" s="111"/>
      <c r="EF17213"/>
      <c r="EG17213"/>
      <c r="EH17213"/>
      <c r="EI17213"/>
      <c r="EJ17213"/>
      <c r="EK17213"/>
    </row>
    <row r="17214" spans="1:141" s="116" customFormat="1">
      <c r="A17214" s="136"/>
      <c r="CM17214" s="111"/>
      <c r="CQ17214" s="111"/>
      <c r="EF17214"/>
      <c r="EG17214"/>
      <c r="EH17214"/>
      <c r="EI17214"/>
      <c r="EJ17214"/>
      <c r="EK17214"/>
    </row>
    <row r="17215" spans="1:141" s="116" customFormat="1">
      <c r="A17215" s="136"/>
      <c r="CM17215" s="111"/>
      <c r="CQ17215" s="111"/>
      <c r="EF17215"/>
      <c r="EG17215"/>
      <c r="EH17215"/>
      <c r="EI17215"/>
      <c r="EJ17215"/>
      <c r="EK17215"/>
    </row>
    <row r="17216" spans="1:141" s="116" customFormat="1">
      <c r="A17216" s="136"/>
      <c r="CM17216" s="111"/>
      <c r="CQ17216" s="111"/>
      <c r="EF17216"/>
      <c r="EG17216"/>
      <c r="EH17216"/>
      <c r="EI17216"/>
      <c r="EJ17216"/>
      <c r="EK17216"/>
    </row>
    <row r="17217" spans="1:141" s="116" customFormat="1">
      <c r="A17217" s="136"/>
      <c r="CM17217" s="111"/>
      <c r="CQ17217" s="111"/>
      <c r="EF17217"/>
      <c r="EG17217"/>
      <c r="EH17217"/>
      <c r="EI17217"/>
      <c r="EJ17217"/>
      <c r="EK17217"/>
    </row>
    <row r="17218" spans="1:141" s="116" customFormat="1">
      <c r="A17218" s="136"/>
      <c r="CM17218" s="111"/>
      <c r="CQ17218" s="111"/>
      <c r="EF17218"/>
      <c r="EG17218"/>
      <c r="EH17218"/>
      <c r="EI17218"/>
      <c r="EJ17218"/>
      <c r="EK17218"/>
    </row>
    <row r="17219" spans="1:141" s="116" customFormat="1">
      <c r="A17219" s="136"/>
      <c r="CM17219" s="111"/>
      <c r="CQ17219" s="111"/>
      <c r="EF17219"/>
      <c r="EG17219"/>
      <c r="EH17219"/>
      <c r="EI17219"/>
      <c r="EJ17219"/>
      <c r="EK17219"/>
    </row>
    <row r="17220" spans="1:141" s="116" customFormat="1">
      <c r="A17220" s="136"/>
      <c r="CM17220" s="111"/>
      <c r="CQ17220" s="111"/>
      <c r="EF17220"/>
      <c r="EG17220"/>
      <c r="EH17220"/>
      <c r="EI17220"/>
      <c r="EJ17220"/>
      <c r="EK17220"/>
    </row>
    <row r="17221" spans="1:141" s="116" customFormat="1">
      <c r="A17221" s="136"/>
      <c r="CM17221" s="111"/>
      <c r="CQ17221" s="111"/>
      <c r="EF17221"/>
      <c r="EG17221"/>
      <c r="EH17221"/>
      <c r="EI17221"/>
      <c r="EJ17221"/>
      <c r="EK17221"/>
    </row>
    <row r="17222" spans="1:141" s="116" customFormat="1">
      <c r="A17222" s="136"/>
      <c r="CM17222" s="111"/>
      <c r="CQ17222" s="111"/>
      <c r="EF17222"/>
      <c r="EG17222"/>
      <c r="EH17222"/>
      <c r="EI17222"/>
      <c r="EJ17222"/>
      <c r="EK17222"/>
    </row>
    <row r="17223" spans="1:141" s="116" customFormat="1">
      <c r="A17223" s="136"/>
      <c r="CM17223" s="111"/>
      <c r="CQ17223" s="111"/>
      <c r="EF17223"/>
      <c r="EG17223"/>
      <c r="EH17223"/>
      <c r="EI17223"/>
      <c r="EJ17223"/>
      <c r="EK17223"/>
    </row>
    <row r="17224" spans="1:141" s="116" customFormat="1">
      <c r="A17224" s="136"/>
      <c r="CM17224" s="111"/>
      <c r="CQ17224" s="111"/>
      <c r="EF17224"/>
      <c r="EG17224"/>
      <c r="EH17224"/>
      <c r="EI17224"/>
      <c r="EJ17224"/>
      <c r="EK17224"/>
    </row>
    <row r="17225" spans="1:141" s="116" customFormat="1">
      <c r="A17225" s="136"/>
      <c r="CM17225" s="111"/>
      <c r="CQ17225" s="111"/>
      <c r="EF17225"/>
      <c r="EG17225"/>
      <c r="EH17225"/>
      <c r="EI17225"/>
      <c r="EJ17225"/>
      <c r="EK17225"/>
    </row>
    <row r="17226" spans="1:141" s="116" customFormat="1">
      <c r="A17226" s="136"/>
      <c r="CM17226" s="111"/>
      <c r="CQ17226" s="111"/>
      <c r="EF17226"/>
      <c r="EG17226"/>
      <c r="EH17226"/>
      <c r="EI17226"/>
      <c r="EJ17226"/>
      <c r="EK17226"/>
    </row>
    <row r="17227" spans="1:141" s="116" customFormat="1">
      <c r="A17227" s="136"/>
      <c r="CM17227" s="111"/>
      <c r="CQ17227" s="111"/>
      <c r="EF17227"/>
      <c r="EG17227"/>
      <c r="EH17227"/>
      <c r="EI17227"/>
      <c r="EJ17227"/>
      <c r="EK17227"/>
    </row>
    <row r="17228" spans="1:141" s="116" customFormat="1">
      <c r="A17228" s="136"/>
      <c r="CM17228" s="111"/>
      <c r="CQ17228" s="111"/>
      <c r="EF17228"/>
      <c r="EG17228"/>
      <c r="EH17228"/>
      <c r="EI17228"/>
      <c r="EJ17228"/>
      <c r="EK17228"/>
    </row>
    <row r="17229" spans="1:141" s="116" customFormat="1">
      <c r="A17229" s="136"/>
      <c r="CM17229" s="111"/>
      <c r="CQ17229" s="111"/>
      <c r="EF17229"/>
      <c r="EG17229"/>
      <c r="EH17229"/>
      <c r="EI17229"/>
      <c r="EJ17229"/>
      <c r="EK17229"/>
    </row>
    <row r="17230" spans="1:141" s="116" customFormat="1">
      <c r="A17230" s="136"/>
      <c r="CM17230" s="111"/>
      <c r="CQ17230" s="111"/>
      <c r="EF17230"/>
      <c r="EG17230"/>
      <c r="EH17230"/>
      <c r="EI17230"/>
      <c r="EJ17230"/>
      <c r="EK17230"/>
    </row>
    <row r="17231" spans="1:141" s="116" customFormat="1">
      <c r="A17231" s="136"/>
      <c r="CM17231" s="111"/>
      <c r="CQ17231" s="111"/>
      <c r="EF17231"/>
      <c r="EG17231"/>
      <c r="EH17231"/>
      <c r="EI17231"/>
      <c r="EJ17231"/>
      <c r="EK17231"/>
    </row>
    <row r="17232" spans="1:141" s="116" customFormat="1">
      <c r="A17232" s="136"/>
      <c r="CM17232" s="111"/>
      <c r="CQ17232" s="111"/>
      <c r="EF17232"/>
      <c r="EG17232"/>
      <c r="EH17232"/>
      <c r="EI17232"/>
      <c r="EJ17232"/>
      <c r="EK17232"/>
    </row>
    <row r="17233" spans="1:141" s="116" customFormat="1">
      <c r="A17233" s="136"/>
      <c r="CM17233" s="111"/>
      <c r="CQ17233" s="111"/>
      <c r="EF17233"/>
      <c r="EG17233"/>
      <c r="EH17233"/>
      <c r="EI17233"/>
      <c r="EJ17233"/>
      <c r="EK17233"/>
    </row>
    <row r="17234" spans="1:141" s="116" customFormat="1">
      <c r="A17234" s="136"/>
      <c r="CM17234" s="111"/>
      <c r="CQ17234" s="111"/>
      <c r="EF17234"/>
      <c r="EG17234"/>
      <c r="EH17234"/>
      <c r="EI17234"/>
      <c r="EJ17234"/>
      <c r="EK17234"/>
    </row>
    <row r="17235" spans="1:141" s="116" customFormat="1">
      <c r="A17235" s="136"/>
      <c r="CM17235" s="111"/>
      <c r="CQ17235" s="111"/>
      <c r="EF17235"/>
      <c r="EG17235"/>
      <c r="EH17235"/>
      <c r="EI17235"/>
      <c r="EJ17235"/>
      <c r="EK17235"/>
    </row>
    <row r="17236" spans="1:141" s="116" customFormat="1">
      <c r="A17236" s="136"/>
      <c r="CM17236" s="111"/>
      <c r="CQ17236" s="111"/>
      <c r="EF17236"/>
      <c r="EG17236"/>
      <c r="EH17236"/>
      <c r="EI17236"/>
      <c r="EJ17236"/>
      <c r="EK17236"/>
    </row>
    <row r="17237" spans="1:141" s="116" customFormat="1">
      <c r="A17237" s="136"/>
      <c r="CM17237" s="111"/>
      <c r="CQ17237" s="111"/>
      <c r="EF17237"/>
      <c r="EG17237"/>
      <c r="EH17237"/>
      <c r="EI17237"/>
      <c r="EJ17237"/>
      <c r="EK17237"/>
    </row>
    <row r="17238" spans="1:141" s="116" customFormat="1">
      <c r="A17238" s="136"/>
      <c r="CM17238" s="111"/>
      <c r="CQ17238" s="111"/>
      <c r="EF17238"/>
      <c r="EG17238"/>
      <c r="EH17238"/>
      <c r="EI17238"/>
      <c r="EJ17238"/>
      <c r="EK17238"/>
    </row>
    <row r="17239" spans="1:141" s="116" customFormat="1">
      <c r="A17239" s="136"/>
      <c r="CM17239" s="111"/>
      <c r="CQ17239" s="111"/>
      <c r="EF17239"/>
      <c r="EG17239"/>
      <c r="EH17239"/>
      <c r="EI17239"/>
      <c r="EJ17239"/>
      <c r="EK17239"/>
    </row>
    <row r="17240" spans="1:141" s="116" customFormat="1">
      <c r="A17240" s="136"/>
      <c r="CM17240" s="111"/>
      <c r="CQ17240" s="111"/>
      <c r="EF17240"/>
      <c r="EG17240"/>
      <c r="EH17240"/>
      <c r="EI17240"/>
      <c r="EJ17240"/>
      <c r="EK17240"/>
    </row>
    <row r="17241" spans="1:141" s="116" customFormat="1">
      <c r="A17241" s="136"/>
      <c r="CM17241" s="111"/>
      <c r="CQ17241" s="111"/>
      <c r="EF17241"/>
      <c r="EG17241"/>
      <c r="EH17241"/>
      <c r="EI17241"/>
      <c r="EJ17241"/>
      <c r="EK17241"/>
    </row>
    <row r="17242" spans="1:141" s="116" customFormat="1">
      <c r="A17242" s="136"/>
      <c r="CM17242" s="111"/>
      <c r="CQ17242" s="111"/>
      <c r="EF17242"/>
      <c r="EG17242"/>
      <c r="EH17242"/>
      <c r="EI17242"/>
      <c r="EJ17242"/>
      <c r="EK17242"/>
    </row>
    <row r="17243" spans="1:141" s="116" customFormat="1">
      <c r="A17243" s="136"/>
      <c r="CM17243" s="111"/>
      <c r="CQ17243" s="111"/>
      <c r="EF17243"/>
      <c r="EG17243"/>
      <c r="EH17243"/>
      <c r="EI17243"/>
      <c r="EJ17243"/>
      <c r="EK17243"/>
    </row>
    <row r="17244" spans="1:141" s="116" customFormat="1">
      <c r="A17244" s="136"/>
      <c r="CM17244" s="111"/>
      <c r="CQ17244" s="111"/>
      <c r="EF17244"/>
      <c r="EG17244"/>
      <c r="EH17244"/>
      <c r="EI17244"/>
      <c r="EJ17244"/>
      <c r="EK17244"/>
    </row>
    <row r="17245" spans="1:141" s="116" customFormat="1">
      <c r="A17245" s="136"/>
      <c r="CM17245" s="111"/>
      <c r="CQ17245" s="111"/>
      <c r="EF17245"/>
      <c r="EG17245"/>
      <c r="EH17245"/>
      <c r="EI17245"/>
      <c r="EJ17245"/>
      <c r="EK17245"/>
    </row>
    <row r="17246" spans="1:141" s="116" customFormat="1">
      <c r="A17246" s="136"/>
      <c r="CM17246" s="111"/>
      <c r="CQ17246" s="111"/>
      <c r="EF17246"/>
      <c r="EG17246"/>
      <c r="EH17246"/>
      <c r="EI17246"/>
      <c r="EJ17246"/>
      <c r="EK17246"/>
    </row>
    <row r="17247" spans="1:141" s="116" customFormat="1">
      <c r="A17247" s="136"/>
      <c r="CM17247" s="111"/>
      <c r="CQ17247" s="111"/>
      <c r="EF17247"/>
      <c r="EG17247"/>
      <c r="EH17247"/>
      <c r="EI17247"/>
      <c r="EJ17247"/>
      <c r="EK17247"/>
    </row>
    <row r="17248" spans="1:141" s="116" customFormat="1">
      <c r="A17248" s="136"/>
      <c r="CM17248" s="111"/>
      <c r="CQ17248" s="111"/>
      <c r="EF17248"/>
      <c r="EG17248"/>
      <c r="EH17248"/>
      <c r="EI17248"/>
      <c r="EJ17248"/>
      <c r="EK17248"/>
    </row>
    <row r="17249" spans="1:141" s="116" customFormat="1">
      <c r="A17249" s="136"/>
      <c r="CM17249" s="111"/>
      <c r="CQ17249" s="111"/>
      <c r="EF17249"/>
      <c r="EG17249"/>
      <c r="EH17249"/>
      <c r="EI17249"/>
      <c r="EJ17249"/>
      <c r="EK17249"/>
    </row>
    <row r="17250" spans="1:141" s="116" customFormat="1">
      <c r="A17250" s="136"/>
      <c r="CM17250" s="111"/>
      <c r="CQ17250" s="111"/>
      <c r="EF17250"/>
      <c r="EG17250"/>
      <c r="EH17250"/>
      <c r="EI17250"/>
      <c r="EJ17250"/>
      <c r="EK17250"/>
    </row>
    <row r="17251" spans="1:141" s="116" customFormat="1">
      <c r="A17251" s="136"/>
      <c r="CM17251" s="111"/>
      <c r="CQ17251" s="111"/>
      <c r="EF17251"/>
      <c r="EG17251"/>
      <c r="EH17251"/>
      <c r="EI17251"/>
      <c r="EJ17251"/>
      <c r="EK17251"/>
    </row>
    <row r="17252" spans="1:141" s="116" customFormat="1">
      <c r="A17252" s="136"/>
      <c r="CM17252" s="111"/>
      <c r="CQ17252" s="111"/>
      <c r="EF17252"/>
      <c r="EG17252"/>
      <c r="EH17252"/>
      <c r="EI17252"/>
      <c r="EJ17252"/>
      <c r="EK17252"/>
    </row>
    <row r="17253" spans="1:141" s="116" customFormat="1">
      <c r="A17253" s="136"/>
      <c r="CM17253" s="111"/>
      <c r="CQ17253" s="111"/>
      <c r="EF17253"/>
      <c r="EG17253"/>
      <c r="EH17253"/>
      <c r="EI17253"/>
      <c r="EJ17253"/>
      <c r="EK17253"/>
    </row>
    <row r="17254" spans="1:141" s="116" customFormat="1">
      <c r="A17254" s="136"/>
      <c r="CM17254" s="111"/>
      <c r="CQ17254" s="111"/>
      <c r="EF17254"/>
      <c r="EG17254"/>
      <c r="EH17254"/>
      <c r="EI17254"/>
      <c r="EJ17254"/>
      <c r="EK17254"/>
    </row>
    <row r="17255" spans="1:141" s="116" customFormat="1">
      <c r="A17255" s="136"/>
      <c r="CM17255" s="111"/>
      <c r="CQ17255" s="111"/>
      <c r="EF17255"/>
      <c r="EG17255"/>
      <c r="EH17255"/>
      <c r="EI17255"/>
      <c r="EJ17255"/>
      <c r="EK17255"/>
    </row>
    <row r="17256" spans="1:141" s="116" customFormat="1">
      <c r="A17256" s="136"/>
      <c r="CM17256" s="111"/>
      <c r="CQ17256" s="111"/>
      <c r="EF17256"/>
      <c r="EG17256"/>
      <c r="EH17256"/>
      <c r="EI17256"/>
      <c r="EJ17256"/>
      <c r="EK17256"/>
    </row>
    <row r="17257" spans="1:141" s="116" customFormat="1">
      <c r="A17257" s="136"/>
      <c r="CM17257" s="111"/>
      <c r="CQ17257" s="111"/>
      <c r="EF17257"/>
      <c r="EG17257"/>
      <c r="EH17257"/>
      <c r="EI17257"/>
      <c r="EJ17257"/>
      <c r="EK17257"/>
    </row>
    <row r="17258" spans="1:141" s="116" customFormat="1">
      <c r="A17258" s="136"/>
      <c r="CM17258" s="111"/>
      <c r="CQ17258" s="111"/>
      <c r="EF17258"/>
      <c r="EG17258"/>
      <c r="EH17258"/>
      <c r="EI17258"/>
      <c r="EJ17258"/>
      <c r="EK17258"/>
    </row>
    <row r="17259" spans="1:141" s="116" customFormat="1">
      <c r="A17259" s="136"/>
      <c r="CM17259" s="111"/>
      <c r="CQ17259" s="111"/>
      <c r="EF17259"/>
      <c r="EG17259"/>
      <c r="EH17259"/>
      <c r="EI17259"/>
      <c r="EJ17259"/>
      <c r="EK17259"/>
    </row>
    <row r="17260" spans="1:141" s="116" customFormat="1">
      <c r="A17260" s="136"/>
      <c r="CM17260" s="111"/>
      <c r="CQ17260" s="111"/>
      <c r="EF17260"/>
      <c r="EG17260"/>
      <c r="EH17260"/>
      <c r="EI17260"/>
      <c r="EJ17260"/>
      <c r="EK17260"/>
    </row>
    <row r="17261" spans="1:141" s="116" customFormat="1">
      <c r="A17261" s="136"/>
      <c r="CM17261" s="111"/>
      <c r="CQ17261" s="111"/>
      <c r="EF17261"/>
      <c r="EG17261"/>
      <c r="EH17261"/>
      <c r="EI17261"/>
      <c r="EJ17261"/>
      <c r="EK17261"/>
    </row>
    <row r="17262" spans="1:141" s="116" customFormat="1">
      <c r="A17262" s="136"/>
      <c r="CM17262" s="111"/>
      <c r="CQ17262" s="111"/>
      <c r="EF17262"/>
      <c r="EG17262"/>
      <c r="EH17262"/>
      <c r="EI17262"/>
      <c r="EJ17262"/>
      <c r="EK17262"/>
    </row>
    <row r="17263" spans="1:141" s="116" customFormat="1">
      <c r="A17263" s="136"/>
      <c r="CM17263" s="111"/>
      <c r="CQ17263" s="111"/>
      <c r="EF17263"/>
      <c r="EG17263"/>
      <c r="EH17263"/>
      <c r="EI17263"/>
      <c r="EJ17263"/>
      <c r="EK17263"/>
    </row>
    <row r="17264" spans="1:141" s="116" customFormat="1">
      <c r="A17264" s="136"/>
      <c r="CM17264" s="111"/>
      <c r="CQ17264" s="111"/>
      <c r="EF17264"/>
      <c r="EG17264"/>
      <c r="EH17264"/>
      <c r="EI17264"/>
      <c r="EJ17264"/>
      <c r="EK17264"/>
    </row>
    <row r="17265" spans="1:141" s="116" customFormat="1">
      <c r="A17265" s="136"/>
      <c r="CM17265" s="111"/>
      <c r="CQ17265" s="111"/>
      <c r="EF17265"/>
      <c r="EG17265"/>
      <c r="EH17265"/>
      <c r="EI17265"/>
      <c r="EJ17265"/>
      <c r="EK17265"/>
    </row>
    <row r="17266" spans="1:141" s="116" customFormat="1">
      <c r="A17266" s="136"/>
      <c r="CM17266" s="111"/>
      <c r="CQ17266" s="111"/>
      <c r="EF17266"/>
      <c r="EG17266"/>
      <c r="EH17266"/>
      <c r="EI17266"/>
      <c r="EJ17266"/>
      <c r="EK17266"/>
    </row>
    <row r="17267" spans="1:141" s="116" customFormat="1">
      <c r="A17267" s="136"/>
      <c r="CM17267" s="111"/>
      <c r="CQ17267" s="111"/>
      <c r="EF17267"/>
      <c r="EG17267"/>
      <c r="EH17267"/>
      <c r="EI17267"/>
      <c r="EJ17267"/>
      <c r="EK17267"/>
    </row>
    <row r="17268" spans="1:141" s="116" customFormat="1">
      <c r="A17268" s="136"/>
      <c r="CM17268" s="111"/>
      <c r="CQ17268" s="111"/>
      <c r="EF17268"/>
      <c r="EG17268"/>
      <c r="EH17268"/>
      <c r="EI17268"/>
      <c r="EJ17268"/>
      <c r="EK17268"/>
    </row>
    <row r="17269" spans="1:141" s="116" customFormat="1">
      <c r="A17269" s="136"/>
      <c r="CM17269" s="111"/>
      <c r="CQ17269" s="111"/>
      <c r="EF17269"/>
      <c r="EG17269"/>
      <c r="EH17269"/>
      <c r="EI17269"/>
      <c r="EJ17269"/>
      <c r="EK17269"/>
    </row>
    <row r="17270" spans="1:141" s="116" customFormat="1">
      <c r="A17270" s="136"/>
      <c r="CM17270" s="111"/>
      <c r="CQ17270" s="111"/>
      <c r="EF17270"/>
      <c r="EG17270"/>
      <c r="EH17270"/>
      <c r="EI17270"/>
      <c r="EJ17270"/>
      <c r="EK17270"/>
    </row>
    <row r="17271" spans="1:141" s="116" customFormat="1">
      <c r="A17271" s="136"/>
      <c r="CM17271" s="111"/>
      <c r="CQ17271" s="111"/>
      <c r="EF17271"/>
      <c r="EG17271"/>
      <c r="EH17271"/>
      <c r="EI17271"/>
      <c r="EJ17271"/>
      <c r="EK17271"/>
    </row>
    <row r="17272" spans="1:141" s="116" customFormat="1">
      <c r="A17272" s="136"/>
      <c r="CM17272" s="111"/>
      <c r="CQ17272" s="111"/>
      <c r="EF17272"/>
      <c r="EG17272"/>
      <c r="EH17272"/>
      <c r="EI17272"/>
      <c r="EJ17272"/>
      <c r="EK17272"/>
    </row>
    <row r="17273" spans="1:141" s="116" customFormat="1">
      <c r="A17273" s="136"/>
      <c r="CM17273" s="111"/>
      <c r="CQ17273" s="111"/>
      <c r="EF17273"/>
      <c r="EG17273"/>
      <c r="EH17273"/>
      <c r="EI17273"/>
      <c r="EJ17273"/>
      <c r="EK17273"/>
    </row>
    <row r="17274" spans="1:141" s="116" customFormat="1">
      <c r="A17274" s="136"/>
      <c r="CM17274" s="111"/>
      <c r="CQ17274" s="111"/>
      <c r="EF17274"/>
      <c r="EG17274"/>
      <c r="EH17274"/>
      <c r="EI17274"/>
      <c r="EJ17274"/>
      <c r="EK17274"/>
    </row>
    <row r="17275" spans="1:141" s="116" customFormat="1">
      <c r="A17275" s="136"/>
      <c r="CM17275" s="111"/>
      <c r="CQ17275" s="111"/>
      <c r="EF17275"/>
      <c r="EG17275"/>
      <c r="EH17275"/>
      <c r="EI17275"/>
      <c r="EJ17275"/>
      <c r="EK17275"/>
    </row>
    <row r="17276" spans="1:141" s="116" customFormat="1">
      <c r="A17276" s="136"/>
      <c r="CM17276" s="111"/>
      <c r="CQ17276" s="111"/>
      <c r="EF17276"/>
      <c r="EG17276"/>
      <c r="EH17276"/>
      <c r="EI17276"/>
      <c r="EJ17276"/>
      <c r="EK17276"/>
    </row>
    <row r="17277" spans="1:141" s="116" customFormat="1">
      <c r="A17277" s="136"/>
      <c r="CM17277" s="111"/>
      <c r="CQ17277" s="111"/>
      <c r="EF17277"/>
      <c r="EG17277"/>
      <c r="EH17277"/>
      <c r="EI17277"/>
      <c r="EJ17277"/>
      <c r="EK17277"/>
    </row>
    <row r="17278" spans="1:141" s="116" customFormat="1">
      <c r="A17278" s="136"/>
      <c r="CM17278" s="111"/>
      <c r="CQ17278" s="111"/>
      <c r="EF17278"/>
      <c r="EG17278"/>
      <c r="EH17278"/>
      <c r="EI17278"/>
      <c r="EJ17278"/>
      <c r="EK17278"/>
    </row>
    <row r="17279" spans="1:141" s="116" customFormat="1">
      <c r="A17279" s="136"/>
      <c r="CM17279" s="111"/>
      <c r="CQ17279" s="111"/>
      <c r="EF17279"/>
      <c r="EG17279"/>
      <c r="EH17279"/>
      <c r="EI17279"/>
      <c r="EJ17279"/>
      <c r="EK17279"/>
    </row>
    <row r="17280" spans="1:141" s="116" customFormat="1">
      <c r="A17280" s="136"/>
      <c r="CM17280" s="111"/>
      <c r="CQ17280" s="111"/>
      <c r="EF17280"/>
      <c r="EG17280"/>
      <c r="EH17280"/>
      <c r="EI17280"/>
      <c r="EJ17280"/>
      <c r="EK17280"/>
    </row>
    <row r="17281" spans="1:141" s="116" customFormat="1">
      <c r="A17281" s="136"/>
      <c r="CM17281" s="111"/>
      <c r="CQ17281" s="111"/>
      <c r="EF17281"/>
      <c r="EG17281"/>
      <c r="EH17281"/>
      <c r="EI17281"/>
      <c r="EJ17281"/>
      <c r="EK17281"/>
    </row>
    <row r="17282" spans="1:141" s="116" customFormat="1">
      <c r="A17282" s="136"/>
      <c r="CM17282" s="111"/>
      <c r="CQ17282" s="111"/>
      <c r="EF17282"/>
      <c r="EG17282"/>
      <c r="EH17282"/>
      <c r="EI17282"/>
      <c r="EJ17282"/>
      <c r="EK17282"/>
    </row>
    <row r="17283" spans="1:141" s="116" customFormat="1">
      <c r="A17283" s="136"/>
      <c r="CM17283" s="111"/>
      <c r="CQ17283" s="111"/>
      <c r="EF17283"/>
      <c r="EG17283"/>
      <c r="EH17283"/>
      <c r="EI17283"/>
      <c r="EJ17283"/>
      <c r="EK17283"/>
    </row>
    <row r="17284" spans="1:141" s="116" customFormat="1">
      <c r="A17284" s="136"/>
      <c r="CM17284" s="111"/>
      <c r="CQ17284" s="111"/>
      <c r="EF17284"/>
      <c r="EG17284"/>
      <c r="EH17284"/>
      <c r="EI17284"/>
      <c r="EJ17284"/>
      <c r="EK17284"/>
    </row>
    <row r="17285" spans="1:141" s="116" customFormat="1">
      <c r="A17285" s="136"/>
      <c r="CM17285" s="111"/>
      <c r="CQ17285" s="111"/>
      <c r="EF17285"/>
      <c r="EG17285"/>
      <c r="EH17285"/>
      <c r="EI17285"/>
      <c r="EJ17285"/>
      <c r="EK17285"/>
    </row>
    <row r="17286" spans="1:141" s="116" customFormat="1">
      <c r="A17286" s="136"/>
      <c r="CM17286" s="111"/>
      <c r="CQ17286" s="111"/>
      <c r="EF17286"/>
      <c r="EG17286"/>
      <c r="EH17286"/>
      <c r="EI17286"/>
      <c r="EJ17286"/>
      <c r="EK17286"/>
    </row>
    <row r="17287" spans="1:141" s="116" customFormat="1">
      <c r="A17287" s="136"/>
      <c r="CM17287" s="111"/>
      <c r="CQ17287" s="111"/>
      <c r="EF17287"/>
      <c r="EG17287"/>
      <c r="EH17287"/>
      <c r="EI17287"/>
      <c r="EJ17287"/>
      <c r="EK17287"/>
    </row>
    <row r="17288" spans="1:141" s="116" customFormat="1">
      <c r="A17288" s="136"/>
      <c r="CM17288" s="111"/>
      <c r="CQ17288" s="111"/>
      <c r="EF17288"/>
      <c r="EG17288"/>
      <c r="EH17288"/>
      <c r="EI17288"/>
      <c r="EJ17288"/>
      <c r="EK17288"/>
    </row>
    <row r="17289" spans="1:141" s="116" customFormat="1">
      <c r="A17289" s="136"/>
      <c r="CM17289" s="111"/>
      <c r="CQ17289" s="111"/>
      <c r="EF17289"/>
      <c r="EG17289"/>
      <c r="EH17289"/>
      <c r="EI17289"/>
      <c r="EJ17289"/>
      <c r="EK17289"/>
    </row>
    <row r="17290" spans="1:141" s="116" customFormat="1">
      <c r="A17290" s="136"/>
      <c r="CM17290" s="111"/>
      <c r="CQ17290" s="111"/>
      <c r="EF17290"/>
      <c r="EG17290"/>
      <c r="EH17290"/>
      <c r="EI17290"/>
      <c r="EJ17290"/>
      <c r="EK17290"/>
    </row>
    <row r="17291" spans="1:141" s="116" customFormat="1">
      <c r="A17291" s="136"/>
      <c r="CM17291" s="111"/>
      <c r="CQ17291" s="111"/>
      <c r="EF17291"/>
      <c r="EG17291"/>
      <c r="EH17291"/>
      <c r="EI17291"/>
      <c r="EJ17291"/>
      <c r="EK17291"/>
    </row>
    <row r="17292" spans="1:141" s="116" customFormat="1">
      <c r="A17292" s="136"/>
      <c r="CM17292" s="111"/>
      <c r="CQ17292" s="111"/>
      <c r="EF17292"/>
      <c r="EG17292"/>
      <c r="EH17292"/>
      <c r="EI17292"/>
      <c r="EJ17292"/>
      <c r="EK17292"/>
    </row>
    <row r="17293" spans="1:141" s="116" customFormat="1">
      <c r="A17293" s="136"/>
      <c r="CM17293" s="111"/>
      <c r="CQ17293" s="111"/>
      <c r="EF17293"/>
      <c r="EG17293"/>
      <c r="EH17293"/>
      <c r="EI17293"/>
      <c r="EJ17293"/>
      <c r="EK17293"/>
    </row>
    <row r="17294" spans="1:141" s="116" customFormat="1">
      <c r="A17294" s="136"/>
      <c r="CM17294" s="111"/>
      <c r="CQ17294" s="111"/>
      <c r="EF17294"/>
      <c r="EG17294"/>
      <c r="EH17294"/>
      <c r="EI17294"/>
      <c r="EJ17294"/>
      <c r="EK17294"/>
    </row>
    <row r="17295" spans="1:141" s="116" customFormat="1">
      <c r="A17295" s="136"/>
      <c r="CM17295" s="111"/>
      <c r="CQ17295" s="111"/>
      <c r="EF17295"/>
      <c r="EG17295"/>
      <c r="EH17295"/>
      <c r="EI17295"/>
      <c r="EJ17295"/>
      <c r="EK17295"/>
    </row>
    <row r="17296" spans="1:141" s="116" customFormat="1">
      <c r="A17296" s="136"/>
      <c r="CM17296" s="111"/>
      <c r="CQ17296" s="111"/>
      <c r="EF17296"/>
      <c r="EG17296"/>
      <c r="EH17296"/>
      <c r="EI17296"/>
      <c r="EJ17296"/>
      <c r="EK17296"/>
    </row>
    <row r="17297" spans="1:141" s="116" customFormat="1">
      <c r="A17297" s="136"/>
      <c r="CM17297" s="111"/>
      <c r="CQ17297" s="111"/>
      <c r="EF17297"/>
      <c r="EG17297"/>
      <c r="EH17297"/>
      <c r="EI17297"/>
      <c r="EJ17297"/>
      <c r="EK17297"/>
    </row>
    <row r="17298" spans="1:141" s="116" customFormat="1">
      <c r="A17298" s="136"/>
      <c r="CM17298" s="111"/>
      <c r="CQ17298" s="111"/>
      <c r="EF17298"/>
      <c r="EG17298"/>
      <c r="EH17298"/>
      <c r="EI17298"/>
      <c r="EJ17298"/>
      <c r="EK17298"/>
    </row>
    <row r="17299" spans="1:141" s="116" customFormat="1">
      <c r="A17299" s="136"/>
      <c r="CM17299" s="111"/>
      <c r="CQ17299" s="111"/>
      <c r="EF17299"/>
      <c r="EG17299"/>
      <c r="EH17299"/>
      <c r="EI17299"/>
      <c r="EJ17299"/>
      <c r="EK17299"/>
    </row>
    <row r="17300" spans="1:141" s="116" customFormat="1">
      <c r="A17300" s="136"/>
      <c r="CM17300" s="111"/>
      <c r="CQ17300" s="111"/>
      <c r="EF17300"/>
      <c r="EG17300"/>
      <c r="EH17300"/>
      <c r="EI17300"/>
      <c r="EJ17300"/>
      <c r="EK17300"/>
    </row>
    <row r="17301" spans="1:141" s="116" customFormat="1">
      <c r="A17301" s="136"/>
      <c r="CM17301" s="111"/>
      <c r="CQ17301" s="111"/>
      <c r="EF17301"/>
      <c r="EG17301"/>
      <c r="EH17301"/>
      <c r="EI17301"/>
      <c r="EJ17301"/>
      <c r="EK17301"/>
    </row>
    <row r="17302" spans="1:141" s="116" customFormat="1">
      <c r="A17302" s="136"/>
      <c r="CM17302" s="111"/>
      <c r="CQ17302" s="111"/>
      <c r="EF17302"/>
      <c r="EG17302"/>
      <c r="EH17302"/>
      <c r="EI17302"/>
      <c r="EJ17302"/>
      <c r="EK17302"/>
    </row>
    <row r="17303" spans="1:141" s="116" customFormat="1">
      <c r="A17303" s="136"/>
      <c r="CM17303" s="111"/>
      <c r="CQ17303" s="111"/>
      <c r="EF17303"/>
      <c r="EG17303"/>
      <c r="EH17303"/>
      <c r="EI17303"/>
      <c r="EJ17303"/>
      <c r="EK17303"/>
    </row>
    <row r="17304" spans="1:141" s="116" customFormat="1">
      <c r="A17304" s="136"/>
      <c r="CM17304" s="111"/>
      <c r="CQ17304" s="111"/>
      <c r="EF17304"/>
      <c r="EG17304"/>
      <c r="EH17304"/>
      <c r="EI17304"/>
      <c r="EJ17304"/>
      <c r="EK17304"/>
    </row>
    <row r="17305" spans="1:141" s="116" customFormat="1">
      <c r="A17305" s="136"/>
      <c r="CM17305" s="111"/>
      <c r="CQ17305" s="111"/>
      <c r="EF17305"/>
      <c r="EG17305"/>
      <c r="EH17305"/>
      <c r="EI17305"/>
      <c r="EJ17305"/>
      <c r="EK17305"/>
    </row>
    <row r="17306" spans="1:141" s="116" customFormat="1">
      <c r="A17306" s="136"/>
      <c r="CM17306" s="111"/>
      <c r="CQ17306" s="111"/>
      <c r="EF17306"/>
      <c r="EG17306"/>
      <c r="EH17306"/>
      <c r="EI17306"/>
      <c r="EJ17306"/>
      <c r="EK17306"/>
    </row>
    <row r="17307" spans="1:141" s="116" customFormat="1">
      <c r="A17307" s="136"/>
      <c r="CM17307" s="111"/>
      <c r="CQ17307" s="111"/>
      <c r="EF17307"/>
      <c r="EG17307"/>
      <c r="EH17307"/>
      <c r="EI17307"/>
      <c r="EJ17307"/>
      <c r="EK17307"/>
    </row>
    <row r="17308" spans="1:141" s="116" customFormat="1">
      <c r="A17308" s="136"/>
      <c r="CM17308" s="111"/>
      <c r="CQ17308" s="111"/>
      <c r="EF17308"/>
      <c r="EG17308"/>
      <c r="EH17308"/>
      <c r="EI17308"/>
      <c r="EJ17308"/>
      <c r="EK17308"/>
    </row>
    <row r="17309" spans="1:141" s="116" customFormat="1">
      <c r="A17309" s="136"/>
      <c r="CM17309" s="111"/>
      <c r="CQ17309" s="111"/>
      <c r="EF17309"/>
      <c r="EG17309"/>
      <c r="EH17309"/>
      <c r="EI17309"/>
      <c r="EJ17309"/>
      <c r="EK17309"/>
    </row>
    <row r="17310" spans="1:141" s="116" customFormat="1">
      <c r="A17310" s="136"/>
      <c r="CM17310" s="111"/>
      <c r="CQ17310" s="111"/>
      <c r="EF17310"/>
      <c r="EG17310"/>
      <c r="EH17310"/>
      <c r="EI17310"/>
      <c r="EJ17310"/>
      <c r="EK17310"/>
    </row>
    <row r="17311" spans="1:141" s="116" customFormat="1">
      <c r="A17311" s="136"/>
      <c r="CM17311" s="111"/>
      <c r="CQ17311" s="111"/>
      <c r="EF17311"/>
      <c r="EG17311"/>
      <c r="EH17311"/>
      <c r="EI17311"/>
      <c r="EJ17311"/>
      <c r="EK17311"/>
    </row>
    <row r="17312" spans="1:141" s="116" customFormat="1">
      <c r="A17312" s="136"/>
      <c r="CM17312" s="111"/>
      <c r="CQ17312" s="111"/>
      <c r="EF17312"/>
      <c r="EG17312"/>
      <c r="EH17312"/>
      <c r="EI17312"/>
      <c r="EJ17312"/>
      <c r="EK17312"/>
    </row>
    <row r="17313" spans="1:141" s="116" customFormat="1">
      <c r="A17313" s="136"/>
      <c r="CM17313" s="111"/>
      <c r="CQ17313" s="111"/>
      <c r="EF17313"/>
      <c r="EG17313"/>
      <c r="EH17313"/>
      <c r="EI17313"/>
      <c r="EJ17313"/>
      <c r="EK17313"/>
    </row>
    <row r="17314" spans="1:141" s="116" customFormat="1">
      <c r="A17314" s="136"/>
      <c r="CM17314" s="111"/>
      <c r="CQ17314" s="111"/>
      <c r="EF17314"/>
      <c r="EG17314"/>
      <c r="EH17314"/>
      <c r="EI17314"/>
      <c r="EJ17314"/>
      <c r="EK17314"/>
    </row>
    <row r="17315" spans="1:141" s="116" customFormat="1">
      <c r="A17315" s="136"/>
      <c r="CM17315" s="111"/>
      <c r="CQ17315" s="111"/>
      <c r="EF17315"/>
      <c r="EG17315"/>
      <c r="EH17315"/>
      <c r="EI17315"/>
      <c r="EJ17315"/>
      <c r="EK17315"/>
    </row>
    <row r="17316" spans="1:141" s="116" customFormat="1">
      <c r="A17316" s="136"/>
      <c r="CM17316" s="111"/>
      <c r="CQ17316" s="111"/>
      <c r="EF17316"/>
      <c r="EG17316"/>
      <c r="EH17316"/>
      <c r="EI17316"/>
      <c r="EJ17316"/>
      <c r="EK17316"/>
    </row>
    <row r="17317" spans="1:141" s="116" customFormat="1">
      <c r="A17317" s="136"/>
      <c r="CM17317" s="111"/>
      <c r="CQ17317" s="111"/>
      <c r="EF17317"/>
      <c r="EG17317"/>
      <c r="EH17317"/>
      <c r="EI17317"/>
      <c r="EJ17317"/>
      <c r="EK17317"/>
    </row>
    <row r="17318" spans="1:141" s="116" customFormat="1">
      <c r="A17318" s="136"/>
      <c r="CM17318" s="111"/>
      <c r="CQ17318" s="111"/>
      <c r="EF17318"/>
      <c r="EG17318"/>
      <c r="EH17318"/>
      <c r="EI17318"/>
      <c r="EJ17318"/>
      <c r="EK17318"/>
    </row>
    <row r="17319" spans="1:141" s="116" customFormat="1">
      <c r="A17319" s="136"/>
      <c r="CM17319" s="111"/>
      <c r="CQ17319" s="111"/>
      <c r="EF17319"/>
      <c r="EG17319"/>
      <c r="EH17319"/>
      <c r="EI17319"/>
      <c r="EJ17319"/>
      <c r="EK17319"/>
    </row>
    <row r="17320" spans="1:141" s="116" customFormat="1">
      <c r="A17320" s="136"/>
      <c r="CM17320" s="111"/>
      <c r="CQ17320" s="111"/>
      <c r="EF17320"/>
      <c r="EG17320"/>
      <c r="EH17320"/>
      <c r="EI17320"/>
      <c r="EJ17320"/>
      <c r="EK17320"/>
    </row>
    <row r="17321" spans="1:141" s="116" customFormat="1">
      <c r="A17321" s="136"/>
      <c r="CM17321" s="111"/>
      <c r="CQ17321" s="111"/>
      <c r="EF17321"/>
      <c r="EG17321"/>
      <c r="EH17321"/>
      <c r="EI17321"/>
      <c r="EJ17321"/>
      <c r="EK17321"/>
    </row>
    <row r="17322" spans="1:141" s="116" customFormat="1">
      <c r="A17322" s="136"/>
      <c r="CM17322" s="111"/>
      <c r="CQ17322" s="111"/>
      <c r="EF17322"/>
      <c r="EG17322"/>
      <c r="EH17322"/>
      <c r="EI17322"/>
      <c r="EJ17322"/>
      <c r="EK17322"/>
    </row>
    <row r="17323" spans="1:141" s="116" customFormat="1">
      <c r="A17323" s="136"/>
      <c r="CM17323" s="111"/>
      <c r="CQ17323" s="111"/>
      <c r="EF17323"/>
      <c r="EG17323"/>
      <c r="EH17323"/>
      <c r="EI17323"/>
      <c r="EJ17323"/>
      <c r="EK17323"/>
    </row>
    <row r="17324" spans="1:141" s="116" customFormat="1">
      <c r="A17324" s="136"/>
      <c r="CM17324" s="111"/>
      <c r="CQ17324" s="111"/>
      <c r="EF17324"/>
      <c r="EG17324"/>
      <c r="EH17324"/>
      <c r="EI17324"/>
      <c r="EJ17324"/>
      <c r="EK17324"/>
    </row>
    <row r="17325" spans="1:141" s="116" customFormat="1">
      <c r="A17325" s="136"/>
      <c r="CM17325" s="111"/>
      <c r="CQ17325" s="111"/>
      <c r="EF17325"/>
      <c r="EG17325"/>
      <c r="EH17325"/>
      <c r="EI17325"/>
      <c r="EJ17325"/>
      <c r="EK17325"/>
    </row>
    <row r="17326" spans="1:141" s="116" customFormat="1">
      <c r="A17326" s="136"/>
      <c r="CM17326" s="111"/>
      <c r="CQ17326" s="111"/>
      <c r="EF17326"/>
      <c r="EG17326"/>
      <c r="EH17326"/>
      <c r="EI17326"/>
      <c r="EJ17326"/>
      <c r="EK17326"/>
    </row>
    <row r="17327" spans="1:141" s="116" customFormat="1">
      <c r="A17327" s="136"/>
      <c r="CM17327" s="111"/>
      <c r="CQ17327" s="111"/>
      <c r="EF17327"/>
      <c r="EG17327"/>
      <c r="EH17327"/>
      <c r="EI17327"/>
      <c r="EJ17327"/>
      <c r="EK17327"/>
    </row>
    <row r="17328" spans="1:141" s="116" customFormat="1">
      <c r="A17328" s="136"/>
      <c r="CM17328" s="111"/>
      <c r="CQ17328" s="111"/>
      <c r="EF17328"/>
      <c r="EG17328"/>
      <c r="EH17328"/>
      <c r="EI17328"/>
      <c r="EJ17328"/>
      <c r="EK17328"/>
    </row>
    <row r="17329" spans="1:141" s="116" customFormat="1">
      <c r="A17329" s="136"/>
      <c r="CM17329" s="111"/>
      <c r="CQ17329" s="111"/>
      <c r="EF17329"/>
      <c r="EG17329"/>
      <c r="EH17329"/>
      <c r="EI17329"/>
      <c r="EJ17329"/>
      <c r="EK17329"/>
    </row>
    <row r="17330" spans="1:141" s="116" customFormat="1">
      <c r="A17330" s="136"/>
      <c r="CM17330" s="111"/>
      <c r="CQ17330" s="111"/>
      <c r="EF17330"/>
      <c r="EG17330"/>
      <c r="EH17330"/>
      <c r="EI17330"/>
      <c r="EJ17330"/>
      <c r="EK17330"/>
    </row>
    <row r="17331" spans="1:141" s="116" customFormat="1">
      <c r="A17331" s="136"/>
      <c r="CM17331" s="111"/>
      <c r="CQ17331" s="111"/>
      <c r="EF17331"/>
      <c r="EG17331"/>
      <c r="EH17331"/>
      <c r="EI17331"/>
      <c r="EJ17331"/>
      <c r="EK17331"/>
    </row>
    <row r="17332" spans="1:141" s="116" customFormat="1">
      <c r="A17332" s="136"/>
      <c r="CM17332" s="111"/>
      <c r="CQ17332" s="111"/>
      <c r="EF17332"/>
      <c r="EG17332"/>
      <c r="EH17332"/>
      <c r="EI17332"/>
      <c r="EJ17332"/>
      <c r="EK17332"/>
    </row>
    <row r="17333" spans="1:141" s="116" customFormat="1">
      <c r="A17333" s="136"/>
      <c r="CM17333" s="111"/>
      <c r="CQ17333" s="111"/>
      <c r="EF17333"/>
      <c r="EG17333"/>
      <c r="EH17333"/>
      <c r="EI17333"/>
      <c r="EJ17333"/>
      <c r="EK17333"/>
    </row>
    <row r="17334" spans="1:141" s="116" customFormat="1">
      <c r="A17334" s="136"/>
      <c r="CM17334" s="111"/>
      <c r="CQ17334" s="111"/>
      <c r="EF17334"/>
      <c r="EG17334"/>
      <c r="EH17334"/>
      <c r="EI17334"/>
      <c r="EJ17334"/>
      <c r="EK17334"/>
    </row>
    <row r="17335" spans="1:141" s="116" customFormat="1">
      <c r="A17335" s="136"/>
      <c r="CM17335" s="111"/>
      <c r="CQ17335" s="111"/>
      <c r="EF17335"/>
      <c r="EG17335"/>
      <c r="EH17335"/>
      <c r="EI17335"/>
      <c r="EJ17335"/>
      <c r="EK17335"/>
    </row>
    <row r="17336" spans="1:141" s="116" customFormat="1">
      <c r="A17336" s="136"/>
      <c r="CM17336" s="111"/>
      <c r="CQ17336" s="111"/>
      <c r="EF17336"/>
      <c r="EG17336"/>
      <c r="EH17336"/>
      <c r="EI17336"/>
      <c r="EJ17336"/>
      <c r="EK17336"/>
    </row>
    <row r="17337" spans="1:141" s="116" customFormat="1">
      <c r="A17337" s="136"/>
      <c r="CM17337" s="111"/>
      <c r="CQ17337" s="111"/>
      <c r="EF17337"/>
      <c r="EG17337"/>
      <c r="EH17337"/>
      <c r="EI17337"/>
      <c r="EJ17337"/>
      <c r="EK17337"/>
    </row>
    <row r="17338" spans="1:141" s="116" customFormat="1">
      <c r="A17338" s="136"/>
      <c r="CM17338" s="111"/>
      <c r="CQ17338" s="111"/>
      <c r="EF17338"/>
      <c r="EG17338"/>
      <c r="EH17338"/>
      <c r="EI17338"/>
      <c r="EJ17338"/>
      <c r="EK17338"/>
    </row>
    <row r="17339" spans="1:141" s="116" customFormat="1">
      <c r="A17339" s="136"/>
      <c r="CM17339" s="111"/>
      <c r="CQ17339" s="111"/>
      <c r="EF17339"/>
      <c r="EG17339"/>
      <c r="EH17339"/>
      <c r="EI17339"/>
      <c r="EJ17339"/>
      <c r="EK17339"/>
    </row>
    <row r="17340" spans="1:141" s="116" customFormat="1">
      <c r="A17340" s="136"/>
      <c r="CM17340" s="111"/>
      <c r="CQ17340" s="111"/>
      <c r="EF17340"/>
      <c r="EG17340"/>
      <c r="EH17340"/>
      <c r="EI17340"/>
      <c r="EJ17340"/>
      <c r="EK17340"/>
    </row>
    <row r="17341" spans="1:141" s="116" customFormat="1">
      <c r="A17341" s="136"/>
      <c r="CM17341" s="111"/>
      <c r="CQ17341" s="111"/>
      <c r="EF17341"/>
      <c r="EG17341"/>
      <c r="EH17341"/>
      <c r="EI17341"/>
      <c r="EJ17341"/>
      <c r="EK17341"/>
    </row>
    <row r="17342" spans="1:141" s="116" customFormat="1">
      <c r="A17342" s="136"/>
      <c r="CM17342" s="111"/>
      <c r="CQ17342" s="111"/>
      <c r="EF17342"/>
      <c r="EG17342"/>
      <c r="EH17342"/>
      <c r="EI17342"/>
      <c r="EJ17342"/>
      <c r="EK17342"/>
    </row>
    <row r="17343" spans="1:141" s="116" customFormat="1">
      <c r="A17343" s="136"/>
      <c r="CM17343" s="111"/>
      <c r="CQ17343" s="111"/>
      <c r="EF17343"/>
      <c r="EG17343"/>
      <c r="EH17343"/>
      <c r="EI17343"/>
      <c r="EJ17343"/>
      <c r="EK17343"/>
    </row>
    <row r="17344" spans="1:141" s="116" customFormat="1">
      <c r="A17344" s="136"/>
      <c r="CM17344" s="111"/>
      <c r="CQ17344" s="111"/>
      <c r="EF17344"/>
      <c r="EG17344"/>
      <c r="EH17344"/>
      <c r="EI17344"/>
      <c r="EJ17344"/>
      <c r="EK17344"/>
    </row>
    <row r="17345" spans="1:141" s="116" customFormat="1">
      <c r="A17345" s="136"/>
      <c r="CM17345" s="111"/>
      <c r="CQ17345" s="111"/>
      <c r="EF17345"/>
      <c r="EG17345"/>
      <c r="EH17345"/>
      <c r="EI17345"/>
      <c r="EJ17345"/>
      <c r="EK17345"/>
    </row>
    <row r="17346" spans="1:141" s="116" customFormat="1">
      <c r="A17346" s="136"/>
      <c r="CM17346" s="111"/>
      <c r="CQ17346" s="111"/>
      <c r="EF17346"/>
      <c r="EG17346"/>
      <c r="EH17346"/>
      <c r="EI17346"/>
      <c r="EJ17346"/>
      <c r="EK17346"/>
    </row>
    <row r="17347" spans="1:141" s="116" customFormat="1">
      <c r="A17347" s="136"/>
      <c r="CM17347" s="111"/>
      <c r="CQ17347" s="111"/>
      <c r="EF17347"/>
      <c r="EG17347"/>
      <c r="EH17347"/>
      <c r="EI17347"/>
      <c r="EJ17347"/>
      <c r="EK17347"/>
    </row>
    <row r="17348" spans="1:141" s="116" customFormat="1">
      <c r="A17348" s="136"/>
      <c r="CM17348" s="111"/>
      <c r="CQ17348" s="111"/>
      <c r="EF17348"/>
      <c r="EG17348"/>
      <c r="EH17348"/>
      <c r="EI17348"/>
      <c r="EJ17348"/>
      <c r="EK17348"/>
    </row>
    <row r="17349" spans="1:141" s="116" customFormat="1">
      <c r="A17349" s="136"/>
      <c r="CM17349" s="111"/>
      <c r="CQ17349" s="111"/>
      <c r="EF17349"/>
      <c r="EG17349"/>
      <c r="EH17349"/>
      <c r="EI17349"/>
      <c r="EJ17349"/>
      <c r="EK17349"/>
    </row>
    <row r="17350" spans="1:141" s="116" customFormat="1">
      <c r="A17350" s="136"/>
      <c r="CM17350" s="111"/>
      <c r="CQ17350" s="111"/>
      <c r="EF17350"/>
      <c r="EG17350"/>
      <c r="EH17350"/>
      <c r="EI17350"/>
      <c r="EJ17350"/>
      <c r="EK17350"/>
    </row>
    <row r="17351" spans="1:141" s="116" customFormat="1">
      <c r="A17351" s="136"/>
      <c r="CM17351" s="111"/>
      <c r="CQ17351" s="111"/>
      <c r="EF17351"/>
      <c r="EG17351"/>
      <c r="EH17351"/>
      <c r="EI17351"/>
      <c r="EJ17351"/>
      <c r="EK17351"/>
    </row>
    <row r="17352" spans="1:141" s="116" customFormat="1">
      <c r="A17352" s="136"/>
      <c r="CM17352" s="111"/>
      <c r="CQ17352" s="111"/>
      <c r="EF17352"/>
      <c r="EG17352"/>
      <c r="EH17352"/>
      <c r="EI17352"/>
      <c r="EJ17352"/>
      <c r="EK17352"/>
    </row>
    <row r="17353" spans="1:141" s="116" customFormat="1">
      <c r="A17353" s="136"/>
      <c r="CM17353" s="111"/>
      <c r="CQ17353" s="111"/>
      <c r="EF17353"/>
      <c r="EG17353"/>
      <c r="EH17353"/>
      <c r="EI17353"/>
      <c r="EJ17353"/>
      <c r="EK17353"/>
    </row>
    <row r="17354" spans="1:141" s="116" customFormat="1">
      <c r="A17354" s="136"/>
      <c r="CM17354" s="111"/>
      <c r="CQ17354" s="111"/>
      <c r="EF17354"/>
      <c r="EG17354"/>
      <c r="EH17354"/>
      <c r="EI17354"/>
      <c r="EJ17354"/>
      <c r="EK17354"/>
    </row>
    <row r="17355" spans="1:141" s="116" customFormat="1">
      <c r="A17355" s="136"/>
      <c r="CM17355" s="111"/>
      <c r="CQ17355" s="111"/>
      <c r="EF17355"/>
      <c r="EG17355"/>
      <c r="EH17355"/>
      <c r="EI17355"/>
      <c r="EJ17355"/>
      <c r="EK17355"/>
    </row>
    <row r="17356" spans="1:141" s="116" customFormat="1">
      <c r="A17356" s="136"/>
      <c r="CM17356" s="111"/>
      <c r="CQ17356" s="111"/>
      <c r="EF17356"/>
      <c r="EG17356"/>
      <c r="EH17356"/>
      <c r="EI17356"/>
      <c r="EJ17356"/>
      <c r="EK17356"/>
    </row>
    <row r="17357" spans="1:141" s="116" customFormat="1">
      <c r="A17357" s="136"/>
      <c r="CM17357" s="111"/>
      <c r="CQ17357" s="111"/>
      <c r="EF17357"/>
      <c r="EG17357"/>
      <c r="EH17357"/>
      <c r="EI17357"/>
      <c r="EJ17357"/>
      <c r="EK17357"/>
    </row>
    <row r="17358" spans="1:141" s="116" customFormat="1">
      <c r="A17358" s="136"/>
      <c r="CM17358" s="111"/>
      <c r="CQ17358" s="111"/>
      <c r="EF17358"/>
      <c r="EG17358"/>
      <c r="EH17358"/>
      <c r="EI17358"/>
      <c r="EJ17358"/>
      <c r="EK17358"/>
    </row>
    <row r="17359" spans="1:141" s="116" customFormat="1">
      <c r="A17359" s="136"/>
      <c r="CM17359" s="111"/>
      <c r="CQ17359" s="111"/>
      <c r="EF17359"/>
      <c r="EG17359"/>
      <c r="EH17359"/>
      <c r="EI17359"/>
      <c r="EJ17359"/>
      <c r="EK17359"/>
    </row>
    <row r="17360" spans="1:141" s="116" customFormat="1">
      <c r="A17360" s="136"/>
      <c r="CM17360" s="111"/>
      <c r="CQ17360" s="111"/>
      <c r="EF17360"/>
      <c r="EG17360"/>
      <c r="EH17360"/>
      <c r="EI17360"/>
      <c r="EJ17360"/>
      <c r="EK17360"/>
    </row>
    <row r="17361" spans="1:141" s="116" customFormat="1">
      <c r="A17361" s="136"/>
      <c r="CM17361" s="111"/>
      <c r="CQ17361" s="111"/>
      <c r="EF17361"/>
      <c r="EG17361"/>
      <c r="EH17361"/>
      <c r="EI17361"/>
      <c r="EJ17361"/>
      <c r="EK17361"/>
    </row>
    <row r="17362" spans="1:141" s="116" customFormat="1">
      <c r="A17362" s="136"/>
      <c r="CM17362" s="111"/>
      <c r="CQ17362" s="111"/>
      <c r="EF17362"/>
      <c r="EG17362"/>
      <c r="EH17362"/>
      <c r="EI17362"/>
      <c r="EJ17362"/>
      <c r="EK17362"/>
    </row>
    <row r="17363" spans="1:141" s="116" customFormat="1">
      <c r="A17363" s="136"/>
      <c r="CM17363" s="111"/>
      <c r="CQ17363" s="111"/>
      <c r="EF17363"/>
      <c r="EG17363"/>
      <c r="EH17363"/>
      <c r="EI17363"/>
      <c r="EJ17363"/>
      <c r="EK17363"/>
    </row>
    <row r="17364" spans="1:141" s="116" customFormat="1">
      <c r="A17364" s="136"/>
      <c r="CM17364" s="111"/>
      <c r="CQ17364" s="111"/>
      <c r="EF17364"/>
      <c r="EG17364"/>
      <c r="EH17364"/>
      <c r="EI17364"/>
      <c r="EJ17364"/>
      <c r="EK17364"/>
    </row>
    <row r="17365" spans="1:141" s="116" customFormat="1">
      <c r="A17365" s="136"/>
      <c r="CM17365" s="111"/>
      <c r="CQ17365" s="111"/>
      <c r="EF17365"/>
      <c r="EG17365"/>
      <c r="EH17365"/>
      <c r="EI17365"/>
      <c r="EJ17365"/>
      <c r="EK17365"/>
    </row>
    <row r="17366" spans="1:141" s="116" customFormat="1">
      <c r="A17366" s="136"/>
      <c r="CM17366" s="111"/>
      <c r="CQ17366" s="111"/>
      <c r="EF17366"/>
      <c r="EG17366"/>
      <c r="EH17366"/>
      <c r="EI17366"/>
      <c r="EJ17366"/>
      <c r="EK17366"/>
    </row>
    <row r="17367" spans="1:141" s="116" customFormat="1">
      <c r="A17367" s="136"/>
      <c r="CM17367" s="111"/>
      <c r="CQ17367" s="111"/>
      <c r="EF17367"/>
      <c r="EG17367"/>
      <c r="EH17367"/>
      <c r="EI17367"/>
      <c r="EJ17367"/>
      <c r="EK17367"/>
    </row>
    <row r="17368" spans="1:141" s="116" customFormat="1">
      <c r="A17368" s="136"/>
      <c r="CM17368" s="111"/>
      <c r="CQ17368" s="111"/>
      <c r="EF17368"/>
      <c r="EG17368"/>
      <c r="EH17368"/>
      <c r="EI17368"/>
      <c r="EJ17368"/>
      <c r="EK17368"/>
    </row>
    <row r="17369" spans="1:141" s="116" customFormat="1">
      <c r="A17369" s="136"/>
      <c r="CM17369" s="111"/>
      <c r="CQ17369" s="111"/>
      <c r="EF17369"/>
      <c r="EG17369"/>
      <c r="EH17369"/>
      <c r="EI17369"/>
      <c r="EJ17369"/>
      <c r="EK17369"/>
    </row>
    <row r="17370" spans="1:141" s="116" customFormat="1">
      <c r="A17370" s="136"/>
      <c r="CM17370" s="111"/>
      <c r="CQ17370" s="111"/>
      <c r="EF17370"/>
      <c r="EG17370"/>
      <c r="EH17370"/>
      <c r="EI17370"/>
      <c r="EJ17370"/>
      <c r="EK17370"/>
    </row>
    <row r="17371" spans="1:141" s="116" customFormat="1">
      <c r="A17371" s="136"/>
      <c r="CM17371" s="111"/>
      <c r="CQ17371" s="111"/>
      <c r="EF17371"/>
      <c r="EG17371"/>
      <c r="EH17371"/>
      <c r="EI17371"/>
      <c r="EJ17371"/>
      <c r="EK17371"/>
    </row>
    <row r="17372" spans="1:141" s="116" customFormat="1">
      <c r="A17372" s="136"/>
      <c r="CM17372" s="111"/>
      <c r="CQ17372" s="111"/>
      <c r="EF17372"/>
      <c r="EG17372"/>
      <c r="EH17372"/>
      <c r="EI17372"/>
      <c r="EJ17372"/>
      <c r="EK17372"/>
    </row>
    <row r="17373" spans="1:141" s="116" customFormat="1">
      <c r="A17373" s="136"/>
      <c r="CM17373" s="111"/>
      <c r="CQ17373" s="111"/>
      <c r="EF17373"/>
      <c r="EG17373"/>
      <c r="EH17373"/>
      <c r="EI17373"/>
      <c r="EJ17373"/>
      <c r="EK17373"/>
    </row>
    <row r="17374" spans="1:141" s="116" customFormat="1">
      <c r="A17374" s="136"/>
      <c r="CM17374" s="111"/>
      <c r="CQ17374" s="111"/>
      <c r="EF17374"/>
      <c r="EG17374"/>
      <c r="EH17374"/>
      <c r="EI17374"/>
      <c r="EJ17374"/>
      <c r="EK17374"/>
    </row>
    <row r="17375" spans="1:141" s="116" customFormat="1">
      <c r="A17375" s="136"/>
      <c r="CM17375" s="111"/>
      <c r="CQ17375" s="111"/>
      <c r="EF17375"/>
      <c r="EG17375"/>
      <c r="EH17375"/>
      <c r="EI17375"/>
      <c r="EJ17375"/>
      <c r="EK17375"/>
    </row>
    <row r="17376" spans="1:141" s="116" customFormat="1">
      <c r="A17376" s="136"/>
      <c r="CM17376" s="111"/>
      <c r="CQ17376" s="111"/>
      <c r="EF17376"/>
      <c r="EG17376"/>
      <c r="EH17376"/>
      <c r="EI17376"/>
      <c r="EJ17376"/>
      <c r="EK17376"/>
    </row>
    <row r="17377" spans="1:141" s="116" customFormat="1">
      <c r="A17377" s="136"/>
      <c r="CM17377" s="111"/>
      <c r="CQ17377" s="111"/>
      <c r="EF17377"/>
      <c r="EG17377"/>
      <c r="EH17377"/>
      <c r="EI17377"/>
      <c r="EJ17377"/>
      <c r="EK17377"/>
    </row>
    <row r="17378" spans="1:141" s="116" customFormat="1">
      <c r="A17378" s="136"/>
      <c r="CM17378" s="111"/>
      <c r="CQ17378" s="111"/>
      <c r="EF17378"/>
      <c r="EG17378"/>
      <c r="EH17378"/>
      <c r="EI17378"/>
      <c r="EJ17378"/>
      <c r="EK17378"/>
    </row>
    <row r="17379" spans="1:141" s="116" customFormat="1">
      <c r="A17379" s="136"/>
      <c r="CM17379" s="111"/>
      <c r="CQ17379" s="111"/>
      <c r="EF17379"/>
      <c r="EG17379"/>
      <c r="EH17379"/>
      <c r="EI17379"/>
      <c r="EJ17379"/>
      <c r="EK17379"/>
    </row>
    <row r="17380" spans="1:141" s="116" customFormat="1">
      <c r="A17380" s="136"/>
      <c r="CM17380" s="111"/>
      <c r="CQ17380" s="111"/>
      <c r="EF17380"/>
      <c r="EG17380"/>
      <c r="EH17380"/>
      <c r="EI17380"/>
      <c r="EJ17380"/>
      <c r="EK17380"/>
    </row>
    <row r="17381" spans="1:141" s="116" customFormat="1">
      <c r="A17381" s="136"/>
      <c r="CM17381" s="111"/>
      <c r="CQ17381" s="111"/>
      <c r="EF17381"/>
      <c r="EG17381"/>
      <c r="EH17381"/>
      <c r="EI17381"/>
      <c r="EJ17381"/>
      <c r="EK17381"/>
    </row>
    <row r="17382" spans="1:141" s="116" customFormat="1">
      <c r="A17382" s="136"/>
      <c r="CM17382" s="111"/>
      <c r="CQ17382" s="111"/>
      <c r="EF17382"/>
      <c r="EG17382"/>
      <c r="EH17382"/>
      <c r="EI17382"/>
      <c r="EJ17382"/>
      <c r="EK17382"/>
    </row>
    <row r="17383" spans="1:141" s="116" customFormat="1">
      <c r="A17383" s="136"/>
      <c r="CM17383" s="111"/>
      <c r="CQ17383" s="111"/>
      <c r="EF17383"/>
      <c r="EG17383"/>
      <c r="EH17383"/>
      <c r="EI17383"/>
      <c r="EJ17383"/>
      <c r="EK17383"/>
    </row>
    <row r="17384" spans="1:141" s="116" customFormat="1">
      <c r="A17384" s="136"/>
      <c r="CM17384" s="111"/>
      <c r="CQ17384" s="111"/>
      <c r="EF17384"/>
      <c r="EG17384"/>
      <c r="EH17384"/>
      <c r="EI17384"/>
      <c r="EJ17384"/>
      <c r="EK17384"/>
    </row>
    <row r="17385" spans="1:141" s="116" customFormat="1">
      <c r="A17385" s="136"/>
      <c r="CM17385" s="111"/>
      <c r="CQ17385" s="111"/>
      <c r="EF17385"/>
      <c r="EG17385"/>
      <c r="EH17385"/>
      <c r="EI17385"/>
      <c r="EJ17385"/>
      <c r="EK17385"/>
    </row>
    <row r="17386" spans="1:141" s="116" customFormat="1">
      <c r="A17386" s="136"/>
      <c r="CM17386" s="111"/>
      <c r="CQ17386" s="111"/>
      <c r="EF17386"/>
      <c r="EG17386"/>
      <c r="EH17386"/>
      <c r="EI17386"/>
      <c r="EJ17386"/>
      <c r="EK17386"/>
    </row>
    <row r="17387" spans="1:141" s="116" customFormat="1">
      <c r="A17387" s="136"/>
      <c r="CM17387" s="111"/>
      <c r="CQ17387" s="111"/>
      <c r="EF17387"/>
      <c r="EG17387"/>
      <c r="EH17387"/>
      <c r="EI17387"/>
      <c r="EJ17387"/>
      <c r="EK17387"/>
    </row>
    <row r="17388" spans="1:141" s="116" customFormat="1">
      <c r="A17388" s="136"/>
      <c r="CM17388" s="111"/>
      <c r="CQ17388" s="111"/>
      <c r="EF17388"/>
      <c r="EG17388"/>
      <c r="EH17388"/>
      <c r="EI17388"/>
      <c r="EJ17388"/>
      <c r="EK17388"/>
    </row>
    <row r="17389" spans="1:141" s="116" customFormat="1">
      <c r="A17389" s="136"/>
      <c r="CM17389" s="111"/>
      <c r="CQ17389" s="111"/>
      <c r="EF17389"/>
      <c r="EG17389"/>
      <c r="EH17389"/>
      <c r="EI17389"/>
      <c r="EJ17389"/>
      <c r="EK17389"/>
    </row>
    <row r="17390" spans="1:141" s="116" customFormat="1">
      <c r="A17390" s="136"/>
      <c r="CM17390" s="111"/>
      <c r="CQ17390" s="111"/>
      <c r="EF17390"/>
      <c r="EG17390"/>
      <c r="EH17390"/>
      <c r="EI17390"/>
      <c r="EJ17390"/>
      <c r="EK17390"/>
    </row>
    <row r="17391" spans="1:141" s="116" customFormat="1">
      <c r="A17391" s="136"/>
      <c r="CM17391" s="111"/>
      <c r="CQ17391" s="111"/>
      <c r="EF17391"/>
      <c r="EG17391"/>
      <c r="EH17391"/>
      <c r="EI17391"/>
      <c r="EJ17391"/>
      <c r="EK17391"/>
    </row>
    <row r="17392" spans="1:141" s="116" customFormat="1">
      <c r="A17392" s="136"/>
      <c r="CM17392" s="111"/>
      <c r="CQ17392" s="111"/>
      <c r="EF17392"/>
      <c r="EG17392"/>
      <c r="EH17392"/>
      <c r="EI17392"/>
      <c r="EJ17392"/>
      <c r="EK17392"/>
    </row>
    <row r="17393" spans="1:141" s="116" customFormat="1">
      <c r="A17393" s="136"/>
      <c r="CM17393" s="111"/>
      <c r="CQ17393" s="111"/>
      <c r="EF17393"/>
      <c r="EG17393"/>
      <c r="EH17393"/>
      <c r="EI17393"/>
      <c r="EJ17393"/>
      <c r="EK17393"/>
    </row>
    <row r="17394" spans="1:141" s="116" customFormat="1">
      <c r="A17394" s="136"/>
      <c r="CM17394" s="111"/>
      <c r="CQ17394" s="111"/>
      <c r="EF17394"/>
      <c r="EG17394"/>
      <c r="EH17394"/>
      <c r="EI17394"/>
      <c r="EJ17394"/>
      <c r="EK17394"/>
    </row>
    <row r="17395" spans="1:141" s="116" customFormat="1">
      <c r="A17395" s="136"/>
      <c r="CM17395" s="111"/>
      <c r="CQ17395" s="111"/>
      <c r="EF17395"/>
      <c r="EG17395"/>
      <c r="EH17395"/>
      <c r="EI17395"/>
      <c r="EJ17395"/>
      <c r="EK17395"/>
    </row>
    <row r="17396" spans="1:141" s="116" customFormat="1">
      <c r="A17396" s="136"/>
      <c r="CM17396" s="111"/>
      <c r="CQ17396" s="111"/>
      <c r="EF17396"/>
      <c r="EG17396"/>
      <c r="EH17396"/>
      <c r="EI17396"/>
      <c r="EJ17396"/>
      <c r="EK17396"/>
    </row>
    <row r="17397" spans="1:141" s="116" customFormat="1">
      <c r="A17397" s="136"/>
      <c r="CM17397" s="111"/>
      <c r="CQ17397" s="111"/>
      <c r="EF17397"/>
      <c r="EG17397"/>
      <c r="EH17397"/>
      <c r="EI17397"/>
      <c r="EJ17397"/>
      <c r="EK17397"/>
    </row>
    <row r="17398" spans="1:141" s="116" customFormat="1">
      <c r="A17398" s="136"/>
      <c r="CM17398" s="111"/>
      <c r="CQ17398" s="111"/>
      <c r="EF17398"/>
      <c r="EG17398"/>
      <c r="EH17398"/>
      <c r="EI17398"/>
      <c r="EJ17398"/>
      <c r="EK17398"/>
    </row>
    <row r="17399" spans="1:141" s="116" customFormat="1">
      <c r="A17399" s="136"/>
      <c r="CM17399" s="111"/>
      <c r="CQ17399" s="111"/>
      <c r="EF17399"/>
      <c r="EG17399"/>
      <c r="EH17399"/>
      <c r="EI17399"/>
      <c r="EJ17399"/>
      <c r="EK17399"/>
    </row>
    <row r="17400" spans="1:141" s="116" customFormat="1">
      <c r="A17400" s="136"/>
      <c r="CM17400" s="111"/>
      <c r="CQ17400" s="111"/>
      <c r="EF17400"/>
      <c r="EG17400"/>
      <c r="EH17400"/>
      <c r="EI17400"/>
      <c r="EJ17400"/>
      <c r="EK17400"/>
    </row>
    <row r="17401" spans="1:141" s="116" customFormat="1">
      <c r="A17401" s="136"/>
      <c r="CM17401" s="111"/>
      <c r="CQ17401" s="111"/>
      <c r="EF17401"/>
      <c r="EG17401"/>
      <c r="EH17401"/>
      <c r="EI17401"/>
      <c r="EJ17401"/>
      <c r="EK17401"/>
    </row>
    <row r="17402" spans="1:141" s="116" customFormat="1">
      <c r="A17402" s="136"/>
      <c r="CM17402" s="111"/>
      <c r="CQ17402" s="111"/>
      <c r="EF17402"/>
      <c r="EG17402"/>
      <c r="EH17402"/>
      <c r="EI17402"/>
      <c r="EJ17402"/>
      <c r="EK17402"/>
    </row>
    <row r="17403" spans="1:141" s="116" customFormat="1">
      <c r="A17403" s="136"/>
      <c r="CM17403" s="111"/>
      <c r="CQ17403" s="111"/>
      <c r="EF17403"/>
      <c r="EG17403"/>
      <c r="EH17403"/>
      <c r="EI17403"/>
      <c r="EJ17403"/>
      <c r="EK17403"/>
    </row>
    <row r="17404" spans="1:141" s="116" customFormat="1">
      <c r="A17404" s="136"/>
      <c r="CM17404" s="111"/>
      <c r="CQ17404" s="111"/>
      <c r="EF17404"/>
      <c r="EG17404"/>
      <c r="EH17404"/>
      <c r="EI17404"/>
      <c r="EJ17404"/>
      <c r="EK17404"/>
    </row>
    <row r="17405" spans="1:141" s="116" customFormat="1">
      <c r="A17405" s="136"/>
      <c r="CM17405" s="111"/>
      <c r="CQ17405" s="111"/>
      <c r="EF17405"/>
      <c r="EG17405"/>
      <c r="EH17405"/>
      <c r="EI17405"/>
      <c r="EJ17405"/>
      <c r="EK17405"/>
    </row>
    <row r="17406" spans="1:141" s="116" customFormat="1">
      <c r="A17406" s="136"/>
      <c r="CM17406" s="111"/>
      <c r="CQ17406" s="111"/>
      <c r="EF17406"/>
      <c r="EG17406"/>
      <c r="EH17406"/>
      <c r="EI17406"/>
      <c r="EJ17406"/>
      <c r="EK17406"/>
    </row>
    <row r="17407" spans="1:141" s="116" customFormat="1">
      <c r="A17407" s="136"/>
      <c r="CM17407" s="111"/>
      <c r="CQ17407" s="111"/>
      <c r="EF17407"/>
      <c r="EG17407"/>
      <c r="EH17407"/>
      <c r="EI17407"/>
      <c r="EJ17407"/>
      <c r="EK17407"/>
    </row>
    <row r="17408" spans="1:141" s="116" customFormat="1">
      <c r="A17408" s="136"/>
      <c r="CM17408" s="111"/>
      <c r="CQ17408" s="111"/>
      <c r="EF17408"/>
      <c r="EG17408"/>
      <c r="EH17408"/>
      <c r="EI17408"/>
      <c r="EJ17408"/>
      <c r="EK17408"/>
    </row>
    <row r="17409" spans="1:141" s="116" customFormat="1">
      <c r="A17409" s="136"/>
      <c r="CM17409" s="111"/>
      <c r="CQ17409" s="111"/>
      <c r="EF17409"/>
      <c r="EG17409"/>
      <c r="EH17409"/>
      <c r="EI17409"/>
      <c r="EJ17409"/>
      <c r="EK17409"/>
    </row>
    <row r="17410" spans="1:141" s="116" customFormat="1">
      <c r="A17410" s="136"/>
      <c r="CM17410" s="111"/>
      <c r="CQ17410" s="111"/>
      <c r="EF17410"/>
      <c r="EG17410"/>
      <c r="EH17410"/>
      <c r="EI17410"/>
      <c r="EJ17410"/>
      <c r="EK17410"/>
    </row>
    <row r="17411" spans="1:141" s="116" customFormat="1">
      <c r="A17411" s="136"/>
      <c r="CM17411" s="111"/>
      <c r="CQ17411" s="111"/>
      <c r="EF17411"/>
      <c r="EG17411"/>
      <c r="EH17411"/>
      <c r="EI17411"/>
      <c r="EJ17411"/>
      <c r="EK17411"/>
    </row>
    <row r="17412" spans="1:141" s="116" customFormat="1">
      <c r="A17412" s="136"/>
      <c r="CM17412" s="111"/>
      <c r="CQ17412" s="111"/>
      <c r="EF17412"/>
      <c r="EG17412"/>
      <c r="EH17412"/>
      <c r="EI17412"/>
      <c r="EJ17412"/>
      <c r="EK17412"/>
    </row>
    <row r="17413" spans="1:141" s="116" customFormat="1">
      <c r="A17413" s="136"/>
      <c r="CM17413" s="111"/>
      <c r="CQ17413" s="111"/>
      <c r="EF17413"/>
      <c r="EG17413"/>
      <c r="EH17413"/>
      <c r="EI17413"/>
      <c r="EJ17413"/>
      <c r="EK17413"/>
    </row>
    <row r="17414" spans="1:141" s="116" customFormat="1">
      <c r="A17414" s="136"/>
      <c r="CM17414" s="111"/>
      <c r="CQ17414" s="111"/>
      <c r="EF17414"/>
      <c r="EG17414"/>
      <c r="EH17414"/>
      <c r="EI17414"/>
      <c r="EJ17414"/>
      <c r="EK17414"/>
    </row>
    <row r="17415" spans="1:141" s="116" customFormat="1">
      <c r="A17415" s="136"/>
      <c r="CM17415" s="111"/>
      <c r="CQ17415" s="111"/>
      <c r="EF17415"/>
      <c r="EG17415"/>
      <c r="EH17415"/>
      <c r="EI17415"/>
      <c r="EJ17415"/>
      <c r="EK17415"/>
    </row>
    <row r="17416" spans="1:141" s="116" customFormat="1">
      <c r="A17416" s="136"/>
      <c r="CM17416" s="111"/>
      <c r="CQ17416" s="111"/>
      <c r="EF17416"/>
      <c r="EG17416"/>
      <c r="EH17416"/>
      <c r="EI17416"/>
      <c r="EJ17416"/>
      <c r="EK17416"/>
    </row>
    <row r="17417" spans="1:141" s="116" customFormat="1">
      <c r="A17417" s="136"/>
      <c r="CM17417" s="111"/>
      <c r="CQ17417" s="111"/>
      <c r="EF17417"/>
      <c r="EG17417"/>
      <c r="EH17417"/>
      <c r="EI17417"/>
      <c r="EJ17417"/>
      <c r="EK17417"/>
    </row>
    <row r="17418" spans="1:141" s="116" customFormat="1">
      <c r="A17418" s="136"/>
      <c r="CM17418" s="111"/>
      <c r="CQ17418" s="111"/>
      <c r="EF17418"/>
      <c r="EG17418"/>
      <c r="EH17418"/>
      <c r="EI17418"/>
      <c r="EJ17418"/>
      <c r="EK17418"/>
    </row>
    <row r="17419" spans="1:141" s="116" customFormat="1">
      <c r="A17419" s="136"/>
      <c r="CM17419" s="111"/>
      <c r="CQ17419" s="111"/>
      <c r="EF17419"/>
      <c r="EG17419"/>
      <c r="EH17419"/>
      <c r="EI17419"/>
      <c r="EJ17419"/>
      <c r="EK17419"/>
    </row>
    <row r="17420" spans="1:141" s="116" customFormat="1">
      <c r="A17420" s="136"/>
      <c r="CM17420" s="111"/>
      <c r="CQ17420" s="111"/>
      <c r="EF17420"/>
      <c r="EG17420"/>
      <c r="EH17420"/>
      <c r="EI17420"/>
      <c r="EJ17420"/>
      <c r="EK17420"/>
    </row>
    <row r="17421" spans="1:141" s="116" customFormat="1">
      <c r="A17421" s="136"/>
      <c r="CM17421" s="111"/>
      <c r="CQ17421" s="111"/>
      <c r="EF17421"/>
      <c r="EG17421"/>
      <c r="EH17421"/>
      <c r="EI17421"/>
      <c r="EJ17421"/>
      <c r="EK17421"/>
    </row>
    <row r="17422" spans="1:141" s="116" customFormat="1">
      <c r="A17422" s="136"/>
      <c r="CM17422" s="111"/>
      <c r="CQ17422" s="111"/>
      <c r="EF17422"/>
      <c r="EG17422"/>
      <c r="EH17422"/>
      <c r="EI17422"/>
      <c r="EJ17422"/>
      <c r="EK17422"/>
    </row>
    <row r="17423" spans="1:141" s="116" customFormat="1">
      <c r="A17423" s="136"/>
      <c r="CM17423" s="111"/>
      <c r="CQ17423" s="111"/>
      <c r="EF17423"/>
      <c r="EG17423"/>
      <c r="EH17423"/>
      <c r="EI17423"/>
      <c r="EJ17423"/>
      <c r="EK17423"/>
    </row>
    <row r="17424" spans="1:141" s="116" customFormat="1">
      <c r="A17424" s="136"/>
      <c r="CM17424" s="111"/>
      <c r="CQ17424" s="111"/>
      <c r="EF17424"/>
      <c r="EG17424"/>
      <c r="EH17424"/>
      <c r="EI17424"/>
      <c r="EJ17424"/>
      <c r="EK17424"/>
    </row>
    <row r="17425" spans="1:141" s="116" customFormat="1">
      <c r="A17425" s="136"/>
      <c r="CM17425" s="111"/>
      <c r="CQ17425" s="111"/>
      <c r="EF17425"/>
      <c r="EG17425"/>
      <c r="EH17425"/>
      <c r="EI17425"/>
      <c r="EJ17425"/>
      <c r="EK17425"/>
    </row>
    <row r="17426" spans="1:141" s="116" customFormat="1">
      <c r="A17426" s="136"/>
      <c r="CM17426" s="111"/>
      <c r="CQ17426" s="111"/>
      <c r="EF17426"/>
      <c r="EG17426"/>
      <c r="EH17426"/>
      <c r="EI17426"/>
      <c r="EJ17426"/>
      <c r="EK17426"/>
    </row>
    <row r="17427" spans="1:141" s="116" customFormat="1">
      <c r="A17427" s="136"/>
      <c r="CM17427" s="111"/>
      <c r="CQ17427" s="111"/>
      <c r="EF17427"/>
      <c r="EG17427"/>
      <c r="EH17427"/>
      <c r="EI17427"/>
      <c r="EJ17427"/>
      <c r="EK17427"/>
    </row>
    <row r="17428" spans="1:141" s="116" customFormat="1">
      <c r="A17428" s="136"/>
      <c r="CM17428" s="111"/>
      <c r="CQ17428" s="111"/>
      <c r="EF17428"/>
      <c r="EG17428"/>
      <c r="EH17428"/>
      <c r="EI17428"/>
      <c r="EJ17428"/>
      <c r="EK17428"/>
    </row>
    <row r="17429" spans="1:141" s="116" customFormat="1">
      <c r="A17429" s="136"/>
      <c r="CM17429" s="111"/>
      <c r="CQ17429" s="111"/>
      <c r="EF17429"/>
      <c r="EG17429"/>
      <c r="EH17429"/>
      <c r="EI17429"/>
      <c r="EJ17429"/>
      <c r="EK17429"/>
    </row>
    <row r="17430" spans="1:141" s="116" customFormat="1">
      <c r="A17430" s="136"/>
      <c r="CM17430" s="111"/>
      <c r="CQ17430" s="111"/>
      <c r="EF17430"/>
      <c r="EG17430"/>
      <c r="EH17430"/>
      <c r="EI17430"/>
      <c r="EJ17430"/>
      <c r="EK17430"/>
    </row>
    <row r="17431" spans="1:141" s="116" customFormat="1">
      <c r="A17431" s="136"/>
      <c r="CM17431" s="111"/>
      <c r="CQ17431" s="111"/>
      <c r="EF17431"/>
      <c r="EG17431"/>
      <c r="EH17431"/>
      <c r="EI17431"/>
      <c r="EJ17431"/>
      <c r="EK17431"/>
    </row>
    <row r="17432" spans="1:141" s="116" customFormat="1">
      <c r="A17432" s="136"/>
      <c r="CM17432" s="111"/>
      <c r="CQ17432" s="111"/>
      <c r="EF17432"/>
      <c r="EG17432"/>
      <c r="EH17432"/>
      <c r="EI17432"/>
      <c r="EJ17432"/>
      <c r="EK17432"/>
    </row>
    <row r="17433" spans="1:141" s="116" customFormat="1">
      <c r="A17433" s="136"/>
      <c r="CM17433" s="111"/>
      <c r="CQ17433" s="111"/>
      <c r="EF17433"/>
      <c r="EG17433"/>
      <c r="EH17433"/>
      <c r="EI17433"/>
      <c r="EJ17433"/>
      <c r="EK17433"/>
    </row>
    <row r="17434" spans="1:141" s="116" customFormat="1">
      <c r="A17434" s="136"/>
      <c r="CM17434" s="111"/>
      <c r="CQ17434" s="111"/>
      <c r="EF17434"/>
      <c r="EG17434"/>
      <c r="EH17434"/>
      <c r="EI17434"/>
      <c r="EJ17434"/>
      <c r="EK17434"/>
    </row>
    <row r="17435" spans="1:141" s="116" customFormat="1">
      <c r="A17435" s="136"/>
      <c r="CM17435" s="111"/>
      <c r="CQ17435" s="111"/>
      <c r="EF17435"/>
      <c r="EG17435"/>
      <c r="EH17435"/>
      <c r="EI17435"/>
      <c r="EJ17435"/>
      <c r="EK17435"/>
    </row>
    <row r="17436" spans="1:141" s="116" customFormat="1">
      <c r="A17436" s="136"/>
      <c r="CM17436" s="111"/>
      <c r="CQ17436" s="111"/>
      <c r="EF17436"/>
      <c r="EG17436"/>
      <c r="EH17436"/>
      <c r="EI17436"/>
      <c r="EJ17436"/>
      <c r="EK17436"/>
    </row>
    <row r="17437" spans="1:141" s="116" customFormat="1">
      <c r="A17437" s="136"/>
      <c r="CM17437" s="111"/>
      <c r="CQ17437" s="111"/>
      <c r="EF17437"/>
      <c r="EG17437"/>
      <c r="EH17437"/>
      <c r="EI17437"/>
      <c r="EJ17437"/>
      <c r="EK17437"/>
    </row>
    <row r="17438" spans="1:141" s="116" customFormat="1">
      <c r="A17438" s="136"/>
      <c r="CM17438" s="111"/>
      <c r="CQ17438" s="111"/>
      <c r="EF17438"/>
      <c r="EG17438"/>
      <c r="EH17438"/>
      <c r="EI17438"/>
      <c r="EJ17438"/>
      <c r="EK17438"/>
    </row>
    <row r="17439" spans="1:141" s="116" customFormat="1">
      <c r="A17439" s="136"/>
      <c r="CM17439" s="111"/>
      <c r="CQ17439" s="111"/>
      <c r="EF17439"/>
      <c r="EG17439"/>
      <c r="EH17439"/>
      <c r="EI17439"/>
      <c r="EJ17439"/>
      <c r="EK17439"/>
    </row>
    <row r="17440" spans="1:141" s="116" customFormat="1">
      <c r="A17440" s="136"/>
      <c r="CM17440" s="111"/>
      <c r="CQ17440" s="111"/>
      <c r="EF17440"/>
      <c r="EG17440"/>
      <c r="EH17440"/>
      <c r="EI17440"/>
      <c r="EJ17440"/>
      <c r="EK17440"/>
    </row>
    <row r="17441" spans="1:141" s="116" customFormat="1">
      <c r="A17441" s="136"/>
      <c r="CM17441" s="111"/>
      <c r="CQ17441" s="111"/>
      <c r="EF17441"/>
      <c r="EG17441"/>
      <c r="EH17441"/>
      <c r="EI17441"/>
      <c r="EJ17441"/>
      <c r="EK17441"/>
    </row>
    <row r="17442" spans="1:141" s="116" customFormat="1">
      <c r="A17442" s="136"/>
      <c r="CM17442" s="111"/>
      <c r="CQ17442" s="111"/>
      <c r="EF17442"/>
      <c r="EG17442"/>
      <c r="EH17442"/>
      <c r="EI17442"/>
      <c r="EJ17442"/>
      <c r="EK17442"/>
    </row>
    <row r="17443" spans="1:141" s="116" customFormat="1">
      <c r="A17443" s="136"/>
      <c r="CM17443" s="111"/>
      <c r="CQ17443" s="111"/>
      <c r="EF17443"/>
      <c r="EG17443"/>
      <c r="EH17443"/>
      <c r="EI17443"/>
      <c r="EJ17443"/>
      <c r="EK17443"/>
    </row>
    <row r="17444" spans="1:141" s="116" customFormat="1">
      <c r="A17444" s="136"/>
      <c r="CM17444" s="111"/>
      <c r="CQ17444" s="111"/>
      <c r="EF17444"/>
      <c r="EG17444"/>
      <c r="EH17444"/>
      <c r="EI17444"/>
      <c r="EJ17444"/>
      <c r="EK17444"/>
    </row>
    <row r="17445" spans="1:141" s="116" customFormat="1">
      <c r="A17445" s="136"/>
      <c r="CM17445" s="111"/>
      <c r="CQ17445" s="111"/>
      <c r="EF17445"/>
      <c r="EG17445"/>
      <c r="EH17445"/>
      <c r="EI17445"/>
      <c r="EJ17445"/>
      <c r="EK17445"/>
    </row>
    <row r="17446" spans="1:141" s="116" customFormat="1">
      <c r="A17446" s="136"/>
      <c r="CM17446" s="111"/>
      <c r="CQ17446" s="111"/>
      <c r="EF17446"/>
      <c r="EG17446"/>
      <c r="EH17446"/>
      <c r="EI17446"/>
      <c r="EJ17446"/>
      <c r="EK17446"/>
    </row>
    <row r="17447" spans="1:141" s="116" customFormat="1">
      <c r="A17447" s="136"/>
      <c r="CM17447" s="111"/>
      <c r="CQ17447" s="111"/>
      <c r="EF17447"/>
      <c r="EG17447"/>
      <c r="EH17447"/>
      <c r="EI17447"/>
      <c r="EJ17447"/>
      <c r="EK17447"/>
    </row>
    <row r="17448" spans="1:141" s="116" customFormat="1">
      <c r="A17448" s="136"/>
      <c r="CM17448" s="111"/>
      <c r="CQ17448" s="111"/>
      <c r="EF17448"/>
      <c r="EG17448"/>
      <c r="EH17448"/>
      <c r="EI17448"/>
      <c r="EJ17448"/>
      <c r="EK17448"/>
    </row>
    <row r="17449" spans="1:141" s="116" customFormat="1">
      <c r="A17449" s="136"/>
      <c r="CM17449" s="111"/>
      <c r="CQ17449" s="111"/>
      <c r="EF17449"/>
      <c r="EG17449"/>
      <c r="EH17449"/>
      <c r="EI17449"/>
      <c r="EJ17449"/>
      <c r="EK17449"/>
    </row>
    <row r="17450" spans="1:141" s="116" customFormat="1">
      <c r="A17450" s="136"/>
      <c r="CM17450" s="111"/>
      <c r="CQ17450" s="111"/>
      <c r="EF17450"/>
      <c r="EG17450"/>
      <c r="EH17450"/>
      <c r="EI17450"/>
      <c r="EJ17450"/>
      <c r="EK17450"/>
    </row>
    <row r="17451" spans="1:141" s="116" customFormat="1">
      <c r="A17451" s="136"/>
      <c r="CM17451" s="111"/>
      <c r="CQ17451" s="111"/>
      <c r="EF17451"/>
      <c r="EG17451"/>
      <c r="EH17451"/>
      <c r="EI17451"/>
      <c r="EJ17451"/>
      <c r="EK17451"/>
    </row>
    <row r="17452" spans="1:141" s="116" customFormat="1">
      <c r="A17452" s="136"/>
      <c r="CM17452" s="111"/>
      <c r="CQ17452" s="111"/>
      <c r="EF17452"/>
      <c r="EG17452"/>
      <c r="EH17452"/>
      <c r="EI17452"/>
      <c r="EJ17452"/>
      <c r="EK17452"/>
    </row>
    <row r="17453" spans="1:141" s="116" customFormat="1">
      <c r="A17453" s="136"/>
      <c r="CM17453" s="111"/>
      <c r="CQ17453" s="111"/>
      <c r="EF17453"/>
      <c r="EG17453"/>
      <c r="EH17453"/>
      <c r="EI17453"/>
      <c r="EJ17453"/>
      <c r="EK17453"/>
    </row>
    <row r="17454" spans="1:141" s="116" customFormat="1">
      <c r="A17454" s="136"/>
      <c r="CM17454" s="111"/>
      <c r="CQ17454" s="111"/>
      <c r="EF17454"/>
      <c r="EG17454"/>
      <c r="EH17454"/>
      <c r="EI17454"/>
      <c r="EJ17454"/>
      <c r="EK17454"/>
    </row>
    <row r="17455" spans="1:141" s="116" customFormat="1">
      <c r="A17455" s="136"/>
      <c r="CM17455" s="111"/>
      <c r="CQ17455" s="111"/>
      <c r="EF17455"/>
      <c r="EG17455"/>
      <c r="EH17455"/>
      <c r="EI17455"/>
      <c r="EJ17455"/>
      <c r="EK17455"/>
    </row>
    <row r="17456" spans="1:141" s="116" customFormat="1">
      <c r="A17456" s="136"/>
      <c r="CM17456" s="111"/>
      <c r="CQ17456" s="111"/>
      <c r="EF17456"/>
      <c r="EG17456"/>
      <c r="EH17456"/>
      <c r="EI17456"/>
      <c r="EJ17456"/>
      <c r="EK17456"/>
    </row>
    <row r="17457" spans="1:141" s="116" customFormat="1">
      <c r="A17457" s="136"/>
      <c r="CM17457" s="111"/>
      <c r="CQ17457" s="111"/>
      <c r="EF17457"/>
      <c r="EG17457"/>
      <c r="EH17457"/>
      <c r="EI17457"/>
      <c r="EJ17457"/>
      <c r="EK17457"/>
    </row>
    <row r="17458" spans="1:141" s="116" customFormat="1">
      <c r="A17458" s="136"/>
      <c r="CM17458" s="111"/>
      <c r="CQ17458" s="111"/>
      <c r="EF17458"/>
      <c r="EG17458"/>
      <c r="EH17458"/>
      <c r="EI17458"/>
      <c r="EJ17458"/>
      <c r="EK17458"/>
    </row>
    <row r="17459" spans="1:141" s="116" customFormat="1">
      <c r="A17459" s="136"/>
      <c r="CM17459" s="111"/>
      <c r="CQ17459" s="111"/>
      <c r="EF17459"/>
      <c r="EG17459"/>
      <c r="EH17459"/>
      <c r="EI17459"/>
      <c r="EJ17459"/>
      <c r="EK17459"/>
    </row>
    <row r="17460" spans="1:141" s="116" customFormat="1">
      <c r="A17460" s="136"/>
      <c r="CM17460" s="111"/>
      <c r="CQ17460" s="111"/>
      <c r="EF17460"/>
      <c r="EG17460"/>
      <c r="EH17460"/>
      <c r="EI17460"/>
      <c r="EJ17460"/>
      <c r="EK17460"/>
    </row>
    <row r="17461" spans="1:141" s="116" customFormat="1">
      <c r="A17461" s="136"/>
      <c r="CM17461" s="111"/>
      <c r="CQ17461" s="111"/>
      <c r="EF17461"/>
      <c r="EG17461"/>
      <c r="EH17461"/>
      <c r="EI17461"/>
      <c r="EJ17461"/>
      <c r="EK17461"/>
    </row>
    <row r="17462" spans="1:141" s="116" customFormat="1">
      <c r="A17462" s="136"/>
      <c r="CM17462" s="111"/>
      <c r="CQ17462" s="111"/>
      <c r="EF17462"/>
      <c r="EG17462"/>
      <c r="EH17462"/>
      <c r="EI17462"/>
      <c r="EJ17462"/>
      <c r="EK17462"/>
    </row>
    <row r="17463" spans="1:141" s="116" customFormat="1">
      <c r="A17463" s="136"/>
      <c r="CM17463" s="111"/>
      <c r="CQ17463" s="111"/>
      <c r="EF17463"/>
      <c r="EG17463"/>
      <c r="EH17463"/>
      <c r="EI17463"/>
      <c r="EJ17463"/>
      <c r="EK17463"/>
    </row>
    <row r="17464" spans="1:141" s="116" customFormat="1">
      <c r="A17464" s="136"/>
      <c r="CM17464" s="111"/>
      <c r="CQ17464" s="111"/>
      <c r="EF17464"/>
      <c r="EG17464"/>
      <c r="EH17464"/>
      <c r="EI17464"/>
      <c r="EJ17464"/>
      <c r="EK17464"/>
    </row>
    <row r="17465" spans="1:141" s="116" customFormat="1">
      <c r="A17465" s="136"/>
      <c r="CM17465" s="111"/>
      <c r="CQ17465" s="111"/>
      <c r="EF17465"/>
      <c r="EG17465"/>
      <c r="EH17465"/>
      <c r="EI17465"/>
      <c r="EJ17465"/>
      <c r="EK17465"/>
    </row>
    <row r="17466" spans="1:141" s="116" customFormat="1">
      <c r="A17466" s="136"/>
      <c r="CM17466" s="111"/>
      <c r="CQ17466" s="111"/>
      <c r="EF17466"/>
      <c r="EG17466"/>
      <c r="EH17466"/>
      <c r="EI17466"/>
      <c r="EJ17466"/>
      <c r="EK17466"/>
    </row>
    <row r="17467" spans="1:141" s="116" customFormat="1">
      <c r="A17467" s="136"/>
      <c r="CM17467" s="111"/>
      <c r="CQ17467" s="111"/>
      <c r="EF17467"/>
      <c r="EG17467"/>
      <c r="EH17467"/>
      <c r="EI17467"/>
      <c r="EJ17467"/>
      <c r="EK17467"/>
    </row>
    <row r="17468" spans="1:141" s="116" customFormat="1">
      <c r="A17468" s="136"/>
      <c r="CM17468" s="111"/>
      <c r="CQ17468" s="111"/>
      <c r="EF17468"/>
      <c r="EG17468"/>
      <c r="EH17468"/>
      <c r="EI17468"/>
      <c r="EJ17468"/>
      <c r="EK17468"/>
    </row>
    <row r="17469" spans="1:141" s="116" customFormat="1">
      <c r="A17469" s="136"/>
      <c r="CM17469" s="111"/>
      <c r="CQ17469" s="111"/>
      <c r="EF17469"/>
      <c r="EG17469"/>
      <c r="EH17469"/>
      <c r="EI17469"/>
      <c r="EJ17469"/>
      <c r="EK17469"/>
    </row>
    <row r="17470" spans="1:141" s="116" customFormat="1">
      <c r="A17470" s="136"/>
      <c r="CM17470" s="111"/>
      <c r="CQ17470" s="111"/>
      <c r="EF17470"/>
      <c r="EG17470"/>
      <c r="EH17470"/>
      <c r="EI17470"/>
      <c r="EJ17470"/>
      <c r="EK17470"/>
    </row>
    <row r="17471" spans="1:141" s="116" customFormat="1">
      <c r="A17471" s="136"/>
      <c r="CM17471" s="111"/>
      <c r="CQ17471" s="111"/>
      <c r="EF17471"/>
      <c r="EG17471"/>
      <c r="EH17471"/>
      <c r="EI17471"/>
      <c r="EJ17471"/>
      <c r="EK17471"/>
    </row>
    <row r="17472" spans="1:141" s="116" customFormat="1">
      <c r="A17472" s="136"/>
      <c r="CM17472" s="111"/>
      <c r="CQ17472" s="111"/>
      <c r="EF17472"/>
      <c r="EG17472"/>
      <c r="EH17472"/>
      <c r="EI17472"/>
      <c r="EJ17472"/>
      <c r="EK17472"/>
    </row>
    <row r="17473" spans="1:141" s="116" customFormat="1">
      <c r="A17473" s="136"/>
      <c r="CM17473" s="111"/>
      <c r="CQ17473" s="111"/>
      <c r="EF17473"/>
      <c r="EG17473"/>
      <c r="EH17473"/>
      <c r="EI17473"/>
      <c r="EJ17473"/>
      <c r="EK17473"/>
    </row>
    <row r="17474" spans="1:141" s="116" customFormat="1">
      <c r="A17474" s="136"/>
      <c r="CM17474" s="111"/>
      <c r="CQ17474" s="111"/>
      <c r="EF17474"/>
      <c r="EG17474"/>
      <c r="EH17474"/>
      <c r="EI17474"/>
      <c r="EJ17474"/>
      <c r="EK17474"/>
    </row>
    <row r="17475" spans="1:141" s="116" customFormat="1">
      <c r="A17475" s="136"/>
      <c r="CM17475" s="111"/>
      <c r="CQ17475" s="111"/>
      <c r="EF17475"/>
      <c r="EG17475"/>
      <c r="EH17475"/>
      <c r="EI17475"/>
      <c r="EJ17475"/>
      <c r="EK17475"/>
    </row>
    <row r="17476" spans="1:141" s="116" customFormat="1">
      <c r="A17476" s="136"/>
      <c r="CM17476" s="111"/>
      <c r="CQ17476" s="111"/>
      <c r="EF17476"/>
      <c r="EG17476"/>
      <c r="EH17476"/>
      <c r="EI17476"/>
      <c r="EJ17476"/>
      <c r="EK17476"/>
    </row>
    <row r="17477" spans="1:141" s="116" customFormat="1">
      <c r="A17477" s="136"/>
      <c r="CM17477" s="111"/>
      <c r="CQ17477" s="111"/>
      <c r="EF17477"/>
      <c r="EG17477"/>
      <c r="EH17477"/>
      <c r="EI17477"/>
      <c r="EJ17477"/>
      <c r="EK17477"/>
    </row>
    <row r="17478" spans="1:141" s="116" customFormat="1">
      <c r="A17478" s="136"/>
      <c r="CM17478" s="111"/>
      <c r="CQ17478" s="111"/>
      <c r="EF17478"/>
      <c r="EG17478"/>
      <c r="EH17478"/>
      <c r="EI17478"/>
      <c r="EJ17478"/>
      <c r="EK17478"/>
    </row>
    <row r="17479" spans="1:141" s="116" customFormat="1">
      <c r="A17479" s="136"/>
      <c r="CM17479" s="111"/>
      <c r="CQ17479" s="111"/>
      <c r="EF17479"/>
      <c r="EG17479"/>
      <c r="EH17479"/>
      <c r="EI17479"/>
      <c r="EJ17479"/>
      <c r="EK17479"/>
    </row>
    <row r="17480" spans="1:141" s="116" customFormat="1">
      <c r="A17480" s="136"/>
      <c r="CM17480" s="111"/>
      <c r="CQ17480" s="111"/>
      <c r="EF17480"/>
      <c r="EG17480"/>
      <c r="EH17480"/>
      <c r="EI17480"/>
      <c r="EJ17480"/>
      <c r="EK17480"/>
    </row>
    <row r="17481" spans="1:141" s="116" customFormat="1">
      <c r="A17481" s="136"/>
      <c r="CM17481" s="111"/>
      <c r="CQ17481" s="111"/>
      <c r="EF17481"/>
      <c r="EG17481"/>
      <c r="EH17481"/>
      <c r="EI17481"/>
      <c r="EJ17481"/>
      <c r="EK17481"/>
    </row>
    <row r="17482" spans="1:141" s="116" customFormat="1">
      <c r="A17482" s="136"/>
      <c r="CM17482" s="111"/>
      <c r="CQ17482" s="111"/>
      <c r="EF17482"/>
      <c r="EG17482"/>
      <c r="EH17482"/>
      <c r="EI17482"/>
      <c r="EJ17482"/>
      <c r="EK17482"/>
    </row>
    <row r="17483" spans="1:141" s="116" customFormat="1">
      <c r="A17483" s="136"/>
      <c r="CM17483" s="111"/>
      <c r="CQ17483" s="111"/>
      <c r="EF17483"/>
      <c r="EG17483"/>
      <c r="EH17483"/>
      <c r="EI17483"/>
      <c r="EJ17483"/>
      <c r="EK17483"/>
    </row>
    <row r="17484" spans="1:141" s="116" customFormat="1">
      <c r="A17484" s="136"/>
      <c r="CM17484" s="111"/>
      <c r="CQ17484" s="111"/>
      <c r="EF17484"/>
      <c r="EG17484"/>
      <c r="EH17484"/>
      <c r="EI17484"/>
      <c r="EJ17484"/>
      <c r="EK17484"/>
    </row>
    <row r="17485" spans="1:141" s="116" customFormat="1">
      <c r="A17485" s="136"/>
      <c r="CM17485" s="111"/>
      <c r="CQ17485" s="111"/>
      <c r="EF17485"/>
      <c r="EG17485"/>
      <c r="EH17485"/>
      <c r="EI17485"/>
      <c r="EJ17485"/>
      <c r="EK17485"/>
    </row>
    <row r="17486" spans="1:141" s="116" customFormat="1">
      <c r="A17486" s="136"/>
      <c r="CM17486" s="111"/>
      <c r="CQ17486" s="111"/>
      <c r="EF17486"/>
      <c r="EG17486"/>
      <c r="EH17486"/>
      <c r="EI17486"/>
      <c r="EJ17486"/>
      <c r="EK17486"/>
    </row>
    <row r="17487" spans="1:141" s="116" customFormat="1">
      <c r="A17487" s="136"/>
      <c r="CM17487" s="111"/>
      <c r="CQ17487" s="111"/>
      <c r="EF17487"/>
      <c r="EG17487"/>
      <c r="EH17487"/>
      <c r="EI17487"/>
      <c r="EJ17487"/>
      <c r="EK17487"/>
    </row>
    <row r="17488" spans="1:141" s="116" customFormat="1">
      <c r="A17488" s="136"/>
      <c r="CM17488" s="111"/>
      <c r="CQ17488" s="111"/>
      <c r="EF17488"/>
      <c r="EG17488"/>
      <c r="EH17488"/>
      <c r="EI17488"/>
      <c r="EJ17488"/>
      <c r="EK17488"/>
    </row>
    <row r="17489" spans="1:141" s="116" customFormat="1">
      <c r="A17489" s="136"/>
      <c r="CM17489" s="111"/>
      <c r="CQ17489" s="111"/>
      <c r="EF17489"/>
      <c r="EG17489"/>
      <c r="EH17489"/>
      <c r="EI17489"/>
      <c r="EJ17489"/>
      <c r="EK17489"/>
    </row>
    <row r="17490" spans="1:141" s="116" customFormat="1">
      <c r="A17490" s="136"/>
      <c r="CM17490" s="111"/>
      <c r="CQ17490" s="111"/>
      <c r="EF17490"/>
      <c r="EG17490"/>
      <c r="EH17490"/>
      <c r="EI17490"/>
      <c r="EJ17490"/>
      <c r="EK17490"/>
    </row>
    <row r="17491" spans="1:141" s="116" customFormat="1">
      <c r="A17491" s="136"/>
      <c r="CM17491" s="111"/>
      <c r="CQ17491" s="111"/>
      <c r="EF17491"/>
      <c r="EG17491"/>
      <c r="EH17491"/>
      <c r="EI17491"/>
      <c r="EJ17491"/>
      <c r="EK17491"/>
    </row>
    <row r="17492" spans="1:141" s="116" customFormat="1">
      <c r="A17492" s="136"/>
      <c r="CM17492" s="111"/>
      <c r="CQ17492" s="111"/>
      <c r="EF17492"/>
      <c r="EG17492"/>
      <c r="EH17492"/>
      <c r="EI17492"/>
      <c r="EJ17492"/>
      <c r="EK17492"/>
    </row>
    <row r="17493" spans="1:141" s="116" customFormat="1">
      <c r="A17493" s="136"/>
      <c r="CM17493" s="111"/>
      <c r="CQ17493" s="111"/>
      <c r="EF17493"/>
      <c r="EG17493"/>
      <c r="EH17493"/>
      <c r="EI17493"/>
      <c r="EJ17493"/>
      <c r="EK17493"/>
    </row>
    <row r="17494" spans="1:141" s="116" customFormat="1">
      <c r="A17494" s="136"/>
      <c r="CM17494" s="111"/>
      <c r="CQ17494" s="111"/>
      <c r="EF17494"/>
      <c r="EG17494"/>
      <c r="EH17494"/>
      <c r="EI17494"/>
      <c r="EJ17494"/>
      <c r="EK17494"/>
    </row>
    <row r="17495" spans="1:141" s="116" customFormat="1">
      <c r="A17495" s="136"/>
      <c r="CM17495" s="111"/>
      <c r="CQ17495" s="111"/>
      <c r="EF17495"/>
      <c r="EG17495"/>
      <c r="EH17495"/>
      <c r="EI17495"/>
      <c r="EJ17495"/>
      <c r="EK17495"/>
    </row>
    <row r="17496" spans="1:141" s="116" customFormat="1">
      <c r="A17496" s="136"/>
      <c r="CM17496" s="111"/>
      <c r="CQ17496" s="111"/>
      <c r="EF17496"/>
      <c r="EG17496"/>
      <c r="EH17496"/>
      <c r="EI17496"/>
      <c r="EJ17496"/>
      <c r="EK17496"/>
    </row>
    <row r="17497" spans="1:141" s="116" customFormat="1">
      <c r="A17497" s="136"/>
      <c r="CM17497" s="111"/>
      <c r="CQ17497" s="111"/>
      <c r="EF17497"/>
      <c r="EG17497"/>
      <c r="EH17497"/>
      <c r="EI17497"/>
      <c r="EJ17497"/>
      <c r="EK17497"/>
    </row>
    <row r="17498" spans="1:141" s="116" customFormat="1">
      <c r="A17498" s="136"/>
      <c r="CM17498" s="111"/>
      <c r="CQ17498" s="111"/>
      <c r="EF17498"/>
      <c r="EG17498"/>
      <c r="EH17498"/>
      <c r="EI17498"/>
      <c r="EJ17498"/>
      <c r="EK17498"/>
    </row>
    <row r="17499" spans="1:141" s="116" customFormat="1">
      <c r="A17499" s="136"/>
      <c r="CM17499" s="111"/>
      <c r="CQ17499" s="111"/>
      <c r="EF17499"/>
      <c r="EG17499"/>
      <c r="EH17499"/>
      <c r="EI17499"/>
      <c r="EJ17499"/>
      <c r="EK17499"/>
    </row>
    <row r="17500" spans="1:141" s="116" customFormat="1">
      <c r="A17500" s="136"/>
      <c r="CM17500" s="111"/>
      <c r="CQ17500" s="111"/>
      <c r="EF17500"/>
      <c r="EG17500"/>
      <c r="EH17500"/>
      <c r="EI17500"/>
      <c r="EJ17500"/>
      <c r="EK17500"/>
    </row>
    <row r="17501" spans="1:141" s="116" customFormat="1">
      <c r="A17501" s="136"/>
      <c r="CM17501" s="111"/>
      <c r="CQ17501" s="111"/>
      <c r="EF17501"/>
      <c r="EG17501"/>
      <c r="EH17501"/>
      <c r="EI17501"/>
      <c r="EJ17501"/>
      <c r="EK17501"/>
    </row>
    <row r="17502" spans="1:141" s="116" customFormat="1">
      <c r="A17502" s="136"/>
      <c r="CM17502" s="111"/>
      <c r="CQ17502" s="111"/>
      <c r="EF17502"/>
      <c r="EG17502"/>
      <c r="EH17502"/>
      <c r="EI17502"/>
      <c r="EJ17502"/>
      <c r="EK17502"/>
    </row>
    <row r="17503" spans="1:141" s="116" customFormat="1">
      <c r="A17503" s="136"/>
      <c r="CM17503" s="111"/>
      <c r="CQ17503" s="111"/>
      <c r="EF17503"/>
      <c r="EG17503"/>
      <c r="EH17503"/>
      <c r="EI17503"/>
      <c r="EJ17503"/>
      <c r="EK17503"/>
    </row>
    <row r="17504" spans="1:141" s="116" customFormat="1">
      <c r="A17504" s="136"/>
      <c r="CM17504" s="111"/>
      <c r="CQ17504" s="111"/>
      <c r="EF17504"/>
      <c r="EG17504"/>
      <c r="EH17504"/>
      <c r="EI17504"/>
      <c r="EJ17504"/>
      <c r="EK17504"/>
    </row>
    <row r="17505" spans="1:141" s="116" customFormat="1">
      <c r="A17505" s="136"/>
      <c r="CM17505" s="111"/>
      <c r="CQ17505" s="111"/>
      <c r="EF17505"/>
      <c r="EG17505"/>
      <c r="EH17505"/>
      <c r="EI17505"/>
      <c r="EJ17505"/>
      <c r="EK17505"/>
    </row>
    <row r="17506" spans="1:141" s="116" customFormat="1">
      <c r="A17506" s="136"/>
      <c r="CM17506" s="111"/>
      <c r="CQ17506" s="111"/>
      <c r="EF17506"/>
      <c r="EG17506"/>
      <c r="EH17506"/>
      <c r="EI17506"/>
      <c r="EJ17506"/>
      <c r="EK17506"/>
    </row>
    <row r="17507" spans="1:141" s="116" customFormat="1">
      <c r="A17507" s="136"/>
      <c r="CM17507" s="111"/>
      <c r="CQ17507" s="111"/>
      <c r="EF17507"/>
      <c r="EG17507"/>
      <c r="EH17507"/>
      <c r="EI17507"/>
      <c r="EJ17507"/>
      <c r="EK17507"/>
    </row>
    <row r="17508" spans="1:141" s="116" customFormat="1">
      <c r="A17508" s="136"/>
      <c r="CM17508" s="111"/>
      <c r="CQ17508" s="111"/>
      <c r="EF17508"/>
      <c r="EG17508"/>
      <c r="EH17508"/>
      <c r="EI17508"/>
      <c r="EJ17508"/>
      <c r="EK17508"/>
    </row>
    <row r="17509" spans="1:141" s="116" customFormat="1">
      <c r="A17509" s="136"/>
      <c r="CM17509" s="111"/>
      <c r="CQ17509" s="111"/>
      <c r="EF17509"/>
      <c r="EG17509"/>
      <c r="EH17509"/>
      <c r="EI17509"/>
      <c r="EJ17509"/>
      <c r="EK17509"/>
    </row>
    <row r="17510" spans="1:141" s="116" customFormat="1">
      <c r="A17510" s="136"/>
      <c r="CM17510" s="111"/>
      <c r="CQ17510" s="111"/>
      <c r="EF17510"/>
      <c r="EG17510"/>
      <c r="EH17510"/>
      <c r="EI17510"/>
      <c r="EJ17510"/>
      <c r="EK17510"/>
    </row>
    <row r="17511" spans="1:141" s="116" customFormat="1">
      <c r="A17511" s="136"/>
      <c r="CM17511" s="111"/>
      <c r="CQ17511" s="111"/>
      <c r="EF17511"/>
      <c r="EG17511"/>
      <c r="EH17511"/>
      <c r="EI17511"/>
      <c r="EJ17511"/>
      <c r="EK17511"/>
    </row>
    <row r="17512" spans="1:141" s="116" customFormat="1">
      <c r="A17512" s="136"/>
      <c r="CM17512" s="111"/>
      <c r="CQ17512" s="111"/>
      <c r="EF17512"/>
      <c r="EG17512"/>
      <c r="EH17512"/>
      <c r="EI17512"/>
      <c r="EJ17512"/>
      <c r="EK17512"/>
    </row>
    <row r="17513" spans="1:141" s="116" customFormat="1">
      <c r="A17513" s="136"/>
      <c r="CM17513" s="111"/>
      <c r="CQ17513" s="111"/>
      <c r="EF17513"/>
      <c r="EG17513"/>
      <c r="EH17513"/>
      <c r="EI17513"/>
      <c r="EJ17513"/>
      <c r="EK17513"/>
    </row>
    <row r="17514" spans="1:141" s="116" customFormat="1">
      <c r="A17514" s="136"/>
      <c r="CM17514" s="111"/>
      <c r="CQ17514" s="111"/>
      <c r="EF17514"/>
      <c r="EG17514"/>
      <c r="EH17514"/>
      <c r="EI17514"/>
      <c r="EJ17514"/>
      <c r="EK17514"/>
    </row>
    <row r="17515" spans="1:141" s="116" customFormat="1">
      <c r="A17515" s="136"/>
      <c r="CM17515" s="111"/>
      <c r="CQ17515" s="111"/>
      <c r="EF17515"/>
      <c r="EG17515"/>
      <c r="EH17515"/>
      <c r="EI17515"/>
      <c r="EJ17515"/>
      <c r="EK17515"/>
    </row>
    <row r="17516" spans="1:141" s="116" customFormat="1">
      <c r="A17516" s="136"/>
      <c r="CM17516" s="111"/>
      <c r="CQ17516" s="111"/>
      <c r="EF17516"/>
      <c r="EG17516"/>
      <c r="EH17516"/>
      <c r="EI17516"/>
      <c r="EJ17516"/>
      <c r="EK17516"/>
    </row>
    <row r="17517" spans="1:141" s="116" customFormat="1">
      <c r="A17517" s="136"/>
      <c r="CM17517" s="111"/>
      <c r="CQ17517" s="111"/>
      <c r="EF17517"/>
      <c r="EG17517"/>
      <c r="EH17517"/>
      <c r="EI17517"/>
      <c r="EJ17517"/>
      <c r="EK17517"/>
    </row>
    <row r="17518" spans="1:141" s="116" customFormat="1">
      <c r="A17518" s="136"/>
      <c r="CM17518" s="111"/>
      <c r="CQ17518" s="111"/>
      <c r="EF17518"/>
      <c r="EG17518"/>
      <c r="EH17518"/>
      <c r="EI17518"/>
      <c r="EJ17518"/>
      <c r="EK17518"/>
    </row>
    <row r="17519" spans="1:141" s="116" customFormat="1">
      <c r="A17519" s="136"/>
      <c r="CM17519" s="111"/>
      <c r="CQ17519" s="111"/>
      <c r="EF17519"/>
      <c r="EG17519"/>
      <c r="EH17519"/>
      <c r="EI17519"/>
      <c r="EJ17519"/>
      <c r="EK17519"/>
    </row>
    <row r="17520" spans="1:141" s="116" customFormat="1">
      <c r="A17520" s="136"/>
      <c r="CM17520" s="111"/>
      <c r="CQ17520" s="111"/>
      <c r="EF17520"/>
      <c r="EG17520"/>
      <c r="EH17520"/>
      <c r="EI17520"/>
      <c r="EJ17520"/>
      <c r="EK17520"/>
    </row>
    <row r="17521" spans="1:141" s="116" customFormat="1">
      <c r="A17521" s="136"/>
      <c r="CM17521" s="111"/>
      <c r="CQ17521" s="111"/>
      <c r="EF17521"/>
      <c r="EG17521"/>
      <c r="EH17521"/>
      <c r="EI17521"/>
      <c r="EJ17521"/>
      <c r="EK17521"/>
    </row>
    <row r="17522" spans="1:141" s="116" customFormat="1">
      <c r="A17522" s="136"/>
      <c r="CM17522" s="111"/>
      <c r="CQ17522" s="111"/>
      <c r="EF17522"/>
      <c r="EG17522"/>
      <c r="EH17522"/>
      <c r="EI17522"/>
      <c r="EJ17522"/>
      <c r="EK17522"/>
    </row>
    <row r="17523" spans="1:141" s="116" customFormat="1">
      <c r="A17523" s="136"/>
      <c r="CM17523" s="111"/>
      <c r="CQ17523" s="111"/>
      <c r="EF17523"/>
      <c r="EG17523"/>
      <c r="EH17523"/>
      <c r="EI17523"/>
      <c r="EJ17523"/>
      <c r="EK17523"/>
    </row>
    <row r="17524" spans="1:141" s="116" customFormat="1">
      <c r="A17524" s="136"/>
      <c r="CM17524" s="111"/>
      <c r="CQ17524" s="111"/>
      <c r="EF17524"/>
      <c r="EG17524"/>
      <c r="EH17524"/>
      <c r="EI17524"/>
      <c r="EJ17524"/>
      <c r="EK17524"/>
    </row>
    <row r="17525" spans="1:141" s="116" customFormat="1">
      <c r="A17525" s="136"/>
      <c r="CM17525" s="111"/>
      <c r="CQ17525" s="111"/>
      <c r="EF17525"/>
      <c r="EG17525"/>
      <c r="EH17525"/>
      <c r="EI17525"/>
      <c r="EJ17525"/>
      <c r="EK17525"/>
    </row>
    <row r="17526" spans="1:141" s="116" customFormat="1">
      <c r="A17526" s="136"/>
      <c r="CM17526" s="111"/>
      <c r="CQ17526" s="111"/>
      <c r="EF17526"/>
      <c r="EG17526"/>
      <c r="EH17526"/>
      <c r="EI17526"/>
      <c r="EJ17526"/>
      <c r="EK17526"/>
    </row>
    <row r="17527" spans="1:141" s="116" customFormat="1">
      <c r="A17527" s="136"/>
      <c r="CM17527" s="111"/>
      <c r="CQ17527" s="111"/>
      <c r="EF17527"/>
      <c r="EG17527"/>
      <c r="EH17527"/>
      <c r="EI17527"/>
      <c r="EJ17527"/>
      <c r="EK17527"/>
    </row>
    <row r="17528" spans="1:141" s="116" customFormat="1">
      <c r="A17528" s="136"/>
      <c r="CM17528" s="111"/>
      <c r="CQ17528" s="111"/>
      <c r="EF17528"/>
      <c r="EG17528"/>
      <c r="EH17528"/>
      <c r="EI17528"/>
      <c r="EJ17528"/>
      <c r="EK17528"/>
    </row>
    <row r="17529" spans="1:141" s="116" customFormat="1">
      <c r="A17529" s="136"/>
      <c r="CM17529" s="111"/>
      <c r="CQ17529" s="111"/>
      <c r="EF17529"/>
      <c r="EG17529"/>
      <c r="EH17529"/>
      <c r="EI17529"/>
      <c r="EJ17529"/>
      <c r="EK17529"/>
    </row>
    <row r="17530" spans="1:141" s="116" customFormat="1">
      <c r="A17530" s="136"/>
      <c r="CM17530" s="111"/>
      <c r="CQ17530" s="111"/>
      <c r="EF17530"/>
      <c r="EG17530"/>
      <c r="EH17530"/>
      <c r="EI17530"/>
      <c r="EJ17530"/>
      <c r="EK17530"/>
    </row>
    <row r="17531" spans="1:141" s="116" customFormat="1">
      <c r="A17531" s="136"/>
      <c r="CM17531" s="111"/>
      <c r="CQ17531" s="111"/>
      <c r="EF17531"/>
      <c r="EG17531"/>
      <c r="EH17531"/>
      <c r="EI17531"/>
      <c r="EJ17531"/>
      <c r="EK17531"/>
    </row>
    <row r="17532" spans="1:141" s="116" customFormat="1">
      <c r="A17532" s="136"/>
      <c r="CM17532" s="111"/>
      <c r="CQ17532" s="111"/>
      <c r="EF17532"/>
      <c r="EG17532"/>
      <c r="EH17532"/>
      <c r="EI17532"/>
      <c r="EJ17532"/>
      <c r="EK17532"/>
    </row>
    <row r="17533" spans="1:141" s="116" customFormat="1">
      <c r="A17533" s="136"/>
      <c r="CM17533" s="111"/>
      <c r="CQ17533" s="111"/>
      <c r="EF17533"/>
      <c r="EG17533"/>
      <c r="EH17533"/>
      <c r="EI17533"/>
      <c r="EJ17533"/>
      <c r="EK17533"/>
    </row>
    <row r="17534" spans="1:141" s="116" customFormat="1">
      <c r="A17534" s="136"/>
      <c r="CM17534" s="111"/>
      <c r="CQ17534" s="111"/>
      <c r="EF17534"/>
      <c r="EG17534"/>
      <c r="EH17534"/>
      <c r="EI17534"/>
      <c r="EJ17534"/>
      <c r="EK17534"/>
    </row>
    <row r="17535" spans="1:141" s="116" customFormat="1">
      <c r="A17535" s="136"/>
      <c r="CM17535" s="111"/>
      <c r="CQ17535" s="111"/>
      <c r="EF17535"/>
      <c r="EG17535"/>
      <c r="EH17535"/>
      <c r="EI17535"/>
      <c r="EJ17535"/>
      <c r="EK17535"/>
    </row>
    <row r="17536" spans="1:141" s="116" customFormat="1">
      <c r="A17536" s="136"/>
      <c r="CM17536" s="111"/>
      <c r="CQ17536" s="111"/>
      <c r="EF17536"/>
      <c r="EG17536"/>
      <c r="EH17536"/>
      <c r="EI17536"/>
      <c r="EJ17536"/>
      <c r="EK17536"/>
    </row>
    <row r="17537" spans="1:141" s="116" customFormat="1">
      <c r="A17537" s="136"/>
      <c r="CM17537" s="111"/>
      <c r="CQ17537" s="111"/>
      <c r="EF17537"/>
      <c r="EG17537"/>
      <c r="EH17537"/>
      <c r="EI17537"/>
      <c r="EJ17537"/>
      <c r="EK17537"/>
    </row>
    <row r="17538" spans="1:141" s="116" customFormat="1">
      <c r="A17538" s="136"/>
      <c r="CM17538" s="111"/>
      <c r="CQ17538" s="111"/>
      <c r="EF17538"/>
      <c r="EG17538"/>
      <c r="EH17538"/>
      <c r="EI17538"/>
      <c r="EJ17538"/>
      <c r="EK17538"/>
    </row>
    <row r="17539" spans="1:141" s="116" customFormat="1">
      <c r="A17539" s="136"/>
      <c r="CM17539" s="111"/>
      <c r="CQ17539" s="111"/>
      <c r="EF17539"/>
      <c r="EG17539"/>
      <c r="EH17539"/>
      <c r="EI17539"/>
      <c r="EJ17539"/>
      <c r="EK17539"/>
    </row>
    <row r="17540" spans="1:141" s="116" customFormat="1">
      <c r="A17540" s="136"/>
      <c r="CM17540" s="111"/>
      <c r="CQ17540" s="111"/>
      <c r="EF17540"/>
      <c r="EG17540"/>
      <c r="EH17540"/>
      <c r="EI17540"/>
      <c r="EJ17540"/>
      <c r="EK17540"/>
    </row>
    <row r="17541" spans="1:141" s="116" customFormat="1">
      <c r="A17541" s="136"/>
      <c r="CM17541" s="111"/>
      <c r="CQ17541" s="111"/>
      <c r="EF17541"/>
      <c r="EG17541"/>
      <c r="EH17541"/>
      <c r="EI17541"/>
      <c r="EJ17541"/>
      <c r="EK17541"/>
    </row>
    <row r="17542" spans="1:141" s="116" customFormat="1">
      <c r="A17542" s="136"/>
      <c r="CM17542" s="111"/>
      <c r="CQ17542" s="111"/>
      <c r="EF17542"/>
      <c r="EG17542"/>
      <c r="EH17542"/>
      <c r="EI17542"/>
      <c r="EJ17542"/>
      <c r="EK17542"/>
    </row>
    <row r="17543" spans="1:141" s="116" customFormat="1">
      <c r="A17543" s="136"/>
      <c r="CM17543" s="111"/>
      <c r="CQ17543" s="111"/>
      <c r="EF17543"/>
      <c r="EG17543"/>
      <c r="EH17543"/>
      <c r="EI17543"/>
      <c r="EJ17543"/>
      <c r="EK17543"/>
    </row>
    <row r="17544" spans="1:141" s="116" customFormat="1">
      <c r="A17544" s="136"/>
      <c r="CM17544" s="111"/>
      <c r="CQ17544" s="111"/>
      <c r="EF17544"/>
      <c r="EG17544"/>
      <c r="EH17544"/>
      <c r="EI17544"/>
      <c r="EJ17544"/>
      <c r="EK17544"/>
    </row>
    <row r="17545" spans="1:141" s="116" customFormat="1">
      <c r="A17545" s="136"/>
      <c r="CM17545" s="111"/>
      <c r="CQ17545" s="111"/>
      <c r="EF17545"/>
      <c r="EG17545"/>
      <c r="EH17545"/>
      <c r="EI17545"/>
      <c r="EJ17545"/>
      <c r="EK17545"/>
    </row>
    <row r="17546" spans="1:141" s="116" customFormat="1">
      <c r="A17546" s="136"/>
      <c r="CM17546" s="111"/>
      <c r="CQ17546" s="111"/>
      <c r="EF17546"/>
      <c r="EG17546"/>
      <c r="EH17546"/>
      <c r="EI17546"/>
      <c r="EJ17546"/>
      <c r="EK17546"/>
    </row>
    <row r="17547" spans="1:141" s="116" customFormat="1">
      <c r="A17547" s="136"/>
      <c r="CM17547" s="111"/>
      <c r="CQ17547" s="111"/>
      <c r="EF17547"/>
      <c r="EG17547"/>
      <c r="EH17547"/>
      <c r="EI17547"/>
      <c r="EJ17547"/>
      <c r="EK17547"/>
    </row>
    <row r="17548" spans="1:141" s="116" customFormat="1">
      <c r="A17548" s="136"/>
      <c r="CM17548" s="111"/>
      <c r="CQ17548" s="111"/>
      <c r="EF17548"/>
      <c r="EG17548"/>
      <c r="EH17548"/>
      <c r="EI17548"/>
      <c r="EJ17548"/>
      <c r="EK17548"/>
    </row>
    <row r="17549" spans="1:141" s="116" customFormat="1">
      <c r="A17549" s="136"/>
      <c r="CM17549" s="111"/>
      <c r="CQ17549" s="111"/>
      <c r="EF17549"/>
      <c r="EG17549"/>
      <c r="EH17549"/>
      <c r="EI17549"/>
      <c r="EJ17549"/>
      <c r="EK17549"/>
    </row>
    <row r="17550" spans="1:141" s="116" customFormat="1">
      <c r="A17550" s="136"/>
      <c r="CM17550" s="111"/>
      <c r="CQ17550" s="111"/>
      <c r="EF17550"/>
      <c r="EG17550"/>
      <c r="EH17550"/>
      <c r="EI17550"/>
      <c r="EJ17550"/>
      <c r="EK17550"/>
    </row>
    <row r="17551" spans="1:141" s="116" customFormat="1">
      <c r="A17551" s="136"/>
      <c r="CM17551" s="111"/>
      <c r="CQ17551" s="111"/>
      <c r="EF17551"/>
      <c r="EG17551"/>
      <c r="EH17551"/>
      <c r="EI17551"/>
      <c r="EJ17551"/>
      <c r="EK17551"/>
    </row>
    <row r="17552" spans="1:141" s="116" customFormat="1">
      <c r="A17552" s="136"/>
      <c r="CM17552" s="111"/>
      <c r="CQ17552" s="111"/>
      <c r="EF17552"/>
      <c r="EG17552"/>
      <c r="EH17552"/>
      <c r="EI17552"/>
      <c r="EJ17552"/>
      <c r="EK17552"/>
    </row>
    <row r="17553" spans="1:141" s="116" customFormat="1">
      <c r="A17553" s="136"/>
      <c r="CM17553" s="111"/>
      <c r="CQ17553" s="111"/>
      <c r="EF17553"/>
      <c r="EG17553"/>
      <c r="EH17553"/>
      <c r="EI17553"/>
      <c r="EJ17553"/>
      <c r="EK17553"/>
    </row>
    <row r="17554" spans="1:141" s="116" customFormat="1">
      <c r="A17554" s="136"/>
      <c r="CM17554" s="111"/>
      <c r="CQ17554" s="111"/>
      <c r="EF17554"/>
      <c r="EG17554"/>
      <c r="EH17554"/>
      <c r="EI17554"/>
      <c r="EJ17554"/>
      <c r="EK17554"/>
    </row>
    <row r="17555" spans="1:141" s="116" customFormat="1">
      <c r="A17555" s="136"/>
      <c r="CM17555" s="111"/>
      <c r="CQ17555" s="111"/>
      <c r="EF17555"/>
      <c r="EG17555"/>
      <c r="EH17555"/>
      <c r="EI17555"/>
      <c r="EJ17555"/>
      <c r="EK17555"/>
    </row>
    <row r="17556" spans="1:141" s="116" customFormat="1">
      <c r="A17556" s="136"/>
      <c r="CM17556" s="111"/>
      <c r="CQ17556" s="111"/>
      <c r="EF17556"/>
      <c r="EG17556"/>
      <c r="EH17556"/>
      <c r="EI17556"/>
      <c r="EJ17556"/>
      <c r="EK17556"/>
    </row>
    <row r="17557" spans="1:141" s="116" customFormat="1">
      <c r="A17557" s="136"/>
      <c r="CM17557" s="111"/>
      <c r="CQ17557" s="111"/>
      <c r="EF17557"/>
      <c r="EG17557"/>
      <c r="EH17557"/>
      <c r="EI17557"/>
      <c r="EJ17557"/>
      <c r="EK17557"/>
    </row>
    <row r="17558" spans="1:141" s="116" customFormat="1">
      <c r="A17558" s="136"/>
      <c r="CM17558" s="111"/>
      <c r="CQ17558" s="111"/>
      <c r="EF17558"/>
      <c r="EG17558"/>
      <c r="EH17558"/>
      <c r="EI17558"/>
      <c r="EJ17558"/>
      <c r="EK17558"/>
    </row>
    <row r="17559" spans="1:141" s="116" customFormat="1">
      <c r="A17559" s="136"/>
      <c r="CM17559" s="111"/>
      <c r="CQ17559" s="111"/>
      <c r="EF17559"/>
      <c r="EG17559"/>
      <c r="EH17559"/>
      <c r="EI17559"/>
      <c r="EJ17559"/>
      <c r="EK17559"/>
    </row>
    <row r="17560" spans="1:141" s="116" customFormat="1">
      <c r="A17560" s="136"/>
      <c r="CM17560" s="111"/>
      <c r="CQ17560" s="111"/>
      <c r="EF17560"/>
      <c r="EG17560"/>
      <c r="EH17560"/>
      <c r="EI17560"/>
      <c r="EJ17560"/>
      <c r="EK17560"/>
    </row>
    <row r="17561" spans="1:141" s="116" customFormat="1">
      <c r="A17561" s="136"/>
      <c r="CM17561" s="111"/>
      <c r="CQ17561" s="111"/>
      <c r="EF17561"/>
      <c r="EG17561"/>
      <c r="EH17561"/>
      <c r="EI17561"/>
      <c r="EJ17561"/>
      <c r="EK17561"/>
    </row>
    <row r="17562" spans="1:141" s="116" customFormat="1">
      <c r="A17562" s="136"/>
      <c r="CM17562" s="111"/>
      <c r="CQ17562" s="111"/>
      <c r="EF17562"/>
      <c r="EG17562"/>
      <c r="EH17562"/>
      <c r="EI17562"/>
      <c r="EJ17562"/>
      <c r="EK17562"/>
    </row>
    <row r="17563" spans="1:141" s="116" customFormat="1">
      <c r="A17563" s="136"/>
      <c r="CM17563" s="111"/>
      <c r="CQ17563" s="111"/>
      <c r="EF17563"/>
      <c r="EG17563"/>
      <c r="EH17563"/>
      <c r="EI17563"/>
      <c r="EJ17563"/>
      <c r="EK17563"/>
    </row>
    <row r="17564" spans="1:141" s="116" customFormat="1">
      <c r="A17564" s="136"/>
      <c r="CM17564" s="111"/>
      <c r="CQ17564" s="111"/>
      <c r="EF17564"/>
      <c r="EG17564"/>
      <c r="EH17564"/>
      <c r="EI17564"/>
      <c r="EJ17564"/>
      <c r="EK17564"/>
    </row>
    <row r="17565" spans="1:141" s="116" customFormat="1">
      <c r="A17565" s="136"/>
      <c r="CM17565" s="111"/>
      <c r="CQ17565" s="111"/>
      <c r="EF17565"/>
      <c r="EG17565"/>
      <c r="EH17565"/>
      <c r="EI17565"/>
      <c r="EJ17565"/>
      <c r="EK17565"/>
    </row>
    <row r="17566" spans="1:141" s="116" customFormat="1">
      <c r="A17566" s="136"/>
      <c r="CM17566" s="111"/>
      <c r="CQ17566" s="111"/>
      <c r="EF17566"/>
      <c r="EG17566"/>
      <c r="EH17566"/>
      <c r="EI17566"/>
      <c r="EJ17566"/>
      <c r="EK17566"/>
    </row>
    <row r="17567" spans="1:141" s="116" customFormat="1">
      <c r="A17567" s="136"/>
      <c r="CM17567" s="111"/>
      <c r="CQ17567" s="111"/>
      <c r="EF17567"/>
      <c r="EG17567"/>
      <c r="EH17567"/>
      <c r="EI17567"/>
      <c r="EJ17567"/>
      <c r="EK17567"/>
    </row>
    <row r="17568" spans="1:141" s="116" customFormat="1">
      <c r="A17568" s="136"/>
      <c r="CM17568" s="111"/>
      <c r="CQ17568" s="111"/>
      <c r="EF17568"/>
      <c r="EG17568"/>
      <c r="EH17568"/>
      <c r="EI17568"/>
      <c r="EJ17568"/>
      <c r="EK17568"/>
    </row>
    <row r="17569" spans="1:141" s="116" customFormat="1">
      <c r="A17569" s="136"/>
      <c r="CM17569" s="111"/>
      <c r="CQ17569" s="111"/>
      <c r="EF17569"/>
      <c r="EG17569"/>
      <c r="EH17569"/>
      <c r="EI17569"/>
      <c r="EJ17569"/>
      <c r="EK17569"/>
    </row>
    <row r="17570" spans="1:141" s="116" customFormat="1">
      <c r="A17570" s="136"/>
      <c r="CM17570" s="111"/>
      <c r="CQ17570" s="111"/>
      <c r="EF17570"/>
      <c r="EG17570"/>
      <c r="EH17570"/>
      <c r="EI17570"/>
      <c r="EJ17570"/>
      <c r="EK17570"/>
    </row>
    <row r="17571" spans="1:141" s="116" customFormat="1">
      <c r="A17571" s="136"/>
      <c r="CM17571" s="111"/>
      <c r="CQ17571" s="111"/>
      <c r="EF17571"/>
      <c r="EG17571"/>
      <c r="EH17571"/>
      <c r="EI17571"/>
      <c r="EJ17571"/>
      <c r="EK17571"/>
    </row>
    <row r="17572" spans="1:141" s="116" customFormat="1">
      <c r="A17572" s="136"/>
      <c r="CM17572" s="111"/>
      <c r="CQ17572" s="111"/>
      <c r="EF17572"/>
      <c r="EG17572"/>
      <c r="EH17572"/>
      <c r="EI17572"/>
      <c r="EJ17572"/>
      <c r="EK17572"/>
    </row>
    <row r="17573" spans="1:141" s="116" customFormat="1">
      <c r="A17573" s="136"/>
      <c r="CM17573" s="111"/>
      <c r="CQ17573" s="111"/>
      <c r="EF17573"/>
      <c r="EG17573"/>
      <c r="EH17573"/>
      <c r="EI17573"/>
      <c r="EJ17573"/>
      <c r="EK17573"/>
    </row>
    <row r="17574" spans="1:141" s="116" customFormat="1">
      <c r="A17574" s="136"/>
      <c r="CM17574" s="111"/>
      <c r="CQ17574" s="111"/>
      <c r="EF17574"/>
      <c r="EG17574"/>
      <c r="EH17574"/>
      <c r="EI17574"/>
      <c r="EJ17574"/>
      <c r="EK17574"/>
    </row>
    <row r="17575" spans="1:141" s="116" customFormat="1">
      <c r="A17575" s="136"/>
      <c r="CM17575" s="111"/>
      <c r="CQ17575" s="111"/>
      <c r="EF17575"/>
      <c r="EG17575"/>
      <c r="EH17575"/>
      <c r="EI17575"/>
      <c r="EJ17575"/>
      <c r="EK17575"/>
    </row>
    <row r="17576" spans="1:141" s="116" customFormat="1">
      <c r="A17576" s="136"/>
      <c r="CM17576" s="111"/>
      <c r="CQ17576" s="111"/>
      <c r="EF17576"/>
      <c r="EG17576"/>
      <c r="EH17576"/>
      <c r="EI17576"/>
      <c r="EJ17576"/>
      <c r="EK17576"/>
    </row>
    <row r="17577" spans="1:141" s="116" customFormat="1">
      <c r="A17577" s="136"/>
      <c r="CM17577" s="111"/>
      <c r="CQ17577" s="111"/>
      <c r="EF17577"/>
      <c r="EG17577"/>
      <c r="EH17577"/>
      <c r="EI17577"/>
      <c r="EJ17577"/>
      <c r="EK17577"/>
    </row>
    <row r="17578" spans="1:141" s="116" customFormat="1">
      <c r="A17578" s="136"/>
      <c r="CM17578" s="111"/>
      <c r="CQ17578" s="111"/>
      <c r="EF17578"/>
      <c r="EG17578"/>
      <c r="EH17578"/>
      <c r="EI17578"/>
      <c r="EJ17578"/>
      <c r="EK17578"/>
    </row>
    <row r="17579" spans="1:141" s="116" customFormat="1">
      <c r="A17579" s="136"/>
      <c r="CM17579" s="111"/>
      <c r="CQ17579" s="111"/>
      <c r="EF17579"/>
      <c r="EG17579"/>
      <c r="EH17579"/>
      <c r="EI17579"/>
      <c r="EJ17579"/>
      <c r="EK17579"/>
    </row>
    <row r="17580" spans="1:141" s="116" customFormat="1">
      <c r="A17580" s="136"/>
      <c r="CM17580" s="111"/>
      <c r="CQ17580" s="111"/>
      <c r="EF17580"/>
      <c r="EG17580"/>
      <c r="EH17580"/>
      <c r="EI17580"/>
      <c r="EJ17580"/>
      <c r="EK17580"/>
    </row>
    <row r="17581" spans="1:141" s="116" customFormat="1">
      <c r="A17581" s="136"/>
      <c r="CM17581" s="111"/>
      <c r="CQ17581" s="111"/>
      <c r="EF17581"/>
      <c r="EG17581"/>
      <c r="EH17581"/>
      <c r="EI17581"/>
      <c r="EJ17581"/>
      <c r="EK17581"/>
    </row>
    <row r="17582" spans="1:141" s="116" customFormat="1">
      <c r="A17582" s="136"/>
      <c r="CM17582" s="111"/>
      <c r="CQ17582" s="111"/>
      <c r="EF17582"/>
      <c r="EG17582"/>
      <c r="EH17582"/>
      <c r="EI17582"/>
      <c r="EJ17582"/>
      <c r="EK17582"/>
    </row>
    <row r="17583" spans="1:141" s="116" customFormat="1">
      <c r="A17583" s="136"/>
      <c r="CM17583" s="111"/>
      <c r="CQ17583" s="111"/>
      <c r="EF17583"/>
      <c r="EG17583"/>
      <c r="EH17583"/>
      <c r="EI17583"/>
      <c r="EJ17583"/>
      <c r="EK17583"/>
    </row>
    <row r="17584" spans="1:141" s="116" customFormat="1">
      <c r="A17584" s="136"/>
      <c r="CM17584" s="111"/>
      <c r="CQ17584" s="111"/>
      <c r="EF17584"/>
      <c r="EG17584"/>
      <c r="EH17584"/>
      <c r="EI17584"/>
      <c r="EJ17584"/>
      <c r="EK17584"/>
    </row>
    <row r="17585" spans="1:141" s="116" customFormat="1">
      <c r="A17585" s="136"/>
      <c r="CM17585" s="111"/>
      <c r="CQ17585" s="111"/>
      <c r="EF17585"/>
      <c r="EG17585"/>
      <c r="EH17585"/>
      <c r="EI17585"/>
      <c r="EJ17585"/>
      <c r="EK17585"/>
    </row>
    <row r="17586" spans="1:141" s="116" customFormat="1">
      <c r="A17586" s="136"/>
      <c r="CM17586" s="111"/>
      <c r="CQ17586" s="111"/>
      <c r="EF17586"/>
      <c r="EG17586"/>
      <c r="EH17586"/>
      <c r="EI17586"/>
      <c r="EJ17586"/>
      <c r="EK17586"/>
    </row>
    <row r="17587" spans="1:141" s="116" customFormat="1">
      <c r="A17587" s="136"/>
      <c r="CM17587" s="111"/>
      <c r="CQ17587" s="111"/>
      <c r="EF17587"/>
      <c r="EG17587"/>
      <c r="EH17587"/>
      <c r="EI17587"/>
      <c r="EJ17587"/>
      <c r="EK17587"/>
    </row>
    <row r="17588" spans="1:141" s="116" customFormat="1">
      <c r="A17588" s="136"/>
      <c r="CM17588" s="111"/>
      <c r="CQ17588" s="111"/>
      <c r="EF17588"/>
      <c r="EG17588"/>
      <c r="EH17588"/>
      <c r="EI17588"/>
      <c r="EJ17588"/>
      <c r="EK17588"/>
    </row>
    <row r="17589" spans="1:141" s="116" customFormat="1">
      <c r="A17589" s="136"/>
      <c r="CM17589" s="111"/>
      <c r="CQ17589" s="111"/>
      <c r="EF17589"/>
      <c r="EG17589"/>
      <c r="EH17589"/>
      <c r="EI17589"/>
      <c r="EJ17589"/>
      <c r="EK17589"/>
    </row>
    <row r="17590" spans="1:141" s="116" customFormat="1">
      <c r="A17590" s="136"/>
      <c r="CM17590" s="111"/>
      <c r="CQ17590" s="111"/>
      <c r="EF17590"/>
      <c r="EG17590"/>
      <c r="EH17590"/>
      <c r="EI17590"/>
      <c r="EJ17590"/>
      <c r="EK17590"/>
    </row>
    <row r="17591" spans="1:141" s="116" customFormat="1">
      <c r="A17591" s="136"/>
      <c r="CM17591" s="111"/>
      <c r="CQ17591" s="111"/>
      <c r="EF17591"/>
      <c r="EG17591"/>
      <c r="EH17591"/>
      <c r="EI17591"/>
      <c r="EJ17591"/>
      <c r="EK17591"/>
    </row>
    <row r="17592" spans="1:141" s="116" customFormat="1">
      <c r="A17592" s="136"/>
      <c r="CM17592" s="111"/>
      <c r="CQ17592" s="111"/>
      <c r="EF17592"/>
      <c r="EG17592"/>
      <c r="EH17592"/>
      <c r="EI17592"/>
      <c r="EJ17592"/>
      <c r="EK17592"/>
    </row>
    <row r="17593" spans="1:141" s="116" customFormat="1">
      <c r="A17593" s="136"/>
      <c r="CM17593" s="111"/>
      <c r="CQ17593" s="111"/>
      <c r="EF17593"/>
      <c r="EG17593"/>
      <c r="EH17593"/>
      <c r="EI17593"/>
      <c r="EJ17593"/>
      <c r="EK17593"/>
    </row>
    <row r="17594" spans="1:141" s="116" customFormat="1">
      <c r="A17594" s="136"/>
      <c r="CM17594" s="111"/>
      <c r="CQ17594" s="111"/>
      <c r="EF17594"/>
      <c r="EG17594"/>
      <c r="EH17594"/>
      <c r="EI17594"/>
      <c r="EJ17594"/>
      <c r="EK17594"/>
    </row>
    <row r="17595" spans="1:141" s="116" customFormat="1">
      <c r="A17595" s="136"/>
      <c r="CM17595" s="111"/>
      <c r="CQ17595" s="111"/>
      <c r="EF17595"/>
      <c r="EG17595"/>
      <c r="EH17595"/>
      <c r="EI17595"/>
      <c r="EJ17595"/>
      <c r="EK17595"/>
    </row>
    <row r="17596" spans="1:141" s="116" customFormat="1">
      <c r="A17596" s="136"/>
      <c r="CM17596" s="111"/>
      <c r="CQ17596" s="111"/>
      <c r="EF17596"/>
      <c r="EG17596"/>
      <c r="EH17596"/>
      <c r="EI17596"/>
      <c r="EJ17596"/>
      <c r="EK17596"/>
    </row>
    <row r="17597" spans="1:141" s="116" customFormat="1">
      <c r="A17597" s="136"/>
      <c r="CM17597" s="111"/>
      <c r="CQ17597" s="111"/>
      <c r="EF17597"/>
      <c r="EG17597"/>
      <c r="EH17597"/>
      <c r="EI17597"/>
      <c r="EJ17597"/>
      <c r="EK17597"/>
    </row>
    <row r="17598" spans="1:141" s="116" customFormat="1">
      <c r="A17598" s="136"/>
      <c r="CM17598" s="111"/>
      <c r="CQ17598" s="111"/>
      <c r="EF17598"/>
      <c r="EG17598"/>
      <c r="EH17598"/>
      <c r="EI17598"/>
      <c r="EJ17598"/>
      <c r="EK17598"/>
    </row>
    <row r="17599" spans="1:141" s="116" customFormat="1">
      <c r="A17599" s="136"/>
      <c r="CM17599" s="111"/>
      <c r="CQ17599" s="111"/>
      <c r="EF17599"/>
      <c r="EG17599"/>
      <c r="EH17599"/>
      <c r="EI17599"/>
      <c r="EJ17599"/>
      <c r="EK17599"/>
    </row>
    <row r="17600" spans="1:141" s="116" customFormat="1">
      <c r="A17600" s="136"/>
      <c r="CM17600" s="111"/>
      <c r="CQ17600" s="111"/>
      <c r="EF17600"/>
      <c r="EG17600"/>
      <c r="EH17600"/>
      <c r="EI17600"/>
      <c r="EJ17600"/>
      <c r="EK17600"/>
    </row>
    <row r="17601" spans="1:141" s="116" customFormat="1">
      <c r="A17601" s="136"/>
      <c r="CM17601" s="111"/>
      <c r="CQ17601" s="111"/>
      <c r="EF17601"/>
      <c r="EG17601"/>
      <c r="EH17601"/>
      <c r="EI17601"/>
      <c r="EJ17601"/>
      <c r="EK17601"/>
    </row>
    <row r="17602" spans="1:141" s="116" customFormat="1">
      <c r="A17602" s="136"/>
      <c r="CM17602" s="111"/>
      <c r="CQ17602" s="111"/>
      <c r="EF17602"/>
      <c r="EG17602"/>
      <c r="EH17602"/>
      <c r="EI17602"/>
      <c r="EJ17602"/>
      <c r="EK17602"/>
    </row>
    <row r="17603" spans="1:141" s="116" customFormat="1">
      <c r="A17603" s="136"/>
      <c r="CM17603" s="111"/>
      <c r="CQ17603" s="111"/>
      <c r="EF17603"/>
      <c r="EG17603"/>
      <c r="EH17603"/>
      <c r="EI17603"/>
      <c r="EJ17603"/>
      <c r="EK17603"/>
    </row>
    <row r="17604" spans="1:141" s="116" customFormat="1">
      <c r="A17604" s="136"/>
      <c r="CM17604" s="111"/>
      <c r="CQ17604" s="111"/>
      <c r="EF17604"/>
      <c r="EG17604"/>
      <c r="EH17604"/>
      <c r="EI17604"/>
      <c r="EJ17604"/>
      <c r="EK17604"/>
    </row>
    <row r="17605" spans="1:141" s="116" customFormat="1">
      <c r="A17605" s="136"/>
      <c r="CM17605" s="111"/>
      <c r="CQ17605" s="111"/>
      <c r="EF17605"/>
      <c r="EG17605"/>
      <c r="EH17605"/>
      <c r="EI17605"/>
      <c r="EJ17605"/>
      <c r="EK17605"/>
    </row>
    <row r="17606" spans="1:141" s="116" customFormat="1">
      <c r="A17606" s="136"/>
      <c r="CM17606" s="111"/>
      <c r="CQ17606" s="111"/>
      <c r="EF17606"/>
      <c r="EG17606"/>
      <c r="EH17606"/>
      <c r="EI17606"/>
      <c r="EJ17606"/>
      <c r="EK17606"/>
    </row>
    <row r="17607" spans="1:141" s="116" customFormat="1">
      <c r="A17607" s="136"/>
      <c r="CM17607" s="111"/>
      <c r="CQ17607" s="111"/>
      <c r="EF17607"/>
      <c r="EG17607"/>
      <c r="EH17607"/>
      <c r="EI17607"/>
      <c r="EJ17607"/>
      <c r="EK17607"/>
    </row>
    <row r="17608" spans="1:141" s="116" customFormat="1">
      <c r="A17608" s="136"/>
      <c r="CM17608" s="111"/>
      <c r="CQ17608" s="111"/>
      <c r="EF17608"/>
      <c r="EG17608"/>
      <c r="EH17608"/>
      <c r="EI17608"/>
      <c r="EJ17608"/>
      <c r="EK17608"/>
    </row>
    <row r="17609" spans="1:141" s="116" customFormat="1">
      <c r="A17609" s="136"/>
      <c r="CM17609" s="111"/>
      <c r="CQ17609" s="111"/>
      <c r="EF17609"/>
      <c r="EG17609"/>
      <c r="EH17609"/>
      <c r="EI17609"/>
      <c r="EJ17609"/>
      <c r="EK17609"/>
    </row>
    <row r="17610" spans="1:141" s="116" customFormat="1">
      <c r="A17610" s="136"/>
      <c r="CM17610" s="111"/>
      <c r="CQ17610" s="111"/>
      <c r="EF17610"/>
      <c r="EG17610"/>
      <c r="EH17610"/>
      <c r="EI17610"/>
      <c r="EJ17610"/>
      <c r="EK17610"/>
    </row>
    <row r="17611" spans="1:141" s="116" customFormat="1">
      <c r="A17611" s="136"/>
      <c r="CM17611" s="111"/>
      <c r="CQ17611" s="111"/>
      <c r="EF17611"/>
      <c r="EG17611"/>
      <c r="EH17611"/>
      <c r="EI17611"/>
      <c r="EJ17611"/>
      <c r="EK17611"/>
    </row>
    <row r="17612" spans="1:141" s="116" customFormat="1">
      <c r="A17612" s="136"/>
      <c r="CM17612" s="111"/>
      <c r="CQ17612" s="111"/>
      <c r="EF17612"/>
      <c r="EG17612"/>
      <c r="EH17612"/>
      <c r="EI17612"/>
      <c r="EJ17612"/>
      <c r="EK17612"/>
    </row>
    <row r="17613" spans="1:141" s="116" customFormat="1">
      <c r="A17613" s="136"/>
      <c r="CM17613" s="111"/>
      <c r="CQ17613" s="111"/>
      <c r="EF17613"/>
      <c r="EG17613"/>
      <c r="EH17613"/>
      <c r="EI17613"/>
      <c r="EJ17613"/>
      <c r="EK17613"/>
    </row>
    <row r="17614" spans="1:141" s="116" customFormat="1">
      <c r="A17614" s="136"/>
      <c r="CM17614" s="111"/>
      <c r="CQ17614" s="111"/>
      <c r="EF17614"/>
      <c r="EG17614"/>
      <c r="EH17614"/>
      <c r="EI17614"/>
      <c r="EJ17614"/>
      <c r="EK17614"/>
    </row>
    <row r="17615" spans="1:141" s="116" customFormat="1">
      <c r="A17615" s="136"/>
      <c r="CM17615" s="111"/>
      <c r="CQ17615" s="111"/>
      <c r="EF17615"/>
      <c r="EG17615"/>
      <c r="EH17615"/>
      <c r="EI17615"/>
      <c r="EJ17615"/>
      <c r="EK17615"/>
    </row>
    <row r="17616" spans="1:141" s="116" customFormat="1">
      <c r="A17616" s="136"/>
      <c r="CM17616" s="111"/>
      <c r="CQ17616" s="111"/>
      <c r="EF17616"/>
      <c r="EG17616"/>
      <c r="EH17616"/>
      <c r="EI17616"/>
      <c r="EJ17616"/>
      <c r="EK17616"/>
    </row>
    <row r="17617" spans="1:141" s="116" customFormat="1">
      <c r="A17617" s="136"/>
      <c r="CM17617" s="111"/>
      <c r="CQ17617" s="111"/>
      <c r="EF17617"/>
      <c r="EG17617"/>
      <c r="EH17617"/>
      <c r="EI17617"/>
      <c r="EJ17617"/>
      <c r="EK17617"/>
    </row>
    <row r="17618" spans="1:141" s="116" customFormat="1">
      <c r="A17618" s="136"/>
      <c r="CM17618" s="111"/>
      <c r="CQ17618" s="111"/>
      <c r="EF17618"/>
      <c r="EG17618"/>
      <c r="EH17618"/>
      <c r="EI17618"/>
      <c r="EJ17618"/>
      <c r="EK17618"/>
    </row>
    <row r="17619" spans="1:141" s="116" customFormat="1">
      <c r="A17619" s="136"/>
      <c r="CM17619" s="111"/>
      <c r="CQ17619" s="111"/>
      <c r="EF17619"/>
      <c r="EG17619"/>
      <c r="EH17619"/>
      <c r="EI17619"/>
      <c r="EJ17619"/>
      <c r="EK17619"/>
    </row>
    <row r="17620" spans="1:141" s="116" customFormat="1">
      <c r="A17620" s="136"/>
      <c r="CM17620" s="111"/>
      <c r="CQ17620" s="111"/>
      <c r="EF17620"/>
      <c r="EG17620"/>
      <c r="EH17620"/>
      <c r="EI17620"/>
      <c r="EJ17620"/>
      <c r="EK17620"/>
    </row>
    <row r="17621" spans="1:141" s="116" customFormat="1">
      <c r="A17621" s="136"/>
      <c r="CM17621" s="111"/>
      <c r="CQ17621" s="111"/>
      <c r="EF17621"/>
      <c r="EG17621"/>
      <c r="EH17621"/>
      <c r="EI17621"/>
      <c r="EJ17621"/>
      <c r="EK17621"/>
    </row>
    <row r="17622" spans="1:141" s="116" customFormat="1">
      <c r="A17622" s="136"/>
      <c r="CM17622" s="111"/>
      <c r="CQ17622" s="111"/>
      <c r="EF17622"/>
      <c r="EG17622"/>
      <c r="EH17622"/>
      <c r="EI17622"/>
      <c r="EJ17622"/>
      <c r="EK17622"/>
    </row>
    <row r="17623" spans="1:141" s="116" customFormat="1">
      <c r="A17623" s="136"/>
      <c r="CM17623" s="111"/>
      <c r="CQ17623" s="111"/>
      <c r="EF17623"/>
      <c r="EG17623"/>
      <c r="EH17623"/>
      <c r="EI17623"/>
      <c r="EJ17623"/>
      <c r="EK17623"/>
    </row>
    <row r="17624" spans="1:141" s="116" customFormat="1">
      <c r="A17624" s="136"/>
      <c r="CM17624" s="111"/>
      <c r="CQ17624" s="111"/>
      <c r="EF17624"/>
      <c r="EG17624"/>
      <c r="EH17624"/>
      <c r="EI17624"/>
      <c r="EJ17624"/>
      <c r="EK17624"/>
    </row>
    <row r="17625" spans="1:141" s="116" customFormat="1">
      <c r="A17625" s="136"/>
      <c r="CM17625" s="111"/>
      <c r="CQ17625" s="111"/>
      <c r="EF17625"/>
      <c r="EG17625"/>
      <c r="EH17625"/>
      <c r="EI17625"/>
      <c r="EJ17625"/>
      <c r="EK17625"/>
    </row>
    <row r="17626" spans="1:141" s="116" customFormat="1">
      <c r="A17626" s="136"/>
      <c r="CM17626" s="111"/>
      <c r="CQ17626" s="111"/>
      <c r="EF17626"/>
      <c r="EG17626"/>
      <c r="EH17626"/>
      <c r="EI17626"/>
      <c r="EJ17626"/>
      <c r="EK17626"/>
    </row>
    <row r="17627" spans="1:141" s="116" customFormat="1">
      <c r="A17627" s="136"/>
      <c r="CM17627" s="111"/>
      <c r="CQ17627" s="111"/>
      <c r="EF17627"/>
      <c r="EG17627"/>
      <c r="EH17627"/>
      <c r="EI17627"/>
      <c r="EJ17627"/>
      <c r="EK17627"/>
    </row>
    <row r="17628" spans="1:141" s="116" customFormat="1">
      <c r="A17628" s="136"/>
      <c r="CM17628" s="111"/>
      <c r="CQ17628" s="111"/>
      <c r="EF17628"/>
      <c r="EG17628"/>
      <c r="EH17628"/>
      <c r="EI17628"/>
      <c r="EJ17628"/>
      <c r="EK17628"/>
    </row>
    <row r="17629" spans="1:141" s="116" customFormat="1">
      <c r="A17629" s="136"/>
      <c r="CM17629" s="111"/>
      <c r="CQ17629" s="111"/>
      <c r="EF17629"/>
      <c r="EG17629"/>
      <c r="EH17629"/>
      <c r="EI17629"/>
      <c r="EJ17629"/>
      <c r="EK17629"/>
    </row>
    <row r="17630" spans="1:141" s="116" customFormat="1">
      <c r="A17630" s="136"/>
      <c r="CM17630" s="111"/>
      <c r="CQ17630" s="111"/>
      <c r="EF17630"/>
      <c r="EG17630"/>
      <c r="EH17630"/>
      <c r="EI17630"/>
      <c r="EJ17630"/>
      <c r="EK17630"/>
    </row>
    <row r="17631" spans="1:141" s="116" customFormat="1">
      <c r="A17631" s="136"/>
      <c r="CM17631" s="111"/>
      <c r="CQ17631" s="111"/>
      <c r="EF17631"/>
      <c r="EG17631"/>
      <c r="EH17631"/>
      <c r="EI17631"/>
      <c r="EJ17631"/>
      <c r="EK17631"/>
    </row>
    <row r="17632" spans="1:141" s="116" customFormat="1">
      <c r="A17632" s="136"/>
      <c r="CM17632" s="111"/>
      <c r="CQ17632" s="111"/>
      <c r="EF17632"/>
      <c r="EG17632"/>
      <c r="EH17632"/>
      <c r="EI17632"/>
      <c r="EJ17632"/>
      <c r="EK17632"/>
    </row>
    <row r="17633" spans="1:141" s="116" customFormat="1">
      <c r="A17633" s="136"/>
      <c r="CM17633" s="111"/>
      <c r="CQ17633" s="111"/>
      <c r="EF17633"/>
      <c r="EG17633"/>
      <c r="EH17633"/>
      <c r="EI17633"/>
      <c r="EJ17633"/>
      <c r="EK17633"/>
    </row>
    <row r="17634" spans="1:141" s="116" customFormat="1">
      <c r="A17634" s="136"/>
      <c r="CM17634" s="111"/>
      <c r="CQ17634" s="111"/>
      <c r="EF17634"/>
      <c r="EG17634"/>
      <c r="EH17634"/>
      <c r="EI17634"/>
      <c r="EJ17634"/>
      <c r="EK17634"/>
    </row>
    <row r="17635" spans="1:141" s="116" customFormat="1">
      <c r="A17635" s="136"/>
      <c r="CM17635" s="111"/>
      <c r="CQ17635" s="111"/>
      <c r="EF17635"/>
      <c r="EG17635"/>
      <c r="EH17635"/>
      <c r="EI17635"/>
      <c r="EJ17635"/>
      <c r="EK17635"/>
    </row>
    <row r="17636" spans="1:141" s="116" customFormat="1">
      <c r="A17636" s="136"/>
      <c r="CM17636" s="111"/>
      <c r="CQ17636" s="111"/>
      <c r="EF17636"/>
      <c r="EG17636"/>
      <c r="EH17636"/>
      <c r="EI17636"/>
      <c r="EJ17636"/>
      <c r="EK17636"/>
    </row>
    <row r="17637" spans="1:141" s="116" customFormat="1">
      <c r="A17637" s="136"/>
      <c r="CM17637" s="111"/>
      <c r="CQ17637" s="111"/>
      <c r="EF17637"/>
      <c r="EG17637"/>
      <c r="EH17637"/>
      <c r="EI17637"/>
      <c r="EJ17637"/>
      <c r="EK17637"/>
    </row>
    <row r="17638" spans="1:141" s="116" customFormat="1">
      <c r="A17638" s="136"/>
      <c r="CM17638" s="111"/>
      <c r="CQ17638" s="111"/>
      <c r="EF17638"/>
      <c r="EG17638"/>
      <c r="EH17638"/>
      <c r="EI17638"/>
      <c r="EJ17638"/>
      <c r="EK17638"/>
    </row>
    <row r="17639" spans="1:141" s="116" customFormat="1">
      <c r="A17639" s="136"/>
      <c r="CM17639" s="111"/>
      <c r="CQ17639" s="111"/>
      <c r="EF17639"/>
      <c r="EG17639"/>
      <c r="EH17639"/>
      <c r="EI17639"/>
      <c r="EJ17639"/>
      <c r="EK17639"/>
    </row>
    <row r="17640" spans="1:141" s="116" customFormat="1">
      <c r="A17640" s="136"/>
      <c r="CM17640" s="111"/>
      <c r="CQ17640" s="111"/>
      <c r="EF17640"/>
      <c r="EG17640"/>
      <c r="EH17640"/>
      <c r="EI17640"/>
      <c r="EJ17640"/>
      <c r="EK17640"/>
    </row>
    <row r="17641" spans="1:141" s="116" customFormat="1">
      <c r="A17641" s="136"/>
      <c r="CM17641" s="111"/>
      <c r="CQ17641" s="111"/>
      <c r="EF17641"/>
      <c r="EG17641"/>
      <c r="EH17641"/>
      <c r="EI17641"/>
      <c r="EJ17641"/>
      <c r="EK17641"/>
    </row>
    <row r="17642" spans="1:141" s="116" customFormat="1">
      <c r="A17642" s="136"/>
      <c r="CM17642" s="111"/>
      <c r="CQ17642" s="111"/>
      <c r="EF17642"/>
      <c r="EG17642"/>
      <c r="EH17642"/>
      <c r="EI17642"/>
      <c r="EJ17642"/>
      <c r="EK17642"/>
    </row>
    <row r="17643" spans="1:141" s="116" customFormat="1">
      <c r="A17643" s="136"/>
      <c r="CM17643" s="111"/>
      <c r="CQ17643" s="111"/>
      <c r="EF17643"/>
      <c r="EG17643"/>
      <c r="EH17643"/>
      <c r="EI17643"/>
      <c r="EJ17643"/>
      <c r="EK17643"/>
    </row>
    <row r="17644" spans="1:141" s="116" customFormat="1">
      <c r="A17644" s="136"/>
      <c r="CM17644" s="111"/>
      <c r="CQ17644" s="111"/>
      <c r="EF17644"/>
      <c r="EG17644"/>
      <c r="EH17644"/>
      <c r="EI17644"/>
      <c r="EJ17644"/>
      <c r="EK17644"/>
    </row>
    <row r="17645" spans="1:141" s="116" customFormat="1">
      <c r="A17645" s="136"/>
      <c r="CM17645" s="111"/>
      <c r="CQ17645" s="111"/>
      <c r="EF17645"/>
      <c r="EG17645"/>
      <c r="EH17645"/>
      <c r="EI17645"/>
      <c r="EJ17645"/>
      <c r="EK17645"/>
    </row>
    <row r="17646" spans="1:141" s="116" customFormat="1">
      <c r="A17646" s="136"/>
      <c r="CM17646" s="111"/>
      <c r="CQ17646" s="111"/>
      <c r="EF17646"/>
      <c r="EG17646"/>
      <c r="EH17646"/>
      <c r="EI17646"/>
      <c r="EJ17646"/>
      <c r="EK17646"/>
    </row>
    <row r="17647" spans="1:141" s="116" customFormat="1">
      <c r="A17647" s="136"/>
      <c r="CM17647" s="111"/>
      <c r="CQ17647" s="111"/>
      <c r="EF17647"/>
      <c r="EG17647"/>
      <c r="EH17647"/>
      <c r="EI17647"/>
      <c r="EJ17647"/>
      <c r="EK17647"/>
    </row>
    <row r="17648" spans="1:141" s="116" customFormat="1">
      <c r="A17648" s="136"/>
      <c r="CM17648" s="111"/>
      <c r="CQ17648" s="111"/>
      <c r="EF17648"/>
      <c r="EG17648"/>
      <c r="EH17648"/>
      <c r="EI17648"/>
      <c r="EJ17648"/>
      <c r="EK17648"/>
    </row>
    <row r="17649" spans="1:141" s="116" customFormat="1">
      <c r="A17649" s="136"/>
      <c r="CM17649" s="111"/>
      <c r="CQ17649" s="111"/>
      <c r="EF17649"/>
      <c r="EG17649"/>
      <c r="EH17649"/>
      <c r="EI17649"/>
      <c r="EJ17649"/>
      <c r="EK17649"/>
    </row>
    <row r="17650" spans="1:141" s="116" customFormat="1">
      <c r="A17650" s="136"/>
      <c r="CM17650" s="111"/>
      <c r="CQ17650" s="111"/>
      <c r="EF17650"/>
      <c r="EG17650"/>
      <c r="EH17650"/>
      <c r="EI17650"/>
      <c r="EJ17650"/>
      <c r="EK17650"/>
    </row>
    <row r="17651" spans="1:141" s="116" customFormat="1">
      <c r="A17651" s="136"/>
      <c r="CM17651" s="111"/>
      <c r="CQ17651" s="111"/>
      <c r="EF17651"/>
      <c r="EG17651"/>
      <c r="EH17651"/>
      <c r="EI17651"/>
      <c r="EJ17651"/>
      <c r="EK17651"/>
    </row>
    <row r="17652" spans="1:141" s="116" customFormat="1">
      <c r="A17652" s="136"/>
      <c r="CM17652" s="111"/>
      <c r="CQ17652" s="111"/>
      <c r="EF17652"/>
      <c r="EG17652"/>
      <c r="EH17652"/>
      <c r="EI17652"/>
      <c r="EJ17652"/>
      <c r="EK17652"/>
    </row>
    <row r="17653" spans="1:141" s="116" customFormat="1">
      <c r="A17653" s="136"/>
      <c r="CM17653" s="111"/>
      <c r="CQ17653" s="111"/>
      <c r="EF17653"/>
      <c r="EG17653"/>
      <c r="EH17653"/>
      <c r="EI17653"/>
      <c r="EJ17653"/>
      <c r="EK17653"/>
    </row>
    <row r="17654" spans="1:141" s="116" customFormat="1">
      <c r="A17654" s="136"/>
      <c r="CM17654" s="111"/>
      <c r="CQ17654" s="111"/>
      <c r="EF17654"/>
      <c r="EG17654"/>
      <c r="EH17654"/>
      <c r="EI17654"/>
      <c r="EJ17654"/>
      <c r="EK17654"/>
    </row>
    <row r="17655" spans="1:141" s="116" customFormat="1">
      <c r="A17655" s="136"/>
      <c r="CM17655" s="111"/>
      <c r="CQ17655" s="111"/>
      <c r="EF17655"/>
      <c r="EG17655"/>
      <c r="EH17655"/>
      <c r="EI17655"/>
      <c r="EJ17655"/>
      <c r="EK17655"/>
    </row>
    <row r="17656" spans="1:141" s="116" customFormat="1">
      <c r="A17656" s="136"/>
      <c r="CM17656" s="111"/>
      <c r="CQ17656" s="111"/>
      <c r="EF17656"/>
      <c r="EG17656"/>
      <c r="EH17656"/>
      <c r="EI17656"/>
      <c r="EJ17656"/>
      <c r="EK17656"/>
    </row>
    <row r="17657" spans="1:141" s="116" customFormat="1">
      <c r="A17657" s="136"/>
      <c r="CM17657" s="111"/>
      <c r="CQ17657" s="111"/>
      <c r="EF17657"/>
      <c r="EG17657"/>
      <c r="EH17657"/>
      <c r="EI17657"/>
      <c r="EJ17657"/>
      <c r="EK17657"/>
    </row>
    <row r="17658" spans="1:141" s="116" customFormat="1">
      <c r="A17658" s="136"/>
      <c r="CM17658" s="111"/>
      <c r="CQ17658" s="111"/>
      <c r="EF17658"/>
      <c r="EG17658"/>
      <c r="EH17658"/>
      <c r="EI17658"/>
      <c r="EJ17658"/>
      <c r="EK17658"/>
    </row>
    <row r="17659" spans="1:141" s="116" customFormat="1">
      <c r="A17659" s="136"/>
      <c r="CM17659" s="111"/>
      <c r="CQ17659" s="111"/>
      <c r="EF17659"/>
      <c r="EG17659"/>
      <c r="EH17659"/>
      <c r="EI17659"/>
      <c r="EJ17659"/>
      <c r="EK17659"/>
    </row>
    <row r="17660" spans="1:141" s="116" customFormat="1">
      <c r="A17660" s="136"/>
      <c r="CM17660" s="111"/>
      <c r="CQ17660" s="111"/>
      <c r="EF17660"/>
      <c r="EG17660"/>
      <c r="EH17660"/>
      <c r="EI17660"/>
      <c r="EJ17660"/>
      <c r="EK17660"/>
    </row>
    <row r="17661" spans="1:141" s="116" customFormat="1">
      <c r="A17661" s="136"/>
      <c r="CM17661" s="111"/>
      <c r="CQ17661" s="111"/>
      <c r="EF17661"/>
      <c r="EG17661"/>
      <c r="EH17661"/>
      <c r="EI17661"/>
      <c r="EJ17661"/>
      <c r="EK17661"/>
    </row>
    <row r="17662" spans="1:141" s="116" customFormat="1">
      <c r="A17662" s="136"/>
      <c r="CM17662" s="111"/>
      <c r="CQ17662" s="111"/>
      <c r="EF17662"/>
      <c r="EG17662"/>
      <c r="EH17662"/>
      <c r="EI17662"/>
      <c r="EJ17662"/>
      <c r="EK17662"/>
    </row>
    <row r="17663" spans="1:141" s="116" customFormat="1">
      <c r="A17663" s="136"/>
      <c r="CM17663" s="111"/>
      <c r="CQ17663" s="111"/>
      <c r="EF17663"/>
      <c r="EG17663"/>
      <c r="EH17663"/>
      <c r="EI17663"/>
      <c r="EJ17663"/>
      <c r="EK17663"/>
    </row>
    <row r="17664" spans="1:141" s="116" customFormat="1">
      <c r="A17664" s="136"/>
      <c r="CM17664" s="111"/>
      <c r="CQ17664" s="111"/>
      <c r="EF17664"/>
      <c r="EG17664"/>
      <c r="EH17664"/>
      <c r="EI17664"/>
      <c r="EJ17664"/>
      <c r="EK17664"/>
    </row>
    <row r="17665" spans="1:141" s="116" customFormat="1">
      <c r="A17665" s="136"/>
      <c r="CM17665" s="111"/>
      <c r="CQ17665" s="111"/>
      <c r="EF17665"/>
      <c r="EG17665"/>
      <c r="EH17665"/>
      <c r="EI17665"/>
      <c r="EJ17665"/>
      <c r="EK17665"/>
    </row>
    <row r="17666" spans="1:141" s="116" customFormat="1">
      <c r="A17666" s="136"/>
      <c r="CM17666" s="111"/>
      <c r="CQ17666" s="111"/>
      <c r="EF17666"/>
      <c r="EG17666"/>
      <c r="EH17666"/>
      <c r="EI17666"/>
      <c r="EJ17666"/>
      <c r="EK17666"/>
    </row>
    <row r="17667" spans="1:141" s="116" customFormat="1">
      <c r="A17667" s="136"/>
      <c r="CM17667" s="111"/>
      <c r="CQ17667" s="111"/>
      <c r="EF17667"/>
      <c r="EG17667"/>
      <c r="EH17667"/>
      <c r="EI17667"/>
      <c r="EJ17667"/>
      <c r="EK17667"/>
    </row>
    <row r="17668" spans="1:141" s="116" customFormat="1">
      <c r="A17668" s="136"/>
      <c r="CM17668" s="111"/>
      <c r="CQ17668" s="111"/>
      <c r="EF17668"/>
      <c r="EG17668"/>
      <c r="EH17668"/>
      <c r="EI17668"/>
      <c r="EJ17668"/>
      <c r="EK17668"/>
    </row>
    <row r="17669" spans="1:141" s="116" customFormat="1">
      <c r="A17669" s="136"/>
      <c r="CM17669" s="111"/>
      <c r="CQ17669" s="111"/>
      <c r="EF17669"/>
      <c r="EG17669"/>
      <c r="EH17669"/>
      <c r="EI17669"/>
      <c r="EJ17669"/>
      <c r="EK17669"/>
    </row>
    <row r="17670" spans="1:141" s="116" customFormat="1">
      <c r="A17670" s="136"/>
      <c r="CM17670" s="111"/>
      <c r="CQ17670" s="111"/>
      <c r="EF17670"/>
      <c r="EG17670"/>
      <c r="EH17670"/>
      <c r="EI17670"/>
      <c r="EJ17670"/>
      <c r="EK17670"/>
    </row>
    <row r="17671" spans="1:141" s="116" customFormat="1">
      <c r="A17671" s="136"/>
      <c r="CM17671" s="111"/>
      <c r="CQ17671" s="111"/>
      <c r="EF17671"/>
      <c r="EG17671"/>
      <c r="EH17671"/>
      <c r="EI17671"/>
      <c r="EJ17671"/>
      <c r="EK17671"/>
    </row>
    <row r="17672" spans="1:141" s="116" customFormat="1">
      <c r="A17672" s="136"/>
      <c r="CM17672" s="111"/>
      <c r="CQ17672" s="111"/>
      <c r="EF17672"/>
      <c r="EG17672"/>
      <c r="EH17672"/>
      <c r="EI17672"/>
      <c r="EJ17672"/>
      <c r="EK17672"/>
    </row>
    <row r="17673" spans="1:141" s="116" customFormat="1">
      <c r="A17673" s="136"/>
      <c r="CM17673" s="111"/>
      <c r="CQ17673" s="111"/>
      <c r="EF17673"/>
      <c r="EG17673"/>
      <c r="EH17673"/>
      <c r="EI17673"/>
      <c r="EJ17673"/>
      <c r="EK17673"/>
    </row>
    <row r="17674" spans="1:141" s="116" customFormat="1">
      <c r="A17674" s="136"/>
      <c r="CM17674" s="111"/>
      <c r="CQ17674" s="111"/>
      <c r="EF17674"/>
      <c r="EG17674"/>
      <c r="EH17674"/>
      <c r="EI17674"/>
      <c r="EJ17674"/>
      <c r="EK17674"/>
    </row>
    <row r="17675" spans="1:141" s="116" customFormat="1">
      <c r="A17675" s="136"/>
      <c r="CM17675" s="111"/>
      <c r="CQ17675" s="111"/>
      <c r="EF17675"/>
      <c r="EG17675"/>
      <c r="EH17675"/>
      <c r="EI17675"/>
      <c r="EJ17675"/>
      <c r="EK17675"/>
    </row>
    <row r="17676" spans="1:141" s="116" customFormat="1">
      <c r="A17676" s="136"/>
      <c r="CM17676" s="111"/>
      <c r="CQ17676" s="111"/>
      <c r="EF17676"/>
      <c r="EG17676"/>
      <c r="EH17676"/>
      <c r="EI17676"/>
      <c r="EJ17676"/>
      <c r="EK17676"/>
    </row>
    <row r="17677" spans="1:141" s="116" customFormat="1">
      <c r="A17677" s="136"/>
      <c r="CM17677" s="111"/>
      <c r="CQ17677" s="111"/>
      <c r="EF17677"/>
      <c r="EG17677"/>
      <c r="EH17677"/>
      <c r="EI17677"/>
      <c r="EJ17677"/>
      <c r="EK17677"/>
    </row>
    <row r="17678" spans="1:141" s="116" customFormat="1">
      <c r="A17678" s="136"/>
      <c r="CM17678" s="111"/>
      <c r="CQ17678" s="111"/>
      <c r="EF17678"/>
      <c r="EG17678"/>
      <c r="EH17678"/>
      <c r="EI17678"/>
      <c r="EJ17678"/>
      <c r="EK17678"/>
    </row>
    <row r="17679" spans="1:141" s="116" customFormat="1">
      <c r="A17679" s="136"/>
      <c r="CM17679" s="111"/>
      <c r="CQ17679" s="111"/>
      <c r="EF17679"/>
      <c r="EG17679"/>
      <c r="EH17679"/>
      <c r="EI17679"/>
      <c r="EJ17679"/>
      <c r="EK17679"/>
    </row>
    <row r="17680" spans="1:141" s="116" customFormat="1">
      <c r="A17680" s="136"/>
      <c r="CM17680" s="111"/>
      <c r="CQ17680" s="111"/>
      <c r="EF17680"/>
      <c r="EG17680"/>
      <c r="EH17680"/>
      <c r="EI17680"/>
      <c r="EJ17680"/>
      <c r="EK17680"/>
    </row>
    <row r="17681" spans="1:141" s="116" customFormat="1">
      <c r="A17681" s="136"/>
      <c r="CM17681" s="111"/>
      <c r="CQ17681" s="111"/>
      <c r="EF17681"/>
      <c r="EG17681"/>
      <c r="EH17681"/>
      <c r="EI17681"/>
      <c r="EJ17681"/>
      <c r="EK17681"/>
    </row>
    <row r="17682" spans="1:141" s="116" customFormat="1">
      <c r="A17682" s="136"/>
      <c r="CM17682" s="111"/>
      <c r="CQ17682" s="111"/>
      <c r="EF17682"/>
      <c r="EG17682"/>
      <c r="EH17682"/>
      <c r="EI17682"/>
      <c r="EJ17682"/>
      <c r="EK17682"/>
    </row>
    <row r="17683" spans="1:141" s="116" customFormat="1">
      <c r="A17683" s="136"/>
      <c r="CM17683" s="111"/>
      <c r="CQ17683" s="111"/>
      <c r="EF17683"/>
      <c r="EG17683"/>
      <c r="EH17683"/>
      <c r="EI17683"/>
      <c r="EJ17683"/>
      <c r="EK17683"/>
    </row>
    <row r="17684" spans="1:141" s="116" customFormat="1">
      <c r="A17684" s="136"/>
      <c r="CM17684" s="111"/>
      <c r="CQ17684" s="111"/>
      <c r="EF17684"/>
      <c r="EG17684"/>
      <c r="EH17684"/>
      <c r="EI17684"/>
      <c r="EJ17684"/>
      <c r="EK17684"/>
    </row>
    <row r="17685" spans="1:141" s="116" customFormat="1">
      <c r="A17685" s="136"/>
      <c r="CM17685" s="111"/>
      <c r="CQ17685" s="111"/>
      <c r="EF17685"/>
      <c r="EG17685"/>
      <c r="EH17685"/>
      <c r="EI17685"/>
      <c r="EJ17685"/>
      <c r="EK17685"/>
    </row>
    <row r="17686" spans="1:141" s="116" customFormat="1">
      <c r="A17686" s="136"/>
      <c r="CM17686" s="111"/>
      <c r="CQ17686" s="111"/>
      <c r="EF17686"/>
      <c r="EG17686"/>
      <c r="EH17686"/>
      <c r="EI17686"/>
      <c r="EJ17686"/>
      <c r="EK17686"/>
    </row>
    <row r="17687" spans="1:141" s="116" customFormat="1">
      <c r="A17687" s="136"/>
      <c r="CM17687" s="111"/>
      <c r="CQ17687" s="111"/>
      <c r="EF17687"/>
      <c r="EG17687"/>
      <c r="EH17687"/>
      <c r="EI17687"/>
      <c r="EJ17687"/>
      <c r="EK17687"/>
    </row>
    <row r="17688" spans="1:141" s="116" customFormat="1">
      <c r="A17688" s="136"/>
      <c r="CM17688" s="111"/>
      <c r="CQ17688" s="111"/>
      <c r="EF17688"/>
      <c r="EG17688"/>
      <c r="EH17688"/>
      <c r="EI17688"/>
      <c r="EJ17688"/>
      <c r="EK17688"/>
    </row>
    <row r="17689" spans="1:141" s="116" customFormat="1">
      <c r="A17689" s="136"/>
      <c r="CM17689" s="111"/>
      <c r="CQ17689" s="111"/>
      <c r="EF17689"/>
      <c r="EG17689"/>
      <c r="EH17689"/>
      <c r="EI17689"/>
      <c r="EJ17689"/>
      <c r="EK17689"/>
    </row>
    <row r="17690" spans="1:141" s="116" customFormat="1">
      <c r="A17690" s="136"/>
      <c r="CM17690" s="111"/>
      <c r="CQ17690" s="111"/>
      <c r="EF17690"/>
      <c r="EG17690"/>
      <c r="EH17690"/>
      <c r="EI17690"/>
      <c r="EJ17690"/>
      <c r="EK17690"/>
    </row>
    <row r="17691" spans="1:141" s="116" customFormat="1">
      <c r="A17691" s="136"/>
      <c r="CM17691" s="111"/>
      <c r="CQ17691" s="111"/>
      <c r="EF17691"/>
      <c r="EG17691"/>
      <c r="EH17691"/>
      <c r="EI17691"/>
      <c r="EJ17691"/>
      <c r="EK17691"/>
    </row>
    <row r="17692" spans="1:141" s="116" customFormat="1">
      <c r="A17692" s="136"/>
      <c r="CM17692" s="111"/>
      <c r="CQ17692" s="111"/>
      <c r="EF17692"/>
      <c r="EG17692"/>
      <c r="EH17692"/>
      <c r="EI17692"/>
      <c r="EJ17692"/>
      <c r="EK17692"/>
    </row>
    <row r="17693" spans="1:141" s="116" customFormat="1">
      <c r="A17693" s="136"/>
      <c r="CM17693" s="111"/>
      <c r="CQ17693" s="111"/>
      <c r="EF17693"/>
      <c r="EG17693"/>
      <c r="EH17693"/>
      <c r="EI17693"/>
      <c r="EJ17693"/>
      <c r="EK17693"/>
    </row>
    <row r="17694" spans="1:141" s="116" customFormat="1">
      <c r="A17694" s="136"/>
      <c r="CM17694" s="111"/>
      <c r="CQ17694" s="111"/>
      <c r="EF17694"/>
      <c r="EG17694"/>
      <c r="EH17694"/>
      <c r="EI17694"/>
      <c r="EJ17694"/>
      <c r="EK17694"/>
    </row>
    <row r="17695" spans="1:141" s="116" customFormat="1">
      <c r="A17695" s="136"/>
      <c r="CM17695" s="111"/>
      <c r="CQ17695" s="111"/>
      <c r="EF17695"/>
      <c r="EG17695"/>
      <c r="EH17695"/>
      <c r="EI17695"/>
      <c r="EJ17695"/>
      <c r="EK17695"/>
    </row>
    <row r="17696" spans="1:141" s="116" customFormat="1">
      <c r="A17696" s="136"/>
      <c r="CM17696" s="111"/>
      <c r="CQ17696" s="111"/>
      <c r="EF17696"/>
      <c r="EG17696"/>
      <c r="EH17696"/>
      <c r="EI17696"/>
      <c r="EJ17696"/>
      <c r="EK17696"/>
    </row>
    <row r="17697" spans="1:141" s="116" customFormat="1">
      <c r="A17697" s="136"/>
      <c r="CM17697" s="111"/>
      <c r="CQ17697" s="111"/>
      <c r="EF17697"/>
      <c r="EG17697"/>
      <c r="EH17697"/>
      <c r="EI17697"/>
      <c r="EJ17697"/>
      <c r="EK17697"/>
    </row>
    <row r="17698" spans="1:141" s="116" customFormat="1">
      <c r="A17698" s="136"/>
      <c r="CM17698" s="111"/>
      <c r="CQ17698" s="111"/>
      <c r="EF17698"/>
      <c r="EG17698"/>
      <c r="EH17698"/>
      <c r="EI17698"/>
      <c r="EJ17698"/>
      <c r="EK17698"/>
    </row>
    <row r="17699" spans="1:141" s="116" customFormat="1">
      <c r="A17699" s="136"/>
      <c r="CM17699" s="111"/>
      <c r="CQ17699" s="111"/>
      <c r="EF17699"/>
      <c r="EG17699"/>
      <c r="EH17699"/>
      <c r="EI17699"/>
      <c r="EJ17699"/>
      <c r="EK17699"/>
    </row>
    <row r="17700" spans="1:141" s="116" customFormat="1">
      <c r="A17700" s="136"/>
      <c r="CM17700" s="111"/>
      <c r="CQ17700" s="111"/>
      <c r="EF17700"/>
      <c r="EG17700"/>
      <c r="EH17700"/>
      <c r="EI17700"/>
      <c r="EJ17700"/>
      <c r="EK17700"/>
    </row>
    <row r="17701" spans="1:141" s="116" customFormat="1">
      <c r="A17701" s="136"/>
      <c r="CM17701" s="111"/>
      <c r="CQ17701" s="111"/>
      <c r="EF17701"/>
      <c r="EG17701"/>
      <c r="EH17701"/>
      <c r="EI17701"/>
      <c r="EJ17701"/>
      <c r="EK17701"/>
    </row>
    <row r="17702" spans="1:141" s="116" customFormat="1">
      <c r="A17702" s="136"/>
      <c r="CM17702" s="111"/>
      <c r="CQ17702" s="111"/>
      <c r="EF17702"/>
      <c r="EG17702"/>
      <c r="EH17702"/>
      <c r="EI17702"/>
      <c r="EJ17702"/>
      <c r="EK17702"/>
    </row>
    <row r="17703" spans="1:141" s="116" customFormat="1">
      <c r="A17703" s="136"/>
      <c r="CM17703" s="111"/>
      <c r="CQ17703" s="111"/>
      <c r="EF17703"/>
      <c r="EG17703"/>
      <c r="EH17703"/>
      <c r="EI17703"/>
      <c r="EJ17703"/>
      <c r="EK17703"/>
    </row>
    <row r="17704" spans="1:141" s="116" customFormat="1">
      <c r="A17704" s="136"/>
      <c r="CM17704" s="111"/>
      <c r="CQ17704" s="111"/>
      <c r="EF17704"/>
      <c r="EG17704"/>
      <c r="EH17704"/>
      <c r="EI17704"/>
      <c r="EJ17704"/>
      <c r="EK17704"/>
    </row>
    <row r="17705" spans="1:141" s="116" customFormat="1">
      <c r="A17705" s="136"/>
      <c r="CM17705" s="111"/>
      <c r="CQ17705" s="111"/>
      <c r="EF17705"/>
      <c r="EG17705"/>
      <c r="EH17705"/>
      <c r="EI17705"/>
      <c r="EJ17705"/>
      <c r="EK17705"/>
    </row>
    <row r="17706" spans="1:141" s="116" customFormat="1">
      <c r="A17706" s="136"/>
      <c r="CM17706" s="111"/>
      <c r="CQ17706" s="111"/>
      <c r="EF17706"/>
      <c r="EG17706"/>
      <c r="EH17706"/>
      <c r="EI17706"/>
      <c r="EJ17706"/>
      <c r="EK17706"/>
    </row>
    <row r="17707" spans="1:141" s="116" customFormat="1">
      <c r="A17707" s="136"/>
      <c r="CM17707" s="111"/>
      <c r="CQ17707" s="111"/>
      <c r="EF17707"/>
      <c r="EG17707"/>
      <c r="EH17707"/>
      <c r="EI17707"/>
      <c r="EJ17707"/>
      <c r="EK17707"/>
    </row>
    <row r="17708" spans="1:141" s="116" customFormat="1">
      <c r="A17708" s="136"/>
      <c r="CM17708" s="111"/>
      <c r="CQ17708" s="111"/>
      <c r="EF17708"/>
      <c r="EG17708"/>
      <c r="EH17708"/>
      <c r="EI17708"/>
      <c r="EJ17708"/>
      <c r="EK17708"/>
    </row>
    <row r="17709" spans="1:141" s="116" customFormat="1">
      <c r="A17709" s="136"/>
      <c r="CM17709" s="111"/>
      <c r="CQ17709" s="111"/>
      <c r="EF17709"/>
      <c r="EG17709"/>
      <c r="EH17709"/>
      <c r="EI17709"/>
      <c r="EJ17709"/>
      <c r="EK17709"/>
    </row>
    <row r="17710" spans="1:141" s="116" customFormat="1">
      <c r="A17710" s="136"/>
      <c r="CM17710" s="111"/>
      <c r="CQ17710" s="111"/>
      <c r="EF17710"/>
      <c r="EG17710"/>
      <c r="EH17710"/>
      <c r="EI17710"/>
      <c r="EJ17710"/>
      <c r="EK17710"/>
    </row>
    <row r="17711" spans="1:141" s="116" customFormat="1">
      <c r="A17711" s="136"/>
      <c r="CM17711" s="111"/>
      <c r="CQ17711" s="111"/>
      <c r="EF17711"/>
      <c r="EG17711"/>
      <c r="EH17711"/>
      <c r="EI17711"/>
      <c r="EJ17711"/>
      <c r="EK17711"/>
    </row>
    <row r="17712" spans="1:141" s="116" customFormat="1">
      <c r="A17712" s="136"/>
      <c r="CM17712" s="111"/>
      <c r="CQ17712" s="111"/>
      <c r="EF17712"/>
      <c r="EG17712"/>
      <c r="EH17712"/>
      <c r="EI17712"/>
      <c r="EJ17712"/>
      <c r="EK17712"/>
    </row>
    <row r="17713" spans="1:141" s="116" customFormat="1">
      <c r="A17713" s="136"/>
      <c r="CM17713" s="111"/>
      <c r="CQ17713" s="111"/>
      <c r="EF17713"/>
      <c r="EG17713"/>
      <c r="EH17713"/>
      <c r="EI17713"/>
      <c r="EJ17713"/>
      <c r="EK17713"/>
    </row>
    <row r="17714" spans="1:141" s="116" customFormat="1">
      <c r="A17714" s="136"/>
      <c r="CM17714" s="111"/>
      <c r="CQ17714" s="111"/>
      <c r="EF17714"/>
      <c r="EG17714"/>
      <c r="EH17714"/>
      <c r="EI17714"/>
      <c r="EJ17714"/>
      <c r="EK17714"/>
    </row>
    <row r="17715" spans="1:141" s="116" customFormat="1">
      <c r="A17715" s="136"/>
      <c r="CM17715" s="111"/>
      <c r="CQ17715" s="111"/>
      <c r="EF17715"/>
      <c r="EG17715"/>
      <c r="EH17715"/>
      <c r="EI17715"/>
      <c r="EJ17715"/>
      <c r="EK17715"/>
    </row>
    <row r="17716" spans="1:141" s="116" customFormat="1">
      <c r="A17716" s="136"/>
      <c r="CM17716" s="111"/>
      <c r="CQ17716" s="111"/>
      <c r="EF17716"/>
      <c r="EG17716"/>
      <c r="EH17716"/>
      <c r="EI17716"/>
      <c r="EJ17716"/>
      <c r="EK17716"/>
    </row>
    <row r="17717" spans="1:141" s="116" customFormat="1">
      <c r="A17717" s="136"/>
      <c r="CM17717" s="111"/>
      <c r="CQ17717" s="111"/>
      <c r="EF17717"/>
      <c r="EG17717"/>
      <c r="EH17717"/>
      <c r="EI17717"/>
      <c r="EJ17717"/>
      <c r="EK17717"/>
    </row>
    <row r="17718" spans="1:141" s="116" customFormat="1">
      <c r="A17718" s="136"/>
      <c r="CM17718" s="111"/>
      <c r="CQ17718" s="111"/>
      <c r="EF17718"/>
      <c r="EG17718"/>
      <c r="EH17718"/>
      <c r="EI17718"/>
      <c r="EJ17718"/>
      <c r="EK17718"/>
    </row>
    <row r="17719" spans="1:141" s="116" customFormat="1">
      <c r="A17719" s="136"/>
      <c r="CM17719" s="111"/>
      <c r="CQ17719" s="111"/>
      <c r="EF17719"/>
      <c r="EG17719"/>
      <c r="EH17719"/>
      <c r="EI17719"/>
      <c r="EJ17719"/>
      <c r="EK17719"/>
    </row>
    <row r="17720" spans="1:141" s="116" customFormat="1">
      <c r="A17720" s="136"/>
      <c r="CM17720" s="111"/>
      <c r="CQ17720" s="111"/>
      <c r="EF17720"/>
      <c r="EG17720"/>
      <c r="EH17720"/>
      <c r="EI17720"/>
      <c r="EJ17720"/>
      <c r="EK17720"/>
    </row>
    <row r="17721" spans="1:141" s="116" customFormat="1">
      <c r="A17721" s="136"/>
      <c r="CM17721" s="111"/>
      <c r="CQ17721" s="111"/>
      <c r="EF17721"/>
      <c r="EG17721"/>
      <c r="EH17721"/>
      <c r="EI17721"/>
      <c r="EJ17721"/>
      <c r="EK17721"/>
    </row>
    <row r="17722" spans="1:141" s="116" customFormat="1">
      <c r="A17722" s="136"/>
      <c r="CM17722" s="111"/>
      <c r="CQ17722" s="111"/>
      <c r="EF17722"/>
      <c r="EG17722"/>
      <c r="EH17722"/>
      <c r="EI17722"/>
      <c r="EJ17722"/>
      <c r="EK17722"/>
    </row>
    <row r="17723" spans="1:141" s="116" customFormat="1">
      <c r="A17723" s="136"/>
      <c r="CM17723" s="111"/>
      <c r="CQ17723" s="111"/>
      <c r="EF17723"/>
      <c r="EG17723"/>
      <c r="EH17723"/>
      <c r="EI17723"/>
      <c r="EJ17723"/>
      <c r="EK17723"/>
    </row>
    <row r="17724" spans="1:141" s="116" customFormat="1">
      <c r="A17724" s="136"/>
      <c r="CM17724" s="111"/>
      <c r="CQ17724" s="111"/>
      <c r="EF17724"/>
      <c r="EG17724"/>
      <c r="EH17724"/>
      <c r="EI17724"/>
      <c r="EJ17724"/>
      <c r="EK17724"/>
    </row>
    <row r="17725" spans="1:141" s="116" customFormat="1">
      <c r="A17725" s="136"/>
      <c r="CM17725" s="111"/>
      <c r="CQ17725" s="111"/>
      <c r="EF17725"/>
      <c r="EG17725"/>
      <c r="EH17725"/>
      <c r="EI17725"/>
      <c r="EJ17725"/>
      <c r="EK17725"/>
    </row>
    <row r="17726" spans="1:141" s="116" customFormat="1">
      <c r="A17726" s="136"/>
      <c r="CM17726" s="111"/>
      <c r="CQ17726" s="111"/>
      <c r="EF17726"/>
      <c r="EG17726"/>
      <c r="EH17726"/>
      <c r="EI17726"/>
      <c r="EJ17726"/>
      <c r="EK17726"/>
    </row>
    <row r="17727" spans="1:141" s="116" customFormat="1">
      <c r="A17727" s="136"/>
      <c r="CM17727" s="111"/>
      <c r="CQ17727" s="111"/>
      <c r="EF17727"/>
      <c r="EG17727"/>
      <c r="EH17727"/>
      <c r="EI17727"/>
      <c r="EJ17727"/>
      <c r="EK17727"/>
    </row>
    <row r="17728" spans="1:141" s="116" customFormat="1">
      <c r="A17728" s="136"/>
      <c r="CM17728" s="111"/>
      <c r="CQ17728" s="111"/>
      <c r="EF17728"/>
      <c r="EG17728"/>
      <c r="EH17728"/>
      <c r="EI17728"/>
      <c r="EJ17728"/>
      <c r="EK17728"/>
    </row>
    <row r="17729" spans="1:141" s="116" customFormat="1">
      <c r="A17729" s="136"/>
      <c r="CM17729" s="111"/>
      <c r="CQ17729" s="111"/>
      <c r="EF17729"/>
      <c r="EG17729"/>
      <c r="EH17729"/>
      <c r="EI17729"/>
      <c r="EJ17729"/>
      <c r="EK17729"/>
    </row>
    <row r="17730" spans="1:141" s="116" customFormat="1">
      <c r="A17730" s="136"/>
      <c r="CM17730" s="111"/>
      <c r="CQ17730" s="111"/>
      <c r="EF17730"/>
      <c r="EG17730"/>
      <c r="EH17730"/>
      <c r="EI17730"/>
      <c r="EJ17730"/>
      <c r="EK17730"/>
    </row>
    <row r="17731" spans="1:141" s="116" customFormat="1">
      <c r="A17731" s="136"/>
      <c r="CM17731" s="111"/>
      <c r="CQ17731" s="111"/>
      <c r="EF17731"/>
      <c r="EG17731"/>
      <c r="EH17731"/>
      <c r="EI17731"/>
      <c r="EJ17731"/>
      <c r="EK17731"/>
    </row>
    <row r="17732" spans="1:141" s="116" customFormat="1">
      <c r="A17732" s="136"/>
      <c r="CM17732" s="111"/>
      <c r="CQ17732" s="111"/>
      <c r="EF17732"/>
      <c r="EG17732"/>
      <c r="EH17732"/>
      <c r="EI17732"/>
      <c r="EJ17732"/>
      <c r="EK17732"/>
    </row>
    <row r="17733" spans="1:141" s="116" customFormat="1">
      <c r="A17733" s="136"/>
      <c r="CM17733" s="111"/>
      <c r="CQ17733" s="111"/>
      <c r="EF17733"/>
      <c r="EG17733"/>
      <c r="EH17733"/>
      <c r="EI17733"/>
      <c r="EJ17733"/>
      <c r="EK17733"/>
    </row>
    <row r="17734" spans="1:141" s="116" customFormat="1">
      <c r="A17734" s="136"/>
      <c r="CM17734" s="111"/>
      <c r="CQ17734" s="111"/>
      <c r="EF17734"/>
      <c r="EG17734"/>
      <c r="EH17734"/>
      <c r="EI17734"/>
      <c r="EJ17734"/>
      <c r="EK17734"/>
    </row>
    <row r="17735" spans="1:141" s="116" customFormat="1">
      <c r="A17735" s="136"/>
      <c r="CM17735" s="111"/>
      <c r="CQ17735" s="111"/>
      <c r="EF17735"/>
      <c r="EG17735"/>
      <c r="EH17735"/>
      <c r="EI17735"/>
      <c r="EJ17735"/>
      <c r="EK17735"/>
    </row>
    <row r="17736" spans="1:141" s="116" customFormat="1">
      <c r="A17736" s="136"/>
      <c r="CM17736" s="111"/>
      <c r="CQ17736" s="111"/>
      <c r="EF17736"/>
      <c r="EG17736"/>
      <c r="EH17736"/>
      <c r="EI17736"/>
      <c r="EJ17736"/>
      <c r="EK17736"/>
    </row>
    <row r="17737" spans="1:141" s="116" customFormat="1">
      <c r="A17737" s="136"/>
      <c r="CM17737" s="111"/>
      <c r="CQ17737" s="111"/>
      <c r="EF17737"/>
      <c r="EG17737"/>
      <c r="EH17737"/>
      <c r="EI17737"/>
      <c r="EJ17737"/>
      <c r="EK17737"/>
    </row>
    <row r="17738" spans="1:141" s="116" customFormat="1">
      <c r="A17738" s="136"/>
      <c r="CM17738" s="111"/>
      <c r="CQ17738" s="111"/>
      <c r="EF17738"/>
      <c r="EG17738"/>
      <c r="EH17738"/>
      <c r="EI17738"/>
      <c r="EJ17738"/>
      <c r="EK17738"/>
    </row>
    <row r="17739" spans="1:141" s="116" customFormat="1">
      <c r="A17739" s="136"/>
      <c r="CM17739" s="111"/>
      <c r="CQ17739" s="111"/>
      <c r="EF17739"/>
      <c r="EG17739"/>
      <c r="EH17739"/>
      <c r="EI17739"/>
      <c r="EJ17739"/>
      <c r="EK17739"/>
    </row>
    <row r="17740" spans="1:141" s="116" customFormat="1">
      <c r="A17740" s="136"/>
      <c r="CM17740" s="111"/>
      <c r="CQ17740" s="111"/>
      <c r="EF17740"/>
      <c r="EG17740"/>
      <c r="EH17740"/>
      <c r="EI17740"/>
      <c r="EJ17740"/>
      <c r="EK17740"/>
    </row>
    <row r="17741" spans="1:141" s="116" customFormat="1">
      <c r="A17741" s="136"/>
      <c r="CM17741" s="111"/>
      <c r="CQ17741" s="111"/>
      <c r="EF17741"/>
      <c r="EG17741"/>
      <c r="EH17741"/>
      <c r="EI17741"/>
      <c r="EJ17741"/>
      <c r="EK17741"/>
    </row>
    <row r="17742" spans="1:141" s="116" customFormat="1">
      <c r="A17742" s="136"/>
      <c r="CM17742" s="111"/>
      <c r="CQ17742" s="111"/>
      <c r="EF17742"/>
      <c r="EG17742"/>
      <c r="EH17742"/>
      <c r="EI17742"/>
      <c r="EJ17742"/>
      <c r="EK17742"/>
    </row>
    <row r="17743" spans="1:141" s="116" customFormat="1">
      <c r="A17743" s="136"/>
      <c r="CM17743" s="111"/>
      <c r="CQ17743" s="111"/>
      <c r="EF17743"/>
      <c r="EG17743"/>
      <c r="EH17743"/>
      <c r="EI17743"/>
      <c r="EJ17743"/>
      <c r="EK17743"/>
    </row>
    <row r="17744" spans="1:141" s="116" customFormat="1">
      <c r="A17744" s="136"/>
      <c r="CM17744" s="111"/>
      <c r="CQ17744" s="111"/>
      <c r="EF17744"/>
      <c r="EG17744"/>
      <c r="EH17744"/>
      <c r="EI17744"/>
      <c r="EJ17744"/>
      <c r="EK17744"/>
    </row>
    <row r="17745" spans="1:141" s="116" customFormat="1">
      <c r="A17745" s="136"/>
      <c r="CM17745" s="111"/>
      <c r="CQ17745" s="111"/>
      <c r="EF17745"/>
      <c r="EG17745"/>
      <c r="EH17745"/>
      <c r="EI17745"/>
      <c r="EJ17745"/>
      <c r="EK17745"/>
    </row>
    <row r="17746" spans="1:141" s="116" customFormat="1">
      <c r="A17746" s="136"/>
      <c r="CM17746" s="111"/>
      <c r="CQ17746" s="111"/>
      <c r="EF17746"/>
      <c r="EG17746"/>
      <c r="EH17746"/>
      <c r="EI17746"/>
      <c r="EJ17746"/>
      <c r="EK17746"/>
    </row>
    <row r="17747" spans="1:141" s="116" customFormat="1">
      <c r="A17747" s="136"/>
      <c r="CM17747" s="111"/>
      <c r="CQ17747" s="111"/>
      <c r="EF17747"/>
      <c r="EG17747"/>
      <c r="EH17747"/>
      <c r="EI17747"/>
      <c r="EJ17747"/>
      <c r="EK17747"/>
    </row>
    <row r="17748" spans="1:141" s="116" customFormat="1">
      <c r="A17748" s="136"/>
      <c r="CM17748" s="111"/>
      <c r="CQ17748" s="111"/>
      <c r="EF17748"/>
      <c r="EG17748"/>
      <c r="EH17748"/>
      <c r="EI17748"/>
      <c r="EJ17748"/>
      <c r="EK17748"/>
    </row>
    <row r="17749" spans="1:141" s="116" customFormat="1">
      <c r="A17749" s="136"/>
      <c r="CM17749" s="111"/>
      <c r="CQ17749" s="111"/>
      <c r="EF17749"/>
      <c r="EG17749"/>
      <c r="EH17749"/>
      <c r="EI17749"/>
      <c r="EJ17749"/>
      <c r="EK17749"/>
    </row>
    <row r="17750" spans="1:141" s="116" customFormat="1">
      <c r="A17750" s="136"/>
      <c r="CM17750" s="111"/>
      <c r="CQ17750" s="111"/>
      <c r="EF17750"/>
      <c r="EG17750"/>
      <c r="EH17750"/>
      <c r="EI17750"/>
      <c r="EJ17750"/>
      <c r="EK17750"/>
    </row>
    <row r="17751" spans="1:141" s="116" customFormat="1">
      <c r="A17751" s="136"/>
      <c r="CM17751" s="111"/>
      <c r="CQ17751" s="111"/>
      <c r="EF17751"/>
      <c r="EG17751"/>
      <c r="EH17751"/>
      <c r="EI17751"/>
      <c r="EJ17751"/>
      <c r="EK17751"/>
    </row>
    <row r="17752" spans="1:141" s="116" customFormat="1">
      <c r="A17752" s="136"/>
      <c r="CM17752" s="111"/>
      <c r="CQ17752" s="111"/>
      <c r="EF17752"/>
      <c r="EG17752"/>
      <c r="EH17752"/>
      <c r="EI17752"/>
      <c r="EJ17752"/>
      <c r="EK17752"/>
    </row>
    <row r="17753" spans="1:141" s="116" customFormat="1">
      <c r="A17753" s="136"/>
      <c r="CM17753" s="111"/>
      <c r="CQ17753" s="111"/>
      <c r="EF17753"/>
      <c r="EG17753"/>
      <c r="EH17753"/>
      <c r="EI17753"/>
      <c r="EJ17753"/>
      <c r="EK17753"/>
    </row>
    <row r="17754" spans="1:141" s="116" customFormat="1">
      <c r="A17754" s="136"/>
      <c r="CM17754" s="111"/>
      <c r="CQ17754" s="111"/>
      <c r="EF17754"/>
      <c r="EG17754"/>
      <c r="EH17754"/>
      <c r="EI17754"/>
      <c r="EJ17754"/>
      <c r="EK17754"/>
    </row>
    <row r="17755" spans="1:141" s="116" customFormat="1">
      <c r="A17755" s="136"/>
      <c r="CM17755" s="111"/>
      <c r="CQ17755" s="111"/>
      <c r="EF17755"/>
      <c r="EG17755"/>
      <c r="EH17755"/>
      <c r="EI17755"/>
      <c r="EJ17755"/>
      <c r="EK17755"/>
    </row>
    <row r="17756" spans="1:141" s="116" customFormat="1">
      <c r="A17756" s="136"/>
      <c r="CM17756" s="111"/>
      <c r="CQ17756" s="111"/>
      <c r="EF17756"/>
      <c r="EG17756"/>
      <c r="EH17756"/>
      <c r="EI17756"/>
      <c r="EJ17756"/>
      <c r="EK17756"/>
    </row>
    <row r="17757" spans="1:141" s="116" customFormat="1">
      <c r="A17757" s="136"/>
      <c r="CM17757" s="111"/>
      <c r="CQ17757" s="111"/>
      <c r="EF17757"/>
      <c r="EG17757"/>
      <c r="EH17757"/>
      <c r="EI17757"/>
      <c r="EJ17757"/>
      <c r="EK17757"/>
    </row>
    <row r="17758" spans="1:141" s="116" customFormat="1">
      <c r="A17758" s="136"/>
      <c r="CM17758" s="111"/>
      <c r="CQ17758" s="111"/>
      <c r="EF17758"/>
      <c r="EG17758"/>
      <c r="EH17758"/>
      <c r="EI17758"/>
      <c r="EJ17758"/>
      <c r="EK17758"/>
    </row>
    <row r="17759" spans="1:141" s="116" customFormat="1">
      <c r="A17759" s="136"/>
      <c r="CM17759" s="111"/>
      <c r="CQ17759" s="111"/>
      <c r="EF17759"/>
      <c r="EG17759"/>
      <c r="EH17759"/>
      <c r="EI17759"/>
      <c r="EJ17759"/>
      <c r="EK17759"/>
    </row>
    <row r="17760" spans="1:141" s="116" customFormat="1">
      <c r="A17760" s="136"/>
      <c r="CM17760" s="111"/>
      <c r="CQ17760" s="111"/>
      <c r="EF17760"/>
      <c r="EG17760"/>
      <c r="EH17760"/>
      <c r="EI17760"/>
      <c r="EJ17760"/>
      <c r="EK17760"/>
    </row>
    <row r="17761" spans="1:141" s="116" customFormat="1">
      <c r="A17761" s="136"/>
      <c r="CM17761" s="111"/>
      <c r="CQ17761" s="111"/>
      <c r="EF17761"/>
      <c r="EG17761"/>
      <c r="EH17761"/>
      <c r="EI17761"/>
      <c r="EJ17761"/>
      <c r="EK17761"/>
    </row>
    <row r="17762" spans="1:141" s="116" customFormat="1">
      <c r="A17762" s="136"/>
      <c r="CM17762" s="111"/>
      <c r="CQ17762" s="111"/>
      <c r="EF17762"/>
      <c r="EG17762"/>
      <c r="EH17762"/>
      <c r="EI17762"/>
      <c r="EJ17762"/>
      <c r="EK17762"/>
    </row>
    <row r="17763" spans="1:141" s="116" customFormat="1">
      <c r="A17763" s="136"/>
      <c r="CM17763" s="111"/>
      <c r="CQ17763" s="111"/>
      <c r="EF17763"/>
      <c r="EG17763"/>
      <c r="EH17763"/>
      <c r="EI17763"/>
      <c r="EJ17763"/>
      <c r="EK17763"/>
    </row>
    <row r="17764" spans="1:141" s="116" customFormat="1">
      <c r="A17764" s="136"/>
      <c r="CM17764" s="111"/>
      <c r="CQ17764" s="111"/>
      <c r="EF17764"/>
      <c r="EG17764"/>
      <c r="EH17764"/>
      <c r="EI17764"/>
      <c r="EJ17764"/>
      <c r="EK17764"/>
    </row>
    <row r="17765" spans="1:141" s="116" customFormat="1">
      <c r="A17765" s="136"/>
      <c r="CM17765" s="111"/>
      <c r="CQ17765" s="111"/>
      <c r="EF17765"/>
      <c r="EG17765"/>
      <c r="EH17765"/>
      <c r="EI17765"/>
      <c r="EJ17765"/>
      <c r="EK17765"/>
    </row>
    <row r="17766" spans="1:141" s="116" customFormat="1">
      <c r="A17766" s="136"/>
      <c r="CM17766" s="111"/>
      <c r="CQ17766" s="111"/>
      <c r="EF17766"/>
      <c r="EG17766"/>
      <c r="EH17766"/>
      <c r="EI17766"/>
      <c r="EJ17766"/>
      <c r="EK17766"/>
    </row>
    <row r="17767" spans="1:141" s="116" customFormat="1">
      <c r="A17767" s="136"/>
      <c r="CM17767" s="111"/>
      <c r="CQ17767" s="111"/>
      <c r="EF17767"/>
      <c r="EG17767"/>
      <c r="EH17767"/>
      <c r="EI17767"/>
      <c r="EJ17767"/>
      <c r="EK17767"/>
    </row>
    <row r="17768" spans="1:141" s="116" customFormat="1">
      <c r="A17768" s="136"/>
      <c r="CM17768" s="111"/>
      <c r="CQ17768" s="111"/>
      <c r="EF17768"/>
      <c r="EG17768"/>
      <c r="EH17768"/>
      <c r="EI17768"/>
      <c r="EJ17768"/>
      <c r="EK17768"/>
    </row>
    <row r="17769" spans="1:141" s="116" customFormat="1">
      <c r="A17769" s="136"/>
      <c r="CM17769" s="111"/>
      <c r="CQ17769" s="111"/>
      <c r="EF17769"/>
      <c r="EG17769"/>
      <c r="EH17769"/>
      <c r="EI17769"/>
      <c r="EJ17769"/>
      <c r="EK17769"/>
    </row>
    <row r="17770" spans="1:141" s="116" customFormat="1">
      <c r="A17770" s="136"/>
      <c r="CM17770" s="111"/>
      <c r="CQ17770" s="111"/>
      <c r="EF17770"/>
      <c r="EG17770"/>
      <c r="EH17770"/>
      <c r="EI17770"/>
      <c r="EJ17770"/>
      <c r="EK17770"/>
    </row>
    <row r="17771" spans="1:141" s="116" customFormat="1">
      <c r="A17771" s="136"/>
      <c r="CM17771" s="111"/>
      <c r="CQ17771" s="111"/>
      <c r="EF17771"/>
      <c r="EG17771"/>
      <c r="EH17771"/>
      <c r="EI17771"/>
      <c r="EJ17771"/>
      <c r="EK17771"/>
    </row>
    <row r="17772" spans="1:141" s="116" customFormat="1">
      <c r="A17772" s="136"/>
      <c r="CM17772" s="111"/>
      <c r="CQ17772" s="111"/>
      <c r="EF17772"/>
      <c r="EG17772"/>
      <c r="EH17772"/>
      <c r="EI17772"/>
      <c r="EJ17772"/>
      <c r="EK17772"/>
    </row>
    <row r="17773" spans="1:141" s="116" customFormat="1">
      <c r="A17773" s="136"/>
      <c r="CM17773" s="111"/>
      <c r="CQ17773" s="111"/>
      <c r="EF17773"/>
      <c r="EG17773"/>
      <c r="EH17773"/>
      <c r="EI17773"/>
      <c r="EJ17773"/>
      <c r="EK17773"/>
    </row>
    <row r="17774" spans="1:141" s="116" customFormat="1">
      <c r="A17774" s="136"/>
      <c r="CM17774" s="111"/>
      <c r="CQ17774" s="111"/>
      <c r="EF17774"/>
      <c r="EG17774"/>
      <c r="EH17774"/>
      <c r="EI17774"/>
      <c r="EJ17774"/>
      <c r="EK17774"/>
    </row>
    <row r="17775" spans="1:141" s="116" customFormat="1">
      <c r="A17775" s="136"/>
      <c r="CM17775" s="111"/>
      <c r="CQ17775" s="111"/>
      <c r="EF17775"/>
      <c r="EG17775"/>
      <c r="EH17775"/>
      <c r="EI17775"/>
      <c r="EJ17775"/>
      <c r="EK17775"/>
    </row>
    <row r="17776" spans="1:141" s="116" customFormat="1">
      <c r="A17776" s="136"/>
      <c r="CM17776" s="111"/>
      <c r="CQ17776" s="111"/>
      <c r="EF17776"/>
      <c r="EG17776"/>
      <c r="EH17776"/>
      <c r="EI17776"/>
      <c r="EJ17776"/>
      <c r="EK17776"/>
    </row>
    <row r="17777" spans="1:141" s="116" customFormat="1">
      <c r="A17777" s="136"/>
      <c r="CM17777" s="111"/>
      <c r="CQ17777" s="111"/>
      <c r="EF17777"/>
      <c r="EG17777"/>
      <c r="EH17777"/>
      <c r="EI17777"/>
      <c r="EJ17777"/>
      <c r="EK17777"/>
    </row>
    <row r="17778" spans="1:141" s="116" customFormat="1">
      <c r="A17778" s="136"/>
      <c r="CM17778" s="111"/>
      <c r="CQ17778" s="111"/>
      <c r="EF17778"/>
      <c r="EG17778"/>
      <c r="EH17778"/>
      <c r="EI17778"/>
      <c r="EJ17778"/>
      <c r="EK17778"/>
    </row>
    <row r="17779" spans="1:141" s="116" customFormat="1">
      <c r="A17779" s="136"/>
      <c r="CM17779" s="111"/>
      <c r="CQ17779" s="111"/>
      <c r="EF17779"/>
      <c r="EG17779"/>
      <c r="EH17779"/>
      <c r="EI17779"/>
      <c r="EJ17779"/>
      <c r="EK17779"/>
    </row>
    <row r="17780" spans="1:141" s="116" customFormat="1">
      <c r="A17780" s="136"/>
      <c r="CM17780" s="111"/>
      <c r="CQ17780" s="111"/>
      <c r="EF17780"/>
      <c r="EG17780"/>
      <c r="EH17780"/>
      <c r="EI17780"/>
      <c r="EJ17780"/>
      <c r="EK17780"/>
    </row>
    <row r="17781" spans="1:141" s="116" customFormat="1">
      <c r="A17781" s="136"/>
      <c r="CM17781" s="111"/>
      <c r="CQ17781" s="111"/>
      <c r="EF17781"/>
      <c r="EG17781"/>
      <c r="EH17781"/>
      <c r="EI17781"/>
      <c r="EJ17781"/>
      <c r="EK17781"/>
    </row>
    <row r="17782" spans="1:141" s="116" customFormat="1">
      <c r="A17782" s="136"/>
      <c r="CM17782" s="111"/>
      <c r="CQ17782" s="111"/>
      <c r="EF17782"/>
      <c r="EG17782"/>
      <c r="EH17782"/>
      <c r="EI17782"/>
      <c r="EJ17782"/>
      <c r="EK17782"/>
    </row>
    <row r="17783" spans="1:141" s="116" customFormat="1">
      <c r="A17783" s="136"/>
      <c r="CM17783" s="111"/>
      <c r="CQ17783" s="111"/>
      <c r="EF17783"/>
      <c r="EG17783"/>
      <c r="EH17783"/>
      <c r="EI17783"/>
      <c r="EJ17783"/>
      <c r="EK17783"/>
    </row>
    <row r="17784" spans="1:141" s="116" customFormat="1">
      <c r="A17784" s="136"/>
      <c r="CM17784" s="111"/>
      <c r="CQ17784" s="111"/>
      <c r="EF17784"/>
      <c r="EG17784"/>
      <c r="EH17784"/>
      <c r="EI17784"/>
      <c r="EJ17784"/>
      <c r="EK17784"/>
    </row>
    <row r="17785" spans="1:141" s="116" customFormat="1">
      <c r="A17785" s="136"/>
      <c r="CM17785" s="111"/>
      <c r="CQ17785" s="111"/>
      <c r="EF17785"/>
      <c r="EG17785"/>
      <c r="EH17785"/>
      <c r="EI17785"/>
      <c r="EJ17785"/>
      <c r="EK17785"/>
    </row>
    <row r="17786" spans="1:141" s="116" customFormat="1">
      <c r="A17786" s="136"/>
      <c r="CM17786" s="111"/>
      <c r="CQ17786" s="111"/>
      <c r="EF17786"/>
      <c r="EG17786"/>
      <c r="EH17786"/>
      <c r="EI17786"/>
      <c r="EJ17786"/>
      <c r="EK17786"/>
    </row>
    <row r="17787" spans="1:141" s="116" customFormat="1">
      <c r="A17787" s="136"/>
      <c r="CM17787" s="111"/>
      <c r="CQ17787" s="111"/>
      <c r="EF17787"/>
      <c r="EG17787"/>
      <c r="EH17787"/>
      <c r="EI17787"/>
      <c r="EJ17787"/>
      <c r="EK17787"/>
    </row>
    <row r="17788" spans="1:141" s="116" customFormat="1">
      <c r="A17788" s="136"/>
      <c r="CM17788" s="111"/>
      <c r="CQ17788" s="111"/>
      <c r="EF17788"/>
      <c r="EG17788"/>
      <c r="EH17788"/>
      <c r="EI17788"/>
      <c r="EJ17788"/>
      <c r="EK17788"/>
    </row>
    <row r="17789" spans="1:141" s="116" customFormat="1">
      <c r="A17789" s="136"/>
      <c r="CM17789" s="111"/>
      <c r="CQ17789" s="111"/>
      <c r="EF17789"/>
      <c r="EG17789"/>
      <c r="EH17789"/>
      <c r="EI17789"/>
      <c r="EJ17789"/>
      <c r="EK17789"/>
    </row>
    <row r="17790" spans="1:141" s="116" customFormat="1">
      <c r="A17790" s="136"/>
      <c r="CM17790" s="111"/>
      <c r="CQ17790" s="111"/>
      <c r="EF17790"/>
      <c r="EG17790"/>
      <c r="EH17790"/>
      <c r="EI17790"/>
      <c r="EJ17790"/>
      <c r="EK17790"/>
    </row>
    <row r="17791" spans="1:141" s="116" customFormat="1">
      <c r="A17791" s="136"/>
      <c r="CM17791" s="111"/>
      <c r="CQ17791" s="111"/>
      <c r="EF17791"/>
      <c r="EG17791"/>
      <c r="EH17791"/>
      <c r="EI17791"/>
      <c r="EJ17791"/>
      <c r="EK17791"/>
    </row>
    <row r="17792" spans="1:141" s="116" customFormat="1">
      <c r="A17792" s="136"/>
      <c r="CM17792" s="111"/>
      <c r="CQ17792" s="111"/>
      <c r="EF17792"/>
      <c r="EG17792"/>
      <c r="EH17792"/>
      <c r="EI17792"/>
      <c r="EJ17792"/>
      <c r="EK17792"/>
    </row>
    <row r="17793" spans="1:141" s="116" customFormat="1">
      <c r="A17793" s="136"/>
      <c r="CM17793" s="111"/>
      <c r="CQ17793" s="111"/>
      <c r="EF17793"/>
      <c r="EG17793"/>
      <c r="EH17793"/>
      <c r="EI17793"/>
      <c r="EJ17793"/>
      <c r="EK17793"/>
    </row>
    <row r="17794" spans="1:141" s="116" customFormat="1">
      <c r="A17794" s="136"/>
      <c r="CM17794" s="111"/>
      <c r="CQ17794" s="111"/>
      <c r="EF17794"/>
      <c r="EG17794"/>
      <c r="EH17794"/>
      <c r="EI17794"/>
      <c r="EJ17794"/>
      <c r="EK17794"/>
    </row>
    <row r="17795" spans="1:141" s="116" customFormat="1">
      <c r="A17795" s="136"/>
      <c r="CM17795" s="111"/>
      <c r="CQ17795" s="111"/>
      <c r="EF17795"/>
      <c r="EG17795"/>
      <c r="EH17795"/>
      <c r="EI17795"/>
      <c r="EJ17795"/>
      <c r="EK17795"/>
    </row>
    <row r="17796" spans="1:141" s="116" customFormat="1">
      <c r="A17796" s="136"/>
      <c r="CM17796" s="111"/>
      <c r="CQ17796" s="111"/>
      <c r="EF17796"/>
      <c r="EG17796"/>
      <c r="EH17796"/>
      <c r="EI17796"/>
      <c r="EJ17796"/>
      <c r="EK17796"/>
    </row>
    <row r="17797" spans="1:141" s="116" customFormat="1">
      <c r="A17797" s="136"/>
      <c r="CM17797" s="111"/>
      <c r="CQ17797" s="111"/>
      <c r="EF17797"/>
      <c r="EG17797"/>
      <c r="EH17797"/>
      <c r="EI17797"/>
      <c r="EJ17797"/>
      <c r="EK17797"/>
    </row>
    <row r="17798" spans="1:141" s="116" customFormat="1">
      <c r="A17798" s="136"/>
      <c r="CM17798" s="111"/>
      <c r="CQ17798" s="111"/>
      <c r="EF17798"/>
      <c r="EG17798"/>
      <c r="EH17798"/>
      <c r="EI17798"/>
      <c r="EJ17798"/>
      <c r="EK17798"/>
    </row>
    <row r="17799" spans="1:141" s="116" customFormat="1">
      <c r="A17799" s="136"/>
      <c r="CM17799" s="111"/>
      <c r="CQ17799" s="111"/>
      <c r="EF17799"/>
      <c r="EG17799"/>
      <c r="EH17799"/>
      <c r="EI17799"/>
      <c r="EJ17799"/>
      <c r="EK17799"/>
    </row>
    <row r="17800" spans="1:141" s="116" customFormat="1">
      <c r="A17800" s="136"/>
      <c r="CM17800" s="111"/>
      <c r="CQ17800" s="111"/>
      <c r="EF17800"/>
      <c r="EG17800"/>
      <c r="EH17800"/>
      <c r="EI17800"/>
      <c r="EJ17800"/>
      <c r="EK17800"/>
    </row>
    <row r="17801" spans="1:141" s="116" customFormat="1">
      <c r="A17801" s="136"/>
      <c r="CM17801" s="111"/>
      <c r="CQ17801" s="111"/>
      <c r="EF17801"/>
      <c r="EG17801"/>
      <c r="EH17801"/>
      <c r="EI17801"/>
      <c r="EJ17801"/>
      <c r="EK17801"/>
    </row>
    <row r="17802" spans="1:141" s="116" customFormat="1">
      <c r="A17802" s="136"/>
      <c r="CM17802" s="111"/>
      <c r="CQ17802" s="111"/>
      <c r="EF17802"/>
      <c r="EG17802"/>
      <c r="EH17802"/>
      <c r="EI17802"/>
      <c r="EJ17802"/>
      <c r="EK17802"/>
    </row>
    <row r="17803" spans="1:141" s="116" customFormat="1">
      <c r="A17803" s="136"/>
      <c r="CM17803" s="111"/>
      <c r="CQ17803" s="111"/>
      <c r="EF17803"/>
      <c r="EG17803"/>
      <c r="EH17803"/>
      <c r="EI17803"/>
      <c r="EJ17803"/>
      <c r="EK17803"/>
    </row>
    <row r="17804" spans="1:141" s="116" customFormat="1">
      <c r="A17804" s="136"/>
      <c r="CM17804" s="111"/>
      <c r="CQ17804" s="111"/>
      <c r="EF17804"/>
      <c r="EG17804"/>
      <c r="EH17804"/>
      <c r="EI17804"/>
      <c r="EJ17804"/>
      <c r="EK17804"/>
    </row>
    <row r="17805" spans="1:141" s="116" customFormat="1">
      <c r="A17805" s="136"/>
      <c r="CM17805" s="111"/>
      <c r="CQ17805" s="111"/>
      <c r="EF17805"/>
      <c r="EG17805"/>
      <c r="EH17805"/>
      <c r="EI17805"/>
      <c r="EJ17805"/>
      <c r="EK17805"/>
    </row>
    <row r="17806" spans="1:141" s="116" customFormat="1">
      <c r="A17806" s="136"/>
      <c r="CM17806" s="111"/>
      <c r="CQ17806" s="111"/>
      <c r="EF17806"/>
      <c r="EG17806"/>
      <c r="EH17806"/>
      <c r="EI17806"/>
      <c r="EJ17806"/>
      <c r="EK17806"/>
    </row>
    <row r="17807" spans="1:141" s="116" customFormat="1">
      <c r="A17807" s="136"/>
      <c r="CM17807" s="111"/>
      <c r="CQ17807" s="111"/>
      <c r="EF17807"/>
      <c r="EG17807"/>
      <c r="EH17807"/>
      <c r="EI17807"/>
      <c r="EJ17807"/>
      <c r="EK17807"/>
    </row>
    <row r="17808" spans="1:141" s="116" customFormat="1">
      <c r="A17808" s="136"/>
      <c r="CM17808" s="111"/>
      <c r="CQ17808" s="111"/>
      <c r="EF17808"/>
      <c r="EG17808"/>
      <c r="EH17808"/>
      <c r="EI17808"/>
      <c r="EJ17808"/>
      <c r="EK17808"/>
    </row>
    <row r="17809" spans="1:141" s="116" customFormat="1">
      <c r="A17809" s="136"/>
      <c r="CM17809" s="111"/>
      <c r="CQ17809" s="111"/>
      <c r="EF17809"/>
      <c r="EG17809"/>
      <c r="EH17809"/>
      <c r="EI17809"/>
      <c r="EJ17809"/>
      <c r="EK17809"/>
    </row>
    <row r="17810" spans="1:141" s="116" customFormat="1">
      <c r="A17810" s="136"/>
      <c r="CM17810" s="111"/>
      <c r="CQ17810" s="111"/>
      <c r="EF17810"/>
      <c r="EG17810"/>
      <c r="EH17810"/>
      <c r="EI17810"/>
      <c r="EJ17810"/>
      <c r="EK17810"/>
    </row>
    <row r="17811" spans="1:141" s="116" customFormat="1">
      <c r="A17811" s="136"/>
      <c r="CM17811" s="111"/>
      <c r="CQ17811" s="111"/>
      <c r="EF17811"/>
      <c r="EG17811"/>
      <c r="EH17811"/>
      <c r="EI17811"/>
      <c r="EJ17811"/>
      <c r="EK17811"/>
    </row>
    <row r="17812" spans="1:141" s="116" customFormat="1">
      <c r="A17812" s="136"/>
      <c r="CM17812" s="111"/>
      <c r="CQ17812" s="111"/>
      <c r="EF17812"/>
      <c r="EG17812"/>
      <c r="EH17812"/>
      <c r="EI17812"/>
      <c r="EJ17812"/>
      <c r="EK17812"/>
    </row>
    <row r="17813" spans="1:141" s="116" customFormat="1">
      <c r="A17813" s="136"/>
      <c r="CM17813" s="111"/>
      <c r="CQ17813" s="111"/>
      <c r="EF17813"/>
      <c r="EG17813"/>
      <c r="EH17813"/>
      <c r="EI17813"/>
      <c r="EJ17813"/>
      <c r="EK17813"/>
    </row>
    <row r="17814" spans="1:141" s="116" customFormat="1">
      <c r="A17814" s="136"/>
      <c r="CM17814" s="111"/>
      <c r="CQ17814" s="111"/>
      <c r="EF17814"/>
      <c r="EG17814"/>
      <c r="EH17814"/>
      <c r="EI17814"/>
      <c r="EJ17814"/>
      <c r="EK17814"/>
    </row>
    <row r="17815" spans="1:141" s="116" customFormat="1">
      <c r="A17815" s="136"/>
      <c r="CM17815" s="111"/>
      <c r="CQ17815" s="111"/>
      <c r="EF17815"/>
      <c r="EG17815"/>
      <c r="EH17815"/>
      <c r="EI17815"/>
      <c r="EJ17815"/>
      <c r="EK17815"/>
    </row>
    <row r="17816" spans="1:141" s="116" customFormat="1">
      <c r="A17816" s="136"/>
      <c r="CM17816" s="111"/>
      <c r="CQ17816" s="111"/>
      <c r="EF17816"/>
      <c r="EG17816"/>
      <c r="EH17816"/>
      <c r="EI17816"/>
      <c r="EJ17816"/>
      <c r="EK17816"/>
    </row>
    <row r="17817" spans="1:141" s="116" customFormat="1">
      <c r="A17817" s="136"/>
      <c r="CM17817" s="111"/>
      <c r="CQ17817" s="111"/>
      <c r="EF17817"/>
      <c r="EG17817"/>
      <c r="EH17817"/>
      <c r="EI17817"/>
      <c r="EJ17817"/>
      <c r="EK17817"/>
    </row>
    <row r="17818" spans="1:141" s="116" customFormat="1">
      <c r="A17818" s="136"/>
      <c r="CM17818" s="111"/>
      <c r="CQ17818" s="111"/>
      <c r="EF17818"/>
      <c r="EG17818"/>
      <c r="EH17818"/>
      <c r="EI17818"/>
      <c r="EJ17818"/>
      <c r="EK17818"/>
    </row>
    <row r="17819" spans="1:141" s="116" customFormat="1">
      <c r="A17819" s="136"/>
      <c r="CM17819" s="111"/>
      <c r="CQ17819" s="111"/>
      <c r="EF17819"/>
      <c r="EG17819"/>
      <c r="EH17819"/>
      <c r="EI17819"/>
      <c r="EJ17819"/>
      <c r="EK17819"/>
    </row>
    <row r="17820" spans="1:141" s="116" customFormat="1">
      <c r="A17820" s="136"/>
      <c r="CM17820" s="111"/>
      <c r="CQ17820" s="111"/>
      <c r="EF17820"/>
      <c r="EG17820"/>
      <c r="EH17820"/>
      <c r="EI17820"/>
      <c r="EJ17820"/>
      <c r="EK17820"/>
    </row>
    <row r="17821" spans="1:141" s="116" customFormat="1">
      <c r="A17821" s="136"/>
      <c r="CM17821" s="111"/>
      <c r="CQ17821" s="111"/>
      <c r="EF17821"/>
      <c r="EG17821"/>
      <c r="EH17821"/>
      <c r="EI17821"/>
      <c r="EJ17821"/>
      <c r="EK17821"/>
    </row>
    <row r="17822" spans="1:141" s="116" customFormat="1">
      <c r="A17822" s="136"/>
      <c r="CM17822" s="111"/>
      <c r="CQ17822" s="111"/>
      <c r="EF17822"/>
      <c r="EG17822"/>
      <c r="EH17822"/>
      <c r="EI17822"/>
      <c r="EJ17822"/>
      <c r="EK17822"/>
    </row>
    <row r="17823" spans="1:141" s="116" customFormat="1">
      <c r="A17823" s="136"/>
      <c r="CM17823" s="111"/>
      <c r="CQ17823" s="111"/>
      <c r="EF17823"/>
      <c r="EG17823"/>
      <c r="EH17823"/>
      <c r="EI17823"/>
      <c r="EJ17823"/>
      <c r="EK17823"/>
    </row>
    <row r="17824" spans="1:141" s="116" customFormat="1">
      <c r="A17824" s="136"/>
      <c r="CM17824" s="111"/>
      <c r="CQ17824" s="111"/>
      <c r="EF17824"/>
      <c r="EG17824"/>
      <c r="EH17824"/>
      <c r="EI17824"/>
      <c r="EJ17824"/>
      <c r="EK17824"/>
    </row>
    <row r="17825" spans="1:141" s="116" customFormat="1">
      <c r="A17825" s="136"/>
      <c r="CM17825" s="111"/>
      <c r="CQ17825" s="111"/>
      <c r="EF17825"/>
      <c r="EG17825"/>
      <c r="EH17825"/>
      <c r="EI17825"/>
      <c r="EJ17825"/>
      <c r="EK17825"/>
    </row>
    <row r="17826" spans="1:141" s="116" customFormat="1">
      <c r="A17826" s="136"/>
      <c r="CM17826" s="111"/>
      <c r="CQ17826" s="111"/>
      <c r="EF17826"/>
      <c r="EG17826"/>
      <c r="EH17826"/>
      <c r="EI17826"/>
      <c r="EJ17826"/>
      <c r="EK17826"/>
    </row>
    <row r="17827" spans="1:141" s="116" customFormat="1">
      <c r="A17827" s="136"/>
      <c r="CM17827" s="111"/>
      <c r="CQ17827" s="111"/>
      <c r="EF17827"/>
      <c r="EG17827"/>
      <c r="EH17827"/>
      <c r="EI17827"/>
      <c r="EJ17827"/>
      <c r="EK17827"/>
    </row>
    <row r="17828" spans="1:141" s="116" customFormat="1">
      <c r="A17828" s="136"/>
      <c r="CM17828" s="111"/>
      <c r="CQ17828" s="111"/>
      <c r="EF17828"/>
      <c r="EG17828"/>
      <c r="EH17828"/>
      <c r="EI17828"/>
      <c r="EJ17828"/>
      <c r="EK17828"/>
    </row>
    <row r="17829" spans="1:141" s="116" customFormat="1">
      <c r="A17829" s="136"/>
      <c r="CM17829" s="111"/>
      <c r="CQ17829" s="111"/>
      <c r="EF17829"/>
      <c r="EG17829"/>
      <c r="EH17829"/>
      <c r="EI17829"/>
      <c r="EJ17829"/>
      <c r="EK17829"/>
    </row>
    <row r="17830" spans="1:141" s="116" customFormat="1">
      <c r="A17830" s="136"/>
      <c r="CM17830" s="111"/>
      <c r="CQ17830" s="111"/>
      <c r="EF17830"/>
      <c r="EG17830"/>
      <c r="EH17830"/>
      <c r="EI17830"/>
      <c r="EJ17830"/>
      <c r="EK17830"/>
    </row>
    <row r="17831" spans="1:141" s="116" customFormat="1">
      <c r="A17831" s="136"/>
      <c r="CM17831" s="111"/>
      <c r="CQ17831" s="111"/>
      <c r="EF17831"/>
      <c r="EG17831"/>
      <c r="EH17831"/>
      <c r="EI17831"/>
      <c r="EJ17831"/>
      <c r="EK17831"/>
    </row>
    <row r="17832" spans="1:141" s="116" customFormat="1">
      <c r="A17832" s="136"/>
      <c r="CM17832" s="111"/>
      <c r="CQ17832" s="111"/>
      <c r="EF17832"/>
      <c r="EG17832"/>
      <c r="EH17832"/>
      <c r="EI17832"/>
      <c r="EJ17832"/>
      <c r="EK17832"/>
    </row>
    <row r="17833" spans="1:141" s="116" customFormat="1">
      <c r="A17833" s="136"/>
      <c r="CM17833" s="111"/>
      <c r="CQ17833" s="111"/>
      <c r="EF17833"/>
      <c r="EG17833"/>
      <c r="EH17833"/>
      <c r="EI17833"/>
      <c r="EJ17833"/>
      <c r="EK17833"/>
    </row>
    <row r="17834" spans="1:141" s="116" customFormat="1">
      <c r="A17834" s="136"/>
      <c r="CM17834" s="111"/>
      <c r="CQ17834" s="111"/>
      <c r="EF17834"/>
      <c r="EG17834"/>
      <c r="EH17834"/>
      <c r="EI17834"/>
      <c r="EJ17834"/>
      <c r="EK17834"/>
    </row>
    <row r="17835" spans="1:141" s="116" customFormat="1">
      <c r="A17835" s="136"/>
      <c r="CM17835" s="111"/>
      <c r="CQ17835" s="111"/>
      <c r="EF17835"/>
      <c r="EG17835"/>
      <c r="EH17835"/>
      <c r="EI17835"/>
      <c r="EJ17835"/>
      <c r="EK17835"/>
    </row>
    <row r="17836" spans="1:141" s="116" customFormat="1">
      <c r="A17836" s="136"/>
      <c r="CM17836" s="111"/>
      <c r="CQ17836" s="111"/>
      <c r="EF17836"/>
      <c r="EG17836"/>
      <c r="EH17836"/>
      <c r="EI17836"/>
      <c r="EJ17836"/>
      <c r="EK17836"/>
    </row>
    <row r="17837" spans="1:141" s="116" customFormat="1">
      <c r="A17837" s="136"/>
      <c r="CM17837" s="111"/>
      <c r="CQ17837" s="111"/>
      <c r="EF17837"/>
      <c r="EG17837"/>
      <c r="EH17837"/>
      <c r="EI17837"/>
      <c r="EJ17837"/>
      <c r="EK17837"/>
    </row>
    <row r="17838" spans="1:141" s="116" customFormat="1">
      <c r="A17838" s="136"/>
      <c r="CM17838" s="111"/>
      <c r="CQ17838" s="111"/>
      <c r="EF17838"/>
      <c r="EG17838"/>
      <c r="EH17838"/>
      <c r="EI17838"/>
      <c r="EJ17838"/>
      <c r="EK17838"/>
    </row>
    <row r="17839" spans="1:141" s="116" customFormat="1">
      <c r="A17839" s="136"/>
      <c r="CM17839" s="111"/>
      <c r="CQ17839" s="111"/>
      <c r="EF17839"/>
      <c r="EG17839"/>
      <c r="EH17839"/>
      <c r="EI17839"/>
      <c r="EJ17839"/>
      <c r="EK17839"/>
    </row>
    <row r="17840" spans="1:141" s="116" customFormat="1">
      <c r="A17840" s="136"/>
      <c r="CM17840" s="111"/>
      <c r="CQ17840" s="111"/>
      <c r="EF17840"/>
      <c r="EG17840"/>
      <c r="EH17840"/>
      <c r="EI17840"/>
      <c r="EJ17840"/>
      <c r="EK17840"/>
    </row>
    <row r="17841" spans="1:141" s="116" customFormat="1">
      <c r="A17841" s="136"/>
      <c r="CM17841" s="111"/>
      <c r="CQ17841" s="111"/>
      <c r="EF17841"/>
      <c r="EG17841"/>
      <c r="EH17841"/>
      <c r="EI17841"/>
      <c r="EJ17841"/>
      <c r="EK17841"/>
    </row>
    <row r="17842" spans="1:141" s="116" customFormat="1">
      <c r="A17842" s="136"/>
      <c r="CM17842" s="111"/>
      <c r="CQ17842" s="111"/>
      <c r="EF17842"/>
      <c r="EG17842"/>
      <c r="EH17842"/>
      <c r="EI17842"/>
      <c r="EJ17842"/>
      <c r="EK17842"/>
    </row>
    <row r="17843" spans="1:141" s="116" customFormat="1">
      <c r="A17843" s="136"/>
      <c r="CM17843" s="111"/>
      <c r="CQ17843" s="111"/>
      <c r="EF17843"/>
      <c r="EG17843"/>
      <c r="EH17843"/>
      <c r="EI17843"/>
      <c r="EJ17843"/>
      <c r="EK17843"/>
    </row>
    <row r="17844" spans="1:141" s="116" customFormat="1">
      <c r="A17844" s="136"/>
      <c r="CM17844" s="111"/>
      <c r="CQ17844" s="111"/>
      <c r="EF17844"/>
      <c r="EG17844"/>
      <c r="EH17844"/>
      <c r="EI17844"/>
      <c r="EJ17844"/>
      <c r="EK17844"/>
    </row>
    <row r="17845" spans="1:141" s="116" customFormat="1">
      <c r="A17845" s="136"/>
      <c r="CM17845" s="111"/>
      <c r="CQ17845" s="111"/>
      <c r="EF17845"/>
      <c r="EG17845"/>
      <c r="EH17845"/>
      <c r="EI17845"/>
      <c r="EJ17845"/>
      <c r="EK17845"/>
    </row>
    <row r="17846" spans="1:141" s="116" customFormat="1">
      <c r="A17846" s="136"/>
      <c r="CM17846" s="111"/>
      <c r="CQ17846" s="111"/>
      <c r="EF17846"/>
      <c r="EG17846"/>
      <c r="EH17846"/>
      <c r="EI17846"/>
      <c r="EJ17846"/>
      <c r="EK17846"/>
    </row>
    <row r="17847" spans="1:141" s="116" customFormat="1">
      <c r="A17847" s="136"/>
      <c r="CM17847" s="111"/>
      <c r="CQ17847" s="111"/>
      <c r="EF17847"/>
      <c r="EG17847"/>
      <c r="EH17847"/>
      <c r="EI17847"/>
      <c r="EJ17847"/>
      <c r="EK17847"/>
    </row>
    <row r="17848" spans="1:141" s="116" customFormat="1">
      <c r="A17848" s="136"/>
      <c r="CM17848" s="111"/>
      <c r="CQ17848" s="111"/>
      <c r="EF17848"/>
      <c r="EG17848"/>
      <c r="EH17848"/>
      <c r="EI17848"/>
      <c r="EJ17848"/>
      <c r="EK17848"/>
    </row>
    <row r="17849" spans="1:141" s="116" customFormat="1">
      <c r="A17849" s="136"/>
      <c r="CM17849" s="111"/>
      <c r="CQ17849" s="111"/>
      <c r="EF17849"/>
      <c r="EG17849"/>
      <c r="EH17849"/>
      <c r="EI17849"/>
      <c r="EJ17849"/>
      <c r="EK17849"/>
    </row>
    <row r="17850" spans="1:141" s="116" customFormat="1">
      <c r="A17850" s="136"/>
      <c r="CM17850" s="111"/>
      <c r="CQ17850" s="111"/>
      <c r="EF17850"/>
      <c r="EG17850"/>
      <c r="EH17850"/>
      <c r="EI17850"/>
      <c r="EJ17850"/>
      <c r="EK17850"/>
    </row>
    <row r="17851" spans="1:141" s="116" customFormat="1">
      <c r="A17851" s="136"/>
      <c r="CM17851" s="111"/>
      <c r="CQ17851" s="111"/>
      <c r="EF17851"/>
      <c r="EG17851"/>
      <c r="EH17851"/>
      <c r="EI17851"/>
      <c r="EJ17851"/>
      <c r="EK17851"/>
    </row>
    <row r="17852" spans="1:141" s="116" customFormat="1">
      <c r="A17852" s="136"/>
      <c r="CM17852" s="111"/>
      <c r="CQ17852" s="111"/>
      <c r="EF17852"/>
      <c r="EG17852"/>
      <c r="EH17852"/>
      <c r="EI17852"/>
      <c r="EJ17852"/>
      <c r="EK17852"/>
    </row>
    <row r="17853" spans="1:141" s="116" customFormat="1">
      <c r="A17853" s="136"/>
      <c r="CM17853" s="111"/>
      <c r="CQ17853" s="111"/>
      <c r="EF17853"/>
      <c r="EG17853"/>
      <c r="EH17853"/>
      <c r="EI17853"/>
      <c r="EJ17853"/>
      <c r="EK17853"/>
    </row>
    <row r="17854" spans="1:141" s="116" customFormat="1">
      <c r="A17854" s="136"/>
      <c r="CM17854" s="111"/>
      <c r="CQ17854" s="111"/>
      <c r="EF17854"/>
      <c r="EG17854"/>
      <c r="EH17854"/>
      <c r="EI17854"/>
      <c r="EJ17854"/>
      <c r="EK17854"/>
    </row>
    <row r="17855" spans="1:141" s="116" customFormat="1">
      <c r="A17855" s="136"/>
      <c r="CM17855" s="111"/>
      <c r="CQ17855" s="111"/>
      <c r="EF17855"/>
      <c r="EG17855"/>
      <c r="EH17855"/>
      <c r="EI17855"/>
      <c r="EJ17855"/>
      <c r="EK17855"/>
    </row>
    <row r="17856" spans="1:141" s="116" customFormat="1">
      <c r="A17856" s="136"/>
      <c r="CM17856" s="111"/>
      <c r="CQ17856" s="111"/>
      <c r="EF17856"/>
      <c r="EG17856"/>
      <c r="EH17856"/>
      <c r="EI17856"/>
      <c r="EJ17856"/>
      <c r="EK17856"/>
    </row>
    <row r="17857" spans="1:141" s="116" customFormat="1">
      <c r="A17857" s="136"/>
      <c r="CM17857" s="111"/>
      <c r="CQ17857" s="111"/>
      <c r="EF17857"/>
      <c r="EG17857"/>
      <c r="EH17857"/>
      <c r="EI17857"/>
      <c r="EJ17857"/>
      <c r="EK17857"/>
    </row>
    <row r="17858" spans="1:141" s="116" customFormat="1">
      <c r="A17858" s="136"/>
      <c r="CM17858" s="111"/>
      <c r="CQ17858" s="111"/>
      <c r="EF17858"/>
      <c r="EG17858"/>
      <c r="EH17858"/>
      <c r="EI17858"/>
      <c r="EJ17858"/>
      <c r="EK17858"/>
    </row>
    <row r="17859" spans="1:141" s="116" customFormat="1">
      <c r="A17859" s="136"/>
      <c r="CM17859" s="111"/>
      <c r="CQ17859" s="111"/>
      <c r="EF17859"/>
      <c r="EG17859"/>
      <c r="EH17859"/>
      <c r="EI17859"/>
      <c r="EJ17859"/>
      <c r="EK17859"/>
    </row>
    <row r="17860" spans="1:141" s="116" customFormat="1">
      <c r="A17860" s="136"/>
      <c r="CM17860" s="111"/>
      <c r="CQ17860" s="111"/>
      <c r="EF17860"/>
      <c r="EG17860"/>
      <c r="EH17860"/>
      <c r="EI17860"/>
      <c r="EJ17860"/>
      <c r="EK17860"/>
    </row>
    <row r="17861" spans="1:141" s="116" customFormat="1">
      <c r="A17861" s="136"/>
      <c r="CM17861" s="111"/>
      <c r="CQ17861" s="111"/>
      <c r="EF17861"/>
      <c r="EG17861"/>
      <c r="EH17861"/>
      <c r="EI17861"/>
      <c r="EJ17861"/>
      <c r="EK17861"/>
    </row>
    <row r="17862" spans="1:141" s="116" customFormat="1">
      <c r="A17862" s="136"/>
      <c r="CM17862" s="111"/>
      <c r="CQ17862" s="111"/>
      <c r="EF17862"/>
      <c r="EG17862"/>
      <c r="EH17862"/>
      <c r="EI17862"/>
      <c r="EJ17862"/>
      <c r="EK17862"/>
    </row>
    <row r="17863" spans="1:141" s="116" customFormat="1">
      <c r="A17863" s="136"/>
      <c r="CM17863" s="111"/>
      <c r="CQ17863" s="111"/>
      <c r="EF17863"/>
      <c r="EG17863"/>
      <c r="EH17863"/>
      <c r="EI17863"/>
      <c r="EJ17863"/>
      <c r="EK17863"/>
    </row>
    <row r="17864" spans="1:141" s="116" customFormat="1">
      <c r="A17864" s="136"/>
      <c r="CM17864" s="111"/>
      <c r="CQ17864" s="111"/>
      <c r="EF17864"/>
      <c r="EG17864"/>
      <c r="EH17864"/>
      <c r="EI17864"/>
      <c r="EJ17864"/>
      <c r="EK17864"/>
    </row>
    <row r="17865" spans="1:141" s="116" customFormat="1">
      <c r="A17865" s="136"/>
      <c r="CM17865" s="111"/>
      <c r="CQ17865" s="111"/>
      <c r="EF17865"/>
      <c r="EG17865"/>
      <c r="EH17865"/>
      <c r="EI17865"/>
      <c r="EJ17865"/>
      <c r="EK17865"/>
    </row>
    <row r="17866" spans="1:141" s="116" customFormat="1">
      <c r="A17866" s="136"/>
      <c r="CM17866" s="111"/>
      <c r="CQ17866" s="111"/>
      <c r="EF17866"/>
      <c r="EG17866"/>
      <c r="EH17866"/>
      <c r="EI17866"/>
      <c r="EJ17866"/>
      <c r="EK17866"/>
    </row>
    <row r="17867" spans="1:141" s="116" customFormat="1">
      <c r="A17867" s="136"/>
      <c r="CM17867" s="111"/>
      <c r="CQ17867" s="111"/>
      <c r="EF17867"/>
      <c r="EG17867"/>
      <c r="EH17867"/>
      <c r="EI17867"/>
      <c r="EJ17867"/>
      <c r="EK17867"/>
    </row>
    <row r="17868" spans="1:141" s="116" customFormat="1">
      <c r="A17868" s="136"/>
      <c r="CM17868" s="111"/>
      <c r="CQ17868" s="111"/>
      <c r="EF17868"/>
      <c r="EG17868"/>
      <c r="EH17868"/>
      <c r="EI17868"/>
      <c r="EJ17868"/>
      <c r="EK17868"/>
    </row>
    <row r="17869" spans="1:141" s="116" customFormat="1">
      <c r="A17869" s="136"/>
      <c r="CM17869" s="111"/>
      <c r="CQ17869" s="111"/>
      <c r="EF17869"/>
      <c r="EG17869"/>
      <c r="EH17869"/>
      <c r="EI17869"/>
      <c r="EJ17869"/>
      <c r="EK17869"/>
    </row>
    <row r="17870" spans="1:141" s="116" customFormat="1">
      <c r="A17870" s="136"/>
      <c r="CM17870" s="111"/>
      <c r="CQ17870" s="111"/>
      <c r="EF17870"/>
      <c r="EG17870"/>
      <c r="EH17870"/>
      <c r="EI17870"/>
      <c r="EJ17870"/>
      <c r="EK17870"/>
    </row>
    <row r="17871" spans="1:141" s="116" customFormat="1">
      <c r="A17871" s="136"/>
      <c r="CM17871" s="111"/>
      <c r="CQ17871" s="111"/>
      <c r="EF17871"/>
      <c r="EG17871"/>
      <c r="EH17871"/>
      <c r="EI17871"/>
      <c r="EJ17871"/>
      <c r="EK17871"/>
    </row>
    <row r="17872" spans="1:141" s="116" customFormat="1">
      <c r="A17872" s="136"/>
      <c r="CM17872" s="111"/>
      <c r="CQ17872" s="111"/>
      <c r="EF17872"/>
      <c r="EG17872"/>
      <c r="EH17872"/>
      <c r="EI17872"/>
      <c r="EJ17872"/>
      <c r="EK17872"/>
    </row>
    <row r="17873" spans="1:141" s="116" customFormat="1">
      <c r="A17873" s="136"/>
      <c r="CM17873" s="111"/>
      <c r="CQ17873" s="111"/>
      <c r="EF17873"/>
      <c r="EG17873"/>
      <c r="EH17873"/>
      <c r="EI17873"/>
      <c r="EJ17873"/>
      <c r="EK17873"/>
    </row>
    <row r="17874" spans="1:141" s="116" customFormat="1">
      <c r="A17874" s="136"/>
      <c r="CM17874" s="111"/>
      <c r="CQ17874" s="111"/>
      <c r="EF17874"/>
      <c r="EG17874"/>
      <c r="EH17874"/>
      <c r="EI17874"/>
      <c r="EJ17874"/>
      <c r="EK17874"/>
    </row>
    <row r="17875" spans="1:141" s="116" customFormat="1">
      <c r="A17875" s="136"/>
      <c r="CM17875" s="111"/>
      <c r="CQ17875" s="111"/>
      <c r="EF17875"/>
      <c r="EG17875"/>
      <c r="EH17875"/>
      <c r="EI17875"/>
      <c r="EJ17875"/>
      <c r="EK17875"/>
    </row>
    <row r="17876" spans="1:141" s="116" customFormat="1">
      <c r="A17876" s="136"/>
      <c r="CM17876" s="111"/>
      <c r="CQ17876" s="111"/>
      <c r="EF17876"/>
      <c r="EG17876"/>
      <c r="EH17876"/>
      <c r="EI17876"/>
      <c r="EJ17876"/>
      <c r="EK17876"/>
    </row>
    <row r="17877" spans="1:141" s="116" customFormat="1">
      <c r="A17877" s="136"/>
      <c r="CM17877" s="111"/>
      <c r="CQ17877" s="111"/>
      <c r="EF17877"/>
      <c r="EG17877"/>
      <c r="EH17877"/>
      <c r="EI17877"/>
      <c r="EJ17877"/>
      <c r="EK17877"/>
    </row>
    <row r="17878" spans="1:141" s="116" customFormat="1">
      <c r="A17878" s="136"/>
      <c r="CM17878" s="111"/>
      <c r="CQ17878" s="111"/>
      <c r="EF17878"/>
      <c r="EG17878"/>
      <c r="EH17878"/>
      <c r="EI17878"/>
      <c r="EJ17878"/>
      <c r="EK17878"/>
    </row>
    <row r="17879" spans="1:141" s="116" customFormat="1">
      <c r="A17879" s="136"/>
      <c r="CM17879" s="111"/>
      <c r="CQ17879" s="111"/>
      <c r="EF17879"/>
      <c r="EG17879"/>
      <c r="EH17879"/>
      <c r="EI17879"/>
      <c r="EJ17879"/>
      <c r="EK17879"/>
    </row>
    <row r="17880" spans="1:141" s="116" customFormat="1">
      <c r="A17880" s="136"/>
      <c r="CM17880" s="111"/>
      <c r="CQ17880" s="111"/>
      <c r="EF17880"/>
      <c r="EG17880"/>
      <c r="EH17880"/>
      <c r="EI17880"/>
      <c r="EJ17880"/>
      <c r="EK17880"/>
    </row>
    <row r="17881" spans="1:141" s="116" customFormat="1">
      <c r="A17881" s="136"/>
      <c r="CM17881" s="111"/>
      <c r="CQ17881" s="111"/>
      <c r="EF17881"/>
      <c r="EG17881"/>
      <c r="EH17881"/>
      <c r="EI17881"/>
      <c r="EJ17881"/>
      <c r="EK17881"/>
    </row>
    <row r="17882" spans="1:141" s="116" customFormat="1">
      <c r="A17882" s="136"/>
      <c r="CM17882" s="111"/>
      <c r="CQ17882" s="111"/>
      <c r="EF17882"/>
      <c r="EG17882"/>
      <c r="EH17882"/>
      <c r="EI17882"/>
      <c r="EJ17882"/>
      <c r="EK17882"/>
    </row>
    <row r="17883" spans="1:141" s="116" customFormat="1">
      <c r="A17883" s="136"/>
      <c r="CM17883" s="111"/>
      <c r="CQ17883" s="111"/>
      <c r="EF17883"/>
      <c r="EG17883"/>
      <c r="EH17883"/>
      <c r="EI17883"/>
      <c r="EJ17883"/>
      <c r="EK17883"/>
    </row>
    <row r="17884" spans="1:141" s="116" customFormat="1">
      <c r="A17884" s="136"/>
      <c r="CM17884" s="111"/>
      <c r="CQ17884" s="111"/>
      <c r="EF17884"/>
      <c r="EG17884"/>
      <c r="EH17884"/>
      <c r="EI17884"/>
      <c r="EJ17884"/>
      <c r="EK17884"/>
    </row>
    <row r="17885" spans="1:141" s="116" customFormat="1">
      <c r="A17885" s="136"/>
      <c r="CM17885" s="111"/>
      <c r="CQ17885" s="111"/>
      <c r="EF17885"/>
      <c r="EG17885"/>
      <c r="EH17885"/>
      <c r="EI17885"/>
      <c r="EJ17885"/>
      <c r="EK17885"/>
    </row>
    <row r="17886" spans="1:141" s="116" customFormat="1">
      <c r="A17886" s="136"/>
      <c r="CM17886" s="111"/>
      <c r="CQ17886" s="111"/>
      <c r="EF17886"/>
      <c r="EG17886"/>
      <c r="EH17886"/>
      <c r="EI17886"/>
      <c r="EJ17886"/>
      <c r="EK17886"/>
    </row>
    <row r="17887" spans="1:141" s="116" customFormat="1">
      <c r="A17887" s="136"/>
      <c r="CM17887" s="111"/>
      <c r="CQ17887" s="111"/>
      <c r="EF17887"/>
      <c r="EG17887"/>
      <c r="EH17887"/>
      <c r="EI17887"/>
      <c r="EJ17887"/>
      <c r="EK17887"/>
    </row>
    <row r="17888" spans="1:141" s="116" customFormat="1">
      <c r="A17888" s="136"/>
      <c r="CM17888" s="111"/>
      <c r="CQ17888" s="111"/>
      <c r="EF17888"/>
      <c r="EG17888"/>
      <c r="EH17888"/>
      <c r="EI17888"/>
      <c r="EJ17888"/>
      <c r="EK17888"/>
    </row>
    <row r="17889" spans="1:141" s="116" customFormat="1">
      <c r="A17889" s="136"/>
      <c r="CM17889" s="111"/>
      <c r="CQ17889" s="111"/>
      <c r="EF17889"/>
      <c r="EG17889"/>
      <c r="EH17889"/>
      <c r="EI17889"/>
      <c r="EJ17889"/>
      <c r="EK17889"/>
    </row>
    <row r="17890" spans="1:141" s="116" customFormat="1">
      <c r="A17890" s="136"/>
      <c r="CM17890" s="111"/>
      <c r="CQ17890" s="111"/>
      <c r="EF17890"/>
      <c r="EG17890"/>
      <c r="EH17890"/>
      <c r="EI17890"/>
      <c r="EJ17890"/>
      <c r="EK17890"/>
    </row>
    <row r="17891" spans="1:141" s="116" customFormat="1">
      <c r="A17891" s="136"/>
      <c r="CM17891" s="111"/>
      <c r="CQ17891" s="111"/>
      <c r="EF17891"/>
      <c r="EG17891"/>
      <c r="EH17891"/>
      <c r="EI17891"/>
      <c r="EJ17891"/>
      <c r="EK17891"/>
    </row>
    <row r="17892" spans="1:141" s="116" customFormat="1">
      <c r="A17892" s="136"/>
      <c r="CM17892" s="111"/>
      <c r="CQ17892" s="111"/>
      <c r="EF17892"/>
      <c r="EG17892"/>
      <c r="EH17892"/>
      <c r="EI17892"/>
      <c r="EJ17892"/>
      <c r="EK17892"/>
    </row>
    <row r="17893" spans="1:141" s="116" customFormat="1">
      <c r="A17893" s="136"/>
      <c r="CM17893" s="111"/>
      <c r="CQ17893" s="111"/>
      <c r="EF17893"/>
      <c r="EG17893"/>
      <c r="EH17893"/>
      <c r="EI17893"/>
      <c r="EJ17893"/>
      <c r="EK17893"/>
    </row>
    <row r="17894" spans="1:141" s="116" customFormat="1">
      <c r="A17894" s="136"/>
      <c r="CM17894" s="111"/>
      <c r="CQ17894" s="111"/>
      <c r="EF17894"/>
      <c r="EG17894"/>
      <c r="EH17894"/>
      <c r="EI17894"/>
      <c r="EJ17894"/>
      <c r="EK17894"/>
    </row>
    <row r="17895" spans="1:141" s="116" customFormat="1">
      <c r="A17895" s="136"/>
      <c r="CM17895" s="111"/>
      <c r="CQ17895" s="111"/>
      <c r="EF17895"/>
      <c r="EG17895"/>
      <c r="EH17895"/>
      <c r="EI17895"/>
      <c r="EJ17895"/>
      <c r="EK17895"/>
    </row>
    <row r="17896" spans="1:141" s="116" customFormat="1">
      <c r="A17896" s="136"/>
      <c r="CM17896" s="111"/>
      <c r="CQ17896" s="111"/>
      <c r="EF17896"/>
      <c r="EG17896"/>
      <c r="EH17896"/>
      <c r="EI17896"/>
      <c r="EJ17896"/>
      <c r="EK17896"/>
    </row>
    <row r="17897" spans="1:141" s="116" customFormat="1">
      <c r="A17897" s="136"/>
      <c r="CM17897" s="111"/>
      <c r="CQ17897" s="111"/>
      <c r="EF17897"/>
      <c r="EG17897"/>
      <c r="EH17897"/>
      <c r="EI17897"/>
      <c r="EJ17897"/>
      <c r="EK17897"/>
    </row>
    <row r="17898" spans="1:141" s="116" customFormat="1">
      <c r="A17898" s="136"/>
      <c r="CM17898" s="111"/>
      <c r="CQ17898" s="111"/>
      <c r="EF17898"/>
      <c r="EG17898"/>
      <c r="EH17898"/>
      <c r="EI17898"/>
      <c r="EJ17898"/>
      <c r="EK17898"/>
    </row>
    <row r="17899" spans="1:141" s="116" customFormat="1">
      <c r="A17899" s="136"/>
      <c r="CM17899" s="111"/>
      <c r="CQ17899" s="111"/>
      <c r="EF17899"/>
      <c r="EG17899"/>
      <c r="EH17899"/>
      <c r="EI17899"/>
      <c r="EJ17899"/>
      <c r="EK17899"/>
    </row>
    <row r="17900" spans="1:141" s="116" customFormat="1">
      <c r="A17900" s="136"/>
      <c r="CM17900" s="111"/>
      <c r="CQ17900" s="111"/>
      <c r="EF17900"/>
      <c r="EG17900"/>
      <c r="EH17900"/>
      <c r="EI17900"/>
      <c r="EJ17900"/>
      <c r="EK17900"/>
    </row>
    <row r="17901" spans="1:141" s="116" customFormat="1">
      <c r="A17901" s="136"/>
      <c r="CM17901" s="111"/>
      <c r="CQ17901" s="111"/>
      <c r="EF17901"/>
      <c r="EG17901"/>
      <c r="EH17901"/>
      <c r="EI17901"/>
      <c r="EJ17901"/>
      <c r="EK17901"/>
    </row>
    <row r="17902" spans="1:141" s="116" customFormat="1">
      <c r="A17902" s="136"/>
      <c r="CM17902" s="111"/>
      <c r="CQ17902" s="111"/>
      <c r="EF17902"/>
      <c r="EG17902"/>
      <c r="EH17902"/>
      <c r="EI17902"/>
      <c r="EJ17902"/>
      <c r="EK17902"/>
    </row>
    <row r="17903" spans="1:141" s="116" customFormat="1">
      <c r="A17903" s="136"/>
      <c r="CM17903" s="111"/>
      <c r="CQ17903" s="111"/>
      <c r="EF17903"/>
      <c r="EG17903"/>
      <c r="EH17903"/>
      <c r="EI17903"/>
      <c r="EJ17903"/>
      <c r="EK17903"/>
    </row>
    <row r="17904" spans="1:141" s="116" customFormat="1">
      <c r="A17904" s="136"/>
      <c r="CM17904" s="111"/>
      <c r="CQ17904" s="111"/>
      <c r="EF17904"/>
      <c r="EG17904"/>
      <c r="EH17904"/>
      <c r="EI17904"/>
      <c r="EJ17904"/>
      <c r="EK17904"/>
    </row>
    <row r="17905" spans="1:141" s="116" customFormat="1">
      <c r="A17905" s="136"/>
      <c r="CM17905" s="111"/>
      <c r="CQ17905" s="111"/>
      <c r="EF17905"/>
      <c r="EG17905"/>
      <c r="EH17905"/>
      <c r="EI17905"/>
      <c r="EJ17905"/>
      <c r="EK17905"/>
    </row>
    <row r="17906" spans="1:141" s="116" customFormat="1">
      <c r="A17906" s="136"/>
      <c r="CM17906" s="111"/>
      <c r="CQ17906" s="111"/>
      <c r="EF17906"/>
      <c r="EG17906"/>
      <c r="EH17906"/>
      <c r="EI17906"/>
      <c r="EJ17906"/>
      <c r="EK17906"/>
    </row>
    <row r="17907" spans="1:141" s="116" customFormat="1">
      <c r="A17907" s="136"/>
      <c r="CM17907" s="111"/>
      <c r="CQ17907" s="111"/>
      <c r="EF17907"/>
      <c r="EG17907"/>
      <c r="EH17907"/>
      <c r="EI17907"/>
      <c r="EJ17907"/>
      <c r="EK17907"/>
    </row>
    <row r="17908" spans="1:141" s="116" customFormat="1">
      <c r="A17908" s="136"/>
      <c r="CM17908" s="111"/>
      <c r="CQ17908" s="111"/>
      <c r="EF17908"/>
      <c r="EG17908"/>
      <c r="EH17908"/>
      <c r="EI17908"/>
      <c r="EJ17908"/>
      <c r="EK17908"/>
    </row>
    <row r="17909" spans="1:141" s="116" customFormat="1">
      <c r="A17909" s="136"/>
      <c r="CM17909" s="111"/>
      <c r="CQ17909" s="111"/>
      <c r="EF17909"/>
      <c r="EG17909"/>
      <c r="EH17909"/>
      <c r="EI17909"/>
      <c r="EJ17909"/>
      <c r="EK17909"/>
    </row>
    <row r="17910" spans="1:141" s="116" customFormat="1">
      <c r="A17910" s="136"/>
      <c r="CM17910" s="111"/>
      <c r="CQ17910" s="111"/>
      <c r="EF17910"/>
      <c r="EG17910"/>
      <c r="EH17910"/>
      <c r="EI17910"/>
      <c r="EJ17910"/>
      <c r="EK17910"/>
    </row>
    <row r="17911" spans="1:141" s="116" customFormat="1">
      <c r="A17911" s="136"/>
      <c r="CM17911" s="111"/>
      <c r="CQ17911" s="111"/>
      <c r="EF17911"/>
      <c r="EG17911"/>
      <c r="EH17911"/>
      <c r="EI17911"/>
      <c r="EJ17911"/>
      <c r="EK17911"/>
    </row>
    <row r="17912" spans="1:141" s="116" customFormat="1">
      <c r="A17912" s="136"/>
      <c r="CM17912" s="111"/>
      <c r="CQ17912" s="111"/>
      <c r="EF17912"/>
      <c r="EG17912"/>
      <c r="EH17912"/>
      <c r="EI17912"/>
      <c r="EJ17912"/>
      <c r="EK17912"/>
    </row>
    <row r="17913" spans="1:141" s="116" customFormat="1">
      <c r="A17913" s="136"/>
      <c r="CM17913" s="111"/>
      <c r="CQ17913" s="111"/>
      <c r="EF17913"/>
      <c r="EG17913"/>
      <c r="EH17913"/>
      <c r="EI17913"/>
      <c r="EJ17913"/>
      <c r="EK17913"/>
    </row>
    <row r="17914" spans="1:141" s="116" customFormat="1">
      <c r="A17914" s="136"/>
      <c r="CM17914" s="111"/>
      <c r="CQ17914" s="111"/>
      <c r="EF17914"/>
      <c r="EG17914"/>
      <c r="EH17914"/>
      <c r="EI17914"/>
      <c r="EJ17914"/>
      <c r="EK17914"/>
    </row>
    <row r="17915" spans="1:141" s="116" customFormat="1">
      <c r="A17915" s="136"/>
      <c r="CM17915" s="111"/>
      <c r="CQ17915" s="111"/>
      <c r="EF17915"/>
      <c r="EG17915"/>
      <c r="EH17915"/>
      <c r="EI17915"/>
      <c r="EJ17915"/>
      <c r="EK17915"/>
    </row>
    <row r="17916" spans="1:141" s="116" customFormat="1">
      <c r="A17916" s="136"/>
      <c r="CM17916" s="111"/>
      <c r="CQ17916" s="111"/>
      <c r="EF17916"/>
      <c r="EG17916"/>
      <c r="EH17916"/>
      <c r="EI17916"/>
      <c r="EJ17916"/>
      <c r="EK17916"/>
    </row>
    <row r="17917" spans="1:141" s="116" customFormat="1">
      <c r="A17917" s="136"/>
      <c r="CM17917" s="111"/>
      <c r="CQ17917" s="111"/>
      <c r="EF17917"/>
      <c r="EG17917"/>
      <c r="EH17917"/>
      <c r="EI17917"/>
      <c r="EJ17917"/>
      <c r="EK17917"/>
    </row>
    <row r="17918" spans="1:141" s="116" customFormat="1">
      <c r="A17918" s="136"/>
      <c r="CM17918" s="111"/>
      <c r="CQ17918" s="111"/>
      <c r="EF17918"/>
      <c r="EG17918"/>
      <c r="EH17918"/>
      <c r="EI17918"/>
      <c r="EJ17918"/>
      <c r="EK17918"/>
    </row>
    <row r="17919" spans="1:141" s="116" customFormat="1">
      <c r="A17919" s="136"/>
      <c r="CM17919" s="111"/>
      <c r="CQ17919" s="111"/>
      <c r="EF17919"/>
      <c r="EG17919"/>
      <c r="EH17919"/>
      <c r="EI17919"/>
      <c r="EJ17919"/>
      <c r="EK17919"/>
    </row>
    <row r="17920" spans="1:141" s="116" customFormat="1">
      <c r="A17920" s="136"/>
      <c r="CM17920" s="111"/>
      <c r="CQ17920" s="111"/>
      <c r="EF17920"/>
      <c r="EG17920"/>
      <c r="EH17920"/>
      <c r="EI17920"/>
      <c r="EJ17920"/>
      <c r="EK17920"/>
    </row>
    <row r="17921" spans="1:141" s="116" customFormat="1">
      <c r="A17921" s="136"/>
      <c r="CM17921" s="111"/>
      <c r="CQ17921" s="111"/>
      <c r="EF17921"/>
      <c r="EG17921"/>
      <c r="EH17921"/>
      <c r="EI17921"/>
      <c r="EJ17921"/>
      <c r="EK17921"/>
    </row>
    <row r="17922" spans="1:141" s="116" customFormat="1">
      <c r="A17922" s="136"/>
      <c r="CM17922" s="111"/>
      <c r="CQ17922" s="111"/>
      <c r="EF17922"/>
      <c r="EG17922"/>
      <c r="EH17922"/>
      <c r="EI17922"/>
      <c r="EJ17922"/>
      <c r="EK17922"/>
    </row>
    <row r="17923" spans="1:141" s="116" customFormat="1">
      <c r="A17923" s="136"/>
      <c r="CM17923" s="111"/>
      <c r="CQ17923" s="111"/>
      <c r="EF17923"/>
      <c r="EG17923"/>
      <c r="EH17923"/>
      <c r="EI17923"/>
      <c r="EJ17923"/>
      <c r="EK17923"/>
    </row>
    <row r="17924" spans="1:141" s="116" customFormat="1">
      <c r="A17924" s="136"/>
      <c r="CM17924" s="111"/>
      <c r="CQ17924" s="111"/>
      <c r="EF17924"/>
      <c r="EG17924"/>
      <c r="EH17924"/>
      <c r="EI17924"/>
      <c r="EJ17924"/>
      <c r="EK17924"/>
    </row>
    <row r="17925" spans="1:141" s="116" customFormat="1">
      <c r="A17925" s="136"/>
      <c r="CM17925" s="111"/>
      <c r="CQ17925" s="111"/>
      <c r="EF17925"/>
      <c r="EG17925"/>
      <c r="EH17925"/>
      <c r="EI17925"/>
      <c r="EJ17925"/>
      <c r="EK17925"/>
    </row>
    <row r="17926" spans="1:141" s="116" customFormat="1">
      <c r="A17926" s="136"/>
      <c r="CM17926" s="111"/>
      <c r="CQ17926" s="111"/>
      <c r="EF17926"/>
      <c r="EG17926"/>
      <c r="EH17926"/>
      <c r="EI17926"/>
      <c r="EJ17926"/>
      <c r="EK17926"/>
    </row>
    <row r="17927" spans="1:141" s="116" customFormat="1">
      <c r="A17927" s="136"/>
      <c r="CM17927" s="111"/>
      <c r="CQ17927" s="111"/>
      <c r="EF17927"/>
      <c r="EG17927"/>
      <c r="EH17927"/>
      <c r="EI17927"/>
      <c r="EJ17927"/>
      <c r="EK17927"/>
    </row>
    <row r="17928" spans="1:141" s="116" customFormat="1">
      <c r="A17928" s="136"/>
      <c r="CM17928" s="111"/>
      <c r="CQ17928" s="111"/>
      <c r="EF17928"/>
      <c r="EG17928"/>
      <c r="EH17928"/>
      <c r="EI17928"/>
      <c r="EJ17928"/>
      <c r="EK17928"/>
    </row>
    <row r="17929" spans="1:141" s="116" customFormat="1">
      <c r="A17929" s="136"/>
      <c r="CM17929" s="111"/>
      <c r="CQ17929" s="111"/>
      <c r="EF17929"/>
      <c r="EG17929"/>
      <c r="EH17929"/>
      <c r="EI17929"/>
      <c r="EJ17929"/>
      <c r="EK17929"/>
    </row>
    <row r="17930" spans="1:141" s="116" customFormat="1">
      <c r="A17930" s="136"/>
      <c r="CM17930" s="111"/>
      <c r="CQ17930" s="111"/>
      <c r="EF17930"/>
      <c r="EG17930"/>
      <c r="EH17930"/>
      <c r="EI17930"/>
      <c r="EJ17930"/>
      <c r="EK17930"/>
    </row>
    <row r="17931" spans="1:141" s="116" customFormat="1">
      <c r="A17931" s="136"/>
      <c r="CM17931" s="111"/>
      <c r="CQ17931" s="111"/>
      <c r="EF17931"/>
      <c r="EG17931"/>
      <c r="EH17931"/>
      <c r="EI17931"/>
      <c r="EJ17931"/>
      <c r="EK17931"/>
    </row>
    <row r="17932" spans="1:141" s="116" customFormat="1">
      <c r="A17932" s="136"/>
      <c r="CM17932" s="111"/>
      <c r="CQ17932" s="111"/>
      <c r="EF17932"/>
      <c r="EG17932"/>
      <c r="EH17932"/>
      <c r="EI17932"/>
      <c r="EJ17932"/>
      <c r="EK17932"/>
    </row>
    <row r="17933" spans="1:141" s="116" customFormat="1">
      <c r="A17933" s="136"/>
      <c r="CM17933" s="111"/>
      <c r="CQ17933" s="111"/>
      <c r="EF17933"/>
      <c r="EG17933"/>
      <c r="EH17933"/>
      <c r="EI17933"/>
      <c r="EJ17933"/>
      <c r="EK17933"/>
    </row>
    <row r="17934" spans="1:141" s="116" customFormat="1">
      <c r="A17934" s="136"/>
      <c r="CM17934" s="111"/>
      <c r="CQ17934" s="111"/>
      <c r="EF17934"/>
      <c r="EG17934"/>
      <c r="EH17934"/>
      <c r="EI17934"/>
      <c r="EJ17934"/>
      <c r="EK17934"/>
    </row>
    <row r="17935" spans="1:141" s="116" customFormat="1">
      <c r="A17935" s="136"/>
      <c r="CM17935" s="111"/>
      <c r="CQ17935" s="111"/>
      <c r="EF17935"/>
      <c r="EG17935"/>
      <c r="EH17935"/>
      <c r="EI17935"/>
      <c r="EJ17935"/>
      <c r="EK17935"/>
    </row>
    <row r="17936" spans="1:141" s="116" customFormat="1">
      <c r="A17936" s="136"/>
      <c r="CM17936" s="111"/>
      <c r="CQ17936" s="111"/>
      <c r="EF17936"/>
      <c r="EG17936"/>
      <c r="EH17936"/>
      <c r="EI17936"/>
      <c r="EJ17936"/>
      <c r="EK17936"/>
    </row>
    <row r="17937" spans="1:141" s="116" customFormat="1">
      <c r="A17937" s="136"/>
      <c r="CM17937" s="111"/>
      <c r="CQ17937" s="111"/>
      <c r="EF17937"/>
      <c r="EG17937"/>
      <c r="EH17937"/>
      <c r="EI17937"/>
      <c r="EJ17937"/>
      <c r="EK17937"/>
    </row>
    <row r="17938" spans="1:141" s="116" customFormat="1">
      <c r="A17938" s="136"/>
      <c r="CM17938" s="111"/>
      <c r="CQ17938" s="111"/>
      <c r="EF17938"/>
      <c r="EG17938"/>
      <c r="EH17938"/>
      <c r="EI17938"/>
      <c r="EJ17938"/>
      <c r="EK17938"/>
    </row>
    <row r="17939" spans="1:141" s="116" customFormat="1">
      <c r="A17939" s="136"/>
      <c r="CM17939" s="111"/>
      <c r="CQ17939" s="111"/>
      <c r="EF17939"/>
      <c r="EG17939"/>
      <c r="EH17939"/>
      <c r="EI17939"/>
      <c r="EJ17939"/>
      <c r="EK17939"/>
    </row>
    <row r="17940" spans="1:141" s="116" customFormat="1">
      <c r="A17940" s="136"/>
      <c r="CM17940" s="111"/>
      <c r="CQ17940" s="111"/>
      <c r="EF17940"/>
      <c r="EG17940"/>
      <c r="EH17940"/>
      <c r="EI17940"/>
      <c r="EJ17940"/>
      <c r="EK17940"/>
    </row>
    <row r="17941" spans="1:141" s="116" customFormat="1">
      <c r="A17941" s="136"/>
      <c r="CM17941" s="111"/>
      <c r="CQ17941" s="111"/>
      <c r="EF17941"/>
      <c r="EG17941"/>
      <c r="EH17941"/>
      <c r="EI17941"/>
      <c r="EJ17941"/>
      <c r="EK17941"/>
    </row>
    <row r="17942" spans="1:141" s="116" customFormat="1">
      <c r="A17942" s="136"/>
      <c r="CM17942" s="111"/>
      <c r="CQ17942" s="111"/>
      <c r="EF17942"/>
      <c r="EG17942"/>
      <c r="EH17942"/>
      <c r="EI17942"/>
      <c r="EJ17942"/>
      <c r="EK17942"/>
    </row>
    <row r="17943" spans="1:141" s="116" customFormat="1">
      <c r="A17943" s="136"/>
      <c r="CM17943" s="111"/>
      <c r="CQ17943" s="111"/>
      <c r="EF17943"/>
      <c r="EG17943"/>
      <c r="EH17943"/>
      <c r="EI17943"/>
      <c r="EJ17943"/>
      <c r="EK17943"/>
    </row>
    <row r="17944" spans="1:141" s="116" customFormat="1">
      <c r="A17944" s="136"/>
      <c r="CM17944" s="111"/>
      <c r="CQ17944" s="111"/>
      <c r="EF17944"/>
      <c r="EG17944"/>
      <c r="EH17944"/>
      <c r="EI17944"/>
      <c r="EJ17944"/>
      <c r="EK17944"/>
    </row>
    <row r="17945" spans="1:141" s="116" customFormat="1">
      <c r="A17945" s="136"/>
      <c r="CM17945" s="111"/>
      <c r="CQ17945" s="111"/>
      <c r="EF17945"/>
      <c r="EG17945"/>
      <c r="EH17945"/>
      <c r="EI17945"/>
      <c r="EJ17945"/>
      <c r="EK17945"/>
    </row>
    <row r="17946" spans="1:141" s="116" customFormat="1">
      <c r="A17946" s="136"/>
      <c r="CM17946" s="111"/>
      <c r="CQ17946" s="111"/>
      <c r="EF17946"/>
      <c r="EG17946"/>
      <c r="EH17946"/>
      <c r="EI17946"/>
      <c r="EJ17946"/>
      <c r="EK17946"/>
    </row>
    <row r="17947" spans="1:141" s="116" customFormat="1">
      <c r="A17947" s="136"/>
      <c r="CM17947" s="111"/>
      <c r="CQ17947" s="111"/>
      <c r="EF17947"/>
      <c r="EG17947"/>
      <c r="EH17947"/>
      <c r="EI17947"/>
      <c r="EJ17947"/>
      <c r="EK17947"/>
    </row>
    <row r="17948" spans="1:141" s="116" customFormat="1">
      <c r="A17948" s="136"/>
      <c r="CM17948" s="111"/>
      <c r="CQ17948" s="111"/>
      <c r="EF17948"/>
      <c r="EG17948"/>
      <c r="EH17948"/>
      <c r="EI17948"/>
      <c r="EJ17948"/>
      <c r="EK17948"/>
    </row>
    <row r="17949" spans="1:141" s="116" customFormat="1">
      <c r="A17949" s="136"/>
      <c r="CM17949" s="111"/>
      <c r="CQ17949" s="111"/>
      <c r="EF17949"/>
      <c r="EG17949"/>
      <c r="EH17949"/>
      <c r="EI17949"/>
      <c r="EJ17949"/>
      <c r="EK17949"/>
    </row>
    <row r="17950" spans="1:141" s="116" customFormat="1">
      <c r="A17950" s="136"/>
      <c r="CM17950" s="111"/>
      <c r="CQ17950" s="111"/>
      <c r="EF17950"/>
      <c r="EG17950"/>
      <c r="EH17950"/>
      <c r="EI17950"/>
      <c r="EJ17950"/>
      <c r="EK17950"/>
    </row>
    <row r="17951" spans="1:141" s="116" customFormat="1">
      <c r="A17951" s="136"/>
      <c r="CM17951" s="111"/>
      <c r="CQ17951" s="111"/>
      <c r="EF17951"/>
      <c r="EG17951"/>
      <c r="EH17951"/>
      <c r="EI17951"/>
      <c r="EJ17951"/>
      <c r="EK17951"/>
    </row>
    <row r="17952" spans="1:141" s="116" customFormat="1">
      <c r="A17952" s="136"/>
      <c r="CM17952" s="111"/>
      <c r="CQ17952" s="111"/>
      <c r="EF17952"/>
      <c r="EG17952"/>
      <c r="EH17952"/>
      <c r="EI17952"/>
      <c r="EJ17952"/>
      <c r="EK17952"/>
    </row>
    <row r="17953" spans="1:141" s="116" customFormat="1">
      <c r="A17953" s="136"/>
      <c r="CM17953" s="111"/>
      <c r="CQ17953" s="111"/>
      <c r="EF17953"/>
      <c r="EG17953"/>
      <c r="EH17953"/>
      <c r="EI17953"/>
      <c r="EJ17953"/>
      <c r="EK17953"/>
    </row>
    <row r="17954" spans="1:141" s="116" customFormat="1">
      <c r="A17954" s="136"/>
      <c r="CM17954" s="111"/>
      <c r="CQ17954" s="111"/>
      <c r="EF17954"/>
      <c r="EG17954"/>
      <c r="EH17954"/>
      <c r="EI17954"/>
      <c r="EJ17954"/>
      <c r="EK17954"/>
    </row>
    <row r="17955" spans="1:141" s="116" customFormat="1">
      <c r="A17955" s="136"/>
      <c r="CM17955" s="111"/>
      <c r="CQ17955" s="111"/>
      <c r="EF17955"/>
      <c r="EG17955"/>
      <c r="EH17955"/>
      <c r="EI17955"/>
      <c r="EJ17955"/>
      <c r="EK17955"/>
    </row>
    <row r="17956" spans="1:141" s="116" customFormat="1">
      <c r="A17956" s="136"/>
      <c r="CM17956" s="111"/>
      <c r="CQ17956" s="111"/>
      <c r="EF17956"/>
      <c r="EG17956"/>
      <c r="EH17956"/>
      <c r="EI17956"/>
      <c r="EJ17956"/>
      <c r="EK17956"/>
    </row>
    <row r="17957" spans="1:141" s="116" customFormat="1">
      <c r="A17957" s="136"/>
      <c r="CM17957" s="111"/>
      <c r="CQ17957" s="111"/>
      <c r="EF17957"/>
      <c r="EG17957"/>
      <c r="EH17957"/>
      <c r="EI17957"/>
      <c r="EJ17957"/>
      <c r="EK17957"/>
    </row>
    <row r="17958" spans="1:141" s="116" customFormat="1">
      <c r="A17958" s="136"/>
      <c r="CM17958" s="111"/>
      <c r="CQ17958" s="111"/>
      <c r="EF17958"/>
      <c r="EG17958"/>
      <c r="EH17958"/>
      <c r="EI17958"/>
      <c r="EJ17958"/>
      <c r="EK17958"/>
    </row>
    <row r="17959" spans="1:141" s="116" customFormat="1">
      <c r="A17959" s="136"/>
      <c r="CM17959" s="111"/>
      <c r="CQ17959" s="111"/>
      <c r="EF17959"/>
      <c r="EG17959"/>
      <c r="EH17959"/>
      <c r="EI17959"/>
      <c r="EJ17959"/>
      <c r="EK17959"/>
    </row>
    <row r="17960" spans="1:141" s="116" customFormat="1">
      <c r="A17960" s="136"/>
      <c r="CM17960" s="111"/>
      <c r="CQ17960" s="111"/>
      <c r="EF17960"/>
      <c r="EG17960"/>
      <c r="EH17960"/>
      <c r="EI17960"/>
      <c r="EJ17960"/>
      <c r="EK17960"/>
    </row>
    <row r="17961" spans="1:141" s="116" customFormat="1">
      <c r="A17961" s="136"/>
      <c r="CM17961" s="111"/>
      <c r="CQ17961" s="111"/>
      <c r="EF17961"/>
      <c r="EG17961"/>
      <c r="EH17961"/>
      <c r="EI17961"/>
      <c r="EJ17961"/>
      <c r="EK17961"/>
    </row>
    <row r="17962" spans="1:141" s="116" customFormat="1">
      <c r="A17962" s="136"/>
      <c r="CM17962" s="111"/>
      <c r="CQ17962" s="111"/>
      <c r="EF17962"/>
      <c r="EG17962"/>
      <c r="EH17962"/>
      <c r="EI17962"/>
      <c r="EJ17962"/>
      <c r="EK17962"/>
    </row>
    <row r="17963" spans="1:141" s="116" customFormat="1">
      <c r="A17963" s="136"/>
      <c r="CM17963" s="111"/>
      <c r="CQ17963" s="111"/>
      <c r="EF17963"/>
      <c r="EG17963"/>
      <c r="EH17963"/>
      <c r="EI17963"/>
      <c r="EJ17963"/>
      <c r="EK17963"/>
    </row>
    <row r="17964" spans="1:141" s="116" customFormat="1">
      <c r="A17964" s="136"/>
      <c r="CM17964" s="111"/>
      <c r="CQ17964" s="111"/>
      <c r="EF17964"/>
      <c r="EG17964"/>
      <c r="EH17964"/>
      <c r="EI17964"/>
      <c r="EJ17964"/>
      <c r="EK17964"/>
    </row>
    <row r="17965" spans="1:141" s="116" customFormat="1">
      <c r="A17965" s="136"/>
      <c r="CM17965" s="111"/>
      <c r="CQ17965" s="111"/>
      <c r="EF17965"/>
      <c r="EG17965"/>
      <c r="EH17965"/>
      <c r="EI17965"/>
      <c r="EJ17965"/>
      <c r="EK17965"/>
    </row>
    <row r="17966" spans="1:141" s="116" customFormat="1">
      <c r="A17966" s="136"/>
      <c r="CM17966" s="111"/>
      <c r="CQ17966" s="111"/>
      <c r="EF17966"/>
      <c r="EG17966"/>
      <c r="EH17966"/>
      <c r="EI17966"/>
      <c r="EJ17966"/>
      <c r="EK17966"/>
    </row>
    <row r="17967" spans="1:141" s="116" customFormat="1">
      <c r="A17967" s="136"/>
      <c r="CM17967" s="111"/>
      <c r="CQ17967" s="111"/>
      <c r="EF17967"/>
      <c r="EG17967"/>
      <c r="EH17967"/>
      <c r="EI17967"/>
      <c r="EJ17967"/>
      <c r="EK17967"/>
    </row>
    <row r="17968" spans="1:141" s="116" customFormat="1">
      <c r="A17968" s="136"/>
      <c r="CM17968" s="111"/>
      <c r="CQ17968" s="111"/>
      <c r="EF17968"/>
      <c r="EG17968"/>
      <c r="EH17968"/>
      <c r="EI17968"/>
      <c r="EJ17968"/>
      <c r="EK17968"/>
    </row>
    <row r="17969" spans="1:141" s="116" customFormat="1">
      <c r="A17969" s="136"/>
      <c r="CM17969" s="111"/>
      <c r="CQ17969" s="111"/>
      <c r="EF17969"/>
      <c r="EG17969"/>
      <c r="EH17969"/>
      <c r="EI17969"/>
      <c r="EJ17969"/>
      <c r="EK17969"/>
    </row>
    <row r="17970" spans="1:141" s="116" customFormat="1">
      <c r="A17970" s="136"/>
      <c r="CM17970" s="111"/>
      <c r="CQ17970" s="111"/>
      <c r="EF17970"/>
      <c r="EG17970"/>
      <c r="EH17970"/>
      <c r="EI17970"/>
      <c r="EJ17970"/>
      <c r="EK17970"/>
    </row>
    <row r="17971" spans="1:141" s="116" customFormat="1">
      <c r="A17971" s="136"/>
      <c r="CM17971" s="111"/>
      <c r="CQ17971" s="111"/>
      <c r="EF17971"/>
      <c r="EG17971"/>
      <c r="EH17971"/>
      <c r="EI17971"/>
      <c r="EJ17971"/>
      <c r="EK17971"/>
    </row>
    <row r="17972" spans="1:141" s="116" customFormat="1">
      <c r="A17972" s="136"/>
      <c r="CM17972" s="111"/>
      <c r="CQ17972" s="111"/>
      <c r="EF17972"/>
      <c r="EG17972"/>
      <c r="EH17972"/>
      <c r="EI17972"/>
      <c r="EJ17972"/>
      <c r="EK17972"/>
    </row>
    <row r="17973" spans="1:141" s="116" customFormat="1">
      <c r="A17973" s="136"/>
      <c r="CM17973" s="111"/>
      <c r="CQ17973" s="111"/>
      <c r="EF17973"/>
      <c r="EG17973"/>
      <c r="EH17973"/>
      <c r="EI17973"/>
      <c r="EJ17973"/>
      <c r="EK17973"/>
    </row>
    <row r="17974" spans="1:141" s="116" customFormat="1">
      <c r="A17974" s="136"/>
      <c r="CM17974" s="111"/>
      <c r="CQ17974" s="111"/>
      <c r="EF17974"/>
      <c r="EG17974"/>
      <c r="EH17974"/>
      <c r="EI17974"/>
      <c r="EJ17974"/>
      <c r="EK17974"/>
    </row>
    <row r="17975" spans="1:141" s="116" customFormat="1">
      <c r="A17975" s="136"/>
      <c r="CM17975" s="111"/>
      <c r="CQ17975" s="111"/>
      <c r="EF17975"/>
      <c r="EG17975"/>
      <c r="EH17975"/>
      <c r="EI17975"/>
      <c r="EJ17975"/>
      <c r="EK17975"/>
    </row>
    <row r="17976" spans="1:141" s="116" customFormat="1">
      <c r="A17976" s="136"/>
      <c r="CM17976" s="111"/>
      <c r="CQ17976" s="111"/>
      <c r="EF17976"/>
      <c r="EG17976"/>
      <c r="EH17976"/>
      <c r="EI17976"/>
      <c r="EJ17976"/>
      <c r="EK17976"/>
    </row>
    <row r="17977" spans="1:141" s="116" customFormat="1">
      <c r="A17977" s="136"/>
      <c r="CM17977" s="111"/>
      <c r="CQ17977" s="111"/>
      <c r="EF17977"/>
      <c r="EG17977"/>
      <c r="EH17977"/>
      <c r="EI17977"/>
      <c r="EJ17977"/>
      <c r="EK17977"/>
    </row>
    <row r="17978" spans="1:141" s="116" customFormat="1">
      <c r="A17978" s="136"/>
      <c r="CM17978" s="111"/>
      <c r="CQ17978" s="111"/>
      <c r="EF17978"/>
      <c r="EG17978"/>
      <c r="EH17978"/>
      <c r="EI17978"/>
      <c r="EJ17978"/>
      <c r="EK17978"/>
    </row>
    <row r="17979" spans="1:141" s="116" customFormat="1">
      <c r="A17979" s="136"/>
      <c r="CM17979" s="111"/>
      <c r="CQ17979" s="111"/>
      <c r="EF17979"/>
      <c r="EG17979"/>
      <c r="EH17979"/>
      <c r="EI17979"/>
      <c r="EJ17979"/>
      <c r="EK17979"/>
    </row>
    <row r="17980" spans="1:141" s="116" customFormat="1">
      <c r="A17980" s="136"/>
      <c r="CM17980" s="111"/>
      <c r="CQ17980" s="111"/>
      <c r="EF17980"/>
      <c r="EG17980"/>
      <c r="EH17980"/>
      <c r="EI17980"/>
      <c r="EJ17980"/>
      <c r="EK17980"/>
    </row>
    <row r="17981" spans="1:141" s="116" customFormat="1">
      <c r="A17981" s="136"/>
      <c r="CM17981" s="111"/>
      <c r="CQ17981" s="111"/>
      <c r="EF17981"/>
      <c r="EG17981"/>
      <c r="EH17981"/>
      <c r="EI17981"/>
      <c r="EJ17981"/>
      <c r="EK17981"/>
    </row>
    <row r="17982" spans="1:141" s="116" customFormat="1">
      <c r="A17982" s="136"/>
      <c r="CM17982" s="111"/>
      <c r="CQ17982" s="111"/>
      <c r="EF17982"/>
      <c r="EG17982"/>
      <c r="EH17982"/>
      <c r="EI17982"/>
      <c r="EJ17982"/>
      <c r="EK17982"/>
    </row>
    <row r="17983" spans="1:141" s="116" customFormat="1">
      <c r="A17983" s="136"/>
      <c r="CM17983" s="111"/>
      <c r="CQ17983" s="111"/>
      <c r="EF17983"/>
      <c r="EG17983"/>
      <c r="EH17983"/>
      <c r="EI17983"/>
      <c r="EJ17983"/>
      <c r="EK17983"/>
    </row>
    <row r="17984" spans="1:141" s="116" customFormat="1">
      <c r="A17984" s="136"/>
      <c r="CM17984" s="111"/>
      <c r="CQ17984" s="111"/>
      <c r="EF17984"/>
      <c r="EG17984"/>
      <c r="EH17984"/>
      <c r="EI17984"/>
      <c r="EJ17984"/>
      <c r="EK17984"/>
    </row>
    <row r="17985" spans="1:141" s="116" customFormat="1">
      <c r="A17985" s="136"/>
      <c r="CM17985" s="111"/>
      <c r="CQ17985" s="111"/>
      <c r="EF17985"/>
      <c r="EG17985"/>
      <c r="EH17985"/>
      <c r="EI17985"/>
      <c r="EJ17985"/>
      <c r="EK17985"/>
    </row>
    <row r="17986" spans="1:141" s="116" customFormat="1">
      <c r="A17986" s="136"/>
      <c r="CM17986" s="111"/>
      <c r="CQ17986" s="111"/>
      <c r="EF17986"/>
      <c r="EG17986"/>
      <c r="EH17986"/>
      <c r="EI17986"/>
      <c r="EJ17986"/>
      <c r="EK17986"/>
    </row>
    <row r="17987" spans="1:141" s="116" customFormat="1">
      <c r="A17987" s="136"/>
      <c r="CM17987" s="111"/>
      <c r="CQ17987" s="111"/>
      <c r="EF17987"/>
      <c r="EG17987"/>
      <c r="EH17987"/>
      <c r="EI17987"/>
      <c r="EJ17987"/>
      <c r="EK17987"/>
    </row>
    <row r="17988" spans="1:141" s="116" customFormat="1">
      <c r="A17988" s="136"/>
      <c r="CM17988" s="111"/>
      <c r="CQ17988" s="111"/>
      <c r="EF17988"/>
      <c r="EG17988"/>
      <c r="EH17988"/>
      <c r="EI17988"/>
      <c r="EJ17988"/>
      <c r="EK17988"/>
    </row>
    <row r="17989" spans="1:141" s="116" customFormat="1">
      <c r="A17989" s="136"/>
      <c r="CM17989" s="111"/>
      <c r="CQ17989" s="111"/>
      <c r="EF17989"/>
      <c r="EG17989"/>
      <c r="EH17989"/>
      <c r="EI17989"/>
      <c r="EJ17989"/>
      <c r="EK17989"/>
    </row>
    <row r="17990" spans="1:141" s="116" customFormat="1">
      <c r="A17990" s="136"/>
      <c r="CM17990" s="111"/>
      <c r="CQ17990" s="111"/>
      <c r="EF17990"/>
      <c r="EG17990"/>
      <c r="EH17990"/>
      <c r="EI17990"/>
      <c r="EJ17990"/>
      <c r="EK17990"/>
    </row>
    <row r="17991" spans="1:141" s="116" customFormat="1">
      <c r="A17991" s="136"/>
      <c r="CM17991" s="111"/>
      <c r="CQ17991" s="111"/>
      <c r="EF17991"/>
      <c r="EG17991"/>
      <c r="EH17991"/>
      <c r="EI17991"/>
      <c r="EJ17991"/>
      <c r="EK17991"/>
    </row>
    <row r="17992" spans="1:141" s="116" customFormat="1">
      <c r="A17992" s="136"/>
      <c r="CM17992" s="111"/>
      <c r="CQ17992" s="111"/>
      <c r="EF17992"/>
      <c r="EG17992"/>
      <c r="EH17992"/>
      <c r="EI17992"/>
      <c r="EJ17992"/>
      <c r="EK17992"/>
    </row>
    <row r="17993" spans="1:141" s="116" customFormat="1">
      <c r="A17993" s="136"/>
      <c r="CM17993" s="111"/>
      <c r="CQ17993" s="111"/>
      <c r="EF17993"/>
      <c r="EG17993"/>
      <c r="EH17993"/>
      <c r="EI17993"/>
      <c r="EJ17993"/>
      <c r="EK17993"/>
    </row>
    <row r="17994" spans="1:141" s="116" customFormat="1">
      <c r="A17994" s="136"/>
      <c r="CM17994" s="111"/>
      <c r="CQ17994" s="111"/>
      <c r="EF17994"/>
      <c r="EG17994"/>
      <c r="EH17994"/>
      <c r="EI17994"/>
      <c r="EJ17994"/>
      <c r="EK17994"/>
    </row>
    <row r="17995" spans="1:141" s="116" customFormat="1">
      <c r="A17995" s="136"/>
      <c r="CM17995" s="111"/>
      <c r="CQ17995" s="111"/>
      <c r="EF17995"/>
      <c r="EG17995"/>
      <c r="EH17995"/>
      <c r="EI17995"/>
      <c r="EJ17995"/>
      <c r="EK17995"/>
    </row>
    <row r="17996" spans="1:141" s="116" customFormat="1">
      <c r="A17996" s="136"/>
      <c r="CM17996" s="111"/>
      <c r="CQ17996" s="111"/>
      <c r="EF17996"/>
      <c r="EG17996"/>
      <c r="EH17996"/>
      <c r="EI17996"/>
      <c r="EJ17996"/>
      <c r="EK17996"/>
    </row>
    <row r="17997" spans="1:141" s="116" customFormat="1">
      <c r="A17997" s="136"/>
      <c r="CM17997" s="111"/>
      <c r="CQ17997" s="111"/>
      <c r="EF17997"/>
      <c r="EG17997"/>
      <c r="EH17997"/>
      <c r="EI17997"/>
      <c r="EJ17997"/>
      <c r="EK17997"/>
    </row>
    <row r="17998" spans="1:141" s="116" customFormat="1">
      <c r="A17998" s="136"/>
      <c r="CM17998" s="111"/>
      <c r="CQ17998" s="111"/>
      <c r="EF17998"/>
      <c r="EG17998"/>
      <c r="EH17998"/>
      <c r="EI17998"/>
      <c r="EJ17998"/>
      <c r="EK17998"/>
    </row>
    <row r="17999" spans="1:141" s="116" customFormat="1">
      <c r="A17999" s="136"/>
      <c r="CM17999" s="111"/>
      <c r="CQ17999" s="111"/>
      <c r="EF17999"/>
      <c r="EG17999"/>
      <c r="EH17999"/>
      <c r="EI17999"/>
      <c r="EJ17999"/>
      <c r="EK17999"/>
    </row>
    <row r="18000" spans="1:141" s="116" customFormat="1">
      <c r="A18000" s="136"/>
      <c r="CM18000" s="111"/>
      <c r="CQ18000" s="111"/>
      <c r="EF18000"/>
      <c r="EG18000"/>
      <c r="EH18000"/>
      <c r="EI18000"/>
      <c r="EJ18000"/>
      <c r="EK18000"/>
    </row>
    <row r="18001" spans="1:141" s="116" customFormat="1">
      <c r="A18001" s="136"/>
      <c r="CM18001" s="111"/>
      <c r="CQ18001" s="111"/>
      <c r="EF18001"/>
      <c r="EG18001"/>
      <c r="EH18001"/>
      <c r="EI18001"/>
      <c r="EJ18001"/>
      <c r="EK18001"/>
    </row>
    <row r="18002" spans="1:141" s="116" customFormat="1">
      <c r="A18002" s="136"/>
      <c r="CM18002" s="111"/>
      <c r="CQ18002" s="111"/>
      <c r="EF18002"/>
      <c r="EG18002"/>
      <c r="EH18002"/>
      <c r="EI18002"/>
      <c r="EJ18002"/>
      <c r="EK18002"/>
    </row>
    <row r="18003" spans="1:141" s="116" customFormat="1">
      <c r="A18003" s="136"/>
      <c r="CM18003" s="111"/>
      <c r="CQ18003" s="111"/>
      <c r="EF18003"/>
      <c r="EG18003"/>
      <c r="EH18003"/>
      <c r="EI18003"/>
      <c r="EJ18003"/>
      <c r="EK18003"/>
    </row>
    <row r="18004" spans="1:141" s="116" customFormat="1">
      <c r="A18004" s="136"/>
      <c r="CM18004" s="111"/>
      <c r="CQ18004" s="111"/>
      <c r="EF18004"/>
      <c r="EG18004"/>
      <c r="EH18004"/>
      <c r="EI18004"/>
      <c r="EJ18004"/>
      <c r="EK18004"/>
    </row>
    <row r="18005" spans="1:141" s="116" customFormat="1">
      <c r="A18005" s="136"/>
      <c r="CM18005" s="111"/>
      <c r="CQ18005" s="111"/>
      <c r="EF18005"/>
      <c r="EG18005"/>
      <c r="EH18005"/>
      <c r="EI18005"/>
      <c r="EJ18005"/>
      <c r="EK18005"/>
    </row>
    <row r="18006" spans="1:141" s="116" customFormat="1">
      <c r="A18006" s="136"/>
      <c r="CM18006" s="111"/>
      <c r="CQ18006" s="111"/>
      <c r="EF18006"/>
      <c r="EG18006"/>
      <c r="EH18006"/>
      <c r="EI18006"/>
      <c r="EJ18006"/>
      <c r="EK18006"/>
    </row>
    <row r="18007" spans="1:141" s="116" customFormat="1">
      <c r="A18007" s="136"/>
      <c r="CM18007" s="111"/>
      <c r="CQ18007" s="111"/>
      <c r="EF18007"/>
      <c r="EG18007"/>
      <c r="EH18007"/>
      <c r="EI18007"/>
      <c r="EJ18007"/>
      <c r="EK18007"/>
    </row>
    <row r="18008" spans="1:141" s="116" customFormat="1">
      <c r="A18008" s="136"/>
      <c r="CM18008" s="111"/>
      <c r="CQ18008" s="111"/>
      <c r="EF18008"/>
      <c r="EG18008"/>
      <c r="EH18008"/>
      <c r="EI18008"/>
      <c r="EJ18008"/>
      <c r="EK18008"/>
    </row>
    <row r="18009" spans="1:141" s="116" customFormat="1">
      <c r="A18009" s="136"/>
      <c r="CM18009" s="111"/>
      <c r="CQ18009" s="111"/>
      <c r="EF18009"/>
      <c r="EG18009"/>
      <c r="EH18009"/>
      <c r="EI18009"/>
      <c r="EJ18009"/>
      <c r="EK18009"/>
    </row>
    <row r="18010" spans="1:141" s="116" customFormat="1">
      <c r="A18010" s="136"/>
      <c r="CM18010" s="111"/>
      <c r="CQ18010" s="111"/>
      <c r="EF18010"/>
      <c r="EG18010"/>
      <c r="EH18010"/>
      <c r="EI18010"/>
      <c r="EJ18010"/>
      <c r="EK18010"/>
    </row>
    <row r="18011" spans="1:141" s="116" customFormat="1">
      <c r="A18011" s="136"/>
      <c r="CM18011" s="111"/>
      <c r="CQ18011" s="111"/>
      <c r="EF18011"/>
      <c r="EG18011"/>
      <c r="EH18011"/>
      <c r="EI18011"/>
      <c r="EJ18011"/>
      <c r="EK18011"/>
    </row>
    <row r="18012" spans="1:141" s="116" customFormat="1">
      <c r="A18012" s="136"/>
      <c r="CM18012" s="111"/>
      <c r="CQ18012" s="111"/>
      <c r="EF18012"/>
      <c r="EG18012"/>
      <c r="EH18012"/>
      <c r="EI18012"/>
      <c r="EJ18012"/>
      <c r="EK18012"/>
    </row>
    <row r="18013" spans="1:141" s="116" customFormat="1">
      <c r="A18013" s="136"/>
      <c r="CM18013" s="111"/>
      <c r="CQ18013" s="111"/>
      <c r="EF18013"/>
      <c r="EG18013"/>
      <c r="EH18013"/>
      <c r="EI18013"/>
      <c r="EJ18013"/>
      <c r="EK18013"/>
    </row>
    <row r="18014" spans="1:141" s="116" customFormat="1">
      <c r="A18014" s="136"/>
      <c r="CM18014" s="111"/>
      <c r="CQ18014" s="111"/>
      <c r="EF18014"/>
      <c r="EG18014"/>
      <c r="EH18014"/>
      <c r="EI18014"/>
      <c r="EJ18014"/>
      <c r="EK18014"/>
    </row>
    <row r="18015" spans="1:141" s="116" customFormat="1">
      <c r="A18015" s="136"/>
      <c r="CM18015" s="111"/>
      <c r="CQ18015" s="111"/>
      <c r="EF18015"/>
      <c r="EG18015"/>
      <c r="EH18015"/>
      <c r="EI18015"/>
      <c r="EJ18015"/>
      <c r="EK18015"/>
    </row>
    <row r="18016" spans="1:141" s="116" customFormat="1">
      <c r="A18016" s="136"/>
      <c r="CM18016" s="111"/>
      <c r="CQ18016" s="111"/>
      <c r="EF18016"/>
      <c r="EG18016"/>
      <c r="EH18016"/>
      <c r="EI18016"/>
      <c r="EJ18016"/>
      <c r="EK18016"/>
    </row>
    <row r="18017" spans="1:141" s="116" customFormat="1">
      <c r="A18017" s="136"/>
      <c r="CM18017" s="111"/>
      <c r="CQ18017" s="111"/>
      <c r="EF18017"/>
      <c r="EG18017"/>
      <c r="EH18017"/>
      <c r="EI18017"/>
      <c r="EJ18017"/>
      <c r="EK18017"/>
    </row>
    <row r="18018" spans="1:141" s="116" customFormat="1">
      <c r="A18018" s="136"/>
      <c r="CM18018" s="111"/>
      <c r="CQ18018" s="111"/>
      <c r="EF18018"/>
      <c r="EG18018"/>
      <c r="EH18018"/>
      <c r="EI18018"/>
      <c r="EJ18018"/>
      <c r="EK18018"/>
    </row>
    <row r="18019" spans="1:141" s="116" customFormat="1">
      <c r="A18019" s="136"/>
      <c r="CM18019" s="111"/>
      <c r="CQ18019" s="111"/>
      <c r="EF18019"/>
      <c r="EG18019"/>
      <c r="EH18019"/>
      <c r="EI18019"/>
      <c r="EJ18019"/>
      <c r="EK18019"/>
    </row>
    <row r="18020" spans="1:141" s="116" customFormat="1">
      <c r="A18020" s="136"/>
      <c r="CM18020" s="111"/>
      <c r="CQ18020" s="111"/>
      <c r="EF18020"/>
      <c r="EG18020"/>
      <c r="EH18020"/>
      <c r="EI18020"/>
      <c r="EJ18020"/>
      <c r="EK18020"/>
    </row>
    <row r="18021" spans="1:141" s="116" customFormat="1">
      <c r="A18021" s="136"/>
      <c r="CM18021" s="111"/>
      <c r="CQ18021" s="111"/>
      <c r="EF18021"/>
      <c r="EG18021"/>
      <c r="EH18021"/>
      <c r="EI18021"/>
      <c r="EJ18021"/>
      <c r="EK18021"/>
    </row>
    <row r="18022" spans="1:141" s="116" customFormat="1">
      <c r="A18022" s="136"/>
      <c r="CM18022" s="111"/>
      <c r="CQ18022" s="111"/>
      <c r="EF18022"/>
      <c r="EG18022"/>
      <c r="EH18022"/>
      <c r="EI18022"/>
      <c r="EJ18022"/>
      <c r="EK18022"/>
    </row>
    <row r="18023" spans="1:141" s="116" customFormat="1">
      <c r="A18023" s="136"/>
      <c r="CM18023" s="111"/>
      <c r="CQ18023" s="111"/>
      <c r="EF18023"/>
      <c r="EG18023"/>
      <c r="EH18023"/>
      <c r="EI18023"/>
      <c r="EJ18023"/>
      <c r="EK18023"/>
    </row>
    <row r="18024" spans="1:141" s="116" customFormat="1">
      <c r="A18024" s="136"/>
      <c r="CM18024" s="111"/>
      <c r="CQ18024" s="111"/>
      <c r="EF18024"/>
      <c r="EG18024"/>
      <c r="EH18024"/>
      <c r="EI18024"/>
      <c r="EJ18024"/>
      <c r="EK18024"/>
    </row>
    <row r="18025" spans="1:141" s="116" customFormat="1">
      <c r="A18025" s="136"/>
      <c r="CM18025" s="111"/>
      <c r="CQ18025" s="111"/>
      <c r="EF18025"/>
      <c r="EG18025"/>
      <c r="EH18025"/>
      <c r="EI18025"/>
      <c r="EJ18025"/>
      <c r="EK18025"/>
    </row>
    <row r="18026" spans="1:141" s="116" customFormat="1">
      <c r="A18026" s="136"/>
      <c r="CM18026" s="111"/>
      <c r="CQ18026" s="111"/>
      <c r="EF18026"/>
      <c r="EG18026"/>
      <c r="EH18026"/>
      <c r="EI18026"/>
      <c r="EJ18026"/>
      <c r="EK18026"/>
    </row>
    <row r="18027" spans="1:141" s="116" customFormat="1">
      <c r="A18027" s="136"/>
      <c r="CM18027" s="111"/>
      <c r="CQ18027" s="111"/>
      <c r="EF18027"/>
      <c r="EG18027"/>
      <c r="EH18027"/>
      <c r="EI18027"/>
      <c r="EJ18027"/>
      <c r="EK18027"/>
    </row>
    <row r="18028" spans="1:141" s="116" customFormat="1">
      <c r="A18028" s="136"/>
      <c r="CM18028" s="111"/>
      <c r="CQ18028" s="111"/>
      <c r="EF18028"/>
      <c r="EG18028"/>
      <c r="EH18028"/>
      <c r="EI18028"/>
      <c r="EJ18028"/>
      <c r="EK18028"/>
    </row>
    <row r="18029" spans="1:141" s="116" customFormat="1">
      <c r="A18029" s="136"/>
      <c r="CM18029" s="111"/>
      <c r="CQ18029" s="111"/>
      <c r="EF18029"/>
      <c r="EG18029"/>
      <c r="EH18029"/>
      <c r="EI18029"/>
      <c r="EJ18029"/>
      <c r="EK18029"/>
    </row>
    <row r="18030" spans="1:141" s="116" customFormat="1">
      <c r="A18030" s="136"/>
      <c r="CM18030" s="111"/>
      <c r="CQ18030" s="111"/>
      <c r="EF18030"/>
      <c r="EG18030"/>
      <c r="EH18030"/>
      <c r="EI18030"/>
      <c r="EJ18030"/>
      <c r="EK18030"/>
    </row>
    <row r="18031" spans="1:141" s="116" customFormat="1">
      <c r="A18031" s="136"/>
      <c r="CM18031" s="111"/>
      <c r="CQ18031" s="111"/>
      <c r="EF18031"/>
      <c r="EG18031"/>
      <c r="EH18031"/>
      <c r="EI18031"/>
      <c r="EJ18031"/>
      <c r="EK18031"/>
    </row>
    <row r="18032" spans="1:141" s="116" customFormat="1">
      <c r="A18032" s="136"/>
      <c r="CM18032" s="111"/>
      <c r="CQ18032" s="111"/>
      <c r="EF18032"/>
      <c r="EG18032"/>
      <c r="EH18032"/>
      <c r="EI18032"/>
      <c r="EJ18032"/>
      <c r="EK18032"/>
    </row>
    <row r="18033" spans="1:141" s="116" customFormat="1">
      <c r="A18033" s="136"/>
      <c r="CM18033" s="111"/>
      <c r="CQ18033" s="111"/>
      <c r="EF18033"/>
      <c r="EG18033"/>
      <c r="EH18033"/>
      <c r="EI18033"/>
      <c r="EJ18033"/>
      <c r="EK18033"/>
    </row>
    <row r="18034" spans="1:141" s="116" customFormat="1">
      <c r="A18034" s="136"/>
      <c r="CM18034" s="111"/>
      <c r="CQ18034" s="111"/>
      <c r="EF18034"/>
      <c r="EG18034"/>
      <c r="EH18034"/>
      <c r="EI18034"/>
      <c r="EJ18034"/>
      <c r="EK18034"/>
    </row>
    <row r="18035" spans="1:141" s="116" customFormat="1">
      <c r="A18035" s="136"/>
      <c r="CM18035" s="111"/>
      <c r="CQ18035" s="111"/>
      <c r="EF18035"/>
      <c r="EG18035"/>
      <c r="EH18035"/>
      <c r="EI18035"/>
      <c r="EJ18035"/>
      <c r="EK18035"/>
    </row>
    <row r="18036" spans="1:141" s="116" customFormat="1">
      <c r="A18036" s="136"/>
      <c r="CM18036" s="111"/>
      <c r="CQ18036" s="111"/>
      <c r="EF18036"/>
      <c r="EG18036"/>
      <c r="EH18036"/>
      <c r="EI18036"/>
      <c r="EJ18036"/>
      <c r="EK18036"/>
    </row>
    <row r="18037" spans="1:141" s="116" customFormat="1">
      <c r="A18037" s="136"/>
      <c r="CM18037" s="111"/>
      <c r="CQ18037" s="111"/>
      <c r="EF18037"/>
      <c r="EG18037"/>
      <c r="EH18037"/>
      <c r="EI18037"/>
      <c r="EJ18037"/>
      <c r="EK18037"/>
    </row>
    <row r="18038" spans="1:141" s="116" customFormat="1">
      <c r="A18038" s="136"/>
      <c r="CM18038" s="111"/>
      <c r="CQ18038" s="111"/>
      <c r="EF18038"/>
      <c r="EG18038"/>
      <c r="EH18038"/>
      <c r="EI18038"/>
      <c r="EJ18038"/>
      <c r="EK18038"/>
    </row>
    <row r="18039" spans="1:141" s="116" customFormat="1">
      <c r="A18039" s="136"/>
      <c r="CM18039" s="111"/>
      <c r="CQ18039" s="111"/>
      <c r="EF18039"/>
      <c r="EG18039"/>
      <c r="EH18039"/>
      <c r="EI18039"/>
      <c r="EJ18039"/>
      <c r="EK18039"/>
    </row>
    <row r="18040" spans="1:141" s="116" customFormat="1">
      <c r="A18040" s="136"/>
      <c r="CM18040" s="111"/>
      <c r="CQ18040" s="111"/>
      <c r="EF18040"/>
      <c r="EG18040"/>
      <c r="EH18040"/>
      <c r="EI18040"/>
      <c r="EJ18040"/>
      <c r="EK18040"/>
    </row>
    <row r="18041" spans="1:141" s="116" customFormat="1">
      <c r="A18041" s="136"/>
      <c r="CM18041" s="111"/>
      <c r="CQ18041" s="111"/>
      <c r="EF18041"/>
      <c r="EG18041"/>
      <c r="EH18041"/>
      <c r="EI18041"/>
      <c r="EJ18041"/>
      <c r="EK18041"/>
    </row>
    <row r="18042" spans="1:141" s="116" customFormat="1">
      <c r="A18042" s="136"/>
      <c r="CM18042" s="111"/>
      <c r="CQ18042" s="111"/>
      <c r="EF18042"/>
      <c r="EG18042"/>
      <c r="EH18042"/>
      <c r="EI18042"/>
      <c r="EJ18042"/>
      <c r="EK18042"/>
    </row>
    <row r="18043" spans="1:141" s="116" customFormat="1">
      <c r="A18043" s="136"/>
      <c r="CM18043" s="111"/>
      <c r="CQ18043" s="111"/>
      <c r="EF18043"/>
      <c r="EG18043"/>
      <c r="EH18043"/>
      <c r="EI18043"/>
      <c r="EJ18043"/>
      <c r="EK18043"/>
    </row>
    <row r="18044" spans="1:141" s="116" customFormat="1">
      <c r="A18044" s="136"/>
      <c r="CM18044" s="111"/>
      <c r="CQ18044" s="111"/>
      <c r="EF18044"/>
      <c r="EG18044"/>
      <c r="EH18044"/>
      <c r="EI18044"/>
      <c r="EJ18044"/>
      <c r="EK18044"/>
    </row>
    <row r="18045" spans="1:141" s="116" customFormat="1">
      <c r="A18045" s="136"/>
      <c r="CM18045" s="111"/>
      <c r="CQ18045" s="111"/>
      <c r="EF18045"/>
      <c r="EG18045"/>
      <c r="EH18045"/>
      <c r="EI18045"/>
      <c r="EJ18045"/>
      <c r="EK18045"/>
    </row>
    <row r="18046" spans="1:141" s="116" customFormat="1">
      <c r="A18046" s="136"/>
      <c r="CM18046" s="111"/>
      <c r="CQ18046" s="111"/>
      <c r="EF18046"/>
      <c r="EG18046"/>
      <c r="EH18046"/>
      <c r="EI18046"/>
      <c r="EJ18046"/>
      <c r="EK18046"/>
    </row>
    <row r="18047" spans="1:141" s="116" customFormat="1">
      <c r="A18047" s="136"/>
      <c r="CM18047" s="111"/>
      <c r="CQ18047" s="111"/>
      <c r="EF18047"/>
      <c r="EG18047"/>
      <c r="EH18047"/>
      <c r="EI18047"/>
      <c r="EJ18047"/>
      <c r="EK18047"/>
    </row>
    <row r="18048" spans="1:141" s="116" customFormat="1">
      <c r="A18048" s="136"/>
      <c r="CM18048" s="111"/>
      <c r="CQ18048" s="111"/>
      <c r="EF18048"/>
      <c r="EG18048"/>
      <c r="EH18048"/>
      <c r="EI18048"/>
      <c r="EJ18048"/>
      <c r="EK18048"/>
    </row>
    <row r="18049" spans="1:141" s="116" customFormat="1">
      <c r="A18049" s="136"/>
      <c r="CM18049" s="111"/>
      <c r="CQ18049" s="111"/>
      <c r="EF18049"/>
      <c r="EG18049"/>
      <c r="EH18049"/>
      <c r="EI18049"/>
      <c r="EJ18049"/>
      <c r="EK18049"/>
    </row>
    <row r="18050" spans="1:141" s="116" customFormat="1">
      <c r="A18050" s="136"/>
      <c r="CM18050" s="111"/>
      <c r="CQ18050" s="111"/>
      <c r="EF18050"/>
      <c r="EG18050"/>
      <c r="EH18050"/>
      <c r="EI18050"/>
      <c r="EJ18050"/>
      <c r="EK18050"/>
    </row>
    <row r="18051" spans="1:141" s="116" customFormat="1">
      <c r="A18051" s="136"/>
      <c r="CM18051" s="111"/>
      <c r="CQ18051" s="111"/>
      <c r="EF18051"/>
      <c r="EG18051"/>
      <c r="EH18051"/>
      <c r="EI18051"/>
      <c r="EJ18051"/>
      <c r="EK18051"/>
    </row>
    <row r="18052" spans="1:141" s="116" customFormat="1">
      <c r="A18052" s="136"/>
      <c r="CM18052" s="111"/>
      <c r="CQ18052" s="111"/>
      <c r="EF18052"/>
      <c r="EG18052"/>
      <c r="EH18052"/>
      <c r="EI18052"/>
      <c r="EJ18052"/>
      <c r="EK18052"/>
    </row>
    <row r="18053" spans="1:141" s="116" customFormat="1">
      <c r="A18053" s="136"/>
      <c r="CM18053" s="111"/>
      <c r="CQ18053" s="111"/>
      <c r="EF18053"/>
      <c r="EG18053"/>
      <c r="EH18053"/>
      <c r="EI18053"/>
      <c r="EJ18053"/>
      <c r="EK18053"/>
    </row>
    <row r="18054" spans="1:141" s="116" customFormat="1">
      <c r="A18054" s="136"/>
      <c r="CM18054" s="111"/>
      <c r="CQ18054" s="111"/>
      <c r="EF18054"/>
      <c r="EG18054"/>
      <c r="EH18054"/>
      <c r="EI18054"/>
      <c r="EJ18054"/>
      <c r="EK18054"/>
    </row>
    <row r="18055" spans="1:141" s="116" customFormat="1">
      <c r="A18055" s="136"/>
      <c r="CM18055" s="111"/>
      <c r="CQ18055" s="111"/>
      <c r="EF18055"/>
      <c r="EG18055"/>
      <c r="EH18055"/>
      <c r="EI18055"/>
      <c r="EJ18055"/>
      <c r="EK18055"/>
    </row>
    <row r="18056" spans="1:141" s="116" customFormat="1">
      <c r="A18056" s="136"/>
      <c r="CM18056" s="111"/>
      <c r="CQ18056" s="111"/>
      <c r="EF18056"/>
      <c r="EG18056"/>
      <c r="EH18056"/>
      <c r="EI18056"/>
      <c r="EJ18056"/>
      <c r="EK18056"/>
    </row>
    <row r="18057" spans="1:141" s="116" customFormat="1">
      <c r="A18057" s="136"/>
      <c r="CM18057" s="111"/>
      <c r="CQ18057" s="111"/>
      <c r="EF18057"/>
      <c r="EG18057"/>
      <c r="EH18057"/>
      <c r="EI18057"/>
      <c r="EJ18057"/>
      <c r="EK18057"/>
    </row>
    <row r="18058" spans="1:141" s="116" customFormat="1">
      <c r="A18058" s="136"/>
      <c r="CM18058" s="111"/>
      <c r="CQ18058" s="111"/>
      <c r="EF18058"/>
      <c r="EG18058"/>
      <c r="EH18058"/>
      <c r="EI18058"/>
      <c r="EJ18058"/>
      <c r="EK18058"/>
    </row>
    <row r="18059" spans="1:141" s="116" customFormat="1">
      <c r="A18059" s="136"/>
      <c r="CM18059" s="111"/>
      <c r="CQ18059" s="111"/>
      <c r="EF18059"/>
      <c r="EG18059"/>
      <c r="EH18059"/>
      <c r="EI18059"/>
      <c r="EJ18059"/>
      <c r="EK18059"/>
    </row>
    <row r="18060" spans="1:141" s="116" customFormat="1">
      <c r="A18060" s="136"/>
      <c r="CM18060" s="111"/>
      <c r="CQ18060" s="111"/>
      <c r="EF18060"/>
      <c r="EG18060"/>
      <c r="EH18060"/>
      <c r="EI18060"/>
      <c r="EJ18060"/>
      <c r="EK18060"/>
    </row>
    <row r="18061" spans="1:141" s="116" customFormat="1">
      <c r="A18061" s="136"/>
      <c r="CM18061" s="111"/>
      <c r="CQ18061" s="111"/>
      <c r="EF18061"/>
      <c r="EG18061"/>
      <c r="EH18061"/>
      <c r="EI18061"/>
      <c r="EJ18061"/>
      <c r="EK18061"/>
    </row>
    <row r="18062" spans="1:141" s="116" customFormat="1">
      <c r="A18062" s="136"/>
      <c r="CM18062" s="111"/>
      <c r="CQ18062" s="111"/>
      <c r="EF18062"/>
      <c r="EG18062"/>
      <c r="EH18062"/>
      <c r="EI18062"/>
      <c r="EJ18062"/>
      <c r="EK18062"/>
    </row>
    <row r="18063" spans="1:141" s="116" customFormat="1">
      <c r="A18063" s="136"/>
      <c r="CM18063" s="111"/>
      <c r="CQ18063" s="111"/>
      <c r="EF18063"/>
      <c r="EG18063"/>
      <c r="EH18063"/>
      <c r="EI18063"/>
      <c r="EJ18063"/>
      <c r="EK18063"/>
    </row>
    <row r="18064" spans="1:141" s="116" customFormat="1">
      <c r="A18064" s="136"/>
      <c r="CM18064" s="111"/>
      <c r="CQ18064" s="111"/>
      <c r="EF18064"/>
      <c r="EG18064"/>
      <c r="EH18064"/>
      <c r="EI18064"/>
      <c r="EJ18064"/>
      <c r="EK18064"/>
    </row>
    <row r="18065" spans="1:141" s="116" customFormat="1">
      <c r="A18065" s="136"/>
      <c r="CM18065" s="111"/>
      <c r="CQ18065" s="111"/>
      <c r="EF18065"/>
      <c r="EG18065"/>
      <c r="EH18065"/>
      <c r="EI18065"/>
      <c r="EJ18065"/>
      <c r="EK18065"/>
    </row>
    <row r="18066" spans="1:141" s="116" customFormat="1">
      <c r="A18066" s="136"/>
      <c r="CM18066" s="111"/>
      <c r="CQ18066" s="111"/>
      <c r="EF18066"/>
      <c r="EG18066"/>
      <c r="EH18066"/>
      <c r="EI18066"/>
      <c r="EJ18066"/>
      <c r="EK18066"/>
    </row>
    <row r="18067" spans="1:141" s="116" customFormat="1">
      <c r="A18067" s="136"/>
      <c r="CM18067" s="111"/>
      <c r="CQ18067" s="111"/>
      <c r="EF18067"/>
      <c r="EG18067"/>
      <c r="EH18067"/>
      <c r="EI18067"/>
      <c r="EJ18067"/>
      <c r="EK18067"/>
    </row>
    <row r="18068" spans="1:141" s="116" customFormat="1">
      <c r="A18068" s="136"/>
      <c r="CM18068" s="111"/>
      <c r="CQ18068" s="111"/>
      <c r="EF18068"/>
      <c r="EG18068"/>
      <c r="EH18068"/>
      <c r="EI18068"/>
      <c r="EJ18068"/>
      <c r="EK18068"/>
    </row>
    <row r="18069" spans="1:141" s="116" customFormat="1">
      <c r="A18069" s="136"/>
      <c r="CM18069" s="111"/>
      <c r="CQ18069" s="111"/>
      <c r="EF18069"/>
      <c r="EG18069"/>
      <c r="EH18069"/>
      <c r="EI18069"/>
      <c r="EJ18069"/>
      <c r="EK18069"/>
    </row>
    <row r="18070" spans="1:141" s="116" customFormat="1">
      <c r="A18070" s="136"/>
      <c r="CM18070" s="111"/>
      <c r="CQ18070" s="111"/>
      <c r="EF18070"/>
      <c r="EG18070"/>
      <c r="EH18070"/>
      <c r="EI18070"/>
      <c r="EJ18070"/>
      <c r="EK18070"/>
    </row>
    <row r="18071" spans="1:141" s="116" customFormat="1">
      <c r="A18071" s="136"/>
      <c r="CM18071" s="111"/>
      <c r="CQ18071" s="111"/>
      <c r="EF18071"/>
      <c r="EG18071"/>
      <c r="EH18071"/>
      <c r="EI18071"/>
      <c r="EJ18071"/>
      <c r="EK18071"/>
    </row>
    <row r="18072" spans="1:141" s="116" customFormat="1">
      <c r="A18072" s="136"/>
      <c r="CM18072" s="111"/>
      <c r="CQ18072" s="111"/>
      <c r="EF18072"/>
      <c r="EG18072"/>
      <c r="EH18072"/>
      <c r="EI18072"/>
      <c r="EJ18072"/>
      <c r="EK18072"/>
    </row>
    <row r="18073" spans="1:141" s="116" customFormat="1">
      <c r="A18073" s="136"/>
      <c r="CM18073" s="111"/>
      <c r="CQ18073" s="111"/>
      <c r="EF18073"/>
      <c r="EG18073"/>
      <c r="EH18073"/>
      <c r="EI18073"/>
      <c r="EJ18073"/>
      <c r="EK18073"/>
    </row>
    <row r="18074" spans="1:141" s="116" customFormat="1">
      <c r="A18074" s="136"/>
      <c r="CM18074" s="111"/>
      <c r="CQ18074" s="111"/>
      <c r="EF18074"/>
      <c r="EG18074"/>
      <c r="EH18074"/>
      <c r="EI18074"/>
      <c r="EJ18074"/>
      <c r="EK18074"/>
    </row>
    <row r="18075" spans="1:141" s="116" customFormat="1">
      <c r="A18075" s="136"/>
      <c r="CM18075" s="111"/>
      <c r="CQ18075" s="111"/>
      <c r="EF18075"/>
      <c r="EG18075"/>
      <c r="EH18075"/>
      <c r="EI18075"/>
      <c r="EJ18075"/>
      <c r="EK18075"/>
    </row>
    <row r="18076" spans="1:141" s="116" customFormat="1">
      <c r="A18076" s="136"/>
      <c r="CM18076" s="111"/>
      <c r="CQ18076" s="111"/>
      <c r="EF18076"/>
      <c r="EG18076"/>
      <c r="EH18076"/>
      <c r="EI18076"/>
      <c r="EJ18076"/>
      <c r="EK18076"/>
    </row>
    <row r="18077" spans="1:141" s="116" customFormat="1">
      <c r="A18077" s="136"/>
      <c r="CM18077" s="111"/>
      <c r="CQ18077" s="111"/>
      <c r="EF18077"/>
      <c r="EG18077"/>
      <c r="EH18077"/>
      <c r="EI18077"/>
      <c r="EJ18077"/>
      <c r="EK18077"/>
    </row>
    <row r="18078" spans="1:141" s="116" customFormat="1">
      <c r="A18078" s="136"/>
      <c r="CM18078" s="111"/>
      <c r="CQ18078" s="111"/>
      <c r="EF18078"/>
      <c r="EG18078"/>
      <c r="EH18078"/>
      <c r="EI18078"/>
      <c r="EJ18078"/>
      <c r="EK18078"/>
    </row>
    <row r="18079" spans="1:141" s="116" customFormat="1">
      <c r="A18079" s="136"/>
      <c r="CM18079" s="111"/>
      <c r="CQ18079" s="111"/>
      <c r="EF18079"/>
      <c r="EG18079"/>
      <c r="EH18079"/>
      <c r="EI18079"/>
      <c r="EJ18079"/>
      <c r="EK18079"/>
    </row>
    <row r="18080" spans="1:141" s="116" customFormat="1">
      <c r="A18080" s="136"/>
      <c r="CM18080" s="111"/>
      <c r="CQ18080" s="111"/>
      <c r="EF18080"/>
      <c r="EG18080"/>
      <c r="EH18080"/>
      <c r="EI18080"/>
      <c r="EJ18080"/>
      <c r="EK18080"/>
    </row>
    <row r="18081" spans="1:141" s="116" customFormat="1">
      <c r="A18081" s="136"/>
      <c r="CM18081" s="111"/>
      <c r="CQ18081" s="111"/>
      <c r="EF18081"/>
      <c r="EG18081"/>
      <c r="EH18081"/>
      <c r="EI18081"/>
      <c r="EJ18081"/>
      <c r="EK18081"/>
    </row>
    <row r="18082" spans="1:141" s="116" customFormat="1">
      <c r="A18082" s="136"/>
      <c r="CM18082" s="111"/>
      <c r="CQ18082" s="111"/>
      <c r="EF18082"/>
      <c r="EG18082"/>
      <c r="EH18082"/>
      <c r="EI18082"/>
      <c r="EJ18082"/>
      <c r="EK18082"/>
    </row>
    <row r="18083" spans="1:141" s="116" customFormat="1">
      <c r="A18083" s="136"/>
      <c r="CM18083" s="111"/>
      <c r="CQ18083" s="111"/>
      <c r="EF18083"/>
      <c r="EG18083"/>
      <c r="EH18083"/>
      <c r="EI18083"/>
      <c r="EJ18083"/>
      <c r="EK18083"/>
    </row>
    <row r="18084" spans="1:141" s="116" customFormat="1">
      <c r="A18084" s="136"/>
      <c r="CM18084" s="111"/>
      <c r="CQ18084" s="111"/>
      <c r="EF18084"/>
      <c r="EG18084"/>
      <c r="EH18084"/>
      <c r="EI18084"/>
      <c r="EJ18084"/>
      <c r="EK18084"/>
    </row>
    <row r="18085" spans="1:141" s="116" customFormat="1">
      <c r="A18085" s="136"/>
      <c r="CM18085" s="111"/>
      <c r="CQ18085" s="111"/>
      <c r="EF18085"/>
      <c r="EG18085"/>
      <c r="EH18085"/>
      <c r="EI18085"/>
      <c r="EJ18085"/>
      <c r="EK18085"/>
    </row>
    <row r="18086" spans="1:141" s="116" customFormat="1">
      <c r="A18086" s="136"/>
      <c r="CM18086" s="111"/>
      <c r="CQ18086" s="111"/>
      <c r="EF18086"/>
      <c r="EG18086"/>
      <c r="EH18086"/>
      <c r="EI18086"/>
      <c r="EJ18086"/>
      <c r="EK18086"/>
    </row>
    <row r="18087" spans="1:141" s="116" customFormat="1">
      <c r="A18087" s="136"/>
      <c r="CM18087" s="111"/>
      <c r="CQ18087" s="111"/>
      <c r="EF18087"/>
      <c r="EG18087"/>
      <c r="EH18087"/>
      <c r="EI18087"/>
      <c r="EJ18087"/>
      <c r="EK18087"/>
    </row>
    <row r="18088" spans="1:141" s="116" customFormat="1">
      <c r="A18088" s="136"/>
      <c r="CM18088" s="111"/>
      <c r="CQ18088" s="111"/>
      <c r="EF18088"/>
      <c r="EG18088"/>
      <c r="EH18088"/>
      <c r="EI18088"/>
      <c r="EJ18088"/>
      <c r="EK18088"/>
    </row>
    <row r="18089" spans="1:141" s="116" customFormat="1">
      <c r="A18089" s="136"/>
      <c r="CM18089" s="111"/>
      <c r="CQ18089" s="111"/>
      <c r="EF18089"/>
      <c r="EG18089"/>
      <c r="EH18089"/>
      <c r="EI18089"/>
      <c r="EJ18089"/>
      <c r="EK18089"/>
    </row>
    <row r="18090" spans="1:141" s="116" customFormat="1">
      <c r="A18090" s="136"/>
      <c r="CM18090" s="111"/>
      <c r="CQ18090" s="111"/>
      <c r="EF18090"/>
      <c r="EG18090"/>
      <c r="EH18090"/>
      <c r="EI18090"/>
      <c r="EJ18090"/>
      <c r="EK18090"/>
    </row>
    <row r="18091" spans="1:141" s="116" customFormat="1">
      <c r="A18091" s="136"/>
      <c r="CM18091" s="111"/>
      <c r="CQ18091" s="111"/>
      <c r="EF18091"/>
      <c r="EG18091"/>
      <c r="EH18091"/>
      <c r="EI18091"/>
      <c r="EJ18091"/>
      <c r="EK18091"/>
    </row>
    <row r="18092" spans="1:141" s="116" customFormat="1">
      <c r="A18092" s="136"/>
      <c r="CM18092" s="111"/>
      <c r="CQ18092" s="111"/>
      <c r="EF18092"/>
      <c r="EG18092"/>
      <c r="EH18092"/>
      <c r="EI18092"/>
      <c r="EJ18092"/>
      <c r="EK18092"/>
    </row>
    <row r="18093" spans="1:141" s="116" customFormat="1">
      <c r="A18093" s="136"/>
      <c r="CM18093" s="111"/>
      <c r="CQ18093" s="111"/>
      <c r="EF18093"/>
      <c r="EG18093"/>
      <c r="EH18093"/>
      <c r="EI18093"/>
      <c r="EJ18093"/>
      <c r="EK18093"/>
    </row>
    <row r="18094" spans="1:141" s="116" customFormat="1">
      <c r="A18094" s="136"/>
      <c r="CM18094" s="111"/>
      <c r="CQ18094" s="111"/>
      <c r="EF18094"/>
      <c r="EG18094"/>
      <c r="EH18094"/>
      <c r="EI18094"/>
      <c r="EJ18094"/>
      <c r="EK18094"/>
    </row>
    <row r="18095" spans="1:141" s="116" customFormat="1">
      <c r="A18095" s="136"/>
      <c r="CM18095" s="111"/>
      <c r="CQ18095" s="111"/>
      <c r="EF18095"/>
      <c r="EG18095"/>
      <c r="EH18095"/>
      <c r="EI18095"/>
      <c r="EJ18095"/>
      <c r="EK18095"/>
    </row>
    <row r="18096" spans="1:141" s="116" customFormat="1">
      <c r="A18096" s="136"/>
      <c r="CM18096" s="111"/>
      <c r="CQ18096" s="111"/>
      <c r="EF18096"/>
      <c r="EG18096"/>
      <c r="EH18096"/>
      <c r="EI18096"/>
      <c r="EJ18096"/>
      <c r="EK18096"/>
    </row>
    <row r="18097" spans="1:141" s="116" customFormat="1">
      <c r="A18097" s="136"/>
      <c r="CM18097" s="111"/>
      <c r="CQ18097" s="111"/>
      <c r="EF18097"/>
      <c r="EG18097"/>
      <c r="EH18097"/>
      <c r="EI18097"/>
      <c r="EJ18097"/>
      <c r="EK18097"/>
    </row>
    <row r="18098" spans="1:141" s="116" customFormat="1">
      <c r="A18098" s="136"/>
      <c r="CM18098" s="111"/>
      <c r="CQ18098" s="111"/>
      <c r="EF18098"/>
      <c r="EG18098"/>
      <c r="EH18098"/>
      <c r="EI18098"/>
      <c r="EJ18098"/>
      <c r="EK18098"/>
    </row>
    <row r="18099" spans="1:141" s="116" customFormat="1">
      <c r="A18099" s="136"/>
      <c r="CM18099" s="111"/>
      <c r="CQ18099" s="111"/>
      <c r="EF18099"/>
      <c r="EG18099"/>
      <c r="EH18099"/>
      <c r="EI18099"/>
      <c r="EJ18099"/>
      <c r="EK18099"/>
    </row>
    <row r="18100" spans="1:141" s="116" customFormat="1">
      <c r="A18100" s="136"/>
      <c r="CM18100" s="111"/>
      <c r="CQ18100" s="111"/>
      <c r="EF18100"/>
      <c r="EG18100"/>
      <c r="EH18100"/>
      <c r="EI18100"/>
      <c r="EJ18100"/>
      <c r="EK18100"/>
    </row>
    <row r="18101" spans="1:141" s="116" customFormat="1">
      <c r="A18101" s="136"/>
      <c r="CM18101" s="111"/>
      <c r="CQ18101" s="111"/>
      <c r="EF18101"/>
      <c r="EG18101"/>
      <c r="EH18101"/>
      <c r="EI18101"/>
      <c r="EJ18101"/>
      <c r="EK18101"/>
    </row>
    <row r="18102" spans="1:141" s="116" customFormat="1">
      <c r="A18102" s="136"/>
      <c r="CM18102" s="111"/>
      <c r="CQ18102" s="111"/>
      <c r="EF18102"/>
      <c r="EG18102"/>
      <c r="EH18102"/>
      <c r="EI18102"/>
      <c r="EJ18102"/>
      <c r="EK18102"/>
    </row>
    <row r="18103" spans="1:141" s="116" customFormat="1">
      <c r="A18103" s="136"/>
      <c r="CM18103" s="111"/>
      <c r="CQ18103" s="111"/>
      <c r="EF18103"/>
      <c r="EG18103"/>
      <c r="EH18103"/>
      <c r="EI18103"/>
      <c r="EJ18103"/>
      <c r="EK18103"/>
    </row>
    <row r="18104" spans="1:141" s="116" customFormat="1">
      <c r="A18104" s="136"/>
      <c r="CM18104" s="111"/>
      <c r="CQ18104" s="111"/>
      <c r="EF18104"/>
      <c r="EG18104"/>
      <c r="EH18104"/>
      <c r="EI18104"/>
      <c r="EJ18104"/>
      <c r="EK18104"/>
    </row>
    <row r="18105" spans="1:141" s="116" customFormat="1">
      <c r="A18105" s="136"/>
      <c r="CM18105" s="111"/>
      <c r="CQ18105" s="111"/>
      <c r="EF18105"/>
      <c r="EG18105"/>
      <c r="EH18105"/>
      <c r="EI18105"/>
      <c r="EJ18105"/>
      <c r="EK18105"/>
    </row>
    <row r="18106" spans="1:141" s="116" customFormat="1">
      <c r="A18106" s="136"/>
      <c r="CM18106" s="111"/>
      <c r="CQ18106" s="111"/>
      <c r="EF18106"/>
      <c r="EG18106"/>
      <c r="EH18106"/>
      <c r="EI18106"/>
      <c r="EJ18106"/>
      <c r="EK18106"/>
    </row>
    <row r="18107" spans="1:141" s="116" customFormat="1">
      <c r="A18107" s="136"/>
      <c r="CM18107" s="111"/>
      <c r="CQ18107" s="111"/>
      <c r="EF18107"/>
      <c r="EG18107"/>
      <c r="EH18107"/>
      <c r="EI18107"/>
      <c r="EJ18107"/>
      <c r="EK18107"/>
    </row>
    <row r="18108" spans="1:141" s="116" customFormat="1">
      <c r="A18108" s="136"/>
      <c r="CM18108" s="111"/>
      <c r="CQ18108" s="111"/>
      <c r="EF18108"/>
      <c r="EG18108"/>
      <c r="EH18108"/>
      <c r="EI18108"/>
      <c r="EJ18108"/>
      <c r="EK18108"/>
    </row>
    <row r="18109" spans="1:141" s="116" customFormat="1">
      <c r="A18109" s="136"/>
      <c r="CM18109" s="111"/>
      <c r="CQ18109" s="111"/>
      <c r="EF18109"/>
      <c r="EG18109"/>
      <c r="EH18109"/>
      <c r="EI18109"/>
      <c r="EJ18109"/>
      <c r="EK18109"/>
    </row>
    <row r="18110" spans="1:141" s="116" customFormat="1">
      <c r="A18110" s="136"/>
      <c r="CM18110" s="111"/>
      <c r="CQ18110" s="111"/>
      <c r="EF18110"/>
      <c r="EG18110"/>
      <c r="EH18110"/>
      <c r="EI18110"/>
      <c r="EJ18110"/>
      <c r="EK18110"/>
    </row>
    <row r="18111" spans="1:141" s="116" customFormat="1">
      <c r="A18111" s="136"/>
      <c r="CM18111" s="111"/>
      <c r="CQ18111" s="111"/>
      <c r="EF18111"/>
      <c r="EG18111"/>
      <c r="EH18111"/>
      <c r="EI18111"/>
      <c r="EJ18111"/>
      <c r="EK18111"/>
    </row>
    <row r="18112" spans="1:141" s="116" customFormat="1">
      <c r="A18112" s="136"/>
      <c r="CM18112" s="111"/>
      <c r="CQ18112" s="111"/>
      <c r="EF18112"/>
      <c r="EG18112"/>
      <c r="EH18112"/>
      <c r="EI18112"/>
      <c r="EJ18112"/>
      <c r="EK18112"/>
    </row>
    <row r="18113" spans="1:141" s="116" customFormat="1">
      <c r="A18113" s="136"/>
      <c r="CM18113" s="111"/>
      <c r="CQ18113" s="111"/>
      <c r="EF18113"/>
      <c r="EG18113"/>
      <c r="EH18113"/>
      <c r="EI18113"/>
      <c r="EJ18113"/>
      <c r="EK18113"/>
    </row>
    <row r="18114" spans="1:141" s="116" customFormat="1">
      <c r="A18114" s="136"/>
      <c r="CM18114" s="111"/>
      <c r="CQ18114" s="111"/>
      <c r="EF18114"/>
      <c r="EG18114"/>
      <c r="EH18114"/>
      <c r="EI18114"/>
      <c r="EJ18114"/>
      <c r="EK18114"/>
    </row>
    <row r="18115" spans="1:141" s="116" customFormat="1">
      <c r="A18115" s="136"/>
      <c r="CM18115" s="111"/>
      <c r="CQ18115" s="111"/>
      <c r="EF18115"/>
      <c r="EG18115"/>
      <c r="EH18115"/>
      <c r="EI18115"/>
      <c r="EJ18115"/>
      <c r="EK18115"/>
    </row>
    <row r="18116" spans="1:141" s="116" customFormat="1">
      <c r="A18116" s="136"/>
      <c r="CM18116" s="111"/>
      <c r="CQ18116" s="111"/>
      <c r="EF18116"/>
      <c r="EG18116"/>
      <c r="EH18116"/>
      <c r="EI18116"/>
      <c r="EJ18116"/>
      <c r="EK18116"/>
    </row>
    <row r="18117" spans="1:141" s="116" customFormat="1">
      <c r="A18117" s="136"/>
      <c r="CM18117" s="111"/>
      <c r="CQ18117" s="111"/>
      <c r="EF18117"/>
      <c r="EG18117"/>
      <c r="EH18117"/>
      <c r="EI18117"/>
      <c r="EJ18117"/>
      <c r="EK18117"/>
    </row>
    <row r="18118" spans="1:141" s="116" customFormat="1">
      <c r="A18118" s="136"/>
      <c r="CM18118" s="111"/>
      <c r="CQ18118" s="111"/>
      <c r="EF18118"/>
      <c r="EG18118"/>
      <c r="EH18118"/>
      <c r="EI18118"/>
      <c r="EJ18118"/>
      <c r="EK18118"/>
    </row>
    <row r="18119" spans="1:141" s="116" customFormat="1">
      <c r="A18119" s="136"/>
      <c r="CM18119" s="111"/>
      <c r="CQ18119" s="111"/>
      <c r="EF18119"/>
      <c r="EG18119"/>
      <c r="EH18119"/>
      <c r="EI18119"/>
      <c r="EJ18119"/>
      <c r="EK18119"/>
    </row>
    <row r="18120" spans="1:141" s="116" customFormat="1">
      <c r="A18120" s="136"/>
      <c r="CM18120" s="111"/>
      <c r="CQ18120" s="111"/>
      <c r="EF18120"/>
      <c r="EG18120"/>
      <c r="EH18120"/>
      <c r="EI18120"/>
      <c r="EJ18120"/>
      <c r="EK18120"/>
    </row>
    <row r="18121" spans="1:141" s="116" customFormat="1">
      <c r="A18121" s="136"/>
      <c r="CM18121" s="111"/>
      <c r="CQ18121" s="111"/>
      <c r="EF18121"/>
      <c r="EG18121"/>
      <c r="EH18121"/>
      <c r="EI18121"/>
      <c r="EJ18121"/>
      <c r="EK18121"/>
    </row>
    <row r="18122" spans="1:141" s="116" customFormat="1">
      <c r="A18122" s="136"/>
      <c r="CM18122" s="111"/>
      <c r="CQ18122" s="111"/>
      <c r="EF18122"/>
      <c r="EG18122"/>
      <c r="EH18122"/>
      <c r="EI18122"/>
      <c r="EJ18122"/>
      <c r="EK18122"/>
    </row>
    <row r="18123" spans="1:141" s="116" customFormat="1">
      <c r="A18123" s="136"/>
      <c r="CM18123" s="111"/>
      <c r="CQ18123" s="111"/>
      <c r="EF18123"/>
      <c r="EG18123"/>
      <c r="EH18123"/>
      <c r="EI18123"/>
      <c r="EJ18123"/>
      <c r="EK18123"/>
    </row>
    <row r="18124" spans="1:141" s="116" customFormat="1">
      <c r="A18124" s="136"/>
      <c r="CM18124" s="111"/>
      <c r="CQ18124" s="111"/>
      <c r="EF18124"/>
      <c r="EG18124"/>
      <c r="EH18124"/>
      <c r="EI18124"/>
      <c r="EJ18124"/>
      <c r="EK18124"/>
    </row>
    <row r="18125" spans="1:141" s="116" customFormat="1">
      <c r="A18125" s="136"/>
      <c r="CM18125" s="111"/>
      <c r="CQ18125" s="111"/>
      <c r="EF18125"/>
      <c r="EG18125"/>
      <c r="EH18125"/>
      <c r="EI18125"/>
      <c r="EJ18125"/>
      <c r="EK18125"/>
    </row>
    <row r="18126" spans="1:141" s="116" customFormat="1">
      <c r="A18126" s="136"/>
      <c r="CM18126" s="111"/>
      <c r="CQ18126" s="111"/>
      <c r="EF18126"/>
      <c r="EG18126"/>
      <c r="EH18126"/>
      <c r="EI18126"/>
      <c r="EJ18126"/>
      <c r="EK18126"/>
    </row>
    <row r="18127" spans="1:141" s="116" customFormat="1">
      <c r="A18127" s="136"/>
      <c r="CM18127" s="111"/>
      <c r="CQ18127" s="111"/>
      <c r="EF18127"/>
      <c r="EG18127"/>
      <c r="EH18127"/>
      <c r="EI18127"/>
      <c r="EJ18127"/>
      <c r="EK18127"/>
    </row>
    <row r="18128" spans="1:141" s="116" customFormat="1">
      <c r="A18128" s="136"/>
      <c r="CM18128" s="111"/>
      <c r="CQ18128" s="111"/>
      <c r="EF18128"/>
      <c r="EG18128"/>
      <c r="EH18128"/>
      <c r="EI18128"/>
      <c r="EJ18128"/>
      <c r="EK18128"/>
    </row>
    <row r="18129" spans="1:141" s="116" customFormat="1">
      <c r="A18129" s="136"/>
      <c r="CM18129" s="111"/>
      <c r="CQ18129" s="111"/>
      <c r="EF18129"/>
      <c r="EG18129"/>
      <c r="EH18129"/>
      <c r="EI18129"/>
      <c r="EJ18129"/>
      <c r="EK18129"/>
    </row>
    <row r="18130" spans="1:141" s="116" customFormat="1">
      <c r="A18130" s="136"/>
      <c r="CM18130" s="111"/>
      <c r="CQ18130" s="111"/>
      <c r="EF18130"/>
      <c r="EG18130"/>
      <c r="EH18130"/>
      <c r="EI18130"/>
      <c r="EJ18130"/>
      <c r="EK18130"/>
    </row>
    <row r="18131" spans="1:141" s="116" customFormat="1">
      <c r="A18131" s="136"/>
      <c r="CM18131" s="111"/>
      <c r="CQ18131" s="111"/>
      <c r="EF18131"/>
      <c r="EG18131"/>
      <c r="EH18131"/>
      <c r="EI18131"/>
      <c r="EJ18131"/>
      <c r="EK18131"/>
    </row>
    <row r="18132" spans="1:141" s="116" customFormat="1">
      <c r="A18132" s="136"/>
      <c r="CM18132" s="111"/>
      <c r="CQ18132" s="111"/>
      <c r="EF18132"/>
      <c r="EG18132"/>
      <c r="EH18132"/>
      <c r="EI18132"/>
      <c r="EJ18132"/>
      <c r="EK18132"/>
    </row>
    <row r="18133" spans="1:141" s="116" customFormat="1">
      <c r="A18133" s="136"/>
      <c r="CM18133" s="111"/>
      <c r="CQ18133" s="111"/>
      <c r="EF18133"/>
      <c r="EG18133"/>
      <c r="EH18133"/>
      <c r="EI18133"/>
      <c r="EJ18133"/>
      <c r="EK18133"/>
    </row>
    <row r="18134" spans="1:141" s="116" customFormat="1">
      <c r="A18134" s="136"/>
      <c r="CM18134" s="111"/>
      <c r="CQ18134" s="111"/>
      <c r="EF18134"/>
      <c r="EG18134"/>
      <c r="EH18134"/>
      <c r="EI18134"/>
      <c r="EJ18134"/>
      <c r="EK18134"/>
    </row>
    <row r="18135" spans="1:141" s="116" customFormat="1">
      <c r="A18135" s="136"/>
      <c r="CM18135" s="111"/>
      <c r="CQ18135" s="111"/>
      <c r="EF18135"/>
      <c r="EG18135"/>
      <c r="EH18135"/>
      <c r="EI18135"/>
      <c r="EJ18135"/>
      <c r="EK18135"/>
    </row>
    <row r="18136" spans="1:141" s="116" customFormat="1">
      <c r="A18136" s="136"/>
      <c r="CM18136" s="111"/>
      <c r="CQ18136" s="111"/>
      <c r="EF18136"/>
      <c r="EG18136"/>
      <c r="EH18136"/>
      <c r="EI18136"/>
      <c r="EJ18136"/>
      <c r="EK18136"/>
    </row>
    <row r="18137" spans="1:141" s="116" customFormat="1">
      <c r="A18137" s="136"/>
      <c r="CM18137" s="111"/>
      <c r="CQ18137" s="111"/>
      <c r="EF18137"/>
      <c r="EG18137"/>
      <c r="EH18137"/>
      <c r="EI18137"/>
      <c r="EJ18137"/>
      <c r="EK18137"/>
    </row>
    <row r="18138" spans="1:141" s="116" customFormat="1">
      <c r="A18138" s="136"/>
      <c r="CM18138" s="111"/>
      <c r="CQ18138" s="111"/>
      <c r="EF18138"/>
      <c r="EG18138"/>
      <c r="EH18138"/>
      <c r="EI18138"/>
      <c r="EJ18138"/>
      <c r="EK18138"/>
    </row>
    <row r="18139" spans="1:141" s="116" customFormat="1">
      <c r="A18139" s="136"/>
      <c r="CM18139" s="111"/>
      <c r="CQ18139" s="111"/>
      <c r="EF18139"/>
      <c r="EG18139"/>
      <c r="EH18139"/>
      <c r="EI18139"/>
      <c r="EJ18139"/>
      <c r="EK18139"/>
    </row>
    <row r="18140" spans="1:141" s="116" customFormat="1">
      <c r="A18140" s="136"/>
      <c r="CM18140" s="111"/>
      <c r="CQ18140" s="111"/>
      <c r="EF18140"/>
      <c r="EG18140"/>
      <c r="EH18140"/>
      <c r="EI18140"/>
      <c r="EJ18140"/>
      <c r="EK18140"/>
    </row>
    <row r="18141" spans="1:141" s="116" customFormat="1">
      <c r="A18141" s="136"/>
      <c r="CM18141" s="111"/>
      <c r="CQ18141" s="111"/>
      <c r="EF18141"/>
      <c r="EG18141"/>
      <c r="EH18141"/>
      <c r="EI18141"/>
      <c r="EJ18141"/>
      <c r="EK18141"/>
    </row>
    <row r="18142" spans="1:141" s="116" customFormat="1">
      <c r="A18142" s="136"/>
      <c r="CM18142" s="111"/>
      <c r="CQ18142" s="111"/>
      <c r="EF18142"/>
      <c r="EG18142"/>
      <c r="EH18142"/>
      <c r="EI18142"/>
      <c r="EJ18142"/>
      <c r="EK18142"/>
    </row>
    <row r="18143" spans="1:141" s="116" customFormat="1">
      <c r="A18143" s="136"/>
      <c r="CM18143" s="111"/>
      <c r="CQ18143" s="111"/>
      <c r="EF18143"/>
      <c r="EG18143"/>
      <c r="EH18143"/>
      <c r="EI18143"/>
      <c r="EJ18143"/>
      <c r="EK18143"/>
    </row>
    <row r="18144" spans="1:141" s="116" customFormat="1">
      <c r="A18144" s="136"/>
      <c r="CM18144" s="111"/>
      <c r="CQ18144" s="111"/>
      <c r="EF18144"/>
      <c r="EG18144"/>
      <c r="EH18144"/>
      <c r="EI18144"/>
      <c r="EJ18144"/>
      <c r="EK18144"/>
    </row>
    <row r="18145" spans="1:141" s="116" customFormat="1">
      <c r="A18145" s="136"/>
      <c r="CM18145" s="111"/>
      <c r="CQ18145" s="111"/>
      <c r="EF18145"/>
      <c r="EG18145"/>
      <c r="EH18145"/>
      <c r="EI18145"/>
      <c r="EJ18145"/>
      <c r="EK18145"/>
    </row>
    <row r="18146" spans="1:141" s="116" customFormat="1">
      <c r="A18146" s="136"/>
      <c r="CM18146" s="111"/>
      <c r="CQ18146" s="111"/>
      <c r="EF18146"/>
      <c r="EG18146"/>
      <c r="EH18146"/>
      <c r="EI18146"/>
      <c r="EJ18146"/>
      <c r="EK18146"/>
    </row>
    <row r="18147" spans="1:141" s="116" customFormat="1">
      <c r="A18147" s="136"/>
      <c r="CM18147" s="111"/>
      <c r="CQ18147" s="111"/>
      <c r="EF18147"/>
      <c r="EG18147"/>
      <c r="EH18147"/>
      <c r="EI18147"/>
      <c r="EJ18147"/>
      <c r="EK18147"/>
    </row>
    <row r="18148" spans="1:141" s="116" customFormat="1">
      <c r="A18148" s="136"/>
      <c r="CM18148" s="111"/>
      <c r="CQ18148" s="111"/>
      <c r="EF18148"/>
      <c r="EG18148"/>
      <c r="EH18148"/>
      <c r="EI18148"/>
      <c r="EJ18148"/>
      <c r="EK18148"/>
    </row>
    <row r="18149" spans="1:141" s="116" customFormat="1">
      <c r="A18149" s="136"/>
      <c r="CM18149" s="111"/>
      <c r="CQ18149" s="111"/>
      <c r="EF18149"/>
      <c r="EG18149"/>
      <c r="EH18149"/>
      <c r="EI18149"/>
      <c r="EJ18149"/>
      <c r="EK18149"/>
    </row>
    <row r="18150" spans="1:141" s="116" customFormat="1">
      <c r="A18150" s="136"/>
      <c r="CM18150" s="111"/>
      <c r="CQ18150" s="111"/>
      <c r="EF18150"/>
      <c r="EG18150"/>
      <c r="EH18150"/>
      <c r="EI18150"/>
      <c r="EJ18150"/>
      <c r="EK18150"/>
    </row>
    <row r="18151" spans="1:141" s="116" customFormat="1">
      <c r="A18151" s="136"/>
      <c r="CM18151" s="111"/>
      <c r="CQ18151" s="111"/>
      <c r="EF18151"/>
      <c r="EG18151"/>
      <c r="EH18151"/>
      <c r="EI18151"/>
      <c r="EJ18151"/>
      <c r="EK18151"/>
    </row>
    <row r="18152" spans="1:141" s="116" customFormat="1">
      <c r="A18152" s="136"/>
      <c r="CM18152" s="111"/>
      <c r="CQ18152" s="111"/>
      <c r="EF18152"/>
      <c r="EG18152"/>
      <c r="EH18152"/>
      <c r="EI18152"/>
      <c r="EJ18152"/>
      <c r="EK18152"/>
    </row>
    <row r="18153" spans="1:141" s="116" customFormat="1">
      <c r="A18153" s="136"/>
      <c r="CM18153" s="111"/>
      <c r="CQ18153" s="111"/>
      <c r="EF18153"/>
      <c r="EG18153"/>
      <c r="EH18153"/>
      <c r="EI18153"/>
      <c r="EJ18153"/>
      <c r="EK18153"/>
    </row>
    <row r="18154" spans="1:141" s="116" customFormat="1">
      <c r="A18154" s="136"/>
      <c r="CM18154" s="111"/>
      <c r="CQ18154" s="111"/>
      <c r="EF18154"/>
      <c r="EG18154"/>
      <c r="EH18154"/>
      <c r="EI18154"/>
      <c r="EJ18154"/>
      <c r="EK18154"/>
    </row>
    <row r="18155" spans="1:141" s="116" customFormat="1">
      <c r="A18155" s="136"/>
      <c r="CM18155" s="111"/>
      <c r="CQ18155" s="111"/>
      <c r="EF18155"/>
      <c r="EG18155"/>
      <c r="EH18155"/>
      <c r="EI18155"/>
      <c r="EJ18155"/>
      <c r="EK18155"/>
    </row>
    <row r="18156" spans="1:141" s="116" customFormat="1">
      <c r="A18156" s="136"/>
      <c r="CM18156" s="111"/>
      <c r="CQ18156" s="111"/>
      <c r="EF18156"/>
      <c r="EG18156"/>
      <c r="EH18156"/>
      <c r="EI18156"/>
      <c r="EJ18156"/>
      <c r="EK18156"/>
    </row>
    <row r="18157" spans="1:141" s="116" customFormat="1">
      <c r="A18157" s="136"/>
      <c r="CM18157" s="111"/>
      <c r="CQ18157" s="111"/>
      <c r="EF18157"/>
      <c r="EG18157"/>
      <c r="EH18157"/>
      <c r="EI18157"/>
      <c r="EJ18157"/>
      <c r="EK18157"/>
    </row>
    <row r="18158" spans="1:141" s="116" customFormat="1">
      <c r="A18158" s="136"/>
      <c r="CM18158" s="111"/>
      <c r="CQ18158" s="111"/>
      <c r="EF18158"/>
      <c r="EG18158"/>
      <c r="EH18158"/>
      <c r="EI18158"/>
      <c r="EJ18158"/>
      <c r="EK18158"/>
    </row>
    <row r="18159" spans="1:141" s="116" customFormat="1">
      <c r="A18159" s="136"/>
      <c r="CM18159" s="111"/>
      <c r="CQ18159" s="111"/>
      <c r="EF18159"/>
      <c r="EG18159"/>
      <c r="EH18159"/>
      <c r="EI18159"/>
      <c r="EJ18159"/>
      <c r="EK18159"/>
    </row>
    <row r="18160" spans="1:141" s="116" customFormat="1">
      <c r="A18160" s="136"/>
      <c r="CM18160" s="111"/>
      <c r="CQ18160" s="111"/>
      <c r="EF18160"/>
      <c r="EG18160"/>
      <c r="EH18160"/>
      <c r="EI18160"/>
      <c r="EJ18160"/>
      <c r="EK18160"/>
    </row>
    <row r="18161" spans="1:141" s="116" customFormat="1">
      <c r="A18161" s="136"/>
      <c r="CM18161" s="111"/>
      <c r="CQ18161" s="111"/>
      <c r="EF18161"/>
      <c r="EG18161"/>
      <c r="EH18161"/>
      <c r="EI18161"/>
      <c r="EJ18161"/>
      <c r="EK18161"/>
    </row>
    <row r="18162" spans="1:141" s="116" customFormat="1">
      <c r="A18162" s="136"/>
      <c r="CM18162" s="111"/>
      <c r="CQ18162" s="111"/>
      <c r="EF18162"/>
      <c r="EG18162"/>
      <c r="EH18162"/>
      <c r="EI18162"/>
      <c r="EJ18162"/>
      <c r="EK18162"/>
    </row>
    <row r="18163" spans="1:141" s="116" customFormat="1">
      <c r="A18163" s="136"/>
      <c r="CM18163" s="111"/>
      <c r="CQ18163" s="111"/>
      <c r="EF18163"/>
      <c r="EG18163"/>
      <c r="EH18163"/>
      <c r="EI18163"/>
      <c r="EJ18163"/>
      <c r="EK18163"/>
    </row>
    <row r="18164" spans="1:141" s="116" customFormat="1">
      <c r="A18164" s="136"/>
      <c r="CM18164" s="111"/>
      <c r="CQ18164" s="111"/>
      <c r="EF18164"/>
      <c r="EG18164"/>
      <c r="EH18164"/>
      <c r="EI18164"/>
      <c r="EJ18164"/>
      <c r="EK18164"/>
    </row>
    <row r="18165" spans="1:141" s="116" customFormat="1">
      <c r="A18165" s="136"/>
      <c r="CM18165" s="111"/>
      <c r="CQ18165" s="111"/>
      <c r="EF18165"/>
      <c r="EG18165"/>
      <c r="EH18165"/>
      <c r="EI18165"/>
      <c r="EJ18165"/>
      <c r="EK18165"/>
    </row>
    <row r="18166" spans="1:141" s="116" customFormat="1">
      <c r="A18166" s="136"/>
      <c r="CM18166" s="111"/>
      <c r="CQ18166" s="111"/>
      <c r="EF18166"/>
      <c r="EG18166"/>
      <c r="EH18166"/>
      <c r="EI18166"/>
      <c r="EJ18166"/>
      <c r="EK18166"/>
    </row>
    <row r="18167" spans="1:141" s="116" customFormat="1">
      <c r="A18167" s="136"/>
      <c r="CM18167" s="111"/>
      <c r="CQ18167" s="111"/>
      <c r="EF18167"/>
      <c r="EG18167"/>
      <c r="EH18167"/>
      <c r="EI18167"/>
      <c r="EJ18167"/>
      <c r="EK18167"/>
    </row>
    <row r="18168" spans="1:141" s="116" customFormat="1">
      <c r="A18168" s="136"/>
      <c r="CM18168" s="111"/>
      <c r="CQ18168" s="111"/>
      <c r="EF18168"/>
      <c r="EG18168"/>
      <c r="EH18168"/>
      <c r="EI18168"/>
      <c r="EJ18168"/>
      <c r="EK18168"/>
    </row>
    <row r="18169" spans="1:141" s="116" customFormat="1">
      <c r="A18169" s="136"/>
      <c r="CM18169" s="111"/>
      <c r="CQ18169" s="111"/>
      <c r="EF18169"/>
      <c r="EG18169"/>
      <c r="EH18169"/>
      <c r="EI18169"/>
      <c r="EJ18169"/>
      <c r="EK18169"/>
    </row>
    <row r="18170" spans="1:141" s="116" customFormat="1">
      <c r="A18170" s="136"/>
      <c r="CM18170" s="111"/>
      <c r="CQ18170" s="111"/>
      <c r="EF18170"/>
      <c r="EG18170"/>
      <c r="EH18170"/>
      <c r="EI18170"/>
      <c r="EJ18170"/>
      <c r="EK18170"/>
    </row>
    <row r="18171" spans="1:141" s="116" customFormat="1">
      <c r="A18171" s="136"/>
      <c r="CM18171" s="111"/>
      <c r="CQ18171" s="111"/>
      <c r="EF18171"/>
      <c r="EG18171"/>
      <c r="EH18171"/>
      <c r="EI18171"/>
      <c r="EJ18171"/>
      <c r="EK18171"/>
    </row>
    <row r="18172" spans="1:141" s="116" customFormat="1">
      <c r="A18172" s="136"/>
      <c r="CM18172" s="111"/>
      <c r="CQ18172" s="111"/>
      <c r="EF18172"/>
      <c r="EG18172"/>
      <c r="EH18172"/>
      <c r="EI18172"/>
      <c r="EJ18172"/>
      <c r="EK18172"/>
    </row>
    <row r="18173" spans="1:141" s="116" customFormat="1">
      <c r="A18173" s="136"/>
      <c r="CM18173" s="111"/>
      <c r="CQ18173" s="111"/>
      <c r="EF18173"/>
      <c r="EG18173"/>
      <c r="EH18173"/>
      <c r="EI18173"/>
      <c r="EJ18173"/>
      <c r="EK18173"/>
    </row>
    <row r="18174" spans="1:141" s="116" customFormat="1">
      <c r="A18174" s="136"/>
      <c r="CM18174" s="111"/>
      <c r="CQ18174" s="111"/>
      <c r="EF18174"/>
      <c r="EG18174"/>
      <c r="EH18174"/>
      <c r="EI18174"/>
      <c r="EJ18174"/>
      <c r="EK18174"/>
    </row>
    <row r="18175" spans="1:141" s="116" customFormat="1">
      <c r="A18175" s="136"/>
      <c r="CM18175" s="111"/>
      <c r="CQ18175" s="111"/>
      <c r="EF18175"/>
      <c r="EG18175"/>
      <c r="EH18175"/>
      <c r="EI18175"/>
      <c r="EJ18175"/>
      <c r="EK18175"/>
    </row>
    <row r="18176" spans="1:141" s="116" customFormat="1">
      <c r="A18176" s="136"/>
      <c r="CM18176" s="111"/>
      <c r="CQ18176" s="111"/>
      <c r="EF18176"/>
      <c r="EG18176"/>
      <c r="EH18176"/>
      <c r="EI18176"/>
      <c r="EJ18176"/>
      <c r="EK18176"/>
    </row>
    <row r="18177" spans="1:141" s="116" customFormat="1">
      <c r="A18177" s="136"/>
      <c r="CM18177" s="111"/>
      <c r="CQ18177" s="111"/>
      <c r="EF18177"/>
      <c r="EG18177"/>
      <c r="EH18177"/>
      <c r="EI18177"/>
      <c r="EJ18177"/>
      <c r="EK18177"/>
    </row>
    <row r="18178" spans="1:141" s="116" customFormat="1">
      <c r="A18178" s="136"/>
      <c r="CM18178" s="111"/>
      <c r="CQ18178" s="111"/>
      <c r="EF18178"/>
      <c r="EG18178"/>
      <c r="EH18178"/>
      <c r="EI18178"/>
      <c r="EJ18178"/>
      <c r="EK18178"/>
    </row>
    <row r="18179" spans="1:141" s="116" customFormat="1">
      <c r="A18179" s="136"/>
      <c r="CM18179" s="111"/>
      <c r="CQ18179" s="111"/>
      <c r="EF18179"/>
      <c r="EG18179"/>
      <c r="EH18179"/>
      <c r="EI18179"/>
      <c r="EJ18179"/>
      <c r="EK18179"/>
    </row>
    <row r="18180" spans="1:141" s="116" customFormat="1">
      <c r="A18180" s="136"/>
      <c r="CM18180" s="111"/>
      <c r="CQ18180" s="111"/>
      <c r="EF18180"/>
      <c r="EG18180"/>
      <c r="EH18180"/>
      <c r="EI18180"/>
      <c r="EJ18180"/>
      <c r="EK18180"/>
    </row>
    <row r="18181" spans="1:141" s="116" customFormat="1">
      <c r="A18181" s="136"/>
      <c r="CM18181" s="111"/>
      <c r="CQ18181" s="111"/>
      <c r="EF18181"/>
      <c r="EG18181"/>
      <c r="EH18181"/>
      <c r="EI18181"/>
      <c r="EJ18181"/>
      <c r="EK18181"/>
    </row>
    <row r="18182" spans="1:141" s="116" customFormat="1">
      <c r="A18182" s="136"/>
      <c r="CM18182" s="111"/>
      <c r="CQ18182" s="111"/>
      <c r="EF18182"/>
      <c r="EG18182"/>
      <c r="EH18182"/>
      <c r="EI18182"/>
      <c r="EJ18182"/>
      <c r="EK18182"/>
    </row>
    <row r="18183" spans="1:141" s="116" customFormat="1">
      <c r="A18183" s="136"/>
      <c r="CM18183" s="111"/>
      <c r="CQ18183" s="111"/>
      <c r="EF18183"/>
      <c r="EG18183"/>
      <c r="EH18183"/>
      <c r="EI18183"/>
      <c r="EJ18183"/>
      <c r="EK18183"/>
    </row>
    <row r="18184" spans="1:141" s="116" customFormat="1">
      <c r="A18184" s="136"/>
      <c r="CM18184" s="111"/>
      <c r="CQ18184" s="111"/>
      <c r="EF18184"/>
      <c r="EG18184"/>
      <c r="EH18184"/>
      <c r="EI18184"/>
      <c r="EJ18184"/>
      <c r="EK18184"/>
    </row>
    <row r="18185" spans="1:141" s="116" customFormat="1">
      <c r="A18185" s="136"/>
      <c r="CM18185" s="111"/>
      <c r="CQ18185" s="111"/>
      <c r="EF18185"/>
      <c r="EG18185"/>
      <c r="EH18185"/>
      <c r="EI18185"/>
      <c r="EJ18185"/>
      <c r="EK18185"/>
    </row>
    <row r="18186" spans="1:141" s="116" customFormat="1">
      <c r="A18186" s="136"/>
      <c r="CM18186" s="111"/>
      <c r="CQ18186" s="111"/>
      <c r="EF18186"/>
      <c r="EG18186"/>
      <c r="EH18186"/>
      <c r="EI18186"/>
      <c r="EJ18186"/>
      <c r="EK18186"/>
    </row>
    <row r="18187" spans="1:141" s="116" customFormat="1">
      <c r="A18187" s="136"/>
      <c r="CM18187" s="111"/>
      <c r="CQ18187" s="111"/>
      <c r="EF18187"/>
      <c r="EG18187"/>
      <c r="EH18187"/>
      <c r="EI18187"/>
      <c r="EJ18187"/>
      <c r="EK18187"/>
    </row>
    <row r="18188" spans="1:141" s="116" customFormat="1">
      <c r="A18188" s="136"/>
      <c r="CM18188" s="111"/>
      <c r="CQ18188" s="111"/>
      <c r="EF18188"/>
      <c r="EG18188"/>
      <c r="EH18188"/>
      <c r="EI18188"/>
      <c r="EJ18188"/>
      <c r="EK18188"/>
    </row>
    <row r="18189" spans="1:141" s="116" customFormat="1">
      <c r="A18189" s="136"/>
      <c r="CM18189" s="111"/>
      <c r="CQ18189" s="111"/>
      <c r="EF18189"/>
      <c r="EG18189"/>
      <c r="EH18189"/>
      <c r="EI18189"/>
      <c r="EJ18189"/>
      <c r="EK18189"/>
    </row>
    <row r="18190" spans="1:141" s="116" customFormat="1">
      <c r="A18190" s="136"/>
      <c r="CM18190" s="111"/>
      <c r="CQ18190" s="111"/>
      <c r="EF18190"/>
      <c r="EG18190"/>
      <c r="EH18190"/>
      <c r="EI18190"/>
      <c r="EJ18190"/>
      <c r="EK18190"/>
    </row>
    <row r="18191" spans="1:141" s="116" customFormat="1">
      <c r="A18191" s="136"/>
      <c r="CM18191" s="111"/>
      <c r="CQ18191" s="111"/>
      <c r="EF18191"/>
      <c r="EG18191"/>
      <c r="EH18191"/>
      <c r="EI18191"/>
      <c r="EJ18191"/>
      <c r="EK18191"/>
    </row>
    <row r="18192" spans="1:141" s="116" customFormat="1">
      <c r="A18192" s="136"/>
      <c r="CM18192" s="111"/>
      <c r="CQ18192" s="111"/>
      <c r="EF18192"/>
      <c r="EG18192"/>
      <c r="EH18192"/>
      <c r="EI18192"/>
      <c r="EJ18192"/>
      <c r="EK18192"/>
    </row>
    <row r="18193" spans="1:141" s="116" customFormat="1">
      <c r="A18193" s="136"/>
      <c r="CM18193" s="111"/>
      <c r="CQ18193" s="111"/>
      <c r="EF18193"/>
      <c r="EG18193"/>
      <c r="EH18193"/>
      <c r="EI18193"/>
      <c r="EJ18193"/>
      <c r="EK18193"/>
    </row>
    <row r="18194" spans="1:141" s="116" customFormat="1">
      <c r="A18194" s="136"/>
      <c r="CM18194" s="111"/>
      <c r="CQ18194" s="111"/>
      <c r="EF18194"/>
      <c r="EG18194"/>
      <c r="EH18194"/>
      <c r="EI18194"/>
      <c r="EJ18194"/>
      <c r="EK18194"/>
    </row>
    <row r="18195" spans="1:141" s="116" customFormat="1">
      <c r="A18195" s="136"/>
      <c r="CM18195" s="111"/>
      <c r="CQ18195" s="111"/>
      <c r="EF18195"/>
      <c r="EG18195"/>
      <c r="EH18195"/>
      <c r="EI18195"/>
      <c r="EJ18195"/>
      <c r="EK18195"/>
    </row>
    <row r="18196" spans="1:141" s="116" customFormat="1">
      <c r="A18196" s="136"/>
      <c r="CM18196" s="111"/>
      <c r="CQ18196" s="111"/>
      <c r="EF18196"/>
      <c r="EG18196"/>
      <c r="EH18196"/>
      <c r="EI18196"/>
      <c r="EJ18196"/>
      <c r="EK18196"/>
    </row>
    <row r="18197" spans="1:141" s="116" customFormat="1">
      <c r="A18197" s="136"/>
      <c r="CM18197" s="111"/>
      <c r="CQ18197" s="111"/>
      <c r="EF18197"/>
      <c r="EG18197"/>
      <c r="EH18197"/>
      <c r="EI18197"/>
      <c r="EJ18197"/>
      <c r="EK18197"/>
    </row>
    <row r="18198" spans="1:141" s="116" customFormat="1">
      <c r="A18198" s="136"/>
      <c r="CM18198" s="111"/>
      <c r="CQ18198" s="111"/>
      <c r="EF18198"/>
      <c r="EG18198"/>
      <c r="EH18198"/>
      <c r="EI18198"/>
      <c r="EJ18198"/>
      <c r="EK18198"/>
    </row>
    <row r="18199" spans="1:141" s="116" customFormat="1">
      <c r="A18199" s="136"/>
      <c r="CM18199" s="111"/>
      <c r="CQ18199" s="111"/>
      <c r="EF18199"/>
      <c r="EG18199"/>
      <c r="EH18199"/>
      <c r="EI18199"/>
      <c r="EJ18199"/>
      <c r="EK18199"/>
    </row>
    <row r="18200" spans="1:141" s="116" customFormat="1">
      <c r="A18200" s="136"/>
      <c r="CM18200" s="111"/>
      <c r="CQ18200" s="111"/>
      <c r="EF18200"/>
      <c r="EG18200"/>
      <c r="EH18200"/>
      <c r="EI18200"/>
      <c r="EJ18200"/>
      <c r="EK18200"/>
    </row>
    <row r="18201" spans="1:141" s="116" customFormat="1">
      <c r="A18201" s="136"/>
      <c r="CM18201" s="111"/>
      <c r="CQ18201" s="111"/>
      <c r="EF18201"/>
      <c r="EG18201"/>
      <c r="EH18201"/>
      <c r="EI18201"/>
      <c r="EJ18201"/>
      <c r="EK18201"/>
    </row>
    <row r="18202" spans="1:141" s="116" customFormat="1">
      <c r="A18202" s="136"/>
      <c r="CM18202" s="111"/>
      <c r="CQ18202" s="111"/>
      <c r="EF18202"/>
      <c r="EG18202"/>
      <c r="EH18202"/>
      <c r="EI18202"/>
      <c r="EJ18202"/>
      <c r="EK18202"/>
    </row>
    <row r="18203" spans="1:141" s="116" customFormat="1">
      <c r="A18203" s="136"/>
      <c r="CM18203" s="111"/>
      <c r="CQ18203" s="111"/>
      <c r="EF18203"/>
      <c r="EG18203"/>
      <c r="EH18203"/>
      <c r="EI18203"/>
      <c r="EJ18203"/>
      <c r="EK18203"/>
    </row>
    <row r="18204" spans="1:141" s="116" customFormat="1">
      <c r="A18204" s="136"/>
      <c r="CM18204" s="111"/>
      <c r="CQ18204" s="111"/>
      <c r="EF18204"/>
      <c r="EG18204"/>
      <c r="EH18204"/>
      <c r="EI18204"/>
      <c r="EJ18204"/>
      <c r="EK18204"/>
    </row>
    <row r="18205" spans="1:141" s="116" customFormat="1">
      <c r="A18205" s="136"/>
      <c r="CM18205" s="111"/>
      <c r="CQ18205" s="111"/>
      <c r="EF18205"/>
      <c r="EG18205"/>
      <c r="EH18205"/>
      <c r="EI18205"/>
      <c r="EJ18205"/>
      <c r="EK18205"/>
    </row>
    <row r="18206" spans="1:141" s="116" customFormat="1">
      <c r="A18206" s="136"/>
      <c r="CM18206" s="111"/>
      <c r="CQ18206" s="111"/>
      <c r="EF18206"/>
      <c r="EG18206"/>
      <c r="EH18206"/>
      <c r="EI18206"/>
      <c r="EJ18206"/>
      <c r="EK18206"/>
    </row>
    <row r="18207" spans="1:141" s="116" customFormat="1">
      <c r="A18207" s="136"/>
      <c r="CM18207" s="111"/>
      <c r="CQ18207" s="111"/>
      <c r="EF18207"/>
      <c r="EG18207"/>
      <c r="EH18207"/>
      <c r="EI18207"/>
      <c r="EJ18207"/>
      <c r="EK18207"/>
    </row>
    <row r="18208" spans="1:141" s="116" customFormat="1">
      <c r="A18208" s="136"/>
      <c r="CM18208" s="111"/>
      <c r="CQ18208" s="111"/>
      <c r="EF18208"/>
      <c r="EG18208"/>
      <c r="EH18208"/>
      <c r="EI18208"/>
      <c r="EJ18208"/>
      <c r="EK18208"/>
    </row>
    <row r="18209" spans="1:141" s="116" customFormat="1">
      <c r="A18209" s="136"/>
      <c r="CM18209" s="111"/>
      <c r="CQ18209" s="111"/>
      <c r="EF18209"/>
      <c r="EG18209"/>
      <c r="EH18209"/>
      <c r="EI18209"/>
      <c r="EJ18209"/>
      <c r="EK18209"/>
    </row>
    <row r="18210" spans="1:141" s="116" customFormat="1">
      <c r="A18210" s="136"/>
      <c r="CM18210" s="111"/>
      <c r="CQ18210" s="111"/>
      <c r="EF18210"/>
      <c r="EG18210"/>
      <c r="EH18210"/>
      <c r="EI18210"/>
      <c r="EJ18210"/>
      <c r="EK18210"/>
    </row>
    <row r="18211" spans="1:141" s="116" customFormat="1">
      <c r="A18211" s="136"/>
      <c r="CM18211" s="111"/>
      <c r="CQ18211" s="111"/>
      <c r="EF18211"/>
      <c r="EG18211"/>
      <c r="EH18211"/>
      <c r="EI18211"/>
      <c r="EJ18211"/>
      <c r="EK18211"/>
    </row>
    <row r="18212" spans="1:141" s="116" customFormat="1">
      <c r="A18212" s="136"/>
      <c r="CM18212" s="111"/>
      <c r="CQ18212" s="111"/>
      <c r="EF18212"/>
      <c r="EG18212"/>
      <c r="EH18212"/>
      <c r="EI18212"/>
      <c r="EJ18212"/>
      <c r="EK18212"/>
    </row>
    <row r="18213" spans="1:141" s="116" customFormat="1">
      <c r="A18213" s="136"/>
      <c r="CM18213" s="111"/>
      <c r="CQ18213" s="111"/>
      <c r="EF18213"/>
      <c r="EG18213"/>
      <c r="EH18213"/>
      <c r="EI18213"/>
      <c r="EJ18213"/>
      <c r="EK18213"/>
    </row>
    <row r="18214" spans="1:141" s="116" customFormat="1">
      <c r="A18214" s="136"/>
      <c r="CM18214" s="111"/>
      <c r="CQ18214" s="111"/>
      <c r="EF18214"/>
      <c r="EG18214"/>
      <c r="EH18214"/>
      <c r="EI18214"/>
      <c r="EJ18214"/>
      <c r="EK18214"/>
    </row>
    <row r="18215" spans="1:141" s="116" customFormat="1">
      <c r="A18215" s="136"/>
      <c r="CM18215" s="111"/>
      <c r="CQ18215" s="111"/>
      <c r="EF18215"/>
      <c r="EG18215"/>
      <c r="EH18215"/>
      <c r="EI18215"/>
      <c r="EJ18215"/>
      <c r="EK18215"/>
    </row>
    <row r="18216" spans="1:141" s="116" customFormat="1">
      <c r="A18216" s="136"/>
      <c r="CM18216" s="111"/>
      <c r="CQ18216" s="111"/>
      <c r="EF18216"/>
      <c r="EG18216"/>
      <c r="EH18216"/>
      <c r="EI18216"/>
      <c r="EJ18216"/>
      <c r="EK18216"/>
    </row>
    <row r="18217" spans="1:141" s="116" customFormat="1">
      <c r="A18217" s="136"/>
      <c r="CM18217" s="111"/>
      <c r="CQ18217" s="111"/>
      <c r="EF18217"/>
      <c r="EG18217"/>
      <c r="EH18217"/>
      <c r="EI18217"/>
      <c r="EJ18217"/>
      <c r="EK18217"/>
    </row>
    <row r="18218" spans="1:141" s="116" customFormat="1">
      <c r="A18218" s="136"/>
      <c r="CM18218" s="111"/>
      <c r="CQ18218" s="111"/>
      <c r="EF18218"/>
      <c r="EG18218"/>
      <c r="EH18218"/>
      <c r="EI18218"/>
      <c r="EJ18218"/>
      <c r="EK18218"/>
    </row>
    <row r="18219" spans="1:141" s="116" customFormat="1">
      <c r="A18219" s="136"/>
      <c r="CM18219" s="111"/>
      <c r="CQ18219" s="111"/>
      <c r="EF18219"/>
      <c r="EG18219"/>
      <c r="EH18219"/>
      <c r="EI18219"/>
      <c r="EJ18219"/>
      <c r="EK18219"/>
    </row>
    <row r="18220" spans="1:141" s="116" customFormat="1">
      <c r="A18220" s="136"/>
      <c r="CM18220" s="111"/>
      <c r="CQ18220" s="111"/>
      <c r="EF18220"/>
      <c r="EG18220"/>
      <c r="EH18220"/>
      <c r="EI18220"/>
      <c r="EJ18220"/>
      <c r="EK18220"/>
    </row>
    <row r="18221" spans="1:141" s="116" customFormat="1">
      <c r="A18221" s="136"/>
      <c r="CM18221" s="111"/>
      <c r="CQ18221" s="111"/>
      <c r="EF18221"/>
      <c r="EG18221"/>
      <c r="EH18221"/>
      <c r="EI18221"/>
      <c r="EJ18221"/>
      <c r="EK18221"/>
    </row>
    <row r="18222" spans="1:141" s="116" customFormat="1">
      <c r="A18222" s="136"/>
      <c r="CM18222" s="111"/>
      <c r="CQ18222" s="111"/>
      <c r="EF18222"/>
      <c r="EG18222"/>
      <c r="EH18222"/>
      <c r="EI18222"/>
      <c r="EJ18222"/>
      <c r="EK18222"/>
    </row>
    <row r="18223" spans="1:141" s="116" customFormat="1">
      <c r="A18223" s="136"/>
      <c r="CM18223" s="111"/>
      <c r="CQ18223" s="111"/>
      <c r="EF18223"/>
      <c r="EG18223"/>
      <c r="EH18223"/>
      <c r="EI18223"/>
      <c r="EJ18223"/>
      <c r="EK18223"/>
    </row>
    <row r="18224" spans="1:141" s="116" customFormat="1">
      <c r="A18224" s="136"/>
      <c r="CM18224" s="111"/>
      <c r="CQ18224" s="111"/>
      <c r="EF18224"/>
      <c r="EG18224"/>
      <c r="EH18224"/>
      <c r="EI18224"/>
      <c r="EJ18224"/>
      <c r="EK18224"/>
    </row>
    <row r="18225" spans="1:141" s="116" customFormat="1">
      <c r="A18225" s="136"/>
      <c r="CM18225" s="111"/>
      <c r="CQ18225" s="111"/>
      <c r="EF18225"/>
      <c r="EG18225"/>
      <c r="EH18225"/>
      <c r="EI18225"/>
      <c r="EJ18225"/>
      <c r="EK18225"/>
    </row>
    <row r="18226" spans="1:141" s="116" customFormat="1">
      <c r="A18226" s="136"/>
      <c r="CM18226" s="111"/>
      <c r="CQ18226" s="111"/>
      <c r="EF18226"/>
      <c r="EG18226"/>
      <c r="EH18226"/>
      <c r="EI18226"/>
      <c r="EJ18226"/>
      <c r="EK18226"/>
    </row>
    <row r="18227" spans="1:141" s="116" customFormat="1">
      <c r="A18227" s="136"/>
      <c r="CM18227" s="111"/>
      <c r="CQ18227" s="111"/>
      <c r="EF18227"/>
      <c r="EG18227"/>
      <c r="EH18227"/>
      <c r="EI18227"/>
      <c r="EJ18227"/>
      <c r="EK18227"/>
    </row>
    <row r="18228" spans="1:141" s="116" customFormat="1">
      <c r="A18228" s="136"/>
      <c r="CM18228" s="111"/>
      <c r="CQ18228" s="111"/>
      <c r="EF18228"/>
      <c r="EG18228"/>
      <c r="EH18228"/>
      <c r="EI18228"/>
      <c r="EJ18228"/>
      <c r="EK18228"/>
    </row>
    <row r="18229" spans="1:141" s="116" customFormat="1">
      <c r="A18229" s="136"/>
      <c r="CM18229" s="111"/>
      <c r="CQ18229" s="111"/>
      <c r="EF18229"/>
      <c r="EG18229"/>
      <c r="EH18229"/>
      <c r="EI18229"/>
      <c r="EJ18229"/>
      <c r="EK18229"/>
    </row>
    <row r="18230" spans="1:141" s="116" customFormat="1">
      <c r="A18230" s="136"/>
      <c r="CM18230" s="111"/>
      <c r="CQ18230" s="111"/>
      <c r="EF18230"/>
      <c r="EG18230"/>
      <c r="EH18230"/>
      <c r="EI18230"/>
      <c r="EJ18230"/>
      <c r="EK18230"/>
    </row>
    <row r="18231" spans="1:141" s="116" customFormat="1">
      <c r="A18231" s="136"/>
      <c r="CM18231" s="111"/>
      <c r="CQ18231" s="111"/>
      <c r="EF18231"/>
      <c r="EG18231"/>
      <c r="EH18231"/>
      <c r="EI18231"/>
      <c r="EJ18231"/>
      <c r="EK18231"/>
    </row>
    <row r="18232" spans="1:141" s="116" customFormat="1">
      <c r="A18232" s="136"/>
      <c r="CM18232" s="111"/>
      <c r="CQ18232" s="111"/>
      <c r="EF18232"/>
      <c r="EG18232"/>
      <c r="EH18232"/>
      <c r="EI18232"/>
      <c r="EJ18232"/>
      <c r="EK18232"/>
    </row>
    <row r="18233" spans="1:141" s="116" customFormat="1">
      <c r="A18233" s="136"/>
      <c r="CM18233" s="111"/>
      <c r="CQ18233" s="111"/>
      <c r="EF18233"/>
      <c r="EG18233"/>
      <c r="EH18233"/>
      <c r="EI18233"/>
      <c r="EJ18233"/>
      <c r="EK18233"/>
    </row>
    <row r="18234" spans="1:141" s="116" customFormat="1">
      <c r="A18234" s="136"/>
      <c r="CM18234" s="111"/>
      <c r="CQ18234" s="111"/>
      <c r="EF18234"/>
      <c r="EG18234"/>
      <c r="EH18234"/>
      <c r="EI18234"/>
      <c r="EJ18234"/>
      <c r="EK18234"/>
    </row>
    <row r="18235" spans="1:141" s="116" customFormat="1">
      <c r="A18235" s="136"/>
      <c r="CM18235" s="111"/>
      <c r="CQ18235" s="111"/>
      <c r="EF18235"/>
      <c r="EG18235"/>
      <c r="EH18235"/>
      <c r="EI18235"/>
      <c r="EJ18235"/>
      <c r="EK18235"/>
    </row>
    <row r="18236" spans="1:141" s="116" customFormat="1">
      <c r="A18236" s="136"/>
      <c r="CM18236" s="111"/>
      <c r="CQ18236" s="111"/>
      <c r="EF18236"/>
      <c r="EG18236"/>
      <c r="EH18236"/>
      <c r="EI18236"/>
      <c r="EJ18236"/>
      <c r="EK18236"/>
    </row>
    <row r="18237" spans="1:141" s="116" customFormat="1">
      <c r="A18237" s="136"/>
      <c r="CM18237" s="111"/>
      <c r="CQ18237" s="111"/>
      <c r="EF18237"/>
      <c r="EG18237"/>
      <c r="EH18237"/>
      <c r="EI18237"/>
      <c r="EJ18237"/>
      <c r="EK18237"/>
    </row>
    <row r="18238" spans="1:141" s="116" customFormat="1">
      <c r="A18238" s="136"/>
      <c r="CM18238" s="111"/>
      <c r="CQ18238" s="111"/>
      <c r="EF18238"/>
      <c r="EG18238"/>
      <c r="EH18238"/>
      <c r="EI18238"/>
      <c r="EJ18238"/>
      <c r="EK18238"/>
    </row>
    <row r="18239" spans="1:141" s="116" customFormat="1">
      <c r="A18239" s="136"/>
      <c r="CM18239" s="111"/>
      <c r="CQ18239" s="111"/>
      <c r="EF18239"/>
      <c r="EG18239"/>
      <c r="EH18239"/>
      <c r="EI18239"/>
      <c r="EJ18239"/>
      <c r="EK18239"/>
    </row>
    <row r="18240" spans="1:141" s="116" customFormat="1">
      <c r="A18240" s="136"/>
      <c r="CM18240" s="111"/>
      <c r="CQ18240" s="111"/>
      <c r="EF18240"/>
      <c r="EG18240"/>
      <c r="EH18240"/>
      <c r="EI18240"/>
      <c r="EJ18240"/>
      <c r="EK18240"/>
    </row>
    <row r="18241" spans="1:141" s="116" customFormat="1">
      <c r="A18241" s="136"/>
      <c r="CM18241" s="111"/>
      <c r="CQ18241" s="111"/>
      <c r="EF18241"/>
      <c r="EG18241"/>
      <c r="EH18241"/>
      <c r="EI18241"/>
      <c r="EJ18241"/>
      <c r="EK18241"/>
    </row>
    <row r="18242" spans="1:141" s="116" customFormat="1">
      <c r="A18242" s="136"/>
      <c r="CM18242" s="111"/>
      <c r="CQ18242" s="111"/>
      <c r="EF18242"/>
      <c r="EG18242"/>
      <c r="EH18242"/>
      <c r="EI18242"/>
      <c r="EJ18242"/>
      <c r="EK18242"/>
    </row>
    <row r="18243" spans="1:141" s="116" customFormat="1">
      <c r="A18243" s="136"/>
      <c r="CM18243" s="111"/>
      <c r="CQ18243" s="111"/>
      <c r="EF18243"/>
      <c r="EG18243"/>
      <c r="EH18243"/>
      <c r="EI18243"/>
      <c r="EJ18243"/>
      <c r="EK18243"/>
    </row>
    <row r="18244" spans="1:141" s="116" customFormat="1">
      <c r="A18244" s="136"/>
      <c r="CM18244" s="111"/>
      <c r="CQ18244" s="111"/>
      <c r="EF18244"/>
      <c r="EG18244"/>
      <c r="EH18244"/>
      <c r="EI18244"/>
      <c r="EJ18244"/>
      <c r="EK18244"/>
    </row>
    <row r="18245" spans="1:141" s="116" customFormat="1">
      <c r="A18245" s="136"/>
      <c r="CM18245" s="111"/>
      <c r="CQ18245" s="111"/>
      <c r="EF18245"/>
      <c r="EG18245"/>
      <c r="EH18245"/>
      <c r="EI18245"/>
      <c r="EJ18245"/>
      <c r="EK18245"/>
    </row>
    <row r="18246" spans="1:141" s="116" customFormat="1">
      <c r="A18246" s="136"/>
      <c r="CM18246" s="111"/>
      <c r="CQ18246" s="111"/>
      <c r="EF18246"/>
      <c r="EG18246"/>
      <c r="EH18246"/>
      <c r="EI18246"/>
      <c r="EJ18246"/>
      <c r="EK18246"/>
    </row>
    <row r="18247" spans="1:141" s="116" customFormat="1">
      <c r="A18247" s="136"/>
      <c r="CM18247" s="111"/>
      <c r="CQ18247" s="111"/>
      <c r="EF18247"/>
      <c r="EG18247"/>
      <c r="EH18247"/>
      <c r="EI18247"/>
      <c r="EJ18247"/>
      <c r="EK18247"/>
    </row>
    <row r="18248" spans="1:141" s="116" customFormat="1">
      <c r="A18248" s="136"/>
      <c r="CM18248" s="111"/>
      <c r="CQ18248" s="111"/>
      <c r="EF18248"/>
      <c r="EG18248"/>
      <c r="EH18248"/>
      <c r="EI18248"/>
      <c r="EJ18248"/>
      <c r="EK18248"/>
    </row>
    <row r="18249" spans="1:141" s="116" customFormat="1">
      <c r="A18249" s="136"/>
      <c r="CM18249" s="111"/>
      <c r="CQ18249" s="111"/>
      <c r="EF18249"/>
      <c r="EG18249"/>
      <c r="EH18249"/>
      <c r="EI18249"/>
      <c r="EJ18249"/>
      <c r="EK18249"/>
    </row>
    <row r="18250" spans="1:141" s="116" customFormat="1">
      <c r="A18250" s="136"/>
      <c r="CM18250" s="111"/>
      <c r="CQ18250" s="111"/>
      <c r="EF18250"/>
      <c r="EG18250"/>
      <c r="EH18250"/>
      <c r="EI18250"/>
      <c r="EJ18250"/>
      <c r="EK18250"/>
    </row>
    <row r="18251" spans="1:141" s="116" customFormat="1">
      <c r="A18251" s="136"/>
      <c r="CM18251" s="111"/>
      <c r="CQ18251" s="111"/>
      <c r="EF18251"/>
      <c r="EG18251"/>
      <c r="EH18251"/>
      <c r="EI18251"/>
      <c r="EJ18251"/>
      <c r="EK18251"/>
    </row>
    <row r="18252" spans="1:141" s="116" customFormat="1">
      <c r="A18252" s="136"/>
      <c r="CM18252" s="111"/>
      <c r="CQ18252" s="111"/>
      <c r="EF18252"/>
      <c r="EG18252"/>
      <c r="EH18252"/>
      <c r="EI18252"/>
      <c r="EJ18252"/>
      <c r="EK18252"/>
    </row>
    <row r="18253" spans="1:141" s="116" customFormat="1">
      <c r="A18253" s="136"/>
      <c r="CM18253" s="111"/>
      <c r="CQ18253" s="111"/>
      <c r="EF18253"/>
      <c r="EG18253"/>
      <c r="EH18253"/>
      <c r="EI18253"/>
      <c r="EJ18253"/>
      <c r="EK18253"/>
    </row>
    <row r="18254" spans="1:141" s="116" customFormat="1">
      <c r="A18254" s="136"/>
      <c r="CM18254" s="111"/>
      <c r="CQ18254" s="111"/>
      <c r="EF18254"/>
      <c r="EG18254"/>
      <c r="EH18254"/>
      <c r="EI18254"/>
      <c r="EJ18254"/>
      <c r="EK18254"/>
    </row>
    <row r="18255" spans="1:141" s="116" customFormat="1">
      <c r="A18255" s="136"/>
      <c r="CM18255" s="111"/>
      <c r="CQ18255" s="111"/>
      <c r="EF18255"/>
      <c r="EG18255"/>
      <c r="EH18255"/>
      <c r="EI18255"/>
      <c r="EJ18255"/>
      <c r="EK18255"/>
    </row>
    <row r="18256" spans="1:141" s="116" customFormat="1">
      <c r="A18256" s="136"/>
      <c r="CM18256" s="111"/>
      <c r="CQ18256" s="111"/>
      <c r="EF18256"/>
      <c r="EG18256"/>
      <c r="EH18256"/>
      <c r="EI18256"/>
      <c r="EJ18256"/>
      <c r="EK18256"/>
    </row>
    <row r="18257" spans="1:141" s="116" customFormat="1">
      <c r="A18257" s="136"/>
      <c r="CM18257" s="111"/>
      <c r="CQ18257" s="111"/>
      <c r="EF18257"/>
      <c r="EG18257"/>
      <c r="EH18257"/>
      <c r="EI18257"/>
      <c r="EJ18257"/>
      <c r="EK18257"/>
    </row>
    <row r="18258" spans="1:141" s="116" customFormat="1">
      <c r="A18258" s="136"/>
      <c r="CM18258" s="111"/>
      <c r="CQ18258" s="111"/>
      <c r="EF18258"/>
      <c r="EG18258"/>
      <c r="EH18258"/>
      <c r="EI18258"/>
      <c r="EJ18258"/>
      <c r="EK18258"/>
    </row>
    <row r="18259" spans="1:141" s="116" customFormat="1">
      <c r="A18259" s="136"/>
      <c r="CM18259" s="111"/>
      <c r="CQ18259" s="111"/>
      <c r="EF18259"/>
      <c r="EG18259"/>
      <c r="EH18259"/>
      <c r="EI18259"/>
      <c r="EJ18259"/>
      <c r="EK18259"/>
    </row>
    <row r="18260" spans="1:141" s="116" customFormat="1">
      <c r="A18260" s="136"/>
      <c r="CM18260" s="111"/>
      <c r="CQ18260" s="111"/>
      <c r="EF18260"/>
      <c r="EG18260"/>
      <c r="EH18260"/>
      <c r="EI18260"/>
      <c r="EJ18260"/>
      <c r="EK18260"/>
    </row>
    <row r="18261" spans="1:141" s="116" customFormat="1">
      <c r="A18261" s="136"/>
      <c r="CM18261" s="111"/>
      <c r="CQ18261" s="111"/>
      <c r="EF18261"/>
      <c r="EG18261"/>
      <c r="EH18261"/>
      <c r="EI18261"/>
      <c r="EJ18261"/>
      <c r="EK18261"/>
    </row>
    <row r="18262" spans="1:141" s="116" customFormat="1">
      <c r="A18262" s="136"/>
      <c r="CM18262" s="111"/>
      <c r="CQ18262" s="111"/>
      <c r="EF18262"/>
      <c r="EG18262"/>
      <c r="EH18262"/>
      <c r="EI18262"/>
      <c r="EJ18262"/>
      <c r="EK18262"/>
    </row>
    <row r="18263" spans="1:141" s="116" customFormat="1">
      <c r="A18263" s="136"/>
      <c r="CM18263" s="111"/>
      <c r="CQ18263" s="111"/>
      <c r="EF18263"/>
      <c r="EG18263"/>
      <c r="EH18263"/>
      <c r="EI18263"/>
      <c r="EJ18263"/>
      <c r="EK18263"/>
    </row>
    <row r="18264" spans="1:141" s="116" customFormat="1">
      <c r="A18264" s="136"/>
      <c r="CM18264" s="111"/>
      <c r="CQ18264" s="111"/>
      <c r="EF18264"/>
      <c r="EG18264"/>
      <c r="EH18264"/>
      <c r="EI18264"/>
      <c r="EJ18264"/>
      <c r="EK18264"/>
    </row>
    <row r="18265" spans="1:141" s="116" customFormat="1">
      <c r="A18265" s="136"/>
      <c r="CM18265" s="111"/>
      <c r="CQ18265" s="111"/>
      <c r="EF18265"/>
      <c r="EG18265"/>
      <c r="EH18265"/>
      <c r="EI18265"/>
      <c r="EJ18265"/>
      <c r="EK18265"/>
    </row>
    <row r="18266" spans="1:141" s="116" customFormat="1">
      <c r="A18266" s="136"/>
      <c r="CM18266" s="111"/>
      <c r="CQ18266" s="111"/>
      <c r="EF18266"/>
      <c r="EG18266"/>
      <c r="EH18266"/>
      <c r="EI18266"/>
      <c r="EJ18266"/>
      <c r="EK18266"/>
    </row>
    <row r="18267" spans="1:141" s="116" customFormat="1">
      <c r="A18267" s="136"/>
      <c r="CM18267" s="111"/>
      <c r="CQ18267" s="111"/>
      <c r="EF18267"/>
      <c r="EG18267"/>
      <c r="EH18267"/>
      <c r="EI18267"/>
      <c r="EJ18267"/>
      <c r="EK18267"/>
    </row>
    <row r="18268" spans="1:141" s="116" customFormat="1">
      <c r="A18268" s="136"/>
      <c r="CM18268" s="111"/>
      <c r="CQ18268" s="111"/>
      <c r="EF18268"/>
      <c r="EG18268"/>
      <c r="EH18268"/>
      <c r="EI18268"/>
      <c r="EJ18268"/>
      <c r="EK18268"/>
    </row>
    <row r="18269" spans="1:141" s="116" customFormat="1">
      <c r="A18269" s="136"/>
      <c r="CM18269" s="111"/>
      <c r="CQ18269" s="111"/>
      <c r="EF18269"/>
      <c r="EG18269"/>
      <c r="EH18269"/>
      <c r="EI18269"/>
      <c r="EJ18269"/>
      <c r="EK18269"/>
    </row>
    <row r="18270" spans="1:141" s="116" customFormat="1">
      <c r="A18270" s="136"/>
      <c r="CM18270" s="111"/>
      <c r="CQ18270" s="111"/>
      <c r="EF18270"/>
      <c r="EG18270"/>
      <c r="EH18270"/>
      <c r="EI18270"/>
      <c r="EJ18270"/>
      <c r="EK18270"/>
    </row>
    <row r="18271" spans="1:141" s="116" customFormat="1">
      <c r="A18271" s="136"/>
      <c r="CM18271" s="111"/>
      <c r="CQ18271" s="111"/>
      <c r="EF18271"/>
      <c r="EG18271"/>
      <c r="EH18271"/>
      <c r="EI18271"/>
      <c r="EJ18271"/>
      <c r="EK18271"/>
    </row>
    <row r="18272" spans="1:141" s="116" customFormat="1">
      <c r="A18272" s="136"/>
      <c r="CM18272" s="111"/>
      <c r="CQ18272" s="111"/>
      <c r="EF18272"/>
      <c r="EG18272"/>
      <c r="EH18272"/>
      <c r="EI18272"/>
      <c r="EJ18272"/>
      <c r="EK18272"/>
    </row>
    <row r="18273" spans="1:141" s="116" customFormat="1">
      <c r="A18273" s="136"/>
      <c r="CM18273" s="111"/>
      <c r="CQ18273" s="111"/>
      <c r="EF18273"/>
      <c r="EG18273"/>
      <c r="EH18273"/>
      <c r="EI18273"/>
      <c r="EJ18273"/>
      <c r="EK18273"/>
    </row>
    <row r="18274" spans="1:141" s="116" customFormat="1">
      <c r="A18274" s="136"/>
      <c r="CM18274" s="111"/>
      <c r="CQ18274" s="111"/>
      <c r="EF18274"/>
      <c r="EG18274"/>
      <c r="EH18274"/>
      <c r="EI18274"/>
      <c r="EJ18274"/>
      <c r="EK18274"/>
    </row>
    <row r="18275" spans="1:141" s="116" customFormat="1">
      <c r="A18275" s="136"/>
      <c r="CM18275" s="111"/>
      <c r="CQ18275" s="111"/>
      <c r="EF18275"/>
      <c r="EG18275"/>
      <c r="EH18275"/>
      <c r="EI18275"/>
      <c r="EJ18275"/>
      <c r="EK18275"/>
    </row>
    <row r="18276" spans="1:141" s="116" customFormat="1">
      <c r="A18276" s="136"/>
      <c r="CM18276" s="111"/>
      <c r="CQ18276" s="111"/>
      <c r="EF18276"/>
      <c r="EG18276"/>
      <c r="EH18276"/>
      <c r="EI18276"/>
      <c r="EJ18276"/>
      <c r="EK18276"/>
    </row>
    <row r="18277" spans="1:141" s="116" customFormat="1">
      <c r="A18277" s="136"/>
      <c r="CM18277" s="111"/>
      <c r="CQ18277" s="111"/>
      <c r="EF18277"/>
      <c r="EG18277"/>
      <c r="EH18277"/>
      <c r="EI18277"/>
      <c r="EJ18277"/>
      <c r="EK18277"/>
    </row>
    <row r="18278" spans="1:141" s="116" customFormat="1">
      <c r="A18278" s="136"/>
      <c r="CM18278" s="111"/>
      <c r="CQ18278" s="111"/>
      <c r="EF18278"/>
      <c r="EG18278"/>
      <c r="EH18278"/>
      <c r="EI18278"/>
      <c r="EJ18278"/>
      <c r="EK18278"/>
    </row>
    <row r="18279" spans="1:141" s="116" customFormat="1">
      <c r="A18279" s="136"/>
      <c r="CM18279" s="111"/>
      <c r="CQ18279" s="111"/>
      <c r="EF18279"/>
      <c r="EG18279"/>
      <c r="EH18279"/>
      <c r="EI18279"/>
      <c r="EJ18279"/>
      <c r="EK18279"/>
    </row>
    <row r="18280" spans="1:141" s="116" customFormat="1">
      <c r="A18280" s="136"/>
      <c r="CM18280" s="111"/>
      <c r="CQ18280" s="111"/>
      <c r="EF18280"/>
      <c r="EG18280"/>
      <c r="EH18280"/>
      <c r="EI18280"/>
      <c r="EJ18280"/>
      <c r="EK18280"/>
    </row>
    <row r="18281" spans="1:141" s="116" customFormat="1">
      <c r="A18281" s="136"/>
      <c r="CM18281" s="111"/>
      <c r="CQ18281" s="111"/>
      <c r="EF18281"/>
      <c r="EG18281"/>
      <c r="EH18281"/>
      <c r="EI18281"/>
      <c r="EJ18281"/>
      <c r="EK18281"/>
    </row>
    <row r="18282" spans="1:141" s="116" customFormat="1">
      <c r="A18282" s="136"/>
      <c r="CM18282" s="111"/>
      <c r="CQ18282" s="111"/>
      <c r="EF18282"/>
      <c r="EG18282"/>
      <c r="EH18282"/>
      <c r="EI18282"/>
      <c r="EJ18282"/>
      <c r="EK18282"/>
    </row>
    <row r="18283" spans="1:141" s="116" customFormat="1">
      <c r="A18283" s="136"/>
      <c r="CM18283" s="111"/>
      <c r="CQ18283" s="111"/>
      <c r="EF18283"/>
      <c r="EG18283"/>
      <c r="EH18283"/>
      <c r="EI18283"/>
      <c r="EJ18283"/>
      <c r="EK18283"/>
    </row>
    <row r="18284" spans="1:141" s="116" customFormat="1">
      <c r="A18284" s="136"/>
      <c r="CM18284" s="111"/>
      <c r="CQ18284" s="111"/>
      <c r="EF18284"/>
      <c r="EG18284"/>
      <c r="EH18284"/>
      <c r="EI18284"/>
      <c r="EJ18284"/>
      <c r="EK18284"/>
    </row>
    <row r="18285" spans="1:141" s="116" customFormat="1">
      <c r="A18285" s="136"/>
      <c r="CM18285" s="111"/>
      <c r="CQ18285" s="111"/>
      <c r="EF18285"/>
      <c r="EG18285"/>
      <c r="EH18285"/>
      <c r="EI18285"/>
      <c r="EJ18285"/>
      <c r="EK18285"/>
    </row>
    <row r="18286" spans="1:141" s="116" customFormat="1">
      <c r="A18286" s="136"/>
      <c r="CM18286" s="111"/>
      <c r="CQ18286" s="111"/>
      <c r="EF18286"/>
      <c r="EG18286"/>
      <c r="EH18286"/>
      <c r="EI18286"/>
      <c r="EJ18286"/>
      <c r="EK18286"/>
    </row>
    <row r="18287" spans="1:141" s="116" customFormat="1">
      <c r="A18287" s="136"/>
      <c r="CM18287" s="111"/>
      <c r="CQ18287" s="111"/>
      <c r="EF18287"/>
      <c r="EG18287"/>
      <c r="EH18287"/>
      <c r="EI18287"/>
      <c r="EJ18287"/>
      <c r="EK18287"/>
    </row>
    <row r="18288" spans="1:141" s="116" customFormat="1">
      <c r="A18288" s="136"/>
      <c r="CM18288" s="111"/>
      <c r="CQ18288" s="111"/>
      <c r="EF18288"/>
      <c r="EG18288"/>
      <c r="EH18288"/>
      <c r="EI18288"/>
      <c r="EJ18288"/>
      <c r="EK18288"/>
    </row>
    <row r="18289" spans="1:141" s="116" customFormat="1">
      <c r="A18289" s="136"/>
      <c r="CM18289" s="111"/>
      <c r="CQ18289" s="111"/>
      <c r="EF18289"/>
      <c r="EG18289"/>
      <c r="EH18289"/>
      <c r="EI18289"/>
      <c r="EJ18289"/>
      <c r="EK18289"/>
    </row>
    <row r="18290" spans="1:141" s="116" customFormat="1">
      <c r="A18290" s="136"/>
      <c r="CM18290" s="111"/>
      <c r="CQ18290" s="111"/>
      <c r="EF18290"/>
      <c r="EG18290"/>
      <c r="EH18290"/>
      <c r="EI18290"/>
      <c r="EJ18290"/>
      <c r="EK18290"/>
    </row>
    <row r="18291" spans="1:141" s="116" customFormat="1">
      <c r="A18291" s="136"/>
      <c r="CM18291" s="111"/>
      <c r="CQ18291" s="111"/>
      <c r="EF18291"/>
      <c r="EG18291"/>
      <c r="EH18291"/>
      <c r="EI18291"/>
      <c r="EJ18291"/>
      <c r="EK18291"/>
    </row>
    <row r="18292" spans="1:141" s="116" customFormat="1">
      <c r="A18292" s="136"/>
      <c r="CM18292" s="111"/>
      <c r="CQ18292" s="111"/>
      <c r="EF18292"/>
      <c r="EG18292"/>
      <c r="EH18292"/>
      <c r="EI18292"/>
      <c r="EJ18292"/>
      <c r="EK18292"/>
    </row>
    <row r="18293" spans="1:141" s="116" customFormat="1">
      <c r="A18293" s="136"/>
      <c r="CM18293" s="111"/>
      <c r="CQ18293" s="111"/>
      <c r="EF18293"/>
      <c r="EG18293"/>
      <c r="EH18293"/>
      <c r="EI18293"/>
      <c r="EJ18293"/>
      <c r="EK18293"/>
    </row>
    <row r="18294" spans="1:141" s="116" customFormat="1">
      <c r="A18294" s="136"/>
      <c r="CM18294" s="111"/>
      <c r="CQ18294" s="111"/>
      <c r="EF18294"/>
      <c r="EG18294"/>
      <c r="EH18294"/>
      <c r="EI18294"/>
      <c r="EJ18294"/>
      <c r="EK18294"/>
    </row>
    <row r="18295" spans="1:141" s="116" customFormat="1">
      <c r="A18295" s="136"/>
      <c r="CM18295" s="111"/>
      <c r="CQ18295" s="111"/>
      <c r="EF18295"/>
      <c r="EG18295"/>
      <c r="EH18295"/>
      <c r="EI18295"/>
      <c r="EJ18295"/>
      <c r="EK18295"/>
    </row>
    <row r="18296" spans="1:141" s="116" customFormat="1">
      <c r="A18296" s="136"/>
      <c r="CM18296" s="111"/>
      <c r="CQ18296" s="111"/>
      <c r="EF18296"/>
      <c r="EG18296"/>
      <c r="EH18296"/>
      <c r="EI18296"/>
      <c r="EJ18296"/>
      <c r="EK18296"/>
    </row>
    <row r="18297" spans="1:141" s="116" customFormat="1">
      <c r="A18297" s="136"/>
      <c r="CM18297" s="111"/>
      <c r="CQ18297" s="111"/>
      <c r="EF18297"/>
      <c r="EG18297"/>
      <c r="EH18297"/>
      <c r="EI18297"/>
      <c r="EJ18297"/>
      <c r="EK18297"/>
    </row>
    <row r="18298" spans="1:141" s="116" customFormat="1">
      <c r="A18298" s="136"/>
      <c r="CM18298" s="111"/>
      <c r="CQ18298" s="111"/>
      <c r="EF18298"/>
      <c r="EG18298"/>
      <c r="EH18298"/>
      <c r="EI18298"/>
      <c r="EJ18298"/>
      <c r="EK18298"/>
    </row>
    <row r="18299" spans="1:141" s="116" customFormat="1">
      <c r="A18299" s="136"/>
      <c r="CM18299" s="111"/>
      <c r="CQ18299" s="111"/>
      <c r="EF18299"/>
      <c r="EG18299"/>
      <c r="EH18299"/>
      <c r="EI18299"/>
      <c r="EJ18299"/>
      <c r="EK18299"/>
    </row>
    <row r="18300" spans="1:141" s="116" customFormat="1">
      <c r="A18300" s="136"/>
      <c r="CM18300" s="111"/>
      <c r="CQ18300" s="111"/>
      <c r="EF18300"/>
      <c r="EG18300"/>
      <c r="EH18300"/>
      <c r="EI18300"/>
      <c r="EJ18300"/>
      <c r="EK18300"/>
    </row>
    <row r="18301" spans="1:141" s="116" customFormat="1">
      <c r="A18301" s="136"/>
      <c r="CM18301" s="111"/>
      <c r="CQ18301" s="111"/>
      <c r="EF18301"/>
      <c r="EG18301"/>
      <c r="EH18301"/>
      <c r="EI18301"/>
      <c r="EJ18301"/>
      <c r="EK18301"/>
    </row>
    <row r="18302" spans="1:141" s="116" customFormat="1">
      <c r="A18302" s="136"/>
      <c r="CM18302" s="111"/>
      <c r="CQ18302" s="111"/>
      <c r="EF18302"/>
      <c r="EG18302"/>
      <c r="EH18302"/>
      <c r="EI18302"/>
      <c r="EJ18302"/>
      <c r="EK18302"/>
    </row>
    <row r="18303" spans="1:141" s="116" customFormat="1">
      <c r="A18303" s="136"/>
      <c r="CM18303" s="111"/>
      <c r="CQ18303" s="111"/>
      <c r="EF18303"/>
      <c r="EG18303"/>
      <c r="EH18303"/>
      <c r="EI18303"/>
      <c r="EJ18303"/>
      <c r="EK18303"/>
    </row>
    <row r="18304" spans="1:141" s="116" customFormat="1">
      <c r="A18304" s="136"/>
      <c r="CM18304" s="111"/>
      <c r="CQ18304" s="111"/>
      <c r="EF18304"/>
      <c r="EG18304"/>
      <c r="EH18304"/>
      <c r="EI18304"/>
      <c r="EJ18304"/>
      <c r="EK18304"/>
    </row>
    <row r="18305" spans="1:141" s="116" customFormat="1">
      <c r="A18305" s="136"/>
      <c r="CM18305" s="111"/>
      <c r="CQ18305" s="111"/>
      <c r="EF18305"/>
      <c r="EG18305"/>
      <c r="EH18305"/>
      <c r="EI18305"/>
      <c r="EJ18305"/>
      <c r="EK18305"/>
    </row>
    <row r="18306" spans="1:141" s="116" customFormat="1">
      <c r="A18306" s="136"/>
      <c r="CM18306" s="111"/>
      <c r="CQ18306" s="111"/>
      <c r="EF18306"/>
      <c r="EG18306"/>
      <c r="EH18306"/>
      <c r="EI18306"/>
      <c r="EJ18306"/>
      <c r="EK18306"/>
    </row>
    <row r="18307" spans="1:141" s="116" customFormat="1">
      <c r="A18307" s="136"/>
      <c r="CM18307" s="111"/>
      <c r="CQ18307" s="111"/>
      <c r="EF18307"/>
      <c r="EG18307"/>
      <c r="EH18307"/>
      <c r="EI18307"/>
      <c r="EJ18307"/>
      <c r="EK18307"/>
    </row>
    <row r="18308" spans="1:141" s="116" customFormat="1">
      <c r="A18308" s="136"/>
      <c r="CM18308" s="111"/>
      <c r="CQ18308" s="111"/>
      <c r="EF18308"/>
      <c r="EG18308"/>
      <c r="EH18308"/>
      <c r="EI18308"/>
      <c r="EJ18308"/>
      <c r="EK18308"/>
    </row>
    <row r="18309" spans="1:141" s="116" customFormat="1">
      <c r="A18309" s="136"/>
      <c r="CM18309" s="111"/>
      <c r="CQ18309" s="111"/>
      <c r="EF18309"/>
      <c r="EG18309"/>
      <c r="EH18309"/>
      <c r="EI18309"/>
      <c r="EJ18309"/>
      <c r="EK18309"/>
    </row>
    <row r="18310" spans="1:141" s="116" customFormat="1">
      <c r="A18310" s="136"/>
      <c r="CM18310" s="111"/>
      <c r="CQ18310" s="111"/>
      <c r="EF18310"/>
      <c r="EG18310"/>
      <c r="EH18310"/>
      <c r="EI18310"/>
      <c r="EJ18310"/>
      <c r="EK18310"/>
    </row>
    <row r="18311" spans="1:141" s="116" customFormat="1">
      <c r="A18311" s="136"/>
      <c r="CM18311" s="111"/>
      <c r="CQ18311" s="111"/>
      <c r="EF18311"/>
      <c r="EG18311"/>
      <c r="EH18311"/>
      <c r="EI18311"/>
      <c r="EJ18311"/>
      <c r="EK18311"/>
    </row>
    <row r="18312" spans="1:141" s="116" customFormat="1">
      <c r="A18312" s="136"/>
      <c r="CM18312" s="111"/>
      <c r="CQ18312" s="111"/>
      <c r="EF18312"/>
      <c r="EG18312"/>
      <c r="EH18312"/>
      <c r="EI18312"/>
      <c r="EJ18312"/>
      <c r="EK18312"/>
    </row>
    <row r="18313" spans="1:141" s="116" customFormat="1">
      <c r="A18313" s="136"/>
      <c r="CM18313" s="111"/>
      <c r="CQ18313" s="111"/>
      <c r="EF18313"/>
      <c r="EG18313"/>
      <c r="EH18313"/>
      <c r="EI18313"/>
      <c r="EJ18313"/>
      <c r="EK18313"/>
    </row>
    <row r="18314" spans="1:141" s="116" customFormat="1">
      <c r="A18314" s="136"/>
      <c r="CM18314" s="111"/>
      <c r="CQ18314" s="111"/>
      <c r="EF18314"/>
      <c r="EG18314"/>
      <c r="EH18314"/>
      <c r="EI18314"/>
      <c r="EJ18314"/>
      <c r="EK18314"/>
    </row>
    <row r="18315" spans="1:141" s="116" customFormat="1">
      <c r="A18315" s="136"/>
      <c r="CM18315" s="111"/>
      <c r="CQ18315" s="111"/>
      <c r="EF18315"/>
      <c r="EG18315"/>
      <c r="EH18315"/>
      <c r="EI18315"/>
      <c r="EJ18315"/>
      <c r="EK18315"/>
    </row>
    <row r="18316" spans="1:141" s="116" customFormat="1">
      <c r="A18316" s="136"/>
      <c r="CM18316" s="111"/>
      <c r="CQ18316" s="111"/>
      <c r="EF18316"/>
      <c r="EG18316"/>
      <c r="EH18316"/>
      <c r="EI18316"/>
      <c r="EJ18316"/>
      <c r="EK18316"/>
    </row>
    <row r="18317" spans="1:141" s="116" customFormat="1">
      <c r="A18317" s="136"/>
      <c r="CM18317" s="111"/>
      <c r="CQ18317" s="111"/>
      <c r="EF18317"/>
      <c r="EG18317"/>
      <c r="EH18317"/>
      <c r="EI18317"/>
      <c r="EJ18317"/>
      <c r="EK18317"/>
    </row>
    <row r="18318" spans="1:141" s="116" customFormat="1">
      <c r="A18318" s="136"/>
      <c r="CM18318" s="111"/>
      <c r="CQ18318" s="111"/>
      <c r="EF18318"/>
      <c r="EG18318"/>
      <c r="EH18318"/>
      <c r="EI18318"/>
      <c r="EJ18318"/>
      <c r="EK18318"/>
    </row>
    <row r="18319" spans="1:141" s="116" customFormat="1">
      <c r="A18319" s="136"/>
      <c r="CM18319" s="111"/>
      <c r="CQ18319" s="111"/>
      <c r="EF18319"/>
      <c r="EG18319"/>
      <c r="EH18319"/>
      <c r="EI18319"/>
      <c r="EJ18319"/>
      <c r="EK18319"/>
    </row>
    <row r="18320" spans="1:141" s="116" customFormat="1">
      <c r="A18320" s="136"/>
      <c r="CM18320" s="111"/>
      <c r="CQ18320" s="111"/>
      <c r="EF18320"/>
      <c r="EG18320"/>
      <c r="EH18320"/>
      <c r="EI18320"/>
      <c r="EJ18320"/>
      <c r="EK18320"/>
    </row>
    <row r="18321" spans="1:141" s="116" customFormat="1">
      <c r="A18321" s="136"/>
      <c r="CM18321" s="111"/>
      <c r="CQ18321" s="111"/>
      <c r="EF18321"/>
      <c r="EG18321"/>
      <c r="EH18321"/>
      <c r="EI18321"/>
      <c r="EJ18321"/>
      <c r="EK18321"/>
    </row>
    <row r="18322" spans="1:141" s="116" customFormat="1">
      <c r="A18322" s="136"/>
      <c r="CM18322" s="111"/>
      <c r="CQ18322" s="111"/>
      <c r="EF18322"/>
      <c r="EG18322"/>
      <c r="EH18322"/>
      <c r="EI18322"/>
      <c r="EJ18322"/>
      <c r="EK18322"/>
    </row>
    <row r="18323" spans="1:141" s="116" customFormat="1">
      <c r="A18323" s="136"/>
      <c r="CM18323" s="111"/>
      <c r="CQ18323" s="111"/>
      <c r="EF18323"/>
      <c r="EG18323"/>
      <c r="EH18323"/>
      <c r="EI18323"/>
      <c r="EJ18323"/>
      <c r="EK18323"/>
    </row>
    <row r="18324" spans="1:141" s="116" customFormat="1">
      <c r="A18324" s="136"/>
      <c r="CM18324" s="111"/>
      <c r="CQ18324" s="111"/>
      <c r="EF18324"/>
      <c r="EG18324"/>
      <c r="EH18324"/>
      <c r="EI18324"/>
      <c r="EJ18324"/>
      <c r="EK18324"/>
    </row>
    <row r="18325" spans="1:141" s="116" customFormat="1">
      <c r="A18325" s="136"/>
      <c r="CM18325" s="111"/>
      <c r="CQ18325" s="111"/>
      <c r="EF18325"/>
      <c r="EG18325"/>
      <c r="EH18325"/>
      <c r="EI18325"/>
      <c r="EJ18325"/>
      <c r="EK18325"/>
    </row>
    <row r="18326" spans="1:141" s="116" customFormat="1">
      <c r="A18326" s="136"/>
      <c r="CM18326" s="111"/>
      <c r="CQ18326" s="111"/>
      <c r="EF18326"/>
      <c r="EG18326"/>
      <c r="EH18326"/>
      <c r="EI18326"/>
      <c r="EJ18326"/>
      <c r="EK18326"/>
    </row>
    <row r="18327" spans="1:141" s="116" customFormat="1">
      <c r="A18327" s="136"/>
      <c r="CM18327" s="111"/>
      <c r="CQ18327" s="111"/>
      <c r="EF18327"/>
      <c r="EG18327"/>
      <c r="EH18327"/>
      <c r="EI18327"/>
      <c r="EJ18327"/>
      <c r="EK18327"/>
    </row>
    <row r="18328" spans="1:141" s="116" customFormat="1">
      <c r="A18328" s="136"/>
      <c r="CM18328" s="111"/>
      <c r="CQ18328" s="111"/>
      <c r="EF18328"/>
      <c r="EG18328"/>
      <c r="EH18328"/>
      <c r="EI18328"/>
      <c r="EJ18328"/>
      <c r="EK18328"/>
    </row>
    <row r="18329" spans="1:141" s="116" customFormat="1">
      <c r="A18329" s="136"/>
      <c r="CM18329" s="111"/>
      <c r="CQ18329" s="111"/>
      <c r="EF18329"/>
      <c r="EG18329"/>
      <c r="EH18329"/>
      <c r="EI18329"/>
      <c r="EJ18329"/>
      <c r="EK18329"/>
    </row>
    <row r="18330" spans="1:141" s="116" customFormat="1">
      <c r="A18330" s="136"/>
      <c r="CM18330" s="111"/>
      <c r="CQ18330" s="111"/>
      <c r="EF18330"/>
      <c r="EG18330"/>
      <c r="EH18330"/>
      <c r="EI18330"/>
      <c r="EJ18330"/>
      <c r="EK18330"/>
    </row>
    <row r="18331" spans="1:141" s="116" customFormat="1">
      <c r="A18331" s="136"/>
      <c r="CM18331" s="111"/>
      <c r="CQ18331" s="111"/>
      <c r="EF18331"/>
      <c r="EG18331"/>
      <c r="EH18331"/>
      <c r="EI18331"/>
      <c r="EJ18331"/>
      <c r="EK18331"/>
    </row>
    <row r="18332" spans="1:141" s="116" customFormat="1">
      <c r="A18332" s="136"/>
      <c r="CM18332" s="111"/>
      <c r="CQ18332" s="111"/>
      <c r="EF18332"/>
      <c r="EG18332"/>
      <c r="EH18332"/>
      <c r="EI18332"/>
      <c r="EJ18332"/>
      <c r="EK18332"/>
    </row>
    <row r="18333" spans="1:141" s="116" customFormat="1">
      <c r="A18333" s="136"/>
      <c r="CM18333" s="111"/>
      <c r="CQ18333" s="111"/>
      <c r="EF18333"/>
      <c r="EG18333"/>
      <c r="EH18333"/>
      <c r="EI18333"/>
      <c r="EJ18333"/>
      <c r="EK18333"/>
    </row>
    <row r="18334" spans="1:141" s="116" customFormat="1">
      <c r="A18334" s="136"/>
      <c r="CM18334" s="111"/>
      <c r="CQ18334" s="111"/>
      <c r="EF18334"/>
      <c r="EG18334"/>
      <c r="EH18334"/>
      <c r="EI18334"/>
      <c r="EJ18334"/>
      <c r="EK18334"/>
    </row>
    <row r="18335" spans="1:141" s="116" customFormat="1">
      <c r="A18335" s="136"/>
      <c r="CM18335" s="111"/>
      <c r="CQ18335" s="111"/>
      <c r="EF18335"/>
      <c r="EG18335"/>
      <c r="EH18335"/>
      <c r="EI18335"/>
      <c r="EJ18335"/>
      <c r="EK18335"/>
    </row>
    <row r="18336" spans="1:141" s="116" customFormat="1">
      <c r="A18336" s="136"/>
      <c r="CM18336" s="111"/>
      <c r="CQ18336" s="111"/>
      <c r="EF18336"/>
      <c r="EG18336"/>
      <c r="EH18336"/>
      <c r="EI18336"/>
      <c r="EJ18336"/>
      <c r="EK18336"/>
    </row>
    <row r="18337" spans="1:141" s="116" customFormat="1">
      <c r="A18337" s="136"/>
      <c r="CM18337" s="111"/>
      <c r="CQ18337" s="111"/>
      <c r="EF18337"/>
      <c r="EG18337"/>
      <c r="EH18337"/>
      <c r="EI18337"/>
      <c r="EJ18337"/>
      <c r="EK18337"/>
    </row>
    <row r="18338" spans="1:141" s="116" customFormat="1">
      <c r="A18338" s="136"/>
      <c r="CM18338" s="111"/>
      <c r="CQ18338" s="111"/>
      <c r="EF18338"/>
      <c r="EG18338"/>
      <c r="EH18338"/>
      <c r="EI18338"/>
      <c r="EJ18338"/>
      <c r="EK18338"/>
    </row>
    <row r="18339" spans="1:141" s="116" customFormat="1">
      <c r="A18339" s="136"/>
      <c r="CM18339" s="111"/>
      <c r="CQ18339" s="111"/>
      <c r="EF18339"/>
      <c r="EG18339"/>
      <c r="EH18339"/>
      <c r="EI18339"/>
      <c r="EJ18339"/>
      <c r="EK18339"/>
    </row>
    <row r="18340" spans="1:141" s="116" customFormat="1">
      <c r="A18340" s="136"/>
      <c r="CM18340" s="111"/>
      <c r="CQ18340" s="111"/>
      <c r="EF18340"/>
      <c r="EG18340"/>
      <c r="EH18340"/>
      <c r="EI18340"/>
      <c r="EJ18340"/>
      <c r="EK18340"/>
    </row>
    <row r="18341" spans="1:141" s="116" customFormat="1">
      <c r="A18341" s="136"/>
      <c r="CM18341" s="111"/>
      <c r="CQ18341" s="111"/>
      <c r="EF18341"/>
      <c r="EG18341"/>
      <c r="EH18341"/>
      <c r="EI18341"/>
      <c r="EJ18341"/>
      <c r="EK18341"/>
    </row>
    <row r="18342" spans="1:141" s="116" customFormat="1">
      <c r="A18342" s="136"/>
      <c r="CM18342" s="111"/>
      <c r="CQ18342" s="111"/>
      <c r="EF18342"/>
      <c r="EG18342"/>
      <c r="EH18342"/>
      <c r="EI18342"/>
      <c r="EJ18342"/>
      <c r="EK18342"/>
    </row>
    <row r="18343" spans="1:141" s="116" customFormat="1">
      <c r="A18343" s="136"/>
      <c r="CM18343" s="111"/>
      <c r="CQ18343" s="111"/>
      <c r="EF18343"/>
      <c r="EG18343"/>
      <c r="EH18343"/>
      <c r="EI18343"/>
      <c r="EJ18343"/>
      <c r="EK18343"/>
    </row>
    <row r="18344" spans="1:141" s="116" customFormat="1">
      <c r="A18344" s="136"/>
      <c r="CM18344" s="111"/>
      <c r="CQ18344" s="111"/>
      <c r="EF18344"/>
      <c r="EG18344"/>
      <c r="EH18344"/>
      <c r="EI18344"/>
      <c r="EJ18344"/>
      <c r="EK18344"/>
    </row>
    <row r="18345" spans="1:141" s="116" customFormat="1">
      <c r="A18345" s="136"/>
      <c r="CM18345" s="111"/>
      <c r="CQ18345" s="111"/>
      <c r="EF18345"/>
      <c r="EG18345"/>
      <c r="EH18345"/>
      <c r="EI18345"/>
      <c r="EJ18345"/>
      <c r="EK18345"/>
    </row>
    <row r="18346" spans="1:141" s="116" customFormat="1">
      <c r="A18346" s="136"/>
      <c r="CM18346" s="111"/>
      <c r="CQ18346" s="111"/>
      <c r="EF18346"/>
      <c r="EG18346"/>
      <c r="EH18346"/>
      <c r="EI18346"/>
      <c r="EJ18346"/>
      <c r="EK18346"/>
    </row>
    <row r="18347" spans="1:141" s="116" customFormat="1">
      <c r="A18347" s="136"/>
      <c r="CM18347" s="111"/>
      <c r="CQ18347" s="111"/>
      <c r="EF18347"/>
      <c r="EG18347"/>
      <c r="EH18347"/>
      <c r="EI18347"/>
      <c r="EJ18347"/>
      <c r="EK18347"/>
    </row>
    <row r="18348" spans="1:141" s="116" customFormat="1">
      <c r="A18348" s="136"/>
      <c r="CM18348" s="111"/>
      <c r="CQ18348" s="111"/>
      <c r="EF18348"/>
      <c r="EG18348"/>
      <c r="EH18348"/>
      <c r="EI18348"/>
      <c r="EJ18348"/>
      <c r="EK18348"/>
    </row>
    <row r="18349" spans="1:141" s="116" customFormat="1">
      <c r="A18349" s="136"/>
      <c r="CM18349" s="111"/>
      <c r="CQ18349" s="111"/>
      <c r="EF18349"/>
      <c r="EG18349"/>
      <c r="EH18349"/>
      <c r="EI18349"/>
      <c r="EJ18349"/>
      <c r="EK18349"/>
    </row>
    <row r="18350" spans="1:141" s="116" customFormat="1">
      <c r="A18350" s="136"/>
      <c r="CM18350" s="111"/>
      <c r="CQ18350" s="111"/>
      <c r="EF18350"/>
      <c r="EG18350"/>
      <c r="EH18350"/>
      <c r="EI18350"/>
      <c r="EJ18350"/>
      <c r="EK18350"/>
    </row>
    <row r="18351" spans="1:141" s="116" customFormat="1">
      <c r="A18351" s="136"/>
      <c r="CM18351" s="111"/>
      <c r="CQ18351" s="111"/>
      <c r="EF18351"/>
      <c r="EG18351"/>
      <c r="EH18351"/>
      <c r="EI18351"/>
      <c r="EJ18351"/>
      <c r="EK18351"/>
    </row>
    <row r="18352" spans="1:141" s="116" customFormat="1">
      <c r="A18352" s="136"/>
      <c r="CM18352" s="111"/>
      <c r="CQ18352" s="111"/>
      <c r="EF18352"/>
      <c r="EG18352"/>
      <c r="EH18352"/>
      <c r="EI18352"/>
      <c r="EJ18352"/>
      <c r="EK18352"/>
    </row>
    <row r="18353" spans="1:141" s="116" customFormat="1">
      <c r="A18353" s="136"/>
      <c r="CM18353" s="111"/>
      <c r="CQ18353" s="111"/>
      <c r="EF18353"/>
      <c r="EG18353"/>
      <c r="EH18353"/>
      <c r="EI18353"/>
      <c r="EJ18353"/>
      <c r="EK18353"/>
    </row>
    <row r="18354" spans="1:141" s="116" customFormat="1">
      <c r="A18354" s="136"/>
      <c r="CM18354" s="111"/>
      <c r="CQ18354" s="111"/>
      <c r="EF18354"/>
      <c r="EG18354"/>
      <c r="EH18354"/>
      <c r="EI18354"/>
      <c r="EJ18354"/>
      <c r="EK18354"/>
    </row>
    <row r="18355" spans="1:141" s="116" customFormat="1">
      <c r="A18355" s="136"/>
      <c r="CM18355" s="111"/>
      <c r="CQ18355" s="111"/>
      <c r="EF18355"/>
      <c r="EG18355"/>
      <c r="EH18355"/>
      <c r="EI18355"/>
      <c r="EJ18355"/>
      <c r="EK18355"/>
    </row>
    <row r="18356" spans="1:141" s="116" customFormat="1">
      <c r="A18356" s="136"/>
      <c r="CM18356" s="111"/>
      <c r="CQ18356" s="111"/>
      <c r="EF18356"/>
      <c r="EG18356"/>
      <c r="EH18356"/>
      <c r="EI18356"/>
      <c r="EJ18356"/>
      <c r="EK18356"/>
    </row>
    <row r="18357" spans="1:141" s="116" customFormat="1">
      <c r="A18357" s="136"/>
      <c r="CM18357" s="111"/>
      <c r="CQ18357" s="111"/>
      <c r="EF18357"/>
      <c r="EG18357"/>
      <c r="EH18357"/>
      <c r="EI18357"/>
      <c r="EJ18357"/>
      <c r="EK18357"/>
    </row>
    <row r="18358" spans="1:141" s="116" customFormat="1">
      <c r="A18358" s="136"/>
      <c r="CM18358" s="111"/>
      <c r="CQ18358" s="111"/>
      <c r="EF18358"/>
      <c r="EG18358"/>
      <c r="EH18358"/>
      <c r="EI18358"/>
      <c r="EJ18358"/>
      <c r="EK18358"/>
    </row>
    <row r="18359" spans="1:141" s="116" customFormat="1">
      <c r="A18359" s="136"/>
      <c r="CM18359" s="111"/>
      <c r="CQ18359" s="111"/>
      <c r="EF18359"/>
      <c r="EG18359"/>
      <c r="EH18359"/>
      <c r="EI18359"/>
      <c r="EJ18359"/>
      <c r="EK18359"/>
    </row>
    <row r="18360" spans="1:141" s="116" customFormat="1">
      <c r="A18360" s="136"/>
      <c r="CM18360" s="111"/>
      <c r="CQ18360" s="111"/>
      <c r="EF18360"/>
      <c r="EG18360"/>
      <c r="EH18360"/>
      <c r="EI18360"/>
      <c r="EJ18360"/>
      <c r="EK18360"/>
    </row>
    <row r="18361" spans="1:141" s="116" customFormat="1">
      <c r="A18361" s="136"/>
      <c r="CM18361" s="111"/>
      <c r="CQ18361" s="111"/>
      <c r="EF18361"/>
      <c r="EG18361"/>
      <c r="EH18361"/>
      <c r="EI18361"/>
      <c r="EJ18361"/>
      <c r="EK18361"/>
    </row>
    <row r="18362" spans="1:141" s="116" customFormat="1">
      <c r="A18362" s="136"/>
      <c r="CM18362" s="111"/>
      <c r="CQ18362" s="111"/>
      <c r="EF18362"/>
      <c r="EG18362"/>
      <c r="EH18362"/>
      <c r="EI18362"/>
      <c r="EJ18362"/>
      <c r="EK18362"/>
    </row>
    <row r="18363" spans="1:141" s="116" customFormat="1">
      <c r="A18363" s="136"/>
      <c r="CM18363" s="111"/>
      <c r="CQ18363" s="111"/>
      <c r="EF18363"/>
      <c r="EG18363"/>
      <c r="EH18363"/>
      <c r="EI18363"/>
      <c r="EJ18363"/>
      <c r="EK18363"/>
    </row>
    <row r="18364" spans="1:141" s="116" customFormat="1">
      <c r="A18364" s="136"/>
      <c r="CM18364" s="111"/>
      <c r="CQ18364" s="111"/>
      <c r="EF18364"/>
      <c r="EG18364"/>
      <c r="EH18364"/>
      <c r="EI18364"/>
      <c r="EJ18364"/>
      <c r="EK18364"/>
    </row>
    <row r="18365" spans="1:141" s="116" customFormat="1">
      <c r="A18365" s="136"/>
      <c r="CM18365" s="111"/>
      <c r="CQ18365" s="111"/>
      <c r="EF18365"/>
      <c r="EG18365"/>
      <c r="EH18365"/>
      <c r="EI18365"/>
      <c r="EJ18365"/>
      <c r="EK18365"/>
    </row>
    <row r="18366" spans="1:141" s="116" customFormat="1">
      <c r="A18366" s="136"/>
      <c r="CM18366" s="111"/>
      <c r="CQ18366" s="111"/>
      <c r="EF18366"/>
      <c r="EG18366"/>
      <c r="EH18366"/>
      <c r="EI18366"/>
      <c r="EJ18366"/>
      <c r="EK18366"/>
    </row>
    <row r="18367" spans="1:141" s="116" customFormat="1">
      <c r="A18367" s="136"/>
      <c r="CM18367" s="111"/>
      <c r="CQ18367" s="111"/>
      <c r="EF18367"/>
      <c r="EG18367"/>
      <c r="EH18367"/>
      <c r="EI18367"/>
      <c r="EJ18367"/>
      <c r="EK18367"/>
    </row>
    <row r="18368" spans="1:141" s="116" customFormat="1">
      <c r="A18368" s="136"/>
      <c r="CM18368" s="111"/>
      <c r="CQ18368" s="111"/>
      <c r="EF18368"/>
      <c r="EG18368"/>
      <c r="EH18368"/>
      <c r="EI18368"/>
      <c r="EJ18368"/>
      <c r="EK18368"/>
    </row>
    <row r="18369" spans="1:141" s="116" customFormat="1">
      <c r="A18369" s="136"/>
      <c r="CM18369" s="111"/>
      <c r="CQ18369" s="111"/>
      <c r="EF18369"/>
      <c r="EG18369"/>
      <c r="EH18369"/>
      <c r="EI18369"/>
      <c r="EJ18369"/>
      <c r="EK18369"/>
    </row>
    <row r="18370" spans="1:141" s="116" customFormat="1">
      <c r="A18370" s="136"/>
      <c r="CM18370" s="111"/>
      <c r="CQ18370" s="111"/>
      <c r="EF18370"/>
      <c r="EG18370"/>
      <c r="EH18370"/>
      <c r="EI18370"/>
      <c r="EJ18370"/>
      <c r="EK18370"/>
    </row>
    <row r="18371" spans="1:141" s="116" customFormat="1">
      <c r="A18371" s="136"/>
      <c r="CM18371" s="111"/>
      <c r="CQ18371" s="111"/>
      <c r="EF18371"/>
      <c r="EG18371"/>
      <c r="EH18371"/>
      <c r="EI18371"/>
      <c r="EJ18371"/>
      <c r="EK18371"/>
    </row>
    <row r="18372" spans="1:141" s="116" customFormat="1">
      <c r="A18372" s="136"/>
      <c r="CM18372" s="111"/>
      <c r="CQ18372" s="111"/>
      <c r="EF18372"/>
      <c r="EG18372"/>
      <c r="EH18372"/>
      <c r="EI18372"/>
      <c r="EJ18372"/>
      <c r="EK18372"/>
    </row>
    <row r="18373" spans="1:141" s="116" customFormat="1">
      <c r="A18373" s="136"/>
      <c r="CM18373" s="111"/>
      <c r="CQ18373" s="111"/>
      <c r="EF18373"/>
      <c r="EG18373"/>
      <c r="EH18373"/>
      <c r="EI18373"/>
      <c r="EJ18373"/>
      <c r="EK18373"/>
    </row>
    <row r="18374" spans="1:141" s="116" customFormat="1">
      <c r="A18374" s="136"/>
      <c r="CM18374" s="111"/>
      <c r="CQ18374" s="111"/>
      <c r="EF18374"/>
      <c r="EG18374"/>
      <c r="EH18374"/>
      <c r="EI18374"/>
      <c r="EJ18374"/>
      <c r="EK18374"/>
    </row>
    <row r="18375" spans="1:141" s="116" customFormat="1">
      <c r="A18375" s="136"/>
      <c r="CM18375" s="111"/>
      <c r="CQ18375" s="111"/>
      <c r="EF18375"/>
      <c r="EG18375"/>
      <c r="EH18375"/>
      <c r="EI18375"/>
      <c r="EJ18375"/>
      <c r="EK18375"/>
    </row>
    <row r="18376" spans="1:141" s="116" customFormat="1">
      <c r="A18376" s="136"/>
      <c r="CM18376" s="111"/>
      <c r="CQ18376" s="111"/>
      <c r="EF18376"/>
      <c r="EG18376"/>
      <c r="EH18376"/>
      <c r="EI18376"/>
      <c r="EJ18376"/>
      <c r="EK18376"/>
    </row>
    <row r="18377" spans="1:141" s="116" customFormat="1">
      <c r="A18377" s="136"/>
      <c r="CM18377" s="111"/>
      <c r="CQ18377" s="111"/>
      <c r="EF18377"/>
      <c r="EG18377"/>
      <c r="EH18377"/>
      <c r="EI18377"/>
      <c r="EJ18377"/>
      <c r="EK18377"/>
    </row>
    <row r="18378" spans="1:141" s="116" customFormat="1">
      <c r="A18378" s="136"/>
      <c r="CM18378" s="111"/>
      <c r="CQ18378" s="111"/>
      <c r="EF18378"/>
      <c r="EG18378"/>
      <c r="EH18378"/>
      <c r="EI18378"/>
      <c r="EJ18378"/>
      <c r="EK18378"/>
    </row>
    <row r="18379" spans="1:141" s="116" customFormat="1">
      <c r="A18379" s="136"/>
      <c r="CM18379" s="111"/>
      <c r="CQ18379" s="111"/>
      <c r="EF18379"/>
      <c r="EG18379"/>
      <c r="EH18379"/>
      <c r="EI18379"/>
      <c r="EJ18379"/>
      <c r="EK18379"/>
    </row>
    <row r="18380" spans="1:141" s="116" customFormat="1">
      <c r="A18380" s="136"/>
      <c r="CM18380" s="111"/>
      <c r="CQ18380" s="111"/>
      <c r="EF18380"/>
      <c r="EG18380"/>
      <c r="EH18380"/>
      <c r="EI18380"/>
      <c r="EJ18380"/>
      <c r="EK18380"/>
    </row>
    <row r="18381" spans="1:141" s="116" customFormat="1">
      <c r="A18381" s="136"/>
      <c r="CM18381" s="111"/>
      <c r="CQ18381" s="111"/>
      <c r="EF18381"/>
      <c r="EG18381"/>
      <c r="EH18381"/>
      <c r="EI18381"/>
      <c r="EJ18381"/>
      <c r="EK18381"/>
    </row>
    <row r="18382" spans="1:141" s="116" customFormat="1">
      <c r="A18382" s="136"/>
      <c r="CM18382" s="111"/>
      <c r="CQ18382" s="111"/>
      <c r="EF18382"/>
      <c r="EG18382"/>
      <c r="EH18382"/>
      <c r="EI18382"/>
      <c r="EJ18382"/>
      <c r="EK18382"/>
    </row>
    <row r="18383" spans="1:141" s="116" customFormat="1">
      <c r="A18383" s="136"/>
      <c r="CM18383" s="111"/>
      <c r="CQ18383" s="111"/>
      <c r="EF18383"/>
      <c r="EG18383"/>
      <c r="EH18383"/>
      <c r="EI18383"/>
      <c r="EJ18383"/>
      <c r="EK18383"/>
    </row>
    <row r="18384" spans="1:141" s="116" customFormat="1">
      <c r="A18384" s="136"/>
      <c r="CM18384" s="111"/>
      <c r="CQ18384" s="111"/>
      <c r="EF18384"/>
      <c r="EG18384"/>
      <c r="EH18384"/>
      <c r="EI18384"/>
      <c r="EJ18384"/>
      <c r="EK18384"/>
    </row>
    <row r="18385" spans="1:141" s="116" customFormat="1">
      <c r="A18385" s="136"/>
      <c r="CM18385" s="111"/>
      <c r="CQ18385" s="111"/>
      <c r="EF18385"/>
      <c r="EG18385"/>
      <c r="EH18385"/>
      <c r="EI18385"/>
      <c r="EJ18385"/>
      <c r="EK18385"/>
    </row>
    <row r="18386" spans="1:141" s="116" customFormat="1">
      <c r="A18386" s="136"/>
      <c r="CM18386" s="111"/>
      <c r="CQ18386" s="111"/>
      <c r="EF18386"/>
      <c r="EG18386"/>
      <c r="EH18386"/>
      <c r="EI18386"/>
      <c r="EJ18386"/>
      <c r="EK18386"/>
    </row>
    <row r="18387" spans="1:141" s="116" customFormat="1">
      <c r="A18387" s="136"/>
      <c r="CM18387" s="111"/>
      <c r="CQ18387" s="111"/>
      <c r="EF18387"/>
      <c r="EG18387"/>
      <c r="EH18387"/>
      <c r="EI18387"/>
      <c r="EJ18387"/>
      <c r="EK18387"/>
    </row>
    <row r="18388" spans="1:141" s="116" customFormat="1">
      <c r="A18388" s="136"/>
      <c r="CM18388" s="111"/>
      <c r="CQ18388" s="111"/>
      <c r="EF18388"/>
      <c r="EG18388"/>
      <c r="EH18388"/>
      <c r="EI18388"/>
      <c r="EJ18388"/>
      <c r="EK18388"/>
    </row>
    <row r="18389" spans="1:141" s="116" customFormat="1">
      <c r="A18389" s="136"/>
      <c r="CM18389" s="111"/>
      <c r="CQ18389" s="111"/>
      <c r="EF18389"/>
      <c r="EG18389"/>
      <c r="EH18389"/>
      <c r="EI18389"/>
      <c r="EJ18389"/>
      <c r="EK18389"/>
    </row>
    <row r="18390" spans="1:141" s="116" customFormat="1">
      <c r="A18390" s="136"/>
      <c r="CM18390" s="111"/>
      <c r="CQ18390" s="111"/>
      <c r="EF18390"/>
      <c r="EG18390"/>
      <c r="EH18390"/>
      <c r="EI18390"/>
      <c r="EJ18390"/>
      <c r="EK18390"/>
    </row>
    <row r="18391" spans="1:141" s="116" customFormat="1">
      <c r="A18391" s="136"/>
      <c r="CM18391" s="111"/>
      <c r="CQ18391" s="111"/>
      <c r="EF18391"/>
      <c r="EG18391"/>
      <c r="EH18391"/>
      <c r="EI18391"/>
      <c r="EJ18391"/>
      <c r="EK18391"/>
    </row>
    <row r="18392" spans="1:141" s="116" customFormat="1">
      <c r="A18392" s="136"/>
      <c r="CM18392" s="111"/>
      <c r="CQ18392" s="111"/>
      <c r="EF18392"/>
      <c r="EG18392"/>
      <c r="EH18392"/>
      <c r="EI18392"/>
      <c r="EJ18392"/>
      <c r="EK18392"/>
    </row>
    <row r="18393" spans="1:141" s="116" customFormat="1">
      <c r="A18393" s="136"/>
      <c r="CM18393" s="111"/>
      <c r="CQ18393" s="111"/>
      <c r="EF18393"/>
      <c r="EG18393"/>
      <c r="EH18393"/>
      <c r="EI18393"/>
      <c r="EJ18393"/>
      <c r="EK18393"/>
    </row>
    <row r="18394" spans="1:141" s="116" customFormat="1">
      <c r="A18394" s="136"/>
      <c r="CM18394" s="111"/>
      <c r="CQ18394" s="111"/>
      <c r="EF18394"/>
      <c r="EG18394"/>
      <c r="EH18394"/>
      <c r="EI18394"/>
      <c r="EJ18394"/>
      <c r="EK18394"/>
    </row>
    <row r="18395" spans="1:141" s="116" customFormat="1">
      <c r="A18395" s="136"/>
      <c r="CM18395" s="111"/>
      <c r="CQ18395" s="111"/>
      <c r="EF18395"/>
      <c r="EG18395"/>
      <c r="EH18395"/>
      <c r="EI18395"/>
      <c r="EJ18395"/>
      <c r="EK18395"/>
    </row>
    <row r="18396" spans="1:141" s="116" customFormat="1">
      <c r="A18396" s="136"/>
      <c r="CM18396" s="111"/>
      <c r="CQ18396" s="111"/>
      <c r="EF18396"/>
      <c r="EG18396"/>
      <c r="EH18396"/>
      <c r="EI18396"/>
      <c r="EJ18396"/>
      <c r="EK18396"/>
    </row>
    <row r="18397" spans="1:141" s="116" customFormat="1">
      <c r="A18397" s="136"/>
      <c r="CM18397" s="111"/>
      <c r="CQ18397" s="111"/>
      <c r="EF18397"/>
      <c r="EG18397"/>
      <c r="EH18397"/>
      <c r="EI18397"/>
      <c r="EJ18397"/>
      <c r="EK18397"/>
    </row>
    <row r="18398" spans="1:141" s="116" customFormat="1">
      <c r="A18398" s="136"/>
      <c r="CM18398" s="111"/>
      <c r="CQ18398" s="111"/>
      <c r="EF18398"/>
      <c r="EG18398"/>
      <c r="EH18398"/>
      <c r="EI18398"/>
      <c r="EJ18398"/>
      <c r="EK18398"/>
    </row>
    <row r="18399" spans="1:141" s="116" customFormat="1">
      <c r="A18399" s="136"/>
      <c r="CM18399" s="111"/>
      <c r="CQ18399" s="111"/>
      <c r="EF18399"/>
      <c r="EG18399"/>
      <c r="EH18399"/>
      <c r="EI18399"/>
      <c r="EJ18399"/>
      <c r="EK18399"/>
    </row>
    <row r="18400" spans="1:141" s="116" customFormat="1">
      <c r="A18400" s="136"/>
      <c r="CM18400" s="111"/>
      <c r="CQ18400" s="111"/>
      <c r="EF18400"/>
      <c r="EG18400"/>
      <c r="EH18400"/>
      <c r="EI18400"/>
      <c r="EJ18400"/>
      <c r="EK18400"/>
    </row>
    <row r="18401" spans="1:141" s="116" customFormat="1">
      <c r="A18401" s="136"/>
      <c r="CM18401" s="111"/>
      <c r="CQ18401" s="111"/>
      <c r="EF18401"/>
      <c r="EG18401"/>
      <c r="EH18401"/>
      <c r="EI18401"/>
      <c r="EJ18401"/>
      <c r="EK18401"/>
    </row>
    <row r="18402" spans="1:141" s="116" customFormat="1">
      <c r="A18402" s="136"/>
      <c r="CM18402" s="111"/>
      <c r="CQ18402" s="111"/>
      <c r="EF18402"/>
      <c r="EG18402"/>
      <c r="EH18402"/>
      <c r="EI18402"/>
      <c r="EJ18402"/>
      <c r="EK18402"/>
    </row>
    <row r="18403" spans="1:141" s="116" customFormat="1">
      <c r="A18403" s="136"/>
      <c r="CM18403" s="111"/>
      <c r="CQ18403" s="111"/>
      <c r="EF18403"/>
      <c r="EG18403"/>
      <c r="EH18403"/>
      <c r="EI18403"/>
      <c r="EJ18403"/>
      <c r="EK18403"/>
    </row>
    <row r="18404" spans="1:141" s="116" customFormat="1">
      <c r="A18404" s="136"/>
      <c r="CM18404" s="111"/>
      <c r="CQ18404" s="111"/>
      <c r="EF18404"/>
      <c r="EG18404"/>
      <c r="EH18404"/>
      <c r="EI18404"/>
      <c r="EJ18404"/>
      <c r="EK18404"/>
    </row>
    <row r="18405" spans="1:141" s="116" customFormat="1">
      <c r="A18405" s="136"/>
      <c r="CM18405" s="111"/>
      <c r="CQ18405" s="111"/>
      <c r="EF18405"/>
      <c r="EG18405"/>
      <c r="EH18405"/>
      <c r="EI18405"/>
      <c r="EJ18405"/>
      <c r="EK18405"/>
    </row>
    <row r="18406" spans="1:141" s="116" customFormat="1">
      <c r="A18406" s="136"/>
      <c r="CM18406" s="111"/>
      <c r="CQ18406" s="111"/>
      <c r="EF18406"/>
      <c r="EG18406"/>
      <c r="EH18406"/>
      <c r="EI18406"/>
      <c r="EJ18406"/>
      <c r="EK18406"/>
    </row>
    <row r="18407" spans="1:141" s="116" customFormat="1">
      <c r="A18407" s="136"/>
      <c r="CM18407" s="111"/>
      <c r="CQ18407" s="111"/>
      <c r="EF18407"/>
      <c r="EG18407"/>
      <c r="EH18407"/>
      <c r="EI18407"/>
      <c r="EJ18407"/>
      <c r="EK18407"/>
    </row>
    <row r="18408" spans="1:141" s="116" customFormat="1">
      <c r="A18408" s="136"/>
      <c r="CM18408" s="111"/>
      <c r="CQ18408" s="111"/>
      <c r="EF18408"/>
      <c r="EG18408"/>
      <c r="EH18408"/>
      <c r="EI18408"/>
      <c r="EJ18408"/>
      <c r="EK18408"/>
    </row>
    <row r="18409" spans="1:141" s="116" customFormat="1">
      <c r="A18409" s="136"/>
      <c r="CM18409" s="111"/>
      <c r="CQ18409" s="111"/>
      <c r="EF18409"/>
      <c r="EG18409"/>
      <c r="EH18409"/>
      <c r="EI18409"/>
      <c r="EJ18409"/>
      <c r="EK18409"/>
    </row>
    <row r="18410" spans="1:141" s="116" customFormat="1">
      <c r="A18410" s="136"/>
      <c r="CM18410" s="111"/>
      <c r="CQ18410" s="111"/>
      <c r="EF18410"/>
      <c r="EG18410"/>
      <c r="EH18410"/>
      <c r="EI18410"/>
      <c r="EJ18410"/>
      <c r="EK18410"/>
    </row>
    <row r="18411" spans="1:141" s="116" customFormat="1">
      <c r="A18411" s="136"/>
      <c r="CM18411" s="111"/>
      <c r="CQ18411" s="111"/>
      <c r="EF18411"/>
      <c r="EG18411"/>
      <c r="EH18411"/>
      <c r="EI18411"/>
      <c r="EJ18411"/>
      <c r="EK18411"/>
    </row>
    <row r="18412" spans="1:141" s="116" customFormat="1">
      <c r="A18412" s="136"/>
      <c r="CM18412" s="111"/>
      <c r="CQ18412" s="111"/>
      <c r="EF18412"/>
      <c r="EG18412"/>
      <c r="EH18412"/>
      <c r="EI18412"/>
      <c r="EJ18412"/>
      <c r="EK18412"/>
    </row>
    <row r="18413" spans="1:141" s="116" customFormat="1">
      <c r="A18413" s="136"/>
      <c r="CM18413" s="111"/>
      <c r="CQ18413" s="111"/>
      <c r="EF18413"/>
      <c r="EG18413"/>
      <c r="EH18413"/>
      <c r="EI18413"/>
      <c r="EJ18413"/>
      <c r="EK18413"/>
    </row>
    <row r="18414" spans="1:141" s="116" customFormat="1">
      <c r="A18414" s="136"/>
      <c r="CM18414" s="111"/>
      <c r="CQ18414" s="111"/>
      <c r="EF18414"/>
      <c r="EG18414"/>
      <c r="EH18414"/>
      <c r="EI18414"/>
      <c r="EJ18414"/>
      <c r="EK18414"/>
    </row>
    <row r="18415" spans="1:141" s="116" customFormat="1">
      <c r="A18415" s="136"/>
      <c r="CM18415" s="111"/>
      <c r="CQ18415" s="111"/>
      <c r="EF18415"/>
      <c r="EG18415"/>
      <c r="EH18415"/>
      <c r="EI18415"/>
      <c r="EJ18415"/>
      <c r="EK18415"/>
    </row>
    <row r="18416" spans="1:141" s="116" customFormat="1">
      <c r="A18416" s="136"/>
      <c r="CM18416" s="111"/>
      <c r="CQ18416" s="111"/>
      <c r="EF18416"/>
      <c r="EG18416"/>
      <c r="EH18416"/>
      <c r="EI18416"/>
      <c r="EJ18416"/>
      <c r="EK18416"/>
    </row>
    <row r="18417" spans="1:141" s="116" customFormat="1">
      <c r="A18417" s="136"/>
      <c r="CM18417" s="111"/>
      <c r="CQ18417" s="111"/>
      <c r="EF18417"/>
      <c r="EG18417"/>
      <c r="EH18417"/>
      <c r="EI18417"/>
      <c r="EJ18417"/>
      <c r="EK18417"/>
    </row>
    <row r="18418" spans="1:141" s="116" customFormat="1">
      <c r="A18418" s="136"/>
      <c r="CM18418" s="111"/>
      <c r="CQ18418" s="111"/>
      <c r="EF18418"/>
      <c r="EG18418"/>
      <c r="EH18418"/>
      <c r="EI18418"/>
      <c r="EJ18418"/>
      <c r="EK18418"/>
    </row>
    <row r="18419" spans="1:141" s="116" customFormat="1">
      <c r="A18419" s="136"/>
      <c r="CM18419" s="111"/>
      <c r="CQ18419" s="111"/>
      <c r="EF18419"/>
      <c r="EG18419"/>
      <c r="EH18419"/>
      <c r="EI18419"/>
      <c r="EJ18419"/>
      <c r="EK18419"/>
    </row>
    <row r="18420" spans="1:141" s="116" customFormat="1">
      <c r="A18420" s="136"/>
      <c r="CM18420" s="111"/>
      <c r="CQ18420" s="111"/>
      <c r="EF18420"/>
      <c r="EG18420"/>
      <c r="EH18420"/>
      <c r="EI18420"/>
      <c r="EJ18420"/>
      <c r="EK18420"/>
    </row>
    <row r="18421" spans="1:141" s="116" customFormat="1">
      <c r="A18421" s="136"/>
      <c r="CM18421" s="111"/>
      <c r="CQ18421" s="111"/>
      <c r="EF18421"/>
      <c r="EG18421"/>
      <c r="EH18421"/>
      <c r="EI18421"/>
      <c r="EJ18421"/>
      <c r="EK18421"/>
    </row>
    <row r="18422" spans="1:141" s="116" customFormat="1">
      <c r="A18422" s="136"/>
      <c r="CM18422" s="111"/>
      <c r="CQ18422" s="111"/>
      <c r="EF18422"/>
      <c r="EG18422"/>
      <c r="EH18422"/>
      <c r="EI18422"/>
      <c r="EJ18422"/>
      <c r="EK18422"/>
    </row>
    <row r="18423" spans="1:141" s="116" customFormat="1">
      <c r="A18423" s="136"/>
      <c r="CM18423" s="111"/>
      <c r="CQ18423" s="111"/>
      <c r="EF18423"/>
      <c r="EG18423"/>
      <c r="EH18423"/>
      <c r="EI18423"/>
      <c r="EJ18423"/>
      <c r="EK18423"/>
    </row>
    <row r="18424" spans="1:141" s="116" customFormat="1">
      <c r="A18424" s="136"/>
      <c r="CM18424" s="111"/>
      <c r="CQ18424" s="111"/>
      <c r="EF18424"/>
      <c r="EG18424"/>
      <c r="EH18424"/>
      <c r="EI18424"/>
      <c r="EJ18424"/>
      <c r="EK18424"/>
    </row>
    <row r="18425" spans="1:141" s="116" customFormat="1">
      <c r="A18425" s="136"/>
      <c r="CM18425" s="111"/>
      <c r="CQ18425" s="111"/>
      <c r="EF18425"/>
      <c r="EG18425"/>
      <c r="EH18425"/>
      <c r="EI18425"/>
      <c r="EJ18425"/>
      <c r="EK18425"/>
    </row>
    <row r="18426" spans="1:141" s="116" customFormat="1">
      <c r="A18426" s="136"/>
      <c r="CM18426" s="111"/>
      <c r="CQ18426" s="111"/>
      <c r="EF18426"/>
      <c r="EG18426"/>
      <c r="EH18426"/>
      <c r="EI18426"/>
      <c r="EJ18426"/>
      <c r="EK18426"/>
    </row>
    <row r="18427" spans="1:141" s="116" customFormat="1">
      <c r="A18427" s="136"/>
      <c r="CM18427" s="111"/>
      <c r="CQ18427" s="111"/>
      <c r="EF18427"/>
      <c r="EG18427"/>
      <c r="EH18427"/>
      <c r="EI18427"/>
      <c r="EJ18427"/>
      <c r="EK18427"/>
    </row>
    <row r="18428" spans="1:141" s="116" customFormat="1">
      <c r="A18428" s="136"/>
      <c r="CM18428" s="111"/>
      <c r="CQ18428" s="111"/>
      <c r="EF18428"/>
      <c r="EG18428"/>
      <c r="EH18428"/>
      <c r="EI18428"/>
      <c r="EJ18428"/>
      <c r="EK18428"/>
    </row>
    <row r="18429" spans="1:141" s="116" customFormat="1">
      <c r="A18429" s="136"/>
      <c r="CM18429" s="111"/>
      <c r="CQ18429" s="111"/>
      <c r="EF18429"/>
      <c r="EG18429"/>
      <c r="EH18429"/>
      <c r="EI18429"/>
      <c r="EJ18429"/>
      <c r="EK18429"/>
    </row>
    <row r="18430" spans="1:141" s="116" customFormat="1">
      <c r="A18430" s="136"/>
      <c r="CM18430" s="111"/>
      <c r="CQ18430" s="111"/>
      <c r="EF18430"/>
      <c r="EG18430"/>
      <c r="EH18430"/>
      <c r="EI18430"/>
      <c r="EJ18430"/>
      <c r="EK18430"/>
    </row>
    <row r="18431" spans="1:141" s="116" customFormat="1">
      <c r="A18431" s="136"/>
      <c r="CM18431" s="111"/>
      <c r="CQ18431" s="111"/>
      <c r="EF18431"/>
      <c r="EG18431"/>
      <c r="EH18431"/>
      <c r="EI18431"/>
      <c r="EJ18431"/>
      <c r="EK18431"/>
    </row>
    <row r="18432" spans="1:141" s="116" customFormat="1">
      <c r="A18432" s="136"/>
      <c r="CM18432" s="111"/>
      <c r="CQ18432" s="111"/>
      <c r="EF18432"/>
      <c r="EG18432"/>
      <c r="EH18432"/>
      <c r="EI18432"/>
      <c r="EJ18432"/>
      <c r="EK18432"/>
    </row>
    <row r="18433" spans="1:141" s="116" customFormat="1">
      <c r="A18433" s="136"/>
      <c r="CM18433" s="111"/>
      <c r="CQ18433" s="111"/>
      <c r="EF18433"/>
      <c r="EG18433"/>
      <c r="EH18433"/>
      <c r="EI18433"/>
      <c r="EJ18433"/>
      <c r="EK18433"/>
    </row>
    <row r="18434" spans="1:141" s="116" customFormat="1">
      <c r="A18434" s="136"/>
      <c r="CM18434" s="111"/>
      <c r="CQ18434" s="111"/>
      <c r="EF18434"/>
      <c r="EG18434"/>
      <c r="EH18434"/>
      <c r="EI18434"/>
      <c r="EJ18434"/>
      <c r="EK18434"/>
    </row>
    <row r="18435" spans="1:141" s="116" customFormat="1">
      <c r="A18435" s="136"/>
      <c r="CM18435" s="111"/>
      <c r="CQ18435" s="111"/>
      <c r="EF18435"/>
      <c r="EG18435"/>
      <c r="EH18435"/>
      <c r="EI18435"/>
      <c r="EJ18435"/>
      <c r="EK18435"/>
    </row>
    <row r="18436" spans="1:141" s="116" customFormat="1">
      <c r="A18436" s="136"/>
      <c r="CM18436" s="111"/>
      <c r="CQ18436" s="111"/>
      <c r="EF18436"/>
      <c r="EG18436"/>
      <c r="EH18436"/>
      <c r="EI18436"/>
      <c r="EJ18436"/>
      <c r="EK18436"/>
    </row>
    <row r="18437" spans="1:141" s="116" customFormat="1">
      <c r="A18437" s="136"/>
      <c r="CM18437" s="111"/>
      <c r="CQ18437" s="111"/>
      <c r="EF18437"/>
      <c r="EG18437"/>
      <c r="EH18437"/>
      <c r="EI18437"/>
      <c r="EJ18437"/>
      <c r="EK18437"/>
    </row>
    <row r="18438" spans="1:141" s="116" customFormat="1">
      <c r="A18438" s="136"/>
      <c r="CM18438" s="111"/>
      <c r="CQ18438" s="111"/>
      <c r="EF18438"/>
      <c r="EG18438"/>
      <c r="EH18438"/>
      <c r="EI18438"/>
      <c r="EJ18438"/>
      <c r="EK18438"/>
    </row>
    <row r="18439" spans="1:141" s="116" customFormat="1">
      <c r="A18439" s="136"/>
      <c r="CM18439" s="111"/>
      <c r="CQ18439" s="111"/>
      <c r="EF18439"/>
      <c r="EG18439"/>
      <c r="EH18439"/>
      <c r="EI18439"/>
      <c r="EJ18439"/>
      <c r="EK18439"/>
    </row>
    <row r="18440" spans="1:141" s="116" customFormat="1">
      <c r="A18440" s="136"/>
      <c r="CM18440" s="111"/>
      <c r="CQ18440" s="111"/>
      <c r="EF18440"/>
      <c r="EG18440"/>
      <c r="EH18440"/>
      <c r="EI18440"/>
      <c r="EJ18440"/>
      <c r="EK18440"/>
    </row>
    <row r="18441" spans="1:141" s="116" customFormat="1">
      <c r="A18441" s="136"/>
      <c r="CM18441" s="111"/>
      <c r="CQ18441" s="111"/>
      <c r="EF18441"/>
      <c r="EG18441"/>
      <c r="EH18441"/>
      <c r="EI18441"/>
      <c r="EJ18441"/>
      <c r="EK18441"/>
    </row>
    <row r="18442" spans="1:141" s="116" customFormat="1">
      <c r="A18442" s="136"/>
      <c r="CM18442" s="111"/>
      <c r="CQ18442" s="111"/>
      <c r="EF18442"/>
      <c r="EG18442"/>
      <c r="EH18442"/>
      <c r="EI18442"/>
      <c r="EJ18442"/>
      <c r="EK18442"/>
    </row>
    <row r="18443" spans="1:141" s="116" customFormat="1">
      <c r="A18443" s="136"/>
      <c r="CM18443" s="111"/>
      <c r="CQ18443" s="111"/>
      <c r="EF18443"/>
      <c r="EG18443"/>
      <c r="EH18443"/>
      <c r="EI18443"/>
      <c r="EJ18443"/>
      <c r="EK18443"/>
    </row>
    <row r="18444" spans="1:141" s="116" customFormat="1">
      <c r="A18444" s="136"/>
      <c r="CM18444" s="111"/>
      <c r="CQ18444" s="111"/>
      <c r="EF18444"/>
      <c r="EG18444"/>
      <c r="EH18444"/>
      <c r="EI18444"/>
      <c r="EJ18444"/>
      <c r="EK18444"/>
    </row>
    <row r="18445" spans="1:141" s="116" customFormat="1">
      <c r="A18445" s="136"/>
      <c r="CM18445" s="111"/>
      <c r="CQ18445" s="111"/>
      <c r="EF18445"/>
      <c r="EG18445"/>
      <c r="EH18445"/>
      <c r="EI18445"/>
      <c r="EJ18445"/>
      <c r="EK18445"/>
    </row>
    <row r="18446" spans="1:141" s="116" customFormat="1">
      <c r="A18446" s="136"/>
      <c r="CM18446" s="111"/>
      <c r="CQ18446" s="111"/>
      <c r="EF18446"/>
      <c r="EG18446"/>
      <c r="EH18446"/>
      <c r="EI18446"/>
      <c r="EJ18446"/>
      <c r="EK18446"/>
    </row>
    <row r="18447" spans="1:141" s="116" customFormat="1">
      <c r="A18447" s="136"/>
      <c r="CM18447" s="111"/>
      <c r="CQ18447" s="111"/>
      <c r="EF18447"/>
      <c r="EG18447"/>
      <c r="EH18447"/>
      <c r="EI18447"/>
      <c r="EJ18447"/>
      <c r="EK18447"/>
    </row>
    <row r="18448" spans="1:141" s="116" customFormat="1">
      <c r="A18448" s="136"/>
      <c r="CM18448" s="111"/>
      <c r="CQ18448" s="111"/>
      <c r="EF18448"/>
      <c r="EG18448"/>
      <c r="EH18448"/>
      <c r="EI18448"/>
      <c r="EJ18448"/>
      <c r="EK18448"/>
    </row>
    <row r="18449" spans="1:141" s="116" customFormat="1">
      <c r="A18449" s="136"/>
      <c r="CM18449" s="111"/>
      <c r="CQ18449" s="111"/>
      <c r="EF18449"/>
      <c r="EG18449"/>
      <c r="EH18449"/>
      <c r="EI18449"/>
      <c r="EJ18449"/>
      <c r="EK18449"/>
    </row>
    <row r="18450" spans="1:141" s="116" customFormat="1">
      <c r="A18450" s="136"/>
      <c r="CM18450" s="111"/>
      <c r="CQ18450" s="111"/>
      <c r="EF18450"/>
      <c r="EG18450"/>
      <c r="EH18450"/>
      <c r="EI18450"/>
      <c r="EJ18450"/>
      <c r="EK18450"/>
    </row>
    <row r="18451" spans="1:141" s="116" customFormat="1">
      <c r="A18451" s="136"/>
      <c r="CM18451" s="111"/>
      <c r="CQ18451" s="111"/>
      <c r="EF18451"/>
      <c r="EG18451"/>
      <c r="EH18451"/>
      <c r="EI18451"/>
      <c r="EJ18451"/>
      <c r="EK18451"/>
    </row>
    <row r="18452" spans="1:141" s="116" customFormat="1">
      <c r="A18452" s="136"/>
      <c r="CM18452" s="111"/>
      <c r="CQ18452" s="111"/>
      <c r="EF18452"/>
      <c r="EG18452"/>
      <c r="EH18452"/>
      <c r="EI18452"/>
      <c r="EJ18452"/>
      <c r="EK18452"/>
    </row>
    <row r="18453" spans="1:141" s="116" customFormat="1">
      <c r="A18453" s="136"/>
      <c r="CM18453" s="111"/>
      <c r="CQ18453" s="111"/>
      <c r="EF18453"/>
      <c r="EG18453"/>
      <c r="EH18453"/>
      <c r="EI18453"/>
      <c r="EJ18453"/>
      <c r="EK18453"/>
    </row>
    <row r="18454" spans="1:141" s="116" customFormat="1">
      <c r="A18454" s="136"/>
      <c r="CM18454" s="111"/>
      <c r="CQ18454" s="111"/>
      <c r="EF18454"/>
      <c r="EG18454"/>
      <c r="EH18454"/>
      <c r="EI18454"/>
      <c r="EJ18454"/>
      <c r="EK18454"/>
    </row>
    <row r="18455" spans="1:141" s="116" customFormat="1">
      <c r="A18455" s="136"/>
      <c r="CM18455" s="111"/>
      <c r="CQ18455" s="111"/>
      <c r="EF18455"/>
      <c r="EG18455"/>
      <c r="EH18455"/>
      <c r="EI18455"/>
      <c r="EJ18455"/>
      <c r="EK18455"/>
    </row>
    <row r="18456" spans="1:141" s="116" customFormat="1">
      <c r="A18456" s="136"/>
      <c r="CM18456" s="111"/>
      <c r="CQ18456" s="111"/>
      <c r="EF18456"/>
      <c r="EG18456"/>
      <c r="EH18456"/>
      <c r="EI18456"/>
      <c r="EJ18456"/>
      <c r="EK18456"/>
    </row>
    <row r="18457" spans="1:141" s="116" customFormat="1">
      <c r="A18457" s="136"/>
      <c r="CM18457" s="111"/>
      <c r="CQ18457" s="111"/>
      <c r="EF18457"/>
      <c r="EG18457"/>
      <c r="EH18457"/>
      <c r="EI18457"/>
      <c r="EJ18457"/>
      <c r="EK18457"/>
    </row>
    <row r="18458" spans="1:141" s="116" customFormat="1">
      <c r="A18458" s="136"/>
      <c r="CM18458" s="111"/>
      <c r="CQ18458" s="111"/>
      <c r="EF18458"/>
      <c r="EG18458"/>
      <c r="EH18458"/>
      <c r="EI18458"/>
      <c r="EJ18458"/>
      <c r="EK18458"/>
    </row>
    <row r="18459" spans="1:141" s="116" customFormat="1">
      <c r="A18459" s="136"/>
      <c r="CM18459" s="111"/>
      <c r="CQ18459" s="111"/>
      <c r="EF18459"/>
      <c r="EG18459"/>
      <c r="EH18459"/>
      <c r="EI18459"/>
      <c r="EJ18459"/>
      <c r="EK18459"/>
    </row>
    <row r="18460" spans="1:141" s="116" customFormat="1">
      <c r="A18460" s="136"/>
      <c r="CM18460" s="111"/>
      <c r="CQ18460" s="111"/>
      <c r="EF18460"/>
      <c r="EG18460"/>
      <c r="EH18460"/>
      <c r="EI18460"/>
      <c r="EJ18460"/>
      <c r="EK18460"/>
    </row>
    <row r="18461" spans="1:141" s="116" customFormat="1">
      <c r="A18461" s="136"/>
      <c r="CM18461" s="111"/>
      <c r="CQ18461" s="111"/>
      <c r="EF18461"/>
      <c r="EG18461"/>
      <c r="EH18461"/>
      <c r="EI18461"/>
      <c r="EJ18461"/>
      <c r="EK18461"/>
    </row>
    <row r="18462" spans="1:141" s="116" customFormat="1">
      <c r="A18462" s="136"/>
      <c r="CM18462" s="111"/>
      <c r="CQ18462" s="111"/>
      <c r="EF18462"/>
      <c r="EG18462"/>
      <c r="EH18462"/>
      <c r="EI18462"/>
      <c r="EJ18462"/>
      <c r="EK18462"/>
    </row>
    <row r="18463" spans="1:141" s="116" customFormat="1">
      <c r="A18463" s="136"/>
      <c r="CM18463" s="111"/>
      <c r="CQ18463" s="111"/>
      <c r="EF18463"/>
      <c r="EG18463"/>
      <c r="EH18463"/>
      <c r="EI18463"/>
      <c r="EJ18463"/>
      <c r="EK18463"/>
    </row>
    <row r="18464" spans="1:141" s="116" customFormat="1">
      <c r="A18464" s="136"/>
      <c r="CM18464" s="111"/>
      <c r="CQ18464" s="111"/>
      <c r="EF18464"/>
      <c r="EG18464"/>
      <c r="EH18464"/>
      <c r="EI18464"/>
      <c r="EJ18464"/>
      <c r="EK18464"/>
    </row>
    <row r="18465" spans="1:141" s="116" customFormat="1">
      <c r="A18465" s="136"/>
      <c r="CM18465" s="111"/>
      <c r="CQ18465" s="111"/>
      <c r="EF18465"/>
      <c r="EG18465"/>
      <c r="EH18465"/>
      <c r="EI18465"/>
      <c r="EJ18465"/>
      <c r="EK18465"/>
    </row>
    <row r="18466" spans="1:141" s="116" customFormat="1">
      <c r="A18466" s="136"/>
      <c r="CM18466" s="111"/>
      <c r="CQ18466" s="111"/>
      <c r="EF18466"/>
      <c r="EG18466"/>
      <c r="EH18466"/>
      <c r="EI18466"/>
      <c r="EJ18466"/>
      <c r="EK18466"/>
    </row>
    <row r="18467" spans="1:141" s="116" customFormat="1">
      <c r="A18467" s="136"/>
      <c r="CM18467" s="111"/>
      <c r="CQ18467" s="111"/>
      <c r="EF18467"/>
      <c r="EG18467"/>
      <c r="EH18467"/>
      <c r="EI18467"/>
      <c r="EJ18467"/>
      <c r="EK18467"/>
    </row>
    <row r="18468" spans="1:141" s="116" customFormat="1">
      <c r="A18468" s="136"/>
      <c r="CM18468" s="111"/>
      <c r="CQ18468" s="111"/>
      <c r="EF18468"/>
      <c r="EG18468"/>
      <c r="EH18468"/>
      <c r="EI18468"/>
      <c r="EJ18468"/>
      <c r="EK18468"/>
    </row>
    <row r="18469" spans="1:141" s="116" customFormat="1">
      <c r="A18469" s="136"/>
      <c r="CM18469" s="111"/>
      <c r="CQ18469" s="111"/>
      <c r="EF18469"/>
      <c r="EG18469"/>
      <c r="EH18469"/>
      <c r="EI18469"/>
      <c r="EJ18469"/>
      <c r="EK18469"/>
    </row>
    <row r="18470" spans="1:141" s="116" customFormat="1">
      <c r="A18470" s="136"/>
      <c r="CM18470" s="111"/>
      <c r="CQ18470" s="111"/>
      <c r="EF18470"/>
      <c r="EG18470"/>
      <c r="EH18470"/>
      <c r="EI18470"/>
      <c r="EJ18470"/>
      <c r="EK18470"/>
    </row>
    <row r="18471" spans="1:141" s="116" customFormat="1">
      <c r="A18471" s="136"/>
      <c r="CM18471" s="111"/>
      <c r="CQ18471" s="111"/>
      <c r="EF18471"/>
      <c r="EG18471"/>
      <c r="EH18471"/>
      <c r="EI18471"/>
      <c r="EJ18471"/>
      <c r="EK18471"/>
    </row>
    <row r="18472" spans="1:141" s="116" customFormat="1">
      <c r="A18472" s="136"/>
      <c r="CM18472" s="111"/>
      <c r="CQ18472" s="111"/>
      <c r="EF18472"/>
      <c r="EG18472"/>
      <c r="EH18472"/>
      <c r="EI18472"/>
      <c r="EJ18472"/>
      <c r="EK18472"/>
    </row>
    <row r="18473" spans="1:141" s="116" customFormat="1">
      <c r="A18473" s="136"/>
      <c r="CM18473" s="111"/>
      <c r="CQ18473" s="111"/>
      <c r="EF18473"/>
      <c r="EG18473"/>
      <c r="EH18473"/>
      <c r="EI18473"/>
      <c r="EJ18473"/>
      <c r="EK18473"/>
    </row>
    <row r="18474" spans="1:141" s="116" customFormat="1">
      <c r="A18474" s="136"/>
      <c r="CM18474" s="111"/>
      <c r="CQ18474" s="111"/>
      <c r="EF18474"/>
      <c r="EG18474"/>
      <c r="EH18474"/>
      <c r="EI18474"/>
      <c r="EJ18474"/>
      <c r="EK18474"/>
    </row>
    <row r="18475" spans="1:141" s="116" customFormat="1">
      <c r="A18475" s="136"/>
      <c r="CM18475" s="111"/>
      <c r="CQ18475" s="111"/>
      <c r="EF18475"/>
      <c r="EG18475"/>
      <c r="EH18475"/>
      <c r="EI18475"/>
      <c r="EJ18475"/>
      <c r="EK18475"/>
    </row>
    <row r="18476" spans="1:141" s="116" customFormat="1">
      <c r="A18476" s="136"/>
      <c r="CM18476" s="111"/>
      <c r="CQ18476" s="111"/>
      <c r="EF18476"/>
      <c r="EG18476"/>
      <c r="EH18476"/>
      <c r="EI18476"/>
      <c r="EJ18476"/>
      <c r="EK18476"/>
    </row>
    <row r="18477" spans="1:141" s="116" customFormat="1">
      <c r="A18477" s="136"/>
      <c r="CM18477" s="111"/>
      <c r="CQ18477" s="111"/>
      <c r="EF18477"/>
      <c r="EG18477"/>
      <c r="EH18477"/>
      <c r="EI18477"/>
      <c r="EJ18477"/>
      <c r="EK18477"/>
    </row>
    <row r="18478" spans="1:141" s="116" customFormat="1">
      <c r="A18478" s="136"/>
      <c r="CM18478" s="111"/>
      <c r="CQ18478" s="111"/>
      <c r="EF18478"/>
      <c r="EG18478"/>
      <c r="EH18478"/>
      <c r="EI18478"/>
      <c r="EJ18478"/>
      <c r="EK18478"/>
    </row>
    <row r="18479" spans="1:141" s="116" customFormat="1">
      <c r="A18479" s="136"/>
      <c r="CM18479" s="111"/>
      <c r="CQ18479" s="111"/>
      <c r="EF18479"/>
      <c r="EG18479"/>
      <c r="EH18479"/>
      <c r="EI18479"/>
      <c r="EJ18479"/>
      <c r="EK18479"/>
    </row>
    <row r="18480" spans="1:141" s="116" customFormat="1">
      <c r="A18480" s="136"/>
      <c r="CM18480" s="111"/>
      <c r="CQ18480" s="111"/>
      <c r="EF18480"/>
      <c r="EG18480"/>
      <c r="EH18480"/>
      <c r="EI18480"/>
      <c r="EJ18480"/>
      <c r="EK18480"/>
    </row>
    <row r="18481" spans="1:141" s="116" customFormat="1">
      <c r="A18481" s="136"/>
      <c r="CM18481" s="111"/>
      <c r="CQ18481" s="111"/>
      <c r="EF18481"/>
      <c r="EG18481"/>
      <c r="EH18481"/>
      <c r="EI18481"/>
      <c r="EJ18481"/>
      <c r="EK18481"/>
    </row>
    <row r="18482" spans="1:141" s="116" customFormat="1">
      <c r="A18482" s="136"/>
      <c r="CM18482" s="111"/>
      <c r="CQ18482" s="111"/>
      <c r="EF18482"/>
      <c r="EG18482"/>
      <c r="EH18482"/>
      <c r="EI18482"/>
      <c r="EJ18482"/>
      <c r="EK18482"/>
    </row>
    <row r="18483" spans="1:141" s="116" customFormat="1">
      <c r="A18483" s="136"/>
      <c r="CM18483" s="111"/>
      <c r="CQ18483" s="111"/>
      <c r="EF18483"/>
      <c r="EG18483"/>
      <c r="EH18483"/>
      <c r="EI18483"/>
      <c r="EJ18483"/>
      <c r="EK18483"/>
    </row>
    <row r="18484" spans="1:141" s="116" customFormat="1">
      <c r="A18484" s="136"/>
      <c r="CM18484" s="111"/>
      <c r="CQ18484" s="111"/>
      <c r="EF18484"/>
      <c r="EG18484"/>
      <c r="EH18484"/>
      <c r="EI18484"/>
      <c r="EJ18484"/>
      <c r="EK18484"/>
    </row>
    <row r="18485" spans="1:141" s="116" customFormat="1">
      <c r="A18485" s="136"/>
      <c r="CM18485" s="111"/>
      <c r="CQ18485" s="111"/>
      <c r="EF18485"/>
      <c r="EG18485"/>
      <c r="EH18485"/>
      <c r="EI18485"/>
      <c r="EJ18485"/>
      <c r="EK18485"/>
    </row>
    <row r="18486" spans="1:141" s="116" customFormat="1">
      <c r="A18486" s="136"/>
      <c r="CM18486" s="111"/>
      <c r="CQ18486" s="111"/>
      <c r="EF18486"/>
      <c r="EG18486"/>
      <c r="EH18486"/>
      <c r="EI18486"/>
      <c r="EJ18486"/>
      <c r="EK18486"/>
    </row>
    <row r="18487" spans="1:141" s="116" customFormat="1">
      <c r="A18487" s="136"/>
      <c r="CM18487" s="111"/>
      <c r="CQ18487" s="111"/>
      <c r="EF18487"/>
      <c r="EG18487"/>
      <c r="EH18487"/>
      <c r="EI18487"/>
      <c r="EJ18487"/>
      <c r="EK18487"/>
    </row>
    <row r="18488" spans="1:141" s="116" customFormat="1">
      <c r="A18488" s="136"/>
      <c r="CM18488" s="111"/>
      <c r="CQ18488" s="111"/>
      <c r="EF18488"/>
      <c r="EG18488"/>
      <c r="EH18488"/>
      <c r="EI18488"/>
      <c r="EJ18488"/>
      <c r="EK18488"/>
    </row>
    <row r="18489" spans="1:141" s="116" customFormat="1">
      <c r="A18489" s="136"/>
      <c r="CM18489" s="111"/>
      <c r="CQ18489" s="111"/>
      <c r="EF18489"/>
      <c r="EG18489"/>
      <c r="EH18489"/>
      <c r="EI18489"/>
      <c r="EJ18489"/>
      <c r="EK18489"/>
    </row>
    <row r="18490" spans="1:141" s="116" customFormat="1">
      <c r="A18490" s="136"/>
      <c r="CM18490" s="111"/>
      <c r="CQ18490" s="111"/>
      <c r="EF18490"/>
      <c r="EG18490"/>
      <c r="EH18490"/>
      <c r="EI18490"/>
      <c r="EJ18490"/>
      <c r="EK18490"/>
    </row>
    <row r="18491" spans="1:141" s="116" customFormat="1">
      <c r="A18491" s="136"/>
      <c r="CM18491" s="111"/>
      <c r="CQ18491" s="111"/>
      <c r="EF18491"/>
      <c r="EG18491"/>
      <c r="EH18491"/>
      <c r="EI18491"/>
      <c r="EJ18491"/>
      <c r="EK18491"/>
    </row>
    <row r="18492" spans="1:141" s="116" customFormat="1">
      <c r="A18492" s="136"/>
      <c r="CM18492" s="111"/>
      <c r="CQ18492" s="111"/>
      <c r="EF18492"/>
      <c r="EG18492"/>
      <c r="EH18492"/>
      <c r="EI18492"/>
      <c r="EJ18492"/>
      <c r="EK18492"/>
    </row>
    <row r="18493" spans="1:141" s="116" customFormat="1">
      <c r="A18493" s="136"/>
      <c r="CM18493" s="111"/>
      <c r="CQ18493" s="111"/>
      <c r="EF18493"/>
      <c r="EG18493"/>
      <c r="EH18493"/>
      <c r="EI18493"/>
      <c r="EJ18493"/>
      <c r="EK18493"/>
    </row>
    <row r="18494" spans="1:141" s="116" customFormat="1">
      <c r="A18494" s="136"/>
      <c r="CM18494" s="111"/>
      <c r="CQ18494" s="111"/>
      <c r="EF18494"/>
      <c r="EG18494"/>
      <c r="EH18494"/>
      <c r="EI18494"/>
      <c r="EJ18494"/>
      <c r="EK18494"/>
    </row>
    <row r="18495" spans="1:141" s="116" customFormat="1">
      <c r="A18495" s="136"/>
      <c r="CM18495" s="111"/>
      <c r="CQ18495" s="111"/>
      <c r="EF18495"/>
      <c r="EG18495"/>
      <c r="EH18495"/>
      <c r="EI18495"/>
      <c r="EJ18495"/>
      <c r="EK18495"/>
    </row>
    <row r="18496" spans="1:141" s="116" customFormat="1">
      <c r="A18496" s="136"/>
      <c r="CM18496" s="111"/>
      <c r="CQ18496" s="111"/>
      <c r="EF18496"/>
      <c r="EG18496"/>
      <c r="EH18496"/>
      <c r="EI18496"/>
      <c r="EJ18496"/>
      <c r="EK18496"/>
    </row>
    <row r="18497" spans="1:141" s="116" customFormat="1">
      <c r="A18497" s="136"/>
      <c r="CM18497" s="111"/>
      <c r="CQ18497" s="111"/>
      <c r="EF18497"/>
      <c r="EG18497"/>
      <c r="EH18497"/>
      <c r="EI18497"/>
      <c r="EJ18497"/>
      <c r="EK18497"/>
    </row>
    <row r="18498" spans="1:141" s="116" customFormat="1">
      <c r="A18498" s="136"/>
      <c r="CM18498" s="111"/>
      <c r="CQ18498" s="111"/>
      <c r="EF18498"/>
      <c r="EG18498"/>
      <c r="EH18498"/>
      <c r="EI18498"/>
      <c r="EJ18498"/>
      <c r="EK18498"/>
    </row>
    <row r="18499" spans="1:141" s="116" customFormat="1">
      <c r="A18499" s="136"/>
      <c r="CM18499" s="111"/>
      <c r="CQ18499" s="111"/>
      <c r="EF18499"/>
      <c r="EG18499"/>
      <c r="EH18499"/>
      <c r="EI18499"/>
      <c r="EJ18499"/>
      <c r="EK18499"/>
    </row>
    <row r="18500" spans="1:141" s="116" customFormat="1">
      <c r="A18500" s="136"/>
      <c r="CM18500" s="111"/>
      <c r="CQ18500" s="111"/>
      <c r="EF18500"/>
      <c r="EG18500"/>
      <c r="EH18500"/>
      <c r="EI18500"/>
      <c r="EJ18500"/>
      <c r="EK18500"/>
    </row>
    <row r="18501" spans="1:141" s="116" customFormat="1">
      <c r="A18501" s="136"/>
      <c r="CM18501" s="111"/>
      <c r="CQ18501" s="111"/>
      <c r="EF18501"/>
      <c r="EG18501"/>
      <c r="EH18501"/>
      <c r="EI18501"/>
      <c r="EJ18501"/>
      <c r="EK18501"/>
    </row>
    <row r="18502" spans="1:141" s="116" customFormat="1">
      <c r="A18502" s="136"/>
      <c r="CM18502" s="111"/>
      <c r="CQ18502" s="111"/>
      <c r="EF18502"/>
      <c r="EG18502"/>
      <c r="EH18502"/>
      <c r="EI18502"/>
      <c r="EJ18502"/>
      <c r="EK18502"/>
    </row>
    <row r="18503" spans="1:141" s="116" customFormat="1">
      <c r="A18503" s="136"/>
      <c r="CM18503" s="111"/>
      <c r="CQ18503" s="111"/>
      <c r="EF18503"/>
      <c r="EG18503"/>
      <c r="EH18503"/>
      <c r="EI18503"/>
      <c r="EJ18503"/>
      <c r="EK18503"/>
    </row>
    <row r="18504" spans="1:141" s="116" customFormat="1">
      <c r="A18504" s="136"/>
      <c r="CM18504" s="111"/>
      <c r="CQ18504" s="111"/>
      <c r="EF18504"/>
      <c r="EG18504"/>
      <c r="EH18504"/>
      <c r="EI18504"/>
      <c r="EJ18504"/>
      <c r="EK18504"/>
    </row>
    <row r="18505" spans="1:141" s="116" customFormat="1">
      <c r="A18505" s="136"/>
      <c r="CM18505" s="111"/>
      <c r="CQ18505" s="111"/>
      <c r="EF18505"/>
      <c r="EG18505"/>
      <c r="EH18505"/>
      <c r="EI18505"/>
      <c r="EJ18505"/>
      <c r="EK18505"/>
    </row>
    <row r="18506" spans="1:141" s="116" customFormat="1">
      <c r="A18506" s="136"/>
      <c r="CM18506" s="111"/>
      <c r="CQ18506" s="111"/>
      <c r="EF18506"/>
      <c r="EG18506"/>
      <c r="EH18506"/>
      <c r="EI18506"/>
      <c r="EJ18506"/>
      <c r="EK18506"/>
    </row>
    <row r="18507" spans="1:141" s="116" customFormat="1">
      <c r="A18507" s="136"/>
      <c r="CM18507" s="111"/>
      <c r="CQ18507" s="111"/>
      <c r="EF18507"/>
      <c r="EG18507"/>
      <c r="EH18507"/>
      <c r="EI18507"/>
      <c r="EJ18507"/>
      <c r="EK18507"/>
    </row>
    <row r="18508" spans="1:141" s="116" customFormat="1">
      <c r="A18508" s="136"/>
      <c r="CM18508" s="111"/>
      <c r="CQ18508" s="111"/>
      <c r="EF18508"/>
      <c r="EG18508"/>
      <c r="EH18508"/>
      <c r="EI18508"/>
      <c r="EJ18508"/>
      <c r="EK18508"/>
    </row>
    <row r="18509" spans="1:141" s="116" customFormat="1">
      <c r="A18509" s="136"/>
      <c r="CM18509" s="111"/>
      <c r="CQ18509" s="111"/>
      <c r="EF18509"/>
      <c r="EG18509"/>
      <c r="EH18509"/>
      <c r="EI18509"/>
      <c r="EJ18509"/>
      <c r="EK18509"/>
    </row>
    <row r="18510" spans="1:141" s="116" customFormat="1">
      <c r="A18510" s="136"/>
      <c r="CM18510" s="111"/>
      <c r="CQ18510" s="111"/>
      <c r="EF18510"/>
      <c r="EG18510"/>
      <c r="EH18510"/>
      <c r="EI18510"/>
      <c r="EJ18510"/>
      <c r="EK18510"/>
    </row>
    <row r="18511" spans="1:141" s="116" customFormat="1">
      <c r="A18511" s="136"/>
      <c r="CM18511" s="111"/>
      <c r="CQ18511" s="111"/>
      <c r="EF18511"/>
      <c r="EG18511"/>
      <c r="EH18511"/>
      <c r="EI18511"/>
      <c r="EJ18511"/>
      <c r="EK18511"/>
    </row>
    <row r="18512" spans="1:141" s="116" customFormat="1">
      <c r="A18512" s="136"/>
      <c r="CM18512" s="111"/>
      <c r="CQ18512" s="111"/>
      <c r="EF18512"/>
      <c r="EG18512"/>
      <c r="EH18512"/>
      <c r="EI18512"/>
      <c r="EJ18512"/>
      <c r="EK18512"/>
    </row>
    <row r="18513" spans="1:141" s="116" customFormat="1">
      <c r="A18513" s="136"/>
      <c r="CM18513" s="111"/>
      <c r="CQ18513" s="111"/>
      <c r="EF18513"/>
      <c r="EG18513"/>
      <c r="EH18513"/>
      <c r="EI18513"/>
      <c r="EJ18513"/>
      <c r="EK18513"/>
    </row>
    <row r="18514" spans="1:141" s="116" customFormat="1">
      <c r="A18514" s="136"/>
      <c r="CM18514" s="111"/>
      <c r="CQ18514" s="111"/>
      <c r="EF18514"/>
      <c r="EG18514"/>
      <c r="EH18514"/>
      <c r="EI18514"/>
      <c r="EJ18514"/>
      <c r="EK18514"/>
    </row>
    <row r="18515" spans="1:141" s="116" customFormat="1">
      <c r="A18515" s="136"/>
      <c r="CM18515" s="111"/>
      <c r="CQ18515" s="111"/>
      <c r="EF18515"/>
      <c r="EG18515"/>
      <c r="EH18515"/>
      <c r="EI18515"/>
      <c r="EJ18515"/>
      <c r="EK18515"/>
    </row>
    <row r="18516" spans="1:141" s="116" customFormat="1">
      <c r="A18516" s="136"/>
      <c r="CM18516" s="111"/>
      <c r="CQ18516" s="111"/>
      <c r="EF18516"/>
      <c r="EG18516"/>
      <c r="EH18516"/>
      <c r="EI18516"/>
      <c r="EJ18516"/>
      <c r="EK18516"/>
    </row>
    <row r="18517" spans="1:141" s="116" customFormat="1">
      <c r="A18517" s="136"/>
      <c r="CM18517" s="111"/>
      <c r="CQ18517" s="111"/>
      <c r="EF18517"/>
      <c r="EG18517"/>
      <c r="EH18517"/>
      <c r="EI18517"/>
      <c r="EJ18517"/>
      <c r="EK18517"/>
    </row>
    <row r="18518" spans="1:141" s="116" customFormat="1">
      <c r="A18518" s="136"/>
      <c r="CM18518" s="111"/>
      <c r="CQ18518" s="111"/>
      <c r="EF18518"/>
      <c r="EG18518"/>
      <c r="EH18518"/>
      <c r="EI18518"/>
      <c r="EJ18518"/>
      <c r="EK18518"/>
    </row>
    <row r="18519" spans="1:141" s="116" customFormat="1">
      <c r="A18519" s="136"/>
      <c r="CM18519" s="111"/>
      <c r="CQ18519" s="111"/>
      <c r="EF18519"/>
      <c r="EG18519"/>
      <c r="EH18519"/>
      <c r="EI18519"/>
      <c r="EJ18519"/>
      <c r="EK18519"/>
    </row>
    <row r="18520" spans="1:141" s="116" customFormat="1">
      <c r="A18520" s="136"/>
      <c r="CM18520" s="111"/>
      <c r="CQ18520" s="111"/>
      <c r="EF18520"/>
      <c r="EG18520"/>
      <c r="EH18520"/>
      <c r="EI18520"/>
      <c r="EJ18520"/>
      <c r="EK18520"/>
    </row>
    <row r="18521" spans="1:141" s="116" customFormat="1">
      <c r="A18521" s="136"/>
      <c r="CM18521" s="111"/>
      <c r="CQ18521" s="111"/>
      <c r="EF18521"/>
      <c r="EG18521"/>
      <c r="EH18521"/>
      <c r="EI18521"/>
      <c r="EJ18521"/>
      <c r="EK18521"/>
    </row>
    <row r="18522" spans="1:141" s="116" customFormat="1">
      <c r="A18522" s="136"/>
      <c r="CM18522" s="111"/>
      <c r="CQ18522" s="111"/>
      <c r="EF18522"/>
      <c r="EG18522"/>
      <c r="EH18522"/>
      <c r="EI18522"/>
      <c r="EJ18522"/>
      <c r="EK18522"/>
    </row>
    <row r="18523" spans="1:141" s="116" customFormat="1">
      <c r="A18523" s="136"/>
      <c r="CM18523" s="111"/>
      <c r="CQ18523" s="111"/>
      <c r="EF18523"/>
      <c r="EG18523"/>
      <c r="EH18523"/>
      <c r="EI18523"/>
      <c r="EJ18523"/>
      <c r="EK18523"/>
    </row>
    <row r="18524" spans="1:141" s="116" customFormat="1">
      <c r="A18524" s="136"/>
      <c r="CM18524" s="111"/>
      <c r="CQ18524" s="111"/>
      <c r="EF18524"/>
      <c r="EG18524"/>
      <c r="EH18524"/>
      <c r="EI18524"/>
      <c r="EJ18524"/>
      <c r="EK18524"/>
    </row>
    <row r="18525" spans="1:141" s="116" customFormat="1">
      <c r="A18525" s="136"/>
      <c r="CM18525" s="111"/>
      <c r="CQ18525" s="111"/>
      <c r="EF18525"/>
      <c r="EG18525"/>
      <c r="EH18525"/>
      <c r="EI18525"/>
      <c r="EJ18525"/>
      <c r="EK18525"/>
    </row>
    <row r="18526" spans="1:141" s="116" customFormat="1">
      <c r="A18526" s="136"/>
      <c r="CM18526" s="111"/>
      <c r="CQ18526" s="111"/>
      <c r="EF18526"/>
      <c r="EG18526"/>
      <c r="EH18526"/>
      <c r="EI18526"/>
      <c r="EJ18526"/>
      <c r="EK18526"/>
    </row>
    <row r="18527" spans="1:141" s="116" customFormat="1">
      <c r="A18527" s="136"/>
      <c r="CM18527" s="111"/>
      <c r="CQ18527" s="111"/>
      <c r="EF18527"/>
      <c r="EG18527"/>
      <c r="EH18527"/>
      <c r="EI18527"/>
      <c r="EJ18527"/>
      <c r="EK18527"/>
    </row>
    <row r="18528" spans="1:141" s="116" customFormat="1">
      <c r="A18528" s="136"/>
      <c r="CM18528" s="111"/>
      <c r="CQ18528" s="111"/>
      <c r="EF18528"/>
      <c r="EG18528"/>
      <c r="EH18528"/>
      <c r="EI18528"/>
      <c r="EJ18528"/>
      <c r="EK18528"/>
    </row>
    <row r="18529" spans="1:141" s="116" customFormat="1">
      <c r="A18529" s="136"/>
      <c r="CM18529" s="111"/>
      <c r="CQ18529" s="111"/>
      <c r="EF18529"/>
      <c r="EG18529"/>
      <c r="EH18529"/>
      <c r="EI18529"/>
      <c r="EJ18529"/>
      <c r="EK18529"/>
    </row>
    <row r="18530" spans="1:141" s="116" customFormat="1">
      <c r="A18530" s="136"/>
      <c r="CM18530" s="111"/>
      <c r="CQ18530" s="111"/>
      <c r="EF18530"/>
      <c r="EG18530"/>
      <c r="EH18530"/>
      <c r="EI18530"/>
      <c r="EJ18530"/>
      <c r="EK18530"/>
    </row>
    <row r="18531" spans="1:141" s="116" customFormat="1">
      <c r="A18531" s="136"/>
      <c r="CM18531" s="111"/>
      <c r="CQ18531" s="111"/>
      <c r="EF18531"/>
      <c r="EG18531"/>
      <c r="EH18531"/>
      <c r="EI18531"/>
      <c r="EJ18531"/>
      <c r="EK18531"/>
    </row>
    <row r="18532" spans="1:141" s="116" customFormat="1">
      <c r="A18532" s="136"/>
      <c r="CM18532" s="111"/>
      <c r="CQ18532" s="111"/>
      <c r="EF18532"/>
      <c r="EG18532"/>
      <c r="EH18532"/>
      <c r="EI18532"/>
      <c r="EJ18532"/>
      <c r="EK18532"/>
    </row>
    <row r="18533" spans="1:141" s="116" customFormat="1">
      <c r="A18533" s="136"/>
      <c r="CM18533" s="111"/>
      <c r="CQ18533" s="111"/>
      <c r="EF18533"/>
      <c r="EG18533"/>
      <c r="EH18533"/>
      <c r="EI18533"/>
      <c r="EJ18533"/>
      <c r="EK18533"/>
    </row>
    <row r="18534" spans="1:141" s="116" customFormat="1">
      <c r="A18534" s="136"/>
      <c r="CM18534" s="111"/>
      <c r="CQ18534" s="111"/>
      <c r="EF18534"/>
      <c r="EG18534"/>
      <c r="EH18534"/>
      <c r="EI18534"/>
      <c r="EJ18534"/>
      <c r="EK18534"/>
    </row>
    <row r="18535" spans="1:141" s="116" customFormat="1">
      <c r="A18535" s="136"/>
      <c r="CM18535" s="111"/>
      <c r="CQ18535" s="111"/>
      <c r="EF18535"/>
      <c r="EG18535"/>
      <c r="EH18535"/>
      <c r="EI18535"/>
      <c r="EJ18535"/>
      <c r="EK18535"/>
    </row>
    <row r="18536" spans="1:141" s="116" customFormat="1">
      <c r="A18536" s="136"/>
      <c r="CM18536" s="111"/>
      <c r="CQ18536" s="111"/>
      <c r="EF18536"/>
      <c r="EG18536"/>
      <c r="EH18536"/>
      <c r="EI18536"/>
      <c r="EJ18536"/>
      <c r="EK18536"/>
    </row>
    <row r="18537" spans="1:141" s="116" customFormat="1">
      <c r="A18537" s="136"/>
      <c r="CM18537" s="111"/>
      <c r="CQ18537" s="111"/>
      <c r="EF18537"/>
      <c r="EG18537"/>
      <c r="EH18537"/>
      <c r="EI18537"/>
      <c r="EJ18537"/>
      <c r="EK18537"/>
    </row>
    <row r="18538" spans="1:141" s="116" customFormat="1">
      <c r="A18538" s="136"/>
      <c r="CM18538" s="111"/>
      <c r="CQ18538" s="111"/>
      <c r="EF18538"/>
      <c r="EG18538"/>
      <c r="EH18538"/>
      <c r="EI18538"/>
      <c r="EJ18538"/>
      <c r="EK18538"/>
    </row>
    <row r="18539" spans="1:141" s="116" customFormat="1">
      <c r="A18539" s="136"/>
      <c r="CM18539" s="111"/>
      <c r="CQ18539" s="111"/>
      <c r="EF18539"/>
      <c r="EG18539"/>
      <c r="EH18539"/>
      <c r="EI18539"/>
      <c r="EJ18539"/>
      <c r="EK18539"/>
    </row>
    <row r="18540" spans="1:141" s="116" customFormat="1">
      <c r="A18540" s="136"/>
      <c r="CM18540" s="111"/>
      <c r="CQ18540" s="111"/>
      <c r="EF18540"/>
      <c r="EG18540"/>
      <c r="EH18540"/>
      <c r="EI18540"/>
      <c r="EJ18540"/>
      <c r="EK18540"/>
    </row>
    <row r="18541" spans="1:141" s="116" customFormat="1">
      <c r="A18541" s="136"/>
      <c r="CM18541" s="111"/>
      <c r="CQ18541" s="111"/>
      <c r="EF18541"/>
      <c r="EG18541"/>
      <c r="EH18541"/>
      <c r="EI18541"/>
      <c r="EJ18541"/>
      <c r="EK18541"/>
    </row>
    <row r="18542" spans="1:141" s="116" customFormat="1">
      <c r="A18542" s="136"/>
      <c r="CM18542" s="111"/>
      <c r="CQ18542" s="111"/>
      <c r="EF18542"/>
      <c r="EG18542"/>
      <c r="EH18542"/>
      <c r="EI18542"/>
      <c r="EJ18542"/>
      <c r="EK18542"/>
    </row>
    <row r="18543" spans="1:141" s="116" customFormat="1">
      <c r="A18543" s="136"/>
      <c r="CM18543" s="111"/>
      <c r="CQ18543" s="111"/>
      <c r="EF18543"/>
      <c r="EG18543"/>
      <c r="EH18543"/>
      <c r="EI18543"/>
      <c r="EJ18543"/>
      <c r="EK18543"/>
    </row>
    <row r="18544" spans="1:141" s="116" customFormat="1">
      <c r="A18544" s="136"/>
      <c r="CM18544" s="111"/>
      <c r="CQ18544" s="111"/>
      <c r="EF18544"/>
      <c r="EG18544"/>
      <c r="EH18544"/>
      <c r="EI18544"/>
      <c r="EJ18544"/>
      <c r="EK18544"/>
    </row>
    <row r="18545" spans="1:141" s="116" customFormat="1">
      <c r="A18545" s="136"/>
      <c r="CM18545" s="111"/>
      <c r="CQ18545" s="111"/>
      <c r="EF18545"/>
      <c r="EG18545"/>
      <c r="EH18545"/>
      <c r="EI18545"/>
      <c r="EJ18545"/>
      <c r="EK18545"/>
    </row>
    <row r="18546" spans="1:141" s="116" customFormat="1">
      <c r="A18546" s="136"/>
      <c r="CM18546" s="111"/>
      <c r="CQ18546" s="111"/>
      <c r="EF18546"/>
      <c r="EG18546"/>
      <c r="EH18546"/>
      <c r="EI18546"/>
      <c r="EJ18546"/>
      <c r="EK18546"/>
    </row>
    <row r="18547" spans="1:141" s="116" customFormat="1">
      <c r="A18547" s="136"/>
      <c r="CM18547" s="111"/>
      <c r="CQ18547" s="111"/>
      <c r="EF18547"/>
      <c r="EG18547"/>
      <c r="EH18547"/>
      <c r="EI18547"/>
      <c r="EJ18547"/>
      <c r="EK18547"/>
    </row>
    <row r="18548" spans="1:141" s="116" customFormat="1">
      <c r="A18548" s="136"/>
      <c r="CM18548" s="111"/>
      <c r="CQ18548" s="111"/>
      <c r="EF18548"/>
      <c r="EG18548"/>
      <c r="EH18548"/>
      <c r="EI18548"/>
      <c r="EJ18548"/>
      <c r="EK18548"/>
    </row>
    <row r="18549" spans="1:141" s="116" customFormat="1">
      <c r="A18549" s="136"/>
      <c r="CM18549" s="111"/>
      <c r="CQ18549" s="111"/>
      <c r="EF18549"/>
      <c r="EG18549"/>
      <c r="EH18549"/>
      <c r="EI18549"/>
      <c r="EJ18549"/>
      <c r="EK18549"/>
    </row>
    <row r="18550" spans="1:141" s="116" customFormat="1">
      <c r="A18550" s="136"/>
      <c r="CM18550" s="111"/>
      <c r="CQ18550" s="111"/>
      <c r="EF18550"/>
      <c r="EG18550"/>
      <c r="EH18550"/>
      <c r="EI18550"/>
      <c r="EJ18550"/>
      <c r="EK18550"/>
    </row>
    <row r="18551" spans="1:141" s="116" customFormat="1">
      <c r="A18551" s="136"/>
      <c r="CM18551" s="111"/>
      <c r="CQ18551" s="111"/>
      <c r="EF18551"/>
      <c r="EG18551"/>
      <c r="EH18551"/>
      <c r="EI18551"/>
      <c r="EJ18551"/>
      <c r="EK18551"/>
    </row>
    <row r="18552" spans="1:141" s="116" customFormat="1">
      <c r="A18552" s="136"/>
      <c r="CM18552" s="111"/>
      <c r="CQ18552" s="111"/>
      <c r="EF18552"/>
      <c r="EG18552"/>
      <c r="EH18552"/>
      <c r="EI18552"/>
      <c r="EJ18552"/>
      <c r="EK18552"/>
    </row>
    <row r="18553" spans="1:141" s="116" customFormat="1">
      <c r="A18553" s="136"/>
      <c r="CM18553" s="111"/>
      <c r="CQ18553" s="111"/>
      <c r="EF18553"/>
      <c r="EG18553"/>
      <c r="EH18553"/>
      <c r="EI18553"/>
      <c r="EJ18553"/>
      <c r="EK18553"/>
    </row>
    <row r="18554" spans="1:141" s="116" customFormat="1">
      <c r="A18554" s="136"/>
      <c r="CM18554" s="111"/>
      <c r="CQ18554" s="111"/>
      <c r="EF18554"/>
      <c r="EG18554"/>
      <c r="EH18554"/>
      <c r="EI18554"/>
      <c r="EJ18554"/>
      <c r="EK18554"/>
    </row>
    <row r="18555" spans="1:141" s="116" customFormat="1">
      <c r="A18555" s="136"/>
      <c r="CM18555" s="111"/>
      <c r="CQ18555" s="111"/>
      <c r="EF18555"/>
      <c r="EG18555"/>
      <c r="EH18555"/>
      <c r="EI18555"/>
      <c r="EJ18555"/>
      <c r="EK18555"/>
    </row>
    <row r="18556" spans="1:141" s="116" customFormat="1">
      <c r="A18556" s="136"/>
      <c r="CM18556" s="111"/>
      <c r="CQ18556" s="111"/>
      <c r="EF18556"/>
      <c r="EG18556"/>
      <c r="EH18556"/>
      <c r="EI18556"/>
      <c r="EJ18556"/>
      <c r="EK18556"/>
    </row>
    <row r="18557" spans="1:141" s="116" customFormat="1">
      <c r="A18557" s="136"/>
      <c r="CM18557" s="111"/>
      <c r="CQ18557" s="111"/>
      <c r="EF18557"/>
      <c r="EG18557"/>
      <c r="EH18557"/>
      <c r="EI18557"/>
      <c r="EJ18557"/>
      <c r="EK18557"/>
    </row>
    <row r="18558" spans="1:141" s="116" customFormat="1">
      <c r="A18558" s="136"/>
      <c r="CM18558" s="111"/>
      <c r="CQ18558" s="111"/>
      <c r="EF18558"/>
      <c r="EG18558"/>
      <c r="EH18558"/>
      <c r="EI18558"/>
      <c r="EJ18558"/>
      <c r="EK18558"/>
    </row>
    <row r="18559" spans="1:141" s="116" customFormat="1">
      <c r="A18559" s="136"/>
      <c r="CM18559" s="111"/>
      <c r="CQ18559" s="111"/>
      <c r="EF18559"/>
      <c r="EG18559"/>
      <c r="EH18559"/>
      <c r="EI18559"/>
      <c r="EJ18559"/>
      <c r="EK18559"/>
    </row>
    <row r="18560" spans="1:141" s="116" customFormat="1">
      <c r="A18560" s="136"/>
      <c r="CM18560" s="111"/>
      <c r="CQ18560" s="111"/>
      <c r="EF18560"/>
      <c r="EG18560"/>
      <c r="EH18560"/>
      <c r="EI18560"/>
      <c r="EJ18560"/>
      <c r="EK18560"/>
    </row>
    <row r="18561" spans="1:141" s="116" customFormat="1">
      <c r="A18561" s="136"/>
      <c r="CM18561" s="111"/>
      <c r="CQ18561" s="111"/>
      <c r="EF18561"/>
      <c r="EG18561"/>
      <c r="EH18561"/>
      <c r="EI18561"/>
      <c r="EJ18561"/>
      <c r="EK18561"/>
    </row>
    <row r="18562" spans="1:141" s="116" customFormat="1">
      <c r="A18562" s="136"/>
      <c r="CM18562" s="111"/>
      <c r="CQ18562" s="111"/>
      <c r="EF18562"/>
      <c r="EG18562"/>
      <c r="EH18562"/>
      <c r="EI18562"/>
      <c r="EJ18562"/>
      <c r="EK18562"/>
    </row>
    <row r="18563" spans="1:141" s="116" customFormat="1">
      <c r="A18563" s="136"/>
      <c r="CM18563" s="111"/>
      <c r="CQ18563" s="111"/>
      <c r="EF18563"/>
      <c r="EG18563"/>
      <c r="EH18563"/>
      <c r="EI18563"/>
      <c r="EJ18563"/>
      <c r="EK18563"/>
    </row>
    <row r="18564" spans="1:141" s="116" customFormat="1">
      <c r="A18564" s="136"/>
      <c r="CM18564" s="111"/>
      <c r="CQ18564" s="111"/>
      <c r="EF18564"/>
      <c r="EG18564"/>
      <c r="EH18564"/>
      <c r="EI18564"/>
      <c r="EJ18564"/>
      <c r="EK18564"/>
    </row>
    <row r="18565" spans="1:141" s="116" customFormat="1">
      <c r="A18565" s="136"/>
      <c r="CM18565" s="111"/>
      <c r="CQ18565" s="111"/>
      <c r="EF18565"/>
      <c r="EG18565"/>
      <c r="EH18565"/>
      <c r="EI18565"/>
      <c r="EJ18565"/>
      <c r="EK18565"/>
    </row>
    <row r="18566" spans="1:141" s="116" customFormat="1">
      <c r="A18566" s="136"/>
      <c r="CM18566" s="111"/>
      <c r="CQ18566" s="111"/>
      <c r="EF18566"/>
      <c r="EG18566"/>
      <c r="EH18566"/>
      <c r="EI18566"/>
      <c r="EJ18566"/>
      <c r="EK18566"/>
    </row>
    <row r="18567" spans="1:141" s="116" customFormat="1">
      <c r="A18567" s="136"/>
      <c r="CM18567" s="111"/>
      <c r="CQ18567" s="111"/>
      <c r="EF18567"/>
      <c r="EG18567"/>
      <c r="EH18567"/>
      <c r="EI18567"/>
      <c r="EJ18567"/>
      <c r="EK18567"/>
    </row>
    <row r="18568" spans="1:141" s="116" customFormat="1">
      <c r="A18568" s="136"/>
      <c r="CM18568" s="111"/>
      <c r="CQ18568" s="111"/>
      <c r="EF18568"/>
      <c r="EG18568"/>
      <c r="EH18568"/>
      <c r="EI18568"/>
      <c r="EJ18568"/>
      <c r="EK18568"/>
    </row>
    <row r="18569" spans="1:141" s="116" customFormat="1">
      <c r="A18569" s="136"/>
      <c r="CM18569" s="111"/>
      <c r="CQ18569" s="111"/>
      <c r="EF18569"/>
      <c r="EG18569"/>
      <c r="EH18569"/>
      <c r="EI18569"/>
      <c r="EJ18569"/>
      <c r="EK18569"/>
    </row>
    <row r="18570" spans="1:141" s="116" customFormat="1">
      <c r="A18570" s="136"/>
      <c r="CM18570" s="111"/>
      <c r="CQ18570" s="111"/>
      <c r="EF18570"/>
      <c r="EG18570"/>
      <c r="EH18570"/>
      <c r="EI18570"/>
      <c r="EJ18570"/>
      <c r="EK18570"/>
    </row>
    <row r="18571" spans="1:141" s="116" customFormat="1">
      <c r="A18571" s="136"/>
      <c r="CM18571" s="111"/>
      <c r="CQ18571" s="111"/>
      <c r="EF18571"/>
      <c r="EG18571"/>
      <c r="EH18571"/>
      <c r="EI18571"/>
      <c r="EJ18571"/>
      <c r="EK18571"/>
    </row>
    <row r="18572" spans="1:141" s="116" customFormat="1">
      <c r="A18572" s="136"/>
      <c r="CM18572" s="111"/>
      <c r="CQ18572" s="111"/>
      <c r="EF18572"/>
      <c r="EG18572"/>
      <c r="EH18572"/>
      <c r="EI18572"/>
      <c r="EJ18572"/>
      <c r="EK18572"/>
    </row>
    <row r="18573" spans="1:141" s="116" customFormat="1">
      <c r="A18573" s="136"/>
      <c r="CM18573" s="111"/>
      <c r="CQ18573" s="111"/>
      <c r="EF18573"/>
      <c r="EG18573"/>
      <c r="EH18573"/>
      <c r="EI18573"/>
      <c r="EJ18573"/>
      <c r="EK18573"/>
    </row>
    <row r="18574" spans="1:141" s="116" customFormat="1">
      <c r="A18574" s="136"/>
      <c r="CM18574" s="111"/>
      <c r="CQ18574" s="111"/>
      <c r="EF18574"/>
      <c r="EG18574"/>
      <c r="EH18574"/>
      <c r="EI18574"/>
      <c r="EJ18574"/>
      <c r="EK18574"/>
    </row>
    <row r="18575" spans="1:141" s="116" customFormat="1">
      <c r="A18575" s="136"/>
      <c r="CM18575" s="111"/>
      <c r="CQ18575" s="111"/>
      <c r="EF18575"/>
      <c r="EG18575"/>
      <c r="EH18575"/>
      <c r="EI18575"/>
      <c r="EJ18575"/>
      <c r="EK18575"/>
    </row>
    <row r="18576" spans="1:141" s="116" customFormat="1">
      <c r="A18576" s="136"/>
      <c r="CM18576" s="111"/>
      <c r="CQ18576" s="111"/>
      <c r="EF18576"/>
      <c r="EG18576"/>
      <c r="EH18576"/>
      <c r="EI18576"/>
      <c r="EJ18576"/>
      <c r="EK18576"/>
    </row>
    <row r="18577" spans="1:141" s="116" customFormat="1">
      <c r="A18577" s="136"/>
      <c r="CM18577" s="111"/>
      <c r="CQ18577" s="111"/>
      <c r="EF18577"/>
      <c r="EG18577"/>
      <c r="EH18577"/>
      <c r="EI18577"/>
      <c r="EJ18577"/>
      <c r="EK18577"/>
    </row>
    <row r="18578" spans="1:141" s="116" customFormat="1">
      <c r="A18578" s="136"/>
      <c r="CM18578" s="111"/>
      <c r="CQ18578" s="111"/>
      <c r="EF18578"/>
      <c r="EG18578"/>
      <c r="EH18578"/>
      <c r="EI18578"/>
      <c r="EJ18578"/>
      <c r="EK18578"/>
    </row>
    <row r="18579" spans="1:141" s="116" customFormat="1">
      <c r="A18579" s="136"/>
      <c r="CM18579" s="111"/>
      <c r="CQ18579" s="111"/>
      <c r="EF18579"/>
      <c r="EG18579"/>
      <c r="EH18579"/>
      <c r="EI18579"/>
      <c r="EJ18579"/>
      <c r="EK18579"/>
    </row>
    <row r="18580" spans="1:141" s="116" customFormat="1">
      <c r="A18580" s="136"/>
      <c r="CM18580" s="111"/>
      <c r="CQ18580" s="111"/>
      <c r="EF18580"/>
      <c r="EG18580"/>
      <c r="EH18580"/>
      <c r="EI18580"/>
      <c r="EJ18580"/>
      <c r="EK18580"/>
    </row>
    <row r="18581" spans="1:141" s="116" customFormat="1">
      <c r="A18581" s="136"/>
      <c r="CM18581" s="111"/>
      <c r="CQ18581" s="111"/>
      <c r="EF18581"/>
      <c r="EG18581"/>
      <c r="EH18581"/>
      <c r="EI18581"/>
      <c r="EJ18581"/>
      <c r="EK18581"/>
    </row>
    <row r="18582" spans="1:141" s="116" customFormat="1">
      <c r="A18582" s="136"/>
      <c r="CM18582" s="111"/>
      <c r="CQ18582" s="111"/>
      <c r="EF18582"/>
      <c r="EG18582"/>
      <c r="EH18582"/>
      <c r="EI18582"/>
      <c r="EJ18582"/>
      <c r="EK18582"/>
    </row>
    <row r="18583" spans="1:141" s="116" customFormat="1">
      <c r="A18583" s="136"/>
      <c r="CM18583" s="111"/>
      <c r="CQ18583" s="111"/>
      <c r="EF18583"/>
      <c r="EG18583"/>
      <c r="EH18583"/>
      <c r="EI18583"/>
      <c r="EJ18583"/>
      <c r="EK18583"/>
    </row>
    <row r="18584" spans="1:141" s="116" customFormat="1">
      <c r="A18584" s="136"/>
      <c r="CM18584" s="111"/>
      <c r="CQ18584" s="111"/>
      <c r="EF18584"/>
      <c r="EG18584"/>
      <c r="EH18584"/>
      <c r="EI18584"/>
      <c r="EJ18584"/>
      <c r="EK18584"/>
    </row>
    <row r="18585" spans="1:141" s="116" customFormat="1">
      <c r="A18585" s="136"/>
      <c r="CM18585" s="111"/>
      <c r="CQ18585" s="111"/>
      <c r="EF18585"/>
      <c r="EG18585"/>
      <c r="EH18585"/>
      <c r="EI18585"/>
      <c r="EJ18585"/>
      <c r="EK18585"/>
    </row>
    <row r="18586" spans="1:141" s="116" customFormat="1">
      <c r="A18586" s="136"/>
      <c r="CM18586" s="111"/>
      <c r="CQ18586" s="111"/>
      <c r="EF18586"/>
      <c r="EG18586"/>
      <c r="EH18586"/>
      <c r="EI18586"/>
      <c r="EJ18586"/>
      <c r="EK18586"/>
    </row>
    <row r="18587" spans="1:141" s="116" customFormat="1">
      <c r="A18587" s="136"/>
      <c r="CM18587" s="111"/>
      <c r="CQ18587" s="111"/>
      <c r="EF18587"/>
      <c r="EG18587"/>
      <c r="EH18587"/>
      <c r="EI18587"/>
      <c r="EJ18587"/>
      <c r="EK18587"/>
    </row>
    <row r="18588" spans="1:141" s="116" customFormat="1">
      <c r="A18588" s="136"/>
      <c r="CM18588" s="111"/>
      <c r="CQ18588" s="111"/>
      <c r="EF18588"/>
      <c r="EG18588"/>
      <c r="EH18588"/>
      <c r="EI18588"/>
      <c r="EJ18588"/>
      <c r="EK18588"/>
    </row>
    <row r="18589" spans="1:141" s="116" customFormat="1">
      <c r="A18589" s="136"/>
      <c r="CM18589" s="111"/>
      <c r="CQ18589" s="111"/>
      <c r="EF18589"/>
      <c r="EG18589"/>
      <c r="EH18589"/>
      <c r="EI18589"/>
      <c r="EJ18589"/>
      <c r="EK18589"/>
    </row>
    <row r="18590" spans="1:141" s="116" customFormat="1">
      <c r="A18590" s="136"/>
      <c r="CM18590" s="111"/>
      <c r="CQ18590" s="111"/>
      <c r="EF18590"/>
      <c r="EG18590"/>
      <c r="EH18590"/>
      <c r="EI18590"/>
      <c r="EJ18590"/>
      <c r="EK18590"/>
    </row>
    <row r="18591" spans="1:141" s="116" customFormat="1">
      <c r="A18591" s="136"/>
      <c r="CM18591" s="111"/>
      <c r="CQ18591" s="111"/>
      <c r="EF18591"/>
      <c r="EG18591"/>
      <c r="EH18591"/>
      <c r="EI18591"/>
      <c r="EJ18591"/>
      <c r="EK18591"/>
    </row>
    <row r="18592" spans="1:141" s="116" customFormat="1">
      <c r="A18592" s="136"/>
      <c r="CM18592" s="111"/>
      <c r="CQ18592" s="111"/>
      <c r="EF18592"/>
      <c r="EG18592"/>
      <c r="EH18592"/>
      <c r="EI18592"/>
      <c r="EJ18592"/>
      <c r="EK18592"/>
    </row>
    <row r="18593" spans="1:141" s="116" customFormat="1">
      <c r="A18593" s="136"/>
      <c r="CM18593" s="111"/>
      <c r="CQ18593" s="111"/>
      <c r="EF18593"/>
      <c r="EG18593"/>
      <c r="EH18593"/>
      <c r="EI18593"/>
      <c r="EJ18593"/>
      <c r="EK18593"/>
    </row>
    <row r="18594" spans="1:141" s="116" customFormat="1">
      <c r="A18594" s="136"/>
      <c r="CM18594" s="111"/>
      <c r="CQ18594" s="111"/>
      <c r="EF18594"/>
      <c r="EG18594"/>
      <c r="EH18594"/>
      <c r="EI18594"/>
      <c r="EJ18594"/>
      <c r="EK18594"/>
    </row>
    <row r="18595" spans="1:141" s="116" customFormat="1">
      <c r="A18595" s="136"/>
      <c r="CM18595" s="111"/>
      <c r="CQ18595" s="111"/>
      <c r="EF18595"/>
      <c r="EG18595"/>
      <c r="EH18595"/>
      <c r="EI18595"/>
      <c r="EJ18595"/>
      <c r="EK18595"/>
    </row>
    <row r="18596" spans="1:141" s="116" customFormat="1">
      <c r="A18596" s="136"/>
      <c r="CM18596" s="111"/>
      <c r="CQ18596" s="111"/>
      <c r="EF18596"/>
      <c r="EG18596"/>
      <c r="EH18596"/>
      <c r="EI18596"/>
      <c r="EJ18596"/>
      <c r="EK18596"/>
    </row>
    <row r="18597" spans="1:141" s="116" customFormat="1">
      <c r="A18597" s="136"/>
      <c r="CM18597" s="111"/>
      <c r="CQ18597" s="111"/>
      <c r="EF18597"/>
      <c r="EG18597"/>
      <c r="EH18597"/>
      <c r="EI18597"/>
      <c r="EJ18597"/>
      <c r="EK18597"/>
    </row>
    <row r="18598" spans="1:141" s="116" customFormat="1">
      <c r="A18598" s="136"/>
      <c r="CM18598" s="111"/>
      <c r="CQ18598" s="111"/>
      <c r="EF18598"/>
      <c r="EG18598"/>
      <c r="EH18598"/>
      <c r="EI18598"/>
      <c r="EJ18598"/>
      <c r="EK18598"/>
    </row>
    <row r="18599" spans="1:141" s="116" customFormat="1">
      <c r="A18599" s="136"/>
      <c r="CM18599" s="111"/>
      <c r="CQ18599" s="111"/>
      <c r="EF18599"/>
      <c r="EG18599"/>
      <c r="EH18599"/>
      <c r="EI18599"/>
      <c r="EJ18599"/>
      <c r="EK18599"/>
    </row>
    <row r="18600" spans="1:141" s="116" customFormat="1">
      <c r="A18600" s="136"/>
      <c r="CM18600" s="111"/>
      <c r="CQ18600" s="111"/>
      <c r="EF18600"/>
      <c r="EG18600"/>
      <c r="EH18600"/>
      <c r="EI18600"/>
      <c r="EJ18600"/>
      <c r="EK18600"/>
    </row>
    <row r="18601" spans="1:141" s="116" customFormat="1">
      <c r="A18601" s="136"/>
      <c r="CM18601" s="111"/>
      <c r="CQ18601" s="111"/>
      <c r="EF18601"/>
      <c r="EG18601"/>
      <c r="EH18601"/>
      <c r="EI18601"/>
      <c r="EJ18601"/>
      <c r="EK18601"/>
    </row>
    <row r="18602" spans="1:141" s="116" customFormat="1">
      <c r="A18602" s="136"/>
      <c r="CM18602" s="111"/>
      <c r="CQ18602" s="111"/>
      <c r="EF18602"/>
      <c r="EG18602"/>
      <c r="EH18602"/>
      <c r="EI18602"/>
      <c r="EJ18602"/>
      <c r="EK18602"/>
    </row>
    <row r="18603" spans="1:141" s="116" customFormat="1">
      <c r="A18603" s="136"/>
      <c r="CM18603" s="111"/>
      <c r="CQ18603" s="111"/>
      <c r="EF18603"/>
      <c r="EG18603"/>
      <c r="EH18603"/>
      <c r="EI18603"/>
      <c r="EJ18603"/>
      <c r="EK18603"/>
    </row>
    <row r="18604" spans="1:141" s="116" customFormat="1">
      <c r="A18604" s="136"/>
      <c r="CM18604" s="111"/>
      <c r="CQ18604" s="111"/>
      <c r="EF18604"/>
      <c r="EG18604"/>
      <c r="EH18604"/>
      <c r="EI18604"/>
      <c r="EJ18604"/>
      <c r="EK18604"/>
    </row>
    <row r="18605" spans="1:141" s="116" customFormat="1">
      <c r="A18605" s="136"/>
      <c r="CM18605" s="111"/>
      <c r="CQ18605" s="111"/>
      <c r="EF18605"/>
      <c r="EG18605"/>
      <c r="EH18605"/>
      <c r="EI18605"/>
      <c r="EJ18605"/>
      <c r="EK18605"/>
    </row>
    <row r="18606" spans="1:141" s="116" customFormat="1">
      <c r="A18606" s="136"/>
      <c r="CM18606" s="111"/>
      <c r="CQ18606" s="111"/>
      <c r="EF18606"/>
      <c r="EG18606"/>
      <c r="EH18606"/>
      <c r="EI18606"/>
      <c r="EJ18606"/>
      <c r="EK18606"/>
    </row>
    <row r="18607" spans="1:141" s="116" customFormat="1">
      <c r="A18607" s="136"/>
      <c r="CM18607" s="111"/>
      <c r="CQ18607" s="111"/>
      <c r="EF18607"/>
      <c r="EG18607"/>
      <c r="EH18607"/>
      <c r="EI18607"/>
      <c r="EJ18607"/>
      <c r="EK18607"/>
    </row>
    <row r="18608" spans="1:141" s="116" customFormat="1">
      <c r="A18608" s="136"/>
      <c r="CM18608" s="111"/>
      <c r="CQ18608" s="111"/>
      <c r="EF18608"/>
      <c r="EG18608"/>
      <c r="EH18608"/>
      <c r="EI18608"/>
      <c r="EJ18608"/>
      <c r="EK18608"/>
    </row>
    <row r="18609" spans="1:141" s="116" customFormat="1">
      <c r="A18609" s="136"/>
      <c r="CM18609" s="111"/>
      <c r="CQ18609" s="111"/>
      <c r="EF18609"/>
      <c r="EG18609"/>
      <c r="EH18609"/>
      <c r="EI18609"/>
      <c r="EJ18609"/>
      <c r="EK18609"/>
    </row>
    <row r="18610" spans="1:141" s="116" customFormat="1">
      <c r="A18610" s="136"/>
      <c r="CM18610" s="111"/>
      <c r="CQ18610" s="111"/>
      <c r="EF18610"/>
      <c r="EG18610"/>
      <c r="EH18610"/>
      <c r="EI18610"/>
      <c r="EJ18610"/>
      <c r="EK18610"/>
    </row>
    <row r="18611" spans="1:141" s="116" customFormat="1">
      <c r="A18611" s="136"/>
      <c r="CM18611" s="111"/>
      <c r="CQ18611" s="111"/>
      <c r="EF18611"/>
      <c r="EG18611"/>
      <c r="EH18611"/>
      <c r="EI18611"/>
      <c r="EJ18611"/>
      <c r="EK18611"/>
    </row>
    <row r="18612" spans="1:141" s="116" customFormat="1">
      <c r="A18612" s="136"/>
      <c r="CM18612" s="111"/>
      <c r="CQ18612" s="111"/>
      <c r="EF18612"/>
      <c r="EG18612"/>
      <c r="EH18612"/>
      <c r="EI18612"/>
      <c r="EJ18612"/>
      <c r="EK18612"/>
    </row>
    <row r="18613" spans="1:141" s="116" customFormat="1">
      <c r="A18613" s="136"/>
      <c r="CM18613" s="111"/>
      <c r="CQ18613" s="111"/>
      <c r="EF18613"/>
      <c r="EG18613"/>
      <c r="EH18613"/>
      <c r="EI18613"/>
      <c r="EJ18613"/>
      <c r="EK18613"/>
    </row>
    <row r="18614" spans="1:141" s="116" customFormat="1">
      <c r="A18614" s="136"/>
      <c r="CM18614" s="111"/>
      <c r="CQ18614" s="111"/>
      <c r="EF18614"/>
      <c r="EG18614"/>
      <c r="EH18614"/>
      <c r="EI18614"/>
      <c r="EJ18614"/>
      <c r="EK18614"/>
    </row>
    <row r="18615" spans="1:141" s="116" customFormat="1">
      <c r="A18615" s="136"/>
      <c r="CM18615" s="111"/>
      <c r="CQ18615" s="111"/>
      <c r="EF18615"/>
      <c r="EG18615"/>
      <c r="EH18615"/>
      <c r="EI18615"/>
      <c r="EJ18615"/>
      <c r="EK18615"/>
    </row>
    <row r="18616" spans="1:141" s="116" customFormat="1">
      <c r="A18616" s="136"/>
      <c r="CM18616" s="111"/>
      <c r="CQ18616" s="111"/>
      <c r="EF18616"/>
      <c r="EG18616"/>
      <c r="EH18616"/>
      <c r="EI18616"/>
      <c r="EJ18616"/>
      <c r="EK18616"/>
    </row>
    <row r="18617" spans="1:141" s="116" customFormat="1">
      <c r="A18617" s="136"/>
      <c r="CM18617" s="111"/>
      <c r="CQ18617" s="111"/>
      <c r="EF18617"/>
      <c r="EG18617"/>
      <c r="EH18617"/>
      <c r="EI18617"/>
      <c r="EJ18617"/>
      <c r="EK18617"/>
    </row>
    <row r="18618" spans="1:141" s="116" customFormat="1">
      <c r="A18618" s="136"/>
      <c r="CM18618" s="111"/>
      <c r="CQ18618" s="111"/>
      <c r="EF18618"/>
      <c r="EG18618"/>
      <c r="EH18618"/>
      <c r="EI18618"/>
      <c r="EJ18618"/>
      <c r="EK18618"/>
    </row>
    <row r="18619" spans="1:141" s="116" customFormat="1">
      <c r="A18619" s="136"/>
      <c r="CM18619" s="111"/>
      <c r="CQ18619" s="111"/>
      <c r="EF18619"/>
      <c r="EG18619"/>
      <c r="EH18619"/>
      <c r="EI18619"/>
      <c r="EJ18619"/>
      <c r="EK18619"/>
    </row>
    <row r="18620" spans="1:141" s="116" customFormat="1">
      <c r="A18620" s="136"/>
      <c r="CM18620" s="111"/>
      <c r="CQ18620" s="111"/>
      <c r="EF18620"/>
      <c r="EG18620"/>
      <c r="EH18620"/>
      <c r="EI18620"/>
      <c r="EJ18620"/>
      <c r="EK18620"/>
    </row>
    <row r="18621" spans="1:141" s="116" customFormat="1">
      <c r="A18621" s="136"/>
      <c r="CM18621" s="111"/>
      <c r="CQ18621" s="111"/>
      <c r="EF18621"/>
      <c r="EG18621"/>
      <c r="EH18621"/>
      <c r="EI18621"/>
      <c r="EJ18621"/>
      <c r="EK18621"/>
    </row>
    <row r="18622" spans="1:141" s="116" customFormat="1">
      <c r="A18622" s="136"/>
      <c r="CM18622" s="111"/>
      <c r="CQ18622" s="111"/>
      <c r="EF18622"/>
      <c r="EG18622"/>
      <c r="EH18622"/>
      <c r="EI18622"/>
      <c r="EJ18622"/>
      <c r="EK18622"/>
    </row>
    <row r="18623" spans="1:141" s="116" customFormat="1">
      <c r="A18623" s="136"/>
      <c r="CM18623" s="111"/>
      <c r="CQ18623" s="111"/>
      <c r="EF18623"/>
      <c r="EG18623"/>
      <c r="EH18623"/>
      <c r="EI18623"/>
      <c r="EJ18623"/>
      <c r="EK18623"/>
    </row>
    <row r="18624" spans="1:141" s="116" customFormat="1">
      <c r="A18624" s="136"/>
      <c r="CM18624" s="111"/>
      <c r="CQ18624" s="111"/>
      <c r="EF18624"/>
      <c r="EG18624"/>
      <c r="EH18624"/>
      <c r="EI18624"/>
      <c r="EJ18624"/>
      <c r="EK18624"/>
    </row>
    <row r="18625" spans="1:141" s="116" customFormat="1">
      <c r="A18625" s="136"/>
      <c r="CM18625" s="111"/>
      <c r="CQ18625" s="111"/>
      <c r="EF18625"/>
      <c r="EG18625"/>
      <c r="EH18625"/>
      <c r="EI18625"/>
      <c r="EJ18625"/>
      <c r="EK18625"/>
    </row>
    <row r="18626" spans="1:141" s="116" customFormat="1">
      <c r="A18626" s="136"/>
      <c r="CM18626" s="111"/>
      <c r="CQ18626" s="111"/>
      <c r="EF18626"/>
      <c r="EG18626"/>
      <c r="EH18626"/>
      <c r="EI18626"/>
      <c r="EJ18626"/>
      <c r="EK18626"/>
    </row>
    <row r="18627" spans="1:141" s="116" customFormat="1">
      <c r="A18627" s="136"/>
      <c r="CM18627" s="111"/>
      <c r="CQ18627" s="111"/>
      <c r="EF18627"/>
      <c r="EG18627"/>
      <c r="EH18627"/>
      <c r="EI18627"/>
      <c r="EJ18627"/>
      <c r="EK18627"/>
    </row>
    <row r="18628" spans="1:141" s="116" customFormat="1">
      <c r="A18628" s="136"/>
      <c r="CM18628" s="111"/>
      <c r="CQ18628" s="111"/>
      <c r="EF18628"/>
      <c r="EG18628"/>
      <c r="EH18628"/>
      <c r="EI18628"/>
      <c r="EJ18628"/>
      <c r="EK18628"/>
    </row>
    <row r="18629" spans="1:141" s="116" customFormat="1">
      <c r="A18629" s="136"/>
      <c r="CM18629" s="111"/>
      <c r="CQ18629" s="111"/>
      <c r="EF18629"/>
      <c r="EG18629"/>
      <c r="EH18629"/>
      <c r="EI18629"/>
      <c r="EJ18629"/>
      <c r="EK18629"/>
    </row>
    <row r="18630" spans="1:141" s="116" customFormat="1">
      <c r="A18630" s="136"/>
      <c r="CM18630" s="111"/>
      <c r="CQ18630" s="111"/>
      <c r="EF18630"/>
      <c r="EG18630"/>
      <c r="EH18630"/>
      <c r="EI18630"/>
      <c r="EJ18630"/>
      <c r="EK18630"/>
    </row>
    <row r="18631" spans="1:141" s="116" customFormat="1">
      <c r="A18631" s="136"/>
      <c r="CM18631" s="111"/>
      <c r="CQ18631" s="111"/>
      <c r="EF18631"/>
      <c r="EG18631"/>
      <c r="EH18631"/>
      <c r="EI18631"/>
      <c r="EJ18631"/>
      <c r="EK18631"/>
    </row>
    <row r="18632" spans="1:141" s="116" customFormat="1">
      <c r="A18632" s="136"/>
      <c r="CM18632" s="111"/>
      <c r="CQ18632" s="111"/>
      <c r="EF18632"/>
      <c r="EG18632"/>
      <c r="EH18632"/>
      <c r="EI18632"/>
      <c r="EJ18632"/>
      <c r="EK18632"/>
    </row>
    <row r="18633" spans="1:141" s="116" customFormat="1">
      <c r="A18633" s="136"/>
      <c r="CM18633" s="111"/>
      <c r="CQ18633" s="111"/>
      <c r="EF18633"/>
      <c r="EG18633"/>
      <c r="EH18633"/>
      <c r="EI18633"/>
      <c r="EJ18633"/>
      <c r="EK18633"/>
    </row>
    <row r="18634" spans="1:141" s="116" customFormat="1">
      <c r="A18634" s="136"/>
      <c r="CM18634" s="111"/>
      <c r="CQ18634" s="111"/>
      <c r="EF18634"/>
      <c r="EG18634"/>
      <c r="EH18634"/>
      <c r="EI18634"/>
      <c r="EJ18634"/>
      <c r="EK18634"/>
    </row>
    <row r="18635" spans="1:141" s="116" customFormat="1">
      <c r="A18635" s="136"/>
      <c r="CM18635" s="111"/>
      <c r="CQ18635" s="111"/>
      <c r="EF18635"/>
      <c r="EG18635"/>
      <c r="EH18635"/>
      <c r="EI18635"/>
      <c r="EJ18635"/>
      <c r="EK18635"/>
    </row>
    <row r="18636" spans="1:141" s="116" customFormat="1">
      <c r="A18636" s="136"/>
      <c r="CM18636" s="111"/>
      <c r="CQ18636" s="111"/>
      <c r="EF18636"/>
      <c r="EG18636"/>
      <c r="EH18636"/>
      <c r="EI18636"/>
      <c r="EJ18636"/>
      <c r="EK18636"/>
    </row>
    <row r="18637" spans="1:141" s="116" customFormat="1">
      <c r="A18637" s="136"/>
      <c r="CM18637" s="111"/>
      <c r="CQ18637" s="111"/>
      <c r="EF18637"/>
      <c r="EG18637"/>
      <c r="EH18637"/>
      <c r="EI18637"/>
      <c r="EJ18637"/>
      <c r="EK18637"/>
    </row>
    <row r="18638" spans="1:141" s="116" customFormat="1">
      <c r="A18638" s="136"/>
      <c r="CM18638" s="111"/>
      <c r="CQ18638" s="111"/>
      <c r="EF18638"/>
      <c r="EG18638"/>
      <c r="EH18638"/>
      <c r="EI18638"/>
      <c r="EJ18638"/>
      <c r="EK18638"/>
    </row>
    <row r="18639" spans="1:141" s="116" customFormat="1">
      <c r="A18639" s="136"/>
      <c r="CM18639" s="111"/>
      <c r="CQ18639" s="111"/>
      <c r="EF18639"/>
      <c r="EG18639"/>
      <c r="EH18639"/>
      <c r="EI18639"/>
      <c r="EJ18639"/>
      <c r="EK18639"/>
    </row>
    <row r="18640" spans="1:141" s="116" customFormat="1">
      <c r="A18640" s="136"/>
      <c r="CM18640" s="111"/>
      <c r="CQ18640" s="111"/>
      <c r="EF18640"/>
      <c r="EG18640"/>
      <c r="EH18640"/>
      <c r="EI18640"/>
      <c r="EJ18640"/>
      <c r="EK18640"/>
    </row>
    <row r="18641" spans="1:141" s="116" customFormat="1">
      <c r="A18641" s="136"/>
      <c r="CM18641" s="111"/>
      <c r="CQ18641" s="111"/>
      <c r="EF18641"/>
      <c r="EG18641"/>
      <c r="EH18641"/>
      <c r="EI18641"/>
      <c r="EJ18641"/>
      <c r="EK18641"/>
    </row>
    <row r="18642" spans="1:141" s="116" customFormat="1">
      <c r="A18642" s="136"/>
      <c r="CM18642" s="111"/>
      <c r="CQ18642" s="111"/>
      <c r="EF18642"/>
      <c r="EG18642"/>
      <c r="EH18642"/>
      <c r="EI18642"/>
      <c r="EJ18642"/>
      <c r="EK18642"/>
    </row>
    <row r="18643" spans="1:141" s="116" customFormat="1">
      <c r="A18643" s="136"/>
      <c r="CM18643" s="111"/>
      <c r="CQ18643" s="111"/>
      <c r="EF18643"/>
      <c r="EG18643"/>
      <c r="EH18643"/>
      <c r="EI18643"/>
      <c r="EJ18643"/>
      <c r="EK18643"/>
    </row>
    <row r="18644" spans="1:141" s="116" customFormat="1">
      <c r="A18644" s="136"/>
      <c r="CM18644" s="111"/>
      <c r="CQ18644" s="111"/>
      <c r="EF18644"/>
      <c r="EG18644"/>
      <c r="EH18644"/>
      <c r="EI18644"/>
      <c r="EJ18644"/>
      <c r="EK18644"/>
    </row>
    <row r="18645" spans="1:141" s="116" customFormat="1">
      <c r="A18645" s="136"/>
      <c r="CM18645" s="111"/>
      <c r="CQ18645" s="111"/>
      <c r="EF18645"/>
      <c r="EG18645"/>
      <c r="EH18645"/>
      <c r="EI18645"/>
      <c r="EJ18645"/>
      <c r="EK18645"/>
    </row>
    <row r="18646" spans="1:141" s="116" customFormat="1">
      <c r="A18646" s="136"/>
      <c r="CM18646" s="111"/>
      <c r="CQ18646" s="111"/>
      <c r="EF18646"/>
      <c r="EG18646"/>
      <c r="EH18646"/>
      <c r="EI18646"/>
      <c r="EJ18646"/>
      <c r="EK18646"/>
    </row>
    <row r="18647" spans="1:141" s="116" customFormat="1">
      <c r="A18647" s="136"/>
      <c r="CM18647" s="111"/>
      <c r="CQ18647" s="111"/>
      <c r="EF18647"/>
      <c r="EG18647"/>
      <c r="EH18647"/>
      <c r="EI18647"/>
      <c r="EJ18647"/>
      <c r="EK18647"/>
    </row>
    <row r="18648" spans="1:141" s="116" customFormat="1">
      <c r="A18648" s="136"/>
      <c r="CM18648" s="111"/>
      <c r="CQ18648" s="111"/>
      <c r="EF18648"/>
      <c r="EG18648"/>
      <c r="EH18648"/>
      <c r="EI18648"/>
      <c r="EJ18648"/>
      <c r="EK18648"/>
    </row>
    <row r="18649" spans="1:141" s="116" customFormat="1">
      <c r="A18649" s="136"/>
      <c r="CM18649" s="111"/>
      <c r="CQ18649" s="111"/>
      <c r="EF18649"/>
      <c r="EG18649"/>
      <c r="EH18649"/>
      <c r="EI18649"/>
      <c r="EJ18649"/>
      <c r="EK18649"/>
    </row>
    <row r="18650" spans="1:141" s="116" customFormat="1">
      <c r="A18650" s="136"/>
      <c r="CM18650" s="111"/>
      <c r="CQ18650" s="111"/>
      <c r="EF18650"/>
      <c r="EG18650"/>
      <c r="EH18650"/>
      <c r="EI18650"/>
      <c r="EJ18650"/>
      <c r="EK18650"/>
    </row>
    <row r="18651" spans="1:141" s="116" customFormat="1">
      <c r="A18651" s="136"/>
      <c r="CM18651" s="111"/>
      <c r="CQ18651" s="111"/>
      <c r="EF18651"/>
      <c r="EG18651"/>
      <c r="EH18651"/>
      <c r="EI18651"/>
      <c r="EJ18651"/>
      <c r="EK18651"/>
    </row>
    <row r="18652" spans="1:141" s="116" customFormat="1">
      <c r="A18652" s="136"/>
      <c r="CM18652" s="111"/>
      <c r="CQ18652" s="111"/>
      <c r="EF18652"/>
      <c r="EG18652"/>
      <c r="EH18652"/>
      <c r="EI18652"/>
      <c r="EJ18652"/>
      <c r="EK18652"/>
    </row>
    <row r="18653" spans="1:141" s="116" customFormat="1">
      <c r="A18653" s="136"/>
      <c r="CM18653" s="111"/>
      <c r="CQ18653" s="111"/>
      <c r="EF18653"/>
      <c r="EG18653"/>
      <c r="EH18653"/>
      <c r="EI18653"/>
      <c r="EJ18653"/>
      <c r="EK18653"/>
    </row>
    <row r="18654" spans="1:141" s="116" customFormat="1">
      <c r="A18654" s="136"/>
      <c r="CM18654" s="111"/>
      <c r="CQ18654" s="111"/>
      <c r="EF18654"/>
      <c r="EG18654"/>
      <c r="EH18654"/>
      <c r="EI18654"/>
      <c r="EJ18654"/>
      <c r="EK18654"/>
    </row>
    <row r="18655" spans="1:141" s="116" customFormat="1">
      <c r="A18655" s="136"/>
      <c r="CM18655" s="111"/>
      <c r="CQ18655" s="111"/>
      <c r="EF18655"/>
      <c r="EG18655"/>
      <c r="EH18655"/>
      <c r="EI18655"/>
      <c r="EJ18655"/>
      <c r="EK18655"/>
    </row>
    <row r="18656" spans="1:141" s="116" customFormat="1">
      <c r="A18656" s="136"/>
      <c r="CM18656" s="111"/>
      <c r="CQ18656" s="111"/>
      <c r="EF18656"/>
      <c r="EG18656"/>
      <c r="EH18656"/>
      <c r="EI18656"/>
      <c r="EJ18656"/>
      <c r="EK18656"/>
    </row>
    <row r="18657" spans="1:141" s="116" customFormat="1">
      <c r="A18657" s="136"/>
      <c r="CM18657" s="111"/>
      <c r="CQ18657" s="111"/>
      <c r="EF18657"/>
      <c r="EG18657"/>
      <c r="EH18657"/>
      <c r="EI18657"/>
      <c r="EJ18657"/>
      <c r="EK18657"/>
    </row>
    <row r="18658" spans="1:141" s="116" customFormat="1">
      <c r="A18658" s="136"/>
      <c r="CM18658" s="111"/>
      <c r="CQ18658" s="111"/>
      <c r="EF18658"/>
      <c r="EG18658"/>
      <c r="EH18658"/>
      <c r="EI18658"/>
      <c r="EJ18658"/>
      <c r="EK18658"/>
    </row>
    <row r="18659" spans="1:141" s="116" customFormat="1">
      <c r="A18659" s="136"/>
      <c r="CM18659" s="111"/>
      <c r="CQ18659" s="111"/>
      <c r="EF18659"/>
      <c r="EG18659"/>
      <c r="EH18659"/>
      <c r="EI18659"/>
      <c r="EJ18659"/>
      <c r="EK18659"/>
    </row>
    <row r="18660" spans="1:141" s="116" customFormat="1">
      <c r="A18660" s="136"/>
      <c r="CM18660" s="111"/>
      <c r="CQ18660" s="111"/>
      <c r="EF18660"/>
      <c r="EG18660"/>
      <c r="EH18660"/>
      <c r="EI18660"/>
      <c r="EJ18660"/>
      <c r="EK18660"/>
    </row>
    <row r="18661" spans="1:141" s="116" customFormat="1">
      <c r="A18661" s="136"/>
      <c r="CM18661" s="111"/>
      <c r="CQ18661" s="111"/>
      <c r="EF18661"/>
      <c r="EG18661"/>
      <c r="EH18661"/>
      <c r="EI18661"/>
      <c r="EJ18661"/>
      <c r="EK18661"/>
    </row>
    <row r="18662" spans="1:141" s="116" customFormat="1">
      <c r="A18662" s="136"/>
      <c r="CM18662" s="111"/>
      <c r="CQ18662" s="111"/>
      <c r="EF18662"/>
      <c r="EG18662"/>
      <c r="EH18662"/>
      <c r="EI18662"/>
      <c r="EJ18662"/>
      <c r="EK18662"/>
    </row>
    <row r="18663" spans="1:141" s="116" customFormat="1">
      <c r="A18663" s="136"/>
      <c r="CM18663" s="111"/>
      <c r="CQ18663" s="111"/>
      <c r="EF18663"/>
      <c r="EG18663"/>
      <c r="EH18663"/>
      <c r="EI18663"/>
      <c r="EJ18663"/>
      <c r="EK18663"/>
    </row>
    <row r="18664" spans="1:141" s="116" customFormat="1">
      <c r="A18664" s="136"/>
      <c r="CM18664" s="111"/>
      <c r="CQ18664" s="111"/>
      <c r="EF18664"/>
      <c r="EG18664"/>
      <c r="EH18664"/>
      <c r="EI18664"/>
      <c r="EJ18664"/>
      <c r="EK18664"/>
    </row>
    <row r="18665" spans="1:141" s="116" customFormat="1">
      <c r="A18665" s="136"/>
      <c r="CM18665" s="111"/>
      <c r="CQ18665" s="111"/>
      <c r="EF18665"/>
      <c r="EG18665"/>
      <c r="EH18665"/>
      <c r="EI18665"/>
      <c r="EJ18665"/>
      <c r="EK18665"/>
    </row>
    <row r="18666" spans="1:141" s="116" customFormat="1">
      <c r="A18666" s="136"/>
      <c r="CM18666" s="111"/>
      <c r="CQ18666" s="111"/>
      <c r="EF18666"/>
      <c r="EG18666"/>
      <c r="EH18666"/>
      <c r="EI18666"/>
      <c r="EJ18666"/>
      <c r="EK18666"/>
    </row>
    <row r="18667" spans="1:141" s="116" customFormat="1">
      <c r="A18667" s="136"/>
      <c r="CM18667" s="111"/>
      <c r="CQ18667" s="111"/>
      <c r="EF18667"/>
      <c r="EG18667"/>
      <c r="EH18667"/>
      <c r="EI18667"/>
      <c r="EJ18667"/>
      <c r="EK18667"/>
    </row>
    <row r="18668" spans="1:141" s="116" customFormat="1">
      <c r="A18668" s="136"/>
      <c r="CM18668" s="111"/>
      <c r="CQ18668" s="111"/>
      <c r="EF18668"/>
      <c r="EG18668"/>
      <c r="EH18668"/>
      <c r="EI18668"/>
      <c r="EJ18668"/>
      <c r="EK18668"/>
    </row>
    <row r="18669" spans="1:141" s="116" customFormat="1">
      <c r="A18669" s="136"/>
      <c r="CM18669" s="111"/>
      <c r="CQ18669" s="111"/>
      <c r="EF18669"/>
      <c r="EG18669"/>
      <c r="EH18669"/>
      <c r="EI18669"/>
      <c r="EJ18669"/>
      <c r="EK18669"/>
    </row>
    <row r="18670" spans="1:141" s="116" customFormat="1">
      <c r="A18670" s="136"/>
      <c r="CM18670" s="111"/>
      <c r="CQ18670" s="111"/>
      <c r="EF18670"/>
      <c r="EG18670"/>
      <c r="EH18670"/>
      <c r="EI18670"/>
      <c r="EJ18670"/>
      <c r="EK18670"/>
    </row>
    <row r="18671" spans="1:141" s="116" customFormat="1">
      <c r="A18671" s="136"/>
      <c r="CM18671" s="111"/>
      <c r="CQ18671" s="111"/>
      <c r="EF18671"/>
      <c r="EG18671"/>
      <c r="EH18671"/>
      <c r="EI18671"/>
      <c r="EJ18671"/>
      <c r="EK18671"/>
    </row>
    <row r="18672" spans="1:141" s="116" customFormat="1">
      <c r="A18672" s="136"/>
      <c r="CM18672" s="111"/>
      <c r="CQ18672" s="111"/>
      <c r="EF18672"/>
      <c r="EG18672"/>
      <c r="EH18672"/>
      <c r="EI18672"/>
      <c r="EJ18672"/>
      <c r="EK18672"/>
    </row>
    <row r="18673" spans="1:141" s="116" customFormat="1">
      <c r="A18673" s="136"/>
      <c r="CM18673" s="111"/>
      <c r="CQ18673" s="111"/>
      <c r="EF18673"/>
      <c r="EG18673"/>
      <c r="EH18673"/>
      <c r="EI18673"/>
      <c r="EJ18673"/>
      <c r="EK18673"/>
    </row>
    <row r="18674" spans="1:141" s="116" customFormat="1">
      <c r="A18674" s="136"/>
      <c r="CM18674" s="111"/>
      <c r="CQ18674" s="111"/>
      <c r="EF18674"/>
      <c r="EG18674"/>
      <c r="EH18674"/>
      <c r="EI18674"/>
      <c r="EJ18674"/>
      <c r="EK18674"/>
    </row>
    <row r="18675" spans="1:141" s="116" customFormat="1">
      <c r="A18675" s="136"/>
      <c r="CM18675" s="111"/>
      <c r="CQ18675" s="111"/>
      <c r="EF18675"/>
      <c r="EG18675"/>
      <c r="EH18675"/>
      <c r="EI18675"/>
      <c r="EJ18675"/>
      <c r="EK18675"/>
    </row>
    <row r="18676" spans="1:141" s="116" customFormat="1">
      <c r="A18676" s="136"/>
      <c r="CM18676" s="111"/>
      <c r="CQ18676" s="111"/>
      <c r="EF18676"/>
      <c r="EG18676"/>
      <c r="EH18676"/>
      <c r="EI18676"/>
      <c r="EJ18676"/>
      <c r="EK18676"/>
    </row>
    <row r="18677" spans="1:141" s="116" customFormat="1">
      <c r="A18677" s="136"/>
      <c r="CM18677" s="111"/>
      <c r="CQ18677" s="111"/>
      <c r="EF18677"/>
      <c r="EG18677"/>
      <c r="EH18677"/>
      <c r="EI18677"/>
      <c r="EJ18677"/>
      <c r="EK18677"/>
    </row>
    <row r="18678" spans="1:141" s="116" customFormat="1">
      <c r="A18678" s="136"/>
      <c r="CM18678" s="111"/>
      <c r="CQ18678" s="111"/>
      <c r="EF18678"/>
      <c r="EG18678"/>
      <c r="EH18678"/>
      <c r="EI18678"/>
      <c r="EJ18678"/>
      <c r="EK18678"/>
    </row>
    <row r="18679" spans="1:141" s="116" customFormat="1">
      <c r="A18679" s="136"/>
      <c r="CM18679" s="111"/>
      <c r="CQ18679" s="111"/>
      <c r="EF18679"/>
      <c r="EG18679"/>
      <c r="EH18679"/>
      <c r="EI18679"/>
      <c r="EJ18679"/>
      <c r="EK18679"/>
    </row>
    <row r="18680" spans="1:141" s="116" customFormat="1">
      <c r="A18680" s="136"/>
      <c r="CM18680" s="111"/>
      <c r="CQ18680" s="111"/>
      <c r="EF18680"/>
      <c r="EG18680"/>
      <c r="EH18680"/>
      <c r="EI18680"/>
      <c r="EJ18680"/>
      <c r="EK18680"/>
    </row>
    <row r="18681" spans="1:141" s="116" customFormat="1">
      <c r="A18681" s="136"/>
      <c r="CM18681" s="111"/>
      <c r="CQ18681" s="111"/>
      <c r="EF18681"/>
      <c r="EG18681"/>
      <c r="EH18681"/>
      <c r="EI18681"/>
      <c r="EJ18681"/>
      <c r="EK18681"/>
    </row>
    <row r="18682" spans="1:141" s="116" customFormat="1">
      <c r="A18682" s="136"/>
      <c r="CM18682" s="111"/>
      <c r="CQ18682" s="111"/>
      <c r="EF18682"/>
      <c r="EG18682"/>
      <c r="EH18682"/>
      <c r="EI18682"/>
      <c r="EJ18682"/>
      <c r="EK18682"/>
    </row>
    <row r="18683" spans="1:141" s="116" customFormat="1">
      <c r="A18683" s="136"/>
      <c r="CM18683" s="111"/>
      <c r="CQ18683" s="111"/>
      <c r="EF18683"/>
      <c r="EG18683"/>
      <c r="EH18683"/>
      <c r="EI18683"/>
      <c r="EJ18683"/>
      <c r="EK18683"/>
    </row>
    <row r="18684" spans="1:141" s="116" customFormat="1">
      <c r="A18684" s="136"/>
      <c r="CM18684" s="111"/>
      <c r="CQ18684" s="111"/>
      <c r="EF18684"/>
      <c r="EG18684"/>
      <c r="EH18684"/>
      <c r="EI18684"/>
      <c r="EJ18684"/>
      <c r="EK18684"/>
    </row>
    <row r="18685" spans="1:141" s="116" customFormat="1">
      <c r="A18685" s="136"/>
      <c r="CM18685" s="111"/>
      <c r="CQ18685" s="111"/>
      <c r="EF18685"/>
      <c r="EG18685"/>
      <c r="EH18685"/>
      <c r="EI18685"/>
      <c r="EJ18685"/>
      <c r="EK18685"/>
    </row>
    <row r="18686" spans="1:141" s="116" customFormat="1">
      <c r="A18686" s="136"/>
      <c r="CM18686" s="111"/>
      <c r="CQ18686" s="111"/>
      <c r="EF18686"/>
      <c r="EG18686"/>
      <c r="EH18686"/>
      <c r="EI18686"/>
      <c r="EJ18686"/>
      <c r="EK18686"/>
    </row>
    <row r="18687" spans="1:141" s="116" customFormat="1">
      <c r="A18687" s="136"/>
      <c r="CM18687" s="111"/>
      <c r="CQ18687" s="111"/>
      <c r="EF18687"/>
      <c r="EG18687"/>
      <c r="EH18687"/>
      <c r="EI18687"/>
      <c r="EJ18687"/>
      <c r="EK18687"/>
    </row>
    <row r="18688" spans="1:141" s="116" customFormat="1">
      <c r="A18688" s="136"/>
      <c r="CM18688" s="111"/>
      <c r="CQ18688" s="111"/>
      <c r="EF18688"/>
      <c r="EG18688"/>
      <c r="EH18688"/>
      <c r="EI18688"/>
      <c r="EJ18688"/>
      <c r="EK18688"/>
    </row>
    <row r="18689" spans="1:141" s="116" customFormat="1">
      <c r="A18689" s="136"/>
      <c r="CM18689" s="111"/>
      <c r="CQ18689" s="111"/>
      <c r="EF18689"/>
      <c r="EG18689"/>
      <c r="EH18689"/>
      <c r="EI18689"/>
      <c r="EJ18689"/>
      <c r="EK18689"/>
    </row>
    <row r="18690" spans="1:141" s="116" customFormat="1">
      <c r="A18690" s="136"/>
      <c r="CM18690" s="111"/>
      <c r="CQ18690" s="111"/>
      <c r="EF18690"/>
      <c r="EG18690"/>
      <c r="EH18690"/>
      <c r="EI18690"/>
      <c r="EJ18690"/>
      <c r="EK18690"/>
    </row>
    <row r="18691" spans="1:141" s="116" customFormat="1">
      <c r="A18691" s="136"/>
      <c r="CM18691" s="111"/>
      <c r="CQ18691" s="111"/>
      <c r="EF18691"/>
      <c r="EG18691"/>
      <c r="EH18691"/>
      <c r="EI18691"/>
      <c r="EJ18691"/>
      <c r="EK18691"/>
    </row>
    <row r="18692" spans="1:141" s="116" customFormat="1">
      <c r="A18692" s="136"/>
      <c r="CM18692" s="111"/>
      <c r="CQ18692" s="111"/>
      <c r="EF18692"/>
      <c r="EG18692"/>
      <c r="EH18692"/>
      <c r="EI18692"/>
      <c r="EJ18692"/>
      <c r="EK18692"/>
    </row>
    <row r="18693" spans="1:141" s="116" customFormat="1">
      <c r="A18693" s="136"/>
      <c r="CM18693" s="111"/>
      <c r="CQ18693" s="111"/>
      <c r="EF18693"/>
      <c r="EG18693"/>
      <c r="EH18693"/>
      <c r="EI18693"/>
      <c r="EJ18693"/>
      <c r="EK18693"/>
    </row>
    <row r="18694" spans="1:141" s="116" customFormat="1">
      <c r="A18694" s="136"/>
      <c r="CM18694" s="111"/>
      <c r="CQ18694" s="111"/>
      <c r="EF18694"/>
      <c r="EG18694"/>
      <c r="EH18694"/>
      <c r="EI18694"/>
      <c r="EJ18694"/>
      <c r="EK18694"/>
    </row>
    <row r="18695" spans="1:141" s="116" customFormat="1">
      <c r="A18695" s="136"/>
      <c r="CM18695" s="111"/>
      <c r="CQ18695" s="111"/>
      <c r="EF18695"/>
      <c r="EG18695"/>
      <c r="EH18695"/>
      <c r="EI18695"/>
      <c r="EJ18695"/>
      <c r="EK18695"/>
    </row>
    <row r="18696" spans="1:141" s="116" customFormat="1">
      <c r="A18696" s="136"/>
      <c r="CM18696" s="111"/>
      <c r="CQ18696" s="111"/>
      <c r="EF18696"/>
      <c r="EG18696"/>
      <c r="EH18696"/>
      <c r="EI18696"/>
      <c r="EJ18696"/>
      <c r="EK18696"/>
    </row>
    <row r="18697" spans="1:141" s="116" customFormat="1">
      <c r="A18697" s="136"/>
      <c r="CM18697" s="111"/>
      <c r="CQ18697" s="111"/>
      <c r="EF18697"/>
      <c r="EG18697"/>
      <c r="EH18697"/>
      <c r="EI18697"/>
      <c r="EJ18697"/>
      <c r="EK18697"/>
    </row>
    <row r="18698" spans="1:141" s="116" customFormat="1">
      <c r="A18698" s="136"/>
      <c r="CM18698" s="111"/>
      <c r="CQ18698" s="111"/>
      <c r="EF18698"/>
      <c r="EG18698"/>
      <c r="EH18698"/>
      <c r="EI18698"/>
      <c r="EJ18698"/>
      <c r="EK18698"/>
    </row>
    <row r="18699" spans="1:141" s="116" customFormat="1">
      <c r="A18699" s="136"/>
      <c r="CM18699" s="111"/>
      <c r="CQ18699" s="111"/>
      <c r="EF18699"/>
      <c r="EG18699"/>
      <c r="EH18699"/>
      <c r="EI18699"/>
      <c r="EJ18699"/>
      <c r="EK18699"/>
    </row>
    <row r="18700" spans="1:141" s="116" customFormat="1">
      <c r="A18700" s="136"/>
      <c r="CM18700" s="111"/>
      <c r="CQ18700" s="111"/>
      <c r="EF18700"/>
      <c r="EG18700"/>
      <c r="EH18700"/>
      <c r="EI18700"/>
      <c r="EJ18700"/>
      <c r="EK18700"/>
    </row>
    <row r="18701" spans="1:141" s="116" customFormat="1">
      <c r="A18701" s="136"/>
      <c r="CM18701" s="111"/>
      <c r="CQ18701" s="111"/>
      <c r="EF18701"/>
      <c r="EG18701"/>
      <c r="EH18701"/>
      <c r="EI18701"/>
      <c r="EJ18701"/>
      <c r="EK18701"/>
    </row>
    <row r="18702" spans="1:141" s="116" customFormat="1">
      <c r="A18702" s="136"/>
      <c r="CM18702" s="111"/>
      <c r="CQ18702" s="111"/>
      <c r="EF18702"/>
      <c r="EG18702"/>
      <c r="EH18702"/>
      <c r="EI18702"/>
      <c r="EJ18702"/>
      <c r="EK18702"/>
    </row>
    <row r="18703" spans="1:141" s="116" customFormat="1">
      <c r="A18703" s="136"/>
      <c r="CM18703" s="111"/>
      <c r="CQ18703" s="111"/>
      <c r="EF18703"/>
      <c r="EG18703"/>
      <c r="EH18703"/>
      <c r="EI18703"/>
      <c r="EJ18703"/>
      <c r="EK18703"/>
    </row>
    <row r="18704" spans="1:141" s="116" customFormat="1">
      <c r="A18704" s="136"/>
      <c r="CM18704" s="111"/>
      <c r="CQ18704" s="111"/>
      <c r="EF18704"/>
      <c r="EG18704"/>
      <c r="EH18704"/>
      <c r="EI18704"/>
      <c r="EJ18704"/>
      <c r="EK18704"/>
    </row>
    <row r="18705" spans="1:141" s="116" customFormat="1">
      <c r="A18705" s="136"/>
      <c r="CM18705" s="111"/>
      <c r="CQ18705" s="111"/>
      <c r="EF18705"/>
      <c r="EG18705"/>
      <c r="EH18705"/>
      <c r="EI18705"/>
      <c r="EJ18705"/>
      <c r="EK18705"/>
    </row>
    <row r="18706" spans="1:141" s="116" customFormat="1">
      <c r="A18706" s="136"/>
      <c r="CM18706" s="111"/>
      <c r="CQ18706" s="111"/>
      <c r="EF18706"/>
      <c r="EG18706"/>
      <c r="EH18706"/>
      <c r="EI18706"/>
      <c r="EJ18706"/>
      <c r="EK18706"/>
    </row>
    <row r="18707" spans="1:141" s="116" customFormat="1">
      <c r="A18707" s="136"/>
      <c r="CM18707" s="111"/>
      <c r="CQ18707" s="111"/>
      <c r="EF18707"/>
      <c r="EG18707"/>
      <c r="EH18707"/>
      <c r="EI18707"/>
      <c r="EJ18707"/>
      <c r="EK18707"/>
    </row>
    <row r="18708" spans="1:141" s="116" customFormat="1">
      <c r="A18708" s="136"/>
      <c r="CM18708" s="111"/>
      <c r="CQ18708" s="111"/>
      <c r="EF18708"/>
      <c r="EG18708"/>
      <c r="EH18708"/>
      <c r="EI18708"/>
      <c r="EJ18708"/>
      <c r="EK18708"/>
    </row>
    <row r="18709" spans="1:141" s="116" customFormat="1">
      <c r="A18709" s="136"/>
      <c r="CM18709" s="111"/>
      <c r="CQ18709" s="111"/>
      <c r="EF18709"/>
      <c r="EG18709"/>
      <c r="EH18709"/>
      <c r="EI18709"/>
      <c r="EJ18709"/>
      <c r="EK18709"/>
    </row>
    <row r="18710" spans="1:141" s="116" customFormat="1">
      <c r="A18710" s="136"/>
      <c r="CM18710" s="111"/>
      <c r="CQ18710" s="111"/>
      <c r="EF18710"/>
      <c r="EG18710"/>
      <c r="EH18710"/>
      <c r="EI18710"/>
      <c r="EJ18710"/>
      <c r="EK18710"/>
    </row>
    <row r="18711" spans="1:141" s="116" customFormat="1">
      <c r="A18711" s="136"/>
      <c r="CM18711" s="111"/>
      <c r="CQ18711" s="111"/>
      <c r="EF18711"/>
      <c r="EG18711"/>
      <c r="EH18711"/>
      <c r="EI18711"/>
      <c r="EJ18711"/>
      <c r="EK18711"/>
    </row>
    <row r="18712" spans="1:141" s="116" customFormat="1">
      <c r="A18712" s="136"/>
      <c r="CM18712" s="111"/>
      <c r="CQ18712" s="111"/>
      <c r="EF18712"/>
      <c r="EG18712"/>
      <c r="EH18712"/>
      <c r="EI18712"/>
      <c r="EJ18712"/>
      <c r="EK18712"/>
    </row>
    <row r="18713" spans="1:141" s="116" customFormat="1">
      <c r="A18713" s="136"/>
      <c r="CM18713" s="111"/>
      <c r="CQ18713" s="111"/>
      <c r="EF18713"/>
      <c r="EG18713"/>
      <c r="EH18713"/>
      <c r="EI18713"/>
      <c r="EJ18713"/>
      <c r="EK18713"/>
    </row>
    <row r="18714" spans="1:141" s="116" customFormat="1">
      <c r="A18714" s="136"/>
      <c r="CM18714" s="111"/>
      <c r="CQ18714" s="111"/>
      <c r="EF18714"/>
      <c r="EG18714"/>
      <c r="EH18714"/>
      <c r="EI18714"/>
      <c r="EJ18714"/>
      <c r="EK18714"/>
    </row>
    <row r="18715" spans="1:141" s="116" customFormat="1">
      <c r="A18715" s="136"/>
      <c r="CM18715" s="111"/>
      <c r="CQ18715" s="111"/>
      <c r="EF18715"/>
      <c r="EG18715"/>
      <c r="EH18715"/>
      <c r="EI18715"/>
      <c r="EJ18715"/>
      <c r="EK18715"/>
    </row>
    <row r="18716" spans="1:141" s="116" customFormat="1">
      <c r="A18716" s="136"/>
      <c r="CM18716" s="111"/>
      <c r="CQ18716" s="111"/>
      <c r="EF18716"/>
      <c r="EG18716"/>
      <c r="EH18716"/>
      <c r="EI18716"/>
      <c r="EJ18716"/>
      <c r="EK18716"/>
    </row>
    <row r="18717" spans="1:141" s="116" customFormat="1">
      <c r="A18717" s="136"/>
      <c r="CM18717" s="111"/>
      <c r="CQ18717" s="111"/>
      <c r="EF18717"/>
      <c r="EG18717"/>
      <c r="EH18717"/>
      <c r="EI18717"/>
      <c r="EJ18717"/>
      <c r="EK18717"/>
    </row>
    <row r="18718" spans="1:141" s="116" customFormat="1">
      <c r="A18718" s="136"/>
      <c r="CM18718" s="111"/>
      <c r="CQ18718" s="111"/>
      <c r="EF18718"/>
      <c r="EG18718"/>
      <c r="EH18718"/>
      <c r="EI18718"/>
      <c r="EJ18718"/>
      <c r="EK18718"/>
    </row>
    <row r="18719" spans="1:141" s="116" customFormat="1">
      <c r="A18719" s="136"/>
      <c r="CM18719" s="111"/>
      <c r="CQ18719" s="111"/>
      <c r="EF18719"/>
      <c r="EG18719"/>
      <c r="EH18719"/>
      <c r="EI18719"/>
      <c r="EJ18719"/>
      <c r="EK18719"/>
    </row>
    <row r="18720" spans="1:141" s="116" customFormat="1">
      <c r="A18720" s="136"/>
      <c r="CM18720" s="111"/>
      <c r="CQ18720" s="111"/>
      <c r="EF18720"/>
      <c r="EG18720"/>
      <c r="EH18720"/>
      <c r="EI18720"/>
      <c r="EJ18720"/>
      <c r="EK18720"/>
    </row>
    <row r="18721" spans="1:141" s="116" customFormat="1">
      <c r="A18721" s="136"/>
      <c r="CM18721" s="111"/>
      <c r="CQ18721" s="111"/>
      <c r="EF18721"/>
      <c r="EG18721"/>
      <c r="EH18721"/>
      <c r="EI18721"/>
      <c r="EJ18721"/>
      <c r="EK18721"/>
    </row>
    <row r="18722" spans="1:141" s="116" customFormat="1">
      <c r="A18722" s="136"/>
      <c r="CM18722" s="111"/>
      <c r="CQ18722" s="111"/>
      <c r="EF18722"/>
      <c r="EG18722"/>
      <c r="EH18722"/>
      <c r="EI18722"/>
      <c r="EJ18722"/>
      <c r="EK18722"/>
    </row>
    <row r="18723" spans="1:141" s="116" customFormat="1">
      <c r="A18723" s="136"/>
      <c r="CM18723" s="111"/>
      <c r="CQ18723" s="111"/>
      <c r="EF18723"/>
      <c r="EG18723"/>
      <c r="EH18723"/>
      <c r="EI18723"/>
      <c r="EJ18723"/>
      <c r="EK18723"/>
    </row>
    <row r="18724" spans="1:141" s="116" customFormat="1">
      <c r="A18724" s="136"/>
      <c r="CM18724" s="111"/>
      <c r="CQ18724" s="111"/>
      <c r="EF18724"/>
      <c r="EG18724"/>
      <c r="EH18724"/>
      <c r="EI18724"/>
      <c r="EJ18724"/>
      <c r="EK18724"/>
    </row>
    <row r="18725" spans="1:141" s="116" customFormat="1">
      <c r="A18725" s="136"/>
      <c r="CM18725" s="111"/>
      <c r="CQ18725" s="111"/>
      <c r="EF18725"/>
      <c r="EG18725"/>
      <c r="EH18725"/>
      <c r="EI18725"/>
      <c r="EJ18725"/>
      <c r="EK18725"/>
    </row>
    <row r="18726" spans="1:141" s="116" customFormat="1">
      <c r="A18726" s="136"/>
      <c r="CM18726" s="111"/>
      <c r="CQ18726" s="111"/>
      <c r="EF18726"/>
      <c r="EG18726"/>
      <c r="EH18726"/>
      <c r="EI18726"/>
      <c r="EJ18726"/>
      <c r="EK18726"/>
    </row>
    <row r="18727" spans="1:141" s="116" customFormat="1">
      <c r="A18727" s="136"/>
      <c r="CM18727" s="111"/>
      <c r="CQ18727" s="111"/>
      <c r="EF18727"/>
      <c r="EG18727"/>
      <c r="EH18727"/>
      <c r="EI18727"/>
      <c r="EJ18727"/>
      <c r="EK18727"/>
    </row>
    <row r="18728" spans="1:141" s="116" customFormat="1">
      <c r="A18728" s="136"/>
      <c r="CM18728" s="111"/>
      <c r="CQ18728" s="111"/>
      <c r="EF18728"/>
      <c r="EG18728"/>
      <c r="EH18728"/>
      <c r="EI18728"/>
      <c r="EJ18728"/>
      <c r="EK18728"/>
    </row>
    <row r="18729" spans="1:141" s="116" customFormat="1">
      <c r="A18729" s="136"/>
      <c r="CM18729" s="111"/>
      <c r="CQ18729" s="111"/>
      <c r="EF18729"/>
      <c r="EG18729"/>
      <c r="EH18729"/>
      <c r="EI18729"/>
      <c r="EJ18729"/>
      <c r="EK18729"/>
    </row>
    <row r="18730" spans="1:141" s="116" customFormat="1">
      <c r="A18730" s="136"/>
      <c r="CM18730" s="111"/>
      <c r="CQ18730" s="111"/>
      <c r="EF18730"/>
      <c r="EG18730"/>
      <c r="EH18730"/>
      <c r="EI18730"/>
      <c r="EJ18730"/>
      <c r="EK18730"/>
    </row>
    <row r="18731" spans="1:141" s="116" customFormat="1">
      <c r="A18731" s="136"/>
      <c r="CM18731" s="111"/>
      <c r="CQ18731" s="111"/>
      <c r="EF18731"/>
      <c r="EG18731"/>
      <c r="EH18731"/>
      <c r="EI18731"/>
      <c r="EJ18731"/>
      <c r="EK18731"/>
    </row>
    <row r="18732" spans="1:141" s="116" customFormat="1">
      <c r="A18732" s="136"/>
      <c r="CM18732" s="111"/>
      <c r="CQ18732" s="111"/>
      <c r="EF18732"/>
      <c r="EG18732"/>
      <c r="EH18732"/>
      <c r="EI18732"/>
      <c r="EJ18732"/>
      <c r="EK18732"/>
    </row>
    <row r="18733" spans="1:141" s="116" customFormat="1">
      <c r="A18733" s="136"/>
      <c r="CM18733" s="111"/>
      <c r="CQ18733" s="111"/>
      <c r="EF18733"/>
      <c r="EG18733"/>
      <c r="EH18733"/>
      <c r="EI18733"/>
      <c r="EJ18733"/>
      <c r="EK18733"/>
    </row>
    <row r="18734" spans="1:141" s="116" customFormat="1">
      <c r="A18734" s="136"/>
      <c r="CM18734" s="111"/>
      <c r="CQ18734" s="111"/>
      <c r="EF18734"/>
      <c r="EG18734"/>
      <c r="EH18734"/>
      <c r="EI18734"/>
      <c r="EJ18734"/>
      <c r="EK18734"/>
    </row>
    <row r="18735" spans="1:141" s="116" customFormat="1">
      <c r="A18735" s="136"/>
      <c r="CM18735" s="111"/>
      <c r="CQ18735" s="111"/>
      <c r="EF18735"/>
      <c r="EG18735"/>
      <c r="EH18735"/>
      <c r="EI18735"/>
      <c r="EJ18735"/>
      <c r="EK18735"/>
    </row>
    <row r="18736" spans="1:141" s="116" customFormat="1">
      <c r="A18736" s="136"/>
      <c r="CM18736" s="111"/>
      <c r="CQ18736" s="111"/>
      <c r="EF18736"/>
      <c r="EG18736"/>
      <c r="EH18736"/>
      <c r="EI18736"/>
      <c r="EJ18736"/>
      <c r="EK18736"/>
    </row>
    <row r="18737" spans="1:141" s="116" customFormat="1">
      <c r="A18737" s="136"/>
      <c r="CM18737" s="111"/>
      <c r="CQ18737" s="111"/>
      <c r="EF18737"/>
      <c r="EG18737"/>
      <c r="EH18737"/>
      <c r="EI18737"/>
      <c r="EJ18737"/>
      <c r="EK18737"/>
    </row>
    <row r="18738" spans="1:141" s="116" customFormat="1">
      <c r="A18738" s="136"/>
      <c r="CM18738" s="111"/>
      <c r="CQ18738" s="111"/>
      <c r="EF18738"/>
      <c r="EG18738"/>
      <c r="EH18738"/>
      <c r="EI18738"/>
      <c r="EJ18738"/>
      <c r="EK18738"/>
    </row>
    <row r="18739" spans="1:141" s="116" customFormat="1">
      <c r="A18739" s="136"/>
      <c r="CM18739" s="111"/>
      <c r="CQ18739" s="111"/>
      <c r="EF18739"/>
      <c r="EG18739"/>
      <c r="EH18739"/>
      <c r="EI18739"/>
      <c r="EJ18739"/>
      <c r="EK18739"/>
    </row>
    <row r="18740" spans="1:141" s="116" customFormat="1">
      <c r="A18740" s="136"/>
      <c r="CM18740" s="111"/>
      <c r="CQ18740" s="111"/>
      <c r="EF18740"/>
      <c r="EG18740"/>
      <c r="EH18740"/>
      <c r="EI18740"/>
      <c r="EJ18740"/>
      <c r="EK18740"/>
    </row>
    <row r="18741" spans="1:141" s="116" customFormat="1">
      <c r="A18741" s="136"/>
      <c r="CM18741" s="111"/>
      <c r="CQ18741" s="111"/>
      <c r="EF18741"/>
      <c r="EG18741"/>
      <c r="EH18741"/>
      <c r="EI18741"/>
      <c r="EJ18741"/>
      <c r="EK18741"/>
    </row>
    <row r="18742" spans="1:141" s="116" customFormat="1">
      <c r="A18742" s="136"/>
      <c r="CM18742" s="111"/>
      <c r="CQ18742" s="111"/>
      <c r="EF18742"/>
      <c r="EG18742"/>
      <c r="EH18742"/>
      <c r="EI18742"/>
      <c r="EJ18742"/>
      <c r="EK18742"/>
    </row>
    <row r="18743" spans="1:141" s="116" customFormat="1">
      <c r="A18743" s="136"/>
      <c r="CM18743" s="111"/>
      <c r="CQ18743" s="111"/>
      <c r="EF18743"/>
      <c r="EG18743"/>
      <c r="EH18743"/>
      <c r="EI18743"/>
      <c r="EJ18743"/>
      <c r="EK18743"/>
    </row>
    <row r="18744" spans="1:141" s="116" customFormat="1">
      <c r="A18744" s="136"/>
      <c r="CM18744" s="111"/>
      <c r="CQ18744" s="111"/>
      <c r="EF18744"/>
      <c r="EG18744"/>
      <c r="EH18744"/>
      <c r="EI18744"/>
      <c r="EJ18744"/>
      <c r="EK18744"/>
    </row>
    <row r="18745" spans="1:141" s="116" customFormat="1">
      <c r="A18745" s="136"/>
      <c r="CM18745" s="111"/>
      <c r="CQ18745" s="111"/>
      <c r="EF18745"/>
      <c r="EG18745"/>
      <c r="EH18745"/>
      <c r="EI18745"/>
      <c r="EJ18745"/>
      <c r="EK18745"/>
    </row>
    <row r="18746" spans="1:141" s="116" customFormat="1">
      <c r="A18746" s="136"/>
      <c r="CM18746" s="111"/>
      <c r="CQ18746" s="111"/>
      <c r="EF18746"/>
      <c r="EG18746"/>
      <c r="EH18746"/>
      <c r="EI18746"/>
      <c r="EJ18746"/>
      <c r="EK18746"/>
    </row>
    <row r="18747" spans="1:141" s="116" customFormat="1">
      <c r="A18747" s="136"/>
      <c r="CM18747" s="111"/>
      <c r="CQ18747" s="111"/>
      <c r="EF18747"/>
      <c r="EG18747"/>
      <c r="EH18747"/>
      <c r="EI18747"/>
      <c r="EJ18747"/>
      <c r="EK18747"/>
    </row>
    <row r="18748" spans="1:141" s="116" customFormat="1">
      <c r="A18748" s="136"/>
      <c r="CM18748" s="111"/>
      <c r="CQ18748" s="111"/>
      <c r="EF18748"/>
      <c r="EG18748"/>
      <c r="EH18748"/>
      <c r="EI18748"/>
      <c r="EJ18748"/>
      <c r="EK18748"/>
    </row>
    <row r="18749" spans="1:141" s="116" customFormat="1">
      <c r="A18749" s="136"/>
      <c r="CM18749" s="111"/>
      <c r="CQ18749" s="111"/>
      <c r="EF18749"/>
      <c r="EG18749"/>
      <c r="EH18749"/>
      <c r="EI18749"/>
      <c r="EJ18749"/>
      <c r="EK18749"/>
    </row>
    <row r="18750" spans="1:141" s="116" customFormat="1">
      <c r="A18750" s="136"/>
      <c r="CM18750" s="111"/>
      <c r="CQ18750" s="111"/>
      <c r="EF18750"/>
      <c r="EG18750"/>
      <c r="EH18750"/>
      <c r="EI18750"/>
      <c r="EJ18750"/>
      <c r="EK18750"/>
    </row>
    <row r="18751" spans="1:141" s="116" customFormat="1">
      <c r="A18751" s="136"/>
      <c r="CM18751" s="111"/>
      <c r="CQ18751" s="111"/>
      <c r="EF18751"/>
      <c r="EG18751"/>
      <c r="EH18751"/>
      <c r="EI18751"/>
      <c r="EJ18751"/>
      <c r="EK18751"/>
    </row>
    <row r="18752" spans="1:141" s="116" customFormat="1">
      <c r="A18752" s="136"/>
      <c r="CM18752" s="111"/>
      <c r="CQ18752" s="111"/>
      <c r="EF18752"/>
      <c r="EG18752"/>
      <c r="EH18752"/>
      <c r="EI18752"/>
      <c r="EJ18752"/>
      <c r="EK18752"/>
    </row>
    <row r="18753" spans="1:141" s="116" customFormat="1">
      <c r="A18753" s="136"/>
      <c r="CM18753" s="111"/>
      <c r="CQ18753" s="111"/>
      <c r="EF18753"/>
      <c r="EG18753"/>
      <c r="EH18753"/>
      <c r="EI18753"/>
      <c r="EJ18753"/>
      <c r="EK18753"/>
    </row>
    <row r="18754" spans="1:141" s="116" customFormat="1">
      <c r="A18754" s="136"/>
      <c r="CM18754" s="111"/>
      <c r="CQ18754" s="111"/>
      <c r="EF18754"/>
      <c r="EG18754"/>
      <c r="EH18754"/>
      <c r="EI18754"/>
      <c r="EJ18754"/>
      <c r="EK18754"/>
    </row>
    <row r="18755" spans="1:141" s="116" customFormat="1">
      <c r="A18755" s="136"/>
      <c r="CM18755" s="111"/>
      <c r="CQ18755" s="111"/>
      <c r="EF18755"/>
      <c r="EG18755"/>
      <c r="EH18755"/>
      <c r="EI18755"/>
      <c r="EJ18755"/>
      <c r="EK18755"/>
    </row>
    <row r="18756" spans="1:141" s="116" customFormat="1">
      <c r="A18756" s="136"/>
      <c r="CM18756" s="111"/>
      <c r="CQ18756" s="111"/>
      <c r="EF18756"/>
      <c r="EG18756"/>
      <c r="EH18756"/>
      <c r="EI18756"/>
      <c r="EJ18756"/>
      <c r="EK18756"/>
    </row>
    <row r="18757" spans="1:141" s="116" customFormat="1">
      <c r="A18757" s="136"/>
      <c r="CM18757" s="111"/>
      <c r="CQ18757" s="111"/>
      <c r="EF18757"/>
      <c r="EG18757"/>
      <c r="EH18757"/>
      <c r="EI18757"/>
      <c r="EJ18757"/>
      <c r="EK18757"/>
    </row>
    <row r="18758" spans="1:141" s="116" customFormat="1">
      <c r="A18758" s="136"/>
      <c r="CM18758" s="111"/>
      <c r="CQ18758" s="111"/>
      <c r="EF18758"/>
      <c r="EG18758"/>
      <c r="EH18758"/>
      <c r="EI18758"/>
      <c r="EJ18758"/>
      <c r="EK18758"/>
    </row>
    <row r="18759" spans="1:141" s="116" customFormat="1">
      <c r="A18759" s="136"/>
      <c r="CM18759" s="111"/>
      <c r="CQ18759" s="111"/>
      <c r="EF18759"/>
      <c r="EG18759"/>
      <c r="EH18759"/>
      <c r="EI18759"/>
      <c r="EJ18759"/>
      <c r="EK18759"/>
    </row>
    <row r="18760" spans="1:141" s="116" customFormat="1">
      <c r="A18760" s="136"/>
      <c r="CM18760" s="111"/>
      <c r="CQ18760" s="111"/>
      <c r="EF18760"/>
      <c r="EG18760"/>
      <c r="EH18760"/>
      <c r="EI18760"/>
      <c r="EJ18760"/>
      <c r="EK18760"/>
    </row>
    <row r="18761" spans="1:141" s="116" customFormat="1">
      <c r="A18761" s="136"/>
      <c r="CM18761" s="111"/>
      <c r="CQ18761" s="111"/>
      <c r="EF18761"/>
      <c r="EG18761"/>
      <c r="EH18761"/>
      <c r="EI18761"/>
      <c r="EJ18761"/>
      <c r="EK18761"/>
    </row>
    <row r="18762" spans="1:141" s="116" customFormat="1">
      <c r="A18762" s="136"/>
      <c r="CM18762" s="111"/>
      <c r="CQ18762" s="111"/>
      <c r="EF18762"/>
      <c r="EG18762"/>
      <c r="EH18762"/>
      <c r="EI18762"/>
      <c r="EJ18762"/>
      <c r="EK18762"/>
    </row>
    <row r="18763" spans="1:141" s="116" customFormat="1">
      <c r="A18763" s="136"/>
      <c r="CM18763" s="111"/>
      <c r="CQ18763" s="111"/>
      <c r="EF18763"/>
      <c r="EG18763"/>
      <c r="EH18763"/>
      <c r="EI18763"/>
      <c r="EJ18763"/>
      <c r="EK18763"/>
    </row>
    <row r="18764" spans="1:141" s="116" customFormat="1">
      <c r="A18764" s="136"/>
      <c r="CM18764" s="111"/>
      <c r="CQ18764" s="111"/>
      <c r="EF18764"/>
      <c r="EG18764"/>
      <c r="EH18764"/>
      <c r="EI18764"/>
      <c r="EJ18764"/>
      <c r="EK18764"/>
    </row>
    <row r="18765" spans="1:141" s="116" customFormat="1">
      <c r="A18765" s="136"/>
      <c r="CM18765" s="111"/>
      <c r="CQ18765" s="111"/>
      <c r="EF18765"/>
      <c r="EG18765"/>
      <c r="EH18765"/>
      <c r="EI18765"/>
      <c r="EJ18765"/>
      <c r="EK18765"/>
    </row>
    <row r="18766" spans="1:141" s="116" customFormat="1">
      <c r="A18766" s="136"/>
      <c r="CM18766" s="111"/>
      <c r="CQ18766" s="111"/>
      <c r="EF18766"/>
      <c r="EG18766"/>
      <c r="EH18766"/>
      <c r="EI18766"/>
      <c r="EJ18766"/>
      <c r="EK18766"/>
    </row>
    <row r="18767" spans="1:141" s="116" customFormat="1">
      <c r="A18767" s="136"/>
      <c r="CM18767" s="111"/>
      <c r="CQ18767" s="111"/>
      <c r="EF18767"/>
      <c r="EG18767"/>
      <c r="EH18767"/>
      <c r="EI18767"/>
      <c r="EJ18767"/>
      <c r="EK18767"/>
    </row>
    <row r="18768" spans="1:141" s="116" customFormat="1">
      <c r="A18768" s="136"/>
      <c r="CM18768" s="111"/>
      <c r="CQ18768" s="111"/>
      <c r="EF18768"/>
      <c r="EG18768"/>
      <c r="EH18768"/>
      <c r="EI18768"/>
      <c r="EJ18768"/>
      <c r="EK18768"/>
    </row>
    <row r="18769" spans="1:141" s="116" customFormat="1">
      <c r="A18769" s="136"/>
      <c r="CM18769" s="111"/>
      <c r="CQ18769" s="111"/>
      <c r="EF18769"/>
      <c r="EG18769"/>
      <c r="EH18769"/>
      <c r="EI18769"/>
      <c r="EJ18769"/>
      <c r="EK18769"/>
    </row>
    <row r="18770" spans="1:141" s="116" customFormat="1">
      <c r="A18770" s="136"/>
      <c r="CM18770" s="111"/>
      <c r="CQ18770" s="111"/>
      <c r="EF18770"/>
      <c r="EG18770"/>
      <c r="EH18770"/>
      <c r="EI18770"/>
      <c r="EJ18770"/>
      <c r="EK18770"/>
    </row>
    <row r="18771" spans="1:141" s="116" customFormat="1">
      <c r="A18771" s="136"/>
      <c r="CM18771" s="111"/>
      <c r="CQ18771" s="111"/>
      <c r="EF18771"/>
      <c r="EG18771"/>
      <c r="EH18771"/>
      <c r="EI18771"/>
      <c r="EJ18771"/>
      <c r="EK18771"/>
    </row>
    <row r="18772" spans="1:141" s="116" customFormat="1">
      <c r="A18772" s="136"/>
      <c r="CM18772" s="111"/>
      <c r="CQ18772" s="111"/>
      <c r="EF18772"/>
      <c r="EG18772"/>
      <c r="EH18772"/>
      <c r="EI18772"/>
      <c r="EJ18772"/>
      <c r="EK18772"/>
    </row>
    <row r="18773" spans="1:141" s="116" customFormat="1">
      <c r="A18773" s="136"/>
      <c r="CM18773" s="111"/>
      <c r="CQ18773" s="111"/>
      <c r="EF18773"/>
      <c r="EG18773"/>
      <c r="EH18773"/>
      <c r="EI18773"/>
      <c r="EJ18773"/>
      <c r="EK18773"/>
    </row>
    <row r="18774" spans="1:141" s="116" customFormat="1">
      <c r="A18774" s="136"/>
      <c r="CM18774" s="111"/>
      <c r="CQ18774" s="111"/>
      <c r="EF18774"/>
      <c r="EG18774"/>
      <c r="EH18774"/>
      <c r="EI18774"/>
      <c r="EJ18774"/>
      <c r="EK18774"/>
    </row>
    <row r="18775" spans="1:141" s="116" customFormat="1">
      <c r="A18775" s="136"/>
      <c r="CM18775" s="111"/>
      <c r="CQ18775" s="111"/>
      <c r="EF18775"/>
      <c r="EG18775"/>
      <c r="EH18775"/>
      <c r="EI18775"/>
      <c r="EJ18775"/>
      <c r="EK18775"/>
    </row>
    <row r="18776" spans="1:141" s="116" customFormat="1">
      <c r="A18776" s="136"/>
      <c r="CM18776" s="111"/>
      <c r="CQ18776" s="111"/>
      <c r="EF18776"/>
      <c r="EG18776"/>
      <c r="EH18776"/>
      <c r="EI18776"/>
      <c r="EJ18776"/>
      <c r="EK18776"/>
    </row>
    <row r="18777" spans="1:141" s="116" customFormat="1">
      <c r="A18777" s="136"/>
      <c r="CM18777" s="111"/>
      <c r="CQ18777" s="111"/>
      <c r="EF18777"/>
      <c r="EG18777"/>
      <c r="EH18777"/>
      <c r="EI18777"/>
      <c r="EJ18777"/>
      <c r="EK18777"/>
    </row>
    <row r="18778" spans="1:141" s="116" customFormat="1">
      <c r="A18778" s="136"/>
      <c r="CM18778" s="111"/>
      <c r="CQ18778" s="111"/>
      <c r="EF18778"/>
      <c r="EG18778"/>
      <c r="EH18778"/>
      <c r="EI18778"/>
      <c r="EJ18778"/>
      <c r="EK18778"/>
    </row>
    <row r="18779" spans="1:141" s="116" customFormat="1">
      <c r="A18779" s="136"/>
      <c r="CM18779" s="111"/>
      <c r="CQ18779" s="111"/>
      <c r="EF18779"/>
      <c r="EG18779"/>
      <c r="EH18779"/>
      <c r="EI18779"/>
      <c r="EJ18779"/>
      <c r="EK18779"/>
    </row>
    <row r="18780" spans="1:141" s="116" customFormat="1">
      <c r="A18780" s="136"/>
      <c r="CM18780" s="111"/>
      <c r="CQ18780" s="111"/>
      <c r="EF18780"/>
      <c r="EG18780"/>
      <c r="EH18780"/>
      <c r="EI18780"/>
      <c r="EJ18780"/>
      <c r="EK18780"/>
    </row>
    <row r="18781" spans="1:141" s="116" customFormat="1">
      <c r="A18781" s="136"/>
      <c r="CM18781" s="111"/>
      <c r="CQ18781" s="111"/>
      <c r="EF18781"/>
      <c r="EG18781"/>
      <c r="EH18781"/>
      <c r="EI18781"/>
      <c r="EJ18781"/>
      <c r="EK18781"/>
    </row>
    <row r="18782" spans="1:141" s="116" customFormat="1">
      <c r="A18782" s="136"/>
      <c r="CM18782" s="111"/>
      <c r="CQ18782" s="111"/>
      <c r="EF18782"/>
      <c r="EG18782"/>
      <c r="EH18782"/>
      <c r="EI18782"/>
      <c r="EJ18782"/>
      <c r="EK18782"/>
    </row>
    <row r="18783" spans="1:141" s="116" customFormat="1">
      <c r="A18783" s="136"/>
      <c r="CM18783" s="111"/>
      <c r="CQ18783" s="111"/>
      <c r="EF18783"/>
      <c r="EG18783"/>
      <c r="EH18783"/>
      <c r="EI18783"/>
      <c r="EJ18783"/>
      <c r="EK18783"/>
    </row>
    <row r="18784" spans="1:141" s="116" customFormat="1">
      <c r="A18784" s="136"/>
      <c r="CM18784" s="111"/>
      <c r="CQ18784" s="111"/>
      <c r="EF18784"/>
      <c r="EG18784"/>
      <c r="EH18784"/>
      <c r="EI18784"/>
      <c r="EJ18784"/>
      <c r="EK18784"/>
    </row>
    <row r="18785" spans="1:141" s="116" customFormat="1">
      <c r="A18785" s="136"/>
      <c r="CM18785" s="111"/>
      <c r="CQ18785" s="111"/>
      <c r="EF18785"/>
      <c r="EG18785"/>
      <c r="EH18785"/>
      <c r="EI18785"/>
      <c r="EJ18785"/>
      <c r="EK18785"/>
    </row>
    <row r="18786" spans="1:141" s="116" customFormat="1">
      <c r="A18786" s="136"/>
      <c r="CM18786" s="111"/>
      <c r="CQ18786" s="111"/>
      <c r="EF18786"/>
      <c r="EG18786"/>
      <c r="EH18786"/>
      <c r="EI18786"/>
      <c r="EJ18786"/>
      <c r="EK18786"/>
    </row>
    <row r="18787" spans="1:141" s="116" customFormat="1">
      <c r="A18787" s="136"/>
      <c r="CM18787" s="111"/>
      <c r="CQ18787" s="111"/>
      <c r="EF18787"/>
      <c r="EG18787"/>
      <c r="EH18787"/>
      <c r="EI18787"/>
      <c r="EJ18787"/>
      <c r="EK18787"/>
    </row>
    <row r="18788" spans="1:141" s="116" customFormat="1">
      <c r="A18788" s="136"/>
      <c r="CM18788" s="111"/>
      <c r="CQ18788" s="111"/>
      <c r="EF18788"/>
      <c r="EG18788"/>
      <c r="EH18788"/>
      <c r="EI18788"/>
      <c r="EJ18788"/>
      <c r="EK18788"/>
    </row>
    <row r="18789" spans="1:141" s="116" customFormat="1">
      <c r="A18789" s="136"/>
      <c r="CM18789" s="111"/>
      <c r="CQ18789" s="111"/>
      <c r="EF18789"/>
      <c r="EG18789"/>
      <c r="EH18789"/>
      <c r="EI18789"/>
      <c r="EJ18789"/>
      <c r="EK18789"/>
    </row>
    <row r="18790" spans="1:141" s="116" customFormat="1">
      <c r="A18790" s="136"/>
      <c r="CM18790" s="111"/>
      <c r="CQ18790" s="111"/>
      <c r="EF18790"/>
      <c r="EG18790"/>
      <c r="EH18790"/>
      <c r="EI18790"/>
      <c r="EJ18790"/>
      <c r="EK18790"/>
    </row>
    <row r="18791" spans="1:141" s="116" customFormat="1">
      <c r="A18791" s="136"/>
      <c r="CM18791" s="111"/>
      <c r="CQ18791" s="111"/>
      <c r="EF18791"/>
      <c r="EG18791"/>
      <c r="EH18791"/>
      <c r="EI18791"/>
      <c r="EJ18791"/>
      <c r="EK18791"/>
    </row>
    <row r="18792" spans="1:141" s="116" customFormat="1">
      <c r="A18792" s="136"/>
      <c r="CM18792" s="111"/>
      <c r="CQ18792" s="111"/>
      <c r="EF18792"/>
      <c r="EG18792"/>
      <c r="EH18792"/>
      <c r="EI18792"/>
      <c r="EJ18792"/>
      <c r="EK18792"/>
    </row>
    <row r="18793" spans="1:141" s="116" customFormat="1">
      <c r="A18793" s="136"/>
      <c r="CM18793" s="111"/>
      <c r="CQ18793" s="111"/>
      <c r="EF18793"/>
      <c r="EG18793"/>
      <c r="EH18793"/>
      <c r="EI18793"/>
      <c r="EJ18793"/>
      <c r="EK18793"/>
    </row>
    <row r="18794" spans="1:141" s="116" customFormat="1">
      <c r="A18794" s="136"/>
      <c r="CM18794" s="111"/>
      <c r="CQ18794" s="111"/>
      <c r="EF18794"/>
      <c r="EG18794"/>
      <c r="EH18794"/>
      <c r="EI18794"/>
      <c r="EJ18794"/>
      <c r="EK18794"/>
    </row>
    <row r="18795" spans="1:141" s="116" customFormat="1">
      <c r="A18795" s="136"/>
      <c r="CM18795" s="111"/>
      <c r="CQ18795" s="111"/>
      <c r="EF18795"/>
      <c r="EG18795"/>
      <c r="EH18795"/>
      <c r="EI18795"/>
      <c r="EJ18795"/>
      <c r="EK18795"/>
    </row>
    <row r="18796" spans="1:141" s="116" customFormat="1">
      <c r="A18796" s="136"/>
      <c r="CM18796" s="111"/>
      <c r="CQ18796" s="111"/>
      <c r="EF18796"/>
      <c r="EG18796"/>
      <c r="EH18796"/>
      <c r="EI18796"/>
      <c r="EJ18796"/>
      <c r="EK18796"/>
    </row>
    <row r="18797" spans="1:141" s="116" customFormat="1">
      <c r="A18797" s="136"/>
      <c r="CM18797" s="111"/>
      <c r="CQ18797" s="111"/>
      <c r="EF18797"/>
      <c r="EG18797"/>
      <c r="EH18797"/>
      <c r="EI18797"/>
      <c r="EJ18797"/>
      <c r="EK18797"/>
    </row>
    <row r="18798" spans="1:141" s="116" customFormat="1">
      <c r="A18798" s="136"/>
      <c r="CM18798" s="111"/>
      <c r="CQ18798" s="111"/>
      <c r="EF18798"/>
      <c r="EG18798"/>
      <c r="EH18798"/>
      <c r="EI18798"/>
      <c r="EJ18798"/>
      <c r="EK18798"/>
    </row>
    <row r="18799" spans="1:141" s="116" customFormat="1">
      <c r="A18799" s="136"/>
      <c r="CM18799" s="111"/>
      <c r="CQ18799" s="111"/>
      <c r="EF18799"/>
      <c r="EG18799"/>
      <c r="EH18799"/>
      <c r="EI18799"/>
      <c r="EJ18799"/>
      <c r="EK18799"/>
    </row>
    <row r="18800" spans="1:141" s="116" customFormat="1">
      <c r="A18800" s="136"/>
      <c r="CM18800" s="111"/>
      <c r="CQ18800" s="111"/>
      <c r="EF18800"/>
      <c r="EG18800"/>
      <c r="EH18800"/>
      <c r="EI18800"/>
      <c r="EJ18800"/>
      <c r="EK18800"/>
    </row>
    <row r="18801" spans="1:141" s="116" customFormat="1">
      <c r="A18801" s="136"/>
      <c r="CM18801" s="111"/>
      <c r="CQ18801" s="111"/>
      <c r="EF18801"/>
      <c r="EG18801"/>
      <c r="EH18801"/>
      <c r="EI18801"/>
      <c r="EJ18801"/>
      <c r="EK18801"/>
    </row>
    <row r="18802" spans="1:141" s="116" customFormat="1">
      <c r="A18802" s="136"/>
      <c r="CM18802" s="111"/>
      <c r="CQ18802" s="111"/>
      <c r="EF18802"/>
      <c r="EG18802"/>
      <c r="EH18802"/>
      <c r="EI18802"/>
      <c r="EJ18802"/>
      <c r="EK18802"/>
    </row>
    <row r="18803" spans="1:141" s="116" customFormat="1">
      <c r="A18803" s="136"/>
      <c r="CM18803" s="111"/>
      <c r="CQ18803" s="111"/>
      <c r="EF18803"/>
      <c r="EG18803"/>
      <c r="EH18803"/>
      <c r="EI18803"/>
      <c r="EJ18803"/>
      <c r="EK18803"/>
    </row>
    <row r="18804" spans="1:141" s="116" customFormat="1">
      <c r="A18804" s="136"/>
      <c r="CM18804" s="111"/>
      <c r="CQ18804" s="111"/>
      <c r="EF18804"/>
      <c r="EG18804"/>
      <c r="EH18804"/>
      <c r="EI18804"/>
      <c r="EJ18804"/>
      <c r="EK18804"/>
    </row>
    <row r="18805" spans="1:141" s="116" customFormat="1">
      <c r="A18805" s="136"/>
      <c r="CM18805" s="111"/>
      <c r="CQ18805" s="111"/>
      <c r="EF18805"/>
      <c r="EG18805"/>
      <c r="EH18805"/>
      <c r="EI18805"/>
      <c r="EJ18805"/>
      <c r="EK18805"/>
    </row>
    <row r="18806" spans="1:141" s="116" customFormat="1">
      <c r="A18806" s="136"/>
      <c r="CM18806" s="111"/>
      <c r="CQ18806" s="111"/>
      <c r="EF18806"/>
      <c r="EG18806"/>
      <c r="EH18806"/>
      <c r="EI18806"/>
      <c r="EJ18806"/>
      <c r="EK18806"/>
    </row>
    <row r="18807" spans="1:141" s="116" customFormat="1">
      <c r="A18807" s="136"/>
      <c r="CM18807" s="111"/>
      <c r="CQ18807" s="111"/>
      <c r="EF18807"/>
      <c r="EG18807"/>
      <c r="EH18807"/>
      <c r="EI18807"/>
      <c r="EJ18807"/>
      <c r="EK18807"/>
    </row>
    <row r="18808" spans="1:141" s="116" customFormat="1">
      <c r="A18808" s="136"/>
      <c r="CM18808" s="111"/>
      <c r="CQ18808" s="111"/>
      <c r="EF18808"/>
      <c r="EG18808"/>
      <c r="EH18808"/>
      <c r="EI18808"/>
      <c r="EJ18808"/>
      <c r="EK18808"/>
    </row>
    <row r="18809" spans="1:141" s="116" customFormat="1">
      <c r="A18809" s="136"/>
      <c r="CM18809" s="111"/>
      <c r="CQ18809" s="111"/>
      <c r="EF18809"/>
      <c r="EG18809"/>
      <c r="EH18809"/>
      <c r="EI18809"/>
      <c r="EJ18809"/>
      <c r="EK18809"/>
    </row>
    <row r="18810" spans="1:141" s="116" customFormat="1">
      <c r="A18810" s="136"/>
      <c r="CM18810" s="111"/>
      <c r="CQ18810" s="111"/>
      <c r="EF18810"/>
      <c r="EG18810"/>
      <c r="EH18810"/>
      <c r="EI18810"/>
      <c r="EJ18810"/>
      <c r="EK18810"/>
    </row>
    <row r="18811" spans="1:141" s="116" customFormat="1">
      <c r="A18811" s="136"/>
      <c r="CM18811" s="111"/>
      <c r="CQ18811" s="111"/>
      <c r="EF18811"/>
      <c r="EG18811"/>
      <c r="EH18811"/>
      <c r="EI18811"/>
      <c r="EJ18811"/>
      <c r="EK18811"/>
    </row>
    <row r="18812" spans="1:141" s="116" customFormat="1">
      <c r="A18812" s="136"/>
      <c r="CM18812" s="111"/>
      <c r="CQ18812" s="111"/>
      <c r="EF18812"/>
      <c r="EG18812"/>
      <c r="EH18812"/>
      <c r="EI18812"/>
      <c r="EJ18812"/>
      <c r="EK18812"/>
    </row>
    <row r="18813" spans="1:141" s="116" customFormat="1">
      <c r="A18813" s="136"/>
      <c r="CM18813" s="111"/>
      <c r="CQ18813" s="111"/>
      <c r="EF18813"/>
      <c r="EG18813"/>
      <c r="EH18813"/>
      <c r="EI18813"/>
      <c r="EJ18813"/>
      <c r="EK18813"/>
    </row>
    <row r="18814" spans="1:141" s="116" customFormat="1">
      <c r="A18814" s="136"/>
      <c r="CM18814" s="111"/>
      <c r="CQ18814" s="111"/>
      <c r="EF18814"/>
      <c r="EG18814"/>
      <c r="EH18814"/>
      <c r="EI18814"/>
      <c r="EJ18814"/>
      <c r="EK18814"/>
    </row>
    <row r="18815" spans="1:141" s="116" customFormat="1">
      <c r="A18815" s="136"/>
      <c r="CM18815" s="111"/>
      <c r="CQ18815" s="111"/>
      <c r="EF18815"/>
      <c r="EG18815"/>
      <c r="EH18815"/>
      <c r="EI18815"/>
      <c r="EJ18815"/>
      <c r="EK18815"/>
    </row>
    <row r="18816" spans="1:141" s="116" customFormat="1">
      <c r="A18816" s="136"/>
      <c r="CM18816" s="111"/>
      <c r="CQ18816" s="111"/>
      <c r="EF18816"/>
      <c r="EG18816"/>
      <c r="EH18816"/>
      <c r="EI18816"/>
      <c r="EJ18816"/>
      <c r="EK18816"/>
    </row>
    <row r="18817" spans="1:141" s="116" customFormat="1">
      <c r="A18817" s="136"/>
      <c r="CM18817" s="111"/>
      <c r="CQ18817" s="111"/>
      <c r="EF18817"/>
      <c r="EG18817"/>
      <c r="EH18817"/>
      <c r="EI18817"/>
      <c r="EJ18817"/>
      <c r="EK18817"/>
    </row>
    <row r="18818" spans="1:141" s="116" customFormat="1">
      <c r="A18818" s="136"/>
      <c r="CM18818" s="111"/>
      <c r="CQ18818" s="111"/>
      <c r="EF18818"/>
      <c r="EG18818"/>
      <c r="EH18818"/>
      <c r="EI18818"/>
      <c r="EJ18818"/>
      <c r="EK18818"/>
    </row>
    <row r="18819" spans="1:141" s="116" customFormat="1">
      <c r="A18819" s="136"/>
      <c r="CM18819" s="111"/>
      <c r="CQ18819" s="111"/>
      <c r="EF18819"/>
      <c r="EG18819"/>
      <c r="EH18819"/>
      <c r="EI18819"/>
      <c r="EJ18819"/>
      <c r="EK18819"/>
    </row>
    <row r="18820" spans="1:141" s="116" customFormat="1">
      <c r="A18820" s="136"/>
      <c r="CM18820" s="111"/>
      <c r="CQ18820" s="111"/>
      <c r="EF18820"/>
      <c r="EG18820"/>
      <c r="EH18820"/>
      <c r="EI18820"/>
      <c r="EJ18820"/>
      <c r="EK18820"/>
    </row>
    <row r="18821" spans="1:141" s="116" customFormat="1">
      <c r="A18821" s="136"/>
      <c r="CM18821" s="111"/>
      <c r="CQ18821" s="111"/>
      <c r="EF18821"/>
      <c r="EG18821"/>
      <c r="EH18821"/>
      <c r="EI18821"/>
      <c r="EJ18821"/>
      <c r="EK18821"/>
    </row>
    <row r="18822" spans="1:141" s="116" customFormat="1">
      <c r="A18822" s="136"/>
      <c r="CM18822" s="111"/>
      <c r="CQ18822" s="111"/>
      <c r="EF18822"/>
      <c r="EG18822"/>
      <c r="EH18822"/>
      <c r="EI18822"/>
      <c r="EJ18822"/>
      <c r="EK18822"/>
    </row>
    <row r="18823" spans="1:141" s="116" customFormat="1">
      <c r="A18823" s="136"/>
      <c r="CM18823" s="111"/>
      <c r="CQ18823" s="111"/>
      <c r="EF18823"/>
      <c r="EG18823"/>
      <c r="EH18823"/>
      <c r="EI18823"/>
      <c r="EJ18823"/>
      <c r="EK18823"/>
    </row>
    <row r="18824" spans="1:141" s="116" customFormat="1">
      <c r="A18824" s="136"/>
      <c r="CM18824" s="111"/>
      <c r="CQ18824" s="111"/>
      <c r="EF18824"/>
      <c r="EG18824"/>
      <c r="EH18824"/>
      <c r="EI18824"/>
      <c r="EJ18824"/>
      <c r="EK18824"/>
    </row>
    <row r="18825" spans="1:141" s="116" customFormat="1">
      <c r="A18825" s="136"/>
      <c r="CM18825" s="111"/>
      <c r="CQ18825" s="111"/>
      <c r="EF18825"/>
      <c r="EG18825"/>
      <c r="EH18825"/>
      <c r="EI18825"/>
      <c r="EJ18825"/>
      <c r="EK18825"/>
    </row>
    <row r="18826" spans="1:141" s="116" customFormat="1">
      <c r="A18826" s="136"/>
      <c r="CM18826" s="111"/>
      <c r="CQ18826" s="111"/>
      <c r="EF18826"/>
      <c r="EG18826"/>
      <c r="EH18826"/>
      <c r="EI18826"/>
      <c r="EJ18826"/>
      <c r="EK18826"/>
    </row>
    <row r="18827" spans="1:141" s="116" customFormat="1">
      <c r="A18827" s="136"/>
      <c r="CM18827" s="111"/>
      <c r="CQ18827" s="111"/>
      <c r="EF18827"/>
      <c r="EG18827"/>
      <c r="EH18827"/>
      <c r="EI18827"/>
      <c r="EJ18827"/>
      <c r="EK18827"/>
    </row>
    <row r="18828" spans="1:141" s="116" customFormat="1">
      <c r="A18828" s="136"/>
      <c r="CM18828" s="111"/>
      <c r="CQ18828" s="111"/>
      <c r="EF18828"/>
      <c r="EG18828"/>
      <c r="EH18828"/>
      <c r="EI18828"/>
      <c r="EJ18828"/>
      <c r="EK18828"/>
    </row>
    <row r="18829" spans="1:141" s="116" customFormat="1">
      <c r="A18829" s="136"/>
      <c r="CM18829" s="111"/>
      <c r="CQ18829" s="111"/>
      <c r="EF18829"/>
      <c r="EG18829"/>
      <c r="EH18829"/>
      <c r="EI18829"/>
      <c r="EJ18829"/>
      <c r="EK18829"/>
    </row>
    <row r="18830" spans="1:141" s="116" customFormat="1">
      <c r="A18830" s="136"/>
      <c r="CM18830" s="111"/>
      <c r="CQ18830" s="111"/>
      <c r="EF18830"/>
      <c r="EG18830"/>
      <c r="EH18830"/>
      <c r="EI18830"/>
      <c r="EJ18830"/>
      <c r="EK18830"/>
    </row>
    <row r="18831" spans="1:141" s="116" customFormat="1">
      <c r="A18831" s="136"/>
      <c r="CM18831" s="111"/>
      <c r="CQ18831" s="111"/>
      <c r="EF18831"/>
      <c r="EG18831"/>
      <c r="EH18831"/>
      <c r="EI18831"/>
      <c r="EJ18831"/>
      <c r="EK18831"/>
    </row>
    <row r="18832" spans="1:141" s="116" customFormat="1">
      <c r="A18832" s="136"/>
      <c r="CM18832" s="111"/>
      <c r="CQ18832" s="111"/>
      <c r="EF18832"/>
      <c r="EG18832"/>
      <c r="EH18832"/>
      <c r="EI18832"/>
      <c r="EJ18832"/>
      <c r="EK18832"/>
    </row>
    <row r="18833" spans="1:141" s="116" customFormat="1">
      <c r="A18833" s="136"/>
      <c r="CM18833" s="111"/>
      <c r="CQ18833" s="111"/>
      <c r="EF18833"/>
      <c r="EG18833"/>
      <c r="EH18833"/>
      <c r="EI18833"/>
      <c r="EJ18833"/>
      <c r="EK18833"/>
    </row>
    <row r="18834" spans="1:141" s="116" customFormat="1">
      <c r="A18834" s="136"/>
      <c r="CM18834" s="111"/>
      <c r="CQ18834" s="111"/>
      <c r="EF18834"/>
      <c r="EG18834"/>
      <c r="EH18834"/>
      <c r="EI18834"/>
      <c r="EJ18834"/>
      <c r="EK18834"/>
    </row>
    <row r="18835" spans="1:141" s="116" customFormat="1">
      <c r="A18835" s="136"/>
      <c r="CM18835" s="111"/>
      <c r="CQ18835" s="111"/>
      <c r="EF18835"/>
      <c r="EG18835"/>
      <c r="EH18835"/>
      <c r="EI18835"/>
      <c r="EJ18835"/>
      <c r="EK18835"/>
    </row>
    <row r="18836" spans="1:141" s="116" customFormat="1">
      <c r="A18836" s="136"/>
      <c r="CM18836" s="111"/>
      <c r="CQ18836" s="111"/>
      <c r="EF18836"/>
      <c r="EG18836"/>
      <c r="EH18836"/>
      <c r="EI18836"/>
      <c r="EJ18836"/>
      <c r="EK18836"/>
    </row>
    <row r="18837" spans="1:141" s="116" customFormat="1">
      <c r="A18837" s="136"/>
      <c r="CM18837" s="111"/>
      <c r="CQ18837" s="111"/>
      <c r="EF18837"/>
      <c r="EG18837"/>
      <c r="EH18837"/>
      <c r="EI18837"/>
      <c r="EJ18837"/>
      <c r="EK18837"/>
    </row>
    <row r="18838" spans="1:141" s="116" customFormat="1">
      <c r="A18838" s="136"/>
      <c r="CM18838" s="111"/>
      <c r="CQ18838" s="111"/>
      <c r="EF18838"/>
      <c r="EG18838"/>
      <c r="EH18838"/>
      <c r="EI18838"/>
      <c r="EJ18838"/>
      <c r="EK18838"/>
    </row>
    <row r="18839" spans="1:141" s="116" customFormat="1">
      <c r="A18839" s="136"/>
      <c r="CM18839" s="111"/>
      <c r="CQ18839" s="111"/>
      <c r="EF18839"/>
      <c r="EG18839"/>
      <c r="EH18839"/>
      <c r="EI18839"/>
      <c r="EJ18839"/>
      <c r="EK18839"/>
    </row>
    <row r="18840" spans="1:141" s="116" customFormat="1">
      <c r="A18840" s="136"/>
      <c r="CM18840" s="111"/>
      <c r="CQ18840" s="111"/>
      <c r="EF18840"/>
      <c r="EG18840"/>
      <c r="EH18840"/>
      <c r="EI18840"/>
      <c r="EJ18840"/>
      <c r="EK18840"/>
    </row>
    <row r="18841" spans="1:141" s="116" customFormat="1">
      <c r="A18841" s="136"/>
      <c r="CM18841" s="111"/>
      <c r="CQ18841" s="111"/>
      <c r="EF18841"/>
      <c r="EG18841"/>
      <c r="EH18841"/>
      <c r="EI18841"/>
      <c r="EJ18841"/>
      <c r="EK18841"/>
    </row>
    <row r="18842" spans="1:141" s="116" customFormat="1">
      <c r="A18842" s="136"/>
      <c r="CM18842" s="111"/>
      <c r="CQ18842" s="111"/>
      <c r="EF18842"/>
      <c r="EG18842"/>
      <c r="EH18842"/>
      <c r="EI18842"/>
      <c r="EJ18842"/>
      <c r="EK18842"/>
    </row>
    <row r="18843" spans="1:141" s="116" customFormat="1">
      <c r="A18843" s="136"/>
      <c r="CM18843" s="111"/>
      <c r="CQ18843" s="111"/>
      <c r="EF18843"/>
      <c r="EG18843"/>
      <c r="EH18843"/>
      <c r="EI18843"/>
      <c r="EJ18843"/>
      <c r="EK18843"/>
    </row>
    <row r="18844" spans="1:141" s="116" customFormat="1">
      <c r="A18844" s="136"/>
      <c r="CM18844" s="111"/>
      <c r="CQ18844" s="111"/>
      <c r="EF18844"/>
      <c r="EG18844"/>
      <c r="EH18844"/>
      <c r="EI18844"/>
      <c r="EJ18844"/>
      <c r="EK18844"/>
    </row>
    <row r="18845" spans="1:141" s="116" customFormat="1">
      <c r="A18845" s="136"/>
      <c r="CM18845" s="111"/>
      <c r="CQ18845" s="111"/>
      <c r="EF18845"/>
      <c r="EG18845"/>
      <c r="EH18845"/>
      <c r="EI18845"/>
      <c r="EJ18845"/>
      <c r="EK18845"/>
    </row>
    <row r="18846" spans="1:141" s="116" customFormat="1">
      <c r="A18846" s="136"/>
      <c r="CM18846" s="111"/>
      <c r="CQ18846" s="111"/>
      <c r="EF18846"/>
      <c r="EG18846"/>
      <c r="EH18846"/>
      <c r="EI18846"/>
      <c r="EJ18846"/>
      <c r="EK18846"/>
    </row>
    <row r="18847" spans="1:141" s="116" customFormat="1">
      <c r="A18847" s="136"/>
      <c r="CM18847" s="111"/>
      <c r="CQ18847" s="111"/>
      <c r="EF18847"/>
      <c r="EG18847"/>
      <c r="EH18847"/>
      <c r="EI18847"/>
      <c r="EJ18847"/>
      <c r="EK18847"/>
    </row>
    <row r="18848" spans="1:141" s="116" customFormat="1">
      <c r="A18848" s="136"/>
      <c r="CM18848" s="111"/>
      <c r="CQ18848" s="111"/>
      <c r="EF18848"/>
      <c r="EG18848"/>
      <c r="EH18848"/>
      <c r="EI18848"/>
      <c r="EJ18848"/>
      <c r="EK18848"/>
    </row>
    <row r="18849" spans="1:141" s="116" customFormat="1">
      <c r="A18849" s="136"/>
      <c r="CM18849" s="111"/>
      <c r="CQ18849" s="111"/>
      <c r="EF18849"/>
      <c r="EG18849"/>
      <c r="EH18849"/>
      <c r="EI18849"/>
      <c r="EJ18849"/>
      <c r="EK18849"/>
    </row>
    <row r="18850" spans="1:141" s="116" customFormat="1">
      <c r="A18850" s="136"/>
      <c r="CM18850" s="111"/>
      <c r="CQ18850" s="111"/>
      <c r="EF18850"/>
      <c r="EG18850"/>
      <c r="EH18850"/>
      <c r="EI18850"/>
      <c r="EJ18850"/>
      <c r="EK18850"/>
    </row>
    <row r="18851" spans="1:141" s="116" customFormat="1">
      <c r="A18851" s="136"/>
      <c r="CM18851" s="111"/>
      <c r="CQ18851" s="111"/>
      <c r="EF18851"/>
      <c r="EG18851"/>
      <c r="EH18851"/>
      <c r="EI18851"/>
      <c r="EJ18851"/>
      <c r="EK18851"/>
    </row>
    <row r="18852" spans="1:141" s="116" customFormat="1">
      <c r="A18852" s="136"/>
      <c r="CM18852" s="111"/>
      <c r="CQ18852" s="111"/>
      <c r="EF18852"/>
      <c r="EG18852"/>
      <c r="EH18852"/>
      <c r="EI18852"/>
      <c r="EJ18852"/>
      <c r="EK18852"/>
    </row>
    <row r="18853" spans="1:141" s="116" customFormat="1">
      <c r="A18853" s="136"/>
      <c r="CM18853" s="111"/>
      <c r="CQ18853" s="111"/>
      <c r="EF18853"/>
      <c r="EG18853"/>
      <c r="EH18853"/>
      <c r="EI18853"/>
      <c r="EJ18853"/>
      <c r="EK18853"/>
    </row>
    <row r="18854" spans="1:141" s="116" customFormat="1">
      <c r="A18854" s="136"/>
      <c r="CM18854" s="111"/>
      <c r="CQ18854" s="111"/>
      <c r="EF18854"/>
      <c r="EG18854"/>
      <c r="EH18854"/>
      <c r="EI18854"/>
      <c r="EJ18854"/>
      <c r="EK18854"/>
    </row>
    <row r="18855" spans="1:141" s="116" customFormat="1">
      <c r="A18855" s="136"/>
      <c r="CM18855" s="111"/>
      <c r="CQ18855" s="111"/>
      <c r="EF18855"/>
      <c r="EG18855"/>
      <c r="EH18855"/>
      <c r="EI18855"/>
      <c r="EJ18855"/>
      <c r="EK18855"/>
    </row>
    <row r="18856" spans="1:141" s="116" customFormat="1">
      <c r="A18856" s="136"/>
      <c r="CM18856" s="111"/>
      <c r="CQ18856" s="111"/>
      <c r="EF18856"/>
      <c r="EG18856"/>
      <c r="EH18856"/>
      <c r="EI18856"/>
      <c r="EJ18856"/>
      <c r="EK18856"/>
    </row>
    <row r="18857" spans="1:141" s="116" customFormat="1">
      <c r="A18857" s="136"/>
      <c r="CM18857" s="111"/>
      <c r="CQ18857" s="111"/>
      <c r="EF18857"/>
      <c r="EG18857"/>
      <c r="EH18857"/>
      <c r="EI18857"/>
      <c r="EJ18857"/>
      <c r="EK18857"/>
    </row>
    <row r="18858" spans="1:141" s="116" customFormat="1">
      <c r="A18858" s="136"/>
      <c r="CM18858" s="111"/>
      <c r="CQ18858" s="111"/>
      <c r="EF18858"/>
      <c r="EG18858"/>
      <c r="EH18858"/>
      <c r="EI18858"/>
      <c r="EJ18858"/>
      <c r="EK18858"/>
    </row>
    <row r="18859" spans="1:141" s="116" customFormat="1">
      <c r="A18859" s="136"/>
      <c r="CM18859" s="111"/>
      <c r="CQ18859" s="111"/>
      <c r="EF18859"/>
      <c r="EG18859"/>
      <c r="EH18859"/>
      <c r="EI18859"/>
      <c r="EJ18859"/>
      <c r="EK18859"/>
    </row>
    <row r="18860" spans="1:141" s="116" customFormat="1">
      <c r="A18860" s="136"/>
      <c r="CM18860" s="111"/>
      <c r="CQ18860" s="111"/>
      <c r="EF18860"/>
      <c r="EG18860"/>
      <c r="EH18860"/>
      <c r="EI18860"/>
      <c r="EJ18860"/>
      <c r="EK18860"/>
    </row>
    <row r="18861" spans="1:141" s="116" customFormat="1">
      <c r="A18861" s="136"/>
      <c r="CM18861" s="111"/>
      <c r="CQ18861" s="111"/>
      <c r="EF18861"/>
      <c r="EG18861"/>
      <c r="EH18861"/>
      <c r="EI18861"/>
      <c r="EJ18861"/>
      <c r="EK18861"/>
    </row>
    <row r="18862" spans="1:141" s="116" customFormat="1">
      <c r="A18862" s="136"/>
      <c r="CM18862" s="111"/>
      <c r="CQ18862" s="111"/>
      <c r="EF18862"/>
      <c r="EG18862"/>
      <c r="EH18862"/>
      <c r="EI18862"/>
      <c r="EJ18862"/>
      <c r="EK18862"/>
    </row>
    <row r="18863" spans="1:141" s="116" customFormat="1">
      <c r="A18863" s="136"/>
      <c r="CM18863" s="111"/>
      <c r="CQ18863" s="111"/>
      <c r="EF18863"/>
      <c r="EG18863"/>
      <c r="EH18863"/>
      <c r="EI18863"/>
      <c r="EJ18863"/>
      <c r="EK18863"/>
    </row>
    <row r="18864" spans="1:141" s="116" customFormat="1">
      <c r="A18864" s="136"/>
      <c r="CM18864" s="111"/>
      <c r="CQ18864" s="111"/>
      <c r="EF18864"/>
      <c r="EG18864"/>
      <c r="EH18864"/>
      <c r="EI18864"/>
      <c r="EJ18864"/>
      <c r="EK18864"/>
    </row>
    <row r="18865" spans="1:141" s="116" customFormat="1">
      <c r="A18865" s="136"/>
      <c r="CM18865" s="111"/>
      <c r="CQ18865" s="111"/>
      <c r="EF18865"/>
      <c r="EG18865"/>
      <c r="EH18865"/>
      <c r="EI18865"/>
      <c r="EJ18865"/>
      <c r="EK18865"/>
    </row>
    <row r="18866" spans="1:141" s="116" customFormat="1">
      <c r="A18866" s="136"/>
      <c r="CM18866" s="111"/>
      <c r="CQ18866" s="111"/>
      <c r="EF18866"/>
      <c r="EG18866"/>
      <c r="EH18866"/>
      <c r="EI18866"/>
      <c r="EJ18866"/>
      <c r="EK18866"/>
    </row>
    <row r="18867" spans="1:141" s="116" customFormat="1">
      <c r="A18867" s="136"/>
      <c r="CM18867" s="111"/>
      <c r="CQ18867" s="111"/>
      <c r="EF18867"/>
      <c r="EG18867"/>
      <c r="EH18867"/>
      <c r="EI18867"/>
      <c r="EJ18867"/>
      <c r="EK18867"/>
    </row>
    <row r="18868" spans="1:141" s="116" customFormat="1">
      <c r="A18868" s="136"/>
      <c r="CM18868" s="111"/>
      <c r="CQ18868" s="111"/>
      <c r="EF18868"/>
      <c r="EG18868"/>
      <c r="EH18868"/>
      <c r="EI18868"/>
      <c r="EJ18868"/>
      <c r="EK18868"/>
    </row>
    <row r="18869" spans="1:141" s="116" customFormat="1">
      <c r="A18869" s="136"/>
      <c r="CM18869" s="111"/>
      <c r="CQ18869" s="111"/>
      <c r="EF18869"/>
      <c r="EG18869"/>
      <c r="EH18869"/>
      <c r="EI18869"/>
      <c r="EJ18869"/>
      <c r="EK18869"/>
    </row>
    <row r="18870" spans="1:141" s="116" customFormat="1">
      <c r="A18870" s="136"/>
      <c r="CM18870" s="111"/>
      <c r="CQ18870" s="111"/>
      <c r="EF18870"/>
      <c r="EG18870"/>
      <c r="EH18870"/>
      <c r="EI18870"/>
      <c r="EJ18870"/>
      <c r="EK18870"/>
    </row>
    <row r="18871" spans="1:141" s="116" customFormat="1">
      <c r="A18871" s="136"/>
      <c r="CM18871" s="111"/>
      <c r="CQ18871" s="111"/>
      <c r="EF18871"/>
      <c r="EG18871"/>
      <c r="EH18871"/>
      <c r="EI18871"/>
      <c r="EJ18871"/>
      <c r="EK18871"/>
    </row>
    <row r="18872" spans="1:141" s="116" customFormat="1">
      <c r="A18872" s="136"/>
      <c r="CM18872" s="111"/>
      <c r="CQ18872" s="111"/>
      <c r="EF18872"/>
      <c r="EG18872"/>
      <c r="EH18872"/>
      <c r="EI18872"/>
      <c r="EJ18872"/>
      <c r="EK18872"/>
    </row>
    <row r="18873" spans="1:141" s="116" customFormat="1">
      <c r="A18873" s="136"/>
      <c r="CM18873" s="111"/>
      <c r="CQ18873" s="111"/>
      <c r="EF18873"/>
      <c r="EG18873"/>
      <c r="EH18873"/>
      <c r="EI18873"/>
      <c r="EJ18873"/>
      <c r="EK18873"/>
    </row>
    <row r="18874" spans="1:141" s="116" customFormat="1">
      <c r="A18874" s="136"/>
      <c r="CM18874" s="111"/>
      <c r="CQ18874" s="111"/>
      <c r="EF18874"/>
      <c r="EG18874"/>
      <c r="EH18874"/>
      <c r="EI18874"/>
      <c r="EJ18874"/>
      <c r="EK18874"/>
    </row>
    <row r="18875" spans="1:141" s="116" customFormat="1">
      <c r="A18875" s="136"/>
      <c r="CM18875" s="111"/>
      <c r="CQ18875" s="111"/>
      <c r="EF18875"/>
      <c r="EG18875"/>
      <c r="EH18875"/>
      <c r="EI18875"/>
      <c r="EJ18875"/>
      <c r="EK18875"/>
    </row>
    <row r="18876" spans="1:141" s="116" customFormat="1">
      <c r="A18876" s="136"/>
      <c r="CM18876" s="111"/>
      <c r="CQ18876" s="111"/>
      <c r="EF18876"/>
      <c r="EG18876"/>
      <c r="EH18876"/>
      <c r="EI18876"/>
      <c r="EJ18876"/>
      <c r="EK18876"/>
    </row>
    <row r="18877" spans="1:141" s="116" customFormat="1">
      <c r="A18877" s="136"/>
      <c r="CM18877" s="111"/>
      <c r="CQ18877" s="111"/>
      <c r="EF18877"/>
      <c r="EG18877"/>
      <c r="EH18877"/>
      <c r="EI18877"/>
      <c r="EJ18877"/>
      <c r="EK18877"/>
    </row>
    <row r="18878" spans="1:141" s="116" customFormat="1">
      <c r="A18878" s="136"/>
      <c r="CM18878" s="111"/>
      <c r="CQ18878" s="111"/>
      <c r="EF18878"/>
      <c r="EG18878"/>
      <c r="EH18878"/>
      <c r="EI18878"/>
      <c r="EJ18878"/>
      <c r="EK18878"/>
    </row>
    <row r="18879" spans="1:141" s="116" customFormat="1">
      <c r="A18879" s="136"/>
      <c r="CM18879" s="111"/>
      <c r="CQ18879" s="111"/>
      <c r="EF18879"/>
      <c r="EG18879"/>
      <c r="EH18879"/>
      <c r="EI18879"/>
      <c r="EJ18879"/>
      <c r="EK18879"/>
    </row>
    <row r="18880" spans="1:141" s="116" customFormat="1">
      <c r="A18880" s="136"/>
      <c r="CM18880" s="111"/>
      <c r="CQ18880" s="111"/>
      <c r="EF18880"/>
      <c r="EG18880"/>
      <c r="EH18880"/>
      <c r="EI18880"/>
      <c r="EJ18880"/>
      <c r="EK18880"/>
    </row>
    <row r="18881" spans="1:141" s="116" customFormat="1">
      <c r="A18881" s="136"/>
      <c r="CM18881" s="111"/>
      <c r="CQ18881" s="111"/>
      <c r="EF18881"/>
      <c r="EG18881"/>
      <c r="EH18881"/>
      <c r="EI18881"/>
      <c r="EJ18881"/>
      <c r="EK18881"/>
    </row>
    <row r="18882" spans="1:141" s="116" customFormat="1">
      <c r="A18882" s="136"/>
      <c r="CM18882" s="111"/>
      <c r="CQ18882" s="111"/>
      <c r="EF18882"/>
      <c r="EG18882"/>
      <c r="EH18882"/>
      <c r="EI18882"/>
      <c r="EJ18882"/>
      <c r="EK18882"/>
    </row>
    <row r="18883" spans="1:141" s="116" customFormat="1">
      <c r="A18883" s="136"/>
      <c r="CM18883" s="111"/>
      <c r="CQ18883" s="111"/>
      <c r="EF18883"/>
      <c r="EG18883"/>
      <c r="EH18883"/>
      <c r="EI18883"/>
      <c r="EJ18883"/>
      <c r="EK18883"/>
    </row>
    <row r="18884" spans="1:141" s="116" customFormat="1">
      <c r="A18884" s="136"/>
      <c r="CM18884" s="111"/>
      <c r="CQ18884" s="111"/>
      <c r="EF18884"/>
      <c r="EG18884"/>
      <c r="EH18884"/>
      <c r="EI18884"/>
      <c r="EJ18884"/>
      <c r="EK18884"/>
    </row>
    <row r="18885" spans="1:141" s="116" customFormat="1">
      <c r="A18885" s="136"/>
      <c r="CM18885" s="111"/>
      <c r="CQ18885" s="111"/>
      <c r="EF18885"/>
      <c r="EG18885"/>
      <c r="EH18885"/>
      <c r="EI18885"/>
      <c r="EJ18885"/>
      <c r="EK18885"/>
    </row>
    <row r="18886" spans="1:141" s="116" customFormat="1">
      <c r="A18886" s="136"/>
      <c r="CM18886" s="111"/>
      <c r="CQ18886" s="111"/>
      <c r="EF18886"/>
      <c r="EG18886"/>
      <c r="EH18886"/>
      <c r="EI18886"/>
      <c r="EJ18886"/>
      <c r="EK18886"/>
    </row>
    <row r="18887" spans="1:141" s="116" customFormat="1">
      <c r="A18887" s="136"/>
      <c r="CM18887" s="111"/>
      <c r="CQ18887" s="111"/>
      <c r="EF18887"/>
      <c r="EG18887"/>
      <c r="EH18887"/>
      <c r="EI18887"/>
      <c r="EJ18887"/>
      <c r="EK18887"/>
    </row>
    <row r="18888" spans="1:141" s="116" customFormat="1">
      <c r="A18888" s="136"/>
      <c r="CM18888" s="111"/>
      <c r="CQ18888" s="111"/>
      <c r="EF18888"/>
      <c r="EG18888"/>
      <c r="EH18888"/>
      <c r="EI18888"/>
      <c r="EJ18888"/>
      <c r="EK18888"/>
    </row>
    <row r="18889" spans="1:141" s="116" customFormat="1">
      <c r="A18889" s="136"/>
      <c r="CM18889" s="111"/>
      <c r="CQ18889" s="111"/>
      <c r="EF18889"/>
      <c r="EG18889"/>
      <c r="EH18889"/>
      <c r="EI18889"/>
      <c r="EJ18889"/>
      <c r="EK18889"/>
    </row>
    <row r="18890" spans="1:141" s="116" customFormat="1">
      <c r="A18890" s="136"/>
      <c r="CM18890" s="111"/>
      <c r="CQ18890" s="111"/>
      <c r="EF18890"/>
      <c r="EG18890"/>
      <c r="EH18890"/>
      <c r="EI18890"/>
      <c r="EJ18890"/>
      <c r="EK18890"/>
    </row>
    <row r="18891" spans="1:141" s="116" customFormat="1">
      <c r="A18891" s="136"/>
      <c r="CM18891" s="111"/>
      <c r="CQ18891" s="111"/>
      <c r="EF18891"/>
      <c r="EG18891"/>
      <c r="EH18891"/>
      <c r="EI18891"/>
      <c r="EJ18891"/>
      <c r="EK18891"/>
    </row>
    <row r="18892" spans="1:141" s="116" customFormat="1">
      <c r="A18892" s="136"/>
      <c r="CM18892" s="111"/>
      <c r="CQ18892" s="111"/>
      <c r="EF18892"/>
      <c r="EG18892"/>
      <c r="EH18892"/>
      <c r="EI18892"/>
      <c r="EJ18892"/>
      <c r="EK18892"/>
    </row>
    <row r="18893" spans="1:141" s="116" customFormat="1">
      <c r="A18893" s="136"/>
      <c r="CM18893" s="111"/>
      <c r="CQ18893" s="111"/>
      <c r="EF18893"/>
      <c r="EG18893"/>
      <c r="EH18893"/>
      <c r="EI18893"/>
      <c r="EJ18893"/>
      <c r="EK18893"/>
    </row>
    <row r="18894" spans="1:141" s="116" customFormat="1">
      <c r="A18894" s="136"/>
      <c r="CM18894" s="111"/>
      <c r="CQ18894" s="111"/>
      <c r="EF18894"/>
      <c r="EG18894"/>
      <c r="EH18894"/>
      <c r="EI18894"/>
      <c r="EJ18894"/>
      <c r="EK18894"/>
    </row>
    <row r="18895" spans="1:141" s="116" customFormat="1">
      <c r="A18895" s="136"/>
      <c r="CM18895" s="111"/>
      <c r="CQ18895" s="111"/>
      <c r="EF18895"/>
      <c r="EG18895"/>
      <c r="EH18895"/>
      <c r="EI18895"/>
      <c r="EJ18895"/>
      <c r="EK18895"/>
    </row>
    <row r="18896" spans="1:141" s="116" customFormat="1">
      <c r="A18896" s="136"/>
      <c r="CM18896" s="111"/>
      <c r="CQ18896" s="111"/>
      <c r="EF18896"/>
      <c r="EG18896"/>
      <c r="EH18896"/>
      <c r="EI18896"/>
      <c r="EJ18896"/>
      <c r="EK18896"/>
    </row>
    <row r="18897" spans="1:141" s="116" customFormat="1">
      <c r="A18897" s="136"/>
      <c r="CM18897" s="111"/>
      <c r="CQ18897" s="111"/>
      <c r="EF18897"/>
      <c r="EG18897"/>
      <c r="EH18897"/>
      <c r="EI18897"/>
      <c r="EJ18897"/>
      <c r="EK18897"/>
    </row>
    <row r="18898" spans="1:141" s="116" customFormat="1">
      <c r="A18898" s="136"/>
      <c r="CM18898" s="111"/>
      <c r="CQ18898" s="111"/>
      <c r="EF18898"/>
      <c r="EG18898"/>
      <c r="EH18898"/>
      <c r="EI18898"/>
      <c r="EJ18898"/>
      <c r="EK18898"/>
    </row>
    <row r="18899" spans="1:141" s="116" customFormat="1">
      <c r="A18899" s="136"/>
      <c r="CM18899" s="111"/>
      <c r="CQ18899" s="111"/>
      <c r="EF18899"/>
      <c r="EG18899"/>
      <c r="EH18899"/>
      <c r="EI18899"/>
      <c r="EJ18899"/>
      <c r="EK18899"/>
    </row>
    <row r="18900" spans="1:141" s="116" customFormat="1">
      <c r="A18900" s="136"/>
      <c r="CM18900" s="111"/>
      <c r="CQ18900" s="111"/>
      <c r="EF18900"/>
      <c r="EG18900"/>
      <c r="EH18900"/>
      <c r="EI18900"/>
      <c r="EJ18900"/>
      <c r="EK18900"/>
    </row>
    <row r="18901" spans="1:141" s="116" customFormat="1">
      <c r="A18901" s="136"/>
      <c r="CM18901" s="111"/>
      <c r="CQ18901" s="111"/>
      <c r="EF18901"/>
      <c r="EG18901"/>
      <c r="EH18901"/>
      <c r="EI18901"/>
      <c r="EJ18901"/>
      <c r="EK18901"/>
    </row>
    <row r="18902" spans="1:141" s="116" customFormat="1">
      <c r="A18902" s="136"/>
      <c r="CM18902" s="111"/>
      <c r="CQ18902" s="111"/>
      <c r="EF18902"/>
      <c r="EG18902"/>
      <c r="EH18902"/>
      <c r="EI18902"/>
      <c r="EJ18902"/>
      <c r="EK18902"/>
    </row>
    <row r="18903" spans="1:141" s="116" customFormat="1">
      <c r="A18903" s="136"/>
      <c r="CM18903" s="111"/>
      <c r="CQ18903" s="111"/>
      <c r="EF18903"/>
      <c r="EG18903"/>
      <c r="EH18903"/>
      <c r="EI18903"/>
      <c r="EJ18903"/>
      <c r="EK18903"/>
    </row>
    <row r="18904" spans="1:141" s="116" customFormat="1">
      <c r="A18904" s="136"/>
      <c r="CM18904" s="111"/>
      <c r="CQ18904" s="111"/>
      <c r="EF18904"/>
      <c r="EG18904"/>
      <c r="EH18904"/>
      <c r="EI18904"/>
      <c r="EJ18904"/>
      <c r="EK18904"/>
    </row>
    <row r="18905" spans="1:141" s="116" customFormat="1">
      <c r="A18905" s="136"/>
      <c r="CM18905" s="111"/>
      <c r="CQ18905" s="111"/>
      <c r="EF18905"/>
      <c r="EG18905"/>
      <c r="EH18905"/>
      <c r="EI18905"/>
      <c r="EJ18905"/>
      <c r="EK18905"/>
    </row>
    <row r="18906" spans="1:141" s="116" customFormat="1">
      <c r="A18906" s="136"/>
      <c r="CM18906" s="111"/>
      <c r="CQ18906" s="111"/>
      <c r="EF18906"/>
      <c r="EG18906"/>
      <c r="EH18906"/>
      <c r="EI18906"/>
      <c r="EJ18906"/>
      <c r="EK18906"/>
    </row>
    <row r="18907" spans="1:141" s="116" customFormat="1">
      <c r="A18907" s="136"/>
      <c r="CM18907" s="111"/>
      <c r="CQ18907" s="111"/>
      <c r="EF18907"/>
      <c r="EG18907"/>
      <c r="EH18907"/>
      <c r="EI18907"/>
      <c r="EJ18907"/>
      <c r="EK18907"/>
    </row>
    <row r="18908" spans="1:141" s="116" customFormat="1">
      <c r="A18908" s="136"/>
      <c r="CM18908" s="111"/>
      <c r="CQ18908" s="111"/>
      <c r="EF18908"/>
      <c r="EG18908"/>
      <c r="EH18908"/>
      <c r="EI18908"/>
      <c r="EJ18908"/>
      <c r="EK18908"/>
    </row>
    <row r="18909" spans="1:141" s="116" customFormat="1">
      <c r="A18909" s="136"/>
      <c r="CM18909" s="111"/>
      <c r="CQ18909" s="111"/>
      <c r="EF18909"/>
      <c r="EG18909"/>
      <c r="EH18909"/>
      <c r="EI18909"/>
      <c r="EJ18909"/>
      <c r="EK18909"/>
    </row>
    <row r="18910" spans="1:141" s="116" customFormat="1">
      <c r="A18910" s="136"/>
      <c r="CM18910" s="111"/>
      <c r="CQ18910" s="111"/>
      <c r="EF18910"/>
      <c r="EG18910"/>
      <c r="EH18910"/>
      <c r="EI18910"/>
      <c r="EJ18910"/>
      <c r="EK18910"/>
    </row>
    <row r="18911" spans="1:141" s="116" customFormat="1">
      <c r="A18911" s="136"/>
      <c r="CM18911" s="111"/>
      <c r="CQ18911" s="111"/>
      <c r="EF18911"/>
      <c r="EG18911"/>
      <c r="EH18911"/>
      <c r="EI18911"/>
      <c r="EJ18911"/>
      <c r="EK18911"/>
    </row>
    <row r="18912" spans="1:141" s="116" customFormat="1">
      <c r="A18912" s="136"/>
      <c r="CM18912" s="111"/>
      <c r="CQ18912" s="111"/>
      <c r="EF18912"/>
      <c r="EG18912"/>
      <c r="EH18912"/>
      <c r="EI18912"/>
      <c r="EJ18912"/>
      <c r="EK18912"/>
    </row>
    <row r="18913" spans="1:141" s="116" customFormat="1">
      <c r="A18913" s="136"/>
      <c r="CM18913" s="111"/>
      <c r="CQ18913" s="111"/>
      <c r="EF18913"/>
      <c r="EG18913"/>
      <c r="EH18913"/>
      <c r="EI18913"/>
      <c r="EJ18913"/>
      <c r="EK18913"/>
    </row>
    <row r="18914" spans="1:141" s="116" customFormat="1">
      <c r="A18914" s="136"/>
      <c r="CM18914" s="111"/>
      <c r="CQ18914" s="111"/>
      <c r="EF18914"/>
      <c r="EG18914"/>
      <c r="EH18914"/>
      <c r="EI18914"/>
      <c r="EJ18914"/>
      <c r="EK18914"/>
    </row>
    <row r="18915" spans="1:141" s="116" customFormat="1">
      <c r="A18915" s="136"/>
      <c r="CM18915" s="111"/>
      <c r="CQ18915" s="111"/>
      <c r="EF18915"/>
      <c r="EG18915"/>
      <c r="EH18915"/>
      <c r="EI18915"/>
      <c r="EJ18915"/>
      <c r="EK18915"/>
    </row>
    <row r="18916" spans="1:141" s="116" customFormat="1">
      <c r="A18916" s="136"/>
      <c r="CM18916" s="111"/>
      <c r="CQ18916" s="111"/>
      <c r="EF18916"/>
      <c r="EG18916"/>
      <c r="EH18916"/>
      <c r="EI18916"/>
      <c r="EJ18916"/>
      <c r="EK18916"/>
    </row>
    <row r="18917" spans="1:141" s="116" customFormat="1">
      <c r="A18917" s="136"/>
      <c r="CM18917" s="111"/>
      <c r="CQ18917" s="111"/>
      <c r="EF18917"/>
      <c r="EG18917"/>
      <c r="EH18917"/>
      <c r="EI18917"/>
      <c r="EJ18917"/>
      <c r="EK18917"/>
    </row>
    <row r="18918" spans="1:141" s="116" customFormat="1">
      <c r="A18918" s="136"/>
      <c r="CM18918" s="111"/>
      <c r="CQ18918" s="111"/>
      <c r="EF18918"/>
      <c r="EG18918"/>
      <c r="EH18918"/>
      <c r="EI18918"/>
      <c r="EJ18918"/>
      <c r="EK18918"/>
    </row>
    <row r="18919" spans="1:141" s="116" customFormat="1">
      <c r="A18919" s="136"/>
      <c r="CM18919" s="111"/>
      <c r="CQ18919" s="111"/>
      <c r="EF18919"/>
      <c r="EG18919"/>
      <c r="EH18919"/>
      <c r="EI18919"/>
      <c r="EJ18919"/>
      <c r="EK18919"/>
    </row>
    <row r="18920" spans="1:141" s="116" customFormat="1">
      <c r="A18920" s="136"/>
      <c r="CM18920" s="111"/>
      <c r="CQ18920" s="111"/>
      <c r="EF18920"/>
      <c r="EG18920"/>
      <c r="EH18920"/>
      <c r="EI18920"/>
      <c r="EJ18920"/>
      <c r="EK18920"/>
    </row>
    <row r="18921" spans="1:141" s="116" customFormat="1">
      <c r="A18921" s="136"/>
      <c r="CM18921" s="111"/>
      <c r="CQ18921" s="111"/>
      <c r="EF18921"/>
      <c r="EG18921"/>
      <c r="EH18921"/>
      <c r="EI18921"/>
      <c r="EJ18921"/>
      <c r="EK18921"/>
    </row>
    <row r="18922" spans="1:141" s="116" customFormat="1">
      <c r="A18922" s="136"/>
      <c r="CM18922" s="111"/>
      <c r="CQ18922" s="111"/>
      <c r="EF18922"/>
      <c r="EG18922"/>
      <c r="EH18922"/>
      <c r="EI18922"/>
      <c r="EJ18922"/>
      <c r="EK18922"/>
    </row>
    <row r="18923" spans="1:141" s="116" customFormat="1">
      <c r="A18923" s="136"/>
      <c r="CM18923" s="111"/>
      <c r="CQ18923" s="111"/>
      <c r="EF18923"/>
      <c r="EG18923"/>
      <c r="EH18923"/>
      <c r="EI18923"/>
      <c r="EJ18923"/>
      <c r="EK18923"/>
    </row>
    <row r="18924" spans="1:141" s="116" customFormat="1">
      <c r="A18924" s="136"/>
      <c r="CM18924" s="111"/>
      <c r="CQ18924" s="111"/>
      <c r="EF18924"/>
      <c r="EG18924"/>
      <c r="EH18924"/>
      <c r="EI18924"/>
      <c r="EJ18924"/>
      <c r="EK18924"/>
    </row>
    <row r="18925" spans="1:141" s="116" customFormat="1">
      <c r="A18925" s="136"/>
      <c r="CM18925" s="111"/>
      <c r="CQ18925" s="111"/>
      <c r="EF18925"/>
      <c r="EG18925"/>
      <c r="EH18925"/>
      <c r="EI18925"/>
      <c r="EJ18925"/>
      <c r="EK18925"/>
    </row>
    <row r="18926" spans="1:141" s="116" customFormat="1">
      <c r="A18926" s="136"/>
      <c r="CM18926" s="111"/>
      <c r="CQ18926" s="111"/>
      <c r="EF18926"/>
      <c r="EG18926"/>
      <c r="EH18926"/>
      <c r="EI18926"/>
      <c r="EJ18926"/>
      <c r="EK18926"/>
    </row>
    <row r="18927" spans="1:141" s="116" customFormat="1">
      <c r="A18927" s="136"/>
      <c r="CM18927" s="111"/>
      <c r="CQ18927" s="111"/>
      <c r="EF18927"/>
      <c r="EG18927"/>
      <c r="EH18927"/>
      <c r="EI18927"/>
      <c r="EJ18927"/>
      <c r="EK18927"/>
    </row>
    <row r="18928" spans="1:141" s="116" customFormat="1">
      <c r="A18928" s="136"/>
      <c r="CM18928" s="111"/>
      <c r="CQ18928" s="111"/>
      <c r="EF18928"/>
      <c r="EG18928"/>
      <c r="EH18928"/>
      <c r="EI18928"/>
      <c r="EJ18928"/>
      <c r="EK18928"/>
    </row>
    <row r="18929" spans="1:141" s="116" customFormat="1">
      <c r="A18929" s="136"/>
      <c r="CM18929" s="111"/>
      <c r="CQ18929" s="111"/>
      <c r="EF18929"/>
      <c r="EG18929"/>
      <c r="EH18929"/>
      <c r="EI18929"/>
      <c r="EJ18929"/>
      <c r="EK18929"/>
    </row>
    <row r="18930" spans="1:141" s="116" customFormat="1">
      <c r="A18930" s="136"/>
      <c r="CM18930" s="111"/>
      <c r="CQ18930" s="111"/>
      <c r="EF18930"/>
      <c r="EG18930"/>
      <c r="EH18930"/>
      <c r="EI18930"/>
      <c r="EJ18930"/>
      <c r="EK18930"/>
    </row>
    <row r="18931" spans="1:141" s="116" customFormat="1">
      <c r="A18931" s="136"/>
      <c r="CM18931" s="111"/>
      <c r="CQ18931" s="111"/>
      <c r="EF18931"/>
      <c r="EG18931"/>
      <c r="EH18931"/>
      <c r="EI18931"/>
      <c r="EJ18931"/>
      <c r="EK18931"/>
    </row>
    <row r="18932" spans="1:141" s="116" customFormat="1">
      <c r="A18932" s="136"/>
      <c r="CM18932" s="111"/>
      <c r="CQ18932" s="111"/>
      <c r="EF18932"/>
      <c r="EG18932"/>
      <c r="EH18932"/>
      <c r="EI18932"/>
      <c r="EJ18932"/>
      <c r="EK18932"/>
    </row>
    <row r="18933" spans="1:141" s="116" customFormat="1">
      <c r="A18933" s="136"/>
      <c r="CM18933" s="111"/>
      <c r="CQ18933" s="111"/>
      <c r="EF18933"/>
      <c r="EG18933"/>
      <c r="EH18933"/>
      <c r="EI18933"/>
      <c r="EJ18933"/>
      <c r="EK18933"/>
    </row>
    <row r="18934" spans="1:141" s="116" customFormat="1">
      <c r="A18934" s="136"/>
      <c r="CM18934" s="111"/>
      <c r="CQ18934" s="111"/>
      <c r="EF18934"/>
      <c r="EG18934"/>
      <c r="EH18934"/>
      <c r="EI18934"/>
      <c r="EJ18934"/>
      <c r="EK18934"/>
    </row>
    <row r="18935" spans="1:141" s="116" customFormat="1">
      <c r="A18935" s="136"/>
      <c r="CM18935" s="111"/>
      <c r="CQ18935" s="111"/>
      <c r="EF18935"/>
      <c r="EG18935"/>
      <c r="EH18935"/>
      <c r="EI18935"/>
      <c r="EJ18935"/>
      <c r="EK18935"/>
    </row>
    <row r="18936" spans="1:141" s="116" customFormat="1">
      <c r="A18936" s="136"/>
      <c r="CM18936" s="111"/>
      <c r="CQ18936" s="111"/>
      <c r="EF18936"/>
      <c r="EG18936"/>
      <c r="EH18936"/>
      <c r="EI18936"/>
      <c r="EJ18936"/>
      <c r="EK18936"/>
    </row>
    <row r="18937" spans="1:141" s="116" customFormat="1">
      <c r="A18937" s="136"/>
      <c r="CM18937" s="111"/>
      <c r="CQ18937" s="111"/>
      <c r="EF18937"/>
      <c r="EG18937"/>
      <c r="EH18937"/>
      <c r="EI18937"/>
      <c r="EJ18937"/>
      <c r="EK18937"/>
    </row>
    <row r="18938" spans="1:141" s="116" customFormat="1">
      <c r="A18938" s="136"/>
      <c r="CM18938" s="111"/>
      <c r="CQ18938" s="111"/>
      <c r="EF18938"/>
      <c r="EG18938"/>
      <c r="EH18938"/>
      <c r="EI18938"/>
      <c r="EJ18938"/>
      <c r="EK18938"/>
    </row>
    <row r="18939" spans="1:141" s="116" customFormat="1">
      <c r="A18939" s="136"/>
      <c r="CM18939" s="111"/>
      <c r="CQ18939" s="111"/>
      <c r="EF18939"/>
      <c r="EG18939"/>
      <c r="EH18939"/>
      <c r="EI18939"/>
      <c r="EJ18939"/>
      <c r="EK18939"/>
    </row>
    <row r="18940" spans="1:141" s="116" customFormat="1">
      <c r="A18940" s="136"/>
      <c r="CM18940" s="111"/>
      <c r="CQ18940" s="111"/>
      <c r="EF18940"/>
      <c r="EG18940"/>
      <c r="EH18940"/>
      <c r="EI18940"/>
      <c r="EJ18940"/>
      <c r="EK18940"/>
    </row>
    <row r="18941" spans="1:141" s="116" customFormat="1">
      <c r="A18941" s="136"/>
      <c r="CM18941" s="111"/>
      <c r="CQ18941" s="111"/>
      <c r="EF18941"/>
      <c r="EG18941"/>
      <c r="EH18941"/>
      <c r="EI18941"/>
      <c r="EJ18941"/>
      <c r="EK18941"/>
    </row>
    <row r="18942" spans="1:141" s="116" customFormat="1">
      <c r="A18942" s="136"/>
      <c r="CM18942" s="111"/>
      <c r="CQ18942" s="111"/>
      <c r="EF18942"/>
      <c r="EG18942"/>
      <c r="EH18942"/>
      <c r="EI18942"/>
      <c r="EJ18942"/>
      <c r="EK18942"/>
    </row>
    <row r="18943" spans="1:141" s="116" customFormat="1">
      <c r="A18943" s="136"/>
      <c r="CM18943" s="111"/>
      <c r="CQ18943" s="111"/>
      <c r="EF18943"/>
      <c r="EG18943"/>
      <c r="EH18943"/>
      <c r="EI18943"/>
      <c r="EJ18943"/>
      <c r="EK18943"/>
    </row>
    <row r="18944" spans="1:141" s="116" customFormat="1">
      <c r="A18944" s="136"/>
      <c r="CM18944" s="111"/>
      <c r="CQ18944" s="111"/>
      <c r="EF18944"/>
      <c r="EG18944"/>
      <c r="EH18944"/>
      <c r="EI18944"/>
      <c r="EJ18944"/>
      <c r="EK18944"/>
    </row>
    <row r="18945" spans="1:141" s="116" customFormat="1">
      <c r="A18945" s="136"/>
      <c r="CM18945" s="111"/>
      <c r="CQ18945" s="111"/>
      <c r="EF18945"/>
      <c r="EG18945"/>
      <c r="EH18945"/>
      <c r="EI18945"/>
      <c r="EJ18945"/>
      <c r="EK18945"/>
    </row>
    <row r="18946" spans="1:141" s="116" customFormat="1">
      <c r="A18946" s="136"/>
      <c r="CM18946" s="111"/>
      <c r="CQ18946" s="111"/>
      <c r="EF18946"/>
      <c r="EG18946"/>
      <c r="EH18946"/>
      <c r="EI18946"/>
      <c r="EJ18946"/>
      <c r="EK18946"/>
    </row>
    <row r="18947" spans="1:141" s="116" customFormat="1">
      <c r="A18947" s="136"/>
      <c r="CM18947" s="111"/>
      <c r="CQ18947" s="111"/>
      <c r="EF18947"/>
      <c r="EG18947"/>
      <c r="EH18947"/>
      <c r="EI18947"/>
      <c r="EJ18947"/>
      <c r="EK18947"/>
    </row>
    <row r="18948" spans="1:141" s="116" customFormat="1">
      <c r="A18948" s="136"/>
      <c r="CM18948" s="111"/>
      <c r="CQ18948" s="111"/>
      <c r="EF18948"/>
      <c r="EG18948"/>
      <c r="EH18948"/>
      <c r="EI18948"/>
      <c r="EJ18948"/>
      <c r="EK18948"/>
    </row>
    <row r="18949" spans="1:141" s="116" customFormat="1">
      <c r="A18949" s="136"/>
      <c r="CM18949" s="111"/>
      <c r="CQ18949" s="111"/>
      <c r="EF18949"/>
      <c r="EG18949"/>
      <c r="EH18949"/>
      <c r="EI18949"/>
      <c r="EJ18949"/>
      <c r="EK18949"/>
    </row>
    <row r="18950" spans="1:141" s="116" customFormat="1">
      <c r="A18950" s="136"/>
      <c r="CM18950" s="111"/>
      <c r="CQ18950" s="111"/>
      <c r="EF18950"/>
      <c r="EG18950"/>
      <c r="EH18950"/>
      <c r="EI18950"/>
      <c r="EJ18950"/>
      <c r="EK18950"/>
    </row>
    <row r="18951" spans="1:141" s="116" customFormat="1">
      <c r="A18951" s="136"/>
      <c r="CM18951" s="111"/>
      <c r="CQ18951" s="111"/>
      <c r="EF18951"/>
      <c r="EG18951"/>
      <c r="EH18951"/>
      <c r="EI18951"/>
      <c r="EJ18951"/>
      <c r="EK18951"/>
    </row>
    <row r="18952" spans="1:141" s="116" customFormat="1">
      <c r="A18952" s="136"/>
      <c r="CM18952" s="111"/>
      <c r="CQ18952" s="111"/>
      <c r="EF18952"/>
      <c r="EG18952"/>
      <c r="EH18952"/>
      <c r="EI18952"/>
      <c r="EJ18952"/>
      <c r="EK18952"/>
    </row>
    <row r="18953" spans="1:141" s="116" customFormat="1">
      <c r="A18953" s="136"/>
      <c r="CM18953" s="111"/>
      <c r="CQ18953" s="111"/>
      <c r="EF18953"/>
      <c r="EG18953"/>
      <c r="EH18953"/>
      <c r="EI18953"/>
      <c r="EJ18953"/>
      <c r="EK18953"/>
    </row>
    <row r="18954" spans="1:141" s="116" customFormat="1">
      <c r="A18954" s="136"/>
      <c r="CM18954" s="111"/>
      <c r="CQ18954" s="111"/>
      <c r="EF18954"/>
      <c r="EG18954"/>
      <c r="EH18954"/>
      <c r="EI18954"/>
      <c r="EJ18954"/>
      <c r="EK18954"/>
    </row>
    <row r="18955" spans="1:141" s="116" customFormat="1">
      <c r="A18955" s="136"/>
      <c r="CM18955" s="111"/>
      <c r="CQ18955" s="111"/>
      <c r="EF18955"/>
      <c r="EG18955"/>
      <c r="EH18955"/>
      <c r="EI18955"/>
      <c r="EJ18955"/>
      <c r="EK18955"/>
    </row>
    <row r="18956" spans="1:141" s="116" customFormat="1">
      <c r="A18956" s="136"/>
      <c r="CM18956" s="111"/>
      <c r="CQ18956" s="111"/>
      <c r="EF18956"/>
      <c r="EG18956"/>
      <c r="EH18956"/>
      <c r="EI18956"/>
      <c r="EJ18956"/>
      <c r="EK18956"/>
    </row>
    <row r="18957" spans="1:141" s="116" customFormat="1">
      <c r="A18957" s="136"/>
      <c r="CM18957" s="111"/>
      <c r="CQ18957" s="111"/>
      <c r="EF18957"/>
      <c r="EG18957"/>
      <c r="EH18957"/>
      <c r="EI18957"/>
      <c r="EJ18957"/>
      <c r="EK18957"/>
    </row>
    <row r="18958" spans="1:141" s="116" customFormat="1">
      <c r="A18958" s="136"/>
      <c r="CM18958" s="111"/>
      <c r="CQ18958" s="111"/>
      <c r="EF18958"/>
      <c r="EG18958"/>
      <c r="EH18958"/>
      <c r="EI18958"/>
      <c r="EJ18958"/>
      <c r="EK18958"/>
    </row>
    <row r="18959" spans="1:141" s="116" customFormat="1">
      <c r="A18959" s="136"/>
      <c r="CM18959" s="111"/>
      <c r="CQ18959" s="111"/>
      <c r="EF18959"/>
      <c r="EG18959"/>
      <c r="EH18959"/>
      <c r="EI18959"/>
      <c r="EJ18959"/>
      <c r="EK18959"/>
    </row>
    <row r="18960" spans="1:141" s="116" customFormat="1">
      <c r="A18960" s="136"/>
      <c r="CM18960" s="111"/>
      <c r="CQ18960" s="111"/>
      <c r="EF18960"/>
      <c r="EG18960"/>
      <c r="EH18960"/>
      <c r="EI18960"/>
      <c r="EJ18960"/>
      <c r="EK18960"/>
    </row>
    <row r="18961" spans="1:141" s="116" customFormat="1">
      <c r="A18961" s="136"/>
      <c r="CM18961" s="111"/>
      <c r="CQ18961" s="111"/>
      <c r="EF18961"/>
      <c r="EG18961"/>
      <c r="EH18961"/>
      <c r="EI18961"/>
      <c r="EJ18961"/>
      <c r="EK18961"/>
    </row>
    <row r="18962" spans="1:141" s="116" customFormat="1">
      <c r="A18962" s="136"/>
      <c r="CM18962" s="111"/>
      <c r="CQ18962" s="111"/>
      <c r="EF18962"/>
      <c r="EG18962"/>
      <c r="EH18962"/>
      <c r="EI18962"/>
      <c r="EJ18962"/>
      <c r="EK18962"/>
    </row>
    <row r="18963" spans="1:141" s="116" customFormat="1">
      <c r="A18963" s="136"/>
      <c r="CM18963" s="111"/>
      <c r="CQ18963" s="111"/>
      <c r="EF18963"/>
      <c r="EG18963"/>
      <c r="EH18963"/>
      <c r="EI18963"/>
      <c r="EJ18963"/>
      <c r="EK18963"/>
    </row>
    <row r="18964" spans="1:141" s="116" customFormat="1">
      <c r="A18964" s="136"/>
      <c r="CM18964" s="111"/>
      <c r="CQ18964" s="111"/>
      <c r="EF18964"/>
      <c r="EG18964"/>
      <c r="EH18964"/>
      <c r="EI18964"/>
      <c r="EJ18964"/>
      <c r="EK18964"/>
    </row>
    <row r="18965" spans="1:141" s="116" customFormat="1">
      <c r="A18965" s="136"/>
      <c r="CM18965" s="111"/>
      <c r="CQ18965" s="111"/>
      <c r="EF18965"/>
      <c r="EG18965"/>
      <c r="EH18965"/>
      <c r="EI18965"/>
      <c r="EJ18965"/>
      <c r="EK18965"/>
    </row>
    <row r="18966" spans="1:141" s="116" customFormat="1">
      <c r="A18966" s="136"/>
      <c r="CM18966" s="111"/>
      <c r="CQ18966" s="111"/>
      <c r="EF18966"/>
      <c r="EG18966"/>
      <c r="EH18966"/>
      <c r="EI18966"/>
      <c r="EJ18966"/>
      <c r="EK18966"/>
    </row>
    <row r="18967" spans="1:141" s="116" customFormat="1">
      <c r="A18967" s="136"/>
      <c r="CM18967" s="111"/>
      <c r="CQ18967" s="111"/>
      <c r="EF18967"/>
      <c r="EG18967"/>
      <c r="EH18967"/>
      <c r="EI18967"/>
      <c r="EJ18967"/>
      <c r="EK18967"/>
    </row>
    <row r="18968" spans="1:141" s="116" customFormat="1">
      <c r="A18968" s="136"/>
      <c r="CM18968" s="111"/>
      <c r="CQ18968" s="111"/>
      <c r="EF18968"/>
      <c r="EG18968"/>
      <c r="EH18968"/>
      <c r="EI18968"/>
      <c r="EJ18968"/>
      <c r="EK18968"/>
    </row>
    <row r="18969" spans="1:141" s="116" customFormat="1">
      <c r="A18969" s="136"/>
      <c r="CM18969" s="111"/>
      <c r="CQ18969" s="111"/>
      <c r="EF18969"/>
      <c r="EG18969"/>
      <c r="EH18969"/>
      <c r="EI18969"/>
      <c r="EJ18969"/>
      <c r="EK18969"/>
    </row>
    <row r="18970" spans="1:141" s="116" customFormat="1">
      <c r="A18970" s="136"/>
      <c r="CM18970" s="111"/>
      <c r="CQ18970" s="111"/>
      <c r="EF18970"/>
      <c r="EG18970"/>
      <c r="EH18970"/>
      <c r="EI18970"/>
      <c r="EJ18970"/>
      <c r="EK18970"/>
    </row>
    <row r="18971" spans="1:141" s="116" customFormat="1">
      <c r="A18971" s="136"/>
      <c r="CM18971" s="111"/>
      <c r="CQ18971" s="111"/>
      <c r="EF18971"/>
      <c r="EG18971"/>
      <c r="EH18971"/>
      <c r="EI18971"/>
      <c r="EJ18971"/>
      <c r="EK18971"/>
    </row>
    <row r="18972" spans="1:141" s="116" customFormat="1">
      <c r="A18972" s="136"/>
      <c r="CM18972" s="111"/>
      <c r="CQ18972" s="111"/>
      <c r="EF18972"/>
      <c r="EG18972"/>
      <c r="EH18972"/>
      <c r="EI18972"/>
      <c r="EJ18972"/>
      <c r="EK18972"/>
    </row>
    <row r="18973" spans="1:141" s="116" customFormat="1">
      <c r="A18973" s="136"/>
      <c r="CM18973" s="111"/>
      <c r="CQ18973" s="111"/>
      <c r="EF18973"/>
      <c r="EG18973"/>
      <c r="EH18973"/>
      <c r="EI18973"/>
      <c r="EJ18973"/>
      <c r="EK18973"/>
    </row>
    <row r="18974" spans="1:141" s="116" customFormat="1">
      <c r="A18974" s="136"/>
      <c r="CM18974" s="111"/>
      <c r="CQ18974" s="111"/>
      <c r="EF18974"/>
      <c r="EG18974"/>
      <c r="EH18974"/>
      <c r="EI18974"/>
      <c r="EJ18974"/>
      <c r="EK18974"/>
    </row>
    <row r="18975" spans="1:141" s="116" customFormat="1">
      <c r="A18975" s="136"/>
      <c r="CM18975" s="111"/>
      <c r="CQ18975" s="111"/>
      <c r="EF18975"/>
      <c r="EG18975"/>
      <c r="EH18975"/>
      <c r="EI18975"/>
      <c r="EJ18975"/>
      <c r="EK18975"/>
    </row>
    <row r="18976" spans="1:141" s="116" customFormat="1">
      <c r="A18976" s="136"/>
      <c r="CM18976" s="111"/>
      <c r="CQ18976" s="111"/>
      <c r="EF18976"/>
      <c r="EG18976"/>
      <c r="EH18976"/>
      <c r="EI18976"/>
      <c r="EJ18976"/>
      <c r="EK18976"/>
    </row>
    <row r="18977" spans="1:141" s="116" customFormat="1">
      <c r="A18977" s="136"/>
      <c r="CM18977" s="111"/>
      <c r="CQ18977" s="111"/>
      <c r="EF18977"/>
      <c r="EG18977"/>
      <c r="EH18977"/>
      <c r="EI18977"/>
      <c r="EJ18977"/>
      <c r="EK18977"/>
    </row>
    <row r="18978" spans="1:141" s="116" customFormat="1">
      <c r="A18978" s="136"/>
      <c r="CM18978" s="111"/>
      <c r="CQ18978" s="111"/>
      <c r="EF18978"/>
      <c r="EG18978"/>
      <c r="EH18978"/>
      <c r="EI18978"/>
      <c r="EJ18978"/>
      <c r="EK18978"/>
    </row>
    <row r="18979" spans="1:141" s="116" customFormat="1">
      <c r="A18979" s="136"/>
      <c r="CM18979" s="111"/>
      <c r="CQ18979" s="111"/>
      <c r="EF18979"/>
      <c r="EG18979"/>
      <c r="EH18979"/>
      <c r="EI18979"/>
      <c r="EJ18979"/>
      <c r="EK18979"/>
    </row>
    <row r="18980" spans="1:141" s="116" customFormat="1">
      <c r="A18980" s="136"/>
      <c r="CM18980" s="111"/>
      <c r="CQ18980" s="111"/>
      <c r="EF18980"/>
      <c r="EG18980"/>
      <c r="EH18980"/>
      <c r="EI18980"/>
      <c r="EJ18980"/>
      <c r="EK18980"/>
    </row>
    <row r="18981" spans="1:141" s="116" customFormat="1">
      <c r="A18981" s="136"/>
      <c r="CM18981" s="111"/>
      <c r="CQ18981" s="111"/>
      <c r="EF18981"/>
      <c r="EG18981"/>
      <c r="EH18981"/>
      <c r="EI18981"/>
      <c r="EJ18981"/>
      <c r="EK18981"/>
    </row>
    <row r="18982" spans="1:141" s="116" customFormat="1">
      <c r="A18982" s="136"/>
      <c r="CM18982" s="111"/>
      <c r="CQ18982" s="111"/>
      <c r="EF18982"/>
      <c r="EG18982"/>
      <c r="EH18982"/>
      <c r="EI18982"/>
      <c r="EJ18982"/>
      <c r="EK18982"/>
    </row>
    <row r="18983" spans="1:141" s="116" customFormat="1">
      <c r="A18983" s="136"/>
      <c r="CM18983" s="111"/>
      <c r="CQ18983" s="111"/>
      <c r="EF18983"/>
      <c r="EG18983"/>
      <c r="EH18983"/>
      <c r="EI18983"/>
      <c r="EJ18983"/>
      <c r="EK18983"/>
    </row>
    <row r="18984" spans="1:141" s="116" customFormat="1">
      <c r="A18984" s="136"/>
      <c r="CM18984" s="111"/>
      <c r="CQ18984" s="111"/>
      <c r="EF18984"/>
      <c r="EG18984"/>
      <c r="EH18984"/>
      <c r="EI18984"/>
      <c r="EJ18984"/>
      <c r="EK18984"/>
    </row>
    <row r="18985" spans="1:141" s="116" customFormat="1">
      <c r="A18985" s="136"/>
      <c r="CM18985" s="111"/>
      <c r="CQ18985" s="111"/>
      <c r="EF18985"/>
      <c r="EG18985"/>
      <c r="EH18985"/>
      <c r="EI18985"/>
      <c r="EJ18985"/>
      <c r="EK18985"/>
    </row>
    <row r="18986" spans="1:141" s="116" customFormat="1">
      <c r="A18986" s="136"/>
      <c r="CM18986" s="111"/>
      <c r="CQ18986" s="111"/>
      <c r="EF18986"/>
      <c r="EG18986"/>
      <c r="EH18986"/>
      <c r="EI18986"/>
      <c r="EJ18986"/>
      <c r="EK18986"/>
    </row>
    <row r="18987" spans="1:141" s="116" customFormat="1">
      <c r="A18987" s="136"/>
      <c r="CM18987" s="111"/>
      <c r="CQ18987" s="111"/>
      <c r="EF18987"/>
      <c r="EG18987"/>
      <c r="EH18987"/>
      <c r="EI18987"/>
      <c r="EJ18987"/>
      <c r="EK18987"/>
    </row>
    <row r="18988" spans="1:141" s="116" customFormat="1">
      <c r="A18988" s="136"/>
      <c r="CM18988" s="111"/>
      <c r="CQ18988" s="111"/>
      <c r="EF18988"/>
      <c r="EG18988"/>
      <c r="EH18988"/>
      <c r="EI18988"/>
      <c r="EJ18988"/>
      <c r="EK18988"/>
    </row>
    <row r="18989" spans="1:141" s="116" customFormat="1">
      <c r="A18989" s="136"/>
      <c r="CM18989" s="111"/>
      <c r="CQ18989" s="111"/>
      <c r="EF18989"/>
      <c r="EG18989"/>
      <c r="EH18989"/>
      <c r="EI18989"/>
      <c r="EJ18989"/>
      <c r="EK18989"/>
    </row>
    <row r="18990" spans="1:141" s="116" customFormat="1">
      <c r="A18990" s="136"/>
      <c r="CM18990" s="111"/>
      <c r="CQ18990" s="111"/>
      <c r="EF18990"/>
      <c r="EG18990"/>
      <c r="EH18990"/>
      <c r="EI18990"/>
      <c r="EJ18990"/>
      <c r="EK18990"/>
    </row>
    <row r="18991" spans="1:141" s="116" customFormat="1">
      <c r="A18991" s="136"/>
      <c r="CM18991" s="111"/>
      <c r="CQ18991" s="111"/>
      <c r="EF18991"/>
      <c r="EG18991"/>
      <c r="EH18991"/>
      <c r="EI18991"/>
      <c r="EJ18991"/>
      <c r="EK18991"/>
    </row>
    <row r="18992" spans="1:141" s="116" customFormat="1">
      <c r="A18992" s="136"/>
      <c r="CM18992" s="111"/>
      <c r="CQ18992" s="111"/>
      <c r="EF18992"/>
      <c r="EG18992"/>
      <c r="EH18992"/>
      <c r="EI18992"/>
      <c r="EJ18992"/>
      <c r="EK18992"/>
    </row>
    <row r="18993" spans="1:141" s="116" customFormat="1">
      <c r="A18993" s="136"/>
      <c r="CM18993" s="111"/>
      <c r="CQ18993" s="111"/>
      <c r="EF18993"/>
      <c r="EG18993"/>
      <c r="EH18993"/>
      <c r="EI18993"/>
      <c r="EJ18993"/>
      <c r="EK18993"/>
    </row>
    <row r="18994" spans="1:141" s="116" customFormat="1">
      <c r="A18994" s="136"/>
      <c r="CM18994" s="111"/>
      <c r="CQ18994" s="111"/>
      <c r="EF18994"/>
      <c r="EG18994"/>
      <c r="EH18994"/>
      <c r="EI18994"/>
      <c r="EJ18994"/>
      <c r="EK18994"/>
    </row>
    <row r="18995" spans="1:141" s="116" customFormat="1">
      <c r="A18995" s="136"/>
      <c r="CM18995" s="111"/>
      <c r="CQ18995" s="111"/>
      <c r="EF18995"/>
      <c r="EG18995"/>
      <c r="EH18995"/>
      <c r="EI18995"/>
      <c r="EJ18995"/>
      <c r="EK18995"/>
    </row>
    <row r="18996" spans="1:141" s="116" customFormat="1">
      <c r="A18996" s="136"/>
      <c r="CM18996" s="111"/>
      <c r="CQ18996" s="111"/>
      <c r="EF18996"/>
      <c r="EG18996"/>
      <c r="EH18996"/>
      <c r="EI18996"/>
      <c r="EJ18996"/>
      <c r="EK18996"/>
    </row>
    <row r="18997" spans="1:141" s="116" customFormat="1">
      <c r="A18997" s="136"/>
      <c r="CM18997" s="111"/>
      <c r="CQ18997" s="111"/>
      <c r="EF18997"/>
      <c r="EG18997"/>
      <c r="EH18997"/>
      <c r="EI18997"/>
      <c r="EJ18997"/>
      <c r="EK18997"/>
    </row>
    <row r="18998" spans="1:141" s="116" customFormat="1">
      <c r="A18998" s="136"/>
      <c r="CM18998" s="111"/>
      <c r="CQ18998" s="111"/>
      <c r="EF18998"/>
      <c r="EG18998"/>
      <c r="EH18998"/>
      <c r="EI18998"/>
      <c r="EJ18998"/>
      <c r="EK18998"/>
    </row>
    <row r="18999" spans="1:141" s="116" customFormat="1">
      <c r="A18999" s="136"/>
      <c r="CM18999" s="111"/>
      <c r="CQ18999" s="111"/>
      <c r="EF18999"/>
      <c r="EG18999"/>
      <c r="EH18999"/>
      <c r="EI18999"/>
      <c r="EJ18999"/>
      <c r="EK18999"/>
    </row>
    <row r="19000" spans="1:141" s="116" customFormat="1">
      <c r="A19000" s="136"/>
      <c r="CM19000" s="111"/>
      <c r="CQ19000" s="111"/>
      <c r="EF19000"/>
      <c r="EG19000"/>
      <c r="EH19000"/>
      <c r="EI19000"/>
      <c r="EJ19000"/>
      <c r="EK19000"/>
    </row>
    <row r="19001" spans="1:141" s="116" customFormat="1">
      <c r="A19001" s="136"/>
      <c r="CM19001" s="111"/>
      <c r="CQ19001" s="111"/>
      <c r="EF19001"/>
      <c r="EG19001"/>
      <c r="EH19001"/>
      <c r="EI19001"/>
      <c r="EJ19001"/>
      <c r="EK19001"/>
    </row>
    <row r="19002" spans="1:141" s="116" customFormat="1">
      <c r="A19002" s="136"/>
      <c r="CM19002" s="111"/>
      <c r="CQ19002" s="111"/>
      <c r="EF19002"/>
      <c r="EG19002"/>
      <c r="EH19002"/>
      <c r="EI19002"/>
      <c r="EJ19002"/>
      <c r="EK19002"/>
    </row>
    <row r="19003" spans="1:141" s="116" customFormat="1">
      <c r="A19003" s="136"/>
      <c r="CM19003" s="111"/>
      <c r="CQ19003" s="111"/>
      <c r="EF19003"/>
      <c r="EG19003"/>
      <c r="EH19003"/>
      <c r="EI19003"/>
      <c r="EJ19003"/>
      <c r="EK19003"/>
    </row>
    <row r="19004" spans="1:141" s="116" customFormat="1">
      <c r="A19004" s="136"/>
      <c r="CM19004" s="111"/>
      <c r="CQ19004" s="111"/>
      <c r="EF19004"/>
      <c r="EG19004"/>
      <c r="EH19004"/>
      <c r="EI19004"/>
      <c r="EJ19004"/>
      <c r="EK19004"/>
    </row>
    <row r="19005" spans="1:141" s="116" customFormat="1">
      <c r="A19005" s="136"/>
      <c r="CM19005" s="111"/>
      <c r="CQ19005" s="111"/>
      <c r="EF19005"/>
      <c r="EG19005"/>
      <c r="EH19005"/>
      <c r="EI19005"/>
      <c r="EJ19005"/>
      <c r="EK19005"/>
    </row>
    <row r="19006" spans="1:141" s="116" customFormat="1">
      <c r="A19006" s="136"/>
      <c r="CM19006" s="111"/>
      <c r="CQ19006" s="111"/>
      <c r="EF19006"/>
      <c r="EG19006"/>
      <c r="EH19006"/>
      <c r="EI19006"/>
      <c r="EJ19006"/>
      <c r="EK19006"/>
    </row>
    <row r="19007" spans="1:141" s="116" customFormat="1">
      <c r="A19007" s="136"/>
      <c r="CM19007" s="111"/>
      <c r="CQ19007" s="111"/>
      <c r="EF19007"/>
      <c r="EG19007"/>
      <c r="EH19007"/>
      <c r="EI19007"/>
      <c r="EJ19007"/>
      <c r="EK19007"/>
    </row>
    <row r="19008" spans="1:141" s="116" customFormat="1">
      <c r="A19008" s="136"/>
      <c r="CM19008" s="111"/>
      <c r="CQ19008" s="111"/>
      <c r="EF19008"/>
      <c r="EG19008"/>
      <c r="EH19008"/>
      <c r="EI19008"/>
      <c r="EJ19008"/>
      <c r="EK19008"/>
    </row>
    <row r="19009" spans="1:141" s="116" customFormat="1">
      <c r="A19009" s="136"/>
      <c r="CM19009" s="111"/>
      <c r="CQ19009" s="111"/>
      <c r="EF19009"/>
      <c r="EG19009"/>
      <c r="EH19009"/>
      <c r="EI19009"/>
      <c r="EJ19009"/>
      <c r="EK19009"/>
    </row>
    <row r="19010" spans="1:141" s="116" customFormat="1">
      <c r="A19010" s="136"/>
      <c r="CM19010" s="111"/>
      <c r="CQ19010" s="111"/>
      <c r="EF19010"/>
      <c r="EG19010"/>
      <c r="EH19010"/>
      <c r="EI19010"/>
      <c r="EJ19010"/>
      <c r="EK19010"/>
    </row>
    <row r="19011" spans="1:141" s="116" customFormat="1">
      <c r="A19011" s="136"/>
      <c r="CM19011" s="111"/>
      <c r="CQ19011" s="111"/>
      <c r="EF19011"/>
      <c r="EG19011"/>
      <c r="EH19011"/>
      <c r="EI19011"/>
      <c r="EJ19011"/>
      <c r="EK19011"/>
    </row>
    <row r="19012" spans="1:141" s="116" customFormat="1">
      <c r="A19012" s="136"/>
      <c r="CM19012" s="111"/>
      <c r="CQ19012" s="111"/>
      <c r="EF19012"/>
      <c r="EG19012"/>
      <c r="EH19012"/>
      <c r="EI19012"/>
      <c r="EJ19012"/>
      <c r="EK19012"/>
    </row>
    <row r="19013" spans="1:141" s="116" customFormat="1">
      <c r="A19013" s="136"/>
      <c r="CM19013" s="111"/>
      <c r="CQ19013" s="111"/>
      <c r="EF19013"/>
      <c r="EG19013"/>
      <c r="EH19013"/>
      <c r="EI19013"/>
      <c r="EJ19013"/>
      <c r="EK19013"/>
    </row>
    <row r="19014" spans="1:141" s="116" customFormat="1">
      <c r="A19014" s="136"/>
      <c r="CM19014" s="111"/>
      <c r="CQ19014" s="111"/>
      <c r="EF19014"/>
      <c r="EG19014"/>
      <c r="EH19014"/>
      <c r="EI19014"/>
      <c r="EJ19014"/>
      <c r="EK19014"/>
    </row>
    <row r="19015" spans="1:141" s="116" customFormat="1">
      <c r="A19015" s="136"/>
      <c r="CM19015" s="111"/>
      <c r="CQ19015" s="111"/>
      <c r="EF19015"/>
      <c r="EG19015"/>
      <c r="EH19015"/>
      <c r="EI19015"/>
      <c r="EJ19015"/>
      <c r="EK19015"/>
    </row>
    <row r="19016" spans="1:141" s="116" customFormat="1">
      <c r="A19016" s="136"/>
      <c r="CM19016" s="111"/>
      <c r="CQ19016" s="111"/>
      <c r="EF19016"/>
      <c r="EG19016"/>
      <c r="EH19016"/>
      <c r="EI19016"/>
      <c r="EJ19016"/>
      <c r="EK19016"/>
    </row>
    <row r="19017" spans="1:141" s="116" customFormat="1">
      <c r="A19017" s="136"/>
      <c r="CM19017" s="111"/>
      <c r="CQ19017" s="111"/>
      <c r="EF19017"/>
      <c r="EG19017"/>
      <c r="EH19017"/>
      <c r="EI19017"/>
      <c r="EJ19017"/>
      <c r="EK19017"/>
    </row>
    <row r="19018" spans="1:141" s="116" customFormat="1">
      <c r="A19018" s="136"/>
      <c r="CM19018" s="111"/>
      <c r="CQ19018" s="111"/>
      <c r="EF19018"/>
      <c r="EG19018"/>
      <c r="EH19018"/>
      <c r="EI19018"/>
      <c r="EJ19018"/>
      <c r="EK19018"/>
    </row>
    <row r="19019" spans="1:141" s="116" customFormat="1">
      <c r="A19019" s="136"/>
      <c r="CM19019" s="111"/>
      <c r="CQ19019" s="111"/>
      <c r="EF19019"/>
      <c r="EG19019"/>
      <c r="EH19019"/>
      <c r="EI19019"/>
      <c r="EJ19019"/>
      <c r="EK19019"/>
    </row>
    <row r="19020" spans="1:141" s="116" customFormat="1">
      <c r="A19020" s="136"/>
      <c r="CM19020" s="111"/>
      <c r="CQ19020" s="111"/>
      <c r="EF19020"/>
      <c r="EG19020"/>
      <c r="EH19020"/>
      <c r="EI19020"/>
      <c r="EJ19020"/>
      <c r="EK19020"/>
    </row>
    <row r="19021" spans="1:141" s="116" customFormat="1">
      <c r="A19021" s="136"/>
      <c r="CM19021" s="111"/>
      <c r="CQ19021" s="111"/>
      <c r="EF19021"/>
      <c r="EG19021"/>
      <c r="EH19021"/>
      <c r="EI19021"/>
      <c r="EJ19021"/>
      <c r="EK19021"/>
    </row>
    <row r="19022" spans="1:141" s="116" customFormat="1">
      <c r="A19022" s="136"/>
      <c r="CM19022" s="111"/>
      <c r="CQ19022" s="111"/>
      <c r="EF19022"/>
      <c r="EG19022"/>
      <c r="EH19022"/>
      <c r="EI19022"/>
      <c r="EJ19022"/>
      <c r="EK19022"/>
    </row>
    <row r="19023" spans="1:141" s="116" customFormat="1">
      <c r="A19023" s="136"/>
      <c r="CM19023" s="111"/>
      <c r="CQ19023" s="111"/>
      <c r="EF19023"/>
      <c r="EG19023"/>
      <c r="EH19023"/>
      <c r="EI19023"/>
      <c r="EJ19023"/>
      <c r="EK19023"/>
    </row>
    <row r="19024" spans="1:141" s="116" customFormat="1">
      <c r="A19024" s="136"/>
      <c r="CM19024" s="111"/>
      <c r="CQ19024" s="111"/>
      <c r="EF19024"/>
      <c r="EG19024"/>
      <c r="EH19024"/>
      <c r="EI19024"/>
      <c r="EJ19024"/>
      <c r="EK19024"/>
    </row>
    <row r="19025" spans="1:141" s="116" customFormat="1">
      <c r="A19025" s="136"/>
      <c r="CM19025" s="111"/>
      <c r="CQ19025" s="111"/>
      <c r="EF19025"/>
      <c r="EG19025"/>
      <c r="EH19025"/>
      <c r="EI19025"/>
      <c r="EJ19025"/>
      <c r="EK19025"/>
    </row>
    <row r="19026" spans="1:141" s="116" customFormat="1">
      <c r="A19026" s="136"/>
      <c r="CM19026" s="111"/>
      <c r="CQ19026" s="111"/>
      <c r="EF19026"/>
      <c r="EG19026"/>
      <c r="EH19026"/>
      <c r="EI19026"/>
      <c r="EJ19026"/>
      <c r="EK19026"/>
    </row>
    <row r="19027" spans="1:141" s="116" customFormat="1">
      <c r="A19027" s="136"/>
      <c r="CM19027" s="111"/>
      <c r="CQ19027" s="111"/>
      <c r="EF19027"/>
      <c r="EG19027"/>
      <c r="EH19027"/>
      <c r="EI19027"/>
      <c r="EJ19027"/>
      <c r="EK19027"/>
    </row>
    <row r="19028" spans="1:141" s="116" customFormat="1">
      <c r="A19028" s="136"/>
      <c r="CM19028" s="111"/>
      <c r="CQ19028" s="111"/>
      <c r="EF19028"/>
      <c r="EG19028"/>
      <c r="EH19028"/>
      <c r="EI19028"/>
      <c r="EJ19028"/>
      <c r="EK19028"/>
    </row>
    <row r="19029" spans="1:141" s="116" customFormat="1">
      <c r="A19029" s="136"/>
      <c r="CM19029" s="111"/>
      <c r="CQ19029" s="111"/>
      <c r="EF19029"/>
      <c r="EG19029"/>
      <c r="EH19029"/>
      <c r="EI19029"/>
      <c r="EJ19029"/>
      <c r="EK19029"/>
    </row>
    <row r="19030" spans="1:141" s="116" customFormat="1">
      <c r="A19030" s="136"/>
      <c r="CM19030" s="111"/>
      <c r="CQ19030" s="111"/>
      <c r="EF19030"/>
      <c r="EG19030"/>
      <c r="EH19030"/>
      <c r="EI19030"/>
      <c r="EJ19030"/>
      <c r="EK19030"/>
    </row>
    <row r="19031" spans="1:141" s="116" customFormat="1">
      <c r="A19031" s="136"/>
      <c r="CM19031" s="111"/>
      <c r="CQ19031" s="111"/>
      <c r="EF19031"/>
      <c r="EG19031"/>
      <c r="EH19031"/>
      <c r="EI19031"/>
      <c r="EJ19031"/>
      <c r="EK19031"/>
    </row>
    <row r="19032" spans="1:141" s="116" customFormat="1">
      <c r="A19032" s="136"/>
      <c r="CM19032" s="111"/>
      <c r="CQ19032" s="111"/>
      <c r="EF19032"/>
      <c r="EG19032"/>
      <c r="EH19032"/>
      <c r="EI19032"/>
      <c r="EJ19032"/>
      <c r="EK19032"/>
    </row>
    <row r="19033" spans="1:141" s="116" customFormat="1">
      <c r="A19033" s="136"/>
      <c r="CM19033" s="111"/>
      <c r="CQ19033" s="111"/>
      <c r="EF19033"/>
      <c r="EG19033"/>
      <c r="EH19033"/>
      <c r="EI19033"/>
      <c r="EJ19033"/>
      <c r="EK19033"/>
    </row>
    <row r="19034" spans="1:141" s="116" customFormat="1">
      <c r="A19034" s="136"/>
      <c r="CM19034" s="111"/>
      <c r="CQ19034" s="111"/>
      <c r="EF19034"/>
      <c r="EG19034"/>
      <c r="EH19034"/>
      <c r="EI19034"/>
      <c r="EJ19034"/>
      <c r="EK19034"/>
    </row>
    <row r="19035" spans="1:141" s="116" customFormat="1">
      <c r="A19035" s="136"/>
      <c r="CM19035" s="111"/>
      <c r="CQ19035" s="111"/>
      <c r="EF19035"/>
      <c r="EG19035"/>
      <c r="EH19035"/>
      <c r="EI19035"/>
      <c r="EJ19035"/>
      <c r="EK19035"/>
    </row>
    <row r="19036" spans="1:141" s="116" customFormat="1">
      <c r="A19036" s="136"/>
      <c r="CM19036" s="111"/>
      <c r="CQ19036" s="111"/>
      <c r="EF19036"/>
      <c r="EG19036"/>
      <c r="EH19036"/>
      <c r="EI19036"/>
      <c r="EJ19036"/>
      <c r="EK19036"/>
    </row>
    <row r="19037" spans="1:141" s="116" customFormat="1">
      <c r="A19037" s="136"/>
      <c r="CM19037" s="111"/>
      <c r="CQ19037" s="111"/>
      <c r="EF19037"/>
      <c r="EG19037"/>
      <c r="EH19037"/>
      <c r="EI19037"/>
      <c r="EJ19037"/>
      <c r="EK19037"/>
    </row>
    <row r="19038" spans="1:141" s="116" customFormat="1">
      <c r="A19038" s="136"/>
      <c r="CM19038" s="111"/>
      <c r="CQ19038" s="111"/>
      <c r="EF19038"/>
      <c r="EG19038"/>
      <c r="EH19038"/>
      <c r="EI19038"/>
      <c r="EJ19038"/>
      <c r="EK19038"/>
    </row>
    <row r="19039" spans="1:141" s="116" customFormat="1">
      <c r="A19039" s="136"/>
      <c r="CM19039" s="111"/>
      <c r="CQ19039" s="111"/>
      <c r="EF19039"/>
      <c r="EG19039"/>
      <c r="EH19039"/>
      <c r="EI19039"/>
      <c r="EJ19039"/>
      <c r="EK19039"/>
    </row>
    <row r="19040" spans="1:141" s="116" customFormat="1">
      <c r="A19040" s="136"/>
      <c r="CM19040" s="111"/>
      <c r="CQ19040" s="111"/>
      <c r="EF19040"/>
      <c r="EG19040"/>
      <c r="EH19040"/>
      <c r="EI19040"/>
      <c r="EJ19040"/>
      <c r="EK19040"/>
    </row>
    <row r="19041" spans="1:141" s="116" customFormat="1">
      <c r="A19041" s="136"/>
      <c r="CM19041" s="111"/>
      <c r="CQ19041" s="111"/>
      <c r="EF19041"/>
      <c r="EG19041"/>
      <c r="EH19041"/>
      <c r="EI19041"/>
      <c r="EJ19041"/>
      <c r="EK19041"/>
    </row>
    <row r="19042" spans="1:141" s="116" customFormat="1">
      <c r="A19042" s="136"/>
      <c r="CM19042" s="111"/>
      <c r="CQ19042" s="111"/>
      <c r="EF19042"/>
      <c r="EG19042"/>
      <c r="EH19042"/>
      <c r="EI19042"/>
      <c r="EJ19042"/>
      <c r="EK19042"/>
    </row>
    <row r="19043" spans="1:141" s="116" customFormat="1">
      <c r="A19043" s="136"/>
      <c r="CM19043" s="111"/>
      <c r="CQ19043" s="111"/>
      <c r="EF19043"/>
      <c r="EG19043"/>
      <c r="EH19043"/>
      <c r="EI19043"/>
      <c r="EJ19043"/>
      <c r="EK19043"/>
    </row>
    <row r="19044" spans="1:141" s="116" customFormat="1">
      <c r="A19044" s="136"/>
      <c r="CM19044" s="111"/>
      <c r="CQ19044" s="111"/>
      <c r="EF19044"/>
      <c r="EG19044"/>
      <c r="EH19044"/>
      <c r="EI19044"/>
      <c r="EJ19044"/>
      <c r="EK19044"/>
    </row>
    <row r="19045" spans="1:141" s="116" customFormat="1">
      <c r="A19045" s="136"/>
      <c r="CM19045" s="111"/>
      <c r="CQ19045" s="111"/>
      <c r="EF19045"/>
      <c r="EG19045"/>
      <c r="EH19045"/>
      <c r="EI19045"/>
      <c r="EJ19045"/>
      <c r="EK19045"/>
    </row>
    <row r="19046" spans="1:141" s="116" customFormat="1">
      <c r="A19046" s="136"/>
      <c r="CM19046" s="111"/>
      <c r="CQ19046" s="111"/>
      <c r="EF19046"/>
      <c r="EG19046"/>
      <c r="EH19046"/>
      <c r="EI19046"/>
      <c r="EJ19046"/>
      <c r="EK19046"/>
    </row>
    <row r="19047" spans="1:141" s="116" customFormat="1">
      <c r="A19047" s="136"/>
      <c r="CM19047" s="111"/>
      <c r="CQ19047" s="111"/>
      <c r="EF19047"/>
      <c r="EG19047"/>
      <c r="EH19047"/>
      <c r="EI19047"/>
      <c r="EJ19047"/>
      <c r="EK19047"/>
    </row>
    <row r="19048" spans="1:141" s="116" customFormat="1">
      <c r="A19048" s="136"/>
      <c r="CM19048" s="111"/>
      <c r="CQ19048" s="111"/>
      <c r="EF19048"/>
      <c r="EG19048"/>
      <c r="EH19048"/>
      <c r="EI19048"/>
      <c r="EJ19048"/>
      <c r="EK19048"/>
    </row>
    <row r="19049" spans="1:141" s="116" customFormat="1">
      <c r="A19049" s="136"/>
      <c r="CM19049" s="111"/>
      <c r="CQ19049" s="111"/>
      <c r="EF19049"/>
      <c r="EG19049"/>
      <c r="EH19049"/>
      <c r="EI19049"/>
      <c r="EJ19049"/>
      <c r="EK19049"/>
    </row>
    <row r="19050" spans="1:141" s="116" customFormat="1">
      <c r="A19050" s="136"/>
      <c r="CM19050" s="111"/>
      <c r="CQ19050" s="111"/>
      <c r="EF19050"/>
      <c r="EG19050"/>
      <c r="EH19050"/>
      <c r="EI19050"/>
      <c r="EJ19050"/>
      <c r="EK19050"/>
    </row>
    <row r="19051" spans="1:141" s="116" customFormat="1">
      <c r="A19051" s="136"/>
      <c r="CM19051" s="111"/>
      <c r="CQ19051" s="111"/>
      <c r="EF19051"/>
      <c r="EG19051"/>
      <c r="EH19051"/>
      <c r="EI19051"/>
      <c r="EJ19051"/>
      <c r="EK19051"/>
    </row>
    <row r="19052" spans="1:141" s="116" customFormat="1">
      <c r="A19052" s="136"/>
      <c r="CM19052" s="111"/>
      <c r="CQ19052" s="111"/>
      <c r="EF19052"/>
      <c r="EG19052"/>
      <c r="EH19052"/>
      <c r="EI19052"/>
      <c r="EJ19052"/>
      <c r="EK19052"/>
    </row>
    <row r="19053" spans="1:141" s="116" customFormat="1">
      <c r="A19053" s="136"/>
      <c r="CM19053" s="111"/>
      <c r="CQ19053" s="111"/>
      <c r="EF19053"/>
      <c r="EG19053"/>
      <c r="EH19053"/>
      <c r="EI19053"/>
      <c r="EJ19053"/>
      <c r="EK19053"/>
    </row>
    <row r="19054" spans="1:141" s="116" customFormat="1">
      <c r="A19054" s="136"/>
      <c r="CM19054" s="111"/>
      <c r="CQ19054" s="111"/>
      <c r="EF19054"/>
      <c r="EG19054"/>
      <c r="EH19054"/>
      <c r="EI19054"/>
      <c r="EJ19054"/>
      <c r="EK19054"/>
    </row>
    <row r="19055" spans="1:141" s="116" customFormat="1">
      <c r="A19055" s="136"/>
      <c r="CM19055" s="111"/>
      <c r="CQ19055" s="111"/>
      <c r="EF19055"/>
      <c r="EG19055"/>
      <c r="EH19055"/>
      <c r="EI19055"/>
      <c r="EJ19055"/>
      <c r="EK19055"/>
    </row>
    <row r="19056" spans="1:141" s="116" customFormat="1">
      <c r="A19056" s="136"/>
      <c r="CM19056" s="111"/>
      <c r="CQ19056" s="111"/>
      <c r="EF19056"/>
      <c r="EG19056"/>
      <c r="EH19056"/>
      <c r="EI19056"/>
      <c r="EJ19056"/>
      <c r="EK19056"/>
    </row>
    <row r="19057" spans="1:141" s="116" customFormat="1">
      <c r="A19057" s="136"/>
      <c r="CM19057" s="111"/>
      <c r="CQ19057" s="111"/>
      <c r="EF19057"/>
      <c r="EG19057"/>
      <c r="EH19057"/>
      <c r="EI19057"/>
      <c r="EJ19057"/>
      <c r="EK19057"/>
    </row>
    <row r="19058" spans="1:141" s="116" customFormat="1">
      <c r="A19058" s="136"/>
      <c r="CM19058" s="111"/>
      <c r="CQ19058" s="111"/>
      <c r="EF19058"/>
      <c r="EG19058"/>
      <c r="EH19058"/>
      <c r="EI19058"/>
      <c r="EJ19058"/>
      <c r="EK19058"/>
    </row>
    <row r="19059" spans="1:141" s="116" customFormat="1">
      <c r="A19059" s="136"/>
      <c r="CM19059" s="111"/>
      <c r="CQ19059" s="111"/>
      <c r="EF19059"/>
      <c r="EG19059"/>
      <c r="EH19059"/>
      <c r="EI19059"/>
      <c r="EJ19059"/>
      <c r="EK19059"/>
    </row>
    <row r="19060" spans="1:141" s="116" customFormat="1">
      <c r="A19060" s="136"/>
      <c r="CM19060" s="111"/>
      <c r="CQ19060" s="111"/>
      <c r="EF19060"/>
      <c r="EG19060"/>
      <c r="EH19060"/>
      <c r="EI19060"/>
      <c r="EJ19060"/>
      <c r="EK19060"/>
    </row>
    <row r="19061" spans="1:141" s="116" customFormat="1">
      <c r="A19061" s="136"/>
      <c r="CM19061" s="111"/>
      <c r="CQ19061" s="111"/>
      <c r="EF19061"/>
      <c r="EG19061"/>
      <c r="EH19061"/>
      <c r="EI19061"/>
      <c r="EJ19061"/>
      <c r="EK19061"/>
    </row>
    <row r="19062" spans="1:141" s="116" customFormat="1">
      <c r="A19062" s="136"/>
      <c r="CM19062" s="111"/>
      <c r="CQ19062" s="111"/>
      <c r="EF19062"/>
      <c r="EG19062"/>
      <c r="EH19062"/>
      <c r="EI19062"/>
      <c r="EJ19062"/>
      <c r="EK19062"/>
    </row>
    <row r="19063" spans="1:141" s="116" customFormat="1">
      <c r="A19063" s="136"/>
      <c r="CM19063" s="111"/>
      <c r="CQ19063" s="111"/>
      <c r="EF19063"/>
      <c r="EG19063"/>
      <c r="EH19063"/>
      <c r="EI19063"/>
      <c r="EJ19063"/>
      <c r="EK19063"/>
    </row>
    <row r="19064" spans="1:141" s="116" customFormat="1">
      <c r="A19064" s="136"/>
      <c r="CM19064" s="111"/>
      <c r="CQ19064" s="111"/>
      <c r="EF19064"/>
      <c r="EG19064"/>
      <c r="EH19064"/>
      <c r="EI19064"/>
      <c r="EJ19064"/>
      <c r="EK19064"/>
    </row>
    <row r="19065" spans="1:141" s="116" customFormat="1">
      <c r="A19065" s="136"/>
      <c r="CM19065" s="111"/>
      <c r="CQ19065" s="111"/>
      <c r="EF19065"/>
      <c r="EG19065"/>
      <c r="EH19065"/>
      <c r="EI19065"/>
      <c r="EJ19065"/>
      <c r="EK19065"/>
    </row>
    <row r="19066" spans="1:141" s="116" customFormat="1">
      <c r="A19066" s="136"/>
      <c r="CM19066" s="111"/>
      <c r="CQ19066" s="111"/>
      <c r="EF19066"/>
      <c r="EG19066"/>
      <c r="EH19066"/>
      <c r="EI19066"/>
      <c r="EJ19066"/>
      <c r="EK19066"/>
    </row>
    <row r="19067" spans="1:141" s="116" customFormat="1">
      <c r="A19067" s="136"/>
      <c r="CM19067" s="111"/>
      <c r="CQ19067" s="111"/>
      <c r="EF19067"/>
      <c r="EG19067"/>
      <c r="EH19067"/>
      <c r="EI19067"/>
      <c r="EJ19067"/>
      <c r="EK19067"/>
    </row>
    <row r="19068" spans="1:141" s="116" customFormat="1">
      <c r="A19068" s="136"/>
      <c r="CM19068" s="111"/>
      <c r="CQ19068" s="111"/>
      <c r="EF19068"/>
      <c r="EG19068"/>
      <c r="EH19068"/>
      <c r="EI19068"/>
      <c r="EJ19068"/>
      <c r="EK19068"/>
    </row>
    <row r="19069" spans="1:141" s="116" customFormat="1">
      <c r="A19069" s="136"/>
      <c r="CM19069" s="111"/>
      <c r="CQ19069" s="111"/>
      <c r="EF19069"/>
      <c r="EG19069"/>
      <c r="EH19069"/>
      <c r="EI19069"/>
      <c r="EJ19069"/>
      <c r="EK19069"/>
    </row>
    <row r="19070" spans="1:141" s="116" customFormat="1">
      <c r="A19070" s="136"/>
      <c r="CM19070" s="111"/>
      <c r="CQ19070" s="111"/>
      <c r="EF19070"/>
      <c r="EG19070"/>
      <c r="EH19070"/>
      <c r="EI19070"/>
      <c r="EJ19070"/>
      <c r="EK19070"/>
    </row>
    <row r="19071" spans="1:141" s="116" customFormat="1">
      <c r="A19071" s="136"/>
      <c r="CM19071" s="111"/>
      <c r="CQ19071" s="111"/>
      <c r="EF19071"/>
      <c r="EG19071"/>
      <c r="EH19071"/>
      <c r="EI19071"/>
      <c r="EJ19071"/>
      <c r="EK19071"/>
    </row>
    <row r="19072" spans="1:141" s="116" customFormat="1">
      <c r="A19072" s="136"/>
      <c r="CM19072" s="111"/>
      <c r="CQ19072" s="111"/>
      <c r="EF19072"/>
      <c r="EG19072"/>
      <c r="EH19072"/>
      <c r="EI19072"/>
      <c r="EJ19072"/>
      <c r="EK19072"/>
    </row>
    <row r="19073" spans="1:141" s="116" customFormat="1">
      <c r="A19073" s="136"/>
      <c r="CM19073" s="111"/>
      <c r="CQ19073" s="111"/>
      <c r="EF19073"/>
      <c r="EG19073"/>
      <c r="EH19073"/>
      <c r="EI19073"/>
      <c r="EJ19073"/>
      <c r="EK19073"/>
    </row>
    <row r="19074" spans="1:141" s="116" customFormat="1">
      <c r="A19074" s="136"/>
      <c r="CM19074" s="111"/>
      <c r="CQ19074" s="111"/>
      <c r="EF19074"/>
      <c r="EG19074"/>
      <c r="EH19074"/>
      <c r="EI19074"/>
      <c r="EJ19074"/>
      <c r="EK19074"/>
    </row>
    <row r="19075" spans="1:141" s="116" customFormat="1">
      <c r="A19075" s="136"/>
      <c r="CM19075" s="111"/>
      <c r="CQ19075" s="111"/>
      <c r="EF19075"/>
      <c r="EG19075"/>
      <c r="EH19075"/>
      <c r="EI19075"/>
      <c r="EJ19075"/>
      <c r="EK19075"/>
    </row>
    <row r="19076" spans="1:141" s="116" customFormat="1">
      <c r="A19076" s="136"/>
      <c r="CM19076" s="111"/>
      <c r="CQ19076" s="111"/>
      <c r="EF19076"/>
      <c r="EG19076"/>
      <c r="EH19076"/>
      <c r="EI19076"/>
      <c r="EJ19076"/>
      <c r="EK19076"/>
    </row>
    <row r="19077" spans="1:141" s="116" customFormat="1">
      <c r="A19077" s="136"/>
      <c r="CM19077" s="111"/>
      <c r="CQ19077" s="111"/>
      <c r="EF19077"/>
      <c r="EG19077"/>
      <c r="EH19077"/>
      <c r="EI19077"/>
      <c r="EJ19077"/>
      <c r="EK19077"/>
    </row>
    <row r="19078" spans="1:141" s="116" customFormat="1">
      <c r="A19078" s="136"/>
      <c r="CM19078" s="111"/>
      <c r="CQ19078" s="111"/>
      <c r="EF19078"/>
      <c r="EG19078"/>
      <c r="EH19078"/>
      <c r="EI19078"/>
      <c r="EJ19078"/>
      <c r="EK19078"/>
    </row>
    <row r="19079" spans="1:141" s="116" customFormat="1">
      <c r="A19079" s="136"/>
      <c r="CM19079" s="111"/>
      <c r="CQ19079" s="111"/>
      <c r="EF19079"/>
      <c r="EG19079"/>
      <c r="EH19079"/>
      <c r="EI19079"/>
      <c r="EJ19079"/>
      <c r="EK19079"/>
    </row>
    <row r="19080" spans="1:141" s="116" customFormat="1">
      <c r="A19080" s="136"/>
      <c r="CM19080" s="111"/>
      <c r="CQ19080" s="111"/>
      <c r="EF19080"/>
      <c r="EG19080"/>
      <c r="EH19080"/>
      <c r="EI19080"/>
      <c r="EJ19080"/>
      <c r="EK19080"/>
    </row>
    <row r="19081" spans="1:141" s="116" customFormat="1">
      <c r="A19081" s="136"/>
      <c r="CM19081" s="111"/>
      <c r="CQ19081" s="111"/>
      <c r="EF19081"/>
      <c r="EG19081"/>
      <c r="EH19081"/>
      <c r="EI19081"/>
      <c r="EJ19081"/>
      <c r="EK19081"/>
    </row>
    <row r="19082" spans="1:141" s="116" customFormat="1">
      <c r="A19082" s="136"/>
      <c r="CM19082" s="111"/>
      <c r="CQ19082" s="111"/>
      <c r="EF19082"/>
      <c r="EG19082"/>
      <c r="EH19082"/>
      <c r="EI19082"/>
      <c r="EJ19082"/>
      <c r="EK19082"/>
    </row>
    <row r="19083" spans="1:141" s="116" customFormat="1">
      <c r="A19083" s="136"/>
      <c r="CM19083" s="111"/>
      <c r="CQ19083" s="111"/>
      <c r="EF19083"/>
      <c r="EG19083"/>
      <c r="EH19083"/>
      <c r="EI19083"/>
      <c r="EJ19083"/>
      <c r="EK19083"/>
    </row>
    <row r="19084" spans="1:141" s="116" customFormat="1">
      <c r="A19084" s="136"/>
      <c r="CM19084" s="111"/>
      <c r="CQ19084" s="111"/>
      <c r="EF19084"/>
      <c r="EG19084"/>
      <c r="EH19084"/>
      <c r="EI19084"/>
      <c r="EJ19084"/>
      <c r="EK19084"/>
    </row>
    <row r="19085" spans="1:141" s="116" customFormat="1">
      <c r="A19085" s="136"/>
      <c r="CM19085" s="111"/>
      <c r="CQ19085" s="111"/>
      <c r="EF19085"/>
      <c r="EG19085"/>
      <c r="EH19085"/>
      <c r="EI19085"/>
      <c r="EJ19085"/>
      <c r="EK19085"/>
    </row>
    <row r="19086" spans="1:141" s="116" customFormat="1">
      <c r="A19086" s="136"/>
      <c r="CM19086" s="111"/>
      <c r="CQ19086" s="111"/>
      <c r="EF19086"/>
      <c r="EG19086"/>
      <c r="EH19086"/>
      <c r="EI19086"/>
      <c r="EJ19086"/>
      <c r="EK19086"/>
    </row>
    <row r="19087" spans="1:141" s="116" customFormat="1">
      <c r="A19087" s="136"/>
      <c r="CM19087" s="111"/>
      <c r="CQ19087" s="111"/>
      <c r="EF19087"/>
      <c r="EG19087"/>
      <c r="EH19087"/>
      <c r="EI19087"/>
      <c r="EJ19087"/>
      <c r="EK19087"/>
    </row>
    <row r="19088" spans="1:141" s="116" customFormat="1">
      <c r="A19088" s="136"/>
      <c r="CM19088" s="111"/>
      <c r="CQ19088" s="111"/>
      <c r="EF19088"/>
      <c r="EG19088"/>
      <c r="EH19088"/>
      <c r="EI19088"/>
      <c r="EJ19088"/>
      <c r="EK19088"/>
    </row>
    <row r="19089" spans="1:141" s="116" customFormat="1">
      <c r="A19089" s="136"/>
      <c r="CM19089" s="111"/>
      <c r="CQ19089" s="111"/>
      <c r="EF19089"/>
      <c r="EG19089"/>
      <c r="EH19089"/>
      <c r="EI19089"/>
      <c r="EJ19089"/>
      <c r="EK19089"/>
    </row>
    <row r="19090" spans="1:141" s="116" customFormat="1">
      <c r="A19090" s="136"/>
      <c r="CM19090" s="111"/>
      <c r="CQ19090" s="111"/>
      <c r="EF19090"/>
      <c r="EG19090"/>
      <c r="EH19090"/>
      <c r="EI19090"/>
      <c r="EJ19090"/>
      <c r="EK19090"/>
    </row>
    <row r="19091" spans="1:141" s="116" customFormat="1">
      <c r="A19091" s="136"/>
      <c r="CM19091" s="111"/>
      <c r="CQ19091" s="111"/>
      <c r="EF19091"/>
      <c r="EG19091"/>
      <c r="EH19091"/>
      <c r="EI19091"/>
      <c r="EJ19091"/>
      <c r="EK19091"/>
    </row>
    <row r="19092" spans="1:141" s="116" customFormat="1">
      <c r="A19092" s="136"/>
      <c r="CM19092" s="111"/>
      <c r="CQ19092" s="111"/>
      <c r="EF19092"/>
      <c r="EG19092"/>
      <c r="EH19092"/>
      <c r="EI19092"/>
      <c r="EJ19092"/>
      <c r="EK19092"/>
    </row>
    <row r="19093" spans="1:141" s="116" customFormat="1">
      <c r="A19093" s="136"/>
      <c r="CM19093" s="111"/>
      <c r="CQ19093" s="111"/>
      <c r="EF19093"/>
      <c r="EG19093"/>
      <c r="EH19093"/>
      <c r="EI19093"/>
      <c r="EJ19093"/>
      <c r="EK19093"/>
    </row>
    <row r="19094" spans="1:141" s="116" customFormat="1">
      <c r="A19094" s="136"/>
      <c r="CM19094" s="111"/>
      <c r="CQ19094" s="111"/>
      <c r="EF19094"/>
      <c r="EG19094"/>
      <c r="EH19094"/>
      <c r="EI19094"/>
      <c r="EJ19094"/>
      <c r="EK19094"/>
    </row>
    <row r="19095" spans="1:141" s="116" customFormat="1">
      <c r="A19095" s="136"/>
      <c r="CM19095" s="111"/>
      <c r="CQ19095" s="111"/>
      <c r="EF19095"/>
      <c r="EG19095"/>
      <c r="EH19095"/>
      <c r="EI19095"/>
      <c r="EJ19095"/>
      <c r="EK19095"/>
    </row>
    <row r="19096" spans="1:141" s="116" customFormat="1">
      <c r="A19096" s="136"/>
      <c r="CM19096" s="111"/>
      <c r="CQ19096" s="111"/>
      <c r="EF19096"/>
      <c r="EG19096"/>
      <c r="EH19096"/>
      <c r="EI19096"/>
      <c r="EJ19096"/>
      <c r="EK19096"/>
    </row>
    <row r="19097" spans="1:141" s="116" customFormat="1">
      <c r="A19097" s="136"/>
      <c r="CM19097" s="111"/>
      <c r="CQ19097" s="111"/>
      <c r="EF19097"/>
      <c r="EG19097"/>
      <c r="EH19097"/>
      <c r="EI19097"/>
      <c r="EJ19097"/>
      <c r="EK19097"/>
    </row>
    <row r="19098" spans="1:141" s="116" customFormat="1">
      <c r="A19098" s="136"/>
      <c r="CM19098" s="111"/>
      <c r="CQ19098" s="111"/>
      <c r="EF19098"/>
      <c r="EG19098"/>
      <c r="EH19098"/>
      <c r="EI19098"/>
      <c r="EJ19098"/>
      <c r="EK19098"/>
    </row>
    <row r="19099" spans="1:141" s="116" customFormat="1">
      <c r="A19099" s="136"/>
      <c r="CM19099" s="111"/>
      <c r="CQ19099" s="111"/>
      <c r="EF19099"/>
      <c r="EG19099"/>
      <c r="EH19099"/>
      <c r="EI19099"/>
      <c r="EJ19099"/>
      <c r="EK19099"/>
    </row>
    <row r="19100" spans="1:141" s="116" customFormat="1">
      <c r="A19100" s="136"/>
      <c r="CM19100" s="111"/>
      <c r="CQ19100" s="111"/>
      <c r="EF19100"/>
      <c r="EG19100"/>
      <c r="EH19100"/>
      <c r="EI19100"/>
      <c r="EJ19100"/>
      <c r="EK19100"/>
    </row>
    <row r="19101" spans="1:141" s="116" customFormat="1">
      <c r="A19101" s="136"/>
      <c r="CM19101" s="111"/>
      <c r="CQ19101" s="111"/>
      <c r="EF19101"/>
      <c r="EG19101"/>
      <c r="EH19101"/>
      <c r="EI19101"/>
      <c r="EJ19101"/>
      <c r="EK19101"/>
    </row>
    <row r="19102" spans="1:141" s="116" customFormat="1">
      <c r="A19102" s="136"/>
      <c r="CM19102" s="111"/>
      <c r="CQ19102" s="111"/>
      <c r="EF19102"/>
      <c r="EG19102"/>
      <c r="EH19102"/>
      <c r="EI19102"/>
      <c r="EJ19102"/>
      <c r="EK19102"/>
    </row>
    <row r="19103" spans="1:141" s="116" customFormat="1">
      <c r="A19103" s="136"/>
      <c r="CM19103" s="111"/>
      <c r="CQ19103" s="111"/>
      <c r="EF19103"/>
      <c r="EG19103"/>
      <c r="EH19103"/>
      <c r="EI19103"/>
      <c r="EJ19103"/>
      <c r="EK19103"/>
    </row>
    <row r="19104" spans="1:141" s="116" customFormat="1">
      <c r="A19104" s="136"/>
      <c r="CM19104" s="111"/>
      <c r="CQ19104" s="111"/>
      <c r="EF19104"/>
      <c r="EG19104"/>
      <c r="EH19104"/>
      <c r="EI19104"/>
      <c r="EJ19104"/>
      <c r="EK19104"/>
    </row>
    <row r="19105" spans="1:141" s="116" customFormat="1">
      <c r="A19105" s="136"/>
      <c r="CM19105" s="111"/>
      <c r="CQ19105" s="111"/>
      <c r="EF19105"/>
      <c r="EG19105"/>
      <c r="EH19105"/>
      <c r="EI19105"/>
      <c r="EJ19105"/>
      <c r="EK19105"/>
    </row>
    <row r="19106" spans="1:141" s="116" customFormat="1">
      <c r="A19106" s="136"/>
      <c r="CM19106" s="111"/>
      <c r="CQ19106" s="111"/>
      <c r="EF19106"/>
      <c r="EG19106"/>
      <c r="EH19106"/>
      <c r="EI19106"/>
      <c r="EJ19106"/>
      <c r="EK19106"/>
    </row>
    <row r="19107" spans="1:141" s="116" customFormat="1">
      <c r="A19107" s="136"/>
      <c r="CM19107" s="111"/>
      <c r="CQ19107" s="111"/>
      <c r="EF19107"/>
      <c r="EG19107"/>
      <c r="EH19107"/>
      <c r="EI19107"/>
      <c r="EJ19107"/>
      <c r="EK19107"/>
    </row>
    <row r="19108" spans="1:141" s="116" customFormat="1">
      <c r="A19108" s="136"/>
      <c r="CM19108" s="111"/>
      <c r="CQ19108" s="111"/>
      <c r="EF19108"/>
      <c r="EG19108"/>
      <c r="EH19108"/>
      <c r="EI19108"/>
      <c r="EJ19108"/>
      <c r="EK19108"/>
    </row>
    <row r="19109" spans="1:141" s="116" customFormat="1">
      <c r="A19109" s="136"/>
      <c r="CM19109" s="111"/>
      <c r="CQ19109" s="111"/>
      <c r="EF19109"/>
      <c r="EG19109"/>
      <c r="EH19109"/>
      <c r="EI19109"/>
      <c r="EJ19109"/>
      <c r="EK19109"/>
    </row>
    <row r="19110" spans="1:141" s="116" customFormat="1">
      <c r="A19110" s="136"/>
      <c r="CM19110" s="111"/>
      <c r="CQ19110" s="111"/>
      <c r="EF19110"/>
      <c r="EG19110"/>
      <c r="EH19110"/>
      <c r="EI19110"/>
      <c r="EJ19110"/>
      <c r="EK19110"/>
    </row>
    <row r="19111" spans="1:141" s="116" customFormat="1">
      <c r="A19111" s="136"/>
      <c r="CM19111" s="111"/>
      <c r="CQ19111" s="111"/>
      <c r="EF19111"/>
      <c r="EG19111"/>
      <c r="EH19111"/>
      <c r="EI19111"/>
      <c r="EJ19111"/>
      <c r="EK19111"/>
    </row>
    <row r="19112" spans="1:141" s="116" customFormat="1">
      <c r="A19112" s="136"/>
      <c r="CM19112" s="111"/>
      <c r="CQ19112" s="111"/>
      <c r="EF19112"/>
      <c r="EG19112"/>
      <c r="EH19112"/>
      <c r="EI19112"/>
      <c r="EJ19112"/>
      <c r="EK19112"/>
    </row>
    <row r="19113" spans="1:141" s="116" customFormat="1">
      <c r="A19113" s="136"/>
      <c r="CM19113" s="111"/>
      <c r="CQ19113" s="111"/>
      <c r="EF19113"/>
      <c r="EG19113"/>
      <c r="EH19113"/>
      <c r="EI19113"/>
      <c r="EJ19113"/>
      <c r="EK19113"/>
    </row>
    <row r="19114" spans="1:141" s="116" customFormat="1">
      <c r="A19114" s="136"/>
      <c r="CM19114" s="111"/>
      <c r="CQ19114" s="111"/>
      <c r="EF19114"/>
      <c r="EG19114"/>
      <c r="EH19114"/>
      <c r="EI19114"/>
      <c r="EJ19114"/>
      <c r="EK19114"/>
    </row>
    <row r="19115" spans="1:141" s="116" customFormat="1">
      <c r="A19115" s="136"/>
      <c r="CM19115" s="111"/>
      <c r="CQ19115" s="111"/>
      <c r="EF19115"/>
      <c r="EG19115"/>
      <c r="EH19115"/>
      <c r="EI19115"/>
      <c r="EJ19115"/>
      <c r="EK19115"/>
    </row>
    <row r="19116" spans="1:141" s="116" customFormat="1">
      <c r="A19116" s="136"/>
      <c r="CM19116" s="111"/>
      <c r="CQ19116" s="111"/>
      <c r="EF19116"/>
      <c r="EG19116"/>
      <c r="EH19116"/>
      <c r="EI19116"/>
      <c r="EJ19116"/>
      <c r="EK19116"/>
    </row>
    <row r="19117" spans="1:141" s="116" customFormat="1">
      <c r="A19117" s="136"/>
      <c r="CM19117" s="111"/>
      <c r="CQ19117" s="111"/>
      <c r="EF19117"/>
      <c r="EG19117"/>
      <c r="EH19117"/>
      <c r="EI19117"/>
      <c r="EJ19117"/>
      <c r="EK19117"/>
    </row>
    <row r="19118" spans="1:141" s="116" customFormat="1">
      <c r="A19118" s="136"/>
      <c r="CM19118" s="111"/>
      <c r="CQ19118" s="111"/>
      <c r="EF19118"/>
      <c r="EG19118"/>
      <c r="EH19118"/>
      <c r="EI19118"/>
      <c r="EJ19118"/>
      <c r="EK19118"/>
    </row>
    <row r="19119" spans="1:141" s="116" customFormat="1">
      <c r="A19119" s="136"/>
      <c r="CM19119" s="111"/>
      <c r="CQ19119" s="111"/>
      <c r="EF19119"/>
      <c r="EG19119"/>
      <c r="EH19119"/>
      <c r="EI19119"/>
      <c r="EJ19119"/>
      <c r="EK19119"/>
    </row>
    <row r="19120" spans="1:141" s="116" customFormat="1">
      <c r="A19120" s="136"/>
      <c r="CM19120" s="111"/>
      <c r="CQ19120" s="111"/>
      <c r="EF19120"/>
      <c r="EG19120"/>
      <c r="EH19120"/>
      <c r="EI19120"/>
      <c r="EJ19120"/>
      <c r="EK19120"/>
    </row>
    <row r="19121" spans="1:141" s="116" customFormat="1">
      <c r="A19121" s="136"/>
      <c r="CM19121" s="111"/>
      <c r="CQ19121" s="111"/>
      <c r="EF19121"/>
      <c r="EG19121"/>
      <c r="EH19121"/>
      <c r="EI19121"/>
      <c r="EJ19121"/>
      <c r="EK19121"/>
    </row>
    <row r="19122" spans="1:141" s="116" customFormat="1">
      <c r="A19122" s="136"/>
      <c r="CM19122" s="111"/>
      <c r="CQ19122" s="111"/>
      <c r="EF19122"/>
      <c r="EG19122"/>
      <c r="EH19122"/>
      <c r="EI19122"/>
      <c r="EJ19122"/>
      <c r="EK19122"/>
    </row>
    <row r="19123" spans="1:141" s="116" customFormat="1">
      <c r="A19123" s="136"/>
      <c r="CM19123" s="111"/>
      <c r="CQ19123" s="111"/>
      <c r="EF19123"/>
      <c r="EG19123"/>
      <c r="EH19123"/>
      <c r="EI19123"/>
      <c r="EJ19123"/>
      <c r="EK19123"/>
    </row>
    <row r="19124" spans="1:141" s="116" customFormat="1">
      <c r="A19124" s="136"/>
      <c r="CM19124" s="111"/>
      <c r="CQ19124" s="111"/>
      <c r="EF19124"/>
      <c r="EG19124"/>
      <c r="EH19124"/>
      <c r="EI19124"/>
      <c r="EJ19124"/>
      <c r="EK19124"/>
    </row>
    <row r="19125" spans="1:141" s="116" customFormat="1">
      <c r="A19125" s="136"/>
      <c r="CM19125" s="111"/>
      <c r="CQ19125" s="111"/>
      <c r="EF19125"/>
      <c r="EG19125"/>
      <c r="EH19125"/>
      <c r="EI19125"/>
      <c r="EJ19125"/>
      <c r="EK19125"/>
    </row>
    <row r="19126" spans="1:141" s="116" customFormat="1">
      <c r="A19126" s="136"/>
      <c r="CM19126" s="111"/>
      <c r="CQ19126" s="111"/>
      <c r="EF19126"/>
      <c r="EG19126"/>
      <c r="EH19126"/>
      <c r="EI19126"/>
      <c r="EJ19126"/>
      <c r="EK19126"/>
    </row>
    <row r="19127" spans="1:141" s="116" customFormat="1">
      <c r="A19127" s="136"/>
      <c r="CM19127" s="111"/>
      <c r="CQ19127" s="111"/>
      <c r="EF19127"/>
      <c r="EG19127"/>
      <c r="EH19127"/>
      <c r="EI19127"/>
      <c r="EJ19127"/>
      <c r="EK19127"/>
    </row>
    <row r="19128" spans="1:141" s="116" customFormat="1">
      <c r="A19128" s="136"/>
      <c r="CM19128" s="111"/>
      <c r="CQ19128" s="111"/>
      <c r="EF19128"/>
      <c r="EG19128"/>
      <c r="EH19128"/>
      <c r="EI19128"/>
      <c r="EJ19128"/>
      <c r="EK19128"/>
    </row>
    <row r="19129" spans="1:141" s="116" customFormat="1">
      <c r="A19129" s="136"/>
      <c r="CM19129" s="111"/>
      <c r="CQ19129" s="111"/>
      <c r="EF19129"/>
      <c r="EG19129"/>
      <c r="EH19129"/>
      <c r="EI19129"/>
      <c r="EJ19129"/>
      <c r="EK19129"/>
    </row>
    <row r="19130" spans="1:141" s="116" customFormat="1">
      <c r="A19130" s="136"/>
      <c r="CM19130" s="111"/>
      <c r="CQ19130" s="111"/>
      <c r="EF19130"/>
      <c r="EG19130"/>
      <c r="EH19130"/>
      <c r="EI19130"/>
      <c r="EJ19130"/>
      <c r="EK19130"/>
    </row>
    <row r="19131" spans="1:141" s="116" customFormat="1">
      <c r="A19131" s="136"/>
      <c r="CM19131" s="111"/>
      <c r="CQ19131" s="111"/>
      <c r="EF19131"/>
      <c r="EG19131"/>
      <c r="EH19131"/>
      <c r="EI19131"/>
      <c r="EJ19131"/>
      <c r="EK19131"/>
    </row>
    <row r="19132" spans="1:141" s="116" customFormat="1">
      <c r="A19132" s="136"/>
      <c r="CM19132" s="111"/>
      <c r="CQ19132" s="111"/>
      <c r="EF19132"/>
      <c r="EG19132"/>
      <c r="EH19132"/>
      <c r="EI19132"/>
      <c r="EJ19132"/>
      <c r="EK19132"/>
    </row>
    <row r="19133" spans="1:141" s="116" customFormat="1">
      <c r="A19133" s="136"/>
      <c r="CM19133" s="111"/>
      <c r="CQ19133" s="111"/>
      <c r="EF19133"/>
      <c r="EG19133"/>
      <c r="EH19133"/>
      <c r="EI19133"/>
      <c r="EJ19133"/>
      <c r="EK19133"/>
    </row>
    <row r="19134" spans="1:141" s="116" customFormat="1">
      <c r="A19134" s="136"/>
      <c r="CM19134" s="111"/>
      <c r="CQ19134" s="111"/>
      <c r="EF19134"/>
      <c r="EG19134"/>
      <c r="EH19134"/>
      <c r="EI19134"/>
      <c r="EJ19134"/>
      <c r="EK19134"/>
    </row>
    <row r="19135" spans="1:141" s="116" customFormat="1">
      <c r="A19135" s="136"/>
      <c r="CM19135" s="111"/>
      <c r="CQ19135" s="111"/>
      <c r="EF19135"/>
      <c r="EG19135"/>
      <c r="EH19135"/>
      <c r="EI19135"/>
      <c r="EJ19135"/>
      <c r="EK19135"/>
    </row>
    <row r="19136" spans="1:141" s="116" customFormat="1">
      <c r="A19136" s="136"/>
      <c r="CM19136" s="111"/>
      <c r="CQ19136" s="111"/>
      <c r="EF19136"/>
      <c r="EG19136"/>
      <c r="EH19136"/>
      <c r="EI19136"/>
      <c r="EJ19136"/>
      <c r="EK19136"/>
    </row>
    <row r="19137" spans="1:141" s="116" customFormat="1">
      <c r="A19137" s="136"/>
      <c r="CM19137" s="111"/>
      <c r="CQ19137" s="111"/>
      <c r="EF19137"/>
      <c r="EG19137"/>
      <c r="EH19137"/>
      <c r="EI19137"/>
      <c r="EJ19137"/>
      <c r="EK19137"/>
    </row>
    <row r="19138" spans="1:141" s="116" customFormat="1">
      <c r="A19138" s="136"/>
      <c r="CM19138" s="111"/>
      <c r="CQ19138" s="111"/>
      <c r="EF19138"/>
      <c r="EG19138"/>
      <c r="EH19138"/>
      <c r="EI19138"/>
      <c r="EJ19138"/>
      <c r="EK19138"/>
    </row>
    <row r="19139" spans="1:141" s="116" customFormat="1">
      <c r="A19139" s="136"/>
      <c r="CM19139" s="111"/>
      <c r="CQ19139" s="111"/>
      <c r="EF19139"/>
      <c r="EG19139"/>
      <c r="EH19139"/>
      <c r="EI19139"/>
      <c r="EJ19139"/>
      <c r="EK19139"/>
    </row>
    <row r="19140" spans="1:141" s="116" customFormat="1">
      <c r="A19140" s="136"/>
      <c r="CM19140" s="111"/>
      <c r="CQ19140" s="111"/>
      <c r="EF19140"/>
      <c r="EG19140"/>
      <c r="EH19140"/>
      <c r="EI19140"/>
      <c r="EJ19140"/>
      <c r="EK19140"/>
    </row>
    <row r="19141" spans="1:141" s="116" customFormat="1">
      <c r="A19141" s="136"/>
      <c r="CM19141" s="111"/>
      <c r="CQ19141" s="111"/>
      <c r="EF19141"/>
      <c r="EG19141"/>
      <c r="EH19141"/>
      <c r="EI19141"/>
      <c r="EJ19141"/>
      <c r="EK19141"/>
    </row>
    <row r="19142" spans="1:141" s="116" customFormat="1">
      <c r="A19142" s="136"/>
      <c r="CM19142" s="111"/>
      <c r="CQ19142" s="111"/>
      <c r="EF19142"/>
      <c r="EG19142"/>
      <c r="EH19142"/>
      <c r="EI19142"/>
      <c r="EJ19142"/>
      <c r="EK19142"/>
    </row>
    <row r="19143" spans="1:141" s="116" customFormat="1">
      <c r="A19143" s="136"/>
      <c r="CM19143" s="111"/>
      <c r="CQ19143" s="111"/>
      <c r="EF19143"/>
      <c r="EG19143"/>
      <c r="EH19143"/>
      <c r="EI19143"/>
      <c r="EJ19143"/>
      <c r="EK19143"/>
    </row>
    <row r="19144" spans="1:141" s="116" customFormat="1">
      <c r="A19144" s="136"/>
      <c r="CM19144" s="111"/>
      <c r="CQ19144" s="111"/>
      <c r="EF19144"/>
      <c r="EG19144"/>
      <c r="EH19144"/>
      <c r="EI19144"/>
      <c r="EJ19144"/>
      <c r="EK19144"/>
    </row>
    <row r="19145" spans="1:141" s="116" customFormat="1">
      <c r="A19145" s="136"/>
      <c r="CM19145" s="111"/>
      <c r="CQ19145" s="111"/>
      <c r="EF19145"/>
      <c r="EG19145"/>
      <c r="EH19145"/>
      <c r="EI19145"/>
      <c r="EJ19145"/>
      <c r="EK19145"/>
    </row>
    <row r="19146" spans="1:141" s="116" customFormat="1">
      <c r="A19146" s="136"/>
      <c r="CM19146" s="111"/>
      <c r="CQ19146" s="111"/>
      <c r="EF19146"/>
      <c r="EG19146"/>
      <c r="EH19146"/>
      <c r="EI19146"/>
      <c r="EJ19146"/>
      <c r="EK19146"/>
    </row>
    <row r="19147" spans="1:141" s="116" customFormat="1">
      <c r="A19147" s="136"/>
      <c r="CM19147" s="111"/>
      <c r="CQ19147" s="111"/>
      <c r="EF19147"/>
      <c r="EG19147"/>
      <c r="EH19147"/>
      <c r="EI19147"/>
      <c r="EJ19147"/>
      <c r="EK19147"/>
    </row>
    <row r="19148" spans="1:141" s="116" customFormat="1">
      <c r="A19148" s="136"/>
      <c r="CM19148" s="111"/>
      <c r="CQ19148" s="111"/>
      <c r="EF19148"/>
      <c r="EG19148"/>
      <c r="EH19148"/>
      <c r="EI19148"/>
      <c r="EJ19148"/>
      <c r="EK19148"/>
    </row>
    <row r="19149" spans="1:141" s="116" customFormat="1">
      <c r="A19149" s="136"/>
      <c r="CM19149" s="111"/>
      <c r="CQ19149" s="111"/>
      <c r="EF19149"/>
      <c r="EG19149"/>
      <c r="EH19149"/>
      <c r="EI19149"/>
      <c r="EJ19149"/>
      <c r="EK19149"/>
    </row>
    <row r="19150" spans="1:141" s="116" customFormat="1">
      <c r="A19150" s="136"/>
      <c r="CM19150" s="111"/>
      <c r="CQ19150" s="111"/>
      <c r="EF19150"/>
      <c r="EG19150"/>
      <c r="EH19150"/>
      <c r="EI19150"/>
      <c r="EJ19150"/>
      <c r="EK19150"/>
    </row>
    <row r="19151" spans="1:141" s="116" customFormat="1">
      <c r="A19151" s="136"/>
      <c r="CM19151" s="111"/>
      <c r="CQ19151" s="111"/>
      <c r="EF19151"/>
      <c r="EG19151"/>
      <c r="EH19151"/>
      <c r="EI19151"/>
      <c r="EJ19151"/>
      <c r="EK19151"/>
    </row>
    <row r="19152" spans="1:141" s="116" customFormat="1">
      <c r="A19152" s="136"/>
      <c r="CM19152" s="111"/>
      <c r="CQ19152" s="111"/>
      <c r="EF19152"/>
      <c r="EG19152"/>
      <c r="EH19152"/>
      <c r="EI19152"/>
      <c r="EJ19152"/>
      <c r="EK19152"/>
    </row>
    <row r="19153" spans="1:141" s="116" customFormat="1">
      <c r="A19153" s="136"/>
      <c r="CM19153" s="111"/>
      <c r="CQ19153" s="111"/>
      <c r="EF19153"/>
      <c r="EG19153"/>
      <c r="EH19153"/>
      <c r="EI19153"/>
      <c r="EJ19153"/>
      <c r="EK19153"/>
    </row>
    <row r="19154" spans="1:141" s="116" customFormat="1">
      <c r="A19154" s="136"/>
      <c r="CM19154" s="111"/>
      <c r="CQ19154" s="111"/>
      <c r="EF19154"/>
      <c r="EG19154"/>
      <c r="EH19154"/>
      <c r="EI19154"/>
      <c r="EJ19154"/>
      <c r="EK19154"/>
    </row>
    <row r="19155" spans="1:141" s="116" customFormat="1">
      <c r="A19155" s="136"/>
      <c r="CM19155" s="111"/>
      <c r="CQ19155" s="111"/>
      <c r="EF19155"/>
      <c r="EG19155"/>
      <c r="EH19155"/>
      <c r="EI19155"/>
      <c r="EJ19155"/>
      <c r="EK19155"/>
    </row>
    <row r="19156" spans="1:141" s="116" customFormat="1">
      <c r="A19156" s="136"/>
      <c r="CM19156" s="111"/>
      <c r="CQ19156" s="111"/>
      <c r="EF19156"/>
      <c r="EG19156"/>
      <c r="EH19156"/>
      <c r="EI19156"/>
      <c r="EJ19156"/>
      <c r="EK19156"/>
    </row>
    <row r="19157" spans="1:141" s="116" customFormat="1">
      <c r="A19157" s="136"/>
      <c r="CM19157" s="111"/>
      <c r="CQ19157" s="111"/>
      <c r="EF19157"/>
      <c r="EG19157"/>
      <c r="EH19157"/>
      <c r="EI19157"/>
      <c r="EJ19157"/>
      <c r="EK19157"/>
    </row>
    <row r="19158" spans="1:141" s="116" customFormat="1">
      <c r="A19158" s="136"/>
      <c r="CM19158" s="111"/>
      <c r="CQ19158" s="111"/>
      <c r="EF19158"/>
      <c r="EG19158"/>
      <c r="EH19158"/>
      <c r="EI19158"/>
      <c r="EJ19158"/>
      <c r="EK19158"/>
    </row>
    <row r="19159" spans="1:141" s="116" customFormat="1">
      <c r="A19159" s="136"/>
      <c r="CM19159" s="111"/>
      <c r="CQ19159" s="111"/>
      <c r="EF19159"/>
      <c r="EG19159"/>
      <c r="EH19159"/>
      <c r="EI19159"/>
      <c r="EJ19159"/>
      <c r="EK19159"/>
    </row>
    <row r="19160" spans="1:141" s="116" customFormat="1">
      <c r="A19160" s="136"/>
      <c r="CM19160" s="111"/>
      <c r="CQ19160" s="111"/>
      <c r="EF19160"/>
      <c r="EG19160"/>
      <c r="EH19160"/>
      <c r="EI19160"/>
      <c r="EJ19160"/>
      <c r="EK19160"/>
    </row>
    <row r="19161" spans="1:141" s="116" customFormat="1">
      <c r="A19161" s="136"/>
      <c r="CM19161" s="111"/>
      <c r="CQ19161" s="111"/>
      <c r="EF19161"/>
      <c r="EG19161"/>
      <c r="EH19161"/>
      <c r="EI19161"/>
      <c r="EJ19161"/>
      <c r="EK19161"/>
    </row>
    <row r="19162" spans="1:141" s="116" customFormat="1">
      <c r="A19162" s="136"/>
      <c r="CM19162" s="111"/>
      <c r="CQ19162" s="111"/>
      <c r="EF19162"/>
      <c r="EG19162"/>
      <c r="EH19162"/>
      <c r="EI19162"/>
      <c r="EJ19162"/>
      <c r="EK19162"/>
    </row>
    <row r="19163" spans="1:141" s="116" customFormat="1">
      <c r="A19163" s="136"/>
      <c r="CM19163" s="111"/>
      <c r="CQ19163" s="111"/>
      <c r="EF19163"/>
      <c r="EG19163"/>
      <c r="EH19163"/>
      <c r="EI19163"/>
      <c r="EJ19163"/>
      <c r="EK19163"/>
    </row>
    <row r="19164" spans="1:141" s="116" customFormat="1">
      <c r="A19164" s="136"/>
      <c r="CM19164" s="111"/>
      <c r="CQ19164" s="111"/>
      <c r="EF19164"/>
      <c r="EG19164"/>
      <c r="EH19164"/>
      <c r="EI19164"/>
      <c r="EJ19164"/>
      <c r="EK19164"/>
    </row>
    <row r="19165" spans="1:141" s="116" customFormat="1">
      <c r="A19165" s="136"/>
      <c r="CM19165" s="111"/>
      <c r="CQ19165" s="111"/>
      <c r="EF19165"/>
      <c r="EG19165"/>
      <c r="EH19165"/>
      <c r="EI19165"/>
      <c r="EJ19165"/>
      <c r="EK19165"/>
    </row>
    <row r="19166" spans="1:141" s="116" customFormat="1">
      <c r="A19166" s="136"/>
      <c r="CM19166" s="111"/>
      <c r="CQ19166" s="111"/>
      <c r="EF19166"/>
      <c r="EG19166"/>
      <c r="EH19166"/>
      <c r="EI19166"/>
      <c r="EJ19166"/>
      <c r="EK19166"/>
    </row>
    <row r="19167" spans="1:141" s="116" customFormat="1">
      <c r="A19167" s="136"/>
      <c r="CM19167" s="111"/>
      <c r="CQ19167" s="111"/>
      <c r="EF19167"/>
      <c r="EG19167"/>
      <c r="EH19167"/>
      <c r="EI19167"/>
      <c r="EJ19167"/>
      <c r="EK19167"/>
    </row>
    <row r="19168" spans="1:141" s="116" customFormat="1">
      <c r="A19168" s="136"/>
      <c r="CM19168" s="111"/>
      <c r="CQ19168" s="111"/>
      <c r="EF19168"/>
      <c r="EG19168"/>
      <c r="EH19168"/>
      <c r="EI19168"/>
      <c r="EJ19168"/>
      <c r="EK19168"/>
    </row>
    <row r="19169" spans="1:141" s="116" customFormat="1">
      <c r="A19169" s="136"/>
      <c r="CM19169" s="111"/>
      <c r="CQ19169" s="111"/>
      <c r="EF19169"/>
      <c r="EG19169"/>
      <c r="EH19169"/>
      <c r="EI19169"/>
      <c r="EJ19169"/>
      <c r="EK19169"/>
    </row>
    <row r="19170" spans="1:141" s="116" customFormat="1">
      <c r="A19170" s="136"/>
      <c r="CM19170" s="111"/>
      <c r="CQ19170" s="111"/>
      <c r="EF19170"/>
      <c r="EG19170"/>
      <c r="EH19170"/>
      <c r="EI19170"/>
      <c r="EJ19170"/>
      <c r="EK19170"/>
    </row>
    <row r="19171" spans="1:141" s="116" customFormat="1">
      <c r="A19171" s="136"/>
      <c r="CM19171" s="111"/>
      <c r="CQ19171" s="111"/>
      <c r="EF19171"/>
      <c r="EG19171"/>
      <c r="EH19171"/>
      <c r="EI19171"/>
      <c r="EJ19171"/>
      <c r="EK19171"/>
    </row>
    <row r="19172" spans="1:141" s="116" customFormat="1">
      <c r="A19172" s="136"/>
      <c r="CM19172" s="111"/>
      <c r="CQ19172" s="111"/>
      <c r="EF19172"/>
      <c r="EG19172"/>
      <c r="EH19172"/>
      <c r="EI19172"/>
      <c r="EJ19172"/>
      <c r="EK19172"/>
    </row>
    <row r="19173" spans="1:141" s="116" customFormat="1">
      <c r="A19173" s="136"/>
      <c r="CM19173" s="111"/>
      <c r="CQ19173" s="111"/>
      <c r="EF19173"/>
      <c r="EG19173"/>
      <c r="EH19173"/>
      <c r="EI19173"/>
      <c r="EJ19173"/>
      <c r="EK19173"/>
    </row>
    <row r="19174" spans="1:141" s="116" customFormat="1">
      <c r="A19174" s="136"/>
      <c r="CM19174" s="111"/>
      <c r="CQ19174" s="111"/>
      <c r="EF19174"/>
      <c r="EG19174"/>
      <c r="EH19174"/>
      <c r="EI19174"/>
      <c r="EJ19174"/>
      <c r="EK19174"/>
    </row>
    <row r="19175" spans="1:141" s="116" customFormat="1">
      <c r="A19175" s="136"/>
      <c r="CM19175" s="111"/>
      <c r="CQ19175" s="111"/>
      <c r="EF19175"/>
      <c r="EG19175"/>
      <c r="EH19175"/>
      <c r="EI19175"/>
      <c r="EJ19175"/>
      <c r="EK19175"/>
    </row>
    <row r="19176" spans="1:141" s="116" customFormat="1">
      <c r="A19176" s="136"/>
      <c r="CM19176" s="111"/>
      <c r="CQ19176" s="111"/>
      <c r="EF19176"/>
      <c r="EG19176"/>
      <c r="EH19176"/>
      <c r="EI19176"/>
      <c r="EJ19176"/>
      <c r="EK19176"/>
    </row>
    <row r="19177" spans="1:141" s="116" customFormat="1">
      <c r="A19177" s="136"/>
      <c r="CM19177" s="111"/>
      <c r="CQ19177" s="111"/>
      <c r="EF19177"/>
      <c r="EG19177"/>
      <c r="EH19177"/>
      <c r="EI19177"/>
      <c r="EJ19177"/>
      <c r="EK19177"/>
    </row>
    <row r="19178" spans="1:141" s="116" customFormat="1">
      <c r="A19178" s="136"/>
      <c r="CM19178" s="111"/>
      <c r="CQ19178" s="111"/>
      <c r="EF19178"/>
      <c r="EG19178"/>
      <c r="EH19178"/>
      <c r="EI19178"/>
      <c r="EJ19178"/>
      <c r="EK19178"/>
    </row>
    <row r="19179" spans="1:141" s="116" customFormat="1">
      <c r="A19179" s="136"/>
      <c r="CM19179" s="111"/>
      <c r="CQ19179" s="111"/>
      <c r="EF19179"/>
      <c r="EG19179"/>
      <c r="EH19179"/>
      <c r="EI19179"/>
      <c r="EJ19179"/>
      <c r="EK19179"/>
    </row>
    <row r="19180" spans="1:141" s="116" customFormat="1">
      <c r="A19180" s="136"/>
      <c r="CM19180" s="111"/>
      <c r="CQ19180" s="111"/>
      <c r="EF19180"/>
      <c r="EG19180"/>
      <c r="EH19180"/>
      <c r="EI19180"/>
      <c r="EJ19180"/>
      <c r="EK19180"/>
    </row>
    <row r="19181" spans="1:141" s="116" customFormat="1">
      <c r="A19181" s="136"/>
      <c r="CM19181" s="111"/>
      <c r="CQ19181" s="111"/>
      <c r="EF19181"/>
      <c r="EG19181"/>
      <c r="EH19181"/>
      <c r="EI19181"/>
      <c r="EJ19181"/>
      <c r="EK19181"/>
    </row>
    <row r="19182" spans="1:141" s="116" customFormat="1">
      <c r="A19182" s="136"/>
      <c r="CM19182" s="111"/>
      <c r="CQ19182" s="111"/>
      <c r="EF19182"/>
      <c r="EG19182"/>
      <c r="EH19182"/>
      <c r="EI19182"/>
      <c r="EJ19182"/>
      <c r="EK19182"/>
    </row>
    <row r="19183" spans="1:141" s="116" customFormat="1">
      <c r="A19183" s="136"/>
      <c r="CM19183" s="111"/>
      <c r="CQ19183" s="111"/>
      <c r="EF19183"/>
      <c r="EG19183"/>
      <c r="EH19183"/>
      <c r="EI19183"/>
      <c r="EJ19183"/>
      <c r="EK19183"/>
    </row>
    <row r="19184" spans="1:141" s="116" customFormat="1">
      <c r="A19184" s="136"/>
      <c r="CM19184" s="111"/>
      <c r="CQ19184" s="111"/>
      <c r="EF19184"/>
      <c r="EG19184"/>
      <c r="EH19184"/>
      <c r="EI19184"/>
      <c r="EJ19184"/>
      <c r="EK19184"/>
    </row>
    <row r="19185" spans="1:141" s="116" customFormat="1">
      <c r="A19185" s="136"/>
      <c r="CM19185" s="111"/>
      <c r="CQ19185" s="111"/>
      <c r="EF19185"/>
      <c r="EG19185"/>
      <c r="EH19185"/>
      <c r="EI19185"/>
      <c r="EJ19185"/>
      <c r="EK19185"/>
    </row>
    <row r="19186" spans="1:141" s="116" customFormat="1">
      <c r="A19186" s="136"/>
      <c r="CM19186" s="111"/>
      <c r="CQ19186" s="111"/>
      <c r="EF19186"/>
      <c r="EG19186"/>
      <c r="EH19186"/>
      <c r="EI19186"/>
      <c r="EJ19186"/>
      <c r="EK19186"/>
    </row>
    <row r="19187" spans="1:141" s="116" customFormat="1">
      <c r="A19187" s="136"/>
      <c r="CM19187" s="111"/>
      <c r="CQ19187" s="111"/>
      <c r="EF19187"/>
      <c r="EG19187"/>
      <c r="EH19187"/>
      <c r="EI19187"/>
      <c r="EJ19187"/>
      <c r="EK19187"/>
    </row>
    <row r="19188" spans="1:141" s="116" customFormat="1">
      <c r="A19188" s="136"/>
      <c r="CM19188" s="111"/>
      <c r="CQ19188" s="111"/>
      <c r="EF19188"/>
      <c r="EG19188"/>
      <c r="EH19188"/>
      <c r="EI19188"/>
      <c r="EJ19188"/>
      <c r="EK19188"/>
    </row>
    <row r="19189" spans="1:141" s="116" customFormat="1">
      <c r="A19189" s="136"/>
      <c r="CM19189" s="111"/>
      <c r="CQ19189" s="111"/>
      <c r="EF19189"/>
      <c r="EG19189"/>
      <c r="EH19189"/>
      <c r="EI19189"/>
      <c r="EJ19189"/>
      <c r="EK19189"/>
    </row>
    <row r="19190" spans="1:141" s="116" customFormat="1">
      <c r="A19190" s="136"/>
      <c r="CM19190" s="111"/>
      <c r="CQ19190" s="111"/>
      <c r="EF19190"/>
      <c r="EG19190"/>
      <c r="EH19190"/>
      <c r="EI19190"/>
      <c r="EJ19190"/>
      <c r="EK19190"/>
    </row>
    <row r="19191" spans="1:141" s="116" customFormat="1">
      <c r="A19191" s="136"/>
      <c r="CM19191" s="111"/>
      <c r="CQ19191" s="111"/>
      <c r="EF19191"/>
      <c r="EG19191"/>
      <c r="EH19191"/>
      <c r="EI19191"/>
      <c r="EJ19191"/>
      <c r="EK19191"/>
    </row>
    <row r="19192" spans="1:141" s="116" customFormat="1">
      <c r="A19192" s="136"/>
      <c r="CM19192" s="111"/>
      <c r="CQ19192" s="111"/>
      <c r="EF19192"/>
      <c r="EG19192"/>
      <c r="EH19192"/>
      <c r="EI19192"/>
      <c r="EJ19192"/>
      <c r="EK19192"/>
    </row>
    <row r="19193" spans="1:141" s="116" customFormat="1">
      <c r="A19193" s="136"/>
      <c r="CM19193" s="111"/>
      <c r="CQ19193" s="111"/>
      <c r="EF19193"/>
      <c r="EG19193"/>
      <c r="EH19193"/>
      <c r="EI19193"/>
      <c r="EJ19193"/>
      <c r="EK19193"/>
    </row>
    <row r="19194" spans="1:141" s="116" customFormat="1">
      <c r="A19194" s="136"/>
      <c r="CM19194" s="111"/>
      <c r="CQ19194" s="111"/>
      <c r="EF19194"/>
      <c r="EG19194"/>
      <c r="EH19194"/>
      <c r="EI19194"/>
      <c r="EJ19194"/>
      <c r="EK19194"/>
    </row>
    <row r="19195" spans="1:141" s="116" customFormat="1">
      <c r="A19195" s="136"/>
      <c r="CM19195" s="111"/>
      <c r="CQ19195" s="111"/>
      <c r="EF19195"/>
      <c r="EG19195"/>
      <c r="EH19195"/>
      <c r="EI19195"/>
      <c r="EJ19195"/>
      <c r="EK19195"/>
    </row>
    <row r="19196" spans="1:141" s="116" customFormat="1">
      <c r="A19196" s="136"/>
      <c r="CM19196" s="111"/>
      <c r="CQ19196" s="111"/>
      <c r="EF19196"/>
      <c r="EG19196"/>
      <c r="EH19196"/>
      <c r="EI19196"/>
      <c r="EJ19196"/>
      <c r="EK19196"/>
    </row>
    <row r="19197" spans="1:141" s="116" customFormat="1">
      <c r="A19197" s="136"/>
      <c r="CM19197" s="111"/>
      <c r="CQ19197" s="111"/>
      <c r="EF19197"/>
      <c r="EG19197"/>
      <c r="EH19197"/>
      <c r="EI19197"/>
      <c r="EJ19197"/>
      <c r="EK19197"/>
    </row>
    <row r="19198" spans="1:141" s="116" customFormat="1">
      <c r="A19198" s="136"/>
      <c r="CM19198" s="111"/>
      <c r="CQ19198" s="111"/>
      <c r="EF19198"/>
      <c r="EG19198"/>
      <c r="EH19198"/>
      <c r="EI19198"/>
      <c r="EJ19198"/>
      <c r="EK19198"/>
    </row>
    <row r="19199" spans="1:141" s="116" customFormat="1">
      <c r="A19199" s="136"/>
      <c r="CM19199" s="111"/>
      <c r="CQ19199" s="111"/>
      <c r="EF19199"/>
      <c r="EG19199"/>
      <c r="EH19199"/>
      <c r="EI19199"/>
      <c r="EJ19199"/>
      <c r="EK19199"/>
    </row>
    <row r="19200" spans="1:141" s="116" customFormat="1">
      <c r="A19200" s="136"/>
      <c r="CM19200" s="111"/>
      <c r="CQ19200" s="111"/>
      <c r="EF19200"/>
      <c r="EG19200"/>
      <c r="EH19200"/>
      <c r="EI19200"/>
      <c r="EJ19200"/>
      <c r="EK19200"/>
    </row>
    <row r="19201" spans="1:141" s="116" customFormat="1">
      <c r="A19201" s="136"/>
      <c r="CM19201" s="111"/>
      <c r="CQ19201" s="111"/>
      <c r="EF19201"/>
      <c r="EG19201"/>
      <c r="EH19201"/>
      <c r="EI19201"/>
      <c r="EJ19201"/>
      <c r="EK19201"/>
    </row>
    <row r="19202" spans="1:141" s="116" customFormat="1">
      <c r="A19202" s="136"/>
      <c r="CM19202" s="111"/>
      <c r="CQ19202" s="111"/>
      <c r="EF19202"/>
      <c r="EG19202"/>
      <c r="EH19202"/>
      <c r="EI19202"/>
      <c r="EJ19202"/>
      <c r="EK19202"/>
    </row>
    <row r="19203" spans="1:141" s="116" customFormat="1">
      <c r="A19203" s="136"/>
      <c r="CM19203" s="111"/>
      <c r="CQ19203" s="111"/>
      <c r="EF19203"/>
      <c r="EG19203"/>
      <c r="EH19203"/>
      <c r="EI19203"/>
      <c r="EJ19203"/>
      <c r="EK19203"/>
    </row>
    <row r="19204" spans="1:141" s="116" customFormat="1">
      <c r="A19204" s="136"/>
      <c r="CM19204" s="111"/>
      <c r="CQ19204" s="111"/>
      <c r="EF19204"/>
      <c r="EG19204"/>
      <c r="EH19204"/>
      <c r="EI19204"/>
      <c r="EJ19204"/>
      <c r="EK19204"/>
    </row>
    <row r="19205" spans="1:141" s="116" customFormat="1">
      <c r="A19205" s="136"/>
      <c r="CM19205" s="111"/>
      <c r="CQ19205" s="111"/>
      <c r="EF19205"/>
      <c r="EG19205"/>
      <c r="EH19205"/>
      <c r="EI19205"/>
      <c r="EJ19205"/>
      <c r="EK19205"/>
    </row>
    <row r="19206" spans="1:141" s="116" customFormat="1">
      <c r="A19206" s="136"/>
      <c r="CM19206" s="111"/>
      <c r="CQ19206" s="111"/>
      <c r="EF19206"/>
      <c r="EG19206"/>
      <c r="EH19206"/>
      <c r="EI19206"/>
      <c r="EJ19206"/>
      <c r="EK19206"/>
    </row>
    <row r="19207" spans="1:141" s="116" customFormat="1">
      <c r="A19207" s="136"/>
      <c r="CM19207" s="111"/>
      <c r="CQ19207" s="111"/>
      <c r="EF19207"/>
      <c r="EG19207"/>
      <c r="EH19207"/>
      <c r="EI19207"/>
      <c r="EJ19207"/>
      <c r="EK19207"/>
    </row>
    <row r="19208" spans="1:141" s="116" customFormat="1">
      <c r="A19208" s="136"/>
      <c r="CM19208" s="111"/>
      <c r="CQ19208" s="111"/>
      <c r="EF19208"/>
      <c r="EG19208"/>
      <c r="EH19208"/>
      <c r="EI19208"/>
      <c r="EJ19208"/>
      <c r="EK19208"/>
    </row>
    <row r="19209" spans="1:141" s="116" customFormat="1">
      <c r="A19209" s="136"/>
      <c r="CM19209" s="111"/>
      <c r="CQ19209" s="111"/>
      <c r="EF19209"/>
      <c r="EG19209"/>
      <c r="EH19209"/>
      <c r="EI19209"/>
      <c r="EJ19209"/>
      <c r="EK19209"/>
    </row>
    <row r="19210" spans="1:141" s="116" customFormat="1">
      <c r="A19210" s="136"/>
      <c r="CM19210" s="111"/>
      <c r="CQ19210" s="111"/>
      <c r="EF19210"/>
      <c r="EG19210"/>
      <c r="EH19210"/>
      <c r="EI19210"/>
      <c r="EJ19210"/>
      <c r="EK19210"/>
    </row>
    <row r="19211" spans="1:141" s="116" customFormat="1">
      <c r="A19211" s="136"/>
      <c r="CM19211" s="111"/>
      <c r="CQ19211" s="111"/>
      <c r="EF19211"/>
      <c r="EG19211"/>
      <c r="EH19211"/>
      <c r="EI19211"/>
      <c r="EJ19211"/>
      <c r="EK19211"/>
    </row>
    <row r="19212" spans="1:141" s="116" customFormat="1">
      <c r="A19212" s="136"/>
      <c r="CM19212" s="111"/>
      <c r="CQ19212" s="111"/>
      <c r="EF19212"/>
      <c r="EG19212"/>
      <c r="EH19212"/>
      <c r="EI19212"/>
      <c r="EJ19212"/>
      <c r="EK19212"/>
    </row>
    <row r="19213" spans="1:141" s="116" customFormat="1">
      <c r="A19213" s="136"/>
      <c r="CM19213" s="111"/>
      <c r="CQ19213" s="111"/>
      <c r="EF19213"/>
      <c r="EG19213"/>
      <c r="EH19213"/>
      <c r="EI19213"/>
      <c r="EJ19213"/>
      <c r="EK19213"/>
    </row>
    <row r="19214" spans="1:141" s="116" customFormat="1">
      <c r="A19214" s="136"/>
      <c r="CM19214" s="111"/>
      <c r="CQ19214" s="111"/>
      <c r="EF19214"/>
      <c r="EG19214"/>
      <c r="EH19214"/>
      <c r="EI19214"/>
      <c r="EJ19214"/>
      <c r="EK19214"/>
    </row>
    <row r="19215" spans="1:141" s="116" customFormat="1">
      <c r="A19215" s="136"/>
      <c r="CM19215" s="111"/>
      <c r="CQ19215" s="111"/>
      <c r="EF19215"/>
      <c r="EG19215"/>
      <c r="EH19215"/>
      <c r="EI19215"/>
      <c r="EJ19215"/>
      <c r="EK19215"/>
    </row>
    <row r="19216" spans="1:141" s="116" customFormat="1">
      <c r="A19216" s="136"/>
      <c r="CM19216" s="111"/>
      <c r="CQ19216" s="111"/>
      <c r="EF19216"/>
      <c r="EG19216"/>
      <c r="EH19216"/>
      <c r="EI19216"/>
      <c r="EJ19216"/>
      <c r="EK19216"/>
    </row>
    <row r="19217" spans="1:141" s="116" customFormat="1">
      <c r="A19217" s="136"/>
      <c r="CM19217" s="111"/>
      <c r="CQ19217" s="111"/>
      <c r="EF19217"/>
      <c r="EG19217"/>
      <c r="EH19217"/>
      <c r="EI19217"/>
      <c r="EJ19217"/>
      <c r="EK19217"/>
    </row>
    <row r="19218" spans="1:141" s="116" customFormat="1">
      <c r="A19218" s="136"/>
      <c r="CM19218" s="111"/>
      <c r="CQ19218" s="111"/>
      <c r="EF19218"/>
      <c r="EG19218"/>
      <c r="EH19218"/>
      <c r="EI19218"/>
      <c r="EJ19218"/>
      <c r="EK19218"/>
    </row>
    <row r="19219" spans="1:141" s="116" customFormat="1">
      <c r="A19219" s="136"/>
      <c r="CM19219" s="111"/>
      <c r="CQ19219" s="111"/>
      <c r="EF19219"/>
      <c r="EG19219"/>
      <c r="EH19219"/>
      <c r="EI19219"/>
      <c r="EJ19219"/>
      <c r="EK19219"/>
    </row>
    <row r="19220" spans="1:141" s="116" customFormat="1">
      <c r="A19220" s="136"/>
      <c r="CM19220" s="111"/>
      <c r="CQ19220" s="111"/>
      <c r="EF19220"/>
      <c r="EG19220"/>
      <c r="EH19220"/>
      <c r="EI19220"/>
      <c r="EJ19220"/>
      <c r="EK19220"/>
    </row>
    <row r="19221" spans="1:141" s="116" customFormat="1">
      <c r="A19221" s="136"/>
      <c r="CM19221" s="111"/>
      <c r="CQ19221" s="111"/>
      <c r="EF19221"/>
      <c r="EG19221"/>
      <c r="EH19221"/>
      <c r="EI19221"/>
      <c r="EJ19221"/>
      <c r="EK19221"/>
    </row>
    <row r="19222" spans="1:141" s="116" customFormat="1">
      <c r="A19222" s="136"/>
      <c r="CM19222" s="111"/>
      <c r="CQ19222" s="111"/>
      <c r="EF19222"/>
      <c r="EG19222"/>
      <c r="EH19222"/>
      <c r="EI19222"/>
      <c r="EJ19222"/>
      <c r="EK19222"/>
    </row>
    <row r="19223" spans="1:141" s="116" customFormat="1">
      <c r="A19223" s="136"/>
      <c r="CM19223" s="111"/>
      <c r="CQ19223" s="111"/>
      <c r="EF19223"/>
      <c r="EG19223"/>
      <c r="EH19223"/>
      <c r="EI19223"/>
      <c r="EJ19223"/>
      <c r="EK19223"/>
    </row>
    <row r="19224" spans="1:141" s="116" customFormat="1">
      <c r="A19224" s="136"/>
      <c r="CM19224" s="111"/>
      <c r="CQ19224" s="111"/>
      <c r="EF19224"/>
      <c r="EG19224"/>
      <c r="EH19224"/>
      <c r="EI19224"/>
      <c r="EJ19224"/>
      <c r="EK19224"/>
    </row>
    <row r="19225" spans="1:141" s="116" customFormat="1">
      <c r="A19225" s="136"/>
      <c r="CM19225" s="111"/>
      <c r="CQ19225" s="111"/>
      <c r="EF19225"/>
      <c r="EG19225"/>
      <c r="EH19225"/>
      <c r="EI19225"/>
      <c r="EJ19225"/>
      <c r="EK19225"/>
    </row>
    <row r="19226" spans="1:141" s="116" customFormat="1">
      <c r="A19226" s="136"/>
      <c r="CM19226" s="111"/>
      <c r="CQ19226" s="111"/>
      <c r="EF19226"/>
      <c r="EG19226"/>
      <c r="EH19226"/>
      <c r="EI19226"/>
      <c r="EJ19226"/>
      <c r="EK19226"/>
    </row>
    <row r="19227" spans="1:141" s="116" customFormat="1">
      <c r="A19227" s="136"/>
      <c r="CM19227" s="111"/>
      <c r="CQ19227" s="111"/>
      <c r="EF19227"/>
      <c r="EG19227"/>
      <c r="EH19227"/>
      <c r="EI19227"/>
      <c r="EJ19227"/>
      <c r="EK19227"/>
    </row>
    <row r="19228" spans="1:141" s="116" customFormat="1">
      <c r="A19228" s="136"/>
      <c r="CM19228" s="111"/>
      <c r="CQ19228" s="111"/>
      <c r="EF19228"/>
      <c r="EG19228"/>
      <c r="EH19228"/>
      <c r="EI19228"/>
      <c r="EJ19228"/>
      <c r="EK19228"/>
    </row>
    <row r="19229" spans="1:141" s="116" customFormat="1">
      <c r="A19229" s="136"/>
      <c r="CM19229" s="111"/>
      <c r="CQ19229" s="111"/>
      <c r="EF19229"/>
      <c r="EG19229"/>
      <c r="EH19229"/>
      <c r="EI19229"/>
      <c r="EJ19229"/>
      <c r="EK19229"/>
    </row>
    <row r="19230" spans="1:141" s="116" customFormat="1">
      <c r="A19230" s="136"/>
      <c r="CM19230" s="111"/>
      <c r="CQ19230" s="111"/>
      <c r="EF19230"/>
      <c r="EG19230"/>
      <c r="EH19230"/>
      <c r="EI19230"/>
      <c r="EJ19230"/>
      <c r="EK19230"/>
    </row>
    <row r="19231" spans="1:141" s="116" customFormat="1">
      <c r="A19231" s="136"/>
      <c r="CM19231" s="111"/>
      <c r="CQ19231" s="111"/>
      <c r="EF19231"/>
      <c r="EG19231"/>
      <c r="EH19231"/>
      <c r="EI19231"/>
      <c r="EJ19231"/>
      <c r="EK19231"/>
    </row>
    <row r="19232" spans="1:141" s="116" customFormat="1">
      <c r="A19232" s="136"/>
      <c r="CM19232" s="111"/>
      <c r="CQ19232" s="111"/>
      <c r="EF19232"/>
      <c r="EG19232"/>
      <c r="EH19232"/>
      <c r="EI19232"/>
      <c r="EJ19232"/>
      <c r="EK19232"/>
    </row>
    <row r="19233" spans="1:141" s="116" customFormat="1">
      <c r="A19233" s="136"/>
      <c r="CM19233" s="111"/>
      <c r="CQ19233" s="111"/>
      <c r="EF19233"/>
      <c r="EG19233"/>
      <c r="EH19233"/>
      <c r="EI19233"/>
      <c r="EJ19233"/>
      <c r="EK19233"/>
    </row>
    <row r="19234" spans="1:141" s="116" customFormat="1">
      <c r="A19234" s="136"/>
      <c r="CM19234" s="111"/>
      <c r="CQ19234" s="111"/>
      <c r="EF19234"/>
      <c r="EG19234"/>
      <c r="EH19234"/>
      <c r="EI19234"/>
      <c r="EJ19234"/>
      <c r="EK19234"/>
    </row>
    <row r="19235" spans="1:141" s="116" customFormat="1">
      <c r="A19235" s="136"/>
      <c r="CM19235" s="111"/>
      <c r="CQ19235" s="111"/>
      <c r="EF19235"/>
      <c r="EG19235"/>
      <c r="EH19235"/>
      <c r="EI19235"/>
      <c r="EJ19235"/>
      <c r="EK19235"/>
    </row>
    <row r="19236" spans="1:141" s="116" customFormat="1">
      <c r="A19236" s="136"/>
      <c r="CM19236" s="111"/>
      <c r="CQ19236" s="111"/>
      <c r="EF19236"/>
      <c r="EG19236"/>
      <c r="EH19236"/>
      <c r="EI19236"/>
      <c r="EJ19236"/>
      <c r="EK19236"/>
    </row>
    <row r="19237" spans="1:141" s="116" customFormat="1">
      <c r="A19237" s="136"/>
      <c r="CM19237" s="111"/>
      <c r="CQ19237" s="111"/>
      <c r="EF19237"/>
      <c r="EG19237"/>
      <c r="EH19237"/>
      <c r="EI19237"/>
      <c r="EJ19237"/>
      <c r="EK19237"/>
    </row>
    <row r="19238" spans="1:141" s="116" customFormat="1">
      <c r="A19238" s="136"/>
      <c r="CM19238" s="111"/>
      <c r="CQ19238" s="111"/>
      <c r="EF19238"/>
      <c r="EG19238"/>
      <c r="EH19238"/>
      <c r="EI19238"/>
      <c r="EJ19238"/>
      <c r="EK19238"/>
    </row>
    <row r="19239" spans="1:141" s="116" customFormat="1">
      <c r="A19239" s="136"/>
      <c r="CM19239" s="111"/>
      <c r="CQ19239" s="111"/>
      <c r="EF19239"/>
      <c r="EG19239"/>
      <c r="EH19239"/>
      <c r="EI19239"/>
      <c r="EJ19239"/>
      <c r="EK19239"/>
    </row>
    <row r="19240" spans="1:141" s="116" customFormat="1">
      <c r="A19240" s="136"/>
      <c r="CM19240" s="111"/>
      <c r="CQ19240" s="111"/>
      <c r="EF19240"/>
      <c r="EG19240"/>
      <c r="EH19240"/>
      <c r="EI19240"/>
      <c r="EJ19240"/>
      <c r="EK19240"/>
    </row>
    <row r="19241" spans="1:141" s="116" customFormat="1">
      <c r="A19241" s="136"/>
      <c r="CM19241" s="111"/>
      <c r="CQ19241" s="111"/>
      <c r="EF19241"/>
      <c r="EG19241"/>
      <c r="EH19241"/>
      <c r="EI19241"/>
      <c r="EJ19241"/>
      <c r="EK19241"/>
    </row>
    <row r="19242" spans="1:141" s="116" customFormat="1">
      <c r="A19242" s="136"/>
      <c r="CM19242" s="111"/>
      <c r="CQ19242" s="111"/>
      <c r="EF19242"/>
      <c r="EG19242"/>
      <c r="EH19242"/>
      <c r="EI19242"/>
      <c r="EJ19242"/>
      <c r="EK19242"/>
    </row>
    <row r="19243" spans="1:141" s="116" customFormat="1">
      <c r="A19243" s="136"/>
      <c r="CM19243" s="111"/>
      <c r="CQ19243" s="111"/>
      <c r="EF19243"/>
      <c r="EG19243"/>
      <c r="EH19243"/>
      <c r="EI19243"/>
      <c r="EJ19243"/>
      <c r="EK19243"/>
    </row>
    <row r="19244" spans="1:141" s="116" customFormat="1">
      <c r="A19244" s="136"/>
      <c r="CM19244" s="111"/>
      <c r="CQ19244" s="111"/>
      <c r="EF19244"/>
      <c r="EG19244"/>
      <c r="EH19244"/>
      <c r="EI19244"/>
      <c r="EJ19244"/>
      <c r="EK19244"/>
    </row>
    <row r="19245" spans="1:141" s="116" customFormat="1">
      <c r="A19245" s="136"/>
      <c r="CM19245" s="111"/>
      <c r="CQ19245" s="111"/>
      <c r="EF19245"/>
      <c r="EG19245"/>
      <c r="EH19245"/>
      <c r="EI19245"/>
      <c r="EJ19245"/>
      <c r="EK19245"/>
    </row>
    <row r="19246" spans="1:141" s="116" customFormat="1">
      <c r="A19246" s="136"/>
      <c r="CM19246" s="111"/>
      <c r="CQ19246" s="111"/>
      <c r="EF19246"/>
      <c r="EG19246"/>
      <c r="EH19246"/>
      <c r="EI19246"/>
      <c r="EJ19246"/>
      <c r="EK19246"/>
    </row>
    <row r="19247" spans="1:141" s="116" customFormat="1">
      <c r="A19247" s="136"/>
      <c r="CM19247" s="111"/>
      <c r="CQ19247" s="111"/>
      <c r="EF19247"/>
      <c r="EG19247"/>
      <c r="EH19247"/>
      <c r="EI19247"/>
      <c r="EJ19247"/>
      <c r="EK19247"/>
    </row>
    <row r="19248" spans="1:141" s="116" customFormat="1">
      <c r="A19248" s="136"/>
      <c r="CM19248" s="111"/>
      <c r="CQ19248" s="111"/>
      <c r="EF19248"/>
      <c r="EG19248"/>
      <c r="EH19248"/>
      <c r="EI19248"/>
      <c r="EJ19248"/>
      <c r="EK19248"/>
    </row>
    <row r="19249" spans="1:141" s="116" customFormat="1">
      <c r="A19249" s="136"/>
      <c r="CM19249" s="111"/>
      <c r="CQ19249" s="111"/>
      <c r="EF19249"/>
      <c r="EG19249"/>
      <c r="EH19249"/>
      <c r="EI19249"/>
      <c r="EJ19249"/>
      <c r="EK19249"/>
    </row>
    <row r="19250" spans="1:141" s="116" customFormat="1">
      <c r="A19250" s="136"/>
      <c r="CM19250" s="111"/>
      <c r="CQ19250" s="111"/>
      <c r="EF19250"/>
      <c r="EG19250"/>
      <c r="EH19250"/>
      <c r="EI19250"/>
      <c r="EJ19250"/>
      <c r="EK19250"/>
    </row>
    <row r="19251" spans="1:141" s="116" customFormat="1">
      <c r="A19251" s="136"/>
      <c r="CM19251" s="111"/>
      <c r="CQ19251" s="111"/>
      <c r="EF19251"/>
      <c r="EG19251"/>
      <c r="EH19251"/>
      <c r="EI19251"/>
      <c r="EJ19251"/>
      <c r="EK19251"/>
    </row>
    <row r="19252" spans="1:141" s="116" customFormat="1">
      <c r="A19252" s="136"/>
      <c r="CM19252" s="111"/>
      <c r="CQ19252" s="111"/>
      <c r="EF19252"/>
      <c r="EG19252"/>
      <c r="EH19252"/>
      <c r="EI19252"/>
      <c r="EJ19252"/>
      <c r="EK19252"/>
    </row>
    <row r="19253" spans="1:141" s="116" customFormat="1">
      <c r="A19253" s="136"/>
      <c r="CM19253" s="111"/>
      <c r="CQ19253" s="111"/>
      <c r="EF19253"/>
      <c r="EG19253"/>
      <c r="EH19253"/>
      <c r="EI19253"/>
      <c r="EJ19253"/>
      <c r="EK19253"/>
    </row>
    <row r="19254" spans="1:141" s="116" customFormat="1">
      <c r="A19254" s="136"/>
      <c r="CM19254" s="111"/>
      <c r="CQ19254" s="111"/>
      <c r="EF19254"/>
      <c r="EG19254"/>
      <c r="EH19254"/>
      <c r="EI19254"/>
      <c r="EJ19254"/>
      <c r="EK19254"/>
    </row>
    <row r="19255" spans="1:141" s="116" customFormat="1">
      <c r="A19255" s="136"/>
      <c r="CM19255" s="111"/>
      <c r="CQ19255" s="111"/>
      <c r="EF19255"/>
      <c r="EG19255"/>
      <c r="EH19255"/>
      <c r="EI19255"/>
      <c r="EJ19255"/>
      <c r="EK19255"/>
    </row>
    <row r="19256" spans="1:141" s="116" customFormat="1">
      <c r="A19256" s="136"/>
      <c r="CM19256" s="111"/>
      <c r="CQ19256" s="111"/>
      <c r="EF19256"/>
      <c r="EG19256"/>
      <c r="EH19256"/>
      <c r="EI19256"/>
      <c r="EJ19256"/>
      <c r="EK19256"/>
    </row>
    <row r="19257" spans="1:141" s="116" customFormat="1">
      <c r="A19257" s="136"/>
      <c r="CM19257" s="111"/>
      <c r="CQ19257" s="111"/>
      <c r="EF19257"/>
      <c r="EG19257"/>
      <c r="EH19257"/>
      <c r="EI19257"/>
      <c r="EJ19257"/>
      <c r="EK19257"/>
    </row>
    <row r="19258" spans="1:141" s="116" customFormat="1">
      <c r="A19258" s="136"/>
      <c r="CM19258" s="111"/>
      <c r="CQ19258" s="111"/>
      <c r="EF19258"/>
      <c r="EG19258"/>
      <c r="EH19258"/>
      <c r="EI19258"/>
      <c r="EJ19258"/>
      <c r="EK19258"/>
    </row>
    <row r="19259" spans="1:141" s="116" customFormat="1">
      <c r="A19259" s="136"/>
      <c r="CM19259" s="111"/>
      <c r="CQ19259" s="111"/>
      <c r="EF19259"/>
      <c r="EG19259"/>
      <c r="EH19259"/>
      <c r="EI19259"/>
      <c r="EJ19259"/>
      <c r="EK19259"/>
    </row>
    <row r="19260" spans="1:141" s="116" customFormat="1">
      <c r="A19260" s="136"/>
      <c r="CM19260" s="111"/>
      <c r="CQ19260" s="111"/>
      <c r="EF19260"/>
      <c r="EG19260"/>
      <c r="EH19260"/>
      <c r="EI19260"/>
      <c r="EJ19260"/>
      <c r="EK19260"/>
    </row>
    <row r="19261" spans="1:141" s="116" customFormat="1">
      <c r="A19261" s="136"/>
      <c r="CM19261" s="111"/>
      <c r="CQ19261" s="111"/>
      <c r="EF19261"/>
      <c r="EG19261"/>
      <c r="EH19261"/>
      <c r="EI19261"/>
      <c r="EJ19261"/>
      <c r="EK19261"/>
    </row>
    <row r="19262" spans="1:141" s="116" customFormat="1">
      <c r="A19262" s="136"/>
      <c r="CM19262" s="111"/>
      <c r="CQ19262" s="111"/>
      <c r="EF19262"/>
      <c r="EG19262"/>
      <c r="EH19262"/>
      <c r="EI19262"/>
      <c r="EJ19262"/>
      <c r="EK19262"/>
    </row>
    <row r="19263" spans="1:141" s="116" customFormat="1">
      <c r="A19263" s="136"/>
      <c r="CM19263" s="111"/>
      <c r="CQ19263" s="111"/>
      <c r="EF19263"/>
      <c r="EG19263"/>
      <c r="EH19263"/>
      <c r="EI19263"/>
      <c r="EJ19263"/>
      <c r="EK19263"/>
    </row>
    <row r="19264" spans="1:141" s="116" customFormat="1">
      <c r="A19264" s="136"/>
      <c r="CM19264" s="111"/>
      <c r="CQ19264" s="111"/>
      <c r="EF19264"/>
      <c r="EG19264"/>
      <c r="EH19264"/>
      <c r="EI19264"/>
      <c r="EJ19264"/>
      <c r="EK19264"/>
    </row>
    <row r="19265" spans="1:141" s="116" customFormat="1">
      <c r="A19265" s="136"/>
      <c r="CM19265" s="111"/>
      <c r="CQ19265" s="111"/>
      <c r="EF19265"/>
      <c r="EG19265"/>
      <c r="EH19265"/>
      <c r="EI19265"/>
      <c r="EJ19265"/>
      <c r="EK19265"/>
    </row>
    <row r="19266" spans="1:141" s="116" customFormat="1">
      <c r="A19266" s="136"/>
      <c r="CM19266" s="111"/>
      <c r="CQ19266" s="111"/>
      <c r="EF19266"/>
      <c r="EG19266"/>
      <c r="EH19266"/>
      <c r="EI19266"/>
      <c r="EJ19266"/>
      <c r="EK19266"/>
    </row>
    <row r="19267" spans="1:141" s="116" customFormat="1">
      <c r="A19267" s="136"/>
      <c r="CM19267" s="111"/>
      <c r="CQ19267" s="111"/>
      <c r="EF19267"/>
      <c r="EG19267"/>
      <c r="EH19267"/>
      <c r="EI19267"/>
      <c r="EJ19267"/>
      <c r="EK19267"/>
    </row>
    <row r="19268" spans="1:141" s="116" customFormat="1">
      <c r="A19268" s="136"/>
      <c r="CM19268" s="111"/>
      <c r="CQ19268" s="111"/>
      <c r="EF19268"/>
      <c r="EG19268"/>
      <c r="EH19268"/>
      <c r="EI19268"/>
      <c r="EJ19268"/>
      <c r="EK19268"/>
    </row>
    <row r="19269" spans="1:141" s="116" customFormat="1">
      <c r="A19269" s="136"/>
      <c r="CM19269" s="111"/>
      <c r="CQ19269" s="111"/>
      <c r="EF19269"/>
      <c r="EG19269"/>
      <c r="EH19269"/>
      <c r="EI19269"/>
      <c r="EJ19269"/>
      <c r="EK19269"/>
    </row>
    <row r="19270" spans="1:141" s="116" customFormat="1">
      <c r="A19270" s="136"/>
      <c r="CM19270" s="111"/>
      <c r="CQ19270" s="111"/>
      <c r="EF19270"/>
      <c r="EG19270"/>
      <c r="EH19270"/>
      <c r="EI19270"/>
      <c r="EJ19270"/>
      <c r="EK19270"/>
    </row>
    <row r="19271" spans="1:141" s="116" customFormat="1">
      <c r="A19271" s="136"/>
      <c r="CM19271" s="111"/>
      <c r="CQ19271" s="111"/>
      <c r="EF19271"/>
      <c r="EG19271"/>
      <c r="EH19271"/>
      <c r="EI19271"/>
      <c r="EJ19271"/>
      <c r="EK19271"/>
    </row>
    <row r="19272" spans="1:141" s="116" customFormat="1">
      <c r="A19272" s="136"/>
      <c r="CM19272" s="111"/>
      <c r="CQ19272" s="111"/>
      <c r="EF19272"/>
      <c r="EG19272"/>
      <c r="EH19272"/>
      <c r="EI19272"/>
      <c r="EJ19272"/>
      <c r="EK19272"/>
    </row>
    <row r="19273" spans="1:141" s="116" customFormat="1">
      <c r="A19273" s="136"/>
      <c r="CM19273" s="111"/>
      <c r="CQ19273" s="111"/>
      <c r="EF19273"/>
      <c r="EG19273"/>
      <c r="EH19273"/>
      <c r="EI19273"/>
      <c r="EJ19273"/>
      <c r="EK19273"/>
    </row>
    <row r="19274" spans="1:141" s="116" customFormat="1">
      <c r="A19274" s="136"/>
      <c r="CM19274" s="111"/>
      <c r="CQ19274" s="111"/>
      <c r="EF19274"/>
      <c r="EG19274"/>
      <c r="EH19274"/>
      <c r="EI19274"/>
      <c r="EJ19274"/>
      <c r="EK19274"/>
    </row>
    <row r="19275" spans="1:141" s="116" customFormat="1">
      <c r="A19275" s="136"/>
      <c r="CM19275" s="111"/>
      <c r="CQ19275" s="111"/>
      <c r="EF19275"/>
      <c r="EG19275"/>
      <c r="EH19275"/>
      <c r="EI19275"/>
      <c r="EJ19275"/>
      <c r="EK19275"/>
    </row>
    <row r="19276" spans="1:141" s="116" customFormat="1">
      <c r="A19276" s="136"/>
      <c r="CM19276" s="111"/>
      <c r="CQ19276" s="111"/>
      <c r="EF19276"/>
      <c r="EG19276"/>
      <c r="EH19276"/>
      <c r="EI19276"/>
      <c r="EJ19276"/>
      <c r="EK19276"/>
    </row>
    <row r="19277" spans="1:141" s="116" customFormat="1">
      <c r="A19277" s="136"/>
      <c r="CM19277" s="111"/>
      <c r="CQ19277" s="111"/>
      <c r="EF19277"/>
      <c r="EG19277"/>
      <c r="EH19277"/>
      <c r="EI19277"/>
      <c r="EJ19277"/>
      <c r="EK19277"/>
    </row>
    <row r="19278" spans="1:141" s="116" customFormat="1">
      <c r="A19278" s="136"/>
      <c r="CM19278" s="111"/>
      <c r="CQ19278" s="111"/>
      <c r="EF19278"/>
      <c r="EG19278"/>
      <c r="EH19278"/>
      <c r="EI19278"/>
      <c r="EJ19278"/>
      <c r="EK19278"/>
    </row>
    <row r="19279" spans="1:141" s="116" customFormat="1">
      <c r="A19279" s="136"/>
      <c r="CM19279" s="111"/>
      <c r="CQ19279" s="111"/>
      <c r="EF19279"/>
      <c r="EG19279"/>
      <c r="EH19279"/>
      <c r="EI19279"/>
      <c r="EJ19279"/>
      <c r="EK19279"/>
    </row>
    <row r="19280" spans="1:141" s="116" customFormat="1">
      <c r="A19280" s="136"/>
      <c r="CM19280" s="111"/>
      <c r="CQ19280" s="111"/>
      <c r="EF19280"/>
      <c r="EG19280"/>
      <c r="EH19280"/>
      <c r="EI19280"/>
      <c r="EJ19280"/>
      <c r="EK19280"/>
    </row>
    <row r="19281" spans="1:141" s="116" customFormat="1">
      <c r="A19281" s="136"/>
      <c r="CM19281" s="111"/>
      <c r="CQ19281" s="111"/>
      <c r="EF19281"/>
      <c r="EG19281"/>
      <c r="EH19281"/>
      <c r="EI19281"/>
      <c r="EJ19281"/>
      <c r="EK19281"/>
    </row>
    <row r="19282" spans="1:141" s="116" customFormat="1">
      <c r="A19282" s="136"/>
      <c r="CM19282" s="111"/>
      <c r="CQ19282" s="111"/>
      <c r="EF19282"/>
      <c r="EG19282"/>
      <c r="EH19282"/>
      <c r="EI19282"/>
      <c r="EJ19282"/>
      <c r="EK19282"/>
    </row>
    <row r="19283" spans="1:141" s="116" customFormat="1">
      <c r="A19283" s="136"/>
      <c r="CM19283" s="111"/>
      <c r="CQ19283" s="111"/>
      <c r="EF19283"/>
      <c r="EG19283"/>
      <c r="EH19283"/>
      <c r="EI19283"/>
      <c r="EJ19283"/>
      <c r="EK19283"/>
    </row>
    <row r="19284" spans="1:141" s="116" customFormat="1">
      <c r="A19284" s="136"/>
      <c r="CM19284" s="111"/>
      <c r="CQ19284" s="111"/>
      <c r="EF19284"/>
      <c r="EG19284"/>
      <c r="EH19284"/>
      <c r="EI19284"/>
      <c r="EJ19284"/>
      <c r="EK19284"/>
    </row>
    <row r="19285" spans="1:141" s="116" customFormat="1">
      <c r="A19285" s="136"/>
      <c r="CM19285" s="111"/>
      <c r="CQ19285" s="111"/>
      <c r="EF19285"/>
      <c r="EG19285"/>
      <c r="EH19285"/>
      <c r="EI19285"/>
      <c r="EJ19285"/>
      <c r="EK19285"/>
    </row>
    <row r="19286" spans="1:141" s="116" customFormat="1">
      <c r="A19286" s="136"/>
      <c r="CM19286" s="111"/>
      <c r="CQ19286" s="111"/>
      <c r="EF19286"/>
      <c r="EG19286"/>
      <c r="EH19286"/>
      <c r="EI19286"/>
      <c r="EJ19286"/>
      <c r="EK19286"/>
    </row>
    <row r="19287" spans="1:141" s="116" customFormat="1">
      <c r="A19287" s="136"/>
      <c r="CM19287" s="111"/>
      <c r="CQ19287" s="111"/>
      <c r="EF19287"/>
      <c r="EG19287"/>
      <c r="EH19287"/>
      <c r="EI19287"/>
      <c r="EJ19287"/>
      <c r="EK19287"/>
    </row>
    <row r="19288" spans="1:141" s="116" customFormat="1">
      <c r="A19288" s="136"/>
      <c r="CM19288" s="111"/>
      <c r="CQ19288" s="111"/>
      <c r="EF19288"/>
      <c r="EG19288"/>
      <c r="EH19288"/>
      <c r="EI19288"/>
      <c r="EJ19288"/>
      <c r="EK19288"/>
    </row>
    <row r="19289" spans="1:141" s="116" customFormat="1">
      <c r="A19289" s="136"/>
      <c r="CM19289" s="111"/>
      <c r="CQ19289" s="111"/>
      <c r="EF19289"/>
      <c r="EG19289"/>
      <c r="EH19289"/>
      <c r="EI19289"/>
      <c r="EJ19289"/>
      <c r="EK19289"/>
    </row>
    <row r="19290" spans="1:141" s="116" customFormat="1">
      <c r="A19290" s="136"/>
      <c r="CM19290" s="111"/>
      <c r="CQ19290" s="111"/>
      <c r="EF19290"/>
      <c r="EG19290"/>
      <c r="EH19290"/>
      <c r="EI19290"/>
      <c r="EJ19290"/>
      <c r="EK19290"/>
    </row>
    <row r="19291" spans="1:141" s="116" customFormat="1">
      <c r="A19291" s="136"/>
      <c r="CM19291" s="111"/>
      <c r="CQ19291" s="111"/>
      <c r="EF19291"/>
      <c r="EG19291"/>
      <c r="EH19291"/>
      <c r="EI19291"/>
      <c r="EJ19291"/>
      <c r="EK19291"/>
    </row>
    <row r="19292" spans="1:141" s="116" customFormat="1">
      <c r="A19292" s="136"/>
      <c r="CM19292" s="111"/>
      <c r="CQ19292" s="111"/>
      <c r="EF19292"/>
      <c r="EG19292"/>
      <c r="EH19292"/>
      <c r="EI19292"/>
      <c r="EJ19292"/>
      <c r="EK19292"/>
    </row>
    <row r="19293" spans="1:141" s="116" customFormat="1">
      <c r="A19293" s="136"/>
      <c r="CM19293" s="111"/>
      <c r="CQ19293" s="111"/>
      <c r="EF19293"/>
      <c r="EG19293"/>
      <c r="EH19293"/>
      <c r="EI19293"/>
      <c r="EJ19293"/>
      <c r="EK19293"/>
    </row>
    <row r="19294" spans="1:141" s="116" customFormat="1">
      <c r="A19294" s="136"/>
      <c r="CM19294" s="111"/>
      <c r="CQ19294" s="111"/>
      <c r="EF19294"/>
      <c r="EG19294"/>
      <c r="EH19294"/>
      <c r="EI19294"/>
      <c r="EJ19294"/>
      <c r="EK19294"/>
    </row>
    <row r="19295" spans="1:141" s="116" customFormat="1">
      <c r="A19295" s="136"/>
      <c r="CM19295" s="111"/>
      <c r="CQ19295" s="111"/>
      <c r="EF19295"/>
      <c r="EG19295"/>
      <c r="EH19295"/>
      <c r="EI19295"/>
      <c r="EJ19295"/>
      <c r="EK19295"/>
    </row>
    <row r="19296" spans="1:141" s="116" customFormat="1">
      <c r="A19296" s="136"/>
      <c r="CM19296" s="111"/>
      <c r="CQ19296" s="111"/>
      <c r="EF19296"/>
      <c r="EG19296"/>
      <c r="EH19296"/>
      <c r="EI19296"/>
      <c r="EJ19296"/>
      <c r="EK19296"/>
    </row>
    <row r="19297" spans="1:141" s="116" customFormat="1">
      <c r="A19297" s="136"/>
      <c r="CM19297" s="111"/>
      <c r="CQ19297" s="111"/>
      <c r="EF19297"/>
      <c r="EG19297"/>
      <c r="EH19297"/>
      <c r="EI19297"/>
      <c r="EJ19297"/>
      <c r="EK19297"/>
    </row>
    <row r="19298" spans="1:141" s="116" customFormat="1">
      <c r="A19298" s="136"/>
      <c r="CM19298" s="111"/>
      <c r="CQ19298" s="111"/>
      <c r="EF19298"/>
      <c r="EG19298"/>
      <c r="EH19298"/>
      <c r="EI19298"/>
      <c r="EJ19298"/>
      <c r="EK19298"/>
    </row>
    <row r="19299" spans="1:141" s="116" customFormat="1">
      <c r="A19299" s="136"/>
      <c r="CM19299" s="111"/>
      <c r="CQ19299" s="111"/>
      <c r="EF19299"/>
      <c r="EG19299"/>
      <c r="EH19299"/>
      <c r="EI19299"/>
      <c r="EJ19299"/>
      <c r="EK19299"/>
    </row>
    <row r="19300" spans="1:141" s="116" customFormat="1">
      <c r="A19300" s="136"/>
      <c r="CM19300" s="111"/>
      <c r="CQ19300" s="111"/>
      <c r="EF19300"/>
      <c r="EG19300"/>
      <c r="EH19300"/>
      <c r="EI19300"/>
      <c r="EJ19300"/>
      <c r="EK19300"/>
    </row>
    <row r="19301" spans="1:141" s="116" customFormat="1">
      <c r="A19301" s="136"/>
      <c r="CM19301" s="111"/>
      <c r="CQ19301" s="111"/>
      <c r="EF19301"/>
      <c r="EG19301"/>
      <c r="EH19301"/>
      <c r="EI19301"/>
      <c r="EJ19301"/>
      <c r="EK19301"/>
    </row>
    <row r="19302" spans="1:141" s="116" customFormat="1">
      <c r="A19302" s="136"/>
      <c r="CM19302" s="111"/>
      <c r="CQ19302" s="111"/>
      <c r="EF19302"/>
      <c r="EG19302"/>
      <c r="EH19302"/>
      <c r="EI19302"/>
      <c r="EJ19302"/>
      <c r="EK19302"/>
    </row>
    <row r="19303" spans="1:141" s="116" customFormat="1">
      <c r="A19303" s="136"/>
      <c r="CM19303" s="111"/>
      <c r="CQ19303" s="111"/>
      <c r="EF19303"/>
      <c r="EG19303"/>
      <c r="EH19303"/>
      <c r="EI19303"/>
      <c r="EJ19303"/>
      <c r="EK19303"/>
    </row>
    <row r="19304" spans="1:141" s="116" customFormat="1">
      <c r="A19304" s="136"/>
      <c r="CM19304" s="111"/>
      <c r="CQ19304" s="111"/>
      <c r="EF19304"/>
      <c r="EG19304"/>
      <c r="EH19304"/>
      <c r="EI19304"/>
      <c r="EJ19304"/>
      <c r="EK19304"/>
    </row>
    <row r="19305" spans="1:141" s="116" customFormat="1">
      <c r="A19305" s="136"/>
      <c r="CM19305" s="111"/>
      <c r="CQ19305" s="111"/>
      <c r="EF19305"/>
      <c r="EG19305"/>
      <c r="EH19305"/>
      <c r="EI19305"/>
      <c r="EJ19305"/>
      <c r="EK19305"/>
    </row>
    <row r="19306" spans="1:141" s="116" customFormat="1">
      <c r="A19306" s="136"/>
      <c r="CM19306" s="111"/>
      <c r="CQ19306" s="111"/>
      <c r="EF19306"/>
      <c r="EG19306"/>
      <c r="EH19306"/>
      <c r="EI19306"/>
      <c r="EJ19306"/>
      <c r="EK19306"/>
    </row>
    <row r="19307" spans="1:141" s="116" customFormat="1">
      <c r="A19307" s="136"/>
      <c r="CM19307" s="111"/>
      <c r="CQ19307" s="111"/>
      <c r="EF19307"/>
      <c r="EG19307"/>
      <c r="EH19307"/>
      <c r="EI19307"/>
      <c r="EJ19307"/>
      <c r="EK19307"/>
    </row>
    <row r="19308" spans="1:141" s="116" customFormat="1">
      <c r="A19308" s="136"/>
      <c r="CM19308" s="111"/>
      <c r="CQ19308" s="111"/>
      <c r="EF19308"/>
      <c r="EG19308"/>
      <c r="EH19308"/>
      <c r="EI19308"/>
      <c r="EJ19308"/>
      <c r="EK19308"/>
    </row>
    <row r="19309" spans="1:141" s="116" customFormat="1">
      <c r="A19309" s="136"/>
      <c r="CM19309" s="111"/>
      <c r="CQ19309" s="111"/>
      <c r="EF19309"/>
      <c r="EG19309"/>
      <c r="EH19309"/>
      <c r="EI19309"/>
      <c r="EJ19309"/>
      <c r="EK19309"/>
    </row>
    <row r="19310" spans="1:141" s="116" customFormat="1">
      <c r="A19310" s="136"/>
      <c r="CM19310" s="111"/>
      <c r="CQ19310" s="111"/>
      <c r="EF19310"/>
      <c r="EG19310"/>
      <c r="EH19310"/>
      <c r="EI19310"/>
      <c r="EJ19310"/>
      <c r="EK19310"/>
    </row>
    <row r="19311" spans="1:141" s="116" customFormat="1">
      <c r="A19311" s="136"/>
      <c r="CM19311" s="111"/>
      <c r="CQ19311" s="111"/>
      <c r="EF19311"/>
      <c r="EG19311"/>
      <c r="EH19311"/>
      <c r="EI19311"/>
      <c r="EJ19311"/>
      <c r="EK19311"/>
    </row>
    <row r="19312" spans="1:141" s="116" customFormat="1">
      <c r="A19312" s="136"/>
      <c r="CM19312" s="111"/>
      <c r="CQ19312" s="111"/>
      <c r="EF19312"/>
      <c r="EG19312"/>
      <c r="EH19312"/>
      <c r="EI19312"/>
      <c r="EJ19312"/>
      <c r="EK19312"/>
    </row>
    <row r="19313" spans="1:141" s="116" customFormat="1">
      <c r="A19313" s="136"/>
      <c r="CM19313" s="111"/>
      <c r="CQ19313" s="111"/>
      <c r="EF19313"/>
      <c r="EG19313"/>
      <c r="EH19313"/>
      <c r="EI19313"/>
      <c r="EJ19313"/>
      <c r="EK19313"/>
    </row>
    <row r="19314" spans="1:141" s="116" customFormat="1">
      <c r="A19314" s="136"/>
      <c r="CM19314" s="111"/>
      <c r="CQ19314" s="111"/>
      <c r="EF19314"/>
      <c r="EG19314"/>
      <c r="EH19314"/>
      <c r="EI19314"/>
      <c r="EJ19314"/>
      <c r="EK19314"/>
    </row>
    <row r="19315" spans="1:141" s="116" customFormat="1">
      <c r="A19315" s="136"/>
      <c r="CM19315" s="111"/>
      <c r="CQ19315" s="111"/>
      <c r="EF19315"/>
      <c r="EG19315"/>
      <c r="EH19315"/>
      <c r="EI19315"/>
      <c r="EJ19315"/>
      <c r="EK19315"/>
    </row>
    <row r="19316" spans="1:141" s="116" customFormat="1">
      <c r="A19316" s="136"/>
      <c r="CM19316" s="111"/>
      <c r="CQ19316" s="111"/>
      <c r="EF19316"/>
      <c r="EG19316"/>
      <c r="EH19316"/>
      <c r="EI19316"/>
      <c r="EJ19316"/>
      <c r="EK19316"/>
    </row>
    <row r="19317" spans="1:141" s="116" customFormat="1">
      <c r="A19317" s="136"/>
      <c r="CM19317" s="111"/>
      <c r="CQ19317" s="111"/>
      <c r="EF19317"/>
      <c r="EG19317"/>
      <c r="EH19317"/>
      <c r="EI19317"/>
      <c r="EJ19317"/>
      <c r="EK19317"/>
    </row>
    <row r="19318" spans="1:141" s="116" customFormat="1">
      <c r="A19318" s="136"/>
      <c r="CM19318" s="111"/>
      <c r="CQ19318" s="111"/>
      <c r="EF19318"/>
      <c r="EG19318"/>
      <c r="EH19318"/>
      <c r="EI19318"/>
      <c r="EJ19318"/>
      <c r="EK19318"/>
    </row>
    <row r="19319" spans="1:141" s="116" customFormat="1">
      <c r="A19319" s="136"/>
      <c r="CM19319" s="111"/>
      <c r="CQ19319" s="111"/>
      <c r="EF19319"/>
      <c r="EG19319"/>
      <c r="EH19319"/>
      <c r="EI19319"/>
      <c r="EJ19319"/>
      <c r="EK19319"/>
    </row>
    <row r="19320" spans="1:141" s="116" customFormat="1">
      <c r="A19320" s="136"/>
      <c r="CM19320" s="111"/>
      <c r="CQ19320" s="111"/>
      <c r="EF19320"/>
      <c r="EG19320"/>
      <c r="EH19320"/>
      <c r="EI19320"/>
      <c r="EJ19320"/>
      <c r="EK19320"/>
    </row>
    <row r="19321" spans="1:141" s="116" customFormat="1">
      <c r="A19321" s="136"/>
      <c r="CM19321" s="111"/>
      <c r="CQ19321" s="111"/>
      <c r="EF19321"/>
      <c r="EG19321"/>
      <c r="EH19321"/>
      <c r="EI19321"/>
      <c r="EJ19321"/>
      <c r="EK19321"/>
    </row>
    <row r="19322" spans="1:141" s="116" customFormat="1">
      <c r="A19322" s="136"/>
      <c r="CM19322" s="111"/>
      <c r="CQ19322" s="111"/>
      <c r="EF19322"/>
      <c r="EG19322"/>
      <c r="EH19322"/>
      <c r="EI19322"/>
      <c r="EJ19322"/>
      <c r="EK19322"/>
    </row>
    <row r="19323" spans="1:141" s="116" customFormat="1">
      <c r="A19323" s="136"/>
      <c r="CM19323" s="111"/>
      <c r="CQ19323" s="111"/>
      <c r="EF19323"/>
      <c r="EG19323"/>
      <c r="EH19323"/>
      <c r="EI19323"/>
      <c r="EJ19323"/>
      <c r="EK19323"/>
    </row>
    <row r="19324" spans="1:141" s="116" customFormat="1">
      <c r="A19324" s="136"/>
      <c r="CM19324" s="111"/>
      <c r="CQ19324" s="111"/>
      <c r="EF19324"/>
      <c r="EG19324"/>
      <c r="EH19324"/>
      <c r="EI19324"/>
      <c r="EJ19324"/>
      <c r="EK19324"/>
    </row>
    <row r="19325" spans="1:141" s="116" customFormat="1">
      <c r="A19325" s="136"/>
      <c r="CM19325" s="111"/>
      <c r="CQ19325" s="111"/>
      <c r="EF19325"/>
      <c r="EG19325"/>
      <c r="EH19325"/>
      <c r="EI19325"/>
      <c r="EJ19325"/>
      <c r="EK19325"/>
    </row>
    <row r="19326" spans="1:141" s="116" customFormat="1">
      <c r="A19326" s="136"/>
      <c r="CM19326" s="111"/>
      <c r="CQ19326" s="111"/>
      <c r="EF19326"/>
      <c r="EG19326"/>
      <c r="EH19326"/>
      <c r="EI19326"/>
      <c r="EJ19326"/>
      <c r="EK19326"/>
    </row>
    <row r="19327" spans="1:141" s="116" customFormat="1">
      <c r="A19327" s="136"/>
      <c r="CM19327" s="111"/>
      <c r="CQ19327" s="111"/>
      <c r="EF19327"/>
      <c r="EG19327"/>
      <c r="EH19327"/>
      <c r="EI19327"/>
      <c r="EJ19327"/>
      <c r="EK19327"/>
    </row>
    <row r="19328" spans="1:141" s="116" customFormat="1">
      <c r="A19328" s="136"/>
      <c r="CM19328" s="111"/>
      <c r="CQ19328" s="111"/>
      <c r="EF19328"/>
      <c r="EG19328"/>
      <c r="EH19328"/>
      <c r="EI19328"/>
      <c r="EJ19328"/>
      <c r="EK19328"/>
    </row>
    <row r="19329" spans="1:141" s="116" customFormat="1">
      <c r="A19329" s="136"/>
      <c r="CM19329" s="111"/>
      <c r="CQ19329" s="111"/>
      <c r="EF19329"/>
      <c r="EG19329"/>
      <c r="EH19329"/>
      <c r="EI19329"/>
      <c r="EJ19329"/>
      <c r="EK19329"/>
    </row>
    <row r="19330" spans="1:141" s="116" customFormat="1">
      <c r="A19330" s="136"/>
      <c r="CM19330" s="111"/>
      <c r="CQ19330" s="111"/>
      <c r="EF19330"/>
      <c r="EG19330"/>
      <c r="EH19330"/>
      <c r="EI19330"/>
      <c r="EJ19330"/>
      <c r="EK19330"/>
    </row>
    <row r="19331" spans="1:141" s="116" customFormat="1">
      <c r="A19331" s="136"/>
      <c r="CM19331" s="111"/>
      <c r="CQ19331" s="111"/>
      <c r="EF19331"/>
      <c r="EG19331"/>
      <c r="EH19331"/>
      <c r="EI19331"/>
      <c r="EJ19331"/>
      <c r="EK19331"/>
    </row>
    <row r="19332" spans="1:141" s="116" customFormat="1">
      <c r="A19332" s="136"/>
      <c r="CM19332" s="111"/>
      <c r="CQ19332" s="111"/>
      <c r="EF19332"/>
      <c r="EG19332"/>
      <c r="EH19332"/>
      <c r="EI19332"/>
      <c r="EJ19332"/>
      <c r="EK19332"/>
    </row>
    <row r="19333" spans="1:141" s="116" customFormat="1">
      <c r="A19333" s="136"/>
      <c r="CM19333" s="111"/>
      <c r="CQ19333" s="111"/>
      <c r="EF19333"/>
      <c r="EG19333"/>
      <c r="EH19333"/>
      <c r="EI19333"/>
      <c r="EJ19333"/>
      <c r="EK19333"/>
    </row>
    <row r="19334" spans="1:141" s="116" customFormat="1">
      <c r="A19334" s="136"/>
      <c r="CM19334" s="111"/>
      <c r="CQ19334" s="111"/>
      <c r="EF19334"/>
      <c r="EG19334"/>
      <c r="EH19334"/>
      <c r="EI19334"/>
      <c r="EJ19334"/>
      <c r="EK19334"/>
    </row>
    <row r="19335" spans="1:141" s="116" customFormat="1">
      <c r="A19335" s="136"/>
      <c r="CM19335" s="111"/>
      <c r="CQ19335" s="111"/>
      <c r="EF19335"/>
      <c r="EG19335"/>
      <c r="EH19335"/>
      <c r="EI19335"/>
      <c r="EJ19335"/>
      <c r="EK19335"/>
    </row>
    <row r="19336" spans="1:141" s="116" customFormat="1">
      <c r="A19336" s="136"/>
      <c r="CM19336" s="111"/>
      <c r="CQ19336" s="111"/>
      <c r="EF19336"/>
      <c r="EG19336"/>
      <c r="EH19336"/>
      <c r="EI19336"/>
      <c r="EJ19336"/>
      <c r="EK19336"/>
    </row>
    <row r="19337" spans="1:141" s="116" customFormat="1">
      <c r="A19337" s="136"/>
      <c r="CM19337" s="111"/>
      <c r="CQ19337" s="111"/>
      <c r="EF19337"/>
      <c r="EG19337"/>
      <c r="EH19337"/>
      <c r="EI19337"/>
      <c r="EJ19337"/>
      <c r="EK19337"/>
    </row>
    <row r="19338" spans="1:141" s="116" customFormat="1">
      <c r="A19338" s="136"/>
      <c r="CM19338" s="111"/>
      <c r="CQ19338" s="111"/>
      <c r="EF19338"/>
      <c r="EG19338"/>
      <c r="EH19338"/>
      <c r="EI19338"/>
      <c r="EJ19338"/>
      <c r="EK19338"/>
    </row>
    <row r="19339" spans="1:141" s="116" customFormat="1">
      <c r="A19339" s="136"/>
      <c r="CM19339" s="111"/>
      <c r="CQ19339" s="111"/>
      <c r="EF19339"/>
      <c r="EG19339"/>
      <c r="EH19339"/>
      <c r="EI19339"/>
      <c r="EJ19339"/>
      <c r="EK19339"/>
    </row>
    <row r="19340" spans="1:141" s="116" customFormat="1">
      <c r="A19340" s="136"/>
      <c r="CM19340" s="111"/>
      <c r="CQ19340" s="111"/>
      <c r="EF19340"/>
      <c r="EG19340"/>
      <c r="EH19340"/>
      <c r="EI19340"/>
      <c r="EJ19340"/>
      <c r="EK19340"/>
    </row>
    <row r="19341" spans="1:141" s="116" customFormat="1">
      <c r="A19341" s="136"/>
      <c r="CM19341" s="111"/>
      <c r="CQ19341" s="111"/>
      <c r="EF19341"/>
      <c r="EG19341"/>
      <c r="EH19341"/>
      <c r="EI19341"/>
      <c r="EJ19341"/>
      <c r="EK19341"/>
    </row>
    <row r="19342" spans="1:141" s="116" customFormat="1">
      <c r="A19342" s="136"/>
      <c r="CM19342" s="111"/>
      <c r="CQ19342" s="111"/>
      <c r="EF19342"/>
      <c r="EG19342"/>
      <c r="EH19342"/>
      <c r="EI19342"/>
      <c r="EJ19342"/>
      <c r="EK19342"/>
    </row>
    <row r="19343" spans="1:141" s="116" customFormat="1">
      <c r="A19343" s="136"/>
      <c r="CM19343" s="111"/>
      <c r="CQ19343" s="111"/>
      <c r="EF19343"/>
      <c r="EG19343"/>
      <c r="EH19343"/>
      <c r="EI19343"/>
      <c r="EJ19343"/>
      <c r="EK19343"/>
    </row>
    <row r="19344" spans="1:141" s="116" customFormat="1">
      <c r="A19344" s="136"/>
      <c r="CM19344" s="111"/>
      <c r="CQ19344" s="111"/>
      <c r="EF19344"/>
      <c r="EG19344"/>
      <c r="EH19344"/>
      <c r="EI19344"/>
      <c r="EJ19344"/>
      <c r="EK19344"/>
    </row>
    <row r="19345" spans="1:141" s="116" customFormat="1">
      <c r="A19345" s="136"/>
      <c r="CM19345" s="111"/>
      <c r="CQ19345" s="111"/>
      <c r="EF19345"/>
      <c r="EG19345"/>
      <c r="EH19345"/>
      <c r="EI19345"/>
      <c r="EJ19345"/>
      <c r="EK19345"/>
    </row>
    <row r="19346" spans="1:141" s="116" customFormat="1">
      <c r="A19346" s="136"/>
      <c r="CM19346" s="111"/>
      <c r="CQ19346" s="111"/>
      <c r="EF19346"/>
      <c r="EG19346"/>
      <c r="EH19346"/>
      <c r="EI19346"/>
      <c r="EJ19346"/>
      <c r="EK19346"/>
    </row>
    <row r="19347" spans="1:141" s="116" customFormat="1">
      <c r="A19347" s="136"/>
      <c r="CM19347" s="111"/>
      <c r="CQ19347" s="111"/>
      <c r="EF19347"/>
      <c r="EG19347"/>
      <c r="EH19347"/>
      <c r="EI19347"/>
      <c r="EJ19347"/>
      <c r="EK19347"/>
    </row>
    <row r="19348" spans="1:141" s="116" customFormat="1">
      <c r="A19348" s="136"/>
      <c r="CM19348" s="111"/>
      <c r="CQ19348" s="111"/>
      <c r="EF19348"/>
      <c r="EG19348"/>
      <c r="EH19348"/>
      <c r="EI19348"/>
      <c r="EJ19348"/>
      <c r="EK19348"/>
    </row>
    <row r="19349" spans="1:141" s="116" customFormat="1">
      <c r="A19349" s="136"/>
      <c r="CM19349" s="111"/>
      <c r="CQ19349" s="111"/>
      <c r="EF19349"/>
      <c r="EG19349"/>
      <c r="EH19349"/>
      <c r="EI19349"/>
      <c r="EJ19349"/>
      <c r="EK19349"/>
    </row>
    <row r="19350" spans="1:141" s="116" customFormat="1">
      <c r="A19350" s="136"/>
      <c r="CM19350" s="111"/>
      <c r="CQ19350" s="111"/>
      <c r="EF19350"/>
      <c r="EG19350"/>
      <c r="EH19350"/>
      <c r="EI19350"/>
      <c r="EJ19350"/>
      <c r="EK19350"/>
    </row>
    <row r="19351" spans="1:141" s="116" customFormat="1">
      <c r="A19351" s="136"/>
      <c r="CM19351" s="111"/>
      <c r="CQ19351" s="111"/>
      <c r="EF19351"/>
      <c r="EG19351"/>
      <c r="EH19351"/>
      <c r="EI19351"/>
      <c r="EJ19351"/>
      <c r="EK19351"/>
    </row>
    <row r="19352" spans="1:141" s="116" customFormat="1">
      <c r="A19352" s="136"/>
      <c r="CM19352" s="111"/>
      <c r="CQ19352" s="111"/>
      <c r="EF19352"/>
      <c r="EG19352"/>
      <c r="EH19352"/>
      <c r="EI19352"/>
      <c r="EJ19352"/>
      <c r="EK19352"/>
    </row>
    <row r="19353" spans="1:141" s="116" customFormat="1">
      <c r="A19353" s="136"/>
      <c r="CM19353" s="111"/>
      <c r="CQ19353" s="111"/>
      <c r="EF19353"/>
      <c r="EG19353"/>
      <c r="EH19353"/>
      <c r="EI19353"/>
      <c r="EJ19353"/>
      <c r="EK19353"/>
    </row>
    <row r="19354" spans="1:141" s="116" customFormat="1">
      <c r="A19354" s="136"/>
      <c r="CM19354" s="111"/>
      <c r="CQ19354" s="111"/>
      <c r="EF19354"/>
      <c r="EG19354"/>
      <c r="EH19354"/>
      <c r="EI19354"/>
      <c r="EJ19354"/>
      <c r="EK19354"/>
    </row>
    <row r="19355" spans="1:141" s="116" customFormat="1">
      <c r="A19355" s="136"/>
      <c r="CM19355" s="111"/>
      <c r="CQ19355" s="111"/>
      <c r="EF19355"/>
      <c r="EG19355"/>
      <c r="EH19355"/>
      <c r="EI19355"/>
      <c r="EJ19355"/>
      <c r="EK19355"/>
    </row>
    <row r="19356" spans="1:141" s="116" customFormat="1">
      <c r="A19356" s="136"/>
      <c r="CM19356" s="111"/>
      <c r="CQ19356" s="111"/>
      <c r="EF19356"/>
      <c r="EG19356"/>
      <c r="EH19356"/>
      <c r="EI19356"/>
      <c r="EJ19356"/>
      <c r="EK19356"/>
    </row>
    <row r="19357" spans="1:141" s="116" customFormat="1">
      <c r="A19357" s="136"/>
      <c r="CM19357" s="111"/>
      <c r="CQ19357" s="111"/>
      <c r="EF19357"/>
      <c r="EG19357"/>
      <c r="EH19357"/>
      <c r="EI19357"/>
      <c r="EJ19357"/>
      <c r="EK19357"/>
    </row>
    <row r="19358" spans="1:141" s="116" customFormat="1">
      <c r="A19358" s="136"/>
      <c r="CM19358" s="111"/>
      <c r="CQ19358" s="111"/>
      <c r="EF19358"/>
      <c r="EG19358"/>
      <c r="EH19358"/>
      <c r="EI19358"/>
      <c r="EJ19358"/>
      <c r="EK19358"/>
    </row>
    <row r="19359" spans="1:141" s="116" customFormat="1">
      <c r="A19359" s="136"/>
      <c r="CM19359" s="111"/>
      <c r="CQ19359" s="111"/>
      <c r="EF19359"/>
      <c r="EG19359"/>
      <c r="EH19359"/>
      <c r="EI19359"/>
      <c r="EJ19359"/>
      <c r="EK19359"/>
    </row>
    <row r="19360" spans="1:141" s="116" customFormat="1">
      <c r="A19360" s="136"/>
      <c r="CM19360" s="111"/>
      <c r="CQ19360" s="111"/>
      <c r="EF19360"/>
      <c r="EG19360"/>
      <c r="EH19360"/>
      <c r="EI19360"/>
      <c r="EJ19360"/>
      <c r="EK19360"/>
    </row>
    <row r="19361" spans="1:141" s="116" customFormat="1">
      <c r="A19361" s="136"/>
      <c r="CM19361" s="111"/>
      <c r="CQ19361" s="111"/>
      <c r="EF19361"/>
      <c r="EG19361"/>
      <c r="EH19361"/>
      <c r="EI19361"/>
      <c r="EJ19361"/>
      <c r="EK19361"/>
    </row>
    <row r="19362" spans="1:141" s="116" customFormat="1">
      <c r="A19362" s="136"/>
      <c r="CM19362" s="111"/>
      <c r="CQ19362" s="111"/>
      <c r="EF19362"/>
      <c r="EG19362"/>
      <c r="EH19362"/>
      <c r="EI19362"/>
      <c r="EJ19362"/>
      <c r="EK19362"/>
    </row>
    <row r="19363" spans="1:141" s="116" customFormat="1">
      <c r="A19363" s="136"/>
      <c r="CM19363" s="111"/>
      <c r="CQ19363" s="111"/>
      <c r="EF19363"/>
      <c r="EG19363"/>
      <c r="EH19363"/>
      <c r="EI19363"/>
      <c r="EJ19363"/>
      <c r="EK19363"/>
    </row>
    <row r="19364" spans="1:141" s="116" customFormat="1">
      <c r="A19364" s="136"/>
      <c r="CM19364" s="111"/>
      <c r="CQ19364" s="111"/>
      <c r="EF19364"/>
      <c r="EG19364"/>
      <c r="EH19364"/>
      <c r="EI19364"/>
      <c r="EJ19364"/>
      <c r="EK19364"/>
    </row>
    <row r="19365" spans="1:141" s="116" customFormat="1">
      <c r="A19365" s="136"/>
      <c r="CM19365" s="111"/>
      <c r="CQ19365" s="111"/>
      <c r="EF19365"/>
      <c r="EG19365"/>
      <c r="EH19365"/>
      <c r="EI19365"/>
      <c r="EJ19365"/>
      <c r="EK19365"/>
    </row>
    <row r="19366" spans="1:141" s="116" customFormat="1">
      <c r="A19366" s="136"/>
      <c r="CM19366" s="111"/>
      <c r="CQ19366" s="111"/>
      <c r="EF19366"/>
      <c r="EG19366"/>
      <c r="EH19366"/>
      <c r="EI19366"/>
      <c r="EJ19366"/>
      <c r="EK19366"/>
    </row>
    <row r="19367" spans="1:141" s="116" customFormat="1">
      <c r="A19367" s="136"/>
      <c r="CM19367" s="111"/>
      <c r="CQ19367" s="111"/>
      <c r="EF19367"/>
      <c r="EG19367"/>
      <c r="EH19367"/>
      <c r="EI19367"/>
      <c r="EJ19367"/>
      <c r="EK19367"/>
    </row>
    <row r="19368" spans="1:141" s="116" customFormat="1">
      <c r="A19368" s="136"/>
      <c r="CM19368" s="111"/>
      <c r="CQ19368" s="111"/>
      <c r="EF19368"/>
      <c r="EG19368"/>
      <c r="EH19368"/>
      <c r="EI19368"/>
      <c r="EJ19368"/>
      <c r="EK19368"/>
    </row>
    <row r="19369" spans="1:141" s="116" customFormat="1">
      <c r="A19369" s="136"/>
      <c r="CM19369" s="111"/>
      <c r="CQ19369" s="111"/>
      <c r="EF19369"/>
      <c r="EG19369"/>
      <c r="EH19369"/>
      <c r="EI19369"/>
      <c r="EJ19369"/>
      <c r="EK19369"/>
    </row>
    <row r="19370" spans="1:141" s="116" customFormat="1">
      <c r="A19370" s="136"/>
      <c r="CM19370" s="111"/>
      <c r="CQ19370" s="111"/>
      <c r="EF19370"/>
      <c r="EG19370"/>
      <c r="EH19370"/>
      <c r="EI19370"/>
      <c r="EJ19370"/>
      <c r="EK19370"/>
    </row>
    <row r="19371" spans="1:141" s="116" customFormat="1">
      <c r="A19371" s="136"/>
      <c r="CM19371" s="111"/>
      <c r="CQ19371" s="111"/>
      <c r="EF19371"/>
      <c r="EG19371"/>
      <c r="EH19371"/>
      <c r="EI19371"/>
      <c r="EJ19371"/>
      <c r="EK19371"/>
    </row>
    <row r="19372" spans="1:141" s="116" customFormat="1">
      <c r="A19372" s="136"/>
      <c r="CM19372" s="111"/>
      <c r="CQ19372" s="111"/>
      <c r="EF19372"/>
      <c r="EG19372"/>
      <c r="EH19372"/>
      <c r="EI19372"/>
      <c r="EJ19372"/>
      <c r="EK19372"/>
    </row>
    <row r="19373" spans="1:141" s="116" customFormat="1">
      <c r="A19373" s="136"/>
      <c r="CM19373" s="111"/>
      <c r="CQ19373" s="111"/>
      <c r="EF19373"/>
      <c r="EG19373"/>
      <c r="EH19373"/>
      <c r="EI19373"/>
      <c r="EJ19373"/>
      <c r="EK19373"/>
    </row>
    <row r="19374" spans="1:141" s="116" customFormat="1">
      <c r="A19374" s="136"/>
      <c r="CM19374" s="111"/>
      <c r="CQ19374" s="111"/>
      <c r="EF19374"/>
      <c r="EG19374"/>
      <c r="EH19374"/>
      <c r="EI19374"/>
      <c r="EJ19374"/>
      <c r="EK19374"/>
    </row>
    <row r="19375" spans="1:141" s="116" customFormat="1">
      <c r="A19375" s="136"/>
      <c r="CM19375" s="111"/>
      <c r="CQ19375" s="111"/>
      <c r="EF19375"/>
      <c r="EG19375"/>
      <c r="EH19375"/>
      <c r="EI19375"/>
      <c r="EJ19375"/>
      <c r="EK19375"/>
    </row>
    <row r="19376" spans="1:141" s="116" customFormat="1">
      <c r="A19376" s="136"/>
      <c r="CM19376" s="111"/>
      <c r="CQ19376" s="111"/>
      <c r="EF19376"/>
      <c r="EG19376"/>
      <c r="EH19376"/>
      <c r="EI19376"/>
      <c r="EJ19376"/>
      <c r="EK19376"/>
    </row>
    <row r="19377" spans="1:141" s="116" customFormat="1">
      <c r="A19377" s="136"/>
      <c r="CM19377" s="111"/>
      <c r="CQ19377" s="111"/>
      <c r="EF19377"/>
      <c r="EG19377"/>
      <c r="EH19377"/>
      <c r="EI19377"/>
      <c r="EJ19377"/>
      <c r="EK19377"/>
    </row>
    <row r="19378" spans="1:141" s="116" customFormat="1">
      <c r="A19378" s="136"/>
      <c r="CM19378" s="111"/>
      <c r="CQ19378" s="111"/>
      <c r="EF19378"/>
      <c r="EG19378"/>
      <c r="EH19378"/>
      <c r="EI19378"/>
      <c r="EJ19378"/>
      <c r="EK19378"/>
    </row>
    <row r="19379" spans="1:141" s="116" customFormat="1">
      <c r="A19379" s="136"/>
      <c r="CM19379" s="111"/>
      <c r="CQ19379" s="111"/>
      <c r="EF19379"/>
      <c r="EG19379"/>
      <c r="EH19379"/>
      <c r="EI19379"/>
      <c r="EJ19379"/>
      <c r="EK19379"/>
    </row>
    <row r="19380" spans="1:141" s="116" customFormat="1">
      <c r="A19380" s="136"/>
      <c r="CM19380" s="111"/>
      <c r="CQ19380" s="111"/>
      <c r="EF19380"/>
      <c r="EG19380"/>
      <c r="EH19380"/>
      <c r="EI19380"/>
      <c r="EJ19380"/>
      <c r="EK19380"/>
    </row>
    <row r="19381" spans="1:141" s="116" customFormat="1">
      <c r="A19381" s="136"/>
      <c r="CM19381" s="111"/>
      <c r="CQ19381" s="111"/>
      <c r="EF19381"/>
      <c r="EG19381"/>
      <c r="EH19381"/>
      <c r="EI19381"/>
      <c r="EJ19381"/>
      <c r="EK19381"/>
    </row>
    <row r="19382" spans="1:141" s="116" customFormat="1">
      <c r="A19382" s="136"/>
      <c r="CM19382" s="111"/>
      <c r="CQ19382" s="111"/>
      <c r="EF19382"/>
      <c r="EG19382"/>
      <c r="EH19382"/>
      <c r="EI19382"/>
      <c r="EJ19382"/>
      <c r="EK19382"/>
    </row>
    <row r="19383" spans="1:141" s="116" customFormat="1">
      <c r="A19383" s="136"/>
      <c r="CM19383" s="111"/>
      <c r="CQ19383" s="111"/>
      <c r="EF19383"/>
      <c r="EG19383"/>
      <c r="EH19383"/>
      <c r="EI19383"/>
      <c r="EJ19383"/>
      <c r="EK19383"/>
    </row>
    <row r="19384" spans="1:141" s="116" customFormat="1">
      <c r="A19384" s="136"/>
      <c r="CM19384" s="111"/>
      <c r="CQ19384" s="111"/>
      <c r="EF19384"/>
      <c r="EG19384"/>
      <c r="EH19384"/>
      <c r="EI19384"/>
      <c r="EJ19384"/>
      <c r="EK19384"/>
    </row>
    <row r="19385" spans="1:141" s="116" customFormat="1">
      <c r="A19385" s="136"/>
      <c r="CM19385" s="111"/>
      <c r="CQ19385" s="111"/>
      <c r="EF19385"/>
      <c r="EG19385"/>
      <c r="EH19385"/>
      <c r="EI19385"/>
      <c r="EJ19385"/>
      <c r="EK19385"/>
    </row>
    <row r="19386" spans="1:141" s="116" customFormat="1">
      <c r="A19386" s="136"/>
      <c r="CM19386" s="111"/>
      <c r="CQ19386" s="111"/>
      <c r="EF19386"/>
      <c r="EG19386"/>
      <c r="EH19386"/>
      <c r="EI19386"/>
      <c r="EJ19386"/>
      <c r="EK19386"/>
    </row>
    <row r="19387" spans="1:141" s="116" customFormat="1">
      <c r="A19387" s="136"/>
      <c r="CM19387" s="111"/>
      <c r="CQ19387" s="111"/>
      <c r="EF19387"/>
      <c r="EG19387"/>
      <c r="EH19387"/>
      <c r="EI19387"/>
      <c r="EJ19387"/>
      <c r="EK19387"/>
    </row>
    <row r="19388" spans="1:141" s="116" customFormat="1">
      <c r="A19388" s="136"/>
      <c r="CM19388" s="111"/>
      <c r="CQ19388" s="111"/>
      <c r="EF19388"/>
      <c r="EG19388"/>
      <c r="EH19388"/>
      <c r="EI19388"/>
      <c r="EJ19388"/>
      <c r="EK19388"/>
    </row>
    <row r="19389" spans="1:141" s="116" customFormat="1">
      <c r="A19389" s="136"/>
      <c r="CM19389" s="111"/>
      <c r="CQ19389" s="111"/>
      <c r="EF19389"/>
      <c r="EG19389"/>
      <c r="EH19389"/>
      <c r="EI19389"/>
      <c r="EJ19389"/>
      <c r="EK19389"/>
    </row>
    <row r="19390" spans="1:141" s="116" customFormat="1">
      <c r="A19390" s="136"/>
      <c r="CM19390" s="111"/>
      <c r="CQ19390" s="111"/>
      <c r="EF19390"/>
      <c r="EG19390"/>
      <c r="EH19390"/>
      <c r="EI19390"/>
      <c r="EJ19390"/>
      <c r="EK19390"/>
    </row>
    <row r="19391" spans="1:141" s="116" customFormat="1">
      <c r="A19391" s="136"/>
      <c r="CM19391" s="111"/>
      <c r="CQ19391" s="111"/>
      <c r="EF19391"/>
      <c r="EG19391"/>
      <c r="EH19391"/>
      <c r="EI19391"/>
      <c r="EJ19391"/>
      <c r="EK19391"/>
    </row>
    <row r="19392" spans="1:141" s="116" customFormat="1">
      <c r="A19392" s="136"/>
      <c r="CM19392" s="111"/>
      <c r="CQ19392" s="111"/>
      <c r="EF19392"/>
      <c r="EG19392"/>
      <c r="EH19392"/>
      <c r="EI19392"/>
      <c r="EJ19392"/>
      <c r="EK19392"/>
    </row>
    <row r="19393" spans="1:141" s="116" customFormat="1">
      <c r="A19393" s="136"/>
      <c r="CM19393" s="111"/>
      <c r="CQ19393" s="111"/>
      <c r="EF19393"/>
      <c r="EG19393"/>
      <c r="EH19393"/>
      <c r="EI19393"/>
      <c r="EJ19393"/>
      <c r="EK19393"/>
    </row>
    <row r="19394" spans="1:141" s="116" customFormat="1">
      <c r="A19394" s="136"/>
      <c r="CM19394" s="111"/>
      <c r="CQ19394" s="111"/>
      <c r="EF19394"/>
      <c r="EG19394"/>
      <c r="EH19394"/>
      <c r="EI19394"/>
      <c r="EJ19394"/>
      <c r="EK19394"/>
    </row>
    <row r="19395" spans="1:141" s="116" customFormat="1">
      <c r="A19395" s="136"/>
      <c r="CM19395" s="111"/>
      <c r="CQ19395" s="111"/>
      <c r="EF19395"/>
      <c r="EG19395"/>
      <c r="EH19395"/>
      <c r="EI19395"/>
      <c r="EJ19395"/>
      <c r="EK19395"/>
    </row>
    <row r="19396" spans="1:141" s="116" customFormat="1">
      <c r="A19396" s="136"/>
      <c r="CM19396" s="111"/>
      <c r="CQ19396" s="111"/>
      <c r="EF19396"/>
      <c r="EG19396"/>
      <c r="EH19396"/>
      <c r="EI19396"/>
      <c r="EJ19396"/>
      <c r="EK19396"/>
    </row>
    <row r="19397" spans="1:141" s="116" customFormat="1">
      <c r="A19397" s="136"/>
      <c r="CM19397" s="111"/>
      <c r="CQ19397" s="111"/>
      <c r="EF19397"/>
      <c r="EG19397"/>
      <c r="EH19397"/>
      <c r="EI19397"/>
      <c r="EJ19397"/>
      <c r="EK19397"/>
    </row>
    <row r="19398" spans="1:141" s="116" customFormat="1">
      <c r="A19398" s="136"/>
      <c r="CM19398" s="111"/>
      <c r="CQ19398" s="111"/>
      <c r="EF19398"/>
      <c r="EG19398"/>
      <c r="EH19398"/>
      <c r="EI19398"/>
      <c r="EJ19398"/>
      <c r="EK19398"/>
    </row>
    <row r="19399" spans="1:141" s="116" customFormat="1">
      <c r="A19399" s="136"/>
      <c r="CM19399" s="111"/>
      <c r="CQ19399" s="111"/>
      <c r="EF19399"/>
      <c r="EG19399"/>
      <c r="EH19399"/>
      <c r="EI19399"/>
      <c r="EJ19399"/>
      <c r="EK19399"/>
    </row>
    <row r="19400" spans="1:141" s="116" customFormat="1">
      <c r="A19400" s="136"/>
      <c r="CM19400" s="111"/>
      <c r="CQ19400" s="111"/>
      <c r="EF19400"/>
      <c r="EG19400"/>
      <c r="EH19400"/>
      <c r="EI19400"/>
      <c r="EJ19400"/>
      <c r="EK19400"/>
    </row>
    <row r="19401" spans="1:141" s="116" customFormat="1">
      <c r="A19401" s="136"/>
      <c r="CM19401" s="111"/>
      <c r="CQ19401" s="111"/>
      <c r="EF19401"/>
      <c r="EG19401"/>
      <c r="EH19401"/>
      <c r="EI19401"/>
      <c r="EJ19401"/>
      <c r="EK19401"/>
    </row>
    <row r="19402" spans="1:141" s="116" customFormat="1">
      <c r="A19402" s="136"/>
      <c r="CM19402" s="111"/>
      <c r="CQ19402" s="111"/>
      <c r="EF19402"/>
      <c r="EG19402"/>
      <c r="EH19402"/>
      <c r="EI19402"/>
      <c r="EJ19402"/>
      <c r="EK19402"/>
    </row>
    <row r="19403" spans="1:141" s="116" customFormat="1">
      <c r="A19403" s="136"/>
      <c r="CM19403" s="111"/>
      <c r="CQ19403" s="111"/>
      <c r="EF19403"/>
      <c r="EG19403"/>
      <c r="EH19403"/>
      <c r="EI19403"/>
      <c r="EJ19403"/>
      <c r="EK19403"/>
    </row>
    <row r="19404" spans="1:141" s="116" customFormat="1">
      <c r="A19404" s="136"/>
      <c r="CM19404" s="111"/>
      <c r="CQ19404" s="111"/>
      <c r="EF19404"/>
      <c r="EG19404"/>
      <c r="EH19404"/>
      <c r="EI19404"/>
      <c r="EJ19404"/>
      <c r="EK19404"/>
    </row>
    <row r="19405" spans="1:141" s="116" customFormat="1">
      <c r="A19405" s="136"/>
      <c r="CM19405" s="111"/>
      <c r="CQ19405" s="111"/>
      <c r="EF19405"/>
      <c r="EG19405"/>
      <c r="EH19405"/>
      <c r="EI19405"/>
      <c r="EJ19405"/>
      <c r="EK19405"/>
    </row>
    <row r="19406" spans="1:141" s="116" customFormat="1">
      <c r="A19406" s="136"/>
      <c r="CM19406" s="111"/>
      <c r="CQ19406" s="111"/>
      <c r="EF19406"/>
      <c r="EG19406"/>
      <c r="EH19406"/>
      <c r="EI19406"/>
      <c r="EJ19406"/>
      <c r="EK19406"/>
    </row>
    <row r="19407" spans="1:141" s="116" customFormat="1">
      <c r="A19407" s="136"/>
      <c r="CM19407" s="111"/>
      <c r="CQ19407" s="111"/>
      <c r="EF19407"/>
      <c r="EG19407"/>
      <c r="EH19407"/>
      <c r="EI19407"/>
      <c r="EJ19407"/>
      <c r="EK19407"/>
    </row>
    <row r="19408" spans="1:141" s="116" customFormat="1">
      <c r="A19408" s="136"/>
      <c r="CM19408" s="111"/>
      <c r="CQ19408" s="111"/>
      <c r="EF19408"/>
      <c r="EG19408"/>
      <c r="EH19408"/>
      <c r="EI19408"/>
      <c r="EJ19408"/>
      <c r="EK19408"/>
    </row>
    <row r="19409" spans="1:141" s="116" customFormat="1">
      <c r="A19409" s="136"/>
      <c r="CM19409" s="111"/>
      <c r="CQ19409" s="111"/>
      <c r="EF19409"/>
      <c r="EG19409"/>
      <c r="EH19409"/>
      <c r="EI19409"/>
      <c r="EJ19409"/>
      <c r="EK19409"/>
    </row>
    <row r="19410" spans="1:141" s="116" customFormat="1">
      <c r="A19410" s="136"/>
      <c r="CM19410" s="111"/>
      <c r="CQ19410" s="111"/>
      <c r="EF19410"/>
      <c r="EG19410"/>
      <c r="EH19410"/>
      <c r="EI19410"/>
      <c r="EJ19410"/>
      <c r="EK19410"/>
    </row>
    <row r="19411" spans="1:141" s="116" customFormat="1">
      <c r="A19411" s="136"/>
      <c r="CM19411" s="111"/>
      <c r="CQ19411" s="111"/>
      <c r="EF19411"/>
      <c r="EG19411"/>
      <c r="EH19411"/>
      <c r="EI19411"/>
      <c r="EJ19411"/>
      <c r="EK19411"/>
    </row>
    <row r="19412" spans="1:141" s="116" customFormat="1">
      <c r="A19412" s="136"/>
      <c r="CM19412" s="111"/>
      <c r="CQ19412" s="111"/>
      <c r="EF19412"/>
      <c r="EG19412"/>
      <c r="EH19412"/>
      <c r="EI19412"/>
      <c r="EJ19412"/>
      <c r="EK19412"/>
    </row>
    <row r="19413" spans="1:141" s="116" customFormat="1">
      <c r="A19413" s="136"/>
      <c r="CM19413" s="111"/>
      <c r="CQ19413" s="111"/>
      <c r="EF19413"/>
      <c r="EG19413"/>
      <c r="EH19413"/>
      <c r="EI19413"/>
      <c r="EJ19413"/>
      <c r="EK19413"/>
    </row>
    <row r="19414" spans="1:141" s="116" customFormat="1">
      <c r="A19414" s="136"/>
      <c r="CM19414" s="111"/>
      <c r="CQ19414" s="111"/>
      <c r="EF19414"/>
      <c r="EG19414"/>
      <c r="EH19414"/>
      <c r="EI19414"/>
      <c r="EJ19414"/>
      <c r="EK19414"/>
    </row>
    <row r="19415" spans="1:141" s="116" customFormat="1">
      <c r="A19415" s="136"/>
      <c r="CM19415" s="111"/>
      <c r="CQ19415" s="111"/>
      <c r="EF19415"/>
      <c r="EG19415"/>
      <c r="EH19415"/>
      <c r="EI19415"/>
      <c r="EJ19415"/>
      <c r="EK19415"/>
    </row>
    <row r="19416" spans="1:141" s="116" customFormat="1">
      <c r="A19416" s="136"/>
      <c r="CM19416" s="111"/>
      <c r="CQ19416" s="111"/>
      <c r="EF19416"/>
      <c r="EG19416"/>
      <c r="EH19416"/>
      <c r="EI19416"/>
      <c r="EJ19416"/>
      <c r="EK19416"/>
    </row>
    <row r="19417" spans="1:141" s="116" customFormat="1">
      <c r="A19417" s="136"/>
      <c r="CM19417" s="111"/>
      <c r="CQ19417" s="111"/>
      <c r="EF19417"/>
      <c r="EG19417"/>
      <c r="EH19417"/>
      <c r="EI19417"/>
      <c r="EJ19417"/>
      <c r="EK19417"/>
    </row>
    <row r="19418" spans="1:141" s="116" customFormat="1">
      <c r="A19418" s="136"/>
      <c r="CM19418" s="111"/>
      <c r="CQ19418" s="111"/>
      <c r="EF19418"/>
      <c r="EG19418"/>
      <c r="EH19418"/>
      <c r="EI19418"/>
      <c r="EJ19418"/>
      <c r="EK19418"/>
    </row>
    <row r="19419" spans="1:141" s="116" customFormat="1">
      <c r="A19419" s="136"/>
      <c r="CM19419" s="111"/>
      <c r="CQ19419" s="111"/>
      <c r="EF19419"/>
      <c r="EG19419"/>
      <c r="EH19419"/>
      <c r="EI19419"/>
      <c r="EJ19419"/>
      <c r="EK19419"/>
    </row>
    <row r="19420" spans="1:141" s="116" customFormat="1">
      <c r="A19420" s="136"/>
      <c r="CM19420" s="111"/>
      <c r="CQ19420" s="111"/>
      <c r="EF19420"/>
      <c r="EG19420"/>
      <c r="EH19420"/>
      <c r="EI19420"/>
      <c r="EJ19420"/>
      <c r="EK19420"/>
    </row>
    <row r="19421" spans="1:141" s="116" customFormat="1">
      <c r="A19421" s="136"/>
      <c r="CM19421" s="111"/>
      <c r="CQ19421" s="111"/>
      <c r="EF19421"/>
      <c r="EG19421"/>
      <c r="EH19421"/>
      <c r="EI19421"/>
      <c r="EJ19421"/>
      <c r="EK19421"/>
    </row>
    <row r="19422" spans="1:141" s="116" customFormat="1">
      <c r="A19422" s="136"/>
      <c r="CM19422" s="111"/>
      <c r="CQ19422" s="111"/>
      <c r="EF19422"/>
      <c r="EG19422"/>
      <c r="EH19422"/>
      <c r="EI19422"/>
      <c r="EJ19422"/>
      <c r="EK19422"/>
    </row>
    <row r="19423" spans="1:141" s="116" customFormat="1">
      <c r="A19423" s="136"/>
      <c r="CM19423" s="111"/>
      <c r="CQ19423" s="111"/>
      <c r="EF19423"/>
      <c r="EG19423"/>
      <c r="EH19423"/>
      <c r="EI19423"/>
      <c r="EJ19423"/>
      <c r="EK19423"/>
    </row>
    <row r="19424" spans="1:141" s="116" customFormat="1">
      <c r="A19424" s="136"/>
      <c r="CM19424" s="111"/>
      <c r="CQ19424" s="111"/>
      <c r="EF19424"/>
      <c r="EG19424"/>
      <c r="EH19424"/>
      <c r="EI19424"/>
      <c r="EJ19424"/>
      <c r="EK19424"/>
    </row>
    <row r="19425" spans="1:141" s="116" customFormat="1">
      <c r="A19425" s="136"/>
      <c r="CM19425" s="111"/>
      <c r="CQ19425" s="111"/>
      <c r="EF19425"/>
      <c r="EG19425"/>
      <c r="EH19425"/>
      <c r="EI19425"/>
      <c r="EJ19425"/>
      <c r="EK19425"/>
    </row>
    <row r="19426" spans="1:141" s="116" customFormat="1">
      <c r="A19426" s="136"/>
      <c r="CM19426" s="111"/>
      <c r="CQ19426" s="111"/>
      <c r="EF19426"/>
      <c r="EG19426"/>
      <c r="EH19426"/>
      <c r="EI19426"/>
      <c r="EJ19426"/>
      <c r="EK19426"/>
    </row>
    <row r="19427" spans="1:141" s="116" customFormat="1">
      <c r="A19427" s="136"/>
      <c r="CM19427" s="111"/>
      <c r="CQ19427" s="111"/>
      <c r="EF19427"/>
      <c r="EG19427"/>
      <c r="EH19427"/>
      <c r="EI19427"/>
      <c r="EJ19427"/>
      <c r="EK19427"/>
    </row>
    <row r="19428" spans="1:141" s="116" customFormat="1">
      <c r="A19428" s="136"/>
      <c r="CM19428" s="111"/>
      <c r="CQ19428" s="111"/>
      <c r="EF19428"/>
      <c r="EG19428"/>
      <c r="EH19428"/>
      <c r="EI19428"/>
      <c r="EJ19428"/>
      <c r="EK19428"/>
    </row>
    <row r="19429" spans="1:141" s="116" customFormat="1">
      <c r="A19429" s="136"/>
      <c r="CM19429" s="111"/>
      <c r="CQ19429" s="111"/>
      <c r="EF19429"/>
      <c r="EG19429"/>
      <c r="EH19429"/>
      <c r="EI19429"/>
      <c r="EJ19429"/>
      <c r="EK19429"/>
    </row>
    <row r="19430" spans="1:141" s="116" customFormat="1">
      <c r="A19430" s="136"/>
      <c r="CM19430" s="111"/>
      <c r="CQ19430" s="111"/>
      <c r="EF19430"/>
      <c r="EG19430"/>
      <c r="EH19430"/>
      <c r="EI19430"/>
      <c r="EJ19430"/>
      <c r="EK19430"/>
    </row>
    <row r="19431" spans="1:141" s="116" customFormat="1">
      <c r="A19431" s="136"/>
      <c r="CM19431" s="111"/>
      <c r="CQ19431" s="111"/>
      <c r="EF19431"/>
      <c r="EG19431"/>
      <c r="EH19431"/>
      <c r="EI19431"/>
      <c r="EJ19431"/>
      <c r="EK19431"/>
    </row>
    <row r="19432" spans="1:141" s="116" customFormat="1">
      <c r="A19432" s="136"/>
      <c r="CM19432" s="111"/>
      <c r="CQ19432" s="111"/>
      <c r="EF19432"/>
      <c r="EG19432"/>
      <c r="EH19432"/>
      <c r="EI19432"/>
      <c r="EJ19432"/>
      <c r="EK19432"/>
    </row>
    <row r="19433" spans="1:141" s="116" customFormat="1">
      <c r="A19433" s="136"/>
      <c r="CM19433" s="111"/>
      <c r="CQ19433" s="111"/>
      <c r="EF19433"/>
      <c r="EG19433"/>
      <c r="EH19433"/>
      <c r="EI19433"/>
      <c r="EJ19433"/>
      <c r="EK19433"/>
    </row>
    <row r="19434" spans="1:141" s="116" customFormat="1">
      <c r="A19434" s="136"/>
      <c r="CM19434" s="111"/>
      <c r="CQ19434" s="111"/>
      <c r="EF19434"/>
      <c r="EG19434"/>
      <c r="EH19434"/>
      <c r="EI19434"/>
      <c r="EJ19434"/>
      <c r="EK19434"/>
    </row>
    <row r="19435" spans="1:141" s="116" customFormat="1">
      <c r="A19435" s="136"/>
      <c r="CM19435" s="111"/>
      <c r="CQ19435" s="111"/>
      <c r="EF19435"/>
      <c r="EG19435"/>
      <c r="EH19435"/>
      <c r="EI19435"/>
      <c r="EJ19435"/>
      <c r="EK19435"/>
    </row>
    <row r="19436" spans="1:141" s="116" customFormat="1">
      <c r="A19436" s="136"/>
      <c r="CM19436" s="111"/>
      <c r="CQ19436" s="111"/>
      <c r="EF19436"/>
      <c r="EG19436"/>
      <c r="EH19436"/>
      <c r="EI19436"/>
      <c r="EJ19436"/>
      <c r="EK19436"/>
    </row>
    <row r="19437" spans="1:141" s="116" customFormat="1">
      <c r="A19437" s="136"/>
      <c r="CM19437" s="111"/>
      <c r="CQ19437" s="111"/>
      <c r="EF19437"/>
      <c r="EG19437"/>
      <c r="EH19437"/>
      <c r="EI19437"/>
      <c r="EJ19437"/>
      <c r="EK19437"/>
    </row>
    <row r="19438" spans="1:141" s="116" customFormat="1">
      <c r="A19438" s="136"/>
      <c r="CM19438" s="111"/>
      <c r="CQ19438" s="111"/>
      <c r="EF19438"/>
      <c r="EG19438"/>
      <c r="EH19438"/>
      <c r="EI19438"/>
      <c r="EJ19438"/>
      <c r="EK19438"/>
    </row>
    <row r="19439" spans="1:141" s="116" customFormat="1">
      <c r="A19439" s="136"/>
      <c r="CM19439" s="111"/>
      <c r="CQ19439" s="111"/>
      <c r="EF19439"/>
      <c r="EG19439"/>
      <c r="EH19439"/>
      <c r="EI19439"/>
      <c r="EJ19439"/>
      <c r="EK19439"/>
    </row>
    <row r="19440" spans="1:141" s="116" customFormat="1">
      <c r="A19440" s="136"/>
      <c r="CM19440" s="111"/>
      <c r="CQ19440" s="111"/>
      <c r="EF19440"/>
      <c r="EG19440"/>
      <c r="EH19440"/>
      <c r="EI19440"/>
      <c r="EJ19440"/>
      <c r="EK19440"/>
    </row>
    <row r="19441" spans="1:141" s="116" customFormat="1">
      <c r="A19441" s="136"/>
      <c r="CM19441" s="111"/>
      <c r="CQ19441" s="111"/>
      <c r="EF19441"/>
      <c r="EG19441"/>
      <c r="EH19441"/>
      <c r="EI19441"/>
      <c r="EJ19441"/>
      <c r="EK19441"/>
    </row>
    <row r="19442" spans="1:141" s="116" customFormat="1">
      <c r="A19442" s="136"/>
      <c r="CM19442" s="111"/>
      <c r="CQ19442" s="111"/>
      <c r="EF19442"/>
      <c r="EG19442"/>
      <c r="EH19442"/>
      <c r="EI19442"/>
      <c r="EJ19442"/>
      <c r="EK19442"/>
    </row>
    <row r="19443" spans="1:141" s="116" customFormat="1">
      <c r="A19443" s="136"/>
      <c r="CM19443" s="111"/>
      <c r="CQ19443" s="111"/>
      <c r="EF19443"/>
      <c r="EG19443"/>
      <c r="EH19443"/>
      <c r="EI19443"/>
      <c r="EJ19443"/>
      <c r="EK19443"/>
    </row>
    <row r="19444" spans="1:141" s="116" customFormat="1">
      <c r="A19444" s="136"/>
      <c r="CM19444" s="111"/>
      <c r="CQ19444" s="111"/>
      <c r="EF19444"/>
      <c r="EG19444"/>
      <c r="EH19444"/>
      <c r="EI19444"/>
      <c r="EJ19444"/>
      <c r="EK19444"/>
    </row>
    <row r="19445" spans="1:141" s="116" customFormat="1">
      <c r="A19445" s="136"/>
      <c r="CM19445" s="111"/>
      <c r="CQ19445" s="111"/>
      <c r="EF19445"/>
      <c r="EG19445"/>
      <c r="EH19445"/>
      <c r="EI19445"/>
      <c r="EJ19445"/>
      <c r="EK19445"/>
    </row>
    <row r="19446" spans="1:141" s="116" customFormat="1">
      <c r="A19446" s="136"/>
      <c r="CM19446" s="111"/>
      <c r="CQ19446" s="111"/>
      <c r="EF19446"/>
      <c r="EG19446"/>
      <c r="EH19446"/>
      <c r="EI19446"/>
      <c r="EJ19446"/>
      <c r="EK19446"/>
    </row>
    <row r="19447" spans="1:141" s="116" customFormat="1">
      <c r="A19447" s="136"/>
      <c r="CM19447" s="111"/>
      <c r="CQ19447" s="111"/>
      <c r="EF19447"/>
      <c r="EG19447"/>
      <c r="EH19447"/>
      <c r="EI19447"/>
      <c r="EJ19447"/>
      <c r="EK19447"/>
    </row>
    <row r="19448" spans="1:141" s="116" customFormat="1">
      <c r="A19448" s="136"/>
      <c r="CM19448" s="111"/>
      <c r="CQ19448" s="111"/>
      <c r="EF19448"/>
      <c r="EG19448"/>
      <c r="EH19448"/>
      <c r="EI19448"/>
      <c r="EJ19448"/>
      <c r="EK19448"/>
    </row>
    <row r="19449" spans="1:141" s="116" customFormat="1">
      <c r="A19449" s="136"/>
      <c r="CM19449" s="111"/>
      <c r="CQ19449" s="111"/>
      <c r="EF19449"/>
      <c r="EG19449"/>
      <c r="EH19449"/>
      <c r="EI19449"/>
      <c r="EJ19449"/>
      <c r="EK19449"/>
    </row>
    <row r="19450" spans="1:141" s="116" customFormat="1">
      <c r="A19450" s="136"/>
      <c r="CM19450" s="111"/>
      <c r="CQ19450" s="111"/>
      <c r="EF19450"/>
      <c r="EG19450"/>
      <c r="EH19450"/>
      <c r="EI19450"/>
      <c r="EJ19450"/>
      <c r="EK19450"/>
    </row>
    <row r="19451" spans="1:141" s="116" customFormat="1">
      <c r="A19451" s="136"/>
      <c r="CM19451" s="111"/>
      <c r="CQ19451" s="111"/>
      <c r="EF19451"/>
      <c r="EG19451"/>
      <c r="EH19451"/>
      <c r="EI19451"/>
      <c r="EJ19451"/>
      <c r="EK19451"/>
    </row>
    <row r="19452" spans="1:141" s="116" customFormat="1">
      <c r="A19452" s="136"/>
      <c r="CM19452" s="111"/>
      <c r="CQ19452" s="111"/>
      <c r="EF19452"/>
      <c r="EG19452"/>
      <c r="EH19452"/>
      <c r="EI19452"/>
      <c r="EJ19452"/>
      <c r="EK19452"/>
    </row>
    <row r="19453" spans="1:141" s="116" customFormat="1">
      <c r="A19453" s="136"/>
      <c r="CM19453" s="111"/>
      <c r="CQ19453" s="111"/>
      <c r="EF19453"/>
      <c r="EG19453"/>
      <c r="EH19453"/>
      <c r="EI19453"/>
      <c r="EJ19453"/>
      <c r="EK19453"/>
    </row>
    <row r="19454" spans="1:141" s="116" customFormat="1">
      <c r="A19454" s="136"/>
      <c r="CM19454" s="111"/>
      <c r="CQ19454" s="111"/>
      <c r="EF19454"/>
      <c r="EG19454"/>
      <c r="EH19454"/>
      <c r="EI19454"/>
      <c r="EJ19454"/>
      <c r="EK19454"/>
    </row>
    <row r="19455" spans="1:141" s="116" customFormat="1">
      <c r="A19455" s="136"/>
      <c r="CM19455" s="111"/>
      <c r="CQ19455" s="111"/>
      <c r="EF19455"/>
      <c r="EG19455"/>
      <c r="EH19455"/>
      <c r="EI19455"/>
      <c r="EJ19455"/>
      <c r="EK19455"/>
    </row>
    <row r="19456" spans="1:141" s="116" customFormat="1">
      <c r="A19456" s="136"/>
      <c r="CM19456" s="111"/>
      <c r="CQ19456" s="111"/>
      <c r="EF19456"/>
      <c r="EG19456"/>
      <c r="EH19456"/>
      <c r="EI19456"/>
      <c r="EJ19456"/>
      <c r="EK19456"/>
    </row>
    <row r="19457" spans="1:141" s="116" customFormat="1">
      <c r="A19457" s="136"/>
      <c r="CM19457" s="111"/>
      <c r="CQ19457" s="111"/>
      <c r="EF19457"/>
      <c r="EG19457"/>
      <c r="EH19457"/>
      <c r="EI19457"/>
      <c r="EJ19457"/>
      <c r="EK19457"/>
    </row>
    <row r="19458" spans="1:141" s="116" customFormat="1">
      <c r="A19458" s="136"/>
      <c r="CM19458" s="111"/>
      <c r="CQ19458" s="111"/>
      <c r="EF19458"/>
      <c r="EG19458"/>
      <c r="EH19458"/>
      <c r="EI19458"/>
      <c r="EJ19458"/>
      <c r="EK19458"/>
    </row>
    <row r="19459" spans="1:141" s="116" customFormat="1">
      <c r="A19459" s="136"/>
      <c r="CM19459" s="111"/>
      <c r="CQ19459" s="111"/>
      <c r="EF19459"/>
      <c r="EG19459"/>
      <c r="EH19459"/>
      <c r="EI19459"/>
      <c r="EJ19459"/>
      <c r="EK19459"/>
    </row>
    <row r="19460" spans="1:141" s="116" customFormat="1">
      <c r="A19460" s="136"/>
      <c r="CM19460" s="111"/>
      <c r="CQ19460" s="111"/>
      <c r="EF19460"/>
      <c r="EG19460"/>
      <c r="EH19460"/>
      <c r="EI19460"/>
      <c r="EJ19460"/>
      <c r="EK19460"/>
    </row>
    <row r="19461" spans="1:141" s="116" customFormat="1">
      <c r="A19461" s="136"/>
      <c r="CM19461" s="111"/>
      <c r="CQ19461" s="111"/>
      <c r="EF19461"/>
      <c r="EG19461"/>
      <c r="EH19461"/>
      <c r="EI19461"/>
      <c r="EJ19461"/>
      <c r="EK19461"/>
    </row>
    <row r="19462" spans="1:141" s="116" customFormat="1">
      <c r="A19462" s="136"/>
      <c r="CM19462" s="111"/>
      <c r="CQ19462" s="111"/>
      <c r="EF19462"/>
      <c r="EG19462"/>
      <c r="EH19462"/>
      <c r="EI19462"/>
      <c r="EJ19462"/>
      <c r="EK19462"/>
    </row>
    <row r="19463" spans="1:141" s="116" customFormat="1">
      <c r="A19463" s="136"/>
      <c r="CM19463" s="111"/>
      <c r="CQ19463" s="111"/>
      <c r="EF19463"/>
      <c r="EG19463"/>
      <c r="EH19463"/>
      <c r="EI19463"/>
      <c r="EJ19463"/>
      <c r="EK19463"/>
    </row>
    <row r="19464" spans="1:141" s="116" customFormat="1">
      <c r="A19464" s="136"/>
      <c r="CM19464" s="111"/>
      <c r="CQ19464" s="111"/>
      <c r="EF19464"/>
      <c r="EG19464"/>
      <c r="EH19464"/>
      <c r="EI19464"/>
      <c r="EJ19464"/>
      <c r="EK19464"/>
    </row>
    <row r="19465" spans="1:141" s="116" customFormat="1">
      <c r="A19465" s="136"/>
      <c r="CM19465" s="111"/>
      <c r="CQ19465" s="111"/>
      <c r="EF19465"/>
      <c r="EG19465"/>
      <c r="EH19465"/>
      <c r="EI19465"/>
      <c r="EJ19465"/>
      <c r="EK19465"/>
    </row>
    <row r="19466" spans="1:141" s="116" customFormat="1">
      <c r="A19466" s="136"/>
      <c r="CM19466" s="111"/>
      <c r="CQ19466" s="111"/>
      <c r="EF19466"/>
      <c r="EG19466"/>
      <c r="EH19466"/>
      <c r="EI19466"/>
      <c r="EJ19466"/>
      <c r="EK19466"/>
    </row>
    <row r="19467" spans="1:141" s="116" customFormat="1">
      <c r="A19467" s="136"/>
      <c r="CM19467" s="111"/>
      <c r="CQ19467" s="111"/>
      <c r="EF19467"/>
      <c r="EG19467"/>
      <c r="EH19467"/>
      <c r="EI19467"/>
      <c r="EJ19467"/>
      <c r="EK19467"/>
    </row>
    <row r="19468" spans="1:141" s="116" customFormat="1">
      <c r="A19468" s="136"/>
      <c r="CM19468" s="111"/>
      <c r="CQ19468" s="111"/>
      <c r="EF19468"/>
      <c r="EG19468"/>
      <c r="EH19468"/>
      <c r="EI19468"/>
      <c r="EJ19468"/>
      <c r="EK19468"/>
    </row>
    <row r="19469" spans="1:141" s="116" customFormat="1">
      <c r="A19469" s="136"/>
      <c r="CM19469" s="111"/>
      <c r="CQ19469" s="111"/>
      <c r="EF19469"/>
      <c r="EG19469"/>
      <c r="EH19469"/>
      <c r="EI19469"/>
      <c r="EJ19469"/>
      <c r="EK19469"/>
    </row>
    <row r="19470" spans="1:141" s="116" customFormat="1">
      <c r="A19470" s="136"/>
      <c r="CM19470" s="111"/>
      <c r="CQ19470" s="111"/>
      <c r="EF19470"/>
      <c r="EG19470"/>
      <c r="EH19470"/>
      <c r="EI19470"/>
      <c r="EJ19470"/>
      <c r="EK19470"/>
    </row>
    <row r="19471" spans="1:141" s="116" customFormat="1">
      <c r="A19471" s="136"/>
      <c r="CM19471" s="111"/>
      <c r="CQ19471" s="111"/>
      <c r="EF19471"/>
      <c r="EG19471"/>
      <c r="EH19471"/>
      <c r="EI19471"/>
      <c r="EJ19471"/>
      <c r="EK19471"/>
    </row>
    <row r="19472" spans="1:141" s="116" customFormat="1">
      <c r="A19472" s="136"/>
      <c r="CM19472" s="111"/>
      <c r="CQ19472" s="111"/>
      <c r="EF19472"/>
      <c r="EG19472"/>
      <c r="EH19472"/>
      <c r="EI19472"/>
      <c r="EJ19472"/>
      <c r="EK19472"/>
    </row>
    <row r="19473" spans="1:141" s="116" customFormat="1">
      <c r="A19473" s="136"/>
      <c r="CM19473" s="111"/>
      <c r="CQ19473" s="111"/>
      <c r="EF19473"/>
      <c r="EG19473"/>
      <c r="EH19473"/>
      <c r="EI19473"/>
      <c r="EJ19473"/>
      <c r="EK19473"/>
    </row>
    <row r="19474" spans="1:141" s="116" customFormat="1">
      <c r="A19474" s="136"/>
      <c r="CM19474" s="111"/>
      <c r="CQ19474" s="111"/>
      <c r="EF19474"/>
      <c r="EG19474"/>
      <c r="EH19474"/>
      <c r="EI19474"/>
      <c r="EJ19474"/>
      <c r="EK19474"/>
    </row>
    <row r="19475" spans="1:141" s="116" customFormat="1">
      <c r="A19475" s="136"/>
      <c r="CM19475" s="111"/>
      <c r="CQ19475" s="111"/>
      <c r="EF19475"/>
      <c r="EG19475"/>
      <c r="EH19475"/>
      <c r="EI19475"/>
      <c r="EJ19475"/>
      <c r="EK19475"/>
    </row>
    <row r="19476" spans="1:141" s="116" customFormat="1">
      <c r="A19476" s="136"/>
      <c r="CM19476" s="111"/>
      <c r="CQ19476" s="111"/>
      <c r="EF19476"/>
      <c r="EG19476"/>
      <c r="EH19476"/>
      <c r="EI19476"/>
      <c r="EJ19476"/>
      <c r="EK19476"/>
    </row>
    <row r="19477" spans="1:141" s="116" customFormat="1">
      <c r="A19477" s="136"/>
      <c r="CM19477" s="111"/>
      <c r="CQ19477" s="111"/>
      <c r="EF19477"/>
      <c r="EG19477"/>
      <c r="EH19477"/>
      <c r="EI19477"/>
      <c r="EJ19477"/>
      <c r="EK19477"/>
    </row>
    <row r="19478" spans="1:141" s="116" customFormat="1">
      <c r="A19478" s="136"/>
      <c r="CM19478" s="111"/>
      <c r="CQ19478" s="111"/>
      <c r="EF19478"/>
      <c r="EG19478"/>
      <c r="EH19478"/>
      <c r="EI19478"/>
      <c r="EJ19478"/>
      <c r="EK19478"/>
    </row>
    <row r="19479" spans="1:141" s="116" customFormat="1">
      <c r="A19479" s="136"/>
      <c r="CM19479" s="111"/>
      <c r="CQ19479" s="111"/>
      <c r="EF19479"/>
      <c r="EG19479"/>
      <c r="EH19479"/>
      <c r="EI19479"/>
      <c r="EJ19479"/>
      <c r="EK19479"/>
    </row>
    <row r="19480" spans="1:141" s="116" customFormat="1">
      <c r="A19480" s="136"/>
      <c r="CM19480" s="111"/>
      <c r="CQ19480" s="111"/>
      <c r="EF19480"/>
      <c r="EG19480"/>
      <c r="EH19480"/>
      <c r="EI19480"/>
      <c r="EJ19480"/>
      <c r="EK19480"/>
    </row>
    <row r="19481" spans="1:141" s="116" customFormat="1">
      <c r="A19481" s="136"/>
      <c r="CM19481" s="111"/>
      <c r="CQ19481" s="111"/>
      <c r="EF19481"/>
      <c r="EG19481"/>
      <c r="EH19481"/>
      <c r="EI19481"/>
      <c r="EJ19481"/>
      <c r="EK19481"/>
    </row>
    <row r="19482" spans="1:141" s="116" customFormat="1">
      <c r="A19482" s="136"/>
      <c r="CM19482" s="111"/>
      <c r="CQ19482" s="111"/>
      <c r="EF19482"/>
      <c r="EG19482"/>
      <c r="EH19482"/>
      <c r="EI19482"/>
      <c r="EJ19482"/>
      <c r="EK19482"/>
    </row>
    <row r="19483" spans="1:141" s="116" customFormat="1">
      <c r="A19483" s="136"/>
      <c r="CM19483" s="111"/>
      <c r="CQ19483" s="111"/>
      <c r="EF19483"/>
      <c r="EG19483"/>
      <c r="EH19483"/>
      <c r="EI19483"/>
      <c r="EJ19483"/>
      <c r="EK19483"/>
    </row>
    <row r="19484" spans="1:141" s="116" customFormat="1">
      <c r="A19484" s="136"/>
      <c r="CM19484" s="111"/>
      <c r="CQ19484" s="111"/>
      <c r="EF19484"/>
      <c r="EG19484"/>
      <c r="EH19484"/>
      <c r="EI19484"/>
      <c r="EJ19484"/>
      <c r="EK19484"/>
    </row>
    <row r="19485" spans="1:141" s="116" customFormat="1">
      <c r="A19485" s="136"/>
      <c r="CM19485" s="111"/>
      <c r="CQ19485" s="111"/>
      <c r="EF19485"/>
      <c r="EG19485"/>
      <c r="EH19485"/>
      <c r="EI19485"/>
      <c r="EJ19485"/>
      <c r="EK19485"/>
    </row>
    <row r="19486" spans="1:141" s="116" customFormat="1">
      <c r="A19486" s="136"/>
      <c r="CM19486" s="111"/>
      <c r="CQ19486" s="111"/>
      <c r="EF19486"/>
      <c r="EG19486"/>
      <c r="EH19486"/>
      <c r="EI19486"/>
      <c r="EJ19486"/>
      <c r="EK19486"/>
    </row>
    <row r="19487" spans="1:141" s="116" customFormat="1">
      <c r="A19487" s="136"/>
      <c r="CM19487" s="111"/>
      <c r="CQ19487" s="111"/>
      <c r="EF19487"/>
      <c r="EG19487"/>
      <c r="EH19487"/>
      <c r="EI19487"/>
      <c r="EJ19487"/>
      <c r="EK19487"/>
    </row>
    <row r="19488" spans="1:141" s="116" customFormat="1">
      <c r="A19488" s="136"/>
      <c r="CM19488" s="111"/>
      <c r="CQ19488" s="111"/>
      <c r="EF19488"/>
      <c r="EG19488"/>
      <c r="EH19488"/>
      <c r="EI19488"/>
      <c r="EJ19488"/>
      <c r="EK19488"/>
    </row>
    <row r="19489" spans="1:141" s="116" customFormat="1">
      <c r="A19489" s="136"/>
      <c r="CM19489" s="111"/>
      <c r="CQ19489" s="111"/>
      <c r="EF19489"/>
      <c r="EG19489"/>
      <c r="EH19489"/>
      <c r="EI19489"/>
      <c r="EJ19489"/>
      <c r="EK19489"/>
    </row>
    <row r="19490" spans="1:141" s="116" customFormat="1">
      <c r="A19490" s="136"/>
      <c r="CM19490" s="111"/>
      <c r="CQ19490" s="111"/>
      <c r="EF19490"/>
      <c r="EG19490"/>
      <c r="EH19490"/>
      <c r="EI19490"/>
      <c r="EJ19490"/>
      <c r="EK19490"/>
    </row>
    <row r="19491" spans="1:141" s="116" customFormat="1">
      <c r="A19491" s="136"/>
      <c r="CM19491" s="111"/>
      <c r="CQ19491" s="111"/>
      <c r="EF19491"/>
      <c r="EG19491"/>
      <c r="EH19491"/>
      <c r="EI19491"/>
      <c r="EJ19491"/>
      <c r="EK19491"/>
    </row>
    <row r="19492" spans="1:141" s="116" customFormat="1">
      <c r="A19492" s="136"/>
      <c r="CM19492" s="111"/>
      <c r="CQ19492" s="111"/>
      <c r="EF19492"/>
      <c r="EG19492"/>
      <c r="EH19492"/>
      <c r="EI19492"/>
      <c r="EJ19492"/>
      <c r="EK19492"/>
    </row>
    <row r="19493" spans="1:141" s="116" customFormat="1">
      <c r="A19493" s="136"/>
      <c r="CM19493" s="111"/>
      <c r="CQ19493" s="111"/>
      <c r="EF19493"/>
      <c r="EG19493"/>
      <c r="EH19493"/>
      <c r="EI19493"/>
      <c r="EJ19493"/>
      <c r="EK19493"/>
    </row>
    <row r="19494" spans="1:141" s="116" customFormat="1">
      <c r="A19494" s="136"/>
      <c r="CM19494" s="111"/>
      <c r="CQ19494" s="111"/>
      <c r="EF19494"/>
      <c r="EG19494"/>
      <c r="EH19494"/>
      <c r="EI19494"/>
      <c r="EJ19494"/>
      <c r="EK19494"/>
    </row>
    <row r="19495" spans="1:141" s="116" customFormat="1">
      <c r="A19495" s="136"/>
      <c r="CM19495" s="111"/>
      <c r="CQ19495" s="111"/>
      <c r="EF19495"/>
      <c r="EG19495"/>
      <c r="EH19495"/>
      <c r="EI19495"/>
      <c r="EJ19495"/>
      <c r="EK19495"/>
    </row>
    <row r="19496" spans="1:141" s="116" customFormat="1">
      <c r="A19496" s="136"/>
      <c r="CM19496" s="111"/>
      <c r="CQ19496" s="111"/>
      <c r="EF19496"/>
      <c r="EG19496"/>
      <c r="EH19496"/>
      <c r="EI19496"/>
      <c r="EJ19496"/>
      <c r="EK19496"/>
    </row>
    <row r="19497" spans="1:141" s="116" customFormat="1">
      <c r="A19497" s="136"/>
      <c r="CM19497" s="111"/>
      <c r="CQ19497" s="111"/>
      <c r="EF19497"/>
      <c r="EG19497"/>
      <c r="EH19497"/>
      <c r="EI19497"/>
      <c r="EJ19497"/>
      <c r="EK19497"/>
    </row>
    <row r="19498" spans="1:141" s="116" customFormat="1">
      <c r="A19498" s="136"/>
      <c r="CM19498" s="111"/>
      <c r="CQ19498" s="111"/>
      <c r="EF19498"/>
      <c r="EG19498"/>
      <c r="EH19498"/>
      <c r="EI19498"/>
      <c r="EJ19498"/>
      <c r="EK19498"/>
    </row>
    <row r="19499" spans="1:141" s="116" customFormat="1">
      <c r="A19499" s="136"/>
      <c r="CM19499" s="111"/>
      <c r="CQ19499" s="111"/>
      <c r="EF19499"/>
      <c r="EG19499"/>
      <c r="EH19499"/>
      <c r="EI19499"/>
      <c r="EJ19499"/>
      <c r="EK19499"/>
    </row>
    <row r="19500" spans="1:141" s="116" customFormat="1">
      <c r="A19500" s="136"/>
      <c r="CM19500" s="111"/>
      <c r="CQ19500" s="111"/>
      <c r="EF19500"/>
      <c r="EG19500"/>
      <c r="EH19500"/>
      <c r="EI19500"/>
      <c r="EJ19500"/>
      <c r="EK19500"/>
    </row>
    <row r="19501" spans="1:141" s="116" customFormat="1">
      <c r="A19501" s="136"/>
      <c r="CM19501" s="111"/>
      <c r="CQ19501" s="111"/>
      <c r="EF19501"/>
      <c r="EG19501"/>
      <c r="EH19501"/>
      <c r="EI19501"/>
      <c r="EJ19501"/>
      <c r="EK19501"/>
    </row>
    <row r="19502" spans="1:141" s="116" customFormat="1">
      <c r="A19502" s="136"/>
      <c r="CM19502" s="111"/>
      <c r="CQ19502" s="111"/>
      <c r="EF19502"/>
      <c r="EG19502"/>
      <c r="EH19502"/>
      <c r="EI19502"/>
      <c r="EJ19502"/>
      <c r="EK19502"/>
    </row>
    <row r="19503" spans="1:141" s="116" customFormat="1">
      <c r="A19503" s="136"/>
      <c r="CM19503" s="111"/>
      <c r="CQ19503" s="111"/>
      <c r="EF19503"/>
      <c r="EG19503"/>
      <c r="EH19503"/>
      <c r="EI19503"/>
      <c r="EJ19503"/>
      <c r="EK19503"/>
    </row>
    <row r="19504" spans="1:141" s="116" customFormat="1">
      <c r="A19504" s="136"/>
      <c r="CM19504" s="111"/>
      <c r="CQ19504" s="111"/>
      <c r="EF19504"/>
      <c r="EG19504"/>
      <c r="EH19504"/>
      <c r="EI19504"/>
      <c r="EJ19504"/>
      <c r="EK19504"/>
    </row>
    <row r="19505" spans="1:141" s="116" customFormat="1">
      <c r="A19505" s="136"/>
      <c r="CM19505" s="111"/>
      <c r="CQ19505" s="111"/>
      <c r="EF19505"/>
      <c r="EG19505"/>
      <c r="EH19505"/>
      <c r="EI19505"/>
      <c r="EJ19505"/>
      <c r="EK19505"/>
    </row>
    <row r="19506" spans="1:141" s="116" customFormat="1">
      <c r="A19506" s="136"/>
      <c r="CM19506" s="111"/>
      <c r="CQ19506" s="111"/>
      <c r="EF19506"/>
      <c r="EG19506"/>
      <c r="EH19506"/>
      <c r="EI19506"/>
      <c r="EJ19506"/>
      <c r="EK19506"/>
    </row>
    <row r="19507" spans="1:141" s="116" customFormat="1">
      <c r="A19507" s="136"/>
      <c r="CM19507" s="111"/>
      <c r="CQ19507" s="111"/>
      <c r="EF19507"/>
      <c r="EG19507"/>
      <c r="EH19507"/>
      <c r="EI19507"/>
      <c r="EJ19507"/>
      <c r="EK19507"/>
    </row>
    <row r="19508" spans="1:141" s="116" customFormat="1">
      <c r="A19508" s="136"/>
      <c r="CM19508" s="111"/>
      <c r="CQ19508" s="111"/>
      <c r="EF19508"/>
      <c r="EG19508"/>
      <c r="EH19508"/>
      <c r="EI19508"/>
      <c r="EJ19508"/>
      <c r="EK19508"/>
    </row>
    <row r="19509" spans="1:141" s="116" customFormat="1">
      <c r="A19509" s="136"/>
      <c r="CM19509" s="111"/>
      <c r="CQ19509" s="111"/>
      <c r="EF19509"/>
      <c r="EG19509"/>
      <c r="EH19509"/>
      <c r="EI19509"/>
      <c r="EJ19509"/>
      <c r="EK19509"/>
    </row>
    <row r="19510" spans="1:141" s="116" customFormat="1">
      <c r="A19510" s="136"/>
      <c r="CM19510" s="111"/>
      <c r="CQ19510" s="111"/>
      <c r="EF19510"/>
      <c r="EG19510"/>
      <c r="EH19510"/>
      <c r="EI19510"/>
      <c r="EJ19510"/>
      <c r="EK19510"/>
    </row>
    <row r="19511" spans="1:141" s="116" customFormat="1">
      <c r="A19511" s="136"/>
      <c r="CM19511" s="111"/>
      <c r="CQ19511" s="111"/>
      <c r="EF19511"/>
      <c r="EG19511"/>
      <c r="EH19511"/>
      <c r="EI19511"/>
      <c r="EJ19511"/>
      <c r="EK19511"/>
    </row>
    <row r="19512" spans="1:141" s="116" customFormat="1">
      <c r="A19512" s="136"/>
      <c r="CM19512" s="111"/>
      <c r="CQ19512" s="111"/>
      <c r="EF19512"/>
      <c r="EG19512"/>
      <c r="EH19512"/>
      <c r="EI19512"/>
      <c r="EJ19512"/>
      <c r="EK19512"/>
    </row>
    <row r="19513" spans="1:141" s="116" customFormat="1">
      <c r="A19513" s="136"/>
      <c r="CM19513" s="111"/>
      <c r="CQ19513" s="111"/>
      <c r="EF19513"/>
      <c r="EG19513"/>
      <c r="EH19513"/>
      <c r="EI19513"/>
      <c r="EJ19513"/>
      <c r="EK19513"/>
    </row>
    <row r="19514" spans="1:141" s="116" customFormat="1">
      <c r="A19514" s="136"/>
      <c r="CM19514" s="111"/>
      <c r="CQ19514" s="111"/>
      <c r="EF19514"/>
      <c r="EG19514"/>
      <c r="EH19514"/>
      <c r="EI19514"/>
      <c r="EJ19514"/>
      <c r="EK19514"/>
    </row>
    <row r="19515" spans="1:141" s="116" customFormat="1">
      <c r="A19515" s="136"/>
      <c r="CM19515" s="111"/>
      <c r="CQ19515" s="111"/>
      <c r="EF19515"/>
      <c r="EG19515"/>
      <c r="EH19515"/>
      <c r="EI19515"/>
      <c r="EJ19515"/>
      <c r="EK19515"/>
    </row>
    <row r="19516" spans="1:141" s="116" customFormat="1">
      <c r="A19516" s="136"/>
      <c r="CM19516" s="111"/>
      <c r="CQ19516" s="111"/>
      <c r="EF19516"/>
      <c r="EG19516"/>
      <c r="EH19516"/>
      <c r="EI19516"/>
      <c r="EJ19516"/>
      <c r="EK19516"/>
    </row>
    <row r="19517" spans="1:141" s="116" customFormat="1">
      <c r="A19517" s="136"/>
      <c r="CM19517" s="111"/>
      <c r="CQ19517" s="111"/>
      <c r="EF19517"/>
      <c r="EG19517"/>
      <c r="EH19517"/>
      <c r="EI19517"/>
      <c r="EJ19517"/>
      <c r="EK19517"/>
    </row>
    <row r="19518" spans="1:141" s="116" customFormat="1">
      <c r="A19518" s="136"/>
      <c r="CM19518" s="111"/>
      <c r="CQ19518" s="111"/>
      <c r="EF19518"/>
      <c r="EG19518"/>
      <c r="EH19518"/>
      <c r="EI19518"/>
      <c r="EJ19518"/>
      <c r="EK19518"/>
    </row>
    <row r="19519" spans="1:141" s="116" customFormat="1">
      <c r="A19519" s="136"/>
      <c r="CM19519" s="111"/>
      <c r="CQ19519" s="111"/>
      <c r="EF19519"/>
      <c r="EG19519"/>
      <c r="EH19519"/>
      <c r="EI19519"/>
      <c r="EJ19519"/>
      <c r="EK19519"/>
    </row>
    <row r="19520" spans="1:141" s="116" customFormat="1">
      <c r="A19520" s="136"/>
      <c r="CM19520" s="111"/>
      <c r="CQ19520" s="111"/>
      <c r="EF19520"/>
      <c r="EG19520"/>
      <c r="EH19520"/>
      <c r="EI19520"/>
      <c r="EJ19520"/>
      <c r="EK19520"/>
    </row>
    <row r="19521" spans="1:141" s="116" customFormat="1">
      <c r="A19521" s="136"/>
      <c r="CM19521" s="111"/>
      <c r="CQ19521" s="111"/>
      <c r="EF19521"/>
      <c r="EG19521"/>
      <c r="EH19521"/>
      <c r="EI19521"/>
      <c r="EJ19521"/>
      <c r="EK19521"/>
    </row>
    <row r="19522" spans="1:141" s="116" customFormat="1">
      <c r="A19522" s="136"/>
      <c r="CM19522" s="111"/>
      <c r="CQ19522" s="111"/>
      <c r="EF19522"/>
      <c r="EG19522"/>
      <c r="EH19522"/>
      <c r="EI19522"/>
      <c r="EJ19522"/>
      <c r="EK19522"/>
    </row>
    <row r="19523" spans="1:141" s="116" customFormat="1">
      <c r="A19523" s="136"/>
      <c r="CM19523" s="111"/>
      <c r="CQ19523" s="111"/>
      <c r="EF19523"/>
      <c r="EG19523"/>
      <c r="EH19523"/>
      <c r="EI19523"/>
      <c r="EJ19523"/>
      <c r="EK19523"/>
    </row>
    <row r="19524" spans="1:141" s="116" customFormat="1">
      <c r="A19524" s="136"/>
      <c r="CM19524" s="111"/>
      <c r="CQ19524" s="111"/>
      <c r="EF19524"/>
      <c r="EG19524"/>
      <c r="EH19524"/>
      <c r="EI19524"/>
      <c r="EJ19524"/>
      <c r="EK19524"/>
    </row>
    <row r="19525" spans="1:141" s="116" customFormat="1">
      <c r="A19525" s="136"/>
      <c r="CM19525" s="111"/>
      <c r="CQ19525" s="111"/>
      <c r="EF19525"/>
      <c r="EG19525"/>
      <c r="EH19525"/>
      <c r="EI19525"/>
      <c r="EJ19525"/>
      <c r="EK19525"/>
    </row>
    <row r="19526" spans="1:141" s="116" customFormat="1">
      <c r="A19526" s="136"/>
      <c r="CM19526" s="111"/>
      <c r="CQ19526" s="111"/>
      <c r="EF19526"/>
      <c r="EG19526"/>
      <c r="EH19526"/>
      <c r="EI19526"/>
      <c r="EJ19526"/>
      <c r="EK19526"/>
    </row>
    <row r="19527" spans="1:141" s="116" customFormat="1">
      <c r="A19527" s="136"/>
      <c r="CM19527" s="111"/>
      <c r="CQ19527" s="111"/>
      <c r="EF19527"/>
      <c r="EG19527"/>
      <c r="EH19527"/>
      <c r="EI19527"/>
      <c r="EJ19527"/>
      <c r="EK19527"/>
    </row>
    <row r="19528" spans="1:141" s="116" customFormat="1">
      <c r="A19528" s="136"/>
      <c r="CM19528" s="111"/>
      <c r="CQ19528" s="111"/>
      <c r="EF19528"/>
      <c r="EG19528"/>
      <c r="EH19528"/>
      <c r="EI19528"/>
      <c r="EJ19528"/>
      <c r="EK19528"/>
    </row>
    <row r="19529" spans="1:141" s="116" customFormat="1">
      <c r="A19529" s="136"/>
      <c r="CM19529" s="111"/>
      <c r="CQ19529" s="111"/>
      <c r="EF19529"/>
      <c r="EG19529"/>
      <c r="EH19529"/>
      <c r="EI19529"/>
      <c r="EJ19529"/>
      <c r="EK19529"/>
    </row>
    <row r="19530" spans="1:141" s="116" customFormat="1">
      <c r="A19530" s="136"/>
      <c r="CM19530" s="111"/>
      <c r="CQ19530" s="111"/>
      <c r="EF19530"/>
      <c r="EG19530"/>
      <c r="EH19530"/>
      <c r="EI19530"/>
      <c r="EJ19530"/>
      <c r="EK19530"/>
    </row>
    <row r="19531" spans="1:141" s="116" customFormat="1">
      <c r="A19531" s="136"/>
      <c r="CM19531" s="111"/>
      <c r="CQ19531" s="111"/>
      <c r="EF19531"/>
      <c r="EG19531"/>
      <c r="EH19531"/>
      <c r="EI19531"/>
      <c r="EJ19531"/>
      <c r="EK19531"/>
    </row>
    <row r="19532" spans="1:141" s="116" customFormat="1">
      <c r="A19532" s="136"/>
      <c r="CM19532" s="111"/>
      <c r="CQ19532" s="111"/>
      <c r="EF19532"/>
      <c r="EG19532"/>
      <c r="EH19532"/>
      <c r="EI19532"/>
      <c r="EJ19532"/>
      <c r="EK19532"/>
    </row>
    <row r="19533" spans="1:141" s="116" customFormat="1">
      <c r="A19533" s="136"/>
      <c r="CM19533" s="111"/>
      <c r="CQ19533" s="111"/>
      <c r="EF19533"/>
      <c r="EG19533"/>
      <c r="EH19533"/>
      <c r="EI19533"/>
      <c r="EJ19533"/>
      <c r="EK19533"/>
    </row>
    <row r="19534" spans="1:141" s="116" customFormat="1">
      <c r="A19534" s="136"/>
      <c r="CM19534" s="111"/>
      <c r="CQ19534" s="111"/>
      <c r="EF19534"/>
      <c r="EG19534"/>
      <c r="EH19534"/>
      <c r="EI19534"/>
      <c r="EJ19534"/>
      <c r="EK19534"/>
    </row>
    <row r="19535" spans="1:141" s="116" customFormat="1">
      <c r="A19535" s="136"/>
      <c r="CM19535" s="111"/>
      <c r="CQ19535" s="111"/>
      <c r="EF19535"/>
      <c r="EG19535"/>
      <c r="EH19535"/>
      <c r="EI19535"/>
      <c r="EJ19535"/>
      <c r="EK19535"/>
    </row>
    <row r="19536" spans="1:141" s="116" customFormat="1">
      <c r="A19536" s="136"/>
      <c r="CM19536" s="111"/>
      <c r="CQ19536" s="111"/>
      <c r="EF19536"/>
      <c r="EG19536"/>
      <c r="EH19536"/>
      <c r="EI19536"/>
      <c r="EJ19536"/>
      <c r="EK19536"/>
    </row>
    <row r="19537" spans="1:141" s="116" customFormat="1">
      <c r="A19537" s="136"/>
      <c r="CM19537" s="111"/>
      <c r="CQ19537" s="111"/>
      <c r="EF19537"/>
      <c r="EG19537"/>
      <c r="EH19537"/>
      <c r="EI19537"/>
      <c r="EJ19537"/>
      <c r="EK19537"/>
    </row>
    <row r="19538" spans="1:141" s="116" customFormat="1">
      <c r="A19538" s="136"/>
      <c r="CM19538" s="111"/>
      <c r="CQ19538" s="111"/>
      <c r="EF19538"/>
      <c r="EG19538"/>
      <c r="EH19538"/>
      <c r="EI19538"/>
      <c r="EJ19538"/>
      <c r="EK19538"/>
    </row>
    <row r="19539" spans="1:141" s="116" customFormat="1">
      <c r="A19539" s="136"/>
      <c r="CM19539" s="111"/>
      <c r="CQ19539" s="111"/>
      <c r="EF19539"/>
      <c r="EG19539"/>
      <c r="EH19539"/>
      <c r="EI19539"/>
      <c r="EJ19539"/>
      <c r="EK19539"/>
    </row>
    <row r="19540" spans="1:141" s="116" customFormat="1">
      <c r="A19540" s="136"/>
      <c r="CM19540" s="111"/>
      <c r="CQ19540" s="111"/>
      <c r="EF19540"/>
      <c r="EG19540"/>
      <c r="EH19540"/>
      <c r="EI19540"/>
      <c r="EJ19540"/>
      <c r="EK19540"/>
    </row>
    <row r="19541" spans="1:141" s="116" customFormat="1">
      <c r="A19541" s="136"/>
      <c r="CM19541" s="111"/>
      <c r="CQ19541" s="111"/>
      <c r="EF19541"/>
      <c r="EG19541"/>
      <c r="EH19541"/>
      <c r="EI19541"/>
      <c r="EJ19541"/>
      <c r="EK19541"/>
    </row>
    <row r="19542" spans="1:141" s="116" customFormat="1">
      <c r="A19542" s="136"/>
      <c r="CM19542" s="111"/>
      <c r="CQ19542" s="111"/>
      <c r="EF19542"/>
      <c r="EG19542"/>
      <c r="EH19542"/>
      <c r="EI19542"/>
      <c r="EJ19542"/>
      <c r="EK19542"/>
    </row>
    <row r="19543" spans="1:141" s="116" customFormat="1">
      <c r="A19543" s="136"/>
      <c r="CM19543" s="111"/>
      <c r="CQ19543" s="111"/>
      <c r="EF19543"/>
      <c r="EG19543"/>
      <c r="EH19543"/>
      <c r="EI19543"/>
      <c r="EJ19543"/>
      <c r="EK19543"/>
    </row>
    <row r="19544" spans="1:141" s="116" customFormat="1">
      <c r="A19544" s="136"/>
      <c r="CM19544" s="111"/>
      <c r="CQ19544" s="111"/>
      <c r="EF19544"/>
      <c r="EG19544"/>
      <c r="EH19544"/>
      <c r="EI19544"/>
      <c r="EJ19544"/>
      <c r="EK19544"/>
    </row>
    <row r="19545" spans="1:141" s="116" customFormat="1">
      <c r="A19545" s="136"/>
      <c r="CM19545" s="111"/>
      <c r="CQ19545" s="111"/>
      <c r="EF19545"/>
      <c r="EG19545"/>
      <c r="EH19545"/>
      <c r="EI19545"/>
      <c r="EJ19545"/>
      <c r="EK19545"/>
    </row>
    <row r="19546" spans="1:141" s="116" customFormat="1">
      <c r="A19546" s="136"/>
      <c r="CM19546" s="111"/>
      <c r="CQ19546" s="111"/>
      <c r="EF19546"/>
      <c r="EG19546"/>
      <c r="EH19546"/>
      <c r="EI19546"/>
      <c r="EJ19546"/>
      <c r="EK19546"/>
    </row>
    <row r="19547" spans="1:141" s="116" customFormat="1">
      <c r="A19547" s="136"/>
      <c r="CM19547" s="111"/>
      <c r="CQ19547" s="111"/>
      <c r="EF19547"/>
      <c r="EG19547"/>
      <c r="EH19547"/>
      <c r="EI19547"/>
      <c r="EJ19547"/>
      <c r="EK19547"/>
    </row>
    <row r="19548" spans="1:141" s="116" customFormat="1">
      <c r="A19548" s="136"/>
      <c r="CM19548" s="111"/>
      <c r="CQ19548" s="111"/>
      <c r="EF19548"/>
      <c r="EG19548"/>
      <c r="EH19548"/>
      <c r="EI19548"/>
      <c r="EJ19548"/>
      <c r="EK19548"/>
    </row>
    <row r="19549" spans="1:141" s="116" customFormat="1">
      <c r="A19549" s="136"/>
      <c r="CM19549" s="111"/>
      <c r="CQ19549" s="111"/>
      <c r="EF19549"/>
      <c r="EG19549"/>
      <c r="EH19549"/>
      <c r="EI19549"/>
      <c r="EJ19549"/>
      <c r="EK19549"/>
    </row>
    <row r="19550" spans="1:141" s="116" customFormat="1">
      <c r="A19550" s="136"/>
      <c r="CM19550" s="111"/>
      <c r="CQ19550" s="111"/>
      <c r="EF19550"/>
      <c r="EG19550"/>
      <c r="EH19550"/>
      <c r="EI19550"/>
      <c r="EJ19550"/>
      <c r="EK19550"/>
    </row>
    <row r="19551" spans="1:141" s="116" customFormat="1">
      <c r="A19551" s="136"/>
      <c r="CM19551" s="111"/>
      <c r="CQ19551" s="111"/>
      <c r="EF19551"/>
      <c r="EG19551"/>
      <c r="EH19551"/>
      <c r="EI19551"/>
      <c r="EJ19551"/>
      <c r="EK19551"/>
    </row>
    <row r="19552" spans="1:141" s="116" customFormat="1">
      <c r="A19552" s="136"/>
      <c r="CM19552" s="111"/>
      <c r="CQ19552" s="111"/>
      <c r="EF19552"/>
      <c r="EG19552"/>
      <c r="EH19552"/>
      <c r="EI19552"/>
      <c r="EJ19552"/>
      <c r="EK19552"/>
    </row>
    <row r="19553" spans="1:141" s="116" customFormat="1">
      <c r="A19553" s="136"/>
      <c r="CM19553" s="111"/>
      <c r="CQ19553" s="111"/>
      <c r="EF19553"/>
      <c r="EG19553"/>
      <c r="EH19553"/>
      <c r="EI19553"/>
      <c r="EJ19553"/>
      <c r="EK19553"/>
    </row>
    <row r="19554" spans="1:141" s="116" customFormat="1">
      <c r="A19554" s="136"/>
      <c r="CM19554" s="111"/>
      <c r="CQ19554" s="111"/>
      <c r="EF19554"/>
      <c r="EG19554"/>
      <c r="EH19554"/>
      <c r="EI19554"/>
      <c r="EJ19554"/>
      <c r="EK19554"/>
    </row>
    <row r="19555" spans="1:141" s="116" customFormat="1">
      <c r="A19555" s="136"/>
      <c r="CM19555" s="111"/>
      <c r="CQ19555" s="111"/>
      <c r="EF19555"/>
      <c r="EG19555"/>
      <c r="EH19555"/>
      <c r="EI19555"/>
      <c r="EJ19555"/>
      <c r="EK19555"/>
    </row>
    <row r="19556" spans="1:141" s="116" customFormat="1">
      <c r="A19556" s="136"/>
      <c r="CM19556" s="111"/>
      <c r="CQ19556" s="111"/>
      <c r="EF19556"/>
      <c r="EG19556"/>
      <c r="EH19556"/>
      <c r="EI19556"/>
      <c r="EJ19556"/>
      <c r="EK19556"/>
    </row>
    <row r="19557" spans="1:141" s="116" customFormat="1">
      <c r="A19557" s="136"/>
      <c r="CM19557" s="111"/>
      <c r="CQ19557" s="111"/>
      <c r="EF19557"/>
      <c r="EG19557"/>
      <c r="EH19557"/>
      <c r="EI19557"/>
      <c r="EJ19557"/>
      <c r="EK19557"/>
    </row>
    <row r="19558" spans="1:141" s="116" customFormat="1">
      <c r="A19558" s="136"/>
      <c r="CM19558" s="111"/>
      <c r="CQ19558" s="111"/>
      <c r="EF19558"/>
      <c r="EG19558"/>
      <c r="EH19558"/>
      <c r="EI19558"/>
      <c r="EJ19558"/>
      <c r="EK19558"/>
    </row>
    <row r="19559" spans="1:141" s="116" customFormat="1">
      <c r="A19559" s="136"/>
      <c r="CM19559" s="111"/>
      <c r="CQ19559" s="111"/>
      <c r="EF19559"/>
      <c r="EG19559"/>
      <c r="EH19559"/>
      <c r="EI19559"/>
      <c r="EJ19559"/>
      <c r="EK19559"/>
    </row>
    <row r="19560" spans="1:141" s="116" customFormat="1">
      <c r="A19560" s="136"/>
      <c r="CM19560" s="111"/>
      <c r="CQ19560" s="111"/>
      <c r="EF19560"/>
      <c r="EG19560"/>
      <c r="EH19560"/>
      <c r="EI19560"/>
      <c r="EJ19560"/>
      <c r="EK19560"/>
    </row>
    <row r="19561" spans="1:141" s="116" customFormat="1">
      <c r="A19561" s="136"/>
      <c r="CM19561" s="111"/>
      <c r="CQ19561" s="111"/>
      <c r="EF19561"/>
      <c r="EG19561"/>
      <c r="EH19561"/>
      <c r="EI19561"/>
      <c r="EJ19561"/>
      <c r="EK19561"/>
    </row>
    <row r="19562" spans="1:141" s="116" customFormat="1">
      <c r="A19562" s="136"/>
      <c r="CM19562" s="111"/>
      <c r="CQ19562" s="111"/>
      <c r="EF19562"/>
      <c r="EG19562"/>
      <c r="EH19562"/>
      <c r="EI19562"/>
      <c r="EJ19562"/>
      <c r="EK19562"/>
    </row>
    <row r="19563" spans="1:141" s="116" customFormat="1">
      <c r="A19563" s="136"/>
      <c r="CM19563" s="111"/>
      <c r="CQ19563" s="111"/>
      <c r="EF19563"/>
      <c r="EG19563"/>
      <c r="EH19563"/>
      <c r="EI19563"/>
      <c r="EJ19563"/>
      <c r="EK19563"/>
    </row>
    <row r="19564" spans="1:141" s="116" customFormat="1">
      <c r="A19564" s="136"/>
      <c r="CM19564" s="111"/>
      <c r="CQ19564" s="111"/>
      <c r="EF19564"/>
      <c r="EG19564"/>
      <c r="EH19564"/>
      <c r="EI19564"/>
      <c r="EJ19564"/>
      <c r="EK19564"/>
    </row>
    <row r="19565" spans="1:141" s="116" customFormat="1">
      <c r="A19565" s="136"/>
      <c r="CM19565" s="111"/>
      <c r="CQ19565" s="111"/>
      <c r="EF19565"/>
      <c r="EG19565"/>
      <c r="EH19565"/>
      <c r="EI19565"/>
      <c r="EJ19565"/>
      <c r="EK19565"/>
    </row>
    <row r="19566" spans="1:141" s="116" customFormat="1">
      <c r="A19566" s="136"/>
      <c r="CM19566" s="111"/>
      <c r="CQ19566" s="111"/>
      <c r="EF19566"/>
      <c r="EG19566"/>
      <c r="EH19566"/>
      <c r="EI19566"/>
      <c r="EJ19566"/>
      <c r="EK19566"/>
    </row>
    <row r="19567" spans="1:141" s="116" customFormat="1">
      <c r="A19567" s="136"/>
      <c r="CM19567" s="111"/>
      <c r="CQ19567" s="111"/>
      <c r="EF19567"/>
      <c r="EG19567"/>
      <c r="EH19567"/>
      <c r="EI19567"/>
      <c r="EJ19567"/>
      <c r="EK19567"/>
    </row>
    <row r="19568" spans="1:141" s="116" customFormat="1">
      <c r="A19568" s="136"/>
      <c r="CM19568" s="111"/>
      <c r="CQ19568" s="111"/>
      <c r="EF19568"/>
      <c r="EG19568"/>
      <c r="EH19568"/>
      <c r="EI19568"/>
      <c r="EJ19568"/>
      <c r="EK19568"/>
    </row>
    <row r="19569" spans="1:141" s="116" customFormat="1">
      <c r="A19569" s="136"/>
      <c r="CM19569" s="111"/>
      <c r="CQ19569" s="111"/>
      <c r="EF19569"/>
      <c r="EG19569"/>
      <c r="EH19569"/>
      <c r="EI19569"/>
      <c r="EJ19569"/>
      <c r="EK19569"/>
    </row>
    <row r="19570" spans="1:141" s="116" customFormat="1">
      <c r="A19570" s="136"/>
      <c r="CM19570" s="111"/>
      <c r="CQ19570" s="111"/>
      <c r="EF19570"/>
      <c r="EG19570"/>
      <c r="EH19570"/>
      <c r="EI19570"/>
      <c r="EJ19570"/>
      <c r="EK19570"/>
    </row>
    <row r="19571" spans="1:141" s="116" customFormat="1">
      <c r="A19571" s="136"/>
      <c r="CM19571" s="111"/>
      <c r="CQ19571" s="111"/>
      <c r="EF19571"/>
      <c r="EG19571"/>
      <c r="EH19571"/>
      <c r="EI19571"/>
      <c r="EJ19571"/>
      <c r="EK19571"/>
    </row>
    <row r="19572" spans="1:141" s="116" customFormat="1">
      <c r="A19572" s="136"/>
      <c r="CM19572" s="111"/>
      <c r="CQ19572" s="111"/>
      <c r="EF19572"/>
      <c r="EG19572"/>
      <c r="EH19572"/>
      <c r="EI19572"/>
      <c r="EJ19572"/>
      <c r="EK19572"/>
    </row>
    <row r="19573" spans="1:141" s="116" customFormat="1">
      <c r="A19573" s="136"/>
      <c r="CM19573" s="111"/>
      <c r="CQ19573" s="111"/>
      <c r="EF19573"/>
      <c r="EG19573"/>
      <c r="EH19573"/>
      <c r="EI19573"/>
      <c r="EJ19573"/>
      <c r="EK19573"/>
    </row>
    <row r="19574" spans="1:141" s="116" customFormat="1">
      <c r="A19574" s="136"/>
      <c r="CM19574" s="111"/>
      <c r="CQ19574" s="111"/>
      <c r="EF19574"/>
      <c r="EG19574"/>
      <c r="EH19574"/>
      <c r="EI19574"/>
      <c r="EJ19574"/>
      <c r="EK19574"/>
    </row>
    <row r="19575" spans="1:141" s="116" customFormat="1">
      <c r="A19575" s="136"/>
      <c r="CM19575" s="111"/>
      <c r="CQ19575" s="111"/>
      <c r="EF19575"/>
      <c r="EG19575"/>
      <c r="EH19575"/>
      <c r="EI19575"/>
      <c r="EJ19575"/>
      <c r="EK19575"/>
    </row>
    <row r="19576" spans="1:141" s="116" customFormat="1">
      <c r="A19576" s="136"/>
      <c r="CM19576" s="111"/>
      <c r="CQ19576" s="111"/>
      <c r="EF19576"/>
      <c r="EG19576"/>
      <c r="EH19576"/>
      <c r="EI19576"/>
      <c r="EJ19576"/>
      <c r="EK19576"/>
    </row>
    <row r="19577" spans="1:141" s="116" customFormat="1">
      <c r="A19577" s="136"/>
      <c r="CM19577" s="111"/>
      <c r="CQ19577" s="111"/>
      <c r="EF19577"/>
      <c r="EG19577"/>
      <c r="EH19577"/>
      <c r="EI19577"/>
      <c r="EJ19577"/>
      <c r="EK19577"/>
    </row>
    <row r="19578" spans="1:141" s="116" customFormat="1">
      <c r="A19578" s="136"/>
      <c r="CM19578" s="111"/>
      <c r="CQ19578" s="111"/>
      <c r="EF19578"/>
      <c r="EG19578"/>
      <c r="EH19578"/>
      <c r="EI19578"/>
      <c r="EJ19578"/>
      <c r="EK19578"/>
    </row>
    <row r="19579" spans="1:141" s="116" customFormat="1">
      <c r="A19579" s="136"/>
      <c r="CM19579" s="111"/>
      <c r="CQ19579" s="111"/>
      <c r="EF19579"/>
      <c r="EG19579"/>
      <c r="EH19579"/>
      <c r="EI19579"/>
      <c r="EJ19579"/>
      <c r="EK19579"/>
    </row>
    <row r="19580" spans="1:141" s="116" customFormat="1">
      <c r="A19580" s="136"/>
      <c r="CM19580" s="111"/>
      <c r="CQ19580" s="111"/>
      <c r="EF19580"/>
      <c r="EG19580"/>
      <c r="EH19580"/>
      <c r="EI19580"/>
      <c r="EJ19580"/>
      <c r="EK19580"/>
    </row>
    <row r="19581" spans="1:141" s="116" customFormat="1">
      <c r="A19581" s="136"/>
      <c r="CM19581" s="111"/>
      <c r="CQ19581" s="111"/>
      <c r="EF19581"/>
      <c r="EG19581"/>
      <c r="EH19581"/>
      <c r="EI19581"/>
      <c r="EJ19581"/>
      <c r="EK19581"/>
    </row>
    <row r="19582" spans="1:141" s="116" customFormat="1">
      <c r="A19582" s="136"/>
      <c r="CM19582" s="111"/>
      <c r="CQ19582" s="111"/>
      <c r="EF19582"/>
      <c r="EG19582"/>
      <c r="EH19582"/>
      <c r="EI19582"/>
      <c r="EJ19582"/>
      <c r="EK19582"/>
    </row>
    <row r="19583" spans="1:141" s="116" customFormat="1">
      <c r="A19583" s="136"/>
      <c r="CM19583" s="111"/>
      <c r="CQ19583" s="111"/>
      <c r="EF19583"/>
      <c r="EG19583"/>
      <c r="EH19583"/>
      <c r="EI19583"/>
      <c r="EJ19583"/>
      <c r="EK19583"/>
    </row>
    <row r="19584" spans="1:141" s="116" customFormat="1">
      <c r="A19584" s="136"/>
      <c r="CM19584" s="111"/>
      <c r="CQ19584" s="111"/>
      <c r="EF19584"/>
      <c r="EG19584"/>
      <c r="EH19584"/>
      <c r="EI19584"/>
      <c r="EJ19584"/>
      <c r="EK19584"/>
    </row>
    <row r="19585" spans="1:141" s="116" customFormat="1">
      <c r="A19585" s="136"/>
      <c r="CM19585" s="111"/>
      <c r="CQ19585" s="111"/>
      <c r="EF19585"/>
      <c r="EG19585"/>
      <c r="EH19585"/>
      <c r="EI19585"/>
      <c r="EJ19585"/>
      <c r="EK19585"/>
    </row>
    <row r="19586" spans="1:141" s="116" customFormat="1">
      <c r="A19586" s="136"/>
      <c r="CM19586" s="111"/>
      <c r="CQ19586" s="111"/>
      <c r="EF19586"/>
      <c r="EG19586"/>
      <c r="EH19586"/>
      <c r="EI19586"/>
      <c r="EJ19586"/>
      <c r="EK19586"/>
    </row>
    <row r="19587" spans="1:141" s="116" customFormat="1">
      <c r="A19587" s="136"/>
      <c r="CM19587" s="111"/>
      <c r="CQ19587" s="111"/>
      <c r="EF19587"/>
      <c r="EG19587"/>
      <c r="EH19587"/>
      <c r="EI19587"/>
      <c r="EJ19587"/>
      <c r="EK19587"/>
    </row>
    <row r="19588" spans="1:141" s="116" customFormat="1">
      <c r="A19588" s="136"/>
      <c r="CM19588" s="111"/>
      <c r="CQ19588" s="111"/>
      <c r="EF19588"/>
      <c r="EG19588"/>
      <c r="EH19588"/>
      <c r="EI19588"/>
      <c r="EJ19588"/>
      <c r="EK19588"/>
    </row>
    <row r="19589" spans="1:141" s="116" customFormat="1">
      <c r="A19589" s="136"/>
      <c r="CM19589" s="111"/>
      <c r="CQ19589" s="111"/>
      <c r="EF19589"/>
      <c r="EG19589"/>
      <c r="EH19589"/>
      <c r="EI19589"/>
      <c r="EJ19589"/>
      <c r="EK19589"/>
    </row>
    <row r="19590" spans="1:141" s="116" customFormat="1">
      <c r="A19590" s="136"/>
      <c r="CM19590" s="111"/>
      <c r="CQ19590" s="111"/>
      <c r="EF19590"/>
      <c r="EG19590"/>
      <c r="EH19590"/>
      <c r="EI19590"/>
      <c r="EJ19590"/>
      <c r="EK19590"/>
    </row>
    <row r="19591" spans="1:141" s="116" customFormat="1">
      <c r="A19591" s="136"/>
      <c r="CM19591" s="111"/>
      <c r="CQ19591" s="111"/>
      <c r="EF19591"/>
      <c r="EG19591"/>
      <c r="EH19591"/>
      <c r="EI19591"/>
      <c r="EJ19591"/>
      <c r="EK19591"/>
    </row>
    <row r="19592" spans="1:141" s="116" customFormat="1">
      <c r="A19592" s="136"/>
      <c r="CM19592" s="111"/>
      <c r="CQ19592" s="111"/>
      <c r="EF19592"/>
      <c r="EG19592"/>
      <c r="EH19592"/>
      <c r="EI19592"/>
      <c r="EJ19592"/>
      <c r="EK19592"/>
    </row>
    <row r="19593" spans="1:141" s="116" customFormat="1">
      <c r="A19593" s="136"/>
      <c r="CM19593" s="111"/>
      <c r="CQ19593" s="111"/>
      <c r="EF19593"/>
      <c r="EG19593"/>
      <c r="EH19593"/>
      <c r="EI19593"/>
      <c r="EJ19593"/>
      <c r="EK19593"/>
    </row>
    <row r="19594" spans="1:141" s="116" customFormat="1">
      <c r="A19594" s="136"/>
      <c r="CM19594" s="111"/>
      <c r="CQ19594" s="111"/>
      <c r="EF19594"/>
      <c r="EG19594"/>
      <c r="EH19594"/>
      <c r="EI19594"/>
      <c r="EJ19594"/>
      <c r="EK19594"/>
    </row>
    <row r="19595" spans="1:141" s="116" customFormat="1">
      <c r="A19595" s="136"/>
      <c r="CM19595" s="111"/>
      <c r="CQ19595" s="111"/>
      <c r="EF19595"/>
      <c r="EG19595"/>
      <c r="EH19595"/>
      <c r="EI19595"/>
      <c r="EJ19595"/>
      <c r="EK19595"/>
    </row>
    <row r="19596" spans="1:141" s="116" customFormat="1">
      <c r="A19596" s="136"/>
      <c r="CM19596" s="111"/>
      <c r="CQ19596" s="111"/>
      <c r="EF19596"/>
      <c r="EG19596"/>
      <c r="EH19596"/>
      <c r="EI19596"/>
      <c r="EJ19596"/>
      <c r="EK19596"/>
    </row>
    <row r="19597" spans="1:141" s="116" customFormat="1">
      <c r="A19597" s="136"/>
      <c r="CM19597" s="111"/>
      <c r="CQ19597" s="111"/>
      <c r="EF19597"/>
      <c r="EG19597"/>
      <c r="EH19597"/>
      <c r="EI19597"/>
      <c r="EJ19597"/>
      <c r="EK19597"/>
    </row>
    <row r="19598" spans="1:141" s="116" customFormat="1">
      <c r="A19598" s="136"/>
      <c r="CM19598" s="111"/>
      <c r="CQ19598" s="111"/>
      <c r="EF19598"/>
      <c r="EG19598"/>
      <c r="EH19598"/>
      <c r="EI19598"/>
      <c r="EJ19598"/>
      <c r="EK19598"/>
    </row>
    <row r="19599" spans="1:141" s="116" customFormat="1">
      <c r="A19599" s="136"/>
      <c r="CM19599" s="111"/>
      <c r="CQ19599" s="111"/>
      <c r="EF19599"/>
      <c r="EG19599"/>
      <c r="EH19599"/>
      <c r="EI19599"/>
      <c r="EJ19599"/>
      <c r="EK19599"/>
    </row>
    <row r="19600" spans="1:141" s="116" customFormat="1">
      <c r="A19600" s="136"/>
      <c r="CM19600" s="111"/>
      <c r="CQ19600" s="111"/>
      <c r="EF19600"/>
      <c r="EG19600"/>
      <c r="EH19600"/>
      <c r="EI19600"/>
      <c r="EJ19600"/>
      <c r="EK19600"/>
    </row>
    <row r="19601" spans="1:141" s="116" customFormat="1">
      <c r="A19601" s="136"/>
      <c r="CM19601" s="111"/>
      <c r="CQ19601" s="111"/>
      <c r="EF19601"/>
      <c r="EG19601"/>
      <c r="EH19601"/>
      <c r="EI19601"/>
      <c r="EJ19601"/>
      <c r="EK19601"/>
    </row>
    <row r="19602" spans="1:141" s="116" customFormat="1">
      <c r="A19602" s="136"/>
      <c r="CM19602" s="111"/>
      <c r="CQ19602" s="111"/>
      <c r="EF19602"/>
      <c r="EG19602"/>
      <c r="EH19602"/>
      <c r="EI19602"/>
      <c r="EJ19602"/>
      <c r="EK19602"/>
    </row>
    <row r="19603" spans="1:141" s="116" customFormat="1">
      <c r="A19603" s="136"/>
      <c r="CM19603" s="111"/>
      <c r="CQ19603" s="111"/>
      <c r="EF19603"/>
      <c r="EG19603"/>
      <c r="EH19603"/>
      <c r="EI19603"/>
      <c r="EJ19603"/>
      <c r="EK19603"/>
    </row>
    <row r="19604" spans="1:141" s="116" customFormat="1">
      <c r="A19604" s="136"/>
      <c r="CM19604" s="111"/>
      <c r="CQ19604" s="111"/>
      <c r="EF19604"/>
      <c r="EG19604"/>
      <c r="EH19604"/>
      <c r="EI19604"/>
      <c r="EJ19604"/>
      <c r="EK19604"/>
    </row>
    <row r="19605" spans="1:141" s="116" customFormat="1">
      <c r="A19605" s="136"/>
      <c r="CM19605" s="111"/>
      <c r="CQ19605" s="111"/>
      <c r="EF19605"/>
      <c r="EG19605"/>
      <c r="EH19605"/>
      <c r="EI19605"/>
      <c r="EJ19605"/>
      <c r="EK19605"/>
    </row>
    <row r="19606" spans="1:141" s="116" customFormat="1">
      <c r="A19606" s="136"/>
      <c r="CM19606" s="111"/>
      <c r="CQ19606" s="111"/>
      <c r="EF19606"/>
      <c r="EG19606"/>
      <c r="EH19606"/>
      <c r="EI19606"/>
      <c r="EJ19606"/>
      <c r="EK19606"/>
    </row>
    <row r="19607" spans="1:141" s="116" customFormat="1">
      <c r="A19607" s="136"/>
      <c r="CM19607" s="111"/>
      <c r="CQ19607" s="111"/>
      <c r="EF19607"/>
      <c r="EG19607"/>
      <c r="EH19607"/>
      <c r="EI19607"/>
      <c r="EJ19607"/>
      <c r="EK19607"/>
    </row>
    <row r="19608" spans="1:141" s="116" customFormat="1">
      <c r="A19608" s="136"/>
      <c r="CM19608" s="111"/>
      <c r="CQ19608" s="111"/>
      <c r="EF19608"/>
      <c r="EG19608"/>
      <c r="EH19608"/>
      <c r="EI19608"/>
      <c r="EJ19608"/>
      <c r="EK19608"/>
    </row>
    <row r="19609" spans="1:141" s="116" customFormat="1">
      <c r="A19609" s="136"/>
      <c r="CM19609" s="111"/>
      <c r="CQ19609" s="111"/>
      <c r="EF19609"/>
      <c r="EG19609"/>
      <c r="EH19609"/>
      <c r="EI19609"/>
      <c r="EJ19609"/>
      <c r="EK19609"/>
    </row>
    <row r="19610" spans="1:141" s="116" customFormat="1">
      <c r="A19610" s="136"/>
      <c r="CM19610" s="111"/>
      <c r="CQ19610" s="111"/>
      <c r="EF19610"/>
      <c r="EG19610"/>
      <c r="EH19610"/>
      <c r="EI19610"/>
      <c r="EJ19610"/>
      <c r="EK19610"/>
    </row>
    <row r="19611" spans="1:141" s="116" customFormat="1">
      <c r="A19611" s="136"/>
      <c r="CM19611" s="111"/>
      <c r="CQ19611" s="111"/>
      <c r="EF19611"/>
      <c r="EG19611"/>
      <c r="EH19611"/>
      <c r="EI19611"/>
      <c r="EJ19611"/>
      <c r="EK19611"/>
    </row>
    <row r="19612" spans="1:141" s="116" customFormat="1">
      <c r="A19612" s="136"/>
      <c r="CM19612" s="111"/>
      <c r="CQ19612" s="111"/>
      <c r="EF19612"/>
      <c r="EG19612"/>
      <c r="EH19612"/>
      <c r="EI19612"/>
      <c r="EJ19612"/>
      <c r="EK19612"/>
    </row>
    <row r="19613" spans="1:141" s="116" customFormat="1">
      <c r="A19613" s="136"/>
      <c r="CM19613" s="111"/>
      <c r="CQ19613" s="111"/>
      <c r="EF19613"/>
      <c r="EG19613"/>
      <c r="EH19613"/>
      <c r="EI19613"/>
      <c r="EJ19613"/>
      <c r="EK19613"/>
    </row>
    <row r="19614" spans="1:141" s="116" customFormat="1">
      <c r="A19614" s="136"/>
      <c r="CM19614" s="111"/>
      <c r="CQ19614" s="111"/>
      <c r="EF19614"/>
      <c r="EG19614"/>
      <c r="EH19614"/>
      <c r="EI19614"/>
      <c r="EJ19614"/>
      <c r="EK19614"/>
    </row>
    <row r="19615" spans="1:141" s="116" customFormat="1">
      <c r="A19615" s="136"/>
      <c r="CM19615" s="111"/>
      <c r="CQ19615" s="111"/>
      <c r="EF19615"/>
      <c r="EG19615"/>
      <c r="EH19615"/>
      <c r="EI19615"/>
      <c r="EJ19615"/>
      <c r="EK19615"/>
    </row>
    <row r="19616" spans="1:141" s="116" customFormat="1">
      <c r="A19616" s="136"/>
      <c r="CM19616" s="111"/>
      <c r="CQ19616" s="111"/>
      <c r="EF19616"/>
      <c r="EG19616"/>
      <c r="EH19616"/>
      <c r="EI19616"/>
      <c r="EJ19616"/>
      <c r="EK19616"/>
    </row>
    <row r="19617" spans="1:141" s="116" customFormat="1">
      <c r="A19617" s="136"/>
      <c r="CM19617" s="111"/>
      <c r="CQ19617" s="111"/>
      <c r="EF19617"/>
      <c r="EG19617"/>
      <c r="EH19617"/>
      <c r="EI19617"/>
      <c r="EJ19617"/>
      <c r="EK19617"/>
    </row>
    <row r="19618" spans="1:141" s="116" customFormat="1">
      <c r="A19618" s="136"/>
      <c r="CM19618" s="111"/>
      <c r="CQ19618" s="111"/>
      <c r="EF19618"/>
      <c r="EG19618"/>
      <c r="EH19618"/>
      <c r="EI19618"/>
      <c r="EJ19618"/>
      <c r="EK19618"/>
    </row>
    <row r="19619" spans="1:141" s="116" customFormat="1">
      <c r="A19619" s="136"/>
      <c r="CM19619" s="111"/>
      <c r="CQ19619" s="111"/>
      <c r="EF19619"/>
      <c r="EG19619"/>
      <c r="EH19619"/>
      <c r="EI19619"/>
      <c r="EJ19619"/>
      <c r="EK19619"/>
    </row>
    <row r="19620" spans="1:141" s="116" customFormat="1">
      <c r="A19620" s="136"/>
      <c r="CM19620" s="111"/>
      <c r="CQ19620" s="111"/>
      <c r="EF19620"/>
      <c r="EG19620"/>
      <c r="EH19620"/>
      <c r="EI19620"/>
      <c r="EJ19620"/>
      <c r="EK19620"/>
    </row>
    <row r="19621" spans="1:141" s="116" customFormat="1">
      <c r="A19621" s="136"/>
      <c r="CM19621" s="111"/>
      <c r="CQ19621" s="111"/>
      <c r="EF19621"/>
      <c r="EG19621"/>
      <c r="EH19621"/>
      <c r="EI19621"/>
      <c r="EJ19621"/>
      <c r="EK19621"/>
    </row>
    <row r="19622" spans="1:141" s="116" customFormat="1">
      <c r="A19622" s="136"/>
      <c r="CM19622" s="111"/>
      <c r="CQ19622" s="111"/>
      <c r="EF19622"/>
      <c r="EG19622"/>
      <c r="EH19622"/>
      <c r="EI19622"/>
      <c r="EJ19622"/>
      <c r="EK19622"/>
    </row>
    <row r="19623" spans="1:141" s="116" customFormat="1">
      <c r="A19623" s="136"/>
      <c r="CM19623" s="111"/>
      <c r="CQ19623" s="111"/>
      <c r="EF19623"/>
      <c r="EG19623"/>
      <c r="EH19623"/>
      <c r="EI19623"/>
      <c r="EJ19623"/>
      <c r="EK19623"/>
    </row>
    <row r="19624" spans="1:141" s="116" customFormat="1">
      <c r="A19624" s="136"/>
      <c r="CM19624" s="111"/>
      <c r="CQ19624" s="111"/>
      <c r="EF19624"/>
      <c r="EG19624"/>
      <c r="EH19624"/>
      <c r="EI19624"/>
      <c r="EJ19624"/>
      <c r="EK19624"/>
    </row>
    <row r="19625" spans="1:141" s="116" customFormat="1">
      <c r="A19625" s="136"/>
      <c r="CM19625" s="111"/>
      <c r="CQ19625" s="111"/>
      <c r="EF19625"/>
      <c r="EG19625"/>
      <c r="EH19625"/>
      <c r="EI19625"/>
      <c r="EJ19625"/>
      <c r="EK19625"/>
    </row>
    <row r="19626" spans="1:141" s="116" customFormat="1">
      <c r="A19626" s="136"/>
      <c r="CM19626" s="111"/>
      <c r="CQ19626" s="111"/>
      <c r="EF19626"/>
      <c r="EG19626"/>
      <c r="EH19626"/>
      <c r="EI19626"/>
      <c r="EJ19626"/>
      <c r="EK19626"/>
    </row>
    <row r="19627" spans="1:141" s="116" customFormat="1">
      <c r="A19627" s="136"/>
      <c r="CM19627" s="111"/>
      <c r="CQ19627" s="111"/>
      <c r="EF19627"/>
      <c r="EG19627"/>
      <c r="EH19627"/>
      <c r="EI19627"/>
      <c r="EJ19627"/>
      <c r="EK19627"/>
    </row>
    <row r="19628" spans="1:141" s="116" customFormat="1">
      <c r="A19628" s="136"/>
      <c r="CM19628" s="111"/>
      <c r="CQ19628" s="111"/>
      <c r="EF19628"/>
      <c r="EG19628"/>
      <c r="EH19628"/>
      <c r="EI19628"/>
      <c r="EJ19628"/>
      <c r="EK19628"/>
    </row>
    <row r="19629" spans="1:141" s="116" customFormat="1">
      <c r="A19629" s="136"/>
      <c r="CM19629" s="111"/>
      <c r="CQ19629" s="111"/>
      <c r="EF19629"/>
      <c r="EG19629"/>
      <c r="EH19629"/>
      <c r="EI19629"/>
      <c r="EJ19629"/>
      <c r="EK19629"/>
    </row>
    <row r="19630" spans="1:141" s="116" customFormat="1">
      <c r="A19630" s="136"/>
      <c r="CM19630" s="111"/>
      <c r="CQ19630" s="111"/>
      <c r="EF19630"/>
      <c r="EG19630"/>
      <c r="EH19630"/>
      <c r="EI19630"/>
      <c r="EJ19630"/>
      <c r="EK19630"/>
    </row>
    <row r="19631" spans="1:141" s="116" customFormat="1">
      <c r="A19631" s="136"/>
      <c r="CM19631" s="111"/>
      <c r="CQ19631" s="111"/>
      <c r="EF19631"/>
      <c r="EG19631"/>
      <c r="EH19631"/>
      <c r="EI19631"/>
      <c r="EJ19631"/>
      <c r="EK19631"/>
    </row>
    <row r="19632" spans="1:141" s="116" customFormat="1">
      <c r="A19632" s="136"/>
      <c r="CM19632" s="111"/>
      <c r="CQ19632" s="111"/>
      <c r="EF19632"/>
      <c r="EG19632"/>
      <c r="EH19632"/>
      <c r="EI19632"/>
      <c r="EJ19632"/>
      <c r="EK19632"/>
    </row>
    <row r="19633" spans="1:141" s="116" customFormat="1">
      <c r="A19633" s="136"/>
      <c r="CM19633" s="111"/>
      <c r="CQ19633" s="111"/>
      <c r="EF19633"/>
      <c r="EG19633"/>
      <c r="EH19633"/>
      <c r="EI19633"/>
      <c r="EJ19633"/>
      <c r="EK19633"/>
    </row>
    <row r="19634" spans="1:141" s="116" customFormat="1">
      <c r="A19634" s="136"/>
      <c r="CM19634" s="111"/>
      <c r="CQ19634" s="111"/>
      <c r="EF19634"/>
      <c r="EG19634"/>
      <c r="EH19634"/>
      <c r="EI19634"/>
      <c r="EJ19634"/>
      <c r="EK19634"/>
    </row>
    <row r="19635" spans="1:141" s="116" customFormat="1">
      <c r="A19635" s="136"/>
      <c r="CM19635" s="111"/>
      <c r="CQ19635" s="111"/>
      <c r="EF19635"/>
      <c r="EG19635"/>
      <c r="EH19635"/>
      <c r="EI19635"/>
      <c r="EJ19635"/>
      <c r="EK19635"/>
    </row>
    <row r="19636" spans="1:141" s="116" customFormat="1">
      <c r="A19636" s="136"/>
      <c r="CM19636" s="111"/>
      <c r="CQ19636" s="111"/>
      <c r="EF19636"/>
      <c r="EG19636"/>
      <c r="EH19636"/>
      <c r="EI19636"/>
      <c r="EJ19636"/>
      <c r="EK19636"/>
    </row>
    <row r="19637" spans="1:141" s="116" customFormat="1">
      <c r="A19637" s="136"/>
      <c r="CM19637" s="111"/>
      <c r="CQ19637" s="111"/>
      <c r="EF19637"/>
      <c r="EG19637"/>
      <c r="EH19637"/>
      <c r="EI19637"/>
      <c r="EJ19637"/>
      <c r="EK19637"/>
    </row>
    <row r="19638" spans="1:141" s="116" customFormat="1">
      <c r="A19638" s="136"/>
      <c r="CM19638" s="111"/>
      <c r="CQ19638" s="111"/>
      <c r="EF19638"/>
      <c r="EG19638"/>
      <c r="EH19638"/>
      <c r="EI19638"/>
      <c r="EJ19638"/>
      <c r="EK19638"/>
    </row>
    <row r="19639" spans="1:141" s="116" customFormat="1">
      <c r="A19639" s="136"/>
      <c r="CM19639" s="111"/>
      <c r="CQ19639" s="111"/>
      <c r="EF19639"/>
      <c r="EG19639"/>
      <c r="EH19639"/>
      <c r="EI19639"/>
      <c r="EJ19639"/>
      <c r="EK19639"/>
    </row>
    <row r="19640" spans="1:141" s="116" customFormat="1">
      <c r="A19640" s="136"/>
      <c r="CM19640" s="111"/>
      <c r="CQ19640" s="111"/>
      <c r="EF19640"/>
      <c r="EG19640"/>
      <c r="EH19640"/>
      <c r="EI19640"/>
      <c r="EJ19640"/>
      <c r="EK19640"/>
    </row>
    <row r="19641" spans="1:141" s="116" customFormat="1">
      <c r="A19641" s="136"/>
      <c r="CM19641" s="111"/>
      <c r="CQ19641" s="111"/>
      <c r="EF19641"/>
      <c r="EG19641"/>
      <c r="EH19641"/>
      <c r="EI19641"/>
      <c r="EJ19641"/>
      <c r="EK19641"/>
    </row>
    <row r="19642" spans="1:141" s="116" customFormat="1">
      <c r="A19642" s="136"/>
      <c r="CM19642" s="111"/>
      <c r="CQ19642" s="111"/>
      <c r="EF19642"/>
      <c r="EG19642"/>
      <c r="EH19642"/>
      <c r="EI19642"/>
      <c r="EJ19642"/>
      <c r="EK19642"/>
    </row>
    <row r="19643" spans="1:141" s="116" customFormat="1">
      <c r="A19643" s="136"/>
      <c r="CM19643" s="111"/>
      <c r="CQ19643" s="111"/>
      <c r="EF19643"/>
      <c r="EG19643"/>
      <c r="EH19643"/>
      <c r="EI19643"/>
      <c r="EJ19643"/>
      <c r="EK19643"/>
    </row>
    <row r="19644" spans="1:141" s="116" customFormat="1">
      <c r="A19644" s="136"/>
      <c r="CM19644" s="111"/>
      <c r="CQ19644" s="111"/>
      <c r="EF19644"/>
      <c r="EG19644"/>
      <c r="EH19644"/>
      <c r="EI19644"/>
      <c r="EJ19644"/>
      <c r="EK19644"/>
    </row>
    <row r="19645" spans="1:141" s="116" customFormat="1">
      <c r="A19645" s="136"/>
      <c r="CM19645" s="111"/>
      <c r="CQ19645" s="111"/>
      <c r="EF19645"/>
      <c r="EG19645"/>
      <c r="EH19645"/>
      <c r="EI19645"/>
      <c r="EJ19645"/>
      <c r="EK19645"/>
    </row>
    <row r="19646" spans="1:141" s="116" customFormat="1">
      <c r="A19646" s="136"/>
      <c r="CM19646" s="111"/>
      <c r="CQ19646" s="111"/>
      <c r="EF19646"/>
      <c r="EG19646"/>
      <c r="EH19646"/>
      <c r="EI19646"/>
      <c r="EJ19646"/>
      <c r="EK19646"/>
    </row>
    <row r="19647" spans="1:141" s="116" customFormat="1">
      <c r="A19647" s="136"/>
      <c r="CM19647" s="111"/>
      <c r="CQ19647" s="111"/>
      <c r="EF19647"/>
      <c r="EG19647"/>
      <c r="EH19647"/>
      <c r="EI19647"/>
      <c r="EJ19647"/>
      <c r="EK19647"/>
    </row>
    <row r="19648" spans="1:141" s="116" customFormat="1">
      <c r="A19648" s="136"/>
      <c r="CM19648" s="111"/>
      <c r="CQ19648" s="111"/>
      <c r="EF19648"/>
      <c r="EG19648"/>
      <c r="EH19648"/>
      <c r="EI19648"/>
      <c r="EJ19648"/>
      <c r="EK19648"/>
    </row>
    <row r="19649" spans="1:141" s="116" customFormat="1">
      <c r="A19649" s="136"/>
      <c r="CM19649" s="111"/>
      <c r="CQ19649" s="111"/>
      <c r="EF19649"/>
      <c r="EG19649"/>
      <c r="EH19649"/>
      <c r="EI19649"/>
      <c r="EJ19649"/>
      <c r="EK19649"/>
    </row>
    <row r="19650" spans="1:141" s="116" customFormat="1">
      <c r="A19650" s="136"/>
      <c r="CM19650" s="111"/>
      <c r="CQ19650" s="111"/>
      <c r="EF19650"/>
      <c r="EG19650"/>
      <c r="EH19650"/>
      <c r="EI19650"/>
      <c r="EJ19650"/>
      <c r="EK19650"/>
    </row>
    <row r="19651" spans="1:141" s="116" customFormat="1">
      <c r="A19651" s="136"/>
      <c r="CM19651" s="111"/>
      <c r="CQ19651" s="111"/>
      <c r="EF19651"/>
      <c r="EG19651"/>
      <c r="EH19651"/>
      <c r="EI19651"/>
      <c r="EJ19651"/>
      <c r="EK19651"/>
    </row>
    <row r="19652" spans="1:141" s="116" customFormat="1">
      <c r="A19652" s="136"/>
      <c r="CM19652" s="111"/>
      <c r="CQ19652" s="111"/>
      <c r="EF19652"/>
      <c r="EG19652"/>
      <c r="EH19652"/>
      <c r="EI19652"/>
      <c r="EJ19652"/>
      <c r="EK19652"/>
    </row>
    <row r="19653" spans="1:141" s="116" customFormat="1">
      <c r="A19653" s="136"/>
      <c r="CM19653" s="111"/>
      <c r="CQ19653" s="111"/>
      <c r="EF19653"/>
      <c r="EG19653"/>
      <c r="EH19653"/>
      <c r="EI19653"/>
      <c r="EJ19653"/>
      <c r="EK19653"/>
    </row>
    <row r="19654" spans="1:141" s="116" customFormat="1">
      <c r="A19654" s="136"/>
      <c r="CM19654" s="111"/>
      <c r="CQ19654" s="111"/>
      <c r="EF19654"/>
      <c r="EG19654"/>
      <c r="EH19654"/>
      <c r="EI19654"/>
      <c r="EJ19654"/>
      <c r="EK19654"/>
    </row>
    <row r="19655" spans="1:141" s="116" customFormat="1">
      <c r="A19655" s="136"/>
      <c r="CM19655" s="111"/>
      <c r="CQ19655" s="111"/>
      <c r="EF19655"/>
      <c r="EG19655"/>
      <c r="EH19655"/>
      <c r="EI19655"/>
      <c r="EJ19655"/>
      <c r="EK19655"/>
    </row>
    <row r="19656" spans="1:141" s="116" customFormat="1">
      <c r="A19656" s="136"/>
      <c r="CM19656" s="111"/>
      <c r="CQ19656" s="111"/>
      <c r="EF19656"/>
      <c r="EG19656"/>
      <c r="EH19656"/>
      <c r="EI19656"/>
      <c r="EJ19656"/>
      <c r="EK19656"/>
    </row>
    <row r="19657" spans="1:141" s="116" customFormat="1">
      <c r="A19657" s="136"/>
      <c r="CM19657" s="111"/>
      <c r="CQ19657" s="111"/>
      <c r="EF19657"/>
      <c r="EG19657"/>
      <c r="EH19657"/>
      <c r="EI19657"/>
      <c r="EJ19657"/>
      <c r="EK19657"/>
    </row>
    <row r="19658" spans="1:141" s="116" customFormat="1">
      <c r="A19658" s="136"/>
      <c r="CM19658" s="111"/>
      <c r="CQ19658" s="111"/>
      <c r="EF19658"/>
      <c r="EG19658"/>
      <c r="EH19658"/>
      <c r="EI19658"/>
      <c r="EJ19658"/>
      <c r="EK19658"/>
    </row>
    <row r="19659" spans="1:141" s="116" customFormat="1">
      <c r="A19659" s="136"/>
      <c r="CM19659" s="111"/>
      <c r="CQ19659" s="111"/>
      <c r="EF19659"/>
      <c r="EG19659"/>
      <c r="EH19659"/>
      <c r="EI19659"/>
      <c r="EJ19659"/>
      <c r="EK19659"/>
    </row>
    <row r="19660" spans="1:141" s="116" customFormat="1">
      <c r="A19660" s="136"/>
      <c r="CM19660" s="111"/>
      <c r="CQ19660" s="111"/>
      <c r="EF19660"/>
      <c r="EG19660"/>
      <c r="EH19660"/>
      <c r="EI19660"/>
      <c r="EJ19660"/>
      <c r="EK19660"/>
    </row>
    <row r="19661" spans="1:141" s="116" customFormat="1">
      <c r="A19661" s="136"/>
      <c r="CM19661" s="111"/>
      <c r="CQ19661" s="111"/>
      <c r="EF19661"/>
      <c r="EG19661"/>
      <c r="EH19661"/>
      <c r="EI19661"/>
      <c r="EJ19661"/>
      <c r="EK19661"/>
    </row>
    <row r="19662" spans="1:141" s="116" customFormat="1">
      <c r="A19662" s="136"/>
      <c r="CM19662" s="111"/>
      <c r="CQ19662" s="111"/>
      <c r="EF19662"/>
      <c r="EG19662"/>
      <c r="EH19662"/>
      <c r="EI19662"/>
      <c r="EJ19662"/>
      <c r="EK19662"/>
    </row>
    <row r="19663" spans="1:141" s="116" customFormat="1">
      <c r="A19663" s="136"/>
      <c r="CM19663" s="111"/>
      <c r="CQ19663" s="111"/>
      <c r="EF19663"/>
      <c r="EG19663"/>
      <c r="EH19663"/>
      <c r="EI19663"/>
      <c r="EJ19663"/>
      <c r="EK19663"/>
    </row>
    <row r="19664" spans="1:141" s="116" customFormat="1">
      <c r="A19664" s="136"/>
      <c r="CM19664" s="111"/>
      <c r="CQ19664" s="111"/>
      <c r="EF19664"/>
      <c r="EG19664"/>
      <c r="EH19664"/>
      <c r="EI19664"/>
      <c r="EJ19664"/>
      <c r="EK19664"/>
    </row>
    <row r="19665" spans="1:141" s="116" customFormat="1">
      <c r="A19665" s="136"/>
      <c r="CM19665" s="111"/>
      <c r="CQ19665" s="111"/>
      <c r="EF19665"/>
      <c r="EG19665"/>
      <c r="EH19665"/>
      <c r="EI19665"/>
      <c r="EJ19665"/>
      <c r="EK19665"/>
    </row>
    <row r="19666" spans="1:141" s="116" customFormat="1">
      <c r="A19666" s="136"/>
      <c r="CM19666" s="111"/>
      <c r="CQ19666" s="111"/>
      <c r="EF19666"/>
      <c r="EG19666"/>
      <c r="EH19666"/>
      <c r="EI19666"/>
      <c r="EJ19666"/>
      <c r="EK19666"/>
    </row>
    <row r="19667" spans="1:141" s="116" customFormat="1">
      <c r="A19667" s="136"/>
      <c r="CM19667" s="111"/>
      <c r="CQ19667" s="111"/>
      <c r="EF19667"/>
      <c r="EG19667"/>
      <c r="EH19667"/>
      <c r="EI19667"/>
      <c r="EJ19667"/>
      <c r="EK19667"/>
    </row>
    <row r="19668" spans="1:141" s="116" customFormat="1">
      <c r="A19668" s="136"/>
      <c r="CM19668" s="111"/>
      <c r="CQ19668" s="111"/>
      <c r="EF19668"/>
      <c r="EG19668"/>
      <c r="EH19668"/>
      <c r="EI19668"/>
      <c r="EJ19668"/>
      <c r="EK19668"/>
    </row>
    <row r="19669" spans="1:141" s="116" customFormat="1">
      <c r="A19669" s="136"/>
      <c r="CM19669" s="111"/>
      <c r="CQ19669" s="111"/>
      <c r="EF19669"/>
      <c r="EG19669"/>
      <c r="EH19669"/>
      <c r="EI19669"/>
      <c r="EJ19669"/>
      <c r="EK19669"/>
    </row>
    <row r="19670" spans="1:141" s="116" customFormat="1">
      <c r="A19670" s="136"/>
      <c r="CM19670" s="111"/>
      <c r="CQ19670" s="111"/>
      <c r="EF19670"/>
      <c r="EG19670"/>
      <c r="EH19670"/>
      <c r="EI19670"/>
      <c r="EJ19670"/>
      <c r="EK19670"/>
    </row>
    <row r="19671" spans="1:141" s="116" customFormat="1">
      <c r="A19671" s="136"/>
      <c r="CM19671" s="111"/>
      <c r="CQ19671" s="111"/>
      <c r="EF19671"/>
      <c r="EG19671"/>
      <c r="EH19671"/>
      <c r="EI19671"/>
      <c r="EJ19671"/>
      <c r="EK19671"/>
    </row>
    <row r="19672" spans="1:141" s="116" customFormat="1">
      <c r="A19672" s="136"/>
      <c r="CM19672" s="111"/>
      <c r="CQ19672" s="111"/>
      <c r="EF19672"/>
      <c r="EG19672"/>
      <c r="EH19672"/>
      <c r="EI19672"/>
      <c r="EJ19672"/>
      <c r="EK19672"/>
    </row>
    <row r="19673" spans="1:141" s="116" customFormat="1">
      <c r="A19673" s="136"/>
      <c r="CM19673" s="111"/>
      <c r="CQ19673" s="111"/>
      <c r="EF19673"/>
      <c r="EG19673"/>
      <c r="EH19673"/>
      <c r="EI19673"/>
      <c r="EJ19673"/>
      <c r="EK19673"/>
    </row>
    <row r="19674" spans="1:141" s="116" customFormat="1">
      <c r="A19674" s="136"/>
      <c r="CM19674" s="111"/>
      <c r="CQ19674" s="111"/>
      <c r="EF19674"/>
      <c r="EG19674"/>
      <c r="EH19674"/>
      <c r="EI19674"/>
      <c r="EJ19674"/>
      <c r="EK19674"/>
    </row>
    <row r="19675" spans="1:141" s="116" customFormat="1">
      <c r="A19675" s="136"/>
      <c r="CM19675" s="111"/>
      <c r="CQ19675" s="111"/>
      <c r="EF19675"/>
      <c r="EG19675"/>
      <c r="EH19675"/>
      <c r="EI19675"/>
      <c r="EJ19675"/>
      <c r="EK19675"/>
    </row>
    <row r="19676" spans="1:141" s="116" customFormat="1">
      <c r="A19676" s="136"/>
      <c r="CM19676" s="111"/>
      <c r="CQ19676" s="111"/>
      <c r="EF19676"/>
      <c r="EG19676"/>
      <c r="EH19676"/>
      <c r="EI19676"/>
      <c r="EJ19676"/>
      <c r="EK19676"/>
    </row>
    <row r="19677" spans="1:141" s="116" customFormat="1">
      <c r="A19677" s="136"/>
      <c r="CM19677" s="111"/>
      <c r="CQ19677" s="111"/>
      <c r="EF19677"/>
      <c r="EG19677"/>
      <c r="EH19677"/>
      <c r="EI19677"/>
      <c r="EJ19677"/>
      <c r="EK19677"/>
    </row>
    <row r="19678" spans="1:141" s="116" customFormat="1">
      <c r="A19678" s="136"/>
      <c r="CM19678" s="111"/>
      <c r="CQ19678" s="111"/>
      <c r="EF19678"/>
      <c r="EG19678"/>
      <c r="EH19678"/>
      <c r="EI19678"/>
      <c r="EJ19678"/>
      <c r="EK19678"/>
    </row>
    <row r="19679" spans="1:141" s="116" customFormat="1">
      <c r="A19679" s="136"/>
      <c r="CM19679" s="111"/>
      <c r="CQ19679" s="111"/>
      <c r="EF19679"/>
      <c r="EG19679"/>
      <c r="EH19679"/>
      <c r="EI19679"/>
      <c r="EJ19679"/>
      <c r="EK19679"/>
    </row>
    <row r="19680" spans="1:141" s="116" customFormat="1">
      <c r="A19680" s="136"/>
      <c r="CM19680" s="111"/>
      <c r="CQ19680" s="111"/>
      <c r="EF19680"/>
      <c r="EG19680"/>
      <c r="EH19680"/>
      <c r="EI19680"/>
      <c r="EJ19680"/>
      <c r="EK19680"/>
    </row>
    <row r="19681" spans="1:141" s="116" customFormat="1">
      <c r="A19681" s="136"/>
      <c r="CM19681" s="111"/>
      <c r="CQ19681" s="111"/>
      <c r="EF19681"/>
      <c r="EG19681"/>
      <c r="EH19681"/>
      <c r="EI19681"/>
      <c r="EJ19681"/>
      <c r="EK19681"/>
    </row>
    <row r="19682" spans="1:141" s="116" customFormat="1">
      <c r="A19682" s="136"/>
      <c r="CM19682" s="111"/>
      <c r="CQ19682" s="111"/>
      <c r="EF19682"/>
      <c r="EG19682"/>
      <c r="EH19682"/>
      <c r="EI19682"/>
      <c r="EJ19682"/>
      <c r="EK19682"/>
    </row>
    <row r="19683" spans="1:141" s="116" customFormat="1">
      <c r="A19683" s="136"/>
      <c r="CM19683" s="111"/>
      <c r="CQ19683" s="111"/>
      <c r="EF19683"/>
      <c r="EG19683"/>
      <c r="EH19683"/>
      <c r="EI19683"/>
      <c r="EJ19683"/>
      <c r="EK19683"/>
    </row>
    <row r="19684" spans="1:141" s="116" customFormat="1">
      <c r="A19684" s="136"/>
      <c r="CM19684" s="111"/>
      <c r="CQ19684" s="111"/>
      <c r="EF19684"/>
      <c r="EG19684"/>
      <c r="EH19684"/>
      <c r="EI19684"/>
      <c r="EJ19684"/>
      <c r="EK19684"/>
    </row>
    <row r="19685" spans="1:141" s="116" customFormat="1">
      <c r="A19685" s="136"/>
      <c r="CM19685" s="111"/>
      <c r="CQ19685" s="111"/>
      <c r="EF19685"/>
      <c r="EG19685"/>
      <c r="EH19685"/>
      <c r="EI19685"/>
      <c r="EJ19685"/>
      <c r="EK19685"/>
    </row>
    <row r="19686" spans="1:141" s="116" customFormat="1">
      <c r="A19686" s="136"/>
      <c r="CM19686" s="111"/>
      <c r="CQ19686" s="111"/>
      <c r="EF19686"/>
      <c r="EG19686"/>
      <c r="EH19686"/>
      <c r="EI19686"/>
      <c r="EJ19686"/>
      <c r="EK19686"/>
    </row>
    <row r="19687" spans="1:141" s="116" customFormat="1">
      <c r="A19687" s="136"/>
      <c r="CM19687" s="111"/>
      <c r="CQ19687" s="111"/>
      <c r="EF19687"/>
      <c r="EG19687"/>
      <c r="EH19687"/>
      <c r="EI19687"/>
      <c r="EJ19687"/>
      <c r="EK19687"/>
    </row>
    <row r="19688" spans="1:141" s="116" customFormat="1">
      <c r="A19688" s="136"/>
      <c r="CM19688" s="111"/>
      <c r="CQ19688" s="111"/>
      <c r="EF19688"/>
      <c r="EG19688"/>
      <c r="EH19688"/>
      <c r="EI19688"/>
      <c r="EJ19688"/>
      <c r="EK19688"/>
    </row>
    <row r="19689" spans="1:141" s="116" customFormat="1">
      <c r="A19689" s="136"/>
      <c r="CM19689" s="111"/>
      <c r="CQ19689" s="111"/>
      <c r="EF19689"/>
      <c r="EG19689"/>
      <c r="EH19689"/>
      <c r="EI19689"/>
      <c r="EJ19689"/>
      <c r="EK19689"/>
    </row>
    <row r="19690" spans="1:141" s="116" customFormat="1">
      <c r="A19690" s="136"/>
      <c r="CM19690" s="111"/>
      <c r="CQ19690" s="111"/>
      <c r="EF19690"/>
      <c r="EG19690"/>
      <c r="EH19690"/>
      <c r="EI19690"/>
      <c r="EJ19690"/>
      <c r="EK19690"/>
    </row>
    <row r="19691" spans="1:141" s="116" customFormat="1">
      <c r="A19691" s="136"/>
      <c r="CM19691" s="111"/>
      <c r="CQ19691" s="111"/>
      <c r="EF19691"/>
      <c r="EG19691"/>
      <c r="EH19691"/>
      <c r="EI19691"/>
      <c r="EJ19691"/>
      <c r="EK19691"/>
    </row>
    <row r="19692" spans="1:141" s="116" customFormat="1">
      <c r="A19692" s="136"/>
      <c r="CM19692" s="111"/>
      <c r="CQ19692" s="111"/>
      <c r="EF19692"/>
      <c r="EG19692"/>
      <c r="EH19692"/>
      <c r="EI19692"/>
      <c r="EJ19692"/>
      <c r="EK19692"/>
    </row>
    <row r="19693" spans="1:141" s="116" customFormat="1">
      <c r="A19693" s="136"/>
      <c r="CM19693" s="111"/>
      <c r="CQ19693" s="111"/>
      <c r="EF19693"/>
      <c r="EG19693"/>
      <c r="EH19693"/>
      <c r="EI19693"/>
      <c r="EJ19693"/>
      <c r="EK19693"/>
    </row>
    <row r="19694" spans="1:141" s="116" customFormat="1">
      <c r="A19694" s="136"/>
      <c r="CM19694" s="111"/>
      <c r="CQ19694" s="111"/>
      <c r="EF19694"/>
      <c r="EG19694"/>
      <c r="EH19694"/>
      <c r="EI19694"/>
      <c r="EJ19694"/>
      <c r="EK19694"/>
    </row>
    <row r="19695" spans="1:141" s="116" customFormat="1">
      <c r="A19695" s="136"/>
      <c r="CM19695" s="111"/>
      <c r="CQ19695" s="111"/>
      <c r="EF19695"/>
      <c r="EG19695"/>
      <c r="EH19695"/>
      <c r="EI19695"/>
      <c r="EJ19695"/>
      <c r="EK19695"/>
    </row>
    <row r="19696" spans="1:141" s="116" customFormat="1">
      <c r="A19696" s="136"/>
      <c r="CM19696" s="111"/>
      <c r="CQ19696" s="111"/>
      <c r="EF19696"/>
      <c r="EG19696"/>
      <c r="EH19696"/>
      <c r="EI19696"/>
      <c r="EJ19696"/>
      <c r="EK19696"/>
    </row>
    <row r="19697" spans="1:141" s="116" customFormat="1">
      <c r="A19697" s="136"/>
      <c r="CM19697" s="111"/>
      <c r="CQ19697" s="111"/>
      <c r="EF19697"/>
      <c r="EG19697"/>
      <c r="EH19697"/>
      <c r="EI19697"/>
      <c r="EJ19697"/>
      <c r="EK19697"/>
    </row>
    <row r="19698" spans="1:141" s="116" customFormat="1">
      <c r="A19698" s="136"/>
      <c r="CM19698" s="111"/>
      <c r="CQ19698" s="111"/>
      <c r="EF19698"/>
      <c r="EG19698"/>
      <c r="EH19698"/>
      <c r="EI19698"/>
      <c r="EJ19698"/>
      <c r="EK19698"/>
    </row>
    <row r="19699" spans="1:141" s="116" customFormat="1">
      <c r="A19699" s="136"/>
      <c r="CM19699" s="111"/>
      <c r="CQ19699" s="111"/>
      <c r="EF19699"/>
      <c r="EG19699"/>
      <c r="EH19699"/>
      <c r="EI19699"/>
      <c r="EJ19699"/>
      <c r="EK19699"/>
    </row>
    <row r="19700" spans="1:141" s="116" customFormat="1">
      <c r="A19700" s="136"/>
      <c r="CM19700" s="111"/>
      <c r="CQ19700" s="111"/>
      <c r="EF19700"/>
      <c r="EG19700"/>
      <c r="EH19700"/>
      <c r="EI19700"/>
      <c r="EJ19700"/>
      <c r="EK19700"/>
    </row>
    <row r="19701" spans="1:141" s="116" customFormat="1">
      <c r="A19701" s="136"/>
      <c r="CM19701" s="111"/>
      <c r="CQ19701" s="111"/>
      <c r="EF19701"/>
      <c r="EG19701"/>
      <c r="EH19701"/>
      <c r="EI19701"/>
      <c r="EJ19701"/>
      <c r="EK19701"/>
    </row>
    <row r="19702" spans="1:141" s="116" customFormat="1">
      <c r="A19702" s="136"/>
      <c r="CM19702" s="111"/>
      <c r="CQ19702" s="111"/>
      <c r="EF19702"/>
      <c r="EG19702"/>
      <c r="EH19702"/>
      <c r="EI19702"/>
      <c r="EJ19702"/>
      <c r="EK19702"/>
    </row>
    <row r="19703" spans="1:141" s="116" customFormat="1">
      <c r="A19703" s="136"/>
      <c r="CM19703" s="111"/>
      <c r="CQ19703" s="111"/>
      <c r="EF19703"/>
      <c r="EG19703"/>
      <c r="EH19703"/>
      <c r="EI19703"/>
      <c r="EJ19703"/>
      <c r="EK19703"/>
    </row>
    <row r="19704" spans="1:141" s="116" customFormat="1">
      <c r="A19704" s="136"/>
      <c r="CM19704" s="111"/>
      <c r="CQ19704" s="111"/>
      <c r="EF19704"/>
      <c r="EG19704"/>
      <c r="EH19704"/>
      <c r="EI19704"/>
      <c r="EJ19704"/>
      <c r="EK19704"/>
    </row>
    <row r="19705" spans="1:141" s="116" customFormat="1">
      <c r="A19705" s="136"/>
      <c r="CM19705" s="111"/>
      <c r="CQ19705" s="111"/>
      <c r="EF19705"/>
      <c r="EG19705"/>
      <c r="EH19705"/>
      <c r="EI19705"/>
      <c r="EJ19705"/>
      <c r="EK19705"/>
    </row>
    <row r="19706" spans="1:141" s="116" customFormat="1">
      <c r="A19706" s="136"/>
      <c r="CM19706" s="111"/>
      <c r="CQ19706" s="111"/>
      <c r="EF19706"/>
      <c r="EG19706"/>
      <c r="EH19706"/>
      <c r="EI19706"/>
      <c r="EJ19706"/>
      <c r="EK19706"/>
    </row>
    <row r="19707" spans="1:141" s="116" customFormat="1">
      <c r="A19707" s="136"/>
      <c r="CM19707" s="111"/>
      <c r="CQ19707" s="111"/>
      <c r="EF19707"/>
      <c r="EG19707"/>
      <c r="EH19707"/>
      <c r="EI19707"/>
      <c r="EJ19707"/>
      <c r="EK19707"/>
    </row>
    <row r="19708" spans="1:141" s="116" customFormat="1">
      <c r="A19708" s="136"/>
      <c r="CM19708" s="111"/>
      <c r="CQ19708" s="111"/>
      <c r="EF19708"/>
      <c r="EG19708"/>
      <c r="EH19708"/>
      <c r="EI19708"/>
      <c r="EJ19708"/>
      <c r="EK19708"/>
    </row>
    <row r="19709" spans="1:141" s="116" customFormat="1">
      <c r="A19709" s="136"/>
      <c r="CM19709" s="111"/>
      <c r="CQ19709" s="111"/>
      <c r="EF19709"/>
      <c r="EG19709"/>
      <c r="EH19709"/>
      <c r="EI19709"/>
      <c r="EJ19709"/>
      <c r="EK19709"/>
    </row>
    <row r="19710" spans="1:141" s="116" customFormat="1">
      <c r="A19710" s="136"/>
      <c r="CM19710" s="111"/>
      <c r="CQ19710" s="111"/>
      <c r="EF19710"/>
      <c r="EG19710"/>
      <c r="EH19710"/>
      <c r="EI19710"/>
      <c r="EJ19710"/>
      <c r="EK19710"/>
    </row>
    <row r="19711" spans="1:141" s="116" customFormat="1">
      <c r="A19711" s="136"/>
      <c r="CM19711" s="111"/>
      <c r="CQ19711" s="111"/>
      <c r="EF19711"/>
      <c r="EG19711"/>
      <c r="EH19711"/>
      <c r="EI19711"/>
      <c r="EJ19711"/>
      <c r="EK19711"/>
    </row>
    <row r="19712" spans="1:141" s="116" customFormat="1">
      <c r="A19712" s="136"/>
      <c r="CM19712" s="111"/>
      <c r="CQ19712" s="111"/>
      <c r="EF19712"/>
      <c r="EG19712"/>
      <c r="EH19712"/>
      <c r="EI19712"/>
      <c r="EJ19712"/>
      <c r="EK19712"/>
    </row>
    <row r="19713" spans="1:141" s="116" customFormat="1">
      <c r="A19713" s="136"/>
      <c r="CM19713" s="111"/>
      <c r="CQ19713" s="111"/>
      <c r="EF19713"/>
      <c r="EG19713"/>
      <c r="EH19713"/>
      <c r="EI19713"/>
      <c r="EJ19713"/>
      <c r="EK19713"/>
    </row>
    <row r="19714" spans="1:141" s="116" customFormat="1">
      <c r="A19714" s="136"/>
      <c r="CM19714" s="111"/>
      <c r="CQ19714" s="111"/>
      <c r="EF19714"/>
      <c r="EG19714"/>
      <c r="EH19714"/>
      <c r="EI19714"/>
      <c r="EJ19714"/>
      <c r="EK19714"/>
    </row>
    <row r="19715" spans="1:141" s="116" customFormat="1">
      <c r="A19715" s="136"/>
      <c r="CM19715" s="111"/>
      <c r="CQ19715" s="111"/>
      <c r="EF19715"/>
      <c r="EG19715"/>
      <c r="EH19715"/>
      <c r="EI19715"/>
      <c r="EJ19715"/>
      <c r="EK19715"/>
    </row>
    <row r="19716" spans="1:141" s="116" customFormat="1">
      <c r="A19716" s="136"/>
      <c r="CM19716" s="111"/>
      <c r="CQ19716" s="111"/>
      <c r="EF19716"/>
      <c r="EG19716"/>
      <c r="EH19716"/>
      <c r="EI19716"/>
      <c r="EJ19716"/>
      <c r="EK19716"/>
    </row>
    <row r="19717" spans="1:141" s="116" customFormat="1">
      <c r="A19717" s="136"/>
      <c r="CM19717" s="111"/>
      <c r="CQ19717" s="111"/>
      <c r="EF19717"/>
      <c r="EG19717"/>
      <c r="EH19717"/>
      <c r="EI19717"/>
      <c r="EJ19717"/>
      <c r="EK19717"/>
    </row>
    <row r="19718" spans="1:141" s="116" customFormat="1">
      <c r="A19718" s="136"/>
      <c r="CM19718" s="111"/>
      <c r="CQ19718" s="111"/>
      <c r="EF19718"/>
      <c r="EG19718"/>
      <c r="EH19718"/>
      <c r="EI19718"/>
      <c r="EJ19718"/>
      <c r="EK19718"/>
    </row>
    <row r="19719" spans="1:141" s="116" customFormat="1">
      <c r="A19719" s="136"/>
      <c r="CM19719" s="111"/>
      <c r="CQ19719" s="111"/>
      <c r="EF19719"/>
      <c r="EG19719"/>
      <c r="EH19719"/>
      <c r="EI19719"/>
      <c r="EJ19719"/>
      <c r="EK19719"/>
    </row>
    <row r="19720" spans="1:141" s="116" customFormat="1">
      <c r="A19720" s="136"/>
      <c r="CM19720" s="111"/>
      <c r="CQ19720" s="111"/>
      <c r="EF19720"/>
      <c r="EG19720"/>
      <c r="EH19720"/>
      <c r="EI19720"/>
      <c r="EJ19720"/>
      <c r="EK19720"/>
    </row>
    <row r="19721" spans="1:141" s="116" customFormat="1">
      <c r="A19721" s="136"/>
      <c r="CM19721" s="111"/>
      <c r="CQ19721" s="111"/>
      <c r="EF19721"/>
      <c r="EG19721"/>
      <c r="EH19721"/>
      <c r="EI19721"/>
      <c r="EJ19721"/>
      <c r="EK19721"/>
    </row>
    <row r="19722" spans="1:141" s="116" customFormat="1">
      <c r="A19722" s="136"/>
      <c r="CM19722" s="111"/>
      <c r="CQ19722" s="111"/>
      <c r="EF19722"/>
      <c r="EG19722"/>
      <c r="EH19722"/>
      <c r="EI19722"/>
      <c r="EJ19722"/>
      <c r="EK19722"/>
    </row>
    <row r="19723" spans="1:141" s="116" customFormat="1">
      <c r="A19723" s="136"/>
      <c r="CM19723" s="111"/>
      <c r="CQ19723" s="111"/>
      <c r="EF19723"/>
      <c r="EG19723"/>
      <c r="EH19723"/>
      <c r="EI19723"/>
      <c r="EJ19723"/>
      <c r="EK19723"/>
    </row>
    <row r="19724" spans="1:141" s="116" customFormat="1">
      <c r="A19724" s="136"/>
      <c r="CM19724" s="111"/>
      <c r="CQ19724" s="111"/>
      <c r="EF19724"/>
      <c r="EG19724"/>
      <c r="EH19724"/>
      <c r="EI19724"/>
      <c r="EJ19724"/>
      <c r="EK19724"/>
    </row>
    <row r="19725" spans="1:141" s="116" customFormat="1">
      <c r="A19725" s="136"/>
      <c r="CM19725" s="111"/>
      <c r="CQ19725" s="111"/>
      <c r="EF19725"/>
      <c r="EG19725"/>
      <c r="EH19725"/>
      <c r="EI19725"/>
      <c r="EJ19725"/>
      <c r="EK19725"/>
    </row>
    <row r="19726" spans="1:141" s="116" customFormat="1">
      <c r="A19726" s="136"/>
      <c r="CM19726" s="111"/>
      <c r="CQ19726" s="111"/>
      <c r="EF19726"/>
      <c r="EG19726"/>
      <c r="EH19726"/>
      <c r="EI19726"/>
      <c r="EJ19726"/>
      <c r="EK19726"/>
    </row>
    <row r="19727" spans="1:141" s="116" customFormat="1">
      <c r="A19727" s="136"/>
      <c r="CM19727" s="111"/>
      <c r="CQ19727" s="111"/>
      <c r="EF19727"/>
      <c r="EG19727"/>
      <c r="EH19727"/>
      <c r="EI19727"/>
      <c r="EJ19727"/>
      <c r="EK19727"/>
    </row>
    <row r="19728" spans="1:141" s="116" customFormat="1">
      <c r="A19728" s="136"/>
      <c r="CM19728" s="111"/>
      <c r="CQ19728" s="111"/>
      <c r="EF19728"/>
      <c r="EG19728"/>
      <c r="EH19728"/>
      <c r="EI19728"/>
      <c r="EJ19728"/>
      <c r="EK19728"/>
    </row>
    <row r="19729" spans="1:141" s="116" customFormat="1">
      <c r="A19729" s="136"/>
      <c r="CM19729" s="111"/>
      <c r="CQ19729" s="111"/>
      <c r="EF19729"/>
      <c r="EG19729"/>
      <c r="EH19729"/>
      <c r="EI19729"/>
      <c r="EJ19729"/>
      <c r="EK19729"/>
    </row>
    <row r="19730" spans="1:141" s="116" customFormat="1">
      <c r="A19730" s="136"/>
      <c r="CM19730" s="111"/>
      <c r="CQ19730" s="111"/>
      <c r="EF19730"/>
      <c r="EG19730"/>
      <c r="EH19730"/>
      <c r="EI19730"/>
      <c r="EJ19730"/>
      <c r="EK19730"/>
    </row>
    <row r="19731" spans="1:141" s="116" customFormat="1">
      <c r="A19731" s="136"/>
      <c r="CM19731" s="111"/>
      <c r="CQ19731" s="111"/>
      <c r="EF19731"/>
      <c r="EG19731"/>
      <c r="EH19731"/>
      <c r="EI19731"/>
      <c r="EJ19731"/>
      <c r="EK19731"/>
    </row>
    <row r="19732" spans="1:141" s="116" customFormat="1">
      <c r="A19732" s="136"/>
      <c r="CM19732" s="111"/>
      <c r="CQ19732" s="111"/>
      <c r="EF19732"/>
      <c r="EG19732"/>
      <c r="EH19732"/>
      <c r="EI19732"/>
      <c r="EJ19732"/>
      <c r="EK19732"/>
    </row>
    <row r="19733" spans="1:141" s="116" customFormat="1">
      <c r="A19733" s="136"/>
      <c r="CM19733" s="111"/>
      <c r="CQ19733" s="111"/>
      <c r="EF19733"/>
      <c r="EG19733"/>
      <c r="EH19733"/>
      <c r="EI19733"/>
      <c r="EJ19733"/>
      <c r="EK19733"/>
    </row>
    <row r="19734" spans="1:141" s="116" customFormat="1">
      <c r="A19734" s="136"/>
      <c r="CM19734" s="111"/>
      <c r="CQ19734" s="111"/>
      <c r="EF19734"/>
      <c r="EG19734"/>
      <c r="EH19734"/>
      <c r="EI19734"/>
      <c r="EJ19734"/>
      <c r="EK19734"/>
    </row>
    <row r="19735" spans="1:141" s="116" customFormat="1">
      <c r="A19735" s="136"/>
      <c r="CM19735" s="111"/>
      <c r="CQ19735" s="111"/>
      <c r="EF19735"/>
      <c r="EG19735"/>
      <c r="EH19735"/>
      <c r="EI19735"/>
      <c r="EJ19735"/>
      <c r="EK19735"/>
    </row>
    <row r="19736" spans="1:141" s="116" customFormat="1">
      <c r="A19736" s="136"/>
      <c r="CM19736" s="111"/>
      <c r="CQ19736" s="111"/>
      <c r="EF19736"/>
      <c r="EG19736"/>
      <c r="EH19736"/>
      <c r="EI19736"/>
      <c r="EJ19736"/>
      <c r="EK19736"/>
    </row>
    <row r="19737" spans="1:141" s="116" customFormat="1">
      <c r="A19737" s="136"/>
      <c r="CM19737" s="111"/>
      <c r="CQ19737" s="111"/>
      <c r="EF19737"/>
      <c r="EG19737"/>
      <c r="EH19737"/>
      <c r="EI19737"/>
      <c r="EJ19737"/>
      <c r="EK19737"/>
    </row>
    <row r="19738" spans="1:141" s="116" customFormat="1">
      <c r="A19738" s="136"/>
      <c r="CM19738" s="111"/>
      <c r="CQ19738" s="111"/>
      <c r="EF19738"/>
      <c r="EG19738"/>
      <c r="EH19738"/>
      <c r="EI19738"/>
      <c r="EJ19738"/>
      <c r="EK19738"/>
    </row>
    <row r="19739" spans="1:141" s="116" customFormat="1">
      <c r="A19739" s="136"/>
      <c r="CM19739" s="111"/>
      <c r="CQ19739" s="111"/>
      <c r="EF19739"/>
      <c r="EG19739"/>
      <c r="EH19739"/>
      <c r="EI19739"/>
      <c r="EJ19739"/>
      <c r="EK19739"/>
    </row>
    <row r="19740" spans="1:141" s="116" customFormat="1">
      <c r="A19740" s="136"/>
      <c r="CM19740" s="111"/>
      <c r="CQ19740" s="111"/>
      <c r="EF19740"/>
      <c r="EG19740"/>
      <c r="EH19740"/>
      <c r="EI19740"/>
      <c r="EJ19740"/>
      <c r="EK19740"/>
    </row>
    <row r="19741" spans="1:141" s="116" customFormat="1">
      <c r="A19741" s="136"/>
      <c r="CM19741" s="111"/>
      <c r="CQ19741" s="111"/>
      <c r="EF19741"/>
      <c r="EG19741"/>
      <c r="EH19741"/>
      <c r="EI19741"/>
      <c r="EJ19741"/>
      <c r="EK19741"/>
    </row>
    <row r="19742" spans="1:141" s="116" customFormat="1">
      <c r="A19742" s="136"/>
      <c r="CM19742" s="111"/>
      <c r="CQ19742" s="111"/>
      <c r="EF19742"/>
      <c r="EG19742"/>
      <c r="EH19742"/>
      <c r="EI19742"/>
      <c r="EJ19742"/>
      <c r="EK19742"/>
    </row>
    <row r="19743" spans="1:141" s="116" customFormat="1">
      <c r="A19743" s="136"/>
      <c r="CM19743" s="111"/>
      <c r="CQ19743" s="111"/>
      <c r="EF19743"/>
      <c r="EG19743"/>
      <c r="EH19743"/>
      <c r="EI19743"/>
      <c r="EJ19743"/>
      <c r="EK19743"/>
    </row>
    <row r="19744" spans="1:141" s="116" customFormat="1">
      <c r="A19744" s="136"/>
      <c r="CM19744" s="111"/>
      <c r="CQ19744" s="111"/>
      <c r="EF19744"/>
      <c r="EG19744"/>
      <c r="EH19744"/>
      <c r="EI19744"/>
      <c r="EJ19744"/>
      <c r="EK19744"/>
    </row>
    <row r="19745" spans="1:141" s="116" customFormat="1">
      <c r="A19745" s="136"/>
      <c r="CM19745" s="111"/>
      <c r="CQ19745" s="111"/>
      <c r="EF19745"/>
      <c r="EG19745"/>
      <c r="EH19745"/>
      <c r="EI19745"/>
      <c r="EJ19745"/>
      <c r="EK19745"/>
    </row>
    <row r="19746" spans="1:141" s="116" customFormat="1">
      <c r="A19746" s="136"/>
      <c r="CM19746" s="111"/>
      <c r="CQ19746" s="111"/>
      <c r="EF19746"/>
      <c r="EG19746"/>
      <c r="EH19746"/>
      <c r="EI19746"/>
      <c r="EJ19746"/>
      <c r="EK19746"/>
    </row>
    <row r="19747" spans="1:141" s="116" customFormat="1">
      <c r="A19747" s="136"/>
      <c r="CM19747" s="111"/>
      <c r="CQ19747" s="111"/>
      <c r="EF19747"/>
      <c r="EG19747"/>
      <c r="EH19747"/>
      <c r="EI19747"/>
      <c r="EJ19747"/>
      <c r="EK19747"/>
    </row>
    <row r="19748" spans="1:141" s="116" customFormat="1">
      <c r="A19748" s="136"/>
      <c r="CM19748" s="111"/>
      <c r="CQ19748" s="111"/>
      <c r="EF19748"/>
      <c r="EG19748"/>
      <c r="EH19748"/>
      <c r="EI19748"/>
      <c r="EJ19748"/>
      <c r="EK19748"/>
    </row>
    <row r="19749" spans="1:141" s="116" customFormat="1">
      <c r="A19749" s="136"/>
      <c r="CM19749" s="111"/>
      <c r="CQ19749" s="111"/>
      <c r="EF19749"/>
      <c r="EG19749"/>
      <c r="EH19749"/>
      <c r="EI19749"/>
      <c r="EJ19749"/>
      <c r="EK19749"/>
    </row>
    <row r="19750" spans="1:141" s="116" customFormat="1">
      <c r="A19750" s="136"/>
      <c r="CM19750" s="111"/>
      <c r="CQ19750" s="111"/>
      <c r="EF19750"/>
      <c r="EG19750"/>
      <c r="EH19750"/>
      <c r="EI19750"/>
      <c r="EJ19750"/>
      <c r="EK19750"/>
    </row>
    <row r="19751" spans="1:141" s="116" customFormat="1">
      <c r="A19751" s="136"/>
      <c r="CM19751" s="111"/>
      <c r="CQ19751" s="111"/>
      <c r="EF19751"/>
      <c r="EG19751"/>
      <c r="EH19751"/>
      <c r="EI19751"/>
      <c r="EJ19751"/>
      <c r="EK19751"/>
    </row>
    <row r="19752" spans="1:141" s="116" customFormat="1">
      <c r="A19752" s="136"/>
      <c r="CM19752" s="111"/>
      <c r="CQ19752" s="111"/>
      <c r="EF19752"/>
      <c r="EG19752"/>
      <c r="EH19752"/>
      <c r="EI19752"/>
      <c r="EJ19752"/>
      <c r="EK19752"/>
    </row>
    <row r="19753" spans="1:141" s="116" customFormat="1">
      <c r="A19753" s="136"/>
      <c r="CM19753" s="111"/>
      <c r="CQ19753" s="111"/>
      <c r="EF19753"/>
      <c r="EG19753"/>
      <c r="EH19753"/>
      <c r="EI19753"/>
      <c r="EJ19753"/>
      <c r="EK19753"/>
    </row>
    <row r="19754" spans="1:141" s="116" customFormat="1">
      <c r="A19754" s="136"/>
      <c r="CM19754" s="111"/>
      <c r="CQ19754" s="111"/>
      <c r="EF19754"/>
      <c r="EG19754"/>
      <c r="EH19754"/>
      <c r="EI19754"/>
      <c r="EJ19754"/>
      <c r="EK19754"/>
    </row>
    <row r="19755" spans="1:141" s="116" customFormat="1">
      <c r="A19755" s="136"/>
      <c r="CM19755" s="111"/>
      <c r="CQ19755" s="111"/>
      <c r="EF19755"/>
      <c r="EG19755"/>
      <c r="EH19755"/>
      <c r="EI19755"/>
      <c r="EJ19755"/>
      <c r="EK19755"/>
    </row>
    <row r="19756" spans="1:141" s="116" customFormat="1">
      <c r="A19756" s="136"/>
      <c r="CM19756" s="111"/>
      <c r="CQ19756" s="111"/>
      <c r="EF19756"/>
      <c r="EG19756"/>
      <c r="EH19756"/>
      <c r="EI19756"/>
      <c r="EJ19756"/>
      <c r="EK19756"/>
    </row>
    <row r="19757" spans="1:141" s="116" customFormat="1">
      <c r="A19757" s="136"/>
      <c r="CM19757" s="111"/>
      <c r="CQ19757" s="111"/>
      <c r="EF19757"/>
      <c r="EG19757"/>
      <c r="EH19757"/>
      <c r="EI19757"/>
      <c r="EJ19757"/>
      <c r="EK19757"/>
    </row>
    <row r="19758" spans="1:141" s="116" customFormat="1">
      <c r="A19758" s="136"/>
      <c r="CM19758" s="111"/>
      <c r="CQ19758" s="111"/>
      <c r="EF19758"/>
      <c r="EG19758"/>
      <c r="EH19758"/>
      <c r="EI19758"/>
      <c r="EJ19758"/>
      <c r="EK19758"/>
    </row>
    <row r="19759" spans="1:141" s="116" customFormat="1">
      <c r="A19759" s="136"/>
      <c r="CM19759" s="111"/>
      <c r="CQ19759" s="111"/>
      <c r="EF19759"/>
      <c r="EG19759"/>
      <c r="EH19759"/>
      <c r="EI19759"/>
      <c r="EJ19759"/>
      <c r="EK19759"/>
    </row>
    <row r="19760" spans="1:141" s="116" customFormat="1">
      <c r="A19760" s="136"/>
      <c r="CM19760" s="111"/>
      <c r="CQ19760" s="111"/>
      <c r="EF19760"/>
      <c r="EG19760"/>
      <c r="EH19760"/>
      <c r="EI19760"/>
      <c r="EJ19760"/>
      <c r="EK19760"/>
    </row>
    <row r="19761" spans="1:141" s="116" customFormat="1">
      <c r="A19761" s="136"/>
      <c r="CM19761" s="111"/>
      <c r="CQ19761" s="111"/>
      <c r="EF19761"/>
      <c r="EG19761"/>
      <c r="EH19761"/>
      <c r="EI19761"/>
      <c r="EJ19761"/>
      <c r="EK19761"/>
    </row>
    <row r="19762" spans="1:141" s="116" customFormat="1">
      <c r="A19762" s="136"/>
      <c r="CM19762" s="111"/>
      <c r="CQ19762" s="111"/>
      <c r="EF19762"/>
      <c r="EG19762"/>
      <c r="EH19762"/>
      <c r="EI19762"/>
      <c r="EJ19762"/>
      <c r="EK19762"/>
    </row>
    <row r="19763" spans="1:141" s="116" customFormat="1">
      <c r="A19763" s="136"/>
      <c r="CM19763" s="111"/>
      <c r="CQ19763" s="111"/>
      <c r="EF19763"/>
      <c r="EG19763"/>
      <c r="EH19763"/>
      <c r="EI19763"/>
      <c r="EJ19763"/>
      <c r="EK19763"/>
    </row>
    <row r="19764" spans="1:141" s="116" customFormat="1">
      <c r="A19764" s="136"/>
      <c r="CM19764" s="111"/>
      <c r="CQ19764" s="111"/>
      <c r="EF19764"/>
      <c r="EG19764"/>
      <c r="EH19764"/>
      <c r="EI19764"/>
      <c r="EJ19764"/>
      <c r="EK19764"/>
    </row>
    <row r="19765" spans="1:141" s="116" customFormat="1">
      <c r="A19765" s="136"/>
      <c r="CM19765" s="111"/>
      <c r="CQ19765" s="111"/>
      <c r="EF19765"/>
      <c r="EG19765"/>
      <c r="EH19765"/>
      <c r="EI19765"/>
      <c r="EJ19765"/>
      <c r="EK19765"/>
    </row>
    <row r="19766" spans="1:141" s="116" customFormat="1">
      <c r="A19766" s="136"/>
      <c r="CM19766" s="111"/>
      <c r="CQ19766" s="111"/>
      <c r="EF19766"/>
      <c r="EG19766"/>
      <c r="EH19766"/>
      <c r="EI19766"/>
      <c r="EJ19766"/>
      <c r="EK19766"/>
    </row>
    <row r="19767" spans="1:141" s="116" customFormat="1">
      <c r="A19767" s="136"/>
      <c r="CM19767" s="111"/>
      <c r="CQ19767" s="111"/>
      <c r="EF19767"/>
      <c r="EG19767"/>
      <c r="EH19767"/>
      <c r="EI19767"/>
      <c r="EJ19767"/>
      <c r="EK19767"/>
    </row>
    <row r="19768" spans="1:141" s="116" customFormat="1">
      <c r="A19768" s="136"/>
      <c r="CM19768" s="111"/>
      <c r="CQ19768" s="111"/>
      <c r="EF19768"/>
      <c r="EG19768"/>
      <c r="EH19768"/>
      <c r="EI19768"/>
      <c r="EJ19768"/>
      <c r="EK19768"/>
    </row>
    <row r="19769" spans="1:141" s="116" customFormat="1">
      <c r="A19769" s="136"/>
      <c r="CM19769" s="111"/>
      <c r="CQ19769" s="111"/>
      <c r="EF19769"/>
      <c r="EG19769"/>
      <c r="EH19769"/>
      <c r="EI19769"/>
      <c r="EJ19769"/>
      <c r="EK19769"/>
    </row>
    <row r="19770" spans="1:141" s="116" customFormat="1">
      <c r="A19770" s="136"/>
      <c r="CM19770" s="111"/>
      <c r="CQ19770" s="111"/>
      <c r="EF19770"/>
      <c r="EG19770"/>
      <c r="EH19770"/>
      <c r="EI19770"/>
      <c r="EJ19770"/>
      <c r="EK19770"/>
    </row>
    <row r="19771" spans="1:141" s="116" customFormat="1">
      <c r="A19771" s="136"/>
      <c r="CM19771" s="111"/>
      <c r="CQ19771" s="111"/>
      <c r="EF19771"/>
      <c r="EG19771"/>
      <c r="EH19771"/>
      <c r="EI19771"/>
      <c r="EJ19771"/>
      <c r="EK19771"/>
    </row>
    <row r="19772" spans="1:141" s="116" customFormat="1">
      <c r="A19772" s="136"/>
      <c r="CM19772" s="111"/>
      <c r="CQ19772" s="111"/>
      <c r="EF19772"/>
      <c r="EG19772"/>
      <c r="EH19772"/>
      <c r="EI19772"/>
      <c r="EJ19772"/>
      <c r="EK19772"/>
    </row>
    <row r="19773" spans="1:141" s="116" customFormat="1">
      <c r="A19773" s="136"/>
      <c r="CM19773" s="111"/>
      <c r="CQ19773" s="111"/>
      <c r="EF19773"/>
      <c r="EG19773"/>
      <c r="EH19773"/>
      <c r="EI19773"/>
      <c r="EJ19773"/>
      <c r="EK19773"/>
    </row>
    <row r="19774" spans="1:141" s="116" customFormat="1">
      <c r="A19774" s="136"/>
      <c r="CM19774" s="111"/>
      <c r="CQ19774" s="111"/>
      <c r="EF19774"/>
      <c r="EG19774"/>
      <c r="EH19774"/>
      <c r="EI19774"/>
      <c r="EJ19774"/>
      <c r="EK19774"/>
    </row>
    <row r="19775" spans="1:141" s="116" customFormat="1">
      <c r="A19775" s="136"/>
      <c r="CM19775" s="111"/>
      <c r="CQ19775" s="111"/>
      <c r="EF19775"/>
      <c r="EG19775"/>
      <c r="EH19775"/>
      <c r="EI19775"/>
      <c r="EJ19775"/>
      <c r="EK19775"/>
    </row>
    <row r="19776" spans="1:141" s="116" customFormat="1">
      <c r="A19776" s="136"/>
      <c r="CM19776" s="111"/>
      <c r="CQ19776" s="111"/>
      <c r="EF19776"/>
      <c r="EG19776"/>
      <c r="EH19776"/>
      <c r="EI19776"/>
      <c r="EJ19776"/>
      <c r="EK19776"/>
    </row>
    <row r="19777" spans="1:141" s="116" customFormat="1">
      <c r="A19777" s="136"/>
      <c r="CM19777" s="111"/>
      <c r="CQ19777" s="111"/>
      <c r="EF19777"/>
      <c r="EG19777"/>
      <c r="EH19777"/>
      <c r="EI19777"/>
      <c r="EJ19777"/>
      <c r="EK19777"/>
    </row>
    <row r="19778" spans="1:141" s="116" customFormat="1">
      <c r="A19778" s="136"/>
      <c r="CM19778" s="111"/>
      <c r="CQ19778" s="111"/>
      <c r="EF19778"/>
      <c r="EG19778"/>
      <c r="EH19778"/>
      <c r="EI19778"/>
      <c r="EJ19778"/>
      <c r="EK19778"/>
    </row>
    <row r="19779" spans="1:141" s="116" customFormat="1">
      <c r="A19779" s="136"/>
      <c r="CM19779" s="111"/>
      <c r="CQ19779" s="111"/>
      <c r="EF19779"/>
      <c r="EG19779"/>
      <c r="EH19779"/>
      <c r="EI19779"/>
      <c r="EJ19779"/>
      <c r="EK19779"/>
    </row>
    <row r="19780" spans="1:141" s="116" customFormat="1">
      <c r="A19780" s="136"/>
      <c r="CM19780" s="111"/>
      <c r="CQ19780" s="111"/>
      <c r="EF19780"/>
      <c r="EG19780"/>
      <c r="EH19780"/>
      <c r="EI19780"/>
      <c r="EJ19780"/>
      <c r="EK19780"/>
    </row>
    <row r="19781" spans="1:141" s="116" customFormat="1">
      <c r="A19781" s="136"/>
      <c r="CM19781" s="111"/>
      <c r="CQ19781" s="111"/>
      <c r="EF19781"/>
      <c r="EG19781"/>
      <c r="EH19781"/>
      <c r="EI19781"/>
      <c r="EJ19781"/>
      <c r="EK19781"/>
    </row>
    <row r="19782" spans="1:141" s="116" customFormat="1">
      <c r="A19782" s="136"/>
      <c r="CM19782" s="111"/>
      <c r="CQ19782" s="111"/>
      <c r="EF19782"/>
      <c r="EG19782"/>
      <c r="EH19782"/>
      <c r="EI19782"/>
      <c r="EJ19782"/>
      <c r="EK19782"/>
    </row>
    <row r="19783" spans="1:141" s="116" customFormat="1">
      <c r="A19783" s="136"/>
      <c r="CM19783" s="111"/>
      <c r="CQ19783" s="111"/>
      <c r="EF19783"/>
      <c r="EG19783"/>
      <c r="EH19783"/>
      <c r="EI19783"/>
      <c r="EJ19783"/>
      <c r="EK19783"/>
    </row>
    <row r="19784" spans="1:141" s="116" customFormat="1">
      <c r="A19784" s="136"/>
      <c r="CM19784" s="111"/>
      <c r="CQ19784" s="111"/>
      <c r="EF19784"/>
      <c r="EG19784"/>
      <c r="EH19784"/>
      <c r="EI19784"/>
      <c r="EJ19784"/>
      <c r="EK19784"/>
    </row>
    <row r="19785" spans="1:141" s="116" customFormat="1">
      <c r="A19785" s="136"/>
      <c r="CM19785" s="111"/>
      <c r="CQ19785" s="111"/>
      <c r="EF19785"/>
      <c r="EG19785"/>
      <c r="EH19785"/>
      <c r="EI19785"/>
      <c r="EJ19785"/>
      <c r="EK19785"/>
    </row>
    <row r="19786" spans="1:141" s="116" customFormat="1">
      <c r="A19786" s="136"/>
      <c r="CM19786" s="111"/>
      <c r="CQ19786" s="111"/>
      <c r="EF19786"/>
      <c r="EG19786"/>
      <c r="EH19786"/>
      <c r="EI19786"/>
      <c r="EJ19786"/>
      <c r="EK19786"/>
    </row>
    <row r="19787" spans="1:141" s="116" customFormat="1">
      <c r="A19787" s="136"/>
      <c r="CM19787" s="111"/>
      <c r="CQ19787" s="111"/>
      <c r="EF19787"/>
      <c r="EG19787"/>
      <c r="EH19787"/>
      <c r="EI19787"/>
      <c r="EJ19787"/>
      <c r="EK19787"/>
    </row>
    <row r="19788" spans="1:141" s="116" customFormat="1">
      <c r="A19788" s="136"/>
      <c r="CM19788" s="111"/>
      <c r="CQ19788" s="111"/>
      <c r="EF19788"/>
      <c r="EG19788"/>
      <c r="EH19788"/>
      <c r="EI19788"/>
      <c r="EJ19788"/>
      <c r="EK19788"/>
    </row>
    <row r="19789" spans="1:141" s="116" customFormat="1">
      <c r="A19789" s="136"/>
      <c r="CM19789" s="111"/>
      <c r="CQ19789" s="111"/>
      <c r="EF19789"/>
      <c r="EG19789"/>
      <c r="EH19789"/>
      <c r="EI19789"/>
      <c r="EJ19789"/>
      <c r="EK19789"/>
    </row>
    <row r="19790" spans="1:141" s="116" customFormat="1">
      <c r="A19790" s="136"/>
      <c r="CM19790" s="111"/>
      <c r="CQ19790" s="111"/>
      <c r="EF19790"/>
      <c r="EG19790"/>
      <c r="EH19790"/>
      <c r="EI19790"/>
      <c r="EJ19790"/>
      <c r="EK19790"/>
    </row>
    <row r="19791" spans="1:141" s="116" customFormat="1">
      <c r="A19791" s="136"/>
      <c r="CM19791" s="111"/>
      <c r="CQ19791" s="111"/>
      <c r="EF19791"/>
      <c r="EG19791"/>
      <c r="EH19791"/>
      <c r="EI19791"/>
      <c r="EJ19791"/>
      <c r="EK19791"/>
    </row>
    <row r="19792" spans="1:141" s="116" customFormat="1">
      <c r="A19792" s="136"/>
      <c r="CM19792" s="111"/>
      <c r="CQ19792" s="111"/>
      <c r="EF19792"/>
      <c r="EG19792"/>
      <c r="EH19792"/>
      <c r="EI19792"/>
      <c r="EJ19792"/>
      <c r="EK19792"/>
    </row>
    <row r="19793" spans="1:141" s="116" customFormat="1">
      <c r="A19793" s="136"/>
      <c r="CM19793" s="111"/>
      <c r="CQ19793" s="111"/>
      <c r="EF19793"/>
      <c r="EG19793"/>
      <c r="EH19793"/>
      <c r="EI19793"/>
      <c r="EJ19793"/>
      <c r="EK19793"/>
    </row>
    <row r="19794" spans="1:141" s="116" customFormat="1">
      <c r="A19794" s="136"/>
      <c r="CM19794" s="111"/>
      <c r="CQ19794" s="111"/>
      <c r="EF19794"/>
      <c r="EG19794"/>
      <c r="EH19794"/>
      <c r="EI19794"/>
      <c r="EJ19794"/>
      <c r="EK19794"/>
    </row>
    <row r="19795" spans="1:141" s="116" customFormat="1">
      <c r="A19795" s="136"/>
      <c r="CM19795" s="111"/>
      <c r="CQ19795" s="111"/>
      <c r="EF19795"/>
      <c r="EG19795"/>
      <c r="EH19795"/>
      <c r="EI19795"/>
      <c r="EJ19795"/>
      <c r="EK19795"/>
    </row>
    <row r="19796" spans="1:141" s="116" customFormat="1">
      <c r="A19796" s="136"/>
      <c r="CM19796" s="111"/>
      <c r="CQ19796" s="111"/>
      <c r="EF19796"/>
      <c r="EG19796"/>
      <c r="EH19796"/>
      <c r="EI19796"/>
      <c r="EJ19796"/>
      <c r="EK19796"/>
    </row>
    <row r="19797" spans="1:141" s="116" customFormat="1">
      <c r="A19797" s="136"/>
      <c r="CM19797" s="111"/>
      <c r="CQ19797" s="111"/>
      <c r="EF19797"/>
      <c r="EG19797"/>
      <c r="EH19797"/>
      <c r="EI19797"/>
      <c r="EJ19797"/>
      <c r="EK19797"/>
    </row>
    <row r="19798" spans="1:141" s="116" customFormat="1">
      <c r="A19798" s="136"/>
      <c r="CM19798" s="111"/>
      <c r="CQ19798" s="111"/>
      <c r="EF19798"/>
      <c r="EG19798"/>
      <c r="EH19798"/>
      <c r="EI19798"/>
      <c r="EJ19798"/>
      <c r="EK19798"/>
    </row>
    <row r="19799" spans="1:141" s="116" customFormat="1">
      <c r="A19799" s="136"/>
      <c r="CM19799" s="111"/>
      <c r="CQ19799" s="111"/>
      <c r="EF19799"/>
      <c r="EG19799"/>
      <c r="EH19799"/>
      <c r="EI19799"/>
      <c r="EJ19799"/>
      <c r="EK19799"/>
    </row>
    <row r="19800" spans="1:141" s="116" customFormat="1">
      <c r="A19800" s="136"/>
      <c r="CM19800" s="111"/>
      <c r="CQ19800" s="111"/>
      <c r="EF19800"/>
      <c r="EG19800"/>
      <c r="EH19800"/>
      <c r="EI19800"/>
      <c r="EJ19800"/>
      <c r="EK19800"/>
    </row>
    <row r="19801" spans="1:141" s="116" customFormat="1">
      <c r="A19801" s="136"/>
      <c r="CM19801" s="111"/>
      <c r="CQ19801" s="111"/>
      <c r="EF19801"/>
      <c r="EG19801"/>
      <c r="EH19801"/>
      <c r="EI19801"/>
      <c r="EJ19801"/>
      <c r="EK19801"/>
    </row>
    <row r="19802" spans="1:141" s="116" customFormat="1">
      <c r="A19802" s="136"/>
      <c r="CM19802" s="111"/>
      <c r="CQ19802" s="111"/>
      <c r="EF19802"/>
      <c r="EG19802"/>
      <c r="EH19802"/>
      <c r="EI19802"/>
      <c r="EJ19802"/>
      <c r="EK19802"/>
    </row>
    <row r="19803" spans="1:141" s="116" customFormat="1">
      <c r="A19803" s="136"/>
      <c r="CM19803" s="111"/>
      <c r="CQ19803" s="111"/>
      <c r="EF19803"/>
      <c r="EG19803"/>
      <c r="EH19803"/>
      <c r="EI19803"/>
      <c r="EJ19803"/>
      <c r="EK19803"/>
    </row>
    <row r="19804" spans="1:141" s="116" customFormat="1">
      <c r="A19804" s="136"/>
      <c r="CM19804" s="111"/>
      <c r="CQ19804" s="111"/>
      <c r="EF19804"/>
      <c r="EG19804"/>
      <c r="EH19804"/>
      <c r="EI19804"/>
      <c r="EJ19804"/>
      <c r="EK19804"/>
    </row>
    <row r="19805" spans="1:141" s="116" customFormat="1">
      <c r="A19805" s="136"/>
      <c r="CM19805" s="111"/>
      <c r="CQ19805" s="111"/>
      <c r="EF19805"/>
      <c r="EG19805"/>
      <c r="EH19805"/>
      <c r="EI19805"/>
      <c r="EJ19805"/>
      <c r="EK19805"/>
    </row>
    <row r="19806" spans="1:141" s="116" customFormat="1">
      <c r="A19806" s="136"/>
      <c r="CM19806" s="111"/>
      <c r="CQ19806" s="111"/>
      <c r="EF19806"/>
      <c r="EG19806"/>
      <c r="EH19806"/>
      <c r="EI19806"/>
      <c r="EJ19806"/>
      <c r="EK19806"/>
    </row>
    <row r="19807" spans="1:141" s="116" customFormat="1">
      <c r="A19807" s="136"/>
      <c r="CM19807" s="111"/>
      <c r="CQ19807" s="111"/>
      <c r="EF19807"/>
      <c r="EG19807"/>
      <c r="EH19807"/>
      <c r="EI19807"/>
      <c r="EJ19807"/>
      <c r="EK19807"/>
    </row>
    <row r="19808" spans="1:141" s="116" customFormat="1">
      <c r="A19808" s="136"/>
      <c r="CM19808" s="111"/>
      <c r="CQ19808" s="111"/>
      <c r="EF19808"/>
      <c r="EG19808"/>
      <c r="EH19808"/>
      <c r="EI19808"/>
      <c r="EJ19808"/>
      <c r="EK19808"/>
    </row>
    <row r="19809" spans="1:141" s="116" customFormat="1">
      <c r="A19809" s="136"/>
      <c r="CM19809" s="111"/>
      <c r="CQ19809" s="111"/>
      <c r="EF19809"/>
      <c r="EG19809"/>
      <c r="EH19809"/>
      <c r="EI19809"/>
      <c r="EJ19809"/>
      <c r="EK19809"/>
    </row>
    <row r="19810" spans="1:141" s="116" customFormat="1">
      <c r="A19810" s="136"/>
      <c r="CM19810" s="111"/>
      <c r="CQ19810" s="111"/>
      <c r="EF19810"/>
      <c r="EG19810"/>
      <c r="EH19810"/>
      <c r="EI19810"/>
      <c r="EJ19810"/>
      <c r="EK19810"/>
    </row>
    <row r="19811" spans="1:141" s="116" customFormat="1">
      <c r="A19811" s="136"/>
      <c r="CM19811" s="111"/>
      <c r="CQ19811" s="111"/>
      <c r="EF19811"/>
      <c r="EG19811"/>
      <c r="EH19811"/>
      <c r="EI19811"/>
      <c r="EJ19811"/>
      <c r="EK19811"/>
    </row>
    <row r="19812" spans="1:141" s="116" customFormat="1">
      <c r="A19812" s="136"/>
      <c r="CM19812" s="111"/>
      <c r="CQ19812" s="111"/>
      <c r="EF19812"/>
      <c r="EG19812"/>
      <c r="EH19812"/>
      <c r="EI19812"/>
      <c r="EJ19812"/>
      <c r="EK19812"/>
    </row>
    <row r="19813" spans="1:141" s="116" customFormat="1">
      <c r="A19813" s="136"/>
      <c r="CM19813" s="111"/>
      <c r="CQ19813" s="111"/>
      <c r="EF19813"/>
      <c r="EG19813"/>
      <c r="EH19813"/>
      <c r="EI19813"/>
      <c r="EJ19813"/>
      <c r="EK19813"/>
    </row>
    <row r="19814" spans="1:141" s="116" customFormat="1">
      <c r="A19814" s="136"/>
      <c r="CM19814" s="111"/>
      <c r="CQ19814" s="111"/>
      <c r="EF19814"/>
      <c r="EG19814"/>
      <c r="EH19814"/>
      <c r="EI19814"/>
      <c r="EJ19814"/>
      <c r="EK19814"/>
    </row>
    <row r="19815" spans="1:141" s="116" customFormat="1">
      <c r="A19815" s="136"/>
      <c r="CM19815" s="111"/>
      <c r="CQ19815" s="111"/>
      <c r="EF19815"/>
      <c r="EG19815"/>
      <c r="EH19815"/>
      <c r="EI19815"/>
      <c r="EJ19815"/>
      <c r="EK19815"/>
    </row>
    <row r="19816" spans="1:141" s="116" customFormat="1">
      <c r="A19816" s="136"/>
      <c r="CM19816" s="111"/>
      <c r="CQ19816" s="111"/>
      <c r="EF19816"/>
      <c r="EG19816"/>
      <c r="EH19816"/>
      <c r="EI19816"/>
      <c r="EJ19816"/>
      <c r="EK19816"/>
    </row>
    <row r="19817" spans="1:141" s="116" customFormat="1">
      <c r="A19817" s="136"/>
      <c r="CM19817" s="111"/>
      <c r="CQ19817" s="111"/>
      <c r="EF19817"/>
      <c r="EG19817"/>
      <c r="EH19817"/>
      <c r="EI19817"/>
      <c r="EJ19817"/>
      <c r="EK19817"/>
    </row>
    <row r="19818" spans="1:141" s="116" customFormat="1">
      <c r="A19818" s="136"/>
      <c r="CM19818" s="111"/>
      <c r="CQ19818" s="111"/>
      <c r="EF19818"/>
      <c r="EG19818"/>
      <c r="EH19818"/>
      <c r="EI19818"/>
      <c r="EJ19818"/>
      <c r="EK19818"/>
    </row>
    <row r="19819" spans="1:141" s="116" customFormat="1">
      <c r="A19819" s="136"/>
      <c r="CM19819" s="111"/>
      <c r="CQ19819" s="111"/>
      <c r="EF19819"/>
      <c r="EG19819"/>
      <c r="EH19819"/>
      <c r="EI19819"/>
      <c r="EJ19819"/>
      <c r="EK19819"/>
    </row>
    <row r="19820" spans="1:141" s="116" customFormat="1">
      <c r="A19820" s="136"/>
      <c r="CM19820" s="111"/>
      <c r="CQ19820" s="111"/>
      <c r="EF19820"/>
      <c r="EG19820"/>
      <c r="EH19820"/>
      <c r="EI19820"/>
      <c r="EJ19820"/>
      <c r="EK19820"/>
    </row>
    <row r="19821" spans="1:141" s="116" customFormat="1">
      <c r="A19821" s="136"/>
      <c r="CM19821" s="111"/>
      <c r="CQ19821" s="111"/>
      <c r="EF19821"/>
      <c r="EG19821"/>
      <c r="EH19821"/>
      <c r="EI19821"/>
      <c r="EJ19821"/>
      <c r="EK19821"/>
    </row>
    <row r="19822" spans="1:141" s="116" customFormat="1">
      <c r="A19822" s="136"/>
      <c r="CM19822" s="111"/>
      <c r="CQ19822" s="111"/>
      <c r="EF19822"/>
      <c r="EG19822"/>
      <c r="EH19822"/>
      <c r="EI19822"/>
      <c r="EJ19822"/>
      <c r="EK19822"/>
    </row>
    <row r="19823" spans="1:141" s="116" customFormat="1">
      <c r="A19823" s="136"/>
      <c r="CM19823" s="111"/>
      <c r="CQ19823" s="111"/>
      <c r="EF19823"/>
      <c r="EG19823"/>
      <c r="EH19823"/>
      <c r="EI19823"/>
      <c r="EJ19823"/>
      <c r="EK19823"/>
    </row>
    <row r="19824" spans="1:141" s="116" customFormat="1">
      <c r="A19824" s="136"/>
      <c r="CM19824" s="111"/>
      <c r="CQ19824" s="111"/>
      <c r="EF19824"/>
      <c r="EG19824"/>
      <c r="EH19824"/>
      <c r="EI19824"/>
      <c r="EJ19824"/>
      <c r="EK19824"/>
    </row>
    <row r="19825" spans="1:141" s="116" customFormat="1">
      <c r="A19825" s="136"/>
      <c r="CM19825" s="111"/>
      <c r="CQ19825" s="111"/>
      <c r="EF19825"/>
      <c r="EG19825"/>
      <c r="EH19825"/>
      <c r="EI19825"/>
      <c r="EJ19825"/>
      <c r="EK19825"/>
    </row>
    <row r="19826" spans="1:141" s="116" customFormat="1">
      <c r="A19826" s="136"/>
      <c r="CM19826" s="111"/>
      <c r="CQ19826" s="111"/>
      <c r="EF19826"/>
      <c r="EG19826"/>
      <c r="EH19826"/>
      <c r="EI19826"/>
      <c r="EJ19826"/>
      <c r="EK19826"/>
    </row>
    <row r="19827" spans="1:141" s="116" customFormat="1">
      <c r="A19827" s="136"/>
      <c r="CM19827" s="111"/>
      <c r="CQ19827" s="111"/>
      <c r="EF19827"/>
      <c r="EG19827"/>
      <c r="EH19827"/>
      <c r="EI19827"/>
      <c r="EJ19827"/>
      <c r="EK19827"/>
    </row>
    <row r="19828" spans="1:141" s="116" customFormat="1">
      <c r="A19828" s="136"/>
      <c r="CM19828" s="111"/>
      <c r="CQ19828" s="111"/>
      <c r="EF19828"/>
      <c r="EG19828"/>
      <c r="EH19828"/>
      <c r="EI19828"/>
      <c r="EJ19828"/>
      <c r="EK19828"/>
    </row>
    <row r="19829" spans="1:141" s="116" customFormat="1">
      <c r="A19829" s="136"/>
      <c r="CM19829" s="111"/>
      <c r="CQ19829" s="111"/>
      <c r="EF19829"/>
      <c r="EG19829"/>
      <c r="EH19829"/>
      <c r="EI19829"/>
      <c r="EJ19829"/>
      <c r="EK19829"/>
    </row>
    <row r="19830" spans="1:141" s="116" customFormat="1">
      <c r="A19830" s="136"/>
      <c r="CM19830" s="111"/>
      <c r="CQ19830" s="111"/>
      <c r="EF19830"/>
      <c r="EG19830"/>
      <c r="EH19830"/>
      <c r="EI19830"/>
      <c r="EJ19830"/>
      <c r="EK19830"/>
    </row>
    <row r="19831" spans="1:141" s="116" customFormat="1">
      <c r="A19831" s="136"/>
      <c r="CM19831" s="111"/>
      <c r="CQ19831" s="111"/>
      <c r="EF19831"/>
      <c r="EG19831"/>
      <c r="EH19831"/>
      <c r="EI19831"/>
      <c r="EJ19831"/>
      <c r="EK19831"/>
    </row>
    <row r="19832" spans="1:141" s="116" customFormat="1">
      <c r="A19832" s="136"/>
      <c r="CM19832" s="111"/>
      <c r="CQ19832" s="111"/>
      <c r="EF19832"/>
      <c r="EG19832"/>
      <c r="EH19832"/>
      <c r="EI19832"/>
      <c r="EJ19832"/>
      <c r="EK19832"/>
    </row>
    <row r="19833" spans="1:141" s="116" customFormat="1">
      <c r="A19833" s="136"/>
      <c r="CM19833" s="111"/>
      <c r="CQ19833" s="111"/>
      <c r="EF19833"/>
      <c r="EG19833"/>
      <c r="EH19833"/>
      <c r="EI19833"/>
      <c r="EJ19833"/>
      <c r="EK19833"/>
    </row>
    <row r="19834" spans="1:141" s="116" customFormat="1">
      <c r="A19834" s="136"/>
      <c r="CM19834" s="111"/>
      <c r="CQ19834" s="111"/>
      <c r="EF19834"/>
      <c r="EG19834"/>
      <c r="EH19834"/>
      <c r="EI19834"/>
      <c r="EJ19834"/>
      <c r="EK19834"/>
    </row>
    <row r="19835" spans="1:141" s="116" customFormat="1">
      <c r="A19835" s="136"/>
      <c r="CM19835" s="111"/>
      <c r="CQ19835" s="111"/>
      <c r="EF19835"/>
      <c r="EG19835"/>
      <c r="EH19835"/>
      <c r="EI19835"/>
      <c r="EJ19835"/>
      <c r="EK19835"/>
    </row>
    <row r="19836" spans="1:141" s="116" customFormat="1">
      <c r="A19836" s="136"/>
      <c r="CM19836" s="111"/>
      <c r="CQ19836" s="111"/>
      <c r="EF19836"/>
      <c r="EG19836"/>
      <c r="EH19836"/>
      <c r="EI19836"/>
      <c r="EJ19836"/>
      <c r="EK19836"/>
    </row>
    <row r="19837" spans="1:141" s="116" customFormat="1">
      <c r="A19837" s="136"/>
      <c r="CM19837" s="111"/>
      <c r="CQ19837" s="111"/>
      <c r="EF19837"/>
      <c r="EG19837"/>
      <c r="EH19837"/>
      <c r="EI19837"/>
      <c r="EJ19837"/>
      <c r="EK19837"/>
    </row>
    <row r="19838" spans="1:141" s="116" customFormat="1">
      <c r="A19838" s="136"/>
      <c r="CM19838" s="111"/>
      <c r="CQ19838" s="111"/>
      <c r="EF19838"/>
      <c r="EG19838"/>
      <c r="EH19838"/>
      <c r="EI19838"/>
      <c r="EJ19838"/>
      <c r="EK19838"/>
    </row>
    <row r="19839" spans="1:141" s="116" customFormat="1">
      <c r="A19839" s="136"/>
      <c r="CM19839" s="111"/>
      <c r="CQ19839" s="111"/>
      <c r="EF19839"/>
      <c r="EG19839"/>
      <c r="EH19839"/>
      <c r="EI19839"/>
      <c r="EJ19839"/>
      <c r="EK19839"/>
    </row>
    <row r="19840" spans="1:141" s="116" customFormat="1">
      <c r="A19840" s="136"/>
      <c r="CM19840" s="111"/>
      <c r="CQ19840" s="111"/>
      <c r="EF19840"/>
      <c r="EG19840"/>
      <c r="EH19840"/>
      <c r="EI19840"/>
      <c r="EJ19840"/>
      <c r="EK19840"/>
    </row>
    <row r="19841" spans="1:141" s="116" customFormat="1">
      <c r="A19841" s="136"/>
      <c r="CM19841" s="111"/>
      <c r="CQ19841" s="111"/>
      <c r="EF19841"/>
      <c r="EG19841"/>
      <c r="EH19841"/>
      <c r="EI19841"/>
      <c r="EJ19841"/>
      <c r="EK19841"/>
    </row>
    <row r="19842" spans="1:141" s="116" customFormat="1">
      <c r="A19842" s="136"/>
      <c r="CM19842" s="111"/>
      <c r="CQ19842" s="111"/>
      <c r="EF19842"/>
      <c r="EG19842"/>
      <c r="EH19842"/>
      <c r="EI19842"/>
      <c r="EJ19842"/>
      <c r="EK19842"/>
    </row>
    <row r="19843" spans="1:141" s="116" customFormat="1">
      <c r="A19843" s="136"/>
      <c r="CM19843" s="111"/>
      <c r="CQ19843" s="111"/>
      <c r="EF19843"/>
      <c r="EG19843"/>
      <c r="EH19843"/>
      <c r="EI19843"/>
      <c r="EJ19843"/>
      <c r="EK19843"/>
    </row>
    <row r="19844" spans="1:141" s="116" customFormat="1">
      <c r="A19844" s="136"/>
      <c r="CM19844" s="111"/>
      <c r="CQ19844" s="111"/>
      <c r="EF19844"/>
      <c r="EG19844"/>
      <c r="EH19844"/>
      <c r="EI19844"/>
      <c r="EJ19844"/>
      <c r="EK19844"/>
    </row>
    <row r="19845" spans="1:141" s="116" customFormat="1">
      <c r="A19845" s="136"/>
      <c r="CM19845" s="111"/>
      <c r="CQ19845" s="111"/>
      <c r="EF19845"/>
      <c r="EG19845"/>
      <c r="EH19845"/>
      <c r="EI19845"/>
      <c r="EJ19845"/>
      <c r="EK19845"/>
    </row>
    <row r="19846" spans="1:141" s="116" customFormat="1">
      <c r="A19846" s="136"/>
      <c r="CM19846" s="111"/>
      <c r="CQ19846" s="111"/>
      <c r="EF19846"/>
      <c r="EG19846"/>
      <c r="EH19846"/>
      <c r="EI19846"/>
      <c r="EJ19846"/>
      <c r="EK19846"/>
    </row>
    <row r="19847" spans="1:141" s="116" customFormat="1">
      <c r="A19847" s="136"/>
      <c r="CM19847" s="111"/>
      <c r="CQ19847" s="111"/>
      <c r="EF19847"/>
      <c r="EG19847"/>
      <c r="EH19847"/>
      <c r="EI19847"/>
      <c r="EJ19847"/>
      <c r="EK19847"/>
    </row>
    <row r="19848" spans="1:141" s="116" customFormat="1">
      <c r="A19848" s="136"/>
      <c r="CM19848" s="111"/>
      <c r="CQ19848" s="111"/>
      <c r="EF19848"/>
      <c r="EG19848"/>
      <c r="EH19848"/>
      <c r="EI19848"/>
      <c r="EJ19848"/>
      <c r="EK19848"/>
    </row>
    <row r="19849" spans="1:141" s="116" customFormat="1">
      <c r="A19849" s="136"/>
      <c r="CM19849" s="111"/>
      <c r="CQ19849" s="111"/>
      <c r="EF19849"/>
      <c r="EG19849"/>
      <c r="EH19849"/>
      <c r="EI19849"/>
      <c r="EJ19849"/>
      <c r="EK19849"/>
    </row>
    <row r="19850" spans="1:141" s="116" customFormat="1">
      <c r="A19850" s="136"/>
      <c r="CM19850" s="111"/>
      <c r="CQ19850" s="111"/>
      <c r="EF19850"/>
      <c r="EG19850"/>
      <c r="EH19850"/>
      <c r="EI19850"/>
      <c r="EJ19850"/>
      <c r="EK19850"/>
    </row>
    <row r="19851" spans="1:141" s="116" customFormat="1">
      <c r="A19851" s="136"/>
      <c r="CM19851" s="111"/>
      <c r="CQ19851" s="111"/>
      <c r="EF19851"/>
      <c r="EG19851"/>
      <c r="EH19851"/>
      <c r="EI19851"/>
      <c r="EJ19851"/>
      <c r="EK19851"/>
    </row>
    <row r="19852" spans="1:141" s="116" customFormat="1">
      <c r="A19852" s="136"/>
      <c r="CM19852" s="111"/>
      <c r="CQ19852" s="111"/>
      <c r="EF19852"/>
      <c r="EG19852"/>
      <c r="EH19852"/>
      <c r="EI19852"/>
      <c r="EJ19852"/>
      <c r="EK19852"/>
    </row>
    <row r="19853" spans="1:141" s="116" customFormat="1">
      <c r="A19853" s="136"/>
      <c r="CM19853" s="111"/>
      <c r="CQ19853" s="111"/>
      <c r="EF19853"/>
      <c r="EG19853"/>
      <c r="EH19853"/>
      <c r="EI19853"/>
      <c r="EJ19853"/>
      <c r="EK19853"/>
    </row>
    <row r="19854" spans="1:141" s="116" customFormat="1">
      <c r="A19854" s="136"/>
      <c r="CM19854" s="111"/>
      <c r="CQ19854" s="111"/>
      <c r="EF19854"/>
      <c r="EG19854"/>
      <c r="EH19854"/>
      <c r="EI19854"/>
      <c r="EJ19854"/>
      <c r="EK19854"/>
    </row>
    <row r="19855" spans="1:141" s="116" customFormat="1">
      <c r="A19855" s="136"/>
      <c r="CM19855" s="111"/>
      <c r="CQ19855" s="111"/>
      <c r="EF19855"/>
      <c r="EG19855"/>
      <c r="EH19855"/>
      <c r="EI19855"/>
      <c r="EJ19855"/>
      <c r="EK19855"/>
    </row>
    <row r="19856" spans="1:141" s="116" customFormat="1">
      <c r="A19856" s="136"/>
      <c r="CM19856" s="111"/>
      <c r="CQ19856" s="111"/>
      <c r="EF19856"/>
      <c r="EG19856"/>
      <c r="EH19856"/>
      <c r="EI19856"/>
      <c r="EJ19856"/>
      <c r="EK19856"/>
    </row>
    <row r="19857" spans="1:141" s="116" customFormat="1">
      <c r="A19857" s="136"/>
      <c r="CM19857" s="111"/>
      <c r="CQ19857" s="111"/>
      <c r="EF19857"/>
      <c r="EG19857"/>
      <c r="EH19857"/>
      <c r="EI19857"/>
      <c r="EJ19857"/>
      <c r="EK19857"/>
    </row>
    <row r="19858" spans="1:141" s="116" customFormat="1">
      <c r="A19858" s="136"/>
      <c r="CM19858" s="111"/>
      <c r="CQ19858" s="111"/>
      <c r="EF19858"/>
      <c r="EG19858"/>
      <c r="EH19858"/>
      <c r="EI19858"/>
      <c r="EJ19858"/>
      <c r="EK19858"/>
    </row>
    <row r="19859" spans="1:141" s="116" customFormat="1">
      <c r="A19859" s="136"/>
      <c r="CM19859" s="111"/>
      <c r="CQ19859" s="111"/>
      <c r="EF19859"/>
      <c r="EG19859"/>
      <c r="EH19859"/>
      <c r="EI19859"/>
      <c r="EJ19859"/>
      <c r="EK19859"/>
    </row>
    <row r="19860" spans="1:141" s="116" customFormat="1">
      <c r="A19860" s="136"/>
      <c r="CM19860" s="111"/>
      <c r="CQ19860" s="111"/>
      <c r="EF19860"/>
      <c r="EG19860"/>
      <c r="EH19860"/>
      <c r="EI19860"/>
      <c r="EJ19860"/>
      <c r="EK19860"/>
    </row>
    <row r="19861" spans="1:141" s="116" customFormat="1">
      <c r="A19861" s="136"/>
      <c r="CM19861" s="111"/>
      <c r="CQ19861" s="111"/>
      <c r="EF19861"/>
      <c r="EG19861"/>
      <c r="EH19861"/>
      <c r="EI19861"/>
      <c r="EJ19861"/>
      <c r="EK19861"/>
    </row>
    <row r="19862" spans="1:141" s="116" customFormat="1">
      <c r="A19862" s="136"/>
      <c r="CM19862" s="111"/>
      <c r="CQ19862" s="111"/>
      <c r="EF19862"/>
      <c r="EG19862"/>
      <c r="EH19862"/>
      <c r="EI19862"/>
      <c r="EJ19862"/>
      <c r="EK19862"/>
    </row>
    <row r="19863" spans="1:141" s="116" customFormat="1">
      <c r="A19863" s="136"/>
      <c r="CM19863" s="111"/>
      <c r="CQ19863" s="111"/>
      <c r="EF19863"/>
      <c r="EG19863"/>
      <c r="EH19863"/>
      <c r="EI19863"/>
      <c r="EJ19863"/>
      <c r="EK19863"/>
    </row>
    <row r="19864" spans="1:141" s="116" customFormat="1">
      <c r="A19864" s="136"/>
      <c r="CM19864" s="111"/>
      <c r="CQ19864" s="111"/>
      <c r="EF19864"/>
      <c r="EG19864"/>
      <c r="EH19864"/>
      <c r="EI19864"/>
      <c r="EJ19864"/>
      <c r="EK19864"/>
    </row>
    <row r="19865" spans="1:141" s="116" customFormat="1">
      <c r="A19865" s="136"/>
      <c r="CM19865" s="111"/>
      <c r="CQ19865" s="111"/>
      <c r="EF19865"/>
      <c r="EG19865"/>
      <c r="EH19865"/>
      <c r="EI19865"/>
      <c r="EJ19865"/>
      <c r="EK19865"/>
    </row>
    <row r="19866" spans="1:141" s="116" customFormat="1">
      <c r="A19866" s="136"/>
      <c r="CM19866" s="111"/>
      <c r="CQ19866" s="111"/>
      <c r="EF19866"/>
      <c r="EG19866"/>
      <c r="EH19866"/>
      <c r="EI19866"/>
      <c r="EJ19866"/>
      <c r="EK19866"/>
    </row>
    <row r="19867" spans="1:141" s="116" customFormat="1">
      <c r="A19867" s="136"/>
      <c r="CM19867" s="111"/>
      <c r="CQ19867" s="111"/>
      <c r="EF19867"/>
      <c r="EG19867"/>
      <c r="EH19867"/>
      <c r="EI19867"/>
      <c r="EJ19867"/>
      <c r="EK19867"/>
    </row>
    <row r="19868" spans="1:141" s="116" customFormat="1">
      <c r="A19868" s="136"/>
      <c r="CM19868" s="111"/>
      <c r="CQ19868" s="111"/>
      <c r="EF19868"/>
      <c r="EG19868"/>
      <c r="EH19868"/>
      <c r="EI19868"/>
      <c r="EJ19868"/>
      <c r="EK19868"/>
    </row>
    <row r="19869" spans="1:141" s="116" customFormat="1">
      <c r="A19869" s="136"/>
      <c r="CM19869" s="111"/>
      <c r="CQ19869" s="111"/>
      <c r="EF19869"/>
      <c r="EG19869"/>
      <c r="EH19869"/>
      <c r="EI19869"/>
      <c r="EJ19869"/>
      <c r="EK19869"/>
    </row>
    <row r="19870" spans="1:141" s="116" customFormat="1">
      <c r="A19870" s="136"/>
      <c r="CM19870" s="111"/>
      <c r="CQ19870" s="111"/>
      <c r="EF19870"/>
      <c r="EG19870"/>
      <c r="EH19870"/>
      <c r="EI19870"/>
      <c r="EJ19870"/>
      <c r="EK19870"/>
    </row>
    <row r="19871" spans="1:141" s="116" customFormat="1">
      <c r="A19871" s="136"/>
      <c r="CM19871" s="111"/>
      <c r="CQ19871" s="111"/>
      <c r="EF19871"/>
      <c r="EG19871"/>
      <c r="EH19871"/>
      <c r="EI19871"/>
      <c r="EJ19871"/>
      <c r="EK19871"/>
    </row>
    <row r="19872" spans="1:141" s="116" customFormat="1">
      <c r="A19872" s="136"/>
      <c r="CM19872" s="111"/>
      <c r="CQ19872" s="111"/>
      <c r="EF19872"/>
      <c r="EG19872"/>
      <c r="EH19872"/>
      <c r="EI19872"/>
      <c r="EJ19872"/>
      <c r="EK19872"/>
    </row>
    <row r="19873" spans="1:141" s="116" customFormat="1">
      <c r="A19873" s="136"/>
      <c r="CM19873" s="111"/>
      <c r="CQ19873" s="111"/>
      <c r="EF19873"/>
      <c r="EG19873"/>
      <c r="EH19873"/>
      <c r="EI19873"/>
      <c r="EJ19873"/>
      <c r="EK19873"/>
    </row>
    <row r="19874" spans="1:141" s="116" customFormat="1">
      <c r="A19874" s="136"/>
      <c r="CM19874" s="111"/>
      <c r="CQ19874" s="111"/>
      <c r="EF19874"/>
      <c r="EG19874"/>
      <c r="EH19874"/>
      <c r="EI19874"/>
      <c r="EJ19874"/>
      <c r="EK19874"/>
    </row>
    <row r="19875" spans="1:141" s="116" customFormat="1">
      <c r="A19875" s="136"/>
      <c r="CM19875" s="111"/>
      <c r="CQ19875" s="111"/>
      <c r="EF19875"/>
      <c r="EG19875"/>
      <c r="EH19875"/>
      <c r="EI19875"/>
      <c r="EJ19875"/>
      <c r="EK19875"/>
    </row>
    <row r="19876" spans="1:141" s="116" customFormat="1">
      <c r="A19876" s="136"/>
      <c r="CM19876" s="111"/>
      <c r="CQ19876" s="111"/>
      <c r="EF19876"/>
      <c r="EG19876"/>
      <c r="EH19876"/>
      <c r="EI19876"/>
      <c r="EJ19876"/>
      <c r="EK19876"/>
    </row>
    <row r="19877" spans="1:141" s="116" customFormat="1">
      <c r="A19877" s="136"/>
      <c r="CM19877" s="111"/>
      <c r="CQ19877" s="111"/>
      <c r="EF19877"/>
      <c r="EG19877"/>
      <c r="EH19877"/>
      <c r="EI19877"/>
      <c r="EJ19877"/>
      <c r="EK19877"/>
    </row>
    <row r="19878" spans="1:141" s="116" customFormat="1">
      <c r="A19878" s="136"/>
      <c r="CM19878" s="111"/>
      <c r="CQ19878" s="111"/>
      <c r="EF19878"/>
      <c r="EG19878"/>
      <c r="EH19878"/>
      <c r="EI19878"/>
      <c r="EJ19878"/>
      <c r="EK19878"/>
    </row>
    <row r="19879" spans="1:141" s="116" customFormat="1">
      <c r="A19879" s="136"/>
      <c r="CM19879" s="111"/>
      <c r="CQ19879" s="111"/>
      <c r="EF19879"/>
      <c r="EG19879"/>
      <c r="EH19879"/>
      <c r="EI19879"/>
      <c r="EJ19879"/>
      <c r="EK19879"/>
    </row>
    <row r="19880" spans="1:141" s="116" customFormat="1">
      <c r="A19880" s="136"/>
      <c r="CM19880" s="111"/>
      <c r="CQ19880" s="111"/>
      <c r="EF19880"/>
      <c r="EG19880"/>
      <c r="EH19880"/>
      <c r="EI19880"/>
      <c r="EJ19880"/>
      <c r="EK19880"/>
    </row>
    <row r="19881" spans="1:141" s="116" customFormat="1">
      <c r="A19881" s="136"/>
      <c r="CM19881" s="111"/>
      <c r="CQ19881" s="111"/>
      <c r="EF19881"/>
      <c r="EG19881"/>
      <c r="EH19881"/>
      <c r="EI19881"/>
      <c r="EJ19881"/>
      <c r="EK19881"/>
    </row>
    <row r="19882" spans="1:141" s="116" customFormat="1">
      <c r="A19882" s="136"/>
      <c r="CM19882" s="111"/>
      <c r="CQ19882" s="111"/>
      <c r="EF19882"/>
      <c r="EG19882"/>
      <c r="EH19882"/>
      <c r="EI19882"/>
      <c r="EJ19882"/>
      <c r="EK19882"/>
    </row>
    <row r="19883" spans="1:141" s="116" customFormat="1">
      <c r="A19883" s="136"/>
      <c r="CM19883" s="111"/>
      <c r="CQ19883" s="111"/>
      <c r="EF19883"/>
      <c r="EG19883"/>
      <c r="EH19883"/>
      <c r="EI19883"/>
      <c r="EJ19883"/>
      <c r="EK19883"/>
    </row>
    <row r="19884" spans="1:141" s="116" customFormat="1">
      <c r="A19884" s="136"/>
      <c r="CM19884" s="111"/>
      <c r="CQ19884" s="111"/>
      <c r="EF19884"/>
      <c r="EG19884"/>
      <c r="EH19884"/>
      <c r="EI19884"/>
      <c r="EJ19884"/>
      <c r="EK19884"/>
    </row>
    <row r="19885" spans="1:141" s="116" customFormat="1">
      <c r="A19885" s="136"/>
      <c r="CM19885" s="111"/>
      <c r="CQ19885" s="111"/>
      <c r="EF19885"/>
      <c r="EG19885"/>
      <c r="EH19885"/>
      <c r="EI19885"/>
      <c r="EJ19885"/>
      <c r="EK19885"/>
    </row>
    <row r="19886" spans="1:141" s="116" customFormat="1">
      <c r="A19886" s="136"/>
      <c r="CM19886" s="111"/>
      <c r="CQ19886" s="111"/>
      <c r="EF19886"/>
      <c r="EG19886"/>
      <c r="EH19886"/>
      <c r="EI19886"/>
      <c r="EJ19886"/>
      <c r="EK19886"/>
    </row>
    <row r="19887" spans="1:141" s="116" customFormat="1">
      <c r="A19887" s="136"/>
      <c r="CM19887" s="111"/>
      <c r="CQ19887" s="111"/>
      <c r="EF19887"/>
      <c r="EG19887"/>
      <c r="EH19887"/>
      <c r="EI19887"/>
      <c r="EJ19887"/>
      <c r="EK19887"/>
    </row>
    <row r="19888" spans="1:141" s="116" customFormat="1">
      <c r="A19888" s="136"/>
      <c r="CM19888" s="111"/>
      <c r="CQ19888" s="111"/>
      <c r="EF19888"/>
      <c r="EG19888"/>
      <c r="EH19888"/>
      <c r="EI19888"/>
      <c r="EJ19888"/>
      <c r="EK19888"/>
    </row>
    <row r="19889" spans="1:141" s="116" customFormat="1">
      <c r="A19889" s="136"/>
      <c r="CM19889" s="111"/>
      <c r="CQ19889" s="111"/>
      <c r="EF19889"/>
      <c r="EG19889"/>
      <c r="EH19889"/>
      <c r="EI19889"/>
      <c r="EJ19889"/>
      <c r="EK19889"/>
    </row>
    <row r="19890" spans="1:141" s="116" customFormat="1">
      <c r="A19890" s="136"/>
      <c r="CM19890" s="111"/>
      <c r="CQ19890" s="111"/>
      <c r="EF19890"/>
      <c r="EG19890"/>
      <c r="EH19890"/>
      <c r="EI19890"/>
      <c r="EJ19890"/>
      <c r="EK19890"/>
    </row>
    <row r="19891" spans="1:141" s="116" customFormat="1">
      <c r="A19891" s="136"/>
      <c r="CM19891" s="111"/>
      <c r="CQ19891" s="111"/>
      <c r="EF19891"/>
      <c r="EG19891"/>
      <c r="EH19891"/>
      <c r="EI19891"/>
      <c r="EJ19891"/>
      <c r="EK19891"/>
    </row>
    <row r="19892" spans="1:141" s="116" customFormat="1">
      <c r="A19892" s="136"/>
      <c r="CM19892" s="111"/>
      <c r="CQ19892" s="111"/>
      <c r="EF19892"/>
      <c r="EG19892"/>
      <c r="EH19892"/>
      <c r="EI19892"/>
      <c r="EJ19892"/>
      <c r="EK19892"/>
    </row>
    <row r="19893" spans="1:141" s="116" customFormat="1">
      <c r="A19893" s="136"/>
      <c r="CM19893" s="111"/>
      <c r="CQ19893" s="111"/>
      <c r="EF19893"/>
      <c r="EG19893"/>
      <c r="EH19893"/>
      <c r="EI19893"/>
      <c r="EJ19893"/>
      <c r="EK19893"/>
    </row>
    <row r="19894" spans="1:141" s="116" customFormat="1">
      <c r="A19894" s="136"/>
      <c r="CM19894" s="111"/>
      <c r="CQ19894" s="111"/>
      <c r="EF19894"/>
      <c r="EG19894"/>
      <c r="EH19894"/>
      <c r="EI19894"/>
      <c r="EJ19894"/>
      <c r="EK19894"/>
    </row>
    <row r="19895" spans="1:141" s="116" customFormat="1">
      <c r="A19895" s="136"/>
      <c r="CM19895" s="111"/>
      <c r="CQ19895" s="111"/>
      <c r="EF19895"/>
      <c r="EG19895"/>
      <c r="EH19895"/>
      <c r="EI19895"/>
      <c r="EJ19895"/>
      <c r="EK19895"/>
    </row>
    <row r="19896" spans="1:141" s="116" customFormat="1">
      <c r="A19896" s="136"/>
      <c r="CM19896" s="111"/>
      <c r="CQ19896" s="111"/>
      <c r="EF19896"/>
      <c r="EG19896"/>
      <c r="EH19896"/>
      <c r="EI19896"/>
      <c r="EJ19896"/>
      <c r="EK19896"/>
    </row>
    <row r="19897" spans="1:141" s="116" customFormat="1">
      <c r="A19897" s="136"/>
      <c r="CM19897" s="111"/>
      <c r="CQ19897" s="111"/>
      <c r="EF19897"/>
      <c r="EG19897"/>
      <c r="EH19897"/>
      <c r="EI19897"/>
      <c r="EJ19897"/>
      <c r="EK19897"/>
    </row>
    <row r="19898" spans="1:141" s="116" customFormat="1">
      <c r="A19898" s="136"/>
      <c r="CM19898" s="111"/>
      <c r="CQ19898" s="111"/>
      <c r="EF19898"/>
      <c r="EG19898"/>
      <c r="EH19898"/>
      <c r="EI19898"/>
      <c r="EJ19898"/>
      <c r="EK19898"/>
    </row>
    <row r="19899" spans="1:141" s="116" customFormat="1">
      <c r="A19899" s="136"/>
      <c r="CM19899" s="111"/>
      <c r="CQ19899" s="111"/>
      <c r="EF19899"/>
      <c r="EG19899"/>
      <c r="EH19899"/>
      <c r="EI19899"/>
      <c r="EJ19899"/>
      <c r="EK19899"/>
    </row>
    <row r="19900" spans="1:141" s="116" customFormat="1">
      <c r="A19900" s="136"/>
      <c r="CM19900" s="111"/>
      <c r="CQ19900" s="111"/>
      <c r="EF19900"/>
      <c r="EG19900"/>
      <c r="EH19900"/>
      <c r="EI19900"/>
      <c r="EJ19900"/>
      <c r="EK19900"/>
    </row>
    <row r="19901" spans="1:141" s="116" customFormat="1">
      <c r="A19901" s="136"/>
      <c r="CM19901" s="111"/>
      <c r="CQ19901" s="111"/>
      <c r="EF19901"/>
      <c r="EG19901"/>
      <c r="EH19901"/>
      <c r="EI19901"/>
      <c r="EJ19901"/>
      <c r="EK19901"/>
    </row>
    <row r="19902" spans="1:141" s="116" customFormat="1">
      <c r="A19902" s="136"/>
      <c r="CM19902" s="111"/>
      <c r="CQ19902" s="111"/>
      <c r="EF19902"/>
      <c r="EG19902"/>
      <c r="EH19902"/>
      <c r="EI19902"/>
      <c r="EJ19902"/>
      <c r="EK19902"/>
    </row>
    <row r="19903" spans="1:141" s="116" customFormat="1">
      <c r="A19903" s="136"/>
      <c r="CM19903" s="111"/>
      <c r="CQ19903" s="111"/>
      <c r="EF19903"/>
      <c r="EG19903"/>
      <c r="EH19903"/>
      <c r="EI19903"/>
      <c r="EJ19903"/>
      <c r="EK19903"/>
    </row>
    <row r="19904" spans="1:141" s="116" customFormat="1">
      <c r="A19904" s="136"/>
      <c r="CM19904" s="111"/>
      <c r="CQ19904" s="111"/>
      <c r="EF19904"/>
      <c r="EG19904"/>
      <c r="EH19904"/>
      <c r="EI19904"/>
      <c r="EJ19904"/>
      <c r="EK19904"/>
    </row>
    <row r="19905" spans="1:141" s="116" customFormat="1">
      <c r="A19905" s="136"/>
      <c r="CM19905" s="111"/>
      <c r="CQ19905" s="111"/>
      <c r="EF19905"/>
      <c r="EG19905"/>
      <c r="EH19905"/>
      <c r="EI19905"/>
      <c r="EJ19905"/>
      <c r="EK19905"/>
    </row>
    <row r="19906" spans="1:141" s="116" customFormat="1">
      <c r="A19906" s="136"/>
      <c r="CM19906" s="111"/>
      <c r="CQ19906" s="111"/>
      <c r="EF19906"/>
      <c r="EG19906"/>
      <c r="EH19906"/>
      <c r="EI19906"/>
      <c r="EJ19906"/>
      <c r="EK19906"/>
    </row>
    <row r="19907" spans="1:141" s="116" customFormat="1">
      <c r="A19907" s="136"/>
      <c r="CM19907" s="111"/>
      <c r="CQ19907" s="111"/>
      <c r="EF19907"/>
      <c r="EG19907"/>
      <c r="EH19907"/>
      <c r="EI19907"/>
      <c r="EJ19907"/>
      <c r="EK19907"/>
    </row>
    <row r="19908" spans="1:141" s="116" customFormat="1">
      <c r="A19908" s="136"/>
      <c r="CM19908" s="111"/>
      <c r="CQ19908" s="111"/>
      <c r="EF19908"/>
      <c r="EG19908"/>
      <c r="EH19908"/>
      <c r="EI19908"/>
      <c r="EJ19908"/>
      <c r="EK19908"/>
    </row>
    <row r="19909" spans="1:141" s="116" customFormat="1">
      <c r="A19909" s="136"/>
      <c r="CM19909" s="111"/>
      <c r="CQ19909" s="111"/>
      <c r="EF19909"/>
      <c r="EG19909"/>
      <c r="EH19909"/>
      <c r="EI19909"/>
      <c r="EJ19909"/>
      <c r="EK19909"/>
    </row>
    <row r="19910" spans="1:141" s="116" customFormat="1">
      <c r="A19910" s="136"/>
      <c r="CM19910" s="111"/>
      <c r="CQ19910" s="111"/>
      <c r="EF19910"/>
      <c r="EG19910"/>
      <c r="EH19910"/>
      <c r="EI19910"/>
      <c r="EJ19910"/>
      <c r="EK19910"/>
    </row>
    <row r="19911" spans="1:141" s="116" customFormat="1">
      <c r="A19911" s="136"/>
      <c r="CM19911" s="111"/>
      <c r="CQ19911" s="111"/>
      <c r="EF19911"/>
      <c r="EG19911"/>
      <c r="EH19911"/>
      <c r="EI19911"/>
      <c r="EJ19911"/>
      <c r="EK19911"/>
    </row>
    <row r="19912" spans="1:141" s="116" customFormat="1">
      <c r="A19912" s="136"/>
      <c r="CM19912" s="111"/>
      <c r="CQ19912" s="111"/>
      <c r="EF19912"/>
      <c r="EG19912"/>
      <c r="EH19912"/>
      <c r="EI19912"/>
      <c r="EJ19912"/>
      <c r="EK19912"/>
    </row>
    <row r="19913" spans="1:141" s="116" customFormat="1">
      <c r="A19913" s="136"/>
      <c r="CM19913" s="111"/>
      <c r="CQ19913" s="111"/>
      <c r="EF19913"/>
      <c r="EG19913"/>
      <c r="EH19913"/>
      <c r="EI19913"/>
      <c r="EJ19913"/>
      <c r="EK19913"/>
    </row>
    <row r="19914" spans="1:141" s="116" customFormat="1">
      <c r="A19914" s="136"/>
      <c r="CM19914" s="111"/>
      <c r="CQ19914" s="111"/>
      <c r="EF19914"/>
      <c r="EG19914"/>
      <c r="EH19914"/>
      <c r="EI19914"/>
      <c r="EJ19914"/>
      <c r="EK19914"/>
    </row>
    <row r="19915" spans="1:141" s="116" customFormat="1">
      <c r="A19915" s="136"/>
      <c r="CM19915" s="111"/>
      <c r="CQ19915" s="111"/>
      <c r="EF19915"/>
      <c r="EG19915"/>
      <c r="EH19915"/>
      <c r="EI19915"/>
      <c r="EJ19915"/>
      <c r="EK19915"/>
    </row>
    <row r="19916" spans="1:141" s="116" customFormat="1">
      <c r="A19916" s="136"/>
      <c r="CM19916" s="111"/>
      <c r="CQ19916" s="111"/>
      <c r="EF19916"/>
      <c r="EG19916"/>
      <c r="EH19916"/>
      <c r="EI19916"/>
      <c r="EJ19916"/>
      <c r="EK19916"/>
    </row>
    <row r="19917" spans="1:141" s="116" customFormat="1">
      <c r="A19917" s="136"/>
      <c r="CM19917" s="111"/>
      <c r="CQ19917" s="111"/>
      <c r="EF19917"/>
      <c r="EG19917"/>
      <c r="EH19917"/>
      <c r="EI19917"/>
      <c r="EJ19917"/>
      <c r="EK19917"/>
    </row>
    <row r="19918" spans="1:141" s="116" customFormat="1">
      <c r="A19918" s="136"/>
      <c r="CM19918" s="111"/>
      <c r="CQ19918" s="111"/>
      <c r="EF19918"/>
      <c r="EG19918"/>
      <c r="EH19918"/>
      <c r="EI19918"/>
      <c r="EJ19918"/>
      <c r="EK19918"/>
    </row>
    <row r="19919" spans="1:141" s="116" customFormat="1">
      <c r="A19919" s="136"/>
      <c r="CM19919" s="111"/>
      <c r="CQ19919" s="111"/>
      <c r="EF19919"/>
      <c r="EG19919"/>
      <c r="EH19919"/>
      <c r="EI19919"/>
      <c r="EJ19919"/>
      <c r="EK19919"/>
    </row>
    <row r="19920" spans="1:141" s="116" customFormat="1">
      <c r="A19920" s="136"/>
      <c r="CM19920" s="111"/>
      <c r="CQ19920" s="111"/>
      <c r="EF19920"/>
      <c r="EG19920"/>
      <c r="EH19920"/>
      <c r="EI19920"/>
      <c r="EJ19920"/>
      <c r="EK19920"/>
    </row>
    <row r="19921" spans="1:141" s="116" customFormat="1">
      <c r="A19921" s="136"/>
      <c r="CM19921" s="111"/>
      <c r="CQ19921" s="111"/>
      <c r="EF19921"/>
      <c r="EG19921"/>
      <c r="EH19921"/>
      <c r="EI19921"/>
      <c r="EJ19921"/>
      <c r="EK19921"/>
    </row>
    <row r="19922" spans="1:141" s="116" customFormat="1">
      <c r="A19922" s="136"/>
      <c r="CM19922" s="111"/>
      <c r="CQ19922" s="111"/>
      <c r="EF19922"/>
      <c r="EG19922"/>
      <c r="EH19922"/>
      <c r="EI19922"/>
      <c r="EJ19922"/>
      <c r="EK19922"/>
    </row>
    <row r="19923" spans="1:141" s="116" customFormat="1">
      <c r="A19923" s="136"/>
      <c r="CM19923" s="111"/>
      <c r="CQ19923" s="111"/>
      <c r="EF19923"/>
      <c r="EG19923"/>
      <c r="EH19923"/>
      <c r="EI19923"/>
      <c r="EJ19923"/>
      <c r="EK19923"/>
    </row>
    <row r="19924" spans="1:141" s="116" customFormat="1">
      <c r="A19924" s="136"/>
      <c r="CM19924" s="111"/>
      <c r="CQ19924" s="111"/>
      <c r="EF19924"/>
      <c r="EG19924"/>
      <c r="EH19924"/>
      <c r="EI19924"/>
      <c r="EJ19924"/>
      <c r="EK19924"/>
    </row>
    <row r="19925" spans="1:141" s="116" customFormat="1">
      <c r="A19925" s="136"/>
      <c r="CM19925" s="111"/>
      <c r="CQ19925" s="111"/>
      <c r="EF19925"/>
      <c r="EG19925"/>
      <c r="EH19925"/>
      <c r="EI19925"/>
      <c r="EJ19925"/>
      <c r="EK19925"/>
    </row>
    <row r="19926" spans="1:141" s="116" customFormat="1">
      <c r="A19926" s="136"/>
      <c r="CM19926" s="111"/>
      <c r="CQ19926" s="111"/>
      <c r="EF19926"/>
      <c r="EG19926"/>
      <c r="EH19926"/>
      <c r="EI19926"/>
      <c r="EJ19926"/>
      <c r="EK19926"/>
    </row>
    <row r="19927" spans="1:141" s="116" customFormat="1">
      <c r="A19927" s="136"/>
      <c r="CM19927" s="111"/>
      <c r="CQ19927" s="111"/>
      <c r="EF19927"/>
      <c r="EG19927"/>
      <c r="EH19927"/>
      <c r="EI19927"/>
      <c r="EJ19927"/>
      <c r="EK19927"/>
    </row>
    <row r="19928" spans="1:141" s="116" customFormat="1">
      <c r="A19928" s="136"/>
      <c r="CM19928" s="111"/>
      <c r="CQ19928" s="111"/>
      <c r="EF19928"/>
      <c r="EG19928"/>
      <c r="EH19928"/>
      <c r="EI19928"/>
      <c r="EJ19928"/>
      <c r="EK19928"/>
    </row>
    <row r="19929" spans="1:141" s="116" customFormat="1">
      <c r="A19929" s="136"/>
      <c r="CM19929" s="111"/>
      <c r="CQ19929" s="111"/>
      <c r="EF19929"/>
      <c r="EG19929"/>
      <c r="EH19929"/>
      <c r="EI19929"/>
      <c r="EJ19929"/>
      <c r="EK19929"/>
    </row>
    <row r="19930" spans="1:141" s="116" customFormat="1">
      <c r="A19930" s="136"/>
      <c r="CM19930" s="111"/>
      <c r="CQ19930" s="111"/>
      <c r="EF19930"/>
      <c r="EG19930"/>
      <c r="EH19930"/>
      <c r="EI19930"/>
      <c r="EJ19930"/>
      <c r="EK19930"/>
    </row>
    <row r="19931" spans="1:141" s="116" customFormat="1">
      <c r="A19931" s="136"/>
      <c r="CM19931" s="111"/>
      <c r="CQ19931" s="111"/>
      <c r="EF19931"/>
      <c r="EG19931"/>
      <c r="EH19931"/>
      <c r="EI19931"/>
      <c r="EJ19931"/>
      <c r="EK19931"/>
    </row>
    <row r="19932" spans="1:141" s="116" customFormat="1">
      <c r="A19932" s="136"/>
      <c r="CM19932" s="111"/>
      <c r="CQ19932" s="111"/>
      <c r="EF19932"/>
      <c r="EG19932"/>
      <c r="EH19932"/>
      <c r="EI19932"/>
      <c r="EJ19932"/>
      <c r="EK19932"/>
    </row>
    <row r="19933" spans="1:141" s="116" customFormat="1">
      <c r="A19933" s="136"/>
      <c r="CM19933" s="111"/>
      <c r="CQ19933" s="111"/>
      <c r="EF19933"/>
      <c r="EG19933"/>
      <c r="EH19933"/>
      <c r="EI19933"/>
      <c r="EJ19933"/>
      <c r="EK19933"/>
    </row>
    <row r="19934" spans="1:141" s="116" customFormat="1">
      <c r="A19934" s="136"/>
      <c r="CM19934" s="111"/>
      <c r="CQ19934" s="111"/>
      <c r="EF19934"/>
      <c r="EG19934"/>
      <c r="EH19934"/>
      <c r="EI19934"/>
      <c r="EJ19934"/>
      <c r="EK19934"/>
    </row>
    <row r="19935" spans="1:141" s="116" customFormat="1">
      <c r="A19935" s="136"/>
      <c r="CM19935" s="111"/>
      <c r="CQ19935" s="111"/>
      <c r="EF19935"/>
      <c r="EG19935"/>
      <c r="EH19935"/>
      <c r="EI19935"/>
      <c r="EJ19935"/>
      <c r="EK19935"/>
    </row>
    <row r="19936" spans="1:141" s="116" customFormat="1">
      <c r="A19936" s="136"/>
      <c r="CM19936" s="111"/>
      <c r="CQ19936" s="111"/>
      <c r="EF19936"/>
      <c r="EG19936"/>
      <c r="EH19936"/>
      <c r="EI19936"/>
      <c r="EJ19936"/>
      <c r="EK19936"/>
    </row>
    <row r="19937" spans="1:141" s="116" customFormat="1">
      <c r="A19937" s="136"/>
      <c r="CM19937" s="111"/>
      <c r="CQ19937" s="111"/>
      <c r="EF19937"/>
      <c r="EG19937"/>
      <c r="EH19937"/>
      <c r="EI19937"/>
      <c r="EJ19937"/>
      <c r="EK19937"/>
    </row>
    <row r="19938" spans="1:141" s="116" customFormat="1">
      <c r="A19938" s="136"/>
      <c r="CM19938" s="111"/>
      <c r="CQ19938" s="111"/>
      <c r="EF19938"/>
      <c r="EG19938"/>
      <c r="EH19938"/>
      <c r="EI19938"/>
      <c r="EJ19938"/>
      <c r="EK19938"/>
    </row>
    <row r="19939" spans="1:141" s="116" customFormat="1">
      <c r="A19939" s="136"/>
      <c r="CM19939" s="111"/>
      <c r="CQ19939" s="111"/>
      <c r="EF19939"/>
      <c r="EG19939"/>
      <c r="EH19939"/>
      <c r="EI19939"/>
      <c r="EJ19939"/>
      <c r="EK19939"/>
    </row>
    <row r="19940" spans="1:141" s="116" customFormat="1">
      <c r="A19940" s="136"/>
      <c r="CM19940" s="111"/>
      <c r="CQ19940" s="111"/>
      <c r="EF19940"/>
      <c r="EG19940"/>
      <c r="EH19940"/>
      <c r="EI19940"/>
      <c r="EJ19940"/>
      <c r="EK19940"/>
    </row>
    <row r="19941" spans="1:141" s="116" customFormat="1">
      <c r="A19941" s="136"/>
      <c r="CM19941" s="111"/>
      <c r="CQ19941" s="111"/>
      <c r="EF19941"/>
      <c r="EG19941"/>
      <c r="EH19941"/>
      <c r="EI19941"/>
      <c r="EJ19941"/>
      <c r="EK19941"/>
    </row>
    <row r="19942" spans="1:141" s="116" customFormat="1">
      <c r="A19942" s="136"/>
      <c r="CM19942" s="111"/>
      <c r="CQ19942" s="111"/>
      <c r="EF19942"/>
      <c r="EG19942"/>
      <c r="EH19942"/>
      <c r="EI19942"/>
      <c r="EJ19942"/>
      <c r="EK19942"/>
    </row>
    <row r="19943" spans="1:141" s="116" customFormat="1">
      <c r="A19943" s="136"/>
      <c r="CM19943" s="111"/>
      <c r="CQ19943" s="111"/>
      <c r="EF19943"/>
      <c r="EG19943"/>
      <c r="EH19943"/>
      <c r="EI19943"/>
      <c r="EJ19943"/>
      <c r="EK19943"/>
    </row>
    <row r="19944" spans="1:141" s="116" customFormat="1">
      <c r="A19944" s="136"/>
      <c r="CM19944" s="111"/>
      <c r="CQ19944" s="111"/>
      <c r="EF19944"/>
      <c r="EG19944"/>
      <c r="EH19944"/>
      <c r="EI19944"/>
      <c r="EJ19944"/>
      <c r="EK19944"/>
    </row>
    <row r="19945" spans="1:141" s="116" customFormat="1">
      <c r="A19945" s="136"/>
      <c r="CM19945" s="111"/>
      <c r="CQ19945" s="111"/>
      <c r="EF19945"/>
      <c r="EG19945"/>
      <c r="EH19945"/>
      <c r="EI19945"/>
      <c r="EJ19945"/>
      <c r="EK19945"/>
    </row>
    <row r="19946" spans="1:141" s="116" customFormat="1">
      <c r="A19946" s="136"/>
      <c r="CM19946" s="111"/>
      <c r="CQ19946" s="111"/>
      <c r="EF19946"/>
      <c r="EG19946"/>
      <c r="EH19946"/>
      <c r="EI19946"/>
      <c r="EJ19946"/>
      <c r="EK19946"/>
    </row>
    <row r="19947" spans="1:141" s="116" customFormat="1">
      <c r="A19947" s="136"/>
      <c r="CM19947" s="111"/>
      <c r="CQ19947" s="111"/>
      <c r="EF19947"/>
      <c r="EG19947"/>
      <c r="EH19947"/>
      <c r="EI19947"/>
      <c r="EJ19947"/>
      <c r="EK19947"/>
    </row>
    <row r="19948" spans="1:141" s="116" customFormat="1">
      <c r="A19948" s="136"/>
      <c r="CM19948" s="111"/>
      <c r="CQ19948" s="111"/>
      <c r="EF19948"/>
      <c r="EG19948"/>
      <c r="EH19948"/>
      <c r="EI19948"/>
      <c r="EJ19948"/>
      <c r="EK19948"/>
    </row>
    <row r="19949" spans="1:141" s="116" customFormat="1">
      <c r="A19949" s="136"/>
      <c r="CM19949" s="111"/>
      <c r="CQ19949" s="111"/>
      <c r="EF19949"/>
      <c r="EG19949"/>
      <c r="EH19949"/>
      <c r="EI19949"/>
      <c r="EJ19949"/>
      <c r="EK19949"/>
    </row>
    <row r="19950" spans="1:141" s="116" customFormat="1">
      <c r="A19950" s="136"/>
      <c r="CM19950" s="111"/>
      <c r="CQ19950" s="111"/>
      <c r="EF19950"/>
      <c r="EG19950"/>
      <c r="EH19950"/>
      <c r="EI19950"/>
      <c r="EJ19950"/>
      <c r="EK19950"/>
    </row>
    <row r="19951" spans="1:141" s="116" customFormat="1">
      <c r="A19951" s="136"/>
      <c r="CM19951" s="111"/>
      <c r="CQ19951" s="111"/>
      <c r="EF19951"/>
      <c r="EG19951"/>
      <c r="EH19951"/>
      <c r="EI19951"/>
      <c r="EJ19951"/>
      <c r="EK19951"/>
    </row>
    <row r="19952" spans="1:141" s="116" customFormat="1">
      <c r="A19952" s="136"/>
      <c r="CM19952" s="111"/>
      <c r="CQ19952" s="111"/>
      <c r="EF19952"/>
      <c r="EG19952"/>
      <c r="EH19952"/>
      <c r="EI19952"/>
      <c r="EJ19952"/>
      <c r="EK19952"/>
    </row>
    <row r="19953" spans="1:141" s="116" customFormat="1">
      <c r="A19953" s="136"/>
      <c r="CM19953" s="111"/>
      <c r="CQ19953" s="111"/>
      <c r="EF19953"/>
      <c r="EG19953"/>
      <c r="EH19953"/>
      <c r="EI19953"/>
      <c r="EJ19953"/>
      <c r="EK19953"/>
    </row>
    <row r="19954" spans="1:141" s="116" customFormat="1">
      <c r="A19954" s="136"/>
      <c r="CM19954" s="111"/>
      <c r="CQ19954" s="111"/>
      <c r="EF19954"/>
      <c r="EG19954"/>
      <c r="EH19954"/>
      <c r="EI19954"/>
      <c r="EJ19954"/>
      <c r="EK19954"/>
    </row>
    <row r="19955" spans="1:141" s="116" customFormat="1">
      <c r="A19955" s="136"/>
      <c r="CM19955" s="111"/>
      <c r="CQ19955" s="111"/>
      <c r="EF19955"/>
      <c r="EG19955"/>
      <c r="EH19955"/>
      <c r="EI19955"/>
      <c r="EJ19955"/>
      <c r="EK19955"/>
    </row>
    <row r="19956" spans="1:141" s="116" customFormat="1">
      <c r="A19956" s="136"/>
      <c r="CM19956" s="111"/>
      <c r="CQ19956" s="111"/>
      <c r="EF19956"/>
      <c r="EG19956"/>
      <c r="EH19956"/>
      <c r="EI19956"/>
      <c r="EJ19956"/>
      <c r="EK19956"/>
    </row>
    <row r="19957" spans="1:141" s="116" customFormat="1">
      <c r="A19957" s="136"/>
      <c r="CM19957" s="111"/>
      <c r="CQ19957" s="111"/>
      <c r="EF19957"/>
      <c r="EG19957"/>
      <c r="EH19957"/>
      <c r="EI19957"/>
      <c r="EJ19957"/>
      <c r="EK19957"/>
    </row>
    <row r="19958" spans="1:141" s="116" customFormat="1">
      <c r="A19958" s="136"/>
      <c r="CM19958" s="111"/>
      <c r="CQ19958" s="111"/>
      <c r="EF19958"/>
      <c r="EG19958"/>
      <c r="EH19958"/>
      <c r="EI19958"/>
      <c r="EJ19958"/>
      <c r="EK19958"/>
    </row>
    <row r="19959" spans="1:141" s="116" customFormat="1">
      <c r="A19959" s="136"/>
      <c r="CM19959" s="111"/>
      <c r="CQ19959" s="111"/>
      <c r="EF19959"/>
      <c r="EG19959"/>
      <c r="EH19959"/>
      <c r="EI19959"/>
      <c r="EJ19959"/>
      <c r="EK19959"/>
    </row>
    <row r="19960" spans="1:141" s="116" customFormat="1">
      <c r="A19960" s="136"/>
      <c r="CM19960" s="111"/>
      <c r="CQ19960" s="111"/>
      <c r="EF19960"/>
      <c r="EG19960"/>
      <c r="EH19960"/>
      <c r="EI19960"/>
      <c r="EJ19960"/>
      <c r="EK19960"/>
    </row>
    <row r="19961" spans="1:141" s="116" customFormat="1">
      <c r="A19961" s="136"/>
      <c r="CM19961" s="111"/>
      <c r="CQ19961" s="111"/>
      <c r="EF19961"/>
      <c r="EG19961"/>
      <c r="EH19961"/>
      <c r="EI19961"/>
      <c r="EJ19961"/>
      <c r="EK19961"/>
    </row>
    <row r="19962" spans="1:141" s="116" customFormat="1">
      <c r="A19962" s="136"/>
      <c r="CM19962" s="111"/>
      <c r="CQ19962" s="111"/>
      <c r="EF19962"/>
      <c r="EG19962"/>
      <c r="EH19962"/>
      <c r="EI19962"/>
      <c r="EJ19962"/>
      <c r="EK19962"/>
    </row>
    <row r="19963" spans="1:141" s="116" customFormat="1">
      <c r="A19963" s="136"/>
      <c r="CM19963" s="111"/>
      <c r="CQ19963" s="111"/>
      <c r="EF19963"/>
      <c r="EG19963"/>
      <c r="EH19963"/>
      <c r="EI19963"/>
      <c r="EJ19963"/>
      <c r="EK19963"/>
    </row>
    <row r="19964" spans="1:141" s="116" customFormat="1">
      <c r="A19964" s="136"/>
      <c r="CM19964" s="111"/>
      <c r="CQ19964" s="111"/>
      <c r="EF19964"/>
      <c r="EG19964"/>
      <c r="EH19964"/>
      <c r="EI19964"/>
      <c r="EJ19964"/>
      <c r="EK19964"/>
    </row>
    <row r="19965" spans="1:141" s="116" customFormat="1">
      <c r="A19965" s="136"/>
      <c r="CM19965" s="111"/>
      <c r="CQ19965" s="111"/>
      <c r="EF19965"/>
      <c r="EG19965"/>
      <c r="EH19965"/>
      <c r="EI19965"/>
      <c r="EJ19965"/>
      <c r="EK19965"/>
    </row>
    <row r="19966" spans="1:141" s="116" customFormat="1">
      <c r="A19966" s="136"/>
      <c r="CM19966" s="111"/>
      <c r="CQ19966" s="111"/>
      <c r="EF19966"/>
      <c r="EG19966"/>
      <c r="EH19966"/>
      <c r="EI19966"/>
      <c r="EJ19966"/>
      <c r="EK19966"/>
    </row>
    <row r="19967" spans="1:141" s="116" customFormat="1">
      <c r="A19967" s="136"/>
      <c r="CM19967" s="111"/>
      <c r="CQ19967" s="111"/>
      <c r="EF19967"/>
      <c r="EG19967"/>
      <c r="EH19967"/>
      <c r="EI19967"/>
      <c r="EJ19967"/>
      <c r="EK19967"/>
    </row>
    <row r="19968" spans="1:141" s="116" customFormat="1">
      <c r="A19968" s="136"/>
      <c r="CM19968" s="111"/>
      <c r="CQ19968" s="111"/>
      <c r="EF19968"/>
      <c r="EG19968"/>
      <c r="EH19968"/>
      <c r="EI19968"/>
      <c r="EJ19968"/>
      <c r="EK19968"/>
    </row>
    <row r="19969" spans="1:141" s="116" customFormat="1">
      <c r="A19969" s="136"/>
      <c r="CM19969" s="111"/>
      <c r="CQ19969" s="111"/>
      <c r="EF19969"/>
      <c r="EG19969"/>
      <c r="EH19969"/>
      <c r="EI19969"/>
      <c r="EJ19969"/>
      <c r="EK19969"/>
    </row>
    <row r="19970" spans="1:141" s="116" customFormat="1">
      <c r="A19970" s="136"/>
      <c r="CM19970" s="111"/>
      <c r="CQ19970" s="111"/>
      <c r="EF19970"/>
      <c r="EG19970"/>
      <c r="EH19970"/>
      <c r="EI19970"/>
      <c r="EJ19970"/>
      <c r="EK19970"/>
    </row>
    <row r="19971" spans="1:141" s="116" customFormat="1">
      <c r="A19971" s="136"/>
      <c r="CM19971" s="111"/>
      <c r="CQ19971" s="111"/>
      <c r="EF19971"/>
      <c r="EG19971"/>
      <c r="EH19971"/>
      <c r="EI19971"/>
      <c r="EJ19971"/>
      <c r="EK19971"/>
    </row>
    <row r="19972" spans="1:141" s="116" customFormat="1">
      <c r="A19972" s="136"/>
      <c r="CM19972" s="111"/>
      <c r="CQ19972" s="111"/>
      <c r="EF19972"/>
      <c r="EG19972"/>
      <c r="EH19972"/>
      <c r="EI19972"/>
      <c r="EJ19972"/>
      <c r="EK19972"/>
    </row>
    <row r="19973" spans="1:141" s="116" customFormat="1">
      <c r="A19973" s="136"/>
      <c r="CM19973" s="111"/>
      <c r="CQ19973" s="111"/>
      <c r="EF19973"/>
      <c r="EG19973"/>
      <c r="EH19973"/>
      <c r="EI19973"/>
      <c r="EJ19973"/>
      <c r="EK19973"/>
    </row>
    <row r="19974" spans="1:141" s="116" customFormat="1">
      <c r="A19974" s="136"/>
      <c r="CM19974" s="111"/>
      <c r="CQ19974" s="111"/>
      <c r="EF19974"/>
      <c r="EG19974"/>
      <c r="EH19974"/>
      <c r="EI19974"/>
      <c r="EJ19974"/>
      <c r="EK19974"/>
    </row>
    <row r="19975" spans="1:141" s="116" customFormat="1">
      <c r="A19975" s="136"/>
      <c r="CM19975" s="111"/>
      <c r="CQ19975" s="111"/>
      <c r="EF19975"/>
      <c r="EG19975"/>
      <c r="EH19975"/>
      <c r="EI19975"/>
      <c r="EJ19975"/>
      <c r="EK19975"/>
    </row>
    <row r="19976" spans="1:141" s="116" customFormat="1">
      <c r="A19976" s="136"/>
      <c r="CM19976" s="111"/>
      <c r="CQ19976" s="111"/>
      <c r="EF19976"/>
      <c r="EG19976"/>
      <c r="EH19976"/>
      <c r="EI19976"/>
      <c r="EJ19976"/>
      <c r="EK19976"/>
    </row>
    <row r="19977" spans="1:141" s="116" customFormat="1">
      <c r="A19977" s="136"/>
      <c r="CM19977" s="111"/>
      <c r="CQ19977" s="111"/>
      <c r="EF19977"/>
      <c r="EG19977"/>
      <c r="EH19977"/>
      <c r="EI19977"/>
      <c r="EJ19977"/>
      <c r="EK19977"/>
    </row>
    <row r="19978" spans="1:141" s="116" customFormat="1">
      <c r="A19978" s="136"/>
      <c r="CM19978" s="111"/>
      <c r="CQ19978" s="111"/>
      <c r="EF19978"/>
      <c r="EG19978"/>
      <c r="EH19978"/>
      <c r="EI19978"/>
      <c r="EJ19978"/>
      <c r="EK19978"/>
    </row>
    <row r="19979" spans="1:141" s="116" customFormat="1">
      <c r="A19979" s="136"/>
      <c r="CM19979" s="111"/>
      <c r="CQ19979" s="111"/>
      <c r="EF19979"/>
      <c r="EG19979"/>
      <c r="EH19979"/>
      <c r="EI19979"/>
      <c r="EJ19979"/>
      <c r="EK19979"/>
    </row>
    <row r="19980" spans="1:141" s="116" customFormat="1">
      <c r="A19980" s="136"/>
      <c r="CM19980" s="111"/>
      <c r="CQ19980" s="111"/>
      <c r="EF19980"/>
      <c r="EG19980"/>
      <c r="EH19980"/>
      <c r="EI19980"/>
      <c r="EJ19980"/>
      <c r="EK19980"/>
    </row>
    <row r="19981" spans="1:141" s="116" customFormat="1">
      <c r="A19981" s="136"/>
      <c r="CM19981" s="111"/>
      <c r="CQ19981" s="111"/>
      <c r="EF19981"/>
      <c r="EG19981"/>
      <c r="EH19981"/>
      <c r="EI19981"/>
      <c r="EJ19981"/>
      <c r="EK19981"/>
    </row>
    <row r="19982" spans="1:141" s="116" customFormat="1">
      <c r="A19982" s="136"/>
      <c r="CM19982" s="111"/>
      <c r="CQ19982" s="111"/>
      <c r="EF19982"/>
      <c r="EG19982"/>
      <c r="EH19982"/>
      <c r="EI19982"/>
      <c r="EJ19982"/>
      <c r="EK19982"/>
    </row>
    <row r="19983" spans="1:141" s="116" customFormat="1">
      <c r="A19983" s="136"/>
      <c r="CM19983" s="111"/>
      <c r="CQ19983" s="111"/>
      <c r="EF19983"/>
      <c r="EG19983"/>
      <c r="EH19983"/>
      <c r="EI19983"/>
      <c r="EJ19983"/>
      <c r="EK19983"/>
    </row>
    <row r="19984" spans="1:141" s="116" customFormat="1">
      <c r="A19984" s="136"/>
      <c r="CM19984" s="111"/>
      <c r="CQ19984" s="111"/>
      <c r="EF19984"/>
      <c r="EG19984"/>
      <c r="EH19984"/>
      <c r="EI19984"/>
      <c r="EJ19984"/>
      <c r="EK19984"/>
    </row>
    <row r="19985" spans="1:141" s="116" customFormat="1">
      <c r="A19985" s="136"/>
      <c r="CM19985" s="111"/>
      <c r="CQ19985" s="111"/>
      <c r="EF19985"/>
      <c r="EG19985"/>
      <c r="EH19985"/>
      <c r="EI19985"/>
      <c r="EJ19985"/>
      <c r="EK19985"/>
    </row>
    <row r="19986" spans="1:141" s="116" customFormat="1">
      <c r="A19986" s="136"/>
      <c r="CM19986" s="111"/>
      <c r="CQ19986" s="111"/>
      <c r="EF19986"/>
      <c r="EG19986"/>
      <c r="EH19986"/>
      <c r="EI19986"/>
      <c r="EJ19986"/>
      <c r="EK19986"/>
    </row>
    <row r="19987" spans="1:141" s="116" customFormat="1">
      <c r="A19987" s="136"/>
      <c r="CM19987" s="111"/>
      <c r="CQ19987" s="111"/>
      <c r="EF19987"/>
      <c r="EG19987"/>
      <c r="EH19987"/>
      <c r="EI19987"/>
      <c r="EJ19987"/>
      <c r="EK19987"/>
    </row>
    <row r="19988" spans="1:141" s="116" customFormat="1">
      <c r="A19988" s="136"/>
      <c r="CM19988" s="111"/>
      <c r="CQ19988" s="111"/>
      <c r="EF19988"/>
      <c r="EG19988"/>
      <c r="EH19988"/>
      <c r="EI19988"/>
      <c r="EJ19988"/>
      <c r="EK19988"/>
    </row>
    <row r="19989" spans="1:141" s="116" customFormat="1">
      <c r="A19989" s="136"/>
      <c r="CM19989" s="111"/>
      <c r="CQ19989" s="111"/>
      <c r="EF19989"/>
      <c r="EG19989"/>
      <c r="EH19989"/>
      <c r="EI19989"/>
      <c r="EJ19989"/>
      <c r="EK19989"/>
    </row>
    <row r="19990" spans="1:141" s="116" customFormat="1">
      <c r="A19990" s="136"/>
      <c r="CM19990" s="111"/>
      <c r="CQ19990" s="111"/>
      <c r="EF19990"/>
      <c r="EG19990"/>
      <c r="EH19990"/>
      <c r="EI19990"/>
      <c r="EJ19990"/>
      <c r="EK19990"/>
    </row>
    <row r="19991" spans="1:141" s="116" customFormat="1">
      <c r="A19991" s="136"/>
      <c r="CM19991" s="111"/>
      <c r="CQ19991" s="111"/>
      <c r="EF19991"/>
      <c r="EG19991"/>
      <c r="EH19991"/>
      <c r="EI19991"/>
      <c r="EJ19991"/>
      <c r="EK19991"/>
    </row>
    <row r="19992" spans="1:141" s="116" customFormat="1">
      <c r="A19992" s="136"/>
      <c r="CM19992" s="111"/>
      <c r="CQ19992" s="111"/>
      <c r="EF19992"/>
      <c r="EG19992"/>
      <c r="EH19992"/>
      <c r="EI19992"/>
      <c r="EJ19992"/>
      <c r="EK19992"/>
    </row>
    <row r="19993" spans="1:141" s="116" customFormat="1">
      <c r="A19993" s="136"/>
      <c r="CM19993" s="111"/>
      <c r="CQ19993" s="111"/>
      <c r="EF19993"/>
      <c r="EG19993"/>
      <c r="EH19993"/>
      <c r="EI19993"/>
      <c r="EJ19993"/>
      <c r="EK19993"/>
    </row>
    <row r="19994" spans="1:141" s="116" customFormat="1">
      <c r="A19994" s="136"/>
      <c r="CM19994" s="111"/>
      <c r="CQ19994" s="111"/>
      <c r="EF19994"/>
      <c r="EG19994"/>
      <c r="EH19994"/>
      <c r="EI19994"/>
      <c r="EJ19994"/>
      <c r="EK19994"/>
    </row>
    <row r="19995" spans="1:141" s="116" customFormat="1">
      <c r="A19995" s="136"/>
      <c r="CM19995" s="111"/>
      <c r="CQ19995" s="111"/>
      <c r="EF19995"/>
      <c r="EG19995"/>
      <c r="EH19995"/>
      <c r="EI19995"/>
      <c r="EJ19995"/>
      <c r="EK19995"/>
    </row>
    <row r="19996" spans="1:141" s="116" customFormat="1">
      <c r="A19996" s="136"/>
      <c r="CM19996" s="111"/>
      <c r="CQ19996" s="111"/>
      <c r="EF19996"/>
      <c r="EG19996"/>
      <c r="EH19996"/>
      <c r="EI19996"/>
      <c r="EJ19996"/>
      <c r="EK19996"/>
    </row>
    <row r="19997" spans="1:141" s="116" customFormat="1">
      <c r="A19997" s="136"/>
      <c r="CM19997" s="111"/>
      <c r="CQ19997" s="111"/>
      <c r="EF19997"/>
      <c r="EG19997"/>
      <c r="EH19997"/>
      <c r="EI19997"/>
      <c r="EJ19997"/>
      <c r="EK19997"/>
    </row>
    <row r="19998" spans="1:141" s="116" customFormat="1">
      <c r="A19998" s="136"/>
      <c r="CM19998" s="111"/>
      <c r="CQ19998" s="111"/>
      <c r="EF19998"/>
      <c r="EG19998"/>
      <c r="EH19998"/>
      <c r="EI19998"/>
      <c r="EJ19998"/>
      <c r="EK19998"/>
    </row>
    <row r="19999" spans="1:141" s="116" customFormat="1">
      <c r="A19999" s="136"/>
      <c r="CM19999" s="111"/>
      <c r="CQ19999" s="111"/>
      <c r="EF19999"/>
      <c r="EG19999"/>
      <c r="EH19999"/>
      <c r="EI19999"/>
      <c r="EJ19999"/>
      <c r="EK19999"/>
    </row>
    <row r="20000" spans="1:141" s="116" customFormat="1">
      <c r="A20000" s="136"/>
      <c r="CM20000" s="111"/>
      <c r="CQ20000" s="111"/>
      <c r="EF20000"/>
      <c r="EG20000"/>
      <c r="EH20000"/>
      <c r="EI20000"/>
      <c r="EJ20000"/>
      <c r="EK20000"/>
    </row>
    <row r="20001" spans="1:141" s="116" customFormat="1">
      <c r="A20001" s="136"/>
      <c r="CM20001" s="111"/>
      <c r="CQ20001" s="111"/>
      <c r="EF20001"/>
      <c r="EG20001"/>
      <c r="EH20001"/>
      <c r="EI20001"/>
      <c r="EJ20001"/>
      <c r="EK20001"/>
    </row>
    <row r="20002" spans="1:141" s="116" customFormat="1">
      <c r="A20002" s="136"/>
      <c r="CM20002" s="111"/>
      <c r="CQ20002" s="111"/>
      <c r="EF20002"/>
      <c r="EG20002"/>
      <c r="EH20002"/>
      <c r="EI20002"/>
      <c r="EJ20002"/>
      <c r="EK20002"/>
    </row>
    <row r="20003" spans="1:141" s="116" customFormat="1">
      <c r="A20003" s="136"/>
      <c r="CM20003" s="111"/>
      <c r="CQ20003" s="111"/>
      <c r="EF20003"/>
      <c r="EG20003"/>
      <c r="EH20003"/>
      <c r="EI20003"/>
      <c r="EJ20003"/>
      <c r="EK20003"/>
    </row>
    <row r="20004" spans="1:141" s="116" customFormat="1">
      <c r="A20004" s="136"/>
      <c r="CM20004" s="111"/>
      <c r="CQ20004" s="111"/>
      <c r="EF20004"/>
      <c r="EG20004"/>
      <c r="EH20004"/>
      <c r="EI20004"/>
      <c r="EJ20004"/>
      <c r="EK20004"/>
    </row>
    <row r="20005" spans="1:141" s="116" customFormat="1">
      <c r="A20005" s="136"/>
      <c r="CM20005" s="111"/>
      <c r="CQ20005" s="111"/>
      <c r="EF20005"/>
      <c r="EG20005"/>
      <c r="EH20005"/>
      <c r="EI20005"/>
      <c r="EJ20005"/>
      <c r="EK20005"/>
    </row>
    <row r="20006" spans="1:141" s="116" customFormat="1">
      <c r="A20006" s="136"/>
      <c r="CM20006" s="111"/>
      <c r="CQ20006" s="111"/>
      <c r="EF20006"/>
      <c r="EG20006"/>
      <c r="EH20006"/>
      <c r="EI20006"/>
      <c r="EJ20006"/>
      <c r="EK20006"/>
    </row>
    <row r="20007" spans="1:141" s="116" customFormat="1">
      <c r="A20007" s="136"/>
      <c r="CM20007" s="111"/>
      <c r="CQ20007" s="111"/>
      <c r="EF20007"/>
      <c r="EG20007"/>
      <c r="EH20007"/>
      <c r="EI20007"/>
      <c r="EJ20007"/>
      <c r="EK20007"/>
    </row>
    <row r="20008" spans="1:141" s="116" customFormat="1">
      <c r="A20008" s="136"/>
      <c r="CM20008" s="111"/>
      <c r="CQ20008" s="111"/>
      <c r="EF20008"/>
      <c r="EG20008"/>
      <c r="EH20008"/>
      <c r="EI20008"/>
      <c r="EJ20008"/>
      <c r="EK20008"/>
    </row>
    <row r="20009" spans="1:141" s="116" customFormat="1">
      <c r="A20009" s="136"/>
      <c r="CM20009" s="111"/>
      <c r="CQ20009" s="111"/>
      <c r="EF20009"/>
      <c r="EG20009"/>
      <c r="EH20009"/>
      <c r="EI20009"/>
      <c r="EJ20009"/>
      <c r="EK20009"/>
    </row>
    <row r="20010" spans="1:141" s="116" customFormat="1">
      <c r="A20010" s="136"/>
      <c r="CM20010" s="111"/>
      <c r="CQ20010" s="111"/>
      <c r="EF20010"/>
      <c r="EG20010"/>
      <c r="EH20010"/>
      <c r="EI20010"/>
      <c r="EJ20010"/>
      <c r="EK20010"/>
    </row>
    <row r="20011" spans="1:141" s="116" customFormat="1">
      <c r="A20011" s="136"/>
      <c r="CM20011" s="111"/>
      <c r="CQ20011" s="111"/>
      <c r="EF20011"/>
      <c r="EG20011"/>
      <c r="EH20011"/>
      <c r="EI20011"/>
      <c r="EJ20011"/>
      <c r="EK20011"/>
    </row>
    <row r="20012" spans="1:141" s="116" customFormat="1">
      <c r="A20012" s="136"/>
      <c r="CM20012" s="111"/>
      <c r="CQ20012" s="111"/>
      <c r="EF20012"/>
      <c r="EG20012"/>
      <c r="EH20012"/>
      <c r="EI20012"/>
      <c r="EJ20012"/>
      <c r="EK20012"/>
    </row>
    <row r="20013" spans="1:141" s="116" customFormat="1">
      <c r="A20013" s="136"/>
      <c r="CM20013" s="111"/>
      <c r="CQ20013" s="111"/>
      <c r="EF20013"/>
      <c r="EG20013"/>
      <c r="EH20013"/>
      <c r="EI20013"/>
      <c r="EJ20013"/>
      <c r="EK20013"/>
    </row>
    <row r="20014" spans="1:141" s="116" customFormat="1">
      <c r="A20014" s="136"/>
      <c r="CM20014" s="111"/>
      <c r="CQ20014" s="111"/>
      <c r="EF20014"/>
      <c r="EG20014"/>
      <c r="EH20014"/>
      <c r="EI20014"/>
      <c r="EJ20014"/>
      <c r="EK20014"/>
    </row>
    <row r="20015" spans="1:141" s="116" customFormat="1">
      <c r="A20015" s="136"/>
      <c r="CM20015" s="111"/>
      <c r="CQ20015" s="111"/>
      <c r="EF20015"/>
      <c r="EG20015"/>
      <c r="EH20015"/>
      <c r="EI20015"/>
      <c r="EJ20015"/>
      <c r="EK20015"/>
    </row>
    <row r="20016" spans="1:141" s="116" customFormat="1">
      <c r="A20016" s="136"/>
      <c r="CM20016" s="111"/>
      <c r="CQ20016" s="111"/>
      <c r="EF20016"/>
      <c r="EG20016"/>
      <c r="EH20016"/>
      <c r="EI20016"/>
      <c r="EJ20016"/>
      <c r="EK20016"/>
    </row>
    <row r="20017" spans="1:141" s="116" customFormat="1">
      <c r="A20017" s="136"/>
      <c r="CM20017" s="111"/>
      <c r="CQ20017" s="111"/>
      <c r="EF20017"/>
      <c r="EG20017"/>
      <c r="EH20017"/>
      <c r="EI20017"/>
      <c r="EJ20017"/>
      <c r="EK20017"/>
    </row>
    <row r="20018" spans="1:141" s="116" customFormat="1">
      <c r="A20018" s="136"/>
      <c r="CM20018" s="111"/>
      <c r="CQ20018" s="111"/>
      <c r="EF20018"/>
      <c r="EG20018"/>
      <c r="EH20018"/>
      <c r="EI20018"/>
      <c r="EJ20018"/>
      <c r="EK20018"/>
    </row>
    <row r="20019" spans="1:141" s="116" customFormat="1">
      <c r="A20019" s="136"/>
      <c r="CM20019" s="111"/>
      <c r="CQ20019" s="111"/>
      <c r="EF20019"/>
      <c r="EG20019"/>
      <c r="EH20019"/>
      <c r="EI20019"/>
      <c r="EJ20019"/>
      <c r="EK20019"/>
    </row>
    <row r="20020" spans="1:141" s="116" customFormat="1">
      <c r="A20020" s="136"/>
      <c r="CM20020" s="111"/>
      <c r="CQ20020" s="111"/>
      <c r="EF20020"/>
      <c r="EG20020"/>
      <c r="EH20020"/>
      <c r="EI20020"/>
      <c r="EJ20020"/>
      <c r="EK20020"/>
    </row>
    <row r="20021" spans="1:141" s="116" customFormat="1">
      <c r="A20021" s="136"/>
      <c r="CM20021" s="111"/>
      <c r="CQ20021" s="111"/>
      <c r="EF20021"/>
      <c r="EG20021"/>
      <c r="EH20021"/>
      <c r="EI20021"/>
      <c r="EJ20021"/>
      <c r="EK20021"/>
    </row>
    <row r="20022" spans="1:141" s="116" customFormat="1">
      <c r="A20022" s="136"/>
      <c r="CM20022" s="111"/>
      <c r="CQ20022" s="111"/>
      <c r="EF20022"/>
      <c r="EG20022"/>
      <c r="EH20022"/>
      <c r="EI20022"/>
      <c r="EJ20022"/>
      <c r="EK20022"/>
    </row>
    <row r="20023" spans="1:141" s="116" customFormat="1">
      <c r="A20023" s="136"/>
      <c r="CM20023" s="111"/>
      <c r="CQ20023" s="111"/>
      <c r="EF20023"/>
      <c r="EG20023"/>
      <c r="EH20023"/>
      <c r="EI20023"/>
      <c r="EJ20023"/>
      <c r="EK20023"/>
    </row>
    <row r="20024" spans="1:141" s="116" customFormat="1">
      <c r="A20024" s="136"/>
      <c r="CM20024" s="111"/>
      <c r="CQ20024" s="111"/>
      <c r="EF20024"/>
      <c r="EG20024"/>
      <c r="EH20024"/>
      <c r="EI20024"/>
      <c r="EJ20024"/>
      <c r="EK20024"/>
    </row>
    <row r="20025" spans="1:141" s="116" customFormat="1">
      <c r="A20025" s="136"/>
      <c r="CM20025" s="111"/>
      <c r="CQ20025" s="111"/>
      <c r="EF20025"/>
      <c r="EG20025"/>
      <c r="EH20025"/>
      <c r="EI20025"/>
      <c r="EJ20025"/>
      <c r="EK20025"/>
    </row>
    <row r="20026" spans="1:141" s="116" customFormat="1">
      <c r="A20026" s="136"/>
      <c r="CM20026" s="111"/>
      <c r="CQ20026" s="111"/>
      <c r="EF20026"/>
      <c r="EG20026"/>
      <c r="EH20026"/>
      <c r="EI20026"/>
      <c r="EJ20026"/>
      <c r="EK20026"/>
    </row>
    <row r="20027" spans="1:141" s="116" customFormat="1">
      <c r="A20027" s="136"/>
      <c r="CM20027" s="111"/>
      <c r="CQ20027" s="111"/>
      <c r="EF20027"/>
      <c r="EG20027"/>
      <c r="EH20027"/>
      <c r="EI20027"/>
      <c r="EJ20027"/>
      <c r="EK20027"/>
    </row>
    <row r="20028" spans="1:141" s="116" customFormat="1">
      <c r="A20028" s="136"/>
      <c r="CM20028" s="111"/>
      <c r="CQ20028" s="111"/>
      <c r="EF20028"/>
      <c r="EG20028"/>
      <c r="EH20028"/>
      <c r="EI20028"/>
      <c r="EJ20028"/>
      <c r="EK20028"/>
    </row>
    <row r="20029" spans="1:141" s="116" customFormat="1">
      <c r="A20029" s="136"/>
      <c r="CM20029" s="111"/>
      <c r="CQ20029" s="111"/>
      <c r="EF20029"/>
      <c r="EG20029"/>
      <c r="EH20029"/>
      <c r="EI20029"/>
      <c r="EJ20029"/>
      <c r="EK20029"/>
    </row>
    <row r="20030" spans="1:141" s="116" customFormat="1">
      <c r="A20030" s="136"/>
      <c r="CM20030" s="111"/>
      <c r="CQ20030" s="111"/>
      <c r="EF20030"/>
      <c r="EG20030"/>
      <c r="EH20030"/>
      <c r="EI20030"/>
      <c r="EJ20030"/>
      <c r="EK20030"/>
    </row>
    <row r="20031" spans="1:141" s="116" customFormat="1">
      <c r="A20031" s="136"/>
      <c r="CM20031" s="111"/>
      <c r="CQ20031" s="111"/>
      <c r="EF20031"/>
      <c r="EG20031"/>
      <c r="EH20031"/>
      <c r="EI20031"/>
      <c r="EJ20031"/>
      <c r="EK20031"/>
    </row>
    <row r="20032" spans="1:141" s="116" customFormat="1">
      <c r="A20032" s="136"/>
      <c r="CM20032" s="111"/>
      <c r="CQ20032" s="111"/>
      <c r="EF20032"/>
      <c r="EG20032"/>
      <c r="EH20032"/>
      <c r="EI20032"/>
      <c r="EJ20032"/>
      <c r="EK20032"/>
    </row>
    <row r="20033" spans="1:141" s="116" customFormat="1">
      <c r="A20033" s="136"/>
      <c r="CM20033" s="111"/>
      <c r="CQ20033" s="111"/>
      <c r="EF20033"/>
      <c r="EG20033"/>
      <c r="EH20033"/>
      <c r="EI20033"/>
      <c r="EJ20033"/>
      <c r="EK20033"/>
    </row>
    <row r="20034" spans="1:141" s="116" customFormat="1">
      <c r="A20034" s="136"/>
      <c r="CM20034" s="111"/>
      <c r="CQ20034" s="111"/>
      <c r="EF20034"/>
      <c r="EG20034"/>
      <c r="EH20034"/>
      <c r="EI20034"/>
      <c r="EJ20034"/>
      <c r="EK20034"/>
    </row>
    <row r="20035" spans="1:141" s="116" customFormat="1">
      <c r="A20035" s="136"/>
      <c r="CM20035" s="111"/>
      <c r="CQ20035" s="111"/>
      <c r="EF20035"/>
      <c r="EG20035"/>
      <c r="EH20035"/>
      <c r="EI20035"/>
      <c r="EJ20035"/>
      <c r="EK20035"/>
    </row>
    <row r="20036" spans="1:141" s="116" customFormat="1">
      <c r="A20036" s="136"/>
      <c r="CM20036" s="111"/>
      <c r="CQ20036" s="111"/>
      <c r="EF20036"/>
      <c r="EG20036"/>
      <c r="EH20036"/>
      <c r="EI20036"/>
      <c r="EJ20036"/>
      <c r="EK20036"/>
    </row>
    <row r="20037" spans="1:141" s="116" customFormat="1">
      <c r="A20037" s="136"/>
      <c r="CM20037" s="111"/>
      <c r="CQ20037" s="111"/>
      <c r="EF20037"/>
      <c r="EG20037"/>
      <c r="EH20037"/>
      <c r="EI20037"/>
      <c r="EJ20037"/>
      <c r="EK20037"/>
    </row>
    <row r="20038" spans="1:141" s="116" customFormat="1">
      <c r="A20038" s="136"/>
      <c r="CM20038" s="111"/>
      <c r="CQ20038" s="111"/>
      <c r="EF20038"/>
      <c r="EG20038"/>
      <c r="EH20038"/>
      <c r="EI20038"/>
      <c r="EJ20038"/>
      <c r="EK20038"/>
    </row>
    <row r="20039" spans="1:141" s="116" customFormat="1">
      <c r="A20039" s="136"/>
      <c r="CM20039" s="111"/>
      <c r="CQ20039" s="111"/>
      <c r="EF20039"/>
      <c r="EG20039"/>
      <c r="EH20039"/>
      <c r="EI20039"/>
      <c r="EJ20039"/>
      <c r="EK20039"/>
    </row>
    <row r="20040" spans="1:141" s="116" customFormat="1">
      <c r="A20040" s="136"/>
      <c r="CM20040" s="111"/>
      <c r="CQ20040" s="111"/>
      <c r="EF20040"/>
      <c r="EG20040"/>
      <c r="EH20040"/>
      <c r="EI20040"/>
      <c r="EJ20040"/>
      <c r="EK20040"/>
    </row>
    <row r="20041" spans="1:141" s="116" customFormat="1">
      <c r="A20041" s="136"/>
      <c r="CM20041" s="111"/>
      <c r="CQ20041" s="111"/>
      <c r="EF20041"/>
      <c r="EG20041"/>
      <c r="EH20041"/>
      <c r="EI20041"/>
      <c r="EJ20041"/>
      <c r="EK20041"/>
    </row>
    <row r="20042" spans="1:141" s="116" customFormat="1">
      <c r="A20042" s="136"/>
      <c r="CM20042" s="111"/>
      <c r="CQ20042" s="111"/>
      <c r="EF20042"/>
      <c r="EG20042"/>
      <c r="EH20042"/>
      <c r="EI20042"/>
      <c r="EJ20042"/>
      <c r="EK20042"/>
    </row>
    <row r="20043" spans="1:141" s="116" customFormat="1">
      <c r="A20043" s="136"/>
      <c r="CM20043" s="111"/>
      <c r="CQ20043" s="111"/>
      <c r="EF20043"/>
      <c r="EG20043"/>
      <c r="EH20043"/>
      <c r="EI20043"/>
      <c r="EJ20043"/>
      <c r="EK20043"/>
    </row>
    <row r="20044" spans="1:141" s="116" customFormat="1">
      <c r="A20044" s="136"/>
      <c r="CM20044" s="111"/>
      <c r="CQ20044" s="111"/>
      <c r="EF20044"/>
      <c r="EG20044"/>
      <c r="EH20044"/>
      <c r="EI20044"/>
      <c r="EJ20044"/>
      <c r="EK20044"/>
    </row>
    <row r="20045" spans="1:141" s="116" customFormat="1">
      <c r="A20045" s="136"/>
      <c r="CM20045" s="111"/>
      <c r="CQ20045" s="111"/>
      <c r="EF20045"/>
      <c r="EG20045"/>
      <c r="EH20045"/>
      <c r="EI20045"/>
      <c r="EJ20045"/>
      <c r="EK20045"/>
    </row>
    <row r="20046" spans="1:141" s="116" customFormat="1">
      <c r="A20046" s="136"/>
      <c r="CM20046" s="111"/>
      <c r="CQ20046" s="111"/>
      <c r="EF20046"/>
      <c r="EG20046"/>
      <c r="EH20046"/>
      <c r="EI20046"/>
      <c r="EJ20046"/>
      <c r="EK20046"/>
    </row>
    <row r="20047" spans="1:141" s="116" customFormat="1">
      <c r="A20047" s="136"/>
      <c r="CM20047" s="111"/>
      <c r="CQ20047" s="111"/>
      <c r="EF20047"/>
      <c r="EG20047"/>
      <c r="EH20047"/>
      <c r="EI20047"/>
      <c r="EJ20047"/>
      <c r="EK20047"/>
    </row>
    <row r="20048" spans="1:141" s="116" customFormat="1">
      <c r="A20048" s="136"/>
      <c r="CM20048" s="111"/>
      <c r="CQ20048" s="111"/>
      <c r="EF20048"/>
      <c r="EG20048"/>
      <c r="EH20048"/>
      <c r="EI20048"/>
      <c r="EJ20048"/>
      <c r="EK20048"/>
    </row>
    <row r="20049" spans="1:141" s="116" customFormat="1">
      <c r="A20049" s="136"/>
      <c r="CM20049" s="111"/>
      <c r="CQ20049" s="111"/>
      <c r="EF20049"/>
      <c r="EG20049"/>
      <c r="EH20049"/>
      <c r="EI20049"/>
      <c r="EJ20049"/>
      <c r="EK20049"/>
    </row>
    <row r="20050" spans="1:141" s="116" customFormat="1">
      <c r="A20050" s="136"/>
      <c r="CM20050" s="111"/>
      <c r="CQ20050" s="111"/>
      <c r="EF20050"/>
      <c r="EG20050"/>
      <c r="EH20050"/>
      <c r="EI20050"/>
      <c r="EJ20050"/>
      <c r="EK20050"/>
    </row>
    <row r="20051" spans="1:141" s="116" customFormat="1">
      <c r="A20051" s="136"/>
      <c r="CM20051" s="111"/>
      <c r="CQ20051" s="111"/>
      <c r="EF20051"/>
      <c r="EG20051"/>
      <c r="EH20051"/>
      <c r="EI20051"/>
      <c r="EJ20051"/>
      <c r="EK20051"/>
    </row>
    <row r="20052" spans="1:141" s="116" customFormat="1">
      <c r="A20052" s="136"/>
      <c r="CM20052" s="111"/>
      <c r="CQ20052" s="111"/>
      <c r="EF20052"/>
      <c r="EG20052"/>
      <c r="EH20052"/>
      <c r="EI20052"/>
      <c r="EJ20052"/>
      <c r="EK20052"/>
    </row>
    <row r="20053" spans="1:141" s="116" customFormat="1">
      <c r="A20053" s="136"/>
      <c r="CM20053" s="111"/>
      <c r="CQ20053" s="111"/>
      <c r="EF20053"/>
      <c r="EG20053"/>
      <c r="EH20053"/>
      <c r="EI20053"/>
      <c r="EJ20053"/>
      <c r="EK20053"/>
    </row>
    <row r="20054" spans="1:141" s="116" customFormat="1">
      <c r="A20054" s="136"/>
      <c r="CM20054" s="111"/>
      <c r="CQ20054" s="111"/>
      <c r="EF20054"/>
      <c r="EG20054"/>
      <c r="EH20054"/>
      <c r="EI20054"/>
      <c r="EJ20054"/>
      <c r="EK20054"/>
    </row>
    <row r="20055" spans="1:141" s="116" customFormat="1">
      <c r="A20055" s="136"/>
      <c r="CM20055" s="111"/>
      <c r="CQ20055" s="111"/>
      <c r="EF20055"/>
      <c r="EG20055"/>
      <c r="EH20055"/>
      <c r="EI20055"/>
      <c r="EJ20055"/>
      <c r="EK20055"/>
    </row>
    <row r="20056" spans="1:141" s="116" customFormat="1">
      <c r="A20056" s="136"/>
      <c r="CM20056" s="111"/>
      <c r="CQ20056" s="111"/>
      <c r="EF20056"/>
      <c r="EG20056"/>
      <c r="EH20056"/>
      <c r="EI20056"/>
      <c r="EJ20056"/>
      <c r="EK20056"/>
    </row>
    <row r="20057" spans="1:141" s="116" customFormat="1">
      <c r="A20057" s="136"/>
      <c r="CM20057" s="111"/>
      <c r="CQ20057" s="111"/>
      <c r="EF20057"/>
      <c r="EG20057"/>
      <c r="EH20057"/>
      <c r="EI20057"/>
      <c r="EJ20057"/>
      <c r="EK20057"/>
    </row>
    <row r="20058" spans="1:141" s="116" customFormat="1">
      <c r="A20058" s="136"/>
      <c r="CM20058" s="111"/>
      <c r="CQ20058" s="111"/>
      <c r="EF20058"/>
      <c r="EG20058"/>
      <c r="EH20058"/>
      <c r="EI20058"/>
      <c r="EJ20058"/>
      <c r="EK20058"/>
    </row>
    <row r="20059" spans="1:141" s="116" customFormat="1">
      <c r="A20059" s="136"/>
      <c r="CM20059" s="111"/>
      <c r="CQ20059" s="111"/>
      <c r="EF20059"/>
      <c r="EG20059"/>
      <c r="EH20059"/>
      <c r="EI20059"/>
      <c r="EJ20059"/>
      <c r="EK20059"/>
    </row>
    <row r="20060" spans="1:141" s="116" customFormat="1">
      <c r="A20060" s="136"/>
      <c r="CM20060" s="111"/>
      <c r="CQ20060" s="111"/>
      <c r="EF20060"/>
      <c r="EG20060"/>
      <c r="EH20060"/>
      <c r="EI20060"/>
      <c r="EJ20060"/>
      <c r="EK20060"/>
    </row>
    <row r="20061" spans="1:141" s="116" customFormat="1">
      <c r="A20061" s="136"/>
      <c r="CM20061" s="111"/>
      <c r="CQ20061" s="111"/>
      <c r="EF20061"/>
      <c r="EG20061"/>
      <c r="EH20061"/>
      <c r="EI20061"/>
      <c r="EJ20061"/>
      <c r="EK20061"/>
    </row>
    <row r="20062" spans="1:141" s="116" customFormat="1">
      <c r="A20062" s="136"/>
      <c r="CM20062" s="111"/>
      <c r="CQ20062" s="111"/>
      <c r="EF20062"/>
      <c r="EG20062"/>
      <c r="EH20062"/>
      <c r="EI20062"/>
      <c r="EJ20062"/>
      <c r="EK20062"/>
    </row>
    <row r="20063" spans="1:141" s="116" customFormat="1">
      <c r="A20063" s="136"/>
      <c r="CM20063" s="111"/>
      <c r="CQ20063" s="111"/>
      <c r="EF20063"/>
      <c r="EG20063"/>
      <c r="EH20063"/>
      <c r="EI20063"/>
      <c r="EJ20063"/>
      <c r="EK20063"/>
    </row>
    <row r="20064" spans="1:141" s="116" customFormat="1">
      <c r="A20064" s="136"/>
      <c r="CM20064" s="111"/>
      <c r="CQ20064" s="111"/>
      <c r="EF20064"/>
      <c r="EG20064"/>
      <c r="EH20064"/>
      <c r="EI20064"/>
      <c r="EJ20064"/>
      <c r="EK20064"/>
    </row>
    <row r="20065" spans="1:141" s="116" customFormat="1">
      <c r="A20065" s="136"/>
      <c r="CM20065" s="111"/>
      <c r="CQ20065" s="111"/>
      <c r="EF20065"/>
      <c r="EG20065"/>
      <c r="EH20065"/>
      <c r="EI20065"/>
      <c r="EJ20065"/>
      <c r="EK20065"/>
    </row>
    <row r="20066" spans="1:141" s="116" customFormat="1">
      <c r="A20066" s="136"/>
      <c r="CM20066" s="111"/>
      <c r="CQ20066" s="111"/>
      <c r="EF20066"/>
      <c r="EG20066"/>
      <c r="EH20066"/>
      <c r="EI20066"/>
      <c r="EJ20066"/>
      <c r="EK20066"/>
    </row>
    <row r="20067" spans="1:141" s="116" customFormat="1">
      <c r="A20067" s="136"/>
      <c r="CM20067" s="111"/>
      <c r="CQ20067" s="111"/>
      <c r="EF20067"/>
      <c r="EG20067"/>
      <c r="EH20067"/>
      <c r="EI20067"/>
      <c r="EJ20067"/>
      <c r="EK20067"/>
    </row>
    <row r="20068" spans="1:141" s="116" customFormat="1">
      <c r="A20068" s="136"/>
      <c r="CM20068" s="111"/>
      <c r="CQ20068" s="111"/>
      <c r="EF20068"/>
      <c r="EG20068"/>
      <c r="EH20068"/>
      <c r="EI20068"/>
      <c r="EJ20068"/>
      <c r="EK20068"/>
    </row>
    <row r="20069" spans="1:141" s="116" customFormat="1">
      <c r="A20069" s="136"/>
      <c r="CM20069" s="111"/>
      <c r="CQ20069" s="111"/>
      <c r="EF20069"/>
      <c r="EG20069"/>
      <c r="EH20069"/>
      <c r="EI20069"/>
      <c r="EJ20069"/>
      <c r="EK20069"/>
    </row>
    <row r="20070" spans="1:141" s="116" customFormat="1">
      <c r="A20070" s="136"/>
      <c r="CM20070" s="111"/>
      <c r="CQ20070" s="111"/>
      <c r="EF20070"/>
      <c r="EG20070"/>
      <c r="EH20070"/>
      <c r="EI20070"/>
      <c r="EJ20070"/>
      <c r="EK20070"/>
    </row>
    <row r="20071" spans="1:141" s="116" customFormat="1">
      <c r="A20071" s="136"/>
      <c r="CM20071" s="111"/>
      <c r="CQ20071" s="111"/>
      <c r="EF20071"/>
      <c r="EG20071"/>
      <c r="EH20071"/>
      <c r="EI20071"/>
      <c r="EJ20071"/>
      <c r="EK20071"/>
    </row>
    <row r="20072" spans="1:141" s="116" customFormat="1">
      <c r="A20072" s="136"/>
      <c r="CM20072" s="111"/>
      <c r="CQ20072" s="111"/>
      <c r="EF20072"/>
      <c r="EG20072"/>
      <c r="EH20072"/>
      <c r="EI20072"/>
      <c r="EJ20072"/>
      <c r="EK20072"/>
    </row>
    <row r="20073" spans="1:141" s="116" customFormat="1">
      <c r="A20073" s="136"/>
      <c r="CM20073" s="111"/>
      <c r="CQ20073" s="111"/>
      <c r="EF20073"/>
      <c r="EG20073"/>
      <c r="EH20073"/>
      <c r="EI20073"/>
      <c r="EJ20073"/>
      <c r="EK20073"/>
    </row>
    <row r="20074" spans="1:141" s="116" customFormat="1">
      <c r="A20074" s="136"/>
      <c r="CM20074" s="111"/>
      <c r="CQ20074" s="111"/>
      <c r="EF20074"/>
      <c r="EG20074"/>
      <c r="EH20074"/>
      <c r="EI20074"/>
      <c r="EJ20074"/>
      <c r="EK20074"/>
    </row>
    <row r="20075" spans="1:141" s="116" customFormat="1">
      <c r="A20075" s="136"/>
      <c r="CM20075" s="111"/>
      <c r="CQ20075" s="111"/>
      <c r="EF20075"/>
      <c r="EG20075"/>
      <c r="EH20075"/>
      <c r="EI20075"/>
      <c r="EJ20075"/>
      <c r="EK20075"/>
    </row>
    <row r="20076" spans="1:141" s="116" customFormat="1">
      <c r="A20076" s="136"/>
      <c r="CM20076" s="111"/>
      <c r="CQ20076" s="111"/>
      <c r="EF20076"/>
      <c r="EG20076"/>
      <c r="EH20076"/>
      <c r="EI20076"/>
      <c r="EJ20076"/>
      <c r="EK20076"/>
    </row>
    <row r="20077" spans="1:141" s="116" customFormat="1">
      <c r="A20077" s="136"/>
      <c r="CM20077" s="111"/>
      <c r="CQ20077" s="111"/>
      <c r="EF20077"/>
      <c r="EG20077"/>
      <c r="EH20077"/>
      <c r="EI20077"/>
      <c r="EJ20077"/>
      <c r="EK20077"/>
    </row>
    <row r="20078" spans="1:141" s="116" customFormat="1">
      <c r="A20078" s="136"/>
      <c r="CM20078" s="111"/>
      <c r="CQ20078" s="111"/>
      <c r="EF20078"/>
      <c r="EG20078"/>
      <c r="EH20078"/>
      <c r="EI20078"/>
      <c r="EJ20078"/>
      <c r="EK20078"/>
    </row>
    <row r="20079" spans="1:141" s="116" customFormat="1">
      <c r="A20079" s="136"/>
      <c r="CM20079" s="111"/>
      <c r="CQ20079" s="111"/>
      <c r="EF20079"/>
      <c r="EG20079"/>
      <c r="EH20079"/>
      <c r="EI20079"/>
      <c r="EJ20079"/>
      <c r="EK20079"/>
    </row>
    <row r="20080" spans="1:141" s="116" customFormat="1">
      <c r="A20080" s="136"/>
      <c r="CM20080" s="111"/>
      <c r="CQ20080" s="111"/>
      <c r="EF20080"/>
      <c r="EG20080"/>
      <c r="EH20080"/>
      <c r="EI20080"/>
      <c r="EJ20080"/>
      <c r="EK20080"/>
    </row>
    <row r="20081" spans="1:141" s="116" customFormat="1">
      <c r="A20081" s="136"/>
      <c r="CM20081" s="111"/>
      <c r="CQ20081" s="111"/>
      <c r="EF20081"/>
      <c r="EG20081"/>
      <c r="EH20081"/>
      <c r="EI20081"/>
      <c r="EJ20081"/>
      <c r="EK20081"/>
    </row>
    <row r="20082" spans="1:141" s="116" customFormat="1">
      <c r="A20082" s="136"/>
      <c r="CM20082" s="111"/>
      <c r="CQ20082" s="111"/>
      <c r="EF20082"/>
      <c r="EG20082"/>
      <c r="EH20082"/>
      <c r="EI20082"/>
      <c r="EJ20082"/>
      <c r="EK20082"/>
    </row>
    <row r="20083" spans="1:141" s="116" customFormat="1">
      <c r="A20083" s="136"/>
      <c r="CM20083" s="111"/>
      <c r="CQ20083" s="111"/>
      <c r="EF20083"/>
      <c r="EG20083"/>
      <c r="EH20083"/>
      <c r="EI20083"/>
      <c r="EJ20083"/>
      <c r="EK20083"/>
    </row>
    <row r="20084" spans="1:141" s="116" customFormat="1">
      <c r="A20084" s="136"/>
      <c r="CM20084" s="111"/>
      <c r="CQ20084" s="111"/>
      <c r="EF20084"/>
      <c r="EG20084"/>
      <c r="EH20084"/>
      <c r="EI20084"/>
      <c r="EJ20084"/>
      <c r="EK20084"/>
    </row>
    <row r="20085" spans="1:141" s="116" customFormat="1">
      <c r="A20085" s="136"/>
      <c r="CM20085" s="111"/>
      <c r="CQ20085" s="111"/>
      <c r="EF20085"/>
      <c r="EG20085"/>
      <c r="EH20085"/>
      <c r="EI20085"/>
      <c r="EJ20085"/>
      <c r="EK20085"/>
    </row>
    <row r="20086" spans="1:141" s="116" customFormat="1">
      <c r="A20086" s="136"/>
      <c r="CM20086" s="111"/>
      <c r="CQ20086" s="111"/>
      <c r="EF20086"/>
      <c r="EG20086"/>
      <c r="EH20086"/>
      <c r="EI20086"/>
      <c r="EJ20086"/>
      <c r="EK20086"/>
    </row>
    <row r="20087" spans="1:141" s="116" customFormat="1">
      <c r="A20087" s="136"/>
      <c r="CM20087" s="111"/>
      <c r="CQ20087" s="111"/>
      <c r="EF20087"/>
      <c r="EG20087"/>
      <c r="EH20087"/>
      <c r="EI20087"/>
      <c r="EJ20087"/>
      <c r="EK20087"/>
    </row>
    <row r="20088" spans="1:141" s="116" customFormat="1">
      <c r="A20088" s="136"/>
      <c r="CM20088" s="111"/>
      <c r="CQ20088" s="111"/>
      <c r="EF20088"/>
      <c r="EG20088"/>
      <c r="EH20088"/>
      <c r="EI20088"/>
      <c r="EJ20088"/>
      <c r="EK20088"/>
    </row>
    <row r="20089" spans="1:141" s="116" customFormat="1">
      <c r="A20089" s="136"/>
      <c r="CM20089" s="111"/>
      <c r="CQ20089" s="111"/>
      <c r="EF20089"/>
      <c r="EG20089"/>
      <c r="EH20089"/>
      <c r="EI20089"/>
      <c r="EJ20089"/>
      <c r="EK20089"/>
    </row>
    <row r="20090" spans="1:141" s="116" customFormat="1">
      <c r="A20090" s="136"/>
      <c r="CM20090" s="111"/>
      <c r="CQ20090" s="111"/>
      <c r="EF20090"/>
      <c r="EG20090"/>
      <c r="EH20090"/>
      <c r="EI20090"/>
      <c r="EJ20090"/>
      <c r="EK20090"/>
    </row>
    <row r="20091" spans="1:141" s="116" customFormat="1">
      <c r="A20091" s="136"/>
      <c r="CM20091" s="111"/>
      <c r="CQ20091" s="111"/>
      <c r="EF20091"/>
      <c r="EG20091"/>
      <c r="EH20091"/>
      <c r="EI20091"/>
      <c r="EJ20091"/>
      <c r="EK20091"/>
    </row>
    <row r="20092" spans="1:141" s="116" customFormat="1">
      <c r="A20092" s="136"/>
      <c r="CM20092" s="111"/>
      <c r="CQ20092" s="111"/>
      <c r="EF20092"/>
      <c r="EG20092"/>
      <c r="EH20092"/>
      <c r="EI20092"/>
      <c r="EJ20092"/>
      <c r="EK20092"/>
    </row>
    <row r="20093" spans="1:141" s="116" customFormat="1">
      <c r="A20093" s="136"/>
      <c r="CM20093" s="111"/>
      <c r="CQ20093" s="111"/>
      <c r="EF20093"/>
      <c r="EG20093"/>
      <c r="EH20093"/>
      <c r="EI20093"/>
      <c r="EJ20093"/>
      <c r="EK20093"/>
    </row>
    <row r="20094" spans="1:141" s="116" customFormat="1">
      <c r="A20094" s="136"/>
      <c r="CM20094" s="111"/>
      <c r="CQ20094" s="111"/>
      <c r="EF20094"/>
      <c r="EG20094"/>
      <c r="EH20094"/>
      <c r="EI20094"/>
      <c r="EJ20094"/>
      <c r="EK20094"/>
    </row>
    <row r="20095" spans="1:141" s="116" customFormat="1">
      <c r="A20095" s="136"/>
      <c r="CM20095" s="111"/>
      <c r="CQ20095" s="111"/>
      <c r="EF20095"/>
      <c r="EG20095"/>
      <c r="EH20095"/>
      <c r="EI20095"/>
      <c r="EJ20095"/>
      <c r="EK20095"/>
    </row>
    <row r="20096" spans="1:141" s="116" customFormat="1">
      <c r="A20096" s="136"/>
      <c r="CM20096" s="111"/>
      <c r="CQ20096" s="111"/>
      <c r="EF20096"/>
      <c r="EG20096"/>
      <c r="EH20096"/>
      <c r="EI20096"/>
      <c r="EJ20096"/>
      <c r="EK20096"/>
    </row>
    <row r="20097" spans="1:141" s="116" customFormat="1">
      <c r="A20097" s="136"/>
      <c r="CM20097" s="111"/>
      <c r="CQ20097" s="111"/>
      <c r="EF20097"/>
      <c r="EG20097"/>
      <c r="EH20097"/>
      <c r="EI20097"/>
      <c r="EJ20097"/>
      <c r="EK20097"/>
    </row>
    <row r="20098" spans="1:141" s="116" customFormat="1">
      <c r="A20098" s="136"/>
      <c r="CM20098" s="111"/>
      <c r="CQ20098" s="111"/>
      <c r="EF20098"/>
      <c r="EG20098"/>
      <c r="EH20098"/>
      <c r="EI20098"/>
      <c r="EJ20098"/>
      <c r="EK20098"/>
    </row>
    <row r="20099" spans="1:141" s="116" customFormat="1">
      <c r="A20099" s="136"/>
      <c r="CM20099" s="111"/>
      <c r="CQ20099" s="111"/>
      <c r="EF20099"/>
      <c r="EG20099"/>
      <c r="EH20099"/>
      <c r="EI20099"/>
      <c r="EJ20099"/>
      <c r="EK20099"/>
    </row>
    <row r="20100" spans="1:141" s="116" customFormat="1">
      <c r="A20100" s="136"/>
      <c r="CM20100" s="111"/>
      <c r="CQ20100" s="111"/>
      <c r="EF20100"/>
      <c r="EG20100"/>
      <c r="EH20100"/>
      <c r="EI20100"/>
      <c r="EJ20100"/>
      <c r="EK20100"/>
    </row>
    <row r="20101" spans="1:141" s="116" customFormat="1">
      <c r="A20101" s="136"/>
      <c r="CM20101" s="111"/>
      <c r="CQ20101" s="111"/>
      <c r="EF20101"/>
      <c r="EG20101"/>
      <c r="EH20101"/>
      <c r="EI20101"/>
      <c r="EJ20101"/>
      <c r="EK20101"/>
    </row>
    <row r="20102" spans="1:141" s="116" customFormat="1">
      <c r="A20102" s="136"/>
      <c r="CM20102" s="111"/>
      <c r="CQ20102" s="111"/>
      <c r="EF20102"/>
      <c r="EG20102"/>
      <c r="EH20102"/>
      <c r="EI20102"/>
      <c r="EJ20102"/>
      <c r="EK20102"/>
    </row>
    <row r="20103" spans="1:141" s="116" customFormat="1">
      <c r="A20103" s="136"/>
      <c r="CM20103" s="111"/>
      <c r="CQ20103" s="111"/>
      <c r="EF20103"/>
      <c r="EG20103"/>
      <c r="EH20103"/>
      <c r="EI20103"/>
      <c r="EJ20103"/>
      <c r="EK20103"/>
    </row>
    <row r="20104" spans="1:141" s="116" customFormat="1">
      <c r="A20104" s="136"/>
      <c r="CM20104" s="111"/>
      <c r="CQ20104" s="111"/>
      <c r="EF20104"/>
      <c r="EG20104"/>
      <c r="EH20104"/>
      <c r="EI20104"/>
      <c r="EJ20104"/>
      <c r="EK20104"/>
    </row>
    <row r="20105" spans="1:141" s="116" customFormat="1">
      <c r="A20105" s="136"/>
      <c r="CM20105" s="111"/>
      <c r="CQ20105" s="111"/>
      <c r="EF20105"/>
      <c r="EG20105"/>
      <c r="EH20105"/>
      <c r="EI20105"/>
      <c r="EJ20105"/>
      <c r="EK20105"/>
    </row>
    <row r="20106" spans="1:141" s="116" customFormat="1">
      <c r="A20106" s="136"/>
      <c r="CM20106" s="111"/>
      <c r="CQ20106" s="111"/>
      <c r="EF20106"/>
      <c r="EG20106"/>
      <c r="EH20106"/>
      <c r="EI20106"/>
      <c r="EJ20106"/>
      <c r="EK20106"/>
    </row>
    <row r="20107" spans="1:141" s="116" customFormat="1">
      <c r="A20107" s="136"/>
      <c r="CM20107" s="111"/>
      <c r="CQ20107" s="111"/>
      <c r="EF20107"/>
      <c r="EG20107"/>
      <c r="EH20107"/>
      <c r="EI20107"/>
      <c r="EJ20107"/>
      <c r="EK20107"/>
    </row>
    <row r="20108" spans="1:141" s="116" customFormat="1">
      <c r="A20108" s="136"/>
      <c r="CM20108" s="111"/>
      <c r="CQ20108" s="111"/>
      <c r="EF20108"/>
      <c r="EG20108"/>
      <c r="EH20108"/>
      <c r="EI20108"/>
      <c r="EJ20108"/>
      <c r="EK20108"/>
    </row>
    <row r="20109" spans="1:141" s="116" customFormat="1">
      <c r="A20109" s="136"/>
      <c r="CM20109" s="111"/>
      <c r="CQ20109" s="111"/>
      <c r="EF20109"/>
      <c r="EG20109"/>
      <c r="EH20109"/>
      <c r="EI20109"/>
      <c r="EJ20109"/>
      <c r="EK20109"/>
    </row>
    <row r="20110" spans="1:141" s="116" customFormat="1">
      <c r="A20110" s="136"/>
      <c r="CM20110" s="111"/>
      <c r="CQ20110" s="111"/>
      <c r="EF20110"/>
      <c r="EG20110"/>
      <c r="EH20110"/>
      <c r="EI20110"/>
      <c r="EJ20110"/>
      <c r="EK20110"/>
    </row>
    <row r="20111" spans="1:141" s="116" customFormat="1">
      <c r="A20111" s="136"/>
      <c r="CM20111" s="111"/>
      <c r="CQ20111" s="111"/>
      <c r="EF20111"/>
      <c r="EG20111"/>
      <c r="EH20111"/>
      <c r="EI20111"/>
      <c r="EJ20111"/>
      <c r="EK20111"/>
    </row>
    <row r="20112" spans="1:141" s="116" customFormat="1">
      <c r="A20112" s="136"/>
      <c r="CM20112" s="111"/>
      <c r="CQ20112" s="111"/>
      <c r="EF20112"/>
      <c r="EG20112"/>
      <c r="EH20112"/>
      <c r="EI20112"/>
      <c r="EJ20112"/>
      <c r="EK20112"/>
    </row>
    <row r="20113" spans="1:141" s="116" customFormat="1">
      <c r="A20113" s="136"/>
      <c r="CM20113" s="111"/>
      <c r="CQ20113" s="111"/>
      <c r="EF20113"/>
      <c r="EG20113"/>
      <c r="EH20113"/>
      <c r="EI20113"/>
      <c r="EJ20113"/>
      <c r="EK20113"/>
    </row>
    <row r="20114" spans="1:141" s="116" customFormat="1">
      <c r="A20114" s="136"/>
      <c r="CM20114" s="111"/>
      <c r="CQ20114" s="111"/>
      <c r="EF20114"/>
      <c r="EG20114"/>
      <c r="EH20114"/>
      <c r="EI20114"/>
      <c r="EJ20114"/>
      <c r="EK20114"/>
    </row>
    <row r="20115" spans="1:141" s="116" customFormat="1">
      <c r="A20115" s="136"/>
      <c r="CM20115" s="111"/>
      <c r="CQ20115" s="111"/>
      <c r="EF20115"/>
      <c r="EG20115"/>
      <c r="EH20115"/>
      <c r="EI20115"/>
      <c r="EJ20115"/>
      <c r="EK20115"/>
    </row>
    <row r="20116" spans="1:141" s="116" customFormat="1">
      <c r="A20116" s="136"/>
      <c r="CM20116" s="111"/>
      <c r="CQ20116" s="111"/>
      <c r="EF20116"/>
      <c r="EG20116"/>
      <c r="EH20116"/>
      <c r="EI20116"/>
      <c r="EJ20116"/>
      <c r="EK20116"/>
    </row>
    <row r="20117" spans="1:141" s="116" customFormat="1">
      <c r="A20117" s="136"/>
      <c r="CM20117" s="111"/>
      <c r="CQ20117" s="111"/>
      <c r="EF20117"/>
      <c r="EG20117"/>
      <c r="EH20117"/>
      <c r="EI20117"/>
      <c r="EJ20117"/>
      <c r="EK20117"/>
    </row>
    <row r="20118" spans="1:141" s="116" customFormat="1">
      <c r="A20118" s="136"/>
      <c r="CM20118" s="111"/>
      <c r="CQ20118" s="111"/>
      <c r="EF20118"/>
      <c r="EG20118"/>
      <c r="EH20118"/>
      <c r="EI20118"/>
      <c r="EJ20118"/>
      <c r="EK20118"/>
    </row>
    <row r="20119" spans="1:141" s="116" customFormat="1">
      <c r="A20119" s="136"/>
      <c r="CM20119" s="111"/>
      <c r="CQ20119" s="111"/>
      <c r="EF20119"/>
      <c r="EG20119"/>
      <c r="EH20119"/>
      <c r="EI20119"/>
      <c r="EJ20119"/>
      <c r="EK20119"/>
    </row>
    <row r="20120" spans="1:141" s="116" customFormat="1">
      <c r="A20120" s="136"/>
      <c r="CM20120" s="111"/>
      <c r="CQ20120" s="111"/>
      <c r="EF20120"/>
      <c r="EG20120"/>
      <c r="EH20120"/>
      <c r="EI20120"/>
      <c r="EJ20120"/>
      <c r="EK20120"/>
    </row>
    <row r="20121" spans="1:141" s="116" customFormat="1">
      <c r="A20121" s="136"/>
      <c r="CM20121" s="111"/>
      <c r="CQ20121" s="111"/>
      <c r="EF20121"/>
      <c r="EG20121"/>
      <c r="EH20121"/>
      <c r="EI20121"/>
      <c r="EJ20121"/>
      <c r="EK20121"/>
    </row>
    <row r="20122" spans="1:141" s="116" customFormat="1">
      <c r="A20122" s="136"/>
      <c r="CM20122" s="111"/>
      <c r="CQ20122" s="111"/>
      <c r="EF20122"/>
      <c r="EG20122"/>
      <c r="EH20122"/>
      <c r="EI20122"/>
      <c r="EJ20122"/>
      <c r="EK20122"/>
    </row>
    <row r="20123" spans="1:141" s="116" customFormat="1">
      <c r="A20123" s="136"/>
      <c r="CM20123" s="111"/>
      <c r="CQ20123" s="111"/>
      <c r="EF20123"/>
      <c r="EG20123"/>
      <c r="EH20123"/>
      <c r="EI20123"/>
      <c r="EJ20123"/>
      <c r="EK20123"/>
    </row>
    <row r="20124" spans="1:141" s="116" customFormat="1">
      <c r="A20124" s="136"/>
      <c r="CM20124" s="111"/>
      <c r="CQ20124" s="111"/>
      <c r="EF20124"/>
      <c r="EG20124"/>
      <c r="EH20124"/>
      <c r="EI20124"/>
      <c r="EJ20124"/>
      <c r="EK20124"/>
    </row>
    <row r="20125" spans="1:141" s="116" customFormat="1">
      <c r="A20125" s="136"/>
      <c r="CM20125" s="111"/>
      <c r="CQ20125" s="111"/>
      <c r="EF20125"/>
      <c r="EG20125"/>
      <c r="EH20125"/>
      <c r="EI20125"/>
      <c r="EJ20125"/>
      <c r="EK20125"/>
    </row>
    <row r="20126" spans="1:141" s="116" customFormat="1">
      <c r="A20126" s="136"/>
      <c r="CM20126" s="111"/>
      <c r="CQ20126" s="111"/>
      <c r="EF20126"/>
      <c r="EG20126"/>
      <c r="EH20126"/>
      <c r="EI20126"/>
      <c r="EJ20126"/>
      <c r="EK20126"/>
    </row>
    <row r="20127" spans="1:141" s="116" customFormat="1">
      <c r="A20127" s="136"/>
      <c r="CM20127" s="111"/>
      <c r="CQ20127" s="111"/>
      <c r="EF20127"/>
      <c r="EG20127"/>
      <c r="EH20127"/>
      <c r="EI20127"/>
      <c r="EJ20127"/>
      <c r="EK20127"/>
    </row>
    <row r="20128" spans="1:141" s="116" customFormat="1">
      <c r="A20128" s="136"/>
      <c r="CM20128" s="111"/>
      <c r="CQ20128" s="111"/>
      <c r="EF20128"/>
      <c r="EG20128"/>
      <c r="EH20128"/>
      <c r="EI20128"/>
      <c r="EJ20128"/>
      <c r="EK20128"/>
    </row>
    <row r="20129" spans="1:141" s="116" customFormat="1">
      <c r="A20129" s="136"/>
      <c r="CM20129" s="111"/>
      <c r="CQ20129" s="111"/>
      <c r="EF20129"/>
      <c r="EG20129"/>
      <c r="EH20129"/>
      <c r="EI20129"/>
      <c r="EJ20129"/>
      <c r="EK20129"/>
    </row>
    <row r="20130" spans="1:141" s="116" customFormat="1">
      <c r="A20130" s="136"/>
      <c r="CM20130" s="111"/>
      <c r="CQ20130" s="111"/>
      <c r="EF20130"/>
      <c r="EG20130"/>
      <c r="EH20130"/>
      <c r="EI20130"/>
      <c r="EJ20130"/>
      <c r="EK20130"/>
    </row>
    <row r="20131" spans="1:141" s="116" customFormat="1">
      <c r="A20131" s="136"/>
      <c r="CM20131" s="111"/>
      <c r="CQ20131" s="111"/>
      <c r="EF20131"/>
      <c r="EG20131"/>
      <c r="EH20131"/>
      <c r="EI20131"/>
      <c r="EJ20131"/>
      <c r="EK20131"/>
    </row>
    <row r="20132" spans="1:141" s="116" customFormat="1">
      <c r="A20132" s="136"/>
      <c r="CM20132" s="111"/>
      <c r="CQ20132" s="111"/>
      <c r="EF20132"/>
      <c r="EG20132"/>
      <c r="EH20132"/>
      <c r="EI20132"/>
      <c r="EJ20132"/>
      <c r="EK20132"/>
    </row>
    <row r="20133" spans="1:141" s="116" customFormat="1">
      <c r="A20133" s="136"/>
      <c r="CM20133" s="111"/>
      <c r="CQ20133" s="111"/>
      <c r="EF20133"/>
      <c r="EG20133"/>
      <c r="EH20133"/>
      <c r="EI20133"/>
      <c r="EJ20133"/>
      <c r="EK20133"/>
    </row>
    <row r="20134" spans="1:141" s="116" customFormat="1">
      <c r="A20134" s="136"/>
      <c r="CM20134" s="111"/>
      <c r="CQ20134" s="111"/>
      <c r="EF20134"/>
      <c r="EG20134"/>
      <c r="EH20134"/>
      <c r="EI20134"/>
      <c r="EJ20134"/>
      <c r="EK20134"/>
    </row>
    <row r="20135" spans="1:141" s="116" customFormat="1">
      <c r="A20135" s="136"/>
      <c r="CM20135" s="111"/>
      <c r="CQ20135" s="111"/>
      <c r="EF20135"/>
      <c r="EG20135"/>
      <c r="EH20135"/>
      <c r="EI20135"/>
      <c r="EJ20135"/>
      <c r="EK20135"/>
    </row>
    <row r="20136" spans="1:141" s="116" customFormat="1">
      <c r="A20136" s="136"/>
      <c r="CM20136" s="111"/>
      <c r="CQ20136" s="111"/>
      <c r="EF20136"/>
      <c r="EG20136"/>
      <c r="EH20136"/>
      <c r="EI20136"/>
      <c r="EJ20136"/>
      <c r="EK20136"/>
    </row>
    <row r="20137" spans="1:141" s="116" customFormat="1">
      <c r="A20137" s="136"/>
      <c r="CM20137" s="111"/>
      <c r="CQ20137" s="111"/>
      <c r="EF20137"/>
      <c r="EG20137"/>
      <c r="EH20137"/>
      <c r="EI20137"/>
      <c r="EJ20137"/>
      <c r="EK20137"/>
    </row>
    <row r="20138" spans="1:141" s="116" customFormat="1">
      <c r="A20138" s="136"/>
      <c r="CM20138" s="111"/>
      <c r="CQ20138" s="111"/>
      <c r="EF20138"/>
      <c r="EG20138"/>
      <c r="EH20138"/>
      <c r="EI20138"/>
      <c r="EJ20138"/>
      <c r="EK20138"/>
    </row>
    <row r="20139" spans="1:141" s="116" customFormat="1">
      <c r="A20139" s="136"/>
      <c r="CM20139" s="111"/>
      <c r="CQ20139" s="111"/>
      <c r="EF20139"/>
      <c r="EG20139"/>
      <c r="EH20139"/>
      <c r="EI20139"/>
      <c r="EJ20139"/>
      <c r="EK20139"/>
    </row>
    <row r="20140" spans="1:141" s="116" customFormat="1">
      <c r="A20140" s="136"/>
      <c r="CM20140" s="111"/>
      <c r="CQ20140" s="111"/>
      <c r="EF20140"/>
      <c r="EG20140"/>
      <c r="EH20140"/>
      <c r="EI20140"/>
      <c r="EJ20140"/>
      <c r="EK20140"/>
    </row>
    <row r="20141" spans="1:141" s="116" customFormat="1">
      <c r="A20141" s="136"/>
      <c r="CM20141" s="111"/>
      <c r="CQ20141" s="111"/>
      <c r="EF20141"/>
      <c r="EG20141"/>
      <c r="EH20141"/>
      <c r="EI20141"/>
      <c r="EJ20141"/>
      <c r="EK20141"/>
    </row>
    <row r="20142" spans="1:141" s="116" customFormat="1">
      <c r="A20142" s="136"/>
      <c r="CM20142" s="111"/>
      <c r="CQ20142" s="111"/>
      <c r="EF20142"/>
      <c r="EG20142"/>
      <c r="EH20142"/>
      <c r="EI20142"/>
      <c r="EJ20142"/>
      <c r="EK20142"/>
    </row>
    <row r="20143" spans="1:141" s="116" customFormat="1">
      <c r="A20143" s="136"/>
      <c r="CM20143" s="111"/>
      <c r="CQ20143" s="111"/>
      <c r="EF20143"/>
      <c r="EG20143"/>
      <c r="EH20143"/>
      <c r="EI20143"/>
      <c r="EJ20143"/>
      <c r="EK20143"/>
    </row>
    <row r="20144" spans="1:141" s="116" customFormat="1">
      <c r="A20144" s="136"/>
      <c r="CM20144" s="111"/>
      <c r="CQ20144" s="111"/>
      <c r="EF20144"/>
      <c r="EG20144"/>
      <c r="EH20144"/>
      <c r="EI20144"/>
      <c r="EJ20144"/>
      <c r="EK20144"/>
    </row>
    <row r="20145" spans="1:141" s="116" customFormat="1">
      <c r="A20145" s="136"/>
      <c r="CM20145" s="111"/>
      <c r="CQ20145" s="111"/>
      <c r="EF20145"/>
      <c r="EG20145"/>
      <c r="EH20145"/>
      <c r="EI20145"/>
      <c r="EJ20145"/>
      <c r="EK20145"/>
    </row>
    <row r="20146" spans="1:141" s="116" customFormat="1">
      <c r="A20146" s="136"/>
      <c r="CM20146" s="111"/>
      <c r="CQ20146" s="111"/>
      <c r="EF20146"/>
      <c r="EG20146"/>
      <c r="EH20146"/>
      <c r="EI20146"/>
      <c r="EJ20146"/>
      <c r="EK20146"/>
    </row>
    <row r="20147" spans="1:141" s="116" customFormat="1">
      <c r="A20147" s="136"/>
      <c r="CM20147" s="111"/>
      <c r="CQ20147" s="111"/>
      <c r="EF20147"/>
      <c r="EG20147"/>
      <c r="EH20147"/>
      <c r="EI20147"/>
      <c r="EJ20147"/>
      <c r="EK20147"/>
    </row>
    <row r="20148" spans="1:141" s="116" customFormat="1">
      <c r="A20148" s="136"/>
      <c r="CM20148" s="111"/>
      <c r="CQ20148" s="111"/>
      <c r="EF20148"/>
      <c r="EG20148"/>
      <c r="EH20148"/>
      <c r="EI20148"/>
      <c r="EJ20148"/>
      <c r="EK20148"/>
    </row>
    <row r="20149" spans="1:141" s="116" customFormat="1">
      <c r="A20149" s="136"/>
      <c r="CM20149" s="111"/>
      <c r="CQ20149" s="111"/>
      <c r="EF20149"/>
      <c r="EG20149"/>
      <c r="EH20149"/>
      <c r="EI20149"/>
      <c r="EJ20149"/>
      <c r="EK20149"/>
    </row>
    <row r="20150" spans="1:141" s="116" customFormat="1">
      <c r="A20150" s="136"/>
      <c r="CM20150" s="111"/>
      <c r="CQ20150" s="111"/>
      <c r="EF20150"/>
      <c r="EG20150"/>
      <c r="EH20150"/>
      <c r="EI20150"/>
      <c r="EJ20150"/>
      <c r="EK20150"/>
    </row>
    <row r="20151" spans="1:141" s="116" customFormat="1">
      <c r="A20151" s="136"/>
      <c r="CM20151" s="111"/>
      <c r="CQ20151" s="111"/>
      <c r="EF20151"/>
      <c r="EG20151"/>
      <c r="EH20151"/>
      <c r="EI20151"/>
      <c r="EJ20151"/>
      <c r="EK20151"/>
    </row>
    <row r="20152" spans="1:141" s="116" customFormat="1">
      <c r="A20152" s="136"/>
      <c r="CM20152" s="111"/>
      <c r="CQ20152" s="111"/>
      <c r="EF20152"/>
      <c r="EG20152"/>
      <c r="EH20152"/>
      <c r="EI20152"/>
      <c r="EJ20152"/>
      <c r="EK20152"/>
    </row>
    <row r="20153" spans="1:141" s="116" customFormat="1">
      <c r="A20153" s="136"/>
      <c r="CM20153" s="111"/>
      <c r="CQ20153" s="111"/>
      <c r="EF20153"/>
      <c r="EG20153"/>
      <c r="EH20153"/>
      <c r="EI20153"/>
      <c r="EJ20153"/>
      <c r="EK20153"/>
    </row>
    <row r="20154" spans="1:141" s="116" customFormat="1">
      <c r="A20154" s="136"/>
      <c r="CM20154" s="111"/>
      <c r="CQ20154" s="111"/>
      <c r="EF20154"/>
      <c r="EG20154"/>
      <c r="EH20154"/>
      <c r="EI20154"/>
      <c r="EJ20154"/>
      <c r="EK20154"/>
    </row>
    <row r="20155" spans="1:141" s="116" customFormat="1">
      <c r="A20155" s="136"/>
      <c r="CM20155" s="111"/>
      <c r="CQ20155" s="111"/>
      <c r="EF20155"/>
      <c r="EG20155"/>
      <c r="EH20155"/>
      <c r="EI20155"/>
      <c r="EJ20155"/>
      <c r="EK20155"/>
    </row>
    <row r="20156" spans="1:141" s="116" customFormat="1">
      <c r="A20156" s="136"/>
      <c r="CM20156" s="111"/>
      <c r="CQ20156" s="111"/>
      <c r="EF20156"/>
      <c r="EG20156"/>
      <c r="EH20156"/>
      <c r="EI20156"/>
      <c r="EJ20156"/>
      <c r="EK20156"/>
    </row>
    <row r="20157" spans="1:141" s="116" customFormat="1">
      <c r="A20157" s="136"/>
      <c r="CM20157" s="111"/>
      <c r="CQ20157" s="111"/>
      <c r="EF20157"/>
      <c r="EG20157"/>
      <c r="EH20157"/>
      <c r="EI20157"/>
      <c r="EJ20157"/>
      <c r="EK20157"/>
    </row>
    <row r="20158" spans="1:141" s="116" customFormat="1">
      <c r="A20158" s="136"/>
      <c r="CM20158" s="111"/>
      <c r="CQ20158" s="111"/>
      <c r="EF20158"/>
      <c r="EG20158"/>
      <c r="EH20158"/>
      <c r="EI20158"/>
      <c r="EJ20158"/>
      <c r="EK20158"/>
    </row>
    <row r="20159" spans="1:141" s="116" customFormat="1">
      <c r="A20159" s="136"/>
      <c r="CM20159" s="111"/>
      <c r="CQ20159" s="111"/>
      <c r="EF20159"/>
      <c r="EG20159"/>
      <c r="EH20159"/>
      <c r="EI20159"/>
      <c r="EJ20159"/>
      <c r="EK20159"/>
    </row>
    <row r="20160" spans="1:141" s="116" customFormat="1">
      <c r="A20160" s="136"/>
      <c r="CM20160" s="111"/>
      <c r="CQ20160" s="111"/>
      <c r="EF20160"/>
      <c r="EG20160"/>
      <c r="EH20160"/>
      <c r="EI20160"/>
      <c r="EJ20160"/>
      <c r="EK20160"/>
    </row>
    <row r="20161" spans="1:141" s="116" customFormat="1">
      <c r="A20161" s="136"/>
      <c r="CM20161" s="111"/>
      <c r="CQ20161" s="111"/>
      <c r="EF20161"/>
      <c r="EG20161"/>
      <c r="EH20161"/>
      <c r="EI20161"/>
      <c r="EJ20161"/>
      <c r="EK20161"/>
    </row>
    <row r="20162" spans="1:141" s="116" customFormat="1">
      <c r="A20162" s="136"/>
      <c r="CM20162" s="111"/>
      <c r="CQ20162" s="111"/>
      <c r="EF20162"/>
      <c r="EG20162"/>
      <c r="EH20162"/>
      <c r="EI20162"/>
      <c r="EJ20162"/>
      <c r="EK20162"/>
    </row>
    <row r="20163" spans="1:141" s="116" customFormat="1">
      <c r="A20163" s="136"/>
      <c r="CM20163" s="111"/>
      <c r="CQ20163" s="111"/>
      <c r="EF20163"/>
      <c r="EG20163"/>
      <c r="EH20163"/>
      <c r="EI20163"/>
      <c r="EJ20163"/>
      <c r="EK20163"/>
    </row>
    <row r="20164" spans="1:141" s="116" customFormat="1">
      <c r="A20164" s="136"/>
      <c r="CM20164" s="111"/>
      <c r="CQ20164" s="111"/>
      <c r="EF20164"/>
      <c r="EG20164"/>
      <c r="EH20164"/>
      <c r="EI20164"/>
      <c r="EJ20164"/>
      <c r="EK20164"/>
    </row>
    <row r="20165" spans="1:141" s="116" customFormat="1">
      <c r="A20165" s="136"/>
      <c r="CM20165" s="111"/>
      <c r="CQ20165" s="111"/>
      <c r="EF20165"/>
      <c r="EG20165"/>
      <c r="EH20165"/>
      <c r="EI20165"/>
      <c r="EJ20165"/>
      <c r="EK20165"/>
    </row>
    <row r="20166" spans="1:141" s="116" customFormat="1">
      <c r="A20166" s="136"/>
      <c r="CM20166" s="111"/>
      <c r="CQ20166" s="111"/>
      <c r="EF20166"/>
      <c r="EG20166"/>
      <c r="EH20166"/>
      <c r="EI20166"/>
      <c r="EJ20166"/>
      <c r="EK20166"/>
    </row>
    <row r="20167" spans="1:141" s="116" customFormat="1">
      <c r="A20167" s="136"/>
      <c r="CM20167" s="111"/>
      <c r="CQ20167" s="111"/>
      <c r="EF20167"/>
      <c r="EG20167"/>
      <c r="EH20167"/>
      <c r="EI20167"/>
      <c r="EJ20167"/>
      <c r="EK20167"/>
    </row>
    <row r="20168" spans="1:141" s="116" customFormat="1">
      <c r="A20168" s="136"/>
      <c r="CM20168" s="111"/>
      <c r="CQ20168" s="111"/>
      <c r="EF20168"/>
      <c r="EG20168"/>
      <c r="EH20168"/>
      <c r="EI20168"/>
      <c r="EJ20168"/>
      <c r="EK20168"/>
    </row>
    <row r="20169" spans="1:141" s="116" customFormat="1">
      <c r="A20169" s="136"/>
      <c r="CM20169" s="111"/>
      <c r="CQ20169" s="111"/>
      <c r="EF20169"/>
      <c r="EG20169"/>
      <c r="EH20169"/>
      <c r="EI20169"/>
      <c r="EJ20169"/>
      <c r="EK20169"/>
    </row>
    <row r="20170" spans="1:141" s="116" customFormat="1">
      <c r="A20170" s="136"/>
      <c r="CM20170" s="111"/>
      <c r="CQ20170" s="111"/>
      <c r="EF20170"/>
      <c r="EG20170"/>
      <c r="EH20170"/>
      <c r="EI20170"/>
      <c r="EJ20170"/>
      <c r="EK20170"/>
    </row>
    <row r="20171" spans="1:141" s="116" customFormat="1">
      <c r="A20171" s="136"/>
      <c r="CM20171" s="111"/>
      <c r="CQ20171" s="111"/>
      <c r="EF20171"/>
      <c r="EG20171"/>
      <c r="EH20171"/>
      <c r="EI20171"/>
      <c r="EJ20171"/>
      <c r="EK20171"/>
    </row>
    <row r="20172" spans="1:141" s="116" customFormat="1">
      <c r="A20172" s="136"/>
      <c r="CM20172" s="111"/>
      <c r="CQ20172" s="111"/>
      <c r="EF20172"/>
      <c r="EG20172"/>
      <c r="EH20172"/>
      <c r="EI20172"/>
      <c r="EJ20172"/>
      <c r="EK20172"/>
    </row>
    <row r="20173" spans="1:141" s="116" customFormat="1">
      <c r="A20173" s="136"/>
      <c r="CM20173" s="111"/>
      <c r="CQ20173" s="111"/>
      <c r="EF20173"/>
      <c r="EG20173"/>
      <c r="EH20173"/>
      <c r="EI20173"/>
      <c r="EJ20173"/>
      <c r="EK20173"/>
    </row>
    <row r="20174" spans="1:141" s="116" customFormat="1">
      <c r="A20174" s="136"/>
      <c r="CM20174" s="111"/>
      <c r="CQ20174" s="111"/>
      <c r="EF20174"/>
      <c r="EG20174"/>
      <c r="EH20174"/>
      <c r="EI20174"/>
      <c r="EJ20174"/>
      <c r="EK20174"/>
    </row>
    <row r="20175" spans="1:141" s="116" customFormat="1">
      <c r="A20175" s="136"/>
      <c r="CM20175" s="111"/>
      <c r="CQ20175" s="111"/>
      <c r="EF20175"/>
      <c r="EG20175"/>
      <c r="EH20175"/>
      <c r="EI20175"/>
      <c r="EJ20175"/>
      <c r="EK20175"/>
    </row>
    <row r="20176" spans="1:141" s="116" customFormat="1">
      <c r="A20176" s="136"/>
      <c r="CM20176" s="111"/>
      <c r="CQ20176" s="111"/>
      <c r="EF20176"/>
      <c r="EG20176"/>
      <c r="EH20176"/>
      <c r="EI20176"/>
      <c r="EJ20176"/>
      <c r="EK20176"/>
    </row>
    <row r="20177" spans="1:141" s="116" customFormat="1">
      <c r="A20177" s="136"/>
      <c r="CM20177" s="111"/>
      <c r="CQ20177" s="111"/>
      <c r="EF20177"/>
      <c r="EG20177"/>
      <c r="EH20177"/>
      <c r="EI20177"/>
      <c r="EJ20177"/>
      <c r="EK20177"/>
    </row>
    <row r="20178" spans="1:141" s="116" customFormat="1">
      <c r="A20178" s="136"/>
      <c r="CM20178" s="111"/>
      <c r="CQ20178" s="111"/>
      <c r="EF20178"/>
      <c r="EG20178"/>
      <c r="EH20178"/>
      <c r="EI20178"/>
      <c r="EJ20178"/>
      <c r="EK20178"/>
    </row>
    <row r="20179" spans="1:141" s="116" customFormat="1">
      <c r="A20179" s="136"/>
      <c r="CM20179" s="111"/>
      <c r="CQ20179" s="111"/>
      <c r="EF20179"/>
      <c r="EG20179"/>
      <c r="EH20179"/>
      <c r="EI20179"/>
      <c r="EJ20179"/>
      <c r="EK20179"/>
    </row>
    <row r="20180" spans="1:141" s="116" customFormat="1">
      <c r="A20180" s="136"/>
      <c r="CM20180" s="111"/>
      <c r="CQ20180" s="111"/>
      <c r="EF20180"/>
      <c r="EG20180"/>
      <c r="EH20180"/>
      <c r="EI20180"/>
      <c r="EJ20180"/>
      <c r="EK20180"/>
    </row>
    <row r="20181" spans="1:141" s="116" customFormat="1">
      <c r="A20181" s="136"/>
      <c r="CM20181" s="111"/>
      <c r="CQ20181" s="111"/>
      <c r="EF20181"/>
      <c r="EG20181"/>
      <c r="EH20181"/>
      <c r="EI20181"/>
      <c r="EJ20181"/>
      <c r="EK20181"/>
    </row>
    <row r="20182" spans="1:141" s="116" customFormat="1">
      <c r="A20182" s="136"/>
      <c r="CM20182" s="111"/>
      <c r="CQ20182" s="111"/>
      <c r="EF20182"/>
      <c r="EG20182"/>
      <c r="EH20182"/>
      <c r="EI20182"/>
      <c r="EJ20182"/>
      <c r="EK20182"/>
    </row>
    <row r="20183" spans="1:141" s="116" customFormat="1">
      <c r="A20183" s="136"/>
      <c r="CM20183" s="111"/>
      <c r="CQ20183" s="111"/>
      <c r="EF20183"/>
      <c r="EG20183"/>
      <c r="EH20183"/>
      <c r="EI20183"/>
      <c r="EJ20183"/>
      <c r="EK20183"/>
    </row>
    <row r="20184" spans="1:141" s="116" customFormat="1">
      <c r="A20184" s="136"/>
      <c r="CM20184" s="111"/>
      <c r="CQ20184" s="111"/>
      <c r="EF20184"/>
      <c r="EG20184"/>
      <c r="EH20184"/>
      <c r="EI20184"/>
      <c r="EJ20184"/>
      <c r="EK20184"/>
    </row>
    <row r="20185" spans="1:141" s="116" customFormat="1">
      <c r="A20185" s="136"/>
      <c r="CM20185" s="111"/>
      <c r="CQ20185" s="111"/>
      <c r="EF20185"/>
      <c r="EG20185"/>
      <c r="EH20185"/>
      <c r="EI20185"/>
      <c r="EJ20185"/>
      <c r="EK20185"/>
    </row>
    <row r="20186" spans="1:141" s="116" customFormat="1">
      <c r="A20186" s="136"/>
      <c r="CM20186" s="111"/>
      <c r="CQ20186" s="111"/>
      <c r="EF20186"/>
      <c r="EG20186"/>
      <c r="EH20186"/>
      <c r="EI20186"/>
      <c r="EJ20186"/>
      <c r="EK20186"/>
    </row>
    <row r="20187" spans="1:141" s="116" customFormat="1">
      <c r="A20187" s="136"/>
      <c r="CM20187" s="111"/>
      <c r="CQ20187" s="111"/>
      <c r="EF20187"/>
      <c r="EG20187"/>
      <c r="EH20187"/>
      <c r="EI20187"/>
      <c r="EJ20187"/>
      <c r="EK20187"/>
    </row>
    <row r="20188" spans="1:141" s="116" customFormat="1">
      <c r="A20188" s="136"/>
      <c r="CM20188" s="111"/>
      <c r="CQ20188" s="111"/>
      <c r="EF20188"/>
      <c r="EG20188"/>
      <c r="EH20188"/>
      <c r="EI20188"/>
      <c r="EJ20188"/>
      <c r="EK20188"/>
    </row>
    <row r="20189" spans="1:141" s="116" customFormat="1">
      <c r="A20189" s="136"/>
      <c r="CM20189" s="111"/>
      <c r="CQ20189" s="111"/>
      <c r="EF20189"/>
      <c r="EG20189"/>
      <c r="EH20189"/>
      <c r="EI20189"/>
      <c r="EJ20189"/>
      <c r="EK20189"/>
    </row>
    <row r="20190" spans="1:141" s="116" customFormat="1">
      <c r="A20190" s="136"/>
      <c r="CM20190" s="111"/>
      <c r="CQ20190" s="111"/>
      <c r="EF20190"/>
      <c r="EG20190"/>
      <c r="EH20190"/>
      <c r="EI20190"/>
      <c r="EJ20190"/>
      <c r="EK20190"/>
    </row>
    <row r="20191" spans="1:141" s="116" customFormat="1">
      <c r="A20191" s="136"/>
      <c r="CM20191" s="111"/>
      <c r="CQ20191" s="111"/>
      <c r="EF20191"/>
      <c r="EG20191"/>
      <c r="EH20191"/>
      <c r="EI20191"/>
      <c r="EJ20191"/>
      <c r="EK20191"/>
    </row>
    <row r="20192" spans="1:141" s="116" customFormat="1">
      <c r="A20192" s="136"/>
      <c r="CM20192" s="111"/>
      <c r="CQ20192" s="111"/>
      <c r="EF20192"/>
      <c r="EG20192"/>
      <c r="EH20192"/>
      <c r="EI20192"/>
      <c r="EJ20192"/>
      <c r="EK20192"/>
    </row>
    <row r="20193" spans="1:141" s="116" customFormat="1">
      <c r="A20193" s="136"/>
      <c r="CM20193" s="111"/>
      <c r="CQ20193" s="111"/>
      <c r="EF20193"/>
      <c r="EG20193"/>
      <c r="EH20193"/>
      <c r="EI20193"/>
      <c r="EJ20193"/>
      <c r="EK20193"/>
    </row>
    <row r="20194" spans="1:141" s="116" customFormat="1">
      <c r="A20194" s="136"/>
      <c r="CM20194" s="111"/>
      <c r="CQ20194" s="111"/>
      <c r="EF20194"/>
      <c r="EG20194"/>
      <c r="EH20194"/>
      <c r="EI20194"/>
      <c r="EJ20194"/>
      <c r="EK20194"/>
    </row>
    <row r="20195" spans="1:141" s="116" customFormat="1">
      <c r="A20195" s="136"/>
      <c r="CM20195" s="111"/>
      <c r="CQ20195" s="111"/>
      <c r="EF20195"/>
      <c r="EG20195"/>
      <c r="EH20195"/>
      <c r="EI20195"/>
      <c r="EJ20195"/>
      <c r="EK20195"/>
    </row>
    <row r="20196" spans="1:141" s="116" customFormat="1">
      <c r="A20196" s="136"/>
      <c r="CM20196" s="111"/>
      <c r="CQ20196" s="111"/>
      <c r="EF20196"/>
      <c r="EG20196"/>
      <c r="EH20196"/>
      <c r="EI20196"/>
      <c r="EJ20196"/>
      <c r="EK20196"/>
    </row>
    <row r="20197" spans="1:141" s="116" customFormat="1">
      <c r="A20197" s="136"/>
      <c r="CM20197" s="111"/>
      <c r="CQ20197" s="111"/>
      <c r="EF20197"/>
      <c r="EG20197"/>
      <c r="EH20197"/>
      <c r="EI20197"/>
      <c r="EJ20197"/>
      <c r="EK20197"/>
    </row>
    <row r="20198" spans="1:141" s="116" customFormat="1">
      <c r="A20198" s="136"/>
      <c r="CM20198" s="111"/>
      <c r="CQ20198" s="111"/>
      <c r="EF20198"/>
      <c r="EG20198"/>
      <c r="EH20198"/>
      <c r="EI20198"/>
      <c r="EJ20198"/>
      <c r="EK20198"/>
    </row>
    <row r="20199" spans="1:141" s="116" customFormat="1">
      <c r="A20199" s="136"/>
      <c r="CM20199" s="111"/>
      <c r="CQ20199" s="111"/>
      <c r="EF20199"/>
      <c r="EG20199"/>
      <c r="EH20199"/>
      <c r="EI20199"/>
      <c r="EJ20199"/>
      <c r="EK20199"/>
    </row>
    <row r="20200" spans="1:141" s="116" customFormat="1">
      <c r="A20200" s="136"/>
      <c r="CM20200" s="111"/>
      <c r="CQ20200" s="111"/>
      <c r="EF20200"/>
      <c r="EG20200"/>
      <c r="EH20200"/>
      <c r="EI20200"/>
      <c r="EJ20200"/>
      <c r="EK20200"/>
    </row>
    <row r="20201" spans="1:141" s="116" customFormat="1">
      <c r="A20201" s="136"/>
      <c r="CM20201" s="111"/>
      <c r="CQ20201" s="111"/>
      <c r="EF20201"/>
      <c r="EG20201"/>
      <c r="EH20201"/>
      <c r="EI20201"/>
      <c r="EJ20201"/>
      <c r="EK20201"/>
    </row>
    <row r="20202" spans="1:141" s="116" customFormat="1">
      <c r="A20202" s="136"/>
      <c r="CM20202" s="111"/>
      <c r="CQ20202" s="111"/>
      <c r="EF20202"/>
      <c r="EG20202"/>
      <c r="EH20202"/>
      <c r="EI20202"/>
      <c r="EJ20202"/>
      <c r="EK20202"/>
    </row>
    <row r="20203" spans="1:141" s="116" customFormat="1">
      <c r="A20203" s="136"/>
      <c r="CM20203" s="111"/>
      <c r="CQ20203" s="111"/>
      <c r="EF20203"/>
      <c r="EG20203"/>
      <c r="EH20203"/>
      <c r="EI20203"/>
      <c r="EJ20203"/>
      <c r="EK20203"/>
    </row>
    <row r="20204" spans="1:141" s="116" customFormat="1">
      <c r="A20204" s="136"/>
      <c r="CM20204" s="111"/>
      <c r="CQ20204" s="111"/>
      <c r="EF20204"/>
      <c r="EG20204"/>
      <c r="EH20204"/>
      <c r="EI20204"/>
      <c r="EJ20204"/>
      <c r="EK20204"/>
    </row>
    <row r="20205" spans="1:141" s="116" customFormat="1">
      <c r="A20205" s="136"/>
      <c r="CM20205" s="111"/>
      <c r="CQ20205" s="111"/>
      <c r="EF20205"/>
      <c r="EG20205"/>
      <c r="EH20205"/>
      <c r="EI20205"/>
      <c r="EJ20205"/>
      <c r="EK20205"/>
    </row>
    <row r="20206" spans="1:141" s="116" customFormat="1">
      <c r="A20206" s="136"/>
      <c r="CM20206" s="111"/>
      <c r="CQ20206" s="111"/>
      <c r="EF20206"/>
      <c r="EG20206"/>
      <c r="EH20206"/>
      <c r="EI20206"/>
      <c r="EJ20206"/>
      <c r="EK20206"/>
    </row>
    <row r="20207" spans="1:141" s="116" customFormat="1">
      <c r="A20207" s="136"/>
      <c r="CM20207" s="111"/>
      <c r="CQ20207" s="111"/>
      <c r="EF20207"/>
      <c r="EG20207"/>
      <c r="EH20207"/>
      <c r="EI20207"/>
      <c r="EJ20207"/>
      <c r="EK20207"/>
    </row>
    <row r="20208" spans="1:141" s="116" customFormat="1">
      <c r="A20208" s="136"/>
      <c r="CM20208" s="111"/>
      <c r="CQ20208" s="111"/>
      <c r="EF20208"/>
      <c r="EG20208"/>
      <c r="EH20208"/>
      <c r="EI20208"/>
      <c r="EJ20208"/>
      <c r="EK20208"/>
    </row>
    <row r="20209" spans="1:141" s="116" customFormat="1">
      <c r="A20209" s="136"/>
      <c r="CM20209" s="111"/>
      <c r="CQ20209" s="111"/>
      <c r="EF20209"/>
      <c r="EG20209"/>
      <c r="EH20209"/>
      <c r="EI20209"/>
      <c r="EJ20209"/>
      <c r="EK20209"/>
    </row>
    <row r="20210" spans="1:141" s="116" customFormat="1">
      <c r="A20210" s="136"/>
      <c r="CM20210" s="111"/>
      <c r="CQ20210" s="111"/>
      <c r="EF20210"/>
      <c r="EG20210"/>
      <c r="EH20210"/>
      <c r="EI20210"/>
      <c r="EJ20210"/>
      <c r="EK20210"/>
    </row>
    <row r="20211" spans="1:141" s="116" customFormat="1">
      <c r="A20211" s="136"/>
      <c r="CM20211" s="111"/>
      <c r="CQ20211" s="111"/>
      <c r="EF20211"/>
      <c r="EG20211"/>
      <c r="EH20211"/>
      <c r="EI20211"/>
      <c r="EJ20211"/>
      <c r="EK20211"/>
    </row>
    <row r="20212" spans="1:141" s="116" customFormat="1">
      <c r="A20212" s="136"/>
      <c r="CM20212" s="111"/>
      <c r="CQ20212" s="111"/>
      <c r="EF20212"/>
      <c r="EG20212"/>
      <c r="EH20212"/>
      <c r="EI20212"/>
      <c r="EJ20212"/>
      <c r="EK20212"/>
    </row>
    <row r="20213" spans="1:141" s="116" customFormat="1">
      <c r="A20213" s="136"/>
      <c r="CM20213" s="111"/>
      <c r="CQ20213" s="111"/>
      <c r="EF20213"/>
      <c r="EG20213"/>
      <c r="EH20213"/>
      <c r="EI20213"/>
      <c r="EJ20213"/>
      <c r="EK20213"/>
    </row>
    <row r="20214" spans="1:141" s="116" customFormat="1">
      <c r="A20214" s="136"/>
      <c r="CM20214" s="111"/>
      <c r="CQ20214" s="111"/>
      <c r="EF20214"/>
      <c r="EG20214"/>
      <c r="EH20214"/>
      <c r="EI20214"/>
      <c r="EJ20214"/>
      <c r="EK20214"/>
    </row>
    <row r="20215" spans="1:141" s="116" customFormat="1">
      <c r="A20215" s="136"/>
      <c r="CM20215" s="111"/>
      <c r="CQ20215" s="111"/>
      <c r="EF20215"/>
      <c r="EG20215"/>
      <c r="EH20215"/>
      <c r="EI20215"/>
      <c r="EJ20215"/>
      <c r="EK20215"/>
    </row>
    <row r="20216" spans="1:141" s="116" customFormat="1">
      <c r="A20216" s="136"/>
      <c r="CM20216" s="111"/>
      <c r="CQ20216" s="111"/>
      <c r="EF20216"/>
      <c r="EG20216"/>
      <c r="EH20216"/>
      <c r="EI20216"/>
      <c r="EJ20216"/>
      <c r="EK20216"/>
    </row>
    <row r="20217" spans="1:141" s="116" customFormat="1">
      <c r="A20217" s="136"/>
      <c r="CM20217" s="111"/>
      <c r="CQ20217" s="111"/>
      <c r="EF20217"/>
      <c r="EG20217"/>
      <c r="EH20217"/>
      <c r="EI20217"/>
      <c r="EJ20217"/>
      <c r="EK20217"/>
    </row>
    <row r="20218" spans="1:141" s="116" customFormat="1">
      <c r="A20218" s="136"/>
      <c r="CM20218" s="111"/>
      <c r="CQ20218" s="111"/>
      <c r="EF20218"/>
      <c r="EG20218"/>
      <c r="EH20218"/>
      <c r="EI20218"/>
      <c r="EJ20218"/>
      <c r="EK20218"/>
    </row>
    <row r="20219" spans="1:141" s="116" customFormat="1">
      <c r="A20219" s="136"/>
      <c r="CM20219" s="111"/>
      <c r="CQ20219" s="111"/>
      <c r="EF20219"/>
      <c r="EG20219"/>
      <c r="EH20219"/>
      <c r="EI20219"/>
      <c r="EJ20219"/>
      <c r="EK20219"/>
    </row>
    <row r="20220" spans="1:141" s="116" customFormat="1">
      <c r="A20220" s="136"/>
      <c r="CM20220" s="111"/>
      <c r="CQ20220" s="111"/>
      <c r="EF20220"/>
      <c r="EG20220"/>
      <c r="EH20220"/>
      <c r="EI20220"/>
      <c r="EJ20220"/>
      <c r="EK20220"/>
    </row>
    <row r="20221" spans="1:141" s="116" customFormat="1">
      <c r="A20221" s="136"/>
      <c r="CM20221" s="111"/>
      <c r="CQ20221" s="111"/>
      <c r="EF20221"/>
      <c r="EG20221"/>
      <c r="EH20221"/>
      <c r="EI20221"/>
      <c r="EJ20221"/>
      <c r="EK20221"/>
    </row>
    <row r="20222" spans="1:141" s="116" customFormat="1">
      <c r="A20222" s="136"/>
      <c r="CM20222" s="111"/>
      <c r="CQ20222" s="111"/>
      <c r="EF20222"/>
      <c r="EG20222"/>
      <c r="EH20222"/>
      <c r="EI20222"/>
      <c r="EJ20222"/>
      <c r="EK20222"/>
    </row>
    <row r="20223" spans="1:141" s="116" customFormat="1">
      <c r="A20223" s="136"/>
      <c r="CM20223" s="111"/>
      <c r="CQ20223" s="111"/>
      <c r="EF20223"/>
      <c r="EG20223"/>
      <c r="EH20223"/>
      <c r="EI20223"/>
      <c r="EJ20223"/>
      <c r="EK20223"/>
    </row>
    <row r="20224" spans="1:141" s="116" customFormat="1">
      <c r="A20224" s="136"/>
      <c r="CM20224" s="111"/>
      <c r="CQ20224" s="111"/>
      <c r="EF20224"/>
      <c r="EG20224"/>
      <c r="EH20224"/>
      <c r="EI20224"/>
      <c r="EJ20224"/>
      <c r="EK20224"/>
    </row>
    <row r="20225" spans="1:141" s="116" customFormat="1">
      <c r="A20225" s="136"/>
      <c r="CM20225" s="111"/>
      <c r="CQ20225" s="111"/>
      <c r="EF20225"/>
      <c r="EG20225"/>
      <c r="EH20225"/>
      <c r="EI20225"/>
      <c r="EJ20225"/>
      <c r="EK20225"/>
    </row>
    <row r="20226" spans="1:141" s="116" customFormat="1">
      <c r="A20226" s="136"/>
      <c r="CM20226" s="111"/>
      <c r="CQ20226" s="111"/>
      <c r="EF20226"/>
      <c r="EG20226"/>
      <c r="EH20226"/>
      <c r="EI20226"/>
      <c r="EJ20226"/>
      <c r="EK20226"/>
    </row>
    <row r="20227" spans="1:141" s="116" customFormat="1">
      <c r="A20227" s="136"/>
      <c r="CM20227" s="111"/>
      <c r="CQ20227" s="111"/>
      <c r="EF20227"/>
      <c r="EG20227"/>
      <c r="EH20227"/>
      <c r="EI20227"/>
      <c r="EJ20227"/>
      <c r="EK20227"/>
    </row>
    <row r="20228" spans="1:141" s="116" customFormat="1">
      <c r="A20228" s="136"/>
      <c r="CM20228" s="111"/>
      <c r="CQ20228" s="111"/>
      <c r="EF20228"/>
      <c r="EG20228"/>
      <c r="EH20228"/>
      <c r="EI20228"/>
      <c r="EJ20228"/>
      <c r="EK20228"/>
    </row>
    <row r="20229" spans="1:141" s="116" customFormat="1">
      <c r="A20229" s="136"/>
      <c r="CM20229" s="111"/>
      <c r="CQ20229" s="111"/>
      <c r="EF20229"/>
      <c r="EG20229"/>
      <c r="EH20229"/>
      <c r="EI20229"/>
      <c r="EJ20229"/>
      <c r="EK20229"/>
    </row>
    <row r="20230" spans="1:141" s="116" customFormat="1">
      <c r="A20230" s="136"/>
      <c r="CM20230" s="111"/>
      <c r="CQ20230" s="111"/>
      <c r="EF20230"/>
      <c r="EG20230"/>
      <c r="EH20230"/>
      <c r="EI20230"/>
      <c r="EJ20230"/>
      <c r="EK20230"/>
    </row>
    <row r="20231" spans="1:141" s="116" customFormat="1">
      <c r="A20231" s="136"/>
      <c r="CM20231" s="111"/>
      <c r="CQ20231" s="111"/>
      <c r="EF20231"/>
      <c r="EG20231"/>
      <c r="EH20231"/>
      <c r="EI20231"/>
      <c r="EJ20231"/>
      <c r="EK20231"/>
    </row>
    <row r="20232" spans="1:141" s="116" customFormat="1">
      <c r="A20232" s="136"/>
      <c r="CM20232" s="111"/>
      <c r="CQ20232" s="111"/>
      <c r="EF20232"/>
      <c r="EG20232"/>
      <c r="EH20232"/>
      <c r="EI20232"/>
      <c r="EJ20232"/>
      <c r="EK20232"/>
    </row>
    <row r="20233" spans="1:141" s="116" customFormat="1">
      <c r="A20233" s="136"/>
      <c r="CM20233" s="111"/>
      <c r="CQ20233" s="111"/>
      <c r="EF20233"/>
      <c r="EG20233"/>
      <c r="EH20233"/>
      <c r="EI20233"/>
      <c r="EJ20233"/>
      <c r="EK20233"/>
    </row>
    <row r="20234" spans="1:141" s="116" customFormat="1">
      <c r="A20234" s="136"/>
      <c r="CM20234" s="111"/>
      <c r="CQ20234" s="111"/>
      <c r="EF20234"/>
      <c r="EG20234"/>
      <c r="EH20234"/>
      <c r="EI20234"/>
      <c r="EJ20234"/>
      <c r="EK20234"/>
    </row>
    <row r="20235" spans="1:141" s="116" customFormat="1">
      <c r="A20235" s="136"/>
      <c r="CM20235" s="111"/>
      <c r="CQ20235" s="111"/>
      <c r="EF20235"/>
      <c r="EG20235"/>
      <c r="EH20235"/>
      <c r="EI20235"/>
      <c r="EJ20235"/>
      <c r="EK20235"/>
    </row>
    <row r="20236" spans="1:141" s="116" customFormat="1">
      <c r="A20236" s="136"/>
      <c r="CM20236" s="111"/>
      <c r="CQ20236" s="111"/>
      <c r="EF20236"/>
      <c r="EG20236"/>
      <c r="EH20236"/>
      <c r="EI20236"/>
      <c r="EJ20236"/>
      <c r="EK20236"/>
    </row>
    <row r="20237" spans="1:141" s="116" customFormat="1">
      <c r="A20237" s="136"/>
      <c r="CM20237" s="111"/>
      <c r="CQ20237" s="111"/>
      <c r="EF20237"/>
      <c r="EG20237"/>
      <c r="EH20237"/>
      <c r="EI20237"/>
      <c r="EJ20237"/>
      <c r="EK20237"/>
    </row>
    <row r="20238" spans="1:141" s="116" customFormat="1">
      <c r="A20238" s="136"/>
      <c r="CM20238" s="111"/>
      <c r="CQ20238" s="111"/>
      <c r="EF20238"/>
      <c r="EG20238"/>
      <c r="EH20238"/>
      <c r="EI20238"/>
      <c r="EJ20238"/>
      <c r="EK20238"/>
    </row>
    <row r="20239" spans="1:141" s="116" customFormat="1">
      <c r="A20239" s="136"/>
      <c r="CM20239" s="111"/>
      <c r="CQ20239" s="111"/>
      <c r="EF20239"/>
      <c r="EG20239"/>
      <c r="EH20239"/>
      <c r="EI20239"/>
      <c r="EJ20239"/>
      <c r="EK20239"/>
    </row>
    <row r="20240" spans="1:141" s="116" customFormat="1">
      <c r="A20240" s="136"/>
      <c r="CM20240" s="111"/>
      <c r="CQ20240" s="111"/>
      <c r="EF20240"/>
      <c r="EG20240"/>
      <c r="EH20240"/>
      <c r="EI20240"/>
      <c r="EJ20240"/>
      <c r="EK20240"/>
    </row>
    <row r="20241" spans="1:141" s="116" customFormat="1">
      <c r="A20241" s="136"/>
      <c r="CM20241" s="111"/>
      <c r="CQ20241" s="111"/>
      <c r="EF20241"/>
      <c r="EG20241"/>
      <c r="EH20241"/>
      <c r="EI20241"/>
      <c r="EJ20241"/>
      <c r="EK20241"/>
    </row>
    <row r="20242" spans="1:141" s="116" customFormat="1">
      <c r="A20242" s="136"/>
      <c r="CM20242" s="111"/>
      <c r="CQ20242" s="111"/>
      <c r="EF20242"/>
      <c r="EG20242"/>
      <c r="EH20242"/>
      <c r="EI20242"/>
      <c r="EJ20242"/>
      <c r="EK20242"/>
    </row>
    <row r="20243" spans="1:141" s="116" customFormat="1">
      <c r="A20243" s="136"/>
      <c r="CM20243" s="111"/>
      <c r="CQ20243" s="111"/>
      <c r="EF20243"/>
      <c r="EG20243"/>
      <c r="EH20243"/>
      <c r="EI20243"/>
      <c r="EJ20243"/>
      <c r="EK20243"/>
    </row>
    <row r="20244" spans="1:141" s="116" customFormat="1">
      <c r="A20244" s="136"/>
      <c r="CM20244" s="111"/>
      <c r="CQ20244" s="111"/>
      <c r="EF20244"/>
      <c r="EG20244"/>
      <c r="EH20244"/>
      <c r="EI20244"/>
      <c r="EJ20244"/>
      <c r="EK20244"/>
    </row>
    <row r="20245" spans="1:141" s="116" customFormat="1">
      <c r="A20245" s="136"/>
      <c r="CM20245" s="111"/>
      <c r="CQ20245" s="111"/>
      <c r="EF20245"/>
      <c r="EG20245"/>
      <c r="EH20245"/>
      <c r="EI20245"/>
      <c r="EJ20245"/>
      <c r="EK20245"/>
    </row>
    <row r="20246" spans="1:141" s="116" customFormat="1">
      <c r="A20246" s="136"/>
      <c r="CM20246" s="111"/>
      <c r="CQ20246" s="111"/>
      <c r="EF20246"/>
      <c r="EG20246"/>
      <c r="EH20246"/>
      <c r="EI20246"/>
      <c r="EJ20246"/>
      <c r="EK20246"/>
    </row>
    <row r="20247" spans="1:141" s="116" customFormat="1">
      <c r="A20247" s="136"/>
      <c r="CM20247" s="111"/>
      <c r="CQ20247" s="111"/>
      <c r="EF20247"/>
      <c r="EG20247"/>
      <c r="EH20247"/>
      <c r="EI20247"/>
      <c r="EJ20247"/>
      <c r="EK20247"/>
    </row>
    <row r="20248" spans="1:141" s="116" customFormat="1">
      <c r="A20248" s="136"/>
      <c r="CM20248" s="111"/>
      <c r="CQ20248" s="111"/>
      <c r="EF20248"/>
      <c r="EG20248"/>
      <c r="EH20248"/>
      <c r="EI20248"/>
      <c r="EJ20248"/>
      <c r="EK20248"/>
    </row>
    <row r="20249" spans="1:141" s="116" customFormat="1">
      <c r="A20249" s="136"/>
      <c r="CM20249" s="111"/>
      <c r="CQ20249" s="111"/>
      <c r="EF20249"/>
      <c r="EG20249"/>
      <c r="EH20249"/>
      <c r="EI20249"/>
      <c r="EJ20249"/>
      <c r="EK20249"/>
    </row>
    <row r="20250" spans="1:141" s="116" customFormat="1">
      <c r="A20250" s="136"/>
      <c r="CM20250" s="111"/>
      <c r="CQ20250" s="111"/>
      <c r="EF20250"/>
      <c r="EG20250"/>
      <c r="EH20250"/>
      <c r="EI20250"/>
      <c r="EJ20250"/>
      <c r="EK20250"/>
    </row>
    <row r="20251" spans="1:141" s="116" customFormat="1">
      <c r="A20251" s="136"/>
      <c r="CM20251" s="111"/>
      <c r="CQ20251" s="111"/>
      <c r="EF20251"/>
      <c r="EG20251"/>
      <c r="EH20251"/>
      <c r="EI20251"/>
      <c r="EJ20251"/>
      <c r="EK20251"/>
    </row>
    <row r="20252" spans="1:141" s="116" customFormat="1">
      <c r="A20252" s="136"/>
      <c r="CM20252" s="111"/>
      <c r="CQ20252" s="111"/>
      <c r="EF20252"/>
      <c r="EG20252"/>
      <c r="EH20252"/>
      <c r="EI20252"/>
      <c r="EJ20252"/>
      <c r="EK20252"/>
    </row>
    <row r="20253" spans="1:141" s="116" customFormat="1">
      <c r="A20253" s="136"/>
      <c r="CM20253" s="111"/>
      <c r="CQ20253" s="111"/>
      <c r="EF20253"/>
      <c r="EG20253"/>
      <c r="EH20253"/>
      <c r="EI20253"/>
      <c r="EJ20253"/>
      <c r="EK20253"/>
    </row>
    <row r="20254" spans="1:141" s="116" customFormat="1">
      <c r="A20254" s="136"/>
      <c r="CM20254" s="111"/>
      <c r="CQ20254" s="111"/>
      <c r="EF20254"/>
      <c r="EG20254"/>
      <c r="EH20254"/>
      <c r="EI20254"/>
      <c r="EJ20254"/>
      <c r="EK20254"/>
    </row>
    <row r="20255" spans="1:141" s="116" customFormat="1">
      <c r="A20255" s="136"/>
      <c r="CM20255" s="111"/>
      <c r="CQ20255" s="111"/>
      <c r="EF20255"/>
      <c r="EG20255"/>
      <c r="EH20255"/>
      <c r="EI20255"/>
      <c r="EJ20255"/>
      <c r="EK20255"/>
    </row>
    <row r="20256" spans="1:141" s="116" customFormat="1">
      <c r="A20256" s="136"/>
      <c r="CM20256" s="111"/>
      <c r="CQ20256" s="111"/>
      <c r="EF20256"/>
      <c r="EG20256"/>
      <c r="EH20256"/>
      <c r="EI20256"/>
      <c r="EJ20256"/>
      <c r="EK20256"/>
    </row>
    <row r="20257" spans="1:141" s="116" customFormat="1">
      <c r="A20257" s="136"/>
      <c r="CM20257" s="111"/>
      <c r="CQ20257" s="111"/>
      <c r="EF20257"/>
      <c r="EG20257"/>
      <c r="EH20257"/>
      <c r="EI20257"/>
      <c r="EJ20257"/>
      <c r="EK20257"/>
    </row>
    <row r="20258" spans="1:141" s="116" customFormat="1">
      <c r="A20258" s="136"/>
      <c r="CM20258" s="111"/>
      <c r="CQ20258" s="111"/>
      <c r="EF20258"/>
      <c r="EG20258"/>
      <c r="EH20258"/>
      <c r="EI20258"/>
      <c r="EJ20258"/>
      <c r="EK20258"/>
    </row>
    <row r="20259" spans="1:141" s="116" customFormat="1">
      <c r="A20259" s="136"/>
      <c r="CM20259" s="111"/>
      <c r="CQ20259" s="111"/>
      <c r="EF20259"/>
      <c r="EG20259"/>
      <c r="EH20259"/>
      <c r="EI20259"/>
      <c r="EJ20259"/>
      <c r="EK20259"/>
    </row>
    <row r="20260" spans="1:141" s="116" customFormat="1">
      <c r="A20260" s="136"/>
      <c r="CM20260" s="111"/>
      <c r="CQ20260" s="111"/>
      <c r="EF20260"/>
      <c r="EG20260"/>
      <c r="EH20260"/>
      <c r="EI20260"/>
      <c r="EJ20260"/>
      <c r="EK20260"/>
    </row>
    <row r="20261" spans="1:141" s="116" customFormat="1">
      <c r="A20261" s="136"/>
      <c r="CM20261" s="111"/>
      <c r="CQ20261" s="111"/>
      <c r="EF20261"/>
      <c r="EG20261"/>
      <c r="EH20261"/>
      <c r="EI20261"/>
      <c r="EJ20261"/>
      <c r="EK20261"/>
    </row>
    <row r="20262" spans="1:141" s="116" customFormat="1">
      <c r="A20262" s="136"/>
      <c r="CM20262" s="111"/>
      <c r="CQ20262" s="111"/>
      <c r="EF20262"/>
      <c r="EG20262"/>
      <c r="EH20262"/>
      <c r="EI20262"/>
      <c r="EJ20262"/>
      <c r="EK20262"/>
    </row>
    <row r="20263" spans="1:141" s="116" customFormat="1">
      <c r="A20263" s="136"/>
      <c r="CM20263" s="111"/>
      <c r="CQ20263" s="111"/>
      <c r="EF20263"/>
      <c r="EG20263"/>
      <c r="EH20263"/>
      <c r="EI20263"/>
      <c r="EJ20263"/>
      <c r="EK20263"/>
    </row>
    <row r="20264" spans="1:141" s="116" customFormat="1">
      <c r="A20264" s="136"/>
      <c r="CM20264" s="111"/>
      <c r="CQ20264" s="111"/>
      <c r="EF20264"/>
      <c r="EG20264"/>
      <c r="EH20264"/>
      <c r="EI20264"/>
      <c r="EJ20264"/>
      <c r="EK20264"/>
    </row>
    <row r="20265" spans="1:141" s="116" customFormat="1">
      <c r="A20265" s="136"/>
      <c r="CM20265" s="111"/>
      <c r="CQ20265" s="111"/>
      <c r="EF20265"/>
      <c r="EG20265"/>
      <c r="EH20265"/>
      <c r="EI20265"/>
      <c r="EJ20265"/>
      <c r="EK20265"/>
    </row>
    <row r="20266" spans="1:141" s="116" customFormat="1">
      <c r="A20266" s="136"/>
      <c r="CM20266" s="111"/>
      <c r="CQ20266" s="111"/>
      <c r="EF20266"/>
      <c r="EG20266"/>
      <c r="EH20266"/>
      <c r="EI20266"/>
      <c r="EJ20266"/>
      <c r="EK20266"/>
    </row>
    <row r="20267" spans="1:141" s="116" customFormat="1">
      <c r="A20267" s="136"/>
      <c r="CM20267" s="111"/>
      <c r="CQ20267" s="111"/>
      <c r="EF20267"/>
      <c r="EG20267"/>
      <c r="EH20267"/>
      <c r="EI20267"/>
      <c r="EJ20267"/>
      <c r="EK20267"/>
    </row>
    <row r="20268" spans="1:141" s="116" customFormat="1">
      <c r="A20268" s="136"/>
      <c r="CM20268" s="111"/>
      <c r="CQ20268" s="111"/>
      <c r="EF20268"/>
      <c r="EG20268"/>
      <c r="EH20268"/>
      <c r="EI20268"/>
      <c r="EJ20268"/>
      <c r="EK20268"/>
    </row>
    <row r="20269" spans="1:141" s="116" customFormat="1">
      <c r="A20269" s="136"/>
      <c r="CM20269" s="111"/>
      <c r="CQ20269" s="111"/>
      <c r="EF20269"/>
      <c r="EG20269"/>
      <c r="EH20269"/>
      <c r="EI20269"/>
      <c r="EJ20269"/>
      <c r="EK20269"/>
    </row>
    <row r="20270" spans="1:141" s="116" customFormat="1">
      <c r="A20270" s="136"/>
      <c r="CM20270" s="111"/>
      <c r="CQ20270" s="111"/>
      <c r="EF20270"/>
      <c r="EG20270"/>
      <c r="EH20270"/>
      <c r="EI20270"/>
      <c r="EJ20270"/>
      <c r="EK20270"/>
    </row>
    <row r="20271" spans="1:141" s="116" customFormat="1">
      <c r="A20271" s="136"/>
      <c r="CM20271" s="111"/>
      <c r="CQ20271" s="111"/>
      <c r="EF20271"/>
      <c r="EG20271"/>
      <c r="EH20271"/>
      <c r="EI20271"/>
      <c r="EJ20271"/>
      <c r="EK20271"/>
    </row>
    <row r="20272" spans="1:141" s="116" customFormat="1">
      <c r="A20272" s="136"/>
      <c r="CM20272" s="111"/>
      <c r="CQ20272" s="111"/>
      <c r="EF20272"/>
      <c r="EG20272"/>
      <c r="EH20272"/>
      <c r="EI20272"/>
      <c r="EJ20272"/>
      <c r="EK20272"/>
    </row>
    <row r="20273" spans="1:141" s="116" customFormat="1">
      <c r="A20273" s="136"/>
      <c r="CM20273" s="111"/>
      <c r="CQ20273" s="111"/>
      <c r="EF20273"/>
      <c r="EG20273"/>
      <c r="EH20273"/>
      <c r="EI20273"/>
      <c r="EJ20273"/>
      <c r="EK20273"/>
    </row>
    <row r="20274" spans="1:141" s="116" customFormat="1">
      <c r="A20274" s="136"/>
      <c r="CM20274" s="111"/>
      <c r="CQ20274" s="111"/>
      <c r="EF20274"/>
      <c r="EG20274"/>
      <c r="EH20274"/>
      <c r="EI20274"/>
      <c r="EJ20274"/>
      <c r="EK20274"/>
    </row>
    <row r="20275" spans="1:141" s="116" customFormat="1">
      <c r="A20275" s="136"/>
      <c r="CM20275" s="111"/>
      <c r="CQ20275" s="111"/>
      <c r="EF20275"/>
      <c r="EG20275"/>
      <c r="EH20275"/>
      <c r="EI20275"/>
      <c r="EJ20275"/>
      <c r="EK20275"/>
    </row>
    <row r="20276" spans="1:141" s="116" customFormat="1">
      <c r="A20276" s="136"/>
      <c r="CM20276" s="111"/>
      <c r="CQ20276" s="111"/>
      <c r="EF20276"/>
      <c r="EG20276"/>
      <c r="EH20276"/>
      <c r="EI20276"/>
      <c r="EJ20276"/>
      <c r="EK20276"/>
    </row>
    <row r="20277" spans="1:141" s="116" customFormat="1">
      <c r="A20277" s="136"/>
      <c r="CM20277" s="111"/>
      <c r="CQ20277" s="111"/>
      <c r="EF20277"/>
      <c r="EG20277"/>
      <c r="EH20277"/>
      <c r="EI20277"/>
      <c r="EJ20277"/>
      <c r="EK20277"/>
    </row>
    <row r="20278" spans="1:141" s="116" customFormat="1">
      <c r="A20278" s="136"/>
      <c r="CM20278" s="111"/>
      <c r="CQ20278" s="111"/>
      <c r="EF20278"/>
      <c r="EG20278"/>
      <c r="EH20278"/>
      <c r="EI20278"/>
      <c r="EJ20278"/>
      <c r="EK20278"/>
    </row>
    <row r="20279" spans="1:141" s="116" customFormat="1">
      <c r="A20279" s="136"/>
      <c r="CM20279" s="111"/>
      <c r="CQ20279" s="111"/>
      <c r="EF20279"/>
      <c r="EG20279"/>
      <c r="EH20279"/>
      <c r="EI20279"/>
      <c r="EJ20279"/>
      <c r="EK20279"/>
    </row>
    <row r="20280" spans="1:141" s="116" customFormat="1">
      <c r="A20280" s="136"/>
      <c r="CM20280" s="111"/>
      <c r="CQ20280" s="111"/>
      <c r="EF20280"/>
      <c r="EG20280"/>
      <c r="EH20280"/>
      <c r="EI20280"/>
      <c r="EJ20280"/>
      <c r="EK20280"/>
    </row>
    <row r="20281" spans="1:141" s="116" customFormat="1">
      <c r="A20281" s="136"/>
      <c r="CM20281" s="111"/>
      <c r="CQ20281" s="111"/>
      <c r="EF20281"/>
      <c r="EG20281"/>
      <c r="EH20281"/>
      <c r="EI20281"/>
      <c r="EJ20281"/>
      <c r="EK20281"/>
    </row>
    <row r="20282" spans="1:141" s="116" customFormat="1">
      <c r="A20282" s="136"/>
      <c r="CM20282" s="111"/>
      <c r="CQ20282" s="111"/>
      <c r="EF20282"/>
      <c r="EG20282"/>
      <c r="EH20282"/>
      <c r="EI20282"/>
      <c r="EJ20282"/>
      <c r="EK20282"/>
    </row>
    <row r="20283" spans="1:141" s="116" customFormat="1">
      <c r="A20283" s="136"/>
      <c r="CM20283" s="111"/>
      <c r="CQ20283" s="111"/>
      <c r="EF20283"/>
      <c r="EG20283"/>
      <c r="EH20283"/>
      <c r="EI20283"/>
      <c r="EJ20283"/>
      <c r="EK20283"/>
    </row>
    <row r="20284" spans="1:141" s="116" customFormat="1">
      <c r="A20284" s="136"/>
      <c r="CM20284" s="111"/>
      <c r="CQ20284" s="111"/>
      <c r="EF20284"/>
      <c r="EG20284"/>
      <c r="EH20284"/>
      <c r="EI20284"/>
      <c r="EJ20284"/>
      <c r="EK20284"/>
    </row>
    <row r="20285" spans="1:141" s="116" customFormat="1">
      <c r="A20285" s="136"/>
      <c r="CM20285" s="111"/>
      <c r="CQ20285" s="111"/>
      <c r="EF20285"/>
      <c r="EG20285"/>
      <c r="EH20285"/>
      <c r="EI20285"/>
      <c r="EJ20285"/>
      <c r="EK20285"/>
    </row>
    <row r="20286" spans="1:141" s="116" customFormat="1">
      <c r="A20286" s="136"/>
      <c r="CM20286" s="111"/>
      <c r="CQ20286" s="111"/>
      <c r="EF20286"/>
      <c r="EG20286"/>
      <c r="EH20286"/>
      <c r="EI20286"/>
      <c r="EJ20286"/>
      <c r="EK20286"/>
    </row>
    <row r="20287" spans="1:141" s="116" customFormat="1">
      <c r="A20287" s="136"/>
      <c r="CM20287" s="111"/>
      <c r="CQ20287" s="111"/>
      <c r="EF20287"/>
      <c r="EG20287"/>
      <c r="EH20287"/>
      <c r="EI20287"/>
      <c r="EJ20287"/>
      <c r="EK20287"/>
    </row>
    <row r="20288" spans="1:141" s="116" customFormat="1">
      <c r="A20288" s="136"/>
      <c r="CM20288" s="111"/>
      <c r="CQ20288" s="111"/>
      <c r="EF20288"/>
      <c r="EG20288"/>
      <c r="EH20288"/>
      <c r="EI20288"/>
      <c r="EJ20288"/>
      <c r="EK20288"/>
    </row>
    <row r="20289" spans="1:141" s="116" customFormat="1">
      <c r="A20289" s="136"/>
      <c r="CM20289" s="111"/>
      <c r="CQ20289" s="111"/>
      <c r="EF20289"/>
      <c r="EG20289"/>
      <c r="EH20289"/>
      <c r="EI20289"/>
      <c r="EJ20289"/>
      <c r="EK20289"/>
    </row>
    <row r="20290" spans="1:141" s="116" customFormat="1">
      <c r="A20290" s="136"/>
      <c r="CM20290" s="111"/>
      <c r="CQ20290" s="111"/>
      <c r="EF20290"/>
      <c r="EG20290"/>
      <c r="EH20290"/>
      <c r="EI20290"/>
      <c r="EJ20290"/>
      <c r="EK20290"/>
    </row>
    <row r="20291" spans="1:141" s="116" customFormat="1">
      <c r="A20291" s="136"/>
      <c r="CM20291" s="111"/>
      <c r="CQ20291" s="111"/>
      <c r="EF20291"/>
      <c r="EG20291"/>
      <c r="EH20291"/>
      <c r="EI20291"/>
      <c r="EJ20291"/>
      <c r="EK20291"/>
    </row>
    <row r="20292" spans="1:141" s="116" customFormat="1">
      <c r="A20292" s="136"/>
      <c r="CM20292" s="111"/>
      <c r="CQ20292" s="111"/>
      <c r="EF20292"/>
      <c r="EG20292"/>
      <c r="EH20292"/>
      <c r="EI20292"/>
      <c r="EJ20292"/>
      <c r="EK20292"/>
    </row>
    <row r="20293" spans="1:141" s="116" customFormat="1">
      <c r="A20293" s="136"/>
      <c r="CM20293" s="111"/>
      <c r="CQ20293" s="111"/>
      <c r="EF20293"/>
      <c r="EG20293"/>
      <c r="EH20293"/>
      <c r="EI20293"/>
      <c r="EJ20293"/>
      <c r="EK20293"/>
    </row>
    <row r="20294" spans="1:141" s="116" customFormat="1">
      <c r="A20294" s="136"/>
      <c r="CM20294" s="111"/>
      <c r="CQ20294" s="111"/>
      <c r="EF20294"/>
      <c r="EG20294"/>
      <c r="EH20294"/>
      <c r="EI20294"/>
      <c r="EJ20294"/>
      <c r="EK20294"/>
    </row>
    <row r="20295" spans="1:141" s="116" customFormat="1">
      <c r="A20295" s="136"/>
      <c r="CM20295" s="111"/>
      <c r="CQ20295" s="111"/>
      <c r="EF20295"/>
      <c r="EG20295"/>
      <c r="EH20295"/>
      <c r="EI20295"/>
      <c r="EJ20295"/>
      <c r="EK20295"/>
    </row>
    <row r="20296" spans="1:141" s="116" customFormat="1">
      <c r="A20296" s="136"/>
      <c r="CM20296" s="111"/>
      <c r="CQ20296" s="111"/>
      <c r="EF20296"/>
      <c r="EG20296"/>
      <c r="EH20296"/>
      <c r="EI20296"/>
      <c r="EJ20296"/>
      <c r="EK20296"/>
    </row>
    <row r="20297" spans="1:141" s="116" customFormat="1">
      <c r="A20297" s="136"/>
      <c r="CM20297" s="111"/>
      <c r="CQ20297" s="111"/>
      <c r="EF20297"/>
      <c r="EG20297"/>
      <c r="EH20297"/>
      <c r="EI20297"/>
      <c r="EJ20297"/>
      <c r="EK20297"/>
    </row>
    <row r="20298" spans="1:141" s="116" customFormat="1">
      <c r="A20298" s="136"/>
      <c r="CM20298" s="111"/>
      <c r="CQ20298" s="111"/>
      <c r="EF20298"/>
      <c r="EG20298"/>
      <c r="EH20298"/>
      <c r="EI20298"/>
      <c r="EJ20298"/>
      <c r="EK20298"/>
    </row>
    <row r="20299" spans="1:141" s="116" customFormat="1">
      <c r="A20299" s="136"/>
      <c r="CM20299" s="111"/>
      <c r="CQ20299" s="111"/>
      <c r="EF20299"/>
      <c r="EG20299"/>
      <c r="EH20299"/>
      <c r="EI20299"/>
      <c r="EJ20299"/>
      <c r="EK20299"/>
    </row>
    <row r="20300" spans="1:141" s="116" customFormat="1">
      <c r="A20300" s="136"/>
      <c r="CM20300" s="111"/>
      <c r="CQ20300" s="111"/>
      <c r="EF20300"/>
      <c r="EG20300"/>
      <c r="EH20300"/>
      <c r="EI20300"/>
      <c r="EJ20300"/>
      <c r="EK20300"/>
    </row>
    <row r="20301" spans="1:141" s="116" customFormat="1">
      <c r="A20301" s="136"/>
      <c r="CM20301" s="111"/>
      <c r="CQ20301" s="111"/>
      <c r="EF20301"/>
      <c r="EG20301"/>
      <c r="EH20301"/>
      <c r="EI20301"/>
      <c r="EJ20301"/>
      <c r="EK20301"/>
    </row>
    <row r="20302" spans="1:141" s="116" customFormat="1">
      <c r="A20302" s="136"/>
      <c r="CM20302" s="111"/>
      <c r="CQ20302" s="111"/>
      <c r="EF20302"/>
      <c r="EG20302"/>
      <c r="EH20302"/>
      <c r="EI20302"/>
      <c r="EJ20302"/>
      <c r="EK20302"/>
    </row>
    <row r="20303" spans="1:141" s="116" customFormat="1">
      <c r="A20303" s="136"/>
      <c r="CM20303" s="111"/>
      <c r="CQ20303" s="111"/>
      <c r="EF20303"/>
      <c r="EG20303"/>
      <c r="EH20303"/>
      <c r="EI20303"/>
      <c r="EJ20303"/>
      <c r="EK20303"/>
    </row>
    <row r="20304" spans="1:141" s="116" customFormat="1">
      <c r="A20304" s="136"/>
      <c r="CM20304" s="111"/>
      <c r="CQ20304" s="111"/>
      <c r="EF20304"/>
      <c r="EG20304"/>
      <c r="EH20304"/>
      <c r="EI20304"/>
      <c r="EJ20304"/>
      <c r="EK20304"/>
    </row>
    <row r="20305" spans="1:141" s="116" customFormat="1">
      <c r="A20305" s="136"/>
      <c r="CM20305" s="111"/>
      <c r="CQ20305" s="111"/>
      <c r="EF20305"/>
      <c r="EG20305"/>
      <c r="EH20305"/>
      <c r="EI20305"/>
      <c r="EJ20305"/>
      <c r="EK20305"/>
    </row>
    <row r="20306" spans="1:141" s="116" customFormat="1">
      <c r="A20306" s="136"/>
      <c r="CM20306" s="111"/>
      <c r="CQ20306" s="111"/>
      <c r="EF20306"/>
      <c r="EG20306"/>
      <c r="EH20306"/>
      <c r="EI20306"/>
      <c r="EJ20306"/>
      <c r="EK20306"/>
    </row>
    <row r="20307" spans="1:141" s="116" customFormat="1">
      <c r="A20307" s="136"/>
      <c r="CM20307" s="111"/>
      <c r="CQ20307" s="111"/>
      <c r="EF20307"/>
      <c r="EG20307"/>
      <c r="EH20307"/>
      <c r="EI20307"/>
      <c r="EJ20307"/>
      <c r="EK20307"/>
    </row>
    <row r="20308" spans="1:141" s="116" customFormat="1">
      <c r="A20308" s="136"/>
      <c r="CM20308" s="111"/>
      <c r="CQ20308" s="111"/>
      <c r="EF20308"/>
      <c r="EG20308"/>
      <c r="EH20308"/>
      <c r="EI20308"/>
      <c r="EJ20308"/>
      <c r="EK20308"/>
    </row>
    <row r="20309" spans="1:141" s="116" customFormat="1">
      <c r="A20309" s="136"/>
      <c r="CM20309" s="111"/>
      <c r="CQ20309" s="111"/>
      <c r="EF20309"/>
      <c r="EG20309"/>
      <c r="EH20309"/>
      <c r="EI20309"/>
      <c r="EJ20309"/>
      <c r="EK20309"/>
    </row>
    <row r="20310" spans="1:141" s="116" customFormat="1">
      <c r="A20310" s="136"/>
      <c r="CM20310" s="111"/>
      <c r="CQ20310" s="111"/>
      <c r="EF20310"/>
      <c r="EG20310"/>
      <c r="EH20310"/>
      <c r="EI20310"/>
      <c r="EJ20310"/>
      <c r="EK20310"/>
    </row>
    <row r="20311" spans="1:141" s="116" customFormat="1">
      <c r="A20311" s="136"/>
      <c r="CM20311" s="111"/>
      <c r="CQ20311" s="111"/>
      <c r="EF20311"/>
      <c r="EG20311"/>
      <c r="EH20311"/>
      <c r="EI20311"/>
      <c r="EJ20311"/>
      <c r="EK20311"/>
    </row>
    <row r="20312" spans="1:141" s="116" customFormat="1">
      <c r="A20312" s="136"/>
      <c r="CM20312" s="111"/>
      <c r="CQ20312" s="111"/>
      <c r="EF20312"/>
      <c r="EG20312"/>
      <c r="EH20312"/>
      <c r="EI20312"/>
      <c r="EJ20312"/>
      <c r="EK20312"/>
    </row>
    <row r="20313" spans="1:141" s="116" customFormat="1">
      <c r="A20313" s="136"/>
      <c r="CM20313" s="111"/>
      <c r="CQ20313" s="111"/>
      <c r="EF20313"/>
      <c r="EG20313"/>
      <c r="EH20313"/>
      <c r="EI20313"/>
      <c r="EJ20313"/>
      <c r="EK20313"/>
    </row>
    <row r="20314" spans="1:141" s="116" customFormat="1">
      <c r="A20314" s="136"/>
      <c r="CM20314" s="111"/>
      <c r="CQ20314" s="111"/>
      <c r="EF20314"/>
      <c r="EG20314"/>
      <c r="EH20314"/>
      <c r="EI20314"/>
      <c r="EJ20314"/>
      <c r="EK20314"/>
    </row>
    <row r="20315" spans="1:141" s="116" customFormat="1">
      <c r="A20315" s="136"/>
      <c r="CM20315" s="111"/>
      <c r="CQ20315" s="111"/>
      <c r="EF20315"/>
      <c r="EG20315"/>
      <c r="EH20315"/>
      <c r="EI20315"/>
      <c r="EJ20315"/>
      <c r="EK20315"/>
    </row>
    <row r="20316" spans="1:141" s="116" customFormat="1">
      <c r="A20316" s="136"/>
      <c r="CM20316" s="111"/>
      <c r="CQ20316" s="111"/>
      <c r="EF20316"/>
      <c r="EG20316"/>
      <c r="EH20316"/>
      <c r="EI20316"/>
      <c r="EJ20316"/>
      <c r="EK20316"/>
    </row>
    <row r="20317" spans="1:141" s="116" customFormat="1">
      <c r="A20317" s="136"/>
      <c r="CM20317" s="111"/>
      <c r="CQ20317" s="111"/>
      <c r="EF20317"/>
      <c r="EG20317"/>
      <c r="EH20317"/>
      <c r="EI20317"/>
      <c r="EJ20317"/>
      <c r="EK20317"/>
    </row>
    <row r="20318" spans="1:141" s="116" customFormat="1">
      <c r="A20318" s="136"/>
      <c r="CM20318" s="111"/>
      <c r="CQ20318" s="111"/>
      <c r="EF20318"/>
      <c r="EG20318"/>
      <c r="EH20318"/>
      <c r="EI20318"/>
      <c r="EJ20318"/>
      <c r="EK20318"/>
    </row>
    <row r="20319" spans="1:141" s="116" customFormat="1">
      <c r="A20319" s="136"/>
      <c r="CM20319" s="111"/>
      <c r="CQ20319" s="111"/>
      <c r="EF20319"/>
      <c r="EG20319"/>
      <c r="EH20319"/>
      <c r="EI20319"/>
      <c r="EJ20319"/>
      <c r="EK20319"/>
    </row>
    <row r="20320" spans="1:141" s="116" customFormat="1">
      <c r="A20320" s="136"/>
      <c r="CM20320" s="111"/>
      <c r="CQ20320" s="111"/>
      <c r="EF20320"/>
      <c r="EG20320"/>
      <c r="EH20320"/>
      <c r="EI20320"/>
      <c r="EJ20320"/>
      <c r="EK20320"/>
    </row>
    <row r="20321" spans="1:141" s="116" customFormat="1">
      <c r="A20321" s="136"/>
      <c r="CM20321" s="111"/>
      <c r="CQ20321" s="111"/>
      <c r="EF20321"/>
      <c r="EG20321"/>
      <c r="EH20321"/>
      <c r="EI20321"/>
      <c r="EJ20321"/>
      <c r="EK20321"/>
    </row>
    <row r="20322" spans="1:141" s="116" customFormat="1">
      <c r="A20322" s="136"/>
      <c r="CM20322" s="111"/>
      <c r="CQ20322" s="111"/>
      <c r="EF20322"/>
      <c r="EG20322"/>
      <c r="EH20322"/>
      <c r="EI20322"/>
      <c r="EJ20322"/>
      <c r="EK20322"/>
    </row>
    <row r="20323" spans="1:141" s="116" customFormat="1">
      <c r="A20323" s="136"/>
      <c r="CM20323" s="111"/>
      <c r="CQ20323" s="111"/>
      <c r="EF20323"/>
      <c r="EG20323"/>
      <c r="EH20323"/>
      <c r="EI20323"/>
      <c r="EJ20323"/>
      <c r="EK20323"/>
    </row>
    <row r="20324" spans="1:141" s="116" customFormat="1">
      <c r="A20324" s="136"/>
      <c r="CM20324" s="111"/>
      <c r="CQ20324" s="111"/>
      <c r="EF20324"/>
      <c r="EG20324"/>
      <c r="EH20324"/>
      <c r="EI20324"/>
      <c r="EJ20324"/>
      <c r="EK20324"/>
    </row>
    <row r="20325" spans="1:141" s="116" customFormat="1">
      <c r="A20325" s="136"/>
      <c r="CM20325" s="111"/>
      <c r="CQ20325" s="111"/>
      <c r="EF20325"/>
      <c r="EG20325"/>
      <c r="EH20325"/>
      <c r="EI20325"/>
      <c r="EJ20325"/>
      <c r="EK20325"/>
    </row>
    <row r="20326" spans="1:141" s="116" customFormat="1">
      <c r="A20326" s="136"/>
      <c r="CM20326" s="111"/>
      <c r="CQ20326" s="111"/>
      <c r="EF20326"/>
      <c r="EG20326"/>
      <c r="EH20326"/>
      <c r="EI20326"/>
      <c r="EJ20326"/>
      <c r="EK20326"/>
    </row>
    <row r="20327" spans="1:141" s="116" customFormat="1">
      <c r="A20327" s="136"/>
      <c r="CM20327" s="111"/>
      <c r="CQ20327" s="111"/>
      <c r="EF20327"/>
      <c r="EG20327"/>
      <c r="EH20327"/>
      <c r="EI20327"/>
      <c r="EJ20327"/>
      <c r="EK20327"/>
    </row>
    <row r="20328" spans="1:141" s="116" customFormat="1">
      <c r="A20328" s="136"/>
      <c r="CM20328" s="111"/>
      <c r="CQ20328" s="111"/>
      <c r="EF20328"/>
      <c r="EG20328"/>
      <c r="EH20328"/>
      <c r="EI20328"/>
      <c r="EJ20328"/>
      <c r="EK20328"/>
    </row>
    <row r="20329" spans="1:141" s="116" customFormat="1">
      <c r="A20329" s="136"/>
      <c r="CM20329" s="111"/>
      <c r="CQ20329" s="111"/>
      <c r="EF20329"/>
      <c r="EG20329"/>
      <c r="EH20329"/>
      <c r="EI20329"/>
      <c r="EJ20329"/>
      <c r="EK20329"/>
    </row>
    <row r="20330" spans="1:141" s="116" customFormat="1">
      <c r="A20330" s="136"/>
      <c r="CM20330" s="111"/>
      <c r="CQ20330" s="111"/>
      <c r="EF20330"/>
      <c r="EG20330"/>
      <c r="EH20330"/>
      <c r="EI20330"/>
      <c r="EJ20330"/>
      <c r="EK20330"/>
    </row>
    <row r="20331" spans="1:141" s="116" customFormat="1">
      <c r="A20331" s="136"/>
      <c r="CM20331" s="111"/>
      <c r="CQ20331" s="111"/>
      <c r="EF20331"/>
      <c r="EG20331"/>
      <c r="EH20331"/>
      <c r="EI20331"/>
      <c r="EJ20331"/>
      <c r="EK20331"/>
    </row>
    <row r="20332" spans="1:141" s="116" customFormat="1">
      <c r="A20332" s="136"/>
      <c r="CM20332" s="111"/>
      <c r="CQ20332" s="111"/>
      <c r="EF20332"/>
      <c r="EG20332"/>
      <c r="EH20332"/>
      <c r="EI20332"/>
      <c r="EJ20332"/>
      <c r="EK20332"/>
    </row>
    <row r="20333" spans="1:141" s="116" customFormat="1">
      <c r="A20333" s="136"/>
      <c r="CM20333" s="111"/>
      <c r="CQ20333" s="111"/>
      <c r="EF20333"/>
      <c r="EG20333"/>
      <c r="EH20333"/>
      <c r="EI20333"/>
      <c r="EJ20333"/>
      <c r="EK20333"/>
    </row>
    <row r="20334" spans="1:141" s="116" customFormat="1">
      <c r="A20334" s="136"/>
      <c r="CM20334" s="111"/>
      <c r="CQ20334" s="111"/>
      <c r="EF20334"/>
      <c r="EG20334"/>
      <c r="EH20334"/>
      <c r="EI20334"/>
      <c r="EJ20334"/>
      <c r="EK20334"/>
    </row>
    <row r="20335" spans="1:141" s="116" customFormat="1">
      <c r="A20335" s="136"/>
      <c r="CM20335" s="111"/>
      <c r="CQ20335" s="111"/>
      <c r="EF20335"/>
      <c r="EG20335"/>
      <c r="EH20335"/>
      <c r="EI20335"/>
      <c r="EJ20335"/>
      <c r="EK20335"/>
    </row>
    <row r="20336" spans="1:141" s="116" customFormat="1">
      <c r="A20336" s="136"/>
      <c r="CM20336" s="111"/>
      <c r="CQ20336" s="111"/>
      <c r="EF20336"/>
      <c r="EG20336"/>
      <c r="EH20336"/>
      <c r="EI20336"/>
      <c r="EJ20336"/>
      <c r="EK20336"/>
    </row>
    <row r="20337" spans="1:141" s="116" customFormat="1">
      <c r="A20337" s="136"/>
      <c r="CM20337" s="111"/>
      <c r="CQ20337" s="111"/>
      <c r="EF20337"/>
      <c r="EG20337"/>
      <c r="EH20337"/>
      <c r="EI20337"/>
      <c r="EJ20337"/>
      <c r="EK20337"/>
    </row>
    <row r="20338" spans="1:141" s="116" customFormat="1">
      <c r="A20338" s="136"/>
      <c r="CM20338" s="111"/>
      <c r="CQ20338" s="111"/>
      <c r="EF20338"/>
      <c r="EG20338"/>
      <c r="EH20338"/>
      <c r="EI20338"/>
      <c r="EJ20338"/>
      <c r="EK20338"/>
    </row>
    <row r="20339" spans="1:141" s="116" customFormat="1">
      <c r="A20339" s="136"/>
      <c r="CM20339" s="111"/>
      <c r="CQ20339" s="111"/>
      <c r="EF20339"/>
      <c r="EG20339"/>
      <c r="EH20339"/>
      <c r="EI20339"/>
      <c r="EJ20339"/>
      <c r="EK20339"/>
    </row>
    <row r="20340" spans="1:141" s="116" customFormat="1">
      <c r="A20340" s="136"/>
      <c r="CM20340" s="111"/>
      <c r="CQ20340" s="111"/>
      <c r="EF20340"/>
      <c r="EG20340"/>
      <c r="EH20340"/>
      <c r="EI20340"/>
      <c r="EJ20340"/>
      <c r="EK20340"/>
    </row>
    <row r="20341" spans="1:141" s="116" customFormat="1">
      <c r="A20341" s="136"/>
      <c r="CM20341" s="111"/>
      <c r="CQ20341" s="111"/>
      <c r="EF20341"/>
      <c r="EG20341"/>
      <c r="EH20341"/>
      <c r="EI20341"/>
      <c r="EJ20341"/>
      <c r="EK20341"/>
    </row>
    <row r="20342" spans="1:141" s="116" customFormat="1">
      <c r="A20342" s="136"/>
      <c r="CM20342" s="111"/>
      <c r="CQ20342" s="111"/>
      <c r="EF20342"/>
      <c r="EG20342"/>
      <c r="EH20342"/>
      <c r="EI20342"/>
      <c r="EJ20342"/>
      <c r="EK20342"/>
    </row>
    <row r="20343" spans="1:141" s="116" customFormat="1">
      <c r="A20343" s="136"/>
      <c r="CM20343" s="111"/>
      <c r="CQ20343" s="111"/>
      <c r="EF20343"/>
      <c r="EG20343"/>
      <c r="EH20343"/>
      <c r="EI20343"/>
      <c r="EJ20343"/>
      <c r="EK20343"/>
    </row>
    <row r="20344" spans="1:141" s="116" customFormat="1">
      <c r="A20344" s="136"/>
      <c r="CM20344" s="111"/>
      <c r="CQ20344" s="111"/>
      <c r="EF20344"/>
      <c r="EG20344"/>
      <c r="EH20344"/>
      <c r="EI20344"/>
      <c r="EJ20344"/>
      <c r="EK20344"/>
    </row>
    <row r="20345" spans="1:141" s="116" customFormat="1">
      <c r="A20345" s="136"/>
      <c r="CM20345" s="111"/>
      <c r="CQ20345" s="111"/>
      <c r="EF20345"/>
      <c r="EG20345"/>
      <c r="EH20345"/>
      <c r="EI20345"/>
      <c r="EJ20345"/>
      <c r="EK20345"/>
    </row>
    <row r="20346" spans="1:141" s="116" customFormat="1">
      <c r="A20346" s="136"/>
      <c r="CM20346" s="111"/>
      <c r="CQ20346" s="111"/>
      <c r="EF20346"/>
      <c r="EG20346"/>
      <c r="EH20346"/>
      <c r="EI20346"/>
      <c r="EJ20346"/>
      <c r="EK20346"/>
    </row>
    <row r="20347" spans="1:141" s="116" customFormat="1">
      <c r="A20347" s="136"/>
      <c r="CM20347" s="111"/>
      <c r="CQ20347" s="111"/>
      <c r="EF20347"/>
      <c r="EG20347"/>
      <c r="EH20347"/>
      <c r="EI20347"/>
      <c r="EJ20347"/>
      <c r="EK20347"/>
    </row>
    <row r="20348" spans="1:141" s="116" customFormat="1">
      <c r="A20348" s="136"/>
      <c r="CM20348" s="111"/>
      <c r="CQ20348" s="111"/>
      <c r="EF20348"/>
      <c r="EG20348"/>
      <c r="EH20348"/>
      <c r="EI20348"/>
      <c r="EJ20348"/>
      <c r="EK20348"/>
    </row>
    <row r="20349" spans="1:141" s="116" customFormat="1">
      <c r="A20349" s="136"/>
      <c r="CM20349" s="111"/>
      <c r="CQ20349" s="111"/>
      <c r="EF20349"/>
      <c r="EG20349"/>
      <c r="EH20349"/>
      <c r="EI20349"/>
      <c r="EJ20349"/>
      <c r="EK20349"/>
    </row>
    <row r="20350" spans="1:141" s="116" customFormat="1">
      <c r="A20350" s="136"/>
      <c r="CM20350" s="111"/>
      <c r="CQ20350" s="111"/>
      <c r="EF20350"/>
      <c r="EG20350"/>
      <c r="EH20350"/>
      <c r="EI20350"/>
      <c r="EJ20350"/>
      <c r="EK20350"/>
    </row>
    <row r="20351" spans="1:141" s="116" customFormat="1">
      <c r="A20351" s="136"/>
      <c r="CM20351" s="111"/>
      <c r="CQ20351" s="111"/>
      <c r="EF20351"/>
      <c r="EG20351"/>
      <c r="EH20351"/>
      <c r="EI20351"/>
      <c r="EJ20351"/>
      <c r="EK20351"/>
    </row>
    <row r="20352" spans="1:141" s="116" customFormat="1">
      <c r="A20352" s="136"/>
      <c r="CM20352" s="111"/>
      <c r="CQ20352" s="111"/>
      <c r="EF20352"/>
      <c r="EG20352"/>
      <c r="EH20352"/>
      <c r="EI20352"/>
      <c r="EJ20352"/>
      <c r="EK20352"/>
    </row>
    <row r="20353" spans="1:141" s="116" customFormat="1">
      <c r="A20353" s="136"/>
      <c r="CM20353" s="111"/>
      <c r="CQ20353" s="111"/>
      <c r="EF20353"/>
      <c r="EG20353"/>
      <c r="EH20353"/>
      <c r="EI20353"/>
      <c r="EJ20353"/>
      <c r="EK20353"/>
    </row>
    <row r="20354" spans="1:141" s="116" customFormat="1">
      <c r="A20354" s="136"/>
      <c r="CM20354" s="111"/>
      <c r="CQ20354" s="111"/>
      <c r="EF20354"/>
      <c r="EG20354"/>
      <c r="EH20354"/>
      <c r="EI20354"/>
      <c r="EJ20354"/>
      <c r="EK20354"/>
    </row>
    <row r="20355" spans="1:141" s="116" customFormat="1">
      <c r="A20355" s="136"/>
      <c r="CM20355" s="111"/>
      <c r="CQ20355" s="111"/>
      <c r="EF20355"/>
      <c r="EG20355"/>
      <c r="EH20355"/>
      <c r="EI20355"/>
      <c r="EJ20355"/>
      <c r="EK20355"/>
    </row>
    <row r="20356" spans="1:141" s="116" customFormat="1">
      <c r="A20356" s="136"/>
      <c r="CM20356" s="111"/>
      <c r="CQ20356" s="111"/>
      <c r="EF20356"/>
      <c r="EG20356"/>
      <c r="EH20356"/>
      <c r="EI20356"/>
      <c r="EJ20356"/>
      <c r="EK20356"/>
    </row>
    <row r="20357" spans="1:141" s="116" customFormat="1">
      <c r="A20357" s="136"/>
      <c r="CM20357" s="111"/>
      <c r="CQ20357" s="111"/>
      <c r="EF20357"/>
      <c r="EG20357"/>
      <c r="EH20357"/>
      <c r="EI20357"/>
      <c r="EJ20357"/>
      <c r="EK20357"/>
    </row>
    <row r="20358" spans="1:141" s="116" customFormat="1">
      <c r="A20358" s="136"/>
      <c r="CM20358" s="111"/>
      <c r="CQ20358" s="111"/>
      <c r="EF20358"/>
      <c r="EG20358"/>
      <c r="EH20358"/>
      <c r="EI20358"/>
      <c r="EJ20358"/>
      <c r="EK20358"/>
    </row>
    <row r="20359" spans="1:141" s="116" customFormat="1">
      <c r="A20359" s="136"/>
      <c r="CM20359" s="111"/>
      <c r="CQ20359" s="111"/>
      <c r="EF20359"/>
      <c r="EG20359"/>
      <c r="EH20359"/>
      <c r="EI20359"/>
      <c r="EJ20359"/>
      <c r="EK20359"/>
    </row>
    <row r="20360" spans="1:141" s="116" customFormat="1">
      <c r="A20360" s="136"/>
      <c r="CM20360" s="111"/>
      <c r="CQ20360" s="111"/>
      <c r="EF20360"/>
      <c r="EG20360"/>
      <c r="EH20360"/>
      <c r="EI20360"/>
      <c r="EJ20360"/>
      <c r="EK20360"/>
    </row>
    <row r="20361" spans="1:141" s="116" customFormat="1">
      <c r="A20361" s="136"/>
      <c r="CM20361" s="111"/>
      <c r="CQ20361" s="111"/>
      <c r="EF20361"/>
      <c r="EG20361"/>
      <c r="EH20361"/>
      <c r="EI20361"/>
      <c r="EJ20361"/>
      <c r="EK20361"/>
    </row>
    <row r="20362" spans="1:141" s="116" customFormat="1">
      <c r="A20362" s="136"/>
      <c r="CM20362" s="111"/>
      <c r="CQ20362" s="111"/>
      <c r="EF20362"/>
      <c r="EG20362"/>
      <c r="EH20362"/>
      <c r="EI20362"/>
      <c r="EJ20362"/>
      <c r="EK20362"/>
    </row>
    <row r="20363" spans="1:141" s="116" customFormat="1">
      <c r="A20363" s="136"/>
      <c r="CM20363" s="111"/>
      <c r="CQ20363" s="111"/>
      <c r="EF20363"/>
      <c r="EG20363"/>
      <c r="EH20363"/>
      <c r="EI20363"/>
      <c r="EJ20363"/>
      <c r="EK20363"/>
    </row>
    <row r="20364" spans="1:141" s="116" customFormat="1">
      <c r="A20364" s="136"/>
      <c r="CM20364" s="111"/>
      <c r="CQ20364" s="111"/>
      <c r="EF20364"/>
      <c r="EG20364"/>
      <c r="EH20364"/>
      <c r="EI20364"/>
      <c r="EJ20364"/>
      <c r="EK20364"/>
    </row>
    <row r="20365" spans="1:141" s="116" customFormat="1">
      <c r="A20365" s="136"/>
      <c r="CM20365" s="111"/>
      <c r="CQ20365" s="111"/>
      <c r="EF20365"/>
      <c r="EG20365"/>
      <c r="EH20365"/>
      <c r="EI20365"/>
      <c r="EJ20365"/>
      <c r="EK20365"/>
    </row>
    <row r="20366" spans="1:141" s="116" customFormat="1">
      <c r="A20366" s="136"/>
      <c r="CM20366" s="111"/>
      <c r="CQ20366" s="111"/>
      <c r="EF20366"/>
      <c r="EG20366"/>
      <c r="EH20366"/>
      <c r="EI20366"/>
      <c r="EJ20366"/>
      <c r="EK20366"/>
    </row>
    <row r="20367" spans="1:141" s="116" customFormat="1">
      <c r="A20367" s="136"/>
      <c r="CM20367" s="111"/>
      <c r="CQ20367" s="111"/>
      <c r="EF20367"/>
      <c r="EG20367"/>
      <c r="EH20367"/>
      <c r="EI20367"/>
      <c r="EJ20367"/>
      <c r="EK20367"/>
    </row>
    <row r="20368" spans="1:141" s="116" customFormat="1">
      <c r="A20368" s="136"/>
      <c r="CM20368" s="111"/>
      <c r="CQ20368" s="111"/>
      <c r="EF20368"/>
      <c r="EG20368"/>
      <c r="EH20368"/>
      <c r="EI20368"/>
      <c r="EJ20368"/>
      <c r="EK20368"/>
    </row>
    <row r="20369" spans="1:141" s="116" customFormat="1">
      <c r="A20369" s="136"/>
      <c r="CM20369" s="111"/>
      <c r="CQ20369" s="111"/>
      <c r="EF20369"/>
      <c r="EG20369"/>
      <c r="EH20369"/>
      <c r="EI20369"/>
      <c r="EJ20369"/>
      <c r="EK20369"/>
    </row>
    <row r="20370" spans="1:141" s="116" customFormat="1">
      <c r="A20370" s="136"/>
      <c r="CM20370" s="111"/>
      <c r="CQ20370" s="111"/>
      <c r="EF20370"/>
      <c r="EG20370"/>
      <c r="EH20370"/>
      <c r="EI20370"/>
      <c r="EJ20370"/>
      <c r="EK20370"/>
    </row>
    <row r="20371" spans="1:141" s="116" customFormat="1">
      <c r="A20371" s="136"/>
      <c r="CM20371" s="111"/>
      <c r="CQ20371" s="111"/>
      <c r="EF20371"/>
      <c r="EG20371"/>
      <c r="EH20371"/>
      <c r="EI20371"/>
      <c r="EJ20371"/>
      <c r="EK20371"/>
    </row>
    <row r="20372" spans="1:141" s="116" customFormat="1">
      <c r="A20372" s="136"/>
      <c r="CM20372" s="111"/>
      <c r="CQ20372" s="111"/>
      <c r="EF20372"/>
      <c r="EG20372"/>
      <c r="EH20372"/>
      <c r="EI20372"/>
      <c r="EJ20372"/>
      <c r="EK20372"/>
    </row>
    <row r="20373" spans="1:141" s="116" customFormat="1">
      <c r="A20373" s="136"/>
      <c r="CM20373" s="111"/>
      <c r="CQ20373" s="111"/>
      <c r="EF20373"/>
      <c r="EG20373"/>
      <c r="EH20373"/>
      <c r="EI20373"/>
      <c r="EJ20373"/>
      <c r="EK20373"/>
    </row>
    <row r="20374" spans="1:141" s="116" customFormat="1">
      <c r="A20374" s="136"/>
      <c r="CM20374" s="111"/>
      <c r="CQ20374" s="111"/>
      <c r="EF20374"/>
      <c r="EG20374"/>
      <c r="EH20374"/>
      <c r="EI20374"/>
      <c r="EJ20374"/>
      <c r="EK20374"/>
    </row>
    <row r="20375" spans="1:141" s="116" customFormat="1">
      <c r="A20375" s="136"/>
      <c r="CM20375" s="111"/>
      <c r="CQ20375" s="111"/>
      <c r="EF20375"/>
      <c r="EG20375"/>
      <c r="EH20375"/>
      <c r="EI20375"/>
      <c r="EJ20375"/>
      <c r="EK20375"/>
    </row>
    <row r="20376" spans="1:141" s="116" customFormat="1">
      <c r="A20376" s="136"/>
      <c r="CM20376" s="111"/>
      <c r="CQ20376" s="111"/>
      <c r="EF20376"/>
      <c r="EG20376"/>
      <c r="EH20376"/>
      <c r="EI20376"/>
      <c r="EJ20376"/>
      <c r="EK20376"/>
    </row>
    <row r="20377" spans="1:141" s="116" customFormat="1">
      <c r="A20377" s="136"/>
      <c r="CM20377" s="111"/>
      <c r="CQ20377" s="111"/>
      <c r="EF20377"/>
      <c r="EG20377"/>
      <c r="EH20377"/>
      <c r="EI20377"/>
      <c r="EJ20377"/>
      <c r="EK20377"/>
    </row>
    <row r="20378" spans="1:141" s="116" customFormat="1">
      <c r="A20378" s="136"/>
      <c r="CM20378" s="111"/>
      <c r="CQ20378" s="111"/>
      <c r="EF20378"/>
      <c r="EG20378"/>
      <c r="EH20378"/>
      <c r="EI20378"/>
      <c r="EJ20378"/>
      <c r="EK20378"/>
    </row>
    <row r="20379" spans="1:141" s="116" customFormat="1">
      <c r="A20379" s="136"/>
      <c r="CM20379" s="111"/>
      <c r="CQ20379" s="111"/>
      <c r="EF20379"/>
      <c r="EG20379"/>
      <c r="EH20379"/>
      <c r="EI20379"/>
      <c r="EJ20379"/>
      <c r="EK20379"/>
    </row>
    <row r="20380" spans="1:141" s="116" customFormat="1">
      <c r="A20380" s="136"/>
      <c r="CM20380" s="111"/>
      <c r="CQ20380" s="111"/>
      <c r="EF20380"/>
      <c r="EG20380"/>
      <c r="EH20380"/>
      <c r="EI20380"/>
      <c r="EJ20380"/>
      <c r="EK20380"/>
    </row>
    <row r="20381" spans="1:141" s="116" customFormat="1">
      <c r="A20381" s="136"/>
      <c r="CM20381" s="111"/>
      <c r="CQ20381" s="111"/>
      <c r="EF20381"/>
      <c r="EG20381"/>
      <c r="EH20381"/>
      <c r="EI20381"/>
      <c r="EJ20381"/>
      <c r="EK20381"/>
    </row>
    <row r="20382" spans="1:141" s="116" customFormat="1">
      <c r="A20382" s="136"/>
      <c r="CM20382" s="111"/>
      <c r="CQ20382" s="111"/>
      <c r="EF20382"/>
      <c r="EG20382"/>
      <c r="EH20382"/>
      <c r="EI20382"/>
      <c r="EJ20382"/>
      <c r="EK20382"/>
    </row>
    <row r="20383" spans="1:141" s="116" customFormat="1">
      <c r="A20383" s="136"/>
      <c r="CM20383" s="111"/>
      <c r="CQ20383" s="111"/>
      <c r="EF20383"/>
      <c r="EG20383"/>
      <c r="EH20383"/>
      <c r="EI20383"/>
      <c r="EJ20383"/>
      <c r="EK20383"/>
    </row>
    <row r="20384" spans="1:141" s="116" customFormat="1">
      <c r="A20384" s="136"/>
      <c r="CM20384" s="111"/>
      <c r="CQ20384" s="111"/>
      <c r="EF20384"/>
      <c r="EG20384"/>
      <c r="EH20384"/>
      <c r="EI20384"/>
      <c r="EJ20384"/>
      <c r="EK20384"/>
    </row>
    <row r="20385" spans="1:141" s="116" customFormat="1">
      <c r="A20385" s="136"/>
      <c r="CM20385" s="111"/>
      <c r="CQ20385" s="111"/>
      <c r="EF20385"/>
      <c r="EG20385"/>
      <c r="EH20385"/>
      <c r="EI20385"/>
      <c r="EJ20385"/>
      <c r="EK20385"/>
    </row>
    <row r="20386" spans="1:141" s="116" customFormat="1">
      <c r="A20386" s="136"/>
      <c r="CM20386" s="111"/>
      <c r="CQ20386" s="111"/>
      <c r="EF20386"/>
      <c r="EG20386"/>
      <c r="EH20386"/>
      <c r="EI20386"/>
      <c r="EJ20386"/>
      <c r="EK20386"/>
    </row>
    <row r="20387" spans="1:141" s="116" customFormat="1">
      <c r="A20387" s="136"/>
      <c r="CM20387" s="111"/>
      <c r="CQ20387" s="111"/>
      <c r="EF20387"/>
      <c r="EG20387"/>
      <c r="EH20387"/>
      <c r="EI20387"/>
      <c r="EJ20387"/>
      <c r="EK20387"/>
    </row>
    <row r="20388" spans="1:141" s="116" customFormat="1">
      <c r="A20388" s="136"/>
      <c r="CM20388" s="111"/>
      <c r="CQ20388" s="111"/>
      <c r="EF20388"/>
      <c r="EG20388"/>
      <c r="EH20388"/>
      <c r="EI20388"/>
      <c r="EJ20388"/>
      <c r="EK20388"/>
    </row>
    <row r="20389" spans="1:141" s="116" customFormat="1">
      <c r="A20389" s="136"/>
      <c r="CM20389" s="111"/>
      <c r="CQ20389" s="111"/>
      <c r="EF20389"/>
      <c r="EG20389"/>
      <c r="EH20389"/>
      <c r="EI20389"/>
      <c r="EJ20389"/>
      <c r="EK20389"/>
    </row>
    <row r="20390" spans="1:141" s="116" customFormat="1">
      <c r="A20390" s="136"/>
      <c r="CM20390" s="111"/>
      <c r="CQ20390" s="111"/>
      <c r="EF20390"/>
      <c r="EG20390"/>
      <c r="EH20390"/>
      <c r="EI20390"/>
      <c r="EJ20390"/>
      <c r="EK20390"/>
    </row>
    <row r="20391" spans="1:141" s="116" customFormat="1">
      <c r="A20391" s="136"/>
      <c r="CM20391" s="111"/>
      <c r="CQ20391" s="111"/>
      <c r="EF20391"/>
      <c r="EG20391"/>
      <c r="EH20391"/>
      <c r="EI20391"/>
      <c r="EJ20391"/>
      <c r="EK20391"/>
    </row>
    <row r="20392" spans="1:141" s="116" customFormat="1">
      <c r="A20392" s="136"/>
      <c r="CM20392" s="111"/>
      <c r="CQ20392" s="111"/>
      <c r="EF20392"/>
      <c r="EG20392"/>
      <c r="EH20392"/>
      <c r="EI20392"/>
      <c r="EJ20392"/>
      <c r="EK20392"/>
    </row>
    <row r="20393" spans="1:141" s="116" customFormat="1">
      <c r="A20393" s="136"/>
      <c r="CM20393" s="111"/>
      <c r="CQ20393" s="111"/>
      <c r="EF20393"/>
      <c r="EG20393"/>
      <c r="EH20393"/>
      <c r="EI20393"/>
      <c r="EJ20393"/>
      <c r="EK20393"/>
    </row>
    <row r="20394" spans="1:141" s="116" customFormat="1">
      <c r="A20394" s="136"/>
      <c r="CM20394" s="111"/>
      <c r="CQ20394" s="111"/>
      <c r="EF20394"/>
      <c r="EG20394"/>
      <c r="EH20394"/>
      <c r="EI20394"/>
      <c r="EJ20394"/>
      <c r="EK20394"/>
    </row>
    <row r="20395" spans="1:141" s="116" customFormat="1">
      <c r="A20395" s="136"/>
      <c r="CM20395" s="111"/>
      <c r="CQ20395" s="111"/>
      <c r="EF20395"/>
      <c r="EG20395"/>
      <c r="EH20395"/>
      <c r="EI20395"/>
      <c r="EJ20395"/>
      <c r="EK20395"/>
    </row>
    <row r="20396" spans="1:141" s="116" customFormat="1">
      <c r="A20396" s="136"/>
      <c r="CM20396" s="111"/>
      <c r="CQ20396" s="111"/>
      <c r="EF20396"/>
      <c r="EG20396"/>
      <c r="EH20396"/>
      <c r="EI20396"/>
      <c r="EJ20396"/>
      <c r="EK20396"/>
    </row>
    <row r="20397" spans="1:141" s="116" customFormat="1">
      <c r="A20397" s="136"/>
      <c r="CM20397" s="111"/>
      <c r="CQ20397" s="111"/>
      <c r="EF20397"/>
      <c r="EG20397"/>
      <c r="EH20397"/>
      <c r="EI20397"/>
      <c r="EJ20397"/>
      <c r="EK20397"/>
    </row>
    <row r="20398" spans="1:141" s="116" customFormat="1">
      <c r="A20398" s="136"/>
      <c r="CM20398" s="111"/>
      <c r="CQ20398" s="111"/>
      <c r="EF20398"/>
      <c r="EG20398"/>
      <c r="EH20398"/>
      <c r="EI20398"/>
      <c r="EJ20398"/>
      <c r="EK20398"/>
    </row>
    <row r="20399" spans="1:141" s="116" customFormat="1">
      <c r="A20399" s="136"/>
      <c r="CM20399" s="111"/>
      <c r="CQ20399" s="111"/>
      <c r="EF20399"/>
      <c r="EG20399"/>
      <c r="EH20399"/>
      <c r="EI20399"/>
      <c r="EJ20399"/>
      <c r="EK20399"/>
    </row>
    <row r="20400" spans="1:141" s="116" customFormat="1">
      <c r="A20400" s="136"/>
      <c r="CM20400" s="111"/>
      <c r="CQ20400" s="111"/>
      <c r="EF20400"/>
      <c r="EG20400"/>
      <c r="EH20400"/>
      <c r="EI20400"/>
      <c r="EJ20400"/>
      <c r="EK20400"/>
    </row>
    <row r="20401" spans="1:141" s="116" customFormat="1">
      <c r="A20401" s="136"/>
      <c r="CM20401" s="111"/>
      <c r="CQ20401" s="111"/>
      <c r="EF20401"/>
      <c r="EG20401"/>
      <c r="EH20401"/>
      <c r="EI20401"/>
      <c r="EJ20401"/>
      <c r="EK20401"/>
    </row>
    <row r="20402" spans="1:141" s="116" customFormat="1">
      <c r="A20402" s="136"/>
      <c r="CM20402" s="111"/>
      <c r="CQ20402" s="111"/>
      <c r="EF20402"/>
      <c r="EG20402"/>
      <c r="EH20402"/>
      <c r="EI20402"/>
      <c r="EJ20402"/>
      <c r="EK20402"/>
    </row>
    <row r="20403" spans="1:141" s="116" customFormat="1">
      <c r="A20403" s="136"/>
      <c r="CM20403" s="111"/>
      <c r="CQ20403" s="111"/>
      <c r="EF20403"/>
      <c r="EG20403"/>
      <c r="EH20403"/>
      <c r="EI20403"/>
      <c r="EJ20403"/>
      <c r="EK20403"/>
    </row>
    <row r="20404" spans="1:141" s="116" customFormat="1">
      <c r="A20404" s="136"/>
      <c r="CM20404" s="111"/>
      <c r="CQ20404" s="111"/>
      <c r="EF20404"/>
      <c r="EG20404"/>
      <c r="EH20404"/>
      <c r="EI20404"/>
      <c r="EJ20404"/>
      <c r="EK20404"/>
    </row>
    <row r="20405" spans="1:141" s="116" customFormat="1">
      <c r="A20405" s="136"/>
      <c r="CM20405" s="111"/>
      <c r="CQ20405" s="111"/>
      <c r="EF20405"/>
      <c r="EG20405"/>
      <c r="EH20405"/>
      <c r="EI20405"/>
      <c r="EJ20405"/>
      <c r="EK20405"/>
    </row>
    <row r="20406" spans="1:141" s="116" customFormat="1">
      <c r="A20406" s="136"/>
      <c r="CM20406" s="111"/>
      <c r="CQ20406" s="111"/>
      <c r="EF20406"/>
      <c r="EG20406"/>
      <c r="EH20406"/>
      <c r="EI20406"/>
      <c r="EJ20406"/>
      <c r="EK20406"/>
    </row>
    <row r="20407" spans="1:141" s="116" customFormat="1">
      <c r="A20407" s="136"/>
      <c r="CM20407" s="111"/>
      <c r="CQ20407" s="111"/>
      <c r="EF20407"/>
      <c r="EG20407"/>
      <c r="EH20407"/>
      <c r="EI20407"/>
      <c r="EJ20407"/>
      <c r="EK20407"/>
    </row>
    <row r="20408" spans="1:141" s="116" customFormat="1">
      <c r="A20408" s="136"/>
      <c r="CM20408" s="111"/>
      <c r="CQ20408" s="111"/>
      <c r="EF20408"/>
      <c r="EG20408"/>
      <c r="EH20408"/>
      <c r="EI20408"/>
      <c r="EJ20408"/>
      <c r="EK20408"/>
    </row>
    <row r="20409" spans="1:141" s="116" customFormat="1">
      <c r="A20409" s="136"/>
      <c r="CM20409" s="111"/>
      <c r="CQ20409" s="111"/>
      <c r="EF20409"/>
      <c r="EG20409"/>
      <c r="EH20409"/>
      <c r="EI20409"/>
      <c r="EJ20409"/>
      <c r="EK20409"/>
    </row>
    <row r="20410" spans="1:141" s="116" customFormat="1">
      <c r="A20410" s="136"/>
      <c r="CM20410" s="111"/>
      <c r="CQ20410" s="111"/>
      <c r="EF20410"/>
      <c r="EG20410"/>
      <c r="EH20410"/>
      <c r="EI20410"/>
      <c r="EJ20410"/>
      <c r="EK20410"/>
    </row>
    <row r="20411" spans="1:141" s="116" customFormat="1">
      <c r="A20411" s="136"/>
      <c r="CM20411" s="111"/>
      <c r="CQ20411" s="111"/>
      <c r="EF20411"/>
      <c r="EG20411"/>
      <c r="EH20411"/>
      <c r="EI20411"/>
      <c r="EJ20411"/>
      <c r="EK20411"/>
    </row>
    <row r="20412" spans="1:141" s="116" customFormat="1">
      <c r="A20412" s="136"/>
      <c r="CM20412" s="111"/>
      <c r="CQ20412" s="111"/>
      <c r="EF20412"/>
      <c r="EG20412"/>
      <c r="EH20412"/>
      <c r="EI20412"/>
      <c r="EJ20412"/>
      <c r="EK20412"/>
    </row>
    <row r="20413" spans="1:141" s="116" customFormat="1">
      <c r="A20413" s="136"/>
      <c r="CM20413" s="111"/>
      <c r="CQ20413" s="111"/>
      <c r="EF20413"/>
      <c r="EG20413"/>
      <c r="EH20413"/>
      <c r="EI20413"/>
      <c r="EJ20413"/>
      <c r="EK20413"/>
    </row>
    <row r="20414" spans="1:141" s="116" customFormat="1">
      <c r="A20414" s="136"/>
      <c r="CM20414" s="111"/>
      <c r="CQ20414" s="111"/>
      <c r="EF20414"/>
      <c r="EG20414"/>
      <c r="EH20414"/>
      <c r="EI20414"/>
      <c r="EJ20414"/>
      <c r="EK20414"/>
    </row>
    <row r="20415" spans="1:141" s="116" customFormat="1">
      <c r="A20415" s="136"/>
      <c r="CM20415" s="111"/>
      <c r="CQ20415" s="111"/>
      <c r="EF20415"/>
      <c r="EG20415"/>
      <c r="EH20415"/>
      <c r="EI20415"/>
      <c r="EJ20415"/>
      <c r="EK20415"/>
    </row>
    <row r="20416" spans="1:141" s="116" customFormat="1">
      <c r="A20416" s="136"/>
      <c r="CM20416" s="111"/>
      <c r="CQ20416" s="111"/>
      <c r="EF20416"/>
      <c r="EG20416"/>
      <c r="EH20416"/>
      <c r="EI20416"/>
      <c r="EJ20416"/>
      <c r="EK20416"/>
    </row>
    <row r="20417" spans="1:141" s="116" customFormat="1">
      <c r="A20417" s="136"/>
      <c r="CM20417" s="111"/>
      <c r="CQ20417" s="111"/>
      <c r="EF20417"/>
      <c r="EG20417"/>
      <c r="EH20417"/>
      <c r="EI20417"/>
      <c r="EJ20417"/>
      <c r="EK20417"/>
    </row>
    <row r="20418" spans="1:141" s="116" customFormat="1">
      <c r="A20418" s="136"/>
      <c r="CM20418" s="111"/>
      <c r="CQ20418" s="111"/>
      <c r="EF20418"/>
      <c r="EG20418"/>
      <c r="EH20418"/>
      <c r="EI20418"/>
      <c r="EJ20418"/>
      <c r="EK20418"/>
    </row>
    <row r="20419" spans="1:141" s="116" customFormat="1">
      <c r="A20419" s="136"/>
      <c r="CM20419" s="111"/>
      <c r="CQ20419" s="111"/>
      <c r="EF20419"/>
      <c r="EG20419"/>
      <c r="EH20419"/>
      <c r="EI20419"/>
      <c r="EJ20419"/>
      <c r="EK20419"/>
    </row>
    <row r="20420" spans="1:141" s="116" customFormat="1">
      <c r="A20420" s="136"/>
      <c r="CM20420" s="111"/>
      <c r="CQ20420" s="111"/>
      <c r="EF20420"/>
      <c r="EG20420"/>
      <c r="EH20420"/>
      <c r="EI20420"/>
      <c r="EJ20420"/>
      <c r="EK20420"/>
    </row>
    <row r="20421" spans="1:141" s="116" customFormat="1">
      <c r="A20421" s="136"/>
      <c r="CM20421" s="111"/>
      <c r="CQ20421" s="111"/>
      <c r="EF20421"/>
      <c r="EG20421"/>
      <c r="EH20421"/>
      <c r="EI20421"/>
      <c r="EJ20421"/>
      <c r="EK20421"/>
    </row>
    <row r="20422" spans="1:141" s="116" customFormat="1">
      <c r="A20422" s="136"/>
      <c r="CM20422" s="111"/>
      <c r="CQ20422" s="111"/>
      <c r="EF20422"/>
      <c r="EG20422"/>
      <c r="EH20422"/>
      <c r="EI20422"/>
      <c r="EJ20422"/>
      <c r="EK20422"/>
    </row>
    <row r="20423" spans="1:141" s="116" customFormat="1">
      <c r="A20423" s="136"/>
      <c r="CM20423" s="111"/>
      <c r="CQ20423" s="111"/>
      <c r="EF20423"/>
      <c r="EG20423"/>
      <c r="EH20423"/>
      <c r="EI20423"/>
      <c r="EJ20423"/>
      <c r="EK20423"/>
    </row>
    <row r="20424" spans="1:141" s="116" customFormat="1">
      <c r="A20424" s="136"/>
      <c r="CM20424" s="111"/>
      <c r="CQ20424" s="111"/>
      <c r="EF20424"/>
      <c r="EG20424"/>
      <c r="EH20424"/>
      <c r="EI20424"/>
      <c r="EJ20424"/>
      <c r="EK20424"/>
    </row>
    <row r="20425" spans="1:141" s="116" customFormat="1">
      <c r="A20425" s="136"/>
      <c r="CM20425" s="111"/>
      <c r="CQ20425" s="111"/>
      <c r="EF20425"/>
      <c r="EG20425"/>
      <c r="EH20425"/>
      <c r="EI20425"/>
      <c r="EJ20425"/>
      <c r="EK20425"/>
    </row>
    <row r="20426" spans="1:141" s="116" customFormat="1">
      <c r="A20426" s="136"/>
      <c r="CM20426" s="111"/>
      <c r="CQ20426" s="111"/>
      <c r="EF20426"/>
      <c r="EG20426"/>
      <c r="EH20426"/>
      <c r="EI20426"/>
      <c r="EJ20426"/>
      <c r="EK20426"/>
    </row>
    <row r="20427" spans="1:141" s="116" customFormat="1">
      <c r="A20427" s="136"/>
      <c r="CM20427" s="111"/>
      <c r="CQ20427" s="111"/>
      <c r="EF20427"/>
      <c r="EG20427"/>
      <c r="EH20427"/>
      <c r="EI20427"/>
      <c r="EJ20427"/>
      <c r="EK20427"/>
    </row>
    <row r="20428" spans="1:141" s="116" customFormat="1">
      <c r="A20428" s="136"/>
      <c r="CM20428" s="111"/>
      <c r="CQ20428" s="111"/>
      <c r="EF20428"/>
      <c r="EG20428"/>
      <c r="EH20428"/>
      <c r="EI20428"/>
      <c r="EJ20428"/>
      <c r="EK20428"/>
    </row>
    <row r="20429" spans="1:141" s="116" customFormat="1">
      <c r="A20429" s="136"/>
      <c r="CM20429" s="111"/>
      <c r="CQ20429" s="111"/>
      <c r="EF20429"/>
      <c r="EG20429"/>
      <c r="EH20429"/>
      <c r="EI20429"/>
      <c r="EJ20429"/>
      <c r="EK20429"/>
    </row>
    <row r="20430" spans="1:141" s="116" customFormat="1">
      <c r="A20430" s="136"/>
      <c r="CM20430" s="111"/>
      <c r="CQ20430" s="111"/>
      <c r="EF20430"/>
      <c r="EG20430"/>
      <c r="EH20430"/>
      <c r="EI20430"/>
      <c r="EJ20430"/>
      <c r="EK20430"/>
    </row>
    <row r="20431" spans="1:141" s="116" customFormat="1">
      <c r="A20431" s="136"/>
      <c r="CM20431" s="111"/>
      <c r="CQ20431" s="111"/>
      <c r="EF20431"/>
      <c r="EG20431"/>
      <c r="EH20431"/>
      <c r="EI20431"/>
      <c r="EJ20431"/>
      <c r="EK20431"/>
    </row>
    <row r="20432" spans="1:141" s="116" customFormat="1">
      <c r="A20432" s="136"/>
      <c r="CM20432" s="111"/>
      <c r="CQ20432" s="111"/>
      <c r="EF20432"/>
      <c r="EG20432"/>
      <c r="EH20432"/>
      <c r="EI20432"/>
      <c r="EJ20432"/>
      <c r="EK20432"/>
    </row>
    <row r="20433" spans="1:141" s="116" customFormat="1">
      <c r="A20433" s="136"/>
      <c r="CM20433" s="111"/>
      <c r="CQ20433" s="111"/>
      <c r="EF20433"/>
      <c r="EG20433"/>
      <c r="EH20433"/>
      <c r="EI20433"/>
      <c r="EJ20433"/>
      <c r="EK20433"/>
    </row>
    <row r="20434" spans="1:141" s="116" customFormat="1">
      <c r="A20434" s="136"/>
      <c r="CM20434" s="111"/>
      <c r="CQ20434" s="111"/>
      <c r="EF20434"/>
      <c r="EG20434"/>
      <c r="EH20434"/>
      <c r="EI20434"/>
      <c r="EJ20434"/>
      <c r="EK20434"/>
    </row>
    <row r="20435" spans="1:141" s="116" customFormat="1">
      <c r="A20435" s="136"/>
      <c r="CM20435" s="111"/>
      <c r="CQ20435" s="111"/>
      <c r="EF20435"/>
      <c r="EG20435"/>
      <c r="EH20435"/>
      <c r="EI20435"/>
      <c r="EJ20435"/>
      <c r="EK20435"/>
    </row>
    <row r="20436" spans="1:141" s="116" customFormat="1">
      <c r="A20436" s="136"/>
      <c r="CM20436" s="111"/>
      <c r="CQ20436" s="111"/>
      <c r="EF20436"/>
      <c r="EG20436"/>
      <c r="EH20436"/>
      <c r="EI20436"/>
      <c r="EJ20436"/>
      <c r="EK20436"/>
    </row>
    <row r="20437" spans="1:141" s="116" customFormat="1">
      <c r="A20437" s="136"/>
      <c r="CM20437" s="111"/>
      <c r="CQ20437" s="111"/>
      <c r="EF20437"/>
      <c r="EG20437"/>
      <c r="EH20437"/>
      <c r="EI20437"/>
      <c r="EJ20437"/>
      <c r="EK20437"/>
    </row>
    <row r="20438" spans="1:141" s="116" customFormat="1">
      <c r="A20438" s="136"/>
      <c r="CM20438" s="111"/>
      <c r="CQ20438" s="111"/>
      <c r="EF20438"/>
      <c r="EG20438"/>
      <c r="EH20438"/>
      <c r="EI20438"/>
      <c r="EJ20438"/>
      <c r="EK20438"/>
    </row>
    <row r="20439" spans="1:141" s="116" customFormat="1">
      <c r="A20439" s="136"/>
      <c r="CM20439" s="111"/>
      <c r="CQ20439" s="111"/>
      <c r="EF20439"/>
      <c r="EG20439"/>
      <c r="EH20439"/>
      <c r="EI20439"/>
      <c r="EJ20439"/>
      <c r="EK20439"/>
    </row>
    <row r="20440" spans="1:141" s="116" customFormat="1">
      <c r="A20440" s="136"/>
      <c r="CM20440" s="111"/>
      <c r="CQ20440" s="111"/>
      <c r="EF20440"/>
      <c r="EG20440"/>
      <c r="EH20440"/>
      <c r="EI20440"/>
      <c r="EJ20440"/>
      <c r="EK20440"/>
    </row>
    <row r="20441" spans="1:141" s="116" customFormat="1">
      <c r="A20441" s="136"/>
      <c r="CM20441" s="111"/>
      <c r="CQ20441" s="111"/>
      <c r="EF20441"/>
      <c r="EG20441"/>
      <c r="EH20441"/>
      <c r="EI20441"/>
      <c r="EJ20441"/>
      <c r="EK20441"/>
    </row>
    <row r="20442" spans="1:141" s="116" customFormat="1">
      <c r="A20442" s="136"/>
      <c r="CM20442" s="111"/>
      <c r="CQ20442" s="111"/>
      <c r="EF20442"/>
      <c r="EG20442"/>
      <c r="EH20442"/>
      <c r="EI20442"/>
      <c r="EJ20442"/>
      <c r="EK20442"/>
    </row>
    <row r="20443" spans="1:141" s="116" customFormat="1">
      <c r="A20443" s="136"/>
      <c r="CM20443" s="111"/>
      <c r="CQ20443" s="111"/>
      <c r="EF20443"/>
      <c r="EG20443"/>
      <c r="EH20443"/>
      <c r="EI20443"/>
      <c r="EJ20443"/>
      <c r="EK20443"/>
    </row>
    <row r="20444" spans="1:141" s="116" customFormat="1">
      <c r="A20444" s="136"/>
      <c r="CM20444" s="111"/>
      <c r="CQ20444" s="111"/>
      <c r="EF20444"/>
      <c r="EG20444"/>
      <c r="EH20444"/>
      <c r="EI20444"/>
      <c r="EJ20444"/>
      <c r="EK20444"/>
    </row>
    <row r="20445" spans="1:141" s="116" customFormat="1">
      <c r="A20445" s="136"/>
      <c r="CM20445" s="111"/>
      <c r="CQ20445" s="111"/>
      <c r="EF20445"/>
      <c r="EG20445"/>
      <c r="EH20445"/>
      <c r="EI20445"/>
      <c r="EJ20445"/>
      <c r="EK20445"/>
    </row>
    <row r="20446" spans="1:141" s="116" customFormat="1">
      <c r="A20446" s="136"/>
      <c r="CM20446" s="111"/>
      <c r="CQ20446" s="111"/>
      <c r="EF20446"/>
      <c r="EG20446"/>
      <c r="EH20446"/>
      <c r="EI20446"/>
      <c r="EJ20446"/>
      <c r="EK20446"/>
    </row>
    <row r="20447" spans="1:141" s="116" customFormat="1">
      <c r="A20447" s="136"/>
      <c r="CM20447" s="111"/>
      <c r="CQ20447" s="111"/>
      <c r="EF20447"/>
      <c r="EG20447"/>
      <c r="EH20447"/>
      <c r="EI20447"/>
      <c r="EJ20447"/>
      <c r="EK20447"/>
    </row>
    <row r="20448" spans="1:141" s="116" customFormat="1">
      <c r="A20448" s="136"/>
      <c r="CM20448" s="111"/>
      <c r="CQ20448" s="111"/>
      <c r="EF20448"/>
      <c r="EG20448"/>
      <c r="EH20448"/>
      <c r="EI20448"/>
      <c r="EJ20448"/>
      <c r="EK20448"/>
    </row>
    <row r="20449" spans="1:141" s="116" customFormat="1">
      <c r="A20449" s="136"/>
      <c r="CM20449" s="111"/>
      <c r="CQ20449" s="111"/>
      <c r="EF20449"/>
      <c r="EG20449"/>
      <c r="EH20449"/>
      <c r="EI20449"/>
      <c r="EJ20449"/>
      <c r="EK20449"/>
    </row>
    <row r="20450" spans="1:141" s="116" customFormat="1">
      <c r="A20450" s="136"/>
      <c r="CM20450" s="111"/>
      <c r="CQ20450" s="111"/>
      <c r="EF20450"/>
      <c r="EG20450"/>
      <c r="EH20450"/>
      <c r="EI20450"/>
      <c r="EJ20450"/>
      <c r="EK20450"/>
    </row>
    <row r="20451" spans="1:141" s="116" customFormat="1">
      <c r="A20451" s="136"/>
      <c r="CM20451" s="111"/>
      <c r="CQ20451" s="111"/>
      <c r="EF20451"/>
      <c r="EG20451"/>
      <c r="EH20451"/>
      <c r="EI20451"/>
      <c r="EJ20451"/>
      <c r="EK20451"/>
    </row>
    <row r="20452" spans="1:141" s="116" customFormat="1">
      <c r="A20452" s="136"/>
      <c r="CM20452" s="111"/>
      <c r="CQ20452" s="111"/>
      <c r="EF20452"/>
      <c r="EG20452"/>
      <c r="EH20452"/>
      <c r="EI20452"/>
      <c r="EJ20452"/>
      <c r="EK20452"/>
    </row>
    <row r="20453" spans="1:141" s="116" customFormat="1">
      <c r="A20453" s="136"/>
      <c r="CM20453" s="111"/>
      <c r="CQ20453" s="111"/>
      <c r="EF20453"/>
      <c r="EG20453"/>
      <c r="EH20453"/>
      <c r="EI20453"/>
      <c r="EJ20453"/>
      <c r="EK20453"/>
    </row>
    <row r="20454" spans="1:141" s="116" customFormat="1">
      <c r="A20454" s="136"/>
      <c r="CM20454" s="111"/>
      <c r="CQ20454" s="111"/>
      <c r="EF20454"/>
      <c r="EG20454"/>
      <c r="EH20454"/>
      <c r="EI20454"/>
      <c r="EJ20454"/>
      <c r="EK20454"/>
    </row>
    <row r="20455" spans="1:141" s="116" customFormat="1">
      <c r="A20455" s="136"/>
      <c r="CM20455" s="111"/>
      <c r="CQ20455" s="111"/>
      <c r="EF20455"/>
      <c r="EG20455"/>
      <c r="EH20455"/>
      <c r="EI20455"/>
      <c r="EJ20455"/>
      <c r="EK20455"/>
    </row>
    <row r="20456" spans="1:141" s="116" customFormat="1">
      <c r="A20456" s="136"/>
      <c r="CM20456" s="111"/>
      <c r="CQ20456" s="111"/>
      <c r="EF20456"/>
      <c r="EG20456"/>
      <c r="EH20456"/>
      <c r="EI20456"/>
      <c r="EJ20456"/>
      <c r="EK20456"/>
    </row>
    <row r="20457" spans="1:141" s="116" customFormat="1">
      <c r="A20457" s="136"/>
      <c r="CM20457" s="111"/>
      <c r="CQ20457" s="111"/>
      <c r="EF20457"/>
      <c r="EG20457"/>
      <c r="EH20457"/>
      <c r="EI20457"/>
      <c r="EJ20457"/>
      <c r="EK20457"/>
    </row>
    <row r="20458" spans="1:141" s="116" customFormat="1">
      <c r="A20458" s="136"/>
      <c r="CM20458" s="111"/>
      <c r="CQ20458" s="111"/>
      <c r="EF20458"/>
      <c r="EG20458"/>
      <c r="EH20458"/>
      <c r="EI20458"/>
      <c r="EJ20458"/>
      <c r="EK20458"/>
    </row>
    <row r="20459" spans="1:141" s="116" customFormat="1">
      <c r="A20459" s="136"/>
      <c r="CM20459" s="111"/>
      <c r="CQ20459" s="111"/>
      <c r="EF20459"/>
      <c r="EG20459"/>
      <c r="EH20459"/>
      <c r="EI20459"/>
      <c r="EJ20459"/>
      <c r="EK20459"/>
    </row>
    <row r="20460" spans="1:141" s="116" customFormat="1">
      <c r="A20460" s="136"/>
      <c r="CM20460" s="111"/>
      <c r="CQ20460" s="111"/>
      <c r="EF20460"/>
      <c r="EG20460"/>
      <c r="EH20460"/>
      <c r="EI20460"/>
      <c r="EJ20460"/>
      <c r="EK20460"/>
    </row>
    <row r="20461" spans="1:141" s="116" customFormat="1">
      <c r="A20461" s="136"/>
      <c r="CM20461" s="111"/>
      <c r="CQ20461" s="111"/>
      <c r="EF20461"/>
      <c r="EG20461"/>
      <c r="EH20461"/>
      <c r="EI20461"/>
      <c r="EJ20461"/>
      <c r="EK20461"/>
    </row>
    <row r="20462" spans="1:141" s="116" customFormat="1">
      <c r="A20462" s="136"/>
      <c r="CM20462" s="111"/>
      <c r="CQ20462" s="111"/>
      <c r="EF20462"/>
      <c r="EG20462"/>
      <c r="EH20462"/>
      <c r="EI20462"/>
      <c r="EJ20462"/>
      <c r="EK20462"/>
    </row>
    <row r="20463" spans="1:141" s="116" customFormat="1">
      <c r="A20463" s="136"/>
      <c r="CM20463" s="111"/>
      <c r="CQ20463" s="111"/>
      <c r="EF20463"/>
      <c r="EG20463"/>
      <c r="EH20463"/>
      <c r="EI20463"/>
      <c r="EJ20463"/>
      <c r="EK20463"/>
    </row>
    <row r="20464" spans="1:141" s="116" customFormat="1">
      <c r="A20464" s="136"/>
      <c r="CM20464" s="111"/>
      <c r="CQ20464" s="111"/>
      <c r="EF20464"/>
      <c r="EG20464"/>
      <c r="EH20464"/>
      <c r="EI20464"/>
      <c r="EJ20464"/>
      <c r="EK20464"/>
    </row>
    <row r="20465" spans="1:141" s="116" customFormat="1">
      <c r="A20465" s="136"/>
      <c r="CM20465" s="111"/>
      <c r="CQ20465" s="111"/>
      <c r="EF20465"/>
      <c r="EG20465"/>
      <c r="EH20465"/>
      <c r="EI20465"/>
      <c r="EJ20465"/>
      <c r="EK20465"/>
    </row>
    <row r="20466" spans="1:141" s="116" customFormat="1">
      <c r="A20466" s="136"/>
      <c r="CM20466" s="111"/>
      <c r="CQ20466" s="111"/>
      <c r="EF20466"/>
      <c r="EG20466"/>
      <c r="EH20466"/>
      <c r="EI20466"/>
      <c r="EJ20466"/>
      <c r="EK20466"/>
    </row>
    <row r="20467" spans="1:141" s="116" customFormat="1">
      <c r="A20467" s="136"/>
      <c r="CM20467" s="111"/>
      <c r="CQ20467" s="111"/>
      <c r="EF20467"/>
      <c r="EG20467"/>
      <c r="EH20467"/>
      <c r="EI20467"/>
      <c r="EJ20467"/>
      <c r="EK20467"/>
    </row>
    <row r="20468" spans="1:141" s="116" customFormat="1">
      <c r="A20468" s="136"/>
      <c r="CM20468" s="111"/>
      <c r="CQ20468" s="111"/>
      <c r="EF20468"/>
      <c r="EG20468"/>
      <c r="EH20468"/>
      <c r="EI20468"/>
      <c r="EJ20468"/>
      <c r="EK20468"/>
    </row>
    <row r="20469" spans="1:141" s="116" customFormat="1">
      <c r="A20469" s="136"/>
      <c r="CM20469" s="111"/>
      <c r="CQ20469" s="111"/>
      <c r="EF20469"/>
      <c r="EG20469"/>
      <c r="EH20469"/>
      <c r="EI20469"/>
      <c r="EJ20469"/>
      <c r="EK20469"/>
    </row>
    <row r="20470" spans="1:141" s="116" customFormat="1">
      <c r="A20470" s="136"/>
      <c r="CM20470" s="111"/>
      <c r="CQ20470" s="111"/>
      <c r="EF20470"/>
      <c r="EG20470"/>
      <c r="EH20470"/>
      <c r="EI20470"/>
      <c r="EJ20470"/>
      <c r="EK20470"/>
    </row>
    <row r="20471" spans="1:141" s="116" customFormat="1">
      <c r="A20471" s="136"/>
      <c r="CM20471" s="111"/>
      <c r="CQ20471" s="111"/>
      <c r="EF20471"/>
      <c r="EG20471"/>
      <c r="EH20471"/>
      <c r="EI20471"/>
      <c r="EJ20471"/>
      <c r="EK20471"/>
    </row>
    <row r="20472" spans="1:141" s="116" customFormat="1">
      <c r="A20472" s="136"/>
      <c r="CM20472" s="111"/>
      <c r="CQ20472" s="111"/>
      <c r="EF20472"/>
      <c r="EG20472"/>
      <c r="EH20472"/>
      <c r="EI20472"/>
      <c r="EJ20472"/>
      <c r="EK20472"/>
    </row>
    <row r="20473" spans="1:141" s="116" customFormat="1">
      <c r="A20473" s="136"/>
      <c r="CM20473" s="111"/>
      <c r="CQ20473" s="111"/>
      <c r="EF20473"/>
      <c r="EG20473"/>
      <c r="EH20473"/>
      <c r="EI20473"/>
      <c r="EJ20473"/>
      <c r="EK20473"/>
    </row>
    <row r="20474" spans="1:141" s="116" customFormat="1">
      <c r="A20474" s="136"/>
      <c r="CM20474" s="111"/>
      <c r="CQ20474" s="111"/>
      <c r="EF20474"/>
      <c r="EG20474"/>
      <c r="EH20474"/>
      <c r="EI20474"/>
      <c r="EJ20474"/>
      <c r="EK20474"/>
    </row>
    <row r="20475" spans="1:141" s="116" customFormat="1">
      <c r="A20475" s="136"/>
      <c r="CM20475" s="111"/>
      <c r="CQ20475" s="111"/>
      <c r="EF20475"/>
      <c r="EG20475"/>
      <c r="EH20475"/>
      <c r="EI20475"/>
      <c r="EJ20475"/>
      <c r="EK20475"/>
    </row>
    <row r="20476" spans="1:141" s="116" customFormat="1">
      <c r="A20476" s="136"/>
      <c r="CM20476" s="111"/>
      <c r="CQ20476" s="111"/>
      <c r="EF20476"/>
      <c r="EG20476"/>
      <c r="EH20476"/>
      <c r="EI20476"/>
      <c r="EJ20476"/>
      <c r="EK20476"/>
    </row>
    <row r="20477" spans="1:141" s="116" customFormat="1">
      <c r="A20477" s="136"/>
      <c r="CM20477" s="111"/>
      <c r="CQ20477" s="111"/>
      <c r="EF20477"/>
      <c r="EG20477"/>
      <c r="EH20477"/>
      <c r="EI20477"/>
      <c r="EJ20477"/>
      <c r="EK20477"/>
    </row>
    <row r="20478" spans="1:141" s="116" customFormat="1">
      <c r="A20478" s="136"/>
      <c r="CM20478" s="111"/>
      <c r="CQ20478" s="111"/>
      <c r="EF20478"/>
      <c r="EG20478"/>
      <c r="EH20478"/>
      <c r="EI20478"/>
      <c r="EJ20478"/>
      <c r="EK20478"/>
    </row>
    <row r="20479" spans="1:141" s="116" customFormat="1">
      <c r="A20479" s="136"/>
      <c r="CM20479" s="111"/>
      <c r="CQ20479" s="111"/>
      <c r="EF20479"/>
      <c r="EG20479"/>
      <c r="EH20479"/>
      <c r="EI20479"/>
      <c r="EJ20479"/>
      <c r="EK20479"/>
    </row>
    <row r="20480" spans="1:141" s="116" customFormat="1">
      <c r="A20480" s="136"/>
      <c r="CM20480" s="111"/>
      <c r="CQ20480" s="111"/>
      <c r="EF20480"/>
      <c r="EG20480"/>
      <c r="EH20480"/>
      <c r="EI20480"/>
      <c r="EJ20480"/>
      <c r="EK20480"/>
    </row>
    <row r="20481" spans="1:141" s="116" customFormat="1">
      <c r="A20481" s="136"/>
      <c r="CM20481" s="111"/>
      <c r="CQ20481" s="111"/>
      <c r="EF20481"/>
      <c r="EG20481"/>
      <c r="EH20481"/>
      <c r="EI20481"/>
      <c r="EJ20481"/>
      <c r="EK20481"/>
    </row>
    <row r="20482" spans="1:141" s="116" customFormat="1">
      <c r="A20482" s="136"/>
      <c r="CM20482" s="111"/>
      <c r="CQ20482" s="111"/>
      <c r="EF20482"/>
      <c r="EG20482"/>
      <c r="EH20482"/>
      <c r="EI20482"/>
      <c r="EJ20482"/>
      <c r="EK20482"/>
    </row>
    <row r="20483" spans="1:141" s="116" customFormat="1">
      <c r="A20483" s="136"/>
      <c r="CM20483" s="111"/>
      <c r="CQ20483" s="111"/>
      <c r="EF20483"/>
      <c r="EG20483"/>
      <c r="EH20483"/>
      <c r="EI20483"/>
      <c r="EJ20483"/>
      <c r="EK20483"/>
    </row>
    <row r="20484" spans="1:141" s="116" customFormat="1">
      <c r="A20484" s="136"/>
      <c r="CM20484" s="111"/>
      <c r="CQ20484" s="111"/>
      <c r="EF20484"/>
      <c r="EG20484"/>
      <c r="EH20484"/>
      <c r="EI20484"/>
      <c r="EJ20484"/>
      <c r="EK20484"/>
    </row>
    <row r="20485" spans="1:141" s="116" customFormat="1">
      <c r="A20485" s="136"/>
      <c r="CM20485" s="111"/>
      <c r="CQ20485" s="111"/>
      <c r="EF20485"/>
      <c r="EG20485"/>
      <c r="EH20485"/>
      <c r="EI20485"/>
      <c r="EJ20485"/>
      <c r="EK20485"/>
    </row>
    <row r="20486" spans="1:141" s="116" customFormat="1">
      <c r="A20486" s="136"/>
      <c r="CM20486" s="111"/>
      <c r="CQ20486" s="111"/>
      <c r="EF20486"/>
      <c r="EG20486"/>
      <c r="EH20486"/>
      <c r="EI20486"/>
      <c r="EJ20486"/>
      <c r="EK20486"/>
    </row>
    <row r="20487" spans="1:141" s="116" customFormat="1">
      <c r="A20487" s="136"/>
      <c r="CM20487" s="111"/>
      <c r="CQ20487" s="111"/>
      <c r="EF20487"/>
      <c r="EG20487"/>
      <c r="EH20487"/>
      <c r="EI20487"/>
      <c r="EJ20487"/>
      <c r="EK20487"/>
    </row>
    <row r="20488" spans="1:141" s="116" customFormat="1">
      <c r="A20488" s="136"/>
      <c r="CM20488" s="111"/>
      <c r="CQ20488" s="111"/>
      <c r="EF20488"/>
      <c r="EG20488"/>
      <c r="EH20488"/>
      <c r="EI20488"/>
      <c r="EJ20488"/>
      <c r="EK20488"/>
    </row>
    <row r="20489" spans="1:141" s="116" customFormat="1">
      <c r="A20489" s="136"/>
      <c r="CM20489" s="111"/>
      <c r="CQ20489" s="111"/>
      <c r="EF20489"/>
      <c r="EG20489"/>
      <c r="EH20489"/>
      <c r="EI20489"/>
      <c r="EJ20489"/>
      <c r="EK20489"/>
    </row>
    <row r="20490" spans="1:141" s="116" customFormat="1">
      <c r="A20490" s="136"/>
      <c r="CM20490" s="111"/>
      <c r="CQ20490" s="111"/>
      <c r="EF20490"/>
      <c r="EG20490"/>
      <c r="EH20490"/>
      <c r="EI20490"/>
      <c r="EJ20490"/>
      <c r="EK20490"/>
    </row>
    <row r="20491" spans="1:141" s="116" customFormat="1">
      <c r="A20491" s="136"/>
      <c r="CM20491" s="111"/>
      <c r="CQ20491" s="111"/>
      <c r="EF20491"/>
      <c r="EG20491"/>
      <c r="EH20491"/>
      <c r="EI20491"/>
      <c r="EJ20491"/>
      <c r="EK20491"/>
    </row>
    <row r="20492" spans="1:141" s="116" customFormat="1">
      <c r="A20492" s="136"/>
      <c r="CM20492" s="111"/>
      <c r="CQ20492" s="111"/>
      <c r="EF20492"/>
      <c r="EG20492"/>
      <c r="EH20492"/>
      <c r="EI20492"/>
      <c r="EJ20492"/>
      <c r="EK20492"/>
    </row>
    <row r="20493" spans="1:141" s="116" customFormat="1">
      <c r="A20493" s="136"/>
      <c r="CM20493" s="111"/>
      <c r="CQ20493" s="111"/>
      <c r="EF20493"/>
      <c r="EG20493"/>
      <c r="EH20493"/>
      <c r="EI20493"/>
      <c r="EJ20493"/>
      <c r="EK20493"/>
    </row>
    <row r="20494" spans="1:141" s="116" customFormat="1">
      <c r="A20494" s="136"/>
      <c r="CM20494" s="111"/>
      <c r="CQ20494" s="111"/>
      <c r="EF20494"/>
      <c r="EG20494"/>
      <c r="EH20494"/>
      <c r="EI20494"/>
      <c r="EJ20494"/>
      <c r="EK20494"/>
    </row>
    <row r="20495" spans="1:141" s="116" customFormat="1">
      <c r="A20495" s="136"/>
      <c r="CM20495" s="111"/>
      <c r="CQ20495" s="111"/>
      <c r="EF20495"/>
      <c r="EG20495"/>
      <c r="EH20495"/>
      <c r="EI20495"/>
      <c r="EJ20495"/>
      <c r="EK20495"/>
    </row>
    <row r="20496" spans="1:141" s="116" customFormat="1">
      <c r="A20496" s="136"/>
      <c r="CM20496" s="111"/>
      <c r="CQ20496" s="111"/>
      <c r="EF20496"/>
      <c r="EG20496"/>
      <c r="EH20496"/>
      <c r="EI20496"/>
      <c r="EJ20496"/>
      <c r="EK20496"/>
    </row>
    <row r="20497" spans="1:141" s="116" customFormat="1">
      <c r="A20497" s="136"/>
      <c r="CM20497" s="111"/>
      <c r="CQ20497" s="111"/>
      <c r="EF20497"/>
      <c r="EG20497"/>
      <c r="EH20497"/>
      <c r="EI20497"/>
      <c r="EJ20497"/>
      <c r="EK20497"/>
    </row>
    <row r="20498" spans="1:141" s="116" customFormat="1">
      <c r="A20498" s="136"/>
      <c r="CM20498" s="111"/>
      <c r="CQ20498" s="111"/>
      <c r="EF20498"/>
      <c r="EG20498"/>
      <c r="EH20498"/>
      <c r="EI20498"/>
      <c r="EJ20498"/>
      <c r="EK20498"/>
    </row>
    <row r="20499" spans="1:141" s="116" customFormat="1">
      <c r="A20499" s="136"/>
      <c r="CM20499" s="111"/>
      <c r="CQ20499" s="111"/>
      <c r="EF20499"/>
      <c r="EG20499"/>
      <c r="EH20499"/>
      <c r="EI20499"/>
      <c r="EJ20499"/>
      <c r="EK20499"/>
    </row>
    <row r="20500" spans="1:141" s="116" customFormat="1">
      <c r="A20500" s="136"/>
      <c r="CM20500" s="111"/>
      <c r="CQ20500" s="111"/>
      <c r="EF20500"/>
      <c r="EG20500"/>
      <c r="EH20500"/>
      <c r="EI20500"/>
      <c r="EJ20500"/>
      <c r="EK20500"/>
    </row>
    <row r="20501" spans="1:141" s="116" customFormat="1">
      <c r="A20501" s="136"/>
      <c r="CM20501" s="111"/>
      <c r="CQ20501" s="111"/>
      <c r="EF20501"/>
      <c r="EG20501"/>
      <c r="EH20501"/>
      <c r="EI20501"/>
      <c r="EJ20501"/>
      <c r="EK20501"/>
    </row>
    <row r="20502" spans="1:141" s="116" customFormat="1">
      <c r="A20502" s="136"/>
      <c r="CM20502" s="111"/>
      <c r="CQ20502" s="111"/>
      <c r="EF20502"/>
      <c r="EG20502"/>
      <c r="EH20502"/>
      <c r="EI20502"/>
      <c r="EJ20502"/>
      <c r="EK20502"/>
    </row>
    <row r="20503" spans="1:141" s="116" customFormat="1">
      <c r="A20503" s="136"/>
      <c r="CM20503" s="111"/>
      <c r="CQ20503" s="111"/>
      <c r="EF20503"/>
      <c r="EG20503"/>
      <c r="EH20503"/>
      <c r="EI20503"/>
      <c r="EJ20503"/>
      <c r="EK20503"/>
    </row>
    <row r="20504" spans="1:141" s="116" customFormat="1">
      <c r="A20504" s="136"/>
      <c r="CM20504" s="111"/>
      <c r="CQ20504" s="111"/>
      <c r="EF20504"/>
      <c r="EG20504"/>
      <c r="EH20504"/>
      <c r="EI20504"/>
      <c r="EJ20504"/>
      <c r="EK20504"/>
    </row>
    <row r="20505" spans="1:141" s="116" customFormat="1">
      <c r="A20505" s="136"/>
      <c r="CM20505" s="111"/>
      <c r="CQ20505" s="111"/>
      <c r="EF20505"/>
      <c r="EG20505"/>
      <c r="EH20505"/>
      <c r="EI20505"/>
      <c r="EJ20505"/>
      <c r="EK20505"/>
    </row>
    <row r="20506" spans="1:141" s="116" customFormat="1">
      <c r="A20506" s="136"/>
      <c r="CM20506" s="111"/>
      <c r="CQ20506" s="111"/>
      <c r="EF20506"/>
      <c r="EG20506"/>
      <c r="EH20506"/>
      <c r="EI20506"/>
      <c r="EJ20506"/>
      <c r="EK20506"/>
    </row>
    <row r="20507" spans="1:141" s="116" customFormat="1">
      <c r="A20507" s="136"/>
      <c r="CM20507" s="111"/>
      <c r="CQ20507" s="111"/>
      <c r="EF20507"/>
      <c r="EG20507"/>
      <c r="EH20507"/>
      <c r="EI20507"/>
      <c r="EJ20507"/>
      <c r="EK20507"/>
    </row>
    <row r="20508" spans="1:141" s="116" customFormat="1">
      <c r="A20508" s="136"/>
      <c r="CM20508" s="111"/>
      <c r="CQ20508" s="111"/>
      <c r="EF20508"/>
      <c r="EG20508"/>
      <c r="EH20508"/>
      <c r="EI20508"/>
      <c r="EJ20508"/>
      <c r="EK20508"/>
    </row>
    <row r="20509" spans="1:141" s="116" customFormat="1">
      <c r="A20509" s="136"/>
      <c r="CM20509" s="111"/>
      <c r="CQ20509" s="111"/>
      <c r="EF20509"/>
      <c r="EG20509"/>
      <c r="EH20509"/>
      <c r="EI20509"/>
      <c r="EJ20509"/>
      <c r="EK20509"/>
    </row>
    <row r="20510" spans="1:141" s="116" customFormat="1">
      <c r="A20510" s="136"/>
      <c r="CM20510" s="111"/>
      <c r="CQ20510" s="111"/>
      <c r="EF20510"/>
      <c r="EG20510"/>
      <c r="EH20510"/>
      <c r="EI20510"/>
      <c r="EJ20510"/>
      <c r="EK20510"/>
    </row>
    <row r="20511" spans="1:141" s="116" customFormat="1">
      <c r="A20511" s="136"/>
      <c r="CM20511" s="111"/>
      <c r="CQ20511" s="111"/>
      <c r="EF20511"/>
      <c r="EG20511"/>
      <c r="EH20511"/>
      <c r="EI20511"/>
      <c r="EJ20511"/>
      <c r="EK20511"/>
    </row>
    <row r="20512" spans="1:141" s="116" customFormat="1">
      <c r="A20512" s="136"/>
      <c r="CM20512" s="111"/>
      <c r="CQ20512" s="111"/>
      <c r="EF20512"/>
      <c r="EG20512"/>
      <c r="EH20512"/>
      <c r="EI20512"/>
      <c r="EJ20512"/>
      <c r="EK20512"/>
    </row>
    <row r="20513" spans="1:141" s="116" customFormat="1">
      <c r="A20513" s="136"/>
      <c r="CM20513" s="111"/>
      <c r="CQ20513" s="111"/>
      <c r="EF20513"/>
      <c r="EG20513"/>
      <c r="EH20513"/>
      <c r="EI20513"/>
      <c r="EJ20513"/>
      <c r="EK20513"/>
    </row>
    <row r="20514" spans="1:141" s="116" customFormat="1">
      <c r="A20514" s="136"/>
      <c r="CM20514" s="111"/>
      <c r="CQ20514" s="111"/>
      <c r="EF20514"/>
      <c r="EG20514"/>
      <c r="EH20514"/>
      <c r="EI20514"/>
      <c r="EJ20514"/>
      <c r="EK20514"/>
    </row>
    <row r="20515" spans="1:141" s="116" customFormat="1">
      <c r="A20515" s="136"/>
      <c r="CM20515" s="111"/>
      <c r="CQ20515" s="111"/>
      <c r="EF20515"/>
      <c r="EG20515"/>
      <c r="EH20515"/>
      <c r="EI20515"/>
      <c r="EJ20515"/>
      <c r="EK20515"/>
    </row>
    <row r="20516" spans="1:141" s="116" customFormat="1">
      <c r="A20516" s="136"/>
      <c r="CM20516" s="111"/>
      <c r="CQ20516" s="111"/>
      <c r="EF20516"/>
      <c r="EG20516"/>
      <c r="EH20516"/>
      <c r="EI20516"/>
      <c r="EJ20516"/>
      <c r="EK20516"/>
    </row>
    <row r="20517" spans="1:141" s="116" customFormat="1">
      <c r="A20517" s="136"/>
      <c r="CM20517" s="111"/>
      <c r="CQ20517" s="111"/>
      <c r="EF20517"/>
      <c r="EG20517"/>
      <c r="EH20517"/>
      <c r="EI20517"/>
      <c r="EJ20517"/>
      <c r="EK20517"/>
    </row>
    <row r="20518" spans="1:141" s="116" customFormat="1">
      <c r="A20518" s="136"/>
      <c r="CM20518" s="111"/>
      <c r="CQ20518" s="111"/>
      <c r="EF20518"/>
      <c r="EG20518"/>
      <c r="EH20518"/>
      <c r="EI20518"/>
      <c r="EJ20518"/>
      <c r="EK20518"/>
    </row>
    <row r="20519" spans="1:141" s="116" customFormat="1">
      <c r="A20519" s="136"/>
      <c r="CM20519" s="111"/>
      <c r="CQ20519" s="111"/>
      <c r="EF20519"/>
      <c r="EG20519"/>
      <c r="EH20519"/>
      <c r="EI20519"/>
      <c r="EJ20519"/>
      <c r="EK20519"/>
    </row>
    <row r="20520" spans="1:141" s="116" customFormat="1">
      <c r="A20520" s="136"/>
      <c r="CM20520" s="111"/>
      <c r="CQ20520" s="111"/>
      <c r="EF20520"/>
      <c r="EG20520"/>
      <c r="EH20520"/>
      <c r="EI20520"/>
      <c r="EJ20520"/>
      <c r="EK20520"/>
    </row>
    <row r="20521" spans="1:141" s="116" customFormat="1">
      <c r="A20521" s="136"/>
      <c r="CM20521" s="111"/>
      <c r="CQ20521" s="111"/>
      <c r="EF20521"/>
      <c r="EG20521"/>
      <c r="EH20521"/>
      <c r="EI20521"/>
      <c r="EJ20521"/>
      <c r="EK20521"/>
    </row>
    <row r="20522" spans="1:141" s="116" customFormat="1">
      <c r="A20522" s="136"/>
      <c r="CM20522" s="111"/>
      <c r="CQ20522" s="111"/>
      <c r="EF20522"/>
      <c r="EG20522"/>
      <c r="EH20522"/>
      <c r="EI20522"/>
      <c r="EJ20522"/>
      <c r="EK20522"/>
    </row>
    <row r="20523" spans="1:141" s="116" customFormat="1">
      <c r="A20523" s="136"/>
      <c r="CM20523" s="111"/>
      <c r="CQ20523" s="111"/>
      <c r="EF20523"/>
      <c r="EG20523"/>
      <c r="EH20523"/>
      <c r="EI20523"/>
      <c r="EJ20523"/>
      <c r="EK20523"/>
    </row>
    <row r="20524" spans="1:141" s="116" customFormat="1">
      <c r="A20524" s="136"/>
      <c r="CM20524" s="111"/>
      <c r="CQ20524" s="111"/>
      <c r="EF20524"/>
      <c r="EG20524"/>
      <c r="EH20524"/>
      <c r="EI20524"/>
      <c r="EJ20524"/>
      <c r="EK20524"/>
    </row>
    <row r="20525" spans="1:141" s="116" customFormat="1">
      <c r="A20525" s="136"/>
      <c r="CM20525" s="111"/>
      <c r="CQ20525" s="111"/>
      <c r="EF20525"/>
      <c r="EG20525"/>
      <c r="EH20525"/>
      <c r="EI20525"/>
      <c r="EJ20525"/>
      <c r="EK20525"/>
    </row>
    <row r="20526" spans="1:141" s="116" customFormat="1">
      <c r="A20526" s="136"/>
      <c r="CM20526" s="111"/>
      <c r="CQ20526" s="111"/>
      <c r="EF20526"/>
      <c r="EG20526"/>
      <c r="EH20526"/>
      <c r="EI20526"/>
      <c r="EJ20526"/>
      <c r="EK20526"/>
    </row>
    <row r="20527" spans="1:141" s="116" customFormat="1">
      <c r="A20527" s="136"/>
      <c r="CM20527" s="111"/>
      <c r="CQ20527" s="111"/>
      <c r="EF20527"/>
      <c r="EG20527"/>
      <c r="EH20527"/>
      <c r="EI20527"/>
      <c r="EJ20527"/>
      <c r="EK20527"/>
    </row>
    <row r="20528" spans="1:141" s="116" customFormat="1">
      <c r="A20528" s="136"/>
      <c r="CM20528" s="111"/>
      <c r="CQ20528" s="111"/>
      <c r="EF20528"/>
      <c r="EG20528"/>
      <c r="EH20528"/>
      <c r="EI20528"/>
      <c r="EJ20528"/>
      <c r="EK20528"/>
    </row>
    <row r="20529" spans="1:141" s="116" customFormat="1">
      <c r="A20529" s="136"/>
      <c r="CM20529" s="111"/>
      <c r="CQ20529" s="111"/>
      <c r="EF20529"/>
      <c r="EG20529"/>
      <c r="EH20529"/>
      <c r="EI20529"/>
      <c r="EJ20529"/>
      <c r="EK20529"/>
    </row>
    <row r="20530" spans="1:141" s="116" customFormat="1">
      <c r="A20530" s="136"/>
      <c r="CM20530" s="111"/>
      <c r="CQ20530" s="111"/>
      <c r="EF20530"/>
      <c r="EG20530"/>
      <c r="EH20530"/>
      <c r="EI20530"/>
      <c r="EJ20530"/>
      <c r="EK20530"/>
    </row>
    <row r="20531" spans="1:141" s="116" customFormat="1">
      <c r="A20531" s="136"/>
      <c r="CM20531" s="111"/>
      <c r="CQ20531" s="111"/>
      <c r="EF20531"/>
      <c r="EG20531"/>
      <c r="EH20531"/>
      <c r="EI20531"/>
      <c r="EJ20531"/>
      <c r="EK20531"/>
    </row>
    <row r="20532" spans="1:141" s="116" customFormat="1">
      <c r="A20532" s="136"/>
      <c r="CM20532" s="111"/>
      <c r="CQ20532" s="111"/>
      <c r="EF20532"/>
      <c r="EG20532"/>
      <c r="EH20532"/>
      <c r="EI20532"/>
      <c r="EJ20532"/>
      <c r="EK20532"/>
    </row>
    <row r="20533" spans="1:141" s="116" customFormat="1">
      <c r="A20533" s="136"/>
      <c r="CM20533" s="111"/>
      <c r="CQ20533" s="111"/>
      <c r="EF20533"/>
      <c r="EG20533"/>
      <c r="EH20533"/>
      <c r="EI20533"/>
      <c r="EJ20533"/>
      <c r="EK20533"/>
    </row>
    <row r="20534" spans="1:141" s="116" customFormat="1">
      <c r="A20534" s="136"/>
      <c r="CM20534" s="111"/>
      <c r="CQ20534" s="111"/>
      <c r="EF20534"/>
      <c r="EG20534"/>
      <c r="EH20534"/>
      <c r="EI20534"/>
      <c r="EJ20534"/>
      <c r="EK20534"/>
    </row>
    <row r="20535" spans="1:141" s="116" customFormat="1">
      <c r="A20535" s="136"/>
      <c r="CM20535" s="111"/>
      <c r="CQ20535" s="111"/>
      <c r="EF20535"/>
      <c r="EG20535"/>
      <c r="EH20535"/>
      <c r="EI20535"/>
      <c r="EJ20535"/>
      <c r="EK20535"/>
    </row>
    <row r="20536" spans="1:141" s="116" customFormat="1">
      <c r="A20536" s="136"/>
      <c r="CM20536" s="111"/>
      <c r="CQ20536" s="111"/>
      <c r="EF20536"/>
      <c r="EG20536"/>
      <c r="EH20536"/>
      <c r="EI20536"/>
      <c r="EJ20536"/>
      <c r="EK20536"/>
    </row>
    <row r="20537" spans="1:141" s="116" customFormat="1">
      <c r="A20537" s="136"/>
      <c r="CM20537" s="111"/>
      <c r="CQ20537" s="111"/>
      <c r="EF20537"/>
      <c r="EG20537"/>
      <c r="EH20537"/>
      <c r="EI20537"/>
      <c r="EJ20537"/>
      <c r="EK20537"/>
    </row>
    <row r="20538" spans="1:141" s="116" customFormat="1">
      <c r="A20538" s="136"/>
      <c r="CM20538" s="111"/>
      <c r="CQ20538" s="111"/>
      <c r="EF20538"/>
      <c r="EG20538"/>
      <c r="EH20538"/>
      <c r="EI20538"/>
      <c r="EJ20538"/>
      <c r="EK20538"/>
    </row>
    <row r="20539" spans="1:141" s="116" customFormat="1">
      <c r="A20539" s="136"/>
      <c r="CM20539" s="111"/>
      <c r="CQ20539" s="111"/>
      <c r="EF20539"/>
      <c r="EG20539"/>
      <c r="EH20539"/>
      <c r="EI20539"/>
      <c r="EJ20539"/>
      <c r="EK20539"/>
    </row>
    <row r="20540" spans="1:141" s="116" customFormat="1">
      <c r="A20540" s="136"/>
      <c r="CM20540" s="111"/>
      <c r="CQ20540" s="111"/>
      <c r="EF20540"/>
      <c r="EG20540"/>
      <c r="EH20540"/>
      <c r="EI20540"/>
      <c r="EJ20540"/>
      <c r="EK20540"/>
    </row>
    <row r="20541" spans="1:141" s="116" customFormat="1">
      <c r="A20541" s="136"/>
      <c r="CM20541" s="111"/>
      <c r="CQ20541" s="111"/>
      <c r="EF20541"/>
      <c r="EG20541"/>
      <c r="EH20541"/>
      <c r="EI20541"/>
      <c r="EJ20541"/>
      <c r="EK20541"/>
    </row>
    <row r="20542" spans="1:141" s="116" customFormat="1">
      <c r="A20542" s="136"/>
      <c r="CM20542" s="111"/>
      <c r="CQ20542" s="111"/>
      <c r="EF20542"/>
      <c r="EG20542"/>
      <c r="EH20542"/>
      <c r="EI20542"/>
      <c r="EJ20542"/>
      <c r="EK20542"/>
    </row>
    <row r="20543" spans="1:141" s="116" customFormat="1">
      <c r="A20543" s="136"/>
      <c r="CM20543" s="111"/>
      <c r="CQ20543" s="111"/>
      <c r="EF20543"/>
      <c r="EG20543"/>
      <c r="EH20543"/>
      <c r="EI20543"/>
      <c r="EJ20543"/>
      <c r="EK20543"/>
    </row>
    <row r="20544" spans="1:141" s="116" customFormat="1">
      <c r="A20544" s="136"/>
      <c r="CM20544" s="111"/>
      <c r="CQ20544" s="111"/>
      <c r="EF20544"/>
      <c r="EG20544"/>
      <c r="EH20544"/>
      <c r="EI20544"/>
      <c r="EJ20544"/>
      <c r="EK20544"/>
    </row>
    <row r="20545" spans="1:141" s="116" customFormat="1">
      <c r="A20545" s="136"/>
      <c r="CM20545" s="111"/>
      <c r="CQ20545" s="111"/>
      <c r="EF20545"/>
      <c r="EG20545"/>
      <c r="EH20545"/>
      <c r="EI20545"/>
      <c r="EJ20545"/>
      <c r="EK20545"/>
    </row>
    <row r="20546" spans="1:141" s="116" customFormat="1">
      <c r="A20546" s="136"/>
      <c r="CM20546" s="111"/>
      <c r="CQ20546" s="111"/>
      <c r="EF20546"/>
      <c r="EG20546"/>
      <c r="EH20546"/>
      <c r="EI20546"/>
      <c r="EJ20546"/>
      <c r="EK20546"/>
    </row>
    <row r="20547" spans="1:141" s="116" customFormat="1">
      <c r="A20547" s="136"/>
      <c r="CM20547" s="111"/>
      <c r="CQ20547" s="111"/>
      <c r="EF20547"/>
      <c r="EG20547"/>
      <c r="EH20547"/>
      <c r="EI20547"/>
      <c r="EJ20547"/>
      <c r="EK20547"/>
    </row>
    <row r="20548" spans="1:141" s="116" customFormat="1">
      <c r="A20548" s="136"/>
      <c r="CM20548" s="111"/>
      <c r="CQ20548" s="111"/>
      <c r="EF20548"/>
      <c r="EG20548"/>
      <c r="EH20548"/>
      <c r="EI20548"/>
      <c r="EJ20548"/>
      <c r="EK20548"/>
    </row>
    <row r="20549" spans="1:141" s="116" customFormat="1">
      <c r="A20549" s="136"/>
      <c r="CM20549" s="111"/>
      <c r="CQ20549" s="111"/>
      <c r="EF20549"/>
      <c r="EG20549"/>
      <c r="EH20549"/>
      <c r="EI20549"/>
      <c r="EJ20549"/>
      <c r="EK20549"/>
    </row>
    <row r="20550" spans="1:141" s="116" customFormat="1">
      <c r="A20550" s="136"/>
      <c r="CM20550" s="111"/>
      <c r="CQ20550" s="111"/>
      <c r="EF20550"/>
      <c r="EG20550"/>
      <c r="EH20550"/>
      <c r="EI20550"/>
      <c r="EJ20550"/>
      <c r="EK20550"/>
    </row>
    <row r="20551" spans="1:141" s="116" customFormat="1">
      <c r="A20551" s="136"/>
      <c r="CM20551" s="111"/>
      <c r="CQ20551" s="111"/>
      <c r="EF20551"/>
      <c r="EG20551"/>
      <c r="EH20551"/>
      <c r="EI20551"/>
      <c r="EJ20551"/>
      <c r="EK20551"/>
    </row>
    <row r="20552" spans="1:141" s="116" customFormat="1">
      <c r="A20552" s="136"/>
      <c r="CM20552" s="111"/>
      <c r="CQ20552" s="111"/>
      <c r="EF20552"/>
      <c r="EG20552"/>
      <c r="EH20552"/>
      <c r="EI20552"/>
      <c r="EJ20552"/>
      <c r="EK20552"/>
    </row>
    <row r="20553" spans="1:141" s="116" customFormat="1">
      <c r="A20553" s="136"/>
      <c r="CM20553" s="111"/>
      <c r="CQ20553" s="111"/>
      <c r="EF20553"/>
      <c r="EG20553"/>
      <c r="EH20553"/>
      <c r="EI20553"/>
      <c r="EJ20553"/>
      <c r="EK20553"/>
    </row>
    <row r="20554" spans="1:141" s="116" customFormat="1">
      <c r="A20554" s="136"/>
      <c r="CM20554" s="111"/>
      <c r="CQ20554" s="111"/>
      <c r="EF20554"/>
      <c r="EG20554"/>
      <c r="EH20554"/>
      <c r="EI20554"/>
      <c r="EJ20554"/>
      <c r="EK20554"/>
    </row>
    <row r="20555" spans="1:141" s="116" customFormat="1">
      <c r="A20555" s="136"/>
      <c r="CM20555" s="111"/>
      <c r="CQ20555" s="111"/>
      <c r="EF20555"/>
      <c r="EG20555"/>
      <c r="EH20555"/>
      <c r="EI20555"/>
      <c r="EJ20555"/>
      <c r="EK20555"/>
    </row>
    <row r="20556" spans="1:141" s="116" customFormat="1">
      <c r="A20556" s="136"/>
      <c r="CM20556" s="111"/>
      <c r="CQ20556" s="111"/>
      <c r="EF20556"/>
      <c r="EG20556"/>
      <c r="EH20556"/>
      <c r="EI20556"/>
      <c r="EJ20556"/>
      <c r="EK20556"/>
    </row>
    <row r="20557" spans="1:141" s="116" customFormat="1">
      <c r="A20557" s="136"/>
      <c r="CM20557" s="111"/>
      <c r="CQ20557" s="111"/>
      <c r="EF20557"/>
      <c r="EG20557"/>
      <c r="EH20557"/>
      <c r="EI20557"/>
      <c r="EJ20557"/>
      <c r="EK20557"/>
    </row>
    <row r="20558" spans="1:141" s="116" customFormat="1">
      <c r="A20558" s="136"/>
      <c r="CM20558" s="111"/>
      <c r="CQ20558" s="111"/>
      <c r="EF20558"/>
      <c r="EG20558"/>
      <c r="EH20558"/>
      <c r="EI20558"/>
      <c r="EJ20558"/>
      <c r="EK20558"/>
    </row>
    <row r="20559" spans="1:141" s="116" customFormat="1">
      <c r="A20559" s="136"/>
      <c r="CM20559" s="111"/>
      <c r="CQ20559" s="111"/>
      <c r="EF20559"/>
      <c r="EG20559"/>
      <c r="EH20559"/>
      <c r="EI20559"/>
      <c r="EJ20559"/>
      <c r="EK20559"/>
    </row>
    <row r="20560" spans="1:141" s="116" customFormat="1">
      <c r="A20560" s="136"/>
      <c r="CM20560" s="111"/>
      <c r="CQ20560" s="111"/>
      <c r="EF20560"/>
      <c r="EG20560"/>
      <c r="EH20560"/>
      <c r="EI20560"/>
      <c r="EJ20560"/>
      <c r="EK20560"/>
    </row>
    <row r="20561" spans="1:141" s="116" customFormat="1">
      <c r="A20561" s="136"/>
      <c r="CM20561" s="111"/>
      <c r="CQ20561" s="111"/>
      <c r="EF20561"/>
      <c r="EG20561"/>
      <c r="EH20561"/>
      <c r="EI20561"/>
      <c r="EJ20561"/>
      <c r="EK20561"/>
    </row>
    <row r="20562" spans="1:141" s="116" customFormat="1">
      <c r="A20562" s="136"/>
      <c r="CM20562" s="111"/>
      <c r="CQ20562" s="111"/>
      <c r="EF20562"/>
      <c r="EG20562"/>
      <c r="EH20562"/>
      <c r="EI20562"/>
      <c r="EJ20562"/>
      <c r="EK20562"/>
    </row>
    <row r="20563" spans="1:141" s="116" customFormat="1">
      <c r="A20563" s="136"/>
      <c r="CM20563" s="111"/>
      <c r="CQ20563" s="111"/>
      <c r="EF20563"/>
      <c r="EG20563"/>
      <c r="EH20563"/>
      <c r="EI20563"/>
      <c r="EJ20563"/>
      <c r="EK20563"/>
    </row>
    <row r="20564" spans="1:141" s="116" customFormat="1">
      <c r="A20564" s="136"/>
      <c r="CM20564" s="111"/>
      <c r="CQ20564" s="111"/>
      <c r="EF20564"/>
      <c r="EG20564"/>
      <c r="EH20564"/>
      <c r="EI20564"/>
      <c r="EJ20564"/>
      <c r="EK20564"/>
    </row>
    <row r="20565" spans="1:141" s="116" customFormat="1">
      <c r="A20565" s="136"/>
      <c r="CM20565" s="111"/>
      <c r="CQ20565" s="111"/>
      <c r="EF20565"/>
      <c r="EG20565"/>
      <c r="EH20565"/>
      <c r="EI20565"/>
      <c r="EJ20565"/>
      <c r="EK20565"/>
    </row>
    <row r="20566" spans="1:141" s="116" customFormat="1">
      <c r="A20566" s="136"/>
      <c r="CM20566" s="111"/>
      <c r="CQ20566" s="111"/>
      <c r="EF20566"/>
      <c r="EG20566"/>
      <c r="EH20566"/>
      <c r="EI20566"/>
      <c r="EJ20566"/>
      <c r="EK20566"/>
    </row>
    <row r="20567" spans="1:141" s="116" customFormat="1">
      <c r="A20567" s="136"/>
      <c r="CM20567" s="111"/>
      <c r="CQ20567" s="111"/>
      <c r="EF20567"/>
      <c r="EG20567"/>
      <c r="EH20567"/>
      <c r="EI20567"/>
      <c r="EJ20567"/>
      <c r="EK20567"/>
    </row>
    <row r="20568" spans="1:141" s="116" customFormat="1">
      <c r="A20568" s="136"/>
      <c r="CM20568" s="111"/>
      <c r="CQ20568" s="111"/>
      <c r="EF20568"/>
      <c r="EG20568"/>
      <c r="EH20568"/>
      <c r="EI20568"/>
      <c r="EJ20568"/>
      <c r="EK20568"/>
    </row>
    <row r="20569" spans="1:141" s="116" customFormat="1">
      <c r="A20569" s="136"/>
      <c r="CM20569" s="111"/>
      <c r="CQ20569" s="111"/>
      <c r="EF20569"/>
      <c r="EG20569"/>
      <c r="EH20569"/>
      <c r="EI20569"/>
      <c r="EJ20569"/>
      <c r="EK20569"/>
    </row>
    <row r="20570" spans="1:141" s="116" customFormat="1">
      <c r="A20570" s="136"/>
      <c r="CM20570" s="111"/>
      <c r="CQ20570" s="111"/>
      <c r="EF20570"/>
      <c r="EG20570"/>
      <c r="EH20570"/>
      <c r="EI20570"/>
      <c r="EJ20570"/>
      <c r="EK20570"/>
    </row>
    <row r="20571" spans="1:141" s="116" customFormat="1">
      <c r="A20571" s="136"/>
      <c r="CM20571" s="111"/>
      <c r="CQ20571" s="111"/>
      <c r="EF20571"/>
      <c r="EG20571"/>
      <c r="EH20571"/>
      <c r="EI20571"/>
      <c r="EJ20571"/>
      <c r="EK20571"/>
    </row>
    <row r="20572" spans="1:141" s="116" customFormat="1">
      <c r="A20572" s="136"/>
      <c r="CM20572" s="111"/>
      <c r="CQ20572" s="111"/>
      <c r="EF20572"/>
      <c r="EG20572"/>
      <c r="EH20572"/>
      <c r="EI20572"/>
      <c r="EJ20572"/>
      <c r="EK20572"/>
    </row>
    <row r="20573" spans="1:141" s="116" customFormat="1">
      <c r="A20573" s="136"/>
      <c r="CM20573" s="111"/>
      <c r="CQ20573" s="111"/>
      <c r="EF20573"/>
      <c r="EG20573"/>
      <c r="EH20573"/>
      <c r="EI20573"/>
      <c r="EJ20573"/>
      <c r="EK20573"/>
    </row>
    <row r="20574" spans="1:141" s="116" customFormat="1">
      <c r="A20574" s="136"/>
      <c r="CM20574" s="111"/>
      <c r="CQ20574" s="111"/>
      <c r="EF20574"/>
      <c r="EG20574"/>
      <c r="EH20574"/>
      <c r="EI20574"/>
      <c r="EJ20574"/>
      <c r="EK20574"/>
    </row>
    <row r="20575" spans="1:141" s="116" customFormat="1">
      <c r="A20575" s="136"/>
      <c r="CM20575" s="111"/>
      <c r="CQ20575" s="111"/>
      <c r="EF20575"/>
      <c r="EG20575"/>
      <c r="EH20575"/>
      <c r="EI20575"/>
      <c r="EJ20575"/>
      <c r="EK20575"/>
    </row>
    <row r="20576" spans="1:141" s="116" customFormat="1">
      <c r="A20576" s="136"/>
      <c r="CM20576" s="111"/>
      <c r="CQ20576" s="111"/>
      <c r="EF20576"/>
      <c r="EG20576"/>
      <c r="EH20576"/>
      <c r="EI20576"/>
      <c r="EJ20576"/>
      <c r="EK20576"/>
    </row>
    <row r="20577" spans="1:141" s="116" customFormat="1">
      <c r="A20577" s="136"/>
      <c r="CM20577" s="111"/>
      <c r="CQ20577" s="111"/>
      <c r="EF20577"/>
      <c r="EG20577"/>
      <c r="EH20577"/>
      <c r="EI20577"/>
      <c r="EJ20577"/>
      <c r="EK20577"/>
    </row>
    <row r="20578" spans="1:141" s="116" customFormat="1">
      <c r="A20578" s="136"/>
      <c r="CM20578" s="111"/>
      <c r="CQ20578" s="111"/>
      <c r="EF20578"/>
      <c r="EG20578"/>
      <c r="EH20578"/>
      <c r="EI20578"/>
      <c r="EJ20578"/>
      <c r="EK20578"/>
    </row>
    <row r="20579" spans="1:141" s="116" customFormat="1">
      <c r="A20579" s="136"/>
      <c r="CM20579" s="111"/>
      <c r="CQ20579" s="111"/>
      <c r="EF20579"/>
      <c r="EG20579"/>
      <c r="EH20579"/>
      <c r="EI20579"/>
      <c r="EJ20579"/>
      <c r="EK20579"/>
    </row>
    <row r="20580" spans="1:141" s="116" customFormat="1">
      <c r="A20580" s="136"/>
      <c r="CM20580" s="111"/>
      <c r="CQ20580" s="111"/>
      <c r="EF20580"/>
      <c r="EG20580"/>
      <c r="EH20580"/>
      <c r="EI20580"/>
      <c r="EJ20580"/>
      <c r="EK20580"/>
    </row>
    <row r="20581" spans="1:141" s="116" customFormat="1">
      <c r="A20581" s="136"/>
      <c r="CM20581" s="111"/>
      <c r="CQ20581" s="111"/>
      <c r="EF20581"/>
      <c r="EG20581"/>
      <c r="EH20581"/>
      <c r="EI20581"/>
      <c r="EJ20581"/>
      <c r="EK20581"/>
    </row>
    <row r="20582" spans="1:141" s="116" customFormat="1">
      <c r="A20582" s="136"/>
      <c r="CM20582" s="111"/>
      <c r="CQ20582" s="111"/>
      <c r="EF20582"/>
      <c r="EG20582"/>
      <c r="EH20582"/>
      <c r="EI20582"/>
      <c r="EJ20582"/>
      <c r="EK20582"/>
    </row>
    <row r="20583" spans="1:141" s="116" customFormat="1">
      <c r="A20583" s="136"/>
      <c r="CM20583" s="111"/>
      <c r="CQ20583" s="111"/>
      <c r="EF20583"/>
      <c r="EG20583"/>
      <c r="EH20583"/>
      <c r="EI20583"/>
      <c r="EJ20583"/>
      <c r="EK20583"/>
    </row>
    <row r="20584" spans="1:141" s="116" customFormat="1">
      <c r="A20584" s="136"/>
      <c r="CM20584" s="111"/>
      <c r="CQ20584" s="111"/>
      <c r="EF20584"/>
      <c r="EG20584"/>
      <c r="EH20584"/>
      <c r="EI20584"/>
      <c r="EJ20584"/>
      <c r="EK20584"/>
    </row>
    <row r="20585" spans="1:141" s="116" customFormat="1">
      <c r="A20585" s="136"/>
      <c r="CM20585" s="111"/>
      <c r="CQ20585" s="111"/>
      <c r="EF20585"/>
      <c r="EG20585"/>
      <c r="EH20585"/>
      <c r="EI20585"/>
      <c r="EJ20585"/>
      <c r="EK20585"/>
    </row>
    <row r="20586" spans="1:141" s="116" customFormat="1">
      <c r="A20586" s="136"/>
      <c r="CM20586" s="111"/>
      <c r="CQ20586" s="111"/>
      <c r="EF20586"/>
      <c r="EG20586"/>
      <c r="EH20586"/>
      <c r="EI20586"/>
      <c r="EJ20586"/>
      <c r="EK20586"/>
    </row>
    <row r="20587" spans="1:141" s="116" customFormat="1">
      <c r="A20587" s="136"/>
      <c r="CM20587" s="111"/>
      <c r="CQ20587" s="111"/>
      <c r="EF20587"/>
      <c r="EG20587"/>
      <c r="EH20587"/>
      <c r="EI20587"/>
      <c r="EJ20587"/>
      <c r="EK20587"/>
    </row>
    <row r="20588" spans="1:141" s="116" customFormat="1">
      <c r="A20588" s="136"/>
      <c r="CM20588" s="111"/>
      <c r="CQ20588" s="111"/>
      <c r="EF20588"/>
      <c r="EG20588"/>
      <c r="EH20588"/>
      <c r="EI20588"/>
      <c r="EJ20588"/>
      <c r="EK20588"/>
    </row>
    <row r="20589" spans="1:141" s="116" customFormat="1">
      <c r="A20589" s="136"/>
      <c r="CM20589" s="111"/>
      <c r="CQ20589" s="111"/>
      <c r="EF20589"/>
      <c r="EG20589"/>
      <c r="EH20589"/>
      <c r="EI20589"/>
      <c r="EJ20589"/>
      <c r="EK20589"/>
    </row>
    <row r="20590" spans="1:141" s="116" customFormat="1">
      <c r="A20590" s="136"/>
      <c r="CM20590" s="111"/>
      <c r="CQ20590" s="111"/>
      <c r="EF20590"/>
      <c r="EG20590"/>
      <c r="EH20590"/>
      <c r="EI20590"/>
      <c r="EJ20590"/>
      <c r="EK20590"/>
    </row>
    <row r="20591" spans="1:141" s="116" customFormat="1">
      <c r="A20591" s="136"/>
      <c r="CM20591" s="111"/>
      <c r="CQ20591" s="111"/>
      <c r="EF20591"/>
      <c r="EG20591"/>
      <c r="EH20591"/>
      <c r="EI20591"/>
      <c r="EJ20591"/>
      <c r="EK20591"/>
    </row>
    <row r="20592" spans="1:141" s="116" customFormat="1">
      <c r="A20592" s="136"/>
      <c r="CM20592" s="111"/>
      <c r="CQ20592" s="111"/>
      <c r="EF20592"/>
      <c r="EG20592"/>
      <c r="EH20592"/>
      <c r="EI20592"/>
      <c r="EJ20592"/>
      <c r="EK20592"/>
    </row>
    <row r="20593" spans="1:141" s="116" customFormat="1">
      <c r="A20593" s="136"/>
      <c r="CM20593" s="111"/>
      <c r="CQ20593" s="111"/>
      <c r="EF20593"/>
      <c r="EG20593"/>
      <c r="EH20593"/>
      <c r="EI20593"/>
      <c r="EJ20593"/>
      <c r="EK20593"/>
    </row>
    <row r="20594" spans="1:141" s="116" customFormat="1">
      <c r="A20594" s="136"/>
      <c r="CM20594" s="111"/>
      <c r="CQ20594" s="111"/>
      <c r="EF20594"/>
      <c r="EG20594"/>
      <c r="EH20594"/>
      <c r="EI20594"/>
      <c r="EJ20594"/>
      <c r="EK20594"/>
    </row>
    <row r="20595" spans="1:141" s="116" customFormat="1">
      <c r="A20595" s="136"/>
      <c r="CM20595" s="111"/>
      <c r="CQ20595" s="111"/>
      <c r="EF20595"/>
      <c r="EG20595"/>
      <c r="EH20595"/>
      <c r="EI20595"/>
      <c r="EJ20595"/>
      <c r="EK20595"/>
    </row>
    <row r="20596" spans="1:141" s="116" customFormat="1">
      <c r="A20596" s="136"/>
      <c r="CM20596" s="111"/>
      <c r="CQ20596" s="111"/>
      <c r="EF20596"/>
      <c r="EG20596"/>
      <c r="EH20596"/>
      <c r="EI20596"/>
      <c r="EJ20596"/>
      <c r="EK20596"/>
    </row>
    <row r="20597" spans="1:141" s="116" customFormat="1">
      <c r="A20597" s="136"/>
      <c r="CM20597" s="111"/>
      <c r="CQ20597" s="111"/>
      <c r="EF20597"/>
      <c r="EG20597"/>
      <c r="EH20597"/>
      <c r="EI20597"/>
      <c r="EJ20597"/>
      <c r="EK20597"/>
    </row>
    <row r="20598" spans="1:141" s="116" customFormat="1">
      <c r="A20598" s="136"/>
      <c r="CM20598" s="111"/>
      <c r="CQ20598" s="111"/>
      <c r="EF20598"/>
      <c r="EG20598"/>
      <c r="EH20598"/>
      <c r="EI20598"/>
      <c r="EJ20598"/>
      <c r="EK20598"/>
    </row>
    <row r="20599" spans="1:141" s="116" customFormat="1">
      <c r="A20599" s="136"/>
      <c r="CM20599" s="111"/>
      <c r="CQ20599" s="111"/>
      <c r="EF20599"/>
      <c r="EG20599"/>
      <c r="EH20599"/>
      <c r="EI20599"/>
      <c r="EJ20599"/>
      <c r="EK20599"/>
    </row>
    <row r="20600" spans="1:141" s="116" customFormat="1">
      <c r="A20600" s="136"/>
      <c r="CM20600" s="111"/>
      <c r="CQ20600" s="111"/>
      <c r="EF20600"/>
      <c r="EG20600"/>
      <c r="EH20600"/>
      <c r="EI20600"/>
      <c r="EJ20600"/>
      <c r="EK20600"/>
    </row>
    <row r="20601" spans="1:141" s="116" customFormat="1">
      <c r="A20601" s="136"/>
      <c r="CM20601" s="111"/>
      <c r="CQ20601" s="111"/>
      <c r="EF20601"/>
      <c r="EG20601"/>
      <c r="EH20601"/>
      <c r="EI20601"/>
      <c r="EJ20601"/>
      <c r="EK20601"/>
    </row>
    <row r="20602" spans="1:141" s="116" customFormat="1">
      <c r="A20602" s="136"/>
      <c r="CM20602" s="111"/>
      <c r="CQ20602" s="111"/>
      <c r="EF20602"/>
      <c r="EG20602"/>
      <c r="EH20602"/>
      <c r="EI20602"/>
      <c r="EJ20602"/>
      <c r="EK20602"/>
    </row>
    <row r="20603" spans="1:141" s="116" customFormat="1">
      <c r="A20603" s="136"/>
      <c r="CM20603" s="111"/>
      <c r="CQ20603" s="111"/>
      <c r="EF20603"/>
      <c r="EG20603"/>
      <c r="EH20603"/>
      <c r="EI20603"/>
      <c r="EJ20603"/>
      <c r="EK20603"/>
    </row>
    <row r="20604" spans="1:141" s="116" customFormat="1">
      <c r="A20604" s="136"/>
      <c r="CM20604" s="111"/>
      <c r="CQ20604" s="111"/>
      <c r="EF20604"/>
      <c r="EG20604"/>
      <c r="EH20604"/>
      <c r="EI20604"/>
      <c r="EJ20604"/>
      <c r="EK20604"/>
    </row>
    <row r="20605" spans="1:141" s="116" customFormat="1">
      <c r="A20605" s="136"/>
      <c r="CM20605" s="111"/>
      <c r="CQ20605" s="111"/>
      <c r="EF20605"/>
      <c r="EG20605"/>
      <c r="EH20605"/>
      <c r="EI20605"/>
      <c r="EJ20605"/>
      <c r="EK20605"/>
    </row>
    <row r="20606" spans="1:141" s="116" customFormat="1">
      <c r="A20606" s="136"/>
      <c r="CM20606" s="111"/>
      <c r="CQ20606" s="111"/>
      <c r="EF20606"/>
      <c r="EG20606"/>
      <c r="EH20606"/>
      <c r="EI20606"/>
      <c r="EJ20606"/>
      <c r="EK20606"/>
    </row>
    <row r="20607" spans="1:141" s="116" customFormat="1">
      <c r="A20607" s="136"/>
      <c r="CM20607" s="111"/>
      <c r="CQ20607" s="111"/>
      <c r="EF20607"/>
      <c r="EG20607"/>
      <c r="EH20607"/>
      <c r="EI20607"/>
      <c r="EJ20607"/>
      <c r="EK20607"/>
    </row>
    <row r="20608" spans="1:141" s="116" customFormat="1">
      <c r="A20608" s="136"/>
      <c r="CM20608" s="111"/>
      <c r="CQ20608" s="111"/>
      <c r="EF20608"/>
      <c r="EG20608"/>
      <c r="EH20608"/>
      <c r="EI20608"/>
      <c r="EJ20608"/>
      <c r="EK20608"/>
    </row>
    <row r="20609" spans="1:141" s="116" customFormat="1">
      <c r="A20609" s="136"/>
      <c r="CM20609" s="111"/>
      <c r="CQ20609" s="111"/>
      <c r="EF20609"/>
      <c r="EG20609"/>
      <c r="EH20609"/>
      <c r="EI20609"/>
      <c r="EJ20609"/>
      <c r="EK20609"/>
    </row>
    <row r="20610" spans="1:141" s="116" customFormat="1">
      <c r="A20610" s="136"/>
      <c r="CM20610" s="111"/>
      <c r="CQ20610" s="111"/>
      <c r="EF20610"/>
      <c r="EG20610"/>
      <c r="EH20610"/>
      <c r="EI20610"/>
      <c r="EJ20610"/>
      <c r="EK20610"/>
    </row>
    <row r="20611" spans="1:141" s="116" customFormat="1">
      <c r="A20611" s="136"/>
      <c r="CM20611" s="111"/>
      <c r="CQ20611" s="111"/>
      <c r="EF20611"/>
      <c r="EG20611"/>
      <c r="EH20611"/>
      <c r="EI20611"/>
      <c r="EJ20611"/>
      <c r="EK20611"/>
    </row>
    <row r="20612" spans="1:141" s="116" customFormat="1">
      <c r="A20612" s="136"/>
      <c r="CM20612" s="111"/>
      <c r="CQ20612" s="111"/>
      <c r="EF20612"/>
      <c r="EG20612"/>
      <c r="EH20612"/>
      <c r="EI20612"/>
      <c r="EJ20612"/>
      <c r="EK20612"/>
    </row>
    <row r="20613" spans="1:141" s="116" customFormat="1">
      <c r="A20613" s="136"/>
      <c r="CM20613" s="111"/>
      <c r="CQ20613" s="111"/>
      <c r="EF20613"/>
      <c r="EG20613"/>
      <c r="EH20613"/>
      <c r="EI20613"/>
      <c r="EJ20613"/>
      <c r="EK20613"/>
    </row>
    <row r="20614" spans="1:141" s="116" customFormat="1">
      <c r="A20614" s="136"/>
      <c r="CM20614" s="111"/>
      <c r="CQ20614" s="111"/>
      <c r="EF20614"/>
      <c r="EG20614"/>
      <c r="EH20614"/>
      <c r="EI20614"/>
      <c r="EJ20614"/>
      <c r="EK20614"/>
    </row>
    <row r="20615" spans="1:141" s="116" customFormat="1">
      <c r="A20615" s="136"/>
      <c r="CM20615" s="111"/>
      <c r="CQ20615" s="111"/>
      <c r="EF20615"/>
      <c r="EG20615"/>
      <c r="EH20615"/>
      <c r="EI20615"/>
      <c r="EJ20615"/>
      <c r="EK20615"/>
    </row>
    <row r="20616" spans="1:141" s="116" customFormat="1">
      <c r="A20616" s="136"/>
      <c r="CM20616" s="111"/>
      <c r="CQ20616" s="111"/>
      <c r="EF20616"/>
      <c r="EG20616"/>
      <c r="EH20616"/>
      <c r="EI20616"/>
      <c r="EJ20616"/>
      <c r="EK20616"/>
    </row>
    <row r="20617" spans="1:141" s="116" customFormat="1">
      <c r="A20617" s="136"/>
      <c r="CM20617" s="111"/>
      <c r="CQ20617" s="111"/>
      <c r="EF20617"/>
      <c r="EG20617"/>
      <c r="EH20617"/>
      <c r="EI20617"/>
      <c r="EJ20617"/>
      <c r="EK20617"/>
    </row>
    <row r="20618" spans="1:141" s="116" customFormat="1">
      <c r="A20618" s="136"/>
      <c r="CM20618" s="111"/>
      <c r="CQ20618" s="111"/>
      <c r="EF20618"/>
      <c r="EG20618"/>
      <c r="EH20618"/>
      <c r="EI20618"/>
      <c r="EJ20618"/>
      <c r="EK20618"/>
    </row>
    <row r="20619" spans="1:141" s="116" customFormat="1">
      <c r="A20619" s="136"/>
      <c r="CM20619" s="111"/>
      <c r="CQ20619" s="111"/>
      <c r="EF20619"/>
      <c r="EG20619"/>
      <c r="EH20619"/>
      <c r="EI20619"/>
      <c r="EJ20619"/>
      <c r="EK20619"/>
    </row>
    <row r="20620" spans="1:141" s="116" customFormat="1">
      <c r="A20620" s="136"/>
      <c r="CM20620" s="111"/>
      <c r="CQ20620" s="111"/>
      <c r="EF20620"/>
      <c r="EG20620"/>
      <c r="EH20620"/>
      <c r="EI20620"/>
      <c r="EJ20620"/>
      <c r="EK20620"/>
    </row>
    <row r="20621" spans="1:141" s="116" customFormat="1">
      <c r="A20621" s="136"/>
      <c r="CM20621" s="111"/>
      <c r="CQ20621" s="111"/>
      <c r="EF20621"/>
      <c r="EG20621"/>
      <c r="EH20621"/>
      <c r="EI20621"/>
      <c r="EJ20621"/>
      <c r="EK20621"/>
    </row>
    <row r="20622" spans="1:141" s="116" customFormat="1">
      <c r="A20622" s="136"/>
      <c r="CM20622" s="111"/>
      <c r="CQ20622" s="111"/>
      <c r="EF20622"/>
      <c r="EG20622"/>
      <c r="EH20622"/>
      <c r="EI20622"/>
      <c r="EJ20622"/>
      <c r="EK20622"/>
    </row>
    <row r="20623" spans="1:141" s="116" customFormat="1">
      <c r="A20623" s="136"/>
      <c r="CM20623" s="111"/>
      <c r="CQ20623" s="111"/>
      <c r="EF20623"/>
      <c r="EG20623"/>
      <c r="EH20623"/>
      <c r="EI20623"/>
      <c r="EJ20623"/>
      <c r="EK20623"/>
    </row>
    <row r="20624" spans="1:141" s="116" customFormat="1">
      <c r="A20624" s="136"/>
      <c r="CM20624" s="111"/>
      <c r="CQ20624" s="111"/>
      <c r="EF20624"/>
      <c r="EG20624"/>
      <c r="EH20624"/>
      <c r="EI20624"/>
      <c r="EJ20624"/>
      <c r="EK20624"/>
    </row>
    <row r="20625" spans="1:141" s="116" customFormat="1">
      <c r="A20625" s="136"/>
      <c r="CM20625" s="111"/>
      <c r="CQ20625" s="111"/>
      <c r="EF20625"/>
      <c r="EG20625"/>
      <c r="EH20625"/>
      <c r="EI20625"/>
      <c r="EJ20625"/>
      <c r="EK20625"/>
    </row>
    <row r="20626" spans="1:141" s="116" customFormat="1">
      <c r="A20626" s="136"/>
      <c r="CM20626" s="111"/>
      <c r="CQ20626" s="111"/>
      <c r="EF20626"/>
      <c r="EG20626"/>
      <c r="EH20626"/>
      <c r="EI20626"/>
      <c r="EJ20626"/>
      <c r="EK20626"/>
    </row>
    <row r="20627" spans="1:141" s="116" customFormat="1">
      <c r="A20627" s="136"/>
      <c r="CM20627" s="111"/>
      <c r="CQ20627" s="111"/>
      <c r="EF20627"/>
      <c r="EG20627"/>
      <c r="EH20627"/>
      <c r="EI20627"/>
      <c r="EJ20627"/>
      <c r="EK20627"/>
    </row>
    <row r="20628" spans="1:141" s="116" customFormat="1">
      <c r="A20628" s="136"/>
      <c r="CM20628" s="111"/>
      <c r="CQ20628" s="111"/>
      <c r="EF20628"/>
      <c r="EG20628"/>
      <c r="EH20628"/>
      <c r="EI20628"/>
      <c r="EJ20628"/>
      <c r="EK20628"/>
    </row>
    <row r="20629" spans="1:141" s="116" customFormat="1">
      <c r="A20629" s="136"/>
      <c r="CM20629" s="111"/>
      <c r="CQ20629" s="111"/>
      <c r="EF20629"/>
      <c r="EG20629"/>
      <c r="EH20629"/>
      <c r="EI20629"/>
      <c r="EJ20629"/>
      <c r="EK20629"/>
    </row>
    <row r="20630" spans="1:141" s="116" customFormat="1">
      <c r="A20630" s="136"/>
      <c r="CM20630" s="111"/>
      <c r="CQ20630" s="111"/>
      <c r="EF20630"/>
      <c r="EG20630"/>
      <c r="EH20630"/>
      <c r="EI20630"/>
      <c r="EJ20630"/>
      <c r="EK20630"/>
    </row>
    <row r="20631" spans="1:141" s="116" customFormat="1">
      <c r="A20631" s="136"/>
      <c r="CM20631" s="111"/>
      <c r="CQ20631" s="111"/>
      <c r="EF20631"/>
      <c r="EG20631"/>
      <c r="EH20631"/>
      <c r="EI20631"/>
      <c r="EJ20631"/>
      <c r="EK20631"/>
    </row>
    <row r="20632" spans="1:141" s="116" customFormat="1">
      <c r="A20632" s="136"/>
      <c r="CM20632" s="111"/>
      <c r="CQ20632" s="111"/>
      <c r="EF20632"/>
      <c r="EG20632"/>
      <c r="EH20632"/>
      <c r="EI20632"/>
      <c r="EJ20632"/>
      <c r="EK20632"/>
    </row>
    <row r="20633" spans="1:141" s="116" customFormat="1">
      <c r="A20633" s="136"/>
      <c r="CM20633" s="111"/>
      <c r="CQ20633" s="111"/>
      <c r="EF20633"/>
      <c r="EG20633"/>
      <c r="EH20633"/>
      <c r="EI20633"/>
      <c r="EJ20633"/>
      <c r="EK20633"/>
    </row>
    <row r="20634" spans="1:141" s="116" customFormat="1">
      <c r="A20634" s="136"/>
      <c r="CM20634" s="111"/>
      <c r="CQ20634" s="111"/>
      <c r="EF20634"/>
      <c r="EG20634"/>
      <c r="EH20634"/>
      <c r="EI20634"/>
      <c r="EJ20634"/>
      <c r="EK20634"/>
    </row>
    <row r="20635" spans="1:141" s="116" customFormat="1">
      <c r="A20635" s="136"/>
      <c r="CM20635" s="111"/>
      <c r="CQ20635" s="111"/>
      <c r="EF20635"/>
      <c r="EG20635"/>
      <c r="EH20635"/>
      <c r="EI20635"/>
      <c r="EJ20635"/>
      <c r="EK20635"/>
    </row>
    <row r="20636" spans="1:141" s="116" customFormat="1">
      <c r="A20636" s="136"/>
      <c r="CM20636" s="111"/>
      <c r="CQ20636" s="111"/>
      <c r="EF20636"/>
      <c r="EG20636"/>
      <c r="EH20636"/>
      <c r="EI20636"/>
      <c r="EJ20636"/>
      <c r="EK20636"/>
    </row>
    <row r="20637" spans="1:141" s="116" customFormat="1">
      <c r="A20637" s="136"/>
      <c r="CM20637" s="111"/>
      <c r="CQ20637" s="111"/>
      <c r="EF20637"/>
      <c r="EG20637"/>
      <c r="EH20637"/>
      <c r="EI20637"/>
      <c r="EJ20637"/>
      <c r="EK20637"/>
    </row>
    <row r="20638" spans="1:141" s="116" customFormat="1">
      <c r="A20638" s="136"/>
      <c r="CM20638" s="111"/>
      <c r="CQ20638" s="111"/>
      <c r="EF20638"/>
      <c r="EG20638"/>
      <c r="EH20638"/>
      <c r="EI20638"/>
      <c r="EJ20638"/>
      <c r="EK20638"/>
    </row>
    <row r="20639" spans="1:141" s="116" customFormat="1">
      <c r="A20639" s="136"/>
      <c r="CM20639" s="111"/>
      <c r="CQ20639" s="111"/>
      <c r="EF20639"/>
      <c r="EG20639"/>
      <c r="EH20639"/>
      <c r="EI20639"/>
      <c r="EJ20639"/>
      <c r="EK20639"/>
    </row>
    <row r="20640" spans="1:141" s="116" customFormat="1">
      <c r="A20640" s="136"/>
      <c r="CM20640" s="111"/>
      <c r="CQ20640" s="111"/>
      <c r="EF20640"/>
      <c r="EG20640"/>
      <c r="EH20640"/>
      <c r="EI20640"/>
      <c r="EJ20640"/>
      <c r="EK20640"/>
    </row>
    <row r="20641" spans="1:141" s="116" customFormat="1">
      <c r="A20641" s="136"/>
      <c r="CM20641" s="111"/>
      <c r="CQ20641" s="111"/>
      <c r="EF20641"/>
      <c r="EG20641"/>
      <c r="EH20641"/>
      <c r="EI20641"/>
      <c r="EJ20641"/>
      <c r="EK20641"/>
    </row>
    <row r="20642" spans="1:141" s="116" customFormat="1">
      <c r="A20642" s="136"/>
      <c r="CM20642" s="111"/>
      <c r="CQ20642" s="111"/>
      <c r="EF20642"/>
      <c r="EG20642"/>
      <c r="EH20642"/>
      <c r="EI20642"/>
      <c r="EJ20642"/>
      <c r="EK20642"/>
    </row>
    <row r="20643" spans="1:141" s="116" customFormat="1">
      <c r="A20643" s="136"/>
      <c r="CM20643" s="111"/>
      <c r="CQ20643" s="111"/>
      <c r="EF20643"/>
      <c r="EG20643"/>
      <c r="EH20643"/>
      <c r="EI20643"/>
      <c r="EJ20643"/>
      <c r="EK20643"/>
    </row>
    <row r="20644" spans="1:141" s="116" customFormat="1">
      <c r="A20644" s="136"/>
      <c r="CM20644" s="111"/>
      <c r="CQ20644" s="111"/>
      <c r="EF20644"/>
      <c r="EG20644"/>
      <c r="EH20644"/>
      <c r="EI20644"/>
      <c r="EJ20644"/>
      <c r="EK20644"/>
    </row>
    <row r="20645" spans="1:141" s="116" customFormat="1">
      <c r="A20645" s="136"/>
      <c r="CM20645" s="111"/>
      <c r="CQ20645" s="111"/>
      <c r="EF20645"/>
      <c r="EG20645"/>
      <c r="EH20645"/>
      <c r="EI20645"/>
      <c r="EJ20645"/>
      <c r="EK20645"/>
    </row>
    <row r="20646" spans="1:141" s="116" customFormat="1">
      <c r="A20646" s="136"/>
      <c r="CM20646" s="111"/>
      <c r="CQ20646" s="111"/>
      <c r="EF20646"/>
      <c r="EG20646"/>
      <c r="EH20646"/>
      <c r="EI20646"/>
      <c r="EJ20646"/>
      <c r="EK20646"/>
    </row>
    <row r="20647" spans="1:141" s="116" customFormat="1">
      <c r="A20647" s="136"/>
      <c r="CM20647" s="111"/>
      <c r="CQ20647" s="111"/>
      <c r="EF20647"/>
      <c r="EG20647"/>
      <c r="EH20647"/>
      <c r="EI20647"/>
      <c r="EJ20647"/>
      <c r="EK20647"/>
    </row>
    <row r="20648" spans="1:141" s="116" customFormat="1">
      <c r="A20648" s="136"/>
      <c r="CM20648" s="111"/>
      <c r="CQ20648" s="111"/>
      <c r="EF20648"/>
      <c r="EG20648"/>
      <c r="EH20648"/>
      <c r="EI20648"/>
      <c r="EJ20648"/>
      <c r="EK20648"/>
    </row>
    <row r="20649" spans="1:141" s="116" customFormat="1">
      <c r="A20649" s="136"/>
      <c r="CM20649" s="111"/>
      <c r="CQ20649" s="111"/>
      <c r="EF20649"/>
      <c r="EG20649"/>
      <c r="EH20649"/>
      <c r="EI20649"/>
      <c r="EJ20649"/>
      <c r="EK20649"/>
    </row>
    <row r="20650" spans="1:141" s="116" customFormat="1">
      <c r="A20650" s="136"/>
      <c r="CM20650" s="111"/>
      <c r="CQ20650" s="111"/>
      <c r="EF20650"/>
      <c r="EG20650"/>
      <c r="EH20650"/>
      <c r="EI20650"/>
      <c r="EJ20650"/>
      <c r="EK20650"/>
    </row>
    <row r="20651" spans="1:141" s="116" customFormat="1">
      <c r="A20651" s="136"/>
      <c r="CM20651" s="111"/>
      <c r="CQ20651" s="111"/>
      <c r="EF20651"/>
      <c r="EG20651"/>
      <c r="EH20651"/>
      <c r="EI20651"/>
      <c r="EJ20651"/>
      <c r="EK20651"/>
    </row>
    <row r="20652" spans="1:141" s="116" customFormat="1">
      <c r="A20652" s="136"/>
      <c r="CM20652" s="111"/>
      <c r="CQ20652" s="111"/>
      <c r="EF20652"/>
      <c r="EG20652"/>
      <c r="EH20652"/>
      <c r="EI20652"/>
      <c r="EJ20652"/>
      <c r="EK20652"/>
    </row>
    <row r="20653" spans="1:141" s="116" customFormat="1">
      <c r="A20653" s="136"/>
      <c r="CM20653" s="111"/>
      <c r="CQ20653" s="111"/>
      <c r="EF20653"/>
      <c r="EG20653"/>
      <c r="EH20653"/>
      <c r="EI20653"/>
      <c r="EJ20653"/>
      <c r="EK20653"/>
    </row>
    <row r="20654" spans="1:141" s="116" customFormat="1">
      <c r="A20654" s="136"/>
      <c r="CM20654" s="111"/>
      <c r="CQ20654" s="111"/>
      <c r="EF20654"/>
      <c r="EG20654"/>
      <c r="EH20654"/>
      <c r="EI20654"/>
      <c r="EJ20654"/>
      <c r="EK20654"/>
    </row>
    <row r="20655" spans="1:141" s="116" customFormat="1">
      <c r="A20655" s="136"/>
      <c r="CM20655" s="111"/>
      <c r="CQ20655" s="111"/>
      <c r="EF20655"/>
      <c r="EG20655"/>
      <c r="EH20655"/>
      <c r="EI20655"/>
      <c r="EJ20655"/>
      <c r="EK20655"/>
    </row>
    <row r="20656" spans="1:141" s="116" customFormat="1">
      <c r="A20656" s="136"/>
      <c r="CM20656" s="111"/>
      <c r="CQ20656" s="111"/>
      <c r="EF20656"/>
      <c r="EG20656"/>
      <c r="EH20656"/>
      <c r="EI20656"/>
      <c r="EJ20656"/>
      <c r="EK20656"/>
    </row>
    <row r="20657" spans="1:141" s="116" customFormat="1">
      <c r="A20657" s="136"/>
      <c r="CM20657" s="111"/>
      <c r="CQ20657" s="111"/>
      <c r="EF20657"/>
      <c r="EG20657"/>
      <c r="EH20657"/>
      <c r="EI20657"/>
      <c r="EJ20657"/>
      <c r="EK20657"/>
    </row>
    <row r="20658" spans="1:141" s="116" customFormat="1">
      <c r="A20658" s="136"/>
      <c r="CM20658" s="111"/>
      <c r="CQ20658" s="111"/>
      <c r="EF20658"/>
      <c r="EG20658"/>
      <c r="EH20658"/>
      <c r="EI20658"/>
      <c r="EJ20658"/>
      <c r="EK20658"/>
    </row>
    <row r="20659" spans="1:141" s="116" customFormat="1">
      <c r="A20659" s="136"/>
      <c r="CM20659" s="111"/>
      <c r="CQ20659" s="111"/>
      <c r="EF20659"/>
      <c r="EG20659"/>
      <c r="EH20659"/>
      <c r="EI20659"/>
      <c r="EJ20659"/>
      <c r="EK20659"/>
    </row>
    <row r="20660" spans="1:141" s="116" customFormat="1">
      <c r="A20660" s="136"/>
      <c r="CM20660" s="111"/>
      <c r="CQ20660" s="111"/>
      <c r="EF20660"/>
      <c r="EG20660"/>
      <c r="EH20660"/>
      <c r="EI20660"/>
      <c r="EJ20660"/>
      <c r="EK20660"/>
    </row>
    <row r="20661" spans="1:141" s="116" customFormat="1">
      <c r="A20661" s="136"/>
      <c r="CM20661" s="111"/>
      <c r="CQ20661" s="111"/>
      <c r="EF20661"/>
      <c r="EG20661"/>
      <c r="EH20661"/>
      <c r="EI20661"/>
      <c r="EJ20661"/>
      <c r="EK20661"/>
    </row>
    <row r="20662" spans="1:141" s="116" customFormat="1">
      <c r="A20662" s="136"/>
      <c r="CM20662" s="111"/>
      <c r="CQ20662" s="111"/>
      <c r="EF20662"/>
      <c r="EG20662"/>
      <c r="EH20662"/>
      <c r="EI20662"/>
      <c r="EJ20662"/>
      <c r="EK20662"/>
    </row>
    <row r="20663" spans="1:141" s="116" customFormat="1">
      <c r="A20663" s="136"/>
      <c r="CM20663" s="111"/>
      <c r="CQ20663" s="111"/>
      <c r="EF20663"/>
      <c r="EG20663"/>
      <c r="EH20663"/>
      <c r="EI20663"/>
      <c r="EJ20663"/>
      <c r="EK20663"/>
    </row>
    <row r="20664" spans="1:141" s="116" customFormat="1">
      <c r="A20664" s="136"/>
      <c r="CM20664" s="111"/>
      <c r="CQ20664" s="111"/>
      <c r="EF20664"/>
      <c r="EG20664"/>
      <c r="EH20664"/>
      <c r="EI20664"/>
      <c r="EJ20664"/>
      <c r="EK20664"/>
    </row>
    <row r="20665" spans="1:141" s="116" customFormat="1">
      <c r="A20665" s="136"/>
      <c r="CM20665" s="111"/>
      <c r="CQ20665" s="111"/>
      <c r="EF20665"/>
      <c r="EG20665"/>
      <c r="EH20665"/>
      <c r="EI20665"/>
      <c r="EJ20665"/>
      <c r="EK20665"/>
    </row>
    <row r="20666" spans="1:141" s="116" customFormat="1">
      <c r="A20666" s="136"/>
      <c r="CM20666" s="111"/>
      <c r="CQ20666" s="111"/>
      <c r="EF20666"/>
      <c r="EG20666"/>
      <c r="EH20666"/>
      <c r="EI20666"/>
      <c r="EJ20666"/>
      <c r="EK20666"/>
    </row>
    <row r="20667" spans="1:141" s="116" customFormat="1">
      <c r="A20667" s="136"/>
      <c r="CM20667" s="111"/>
      <c r="CQ20667" s="111"/>
      <c r="EF20667"/>
      <c r="EG20667"/>
      <c r="EH20667"/>
      <c r="EI20667"/>
      <c r="EJ20667"/>
      <c r="EK20667"/>
    </row>
    <row r="20668" spans="1:141" s="116" customFormat="1">
      <c r="A20668" s="136"/>
      <c r="CM20668" s="111"/>
      <c r="CQ20668" s="111"/>
      <c r="EF20668"/>
      <c r="EG20668"/>
      <c r="EH20668"/>
      <c r="EI20668"/>
      <c r="EJ20668"/>
      <c r="EK20668"/>
    </row>
    <row r="20669" spans="1:141" s="116" customFormat="1">
      <c r="A20669" s="136"/>
      <c r="CM20669" s="111"/>
      <c r="CQ20669" s="111"/>
      <c r="EF20669"/>
      <c r="EG20669"/>
      <c r="EH20669"/>
      <c r="EI20669"/>
      <c r="EJ20669"/>
      <c r="EK20669"/>
    </row>
    <row r="20670" spans="1:141" s="116" customFormat="1">
      <c r="A20670" s="136"/>
      <c r="CM20670" s="111"/>
      <c r="CQ20670" s="111"/>
      <c r="EF20670"/>
      <c r="EG20670"/>
      <c r="EH20670"/>
      <c r="EI20670"/>
      <c r="EJ20670"/>
      <c r="EK20670"/>
    </row>
    <row r="20671" spans="1:141" s="116" customFormat="1">
      <c r="A20671" s="136"/>
      <c r="CM20671" s="111"/>
      <c r="CQ20671" s="111"/>
      <c r="EF20671"/>
      <c r="EG20671"/>
      <c r="EH20671"/>
      <c r="EI20671"/>
      <c r="EJ20671"/>
      <c r="EK20671"/>
    </row>
    <row r="20672" spans="1:141" s="116" customFormat="1">
      <c r="A20672" s="136"/>
      <c r="CM20672" s="111"/>
      <c r="CQ20672" s="111"/>
      <c r="EF20672"/>
      <c r="EG20672"/>
      <c r="EH20672"/>
      <c r="EI20672"/>
      <c r="EJ20672"/>
      <c r="EK20672"/>
    </row>
    <row r="20673" spans="1:141" s="116" customFormat="1">
      <c r="A20673" s="136"/>
      <c r="CM20673" s="111"/>
      <c r="CQ20673" s="111"/>
      <c r="EF20673"/>
      <c r="EG20673"/>
      <c r="EH20673"/>
      <c r="EI20673"/>
      <c r="EJ20673"/>
      <c r="EK20673"/>
    </row>
    <row r="20674" spans="1:141" s="116" customFormat="1">
      <c r="A20674" s="136"/>
      <c r="CM20674" s="111"/>
      <c r="CQ20674" s="111"/>
      <c r="EF20674"/>
      <c r="EG20674"/>
      <c r="EH20674"/>
      <c r="EI20674"/>
      <c r="EJ20674"/>
      <c r="EK20674"/>
    </row>
    <row r="20675" spans="1:141" s="116" customFormat="1">
      <c r="A20675" s="136"/>
      <c r="CM20675" s="111"/>
      <c r="CQ20675" s="111"/>
      <c r="EF20675"/>
      <c r="EG20675"/>
      <c r="EH20675"/>
      <c r="EI20675"/>
      <c r="EJ20675"/>
      <c r="EK20675"/>
    </row>
    <row r="20676" spans="1:141" s="116" customFormat="1">
      <c r="A20676" s="136"/>
      <c r="CM20676" s="111"/>
      <c r="CQ20676" s="111"/>
      <c r="EF20676"/>
      <c r="EG20676"/>
      <c r="EH20676"/>
      <c r="EI20676"/>
      <c r="EJ20676"/>
      <c r="EK20676"/>
    </row>
    <row r="20677" spans="1:141" s="116" customFormat="1">
      <c r="A20677" s="136"/>
      <c r="CM20677" s="111"/>
      <c r="CQ20677" s="111"/>
      <c r="EF20677"/>
      <c r="EG20677"/>
      <c r="EH20677"/>
      <c r="EI20677"/>
      <c r="EJ20677"/>
      <c r="EK20677"/>
    </row>
    <row r="20678" spans="1:141" s="116" customFormat="1">
      <c r="A20678" s="136"/>
      <c r="CM20678" s="111"/>
      <c r="CQ20678" s="111"/>
      <c r="EF20678"/>
      <c r="EG20678"/>
      <c r="EH20678"/>
      <c r="EI20678"/>
      <c r="EJ20678"/>
      <c r="EK20678"/>
    </row>
    <row r="20679" spans="1:141" s="116" customFormat="1">
      <c r="A20679" s="136"/>
      <c r="CM20679" s="111"/>
      <c r="CQ20679" s="111"/>
      <c r="EF20679"/>
      <c r="EG20679"/>
      <c r="EH20679"/>
      <c r="EI20679"/>
      <c r="EJ20679"/>
      <c r="EK20679"/>
    </row>
    <row r="20680" spans="1:141" s="116" customFormat="1">
      <c r="A20680" s="136"/>
      <c r="CM20680" s="111"/>
      <c r="CQ20680" s="111"/>
      <c r="EF20680"/>
      <c r="EG20680"/>
      <c r="EH20680"/>
      <c r="EI20680"/>
      <c r="EJ20680"/>
      <c r="EK20680"/>
    </row>
    <row r="20681" spans="1:141" s="116" customFormat="1">
      <c r="A20681" s="136"/>
      <c r="CM20681" s="111"/>
      <c r="CQ20681" s="111"/>
      <c r="EF20681"/>
      <c r="EG20681"/>
      <c r="EH20681"/>
      <c r="EI20681"/>
      <c r="EJ20681"/>
      <c r="EK20681"/>
    </row>
    <row r="20682" spans="1:141" s="116" customFormat="1">
      <c r="A20682" s="136"/>
      <c r="CM20682" s="111"/>
      <c r="CQ20682" s="111"/>
      <c r="EF20682"/>
      <c r="EG20682"/>
      <c r="EH20682"/>
      <c r="EI20682"/>
      <c r="EJ20682"/>
      <c r="EK20682"/>
    </row>
    <row r="20683" spans="1:141" s="116" customFormat="1">
      <c r="A20683" s="136"/>
      <c r="CM20683" s="111"/>
      <c r="CQ20683" s="111"/>
      <c r="EF20683"/>
      <c r="EG20683"/>
      <c r="EH20683"/>
      <c r="EI20683"/>
      <c r="EJ20683"/>
      <c r="EK20683"/>
    </row>
    <row r="20684" spans="1:141" s="116" customFormat="1">
      <c r="A20684" s="136"/>
      <c r="CM20684" s="111"/>
      <c r="CQ20684" s="111"/>
      <c r="EF20684"/>
      <c r="EG20684"/>
      <c r="EH20684"/>
      <c r="EI20684"/>
      <c r="EJ20684"/>
      <c r="EK20684"/>
    </row>
    <row r="20685" spans="1:141" s="116" customFormat="1">
      <c r="A20685" s="136"/>
      <c r="CM20685" s="111"/>
      <c r="CQ20685" s="111"/>
      <c r="EF20685"/>
      <c r="EG20685"/>
      <c r="EH20685"/>
      <c r="EI20685"/>
      <c r="EJ20685"/>
      <c r="EK20685"/>
    </row>
    <row r="20686" spans="1:141" s="116" customFormat="1">
      <c r="A20686" s="136"/>
      <c r="CM20686" s="111"/>
      <c r="CQ20686" s="111"/>
      <c r="EF20686"/>
      <c r="EG20686"/>
      <c r="EH20686"/>
      <c r="EI20686"/>
      <c r="EJ20686"/>
      <c r="EK20686"/>
    </row>
    <row r="20687" spans="1:141" s="116" customFormat="1">
      <c r="A20687" s="136"/>
      <c r="CM20687" s="111"/>
      <c r="CQ20687" s="111"/>
      <c r="EF20687"/>
      <c r="EG20687"/>
      <c r="EH20687"/>
      <c r="EI20687"/>
      <c r="EJ20687"/>
      <c r="EK20687"/>
    </row>
    <row r="20688" spans="1:141" s="116" customFormat="1">
      <c r="A20688" s="136"/>
      <c r="CM20688" s="111"/>
      <c r="CQ20688" s="111"/>
      <c r="EF20688"/>
      <c r="EG20688"/>
      <c r="EH20688"/>
      <c r="EI20688"/>
      <c r="EJ20688"/>
      <c r="EK20688"/>
    </row>
    <row r="20689" spans="1:141" s="116" customFormat="1">
      <c r="A20689" s="136"/>
      <c r="CM20689" s="111"/>
      <c r="CQ20689" s="111"/>
      <c r="EF20689"/>
      <c r="EG20689"/>
      <c r="EH20689"/>
      <c r="EI20689"/>
      <c r="EJ20689"/>
      <c r="EK20689"/>
    </row>
    <row r="20690" spans="1:141" s="116" customFormat="1">
      <c r="A20690" s="136"/>
      <c r="CM20690" s="111"/>
      <c r="CQ20690" s="111"/>
      <c r="EF20690"/>
      <c r="EG20690"/>
      <c r="EH20690"/>
      <c r="EI20690"/>
      <c r="EJ20690"/>
      <c r="EK20690"/>
    </row>
    <row r="20691" spans="1:141" s="116" customFormat="1">
      <c r="A20691" s="136"/>
      <c r="CM20691" s="111"/>
      <c r="CQ20691" s="111"/>
      <c r="EF20691"/>
      <c r="EG20691"/>
      <c r="EH20691"/>
      <c r="EI20691"/>
      <c r="EJ20691"/>
      <c r="EK20691"/>
    </row>
    <row r="20692" spans="1:141" s="116" customFormat="1">
      <c r="A20692" s="136"/>
      <c r="CM20692" s="111"/>
      <c r="CQ20692" s="111"/>
      <c r="EF20692"/>
      <c r="EG20692"/>
      <c r="EH20692"/>
      <c r="EI20692"/>
      <c r="EJ20692"/>
      <c r="EK20692"/>
    </row>
    <row r="20693" spans="1:141" s="116" customFormat="1">
      <c r="A20693" s="136"/>
      <c r="CM20693" s="111"/>
      <c r="CQ20693" s="111"/>
      <c r="EF20693"/>
      <c r="EG20693"/>
      <c r="EH20693"/>
      <c r="EI20693"/>
      <c r="EJ20693"/>
      <c r="EK20693"/>
    </row>
    <row r="20694" spans="1:141" s="116" customFormat="1">
      <c r="A20694" s="136"/>
      <c r="CM20694" s="111"/>
      <c r="CQ20694" s="111"/>
      <c r="EF20694"/>
      <c r="EG20694"/>
      <c r="EH20694"/>
      <c r="EI20694"/>
      <c r="EJ20694"/>
      <c r="EK20694"/>
    </row>
    <row r="20695" spans="1:141" s="116" customFormat="1">
      <c r="A20695" s="136"/>
      <c r="CM20695" s="111"/>
      <c r="CQ20695" s="111"/>
      <c r="EF20695"/>
      <c r="EG20695"/>
      <c r="EH20695"/>
      <c r="EI20695"/>
      <c r="EJ20695"/>
      <c r="EK20695"/>
    </row>
    <row r="20696" spans="1:141" s="116" customFormat="1">
      <c r="A20696" s="136"/>
      <c r="CM20696" s="111"/>
      <c r="CQ20696" s="111"/>
      <c r="EF20696"/>
      <c r="EG20696"/>
      <c r="EH20696"/>
      <c r="EI20696"/>
      <c r="EJ20696"/>
      <c r="EK20696"/>
    </row>
    <row r="20697" spans="1:141" s="116" customFormat="1">
      <c r="A20697" s="136"/>
      <c r="CM20697" s="111"/>
      <c r="CQ20697" s="111"/>
      <c r="EF20697"/>
      <c r="EG20697"/>
      <c r="EH20697"/>
      <c r="EI20697"/>
      <c r="EJ20697"/>
      <c r="EK20697"/>
    </row>
    <row r="20698" spans="1:141" s="116" customFormat="1">
      <c r="A20698" s="136"/>
      <c r="CM20698" s="111"/>
      <c r="CQ20698" s="111"/>
      <c r="EF20698"/>
      <c r="EG20698"/>
      <c r="EH20698"/>
      <c r="EI20698"/>
      <c r="EJ20698"/>
      <c r="EK20698"/>
    </row>
    <row r="20699" spans="1:141" s="116" customFormat="1">
      <c r="A20699" s="136"/>
      <c r="CM20699" s="111"/>
      <c r="CQ20699" s="111"/>
      <c r="EF20699"/>
      <c r="EG20699"/>
      <c r="EH20699"/>
      <c r="EI20699"/>
      <c r="EJ20699"/>
      <c r="EK20699"/>
    </row>
    <row r="20700" spans="1:141" s="116" customFormat="1">
      <c r="A20700" s="136"/>
      <c r="CM20700" s="111"/>
      <c r="CQ20700" s="111"/>
      <c r="EF20700"/>
      <c r="EG20700"/>
      <c r="EH20700"/>
      <c r="EI20700"/>
      <c r="EJ20700"/>
      <c r="EK20700"/>
    </row>
    <row r="20701" spans="1:141" s="116" customFormat="1">
      <c r="A20701" s="136"/>
      <c r="CM20701" s="111"/>
      <c r="CQ20701" s="111"/>
      <c r="EF20701"/>
      <c r="EG20701"/>
      <c r="EH20701"/>
      <c r="EI20701"/>
      <c r="EJ20701"/>
      <c r="EK20701"/>
    </row>
    <row r="20702" spans="1:141" s="116" customFormat="1">
      <c r="A20702" s="136"/>
      <c r="CM20702" s="111"/>
      <c r="CQ20702" s="111"/>
      <c r="EF20702"/>
      <c r="EG20702"/>
      <c r="EH20702"/>
      <c r="EI20702"/>
      <c r="EJ20702"/>
      <c r="EK20702"/>
    </row>
    <row r="20703" spans="1:141" s="116" customFormat="1">
      <c r="A20703" s="136"/>
      <c r="CM20703" s="111"/>
      <c r="CQ20703" s="111"/>
      <c r="EF20703"/>
      <c r="EG20703"/>
      <c r="EH20703"/>
      <c r="EI20703"/>
      <c r="EJ20703"/>
      <c r="EK20703"/>
    </row>
    <row r="20704" spans="1:141" s="116" customFormat="1">
      <c r="A20704" s="136"/>
      <c r="CM20704" s="111"/>
      <c r="CQ20704" s="111"/>
      <c r="EF20704"/>
      <c r="EG20704"/>
      <c r="EH20704"/>
      <c r="EI20704"/>
      <c r="EJ20704"/>
      <c r="EK20704"/>
    </row>
    <row r="20705" spans="1:141" s="116" customFormat="1">
      <c r="A20705" s="136"/>
      <c r="CM20705" s="111"/>
      <c r="CQ20705" s="111"/>
      <c r="EF20705"/>
      <c r="EG20705"/>
      <c r="EH20705"/>
      <c r="EI20705"/>
      <c r="EJ20705"/>
      <c r="EK20705"/>
    </row>
    <row r="20706" spans="1:141" s="116" customFormat="1">
      <c r="A20706" s="136"/>
      <c r="CM20706" s="111"/>
      <c r="CQ20706" s="111"/>
      <c r="EF20706"/>
      <c r="EG20706"/>
      <c r="EH20706"/>
      <c r="EI20706"/>
      <c r="EJ20706"/>
      <c r="EK20706"/>
    </row>
    <row r="20707" spans="1:141" s="116" customFormat="1">
      <c r="A20707" s="136"/>
      <c r="CM20707" s="111"/>
      <c r="CQ20707" s="111"/>
      <c r="EF20707"/>
      <c r="EG20707"/>
      <c r="EH20707"/>
      <c r="EI20707"/>
      <c r="EJ20707"/>
      <c r="EK20707"/>
    </row>
    <row r="20708" spans="1:141" s="116" customFormat="1">
      <c r="A20708" s="136"/>
      <c r="CM20708" s="111"/>
      <c r="CQ20708" s="111"/>
      <c r="EF20708"/>
      <c r="EG20708"/>
      <c r="EH20708"/>
      <c r="EI20708"/>
      <c r="EJ20708"/>
      <c r="EK20708"/>
    </row>
    <row r="20709" spans="1:141" s="116" customFormat="1">
      <c r="A20709" s="136"/>
      <c r="CM20709" s="111"/>
      <c r="CQ20709" s="111"/>
      <c r="EF20709"/>
      <c r="EG20709"/>
      <c r="EH20709"/>
      <c r="EI20709"/>
      <c r="EJ20709"/>
      <c r="EK20709"/>
    </row>
    <row r="20710" spans="1:141" s="116" customFormat="1">
      <c r="A20710" s="136"/>
      <c r="CM20710" s="111"/>
      <c r="CQ20710" s="111"/>
      <c r="EF20710"/>
      <c r="EG20710"/>
      <c r="EH20710"/>
      <c r="EI20710"/>
      <c r="EJ20710"/>
      <c r="EK20710"/>
    </row>
    <row r="20711" spans="1:141" s="116" customFormat="1">
      <c r="A20711" s="136"/>
      <c r="CM20711" s="111"/>
      <c r="CQ20711" s="111"/>
      <c r="EF20711"/>
      <c r="EG20711"/>
      <c r="EH20711"/>
      <c r="EI20711"/>
      <c r="EJ20711"/>
      <c r="EK20711"/>
    </row>
    <row r="20712" spans="1:141" s="116" customFormat="1">
      <c r="A20712" s="136"/>
      <c r="CM20712" s="111"/>
      <c r="CQ20712" s="111"/>
      <c r="EF20712"/>
      <c r="EG20712"/>
      <c r="EH20712"/>
      <c r="EI20712"/>
      <c r="EJ20712"/>
      <c r="EK20712"/>
    </row>
    <row r="20713" spans="1:141" s="116" customFormat="1">
      <c r="A20713" s="136"/>
      <c r="CM20713" s="111"/>
      <c r="CQ20713" s="111"/>
      <c r="EF20713"/>
      <c r="EG20713"/>
      <c r="EH20713"/>
      <c r="EI20713"/>
      <c r="EJ20713"/>
      <c r="EK20713"/>
    </row>
    <row r="20714" spans="1:141" s="116" customFormat="1">
      <c r="A20714" s="136"/>
      <c r="CM20714" s="111"/>
      <c r="CQ20714" s="111"/>
      <c r="EF20714"/>
      <c r="EG20714"/>
      <c r="EH20714"/>
      <c r="EI20714"/>
      <c r="EJ20714"/>
      <c r="EK20714"/>
    </row>
    <row r="20715" spans="1:141" s="116" customFormat="1">
      <c r="A20715" s="136"/>
      <c r="CM20715" s="111"/>
      <c r="CQ20715" s="111"/>
      <c r="EF20715"/>
      <c r="EG20715"/>
      <c r="EH20715"/>
      <c r="EI20715"/>
      <c r="EJ20715"/>
      <c r="EK20715"/>
    </row>
    <row r="20716" spans="1:141" s="116" customFormat="1">
      <c r="A20716" s="136"/>
      <c r="CM20716" s="111"/>
      <c r="CQ20716" s="111"/>
      <c r="EF20716"/>
      <c r="EG20716"/>
      <c r="EH20716"/>
      <c r="EI20716"/>
      <c r="EJ20716"/>
      <c r="EK20716"/>
    </row>
    <row r="20717" spans="1:141" s="116" customFormat="1">
      <c r="A20717" s="136"/>
      <c r="CM20717" s="111"/>
      <c r="CQ20717" s="111"/>
      <c r="EF20717"/>
      <c r="EG20717"/>
      <c r="EH20717"/>
      <c r="EI20717"/>
      <c r="EJ20717"/>
      <c r="EK20717"/>
    </row>
    <row r="20718" spans="1:141" s="116" customFormat="1">
      <c r="A20718" s="136"/>
      <c r="CM20718" s="111"/>
      <c r="CQ20718" s="111"/>
      <c r="EF20718"/>
      <c r="EG20718"/>
      <c r="EH20718"/>
      <c r="EI20718"/>
      <c r="EJ20718"/>
      <c r="EK20718"/>
    </row>
    <row r="20719" spans="1:141" s="116" customFormat="1">
      <c r="A20719" s="136"/>
      <c r="CM20719" s="111"/>
      <c r="CQ20719" s="111"/>
      <c r="EF20719"/>
      <c r="EG20719"/>
      <c r="EH20719"/>
      <c r="EI20719"/>
      <c r="EJ20719"/>
      <c r="EK20719"/>
    </row>
    <row r="20720" spans="1:141" s="116" customFormat="1">
      <c r="A20720" s="136"/>
      <c r="CM20720" s="111"/>
      <c r="CQ20720" s="111"/>
      <c r="EF20720"/>
      <c r="EG20720"/>
      <c r="EH20720"/>
      <c r="EI20720"/>
      <c r="EJ20720"/>
      <c r="EK20720"/>
    </row>
    <row r="20721" spans="1:141" s="116" customFormat="1">
      <c r="A20721" s="136"/>
      <c r="CM20721" s="111"/>
      <c r="CQ20721" s="111"/>
      <c r="EF20721"/>
      <c r="EG20721"/>
      <c r="EH20721"/>
      <c r="EI20721"/>
      <c r="EJ20721"/>
      <c r="EK20721"/>
    </row>
    <row r="20722" spans="1:141" s="116" customFormat="1">
      <c r="A20722" s="136"/>
      <c r="CM20722" s="111"/>
      <c r="CQ20722" s="111"/>
      <c r="EF20722"/>
      <c r="EG20722"/>
      <c r="EH20722"/>
      <c r="EI20722"/>
      <c r="EJ20722"/>
      <c r="EK20722"/>
    </row>
    <row r="20723" spans="1:141" s="116" customFormat="1">
      <c r="A20723" s="136"/>
      <c r="CM20723" s="111"/>
      <c r="CQ20723" s="111"/>
      <c r="EF20723"/>
      <c r="EG20723"/>
      <c r="EH20723"/>
      <c r="EI20723"/>
      <c r="EJ20723"/>
      <c r="EK20723"/>
    </row>
    <row r="20724" spans="1:141" s="116" customFormat="1">
      <c r="A20724" s="136"/>
      <c r="CM20724" s="111"/>
      <c r="CQ20724" s="111"/>
      <c r="EF20724"/>
      <c r="EG20724"/>
      <c r="EH20724"/>
      <c r="EI20724"/>
      <c r="EJ20724"/>
      <c r="EK20724"/>
    </row>
    <row r="20725" spans="1:141" s="116" customFormat="1">
      <c r="A20725" s="136"/>
      <c r="CM20725" s="111"/>
      <c r="CQ20725" s="111"/>
      <c r="EF20725"/>
      <c r="EG20725"/>
      <c r="EH20725"/>
      <c r="EI20725"/>
      <c r="EJ20725"/>
      <c r="EK20725"/>
    </row>
    <row r="20726" spans="1:141" s="116" customFormat="1">
      <c r="A20726" s="136"/>
      <c r="CM20726" s="111"/>
      <c r="CQ20726" s="111"/>
      <c r="EF20726"/>
      <c r="EG20726"/>
      <c r="EH20726"/>
      <c r="EI20726"/>
      <c r="EJ20726"/>
      <c r="EK20726"/>
    </row>
    <row r="20727" spans="1:141" s="116" customFormat="1">
      <c r="A20727" s="136"/>
      <c r="CM20727" s="111"/>
      <c r="CQ20727" s="111"/>
      <c r="EF20727"/>
      <c r="EG20727"/>
      <c r="EH20727"/>
      <c r="EI20727"/>
      <c r="EJ20727"/>
      <c r="EK20727"/>
    </row>
    <row r="20728" spans="1:141" s="116" customFormat="1">
      <c r="A20728" s="136"/>
      <c r="CM20728" s="111"/>
      <c r="CQ20728" s="111"/>
      <c r="EF20728"/>
      <c r="EG20728"/>
      <c r="EH20728"/>
      <c r="EI20728"/>
      <c r="EJ20728"/>
      <c r="EK20728"/>
    </row>
    <row r="20729" spans="1:141" s="116" customFormat="1">
      <c r="A20729" s="136"/>
      <c r="CM20729" s="111"/>
      <c r="CQ20729" s="111"/>
      <c r="EF20729"/>
      <c r="EG20729"/>
      <c r="EH20729"/>
      <c r="EI20729"/>
      <c r="EJ20729"/>
      <c r="EK20729"/>
    </row>
    <row r="20730" spans="1:141" s="116" customFormat="1">
      <c r="A20730" s="136"/>
      <c r="CM20730" s="111"/>
      <c r="CQ20730" s="111"/>
      <c r="EF20730"/>
      <c r="EG20730"/>
      <c r="EH20730"/>
      <c r="EI20730"/>
      <c r="EJ20730"/>
      <c r="EK20730"/>
    </row>
    <row r="20731" spans="1:141" s="116" customFormat="1">
      <c r="A20731" s="136"/>
      <c r="CM20731" s="111"/>
      <c r="CQ20731" s="111"/>
      <c r="EF20731"/>
      <c r="EG20731"/>
      <c r="EH20731"/>
      <c r="EI20731"/>
      <c r="EJ20731"/>
      <c r="EK20731"/>
    </row>
    <row r="20732" spans="1:141" s="116" customFormat="1">
      <c r="A20732" s="136"/>
      <c r="CM20732" s="111"/>
      <c r="CQ20732" s="111"/>
      <c r="EF20732"/>
      <c r="EG20732"/>
      <c r="EH20732"/>
      <c r="EI20732"/>
      <c r="EJ20732"/>
      <c r="EK20732"/>
    </row>
    <row r="20733" spans="1:141" s="116" customFormat="1">
      <c r="A20733" s="136"/>
      <c r="CM20733" s="111"/>
      <c r="CQ20733" s="111"/>
      <c r="EF20733"/>
      <c r="EG20733"/>
      <c r="EH20733"/>
      <c r="EI20733"/>
      <c r="EJ20733"/>
      <c r="EK20733"/>
    </row>
    <row r="20734" spans="1:141" s="116" customFormat="1">
      <c r="A20734" s="136"/>
      <c r="CM20734" s="111"/>
      <c r="CQ20734" s="111"/>
      <c r="EF20734"/>
      <c r="EG20734"/>
      <c r="EH20734"/>
      <c r="EI20734"/>
      <c r="EJ20734"/>
      <c r="EK20734"/>
    </row>
    <row r="20735" spans="1:141" s="116" customFormat="1">
      <c r="A20735" s="136"/>
      <c r="CM20735" s="111"/>
      <c r="CQ20735" s="111"/>
      <c r="EF20735"/>
      <c r="EG20735"/>
      <c r="EH20735"/>
      <c r="EI20735"/>
      <c r="EJ20735"/>
      <c r="EK20735"/>
    </row>
    <row r="20736" spans="1:141" s="116" customFormat="1">
      <c r="A20736" s="136"/>
      <c r="CM20736" s="111"/>
      <c r="CQ20736" s="111"/>
      <c r="EF20736"/>
      <c r="EG20736"/>
      <c r="EH20736"/>
      <c r="EI20736"/>
      <c r="EJ20736"/>
      <c r="EK20736"/>
    </row>
    <row r="20737" spans="1:141" s="116" customFormat="1">
      <c r="A20737" s="136"/>
      <c r="CM20737" s="111"/>
      <c r="CQ20737" s="111"/>
      <c r="EF20737"/>
      <c r="EG20737"/>
      <c r="EH20737"/>
      <c r="EI20737"/>
      <c r="EJ20737"/>
      <c r="EK20737"/>
    </row>
    <row r="20738" spans="1:141" s="116" customFormat="1">
      <c r="A20738" s="136"/>
      <c r="CM20738" s="111"/>
      <c r="CQ20738" s="111"/>
      <c r="EF20738"/>
      <c r="EG20738"/>
      <c r="EH20738"/>
      <c r="EI20738"/>
      <c r="EJ20738"/>
      <c r="EK20738"/>
    </row>
    <row r="20739" spans="1:141" s="116" customFormat="1">
      <c r="A20739" s="136"/>
      <c r="CM20739" s="111"/>
      <c r="CQ20739" s="111"/>
      <c r="EF20739"/>
      <c r="EG20739"/>
      <c r="EH20739"/>
      <c r="EI20739"/>
      <c r="EJ20739"/>
      <c r="EK20739"/>
    </row>
    <row r="20740" spans="1:141" s="116" customFormat="1">
      <c r="A20740" s="136"/>
      <c r="CM20740" s="111"/>
      <c r="CQ20740" s="111"/>
      <c r="EF20740"/>
      <c r="EG20740"/>
      <c r="EH20740"/>
      <c r="EI20740"/>
      <c r="EJ20740"/>
      <c r="EK20740"/>
    </row>
    <row r="20741" spans="1:141" s="116" customFormat="1">
      <c r="A20741" s="136"/>
      <c r="CM20741" s="111"/>
      <c r="CQ20741" s="111"/>
      <c r="EF20741"/>
      <c r="EG20741"/>
      <c r="EH20741"/>
      <c r="EI20741"/>
      <c r="EJ20741"/>
      <c r="EK20741"/>
    </row>
    <row r="20742" spans="1:141" s="116" customFormat="1">
      <c r="A20742" s="136"/>
      <c r="CM20742" s="111"/>
      <c r="CQ20742" s="111"/>
      <c r="EF20742"/>
      <c r="EG20742"/>
      <c r="EH20742"/>
      <c r="EI20742"/>
      <c r="EJ20742"/>
      <c r="EK20742"/>
    </row>
    <row r="20743" spans="1:141" s="116" customFormat="1">
      <c r="A20743" s="136"/>
      <c r="CM20743" s="111"/>
      <c r="CQ20743" s="111"/>
      <c r="EF20743"/>
      <c r="EG20743"/>
      <c r="EH20743"/>
      <c r="EI20743"/>
      <c r="EJ20743"/>
      <c r="EK20743"/>
    </row>
    <row r="20744" spans="1:141" s="116" customFormat="1">
      <c r="A20744" s="136"/>
      <c r="CM20744" s="111"/>
      <c r="CQ20744" s="111"/>
      <c r="EF20744"/>
      <c r="EG20744"/>
      <c r="EH20744"/>
      <c r="EI20744"/>
      <c r="EJ20744"/>
      <c r="EK20744"/>
    </row>
    <row r="20745" spans="1:141" s="116" customFormat="1">
      <c r="A20745" s="136"/>
      <c r="CM20745" s="111"/>
      <c r="CQ20745" s="111"/>
      <c r="EF20745"/>
      <c r="EG20745"/>
      <c r="EH20745"/>
      <c r="EI20745"/>
      <c r="EJ20745"/>
      <c r="EK20745"/>
    </row>
    <row r="20746" spans="1:141" s="116" customFormat="1">
      <c r="A20746" s="136"/>
      <c r="CM20746" s="111"/>
      <c r="CQ20746" s="111"/>
      <c r="EF20746"/>
      <c r="EG20746"/>
      <c r="EH20746"/>
      <c r="EI20746"/>
      <c r="EJ20746"/>
      <c r="EK20746"/>
    </row>
    <row r="20747" spans="1:141" s="116" customFormat="1">
      <c r="A20747" s="136"/>
      <c r="CM20747" s="111"/>
      <c r="CQ20747" s="111"/>
      <c r="EF20747"/>
      <c r="EG20747"/>
      <c r="EH20747"/>
      <c r="EI20747"/>
      <c r="EJ20747"/>
      <c r="EK20747"/>
    </row>
    <row r="20748" spans="1:141" s="116" customFormat="1">
      <c r="A20748" s="136"/>
      <c r="CM20748" s="111"/>
      <c r="CQ20748" s="111"/>
      <c r="EF20748"/>
      <c r="EG20748"/>
      <c r="EH20748"/>
      <c r="EI20748"/>
      <c r="EJ20748"/>
      <c r="EK20748"/>
    </row>
    <row r="20749" spans="1:141" s="116" customFormat="1">
      <c r="A20749" s="136"/>
      <c r="CM20749" s="111"/>
      <c r="CQ20749" s="111"/>
      <c r="EF20749"/>
      <c r="EG20749"/>
      <c r="EH20749"/>
      <c r="EI20749"/>
      <c r="EJ20749"/>
      <c r="EK20749"/>
    </row>
    <row r="20750" spans="1:141" s="116" customFormat="1">
      <c r="A20750" s="136"/>
      <c r="CM20750" s="111"/>
      <c r="CQ20750" s="111"/>
      <c r="EF20750"/>
      <c r="EG20750"/>
      <c r="EH20750"/>
      <c r="EI20750"/>
      <c r="EJ20750"/>
      <c r="EK20750"/>
    </row>
    <row r="20751" spans="1:141" s="116" customFormat="1">
      <c r="A20751" s="136"/>
      <c r="CM20751" s="111"/>
      <c r="CQ20751" s="111"/>
      <c r="EF20751"/>
      <c r="EG20751"/>
      <c r="EH20751"/>
      <c r="EI20751"/>
      <c r="EJ20751"/>
      <c r="EK20751"/>
    </row>
    <row r="20752" spans="1:141" s="116" customFormat="1">
      <c r="A20752" s="136"/>
      <c r="CM20752" s="111"/>
      <c r="CQ20752" s="111"/>
      <c r="EF20752"/>
      <c r="EG20752"/>
      <c r="EH20752"/>
      <c r="EI20752"/>
      <c r="EJ20752"/>
      <c r="EK20752"/>
    </row>
    <row r="20753" spans="1:141" s="116" customFormat="1">
      <c r="A20753" s="136"/>
      <c r="CM20753" s="111"/>
      <c r="CQ20753" s="111"/>
      <c r="EF20753"/>
      <c r="EG20753"/>
      <c r="EH20753"/>
      <c r="EI20753"/>
      <c r="EJ20753"/>
      <c r="EK20753"/>
    </row>
    <row r="20754" spans="1:141" s="116" customFormat="1">
      <c r="A20754" s="136"/>
      <c r="CM20754" s="111"/>
      <c r="CQ20754" s="111"/>
      <c r="EF20754"/>
      <c r="EG20754"/>
      <c r="EH20754"/>
      <c r="EI20754"/>
      <c r="EJ20754"/>
      <c r="EK20754"/>
    </row>
    <row r="20755" spans="1:141" s="116" customFormat="1">
      <c r="A20755" s="136"/>
      <c r="CM20755" s="111"/>
      <c r="CQ20755" s="111"/>
      <c r="EF20755"/>
      <c r="EG20755"/>
      <c r="EH20755"/>
      <c r="EI20755"/>
      <c r="EJ20755"/>
      <c r="EK20755"/>
    </row>
    <row r="20756" spans="1:141" s="116" customFormat="1">
      <c r="A20756" s="136"/>
      <c r="CM20756" s="111"/>
      <c r="CQ20756" s="111"/>
      <c r="EF20756"/>
      <c r="EG20756"/>
      <c r="EH20756"/>
      <c r="EI20756"/>
      <c r="EJ20756"/>
      <c r="EK20756"/>
    </row>
    <row r="20757" spans="1:141" s="116" customFormat="1">
      <c r="A20757" s="136"/>
      <c r="CM20757" s="111"/>
      <c r="CQ20757" s="111"/>
      <c r="EF20757"/>
      <c r="EG20757"/>
      <c r="EH20757"/>
      <c r="EI20757"/>
      <c r="EJ20757"/>
      <c r="EK20757"/>
    </row>
    <row r="20758" spans="1:141" s="116" customFormat="1">
      <c r="A20758" s="136"/>
      <c r="CM20758" s="111"/>
      <c r="CQ20758" s="111"/>
      <c r="EF20758"/>
      <c r="EG20758"/>
      <c r="EH20758"/>
      <c r="EI20758"/>
      <c r="EJ20758"/>
      <c r="EK20758"/>
    </row>
    <row r="20759" spans="1:141" s="116" customFormat="1">
      <c r="A20759" s="136"/>
      <c r="CM20759" s="111"/>
      <c r="CQ20759" s="111"/>
      <c r="EF20759"/>
      <c r="EG20759"/>
      <c r="EH20759"/>
      <c r="EI20759"/>
      <c r="EJ20759"/>
      <c r="EK20759"/>
    </row>
    <row r="20760" spans="1:141" s="116" customFormat="1">
      <c r="A20760" s="136"/>
      <c r="CM20760" s="111"/>
      <c r="CQ20760" s="111"/>
      <c r="EF20760"/>
      <c r="EG20760"/>
      <c r="EH20760"/>
      <c r="EI20760"/>
      <c r="EJ20760"/>
      <c r="EK20760"/>
    </row>
    <row r="20761" spans="1:141" s="116" customFormat="1">
      <c r="A20761" s="136"/>
      <c r="CM20761" s="111"/>
      <c r="CQ20761" s="111"/>
      <c r="EF20761"/>
      <c r="EG20761"/>
      <c r="EH20761"/>
      <c r="EI20761"/>
      <c r="EJ20761"/>
      <c r="EK20761"/>
    </row>
    <row r="20762" spans="1:141" s="116" customFormat="1">
      <c r="A20762" s="136"/>
      <c r="CM20762" s="111"/>
      <c r="CQ20762" s="111"/>
      <c r="EF20762"/>
      <c r="EG20762"/>
      <c r="EH20762"/>
      <c r="EI20762"/>
      <c r="EJ20762"/>
      <c r="EK20762"/>
    </row>
    <row r="20763" spans="1:141" s="116" customFormat="1">
      <c r="A20763" s="136"/>
      <c r="CM20763" s="111"/>
      <c r="CQ20763" s="111"/>
      <c r="EF20763"/>
      <c r="EG20763"/>
      <c r="EH20763"/>
      <c r="EI20763"/>
      <c r="EJ20763"/>
      <c r="EK20763"/>
    </row>
    <row r="20764" spans="1:141" s="116" customFormat="1">
      <c r="A20764" s="136"/>
      <c r="CM20764" s="111"/>
      <c r="CQ20764" s="111"/>
      <c r="EF20764"/>
      <c r="EG20764"/>
      <c r="EH20764"/>
      <c r="EI20764"/>
      <c r="EJ20764"/>
      <c r="EK20764"/>
    </row>
    <row r="20765" spans="1:141" s="116" customFormat="1">
      <c r="A20765" s="136"/>
      <c r="CM20765" s="111"/>
      <c r="CQ20765" s="111"/>
      <c r="EF20765"/>
      <c r="EG20765"/>
      <c r="EH20765"/>
      <c r="EI20765"/>
      <c r="EJ20765"/>
      <c r="EK20765"/>
    </row>
    <row r="20766" spans="1:141" s="116" customFormat="1">
      <c r="A20766" s="136"/>
      <c r="CM20766" s="111"/>
      <c r="CQ20766" s="111"/>
      <c r="EF20766"/>
      <c r="EG20766"/>
      <c r="EH20766"/>
      <c r="EI20766"/>
      <c r="EJ20766"/>
      <c r="EK20766"/>
    </row>
    <row r="20767" spans="1:141" s="116" customFormat="1">
      <c r="A20767" s="136"/>
      <c r="CM20767" s="111"/>
      <c r="CQ20767" s="111"/>
      <c r="EF20767"/>
      <c r="EG20767"/>
      <c r="EH20767"/>
      <c r="EI20767"/>
      <c r="EJ20767"/>
      <c r="EK20767"/>
    </row>
    <row r="20768" spans="1:141" s="116" customFormat="1">
      <c r="A20768" s="136"/>
      <c r="CM20768" s="111"/>
      <c r="CQ20768" s="111"/>
      <c r="EF20768"/>
      <c r="EG20768"/>
      <c r="EH20768"/>
      <c r="EI20768"/>
      <c r="EJ20768"/>
      <c r="EK20768"/>
    </row>
    <row r="20769" spans="1:141" s="116" customFormat="1">
      <c r="A20769" s="136"/>
      <c r="CM20769" s="111"/>
      <c r="CQ20769" s="111"/>
      <c r="EF20769"/>
      <c r="EG20769"/>
      <c r="EH20769"/>
      <c r="EI20769"/>
      <c r="EJ20769"/>
      <c r="EK20769"/>
    </row>
    <row r="20770" spans="1:141" s="116" customFormat="1">
      <c r="A20770" s="136"/>
      <c r="CM20770" s="111"/>
      <c r="CQ20770" s="111"/>
      <c r="EF20770"/>
      <c r="EG20770"/>
      <c r="EH20770"/>
      <c r="EI20770"/>
      <c r="EJ20770"/>
      <c r="EK20770"/>
    </row>
    <row r="20771" spans="1:141" s="116" customFormat="1">
      <c r="A20771" s="136"/>
      <c r="CM20771" s="111"/>
      <c r="CQ20771" s="111"/>
      <c r="EF20771"/>
      <c r="EG20771"/>
      <c r="EH20771"/>
      <c r="EI20771"/>
      <c r="EJ20771"/>
      <c r="EK20771"/>
    </row>
    <row r="20772" spans="1:141" s="116" customFormat="1">
      <c r="A20772" s="136"/>
      <c r="CM20772" s="111"/>
      <c r="CQ20772" s="111"/>
      <c r="EF20772"/>
      <c r="EG20772"/>
      <c r="EH20772"/>
      <c r="EI20772"/>
      <c r="EJ20772"/>
      <c r="EK20772"/>
    </row>
    <row r="20773" spans="1:141" s="116" customFormat="1">
      <c r="A20773" s="136"/>
      <c r="CM20773" s="111"/>
      <c r="CQ20773" s="111"/>
      <c r="EF20773"/>
      <c r="EG20773"/>
      <c r="EH20773"/>
      <c r="EI20773"/>
      <c r="EJ20773"/>
      <c r="EK20773"/>
    </row>
    <row r="20774" spans="1:141" s="116" customFormat="1">
      <c r="A20774" s="136"/>
      <c r="CM20774" s="111"/>
      <c r="CQ20774" s="111"/>
      <c r="EF20774"/>
      <c r="EG20774"/>
      <c r="EH20774"/>
      <c r="EI20774"/>
      <c r="EJ20774"/>
      <c r="EK20774"/>
    </row>
    <row r="20775" spans="1:141" s="116" customFormat="1">
      <c r="A20775" s="136"/>
      <c r="CM20775" s="111"/>
      <c r="CQ20775" s="111"/>
      <c r="EF20775"/>
      <c r="EG20775"/>
      <c r="EH20775"/>
      <c r="EI20775"/>
      <c r="EJ20775"/>
      <c r="EK20775"/>
    </row>
    <row r="20776" spans="1:141" s="116" customFormat="1">
      <c r="A20776" s="136"/>
      <c r="CM20776" s="111"/>
      <c r="CQ20776" s="111"/>
      <c r="EF20776"/>
      <c r="EG20776"/>
      <c r="EH20776"/>
      <c r="EI20776"/>
      <c r="EJ20776"/>
      <c r="EK20776"/>
    </row>
    <row r="20777" spans="1:141" s="116" customFormat="1">
      <c r="A20777" s="136"/>
      <c r="CM20777" s="111"/>
      <c r="CQ20777" s="111"/>
      <c r="EF20777"/>
      <c r="EG20777"/>
      <c r="EH20777"/>
      <c r="EI20777"/>
      <c r="EJ20777"/>
      <c r="EK20777"/>
    </row>
    <row r="20778" spans="1:141" s="116" customFormat="1">
      <c r="A20778" s="136"/>
      <c r="CM20778" s="111"/>
      <c r="CQ20778" s="111"/>
      <c r="EF20778"/>
      <c r="EG20778"/>
      <c r="EH20778"/>
      <c r="EI20778"/>
      <c r="EJ20778"/>
      <c r="EK20778"/>
    </row>
    <row r="20779" spans="1:141" s="116" customFormat="1">
      <c r="A20779" s="136"/>
      <c r="CM20779" s="111"/>
      <c r="CQ20779" s="111"/>
      <c r="EF20779"/>
      <c r="EG20779"/>
      <c r="EH20779"/>
      <c r="EI20779"/>
      <c r="EJ20779"/>
      <c r="EK20779"/>
    </row>
    <row r="20780" spans="1:141" s="116" customFormat="1">
      <c r="A20780" s="136"/>
      <c r="CM20780" s="111"/>
      <c r="CQ20780" s="111"/>
      <c r="EF20780"/>
      <c r="EG20780"/>
      <c r="EH20780"/>
      <c r="EI20780"/>
      <c r="EJ20780"/>
      <c r="EK20780"/>
    </row>
    <row r="20781" spans="1:141" s="116" customFormat="1">
      <c r="A20781" s="136"/>
      <c r="CM20781" s="111"/>
      <c r="CQ20781" s="111"/>
      <c r="EF20781"/>
      <c r="EG20781"/>
      <c r="EH20781"/>
      <c r="EI20781"/>
      <c r="EJ20781"/>
      <c r="EK20781"/>
    </row>
    <row r="20782" spans="1:141" s="116" customFormat="1">
      <c r="A20782" s="136"/>
      <c r="CM20782" s="111"/>
      <c r="CQ20782" s="111"/>
      <c r="EF20782"/>
      <c r="EG20782"/>
      <c r="EH20782"/>
      <c r="EI20782"/>
      <c r="EJ20782"/>
      <c r="EK20782"/>
    </row>
    <row r="20783" spans="1:141" s="116" customFormat="1">
      <c r="A20783" s="136"/>
      <c r="CM20783" s="111"/>
      <c r="CQ20783" s="111"/>
      <c r="EF20783"/>
      <c r="EG20783"/>
      <c r="EH20783"/>
      <c r="EI20783"/>
      <c r="EJ20783"/>
      <c r="EK20783"/>
    </row>
    <row r="20784" spans="1:141" s="116" customFormat="1">
      <c r="A20784" s="136"/>
      <c r="CM20784" s="111"/>
      <c r="CQ20784" s="111"/>
      <c r="EF20784"/>
      <c r="EG20784"/>
      <c r="EH20784"/>
      <c r="EI20784"/>
      <c r="EJ20784"/>
      <c r="EK20784"/>
    </row>
    <row r="20785" spans="1:141" s="116" customFormat="1">
      <c r="A20785" s="136"/>
      <c r="CM20785" s="111"/>
      <c r="CQ20785" s="111"/>
      <c r="EF20785"/>
      <c r="EG20785"/>
      <c r="EH20785"/>
      <c r="EI20785"/>
      <c r="EJ20785"/>
      <c r="EK20785"/>
    </row>
    <row r="20786" spans="1:141" s="116" customFormat="1">
      <c r="A20786" s="136"/>
      <c r="CM20786" s="111"/>
      <c r="CQ20786" s="111"/>
      <c r="EF20786"/>
      <c r="EG20786"/>
      <c r="EH20786"/>
      <c r="EI20786"/>
      <c r="EJ20786"/>
      <c r="EK20786"/>
    </row>
    <row r="20787" spans="1:141" s="116" customFormat="1">
      <c r="A20787" s="136"/>
      <c r="CM20787" s="111"/>
      <c r="CQ20787" s="111"/>
      <c r="EF20787"/>
      <c r="EG20787"/>
      <c r="EH20787"/>
      <c r="EI20787"/>
      <c r="EJ20787"/>
      <c r="EK20787"/>
    </row>
    <row r="20788" spans="1:141" s="116" customFormat="1">
      <c r="A20788" s="136"/>
      <c r="CM20788" s="111"/>
      <c r="CQ20788" s="111"/>
      <c r="EF20788"/>
      <c r="EG20788"/>
      <c r="EH20788"/>
      <c r="EI20788"/>
      <c r="EJ20788"/>
      <c r="EK20788"/>
    </row>
    <row r="20789" spans="1:141" s="116" customFormat="1">
      <c r="A20789" s="136"/>
      <c r="CM20789" s="111"/>
      <c r="CQ20789" s="111"/>
      <c r="EF20789"/>
      <c r="EG20789"/>
      <c r="EH20789"/>
      <c r="EI20789"/>
      <c r="EJ20789"/>
      <c r="EK20789"/>
    </row>
    <row r="20790" spans="1:141" s="116" customFormat="1">
      <c r="A20790" s="136"/>
      <c r="CM20790" s="111"/>
      <c r="CQ20790" s="111"/>
      <c r="EF20790"/>
      <c r="EG20790"/>
      <c r="EH20790"/>
      <c r="EI20790"/>
      <c r="EJ20790"/>
      <c r="EK20790"/>
    </row>
    <row r="20791" spans="1:141" s="116" customFormat="1">
      <c r="A20791" s="136"/>
      <c r="CM20791" s="111"/>
      <c r="CQ20791" s="111"/>
      <c r="EF20791"/>
      <c r="EG20791"/>
      <c r="EH20791"/>
      <c r="EI20791"/>
      <c r="EJ20791"/>
      <c r="EK20791"/>
    </row>
    <row r="20792" spans="1:141" s="116" customFormat="1">
      <c r="A20792" s="136"/>
      <c r="CM20792" s="111"/>
      <c r="CQ20792" s="111"/>
      <c r="EF20792"/>
      <c r="EG20792"/>
      <c r="EH20792"/>
      <c r="EI20792"/>
      <c r="EJ20792"/>
      <c r="EK20792"/>
    </row>
    <row r="20793" spans="1:141" s="116" customFormat="1">
      <c r="A20793" s="136"/>
      <c r="CM20793" s="111"/>
      <c r="CQ20793" s="111"/>
      <c r="EF20793"/>
      <c r="EG20793"/>
      <c r="EH20793"/>
      <c r="EI20793"/>
      <c r="EJ20793"/>
      <c r="EK20793"/>
    </row>
    <row r="20794" spans="1:141" s="116" customFormat="1">
      <c r="A20794" s="136"/>
      <c r="CM20794" s="111"/>
      <c r="CQ20794" s="111"/>
      <c r="EF20794"/>
      <c r="EG20794"/>
      <c r="EH20794"/>
      <c r="EI20794"/>
      <c r="EJ20794"/>
      <c r="EK20794"/>
    </row>
    <row r="20795" spans="1:141" s="116" customFormat="1">
      <c r="A20795" s="136"/>
      <c r="CM20795" s="111"/>
      <c r="CQ20795" s="111"/>
      <c r="EF20795"/>
      <c r="EG20795"/>
      <c r="EH20795"/>
      <c r="EI20795"/>
      <c r="EJ20795"/>
      <c r="EK20795"/>
    </row>
    <row r="20796" spans="1:141" s="116" customFormat="1">
      <c r="A20796" s="136"/>
      <c r="CM20796" s="111"/>
      <c r="CQ20796" s="111"/>
      <c r="EF20796"/>
      <c r="EG20796"/>
      <c r="EH20796"/>
      <c r="EI20796"/>
      <c r="EJ20796"/>
      <c r="EK20796"/>
    </row>
    <row r="20797" spans="1:141" s="116" customFormat="1">
      <c r="A20797" s="136"/>
      <c r="CM20797" s="111"/>
      <c r="CQ20797" s="111"/>
      <c r="EF20797"/>
      <c r="EG20797"/>
      <c r="EH20797"/>
      <c r="EI20797"/>
      <c r="EJ20797"/>
      <c r="EK20797"/>
    </row>
    <row r="20798" spans="1:141" s="116" customFormat="1">
      <c r="A20798" s="136"/>
      <c r="CM20798" s="111"/>
      <c r="CQ20798" s="111"/>
      <c r="EF20798"/>
      <c r="EG20798"/>
      <c r="EH20798"/>
      <c r="EI20798"/>
      <c r="EJ20798"/>
      <c r="EK20798"/>
    </row>
    <row r="20799" spans="1:141" s="116" customFormat="1">
      <c r="A20799" s="136"/>
      <c r="CM20799" s="111"/>
      <c r="CQ20799" s="111"/>
      <c r="EF20799"/>
      <c r="EG20799"/>
      <c r="EH20799"/>
      <c r="EI20799"/>
      <c r="EJ20799"/>
      <c r="EK20799"/>
    </row>
    <row r="20800" spans="1:141" s="116" customFormat="1">
      <c r="A20800" s="136"/>
      <c r="CM20800" s="111"/>
      <c r="CQ20800" s="111"/>
      <c r="EF20800"/>
      <c r="EG20800"/>
      <c r="EH20800"/>
      <c r="EI20800"/>
      <c r="EJ20800"/>
      <c r="EK20800"/>
    </row>
    <row r="20801" spans="1:141" s="116" customFormat="1">
      <c r="A20801" s="136"/>
      <c r="CM20801" s="111"/>
      <c r="CQ20801" s="111"/>
      <c r="EF20801"/>
      <c r="EG20801"/>
      <c r="EH20801"/>
      <c r="EI20801"/>
      <c r="EJ20801"/>
      <c r="EK20801"/>
    </row>
    <row r="20802" spans="1:141" s="116" customFormat="1">
      <c r="A20802" s="136"/>
      <c r="CM20802" s="111"/>
      <c r="CQ20802" s="111"/>
      <c r="EF20802"/>
      <c r="EG20802"/>
      <c r="EH20802"/>
      <c r="EI20802"/>
      <c r="EJ20802"/>
      <c r="EK20802"/>
    </row>
    <row r="20803" spans="1:141" s="116" customFormat="1">
      <c r="A20803" s="136"/>
      <c r="CM20803" s="111"/>
      <c r="CQ20803" s="111"/>
      <c r="EF20803"/>
      <c r="EG20803"/>
      <c r="EH20803"/>
      <c r="EI20803"/>
      <c r="EJ20803"/>
      <c r="EK20803"/>
    </row>
    <row r="20804" spans="1:141" s="116" customFormat="1">
      <c r="A20804" s="136"/>
      <c r="CM20804" s="111"/>
      <c r="CQ20804" s="111"/>
      <c r="EF20804"/>
      <c r="EG20804"/>
      <c r="EH20804"/>
      <c r="EI20804"/>
      <c r="EJ20804"/>
      <c r="EK20804"/>
    </row>
    <row r="20805" spans="1:141" s="116" customFormat="1">
      <c r="A20805" s="136"/>
      <c r="CM20805" s="111"/>
      <c r="CQ20805" s="111"/>
      <c r="EF20805"/>
      <c r="EG20805"/>
      <c r="EH20805"/>
      <c r="EI20805"/>
      <c r="EJ20805"/>
      <c r="EK20805"/>
    </row>
    <row r="20806" spans="1:141" s="116" customFormat="1">
      <c r="A20806" s="136"/>
      <c r="CM20806" s="111"/>
      <c r="CQ20806" s="111"/>
      <c r="EF20806"/>
      <c r="EG20806"/>
      <c r="EH20806"/>
      <c r="EI20806"/>
      <c r="EJ20806"/>
      <c r="EK20806"/>
    </row>
    <row r="20807" spans="1:141" s="116" customFormat="1">
      <c r="A20807" s="136"/>
      <c r="CM20807" s="111"/>
      <c r="CQ20807" s="111"/>
      <c r="EF20807"/>
      <c r="EG20807"/>
      <c r="EH20807"/>
      <c r="EI20807"/>
      <c r="EJ20807"/>
      <c r="EK20807"/>
    </row>
    <row r="20808" spans="1:141" s="116" customFormat="1">
      <c r="A20808" s="136"/>
      <c r="CM20808" s="111"/>
      <c r="CQ20808" s="111"/>
      <c r="EF20808"/>
      <c r="EG20808"/>
      <c r="EH20808"/>
      <c r="EI20808"/>
      <c r="EJ20808"/>
      <c r="EK20808"/>
    </row>
    <row r="20809" spans="1:141" s="116" customFormat="1">
      <c r="A20809" s="136"/>
      <c r="CM20809" s="111"/>
      <c r="CQ20809" s="111"/>
      <c r="EF20809"/>
      <c r="EG20809"/>
      <c r="EH20809"/>
      <c r="EI20809"/>
      <c r="EJ20809"/>
      <c r="EK20809"/>
    </row>
    <row r="20810" spans="1:141" s="116" customFormat="1">
      <c r="A20810" s="136"/>
      <c r="CM20810" s="111"/>
      <c r="CQ20810" s="111"/>
      <c r="EF20810"/>
      <c r="EG20810"/>
      <c r="EH20810"/>
      <c r="EI20810"/>
      <c r="EJ20810"/>
      <c r="EK20810"/>
    </row>
    <row r="20811" spans="1:141" s="116" customFormat="1">
      <c r="A20811" s="136"/>
      <c r="CM20811" s="111"/>
      <c r="CQ20811" s="111"/>
      <c r="EF20811"/>
      <c r="EG20811"/>
      <c r="EH20811"/>
      <c r="EI20811"/>
      <c r="EJ20811"/>
      <c r="EK20811"/>
    </row>
    <row r="20812" spans="1:141" s="116" customFormat="1">
      <c r="A20812" s="136"/>
      <c r="CM20812" s="111"/>
      <c r="CQ20812" s="111"/>
      <c r="EF20812"/>
      <c r="EG20812"/>
      <c r="EH20812"/>
      <c r="EI20812"/>
      <c r="EJ20812"/>
      <c r="EK20812"/>
    </row>
    <row r="20813" spans="1:141" s="116" customFormat="1">
      <c r="A20813" s="136"/>
      <c r="CM20813" s="111"/>
      <c r="CQ20813" s="111"/>
      <c r="EF20813"/>
      <c r="EG20813"/>
      <c r="EH20813"/>
      <c r="EI20813"/>
      <c r="EJ20813"/>
      <c r="EK20813"/>
    </row>
    <row r="20814" spans="1:141" s="116" customFormat="1">
      <c r="A20814" s="136"/>
      <c r="CM20814" s="111"/>
      <c r="CQ20814" s="111"/>
      <c r="EF20814"/>
      <c r="EG20814"/>
      <c r="EH20814"/>
      <c r="EI20814"/>
      <c r="EJ20814"/>
      <c r="EK20814"/>
    </row>
    <row r="20815" spans="1:141" s="116" customFormat="1">
      <c r="A20815" s="136"/>
      <c r="CM20815" s="111"/>
      <c r="CQ20815" s="111"/>
      <c r="EF20815"/>
      <c r="EG20815"/>
      <c r="EH20815"/>
      <c r="EI20815"/>
      <c r="EJ20815"/>
      <c r="EK20815"/>
    </row>
    <row r="20816" spans="1:141" s="116" customFormat="1">
      <c r="A20816" s="136"/>
      <c r="CM20816" s="111"/>
      <c r="CQ20816" s="111"/>
      <c r="EF20816"/>
      <c r="EG20816"/>
      <c r="EH20816"/>
      <c r="EI20816"/>
      <c r="EJ20816"/>
      <c r="EK20816"/>
    </row>
    <row r="20817" spans="1:141" s="116" customFormat="1">
      <c r="A20817" s="136"/>
      <c r="CM20817" s="111"/>
      <c r="CQ20817" s="111"/>
      <c r="EF20817"/>
      <c r="EG20817"/>
      <c r="EH20817"/>
      <c r="EI20817"/>
      <c r="EJ20817"/>
      <c r="EK20817"/>
    </row>
    <row r="20818" spans="1:141" s="116" customFormat="1">
      <c r="A20818" s="136"/>
      <c r="CM20818" s="111"/>
      <c r="CQ20818" s="111"/>
      <c r="EF20818"/>
      <c r="EG20818"/>
      <c r="EH20818"/>
      <c r="EI20818"/>
      <c r="EJ20818"/>
      <c r="EK20818"/>
    </row>
    <row r="20819" spans="1:141" s="116" customFormat="1">
      <c r="A20819" s="136"/>
      <c r="CM20819" s="111"/>
      <c r="CQ20819" s="111"/>
      <c r="EF20819"/>
      <c r="EG20819"/>
      <c r="EH20819"/>
      <c r="EI20819"/>
      <c r="EJ20819"/>
      <c r="EK20819"/>
    </row>
    <row r="20820" spans="1:141" s="116" customFormat="1">
      <c r="A20820" s="136"/>
      <c r="CM20820" s="111"/>
      <c r="CQ20820" s="111"/>
      <c r="EF20820"/>
      <c r="EG20820"/>
      <c r="EH20820"/>
      <c r="EI20820"/>
      <c r="EJ20820"/>
      <c r="EK20820"/>
    </row>
    <row r="20821" spans="1:141" s="116" customFormat="1">
      <c r="A20821" s="136"/>
      <c r="CM20821" s="111"/>
      <c r="CQ20821" s="111"/>
      <c r="EF20821"/>
      <c r="EG20821"/>
      <c r="EH20821"/>
      <c r="EI20821"/>
      <c r="EJ20821"/>
      <c r="EK20821"/>
    </row>
    <row r="20822" spans="1:141" s="116" customFormat="1">
      <c r="A20822" s="136"/>
      <c r="CM20822" s="111"/>
      <c r="CQ20822" s="111"/>
      <c r="EF20822"/>
      <c r="EG20822"/>
      <c r="EH20822"/>
      <c r="EI20822"/>
      <c r="EJ20822"/>
      <c r="EK20822"/>
    </row>
    <row r="20823" spans="1:141" s="116" customFormat="1">
      <c r="A20823" s="136"/>
      <c r="CM20823" s="111"/>
      <c r="CQ20823" s="111"/>
      <c r="EF20823"/>
      <c r="EG20823"/>
      <c r="EH20823"/>
      <c r="EI20823"/>
      <c r="EJ20823"/>
      <c r="EK20823"/>
    </row>
    <row r="20824" spans="1:141" s="116" customFormat="1">
      <c r="A20824" s="136"/>
      <c r="CM20824" s="111"/>
      <c r="CQ20824" s="111"/>
      <c r="EF20824"/>
      <c r="EG20824"/>
      <c r="EH20824"/>
      <c r="EI20824"/>
      <c r="EJ20824"/>
      <c r="EK20824"/>
    </row>
    <row r="20825" spans="1:141" s="116" customFormat="1">
      <c r="A20825" s="136"/>
      <c r="CM20825" s="111"/>
      <c r="CQ20825" s="111"/>
      <c r="EF20825"/>
      <c r="EG20825"/>
      <c r="EH20825"/>
      <c r="EI20825"/>
      <c r="EJ20825"/>
      <c r="EK20825"/>
    </row>
    <row r="20826" spans="1:141" s="116" customFormat="1">
      <c r="A20826" s="136"/>
      <c r="CM20826" s="111"/>
      <c r="CQ20826" s="111"/>
      <c r="EF20826"/>
      <c r="EG20826"/>
      <c r="EH20826"/>
      <c r="EI20826"/>
      <c r="EJ20826"/>
      <c r="EK20826"/>
    </row>
    <row r="20827" spans="1:141" s="116" customFormat="1">
      <c r="A20827" s="136"/>
      <c r="CM20827" s="111"/>
      <c r="CQ20827" s="111"/>
      <c r="EF20827"/>
      <c r="EG20827"/>
      <c r="EH20827"/>
      <c r="EI20827"/>
      <c r="EJ20827"/>
      <c r="EK20827"/>
    </row>
    <row r="20828" spans="1:141" s="116" customFormat="1">
      <c r="A20828" s="136"/>
      <c r="CM20828" s="111"/>
      <c r="CQ20828" s="111"/>
      <c r="EF20828"/>
      <c r="EG20828"/>
      <c r="EH20828"/>
      <c r="EI20828"/>
      <c r="EJ20828"/>
      <c r="EK20828"/>
    </row>
    <row r="20829" spans="1:141" s="116" customFormat="1">
      <c r="A20829" s="136"/>
      <c r="CM20829" s="111"/>
      <c r="CQ20829" s="111"/>
      <c r="EF20829"/>
      <c r="EG20829"/>
      <c r="EH20829"/>
      <c r="EI20829"/>
      <c r="EJ20829"/>
      <c r="EK20829"/>
    </row>
    <row r="20830" spans="1:141" s="116" customFormat="1">
      <c r="A20830" s="136"/>
      <c r="CM20830" s="111"/>
      <c r="CQ20830" s="111"/>
      <c r="EF20830"/>
      <c r="EG20830"/>
      <c r="EH20830"/>
      <c r="EI20830"/>
      <c r="EJ20830"/>
      <c r="EK20830"/>
    </row>
    <row r="20831" spans="1:141" s="116" customFormat="1">
      <c r="A20831" s="136"/>
      <c r="CM20831" s="111"/>
      <c r="CQ20831" s="111"/>
      <c r="EF20831"/>
      <c r="EG20831"/>
      <c r="EH20831"/>
      <c r="EI20831"/>
      <c r="EJ20831"/>
      <c r="EK20831"/>
    </row>
    <row r="20832" spans="1:141" s="116" customFormat="1">
      <c r="A20832" s="136"/>
      <c r="CM20832" s="111"/>
      <c r="CQ20832" s="111"/>
      <c r="EF20832"/>
      <c r="EG20832"/>
      <c r="EH20832"/>
      <c r="EI20832"/>
      <c r="EJ20832"/>
      <c r="EK20832"/>
    </row>
    <row r="20833" spans="1:141" s="116" customFormat="1">
      <c r="A20833" s="136"/>
      <c r="CM20833" s="111"/>
      <c r="CQ20833" s="111"/>
      <c r="EF20833"/>
      <c r="EG20833"/>
      <c r="EH20833"/>
      <c r="EI20833"/>
      <c r="EJ20833"/>
      <c r="EK20833"/>
    </row>
    <row r="20834" spans="1:141" s="116" customFormat="1">
      <c r="A20834" s="136"/>
      <c r="CM20834" s="111"/>
      <c r="CQ20834" s="111"/>
      <c r="EF20834"/>
      <c r="EG20834"/>
      <c r="EH20834"/>
      <c r="EI20834"/>
      <c r="EJ20834"/>
      <c r="EK20834"/>
    </row>
    <row r="20835" spans="1:141" s="116" customFormat="1">
      <c r="A20835" s="136"/>
      <c r="CM20835" s="111"/>
      <c r="CQ20835" s="111"/>
      <c r="EF20835"/>
      <c r="EG20835"/>
      <c r="EH20835"/>
      <c r="EI20835"/>
      <c r="EJ20835"/>
      <c r="EK20835"/>
    </row>
    <row r="20836" spans="1:141" s="116" customFormat="1">
      <c r="A20836" s="136"/>
      <c r="CM20836" s="111"/>
      <c r="CQ20836" s="111"/>
      <c r="EF20836"/>
      <c r="EG20836"/>
      <c r="EH20836"/>
      <c r="EI20836"/>
      <c r="EJ20836"/>
      <c r="EK20836"/>
    </row>
    <row r="20837" spans="1:141" s="116" customFormat="1">
      <c r="A20837" s="136"/>
      <c r="CM20837" s="111"/>
      <c r="CQ20837" s="111"/>
      <c r="EF20837"/>
      <c r="EG20837"/>
      <c r="EH20837"/>
      <c r="EI20837"/>
      <c r="EJ20837"/>
      <c r="EK20837"/>
    </row>
    <row r="20838" spans="1:141" s="116" customFormat="1">
      <c r="A20838" s="136"/>
      <c r="CM20838" s="111"/>
      <c r="CQ20838" s="111"/>
      <c r="EF20838"/>
      <c r="EG20838"/>
      <c r="EH20838"/>
      <c r="EI20838"/>
      <c r="EJ20838"/>
      <c r="EK20838"/>
    </row>
    <row r="20839" spans="1:141" s="116" customFormat="1">
      <c r="A20839" s="136"/>
      <c r="CM20839" s="111"/>
      <c r="CQ20839" s="111"/>
      <c r="EF20839"/>
      <c r="EG20839"/>
      <c r="EH20839"/>
      <c r="EI20839"/>
      <c r="EJ20839"/>
      <c r="EK20839"/>
    </row>
    <row r="20840" spans="1:141" s="116" customFormat="1">
      <c r="A20840" s="136"/>
      <c r="CM20840" s="111"/>
      <c r="CQ20840" s="111"/>
      <c r="EF20840"/>
      <c r="EG20840"/>
      <c r="EH20840"/>
      <c r="EI20840"/>
      <c r="EJ20840"/>
      <c r="EK20840"/>
    </row>
    <row r="20841" spans="1:141" s="116" customFormat="1">
      <c r="A20841" s="136"/>
      <c r="CM20841" s="111"/>
      <c r="CQ20841" s="111"/>
      <c r="EF20841"/>
      <c r="EG20841"/>
      <c r="EH20841"/>
      <c r="EI20841"/>
      <c r="EJ20841"/>
      <c r="EK20841"/>
    </row>
    <row r="20842" spans="1:141" s="116" customFormat="1">
      <c r="A20842" s="136"/>
      <c r="CM20842" s="111"/>
      <c r="CQ20842" s="111"/>
      <c r="EF20842"/>
      <c r="EG20842"/>
      <c r="EH20842"/>
      <c r="EI20842"/>
      <c r="EJ20842"/>
      <c r="EK20842"/>
    </row>
    <row r="20843" spans="1:141" s="116" customFormat="1">
      <c r="A20843" s="136"/>
      <c r="CM20843" s="111"/>
      <c r="CQ20843" s="111"/>
      <c r="EF20843"/>
      <c r="EG20843"/>
      <c r="EH20843"/>
      <c r="EI20843"/>
      <c r="EJ20843"/>
      <c r="EK20843"/>
    </row>
    <row r="20844" spans="1:141" s="116" customFormat="1">
      <c r="A20844" s="136"/>
      <c r="CM20844" s="111"/>
      <c r="CQ20844" s="111"/>
      <c r="EF20844"/>
      <c r="EG20844"/>
      <c r="EH20844"/>
      <c r="EI20844"/>
      <c r="EJ20844"/>
      <c r="EK20844"/>
    </row>
    <row r="20845" spans="1:141" s="116" customFormat="1">
      <c r="A20845" s="136"/>
      <c r="CM20845" s="111"/>
      <c r="CQ20845" s="111"/>
      <c r="EF20845"/>
      <c r="EG20845"/>
      <c r="EH20845"/>
      <c r="EI20845"/>
      <c r="EJ20845"/>
      <c r="EK20845"/>
    </row>
    <row r="20846" spans="1:141" s="116" customFormat="1">
      <c r="A20846" s="136"/>
      <c r="CM20846" s="111"/>
      <c r="CQ20846" s="111"/>
      <c r="EF20846"/>
      <c r="EG20846"/>
      <c r="EH20846"/>
      <c r="EI20846"/>
      <c r="EJ20846"/>
      <c r="EK20846"/>
    </row>
    <row r="20847" spans="1:141" s="116" customFormat="1">
      <c r="A20847" s="136"/>
      <c r="CM20847" s="111"/>
      <c r="CQ20847" s="111"/>
      <c r="EF20847"/>
      <c r="EG20847"/>
      <c r="EH20847"/>
      <c r="EI20847"/>
      <c r="EJ20847"/>
      <c r="EK20847"/>
    </row>
    <row r="20848" spans="1:141" s="116" customFormat="1">
      <c r="A20848" s="136"/>
      <c r="CM20848" s="111"/>
      <c r="CQ20848" s="111"/>
      <c r="EF20848"/>
      <c r="EG20848"/>
      <c r="EH20848"/>
      <c r="EI20848"/>
      <c r="EJ20848"/>
      <c r="EK20848"/>
    </row>
    <row r="20849" spans="1:141" s="116" customFormat="1">
      <c r="A20849" s="136"/>
      <c r="CM20849" s="111"/>
      <c r="CQ20849" s="111"/>
      <c r="EF20849"/>
      <c r="EG20849"/>
      <c r="EH20849"/>
      <c r="EI20849"/>
      <c r="EJ20849"/>
      <c r="EK20849"/>
    </row>
    <row r="20850" spans="1:141" s="116" customFormat="1">
      <c r="A20850" s="136"/>
      <c r="CM20850" s="111"/>
      <c r="CQ20850" s="111"/>
      <c r="EF20850"/>
      <c r="EG20850"/>
      <c r="EH20850"/>
      <c r="EI20850"/>
      <c r="EJ20850"/>
      <c r="EK20850"/>
    </row>
    <row r="20851" spans="1:141" s="116" customFormat="1">
      <c r="A20851" s="136"/>
      <c r="CM20851" s="111"/>
      <c r="CQ20851" s="111"/>
      <c r="EF20851"/>
      <c r="EG20851"/>
      <c r="EH20851"/>
      <c r="EI20851"/>
      <c r="EJ20851"/>
      <c r="EK20851"/>
    </row>
    <row r="20852" spans="1:141" s="116" customFormat="1">
      <c r="A20852" s="136"/>
      <c r="CM20852" s="111"/>
      <c r="CQ20852" s="111"/>
      <c r="EF20852"/>
      <c r="EG20852"/>
      <c r="EH20852"/>
      <c r="EI20852"/>
      <c r="EJ20852"/>
      <c r="EK20852"/>
    </row>
    <row r="20853" spans="1:141" s="116" customFormat="1">
      <c r="A20853" s="136"/>
      <c r="CM20853" s="111"/>
      <c r="CQ20853" s="111"/>
      <c r="EF20853"/>
      <c r="EG20853"/>
      <c r="EH20853"/>
      <c r="EI20853"/>
      <c r="EJ20853"/>
      <c r="EK20853"/>
    </row>
    <row r="20854" spans="1:141" s="116" customFormat="1">
      <c r="A20854" s="136"/>
      <c r="CM20854" s="111"/>
      <c r="CQ20854" s="111"/>
      <c r="EF20854"/>
      <c r="EG20854"/>
      <c r="EH20854"/>
      <c r="EI20854"/>
      <c r="EJ20854"/>
      <c r="EK20854"/>
    </row>
    <row r="20855" spans="1:141" s="116" customFormat="1">
      <c r="A20855" s="136"/>
      <c r="CM20855" s="111"/>
      <c r="CQ20855" s="111"/>
      <c r="EF20855"/>
      <c r="EG20855"/>
      <c r="EH20855"/>
      <c r="EI20855"/>
      <c r="EJ20855"/>
      <c r="EK20855"/>
    </row>
    <row r="20856" spans="1:141" s="116" customFormat="1">
      <c r="A20856" s="136"/>
      <c r="CM20856" s="111"/>
      <c r="CQ20856" s="111"/>
      <c r="EF20856"/>
      <c r="EG20856"/>
      <c r="EH20856"/>
      <c r="EI20856"/>
      <c r="EJ20856"/>
      <c r="EK20856"/>
    </row>
    <row r="20857" spans="1:141" s="116" customFormat="1">
      <c r="A20857" s="136"/>
      <c r="CM20857" s="111"/>
      <c r="CQ20857" s="111"/>
      <c r="EF20857"/>
      <c r="EG20857"/>
      <c r="EH20857"/>
      <c r="EI20857"/>
      <c r="EJ20857"/>
      <c r="EK20857"/>
    </row>
    <row r="20858" spans="1:141" s="116" customFormat="1">
      <c r="A20858" s="136"/>
      <c r="CM20858" s="111"/>
      <c r="CQ20858" s="111"/>
      <c r="EF20858"/>
      <c r="EG20858"/>
      <c r="EH20858"/>
      <c r="EI20858"/>
      <c r="EJ20858"/>
      <c r="EK20858"/>
    </row>
    <row r="20859" spans="1:141" s="116" customFormat="1">
      <c r="A20859" s="136"/>
      <c r="CM20859" s="111"/>
      <c r="CQ20859" s="111"/>
      <c r="EF20859"/>
      <c r="EG20859"/>
      <c r="EH20859"/>
      <c r="EI20859"/>
      <c r="EJ20859"/>
      <c r="EK20859"/>
    </row>
    <row r="20860" spans="1:141" s="116" customFormat="1">
      <c r="A20860" s="136"/>
      <c r="CM20860" s="111"/>
      <c r="CQ20860" s="111"/>
      <c r="EF20860"/>
      <c r="EG20860"/>
      <c r="EH20860"/>
      <c r="EI20860"/>
      <c r="EJ20860"/>
      <c r="EK20860"/>
    </row>
    <row r="20861" spans="1:141" s="116" customFormat="1">
      <c r="A20861" s="136"/>
      <c r="CM20861" s="111"/>
      <c r="CQ20861" s="111"/>
      <c r="EF20861"/>
      <c r="EG20861"/>
      <c r="EH20861"/>
      <c r="EI20861"/>
      <c r="EJ20861"/>
      <c r="EK20861"/>
    </row>
    <row r="20862" spans="1:141" s="116" customFormat="1">
      <c r="A20862" s="136"/>
      <c r="CM20862" s="111"/>
      <c r="CQ20862" s="111"/>
      <c r="EF20862"/>
      <c r="EG20862"/>
      <c r="EH20862"/>
      <c r="EI20862"/>
      <c r="EJ20862"/>
      <c r="EK20862"/>
    </row>
    <row r="20863" spans="1:141" s="116" customFormat="1">
      <c r="A20863" s="136"/>
      <c r="CM20863" s="111"/>
      <c r="CQ20863" s="111"/>
      <c r="EF20863"/>
      <c r="EG20863"/>
      <c r="EH20863"/>
      <c r="EI20863"/>
      <c r="EJ20863"/>
      <c r="EK20863"/>
    </row>
    <row r="20864" spans="1:141" s="116" customFormat="1">
      <c r="A20864" s="136"/>
      <c r="CM20864" s="111"/>
      <c r="CQ20864" s="111"/>
      <c r="EF20864"/>
      <c r="EG20864"/>
      <c r="EH20864"/>
      <c r="EI20864"/>
      <c r="EJ20864"/>
      <c r="EK20864"/>
    </row>
    <row r="20865" spans="1:141" s="116" customFormat="1">
      <c r="A20865" s="136"/>
      <c r="CM20865" s="111"/>
      <c r="CQ20865" s="111"/>
      <c r="EF20865"/>
      <c r="EG20865"/>
      <c r="EH20865"/>
      <c r="EI20865"/>
      <c r="EJ20865"/>
      <c r="EK20865"/>
    </row>
    <row r="20866" spans="1:141" s="116" customFormat="1">
      <c r="A20866" s="136"/>
      <c r="CM20866" s="111"/>
      <c r="CQ20866" s="111"/>
      <c r="EF20866"/>
      <c r="EG20866"/>
      <c r="EH20866"/>
      <c r="EI20866"/>
      <c r="EJ20866"/>
      <c r="EK20866"/>
    </row>
    <row r="20867" spans="1:141" s="116" customFormat="1">
      <c r="A20867" s="136"/>
      <c r="CM20867" s="111"/>
      <c r="CQ20867" s="111"/>
      <c r="EF20867"/>
      <c r="EG20867"/>
      <c r="EH20867"/>
      <c r="EI20867"/>
      <c r="EJ20867"/>
      <c r="EK20867"/>
    </row>
    <row r="20868" spans="1:141" s="116" customFormat="1">
      <c r="A20868" s="136"/>
      <c r="CM20868" s="111"/>
      <c r="CQ20868" s="111"/>
      <c r="EF20868"/>
      <c r="EG20868"/>
      <c r="EH20868"/>
      <c r="EI20868"/>
      <c r="EJ20868"/>
      <c r="EK20868"/>
    </row>
    <row r="20869" spans="1:141" s="116" customFormat="1">
      <c r="A20869" s="136"/>
      <c r="CM20869" s="111"/>
      <c r="CQ20869" s="111"/>
      <c r="EF20869"/>
      <c r="EG20869"/>
      <c r="EH20869"/>
      <c r="EI20869"/>
      <c r="EJ20869"/>
      <c r="EK20869"/>
    </row>
    <row r="20870" spans="1:141" s="116" customFormat="1">
      <c r="A20870" s="136"/>
      <c r="CM20870" s="111"/>
      <c r="CQ20870" s="111"/>
      <c r="EF20870"/>
      <c r="EG20870"/>
      <c r="EH20870"/>
      <c r="EI20870"/>
      <c r="EJ20870"/>
      <c r="EK20870"/>
    </row>
    <row r="20871" spans="1:141" s="116" customFormat="1">
      <c r="A20871" s="136"/>
      <c r="CM20871" s="111"/>
      <c r="CQ20871" s="111"/>
      <c r="EF20871"/>
      <c r="EG20871"/>
      <c r="EH20871"/>
      <c r="EI20871"/>
      <c r="EJ20871"/>
      <c r="EK20871"/>
    </row>
    <row r="20872" spans="1:141" s="116" customFormat="1">
      <c r="A20872" s="136"/>
      <c r="CM20872" s="111"/>
      <c r="CQ20872" s="111"/>
      <c r="EF20872"/>
      <c r="EG20872"/>
      <c r="EH20872"/>
      <c r="EI20872"/>
      <c r="EJ20872"/>
      <c r="EK20872"/>
    </row>
    <row r="20873" spans="1:141" s="116" customFormat="1">
      <c r="A20873" s="136"/>
      <c r="CM20873" s="111"/>
      <c r="CQ20873" s="111"/>
      <c r="EF20873"/>
      <c r="EG20873"/>
      <c r="EH20873"/>
      <c r="EI20873"/>
      <c r="EJ20873"/>
      <c r="EK20873"/>
    </row>
    <row r="20874" spans="1:141" s="116" customFormat="1">
      <c r="A20874" s="136"/>
      <c r="CM20874" s="111"/>
      <c r="CQ20874" s="111"/>
      <c r="EF20874"/>
      <c r="EG20874"/>
      <c r="EH20874"/>
      <c r="EI20874"/>
      <c r="EJ20874"/>
      <c r="EK20874"/>
    </row>
    <row r="20875" spans="1:141" s="116" customFormat="1">
      <c r="A20875" s="136"/>
      <c r="CM20875" s="111"/>
      <c r="CQ20875" s="111"/>
      <c r="EF20875"/>
      <c r="EG20875"/>
      <c r="EH20875"/>
      <c r="EI20875"/>
      <c r="EJ20875"/>
      <c r="EK20875"/>
    </row>
    <row r="20876" spans="1:141" s="116" customFormat="1">
      <c r="A20876" s="136"/>
      <c r="CM20876" s="111"/>
      <c r="CQ20876" s="111"/>
      <c r="EF20876"/>
      <c r="EG20876"/>
      <c r="EH20876"/>
      <c r="EI20876"/>
      <c r="EJ20876"/>
      <c r="EK20876"/>
    </row>
    <row r="20877" spans="1:141" s="116" customFormat="1">
      <c r="A20877" s="136"/>
      <c r="CM20877" s="111"/>
      <c r="CQ20877" s="111"/>
      <c r="EF20877"/>
      <c r="EG20877"/>
      <c r="EH20877"/>
      <c r="EI20877"/>
      <c r="EJ20877"/>
      <c r="EK20877"/>
    </row>
    <row r="20878" spans="1:141" s="116" customFormat="1">
      <c r="A20878" s="136"/>
      <c r="CM20878" s="111"/>
      <c r="CQ20878" s="111"/>
      <c r="EF20878"/>
      <c r="EG20878"/>
      <c r="EH20878"/>
      <c r="EI20878"/>
      <c r="EJ20878"/>
      <c r="EK20878"/>
    </row>
    <row r="20879" spans="1:141" s="116" customFormat="1">
      <c r="A20879" s="136"/>
      <c r="CM20879" s="111"/>
      <c r="CQ20879" s="111"/>
      <c r="EF20879"/>
      <c r="EG20879"/>
      <c r="EH20879"/>
      <c r="EI20879"/>
      <c r="EJ20879"/>
      <c r="EK20879"/>
    </row>
    <row r="20880" spans="1:141" s="116" customFormat="1">
      <c r="A20880" s="136"/>
      <c r="CM20880" s="111"/>
      <c r="CQ20880" s="111"/>
      <c r="EF20880"/>
      <c r="EG20880"/>
      <c r="EH20880"/>
      <c r="EI20880"/>
      <c r="EJ20880"/>
      <c r="EK20880"/>
    </row>
    <row r="20881" spans="1:141" s="116" customFormat="1">
      <c r="A20881" s="136"/>
      <c r="CM20881" s="111"/>
      <c r="CQ20881" s="111"/>
      <c r="EF20881"/>
      <c r="EG20881"/>
      <c r="EH20881"/>
      <c r="EI20881"/>
      <c r="EJ20881"/>
      <c r="EK20881"/>
    </row>
    <row r="20882" spans="1:141" s="116" customFormat="1">
      <c r="A20882" s="136"/>
      <c r="CM20882" s="111"/>
      <c r="CQ20882" s="111"/>
      <c r="EF20882"/>
      <c r="EG20882"/>
      <c r="EH20882"/>
      <c r="EI20882"/>
      <c r="EJ20882"/>
      <c r="EK20882"/>
    </row>
    <row r="20883" spans="1:141" s="116" customFormat="1">
      <c r="A20883" s="136"/>
      <c r="CM20883" s="111"/>
      <c r="CQ20883" s="111"/>
      <c r="EF20883"/>
      <c r="EG20883"/>
      <c r="EH20883"/>
      <c r="EI20883"/>
      <c r="EJ20883"/>
      <c r="EK20883"/>
    </row>
    <row r="20884" spans="1:141" s="116" customFormat="1">
      <c r="A20884" s="136"/>
      <c r="CM20884" s="111"/>
      <c r="CQ20884" s="111"/>
      <c r="EF20884"/>
      <c r="EG20884"/>
      <c r="EH20884"/>
      <c r="EI20884"/>
      <c r="EJ20884"/>
      <c r="EK20884"/>
    </row>
    <row r="20885" spans="1:141" s="116" customFormat="1">
      <c r="A20885" s="136"/>
      <c r="CM20885" s="111"/>
      <c r="CQ20885" s="111"/>
      <c r="EF20885"/>
      <c r="EG20885"/>
      <c r="EH20885"/>
      <c r="EI20885"/>
      <c r="EJ20885"/>
      <c r="EK20885"/>
    </row>
    <row r="20886" spans="1:141" s="116" customFormat="1">
      <c r="A20886" s="136"/>
      <c r="CM20886" s="111"/>
      <c r="CQ20886" s="111"/>
      <c r="EF20886"/>
      <c r="EG20886"/>
      <c r="EH20886"/>
      <c r="EI20886"/>
      <c r="EJ20886"/>
      <c r="EK20886"/>
    </row>
    <row r="20887" spans="1:141" s="116" customFormat="1">
      <c r="A20887" s="136"/>
      <c r="CM20887" s="111"/>
      <c r="CQ20887" s="111"/>
      <c r="EF20887"/>
      <c r="EG20887"/>
      <c r="EH20887"/>
      <c r="EI20887"/>
      <c r="EJ20887"/>
      <c r="EK20887"/>
    </row>
    <row r="20888" spans="1:141" s="116" customFormat="1">
      <c r="A20888" s="136"/>
      <c r="CM20888" s="111"/>
      <c r="CQ20888" s="111"/>
      <c r="EF20888"/>
      <c r="EG20888"/>
      <c r="EH20888"/>
      <c r="EI20888"/>
      <c r="EJ20888"/>
      <c r="EK20888"/>
    </row>
    <row r="20889" spans="1:141" s="116" customFormat="1">
      <c r="A20889" s="136"/>
      <c r="CM20889" s="111"/>
      <c r="CQ20889" s="111"/>
      <c r="EF20889"/>
      <c r="EG20889"/>
      <c r="EH20889"/>
      <c r="EI20889"/>
      <c r="EJ20889"/>
      <c r="EK20889"/>
    </row>
    <row r="20890" spans="1:141" s="116" customFormat="1">
      <c r="A20890" s="136"/>
      <c r="CM20890" s="111"/>
      <c r="CQ20890" s="111"/>
      <c r="EF20890"/>
      <c r="EG20890"/>
      <c r="EH20890"/>
      <c r="EI20890"/>
      <c r="EJ20890"/>
      <c r="EK20890"/>
    </row>
    <row r="20891" spans="1:141" s="116" customFormat="1">
      <c r="A20891" s="136"/>
      <c r="CM20891" s="111"/>
      <c r="CQ20891" s="111"/>
      <c r="EF20891"/>
      <c r="EG20891"/>
      <c r="EH20891"/>
      <c r="EI20891"/>
      <c r="EJ20891"/>
      <c r="EK20891"/>
    </row>
    <row r="20892" spans="1:141" s="116" customFormat="1">
      <c r="A20892" s="136"/>
      <c r="CM20892" s="111"/>
      <c r="CQ20892" s="111"/>
      <c r="EF20892"/>
      <c r="EG20892"/>
      <c r="EH20892"/>
      <c r="EI20892"/>
      <c r="EJ20892"/>
      <c r="EK20892"/>
    </row>
    <row r="20893" spans="1:141" s="116" customFormat="1">
      <c r="A20893" s="136"/>
      <c r="CM20893" s="111"/>
      <c r="CQ20893" s="111"/>
      <c r="EF20893"/>
      <c r="EG20893"/>
      <c r="EH20893"/>
      <c r="EI20893"/>
      <c r="EJ20893"/>
      <c r="EK20893"/>
    </row>
    <row r="20894" spans="1:141" s="116" customFormat="1">
      <c r="A20894" s="136"/>
      <c r="CM20894" s="111"/>
      <c r="CQ20894" s="111"/>
      <c r="EF20894"/>
      <c r="EG20894"/>
      <c r="EH20894"/>
      <c r="EI20894"/>
      <c r="EJ20894"/>
      <c r="EK20894"/>
    </row>
    <row r="20895" spans="1:141" s="116" customFormat="1">
      <c r="A20895" s="136"/>
      <c r="CM20895" s="111"/>
      <c r="CQ20895" s="111"/>
      <c r="EF20895"/>
      <c r="EG20895"/>
      <c r="EH20895"/>
      <c r="EI20895"/>
      <c r="EJ20895"/>
      <c r="EK20895"/>
    </row>
    <row r="20896" spans="1:141" s="116" customFormat="1">
      <c r="A20896" s="136"/>
      <c r="CM20896" s="111"/>
      <c r="CQ20896" s="111"/>
      <c r="EF20896"/>
      <c r="EG20896"/>
      <c r="EH20896"/>
      <c r="EI20896"/>
      <c r="EJ20896"/>
      <c r="EK20896"/>
    </row>
    <row r="20897" spans="1:141" s="116" customFormat="1">
      <c r="A20897" s="136"/>
      <c r="CM20897" s="111"/>
      <c r="CQ20897" s="111"/>
      <c r="EF20897"/>
      <c r="EG20897"/>
      <c r="EH20897"/>
      <c r="EI20897"/>
      <c r="EJ20897"/>
      <c r="EK20897"/>
    </row>
    <row r="20898" spans="1:141" s="116" customFormat="1">
      <c r="A20898" s="136"/>
      <c r="CM20898" s="111"/>
      <c r="CQ20898" s="111"/>
      <c r="EF20898"/>
      <c r="EG20898"/>
      <c r="EH20898"/>
      <c r="EI20898"/>
      <c r="EJ20898"/>
      <c r="EK20898"/>
    </row>
    <row r="20899" spans="1:141" s="116" customFormat="1">
      <c r="A20899" s="136"/>
      <c r="CM20899" s="111"/>
      <c r="CQ20899" s="111"/>
      <c r="EF20899"/>
      <c r="EG20899"/>
      <c r="EH20899"/>
      <c r="EI20899"/>
      <c r="EJ20899"/>
      <c r="EK20899"/>
    </row>
    <row r="20900" spans="1:141" s="116" customFormat="1">
      <c r="A20900" s="136"/>
      <c r="CM20900" s="111"/>
      <c r="CQ20900" s="111"/>
      <c r="EF20900"/>
      <c r="EG20900"/>
      <c r="EH20900"/>
      <c r="EI20900"/>
      <c r="EJ20900"/>
      <c r="EK20900"/>
    </row>
    <row r="20901" spans="1:141" s="116" customFormat="1">
      <c r="A20901" s="136"/>
      <c r="CM20901" s="111"/>
      <c r="CQ20901" s="111"/>
      <c r="EF20901"/>
      <c r="EG20901"/>
      <c r="EH20901"/>
      <c r="EI20901"/>
      <c r="EJ20901"/>
      <c r="EK20901"/>
    </row>
    <row r="20902" spans="1:141" s="116" customFormat="1">
      <c r="A20902" s="136"/>
      <c r="CM20902" s="111"/>
      <c r="CQ20902" s="111"/>
      <c r="EF20902"/>
      <c r="EG20902"/>
      <c r="EH20902"/>
      <c r="EI20902"/>
      <c r="EJ20902"/>
      <c r="EK20902"/>
    </row>
    <row r="20903" spans="1:141" s="116" customFormat="1">
      <c r="A20903" s="136"/>
      <c r="CM20903" s="111"/>
      <c r="CQ20903" s="111"/>
      <c r="EF20903"/>
      <c r="EG20903"/>
      <c r="EH20903"/>
      <c r="EI20903"/>
      <c r="EJ20903"/>
      <c r="EK20903"/>
    </row>
    <row r="20904" spans="1:141" s="116" customFormat="1">
      <c r="A20904" s="136"/>
      <c r="CM20904" s="111"/>
      <c r="CQ20904" s="111"/>
      <c r="EF20904"/>
      <c r="EG20904"/>
      <c r="EH20904"/>
      <c r="EI20904"/>
      <c r="EJ20904"/>
      <c r="EK20904"/>
    </row>
    <row r="20905" spans="1:141" s="116" customFormat="1">
      <c r="A20905" s="136"/>
      <c r="CM20905" s="111"/>
      <c r="CQ20905" s="111"/>
      <c r="EF20905"/>
      <c r="EG20905"/>
      <c r="EH20905"/>
      <c r="EI20905"/>
      <c r="EJ20905"/>
      <c r="EK20905"/>
    </row>
    <row r="20906" spans="1:141" s="116" customFormat="1">
      <c r="A20906" s="136"/>
      <c r="CM20906" s="111"/>
      <c r="CQ20906" s="111"/>
      <c r="EF20906"/>
      <c r="EG20906"/>
      <c r="EH20906"/>
      <c r="EI20906"/>
      <c r="EJ20906"/>
      <c r="EK20906"/>
    </row>
    <row r="20907" spans="1:141" s="116" customFormat="1">
      <c r="A20907" s="136"/>
      <c r="CM20907" s="111"/>
      <c r="CQ20907" s="111"/>
      <c r="EF20907"/>
      <c r="EG20907"/>
      <c r="EH20907"/>
      <c r="EI20907"/>
      <c r="EJ20907"/>
      <c r="EK20907"/>
    </row>
    <row r="20908" spans="1:141" s="116" customFormat="1">
      <c r="A20908" s="136"/>
      <c r="CM20908" s="111"/>
      <c r="CQ20908" s="111"/>
      <c r="EF20908"/>
      <c r="EG20908"/>
      <c r="EH20908"/>
      <c r="EI20908"/>
      <c r="EJ20908"/>
      <c r="EK20908"/>
    </row>
    <row r="20909" spans="1:141" s="116" customFormat="1">
      <c r="A20909" s="136"/>
      <c r="CM20909" s="111"/>
      <c r="CQ20909" s="111"/>
      <c r="EF20909"/>
      <c r="EG20909"/>
      <c r="EH20909"/>
      <c r="EI20909"/>
      <c r="EJ20909"/>
      <c r="EK20909"/>
    </row>
    <row r="20910" spans="1:141" s="116" customFormat="1">
      <c r="A20910" s="136"/>
      <c r="CM20910" s="111"/>
      <c r="CQ20910" s="111"/>
      <c r="EF20910"/>
      <c r="EG20910"/>
      <c r="EH20910"/>
      <c r="EI20910"/>
      <c r="EJ20910"/>
      <c r="EK20910"/>
    </row>
    <row r="20911" spans="1:141" s="116" customFormat="1">
      <c r="A20911" s="136"/>
      <c r="CM20911" s="111"/>
      <c r="CQ20911" s="111"/>
      <c r="EF20911"/>
      <c r="EG20911"/>
      <c r="EH20911"/>
      <c r="EI20911"/>
      <c r="EJ20911"/>
      <c r="EK20911"/>
    </row>
    <row r="20912" spans="1:141" s="116" customFormat="1">
      <c r="A20912" s="136"/>
      <c r="CM20912" s="111"/>
      <c r="CQ20912" s="111"/>
      <c r="EF20912"/>
      <c r="EG20912"/>
      <c r="EH20912"/>
      <c r="EI20912"/>
      <c r="EJ20912"/>
      <c r="EK20912"/>
    </row>
    <row r="20913" spans="1:141" s="116" customFormat="1">
      <c r="A20913" s="136"/>
      <c r="CM20913" s="111"/>
      <c r="CQ20913" s="111"/>
      <c r="EF20913"/>
      <c r="EG20913"/>
      <c r="EH20913"/>
      <c r="EI20913"/>
      <c r="EJ20913"/>
      <c r="EK20913"/>
    </row>
    <row r="20914" spans="1:141" s="116" customFormat="1">
      <c r="A20914" s="136"/>
      <c r="CM20914" s="111"/>
      <c r="CQ20914" s="111"/>
      <c r="EF20914"/>
      <c r="EG20914"/>
      <c r="EH20914"/>
      <c r="EI20914"/>
      <c r="EJ20914"/>
      <c r="EK20914"/>
    </row>
    <row r="20915" spans="1:141" s="116" customFormat="1">
      <c r="A20915" s="136"/>
      <c r="CM20915" s="111"/>
      <c r="CQ20915" s="111"/>
      <c r="EF20915"/>
      <c r="EG20915"/>
      <c r="EH20915"/>
      <c r="EI20915"/>
      <c r="EJ20915"/>
      <c r="EK20915"/>
    </row>
    <row r="20916" spans="1:141" s="116" customFormat="1">
      <c r="A20916" s="136"/>
      <c r="CM20916" s="111"/>
      <c r="CQ20916" s="111"/>
      <c r="EF20916"/>
      <c r="EG20916"/>
      <c r="EH20916"/>
      <c r="EI20916"/>
      <c r="EJ20916"/>
      <c r="EK20916"/>
    </row>
    <row r="20917" spans="1:141" s="116" customFormat="1">
      <c r="A20917" s="136"/>
      <c r="CM20917" s="111"/>
      <c r="CQ20917" s="111"/>
      <c r="EF20917"/>
      <c r="EG20917"/>
      <c r="EH20917"/>
      <c r="EI20917"/>
      <c r="EJ20917"/>
      <c r="EK20917"/>
    </row>
    <row r="20918" spans="1:141" s="116" customFormat="1">
      <c r="A20918" s="136"/>
      <c r="CM20918" s="111"/>
      <c r="CQ20918" s="111"/>
      <c r="EF20918"/>
      <c r="EG20918"/>
      <c r="EH20918"/>
      <c r="EI20918"/>
      <c r="EJ20918"/>
      <c r="EK20918"/>
    </row>
    <row r="20919" spans="1:141" s="116" customFormat="1">
      <c r="A20919" s="136"/>
      <c r="CM20919" s="111"/>
      <c r="CQ20919" s="111"/>
      <c r="EF20919"/>
      <c r="EG20919"/>
      <c r="EH20919"/>
      <c r="EI20919"/>
      <c r="EJ20919"/>
      <c r="EK20919"/>
    </row>
    <row r="20920" spans="1:141" s="116" customFormat="1">
      <c r="A20920" s="136"/>
      <c r="CM20920" s="111"/>
      <c r="CQ20920" s="111"/>
      <c r="EF20920"/>
      <c r="EG20920"/>
      <c r="EH20920"/>
      <c r="EI20920"/>
      <c r="EJ20920"/>
      <c r="EK20920"/>
    </row>
    <row r="20921" spans="1:141" s="116" customFormat="1">
      <c r="A20921" s="136"/>
      <c r="CM20921" s="111"/>
      <c r="CQ20921" s="111"/>
      <c r="EF20921"/>
      <c r="EG20921"/>
      <c r="EH20921"/>
      <c r="EI20921"/>
      <c r="EJ20921"/>
      <c r="EK20921"/>
    </row>
    <row r="20922" spans="1:141" s="116" customFormat="1">
      <c r="A20922" s="136"/>
      <c r="CM20922" s="111"/>
      <c r="CQ20922" s="111"/>
      <c r="EF20922"/>
      <c r="EG20922"/>
      <c r="EH20922"/>
      <c r="EI20922"/>
      <c r="EJ20922"/>
      <c r="EK20922"/>
    </row>
    <row r="20923" spans="1:141" s="116" customFormat="1">
      <c r="A20923" s="136"/>
      <c r="CM20923" s="111"/>
      <c r="CQ20923" s="111"/>
      <c r="EF20923"/>
      <c r="EG20923"/>
      <c r="EH20923"/>
      <c r="EI20923"/>
      <c r="EJ20923"/>
      <c r="EK20923"/>
    </row>
    <row r="20924" spans="1:141" s="116" customFormat="1">
      <c r="A20924" s="136"/>
      <c r="CM20924" s="111"/>
      <c r="CQ20924" s="111"/>
      <c r="EF20924"/>
      <c r="EG20924"/>
      <c r="EH20924"/>
      <c r="EI20924"/>
      <c r="EJ20924"/>
      <c r="EK20924"/>
    </row>
    <row r="20925" spans="1:141" s="116" customFormat="1">
      <c r="A20925" s="136"/>
      <c r="CM20925" s="111"/>
      <c r="CQ20925" s="111"/>
      <c r="EF20925"/>
      <c r="EG20925"/>
      <c r="EH20925"/>
      <c r="EI20925"/>
      <c r="EJ20925"/>
      <c r="EK20925"/>
    </row>
    <row r="20926" spans="1:141" s="116" customFormat="1">
      <c r="A20926" s="136"/>
      <c r="CM20926" s="111"/>
      <c r="CQ20926" s="111"/>
      <c r="EF20926"/>
      <c r="EG20926"/>
      <c r="EH20926"/>
      <c r="EI20926"/>
      <c r="EJ20926"/>
      <c r="EK20926"/>
    </row>
    <row r="20927" spans="1:141" s="116" customFormat="1">
      <c r="A20927" s="136"/>
      <c r="CM20927" s="111"/>
      <c r="CQ20927" s="111"/>
      <c r="EF20927"/>
      <c r="EG20927"/>
      <c r="EH20927"/>
      <c r="EI20927"/>
      <c r="EJ20927"/>
      <c r="EK20927"/>
    </row>
    <row r="20928" spans="1:141" s="116" customFormat="1">
      <c r="A20928" s="136"/>
      <c r="CM20928" s="111"/>
      <c r="CQ20928" s="111"/>
      <c r="EF20928"/>
      <c r="EG20928"/>
      <c r="EH20928"/>
      <c r="EI20928"/>
      <c r="EJ20928"/>
      <c r="EK20928"/>
    </row>
    <row r="20929" spans="1:141" s="116" customFormat="1">
      <c r="A20929" s="136"/>
      <c r="CM20929" s="111"/>
      <c r="CQ20929" s="111"/>
      <c r="EF20929"/>
      <c r="EG20929"/>
      <c r="EH20929"/>
      <c r="EI20929"/>
      <c r="EJ20929"/>
      <c r="EK20929"/>
    </row>
    <row r="20930" spans="1:141" s="116" customFormat="1">
      <c r="A20930" s="136"/>
      <c r="CM20930" s="111"/>
      <c r="CQ20930" s="111"/>
      <c r="EF20930"/>
      <c r="EG20930"/>
      <c r="EH20930"/>
      <c r="EI20930"/>
      <c r="EJ20930"/>
      <c r="EK20930"/>
    </row>
    <row r="20931" spans="1:141" s="116" customFormat="1">
      <c r="A20931" s="136"/>
      <c r="CM20931" s="111"/>
      <c r="CQ20931" s="111"/>
      <c r="EF20931"/>
      <c r="EG20931"/>
      <c r="EH20931"/>
      <c r="EI20931"/>
      <c r="EJ20931"/>
      <c r="EK20931"/>
    </row>
    <row r="20932" spans="1:141" s="116" customFormat="1">
      <c r="A20932" s="136"/>
      <c r="CM20932" s="111"/>
      <c r="CQ20932" s="111"/>
      <c r="EF20932"/>
      <c r="EG20932"/>
      <c r="EH20932"/>
      <c r="EI20932"/>
      <c r="EJ20932"/>
      <c r="EK20932"/>
    </row>
    <row r="20933" spans="1:141" s="116" customFormat="1">
      <c r="A20933" s="136"/>
      <c r="CM20933" s="111"/>
      <c r="CQ20933" s="111"/>
      <c r="EF20933"/>
      <c r="EG20933"/>
      <c r="EH20933"/>
      <c r="EI20933"/>
      <c r="EJ20933"/>
      <c r="EK20933"/>
    </row>
    <row r="20934" spans="1:141" s="116" customFormat="1">
      <c r="A20934" s="136"/>
      <c r="CM20934" s="111"/>
      <c r="CQ20934" s="111"/>
      <c r="EF20934"/>
      <c r="EG20934"/>
      <c r="EH20934"/>
      <c r="EI20934"/>
      <c r="EJ20934"/>
      <c r="EK20934"/>
    </row>
    <row r="20935" spans="1:141" s="116" customFormat="1">
      <c r="A20935" s="136"/>
      <c r="CM20935" s="111"/>
      <c r="CQ20935" s="111"/>
      <c r="EF20935"/>
      <c r="EG20935"/>
      <c r="EH20935"/>
      <c r="EI20935"/>
      <c r="EJ20935"/>
      <c r="EK20935"/>
    </row>
    <row r="20936" spans="1:141" s="116" customFormat="1">
      <c r="A20936" s="136"/>
      <c r="CM20936" s="111"/>
      <c r="CQ20936" s="111"/>
      <c r="EF20936"/>
      <c r="EG20936"/>
      <c r="EH20936"/>
      <c r="EI20936"/>
      <c r="EJ20936"/>
      <c r="EK20936"/>
    </row>
    <row r="20937" spans="1:141" s="116" customFormat="1">
      <c r="A20937" s="136"/>
      <c r="CM20937" s="111"/>
      <c r="CQ20937" s="111"/>
      <c r="EF20937"/>
      <c r="EG20937"/>
      <c r="EH20937"/>
      <c r="EI20937"/>
      <c r="EJ20937"/>
      <c r="EK20937"/>
    </row>
    <row r="20938" spans="1:141" s="116" customFormat="1">
      <c r="A20938" s="136"/>
      <c r="CM20938" s="111"/>
      <c r="CQ20938" s="111"/>
      <c r="EF20938"/>
      <c r="EG20938"/>
      <c r="EH20938"/>
      <c r="EI20938"/>
      <c r="EJ20938"/>
      <c r="EK20938"/>
    </row>
    <row r="20939" spans="1:141" s="116" customFormat="1">
      <c r="A20939" s="136"/>
      <c r="CM20939" s="111"/>
      <c r="CQ20939" s="111"/>
      <c r="EF20939"/>
      <c r="EG20939"/>
      <c r="EH20939"/>
      <c r="EI20939"/>
      <c r="EJ20939"/>
      <c r="EK20939"/>
    </row>
    <row r="20940" spans="1:141" s="116" customFormat="1">
      <c r="A20940" s="136"/>
      <c r="CM20940" s="111"/>
      <c r="CQ20940" s="111"/>
      <c r="EF20940"/>
      <c r="EG20940"/>
      <c r="EH20940"/>
      <c r="EI20940"/>
      <c r="EJ20940"/>
      <c r="EK20940"/>
    </row>
    <row r="20941" spans="1:141" s="116" customFormat="1">
      <c r="A20941" s="136"/>
      <c r="CM20941" s="111"/>
      <c r="CQ20941" s="111"/>
      <c r="EF20941"/>
      <c r="EG20941"/>
      <c r="EH20941"/>
      <c r="EI20941"/>
      <c r="EJ20941"/>
      <c r="EK20941"/>
    </row>
    <row r="20942" spans="1:141" s="116" customFormat="1">
      <c r="A20942" s="136"/>
      <c r="CM20942" s="111"/>
      <c r="CQ20942" s="111"/>
      <c r="EF20942"/>
      <c r="EG20942"/>
      <c r="EH20942"/>
      <c r="EI20942"/>
      <c r="EJ20942"/>
      <c r="EK20942"/>
    </row>
    <row r="20943" spans="1:141" s="116" customFormat="1">
      <c r="A20943" s="136"/>
      <c r="CM20943" s="111"/>
      <c r="CQ20943" s="111"/>
      <c r="EF20943"/>
      <c r="EG20943"/>
      <c r="EH20943"/>
      <c r="EI20943"/>
      <c r="EJ20943"/>
      <c r="EK20943"/>
    </row>
    <row r="20944" spans="1:141" s="116" customFormat="1">
      <c r="A20944" s="136"/>
      <c r="CM20944" s="111"/>
      <c r="CQ20944" s="111"/>
      <c r="EF20944"/>
      <c r="EG20944"/>
      <c r="EH20944"/>
      <c r="EI20944"/>
      <c r="EJ20944"/>
      <c r="EK20944"/>
    </row>
    <row r="20945" spans="1:141" s="116" customFormat="1">
      <c r="A20945" s="136"/>
      <c r="CM20945" s="111"/>
      <c r="CQ20945" s="111"/>
      <c r="EF20945"/>
      <c r="EG20945"/>
      <c r="EH20945"/>
      <c r="EI20945"/>
      <c r="EJ20945"/>
      <c r="EK20945"/>
    </row>
    <row r="20946" spans="1:141" s="116" customFormat="1">
      <c r="A20946" s="136"/>
      <c r="CM20946" s="111"/>
      <c r="CQ20946" s="111"/>
      <c r="EF20946"/>
      <c r="EG20946"/>
      <c r="EH20946"/>
      <c r="EI20946"/>
      <c r="EJ20946"/>
      <c r="EK20946"/>
    </row>
    <row r="20947" spans="1:141" s="116" customFormat="1">
      <c r="A20947" s="136"/>
      <c r="CM20947" s="111"/>
      <c r="CQ20947" s="111"/>
      <c r="EF20947"/>
      <c r="EG20947"/>
      <c r="EH20947"/>
      <c r="EI20947"/>
      <c r="EJ20947"/>
      <c r="EK20947"/>
    </row>
    <row r="20948" spans="1:141" s="116" customFormat="1">
      <c r="A20948" s="136"/>
      <c r="CM20948" s="111"/>
      <c r="CQ20948" s="111"/>
      <c r="EF20948"/>
      <c r="EG20948"/>
      <c r="EH20948"/>
      <c r="EI20948"/>
      <c r="EJ20948"/>
      <c r="EK20948"/>
    </row>
    <row r="20949" spans="1:141" s="116" customFormat="1">
      <c r="A20949" s="136"/>
      <c r="CM20949" s="111"/>
      <c r="CQ20949" s="111"/>
      <c r="EF20949"/>
      <c r="EG20949"/>
      <c r="EH20949"/>
      <c r="EI20949"/>
      <c r="EJ20949"/>
      <c r="EK20949"/>
    </row>
    <row r="20950" spans="1:141" s="116" customFormat="1">
      <c r="A20950" s="136"/>
      <c r="CM20950" s="111"/>
      <c r="CQ20950" s="111"/>
      <c r="EF20950"/>
      <c r="EG20950"/>
      <c r="EH20950"/>
      <c r="EI20950"/>
      <c r="EJ20950"/>
      <c r="EK20950"/>
    </row>
    <row r="20951" spans="1:141" s="116" customFormat="1">
      <c r="A20951" s="136"/>
      <c r="CM20951" s="111"/>
      <c r="CQ20951" s="111"/>
      <c r="EF20951"/>
      <c r="EG20951"/>
      <c r="EH20951"/>
      <c r="EI20951"/>
      <c r="EJ20951"/>
      <c r="EK20951"/>
    </row>
    <row r="20952" spans="1:141" s="116" customFormat="1">
      <c r="A20952" s="136"/>
      <c r="CM20952" s="111"/>
      <c r="CQ20952" s="111"/>
      <c r="EF20952"/>
      <c r="EG20952"/>
      <c r="EH20952"/>
      <c r="EI20952"/>
      <c r="EJ20952"/>
      <c r="EK20952"/>
    </row>
    <row r="20953" spans="1:141" s="116" customFormat="1">
      <c r="A20953" s="136"/>
      <c r="CM20953" s="111"/>
      <c r="CQ20953" s="111"/>
      <c r="EF20953"/>
      <c r="EG20953"/>
      <c r="EH20953"/>
      <c r="EI20953"/>
      <c r="EJ20953"/>
      <c r="EK20953"/>
    </row>
    <row r="20954" spans="1:141" s="116" customFormat="1">
      <c r="A20954" s="136"/>
      <c r="CM20954" s="111"/>
      <c r="CQ20954" s="111"/>
      <c r="EF20954"/>
      <c r="EG20954"/>
      <c r="EH20954"/>
      <c r="EI20954"/>
      <c r="EJ20954"/>
      <c r="EK20954"/>
    </row>
    <row r="20955" spans="1:141" s="116" customFormat="1">
      <c r="A20955" s="136"/>
      <c r="CM20955" s="111"/>
      <c r="CQ20955" s="111"/>
      <c r="EF20955"/>
      <c r="EG20955"/>
      <c r="EH20955"/>
      <c r="EI20955"/>
      <c r="EJ20955"/>
      <c r="EK20955"/>
    </row>
    <row r="20956" spans="1:141" s="116" customFormat="1">
      <c r="A20956" s="136"/>
      <c r="CM20956" s="111"/>
      <c r="CQ20956" s="111"/>
      <c r="EF20956"/>
      <c r="EG20956"/>
      <c r="EH20956"/>
      <c r="EI20956"/>
      <c r="EJ20956"/>
      <c r="EK20956"/>
    </row>
    <row r="20957" spans="1:141" s="116" customFormat="1">
      <c r="A20957" s="136"/>
      <c r="CM20957" s="111"/>
      <c r="CQ20957" s="111"/>
      <c r="EF20957"/>
      <c r="EG20957"/>
      <c r="EH20957"/>
      <c r="EI20957"/>
      <c r="EJ20957"/>
      <c r="EK20957"/>
    </row>
    <row r="20958" spans="1:141" s="116" customFormat="1">
      <c r="A20958" s="136"/>
      <c r="CM20958" s="111"/>
      <c r="CQ20958" s="111"/>
      <c r="EF20958"/>
      <c r="EG20958"/>
      <c r="EH20958"/>
      <c r="EI20958"/>
      <c r="EJ20958"/>
      <c r="EK20958"/>
    </row>
    <row r="20959" spans="1:141" s="116" customFormat="1">
      <c r="A20959" s="136"/>
      <c r="CM20959" s="111"/>
      <c r="CQ20959" s="111"/>
      <c r="EF20959"/>
      <c r="EG20959"/>
      <c r="EH20959"/>
      <c r="EI20959"/>
      <c r="EJ20959"/>
      <c r="EK20959"/>
    </row>
    <row r="20960" spans="1:141" s="116" customFormat="1">
      <c r="A20960" s="136"/>
      <c r="CM20960" s="111"/>
      <c r="CQ20960" s="111"/>
      <c r="EF20960"/>
      <c r="EG20960"/>
      <c r="EH20960"/>
      <c r="EI20960"/>
      <c r="EJ20960"/>
      <c r="EK20960"/>
    </row>
    <row r="20961" spans="1:141" s="116" customFormat="1">
      <c r="A20961" s="136"/>
      <c r="CM20961" s="111"/>
      <c r="CQ20961" s="111"/>
      <c r="EF20961"/>
      <c r="EG20961"/>
      <c r="EH20961"/>
      <c r="EI20961"/>
      <c r="EJ20961"/>
      <c r="EK20961"/>
    </row>
    <row r="20962" spans="1:141" s="116" customFormat="1">
      <c r="A20962" s="136"/>
      <c r="CM20962" s="111"/>
      <c r="CQ20962" s="111"/>
      <c r="EF20962"/>
      <c r="EG20962"/>
      <c r="EH20962"/>
      <c r="EI20962"/>
      <c r="EJ20962"/>
      <c r="EK20962"/>
    </row>
    <row r="20963" spans="1:141" s="116" customFormat="1">
      <c r="A20963" s="136"/>
      <c r="CM20963" s="111"/>
      <c r="CQ20963" s="111"/>
      <c r="EF20963"/>
      <c r="EG20963"/>
      <c r="EH20963"/>
      <c r="EI20963"/>
      <c r="EJ20963"/>
      <c r="EK20963"/>
    </row>
    <row r="20964" spans="1:141" s="116" customFormat="1">
      <c r="A20964" s="136"/>
      <c r="CM20964" s="111"/>
      <c r="CQ20964" s="111"/>
      <c r="EF20964"/>
      <c r="EG20964"/>
      <c r="EH20964"/>
      <c r="EI20964"/>
      <c r="EJ20964"/>
      <c r="EK20964"/>
    </row>
    <row r="20965" spans="1:141" s="116" customFormat="1">
      <c r="A20965" s="136"/>
      <c r="CM20965" s="111"/>
      <c r="CQ20965" s="111"/>
      <c r="EF20965"/>
      <c r="EG20965"/>
      <c r="EH20965"/>
      <c r="EI20965"/>
      <c r="EJ20965"/>
      <c r="EK20965"/>
    </row>
    <row r="20966" spans="1:141" s="116" customFormat="1">
      <c r="A20966" s="136"/>
      <c r="CM20966" s="111"/>
      <c r="CQ20966" s="111"/>
      <c r="EF20966"/>
      <c r="EG20966"/>
      <c r="EH20966"/>
      <c r="EI20966"/>
      <c r="EJ20966"/>
      <c r="EK20966"/>
    </row>
    <row r="20967" spans="1:141" s="116" customFormat="1">
      <c r="A20967" s="136"/>
      <c r="CM20967" s="111"/>
      <c r="CQ20967" s="111"/>
      <c r="EF20967"/>
      <c r="EG20967"/>
      <c r="EH20967"/>
      <c r="EI20967"/>
      <c r="EJ20967"/>
      <c r="EK20967"/>
    </row>
    <row r="20968" spans="1:141" s="116" customFormat="1">
      <c r="A20968" s="136"/>
      <c r="CM20968" s="111"/>
      <c r="CQ20968" s="111"/>
      <c r="EF20968"/>
      <c r="EG20968"/>
      <c r="EH20968"/>
      <c r="EI20968"/>
      <c r="EJ20968"/>
      <c r="EK20968"/>
    </row>
    <row r="20969" spans="1:141" s="116" customFormat="1">
      <c r="A20969" s="136"/>
      <c r="CM20969" s="111"/>
      <c r="CQ20969" s="111"/>
      <c r="EF20969"/>
      <c r="EG20969"/>
      <c r="EH20969"/>
      <c r="EI20969"/>
      <c r="EJ20969"/>
      <c r="EK20969"/>
    </row>
    <row r="20970" spans="1:141" s="116" customFormat="1">
      <c r="A20970" s="136"/>
      <c r="CM20970" s="111"/>
      <c r="CQ20970" s="111"/>
      <c r="EF20970"/>
      <c r="EG20970"/>
      <c r="EH20970"/>
      <c r="EI20970"/>
      <c r="EJ20970"/>
      <c r="EK20970"/>
    </row>
    <row r="20971" spans="1:141" s="116" customFormat="1">
      <c r="A20971" s="136"/>
      <c r="CM20971" s="111"/>
      <c r="CQ20971" s="111"/>
      <c r="EF20971"/>
      <c r="EG20971"/>
      <c r="EH20971"/>
      <c r="EI20971"/>
      <c r="EJ20971"/>
      <c r="EK20971"/>
    </row>
    <row r="20972" spans="1:141" s="116" customFormat="1">
      <c r="A20972" s="136"/>
      <c r="CM20972" s="111"/>
      <c r="CQ20972" s="111"/>
      <c r="EF20972"/>
      <c r="EG20972"/>
      <c r="EH20972"/>
      <c r="EI20972"/>
      <c r="EJ20972"/>
      <c r="EK20972"/>
    </row>
    <row r="20973" spans="1:141" s="116" customFormat="1">
      <c r="A20973" s="136"/>
      <c r="CM20973" s="111"/>
      <c r="CQ20973" s="111"/>
      <c r="EF20973"/>
      <c r="EG20973"/>
      <c r="EH20973"/>
      <c r="EI20973"/>
      <c r="EJ20973"/>
      <c r="EK20973"/>
    </row>
    <row r="20974" spans="1:141" s="116" customFormat="1">
      <c r="A20974" s="136"/>
      <c r="CM20974" s="111"/>
      <c r="CQ20974" s="111"/>
      <c r="EF20974"/>
      <c r="EG20974"/>
      <c r="EH20974"/>
      <c r="EI20974"/>
      <c r="EJ20974"/>
      <c r="EK20974"/>
    </row>
    <row r="20975" spans="1:141" s="116" customFormat="1">
      <c r="A20975" s="136"/>
      <c r="CM20975" s="111"/>
      <c r="CQ20975" s="111"/>
      <c r="EF20975"/>
      <c r="EG20975"/>
      <c r="EH20975"/>
      <c r="EI20975"/>
      <c r="EJ20975"/>
      <c r="EK20975"/>
    </row>
    <row r="20976" spans="1:141" s="116" customFormat="1">
      <c r="A20976" s="136"/>
      <c r="CM20976" s="111"/>
      <c r="CQ20976" s="111"/>
      <c r="EF20976"/>
      <c r="EG20976"/>
      <c r="EH20976"/>
      <c r="EI20976"/>
      <c r="EJ20976"/>
      <c r="EK20976"/>
    </row>
    <row r="20977" spans="1:141" s="116" customFormat="1">
      <c r="A20977" s="136"/>
      <c r="CM20977" s="111"/>
      <c r="CQ20977" s="111"/>
      <c r="EF20977"/>
      <c r="EG20977"/>
      <c r="EH20977"/>
      <c r="EI20977"/>
      <c r="EJ20977"/>
      <c r="EK20977"/>
    </row>
    <row r="20978" spans="1:141" s="116" customFormat="1">
      <c r="A20978" s="136"/>
      <c r="CM20978" s="111"/>
      <c r="CQ20978" s="111"/>
      <c r="EF20978"/>
      <c r="EG20978"/>
      <c r="EH20978"/>
      <c r="EI20978"/>
      <c r="EJ20978"/>
      <c r="EK20978"/>
    </row>
    <row r="20979" spans="1:141" s="116" customFormat="1">
      <c r="A20979" s="136"/>
      <c r="CM20979" s="111"/>
      <c r="CQ20979" s="111"/>
      <c r="EF20979"/>
      <c r="EG20979"/>
      <c r="EH20979"/>
      <c r="EI20979"/>
      <c r="EJ20979"/>
      <c r="EK20979"/>
    </row>
    <row r="20980" spans="1:141" s="116" customFormat="1">
      <c r="A20980" s="136"/>
      <c r="CM20980" s="111"/>
      <c r="CQ20980" s="111"/>
      <c r="EF20980"/>
      <c r="EG20980"/>
      <c r="EH20980"/>
      <c r="EI20980"/>
      <c r="EJ20980"/>
      <c r="EK20980"/>
    </row>
    <row r="20981" spans="1:141" s="116" customFormat="1">
      <c r="A20981" s="136"/>
      <c r="CM20981" s="111"/>
      <c r="CQ20981" s="111"/>
      <c r="EF20981"/>
      <c r="EG20981"/>
      <c r="EH20981"/>
      <c r="EI20981"/>
      <c r="EJ20981"/>
      <c r="EK20981"/>
    </row>
    <row r="20982" spans="1:141" s="116" customFormat="1">
      <c r="A20982" s="136"/>
      <c r="CM20982" s="111"/>
      <c r="CQ20982" s="111"/>
      <c r="EF20982"/>
      <c r="EG20982"/>
      <c r="EH20982"/>
      <c r="EI20982"/>
      <c r="EJ20982"/>
      <c r="EK20982"/>
    </row>
    <row r="20983" spans="1:141" s="116" customFormat="1">
      <c r="A20983" s="136"/>
      <c r="CM20983" s="111"/>
      <c r="CQ20983" s="111"/>
      <c r="EF20983"/>
      <c r="EG20983"/>
      <c r="EH20983"/>
      <c r="EI20983"/>
      <c r="EJ20983"/>
      <c r="EK20983"/>
    </row>
    <row r="20984" spans="1:141" s="116" customFormat="1">
      <c r="A20984" s="136"/>
      <c r="CM20984" s="111"/>
      <c r="CQ20984" s="111"/>
      <c r="EF20984"/>
      <c r="EG20984"/>
      <c r="EH20984"/>
      <c r="EI20984"/>
      <c r="EJ20984"/>
      <c r="EK20984"/>
    </row>
    <row r="20985" spans="1:141" s="116" customFormat="1">
      <c r="A20985" s="136"/>
      <c r="CM20985" s="111"/>
      <c r="CQ20985" s="111"/>
      <c r="EF20985"/>
      <c r="EG20985"/>
      <c r="EH20985"/>
      <c r="EI20985"/>
      <c r="EJ20985"/>
      <c r="EK20985"/>
    </row>
    <row r="20986" spans="1:141" s="116" customFormat="1">
      <c r="A20986" s="136"/>
      <c r="CM20986" s="111"/>
      <c r="CQ20986" s="111"/>
      <c r="EF20986"/>
      <c r="EG20986"/>
      <c r="EH20986"/>
      <c r="EI20986"/>
      <c r="EJ20986"/>
      <c r="EK20986"/>
    </row>
    <row r="20987" spans="1:141" s="116" customFormat="1">
      <c r="A20987" s="136"/>
      <c r="CM20987" s="111"/>
      <c r="CQ20987" s="111"/>
      <c r="EF20987"/>
      <c r="EG20987"/>
      <c r="EH20987"/>
      <c r="EI20987"/>
      <c r="EJ20987"/>
      <c r="EK20987"/>
    </row>
    <row r="20988" spans="1:141" s="116" customFormat="1">
      <c r="A20988" s="136"/>
      <c r="CM20988" s="111"/>
      <c r="CQ20988" s="111"/>
      <c r="EF20988"/>
      <c r="EG20988"/>
      <c r="EH20988"/>
      <c r="EI20988"/>
      <c r="EJ20988"/>
      <c r="EK20988"/>
    </row>
    <row r="20989" spans="1:141" s="116" customFormat="1">
      <c r="A20989" s="136"/>
      <c r="CM20989" s="111"/>
      <c r="CQ20989" s="111"/>
      <c r="EF20989"/>
      <c r="EG20989"/>
      <c r="EH20989"/>
      <c r="EI20989"/>
      <c r="EJ20989"/>
      <c r="EK20989"/>
    </row>
    <row r="20990" spans="1:141" s="116" customFormat="1">
      <c r="A20990" s="136"/>
      <c r="CM20990" s="111"/>
      <c r="CQ20990" s="111"/>
      <c r="EF20990"/>
      <c r="EG20990"/>
      <c r="EH20990"/>
      <c r="EI20990"/>
      <c r="EJ20990"/>
      <c r="EK20990"/>
    </row>
    <row r="20991" spans="1:141" s="116" customFormat="1">
      <c r="A20991" s="136"/>
      <c r="CM20991" s="111"/>
      <c r="CQ20991" s="111"/>
      <c r="EF20991"/>
      <c r="EG20991"/>
      <c r="EH20991"/>
      <c r="EI20991"/>
      <c r="EJ20991"/>
      <c r="EK20991"/>
    </row>
    <row r="20992" spans="1:141" s="116" customFormat="1">
      <c r="A20992" s="136"/>
      <c r="CM20992" s="111"/>
      <c r="CQ20992" s="111"/>
      <c r="EF20992"/>
      <c r="EG20992"/>
      <c r="EH20992"/>
      <c r="EI20992"/>
      <c r="EJ20992"/>
      <c r="EK20992"/>
    </row>
    <row r="20993" spans="1:141" s="116" customFormat="1">
      <c r="A20993" s="136"/>
      <c r="CM20993" s="111"/>
      <c r="CQ20993" s="111"/>
      <c r="EF20993"/>
      <c r="EG20993"/>
      <c r="EH20993"/>
      <c r="EI20993"/>
      <c r="EJ20993"/>
      <c r="EK20993"/>
    </row>
    <row r="20994" spans="1:141" s="116" customFormat="1">
      <c r="A20994" s="136"/>
      <c r="CM20994" s="111"/>
      <c r="CQ20994" s="111"/>
      <c r="EF20994"/>
      <c r="EG20994"/>
      <c r="EH20994"/>
      <c r="EI20994"/>
      <c r="EJ20994"/>
      <c r="EK20994"/>
    </row>
    <row r="20995" spans="1:141" s="116" customFormat="1">
      <c r="A20995" s="136"/>
      <c r="CM20995" s="111"/>
      <c r="CQ20995" s="111"/>
      <c r="EF20995"/>
      <c r="EG20995"/>
      <c r="EH20995"/>
      <c r="EI20995"/>
      <c r="EJ20995"/>
      <c r="EK20995"/>
    </row>
    <row r="20996" spans="1:141" s="116" customFormat="1">
      <c r="A20996" s="136"/>
      <c r="CM20996" s="111"/>
      <c r="CQ20996" s="111"/>
      <c r="EF20996"/>
      <c r="EG20996"/>
      <c r="EH20996"/>
      <c r="EI20996"/>
      <c r="EJ20996"/>
      <c r="EK20996"/>
    </row>
    <row r="20997" spans="1:141" s="116" customFormat="1">
      <c r="A20997" s="136"/>
      <c r="CM20997" s="111"/>
      <c r="CQ20997" s="111"/>
      <c r="EF20997"/>
      <c r="EG20997"/>
      <c r="EH20997"/>
      <c r="EI20997"/>
      <c r="EJ20997"/>
      <c r="EK20997"/>
    </row>
    <row r="20998" spans="1:141" s="116" customFormat="1">
      <c r="A20998" s="136"/>
      <c r="CM20998" s="111"/>
      <c r="CQ20998" s="111"/>
      <c r="EF20998"/>
      <c r="EG20998"/>
      <c r="EH20998"/>
      <c r="EI20998"/>
      <c r="EJ20998"/>
      <c r="EK20998"/>
    </row>
    <row r="20999" spans="1:141" s="116" customFormat="1">
      <c r="A20999" s="136"/>
      <c r="CM20999" s="111"/>
      <c r="CQ20999" s="111"/>
      <c r="EF20999"/>
      <c r="EG20999"/>
      <c r="EH20999"/>
      <c r="EI20999"/>
      <c r="EJ20999"/>
      <c r="EK20999"/>
    </row>
    <row r="21000" spans="1:141" s="116" customFormat="1">
      <c r="A21000" s="136"/>
      <c r="CM21000" s="111"/>
      <c r="CQ21000" s="111"/>
      <c r="EF21000"/>
      <c r="EG21000"/>
      <c r="EH21000"/>
      <c r="EI21000"/>
      <c r="EJ21000"/>
      <c r="EK21000"/>
    </row>
    <row r="21001" spans="1:141" s="116" customFormat="1">
      <c r="A21001" s="136"/>
      <c r="CM21001" s="111"/>
      <c r="CQ21001" s="111"/>
      <c r="EF21001"/>
      <c r="EG21001"/>
      <c r="EH21001"/>
      <c r="EI21001"/>
      <c r="EJ21001"/>
      <c r="EK21001"/>
    </row>
    <row r="21002" spans="1:141" s="116" customFormat="1">
      <c r="A21002" s="136"/>
      <c r="CM21002" s="111"/>
      <c r="CQ21002" s="111"/>
      <c r="EF21002"/>
      <c r="EG21002"/>
      <c r="EH21002"/>
      <c r="EI21002"/>
      <c r="EJ21002"/>
      <c r="EK21002"/>
    </row>
    <row r="21003" spans="1:141" s="116" customFormat="1">
      <c r="A21003" s="136"/>
      <c r="CM21003" s="111"/>
      <c r="CQ21003" s="111"/>
      <c r="EF21003"/>
      <c r="EG21003"/>
      <c r="EH21003"/>
      <c r="EI21003"/>
      <c r="EJ21003"/>
      <c r="EK21003"/>
    </row>
    <row r="21004" spans="1:141" s="116" customFormat="1">
      <c r="A21004" s="136"/>
      <c r="CM21004" s="111"/>
      <c r="CQ21004" s="111"/>
      <c r="EF21004"/>
      <c r="EG21004"/>
      <c r="EH21004"/>
      <c r="EI21004"/>
      <c r="EJ21004"/>
      <c r="EK21004"/>
    </row>
    <row r="21005" spans="1:141" s="116" customFormat="1">
      <c r="A21005" s="136"/>
      <c r="CM21005" s="111"/>
      <c r="CQ21005" s="111"/>
      <c r="EF21005"/>
      <c r="EG21005"/>
      <c r="EH21005"/>
      <c r="EI21005"/>
      <c r="EJ21005"/>
      <c r="EK21005"/>
    </row>
    <row r="21006" spans="1:141" s="116" customFormat="1">
      <c r="A21006" s="136"/>
      <c r="CM21006" s="111"/>
      <c r="CQ21006" s="111"/>
      <c r="EF21006"/>
      <c r="EG21006"/>
      <c r="EH21006"/>
      <c r="EI21006"/>
      <c r="EJ21006"/>
      <c r="EK21006"/>
    </row>
    <row r="21007" spans="1:141" s="116" customFormat="1">
      <c r="A21007" s="136"/>
      <c r="CM21007" s="111"/>
      <c r="CQ21007" s="111"/>
      <c r="EF21007"/>
      <c r="EG21007"/>
      <c r="EH21007"/>
      <c r="EI21007"/>
      <c r="EJ21007"/>
      <c r="EK21007"/>
    </row>
    <row r="21008" spans="1:141" s="116" customFormat="1">
      <c r="A21008" s="136"/>
      <c r="CM21008" s="111"/>
      <c r="CQ21008" s="111"/>
      <c r="EF21008"/>
      <c r="EG21008"/>
      <c r="EH21008"/>
      <c r="EI21008"/>
      <c r="EJ21008"/>
      <c r="EK21008"/>
    </row>
    <row r="21009" spans="1:141" s="116" customFormat="1">
      <c r="A21009" s="136"/>
      <c r="CM21009" s="111"/>
      <c r="CQ21009" s="111"/>
      <c r="EF21009"/>
      <c r="EG21009"/>
      <c r="EH21009"/>
      <c r="EI21009"/>
      <c r="EJ21009"/>
      <c r="EK21009"/>
    </row>
    <row r="21010" spans="1:141" s="116" customFormat="1">
      <c r="A21010" s="136"/>
      <c r="CM21010" s="111"/>
      <c r="CQ21010" s="111"/>
      <c r="EF21010"/>
      <c r="EG21010"/>
      <c r="EH21010"/>
      <c r="EI21010"/>
      <c r="EJ21010"/>
      <c r="EK21010"/>
    </row>
    <row r="21011" spans="1:141" s="116" customFormat="1">
      <c r="A21011" s="136"/>
      <c r="CM21011" s="111"/>
      <c r="CQ21011" s="111"/>
      <c r="EF21011"/>
      <c r="EG21011"/>
      <c r="EH21011"/>
      <c r="EI21011"/>
      <c r="EJ21011"/>
      <c r="EK21011"/>
    </row>
    <row r="21012" spans="1:141" s="116" customFormat="1">
      <c r="A21012" s="136"/>
      <c r="CM21012" s="111"/>
      <c r="CQ21012" s="111"/>
      <c r="EF21012"/>
      <c r="EG21012"/>
      <c r="EH21012"/>
      <c r="EI21012"/>
      <c r="EJ21012"/>
      <c r="EK21012"/>
    </row>
    <row r="21013" spans="1:141" s="116" customFormat="1">
      <c r="A21013" s="136"/>
      <c r="CM21013" s="111"/>
      <c r="CQ21013" s="111"/>
      <c r="EF21013"/>
      <c r="EG21013"/>
      <c r="EH21013"/>
      <c r="EI21013"/>
      <c r="EJ21013"/>
      <c r="EK21013"/>
    </row>
    <row r="21014" spans="1:141" s="116" customFormat="1">
      <c r="A21014" s="136"/>
      <c r="CM21014" s="111"/>
      <c r="CQ21014" s="111"/>
      <c r="EF21014"/>
      <c r="EG21014"/>
      <c r="EH21014"/>
      <c r="EI21014"/>
      <c r="EJ21014"/>
      <c r="EK21014"/>
    </row>
    <row r="21015" spans="1:141" s="116" customFormat="1">
      <c r="A21015" s="136"/>
      <c r="CM21015" s="111"/>
      <c r="CQ21015" s="111"/>
      <c r="EF21015"/>
      <c r="EG21015"/>
      <c r="EH21015"/>
      <c r="EI21015"/>
      <c r="EJ21015"/>
      <c r="EK21015"/>
    </row>
    <row r="21016" spans="1:141" s="116" customFormat="1">
      <c r="A21016" s="136"/>
      <c r="CM21016" s="111"/>
      <c r="CQ21016" s="111"/>
      <c r="EF21016"/>
      <c r="EG21016"/>
      <c r="EH21016"/>
      <c r="EI21016"/>
      <c r="EJ21016"/>
      <c r="EK21016"/>
    </row>
    <row r="21017" spans="1:141" s="116" customFormat="1">
      <c r="A21017" s="136"/>
      <c r="CM21017" s="111"/>
      <c r="CQ21017" s="111"/>
      <c r="EF21017"/>
      <c r="EG21017"/>
      <c r="EH21017"/>
      <c r="EI21017"/>
      <c r="EJ21017"/>
      <c r="EK21017"/>
    </row>
    <row r="21018" spans="1:141" s="116" customFormat="1">
      <c r="A21018" s="136"/>
      <c r="CM21018" s="111"/>
      <c r="CQ21018" s="111"/>
      <c r="EF21018"/>
      <c r="EG21018"/>
      <c r="EH21018"/>
      <c r="EI21018"/>
      <c r="EJ21018"/>
      <c r="EK21018"/>
    </row>
    <row r="21019" spans="1:141" s="116" customFormat="1">
      <c r="A21019" s="136"/>
      <c r="CM21019" s="111"/>
      <c r="CQ21019" s="111"/>
      <c r="EF21019"/>
      <c r="EG21019"/>
      <c r="EH21019"/>
      <c r="EI21019"/>
      <c r="EJ21019"/>
      <c r="EK21019"/>
    </row>
    <row r="21020" spans="1:141" s="116" customFormat="1">
      <c r="A21020" s="136"/>
      <c r="CM21020" s="111"/>
      <c r="CQ21020" s="111"/>
      <c r="EF21020"/>
      <c r="EG21020"/>
      <c r="EH21020"/>
      <c r="EI21020"/>
      <c r="EJ21020"/>
      <c r="EK21020"/>
    </row>
    <row r="21021" spans="1:141" s="116" customFormat="1">
      <c r="A21021" s="136"/>
      <c r="CM21021" s="111"/>
      <c r="CQ21021" s="111"/>
      <c r="EF21021"/>
      <c r="EG21021"/>
      <c r="EH21021"/>
      <c r="EI21021"/>
      <c r="EJ21021"/>
      <c r="EK21021"/>
    </row>
    <row r="21022" spans="1:141" s="116" customFormat="1">
      <c r="A21022" s="136"/>
      <c r="CM21022" s="111"/>
      <c r="CQ21022" s="111"/>
      <c r="EF21022"/>
      <c r="EG21022"/>
      <c r="EH21022"/>
      <c r="EI21022"/>
      <c r="EJ21022"/>
      <c r="EK21022"/>
    </row>
    <row r="21023" spans="1:141" s="116" customFormat="1">
      <c r="A21023" s="136"/>
      <c r="CM21023" s="111"/>
      <c r="CQ21023" s="111"/>
      <c r="EF21023"/>
      <c r="EG21023"/>
      <c r="EH21023"/>
      <c r="EI21023"/>
      <c r="EJ21023"/>
      <c r="EK21023"/>
    </row>
    <row r="21024" spans="1:141" s="116" customFormat="1">
      <c r="A21024" s="136"/>
      <c r="CM21024" s="111"/>
      <c r="CQ21024" s="111"/>
      <c r="EF21024"/>
      <c r="EG21024"/>
      <c r="EH21024"/>
      <c r="EI21024"/>
      <c r="EJ21024"/>
      <c r="EK21024"/>
    </row>
    <row r="21025" spans="1:141" s="116" customFormat="1">
      <c r="A21025" s="136"/>
      <c r="CM21025" s="111"/>
      <c r="CQ21025" s="111"/>
      <c r="EF21025"/>
      <c r="EG21025"/>
      <c r="EH21025"/>
      <c r="EI21025"/>
      <c r="EJ21025"/>
      <c r="EK21025"/>
    </row>
    <row r="21026" spans="1:141" s="116" customFormat="1">
      <c r="A21026" s="136"/>
      <c r="CM21026" s="111"/>
      <c r="CQ21026" s="111"/>
      <c r="EF21026"/>
      <c r="EG21026"/>
      <c r="EH21026"/>
      <c r="EI21026"/>
      <c r="EJ21026"/>
      <c r="EK21026"/>
    </row>
    <row r="21027" spans="1:141" s="116" customFormat="1">
      <c r="A21027" s="136"/>
      <c r="CM21027" s="111"/>
      <c r="CQ21027" s="111"/>
      <c r="EF21027"/>
      <c r="EG21027"/>
      <c r="EH21027"/>
      <c r="EI21027"/>
      <c r="EJ21027"/>
      <c r="EK21027"/>
    </row>
    <row r="21028" spans="1:141" s="116" customFormat="1">
      <c r="A21028" s="136"/>
      <c r="CM21028" s="111"/>
      <c r="CQ21028" s="111"/>
      <c r="EF21028"/>
      <c r="EG21028"/>
      <c r="EH21028"/>
      <c r="EI21028"/>
      <c r="EJ21028"/>
      <c r="EK21028"/>
    </row>
    <row r="21029" spans="1:141" s="116" customFormat="1">
      <c r="A21029" s="136"/>
      <c r="CM21029" s="111"/>
      <c r="CQ21029" s="111"/>
      <c r="EF21029"/>
      <c r="EG21029"/>
      <c r="EH21029"/>
      <c r="EI21029"/>
      <c r="EJ21029"/>
      <c r="EK21029"/>
    </row>
    <row r="21030" spans="1:141" s="116" customFormat="1">
      <c r="A21030" s="136"/>
      <c r="CM21030" s="111"/>
      <c r="CQ21030" s="111"/>
      <c r="EF21030"/>
      <c r="EG21030"/>
      <c r="EH21030"/>
      <c r="EI21030"/>
      <c r="EJ21030"/>
      <c r="EK21030"/>
    </row>
    <row r="21031" spans="1:141" s="116" customFormat="1">
      <c r="A21031" s="136"/>
      <c r="CM21031" s="111"/>
      <c r="CQ21031" s="111"/>
      <c r="EF21031"/>
      <c r="EG21031"/>
      <c r="EH21031"/>
      <c r="EI21031"/>
      <c r="EJ21031"/>
      <c r="EK21031"/>
    </row>
    <row r="21032" spans="1:141" s="116" customFormat="1">
      <c r="A21032" s="136"/>
      <c r="CM21032" s="111"/>
      <c r="CQ21032" s="111"/>
      <c r="EF21032"/>
      <c r="EG21032"/>
      <c r="EH21032"/>
      <c r="EI21032"/>
      <c r="EJ21032"/>
      <c r="EK21032"/>
    </row>
    <row r="21033" spans="1:141" s="116" customFormat="1">
      <c r="A21033" s="136"/>
      <c r="CM21033" s="111"/>
      <c r="CQ21033" s="111"/>
      <c r="EF21033"/>
      <c r="EG21033"/>
      <c r="EH21033"/>
      <c r="EI21033"/>
      <c r="EJ21033"/>
      <c r="EK21033"/>
    </row>
    <row r="21034" spans="1:141" s="116" customFormat="1">
      <c r="A21034" s="136"/>
      <c r="CM21034" s="111"/>
      <c r="CQ21034" s="111"/>
      <c r="EF21034"/>
      <c r="EG21034"/>
      <c r="EH21034"/>
      <c r="EI21034"/>
      <c r="EJ21034"/>
      <c r="EK21034"/>
    </row>
    <row r="21035" spans="1:141" s="116" customFormat="1">
      <c r="A21035" s="136"/>
      <c r="CM21035" s="111"/>
      <c r="CQ21035" s="111"/>
      <c r="EF21035"/>
      <c r="EG21035"/>
      <c r="EH21035"/>
      <c r="EI21035"/>
      <c r="EJ21035"/>
      <c r="EK21035"/>
    </row>
    <row r="21036" spans="1:141" s="116" customFormat="1">
      <c r="A21036" s="136"/>
      <c r="CM21036" s="111"/>
      <c r="CQ21036" s="111"/>
      <c r="EF21036"/>
      <c r="EG21036"/>
      <c r="EH21036"/>
      <c r="EI21036"/>
      <c r="EJ21036"/>
      <c r="EK21036"/>
    </row>
    <row r="21037" spans="1:141" s="116" customFormat="1">
      <c r="A21037" s="136"/>
      <c r="CM21037" s="111"/>
      <c r="CQ21037" s="111"/>
      <c r="EF21037"/>
      <c r="EG21037"/>
      <c r="EH21037"/>
      <c r="EI21037"/>
      <c r="EJ21037"/>
      <c r="EK21037"/>
    </row>
    <row r="21038" spans="1:141" s="116" customFormat="1">
      <c r="A21038" s="136"/>
      <c r="CM21038" s="111"/>
      <c r="CQ21038" s="111"/>
      <c r="EF21038"/>
      <c r="EG21038"/>
      <c r="EH21038"/>
      <c r="EI21038"/>
      <c r="EJ21038"/>
      <c r="EK21038"/>
    </row>
    <row r="21039" spans="1:141" s="116" customFormat="1">
      <c r="A21039" s="136"/>
      <c r="CM21039" s="111"/>
      <c r="CQ21039" s="111"/>
      <c r="EF21039"/>
      <c r="EG21039"/>
      <c r="EH21039"/>
      <c r="EI21039"/>
      <c r="EJ21039"/>
      <c r="EK21039"/>
    </row>
    <row r="21040" spans="1:141" s="116" customFormat="1">
      <c r="A21040" s="136"/>
      <c r="CM21040" s="111"/>
      <c r="CQ21040" s="111"/>
      <c r="EF21040"/>
      <c r="EG21040"/>
      <c r="EH21040"/>
      <c r="EI21040"/>
      <c r="EJ21040"/>
      <c r="EK21040"/>
    </row>
    <row r="21041" spans="1:141" s="116" customFormat="1">
      <c r="A21041" s="136"/>
      <c r="CM21041" s="111"/>
      <c r="CQ21041" s="111"/>
      <c r="EF21041"/>
      <c r="EG21041"/>
      <c r="EH21041"/>
      <c r="EI21041"/>
      <c r="EJ21041"/>
      <c r="EK21041"/>
    </row>
    <row r="21042" spans="1:141" s="116" customFormat="1">
      <c r="A21042" s="136"/>
      <c r="CM21042" s="111"/>
      <c r="CQ21042" s="111"/>
      <c r="EF21042"/>
      <c r="EG21042"/>
      <c r="EH21042"/>
      <c r="EI21042"/>
      <c r="EJ21042"/>
      <c r="EK21042"/>
    </row>
    <row r="21043" spans="1:141" s="116" customFormat="1">
      <c r="A21043" s="136"/>
      <c r="CM21043" s="111"/>
      <c r="CQ21043" s="111"/>
      <c r="EF21043"/>
      <c r="EG21043"/>
      <c r="EH21043"/>
      <c r="EI21043"/>
      <c r="EJ21043"/>
      <c r="EK21043"/>
    </row>
    <row r="21044" spans="1:141" s="116" customFormat="1">
      <c r="A21044" s="136"/>
      <c r="CM21044" s="111"/>
      <c r="CQ21044" s="111"/>
      <c r="EF21044"/>
      <c r="EG21044"/>
      <c r="EH21044"/>
      <c r="EI21044"/>
      <c r="EJ21044"/>
      <c r="EK21044"/>
    </row>
    <row r="21045" spans="1:141" s="116" customFormat="1">
      <c r="A21045" s="136"/>
      <c r="CM21045" s="111"/>
      <c r="CQ21045" s="111"/>
      <c r="EF21045"/>
      <c r="EG21045"/>
      <c r="EH21045"/>
      <c r="EI21045"/>
      <c r="EJ21045"/>
      <c r="EK21045"/>
    </row>
    <row r="21046" spans="1:141" s="116" customFormat="1">
      <c r="A21046" s="136"/>
      <c r="CM21046" s="111"/>
      <c r="CQ21046" s="111"/>
      <c r="EF21046"/>
      <c r="EG21046"/>
      <c r="EH21046"/>
      <c r="EI21046"/>
      <c r="EJ21046"/>
      <c r="EK21046"/>
    </row>
    <row r="21047" spans="1:141" s="116" customFormat="1">
      <c r="A21047" s="136"/>
      <c r="CM21047" s="111"/>
      <c r="CQ21047" s="111"/>
      <c r="EF21047"/>
      <c r="EG21047"/>
      <c r="EH21047"/>
      <c r="EI21047"/>
      <c r="EJ21047"/>
      <c r="EK21047"/>
    </row>
    <row r="21048" spans="1:141" s="116" customFormat="1">
      <c r="A21048" s="136"/>
      <c r="CM21048" s="111"/>
      <c r="CQ21048" s="111"/>
      <c r="EF21048"/>
      <c r="EG21048"/>
      <c r="EH21048"/>
      <c r="EI21048"/>
      <c r="EJ21048"/>
      <c r="EK21048"/>
    </row>
    <row r="21049" spans="1:141" s="116" customFormat="1">
      <c r="A21049" s="136"/>
      <c r="CM21049" s="111"/>
      <c r="CQ21049" s="111"/>
      <c r="EF21049"/>
      <c r="EG21049"/>
      <c r="EH21049"/>
      <c r="EI21049"/>
      <c r="EJ21049"/>
      <c r="EK21049"/>
    </row>
    <row r="21050" spans="1:141" s="116" customFormat="1">
      <c r="A21050" s="136"/>
      <c r="CM21050" s="111"/>
      <c r="CQ21050" s="111"/>
      <c r="EF21050"/>
      <c r="EG21050"/>
      <c r="EH21050"/>
      <c r="EI21050"/>
      <c r="EJ21050"/>
      <c r="EK21050"/>
    </row>
    <row r="21051" spans="1:141" s="116" customFormat="1">
      <c r="A21051" s="136"/>
      <c r="CM21051" s="111"/>
      <c r="CQ21051" s="111"/>
      <c r="EF21051"/>
      <c r="EG21051"/>
      <c r="EH21051"/>
      <c r="EI21051"/>
      <c r="EJ21051"/>
      <c r="EK21051"/>
    </row>
    <row r="21052" spans="1:141" s="116" customFormat="1">
      <c r="A21052" s="136"/>
      <c r="CM21052" s="111"/>
      <c r="CQ21052" s="111"/>
      <c r="EF21052"/>
      <c r="EG21052"/>
      <c r="EH21052"/>
      <c r="EI21052"/>
      <c r="EJ21052"/>
      <c r="EK21052"/>
    </row>
    <row r="21053" spans="1:141" s="116" customFormat="1">
      <c r="A21053" s="136"/>
      <c r="CM21053" s="111"/>
      <c r="CQ21053" s="111"/>
      <c r="EF21053"/>
      <c r="EG21053"/>
      <c r="EH21053"/>
      <c r="EI21053"/>
      <c r="EJ21053"/>
      <c r="EK21053"/>
    </row>
    <row r="21054" spans="1:141" s="116" customFormat="1">
      <c r="A21054" s="136"/>
      <c r="CM21054" s="111"/>
      <c r="CQ21054" s="111"/>
      <c r="EF21054"/>
      <c r="EG21054"/>
      <c r="EH21054"/>
      <c r="EI21054"/>
      <c r="EJ21054"/>
      <c r="EK21054"/>
    </row>
    <row r="21055" spans="1:141" s="116" customFormat="1">
      <c r="A21055" s="136"/>
      <c r="CM21055" s="111"/>
      <c r="CQ21055" s="111"/>
      <c r="EF21055"/>
      <c r="EG21055"/>
      <c r="EH21055"/>
      <c r="EI21055"/>
      <c r="EJ21055"/>
      <c r="EK21055"/>
    </row>
    <row r="21056" spans="1:141" s="116" customFormat="1">
      <c r="A21056" s="136"/>
      <c r="CM21056" s="111"/>
      <c r="CQ21056" s="111"/>
      <c r="EF21056"/>
      <c r="EG21056"/>
      <c r="EH21056"/>
      <c r="EI21056"/>
      <c r="EJ21056"/>
      <c r="EK21056"/>
    </row>
    <row r="21057" spans="1:141" s="116" customFormat="1">
      <c r="A21057" s="136"/>
      <c r="CM21057" s="111"/>
      <c r="CQ21057" s="111"/>
      <c r="EF21057"/>
      <c r="EG21057"/>
      <c r="EH21057"/>
      <c r="EI21057"/>
      <c r="EJ21057"/>
      <c r="EK21057"/>
    </row>
    <row r="21058" spans="1:141" s="116" customFormat="1">
      <c r="A21058" s="136"/>
      <c r="CM21058" s="111"/>
      <c r="CQ21058" s="111"/>
      <c r="EF21058"/>
      <c r="EG21058"/>
      <c r="EH21058"/>
      <c r="EI21058"/>
      <c r="EJ21058"/>
      <c r="EK21058"/>
    </row>
    <row r="21059" spans="1:141" s="116" customFormat="1">
      <c r="A21059" s="136"/>
      <c r="CM21059" s="111"/>
      <c r="CQ21059" s="111"/>
      <c r="EF21059"/>
      <c r="EG21059"/>
      <c r="EH21059"/>
      <c r="EI21059"/>
      <c r="EJ21059"/>
      <c r="EK21059"/>
    </row>
    <row r="21060" spans="1:141" s="116" customFormat="1">
      <c r="A21060" s="136"/>
      <c r="CM21060" s="111"/>
      <c r="CQ21060" s="111"/>
      <c r="EF21060"/>
      <c r="EG21060"/>
      <c r="EH21060"/>
      <c r="EI21060"/>
      <c r="EJ21060"/>
      <c r="EK21060"/>
    </row>
    <row r="21061" spans="1:141" s="116" customFormat="1">
      <c r="A21061" s="136"/>
      <c r="CM21061" s="111"/>
      <c r="CQ21061" s="111"/>
      <c r="EF21061"/>
      <c r="EG21061"/>
      <c r="EH21061"/>
      <c r="EI21061"/>
      <c r="EJ21061"/>
      <c r="EK21061"/>
    </row>
    <row r="21062" spans="1:141" s="116" customFormat="1">
      <c r="A21062" s="136"/>
      <c r="CM21062" s="111"/>
      <c r="CQ21062" s="111"/>
      <c r="EF21062"/>
      <c r="EG21062"/>
      <c r="EH21062"/>
      <c r="EI21062"/>
      <c r="EJ21062"/>
      <c r="EK21062"/>
    </row>
    <row r="21063" spans="1:141" s="116" customFormat="1">
      <c r="A21063" s="136"/>
      <c r="CM21063" s="111"/>
      <c r="CQ21063" s="111"/>
      <c r="EF21063"/>
      <c r="EG21063"/>
      <c r="EH21063"/>
      <c r="EI21063"/>
      <c r="EJ21063"/>
      <c r="EK21063"/>
    </row>
    <row r="21064" spans="1:141" s="116" customFormat="1">
      <c r="A21064" s="136"/>
      <c r="CM21064" s="111"/>
      <c r="CQ21064" s="111"/>
      <c r="EF21064"/>
      <c r="EG21064"/>
      <c r="EH21064"/>
      <c r="EI21064"/>
      <c r="EJ21064"/>
      <c r="EK21064"/>
    </row>
    <row r="21065" spans="1:141" s="116" customFormat="1">
      <c r="A21065" s="136"/>
      <c r="CM21065" s="111"/>
      <c r="CQ21065" s="111"/>
      <c r="EF21065"/>
      <c r="EG21065"/>
      <c r="EH21065"/>
      <c r="EI21065"/>
      <c r="EJ21065"/>
      <c r="EK21065"/>
    </row>
    <row r="21066" spans="1:141" s="116" customFormat="1">
      <c r="A21066" s="136"/>
      <c r="CM21066" s="111"/>
      <c r="CQ21066" s="111"/>
      <c r="EF21066"/>
      <c r="EG21066"/>
      <c r="EH21066"/>
      <c r="EI21066"/>
      <c r="EJ21066"/>
      <c r="EK21066"/>
    </row>
    <row r="21067" spans="1:141" s="116" customFormat="1">
      <c r="A21067" s="136"/>
      <c r="CM21067" s="111"/>
      <c r="CQ21067" s="111"/>
      <c r="EF21067"/>
      <c r="EG21067"/>
      <c r="EH21067"/>
      <c r="EI21067"/>
      <c r="EJ21067"/>
      <c r="EK21067"/>
    </row>
    <row r="21068" spans="1:141" s="116" customFormat="1">
      <c r="A21068" s="136"/>
      <c r="CM21068" s="111"/>
      <c r="CQ21068" s="111"/>
      <c r="EF21068"/>
      <c r="EG21068"/>
      <c r="EH21068"/>
      <c r="EI21068"/>
      <c r="EJ21068"/>
      <c r="EK21068"/>
    </row>
    <row r="21069" spans="1:141" s="116" customFormat="1">
      <c r="A21069" s="136"/>
      <c r="CM21069" s="111"/>
      <c r="CQ21069" s="111"/>
      <c r="EF21069"/>
      <c r="EG21069"/>
      <c r="EH21069"/>
      <c r="EI21069"/>
      <c r="EJ21069"/>
      <c r="EK21069"/>
    </row>
    <row r="21070" spans="1:141" s="116" customFormat="1">
      <c r="A21070" s="136"/>
      <c r="CM21070" s="111"/>
      <c r="CQ21070" s="111"/>
      <c r="EF21070"/>
      <c r="EG21070"/>
      <c r="EH21070"/>
      <c r="EI21070"/>
      <c r="EJ21070"/>
      <c r="EK21070"/>
    </row>
    <row r="21071" spans="1:141" s="116" customFormat="1">
      <c r="A21071" s="136"/>
      <c r="CM21071" s="111"/>
      <c r="CQ21071" s="111"/>
      <c r="EF21071"/>
      <c r="EG21071"/>
      <c r="EH21071"/>
      <c r="EI21071"/>
      <c r="EJ21071"/>
      <c r="EK21071"/>
    </row>
    <row r="21072" spans="1:141" s="116" customFormat="1">
      <c r="A21072" s="136"/>
      <c r="CM21072" s="111"/>
      <c r="CQ21072" s="111"/>
      <c r="EF21072"/>
      <c r="EG21072"/>
      <c r="EH21072"/>
      <c r="EI21072"/>
      <c r="EJ21072"/>
      <c r="EK21072"/>
    </row>
    <row r="21073" spans="1:141" s="116" customFormat="1">
      <c r="A21073" s="136"/>
      <c r="CM21073" s="111"/>
      <c r="CQ21073" s="111"/>
      <c r="EF21073"/>
      <c r="EG21073"/>
      <c r="EH21073"/>
      <c r="EI21073"/>
      <c r="EJ21073"/>
      <c r="EK21073"/>
    </row>
    <row r="21074" spans="1:141" s="116" customFormat="1">
      <c r="A21074" s="136"/>
      <c r="CM21074" s="111"/>
      <c r="CQ21074" s="111"/>
      <c r="EF21074"/>
      <c r="EG21074"/>
      <c r="EH21074"/>
      <c r="EI21074"/>
      <c r="EJ21074"/>
      <c r="EK21074"/>
    </row>
    <row r="21075" spans="1:141" s="116" customFormat="1">
      <c r="A21075" s="136"/>
      <c r="CM21075" s="111"/>
      <c r="CQ21075" s="111"/>
      <c r="EF21075"/>
      <c r="EG21075"/>
      <c r="EH21075"/>
      <c r="EI21075"/>
      <c r="EJ21075"/>
      <c r="EK21075"/>
    </row>
    <row r="21076" spans="1:141" s="116" customFormat="1">
      <c r="A21076" s="136"/>
      <c r="CM21076" s="111"/>
      <c r="CQ21076" s="111"/>
      <c r="EF21076"/>
      <c r="EG21076"/>
      <c r="EH21076"/>
      <c r="EI21076"/>
      <c r="EJ21076"/>
      <c r="EK21076"/>
    </row>
    <row r="21077" spans="1:141" s="116" customFormat="1">
      <c r="A21077" s="136"/>
      <c r="CM21077" s="111"/>
      <c r="CQ21077" s="111"/>
      <c r="EF21077"/>
      <c r="EG21077"/>
      <c r="EH21077"/>
      <c r="EI21077"/>
      <c r="EJ21077"/>
      <c r="EK21077"/>
    </row>
    <row r="21078" spans="1:141" s="116" customFormat="1">
      <c r="A21078" s="136"/>
      <c r="CM21078" s="111"/>
      <c r="CQ21078" s="111"/>
      <c r="EF21078"/>
      <c r="EG21078"/>
      <c r="EH21078"/>
      <c r="EI21078"/>
      <c r="EJ21078"/>
      <c r="EK21078"/>
    </row>
    <row r="21079" spans="1:141" s="116" customFormat="1">
      <c r="A21079" s="136"/>
      <c r="CM21079" s="111"/>
      <c r="CQ21079" s="111"/>
      <c r="EF21079"/>
      <c r="EG21079"/>
      <c r="EH21079"/>
      <c r="EI21079"/>
      <c r="EJ21079"/>
      <c r="EK21079"/>
    </row>
    <row r="21080" spans="1:141" s="116" customFormat="1">
      <c r="A21080" s="136"/>
      <c r="CM21080" s="111"/>
      <c r="CQ21080" s="111"/>
      <c r="EF21080"/>
      <c r="EG21080"/>
      <c r="EH21080"/>
      <c r="EI21080"/>
      <c r="EJ21080"/>
      <c r="EK21080"/>
    </row>
    <row r="21081" spans="1:141" s="116" customFormat="1">
      <c r="A21081" s="136"/>
      <c r="CM21081" s="111"/>
      <c r="CQ21081" s="111"/>
      <c r="EF21081"/>
      <c r="EG21081"/>
      <c r="EH21081"/>
      <c r="EI21081"/>
      <c r="EJ21081"/>
      <c r="EK21081"/>
    </row>
    <row r="21082" spans="1:141" s="116" customFormat="1">
      <c r="A21082" s="136"/>
      <c r="CM21082" s="111"/>
      <c r="CQ21082" s="111"/>
      <c r="EF21082"/>
      <c r="EG21082"/>
      <c r="EH21082"/>
      <c r="EI21082"/>
      <c r="EJ21082"/>
      <c r="EK21082"/>
    </row>
    <row r="21083" spans="1:141" s="116" customFormat="1">
      <c r="A21083" s="136"/>
      <c r="CM21083" s="111"/>
      <c r="CQ21083" s="111"/>
      <c r="EF21083"/>
      <c r="EG21083"/>
      <c r="EH21083"/>
      <c r="EI21083"/>
      <c r="EJ21083"/>
      <c r="EK21083"/>
    </row>
    <row r="21084" spans="1:141" s="116" customFormat="1">
      <c r="A21084" s="136"/>
      <c r="CM21084" s="111"/>
      <c r="CQ21084" s="111"/>
      <c r="EF21084"/>
      <c r="EG21084"/>
      <c r="EH21084"/>
      <c r="EI21084"/>
      <c r="EJ21084"/>
      <c r="EK21084"/>
    </row>
    <row r="21085" spans="1:141" s="116" customFormat="1">
      <c r="A21085" s="136"/>
      <c r="CM21085" s="111"/>
      <c r="CQ21085" s="111"/>
      <c r="EF21085"/>
      <c r="EG21085"/>
      <c r="EH21085"/>
      <c r="EI21085"/>
      <c r="EJ21085"/>
      <c r="EK21085"/>
    </row>
    <row r="21086" spans="1:141" s="116" customFormat="1">
      <c r="A21086" s="136"/>
      <c r="CM21086" s="111"/>
      <c r="CQ21086" s="111"/>
      <c r="EF21086"/>
      <c r="EG21086"/>
      <c r="EH21086"/>
      <c r="EI21086"/>
      <c r="EJ21086"/>
      <c r="EK21086"/>
    </row>
    <row r="21087" spans="1:141" s="116" customFormat="1">
      <c r="A21087" s="136"/>
      <c r="CM21087" s="111"/>
      <c r="CQ21087" s="111"/>
      <c r="EF21087"/>
      <c r="EG21087"/>
      <c r="EH21087"/>
      <c r="EI21087"/>
      <c r="EJ21087"/>
      <c r="EK21087"/>
    </row>
    <row r="21088" spans="1:141" s="116" customFormat="1">
      <c r="A21088" s="136"/>
      <c r="CM21088" s="111"/>
      <c r="CQ21088" s="111"/>
      <c r="EF21088"/>
      <c r="EG21088"/>
      <c r="EH21088"/>
      <c r="EI21088"/>
      <c r="EJ21088"/>
      <c r="EK21088"/>
    </row>
    <row r="21089" spans="1:141" s="116" customFormat="1">
      <c r="A21089" s="136"/>
      <c r="CM21089" s="111"/>
      <c r="CQ21089" s="111"/>
      <c r="EF21089"/>
      <c r="EG21089"/>
      <c r="EH21089"/>
      <c r="EI21089"/>
      <c r="EJ21089"/>
      <c r="EK21089"/>
    </row>
    <row r="21090" spans="1:141" s="116" customFormat="1">
      <c r="A21090" s="136"/>
      <c r="CM21090" s="111"/>
      <c r="CQ21090" s="111"/>
      <c r="EF21090"/>
      <c r="EG21090"/>
      <c r="EH21090"/>
      <c r="EI21090"/>
      <c r="EJ21090"/>
      <c r="EK21090"/>
    </row>
    <row r="21091" spans="1:141" s="116" customFormat="1">
      <c r="A21091" s="136"/>
      <c r="CM21091" s="111"/>
      <c r="CQ21091" s="111"/>
      <c r="EF21091"/>
      <c r="EG21091"/>
      <c r="EH21091"/>
      <c r="EI21091"/>
      <c r="EJ21091"/>
      <c r="EK21091"/>
    </row>
    <row r="21092" spans="1:141" s="116" customFormat="1">
      <c r="A21092" s="136"/>
      <c r="CM21092" s="111"/>
      <c r="CQ21092" s="111"/>
      <c r="EF21092"/>
      <c r="EG21092"/>
      <c r="EH21092"/>
      <c r="EI21092"/>
      <c r="EJ21092"/>
      <c r="EK21092"/>
    </row>
    <row r="21093" spans="1:141" s="116" customFormat="1">
      <c r="A21093" s="136"/>
      <c r="CM21093" s="111"/>
      <c r="CQ21093" s="111"/>
      <c r="EF21093"/>
      <c r="EG21093"/>
      <c r="EH21093"/>
      <c r="EI21093"/>
      <c r="EJ21093"/>
      <c r="EK21093"/>
    </row>
    <row r="21094" spans="1:141" s="116" customFormat="1">
      <c r="A21094" s="136"/>
      <c r="CM21094" s="111"/>
      <c r="CQ21094" s="111"/>
      <c r="EF21094"/>
      <c r="EG21094"/>
      <c r="EH21094"/>
      <c r="EI21094"/>
      <c r="EJ21094"/>
      <c r="EK21094"/>
    </row>
    <row r="21095" spans="1:141" s="116" customFormat="1">
      <c r="A21095" s="136"/>
      <c r="CM21095" s="111"/>
      <c r="CQ21095" s="111"/>
      <c r="EF21095"/>
      <c r="EG21095"/>
      <c r="EH21095"/>
      <c r="EI21095"/>
      <c r="EJ21095"/>
      <c r="EK21095"/>
    </row>
    <row r="21096" spans="1:141" s="116" customFormat="1">
      <c r="A21096" s="136"/>
      <c r="CM21096" s="111"/>
      <c r="CQ21096" s="111"/>
      <c r="EF21096"/>
      <c r="EG21096"/>
      <c r="EH21096"/>
      <c r="EI21096"/>
      <c r="EJ21096"/>
      <c r="EK21096"/>
    </row>
    <row r="21097" spans="1:141" s="116" customFormat="1">
      <c r="A21097" s="136"/>
      <c r="CM21097" s="111"/>
      <c r="CQ21097" s="111"/>
      <c r="EF21097"/>
      <c r="EG21097"/>
      <c r="EH21097"/>
      <c r="EI21097"/>
      <c r="EJ21097"/>
      <c r="EK21097"/>
    </row>
    <row r="21098" spans="1:141" s="116" customFormat="1">
      <c r="A21098" s="136"/>
      <c r="CM21098" s="111"/>
      <c r="CQ21098" s="111"/>
      <c r="EF21098"/>
      <c r="EG21098"/>
      <c r="EH21098"/>
      <c r="EI21098"/>
      <c r="EJ21098"/>
      <c r="EK21098"/>
    </row>
    <row r="21099" spans="1:141" s="116" customFormat="1">
      <c r="A21099" s="136"/>
      <c r="CM21099" s="111"/>
      <c r="CQ21099" s="111"/>
      <c r="EF21099"/>
      <c r="EG21099"/>
      <c r="EH21099"/>
      <c r="EI21099"/>
      <c r="EJ21099"/>
      <c r="EK21099"/>
    </row>
    <row r="21100" spans="1:141" s="116" customFormat="1">
      <c r="A21100" s="136"/>
      <c r="CM21100" s="111"/>
      <c r="CQ21100" s="111"/>
      <c r="EF21100"/>
      <c r="EG21100"/>
      <c r="EH21100"/>
      <c r="EI21100"/>
      <c r="EJ21100"/>
      <c r="EK21100"/>
    </row>
    <row r="21101" spans="1:141" s="116" customFormat="1">
      <c r="A21101" s="136"/>
      <c r="CM21101" s="111"/>
      <c r="CQ21101" s="111"/>
      <c r="EF21101"/>
      <c r="EG21101"/>
      <c r="EH21101"/>
      <c r="EI21101"/>
      <c r="EJ21101"/>
      <c r="EK21101"/>
    </row>
    <row r="21102" spans="1:141" s="116" customFormat="1">
      <c r="A21102" s="136"/>
      <c r="CM21102" s="111"/>
      <c r="CQ21102" s="111"/>
      <c r="EF21102"/>
      <c r="EG21102"/>
      <c r="EH21102"/>
      <c r="EI21102"/>
      <c r="EJ21102"/>
      <c r="EK21102"/>
    </row>
    <row r="21103" spans="1:141" s="116" customFormat="1">
      <c r="A21103" s="136"/>
      <c r="CM21103" s="111"/>
      <c r="CQ21103" s="111"/>
      <c r="EF21103"/>
      <c r="EG21103"/>
      <c r="EH21103"/>
      <c r="EI21103"/>
      <c r="EJ21103"/>
      <c r="EK21103"/>
    </row>
    <row r="21104" spans="1:141" s="116" customFormat="1">
      <c r="A21104" s="136"/>
      <c r="CM21104" s="111"/>
      <c r="CQ21104" s="111"/>
      <c r="EF21104"/>
      <c r="EG21104"/>
      <c r="EH21104"/>
      <c r="EI21104"/>
      <c r="EJ21104"/>
      <c r="EK21104"/>
    </row>
    <row r="21105" spans="1:141" s="116" customFormat="1">
      <c r="A21105" s="136"/>
      <c r="CM21105" s="111"/>
      <c r="CQ21105" s="111"/>
      <c r="EF21105"/>
      <c r="EG21105"/>
      <c r="EH21105"/>
      <c r="EI21105"/>
      <c r="EJ21105"/>
      <c r="EK21105"/>
    </row>
    <row r="21106" spans="1:141" s="116" customFormat="1">
      <c r="A21106" s="136"/>
      <c r="CM21106" s="111"/>
      <c r="CQ21106" s="111"/>
      <c r="EF21106"/>
      <c r="EG21106"/>
      <c r="EH21106"/>
      <c r="EI21106"/>
      <c r="EJ21106"/>
      <c r="EK21106"/>
    </row>
    <row r="21107" spans="1:141" s="116" customFormat="1">
      <c r="A21107" s="136"/>
      <c r="CM21107" s="111"/>
      <c r="CQ21107" s="111"/>
      <c r="EF21107"/>
      <c r="EG21107"/>
      <c r="EH21107"/>
      <c r="EI21107"/>
      <c r="EJ21107"/>
      <c r="EK21107"/>
    </row>
    <row r="21108" spans="1:141" s="116" customFormat="1">
      <c r="A21108" s="136"/>
      <c r="CM21108" s="111"/>
      <c r="CQ21108" s="111"/>
      <c r="EF21108"/>
      <c r="EG21108"/>
      <c r="EH21108"/>
      <c r="EI21108"/>
      <c r="EJ21108"/>
      <c r="EK21108"/>
    </row>
    <row r="21109" spans="1:141" s="116" customFormat="1">
      <c r="A21109" s="136"/>
      <c r="CM21109" s="111"/>
      <c r="CQ21109" s="111"/>
      <c r="EF21109"/>
      <c r="EG21109"/>
      <c r="EH21109"/>
      <c r="EI21109"/>
      <c r="EJ21109"/>
      <c r="EK21109"/>
    </row>
    <row r="21110" spans="1:141" s="116" customFormat="1">
      <c r="A21110" s="136"/>
      <c r="CM21110" s="111"/>
      <c r="CQ21110" s="111"/>
      <c r="EF21110"/>
      <c r="EG21110"/>
      <c r="EH21110"/>
      <c r="EI21110"/>
      <c r="EJ21110"/>
      <c r="EK21110"/>
    </row>
    <row r="21111" spans="1:141" s="116" customFormat="1">
      <c r="A21111" s="136"/>
      <c r="CM21111" s="111"/>
      <c r="CQ21111" s="111"/>
      <c r="EF21111"/>
      <c r="EG21111"/>
      <c r="EH21111"/>
      <c r="EI21111"/>
      <c r="EJ21111"/>
      <c r="EK21111"/>
    </row>
    <row r="21112" spans="1:141" s="116" customFormat="1">
      <c r="A21112" s="136"/>
      <c r="CM21112" s="111"/>
      <c r="CQ21112" s="111"/>
      <c r="EF21112"/>
      <c r="EG21112"/>
      <c r="EH21112"/>
      <c r="EI21112"/>
      <c r="EJ21112"/>
      <c r="EK21112"/>
    </row>
    <row r="21113" spans="1:141" s="116" customFormat="1">
      <c r="A21113" s="136"/>
      <c r="CM21113" s="111"/>
      <c r="CQ21113" s="111"/>
      <c r="EF21113"/>
      <c r="EG21113"/>
      <c r="EH21113"/>
      <c r="EI21113"/>
      <c r="EJ21113"/>
      <c r="EK21113"/>
    </row>
    <row r="21114" spans="1:141" s="116" customFormat="1">
      <c r="A21114" s="136"/>
      <c r="CM21114" s="111"/>
      <c r="CQ21114" s="111"/>
      <c r="EF21114"/>
      <c r="EG21114"/>
      <c r="EH21114"/>
      <c r="EI21114"/>
      <c r="EJ21114"/>
      <c r="EK21114"/>
    </row>
    <row r="21115" spans="1:141" s="116" customFormat="1">
      <c r="A21115" s="136"/>
      <c r="CM21115" s="111"/>
      <c r="CQ21115" s="111"/>
      <c r="EF21115"/>
      <c r="EG21115"/>
      <c r="EH21115"/>
      <c r="EI21115"/>
      <c r="EJ21115"/>
      <c r="EK21115"/>
    </row>
    <row r="21116" spans="1:141" s="116" customFormat="1">
      <c r="A21116" s="136"/>
      <c r="CM21116" s="111"/>
      <c r="CQ21116" s="111"/>
      <c r="EF21116"/>
      <c r="EG21116"/>
      <c r="EH21116"/>
      <c r="EI21116"/>
      <c r="EJ21116"/>
      <c r="EK21116"/>
    </row>
    <row r="21117" spans="1:141" s="116" customFormat="1">
      <c r="A21117" s="136"/>
      <c r="CM21117" s="111"/>
      <c r="CQ21117" s="111"/>
      <c r="EF21117"/>
      <c r="EG21117"/>
      <c r="EH21117"/>
      <c r="EI21117"/>
      <c r="EJ21117"/>
      <c r="EK21117"/>
    </row>
    <row r="21118" spans="1:141" s="116" customFormat="1">
      <c r="A21118" s="136"/>
      <c r="CM21118" s="111"/>
      <c r="CQ21118" s="111"/>
      <c r="EF21118"/>
      <c r="EG21118"/>
      <c r="EH21118"/>
      <c r="EI21118"/>
      <c r="EJ21118"/>
      <c r="EK21118"/>
    </row>
    <row r="21119" spans="1:141" s="116" customFormat="1">
      <c r="A21119" s="136"/>
      <c r="CM21119" s="111"/>
      <c r="CQ21119" s="111"/>
      <c r="EF21119"/>
      <c r="EG21119"/>
      <c r="EH21119"/>
      <c r="EI21119"/>
      <c r="EJ21119"/>
      <c r="EK21119"/>
    </row>
    <row r="21120" spans="1:141" s="116" customFormat="1">
      <c r="A21120" s="136"/>
      <c r="CM21120" s="111"/>
      <c r="CQ21120" s="111"/>
      <c r="EF21120"/>
      <c r="EG21120"/>
      <c r="EH21120"/>
      <c r="EI21120"/>
      <c r="EJ21120"/>
      <c r="EK21120"/>
    </row>
    <row r="21121" spans="1:141" s="116" customFormat="1">
      <c r="A21121" s="136"/>
      <c r="CM21121" s="111"/>
      <c r="CQ21121" s="111"/>
      <c r="EF21121"/>
      <c r="EG21121"/>
      <c r="EH21121"/>
      <c r="EI21121"/>
      <c r="EJ21121"/>
      <c r="EK21121"/>
    </row>
    <row r="21122" spans="1:141" s="116" customFormat="1">
      <c r="A21122" s="136"/>
      <c r="CM21122" s="111"/>
      <c r="CQ21122" s="111"/>
      <c r="EF21122"/>
      <c r="EG21122"/>
      <c r="EH21122"/>
      <c r="EI21122"/>
      <c r="EJ21122"/>
      <c r="EK21122"/>
    </row>
    <row r="21123" spans="1:141" s="116" customFormat="1">
      <c r="A21123" s="136"/>
      <c r="CM21123" s="111"/>
      <c r="CQ21123" s="111"/>
      <c r="EF21123"/>
      <c r="EG21123"/>
      <c r="EH21123"/>
      <c r="EI21123"/>
      <c r="EJ21123"/>
      <c r="EK21123"/>
    </row>
    <row r="21124" spans="1:141" s="116" customFormat="1">
      <c r="A21124" s="136"/>
      <c r="CM21124" s="111"/>
      <c r="CQ21124" s="111"/>
      <c r="EF21124"/>
      <c r="EG21124"/>
      <c r="EH21124"/>
      <c r="EI21124"/>
      <c r="EJ21124"/>
      <c r="EK21124"/>
    </row>
    <row r="21125" spans="1:141" s="116" customFormat="1">
      <c r="A21125" s="136"/>
      <c r="CM21125" s="111"/>
      <c r="CQ21125" s="111"/>
      <c r="EF21125"/>
      <c r="EG21125"/>
      <c r="EH21125"/>
      <c r="EI21125"/>
      <c r="EJ21125"/>
      <c r="EK21125"/>
    </row>
    <row r="21126" spans="1:141" s="116" customFormat="1">
      <c r="A21126" s="136"/>
      <c r="CM21126" s="111"/>
      <c r="CQ21126" s="111"/>
      <c r="EF21126"/>
      <c r="EG21126"/>
      <c r="EH21126"/>
      <c r="EI21126"/>
      <c r="EJ21126"/>
      <c r="EK21126"/>
    </row>
    <row r="21127" spans="1:141" s="116" customFormat="1">
      <c r="A21127" s="136"/>
      <c r="CM21127" s="111"/>
      <c r="CQ21127" s="111"/>
      <c r="EF21127"/>
      <c r="EG21127"/>
      <c r="EH21127"/>
      <c r="EI21127"/>
      <c r="EJ21127"/>
      <c r="EK21127"/>
    </row>
    <row r="21128" spans="1:141" s="116" customFormat="1">
      <c r="A21128" s="136"/>
      <c r="CM21128" s="111"/>
      <c r="CQ21128" s="111"/>
      <c r="EF21128"/>
      <c r="EG21128"/>
      <c r="EH21128"/>
      <c r="EI21128"/>
      <c r="EJ21128"/>
      <c r="EK21128"/>
    </row>
    <row r="21129" spans="1:141" s="116" customFormat="1">
      <c r="A21129" s="136"/>
      <c r="CM21129" s="111"/>
      <c r="CQ21129" s="111"/>
      <c r="EF21129"/>
      <c r="EG21129"/>
      <c r="EH21129"/>
      <c r="EI21129"/>
      <c r="EJ21129"/>
      <c r="EK21129"/>
    </row>
    <row r="21130" spans="1:141" s="116" customFormat="1">
      <c r="A21130" s="136"/>
      <c r="CM21130" s="111"/>
      <c r="CQ21130" s="111"/>
      <c r="EF21130"/>
      <c r="EG21130"/>
      <c r="EH21130"/>
      <c r="EI21130"/>
      <c r="EJ21130"/>
      <c r="EK21130"/>
    </row>
    <row r="21131" spans="1:141" s="116" customFormat="1">
      <c r="A21131" s="136"/>
      <c r="CM21131" s="111"/>
      <c r="CQ21131" s="111"/>
      <c r="EF21131"/>
      <c r="EG21131"/>
      <c r="EH21131"/>
      <c r="EI21131"/>
      <c r="EJ21131"/>
      <c r="EK21131"/>
    </row>
    <row r="21132" spans="1:141" s="116" customFormat="1">
      <c r="A21132" s="136"/>
      <c r="CM21132" s="111"/>
      <c r="CQ21132" s="111"/>
      <c r="EF21132"/>
      <c r="EG21132"/>
      <c r="EH21132"/>
      <c r="EI21132"/>
      <c r="EJ21132"/>
      <c r="EK21132"/>
    </row>
    <row r="21133" spans="1:141" s="116" customFormat="1">
      <c r="A21133" s="136"/>
      <c r="CM21133" s="111"/>
      <c r="CQ21133" s="111"/>
      <c r="EF21133"/>
      <c r="EG21133"/>
      <c r="EH21133"/>
      <c r="EI21133"/>
      <c r="EJ21133"/>
      <c r="EK21133"/>
    </row>
    <row r="21134" spans="1:141" s="116" customFormat="1">
      <c r="A21134" s="136"/>
      <c r="CM21134" s="111"/>
      <c r="CQ21134" s="111"/>
      <c r="EF21134"/>
      <c r="EG21134"/>
      <c r="EH21134"/>
      <c r="EI21134"/>
      <c r="EJ21134"/>
      <c r="EK21134"/>
    </row>
    <row r="21135" spans="1:141" s="116" customFormat="1">
      <c r="A21135" s="136"/>
      <c r="CM21135" s="111"/>
      <c r="CQ21135" s="111"/>
      <c r="EF21135"/>
      <c r="EG21135"/>
      <c r="EH21135"/>
      <c r="EI21135"/>
      <c r="EJ21135"/>
      <c r="EK21135"/>
    </row>
    <row r="21136" spans="1:141" s="116" customFormat="1">
      <c r="A21136" s="136"/>
      <c r="CM21136" s="111"/>
      <c r="CQ21136" s="111"/>
      <c r="EF21136"/>
      <c r="EG21136"/>
      <c r="EH21136"/>
      <c r="EI21136"/>
      <c r="EJ21136"/>
      <c r="EK21136"/>
    </row>
    <row r="21137" spans="1:141" s="116" customFormat="1">
      <c r="A21137" s="136"/>
      <c r="CM21137" s="111"/>
      <c r="CQ21137" s="111"/>
      <c r="EF21137"/>
      <c r="EG21137"/>
      <c r="EH21137"/>
      <c r="EI21137"/>
      <c r="EJ21137"/>
      <c r="EK21137"/>
    </row>
    <row r="21138" spans="1:141" s="116" customFormat="1">
      <c r="A21138" s="136"/>
      <c r="CM21138" s="111"/>
      <c r="CQ21138" s="111"/>
      <c r="EF21138"/>
      <c r="EG21138"/>
      <c r="EH21138"/>
      <c r="EI21138"/>
      <c r="EJ21138"/>
      <c r="EK21138"/>
    </row>
    <row r="21139" spans="1:141" s="116" customFormat="1">
      <c r="A21139" s="136"/>
      <c r="CM21139" s="111"/>
      <c r="CQ21139" s="111"/>
      <c r="EF21139"/>
      <c r="EG21139"/>
      <c r="EH21139"/>
      <c r="EI21139"/>
      <c r="EJ21139"/>
      <c r="EK21139"/>
    </row>
    <row r="21140" spans="1:141" s="116" customFormat="1">
      <c r="A21140" s="136"/>
      <c r="CM21140" s="111"/>
      <c r="CQ21140" s="111"/>
      <c r="EF21140"/>
      <c r="EG21140"/>
      <c r="EH21140"/>
      <c r="EI21140"/>
      <c r="EJ21140"/>
      <c r="EK21140"/>
    </row>
    <row r="21141" spans="1:141" s="116" customFormat="1">
      <c r="A21141" s="136"/>
      <c r="CM21141" s="111"/>
      <c r="CQ21141" s="111"/>
      <c r="EF21141"/>
      <c r="EG21141"/>
      <c r="EH21141"/>
      <c r="EI21141"/>
      <c r="EJ21141"/>
      <c r="EK21141"/>
    </row>
    <row r="21142" spans="1:141" s="116" customFormat="1">
      <c r="A21142" s="136"/>
      <c r="CM21142" s="111"/>
      <c r="CQ21142" s="111"/>
      <c r="EF21142"/>
      <c r="EG21142"/>
      <c r="EH21142"/>
      <c r="EI21142"/>
      <c r="EJ21142"/>
      <c r="EK21142"/>
    </row>
    <row r="21143" spans="1:141" s="116" customFormat="1">
      <c r="A21143" s="136"/>
      <c r="CM21143" s="111"/>
      <c r="CQ21143" s="111"/>
      <c r="EF21143"/>
      <c r="EG21143"/>
      <c r="EH21143"/>
      <c r="EI21143"/>
      <c r="EJ21143"/>
      <c r="EK21143"/>
    </row>
    <row r="21144" spans="1:141" s="116" customFormat="1">
      <c r="A21144" s="136"/>
      <c r="CM21144" s="111"/>
      <c r="CQ21144" s="111"/>
      <c r="EF21144"/>
      <c r="EG21144"/>
      <c r="EH21144"/>
      <c r="EI21144"/>
      <c r="EJ21144"/>
      <c r="EK21144"/>
    </row>
    <row r="21145" spans="1:141" s="116" customFormat="1">
      <c r="A21145" s="136"/>
      <c r="CM21145" s="111"/>
      <c r="CQ21145" s="111"/>
      <c r="EF21145"/>
      <c r="EG21145"/>
      <c r="EH21145"/>
      <c r="EI21145"/>
      <c r="EJ21145"/>
      <c r="EK21145"/>
    </row>
    <row r="21146" spans="1:141" s="116" customFormat="1">
      <c r="A21146" s="136"/>
      <c r="CM21146" s="111"/>
      <c r="CQ21146" s="111"/>
      <c r="EF21146"/>
      <c r="EG21146"/>
      <c r="EH21146"/>
      <c r="EI21146"/>
      <c r="EJ21146"/>
      <c r="EK21146"/>
    </row>
    <row r="21147" spans="1:141" s="116" customFormat="1">
      <c r="A21147" s="136"/>
      <c r="CM21147" s="111"/>
      <c r="CQ21147" s="111"/>
      <c r="EF21147"/>
      <c r="EG21147"/>
      <c r="EH21147"/>
      <c r="EI21147"/>
      <c r="EJ21147"/>
      <c r="EK21147"/>
    </row>
    <row r="21148" spans="1:141" s="116" customFormat="1">
      <c r="A21148" s="136"/>
      <c r="CM21148" s="111"/>
      <c r="CQ21148" s="111"/>
      <c r="EF21148"/>
      <c r="EG21148"/>
      <c r="EH21148"/>
      <c r="EI21148"/>
      <c r="EJ21148"/>
      <c r="EK21148"/>
    </row>
    <row r="21149" spans="1:141" s="116" customFormat="1">
      <c r="A21149" s="136"/>
      <c r="CM21149" s="111"/>
      <c r="CQ21149" s="111"/>
      <c r="EF21149"/>
      <c r="EG21149"/>
      <c r="EH21149"/>
      <c r="EI21149"/>
      <c r="EJ21149"/>
      <c r="EK21149"/>
    </row>
    <row r="21150" spans="1:141" s="116" customFormat="1">
      <c r="A21150" s="136"/>
      <c r="CM21150" s="111"/>
      <c r="CQ21150" s="111"/>
      <c r="EF21150"/>
      <c r="EG21150"/>
      <c r="EH21150"/>
      <c r="EI21150"/>
      <c r="EJ21150"/>
      <c r="EK21150"/>
    </row>
    <row r="21151" spans="1:141" s="116" customFormat="1">
      <c r="A21151" s="136"/>
      <c r="CM21151" s="111"/>
      <c r="CQ21151" s="111"/>
      <c r="EF21151"/>
      <c r="EG21151"/>
      <c r="EH21151"/>
      <c r="EI21151"/>
      <c r="EJ21151"/>
      <c r="EK21151"/>
    </row>
    <row r="21152" spans="1:141" s="116" customFormat="1">
      <c r="A21152" s="136"/>
      <c r="CM21152" s="111"/>
      <c r="CQ21152" s="111"/>
      <c r="EF21152"/>
      <c r="EG21152"/>
      <c r="EH21152"/>
      <c r="EI21152"/>
      <c r="EJ21152"/>
      <c r="EK21152"/>
    </row>
    <row r="21153" spans="1:141" s="116" customFormat="1">
      <c r="A21153" s="136"/>
      <c r="CM21153" s="111"/>
      <c r="CQ21153" s="111"/>
      <c r="EF21153"/>
      <c r="EG21153"/>
      <c r="EH21153"/>
      <c r="EI21153"/>
      <c r="EJ21153"/>
      <c r="EK21153"/>
    </row>
    <row r="21154" spans="1:141" s="116" customFormat="1">
      <c r="A21154" s="136"/>
      <c r="CM21154" s="111"/>
      <c r="CQ21154" s="111"/>
      <c r="EF21154"/>
      <c r="EG21154"/>
      <c r="EH21154"/>
      <c r="EI21154"/>
      <c r="EJ21154"/>
      <c r="EK21154"/>
    </row>
    <row r="21155" spans="1:141" s="116" customFormat="1">
      <c r="A21155" s="136"/>
      <c r="CM21155" s="111"/>
      <c r="CQ21155" s="111"/>
      <c r="EF21155"/>
      <c r="EG21155"/>
      <c r="EH21155"/>
      <c r="EI21155"/>
      <c r="EJ21155"/>
      <c r="EK21155"/>
    </row>
    <row r="21156" spans="1:141" s="116" customFormat="1">
      <c r="A21156" s="136"/>
      <c r="CM21156" s="111"/>
      <c r="CQ21156" s="111"/>
      <c r="EF21156"/>
      <c r="EG21156"/>
      <c r="EH21156"/>
      <c r="EI21156"/>
      <c r="EJ21156"/>
      <c r="EK21156"/>
    </row>
    <row r="21157" spans="1:141" s="116" customFormat="1">
      <c r="A21157" s="136"/>
      <c r="CM21157" s="111"/>
      <c r="CQ21157" s="111"/>
      <c r="EF21157"/>
      <c r="EG21157"/>
      <c r="EH21157"/>
      <c r="EI21157"/>
      <c r="EJ21157"/>
      <c r="EK21157"/>
    </row>
    <row r="21158" spans="1:141" s="116" customFormat="1">
      <c r="A21158" s="136"/>
      <c r="CM21158" s="111"/>
      <c r="CQ21158" s="111"/>
      <c r="EF21158"/>
      <c r="EG21158"/>
      <c r="EH21158"/>
      <c r="EI21158"/>
      <c r="EJ21158"/>
      <c r="EK21158"/>
    </row>
    <row r="21159" spans="1:141" s="116" customFormat="1">
      <c r="A21159" s="136"/>
      <c r="CM21159" s="111"/>
      <c r="CQ21159" s="111"/>
      <c r="EF21159"/>
      <c r="EG21159"/>
      <c r="EH21159"/>
      <c r="EI21159"/>
      <c r="EJ21159"/>
      <c r="EK21159"/>
    </row>
    <row r="21160" spans="1:141" s="116" customFormat="1">
      <c r="A21160" s="136"/>
      <c r="CM21160" s="111"/>
      <c r="CQ21160" s="111"/>
      <c r="EF21160"/>
      <c r="EG21160"/>
      <c r="EH21160"/>
      <c r="EI21160"/>
      <c r="EJ21160"/>
      <c r="EK21160"/>
    </row>
    <row r="21161" spans="1:141" s="116" customFormat="1">
      <c r="A21161" s="136"/>
      <c r="CM21161" s="111"/>
      <c r="CQ21161" s="111"/>
      <c r="EF21161"/>
      <c r="EG21161"/>
      <c r="EH21161"/>
      <c r="EI21161"/>
      <c r="EJ21161"/>
      <c r="EK21161"/>
    </row>
    <row r="21162" spans="1:141" s="116" customFormat="1">
      <c r="A21162" s="136"/>
      <c r="CM21162" s="111"/>
      <c r="CQ21162" s="111"/>
      <c r="EF21162"/>
      <c r="EG21162"/>
      <c r="EH21162"/>
      <c r="EI21162"/>
      <c r="EJ21162"/>
      <c r="EK21162"/>
    </row>
    <row r="21163" spans="1:141" s="116" customFormat="1">
      <c r="A21163" s="136"/>
      <c r="CM21163" s="111"/>
      <c r="CQ21163" s="111"/>
      <c r="EF21163"/>
      <c r="EG21163"/>
      <c r="EH21163"/>
      <c r="EI21163"/>
      <c r="EJ21163"/>
      <c r="EK21163"/>
    </row>
    <row r="21164" spans="1:141" s="116" customFormat="1">
      <c r="A21164" s="136"/>
      <c r="CM21164" s="111"/>
      <c r="CQ21164" s="111"/>
      <c r="EF21164"/>
      <c r="EG21164"/>
      <c r="EH21164"/>
      <c r="EI21164"/>
      <c r="EJ21164"/>
      <c r="EK21164"/>
    </row>
    <row r="21165" spans="1:141" s="116" customFormat="1">
      <c r="A21165" s="136"/>
      <c r="CM21165" s="111"/>
      <c r="CQ21165" s="111"/>
      <c r="EF21165"/>
      <c r="EG21165"/>
      <c r="EH21165"/>
      <c r="EI21165"/>
      <c r="EJ21165"/>
      <c r="EK21165"/>
    </row>
    <row r="21166" spans="1:141" s="116" customFormat="1">
      <c r="A21166" s="136"/>
      <c r="CM21166" s="111"/>
      <c r="CQ21166" s="111"/>
      <c r="EF21166"/>
      <c r="EG21166"/>
      <c r="EH21166"/>
      <c r="EI21166"/>
      <c r="EJ21166"/>
      <c r="EK21166"/>
    </row>
    <row r="21167" spans="1:141" s="116" customFormat="1">
      <c r="A21167" s="136"/>
      <c r="CM21167" s="111"/>
      <c r="CQ21167" s="111"/>
      <c r="EF21167"/>
      <c r="EG21167"/>
      <c r="EH21167"/>
      <c r="EI21167"/>
      <c r="EJ21167"/>
      <c r="EK21167"/>
    </row>
    <row r="21168" spans="1:141" s="116" customFormat="1">
      <c r="A21168" s="136"/>
      <c r="CM21168" s="111"/>
      <c r="CQ21168" s="111"/>
      <c r="EF21168"/>
      <c r="EG21168"/>
      <c r="EH21168"/>
      <c r="EI21168"/>
      <c r="EJ21168"/>
      <c r="EK21168"/>
    </row>
    <row r="21169" spans="1:141" s="116" customFormat="1">
      <c r="A21169" s="136"/>
      <c r="CM21169" s="111"/>
      <c r="CQ21169" s="111"/>
      <c r="EF21169"/>
      <c r="EG21169"/>
      <c r="EH21169"/>
      <c r="EI21169"/>
      <c r="EJ21169"/>
      <c r="EK21169"/>
    </row>
    <row r="21170" spans="1:141" s="116" customFormat="1">
      <c r="A21170" s="136"/>
      <c r="CM21170" s="111"/>
      <c r="CQ21170" s="111"/>
      <c r="EF21170"/>
      <c r="EG21170"/>
      <c r="EH21170"/>
      <c r="EI21170"/>
      <c r="EJ21170"/>
      <c r="EK21170"/>
    </row>
    <row r="21171" spans="1:141" s="116" customFormat="1">
      <c r="A21171" s="136"/>
      <c r="CM21171" s="111"/>
      <c r="CQ21171" s="111"/>
      <c r="EF21171"/>
      <c r="EG21171"/>
      <c r="EH21171"/>
      <c r="EI21171"/>
      <c r="EJ21171"/>
      <c r="EK21171"/>
    </row>
    <row r="21172" spans="1:141" s="116" customFormat="1">
      <c r="A21172" s="136"/>
      <c r="CM21172" s="111"/>
      <c r="CQ21172" s="111"/>
      <c r="EF21172"/>
      <c r="EG21172"/>
      <c r="EH21172"/>
      <c r="EI21172"/>
      <c r="EJ21172"/>
      <c r="EK21172"/>
    </row>
    <row r="21173" spans="1:141" s="116" customFormat="1">
      <c r="A21173" s="136"/>
      <c r="CM21173" s="111"/>
      <c r="CQ21173" s="111"/>
      <c r="EF21173"/>
      <c r="EG21173"/>
      <c r="EH21173"/>
      <c r="EI21173"/>
      <c r="EJ21173"/>
      <c r="EK21173"/>
    </row>
    <row r="21174" spans="1:141" s="116" customFormat="1">
      <c r="A21174" s="136"/>
      <c r="CM21174" s="111"/>
      <c r="CQ21174" s="111"/>
      <c r="EF21174"/>
      <c r="EG21174"/>
      <c r="EH21174"/>
      <c r="EI21174"/>
      <c r="EJ21174"/>
      <c r="EK21174"/>
    </row>
    <row r="21175" spans="1:141" s="116" customFormat="1">
      <c r="A21175" s="136"/>
      <c r="CM21175" s="111"/>
      <c r="CQ21175" s="111"/>
      <c r="EF21175"/>
      <c r="EG21175"/>
      <c r="EH21175"/>
      <c r="EI21175"/>
      <c r="EJ21175"/>
      <c r="EK21175"/>
    </row>
    <row r="21176" spans="1:141" s="116" customFormat="1">
      <c r="A21176" s="136"/>
      <c r="CM21176" s="111"/>
      <c r="CQ21176" s="111"/>
      <c r="EF21176"/>
      <c r="EG21176"/>
      <c r="EH21176"/>
      <c r="EI21176"/>
      <c r="EJ21176"/>
      <c r="EK21176"/>
    </row>
    <row r="21177" spans="1:141" s="116" customFormat="1">
      <c r="A21177" s="136"/>
      <c r="CM21177" s="111"/>
      <c r="CQ21177" s="111"/>
      <c r="EF21177"/>
      <c r="EG21177"/>
      <c r="EH21177"/>
      <c r="EI21177"/>
      <c r="EJ21177"/>
      <c r="EK21177"/>
    </row>
    <row r="21178" spans="1:141" s="116" customFormat="1">
      <c r="A21178" s="136"/>
      <c r="CM21178" s="111"/>
      <c r="CQ21178" s="111"/>
      <c r="EF21178"/>
      <c r="EG21178"/>
      <c r="EH21178"/>
      <c r="EI21178"/>
      <c r="EJ21178"/>
      <c r="EK21178"/>
    </row>
    <row r="21179" spans="1:141" s="116" customFormat="1">
      <c r="A21179" s="136"/>
      <c r="CM21179" s="111"/>
      <c r="CQ21179" s="111"/>
      <c r="EF21179"/>
      <c r="EG21179"/>
      <c r="EH21179"/>
      <c r="EI21179"/>
      <c r="EJ21179"/>
      <c r="EK21179"/>
    </row>
    <row r="21180" spans="1:141" s="116" customFormat="1">
      <c r="A21180" s="136"/>
      <c r="CM21180" s="111"/>
      <c r="CQ21180" s="111"/>
      <c r="EF21180"/>
      <c r="EG21180"/>
      <c r="EH21180"/>
      <c r="EI21180"/>
      <c r="EJ21180"/>
      <c r="EK21180"/>
    </row>
    <row r="21181" spans="1:141" s="116" customFormat="1">
      <c r="A21181" s="136"/>
      <c r="CM21181" s="111"/>
      <c r="CQ21181" s="111"/>
      <c r="EF21181"/>
      <c r="EG21181"/>
      <c r="EH21181"/>
      <c r="EI21181"/>
      <c r="EJ21181"/>
      <c r="EK21181"/>
    </row>
    <row r="21182" spans="1:141" s="116" customFormat="1">
      <c r="A21182" s="136"/>
      <c r="CM21182" s="111"/>
      <c r="CQ21182" s="111"/>
      <c r="EF21182"/>
      <c r="EG21182"/>
      <c r="EH21182"/>
      <c r="EI21182"/>
      <c r="EJ21182"/>
      <c r="EK21182"/>
    </row>
    <row r="21183" spans="1:141" s="116" customFormat="1">
      <c r="A21183" s="136"/>
      <c r="CM21183" s="111"/>
      <c r="CQ21183" s="111"/>
      <c r="EF21183"/>
      <c r="EG21183"/>
      <c r="EH21183"/>
      <c r="EI21183"/>
      <c r="EJ21183"/>
      <c r="EK21183"/>
    </row>
    <row r="21184" spans="1:141" s="116" customFormat="1">
      <c r="A21184" s="136"/>
      <c r="CM21184" s="111"/>
      <c r="CQ21184" s="111"/>
      <c r="EF21184"/>
      <c r="EG21184"/>
      <c r="EH21184"/>
      <c r="EI21184"/>
      <c r="EJ21184"/>
      <c r="EK21184"/>
    </row>
    <row r="21185" spans="1:141" s="116" customFormat="1">
      <c r="A21185" s="136"/>
      <c r="CM21185" s="111"/>
      <c r="CQ21185" s="111"/>
      <c r="EF21185"/>
      <c r="EG21185"/>
      <c r="EH21185"/>
      <c r="EI21185"/>
      <c r="EJ21185"/>
      <c r="EK21185"/>
    </row>
    <row r="21186" spans="1:141" s="116" customFormat="1">
      <c r="A21186" s="136"/>
      <c r="CM21186" s="111"/>
      <c r="CQ21186" s="111"/>
      <c r="EF21186"/>
      <c r="EG21186"/>
      <c r="EH21186"/>
      <c r="EI21186"/>
      <c r="EJ21186"/>
      <c r="EK21186"/>
    </row>
    <row r="21187" spans="1:141" s="116" customFormat="1">
      <c r="A21187" s="136"/>
      <c r="CM21187" s="111"/>
      <c r="CQ21187" s="111"/>
      <c r="EF21187"/>
      <c r="EG21187"/>
      <c r="EH21187"/>
      <c r="EI21187"/>
      <c r="EJ21187"/>
      <c r="EK21187"/>
    </row>
    <row r="21188" spans="1:141" s="116" customFormat="1">
      <c r="A21188" s="136"/>
      <c r="CM21188" s="111"/>
      <c r="CQ21188" s="111"/>
      <c r="EF21188"/>
      <c r="EG21188"/>
      <c r="EH21188"/>
      <c r="EI21188"/>
      <c r="EJ21188"/>
      <c r="EK21188"/>
    </row>
    <row r="21189" spans="1:141" s="116" customFormat="1">
      <c r="A21189" s="136"/>
      <c r="CM21189" s="111"/>
      <c r="CQ21189" s="111"/>
      <c r="EF21189"/>
      <c r="EG21189"/>
      <c r="EH21189"/>
      <c r="EI21189"/>
      <c r="EJ21189"/>
      <c r="EK21189"/>
    </row>
    <row r="21190" spans="1:141" s="116" customFormat="1">
      <c r="A21190" s="136"/>
      <c r="CM21190" s="111"/>
      <c r="CQ21190" s="111"/>
      <c r="EF21190"/>
      <c r="EG21190"/>
      <c r="EH21190"/>
      <c r="EI21190"/>
      <c r="EJ21190"/>
      <c r="EK21190"/>
    </row>
    <row r="21191" spans="1:141" s="116" customFormat="1">
      <c r="A21191" s="136"/>
      <c r="CM21191" s="111"/>
      <c r="CQ21191" s="111"/>
      <c r="EF21191"/>
      <c r="EG21191"/>
      <c r="EH21191"/>
      <c r="EI21191"/>
      <c r="EJ21191"/>
      <c r="EK21191"/>
    </row>
    <row r="21192" spans="1:141" s="116" customFormat="1">
      <c r="A21192" s="136"/>
      <c r="CM21192" s="111"/>
      <c r="CQ21192" s="111"/>
      <c r="EF21192"/>
      <c r="EG21192"/>
      <c r="EH21192"/>
      <c r="EI21192"/>
      <c r="EJ21192"/>
      <c r="EK21192"/>
    </row>
    <row r="21193" spans="1:141" s="116" customFormat="1">
      <c r="A21193" s="136"/>
      <c r="CM21193" s="111"/>
      <c r="CQ21193" s="111"/>
      <c r="EF21193"/>
      <c r="EG21193"/>
      <c r="EH21193"/>
      <c r="EI21193"/>
      <c r="EJ21193"/>
      <c r="EK21193"/>
    </row>
    <row r="21194" spans="1:141" s="116" customFormat="1">
      <c r="A21194" s="136"/>
      <c r="CM21194" s="111"/>
      <c r="CQ21194" s="111"/>
      <c r="EF21194"/>
      <c r="EG21194"/>
      <c r="EH21194"/>
      <c r="EI21194"/>
      <c r="EJ21194"/>
      <c r="EK21194"/>
    </row>
    <row r="21195" spans="1:141" s="116" customFormat="1">
      <c r="A21195" s="136"/>
      <c r="CM21195" s="111"/>
      <c r="CQ21195" s="111"/>
      <c r="EF21195"/>
      <c r="EG21195"/>
      <c r="EH21195"/>
      <c r="EI21195"/>
      <c r="EJ21195"/>
      <c r="EK21195"/>
    </row>
    <row r="21196" spans="1:141" s="116" customFormat="1">
      <c r="A21196" s="136"/>
      <c r="CM21196" s="111"/>
      <c r="CQ21196" s="111"/>
      <c r="EF21196"/>
      <c r="EG21196"/>
      <c r="EH21196"/>
      <c r="EI21196"/>
      <c r="EJ21196"/>
      <c r="EK21196"/>
    </row>
    <row r="21197" spans="1:141" s="116" customFormat="1">
      <c r="A21197" s="136"/>
      <c r="CM21197" s="111"/>
      <c r="CQ21197" s="111"/>
      <c r="EF21197"/>
      <c r="EG21197"/>
      <c r="EH21197"/>
      <c r="EI21197"/>
      <c r="EJ21197"/>
      <c r="EK21197"/>
    </row>
    <row r="21198" spans="1:141" s="116" customFormat="1">
      <c r="A21198" s="136"/>
      <c r="CM21198" s="111"/>
      <c r="CQ21198" s="111"/>
      <c r="EF21198"/>
      <c r="EG21198"/>
      <c r="EH21198"/>
      <c r="EI21198"/>
      <c r="EJ21198"/>
      <c r="EK21198"/>
    </row>
    <row r="21199" spans="1:141" s="116" customFormat="1">
      <c r="A21199" s="136"/>
      <c r="CM21199" s="111"/>
      <c r="CQ21199" s="111"/>
      <c r="EF21199"/>
      <c r="EG21199"/>
      <c r="EH21199"/>
      <c r="EI21199"/>
      <c r="EJ21199"/>
      <c r="EK21199"/>
    </row>
    <row r="21200" spans="1:141" s="116" customFormat="1">
      <c r="A21200" s="136"/>
      <c r="CM21200" s="111"/>
      <c r="CQ21200" s="111"/>
      <c r="EF21200"/>
      <c r="EG21200"/>
      <c r="EH21200"/>
      <c r="EI21200"/>
      <c r="EJ21200"/>
      <c r="EK21200"/>
    </row>
    <row r="21201" spans="1:141" s="116" customFormat="1">
      <c r="A21201" s="136"/>
      <c r="CM21201" s="111"/>
      <c r="CQ21201" s="111"/>
      <c r="EF21201"/>
      <c r="EG21201"/>
      <c r="EH21201"/>
      <c r="EI21201"/>
      <c r="EJ21201"/>
      <c r="EK21201"/>
    </row>
    <row r="21202" spans="1:141" s="116" customFormat="1">
      <c r="A21202" s="136"/>
      <c r="CM21202" s="111"/>
      <c r="CQ21202" s="111"/>
      <c r="EF21202"/>
      <c r="EG21202"/>
      <c r="EH21202"/>
      <c r="EI21202"/>
      <c r="EJ21202"/>
      <c r="EK21202"/>
    </row>
    <row r="21203" spans="1:141" s="116" customFormat="1">
      <c r="A21203" s="136"/>
      <c r="CM21203" s="111"/>
      <c r="CQ21203" s="111"/>
      <c r="EF21203"/>
      <c r="EG21203"/>
      <c r="EH21203"/>
      <c r="EI21203"/>
      <c r="EJ21203"/>
      <c r="EK21203"/>
    </row>
    <row r="21204" spans="1:141" s="116" customFormat="1">
      <c r="A21204" s="136"/>
      <c r="CM21204" s="111"/>
      <c r="CQ21204" s="111"/>
      <c r="EF21204"/>
      <c r="EG21204"/>
      <c r="EH21204"/>
      <c r="EI21204"/>
      <c r="EJ21204"/>
      <c r="EK21204"/>
    </row>
    <row r="21205" spans="1:141" s="116" customFormat="1">
      <c r="A21205" s="136"/>
      <c r="CM21205" s="111"/>
      <c r="CQ21205" s="111"/>
      <c r="EF21205"/>
      <c r="EG21205"/>
      <c r="EH21205"/>
      <c r="EI21205"/>
      <c r="EJ21205"/>
      <c r="EK21205"/>
    </row>
    <row r="21206" spans="1:141" s="116" customFormat="1">
      <c r="A21206" s="136"/>
      <c r="CM21206" s="111"/>
      <c r="CQ21206" s="111"/>
      <c r="EF21206"/>
      <c r="EG21206"/>
      <c r="EH21206"/>
      <c r="EI21206"/>
      <c r="EJ21206"/>
      <c r="EK21206"/>
    </row>
    <row r="21207" spans="1:141" s="116" customFormat="1">
      <c r="A21207" s="136"/>
      <c r="CM21207" s="111"/>
      <c r="CQ21207" s="111"/>
      <c r="EF21207"/>
      <c r="EG21207"/>
      <c r="EH21207"/>
      <c r="EI21207"/>
      <c r="EJ21207"/>
      <c r="EK21207"/>
    </row>
    <row r="21208" spans="1:141" s="116" customFormat="1">
      <c r="A21208" s="136"/>
      <c r="CM21208" s="111"/>
      <c r="CQ21208" s="111"/>
      <c r="EF21208"/>
      <c r="EG21208"/>
      <c r="EH21208"/>
      <c r="EI21208"/>
      <c r="EJ21208"/>
      <c r="EK21208"/>
    </row>
    <row r="21209" spans="1:141" s="116" customFormat="1">
      <c r="A21209" s="136"/>
      <c r="CM21209" s="111"/>
      <c r="CQ21209" s="111"/>
      <c r="EF21209"/>
      <c r="EG21209"/>
      <c r="EH21209"/>
      <c r="EI21209"/>
      <c r="EJ21209"/>
      <c r="EK21209"/>
    </row>
    <row r="21210" spans="1:141" s="116" customFormat="1">
      <c r="A21210" s="136"/>
      <c r="CM21210" s="111"/>
      <c r="CQ21210" s="111"/>
      <c r="EF21210"/>
      <c r="EG21210"/>
      <c r="EH21210"/>
      <c r="EI21210"/>
      <c r="EJ21210"/>
      <c r="EK21210"/>
    </row>
    <row r="21211" spans="1:141" s="116" customFormat="1">
      <c r="A21211" s="136"/>
      <c r="CM21211" s="111"/>
      <c r="CQ21211" s="111"/>
      <c r="EF21211"/>
      <c r="EG21211"/>
      <c r="EH21211"/>
      <c r="EI21211"/>
      <c r="EJ21211"/>
      <c r="EK21211"/>
    </row>
    <row r="21212" spans="1:141" s="116" customFormat="1">
      <c r="A21212" s="136"/>
      <c r="CM21212" s="111"/>
      <c r="CQ21212" s="111"/>
      <c r="EF21212"/>
      <c r="EG21212"/>
      <c r="EH21212"/>
      <c r="EI21212"/>
      <c r="EJ21212"/>
      <c r="EK21212"/>
    </row>
    <row r="21213" spans="1:141" s="116" customFormat="1">
      <c r="A21213" s="136"/>
      <c r="CM21213" s="111"/>
      <c r="CQ21213" s="111"/>
      <c r="EF21213"/>
      <c r="EG21213"/>
      <c r="EH21213"/>
      <c r="EI21213"/>
      <c r="EJ21213"/>
      <c r="EK21213"/>
    </row>
    <row r="21214" spans="1:141" s="116" customFormat="1">
      <c r="A21214" s="136"/>
      <c r="CM21214" s="111"/>
      <c r="CQ21214" s="111"/>
      <c r="EF21214"/>
      <c r="EG21214"/>
      <c r="EH21214"/>
      <c r="EI21214"/>
      <c r="EJ21214"/>
      <c r="EK21214"/>
    </row>
    <row r="21215" spans="1:141" s="116" customFormat="1">
      <c r="A21215" s="136"/>
      <c r="CM21215" s="111"/>
      <c r="CQ21215" s="111"/>
      <c r="EF21215"/>
      <c r="EG21215"/>
      <c r="EH21215"/>
      <c r="EI21215"/>
      <c r="EJ21215"/>
      <c r="EK21215"/>
    </row>
    <row r="21216" spans="1:141" s="116" customFormat="1">
      <c r="A21216" s="136"/>
      <c r="CM21216" s="111"/>
      <c r="CQ21216" s="111"/>
      <c r="EF21216"/>
      <c r="EG21216"/>
      <c r="EH21216"/>
      <c r="EI21216"/>
      <c r="EJ21216"/>
      <c r="EK21216"/>
    </row>
    <row r="21217" spans="1:141" s="116" customFormat="1">
      <c r="A21217" s="136"/>
      <c r="CM21217" s="111"/>
      <c r="CQ21217" s="111"/>
      <c r="EF21217"/>
      <c r="EG21217"/>
      <c r="EH21217"/>
      <c r="EI21217"/>
      <c r="EJ21217"/>
      <c r="EK21217"/>
    </row>
    <row r="21218" spans="1:141" s="116" customFormat="1">
      <c r="A21218" s="136"/>
      <c r="CM21218" s="111"/>
      <c r="CQ21218" s="111"/>
      <c r="EF21218"/>
      <c r="EG21218"/>
      <c r="EH21218"/>
      <c r="EI21218"/>
      <c r="EJ21218"/>
      <c r="EK21218"/>
    </row>
    <row r="21219" spans="1:141" s="116" customFormat="1">
      <c r="A21219" s="136"/>
      <c r="CM21219" s="111"/>
      <c r="CQ21219" s="111"/>
      <c r="EF21219"/>
      <c r="EG21219"/>
      <c r="EH21219"/>
      <c r="EI21219"/>
      <c r="EJ21219"/>
      <c r="EK21219"/>
    </row>
    <row r="21220" spans="1:141" s="116" customFormat="1">
      <c r="A21220" s="136"/>
      <c r="CM21220" s="111"/>
      <c r="CQ21220" s="111"/>
      <c r="EF21220"/>
      <c r="EG21220"/>
      <c r="EH21220"/>
      <c r="EI21220"/>
      <c r="EJ21220"/>
      <c r="EK21220"/>
    </row>
    <row r="21221" spans="1:141" s="116" customFormat="1">
      <c r="A21221" s="136"/>
      <c r="CM21221" s="111"/>
      <c r="CQ21221" s="111"/>
      <c r="EF21221"/>
      <c r="EG21221"/>
      <c r="EH21221"/>
      <c r="EI21221"/>
      <c r="EJ21221"/>
      <c r="EK21221"/>
    </row>
    <row r="21222" spans="1:141" s="116" customFormat="1">
      <c r="A21222" s="136"/>
      <c r="CM21222" s="111"/>
      <c r="CQ21222" s="111"/>
      <c r="EF21222"/>
      <c r="EG21222"/>
      <c r="EH21222"/>
      <c r="EI21222"/>
      <c r="EJ21222"/>
      <c r="EK21222"/>
    </row>
    <row r="21223" spans="1:141" s="116" customFormat="1">
      <c r="A21223" s="136"/>
      <c r="CM21223" s="111"/>
      <c r="CQ21223" s="111"/>
      <c r="EF21223"/>
      <c r="EG21223"/>
      <c r="EH21223"/>
      <c r="EI21223"/>
      <c r="EJ21223"/>
      <c r="EK21223"/>
    </row>
    <row r="21224" spans="1:141" s="116" customFormat="1">
      <c r="A21224" s="136"/>
      <c r="CM21224" s="111"/>
      <c r="CQ21224" s="111"/>
      <c r="EF21224"/>
      <c r="EG21224"/>
      <c r="EH21224"/>
      <c r="EI21224"/>
      <c r="EJ21224"/>
      <c r="EK21224"/>
    </row>
    <row r="21225" spans="1:141" s="116" customFormat="1">
      <c r="A21225" s="136"/>
      <c r="CM21225" s="111"/>
      <c r="CQ21225" s="111"/>
      <c r="EF21225"/>
      <c r="EG21225"/>
      <c r="EH21225"/>
      <c r="EI21225"/>
      <c r="EJ21225"/>
      <c r="EK21225"/>
    </row>
    <row r="21226" spans="1:141" s="116" customFormat="1">
      <c r="A21226" s="136"/>
      <c r="CM21226" s="111"/>
      <c r="CQ21226" s="111"/>
      <c r="EF21226"/>
      <c r="EG21226"/>
      <c r="EH21226"/>
      <c r="EI21226"/>
      <c r="EJ21226"/>
      <c r="EK21226"/>
    </row>
    <row r="21227" spans="1:141" s="116" customFormat="1">
      <c r="A21227" s="136"/>
      <c r="CM21227" s="111"/>
      <c r="CQ21227" s="111"/>
      <c r="EF21227"/>
      <c r="EG21227"/>
      <c r="EH21227"/>
      <c r="EI21227"/>
      <c r="EJ21227"/>
      <c r="EK21227"/>
    </row>
    <row r="21228" spans="1:141" s="116" customFormat="1">
      <c r="A21228" s="136"/>
      <c r="CM21228" s="111"/>
      <c r="CQ21228" s="111"/>
      <c r="EF21228"/>
      <c r="EG21228"/>
      <c r="EH21228"/>
      <c r="EI21228"/>
      <c r="EJ21228"/>
      <c r="EK21228"/>
    </row>
    <row r="21229" spans="1:141" s="116" customFormat="1">
      <c r="A21229" s="136"/>
      <c r="CM21229" s="111"/>
      <c r="CQ21229" s="111"/>
      <c r="EF21229"/>
      <c r="EG21229"/>
      <c r="EH21229"/>
      <c r="EI21229"/>
      <c r="EJ21229"/>
      <c r="EK21229"/>
    </row>
    <row r="21230" spans="1:141" s="116" customFormat="1">
      <c r="A21230" s="136"/>
      <c r="CM21230" s="111"/>
      <c r="CQ21230" s="111"/>
      <c r="EF21230"/>
      <c r="EG21230"/>
      <c r="EH21230"/>
      <c r="EI21230"/>
      <c r="EJ21230"/>
      <c r="EK21230"/>
    </row>
    <row r="21231" spans="1:141" s="116" customFormat="1">
      <c r="A21231" s="136"/>
      <c r="CM21231" s="111"/>
      <c r="CQ21231" s="111"/>
      <c r="EF21231"/>
      <c r="EG21231"/>
      <c r="EH21231"/>
      <c r="EI21231"/>
      <c r="EJ21231"/>
      <c r="EK21231"/>
    </row>
    <row r="21232" spans="1:141" s="116" customFormat="1">
      <c r="A21232" s="136"/>
      <c r="CM21232" s="111"/>
      <c r="CQ21232" s="111"/>
      <c r="EF21232"/>
      <c r="EG21232"/>
      <c r="EH21232"/>
      <c r="EI21232"/>
      <c r="EJ21232"/>
      <c r="EK21232"/>
    </row>
    <row r="21233" spans="1:141" s="116" customFormat="1">
      <c r="A21233" s="136"/>
      <c r="CM21233" s="111"/>
      <c r="CQ21233" s="111"/>
      <c r="EF21233"/>
      <c r="EG21233"/>
      <c r="EH21233"/>
      <c r="EI21233"/>
      <c r="EJ21233"/>
      <c r="EK21233"/>
    </row>
    <row r="21234" spans="1:141" s="116" customFormat="1">
      <c r="A21234" s="136"/>
      <c r="CM21234" s="111"/>
      <c r="CQ21234" s="111"/>
      <c r="EF21234"/>
      <c r="EG21234"/>
      <c r="EH21234"/>
      <c r="EI21234"/>
      <c r="EJ21234"/>
      <c r="EK21234"/>
    </row>
    <row r="21235" spans="1:141" s="116" customFormat="1">
      <c r="A21235" s="136"/>
      <c r="CM21235" s="111"/>
      <c r="CQ21235" s="111"/>
      <c r="EF21235"/>
      <c r="EG21235"/>
      <c r="EH21235"/>
      <c r="EI21235"/>
      <c r="EJ21235"/>
      <c r="EK21235"/>
    </row>
    <row r="21236" spans="1:141" s="116" customFormat="1">
      <c r="A21236" s="136"/>
      <c r="CM21236" s="111"/>
      <c r="CQ21236" s="111"/>
      <c r="EF21236"/>
      <c r="EG21236"/>
      <c r="EH21236"/>
      <c r="EI21236"/>
      <c r="EJ21236"/>
      <c r="EK21236"/>
    </row>
    <row r="21237" spans="1:141" s="116" customFormat="1">
      <c r="A21237" s="136"/>
      <c r="CM21237" s="111"/>
      <c r="CQ21237" s="111"/>
      <c r="EF21237"/>
      <c r="EG21237"/>
      <c r="EH21237"/>
      <c r="EI21237"/>
      <c r="EJ21237"/>
      <c r="EK21237"/>
    </row>
    <row r="21238" spans="1:141" s="116" customFormat="1">
      <c r="A21238" s="136"/>
      <c r="CM21238" s="111"/>
      <c r="CQ21238" s="111"/>
      <c r="EF21238"/>
      <c r="EG21238"/>
      <c r="EH21238"/>
      <c r="EI21238"/>
      <c r="EJ21238"/>
      <c r="EK21238"/>
    </row>
    <row r="21239" spans="1:141" s="116" customFormat="1">
      <c r="A21239" s="136"/>
      <c r="CM21239" s="111"/>
      <c r="CQ21239" s="111"/>
      <c r="EF21239"/>
      <c r="EG21239"/>
      <c r="EH21239"/>
      <c r="EI21239"/>
      <c r="EJ21239"/>
      <c r="EK21239"/>
    </row>
    <row r="21240" spans="1:141" s="116" customFormat="1">
      <c r="A21240" s="136"/>
      <c r="CM21240" s="111"/>
      <c r="CQ21240" s="111"/>
      <c r="EF21240"/>
      <c r="EG21240"/>
      <c r="EH21240"/>
      <c r="EI21240"/>
      <c r="EJ21240"/>
      <c r="EK21240"/>
    </row>
    <row r="21241" spans="1:141" s="116" customFormat="1">
      <c r="A21241" s="136"/>
      <c r="CM21241" s="111"/>
      <c r="CQ21241" s="111"/>
      <c r="EF21241"/>
      <c r="EG21241"/>
      <c r="EH21241"/>
      <c r="EI21241"/>
      <c r="EJ21241"/>
      <c r="EK21241"/>
    </row>
    <row r="21242" spans="1:141" s="116" customFormat="1">
      <c r="A21242" s="136"/>
      <c r="CM21242" s="111"/>
      <c r="CQ21242" s="111"/>
      <c r="EF21242"/>
      <c r="EG21242"/>
      <c r="EH21242"/>
      <c r="EI21242"/>
      <c r="EJ21242"/>
      <c r="EK21242"/>
    </row>
    <row r="21243" spans="1:141" s="116" customFormat="1">
      <c r="A21243" s="136"/>
      <c r="CM21243" s="111"/>
      <c r="CQ21243" s="111"/>
      <c r="EF21243"/>
      <c r="EG21243"/>
      <c r="EH21243"/>
      <c r="EI21243"/>
      <c r="EJ21243"/>
      <c r="EK21243"/>
    </row>
    <row r="21244" spans="1:141" s="116" customFormat="1">
      <c r="A21244" s="136"/>
      <c r="CM21244" s="111"/>
      <c r="CQ21244" s="111"/>
      <c r="EF21244"/>
      <c r="EG21244"/>
      <c r="EH21244"/>
      <c r="EI21244"/>
      <c r="EJ21244"/>
      <c r="EK21244"/>
    </row>
    <row r="21245" spans="1:141" s="116" customFormat="1">
      <c r="A21245" s="136"/>
      <c r="CM21245" s="111"/>
      <c r="CQ21245" s="111"/>
      <c r="EF21245"/>
      <c r="EG21245"/>
      <c r="EH21245"/>
      <c r="EI21245"/>
      <c r="EJ21245"/>
      <c r="EK21245"/>
    </row>
    <row r="21246" spans="1:141" s="116" customFormat="1">
      <c r="A21246" s="136"/>
      <c r="CM21246" s="111"/>
      <c r="CQ21246" s="111"/>
      <c r="EF21246"/>
      <c r="EG21246"/>
      <c r="EH21246"/>
      <c r="EI21246"/>
      <c r="EJ21246"/>
      <c r="EK21246"/>
    </row>
    <row r="21247" spans="1:141" s="116" customFormat="1">
      <c r="A21247" s="136"/>
      <c r="CM21247" s="111"/>
      <c r="CQ21247" s="111"/>
      <c r="EF21247"/>
      <c r="EG21247"/>
      <c r="EH21247"/>
      <c r="EI21247"/>
      <c r="EJ21247"/>
      <c r="EK21247"/>
    </row>
    <row r="21248" spans="1:141" s="116" customFormat="1">
      <c r="A21248" s="136"/>
      <c r="CM21248" s="111"/>
      <c r="CQ21248" s="111"/>
      <c r="EF21248"/>
      <c r="EG21248"/>
      <c r="EH21248"/>
      <c r="EI21248"/>
      <c r="EJ21248"/>
      <c r="EK21248"/>
    </row>
    <row r="21249" spans="1:141" s="116" customFormat="1">
      <c r="A21249" s="136"/>
      <c r="CM21249" s="111"/>
      <c r="CQ21249" s="111"/>
      <c r="EF21249"/>
      <c r="EG21249"/>
      <c r="EH21249"/>
      <c r="EI21249"/>
      <c r="EJ21249"/>
      <c r="EK21249"/>
    </row>
    <row r="21250" spans="1:141" s="116" customFormat="1">
      <c r="A21250" s="136"/>
      <c r="CM21250" s="111"/>
      <c r="CQ21250" s="111"/>
      <c r="EF21250"/>
      <c r="EG21250"/>
      <c r="EH21250"/>
      <c r="EI21250"/>
      <c r="EJ21250"/>
      <c r="EK21250"/>
    </row>
    <row r="21251" spans="1:141" s="116" customFormat="1">
      <c r="A21251" s="136"/>
      <c r="CM21251" s="111"/>
      <c r="CQ21251" s="111"/>
      <c r="EF21251"/>
      <c r="EG21251"/>
      <c r="EH21251"/>
      <c r="EI21251"/>
      <c r="EJ21251"/>
      <c r="EK21251"/>
    </row>
    <row r="21252" spans="1:141" s="116" customFormat="1">
      <c r="A21252" s="136"/>
      <c r="CM21252" s="111"/>
      <c r="CQ21252" s="111"/>
      <c r="EF21252"/>
      <c r="EG21252"/>
      <c r="EH21252"/>
      <c r="EI21252"/>
      <c r="EJ21252"/>
      <c r="EK21252"/>
    </row>
    <row r="21253" spans="1:141" s="116" customFormat="1">
      <c r="A21253" s="136"/>
      <c r="CM21253" s="111"/>
      <c r="CQ21253" s="111"/>
      <c r="EF21253"/>
      <c r="EG21253"/>
      <c r="EH21253"/>
      <c r="EI21253"/>
      <c r="EJ21253"/>
      <c r="EK21253"/>
    </row>
    <row r="21254" spans="1:141" s="116" customFormat="1">
      <c r="A21254" s="136"/>
      <c r="CM21254" s="111"/>
      <c r="CQ21254" s="111"/>
      <c r="EF21254"/>
      <c r="EG21254"/>
      <c r="EH21254"/>
      <c r="EI21254"/>
      <c r="EJ21254"/>
      <c r="EK21254"/>
    </row>
    <row r="21255" spans="1:141" s="116" customFormat="1">
      <c r="A21255" s="136"/>
      <c r="CM21255" s="111"/>
      <c r="CQ21255" s="111"/>
      <c r="EF21255"/>
      <c r="EG21255"/>
      <c r="EH21255"/>
      <c r="EI21255"/>
      <c r="EJ21255"/>
      <c r="EK21255"/>
    </row>
    <row r="21256" spans="1:141" s="116" customFormat="1">
      <c r="A21256" s="136"/>
      <c r="CM21256" s="111"/>
      <c r="CQ21256" s="111"/>
      <c r="EF21256"/>
      <c r="EG21256"/>
      <c r="EH21256"/>
      <c r="EI21256"/>
      <c r="EJ21256"/>
      <c r="EK21256"/>
    </row>
    <row r="21257" spans="1:141" s="116" customFormat="1">
      <c r="A21257" s="136"/>
      <c r="CM21257" s="111"/>
      <c r="CQ21257" s="111"/>
      <c r="EF21257"/>
      <c r="EG21257"/>
      <c r="EH21257"/>
      <c r="EI21257"/>
      <c r="EJ21257"/>
      <c r="EK21257"/>
    </row>
    <row r="21258" spans="1:141" s="116" customFormat="1">
      <c r="A21258" s="136"/>
      <c r="CM21258" s="111"/>
      <c r="CQ21258" s="111"/>
      <c r="EF21258"/>
      <c r="EG21258"/>
      <c r="EH21258"/>
      <c r="EI21258"/>
      <c r="EJ21258"/>
      <c r="EK21258"/>
    </row>
    <row r="21259" spans="1:141" s="116" customFormat="1">
      <c r="A21259" s="136"/>
      <c r="CM21259" s="111"/>
      <c r="CQ21259" s="111"/>
      <c r="EF21259"/>
      <c r="EG21259"/>
      <c r="EH21259"/>
      <c r="EI21259"/>
      <c r="EJ21259"/>
      <c r="EK21259"/>
    </row>
    <row r="21260" spans="1:141" s="116" customFormat="1">
      <c r="A21260" s="136"/>
      <c r="CM21260" s="111"/>
      <c r="CQ21260" s="111"/>
      <c r="EF21260"/>
      <c r="EG21260"/>
      <c r="EH21260"/>
      <c r="EI21260"/>
      <c r="EJ21260"/>
      <c r="EK21260"/>
    </row>
    <row r="21261" spans="1:141" s="116" customFormat="1">
      <c r="A21261" s="136"/>
      <c r="CM21261" s="111"/>
      <c r="CQ21261" s="111"/>
      <c r="EF21261"/>
      <c r="EG21261"/>
      <c r="EH21261"/>
      <c r="EI21261"/>
      <c r="EJ21261"/>
      <c r="EK21261"/>
    </row>
    <row r="21262" spans="1:141" s="116" customFormat="1">
      <c r="A21262" s="136"/>
      <c r="CM21262" s="111"/>
      <c r="CQ21262" s="111"/>
      <c r="EF21262"/>
      <c r="EG21262"/>
      <c r="EH21262"/>
      <c r="EI21262"/>
      <c r="EJ21262"/>
      <c r="EK21262"/>
    </row>
    <row r="21263" spans="1:141" s="116" customFormat="1">
      <c r="A21263" s="136"/>
      <c r="CM21263" s="111"/>
      <c r="CQ21263" s="111"/>
      <c r="EF21263"/>
      <c r="EG21263"/>
      <c r="EH21263"/>
      <c r="EI21263"/>
      <c r="EJ21263"/>
      <c r="EK21263"/>
    </row>
    <row r="21264" spans="1:141" s="116" customFormat="1">
      <c r="A21264" s="136"/>
      <c r="CM21264" s="111"/>
      <c r="CQ21264" s="111"/>
      <c r="EF21264"/>
      <c r="EG21264"/>
      <c r="EH21264"/>
      <c r="EI21264"/>
      <c r="EJ21264"/>
      <c r="EK21264"/>
    </row>
    <row r="21265" spans="1:141" s="116" customFormat="1">
      <c r="A21265" s="136"/>
      <c r="CM21265" s="111"/>
      <c r="CQ21265" s="111"/>
      <c r="EF21265"/>
      <c r="EG21265"/>
      <c r="EH21265"/>
      <c r="EI21265"/>
      <c r="EJ21265"/>
      <c r="EK21265"/>
    </row>
    <row r="21266" spans="1:141" s="116" customFormat="1">
      <c r="A21266" s="136"/>
      <c r="CM21266" s="111"/>
      <c r="CQ21266" s="111"/>
      <c r="EF21266"/>
      <c r="EG21266"/>
      <c r="EH21266"/>
      <c r="EI21266"/>
      <c r="EJ21266"/>
      <c r="EK21266"/>
    </row>
    <row r="21267" spans="1:141" s="116" customFormat="1">
      <c r="A21267" s="136"/>
      <c r="CM21267" s="111"/>
      <c r="CQ21267" s="111"/>
      <c r="EF21267"/>
      <c r="EG21267"/>
      <c r="EH21267"/>
      <c r="EI21267"/>
      <c r="EJ21267"/>
      <c r="EK21267"/>
    </row>
    <row r="21268" spans="1:141" s="116" customFormat="1">
      <c r="A21268" s="136"/>
      <c r="CM21268" s="111"/>
      <c r="CQ21268" s="111"/>
      <c r="EF21268"/>
      <c r="EG21268"/>
      <c r="EH21268"/>
      <c r="EI21268"/>
      <c r="EJ21268"/>
      <c r="EK21268"/>
    </row>
    <row r="21269" spans="1:141" s="116" customFormat="1">
      <c r="A21269" s="136"/>
      <c r="CM21269" s="111"/>
      <c r="CQ21269" s="111"/>
      <c r="EF21269"/>
      <c r="EG21269"/>
      <c r="EH21269"/>
      <c r="EI21269"/>
      <c r="EJ21269"/>
      <c r="EK21269"/>
    </row>
    <row r="21270" spans="1:141" s="116" customFormat="1">
      <c r="A21270" s="136"/>
      <c r="CM21270" s="111"/>
      <c r="CQ21270" s="111"/>
      <c r="EF21270"/>
      <c r="EG21270"/>
      <c r="EH21270"/>
      <c r="EI21270"/>
      <c r="EJ21270"/>
      <c r="EK21270"/>
    </row>
    <row r="21271" spans="1:141" s="116" customFormat="1">
      <c r="A21271" s="136"/>
      <c r="CM21271" s="111"/>
      <c r="CQ21271" s="111"/>
      <c r="EF21271"/>
      <c r="EG21271"/>
      <c r="EH21271"/>
      <c r="EI21271"/>
      <c r="EJ21271"/>
      <c r="EK21271"/>
    </row>
    <row r="21272" spans="1:141" s="116" customFormat="1">
      <c r="A21272" s="136"/>
      <c r="CM21272" s="111"/>
      <c r="CQ21272" s="111"/>
      <c r="EF21272"/>
      <c r="EG21272"/>
      <c r="EH21272"/>
      <c r="EI21272"/>
      <c r="EJ21272"/>
      <c r="EK21272"/>
    </row>
    <row r="21273" spans="1:141" s="116" customFormat="1">
      <c r="A21273" s="136"/>
      <c r="CM21273" s="111"/>
      <c r="CQ21273" s="111"/>
      <c r="EF21273"/>
      <c r="EG21273"/>
      <c r="EH21273"/>
      <c r="EI21273"/>
      <c r="EJ21273"/>
      <c r="EK21273"/>
    </row>
    <row r="21274" spans="1:141" s="116" customFormat="1">
      <c r="A21274" s="136"/>
      <c r="CM21274" s="111"/>
      <c r="CQ21274" s="111"/>
      <c r="EF21274"/>
      <c r="EG21274"/>
      <c r="EH21274"/>
      <c r="EI21274"/>
      <c r="EJ21274"/>
      <c r="EK21274"/>
    </row>
    <row r="21275" spans="1:141" s="116" customFormat="1">
      <c r="A21275" s="136"/>
      <c r="CM21275" s="111"/>
      <c r="CQ21275" s="111"/>
      <c r="EF21275"/>
      <c r="EG21275"/>
      <c r="EH21275"/>
      <c r="EI21275"/>
      <c r="EJ21275"/>
      <c r="EK21275"/>
    </row>
    <row r="21276" spans="1:141" s="116" customFormat="1">
      <c r="A21276" s="136"/>
      <c r="CM21276" s="111"/>
      <c r="CQ21276" s="111"/>
      <c r="EF21276"/>
      <c r="EG21276"/>
      <c r="EH21276"/>
      <c r="EI21276"/>
      <c r="EJ21276"/>
      <c r="EK21276"/>
    </row>
    <row r="21277" spans="1:141" s="116" customFormat="1">
      <c r="A21277" s="136"/>
      <c r="CM21277" s="111"/>
      <c r="CQ21277" s="111"/>
      <c r="EF21277"/>
      <c r="EG21277"/>
      <c r="EH21277"/>
      <c r="EI21277"/>
      <c r="EJ21277"/>
      <c r="EK21277"/>
    </row>
    <row r="21278" spans="1:141" s="116" customFormat="1">
      <c r="A21278" s="136"/>
      <c r="CM21278" s="111"/>
      <c r="CQ21278" s="111"/>
      <c r="EF21278"/>
      <c r="EG21278"/>
      <c r="EH21278"/>
      <c r="EI21278"/>
      <c r="EJ21278"/>
      <c r="EK21278"/>
    </row>
    <row r="21279" spans="1:141" s="116" customFormat="1">
      <c r="A21279" s="136"/>
      <c r="CM21279" s="111"/>
      <c r="CQ21279" s="111"/>
      <c r="EF21279"/>
      <c r="EG21279"/>
      <c r="EH21279"/>
      <c r="EI21279"/>
      <c r="EJ21279"/>
      <c r="EK21279"/>
    </row>
    <row r="21280" spans="1:141" s="116" customFormat="1">
      <c r="A21280" s="136"/>
      <c r="CM21280" s="111"/>
      <c r="CQ21280" s="111"/>
      <c r="EF21280"/>
      <c r="EG21280"/>
      <c r="EH21280"/>
      <c r="EI21280"/>
      <c r="EJ21280"/>
      <c r="EK21280"/>
    </row>
    <row r="21281" spans="1:141" s="116" customFormat="1">
      <c r="A21281" s="136"/>
      <c r="CM21281" s="111"/>
      <c r="CQ21281" s="111"/>
      <c r="EF21281"/>
      <c r="EG21281"/>
      <c r="EH21281"/>
      <c r="EI21281"/>
      <c r="EJ21281"/>
      <c r="EK21281"/>
    </row>
    <row r="21282" spans="1:141" s="116" customFormat="1">
      <c r="A21282" s="136"/>
      <c r="CM21282" s="111"/>
      <c r="CQ21282" s="111"/>
      <c r="EF21282"/>
      <c r="EG21282"/>
      <c r="EH21282"/>
      <c r="EI21282"/>
      <c r="EJ21282"/>
      <c r="EK21282"/>
    </row>
    <row r="21283" spans="1:141" s="116" customFormat="1">
      <c r="A21283" s="136"/>
      <c r="CM21283" s="111"/>
      <c r="CQ21283" s="111"/>
      <c r="EF21283"/>
      <c r="EG21283"/>
      <c r="EH21283"/>
      <c r="EI21283"/>
      <c r="EJ21283"/>
      <c r="EK21283"/>
    </row>
    <row r="21284" spans="1:141" s="116" customFormat="1">
      <c r="A21284" s="136"/>
      <c r="CM21284" s="111"/>
      <c r="CQ21284" s="111"/>
      <c r="EF21284"/>
      <c r="EG21284"/>
      <c r="EH21284"/>
      <c r="EI21284"/>
      <c r="EJ21284"/>
      <c r="EK21284"/>
    </row>
    <row r="21285" spans="1:141" s="116" customFormat="1">
      <c r="A21285" s="136"/>
      <c r="CM21285" s="111"/>
      <c r="CQ21285" s="111"/>
      <c r="EF21285"/>
      <c r="EG21285"/>
      <c r="EH21285"/>
      <c r="EI21285"/>
      <c r="EJ21285"/>
      <c r="EK21285"/>
    </row>
    <row r="21286" spans="1:141" s="116" customFormat="1">
      <c r="A21286" s="136"/>
      <c r="CM21286" s="111"/>
      <c r="CQ21286" s="111"/>
      <c r="EF21286"/>
      <c r="EG21286"/>
      <c r="EH21286"/>
      <c r="EI21286"/>
      <c r="EJ21286"/>
      <c r="EK21286"/>
    </row>
    <row r="21287" spans="1:141" s="116" customFormat="1">
      <c r="A21287" s="136"/>
      <c r="CM21287" s="111"/>
      <c r="CQ21287" s="111"/>
      <c r="EF21287"/>
      <c r="EG21287"/>
      <c r="EH21287"/>
      <c r="EI21287"/>
      <c r="EJ21287"/>
      <c r="EK21287"/>
    </row>
    <row r="21288" spans="1:141" s="116" customFormat="1">
      <c r="A21288" s="136"/>
      <c r="CM21288" s="111"/>
      <c r="CQ21288" s="111"/>
      <c r="EF21288"/>
      <c r="EG21288"/>
      <c r="EH21288"/>
      <c r="EI21288"/>
      <c r="EJ21288"/>
      <c r="EK21288"/>
    </row>
    <row r="21289" spans="1:141" s="116" customFormat="1">
      <c r="A21289" s="136"/>
      <c r="CM21289" s="111"/>
      <c r="CQ21289" s="111"/>
      <c r="EF21289"/>
      <c r="EG21289"/>
      <c r="EH21289"/>
      <c r="EI21289"/>
      <c r="EJ21289"/>
      <c r="EK21289"/>
    </row>
    <row r="21290" spans="1:141" s="116" customFormat="1">
      <c r="A21290" s="136"/>
      <c r="CM21290" s="111"/>
      <c r="CQ21290" s="111"/>
      <c r="EF21290"/>
      <c r="EG21290"/>
      <c r="EH21290"/>
      <c r="EI21290"/>
      <c r="EJ21290"/>
      <c r="EK21290"/>
    </row>
    <row r="21291" spans="1:141" s="116" customFormat="1">
      <c r="A21291" s="136"/>
      <c r="CM21291" s="111"/>
      <c r="CQ21291" s="111"/>
      <c r="EF21291"/>
      <c r="EG21291"/>
      <c r="EH21291"/>
      <c r="EI21291"/>
      <c r="EJ21291"/>
      <c r="EK21291"/>
    </row>
    <row r="21292" spans="1:141" s="116" customFormat="1">
      <c r="A21292" s="136"/>
      <c r="CM21292" s="111"/>
      <c r="CQ21292" s="111"/>
      <c r="EF21292"/>
      <c r="EG21292"/>
      <c r="EH21292"/>
      <c r="EI21292"/>
      <c r="EJ21292"/>
      <c r="EK21292"/>
    </row>
    <row r="21293" spans="1:141" s="116" customFormat="1">
      <c r="A21293" s="136"/>
      <c r="CM21293" s="111"/>
      <c r="CQ21293" s="111"/>
      <c r="EF21293"/>
      <c r="EG21293"/>
      <c r="EH21293"/>
      <c r="EI21293"/>
      <c r="EJ21293"/>
      <c r="EK21293"/>
    </row>
    <row r="21294" spans="1:141" s="116" customFormat="1">
      <c r="A21294" s="136"/>
      <c r="CM21294" s="111"/>
      <c r="CQ21294" s="111"/>
      <c r="EF21294"/>
      <c r="EG21294"/>
      <c r="EH21294"/>
      <c r="EI21294"/>
      <c r="EJ21294"/>
      <c r="EK21294"/>
    </row>
    <row r="21295" spans="1:141" s="116" customFormat="1">
      <c r="A21295" s="136"/>
      <c r="CM21295" s="111"/>
      <c r="CQ21295" s="111"/>
      <c r="EF21295"/>
      <c r="EG21295"/>
      <c r="EH21295"/>
      <c r="EI21295"/>
      <c r="EJ21295"/>
      <c r="EK21295"/>
    </row>
    <row r="21296" spans="1:141" s="116" customFormat="1">
      <c r="A21296" s="136"/>
      <c r="CM21296" s="111"/>
      <c r="CQ21296" s="111"/>
      <c r="EF21296"/>
      <c r="EG21296"/>
      <c r="EH21296"/>
      <c r="EI21296"/>
      <c r="EJ21296"/>
      <c r="EK21296"/>
    </row>
    <row r="21297" spans="1:141" s="116" customFormat="1">
      <c r="A21297" s="136"/>
      <c r="CM21297" s="111"/>
      <c r="CQ21297" s="111"/>
      <c r="EF21297"/>
      <c r="EG21297"/>
      <c r="EH21297"/>
      <c r="EI21297"/>
      <c r="EJ21297"/>
      <c r="EK21297"/>
    </row>
    <row r="21298" spans="1:141" s="116" customFormat="1">
      <c r="A21298" s="136"/>
      <c r="CM21298" s="111"/>
      <c r="CQ21298" s="111"/>
      <c r="EF21298"/>
      <c r="EG21298"/>
      <c r="EH21298"/>
      <c r="EI21298"/>
      <c r="EJ21298"/>
      <c r="EK21298"/>
    </row>
    <row r="21299" spans="1:141" s="116" customFormat="1">
      <c r="A21299" s="136"/>
      <c r="CM21299" s="111"/>
      <c r="CQ21299" s="111"/>
      <c r="EF21299"/>
      <c r="EG21299"/>
      <c r="EH21299"/>
      <c r="EI21299"/>
      <c r="EJ21299"/>
      <c r="EK21299"/>
    </row>
    <row r="21300" spans="1:141" s="116" customFormat="1">
      <c r="A21300" s="136"/>
      <c r="CM21300" s="111"/>
      <c r="CQ21300" s="111"/>
      <c r="EF21300"/>
      <c r="EG21300"/>
      <c r="EH21300"/>
      <c r="EI21300"/>
      <c r="EJ21300"/>
      <c r="EK21300"/>
    </row>
    <row r="21301" spans="1:141" s="116" customFormat="1">
      <c r="A21301" s="136"/>
      <c r="CM21301" s="111"/>
      <c r="CQ21301" s="111"/>
      <c r="EF21301"/>
      <c r="EG21301"/>
      <c r="EH21301"/>
      <c r="EI21301"/>
      <c r="EJ21301"/>
      <c r="EK21301"/>
    </row>
    <row r="21302" spans="1:141" s="116" customFormat="1">
      <c r="A21302" s="136"/>
      <c r="CM21302" s="111"/>
      <c r="CQ21302" s="111"/>
      <c r="EF21302"/>
      <c r="EG21302"/>
      <c r="EH21302"/>
      <c r="EI21302"/>
      <c r="EJ21302"/>
      <c r="EK21302"/>
    </row>
    <row r="21303" spans="1:141" s="116" customFormat="1">
      <c r="A21303" s="136"/>
      <c r="CM21303" s="111"/>
      <c r="CQ21303" s="111"/>
      <c r="EF21303"/>
      <c r="EG21303"/>
      <c r="EH21303"/>
      <c r="EI21303"/>
      <c r="EJ21303"/>
      <c r="EK21303"/>
    </row>
    <row r="21304" spans="1:141" s="116" customFormat="1">
      <c r="A21304" s="136"/>
      <c r="CM21304" s="111"/>
      <c r="CQ21304" s="111"/>
      <c r="EF21304"/>
      <c r="EG21304"/>
      <c r="EH21304"/>
      <c r="EI21304"/>
      <c r="EJ21304"/>
      <c r="EK21304"/>
    </row>
    <row r="21305" spans="1:141" s="116" customFormat="1">
      <c r="A21305" s="136"/>
      <c r="CM21305" s="111"/>
      <c r="CQ21305" s="111"/>
      <c r="EF21305"/>
      <c r="EG21305"/>
      <c r="EH21305"/>
      <c r="EI21305"/>
      <c r="EJ21305"/>
      <c r="EK21305"/>
    </row>
    <row r="21306" spans="1:141" s="116" customFormat="1">
      <c r="A21306" s="136"/>
      <c r="CM21306" s="111"/>
      <c r="CQ21306" s="111"/>
      <c r="EF21306"/>
      <c r="EG21306"/>
      <c r="EH21306"/>
      <c r="EI21306"/>
      <c r="EJ21306"/>
      <c r="EK21306"/>
    </row>
    <row r="21307" spans="1:141" s="116" customFormat="1">
      <c r="A21307" s="136"/>
      <c r="CM21307" s="111"/>
      <c r="CQ21307" s="111"/>
      <c r="EF21307"/>
      <c r="EG21307"/>
      <c r="EH21307"/>
      <c r="EI21307"/>
      <c r="EJ21307"/>
      <c r="EK21307"/>
    </row>
    <row r="21308" spans="1:141" s="116" customFormat="1">
      <c r="A21308" s="136"/>
      <c r="CM21308" s="111"/>
      <c r="CQ21308" s="111"/>
      <c r="EF21308"/>
      <c r="EG21308"/>
      <c r="EH21308"/>
      <c r="EI21308"/>
      <c r="EJ21308"/>
      <c r="EK21308"/>
    </row>
    <row r="21309" spans="1:141" s="116" customFormat="1">
      <c r="A21309" s="136"/>
      <c r="CM21309" s="111"/>
      <c r="CQ21309" s="111"/>
      <c r="EF21309"/>
      <c r="EG21309"/>
      <c r="EH21309"/>
      <c r="EI21309"/>
      <c r="EJ21309"/>
      <c r="EK21309"/>
    </row>
    <row r="21310" spans="1:141" s="116" customFormat="1">
      <c r="A21310" s="136"/>
      <c r="CM21310" s="111"/>
      <c r="CQ21310" s="111"/>
      <c r="EF21310"/>
      <c r="EG21310"/>
      <c r="EH21310"/>
      <c r="EI21310"/>
      <c r="EJ21310"/>
      <c r="EK21310"/>
    </row>
    <row r="21311" spans="1:141" s="116" customFormat="1">
      <c r="A21311" s="136"/>
      <c r="CM21311" s="111"/>
      <c r="CQ21311" s="111"/>
      <c r="EF21311"/>
      <c r="EG21311"/>
      <c r="EH21311"/>
      <c r="EI21311"/>
      <c r="EJ21311"/>
      <c r="EK21311"/>
    </row>
    <row r="21312" spans="1:141" s="116" customFormat="1">
      <c r="A21312" s="136"/>
      <c r="CM21312" s="111"/>
      <c r="CQ21312" s="111"/>
      <c r="EF21312"/>
      <c r="EG21312"/>
      <c r="EH21312"/>
      <c r="EI21312"/>
      <c r="EJ21312"/>
      <c r="EK21312"/>
    </row>
    <row r="21313" spans="1:141" s="116" customFormat="1">
      <c r="A21313" s="136"/>
      <c r="CM21313" s="111"/>
      <c r="CQ21313" s="111"/>
      <c r="EF21313"/>
      <c r="EG21313"/>
      <c r="EH21313"/>
      <c r="EI21313"/>
      <c r="EJ21313"/>
      <c r="EK21313"/>
    </row>
    <row r="21314" spans="1:141" s="116" customFormat="1">
      <c r="A21314" s="136"/>
      <c r="CM21314" s="111"/>
      <c r="CQ21314" s="111"/>
      <c r="EF21314"/>
      <c r="EG21314"/>
      <c r="EH21314"/>
      <c r="EI21314"/>
      <c r="EJ21314"/>
      <c r="EK21314"/>
    </row>
    <row r="21315" spans="1:141" s="116" customFormat="1">
      <c r="A21315" s="136"/>
      <c r="CM21315" s="111"/>
      <c r="CQ21315" s="111"/>
      <c r="EF21315"/>
      <c r="EG21315"/>
      <c r="EH21315"/>
      <c r="EI21315"/>
      <c r="EJ21315"/>
      <c r="EK21315"/>
    </row>
    <row r="21316" spans="1:141" s="116" customFormat="1">
      <c r="A21316" s="136"/>
      <c r="CM21316" s="111"/>
      <c r="CQ21316" s="111"/>
      <c r="EF21316"/>
      <c r="EG21316"/>
      <c r="EH21316"/>
      <c r="EI21316"/>
      <c r="EJ21316"/>
      <c r="EK21316"/>
    </row>
    <row r="21317" spans="1:141" s="116" customFormat="1">
      <c r="A21317" s="136"/>
      <c r="CM21317" s="111"/>
      <c r="CQ21317" s="111"/>
      <c r="EF21317"/>
      <c r="EG21317"/>
      <c r="EH21317"/>
      <c r="EI21317"/>
      <c r="EJ21317"/>
      <c r="EK21317"/>
    </row>
    <row r="21318" spans="1:141" s="116" customFormat="1">
      <c r="A21318" s="136"/>
      <c r="CM21318" s="111"/>
      <c r="CQ21318" s="111"/>
      <c r="EF21318"/>
      <c r="EG21318"/>
      <c r="EH21318"/>
      <c r="EI21318"/>
      <c r="EJ21318"/>
      <c r="EK21318"/>
    </row>
    <row r="21319" spans="1:141" s="116" customFormat="1">
      <c r="A21319" s="136"/>
      <c r="CM21319" s="111"/>
      <c r="CQ21319" s="111"/>
      <c r="EF21319"/>
      <c r="EG21319"/>
      <c r="EH21319"/>
      <c r="EI21319"/>
      <c r="EJ21319"/>
      <c r="EK21319"/>
    </row>
    <row r="21320" spans="1:141" s="116" customFormat="1">
      <c r="A21320" s="136"/>
      <c r="CM21320" s="111"/>
      <c r="CQ21320" s="111"/>
      <c r="EF21320"/>
      <c r="EG21320"/>
      <c r="EH21320"/>
      <c r="EI21320"/>
      <c r="EJ21320"/>
      <c r="EK21320"/>
    </row>
    <row r="21321" spans="1:141" s="116" customFormat="1">
      <c r="A21321" s="136"/>
      <c r="CM21321" s="111"/>
      <c r="CQ21321" s="111"/>
      <c r="EF21321"/>
      <c r="EG21321"/>
      <c r="EH21321"/>
      <c r="EI21321"/>
      <c r="EJ21321"/>
      <c r="EK21321"/>
    </row>
    <row r="21322" spans="1:141" s="116" customFormat="1">
      <c r="A21322" s="136"/>
      <c r="CM21322" s="111"/>
      <c r="CQ21322" s="111"/>
      <c r="EF21322"/>
      <c r="EG21322"/>
      <c r="EH21322"/>
      <c r="EI21322"/>
      <c r="EJ21322"/>
      <c r="EK21322"/>
    </row>
    <row r="21323" spans="1:141" s="116" customFormat="1">
      <c r="A21323" s="136"/>
      <c r="CM21323" s="111"/>
      <c r="CQ21323" s="111"/>
      <c r="EF21323"/>
      <c r="EG21323"/>
      <c r="EH21323"/>
      <c r="EI21323"/>
      <c r="EJ21323"/>
      <c r="EK21323"/>
    </row>
    <row r="21324" spans="1:141" s="116" customFormat="1">
      <c r="A21324" s="136"/>
      <c r="CM21324" s="111"/>
      <c r="CQ21324" s="111"/>
      <c r="EF21324"/>
      <c r="EG21324"/>
      <c r="EH21324"/>
      <c r="EI21324"/>
      <c r="EJ21324"/>
      <c r="EK21324"/>
    </row>
    <row r="21325" spans="1:141" s="116" customFormat="1">
      <c r="A21325" s="136"/>
      <c r="CM21325" s="111"/>
      <c r="CQ21325" s="111"/>
      <c r="EF21325"/>
      <c r="EG21325"/>
      <c r="EH21325"/>
      <c r="EI21325"/>
      <c r="EJ21325"/>
      <c r="EK21325"/>
    </row>
    <row r="21326" spans="1:141" s="116" customFormat="1">
      <c r="A21326" s="136"/>
      <c r="CM21326" s="111"/>
      <c r="CQ21326" s="111"/>
      <c r="EF21326"/>
      <c r="EG21326"/>
      <c r="EH21326"/>
      <c r="EI21326"/>
      <c r="EJ21326"/>
      <c r="EK21326"/>
    </row>
    <row r="21327" spans="1:141" s="116" customFormat="1">
      <c r="A21327" s="136"/>
      <c r="CM21327" s="111"/>
      <c r="CQ21327" s="111"/>
      <c r="EF21327"/>
      <c r="EG21327"/>
      <c r="EH21327"/>
      <c r="EI21327"/>
      <c r="EJ21327"/>
      <c r="EK21327"/>
    </row>
    <row r="21328" spans="1:141" s="116" customFormat="1">
      <c r="A21328" s="136"/>
      <c r="CM21328" s="111"/>
      <c r="CQ21328" s="111"/>
      <c r="EF21328"/>
      <c r="EG21328"/>
      <c r="EH21328"/>
      <c r="EI21328"/>
      <c r="EJ21328"/>
      <c r="EK21328"/>
    </row>
    <row r="21329" spans="1:141" s="116" customFormat="1">
      <c r="A21329" s="136"/>
      <c r="CM21329" s="111"/>
      <c r="CQ21329" s="111"/>
      <c r="EF21329"/>
      <c r="EG21329"/>
      <c r="EH21329"/>
      <c r="EI21329"/>
      <c r="EJ21329"/>
      <c r="EK21329"/>
    </row>
    <row r="21330" spans="1:141" s="116" customFormat="1">
      <c r="A21330" s="136"/>
      <c r="CM21330" s="111"/>
      <c r="CQ21330" s="111"/>
      <c r="EF21330"/>
      <c r="EG21330"/>
      <c r="EH21330"/>
      <c r="EI21330"/>
      <c r="EJ21330"/>
      <c r="EK21330"/>
    </row>
    <row r="21331" spans="1:141" s="116" customFormat="1">
      <c r="A21331" s="136"/>
      <c r="CM21331" s="111"/>
      <c r="CQ21331" s="111"/>
      <c r="EF21331"/>
      <c r="EG21331"/>
      <c r="EH21331"/>
      <c r="EI21331"/>
      <c r="EJ21331"/>
      <c r="EK21331"/>
    </row>
    <row r="21332" spans="1:141" s="116" customFormat="1">
      <c r="A21332" s="136"/>
      <c r="CM21332" s="111"/>
      <c r="CQ21332" s="111"/>
      <c r="EF21332"/>
      <c r="EG21332"/>
      <c r="EH21332"/>
      <c r="EI21332"/>
      <c r="EJ21332"/>
      <c r="EK21332"/>
    </row>
    <row r="21333" spans="1:141" s="116" customFormat="1">
      <c r="A21333" s="136"/>
      <c r="CM21333" s="111"/>
      <c r="CQ21333" s="111"/>
      <c r="EF21333"/>
      <c r="EG21333"/>
      <c r="EH21333"/>
      <c r="EI21333"/>
      <c r="EJ21333"/>
      <c r="EK21333"/>
    </row>
    <row r="21334" spans="1:141" s="116" customFormat="1">
      <c r="A21334" s="136"/>
      <c r="CM21334" s="111"/>
      <c r="CQ21334" s="111"/>
      <c r="EF21334"/>
      <c r="EG21334"/>
      <c r="EH21334"/>
      <c r="EI21334"/>
      <c r="EJ21334"/>
      <c r="EK21334"/>
    </row>
    <row r="21335" spans="1:141" s="116" customFormat="1">
      <c r="A21335" s="136"/>
      <c r="CM21335" s="111"/>
      <c r="CQ21335" s="111"/>
      <c r="EF21335"/>
      <c r="EG21335"/>
      <c r="EH21335"/>
      <c r="EI21335"/>
      <c r="EJ21335"/>
      <c r="EK21335"/>
    </row>
    <row r="21336" spans="1:141" s="116" customFormat="1">
      <c r="A21336" s="136"/>
      <c r="CM21336" s="111"/>
      <c r="CQ21336" s="111"/>
      <c r="EF21336"/>
      <c r="EG21336"/>
      <c r="EH21336"/>
      <c r="EI21336"/>
      <c r="EJ21336"/>
      <c r="EK21336"/>
    </row>
    <row r="21337" spans="1:141" s="116" customFormat="1">
      <c r="A21337" s="136"/>
      <c r="CM21337" s="111"/>
      <c r="CQ21337" s="111"/>
      <c r="EF21337"/>
      <c r="EG21337"/>
      <c r="EH21337"/>
      <c r="EI21337"/>
      <c r="EJ21337"/>
      <c r="EK21337"/>
    </row>
    <row r="21338" spans="1:141" s="116" customFormat="1">
      <c r="A21338" s="136"/>
      <c r="CM21338" s="111"/>
      <c r="CQ21338" s="111"/>
      <c r="EF21338"/>
      <c r="EG21338"/>
      <c r="EH21338"/>
      <c r="EI21338"/>
      <c r="EJ21338"/>
      <c r="EK21338"/>
    </row>
    <row r="21339" spans="1:141" s="116" customFormat="1">
      <c r="A21339" s="136"/>
      <c r="CM21339" s="111"/>
      <c r="CQ21339" s="111"/>
      <c r="EF21339"/>
      <c r="EG21339"/>
      <c r="EH21339"/>
      <c r="EI21339"/>
      <c r="EJ21339"/>
      <c r="EK21339"/>
    </row>
    <row r="21340" spans="1:141" s="116" customFormat="1">
      <c r="A21340" s="136"/>
      <c r="CM21340" s="111"/>
      <c r="CQ21340" s="111"/>
      <c r="EF21340"/>
      <c r="EG21340"/>
      <c r="EH21340"/>
      <c r="EI21340"/>
      <c r="EJ21340"/>
      <c r="EK21340"/>
    </row>
    <row r="21341" spans="1:141" s="116" customFormat="1">
      <c r="A21341" s="136"/>
      <c r="CM21341" s="111"/>
      <c r="CQ21341" s="111"/>
      <c r="EF21341"/>
      <c r="EG21341"/>
      <c r="EH21341"/>
      <c r="EI21341"/>
      <c r="EJ21341"/>
      <c r="EK21341"/>
    </row>
    <row r="21342" spans="1:141" s="116" customFormat="1">
      <c r="A21342" s="136"/>
      <c r="CM21342" s="111"/>
      <c r="CQ21342" s="111"/>
      <c r="EF21342"/>
      <c r="EG21342"/>
      <c r="EH21342"/>
      <c r="EI21342"/>
      <c r="EJ21342"/>
      <c r="EK21342"/>
    </row>
    <row r="21343" spans="1:141" s="116" customFormat="1">
      <c r="A21343" s="136"/>
      <c r="CM21343" s="111"/>
      <c r="CQ21343" s="111"/>
      <c r="EF21343"/>
      <c r="EG21343"/>
      <c r="EH21343"/>
      <c r="EI21343"/>
      <c r="EJ21343"/>
      <c r="EK21343"/>
    </row>
    <row r="21344" spans="1:141" s="116" customFormat="1">
      <c r="A21344" s="136"/>
      <c r="CM21344" s="111"/>
      <c r="CQ21344" s="111"/>
      <c r="EF21344"/>
      <c r="EG21344"/>
      <c r="EH21344"/>
      <c r="EI21344"/>
      <c r="EJ21344"/>
      <c r="EK21344"/>
    </row>
    <row r="21345" spans="1:141" s="116" customFormat="1">
      <c r="A21345" s="136"/>
      <c r="CM21345" s="111"/>
      <c r="CQ21345" s="111"/>
      <c r="EF21345"/>
      <c r="EG21345"/>
      <c r="EH21345"/>
      <c r="EI21345"/>
      <c r="EJ21345"/>
      <c r="EK21345"/>
    </row>
    <row r="21346" spans="1:141" s="116" customFormat="1">
      <c r="A21346" s="136"/>
      <c r="CM21346" s="111"/>
      <c r="CQ21346" s="111"/>
      <c r="EF21346"/>
      <c r="EG21346"/>
      <c r="EH21346"/>
      <c r="EI21346"/>
      <c r="EJ21346"/>
      <c r="EK21346"/>
    </row>
    <row r="21347" spans="1:141" s="116" customFormat="1">
      <c r="A21347" s="136"/>
      <c r="CM21347" s="111"/>
      <c r="CQ21347" s="111"/>
      <c r="EF21347"/>
      <c r="EG21347"/>
      <c r="EH21347"/>
      <c r="EI21347"/>
      <c r="EJ21347"/>
      <c r="EK21347"/>
    </row>
    <row r="21348" spans="1:141" s="116" customFormat="1">
      <c r="A21348" s="136"/>
      <c r="CM21348" s="111"/>
      <c r="CQ21348" s="111"/>
      <c r="EF21348"/>
      <c r="EG21348"/>
      <c r="EH21348"/>
      <c r="EI21348"/>
      <c r="EJ21348"/>
      <c r="EK21348"/>
    </row>
    <row r="21349" spans="1:141" s="116" customFormat="1">
      <c r="A21349" s="136"/>
      <c r="CM21349" s="111"/>
      <c r="CQ21349" s="111"/>
      <c r="EF21349"/>
      <c r="EG21349"/>
      <c r="EH21349"/>
      <c r="EI21349"/>
      <c r="EJ21349"/>
      <c r="EK21349"/>
    </row>
    <row r="21350" spans="1:141" s="116" customFormat="1">
      <c r="A21350" s="136"/>
      <c r="CM21350" s="111"/>
      <c r="CQ21350" s="111"/>
      <c r="EF21350"/>
      <c r="EG21350"/>
      <c r="EH21350"/>
      <c r="EI21350"/>
      <c r="EJ21350"/>
      <c r="EK21350"/>
    </row>
    <row r="21351" spans="1:141" s="116" customFormat="1">
      <c r="A21351" s="136"/>
      <c r="CM21351" s="111"/>
      <c r="CQ21351" s="111"/>
      <c r="EF21351"/>
      <c r="EG21351"/>
      <c r="EH21351"/>
      <c r="EI21351"/>
      <c r="EJ21351"/>
      <c r="EK21351"/>
    </row>
    <row r="21352" spans="1:141" s="116" customFormat="1">
      <c r="A21352" s="136"/>
      <c r="CM21352" s="111"/>
      <c r="CQ21352" s="111"/>
      <c r="EF21352"/>
      <c r="EG21352"/>
      <c r="EH21352"/>
      <c r="EI21352"/>
      <c r="EJ21352"/>
      <c r="EK21352"/>
    </row>
    <row r="21353" spans="1:141" s="116" customFormat="1">
      <c r="A21353" s="136"/>
      <c r="CM21353" s="111"/>
      <c r="CQ21353" s="111"/>
      <c r="EF21353"/>
      <c r="EG21353"/>
      <c r="EH21353"/>
      <c r="EI21353"/>
      <c r="EJ21353"/>
      <c r="EK21353"/>
    </row>
    <row r="21354" spans="1:141" s="116" customFormat="1">
      <c r="A21354" s="136"/>
      <c r="CM21354" s="111"/>
      <c r="CQ21354" s="111"/>
      <c r="EF21354"/>
      <c r="EG21354"/>
      <c r="EH21354"/>
      <c r="EI21354"/>
      <c r="EJ21354"/>
      <c r="EK21354"/>
    </row>
    <row r="21355" spans="1:141" s="116" customFormat="1">
      <c r="A21355" s="136"/>
      <c r="CM21355" s="111"/>
      <c r="CQ21355" s="111"/>
      <c r="EF21355"/>
      <c r="EG21355"/>
      <c r="EH21355"/>
      <c r="EI21355"/>
      <c r="EJ21355"/>
      <c r="EK21355"/>
    </row>
    <row r="21356" spans="1:141" s="116" customFormat="1">
      <c r="A21356" s="136"/>
      <c r="CM21356" s="111"/>
      <c r="CQ21356" s="111"/>
      <c r="EF21356"/>
      <c r="EG21356"/>
      <c r="EH21356"/>
      <c r="EI21356"/>
      <c r="EJ21356"/>
      <c r="EK21356"/>
    </row>
    <row r="21357" spans="1:141" s="116" customFormat="1">
      <c r="A21357" s="136"/>
      <c r="CM21357" s="111"/>
      <c r="CQ21357" s="111"/>
      <c r="EF21357"/>
      <c r="EG21357"/>
      <c r="EH21357"/>
      <c r="EI21357"/>
      <c r="EJ21357"/>
      <c r="EK21357"/>
    </row>
    <row r="21358" spans="1:141" s="116" customFormat="1">
      <c r="A21358" s="136"/>
      <c r="CM21358" s="111"/>
      <c r="CQ21358" s="111"/>
      <c r="EF21358"/>
      <c r="EG21358"/>
      <c r="EH21358"/>
      <c r="EI21358"/>
      <c r="EJ21358"/>
      <c r="EK21358"/>
    </row>
    <row r="21359" spans="1:141" s="116" customFormat="1">
      <c r="A21359" s="136"/>
      <c r="CM21359" s="111"/>
      <c r="CQ21359" s="111"/>
      <c r="EF21359"/>
      <c r="EG21359"/>
      <c r="EH21359"/>
      <c r="EI21359"/>
      <c r="EJ21359"/>
      <c r="EK21359"/>
    </row>
    <row r="21360" spans="1:141" s="116" customFormat="1">
      <c r="A21360" s="136"/>
      <c r="CM21360" s="111"/>
      <c r="CQ21360" s="111"/>
      <c r="EF21360"/>
      <c r="EG21360"/>
      <c r="EH21360"/>
      <c r="EI21360"/>
      <c r="EJ21360"/>
      <c r="EK21360"/>
    </row>
    <row r="21361" spans="1:141" s="116" customFormat="1">
      <c r="A21361" s="136"/>
      <c r="CM21361" s="111"/>
      <c r="CQ21361" s="111"/>
      <c r="EF21361"/>
      <c r="EG21361"/>
      <c r="EH21361"/>
      <c r="EI21361"/>
      <c r="EJ21361"/>
      <c r="EK21361"/>
    </row>
    <row r="21362" spans="1:141" s="116" customFormat="1">
      <c r="A21362" s="136"/>
      <c r="CM21362" s="111"/>
      <c r="CQ21362" s="111"/>
      <c r="EF21362"/>
      <c r="EG21362"/>
      <c r="EH21362"/>
      <c r="EI21362"/>
      <c r="EJ21362"/>
      <c r="EK21362"/>
    </row>
    <row r="21363" spans="1:141" s="116" customFormat="1">
      <c r="A21363" s="136"/>
      <c r="CM21363" s="111"/>
      <c r="CQ21363" s="111"/>
      <c r="EF21363"/>
      <c r="EG21363"/>
      <c r="EH21363"/>
      <c r="EI21363"/>
      <c r="EJ21363"/>
      <c r="EK21363"/>
    </row>
    <row r="21364" spans="1:141" s="116" customFormat="1">
      <c r="A21364" s="136"/>
      <c r="CM21364" s="111"/>
      <c r="CQ21364" s="111"/>
      <c r="EF21364"/>
      <c r="EG21364"/>
      <c r="EH21364"/>
      <c r="EI21364"/>
      <c r="EJ21364"/>
      <c r="EK21364"/>
    </row>
    <row r="21365" spans="1:141" s="116" customFormat="1">
      <c r="A21365" s="136"/>
      <c r="CM21365" s="111"/>
      <c r="CQ21365" s="111"/>
      <c r="EF21365"/>
      <c r="EG21365"/>
      <c r="EH21365"/>
      <c r="EI21365"/>
      <c r="EJ21365"/>
      <c r="EK21365"/>
    </row>
    <row r="21366" spans="1:141" s="116" customFormat="1">
      <c r="A21366" s="136"/>
      <c r="CM21366" s="111"/>
      <c r="CQ21366" s="111"/>
      <c r="EF21366"/>
      <c r="EG21366"/>
      <c r="EH21366"/>
      <c r="EI21366"/>
      <c r="EJ21366"/>
      <c r="EK21366"/>
    </row>
    <row r="21367" spans="1:141" s="116" customFormat="1">
      <c r="A21367" s="136"/>
      <c r="CM21367" s="111"/>
      <c r="CQ21367" s="111"/>
      <c r="EF21367"/>
      <c r="EG21367"/>
      <c r="EH21367"/>
      <c r="EI21367"/>
      <c r="EJ21367"/>
      <c r="EK21367"/>
    </row>
    <row r="21368" spans="1:141" s="116" customFormat="1">
      <c r="A21368" s="136"/>
      <c r="CM21368" s="111"/>
      <c r="CQ21368" s="111"/>
      <c r="EF21368"/>
      <c r="EG21368"/>
      <c r="EH21368"/>
      <c r="EI21368"/>
      <c r="EJ21368"/>
      <c r="EK21368"/>
    </row>
    <row r="21369" spans="1:141" s="116" customFormat="1">
      <c r="A21369" s="136"/>
      <c r="CM21369" s="111"/>
      <c r="CQ21369" s="111"/>
      <c r="EF21369"/>
      <c r="EG21369"/>
      <c r="EH21369"/>
      <c r="EI21369"/>
      <c r="EJ21369"/>
      <c r="EK21369"/>
    </row>
    <row r="21370" spans="1:141" s="116" customFormat="1">
      <c r="A21370" s="136"/>
      <c r="CM21370" s="111"/>
      <c r="CQ21370" s="111"/>
      <c r="EF21370"/>
      <c r="EG21370"/>
      <c r="EH21370"/>
      <c r="EI21370"/>
      <c r="EJ21370"/>
      <c r="EK21370"/>
    </row>
    <row r="21371" spans="1:141" s="116" customFormat="1">
      <c r="A21371" s="136"/>
      <c r="CM21371" s="111"/>
      <c r="CQ21371" s="111"/>
      <c r="EF21371"/>
      <c r="EG21371"/>
      <c r="EH21371"/>
      <c r="EI21371"/>
      <c r="EJ21371"/>
      <c r="EK21371"/>
    </row>
    <row r="21372" spans="1:141" s="116" customFormat="1">
      <c r="A21372" s="136"/>
      <c r="CM21372" s="111"/>
      <c r="CQ21372" s="111"/>
      <c r="EF21372"/>
      <c r="EG21372"/>
      <c r="EH21372"/>
      <c r="EI21372"/>
      <c r="EJ21372"/>
      <c r="EK21372"/>
    </row>
    <row r="21373" spans="1:141" s="116" customFormat="1">
      <c r="A21373" s="136"/>
      <c r="CM21373" s="111"/>
      <c r="CQ21373" s="111"/>
      <c r="EF21373"/>
      <c r="EG21373"/>
      <c r="EH21373"/>
      <c r="EI21373"/>
      <c r="EJ21373"/>
      <c r="EK21373"/>
    </row>
    <row r="21374" spans="1:141" s="116" customFormat="1">
      <c r="A21374" s="136"/>
      <c r="CM21374" s="111"/>
      <c r="CQ21374" s="111"/>
      <c r="EF21374"/>
      <c r="EG21374"/>
      <c r="EH21374"/>
      <c r="EI21374"/>
      <c r="EJ21374"/>
      <c r="EK21374"/>
    </row>
    <row r="21375" spans="1:141" s="116" customFormat="1">
      <c r="A21375" s="136"/>
      <c r="CM21375" s="111"/>
      <c r="CQ21375" s="111"/>
      <c r="EF21375"/>
      <c r="EG21375"/>
      <c r="EH21375"/>
      <c r="EI21375"/>
      <c r="EJ21375"/>
      <c r="EK21375"/>
    </row>
    <row r="21376" spans="1:141" s="116" customFormat="1">
      <c r="A21376" s="136"/>
      <c r="CM21376" s="111"/>
      <c r="CQ21376" s="111"/>
      <c r="EF21376"/>
      <c r="EG21376"/>
      <c r="EH21376"/>
      <c r="EI21376"/>
      <c r="EJ21376"/>
      <c r="EK21376"/>
    </row>
    <row r="21377" spans="1:141" s="116" customFormat="1">
      <c r="A21377" s="136"/>
      <c r="CM21377" s="111"/>
      <c r="CQ21377" s="111"/>
      <c r="EF21377"/>
      <c r="EG21377"/>
      <c r="EH21377"/>
      <c r="EI21377"/>
      <c r="EJ21377"/>
      <c r="EK21377"/>
    </row>
    <row r="21378" spans="1:141" s="116" customFormat="1">
      <c r="A21378" s="136"/>
      <c r="CM21378" s="111"/>
      <c r="CQ21378" s="111"/>
      <c r="EF21378"/>
      <c r="EG21378"/>
      <c r="EH21378"/>
      <c r="EI21378"/>
      <c r="EJ21378"/>
      <c r="EK21378"/>
    </row>
    <row r="21379" spans="1:141" s="116" customFormat="1">
      <c r="A21379" s="136"/>
      <c r="CM21379" s="111"/>
      <c r="CQ21379" s="111"/>
      <c r="EF21379"/>
      <c r="EG21379"/>
      <c r="EH21379"/>
      <c r="EI21379"/>
      <c r="EJ21379"/>
      <c r="EK21379"/>
    </row>
    <row r="21380" spans="1:141" s="116" customFormat="1">
      <c r="A21380" s="136"/>
      <c r="CM21380" s="111"/>
      <c r="CQ21380" s="111"/>
      <c r="EF21380"/>
      <c r="EG21380"/>
      <c r="EH21380"/>
      <c r="EI21380"/>
      <c r="EJ21380"/>
      <c r="EK21380"/>
    </row>
    <row r="21381" spans="1:141" s="116" customFormat="1">
      <c r="A21381" s="136"/>
      <c r="CM21381" s="111"/>
      <c r="CQ21381" s="111"/>
      <c r="EF21381"/>
      <c r="EG21381"/>
      <c r="EH21381"/>
      <c r="EI21381"/>
      <c r="EJ21381"/>
      <c r="EK21381"/>
    </row>
    <row r="21382" spans="1:141" s="116" customFormat="1">
      <c r="A21382" s="136"/>
      <c r="CM21382" s="111"/>
      <c r="CQ21382" s="111"/>
      <c r="EF21382"/>
      <c r="EG21382"/>
      <c r="EH21382"/>
      <c r="EI21382"/>
      <c r="EJ21382"/>
      <c r="EK21382"/>
    </row>
    <row r="21383" spans="1:141" s="116" customFormat="1">
      <c r="A21383" s="136"/>
      <c r="CM21383" s="111"/>
      <c r="CQ21383" s="111"/>
      <c r="EF21383"/>
      <c r="EG21383"/>
      <c r="EH21383"/>
      <c r="EI21383"/>
      <c r="EJ21383"/>
      <c r="EK21383"/>
    </row>
    <row r="21384" spans="1:141" s="116" customFormat="1">
      <c r="A21384" s="136"/>
      <c r="CM21384" s="111"/>
      <c r="CQ21384" s="111"/>
      <c r="EF21384"/>
      <c r="EG21384"/>
      <c r="EH21384"/>
      <c r="EI21384"/>
      <c r="EJ21384"/>
      <c r="EK21384"/>
    </row>
    <row r="21385" spans="1:141" s="116" customFormat="1">
      <c r="A21385" s="136"/>
      <c r="CM21385" s="111"/>
      <c r="CQ21385" s="111"/>
      <c r="EF21385"/>
      <c r="EG21385"/>
      <c r="EH21385"/>
      <c r="EI21385"/>
      <c r="EJ21385"/>
      <c r="EK21385"/>
    </row>
    <row r="21386" spans="1:141" s="116" customFormat="1">
      <c r="A21386" s="136"/>
      <c r="CM21386" s="111"/>
      <c r="CQ21386" s="111"/>
      <c r="EF21386"/>
      <c r="EG21386"/>
      <c r="EH21386"/>
      <c r="EI21386"/>
      <c r="EJ21386"/>
      <c r="EK21386"/>
    </row>
    <row r="21387" spans="1:141" s="116" customFormat="1">
      <c r="A21387" s="136"/>
      <c r="CM21387" s="111"/>
      <c r="CQ21387" s="111"/>
      <c r="EF21387"/>
      <c r="EG21387"/>
      <c r="EH21387"/>
      <c r="EI21387"/>
      <c r="EJ21387"/>
      <c r="EK21387"/>
    </row>
    <row r="21388" spans="1:141" s="116" customFormat="1">
      <c r="A21388" s="136"/>
      <c r="CM21388" s="111"/>
      <c r="CQ21388" s="111"/>
      <c r="EF21388"/>
      <c r="EG21388"/>
      <c r="EH21388"/>
      <c r="EI21388"/>
      <c r="EJ21388"/>
      <c r="EK21388"/>
    </row>
    <row r="21389" spans="1:141" s="116" customFormat="1">
      <c r="A21389" s="136"/>
      <c r="CM21389" s="111"/>
      <c r="CQ21389" s="111"/>
      <c r="EF21389"/>
      <c r="EG21389"/>
      <c r="EH21389"/>
      <c r="EI21389"/>
      <c r="EJ21389"/>
      <c r="EK21389"/>
    </row>
    <row r="21390" spans="1:141" s="116" customFormat="1">
      <c r="A21390" s="136"/>
      <c r="CM21390" s="111"/>
      <c r="CQ21390" s="111"/>
      <c r="EF21390"/>
      <c r="EG21390"/>
      <c r="EH21390"/>
      <c r="EI21390"/>
      <c r="EJ21390"/>
      <c r="EK21390"/>
    </row>
    <row r="21391" spans="1:141" s="116" customFormat="1">
      <c r="A21391" s="136"/>
      <c r="CM21391" s="111"/>
      <c r="CQ21391" s="111"/>
      <c r="EF21391"/>
      <c r="EG21391"/>
      <c r="EH21391"/>
      <c r="EI21391"/>
      <c r="EJ21391"/>
      <c r="EK21391"/>
    </row>
    <row r="21392" spans="1:141" s="116" customFormat="1">
      <c r="A21392" s="136"/>
      <c r="CM21392" s="111"/>
      <c r="CQ21392" s="111"/>
      <c r="EF21392"/>
      <c r="EG21392"/>
      <c r="EH21392"/>
      <c r="EI21392"/>
      <c r="EJ21392"/>
      <c r="EK21392"/>
    </row>
    <row r="21393" spans="1:141" s="116" customFormat="1">
      <c r="A21393" s="136"/>
      <c r="CM21393" s="111"/>
      <c r="CQ21393" s="111"/>
      <c r="EF21393"/>
      <c r="EG21393"/>
      <c r="EH21393"/>
      <c r="EI21393"/>
      <c r="EJ21393"/>
      <c r="EK21393"/>
    </row>
    <row r="21394" spans="1:141" s="116" customFormat="1">
      <c r="A21394" s="136"/>
      <c r="CM21394" s="111"/>
      <c r="CQ21394" s="111"/>
      <c r="EF21394"/>
      <c r="EG21394"/>
      <c r="EH21394"/>
      <c r="EI21394"/>
      <c r="EJ21394"/>
      <c r="EK21394"/>
    </row>
    <row r="21395" spans="1:141" s="116" customFormat="1">
      <c r="A21395" s="136"/>
      <c r="CM21395" s="111"/>
      <c r="CQ21395" s="111"/>
      <c r="EF21395"/>
      <c r="EG21395"/>
      <c r="EH21395"/>
      <c r="EI21395"/>
      <c r="EJ21395"/>
      <c r="EK21395"/>
    </row>
    <row r="21396" spans="1:141" s="116" customFormat="1">
      <c r="A21396" s="136"/>
      <c r="CM21396" s="111"/>
      <c r="CQ21396" s="111"/>
      <c r="EF21396"/>
      <c r="EG21396"/>
      <c r="EH21396"/>
      <c r="EI21396"/>
      <c r="EJ21396"/>
      <c r="EK21396"/>
    </row>
    <row r="21397" spans="1:141" s="116" customFormat="1">
      <c r="A21397" s="136"/>
      <c r="CM21397" s="111"/>
      <c r="CQ21397" s="111"/>
      <c r="EF21397"/>
      <c r="EG21397"/>
      <c r="EH21397"/>
      <c r="EI21397"/>
      <c r="EJ21397"/>
      <c r="EK21397"/>
    </row>
    <row r="21398" spans="1:141" s="116" customFormat="1">
      <c r="A21398" s="136"/>
      <c r="CM21398" s="111"/>
      <c r="CQ21398" s="111"/>
      <c r="EF21398"/>
      <c r="EG21398"/>
      <c r="EH21398"/>
      <c r="EI21398"/>
      <c r="EJ21398"/>
      <c r="EK21398"/>
    </row>
    <row r="21399" spans="1:141" s="116" customFormat="1">
      <c r="A21399" s="136"/>
      <c r="CM21399" s="111"/>
      <c r="CQ21399" s="111"/>
      <c r="EF21399"/>
      <c r="EG21399"/>
      <c r="EH21399"/>
      <c r="EI21399"/>
      <c r="EJ21399"/>
      <c r="EK21399"/>
    </row>
    <row r="21400" spans="1:141" s="116" customFormat="1">
      <c r="A21400" s="136"/>
      <c r="CM21400" s="111"/>
      <c r="CQ21400" s="111"/>
      <c r="EF21400"/>
      <c r="EG21400"/>
      <c r="EH21400"/>
      <c r="EI21400"/>
      <c r="EJ21400"/>
      <c r="EK21400"/>
    </row>
    <row r="21401" spans="1:141" s="116" customFormat="1">
      <c r="A21401" s="136"/>
      <c r="CM21401" s="111"/>
      <c r="CQ21401" s="111"/>
      <c r="EF21401"/>
      <c r="EG21401"/>
      <c r="EH21401"/>
      <c r="EI21401"/>
      <c r="EJ21401"/>
      <c r="EK21401"/>
    </row>
    <row r="21402" spans="1:141" s="116" customFormat="1">
      <c r="A21402" s="136"/>
      <c r="CM21402" s="111"/>
      <c r="CQ21402" s="111"/>
      <c r="EF21402"/>
      <c r="EG21402"/>
      <c r="EH21402"/>
      <c r="EI21402"/>
      <c r="EJ21402"/>
      <c r="EK21402"/>
    </row>
    <row r="21403" spans="1:141" s="116" customFormat="1">
      <c r="A21403" s="136"/>
      <c r="CM21403" s="111"/>
      <c r="CQ21403" s="111"/>
      <c r="EF21403"/>
      <c r="EG21403"/>
      <c r="EH21403"/>
      <c r="EI21403"/>
      <c r="EJ21403"/>
      <c r="EK21403"/>
    </row>
    <row r="21404" spans="1:141" s="116" customFormat="1">
      <c r="A21404" s="136"/>
      <c r="CM21404" s="111"/>
      <c r="CQ21404" s="111"/>
      <c r="EF21404"/>
      <c r="EG21404"/>
      <c r="EH21404"/>
      <c r="EI21404"/>
      <c r="EJ21404"/>
      <c r="EK21404"/>
    </row>
    <row r="21405" spans="1:141" s="116" customFormat="1">
      <c r="A21405" s="136"/>
      <c r="CM21405" s="111"/>
      <c r="CQ21405" s="111"/>
      <c r="EF21405"/>
      <c r="EG21405"/>
      <c r="EH21405"/>
      <c r="EI21405"/>
      <c r="EJ21405"/>
      <c r="EK21405"/>
    </row>
    <row r="21406" spans="1:141" s="116" customFormat="1">
      <c r="A21406" s="136"/>
      <c r="CM21406" s="111"/>
      <c r="CQ21406" s="111"/>
      <c r="EF21406"/>
      <c r="EG21406"/>
      <c r="EH21406"/>
      <c r="EI21406"/>
      <c r="EJ21406"/>
      <c r="EK21406"/>
    </row>
    <row r="21407" spans="1:141" s="116" customFormat="1">
      <c r="A21407" s="136"/>
      <c r="CM21407" s="111"/>
      <c r="CQ21407" s="111"/>
      <c r="EF21407"/>
      <c r="EG21407"/>
      <c r="EH21407"/>
      <c r="EI21407"/>
      <c r="EJ21407"/>
      <c r="EK21407"/>
    </row>
    <row r="21408" spans="1:141" s="116" customFormat="1">
      <c r="A21408" s="136"/>
      <c r="CM21408" s="111"/>
      <c r="CQ21408" s="111"/>
      <c r="EF21408"/>
      <c r="EG21408"/>
      <c r="EH21408"/>
      <c r="EI21408"/>
      <c r="EJ21408"/>
      <c r="EK21408"/>
    </row>
    <row r="21409" spans="1:141" s="116" customFormat="1">
      <c r="A21409" s="136"/>
      <c r="CM21409" s="111"/>
      <c r="CQ21409" s="111"/>
      <c r="EF21409"/>
      <c r="EG21409"/>
      <c r="EH21409"/>
      <c r="EI21409"/>
      <c r="EJ21409"/>
      <c r="EK21409"/>
    </row>
    <row r="21410" spans="1:141" s="116" customFormat="1">
      <c r="A21410" s="136"/>
      <c r="CM21410" s="111"/>
      <c r="CQ21410" s="111"/>
      <c r="EF21410"/>
      <c r="EG21410"/>
      <c r="EH21410"/>
      <c r="EI21410"/>
      <c r="EJ21410"/>
      <c r="EK21410"/>
    </row>
    <row r="21411" spans="1:141" s="116" customFormat="1">
      <c r="A21411" s="136"/>
      <c r="CM21411" s="111"/>
      <c r="CQ21411" s="111"/>
      <c r="EF21411"/>
      <c r="EG21411"/>
      <c r="EH21411"/>
      <c r="EI21411"/>
      <c r="EJ21411"/>
      <c r="EK21411"/>
    </row>
    <row r="21412" spans="1:141" s="116" customFormat="1">
      <c r="A21412" s="136"/>
      <c r="CM21412" s="111"/>
      <c r="CQ21412" s="111"/>
      <c r="EF21412"/>
      <c r="EG21412"/>
      <c r="EH21412"/>
      <c r="EI21412"/>
      <c r="EJ21412"/>
      <c r="EK21412"/>
    </row>
    <row r="21413" spans="1:141" s="116" customFormat="1">
      <c r="A21413" s="136"/>
      <c r="CM21413" s="111"/>
      <c r="CQ21413" s="111"/>
      <c r="EF21413"/>
      <c r="EG21413"/>
      <c r="EH21413"/>
      <c r="EI21413"/>
      <c r="EJ21413"/>
      <c r="EK21413"/>
    </row>
    <row r="21414" spans="1:141" s="116" customFormat="1">
      <c r="A21414" s="136"/>
      <c r="CM21414" s="111"/>
      <c r="CQ21414" s="111"/>
      <c r="EF21414"/>
      <c r="EG21414"/>
      <c r="EH21414"/>
      <c r="EI21414"/>
      <c r="EJ21414"/>
      <c r="EK21414"/>
    </row>
    <row r="21415" spans="1:141" s="116" customFormat="1">
      <c r="A21415" s="136"/>
      <c r="CM21415" s="111"/>
      <c r="CQ21415" s="111"/>
      <c r="EF21415"/>
      <c r="EG21415"/>
      <c r="EH21415"/>
      <c r="EI21415"/>
      <c r="EJ21415"/>
      <c r="EK21415"/>
    </row>
    <row r="21416" spans="1:141" s="116" customFormat="1">
      <c r="A21416" s="136"/>
      <c r="CM21416" s="111"/>
      <c r="CQ21416" s="111"/>
      <c r="EF21416"/>
      <c r="EG21416"/>
      <c r="EH21416"/>
      <c r="EI21416"/>
      <c r="EJ21416"/>
      <c r="EK21416"/>
    </row>
    <row r="21417" spans="1:141" s="116" customFormat="1">
      <c r="A21417" s="136"/>
      <c r="CM21417" s="111"/>
      <c r="CQ21417" s="111"/>
      <c r="EF21417"/>
      <c r="EG21417"/>
      <c r="EH21417"/>
      <c r="EI21417"/>
      <c r="EJ21417"/>
      <c r="EK21417"/>
    </row>
    <row r="21418" spans="1:141" s="116" customFormat="1">
      <c r="A21418" s="136"/>
      <c r="CM21418" s="111"/>
      <c r="CQ21418" s="111"/>
      <c r="EF21418"/>
      <c r="EG21418"/>
      <c r="EH21418"/>
      <c r="EI21418"/>
      <c r="EJ21418"/>
      <c r="EK21418"/>
    </row>
    <row r="21419" spans="1:141" s="116" customFormat="1">
      <c r="A21419" s="136"/>
      <c r="CM21419" s="111"/>
      <c r="CQ21419" s="111"/>
      <c r="EF21419"/>
      <c r="EG21419"/>
      <c r="EH21419"/>
      <c r="EI21419"/>
      <c r="EJ21419"/>
      <c r="EK21419"/>
    </row>
    <row r="21420" spans="1:141" s="116" customFormat="1">
      <c r="A21420" s="136"/>
      <c r="CM21420" s="111"/>
      <c r="CQ21420" s="111"/>
      <c r="EF21420"/>
      <c r="EG21420"/>
      <c r="EH21420"/>
      <c r="EI21420"/>
      <c r="EJ21420"/>
      <c r="EK21420"/>
    </row>
    <row r="21421" spans="1:141" s="116" customFormat="1">
      <c r="A21421" s="136"/>
      <c r="CM21421" s="111"/>
      <c r="CQ21421" s="111"/>
      <c r="EF21421"/>
      <c r="EG21421"/>
      <c r="EH21421"/>
      <c r="EI21421"/>
      <c r="EJ21421"/>
      <c r="EK21421"/>
    </row>
    <row r="21422" spans="1:141" s="116" customFormat="1">
      <c r="A21422" s="136"/>
      <c r="CM21422" s="111"/>
      <c r="CQ21422" s="111"/>
      <c r="EF21422"/>
      <c r="EG21422"/>
      <c r="EH21422"/>
      <c r="EI21422"/>
      <c r="EJ21422"/>
      <c r="EK21422"/>
    </row>
    <row r="21423" spans="1:141" s="116" customFormat="1">
      <c r="A21423" s="136"/>
      <c r="CM21423" s="111"/>
      <c r="CQ21423" s="111"/>
      <c r="EF21423"/>
      <c r="EG21423"/>
      <c r="EH21423"/>
      <c r="EI21423"/>
      <c r="EJ21423"/>
      <c r="EK21423"/>
    </row>
    <row r="21424" spans="1:141" s="116" customFormat="1">
      <c r="A21424" s="136"/>
      <c r="CM21424" s="111"/>
      <c r="CQ21424" s="111"/>
      <c r="EF21424"/>
      <c r="EG21424"/>
      <c r="EH21424"/>
      <c r="EI21424"/>
      <c r="EJ21424"/>
      <c r="EK21424"/>
    </row>
    <row r="21425" spans="1:141" s="116" customFormat="1">
      <c r="A21425" s="136"/>
      <c r="CM21425" s="111"/>
      <c r="CQ21425" s="111"/>
      <c r="EF21425"/>
      <c r="EG21425"/>
      <c r="EH21425"/>
      <c r="EI21425"/>
      <c r="EJ21425"/>
      <c r="EK21425"/>
    </row>
    <row r="21426" spans="1:141" s="116" customFormat="1">
      <c r="A21426" s="136"/>
      <c r="CM21426" s="111"/>
      <c r="CQ21426" s="111"/>
      <c r="EF21426"/>
      <c r="EG21426"/>
      <c r="EH21426"/>
      <c r="EI21426"/>
      <c r="EJ21426"/>
      <c r="EK21426"/>
    </row>
    <row r="21427" spans="1:141" s="116" customFormat="1">
      <c r="A21427" s="136"/>
      <c r="CM21427" s="111"/>
      <c r="CQ21427" s="111"/>
      <c r="EF21427"/>
      <c r="EG21427"/>
      <c r="EH21427"/>
      <c r="EI21427"/>
      <c r="EJ21427"/>
      <c r="EK21427"/>
    </row>
    <row r="21428" spans="1:141" s="116" customFormat="1">
      <c r="A21428" s="136"/>
      <c r="CM21428" s="111"/>
      <c r="CQ21428" s="111"/>
      <c r="EF21428"/>
      <c r="EG21428"/>
      <c r="EH21428"/>
      <c r="EI21428"/>
      <c r="EJ21428"/>
      <c r="EK21428"/>
    </row>
    <row r="21429" spans="1:141" s="116" customFormat="1">
      <c r="A21429" s="136"/>
      <c r="CM21429" s="111"/>
      <c r="CQ21429" s="111"/>
      <c r="EF21429"/>
      <c r="EG21429"/>
      <c r="EH21429"/>
      <c r="EI21429"/>
      <c r="EJ21429"/>
      <c r="EK21429"/>
    </row>
    <row r="21430" spans="1:141" s="116" customFormat="1">
      <c r="A21430" s="136"/>
      <c r="CM21430" s="111"/>
      <c r="CQ21430" s="111"/>
      <c r="EF21430"/>
      <c r="EG21430"/>
      <c r="EH21430"/>
      <c r="EI21430"/>
      <c r="EJ21430"/>
      <c r="EK21430"/>
    </row>
    <row r="21431" spans="1:141" s="116" customFormat="1">
      <c r="A21431" s="136"/>
      <c r="CM21431" s="111"/>
      <c r="CQ21431" s="111"/>
      <c r="EF21431"/>
      <c r="EG21431"/>
      <c r="EH21431"/>
      <c r="EI21431"/>
      <c r="EJ21431"/>
      <c r="EK21431"/>
    </row>
    <row r="21432" spans="1:141" s="116" customFormat="1">
      <c r="A21432" s="136"/>
      <c r="CM21432" s="111"/>
      <c r="CQ21432" s="111"/>
      <c r="EF21432"/>
      <c r="EG21432"/>
      <c r="EH21432"/>
      <c r="EI21432"/>
      <c r="EJ21432"/>
      <c r="EK21432"/>
    </row>
    <row r="21433" spans="1:141" s="116" customFormat="1">
      <c r="A21433" s="136"/>
      <c r="CM21433" s="111"/>
      <c r="CQ21433" s="111"/>
      <c r="EF21433"/>
      <c r="EG21433"/>
      <c r="EH21433"/>
      <c r="EI21433"/>
      <c r="EJ21433"/>
      <c r="EK21433"/>
    </row>
    <row r="21434" spans="1:141" s="116" customFormat="1">
      <c r="A21434" s="136"/>
      <c r="CM21434" s="111"/>
      <c r="CQ21434" s="111"/>
      <c r="EF21434"/>
      <c r="EG21434"/>
      <c r="EH21434"/>
      <c r="EI21434"/>
      <c r="EJ21434"/>
      <c r="EK21434"/>
    </row>
    <row r="21435" spans="1:141" s="116" customFormat="1">
      <c r="A21435" s="136"/>
      <c r="CM21435" s="111"/>
      <c r="CQ21435" s="111"/>
      <c r="EF21435"/>
      <c r="EG21435"/>
      <c r="EH21435"/>
      <c r="EI21435"/>
      <c r="EJ21435"/>
      <c r="EK21435"/>
    </row>
    <row r="21436" spans="1:141" s="116" customFormat="1">
      <c r="A21436" s="136"/>
      <c r="CM21436" s="111"/>
      <c r="CQ21436" s="111"/>
      <c r="EF21436"/>
      <c r="EG21436"/>
      <c r="EH21436"/>
      <c r="EI21436"/>
      <c r="EJ21436"/>
      <c r="EK21436"/>
    </row>
    <row r="21437" spans="1:141" s="116" customFormat="1">
      <c r="A21437" s="136"/>
      <c r="CM21437" s="111"/>
      <c r="CQ21437" s="111"/>
      <c r="EF21437"/>
      <c r="EG21437"/>
      <c r="EH21437"/>
      <c r="EI21437"/>
      <c r="EJ21437"/>
      <c r="EK21437"/>
    </row>
    <row r="21438" spans="1:141" s="116" customFormat="1">
      <c r="A21438" s="136"/>
      <c r="CM21438" s="111"/>
      <c r="CQ21438" s="111"/>
      <c r="EF21438"/>
      <c r="EG21438"/>
      <c r="EH21438"/>
      <c r="EI21438"/>
      <c r="EJ21438"/>
      <c r="EK21438"/>
    </row>
    <row r="21439" spans="1:141" s="116" customFormat="1">
      <c r="A21439" s="136"/>
      <c r="CM21439" s="111"/>
      <c r="CQ21439" s="111"/>
      <c r="EF21439"/>
      <c r="EG21439"/>
      <c r="EH21439"/>
      <c r="EI21439"/>
      <c r="EJ21439"/>
      <c r="EK21439"/>
    </row>
    <row r="21440" spans="1:141" s="116" customFormat="1">
      <c r="A21440" s="136"/>
      <c r="CM21440" s="111"/>
      <c r="CQ21440" s="111"/>
      <c r="EF21440"/>
      <c r="EG21440"/>
      <c r="EH21440"/>
      <c r="EI21440"/>
      <c r="EJ21440"/>
      <c r="EK21440"/>
    </row>
    <row r="21441" spans="1:141" s="116" customFormat="1">
      <c r="A21441" s="136"/>
      <c r="CM21441" s="111"/>
      <c r="CQ21441" s="111"/>
      <c r="EF21441"/>
      <c r="EG21441"/>
      <c r="EH21441"/>
      <c r="EI21441"/>
      <c r="EJ21441"/>
      <c r="EK21441"/>
    </row>
    <row r="21442" spans="1:141" s="116" customFormat="1">
      <c r="A21442" s="136"/>
      <c r="CM21442" s="111"/>
      <c r="CQ21442" s="111"/>
      <c r="EF21442"/>
      <c r="EG21442"/>
      <c r="EH21442"/>
      <c r="EI21442"/>
      <c r="EJ21442"/>
      <c r="EK21442"/>
    </row>
    <row r="21443" spans="1:141" s="116" customFormat="1">
      <c r="A21443" s="136"/>
      <c r="CM21443" s="111"/>
      <c r="CQ21443" s="111"/>
      <c r="EF21443"/>
      <c r="EG21443"/>
      <c r="EH21443"/>
      <c r="EI21443"/>
      <c r="EJ21443"/>
      <c r="EK21443"/>
    </row>
    <row r="21444" spans="1:141" s="116" customFormat="1">
      <c r="A21444" s="136"/>
      <c r="CM21444" s="111"/>
      <c r="CQ21444" s="111"/>
      <c r="EF21444"/>
      <c r="EG21444"/>
      <c r="EH21444"/>
      <c r="EI21444"/>
      <c r="EJ21444"/>
      <c r="EK21444"/>
    </row>
    <row r="21445" spans="1:141" s="116" customFormat="1">
      <c r="A21445" s="136"/>
      <c r="CM21445" s="111"/>
      <c r="CQ21445" s="111"/>
      <c r="EF21445"/>
      <c r="EG21445"/>
      <c r="EH21445"/>
      <c r="EI21445"/>
      <c r="EJ21445"/>
      <c r="EK21445"/>
    </row>
    <row r="21446" spans="1:141" s="116" customFormat="1">
      <c r="A21446" s="136"/>
      <c r="CM21446" s="111"/>
      <c r="CQ21446" s="111"/>
      <c r="EF21446"/>
      <c r="EG21446"/>
      <c r="EH21446"/>
      <c r="EI21446"/>
      <c r="EJ21446"/>
      <c r="EK21446"/>
    </row>
    <row r="21447" spans="1:141" s="116" customFormat="1">
      <c r="A21447" s="136"/>
      <c r="CM21447" s="111"/>
      <c r="CQ21447" s="111"/>
      <c r="EF21447"/>
      <c r="EG21447"/>
      <c r="EH21447"/>
      <c r="EI21447"/>
      <c r="EJ21447"/>
      <c r="EK21447"/>
    </row>
    <row r="21448" spans="1:141" s="116" customFormat="1">
      <c r="A21448" s="136"/>
      <c r="CM21448" s="111"/>
      <c r="CQ21448" s="111"/>
      <c r="EF21448"/>
      <c r="EG21448"/>
      <c r="EH21448"/>
      <c r="EI21448"/>
      <c r="EJ21448"/>
      <c r="EK21448"/>
    </row>
    <row r="21449" spans="1:141" s="116" customFormat="1">
      <c r="A21449" s="136"/>
      <c r="CM21449" s="111"/>
      <c r="CQ21449" s="111"/>
      <c r="EF21449"/>
      <c r="EG21449"/>
      <c r="EH21449"/>
      <c r="EI21449"/>
      <c r="EJ21449"/>
      <c r="EK21449"/>
    </row>
    <row r="21450" spans="1:141" s="116" customFormat="1">
      <c r="A21450" s="136"/>
      <c r="CM21450" s="111"/>
      <c r="CQ21450" s="111"/>
      <c r="EF21450"/>
      <c r="EG21450"/>
      <c r="EH21450"/>
      <c r="EI21450"/>
      <c r="EJ21450"/>
      <c r="EK21450"/>
    </row>
    <row r="21451" spans="1:141" s="116" customFormat="1">
      <c r="A21451" s="136"/>
      <c r="CM21451" s="111"/>
      <c r="CQ21451" s="111"/>
      <c r="EF21451"/>
      <c r="EG21451"/>
      <c r="EH21451"/>
      <c r="EI21451"/>
      <c r="EJ21451"/>
      <c r="EK21451"/>
    </row>
    <row r="21452" spans="1:141" s="116" customFormat="1">
      <c r="A21452" s="136"/>
      <c r="CM21452" s="111"/>
      <c r="CQ21452" s="111"/>
      <c r="EF21452"/>
      <c r="EG21452"/>
      <c r="EH21452"/>
      <c r="EI21452"/>
      <c r="EJ21452"/>
      <c r="EK21452"/>
    </row>
    <row r="21453" spans="1:141" s="116" customFormat="1">
      <c r="A21453" s="136"/>
      <c r="CM21453" s="111"/>
      <c r="CQ21453" s="111"/>
      <c r="EF21453"/>
      <c r="EG21453"/>
      <c r="EH21453"/>
      <c r="EI21453"/>
      <c r="EJ21453"/>
      <c r="EK21453"/>
    </row>
    <row r="21454" spans="1:141" s="116" customFormat="1">
      <c r="A21454" s="136"/>
      <c r="CM21454" s="111"/>
      <c r="CQ21454" s="111"/>
      <c r="EF21454"/>
      <c r="EG21454"/>
      <c r="EH21454"/>
      <c r="EI21454"/>
      <c r="EJ21454"/>
      <c r="EK21454"/>
    </row>
    <row r="21455" spans="1:141" s="116" customFormat="1">
      <c r="A21455" s="136"/>
      <c r="CM21455" s="111"/>
      <c r="CQ21455" s="111"/>
      <c r="EF21455"/>
      <c r="EG21455"/>
      <c r="EH21455"/>
      <c r="EI21455"/>
      <c r="EJ21455"/>
      <c r="EK21455"/>
    </row>
    <row r="21456" spans="1:141" s="116" customFormat="1">
      <c r="A21456" s="136"/>
      <c r="CM21456" s="111"/>
      <c r="CQ21456" s="111"/>
      <c r="EF21456"/>
      <c r="EG21456"/>
      <c r="EH21456"/>
      <c r="EI21456"/>
      <c r="EJ21456"/>
      <c r="EK21456"/>
    </row>
    <row r="21457" spans="1:141" s="116" customFormat="1">
      <c r="A21457" s="136"/>
      <c r="CM21457" s="111"/>
      <c r="CQ21457" s="111"/>
      <c r="EF21457"/>
      <c r="EG21457"/>
      <c r="EH21457"/>
      <c r="EI21457"/>
      <c r="EJ21457"/>
      <c r="EK21457"/>
    </row>
    <row r="21458" spans="1:141" s="116" customFormat="1">
      <c r="A21458" s="136"/>
      <c r="CM21458" s="111"/>
      <c r="CQ21458" s="111"/>
      <c r="EF21458"/>
      <c r="EG21458"/>
      <c r="EH21458"/>
      <c r="EI21458"/>
      <c r="EJ21458"/>
      <c r="EK21458"/>
    </row>
    <row r="21459" spans="1:141" s="116" customFormat="1">
      <c r="A21459" s="136"/>
      <c r="CM21459" s="111"/>
      <c r="CQ21459" s="111"/>
      <c r="EF21459"/>
      <c r="EG21459"/>
      <c r="EH21459"/>
      <c r="EI21459"/>
      <c r="EJ21459"/>
      <c r="EK21459"/>
    </row>
    <row r="21460" spans="1:141" s="116" customFormat="1">
      <c r="A21460" s="136"/>
      <c r="CM21460" s="111"/>
      <c r="CQ21460" s="111"/>
      <c r="EF21460"/>
      <c r="EG21460"/>
      <c r="EH21460"/>
      <c r="EI21460"/>
      <c r="EJ21460"/>
      <c r="EK21460"/>
    </row>
    <row r="21461" spans="1:141" s="116" customFormat="1">
      <c r="A21461" s="136"/>
      <c r="CM21461" s="111"/>
      <c r="CQ21461" s="111"/>
      <c r="EF21461"/>
      <c r="EG21461"/>
      <c r="EH21461"/>
      <c r="EI21461"/>
      <c r="EJ21461"/>
      <c r="EK21461"/>
    </row>
    <row r="21462" spans="1:141" s="116" customFormat="1">
      <c r="A21462" s="136"/>
      <c r="CM21462" s="111"/>
      <c r="CQ21462" s="111"/>
      <c r="EF21462"/>
      <c r="EG21462"/>
      <c r="EH21462"/>
      <c r="EI21462"/>
      <c r="EJ21462"/>
      <c r="EK21462"/>
    </row>
    <row r="21463" spans="1:141" s="116" customFormat="1">
      <c r="A21463" s="136"/>
      <c r="CM21463" s="111"/>
      <c r="CQ21463" s="111"/>
      <c r="EF21463"/>
      <c r="EG21463"/>
      <c r="EH21463"/>
      <c r="EI21463"/>
      <c r="EJ21463"/>
      <c r="EK21463"/>
    </row>
    <row r="21464" spans="1:141" s="116" customFormat="1">
      <c r="A21464" s="136"/>
      <c r="CM21464" s="111"/>
      <c r="CQ21464" s="111"/>
      <c r="EF21464"/>
      <c r="EG21464"/>
      <c r="EH21464"/>
      <c r="EI21464"/>
      <c r="EJ21464"/>
      <c r="EK21464"/>
    </row>
    <row r="21465" spans="1:141" s="116" customFormat="1">
      <c r="A21465" s="136"/>
      <c r="CM21465" s="111"/>
      <c r="CQ21465" s="111"/>
      <c r="EF21465"/>
      <c r="EG21465"/>
      <c r="EH21465"/>
      <c r="EI21465"/>
      <c r="EJ21465"/>
      <c r="EK21465"/>
    </row>
    <row r="21466" spans="1:141" s="116" customFormat="1">
      <c r="A21466" s="136"/>
      <c r="CM21466" s="111"/>
      <c r="CQ21466" s="111"/>
      <c r="EF21466"/>
      <c r="EG21466"/>
      <c r="EH21466"/>
      <c r="EI21466"/>
      <c r="EJ21466"/>
      <c r="EK21466"/>
    </row>
    <row r="21467" spans="1:141" s="116" customFormat="1">
      <c r="A21467" s="136"/>
      <c r="CM21467" s="111"/>
      <c r="CQ21467" s="111"/>
      <c r="EF21467"/>
      <c r="EG21467"/>
      <c r="EH21467"/>
      <c r="EI21467"/>
      <c r="EJ21467"/>
      <c r="EK21467"/>
    </row>
    <row r="21468" spans="1:141" s="116" customFormat="1">
      <c r="A21468" s="136"/>
      <c r="CM21468" s="111"/>
      <c r="CQ21468" s="111"/>
      <c r="EF21468"/>
      <c r="EG21468"/>
      <c r="EH21468"/>
      <c r="EI21468"/>
      <c r="EJ21468"/>
      <c r="EK21468"/>
    </row>
    <row r="21469" spans="1:141" s="116" customFormat="1">
      <c r="A21469" s="136"/>
      <c r="CM21469" s="111"/>
      <c r="CQ21469" s="111"/>
      <c r="EF21469"/>
      <c r="EG21469"/>
      <c r="EH21469"/>
      <c r="EI21469"/>
      <c r="EJ21469"/>
      <c r="EK21469"/>
    </row>
    <row r="21470" spans="1:141" s="116" customFormat="1">
      <c r="A21470" s="136"/>
      <c r="CM21470" s="111"/>
      <c r="CQ21470" s="111"/>
      <c r="EF21470"/>
      <c r="EG21470"/>
      <c r="EH21470"/>
      <c r="EI21470"/>
      <c r="EJ21470"/>
      <c r="EK21470"/>
    </row>
    <row r="21471" spans="1:141" s="116" customFormat="1">
      <c r="A21471" s="136"/>
      <c r="CM21471" s="111"/>
      <c r="CQ21471" s="111"/>
      <c r="EF21471"/>
      <c r="EG21471"/>
      <c r="EH21471"/>
      <c r="EI21471"/>
      <c r="EJ21471"/>
      <c r="EK21471"/>
    </row>
    <row r="21472" spans="1:141" s="116" customFormat="1">
      <c r="A21472" s="136"/>
      <c r="CM21472" s="111"/>
      <c r="CQ21472" s="111"/>
      <c r="EF21472"/>
      <c r="EG21472"/>
      <c r="EH21472"/>
      <c r="EI21472"/>
      <c r="EJ21472"/>
      <c r="EK21472"/>
    </row>
    <row r="21473" spans="1:141" s="116" customFormat="1">
      <c r="A21473" s="136"/>
      <c r="CM21473" s="111"/>
      <c r="CQ21473" s="111"/>
      <c r="EF21473"/>
      <c r="EG21473"/>
      <c r="EH21473"/>
      <c r="EI21473"/>
      <c r="EJ21473"/>
      <c r="EK21473"/>
    </row>
    <row r="21474" spans="1:141" s="116" customFormat="1">
      <c r="A21474" s="136"/>
      <c r="CM21474" s="111"/>
      <c r="CQ21474" s="111"/>
      <c r="EF21474"/>
      <c r="EG21474"/>
      <c r="EH21474"/>
      <c r="EI21474"/>
      <c r="EJ21474"/>
      <c r="EK21474"/>
    </row>
    <row r="21475" spans="1:141" s="116" customFormat="1">
      <c r="A21475" s="136"/>
      <c r="CM21475" s="111"/>
      <c r="CQ21475" s="111"/>
      <c r="EF21475"/>
      <c r="EG21475"/>
      <c r="EH21475"/>
      <c r="EI21475"/>
      <c r="EJ21475"/>
      <c r="EK21475"/>
    </row>
    <row r="21476" spans="1:141" s="116" customFormat="1">
      <c r="A21476" s="136"/>
      <c r="CM21476" s="111"/>
      <c r="CQ21476" s="111"/>
      <c r="EF21476"/>
      <c r="EG21476"/>
      <c r="EH21476"/>
      <c r="EI21476"/>
      <c r="EJ21476"/>
      <c r="EK21476"/>
    </row>
    <row r="21477" spans="1:141" s="116" customFormat="1">
      <c r="A21477" s="136"/>
      <c r="CM21477" s="111"/>
      <c r="CQ21477" s="111"/>
      <c r="EF21477"/>
      <c r="EG21477"/>
      <c r="EH21477"/>
      <c r="EI21477"/>
      <c r="EJ21477"/>
      <c r="EK21477"/>
    </row>
    <row r="21478" spans="1:141" s="116" customFormat="1">
      <c r="A21478" s="136"/>
      <c r="CM21478" s="111"/>
      <c r="CQ21478" s="111"/>
      <c r="EF21478"/>
      <c r="EG21478"/>
      <c r="EH21478"/>
      <c r="EI21478"/>
      <c r="EJ21478"/>
      <c r="EK21478"/>
    </row>
    <row r="21479" spans="1:141" s="116" customFormat="1">
      <c r="A21479" s="136"/>
      <c r="CM21479" s="111"/>
      <c r="CQ21479" s="111"/>
      <c r="EF21479"/>
      <c r="EG21479"/>
      <c r="EH21479"/>
      <c r="EI21479"/>
      <c r="EJ21479"/>
      <c r="EK21479"/>
    </row>
    <row r="21480" spans="1:141" s="116" customFormat="1">
      <c r="A21480" s="136"/>
      <c r="CM21480" s="111"/>
      <c r="CQ21480" s="111"/>
      <c r="EF21480"/>
      <c r="EG21480"/>
      <c r="EH21480"/>
      <c r="EI21480"/>
      <c r="EJ21480"/>
      <c r="EK21480"/>
    </row>
    <row r="21481" spans="1:141" s="116" customFormat="1">
      <c r="A21481" s="136"/>
      <c r="CM21481" s="111"/>
      <c r="CQ21481" s="111"/>
      <c r="EF21481"/>
      <c r="EG21481"/>
      <c r="EH21481"/>
      <c r="EI21481"/>
      <c r="EJ21481"/>
      <c r="EK21481"/>
    </row>
    <row r="21482" spans="1:141" s="116" customFormat="1">
      <c r="A21482" s="136"/>
      <c r="CM21482" s="111"/>
      <c r="CQ21482" s="111"/>
      <c r="EF21482"/>
      <c r="EG21482"/>
      <c r="EH21482"/>
      <c r="EI21482"/>
      <c r="EJ21482"/>
      <c r="EK21482"/>
    </row>
    <row r="21483" spans="1:141" s="116" customFormat="1">
      <c r="A21483" s="136"/>
      <c r="CM21483" s="111"/>
      <c r="CQ21483" s="111"/>
      <c r="EF21483"/>
      <c r="EG21483"/>
      <c r="EH21483"/>
      <c r="EI21483"/>
      <c r="EJ21483"/>
      <c r="EK21483"/>
    </row>
    <row r="21484" spans="1:141" s="116" customFormat="1">
      <c r="A21484" s="136"/>
      <c r="CM21484" s="111"/>
      <c r="CQ21484" s="111"/>
      <c r="EF21484"/>
      <c r="EG21484"/>
      <c r="EH21484"/>
      <c r="EI21484"/>
      <c r="EJ21484"/>
      <c r="EK21484"/>
    </row>
    <row r="21485" spans="1:141" s="116" customFormat="1">
      <c r="A21485" s="136"/>
      <c r="CM21485" s="111"/>
      <c r="CQ21485" s="111"/>
      <c r="EF21485"/>
      <c r="EG21485"/>
      <c r="EH21485"/>
      <c r="EI21485"/>
      <c r="EJ21485"/>
      <c r="EK21485"/>
    </row>
    <row r="21486" spans="1:141" s="116" customFormat="1">
      <c r="A21486" s="136"/>
      <c r="CM21486" s="111"/>
      <c r="CQ21486" s="111"/>
      <c r="EF21486"/>
      <c r="EG21486"/>
      <c r="EH21486"/>
      <c r="EI21486"/>
      <c r="EJ21486"/>
      <c r="EK21486"/>
    </row>
    <row r="21487" spans="1:141" s="116" customFormat="1">
      <c r="A21487" s="136"/>
      <c r="CM21487" s="111"/>
      <c r="CQ21487" s="111"/>
      <c r="EF21487"/>
      <c r="EG21487"/>
      <c r="EH21487"/>
      <c r="EI21487"/>
      <c r="EJ21487"/>
      <c r="EK21487"/>
    </row>
    <row r="21488" spans="1:141" s="116" customFormat="1">
      <c r="A21488" s="136"/>
      <c r="CM21488" s="111"/>
      <c r="CQ21488" s="111"/>
      <c r="EF21488"/>
      <c r="EG21488"/>
      <c r="EH21488"/>
      <c r="EI21488"/>
      <c r="EJ21488"/>
      <c r="EK21488"/>
    </row>
    <row r="21489" spans="1:141" s="116" customFormat="1">
      <c r="A21489" s="136"/>
      <c r="CM21489" s="111"/>
      <c r="CQ21489" s="111"/>
      <c r="EF21489"/>
      <c r="EG21489"/>
      <c r="EH21489"/>
      <c r="EI21489"/>
      <c r="EJ21489"/>
      <c r="EK21489"/>
    </row>
    <row r="21490" spans="1:141" s="116" customFormat="1">
      <c r="A21490" s="136"/>
      <c r="CM21490" s="111"/>
      <c r="CQ21490" s="111"/>
      <c r="EF21490"/>
      <c r="EG21490"/>
      <c r="EH21490"/>
      <c r="EI21490"/>
      <c r="EJ21490"/>
      <c r="EK21490"/>
    </row>
    <row r="21491" spans="1:141" s="116" customFormat="1">
      <c r="A21491" s="136"/>
      <c r="CM21491" s="111"/>
      <c r="CQ21491" s="111"/>
      <c r="EF21491"/>
      <c r="EG21491"/>
      <c r="EH21491"/>
      <c r="EI21491"/>
      <c r="EJ21491"/>
      <c r="EK21491"/>
    </row>
    <row r="21492" spans="1:141" s="116" customFormat="1">
      <c r="A21492" s="136"/>
      <c r="CM21492" s="111"/>
      <c r="CQ21492" s="111"/>
      <c r="EF21492"/>
      <c r="EG21492"/>
      <c r="EH21492"/>
      <c r="EI21492"/>
      <c r="EJ21492"/>
      <c r="EK21492"/>
    </row>
    <row r="21493" spans="1:141" s="116" customFormat="1">
      <c r="A21493" s="136"/>
      <c r="CM21493" s="111"/>
      <c r="CQ21493" s="111"/>
      <c r="EF21493"/>
      <c r="EG21493"/>
      <c r="EH21493"/>
      <c r="EI21493"/>
      <c r="EJ21493"/>
      <c r="EK21493"/>
    </row>
    <row r="21494" spans="1:141" s="116" customFormat="1">
      <c r="A21494" s="136"/>
      <c r="CM21494" s="111"/>
      <c r="CQ21494" s="111"/>
      <c r="EF21494"/>
      <c r="EG21494"/>
      <c r="EH21494"/>
      <c r="EI21494"/>
      <c r="EJ21494"/>
      <c r="EK21494"/>
    </row>
    <row r="21495" spans="1:141" s="116" customFormat="1">
      <c r="A21495" s="136"/>
      <c r="CM21495" s="111"/>
      <c r="CQ21495" s="111"/>
      <c r="EF21495"/>
      <c r="EG21495"/>
      <c r="EH21495"/>
      <c r="EI21495"/>
      <c r="EJ21495"/>
      <c r="EK21495"/>
    </row>
    <row r="21496" spans="1:141" s="116" customFormat="1">
      <c r="A21496" s="136"/>
      <c r="CM21496" s="111"/>
      <c r="CQ21496" s="111"/>
      <c r="EF21496"/>
      <c r="EG21496"/>
      <c r="EH21496"/>
      <c r="EI21496"/>
      <c r="EJ21496"/>
      <c r="EK21496"/>
    </row>
    <row r="21497" spans="1:141" s="116" customFormat="1">
      <c r="A21497" s="136"/>
      <c r="CM21497" s="111"/>
      <c r="CQ21497" s="111"/>
      <c r="EF21497"/>
      <c r="EG21497"/>
      <c r="EH21497"/>
      <c r="EI21497"/>
      <c r="EJ21497"/>
      <c r="EK21497"/>
    </row>
    <row r="21498" spans="1:141" s="116" customFormat="1">
      <c r="A21498" s="136"/>
      <c r="CM21498" s="111"/>
      <c r="CQ21498" s="111"/>
      <c r="EF21498"/>
      <c r="EG21498"/>
      <c r="EH21498"/>
      <c r="EI21498"/>
      <c r="EJ21498"/>
      <c r="EK21498"/>
    </row>
    <row r="21499" spans="1:141" s="116" customFormat="1">
      <c r="A21499" s="136"/>
      <c r="CM21499" s="111"/>
      <c r="CQ21499" s="111"/>
      <c r="EF21499"/>
      <c r="EG21499"/>
      <c r="EH21499"/>
      <c r="EI21499"/>
      <c r="EJ21499"/>
      <c r="EK21499"/>
    </row>
    <row r="21500" spans="1:141" s="116" customFormat="1">
      <c r="A21500" s="136"/>
      <c r="CM21500" s="111"/>
      <c r="CQ21500" s="111"/>
      <c r="EF21500"/>
      <c r="EG21500"/>
      <c r="EH21500"/>
      <c r="EI21500"/>
      <c r="EJ21500"/>
      <c r="EK21500"/>
    </row>
    <row r="21501" spans="1:141" s="116" customFormat="1">
      <c r="A21501" s="136"/>
      <c r="CM21501" s="111"/>
      <c r="CQ21501" s="111"/>
      <c r="EF21501"/>
      <c r="EG21501"/>
      <c r="EH21501"/>
      <c r="EI21501"/>
      <c r="EJ21501"/>
      <c r="EK21501"/>
    </row>
    <row r="21502" spans="1:141" s="116" customFormat="1">
      <c r="A21502" s="136"/>
      <c r="CM21502" s="111"/>
      <c r="CQ21502" s="111"/>
      <c r="EF21502"/>
      <c r="EG21502"/>
      <c r="EH21502"/>
      <c r="EI21502"/>
      <c r="EJ21502"/>
      <c r="EK21502"/>
    </row>
    <row r="21503" spans="1:141" s="116" customFormat="1">
      <c r="A21503" s="136"/>
      <c r="CM21503" s="111"/>
      <c r="CQ21503" s="111"/>
      <c r="EF21503"/>
      <c r="EG21503"/>
      <c r="EH21503"/>
      <c r="EI21503"/>
      <c r="EJ21503"/>
      <c r="EK21503"/>
    </row>
    <row r="21504" spans="1:141" s="116" customFormat="1">
      <c r="A21504" s="136"/>
      <c r="CM21504" s="111"/>
      <c r="CQ21504" s="111"/>
      <c r="EF21504"/>
      <c r="EG21504"/>
      <c r="EH21504"/>
      <c r="EI21504"/>
      <c r="EJ21504"/>
      <c r="EK21504"/>
    </row>
    <row r="21505" spans="1:141" s="116" customFormat="1">
      <c r="A21505" s="136"/>
      <c r="CM21505" s="111"/>
      <c r="CQ21505" s="111"/>
      <c r="EF21505"/>
      <c r="EG21505"/>
      <c r="EH21505"/>
      <c r="EI21505"/>
      <c r="EJ21505"/>
      <c r="EK21505"/>
    </row>
    <row r="21506" spans="1:141" s="116" customFormat="1">
      <c r="A21506" s="136"/>
      <c r="CM21506" s="111"/>
      <c r="CQ21506" s="111"/>
      <c r="EF21506"/>
      <c r="EG21506"/>
      <c r="EH21506"/>
      <c r="EI21506"/>
      <c r="EJ21506"/>
      <c r="EK21506"/>
    </row>
    <row r="21507" spans="1:141" s="116" customFormat="1">
      <c r="A21507" s="136"/>
      <c r="CM21507" s="111"/>
      <c r="CQ21507" s="111"/>
      <c r="EF21507"/>
      <c r="EG21507"/>
      <c r="EH21507"/>
      <c r="EI21507"/>
      <c r="EJ21507"/>
      <c r="EK21507"/>
    </row>
    <row r="21508" spans="1:141" s="116" customFormat="1">
      <c r="A21508" s="136"/>
      <c r="CM21508" s="111"/>
      <c r="CQ21508" s="111"/>
      <c r="EF21508"/>
      <c r="EG21508"/>
      <c r="EH21508"/>
      <c r="EI21508"/>
      <c r="EJ21508"/>
      <c r="EK21508"/>
    </row>
    <row r="21509" spans="1:141" s="116" customFormat="1">
      <c r="A21509" s="136"/>
      <c r="CM21509" s="111"/>
      <c r="CQ21509" s="111"/>
      <c r="EF21509"/>
      <c r="EG21509"/>
      <c r="EH21509"/>
      <c r="EI21509"/>
      <c r="EJ21509"/>
      <c r="EK21509"/>
    </row>
    <row r="21510" spans="1:141" s="116" customFormat="1">
      <c r="A21510" s="136"/>
      <c r="CM21510" s="111"/>
      <c r="CQ21510" s="111"/>
      <c r="EF21510"/>
      <c r="EG21510"/>
      <c r="EH21510"/>
      <c r="EI21510"/>
      <c r="EJ21510"/>
      <c r="EK21510"/>
    </row>
    <row r="21511" spans="1:141" s="116" customFormat="1">
      <c r="A21511" s="136"/>
      <c r="CM21511" s="111"/>
      <c r="CQ21511" s="111"/>
      <c r="EF21511"/>
      <c r="EG21511"/>
      <c r="EH21511"/>
      <c r="EI21511"/>
      <c r="EJ21511"/>
      <c r="EK21511"/>
    </row>
    <row r="21512" spans="1:141" s="116" customFormat="1">
      <c r="A21512" s="136"/>
      <c r="CM21512" s="111"/>
      <c r="CQ21512" s="111"/>
      <c r="EF21512"/>
      <c r="EG21512"/>
      <c r="EH21512"/>
      <c r="EI21512"/>
      <c r="EJ21512"/>
      <c r="EK21512"/>
    </row>
    <row r="21513" spans="1:141" s="116" customFormat="1">
      <c r="A21513" s="136"/>
      <c r="CM21513" s="111"/>
      <c r="CQ21513" s="111"/>
      <c r="EF21513"/>
      <c r="EG21513"/>
      <c r="EH21513"/>
      <c r="EI21513"/>
      <c r="EJ21513"/>
      <c r="EK21513"/>
    </row>
    <row r="21514" spans="1:141" s="116" customFormat="1">
      <c r="A21514" s="136"/>
      <c r="CM21514" s="111"/>
      <c r="CQ21514" s="111"/>
      <c r="EF21514"/>
      <c r="EG21514"/>
      <c r="EH21514"/>
      <c r="EI21514"/>
      <c r="EJ21514"/>
      <c r="EK21514"/>
    </row>
    <row r="21515" spans="1:141" s="116" customFormat="1">
      <c r="A21515" s="136"/>
      <c r="CM21515" s="111"/>
      <c r="CQ21515" s="111"/>
      <c r="EF21515"/>
      <c r="EG21515"/>
      <c r="EH21515"/>
      <c r="EI21515"/>
      <c r="EJ21515"/>
      <c r="EK21515"/>
    </row>
    <row r="21516" spans="1:141" s="116" customFormat="1">
      <c r="A21516" s="136"/>
      <c r="CM21516" s="111"/>
      <c r="CQ21516" s="111"/>
      <c r="EF21516"/>
      <c r="EG21516"/>
      <c r="EH21516"/>
      <c r="EI21516"/>
      <c r="EJ21516"/>
      <c r="EK21516"/>
    </row>
    <row r="21517" spans="1:141" s="116" customFormat="1">
      <c r="A21517" s="136"/>
      <c r="CM21517" s="111"/>
      <c r="CQ21517" s="111"/>
      <c r="EF21517"/>
      <c r="EG21517"/>
      <c r="EH21517"/>
      <c r="EI21517"/>
      <c r="EJ21517"/>
      <c r="EK21517"/>
    </row>
    <row r="21518" spans="1:141" s="116" customFormat="1">
      <c r="A21518" s="136"/>
      <c r="CM21518" s="111"/>
      <c r="CQ21518" s="111"/>
      <c r="EF21518"/>
      <c r="EG21518"/>
      <c r="EH21518"/>
      <c r="EI21518"/>
      <c r="EJ21518"/>
      <c r="EK21518"/>
    </row>
    <row r="21519" spans="1:141" s="116" customFormat="1">
      <c r="A21519" s="136"/>
      <c r="CM21519" s="111"/>
      <c r="CQ21519" s="111"/>
      <c r="EF21519"/>
      <c r="EG21519"/>
      <c r="EH21519"/>
      <c r="EI21519"/>
      <c r="EJ21519"/>
      <c r="EK21519"/>
    </row>
    <row r="21520" spans="1:141" s="116" customFormat="1">
      <c r="A21520" s="136"/>
      <c r="CM21520" s="111"/>
      <c r="CQ21520" s="111"/>
      <c r="EF21520"/>
      <c r="EG21520"/>
      <c r="EH21520"/>
      <c r="EI21520"/>
      <c r="EJ21520"/>
      <c r="EK21520"/>
    </row>
    <row r="21521" spans="1:141" s="116" customFormat="1">
      <c r="A21521" s="136"/>
      <c r="CM21521" s="111"/>
      <c r="CQ21521" s="111"/>
      <c r="EF21521"/>
      <c r="EG21521"/>
      <c r="EH21521"/>
      <c r="EI21521"/>
      <c r="EJ21521"/>
      <c r="EK21521"/>
    </row>
    <row r="21522" spans="1:141" s="116" customFormat="1">
      <c r="A21522" s="136"/>
      <c r="CM21522" s="111"/>
      <c r="CQ21522" s="111"/>
      <c r="EF21522"/>
      <c r="EG21522"/>
      <c r="EH21522"/>
      <c r="EI21522"/>
      <c r="EJ21522"/>
      <c r="EK21522"/>
    </row>
    <row r="21523" spans="1:141" s="116" customFormat="1">
      <c r="A21523" s="136"/>
      <c r="CM21523" s="111"/>
      <c r="CQ21523" s="111"/>
      <c r="EF21523"/>
      <c r="EG21523"/>
      <c r="EH21523"/>
      <c r="EI21523"/>
      <c r="EJ21523"/>
      <c r="EK21523"/>
    </row>
    <row r="21524" spans="1:141" s="116" customFormat="1">
      <c r="A21524" s="136"/>
      <c r="CM21524" s="111"/>
      <c r="CQ21524" s="111"/>
      <c r="EF21524"/>
      <c r="EG21524"/>
      <c r="EH21524"/>
      <c r="EI21524"/>
      <c r="EJ21524"/>
      <c r="EK21524"/>
    </row>
    <row r="21525" spans="1:141" s="116" customFormat="1">
      <c r="A21525" s="136"/>
      <c r="CM21525" s="111"/>
      <c r="CQ21525" s="111"/>
      <c r="EF21525"/>
      <c r="EG21525"/>
      <c r="EH21525"/>
      <c r="EI21525"/>
      <c r="EJ21525"/>
      <c r="EK21525"/>
    </row>
    <row r="21526" spans="1:141" s="116" customFormat="1">
      <c r="A21526" s="136"/>
      <c r="CM21526" s="111"/>
      <c r="CQ21526" s="111"/>
      <c r="EF21526"/>
      <c r="EG21526"/>
      <c r="EH21526"/>
      <c r="EI21526"/>
      <c r="EJ21526"/>
      <c r="EK21526"/>
    </row>
    <row r="21527" spans="1:141" s="116" customFormat="1">
      <c r="A21527" s="136"/>
      <c r="CM21527" s="111"/>
      <c r="CQ21527" s="111"/>
      <c r="EF21527"/>
      <c r="EG21527"/>
      <c r="EH21527"/>
      <c r="EI21527"/>
      <c r="EJ21527"/>
      <c r="EK21527"/>
    </row>
    <row r="21528" spans="1:141" s="116" customFormat="1">
      <c r="A21528" s="136"/>
      <c r="CM21528" s="111"/>
      <c r="CQ21528" s="111"/>
      <c r="EF21528"/>
      <c r="EG21528"/>
      <c r="EH21528"/>
      <c r="EI21528"/>
      <c r="EJ21528"/>
      <c r="EK21528"/>
    </row>
    <row r="21529" spans="1:141" s="116" customFormat="1">
      <c r="A21529" s="136"/>
      <c r="CM21529" s="111"/>
      <c r="CQ21529" s="111"/>
      <c r="EF21529"/>
      <c r="EG21529"/>
      <c r="EH21529"/>
      <c r="EI21529"/>
      <c r="EJ21529"/>
      <c r="EK21529"/>
    </row>
    <row r="21530" spans="1:141" s="116" customFormat="1">
      <c r="A21530" s="136"/>
      <c r="CM21530" s="111"/>
      <c r="CQ21530" s="111"/>
      <c r="EF21530"/>
      <c r="EG21530"/>
      <c r="EH21530"/>
      <c r="EI21530"/>
      <c r="EJ21530"/>
      <c r="EK21530"/>
    </row>
    <row r="21531" spans="1:141" s="116" customFormat="1">
      <c r="A21531" s="136"/>
      <c r="CM21531" s="111"/>
      <c r="CQ21531" s="111"/>
      <c r="EF21531"/>
      <c r="EG21531"/>
      <c r="EH21531"/>
      <c r="EI21531"/>
      <c r="EJ21531"/>
      <c r="EK21531"/>
    </row>
    <row r="21532" spans="1:141" s="116" customFormat="1">
      <c r="A21532" s="136"/>
      <c r="CM21532" s="111"/>
      <c r="CQ21532" s="111"/>
      <c r="EF21532"/>
      <c r="EG21532"/>
      <c r="EH21532"/>
      <c r="EI21532"/>
      <c r="EJ21532"/>
      <c r="EK21532"/>
    </row>
    <row r="21533" spans="1:141" s="116" customFormat="1">
      <c r="A21533" s="136"/>
      <c r="CM21533" s="111"/>
      <c r="CQ21533" s="111"/>
      <c r="EF21533"/>
      <c r="EG21533"/>
      <c r="EH21533"/>
      <c r="EI21533"/>
      <c r="EJ21533"/>
      <c r="EK21533"/>
    </row>
    <row r="21534" spans="1:141" s="116" customFormat="1">
      <c r="A21534" s="136"/>
      <c r="CM21534" s="111"/>
      <c r="CQ21534" s="111"/>
      <c r="EF21534"/>
      <c r="EG21534"/>
      <c r="EH21534"/>
      <c r="EI21534"/>
      <c r="EJ21534"/>
      <c r="EK21534"/>
    </row>
    <row r="21535" spans="1:141" s="116" customFormat="1">
      <c r="A21535" s="136"/>
      <c r="CM21535" s="111"/>
      <c r="CQ21535" s="111"/>
      <c r="EF21535"/>
      <c r="EG21535"/>
      <c r="EH21535"/>
      <c r="EI21535"/>
      <c r="EJ21535"/>
      <c r="EK21535"/>
    </row>
    <row r="21536" spans="1:141" s="116" customFormat="1">
      <c r="A21536" s="136"/>
      <c r="CM21536" s="111"/>
      <c r="CQ21536" s="111"/>
      <c r="EF21536"/>
      <c r="EG21536"/>
      <c r="EH21536"/>
      <c r="EI21536"/>
      <c r="EJ21536"/>
      <c r="EK21536"/>
    </row>
    <row r="21537" spans="1:141" s="116" customFormat="1">
      <c r="A21537" s="136"/>
      <c r="CM21537" s="111"/>
      <c r="CQ21537" s="111"/>
      <c r="EF21537"/>
      <c r="EG21537"/>
      <c r="EH21537"/>
      <c r="EI21537"/>
      <c r="EJ21537"/>
      <c r="EK21537"/>
    </row>
    <row r="21538" spans="1:141" s="116" customFormat="1">
      <c r="A21538" s="136"/>
      <c r="CM21538" s="111"/>
      <c r="CQ21538" s="111"/>
      <c r="EF21538"/>
      <c r="EG21538"/>
      <c r="EH21538"/>
      <c r="EI21538"/>
      <c r="EJ21538"/>
      <c r="EK21538"/>
    </row>
    <row r="21539" spans="1:141" s="116" customFormat="1">
      <c r="A21539" s="136"/>
      <c r="CM21539" s="111"/>
      <c r="CQ21539" s="111"/>
      <c r="EF21539"/>
      <c r="EG21539"/>
      <c r="EH21539"/>
      <c r="EI21539"/>
      <c r="EJ21539"/>
      <c r="EK21539"/>
    </row>
    <row r="21540" spans="1:141" s="116" customFormat="1">
      <c r="A21540" s="136"/>
      <c r="CM21540" s="111"/>
      <c r="CQ21540" s="111"/>
      <c r="EF21540"/>
      <c r="EG21540"/>
      <c r="EH21540"/>
      <c r="EI21540"/>
      <c r="EJ21540"/>
      <c r="EK21540"/>
    </row>
    <row r="21541" spans="1:141" s="116" customFormat="1">
      <c r="A21541" s="136"/>
      <c r="CM21541" s="111"/>
      <c r="CQ21541" s="111"/>
      <c r="EF21541"/>
      <c r="EG21541"/>
      <c r="EH21541"/>
      <c r="EI21541"/>
      <c r="EJ21541"/>
      <c r="EK21541"/>
    </row>
    <row r="21542" spans="1:141" s="116" customFormat="1">
      <c r="A21542" s="136"/>
      <c r="CM21542" s="111"/>
      <c r="CQ21542" s="111"/>
      <c r="EF21542"/>
      <c r="EG21542"/>
      <c r="EH21542"/>
      <c r="EI21542"/>
      <c r="EJ21542"/>
      <c r="EK21542"/>
    </row>
    <row r="21543" spans="1:141" s="116" customFormat="1">
      <c r="A21543" s="136"/>
      <c r="CM21543" s="111"/>
      <c r="CQ21543" s="111"/>
      <c r="EF21543"/>
      <c r="EG21543"/>
      <c r="EH21543"/>
      <c r="EI21543"/>
      <c r="EJ21543"/>
      <c r="EK21543"/>
    </row>
    <row r="21544" spans="1:141" s="116" customFormat="1">
      <c r="A21544" s="136"/>
      <c r="CM21544" s="111"/>
      <c r="CQ21544" s="111"/>
      <c r="EF21544"/>
      <c r="EG21544"/>
      <c r="EH21544"/>
      <c r="EI21544"/>
      <c r="EJ21544"/>
      <c r="EK21544"/>
    </row>
    <row r="21545" spans="1:141" s="116" customFormat="1">
      <c r="A21545" s="136"/>
      <c r="CM21545" s="111"/>
      <c r="CQ21545" s="111"/>
      <c r="EF21545"/>
      <c r="EG21545"/>
      <c r="EH21545"/>
      <c r="EI21545"/>
      <c r="EJ21545"/>
      <c r="EK21545"/>
    </row>
    <row r="21546" spans="1:141" s="116" customFormat="1">
      <c r="A21546" s="136"/>
      <c r="CM21546" s="111"/>
      <c r="CQ21546" s="111"/>
      <c r="EF21546"/>
      <c r="EG21546"/>
      <c r="EH21546"/>
      <c r="EI21546"/>
      <c r="EJ21546"/>
      <c r="EK21546"/>
    </row>
    <row r="21547" spans="1:141" s="116" customFormat="1">
      <c r="A21547" s="136"/>
      <c r="CM21547" s="111"/>
      <c r="CQ21547" s="111"/>
      <c r="EF21547"/>
      <c r="EG21547"/>
      <c r="EH21547"/>
      <c r="EI21547"/>
      <c r="EJ21547"/>
      <c r="EK21547"/>
    </row>
    <row r="21548" spans="1:141" s="116" customFormat="1">
      <c r="A21548" s="136"/>
      <c r="CM21548" s="111"/>
      <c r="CQ21548" s="111"/>
      <c r="EF21548"/>
      <c r="EG21548"/>
      <c r="EH21548"/>
      <c r="EI21548"/>
      <c r="EJ21548"/>
      <c r="EK21548"/>
    </row>
    <row r="21549" spans="1:141" s="116" customFormat="1">
      <c r="A21549" s="136"/>
      <c r="CM21549" s="111"/>
      <c r="CQ21549" s="111"/>
      <c r="EF21549"/>
      <c r="EG21549"/>
      <c r="EH21549"/>
      <c r="EI21549"/>
      <c r="EJ21549"/>
      <c r="EK21549"/>
    </row>
    <row r="21550" spans="1:141" s="116" customFormat="1">
      <c r="A21550" s="136"/>
      <c r="CM21550" s="111"/>
      <c r="CQ21550" s="111"/>
      <c r="EF21550"/>
      <c r="EG21550"/>
      <c r="EH21550"/>
      <c r="EI21550"/>
      <c r="EJ21550"/>
      <c r="EK21550"/>
    </row>
    <row r="21551" spans="1:141" s="116" customFormat="1">
      <c r="A21551" s="136"/>
      <c r="CM21551" s="111"/>
      <c r="CQ21551" s="111"/>
      <c r="EF21551"/>
      <c r="EG21551"/>
      <c r="EH21551"/>
      <c r="EI21551"/>
      <c r="EJ21551"/>
      <c r="EK21551"/>
    </row>
    <row r="21552" spans="1:141" s="116" customFormat="1">
      <c r="A21552" s="136"/>
      <c r="CM21552" s="111"/>
      <c r="CQ21552" s="111"/>
      <c r="EF21552"/>
      <c r="EG21552"/>
      <c r="EH21552"/>
      <c r="EI21552"/>
      <c r="EJ21552"/>
      <c r="EK21552"/>
    </row>
    <row r="21553" spans="1:141" s="116" customFormat="1">
      <c r="A21553" s="136"/>
      <c r="CM21553" s="111"/>
      <c r="CQ21553" s="111"/>
      <c r="EF21553"/>
      <c r="EG21553"/>
      <c r="EH21553"/>
      <c r="EI21553"/>
      <c r="EJ21553"/>
      <c r="EK21553"/>
    </row>
    <row r="21554" spans="1:141" s="116" customFormat="1">
      <c r="A21554" s="136"/>
      <c r="CM21554" s="111"/>
      <c r="CQ21554" s="111"/>
      <c r="EF21554"/>
      <c r="EG21554"/>
      <c r="EH21554"/>
      <c r="EI21554"/>
      <c r="EJ21554"/>
      <c r="EK21554"/>
    </row>
    <row r="21555" spans="1:141" s="116" customFormat="1">
      <c r="A21555" s="136"/>
      <c r="CM21555" s="111"/>
      <c r="CQ21555" s="111"/>
      <c r="EF21555"/>
      <c r="EG21555"/>
      <c r="EH21555"/>
      <c r="EI21555"/>
      <c r="EJ21555"/>
      <c r="EK21555"/>
    </row>
    <row r="21556" spans="1:141" s="116" customFormat="1">
      <c r="A21556" s="136"/>
      <c r="CM21556" s="111"/>
      <c r="CQ21556" s="111"/>
      <c r="EF21556"/>
      <c r="EG21556"/>
      <c r="EH21556"/>
      <c r="EI21556"/>
      <c r="EJ21556"/>
      <c r="EK21556"/>
    </row>
    <row r="21557" spans="1:141" s="116" customFormat="1">
      <c r="A21557" s="136"/>
      <c r="CM21557" s="111"/>
      <c r="CQ21557" s="111"/>
      <c r="EF21557"/>
      <c r="EG21557"/>
      <c r="EH21557"/>
      <c r="EI21557"/>
      <c r="EJ21557"/>
      <c r="EK21557"/>
    </row>
    <row r="21558" spans="1:141" s="116" customFormat="1">
      <c r="A21558" s="136"/>
      <c r="CM21558" s="111"/>
      <c r="CQ21558" s="111"/>
      <c r="EF21558"/>
      <c r="EG21558"/>
      <c r="EH21558"/>
      <c r="EI21558"/>
      <c r="EJ21558"/>
      <c r="EK21558"/>
    </row>
    <row r="21559" spans="1:141" s="116" customFormat="1">
      <c r="A21559" s="136"/>
      <c r="CM21559" s="111"/>
      <c r="CQ21559" s="111"/>
      <c r="EF21559"/>
      <c r="EG21559"/>
      <c r="EH21559"/>
      <c r="EI21559"/>
      <c r="EJ21559"/>
      <c r="EK21559"/>
    </row>
    <row r="21560" spans="1:141" s="116" customFormat="1">
      <c r="A21560" s="136"/>
      <c r="CM21560" s="111"/>
      <c r="CQ21560" s="111"/>
      <c r="EF21560"/>
      <c r="EG21560"/>
      <c r="EH21560"/>
      <c r="EI21560"/>
      <c r="EJ21560"/>
      <c r="EK21560"/>
    </row>
    <row r="21561" spans="1:141" s="116" customFormat="1">
      <c r="A21561" s="136"/>
      <c r="CM21561" s="111"/>
      <c r="CQ21561" s="111"/>
      <c r="EF21561"/>
      <c r="EG21561"/>
      <c r="EH21561"/>
      <c r="EI21561"/>
      <c r="EJ21561"/>
      <c r="EK21561"/>
    </row>
    <row r="21562" spans="1:141" s="116" customFormat="1">
      <c r="A21562" s="136"/>
      <c r="CM21562" s="111"/>
      <c r="CQ21562" s="111"/>
      <c r="EF21562"/>
      <c r="EG21562"/>
      <c r="EH21562"/>
      <c r="EI21562"/>
      <c r="EJ21562"/>
      <c r="EK21562"/>
    </row>
    <row r="21563" spans="1:141" s="116" customFormat="1">
      <c r="A21563" s="136"/>
      <c r="CM21563" s="111"/>
      <c r="CQ21563" s="111"/>
      <c r="EF21563"/>
      <c r="EG21563"/>
      <c r="EH21563"/>
      <c r="EI21563"/>
      <c r="EJ21563"/>
      <c r="EK21563"/>
    </row>
    <row r="21564" spans="1:141" s="116" customFormat="1">
      <c r="A21564" s="136"/>
      <c r="CM21564" s="111"/>
      <c r="CQ21564" s="111"/>
      <c r="EF21564"/>
      <c r="EG21564"/>
      <c r="EH21564"/>
      <c r="EI21564"/>
      <c r="EJ21564"/>
      <c r="EK21564"/>
    </row>
    <row r="21565" spans="1:141" s="116" customFormat="1">
      <c r="A21565" s="136"/>
      <c r="CM21565" s="111"/>
      <c r="CQ21565" s="111"/>
      <c r="EF21565"/>
      <c r="EG21565"/>
      <c r="EH21565"/>
      <c r="EI21565"/>
      <c r="EJ21565"/>
      <c r="EK21565"/>
    </row>
    <row r="21566" spans="1:141" s="116" customFormat="1">
      <c r="A21566" s="136"/>
      <c r="CM21566" s="111"/>
      <c r="CQ21566" s="111"/>
      <c r="EF21566"/>
      <c r="EG21566"/>
      <c r="EH21566"/>
      <c r="EI21566"/>
      <c r="EJ21566"/>
      <c r="EK21566"/>
    </row>
    <row r="21567" spans="1:141" s="116" customFormat="1">
      <c r="A21567" s="136"/>
      <c r="CM21567" s="111"/>
      <c r="CQ21567" s="111"/>
      <c r="EF21567"/>
      <c r="EG21567"/>
      <c r="EH21567"/>
      <c r="EI21567"/>
      <c r="EJ21567"/>
      <c r="EK21567"/>
    </row>
    <row r="21568" spans="1:141" s="116" customFormat="1">
      <c r="A21568" s="136"/>
      <c r="CM21568" s="111"/>
      <c r="CQ21568" s="111"/>
      <c r="EF21568"/>
      <c r="EG21568"/>
      <c r="EH21568"/>
      <c r="EI21568"/>
      <c r="EJ21568"/>
      <c r="EK21568"/>
    </row>
    <row r="21569" spans="1:141" s="116" customFormat="1">
      <c r="A21569" s="136"/>
      <c r="CM21569" s="111"/>
      <c r="CQ21569" s="111"/>
      <c r="EF21569"/>
      <c r="EG21569"/>
      <c r="EH21569"/>
      <c r="EI21569"/>
      <c r="EJ21569"/>
      <c r="EK21569"/>
    </row>
    <row r="21570" spans="1:141" s="116" customFormat="1">
      <c r="A21570" s="136"/>
      <c r="CM21570" s="111"/>
      <c r="CQ21570" s="111"/>
      <c r="EF21570"/>
      <c r="EG21570"/>
      <c r="EH21570"/>
      <c r="EI21570"/>
      <c r="EJ21570"/>
      <c r="EK21570"/>
    </row>
    <row r="21571" spans="1:141" s="116" customFormat="1">
      <c r="A21571" s="136"/>
      <c r="CM21571" s="111"/>
      <c r="CQ21571" s="111"/>
      <c r="EF21571"/>
      <c r="EG21571"/>
      <c r="EH21571"/>
      <c r="EI21571"/>
      <c r="EJ21571"/>
      <c r="EK21571"/>
    </row>
    <row r="21572" spans="1:141" s="116" customFormat="1">
      <c r="A21572" s="136"/>
      <c r="CM21572" s="111"/>
      <c r="CQ21572" s="111"/>
      <c r="EF21572"/>
      <c r="EG21572"/>
      <c r="EH21572"/>
      <c r="EI21572"/>
      <c r="EJ21572"/>
      <c r="EK21572"/>
    </row>
    <row r="21573" spans="1:141" s="116" customFormat="1">
      <c r="A21573" s="136"/>
      <c r="CM21573" s="111"/>
      <c r="CQ21573" s="111"/>
      <c r="EF21573"/>
      <c r="EG21573"/>
      <c r="EH21573"/>
      <c r="EI21573"/>
      <c r="EJ21573"/>
      <c r="EK21573"/>
    </row>
    <row r="21574" spans="1:141" s="116" customFormat="1">
      <c r="A21574" s="136"/>
      <c r="CM21574" s="111"/>
      <c r="CQ21574" s="111"/>
      <c r="EF21574"/>
      <c r="EG21574"/>
      <c r="EH21574"/>
      <c r="EI21574"/>
      <c r="EJ21574"/>
      <c r="EK21574"/>
    </row>
    <row r="21575" spans="1:141" s="116" customFormat="1">
      <c r="A21575" s="136"/>
      <c r="CM21575" s="111"/>
      <c r="CQ21575" s="111"/>
      <c r="EF21575"/>
      <c r="EG21575"/>
      <c r="EH21575"/>
      <c r="EI21575"/>
      <c r="EJ21575"/>
      <c r="EK21575"/>
    </row>
    <row r="21576" spans="1:141" s="116" customFormat="1">
      <c r="A21576" s="136"/>
      <c r="CM21576" s="111"/>
      <c r="CQ21576" s="111"/>
      <c r="EF21576"/>
      <c r="EG21576"/>
      <c r="EH21576"/>
      <c r="EI21576"/>
      <c r="EJ21576"/>
      <c r="EK21576"/>
    </row>
    <row r="21577" spans="1:141" s="116" customFormat="1">
      <c r="A21577" s="136"/>
      <c r="CM21577" s="111"/>
      <c r="CQ21577" s="111"/>
      <c r="EF21577"/>
      <c r="EG21577"/>
      <c r="EH21577"/>
      <c r="EI21577"/>
      <c r="EJ21577"/>
      <c r="EK21577"/>
    </row>
    <row r="21578" spans="1:141" s="116" customFormat="1">
      <c r="A21578" s="136"/>
      <c r="CM21578" s="111"/>
      <c r="CQ21578" s="111"/>
      <c r="EF21578"/>
      <c r="EG21578"/>
      <c r="EH21578"/>
      <c r="EI21578"/>
      <c r="EJ21578"/>
      <c r="EK21578"/>
    </row>
    <row r="21579" spans="1:141" s="116" customFormat="1">
      <c r="A21579" s="136"/>
      <c r="CM21579" s="111"/>
      <c r="CQ21579" s="111"/>
      <c r="EF21579"/>
      <c r="EG21579"/>
      <c r="EH21579"/>
      <c r="EI21579"/>
      <c r="EJ21579"/>
      <c r="EK21579"/>
    </row>
    <row r="21580" spans="1:141" s="116" customFormat="1">
      <c r="A21580" s="136"/>
      <c r="CM21580" s="111"/>
      <c r="CQ21580" s="111"/>
      <c r="EF21580"/>
      <c r="EG21580"/>
      <c r="EH21580"/>
      <c r="EI21580"/>
      <c r="EJ21580"/>
      <c r="EK21580"/>
    </row>
    <row r="21581" spans="1:141" s="116" customFormat="1">
      <c r="A21581" s="136"/>
      <c r="CM21581" s="111"/>
      <c r="CQ21581" s="111"/>
      <c r="EF21581"/>
      <c r="EG21581"/>
      <c r="EH21581"/>
      <c r="EI21581"/>
      <c r="EJ21581"/>
      <c r="EK21581"/>
    </row>
    <row r="21582" spans="1:141" s="116" customFormat="1">
      <c r="A21582" s="136"/>
      <c r="CM21582" s="111"/>
      <c r="CQ21582" s="111"/>
      <c r="EF21582"/>
      <c r="EG21582"/>
      <c r="EH21582"/>
      <c r="EI21582"/>
      <c r="EJ21582"/>
      <c r="EK21582"/>
    </row>
    <row r="21583" spans="1:141" s="116" customFormat="1">
      <c r="A21583" s="136"/>
      <c r="CM21583" s="111"/>
      <c r="CQ21583" s="111"/>
      <c r="EF21583"/>
      <c r="EG21583"/>
      <c r="EH21583"/>
      <c r="EI21583"/>
      <c r="EJ21583"/>
      <c r="EK21583"/>
    </row>
    <row r="21584" spans="1:141" s="116" customFormat="1">
      <c r="A21584" s="136"/>
      <c r="CM21584" s="111"/>
      <c r="CQ21584" s="111"/>
      <c r="EF21584"/>
      <c r="EG21584"/>
      <c r="EH21584"/>
      <c r="EI21584"/>
      <c r="EJ21584"/>
      <c r="EK21584"/>
    </row>
    <row r="21585" spans="1:141" s="116" customFormat="1">
      <c r="A21585" s="136"/>
      <c r="CM21585" s="111"/>
      <c r="CQ21585" s="111"/>
      <c r="EF21585"/>
      <c r="EG21585"/>
      <c r="EH21585"/>
      <c r="EI21585"/>
      <c r="EJ21585"/>
      <c r="EK21585"/>
    </row>
    <row r="21586" spans="1:141" s="116" customFormat="1">
      <c r="A21586" s="136"/>
      <c r="CM21586" s="111"/>
      <c r="CQ21586" s="111"/>
      <c r="EF21586"/>
      <c r="EG21586"/>
      <c r="EH21586"/>
      <c r="EI21586"/>
      <c r="EJ21586"/>
      <c r="EK21586"/>
    </row>
    <row r="21587" spans="1:141" s="116" customFormat="1">
      <c r="A21587" s="136"/>
      <c r="CM21587" s="111"/>
      <c r="CQ21587" s="111"/>
      <c r="EF21587"/>
      <c r="EG21587"/>
      <c r="EH21587"/>
      <c r="EI21587"/>
      <c r="EJ21587"/>
      <c r="EK21587"/>
    </row>
    <row r="21588" spans="1:141" s="116" customFormat="1">
      <c r="A21588" s="136"/>
      <c r="CM21588" s="111"/>
      <c r="CQ21588" s="111"/>
      <c r="EF21588"/>
      <c r="EG21588"/>
      <c r="EH21588"/>
      <c r="EI21588"/>
      <c r="EJ21588"/>
      <c r="EK21588"/>
    </row>
    <row r="21589" spans="1:141" s="116" customFormat="1">
      <c r="A21589" s="136"/>
      <c r="CM21589" s="111"/>
      <c r="CQ21589" s="111"/>
      <c r="EF21589"/>
      <c r="EG21589"/>
      <c r="EH21589"/>
      <c r="EI21589"/>
      <c r="EJ21589"/>
      <c r="EK21589"/>
    </row>
    <row r="21590" spans="1:141" s="116" customFormat="1">
      <c r="A21590" s="136"/>
      <c r="CM21590" s="111"/>
      <c r="CQ21590" s="111"/>
      <c r="EF21590"/>
      <c r="EG21590"/>
      <c r="EH21590"/>
      <c r="EI21590"/>
      <c r="EJ21590"/>
      <c r="EK21590"/>
    </row>
    <row r="21591" spans="1:141" s="116" customFormat="1">
      <c r="A21591" s="136"/>
      <c r="CM21591" s="111"/>
      <c r="CQ21591" s="111"/>
      <c r="EF21591"/>
      <c r="EG21591"/>
      <c r="EH21591"/>
      <c r="EI21591"/>
      <c r="EJ21591"/>
      <c r="EK21591"/>
    </row>
    <row r="21592" spans="1:141" s="116" customFormat="1">
      <c r="A21592" s="136"/>
      <c r="CM21592" s="111"/>
      <c r="CQ21592" s="111"/>
      <c r="EF21592"/>
      <c r="EG21592"/>
      <c r="EH21592"/>
      <c r="EI21592"/>
      <c r="EJ21592"/>
      <c r="EK21592"/>
    </row>
    <row r="21593" spans="1:141" s="116" customFormat="1">
      <c r="A21593" s="136"/>
      <c r="CM21593" s="111"/>
      <c r="CQ21593" s="111"/>
      <c r="EF21593"/>
      <c r="EG21593"/>
      <c r="EH21593"/>
      <c r="EI21593"/>
      <c r="EJ21593"/>
      <c r="EK21593"/>
    </row>
    <row r="21594" spans="1:141" s="116" customFormat="1">
      <c r="A21594" s="136"/>
      <c r="CM21594" s="111"/>
      <c r="CQ21594" s="111"/>
      <c r="EF21594"/>
      <c r="EG21594"/>
      <c r="EH21594"/>
      <c r="EI21594"/>
      <c r="EJ21594"/>
      <c r="EK21594"/>
    </row>
    <row r="21595" spans="1:141" s="116" customFormat="1">
      <c r="A21595" s="136"/>
      <c r="CM21595" s="111"/>
      <c r="CQ21595" s="111"/>
      <c r="EF21595"/>
      <c r="EG21595"/>
      <c r="EH21595"/>
      <c r="EI21595"/>
      <c r="EJ21595"/>
      <c r="EK21595"/>
    </row>
    <row r="21596" spans="1:141" s="116" customFormat="1">
      <c r="A21596" s="136"/>
      <c r="CM21596" s="111"/>
      <c r="CQ21596" s="111"/>
      <c r="EF21596"/>
      <c r="EG21596"/>
      <c r="EH21596"/>
      <c r="EI21596"/>
      <c r="EJ21596"/>
      <c r="EK21596"/>
    </row>
    <row r="21597" spans="1:141" s="116" customFormat="1">
      <c r="A21597" s="136"/>
      <c r="CM21597" s="111"/>
      <c r="CQ21597" s="111"/>
      <c r="EF21597"/>
      <c r="EG21597"/>
      <c r="EH21597"/>
      <c r="EI21597"/>
      <c r="EJ21597"/>
      <c r="EK21597"/>
    </row>
    <row r="21598" spans="1:141" s="116" customFormat="1">
      <c r="A21598" s="136"/>
      <c r="CM21598" s="111"/>
      <c r="CQ21598" s="111"/>
      <c r="EF21598"/>
      <c r="EG21598"/>
      <c r="EH21598"/>
      <c r="EI21598"/>
      <c r="EJ21598"/>
      <c r="EK21598"/>
    </row>
    <row r="21599" spans="1:141" s="116" customFormat="1">
      <c r="A21599" s="136"/>
      <c r="CM21599" s="111"/>
      <c r="CQ21599" s="111"/>
      <c r="EF21599"/>
      <c r="EG21599"/>
      <c r="EH21599"/>
      <c r="EI21599"/>
      <c r="EJ21599"/>
      <c r="EK21599"/>
    </row>
    <row r="21600" spans="1:141" s="116" customFormat="1">
      <c r="A21600" s="136"/>
      <c r="CM21600" s="111"/>
      <c r="CQ21600" s="111"/>
      <c r="EF21600"/>
      <c r="EG21600"/>
      <c r="EH21600"/>
      <c r="EI21600"/>
      <c r="EJ21600"/>
      <c r="EK21600"/>
    </row>
    <row r="21601" spans="1:141" s="116" customFormat="1">
      <c r="A21601" s="136"/>
      <c r="CM21601" s="111"/>
      <c r="CQ21601" s="111"/>
      <c r="EF21601"/>
      <c r="EG21601"/>
      <c r="EH21601"/>
      <c r="EI21601"/>
      <c r="EJ21601"/>
      <c r="EK21601"/>
    </row>
    <row r="21602" spans="1:141" s="116" customFormat="1">
      <c r="A21602" s="136"/>
      <c r="CM21602" s="111"/>
      <c r="CQ21602" s="111"/>
      <c r="EF21602"/>
      <c r="EG21602"/>
      <c r="EH21602"/>
      <c r="EI21602"/>
      <c r="EJ21602"/>
      <c r="EK21602"/>
    </row>
    <row r="21603" spans="1:141" s="116" customFormat="1">
      <c r="A21603" s="136"/>
      <c r="CM21603" s="111"/>
      <c r="CQ21603" s="111"/>
      <c r="EF21603"/>
      <c r="EG21603"/>
      <c r="EH21603"/>
      <c r="EI21603"/>
      <c r="EJ21603"/>
      <c r="EK21603"/>
    </row>
    <row r="21604" spans="1:141" s="116" customFormat="1">
      <c r="A21604" s="136"/>
      <c r="CM21604" s="111"/>
      <c r="CQ21604" s="111"/>
      <c r="EF21604"/>
      <c r="EG21604"/>
      <c r="EH21604"/>
      <c r="EI21604"/>
      <c r="EJ21604"/>
      <c r="EK21604"/>
    </row>
    <row r="21605" spans="1:141" s="116" customFormat="1">
      <c r="A21605" s="136"/>
      <c r="CM21605" s="111"/>
      <c r="CQ21605" s="111"/>
      <c r="EF21605"/>
      <c r="EG21605"/>
      <c r="EH21605"/>
      <c r="EI21605"/>
      <c r="EJ21605"/>
      <c r="EK21605"/>
    </row>
    <row r="21606" spans="1:141" s="116" customFormat="1">
      <c r="A21606" s="136"/>
      <c r="CM21606" s="111"/>
      <c r="CQ21606" s="111"/>
      <c r="EF21606"/>
      <c r="EG21606"/>
      <c r="EH21606"/>
      <c r="EI21606"/>
      <c r="EJ21606"/>
      <c r="EK21606"/>
    </row>
    <row r="21607" spans="1:141" s="116" customFormat="1">
      <c r="A21607" s="136"/>
      <c r="CM21607" s="111"/>
      <c r="CQ21607" s="111"/>
      <c r="EF21607"/>
      <c r="EG21607"/>
      <c r="EH21607"/>
      <c r="EI21607"/>
      <c r="EJ21607"/>
      <c r="EK21607"/>
    </row>
    <row r="21608" spans="1:141" s="116" customFormat="1">
      <c r="A21608" s="136"/>
      <c r="CM21608" s="111"/>
      <c r="CQ21608" s="111"/>
      <c r="EF21608"/>
      <c r="EG21608"/>
      <c r="EH21608"/>
      <c r="EI21608"/>
      <c r="EJ21608"/>
      <c r="EK21608"/>
    </row>
    <row r="21609" spans="1:141" s="116" customFormat="1">
      <c r="A21609" s="136"/>
      <c r="CM21609" s="111"/>
      <c r="CQ21609" s="111"/>
      <c r="EF21609"/>
      <c r="EG21609"/>
      <c r="EH21609"/>
      <c r="EI21609"/>
      <c r="EJ21609"/>
      <c r="EK21609"/>
    </row>
    <row r="21610" spans="1:141" s="116" customFormat="1">
      <c r="A21610" s="136"/>
      <c r="CM21610" s="111"/>
      <c r="CQ21610" s="111"/>
      <c r="EF21610"/>
      <c r="EG21610"/>
      <c r="EH21610"/>
      <c r="EI21610"/>
      <c r="EJ21610"/>
      <c r="EK21610"/>
    </row>
    <row r="21611" spans="1:141" s="116" customFormat="1">
      <c r="A21611" s="136"/>
      <c r="CM21611" s="111"/>
      <c r="CQ21611" s="111"/>
      <c r="EF21611"/>
      <c r="EG21611"/>
      <c r="EH21611"/>
      <c r="EI21611"/>
      <c r="EJ21611"/>
      <c r="EK21611"/>
    </row>
    <row r="21612" spans="1:141" s="116" customFormat="1">
      <c r="A21612" s="136"/>
      <c r="CM21612" s="111"/>
      <c r="CQ21612" s="111"/>
      <c r="EF21612"/>
      <c r="EG21612"/>
      <c r="EH21612"/>
      <c r="EI21612"/>
      <c r="EJ21612"/>
      <c r="EK21612"/>
    </row>
    <row r="21613" spans="1:141" s="116" customFormat="1">
      <c r="A21613" s="136"/>
      <c r="CM21613" s="111"/>
      <c r="CQ21613" s="111"/>
      <c r="EF21613"/>
      <c r="EG21613"/>
      <c r="EH21613"/>
      <c r="EI21613"/>
      <c r="EJ21613"/>
      <c r="EK21613"/>
    </row>
    <row r="21614" spans="1:141" s="116" customFormat="1">
      <c r="A21614" s="136"/>
      <c r="CM21614" s="111"/>
      <c r="CQ21614" s="111"/>
      <c r="EF21614"/>
      <c r="EG21614"/>
      <c r="EH21614"/>
      <c r="EI21614"/>
      <c r="EJ21614"/>
      <c r="EK21614"/>
    </row>
    <row r="21615" spans="1:141" s="116" customFormat="1">
      <c r="A21615" s="136"/>
      <c r="CM21615" s="111"/>
      <c r="CQ21615" s="111"/>
      <c r="EF21615"/>
      <c r="EG21615"/>
      <c r="EH21615"/>
      <c r="EI21615"/>
      <c r="EJ21615"/>
      <c r="EK21615"/>
    </row>
    <row r="21616" spans="1:141" s="116" customFormat="1">
      <c r="A21616" s="136"/>
      <c r="CM21616" s="111"/>
      <c r="CQ21616" s="111"/>
      <c r="EF21616"/>
      <c r="EG21616"/>
      <c r="EH21616"/>
      <c r="EI21616"/>
      <c r="EJ21616"/>
      <c r="EK21616"/>
    </row>
    <row r="21617" spans="1:141" s="116" customFormat="1">
      <c r="A21617" s="136"/>
      <c r="CM21617" s="111"/>
      <c r="CQ21617" s="111"/>
      <c r="EF21617"/>
      <c r="EG21617"/>
      <c r="EH21617"/>
      <c r="EI21617"/>
      <c r="EJ21617"/>
      <c r="EK21617"/>
    </row>
    <row r="21618" spans="1:141" s="116" customFormat="1">
      <c r="A21618" s="136"/>
      <c r="CM21618" s="111"/>
      <c r="CQ21618" s="111"/>
      <c r="EF21618"/>
      <c r="EG21618"/>
      <c r="EH21618"/>
      <c r="EI21618"/>
      <c r="EJ21618"/>
      <c r="EK21618"/>
    </row>
    <row r="21619" spans="1:141" s="116" customFormat="1">
      <c r="A21619" s="136"/>
      <c r="CM21619" s="111"/>
      <c r="CQ21619" s="111"/>
      <c r="EF21619"/>
      <c r="EG21619"/>
      <c r="EH21619"/>
      <c r="EI21619"/>
      <c r="EJ21619"/>
      <c r="EK21619"/>
    </row>
    <row r="21620" spans="1:141" s="116" customFormat="1">
      <c r="A21620" s="136"/>
      <c r="CM21620" s="111"/>
      <c r="CQ21620" s="111"/>
      <c r="EF21620"/>
      <c r="EG21620"/>
      <c r="EH21620"/>
      <c r="EI21620"/>
      <c r="EJ21620"/>
      <c r="EK21620"/>
    </row>
    <row r="21621" spans="1:141" s="116" customFormat="1">
      <c r="A21621" s="136"/>
      <c r="CM21621" s="111"/>
      <c r="CQ21621" s="111"/>
      <c r="EF21621"/>
      <c r="EG21621"/>
      <c r="EH21621"/>
      <c r="EI21621"/>
      <c r="EJ21621"/>
      <c r="EK21621"/>
    </row>
    <row r="21622" spans="1:141" s="116" customFormat="1">
      <c r="A21622" s="136"/>
      <c r="CM21622" s="111"/>
      <c r="CQ21622" s="111"/>
      <c r="EF21622"/>
      <c r="EG21622"/>
      <c r="EH21622"/>
      <c r="EI21622"/>
      <c r="EJ21622"/>
      <c r="EK21622"/>
    </row>
    <row r="21623" spans="1:141" s="116" customFormat="1">
      <c r="A21623" s="136"/>
      <c r="CM21623" s="111"/>
      <c r="CQ21623" s="111"/>
      <c r="EF21623"/>
      <c r="EG21623"/>
      <c r="EH21623"/>
      <c r="EI21623"/>
      <c r="EJ21623"/>
      <c r="EK21623"/>
    </row>
    <row r="21624" spans="1:141" s="116" customFormat="1">
      <c r="A21624" s="136"/>
      <c r="CM21624" s="111"/>
      <c r="CQ21624" s="111"/>
      <c r="EF21624"/>
      <c r="EG21624"/>
      <c r="EH21624"/>
      <c r="EI21624"/>
      <c r="EJ21624"/>
      <c r="EK21624"/>
    </row>
    <row r="21625" spans="1:141" s="116" customFormat="1">
      <c r="A21625" s="136"/>
      <c r="CM21625" s="111"/>
      <c r="CQ21625" s="111"/>
      <c r="EF21625"/>
      <c r="EG21625"/>
      <c r="EH21625"/>
      <c r="EI21625"/>
      <c r="EJ21625"/>
      <c r="EK21625"/>
    </row>
    <row r="21626" spans="1:141" s="116" customFormat="1">
      <c r="A21626" s="136"/>
      <c r="CM21626" s="111"/>
      <c r="CQ21626" s="111"/>
      <c r="EF21626"/>
      <c r="EG21626"/>
      <c r="EH21626"/>
      <c r="EI21626"/>
      <c r="EJ21626"/>
      <c r="EK21626"/>
    </row>
    <row r="21627" spans="1:141" s="116" customFormat="1">
      <c r="A21627" s="136"/>
      <c r="CM21627" s="111"/>
      <c r="CQ21627" s="111"/>
      <c r="EF21627"/>
      <c r="EG21627"/>
      <c r="EH21627"/>
      <c r="EI21627"/>
      <c r="EJ21627"/>
      <c r="EK21627"/>
    </row>
    <row r="21628" spans="1:141" s="116" customFormat="1">
      <c r="A21628" s="136"/>
      <c r="CM21628" s="111"/>
      <c r="CQ21628" s="111"/>
      <c r="EF21628"/>
      <c r="EG21628"/>
      <c r="EH21628"/>
      <c r="EI21628"/>
      <c r="EJ21628"/>
      <c r="EK21628"/>
    </row>
    <row r="21629" spans="1:141" s="116" customFormat="1">
      <c r="A21629" s="136"/>
      <c r="CM21629" s="111"/>
      <c r="CQ21629" s="111"/>
      <c r="EF21629"/>
      <c r="EG21629"/>
      <c r="EH21629"/>
      <c r="EI21629"/>
      <c r="EJ21629"/>
      <c r="EK21629"/>
    </row>
    <row r="21630" spans="1:141" s="116" customFormat="1">
      <c r="A21630" s="136"/>
      <c r="CM21630" s="111"/>
      <c r="CQ21630" s="111"/>
      <c r="EF21630"/>
      <c r="EG21630"/>
      <c r="EH21630"/>
      <c r="EI21630"/>
      <c r="EJ21630"/>
      <c r="EK21630"/>
    </row>
    <row r="21631" spans="1:141" s="116" customFormat="1">
      <c r="A21631" s="136"/>
      <c r="CM21631" s="111"/>
      <c r="CQ21631" s="111"/>
      <c r="EF21631"/>
      <c r="EG21631"/>
      <c r="EH21631"/>
      <c r="EI21631"/>
      <c r="EJ21631"/>
      <c r="EK21631"/>
    </row>
    <row r="21632" spans="1:141" s="116" customFormat="1">
      <c r="A21632" s="136"/>
      <c r="CM21632" s="111"/>
      <c r="CQ21632" s="111"/>
      <c r="EF21632"/>
      <c r="EG21632"/>
      <c r="EH21632"/>
      <c r="EI21632"/>
      <c r="EJ21632"/>
      <c r="EK21632"/>
    </row>
    <row r="21633" spans="1:141" s="116" customFormat="1">
      <c r="A21633" s="136"/>
      <c r="CM21633" s="111"/>
      <c r="CQ21633" s="111"/>
      <c r="EF21633"/>
      <c r="EG21633"/>
      <c r="EH21633"/>
      <c r="EI21633"/>
      <c r="EJ21633"/>
      <c r="EK21633"/>
    </row>
    <row r="21634" spans="1:141" s="116" customFormat="1">
      <c r="A21634" s="136"/>
      <c r="CM21634" s="111"/>
      <c r="CQ21634" s="111"/>
      <c r="EF21634"/>
      <c r="EG21634"/>
      <c r="EH21634"/>
      <c r="EI21634"/>
      <c r="EJ21634"/>
      <c r="EK21634"/>
    </row>
    <row r="21635" spans="1:141" s="116" customFormat="1">
      <c r="A21635" s="136"/>
      <c r="CM21635" s="111"/>
      <c r="CQ21635" s="111"/>
      <c r="EF21635"/>
      <c r="EG21635"/>
      <c r="EH21635"/>
      <c r="EI21635"/>
      <c r="EJ21635"/>
      <c r="EK21635"/>
    </row>
    <row r="21636" spans="1:141" s="116" customFormat="1">
      <c r="A21636" s="136"/>
      <c r="CM21636" s="111"/>
      <c r="CQ21636" s="111"/>
      <c r="EF21636"/>
      <c r="EG21636"/>
      <c r="EH21636"/>
      <c r="EI21636"/>
      <c r="EJ21636"/>
      <c r="EK21636"/>
    </row>
    <row r="21637" spans="1:141" s="116" customFormat="1">
      <c r="A21637" s="136"/>
      <c r="CM21637" s="111"/>
      <c r="CQ21637" s="111"/>
      <c r="EF21637"/>
      <c r="EG21637"/>
      <c r="EH21637"/>
      <c r="EI21637"/>
      <c r="EJ21637"/>
      <c r="EK21637"/>
    </row>
    <row r="21638" spans="1:141" s="116" customFormat="1">
      <c r="A21638" s="136"/>
      <c r="CM21638" s="111"/>
      <c r="CQ21638" s="111"/>
      <c r="EF21638"/>
      <c r="EG21638"/>
      <c r="EH21638"/>
      <c r="EI21638"/>
      <c r="EJ21638"/>
      <c r="EK21638"/>
    </row>
    <row r="21639" spans="1:141" s="116" customFormat="1">
      <c r="A21639" s="136"/>
      <c r="CM21639" s="111"/>
      <c r="CQ21639" s="111"/>
      <c r="EF21639"/>
      <c r="EG21639"/>
      <c r="EH21639"/>
      <c r="EI21639"/>
      <c r="EJ21639"/>
      <c r="EK21639"/>
    </row>
    <row r="21640" spans="1:141" s="116" customFormat="1">
      <c r="A21640" s="136"/>
      <c r="CM21640" s="111"/>
      <c r="CQ21640" s="111"/>
      <c r="EF21640"/>
      <c r="EG21640"/>
      <c r="EH21640"/>
      <c r="EI21640"/>
      <c r="EJ21640"/>
      <c r="EK21640"/>
    </row>
    <row r="21641" spans="1:141" s="116" customFormat="1">
      <c r="A21641" s="136"/>
      <c r="CM21641" s="111"/>
      <c r="CQ21641" s="111"/>
      <c r="EF21641"/>
      <c r="EG21641"/>
      <c r="EH21641"/>
      <c r="EI21641"/>
      <c r="EJ21641"/>
      <c r="EK21641"/>
    </row>
    <row r="21642" spans="1:141" s="116" customFormat="1">
      <c r="A21642" s="136"/>
      <c r="CM21642" s="111"/>
      <c r="CQ21642" s="111"/>
      <c r="EF21642"/>
      <c r="EG21642"/>
      <c r="EH21642"/>
      <c r="EI21642"/>
      <c r="EJ21642"/>
      <c r="EK21642"/>
    </row>
    <row r="21643" spans="1:141" s="116" customFormat="1">
      <c r="A21643" s="136"/>
      <c r="CM21643" s="111"/>
      <c r="CQ21643" s="111"/>
      <c r="EF21643"/>
      <c r="EG21643"/>
      <c r="EH21643"/>
      <c r="EI21643"/>
      <c r="EJ21643"/>
      <c r="EK21643"/>
    </row>
    <row r="21644" spans="1:141" s="116" customFormat="1">
      <c r="A21644" s="136"/>
      <c r="CM21644" s="111"/>
      <c r="CQ21644" s="111"/>
      <c r="EF21644"/>
      <c r="EG21644"/>
      <c r="EH21644"/>
      <c r="EI21644"/>
      <c r="EJ21644"/>
      <c r="EK21644"/>
    </row>
    <row r="21645" spans="1:141" s="116" customFormat="1">
      <c r="A21645" s="136"/>
      <c r="CM21645" s="111"/>
      <c r="CQ21645" s="111"/>
      <c r="EF21645"/>
      <c r="EG21645"/>
      <c r="EH21645"/>
      <c r="EI21645"/>
      <c r="EJ21645"/>
      <c r="EK21645"/>
    </row>
    <row r="21646" spans="1:141" s="116" customFormat="1">
      <c r="A21646" s="136"/>
      <c r="CM21646" s="111"/>
      <c r="CQ21646" s="111"/>
      <c r="EF21646"/>
      <c r="EG21646"/>
      <c r="EH21646"/>
      <c r="EI21646"/>
      <c r="EJ21646"/>
      <c r="EK21646"/>
    </row>
    <row r="21647" spans="1:141" s="116" customFormat="1">
      <c r="A21647" s="136"/>
      <c r="CM21647" s="111"/>
      <c r="CQ21647" s="111"/>
      <c r="EF21647"/>
      <c r="EG21647"/>
      <c r="EH21647"/>
      <c r="EI21647"/>
      <c r="EJ21647"/>
      <c r="EK21647"/>
    </row>
    <row r="21648" spans="1:141" s="116" customFormat="1">
      <c r="A21648" s="136"/>
      <c r="CM21648" s="111"/>
      <c r="CQ21648" s="111"/>
      <c r="EF21648"/>
      <c r="EG21648"/>
      <c r="EH21648"/>
      <c r="EI21648"/>
      <c r="EJ21648"/>
      <c r="EK21648"/>
    </row>
    <row r="21649" spans="1:141" s="116" customFormat="1">
      <c r="A21649" s="136"/>
      <c r="CM21649" s="111"/>
      <c r="CQ21649" s="111"/>
      <c r="EF21649"/>
      <c r="EG21649"/>
      <c r="EH21649"/>
      <c r="EI21649"/>
      <c r="EJ21649"/>
      <c r="EK21649"/>
    </row>
    <row r="21650" spans="1:141" s="116" customFormat="1">
      <c r="A21650" s="136"/>
      <c r="CM21650" s="111"/>
      <c r="CQ21650" s="111"/>
      <c r="EF21650"/>
      <c r="EG21650"/>
      <c r="EH21650"/>
      <c r="EI21650"/>
      <c r="EJ21650"/>
      <c r="EK21650"/>
    </row>
    <row r="21651" spans="1:141" s="116" customFormat="1">
      <c r="A21651" s="136"/>
      <c r="CM21651" s="111"/>
      <c r="CQ21651" s="111"/>
      <c r="EF21651"/>
      <c r="EG21651"/>
      <c r="EH21651"/>
      <c r="EI21651"/>
      <c r="EJ21651"/>
      <c r="EK21651"/>
    </row>
    <row r="21652" spans="1:141" s="116" customFormat="1">
      <c r="A21652" s="136"/>
      <c r="CM21652" s="111"/>
      <c r="CQ21652" s="111"/>
      <c r="EF21652"/>
      <c r="EG21652"/>
      <c r="EH21652"/>
      <c r="EI21652"/>
      <c r="EJ21652"/>
      <c r="EK21652"/>
    </row>
    <row r="21653" spans="1:141" s="116" customFormat="1">
      <c r="A21653" s="136"/>
      <c r="CM21653" s="111"/>
      <c r="CQ21653" s="111"/>
      <c r="EF21653"/>
      <c r="EG21653"/>
      <c r="EH21653"/>
      <c r="EI21653"/>
      <c r="EJ21653"/>
      <c r="EK21653"/>
    </row>
    <row r="21654" spans="1:141" s="116" customFormat="1">
      <c r="A21654" s="136"/>
      <c r="CM21654" s="111"/>
      <c r="CQ21654" s="111"/>
      <c r="EF21654"/>
      <c r="EG21654"/>
      <c r="EH21654"/>
      <c r="EI21654"/>
      <c r="EJ21654"/>
      <c r="EK21654"/>
    </row>
    <row r="21655" spans="1:141" s="116" customFormat="1">
      <c r="A21655" s="136"/>
      <c r="CM21655" s="111"/>
      <c r="CQ21655" s="111"/>
      <c r="EF21655"/>
      <c r="EG21655"/>
      <c r="EH21655"/>
      <c r="EI21655"/>
      <c r="EJ21655"/>
      <c r="EK21655"/>
    </row>
    <row r="21656" spans="1:141" s="116" customFormat="1">
      <c r="A21656" s="136"/>
      <c r="CM21656" s="111"/>
      <c r="CQ21656" s="111"/>
      <c r="EF21656"/>
      <c r="EG21656"/>
      <c r="EH21656"/>
      <c r="EI21656"/>
      <c r="EJ21656"/>
      <c r="EK21656"/>
    </row>
    <row r="21657" spans="1:141" s="116" customFormat="1">
      <c r="A21657" s="136"/>
      <c r="CM21657" s="111"/>
      <c r="CQ21657" s="111"/>
      <c r="EF21657"/>
      <c r="EG21657"/>
      <c r="EH21657"/>
      <c r="EI21657"/>
      <c r="EJ21657"/>
      <c r="EK21657"/>
    </row>
    <row r="21658" spans="1:141" s="116" customFormat="1">
      <c r="A21658" s="136"/>
      <c r="CM21658" s="111"/>
      <c r="CQ21658" s="111"/>
      <c r="EF21658"/>
      <c r="EG21658"/>
      <c r="EH21658"/>
      <c r="EI21658"/>
      <c r="EJ21658"/>
      <c r="EK21658"/>
    </row>
    <row r="21659" spans="1:141" s="116" customFormat="1">
      <c r="A21659" s="136"/>
      <c r="CM21659" s="111"/>
      <c r="CQ21659" s="111"/>
      <c r="EF21659"/>
      <c r="EG21659"/>
      <c r="EH21659"/>
      <c r="EI21659"/>
      <c r="EJ21659"/>
      <c r="EK21659"/>
    </row>
    <row r="21660" spans="1:141" s="116" customFormat="1">
      <c r="A21660" s="136"/>
      <c r="CM21660" s="111"/>
      <c r="CQ21660" s="111"/>
      <c r="EF21660"/>
      <c r="EG21660"/>
      <c r="EH21660"/>
      <c r="EI21660"/>
      <c r="EJ21660"/>
      <c r="EK21660"/>
    </row>
    <row r="21661" spans="1:141" s="116" customFormat="1">
      <c r="A21661" s="136"/>
      <c r="CM21661" s="111"/>
      <c r="CQ21661" s="111"/>
      <c r="EF21661"/>
      <c r="EG21661"/>
      <c r="EH21661"/>
      <c r="EI21661"/>
      <c r="EJ21661"/>
      <c r="EK21661"/>
    </row>
    <row r="21662" spans="1:141" s="116" customFormat="1">
      <c r="A21662" s="136"/>
      <c r="CM21662" s="111"/>
      <c r="CQ21662" s="111"/>
      <c r="EF21662"/>
      <c r="EG21662"/>
      <c r="EH21662"/>
      <c r="EI21662"/>
      <c r="EJ21662"/>
      <c r="EK21662"/>
    </row>
    <row r="21663" spans="1:141" s="116" customFormat="1">
      <c r="A21663" s="136"/>
      <c r="CM21663" s="111"/>
      <c r="CQ21663" s="111"/>
      <c r="EF21663"/>
      <c r="EG21663"/>
      <c r="EH21663"/>
      <c r="EI21663"/>
      <c r="EJ21663"/>
      <c r="EK21663"/>
    </row>
    <row r="21664" spans="1:141" s="116" customFormat="1">
      <c r="A21664" s="136"/>
      <c r="CM21664" s="111"/>
      <c r="CQ21664" s="111"/>
      <c r="EF21664"/>
      <c r="EG21664"/>
      <c r="EH21664"/>
      <c r="EI21664"/>
      <c r="EJ21664"/>
      <c r="EK21664"/>
    </row>
    <row r="21665" spans="1:141" s="116" customFormat="1">
      <c r="A21665" s="136"/>
      <c r="CM21665" s="111"/>
      <c r="CQ21665" s="111"/>
      <c r="EF21665"/>
      <c r="EG21665"/>
      <c r="EH21665"/>
      <c r="EI21665"/>
      <c r="EJ21665"/>
      <c r="EK21665"/>
    </row>
    <row r="21666" spans="1:141" s="116" customFormat="1">
      <c r="A21666" s="136"/>
      <c r="CM21666" s="111"/>
      <c r="CQ21666" s="111"/>
      <c r="EF21666"/>
      <c r="EG21666"/>
      <c r="EH21666"/>
      <c r="EI21666"/>
      <c r="EJ21666"/>
      <c r="EK21666"/>
    </row>
    <row r="21667" spans="1:141" s="116" customFormat="1">
      <c r="A21667" s="136"/>
      <c r="CM21667" s="111"/>
      <c r="CQ21667" s="111"/>
      <c r="EF21667"/>
      <c r="EG21667"/>
      <c r="EH21667"/>
      <c r="EI21667"/>
      <c r="EJ21667"/>
      <c r="EK21667"/>
    </row>
    <row r="21668" spans="1:141" s="116" customFormat="1">
      <c r="A21668" s="136"/>
      <c r="CM21668" s="111"/>
      <c r="CQ21668" s="111"/>
      <c r="EF21668"/>
      <c r="EG21668"/>
      <c r="EH21668"/>
      <c r="EI21668"/>
      <c r="EJ21668"/>
      <c r="EK21668"/>
    </row>
    <row r="21669" spans="1:141" s="116" customFormat="1">
      <c r="A21669" s="136"/>
      <c r="CM21669" s="111"/>
      <c r="CQ21669" s="111"/>
      <c r="EF21669"/>
      <c r="EG21669"/>
      <c r="EH21669"/>
      <c r="EI21669"/>
      <c r="EJ21669"/>
      <c r="EK21669"/>
    </row>
    <row r="21670" spans="1:141" s="116" customFormat="1">
      <c r="A21670" s="136"/>
      <c r="CM21670" s="111"/>
      <c r="CQ21670" s="111"/>
      <c r="EF21670"/>
      <c r="EG21670"/>
      <c r="EH21670"/>
      <c r="EI21670"/>
      <c r="EJ21670"/>
      <c r="EK21670"/>
    </row>
    <row r="21671" spans="1:141" s="116" customFormat="1">
      <c r="A21671" s="136"/>
      <c r="CM21671" s="111"/>
      <c r="CQ21671" s="111"/>
      <c r="EF21671"/>
      <c r="EG21671"/>
      <c r="EH21671"/>
      <c r="EI21671"/>
      <c r="EJ21671"/>
      <c r="EK21671"/>
    </row>
    <row r="21672" spans="1:141" s="116" customFormat="1">
      <c r="A21672" s="136"/>
      <c r="CM21672" s="111"/>
      <c r="CQ21672" s="111"/>
      <c r="EF21672"/>
      <c r="EG21672"/>
      <c r="EH21672"/>
      <c r="EI21672"/>
      <c r="EJ21672"/>
      <c r="EK21672"/>
    </row>
    <row r="21673" spans="1:141" s="116" customFormat="1">
      <c r="A21673" s="136"/>
      <c r="CM21673" s="111"/>
      <c r="CQ21673" s="111"/>
      <c r="EF21673"/>
      <c r="EG21673"/>
      <c r="EH21673"/>
      <c r="EI21673"/>
      <c r="EJ21673"/>
      <c r="EK21673"/>
    </row>
    <row r="21674" spans="1:141" s="116" customFormat="1">
      <c r="A21674" s="136"/>
      <c r="CM21674" s="111"/>
      <c r="CQ21674" s="111"/>
      <c r="EF21674"/>
      <c r="EG21674"/>
      <c r="EH21674"/>
      <c r="EI21674"/>
      <c r="EJ21674"/>
      <c r="EK21674"/>
    </row>
    <row r="21675" spans="1:141" s="116" customFormat="1">
      <c r="A21675" s="136"/>
      <c r="CM21675" s="111"/>
      <c r="CQ21675" s="111"/>
      <c r="EF21675"/>
      <c r="EG21675"/>
      <c r="EH21675"/>
      <c r="EI21675"/>
      <c r="EJ21675"/>
      <c r="EK21675"/>
    </row>
    <row r="21676" spans="1:141" s="116" customFormat="1">
      <c r="A21676" s="136"/>
      <c r="CM21676" s="111"/>
      <c r="CQ21676" s="111"/>
      <c r="EF21676"/>
      <c r="EG21676"/>
      <c r="EH21676"/>
      <c r="EI21676"/>
      <c r="EJ21676"/>
      <c r="EK21676"/>
    </row>
    <row r="21677" spans="1:141" s="116" customFormat="1">
      <c r="A21677" s="136"/>
      <c r="CM21677" s="111"/>
      <c r="CQ21677" s="111"/>
      <c r="EF21677"/>
      <c r="EG21677"/>
      <c r="EH21677"/>
      <c r="EI21677"/>
      <c r="EJ21677"/>
      <c r="EK21677"/>
    </row>
    <row r="21678" spans="1:141" s="116" customFormat="1">
      <c r="A21678" s="136"/>
      <c r="CM21678" s="111"/>
      <c r="CQ21678" s="111"/>
      <c r="EF21678"/>
      <c r="EG21678"/>
      <c r="EH21678"/>
      <c r="EI21678"/>
      <c r="EJ21678"/>
      <c r="EK21678"/>
    </row>
    <row r="21679" spans="1:141" s="116" customFormat="1">
      <c r="A21679" s="136"/>
      <c r="CM21679" s="111"/>
      <c r="CQ21679" s="111"/>
      <c r="EF21679"/>
      <c r="EG21679"/>
      <c r="EH21679"/>
      <c r="EI21679"/>
      <c r="EJ21679"/>
      <c r="EK21679"/>
    </row>
    <row r="21680" spans="1:141" s="116" customFormat="1">
      <c r="A21680" s="136"/>
      <c r="CM21680" s="111"/>
      <c r="CQ21680" s="111"/>
      <c r="EF21680"/>
      <c r="EG21680"/>
      <c r="EH21680"/>
      <c r="EI21680"/>
      <c r="EJ21680"/>
      <c r="EK21680"/>
    </row>
    <row r="21681" spans="1:141" s="116" customFormat="1">
      <c r="A21681" s="136"/>
      <c r="CM21681" s="111"/>
      <c r="CQ21681" s="111"/>
      <c r="EF21681"/>
      <c r="EG21681"/>
      <c r="EH21681"/>
      <c r="EI21681"/>
      <c r="EJ21681"/>
      <c r="EK21681"/>
    </row>
    <row r="21682" spans="1:141" s="116" customFormat="1">
      <c r="A21682" s="136"/>
      <c r="CM21682" s="111"/>
      <c r="CQ21682" s="111"/>
      <c r="EF21682"/>
      <c r="EG21682"/>
      <c r="EH21682"/>
      <c r="EI21682"/>
      <c r="EJ21682"/>
      <c r="EK21682"/>
    </row>
    <row r="21683" spans="1:141" s="116" customFormat="1">
      <c r="A21683" s="136"/>
      <c r="CM21683" s="111"/>
      <c r="CQ21683" s="111"/>
      <c r="EF21683"/>
      <c r="EG21683"/>
      <c r="EH21683"/>
      <c r="EI21683"/>
      <c r="EJ21683"/>
      <c r="EK21683"/>
    </row>
    <row r="21684" spans="1:141" s="116" customFormat="1">
      <c r="A21684" s="136"/>
      <c r="CM21684" s="111"/>
      <c r="CQ21684" s="111"/>
      <c r="EF21684"/>
      <c r="EG21684"/>
      <c r="EH21684"/>
      <c r="EI21684"/>
      <c r="EJ21684"/>
      <c r="EK21684"/>
    </row>
    <row r="21685" spans="1:141" s="116" customFormat="1">
      <c r="A21685" s="136"/>
      <c r="CM21685" s="111"/>
      <c r="CQ21685" s="111"/>
      <c r="EF21685"/>
      <c r="EG21685"/>
      <c r="EH21685"/>
      <c r="EI21685"/>
      <c r="EJ21685"/>
      <c r="EK21685"/>
    </row>
    <row r="21686" spans="1:141" s="116" customFormat="1">
      <c r="A21686" s="136"/>
      <c r="CM21686" s="111"/>
      <c r="CQ21686" s="111"/>
      <c r="EF21686"/>
      <c r="EG21686"/>
      <c r="EH21686"/>
      <c r="EI21686"/>
      <c r="EJ21686"/>
      <c r="EK21686"/>
    </row>
    <row r="21687" spans="1:141" s="116" customFormat="1">
      <c r="A21687" s="136"/>
      <c r="CM21687" s="111"/>
      <c r="CQ21687" s="111"/>
      <c r="EF21687"/>
      <c r="EG21687"/>
      <c r="EH21687"/>
      <c r="EI21687"/>
      <c r="EJ21687"/>
      <c r="EK21687"/>
    </row>
    <row r="21688" spans="1:141" s="116" customFormat="1">
      <c r="A21688" s="136"/>
      <c r="CM21688" s="111"/>
      <c r="CQ21688" s="111"/>
      <c r="EF21688"/>
      <c r="EG21688"/>
      <c r="EH21688"/>
      <c r="EI21688"/>
      <c r="EJ21688"/>
      <c r="EK21688"/>
    </row>
    <row r="21689" spans="1:141" s="116" customFormat="1">
      <c r="A21689" s="136"/>
      <c r="CM21689" s="111"/>
      <c r="CQ21689" s="111"/>
      <c r="EF21689"/>
      <c r="EG21689"/>
      <c r="EH21689"/>
      <c r="EI21689"/>
      <c r="EJ21689"/>
      <c r="EK21689"/>
    </row>
    <row r="21690" spans="1:141" s="116" customFormat="1">
      <c r="A21690" s="136"/>
      <c r="CM21690" s="111"/>
      <c r="CQ21690" s="111"/>
      <c r="EF21690"/>
      <c r="EG21690"/>
      <c r="EH21690"/>
      <c r="EI21690"/>
      <c r="EJ21690"/>
      <c r="EK21690"/>
    </row>
    <row r="21691" spans="1:141" s="116" customFormat="1">
      <c r="A21691" s="136"/>
      <c r="CM21691" s="111"/>
      <c r="CQ21691" s="111"/>
      <c r="EF21691"/>
      <c r="EG21691"/>
      <c r="EH21691"/>
      <c r="EI21691"/>
      <c r="EJ21691"/>
      <c r="EK21691"/>
    </row>
    <row r="21692" spans="1:141" s="116" customFormat="1">
      <c r="A21692" s="136"/>
      <c r="CM21692" s="111"/>
      <c r="CQ21692" s="111"/>
      <c r="EF21692"/>
      <c r="EG21692"/>
      <c r="EH21692"/>
      <c r="EI21692"/>
      <c r="EJ21692"/>
      <c r="EK21692"/>
    </row>
    <row r="21693" spans="1:141" s="116" customFormat="1">
      <c r="A21693" s="136"/>
      <c r="CM21693" s="111"/>
      <c r="CQ21693" s="111"/>
      <c r="EF21693"/>
      <c r="EG21693"/>
      <c r="EH21693"/>
      <c r="EI21693"/>
      <c r="EJ21693"/>
      <c r="EK21693"/>
    </row>
    <row r="21694" spans="1:141" s="116" customFormat="1">
      <c r="A21694" s="136"/>
      <c r="CM21694" s="111"/>
      <c r="CQ21694" s="111"/>
      <c r="EF21694"/>
      <c r="EG21694"/>
      <c r="EH21694"/>
      <c r="EI21694"/>
      <c r="EJ21694"/>
      <c r="EK21694"/>
    </row>
    <row r="21695" spans="1:141" s="116" customFormat="1">
      <c r="A21695" s="136"/>
      <c r="CM21695" s="111"/>
      <c r="CQ21695" s="111"/>
      <c r="EF21695"/>
      <c r="EG21695"/>
      <c r="EH21695"/>
      <c r="EI21695"/>
      <c r="EJ21695"/>
      <c r="EK21695"/>
    </row>
    <row r="21696" spans="1:141" s="116" customFormat="1">
      <c r="A21696" s="136"/>
      <c r="CM21696" s="111"/>
      <c r="CQ21696" s="111"/>
      <c r="EF21696"/>
      <c r="EG21696"/>
      <c r="EH21696"/>
      <c r="EI21696"/>
      <c r="EJ21696"/>
      <c r="EK21696"/>
    </row>
    <row r="21697" spans="1:141" s="116" customFormat="1">
      <c r="A21697" s="136"/>
      <c r="CM21697" s="111"/>
      <c r="CQ21697" s="111"/>
      <c r="EF21697"/>
      <c r="EG21697"/>
      <c r="EH21697"/>
      <c r="EI21697"/>
      <c r="EJ21697"/>
      <c r="EK21697"/>
    </row>
    <row r="21698" spans="1:141" s="116" customFormat="1">
      <c r="A21698" s="136"/>
      <c r="CM21698" s="111"/>
      <c r="CQ21698" s="111"/>
      <c r="EF21698"/>
      <c r="EG21698"/>
      <c r="EH21698"/>
      <c r="EI21698"/>
      <c r="EJ21698"/>
      <c r="EK21698"/>
    </row>
    <row r="21699" spans="1:141" s="116" customFormat="1">
      <c r="A21699" s="136"/>
      <c r="CM21699" s="111"/>
      <c r="CQ21699" s="111"/>
      <c r="EF21699"/>
      <c r="EG21699"/>
      <c r="EH21699"/>
      <c r="EI21699"/>
      <c r="EJ21699"/>
      <c r="EK21699"/>
    </row>
    <row r="21700" spans="1:141" s="116" customFormat="1">
      <c r="A21700" s="136"/>
      <c r="CM21700" s="111"/>
      <c r="CQ21700" s="111"/>
      <c r="EF21700"/>
      <c r="EG21700"/>
      <c r="EH21700"/>
      <c r="EI21700"/>
      <c r="EJ21700"/>
      <c r="EK21700"/>
    </row>
    <row r="21701" spans="1:141" s="116" customFormat="1">
      <c r="A21701" s="136"/>
      <c r="CM21701" s="111"/>
      <c r="CQ21701" s="111"/>
      <c r="EF21701"/>
      <c r="EG21701"/>
      <c r="EH21701"/>
      <c r="EI21701"/>
      <c r="EJ21701"/>
      <c r="EK21701"/>
    </row>
    <row r="21702" spans="1:141" s="116" customFormat="1">
      <c r="A21702" s="136"/>
      <c r="CM21702" s="111"/>
      <c r="CQ21702" s="111"/>
      <c r="EF21702"/>
      <c r="EG21702"/>
      <c r="EH21702"/>
      <c r="EI21702"/>
      <c r="EJ21702"/>
      <c r="EK21702"/>
    </row>
    <row r="21703" spans="1:141" s="116" customFormat="1">
      <c r="A21703" s="136"/>
      <c r="CM21703" s="111"/>
      <c r="CQ21703" s="111"/>
      <c r="EF21703"/>
      <c r="EG21703"/>
      <c r="EH21703"/>
      <c r="EI21703"/>
      <c r="EJ21703"/>
      <c r="EK21703"/>
    </row>
    <row r="21704" spans="1:141" s="116" customFormat="1">
      <c r="A21704" s="136"/>
      <c r="CM21704" s="111"/>
      <c r="CQ21704" s="111"/>
      <c r="EF21704"/>
      <c r="EG21704"/>
      <c r="EH21704"/>
      <c r="EI21704"/>
      <c r="EJ21704"/>
      <c r="EK21704"/>
    </row>
    <row r="21705" spans="1:141" s="116" customFormat="1">
      <c r="A21705" s="136"/>
      <c r="CM21705" s="111"/>
      <c r="CQ21705" s="111"/>
      <c r="EF21705"/>
      <c r="EG21705"/>
      <c r="EH21705"/>
      <c r="EI21705"/>
      <c r="EJ21705"/>
      <c r="EK21705"/>
    </row>
    <row r="21706" spans="1:141" s="116" customFormat="1">
      <c r="A21706" s="136"/>
      <c r="CM21706" s="111"/>
      <c r="CQ21706" s="111"/>
      <c r="EF21706"/>
      <c r="EG21706"/>
      <c r="EH21706"/>
      <c r="EI21706"/>
      <c r="EJ21706"/>
      <c r="EK21706"/>
    </row>
    <row r="21707" spans="1:141" s="116" customFormat="1">
      <c r="A21707" s="136"/>
      <c r="CM21707" s="111"/>
      <c r="CQ21707" s="111"/>
      <c r="EF21707"/>
      <c r="EG21707"/>
      <c r="EH21707"/>
      <c r="EI21707"/>
      <c r="EJ21707"/>
      <c r="EK21707"/>
    </row>
    <row r="21708" spans="1:141" s="116" customFormat="1">
      <c r="A21708" s="136"/>
      <c r="CM21708" s="111"/>
      <c r="CQ21708" s="111"/>
      <c r="EF21708"/>
      <c r="EG21708"/>
      <c r="EH21708"/>
      <c r="EI21708"/>
      <c r="EJ21708"/>
      <c r="EK21708"/>
    </row>
    <row r="21709" spans="1:141" s="116" customFormat="1">
      <c r="A21709" s="136"/>
      <c r="CM21709" s="111"/>
      <c r="CQ21709" s="111"/>
      <c r="EF21709"/>
      <c r="EG21709"/>
      <c r="EH21709"/>
      <c r="EI21709"/>
      <c r="EJ21709"/>
      <c r="EK21709"/>
    </row>
    <row r="21710" spans="1:141" s="116" customFormat="1">
      <c r="A21710" s="136"/>
      <c r="CM21710" s="111"/>
      <c r="CQ21710" s="111"/>
      <c r="EF21710"/>
      <c r="EG21710"/>
      <c r="EH21710"/>
      <c r="EI21710"/>
      <c r="EJ21710"/>
      <c r="EK21710"/>
    </row>
    <row r="21711" spans="1:141" s="116" customFormat="1">
      <c r="A21711" s="136"/>
      <c r="CM21711" s="111"/>
      <c r="CQ21711" s="111"/>
      <c r="EF21711"/>
      <c r="EG21711"/>
      <c r="EH21711"/>
      <c r="EI21711"/>
      <c r="EJ21711"/>
      <c r="EK21711"/>
    </row>
    <row r="21712" spans="1:141" s="116" customFormat="1">
      <c r="A21712" s="136"/>
      <c r="CM21712" s="111"/>
      <c r="CQ21712" s="111"/>
      <c r="EF21712"/>
      <c r="EG21712"/>
      <c r="EH21712"/>
      <c r="EI21712"/>
      <c r="EJ21712"/>
      <c r="EK21712"/>
    </row>
    <row r="21713" spans="1:141" s="116" customFormat="1">
      <c r="A21713" s="136"/>
      <c r="CM21713" s="111"/>
      <c r="CQ21713" s="111"/>
      <c r="EF21713"/>
      <c r="EG21713"/>
      <c r="EH21713"/>
      <c r="EI21713"/>
      <c r="EJ21713"/>
      <c r="EK21713"/>
    </row>
    <row r="21714" spans="1:141" s="116" customFormat="1">
      <c r="A21714" s="136"/>
      <c r="CM21714" s="111"/>
      <c r="CQ21714" s="111"/>
      <c r="EF21714"/>
      <c r="EG21714"/>
      <c r="EH21714"/>
      <c r="EI21714"/>
      <c r="EJ21714"/>
      <c r="EK21714"/>
    </row>
    <row r="21715" spans="1:141" s="116" customFormat="1">
      <c r="A21715" s="136"/>
      <c r="CM21715" s="111"/>
      <c r="CQ21715" s="111"/>
      <c r="EF21715"/>
      <c r="EG21715"/>
      <c r="EH21715"/>
      <c r="EI21715"/>
      <c r="EJ21715"/>
      <c r="EK21715"/>
    </row>
    <row r="21716" spans="1:141" s="116" customFormat="1">
      <c r="A21716" s="136"/>
      <c r="CM21716" s="111"/>
      <c r="CQ21716" s="111"/>
      <c r="EF21716"/>
      <c r="EG21716"/>
      <c r="EH21716"/>
      <c r="EI21716"/>
      <c r="EJ21716"/>
      <c r="EK21716"/>
    </row>
    <row r="21717" spans="1:141" s="116" customFormat="1">
      <c r="A21717" s="136"/>
      <c r="CM21717" s="111"/>
      <c r="CQ21717" s="111"/>
      <c r="EF21717"/>
      <c r="EG21717"/>
      <c r="EH21717"/>
      <c r="EI21717"/>
      <c r="EJ21717"/>
      <c r="EK21717"/>
    </row>
    <row r="21718" spans="1:141" s="116" customFormat="1">
      <c r="A21718" s="136"/>
      <c r="CM21718" s="111"/>
      <c r="CQ21718" s="111"/>
      <c r="EF21718"/>
      <c r="EG21718"/>
      <c r="EH21718"/>
      <c r="EI21718"/>
      <c r="EJ21718"/>
      <c r="EK21718"/>
    </row>
    <row r="21719" spans="1:141" s="116" customFormat="1">
      <c r="A21719" s="136"/>
      <c r="CM21719" s="111"/>
      <c r="CQ21719" s="111"/>
      <c r="EF21719"/>
      <c r="EG21719"/>
      <c r="EH21719"/>
      <c r="EI21719"/>
      <c r="EJ21719"/>
      <c r="EK21719"/>
    </row>
    <row r="21720" spans="1:141" s="116" customFormat="1">
      <c r="A21720" s="136"/>
      <c r="CM21720" s="111"/>
      <c r="CQ21720" s="111"/>
      <c r="EF21720"/>
      <c r="EG21720"/>
      <c r="EH21720"/>
      <c r="EI21720"/>
      <c r="EJ21720"/>
      <c r="EK21720"/>
    </row>
    <row r="21721" spans="1:141" s="116" customFormat="1">
      <c r="A21721" s="136"/>
      <c r="CM21721" s="111"/>
      <c r="CQ21721" s="111"/>
      <c r="EF21721"/>
      <c r="EG21721"/>
      <c r="EH21721"/>
      <c r="EI21721"/>
      <c r="EJ21721"/>
      <c r="EK21721"/>
    </row>
    <row r="21722" spans="1:141" s="116" customFormat="1">
      <c r="A21722" s="136"/>
      <c r="CM21722" s="111"/>
      <c r="CQ21722" s="111"/>
      <c r="EF21722"/>
      <c r="EG21722"/>
      <c r="EH21722"/>
      <c r="EI21722"/>
      <c r="EJ21722"/>
      <c r="EK21722"/>
    </row>
    <row r="21723" spans="1:141" s="116" customFormat="1">
      <c r="A21723" s="136"/>
      <c r="CM21723" s="111"/>
      <c r="CQ21723" s="111"/>
      <c r="EF21723"/>
      <c r="EG21723"/>
      <c r="EH21723"/>
      <c r="EI21723"/>
      <c r="EJ21723"/>
      <c r="EK21723"/>
    </row>
    <row r="21724" spans="1:141" s="116" customFormat="1">
      <c r="A21724" s="136"/>
      <c r="CM21724" s="111"/>
      <c r="CQ21724" s="111"/>
      <c r="EF21724"/>
      <c r="EG21724"/>
      <c r="EH21724"/>
      <c r="EI21724"/>
      <c r="EJ21724"/>
      <c r="EK21724"/>
    </row>
    <row r="21725" spans="1:141" s="116" customFormat="1">
      <c r="A21725" s="136"/>
      <c r="CM21725" s="111"/>
      <c r="CQ21725" s="111"/>
      <c r="EF21725"/>
      <c r="EG21725"/>
      <c r="EH21725"/>
      <c r="EI21725"/>
      <c r="EJ21725"/>
      <c r="EK21725"/>
    </row>
    <row r="21726" spans="1:141" s="116" customFormat="1">
      <c r="A21726" s="136"/>
      <c r="CM21726" s="111"/>
      <c r="CQ21726" s="111"/>
      <c r="EF21726"/>
      <c r="EG21726"/>
      <c r="EH21726"/>
      <c r="EI21726"/>
      <c r="EJ21726"/>
      <c r="EK21726"/>
    </row>
    <row r="21727" spans="1:141" s="116" customFormat="1">
      <c r="A21727" s="136"/>
      <c r="CM21727" s="111"/>
      <c r="CQ21727" s="111"/>
      <c r="EF21727"/>
      <c r="EG21727"/>
      <c r="EH21727"/>
      <c r="EI21727"/>
      <c r="EJ21727"/>
      <c r="EK21727"/>
    </row>
    <row r="21728" spans="1:141" s="116" customFormat="1">
      <c r="A21728" s="136"/>
      <c r="CM21728" s="111"/>
      <c r="CQ21728" s="111"/>
      <c r="EF21728"/>
      <c r="EG21728"/>
      <c r="EH21728"/>
      <c r="EI21728"/>
      <c r="EJ21728"/>
      <c r="EK21728"/>
    </row>
    <row r="21729" spans="1:141" s="116" customFormat="1">
      <c r="A21729" s="136"/>
      <c r="CM21729" s="111"/>
      <c r="CQ21729" s="111"/>
      <c r="EF21729"/>
      <c r="EG21729"/>
      <c r="EH21729"/>
      <c r="EI21729"/>
      <c r="EJ21729"/>
      <c r="EK21729"/>
    </row>
    <row r="21730" spans="1:141" s="116" customFormat="1">
      <c r="A21730" s="136"/>
      <c r="CM21730" s="111"/>
      <c r="CQ21730" s="111"/>
      <c r="EF21730"/>
      <c r="EG21730"/>
      <c r="EH21730"/>
      <c r="EI21730"/>
      <c r="EJ21730"/>
      <c r="EK21730"/>
    </row>
    <row r="21731" spans="1:141" s="116" customFormat="1">
      <c r="A21731" s="136"/>
      <c r="CM21731" s="111"/>
      <c r="CQ21731" s="111"/>
      <c r="EF21731"/>
      <c r="EG21731"/>
      <c r="EH21731"/>
      <c r="EI21731"/>
      <c r="EJ21731"/>
      <c r="EK21731"/>
    </row>
    <row r="21732" spans="1:141" s="116" customFormat="1">
      <c r="A21732" s="136"/>
      <c r="CM21732" s="111"/>
      <c r="CQ21732" s="111"/>
      <c r="EF21732"/>
      <c r="EG21732"/>
      <c r="EH21732"/>
      <c r="EI21732"/>
      <c r="EJ21732"/>
      <c r="EK21732"/>
    </row>
    <row r="21733" spans="1:141" s="116" customFormat="1">
      <c r="A21733" s="136"/>
      <c r="CM21733" s="111"/>
      <c r="CQ21733" s="111"/>
      <c r="EF21733"/>
      <c r="EG21733"/>
      <c r="EH21733"/>
      <c r="EI21733"/>
      <c r="EJ21733"/>
      <c r="EK21733"/>
    </row>
    <row r="21734" spans="1:141" s="116" customFormat="1">
      <c r="A21734" s="136"/>
      <c r="CM21734" s="111"/>
      <c r="CQ21734" s="111"/>
      <c r="EF21734"/>
      <c r="EG21734"/>
      <c r="EH21734"/>
      <c r="EI21734"/>
      <c r="EJ21734"/>
      <c r="EK21734"/>
    </row>
    <row r="21735" spans="1:141" s="116" customFormat="1">
      <c r="A21735" s="136"/>
      <c r="CM21735" s="111"/>
      <c r="CQ21735" s="111"/>
      <c r="EF21735"/>
      <c r="EG21735"/>
      <c r="EH21735"/>
      <c r="EI21735"/>
      <c r="EJ21735"/>
      <c r="EK21735"/>
    </row>
    <row r="21736" spans="1:141" s="116" customFormat="1">
      <c r="A21736" s="136"/>
      <c r="CM21736" s="111"/>
      <c r="CQ21736" s="111"/>
      <c r="EF21736"/>
      <c r="EG21736"/>
      <c r="EH21736"/>
      <c r="EI21736"/>
      <c r="EJ21736"/>
      <c r="EK21736"/>
    </row>
    <row r="21737" spans="1:141" s="116" customFormat="1">
      <c r="A21737" s="136"/>
      <c r="CM21737" s="111"/>
      <c r="CQ21737" s="111"/>
      <c r="EF21737"/>
      <c r="EG21737"/>
      <c r="EH21737"/>
      <c r="EI21737"/>
      <c r="EJ21737"/>
      <c r="EK21737"/>
    </row>
    <row r="21738" spans="1:141" s="116" customFormat="1">
      <c r="A21738" s="136"/>
      <c r="CM21738" s="111"/>
      <c r="CQ21738" s="111"/>
      <c r="EF21738"/>
      <c r="EG21738"/>
      <c r="EH21738"/>
      <c r="EI21738"/>
      <c r="EJ21738"/>
      <c r="EK21738"/>
    </row>
    <row r="21739" spans="1:141" s="116" customFormat="1">
      <c r="A21739" s="136"/>
      <c r="CM21739" s="111"/>
      <c r="CQ21739" s="111"/>
      <c r="EF21739"/>
      <c r="EG21739"/>
      <c r="EH21739"/>
      <c r="EI21739"/>
      <c r="EJ21739"/>
      <c r="EK21739"/>
    </row>
    <row r="21740" spans="1:141" s="116" customFormat="1">
      <c r="A21740" s="136"/>
      <c r="CM21740" s="111"/>
      <c r="CQ21740" s="111"/>
      <c r="EF21740"/>
      <c r="EG21740"/>
      <c r="EH21740"/>
      <c r="EI21740"/>
      <c r="EJ21740"/>
      <c r="EK21740"/>
    </row>
    <row r="21741" spans="1:141" s="116" customFormat="1">
      <c r="A21741" s="136"/>
      <c r="CM21741" s="111"/>
      <c r="CQ21741" s="111"/>
      <c r="EF21741"/>
      <c r="EG21741"/>
      <c r="EH21741"/>
      <c r="EI21741"/>
      <c r="EJ21741"/>
      <c r="EK21741"/>
    </row>
    <row r="21742" spans="1:141" s="116" customFormat="1">
      <c r="A21742" s="136"/>
      <c r="CM21742" s="111"/>
      <c r="CQ21742" s="111"/>
      <c r="EF21742"/>
      <c r="EG21742"/>
      <c r="EH21742"/>
      <c r="EI21742"/>
      <c r="EJ21742"/>
      <c r="EK21742"/>
    </row>
    <row r="21743" spans="1:141" s="116" customFormat="1">
      <c r="A21743" s="136"/>
      <c r="CM21743" s="111"/>
      <c r="CQ21743" s="111"/>
      <c r="EF21743"/>
      <c r="EG21743"/>
      <c r="EH21743"/>
      <c r="EI21743"/>
      <c r="EJ21743"/>
      <c r="EK21743"/>
    </row>
    <row r="21744" spans="1:141" s="116" customFormat="1">
      <c r="A21744" s="136"/>
      <c r="CM21744" s="111"/>
      <c r="CQ21744" s="111"/>
      <c r="EF21744"/>
      <c r="EG21744"/>
      <c r="EH21744"/>
      <c r="EI21744"/>
      <c r="EJ21744"/>
      <c r="EK21744"/>
    </row>
    <row r="21745" spans="1:141" s="116" customFormat="1">
      <c r="A21745" s="136"/>
      <c r="CM21745" s="111"/>
      <c r="CQ21745" s="111"/>
      <c r="EF21745"/>
      <c r="EG21745"/>
      <c r="EH21745"/>
      <c r="EI21745"/>
      <c r="EJ21745"/>
      <c r="EK21745"/>
    </row>
    <row r="21746" spans="1:141" s="116" customFormat="1">
      <c r="A21746" s="136"/>
      <c r="CM21746" s="111"/>
      <c r="CQ21746" s="111"/>
      <c r="EF21746"/>
      <c r="EG21746"/>
      <c r="EH21746"/>
      <c r="EI21746"/>
      <c r="EJ21746"/>
      <c r="EK21746"/>
    </row>
    <row r="21747" spans="1:141" s="116" customFormat="1">
      <c r="A21747" s="136"/>
      <c r="CM21747" s="111"/>
      <c r="CQ21747" s="111"/>
      <c r="EF21747"/>
      <c r="EG21747"/>
      <c r="EH21747"/>
      <c r="EI21747"/>
      <c r="EJ21747"/>
      <c r="EK21747"/>
    </row>
    <row r="21748" spans="1:141" s="116" customFormat="1">
      <c r="A21748" s="136"/>
      <c r="CM21748" s="111"/>
      <c r="CQ21748" s="111"/>
      <c r="EF21748"/>
      <c r="EG21748"/>
      <c r="EH21748"/>
      <c r="EI21748"/>
      <c r="EJ21748"/>
      <c r="EK21748"/>
    </row>
    <row r="21749" spans="1:141" s="116" customFormat="1">
      <c r="A21749" s="136"/>
      <c r="CM21749" s="111"/>
      <c r="CQ21749" s="111"/>
      <c r="EF21749"/>
      <c r="EG21749"/>
      <c r="EH21749"/>
      <c r="EI21749"/>
      <c r="EJ21749"/>
      <c r="EK21749"/>
    </row>
    <row r="21750" spans="1:141" s="116" customFormat="1">
      <c r="A21750" s="136"/>
      <c r="CM21750" s="111"/>
      <c r="CQ21750" s="111"/>
      <c r="EF21750"/>
      <c r="EG21750"/>
      <c r="EH21750"/>
      <c r="EI21750"/>
      <c r="EJ21750"/>
      <c r="EK21750"/>
    </row>
    <row r="21751" spans="1:141" s="116" customFormat="1">
      <c r="A21751" s="136"/>
      <c r="CM21751" s="111"/>
      <c r="CQ21751" s="111"/>
      <c r="EF21751"/>
      <c r="EG21751"/>
      <c r="EH21751"/>
      <c r="EI21751"/>
      <c r="EJ21751"/>
      <c r="EK21751"/>
    </row>
    <row r="21752" spans="1:141" s="116" customFormat="1">
      <c r="A21752" s="136"/>
      <c r="CM21752" s="111"/>
      <c r="CQ21752" s="111"/>
      <c r="EF21752"/>
      <c r="EG21752"/>
      <c r="EH21752"/>
      <c r="EI21752"/>
      <c r="EJ21752"/>
      <c r="EK21752"/>
    </row>
    <row r="21753" spans="1:141" s="116" customFormat="1">
      <c r="A21753" s="136"/>
      <c r="CM21753" s="111"/>
      <c r="CQ21753" s="111"/>
      <c r="EF21753"/>
      <c r="EG21753"/>
      <c r="EH21753"/>
      <c r="EI21753"/>
      <c r="EJ21753"/>
      <c r="EK21753"/>
    </row>
    <row r="21754" spans="1:141" s="116" customFormat="1">
      <c r="A21754" s="136"/>
      <c r="CM21754" s="111"/>
      <c r="CQ21754" s="111"/>
      <c r="EF21754"/>
      <c r="EG21754"/>
      <c r="EH21754"/>
      <c r="EI21754"/>
      <c r="EJ21754"/>
      <c r="EK21754"/>
    </row>
    <row r="21755" spans="1:141" s="116" customFormat="1">
      <c r="A21755" s="136"/>
      <c r="CM21755" s="111"/>
      <c r="CQ21755" s="111"/>
      <c r="EF21755"/>
      <c r="EG21755"/>
      <c r="EH21755"/>
      <c r="EI21755"/>
      <c r="EJ21755"/>
      <c r="EK21755"/>
    </row>
    <row r="21756" spans="1:141" s="116" customFormat="1">
      <c r="A21756" s="136"/>
      <c r="CM21756" s="111"/>
      <c r="CQ21756" s="111"/>
      <c r="EF21756"/>
      <c r="EG21756"/>
      <c r="EH21756"/>
      <c r="EI21756"/>
      <c r="EJ21756"/>
      <c r="EK21756"/>
    </row>
    <row r="21757" spans="1:141" s="116" customFormat="1">
      <c r="A21757" s="136"/>
      <c r="CM21757" s="111"/>
      <c r="CQ21757" s="111"/>
      <c r="EF21757"/>
      <c r="EG21757"/>
      <c r="EH21757"/>
      <c r="EI21757"/>
      <c r="EJ21757"/>
      <c r="EK21757"/>
    </row>
    <row r="21758" spans="1:141" s="116" customFormat="1">
      <c r="A21758" s="136"/>
      <c r="CM21758" s="111"/>
      <c r="CQ21758" s="111"/>
      <c r="EF21758"/>
      <c r="EG21758"/>
      <c r="EH21758"/>
      <c r="EI21758"/>
      <c r="EJ21758"/>
      <c r="EK21758"/>
    </row>
    <row r="21759" spans="1:141" s="116" customFormat="1">
      <c r="A21759" s="136"/>
      <c r="CM21759" s="111"/>
      <c r="CQ21759" s="111"/>
      <c r="EF21759"/>
      <c r="EG21759"/>
      <c r="EH21759"/>
      <c r="EI21759"/>
      <c r="EJ21759"/>
      <c r="EK21759"/>
    </row>
    <row r="21760" spans="1:141" s="116" customFormat="1">
      <c r="A21760" s="136"/>
      <c r="CM21760" s="111"/>
      <c r="CQ21760" s="111"/>
      <c r="EF21760"/>
      <c r="EG21760"/>
      <c r="EH21760"/>
      <c r="EI21760"/>
      <c r="EJ21760"/>
      <c r="EK21760"/>
    </row>
    <row r="21761" spans="1:141" s="116" customFormat="1">
      <c r="A21761" s="136"/>
      <c r="CM21761" s="111"/>
      <c r="CQ21761" s="111"/>
      <c r="EF21761"/>
      <c r="EG21761"/>
      <c r="EH21761"/>
      <c r="EI21761"/>
      <c r="EJ21761"/>
      <c r="EK21761"/>
    </row>
    <row r="21762" spans="1:141" s="116" customFormat="1">
      <c r="A21762" s="136"/>
      <c r="CM21762" s="111"/>
      <c r="CQ21762" s="111"/>
      <c r="EF21762"/>
      <c r="EG21762"/>
      <c r="EH21762"/>
      <c r="EI21762"/>
      <c r="EJ21762"/>
      <c r="EK21762"/>
    </row>
    <row r="21763" spans="1:141" s="116" customFormat="1">
      <c r="A21763" s="136"/>
      <c r="CM21763" s="111"/>
      <c r="CQ21763" s="111"/>
      <c r="EF21763"/>
      <c r="EG21763"/>
      <c r="EH21763"/>
      <c r="EI21763"/>
      <c r="EJ21763"/>
      <c r="EK21763"/>
    </row>
    <row r="21764" spans="1:141" s="116" customFormat="1">
      <c r="A21764" s="136"/>
      <c r="CM21764" s="111"/>
      <c r="CQ21764" s="111"/>
      <c r="EF21764"/>
      <c r="EG21764"/>
      <c r="EH21764"/>
      <c r="EI21764"/>
      <c r="EJ21764"/>
      <c r="EK21764"/>
    </row>
    <row r="21765" spans="1:141" s="116" customFormat="1">
      <c r="A21765" s="136"/>
      <c r="CM21765" s="111"/>
      <c r="CQ21765" s="111"/>
      <c r="EF21765"/>
      <c r="EG21765"/>
      <c r="EH21765"/>
      <c r="EI21765"/>
      <c r="EJ21765"/>
      <c r="EK21765"/>
    </row>
    <row r="21766" spans="1:141" s="116" customFormat="1">
      <c r="A21766" s="136"/>
      <c r="CM21766" s="111"/>
      <c r="CQ21766" s="111"/>
      <c r="EF21766"/>
      <c r="EG21766"/>
      <c r="EH21766"/>
      <c r="EI21766"/>
      <c r="EJ21766"/>
      <c r="EK21766"/>
    </row>
    <row r="21767" spans="1:141" s="116" customFormat="1">
      <c r="A21767" s="136"/>
      <c r="CM21767" s="111"/>
      <c r="CQ21767" s="111"/>
      <c r="EF21767"/>
      <c r="EG21767"/>
      <c r="EH21767"/>
      <c r="EI21767"/>
      <c r="EJ21767"/>
      <c r="EK21767"/>
    </row>
    <row r="21768" spans="1:141" s="116" customFormat="1">
      <c r="A21768" s="136"/>
      <c r="CM21768" s="111"/>
      <c r="CQ21768" s="111"/>
      <c r="EF21768"/>
      <c r="EG21768"/>
      <c r="EH21768"/>
      <c r="EI21768"/>
      <c r="EJ21768"/>
      <c r="EK21768"/>
    </row>
    <row r="21769" spans="1:141" s="116" customFormat="1">
      <c r="A21769" s="136"/>
      <c r="CM21769" s="111"/>
      <c r="CQ21769" s="111"/>
      <c r="EF21769"/>
      <c r="EG21769"/>
      <c r="EH21769"/>
      <c r="EI21769"/>
      <c r="EJ21769"/>
      <c r="EK21769"/>
    </row>
    <row r="21770" spans="1:141" s="116" customFormat="1">
      <c r="A21770" s="136"/>
      <c r="CM21770" s="111"/>
      <c r="CQ21770" s="111"/>
      <c r="EF21770"/>
      <c r="EG21770"/>
      <c r="EH21770"/>
      <c r="EI21770"/>
      <c r="EJ21770"/>
      <c r="EK21770"/>
    </row>
    <row r="21771" spans="1:141" s="116" customFormat="1">
      <c r="A21771" s="136"/>
      <c r="CM21771" s="111"/>
      <c r="CQ21771" s="111"/>
      <c r="EF21771"/>
      <c r="EG21771"/>
      <c r="EH21771"/>
      <c r="EI21771"/>
      <c r="EJ21771"/>
      <c r="EK21771"/>
    </row>
    <row r="21772" spans="1:141" s="116" customFormat="1">
      <c r="A21772" s="136"/>
      <c r="CM21772" s="111"/>
      <c r="CQ21772" s="111"/>
      <c r="EF21772"/>
      <c r="EG21772"/>
      <c r="EH21772"/>
      <c r="EI21772"/>
      <c r="EJ21772"/>
      <c r="EK21772"/>
    </row>
    <row r="21773" spans="1:141" s="116" customFormat="1">
      <c r="A21773" s="136"/>
      <c r="CM21773" s="111"/>
      <c r="CQ21773" s="111"/>
      <c r="EF21773"/>
      <c r="EG21773"/>
      <c r="EH21773"/>
      <c r="EI21773"/>
      <c r="EJ21773"/>
      <c r="EK21773"/>
    </row>
    <row r="21774" spans="1:141" s="116" customFormat="1">
      <c r="A21774" s="136"/>
      <c r="CM21774" s="111"/>
      <c r="CQ21774" s="111"/>
      <c r="EF21774"/>
      <c r="EG21774"/>
      <c r="EH21774"/>
      <c r="EI21774"/>
      <c r="EJ21774"/>
      <c r="EK21774"/>
    </row>
    <row r="21775" spans="1:141" s="116" customFormat="1">
      <c r="A21775" s="136"/>
      <c r="CM21775" s="111"/>
      <c r="CQ21775" s="111"/>
      <c r="EF21775"/>
      <c r="EG21775"/>
      <c r="EH21775"/>
      <c r="EI21775"/>
      <c r="EJ21775"/>
      <c r="EK21775"/>
    </row>
    <row r="21776" spans="1:141" s="116" customFormat="1">
      <c r="A21776" s="136"/>
      <c r="CM21776" s="111"/>
      <c r="CQ21776" s="111"/>
      <c r="EF21776"/>
      <c r="EG21776"/>
      <c r="EH21776"/>
      <c r="EI21776"/>
      <c r="EJ21776"/>
      <c r="EK21776"/>
    </row>
    <row r="21777" spans="1:141" s="116" customFormat="1">
      <c r="A21777" s="136"/>
      <c r="CM21777" s="111"/>
      <c r="CQ21777" s="111"/>
      <c r="EF21777"/>
      <c r="EG21777"/>
      <c r="EH21777"/>
      <c r="EI21777"/>
      <c r="EJ21777"/>
      <c r="EK21777"/>
    </row>
    <row r="21778" spans="1:141" s="116" customFormat="1">
      <c r="A21778" s="136"/>
      <c r="CM21778" s="111"/>
      <c r="CQ21778" s="111"/>
      <c r="EF21778"/>
      <c r="EG21778"/>
      <c r="EH21778"/>
      <c r="EI21778"/>
      <c r="EJ21778"/>
      <c r="EK21778"/>
    </row>
    <row r="21779" spans="1:141" s="116" customFormat="1">
      <c r="A21779" s="136"/>
      <c r="CM21779" s="111"/>
      <c r="CQ21779" s="111"/>
      <c r="EF21779"/>
      <c r="EG21779"/>
      <c r="EH21779"/>
      <c r="EI21779"/>
      <c r="EJ21779"/>
      <c r="EK21779"/>
    </row>
    <row r="21780" spans="1:141" s="116" customFormat="1">
      <c r="A21780" s="136"/>
      <c r="CM21780" s="111"/>
      <c r="CQ21780" s="111"/>
      <c r="EF21780"/>
      <c r="EG21780"/>
      <c r="EH21780"/>
      <c r="EI21780"/>
      <c r="EJ21780"/>
      <c r="EK21780"/>
    </row>
    <row r="21781" spans="1:141" s="116" customFormat="1">
      <c r="A21781" s="136"/>
      <c r="CM21781" s="111"/>
      <c r="CQ21781" s="111"/>
      <c r="EF21781"/>
      <c r="EG21781"/>
      <c r="EH21781"/>
      <c r="EI21781"/>
      <c r="EJ21781"/>
      <c r="EK21781"/>
    </row>
    <row r="21782" spans="1:141" s="116" customFormat="1">
      <c r="A21782" s="136"/>
      <c r="CM21782" s="111"/>
      <c r="CQ21782" s="111"/>
      <c r="EF21782"/>
      <c r="EG21782"/>
      <c r="EH21782"/>
      <c r="EI21782"/>
      <c r="EJ21782"/>
      <c r="EK21782"/>
    </row>
    <row r="21783" spans="1:141" s="116" customFormat="1">
      <c r="A21783" s="136"/>
      <c r="CM21783" s="111"/>
      <c r="CQ21783" s="111"/>
      <c r="EF21783"/>
      <c r="EG21783"/>
      <c r="EH21783"/>
      <c r="EI21783"/>
      <c r="EJ21783"/>
      <c r="EK21783"/>
    </row>
    <row r="21784" spans="1:141" s="116" customFormat="1">
      <c r="A21784" s="136"/>
      <c r="CM21784" s="111"/>
      <c r="CQ21784" s="111"/>
      <c r="EF21784"/>
      <c r="EG21784"/>
      <c r="EH21784"/>
      <c r="EI21784"/>
      <c r="EJ21784"/>
      <c r="EK21784"/>
    </row>
    <row r="21785" spans="1:141" s="116" customFormat="1">
      <c r="A21785" s="136"/>
      <c r="CM21785" s="111"/>
      <c r="CQ21785" s="111"/>
      <c r="EF21785"/>
      <c r="EG21785"/>
      <c r="EH21785"/>
      <c r="EI21785"/>
      <c r="EJ21785"/>
      <c r="EK21785"/>
    </row>
    <row r="21786" spans="1:141" s="116" customFormat="1">
      <c r="A21786" s="136"/>
      <c r="CM21786" s="111"/>
      <c r="CQ21786" s="111"/>
      <c r="EF21786"/>
      <c r="EG21786"/>
      <c r="EH21786"/>
      <c r="EI21786"/>
      <c r="EJ21786"/>
      <c r="EK21786"/>
    </row>
    <row r="21787" spans="1:141" s="116" customFormat="1">
      <c r="A21787" s="136"/>
      <c r="CM21787" s="111"/>
      <c r="CQ21787" s="111"/>
      <c r="EF21787"/>
      <c r="EG21787"/>
      <c r="EH21787"/>
      <c r="EI21787"/>
      <c r="EJ21787"/>
      <c r="EK21787"/>
    </row>
    <row r="21788" spans="1:141" s="116" customFormat="1">
      <c r="A21788" s="136"/>
      <c r="CM21788" s="111"/>
      <c r="CQ21788" s="111"/>
      <c r="EF21788"/>
      <c r="EG21788"/>
      <c r="EH21788"/>
      <c r="EI21788"/>
      <c r="EJ21788"/>
      <c r="EK21788"/>
    </row>
    <row r="21789" spans="1:141" s="116" customFormat="1">
      <c r="A21789" s="136"/>
      <c r="CM21789" s="111"/>
      <c r="CQ21789" s="111"/>
      <c r="EF21789"/>
      <c r="EG21789"/>
      <c r="EH21789"/>
      <c r="EI21789"/>
      <c r="EJ21789"/>
      <c r="EK21789"/>
    </row>
    <row r="21790" spans="1:141" s="116" customFormat="1">
      <c r="A21790" s="136"/>
      <c r="CM21790" s="111"/>
      <c r="CQ21790" s="111"/>
      <c r="EF21790"/>
      <c r="EG21790"/>
      <c r="EH21790"/>
      <c r="EI21790"/>
      <c r="EJ21790"/>
      <c r="EK21790"/>
    </row>
    <row r="21791" spans="1:141" s="116" customFormat="1">
      <c r="A21791" s="136"/>
      <c r="CM21791" s="111"/>
      <c r="CQ21791" s="111"/>
      <c r="EF21791"/>
      <c r="EG21791"/>
      <c r="EH21791"/>
      <c r="EI21791"/>
      <c r="EJ21791"/>
      <c r="EK21791"/>
    </row>
    <row r="21792" spans="1:141" s="116" customFormat="1">
      <c r="A21792" s="136"/>
      <c r="CM21792" s="111"/>
      <c r="CQ21792" s="111"/>
      <c r="EF21792"/>
      <c r="EG21792"/>
      <c r="EH21792"/>
      <c r="EI21792"/>
      <c r="EJ21792"/>
      <c r="EK21792"/>
    </row>
    <row r="21793" spans="1:141" s="116" customFormat="1">
      <c r="A21793" s="136"/>
      <c r="CM21793" s="111"/>
      <c r="CQ21793" s="111"/>
      <c r="EF21793"/>
      <c r="EG21793"/>
      <c r="EH21793"/>
      <c r="EI21793"/>
      <c r="EJ21793"/>
      <c r="EK21793"/>
    </row>
    <row r="21794" spans="1:141" s="116" customFormat="1">
      <c r="A21794" s="136"/>
      <c r="CM21794" s="111"/>
      <c r="CQ21794" s="111"/>
      <c r="EF21794"/>
      <c r="EG21794"/>
      <c r="EH21794"/>
      <c r="EI21794"/>
      <c r="EJ21794"/>
      <c r="EK21794"/>
    </row>
    <row r="21795" spans="1:141" s="116" customFormat="1">
      <c r="A21795" s="136"/>
      <c r="CM21795" s="111"/>
      <c r="CQ21795" s="111"/>
      <c r="EF21795"/>
      <c r="EG21795"/>
      <c r="EH21795"/>
      <c r="EI21795"/>
      <c r="EJ21795"/>
      <c r="EK21795"/>
    </row>
    <row r="21796" spans="1:141" s="116" customFormat="1">
      <c r="A21796" s="136"/>
      <c r="CM21796" s="111"/>
      <c r="CQ21796" s="111"/>
      <c r="EF21796"/>
      <c r="EG21796"/>
      <c r="EH21796"/>
      <c r="EI21796"/>
      <c r="EJ21796"/>
      <c r="EK21796"/>
    </row>
    <row r="21797" spans="1:141" s="116" customFormat="1">
      <c r="A21797" s="136"/>
      <c r="CM21797" s="111"/>
      <c r="CQ21797" s="111"/>
      <c r="EF21797"/>
      <c r="EG21797"/>
      <c r="EH21797"/>
      <c r="EI21797"/>
      <c r="EJ21797"/>
      <c r="EK21797"/>
    </row>
    <row r="21798" spans="1:141" s="116" customFormat="1">
      <c r="A21798" s="136"/>
      <c r="CM21798" s="111"/>
      <c r="CQ21798" s="111"/>
      <c r="EF21798"/>
      <c r="EG21798"/>
      <c r="EH21798"/>
      <c r="EI21798"/>
      <c r="EJ21798"/>
      <c r="EK21798"/>
    </row>
    <row r="21799" spans="1:141" s="116" customFormat="1">
      <c r="A21799" s="136"/>
      <c r="CM21799" s="111"/>
      <c r="CQ21799" s="111"/>
      <c r="EF21799"/>
      <c r="EG21799"/>
      <c r="EH21799"/>
      <c r="EI21799"/>
      <c r="EJ21799"/>
      <c r="EK21799"/>
    </row>
    <row r="21800" spans="1:141" s="116" customFormat="1">
      <c r="A21800" s="136"/>
      <c r="CM21800" s="111"/>
      <c r="CQ21800" s="111"/>
      <c r="EF21800"/>
      <c r="EG21800"/>
      <c r="EH21800"/>
      <c r="EI21800"/>
      <c r="EJ21800"/>
      <c r="EK21800"/>
    </row>
    <row r="21801" spans="1:141" s="116" customFormat="1">
      <c r="A21801" s="136"/>
      <c r="CM21801" s="111"/>
      <c r="CQ21801" s="111"/>
      <c r="EF21801"/>
      <c r="EG21801"/>
      <c r="EH21801"/>
      <c r="EI21801"/>
      <c r="EJ21801"/>
      <c r="EK21801"/>
    </row>
    <row r="21802" spans="1:141" s="116" customFormat="1">
      <c r="A21802" s="136"/>
      <c r="CM21802" s="111"/>
      <c r="CQ21802" s="111"/>
      <c r="EF21802"/>
      <c r="EG21802"/>
      <c r="EH21802"/>
      <c r="EI21802"/>
      <c r="EJ21802"/>
      <c r="EK21802"/>
    </row>
    <row r="21803" spans="1:141" s="116" customFormat="1">
      <c r="A21803" s="136"/>
      <c r="CM21803" s="111"/>
      <c r="CQ21803" s="111"/>
      <c r="EF21803"/>
      <c r="EG21803"/>
      <c r="EH21803"/>
      <c r="EI21803"/>
      <c r="EJ21803"/>
      <c r="EK21803"/>
    </row>
    <row r="21804" spans="1:141" s="116" customFormat="1">
      <c r="A21804" s="136"/>
      <c r="CM21804" s="111"/>
      <c r="CQ21804" s="111"/>
      <c r="EF21804"/>
      <c r="EG21804"/>
      <c r="EH21804"/>
      <c r="EI21804"/>
      <c r="EJ21804"/>
      <c r="EK21804"/>
    </row>
    <row r="21805" spans="1:141" s="116" customFormat="1">
      <c r="A21805" s="136"/>
      <c r="CM21805" s="111"/>
      <c r="CQ21805" s="111"/>
      <c r="EF21805"/>
      <c r="EG21805"/>
      <c r="EH21805"/>
      <c r="EI21805"/>
      <c r="EJ21805"/>
      <c r="EK21805"/>
    </row>
    <row r="21806" spans="1:141" s="116" customFormat="1">
      <c r="A21806" s="136"/>
      <c r="CM21806" s="111"/>
      <c r="CQ21806" s="111"/>
      <c r="EF21806"/>
      <c r="EG21806"/>
      <c r="EH21806"/>
      <c r="EI21806"/>
      <c r="EJ21806"/>
      <c r="EK21806"/>
    </row>
    <row r="21807" spans="1:141" s="116" customFormat="1">
      <c r="A21807" s="136"/>
      <c r="CM21807" s="111"/>
      <c r="CQ21807" s="111"/>
      <c r="EF21807"/>
      <c r="EG21807"/>
      <c r="EH21807"/>
      <c r="EI21807"/>
      <c r="EJ21807"/>
      <c r="EK21807"/>
    </row>
    <row r="21808" spans="1:141" s="116" customFormat="1">
      <c r="A21808" s="136"/>
      <c r="CM21808" s="111"/>
      <c r="CQ21808" s="111"/>
      <c r="EF21808"/>
      <c r="EG21808"/>
      <c r="EH21808"/>
      <c r="EI21808"/>
      <c r="EJ21808"/>
      <c r="EK21808"/>
    </row>
    <row r="21809" spans="1:141" s="116" customFormat="1">
      <c r="A21809" s="136"/>
      <c r="CM21809" s="111"/>
      <c r="CQ21809" s="111"/>
      <c r="EF21809"/>
      <c r="EG21809"/>
      <c r="EH21809"/>
      <c r="EI21809"/>
      <c r="EJ21809"/>
      <c r="EK21809"/>
    </row>
    <row r="21810" spans="1:141" s="116" customFormat="1">
      <c r="A21810" s="136"/>
      <c r="CM21810" s="111"/>
      <c r="CQ21810" s="111"/>
      <c r="EF21810"/>
      <c r="EG21810"/>
      <c r="EH21810"/>
      <c r="EI21810"/>
      <c r="EJ21810"/>
      <c r="EK21810"/>
    </row>
    <row r="21811" spans="1:141" s="116" customFormat="1">
      <c r="A21811" s="136"/>
      <c r="CM21811" s="111"/>
      <c r="CQ21811" s="111"/>
      <c r="EF21811"/>
      <c r="EG21811"/>
      <c r="EH21811"/>
      <c r="EI21811"/>
      <c r="EJ21811"/>
      <c r="EK21811"/>
    </row>
    <row r="21812" spans="1:141" s="116" customFormat="1">
      <c r="A21812" s="136"/>
      <c r="CM21812" s="111"/>
      <c r="CQ21812" s="111"/>
      <c r="EF21812"/>
      <c r="EG21812"/>
      <c r="EH21812"/>
      <c r="EI21812"/>
      <c r="EJ21812"/>
      <c r="EK21812"/>
    </row>
    <row r="21813" spans="1:141" s="116" customFormat="1">
      <c r="A21813" s="136"/>
      <c r="CM21813" s="111"/>
      <c r="CQ21813" s="111"/>
      <c r="EF21813"/>
      <c r="EG21813"/>
      <c r="EH21813"/>
      <c r="EI21813"/>
      <c r="EJ21813"/>
      <c r="EK21813"/>
    </row>
    <row r="21814" spans="1:141" s="116" customFormat="1">
      <c r="A21814" s="136"/>
      <c r="CM21814" s="111"/>
      <c r="CQ21814" s="111"/>
      <c r="EF21814"/>
      <c r="EG21814"/>
      <c r="EH21814"/>
      <c r="EI21814"/>
      <c r="EJ21814"/>
      <c r="EK21814"/>
    </row>
    <row r="21815" spans="1:141" s="116" customFormat="1">
      <c r="A21815" s="136"/>
      <c r="CM21815" s="111"/>
      <c r="CQ21815" s="111"/>
      <c r="EF21815"/>
      <c r="EG21815"/>
      <c r="EH21815"/>
      <c r="EI21815"/>
      <c r="EJ21815"/>
      <c r="EK21815"/>
    </row>
    <row r="21816" spans="1:141" s="116" customFormat="1">
      <c r="A21816" s="136"/>
      <c r="CM21816" s="111"/>
      <c r="CQ21816" s="111"/>
      <c r="EF21816"/>
      <c r="EG21816"/>
      <c r="EH21816"/>
      <c r="EI21816"/>
      <c r="EJ21816"/>
      <c r="EK21816"/>
    </row>
    <row r="21817" spans="1:141" s="116" customFormat="1">
      <c r="A21817" s="136"/>
      <c r="CM21817" s="111"/>
      <c r="CQ21817" s="111"/>
      <c r="EF21817"/>
      <c r="EG21817"/>
      <c r="EH21817"/>
      <c r="EI21817"/>
      <c r="EJ21817"/>
      <c r="EK21817"/>
    </row>
    <row r="21818" spans="1:141" s="116" customFormat="1">
      <c r="A21818" s="136"/>
      <c r="CM21818" s="111"/>
      <c r="CQ21818" s="111"/>
      <c r="EF21818"/>
      <c r="EG21818"/>
      <c r="EH21818"/>
      <c r="EI21818"/>
      <c r="EJ21818"/>
      <c r="EK21818"/>
    </row>
    <row r="21819" spans="1:141" s="116" customFormat="1">
      <c r="A21819" s="136"/>
      <c r="CM21819" s="111"/>
      <c r="CQ21819" s="111"/>
      <c r="EF21819"/>
      <c r="EG21819"/>
      <c r="EH21819"/>
      <c r="EI21819"/>
      <c r="EJ21819"/>
      <c r="EK21819"/>
    </row>
    <row r="21820" spans="1:141" s="116" customFormat="1">
      <c r="A21820" s="136"/>
      <c r="CM21820" s="111"/>
      <c r="CQ21820" s="111"/>
      <c r="EF21820"/>
      <c r="EG21820"/>
      <c r="EH21820"/>
      <c r="EI21820"/>
      <c r="EJ21820"/>
      <c r="EK21820"/>
    </row>
    <row r="21821" spans="1:141" s="116" customFormat="1">
      <c r="A21821" s="136"/>
      <c r="CM21821" s="111"/>
      <c r="CQ21821" s="111"/>
      <c r="EF21821"/>
      <c r="EG21821"/>
      <c r="EH21821"/>
      <c r="EI21821"/>
      <c r="EJ21821"/>
      <c r="EK21821"/>
    </row>
    <row r="21822" spans="1:141" s="116" customFormat="1">
      <c r="A21822" s="136"/>
      <c r="CM21822" s="111"/>
      <c r="CQ21822" s="111"/>
      <c r="EF21822"/>
      <c r="EG21822"/>
      <c r="EH21822"/>
      <c r="EI21822"/>
      <c r="EJ21822"/>
      <c r="EK21822"/>
    </row>
    <row r="21823" spans="1:141" s="116" customFormat="1">
      <c r="A21823" s="136"/>
      <c r="CM21823" s="111"/>
      <c r="CQ21823" s="111"/>
      <c r="EF21823"/>
      <c r="EG21823"/>
      <c r="EH21823"/>
      <c r="EI21823"/>
      <c r="EJ21823"/>
      <c r="EK21823"/>
    </row>
    <row r="21824" spans="1:141" s="116" customFormat="1">
      <c r="A21824" s="136"/>
      <c r="CM21824" s="111"/>
      <c r="CQ21824" s="111"/>
      <c r="EF21824"/>
      <c r="EG21824"/>
      <c r="EH21824"/>
      <c r="EI21824"/>
      <c r="EJ21824"/>
      <c r="EK21824"/>
    </row>
    <row r="21825" spans="1:141" s="116" customFormat="1">
      <c r="A21825" s="136"/>
      <c r="CM21825" s="111"/>
      <c r="CQ21825" s="111"/>
      <c r="EF21825"/>
      <c r="EG21825"/>
      <c r="EH21825"/>
      <c r="EI21825"/>
      <c r="EJ21825"/>
      <c r="EK21825"/>
    </row>
    <row r="21826" spans="1:141" s="116" customFormat="1">
      <c r="A21826" s="136"/>
      <c r="CM21826" s="111"/>
      <c r="CQ21826" s="111"/>
      <c r="EF21826"/>
      <c r="EG21826"/>
      <c r="EH21826"/>
      <c r="EI21826"/>
      <c r="EJ21826"/>
      <c r="EK21826"/>
    </row>
    <row r="21827" spans="1:141" s="116" customFormat="1">
      <c r="A21827" s="136"/>
      <c r="CM21827" s="111"/>
      <c r="CQ21827" s="111"/>
      <c r="EF21827"/>
      <c r="EG21827"/>
      <c r="EH21827"/>
      <c r="EI21827"/>
      <c r="EJ21827"/>
      <c r="EK21827"/>
    </row>
    <row r="21828" spans="1:141" s="116" customFormat="1">
      <c r="A21828" s="136"/>
      <c r="CM21828" s="111"/>
      <c r="CQ21828" s="111"/>
      <c r="EF21828"/>
      <c r="EG21828"/>
      <c r="EH21828"/>
      <c r="EI21828"/>
      <c r="EJ21828"/>
      <c r="EK21828"/>
    </row>
    <row r="21829" spans="1:141" s="116" customFormat="1">
      <c r="A21829" s="136"/>
      <c r="CM21829" s="111"/>
      <c r="CQ21829" s="111"/>
      <c r="EF21829"/>
      <c r="EG21829"/>
      <c r="EH21829"/>
      <c r="EI21829"/>
      <c r="EJ21829"/>
      <c r="EK21829"/>
    </row>
    <row r="21830" spans="1:141" s="116" customFormat="1">
      <c r="A21830" s="136"/>
      <c r="CM21830" s="111"/>
      <c r="CQ21830" s="111"/>
      <c r="EF21830"/>
      <c r="EG21830"/>
      <c r="EH21830"/>
      <c r="EI21830"/>
      <c r="EJ21830"/>
      <c r="EK21830"/>
    </row>
    <row r="21831" spans="1:141" s="116" customFormat="1">
      <c r="A21831" s="136"/>
      <c r="CM21831" s="111"/>
      <c r="CQ21831" s="111"/>
      <c r="EF21831"/>
      <c r="EG21831"/>
      <c r="EH21831"/>
      <c r="EI21831"/>
      <c r="EJ21831"/>
      <c r="EK21831"/>
    </row>
    <row r="21832" spans="1:141" s="116" customFormat="1">
      <c r="A21832" s="136"/>
      <c r="CM21832" s="111"/>
      <c r="CQ21832" s="111"/>
      <c r="EF21832"/>
      <c r="EG21832"/>
      <c r="EH21832"/>
      <c r="EI21832"/>
      <c r="EJ21832"/>
      <c r="EK21832"/>
    </row>
    <row r="21833" spans="1:141" s="116" customFormat="1">
      <c r="A21833" s="136"/>
      <c r="CM21833" s="111"/>
      <c r="CQ21833" s="111"/>
      <c r="EF21833"/>
      <c r="EG21833"/>
      <c r="EH21833"/>
      <c r="EI21833"/>
      <c r="EJ21833"/>
      <c r="EK21833"/>
    </row>
    <row r="21834" spans="1:141" s="116" customFormat="1">
      <c r="A21834" s="136"/>
      <c r="CM21834" s="111"/>
      <c r="CQ21834" s="111"/>
      <c r="EF21834"/>
      <c r="EG21834"/>
      <c r="EH21834"/>
      <c r="EI21834"/>
      <c r="EJ21834"/>
      <c r="EK21834"/>
    </row>
    <row r="21835" spans="1:141" s="116" customFormat="1">
      <c r="A21835" s="136"/>
      <c r="CM21835" s="111"/>
      <c r="CQ21835" s="111"/>
      <c r="EF21835"/>
      <c r="EG21835"/>
      <c r="EH21835"/>
      <c r="EI21835"/>
      <c r="EJ21835"/>
      <c r="EK21835"/>
    </row>
    <row r="21836" spans="1:141" s="116" customFormat="1">
      <c r="A21836" s="136"/>
      <c r="CM21836" s="111"/>
      <c r="CQ21836" s="111"/>
      <c r="EF21836"/>
      <c r="EG21836"/>
      <c r="EH21836"/>
      <c r="EI21836"/>
      <c r="EJ21836"/>
      <c r="EK21836"/>
    </row>
    <row r="21837" spans="1:141" s="116" customFormat="1">
      <c r="A21837" s="136"/>
      <c r="CM21837" s="111"/>
      <c r="CQ21837" s="111"/>
      <c r="EF21837"/>
      <c r="EG21837"/>
      <c r="EH21837"/>
      <c r="EI21837"/>
      <c r="EJ21837"/>
      <c r="EK21837"/>
    </row>
    <row r="21838" spans="1:141" s="116" customFormat="1">
      <c r="A21838" s="136"/>
      <c r="CM21838" s="111"/>
      <c r="CQ21838" s="111"/>
      <c r="EF21838"/>
      <c r="EG21838"/>
      <c r="EH21838"/>
      <c r="EI21838"/>
      <c r="EJ21838"/>
      <c r="EK21838"/>
    </row>
    <row r="21839" spans="1:141" s="116" customFormat="1">
      <c r="A21839" s="136"/>
      <c r="CM21839" s="111"/>
      <c r="CQ21839" s="111"/>
      <c r="EF21839"/>
      <c r="EG21839"/>
      <c r="EH21839"/>
      <c r="EI21839"/>
      <c r="EJ21839"/>
      <c r="EK21839"/>
    </row>
    <row r="21840" spans="1:141" s="116" customFormat="1">
      <c r="A21840" s="136"/>
      <c r="CM21840" s="111"/>
      <c r="CQ21840" s="111"/>
      <c r="EF21840"/>
      <c r="EG21840"/>
      <c r="EH21840"/>
      <c r="EI21840"/>
      <c r="EJ21840"/>
      <c r="EK21840"/>
    </row>
    <row r="21841" spans="1:141" s="116" customFormat="1">
      <c r="A21841" s="136"/>
      <c r="CM21841" s="111"/>
      <c r="CQ21841" s="111"/>
      <c r="EF21841"/>
      <c r="EG21841"/>
      <c r="EH21841"/>
      <c r="EI21841"/>
      <c r="EJ21841"/>
      <c r="EK21841"/>
    </row>
    <row r="21842" spans="1:141" s="116" customFormat="1">
      <c r="A21842" s="136"/>
      <c r="CM21842" s="111"/>
      <c r="CQ21842" s="111"/>
      <c r="EF21842"/>
      <c r="EG21842"/>
      <c r="EH21842"/>
      <c r="EI21842"/>
      <c r="EJ21842"/>
      <c r="EK21842"/>
    </row>
    <row r="21843" spans="1:141" s="116" customFormat="1">
      <c r="A21843" s="136"/>
      <c r="CM21843" s="111"/>
      <c r="CQ21843" s="111"/>
      <c r="EF21843"/>
      <c r="EG21843"/>
      <c r="EH21843"/>
      <c r="EI21843"/>
      <c r="EJ21843"/>
      <c r="EK21843"/>
    </row>
    <row r="21844" spans="1:141" s="116" customFormat="1">
      <c r="A21844" s="136"/>
      <c r="CM21844" s="111"/>
      <c r="CQ21844" s="111"/>
      <c r="EF21844"/>
      <c r="EG21844"/>
      <c r="EH21844"/>
      <c r="EI21844"/>
      <c r="EJ21844"/>
      <c r="EK21844"/>
    </row>
    <row r="21845" spans="1:141" s="116" customFormat="1">
      <c r="A21845" s="136"/>
      <c r="CM21845" s="111"/>
      <c r="CQ21845" s="111"/>
      <c r="EF21845"/>
      <c r="EG21845"/>
      <c r="EH21845"/>
      <c r="EI21845"/>
      <c r="EJ21845"/>
      <c r="EK21845"/>
    </row>
    <row r="21846" spans="1:141" s="116" customFormat="1">
      <c r="A21846" s="136"/>
      <c r="CM21846" s="111"/>
      <c r="CQ21846" s="111"/>
      <c r="EF21846"/>
      <c r="EG21846"/>
      <c r="EH21846"/>
      <c r="EI21846"/>
      <c r="EJ21846"/>
      <c r="EK21846"/>
    </row>
    <row r="21847" spans="1:141" s="116" customFormat="1">
      <c r="A21847" s="136"/>
      <c r="CM21847" s="111"/>
      <c r="CQ21847" s="111"/>
      <c r="EF21847"/>
      <c r="EG21847"/>
      <c r="EH21847"/>
      <c r="EI21847"/>
      <c r="EJ21847"/>
      <c r="EK21847"/>
    </row>
    <row r="21848" spans="1:141" s="116" customFormat="1">
      <c r="A21848" s="136"/>
      <c r="CM21848" s="111"/>
      <c r="CQ21848" s="111"/>
      <c r="EF21848"/>
      <c r="EG21848"/>
      <c r="EH21848"/>
      <c r="EI21848"/>
      <c r="EJ21848"/>
      <c r="EK21848"/>
    </row>
    <row r="21849" spans="1:141" s="116" customFormat="1">
      <c r="A21849" s="136"/>
      <c r="CM21849" s="111"/>
      <c r="CQ21849" s="111"/>
      <c r="EF21849"/>
      <c r="EG21849"/>
      <c r="EH21849"/>
      <c r="EI21849"/>
      <c r="EJ21849"/>
      <c r="EK21849"/>
    </row>
    <row r="21850" spans="1:141" s="116" customFormat="1">
      <c r="A21850" s="136"/>
      <c r="CM21850" s="111"/>
      <c r="CQ21850" s="111"/>
      <c r="EF21850"/>
      <c r="EG21850"/>
      <c r="EH21850"/>
      <c r="EI21850"/>
      <c r="EJ21850"/>
      <c r="EK21850"/>
    </row>
    <row r="21851" spans="1:141" s="116" customFormat="1">
      <c r="A21851" s="136"/>
      <c r="CM21851" s="111"/>
      <c r="CQ21851" s="111"/>
      <c r="EF21851"/>
      <c r="EG21851"/>
      <c r="EH21851"/>
      <c r="EI21851"/>
      <c r="EJ21851"/>
      <c r="EK21851"/>
    </row>
    <row r="21852" spans="1:141" s="116" customFormat="1">
      <c r="A21852" s="136"/>
      <c r="CM21852" s="111"/>
      <c r="CQ21852" s="111"/>
      <c r="EF21852"/>
      <c r="EG21852"/>
      <c r="EH21852"/>
      <c r="EI21852"/>
      <c r="EJ21852"/>
      <c r="EK21852"/>
    </row>
    <row r="21853" spans="1:141" s="116" customFormat="1">
      <c r="A21853" s="136"/>
      <c r="CM21853" s="111"/>
      <c r="CQ21853" s="111"/>
      <c r="EF21853"/>
      <c r="EG21853"/>
      <c r="EH21853"/>
      <c r="EI21853"/>
      <c r="EJ21853"/>
      <c r="EK21853"/>
    </row>
    <row r="21854" spans="1:141" s="116" customFormat="1">
      <c r="A21854" s="136"/>
      <c r="CM21854" s="111"/>
      <c r="CQ21854" s="111"/>
      <c r="EF21854"/>
      <c r="EG21854"/>
      <c r="EH21854"/>
      <c r="EI21854"/>
      <c r="EJ21854"/>
      <c r="EK21854"/>
    </row>
    <row r="21855" spans="1:141" s="116" customFormat="1">
      <c r="A21855" s="136"/>
      <c r="CM21855" s="111"/>
      <c r="CQ21855" s="111"/>
      <c r="EF21855"/>
      <c r="EG21855"/>
      <c r="EH21855"/>
      <c r="EI21855"/>
      <c r="EJ21855"/>
      <c r="EK21855"/>
    </row>
    <row r="21856" spans="1:141" s="116" customFormat="1">
      <c r="A21856" s="136"/>
      <c r="CM21856" s="111"/>
      <c r="CQ21856" s="111"/>
      <c r="EF21856"/>
      <c r="EG21856"/>
      <c r="EH21856"/>
      <c r="EI21856"/>
      <c r="EJ21856"/>
      <c r="EK21856"/>
    </row>
    <row r="21857" spans="1:141" s="116" customFormat="1">
      <c r="A21857" s="136"/>
      <c r="CM21857" s="111"/>
      <c r="CQ21857" s="111"/>
      <c r="EF21857"/>
      <c r="EG21857"/>
      <c r="EH21857"/>
      <c r="EI21857"/>
      <c r="EJ21857"/>
      <c r="EK21857"/>
    </row>
    <row r="21858" spans="1:141" s="116" customFormat="1">
      <c r="A21858" s="136"/>
      <c r="CM21858" s="111"/>
      <c r="CQ21858" s="111"/>
      <c r="EF21858"/>
      <c r="EG21858"/>
      <c r="EH21858"/>
      <c r="EI21858"/>
      <c r="EJ21858"/>
      <c r="EK21858"/>
    </row>
    <row r="21859" spans="1:141" s="116" customFormat="1">
      <c r="A21859" s="136"/>
      <c r="CM21859" s="111"/>
      <c r="CQ21859" s="111"/>
      <c r="EF21859"/>
      <c r="EG21859"/>
      <c r="EH21859"/>
      <c r="EI21859"/>
      <c r="EJ21859"/>
      <c r="EK21859"/>
    </row>
    <row r="21860" spans="1:141" s="116" customFormat="1">
      <c r="A21860" s="136"/>
      <c r="CM21860" s="111"/>
      <c r="CQ21860" s="111"/>
      <c r="EF21860"/>
      <c r="EG21860"/>
      <c r="EH21860"/>
      <c r="EI21860"/>
      <c r="EJ21860"/>
      <c r="EK21860"/>
    </row>
    <row r="21861" spans="1:141" s="116" customFormat="1">
      <c r="A21861" s="136"/>
      <c r="CM21861" s="111"/>
      <c r="CQ21861" s="111"/>
      <c r="EF21861"/>
      <c r="EG21861"/>
      <c r="EH21861"/>
      <c r="EI21861"/>
      <c r="EJ21861"/>
      <c r="EK21861"/>
    </row>
    <row r="21862" spans="1:141" s="116" customFormat="1">
      <c r="A21862" s="136"/>
      <c r="CM21862" s="111"/>
      <c r="CQ21862" s="111"/>
      <c r="EF21862"/>
      <c r="EG21862"/>
      <c r="EH21862"/>
      <c r="EI21862"/>
      <c r="EJ21862"/>
      <c r="EK21862"/>
    </row>
    <row r="21863" spans="1:141" s="116" customFormat="1">
      <c r="A21863" s="136"/>
      <c r="CM21863" s="111"/>
      <c r="CQ21863" s="111"/>
      <c r="EF21863"/>
      <c r="EG21863"/>
      <c r="EH21863"/>
      <c r="EI21863"/>
      <c r="EJ21863"/>
      <c r="EK21863"/>
    </row>
    <row r="21864" spans="1:141" s="116" customFormat="1">
      <c r="A21864" s="136"/>
      <c r="CM21864" s="111"/>
      <c r="CQ21864" s="111"/>
      <c r="EF21864"/>
      <c r="EG21864"/>
      <c r="EH21864"/>
      <c r="EI21864"/>
      <c r="EJ21864"/>
      <c r="EK21864"/>
    </row>
    <row r="21865" spans="1:141" s="116" customFormat="1">
      <c r="A21865" s="136"/>
      <c r="CM21865" s="111"/>
      <c r="CQ21865" s="111"/>
      <c r="EF21865"/>
      <c r="EG21865"/>
      <c r="EH21865"/>
      <c r="EI21865"/>
      <c r="EJ21865"/>
      <c r="EK21865"/>
    </row>
    <row r="21866" spans="1:141" s="116" customFormat="1">
      <c r="A21866" s="136"/>
      <c r="CM21866" s="111"/>
      <c r="CQ21866" s="111"/>
      <c r="EF21866"/>
      <c r="EG21866"/>
      <c r="EH21866"/>
      <c r="EI21866"/>
      <c r="EJ21866"/>
      <c r="EK21866"/>
    </row>
    <row r="21867" spans="1:141" s="116" customFormat="1">
      <c r="A21867" s="136"/>
      <c r="CM21867" s="111"/>
      <c r="CQ21867" s="111"/>
      <c r="EF21867"/>
      <c r="EG21867"/>
      <c r="EH21867"/>
      <c r="EI21867"/>
      <c r="EJ21867"/>
      <c r="EK21867"/>
    </row>
    <row r="21868" spans="1:141" s="116" customFormat="1">
      <c r="A21868" s="136"/>
      <c r="CM21868" s="111"/>
      <c r="CQ21868" s="111"/>
      <c r="EF21868"/>
      <c r="EG21868"/>
      <c r="EH21868"/>
      <c r="EI21868"/>
      <c r="EJ21868"/>
      <c r="EK21868"/>
    </row>
    <row r="21869" spans="1:141" s="116" customFormat="1">
      <c r="A21869" s="136"/>
      <c r="CM21869" s="111"/>
      <c r="CQ21869" s="111"/>
      <c r="EF21869"/>
      <c r="EG21869"/>
      <c r="EH21869"/>
      <c r="EI21869"/>
      <c r="EJ21869"/>
      <c r="EK21869"/>
    </row>
    <row r="21870" spans="1:141" s="116" customFormat="1">
      <c r="A21870" s="136"/>
      <c r="CM21870" s="111"/>
      <c r="CQ21870" s="111"/>
      <c r="EF21870"/>
      <c r="EG21870"/>
      <c r="EH21870"/>
      <c r="EI21870"/>
      <c r="EJ21870"/>
      <c r="EK21870"/>
    </row>
    <row r="21871" spans="1:141" s="116" customFormat="1">
      <c r="A21871" s="136"/>
      <c r="CM21871" s="111"/>
      <c r="CQ21871" s="111"/>
      <c r="EF21871"/>
      <c r="EG21871"/>
      <c r="EH21871"/>
      <c r="EI21871"/>
      <c r="EJ21871"/>
      <c r="EK21871"/>
    </row>
    <row r="21872" spans="1:141" s="116" customFormat="1">
      <c r="A21872" s="136"/>
      <c r="CM21872" s="111"/>
      <c r="CQ21872" s="111"/>
      <c r="EF21872"/>
      <c r="EG21872"/>
      <c r="EH21872"/>
      <c r="EI21872"/>
      <c r="EJ21872"/>
      <c r="EK21872"/>
    </row>
    <row r="21873" spans="1:141" s="116" customFormat="1">
      <c r="A21873" s="136"/>
      <c r="CM21873" s="111"/>
      <c r="CQ21873" s="111"/>
      <c r="EF21873"/>
      <c r="EG21873"/>
      <c r="EH21873"/>
      <c r="EI21873"/>
      <c r="EJ21873"/>
      <c r="EK21873"/>
    </row>
    <row r="21874" spans="1:141" s="116" customFormat="1">
      <c r="A21874" s="136"/>
      <c r="CM21874" s="111"/>
      <c r="CQ21874" s="111"/>
      <c r="EF21874"/>
      <c r="EG21874"/>
      <c r="EH21874"/>
      <c r="EI21874"/>
      <c r="EJ21874"/>
      <c r="EK21874"/>
    </row>
    <row r="21875" spans="1:141" s="116" customFormat="1">
      <c r="A21875" s="136"/>
      <c r="CM21875" s="111"/>
      <c r="CQ21875" s="111"/>
      <c r="EF21875"/>
      <c r="EG21875"/>
      <c r="EH21875"/>
      <c r="EI21875"/>
      <c r="EJ21875"/>
      <c r="EK21875"/>
    </row>
    <row r="21876" spans="1:141" s="116" customFormat="1">
      <c r="A21876" s="136"/>
      <c r="CM21876" s="111"/>
      <c r="CQ21876" s="111"/>
      <c r="EF21876"/>
      <c r="EG21876"/>
      <c r="EH21876"/>
      <c r="EI21876"/>
      <c r="EJ21876"/>
      <c r="EK21876"/>
    </row>
    <row r="21877" spans="1:141" s="116" customFormat="1">
      <c r="A21877" s="136"/>
      <c r="CM21877" s="111"/>
      <c r="CQ21877" s="111"/>
      <c r="EF21877"/>
      <c r="EG21877"/>
      <c r="EH21877"/>
      <c r="EI21877"/>
      <c r="EJ21877"/>
      <c r="EK21877"/>
    </row>
    <row r="21878" spans="1:141" s="116" customFormat="1">
      <c r="A21878" s="136"/>
      <c r="CM21878" s="111"/>
      <c r="CQ21878" s="111"/>
      <c r="EF21878"/>
      <c r="EG21878"/>
      <c r="EH21878"/>
      <c r="EI21878"/>
      <c r="EJ21878"/>
      <c r="EK21878"/>
    </row>
    <row r="21879" spans="1:141" s="116" customFormat="1">
      <c r="A21879" s="136"/>
      <c r="CM21879" s="111"/>
      <c r="CQ21879" s="111"/>
      <c r="EF21879"/>
      <c r="EG21879"/>
      <c r="EH21879"/>
      <c r="EI21879"/>
      <c r="EJ21879"/>
      <c r="EK21879"/>
    </row>
    <row r="21880" spans="1:141" s="116" customFormat="1">
      <c r="A21880" s="136"/>
      <c r="CM21880" s="111"/>
      <c r="CQ21880" s="111"/>
      <c r="EF21880"/>
      <c r="EG21880"/>
      <c r="EH21880"/>
      <c r="EI21880"/>
      <c r="EJ21880"/>
      <c r="EK21880"/>
    </row>
    <row r="21881" spans="1:141" s="116" customFormat="1">
      <c r="A21881" s="136"/>
      <c r="CM21881" s="111"/>
      <c r="CQ21881" s="111"/>
      <c r="EF21881"/>
      <c r="EG21881"/>
      <c r="EH21881"/>
      <c r="EI21881"/>
      <c r="EJ21881"/>
      <c r="EK21881"/>
    </row>
    <row r="21882" spans="1:141" s="116" customFormat="1">
      <c r="A21882" s="136"/>
      <c r="CM21882" s="111"/>
      <c r="CQ21882" s="111"/>
      <c r="EF21882"/>
      <c r="EG21882"/>
      <c r="EH21882"/>
      <c r="EI21882"/>
      <c r="EJ21882"/>
      <c r="EK21882"/>
    </row>
    <row r="21883" spans="1:141" s="116" customFormat="1">
      <c r="A21883" s="136"/>
      <c r="CM21883" s="111"/>
      <c r="CQ21883" s="111"/>
      <c r="EF21883"/>
      <c r="EG21883"/>
      <c r="EH21883"/>
      <c r="EI21883"/>
      <c r="EJ21883"/>
      <c r="EK21883"/>
    </row>
    <row r="21884" spans="1:141" s="116" customFormat="1">
      <c r="A21884" s="136"/>
      <c r="CM21884" s="111"/>
      <c r="CQ21884" s="111"/>
      <c r="EF21884"/>
      <c r="EG21884"/>
      <c r="EH21884"/>
      <c r="EI21884"/>
      <c r="EJ21884"/>
      <c r="EK21884"/>
    </row>
    <row r="21885" spans="1:141" s="116" customFormat="1">
      <c r="A21885" s="136"/>
      <c r="CM21885" s="111"/>
      <c r="CQ21885" s="111"/>
      <c r="EF21885"/>
      <c r="EG21885"/>
      <c r="EH21885"/>
      <c r="EI21885"/>
      <c r="EJ21885"/>
      <c r="EK21885"/>
    </row>
    <row r="21886" spans="1:141" s="116" customFormat="1">
      <c r="A21886" s="136"/>
      <c r="CM21886" s="111"/>
      <c r="CQ21886" s="111"/>
      <c r="EF21886"/>
      <c r="EG21886"/>
      <c r="EH21886"/>
      <c r="EI21886"/>
      <c r="EJ21886"/>
      <c r="EK21886"/>
    </row>
    <row r="21887" spans="1:141" s="116" customFormat="1">
      <c r="A21887" s="136"/>
      <c r="CM21887" s="111"/>
      <c r="CQ21887" s="111"/>
      <c r="EF21887"/>
      <c r="EG21887"/>
      <c r="EH21887"/>
      <c r="EI21887"/>
      <c r="EJ21887"/>
      <c r="EK21887"/>
    </row>
    <row r="21888" spans="1:141" s="116" customFormat="1">
      <c r="A21888" s="136"/>
      <c r="CM21888" s="111"/>
      <c r="CQ21888" s="111"/>
      <c r="EF21888"/>
      <c r="EG21888"/>
      <c r="EH21888"/>
      <c r="EI21888"/>
      <c r="EJ21888"/>
      <c r="EK21888"/>
    </row>
    <row r="21889" spans="1:141" s="116" customFormat="1">
      <c r="A21889" s="136"/>
      <c r="CM21889" s="111"/>
      <c r="CQ21889" s="111"/>
      <c r="EF21889"/>
      <c r="EG21889"/>
      <c r="EH21889"/>
      <c r="EI21889"/>
      <c r="EJ21889"/>
      <c r="EK21889"/>
    </row>
    <row r="21890" spans="1:141" s="116" customFormat="1">
      <c r="A21890" s="136"/>
      <c r="CM21890" s="111"/>
      <c r="CQ21890" s="111"/>
      <c r="EF21890"/>
      <c r="EG21890"/>
      <c r="EH21890"/>
      <c r="EI21890"/>
      <c r="EJ21890"/>
      <c r="EK21890"/>
    </row>
    <row r="21891" spans="1:141" s="116" customFormat="1">
      <c r="A21891" s="136"/>
      <c r="CM21891" s="111"/>
      <c r="CQ21891" s="111"/>
      <c r="EF21891"/>
      <c r="EG21891"/>
      <c r="EH21891"/>
      <c r="EI21891"/>
      <c r="EJ21891"/>
      <c r="EK21891"/>
    </row>
    <row r="21892" spans="1:141" s="116" customFormat="1">
      <c r="A21892" s="136"/>
      <c r="CM21892" s="111"/>
      <c r="CQ21892" s="111"/>
      <c r="EF21892"/>
      <c r="EG21892"/>
      <c r="EH21892"/>
      <c r="EI21892"/>
      <c r="EJ21892"/>
      <c r="EK21892"/>
    </row>
    <row r="21893" spans="1:141" s="116" customFormat="1">
      <c r="A21893" s="136"/>
      <c r="CM21893" s="111"/>
      <c r="CQ21893" s="111"/>
      <c r="EF21893"/>
      <c r="EG21893"/>
      <c r="EH21893"/>
      <c r="EI21893"/>
      <c r="EJ21893"/>
      <c r="EK21893"/>
    </row>
    <row r="21894" spans="1:141" s="116" customFormat="1">
      <c r="A21894" s="136"/>
      <c r="CM21894" s="111"/>
      <c r="CQ21894" s="111"/>
      <c r="EF21894"/>
      <c r="EG21894"/>
      <c r="EH21894"/>
      <c r="EI21894"/>
      <c r="EJ21894"/>
      <c r="EK21894"/>
    </row>
    <row r="21895" spans="1:141" s="116" customFormat="1">
      <c r="A21895" s="136"/>
      <c r="CM21895" s="111"/>
      <c r="CQ21895" s="111"/>
      <c r="EF21895"/>
      <c r="EG21895"/>
      <c r="EH21895"/>
      <c r="EI21895"/>
      <c r="EJ21895"/>
      <c r="EK21895"/>
    </row>
    <row r="21896" spans="1:141" s="116" customFormat="1">
      <c r="A21896" s="136"/>
      <c r="CM21896" s="111"/>
      <c r="CQ21896" s="111"/>
      <c r="EF21896"/>
      <c r="EG21896"/>
      <c r="EH21896"/>
      <c r="EI21896"/>
      <c r="EJ21896"/>
      <c r="EK21896"/>
    </row>
    <row r="21897" spans="1:141" s="116" customFormat="1">
      <c r="A21897" s="136"/>
      <c r="CM21897" s="111"/>
      <c r="CQ21897" s="111"/>
      <c r="EF21897"/>
      <c r="EG21897"/>
      <c r="EH21897"/>
      <c r="EI21897"/>
      <c r="EJ21897"/>
      <c r="EK21897"/>
    </row>
    <row r="21898" spans="1:141" s="116" customFormat="1">
      <c r="A21898" s="136"/>
      <c r="CM21898" s="111"/>
      <c r="CQ21898" s="111"/>
      <c r="EF21898"/>
      <c r="EG21898"/>
      <c r="EH21898"/>
      <c r="EI21898"/>
      <c r="EJ21898"/>
      <c r="EK21898"/>
    </row>
    <row r="21899" spans="1:141" s="116" customFormat="1">
      <c r="A21899" s="136"/>
      <c r="CM21899" s="111"/>
      <c r="CQ21899" s="111"/>
      <c r="EF21899"/>
      <c r="EG21899"/>
      <c r="EH21899"/>
      <c r="EI21899"/>
      <c r="EJ21899"/>
      <c r="EK21899"/>
    </row>
    <row r="21900" spans="1:141" s="116" customFormat="1">
      <c r="A21900" s="136"/>
      <c r="CM21900" s="111"/>
      <c r="CQ21900" s="111"/>
      <c r="EF21900"/>
      <c r="EG21900"/>
      <c r="EH21900"/>
      <c r="EI21900"/>
      <c r="EJ21900"/>
      <c r="EK21900"/>
    </row>
    <row r="21901" spans="1:141" s="116" customFormat="1">
      <c r="A21901" s="136"/>
      <c r="CM21901" s="111"/>
      <c r="CQ21901" s="111"/>
      <c r="EF21901"/>
      <c r="EG21901"/>
      <c r="EH21901"/>
      <c r="EI21901"/>
      <c r="EJ21901"/>
      <c r="EK21901"/>
    </row>
    <row r="21902" spans="1:141" s="116" customFormat="1">
      <c r="A21902" s="136"/>
      <c r="CM21902" s="111"/>
      <c r="CQ21902" s="111"/>
      <c r="EF21902"/>
      <c r="EG21902"/>
      <c r="EH21902"/>
      <c r="EI21902"/>
      <c r="EJ21902"/>
      <c r="EK21902"/>
    </row>
    <row r="21903" spans="1:141" s="116" customFormat="1">
      <c r="A21903" s="136"/>
      <c r="CM21903" s="111"/>
      <c r="CQ21903" s="111"/>
      <c r="EF21903"/>
      <c r="EG21903"/>
      <c r="EH21903"/>
      <c r="EI21903"/>
      <c r="EJ21903"/>
      <c r="EK21903"/>
    </row>
    <row r="21904" spans="1:141" s="116" customFormat="1">
      <c r="A21904" s="136"/>
      <c r="CM21904" s="111"/>
      <c r="CQ21904" s="111"/>
      <c r="EF21904"/>
      <c r="EG21904"/>
      <c r="EH21904"/>
      <c r="EI21904"/>
      <c r="EJ21904"/>
      <c r="EK21904"/>
    </row>
    <row r="21905" spans="1:141" s="116" customFormat="1">
      <c r="A21905" s="136"/>
      <c r="CM21905" s="111"/>
      <c r="CQ21905" s="111"/>
      <c r="EF21905"/>
      <c r="EG21905"/>
      <c r="EH21905"/>
      <c r="EI21905"/>
      <c r="EJ21905"/>
      <c r="EK21905"/>
    </row>
    <row r="21906" spans="1:141" s="116" customFormat="1">
      <c r="A21906" s="136"/>
      <c r="CM21906" s="111"/>
      <c r="CQ21906" s="111"/>
      <c r="EF21906"/>
      <c r="EG21906"/>
      <c r="EH21906"/>
      <c r="EI21906"/>
      <c r="EJ21906"/>
      <c r="EK21906"/>
    </row>
    <row r="21907" spans="1:141" s="116" customFormat="1">
      <c r="A21907" s="136"/>
      <c r="CM21907" s="111"/>
      <c r="CQ21907" s="111"/>
      <c r="EF21907"/>
      <c r="EG21907"/>
      <c r="EH21907"/>
      <c r="EI21907"/>
      <c r="EJ21907"/>
      <c r="EK21907"/>
    </row>
    <row r="21908" spans="1:141" s="116" customFormat="1">
      <c r="A21908" s="136"/>
      <c r="CM21908" s="111"/>
      <c r="CQ21908" s="111"/>
      <c r="EF21908"/>
      <c r="EG21908"/>
      <c r="EH21908"/>
      <c r="EI21908"/>
      <c r="EJ21908"/>
      <c r="EK21908"/>
    </row>
    <row r="21909" spans="1:141" s="116" customFormat="1">
      <c r="A21909" s="136"/>
      <c r="CM21909" s="111"/>
      <c r="CQ21909" s="111"/>
      <c r="EF21909"/>
      <c r="EG21909"/>
      <c r="EH21909"/>
      <c r="EI21909"/>
      <c r="EJ21909"/>
      <c r="EK21909"/>
    </row>
    <row r="21910" spans="1:141" s="116" customFormat="1">
      <c r="A21910" s="136"/>
      <c r="CM21910" s="111"/>
      <c r="CQ21910" s="111"/>
      <c r="EF21910"/>
      <c r="EG21910"/>
      <c r="EH21910"/>
      <c r="EI21910"/>
      <c r="EJ21910"/>
      <c r="EK21910"/>
    </row>
    <row r="21911" spans="1:141" s="116" customFormat="1">
      <c r="A21911" s="136"/>
      <c r="CM21911" s="111"/>
      <c r="CQ21911" s="111"/>
      <c r="EF21911"/>
      <c r="EG21911"/>
      <c r="EH21911"/>
      <c r="EI21911"/>
      <c r="EJ21911"/>
      <c r="EK21911"/>
    </row>
    <row r="21912" spans="1:141" s="116" customFormat="1">
      <c r="A21912" s="136"/>
      <c r="CM21912" s="111"/>
      <c r="CQ21912" s="111"/>
      <c r="EF21912"/>
      <c r="EG21912"/>
      <c r="EH21912"/>
      <c r="EI21912"/>
      <c r="EJ21912"/>
      <c r="EK21912"/>
    </row>
    <row r="21913" spans="1:141" s="116" customFormat="1">
      <c r="A21913" s="136"/>
      <c r="CM21913" s="111"/>
      <c r="CQ21913" s="111"/>
      <c r="EF21913"/>
      <c r="EG21913"/>
      <c r="EH21913"/>
      <c r="EI21913"/>
      <c r="EJ21913"/>
      <c r="EK21913"/>
    </row>
    <row r="21914" spans="1:141" s="116" customFormat="1">
      <c r="A21914" s="136"/>
      <c r="CM21914" s="111"/>
      <c r="CQ21914" s="111"/>
      <c r="EF21914"/>
      <c r="EG21914"/>
      <c r="EH21914"/>
      <c r="EI21914"/>
      <c r="EJ21914"/>
      <c r="EK21914"/>
    </row>
    <row r="21915" spans="1:141" s="116" customFormat="1">
      <c r="A21915" s="136"/>
      <c r="CM21915" s="111"/>
      <c r="CQ21915" s="111"/>
      <c r="EF21915"/>
      <c r="EG21915"/>
      <c r="EH21915"/>
      <c r="EI21915"/>
      <c r="EJ21915"/>
      <c r="EK21915"/>
    </row>
    <row r="21916" spans="1:141" s="116" customFormat="1">
      <c r="A21916" s="136"/>
      <c r="CM21916" s="111"/>
      <c r="CQ21916" s="111"/>
      <c r="EF21916"/>
      <c r="EG21916"/>
      <c r="EH21916"/>
      <c r="EI21916"/>
      <c r="EJ21916"/>
      <c r="EK21916"/>
    </row>
    <row r="21917" spans="1:141" s="116" customFormat="1">
      <c r="A21917" s="136"/>
      <c r="CM21917" s="111"/>
      <c r="CQ21917" s="111"/>
      <c r="EF21917"/>
      <c r="EG21917"/>
      <c r="EH21917"/>
      <c r="EI21917"/>
      <c r="EJ21917"/>
      <c r="EK21917"/>
    </row>
    <row r="21918" spans="1:141" s="116" customFormat="1">
      <c r="A21918" s="136"/>
      <c r="CM21918" s="111"/>
      <c r="CQ21918" s="111"/>
      <c r="EF21918"/>
      <c r="EG21918"/>
      <c r="EH21918"/>
      <c r="EI21918"/>
      <c r="EJ21918"/>
      <c r="EK21918"/>
    </row>
    <row r="21919" spans="1:141" s="116" customFormat="1">
      <c r="A21919" s="136"/>
      <c r="CM21919" s="111"/>
      <c r="CQ21919" s="111"/>
      <c r="EF21919"/>
      <c r="EG21919"/>
      <c r="EH21919"/>
      <c r="EI21919"/>
      <c r="EJ21919"/>
      <c r="EK21919"/>
    </row>
    <row r="21920" spans="1:141" s="116" customFormat="1">
      <c r="A21920" s="136"/>
      <c r="CM21920" s="111"/>
      <c r="CQ21920" s="111"/>
      <c r="EF21920"/>
      <c r="EG21920"/>
      <c r="EH21920"/>
      <c r="EI21920"/>
      <c r="EJ21920"/>
      <c r="EK21920"/>
    </row>
    <row r="21921" spans="1:141" s="116" customFormat="1">
      <c r="A21921" s="136"/>
      <c r="CM21921" s="111"/>
      <c r="CQ21921" s="111"/>
      <c r="EF21921"/>
      <c r="EG21921"/>
      <c r="EH21921"/>
      <c r="EI21921"/>
      <c r="EJ21921"/>
      <c r="EK21921"/>
    </row>
    <row r="21922" spans="1:141" s="116" customFormat="1">
      <c r="A21922" s="136"/>
      <c r="CM21922" s="111"/>
      <c r="CQ21922" s="111"/>
      <c r="EF21922"/>
      <c r="EG21922"/>
      <c r="EH21922"/>
      <c r="EI21922"/>
      <c r="EJ21922"/>
      <c r="EK21922"/>
    </row>
    <row r="21923" spans="1:141" s="116" customFormat="1">
      <c r="A21923" s="136"/>
      <c r="CM21923" s="111"/>
      <c r="CQ21923" s="111"/>
      <c r="EF21923"/>
      <c r="EG21923"/>
      <c r="EH21923"/>
      <c r="EI21923"/>
      <c r="EJ21923"/>
      <c r="EK21923"/>
    </row>
    <row r="21924" spans="1:141" s="116" customFormat="1">
      <c r="A21924" s="136"/>
      <c r="CM21924" s="111"/>
      <c r="CQ21924" s="111"/>
      <c r="EF21924"/>
      <c r="EG21924"/>
      <c r="EH21924"/>
      <c r="EI21924"/>
      <c r="EJ21924"/>
      <c r="EK21924"/>
    </row>
    <row r="21925" spans="1:141" s="116" customFormat="1">
      <c r="A21925" s="136"/>
      <c r="CM21925" s="111"/>
      <c r="CQ21925" s="111"/>
      <c r="EF21925"/>
      <c r="EG21925"/>
      <c r="EH21925"/>
      <c r="EI21925"/>
      <c r="EJ21925"/>
      <c r="EK21925"/>
    </row>
    <row r="21926" spans="1:141" s="116" customFormat="1">
      <c r="A21926" s="136"/>
      <c r="CM21926" s="111"/>
      <c r="CQ21926" s="111"/>
      <c r="EF21926"/>
      <c r="EG21926"/>
      <c r="EH21926"/>
      <c r="EI21926"/>
      <c r="EJ21926"/>
      <c r="EK21926"/>
    </row>
    <row r="21927" spans="1:141" s="116" customFormat="1">
      <c r="A21927" s="136"/>
      <c r="CM21927" s="111"/>
      <c r="CQ21927" s="111"/>
      <c r="EF21927"/>
      <c r="EG21927"/>
      <c r="EH21927"/>
      <c r="EI21927"/>
      <c r="EJ21927"/>
      <c r="EK21927"/>
    </row>
    <row r="21928" spans="1:141" s="116" customFormat="1">
      <c r="A21928" s="136"/>
      <c r="CM21928" s="111"/>
      <c r="CQ21928" s="111"/>
      <c r="EF21928"/>
      <c r="EG21928"/>
      <c r="EH21928"/>
      <c r="EI21928"/>
      <c r="EJ21928"/>
      <c r="EK21928"/>
    </row>
    <row r="21929" spans="1:141" s="116" customFormat="1">
      <c r="A21929" s="136"/>
      <c r="CM21929" s="111"/>
      <c r="CQ21929" s="111"/>
      <c r="EF21929"/>
      <c r="EG21929"/>
      <c r="EH21929"/>
      <c r="EI21929"/>
      <c r="EJ21929"/>
      <c r="EK21929"/>
    </row>
    <row r="21930" spans="1:141" s="116" customFormat="1">
      <c r="A21930" s="136"/>
      <c r="CM21930" s="111"/>
      <c r="CQ21930" s="111"/>
      <c r="EF21930"/>
      <c r="EG21930"/>
      <c r="EH21930"/>
      <c r="EI21930"/>
      <c r="EJ21930"/>
      <c r="EK21930"/>
    </row>
    <row r="21931" spans="1:141" s="116" customFormat="1">
      <c r="A21931" s="136"/>
      <c r="CM21931" s="111"/>
      <c r="CQ21931" s="111"/>
      <c r="EF21931"/>
      <c r="EG21931"/>
      <c r="EH21931"/>
      <c r="EI21931"/>
      <c r="EJ21931"/>
      <c r="EK21931"/>
    </row>
    <row r="21932" spans="1:141" s="116" customFormat="1">
      <c r="A21932" s="136"/>
      <c r="CM21932" s="111"/>
      <c r="CQ21932" s="111"/>
      <c r="EF21932"/>
      <c r="EG21932"/>
      <c r="EH21932"/>
      <c r="EI21932"/>
      <c r="EJ21932"/>
      <c r="EK21932"/>
    </row>
    <row r="21933" spans="1:141" s="116" customFormat="1">
      <c r="A21933" s="136"/>
      <c r="CM21933" s="111"/>
      <c r="CQ21933" s="111"/>
      <c r="EF21933"/>
      <c r="EG21933"/>
      <c r="EH21933"/>
      <c r="EI21933"/>
      <c r="EJ21933"/>
      <c r="EK21933"/>
    </row>
    <row r="21934" spans="1:141" s="116" customFormat="1">
      <c r="A21934" s="136"/>
      <c r="CM21934" s="111"/>
      <c r="CQ21934" s="111"/>
      <c r="EF21934"/>
      <c r="EG21934"/>
      <c r="EH21934"/>
      <c r="EI21934"/>
      <c r="EJ21934"/>
      <c r="EK21934"/>
    </row>
    <row r="21935" spans="1:141" s="116" customFormat="1">
      <c r="A21935" s="136"/>
      <c r="CM21935" s="111"/>
      <c r="CQ21935" s="111"/>
      <c r="EF21935"/>
      <c r="EG21935"/>
      <c r="EH21935"/>
      <c r="EI21935"/>
      <c r="EJ21935"/>
      <c r="EK21935"/>
    </row>
    <row r="21936" spans="1:141" s="116" customFormat="1">
      <c r="A21936" s="136"/>
      <c r="CM21936" s="111"/>
      <c r="CQ21936" s="111"/>
      <c r="EF21936"/>
      <c r="EG21936"/>
      <c r="EH21936"/>
      <c r="EI21936"/>
      <c r="EJ21936"/>
      <c r="EK21936"/>
    </row>
    <row r="21937" spans="1:141" s="116" customFormat="1">
      <c r="A21937" s="136"/>
      <c r="CM21937" s="111"/>
      <c r="CQ21937" s="111"/>
      <c r="EF21937"/>
      <c r="EG21937"/>
      <c r="EH21937"/>
      <c r="EI21937"/>
      <c r="EJ21937"/>
      <c r="EK21937"/>
    </row>
    <row r="21938" spans="1:141" s="116" customFormat="1">
      <c r="A21938" s="136"/>
      <c r="CM21938" s="111"/>
      <c r="CQ21938" s="111"/>
      <c r="EF21938"/>
      <c r="EG21938"/>
      <c r="EH21938"/>
      <c r="EI21938"/>
      <c r="EJ21938"/>
      <c r="EK21938"/>
    </row>
    <row r="21939" spans="1:141" s="116" customFormat="1">
      <c r="A21939" s="136"/>
      <c r="CM21939" s="111"/>
      <c r="CQ21939" s="111"/>
      <c r="EF21939"/>
      <c r="EG21939"/>
      <c r="EH21939"/>
      <c r="EI21939"/>
      <c r="EJ21939"/>
      <c r="EK21939"/>
    </row>
    <row r="21940" spans="1:141" s="116" customFormat="1">
      <c r="A21940" s="136"/>
      <c r="CM21940" s="111"/>
      <c r="CQ21940" s="111"/>
      <c r="EF21940"/>
      <c r="EG21940"/>
      <c r="EH21940"/>
      <c r="EI21940"/>
      <c r="EJ21940"/>
      <c r="EK21940"/>
    </row>
    <row r="21941" spans="1:141" s="116" customFormat="1">
      <c r="A21941" s="136"/>
      <c r="CM21941" s="111"/>
      <c r="CQ21941" s="111"/>
      <c r="EF21941"/>
      <c r="EG21941"/>
      <c r="EH21941"/>
      <c r="EI21941"/>
      <c r="EJ21941"/>
      <c r="EK21941"/>
    </row>
    <row r="21942" spans="1:141" s="116" customFormat="1">
      <c r="A21942" s="136"/>
      <c r="CM21942" s="111"/>
      <c r="CQ21942" s="111"/>
      <c r="EF21942"/>
      <c r="EG21942"/>
      <c r="EH21942"/>
      <c r="EI21942"/>
      <c r="EJ21942"/>
      <c r="EK21942"/>
    </row>
    <row r="21943" spans="1:141" s="116" customFormat="1">
      <c r="A21943" s="136"/>
      <c r="CM21943" s="111"/>
      <c r="CQ21943" s="111"/>
      <c r="EF21943"/>
      <c r="EG21943"/>
      <c r="EH21943"/>
      <c r="EI21943"/>
      <c r="EJ21943"/>
      <c r="EK21943"/>
    </row>
    <row r="21944" spans="1:141" s="116" customFormat="1">
      <c r="A21944" s="136"/>
      <c r="CM21944" s="111"/>
      <c r="CQ21944" s="111"/>
      <c r="EF21944"/>
      <c r="EG21944"/>
      <c r="EH21944"/>
      <c r="EI21944"/>
      <c r="EJ21944"/>
      <c r="EK21944"/>
    </row>
    <row r="21945" spans="1:141" s="116" customFormat="1">
      <c r="A21945" s="136"/>
      <c r="CM21945" s="111"/>
      <c r="CQ21945" s="111"/>
      <c r="EF21945"/>
      <c r="EG21945"/>
      <c r="EH21945"/>
      <c r="EI21945"/>
      <c r="EJ21945"/>
      <c r="EK21945"/>
    </row>
    <row r="21946" spans="1:141" s="116" customFormat="1">
      <c r="A21946" s="136"/>
      <c r="CM21946" s="111"/>
      <c r="CQ21946" s="111"/>
      <c r="EF21946"/>
      <c r="EG21946"/>
      <c r="EH21946"/>
      <c r="EI21946"/>
      <c r="EJ21946"/>
      <c r="EK21946"/>
    </row>
    <row r="21947" spans="1:141" s="116" customFormat="1">
      <c r="A21947" s="136"/>
      <c r="CM21947" s="111"/>
      <c r="CQ21947" s="111"/>
      <c r="EF21947"/>
      <c r="EG21947"/>
      <c r="EH21947"/>
      <c r="EI21947"/>
      <c r="EJ21947"/>
      <c r="EK21947"/>
    </row>
    <row r="21948" spans="1:141" s="116" customFormat="1">
      <c r="A21948" s="136"/>
      <c r="CM21948" s="111"/>
      <c r="CQ21948" s="111"/>
      <c r="EF21948"/>
      <c r="EG21948"/>
      <c r="EH21948"/>
      <c r="EI21948"/>
      <c r="EJ21948"/>
      <c r="EK21948"/>
    </row>
    <row r="21949" spans="1:141" s="116" customFormat="1">
      <c r="A21949" s="136"/>
      <c r="CM21949" s="111"/>
      <c r="CQ21949" s="111"/>
      <c r="EF21949"/>
      <c r="EG21949"/>
      <c r="EH21949"/>
      <c r="EI21949"/>
      <c r="EJ21949"/>
      <c r="EK21949"/>
    </row>
    <row r="21950" spans="1:141" s="116" customFormat="1">
      <c r="A21950" s="136"/>
      <c r="CM21950" s="111"/>
      <c r="CQ21950" s="111"/>
      <c r="EF21950"/>
      <c r="EG21950"/>
      <c r="EH21950"/>
      <c r="EI21950"/>
      <c r="EJ21950"/>
      <c r="EK21950"/>
    </row>
    <row r="21951" spans="1:141" s="116" customFormat="1">
      <c r="A21951" s="136"/>
      <c r="CM21951" s="111"/>
      <c r="CQ21951" s="111"/>
      <c r="EF21951"/>
      <c r="EG21951"/>
      <c r="EH21951"/>
      <c r="EI21951"/>
      <c r="EJ21951"/>
      <c r="EK21951"/>
    </row>
    <row r="21952" spans="1:141" s="116" customFormat="1">
      <c r="A21952" s="136"/>
      <c r="CM21952" s="111"/>
      <c r="CQ21952" s="111"/>
      <c r="EF21952"/>
      <c r="EG21952"/>
      <c r="EH21952"/>
      <c r="EI21952"/>
      <c r="EJ21952"/>
      <c r="EK21952"/>
    </row>
    <row r="21953" spans="1:141" s="116" customFormat="1">
      <c r="A21953" s="136"/>
      <c r="CM21953" s="111"/>
      <c r="CQ21953" s="111"/>
      <c r="EF21953"/>
      <c r="EG21953"/>
      <c r="EH21953"/>
      <c r="EI21953"/>
      <c r="EJ21953"/>
      <c r="EK21953"/>
    </row>
    <row r="21954" spans="1:141" s="116" customFormat="1">
      <c r="A21954" s="136"/>
      <c r="CM21954" s="111"/>
      <c r="CQ21954" s="111"/>
      <c r="EF21954"/>
      <c r="EG21954"/>
      <c r="EH21954"/>
      <c r="EI21954"/>
      <c r="EJ21954"/>
      <c r="EK21954"/>
    </row>
    <row r="21955" spans="1:141" s="116" customFormat="1">
      <c r="A21955" s="136"/>
      <c r="CM21955" s="111"/>
      <c r="CQ21955" s="111"/>
      <c r="EF21955"/>
      <c r="EG21955"/>
      <c r="EH21955"/>
      <c r="EI21955"/>
      <c r="EJ21955"/>
      <c r="EK21955"/>
    </row>
    <row r="21956" spans="1:141" s="116" customFormat="1">
      <c r="A21956" s="136"/>
      <c r="CM21956" s="111"/>
      <c r="CQ21956" s="111"/>
      <c r="EF21956"/>
      <c r="EG21956"/>
      <c r="EH21956"/>
      <c r="EI21956"/>
      <c r="EJ21956"/>
      <c r="EK21956"/>
    </row>
    <row r="21957" spans="1:141" s="116" customFormat="1">
      <c r="A21957" s="136"/>
      <c r="CM21957" s="111"/>
      <c r="CQ21957" s="111"/>
      <c r="EF21957"/>
      <c r="EG21957"/>
      <c r="EH21957"/>
      <c r="EI21957"/>
      <c r="EJ21957"/>
      <c r="EK21957"/>
    </row>
    <row r="21958" spans="1:141" s="116" customFormat="1">
      <c r="A21958" s="136"/>
      <c r="CM21958" s="111"/>
      <c r="CQ21958" s="111"/>
      <c r="EF21958"/>
      <c r="EG21958"/>
      <c r="EH21958"/>
      <c r="EI21958"/>
      <c r="EJ21958"/>
      <c r="EK21958"/>
    </row>
    <row r="21959" spans="1:141" s="116" customFormat="1">
      <c r="A21959" s="136"/>
      <c r="CM21959" s="111"/>
      <c r="CQ21959" s="111"/>
      <c r="EF21959"/>
      <c r="EG21959"/>
      <c r="EH21959"/>
      <c r="EI21959"/>
      <c r="EJ21959"/>
      <c r="EK21959"/>
    </row>
    <row r="21960" spans="1:141" s="116" customFormat="1">
      <c r="A21960" s="136"/>
      <c r="CM21960" s="111"/>
      <c r="CQ21960" s="111"/>
      <c r="EF21960"/>
      <c r="EG21960"/>
      <c r="EH21960"/>
      <c r="EI21960"/>
      <c r="EJ21960"/>
      <c r="EK21960"/>
    </row>
    <row r="21961" spans="1:141" s="116" customFormat="1">
      <c r="A21961" s="136"/>
      <c r="CM21961" s="111"/>
      <c r="CQ21961" s="111"/>
      <c r="EF21961"/>
      <c r="EG21961"/>
      <c r="EH21961"/>
      <c r="EI21961"/>
      <c r="EJ21961"/>
      <c r="EK21961"/>
    </row>
    <row r="21962" spans="1:141" s="116" customFormat="1">
      <c r="A21962" s="136"/>
      <c r="CM21962" s="111"/>
      <c r="CQ21962" s="111"/>
      <c r="EF21962"/>
      <c r="EG21962"/>
      <c r="EH21962"/>
      <c r="EI21962"/>
      <c r="EJ21962"/>
      <c r="EK21962"/>
    </row>
    <row r="21963" spans="1:141" s="116" customFormat="1">
      <c r="A21963" s="136"/>
      <c r="CM21963" s="111"/>
      <c r="CQ21963" s="111"/>
      <c r="EF21963"/>
      <c r="EG21963"/>
      <c r="EH21963"/>
      <c r="EI21963"/>
      <c r="EJ21963"/>
      <c r="EK21963"/>
    </row>
    <row r="21964" spans="1:141" s="116" customFormat="1">
      <c r="A21964" s="136"/>
      <c r="CM21964" s="111"/>
      <c r="CQ21964" s="111"/>
      <c r="EF21964"/>
      <c r="EG21964"/>
      <c r="EH21964"/>
      <c r="EI21964"/>
      <c r="EJ21964"/>
      <c r="EK21964"/>
    </row>
    <row r="21965" spans="1:141" s="116" customFormat="1">
      <c r="A21965" s="136"/>
      <c r="CM21965" s="111"/>
      <c r="CQ21965" s="111"/>
      <c r="EF21965"/>
      <c r="EG21965"/>
      <c r="EH21965"/>
      <c r="EI21965"/>
      <c r="EJ21965"/>
      <c r="EK21965"/>
    </row>
    <row r="21966" spans="1:141" s="116" customFormat="1">
      <c r="A21966" s="136"/>
      <c r="CM21966" s="111"/>
      <c r="CQ21966" s="111"/>
      <c r="EF21966"/>
      <c r="EG21966"/>
      <c r="EH21966"/>
      <c r="EI21966"/>
      <c r="EJ21966"/>
      <c r="EK21966"/>
    </row>
    <row r="21967" spans="1:141" s="116" customFormat="1">
      <c r="A21967" s="136"/>
      <c r="CM21967" s="111"/>
      <c r="CQ21967" s="111"/>
      <c r="EF21967"/>
      <c r="EG21967"/>
      <c r="EH21967"/>
      <c r="EI21967"/>
      <c r="EJ21967"/>
      <c r="EK21967"/>
    </row>
    <row r="21968" spans="1:141" s="116" customFormat="1">
      <c r="A21968" s="136"/>
      <c r="CM21968" s="111"/>
      <c r="CQ21968" s="111"/>
      <c r="EF21968"/>
      <c r="EG21968"/>
      <c r="EH21968"/>
      <c r="EI21968"/>
      <c r="EJ21968"/>
      <c r="EK21968"/>
    </row>
    <row r="21969" spans="1:141" s="116" customFormat="1">
      <c r="A21969" s="136"/>
      <c r="CM21969" s="111"/>
      <c r="CQ21969" s="111"/>
      <c r="EF21969"/>
      <c r="EG21969"/>
      <c r="EH21969"/>
      <c r="EI21969"/>
      <c r="EJ21969"/>
      <c r="EK21969"/>
    </row>
    <row r="21970" spans="1:141" s="116" customFormat="1">
      <c r="A21970" s="136"/>
      <c r="CM21970" s="111"/>
      <c r="CQ21970" s="111"/>
      <c r="EF21970"/>
      <c r="EG21970"/>
      <c r="EH21970"/>
      <c r="EI21970"/>
      <c r="EJ21970"/>
      <c r="EK21970"/>
    </row>
    <row r="21971" spans="1:141" s="116" customFormat="1">
      <c r="A21971" s="136"/>
      <c r="CM21971" s="111"/>
      <c r="CQ21971" s="111"/>
      <c r="EF21971"/>
      <c r="EG21971"/>
      <c r="EH21971"/>
      <c r="EI21971"/>
      <c r="EJ21971"/>
      <c r="EK21971"/>
    </row>
    <row r="21972" spans="1:141" s="116" customFormat="1">
      <c r="A21972" s="136"/>
      <c r="CM21972" s="111"/>
      <c r="CQ21972" s="111"/>
      <c r="EF21972"/>
      <c r="EG21972"/>
      <c r="EH21972"/>
      <c r="EI21972"/>
      <c r="EJ21972"/>
      <c r="EK21972"/>
    </row>
    <row r="21973" spans="1:141" s="116" customFormat="1">
      <c r="A21973" s="136"/>
      <c r="CM21973" s="111"/>
      <c r="CQ21973" s="111"/>
      <c r="EF21973"/>
      <c r="EG21973"/>
      <c r="EH21973"/>
      <c r="EI21973"/>
      <c r="EJ21973"/>
      <c r="EK21973"/>
    </row>
    <row r="21974" spans="1:141" s="116" customFormat="1">
      <c r="A21974" s="136"/>
      <c r="CM21974" s="111"/>
      <c r="CQ21974" s="111"/>
      <c r="EF21974"/>
      <c r="EG21974"/>
      <c r="EH21974"/>
      <c r="EI21974"/>
      <c r="EJ21974"/>
      <c r="EK21974"/>
    </row>
    <row r="21975" spans="1:141" s="116" customFormat="1">
      <c r="A21975" s="136"/>
      <c r="CM21975" s="111"/>
      <c r="CQ21975" s="111"/>
      <c r="EF21975"/>
      <c r="EG21975"/>
      <c r="EH21975"/>
      <c r="EI21975"/>
      <c r="EJ21975"/>
      <c r="EK21975"/>
    </row>
    <row r="21976" spans="1:141" s="116" customFormat="1">
      <c r="A21976" s="136"/>
      <c r="CM21976" s="111"/>
      <c r="CQ21976" s="111"/>
      <c r="EF21976"/>
      <c r="EG21976"/>
      <c r="EH21976"/>
      <c r="EI21976"/>
      <c r="EJ21976"/>
      <c r="EK21976"/>
    </row>
    <row r="21977" spans="1:141" s="116" customFormat="1">
      <c r="A21977" s="136"/>
      <c r="CM21977" s="111"/>
      <c r="CQ21977" s="111"/>
      <c r="EF21977"/>
      <c r="EG21977"/>
      <c r="EH21977"/>
      <c r="EI21977"/>
      <c r="EJ21977"/>
      <c r="EK21977"/>
    </row>
    <row r="21978" spans="1:141" s="116" customFormat="1">
      <c r="A21978" s="136"/>
      <c r="CM21978" s="111"/>
      <c r="CQ21978" s="111"/>
      <c r="EF21978"/>
      <c r="EG21978"/>
      <c r="EH21978"/>
      <c r="EI21978"/>
      <c r="EJ21978"/>
      <c r="EK21978"/>
    </row>
    <row r="21979" spans="1:141" s="116" customFormat="1">
      <c r="A21979" s="136"/>
      <c r="CM21979" s="111"/>
      <c r="CQ21979" s="111"/>
      <c r="EF21979"/>
      <c r="EG21979"/>
      <c r="EH21979"/>
      <c r="EI21979"/>
      <c r="EJ21979"/>
      <c r="EK21979"/>
    </row>
    <row r="21980" spans="1:141" s="116" customFormat="1">
      <c r="A21980" s="136"/>
      <c r="CM21980" s="111"/>
      <c r="CQ21980" s="111"/>
      <c r="EF21980"/>
      <c r="EG21980"/>
      <c r="EH21980"/>
      <c r="EI21980"/>
      <c r="EJ21980"/>
      <c r="EK21980"/>
    </row>
    <row r="21981" spans="1:141" s="116" customFormat="1">
      <c r="A21981" s="136"/>
      <c r="CM21981" s="111"/>
      <c r="CQ21981" s="111"/>
      <c r="EF21981"/>
      <c r="EG21981"/>
      <c r="EH21981"/>
      <c r="EI21981"/>
      <c r="EJ21981"/>
      <c r="EK21981"/>
    </row>
    <row r="21982" spans="1:141" s="116" customFormat="1">
      <c r="A21982" s="136"/>
      <c r="CM21982" s="111"/>
      <c r="CQ21982" s="111"/>
      <c r="EF21982"/>
      <c r="EG21982"/>
      <c r="EH21982"/>
      <c r="EI21982"/>
      <c r="EJ21982"/>
      <c r="EK21982"/>
    </row>
    <row r="21983" spans="1:141" s="116" customFormat="1">
      <c r="A21983" s="136"/>
      <c r="CM21983" s="111"/>
      <c r="CQ21983" s="111"/>
      <c r="EF21983"/>
      <c r="EG21983"/>
      <c r="EH21983"/>
      <c r="EI21983"/>
      <c r="EJ21983"/>
      <c r="EK21983"/>
    </row>
    <row r="21984" spans="1:141" s="116" customFormat="1">
      <c r="A21984" s="136"/>
      <c r="CM21984" s="111"/>
      <c r="CQ21984" s="111"/>
      <c r="EF21984"/>
      <c r="EG21984"/>
      <c r="EH21984"/>
      <c r="EI21984"/>
      <c r="EJ21984"/>
      <c r="EK21984"/>
    </row>
    <row r="21985" spans="1:141" s="116" customFormat="1">
      <c r="A21985" s="136"/>
      <c r="CM21985" s="111"/>
      <c r="CQ21985" s="111"/>
      <c r="EF21985"/>
      <c r="EG21985"/>
      <c r="EH21985"/>
      <c r="EI21985"/>
      <c r="EJ21985"/>
      <c r="EK21985"/>
    </row>
    <row r="21986" spans="1:141" s="116" customFormat="1">
      <c r="A21986" s="136"/>
      <c r="CM21986" s="111"/>
      <c r="CQ21986" s="111"/>
      <c r="EF21986"/>
      <c r="EG21986"/>
      <c r="EH21986"/>
      <c r="EI21986"/>
      <c r="EJ21986"/>
      <c r="EK21986"/>
    </row>
    <row r="21987" spans="1:141" s="116" customFormat="1">
      <c r="A21987" s="136"/>
      <c r="CM21987" s="111"/>
      <c r="CQ21987" s="111"/>
      <c r="EF21987"/>
      <c r="EG21987"/>
      <c r="EH21987"/>
      <c r="EI21987"/>
      <c r="EJ21987"/>
      <c r="EK21987"/>
    </row>
    <row r="21988" spans="1:141" s="116" customFormat="1">
      <c r="A21988" s="136"/>
      <c r="CM21988" s="111"/>
      <c r="CQ21988" s="111"/>
      <c r="EF21988"/>
      <c r="EG21988"/>
      <c r="EH21988"/>
      <c r="EI21988"/>
      <c r="EJ21988"/>
      <c r="EK21988"/>
    </row>
    <row r="21989" spans="1:141" s="116" customFormat="1">
      <c r="A21989" s="136"/>
      <c r="CM21989" s="111"/>
      <c r="CQ21989" s="111"/>
      <c r="EF21989"/>
      <c r="EG21989"/>
      <c r="EH21989"/>
      <c r="EI21989"/>
      <c r="EJ21989"/>
      <c r="EK21989"/>
    </row>
    <row r="21990" spans="1:141" s="116" customFormat="1">
      <c r="A21990" s="136"/>
      <c r="CM21990" s="111"/>
      <c r="CQ21990" s="111"/>
      <c r="EF21990"/>
      <c r="EG21990"/>
      <c r="EH21990"/>
      <c r="EI21990"/>
      <c r="EJ21990"/>
      <c r="EK21990"/>
    </row>
    <row r="21991" spans="1:141" s="116" customFormat="1">
      <c r="A21991" s="136"/>
      <c r="CM21991" s="111"/>
      <c r="CQ21991" s="111"/>
      <c r="EF21991"/>
      <c r="EG21991"/>
      <c r="EH21991"/>
      <c r="EI21991"/>
      <c r="EJ21991"/>
      <c r="EK21991"/>
    </row>
    <row r="21992" spans="1:141" s="116" customFormat="1">
      <c r="A21992" s="136"/>
      <c r="CM21992" s="111"/>
      <c r="CQ21992" s="111"/>
      <c r="EF21992"/>
      <c r="EG21992"/>
      <c r="EH21992"/>
      <c r="EI21992"/>
      <c r="EJ21992"/>
      <c r="EK21992"/>
    </row>
    <row r="21993" spans="1:141" s="116" customFormat="1">
      <c r="A21993" s="136"/>
      <c r="CM21993" s="111"/>
      <c r="CQ21993" s="111"/>
      <c r="EF21993"/>
      <c r="EG21993"/>
      <c r="EH21993"/>
      <c r="EI21993"/>
      <c r="EJ21993"/>
      <c r="EK21993"/>
    </row>
    <row r="21994" spans="1:141" s="116" customFormat="1">
      <c r="A21994" s="136"/>
      <c r="CM21994" s="111"/>
      <c r="CQ21994" s="111"/>
      <c r="EF21994"/>
      <c r="EG21994"/>
      <c r="EH21994"/>
      <c r="EI21994"/>
      <c r="EJ21994"/>
      <c r="EK21994"/>
    </row>
    <row r="21995" spans="1:141" s="116" customFormat="1">
      <c r="A21995" s="136"/>
      <c r="CM21995" s="111"/>
      <c r="CQ21995" s="111"/>
      <c r="EF21995"/>
      <c r="EG21995"/>
      <c r="EH21995"/>
      <c r="EI21995"/>
      <c r="EJ21995"/>
      <c r="EK21995"/>
    </row>
    <row r="21996" spans="1:141" s="116" customFormat="1">
      <c r="A21996" s="136"/>
      <c r="CM21996" s="111"/>
      <c r="CQ21996" s="111"/>
      <c r="EF21996"/>
      <c r="EG21996"/>
      <c r="EH21996"/>
      <c r="EI21996"/>
      <c r="EJ21996"/>
      <c r="EK21996"/>
    </row>
    <row r="21997" spans="1:141" s="116" customFormat="1">
      <c r="A21997" s="136"/>
      <c r="CM21997" s="111"/>
      <c r="CQ21997" s="111"/>
      <c r="EF21997"/>
      <c r="EG21997"/>
      <c r="EH21997"/>
      <c r="EI21997"/>
      <c r="EJ21997"/>
      <c r="EK21997"/>
    </row>
    <row r="21998" spans="1:141" s="116" customFormat="1">
      <c r="A21998" s="136"/>
      <c r="CM21998" s="111"/>
      <c r="CQ21998" s="111"/>
      <c r="EF21998"/>
      <c r="EG21998"/>
      <c r="EH21998"/>
      <c r="EI21998"/>
      <c r="EJ21998"/>
      <c r="EK21998"/>
    </row>
    <row r="21999" spans="1:141" s="116" customFormat="1">
      <c r="A21999" s="136"/>
      <c r="CM21999" s="111"/>
      <c r="CQ21999" s="111"/>
      <c r="EF21999"/>
      <c r="EG21999"/>
      <c r="EH21999"/>
      <c r="EI21999"/>
      <c r="EJ21999"/>
      <c r="EK21999"/>
    </row>
    <row r="22000" spans="1:141" s="116" customFormat="1">
      <c r="A22000" s="136"/>
      <c r="CM22000" s="111"/>
      <c r="CQ22000" s="111"/>
      <c r="EF22000"/>
      <c r="EG22000"/>
      <c r="EH22000"/>
      <c r="EI22000"/>
      <c r="EJ22000"/>
      <c r="EK22000"/>
    </row>
    <row r="22001" spans="1:141" s="116" customFormat="1">
      <c r="A22001" s="136"/>
      <c r="CM22001" s="111"/>
      <c r="CQ22001" s="111"/>
      <c r="EF22001"/>
      <c r="EG22001"/>
      <c r="EH22001"/>
      <c r="EI22001"/>
      <c r="EJ22001"/>
      <c r="EK22001"/>
    </row>
    <row r="22002" spans="1:141" s="116" customFormat="1">
      <c r="A22002" s="136"/>
      <c r="CM22002" s="111"/>
      <c r="CQ22002" s="111"/>
      <c r="EF22002"/>
      <c r="EG22002"/>
      <c r="EH22002"/>
      <c r="EI22002"/>
      <c r="EJ22002"/>
      <c r="EK22002"/>
    </row>
    <row r="22003" spans="1:141" s="116" customFormat="1">
      <c r="A22003" s="136"/>
      <c r="CM22003" s="111"/>
      <c r="CQ22003" s="111"/>
      <c r="EF22003"/>
      <c r="EG22003"/>
      <c r="EH22003"/>
      <c r="EI22003"/>
      <c r="EJ22003"/>
      <c r="EK22003"/>
    </row>
    <row r="22004" spans="1:141" s="116" customFormat="1">
      <c r="A22004" s="136"/>
      <c r="CM22004" s="111"/>
      <c r="CQ22004" s="111"/>
      <c r="EF22004"/>
      <c r="EG22004"/>
      <c r="EH22004"/>
      <c r="EI22004"/>
      <c r="EJ22004"/>
      <c r="EK22004"/>
    </row>
    <row r="22005" spans="1:141" s="116" customFormat="1">
      <c r="A22005" s="136"/>
      <c r="CM22005" s="111"/>
      <c r="CQ22005" s="111"/>
      <c r="EF22005"/>
      <c r="EG22005"/>
      <c r="EH22005"/>
      <c r="EI22005"/>
      <c r="EJ22005"/>
      <c r="EK22005"/>
    </row>
    <row r="22006" spans="1:141" s="116" customFormat="1">
      <c r="A22006" s="136"/>
      <c r="CM22006" s="111"/>
      <c r="CQ22006" s="111"/>
      <c r="EF22006"/>
      <c r="EG22006"/>
      <c r="EH22006"/>
      <c r="EI22006"/>
      <c r="EJ22006"/>
      <c r="EK22006"/>
    </row>
    <row r="22007" spans="1:141" s="116" customFormat="1">
      <c r="A22007" s="136"/>
      <c r="CM22007" s="111"/>
      <c r="CQ22007" s="111"/>
      <c r="EF22007"/>
      <c r="EG22007"/>
      <c r="EH22007"/>
      <c r="EI22007"/>
      <c r="EJ22007"/>
      <c r="EK22007"/>
    </row>
    <row r="22008" spans="1:141" s="116" customFormat="1">
      <c r="A22008" s="136"/>
      <c r="CM22008" s="111"/>
      <c r="CQ22008" s="111"/>
      <c r="EF22008"/>
      <c r="EG22008"/>
      <c r="EH22008"/>
      <c r="EI22008"/>
      <c r="EJ22008"/>
      <c r="EK22008"/>
    </row>
    <row r="22009" spans="1:141" s="116" customFormat="1">
      <c r="A22009" s="136"/>
      <c r="CM22009" s="111"/>
      <c r="CQ22009" s="111"/>
      <c r="EF22009"/>
      <c r="EG22009"/>
      <c r="EH22009"/>
      <c r="EI22009"/>
      <c r="EJ22009"/>
      <c r="EK22009"/>
    </row>
    <row r="22010" spans="1:141" s="116" customFormat="1">
      <c r="A22010" s="136"/>
      <c r="CM22010" s="111"/>
      <c r="CQ22010" s="111"/>
      <c r="EF22010"/>
      <c r="EG22010"/>
      <c r="EH22010"/>
      <c r="EI22010"/>
      <c r="EJ22010"/>
      <c r="EK22010"/>
    </row>
    <row r="22011" spans="1:141" s="116" customFormat="1">
      <c r="A22011" s="136"/>
      <c r="CM22011" s="111"/>
      <c r="CQ22011" s="111"/>
      <c r="EF22011"/>
      <c r="EG22011"/>
      <c r="EH22011"/>
      <c r="EI22011"/>
      <c r="EJ22011"/>
      <c r="EK22011"/>
    </row>
    <row r="22012" spans="1:141" s="116" customFormat="1">
      <c r="A22012" s="136"/>
      <c r="CM22012" s="111"/>
      <c r="CQ22012" s="111"/>
      <c r="EF22012"/>
      <c r="EG22012"/>
      <c r="EH22012"/>
      <c r="EI22012"/>
      <c r="EJ22012"/>
      <c r="EK22012"/>
    </row>
    <row r="22013" spans="1:141" s="116" customFormat="1">
      <c r="A22013" s="136"/>
      <c r="CM22013" s="111"/>
      <c r="CQ22013" s="111"/>
      <c r="EF22013"/>
      <c r="EG22013"/>
      <c r="EH22013"/>
      <c r="EI22013"/>
      <c r="EJ22013"/>
      <c r="EK22013"/>
    </row>
    <row r="22014" spans="1:141" s="116" customFormat="1">
      <c r="A22014" s="136"/>
      <c r="CM22014" s="111"/>
      <c r="CQ22014" s="111"/>
      <c r="EF22014"/>
      <c r="EG22014"/>
      <c r="EH22014"/>
      <c r="EI22014"/>
      <c r="EJ22014"/>
      <c r="EK22014"/>
    </row>
    <row r="22015" spans="1:141" s="116" customFormat="1">
      <c r="A22015" s="136"/>
      <c r="CM22015" s="111"/>
      <c r="CQ22015" s="111"/>
      <c r="EF22015"/>
      <c r="EG22015"/>
      <c r="EH22015"/>
      <c r="EI22015"/>
      <c r="EJ22015"/>
      <c r="EK22015"/>
    </row>
    <row r="22016" spans="1:141" s="116" customFormat="1">
      <c r="A22016" s="136"/>
      <c r="CM22016" s="111"/>
      <c r="CQ22016" s="111"/>
      <c r="EF22016"/>
      <c r="EG22016"/>
      <c r="EH22016"/>
      <c r="EI22016"/>
      <c r="EJ22016"/>
      <c r="EK22016"/>
    </row>
    <row r="22017" spans="1:141" s="116" customFormat="1">
      <c r="A22017" s="136"/>
      <c r="CM22017" s="111"/>
      <c r="CQ22017" s="111"/>
      <c r="EF22017"/>
      <c r="EG22017"/>
      <c r="EH22017"/>
      <c r="EI22017"/>
      <c r="EJ22017"/>
      <c r="EK22017"/>
    </row>
    <row r="22018" spans="1:141" s="116" customFormat="1">
      <c r="A22018" s="136"/>
      <c r="CM22018" s="111"/>
      <c r="CQ22018" s="111"/>
      <c r="EF22018"/>
      <c r="EG22018"/>
      <c r="EH22018"/>
      <c r="EI22018"/>
      <c r="EJ22018"/>
      <c r="EK22018"/>
    </row>
    <row r="22019" spans="1:141" s="116" customFormat="1">
      <c r="A22019" s="136"/>
      <c r="CM22019" s="111"/>
      <c r="CQ22019" s="111"/>
      <c r="EF22019"/>
      <c r="EG22019"/>
      <c r="EH22019"/>
      <c r="EI22019"/>
      <c r="EJ22019"/>
      <c r="EK22019"/>
    </row>
    <row r="22020" spans="1:141" s="116" customFormat="1">
      <c r="A22020" s="136"/>
      <c r="CM22020" s="111"/>
      <c r="CQ22020" s="111"/>
      <c r="EF22020"/>
      <c r="EG22020"/>
      <c r="EH22020"/>
      <c r="EI22020"/>
      <c r="EJ22020"/>
      <c r="EK22020"/>
    </row>
    <row r="22021" spans="1:141" s="116" customFormat="1">
      <c r="A22021" s="136"/>
      <c r="CM22021" s="111"/>
      <c r="CQ22021" s="111"/>
      <c r="EF22021"/>
      <c r="EG22021"/>
      <c r="EH22021"/>
      <c r="EI22021"/>
      <c r="EJ22021"/>
      <c r="EK22021"/>
    </row>
    <row r="22022" spans="1:141" s="116" customFormat="1">
      <c r="A22022" s="136"/>
      <c r="CM22022" s="111"/>
      <c r="CQ22022" s="111"/>
      <c r="EF22022"/>
      <c r="EG22022"/>
      <c r="EH22022"/>
      <c r="EI22022"/>
      <c r="EJ22022"/>
      <c r="EK22022"/>
    </row>
    <row r="22023" spans="1:141" s="116" customFormat="1">
      <c r="A22023" s="136"/>
      <c r="CM22023" s="111"/>
      <c r="CQ22023" s="111"/>
      <c r="EF22023"/>
      <c r="EG22023"/>
      <c r="EH22023"/>
      <c r="EI22023"/>
      <c r="EJ22023"/>
      <c r="EK22023"/>
    </row>
    <row r="22024" spans="1:141" s="116" customFormat="1">
      <c r="A22024" s="136"/>
      <c r="CM22024" s="111"/>
      <c r="CQ22024" s="111"/>
      <c r="EF22024"/>
      <c r="EG22024"/>
      <c r="EH22024"/>
      <c r="EI22024"/>
      <c r="EJ22024"/>
      <c r="EK22024"/>
    </row>
    <row r="22025" spans="1:141" s="116" customFormat="1">
      <c r="A22025" s="136"/>
      <c r="CM22025" s="111"/>
      <c r="CQ22025" s="111"/>
      <c r="EF22025"/>
      <c r="EG22025"/>
      <c r="EH22025"/>
      <c r="EI22025"/>
      <c r="EJ22025"/>
      <c r="EK22025"/>
    </row>
    <row r="22026" spans="1:141" s="116" customFormat="1">
      <c r="A22026" s="136"/>
      <c r="CM22026" s="111"/>
      <c r="CQ22026" s="111"/>
      <c r="EF22026"/>
      <c r="EG22026"/>
      <c r="EH22026"/>
      <c r="EI22026"/>
      <c r="EJ22026"/>
      <c r="EK22026"/>
    </row>
    <row r="22027" spans="1:141" s="116" customFormat="1">
      <c r="A22027" s="136"/>
      <c r="CM22027" s="111"/>
      <c r="CQ22027" s="111"/>
      <c r="EF22027"/>
      <c r="EG22027"/>
      <c r="EH22027"/>
      <c r="EI22027"/>
      <c r="EJ22027"/>
      <c r="EK22027"/>
    </row>
    <row r="22028" spans="1:141" s="116" customFormat="1">
      <c r="A22028" s="136"/>
      <c r="CM22028" s="111"/>
      <c r="CQ22028" s="111"/>
      <c r="EF22028"/>
      <c r="EG22028"/>
      <c r="EH22028"/>
      <c r="EI22028"/>
      <c r="EJ22028"/>
      <c r="EK22028"/>
    </row>
    <row r="22029" spans="1:141" s="116" customFormat="1">
      <c r="A22029" s="136"/>
      <c r="CM22029" s="111"/>
      <c r="CQ22029" s="111"/>
      <c r="EF22029"/>
      <c r="EG22029"/>
      <c r="EH22029"/>
      <c r="EI22029"/>
      <c r="EJ22029"/>
      <c r="EK22029"/>
    </row>
    <row r="22030" spans="1:141" s="116" customFormat="1">
      <c r="A22030" s="136"/>
      <c r="CM22030" s="111"/>
      <c r="CQ22030" s="111"/>
      <c r="EF22030"/>
      <c r="EG22030"/>
      <c r="EH22030"/>
      <c r="EI22030"/>
      <c r="EJ22030"/>
      <c r="EK22030"/>
    </row>
    <row r="22031" spans="1:141" s="116" customFormat="1">
      <c r="A22031" s="136"/>
      <c r="CM22031" s="111"/>
      <c r="CQ22031" s="111"/>
      <c r="EF22031"/>
      <c r="EG22031"/>
      <c r="EH22031"/>
      <c r="EI22031"/>
      <c r="EJ22031"/>
      <c r="EK22031"/>
    </row>
    <row r="22032" spans="1:141" s="116" customFormat="1">
      <c r="A22032" s="136"/>
      <c r="CM22032" s="111"/>
      <c r="CQ22032" s="111"/>
      <c r="EF22032"/>
      <c r="EG22032"/>
      <c r="EH22032"/>
      <c r="EI22032"/>
      <c r="EJ22032"/>
      <c r="EK22032"/>
    </row>
    <row r="22033" spans="1:141" s="116" customFormat="1">
      <c r="A22033" s="136"/>
      <c r="CM22033" s="111"/>
      <c r="CQ22033" s="111"/>
      <c r="EF22033"/>
      <c r="EG22033"/>
      <c r="EH22033"/>
      <c r="EI22033"/>
      <c r="EJ22033"/>
      <c r="EK22033"/>
    </row>
    <row r="22034" spans="1:141" s="116" customFormat="1">
      <c r="A22034" s="136"/>
      <c r="CM22034" s="111"/>
      <c r="CQ22034" s="111"/>
      <c r="EF22034"/>
      <c r="EG22034"/>
      <c r="EH22034"/>
      <c r="EI22034"/>
      <c r="EJ22034"/>
      <c r="EK22034"/>
    </row>
    <row r="22035" spans="1:141" s="116" customFormat="1">
      <c r="A22035" s="136"/>
      <c r="CM22035" s="111"/>
      <c r="CQ22035" s="111"/>
      <c r="EF22035"/>
      <c r="EG22035"/>
      <c r="EH22035"/>
      <c r="EI22035"/>
      <c r="EJ22035"/>
      <c r="EK22035"/>
    </row>
    <row r="22036" spans="1:141" s="116" customFormat="1">
      <c r="A22036" s="136"/>
      <c r="CM22036" s="111"/>
      <c r="CQ22036" s="111"/>
      <c r="EF22036"/>
      <c r="EG22036"/>
      <c r="EH22036"/>
      <c r="EI22036"/>
      <c r="EJ22036"/>
      <c r="EK22036"/>
    </row>
    <row r="22037" spans="1:141" s="116" customFormat="1">
      <c r="A22037" s="136"/>
      <c r="CM22037" s="111"/>
      <c r="CQ22037" s="111"/>
      <c r="EF22037"/>
      <c r="EG22037"/>
      <c r="EH22037"/>
      <c r="EI22037"/>
      <c r="EJ22037"/>
      <c r="EK22037"/>
    </row>
    <row r="22038" spans="1:141" s="116" customFormat="1">
      <c r="A22038" s="136"/>
      <c r="CM22038" s="111"/>
      <c r="CQ22038" s="111"/>
      <c r="EF22038"/>
      <c r="EG22038"/>
      <c r="EH22038"/>
      <c r="EI22038"/>
      <c r="EJ22038"/>
      <c r="EK22038"/>
    </row>
    <row r="22039" spans="1:141" s="116" customFormat="1">
      <c r="A22039" s="136"/>
      <c r="CM22039" s="111"/>
      <c r="CQ22039" s="111"/>
      <c r="EF22039"/>
      <c r="EG22039"/>
      <c r="EH22039"/>
      <c r="EI22039"/>
      <c r="EJ22039"/>
      <c r="EK22039"/>
    </row>
    <row r="22040" spans="1:141" s="116" customFormat="1">
      <c r="A22040" s="136"/>
      <c r="CM22040" s="111"/>
      <c r="CQ22040" s="111"/>
      <c r="EF22040"/>
      <c r="EG22040"/>
      <c r="EH22040"/>
      <c r="EI22040"/>
      <c r="EJ22040"/>
      <c r="EK22040"/>
    </row>
    <row r="22041" spans="1:141" s="116" customFormat="1">
      <c r="A22041" s="136"/>
      <c r="CM22041" s="111"/>
      <c r="CQ22041" s="111"/>
      <c r="EF22041"/>
      <c r="EG22041"/>
      <c r="EH22041"/>
      <c r="EI22041"/>
      <c r="EJ22041"/>
      <c r="EK22041"/>
    </row>
    <row r="22042" spans="1:141" s="116" customFormat="1">
      <c r="A22042" s="136"/>
      <c r="CM22042" s="111"/>
      <c r="CQ22042" s="111"/>
      <c r="EF22042"/>
      <c r="EG22042"/>
      <c r="EH22042"/>
      <c r="EI22042"/>
      <c r="EJ22042"/>
      <c r="EK22042"/>
    </row>
    <row r="22043" spans="1:141" s="116" customFormat="1">
      <c r="A22043" s="136"/>
      <c r="CM22043" s="111"/>
      <c r="CQ22043" s="111"/>
      <c r="EF22043"/>
      <c r="EG22043"/>
      <c r="EH22043"/>
      <c r="EI22043"/>
      <c r="EJ22043"/>
      <c r="EK22043"/>
    </row>
    <row r="22044" spans="1:141" s="116" customFormat="1">
      <c r="A22044" s="136"/>
      <c r="CM22044" s="111"/>
      <c r="CQ22044" s="111"/>
      <c r="EF22044"/>
      <c r="EG22044"/>
      <c r="EH22044"/>
      <c r="EI22044"/>
      <c r="EJ22044"/>
      <c r="EK22044"/>
    </row>
    <row r="22045" spans="1:141" s="116" customFormat="1">
      <c r="A22045" s="136"/>
      <c r="CM22045" s="111"/>
      <c r="CQ22045" s="111"/>
      <c r="EF22045"/>
      <c r="EG22045"/>
      <c r="EH22045"/>
      <c r="EI22045"/>
      <c r="EJ22045"/>
      <c r="EK22045"/>
    </row>
    <row r="22046" spans="1:141" s="116" customFormat="1">
      <c r="A22046" s="136"/>
      <c r="CM22046" s="111"/>
      <c r="CQ22046" s="111"/>
      <c r="EF22046"/>
      <c r="EG22046"/>
      <c r="EH22046"/>
      <c r="EI22046"/>
      <c r="EJ22046"/>
      <c r="EK22046"/>
    </row>
    <row r="22047" spans="1:141" s="116" customFormat="1">
      <c r="A22047" s="136"/>
      <c r="CM22047" s="111"/>
      <c r="CQ22047" s="111"/>
      <c r="EF22047"/>
      <c r="EG22047"/>
      <c r="EH22047"/>
      <c r="EI22047"/>
      <c r="EJ22047"/>
      <c r="EK22047"/>
    </row>
    <row r="22048" spans="1:141" s="116" customFormat="1">
      <c r="A22048" s="136"/>
      <c r="CM22048" s="111"/>
      <c r="CQ22048" s="111"/>
      <c r="EF22048"/>
      <c r="EG22048"/>
      <c r="EH22048"/>
      <c r="EI22048"/>
      <c r="EJ22048"/>
      <c r="EK22048"/>
    </row>
    <row r="22049" spans="1:141" s="116" customFormat="1">
      <c r="A22049" s="136"/>
      <c r="CM22049" s="111"/>
      <c r="CQ22049" s="111"/>
      <c r="EF22049"/>
      <c r="EG22049"/>
      <c r="EH22049"/>
      <c r="EI22049"/>
      <c r="EJ22049"/>
      <c r="EK22049"/>
    </row>
    <row r="22050" spans="1:141" s="116" customFormat="1">
      <c r="A22050" s="136"/>
      <c r="CM22050" s="111"/>
      <c r="CQ22050" s="111"/>
      <c r="EF22050"/>
      <c r="EG22050"/>
      <c r="EH22050"/>
      <c r="EI22050"/>
      <c r="EJ22050"/>
      <c r="EK22050"/>
    </row>
    <row r="22051" spans="1:141" s="116" customFormat="1">
      <c r="A22051" s="136"/>
      <c r="CM22051" s="111"/>
      <c r="CQ22051" s="111"/>
      <c r="EF22051"/>
      <c r="EG22051"/>
      <c r="EH22051"/>
      <c r="EI22051"/>
      <c r="EJ22051"/>
      <c r="EK22051"/>
    </row>
    <row r="22052" spans="1:141" s="116" customFormat="1">
      <c r="A22052" s="136"/>
      <c r="CM22052" s="111"/>
      <c r="CQ22052" s="111"/>
      <c r="EF22052"/>
      <c r="EG22052"/>
      <c r="EH22052"/>
      <c r="EI22052"/>
      <c r="EJ22052"/>
      <c r="EK22052"/>
    </row>
    <row r="22053" spans="1:141" s="116" customFormat="1">
      <c r="A22053" s="136"/>
      <c r="CM22053" s="111"/>
      <c r="CQ22053" s="111"/>
      <c r="EF22053"/>
      <c r="EG22053"/>
      <c r="EH22053"/>
      <c r="EI22053"/>
      <c r="EJ22053"/>
      <c r="EK22053"/>
    </row>
    <row r="22054" spans="1:141" s="116" customFormat="1">
      <c r="A22054" s="136"/>
      <c r="CM22054" s="111"/>
      <c r="CQ22054" s="111"/>
      <c r="EF22054"/>
      <c r="EG22054"/>
      <c r="EH22054"/>
      <c r="EI22054"/>
      <c r="EJ22054"/>
      <c r="EK22054"/>
    </row>
    <row r="22055" spans="1:141" s="116" customFormat="1">
      <c r="A22055" s="136"/>
      <c r="CM22055" s="111"/>
      <c r="CQ22055" s="111"/>
      <c r="EF22055"/>
      <c r="EG22055"/>
      <c r="EH22055"/>
      <c r="EI22055"/>
      <c r="EJ22055"/>
      <c r="EK22055"/>
    </row>
    <row r="22056" spans="1:141" s="116" customFormat="1">
      <c r="A22056" s="136"/>
      <c r="CM22056" s="111"/>
      <c r="CQ22056" s="111"/>
      <c r="EF22056"/>
      <c r="EG22056"/>
      <c r="EH22056"/>
      <c r="EI22056"/>
      <c r="EJ22056"/>
      <c r="EK22056"/>
    </row>
    <row r="22057" spans="1:141" s="116" customFormat="1">
      <c r="A22057" s="136"/>
      <c r="CM22057" s="111"/>
      <c r="CQ22057" s="111"/>
      <c r="EF22057"/>
      <c r="EG22057"/>
      <c r="EH22057"/>
      <c r="EI22057"/>
      <c r="EJ22057"/>
      <c r="EK22057"/>
    </row>
    <row r="22058" spans="1:141" s="116" customFormat="1">
      <c r="A22058" s="136"/>
      <c r="CM22058" s="111"/>
      <c r="CQ22058" s="111"/>
      <c r="EF22058"/>
      <c r="EG22058"/>
      <c r="EH22058"/>
      <c r="EI22058"/>
      <c r="EJ22058"/>
      <c r="EK22058"/>
    </row>
    <row r="22059" spans="1:141" s="116" customFormat="1">
      <c r="A22059" s="136"/>
      <c r="CM22059" s="111"/>
      <c r="CQ22059" s="111"/>
      <c r="EF22059"/>
      <c r="EG22059"/>
      <c r="EH22059"/>
      <c r="EI22059"/>
      <c r="EJ22059"/>
      <c r="EK22059"/>
    </row>
    <row r="22060" spans="1:141" s="116" customFormat="1">
      <c r="A22060" s="136"/>
      <c r="CM22060" s="111"/>
      <c r="CQ22060" s="111"/>
      <c r="EF22060"/>
      <c r="EG22060"/>
      <c r="EH22060"/>
      <c r="EI22060"/>
      <c r="EJ22060"/>
      <c r="EK22060"/>
    </row>
    <row r="22061" spans="1:141" s="116" customFormat="1">
      <c r="A22061" s="136"/>
      <c r="CM22061" s="111"/>
      <c r="CQ22061" s="111"/>
      <c r="EF22061"/>
      <c r="EG22061"/>
      <c r="EH22061"/>
      <c r="EI22061"/>
      <c r="EJ22061"/>
      <c r="EK22061"/>
    </row>
    <row r="22062" spans="1:141" s="116" customFormat="1">
      <c r="A22062" s="136"/>
      <c r="CM22062" s="111"/>
      <c r="CQ22062" s="111"/>
      <c r="EF22062"/>
      <c r="EG22062"/>
      <c r="EH22062"/>
      <c r="EI22062"/>
      <c r="EJ22062"/>
      <c r="EK22062"/>
    </row>
    <row r="22063" spans="1:141" s="116" customFormat="1">
      <c r="A22063" s="136"/>
      <c r="CM22063" s="111"/>
      <c r="CQ22063" s="111"/>
      <c r="EF22063"/>
      <c r="EG22063"/>
      <c r="EH22063"/>
      <c r="EI22063"/>
      <c r="EJ22063"/>
      <c r="EK22063"/>
    </row>
    <row r="22064" spans="1:141" s="116" customFormat="1">
      <c r="A22064" s="136"/>
      <c r="CM22064" s="111"/>
      <c r="CQ22064" s="111"/>
      <c r="EF22064"/>
      <c r="EG22064"/>
      <c r="EH22064"/>
      <c r="EI22064"/>
      <c r="EJ22064"/>
      <c r="EK22064"/>
    </row>
    <row r="22065" spans="1:141" s="116" customFormat="1">
      <c r="A22065" s="136"/>
      <c r="CM22065" s="111"/>
      <c r="CQ22065" s="111"/>
      <c r="EF22065"/>
      <c r="EG22065"/>
      <c r="EH22065"/>
      <c r="EI22065"/>
      <c r="EJ22065"/>
      <c r="EK22065"/>
    </row>
    <row r="22066" spans="1:141" s="116" customFormat="1">
      <c r="A22066" s="136"/>
      <c r="CM22066" s="111"/>
      <c r="CQ22066" s="111"/>
      <c r="EF22066"/>
      <c r="EG22066"/>
      <c r="EH22066"/>
      <c r="EI22066"/>
      <c r="EJ22066"/>
      <c r="EK22066"/>
    </row>
    <row r="22067" spans="1:141" s="116" customFormat="1">
      <c r="A22067" s="136"/>
      <c r="CM22067" s="111"/>
      <c r="CQ22067" s="111"/>
      <c r="EF22067"/>
      <c r="EG22067"/>
      <c r="EH22067"/>
      <c r="EI22067"/>
      <c r="EJ22067"/>
      <c r="EK22067"/>
    </row>
    <row r="22068" spans="1:141" s="116" customFormat="1">
      <c r="A22068" s="136"/>
      <c r="CM22068" s="111"/>
      <c r="CQ22068" s="111"/>
      <c r="EF22068"/>
      <c r="EG22068"/>
      <c r="EH22068"/>
      <c r="EI22068"/>
      <c r="EJ22068"/>
      <c r="EK22068"/>
    </row>
    <row r="22069" spans="1:141" s="116" customFormat="1">
      <c r="A22069" s="136"/>
      <c r="CM22069" s="111"/>
      <c r="CQ22069" s="111"/>
      <c r="EF22069"/>
      <c r="EG22069"/>
      <c r="EH22069"/>
      <c r="EI22069"/>
      <c r="EJ22069"/>
      <c r="EK22069"/>
    </row>
    <row r="22070" spans="1:141" s="116" customFormat="1">
      <c r="A22070" s="136"/>
      <c r="CM22070" s="111"/>
      <c r="CQ22070" s="111"/>
      <c r="EF22070"/>
      <c r="EG22070"/>
      <c r="EH22070"/>
      <c r="EI22070"/>
      <c r="EJ22070"/>
      <c r="EK22070"/>
    </row>
    <row r="22071" spans="1:141" s="116" customFormat="1">
      <c r="A22071" s="136"/>
      <c r="CM22071" s="111"/>
      <c r="CQ22071" s="111"/>
      <c r="EF22071"/>
      <c r="EG22071"/>
      <c r="EH22071"/>
      <c r="EI22071"/>
      <c r="EJ22071"/>
      <c r="EK22071"/>
    </row>
    <row r="22072" spans="1:141" s="116" customFormat="1">
      <c r="A22072" s="136"/>
      <c r="CM22072" s="111"/>
      <c r="CQ22072" s="111"/>
      <c r="EF22072"/>
      <c r="EG22072"/>
      <c r="EH22072"/>
      <c r="EI22072"/>
      <c r="EJ22072"/>
      <c r="EK22072"/>
    </row>
    <row r="22073" spans="1:141" s="116" customFormat="1">
      <c r="A22073" s="136"/>
      <c r="CM22073" s="111"/>
      <c r="CQ22073" s="111"/>
      <c r="EF22073"/>
      <c r="EG22073"/>
      <c r="EH22073"/>
      <c r="EI22073"/>
      <c r="EJ22073"/>
      <c r="EK22073"/>
    </row>
    <row r="22074" spans="1:141" s="116" customFormat="1">
      <c r="A22074" s="136"/>
      <c r="CM22074" s="111"/>
      <c r="CQ22074" s="111"/>
      <c r="EF22074"/>
      <c r="EG22074"/>
      <c r="EH22074"/>
      <c r="EI22074"/>
      <c r="EJ22074"/>
      <c r="EK22074"/>
    </row>
    <row r="22075" spans="1:141" s="116" customFormat="1">
      <c r="A22075" s="136"/>
      <c r="CM22075" s="111"/>
      <c r="CQ22075" s="111"/>
      <c r="EF22075"/>
      <c r="EG22075"/>
      <c r="EH22075"/>
      <c r="EI22075"/>
      <c r="EJ22075"/>
      <c r="EK22075"/>
    </row>
    <row r="22076" spans="1:141" s="116" customFormat="1">
      <c r="A22076" s="136"/>
      <c r="CM22076" s="111"/>
      <c r="CQ22076" s="111"/>
      <c r="EF22076"/>
      <c r="EG22076"/>
      <c r="EH22076"/>
      <c r="EI22076"/>
      <c r="EJ22076"/>
      <c r="EK22076"/>
    </row>
    <row r="22077" spans="1:141" s="116" customFormat="1">
      <c r="A22077" s="136"/>
      <c r="CM22077" s="111"/>
      <c r="CQ22077" s="111"/>
      <c r="EF22077"/>
      <c r="EG22077"/>
      <c r="EH22077"/>
      <c r="EI22077"/>
      <c r="EJ22077"/>
      <c r="EK22077"/>
    </row>
    <row r="22078" spans="1:141" s="116" customFormat="1">
      <c r="A22078" s="136"/>
      <c r="CM22078" s="111"/>
      <c r="CQ22078" s="111"/>
      <c r="EF22078"/>
      <c r="EG22078"/>
      <c r="EH22078"/>
      <c r="EI22078"/>
      <c r="EJ22078"/>
      <c r="EK22078"/>
    </row>
    <row r="22079" spans="1:141" s="116" customFormat="1">
      <c r="A22079" s="136"/>
      <c r="CM22079" s="111"/>
      <c r="CQ22079" s="111"/>
      <c r="EF22079"/>
      <c r="EG22079"/>
      <c r="EH22079"/>
      <c r="EI22079"/>
      <c r="EJ22079"/>
      <c r="EK22079"/>
    </row>
    <row r="22080" spans="1:141" s="116" customFormat="1">
      <c r="A22080" s="136"/>
      <c r="CM22080" s="111"/>
      <c r="CQ22080" s="111"/>
      <c r="EF22080"/>
      <c r="EG22080"/>
      <c r="EH22080"/>
      <c r="EI22080"/>
      <c r="EJ22080"/>
      <c r="EK22080"/>
    </row>
    <row r="22081" spans="1:141" s="116" customFormat="1">
      <c r="A22081" s="136"/>
      <c r="CM22081" s="111"/>
      <c r="CQ22081" s="111"/>
      <c r="EF22081"/>
      <c r="EG22081"/>
      <c r="EH22081"/>
      <c r="EI22081"/>
      <c r="EJ22081"/>
      <c r="EK22081"/>
    </row>
    <row r="22082" spans="1:141" s="116" customFormat="1">
      <c r="A22082" s="136"/>
      <c r="CM22082" s="111"/>
      <c r="CQ22082" s="111"/>
      <c r="EF22082"/>
      <c r="EG22082"/>
      <c r="EH22082"/>
      <c r="EI22082"/>
      <c r="EJ22082"/>
      <c r="EK22082"/>
    </row>
    <row r="22083" spans="1:141" s="116" customFormat="1">
      <c r="A22083" s="136"/>
      <c r="CM22083" s="111"/>
      <c r="CQ22083" s="111"/>
      <c r="EF22083"/>
      <c r="EG22083"/>
      <c r="EH22083"/>
      <c r="EI22083"/>
      <c r="EJ22083"/>
      <c r="EK22083"/>
    </row>
    <row r="22084" spans="1:141" s="116" customFormat="1">
      <c r="A22084" s="136"/>
      <c r="CM22084" s="111"/>
      <c r="CQ22084" s="111"/>
      <c r="EF22084"/>
      <c r="EG22084"/>
      <c r="EH22084"/>
      <c r="EI22084"/>
      <c r="EJ22084"/>
      <c r="EK22084"/>
    </row>
    <row r="22085" spans="1:141" s="116" customFormat="1">
      <c r="A22085" s="136"/>
      <c r="CM22085" s="111"/>
      <c r="CQ22085" s="111"/>
      <c r="EF22085"/>
      <c r="EG22085"/>
      <c r="EH22085"/>
      <c r="EI22085"/>
      <c r="EJ22085"/>
      <c r="EK22085"/>
    </row>
    <row r="22086" spans="1:141" s="116" customFormat="1">
      <c r="A22086" s="136"/>
      <c r="CM22086" s="111"/>
      <c r="CQ22086" s="111"/>
      <c r="EF22086"/>
      <c r="EG22086"/>
      <c r="EH22086"/>
      <c r="EI22086"/>
      <c r="EJ22086"/>
      <c r="EK22086"/>
    </row>
    <row r="22087" spans="1:141" s="116" customFormat="1">
      <c r="A22087" s="136"/>
      <c r="CM22087" s="111"/>
      <c r="CQ22087" s="111"/>
      <c r="EF22087"/>
      <c r="EG22087"/>
      <c r="EH22087"/>
      <c r="EI22087"/>
      <c r="EJ22087"/>
      <c r="EK22087"/>
    </row>
    <row r="22088" spans="1:141" s="116" customFormat="1">
      <c r="A22088" s="136"/>
      <c r="CM22088" s="111"/>
      <c r="CQ22088" s="111"/>
      <c r="EF22088"/>
      <c r="EG22088"/>
      <c r="EH22088"/>
      <c r="EI22088"/>
      <c r="EJ22088"/>
      <c r="EK22088"/>
    </row>
    <row r="22089" spans="1:141" s="116" customFormat="1">
      <c r="A22089" s="136"/>
      <c r="CM22089" s="111"/>
      <c r="CQ22089" s="111"/>
      <c r="EF22089"/>
      <c r="EG22089"/>
      <c r="EH22089"/>
      <c r="EI22089"/>
      <c r="EJ22089"/>
      <c r="EK22089"/>
    </row>
    <row r="22090" spans="1:141" s="116" customFormat="1">
      <c r="A22090" s="136"/>
      <c r="CM22090" s="111"/>
      <c r="CQ22090" s="111"/>
      <c r="EF22090"/>
      <c r="EG22090"/>
      <c r="EH22090"/>
      <c r="EI22090"/>
      <c r="EJ22090"/>
      <c r="EK22090"/>
    </row>
    <row r="22091" spans="1:141" s="116" customFormat="1">
      <c r="A22091" s="136"/>
      <c r="CM22091" s="111"/>
      <c r="CQ22091" s="111"/>
      <c r="EF22091"/>
      <c r="EG22091"/>
      <c r="EH22091"/>
      <c r="EI22091"/>
      <c r="EJ22091"/>
      <c r="EK22091"/>
    </row>
    <row r="22092" spans="1:141" s="116" customFormat="1">
      <c r="A22092" s="136"/>
      <c r="CM22092" s="111"/>
      <c r="CQ22092" s="111"/>
      <c r="EF22092"/>
      <c r="EG22092"/>
      <c r="EH22092"/>
      <c r="EI22092"/>
      <c r="EJ22092"/>
      <c r="EK22092"/>
    </row>
    <row r="22093" spans="1:141" s="116" customFormat="1">
      <c r="A22093" s="136"/>
      <c r="CM22093" s="111"/>
      <c r="CQ22093" s="111"/>
      <c r="EF22093"/>
      <c r="EG22093"/>
      <c r="EH22093"/>
      <c r="EI22093"/>
      <c r="EJ22093"/>
      <c r="EK22093"/>
    </row>
    <row r="22094" spans="1:141" s="116" customFormat="1">
      <c r="A22094" s="136"/>
      <c r="CM22094" s="111"/>
      <c r="CQ22094" s="111"/>
      <c r="EF22094"/>
      <c r="EG22094"/>
      <c r="EH22094"/>
      <c r="EI22094"/>
      <c r="EJ22094"/>
      <c r="EK22094"/>
    </row>
    <row r="22095" spans="1:141" s="116" customFormat="1">
      <c r="A22095" s="136"/>
      <c r="CM22095" s="111"/>
      <c r="CQ22095" s="111"/>
      <c r="EF22095"/>
      <c r="EG22095"/>
      <c r="EH22095"/>
      <c r="EI22095"/>
      <c r="EJ22095"/>
      <c r="EK22095"/>
    </row>
    <row r="22096" spans="1:141" s="116" customFormat="1">
      <c r="A22096" s="136"/>
      <c r="CM22096" s="111"/>
      <c r="CQ22096" s="111"/>
      <c r="EF22096"/>
      <c r="EG22096"/>
      <c r="EH22096"/>
      <c r="EI22096"/>
      <c r="EJ22096"/>
      <c r="EK22096"/>
    </row>
    <row r="22097" spans="1:141" s="116" customFormat="1">
      <c r="A22097" s="136"/>
      <c r="CM22097" s="111"/>
      <c r="CQ22097" s="111"/>
      <c r="EF22097"/>
      <c r="EG22097"/>
      <c r="EH22097"/>
      <c r="EI22097"/>
      <c r="EJ22097"/>
      <c r="EK22097"/>
    </row>
    <row r="22098" spans="1:141" s="116" customFormat="1">
      <c r="A22098" s="136"/>
      <c r="CM22098" s="111"/>
      <c r="CQ22098" s="111"/>
      <c r="EF22098"/>
      <c r="EG22098"/>
      <c r="EH22098"/>
      <c r="EI22098"/>
      <c r="EJ22098"/>
      <c r="EK22098"/>
    </row>
    <row r="22099" spans="1:141" s="116" customFormat="1">
      <c r="A22099" s="136"/>
      <c r="CM22099" s="111"/>
      <c r="CQ22099" s="111"/>
      <c r="EF22099"/>
      <c r="EG22099"/>
      <c r="EH22099"/>
      <c r="EI22099"/>
      <c r="EJ22099"/>
      <c r="EK22099"/>
    </row>
    <row r="22100" spans="1:141" s="116" customFormat="1">
      <c r="A22100" s="136"/>
      <c r="CM22100" s="111"/>
      <c r="CQ22100" s="111"/>
      <c r="EF22100"/>
      <c r="EG22100"/>
      <c r="EH22100"/>
      <c r="EI22100"/>
      <c r="EJ22100"/>
      <c r="EK22100"/>
    </row>
    <row r="22101" spans="1:141" s="116" customFormat="1">
      <c r="A22101" s="136"/>
      <c r="CM22101" s="111"/>
      <c r="CQ22101" s="111"/>
      <c r="EF22101"/>
      <c r="EG22101"/>
      <c r="EH22101"/>
      <c r="EI22101"/>
      <c r="EJ22101"/>
      <c r="EK22101"/>
    </row>
    <row r="22102" spans="1:141" s="116" customFormat="1">
      <c r="A22102" s="136"/>
      <c r="CM22102" s="111"/>
      <c r="CQ22102" s="111"/>
      <c r="EF22102"/>
      <c r="EG22102"/>
      <c r="EH22102"/>
      <c r="EI22102"/>
      <c r="EJ22102"/>
      <c r="EK22102"/>
    </row>
    <row r="22103" spans="1:141" s="116" customFormat="1">
      <c r="A22103" s="136"/>
      <c r="CM22103" s="111"/>
      <c r="CQ22103" s="111"/>
      <c r="EF22103"/>
      <c r="EG22103"/>
      <c r="EH22103"/>
      <c r="EI22103"/>
      <c r="EJ22103"/>
      <c r="EK22103"/>
    </row>
    <row r="22104" spans="1:141" s="116" customFormat="1">
      <c r="A22104" s="136"/>
      <c r="CM22104" s="111"/>
      <c r="CQ22104" s="111"/>
      <c r="EF22104"/>
      <c r="EG22104"/>
      <c r="EH22104"/>
      <c r="EI22104"/>
      <c r="EJ22104"/>
      <c r="EK22104"/>
    </row>
    <row r="22105" spans="1:141" s="116" customFormat="1">
      <c r="A22105" s="136"/>
      <c r="CM22105" s="111"/>
      <c r="CQ22105" s="111"/>
      <c r="EF22105"/>
      <c r="EG22105"/>
      <c r="EH22105"/>
      <c r="EI22105"/>
      <c r="EJ22105"/>
      <c r="EK22105"/>
    </row>
    <row r="22106" spans="1:141" s="116" customFormat="1">
      <c r="A22106" s="136"/>
      <c r="CM22106" s="111"/>
      <c r="CQ22106" s="111"/>
      <c r="EF22106"/>
      <c r="EG22106"/>
      <c r="EH22106"/>
      <c r="EI22106"/>
      <c r="EJ22106"/>
      <c r="EK22106"/>
    </row>
    <row r="22107" spans="1:141" s="116" customFormat="1">
      <c r="A22107" s="136"/>
      <c r="CM22107" s="111"/>
      <c r="CQ22107" s="111"/>
      <c r="EF22107"/>
      <c r="EG22107"/>
      <c r="EH22107"/>
      <c r="EI22107"/>
      <c r="EJ22107"/>
      <c r="EK22107"/>
    </row>
    <row r="22108" spans="1:141" s="116" customFormat="1">
      <c r="A22108" s="136"/>
      <c r="CM22108" s="111"/>
      <c r="CQ22108" s="111"/>
      <c r="EF22108"/>
      <c r="EG22108"/>
      <c r="EH22108"/>
      <c r="EI22108"/>
      <c r="EJ22108"/>
      <c r="EK22108"/>
    </row>
    <row r="22109" spans="1:141" s="116" customFormat="1">
      <c r="A22109" s="136"/>
      <c r="CM22109" s="111"/>
      <c r="CQ22109" s="111"/>
      <c r="EF22109"/>
      <c r="EG22109"/>
      <c r="EH22109"/>
      <c r="EI22109"/>
      <c r="EJ22109"/>
      <c r="EK22109"/>
    </row>
    <row r="22110" spans="1:141" s="116" customFormat="1">
      <c r="A22110" s="136"/>
      <c r="CM22110" s="111"/>
      <c r="CQ22110" s="111"/>
      <c r="EF22110"/>
      <c r="EG22110"/>
      <c r="EH22110"/>
      <c r="EI22110"/>
      <c r="EJ22110"/>
      <c r="EK22110"/>
    </row>
    <row r="22111" spans="1:141" s="116" customFormat="1">
      <c r="A22111" s="136"/>
      <c r="CM22111" s="111"/>
      <c r="CQ22111" s="111"/>
      <c r="EF22111"/>
      <c r="EG22111"/>
      <c r="EH22111"/>
      <c r="EI22111"/>
      <c r="EJ22111"/>
      <c r="EK22111"/>
    </row>
    <row r="22112" spans="1:141" s="116" customFormat="1">
      <c r="A22112" s="136"/>
      <c r="CM22112" s="111"/>
      <c r="CQ22112" s="111"/>
      <c r="EF22112"/>
      <c r="EG22112"/>
      <c r="EH22112"/>
      <c r="EI22112"/>
      <c r="EJ22112"/>
      <c r="EK22112"/>
    </row>
    <row r="22113" spans="1:141" s="116" customFormat="1">
      <c r="A22113" s="136"/>
      <c r="CM22113" s="111"/>
      <c r="CQ22113" s="111"/>
      <c r="EF22113"/>
      <c r="EG22113"/>
      <c r="EH22113"/>
      <c r="EI22113"/>
      <c r="EJ22113"/>
      <c r="EK22113"/>
    </row>
    <row r="22114" spans="1:141" s="116" customFormat="1">
      <c r="A22114" s="136"/>
      <c r="CM22114" s="111"/>
      <c r="CQ22114" s="111"/>
      <c r="EF22114"/>
      <c r="EG22114"/>
      <c r="EH22114"/>
      <c r="EI22114"/>
      <c r="EJ22114"/>
      <c r="EK22114"/>
    </row>
    <row r="22115" spans="1:141" s="116" customFormat="1">
      <c r="A22115" s="136"/>
      <c r="CM22115" s="111"/>
      <c r="CQ22115" s="111"/>
      <c r="EF22115"/>
      <c r="EG22115"/>
      <c r="EH22115"/>
      <c r="EI22115"/>
      <c r="EJ22115"/>
      <c r="EK22115"/>
    </row>
    <row r="22116" spans="1:141" s="116" customFormat="1">
      <c r="A22116" s="136"/>
      <c r="CM22116" s="111"/>
      <c r="CQ22116" s="111"/>
      <c r="EF22116"/>
      <c r="EG22116"/>
      <c r="EH22116"/>
      <c r="EI22116"/>
      <c r="EJ22116"/>
      <c r="EK22116"/>
    </row>
    <row r="22117" spans="1:141" s="116" customFormat="1">
      <c r="A22117" s="136"/>
      <c r="CM22117" s="111"/>
      <c r="CQ22117" s="111"/>
      <c r="EF22117"/>
      <c r="EG22117"/>
      <c r="EH22117"/>
      <c r="EI22117"/>
      <c r="EJ22117"/>
      <c r="EK22117"/>
    </row>
    <row r="22118" spans="1:141" s="116" customFormat="1">
      <c r="A22118" s="136"/>
      <c r="CM22118" s="111"/>
      <c r="CQ22118" s="111"/>
      <c r="EF22118"/>
      <c r="EG22118"/>
      <c r="EH22118"/>
      <c r="EI22118"/>
      <c r="EJ22118"/>
      <c r="EK22118"/>
    </row>
    <row r="22119" spans="1:141" s="116" customFormat="1">
      <c r="A22119" s="136"/>
      <c r="CM22119" s="111"/>
      <c r="CQ22119" s="111"/>
      <c r="EF22119"/>
      <c r="EG22119"/>
      <c r="EH22119"/>
      <c r="EI22119"/>
      <c r="EJ22119"/>
      <c r="EK22119"/>
    </row>
    <row r="22120" spans="1:141" s="116" customFormat="1">
      <c r="A22120" s="136"/>
      <c r="CM22120" s="111"/>
      <c r="CQ22120" s="111"/>
      <c r="EF22120"/>
      <c r="EG22120"/>
      <c r="EH22120"/>
      <c r="EI22120"/>
      <c r="EJ22120"/>
      <c r="EK22120"/>
    </row>
    <row r="22121" spans="1:141" s="116" customFormat="1">
      <c r="A22121" s="136"/>
      <c r="CM22121" s="111"/>
      <c r="CQ22121" s="111"/>
      <c r="EF22121"/>
      <c r="EG22121"/>
      <c r="EH22121"/>
      <c r="EI22121"/>
      <c r="EJ22121"/>
      <c r="EK22121"/>
    </row>
    <row r="22122" spans="1:141" s="116" customFormat="1">
      <c r="A22122" s="136"/>
      <c r="CM22122" s="111"/>
      <c r="CQ22122" s="111"/>
      <c r="EF22122"/>
      <c r="EG22122"/>
      <c r="EH22122"/>
      <c r="EI22122"/>
      <c r="EJ22122"/>
      <c r="EK22122"/>
    </row>
    <row r="22123" spans="1:141" s="116" customFormat="1">
      <c r="A22123" s="136"/>
      <c r="CM22123" s="111"/>
      <c r="CQ22123" s="111"/>
      <c r="EF22123"/>
      <c r="EG22123"/>
      <c r="EH22123"/>
      <c r="EI22123"/>
      <c r="EJ22123"/>
      <c r="EK22123"/>
    </row>
    <row r="22124" spans="1:141" s="116" customFormat="1">
      <c r="A22124" s="136"/>
      <c r="CM22124" s="111"/>
      <c r="CQ22124" s="111"/>
      <c r="EF22124"/>
      <c r="EG22124"/>
      <c r="EH22124"/>
      <c r="EI22124"/>
      <c r="EJ22124"/>
      <c r="EK22124"/>
    </row>
    <row r="22125" spans="1:141" s="116" customFormat="1">
      <c r="A22125" s="136"/>
      <c r="CM22125" s="111"/>
      <c r="CQ22125" s="111"/>
      <c r="EF22125"/>
      <c r="EG22125"/>
      <c r="EH22125"/>
      <c r="EI22125"/>
      <c r="EJ22125"/>
      <c r="EK22125"/>
    </row>
    <row r="22126" spans="1:141" s="116" customFormat="1">
      <c r="A22126" s="136"/>
      <c r="CM22126" s="111"/>
      <c r="CQ22126" s="111"/>
      <c r="EF22126"/>
      <c r="EG22126"/>
      <c r="EH22126"/>
      <c r="EI22126"/>
      <c r="EJ22126"/>
      <c r="EK22126"/>
    </row>
    <row r="22127" spans="1:141" s="116" customFormat="1">
      <c r="A22127" s="136"/>
      <c r="CM22127" s="111"/>
      <c r="CQ22127" s="111"/>
      <c r="EF22127"/>
      <c r="EG22127"/>
      <c r="EH22127"/>
      <c r="EI22127"/>
      <c r="EJ22127"/>
      <c r="EK22127"/>
    </row>
    <row r="22128" spans="1:141" s="116" customFormat="1">
      <c r="A22128" s="136"/>
      <c r="CM22128" s="111"/>
      <c r="CQ22128" s="111"/>
      <c r="EF22128"/>
      <c r="EG22128"/>
      <c r="EH22128"/>
      <c r="EI22128"/>
      <c r="EJ22128"/>
      <c r="EK22128"/>
    </row>
    <row r="22129" spans="1:141" s="116" customFormat="1">
      <c r="A22129" s="136"/>
      <c r="CM22129" s="111"/>
      <c r="CQ22129" s="111"/>
      <c r="EF22129"/>
      <c r="EG22129"/>
      <c r="EH22129"/>
      <c r="EI22129"/>
      <c r="EJ22129"/>
      <c r="EK22129"/>
    </row>
    <row r="22130" spans="1:141" s="116" customFormat="1">
      <c r="A22130" s="136"/>
      <c r="CM22130" s="111"/>
      <c r="CQ22130" s="111"/>
      <c r="EF22130"/>
      <c r="EG22130"/>
      <c r="EH22130"/>
      <c r="EI22130"/>
      <c r="EJ22130"/>
      <c r="EK22130"/>
    </row>
    <row r="22131" spans="1:141" s="116" customFormat="1">
      <c r="A22131" s="136"/>
      <c r="CM22131" s="111"/>
      <c r="CQ22131" s="111"/>
      <c r="EF22131"/>
      <c r="EG22131"/>
      <c r="EH22131"/>
      <c r="EI22131"/>
      <c r="EJ22131"/>
      <c r="EK22131"/>
    </row>
    <row r="22132" spans="1:141" s="116" customFormat="1">
      <c r="A22132" s="136"/>
      <c r="CM22132" s="111"/>
      <c r="CQ22132" s="111"/>
      <c r="EF22132"/>
      <c r="EG22132"/>
      <c r="EH22132"/>
      <c r="EI22132"/>
      <c r="EJ22132"/>
      <c r="EK22132"/>
    </row>
    <row r="22133" spans="1:141" s="116" customFormat="1">
      <c r="A22133" s="136"/>
      <c r="CM22133" s="111"/>
      <c r="CQ22133" s="111"/>
      <c r="EF22133"/>
      <c r="EG22133"/>
      <c r="EH22133"/>
      <c r="EI22133"/>
      <c r="EJ22133"/>
      <c r="EK22133"/>
    </row>
    <row r="22134" spans="1:141" s="116" customFormat="1">
      <c r="A22134" s="136"/>
      <c r="CM22134" s="111"/>
      <c r="CQ22134" s="111"/>
      <c r="EF22134"/>
      <c r="EG22134"/>
      <c r="EH22134"/>
      <c r="EI22134"/>
      <c r="EJ22134"/>
      <c r="EK22134"/>
    </row>
    <row r="22135" spans="1:141" s="116" customFormat="1">
      <c r="A22135" s="136"/>
      <c r="CM22135" s="111"/>
      <c r="CQ22135" s="111"/>
      <c r="EF22135"/>
      <c r="EG22135"/>
      <c r="EH22135"/>
      <c r="EI22135"/>
      <c r="EJ22135"/>
      <c r="EK22135"/>
    </row>
    <row r="22136" spans="1:141" s="116" customFormat="1">
      <c r="A22136" s="136"/>
      <c r="CM22136" s="111"/>
      <c r="CQ22136" s="111"/>
      <c r="EF22136"/>
      <c r="EG22136"/>
      <c r="EH22136"/>
      <c r="EI22136"/>
      <c r="EJ22136"/>
      <c r="EK22136"/>
    </row>
    <row r="22137" spans="1:141" s="116" customFormat="1">
      <c r="A22137" s="136"/>
      <c r="CM22137" s="111"/>
      <c r="CQ22137" s="111"/>
      <c r="EF22137"/>
      <c r="EG22137"/>
      <c r="EH22137"/>
      <c r="EI22137"/>
      <c r="EJ22137"/>
      <c r="EK22137"/>
    </row>
    <row r="22138" spans="1:141" s="116" customFormat="1">
      <c r="A22138" s="136"/>
      <c r="CM22138" s="111"/>
      <c r="CQ22138" s="111"/>
      <c r="EF22138"/>
      <c r="EG22138"/>
      <c r="EH22138"/>
      <c r="EI22138"/>
      <c r="EJ22138"/>
      <c r="EK22138"/>
    </row>
    <row r="22139" spans="1:141" s="116" customFormat="1">
      <c r="A22139" s="136"/>
      <c r="CM22139" s="111"/>
      <c r="CQ22139" s="111"/>
      <c r="EF22139"/>
      <c r="EG22139"/>
      <c r="EH22139"/>
      <c r="EI22139"/>
      <c r="EJ22139"/>
      <c r="EK22139"/>
    </row>
    <row r="22140" spans="1:141" s="116" customFormat="1">
      <c r="A22140" s="136"/>
      <c r="CM22140" s="111"/>
      <c r="CQ22140" s="111"/>
      <c r="EF22140"/>
      <c r="EG22140"/>
      <c r="EH22140"/>
      <c r="EI22140"/>
      <c r="EJ22140"/>
      <c r="EK22140"/>
    </row>
    <row r="22141" spans="1:141" s="116" customFormat="1">
      <c r="A22141" s="136"/>
      <c r="CM22141" s="111"/>
      <c r="CQ22141" s="111"/>
      <c r="EF22141"/>
      <c r="EG22141"/>
      <c r="EH22141"/>
      <c r="EI22141"/>
      <c r="EJ22141"/>
      <c r="EK22141"/>
    </row>
    <row r="22142" spans="1:141" s="116" customFormat="1">
      <c r="A22142" s="136"/>
      <c r="CM22142" s="111"/>
      <c r="CQ22142" s="111"/>
      <c r="EF22142"/>
      <c r="EG22142"/>
      <c r="EH22142"/>
      <c r="EI22142"/>
      <c r="EJ22142"/>
      <c r="EK22142"/>
    </row>
    <row r="22143" spans="1:141" s="116" customFormat="1">
      <c r="A22143" s="136"/>
      <c r="CM22143" s="111"/>
      <c r="CQ22143" s="111"/>
      <c r="EF22143"/>
      <c r="EG22143"/>
      <c r="EH22143"/>
      <c r="EI22143"/>
      <c r="EJ22143"/>
      <c r="EK22143"/>
    </row>
    <row r="22144" spans="1:141" s="116" customFormat="1">
      <c r="A22144" s="136"/>
      <c r="CM22144" s="111"/>
      <c r="CQ22144" s="111"/>
      <c r="EF22144"/>
      <c r="EG22144"/>
      <c r="EH22144"/>
      <c r="EI22144"/>
      <c r="EJ22144"/>
      <c r="EK22144"/>
    </row>
    <row r="22145" spans="1:141" s="116" customFormat="1">
      <c r="A22145" s="136"/>
      <c r="CM22145" s="111"/>
      <c r="CQ22145" s="111"/>
      <c r="EF22145"/>
      <c r="EG22145"/>
      <c r="EH22145"/>
      <c r="EI22145"/>
      <c r="EJ22145"/>
      <c r="EK22145"/>
    </row>
    <row r="22146" spans="1:141" s="116" customFormat="1">
      <c r="A22146" s="136"/>
      <c r="CM22146" s="111"/>
      <c r="CQ22146" s="111"/>
      <c r="EF22146"/>
      <c r="EG22146"/>
      <c r="EH22146"/>
      <c r="EI22146"/>
      <c r="EJ22146"/>
      <c r="EK22146"/>
    </row>
    <row r="22147" spans="1:141" s="116" customFormat="1">
      <c r="A22147" s="136"/>
      <c r="CM22147" s="111"/>
      <c r="CQ22147" s="111"/>
      <c r="EF22147"/>
      <c r="EG22147"/>
      <c r="EH22147"/>
      <c r="EI22147"/>
      <c r="EJ22147"/>
      <c r="EK22147"/>
    </row>
    <row r="22148" spans="1:141" s="116" customFormat="1">
      <c r="A22148" s="136"/>
      <c r="CM22148" s="111"/>
      <c r="CQ22148" s="111"/>
      <c r="EF22148"/>
      <c r="EG22148"/>
      <c r="EH22148"/>
      <c r="EI22148"/>
      <c r="EJ22148"/>
      <c r="EK22148"/>
    </row>
    <row r="22149" spans="1:141" s="116" customFormat="1">
      <c r="A22149" s="136"/>
      <c r="CM22149" s="111"/>
      <c r="CQ22149" s="111"/>
      <c r="EF22149"/>
      <c r="EG22149"/>
      <c r="EH22149"/>
      <c r="EI22149"/>
      <c r="EJ22149"/>
      <c r="EK22149"/>
    </row>
    <row r="22150" spans="1:141" s="116" customFormat="1">
      <c r="A22150" s="136"/>
      <c r="CM22150" s="111"/>
      <c r="CQ22150" s="111"/>
      <c r="EF22150"/>
      <c r="EG22150"/>
      <c r="EH22150"/>
      <c r="EI22150"/>
      <c r="EJ22150"/>
      <c r="EK22150"/>
    </row>
    <row r="22151" spans="1:141" s="116" customFormat="1">
      <c r="A22151" s="136"/>
      <c r="CM22151" s="111"/>
      <c r="CQ22151" s="111"/>
      <c r="EF22151"/>
      <c r="EG22151"/>
      <c r="EH22151"/>
      <c r="EI22151"/>
      <c r="EJ22151"/>
      <c r="EK22151"/>
    </row>
    <row r="22152" spans="1:141" s="116" customFormat="1">
      <c r="A22152" s="136"/>
      <c r="CM22152" s="111"/>
      <c r="CQ22152" s="111"/>
      <c r="EF22152"/>
      <c r="EG22152"/>
      <c r="EH22152"/>
      <c r="EI22152"/>
      <c r="EJ22152"/>
      <c r="EK22152"/>
    </row>
    <row r="22153" spans="1:141" s="116" customFormat="1">
      <c r="A22153" s="136"/>
      <c r="CM22153" s="111"/>
      <c r="CQ22153" s="111"/>
      <c r="EF22153"/>
      <c r="EG22153"/>
      <c r="EH22153"/>
      <c r="EI22153"/>
      <c r="EJ22153"/>
      <c r="EK22153"/>
    </row>
    <row r="22154" spans="1:141" s="116" customFormat="1">
      <c r="A22154" s="136"/>
      <c r="CM22154" s="111"/>
      <c r="CQ22154" s="111"/>
      <c r="EF22154"/>
      <c r="EG22154"/>
      <c r="EH22154"/>
      <c r="EI22154"/>
      <c r="EJ22154"/>
      <c r="EK22154"/>
    </row>
    <row r="22155" spans="1:141" s="116" customFormat="1">
      <c r="A22155" s="136"/>
      <c r="CM22155" s="111"/>
      <c r="CQ22155" s="111"/>
      <c r="EF22155"/>
      <c r="EG22155"/>
      <c r="EH22155"/>
      <c r="EI22155"/>
      <c r="EJ22155"/>
      <c r="EK22155"/>
    </row>
    <row r="22156" spans="1:141" s="116" customFormat="1">
      <c r="A22156" s="136"/>
      <c r="CM22156" s="111"/>
      <c r="CQ22156" s="111"/>
      <c r="EF22156"/>
      <c r="EG22156"/>
      <c r="EH22156"/>
      <c r="EI22156"/>
      <c r="EJ22156"/>
      <c r="EK22156"/>
    </row>
    <row r="22157" spans="1:141" s="116" customFormat="1">
      <c r="A22157" s="136"/>
      <c r="CM22157" s="111"/>
      <c r="CQ22157" s="111"/>
      <c r="EF22157"/>
      <c r="EG22157"/>
      <c r="EH22157"/>
      <c r="EI22157"/>
      <c r="EJ22157"/>
      <c r="EK22157"/>
    </row>
    <row r="22158" spans="1:141" s="116" customFormat="1">
      <c r="A22158" s="136"/>
      <c r="CM22158" s="111"/>
      <c r="CQ22158" s="111"/>
      <c r="EF22158"/>
      <c r="EG22158"/>
      <c r="EH22158"/>
      <c r="EI22158"/>
      <c r="EJ22158"/>
      <c r="EK22158"/>
    </row>
    <row r="22159" spans="1:141" s="116" customFormat="1">
      <c r="A22159" s="136"/>
      <c r="CM22159" s="111"/>
      <c r="CQ22159" s="111"/>
      <c r="EF22159"/>
      <c r="EG22159"/>
      <c r="EH22159"/>
      <c r="EI22159"/>
      <c r="EJ22159"/>
      <c r="EK22159"/>
    </row>
    <row r="22160" spans="1:141" s="116" customFormat="1">
      <c r="A22160" s="136"/>
      <c r="CM22160" s="111"/>
      <c r="CQ22160" s="111"/>
      <c r="EF22160"/>
      <c r="EG22160"/>
      <c r="EH22160"/>
      <c r="EI22160"/>
      <c r="EJ22160"/>
      <c r="EK22160"/>
    </row>
    <row r="22161" spans="1:141" s="116" customFormat="1">
      <c r="A22161" s="136"/>
      <c r="CM22161" s="111"/>
      <c r="CQ22161" s="111"/>
      <c r="EF22161"/>
      <c r="EG22161"/>
      <c r="EH22161"/>
      <c r="EI22161"/>
      <c r="EJ22161"/>
      <c r="EK22161"/>
    </row>
    <row r="22162" spans="1:141" s="116" customFormat="1">
      <c r="A22162" s="136"/>
      <c r="CM22162" s="111"/>
      <c r="CQ22162" s="111"/>
      <c r="EF22162"/>
      <c r="EG22162"/>
      <c r="EH22162"/>
      <c r="EI22162"/>
      <c r="EJ22162"/>
      <c r="EK22162"/>
    </row>
    <row r="22163" spans="1:141" s="116" customFormat="1">
      <c r="A22163" s="136"/>
      <c r="CM22163" s="111"/>
      <c r="CQ22163" s="111"/>
      <c r="EF22163"/>
      <c r="EG22163"/>
      <c r="EH22163"/>
      <c r="EI22163"/>
      <c r="EJ22163"/>
      <c r="EK22163"/>
    </row>
    <row r="22164" spans="1:141" s="116" customFormat="1">
      <c r="A22164" s="136"/>
      <c r="CM22164" s="111"/>
      <c r="CQ22164" s="111"/>
      <c r="EF22164"/>
      <c r="EG22164"/>
      <c r="EH22164"/>
      <c r="EI22164"/>
      <c r="EJ22164"/>
      <c r="EK22164"/>
    </row>
    <row r="22165" spans="1:141" s="116" customFormat="1">
      <c r="A22165" s="136"/>
      <c r="CM22165" s="111"/>
      <c r="CQ22165" s="111"/>
      <c r="EF22165"/>
      <c r="EG22165"/>
      <c r="EH22165"/>
      <c r="EI22165"/>
      <c r="EJ22165"/>
      <c r="EK22165"/>
    </row>
    <row r="22166" spans="1:141" s="116" customFormat="1">
      <c r="A22166" s="136"/>
      <c r="CM22166" s="111"/>
      <c r="CQ22166" s="111"/>
      <c r="EF22166"/>
      <c r="EG22166"/>
      <c r="EH22166"/>
      <c r="EI22166"/>
      <c r="EJ22166"/>
      <c r="EK22166"/>
    </row>
    <row r="22167" spans="1:141" s="116" customFormat="1">
      <c r="A22167" s="136"/>
      <c r="CM22167" s="111"/>
      <c r="CQ22167" s="111"/>
      <c r="EF22167"/>
      <c r="EG22167"/>
      <c r="EH22167"/>
      <c r="EI22167"/>
      <c r="EJ22167"/>
      <c r="EK22167"/>
    </row>
    <row r="22168" spans="1:141" s="116" customFormat="1">
      <c r="A22168" s="136"/>
      <c r="CM22168" s="111"/>
      <c r="CQ22168" s="111"/>
      <c r="EF22168"/>
      <c r="EG22168"/>
      <c r="EH22168"/>
      <c r="EI22168"/>
      <c r="EJ22168"/>
      <c r="EK22168"/>
    </row>
    <row r="22169" spans="1:141" s="116" customFormat="1">
      <c r="A22169" s="136"/>
      <c r="CM22169" s="111"/>
      <c r="CQ22169" s="111"/>
      <c r="EF22169"/>
      <c r="EG22169"/>
      <c r="EH22169"/>
      <c r="EI22169"/>
      <c r="EJ22169"/>
      <c r="EK22169"/>
    </row>
    <row r="22170" spans="1:141" s="116" customFormat="1">
      <c r="A22170" s="136"/>
      <c r="CM22170" s="111"/>
      <c r="CQ22170" s="111"/>
      <c r="EF22170"/>
      <c r="EG22170"/>
      <c r="EH22170"/>
      <c r="EI22170"/>
      <c r="EJ22170"/>
      <c r="EK22170"/>
    </row>
    <row r="22171" spans="1:141" s="116" customFormat="1">
      <c r="A22171" s="136"/>
      <c r="CM22171" s="111"/>
      <c r="CQ22171" s="111"/>
      <c r="EF22171"/>
      <c r="EG22171"/>
      <c r="EH22171"/>
      <c r="EI22171"/>
      <c r="EJ22171"/>
      <c r="EK22171"/>
    </row>
    <row r="22172" spans="1:141" s="116" customFormat="1">
      <c r="A22172" s="136"/>
      <c r="CM22172" s="111"/>
      <c r="CQ22172" s="111"/>
      <c r="EF22172"/>
      <c r="EG22172"/>
      <c r="EH22172"/>
      <c r="EI22172"/>
      <c r="EJ22172"/>
      <c r="EK22172"/>
    </row>
    <row r="22173" spans="1:141" s="116" customFormat="1">
      <c r="A22173" s="136"/>
      <c r="CM22173" s="111"/>
      <c r="CQ22173" s="111"/>
      <c r="EF22173"/>
      <c r="EG22173"/>
      <c r="EH22173"/>
      <c r="EI22173"/>
      <c r="EJ22173"/>
      <c r="EK22173"/>
    </row>
    <row r="22174" spans="1:141" s="116" customFormat="1">
      <c r="A22174" s="136"/>
      <c r="CM22174" s="111"/>
      <c r="CQ22174" s="111"/>
      <c r="EF22174"/>
      <c r="EG22174"/>
      <c r="EH22174"/>
      <c r="EI22174"/>
      <c r="EJ22174"/>
      <c r="EK22174"/>
    </row>
    <row r="22175" spans="1:141" s="116" customFormat="1">
      <c r="A22175" s="136"/>
      <c r="CM22175" s="111"/>
      <c r="CQ22175" s="111"/>
      <c r="EF22175"/>
      <c r="EG22175"/>
      <c r="EH22175"/>
      <c r="EI22175"/>
      <c r="EJ22175"/>
      <c r="EK22175"/>
    </row>
    <row r="22176" spans="1:141" s="116" customFormat="1">
      <c r="A22176" s="136"/>
      <c r="CM22176" s="111"/>
      <c r="CQ22176" s="111"/>
      <c r="EF22176"/>
      <c r="EG22176"/>
      <c r="EH22176"/>
      <c r="EI22176"/>
      <c r="EJ22176"/>
      <c r="EK22176"/>
    </row>
    <row r="22177" spans="1:141" s="116" customFormat="1">
      <c r="A22177" s="136"/>
      <c r="CM22177" s="111"/>
      <c r="CQ22177" s="111"/>
      <c r="EF22177"/>
      <c r="EG22177"/>
      <c r="EH22177"/>
      <c r="EI22177"/>
      <c r="EJ22177"/>
      <c r="EK22177"/>
    </row>
    <row r="22178" spans="1:141" s="116" customFormat="1">
      <c r="A22178" s="136"/>
      <c r="CM22178" s="111"/>
      <c r="CQ22178" s="111"/>
      <c r="EF22178"/>
      <c r="EG22178"/>
      <c r="EH22178"/>
      <c r="EI22178"/>
      <c r="EJ22178"/>
      <c r="EK22178"/>
    </row>
    <row r="22179" spans="1:141" s="116" customFormat="1">
      <c r="A22179" s="136"/>
      <c r="CM22179" s="111"/>
      <c r="CQ22179" s="111"/>
      <c r="EF22179"/>
      <c r="EG22179"/>
      <c r="EH22179"/>
      <c r="EI22179"/>
      <c r="EJ22179"/>
      <c r="EK22179"/>
    </row>
    <row r="22180" spans="1:141" s="116" customFormat="1">
      <c r="A22180" s="136"/>
      <c r="CM22180" s="111"/>
      <c r="CQ22180" s="111"/>
      <c r="EF22180"/>
      <c r="EG22180"/>
      <c r="EH22180"/>
      <c r="EI22180"/>
      <c r="EJ22180"/>
      <c r="EK22180"/>
    </row>
    <row r="22181" spans="1:141" s="116" customFormat="1">
      <c r="A22181" s="136"/>
      <c r="CM22181" s="111"/>
      <c r="CQ22181" s="111"/>
      <c r="EF22181"/>
      <c r="EG22181"/>
      <c r="EH22181"/>
      <c r="EI22181"/>
      <c r="EJ22181"/>
      <c r="EK22181"/>
    </row>
    <row r="22182" spans="1:141" s="116" customFormat="1">
      <c r="A22182" s="136"/>
      <c r="CM22182" s="111"/>
      <c r="CQ22182" s="111"/>
      <c r="EF22182"/>
      <c r="EG22182"/>
      <c r="EH22182"/>
      <c r="EI22182"/>
      <c r="EJ22182"/>
      <c r="EK22182"/>
    </row>
    <row r="22183" spans="1:141" s="116" customFormat="1">
      <c r="A22183" s="136"/>
      <c r="CM22183" s="111"/>
      <c r="CQ22183" s="111"/>
      <c r="EF22183"/>
      <c r="EG22183"/>
      <c r="EH22183"/>
      <c r="EI22183"/>
      <c r="EJ22183"/>
      <c r="EK22183"/>
    </row>
    <row r="22184" spans="1:141" s="116" customFormat="1">
      <c r="A22184" s="136"/>
      <c r="CM22184" s="111"/>
      <c r="CQ22184" s="111"/>
      <c r="EF22184"/>
      <c r="EG22184"/>
      <c r="EH22184"/>
      <c r="EI22184"/>
      <c r="EJ22184"/>
      <c r="EK22184"/>
    </row>
    <row r="22185" spans="1:141" s="116" customFormat="1">
      <c r="A22185" s="136"/>
      <c r="CM22185" s="111"/>
      <c r="CQ22185" s="111"/>
      <c r="EF22185"/>
      <c r="EG22185"/>
      <c r="EH22185"/>
      <c r="EI22185"/>
      <c r="EJ22185"/>
      <c r="EK22185"/>
    </row>
    <row r="22186" spans="1:141" s="116" customFormat="1">
      <c r="A22186" s="136"/>
      <c r="CM22186" s="111"/>
      <c r="CQ22186" s="111"/>
      <c r="EF22186"/>
      <c r="EG22186"/>
      <c r="EH22186"/>
      <c r="EI22186"/>
      <c r="EJ22186"/>
      <c r="EK22186"/>
    </row>
    <row r="22187" spans="1:141" s="116" customFormat="1">
      <c r="A22187" s="136"/>
      <c r="CM22187" s="111"/>
      <c r="CQ22187" s="111"/>
      <c r="EF22187"/>
      <c r="EG22187"/>
      <c r="EH22187"/>
      <c r="EI22187"/>
      <c r="EJ22187"/>
      <c r="EK22187"/>
    </row>
    <row r="22188" spans="1:141" s="116" customFormat="1">
      <c r="A22188" s="136"/>
      <c r="CM22188" s="111"/>
      <c r="CQ22188" s="111"/>
      <c r="EF22188"/>
      <c r="EG22188"/>
      <c r="EH22188"/>
      <c r="EI22188"/>
      <c r="EJ22188"/>
      <c r="EK22188"/>
    </row>
    <row r="22189" spans="1:141" s="116" customFormat="1">
      <c r="A22189" s="136"/>
      <c r="CM22189" s="111"/>
      <c r="CQ22189" s="111"/>
      <c r="EF22189"/>
      <c r="EG22189"/>
      <c r="EH22189"/>
      <c r="EI22189"/>
      <c r="EJ22189"/>
      <c r="EK22189"/>
    </row>
    <row r="22190" spans="1:141" s="116" customFormat="1">
      <c r="A22190" s="136"/>
      <c r="CM22190" s="111"/>
      <c r="CQ22190" s="111"/>
      <c r="EF22190"/>
      <c r="EG22190"/>
      <c r="EH22190"/>
      <c r="EI22190"/>
      <c r="EJ22190"/>
      <c r="EK22190"/>
    </row>
    <row r="22191" spans="1:141" s="116" customFormat="1">
      <c r="A22191" s="136"/>
      <c r="CM22191" s="111"/>
      <c r="CQ22191" s="111"/>
      <c r="EF22191"/>
      <c r="EG22191"/>
      <c r="EH22191"/>
      <c r="EI22191"/>
      <c r="EJ22191"/>
      <c r="EK22191"/>
    </row>
    <row r="22192" spans="1:141" s="116" customFormat="1">
      <c r="A22192" s="136"/>
      <c r="CM22192" s="111"/>
      <c r="CQ22192" s="111"/>
      <c r="EF22192"/>
      <c r="EG22192"/>
      <c r="EH22192"/>
      <c r="EI22192"/>
      <c r="EJ22192"/>
      <c r="EK22192"/>
    </row>
    <row r="22193" spans="1:141" s="116" customFormat="1">
      <c r="A22193" s="136"/>
      <c r="CM22193" s="111"/>
      <c r="CQ22193" s="111"/>
      <c r="EF22193"/>
      <c r="EG22193"/>
      <c r="EH22193"/>
      <c r="EI22193"/>
      <c r="EJ22193"/>
      <c r="EK22193"/>
    </row>
    <row r="22194" spans="1:141" s="116" customFormat="1">
      <c r="A22194" s="136"/>
      <c r="CM22194" s="111"/>
      <c r="CQ22194" s="111"/>
      <c r="EF22194"/>
      <c r="EG22194"/>
      <c r="EH22194"/>
      <c r="EI22194"/>
      <c r="EJ22194"/>
      <c r="EK22194"/>
    </row>
    <row r="22195" spans="1:141" s="116" customFormat="1">
      <c r="A22195" s="136"/>
      <c r="CM22195" s="111"/>
      <c r="CQ22195" s="111"/>
      <c r="EF22195"/>
      <c r="EG22195"/>
      <c r="EH22195"/>
      <c r="EI22195"/>
      <c r="EJ22195"/>
      <c r="EK22195"/>
    </row>
    <row r="22196" spans="1:141" s="116" customFormat="1">
      <c r="A22196" s="136"/>
      <c r="CM22196" s="111"/>
      <c r="CQ22196" s="111"/>
      <c r="EF22196"/>
      <c r="EG22196"/>
      <c r="EH22196"/>
      <c r="EI22196"/>
      <c r="EJ22196"/>
      <c r="EK22196"/>
    </row>
    <row r="22197" spans="1:141" s="116" customFormat="1">
      <c r="A22197" s="136"/>
      <c r="CM22197" s="111"/>
      <c r="CQ22197" s="111"/>
      <c r="EF22197"/>
      <c r="EG22197"/>
      <c r="EH22197"/>
      <c r="EI22197"/>
      <c r="EJ22197"/>
      <c r="EK22197"/>
    </row>
    <row r="22198" spans="1:141" s="116" customFormat="1">
      <c r="A22198" s="136"/>
      <c r="CM22198" s="111"/>
      <c r="CQ22198" s="111"/>
      <c r="EF22198"/>
      <c r="EG22198"/>
      <c r="EH22198"/>
      <c r="EI22198"/>
      <c r="EJ22198"/>
      <c r="EK22198"/>
    </row>
    <row r="22199" spans="1:141" s="116" customFormat="1">
      <c r="A22199" s="136"/>
      <c r="CM22199" s="111"/>
      <c r="CQ22199" s="111"/>
      <c r="EF22199"/>
      <c r="EG22199"/>
      <c r="EH22199"/>
      <c r="EI22199"/>
      <c r="EJ22199"/>
      <c r="EK22199"/>
    </row>
    <row r="22200" spans="1:141" s="116" customFormat="1">
      <c r="A22200" s="136"/>
      <c r="CM22200" s="111"/>
      <c r="CQ22200" s="111"/>
      <c r="EF22200"/>
      <c r="EG22200"/>
      <c r="EH22200"/>
      <c r="EI22200"/>
      <c r="EJ22200"/>
      <c r="EK22200"/>
    </row>
    <row r="22201" spans="1:141" s="116" customFormat="1">
      <c r="A22201" s="136"/>
      <c r="CM22201" s="111"/>
      <c r="CQ22201" s="111"/>
      <c r="EF22201"/>
      <c r="EG22201"/>
      <c r="EH22201"/>
      <c r="EI22201"/>
      <c r="EJ22201"/>
      <c r="EK22201"/>
    </row>
    <row r="22202" spans="1:141" s="116" customFormat="1">
      <c r="A22202" s="136"/>
      <c r="CM22202" s="111"/>
      <c r="CQ22202" s="111"/>
      <c r="EF22202"/>
      <c r="EG22202"/>
      <c r="EH22202"/>
      <c r="EI22202"/>
      <c r="EJ22202"/>
      <c r="EK22202"/>
    </row>
    <row r="22203" spans="1:141" s="116" customFormat="1">
      <c r="A22203" s="136"/>
      <c r="CM22203" s="111"/>
      <c r="CQ22203" s="111"/>
      <c r="EF22203"/>
      <c r="EG22203"/>
      <c r="EH22203"/>
      <c r="EI22203"/>
      <c r="EJ22203"/>
      <c r="EK22203"/>
    </row>
    <row r="22204" spans="1:141" s="116" customFormat="1">
      <c r="A22204" s="136"/>
      <c r="CM22204" s="111"/>
      <c r="CQ22204" s="111"/>
      <c r="EF22204"/>
      <c r="EG22204"/>
      <c r="EH22204"/>
      <c r="EI22204"/>
      <c r="EJ22204"/>
      <c r="EK22204"/>
    </row>
    <row r="22205" spans="1:141" s="116" customFormat="1">
      <c r="A22205" s="136"/>
      <c r="CM22205" s="111"/>
      <c r="CQ22205" s="111"/>
      <c r="EF22205"/>
      <c r="EG22205"/>
      <c r="EH22205"/>
      <c r="EI22205"/>
      <c r="EJ22205"/>
      <c r="EK22205"/>
    </row>
    <row r="22206" spans="1:141" s="116" customFormat="1">
      <c r="A22206" s="136"/>
      <c r="CM22206" s="111"/>
      <c r="CQ22206" s="111"/>
      <c r="EF22206"/>
      <c r="EG22206"/>
      <c r="EH22206"/>
      <c r="EI22206"/>
      <c r="EJ22206"/>
      <c r="EK22206"/>
    </row>
    <row r="22207" spans="1:141" s="116" customFormat="1">
      <c r="A22207" s="136"/>
      <c r="CM22207" s="111"/>
      <c r="CQ22207" s="111"/>
      <c r="EF22207"/>
      <c r="EG22207"/>
      <c r="EH22207"/>
      <c r="EI22207"/>
      <c r="EJ22207"/>
      <c r="EK22207"/>
    </row>
    <row r="22208" spans="1:141" s="116" customFormat="1">
      <c r="A22208" s="136"/>
      <c r="CM22208" s="111"/>
      <c r="CQ22208" s="111"/>
      <c r="EF22208"/>
      <c r="EG22208"/>
      <c r="EH22208"/>
      <c r="EI22208"/>
      <c r="EJ22208"/>
      <c r="EK22208"/>
    </row>
    <row r="22209" spans="1:141" s="116" customFormat="1">
      <c r="A22209" s="136"/>
      <c r="CM22209" s="111"/>
      <c r="CQ22209" s="111"/>
      <c r="EF22209"/>
      <c r="EG22209"/>
      <c r="EH22209"/>
      <c r="EI22209"/>
      <c r="EJ22209"/>
      <c r="EK22209"/>
    </row>
    <row r="22210" spans="1:141" s="116" customFormat="1">
      <c r="A22210" s="136"/>
      <c r="CM22210" s="111"/>
      <c r="CQ22210" s="111"/>
      <c r="EF22210"/>
      <c r="EG22210"/>
      <c r="EH22210"/>
      <c r="EI22210"/>
      <c r="EJ22210"/>
      <c r="EK22210"/>
    </row>
    <row r="22211" spans="1:141" s="116" customFormat="1">
      <c r="A22211" s="136"/>
      <c r="CM22211" s="111"/>
      <c r="CQ22211" s="111"/>
      <c r="EF22211"/>
      <c r="EG22211"/>
      <c r="EH22211"/>
      <c r="EI22211"/>
      <c r="EJ22211"/>
      <c r="EK22211"/>
    </row>
    <row r="22212" spans="1:141" s="116" customFormat="1">
      <c r="A22212" s="136"/>
      <c r="CM22212" s="111"/>
      <c r="CQ22212" s="111"/>
      <c r="EF22212"/>
      <c r="EG22212"/>
      <c r="EH22212"/>
      <c r="EI22212"/>
      <c r="EJ22212"/>
      <c r="EK22212"/>
    </row>
    <row r="22213" spans="1:141" s="116" customFormat="1">
      <c r="A22213" s="136"/>
      <c r="CM22213" s="111"/>
      <c r="CQ22213" s="111"/>
      <c r="EF22213"/>
      <c r="EG22213"/>
      <c r="EH22213"/>
      <c r="EI22213"/>
      <c r="EJ22213"/>
      <c r="EK22213"/>
    </row>
    <row r="22214" spans="1:141" s="116" customFormat="1">
      <c r="A22214" s="136"/>
      <c r="CM22214" s="111"/>
      <c r="CQ22214" s="111"/>
      <c r="EF22214"/>
      <c r="EG22214"/>
      <c r="EH22214"/>
      <c r="EI22214"/>
      <c r="EJ22214"/>
      <c r="EK22214"/>
    </row>
    <row r="22215" spans="1:141" s="116" customFormat="1">
      <c r="A22215" s="136"/>
      <c r="CM22215" s="111"/>
      <c r="CQ22215" s="111"/>
      <c r="EF22215"/>
      <c r="EG22215"/>
      <c r="EH22215"/>
      <c r="EI22215"/>
      <c r="EJ22215"/>
      <c r="EK22215"/>
    </row>
    <row r="22216" spans="1:141" s="116" customFormat="1">
      <c r="A22216" s="136"/>
      <c r="CM22216" s="111"/>
      <c r="CQ22216" s="111"/>
      <c r="EF22216"/>
      <c r="EG22216"/>
      <c r="EH22216"/>
      <c r="EI22216"/>
      <c r="EJ22216"/>
      <c r="EK22216"/>
    </row>
    <row r="22217" spans="1:141" s="116" customFormat="1">
      <c r="A22217" s="136"/>
      <c r="CM22217" s="111"/>
      <c r="CQ22217" s="111"/>
      <c r="EF22217"/>
      <c r="EG22217"/>
      <c r="EH22217"/>
      <c r="EI22217"/>
      <c r="EJ22217"/>
      <c r="EK22217"/>
    </row>
    <row r="22218" spans="1:141" s="116" customFormat="1">
      <c r="A22218" s="136"/>
      <c r="CM22218" s="111"/>
      <c r="CQ22218" s="111"/>
      <c r="EF22218"/>
      <c r="EG22218"/>
      <c r="EH22218"/>
      <c r="EI22218"/>
      <c r="EJ22218"/>
      <c r="EK22218"/>
    </row>
    <row r="22219" spans="1:141" s="116" customFormat="1">
      <c r="A22219" s="136"/>
      <c r="CM22219" s="111"/>
      <c r="CQ22219" s="111"/>
      <c r="EF22219"/>
      <c r="EG22219"/>
      <c r="EH22219"/>
      <c r="EI22219"/>
      <c r="EJ22219"/>
      <c r="EK22219"/>
    </row>
    <row r="22220" spans="1:141" s="116" customFormat="1">
      <c r="A22220" s="136"/>
      <c r="CM22220" s="111"/>
      <c r="CQ22220" s="111"/>
      <c r="EF22220"/>
      <c r="EG22220"/>
      <c r="EH22220"/>
      <c r="EI22220"/>
      <c r="EJ22220"/>
      <c r="EK22220"/>
    </row>
    <row r="22221" spans="1:141" s="116" customFormat="1">
      <c r="A22221" s="136"/>
      <c r="CM22221" s="111"/>
      <c r="CQ22221" s="111"/>
      <c r="EF22221"/>
      <c r="EG22221"/>
      <c r="EH22221"/>
      <c r="EI22221"/>
      <c r="EJ22221"/>
      <c r="EK22221"/>
    </row>
    <row r="22222" spans="1:141" s="116" customFormat="1">
      <c r="A22222" s="136"/>
      <c r="CM22222" s="111"/>
      <c r="CQ22222" s="111"/>
      <c r="EF22222"/>
      <c r="EG22222"/>
      <c r="EH22222"/>
      <c r="EI22222"/>
      <c r="EJ22222"/>
      <c r="EK22222"/>
    </row>
    <row r="22223" spans="1:141" s="116" customFormat="1">
      <c r="A22223" s="136"/>
      <c r="CM22223" s="111"/>
      <c r="CQ22223" s="111"/>
      <c r="EF22223"/>
      <c r="EG22223"/>
      <c r="EH22223"/>
      <c r="EI22223"/>
      <c r="EJ22223"/>
      <c r="EK22223"/>
    </row>
    <row r="22224" spans="1:141" s="116" customFormat="1">
      <c r="A22224" s="136"/>
      <c r="CM22224" s="111"/>
      <c r="CQ22224" s="111"/>
      <c r="EF22224"/>
      <c r="EG22224"/>
      <c r="EH22224"/>
      <c r="EI22224"/>
      <c r="EJ22224"/>
      <c r="EK22224"/>
    </row>
    <row r="22225" spans="1:141" s="116" customFormat="1">
      <c r="A22225" s="136"/>
      <c r="CM22225" s="111"/>
      <c r="CQ22225" s="111"/>
      <c r="EF22225"/>
      <c r="EG22225"/>
      <c r="EH22225"/>
      <c r="EI22225"/>
      <c r="EJ22225"/>
      <c r="EK22225"/>
    </row>
    <row r="22226" spans="1:141" s="116" customFormat="1">
      <c r="A22226" s="136"/>
      <c r="CM22226" s="111"/>
      <c r="CQ22226" s="111"/>
      <c r="EF22226"/>
      <c r="EG22226"/>
      <c r="EH22226"/>
      <c r="EI22226"/>
      <c r="EJ22226"/>
      <c r="EK22226"/>
    </row>
    <row r="22227" spans="1:141" s="116" customFormat="1">
      <c r="A22227" s="136"/>
      <c r="CM22227" s="111"/>
      <c r="CQ22227" s="111"/>
      <c r="EF22227"/>
      <c r="EG22227"/>
      <c r="EH22227"/>
      <c r="EI22227"/>
      <c r="EJ22227"/>
      <c r="EK22227"/>
    </row>
    <row r="22228" spans="1:141" s="116" customFormat="1">
      <c r="A22228" s="136"/>
      <c r="CM22228" s="111"/>
      <c r="CQ22228" s="111"/>
      <c r="EF22228"/>
      <c r="EG22228"/>
      <c r="EH22228"/>
      <c r="EI22228"/>
      <c r="EJ22228"/>
      <c r="EK22228"/>
    </row>
    <row r="22229" spans="1:141" s="116" customFormat="1">
      <c r="A22229" s="136"/>
      <c r="CM22229" s="111"/>
      <c r="CQ22229" s="111"/>
      <c r="EF22229"/>
      <c r="EG22229"/>
      <c r="EH22229"/>
      <c r="EI22229"/>
      <c r="EJ22229"/>
      <c r="EK22229"/>
    </row>
    <row r="22230" spans="1:141" s="116" customFormat="1">
      <c r="A22230" s="136"/>
      <c r="CM22230" s="111"/>
      <c r="CQ22230" s="111"/>
      <c r="EF22230"/>
      <c r="EG22230"/>
      <c r="EH22230"/>
      <c r="EI22230"/>
      <c r="EJ22230"/>
      <c r="EK22230"/>
    </row>
    <row r="22231" spans="1:141" s="116" customFormat="1">
      <c r="A22231" s="136"/>
      <c r="CM22231" s="111"/>
      <c r="CQ22231" s="111"/>
      <c r="EF22231"/>
      <c r="EG22231"/>
      <c r="EH22231"/>
      <c r="EI22231"/>
      <c r="EJ22231"/>
      <c r="EK22231"/>
    </row>
    <row r="22232" spans="1:141" s="116" customFormat="1">
      <c r="A22232" s="136"/>
      <c r="CM22232" s="111"/>
      <c r="CQ22232" s="111"/>
      <c r="EF22232"/>
      <c r="EG22232"/>
      <c r="EH22232"/>
      <c r="EI22232"/>
      <c r="EJ22232"/>
      <c r="EK22232"/>
    </row>
    <row r="22233" spans="1:141" s="116" customFormat="1">
      <c r="A22233" s="136"/>
      <c r="CM22233" s="111"/>
      <c r="CQ22233" s="111"/>
      <c r="EF22233"/>
      <c r="EG22233"/>
      <c r="EH22233"/>
      <c r="EI22233"/>
      <c r="EJ22233"/>
      <c r="EK22233"/>
    </row>
    <row r="22234" spans="1:141" s="116" customFormat="1">
      <c r="A22234" s="136"/>
      <c r="CM22234" s="111"/>
      <c r="CQ22234" s="111"/>
      <c r="EF22234"/>
      <c r="EG22234"/>
      <c r="EH22234"/>
      <c r="EI22234"/>
      <c r="EJ22234"/>
      <c r="EK22234"/>
    </row>
    <row r="22235" spans="1:141" s="116" customFormat="1">
      <c r="A22235" s="136"/>
      <c r="CM22235" s="111"/>
      <c r="CQ22235" s="111"/>
      <c r="EF22235"/>
      <c r="EG22235"/>
      <c r="EH22235"/>
      <c r="EI22235"/>
      <c r="EJ22235"/>
      <c r="EK22235"/>
    </row>
    <row r="22236" spans="1:141" s="116" customFormat="1">
      <c r="A22236" s="136"/>
      <c r="CM22236" s="111"/>
      <c r="CQ22236" s="111"/>
      <c r="EF22236"/>
      <c r="EG22236"/>
      <c r="EH22236"/>
      <c r="EI22236"/>
      <c r="EJ22236"/>
      <c r="EK22236"/>
    </row>
    <row r="22237" spans="1:141" s="116" customFormat="1">
      <c r="A22237" s="136"/>
      <c r="CM22237" s="111"/>
      <c r="CQ22237" s="111"/>
      <c r="EF22237"/>
      <c r="EG22237"/>
      <c r="EH22237"/>
      <c r="EI22237"/>
      <c r="EJ22237"/>
      <c r="EK22237"/>
    </row>
    <row r="22238" spans="1:141" s="116" customFormat="1">
      <c r="A22238" s="136"/>
      <c r="CM22238" s="111"/>
      <c r="CQ22238" s="111"/>
      <c r="EF22238"/>
      <c r="EG22238"/>
      <c r="EH22238"/>
      <c r="EI22238"/>
      <c r="EJ22238"/>
      <c r="EK22238"/>
    </row>
    <row r="22239" spans="1:141" s="116" customFormat="1">
      <c r="A22239" s="136"/>
      <c r="CM22239" s="111"/>
      <c r="CQ22239" s="111"/>
      <c r="EF22239"/>
      <c r="EG22239"/>
      <c r="EH22239"/>
      <c r="EI22239"/>
      <c r="EJ22239"/>
      <c r="EK22239"/>
    </row>
    <row r="22240" spans="1:141" s="116" customFormat="1">
      <c r="A22240" s="136"/>
      <c r="CM22240" s="111"/>
      <c r="CQ22240" s="111"/>
      <c r="EF22240"/>
      <c r="EG22240"/>
      <c r="EH22240"/>
      <c r="EI22240"/>
      <c r="EJ22240"/>
      <c r="EK22240"/>
    </row>
    <row r="22241" spans="1:141" s="116" customFormat="1">
      <c r="A22241" s="136"/>
      <c r="CM22241" s="111"/>
      <c r="CQ22241" s="111"/>
      <c r="EF22241"/>
      <c r="EG22241"/>
      <c r="EH22241"/>
      <c r="EI22241"/>
      <c r="EJ22241"/>
      <c r="EK22241"/>
    </row>
    <row r="22242" spans="1:141" s="116" customFormat="1">
      <c r="A22242" s="136"/>
      <c r="CM22242" s="111"/>
      <c r="CQ22242" s="111"/>
      <c r="EF22242"/>
      <c r="EG22242"/>
      <c r="EH22242"/>
      <c r="EI22242"/>
      <c r="EJ22242"/>
      <c r="EK22242"/>
    </row>
    <row r="22243" spans="1:141" s="116" customFormat="1">
      <c r="A22243" s="136"/>
      <c r="CM22243" s="111"/>
      <c r="CQ22243" s="111"/>
      <c r="EF22243"/>
      <c r="EG22243"/>
      <c r="EH22243"/>
      <c r="EI22243"/>
      <c r="EJ22243"/>
      <c r="EK22243"/>
    </row>
    <row r="22244" spans="1:141" s="116" customFormat="1">
      <c r="A22244" s="136"/>
      <c r="CM22244" s="111"/>
      <c r="CQ22244" s="111"/>
      <c r="EF22244"/>
      <c r="EG22244"/>
      <c r="EH22244"/>
      <c r="EI22244"/>
      <c r="EJ22244"/>
      <c r="EK22244"/>
    </row>
    <row r="22245" spans="1:141" s="116" customFormat="1">
      <c r="A22245" s="136"/>
      <c r="CM22245" s="111"/>
      <c r="CQ22245" s="111"/>
      <c r="EF22245"/>
      <c r="EG22245"/>
      <c r="EH22245"/>
      <c r="EI22245"/>
      <c r="EJ22245"/>
      <c r="EK22245"/>
    </row>
    <row r="22246" spans="1:141" s="116" customFormat="1">
      <c r="A22246" s="136"/>
      <c r="CM22246" s="111"/>
      <c r="CQ22246" s="111"/>
      <c r="EF22246"/>
      <c r="EG22246"/>
      <c r="EH22246"/>
      <c r="EI22246"/>
      <c r="EJ22246"/>
      <c r="EK22246"/>
    </row>
    <row r="22247" spans="1:141" s="116" customFormat="1">
      <c r="A22247" s="136"/>
      <c r="CM22247" s="111"/>
      <c r="CQ22247" s="111"/>
      <c r="EF22247"/>
      <c r="EG22247"/>
      <c r="EH22247"/>
      <c r="EI22247"/>
      <c r="EJ22247"/>
      <c r="EK22247"/>
    </row>
    <row r="22248" spans="1:141" s="116" customFormat="1">
      <c r="A22248" s="136"/>
      <c r="CM22248" s="111"/>
      <c r="CQ22248" s="111"/>
      <c r="EF22248"/>
      <c r="EG22248"/>
      <c r="EH22248"/>
      <c r="EI22248"/>
      <c r="EJ22248"/>
      <c r="EK22248"/>
    </row>
    <row r="22249" spans="1:141" s="116" customFormat="1">
      <c r="A22249" s="136"/>
      <c r="CM22249" s="111"/>
      <c r="CQ22249" s="111"/>
      <c r="EF22249"/>
      <c r="EG22249"/>
      <c r="EH22249"/>
      <c r="EI22249"/>
      <c r="EJ22249"/>
      <c r="EK22249"/>
    </row>
    <row r="22250" spans="1:141" s="116" customFormat="1">
      <c r="A22250" s="136"/>
      <c r="CM22250" s="111"/>
      <c r="CQ22250" s="111"/>
      <c r="EF22250"/>
      <c r="EG22250"/>
      <c r="EH22250"/>
      <c r="EI22250"/>
      <c r="EJ22250"/>
      <c r="EK22250"/>
    </row>
    <row r="22251" spans="1:141" s="116" customFormat="1">
      <c r="A22251" s="136"/>
      <c r="CM22251" s="111"/>
      <c r="CQ22251" s="111"/>
      <c r="EF22251"/>
      <c r="EG22251"/>
      <c r="EH22251"/>
      <c r="EI22251"/>
      <c r="EJ22251"/>
      <c r="EK22251"/>
    </row>
    <row r="22252" spans="1:141" s="116" customFormat="1">
      <c r="A22252" s="136"/>
      <c r="CM22252" s="111"/>
      <c r="CQ22252" s="111"/>
      <c r="EF22252"/>
      <c r="EG22252"/>
      <c r="EH22252"/>
      <c r="EI22252"/>
      <c r="EJ22252"/>
      <c r="EK22252"/>
    </row>
    <row r="22253" spans="1:141" s="116" customFormat="1">
      <c r="A22253" s="136"/>
      <c r="CM22253" s="111"/>
      <c r="CQ22253" s="111"/>
      <c r="EF22253"/>
      <c r="EG22253"/>
      <c r="EH22253"/>
      <c r="EI22253"/>
      <c r="EJ22253"/>
      <c r="EK22253"/>
    </row>
    <row r="22254" spans="1:141" s="116" customFormat="1">
      <c r="A22254" s="136"/>
      <c r="CM22254" s="111"/>
      <c r="CQ22254" s="111"/>
      <c r="EF22254"/>
      <c r="EG22254"/>
      <c r="EH22254"/>
      <c r="EI22254"/>
      <c r="EJ22254"/>
      <c r="EK22254"/>
    </row>
    <row r="22255" spans="1:141" s="116" customFormat="1">
      <c r="A22255" s="136"/>
      <c r="CM22255" s="111"/>
      <c r="CQ22255" s="111"/>
      <c r="EF22255"/>
      <c r="EG22255"/>
      <c r="EH22255"/>
      <c r="EI22255"/>
      <c r="EJ22255"/>
      <c r="EK22255"/>
    </row>
    <row r="22256" spans="1:141" s="116" customFormat="1">
      <c r="A22256" s="136"/>
      <c r="CM22256" s="111"/>
      <c r="CQ22256" s="111"/>
      <c r="EF22256"/>
      <c r="EG22256"/>
      <c r="EH22256"/>
      <c r="EI22256"/>
      <c r="EJ22256"/>
      <c r="EK22256"/>
    </row>
    <row r="22257" spans="1:141" s="116" customFormat="1">
      <c r="A22257" s="136"/>
      <c r="CM22257" s="111"/>
      <c r="CQ22257" s="111"/>
      <c r="EF22257"/>
      <c r="EG22257"/>
      <c r="EH22257"/>
      <c r="EI22257"/>
      <c r="EJ22257"/>
      <c r="EK22257"/>
    </row>
    <row r="22258" spans="1:141" s="116" customFormat="1">
      <c r="A22258" s="136"/>
      <c r="CM22258" s="111"/>
      <c r="CQ22258" s="111"/>
      <c r="EF22258"/>
      <c r="EG22258"/>
      <c r="EH22258"/>
      <c r="EI22258"/>
      <c r="EJ22258"/>
      <c r="EK22258"/>
    </row>
    <row r="22259" spans="1:141" s="116" customFormat="1">
      <c r="A22259" s="136"/>
      <c r="CM22259" s="111"/>
      <c r="CQ22259" s="111"/>
      <c r="EF22259"/>
      <c r="EG22259"/>
      <c r="EH22259"/>
      <c r="EI22259"/>
      <c r="EJ22259"/>
      <c r="EK22259"/>
    </row>
    <row r="22260" spans="1:141" s="116" customFormat="1">
      <c r="A22260" s="136"/>
      <c r="CM22260" s="111"/>
      <c r="CQ22260" s="111"/>
      <c r="EF22260"/>
      <c r="EG22260"/>
      <c r="EH22260"/>
      <c r="EI22260"/>
      <c r="EJ22260"/>
      <c r="EK22260"/>
    </row>
    <row r="22261" spans="1:141" s="116" customFormat="1">
      <c r="A22261" s="136"/>
      <c r="CM22261" s="111"/>
      <c r="CQ22261" s="111"/>
      <c r="EF22261"/>
      <c r="EG22261"/>
      <c r="EH22261"/>
      <c r="EI22261"/>
      <c r="EJ22261"/>
      <c r="EK22261"/>
    </row>
    <row r="22262" spans="1:141" s="116" customFormat="1">
      <c r="A22262" s="136"/>
      <c r="CM22262" s="111"/>
      <c r="CQ22262" s="111"/>
      <c r="EF22262"/>
      <c r="EG22262"/>
      <c r="EH22262"/>
      <c r="EI22262"/>
      <c r="EJ22262"/>
      <c r="EK22262"/>
    </row>
    <row r="22263" spans="1:141" s="116" customFormat="1">
      <c r="A22263" s="136"/>
      <c r="CM22263" s="111"/>
      <c r="CQ22263" s="111"/>
      <c r="EF22263"/>
      <c r="EG22263"/>
      <c r="EH22263"/>
      <c r="EI22263"/>
      <c r="EJ22263"/>
      <c r="EK22263"/>
    </row>
    <row r="22264" spans="1:141" s="116" customFormat="1">
      <c r="A22264" s="136"/>
      <c r="CM22264" s="111"/>
      <c r="CQ22264" s="111"/>
      <c r="EF22264"/>
      <c r="EG22264"/>
      <c r="EH22264"/>
      <c r="EI22264"/>
      <c r="EJ22264"/>
      <c r="EK22264"/>
    </row>
    <row r="22265" spans="1:141" s="116" customFormat="1">
      <c r="A22265" s="136"/>
      <c r="CM22265" s="111"/>
      <c r="CQ22265" s="111"/>
      <c r="EF22265"/>
      <c r="EG22265"/>
      <c r="EH22265"/>
      <c r="EI22265"/>
      <c r="EJ22265"/>
      <c r="EK22265"/>
    </row>
    <row r="22266" spans="1:141" s="116" customFormat="1">
      <c r="A22266" s="136"/>
      <c r="CM22266" s="111"/>
      <c r="CQ22266" s="111"/>
      <c r="EF22266"/>
      <c r="EG22266"/>
      <c r="EH22266"/>
      <c r="EI22266"/>
      <c r="EJ22266"/>
      <c r="EK22266"/>
    </row>
    <row r="22267" spans="1:141" s="116" customFormat="1">
      <c r="A22267" s="136"/>
      <c r="CM22267" s="111"/>
      <c r="CQ22267" s="111"/>
      <c r="EF22267"/>
      <c r="EG22267"/>
      <c r="EH22267"/>
      <c r="EI22267"/>
      <c r="EJ22267"/>
      <c r="EK22267"/>
    </row>
    <row r="22268" spans="1:141" s="116" customFormat="1">
      <c r="A22268" s="136"/>
      <c r="CM22268" s="111"/>
      <c r="CQ22268" s="111"/>
      <c r="EF22268"/>
      <c r="EG22268"/>
      <c r="EH22268"/>
      <c r="EI22268"/>
      <c r="EJ22268"/>
      <c r="EK22268"/>
    </row>
    <row r="22269" spans="1:141" s="116" customFormat="1">
      <c r="A22269" s="136"/>
      <c r="CM22269" s="111"/>
      <c r="CQ22269" s="111"/>
      <c r="EF22269"/>
      <c r="EG22269"/>
      <c r="EH22269"/>
      <c r="EI22269"/>
      <c r="EJ22269"/>
      <c r="EK22269"/>
    </row>
    <row r="22270" spans="1:141" s="116" customFormat="1">
      <c r="A22270" s="136"/>
      <c r="CM22270" s="111"/>
      <c r="CQ22270" s="111"/>
      <c r="EF22270"/>
      <c r="EG22270"/>
      <c r="EH22270"/>
      <c r="EI22270"/>
      <c r="EJ22270"/>
      <c r="EK22270"/>
    </row>
    <row r="22271" spans="1:141" s="116" customFormat="1">
      <c r="A22271" s="136"/>
      <c r="CM22271" s="111"/>
      <c r="CQ22271" s="111"/>
      <c r="EF22271"/>
      <c r="EG22271"/>
      <c r="EH22271"/>
      <c r="EI22271"/>
      <c r="EJ22271"/>
      <c r="EK22271"/>
    </row>
    <row r="22272" spans="1:141" s="116" customFormat="1">
      <c r="A22272" s="136"/>
      <c r="CM22272" s="111"/>
      <c r="CQ22272" s="111"/>
      <c r="EF22272"/>
      <c r="EG22272"/>
      <c r="EH22272"/>
      <c r="EI22272"/>
      <c r="EJ22272"/>
      <c r="EK22272"/>
    </row>
    <row r="22273" spans="1:141" s="116" customFormat="1">
      <c r="A22273" s="136"/>
      <c r="CM22273" s="111"/>
      <c r="CQ22273" s="111"/>
      <c r="EF22273"/>
      <c r="EG22273"/>
      <c r="EH22273"/>
      <c r="EI22273"/>
      <c r="EJ22273"/>
      <c r="EK22273"/>
    </row>
    <row r="22274" spans="1:141" s="116" customFormat="1">
      <c r="A22274" s="136"/>
      <c r="CM22274" s="111"/>
      <c r="CQ22274" s="111"/>
      <c r="EF22274"/>
      <c r="EG22274"/>
      <c r="EH22274"/>
      <c r="EI22274"/>
      <c r="EJ22274"/>
      <c r="EK22274"/>
    </row>
    <row r="22275" spans="1:141" s="116" customFormat="1">
      <c r="A22275" s="136"/>
      <c r="CM22275" s="111"/>
      <c r="CQ22275" s="111"/>
      <c r="EF22275"/>
      <c r="EG22275"/>
      <c r="EH22275"/>
      <c r="EI22275"/>
      <c r="EJ22275"/>
      <c r="EK22275"/>
    </row>
    <row r="22276" spans="1:141" s="116" customFormat="1">
      <c r="A22276" s="136"/>
      <c r="CM22276" s="111"/>
      <c r="CQ22276" s="111"/>
      <c r="EF22276"/>
      <c r="EG22276"/>
      <c r="EH22276"/>
      <c r="EI22276"/>
      <c r="EJ22276"/>
      <c r="EK22276"/>
    </row>
    <row r="22277" spans="1:141" s="116" customFormat="1">
      <c r="A22277" s="136"/>
      <c r="CM22277" s="111"/>
      <c r="CQ22277" s="111"/>
      <c r="EF22277"/>
      <c r="EG22277"/>
      <c r="EH22277"/>
      <c r="EI22277"/>
      <c r="EJ22277"/>
      <c r="EK22277"/>
    </row>
    <row r="22278" spans="1:141" s="116" customFormat="1">
      <c r="A22278" s="136"/>
      <c r="CM22278" s="111"/>
      <c r="CQ22278" s="111"/>
      <c r="EF22278"/>
      <c r="EG22278"/>
      <c r="EH22278"/>
      <c r="EI22278"/>
      <c r="EJ22278"/>
      <c r="EK22278"/>
    </row>
    <row r="22279" spans="1:141" s="116" customFormat="1">
      <c r="A22279" s="136"/>
      <c r="CM22279" s="111"/>
      <c r="CQ22279" s="111"/>
      <c r="EF22279"/>
      <c r="EG22279"/>
      <c r="EH22279"/>
      <c r="EI22279"/>
      <c r="EJ22279"/>
      <c r="EK22279"/>
    </row>
    <row r="22280" spans="1:141" s="116" customFormat="1">
      <c r="A22280" s="136"/>
      <c r="CM22280" s="111"/>
      <c r="CQ22280" s="111"/>
      <c r="EF22280"/>
      <c r="EG22280"/>
      <c r="EH22280"/>
      <c r="EI22280"/>
      <c r="EJ22280"/>
      <c r="EK22280"/>
    </row>
    <row r="22281" spans="1:141" s="116" customFormat="1">
      <c r="A22281" s="136"/>
      <c r="CM22281" s="111"/>
      <c r="CQ22281" s="111"/>
      <c r="EF22281"/>
      <c r="EG22281"/>
      <c r="EH22281"/>
      <c r="EI22281"/>
      <c r="EJ22281"/>
      <c r="EK22281"/>
    </row>
    <row r="22282" spans="1:141" s="116" customFormat="1">
      <c r="A22282" s="136"/>
      <c r="CM22282" s="111"/>
      <c r="CQ22282" s="111"/>
      <c r="EF22282"/>
      <c r="EG22282"/>
      <c r="EH22282"/>
      <c r="EI22282"/>
      <c r="EJ22282"/>
      <c r="EK22282"/>
    </row>
    <row r="22283" spans="1:141" s="116" customFormat="1">
      <c r="A22283" s="136"/>
      <c r="CM22283" s="111"/>
      <c r="CQ22283" s="111"/>
      <c r="EF22283"/>
      <c r="EG22283"/>
      <c r="EH22283"/>
      <c r="EI22283"/>
      <c r="EJ22283"/>
      <c r="EK22283"/>
    </row>
    <row r="22284" spans="1:141" s="116" customFormat="1">
      <c r="A22284" s="136"/>
      <c r="CM22284" s="111"/>
      <c r="CQ22284" s="111"/>
      <c r="EF22284"/>
      <c r="EG22284"/>
      <c r="EH22284"/>
      <c r="EI22284"/>
      <c r="EJ22284"/>
      <c r="EK22284"/>
    </row>
    <row r="22285" spans="1:141" s="116" customFormat="1">
      <c r="A22285" s="136"/>
      <c r="CM22285" s="111"/>
      <c r="CQ22285" s="111"/>
      <c r="EF22285"/>
      <c r="EG22285"/>
      <c r="EH22285"/>
      <c r="EI22285"/>
      <c r="EJ22285"/>
      <c r="EK22285"/>
    </row>
    <row r="22286" spans="1:141" s="116" customFormat="1">
      <c r="A22286" s="136"/>
      <c r="CM22286" s="111"/>
      <c r="CQ22286" s="111"/>
      <c r="EF22286"/>
      <c r="EG22286"/>
      <c r="EH22286"/>
      <c r="EI22286"/>
      <c r="EJ22286"/>
      <c r="EK22286"/>
    </row>
    <row r="22287" spans="1:141" s="116" customFormat="1">
      <c r="A22287" s="136"/>
      <c r="CM22287" s="111"/>
      <c r="CQ22287" s="111"/>
      <c r="EF22287"/>
      <c r="EG22287"/>
      <c r="EH22287"/>
      <c r="EI22287"/>
      <c r="EJ22287"/>
      <c r="EK22287"/>
    </row>
    <row r="22288" spans="1:141" s="116" customFormat="1">
      <c r="A22288" s="136"/>
      <c r="CM22288" s="111"/>
      <c r="CQ22288" s="111"/>
      <c r="EF22288"/>
      <c r="EG22288"/>
      <c r="EH22288"/>
      <c r="EI22288"/>
      <c r="EJ22288"/>
      <c r="EK22288"/>
    </row>
    <row r="22289" spans="1:141" s="116" customFormat="1">
      <c r="A22289" s="136"/>
      <c r="CM22289" s="111"/>
      <c r="CQ22289" s="111"/>
      <c r="EF22289"/>
      <c r="EG22289"/>
      <c r="EH22289"/>
      <c r="EI22289"/>
      <c r="EJ22289"/>
      <c r="EK22289"/>
    </row>
    <row r="22290" spans="1:141" s="116" customFormat="1">
      <c r="A22290" s="136"/>
      <c r="CM22290" s="111"/>
      <c r="CQ22290" s="111"/>
      <c r="EF22290"/>
      <c r="EG22290"/>
      <c r="EH22290"/>
      <c r="EI22290"/>
      <c r="EJ22290"/>
      <c r="EK22290"/>
    </row>
    <row r="22291" spans="1:141" s="116" customFormat="1">
      <c r="A22291" s="136"/>
      <c r="CM22291" s="111"/>
      <c r="CQ22291" s="111"/>
      <c r="EF22291"/>
      <c r="EG22291"/>
      <c r="EH22291"/>
      <c r="EI22291"/>
      <c r="EJ22291"/>
      <c r="EK22291"/>
    </row>
    <row r="22292" spans="1:141" s="116" customFormat="1">
      <c r="A22292" s="136"/>
      <c r="CM22292" s="111"/>
      <c r="CQ22292" s="111"/>
      <c r="EF22292"/>
      <c r="EG22292"/>
      <c r="EH22292"/>
      <c r="EI22292"/>
      <c r="EJ22292"/>
      <c r="EK22292"/>
    </row>
    <row r="22293" spans="1:141" s="116" customFormat="1">
      <c r="A22293" s="136"/>
      <c r="CM22293" s="111"/>
      <c r="CQ22293" s="111"/>
      <c r="EF22293"/>
      <c r="EG22293"/>
      <c r="EH22293"/>
      <c r="EI22293"/>
      <c r="EJ22293"/>
      <c r="EK22293"/>
    </row>
    <row r="22294" spans="1:141" s="116" customFormat="1">
      <c r="A22294" s="136"/>
      <c r="CM22294" s="111"/>
      <c r="CQ22294" s="111"/>
      <c r="EF22294"/>
      <c r="EG22294"/>
      <c r="EH22294"/>
      <c r="EI22294"/>
      <c r="EJ22294"/>
      <c r="EK22294"/>
    </row>
    <row r="22295" spans="1:141" s="116" customFormat="1">
      <c r="A22295" s="136"/>
      <c r="CM22295" s="111"/>
      <c r="CQ22295" s="111"/>
      <c r="EF22295"/>
      <c r="EG22295"/>
      <c r="EH22295"/>
      <c r="EI22295"/>
      <c r="EJ22295"/>
      <c r="EK22295"/>
    </row>
    <row r="22296" spans="1:141" s="116" customFormat="1">
      <c r="A22296" s="136"/>
      <c r="CM22296" s="111"/>
      <c r="CQ22296" s="111"/>
      <c r="EF22296"/>
      <c r="EG22296"/>
      <c r="EH22296"/>
      <c r="EI22296"/>
      <c r="EJ22296"/>
      <c r="EK22296"/>
    </row>
    <row r="22297" spans="1:141" s="116" customFormat="1">
      <c r="A22297" s="136"/>
      <c r="CM22297" s="111"/>
      <c r="CQ22297" s="111"/>
      <c r="EF22297"/>
      <c r="EG22297"/>
      <c r="EH22297"/>
      <c r="EI22297"/>
      <c r="EJ22297"/>
      <c r="EK22297"/>
    </row>
    <row r="22298" spans="1:141" s="116" customFormat="1">
      <c r="A22298" s="136"/>
      <c r="CM22298" s="111"/>
      <c r="CQ22298" s="111"/>
      <c r="EF22298"/>
      <c r="EG22298"/>
      <c r="EH22298"/>
      <c r="EI22298"/>
      <c r="EJ22298"/>
      <c r="EK22298"/>
    </row>
    <row r="22299" spans="1:141" s="116" customFormat="1">
      <c r="A22299" s="136"/>
      <c r="CM22299" s="111"/>
      <c r="CQ22299" s="111"/>
      <c r="EF22299"/>
      <c r="EG22299"/>
      <c r="EH22299"/>
      <c r="EI22299"/>
      <c r="EJ22299"/>
      <c r="EK22299"/>
    </row>
    <row r="22300" spans="1:141" s="116" customFormat="1">
      <c r="A22300" s="136"/>
      <c r="CM22300" s="111"/>
      <c r="CQ22300" s="111"/>
      <c r="EF22300"/>
      <c r="EG22300"/>
      <c r="EH22300"/>
      <c r="EI22300"/>
      <c r="EJ22300"/>
      <c r="EK22300"/>
    </row>
    <row r="22301" spans="1:141" s="116" customFormat="1">
      <c r="A22301" s="136"/>
      <c r="CM22301" s="111"/>
      <c r="CQ22301" s="111"/>
      <c r="EF22301"/>
      <c r="EG22301"/>
      <c r="EH22301"/>
      <c r="EI22301"/>
      <c r="EJ22301"/>
      <c r="EK22301"/>
    </row>
    <row r="22302" spans="1:141" s="116" customFormat="1">
      <c r="A22302" s="136"/>
      <c r="CM22302" s="111"/>
      <c r="CQ22302" s="111"/>
      <c r="EF22302"/>
      <c r="EG22302"/>
      <c r="EH22302"/>
      <c r="EI22302"/>
      <c r="EJ22302"/>
      <c r="EK22302"/>
    </row>
    <row r="22303" spans="1:141" s="116" customFormat="1">
      <c r="A22303" s="136"/>
      <c r="CM22303" s="111"/>
      <c r="CQ22303" s="111"/>
      <c r="EF22303"/>
      <c r="EG22303"/>
      <c r="EH22303"/>
      <c r="EI22303"/>
      <c r="EJ22303"/>
      <c r="EK22303"/>
    </row>
    <row r="22304" spans="1:141" s="116" customFormat="1">
      <c r="A22304" s="136"/>
      <c r="CM22304" s="111"/>
      <c r="CQ22304" s="111"/>
      <c r="EF22304"/>
      <c r="EG22304"/>
      <c r="EH22304"/>
      <c r="EI22304"/>
      <c r="EJ22304"/>
      <c r="EK22304"/>
    </row>
    <row r="22305" spans="1:141" s="116" customFormat="1">
      <c r="A22305" s="136"/>
      <c r="CM22305" s="111"/>
      <c r="CQ22305" s="111"/>
      <c r="EF22305"/>
      <c r="EG22305"/>
      <c r="EH22305"/>
      <c r="EI22305"/>
      <c r="EJ22305"/>
      <c r="EK22305"/>
    </row>
    <row r="22306" spans="1:141" s="116" customFormat="1">
      <c r="A22306" s="136"/>
      <c r="CM22306" s="111"/>
      <c r="CQ22306" s="111"/>
      <c r="EF22306"/>
      <c r="EG22306"/>
      <c r="EH22306"/>
      <c r="EI22306"/>
      <c r="EJ22306"/>
      <c r="EK22306"/>
    </row>
    <row r="22307" spans="1:141" s="116" customFormat="1">
      <c r="A22307" s="136"/>
      <c r="CM22307" s="111"/>
      <c r="CQ22307" s="111"/>
      <c r="EF22307"/>
      <c r="EG22307"/>
      <c r="EH22307"/>
      <c r="EI22307"/>
      <c r="EJ22307"/>
      <c r="EK22307"/>
    </row>
    <row r="22308" spans="1:141" s="116" customFormat="1">
      <c r="A22308" s="136"/>
      <c r="CM22308" s="111"/>
      <c r="CQ22308" s="111"/>
      <c r="EF22308"/>
      <c r="EG22308"/>
      <c r="EH22308"/>
      <c r="EI22308"/>
      <c r="EJ22308"/>
      <c r="EK22308"/>
    </row>
    <row r="22309" spans="1:141" s="116" customFormat="1">
      <c r="A22309" s="136"/>
      <c r="CM22309" s="111"/>
      <c r="CQ22309" s="111"/>
      <c r="EF22309"/>
      <c r="EG22309"/>
      <c r="EH22309"/>
      <c r="EI22309"/>
      <c r="EJ22309"/>
      <c r="EK22309"/>
    </row>
    <row r="22310" spans="1:141" s="116" customFormat="1">
      <c r="A22310" s="136"/>
      <c r="CM22310" s="111"/>
      <c r="CQ22310" s="111"/>
      <c r="EF22310"/>
      <c r="EG22310"/>
      <c r="EH22310"/>
      <c r="EI22310"/>
      <c r="EJ22310"/>
      <c r="EK22310"/>
    </row>
    <row r="22311" spans="1:141" s="116" customFormat="1">
      <c r="A22311" s="136"/>
      <c r="CM22311" s="111"/>
      <c r="CQ22311" s="111"/>
      <c r="EF22311"/>
      <c r="EG22311"/>
      <c r="EH22311"/>
      <c r="EI22311"/>
      <c r="EJ22311"/>
      <c r="EK22311"/>
    </row>
    <row r="22312" spans="1:141" s="116" customFormat="1">
      <c r="A22312" s="136"/>
      <c r="CM22312" s="111"/>
      <c r="CQ22312" s="111"/>
      <c r="EF22312"/>
      <c r="EG22312"/>
      <c r="EH22312"/>
      <c r="EI22312"/>
      <c r="EJ22312"/>
      <c r="EK22312"/>
    </row>
    <row r="22313" spans="1:141" s="116" customFormat="1">
      <c r="A22313" s="136"/>
      <c r="CM22313" s="111"/>
      <c r="CQ22313" s="111"/>
      <c r="EF22313"/>
      <c r="EG22313"/>
      <c r="EH22313"/>
      <c r="EI22313"/>
      <c r="EJ22313"/>
      <c r="EK22313"/>
    </row>
    <row r="22314" spans="1:141" s="116" customFormat="1">
      <c r="A22314" s="136"/>
      <c r="CM22314" s="111"/>
      <c r="CQ22314" s="111"/>
      <c r="EF22314"/>
      <c r="EG22314"/>
      <c r="EH22314"/>
      <c r="EI22314"/>
      <c r="EJ22314"/>
      <c r="EK22314"/>
    </row>
    <row r="22315" spans="1:141" s="116" customFormat="1">
      <c r="A22315" s="136"/>
      <c r="CM22315" s="111"/>
      <c r="CQ22315" s="111"/>
      <c r="EF22315"/>
      <c r="EG22315"/>
      <c r="EH22315"/>
      <c r="EI22315"/>
      <c r="EJ22315"/>
      <c r="EK22315"/>
    </row>
    <row r="22316" spans="1:141" s="116" customFormat="1">
      <c r="A22316" s="136"/>
      <c r="CM22316" s="111"/>
      <c r="CQ22316" s="111"/>
      <c r="EF22316"/>
      <c r="EG22316"/>
      <c r="EH22316"/>
      <c r="EI22316"/>
      <c r="EJ22316"/>
      <c r="EK22316"/>
    </row>
    <row r="22317" spans="1:141" s="116" customFormat="1">
      <c r="A22317" s="136"/>
      <c r="CM22317" s="111"/>
      <c r="CQ22317" s="111"/>
      <c r="EF22317"/>
      <c r="EG22317"/>
      <c r="EH22317"/>
      <c r="EI22317"/>
      <c r="EJ22317"/>
      <c r="EK22317"/>
    </row>
    <row r="22318" spans="1:141" s="116" customFormat="1">
      <c r="A22318" s="136"/>
      <c r="CM22318" s="111"/>
      <c r="CQ22318" s="111"/>
      <c r="EF22318"/>
      <c r="EG22318"/>
      <c r="EH22318"/>
      <c r="EI22318"/>
      <c r="EJ22318"/>
      <c r="EK22318"/>
    </row>
    <row r="22319" spans="1:141" s="116" customFormat="1">
      <c r="A22319" s="136"/>
      <c r="CM22319" s="111"/>
      <c r="CQ22319" s="111"/>
      <c r="EF22319"/>
      <c r="EG22319"/>
      <c r="EH22319"/>
      <c r="EI22319"/>
      <c r="EJ22319"/>
      <c r="EK22319"/>
    </row>
    <row r="22320" spans="1:141" s="116" customFormat="1">
      <c r="A22320" s="136"/>
      <c r="CM22320" s="111"/>
      <c r="CQ22320" s="111"/>
      <c r="EF22320"/>
      <c r="EG22320"/>
      <c r="EH22320"/>
      <c r="EI22320"/>
      <c r="EJ22320"/>
      <c r="EK22320"/>
    </row>
    <row r="22321" spans="1:141" s="116" customFormat="1">
      <c r="A22321" s="136"/>
      <c r="CM22321" s="111"/>
      <c r="CQ22321" s="111"/>
      <c r="EF22321"/>
      <c r="EG22321"/>
      <c r="EH22321"/>
      <c r="EI22321"/>
      <c r="EJ22321"/>
      <c r="EK22321"/>
    </row>
    <row r="22322" spans="1:141" s="116" customFormat="1">
      <c r="A22322" s="136"/>
      <c r="CM22322" s="111"/>
      <c r="CQ22322" s="111"/>
      <c r="EF22322"/>
      <c r="EG22322"/>
      <c r="EH22322"/>
      <c r="EI22322"/>
      <c r="EJ22322"/>
      <c r="EK22322"/>
    </row>
    <row r="22323" spans="1:141" s="116" customFormat="1">
      <c r="A22323" s="136"/>
      <c r="CM22323" s="111"/>
      <c r="CQ22323" s="111"/>
      <c r="EF22323"/>
      <c r="EG22323"/>
      <c r="EH22323"/>
      <c r="EI22323"/>
      <c r="EJ22323"/>
      <c r="EK22323"/>
    </row>
    <row r="22324" spans="1:141" s="116" customFormat="1">
      <c r="A22324" s="136"/>
      <c r="CM22324" s="111"/>
      <c r="CQ22324" s="111"/>
      <c r="EF22324"/>
      <c r="EG22324"/>
      <c r="EH22324"/>
      <c r="EI22324"/>
      <c r="EJ22324"/>
      <c r="EK22324"/>
    </row>
    <row r="22325" spans="1:141" s="116" customFormat="1">
      <c r="A22325" s="136"/>
      <c r="CM22325" s="111"/>
      <c r="CQ22325" s="111"/>
      <c r="EF22325"/>
      <c r="EG22325"/>
      <c r="EH22325"/>
      <c r="EI22325"/>
      <c r="EJ22325"/>
      <c r="EK22325"/>
    </row>
    <row r="22326" spans="1:141" s="116" customFormat="1">
      <c r="A22326" s="136"/>
      <c r="CM22326" s="111"/>
      <c r="CQ22326" s="111"/>
      <c r="EF22326"/>
      <c r="EG22326"/>
      <c r="EH22326"/>
      <c r="EI22326"/>
      <c r="EJ22326"/>
      <c r="EK22326"/>
    </row>
    <row r="22327" spans="1:141" s="116" customFormat="1">
      <c r="A22327" s="136"/>
      <c r="CM22327" s="111"/>
      <c r="CQ22327" s="111"/>
      <c r="EF22327"/>
      <c r="EG22327"/>
      <c r="EH22327"/>
      <c r="EI22327"/>
      <c r="EJ22327"/>
      <c r="EK22327"/>
    </row>
    <row r="22328" spans="1:141" s="116" customFormat="1">
      <c r="A22328" s="136"/>
      <c r="CM22328" s="111"/>
      <c r="CQ22328" s="111"/>
      <c r="EF22328"/>
      <c r="EG22328"/>
      <c r="EH22328"/>
      <c r="EI22328"/>
      <c r="EJ22328"/>
      <c r="EK22328"/>
    </row>
    <row r="22329" spans="1:141" s="116" customFormat="1">
      <c r="A22329" s="136"/>
      <c r="CM22329" s="111"/>
      <c r="CQ22329" s="111"/>
      <c r="EF22329"/>
      <c r="EG22329"/>
      <c r="EH22329"/>
      <c r="EI22329"/>
      <c r="EJ22329"/>
      <c r="EK22329"/>
    </row>
    <row r="22330" spans="1:141" s="116" customFormat="1">
      <c r="A22330" s="136"/>
      <c r="CM22330" s="111"/>
      <c r="CQ22330" s="111"/>
      <c r="EF22330"/>
      <c r="EG22330"/>
      <c r="EH22330"/>
      <c r="EI22330"/>
      <c r="EJ22330"/>
      <c r="EK22330"/>
    </row>
    <row r="22331" spans="1:141" s="116" customFormat="1">
      <c r="A22331" s="136"/>
      <c r="CM22331" s="111"/>
      <c r="CQ22331" s="111"/>
      <c r="EF22331"/>
      <c r="EG22331"/>
      <c r="EH22331"/>
      <c r="EI22331"/>
      <c r="EJ22331"/>
      <c r="EK22331"/>
    </row>
    <row r="22332" spans="1:141" s="116" customFormat="1">
      <c r="A22332" s="136"/>
      <c r="CM22332" s="111"/>
      <c r="CQ22332" s="111"/>
      <c r="EF22332"/>
      <c r="EG22332"/>
      <c r="EH22332"/>
      <c r="EI22332"/>
      <c r="EJ22332"/>
      <c r="EK22332"/>
    </row>
    <row r="22333" spans="1:141" s="116" customFormat="1">
      <c r="A22333" s="136"/>
      <c r="CM22333" s="111"/>
      <c r="CQ22333" s="111"/>
      <c r="EF22333"/>
      <c r="EG22333"/>
      <c r="EH22333"/>
      <c r="EI22333"/>
      <c r="EJ22333"/>
      <c r="EK22333"/>
    </row>
    <row r="22334" spans="1:141" s="116" customFormat="1">
      <c r="A22334" s="136"/>
      <c r="CM22334" s="111"/>
      <c r="CQ22334" s="111"/>
      <c r="EF22334"/>
      <c r="EG22334"/>
      <c r="EH22334"/>
      <c r="EI22334"/>
      <c r="EJ22334"/>
      <c r="EK22334"/>
    </row>
    <row r="22335" spans="1:141" s="116" customFormat="1">
      <c r="A22335" s="136"/>
      <c r="CM22335" s="111"/>
      <c r="CQ22335" s="111"/>
      <c r="EF22335"/>
      <c r="EG22335"/>
      <c r="EH22335"/>
      <c r="EI22335"/>
      <c r="EJ22335"/>
      <c r="EK22335"/>
    </row>
    <row r="22336" spans="1:141" s="116" customFormat="1">
      <c r="A22336" s="136"/>
      <c r="CM22336" s="111"/>
      <c r="CQ22336" s="111"/>
      <c r="EF22336"/>
      <c r="EG22336"/>
      <c r="EH22336"/>
      <c r="EI22336"/>
      <c r="EJ22336"/>
      <c r="EK22336"/>
    </row>
    <row r="22337" spans="1:141" s="116" customFormat="1">
      <c r="A22337" s="136"/>
      <c r="CM22337" s="111"/>
      <c r="CQ22337" s="111"/>
      <c r="EF22337"/>
      <c r="EG22337"/>
      <c r="EH22337"/>
      <c r="EI22337"/>
      <c r="EJ22337"/>
      <c r="EK22337"/>
    </row>
    <row r="22338" spans="1:141" s="116" customFormat="1">
      <c r="A22338" s="136"/>
      <c r="CM22338" s="111"/>
      <c r="CQ22338" s="111"/>
      <c r="EF22338"/>
      <c r="EG22338"/>
      <c r="EH22338"/>
      <c r="EI22338"/>
      <c r="EJ22338"/>
      <c r="EK22338"/>
    </row>
    <row r="22339" spans="1:141" s="116" customFormat="1">
      <c r="A22339" s="136"/>
      <c r="CM22339" s="111"/>
      <c r="CQ22339" s="111"/>
      <c r="EF22339"/>
      <c r="EG22339"/>
      <c r="EH22339"/>
      <c r="EI22339"/>
      <c r="EJ22339"/>
      <c r="EK22339"/>
    </row>
    <row r="22340" spans="1:141" s="116" customFormat="1">
      <c r="A22340" s="136"/>
      <c r="CM22340" s="111"/>
      <c r="CQ22340" s="111"/>
      <c r="EF22340"/>
      <c r="EG22340"/>
      <c r="EH22340"/>
      <c r="EI22340"/>
      <c r="EJ22340"/>
      <c r="EK22340"/>
    </row>
    <row r="22341" spans="1:141" s="116" customFormat="1">
      <c r="A22341" s="136"/>
      <c r="CM22341" s="111"/>
      <c r="CQ22341" s="111"/>
      <c r="EF22341"/>
      <c r="EG22341"/>
      <c r="EH22341"/>
      <c r="EI22341"/>
      <c r="EJ22341"/>
      <c r="EK22341"/>
    </row>
    <row r="22342" spans="1:141" s="116" customFormat="1">
      <c r="A22342" s="136"/>
      <c r="CM22342" s="111"/>
      <c r="CQ22342" s="111"/>
      <c r="EF22342"/>
      <c r="EG22342"/>
      <c r="EH22342"/>
      <c r="EI22342"/>
      <c r="EJ22342"/>
      <c r="EK22342"/>
    </row>
    <row r="22343" spans="1:141" s="116" customFormat="1">
      <c r="A22343" s="136"/>
      <c r="CM22343" s="111"/>
      <c r="CQ22343" s="111"/>
      <c r="EF22343"/>
      <c r="EG22343"/>
      <c r="EH22343"/>
      <c r="EI22343"/>
      <c r="EJ22343"/>
      <c r="EK22343"/>
    </row>
    <row r="22344" spans="1:141" s="116" customFormat="1">
      <c r="A22344" s="136"/>
      <c r="CM22344" s="111"/>
      <c r="CQ22344" s="111"/>
      <c r="EF22344"/>
      <c r="EG22344"/>
      <c r="EH22344"/>
      <c r="EI22344"/>
      <c r="EJ22344"/>
      <c r="EK22344"/>
    </row>
    <row r="22345" spans="1:141" s="116" customFormat="1">
      <c r="A22345" s="136"/>
      <c r="CM22345" s="111"/>
      <c r="CQ22345" s="111"/>
      <c r="EF22345"/>
      <c r="EG22345"/>
      <c r="EH22345"/>
      <c r="EI22345"/>
      <c r="EJ22345"/>
      <c r="EK22345"/>
    </row>
    <row r="22346" spans="1:141" s="116" customFormat="1">
      <c r="A22346" s="136"/>
      <c r="CM22346" s="111"/>
      <c r="CQ22346" s="111"/>
      <c r="EF22346"/>
      <c r="EG22346"/>
      <c r="EH22346"/>
      <c r="EI22346"/>
      <c r="EJ22346"/>
      <c r="EK22346"/>
    </row>
    <row r="22347" spans="1:141" s="116" customFormat="1">
      <c r="A22347" s="136"/>
      <c r="CM22347" s="111"/>
      <c r="CQ22347" s="111"/>
      <c r="EF22347"/>
      <c r="EG22347"/>
      <c r="EH22347"/>
      <c r="EI22347"/>
      <c r="EJ22347"/>
      <c r="EK22347"/>
    </row>
    <row r="22348" spans="1:141" s="116" customFormat="1">
      <c r="A22348" s="136"/>
      <c r="CM22348" s="111"/>
      <c r="CQ22348" s="111"/>
      <c r="EF22348"/>
      <c r="EG22348"/>
      <c r="EH22348"/>
      <c r="EI22348"/>
      <c r="EJ22348"/>
      <c r="EK22348"/>
    </row>
    <row r="22349" spans="1:141" s="116" customFormat="1">
      <c r="A22349" s="136"/>
      <c r="CM22349" s="111"/>
      <c r="CQ22349" s="111"/>
      <c r="EF22349"/>
      <c r="EG22349"/>
      <c r="EH22349"/>
      <c r="EI22349"/>
      <c r="EJ22349"/>
      <c r="EK22349"/>
    </row>
    <row r="22350" spans="1:141" s="116" customFormat="1">
      <c r="A22350" s="136"/>
      <c r="CM22350" s="111"/>
      <c r="CQ22350" s="111"/>
      <c r="EF22350"/>
      <c r="EG22350"/>
      <c r="EH22350"/>
      <c r="EI22350"/>
      <c r="EJ22350"/>
      <c r="EK22350"/>
    </row>
    <row r="22351" spans="1:141" s="116" customFormat="1">
      <c r="A22351" s="136"/>
      <c r="CM22351" s="111"/>
      <c r="CQ22351" s="111"/>
      <c r="EF22351"/>
      <c r="EG22351"/>
      <c r="EH22351"/>
      <c r="EI22351"/>
      <c r="EJ22351"/>
      <c r="EK22351"/>
    </row>
    <row r="22352" spans="1:141" s="116" customFormat="1">
      <c r="A22352" s="136"/>
      <c r="CM22352" s="111"/>
      <c r="CQ22352" s="111"/>
      <c r="EF22352"/>
      <c r="EG22352"/>
      <c r="EH22352"/>
      <c r="EI22352"/>
      <c r="EJ22352"/>
      <c r="EK22352"/>
    </row>
    <row r="22353" spans="1:141" s="116" customFormat="1">
      <c r="A22353" s="136"/>
      <c r="CM22353" s="111"/>
      <c r="CQ22353" s="111"/>
      <c r="EF22353"/>
      <c r="EG22353"/>
      <c r="EH22353"/>
      <c r="EI22353"/>
      <c r="EJ22353"/>
      <c r="EK22353"/>
    </row>
    <row r="22354" spans="1:141" s="116" customFormat="1">
      <c r="A22354" s="136"/>
      <c r="CM22354" s="111"/>
      <c r="CQ22354" s="111"/>
      <c r="EF22354"/>
      <c r="EG22354"/>
      <c r="EH22354"/>
      <c r="EI22354"/>
      <c r="EJ22354"/>
      <c r="EK22354"/>
    </row>
    <row r="22355" spans="1:141" s="116" customFormat="1">
      <c r="A22355" s="136"/>
      <c r="CM22355" s="111"/>
      <c r="CQ22355" s="111"/>
      <c r="EF22355"/>
      <c r="EG22355"/>
      <c r="EH22355"/>
      <c r="EI22355"/>
      <c r="EJ22355"/>
      <c r="EK22355"/>
    </row>
    <row r="22356" spans="1:141" s="116" customFormat="1">
      <c r="A22356" s="136"/>
      <c r="CM22356" s="111"/>
      <c r="CQ22356" s="111"/>
      <c r="EF22356"/>
      <c r="EG22356"/>
      <c r="EH22356"/>
      <c r="EI22356"/>
      <c r="EJ22356"/>
      <c r="EK22356"/>
    </row>
    <row r="22357" spans="1:141" s="116" customFormat="1">
      <c r="A22357" s="136"/>
      <c r="CM22357" s="111"/>
      <c r="CQ22357" s="111"/>
      <c r="EF22357"/>
      <c r="EG22357"/>
      <c r="EH22357"/>
      <c r="EI22357"/>
      <c r="EJ22357"/>
      <c r="EK22357"/>
    </row>
    <row r="22358" spans="1:141" s="116" customFormat="1">
      <c r="A22358" s="136"/>
      <c r="CM22358" s="111"/>
      <c r="CQ22358" s="111"/>
      <c r="EF22358"/>
      <c r="EG22358"/>
      <c r="EH22358"/>
      <c r="EI22358"/>
      <c r="EJ22358"/>
      <c r="EK22358"/>
    </row>
    <row r="22359" spans="1:141" s="116" customFormat="1">
      <c r="A22359" s="136"/>
      <c r="CM22359" s="111"/>
      <c r="CQ22359" s="111"/>
      <c r="EF22359"/>
      <c r="EG22359"/>
      <c r="EH22359"/>
      <c r="EI22359"/>
      <c r="EJ22359"/>
      <c r="EK22359"/>
    </row>
    <row r="22360" spans="1:141" s="116" customFormat="1">
      <c r="A22360" s="136"/>
      <c r="CM22360" s="111"/>
      <c r="CQ22360" s="111"/>
      <c r="EF22360"/>
      <c r="EG22360"/>
      <c r="EH22360"/>
      <c r="EI22360"/>
      <c r="EJ22360"/>
      <c r="EK22360"/>
    </row>
    <row r="22361" spans="1:141" s="116" customFormat="1">
      <c r="A22361" s="136"/>
      <c r="CM22361" s="111"/>
      <c r="CQ22361" s="111"/>
      <c r="EF22361"/>
      <c r="EG22361"/>
      <c r="EH22361"/>
      <c r="EI22361"/>
      <c r="EJ22361"/>
      <c r="EK22361"/>
    </row>
    <row r="22362" spans="1:141" s="116" customFormat="1">
      <c r="A22362" s="136"/>
      <c r="CM22362" s="111"/>
      <c r="CQ22362" s="111"/>
      <c r="EF22362"/>
      <c r="EG22362"/>
      <c r="EH22362"/>
      <c r="EI22362"/>
      <c r="EJ22362"/>
      <c r="EK22362"/>
    </row>
    <row r="22363" spans="1:141" s="116" customFormat="1">
      <c r="A22363" s="136"/>
      <c r="CM22363" s="111"/>
      <c r="CQ22363" s="111"/>
      <c r="EF22363"/>
      <c r="EG22363"/>
      <c r="EH22363"/>
      <c r="EI22363"/>
      <c r="EJ22363"/>
      <c r="EK22363"/>
    </row>
    <row r="22364" spans="1:141" s="116" customFormat="1">
      <c r="A22364" s="136"/>
      <c r="CM22364" s="111"/>
      <c r="CQ22364" s="111"/>
      <c r="EF22364"/>
      <c r="EG22364"/>
      <c r="EH22364"/>
      <c r="EI22364"/>
      <c r="EJ22364"/>
      <c r="EK22364"/>
    </row>
    <row r="22365" spans="1:141" s="116" customFormat="1">
      <c r="A22365" s="136"/>
      <c r="CM22365" s="111"/>
      <c r="CQ22365" s="111"/>
      <c r="EF22365"/>
      <c r="EG22365"/>
      <c r="EH22365"/>
      <c r="EI22365"/>
      <c r="EJ22365"/>
      <c r="EK22365"/>
    </row>
    <row r="22366" spans="1:141" s="116" customFormat="1">
      <c r="A22366" s="136"/>
      <c r="CM22366" s="111"/>
      <c r="CQ22366" s="111"/>
      <c r="EF22366"/>
      <c r="EG22366"/>
      <c r="EH22366"/>
      <c r="EI22366"/>
      <c r="EJ22366"/>
      <c r="EK22366"/>
    </row>
    <row r="22367" spans="1:141" s="116" customFormat="1">
      <c r="A22367" s="136"/>
      <c r="CM22367" s="111"/>
      <c r="CQ22367" s="111"/>
      <c r="EF22367"/>
      <c r="EG22367"/>
      <c r="EH22367"/>
      <c r="EI22367"/>
      <c r="EJ22367"/>
      <c r="EK22367"/>
    </row>
    <row r="22368" spans="1:141" s="116" customFormat="1">
      <c r="A22368" s="136"/>
      <c r="CM22368" s="111"/>
      <c r="CQ22368" s="111"/>
      <c r="EF22368"/>
      <c r="EG22368"/>
      <c r="EH22368"/>
      <c r="EI22368"/>
      <c r="EJ22368"/>
      <c r="EK22368"/>
    </row>
    <row r="22369" spans="1:141" s="116" customFormat="1">
      <c r="A22369" s="136"/>
      <c r="CM22369" s="111"/>
      <c r="CQ22369" s="111"/>
      <c r="EF22369"/>
      <c r="EG22369"/>
      <c r="EH22369"/>
      <c r="EI22369"/>
      <c r="EJ22369"/>
      <c r="EK22369"/>
    </row>
    <row r="22370" spans="1:141" s="116" customFormat="1">
      <c r="A22370" s="136"/>
      <c r="CM22370" s="111"/>
      <c r="CQ22370" s="111"/>
      <c r="EF22370"/>
      <c r="EG22370"/>
      <c r="EH22370"/>
      <c r="EI22370"/>
      <c r="EJ22370"/>
      <c r="EK22370"/>
    </row>
    <row r="22371" spans="1:141" s="116" customFormat="1">
      <c r="A22371" s="136"/>
      <c r="CM22371" s="111"/>
      <c r="CQ22371" s="111"/>
      <c r="EF22371"/>
      <c r="EG22371"/>
      <c r="EH22371"/>
      <c r="EI22371"/>
      <c r="EJ22371"/>
      <c r="EK22371"/>
    </row>
    <row r="22372" spans="1:141" s="116" customFormat="1">
      <c r="A22372" s="136"/>
      <c r="CM22372" s="111"/>
      <c r="CQ22372" s="111"/>
      <c r="EF22372"/>
      <c r="EG22372"/>
      <c r="EH22372"/>
      <c r="EI22372"/>
      <c r="EJ22372"/>
      <c r="EK22372"/>
    </row>
    <row r="22373" spans="1:141" s="116" customFormat="1">
      <c r="A22373" s="136"/>
      <c r="CM22373" s="111"/>
      <c r="CQ22373" s="111"/>
      <c r="EF22373"/>
      <c r="EG22373"/>
      <c r="EH22373"/>
      <c r="EI22373"/>
      <c r="EJ22373"/>
      <c r="EK22373"/>
    </row>
    <row r="22374" spans="1:141" s="116" customFormat="1">
      <c r="A22374" s="136"/>
      <c r="CM22374" s="111"/>
      <c r="CQ22374" s="111"/>
      <c r="EF22374"/>
      <c r="EG22374"/>
      <c r="EH22374"/>
      <c r="EI22374"/>
      <c r="EJ22374"/>
      <c r="EK22374"/>
    </row>
    <row r="22375" spans="1:141" s="116" customFormat="1">
      <c r="A22375" s="136"/>
      <c r="CM22375" s="111"/>
      <c r="CQ22375" s="111"/>
      <c r="EF22375"/>
      <c r="EG22375"/>
      <c r="EH22375"/>
      <c r="EI22375"/>
      <c r="EJ22375"/>
      <c r="EK22375"/>
    </row>
    <row r="22376" spans="1:141" s="116" customFormat="1">
      <c r="A22376" s="136"/>
      <c r="CM22376" s="111"/>
      <c r="CQ22376" s="111"/>
      <c r="EF22376"/>
      <c r="EG22376"/>
      <c r="EH22376"/>
      <c r="EI22376"/>
      <c r="EJ22376"/>
      <c r="EK22376"/>
    </row>
    <row r="22377" spans="1:141" s="116" customFormat="1">
      <c r="A22377" s="136"/>
      <c r="CM22377" s="111"/>
      <c r="CQ22377" s="111"/>
      <c r="EF22377"/>
      <c r="EG22377"/>
      <c r="EH22377"/>
      <c r="EI22377"/>
      <c r="EJ22377"/>
      <c r="EK22377"/>
    </row>
    <row r="22378" spans="1:141" s="116" customFormat="1">
      <c r="A22378" s="136"/>
      <c r="CM22378" s="111"/>
      <c r="CQ22378" s="111"/>
      <c r="EF22378"/>
      <c r="EG22378"/>
      <c r="EH22378"/>
      <c r="EI22378"/>
      <c r="EJ22378"/>
      <c r="EK22378"/>
    </row>
    <row r="22379" spans="1:141" s="116" customFormat="1">
      <c r="A22379" s="136"/>
      <c r="CM22379" s="111"/>
      <c r="CQ22379" s="111"/>
      <c r="EF22379"/>
      <c r="EG22379"/>
      <c r="EH22379"/>
      <c r="EI22379"/>
      <c r="EJ22379"/>
      <c r="EK22379"/>
    </row>
    <row r="22380" spans="1:141" s="116" customFormat="1">
      <c r="A22380" s="136"/>
      <c r="CM22380" s="111"/>
      <c r="CQ22380" s="111"/>
      <c r="EF22380"/>
      <c r="EG22380"/>
      <c r="EH22380"/>
      <c r="EI22380"/>
      <c r="EJ22380"/>
      <c r="EK22380"/>
    </row>
    <row r="22381" spans="1:141" s="116" customFormat="1">
      <c r="A22381" s="136"/>
      <c r="CM22381" s="111"/>
      <c r="CQ22381" s="111"/>
      <c r="EF22381"/>
      <c r="EG22381"/>
      <c r="EH22381"/>
      <c r="EI22381"/>
      <c r="EJ22381"/>
      <c r="EK22381"/>
    </row>
    <row r="22382" spans="1:141" s="116" customFormat="1">
      <c r="A22382" s="136"/>
      <c r="CM22382" s="111"/>
      <c r="CQ22382" s="111"/>
      <c r="EF22382"/>
      <c r="EG22382"/>
      <c r="EH22382"/>
      <c r="EI22382"/>
      <c r="EJ22382"/>
      <c r="EK22382"/>
    </row>
    <row r="22383" spans="1:141" s="116" customFormat="1">
      <c r="A22383" s="136"/>
      <c r="CM22383" s="111"/>
      <c r="CQ22383" s="111"/>
      <c r="EF22383"/>
      <c r="EG22383"/>
      <c r="EH22383"/>
      <c r="EI22383"/>
      <c r="EJ22383"/>
      <c r="EK22383"/>
    </row>
    <row r="22384" spans="1:141" s="116" customFormat="1">
      <c r="A22384" s="136"/>
      <c r="CM22384" s="111"/>
      <c r="CQ22384" s="111"/>
      <c r="EF22384"/>
      <c r="EG22384"/>
      <c r="EH22384"/>
      <c r="EI22384"/>
      <c r="EJ22384"/>
      <c r="EK22384"/>
    </row>
    <row r="22385" spans="1:141" s="116" customFormat="1">
      <c r="A22385" s="136"/>
      <c r="CM22385" s="111"/>
      <c r="CQ22385" s="111"/>
      <c r="EF22385"/>
      <c r="EG22385"/>
      <c r="EH22385"/>
      <c r="EI22385"/>
      <c r="EJ22385"/>
      <c r="EK22385"/>
    </row>
    <row r="22386" spans="1:141" s="116" customFormat="1">
      <c r="A22386" s="136"/>
      <c r="CM22386" s="111"/>
      <c r="CQ22386" s="111"/>
      <c r="EF22386"/>
      <c r="EG22386"/>
      <c r="EH22386"/>
      <c r="EI22386"/>
      <c r="EJ22386"/>
      <c r="EK22386"/>
    </row>
    <row r="22387" spans="1:141" s="116" customFormat="1">
      <c r="A22387" s="136"/>
      <c r="CM22387" s="111"/>
      <c r="CQ22387" s="111"/>
      <c r="EF22387"/>
      <c r="EG22387"/>
      <c r="EH22387"/>
      <c r="EI22387"/>
      <c r="EJ22387"/>
      <c r="EK22387"/>
    </row>
    <row r="22388" spans="1:141" s="116" customFormat="1">
      <c r="A22388" s="136"/>
      <c r="CM22388" s="111"/>
      <c r="CQ22388" s="111"/>
      <c r="EF22388"/>
      <c r="EG22388"/>
      <c r="EH22388"/>
      <c r="EI22388"/>
      <c r="EJ22388"/>
      <c r="EK22388"/>
    </row>
    <row r="22389" spans="1:141" s="116" customFormat="1">
      <c r="A22389" s="136"/>
      <c r="CM22389" s="111"/>
      <c r="CQ22389" s="111"/>
      <c r="EF22389"/>
      <c r="EG22389"/>
      <c r="EH22389"/>
      <c r="EI22389"/>
      <c r="EJ22389"/>
      <c r="EK22389"/>
    </row>
    <row r="22390" spans="1:141" s="116" customFormat="1">
      <c r="A22390" s="136"/>
      <c r="CM22390" s="111"/>
      <c r="CQ22390" s="111"/>
      <c r="EF22390"/>
      <c r="EG22390"/>
      <c r="EH22390"/>
      <c r="EI22390"/>
      <c r="EJ22390"/>
      <c r="EK22390"/>
    </row>
    <row r="22391" spans="1:141" s="116" customFormat="1">
      <c r="A22391" s="136"/>
      <c r="CM22391" s="111"/>
      <c r="CQ22391" s="111"/>
      <c r="EF22391"/>
      <c r="EG22391"/>
      <c r="EH22391"/>
      <c r="EI22391"/>
      <c r="EJ22391"/>
      <c r="EK22391"/>
    </row>
    <row r="22392" spans="1:141" s="116" customFormat="1">
      <c r="A22392" s="136"/>
      <c r="CM22392" s="111"/>
      <c r="CQ22392" s="111"/>
      <c r="EF22392"/>
      <c r="EG22392"/>
      <c r="EH22392"/>
      <c r="EI22392"/>
      <c r="EJ22392"/>
      <c r="EK22392"/>
    </row>
    <row r="22393" spans="1:141" s="116" customFormat="1">
      <c r="A22393" s="136"/>
      <c r="CM22393" s="111"/>
      <c r="CQ22393" s="111"/>
      <c r="EF22393"/>
      <c r="EG22393"/>
      <c r="EH22393"/>
      <c r="EI22393"/>
      <c r="EJ22393"/>
      <c r="EK22393"/>
    </row>
    <row r="22394" spans="1:141" s="116" customFormat="1">
      <c r="A22394" s="136"/>
      <c r="CM22394" s="111"/>
      <c r="CQ22394" s="111"/>
      <c r="EF22394"/>
      <c r="EG22394"/>
      <c r="EH22394"/>
      <c r="EI22394"/>
      <c r="EJ22394"/>
      <c r="EK22394"/>
    </row>
    <row r="22395" spans="1:141" s="116" customFormat="1">
      <c r="A22395" s="136"/>
      <c r="CM22395" s="111"/>
      <c r="CQ22395" s="111"/>
      <c r="EF22395"/>
      <c r="EG22395"/>
      <c r="EH22395"/>
      <c r="EI22395"/>
      <c r="EJ22395"/>
      <c r="EK22395"/>
    </row>
    <row r="22396" spans="1:141" s="116" customFormat="1">
      <c r="A22396" s="136"/>
      <c r="CM22396" s="111"/>
      <c r="CQ22396" s="111"/>
      <c r="EF22396"/>
      <c r="EG22396"/>
      <c r="EH22396"/>
      <c r="EI22396"/>
      <c r="EJ22396"/>
      <c r="EK22396"/>
    </row>
    <row r="22397" spans="1:141" s="116" customFormat="1">
      <c r="A22397" s="136"/>
      <c r="CM22397" s="111"/>
      <c r="CQ22397" s="111"/>
      <c r="EF22397"/>
      <c r="EG22397"/>
      <c r="EH22397"/>
      <c r="EI22397"/>
      <c r="EJ22397"/>
      <c r="EK22397"/>
    </row>
    <row r="22398" spans="1:141" s="116" customFormat="1">
      <c r="A22398" s="136"/>
      <c r="CM22398" s="111"/>
      <c r="CQ22398" s="111"/>
      <c r="EF22398"/>
      <c r="EG22398"/>
      <c r="EH22398"/>
      <c r="EI22398"/>
      <c r="EJ22398"/>
      <c r="EK22398"/>
    </row>
    <row r="22399" spans="1:141" s="116" customFormat="1">
      <c r="A22399" s="136"/>
      <c r="CM22399" s="111"/>
      <c r="CQ22399" s="111"/>
      <c r="EF22399"/>
      <c r="EG22399"/>
      <c r="EH22399"/>
      <c r="EI22399"/>
      <c r="EJ22399"/>
      <c r="EK22399"/>
    </row>
    <row r="22400" spans="1:141" s="116" customFormat="1">
      <c r="A22400" s="136"/>
      <c r="CM22400" s="111"/>
      <c r="CQ22400" s="111"/>
      <c r="EF22400"/>
      <c r="EG22400"/>
      <c r="EH22400"/>
      <c r="EI22400"/>
      <c r="EJ22400"/>
      <c r="EK22400"/>
    </row>
    <row r="22401" spans="1:141" s="116" customFormat="1">
      <c r="A22401" s="136"/>
      <c r="CM22401" s="111"/>
      <c r="CQ22401" s="111"/>
      <c r="EF22401"/>
      <c r="EG22401"/>
      <c r="EH22401"/>
      <c r="EI22401"/>
      <c r="EJ22401"/>
      <c r="EK22401"/>
    </row>
    <row r="22402" spans="1:141" s="116" customFormat="1">
      <c r="A22402" s="136"/>
      <c r="CM22402" s="111"/>
      <c r="CQ22402" s="111"/>
      <c r="EF22402"/>
      <c r="EG22402"/>
      <c r="EH22402"/>
      <c r="EI22402"/>
      <c r="EJ22402"/>
      <c r="EK22402"/>
    </row>
    <row r="22403" spans="1:141" s="116" customFormat="1">
      <c r="A22403" s="136"/>
      <c r="CM22403" s="111"/>
      <c r="CQ22403" s="111"/>
      <c r="EF22403"/>
      <c r="EG22403"/>
      <c r="EH22403"/>
      <c r="EI22403"/>
      <c r="EJ22403"/>
      <c r="EK22403"/>
    </row>
    <row r="22404" spans="1:141" s="116" customFormat="1">
      <c r="A22404" s="136"/>
      <c r="CM22404" s="111"/>
      <c r="CQ22404" s="111"/>
      <c r="EF22404"/>
      <c r="EG22404"/>
      <c r="EH22404"/>
      <c r="EI22404"/>
      <c r="EJ22404"/>
      <c r="EK22404"/>
    </row>
    <row r="22405" spans="1:141" s="116" customFormat="1">
      <c r="A22405" s="136"/>
      <c r="CM22405" s="111"/>
      <c r="CQ22405" s="111"/>
      <c r="EF22405"/>
      <c r="EG22405"/>
      <c r="EH22405"/>
      <c r="EI22405"/>
      <c r="EJ22405"/>
      <c r="EK22405"/>
    </row>
    <row r="22406" spans="1:141" s="116" customFormat="1">
      <c r="A22406" s="136"/>
      <c r="CM22406" s="111"/>
      <c r="CQ22406" s="111"/>
      <c r="EF22406"/>
      <c r="EG22406"/>
      <c r="EH22406"/>
      <c r="EI22406"/>
      <c r="EJ22406"/>
      <c r="EK22406"/>
    </row>
    <row r="22407" spans="1:141" s="116" customFormat="1">
      <c r="A22407" s="136"/>
      <c r="CM22407" s="111"/>
      <c r="CQ22407" s="111"/>
      <c r="EF22407"/>
      <c r="EG22407"/>
      <c r="EH22407"/>
      <c r="EI22407"/>
      <c r="EJ22407"/>
      <c r="EK22407"/>
    </row>
    <row r="22408" spans="1:141" s="116" customFormat="1">
      <c r="A22408" s="136"/>
      <c r="CM22408" s="111"/>
      <c r="CQ22408" s="111"/>
      <c r="EF22408"/>
      <c r="EG22408"/>
      <c r="EH22408"/>
      <c r="EI22408"/>
      <c r="EJ22408"/>
      <c r="EK22408"/>
    </row>
    <row r="22409" spans="1:141" s="116" customFormat="1">
      <c r="A22409" s="136"/>
      <c r="CM22409" s="111"/>
      <c r="CQ22409" s="111"/>
      <c r="EF22409"/>
      <c r="EG22409"/>
      <c r="EH22409"/>
      <c r="EI22409"/>
      <c r="EJ22409"/>
      <c r="EK22409"/>
    </row>
    <row r="22410" spans="1:141" s="116" customFormat="1">
      <c r="A22410" s="136"/>
      <c r="CM22410" s="111"/>
      <c r="CQ22410" s="111"/>
      <c r="EF22410"/>
      <c r="EG22410"/>
      <c r="EH22410"/>
      <c r="EI22410"/>
      <c r="EJ22410"/>
      <c r="EK22410"/>
    </row>
    <row r="22411" spans="1:141" s="116" customFormat="1">
      <c r="A22411" s="136"/>
      <c r="CM22411" s="111"/>
      <c r="CQ22411" s="111"/>
      <c r="EF22411"/>
      <c r="EG22411"/>
      <c r="EH22411"/>
      <c r="EI22411"/>
      <c r="EJ22411"/>
      <c r="EK22411"/>
    </row>
    <row r="22412" spans="1:141" s="116" customFormat="1">
      <c r="A22412" s="136"/>
      <c r="CM22412" s="111"/>
      <c r="CQ22412" s="111"/>
      <c r="EF22412"/>
      <c r="EG22412"/>
      <c r="EH22412"/>
      <c r="EI22412"/>
      <c r="EJ22412"/>
      <c r="EK22412"/>
    </row>
    <row r="22413" spans="1:141" s="116" customFormat="1">
      <c r="A22413" s="136"/>
      <c r="CM22413" s="111"/>
      <c r="CQ22413" s="111"/>
      <c r="EF22413"/>
      <c r="EG22413"/>
      <c r="EH22413"/>
      <c r="EI22413"/>
      <c r="EJ22413"/>
      <c r="EK22413"/>
    </row>
    <row r="22414" spans="1:141" s="116" customFormat="1">
      <c r="A22414" s="136"/>
      <c r="CM22414" s="111"/>
      <c r="CQ22414" s="111"/>
      <c r="EF22414"/>
      <c r="EG22414"/>
      <c r="EH22414"/>
      <c r="EI22414"/>
      <c r="EJ22414"/>
      <c r="EK22414"/>
    </row>
    <row r="22415" spans="1:141" s="116" customFormat="1">
      <c r="A22415" s="136"/>
      <c r="CM22415" s="111"/>
      <c r="CQ22415" s="111"/>
      <c r="EF22415"/>
      <c r="EG22415"/>
      <c r="EH22415"/>
      <c r="EI22415"/>
      <c r="EJ22415"/>
      <c r="EK22415"/>
    </row>
    <row r="22416" spans="1:141" s="116" customFormat="1">
      <c r="A22416" s="136"/>
      <c r="CM22416" s="111"/>
      <c r="CQ22416" s="111"/>
      <c r="EF22416"/>
      <c r="EG22416"/>
      <c r="EH22416"/>
      <c r="EI22416"/>
      <c r="EJ22416"/>
      <c r="EK22416"/>
    </row>
    <row r="22417" spans="1:141" s="116" customFormat="1">
      <c r="A22417" s="136"/>
      <c r="CM22417" s="111"/>
      <c r="CQ22417" s="111"/>
      <c r="EF22417"/>
      <c r="EG22417"/>
      <c r="EH22417"/>
      <c r="EI22417"/>
      <c r="EJ22417"/>
      <c r="EK22417"/>
    </row>
    <row r="22418" spans="1:141" s="116" customFormat="1">
      <c r="A22418" s="136"/>
      <c r="CM22418" s="111"/>
      <c r="CQ22418" s="111"/>
      <c r="EF22418"/>
      <c r="EG22418"/>
      <c r="EH22418"/>
      <c r="EI22418"/>
      <c r="EJ22418"/>
      <c r="EK22418"/>
    </row>
    <row r="22419" spans="1:141" s="116" customFormat="1">
      <c r="A22419" s="136"/>
      <c r="CM22419" s="111"/>
      <c r="CQ22419" s="111"/>
      <c r="EF22419"/>
      <c r="EG22419"/>
      <c r="EH22419"/>
      <c r="EI22419"/>
      <c r="EJ22419"/>
      <c r="EK22419"/>
    </row>
    <row r="22420" spans="1:141" s="116" customFormat="1">
      <c r="A22420" s="136"/>
      <c r="CM22420" s="111"/>
      <c r="CQ22420" s="111"/>
      <c r="EF22420"/>
      <c r="EG22420"/>
      <c r="EH22420"/>
      <c r="EI22420"/>
      <c r="EJ22420"/>
      <c r="EK22420"/>
    </row>
    <row r="22421" spans="1:141" s="116" customFormat="1">
      <c r="A22421" s="136"/>
      <c r="CM22421" s="111"/>
      <c r="CQ22421" s="111"/>
      <c r="EF22421"/>
      <c r="EG22421"/>
      <c r="EH22421"/>
      <c r="EI22421"/>
      <c r="EJ22421"/>
      <c r="EK22421"/>
    </row>
    <row r="22422" spans="1:141" s="116" customFormat="1">
      <c r="A22422" s="136"/>
      <c r="CM22422" s="111"/>
      <c r="CQ22422" s="111"/>
      <c r="EF22422"/>
      <c r="EG22422"/>
      <c r="EH22422"/>
      <c r="EI22422"/>
      <c r="EJ22422"/>
      <c r="EK22422"/>
    </row>
    <row r="22423" spans="1:141" s="116" customFormat="1">
      <c r="A22423" s="136"/>
      <c r="CM22423" s="111"/>
      <c r="CQ22423" s="111"/>
      <c r="EF22423"/>
      <c r="EG22423"/>
      <c r="EH22423"/>
      <c r="EI22423"/>
      <c r="EJ22423"/>
      <c r="EK22423"/>
    </row>
    <row r="22424" spans="1:141" s="116" customFormat="1">
      <c r="A22424" s="136"/>
      <c r="CM22424" s="111"/>
      <c r="CQ22424" s="111"/>
      <c r="EF22424"/>
      <c r="EG22424"/>
      <c r="EH22424"/>
      <c r="EI22424"/>
      <c r="EJ22424"/>
      <c r="EK22424"/>
    </row>
    <row r="22425" spans="1:141" s="116" customFormat="1">
      <c r="A22425" s="136"/>
      <c r="CM22425" s="111"/>
      <c r="CQ22425" s="111"/>
      <c r="EF22425"/>
      <c r="EG22425"/>
      <c r="EH22425"/>
      <c r="EI22425"/>
      <c r="EJ22425"/>
      <c r="EK22425"/>
    </row>
    <row r="22426" spans="1:141" s="116" customFormat="1">
      <c r="A22426" s="136"/>
      <c r="CM22426" s="111"/>
      <c r="CQ22426" s="111"/>
      <c r="EF22426"/>
      <c r="EG22426"/>
      <c r="EH22426"/>
      <c r="EI22426"/>
      <c r="EJ22426"/>
      <c r="EK22426"/>
    </row>
    <row r="22427" spans="1:141" s="116" customFormat="1">
      <c r="A22427" s="136"/>
      <c r="CM22427" s="111"/>
      <c r="CQ22427" s="111"/>
      <c r="EF22427"/>
      <c r="EG22427"/>
      <c r="EH22427"/>
      <c r="EI22427"/>
      <c r="EJ22427"/>
      <c r="EK22427"/>
    </row>
    <row r="22428" spans="1:141" s="116" customFormat="1">
      <c r="A22428" s="136"/>
      <c r="CM22428" s="111"/>
      <c r="CQ22428" s="111"/>
      <c r="EF22428"/>
      <c r="EG22428"/>
      <c r="EH22428"/>
      <c r="EI22428"/>
      <c r="EJ22428"/>
      <c r="EK22428"/>
    </row>
    <row r="22429" spans="1:141" s="116" customFormat="1">
      <c r="A22429" s="136"/>
      <c r="CM22429" s="111"/>
      <c r="CQ22429" s="111"/>
      <c r="EF22429"/>
      <c r="EG22429"/>
      <c r="EH22429"/>
      <c r="EI22429"/>
      <c r="EJ22429"/>
      <c r="EK22429"/>
    </row>
    <row r="22430" spans="1:141" s="116" customFormat="1">
      <c r="A22430" s="136"/>
      <c r="CM22430" s="111"/>
      <c r="CQ22430" s="111"/>
      <c r="EF22430"/>
      <c r="EG22430"/>
      <c r="EH22430"/>
      <c r="EI22430"/>
      <c r="EJ22430"/>
      <c r="EK22430"/>
    </row>
    <row r="22431" spans="1:141" s="116" customFormat="1">
      <c r="A22431" s="136"/>
      <c r="CM22431" s="111"/>
      <c r="CQ22431" s="111"/>
      <c r="EF22431"/>
      <c r="EG22431"/>
      <c r="EH22431"/>
      <c r="EI22431"/>
      <c r="EJ22431"/>
      <c r="EK22431"/>
    </row>
    <row r="22432" spans="1:141" s="116" customFormat="1">
      <c r="A22432" s="136"/>
      <c r="CM22432" s="111"/>
      <c r="CQ22432" s="111"/>
      <c r="EF22432"/>
      <c r="EG22432"/>
      <c r="EH22432"/>
      <c r="EI22432"/>
      <c r="EJ22432"/>
      <c r="EK22432"/>
    </row>
    <row r="22433" spans="1:141" s="116" customFormat="1">
      <c r="A22433" s="136"/>
      <c r="CM22433" s="111"/>
      <c r="CQ22433" s="111"/>
      <c r="EF22433"/>
      <c r="EG22433"/>
      <c r="EH22433"/>
      <c r="EI22433"/>
      <c r="EJ22433"/>
      <c r="EK22433"/>
    </row>
    <row r="22434" spans="1:141" s="116" customFormat="1">
      <c r="A22434" s="136"/>
      <c r="CM22434" s="111"/>
      <c r="CQ22434" s="111"/>
      <c r="EF22434"/>
      <c r="EG22434"/>
      <c r="EH22434"/>
      <c r="EI22434"/>
      <c r="EJ22434"/>
      <c r="EK22434"/>
    </row>
    <row r="22435" spans="1:141" s="116" customFormat="1">
      <c r="A22435" s="136"/>
      <c r="CM22435" s="111"/>
      <c r="CQ22435" s="111"/>
      <c r="EF22435"/>
      <c r="EG22435"/>
      <c r="EH22435"/>
      <c r="EI22435"/>
      <c r="EJ22435"/>
      <c r="EK22435"/>
    </row>
    <row r="22436" spans="1:141" s="116" customFormat="1">
      <c r="A22436" s="136"/>
      <c r="CM22436" s="111"/>
      <c r="CQ22436" s="111"/>
      <c r="EF22436"/>
      <c r="EG22436"/>
      <c r="EH22436"/>
      <c r="EI22436"/>
      <c r="EJ22436"/>
      <c r="EK22436"/>
    </row>
    <row r="22437" spans="1:141" s="116" customFormat="1">
      <c r="A22437" s="136"/>
      <c r="CM22437" s="111"/>
      <c r="CQ22437" s="111"/>
      <c r="EF22437"/>
      <c r="EG22437"/>
      <c r="EH22437"/>
      <c r="EI22437"/>
      <c r="EJ22437"/>
      <c r="EK22437"/>
    </row>
    <row r="22438" spans="1:141" s="116" customFormat="1">
      <c r="A22438" s="136"/>
      <c r="CM22438" s="111"/>
      <c r="CQ22438" s="111"/>
      <c r="EF22438"/>
      <c r="EG22438"/>
      <c r="EH22438"/>
      <c r="EI22438"/>
      <c r="EJ22438"/>
      <c r="EK22438"/>
    </row>
    <row r="22439" spans="1:141" s="116" customFormat="1">
      <c r="A22439" s="136"/>
      <c r="CM22439" s="111"/>
      <c r="CQ22439" s="111"/>
      <c r="EF22439"/>
      <c r="EG22439"/>
      <c r="EH22439"/>
      <c r="EI22439"/>
      <c r="EJ22439"/>
      <c r="EK22439"/>
    </row>
    <row r="22440" spans="1:141" s="116" customFormat="1">
      <c r="A22440" s="136"/>
      <c r="CM22440" s="111"/>
      <c r="CQ22440" s="111"/>
      <c r="EF22440"/>
      <c r="EG22440"/>
      <c r="EH22440"/>
      <c r="EI22440"/>
      <c r="EJ22440"/>
      <c r="EK22440"/>
    </row>
    <row r="22441" spans="1:141" s="116" customFormat="1">
      <c r="A22441" s="136"/>
      <c r="CM22441" s="111"/>
      <c r="CQ22441" s="111"/>
      <c r="EF22441"/>
      <c r="EG22441"/>
      <c r="EH22441"/>
      <c r="EI22441"/>
      <c r="EJ22441"/>
      <c r="EK22441"/>
    </row>
    <row r="22442" spans="1:141" s="116" customFormat="1">
      <c r="A22442" s="136"/>
      <c r="CM22442" s="111"/>
      <c r="CQ22442" s="111"/>
      <c r="EF22442"/>
      <c r="EG22442"/>
      <c r="EH22442"/>
      <c r="EI22442"/>
      <c r="EJ22442"/>
      <c r="EK22442"/>
    </row>
    <row r="22443" spans="1:141" s="116" customFormat="1">
      <c r="A22443" s="136"/>
      <c r="CM22443" s="111"/>
      <c r="CQ22443" s="111"/>
      <c r="EF22443"/>
      <c r="EG22443"/>
      <c r="EH22443"/>
      <c r="EI22443"/>
      <c r="EJ22443"/>
      <c r="EK22443"/>
    </row>
    <row r="22444" spans="1:141" s="116" customFormat="1">
      <c r="A22444" s="136"/>
      <c r="CM22444" s="111"/>
      <c r="CQ22444" s="111"/>
      <c r="EF22444"/>
      <c r="EG22444"/>
      <c r="EH22444"/>
      <c r="EI22444"/>
      <c r="EJ22444"/>
      <c r="EK22444"/>
    </row>
    <row r="22445" spans="1:141" s="116" customFormat="1">
      <c r="A22445" s="136"/>
      <c r="CM22445" s="111"/>
      <c r="CQ22445" s="111"/>
      <c r="EF22445"/>
      <c r="EG22445"/>
      <c r="EH22445"/>
      <c r="EI22445"/>
      <c r="EJ22445"/>
      <c r="EK22445"/>
    </row>
    <row r="22446" spans="1:141" s="116" customFormat="1">
      <c r="A22446" s="136"/>
      <c r="CM22446" s="111"/>
      <c r="CQ22446" s="111"/>
      <c r="EF22446"/>
      <c r="EG22446"/>
      <c r="EH22446"/>
      <c r="EI22446"/>
      <c r="EJ22446"/>
      <c r="EK22446"/>
    </row>
    <row r="22447" spans="1:141" s="116" customFormat="1">
      <c r="A22447" s="136"/>
      <c r="CM22447" s="111"/>
      <c r="CQ22447" s="111"/>
      <c r="EF22447"/>
      <c r="EG22447"/>
      <c r="EH22447"/>
      <c r="EI22447"/>
      <c r="EJ22447"/>
      <c r="EK22447"/>
    </row>
    <row r="22448" spans="1:141" s="116" customFormat="1">
      <c r="A22448" s="136"/>
      <c r="CM22448" s="111"/>
      <c r="CQ22448" s="111"/>
      <c r="EF22448"/>
      <c r="EG22448"/>
      <c r="EH22448"/>
      <c r="EI22448"/>
      <c r="EJ22448"/>
      <c r="EK22448"/>
    </row>
    <row r="22449" spans="1:141" s="116" customFormat="1">
      <c r="A22449" s="136"/>
      <c r="CM22449" s="111"/>
      <c r="CQ22449" s="111"/>
      <c r="EF22449"/>
      <c r="EG22449"/>
      <c r="EH22449"/>
      <c r="EI22449"/>
      <c r="EJ22449"/>
      <c r="EK22449"/>
    </row>
    <row r="22450" spans="1:141" s="116" customFormat="1">
      <c r="A22450" s="136"/>
      <c r="CM22450" s="111"/>
      <c r="CQ22450" s="111"/>
      <c r="EF22450"/>
      <c r="EG22450"/>
      <c r="EH22450"/>
      <c r="EI22450"/>
      <c r="EJ22450"/>
      <c r="EK22450"/>
    </row>
    <row r="22451" spans="1:141" s="116" customFormat="1">
      <c r="A22451" s="136"/>
      <c r="CM22451" s="111"/>
      <c r="CQ22451" s="111"/>
      <c r="EF22451"/>
      <c r="EG22451"/>
      <c r="EH22451"/>
      <c r="EI22451"/>
      <c r="EJ22451"/>
      <c r="EK22451"/>
    </row>
    <row r="22452" spans="1:141" s="116" customFormat="1">
      <c r="A22452" s="136"/>
      <c r="CM22452" s="111"/>
      <c r="CQ22452" s="111"/>
      <c r="EF22452"/>
      <c r="EG22452"/>
      <c r="EH22452"/>
      <c r="EI22452"/>
      <c r="EJ22452"/>
      <c r="EK22452"/>
    </row>
    <row r="22453" spans="1:141" s="116" customFormat="1">
      <c r="A22453" s="136"/>
      <c r="CM22453" s="111"/>
      <c r="CQ22453" s="111"/>
      <c r="EF22453"/>
      <c r="EG22453"/>
      <c r="EH22453"/>
      <c r="EI22453"/>
      <c r="EJ22453"/>
      <c r="EK22453"/>
    </row>
    <row r="22454" spans="1:141" s="116" customFormat="1">
      <c r="A22454" s="136"/>
      <c r="CM22454" s="111"/>
      <c r="CQ22454" s="111"/>
      <c r="EF22454"/>
      <c r="EG22454"/>
      <c r="EH22454"/>
      <c r="EI22454"/>
      <c r="EJ22454"/>
      <c r="EK22454"/>
    </row>
    <row r="22455" spans="1:141" s="116" customFormat="1">
      <c r="A22455" s="136"/>
      <c r="CM22455" s="111"/>
      <c r="CQ22455" s="111"/>
      <c r="EF22455"/>
      <c r="EG22455"/>
      <c r="EH22455"/>
      <c r="EI22455"/>
      <c r="EJ22455"/>
      <c r="EK22455"/>
    </row>
    <row r="22456" spans="1:141" s="116" customFormat="1">
      <c r="A22456" s="136"/>
      <c r="CM22456" s="111"/>
      <c r="CQ22456" s="111"/>
      <c r="EF22456"/>
      <c r="EG22456"/>
      <c r="EH22456"/>
      <c r="EI22456"/>
      <c r="EJ22456"/>
      <c r="EK22456"/>
    </row>
    <row r="22457" spans="1:141" s="116" customFormat="1">
      <c r="A22457" s="136"/>
      <c r="CM22457" s="111"/>
      <c r="CQ22457" s="111"/>
      <c r="EF22457"/>
      <c r="EG22457"/>
      <c r="EH22457"/>
      <c r="EI22457"/>
      <c r="EJ22457"/>
      <c r="EK22457"/>
    </row>
    <row r="22458" spans="1:141" s="116" customFormat="1">
      <c r="A22458" s="136"/>
      <c r="CM22458" s="111"/>
      <c r="CQ22458" s="111"/>
      <c r="EF22458"/>
      <c r="EG22458"/>
      <c r="EH22458"/>
      <c r="EI22458"/>
      <c r="EJ22458"/>
      <c r="EK22458"/>
    </row>
    <row r="22459" spans="1:141" s="116" customFormat="1">
      <c r="A22459" s="136"/>
      <c r="CM22459" s="111"/>
      <c r="CQ22459" s="111"/>
      <c r="EF22459"/>
      <c r="EG22459"/>
      <c r="EH22459"/>
      <c r="EI22459"/>
      <c r="EJ22459"/>
      <c r="EK22459"/>
    </row>
    <row r="22460" spans="1:141" s="116" customFormat="1">
      <c r="A22460" s="136"/>
      <c r="CM22460" s="111"/>
      <c r="CQ22460" s="111"/>
      <c r="EF22460"/>
      <c r="EG22460"/>
      <c r="EH22460"/>
      <c r="EI22460"/>
      <c r="EJ22460"/>
      <c r="EK22460"/>
    </row>
    <row r="22461" spans="1:141" s="116" customFormat="1">
      <c r="A22461" s="136"/>
      <c r="CM22461" s="111"/>
      <c r="CQ22461" s="111"/>
      <c r="EF22461"/>
      <c r="EG22461"/>
      <c r="EH22461"/>
      <c r="EI22461"/>
      <c r="EJ22461"/>
      <c r="EK22461"/>
    </row>
    <row r="22462" spans="1:141" s="116" customFormat="1">
      <c r="A22462" s="136"/>
      <c r="CM22462" s="111"/>
      <c r="CQ22462" s="111"/>
      <c r="EF22462"/>
      <c r="EG22462"/>
      <c r="EH22462"/>
      <c r="EI22462"/>
      <c r="EJ22462"/>
      <c r="EK22462"/>
    </row>
    <row r="22463" spans="1:141" s="116" customFormat="1">
      <c r="A22463" s="136"/>
      <c r="CM22463" s="111"/>
      <c r="CQ22463" s="111"/>
      <c r="EF22463"/>
      <c r="EG22463"/>
      <c r="EH22463"/>
      <c r="EI22463"/>
      <c r="EJ22463"/>
      <c r="EK22463"/>
    </row>
    <row r="22464" spans="1:141" s="116" customFormat="1">
      <c r="A22464" s="136"/>
      <c r="CM22464" s="111"/>
      <c r="CQ22464" s="111"/>
      <c r="EF22464"/>
      <c r="EG22464"/>
      <c r="EH22464"/>
      <c r="EI22464"/>
      <c r="EJ22464"/>
      <c r="EK22464"/>
    </row>
    <row r="22465" spans="1:141" s="116" customFormat="1">
      <c r="A22465" s="136"/>
      <c r="CM22465" s="111"/>
      <c r="CQ22465" s="111"/>
      <c r="EF22465"/>
      <c r="EG22465"/>
      <c r="EH22465"/>
      <c r="EI22465"/>
      <c r="EJ22465"/>
      <c r="EK22465"/>
    </row>
    <row r="22466" spans="1:141" s="116" customFormat="1">
      <c r="A22466" s="136"/>
      <c r="CM22466" s="111"/>
      <c r="CQ22466" s="111"/>
      <c r="EF22466"/>
      <c r="EG22466"/>
      <c r="EH22466"/>
      <c r="EI22466"/>
      <c r="EJ22466"/>
      <c r="EK22466"/>
    </row>
    <row r="22467" spans="1:141" s="116" customFormat="1">
      <c r="A22467" s="136"/>
      <c r="CM22467" s="111"/>
      <c r="CQ22467" s="111"/>
      <c r="EF22467"/>
      <c r="EG22467"/>
      <c r="EH22467"/>
      <c r="EI22467"/>
      <c r="EJ22467"/>
      <c r="EK22467"/>
    </row>
    <row r="22468" spans="1:141" s="116" customFormat="1">
      <c r="A22468" s="136"/>
      <c r="CM22468" s="111"/>
      <c r="CQ22468" s="111"/>
      <c r="EF22468"/>
      <c r="EG22468"/>
      <c r="EH22468"/>
      <c r="EI22468"/>
      <c r="EJ22468"/>
      <c r="EK22468"/>
    </row>
    <row r="22469" spans="1:141" s="116" customFormat="1">
      <c r="A22469" s="136"/>
      <c r="CM22469" s="111"/>
      <c r="CQ22469" s="111"/>
      <c r="EF22469"/>
      <c r="EG22469"/>
      <c r="EH22469"/>
      <c r="EI22469"/>
      <c r="EJ22469"/>
      <c r="EK22469"/>
    </row>
    <row r="22470" spans="1:141" s="116" customFormat="1">
      <c r="A22470" s="136"/>
      <c r="CM22470" s="111"/>
      <c r="CQ22470" s="111"/>
      <c r="EF22470"/>
      <c r="EG22470"/>
      <c r="EH22470"/>
      <c r="EI22470"/>
      <c r="EJ22470"/>
      <c r="EK22470"/>
    </row>
    <row r="22471" spans="1:141" s="116" customFormat="1">
      <c r="A22471" s="136"/>
      <c r="CM22471" s="111"/>
      <c r="CQ22471" s="111"/>
      <c r="EF22471"/>
      <c r="EG22471"/>
      <c r="EH22471"/>
      <c r="EI22471"/>
      <c r="EJ22471"/>
      <c r="EK22471"/>
    </row>
    <row r="22472" spans="1:141" s="116" customFormat="1">
      <c r="A22472" s="136"/>
      <c r="CM22472" s="111"/>
      <c r="CQ22472" s="111"/>
      <c r="EF22472"/>
      <c r="EG22472"/>
      <c r="EH22472"/>
      <c r="EI22472"/>
      <c r="EJ22472"/>
      <c r="EK22472"/>
    </row>
    <row r="22473" spans="1:141" s="116" customFormat="1">
      <c r="A22473" s="136"/>
      <c r="CM22473" s="111"/>
      <c r="CQ22473" s="111"/>
      <c r="EF22473"/>
      <c r="EG22473"/>
      <c r="EH22473"/>
      <c r="EI22473"/>
      <c r="EJ22473"/>
      <c r="EK22473"/>
    </row>
    <row r="22474" spans="1:141" s="116" customFormat="1">
      <c r="A22474" s="136"/>
      <c r="CM22474" s="111"/>
      <c r="CQ22474" s="111"/>
      <c r="EF22474"/>
      <c r="EG22474"/>
      <c r="EH22474"/>
      <c r="EI22474"/>
      <c r="EJ22474"/>
      <c r="EK22474"/>
    </row>
    <row r="22475" spans="1:141" s="116" customFormat="1">
      <c r="A22475" s="136"/>
      <c r="CM22475" s="111"/>
      <c r="CQ22475" s="111"/>
      <c r="EF22475"/>
      <c r="EG22475"/>
      <c r="EH22475"/>
      <c r="EI22475"/>
      <c r="EJ22475"/>
      <c r="EK22475"/>
    </row>
    <row r="22476" spans="1:141" s="116" customFormat="1">
      <c r="A22476" s="136"/>
      <c r="CM22476" s="111"/>
      <c r="CQ22476" s="111"/>
      <c r="EF22476"/>
      <c r="EG22476"/>
      <c r="EH22476"/>
      <c r="EI22476"/>
      <c r="EJ22476"/>
      <c r="EK22476"/>
    </row>
    <row r="22477" spans="1:141" s="116" customFormat="1">
      <c r="A22477" s="136"/>
      <c r="CM22477" s="111"/>
      <c r="CQ22477" s="111"/>
      <c r="EF22477"/>
      <c r="EG22477"/>
      <c r="EH22477"/>
      <c r="EI22477"/>
      <c r="EJ22477"/>
      <c r="EK22477"/>
    </row>
    <row r="22478" spans="1:141" s="116" customFormat="1">
      <c r="A22478" s="136"/>
      <c r="CM22478" s="111"/>
      <c r="CQ22478" s="111"/>
      <c r="EF22478"/>
      <c r="EG22478"/>
      <c r="EH22478"/>
      <c r="EI22478"/>
      <c r="EJ22478"/>
      <c r="EK22478"/>
    </row>
    <row r="22479" spans="1:141" s="116" customFormat="1">
      <c r="A22479" s="136"/>
      <c r="CM22479" s="111"/>
      <c r="CQ22479" s="111"/>
      <c r="EF22479"/>
      <c r="EG22479"/>
      <c r="EH22479"/>
      <c r="EI22479"/>
      <c r="EJ22479"/>
      <c r="EK22479"/>
    </row>
    <row r="22480" spans="1:141" s="116" customFormat="1">
      <c r="A22480" s="136"/>
      <c r="CM22480" s="111"/>
      <c r="CQ22480" s="111"/>
      <c r="EF22480"/>
      <c r="EG22480"/>
      <c r="EH22480"/>
      <c r="EI22480"/>
      <c r="EJ22480"/>
      <c r="EK22480"/>
    </row>
    <row r="22481" spans="1:141" s="116" customFormat="1">
      <c r="A22481" s="136"/>
      <c r="CM22481" s="111"/>
      <c r="CQ22481" s="111"/>
      <c r="EF22481"/>
      <c r="EG22481"/>
      <c r="EH22481"/>
      <c r="EI22481"/>
      <c r="EJ22481"/>
      <c r="EK22481"/>
    </row>
    <row r="22482" spans="1:141" s="116" customFormat="1">
      <c r="A22482" s="136"/>
      <c r="CM22482" s="111"/>
      <c r="CQ22482" s="111"/>
      <c r="EF22482"/>
      <c r="EG22482"/>
      <c r="EH22482"/>
      <c r="EI22482"/>
      <c r="EJ22482"/>
      <c r="EK22482"/>
    </row>
    <row r="22483" spans="1:141" s="116" customFormat="1">
      <c r="A22483" s="136"/>
      <c r="CM22483" s="111"/>
      <c r="CQ22483" s="111"/>
      <c r="EF22483"/>
      <c r="EG22483"/>
      <c r="EH22483"/>
      <c r="EI22483"/>
      <c r="EJ22483"/>
      <c r="EK22483"/>
    </row>
    <row r="22484" spans="1:141" s="116" customFormat="1">
      <c r="A22484" s="136"/>
      <c r="CM22484" s="111"/>
      <c r="CQ22484" s="111"/>
      <c r="EF22484"/>
      <c r="EG22484"/>
      <c r="EH22484"/>
      <c r="EI22484"/>
      <c r="EJ22484"/>
      <c r="EK22484"/>
    </row>
    <row r="22485" spans="1:141" s="116" customFormat="1">
      <c r="A22485" s="136"/>
      <c r="CM22485" s="111"/>
      <c r="CQ22485" s="111"/>
      <c r="EF22485"/>
      <c r="EG22485"/>
      <c r="EH22485"/>
      <c r="EI22485"/>
      <c r="EJ22485"/>
      <c r="EK22485"/>
    </row>
    <row r="22486" spans="1:141" s="116" customFormat="1">
      <c r="A22486" s="136"/>
      <c r="CM22486" s="111"/>
      <c r="CQ22486" s="111"/>
      <c r="EF22486"/>
      <c r="EG22486"/>
      <c r="EH22486"/>
      <c r="EI22486"/>
      <c r="EJ22486"/>
      <c r="EK22486"/>
    </row>
    <row r="22487" spans="1:141" s="116" customFormat="1">
      <c r="A22487" s="136"/>
      <c r="CM22487" s="111"/>
      <c r="CQ22487" s="111"/>
      <c r="EF22487"/>
      <c r="EG22487"/>
      <c r="EH22487"/>
      <c r="EI22487"/>
      <c r="EJ22487"/>
      <c r="EK22487"/>
    </row>
    <row r="22488" spans="1:141" s="116" customFormat="1">
      <c r="A22488" s="136"/>
      <c r="CM22488" s="111"/>
      <c r="CQ22488" s="111"/>
      <c r="EF22488"/>
      <c r="EG22488"/>
      <c r="EH22488"/>
      <c r="EI22488"/>
      <c r="EJ22488"/>
      <c r="EK22488"/>
    </row>
    <row r="22489" spans="1:141" s="116" customFormat="1">
      <c r="A22489" s="136"/>
      <c r="CM22489" s="111"/>
      <c r="CQ22489" s="111"/>
      <c r="EF22489"/>
      <c r="EG22489"/>
      <c r="EH22489"/>
      <c r="EI22489"/>
      <c r="EJ22489"/>
      <c r="EK22489"/>
    </row>
    <row r="22490" spans="1:141" s="116" customFormat="1">
      <c r="A22490" s="136"/>
      <c r="CM22490" s="111"/>
      <c r="CQ22490" s="111"/>
      <c r="EF22490"/>
      <c r="EG22490"/>
      <c r="EH22490"/>
      <c r="EI22490"/>
      <c r="EJ22490"/>
      <c r="EK22490"/>
    </row>
    <row r="22491" spans="1:141" s="116" customFormat="1">
      <c r="A22491" s="136"/>
      <c r="CM22491" s="111"/>
      <c r="CQ22491" s="111"/>
      <c r="EF22491"/>
      <c r="EG22491"/>
      <c r="EH22491"/>
      <c r="EI22491"/>
      <c r="EJ22491"/>
      <c r="EK22491"/>
    </row>
    <row r="22492" spans="1:141" s="116" customFormat="1">
      <c r="A22492" s="136"/>
      <c r="CM22492" s="111"/>
      <c r="CQ22492" s="111"/>
      <c r="EF22492"/>
      <c r="EG22492"/>
      <c r="EH22492"/>
      <c r="EI22492"/>
      <c r="EJ22492"/>
      <c r="EK22492"/>
    </row>
    <row r="22493" spans="1:141" s="116" customFormat="1">
      <c r="A22493" s="136"/>
      <c r="CM22493" s="111"/>
      <c r="CQ22493" s="111"/>
      <c r="EF22493"/>
      <c r="EG22493"/>
      <c r="EH22493"/>
      <c r="EI22493"/>
      <c r="EJ22493"/>
      <c r="EK22493"/>
    </row>
    <row r="22494" spans="1:141" s="116" customFormat="1">
      <c r="A22494" s="136"/>
      <c r="CM22494" s="111"/>
      <c r="CQ22494" s="111"/>
      <c r="EF22494"/>
      <c r="EG22494"/>
      <c r="EH22494"/>
      <c r="EI22494"/>
      <c r="EJ22494"/>
      <c r="EK22494"/>
    </row>
    <row r="22495" spans="1:141" s="116" customFormat="1">
      <c r="A22495" s="136"/>
      <c r="CM22495" s="111"/>
      <c r="CQ22495" s="111"/>
      <c r="EF22495"/>
      <c r="EG22495"/>
      <c r="EH22495"/>
      <c r="EI22495"/>
      <c r="EJ22495"/>
      <c r="EK22495"/>
    </row>
    <row r="22496" spans="1:141" s="116" customFormat="1">
      <c r="A22496" s="136"/>
      <c r="CM22496" s="111"/>
      <c r="CQ22496" s="111"/>
      <c r="EF22496"/>
      <c r="EG22496"/>
      <c r="EH22496"/>
      <c r="EI22496"/>
      <c r="EJ22496"/>
      <c r="EK22496"/>
    </row>
    <row r="22497" spans="1:141" s="116" customFormat="1">
      <c r="A22497" s="136"/>
      <c r="CM22497" s="111"/>
      <c r="CQ22497" s="111"/>
      <c r="EF22497"/>
      <c r="EG22497"/>
      <c r="EH22497"/>
      <c r="EI22497"/>
      <c r="EJ22497"/>
      <c r="EK22497"/>
    </row>
    <row r="22498" spans="1:141" s="116" customFormat="1">
      <c r="A22498" s="136"/>
      <c r="CM22498" s="111"/>
      <c r="CQ22498" s="111"/>
      <c r="EF22498"/>
      <c r="EG22498"/>
      <c r="EH22498"/>
      <c r="EI22498"/>
      <c r="EJ22498"/>
      <c r="EK22498"/>
    </row>
    <row r="22499" spans="1:141" s="116" customFormat="1">
      <c r="A22499" s="136"/>
      <c r="CM22499" s="111"/>
      <c r="CQ22499" s="111"/>
      <c r="EF22499"/>
      <c r="EG22499"/>
      <c r="EH22499"/>
      <c r="EI22499"/>
      <c r="EJ22499"/>
      <c r="EK22499"/>
    </row>
    <row r="22500" spans="1:141" s="116" customFormat="1">
      <c r="A22500" s="136"/>
      <c r="CM22500" s="111"/>
      <c r="CQ22500" s="111"/>
      <c r="EF22500"/>
      <c r="EG22500"/>
      <c r="EH22500"/>
      <c r="EI22500"/>
      <c r="EJ22500"/>
      <c r="EK22500"/>
    </row>
    <row r="22501" spans="1:141" s="116" customFormat="1">
      <c r="A22501" s="136"/>
      <c r="CM22501" s="111"/>
      <c r="CQ22501" s="111"/>
      <c r="EF22501"/>
      <c r="EG22501"/>
      <c r="EH22501"/>
      <c r="EI22501"/>
      <c r="EJ22501"/>
      <c r="EK22501"/>
    </row>
    <row r="22502" spans="1:141" s="116" customFormat="1">
      <c r="A22502" s="136"/>
      <c r="CM22502" s="111"/>
      <c r="CQ22502" s="111"/>
      <c r="EF22502"/>
      <c r="EG22502"/>
      <c r="EH22502"/>
      <c r="EI22502"/>
      <c r="EJ22502"/>
      <c r="EK22502"/>
    </row>
    <row r="22503" spans="1:141" s="116" customFormat="1">
      <c r="A22503" s="136"/>
      <c r="CM22503" s="111"/>
      <c r="CQ22503" s="111"/>
      <c r="EF22503"/>
      <c r="EG22503"/>
      <c r="EH22503"/>
      <c r="EI22503"/>
      <c r="EJ22503"/>
      <c r="EK22503"/>
    </row>
    <row r="22504" spans="1:141" s="116" customFormat="1">
      <c r="A22504" s="136"/>
      <c r="CM22504" s="111"/>
      <c r="CQ22504" s="111"/>
      <c r="EF22504"/>
      <c r="EG22504"/>
      <c r="EH22504"/>
      <c r="EI22504"/>
      <c r="EJ22504"/>
      <c r="EK22504"/>
    </row>
    <row r="22505" spans="1:141" s="116" customFormat="1">
      <c r="A22505" s="136"/>
      <c r="CM22505" s="111"/>
      <c r="CQ22505" s="111"/>
      <c r="EF22505"/>
      <c r="EG22505"/>
      <c r="EH22505"/>
      <c r="EI22505"/>
      <c r="EJ22505"/>
      <c r="EK22505"/>
    </row>
    <row r="22506" spans="1:141" s="116" customFormat="1">
      <c r="A22506" s="136"/>
      <c r="CM22506" s="111"/>
      <c r="CQ22506" s="111"/>
      <c r="EF22506"/>
      <c r="EG22506"/>
      <c r="EH22506"/>
      <c r="EI22506"/>
      <c r="EJ22506"/>
      <c r="EK22506"/>
    </row>
    <row r="22507" spans="1:141" s="116" customFormat="1">
      <c r="A22507" s="136"/>
      <c r="CM22507" s="111"/>
      <c r="CQ22507" s="111"/>
      <c r="EF22507"/>
      <c r="EG22507"/>
      <c r="EH22507"/>
      <c r="EI22507"/>
      <c r="EJ22507"/>
      <c r="EK22507"/>
    </row>
    <row r="22508" spans="1:141" s="116" customFormat="1">
      <c r="A22508" s="136"/>
      <c r="CM22508" s="111"/>
      <c r="CQ22508" s="111"/>
      <c r="EF22508"/>
      <c r="EG22508"/>
      <c r="EH22508"/>
      <c r="EI22508"/>
      <c r="EJ22508"/>
      <c r="EK22508"/>
    </row>
    <row r="22509" spans="1:141" s="116" customFormat="1">
      <c r="A22509" s="136"/>
      <c r="CM22509" s="111"/>
      <c r="CQ22509" s="111"/>
      <c r="EF22509"/>
      <c r="EG22509"/>
      <c r="EH22509"/>
      <c r="EI22509"/>
      <c r="EJ22509"/>
      <c r="EK22509"/>
    </row>
    <row r="22510" spans="1:141" s="116" customFormat="1">
      <c r="A22510" s="136"/>
      <c r="CM22510" s="111"/>
      <c r="CQ22510" s="111"/>
      <c r="EF22510"/>
      <c r="EG22510"/>
      <c r="EH22510"/>
      <c r="EI22510"/>
      <c r="EJ22510"/>
      <c r="EK22510"/>
    </row>
    <row r="22511" spans="1:141" s="116" customFormat="1">
      <c r="A22511" s="136"/>
      <c r="CM22511" s="111"/>
      <c r="CQ22511" s="111"/>
      <c r="EF22511"/>
      <c r="EG22511"/>
      <c r="EH22511"/>
      <c r="EI22511"/>
      <c r="EJ22511"/>
      <c r="EK22511"/>
    </row>
    <row r="22512" spans="1:141" s="116" customFormat="1">
      <c r="A22512" s="136"/>
      <c r="CM22512" s="111"/>
      <c r="CQ22512" s="111"/>
      <c r="EF22512"/>
      <c r="EG22512"/>
      <c r="EH22512"/>
      <c r="EI22512"/>
      <c r="EJ22512"/>
      <c r="EK22512"/>
    </row>
    <row r="22513" spans="1:141" s="116" customFormat="1">
      <c r="A22513" s="136"/>
      <c r="CM22513" s="111"/>
      <c r="CQ22513" s="111"/>
      <c r="EF22513"/>
      <c r="EG22513"/>
      <c r="EH22513"/>
      <c r="EI22513"/>
      <c r="EJ22513"/>
      <c r="EK22513"/>
    </row>
    <row r="22514" spans="1:141" s="116" customFormat="1">
      <c r="A22514" s="136"/>
      <c r="CM22514" s="111"/>
      <c r="CQ22514" s="111"/>
      <c r="EF22514"/>
      <c r="EG22514"/>
      <c r="EH22514"/>
      <c r="EI22514"/>
      <c r="EJ22514"/>
      <c r="EK22514"/>
    </row>
    <row r="22515" spans="1:141" s="116" customFormat="1">
      <c r="A22515" s="136"/>
      <c r="CM22515" s="111"/>
      <c r="CQ22515" s="111"/>
      <c r="EF22515"/>
      <c r="EG22515"/>
      <c r="EH22515"/>
      <c r="EI22515"/>
      <c r="EJ22515"/>
      <c r="EK22515"/>
    </row>
    <row r="22516" spans="1:141" s="116" customFormat="1">
      <c r="A22516" s="136"/>
      <c r="CM22516" s="111"/>
      <c r="CQ22516" s="111"/>
      <c r="EF22516"/>
      <c r="EG22516"/>
      <c r="EH22516"/>
      <c r="EI22516"/>
      <c r="EJ22516"/>
      <c r="EK22516"/>
    </row>
    <row r="22517" spans="1:141" s="116" customFormat="1">
      <c r="A22517" s="136"/>
      <c r="CM22517" s="111"/>
      <c r="CQ22517" s="111"/>
      <c r="EF22517"/>
      <c r="EG22517"/>
      <c r="EH22517"/>
      <c r="EI22517"/>
      <c r="EJ22517"/>
      <c r="EK22517"/>
    </row>
    <row r="22518" spans="1:141" s="116" customFormat="1">
      <c r="A22518" s="136"/>
      <c r="CM22518" s="111"/>
      <c r="CQ22518" s="111"/>
      <c r="EF22518"/>
      <c r="EG22518"/>
      <c r="EH22518"/>
      <c r="EI22518"/>
      <c r="EJ22518"/>
      <c r="EK22518"/>
    </row>
    <row r="22519" spans="1:141" s="116" customFormat="1">
      <c r="A22519" s="136"/>
      <c r="CM22519" s="111"/>
      <c r="CQ22519" s="111"/>
      <c r="EF22519"/>
      <c r="EG22519"/>
      <c r="EH22519"/>
      <c r="EI22519"/>
      <c r="EJ22519"/>
      <c r="EK22519"/>
    </row>
    <row r="22520" spans="1:141" s="116" customFormat="1">
      <c r="A22520" s="136"/>
      <c r="CM22520" s="111"/>
      <c r="CQ22520" s="111"/>
      <c r="EF22520"/>
      <c r="EG22520"/>
      <c r="EH22520"/>
      <c r="EI22520"/>
      <c r="EJ22520"/>
      <c r="EK22520"/>
    </row>
    <row r="22521" spans="1:141" s="116" customFormat="1">
      <c r="A22521" s="136"/>
      <c r="CM22521" s="111"/>
      <c r="CQ22521" s="111"/>
      <c r="EF22521"/>
      <c r="EG22521"/>
      <c r="EH22521"/>
      <c r="EI22521"/>
      <c r="EJ22521"/>
      <c r="EK22521"/>
    </row>
    <row r="22522" spans="1:141" s="116" customFormat="1">
      <c r="A22522" s="136"/>
      <c r="CM22522" s="111"/>
      <c r="CQ22522" s="111"/>
      <c r="EF22522"/>
      <c r="EG22522"/>
      <c r="EH22522"/>
      <c r="EI22522"/>
      <c r="EJ22522"/>
      <c r="EK22522"/>
    </row>
    <row r="22523" spans="1:141" s="116" customFormat="1">
      <c r="A22523" s="136"/>
      <c r="CM22523" s="111"/>
      <c r="CQ22523" s="111"/>
      <c r="EF22523"/>
      <c r="EG22523"/>
      <c r="EH22523"/>
      <c r="EI22523"/>
      <c r="EJ22523"/>
      <c r="EK22523"/>
    </row>
    <row r="22524" spans="1:141" s="116" customFormat="1">
      <c r="A22524" s="136"/>
      <c r="CM22524" s="111"/>
      <c r="CQ22524" s="111"/>
      <c r="EF22524"/>
      <c r="EG22524"/>
      <c r="EH22524"/>
      <c r="EI22524"/>
      <c r="EJ22524"/>
      <c r="EK22524"/>
    </row>
    <row r="22525" spans="1:141" s="116" customFormat="1">
      <c r="A22525" s="136"/>
      <c r="CM22525" s="111"/>
      <c r="CQ22525" s="111"/>
      <c r="EF22525"/>
      <c r="EG22525"/>
      <c r="EH22525"/>
      <c r="EI22525"/>
      <c r="EJ22525"/>
      <c r="EK22525"/>
    </row>
    <row r="22526" spans="1:141" s="116" customFormat="1">
      <c r="A22526" s="136"/>
      <c r="CM22526" s="111"/>
      <c r="CQ22526" s="111"/>
      <c r="EF22526"/>
      <c r="EG22526"/>
      <c r="EH22526"/>
      <c r="EI22526"/>
      <c r="EJ22526"/>
      <c r="EK22526"/>
    </row>
    <row r="22527" spans="1:141" s="116" customFormat="1">
      <c r="A22527" s="136"/>
      <c r="CM22527" s="111"/>
      <c r="CQ22527" s="111"/>
      <c r="EF22527"/>
      <c r="EG22527"/>
      <c r="EH22527"/>
      <c r="EI22527"/>
      <c r="EJ22527"/>
      <c r="EK22527"/>
    </row>
    <row r="22528" spans="1:141" s="116" customFormat="1">
      <c r="A22528" s="136"/>
      <c r="CM22528" s="111"/>
      <c r="CQ22528" s="111"/>
      <c r="EF22528"/>
      <c r="EG22528"/>
      <c r="EH22528"/>
      <c r="EI22528"/>
      <c r="EJ22528"/>
      <c r="EK22528"/>
    </row>
    <row r="22529" spans="1:141" s="116" customFormat="1">
      <c r="A22529" s="136"/>
      <c r="CM22529" s="111"/>
      <c r="CQ22529" s="111"/>
      <c r="EF22529"/>
      <c r="EG22529"/>
      <c r="EH22529"/>
      <c r="EI22529"/>
      <c r="EJ22529"/>
      <c r="EK22529"/>
    </row>
    <row r="22530" spans="1:141" s="116" customFormat="1">
      <c r="A22530" s="136"/>
      <c r="CM22530" s="111"/>
      <c r="CQ22530" s="111"/>
      <c r="EF22530"/>
      <c r="EG22530"/>
      <c r="EH22530"/>
      <c r="EI22530"/>
      <c r="EJ22530"/>
      <c r="EK22530"/>
    </row>
    <row r="22531" spans="1:141" s="116" customFormat="1">
      <c r="A22531" s="136"/>
      <c r="CM22531" s="111"/>
      <c r="CQ22531" s="111"/>
      <c r="EF22531"/>
      <c r="EG22531"/>
      <c r="EH22531"/>
      <c r="EI22531"/>
      <c r="EJ22531"/>
      <c r="EK22531"/>
    </row>
    <row r="22532" spans="1:141" s="116" customFormat="1">
      <c r="A22532" s="136"/>
      <c r="CM22532" s="111"/>
      <c r="CQ22532" s="111"/>
      <c r="EF22532"/>
      <c r="EG22532"/>
      <c r="EH22532"/>
      <c r="EI22532"/>
      <c r="EJ22532"/>
      <c r="EK22532"/>
    </row>
    <row r="22533" spans="1:141" s="116" customFormat="1">
      <c r="A22533" s="136"/>
      <c r="CM22533" s="111"/>
      <c r="CQ22533" s="111"/>
      <c r="EF22533"/>
      <c r="EG22533"/>
      <c r="EH22533"/>
      <c r="EI22533"/>
      <c r="EJ22533"/>
      <c r="EK22533"/>
    </row>
    <row r="22534" spans="1:141" s="116" customFormat="1">
      <c r="A22534" s="136"/>
      <c r="CM22534" s="111"/>
      <c r="CQ22534" s="111"/>
      <c r="EF22534"/>
      <c r="EG22534"/>
      <c r="EH22534"/>
      <c r="EI22534"/>
      <c r="EJ22534"/>
      <c r="EK22534"/>
    </row>
    <row r="22535" spans="1:141" s="116" customFormat="1">
      <c r="A22535" s="136"/>
      <c r="CM22535" s="111"/>
      <c r="CQ22535" s="111"/>
      <c r="EF22535"/>
      <c r="EG22535"/>
      <c r="EH22535"/>
      <c r="EI22535"/>
      <c r="EJ22535"/>
      <c r="EK22535"/>
    </row>
    <row r="22536" spans="1:141" s="116" customFormat="1">
      <c r="A22536" s="136"/>
      <c r="CM22536" s="111"/>
      <c r="CQ22536" s="111"/>
      <c r="EF22536"/>
      <c r="EG22536"/>
      <c r="EH22536"/>
      <c r="EI22536"/>
      <c r="EJ22536"/>
      <c r="EK22536"/>
    </row>
    <row r="22537" spans="1:141" s="116" customFormat="1">
      <c r="A22537" s="136"/>
      <c r="CM22537" s="111"/>
      <c r="CQ22537" s="111"/>
      <c r="EF22537"/>
      <c r="EG22537"/>
      <c r="EH22537"/>
      <c r="EI22537"/>
      <c r="EJ22537"/>
      <c r="EK22537"/>
    </row>
    <row r="22538" spans="1:141" s="116" customFormat="1">
      <c r="A22538" s="136"/>
      <c r="CM22538" s="111"/>
      <c r="CQ22538" s="111"/>
      <c r="EF22538"/>
      <c r="EG22538"/>
      <c r="EH22538"/>
      <c r="EI22538"/>
      <c r="EJ22538"/>
      <c r="EK22538"/>
    </row>
    <row r="22539" spans="1:141" s="116" customFormat="1">
      <c r="A22539" s="136"/>
      <c r="CM22539" s="111"/>
      <c r="CQ22539" s="111"/>
      <c r="EF22539"/>
      <c r="EG22539"/>
      <c r="EH22539"/>
      <c r="EI22539"/>
      <c r="EJ22539"/>
      <c r="EK22539"/>
    </row>
    <row r="22540" spans="1:141" s="116" customFormat="1">
      <c r="A22540" s="136"/>
      <c r="CM22540" s="111"/>
      <c r="CQ22540" s="111"/>
      <c r="EF22540"/>
      <c r="EG22540"/>
      <c r="EH22540"/>
      <c r="EI22540"/>
      <c r="EJ22540"/>
      <c r="EK22540"/>
    </row>
    <row r="22541" spans="1:141" s="116" customFormat="1">
      <c r="A22541" s="136"/>
      <c r="CM22541" s="111"/>
      <c r="CQ22541" s="111"/>
      <c r="EF22541"/>
      <c r="EG22541"/>
      <c r="EH22541"/>
      <c r="EI22541"/>
      <c r="EJ22541"/>
      <c r="EK22541"/>
    </row>
    <row r="22542" spans="1:141" s="116" customFormat="1">
      <c r="A22542" s="136"/>
      <c r="CM22542" s="111"/>
      <c r="CQ22542" s="111"/>
      <c r="EF22542"/>
      <c r="EG22542"/>
      <c r="EH22542"/>
      <c r="EI22542"/>
      <c r="EJ22542"/>
      <c r="EK22542"/>
    </row>
    <row r="22543" spans="1:141" s="116" customFormat="1">
      <c r="A22543" s="136"/>
      <c r="CM22543" s="111"/>
      <c r="CQ22543" s="111"/>
      <c r="EF22543"/>
      <c r="EG22543"/>
      <c r="EH22543"/>
      <c r="EI22543"/>
      <c r="EJ22543"/>
      <c r="EK22543"/>
    </row>
    <row r="22544" spans="1:141" s="116" customFormat="1">
      <c r="A22544" s="136"/>
      <c r="CM22544" s="111"/>
      <c r="CQ22544" s="111"/>
      <c r="EF22544"/>
      <c r="EG22544"/>
      <c r="EH22544"/>
      <c r="EI22544"/>
      <c r="EJ22544"/>
      <c r="EK22544"/>
    </row>
    <row r="22545" spans="1:141" s="116" customFormat="1">
      <c r="A22545" s="136"/>
      <c r="CM22545" s="111"/>
      <c r="CQ22545" s="111"/>
      <c r="EF22545"/>
      <c r="EG22545"/>
      <c r="EH22545"/>
      <c r="EI22545"/>
      <c r="EJ22545"/>
      <c r="EK22545"/>
    </row>
    <row r="22546" spans="1:141" s="116" customFormat="1">
      <c r="A22546" s="136"/>
      <c r="CM22546" s="111"/>
      <c r="CQ22546" s="111"/>
      <c r="EF22546"/>
      <c r="EG22546"/>
      <c r="EH22546"/>
      <c r="EI22546"/>
      <c r="EJ22546"/>
      <c r="EK22546"/>
    </row>
    <row r="22547" spans="1:141" s="116" customFormat="1">
      <c r="A22547" s="136"/>
      <c r="CM22547" s="111"/>
      <c r="CQ22547" s="111"/>
      <c r="EF22547"/>
      <c r="EG22547"/>
      <c r="EH22547"/>
      <c r="EI22547"/>
      <c r="EJ22547"/>
      <c r="EK22547"/>
    </row>
    <row r="22548" spans="1:141" s="116" customFormat="1">
      <c r="A22548" s="136"/>
      <c r="CM22548" s="111"/>
      <c r="CQ22548" s="111"/>
      <c r="EF22548"/>
      <c r="EG22548"/>
      <c r="EH22548"/>
      <c r="EI22548"/>
      <c r="EJ22548"/>
      <c r="EK22548"/>
    </row>
    <row r="22549" spans="1:141" s="116" customFormat="1">
      <c r="A22549" s="136"/>
      <c r="CM22549" s="111"/>
      <c r="CQ22549" s="111"/>
      <c r="EF22549"/>
      <c r="EG22549"/>
      <c r="EH22549"/>
      <c r="EI22549"/>
      <c r="EJ22549"/>
      <c r="EK22549"/>
    </row>
    <row r="22550" spans="1:141" s="116" customFormat="1">
      <c r="A22550" s="136"/>
      <c r="CM22550" s="111"/>
      <c r="CQ22550" s="111"/>
      <c r="EF22550"/>
      <c r="EG22550"/>
      <c r="EH22550"/>
      <c r="EI22550"/>
      <c r="EJ22550"/>
      <c r="EK22550"/>
    </row>
    <row r="22551" spans="1:141" s="116" customFormat="1">
      <c r="A22551" s="136"/>
      <c r="CM22551" s="111"/>
      <c r="CQ22551" s="111"/>
      <c r="EF22551"/>
      <c r="EG22551"/>
      <c r="EH22551"/>
      <c r="EI22551"/>
      <c r="EJ22551"/>
      <c r="EK22551"/>
    </row>
    <row r="22552" spans="1:141" s="116" customFormat="1">
      <c r="A22552" s="136"/>
      <c r="CM22552" s="111"/>
      <c r="CQ22552" s="111"/>
      <c r="EF22552"/>
      <c r="EG22552"/>
      <c r="EH22552"/>
      <c r="EI22552"/>
      <c r="EJ22552"/>
      <c r="EK22552"/>
    </row>
    <row r="22553" spans="1:141" s="116" customFormat="1">
      <c r="A22553" s="136"/>
      <c r="CM22553" s="111"/>
      <c r="CQ22553" s="111"/>
      <c r="EF22553"/>
      <c r="EG22553"/>
      <c r="EH22553"/>
      <c r="EI22553"/>
      <c r="EJ22553"/>
      <c r="EK22553"/>
    </row>
    <row r="22554" spans="1:141" s="116" customFormat="1">
      <c r="A22554" s="136"/>
      <c r="CM22554" s="111"/>
      <c r="CQ22554" s="111"/>
      <c r="EF22554"/>
      <c r="EG22554"/>
      <c r="EH22554"/>
      <c r="EI22554"/>
      <c r="EJ22554"/>
      <c r="EK22554"/>
    </row>
    <row r="22555" spans="1:141" s="116" customFormat="1">
      <c r="A22555" s="136"/>
      <c r="CM22555" s="111"/>
      <c r="CQ22555" s="111"/>
      <c r="EF22555"/>
      <c r="EG22555"/>
      <c r="EH22555"/>
      <c r="EI22555"/>
      <c r="EJ22555"/>
      <c r="EK22555"/>
    </row>
    <row r="22556" spans="1:141" s="116" customFormat="1">
      <c r="A22556" s="136"/>
      <c r="CM22556" s="111"/>
      <c r="CQ22556" s="111"/>
      <c r="EF22556"/>
      <c r="EG22556"/>
      <c r="EH22556"/>
      <c r="EI22556"/>
      <c r="EJ22556"/>
      <c r="EK22556"/>
    </row>
    <row r="22557" spans="1:141" s="116" customFormat="1">
      <c r="A22557" s="136"/>
      <c r="CM22557" s="111"/>
      <c r="CQ22557" s="111"/>
      <c r="EF22557"/>
      <c r="EG22557"/>
      <c r="EH22557"/>
      <c r="EI22557"/>
      <c r="EJ22557"/>
      <c r="EK22557"/>
    </row>
    <row r="22558" spans="1:141" s="116" customFormat="1">
      <c r="A22558" s="136"/>
      <c r="CM22558" s="111"/>
      <c r="CQ22558" s="111"/>
      <c r="EF22558"/>
      <c r="EG22558"/>
      <c r="EH22558"/>
      <c r="EI22558"/>
      <c r="EJ22558"/>
      <c r="EK22558"/>
    </row>
    <row r="22559" spans="1:141" s="116" customFormat="1">
      <c r="A22559" s="136"/>
      <c r="CM22559" s="111"/>
      <c r="CQ22559" s="111"/>
      <c r="EF22559"/>
      <c r="EG22559"/>
      <c r="EH22559"/>
      <c r="EI22559"/>
      <c r="EJ22559"/>
      <c r="EK22559"/>
    </row>
    <row r="22560" spans="1:141" s="116" customFormat="1">
      <c r="A22560" s="136"/>
      <c r="CM22560" s="111"/>
      <c r="CQ22560" s="111"/>
      <c r="EF22560"/>
      <c r="EG22560"/>
      <c r="EH22560"/>
      <c r="EI22560"/>
      <c r="EJ22560"/>
      <c r="EK22560"/>
    </row>
    <row r="22561" spans="1:141" s="116" customFormat="1">
      <c r="A22561" s="136"/>
      <c r="CM22561" s="111"/>
      <c r="CQ22561" s="111"/>
      <c r="EF22561"/>
      <c r="EG22561"/>
      <c r="EH22561"/>
      <c r="EI22561"/>
      <c r="EJ22561"/>
      <c r="EK22561"/>
    </row>
    <row r="22562" spans="1:141" s="116" customFormat="1">
      <c r="A22562" s="136"/>
      <c r="CM22562" s="111"/>
      <c r="CQ22562" s="111"/>
      <c r="EF22562"/>
      <c r="EG22562"/>
      <c r="EH22562"/>
      <c r="EI22562"/>
      <c r="EJ22562"/>
      <c r="EK22562"/>
    </row>
    <row r="22563" spans="1:141" s="116" customFormat="1">
      <c r="A22563" s="136"/>
      <c r="CM22563" s="111"/>
      <c r="CQ22563" s="111"/>
      <c r="EF22563"/>
      <c r="EG22563"/>
      <c r="EH22563"/>
      <c r="EI22563"/>
      <c r="EJ22563"/>
      <c r="EK22563"/>
    </row>
    <row r="22564" spans="1:141" s="116" customFormat="1">
      <c r="A22564" s="136"/>
      <c r="CM22564" s="111"/>
      <c r="CQ22564" s="111"/>
      <c r="EF22564"/>
      <c r="EG22564"/>
      <c r="EH22564"/>
      <c r="EI22564"/>
      <c r="EJ22564"/>
      <c r="EK22564"/>
    </row>
    <row r="22565" spans="1:141" s="116" customFormat="1">
      <c r="A22565" s="136"/>
      <c r="CM22565" s="111"/>
      <c r="CQ22565" s="111"/>
      <c r="EF22565"/>
      <c r="EG22565"/>
      <c r="EH22565"/>
      <c r="EI22565"/>
      <c r="EJ22565"/>
      <c r="EK22565"/>
    </row>
    <row r="22566" spans="1:141" s="116" customFormat="1">
      <c r="A22566" s="136"/>
      <c r="CM22566" s="111"/>
      <c r="CQ22566" s="111"/>
      <c r="EF22566"/>
      <c r="EG22566"/>
      <c r="EH22566"/>
      <c r="EI22566"/>
      <c r="EJ22566"/>
      <c r="EK22566"/>
    </row>
    <row r="22567" spans="1:141" s="116" customFormat="1">
      <c r="A22567" s="136"/>
      <c r="CM22567" s="111"/>
      <c r="CQ22567" s="111"/>
      <c r="EF22567"/>
      <c r="EG22567"/>
      <c r="EH22567"/>
      <c r="EI22567"/>
      <c r="EJ22567"/>
      <c r="EK22567"/>
    </row>
    <row r="22568" spans="1:141" s="116" customFormat="1">
      <c r="A22568" s="136"/>
      <c r="CM22568" s="111"/>
      <c r="CQ22568" s="111"/>
      <c r="EF22568"/>
      <c r="EG22568"/>
      <c r="EH22568"/>
      <c r="EI22568"/>
      <c r="EJ22568"/>
      <c r="EK22568"/>
    </row>
    <row r="22569" spans="1:141" s="116" customFormat="1">
      <c r="A22569" s="136"/>
      <c r="CM22569" s="111"/>
      <c r="CQ22569" s="111"/>
      <c r="EF22569"/>
      <c r="EG22569"/>
      <c r="EH22569"/>
      <c r="EI22569"/>
      <c r="EJ22569"/>
      <c r="EK22569"/>
    </row>
    <row r="22570" spans="1:141" s="116" customFormat="1">
      <c r="A22570" s="136"/>
      <c r="CM22570" s="111"/>
      <c r="CQ22570" s="111"/>
      <c r="EF22570"/>
      <c r="EG22570"/>
      <c r="EH22570"/>
      <c r="EI22570"/>
      <c r="EJ22570"/>
      <c r="EK22570"/>
    </row>
    <row r="22571" spans="1:141" s="116" customFormat="1">
      <c r="A22571" s="136"/>
      <c r="CM22571" s="111"/>
      <c r="CQ22571" s="111"/>
      <c r="EF22571"/>
      <c r="EG22571"/>
      <c r="EH22571"/>
      <c r="EI22571"/>
      <c r="EJ22571"/>
      <c r="EK22571"/>
    </row>
    <row r="22572" spans="1:141" s="116" customFormat="1">
      <c r="A22572" s="136"/>
      <c r="CM22572" s="111"/>
      <c r="CQ22572" s="111"/>
      <c r="EF22572"/>
      <c r="EG22572"/>
      <c r="EH22572"/>
      <c r="EI22572"/>
      <c r="EJ22572"/>
      <c r="EK22572"/>
    </row>
    <row r="22573" spans="1:141" s="116" customFormat="1">
      <c r="A22573" s="136"/>
      <c r="CM22573" s="111"/>
      <c r="CQ22573" s="111"/>
      <c r="EF22573"/>
      <c r="EG22573"/>
      <c r="EH22573"/>
      <c r="EI22573"/>
      <c r="EJ22573"/>
      <c r="EK22573"/>
    </row>
    <row r="22574" spans="1:141" s="116" customFormat="1">
      <c r="A22574" s="136"/>
      <c r="CM22574" s="111"/>
      <c r="CQ22574" s="111"/>
      <c r="EF22574"/>
      <c r="EG22574"/>
      <c r="EH22574"/>
      <c r="EI22574"/>
      <c r="EJ22574"/>
      <c r="EK22574"/>
    </row>
    <row r="22575" spans="1:141" s="116" customFormat="1">
      <c r="A22575" s="136"/>
      <c r="CM22575" s="111"/>
      <c r="CQ22575" s="111"/>
      <c r="EF22575"/>
      <c r="EG22575"/>
      <c r="EH22575"/>
      <c r="EI22575"/>
      <c r="EJ22575"/>
      <c r="EK22575"/>
    </row>
    <row r="22576" spans="1:141" s="116" customFormat="1">
      <c r="A22576" s="136"/>
      <c r="CM22576" s="111"/>
      <c r="CQ22576" s="111"/>
      <c r="EF22576"/>
      <c r="EG22576"/>
      <c r="EH22576"/>
      <c r="EI22576"/>
      <c r="EJ22576"/>
      <c r="EK22576"/>
    </row>
    <row r="22577" spans="1:141" s="116" customFormat="1">
      <c r="A22577" s="136"/>
      <c r="CM22577" s="111"/>
      <c r="CQ22577" s="111"/>
      <c r="EF22577"/>
      <c r="EG22577"/>
      <c r="EH22577"/>
      <c r="EI22577"/>
      <c r="EJ22577"/>
      <c r="EK22577"/>
    </row>
    <row r="22578" spans="1:141" s="116" customFormat="1">
      <c r="A22578" s="136"/>
      <c r="CM22578" s="111"/>
      <c r="CQ22578" s="111"/>
      <c r="EF22578"/>
      <c r="EG22578"/>
      <c r="EH22578"/>
      <c r="EI22578"/>
      <c r="EJ22578"/>
      <c r="EK22578"/>
    </row>
    <row r="22579" spans="1:141" s="116" customFormat="1">
      <c r="A22579" s="136"/>
      <c r="CM22579" s="111"/>
      <c r="CQ22579" s="111"/>
      <c r="EF22579"/>
      <c r="EG22579"/>
      <c r="EH22579"/>
      <c r="EI22579"/>
      <c r="EJ22579"/>
      <c r="EK22579"/>
    </row>
    <row r="22580" spans="1:141" s="116" customFormat="1">
      <c r="A22580" s="136"/>
      <c r="CM22580" s="111"/>
      <c r="CQ22580" s="111"/>
      <c r="EF22580"/>
      <c r="EG22580"/>
      <c r="EH22580"/>
      <c r="EI22580"/>
      <c r="EJ22580"/>
      <c r="EK22580"/>
    </row>
    <row r="22581" spans="1:141" s="116" customFormat="1">
      <c r="A22581" s="136"/>
      <c r="CM22581" s="111"/>
      <c r="CQ22581" s="111"/>
      <c r="EF22581"/>
      <c r="EG22581"/>
      <c r="EH22581"/>
      <c r="EI22581"/>
      <c r="EJ22581"/>
      <c r="EK22581"/>
    </row>
    <row r="22582" spans="1:141" s="116" customFormat="1">
      <c r="A22582" s="136"/>
      <c r="CM22582" s="111"/>
      <c r="CQ22582" s="111"/>
      <c r="EF22582"/>
      <c r="EG22582"/>
      <c r="EH22582"/>
      <c r="EI22582"/>
      <c r="EJ22582"/>
      <c r="EK22582"/>
    </row>
    <row r="22583" spans="1:141" s="116" customFormat="1">
      <c r="A22583" s="136"/>
      <c r="CM22583" s="111"/>
      <c r="CQ22583" s="111"/>
      <c r="EF22583"/>
      <c r="EG22583"/>
      <c r="EH22583"/>
      <c r="EI22583"/>
      <c r="EJ22583"/>
      <c r="EK22583"/>
    </row>
    <row r="22584" spans="1:141" s="116" customFormat="1">
      <c r="A22584" s="136"/>
      <c r="CM22584" s="111"/>
      <c r="CQ22584" s="111"/>
      <c r="EF22584"/>
      <c r="EG22584"/>
      <c r="EH22584"/>
      <c r="EI22584"/>
      <c r="EJ22584"/>
      <c r="EK22584"/>
    </row>
    <row r="22585" spans="1:141" s="116" customFormat="1">
      <c r="A22585" s="136"/>
      <c r="CM22585" s="111"/>
      <c r="CQ22585" s="111"/>
      <c r="EF22585"/>
      <c r="EG22585"/>
      <c r="EH22585"/>
      <c r="EI22585"/>
      <c r="EJ22585"/>
      <c r="EK22585"/>
    </row>
    <row r="22586" spans="1:141" s="116" customFormat="1">
      <c r="A22586" s="136"/>
      <c r="CM22586" s="111"/>
      <c r="CQ22586" s="111"/>
      <c r="EF22586"/>
      <c r="EG22586"/>
      <c r="EH22586"/>
      <c r="EI22586"/>
      <c r="EJ22586"/>
      <c r="EK22586"/>
    </row>
    <row r="22587" spans="1:141" s="116" customFormat="1">
      <c r="A22587" s="136"/>
      <c r="CM22587" s="111"/>
      <c r="CQ22587" s="111"/>
      <c r="EF22587"/>
      <c r="EG22587"/>
      <c r="EH22587"/>
      <c r="EI22587"/>
      <c r="EJ22587"/>
      <c r="EK22587"/>
    </row>
    <row r="22588" spans="1:141" s="116" customFormat="1">
      <c r="A22588" s="136"/>
      <c r="CM22588" s="111"/>
      <c r="CQ22588" s="111"/>
      <c r="EF22588"/>
      <c r="EG22588"/>
      <c r="EH22588"/>
      <c r="EI22588"/>
      <c r="EJ22588"/>
      <c r="EK22588"/>
    </row>
    <row r="22589" spans="1:141" s="116" customFormat="1">
      <c r="A22589" s="136"/>
      <c r="CM22589" s="111"/>
      <c r="CQ22589" s="111"/>
      <c r="EF22589"/>
      <c r="EG22589"/>
      <c r="EH22589"/>
      <c r="EI22589"/>
      <c r="EJ22589"/>
      <c r="EK22589"/>
    </row>
    <row r="22590" spans="1:141" s="116" customFormat="1">
      <c r="A22590" s="136"/>
      <c r="CM22590" s="111"/>
      <c r="CQ22590" s="111"/>
      <c r="EF22590"/>
      <c r="EG22590"/>
      <c r="EH22590"/>
      <c r="EI22590"/>
      <c r="EJ22590"/>
      <c r="EK22590"/>
    </row>
    <row r="22591" spans="1:141" s="116" customFormat="1">
      <c r="A22591" s="136"/>
      <c r="CM22591" s="111"/>
      <c r="CQ22591" s="111"/>
      <c r="EF22591"/>
      <c r="EG22591"/>
      <c r="EH22591"/>
      <c r="EI22591"/>
      <c r="EJ22591"/>
      <c r="EK22591"/>
    </row>
    <row r="22592" spans="1:141" s="116" customFormat="1">
      <c r="A22592" s="136"/>
      <c r="CM22592" s="111"/>
      <c r="CQ22592" s="111"/>
      <c r="EF22592"/>
      <c r="EG22592"/>
      <c r="EH22592"/>
      <c r="EI22592"/>
      <c r="EJ22592"/>
      <c r="EK22592"/>
    </row>
    <row r="22593" spans="1:141" s="116" customFormat="1">
      <c r="A22593" s="136"/>
      <c r="CM22593" s="111"/>
      <c r="CQ22593" s="111"/>
      <c r="EF22593"/>
      <c r="EG22593"/>
      <c r="EH22593"/>
      <c r="EI22593"/>
      <c r="EJ22593"/>
      <c r="EK22593"/>
    </row>
    <row r="22594" spans="1:141" s="116" customFormat="1">
      <c r="A22594" s="136"/>
      <c r="CM22594" s="111"/>
      <c r="CQ22594" s="111"/>
      <c r="EF22594"/>
      <c r="EG22594"/>
      <c r="EH22594"/>
      <c r="EI22594"/>
      <c r="EJ22594"/>
      <c r="EK22594"/>
    </row>
    <row r="22595" spans="1:141" s="116" customFormat="1">
      <c r="A22595" s="136"/>
      <c r="CM22595" s="111"/>
      <c r="CQ22595" s="111"/>
      <c r="EF22595"/>
      <c r="EG22595"/>
      <c r="EH22595"/>
      <c r="EI22595"/>
      <c r="EJ22595"/>
      <c r="EK22595"/>
    </row>
    <row r="22596" spans="1:141" s="116" customFormat="1">
      <c r="A22596" s="136"/>
      <c r="CM22596" s="111"/>
      <c r="CQ22596" s="111"/>
      <c r="EF22596"/>
      <c r="EG22596"/>
      <c r="EH22596"/>
      <c r="EI22596"/>
      <c r="EJ22596"/>
      <c r="EK22596"/>
    </row>
    <row r="22597" spans="1:141" s="116" customFormat="1">
      <c r="A22597" s="136"/>
      <c r="CM22597" s="111"/>
      <c r="CQ22597" s="111"/>
      <c r="EF22597"/>
      <c r="EG22597"/>
      <c r="EH22597"/>
      <c r="EI22597"/>
      <c r="EJ22597"/>
      <c r="EK22597"/>
    </row>
    <row r="22598" spans="1:141" s="116" customFormat="1">
      <c r="A22598" s="136"/>
      <c r="CM22598" s="111"/>
      <c r="CQ22598" s="111"/>
      <c r="EF22598"/>
      <c r="EG22598"/>
      <c r="EH22598"/>
      <c r="EI22598"/>
      <c r="EJ22598"/>
      <c r="EK22598"/>
    </row>
    <row r="22599" spans="1:141" s="116" customFormat="1">
      <c r="A22599" s="136"/>
      <c r="CM22599" s="111"/>
      <c r="CQ22599" s="111"/>
      <c r="EF22599"/>
      <c r="EG22599"/>
      <c r="EH22599"/>
      <c r="EI22599"/>
      <c r="EJ22599"/>
      <c r="EK22599"/>
    </row>
    <row r="22600" spans="1:141" s="116" customFormat="1">
      <c r="A22600" s="136"/>
      <c r="CM22600" s="111"/>
      <c r="CQ22600" s="111"/>
      <c r="EF22600"/>
      <c r="EG22600"/>
      <c r="EH22600"/>
      <c r="EI22600"/>
      <c r="EJ22600"/>
      <c r="EK22600"/>
    </row>
    <row r="22601" spans="1:141" s="116" customFormat="1">
      <c r="A22601" s="136"/>
      <c r="CM22601" s="111"/>
      <c r="CQ22601" s="111"/>
      <c r="EF22601"/>
      <c r="EG22601"/>
      <c r="EH22601"/>
      <c r="EI22601"/>
      <c r="EJ22601"/>
      <c r="EK22601"/>
    </row>
    <row r="22602" spans="1:141" s="116" customFormat="1">
      <c r="A22602" s="136"/>
      <c r="CM22602" s="111"/>
      <c r="CQ22602" s="111"/>
      <c r="EF22602"/>
      <c r="EG22602"/>
      <c r="EH22602"/>
      <c r="EI22602"/>
      <c r="EJ22602"/>
      <c r="EK22602"/>
    </row>
    <row r="22603" spans="1:141" s="116" customFormat="1">
      <c r="A22603" s="136"/>
      <c r="CM22603" s="111"/>
      <c r="CQ22603" s="111"/>
      <c r="EF22603"/>
      <c r="EG22603"/>
      <c r="EH22603"/>
      <c r="EI22603"/>
      <c r="EJ22603"/>
      <c r="EK22603"/>
    </row>
    <row r="22604" spans="1:141" s="116" customFormat="1">
      <c r="A22604" s="136"/>
      <c r="CM22604" s="111"/>
      <c r="CQ22604" s="111"/>
      <c r="EF22604"/>
      <c r="EG22604"/>
      <c r="EH22604"/>
      <c r="EI22604"/>
      <c r="EJ22604"/>
      <c r="EK22604"/>
    </row>
    <row r="22605" spans="1:141" s="116" customFormat="1">
      <c r="A22605" s="136"/>
      <c r="CM22605" s="111"/>
      <c r="CQ22605" s="111"/>
      <c r="EF22605"/>
      <c r="EG22605"/>
      <c r="EH22605"/>
      <c r="EI22605"/>
      <c r="EJ22605"/>
      <c r="EK22605"/>
    </row>
    <row r="22606" spans="1:141" s="116" customFormat="1">
      <c r="A22606" s="136"/>
      <c r="CM22606" s="111"/>
      <c r="CQ22606" s="111"/>
      <c r="EF22606"/>
      <c r="EG22606"/>
      <c r="EH22606"/>
      <c r="EI22606"/>
      <c r="EJ22606"/>
      <c r="EK22606"/>
    </row>
    <row r="22607" spans="1:141" s="116" customFormat="1">
      <c r="A22607" s="136"/>
      <c r="CM22607" s="111"/>
      <c r="CQ22607" s="111"/>
      <c r="EF22607"/>
      <c r="EG22607"/>
      <c r="EH22607"/>
      <c r="EI22607"/>
      <c r="EJ22607"/>
      <c r="EK22607"/>
    </row>
    <row r="22608" spans="1:141" s="116" customFormat="1">
      <c r="A22608" s="136"/>
      <c r="CM22608" s="111"/>
      <c r="CQ22608" s="111"/>
      <c r="EF22608"/>
      <c r="EG22608"/>
      <c r="EH22608"/>
      <c r="EI22608"/>
      <c r="EJ22608"/>
      <c r="EK22608"/>
    </row>
    <row r="22609" spans="1:141" s="116" customFormat="1">
      <c r="A22609" s="136"/>
      <c r="CM22609" s="111"/>
      <c r="CQ22609" s="111"/>
      <c r="EF22609"/>
      <c r="EG22609"/>
      <c r="EH22609"/>
      <c r="EI22609"/>
      <c r="EJ22609"/>
      <c r="EK22609"/>
    </row>
    <row r="22610" spans="1:141" s="116" customFormat="1">
      <c r="A22610" s="136"/>
      <c r="CM22610" s="111"/>
      <c r="CQ22610" s="111"/>
      <c r="EF22610"/>
      <c r="EG22610"/>
      <c r="EH22610"/>
      <c r="EI22610"/>
      <c r="EJ22610"/>
      <c r="EK22610"/>
    </row>
    <row r="22611" spans="1:141" s="116" customFormat="1">
      <c r="A22611" s="136"/>
      <c r="CM22611" s="111"/>
      <c r="CQ22611" s="111"/>
      <c r="EF22611"/>
      <c r="EG22611"/>
      <c r="EH22611"/>
      <c r="EI22611"/>
      <c r="EJ22611"/>
      <c r="EK22611"/>
    </row>
    <row r="22612" spans="1:141" s="116" customFormat="1">
      <c r="A22612" s="136"/>
      <c r="CM22612" s="111"/>
      <c r="CQ22612" s="111"/>
      <c r="EF22612"/>
      <c r="EG22612"/>
      <c r="EH22612"/>
      <c r="EI22612"/>
      <c r="EJ22612"/>
      <c r="EK22612"/>
    </row>
    <row r="22613" spans="1:141" s="116" customFormat="1">
      <c r="A22613" s="136"/>
      <c r="CM22613" s="111"/>
      <c r="CQ22613" s="111"/>
      <c r="EF22613"/>
      <c r="EG22613"/>
      <c r="EH22613"/>
      <c r="EI22613"/>
      <c r="EJ22613"/>
      <c r="EK22613"/>
    </row>
    <row r="22614" spans="1:141" s="116" customFormat="1">
      <c r="A22614" s="136"/>
      <c r="CM22614" s="111"/>
      <c r="CQ22614" s="111"/>
      <c r="EF22614"/>
      <c r="EG22614"/>
      <c r="EH22614"/>
      <c r="EI22614"/>
      <c r="EJ22614"/>
      <c r="EK22614"/>
    </row>
    <row r="22615" spans="1:141" s="116" customFormat="1">
      <c r="A22615" s="136"/>
      <c r="CM22615" s="111"/>
      <c r="CQ22615" s="111"/>
      <c r="EF22615"/>
      <c r="EG22615"/>
      <c r="EH22615"/>
      <c r="EI22615"/>
      <c r="EJ22615"/>
      <c r="EK22615"/>
    </row>
    <row r="22616" spans="1:141" s="116" customFormat="1">
      <c r="A22616" s="136"/>
      <c r="CM22616" s="111"/>
      <c r="CQ22616" s="111"/>
      <c r="EF22616"/>
      <c r="EG22616"/>
      <c r="EH22616"/>
      <c r="EI22616"/>
      <c r="EJ22616"/>
      <c r="EK22616"/>
    </row>
    <row r="22617" spans="1:141" s="116" customFormat="1">
      <c r="A22617" s="136"/>
      <c r="CM22617" s="111"/>
      <c r="CQ22617" s="111"/>
      <c r="EF22617"/>
      <c r="EG22617"/>
      <c r="EH22617"/>
      <c r="EI22617"/>
      <c r="EJ22617"/>
      <c r="EK22617"/>
    </row>
    <row r="22618" spans="1:141" s="116" customFormat="1">
      <c r="A22618" s="136"/>
      <c r="CM22618" s="111"/>
      <c r="CQ22618" s="111"/>
      <c r="EF22618"/>
      <c r="EG22618"/>
      <c r="EH22618"/>
      <c r="EI22618"/>
      <c r="EJ22618"/>
      <c r="EK22618"/>
    </row>
    <row r="22619" spans="1:141" s="116" customFormat="1">
      <c r="A22619" s="136"/>
      <c r="CM22619" s="111"/>
      <c r="CQ22619" s="111"/>
      <c r="EF22619"/>
      <c r="EG22619"/>
      <c r="EH22619"/>
      <c r="EI22619"/>
      <c r="EJ22619"/>
      <c r="EK22619"/>
    </row>
    <row r="22620" spans="1:141" s="116" customFormat="1">
      <c r="A22620" s="136"/>
      <c r="CM22620" s="111"/>
      <c r="CQ22620" s="111"/>
      <c r="EF22620"/>
      <c r="EG22620"/>
      <c r="EH22620"/>
      <c r="EI22620"/>
      <c r="EJ22620"/>
      <c r="EK22620"/>
    </row>
    <row r="22621" spans="1:141" s="116" customFormat="1">
      <c r="A22621" s="136"/>
      <c r="CM22621" s="111"/>
      <c r="CQ22621" s="111"/>
      <c r="EF22621"/>
      <c r="EG22621"/>
      <c r="EH22621"/>
      <c r="EI22621"/>
      <c r="EJ22621"/>
      <c r="EK22621"/>
    </row>
    <row r="22622" spans="1:141" s="116" customFormat="1">
      <c r="A22622" s="136"/>
      <c r="CM22622" s="111"/>
      <c r="CQ22622" s="111"/>
      <c r="EF22622"/>
      <c r="EG22622"/>
      <c r="EH22622"/>
      <c r="EI22622"/>
      <c r="EJ22622"/>
      <c r="EK22622"/>
    </row>
    <row r="22623" spans="1:141" s="116" customFormat="1">
      <c r="A22623" s="136"/>
      <c r="CM22623" s="111"/>
      <c r="CQ22623" s="111"/>
      <c r="EF22623"/>
      <c r="EG22623"/>
      <c r="EH22623"/>
      <c r="EI22623"/>
      <c r="EJ22623"/>
      <c r="EK22623"/>
    </row>
    <row r="22624" spans="1:141" s="116" customFormat="1">
      <c r="A22624" s="136"/>
      <c r="CM22624" s="111"/>
      <c r="CQ22624" s="111"/>
      <c r="EF22624"/>
      <c r="EG22624"/>
      <c r="EH22624"/>
      <c r="EI22624"/>
      <c r="EJ22624"/>
      <c r="EK22624"/>
    </row>
    <row r="22625" spans="1:141" s="116" customFormat="1">
      <c r="A22625" s="136"/>
      <c r="CM22625" s="111"/>
      <c r="CQ22625" s="111"/>
      <c r="EF22625"/>
      <c r="EG22625"/>
      <c r="EH22625"/>
      <c r="EI22625"/>
      <c r="EJ22625"/>
      <c r="EK22625"/>
    </row>
    <row r="22626" spans="1:141" s="116" customFormat="1">
      <c r="A22626" s="136"/>
      <c r="CM22626" s="111"/>
      <c r="CQ22626" s="111"/>
      <c r="EF22626"/>
      <c r="EG22626"/>
      <c r="EH22626"/>
      <c r="EI22626"/>
      <c r="EJ22626"/>
      <c r="EK22626"/>
    </row>
    <row r="22627" spans="1:141" s="116" customFormat="1">
      <c r="A22627" s="136"/>
      <c r="CM22627" s="111"/>
      <c r="CQ22627" s="111"/>
      <c r="EF22627"/>
      <c r="EG22627"/>
      <c r="EH22627"/>
      <c r="EI22627"/>
      <c r="EJ22627"/>
      <c r="EK22627"/>
    </row>
    <row r="22628" spans="1:141" s="116" customFormat="1">
      <c r="A22628" s="136"/>
      <c r="CM22628" s="111"/>
      <c r="CQ22628" s="111"/>
      <c r="EF22628"/>
      <c r="EG22628"/>
      <c r="EH22628"/>
      <c r="EI22628"/>
      <c r="EJ22628"/>
      <c r="EK22628"/>
    </row>
    <row r="22629" spans="1:141" s="116" customFormat="1">
      <c r="A22629" s="136"/>
      <c r="CM22629" s="111"/>
      <c r="CQ22629" s="111"/>
      <c r="EF22629"/>
      <c r="EG22629"/>
      <c r="EH22629"/>
      <c r="EI22629"/>
      <c r="EJ22629"/>
      <c r="EK22629"/>
    </row>
    <row r="22630" spans="1:141" s="116" customFormat="1">
      <c r="A22630" s="136"/>
      <c r="CM22630" s="111"/>
      <c r="CQ22630" s="111"/>
      <c r="EF22630"/>
      <c r="EG22630"/>
      <c r="EH22630"/>
      <c r="EI22630"/>
      <c r="EJ22630"/>
      <c r="EK22630"/>
    </row>
    <row r="22631" spans="1:141" s="116" customFormat="1">
      <c r="A22631" s="136"/>
      <c r="CM22631" s="111"/>
      <c r="CQ22631" s="111"/>
      <c r="EF22631"/>
      <c r="EG22631"/>
      <c r="EH22631"/>
      <c r="EI22631"/>
      <c r="EJ22631"/>
      <c r="EK22631"/>
    </row>
    <row r="22632" spans="1:141" s="116" customFormat="1">
      <c r="A22632" s="136"/>
      <c r="CM22632" s="111"/>
      <c r="CQ22632" s="111"/>
      <c r="EF22632"/>
      <c r="EG22632"/>
      <c r="EH22632"/>
      <c r="EI22632"/>
      <c r="EJ22632"/>
      <c r="EK22632"/>
    </row>
    <row r="22633" spans="1:141" s="116" customFormat="1">
      <c r="A22633" s="136"/>
      <c r="CM22633" s="111"/>
      <c r="CQ22633" s="111"/>
      <c r="EF22633"/>
      <c r="EG22633"/>
      <c r="EH22633"/>
      <c r="EI22633"/>
      <c r="EJ22633"/>
      <c r="EK22633"/>
    </row>
    <row r="22634" spans="1:141" s="116" customFormat="1">
      <c r="A22634" s="136"/>
      <c r="CM22634" s="111"/>
      <c r="CQ22634" s="111"/>
      <c r="EF22634"/>
      <c r="EG22634"/>
      <c r="EH22634"/>
      <c r="EI22634"/>
      <c r="EJ22634"/>
      <c r="EK22634"/>
    </row>
    <row r="22635" spans="1:141" s="116" customFormat="1">
      <c r="A22635" s="136"/>
      <c r="CM22635" s="111"/>
      <c r="CQ22635" s="111"/>
      <c r="EF22635"/>
      <c r="EG22635"/>
      <c r="EH22635"/>
      <c r="EI22635"/>
      <c r="EJ22635"/>
      <c r="EK22635"/>
    </row>
    <row r="22636" spans="1:141" s="116" customFormat="1">
      <c r="A22636" s="136"/>
      <c r="CM22636" s="111"/>
      <c r="CQ22636" s="111"/>
      <c r="EF22636"/>
      <c r="EG22636"/>
      <c r="EH22636"/>
      <c r="EI22636"/>
      <c r="EJ22636"/>
      <c r="EK22636"/>
    </row>
    <row r="22637" spans="1:141" s="116" customFormat="1">
      <c r="A22637" s="136"/>
      <c r="CM22637" s="111"/>
      <c r="CQ22637" s="111"/>
      <c r="EF22637"/>
      <c r="EG22637"/>
      <c r="EH22637"/>
      <c r="EI22637"/>
      <c r="EJ22637"/>
      <c r="EK22637"/>
    </row>
    <row r="22638" spans="1:141" s="116" customFormat="1">
      <c r="A22638" s="136"/>
      <c r="CM22638" s="111"/>
      <c r="CQ22638" s="111"/>
      <c r="EF22638"/>
      <c r="EG22638"/>
      <c r="EH22638"/>
      <c r="EI22638"/>
      <c r="EJ22638"/>
      <c r="EK22638"/>
    </row>
    <row r="22639" spans="1:141" s="116" customFormat="1">
      <c r="A22639" s="136"/>
      <c r="CM22639" s="111"/>
      <c r="CQ22639" s="111"/>
      <c r="EF22639"/>
      <c r="EG22639"/>
      <c r="EH22639"/>
      <c r="EI22639"/>
      <c r="EJ22639"/>
      <c r="EK22639"/>
    </row>
    <row r="22640" spans="1:141" s="116" customFormat="1">
      <c r="A22640" s="136"/>
      <c r="CM22640" s="111"/>
      <c r="CQ22640" s="111"/>
      <c r="EF22640"/>
      <c r="EG22640"/>
      <c r="EH22640"/>
      <c r="EI22640"/>
      <c r="EJ22640"/>
      <c r="EK22640"/>
    </row>
    <row r="22641" spans="1:141" s="116" customFormat="1">
      <c r="A22641" s="136"/>
      <c r="CM22641" s="111"/>
      <c r="CQ22641" s="111"/>
      <c r="EF22641"/>
      <c r="EG22641"/>
      <c r="EH22641"/>
      <c r="EI22641"/>
      <c r="EJ22641"/>
      <c r="EK22641"/>
    </row>
    <row r="22642" spans="1:141" s="116" customFormat="1">
      <c r="A22642" s="136"/>
      <c r="CM22642" s="111"/>
      <c r="CQ22642" s="111"/>
      <c r="EF22642"/>
      <c r="EG22642"/>
      <c r="EH22642"/>
      <c r="EI22642"/>
      <c r="EJ22642"/>
      <c r="EK22642"/>
    </row>
    <row r="22643" spans="1:141" s="116" customFormat="1">
      <c r="A22643" s="136"/>
      <c r="CM22643" s="111"/>
      <c r="CQ22643" s="111"/>
      <c r="EF22643"/>
      <c r="EG22643"/>
      <c r="EH22643"/>
      <c r="EI22643"/>
      <c r="EJ22643"/>
      <c r="EK22643"/>
    </row>
    <row r="22644" spans="1:141" s="116" customFormat="1">
      <c r="A22644" s="136"/>
      <c r="CM22644" s="111"/>
      <c r="CQ22644" s="111"/>
      <c r="EF22644"/>
      <c r="EG22644"/>
      <c r="EH22644"/>
      <c r="EI22644"/>
      <c r="EJ22644"/>
      <c r="EK22644"/>
    </row>
    <row r="22645" spans="1:141" s="116" customFormat="1">
      <c r="A22645" s="136"/>
      <c r="CM22645" s="111"/>
      <c r="CQ22645" s="111"/>
      <c r="EF22645"/>
      <c r="EG22645"/>
      <c r="EH22645"/>
      <c r="EI22645"/>
      <c r="EJ22645"/>
      <c r="EK22645"/>
    </row>
    <row r="22646" spans="1:141" s="116" customFormat="1">
      <c r="A22646" s="136"/>
      <c r="CM22646" s="111"/>
      <c r="CQ22646" s="111"/>
      <c r="EF22646"/>
      <c r="EG22646"/>
      <c r="EH22646"/>
      <c r="EI22646"/>
      <c r="EJ22646"/>
      <c r="EK22646"/>
    </row>
    <row r="22647" spans="1:141" s="116" customFormat="1">
      <c r="A22647" s="136"/>
      <c r="CM22647" s="111"/>
      <c r="CQ22647" s="111"/>
      <c r="EF22647"/>
      <c r="EG22647"/>
      <c r="EH22647"/>
      <c r="EI22647"/>
      <c r="EJ22647"/>
      <c r="EK22647"/>
    </row>
    <row r="22648" spans="1:141" s="116" customFormat="1">
      <c r="A22648" s="136"/>
      <c r="CM22648" s="111"/>
      <c r="CQ22648" s="111"/>
      <c r="EF22648"/>
      <c r="EG22648"/>
      <c r="EH22648"/>
      <c r="EI22648"/>
      <c r="EJ22648"/>
      <c r="EK22648"/>
    </row>
    <row r="22649" spans="1:141" s="116" customFormat="1">
      <c r="A22649" s="136"/>
      <c r="CM22649" s="111"/>
      <c r="CQ22649" s="111"/>
      <c r="EF22649"/>
      <c r="EG22649"/>
      <c r="EH22649"/>
      <c r="EI22649"/>
      <c r="EJ22649"/>
      <c r="EK22649"/>
    </row>
    <row r="22650" spans="1:141" s="116" customFormat="1">
      <c r="A22650" s="136"/>
      <c r="CM22650" s="111"/>
      <c r="CQ22650" s="111"/>
      <c r="EF22650"/>
      <c r="EG22650"/>
      <c r="EH22650"/>
      <c r="EI22650"/>
      <c r="EJ22650"/>
      <c r="EK22650"/>
    </row>
    <row r="22651" spans="1:141" s="116" customFormat="1">
      <c r="A22651" s="136"/>
      <c r="CM22651" s="111"/>
      <c r="CQ22651" s="111"/>
      <c r="EF22651"/>
      <c r="EG22651"/>
      <c r="EH22651"/>
      <c r="EI22651"/>
      <c r="EJ22651"/>
      <c r="EK22651"/>
    </row>
    <row r="22652" spans="1:141" s="116" customFormat="1">
      <c r="A22652" s="136"/>
      <c r="CM22652" s="111"/>
      <c r="CQ22652" s="111"/>
      <c r="EF22652"/>
      <c r="EG22652"/>
      <c r="EH22652"/>
      <c r="EI22652"/>
      <c r="EJ22652"/>
      <c r="EK22652"/>
    </row>
    <row r="22653" spans="1:141" s="116" customFormat="1">
      <c r="A22653" s="136"/>
      <c r="CM22653" s="111"/>
      <c r="CQ22653" s="111"/>
      <c r="EF22653"/>
      <c r="EG22653"/>
      <c r="EH22653"/>
      <c r="EI22653"/>
      <c r="EJ22653"/>
      <c r="EK22653"/>
    </row>
    <row r="22654" spans="1:141" s="116" customFormat="1">
      <c r="A22654" s="136"/>
      <c r="CM22654" s="111"/>
      <c r="CQ22654" s="111"/>
      <c r="EF22654"/>
      <c r="EG22654"/>
      <c r="EH22654"/>
      <c r="EI22654"/>
      <c r="EJ22654"/>
      <c r="EK22654"/>
    </row>
    <row r="22655" spans="1:141" s="116" customFormat="1">
      <c r="A22655" s="136"/>
      <c r="CM22655" s="111"/>
      <c r="CQ22655" s="111"/>
      <c r="EF22655"/>
      <c r="EG22655"/>
      <c r="EH22655"/>
      <c r="EI22655"/>
      <c r="EJ22655"/>
      <c r="EK22655"/>
    </row>
    <row r="22656" spans="1:141" s="116" customFormat="1">
      <c r="A22656" s="136"/>
      <c r="CM22656" s="111"/>
      <c r="CQ22656" s="111"/>
      <c r="EF22656"/>
      <c r="EG22656"/>
      <c r="EH22656"/>
      <c r="EI22656"/>
      <c r="EJ22656"/>
      <c r="EK22656"/>
    </row>
    <row r="22657" spans="1:141" s="116" customFormat="1">
      <c r="A22657" s="136"/>
      <c r="CM22657" s="111"/>
      <c r="CQ22657" s="111"/>
      <c r="EF22657"/>
      <c r="EG22657"/>
      <c r="EH22657"/>
      <c r="EI22657"/>
      <c r="EJ22657"/>
      <c r="EK22657"/>
    </row>
    <row r="22658" spans="1:141" s="116" customFormat="1">
      <c r="A22658" s="136"/>
      <c r="CM22658" s="111"/>
      <c r="CQ22658" s="111"/>
      <c r="EF22658"/>
      <c r="EG22658"/>
      <c r="EH22658"/>
      <c r="EI22658"/>
      <c r="EJ22658"/>
      <c r="EK22658"/>
    </row>
    <row r="22659" spans="1:141" s="116" customFormat="1">
      <c r="A22659" s="136"/>
      <c r="CM22659" s="111"/>
      <c r="CQ22659" s="111"/>
      <c r="EF22659"/>
      <c r="EG22659"/>
      <c r="EH22659"/>
      <c r="EI22659"/>
      <c r="EJ22659"/>
      <c r="EK22659"/>
    </row>
    <row r="22660" spans="1:141" s="116" customFormat="1">
      <c r="A22660" s="136"/>
      <c r="CM22660" s="111"/>
      <c r="CQ22660" s="111"/>
      <c r="EF22660"/>
      <c r="EG22660"/>
      <c r="EH22660"/>
      <c r="EI22660"/>
      <c r="EJ22660"/>
      <c r="EK22660"/>
    </row>
    <row r="22661" spans="1:141" s="116" customFormat="1">
      <c r="A22661" s="136"/>
      <c r="CM22661" s="111"/>
      <c r="CQ22661" s="111"/>
      <c r="EF22661"/>
      <c r="EG22661"/>
      <c r="EH22661"/>
      <c r="EI22661"/>
      <c r="EJ22661"/>
      <c r="EK22661"/>
    </row>
    <row r="22662" spans="1:141" s="116" customFormat="1">
      <c r="A22662" s="136"/>
      <c r="CM22662" s="111"/>
      <c r="CQ22662" s="111"/>
      <c r="EF22662"/>
      <c r="EG22662"/>
      <c r="EH22662"/>
      <c r="EI22662"/>
      <c r="EJ22662"/>
      <c r="EK22662"/>
    </row>
    <row r="22663" spans="1:141" s="116" customFormat="1">
      <c r="A22663" s="136"/>
      <c r="CM22663" s="111"/>
      <c r="CQ22663" s="111"/>
      <c r="EF22663"/>
      <c r="EG22663"/>
      <c r="EH22663"/>
      <c r="EI22663"/>
      <c r="EJ22663"/>
      <c r="EK22663"/>
    </row>
    <row r="22664" spans="1:141" s="116" customFormat="1">
      <c r="A22664" s="136"/>
      <c r="CM22664" s="111"/>
      <c r="CQ22664" s="111"/>
      <c r="EF22664"/>
      <c r="EG22664"/>
      <c r="EH22664"/>
      <c r="EI22664"/>
      <c r="EJ22664"/>
      <c r="EK22664"/>
    </row>
    <row r="22665" spans="1:141" s="116" customFormat="1">
      <c r="A22665" s="136"/>
      <c r="CM22665" s="111"/>
      <c r="CQ22665" s="111"/>
      <c r="EF22665"/>
      <c r="EG22665"/>
      <c r="EH22665"/>
      <c r="EI22665"/>
      <c r="EJ22665"/>
      <c r="EK22665"/>
    </row>
    <row r="22666" spans="1:141" s="116" customFormat="1">
      <c r="A22666" s="136"/>
      <c r="CM22666" s="111"/>
      <c r="CQ22666" s="111"/>
      <c r="EF22666"/>
      <c r="EG22666"/>
      <c r="EH22666"/>
      <c r="EI22666"/>
      <c r="EJ22666"/>
      <c r="EK22666"/>
    </row>
    <row r="22667" spans="1:141" s="116" customFormat="1">
      <c r="A22667" s="136"/>
      <c r="CM22667" s="111"/>
      <c r="CQ22667" s="111"/>
      <c r="EF22667"/>
      <c r="EG22667"/>
      <c r="EH22667"/>
      <c r="EI22667"/>
      <c r="EJ22667"/>
      <c r="EK22667"/>
    </row>
    <row r="22668" spans="1:141" s="116" customFormat="1">
      <c r="A22668" s="136"/>
      <c r="CM22668" s="111"/>
      <c r="CQ22668" s="111"/>
      <c r="EF22668"/>
      <c r="EG22668"/>
      <c r="EH22668"/>
      <c r="EI22668"/>
      <c r="EJ22668"/>
      <c r="EK22668"/>
    </row>
    <row r="22669" spans="1:141" s="116" customFormat="1">
      <c r="A22669" s="136"/>
      <c r="CM22669" s="111"/>
      <c r="CQ22669" s="111"/>
      <c r="EF22669"/>
      <c r="EG22669"/>
      <c r="EH22669"/>
      <c r="EI22669"/>
      <c r="EJ22669"/>
      <c r="EK22669"/>
    </row>
    <row r="22670" spans="1:141" s="116" customFormat="1">
      <c r="A22670" s="136"/>
      <c r="CM22670" s="111"/>
      <c r="CQ22670" s="111"/>
      <c r="EF22670"/>
      <c r="EG22670"/>
      <c r="EH22670"/>
      <c r="EI22670"/>
      <c r="EJ22670"/>
      <c r="EK22670"/>
    </row>
    <row r="22671" spans="1:141" s="116" customFormat="1">
      <c r="A22671" s="136"/>
      <c r="CM22671" s="111"/>
      <c r="CQ22671" s="111"/>
      <c r="EF22671"/>
      <c r="EG22671"/>
      <c r="EH22671"/>
      <c r="EI22671"/>
      <c r="EJ22671"/>
      <c r="EK22671"/>
    </row>
    <row r="22672" spans="1:141" s="116" customFormat="1">
      <c r="A22672" s="136"/>
      <c r="CM22672" s="111"/>
      <c r="CQ22672" s="111"/>
      <c r="EF22672"/>
      <c r="EG22672"/>
      <c r="EH22672"/>
      <c r="EI22672"/>
      <c r="EJ22672"/>
      <c r="EK22672"/>
    </row>
    <row r="22673" spans="1:141" s="116" customFormat="1">
      <c r="A22673" s="136"/>
      <c r="CM22673" s="111"/>
      <c r="CQ22673" s="111"/>
      <c r="EF22673"/>
      <c r="EG22673"/>
      <c r="EH22673"/>
      <c r="EI22673"/>
      <c r="EJ22673"/>
      <c r="EK22673"/>
    </row>
    <row r="22674" spans="1:141" s="116" customFormat="1">
      <c r="A22674" s="136"/>
      <c r="CM22674" s="111"/>
      <c r="CQ22674" s="111"/>
      <c r="EF22674"/>
      <c r="EG22674"/>
      <c r="EH22674"/>
      <c r="EI22674"/>
      <c r="EJ22674"/>
      <c r="EK22674"/>
    </row>
    <row r="22675" spans="1:141" s="116" customFormat="1">
      <c r="A22675" s="136"/>
      <c r="CM22675" s="111"/>
      <c r="CQ22675" s="111"/>
      <c r="EF22675"/>
      <c r="EG22675"/>
      <c r="EH22675"/>
      <c r="EI22675"/>
      <c r="EJ22675"/>
      <c r="EK22675"/>
    </row>
    <row r="22676" spans="1:141" s="116" customFormat="1">
      <c r="A22676" s="136"/>
      <c r="CM22676" s="111"/>
      <c r="CQ22676" s="111"/>
      <c r="EF22676"/>
      <c r="EG22676"/>
      <c r="EH22676"/>
      <c r="EI22676"/>
      <c r="EJ22676"/>
      <c r="EK22676"/>
    </row>
    <row r="22677" spans="1:141" s="116" customFormat="1">
      <c r="A22677" s="136"/>
      <c r="CM22677" s="111"/>
      <c r="CQ22677" s="111"/>
      <c r="EF22677"/>
      <c r="EG22677"/>
      <c r="EH22677"/>
      <c r="EI22677"/>
      <c r="EJ22677"/>
      <c r="EK22677"/>
    </row>
    <row r="22678" spans="1:141" s="116" customFormat="1">
      <c r="A22678" s="136"/>
      <c r="CM22678" s="111"/>
      <c r="CQ22678" s="111"/>
      <c r="EF22678"/>
      <c r="EG22678"/>
      <c r="EH22678"/>
      <c r="EI22678"/>
      <c r="EJ22678"/>
      <c r="EK22678"/>
    </row>
    <row r="22679" spans="1:141" s="116" customFormat="1">
      <c r="A22679" s="136"/>
      <c r="CM22679" s="111"/>
      <c r="CQ22679" s="111"/>
      <c r="EF22679"/>
      <c r="EG22679"/>
      <c r="EH22679"/>
      <c r="EI22679"/>
      <c r="EJ22679"/>
      <c r="EK22679"/>
    </row>
    <row r="22680" spans="1:141" s="116" customFormat="1">
      <c r="A22680" s="136"/>
      <c r="CM22680" s="111"/>
      <c r="CQ22680" s="111"/>
      <c r="EF22680"/>
      <c r="EG22680"/>
      <c r="EH22680"/>
      <c r="EI22680"/>
      <c r="EJ22680"/>
      <c r="EK22680"/>
    </row>
    <row r="22681" spans="1:141" s="116" customFormat="1">
      <c r="A22681" s="136"/>
      <c r="CM22681" s="111"/>
      <c r="CQ22681" s="111"/>
      <c r="EF22681"/>
      <c r="EG22681"/>
      <c r="EH22681"/>
      <c r="EI22681"/>
      <c r="EJ22681"/>
      <c r="EK22681"/>
    </row>
    <row r="22682" spans="1:141" s="116" customFormat="1">
      <c r="A22682" s="136"/>
      <c r="CM22682" s="111"/>
      <c r="CQ22682" s="111"/>
      <c r="EF22682"/>
      <c r="EG22682"/>
      <c r="EH22682"/>
      <c r="EI22682"/>
      <c r="EJ22682"/>
      <c r="EK22682"/>
    </row>
    <row r="22683" spans="1:141" s="116" customFormat="1">
      <c r="A22683" s="136"/>
      <c r="CM22683" s="111"/>
      <c r="CQ22683" s="111"/>
      <c r="EF22683"/>
      <c r="EG22683"/>
      <c r="EH22683"/>
      <c r="EI22683"/>
      <c r="EJ22683"/>
      <c r="EK22683"/>
    </row>
    <row r="22684" spans="1:141" s="116" customFormat="1">
      <c r="A22684" s="136"/>
      <c r="CM22684" s="111"/>
      <c r="CQ22684" s="111"/>
      <c r="EF22684"/>
      <c r="EG22684"/>
      <c r="EH22684"/>
      <c r="EI22684"/>
      <c r="EJ22684"/>
      <c r="EK22684"/>
    </row>
    <row r="22685" spans="1:141" s="116" customFormat="1">
      <c r="A22685" s="136"/>
      <c r="CM22685" s="111"/>
      <c r="CQ22685" s="111"/>
      <c r="EF22685"/>
      <c r="EG22685"/>
      <c r="EH22685"/>
      <c r="EI22685"/>
      <c r="EJ22685"/>
      <c r="EK22685"/>
    </row>
    <row r="22686" spans="1:141" s="116" customFormat="1">
      <c r="A22686" s="136"/>
      <c r="CM22686" s="111"/>
      <c r="CQ22686" s="111"/>
      <c r="EF22686"/>
      <c r="EG22686"/>
      <c r="EH22686"/>
      <c r="EI22686"/>
      <c r="EJ22686"/>
      <c r="EK22686"/>
    </row>
    <row r="22687" spans="1:141" s="116" customFormat="1">
      <c r="A22687" s="136"/>
      <c r="CM22687" s="111"/>
      <c r="CQ22687" s="111"/>
      <c r="EF22687"/>
      <c r="EG22687"/>
      <c r="EH22687"/>
      <c r="EI22687"/>
      <c r="EJ22687"/>
      <c r="EK22687"/>
    </row>
    <row r="22688" spans="1:141" s="116" customFormat="1">
      <c r="A22688" s="136"/>
      <c r="CM22688" s="111"/>
      <c r="CQ22688" s="111"/>
      <c r="EF22688"/>
      <c r="EG22688"/>
      <c r="EH22688"/>
      <c r="EI22688"/>
      <c r="EJ22688"/>
      <c r="EK22688"/>
    </row>
    <row r="22689" spans="1:141" s="116" customFormat="1">
      <c r="A22689" s="136"/>
      <c r="CM22689" s="111"/>
      <c r="CQ22689" s="111"/>
      <c r="EF22689"/>
      <c r="EG22689"/>
      <c r="EH22689"/>
      <c r="EI22689"/>
      <c r="EJ22689"/>
      <c r="EK22689"/>
    </row>
    <row r="22690" spans="1:141" s="116" customFormat="1">
      <c r="A22690" s="136"/>
      <c r="CM22690" s="111"/>
      <c r="CQ22690" s="111"/>
      <c r="EF22690"/>
      <c r="EG22690"/>
      <c r="EH22690"/>
      <c r="EI22690"/>
      <c r="EJ22690"/>
      <c r="EK22690"/>
    </row>
    <row r="22691" spans="1:141" s="116" customFormat="1">
      <c r="A22691" s="136"/>
      <c r="CM22691" s="111"/>
      <c r="CQ22691" s="111"/>
      <c r="EF22691"/>
      <c r="EG22691"/>
      <c r="EH22691"/>
      <c r="EI22691"/>
      <c r="EJ22691"/>
      <c r="EK22691"/>
    </row>
    <row r="22692" spans="1:141" s="116" customFormat="1">
      <c r="A22692" s="136"/>
      <c r="CM22692" s="111"/>
      <c r="CQ22692" s="111"/>
      <c r="EF22692"/>
      <c r="EG22692"/>
      <c r="EH22692"/>
      <c r="EI22692"/>
      <c r="EJ22692"/>
      <c r="EK22692"/>
    </row>
    <row r="22693" spans="1:141" s="116" customFormat="1">
      <c r="A22693" s="136"/>
      <c r="CM22693" s="111"/>
      <c r="CQ22693" s="111"/>
      <c r="EF22693"/>
      <c r="EG22693"/>
      <c r="EH22693"/>
      <c r="EI22693"/>
      <c r="EJ22693"/>
      <c r="EK22693"/>
    </row>
    <row r="22694" spans="1:141" s="116" customFormat="1">
      <c r="A22694" s="136"/>
      <c r="CM22694" s="111"/>
      <c r="CQ22694" s="111"/>
      <c r="EF22694"/>
      <c r="EG22694"/>
      <c r="EH22694"/>
      <c r="EI22694"/>
      <c r="EJ22694"/>
      <c r="EK22694"/>
    </row>
    <row r="22695" spans="1:141" s="116" customFormat="1">
      <c r="A22695" s="136"/>
      <c r="CM22695" s="111"/>
      <c r="CQ22695" s="111"/>
      <c r="EF22695"/>
      <c r="EG22695"/>
      <c r="EH22695"/>
      <c r="EI22695"/>
      <c r="EJ22695"/>
      <c r="EK22695"/>
    </row>
    <row r="22696" spans="1:141" s="116" customFormat="1">
      <c r="A22696" s="136"/>
      <c r="CM22696" s="111"/>
      <c r="CQ22696" s="111"/>
      <c r="EF22696"/>
      <c r="EG22696"/>
      <c r="EH22696"/>
      <c r="EI22696"/>
      <c r="EJ22696"/>
      <c r="EK22696"/>
    </row>
    <row r="22697" spans="1:141" s="116" customFormat="1">
      <c r="A22697" s="136"/>
      <c r="CM22697" s="111"/>
      <c r="CQ22697" s="111"/>
      <c r="EF22697"/>
      <c r="EG22697"/>
      <c r="EH22697"/>
      <c r="EI22697"/>
      <c r="EJ22697"/>
      <c r="EK22697"/>
    </row>
    <row r="22698" spans="1:141" s="116" customFormat="1">
      <c r="A22698" s="136"/>
      <c r="CM22698" s="111"/>
      <c r="CQ22698" s="111"/>
      <c r="EF22698"/>
      <c r="EG22698"/>
      <c r="EH22698"/>
      <c r="EI22698"/>
      <c r="EJ22698"/>
      <c r="EK22698"/>
    </row>
    <row r="22699" spans="1:141" s="116" customFormat="1">
      <c r="A22699" s="136"/>
      <c r="CM22699" s="111"/>
      <c r="CQ22699" s="111"/>
      <c r="EF22699"/>
      <c r="EG22699"/>
      <c r="EH22699"/>
      <c r="EI22699"/>
      <c r="EJ22699"/>
      <c r="EK22699"/>
    </row>
    <row r="22700" spans="1:141" s="116" customFormat="1">
      <c r="A22700" s="136"/>
      <c r="CM22700" s="111"/>
      <c r="CQ22700" s="111"/>
      <c r="EF22700"/>
      <c r="EG22700"/>
      <c r="EH22700"/>
      <c r="EI22700"/>
      <c r="EJ22700"/>
      <c r="EK22700"/>
    </row>
    <row r="22701" spans="1:141" s="116" customFormat="1">
      <c r="A22701" s="136"/>
      <c r="CM22701" s="111"/>
      <c r="CQ22701" s="111"/>
      <c r="EF22701"/>
      <c r="EG22701"/>
      <c r="EH22701"/>
      <c r="EI22701"/>
      <c r="EJ22701"/>
      <c r="EK22701"/>
    </row>
    <row r="22702" spans="1:141" s="116" customFormat="1">
      <c r="A22702" s="136"/>
      <c r="CM22702" s="111"/>
      <c r="CQ22702" s="111"/>
      <c r="EF22702"/>
      <c r="EG22702"/>
      <c r="EH22702"/>
      <c r="EI22702"/>
      <c r="EJ22702"/>
      <c r="EK22702"/>
    </row>
    <row r="22703" spans="1:141" s="116" customFormat="1">
      <c r="A22703" s="136"/>
      <c r="CM22703" s="111"/>
      <c r="CQ22703" s="111"/>
      <c r="EF22703"/>
      <c r="EG22703"/>
      <c r="EH22703"/>
      <c r="EI22703"/>
      <c r="EJ22703"/>
      <c r="EK22703"/>
    </row>
    <row r="22704" spans="1:141" s="116" customFormat="1">
      <c r="A22704" s="136"/>
      <c r="CM22704" s="111"/>
      <c r="CQ22704" s="111"/>
      <c r="EF22704"/>
      <c r="EG22704"/>
      <c r="EH22704"/>
      <c r="EI22704"/>
      <c r="EJ22704"/>
      <c r="EK22704"/>
    </row>
    <row r="22705" spans="1:141" s="116" customFormat="1">
      <c r="A22705" s="136"/>
      <c r="CM22705" s="111"/>
      <c r="CQ22705" s="111"/>
      <c r="EF22705"/>
      <c r="EG22705"/>
      <c r="EH22705"/>
      <c r="EI22705"/>
      <c r="EJ22705"/>
      <c r="EK22705"/>
    </row>
    <row r="22706" spans="1:141" s="116" customFormat="1">
      <c r="A22706" s="136"/>
      <c r="CM22706" s="111"/>
      <c r="CQ22706" s="111"/>
      <c r="EF22706"/>
      <c r="EG22706"/>
      <c r="EH22706"/>
      <c r="EI22706"/>
      <c r="EJ22706"/>
      <c r="EK22706"/>
    </row>
    <row r="22707" spans="1:141" s="116" customFormat="1">
      <c r="A22707" s="136"/>
      <c r="CM22707" s="111"/>
      <c r="CQ22707" s="111"/>
      <c r="EF22707"/>
      <c r="EG22707"/>
      <c r="EH22707"/>
      <c r="EI22707"/>
      <c r="EJ22707"/>
      <c r="EK22707"/>
    </row>
    <row r="22708" spans="1:141" s="116" customFormat="1">
      <c r="A22708" s="136"/>
      <c r="CM22708" s="111"/>
      <c r="CQ22708" s="111"/>
      <c r="EF22708"/>
      <c r="EG22708"/>
      <c r="EH22708"/>
      <c r="EI22708"/>
      <c r="EJ22708"/>
      <c r="EK22708"/>
    </row>
    <row r="22709" spans="1:141" s="116" customFormat="1">
      <c r="A22709" s="136"/>
      <c r="CM22709" s="111"/>
      <c r="CQ22709" s="111"/>
      <c r="EF22709"/>
      <c r="EG22709"/>
      <c r="EH22709"/>
      <c r="EI22709"/>
      <c r="EJ22709"/>
      <c r="EK22709"/>
    </row>
    <row r="22710" spans="1:141" s="116" customFormat="1">
      <c r="A22710" s="136"/>
      <c r="CM22710" s="111"/>
      <c r="CQ22710" s="111"/>
      <c r="EF22710"/>
      <c r="EG22710"/>
      <c r="EH22710"/>
      <c r="EI22710"/>
      <c r="EJ22710"/>
      <c r="EK22710"/>
    </row>
    <row r="22711" spans="1:141" s="116" customFormat="1">
      <c r="A22711" s="136"/>
      <c r="CM22711" s="111"/>
      <c r="CQ22711" s="111"/>
      <c r="EF22711"/>
      <c r="EG22711"/>
      <c r="EH22711"/>
      <c r="EI22711"/>
      <c r="EJ22711"/>
      <c r="EK22711"/>
    </row>
    <row r="22712" spans="1:141" s="116" customFormat="1">
      <c r="A22712" s="136"/>
      <c r="CM22712" s="111"/>
      <c r="CQ22712" s="111"/>
      <c r="EF22712"/>
      <c r="EG22712"/>
      <c r="EH22712"/>
      <c r="EI22712"/>
      <c r="EJ22712"/>
      <c r="EK22712"/>
    </row>
    <row r="22713" spans="1:141" s="116" customFormat="1">
      <c r="A22713" s="136"/>
      <c r="CM22713" s="111"/>
      <c r="CQ22713" s="111"/>
      <c r="EF22713"/>
      <c r="EG22713"/>
      <c r="EH22713"/>
      <c r="EI22713"/>
      <c r="EJ22713"/>
      <c r="EK22713"/>
    </row>
    <row r="22714" spans="1:141" s="116" customFormat="1">
      <c r="A22714" s="136"/>
      <c r="CM22714" s="111"/>
      <c r="CQ22714" s="111"/>
      <c r="EF22714"/>
      <c r="EG22714"/>
      <c r="EH22714"/>
      <c r="EI22714"/>
      <c r="EJ22714"/>
      <c r="EK22714"/>
    </row>
    <row r="22715" spans="1:141" s="116" customFormat="1">
      <c r="A22715" s="136"/>
      <c r="CM22715" s="111"/>
      <c r="CQ22715" s="111"/>
      <c r="EF22715"/>
      <c r="EG22715"/>
      <c r="EH22715"/>
      <c r="EI22715"/>
      <c r="EJ22715"/>
      <c r="EK22715"/>
    </row>
    <row r="22716" spans="1:141" s="116" customFormat="1">
      <c r="A22716" s="136"/>
      <c r="CM22716" s="111"/>
      <c r="CQ22716" s="111"/>
      <c r="EF22716"/>
      <c r="EG22716"/>
      <c r="EH22716"/>
      <c r="EI22716"/>
      <c r="EJ22716"/>
      <c r="EK22716"/>
    </row>
    <row r="22717" spans="1:141" s="116" customFormat="1">
      <c r="A22717" s="136"/>
      <c r="CM22717" s="111"/>
      <c r="CQ22717" s="111"/>
      <c r="EF22717"/>
      <c r="EG22717"/>
      <c r="EH22717"/>
      <c r="EI22717"/>
      <c r="EJ22717"/>
      <c r="EK22717"/>
    </row>
    <row r="22718" spans="1:141" s="116" customFormat="1">
      <c r="A22718" s="136"/>
      <c r="CM22718" s="111"/>
      <c r="CQ22718" s="111"/>
      <c r="EF22718"/>
      <c r="EG22718"/>
      <c r="EH22718"/>
      <c r="EI22718"/>
      <c r="EJ22718"/>
      <c r="EK22718"/>
    </row>
    <row r="22719" spans="1:141" s="116" customFormat="1">
      <c r="A22719" s="136"/>
      <c r="CM22719" s="111"/>
      <c r="CQ22719" s="111"/>
      <c r="EF22719"/>
      <c r="EG22719"/>
      <c r="EH22719"/>
      <c r="EI22719"/>
      <c r="EJ22719"/>
      <c r="EK22719"/>
    </row>
    <row r="22720" spans="1:141" s="116" customFormat="1">
      <c r="A22720" s="136"/>
      <c r="CM22720" s="111"/>
      <c r="CQ22720" s="111"/>
      <c r="EF22720"/>
      <c r="EG22720"/>
      <c r="EH22720"/>
      <c r="EI22720"/>
      <c r="EJ22720"/>
      <c r="EK22720"/>
    </row>
    <row r="22721" spans="1:141" s="116" customFormat="1">
      <c r="A22721" s="136"/>
      <c r="CM22721" s="111"/>
      <c r="CQ22721" s="111"/>
      <c r="EF22721"/>
      <c r="EG22721"/>
      <c r="EH22721"/>
      <c r="EI22721"/>
      <c r="EJ22721"/>
      <c r="EK22721"/>
    </row>
    <row r="22722" spans="1:141" s="116" customFormat="1">
      <c r="A22722" s="136"/>
      <c r="CM22722" s="111"/>
      <c r="CQ22722" s="111"/>
      <c r="EF22722"/>
      <c r="EG22722"/>
      <c r="EH22722"/>
      <c r="EI22722"/>
      <c r="EJ22722"/>
      <c r="EK22722"/>
    </row>
    <row r="22723" spans="1:141" s="116" customFormat="1">
      <c r="A22723" s="136"/>
      <c r="CM22723" s="111"/>
      <c r="CQ22723" s="111"/>
      <c r="EF22723"/>
      <c r="EG22723"/>
      <c r="EH22723"/>
      <c r="EI22723"/>
      <c r="EJ22723"/>
      <c r="EK22723"/>
    </row>
    <row r="22724" spans="1:141" s="116" customFormat="1">
      <c r="A22724" s="136"/>
      <c r="CM22724" s="111"/>
      <c r="CQ22724" s="111"/>
      <c r="EF22724"/>
      <c r="EG22724"/>
      <c r="EH22724"/>
      <c r="EI22724"/>
      <c r="EJ22724"/>
      <c r="EK22724"/>
    </row>
    <row r="22725" spans="1:141" s="116" customFormat="1">
      <c r="A22725" s="136"/>
      <c r="CM22725" s="111"/>
      <c r="CQ22725" s="111"/>
      <c r="EF22725"/>
      <c r="EG22725"/>
      <c r="EH22725"/>
      <c r="EI22725"/>
      <c r="EJ22725"/>
      <c r="EK22725"/>
    </row>
    <row r="22726" spans="1:141" s="116" customFormat="1">
      <c r="A22726" s="136"/>
      <c r="CM22726" s="111"/>
      <c r="CQ22726" s="111"/>
      <c r="EF22726"/>
      <c r="EG22726"/>
      <c r="EH22726"/>
      <c r="EI22726"/>
      <c r="EJ22726"/>
      <c r="EK22726"/>
    </row>
    <row r="22727" spans="1:141" s="116" customFormat="1">
      <c r="A22727" s="136"/>
      <c r="CM22727" s="111"/>
      <c r="CQ22727" s="111"/>
      <c r="EF22727"/>
      <c r="EG22727"/>
      <c r="EH22727"/>
      <c r="EI22727"/>
      <c r="EJ22727"/>
      <c r="EK22727"/>
    </row>
    <row r="22728" spans="1:141" s="116" customFormat="1">
      <c r="A22728" s="136"/>
      <c r="CM22728" s="111"/>
      <c r="CQ22728" s="111"/>
      <c r="EF22728"/>
      <c r="EG22728"/>
      <c r="EH22728"/>
      <c r="EI22728"/>
      <c r="EJ22728"/>
      <c r="EK22728"/>
    </row>
    <row r="22729" spans="1:141" s="116" customFormat="1">
      <c r="A22729" s="136"/>
      <c r="CM22729" s="111"/>
      <c r="CQ22729" s="111"/>
      <c r="EF22729"/>
      <c r="EG22729"/>
      <c r="EH22729"/>
      <c r="EI22729"/>
      <c r="EJ22729"/>
      <c r="EK22729"/>
    </row>
    <row r="22730" spans="1:141" s="116" customFormat="1">
      <c r="A22730" s="136"/>
      <c r="CM22730" s="111"/>
      <c r="CQ22730" s="111"/>
      <c r="EF22730"/>
      <c r="EG22730"/>
      <c r="EH22730"/>
      <c r="EI22730"/>
      <c r="EJ22730"/>
      <c r="EK22730"/>
    </row>
    <row r="22731" spans="1:141" s="116" customFormat="1">
      <c r="A22731" s="136"/>
      <c r="CM22731" s="111"/>
      <c r="CQ22731" s="111"/>
      <c r="EF22731"/>
      <c r="EG22731"/>
      <c r="EH22731"/>
      <c r="EI22731"/>
      <c r="EJ22731"/>
      <c r="EK22731"/>
    </row>
    <row r="22732" spans="1:141" s="116" customFormat="1">
      <c r="A22732" s="136"/>
      <c r="CM22732" s="111"/>
      <c r="CQ22732" s="111"/>
      <c r="EF22732"/>
      <c r="EG22732"/>
      <c r="EH22732"/>
      <c r="EI22732"/>
      <c r="EJ22732"/>
      <c r="EK22732"/>
    </row>
    <row r="22733" spans="1:141" s="116" customFormat="1">
      <c r="A22733" s="136"/>
      <c r="CM22733" s="111"/>
      <c r="CQ22733" s="111"/>
      <c r="EF22733"/>
      <c r="EG22733"/>
      <c r="EH22733"/>
      <c r="EI22733"/>
      <c r="EJ22733"/>
      <c r="EK22733"/>
    </row>
    <row r="22734" spans="1:141" s="116" customFormat="1">
      <c r="A22734" s="136"/>
      <c r="CM22734" s="111"/>
      <c r="CQ22734" s="111"/>
      <c r="EF22734"/>
      <c r="EG22734"/>
      <c r="EH22734"/>
      <c r="EI22734"/>
      <c r="EJ22734"/>
      <c r="EK22734"/>
    </row>
    <row r="22735" spans="1:141" s="116" customFormat="1">
      <c r="A22735" s="136"/>
      <c r="CM22735" s="111"/>
      <c r="CQ22735" s="111"/>
      <c r="EF22735"/>
      <c r="EG22735"/>
      <c r="EH22735"/>
      <c r="EI22735"/>
      <c r="EJ22735"/>
      <c r="EK22735"/>
    </row>
    <row r="22736" spans="1:141" s="116" customFormat="1">
      <c r="A22736" s="136"/>
      <c r="CM22736" s="111"/>
      <c r="CQ22736" s="111"/>
      <c r="EF22736"/>
      <c r="EG22736"/>
      <c r="EH22736"/>
      <c r="EI22736"/>
      <c r="EJ22736"/>
      <c r="EK22736"/>
    </row>
    <row r="22737" spans="1:141" s="116" customFormat="1">
      <c r="A22737" s="136"/>
      <c r="CM22737" s="111"/>
      <c r="CQ22737" s="111"/>
      <c r="EF22737"/>
      <c r="EG22737"/>
      <c r="EH22737"/>
      <c r="EI22737"/>
      <c r="EJ22737"/>
      <c r="EK22737"/>
    </row>
    <row r="22738" spans="1:141" s="116" customFormat="1">
      <c r="A22738" s="136"/>
      <c r="CM22738" s="111"/>
      <c r="CQ22738" s="111"/>
      <c r="EF22738"/>
      <c r="EG22738"/>
      <c r="EH22738"/>
      <c r="EI22738"/>
      <c r="EJ22738"/>
      <c r="EK22738"/>
    </row>
    <row r="22739" spans="1:141" s="116" customFormat="1">
      <c r="A22739" s="136"/>
      <c r="CM22739" s="111"/>
      <c r="CQ22739" s="111"/>
      <c r="EF22739"/>
      <c r="EG22739"/>
      <c r="EH22739"/>
      <c r="EI22739"/>
      <c r="EJ22739"/>
      <c r="EK22739"/>
    </row>
    <row r="22740" spans="1:141" s="116" customFormat="1">
      <c r="A22740" s="136"/>
      <c r="CM22740" s="111"/>
      <c r="CQ22740" s="111"/>
      <c r="EF22740"/>
      <c r="EG22740"/>
      <c r="EH22740"/>
      <c r="EI22740"/>
      <c r="EJ22740"/>
      <c r="EK22740"/>
    </row>
    <row r="22741" spans="1:141" s="116" customFormat="1">
      <c r="A22741" s="136"/>
      <c r="CM22741" s="111"/>
      <c r="CQ22741" s="111"/>
      <c r="EF22741"/>
      <c r="EG22741"/>
      <c r="EH22741"/>
      <c r="EI22741"/>
      <c r="EJ22741"/>
      <c r="EK22741"/>
    </row>
    <row r="22742" spans="1:141" s="116" customFormat="1">
      <c r="A22742" s="136"/>
      <c r="CM22742" s="111"/>
      <c r="CQ22742" s="111"/>
      <c r="EF22742"/>
      <c r="EG22742"/>
      <c r="EH22742"/>
      <c r="EI22742"/>
      <c r="EJ22742"/>
      <c r="EK22742"/>
    </row>
    <row r="22743" spans="1:141" s="116" customFormat="1">
      <c r="A22743" s="136"/>
      <c r="CM22743" s="111"/>
      <c r="CQ22743" s="111"/>
      <c r="EF22743"/>
      <c r="EG22743"/>
      <c r="EH22743"/>
      <c r="EI22743"/>
      <c r="EJ22743"/>
      <c r="EK22743"/>
    </row>
    <row r="22744" spans="1:141" s="116" customFormat="1">
      <c r="A22744" s="136"/>
      <c r="CM22744" s="111"/>
      <c r="CQ22744" s="111"/>
      <c r="EF22744"/>
      <c r="EG22744"/>
      <c r="EH22744"/>
      <c r="EI22744"/>
      <c r="EJ22744"/>
      <c r="EK22744"/>
    </row>
    <row r="22745" spans="1:141" s="116" customFormat="1">
      <c r="A22745" s="136"/>
      <c r="CM22745" s="111"/>
      <c r="CQ22745" s="111"/>
      <c r="EF22745"/>
      <c r="EG22745"/>
      <c r="EH22745"/>
      <c r="EI22745"/>
      <c r="EJ22745"/>
      <c r="EK22745"/>
    </row>
    <row r="22746" spans="1:141" s="116" customFormat="1">
      <c r="A22746" s="136"/>
      <c r="CM22746" s="111"/>
      <c r="CQ22746" s="111"/>
      <c r="EF22746"/>
      <c r="EG22746"/>
      <c r="EH22746"/>
      <c r="EI22746"/>
      <c r="EJ22746"/>
      <c r="EK22746"/>
    </row>
    <row r="22747" spans="1:141" s="116" customFormat="1">
      <c r="A22747" s="136"/>
      <c r="CM22747" s="111"/>
      <c r="CQ22747" s="111"/>
      <c r="EF22747"/>
      <c r="EG22747"/>
      <c r="EH22747"/>
      <c r="EI22747"/>
      <c r="EJ22747"/>
      <c r="EK22747"/>
    </row>
    <row r="22748" spans="1:141" s="116" customFormat="1">
      <c r="A22748" s="136"/>
      <c r="CM22748" s="111"/>
      <c r="CQ22748" s="111"/>
      <c r="EF22748"/>
      <c r="EG22748"/>
      <c r="EH22748"/>
      <c r="EI22748"/>
      <c r="EJ22748"/>
      <c r="EK22748"/>
    </row>
    <row r="22749" spans="1:141" s="116" customFormat="1">
      <c r="A22749" s="136"/>
      <c r="CM22749" s="111"/>
      <c r="CQ22749" s="111"/>
      <c r="EF22749"/>
      <c r="EG22749"/>
      <c r="EH22749"/>
      <c r="EI22749"/>
      <c r="EJ22749"/>
      <c r="EK22749"/>
    </row>
    <row r="22750" spans="1:141" s="116" customFormat="1">
      <c r="A22750" s="136"/>
      <c r="CM22750" s="111"/>
      <c r="CQ22750" s="111"/>
      <c r="EF22750"/>
      <c r="EG22750"/>
      <c r="EH22750"/>
      <c r="EI22750"/>
      <c r="EJ22750"/>
      <c r="EK22750"/>
    </row>
    <row r="22751" spans="1:141" s="116" customFormat="1">
      <c r="A22751" s="136"/>
      <c r="CM22751" s="111"/>
      <c r="CQ22751" s="111"/>
      <c r="EF22751"/>
      <c r="EG22751"/>
      <c r="EH22751"/>
      <c r="EI22751"/>
      <c r="EJ22751"/>
      <c r="EK22751"/>
    </row>
    <row r="22752" spans="1:141" s="116" customFormat="1">
      <c r="A22752" s="136"/>
      <c r="CM22752" s="111"/>
      <c r="CQ22752" s="111"/>
      <c r="EF22752"/>
      <c r="EG22752"/>
      <c r="EH22752"/>
      <c r="EI22752"/>
      <c r="EJ22752"/>
      <c r="EK22752"/>
    </row>
    <row r="22753" spans="1:141" s="116" customFormat="1">
      <c r="A22753" s="136"/>
      <c r="CM22753" s="111"/>
      <c r="CQ22753" s="111"/>
      <c r="EF22753"/>
      <c r="EG22753"/>
      <c r="EH22753"/>
      <c r="EI22753"/>
      <c r="EJ22753"/>
      <c r="EK22753"/>
    </row>
    <row r="22754" spans="1:141" s="116" customFormat="1">
      <c r="A22754" s="136"/>
      <c r="CM22754" s="111"/>
      <c r="CQ22754" s="111"/>
      <c r="EF22754"/>
      <c r="EG22754"/>
      <c r="EH22754"/>
      <c r="EI22754"/>
      <c r="EJ22754"/>
      <c r="EK22754"/>
    </row>
    <row r="22755" spans="1:141" s="116" customFormat="1">
      <c r="A22755" s="136"/>
      <c r="CM22755" s="111"/>
      <c r="CQ22755" s="111"/>
      <c r="EF22755"/>
      <c r="EG22755"/>
      <c r="EH22755"/>
      <c r="EI22755"/>
      <c r="EJ22755"/>
      <c r="EK22755"/>
    </row>
    <row r="22756" spans="1:141" s="116" customFormat="1">
      <c r="A22756" s="136"/>
      <c r="CM22756" s="111"/>
      <c r="CQ22756" s="111"/>
      <c r="EF22756"/>
      <c r="EG22756"/>
      <c r="EH22756"/>
      <c r="EI22756"/>
      <c r="EJ22756"/>
      <c r="EK22756"/>
    </row>
    <row r="22757" spans="1:141" s="116" customFormat="1">
      <c r="A22757" s="136"/>
      <c r="CM22757" s="111"/>
      <c r="CQ22757" s="111"/>
      <c r="EF22757"/>
      <c r="EG22757"/>
      <c r="EH22757"/>
      <c r="EI22757"/>
      <c r="EJ22757"/>
      <c r="EK22757"/>
    </row>
    <row r="22758" spans="1:141" s="116" customFormat="1">
      <c r="A22758" s="136"/>
      <c r="CM22758" s="111"/>
      <c r="CQ22758" s="111"/>
      <c r="EF22758"/>
      <c r="EG22758"/>
      <c r="EH22758"/>
      <c r="EI22758"/>
      <c r="EJ22758"/>
      <c r="EK22758"/>
    </row>
    <row r="22759" spans="1:141" s="116" customFormat="1">
      <c r="A22759" s="136"/>
      <c r="CM22759" s="111"/>
      <c r="CQ22759" s="111"/>
      <c r="EF22759"/>
      <c r="EG22759"/>
      <c r="EH22759"/>
      <c r="EI22759"/>
      <c r="EJ22759"/>
      <c r="EK22759"/>
    </row>
    <row r="22760" spans="1:141" s="116" customFormat="1">
      <c r="A22760" s="136"/>
      <c r="CM22760" s="111"/>
      <c r="CQ22760" s="111"/>
      <c r="EF22760"/>
      <c r="EG22760"/>
      <c r="EH22760"/>
      <c r="EI22760"/>
      <c r="EJ22760"/>
      <c r="EK22760"/>
    </row>
    <row r="22761" spans="1:141" s="116" customFormat="1">
      <c r="A22761" s="136"/>
      <c r="CM22761" s="111"/>
      <c r="CQ22761" s="111"/>
      <c r="EF22761"/>
      <c r="EG22761"/>
      <c r="EH22761"/>
      <c r="EI22761"/>
      <c r="EJ22761"/>
      <c r="EK22761"/>
    </row>
    <row r="22762" spans="1:141" s="116" customFormat="1">
      <c r="A22762" s="136"/>
      <c r="CM22762" s="111"/>
      <c r="CQ22762" s="111"/>
      <c r="EF22762"/>
      <c r="EG22762"/>
      <c r="EH22762"/>
      <c r="EI22762"/>
      <c r="EJ22762"/>
      <c r="EK22762"/>
    </row>
    <row r="22763" spans="1:141" s="116" customFormat="1">
      <c r="A22763" s="136"/>
      <c r="CM22763" s="111"/>
      <c r="CQ22763" s="111"/>
      <c r="EF22763"/>
      <c r="EG22763"/>
      <c r="EH22763"/>
      <c r="EI22763"/>
      <c r="EJ22763"/>
      <c r="EK22763"/>
    </row>
    <row r="22764" spans="1:141" s="116" customFormat="1">
      <c r="A22764" s="136"/>
      <c r="CM22764" s="111"/>
      <c r="CQ22764" s="111"/>
      <c r="EF22764"/>
      <c r="EG22764"/>
      <c r="EH22764"/>
      <c r="EI22764"/>
      <c r="EJ22764"/>
      <c r="EK22764"/>
    </row>
    <row r="22765" spans="1:141" s="116" customFormat="1">
      <c r="A22765" s="136"/>
      <c r="CM22765" s="111"/>
      <c r="CQ22765" s="111"/>
      <c r="EF22765"/>
      <c r="EG22765"/>
      <c r="EH22765"/>
      <c r="EI22765"/>
      <c r="EJ22765"/>
      <c r="EK22765"/>
    </row>
    <row r="22766" spans="1:141" s="116" customFormat="1">
      <c r="A22766" s="136"/>
      <c r="CM22766" s="111"/>
      <c r="CQ22766" s="111"/>
      <c r="EF22766"/>
      <c r="EG22766"/>
      <c r="EH22766"/>
      <c r="EI22766"/>
      <c r="EJ22766"/>
      <c r="EK22766"/>
    </row>
    <row r="22767" spans="1:141" s="116" customFormat="1">
      <c r="A22767" s="136"/>
      <c r="CM22767" s="111"/>
      <c r="CQ22767" s="111"/>
      <c r="EF22767"/>
      <c r="EG22767"/>
      <c r="EH22767"/>
      <c r="EI22767"/>
      <c r="EJ22767"/>
      <c r="EK22767"/>
    </row>
    <row r="22768" spans="1:141" s="116" customFormat="1">
      <c r="A22768" s="136"/>
      <c r="CM22768" s="111"/>
      <c r="CQ22768" s="111"/>
      <c r="EF22768"/>
      <c r="EG22768"/>
      <c r="EH22768"/>
      <c r="EI22768"/>
      <c r="EJ22768"/>
      <c r="EK22768"/>
    </row>
    <row r="22769" spans="1:141" s="116" customFormat="1">
      <c r="A22769" s="136"/>
      <c r="CM22769" s="111"/>
      <c r="CQ22769" s="111"/>
      <c r="EF22769"/>
      <c r="EG22769"/>
      <c r="EH22769"/>
      <c r="EI22769"/>
      <c r="EJ22769"/>
      <c r="EK22769"/>
    </row>
    <row r="22770" spans="1:141" s="116" customFormat="1">
      <c r="A22770" s="136"/>
      <c r="CM22770" s="111"/>
      <c r="CQ22770" s="111"/>
      <c r="EF22770"/>
      <c r="EG22770"/>
      <c r="EH22770"/>
      <c r="EI22770"/>
      <c r="EJ22770"/>
      <c r="EK22770"/>
    </row>
    <row r="22771" spans="1:141" s="116" customFormat="1">
      <c r="A22771" s="136"/>
      <c r="CM22771" s="111"/>
      <c r="CQ22771" s="111"/>
      <c r="EF22771"/>
      <c r="EG22771"/>
      <c r="EH22771"/>
      <c r="EI22771"/>
      <c r="EJ22771"/>
      <c r="EK22771"/>
    </row>
    <row r="22772" spans="1:141" s="116" customFormat="1">
      <c r="A22772" s="136"/>
      <c r="CM22772" s="111"/>
      <c r="CQ22772" s="111"/>
      <c r="EF22772"/>
      <c r="EG22772"/>
      <c r="EH22772"/>
      <c r="EI22772"/>
      <c r="EJ22772"/>
      <c r="EK22772"/>
    </row>
    <row r="22773" spans="1:141" s="116" customFormat="1">
      <c r="A22773" s="136"/>
      <c r="CM22773" s="111"/>
      <c r="CQ22773" s="111"/>
      <c r="EF22773"/>
      <c r="EG22773"/>
      <c r="EH22773"/>
      <c r="EI22773"/>
      <c r="EJ22773"/>
      <c r="EK22773"/>
    </row>
    <row r="22774" spans="1:141" s="116" customFormat="1">
      <c r="A22774" s="136"/>
      <c r="CM22774" s="111"/>
      <c r="CQ22774" s="111"/>
      <c r="EF22774"/>
      <c r="EG22774"/>
      <c r="EH22774"/>
      <c r="EI22774"/>
      <c r="EJ22774"/>
      <c r="EK22774"/>
    </row>
    <row r="22775" spans="1:141" s="116" customFormat="1">
      <c r="A22775" s="136"/>
      <c r="CM22775" s="111"/>
      <c r="CQ22775" s="111"/>
      <c r="EF22775"/>
      <c r="EG22775"/>
      <c r="EH22775"/>
      <c r="EI22775"/>
      <c r="EJ22775"/>
      <c r="EK22775"/>
    </row>
    <row r="22776" spans="1:141" s="116" customFormat="1">
      <c r="A22776" s="136"/>
      <c r="CM22776" s="111"/>
      <c r="CQ22776" s="111"/>
      <c r="EF22776"/>
      <c r="EG22776"/>
      <c r="EH22776"/>
      <c r="EI22776"/>
      <c r="EJ22776"/>
      <c r="EK22776"/>
    </row>
    <row r="22777" spans="1:141" s="116" customFormat="1">
      <c r="A22777" s="136"/>
      <c r="CM22777" s="111"/>
      <c r="CQ22777" s="111"/>
      <c r="EF22777"/>
      <c r="EG22777"/>
      <c r="EH22777"/>
      <c r="EI22777"/>
      <c r="EJ22777"/>
      <c r="EK22777"/>
    </row>
    <row r="22778" spans="1:141" s="116" customFormat="1">
      <c r="A22778" s="136"/>
      <c r="CM22778" s="111"/>
      <c r="CQ22778" s="111"/>
      <c r="EF22778"/>
      <c r="EG22778"/>
      <c r="EH22778"/>
      <c r="EI22778"/>
      <c r="EJ22778"/>
      <c r="EK22778"/>
    </row>
    <row r="22779" spans="1:141" s="116" customFormat="1">
      <c r="A22779" s="136"/>
      <c r="CM22779" s="111"/>
      <c r="CQ22779" s="111"/>
      <c r="EF22779"/>
      <c r="EG22779"/>
      <c r="EH22779"/>
      <c r="EI22779"/>
      <c r="EJ22779"/>
      <c r="EK22779"/>
    </row>
    <row r="22780" spans="1:141" s="116" customFormat="1">
      <c r="A22780" s="136"/>
      <c r="CM22780" s="111"/>
      <c r="CQ22780" s="111"/>
      <c r="EF22780"/>
      <c r="EG22780"/>
      <c r="EH22780"/>
      <c r="EI22780"/>
      <c r="EJ22780"/>
      <c r="EK22780"/>
    </row>
    <row r="22781" spans="1:141" s="116" customFormat="1">
      <c r="A22781" s="136"/>
      <c r="CM22781" s="111"/>
      <c r="CQ22781" s="111"/>
      <c r="EF22781"/>
      <c r="EG22781"/>
      <c r="EH22781"/>
      <c r="EI22781"/>
      <c r="EJ22781"/>
      <c r="EK22781"/>
    </row>
    <row r="22782" spans="1:141" s="116" customFormat="1">
      <c r="A22782" s="136"/>
      <c r="CM22782" s="111"/>
      <c r="CQ22782" s="111"/>
      <c r="EF22782"/>
      <c r="EG22782"/>
      <c r="EH22782"/>
      <c r="EI22782"/>
      <c r="EJ22782"/>
      <c r="EK22782"/>
    </row>
    <row r="22783" spans="1:141" s="116" customFormat="1">
      <c r="A22783" s="136"/>
      <c r="CM22783" s="111"/>
      <c r="CQ22783" s="111"/>
      <c r="EF22783"/>
      <c r="EG22783"/>
      <c r="EH22783"/>
      <c r="EI22783"/>
      <c r="EJ22783"/>
      <c r="EK22783"/>
    </row>
    <row r="22784" spans="1:141" s="116" customFormat="1">
      <c r="A22784" s="136"/>
      <c r="CM22784" s="111"/>
      <c r="CQ22784" s="111"/>
      <c r="EF22784"/>
      <c r="EG22784"/>
      <c r="EH22784"/>
      <c r="EI22784"/>
      <c r="EJ22784"/>
      <c r="EK22784"/>
    </row>
    <row r="22785" spans="1:141" s="116" customFormat="1">
      <c r="A22785" s="136"/>
      <c r="CM22785" s="111"/>
      <c r="CQ22785" s="111"/>
      <c r="EF22785"/>
      <c r="EG22785"/>
      <c r="EH22785"/>
      <c r="EI22785"/>
      <c r="EJ22785"/>
      <c r="EK22785"/>
    </row>
    <row r="22786" spans="1:141" s="116" customFormat="1">
      <c r="A22786" s="136"/>
      <c r="CM22786" s="111"/>
      <c r="CQ22786" s="111"/>
      <c r="EF22786"/>
      <c r="EG22786"/>
      <c r="EH22786"/>
      <c r="EI22786"/>
      <c r="EJ22786"/>
      <c r="EK22786"/>
    </row>
    <row r="22787" spans="1:141" s="116" customFormat="1">
      <c r="A22787" s="136"/>
      <c r="CM22787" s="111"/>
      <c r="CQ22787" s="111"/>
      <c r="EF22787"/>
      <c r="EG22787"/>
      <c r="EH22787"/>
      <c r="EI22787"/>
      <c r="EJ22787"/>
      <c r="EK22787"/>
    </row>
    <row r="22788" spans="1:141" s="116" customFormat="1">
      <c r="A22788" s="136"/>
      <c r="CM22788" s="111"/>
      <c r="CQ22788" s="111"/>
      <c r="EF22788"/>
      <c r="EG22788"/>
      <c r="EH22788"/>
      <c r="EI22788"/>
      <c r="EJ22788"/>
      <c r="EK22788"/>
    </row>
    <row r="22789" spans="1:141" s="116" customFormat="1">
      <c r="A22789" s="136"/>
      <c r="CM22789" s="111"/>
      <c r="CQ22789" s="111"/>
      <c r="EF22789"/>
      <c r="EG22789"/>
      <c r="EH22789"/>
      <c r="EI22789"/>
      <c r="EJ22789"/>
      <c r="EK22789"/>
    </row>
    <row r="22790" spans="1:141" s="116" customFormat="1">
      <c r="A22790" s="136"/>
      <c r="CM22790" s="111"/>
      <c r="CQ22790" s="111"/>
      <c r="EF22790"/>
      <c r="EG22790"/>
      <c r="EH22790"/>
      <c r="EI22790"/>
      <c r="EJ22790"/>
      <c r="EK22790"/>
    </row>
    <row r="22791" spans="1:141" s="116" customFormat="1">
      <c r="A22791" s="136"/>
      <c r="CM22791" s="111"/>
      <c r="CQ22791" s="111"/>
      <c r="EF22791"/>
      <c r="EG22791"/>
      <c r="EH22791"/>
      <c r="EI22791"/>
      <c r="EJ22791"/>
      <c r="EK22791"/>
    </row>
    <row r="22792" spans="1:141" s="116" customFormat="1">
      <c r="A22792" s="136"/>
      <c r="CM22792" s="111"/>
      <c r="CQ22792" s="111"/>
      <c r="EF22792"/>
      <c r="EG22792"/>
      <c r="EH22792"/>
      <c r="EI22792"/>
      <c r="EJ22792"/>
      <c r="EK22792"/>
    </row>
    <row r="22793" spans="1:141" s="116" customFormat="1">
      <c r="A22793" s="136"/>
      <c r="CM22793" s="111"/>
      <c r="CQ22793" s="111"/>
      <c r="EF22793"/>
      <c r="EG22793"/>
      <c r="EH22793"/>
      <c r="EI22793"/>
      <c r="EJ22793"/>
      <c r="EK22793"/>
    </row>
    <row r="22794" spans="1:141" s="116" customFormat="1">
      <c r="A22794" s="136"/>
      <c r="CM22794" s="111"/>
      <c r="CQ22794" s="111"/>
      <c r="EF22794"/>
      <c r="EG22794"/>
      <c r="EH22794"/>
      <c r="EI22794"/>
      <c r="EJ22794"/>
      <c r="EK22794"/>
    </row>
    <row r="22795" spans="1:141" s="116" customFormat="1">
      <c r="A22795" s="136"/>
      <c r="CM22795" s="111"/>
      <c r="CQ22795" s="111"/>
      <c r="EF22795"/>
      <c r="EG22795"/>
      <c r="EH22795"/>
      <c r="EI22795"/>
      <c r="EJ22795"/>
      <c r="EK22795"/>
    </row>
    <row r="22796" spans="1:141" s="116" customFormat="1">
      <c r="A22796" s="136"/>
      <c r="CM22796" s="111"/>
      <c r="CQ22796" s="111"/>
      <c r="EF22796"/>
      <c r="EG22796"/>
      <c r="EH22796"/>
      <c r="EI22796"/>
      <c r="EJ22796"/>
      <c r="EK22796"/>
    </row>
    <row r="22797" spans="1:141" s="116" customFormat="1">
      <c r="A22797" s="136"/>
      <c r="CM22797" s="111"/>
      <c r="CQ22797" s="111"/>
      <c r="EF22797"/>
      <c r="EG22797"/>
      <c r="EH22797"/>
      <c r="EI22797"/>
      <c r="EJ22797"/>
      <c r="EK22797"/>
    </row>
    <row r="22798" spans="1:141" s="116" customFormat="1">
      <c r="A22798" s="136"/>
      <c r="CM22798" s="111"/>
      <c r="CQ22798" s="111"/>
      <c r="EF22798"/>
      <c r="EG22798"/>
      <c r="EH22798"/>
      <c r="EI22798"/>
      <c r="EJ22798"/>
      <c r="EK22798"/>
    </row>
    <row r="22799" spans="1:141" s="116" customFormat="1">
      <c r="A22799" s="136"/>
      <c r="CM22799" s="111"/>
      <c r="CQ22799" s="111"/>
      <c r="EF22799"/>
      <c r="EG22799"/>
      <c r="EH22799"/>
      <c r="EI22799"/>
      <c r="EJ22799"/>
      <c r="EK22799"/>
    </row>
    <row r="22800" spans="1:141" s="116" customFormat="1">
      <c r="A22800" s="136"/>
      <c r="CM22800" s="111"/>
      <c r="CQ22800" s="111"/>
      <c r="EF22800"/>
      <c r="EG22800"/>
      <c r="EH22800"/>
      <c r="EI22800"/>
      <c r="EJ22800"/>
      <c r="EK22800"/>
    </row>
    <row r="22801" spans="1:141" s="116" customFormat="1">
      <c r="A22801" s="136"/>
      <c r="CM22801" s="111"/>
      <c r="CQ22801" s="111"/>
      <c r="EF22801"/>
      <c r="EG22801"/>
      <c r="EH22801"/>
      <c r="EI22801"/>
      <c r="EJ22801"/>
      <c r="EK22801"/>
    </row>
    <row r="22802" spans="1:141" s="116" customFormat="1">
      <c r="A22802" s="136"/>
      <c r="CM22802" s="111"/>
      <c r="CQ22802" s="111"/>
      <c r="EF22802"/>
      <c r="EG22802"/>
      <c r="EH22802"/>
      <c r="EI22802"/>
      <c r="EJ22802"/>
      <c r="EK22802"/>
    </row>
    <row r="22803" spans="1:141" s="116" customFormat="1">
      <c r="A22803" s="136"/>
      <c r="CM22803" s="111"/>
      <c r="CQ22803" s="111"/>
      <c r="EF22803"/>
      <c r="EG22803"/>
      <c r="EH22803"/>
      <c r="EI22803"/>
      <c r="EJ22803"/>
      <c r="EK22803"/>
    </row>
    <row r="22804" spans="1:141" s="116" customFormat="1">
      <c r="A22804" s="136"/>
      <c r="CM22804" s="111"/>
      <c r="CQ22804" s="111"/>
      <c r="EF22804"/>
      <c r="EG22804"/>
      <c r="EH22804"/>
      <c r="EI22804"/>
      <c r="EJ22804"/>
      <c r="EK22804"/>
    </row>
    <row r="22805" spans="1:141" s="116" customFormat="1">
      <c r="A22805" s="136"/>
      <c r="CM22805" s="111"/>
      <c r="CQ22805" s="111"/>
      <c r="EF22805"/>
      <c r="EG22805"/>
      <c r="EH22805"/>
      <c r="EI22805"/>
      <c r="EJ22805"/>
      <c r="EK22805"/>
    </row>
    <row r="22806" spans="1:141" s="116" customFormat="1">
      <c r="A22806" s="136"/>
      <c r="CM22806" s="111"/>
      <c r="CQ22806" s="111"/>
      <c r="EF22806"/>
      <c r="EG22806"/>
      <c r="EH22806"/>
      <c r="EI22806"/>
      <c r="EJ22806"/>
      <c r="EK22806"/>
    </row>
    <row r="22807" spans="1:141" s="116" customFormat="1">
      <c r="A22807" s="136"/>
      <c r="CM22807" s="111"/>
      <c r="CQ22807" s="111"/>
      <c r="EF22807"/>
      <c r="EG22807"/>
      <c r="EH22807"/>
      <c r="EI22807"/>
      <c r="EJ22807"/>
      <c r="EK22807"/>
    </row>
    <row r="22808" spans="1:141" s="116" customFormat="1">
      <c r="A22808" s="136"/>
      <c r="CM22808" s="111"/>
      <c r="CQ22808" s="111"/>
      <c r="EF22808"/>
      <c r="EG22808"/>
      <c r="EH22808"/>
      <c r="EI22808"/>
      <c r="EJ22808"/>
      <c r="EK22808"/>
    </row>
    <row r="22809" spans="1:141" s="116" customFormat="1">
      <c r="A22809" s="136"/>
      <c r="CM22809" s="111"/>
      <c r="CQ22809" s="111"/>
      <c r="EF22809"/>
      <c r="EG22809"/>
      <c r="EH22809"/>
      <c r="EI22809"/>
      <c r="EJ22809"/>
      <c r="EK22809"/>
    </row>
    <row r="22810" spans="1:141" s="116" customFormat="1">
      <c r="A22810" s="136"/>
      <c r="CM22810" s="111"/>
      <c r="CQ22810" s="111"/>
      <c r="EF22810"/>
      <c r="EG22810"/>
      <c r="EH22810"/>
      <c r="EI22810"/>
      <c r="EJ22810"/>
      <c r="EK22810"/>
    </row>
    <row r="22811" spans="1:141" s="116" customFormat="1">
      <c r="A22811" s="136"/>
      <c r="CM22811" s="111"/>
      <c r="CQ22811" s="111"/>
      <c r="EF22811"/>
      <c r="EG22811"/>
      <c r="EH22811"/>
      <c r="EI22811"/>
      <c r="EJ22811"/>
      <c r="EK22811"/>
    </row>
    <row r="22812" spans="1:141" s="116" customFormat="1">
      <c r="A22812" s="136"/>
      <c r="CM22812" s="111"/>
      <c r="CQ22812" s="111"/>
      <c r="EF22812"/>
      <c r="EG22812"/>
      <c r="EH22812"/>
      <c r="EI22812"/>
      <c r="EJ22812"/>
      <c r="EK22812"/>
    </row>
    <row r="22813" spans="1:141" s="116" customFormat="1">
      <c r="A22813" s="136"/>
      <c r="CM22813" s="111"/>
      <c r="CQ22813" s="111"/>
      <c r="EF22813"/>
      <c r="EG22813"/>
      <c r="EH22813"/>
      <c r="EI22813"/>
      <c r="EJ22813"/>
      <c r="EK22813"/>
    </row>
    <row r="22814" spans="1:141" s="116" customFormat="1">
      <c r="A22814" s="136"/>
      <c r="CM22814" s="111"/>
      <c r="CQ22814" s="111"/>
      <c r="EF22814"/>
      <c r="EG22814"/>
      <c r="EH22814"/>
      <c r="EI22814"/>
      <c r="EJ22814"/>
      <c r="EK22814"/>
    </row>
    <row r="22815" spans="1:141" s="116" customFormat="1">
      <c r="A22815" s="136"/>
      <c r="CM22815" s="111"/>
      <c r="CQ22815" s="111"/>
      <c r="EF22815"/>
      <c r="EG22815"/>
      <c r="EH22815"/>
      <c r="EI22815"/>
      <c r="EJ22815"/>
      <c r="EK22815"/>
    </row>
    <row r="22816" spans="1:141" s="116" customFormat="1">
      <c r="A22816" s="136"/>
      <c r="CM22816" s="111"/>
      <c r="CQ22816" s="111"/>
      <c r="EF22816"/>
      <c r="EG22816"/>
      <c r="EH22816"/>
      <c r="EI22816"/>
      <c r="EJ22816"/>
      <c r="EK22816"/>
    </row>
    <row r="22817" spans="1:141" s="116" customFormat="1">
      <c r="A22817" s="136"/>
      <c r="CM22817" s="111"/>
      <c r="CQ22817" s="111"/>
      <c r="EF22817"/>
      <c r="EG22817"/>
      <c r="EH22817"/>
      <c r="EI22817"/>
      <c r="EJ22817"/>
      <c r="EK22817"/>
    </row>
    <row r="22818" spans="1:141" s="116" customFormat="1">
      <c r="A22818" s="136"/>
      <c r="CM22818" s="111"/>
      <c r="CQ22818" s="111"/>
      <c r="EF22818"/>
      <c r="EG22818"/>
      <c r="EH22818"/>
      <c r="EI22818"/>
      <c r="EJ22818"/>
      <c r="EK22818"/>
    </row>
    <row r="22819" spans="1:141" s="116" customFormat="1">
      <c r="A22819" s="136"/>
      <c r="CM22819" s="111"/>
      <c r="CQ22819" s="111"/>
      <c r="EF22819"/>
      <c r="EG22819"/>
      <c r="EH22819"/>
      <c r="EI22819"/>
      <c r="EJ22819"/>
      <c r="EK22819"/>
    </row>
    <row r="22820" spans="1:141" s="116" customFormat="1">
      <c r="A22820" s="136"/>
      <c r="CM22820" s="111"/>
      <c r="CQ22820" s="111"/>
      <c r="EF22820"/>
      <c r="EG22820"/>
      <c r="EH22820"/>
      <c r="EI22820"/>
      <c r="EJ22820"/>
      <c r="EK22820"/>
    </row>
    <row r="22821" spans="1:141" s="116" customFormat="1">
      <c r="A22821" s="136"/>
      <c r="CM22821" s="111"/>
      <c r="CQ22821" s="111"/>
      <c r="EF22821"/>
      <c r="EG22821"/>
      <c r="EH22821"/>
      <c r="EI22821"/>
      <c r="EJ22821"/>
      <c r="EK22821"/>
    </row>
    <row r="22822" spans="1:141" s="116" customFormat="1">
      <c r="A22822" s="136"/>
      <c r="CM22822" s="111"/>
      <c r="CQ22822" s="111"/>
      <c r="EF22822"/>
      <c r="EG22822"/>
      <c r="EH22822"/>
      <c r="EI22822"/>
      <c r="EJ22822"/>
      <c r="EK22822"/>
    </row>
    <row r="22823" spans="1:141" s="116" customFormat="1">
      <c r="A22823" s="136"/>
      <c r="CM22823" s="111"/>
      <c r="CQ22823" s="111"/>
      <c r="EF22823"/>
      <c r="EG22823"/>
      <c r="EH22823"/>
      <c r="EI22823"/>
      <c r="EJ22823"/>
      <c r="EK22823"/>
    </row>
    <row r="22824" spans="1:141" s="116" customFormat="1">
      <c r="A22824" s="136"/>
      <c r="CM22824" s="111"/>
      <c r="CQ22824" s="111"/>
      <c r="EF22824"/>
      <c r="EG22824"/>
      <c r="EH22824"/>
      <c r="EI22824"/>
      <c r="EJ22824"/>
      <c r="EK22824"/>
    </row>
    <row r="22825" spans="1:141" s="116" customFormat="1">
      <c r="A22825" s="136"/>
      <c r="CM22825" s="111"/>
      <c r="CQ22825" s="111"/>
      <c r="EF22825"/>
      <c r="EG22825"/>
      <c r="EH22825"/>
      <c r="EI22825"/>
      <c r="EJ22825"/>
      <c r="EK22825"/>
    </row>
    <row r="22826" spans="1:141" s="116" customFormat="1">
      <c r="A22826" s="136"/>
      <c r="CM22826" s="111"/>
      <c r="CQ22826" s="111"/>
      <c r="EF22826"/>
      <c r="EG22826"/>
      <c r="EH22826"/>
      <c r="EI22826"/>
      <c r="EJ22826"/>
      <c r="EK22826"/>
    </row>
    <row r="22827" spans="1:141" s="116" customFormat="1">
      <c r="A22827" s="136"/>
      <c r="CM22827" s="111"/>
      <c r="CQ22827" s="111"/>
      <c r="EF22827"/>
      <c r="EG22827"/>
      <c r="EH22827"/>
      <c r="EI22827"/>
      <c r="EJ22827"/>
      <c r="EK22827"/>
    </row>
    <row r="22828" spans="1:141" s="116" customFormat="1">
      <c r="A22828" s="136"/>
      <c r="CM22828" s="111"/>
      <c r="CQ22828" s="111"/>
      <c r="EF22828"/>
      <c r="EG22828"/>
      <c r="EH22828"/>
      <c r="EI22828"/>
      <c r="EJ22828"/>
      <c r="EK22828"/>
    </row>
    <row r="22829" spans="1:141" s="116" customFormat="1">
      <c r="A22829" s="136"/>
      <c r="CM22829" s="111"/>
      <c r="CQ22829" s="111"/>
      <c r="EF22829"/>
      <c r="EG22829"/>
      <c r="EH22829"/>
      <c r="EI22829"/>
      <c r="EJ22829"/>
      <c r="EK22829"/>
    </row>
    <row r="22830" spans="1:141" s="116" customFormat="1">
      <c r="A22830" s="136"/>
      <c r="CM22830" s="111"/>
      <c r="CQ22830" s="111"/>
      <c r="EF22830"/>
      <c r="EG22830"/>
      <c r="EH22830"/>
      <c r="EI22830"/>
      <c r="EJ22830"/>
      <c r="EK22830"/>
    </row>
    <row r="22831" spans="1:141" s="116" customFormat="1">
      <c r="A22831" s="136"/>
      <c r="CM22831" s="111"/>
      <c r="CQ22831" s="111"/>
      <c r="EF22831"/>
      <c r="EG22831"/>
      <c r="EH22831"/>
      <c r="EI22831"/>
      <c r="EJ22831"/>
      <c r="EK22831"/>
    </row>
    <row r="22832" spans="1:141" s="116" customFormat="1">
      <c r="A22832" s="136"/>
      <c r="CM22832" s="111"/>
      <c r="CQ22832" s="111"/>
      <c r="EF22832"/>
      <c r="EG22832"/>
      <c r="EH22832"/>
      <c r="EI22832"/>
      <c r="EJ22832"/>
      <c r="EK22832"/>
    </row>
    <row r="22833" spans="1:141" s="116" customFormat="1">
      <c r="A22833" s="136"/>
      <c r="CM22833" s="111"/>
      <c r="CQ22833" s="111"/>
      <c r="EF22833"/>
      <c r="EG22833"/>
      <c r="EH22833"/>
      <c r="EI22833"/>
      <c r="EJ22833"/>
      <c r="EK22833"/>
    </row>
    <row r="22834" spans="1:141" s="116" customFormat="1">
      <c r="A22834" s="136"/>
      <c r="CM22834" s="111"/>
      <c r="CQ22834" s="111"/>
      <c r="EF22834"/>
      <c r="EG22834"/>
      <c r="EH22834"/>
      <c r="EI22834"/>
      <c r="EJ22834"/>
      <c r="EK22834"/>
    </row>
    <row r="22835" spans="1:141" s="116" customFormat="1">
      <c r="A22835" s="136"/>
      <c r="CM22835" s="111"/>
      <c r="CQ22835" s="111"/>
      <c r="EF22835"/>
      <c r="EG22835"/>
      <c r="EH22835"/>
      <c r="EI22835"/>
      <c r="EJ22835"/>
      <c r="EK22835"/>
    </row>
    <row r="22836" spans="1:141" s="116" customFormat="1">
      <c r="A22836" s="136"/>
      <c r="CM22836" s="111"/>
      <c r="CQ22836" s="111"/>
      <c r="EF22836"/>
      <c r="EG22836"/>
      <c r="EH22836"/>
      <c r="EI22836"/>
      <c r="EJ22836"/>
      <c r="EK22836"/>
    </row>
    <row r="22837" spans="1:141" s="116" customFormat="1">
      <c r="A22837" s="136"/>
      <c r="CM22837" s="111"/>
      <c r="CQ22837" s="111"/>
      <c r="EF22837"/>
      <c r="EG22837"/>
      <c r="EH22837"/>
      <c r="EI22837"/>
      <c r="EJ22837"/>
      <c r="EK22837"/>
    </row>
    <row r="22838" spans="1:141" s="116" customFormat="1">
      <c r="A22838" s="136"/>
      <c r="CM22838" s="111"/>
      <c r="CQ22838" s="111"/>
      <c r="EF22838"/>
      <c r="EG22838"/>
      <c r="EH22838"/>
      <c r="EI22838"/>
      <c r="EJ22838"/>
      <c r="EK22838"/>
    </row>
    <row r="22839" spans="1:141" s="116" customFormat="1">
      <c r="A22839" s="136"/>
      <c r="CM22839" s="111"/>
      <c r="CQ22839" s="111"/>
      <c r="EF22839"/>
      <c r="EG22839"/>
      <c r="EH22839"/>
      <c r="EI22839"/>
      <c r="EJ22839"/>
      <c r="EK22839"/>
    </row>
    <row r="22840" spans="1:141" s="116" customFormat="1">
      <c r="A22840" s="136"/>
      <c r="CM22840" s="111"/>
      <c r="CQ22840" s="111"/>
      <c r="EF22840"/>
      <c r="EG22840"/>
      <c r="EH22840"/>
      <c r="EI22840"/>
      <c r="EJ22840"/>
      <c r="EK22840"/>
    </row>
    <row r="22841" spans="1:141" s="116" customFormat="1">
      <c r="A22841" s="136"/>
      <c r="CM22841" s="111"/>
      <c r="CQ22841" s="111"/>
      <c r="EF22841"/>
      <c r="EG22841"/>
      <c r="EH22841"/>
      <c r="EI22841"/>
      <c r="EJ22841"/>
      <c r="EK22841"/>
    </row>
    <row r="22842" spans="1:141" s="116" customFormat="1">
      <c r="A22842" s="136"/>
      <c r="CM22842" s="111"/>
      <c r="CQ22842" s="111"/>
      <c r="EF22842"/>
      <c r="EG22842"/>
      <c r="EH22842"/>
      <c r="EI22842"/>
      <c r="EJ22842"/>
      <c r="EK22842"/>
    </row>
    <row r="22843" spans="1:141" s="116" customFormat="1">
      <c r="A22843" s="136"/>
      <c r="CM22843" s="111"/>
      <c r="CQ22843" s="111"/>
      <c r="EF22843"/>
      <c r="EG22843"/>
      <c r="EH22843"/>
      <c r="EI22843"/>
      <c r="EJ22843"/>
      <c r="EK22843"/>
    </row>
    <row r="22844" spans="1:141" s="116" customFormat="1">
      <c r="A22844" s="136"/>
      <c r="CM22844" s="111"/>
      <c r="CQ22844" s="111"/>
      <c r="EF22844"/>
      <c r="EG22844"/>
      <c r="EH22844"/>
      <c r="EI22844"/>
      <c r="EJ22844"/>
      <c r="EK22844"/>
    </row>
    <row r="22845" spans="1:141" s="116" customFormat="1">
      <c r="A22845" s="136"/>
      <c r="CM22845" s="111"/>
      <c r="CQ22845" s="111"/>
      <c r="EF22845"/>
      <c r="EG22845"/>
      <c r="EH22845"/>
      <c r="EI22845"/>
      <c r="EJ22845"/>
      <c r="EK22845"/>
    </row>
    <row r="22846" spans="1:141" s="116" customFormat="1">
      <c r="A22846" s="136"/>
      <c r="CM22846" s="111"/>
      <c r="CQ22846" s="111"/>
      <c r="EF22846"/>
      <c r="EG22846"/>
      <c r="EH22846"/>
      <c r="EI22846"/>
      <c r="EJ22846"/>
      <c r="EK22846"/>
    </row>
    <row r="22847" spans="1:141" s="116" customFormat="1">
      <c r="A22847" s="136"/>
      <c r="CM22847" s="111"/>
      <c r="CQ22847" s="111"/>
      <c r="EF22847"/>
      <c r="EG22847"/>
      <c r="EH22847"/>
      <c r="EI22847"/>
      <c r="EJ22847"/>
      <c r="EK22847"/>
    </row>
    <row r="22848" spans="1:141" s="116" customFormat="1">
      <c r="A22848" s="136"/>
      <c r="CM22848" s="111"/>
      <c r="CQ22848" s="111"/>
      <c r="EF22848"/>
      <c r="EG22848"/>
      <c r="EH22848"/>
      <c r="EI22848"/>
      <c r="EJ22848"/>
      <c r="EK22848"/>
    </row>
    <row r="22849" spans="1:141" s="116" customFormat="1">
      <c r="A22849" s="136"/>
      <c r="CM22849" s="111"/>
      <c r="CQ22849" s="111"/>
      <c r="EF22849"/>
      <c r="EG22849"/>
      <c r="EH22849"/>
      <c r="EI22849"/>
      <c r="EJ22849"/>
      <c r="EK22849"/>
    </row>
    <row r="22850" spans="1:141" s="116" customFormat="1">
      <c r="A22850" s="136"/>
      <c r="CM22850" s="111"/>
      <c r="CQ22850" s="111"/>
      <c r="EF22850"/>
      <c r="EG22850"/>
      <c r="EH22850"/>
      <c r="EI22850"/>
      <c r="EJ22850"/>
      <c r="EK22850"/>
    </row>
    <row r="22851" spans="1:141" s="116" customFormat="1">
      <c r="A22851" s="136"/>
      <c r="CM22851" s="111"/>
      <c r="CQ22851" s="111"/>
      <c r="EF22851"/>
      <c r="EG22851"/>
      <c r="EH22851"/>
      <c r="EI22851"/>
      <c r="EJ22851"/>
      <c r="EK22851"/>
    </row>
    <row r="22852" spans="1:141" s="116" customFormat="1">
      <c r="A22852" s="136"/>
      <c r="CM22852" s="111"/>
      <c r="CQ22852" s="111"/>
      <c r="EF22852"/>
      <c r="EG22852"/>
      <c r="EH22852"/>
      <c r="EI22852"/>
      <c r="EJ22852"/>
      <c r="EK22852"/>
    </row>
    <row r="22853" spans="1:141" s="116" customFormat="1">
      <c r="A22853" s="136"/>
      <c r="CM22853" s="111"/>
      <c r="CQ22853" s="111"/>
      <c r="EF22853"/>
      <c r="EG22853"/>
      <c r="EH22853"/>
      <c r="EI22853"/>
      <c r="EJ22853"/>
      <c r="EK22853"/>
    </row>
    <row r="22854" spans="1:141" s="116" customFormat="1">
      <c r="A22854" s="136"/>
      <c r="CM22854" s="111"/>
      <c r="CQ22854" s="111"/>
      <c r="EF22854"/>
      <c r="EG22854"/>
      <c r="EH22854"/>
      <c r="EI22854"/>
      <c r="EJ22854"/>
      <c r="EK22854"/>
    </row>
    <row r="22855" spans="1:141" s="116" customFormat="1">
      <c r="A22855" s="136"/>
      <c r="CM22855" s="111"/>
      <c r="CQ22855" s="111"/>
      <c r="EF22855"/>
      <c r="EG22855"/>
      <c r="EH22855"/>
      <c r="EI22855"/>
      <c r="EJ22855"/>
      <c r="EK22855"/>
    </row>
    <row r="22856" spans="1:141" s="116" customFormat="1">
      <c r="A22856" s="136"/>
      <c r="CM22856" s="111"/>
      <c r="CQ22856" s="111"/>
      <c r="EF22856"/>
      <c r="EG22856"/>
      <c r="EH22856"/>
      <c r="EI22856"/>
      <c r="EJ22856"/>
      <c r="EK22856"/>
    </row>
    <row r="22857" spans="1:141" s="116" customFormat="1">
      <c r="A22857" s="136"/>
      <c r="CM22857" s="111"/>
      <c r="CQ22857" s="111"/>
      <c r="EF22857"/>
      <c r="EG22857"/>
      <c r="EH22857"/>
      <c r="EI22857"/>
      <c r="EJ22857"/>
      <c r="EK22857"/>
    </row>
    <row r="22858" spans="1:141" s="116" customFormat="1">
      <c r="A22858" s="136"/>
      <c r="CM22858" s="111"/>
      <c r="CQ22858" s="111"/>
      <c r="EF22858"/>
      <c r="EG22858"/>
      <c r="EH22858"/>
      <c r="EI22858"/>
      <c r="EJ22858"/>
      <c r="EK22858"/>
    </row>
    <row r="22859" spans="1:141" s="116" customFormat="1">
      <c r="A22859" s="136"/>
      <c r="CM22859" s="111"/>
      <c r="CQ22859" s="111"/>
      <c r="EF22859"/>
      <c r="EG22859"/>
      <c r="EH22859"/>
      <c r="EI22859"/>
      <c r="EJ22859"/>
      <c r="EK22859"/>
    </row>
    <row r="22860" spans="1:141" s="116" customFormat="1">
      <c r="A22860" s="136"/>
      <c r="CM22860" s="111"/>
      <c r="CQ22860" s="111"/>
      <c r="EF22860"/>
      <c r="EG22860"/>
      <c r="EH22860"/>
      <c r="EI22860"/>
      <c r="EJ22860"/>
      <c r="EK22860"/>
    </row>
    <row r="22861" spans="1:141" s="116" customFormat="1">
      <c r="A22861" s="136"/>
      <c r="CM22861" s="111"/>
      <c r="CQ22861" s="111"/>
      <c r="EF22861"/>
      <c r="EG22861"/>
      <c r="EH22861"/>
      <c r="EI22861"/>
      <c r="EJ22861"/>
      <c r="EK22861"/>
    </row>
    <row r="22862" spans="1:141" s="116" customFormat="1">
      <c r="A22862" s="136"/>
      <c r="CM22862" s="111"/>
      <c r="CQ22862" s="111"/>
      <c r="EF22862"/>
      <c r="EG22862"/>
      <c r="EH22862"/>
      <c r="EI22862"/>
      <c r="EJ22862"/>
      <c r="EK22862"/>
    </row>
    <row r="22863" spans="1:141" s="116" customFormat="1">
      <c r="A22863" s="136"/>
      <c r="CM22863" s="111"/>
      <c r="CQ22863" s="111"/>
      <c r="EF22863"/>
      <c r="EG22863"/>
      <c r="EH22863"/>
      <c r="EI22863"/>
      <c r="EJ22863"/>
      <c r="EK22863"/>
    </row>
    <row r="22864" spans="1:141" s="116" customFormat="1">
      <c r="A22864" s="136"/>
      <c r="CM22864" s="111"/>
      <c r="CQ22864" s="111"/>
      <c r="EF22864"/>
      <c r="EG22864"/>
      <c r="EH22864"/>
      <c r="EI22864"/>
      <c r="EJ22864"/>
      <c r="EK22864"/>
    </row>
    <row r="22865" spans="1:141" s="116" customFormat="1">
      <c r="A22865" s="136"/>
      <c r="CM22865" s="111"/>
      <c r="CQ22865" s="111"/>
      <c r="EF22865"/>
      <c r="EG22865"/>
      <c r="EH22865"/>
      <c r="EI22865"/>
      <c r="EJ22865"/>
      <c r="EK22865"/>
    </row>
    <row r="22866" spans="1:141" s="116" customFormat="1">
      <c r="A22866" s="136"/>
      <c r="CM22866" s="111"/>
      <c r="CQ22866" s="111"/>
      <c r="EF22866"/>
      <c r="EG22866"/>
      <c r="EH22866"/>
      <c r="EI22866"/>
      <c r="EJ22866"/>
      <c r="EK22866"/>
    </row>
    <row r="22867" spans="1:141" s="116" customFormat="1">
      <c r="A22867" s="136"/>
      <c r="CM22867" s="111"/>
      <c r="CQ22867" s="111"/>
      <c r="EF22867"/>
      <c r="EG22867"/>
      <c r="EH22867"/>
      <c r="EI22867"/>
      <c r="EJ22867"/>
      <c r="EK22867"/>
    </row>
    <row r="22868" spans="1:141" s="116" customFormat="1">
      <c r="A22868" s="136"/>
      <c r="CM22868" s="111"/>
      <c r="CQ22868" s="111"/>
      <c r="EF22868"/>
      <c r="EG22868"/>
      <c r="EH22868"/>
      <c r="EI22868"/>
      <c r="EJ22868"/>
      <c r="EK22868"/>
    </row>
    <row r="22869" spans="1:141" s="116" customFormat="1">
      <c r="A22869" s="136"/>
      <c r="CM22869" s="111"/>
      <c r="CQ22869" s="111"/>
      <c r="EF22869"/>
      <c r="EG22869"/>
      <c r="EH22869"/>
      <c r="EI22869"/>
      <c r="EJ22869"/>
      <c r="EK22869"/>
    </row>
    <row r="22870" spans="1:141" s="116" customFormat="1">
      <c r="A22870" s="136"/>
      <c r="CM22870" s="111"/>
      <c r="CQ22870" s="111"/>
      <c r="EF22870"/>
      <c r="EG22870"/>
      <c r="EH22870"/>
      <c r="EI22870"/>
      <c r="EJ22870"/>
      <c r="EK22870"/>
    </row>
    <row r="22871" spans="1:141" s="116" customFormat="1">
      <c r="A22871" s="136"/>
      <c r="CM22871" s="111"/>
      <c r="CQ22871" s="111"/>
      <c r="EF22871"/>
      <c r="EG22871"/>
      <c r="EH22871"/>
      <c r="EI22871"/>
      <c r="EJ22871"/>
      <c r="EK22871"/>
    </row>
    <row r="22872" spans="1:141" s="116" customFormat="1">
      <c r="A22872" s="136"/>
      <c r="CM22872" s="111"/>
      <c r="CQ22872" s="111"/>
      <c r="EF22872"/>
      <c r="EG22872"/>
      <c r="EH22872"/>
      <c r="EI22872"/>
      <c r="EJ22872"/>
      <c r="EK22872"/>
    </row>
    <row r="22873" spans="1:141" s="116" customFormat="1">
      <c r="A22873" s="136"/>
      <c r="CM22873" s="111"/>
      <c r="CQ22873" s="111"/>
      <c r="EF22873"/>
      <c r="EG22873"/>
      <c r="EH22873"/>
      <c r="EI22873"/>
      <c r="EJ22873"/>
      <c r="EK22873"/>
    </row>
    <row r="22874" spans="1:141" s="116" customFormat="1">
      <c r="A22874" s="136"/>
      <c r="CM22874" s="111"/>
      <c r="CQ22874" s="111"/>
      <c r="EF22874"/>
      <c r="EG22874"/>
      <c r="EH22874"/>
      <c r="EI22874"/>
      <c r="EJ22874"/>
      <c r="EK22874"/>
    </row>
    <row r="22875" spans="1:141" s="116" customFormat="1">
      <c r="A22875" s="136"/>
      <c r="CM22875" s="111"/>
      <c r="CQ22875" s="111"/>
      <c r="EF22875"/>
      <c r="EG22875"/>
      <c r="EH22875"/>
      <c r="EI22875"/>
      <c r="EJ22875"/>
      <c r="EK22875"/>
    </row>
    <row r="22876" spans="1:141" s="116" customFormat="1">
      <c r="A22876" s="136"/>
      <c r="CM22876" s="111"/>
      <c r="CQ22876" s="111"/>
      <c r="EF22876"/>
      <c r="EG22876"/>
      <c r="EH22876"/>
      <c r="EI22876"/>
      <c r="EJ22876"/>
      <c r="EK22876"/>
    </row>
    <row r="22877" spans="1:141" s="116" customFormat="1">
      <c r="A22877" s="136"/>
      <c r="CM22877" s="111"/>
      <c r="CQ22877" s="111"/>
      <c r="EF22877"/>
      <c r="EG22877"/>
      <c r="EH22877"/>
      <c r="EI22877"/>
      <c r="EJ22877"/>
      <c r="EK22877"/>
    </row>
    <row r="22878" spans="1:141" s="116" customFormat="1">
      <c r="A22878" s="136"/>
      <c r="CM22878" s="111"/>
      <c r="CQ22878" s="111"/>
      <c r="EF22878"/>
      <c r="EG22878"/>
      <c r="EH22878"/>
      <c r="EI22878"/>
      <c r="EJ22878"/>
      <c r="EK22878"/>
    </row>
    <row r="22879" spans="1:141" s="116" customFormat="1">
      <c r="A22879" s="136"/>
      <c r="CM22879" s="111"/>
      <c r="CQ22879" s="111"/>
      <c r="EF22879"/>
      <c r="EG22879"/>
      <c r="EH22879"/>
      <c r="EI22879"/>
      <c r="EJ22879"/>
      <c r="EK22879"/>
    </row>
    <row r="22880" spans="1:141" s="116" customFormat="1">
      <c r="A22880" s="136"/>
      <c r="CM22880" s="111"/>
      <c r="CQ22880" s="111"/>
      <c r="EF22880"/>
      <c r="EG22880"/>
      <c r="EH22880"/>
      <c r="EI22880"/>
      <c r="EJ22880"/>
      <c r="EK22880"/>
    </row>
    <row r="22881" spans="1:141" s="116" customFormat="1">
      <c r="A22881" s="136"/>
      <c r="CM22881" s="111"/>
      <c r="CQ22881" s="111"/>
      <c r="EF22881"/>
      <c r="EG22881"/>
      <c r="EH22881"/>
      <c r="EI22881"/>
      <c r="EJ22881"/>
      <c r="EK22881"/>
    </row>
    <row r="22882" spans="1:141" s="116" customFormat="1">
      <c r="A22882" s="136"/>
      <c r="CM22882" s="111"/>
      <c r="CQ22882" s="111"/>
      <c r="EF22882"/>
      <c r="EG22882"/>
      <c r="EH22882"/>
      <c r="EI22882"/>
      <c r="EJ22882"/>
      <c r="EK22882"/>
    </row>
    <row r="22883" spans="1:141" s="116" customFormat="1">
      <c r="A22883" s="136"/>
      <c r="CM22883" s="111"/>
      <c r="CQ22883" s="111"/>
      <c r="EF22883"/>
      <c r="EG22883"/>
      <c r="EH22883"/>
      <c r="EI22883"/>
      <c r="EJ22883"/>
      <c r="EK22883"/>
    </row>
    <row r="22884" spans="1:141" s="116" customFormat="1">
      <c r="A22884" s="136"/>
      <c r="CM22884" s="111"/>
      <c r="CQ22884" s="111"/>
      <c r="EF22884"/>
      <c r="EG22884"/>
      <c r="EH22884"/>
      <c r="EI22884"/>
      <c r="EJ22884"/>
      <c r="EK22884"/>
    </row>
    <row r="22885" spans="1:141" s="116" customFormat="1">
      <c r="A22885" s="136"/>
      <c r="CM22885" s="111"/>
      <c r="CQ22885" s="111"/>
      <c r="EF22885"/>
      <c r="EG22885"/>
      <c r="EH22885"/>
      <c r="EI22885"/>
      <c r="EJ22885"/>
      <c r="EK22885"/>
    </row>
    <row r="22886" spans="1:141" s="116" customFormat="1">
      <c r="A22886" s="136"/>
      <c r="CM22886" s="111"/>
      <c r="CQ22886" s="111"/>
      <c r="EF22886"/>
      <c r="EG22886"/>
      <c r="EH22886"/>
      <c r="EI22886"/>
      <c r="EJ22886"/>
      <c r="EK22886"/>
    </row>
    <row r="22887" spans="1:141" s="116" customFormat="1">
      <c r="A22887" s="136"/>
      <c r="CM22887" s="111"/>
      <c r="CQ22887" s="111"/>
      <c r="EF22887"/>
      <c r="EG22887"/>
      <c r="EH22887"/>
      <c r="EI22887"/>
      <c r="EJ22887"/>
      <c r="EK22887"/>
    </row>
    <row r="22888" spans="1:141" s="116" customFormat="1">
      <c r="A22888" s="136"/>
      <c r="CM22888" s="111"/>
      <c r="CQ22888" s="111"/>
      <c r="EF22888"/>
      <c r="EG22888"/>
      <c r="EH22888"/>
      <c r="EI22888"/>
      <c r="EJ22888"/>
      <c r="EK22888"/>
    </row>
    <row r="22889" spans="1:141" s="116" customFormat="1">
      <c r="A22889" s="136"/>
      <c r="CM22889" s="111"/>
      <c r="CQ22889" s="111"/>
      <c r="EF22889"/>
      <c r="EG22889"/>
      <c r="EH22889"/>
      <c r="EI22889"/>
      <c r="EJ22889"/>
      <c r="EK22889"/>
    </row>
    <row r="22890" spans="1:141" s="116" customFormat="1">
      <c r="A22890" s="136"/>
      <c r="CM22890" s="111"/>
      <c r="CQ22890" s="111"/>
      <c r="EF22890"/>
      <c r="EG22890"/>
      <c r="EH22890"/>
      <c r="EI22890"/>
      <c r="EJ22890"/>
      <c r="EK22890"/>
    </row>
    <row r="22891" spans="1:141" s="116" customFormat="1">
      <c r="A22891" s="136"/>
      <c r="CM22891" s="111"/>
      <c r="CQ22891" s="111"/>
      <c r="EF22891"/>
      <c r="EG22891"/>
      <c r="EH22891"/>
      <c r="EI22891"/>
      <c r="EJ22891"/>
      <c r="EK22891"/>
    </row>
    <row r="22892" spans="1:141" s="116" customFormat="1">
      <c r="A22892" s="136"/>
      <c r="CM22892" s="111"/>
      <c r="CQ22892" s="111"/>
      <c r="EF22892"/>
      <c r="EG22892"/>
      <c r="EH22892"/>
      <c r="EI22892"/>
      <c r="EJ22892"/>
      <c r="EK22892"/>
    </row>
    <row r="22893" spans="1:141" s="116" customFormat="1">
      <c r="A22893" s="136"/>
      <c r="CM22893" s="111"/>
      <c r="CQ22893" s="111"/>
      <c r="EF22893"/>
      <c r="EG22893"/>
      <c r="EH22893"/>
      <c r="EI22893"/>
      <c r="EJ22893"/>
      <c r="EK22893"/>
    </row>
    <row r="22894" spans="1:141" s="116" customFormat="1">
      <c r="A22894" s="136"/>
      <c r="CM22894" s="111"/>
      <c r="CQ22894" s="111"/>
      <c r="EF22894"/>
      <c r="EG22894"/>
      <c r="EH22894"/>
      <c r="EI22894"/>
      <c r="EJ22894"/>
      <c r="EK22894"/>
    </row>
    <row r="22895" spans="1:141" s="116" customFormat="1">
      <c r="A22895" s="136"/>
      <c r="CM22895" s="111"/>
      <c r="CQ22895" s="111"/>
      <c r="EF22895"/>
      <c r="EG22895"/>
      <c r="EH22895"/>
      <c r="EI22895"/>
      <c r="EJ22895"/>
      <c r="EK22895"/>
    </row>
    <row r="22896" spans="1:141" s="116" customFormat="1">
      <c r="A22896" s="136"/>
      <c r="CM22896" s="111"/>
      <c r="CQ22896" s="111"/>
      <c r="EF22896"/>
      <c r="EG22896"/>
      <c r="EH22896"/>
      <c r="EI22896"/>
      <c r="EJ22896"/>
      <c r="EK22896"/>
    </row>
    <row r="22897" spans="1:141" s="116" customFormat="1">
      <c r="A22897" s="136"/>
      <c r="CM22897" s="111"/>
      <c r="CQ22897" s="111"/>
      <c r="EF22897"/>
      <c r="EG22897"/>
      <c r="EH22897"/>
      <c r="EI22897"/>
      <c r="EJ22897"/>
      <c r="EK22897"/>
    </row>
    <row r="22898" spans="1:141" s="116" customFormat="1">
      <c r="A22898" s="136"/>
      <c r="CM22898" s="111"/>
      <c r="CQ22898" s="111"/>
      <c r="EF22898"/>
      <c r="EG22898"/>
      <c r="EH22898"/>
      <c r="EI22898"/>
      <c r="EJ22898"/>
      <c r="EK22898"/>
    </row>
    <row r="22899" spans="1:141" s="116" customFormat="1">
      <c r="A22899" s="136"/>
      <c r="CM22899" s="111"/>
      <c r="CQ22899" s="111"/>
      <c r="EF22899"/>
      <c r="EG22899"/>
      <c r="EH22899"/>
      <c r="EI22899"/>
      <c r="EJ22899"/>
      <c r="EK22899"/>
    </row>
    <row r="22900" spans="1:141" s="116" customFormat="1">
      <c r="A22900" s="136"/>
      <c r="CM22900" s="111"/>
      <c r="CQ22900" s="111"/>
      <c r="EF22900"/>
      <c r="EG22900"/>
      <c r="EH22900"/>
      <c r="EI22900"/>
      <c r="EJ22900"/>
      <c r="EK22900"/>
    </row>
    <row r="22901" spans="1:141" s="116" customFormat="1">
      <c r="A22901" s="136"/>
      <c r="CM22901" s="111"/>
      <c r="CQ22901" s="111"/>
      <c r="EF22901"/>
      <c r="EG22901"/>
      <c r="EH22901"/>
      <c r="EI22901"/>
      <c r="EJ22901"/>
      <c r="EK22901"/>
    </row>
    <row r="22902" spans="1:141" s="116" customFormat="1">
      <c r="A22902" s="136"/>
      <c r="CM22902" s="111"/>
      <c r="CQ22902" s="111"/>
      <c r="EF22902"/>
      <c r="EG22902"/>
      <c r="EH22902"/>
      <c r="EI22902"/>
      <c r="EJ22902"/>
      <c r="EK22902"/>
    </row>
    <row r="22903" spans="1:141" s="116" customFormat="1">
      <c r="A22903" s="136"/>
      <c r="CM22903" s="111"/>
      <c r="CQ22903" s="111"/>
      <c r="EF22903"/>
      <c r="EG22903"/>
      <c r="EH22903"/>
      <c r="EI22903"/>
      <c r="EJ22903"/>
      <c r="EK22903"/>
    </row>
    <row r="22904" spans="1:141" s="116" customFormat="1">
      <c r="A22904" s="136"/>
      <c r="CM22904" s="111"/>
      <c r="CQ22904" s="111"/>
      <c r="EF22904"/>
      <c r="EG22904"/>
      <c r="EH22904"/>
      <c r="EI22904"/>
      <c r="EJ22904"/>
      <c r="EK22904"/>
    </row>
    <row r="22905" spans="1:141" s="116" customFormat="1">
      <c r="A22905" s="136"/>
      <c r="CM22905" s="111"/>
      <c r="CQ22905" s="111"/>
      <c r="EF22905"/>
      <c r="EG22905"/>
      <c r="EH22905"/>
      <c r="EI22905"/>
      <c r="EJ22905"/>
      <c r="EK22905"/>
    </row>
    <row r="22906" spans="1:141" s="116" customFormat="1">
      <c r="A22906" s="136"/>
      <c r="CM22906" s="111"/>
      <c r="CQ22906" s="111"/>
      <c r="EF22906"/>
      <c r="EG22906"/>
      <c r="EH22906"/>
      <c r="EI22906"/>
      <c r="EJ22906"/>
      <c r="EK22906"/>
    </row>
    <row r="22907" spans="1:141" s="116" customFormat="1">
      <c r="A22907" s="136"/>
      <c r="CM22907" s="111"/>
      <c r="CQ22907" s="111"/>
      <c r="EF22907"/>
      <c r="EG22907"/>
      <c r="EH22907"/>
      <c r="EI22907"/>
      <c r="EJ22907"/>
      <c r="EK22907"/>
    </row>
    <row r="22908" spans="1:141" s="116" customFormat="1">
      <c r="A22908" s="136"/>
      <c r="CM22908" s="111"/>
      <c r="CQ22908" s="111"/>
      <c r="EF22908"/>
      <c r="EG22908"/>
      <c r="EH22908"/>
      <c r="EI22908"/>
      <c r="EJ22908"/>
      <c r="EK22908"/>
    </row>
    <row r="22909" spans="1:141" s="116" customFormat="1">
      <c r="A22909" s="136"/>
      <c r="CM22909" s="111"/>
      <c r="CQ22909" s="111"/>
      <c r="EF22909"/>
      <c r="EG22909"/>
      <c r="EH22909"/>
      <c r="EI22909"/>
      <c r="EJ22909"/>
      <c r="EK22909"/>
    </row>
    <row r="22910" spans="1:141" s="116" customFormat="1">
      <c r="A22910" s="136"/>
      <c r="CM22910" s="111"/>
      <c r="CQ22910" s="111"/>
      <c r="EF22910"/>
      <c r="EG22910"/>
      <c r="EH22910"/>
      <c r="EI22910"/>
      <c r="EJ22910"/>
      <c r="EK22910"/>
    </row>
    <row r="22911" spans="1:141" s="116" customFormat="1">
      <c r="A22911" s="136"/>
      <c r="CM22911" s="111"/>
      <c r="CQ22911" s="111"/>
      <c r="EF22911"/>
      <c r="EG22911"/>
      <c r="EH22911"/>
      <c r="EI22911"/>
      <c r="EJ22911"/>
      <c r="EK22911"/>
    </row>
    <row r="22912" spans="1:141" s="116" customFormat="1">
      <c r="A22912" s="136"/>
      <c r="CM22912" s="111"/>
      <c r="CQ22912" s="111"/>
      <c r="EF22912"/>
      <c r="EG22912"/>
      <c r="EH22912"/>
      <c r="EI22912"/>
      <c r="EJ22912"/>
      <c r="EK22912"/>
    </row>
    <row r="22913" spans="1:141" s="116" customFormat="1">
      <c r="A22913" s="136"/>
      <c r="CM22913" s="111"/>
      <c r="CQ22913" s="111"/>
      <c r="EF22913"/>
      <c r="EG22913"/>
      <c r="EH22913"/>
      <c r="EI22913"/>
      <c r="EJ22913"/>
      <c r="EK22913"/>
    </row>
    <row r="22914" spans="1:141" s="116" customFormat="1">
      <c r="A22914" s="136"/>
      <c r="CM22914" s="111"/>
      <c r="CQ22914" s="111"/>
      <c r="EF22914"/>
      <c r="EG22914"/>
      <c r="EH22914"/>
      <c r="EI22914"/>
      <c r="EJ22914"/>
      <c r="EK22914"/>
    </row>
    <row r="22915" spans="1:141" s="116" customFormat="1">
      <c r="A22915" s="136"/>
      <c r="CM22915" s="111"/>
      <c r="CQ22915" s="111"/>
      <c r="EF22915"/>
      <c r="EG22915"/>
      <c r="EH22915"/>
      <c r="EI22915"/>
      <c r="EJ22915"/>
      <c r="EK22915"/>
    </row>
    <row r="22916" spans="1:141" s="116" customFormat="1">
      <c r="A22916" s="136"/>
      <c r="CM22916" s="111"/>
      <c r="CQ22916" s="111"/>
      <c r="EF22916"/>
      <c r="EG22916"/>
      <c r="EH22916"/>
      <c r="EI22916"/>
      <c r="EJ22916"/>
      <c r="EK22916"/>
    </row>
    <row r="22917" spans="1:141" s="116" customFormat="1">
      <c r="A22917" s="136"/>
      <c r="CM22917" s="111"/>
      <c r="CQ22917" s="111"/>
      <c r="EF22917"/>
      <c r="EG22917"/>
      <c r="EH22917"/>
      <c r="EI22917"/>
      <c r="EJ22917"/>
      <c r="EK22917"/>
    </row>
    <row r="22918" spans="1:141" s="116" customFormat="1">
      <c r="A22918" s="136"/>
      <c r="CM22918" s="111"/>
      <c r="CQ22918" s="111"/>
      <c r="EF22918"/>
      <c r="EG22918"/>
      <c r="EH22918"/>
      <c r="EI22918"/>
      <c r="EJ22918"/>
      <c r="EK22918"/>
    </row>
    <row r="22919" spans="1:141" s="116" customFormat="1">
      <c r="A22919" s="136"/>
      <c r="CM22919" s="111"/>
      <c r="CQ22919" s="111"/>
      <c r="EF22919"/>
      <c r="EG22919"/>
      <c r="EH22919"/>
      <c r="EI22919"/>
      <c r="EJ22919"/>
      <c r="EK22919"/>
    </row>
    <row r="22920" spans="1:141" s="116" customFormat="1">
      <c r="A22920" s="136"/>
      <c r="CM22920" s="111"/>
      <c r="CQ22920" s="111"/>
      <c r="EF22920"/>
      <c r="EG22920"/>
      <c r="EH22920"/>
      <c r="EI22920"/>
      <c r="EJ22920"/>
      <c r="EK22920"/>
    </row>
    <row r="22921" spans="1:141" s="116" customFormat="1">
      <c r="A22921" s="136"/>
      <c r="CM22921" s="111"/>
      <c r="CQ22921" s="111"/>
      <c r="EF22921"/>
      <c r="EG22921"/>
      <c r="EH22921"/>
      <c r="EI22921"/>
      <c r="EJ22921"/>
      <c r="EK22921"/>
    </row>
    <row r="22922" spans="1:141" s="116" customFormat="1">
      <c r="A22922" s="136"/>
      <c r="CM22922" s="111"/>
      <c r="CQ22922" s="111"/>
      <c r="EF22922"/>
      <c r="EG22922"/>
      <c r="EH22922"/>
      <c r="EI22922"/>
      <c r="EJ22922"/>
      <c r="EK22922"/>
    </row>
    <row r="22923" spans="1:141" s="116" customFormat="1">
      <c r="A22923" s="136"/>
      <c r="CM22923" s="111"/>
      <c r="CQ22923" s="111"/>
      <c r="EF22923"/>
      <c r="EG22923"/>
      <c r="EH22923"/>
      <c r="EI22923"/>
      <c r="EJ22923"/>
      <c r="EK22923"/>
    </row>
    <row r="22924" spans="1:141" s="116" customFormat="1">
      <c r="A22924" s="136"/>
      <c r="CM22924" s="111"/>
      <c r="CQ22924" s="111"/>
      <c r="EF22924"/>
      <c r="EG22924"/>
      <c r="EH22924"/>
      <c r="EI22924"/>
      <c r="EJ22924"/>
      <c r="EK22924"/>
    </row>
    <row r="22925" spans="1:141" s="116" customFormat="1">
      <c r="A22925" s="136"/>
      <c r="CM22925" s="111"/>
      <c r="CQ22925" s="111"/>
      <c r="EF22925"/>
      <c r="EG22925"/>
      <c r="EH22925"/>
      <c r="EI22925"/>
      <c r="EJ22925"/>
      <c r="EK22925"/>
    </row>
    <row r="22926" spans="1:141" s="116" customFormat="1">
      <c r="A22926" s="136"/>
      <c r="CM22926" s="111"/>
      <c r="CQ22926" s="111"/>
      <c r="EF22926"/>
      <c r="EG22926"/>
      <c r="EH22926"/>
      <c r="EI22926"/>
      <c r="EJ22926"/>
      <c r="EK22926"/>
    </row>
    <row r="22927" spans="1:141" s="116" customFormat="1">
      <c r="A22927" s="136"/>
      <c r="CM22927" s="111"/>
      <c r="CQ22927" s="111"/>
      <c r="EF22927"/>
      <c r="EG22927"/>
      <c r="EH22927"/>
      <c r="EI22927"/>
      <c r="EJ22927"/>
      <c r="EK22927"/>
    </row>
    <row r="22928" spans="1:141" s="116" customFormat="1">
      <c r="A22928" s="136"/>
      <c r="CM22928" s="111"/>
      <c r="CQ22928" s="111"/>
      <c r="EF22928"/>
      <c r="EG22928"/>
      <c r="EH22928"/>
      <c r="EI22928"/>
      <c r="EJ22928"/>
      <c r="EK22928"/>
    </row>
    <row r="22929" spans="1:141" s="116" customFormat="1">
      <c r="A22929" s="136"/>
      <c r="CM22929" s="111"/>
      <c r="CQ22929" s="111"/>
      <c r="EF22929"/>
      <c r="EG22929"/>
      <c r="EH22929"/>
      <c r="EI22929"/>
      <c r="EJ22929"/>
      <c r="EK22929"/>
    </row>
    <row r="22930" spans="1:141" s="116" customFormat="1">
      <c r="A22930" s="136"/>
      <c r="CM22930" s="111"/>
      <c r="CQ22930" s="111"/>
      <c r="EF22930"/>
      <c r="EG22930"/>
      <c r="EH22930"/>
      <c r="EI22930"/>
      <c r="EJ22930"/>
      <c r="EK22930"/>
    </row>
    <row r="22931" spans="1:141" s="116" customFormat="1">
      <c r="A22931" s="136"/>
      <c r="CM22931" s="111"/>
      <c r="CQ22931" s="111"/>
      <c r="EF22931"/>
      <c r="EG22931"/>
      <c r="EH22931"/>
      <c r="EI22931"/>
      <c r="EJ22931"/>
      <c r="EK22931"/>
    </row>
    <row r="22932" spans="1:141" s="116" customFormat="1">
      <c r="A22932" s="136"/>
      <c r="CM22932" s="111"/>
      <c r="CQ22932" s="111"/>
      <c r="EF22932"/>
      <c r="EG22932"/>
      <c r="EH22932"/>
      <c r="EI22932"/>
      <c r="EJ22932"/>
      <c r="EK22932"/>
    </row>
    <row r="22933" spans="1:141" s="116" customFormat="1">
      <c r="A22933" s="136"/>
      <c r="CM22933" s="111"/>
      <c r="CQ22933" s="111"/>
      <c r="EF22933"/>
      <c r="EG22933"/>
      <c r="EH22933"/>
      <c r="EI22933"/>
      <c r="EJ22933"/>
      <c r="EK22933"/>
    </row>
    <row r="22934" spans="1:141" s="116" customFormat="1">
      <c r="A22934" s="136"/>
      <c r="CM22934" s="111"/>
      <c r="CQ22934" s="111"/>
      <c r="EF22934"/>
      <c r="EG22934"/>
      <c r="EH22934"/>
      <c r="EI22934"/>
      <c r="EJ22934"/>
      <c r="EK22934"/>
    </row>
    <row r="22935" spans="1:141" s="116" customFormat="1">
      <c r="A22935" s="136"/>
      <c r="CM22935" s="111"/>
      <c r="CQ22935" s="111"/>
      <c r="EF22935"/>
      <c r="EG22935"/>
      <c r="EH22935"/>
      <c r="EI22935"/>
      <c r="EJ22935"/>
      <c r="EK22935"/>
    </row>
    <row r="22936" spans="1:141" s="116" customFormat="1">
      <c r="A22936" s="136"/>
      <c r="CM22936" s="111"/>
      <c r="CQ22936" s="111"/>
      <c r="EF22936"/>
      <c r="EG22936"/>
      <c r="EH22936"/>
      <c r="EI22936"/>
      <c r="EJ22936"/>
      <c r="EK22936"/>
    </row>
    <row r="22937" spans="1:141" s="116" customFormat="1">
      <c r="A22937" s="136"/>
      <c r="CM22937" s="111"/>
      <c r="CQ22937" s="111"/>
      <c r="EF22937"/>
      <c r="EG22937"/>
      <c r="EH22937"/>
      <c r="EI22937"/>
      <c r="EJ22937"/>
      <c r="EK22937"/>
    </row>
    <row r="22938" spans="1:141" s="116" customFormat="1">
      <c r="A22938" s="136"/>
      <c r="CM22938" s="111"/>
      <c r="CQ22938" s="111"/>
      <c r="EF22938"/>
      <c r="EG22938"/>
      <c r="EH22938"/>
      <c r="EI22938"/>
      <c r="EJ22938"/>
      <c r="EK22938"/>
    </row>
    <row r="22939" spans="1:141" s="116" customFormat="1">
      <c r="A22939" s="136"/>
      <c r="CM22939" s="111"/>
      <c r="CQ22939" s="111"/>
      <c r="EF22939"/>
      <c r="EG22939"/>
      <c r="EH22939"/>
      <c r="EI22939"/>
      <c r="EJ22939"/>
      <c r="EK22939"/>
    </row>
    <row r="22940" spans="1:141" s="116" customFormat="1">
      <c r="A22940" s="136"/>
      <c r="CM22940" s="111"/>
      <c r="CQ22940" s="111"/>
      <c r="EF22940"/>
      <c r="EG22940"/>
      <c r="EH22940"/>
      <c r="EI22940"/>
      <c r="EJ22940"/>
      <c r="EK22940"/>
    </row>
    <row r="22941" spans="1:141" s="116" customFormat="1">
      <c r="A22941" s="136"/>
      <c r="CM22941" s="111"/>
      <c r="CQ22941" s="111"/>
      <c r="EF22941"/>
      <c r="EG22941"/>
      <c r="EH22941"/>
      <c r="EI22941"/>
      <c r="EJ22941"/>
      <c r="EK22941"/>
    </row>
    <row r="22942" spans="1:141" s="116" customFormat="1">
      <c r="A22942" s="136"/>
      <c r="CM22942" s="111"/>
      <c r="CQ22942" s="111"/>
      <c r="EF22942"/>
      <c r="EG22942"/>
      <c r="EH22942"/>
      <c r="EI22942"/>
      <c r="EJ22942"/>
      <c r="EK22942"/>
    </row>
    <row r="22943" spans="1:141" s="116" customFormat="1">
      <c r="A22943" s="136"/>
      <c r="CM22943" s="111"/>
      <c r="CQ22943" s="111"/>
      <c r="EF22943"/>
      <c r="EG22943"/>
      <c r="EH22943"/>
      <c r="EI22943"/>
      <c r="EJ22943"/>
      <c r="EK22943"/>
    </row>
    <row r="22944" spans="1:141" s="116" customFormat="1">
      <c r="A22944" s="136"/>
      <c r="CM22944" s="111"/>
      <c r="CQ22944" s="111"/>
      <c r="EF22944"/>
      <c r="EG22944"/>
      <c r="EH22944"/>
      <c r="EI22944"/>
      <c r="EJ22944"/>
      <c r="EK22944"/>
    </row>
    <row r="22945" spans="1:141" s="116" customFormat="1">
      <c r="A22945" s="136"/>
      <c r="CM22945" s="111"/>
      <c r="CQ22945" s="111"/>
      <c r="EF22945"/>
      <c r="EG22945"/>
      <c r="EH22945"/>
      <c r="EI22945"/>
      <c r="EJ22945"/>
      <c r="EK22945"/>
    </row>
    <row r="22946" spans="1:141" s="116" customFormat="1">
      <c r="A22946" s="136"/>
      <c r="CM22946" s="111"/>
      <c r="CQ22946" s="111"/>
      <c r="EF22946"/>
      <c r="EG22946"/>
      <c r="EH22946"/>
      <c r="EI22946"/>
      <c r="EJ22946"/>
      <c r="EK22946"/>
    </row>
    <row r="22947" spans="1:141" s="116" customFormat="1">
      <c r="A22947" s="136"/>
      <c r="CM22947" s="111"/>
      <c r="CQ22947" s="111"/>
      <c r="EF22947"/>
      <c r="EG22947"/>
      <c r="EH22947"/>
      <c r="EI22947"/>
      <c r="EJ22947"/>
      <c r="EK22947"/>
    </row>
    <row r="22948" spans="1:141" s="116" customFormat="1">
      <c r="A22948" s="136"/>
      <c r="CM22948" s="111"/>
      <c r="CQ22948" s="111"/>
      <c r="EF22948"/>
      <c r="EG22948"/>
      <c r="EH22948"/>
      <c r="EI22948"/>
      <c r="EJ22948"/>
      <c r="EK22948"/>
    </row>
    <row r="22949" spans="1:141" s="116" customFormat="1">
      <c r="A22949" s="136"/>
      <c r="CM22949" s="111"/>
      <c r="CQ22949" s="111"/>
      <c r="EF22949"/>
      <c r="EG22949"/>
      <c r="EH22949"/>
      <c r="EI22949"/>
      <c r="EJ22949"/>
      <c r="EK22949"/>
    </row>
    <row r="22950" spans="1:141" s="116" customFormat="1">
      <c r="A22950" s="136"/>
      <c r="CM22950" s="111"/>
      <c r="CQ22950" s="111"/>
      <c r="EF22950"/>
      <c r="EG22950"/>
      <c r="EH22950"/>
      <c r="EI22950"/>
      <c r="EJ22950"/>
      <c r="EK22950"/>
    </row>
    <row r="22951" spans="1:141" s="116" customFormat="1">
      <c r="A22951" s="136"/>
      <c r="CM22951" s="111"/>
      <c r="CQ22951" s="111"/>
      <c r="EF22951"/>
      <c r="EG22951"/>
      <c r="EH22951"/>
      <c r="EI22951"/>
      <c r="EJ22951"/>
      <c r="EK22951"/>
    </row>
    <row r="22952" spans="1:141" s="116" customFormat="1">
      <c r="A22952" s="136"/>
      <c r="CM22952" s="111"/>
      <c r="CQ22952" s="111"/>
      <c r="EF22952"/>
      <c r="EG22952"/>
      <c r="EH22952"/>
      <c r="EI22952"/>
      <c r="EJ22952"/>
      <c r="EK22952"/>
    </row>
    <row r="22953" spans="1:141" s="116" customFormat="1">
      <c r="A22953" s="136"/>
      <c r="CM22953" s="111"/>
      <c r="CQ22953" s="111"/>
      <c r="EF22953"/>
      <c r="EG22953"/>
      <c r="EH22953"/>
      <c r="EI22953"/>
      <c r="EJ22953"/>
      <c r="EK22953"/>
    </row>
    <row r="22954" spans="1:141" s="116" customFormat="1">
      <c r="A22954" s="136"/>
      <c r="CM22954" s="111"/>
      <c r="CQ22954" s="111"/>
      <c r="EF22954"/>
      <c r="EG22954"/>
      <c r="EH22954"/>
      <c r="EI22954"/>
      <c r="EJ22954"/>
      <c r="EK22954"/>
    </row>
    <row r="22955" spans="1:141" s="116" customFormat="1">
      <c r="A22955" s="136"/>
      <c r="CM22955" s="111"/>
      <c r="CQ22955" s="111"/>
      <c r="EF22955"/>
      <c r="EG22955"/>
      <c r="EH22955"/>
      <c r="EI22955"/>
      <c r="EJ22955"/>
      <c r="EK22955"/>
    </row>
    <row r="22956" spans="1:141" s="116" customFormat="1">
      <c r="A22956" s="136"/>
      <c r="CM22956" s="111"/>
      <c r="CQ22956" s="111"/>
      <c r="EF22956"/>
      <c r="EG22956"/>
      <c r="EH22956"/>
      <c r="EI22956"/>
      <c r="EJ22956"/>
      <c r="EK22956"/>
    </row>
    <row r="22957" spans="1:141" s="116" customFormat="1">
      <c r="A22957" s="136"/>
      <c r="CM22957" s="111"/>
      <c r="CQ22957" s="111"/>
      <c r="EF22957"/>
      <c r="EG22957"/>
      <c r="EH22957"/>
      <c r="EI22957"/>
      <c r="EJ22957"/>
      <c r="EK22957"/>
    </row>
    <row r="22958" spans="1:141" s="116" customFormat="1">
      <c r="A22958" s="136"/>
      <c r="CM22958" s="111"/>
      <c r="CQ22958" s="111"/>
      <c r="EF22958"/>
      <c r="EG22958"/>
      <c r="EH22958"/>
      <c r="EI22958"/>
      <c r="EJ22958"/>
      <c r="EK22958"/>
    </row>
    <row r="22959" spans="1:141" s="116" customFormat="1">
      <c r="A22959" s="136"/>
      <c r="CM22959" s="111"/>
      <c r="CQ22959" s="111"/>
      <c r="EF22959"/>
      <c r="EG22959"/>
      <c r="EH22959"/>
      <c r="EI22959"/>
      <c r="EJ22959"/>
      <c r="EK22959"/>
    </row>
    <row r="22960" spans="1:141" s="116" customFormat="1">
      <c r="A22960" s="136"/>
      <c r="CM22960" s="111"/>
      <c r="CQ22960" s="111"/>
      <c r="EF22960"/>
      <c r="EG22960"/>
      <c r="EH22960"/>
      <c r="EI22960"/>
      <c r="EJ22960"/>
      <c r="EK22960"/>
    </row>
    <row r="22961" spans="1:141" s="116" customFormat="1">
      <c r="A22961" s="136"/>
      <c r="CM22961" s="111"/>
      <c r="CQ22961" s="111"/>
      <c r="EF22961"/>
      <c r="EG22961"/>
      <c r="EH22961"/>
      <c r="EI22961"/>
      <c r="EJ22961"/>
      <c r="EK22961"/>
    </row>
    <row r="22962" spans="1:141" s="116" customFormat="1">
      <c r="A22962" s="136"/>
      <c r="CM22962" s="111"/>
      <c r="CQ22962" s="111"/>
      <c r="EF22962"/>
      <c r="EG22962"/>
      <c r="EH22962"/>
      <c r="EI22962"/>
      <c r="EJ22962"/>
      <c r="EK22962"/>
    </row>
    <row r="22963" spans="1:141" s="116" customFormat="1">
      <c r="A22963" s="136"/>
      <c r="CM22963" s="111"/>
      <c r="CQ22963" s="111"/>
      <c r="EF22963"/>
      <c r="EG22963"/>
      <c r="EH22963"/>
      <c r="EI22963"/>
      <c r="EJ22963"/>
      <c r="EK22963"/>
    </row>
    <row r="22964" spans="1:141" s="116" customFormat="1">
      <c r="A22964" s="136"/>
      <c r="CM22964" s="111"/>
      <c r="CQ22964" s="111"/>
      <c r="EF22964"/>
      <c r="EG22964"/>
      <c r="EH22964"/>
      <c r="EI22964"/>
      <c r="EJ22964"/>
      <c r="EK22964"/>
    </row>
    <row r="22965" spans="1:141" s="116" customFormat="1">
      <c r="A22965" s="136"/>
      <c r="CM22965" s="111"/>
      <c r="CQ22965" s="111"/>
      <c r="EF22965"/>
      <c r="EG22965"/>
      <c r="EH22965"/>
      <c r="EI22965"/>
      <c r="EJ22965"/>
      <c r="EK22965"/>
    </row>
    <row r="22966" spans="1:141" s="116" customFormat="1">
      <c r="A22966" s="136"/>
      <c r="CM22966" s="111"/>
      <c r="CQ22966" s="111"/>
      <c r="EF22966"/>
      <c r="EG22966"/>
      <c r="EH22966"/>
      <c r="EI22966"/>
      <c r="EJ22966"/>
      <c r="EK22966"/>
    </row>
    <row r="22967" spans="1:141" s="116" customFormat="1">
      <c r="A22967" s="136"/>
      <c r="CM22967" s="111"/>
      <c r="CQ22967" s="111"/>
      <c r="EF22967"/>
      <c r="EG22967"/>
      <c r="EH22967"/>
      <c r="EI22967"/>
      <c r="EJ22967"/>
      <c r="EK22967"/>
    </row>
    <row r="22968" spans="1:141" s="116" customFormat="1">
      <c r="A22968" s="136"/>
      <c r="CM22968" s="111"/>
      <c r="CQ22968" s="111"/>
      <c r="EF22968"/>
      <c r="EG22968"/>
      <c r="EH22968"/>
      <c r="EI22968"/>
      <c r="EJ22968"/>
      <c r="EK22968"/>
    </row>
    <row r="22969" spans="1:141" s="116" customFormat="1">
      <c r="A22969" s="136"/>
      <c r="CM22969" s="111"/>
      <c r="CQ22969" s="111"/>
      <c r="EF22969"/>
      <c r="EG22969"/>
      <c r="EH22969"/>
      <c r="EI22969"/>
      <c r="EJ22969"/>
      <c r="EK22969"/>
    </row>
    <row r="22970" spans="1:141" s="116" customFormat="1">
      <c r="A22970" s="136"/>
      <c r="CM22970" s="111"/>
      <c r="CQ22970" s="111"/>
      <c r="EF22970"/>
      <c r="EG22970"/>
      <c r="EH22970"/>
      <c r="EI22970"/>
      <c r="EJ22970"/>
      <c r="EK22970"/>
    </row>
    <row r="22971" spans="1:141" s="116" customFormat="1">
      <c r="A22971" s="136"/>
      <c r="CM22971" s="111"/>
      <c r="CQ22971" s="111"/>
      <c r="EF22971"/>
      <c r="EG22971"/>
      <c r="EH22971"/>
      <c r="EI22971"/>
      <c r="EJ22971"/>
      <c r="EK22971"/>
    </row>
    <row r="22972" spans="1:141" s="116" customFormat="1">
      <c r="A22972" s="136"/>
      <c r="CM22972" s="111"/>
      <c r="CQ22972" s="111"/>
      <c r="EF22972"/>
      <c r="EG22972"/>
      <c r="EH22972"/>
      <c r="EI22972"/>
      <c r="EJ22972"/>
      <c r="EK22972"/>
    </row>
    <row r="22973" spans="1:141" s="116" customFormat="1">
      <c r="A22973" s="136"/>
      <c r="CM22973" s="111"/>
      <c r="CQ22973" s="111"/>
      <c r="EF22973"/>
      <c r="EG22973"/>
      <c r="EH22973"/>
      <c r="EI22973"/>
      <c r="EJ22973"/>
      <c r="EK22973"/>
    </row>
    <row r="22974" spans="1:141" s="116" customFormat="1">
      <c r="A22974" s="136"/>
      <c r="CM22974" s="111"/>
      <c r="CQ22974" s="111"/>
      <c r="EF22974"/>
      <c r="EG22974"/>
      <c r="EH22974"/>
      <c r="EI22974"/>
      <c r="EJ22974"/>
      <c r="EK22974"/>
    </row>
    <row r="22975" spans="1:141" s="116" customFormat="1">
      <c r="A22975" s="136"/>
      <c r="CM22975" s="111"/>
      <c r="CQ22975" s="111"/>
      <c r="EF22975"/>
      <c r="EG22975"/>
      <c r="EH22975"/>
      <c r="EI22975"/>
      <c r="EJ22975"/>
      <c r="EK22975"/>
    </row>
    <row r="22976" spans="1:141" s="116" customFormat="1">
      <c r="A22976" s="136"/>
      <c r="CM22976" s="111"/>
      <c r="CQ22976" s="111"/>
      <c r="EF22976"/>
      <c r="EG22976"/>
      <c r="EH22976"/>
      <c r="EI22976"/>
      <c r="EJ22976"/>
      <c r="EK22976"/>
    </row>
    <row r="22977" spans="1:141" s="116" customFormat="1">
      <c r="A22977" s="136"/>
      <c r="CM22977" s="111"/>
      <c r="CQ22977" s="111"/>
      <c r="EF22977"/>
      <c r="EG22977"/>
      <c r="EH22977"/>
      <c r="EI22977"/>
      <c r="EJ22977"/>
      <c r="EK22977"/>
    </row>
    <row r="22978" spans="1:141" s="116" customFormat="1">
      <c r="A22978" s="136"/>
      <c r="CM22978" s="111"/>
      <c r="CQ22978" s="111"/>
      <c r="EF22978"/>
      <c r="EG22978"/>
      <c r="EH22978"/>
      <c r="EI22978"/>
      <c r="EJ22978"/>
      <c r="EK22978"/>
    </row>
    <row r="22979" spans="1:141" s="116" customFormat="1">
      <c r="A22979" s="136"/>
      <c r="CM22979" s="111"/>
      <c r="CQ22979" s="111"/>
      <c r="EF22979"/>
      <c r="EG22979"/>
      <c r="EH22979"/>
      <c r="EI22979"/>
      <c r="EJ22979"/>
      <c r="EK22979"/>
    </row>
    <row r="22980" spans="1:141" s="116" customFormat="1">
      <c r="A22980" s="136"/>
      <c r="CM22980" s="111"/>
      <c r="CQ22980" s="111"/>
      <c r="EF22980"/>
      <c r="EG22980"/>
      <c r="EH22980"/>
      <c r="EI22980"/>
      <c r="EJ22980"/>
      <c r="EK22980"/>
    </row>
    <row r="22981" spans="1:141" s="116" customFormat="1">
      <c r="A22981" s="136"/>
      <c r="CM22981" s="111"/>
      <c r="CQ22981" s="111"/>
      <c r="EF22981"/>
      <c r="EG22981"/>
      <c r="EH22981"/>
      <c r="EI22981"/>
      <c r="EJ22981"/>
      <c r="EK22981"/>
    </row>
    <row r="22982" spans="1:141" s="116" customFormat="1">
      <c r="A22982" s="136"/>
      <c r="CM22982" s="111"/>
      <c r="CQ22982" s="111"/>
      <c r="EF22982"/>
      <c r="EG22982"/>
      <c r="EH22982"/>
      <c r="EI22982"/>
      <c r="EJ22982"/>
      <c r="EK22982"/>
    </row>
    <row r="22983" spans="1:141" s="116" customFormat="1">
      <c r="A22983" s="136"/>
      <c r="CM22983" s="111"/>
      <c r="CQ22983" s="111"/>
      <c r="EF22983"/>
      <c r="EG22983"/>
      <c r="EH22983"/>
      <c r="EI22983"/>
      <c r="EJ22983"/>
      <c r="EK22983"/>
    </row>
    <row r="22984" spans="1:141" s="116" customFormat="1">
      <c r="A22984" s="136"/>
      <c r="CM22984" s="111"/>
      <c r="CQ22984" s="111"/>
      <c r="EF22984"/>
      <c r="EG22984"/>
      <c r="EH22984"/>
      <c r="EI22984"/>
      <c r="EJ22984"/>
      <c r="EK22984"/>
    </row>
    <row r="22985" spans="1:141" s="116" customFormat="1">
      <c r="A22985" s="136"/>
      <c r="CM22985" s="111"/>
      <c r="CQ22985" s="111"/>
      <c r="EF22985"/>
      <c r="EG22985"/>
      <c r="EH22985"/>
      <c r="EI22985"/>
      <c r="EJ22985"/>
      <c r="EK22985"/>
    </row>
    <row r="22986" spans="1:141" s="116" customFormat="1">
      <c r="A22986" s="136"/>
      <c r="CM22986" s="111"/>
      <c r="CQ22986" s="111"/>
      <c r="EF22986"/>
      <c r="EG22986"/>
      <c r="EH22986"/>
      <c r="EI22986"/>
      <c r="EJ22986"/>
      <c r="EK22986"/>
    </row>
    <row r="22987" spans="1:141" s="116" customFormat="1">
      <c r="A22987" s="136"/>
      <c r="CM22987" s="111"/>
      <c r="CQ22987" s="111"/>
      <c r="EF22987"/>
      <c r="EG22987"/>
      <c r="EH22987"/>
      <c r="EI22987"/>
      <c r="EJ22987"/>
      <c r="EK22987"/>
    </row>
    <row r="22988" spans="1:141" s="116" customFormat="1">
      <c r="A22988" s="136"/>
      <c r="CM22988" s="111"/>
      <c r="CQ22988" s="111"/>
      <c r="EF22988"/>
      <c r="EG22988"/>
      <c r="EH22988"/>
      <c r="EI22988"/>
      <c r="EJ22988"/>
      <c r="EK22988"/>
    </row>
    <row r="22989" spans="1:141" s="116" customFormat="1">
      <c r="A22989" s="136"/>
      <c r="CM22989" s="111"/>
      <c r="CQ22989" s="111"/>
      <c r="EF22989"/>
      <c r="EG22989"/>
      <c r="EH22989"/>
      <c r="EI22989"/>
      <c r="EJ22989"/>
      <c r="EK22989"/>
    </row>
    <row r="22990" spans="1:141" s="116" customFormat="1">
      <c r="A22990" s="136"/>
      <c r="CM22990" s="111"/>
      <c r="CQ22990" s="111"/>
      <c r="EF22990"/>
      <c r="EG22990"/>
      <c r="EH22990"/>
      <c r="EI22990"/>
      <c r="EJ22990"/>
      <c r="EK22990"/>
    </row>
    <row r="22991" spans="1:141" s="116" customFormat="1">
      <c r="A22991" s="136"/>
      <c r="CM22991" s="111"/>
      <c r="CQ22991" s="111"/>
      <c r="EF22991"/>
      <c r="EG22991"/>
      <c r="EH22991"/>
      <c r="EI22991"/>
      <c r="EJ22991"/>
      <c r="EK22991"/>
    </row>
    <row r="22992" spans="1:141" s="116" customFormat="1">
      <c r="A22992" s="136"/>
      <c r="CM22992" s="111"/>
      <c r="CQ22992" s="111"/>
      <c r="EF22992"/>
      <c r="EG22992"/>
      <c r="EH22992"/>
      <c r="EI22992"/>
      <c r="EJ22992"/>
      <c r="EK22992"/>
    </row>
    <row r="22993" spans="1:141" s="116" customFormat="1">
      <c r="A22993" s="136"/>
      <c r="CM22993" s="111"/>
      <c r="CQ22993" s="111"/>
      <c r="EF22993"/>
      <c r="EG22993"/>
      <c r="EH22993"/>
      <c r="EI22993"/>
      <c r="EJ22993"/>
      <c r="EK22993"/>
    </row>
    <row r="22994" spans="1:141" s="116" customFormat="1">
      <c r="A22994" s="136"/>
      <c r="CM22994" s="111"/>
      <c r="CQ22994" s="111"/>
      <c r="EF22994"/>
      <c r="EG22994"/>
      <c r="EH22994"/>
      <c r="EI22994"/>
      <c r="EJ22994"/>
      <c r="EK22994"/>
    </row>
    <row r="22995" spans="1:141" s="116" customFormat="1">
      <c r="A22995" s="136"/>
      <c r="CM22995" s="111"/>
      <c r="CQ22995" s="111"/>
      <c r="EF22995"/>
      <c r="EG22995"/>
      <c r="EH22995"/>
      <c r="EI22995"/>
      <c r="EJ22995"/>
      <c r="EK22995"/>
    </row>
    <row r="22996" spans="1:141" s="116" customFormat="1">
      <c r="A22996" s="136"/>
      <c r="CM22996" s="111"/>
      <c r="CQ22996" s="111"/>
      <c r="EF22996"/>
      <c r="EG22996"/>
      <c r="EH22996"/>
      <c r="EI22996"/>
      <c r="EJ22996"/>
      <c r="EK22996"/>
    </row>
    <row r="22997" spans="1:141" s="116" customFormat="1">
      <c r="A22997" s="136"/>
      <c r="CM22997" s="111"/>
      <c r="CQ22997" s="111"/>
      <c r="EF22997"/>
      <c r="EG22997"/>
      <c r="EH22997"/>
      <c r="EI22997"/>
      <c r="EJ22997"/>
      <c r="EK22997"/>
    </row>
    <row r="22998" spans="1:141" s="116" customFormat="1">
      <c r="A22998" s="136"/>
      <c r="CM22998" s="111"/>
      <c r="CQ22998" s="111"/>
      <c r="EF22998"/>
      <c r="EG22998"/>
      <c r="EH22998"/>
      <c r="EI22998"/>
      <c r="EJ22998"/>
      <c r="EK22998"/>
    </row>
    <row r="22999" spans="1:141" s="116" customFormat="1">
      <c r="A22999" s="136"/>
      <c r="CM22999" s="111"/>
      <c r="CQ22999" s="111"/>
      <c r="EF22999"/>
      <c r="EG22999"/>
      <c r="EH22999"/>
      <c r="EI22999"/>
      <c r="EJ22999"/>
      <c r="EK22999"/>
    </row>
    <row r="23000" spans="1:141" s="116" customFormat="1">
      <c r="A23000" s="136"/>
      <c r="CM23000" s="111"/>
      <c r="CQ23000" s="111"/>
      <c r="EF23000"/>
      <c r="EG23000"/>
      <c r="EH23000"/>
      <c r="EI23000"/>
      <c r="EJ23000"/>
      <c r="EK23000"/>
    </row>
    <row r="23001" spans="1:141" s="116" customFormat="1">
      <c r="A23001" s="136"/>
      <c r="CM23001" s="111"/>
      <c r="CQ23001" s="111"/>
      <c r="EF23001"/>
      <c r="EG23001"/>
      <c r="EH23001"/>
      <c r="EI23001"/>
      <c r="EJ23001"/>
      <c r="EK23001"/>
    </row>
    <row r="23002" spans="1:141" s="116" customFormat="1">
      <c r="A23002" s="136"/>
      <c r="CM23002" s="111"/>
      <c r="CQ23002" s="111"/>
      <c r="EF23002"/>
      <c r="EG23002"/>
      <c r="EH23002"/>
      <c r="EI23002"/>
      <c r="EJ23002"/>
      <c r="EK23002"/>
    </row>
    <row r="23003" spans="1:141" s="116" customFormat="1">
      <c r="A23003" s="136"/>
      <c r="CM23003" s="111"/>
      <c r="CQ23003" s="111"/>
      <c r="EF23003"/>
      <c r="EG23003"/>
      <c r="EH23003"/>
      <c r="EI23003"/>
      <c r="EJ23003"/>
      <c r="EK23003"/>
    </row>
    <row r="23004" spans="1:141" s="116" customFormat="1">
      <c r="A23004" s="136"/>
      <c r="CM23004" s="111"/>
      <c r="CQ23004" s="111"/>
      <c r="EF23004"/>
      <c r="EG23004"/>
      <c r="EH23004"/>
      <c r="EI23004"/>
      <c r="EJ23004"/>
      <c r="EK23004"/>
    </row>
    <row r="23005" spans="1:141" s="116" customFormat="1">
      <c r="A23005" s="136"/>
      <c r="CM23005" s="111"/>
      <c r="CQ23005" s="111"/>
      <c r="EF23005"/>
      <c r="EG23005"/>
      <c r="EH23005"/>
      <c r="EI23005"/>
      <c r="EJ23005"/>
      <c r="EK23005"/>
    </row>
    <row r="23006" spans="1:141" s="116" customFormat="1">
      <c r="A23006" s="136"/>
      <c r="CM23006" s="111"/>
      <c r="CQ23006" s="111"/>
      <c r="EF23006"/>
      <c r="EG23006"/>
      <c r="EH23006"/>
      <c r="EI23006"/>
      <c r="EJ23006"/>
      <c r="EK23006"/>
    </row>
    <row r="23007" spans="1:141" s="116" customFormat="1">
      <c r="A23007" s="136"/>
      <c r="CM23007" s="111"/>
      <c r="CQ23007" s="111"/>
      <c r="EF23007"/>
      <c r="EG23007"/>
      <c r="EH23007"/>
      <c r="EI23007"/>
      <c r="EJ23007"/>
      <c r="EK23007"/>
    </row>
    <row r="23008" spans="1:141" s="116" customFormat="1">
      <c r="A23008" s="136"/>
      <c r="CM23008" s="111"/>
      <c r="CQ23008" s="111"/>
      <c r="EF23008"/>
      <c r="EG23008"/>
      <c r="EH23008"/>
      <c r="EI23008"/>
      <c r="EJ23008"/>
      <c r="EK23008"/>
    </row>
    <row r="23009" spans="1:141" s="116" customFormat="1">
      <c r="A23009" s="136"/>
      <c r="CM23009" s="111"/>
      <c r="CQ23009" s="111"/>
      <c r="EF23009"/>
      <c r="EG23009"/>
      <c r="EH23009"/>
      <c r="EI23009"/>
      <c r="EJ23009"/>
      <c r="EK23009"/>
    </row>
    <row r="23010" spans="1:141" s="116" customFormat="1">
      <c r="A23010" s="136"/>
      <c r="CM23010" s="111"/>
      <c r="CQ23010" s="111"/>
      <c r="EF23010"/>
      <c r="EG23010"/>
      <c r="EH23010"/>
      <c r="EI23010"/>
      <c r="EJ23010"/>
      <c r="EK23010"/>
    </row>
    <row r="23011" spans="1:141" s="116" customFormat="1">
      <c r="A23011" s="136"/>
      <c r="CM23011" s="111"/>
      <c r="CQ23011" s="111"/>
      <c r="EF23011"/>
      <c r="EG23011"/>
      <c r="EH23011"/>
      <c r="EI23011"/>
      <c r="EJ23011"/>
      <c r="EK23011"/>
    </row>
    <row r="23012" spans="1:141" s="116" customFormat="1">
      <c r="A23012" s="136"/>
      <c r="CM23012" s="111"/>
      <c r="CQ23012" s="111"/>
      <c r="EF23012"/>
      <c r="EG23012"/>
      <c r="EH23012"/>
      <c r="EI23012"/>
      <c r="EJ23012"/>
      <c r="EK23012"/>
    </row>
    <row r="23013" spans="1:141" s="116" customFormat="1">
      <c r="A23013" s="136"/>
      <c r="CM23013" s="111"/>
      <c r="CQ23013" s="111"/>
      <c r="EF23013"/>
      <c r="EG23013"/>
      <c r="EH23013"/>
      <c r="EI23013"/>
      <c r="EJ23013"/>
      <c r="EK23013"/>
    </row>
    <row r="23014" spans="1:141" s="116" customFormat="1">
      <c r="A23014" s="136"/>
      <c r="CM23014" s="111"/>
      <c r="CQ23014" s="111"/>
      <c r="EF23014"/>
      <c r="EG23014"/>
      <c r="EH23014"/>
      <c r="EI23014"/>
      <c r="EJ23014"/>
      <c r="EK23014"/>
    </row>
    <row r="23015" spans="1:141" s="116" customFormat="1">
      <c r="A23015" s="136"/>
      <c r="CM23015" s="111"/>
      <c r="CQ23015" s="111"/>
      <c r="EF23015"/>
      <c r="EG23015"/>
      <c r="EH23015"/>
      <c r="EI23015"/>
      <c r="EJ23015"/>
      <c r="EK23015"/>
    </row>
    <row r="23016" spans="1:141" s="116" customFormat="1">
      <c r="A23016" s="136"/>
      <c r="CM23016" s="111"/>
      <c r="CQ23016" s="111"/>
      <c r="EF23016"/>
      <c r="EG23016"/>
      <c r="EH23016"/>
      <c r="EI23016"/>
      <c r="EJ23016"/>
      <c r="EK23016"/>
    </row>
    <row r="23017" spans="1:141" s="116" customFormat="1">
      <c r="A23017" s="136"/>
      <c r="CM23017" s="111"/>
      <c r="CQ23017" s="111"/>
      <c r="EF23017"/>
      <c r="EG23017"/>
      <c r="EH23017"/>
      <c r="EI23017"/>
      <c r="EJ23017"/>
      <c r="EK23017"/>
    </row>
    <row r="23018" spans="1:141" s="116" customFormat="1">
      <c r="A23018" s="136"/>
      <c r="CM23018" s="111"/>
      <c r="CQ23018" s="111"/>
      <c r="EF23018"/>
      <c r="EG23018"/>
      <c r="EH23018"/>
      <c r="EI23018"/>
      <c r="EJ23018"/>
      <c r="EK23018"/>
    </row>
    <row r="23019" spans="1:141" s="116" customFormat="1">
      <c r="A23019" s="136"/>
      <c r="CM23019" s="111"/>
      <c r="CQ23019" s="111"/>
      <c r="EF23019"/>
      <c r="EG23019"/>
      <c r="EH23019"/>
      <c r="EI23019"/>
      <c r="EJ23019"/>
      <c r="EK23019"/>
    </row>
    <row r="23020" spans="1:141" s="116" customFormat="1">
      <c r="A23020" s="136"/>
      <c r="CM23020" s="111"/>
      <c r="CQ23020" s="111"/>
      <c r="EF23020"/>
      <c r="EG23020"/>
      <c r="EH23020"/>
      <c r="EI23020"/>
      <c r="EJ23020"/>
      <c r="EK23020"/>
    </row>
    <row r="23021" spans="1:141" s="116" customFormat="1">
      <c r="A23021" s="136"/>
      <c r="CM23021" s="111"/>
      <c r="CQ23021" s="111"/>
      <c r="EF23021"/>
      <c r="EG23021"/>
      <c r="EH23021"/>
      <c r="EI23021"/>
      <c r="EJ23021"/>
      <c r="EK23021"/>
    </row>
    <row r="23022" spans="1:141" s="116" customFormat="1">
      <c r="A23022" s="136"/>
      <c r="CM23022" s="111"/>
      <c r="CQ23022" s="111"/>
      <c r="EF23022"/>
      <c r="EG23022"/>
      <c r="EH23022"/>
      <c r="EI23022"/>
      <c r="EJ23022"/>
      <c r="EK23022"/>
    </row>
    <row r="23023" spans="1:141" s="116" customFormat="1">
      <c r="A23023" s="136"/>
      <c r="CM23023" s="111"/>
      <c r="CQ23023" s="111"/>
      <c r="EF23023"/>
      <c r="EG23023"/>
      <c r="EH23023"/>
      <c r="EI23023"/>
      <c r="EJ23023"/>
      <c r="EK23023"/>
    </row>
    <row r="23024" spans="1:141" s="116" customFormat="1">
      <c r="A23024" s="136"/>
      <c r="CM23024" s="111"/>
      <c r="CQ23024" s="111"/>
      <c r="EF23024"/>
      <c r="EG23024"/>
      <c r="EH23024"/>
      <c r="EI23024"/>
      <c r="EJ23024"/>
      <c r="EK23024"/>
    </row>
    <row r="23025" spans="1:141" s="116" customFormat="1">
      <c r="A23025" s="136"/>
      <c r="CM23025" s="111"/>
      <c r="CQ23025" s="111"/>
      <c r="EF23025"/>
      <c r="EG23025"/>
      <c r="EH23025"/>
      <c r="EI23025"/>
      <c r="EJ23025"/>
      <c r="EK23025"/>
    </row>
    <row r="23026" spans="1:141" s="116" customFormat="1">
      <c r="A23026" s="136"/>
      <c r="CM23026" s="111"/>
      <c r="CQ23026" s="111"/>
      <c r="EF23026"/>
      <c r="EG23026"/>
      <c r="EH23026"/>
      <c r="EI23026"/>
      <c r="EJ23026"/>
      <c r="EK23026"/>
    </row>
    <row r="23027" spans="1:141" s="116" customFormat="1">
      <c r="A23027" s="136"/>
      <c r="CM23027" s="111"/>
      <c r="CQ23027" s="111"/>
      <c r="EF23027"/>
      <c r="EG23027"/>
      <c r="EH23027"/>
      <c r="EI23027"/>
      <c r="EJ23027"/>
      <c r="EK23027"/>
    </row>
    <row r="23028" spans="1:141" s="116" customFormat="1">
      <c r="A23028" s="136"/>
      <c r="CM23028" s="111"/>
      <c r="CQ23028" s="111"/>
      <c r="EF23028"/>
      <c r="EG23028"/>
      <c r="EH23028"/>
      <c r="EI23028"/>
      <c r="EJ23028"/>
      <c r="EK23028"/>
    </row>
    <row r="23029" spans="1:141" s="116" customFormat="1">
      <c r="A23029" s="136"/>
      <c r="CM23029" s="111"/>
      <c r="CQ23029" s="111"/>
      <c r="EF23029"/>
      <c r="EG23029"/>
      <c r="EH23029"/>
      <c r="EI23029"/>
      <c r="EJ23029"/>
      <c r="EK23029"/>
    </row>
    <row r="23030" spans="1:141" s="116" customFormat="1">
      <c r="A23030" s="136"/>
      <c r="CM23030" s="111"/>
      <c r="CQ23030" s="111"/>
      <c r="EF23030"/>
      <c r="EG23030"/>
      <c r="EH23030"/>
      <c r="EI23030"/>
      <c r="EJ23030"/>
      <c r="EK23030"/>
    </row>
    <row r="23031" spans="1:141" s="116" customFormat="1">
      <c r="A23031" s="136"/>
      <c r="CM23031" s="111"/>
      <c r="CQ23031" s="111"/>
      <c r="EF23031"/>
      <c r="EG23031"/>
      <c r="EH23031"/>
      <c r="EI23031"/>
      <c r="EJ23031"/>
      <c r="EK23031"/>
    </row>
    <row r="23032" spans="1:141" s="116" customFormat="1">
      <c r="A23032" s="136"/>
      <c r="CM23032" s="111"/>
      <c r="CQ23032" s="111"/>
      <c r="EF23032"/>
      <c r="EG23032"/>
      <c r="EH23032"/>
      <c r="EI23032"/>
      <c r="EJ23032"/>
      <c r="EK23032"/>
    </row>
    <row r="23033" spans="1:141" s="116" customFormat="1">
      <c r="A23033" s="136"/>
      <c r="CM23033" s="111"/>
      <c r="CQ23033" s="111"/>
      <c r="EF23033"/>
      <c r="EG23033"/>
      <c r="EH23033"/>
      <c r="EI23033"/>
      <c r="EJ23033"/>
      <c r="EK23033"/>
    </row>
    <row r="23034" spans="1:141" s="116" customFormat="1">
      <c r="A23034" s="136"/>
      <c r="CM23034" s="111"/>
      <c r="CQ23034" s="111"/>
      <c r="EF23034"/>
      <c r="EG23034"/>
      <c r="EH23034"/>
      <c r="EI23034"/>
      <c r="EJ23034"/>
      <c r="EK23034"/>
    </row>
    <row r="23035" spans="1:141" s="116" customFormat="1">
      <c r="A23035" s="136"/>
      <c r="CM23035" s="111"/>
      <c r="CQ23035" s="111"/>
      <c r="EF23035"/>
      <c r="EG23035"/>
      <c r="EH23035"/>
      <c r="EI23035"/>
      <c r="EJ23035"/>
      <c r="EK23035"/>
    </row>
    <row r="23036" spans="1:141" s="116" customFormat="1">
      <c r="A23036" s="136"/>
      <c r="CM23036" s="111"/>
      <c r="CQ23036" s="111"/>
      <c r="EF23036"/>
      <c r="EG23036"/>
      <c r="EH23036"/>
      <c r="EI23036"/>
      <c r="EJ23036"/>
      <c r="EK23036"/>
    </row>
    <row r="23037" spans="1:141" s="116" customFormat="1">
      <c r="A23037" s="136"/>
      <c r="CM23037" s="111"/>
      <c r="CQ23037" s="111"/>
      <c r="EF23037"/>
      <c r="EG23037"/>
      <c r="EH23037"/>
      <c r="EI23037"/>
      <c r="EJ23037"/>
      <c r="EK23037"/>
    </row>
    <row r="23038" spans="1:141" s="116" customFormat="1">
      <c r="A23038" s="136"/>
      <c r="CM23038" s="111"/>
      <c r="CQ23038" s="111"/>
      <c r="EF23038"/>
      <c r="EG23038"/>
      <c r="EH23038"/>
      <c r="EI23038"/>
      <c r="EJ23038"/>
      <c r="EK23038"/>
    </row>
    <row r="23039" spans="1:141" s="116" customFormat="1">
      <c r="A23039" s="136"/>
      <c r="CM23039" s="111"/>
      <c r="CQ23039" s="111"/>
      <c r="EF23039"/>
      <c r="EG23039"/>
      <c r="EH23039"/>
      <c r="EI23039"/>
      <c r="EJ23039"/>
      <c r="EK23039"/>
    </row>
    <row r="23040" spans="1:141" s="116" customFormat="1">
      <c r="A23040" s="136"/>
      <c r="CM23040" s="111"/>
      <c r="CQ23040" s="111"/>
      <c r="EF23040"/>
      <c r="EG23040"/>
      <c r="EH23040"/>
      <c r="EI23040"/>
      <c r="EJ23040"/>
      <c r="EK23040"/>
    </row>
    <row r="23041" spans="1:141" s="116" customFormat="1">
      <c r="A23041" s="136"/>
      <c r="CM23041" s="111"/>
      <c r="CQ23041" s="111"/>
      <c r="EF23041"/>
      <c r="EG23041"/>
      <c r="EH23041"/>
      <c r="EI23041"/>
      <c r="EJ23041"/>
      <c r="EK23041"/>
    </row>
    <row r="23042" spans="1:141" s="116" customFormat="1">
      <c r="A23042" s="136"/>
      <c r="CM23042" s="111"/>
      <c r="CQ23042" s="111"/>
      <c r="EF23042"/>
      <c r="EG23042"/>
      <c r="EH23042"/>
      <c r="EI23042"/>
      <c r="EJ23042"/>
      <c r="EK23042"/>
    </row>
    <row r="23043" spans="1:141" s="116" customFormat="1">
      <c r="A23043" s="136"/>
      <c r="CM23043" s="111"/>
      <c r="CQ23043" s="111"/>
      <c r="EF23043"/>
      <c r="EG23043"/>
      <c r="EH23043"/>
      <c r="EI23043"/>
      <c r="EJ23043"/>
      <c r="EK23043"/>
    </row>
    <row r="23044" spans="1:141" s="116" customFormat="1">
      <c r="A23044" s="136"/>
      <c r="CM23044" s="111"/>
      <c r="CQ23044" s="111"/>
      <c r="EF23044"/>
      <c r="EG23044"/>
      <c r="EH23044"/>
      <c r="EI23044"/>
      <c r="EJ23044"/>
      <c r="EK23044"/>
    </row>
    <row r="23045" spans="1:141" s="116" customFormat="1">
      <c r="A23045" s="136"/>
      <c r="CM23045" s="111"/>
      <c r="CQ23045" s="111"/>
      <c r="EF23045"/>
      <c r="EG23045"/>
      <c r="EH23045"/>
      <c r="EI23045"/>
      <c r="EJ23045"/>
      <c r="EK23045"/>
    </row>
    <row r="23046" spans="1:141" s="116" customFormat="1">
      <c r="A23046" s="136"/>
      <c r="CM23046" s="111"/>
      <c r="CQ23046" s="111"/>
      <c r="EF23046"/>
      <c r="EG23046"/>
      <c r="EH23046"/>
      <c r="EI23046"/>
      <c r="EJ23046"/>
      <c r="EK23046"/>
    </row>
    <row r="23047" spans="1:141" s="116" customFormat="1">
      <c r="A23047" s="136"/>
      <c r="CM23047" s="111"/>
      <c r="CQ23047" s="111"/>
      <c r="EF23047"/>
      <c r="EG23047"/>
      <c r="EH23047"/>
      <c r="EI23047"/>
      <c r="EJ23047"/>
      <c r="EK23047"/>
    </row>
    <row r="23048" spans="1:141" s="116" customFormat="1">
      <c r="A23048" s="136"/>
      <c r="CM23048" s="111"/>
      <c r="CQ23048" s="111"/>
      <c r="EF23048"/>
      <c r="EG23048"/>
      <c r="EH23048"/>
      <c r="EI23048"/>
      <c r="EJ23048"/>
      <c r="EK23048"/>
    </row>
    <row r="23049" spans="1:141" s="116" customFormat="1">
      <c r="A23049" s="136"/>
      <c r="CM23049" s="111"/>
      <c r="CQ23049" s="111"/>
      <c r="EF23049"/>
      <c r="EG23049"/>
      <c r="EH23049"/>
      <c r="EI23049"/>
      <c r="EJ23049"/>
      <c r="EK23049"/>
    </row>
    <row r="23050" spans="1:141" s="116" customFormat="1">
      <c r="A23050" s="136"/>
      <c r="CM23050" s="111"/>
      <c r="CQ23050" s="111"/>
      <c r="EF23050"/>
      <c r="EG23050"/>
      <c r="EH23050"/>
      <c r="EI23050"/>
      <c r="EJ23050"/>
      <c r="EK23050"/>
    </row>
    <row r="23051" spans="1:141" s="116" customFormat="1">
      <c r="A23051" s="136"/>
      <c r="CM23051" s="111"/>
      <c r="CQ23051" s="111"/>
      <c r="EF23051"/>
      <c r="EG23051"/>
      <c r="EH23051"/>
      <c r="EI23051"/>
      <c r="EJ23051"/>
      <c r="EK23051"/>
    </row>
    <row r="23052" spans="1:141" s="116" customFormat="1">
      <c r="A23052" s="136"/>
      <c r="CM23052" s="111"/>
      <c r="CQ23052" s="111"/>
      <c r="EF23052"/>
      <c r="EG23052"/>
      <c r="EH23052"/>
      <c r="EI23052"/>
      <c r="EJ23052"/>
      <c r="EK23052"/>
    </row>
    <row r="23053" spans="1:141" s="116" customFormat="1">
      <c r="A23053" s="136"/>
      <c r="CM23053" s="111"/>
      <c r="CQ23053" s="111"/>
      <c r="EF23053"/>
      <c r="EG23053"/>
      <c r="EH23053"/>
      <c r="EI23053"/>
      <c r="EJ23053"/>
      <c r="EK23053"/>
    </row>
    <row r="23054" spans="1:141" s="116" customFormat="1">
      <c r="A23054" s="136"/>
      <c r="CM23054" s="111"/>
      <c r="CQ23054" s="111"/>
      <c r="EF23054"/>
      <c r="EG23054"/>
      <c r="EH23054"/>
      <c r="EI23054"/>
      <c r="EJ23054"/>
      <c r="EK23054"/>
    </row>
    <row r="23055" spans="1:141" s="116" customFormat="1">
      <c r="A23055" s="136"/>
      <c r="CM23055" s="111"/>
      <c r="CQ23055" s="111"/>
      <c r="EF23055"/>
      <c r="EG23055"/>
      <c r="EH23055"/>
      <c r="EI23055"/>
      <c r="EJ23055"/>
      <c r="EK23055"/>
    </row>
    <row r="23056" spans="1:141" s="116" customFormat="1">
      <c r="A23056" s="136"/>
      <c r="CM23056" s="111"/>
      <c r="CQ23056" s="111"/>
      <c r="EF23056"/>
      <c r="EG23056"/>
      <c r="EH23056"/>
      <c r="EI23056"/>
      <c r="EJ23056"/>
      <c r="EK23056"/>
    </row>
    <row r="23057" spans="1:141" s="116" customFormat="1">
      <c r="A23057" s="136"/>
      <c r="CM23057" s="111"/>
      <c r="CQ23057" s="111"/>
      <c r="EF23057"/>
      <c r="EG23057"/>
      <c r="EH23057"/>
      <c r="EI23057"/>
      <c r="EJ23057"/>
      <c r="EK23057"/>
    </row>
    <row r="23058" spans="1:141" s="116" customFormat="1">
      <c r="A23058" s="136"/>
      <c r="CM23058" s="111"/>
      <c r="CQ23058" s="111"/>
      <c r="EF23058"/>
      <c r="EG23058"/>
      <c r="EH23058"/>
      <c r="EI23058"/>
      <c r="EJ23058"/>
      <c r="EK23058"/>
    </row>
    <row r="23059" spans="1:141" s="116" customFormat="1">
      <c r="A23059" s="136"/>
      <c r="CM23059" s="111"/>
      <c r="CQ23059" s="111"/>
      <c r="EF23059"/>
      <c r="EG23059"/>
      <c r="EH23059"/>
      <c r="EI23059"/>
      <c r="EJ23059"/>
      <c r="EK23059"/>
    </row>
    <row r="23060" spans="1:141" s="116" customFormat="1">
      <c r="A23060" s="136"/>
      <c r="CM23060" s="111"/>
      <c r="CQ23060" s="111"/>
      <c r="EF23060"/>
      <c r="EG23060"/>
      <c r="EH23060"/>
      <c r="EI23060"/>
      <c r="EJ23060"/>
      <c r="EK23060"/>
    </row>
    <row r="23061" spans="1:141" s="116" customFormat="1">
      <c r="A23061" s="136"/>
      <c r="CM23061" s="111"/>
      <c r="CQ23061" s="111"/>
      <c r="EF23061"/>
      <c r="EG23061"/>
      <c r="EH23061"/>
      <c r="EI23061"/>
      <c r="EJ23061"/>
      <c r="EK23061"/>
    </row>
    <row r="23062" spans="1:141" s="116" customFormat="1">
      <c r="A23062" s="136"/>
      <c r="CM23062" s="111"/>
      <c r="CQ23062" s="111"/>
      <c r="EF23062"/>
      <c r="EG23062"/>
      <c r="EH23062"/>
      <c r="EI23062"/>
      <c r="EJ23062"/>
      <c r="EK23062"/>
    </row>
    <row r="23063" spans="1:141" s="116" customFormat="1">
      <c r="A23063" s="136"/>
      <c r="CM23063" s="111"/>
      <c r="CQ23063" s="111"/>
      <c r="EF23063"/>
      <c r="EG23063"/>
      <c r="EH23063"/>
      <c r="EI23063"/>
      <c r="EJ23063"/>
      <c r="EK23063"/>
    </row>
    <row r="23064" spans="1:141" s="116" customFormat="1">
      <c r="A23064" s="136"/>
      <c r="CM23064" s="111"/>
      <c r="CQ23064" s="111"/>
      <c r="EF23064"/>
      <c r="EG23064"/>
      <c r="EH23064"/>
      <c r="EI23064"/>
      <c r="EJ23064"/>
      <c r="EK23064"/>
    </row>
    <row r="23065" spans="1:141" s="116" customFormat="1">
      <c r="A23065" s="136"/>
      <c r="CM23065" s="111"/>
      <c r="CQ23065" s="111"/>
      <c r="EF23065"/>
      <c r="EG23065"/>
      <c r="EH23065"/>
      <c r="EI23065"/>
      <c r="EJ23065"/>
      <c r="EK23065"/>
    </row>
    <row r="23066" spans="1:141" s="116" customFormat="1">
      <c r="A23066" s="136"/>
      <c r="CM23066" s="111"/>
      <c r="CQ23066" s="111"/>
      <c r="EF23066"/>
      <c r="EG23066"/>
      <c r="EH23066"/>
      <c r="EI23066"/>
      <c r="EJ23066"/>
      <c r="EK23066"/>
    </row>
    <row r="23067" spans="1:141" s="116" customFormat="1">
      <c r="A23067" s="136"/>
      <c r="CM23067" s="111"/>
      <c r="CQ23067" s="111"/>
      <c r="EF23067"/>
      <c r="EG23067"/>
      <c r="EH23067"/>
      <c r="EI23067"/>
      <c r="EJ23067"/>
      <c r="EK23067"/>
    </row>
    <row r="23068" spans="1:141" s="116" customFormat="1">
      <c r="A23068" s="136"/>
      <c r="CM23068" s="111"/>
      <c r="CQ23068" s="111"/>
      <c r="EF23068"/>
      <c r="EG23068"/>
      <c r="EH23068"/>
      <c r="EI23068"/>
      <c r="EJ23068"/>
      <c r="EK23068"/>
    </row>
    <row r="23069" spans="1:141" s="116" customFormat="1">
      <c r="A23069" s="136"/>
      <c r="CM23069" s="111"/>
      <c r="CQ23069" s="111"/>
      <c r="EF23069"/>
      <c r="EG23069"/>
      <c r="EH23069"/>
      <c r="EI23069"/>
      <c r="EJ23069"/>
      <c r="EK23069"/>
    </row>
    <row r="23070" spans="1:141" s="116" customFormat="1">
      <c r="A23070" s="136"/>
      <c r="CM23070" s="111"/>
      <c r="CQ23070" s="111"/>
      <c r="EF23070"/>
      <c r="EG23070"/>
      <c r="EH23070"/>
      <c r="EI23070"/>
      <c r="EJ23070"/>
      <c r="EK23070"/>
    </row>
    <row r="23071" spans="1:141" s="116" customFormat="1">
      <c r="A23071" s="136"/>
      <c r="CM23071" s="111"/>
      <c r="CQ23071" s="111"/>
      <c r="EF23071"/>
      <c r="EG23071"/>
      <c r="EH23071"/>
      <c r="EI23071"/>
      <c r="EJ23071"/>
      <c r="EK23071"/>
    </row>
    <row r="23072" spans="1:141" s="116" customFormat="1">
      <c r="A23072" s="136"/>
      <c r="CM23072" s="111"/>
      <c r="CQ23072" s="111"/>
      <c r="EF23072"/>
      <c r="EG23072"/>
      <c r="EH23072"/>
      <c r="EI23072"/>
      <c r="EJ23072"/>
      <c r="EK23072"/>
    </row>
    <row r="23073" spans="1:141" s="116" customFormat="1">
      <c r="A23073" s="136"/>
      <c r="CM23073" s="111"/>
      <c r="CQ23073" s="111"/>
      <c r="EF23073"/>
      <c r="EG23073"/>
      <c r="EH23073"/>
      <c r="EI23073"/>
      <c r="EJ23073"/>
      <c r="EK23073"/>
    </row>
    <row r="23074" spans="1:141" s="116" customFormat="1">
      <c r="A23074" s="136"/>
      <c r="CM23074" s="111"/>
      <c r="CQ23074" s="111"/>
      <c r="EF23074"/>
      <c r="EG23074"/>
      <c r="EH23074"/>
      <c r="EI23074"/>
      <c r="EJ23074"/>
      <c r="EK23074"/>
    </row>
    <row r="23075" spans="1:141" s="116" customFormat="1">
      <c r="A23075" s="136"/>
      <c r="CM23075" s="111"/>
      <c r="CQ23075" s="111"/>
      <c r="EF23075"/>
      <c r="EG23075"/>
      <c r="EH23075"/>
      <c r="EI23075"/>
      <c r="EJ23075"/>
      <c r="EK23075"/>
    </row>
    <row r="23076" spans="1:141" s="116" customFormat="1">
      <c r="A23076" s="136"/>
      <c r="CM23076" s="111"/>
      <c r="CQ23076" s="111"/>
      <c r="EF23076"/>
      <c r="EG23076"/>
      <c r="EH23076"/>
      <c r="EI23076"/>
      <c r="EJ23076"/>
      <c r="EK23076"/>
    </row>
    <row r="23077" spans="1:141" s="116" customFormat="1">
      <c r="A23077" s="136"/>
      <c r="CM23077" s="111"/>
      <c r="CQ23077" s="111"/>
      <c r="EF23077"/>
      <c r="EG23077"/>
      <c r="EH23077"/>
      <c r="EI23077"/>
      <c r="EJ23077"/>
      <c r="EK23077"/>
    </row>
    <row r="23078" spans="1:141" s="116" customFormat="1">
      <c r="A23078" s="136"/>
      <c r="CM23078" s="111"/>
      <c r="CQ23078" s="111"/>
      <c r="EF23078"/>
      <c r="EG23078"/>
      <c r="EH23078"/>
      <c r="EI23078"/>
      <c r="EJ23078"/>
      <c r="EK23078"/>
    </row>
    <row r="23079" spans="1:141" s="116" customFormat="1">
      <c r="A23079" s="136"/>
      <c r="CM23079" s="111"/>
      <c r="CQ23079" s="111"/>
      <c r="EF23079"/>
      <c r="EG23079"/>
      <c r="EH23079"/>
      <c r="EI23079"/>
      <c r="EJ23079"/>
      <c r="EK23079"/>
    </row>
    <row r="23080" spans="1:141" s="116" customFormat="1">
      <c r="A23080" s="136"/>
      <c r="CM23080" s="111"/>
      <c r="CQ23080" s="111"/>
      <c r="EF23080"/>
      <c r="EG23080"/>
      <c r="EH23080"/>
      <c r="EI23080"/>
      <c r="EJ23080"/>
      <c r="EK23080"/>
    </row>
    <row r="23081" spans="1:141" s="116" customFormat="1">
      <c r="A23081" s="136"/>
      <c r="CM23081" s="111"/>
      <c r="CQ23081" s="111"/>
      <c r="EF23081"/>
      <c r="EG23081"/>
      <c r="EH23081"/>
      <c r="EI23081"/>
      <c r="EJ23081"/>
      <c r="EK23081"/>
    </row>
    <row r="23082" spans="1:141" s="116" customFormat="1">
      <c r="A23082" s="136"/>
      <c r="CM23082" s="111"/>
      <c r="CQ23082" s="111"/>
      <c r="EF23082"/>
      <c r="EG23082"/>
      <c r="EH23082"/>
      <c r="EI23082"/>
      <c r="EJ23082"/>
      <c r="EK23082"/>
    </row>
    <row r="23083" spans="1:141" s="116" customFormat="1">
      <c r="A23083" s="136"/>
      <c r="CM23083" s="111"/>
      <c r="CQ23083" s="111"/>
      <c r="EF23083"/>
      <c r="EG23083"/>
      <c r="EH23083"/>
      <c r="EI23083"/>
      <c r="EJ23083"/>
      <c r="EK23083"/>
    </row>
    <row r="23084" spans="1:141" s="116" customFormat="1">
      <c r="A23084" s="136"/>
      <c r="CM23084" s="111"/>
      <c r="CQ23084" s="111"/>
      <c r="EF23084"/>
      <c r="EG23084"/>
      <c r="EH23084"/>
      <c r="EI23084"/>
      <c r="EJ23084"/>
      <c r="EK23084"/>
    </row>
    <row r="23085" spans="1:141" s="116" customFormat="1">
      <c r="A23085" s="136"/>
      <c r="CM23085" s="111"/>
      <c r="CQ23085" s="111"/>
      <c r="EF23085"/>
      <c r="EG23085"/>
      <c r="EH23085"/>
      <c r="EI23085"/>
      <c r="EJ23085"/>
      <c r="EK23085"/>
    </row>
    <row r="23086" spans="1:141" s="116" customFormat="1">
      <c r="A23086" s="136"/>
      <c r="CM23086" s="111"/>
      <c r="CQ23086" s="111"/>
      <c r="EF23086"/>
      <c r="EG23086"/>
      <c r="EH23086"/>
      <c r="EI23086"/>
      <c r="EJ23086"/>
      <c r="EK23086"/>
    </row>
    <row r="23087" spans="1:141" s="116" customFormat="1">
      <c r="A23087" s="136"/>
      <c r="CM23087" s="111"/>
      <c r="CQ23087" s="111"/>
      <c r="EF23087"/>
      <c r="EG23087"/>
      <c r="EH23087"/>
      <c r="EI23087"/>
      <c r="EJ23087"/>
      <c r="EK23087"/>
    </row>
    <row r="23088" spans="1:141" s="116" customFormat="1">
      <c r="A23088" s="136"/>
      <c r="CM23088" s="111"/>
      <c r="CQ23088" s="111"/>
      <c r="EF23088"/>
      <c r="EG23088"/>
      <c r="EH23088"/>
      <c r="EI23088"/>
      <c r="EJ23088"/>
      <c r="EK23088"/>
    </row>
    <row r="23089" spans="1:141" s="116" customFormat="1">
      <c r="A23089" s="136"/>
      <c r="CM23089" s="111"/>
      <c r="CQ23089" s="111"/>
      <c r="EF23089"/>
      <c r="EG23089"/>
      <c r="EH23089"/>
      <c r="EI23089"/>
      <c r="EJ23089"/>
      <c r="EK23089"/>
    </row>
    <row r="23090" spans="1:141" s="116" customFormat="1">
      <c r="A23090" s="136"/>
      <c r="CM23090" s="111"/>
      <c r="CQ23090" s="111"/>
      <c r="EF23090"/>
      <c r="EG23090"/>
      <c r="EH23090"/>
      <c r="EI23090"/>
      <c r="EJ23090"/>
      <c r="EK23090"/>
    </row>
    <row r="23091" spans="1:141" s="116" customFormat="1">
      <c r="A23091" s="136"/>
      <c r="CM23091" s="111"/>
      <c r="CQ23091" s="111"/>
      <c r="EF23091"/>
      <c r="EG23091"/>
      <c r="EH23091"/>
      <c r="EI23091"/>
      <c r="EJ23091"/>
      <c r="EK23091"/>
    </row>
    <row r="23092" spans="1:141" s="116" customFormat="1">
      <c r="A23092" s="136"/>
      <c r="CM23092" s="111"/>
      <c r="CQ23092" s="111"/>
      <c r="EF23092"/>
      <c r="EG23092"/>
      <c r="EH23092"/>
      <c r="EI23092"/>
      <c r="EJ23092"/>
      <c r="EK23092"/>
    </row>
    <row r="23093" spans="1:141" s="116" customFormat="1">
      <c r="A23093" s="136"/>
      <c r="CM23093" s="111"/>
      <c r="CQ23093" s="111"/>
      <c r="EF23093"/>
      <c r="EG23093"/>
      <c r="EH23093"/>
      <c r="EI23093"/>
      <c r="EJ23093"/>
      <c r="EK23093"/>
    </row>
    <row r="23094" spans="1:141" s="116" customFormat="1">
      <c r="A23094" s="136"/>
      <c r="CM23094" s="111"/>
      <c r="CQ23094" s="111"/>
      <c r="EF23094"/>
      <c r="EG23094"/>
      <c r="EH23094"/>
      <c r="EI23094"/>
      <c r="EJ23094"/>
      <c r="EK23094"/>
    </row>
    <row r="23095" spans="1:141" s="116" customFormat="1">
      <c r="A23095" s="136"/>
      <c r="CM23095" s="111"/>
      <c r="CQ23095" s="111"/>
      <c r="EF23095"/>
      <c r="EG23095"/>
      <c r="EH23095"/>
      <c r="EI23095"/>
      <c r="EJ23095"/>
      <c r="EK23095"/>
    </row>
    <row r="23096" spans="1:141" s="116" customFormat="1">
      <c r="A23096" s="136"/>
      <c r="CM23096" s="111"/>
      <c r="CQ23096" s="111"/>
      <c r="EF23096"/>
      <c r="EG23096"/>
      <c r="EH23096"/>
      <c r="EI23096"/>
      <c r="EJ23096"/>
      <c r="EK23096"/>
    </row>
    <row r="23097" spans="1:141" s="116" customFormat="1">
      <c r="A23097" s="136"/>
      <c r="CM23097" s="111"/>
      <c r="CQ23097" s="111"/>
      <c r="EF23097"/>
      <c r="EG23097"/>
      <c r="EH23097"/>
      <c r="EI23097"/>
      <c r="EJ23097"/>
      <c r="EK23097"/>
    </row>
    <row r="23098" spans="1:141" s="116" customFormat="1">
      <c r="A23098" s="136"/>
      <c r="CM23098" s="111"/>
      <c r="CQ23098" s="111"/>
      <c r="EF23098"/>
      <c r="EG23098"/>
      <c r="EH23098"/>
      <c r="EI23098"/>
      <c r="EJ23098"/>
      <c r="EK23098"/>
    </row>
    <row r="23099" spans="1:141" s="116" customFormat="1">
      <c r="A23099" s="136"/>
      <c r="CM23099" s="111"/>
      <c r="CQ23099" s="111"/>
      <c r="EF23099"/>
      <c r="EG23099"/>
      <c r="EH23099"/>
      <c r="EI23099"/>
      <c r="EJ23099"/>
      <c r="EK23099"/>
    </row>
    <row r="23100" spans="1:141" s="116" customFormat="1">
      <c r="A23100" s="136"/>
      <c r="CM23100" s="111"/>
      <c r="CQ23100" s="111"/>
      <c r="EF23100"/>
      <c r="EG23100"/>
      <c r="EH23100"/>
      <c r="EI23100"/>
      <c r="EJ23100"/>
      <c r="EK23100"/>
    </row>
    <row r="23101" spans="1:141" s="116" customFormat="1">
      <c r="A23101" s="136"/>
      <c r="CM23101" s="111"/>
      <c r="CQ23101" s="111"/>
      <c r="EF23101"/>
      <c r="EG23101"/>
      <c r="EH23101"/>
      <c r="EI23101"/>
      <c r="EJ23101"/>
      <c r="EK23101"/>
    </row>
    <row r="23102" spans="1:141" s="116" customFormat="1">
      <c r="A23102" s="136"/>
      <c r="CM23102" s="111"/>
      <c r="CQ23102" s="111"/>
      <c r="EF23102"/>
      <c r="EG23102"/>
      <c r="EH23102"/>
      <c r="EI23102"/>
      <c r="EJ23102"/>
      <c r="EK23102"/>
    </row>
    <row r="23103" spans="1:141" s="116" customFormat="1">
      <c r="A23103" s="136"/>
      <c r="CM23103" s="111"/>
      <c r="CQ23103" s="111"/>
      <c r="EF23103"/>
      <c r="EG23103"/>
      <c r="EH23103"/>
      <c r="EI23103"/>
      <c r="EJ23103"/>
      <c r="EK23103"/>
    </row>
    <row r="23104" spans="1:141" s="116" customFormat="1">
      <c r="A23104" s="136"/>
      <c r="CM23104" s="111"/>
      <c r="CQ23104" s="111"/>
      <c r="EF23104"/>
      <c r="EG23104"/>
      <c r="EH23104"/>
      <c r="EI23104"/>
      <c r="EJ23104"/>
      <c r="EK23104"/>
    </row>
    <row r="23105" spans="1:141" s="116" customFormat="1">
      <c r="A23105" s="136"/>
      <c r="CM23105" s="111"/>
      <c r="CQ23105" s="111"/>
      <c r="EF23105"/>
      <c r="EG23105"/>
      <c r="EH23105"/>
      <c r="EI23105"/>
      <c r="EJ23105"/>
      <c r="EK23105"/>
    </row>
    <row r="23106" spans="1:141" s="116" customFormat="1">
      <c r="A23106" s="136"/>
      <c r="CM23106" s="111"/>
      <c r="CQ23106" s="111"/>
      <c r="EF23106"/>
      <c r="EG23106"/>
      <c r="EH23106"/>
      <c r="EI23106"/>
      <c r="EJ23106"/>
      <c r="EK23106"/>
    </row>
    <row r="23107" spans="1:141" s="116" customFormat="1">
      <c r="A23107" s="136"/>
      <c r="CM23107" s="111"/>
      <c r="CQ23107" s="111"/>
      <c r="EF23107"/>
      <c r="EG23107"/>
      <c r="EH23107"/>
      <c r="EI23107"/>
      <c r="EJ23107"/>
      <c r="EK23107"/>
    </row>
    <row r="23108" spans="1:141" s="116" customFormat="1">
      <c r="A23108" s="136"/>
      <c r="CM23108" s="111"/>
      <c r="CQ23108" s="111"/>
      <c r="EF23108"/>
      <c r="EG23108"/>
      <c r="EH23108"/>
      <c r="EI23108"/>
      <c r="EJ23108"/>
      <c r="EK23108"/>
    </row>
    <row r="23109" spans="1:141" s="116" customFormat="1">
      <c r="A23109" s="136"/>
      <c r="CM23109" s="111"/>
      <c r="CQ23109" s="111"/>
      <c r="EF23109"/>
      <c r="EG23109"/>
      <c r="EH23109"/>
      <c r="EI23109"/>
      <c r="EJ23109"/>
      <c r="EK23109"/>
    </row>
    <row r="23110" spans="1:141" s="116" customFormat="1">
      <c r="A23110" s="136"/>
      <c r="CM23110" s="111"/>
      <c r="CQ23110" s="111"/>
      <c r="EF23110"/>
      <c r="EG23110"/>
      <c r="EH23110"/>
      <c r="EI23110"/>
      <c r="EJ23110"/>
      <c r="EK23110"/>
    </row>
    <row r="23111" spans="1:141" s="116" customFormat="1">
      <c r="A23111" s="136"/>
      <c r="CM23111" s="111"/>
      <c r="CQ23111" s="111"/>
      <c r="EF23111"/>
      <c r="EG23111"/>
      <c r="EH23111"/>
      <c r="EI23111"/>
      <c r="EJ23111"/>
      <c r="EK23111"/>
    </row>
    <row r="23112" spans="1:141" s="116" customFormat="1">
      <c r="A23112" s="136"/>
      <c r="CM23112" s="111"/>
      <c r="CQ23112" s="111"/>
      <c r="EF23112"/>
      <c r="EG23112"/>
      <c r="EH23112"/>
      <c r="EI23112"/>
      <c r="EJ23112"/>
      <c r="EK23112"/>
    </row>
    <row r="23113" spans="1:141" s="116" customFormat="1">
      <c r="A23113" s="136"/>
      <c r="CM23113" s="111"/>
      <c r="CQ23113" s="111"/>
      <c r="EF23113"/>
      <c r="EG23113"/>
      <c r="EH23113"/>
      <c r="EI23113"/>
      <c r="EJ23113"/>
      <c r="EK23113"/>
    </row>
    <row r="23114" spans="1:141" s="116" customFormat="1">
      <c r="A23114" s="136"/>
      <c r="CM23114" s="111"/>
      <c r="CQ23114" s="111"/>
      <c r="EF23114"/>
      <c r="EG23114"/>
      <c r="EH23114"/>
      <c r="EI23114"/>
      <c r="EJ23114"/>
      <c r="EK23114"/>
    </row>
    <row r="23115" spans="1:141" s="116" customFormat="1">
      <c r="A23115" s="136"/>
      <c r="CM23115" s="111"/>
      <c r="CQ23115" s="111"/>
      <c r="EF23115"/>
      <c r="EG23115"/>
      <c r="EH23115"/>
      <c r="EI23115"/>
      <c r="EJ23115"/>
      <c r="EK23115"/>
    </row>
    <row r="23116" spans="1:141" s="116" customFormat="1">
      <c r="A23116" s="136"/>
      <c r="CM23116" s="111"/>
      <c r="CQ23116" s="111"/>
      <c r="EF23116"/>
      <c r="EG23116"/>
      <c r="EH23116"/>
      <c r="EI23116"/>
      <c r="EJ23116"/>
      <c r="EK23116"/>
    </row>
    <row r="23117" spans="1:141" s="116" customFormat="1">
      <c r="A23117" s="136"/>
      <c r="CM23117" s="111"/>
      <c r="CQ23117" s="111"/>
      <c r="EF23117"/>
      <c r="EG23117"/>
      <c r="EH23117"/>
      <c r="EI23117"/>
      <c r="EJ23117"/>
      <c r="EK23117"/>
    </row>
    <row r="23118" spans="1:141" s="116" customFormat="1">
      <c r="A23118" s="136"/>
      <c r="CM23118" s="111"/>
      <c r="CQ23118" s="111"/>
      <c r="EF23118"/>
      <c r="EG23118"/>
      <c r="EH23118"/>
      <c r="EI23118"/>
      <c r="EJ23118"/>
      <c r="EK23118"/>
    </row>
    <row r="23119" spans="1:141" s="116" customFormat="1">
      <c r="A23119" s="136"/>
      <c r="CM23119" s="111"/>
      <c r="CQ23119" s="111"/>
      <c r="EF23119"/>
      <c r="EG23119"/>
      <c r="EH23119"/>
      <c r="EI23119"/>
      <c r="EJ23119"/>
      <c r="EK23119"/>
    </row>
    <row r="23120" spans="1:141" s="116" customFormat="1">
      <c r="A23120" s="136"/>
      <c r="CM23120" s="111"/>
      <c r="CQ23120" s="111"/>
      <c r="EF23120"/>
      <c r="EG23120"/>
      <c r="EH23120"/>
      <c r="EI23120"/>
      <c r="EJ23120"/>
      <c r="EK23120"/>
    </row>
    <row r="23121" spans="1:141" s="116" customFormat="1">
      <c r="A23121" s="136"/>
      <c r="CM23121" s="111"/>
      <c r="CQ23121" s="111"/>
      <c r="EF23121"/>
      <c r="EG23121"/>
      <c r="EH23121"/>
      <c r="EI23121"/>
      <c r="EJ23121"/>
      <c r="EK23121"/>
    </row>
    <row r="23122" spans="1:141" s="116" customFormat="1">
      <c r="A23122" s="136"/>
      <c r="CM23122" s="111"/>
      <c r="CQ23122" s="111"/>
      <c r="EF23122"/>
      <c r="EG23122"/>
      <c r="EH23122"/>
      <c r="EI23122"/>
      <c r="EJ23122"/>
      <c r="EK23122"/>
    </row>
    <row r="23123" spans="1:141" s="116" customFormat="1">
      <c r="A23123" s="136"/>
      <c r="CM23123" s="111"/>
      <c r="CQ23123" s="111"/>
      <c r="EF23123"/>
      <c r="EG23123"/>
      <c r="EH23123"/>
      <c r="EI23123"/>
      <c r="EJ23123"/>
      <c r="EK23123"/>
    </row>
    <row r="23124" spans="1:141" s="116" customFormat="1">
      <c r="A23124" s="136"/>
      <c r="CM23124" s="111"/>
      <c r="CQ23124" s="111"/>
      <c r="EF23124"/>
      <c r="EG23124"/>
      <c r="EH23124"/>
      <c r="EI23124"/>
      <c r="EJ23124"/>
      <c r="EK23124"/>
    </row>
    <row r="23125" spans="1:141" s="116" customFormat="1">
      <c r="A23125" s="136"/>
      <c r="CM23125" s="111"/>
      <c r="CQ23125" s="111"/>
      <c r="EF23125"/>
      <c r="EG23125"/>
      <c r="EH23125"/>
      <c r="EI23125"/>
      <c r="EJ23125"/>
      <c r="EK23125"/>
    </row>
    <row r="23126" spans="1:141" s="116" customFormat="1">
      <c r="A23126" s="136"/>
      <c r="CM23126" s="111"/>
      <c r="CQ23126" s="111"/>
      <c r="EF23126"/>
      <c r="EG23126"/>
      <c r="EH23126"/>
      <c r="EI23126"/>
      <c r="EJ23126"/>
      <c r="EK23126"/>
    </row>
    <row r="23127" spans="1:141" s="116" customFormat="1">
      <c r="A23127" s="136"/>
      <c r="CM23127" s="111"/>
      <c r="CQ23127" s="111"/>
      <c r="EF23127"/>
      <c r="EG23127"/>
      <c r="EH23127"/>
      <c r="EI23127"/>
      <c r="EJ23127"/>
      <c r="EK23127"/>
    </row>
    <row r="23128" spans="1:141" s="116" customFormat="1">
      <c r="A23128" s="136"/>
      <c r="CM23128" s="111"/>
      <c r="CQ23128" s="111"/>
      <c r="EF23128"/>
      <c r="EG23128"/>
      <c r="EH23128"/>
      <c r="EI23128"/>
      <c r="EJ23128"/>
      <c r="EK23128"/>
    </row>
    <row r="23129" spans="1:141" s="116" customFormat="1">
      <c r="A23129" s="136"/>
      <c r="CM23129" s="111"/>
      <c r="CQ23129" s="111"/>
      <c r="EF23129"/>
      <c r="EG23129"/>
      <c r="EH23129"/>
      <c r="EI23129"/>
      <c r="EJ23129"/>
      <c r="EK23129"/>
    </row>
    <row r="23130" spans="1:141" s="116" customFormat="1">
      <c r="A23130" s="136"/>
      <c r="CM23130" s="111"/>
      <c r="CQ23130" s="111"/>
      <c r="EF23130"/>
      <c r="EG23130"/>
      <c r="EH23130"/>
      <c r="EI23130"/>
      <c r="EJ23130"/>
      <c r="EK23130"/>
    </row>
    <row r="23131" spans="1:141" s="116" customFormat="1">
      <c r="A23131" s="136"/>
      <c r="CM23131" s="111"/>
      <c r="CQ23131" s="111"/>
      <c r="EF23131"/>
      <c r="EG23131"/>
      <c r="EH23131"/>
      <c r="EI23131"/>
      <c r="EJ23131"/>
      <c r="EK23131"/>
    </row>
    <row r="23132" spans="1:141" s="116" customFormat="1">
      <c r="A23132" s="136"/>
      <c r="CM23132" s="111"/>
      <c r="CQ23132" s="111"/>
      <c r="EF23132"/>
      <c r="EG23132"/>
      <c r="EH23132"/>
      <c r="EI23132"/>
      <c r="EJ23132"/>
      <c r="EK23132"/>
    </row>
    <row r="23133" spans="1:141" s="116" customFormat="1">
      <c r="A23133" s="136"/>
      <c r="CM23133" s="111"/>
      <c r="CQ23133" s="111"/>
      <c r="EF23133"/>
      <c r="EG23133"/>
      <c r="EH23133"/>
      <c r="EI23133"/>
      <c r="EJ23133"/>
      <c r="EK23133"/>
    </row>
    <row r="23134" spans="1:141" s="116" customFormat="1">
      <c r="A23134" s="136"/>
      <c r="CM23134" s="111"/>
      <c r="CQ23134" s="111"/>
      <c r="EF23134"/>
      <c r="EG23134"/>
      <c r="EH23134"/>
      <c r="EI23134"/>
      <c r="EJ23134"/>
      <c r="EK23134"/>
    </row>
    <row r="23135" spans="1:141" s="116" customFormat="1">
      <c r="A23135" s="136"/>
      <c r="CM23135" s="111"/>
      <c r="CQ23135" s="111"/>
      <c r="EF23135"/>
      <c r="EG23135"/>
      <c r="EH23135"/>
      <c r="EI23135"/>
      <c r="EJ23135"/>
      <c r="EK23135"/>
    </row>
    <row r="23136" spans="1:141" s="116" customFormat="1">
      <c r="A23136" s="136"/>
      <c r="CM23136" s="111"/>
      <c r="CQ23136" s="111"/>
      <c r="EF23136"/>
      <c r="EG23136"/>
      <c r="EH23136"/>
      <c r="EI23136"/>
      <c r="EJ23136"/>
      <c r="EK23136"/>
    </row>
    <row r="23137" spans="1:141" s="116" customFormat="1">
      <c r="A23137" s="136"/>
      <c r="CM23137" s="111"/>
      <c r="CQ23137" s="111"/>
      <c r="EF23137"/>
      <c r="EG23137"/>
      <c r="EH23137"/>
      <c r="EI23137"/>
      <c r="EJ23137"/>
      <c r="EK23137"/>
    </row>
    <row r="23138" spans="1:141" s="116" customFormat="1">
      <c r="A23138" s="136"/>
      <c r="CM23138" s="111"/>
      <c r="CQ23138" s="111"/>
      <c r="EF23138"/>
      <c r="EG23138"/>
      <c r="EH23138"/>
      <c r="EI23138"/>
      <c r="EJ23138"/>
      <c r="EK23138"/>
    </row>
    <row r="23139" spans="1:141" s="116" customFormat="1">
      <c r="A23139" s="136"/>
      <c r="CM23139" s="111"/>
      <c r="CQ23139" s="111"/>
      <c r="EF23139"/>
      <c r="EG23139"/>
      <c r="EH23139"/>
      <c r="EI23139"/>
      <c r="EJ23139"/>
      <c r="EK23139"/>
    </row>
    <row r="23140" spans="1:141" s="116" customFormat="1">
      <c r="A23140" s="136"/>
      <c r="CM23140" s="111"/>
      <c r="CQ23140" s="111"/>
      <c r="EF23140"/>
      <c r="EG23140"/>
      <c r="EH23140"/>
      <c r="EI23140"/>
      <c r="EJ23140"/>
      <c r="EK23140"/>
    </row>
    <row r="23141" spans="1:141" s="116" customFormat="1">
      <c r="A23141" s="136"/>
      <c r="CM23141" s="111"/>
      <c r="CQ23141" s="111"/>
      <c r="EF23141"/>
      <c r="EG23141"/>
      <c r="EH23141"/>
      <c r="EI23141"/>
      <c r="EJ23141"/>
      <c r="EK23141"/>
    </row>
    <row r="23142" spans="1:141" s="116" customFormat="1">
      <c r="A23142" s="136"/>
      <c r="CM23142" s="111"/>
      <c r="CQ23142" s="111"/>
      <c r="EF23142"/>
      <c r="EG23142"/>
      <c r="EH23142"/>
      <c r="EI23142"/>
      <c r="EJ23142"/>
      <c r="EK23142"/>
    </row>
    <row r="23143" spans="1:141" s="116" customFormat="1">
      <c r="A23143" s="136"/>
      <c r="CM23143" s="111"/>
      <c r="CQ23143" s="111"/>
      <c r="EF23143"/>
      <c r="EG23143"/>
      <c r="EH23143"/>
      <c r="EI23143"/>
      <c r="EJ23143"/>
      <c r="EK23143"/>
    </row>
    <row r="23144" spans="1:141" s="116" customFormat="1">
      <c r="A23144" s="136"/>
      <c r="CM23144" s="111"/>
      <c r="CQ23144" s="111"/>
      <c r="EF23144"/>
      <c r="EG23144"/>
      <c r="EH23144"/>
      <c r="EI23144"/>
      <c r="EJ23144"/>
      <c r="EK23144"/>
    </row>
    <row r="23145" spans="1:141" s="116" customFormat="1">
      <c r="A23145" s="136"/>
      <c r="CM23145" s="111"/>
      <c r="CQ23145" s="111"/>
      <c r="EF23145"/>
      <c r="EG23145"/>
      <c r="EH23145"/>
      <c r="EI23145"/>
      <c r="EJ23145"/>
      <c r="EK23145"/>
    </row>
    <row r="23146" spans="1:141" s="116" customFormat="1">
      <c r="A23146" s="136"/>
      <c r="CM23146" s="111"/>
      <c r="CQ23146" s="111"/>
      <c r="EF23146"/>
      <c r="EG23146"/>
      <c r="EH23146"/>
      <c r="EI23146"/>
      <c r="EJ23146"/>
      <c r="EK23146"/>
    </row>
    <row r="23147" spans="1:141" s="116" customFormat="1">
      <c r="A23147" s="136"/>
      <c r="CM23147" s="111"/>
      <c r="CQ23147" s="111"/>
      <c r="EF23147"/>
      <c r="EG23147"/>
      <c r="EH23147"/>
      <c r="EI23147"/>
      <c r="EJ23147"/>
      <c r="EK23147"/>
    </row>
    <row r="23148" spans="1:141" s="116" customFormat="1">
      <c r="A23148" s="136"/>
      <c r="CM23148" s="111"/>
      <c r="CQ23148" s="111"/>
      <c r="EF23148"/>
      <c r="EG23148"/>
      <c r="EH23148"/>
      <c r="EI23148"/>
      <c r="EJ23148"/>
      <c r="EK23148"/>
    </row>
    <row r="23149" spans="1:141" s="116" customFormat="1">
      <c r="A23149" s="136"/>
      <c r="CM23149" s="111"/>
      <c r="CQ23149" s="111"/>
      <c r="EF23149"/>
      <c r="EG23149"/>
      <c r="EH23149"/>
      <c r="EI23149"/>
      <c r="EJ23149"/>
      <c r="EK23149"/>
    </row>
    <row r="23150" spans="1:141" s="116" customFormat="1">
      <c r="A23150" s="136"/>
      <c r="CM23150" s="111"/>
      <c r="CQ23150" s="111"/>
      <c r="EF23150"/>
      <c r="EG23150"/>
      <c r="EH23150"/>
      <c r="EI23150"/>
      <c r="EJ23150"/>
      <c r="EK23150"/>
    </row>
    <row r="23151" spans="1:141" s="116" customFormat="1">
      <c r="A23151" s="136"/>
      <c r="CM23151" s="111"/>
      <c r="CQ23151" s="111"/>
      <c r="EF23151"/>
      <c r="EG23151"/>
      <c r="EH23151"/>
      <c r="EI23151"/>
      <c r="EJ23151"/>
      <c r="EK23151"/>
    </row>
    <row r="23152" spans="1:141" s="116" customFormat="1">
      <c r="A23152" s="136"/>
      <c r="CM23152" s="111"/>
      <c r="CQ23152" s="111"/>
      <c r="EF23152"/>
      <c r="EG23152"/>
      <c r="EH23152"/>
      <c r="EI23152"/>
      <c r="EJ23152"/>
      <c r="EK23152"/>
    </row>
    <row r="23153" spans="1:141" s="116" customFormat="1">
      <c r="A23153" s="136"/>
      <c r="CM23153" s="111"/>
      <c r="CQ23153" s="111"/>
      <c r="EF23153"/>
      <c r="EG23153"/>
      <c r="EH23153"/>
      <c r="EI23153"/>
      <c r="EJ23153"/>
      <c r="EK23153"/>
    </row>
    <row r="23154" spans="1:141" s="116" customFormat="1">
      <c r="A23154" s="136"/>
      <c r="CM23154" s="111"/>
      <c r="CQ23154" s="111"/>
      <c r="EF23154"/>
      <c r="EG23154"/>
      <c r="EH23154"/>
      <c r="EI23154"/>
      <c r="EJ23154"/>
      <c r="EK23154"/>
    </row>
    <row r="23155" spans="1:141" s="116" customFormat="1">
      <c r="A23155" s="136"/>
      <c r="CM23155" s="111"/>
      <c r="CQ23155" s="111"/>
      <c r="EF23155"/>
      <c r="EG23155"/>
      <c r="EH23155"/>
      <c r="EI23155"/>
      <c r="EJ23155"/>
      <c r="EK23155"/>
    </row>
    <row r="23156" spans="1:141" s="116" customFormat="1">
      <c r="A23156" s="136"/>
      <c r="CM23156" s="111"/>
      <c r="CQ23156" s="111"/>
      <c r="EF23156"/>
      <c r="EG23156"/>
      <c r="EH23156"/>
      <c r="EI23156"/>
      <c r="EJ23156"/>
      <c r="EK23156"/>
    </row>
    <row r="23157" spans="1:141" s="116" customFormat="1">
      <c r="A23157" s="136"/>
      <c r="CM23157" s="111"/>
      <c r="CQ23157" s="111"/>
      <c r="EF23157"/>
      <c r="EG23157"/>
      <c r="EH23157"/>
      <c r="EI23157"/>
      <c r="EJ23157"/>
      <c r="EK23157"/>
    </row>
    <row r="23158" spans="1:141" s="116" customFormat="1">
      <c r="A23158" s="136"/>
      <c r="CM23158" s="111"/>
      <c r="CQ23158" s="111"/>
      <c r="EF23158"/>
      <c r="EG23158"/>
      <c r="EH23158"/>
      <c r="EI23158"/>
      <c r="EJ23158"/>
      <c r="EK23158"/>
    </row>
    <row r="23159" spans="1:141" s="116" customFormat="1">
      <c r="A23159" s="136"/>
      <c r="CM23159" s="111"/>
      <c r="CQ23159" s="111"/>
      <c r="EF23159"/>
      <c r="EG23159"/>
      <c r="EH23159"/>
      <c r="EI23159"/>
      <c r="EJ23159"/>
      <c r="EK23159"/>
    </row>
    <row r="23160" spans="1:141" s="116" customFormat="1">
      <c r="A23160" s="136"/>
      <c r="CM23160" s="111"/>
      <c r="CQ23160" s="111"/>
      <c r="EF23160"/>
      <c r="EG23160"/>
      <c r="EH23160"/>
      <c r="EI23160"/>
      <c r="EJ23160"/>
      <c r="EK23160"/>
    </row>
    <row r="23161" spans="1:141" s="116" customFormat="1">
      <c r="A23161" s="136"/>
      <c r="CM23161" s="111"/>
      <c r="CQ23161" s="111"/>
      <c r="EF23161"/>
      <c r="EG23161"/>
      <c r="EH23161"/>
      <c r="EI23161"/>
      <c r="EJ23161"/>
      <c r="EK23161"/>
    </row>
    <row r="23162" spans="1:141" s="116" customFormat="1">
      <c r="A23162" s="136"/>
      <c r="CM23162" s="111"/>
      <c r="CQ23162" s="111"/>
      <c r="EF23162"/>
      <c r="EG23162"/>
      <c r="EH23162"/>
      <c r="EI23162"/>
      <c r="EJ23162"/>
      <c r="EK23162"/>
    </row>
    <row r="23163" spans="1:141" s="116" customFormat="1">
      <c r="A23163" s="136"/>
      <c r="CM23163" s="111"/>
      <c r="CQ23163" s="111"/>
      <c r="EF23163"/>
      <c r="EG23163"/>
      <c r="EH23163"/>
      <c r="EI23163"/>
      <c r="EJ23163"/>
      <c r="EK23163"/>
    </row>
    <row r="23164" spans="1:141" s="116" customFormat="1">
      <c r="A23164" s="136"/>
      <c r="CM23164" s="111"/>
      <c r="CQ23164" s="111"/>
      <c r="EF23164"/>
      <c r="EG23164"/>
      <c r="EH23164"/>
      <c r="EI23164"/>
      <c r="EJ23164"/>
      <c r="EK23164"/>
    </row>
    <row r="23165" spans="1:141" s="116" customFormat="1">
      <c r="A23165" s="136"/>
      <c r="CM23165" s="111"/>
      <c r="CQ23165" s="111"/>
      <c r="EF23165"/>
      <c r="EG23165"/>
      <c r="EH23165"/>
      <c r="EI23165"/>
      <c r="EJ23165"/>
      <c r="EK23165"/>
    </row>
    <row r="23166" spans="1:141" s="116" customFormat="1">
      <c r="A23166" s="136"/>
      <c r="CM23166" s="111"/>
      <c r="CQ23166" s="111"/>
      <c r="EF23166"/>
      <c r="EG23166"/>
      <c r="EH23166"/>
      <c r="EI23166"/>
      <c r="EJ23166"/>
      <c r="EK23166"/>
    </row>
    <row r="23167" spans="1:141" s="116" customFormat="1">
      <c r="A23167" s="136"/>
      <c r="CM23167" s="111"/>
      <c r="CQ23167" s="111"/>
      <c r="EF23167"/>
      <c r="EG23167"/>
      <c r="EH23167"/>
      <c r="EI23167"/>
      <c r="EJ23167"/>
      <c r="EK23167"/>
    </row>
    <row r="23168" spans="1:141" s="116" customFormat="1">
      <c r="A23168" s="136"/>
      <c r="CM23168" s="111"/>
      <c r="CQ23168" s="111"/>
      <c r="EF23168"/>
      <c r="EG23168"/>
      <c r="EH23168"/>
      <c r="EI23168"/>
      <c r="EJ23168"/>
      <c r="EK23168"/>
    </row>
    <row r="23169" spans="1:141" s="116" customFormat="1">
      <c r="A23169" s="136"/>
      <c r="CM23169" s="111"/>
      <c r="CQ23169" s="111"/>
      <c r="EF23169"/>
      <c r="EG23169"/>
      <c r="EH23169"/>
      <c r="EI23169"/>
      <c r="EJ23169"/>
      <c r="EK23169"/>
    </row>
    <row r="23170" spans="1:141" s="116" customFormat="1">
      <c r="A23170" s="136"/>
      <c r="CM23170" s="111"/>
      <c r="CQ23170" s="111"/>
      <c r="EF23170"/>
      <c r="EG23170"/>
      <c r="EH23170"/>
      <c r="EI23170"/>
      <c r="EJ23170"/>
      <c r="EK23170"/>
    </row>
    <row r="23171" spans="1:141" s="116" customFormat="1">
      <c r="A23171" s="136"/>
      <c r="CM23171" s="111"/>
      <c r="CQ23171" s="111"/>
      <c r="EF23171"/>
      <c r="EG23171"/>
      <c r="EH23171"/>
      <c r="EI23171"/>
      <c r="EJ23171"/>
      <c r="EK23171"/>
    </row>
    <row r="23172" spans="1:141" s="116" customFormat="1">
      <c r="A23172" s="136"/>
      <c r="CM23172" s="111"/>
      <c r="CQ23172" s="111"/>
      <c r="EF23172"/>
      <c r="EG23172"/>
      <c r="EH23172"/>
      <c r="EI23172"/>
      <c r="EJ23172"/>
      <c r="EK23172"/>
    </row>
    <row r="23173" spans="1:141" s="116" customFormat="1">
      <c r="A23173" s="136"/>
      <c r="CM23173" s="111"/>
      <c r="CQ23173" s="111"/>
      <c r="EF23173"/>
      <c r="EG23173"/>
      <c r="EH23173"/>
      <c r="EI23173"/>
      <c r="EJ23173"/>
      <c r="EK23173"/>
    </row>
    <row r="23174" spans="1:141" s="116" customFormat="1">
      <c r="A23174" s="136"/>
      <c r="CM23174" s="111"/>
      <c r="CQ23174" s="111"/>
      <c r="EF23174"/>
      <c r="EG23174"/>
      <c r="EH23174"/>
      <c r="EI23174"/>
      <c r="EJ23174"/>
      <c r="EK23174"/>
    </row>
    <row r="23175" spans="1:141" s="116" customFormat="1">
      <c r="A23175" s="136"/>
      <c r="CM23175" s="111"/>
      <c r="CQ23175" s="111"/>
      <c r="EF23175"/>
      <c r="EG23175"/>
      <c r="EH23175"/>
      <c r="EI23175"/>
      <c r="EJ23175"/>
      <c r="EK23175"/>
    </row>
    <row r="23176" spans="1:141" s="116" customFormat="1">
      <c r="A23176" s="136"/>
      <c r="CM23176" s="111"/>
      <c r="CQ23176" s="111"/>
      <c r="EF23176"/>
      <c r="EG23176"/>
      <c r="EH23176"/>
      <c r="EI23176"/>
      <c r="EJ23176"/>
      <c r="EK23176"/>
    </row>
    <row r="23177" spans="1:141" s="116" customFormat="1">
      <c r="A23177" s="136"/>
      <c r="CM23177" s="111"/>
      <c r="CQ23177" s="111"/>
      <c r="EF23177"/>
      <c r="EG23177"/>
      <c r="EH23177"/>
      <c r="EI23177"/>
      <c r="EJ23177"/>
      <c r="EK23177"/>
    </row>
    <row r="23178" spans="1:141" s="116" customFormat="1">
      <c r="A23178" s="136"/>
      <c r="CM23178" s="111"/>
      <c r="CQ23178" s="111"/>
      <c r="EF23178"/>
      <c r="EG23178"/>
      <c r="EH23178"/>
      <c r="EI23178"/>
      <c r="EJ23178"/>
      <c r="EK23178"/>
    </row>
    <row r="23179" spans="1:141" s="116" customFormat="1">
      <c r="A23179" s="136"/>
      <c r="CM23179" s="111"/>
      <c r="CQ23179" s="111"/>
      <c r="EF23179"/>
      <c r="EG23179"/>
      <c r="EH23179"/>
      <c r="EI23179"/>
      <c r="EJ23179"/>
      <c r="EK23179"/>
    </row>
    <row r="23180" spans="1:141" s="116" customFormat="1">
      <c r="A23180" s="136"/>
      <c r="CM23180" s="111"/>
      <c r="CQ23180" s="111"/>
      <c r="EF23180"/>
      <c r="EG23180"/>
      <c r="EH23180"/>
      <c r="EI23180"/>
      <c r="EJ23180"/>
      <c r="EK23180"/>
    </row>
    <row r="23181" spans="1:141" s="116" customFormat="1">
      <c r="A23181" s="136"/>
      <c r="CM23181" s="111"/>
      <c r="CQ23181" s="111"/>
      <c r="EF23181"/>
      <c r="EG23181"/>
      <c r="EH23181"/>
      <c r="EI23181"/>
      <c r="EJ23181"/>
      <c r="EK23181"/>
    </row>
    <row r="23182" spans="1:141" s="116" customFormat="1">
      <c r="A23182" s="136"/>
      <c r="CM23182" s="111"/>
      <c r="CQ23182" s="111"/>
      <c r="EF23182"/>
      <c r="EG23182"/>
      <c r="EH23182"/>
      <c r="EI23182"/>
      <c r="EJ23182"/>
      <c r="EK23182"/>
    </row>
    <row r="23183" spans="1:141" s="116" customFormat="1">
      <c r="A23183" s="136"/>
      <c r="CM23183" s="111"/>
      <c r="CQ23183" s="111"/>
      <c r="EF23183"/>
      <c r="EG23183"/>
      <c r="EH23183"/>
      <c r="EI23183"/>
      <c r="EJ23183"/>
      <c r="EK23183"/>
    </row>
    <row r="23184" spans="1:141" s="116" customFormat="1">
      <c r="A23184" s="136"/>
      <c r="CM23184" s="111"/>
      <c r="CQ23184" s="111"/>
      <c r="EF23184"/>
      <c r="EG23184"/>
      <c r="EH23184"/>
      <c r="EI23184"/>
      <c r="EJ23184"/>
      <c r="EK23184"/>
    </row>
    <row r="23185" spans="1:141" s="116" customFormat="1">
      <c r="A23185" s="136"/>
      <c r="CM23185" s="111"/>
      <c r="CQ23185" s="111"/>
      <c r="EF23185"/>
      <c r="EG23185"/>
      <c r="EH23185"/>
      <c r="EI23185"/>
      <c r="EJ23185"/>
      <c r="EK23185"/>
    </row>
    <row r="23186" spans="1:141" s="116" customFormat="1">
      <c r="A23186" s="136"/>
      <c r="CM23186" s="111"/>
      <c r="CQ23186" s="111"/>
      <c r="EF23186"/>
      <c r="EG23186"/>
      <c r="EH23186"/>
      <c r="EI23186"/>
      <c r="EJ23186"/>
      <c r="EK23186"/>
    </row>
    <row r="23187" spans="1:141" s="116" customFormat="1">
      <c r="A23187" s="136"/>
      <c r="CM23187" s="111"/>
      <c r="CQ23187" s="111"/>
      <c r="EF23187"/>
      <c r="EG23187"/>
      <c r="EH23187"/>
      <c r="EI23187"/>
      <c r="EJ23187"/>
      <c r="EK23187"/>
    </row>
    <row r="23188" spans="1:141" s="116" customFormat="1">
      <c r="A23188" s="136"/>
      <c r="CM23188" s="111"/>
      <c r="CQ23188" s="111"/>
      <c r="EF23188"/>
      <c r="EG23188"/>
      <c r="EH23188"/>
      <c r="EI23188"/>
      <c r="EJ23188"/>
      <c r="EK23188"/>
    </row>
    <row r="23189" spans="1:141" s="116" customFormat="1">
      <c r="A23189" s="136"/>
      <c r="CM23189" s="111"/>
      <c r="CQ23189" s="111"/>
      <c r="EF23189"/>
      <c r="EG23189"/>
      <c r="EH23189"/>
      <c r="EI23189"/>
      <c r="EJ23189"/>
      <c r="EK23189"/>
    </row>
    <row r="23190" spans="1:141" s="116" customFormat="1">
      <c r="A23190" s="136"/>
      <c r="CM23190" s="111"/>
      <c r="CQ23190" s="111"/>
      <c r="EF23190"/>
      <c r="EG23190"/>
      <c r="EH23190"/>
      <c r="EI23190"/>
      <c r="EJ23190"/>
      <c r="EK23190"/>
    </row>
    <row r="23191" spans="1:141" s="116" customFormat="1">
      <c r="A23191" s="136"/>
      <c r="CM23191" s="111"/>
      <c r="CQ23191" s="111"/>
      <c r="EF23191"/>
      <c r="EG23191"/>
      <c r="EH23191"/>
      <c r="EI23191"/>
      <c r="EJ23191"/>
      <c r="EK23191"/>
    </row>
    <row r="23192" spans="1:141" s="116" customFormat="1">
      <c r="A23192" s="136"/>
      <c r="CM23192" s="111"/>
      <c r="CQ23192" s="111"/>
      <c r="EF23192"/>
      <c r="EG23192"/>
      <c r="EH23192"/>
      <c r="EI23192"/>
      <c r="EJ23192"/>
      <c r="EK23192"/>
    </row>
    <row r="23193" spans="1:141" s="116" customFormat="1">
      <c r="A23193" s="136"/>
      <c r="CM23193" s="111"/>
      <c r="CQ23193" s="111"/>
      <c r="EF23193"/>
      <c r="EG23193"/>
      <c r="EH23193"/>
      <c r="EI23193"/>
      <c r="EJ23193"/>
      <c r="EK23193"/>
    </row>
    <row r="23194" spans="1:141" s="116" customFormat="1">
      <c r="A23194" s="136"/>
      <c r="CM23194" s="111"/>
      <c r="CQ23194" s="111"/>
      <c r="EF23194"/>
      <c r="EG23194"/>
      <c r="EH23194"/>
      <c r="EI23194"/>
      <c r="EJ23194"/>
      <c r="EK23194"/>
    </row>
    <row r="23195" spans="1:141" s="116" customFormat="1">
      <c r="A23195" s="136"/>
      <c r="CM23195" s="111"/>
      <c r="CQ23195" s="111"/>
      <c r="EF23195"/>
      <c r="EG23195"/>
      <c r="EH23195"/>
      <c r="EI23195"/>
      <c r="EJ23195"/>
      <c r="EK23195"/>
    </row>
    <row r="23196" spans="1:141" s="116" customFormat="1">
      <c r="A23196" s="136"/>
      <c r="CM23196" s="111"/>
      <c r="CQ23196" s="111"/>
      <c r="EF23196"/>
      <c r="EG23196"/>
      <c r="EH23196"/>
      <c r="EI23196"/>
      <c r="EJ23196"/>
      <c r="EK23196"/>
    </row>
    <row r="23197" spans="1:141" s="116" customFormat="1">
      <c r="A23197" s="136"/>
      <c r="CM23197" s="111"/>
      <c r="CQ23197" s="111"/>
      <c r="EF23197"/>
      <c r="EG23197"/>
      <c r="EH23197"/>
      <c r="EI23197"/>
      <c r="EJ23197"/>
      <c r="EK23197"/>
    </row>
    <row r="23198" spans="1:141" s="116" customFormat="1">
      <c r="A23198" s="136"/>
      <c r="CM23198" s="111"/>
      <c r="CQ23198" s="111"/>
      <c r="EF23198"/>
      <c r="EG23198"/>
      <c r="EH23198"/>
      <c r="EI23198"/>
      <c r="EJ23198"/>
      <c r="EK23198"/>
    </row>
    <row r="23199" spans="1:141" s="116" customFormat="1">
      <c r="A23199" s="136"/>
      <c r="CM23199" s="111"/>
      <c r="CQ23199" s="111"/>
      <c r="EF23199"/>
      <c r="EG23199"/>
      <c r="EH23199"/>
      <c r="EI23199"/>
      <c r="EJ23199"/>
      <c r="EK23199"/>
    </row>
    <row r="23200" spans="1:141" s="116" customFormat="1">
      <c r="A23200" s="136"/>
      <c r="CM23200" s="111"/>
      <c r="CQ23200" s="111"/>
      <c r="EF23200"/>
      <c r="EG23200"/>
      <c r="EH23200"/>
      <c r="EI23200"/>
      <c r="EJ23200"/>
      <c r="EK23200"/>
    </row>
    <row r="23201" spans="1:141" s="116" customFormat="1">
      <c r="A23201" s="136"/>
      <c r="CM23201" s="111"/>
      <c r="CQ23201" s="111"/>
      <c r="EF23201"/>
      <c r="EG23201"/>
      <c r="EH23201"/>
      <c r="EI23201"/>
      <c r="EJ23201"/>
      <c r="EK23201"/>
    </row>
    <row r="23202" spans="1:141" s="116" customFormat="1">
      <c r="A23202" s="136"/>
      <c r="CM23202" s="111"/>
      <c r="CQ23202" s="111"/>
      <c r="EF23202"/>
      <c r="EG23202"/>
      <c r="EH23202"/>
      <c r="EI23202"/>
      <c r="EJ23202"/>
      <c r="EK23202"/>
    </row>
    <row r="23203" spans="1:141" s="116" customFormat="1">
      <c r="A23203" s="136"/>
      <c r="CM23203" s="111"/>
      <c r="CQ23203" s="111"/>
      <c r="EF23203"/>
      <c r="EG23203"/>
      <c r="EH23203"/>
      <c r="EI23203"/>
      <c r="EJ23203"/>
      <c r="EK23203"/>
    </row>
    <row r="23204" spans="1:141" s="116" customFormat="1">
      <c r="A23204" s="136"/>
      <c r="CM23204" s="111"/>
      <c r="CQ23204" s="111"/>
      <c r="EF23204"/>
      <c r="EG23204"/>
      <c r="EH23204"/>
      <c r="EI23204"/>
      <c r="EJ23204"/>
      <c r="EK23204"/>
    </row>
    <row r="23205" spans="1:141" s="116" customFormat="1">
      <c r="A23205" s="136"/>
      <c r="CM23205" s="111"/>
      <c r="CQ23205" s="111"/>
      <c r="EF23205"/>
      <c r="EG23205"/>
      <c r="EH23205"/>
      <c r="EI23205"/>
      <c r="EJ23205"/>
      <c r="EK23205"/>
    </row>
    <row r="23206" spans="1:141" s="116" customFormat="1">
      <c r="A23206" s="136"/>
      <c r="CM23206" s="111"/>
      <c r="CQ23206" s="111"/>
      <c r="EF23206"/>
      <c r="EG23206"/>
      <c r="EH23206"/>
      <c r="EI23206"/>
      <c r="EJ23206"/>
      <c r="EK23206"/>
    </row>
    <row r="23207" spans="1:141" s="116" customFormat="1">
      <c r="A23207" s="136"/>
      <c r="CM23207" s="111"/>
      <c r="CQ23207" s="111"/>
      <c r="EF23207"/>
      <c r="EG23207"/>
      <c r="EH23207"/>
      <c r="EI23207"/>
      <c r="EJ23207"/>
      <c r="EK23207"/>
    </row>
    <row r="23208" spans="1:141" s="116" customFormat="1">
      <c r="A23208" s="136"/>
      <c r="CM23208" s="111"/>
      <c r="CQ23208" s="111"/>
      <c r="EF23208"/>
      <c r="EG23208"/>
      <c r="EH23208"/>
      <c r="EI23208"/>
      <c r="EJ23208"/>
      <c r="EK23208"/>
    </row>
    <row r="23209" spans="1:141" s="116" customFormat="1">
      <c r="A23209" s="136"/>
      <c r="CM23209" s="111"/>
      <c r="CQ23209" s="111"/>
      <c r="EF23209"/>
      <c r="EG23209"/>
      <c r="EH23209"/>
      <c r="EI23209"/>
      <c r="EJ23209"/>
      <c r="EK23209"/>
    </row>
    <row r="23210" spans="1:141" s="116" customFormat="1">
      <c r="A23210" s="136"/>
      <c r="CM23210" s="111"/>
      <c r="CQ23210" s="111"/>
      <c r="EF23210"/>
      <c r="EG23210"/>
      <c r="EH23210"/>
      <c r="EI23210"/>
      <c r="EJ23210"/>
      <c r="EK23210"/>
    </row>
    <row r="23211" spans="1:141" s="116" customFormat="1">
      <c r="A23211" s="136"/>
      <c r="CM23211" s="111"/>
      <c r="CQ23211" s="111"/>
      <c r="EF23211"/>
      <c r="EG23211"/>
      <c r="EH23211"/>
      <c r="EI23211"/>
      <c r="EJ23211"/>
      <c r="EK23211"/>
    </row>
    <row r="23212" spans="1:141" s="116" customFormat="1">
      <c r="A23212" s="136"/>
      <c r="CM23212" s="111"/>
      <c r="CQ23212" s="111"/>
      <c r="EF23212"/>
      <c r="EG23212"/>
      <c r="EH23212"/>
      <c r="EI23212"/>
      <c r="EJ23212"/>
      <c r="EK23212"/>
    </row>
    <row r="23213" spans="1:141" s="116" customFormat="1">
      <c r="A23213" s="136"/>
      <c r="CM23213" s="111"/>
      <c r="CQ23213" s="111"/>
      <c r="EF23213"/>
      <c r="EG23213"/>
      <c r="EH23213"/>
      <c r="EI23213"/>
      <c r="EJ23213"/>
      <c r="EK23213"/>
    </row>
    <row r="23214" spans="1:141" s="116" customFormat="1">
      <c r="A23214" s="136"/>
      <c r="CM23214" s="111"/>
      <c r="CQ23214" s="111"/>
      <c r="EF23214"/>
      <c r="EG23214"/>
      <c r="EH23214"/>
      <c r="EI23214"/>
      <c r="EJ23214"/>
      <c r="EK23214"/>
    </row>
    <row r="23215" spans="1:141" s="116" customFormat="1">
      <c r="A23215" s="136"/>
      <c r="CM23215" s="111"/>
      <c r="CQ23215" s="111"/>
      <c r="EF23215"/>
      <c r="EG23215"/>
      <c r="EH23215"/>
      <c r="EI23215"/>
      <c r="EJ23215"/>
      <c r="EK23215"/>
    </row>
    <row r="23216" spans="1:141" s="116" customFormat="1">
      <c r="A23216" s="136"/>
      <c r="CM23216" s="111"/>
      <c r="CQ23216" s="111"/>
      <c r="EF23216"/>
      <c r="EG23216"/>
      <c r="EH23216"/>
      <c r="EI23216"/>
      <c r="EJ23216"/>
      <c r="EK23216"/>
    </row>
    <row r="23217" spans="1:141" s="116" customFormat="1">
      <c r="A23217" s="136"/>
      <c r="CM23217" s="111"/>
      <c r="CQ23217" s="111"/>
      <c r="EF23217"/>
      <c r="EG23217"/>
      <c r="EH23217"/>
      <c r="EI23217"/>
      <c r="EJ23217"/>
      <c r="EK23217"/>
    </row>
    <row r="23218" spans="1:141" s="116" customFormat="1">
      <c r="A23218" s="136"/>
      <c r="CM23218" s="111"/>
      <c r="CQ23218" s="111"/>
      <c r="EF23218"/>
      <c r="EG23218"/>
      <c r="EH23218"/>
      <c r="EI23218"/>
      <c r="EJ23218"/>
      <c r="EK23218"/>
    </row>
    <row r="23219" spans="1:141" s="116" customFormat="1">
      <c r="A23219" s="136"/>
      <c r="CM23219" s="111"/>
      <c r="CQ23219" s="111"/>
      <c r="EF23219"/>
      <c r="EG23219"/>
      <c r="EH23219"/>
      <c r="EI23219"/>
      <c r="EJ23219"/>
      <c r="EK23219"/>
    </row>
    <row r="23220" spans="1:141" s="116" customFormat="1">
      <c r="A23220" s="136"/>
      <c r="CM23220" s="111"/>
      <c r="CQ23220" s="111"/>
      <c r="EF23220"/>
      <c r="EG23220"/>
      <c r="EH23220"/>
      <c r="EI23220"/>
      <c r="EJ23220"/>
      <c r="EK23220"/>
    </row>
    <row r="23221" spans="1:141" s="116" customFormat="1">
      <c r="A23221" s="136"/>
      <c r="CM23221" s="111"/>
      <c r="CQ23221" s="111"/>
      <c r="EF23221"/>
      <c r="EG23221"/>
      <c r="EH23221"/>
      <c r="EI23221"/>
      <c r="EJ23221"/>
      <c r="EK23221"/>
    </row>
    <row r="23222" spans="1:141" s="116" customFormat="1">
      <c r="A23222" s="136"/>
      <c r="CM23222" s="111"/>
      <c r="CQ23222" s="111"/>
      <c r="EF23222"/>
      <c r="EG23222"/>
      <c r="EH23222"/>
      <c r="EI23222"/>
      <c r="EJ23222"/>
      <c r="EK23222"/>
    </row>
    <row r="23223" spans="1:141" s="116" customFormat="1">
      <c r="A23223" s="136"/>
      <c r="CM23223" s="111"/>
      <c r="CQ23223" s="111"/>
      <c r="EF23223"/>
      <c r="EG23223"/>
      <c r="EH23223"/>
      <c r="EI23223"/>
      <c r="EJ23223"/>
      <c r="EK23223"/>
    </row>
    <row r="23224" spans="1:141" s="116" customFormat="1">
      <c r="A23224" s="136"/>
      <c r="CM23224" s="111"/>
      <c r="CQ23224" s="111"/>
      <c r="EF23224"/>
      <c r="EG23224"/>
      <c r="EH23224"/>
      <c r="EI23224"/>
      <c r="EJ23224"/>
      <c r="EK23224"/>
    </row>
    <row r="23225" spans="1:141" s="116" customFormat="1">
      <c r="A23225" s="136"/>
      <c r="CM23225" s="111"/>
      <c r="CQ23225" s="111"/>
      <c r="EF23225"/>
      <c r="EG23225"/>
      <c r="EH23225"/>
      <c r="EI23225"/>
      <c r="EJ23225"/>
      <c r="EK23225"/>
    </row>
    <row r="23226" spans="1:141" s="116" customFormat="1">
      <c r="A23226" s="136"/>
      <c r="CM23226" s="111"/>
      <c r="CQ23226" s="111"/>
      <c r="EF23226"/>
      <c r="EG23226"/>
      <c r="EH23226"/>
      <c r="EI23226"/>
      <c r="EJ23226"/>
      <c r="EK23226"/>
    </row>
    <row r="23227" spans="1:141" s="116" customFormat="1">
      <c r="A23227" s="136"/>
      <c r="CM23227" s="111"/>
      <c r="CQ23227" s="111"/>
      <c r="EF23227"/>
      <c r="EG23227"/>
      <c r="EH23227"/>
      <c r="EI23227"/>
      <c r="EJ23227"/>
      <c r="EK23227"/>
    </row>
    <row r="23228" spans="1:141" s="116" customFormat="1">
      <c r="A23228" s="136"/>
      <c r="CM23228" s="111"/>
      <c r="CQ23228" s="111"/>
      <c r="EF23228"/>
      <c r="EG23228"/>
      <c r="EH23228"/>
      <c r="EI23228"/>
      <c r="EJ23228"/>
      <c r="EK23228"/>
    </row>
    <row r="23229" spans="1:141" s="116" customFormat="1">
      <c r="A23229" s="136"/>
      <c r="CM23229" s="111"/>
      <c r="CQ23229" s="111"/>
      <c r="EF23229"/>
      <c r="EG23229"/>
      <c r="EH23229"/>
      <c r="EI23229"/>
      <c r="EJ23229"/>
      <c r="EK23229"/>
    </row>
    <row r="23230" spans="1:141" s="116" customFormat="1">
      <c r="A23230" s="136"/>
      <c r="CM23230" s="111"/>
      <c r="CQ23230" s="111"/>
      <c r="EF23230"/>
      <c r="EG23230"/>
      <c r="EH23230"/>
      <c r="EI23230"/>
      <c r="EJ23230"/>
      <c r="EK23230"/>
    </row>
    <row r="23231" spans="1:141" s="116" customFormat="1">
      <c r="A23231" s="136"/>
      <c r="CM23231" s="111"/>
      <c r="CQ23231" s="111"/>
      <c r="EF23231"/>
      <c r="EG23231"/>
      <c r="EH23231"/>
      <c r="EI23231"/>
      <c r="EJ23231"/>
      <c r="EK23231"/>
    </row>
    <row r="23232" spans="1:141" s="116" customFormat="1">
      <c r="A23232" s="136"/>
      <c r="CM23232" s="111"/>
      <c r="CQ23232" s="111"/>
      <c r="EF23232"/>
      <c r="EG23232"/>
      <c r="EH23232"/>
      <c r="EI23232"/>
      <c r="EJ23232"/>
      <c r="EK23232"/>
    </row>
    <row r="23233" spans="1:141" s="116" customFormat="1">
      <c r="A23233" s="136"/>
      <c r="CM23233" s="111"/>
      <c r="CQ23233" s="111"/>
      <c r="EF23233"/>
      <c r="EG23233"/>
      <c r="EH23233"/>
      <c r="EI23233"/>
      <c r="EJ23233"/>
      <c r="EK23233"/>
    </row>
    <row r="23234" spans="1:141" s="116" customFormat="1">
      <c r="A23234" s="136"/>
      <c r="CM23234" s="111"/>
      <c r="CQ23234" s="111"/>
      <c r="EF23234"/>
      <c r="EG23234"/>
      <c r="EH23234"/>
      <c r="EI23234"/>
      <c r="EJ23234"/>
      <c r="EK23234"/>
    </row>
    <row r="23235" spans="1:141" s="116" customFormat="1">
      <c r="A23235" s="136"/>
      <c r="CM23235" s="111"/>
      <c r="CQ23235" s="111"/>
      <c r="EF23235"/>
      <c r="EG23235"/>
      <c r="EH23235"/>
      <c r="EI23235"/>
      <c r="EJ23235"/>
      <c r="EK23235"/>
    </row>
    <row r="23236" spans="1:141" s="116" customFormat="1">
      <c r="A23236" s="136"/>
      <c r="CM23236" s="111"/>
      <c r="CQ23236" s="111"/>
      <c r="EF23236"/>
      <c r="EG23236"/>
      <c r="EH23236"/>
      <c r="EI23236"/>
      <c r="EJ23236"/>
      <c r="EK23236"/>
    </row>
    <row r="23237" spans="1:141" s="116" customFormat="1">
      <c r="A23237" s="136"/>
      <c r="CM23237" s="111"/>
      <c r="CQ23237" s="111"/>
      <c r="EF23237"/>
      <c r="EG23237"/>
      <c r="EH23237"/>
      <c r="EI23237"/>
      <c r="EJ23237"/>
      <c r="EK23237"/>
    </row>
    <row r="23238" spans="1:141" s="116" customFormat="1">
      <c r="A23238" s="136"/>
      <c r="CM23238" s="111"/>
      <c r="CQ23238" s="111"/>
      <c r="EF23238"/>
      <c r="EG23238"/>
      <c r="EH23238"/>
      <c r="EI23238"/>
      <c r="EJ23238"/>
      <c r="EK23238"/>
    </row>
    <row r="23239" spans="1:141" s="116" customFormat="1">
      <c r="A23239" s="136"/>
      <c r="CM23239" s="111"/>
      <c r="CQ23239" s="111"/>
      <c r="EF23239"/>
      <c r="EG23239"/>
      <c r="EH23239"/>
      <c r="EI23239"/>
      <c r="EJ23239"/>
      <c r="EK23239"/>
    </row>
    <row r="23240" spans="1:141" s="116" customFormat="1">
      <c r="A23240" s="136"/>
      <c r="CM23240" s="111"/>
      <c r="CQ23240" s="111"/>
      <c r="EF23240"/>
      <c r="EG23240"/>
      <c r="EH23240"/>
      <c r="EI23240"/>
      <c r="EJ23240"/>
      <c r="EK23240"/>
    </row>
    <row r="23241" spans="1:141" s="116" customFormat="1">
      <c r="A23241" s="136"/>
      <c r="CM23241" s="111"/>
      <c r="CQ23241" s="111"/>
      <c r="EF23241"/>
      <c r="EG23241"/>
      <c r="EH23241"/>
      <c r="EI23241"/>
      <c r="EJ23241"/>
      <c r="EK23241"/>
    </row>
    <row r="23242" spans="1:141" s="116" customFormat="1">
      <c r="A23242" s="136"/>
      <c r="CM23242" s="111"/>
      <c r="CQ23242" s="111"/>
      <c r="EF23242"/>
      <c r="EG23242"/>
      <c r="EH23242"/>
      <c r="EI23242"/>
      <c r="EJ23242"/>
      <c r="EK23242"/>
    </row>
    <row r="23243" spans="1:141" s="116" customFormat="1">
      <c r="A23243" s="136"/>
      <c r="CM23243" s="111"/>
      <c r="CQ23243" s="111"/>
      <c r="EF23243"/>
      <c r="EG23243"/>
      <c r="EH23243"/>
      <c r="EI23243"/>
      <c r="EJ23243"/>
      <c r="EK23243"/>
    </row>
    <row r="23244" spans="1:141" s="116" customFormat="1">
      <c r="A23244" s="136"/>
      <c r="CM23244" s="111"/>
      <c r="CQ23244" s="111"/>
      <c r="EF23244"/>
      <c r="EG23244"/>
      <c r="EH23244"/>
      <c r="EI23244"/>
      <c r="EJ23244"/>
      <c r="EK23244"/>
    </row>
    <row r="23245" spans="1:141" s="116" customFormat="1">
      <c r="A23245" s="136"/>
      <c r="CM23245" s="111"/>
      <c r="CQ23245" s="111"/>
      <c r="EF23245"/>
      <c r="EG23245"/>
      <c r="EH23245"/>
      <c r="EI23245"/>
      <c r="EJ23245"/>
      <c r="EK23245"/>
    </row>
    <row r="23246" spans="1:141" s="116" customFormat="1">
      <c r="A23246" s="136"/>
      <c r="CM23246" s="111"/>
      <c r="CQ23246" s="111"/>
      <c r="EF23246"/>
      <c r="EG23246"/>
      <c r="EH23246"/>
      <c r="EI23246"/>
      <c r="EJ23246"/>
      <c r="EK23246"/>
    </row>
    <row r="23247" spans="1:141" s="116" customFormat="1">
      <c r="A23247" s="136"/>
      <c r="CM23247" s="111"/>
      <c r="CQ23247" s="111"/>
      <c r="EF23247"/>
      <c r="EG23247"/>
      <c r="EH23247"/>
      <c r="EI23247"/>
      <c r="EJ23247"/>
      <c r="EK23247"/>
    </row>
    <row r="23248" spans="1:141" s="116" customFormat="1">
      <c r="A23248" s="136"/>
      <c r="CM23248" s="111"/>
      <c r="CQ23248" s="111"/>
      <c r="EF23248"/>
      <c r="EG23248"/>
      <c r="EH23248"/>
      <c r="EI23248"/>
      <c r="EJ23248"/>
      <c r="EK23248"/>
    </row>
    <row r="23249" spans="1:141" s="116" customFormat="1">
      <c r="A23249" s="136"/>
      <c r="CM23249" s="111"/>
      <c r="CQ23249" s="111"/>
      <c r="EF23249"/>
      <c r="EG23249"/>
      <c r="EH23249"/>
      <c r="EI23249"/>
      <c r="EJ23249"/>
      <c r="EK23249"/>
    </row>
    <row r="23250" spans="1:141" s="116" customFormat="1">
      <c r="A23250" s="136"/>
      <c r="CM23250" s="111"/>
      <c r="CQ23250" s="111"/>
      <c r="EF23250"/>
      <c r="EG23250"/>
      <c r="EH23250"/>
      <c r="EI23250"/>
      <c r="EJ23250"/>
      <c r="EK23250"/>
    </row>
    <row r="23251" spans="1:141" s="116" customFormat="1">
      <c r="A23251" s="136"/>
      <c r="CM23251" s="111"/>
      <c r="CQ23251" s="111"/>
      <c r="EF23251"/>
      <c r="EG23251"/>
      <c r="EH23251"/>
      <c r="EI23251"/>
      <c r="EJ23251"/>
      <c r="EK23251"/>
    </row>
    <row r="23252" spans="1:141" s="116" customFormat="1">
      <c r="A23252" s="136"/>
      <c r="CM23252" s="111"/>
      <c r="CQ23252" s="111"/>
      <c r="EF23252"/>
      <c r="EG23252"/>
      <c r="EH23252"/>
      <c r="EI23252"/>
      <c r="EJ23252"/>
      <c r="EK23252"/>
    </row>
    <row r="23253" spans="1:141" s="116" customFormat="1">
      <c r="A23253" s="136"/>
      <c r="CM23253" s="111"/>
      <c r="CQ23253" s="111"/>
      <c r="EF23253"/>
      <c r="EG23253"/>
      <c r="EH23253"/>
      <c r="EI23253"/>
      <c r="EJ23253"/>
      <c r="EK23253"/>
    </row>
    <row r="23254" spans="1:141" s="116" customFormat="1">
      <c r="A23254" s="136"/>
      <c r="CM23254" s="111"/>
      <c r="CQ23254" s="111"/>
      <c r="EF23254"/>
      <c r="EG23254"/>
      <c r="EH23254"/>
      <c r="EI23254"/>
      <c r="EJ23254"/>
      <c r="EK23254"/>
    </row>
    <row r="23255" spans="1:141" s="116" customFormat="1">
      <c r="A23255" s="136"/>
      <c r="CM23255" s="111"/>
      <c r="CQ23255" s="111"/>
      <c r="EF23255"/>
      <c r="EG23255"/>
      <c r="EH23255"/>
      <c r="EI23255"/>
      <c r="EJ23255"/>
      <c r="EK23255"/>
    </row>
    <row r="23256" spans="1:141" s="116" customFormat="1">
      <c r="A23256" s="136"/>
      <c r="CM23256" s="111"/>
      <c r="CQ23256" s="111"/>
      <c r="EF23256"/>
      <c r="EG23256"/>
      <c r="EH23256"/>
      <c r="EI23256"/>
      <c r="EJ23256"/>
      <c r="EK23256"/>
    </row>
    <row r="23257" spans="1:141" s="116" customFormat="1">
      <c r="A23257" s="136"/>
      <c r="CM23257" s="111"/>
      <c r="CQ23257" s="111"/>
      <c r="EF23257"/>
      <c r="EG23257"/>
      <c r="EH23257"/>
      <c r="EI23257"/>
      <c r="EJ23257"/>
      <c r="EK23257"/>
    </row>
    <row r="23258" spans="1:141" s="116" customFormat="1">
      <c r="A23258" s="136"/>
      <c r="CM23258" s="111"/>
      <c r="CQ23258" s="111"/>
      <c r="EF23258"/>
      <c r="EG23258"/>
      <c r="EH23258"/>
      <c r="EI23258"/>
      <c r="EJ23258"/>
      <c r="EK23258"/>
    </row>
    <row r="23259" spans="1:141" s="116" customFormat="1">
      <c r="A23259" s="136"/>
      <c r="CM23259" s="111"/>
      <c r="CQ23259" s="111"/>
      <c r="EF23259"/>
      <c r="EG23259"/>
      <c r="EH23259"/>
      <c r="EI23259"/>
      <c r="EJ23259"/>
      <c r="EK23259"/>
    </row>
    <row r="23260" spans="1:141" s="116" customFormat="1">
      <c r="A23260" s="136"/>
      <c r="CM23260" s="111"/>
      <c r="CQ23260" s="111"/>
      <c r="EF23260"/>
      <c r="EG23260"/>
      <c r="EH23260"/>
      <c r="EI23260"/>
      <c r="EJ23260"/>
      <c r="EK23260"/>
    </row>
    <row r="23261" spans="1:141" s="116" customFormat="1">
      <c r="A23261" s="136"/>
      <c r="CM23261" s="111"/>
      <c r="CQ23261" s="111"/>
      <c r="EF23261"/>
      <c r="EG23261"/>
      <c r="EH23261"/>
      <c r="EI23261"/>
      <c r="EJ23261"/>
      <c r="EK23261"/>
    </row>
    <row r="23262" spans="1:141" s="116" customFormat="1">
      <c r="A23262" s="136"/>
      <c r="CM23262" s="111"/>
      <c r="CQ23262" s="111"/>
      <c r="EF23262"/>
      <c r="EG23262"/>
      <c r="EH23262"/>
      <c r="EI23262"/>
      <c r="EJ23262"/>
      <c r="EK23262"/>
    </row>
    <row r="23263" spans="1:141" s="116" customFormat="1">
      <c r="A23263" s="136"/>
      <c r="CM23263" s="111"/>
      <c r="CQ23263" s="111"/>
      <c r="EF23263"/>
      <c r="EG23263"/>
      <c r="EH23263"/>
      <c r="EI23263"/>
      <c r="EJ23263"/>
      <c r="EK23263"/>
    </row>
    <row r="23264" spans="1:141" s="116" customFormat="1">
      <c r="A23264" s="136"/>
      <c r="CM23264" s="111"/>
      <c r="CQ23264" s="111"/>
      <c r="EF23264"/>
      <c r="EG23264"/>
      <c r="EH23264"/>
      <c r="EI23264"/>
      <c r="EJ23264"/>
      <c r="EK23264"/>
    </row>
    <row r="23265" spans="1:141" s="116" customFormat="1">
      <c r="A23265" s="136"/>
      <c r="CM23265" s="111"/>
      <c r="CQ23265" s="111"/>
      <c r="EF23265"/>
      <c r="EG23265"/>
      <c r="EH23265"/>
      <c r="EI23265"/>
      <c r="EJ23265"/>
      <c r="EK23265"/>
    </row>
    <row r="23266" spans="1:141" s="116" customFormat="1">
      <c r="A23266" s="136"/>
      <c r="CM23266" s="111"/>
      <c r="CQ23266" s="111"/>
      <c r="EF23266"/>
      <c r="EG23266"/>
      <c r="EH23266"/>
      <c r="EI23266"/>
      <c r="EJ23266"/>
      <c r="EK23266"/>
    </row>
    <row r="23267" spans="1:141" s="116" customFormat="1">
      <c r="A23267" s="136"/>
      <c r="CM23267" s="111"/>
      <c r="CQ23267" s="111"/>
      <c r="EF23267"/>
      <c r="EG23267"/>
      <c r="EH23267"/>
      <c r="EI23267"/>
      <c r="EJ23267"/>
      <c r="EK23267"/>
    </row>
    <row r="23268" spans="1:141" s="116" customFormat="1">
      <c r="A23268" s="136"/>
      <c r="CM23268" s="111"/>
      <c r="CQ23268" s="111"/>
      <c r="EF23268"/>
      <c r="EG23268"/>
      <c r="EH23268"/>
      <c r="EI23268"/>
      <c r="EJ23268"/>
      <c r="EK23268"/>
    </row>
    <row r="23269" spans="1:141" s="116" customFormat="1">
      <c r="A23269" s="136"/>
      <c r="CM23269" s="111"/>
      <c r="CQ23269" s="111"/>
      <c r="EF23269"/>
      <c r="EG23269"/>
      <c r="EH23269"/>
      <c r="EI23269"/>
      <c r="EJ23269"/>
      <c r="EK23269"/>
    </row>
    <row r="23270" spans="1:141" s="116" customFormat="1">
      <c r="A23270" s="136"/>
      <c r="CM23270" s="111"/>
      <c r="CQ23270" s="111"/>
      <c r="EF23270"/>
      <c r="EG23270"/>
      <c r="EH23270"/>
      <c r="EI23270"/>
      <c r="EJ23270"/>
      <c r="EK23270"/>
    </row>
    <row r="23271" spans="1:141" s="116" customFormat="1">
      <c r="A23271" s="136"/>
      <c r="CM23271" s="111"/>
      <c r="CQ23271" s="111"/>
      <c r="EF23271"/>
      <c r="EG23271"/>
      <c r="EH23271"/>
      <c r="EI23271"/>
      <c r="EJ23271"/>
      <c r="EK23271"/>
    </row>
    <row r="23272" spans="1:141" s="116" customFormat="1">
      <c r="A23272" s="136"/>
      <c r="CM23272" s="111"/>
      <c r="CQ23272" s="111"/>
      <c r="EF23272"/>
      <c r="EG23272"/>
      <c r="EH23272"/>
      <c r="EI23272"/>
      <c r="EJ23272"/>
      <c r="EK23272"/>
    </row>
    <row r="23273" spans="1:141" s="116" customFormat="1">
      <c r="A23273" s="136"/>
      <c r="CM23273" s="111"/>
      <c r="CQ23273" s="111"/>
      <c r="EF23273"/>
      <c r="EG23273"/>
      <c r="EH23273"/>
      <c r="EI23273"/>
      <c r="EJ23273"/>
      <c r="EK23273"/>
    </row>
    <row r="23274" spans="1:141" s="116" customFormat="1">
      <c r="A23274" s="136"/>
      <c r="CM23274" s="111"/>
      <c r="CQ23274" s="111"/>
      <c r="EF23274"/>
      <c r="EG23274"/>
      <c r="EH23274"/>
      <c r="EI23274"/>
      <c r="EJ23274"/>
      <c r="EK23274"/>
    </row>
    <row r="23275" spans="1:141" s="116" customFormat="1">
      <c r="A23275" s="136"/>
      <c r="CM23275" s="111"/>
      <c r="CQ23275" s="111"/>
      <c r="EF23275"/>
      <c r="EG23275"/>
      <c r="EH23275"/>
      <c r="EI23275"/>
      <c r="EJ23275"/>
      <c r="EK23275"/>
    </row>
    <row r="23276" spans="1:141" s="116" customFormat="1">
      <c r="A23276" s="136"/>
      <c r="CM23276" s="111"/>
      <c r="CQ23276" s="111"/>
      <c r="EF23276"/>
      <c r="EG23276"/>
      <c r="EH23276"/>
      <c r="EI23276"/>
      <c r="EJ23276"/>
      <c r="EK23276"/>
    </row>
    <row r="23277" spans="1:141" s="116" customFormat="1">
      <c r="A23277" s="136"/>
      <c r="CM23277" s="111"/>
      <c r="CQ23277" s="111"/>
      <c r="EF23277"/>
      <c r="EG23277"/>
      <c r="EH23277"/>
      <c r="EI23277"/>
      <c r="EJ23277"/>
      <c r="EK23277"/>
    </row>
    <row r="23278" spans="1:141" s="116" customFormat="1">
      <c r="A23278" s="136"/>
      <c r="CM23278" s="111"/>
      <c r="CQ23278" s="111"/>
      <c r="EF23278"/>
      <c r="EG23278"/>
      <c r="EH23278"/>
      <c r="EI23278"/>
      <c r="EJ23278"/>
      <c r="EK23278"/>
    </row>
    <row r="23279" spans="1:141" s="116" customFormat="1">
      <c r="A23279" s="136"/>
      <c r="CM23279" s="111"/>
      <c r="CQ23279" s="111"/>
      <c r="EF23279"/>
      <c r="EG23279"/>
      <c r="EH23279"/>
      <c r="EI23279"/>
      <c r="EJ23279"/>
      <c r="EK23279"/>
    </row>
    <row r="23280" spans="1:141" s="116" customFormat="1">
      <c r="A23280" s="136"/>
      <c r="CM23280" s="111"/>
      <c r="CQ23280" s="111"/>
      <c r="EF23280"/>
      <c r="EG23280"/>
      <c r="EH23280"/>
      <c r="EI23280"/>
      <c r="EJ23280"/>
      <c r="EK23280"/>
    </row>
    <row r="23281" spans="1:141" s="116" customFormat="1">
      <c r="A23281" s="136"/>
      <c r="CM23281" s="111"/>
      <c r="CQ23281" s="111"/>
      <c r="EF23281"/>
      <c r="EG23281"/>
      <c r="EH23281"/>
      <c r="EI23281"/>
      <c r="EJ23281"/>
      <c r="EK23281"/>
    </row>
    <row r="23282" spans="1:141" s="116" customFormat="1">
      <c r="A23282" s="136"/>
      <c r="CM23282" s="111"/>
      <c r="CQ23282" s="111"/>
      <c r="EF23282"/>
      <c r="EG23282"/>
      <c r="EH23282"/>
      <c r="EI23282"/>
      <c r="EJ23282"/>
      <c r="EK23282"/>
    </row>
    <row r="23283" spans="1:141" s="116" customFormat="1">
      <c r="A23283" s="136"/>
      <c r="CM23283" s="111"/>
      <c r="CQ23283" s="111"/>
      <c r="EF23283"/>
      <c r="EG23283"/>
      <c r="EH23283"/>
      <c r="EI23283"/>
      <c r="EJ23283"/>
      <c r="EK23283"/>
    </row>
    <row r="23284" spans="1:141" s="116" customFormat="1">
      <c r="A23284" s="136"/>
      <c r="CM23284" s="111"/>
      <c r="CQ23284" s="111"/>
      <c r="EF23284"/>
      <c r="EG23284"/>
      <c r="EH23284"/>
      <c r="EI23284"/>
      <c r="EJ23284"/>
      <c r="EK23284"/>
    </row>
    <row r="23285" spans="1:141" s="116" customFormat="1">
      <c r="A23285" s="136"/>
      <c r="CM23285" s="111"/>
      <c r="CQ23285" s="111"/>
      <c r="EF23285"/>
      <c r="EG23285"/>
      <c r="EH23285"/>
      <c r="EI23285"/>
      <c r="EJ23285"/>
      <c r="EK23285"/>
    </row>
    <row r="23286" spans="1:141" s="116" customFormat="1">
      <c r="A23286" s="136"/>
      <c r="CM23286" s="111"/>
      <c r="CQ23286" s="111"/>
      <c r="EF23286"/>
      <c r="EG23286"/>
      <c r="EH23286"/>
      <c r="EI23286"/>
      <c r="EJ23286"/>
      <c r="EK23286"/>
    </row>
    <row r="23287" spans="1:141" s="116" customFormat="1">
      <c r="A23287" s="136"/>
      <c r="CM23287" s="111"/>
      <c r="CQ23287" s="111"/>
      <c r="EF23287"/>
      <c r="EG23287"/>
      <c r="EH23287"/>
      <c r="EI23287"/>
      <c r="EJ23287"/>
      <c r="EK23287"/>
    </row>
    <row r="23288" spans="1:141" s="116" customFormat="1">
      <c r="A23288" s="136"/>
      <c r="CM23288" s="111"/>
      <c r="CQ23288" s="111"/>
      <c r="EF23288"/>
      <c r="EG23288"/>
      <c r="EH23288"/>
      <c r="EI23288"/>
      <c r="EJ23288"/>
      <c r="EK23288"/>
    </row>
    <row r="23289" spans="1:141" s="116" customFormat="1">
      <c r="A23289" s="136"/>
      <c r="CM23289" s="111"/>
      <c r="CQ23289" s="111"/>
      <c r="EF23289"/>
      <c r="EG23289"/>
      <c r="EH23289"/>
      <c r="EI23289"/>
      <c r="EJ23289"/>
      <c r="EK23289"/>
    </row>
    <row r="23290" spans="1:141" s="116" customFormat="1">
      <c r="A23290" s="136"/>
      <c r="CM23290" s="111"/>
      <c r="CQ23290" s="111"/>
      <c r="EF23290"/>
      <c r="EG23290"/>
      <c r="EH23290"/>
      <c r="EI23290"/>
      <c r="EJ23290"/>
      <c r="EK23290"/>
    </row>
    <row r="23291" spans="1:141" s="116" customFormat="1">
      <c r="A23291" s="136"/>
      <c r="CM23291" s="111"/>
      <c r="CQ23291" s="111"/>
      <c r="EF23291"/>
      <c r="EG23291"/>
      <c r="EH23291"/>
      <c r="EI23291"/>
      <c r="EJ23291"/>
      <c r="EK23291"/>
    </row>
    <row r="23292" spans="1:141" s="116" customFormat="1">
      <c r="A23292" s="136"/>
      <c r="CM23292" s="111"/>
      <c r="CQ23292" s="111"/>
      <c r="EF23292"/>
      <c r="EG23292"/>
      <c r="EH23292"/>
      <c r="EI23292"/>
      <c r="EJ23292"/>
      <c r="EK23292"/>
    </row>
    <row r="23293" spans="1:141" s="116" customFormat="1">
      <c r="A23293" s="136"/>
      <c r="CM23293" s="111"/>
      <c r="CQ23293" s="111"/>
      <c r="EF23293"/>
      <c r="EG23293"/>
      <c r="EH23293"/>
      <c r="EI23293"/>
      <c r="EJ23293"/>
      <c r="EK23293"/>
    </row>
    <row r="23294" spans="1:141" s="116" customFormat="1">
      <c r="A23294" s="136"/>
      <c r="CM23294" s="111"/>
      <c r="CQ23294" s="111"/>
      <c r="EF23294"/>
      <c r="EG23294"/>
      <c r="EH23294"/>
      <c r="EI23294"/>
      <c r="EJ23294"/>
      <c r="EK23294"/>
    </row>
    <row r="23295" spans="1:141" s="116" customFormat="1">
      <c r="A23295" s="136"/>
      <c r="CM23295" s="111"/>
      <c r="CQ23295" s="111"/>
      <c r="EF23295"/>
      <c r="EG23295"/>
      <c r="EH23295"/>
      <c r="EI23295"/>
      <c r="EJ23295"/>
      <c r="EK23295"/>
    </row>
    <row r="23296" spans="1:141" s="116" customFormat="1">
      <c r="A23296" s="136"/>
      <c r="CM23296" s="111"/>
      <c r="CQ23296" s="111"/>
      <c r="EF23296"/>
      <c r="EG23296"/>
      <c r="EH23296"/>
      <c r="EI23296"/>
      <c r="EJ23296"/>
      <c r="EK23296"/>
    </row>
    <row r="23297" spans="1:141" s="116" customFormat="1">
      <c r="A23297" s="136"/>
      <c r="CM23297" s="111"/>
      <c r="CQ23297" s="111"/>
      <c r="EF23297"/>
      <c r="EG23297"/>
      <c r="EH23297"/>
      <c r="EI23297"/>
      <c r="EJ23297"/>
      <c r="EK23297"/>
    </row>
    <row r="23298" spans="1:141" s="116" customFormat="1">
      <c r="A23298" s="136"/>
      <c r="CM23298" s="111"/>
      <c r="CQ23298" s="111"/>
      <c r="EF23298"/>
      <c r="EG23298"/>
      <c r="EH23298"/>
      <c r="EI23298"/>
      <c r="EJ23298"/>
      <c r="EK23298"/>
    </row>
    <row r="23299" spans="1:141" s="116" customFormat="1">
      <c r="A23299" s="136"/>
      <c r="CM23299" s="111"/>
      <c r="CQ23299" s="111"/>
      <c r="EF23299"/>
      <c r="EG23299"/>
      <c r="EH23299"/>
      <c r="EI23299"/>
      <c r="EJ23299"/>
      <c r="EK23299"/>
    </row>
    <row r="23300" spans="1:141" s="116" customFormat="1">
      <c r="A23300" s="136"/>
      <c r="CM23300" s="111"/>
      <c r="CQ23300" s="111"/>
      <c r="EF23300"/>
      <c r="EG23300"/>
      <c r="EH23300"/>
      <c r="EI23300"/>
      <c r="EJ23300"/>
      <c r="EK23300"/>
    </row>
    <row r="23301" spans="1:141" s="116" customFormat="1">
      <c r="A23301" s="136"/>
      <c r="CM23301" s="111"/>
      <c r="CQ23301" s="111"/>
      <c r="EF23301"/>
      <c r="EG23301"/>
      <c r="EH23301"/>
      <c r="EI23301"/>
      <c r="EJ23301"/>
      <c r="EK23301"/>
    </row>
    <row r="23302" spans="1:141" s="116" customFormat="1">
      <c r="A23302" s="136"/>
      <c r="CM23302" s="111"/>
      <c r="CQ23302" s="111"/>
      <c r="EF23302"/>
      <c r="EG23302"/>
      <c r="EH23302"/>
      <c r="EI23302"/>
      <c r="EJ23302"/>
      <c r="EK23302"/>
    </row>
    <row r="23303" spans="1:141" s="116" customFormat="1">
      <c r="A23303" s="136"/>
      <c r="CM23303" s="111"/>
      <c r="CQ23303" s="111"/>
      <c r="EF23303"/>
      <c r="EG23303"/>
      <c r="EH23303"/>
      <c r="EI23303"/>
      <c r="EJ23303"/>
      <c r="EK23303"/>
    </row>
    <row r="23304" spans="1:141" s="116" customFormat="1">
      <c r="A23304" s="136"/>
      <c r="CM23304" s="111"/>
      <c r="CQ23304" s="111"/>
      <c r="EF23304"/>
      <c r="EG23304"/>
      <c r="EH23304"/>
      <c r="EI23304"/>
      <c r="EJ23304"/>
      <c r="EK23304"/>
    </row>
    <row r="23305" spans="1:141" s="116" customFormat="1">
      <c r="A23305" s="136"/>
      <c r="CM23305" s="111"/>
      <c r="CQ23305" s="111"/>
      <c r="EF23305"/>
      <c r="EG23305"/>
      <c r="EH23305"/>
      <c r="EI23305"/>
      <c r="EJ23305"/>
      <c r="EK23305"/>
    </row>
    <row r="23306" spans="1:141" s="116" customFormat="1">
      <c r="A23306" s="136"/>
      <c r="CM23306" s="111"/>
      <c r="CQ23306" s="111"/>
      <c r="EF23306"/>
      <c r="EG23306"/>
      <c r="EH23306"/>
      <c r="EI23306"/>
      <c r="EJ23306"/>
      <c r="EK23306"/>
    </row>
    <row r="23307" spans="1:141" s="116" customFormat="1">
      <c r="A23307" s="136"/>
      <c r="CM23307" s="111"/>
      <c r="CQ23307" s="111"/>
      <c r="EF23307"/>
      <c r="EG23307"/>
      <c r="EH23307"/>
      <c r="EI23307"/>
      <c r="EJ23307"/>
      <c r="EK23307"/>
    </row>
    <row r="23308" spans="1:141" s="116" customFormat="1">
      <c r="A23308" s="136"/>
      <c r="CM23308" s="111"/>
      <c r="CQ23308" s="111"/>
      <c r="EF23308"/>
      <c r="EG23308"/>
      <c r="EH23308"/>
      <c r="EI23308"/>
      <c r="EJ23308"/>
      <c r="EK23308"/>
    </row>
    <row r="23309" spans="1:141" s="116" customFormat="1">
      <c r="A23309" s="136"/>
      <c r="CM23309" s="111"/>
      <c r="CQ23309" s="111"/>
      <c r="EF23309"/>
      <c r="EG23309"/>
      <c r="EH23309"/>
      <c r="EI23309"/>
      <c r="EJ23309"/>
      <c r="EK23309"/>
    </row>
    <row r="23310" spans="1:141" s="116" customFormat="1">
      <c r="A23310" s="136"/>
      <c r="CM23310" s="111"/>
      <c r="CQ23310" s="111"/>
      <c r="EF23310"/>
      <c r="EG23310"/>
      <c r="EH23310"/>
      <c r="EI23310"/>
      <c r="EJ23310"/>
      <c r="EK23310"/>
    </row>
    <row r="23311" spans="1:141" s="116" customFormat="1">
      <c r="A23311" s="136"/>
      <c r="CM23311" s="111"/>
      <c r="CQ23311" s="111"/>
      <c r="EF23311"/>
      <c r="EG23311"/>
      <c r="EH23311"/>
      <c r="EI23311"/>
      <c r="EJ23311"/>
      <c r="EK23311"/>
    </row>
    <row r="23312" spans="1:141" s="116" customFormat="1">
      <c r="A23312" s="136"/>
      <c r="CM23312" s="111"/>
      <c r="CQ23312" s="111"/>
      <c r="EF23312"/>
      <c r="EG23312"/>
      <c r="EH23312"/>
      <c r="EI23312"/>
      <c r="EJ23312"/>
      <c r="EK23312"/>
    </row>
    <row r="23313" spans="1:141" s="116" customFormat="1">
      <c r="A23313" s="136"/>
      <c r="CM23313" s="111"/>
      <c r="CQ23313" s="111"/>
      <c r="EF23313"/>
      <c r="EG23313"/>
      <c r="EH23313"/>
      <c r="EI23313"/>
      <c r="EJ23313"/>
      <c r="EK23313"/>
    </row>
    <row r="23314" spans="1:141" s="116" customFormat="1">
      <c r="A23314" s="136"/>
      <c r="CM23314" s="111"/>
      <c r="CQ23314" s="111"/>
      <c r="EF23314"/>
      <c r="EG23314"/>
      <c r="EH23314"/>
      <c r="EI23314"/>
      <c r="EJ23314"/>
      <c r="EK23314"/>
    </row>
    <row r="23315" spans="1:141" s="116" customFormat="1">
      <c r="A23315" s="136"/>
      <c r="CM23315" s="111"/>
      <c r="CQ23315" s="111"/>
      <c r="EF23315"/>
      <c r="EG23315"/>
      <c r="EH23315"/>
      <c r="EI23315"/>
      <c r="EJ23315"/>
      <c r="EK23315"/>
    </row>
    <row r="23316" spans="1:141" s="116" customFormat="1">
      <c r="A23316" s="136"/>
      <c r="CM23316" s="111"/>
      <c r="CQ23316" s="111"/>
      <c r="EF23316"/>
      <c r="EG23316"/>
      <c r="EH23316"/>
      <c r="EI23316"/>
      <c r="EJ23316"/>
      <c r="EK23316"/>
    </row>
    <row r="23317" spans="1:141" s="116" customFormat="1">
      <c r="A23317" s="136"/>
      <c r="CM23317" s="111"/>
      <c r="CQ23317" s="111"/>
      <c r="EF23317"/>
      <c r="EG23317"/>
      <c r="EH23317"/>
      <c r="EI23317"/>
      <c r="EJ23317"/>
      <c r="EK23317"/>
    </row>
    <row r="23318" spans="1:141" s="116" customFormat="1">
      <c r="A23318" s="136"/>
      <c r="CM23318" s="111"/>
      <c r="CQ23318" s="111"/>
      <c r="EF23318"/>
      <c r="EG23318"/>
      <c r="EH23318"/>
      <c r="EI23318"/>
      <c r="EJ23318"/>
      <c r="EK23318"/>
    </row>
    <row r="23319" spans="1:141" s="116" customFormat="1">
      <c r="A23319" s="136"/>
      <c r="CM23319" s="111"/>
      <c r="CQ23319" s="111"/>
      <c r="EF23319"/>
      <c r="EG23319"/>
      <c r="EH23319"/>
      <c r="EI23319"/>
      <c r="EJ23319"/>
      <c r="EK23319"/>
    </row>
    <row r="23320" spans="1:141" s="116" customFormat="1">
      <c r="A23320" s="136"/>
      <c r="CM23320" s="111"/>
      <c r="CQ23320" s="111"/>
      <c r="EF23320"/>
      <c r="EG23320"/>
      <c r="EH23320"/>
      <c r="EI23320"/>
      <c r="EJ23320"/>
      <c r="EK23320"/>
    </row>
    <row r="23321" spans="1:141" s="116" customFormat="1">
      <c r="A23321" s="136"/>
      <c r="CM23321" s="111"/>
      <c r="CQ23321" s="111"/>
      <c r="EF23321"/>
      <c r="EG23321"/>
      <c r="EH23321"/>
      <c r="EI23321"/>
      <c r="EJ23321"/>
      <c r="EK23321"/>
    </row>
    <row r="23322" spans="1:141" s="116" customFormat="1">
      <c r="A23322" s="136"/>
      <c r="CM23322" s="111"/>
      <c r="CQ23322" s="111"/>
      <c r="EF23322"/>
      <c r="EG23322"/>
      <c r="EH23322"/>
      <c r="EI23322"/>
      <c r="EJ23322"/>
      <c r="EK23322"/>
    </row>
    <row r="23323" spans="1:141" s="116" customFormat="1">
      <c r="A23323" s="136"/>
      <c r="CM23323" s="111"/>
      <c r="CQ23323" s="111"/>
      <c r="EF23323"/>
      <c r="EG23323"/>
      <c r="EH23323"/>
      <c r="EI23323"/>
      <c r="EJ23323"/>
      <c r="EK23323"/>
    </row>
    <row r="23324" spans="1:141" s="116" customFormat="1">
      <c r="A23324" s="136"/>
      <c r="CM23324" s="111"/>
      <c r="CQ23324" s="111"/>
      <c r="EF23324"/>
      <c r="EG23324"/>
      <c r="EH23324"/>
      <c r="EI23324"/>
      <c r="EJ23324"/>
      <c r="EK23324"/>
    </row>
    <row r="23325" spans="1:141" s="116" customFormat="1">
      <c r="A23325" s="136"/>
      <c r="CM23325" s="111"/>
      <c r="CQ23325" s="111"/>
      <c r="EF23325"/>
      <c r="EG23325"/>
      <c r="EH23325"/>
      <c r="EI23325"/>
      <c r="EJ23325"/>
      <c r="EK23325"/>
    </row>
    <row r="23326" spans="1:141" s="116" customFormat="1">
      <c r="A23326" s="136"/>
      <c r="CM23326" s="111"/>
      <c r="CQ23326" s="111"/>
      <c r="EF23326"/>
      <c r="EG23326"/>
      <c r="EH23326"/>
      <c r="EI23326"/>
      <c r="EJ23326"/>
      <c r="EK23326"/>
    </row>
    <row r="23327" spans="1:141" s="116" customFormat="1">
      <c r="A23327" s="136"/>
      <c r="CM23327" s="111"/>
      <c r="CQ23327" s="111"/>
      <c r="EF23327"/>
      <c r="EG23327"/>
      <c r="EH23327"/>
      <c r="EI23327"/>
      <c r="EJ23327"/>
      <c r="EK23327"/>
    </row>
    <row r="23328" spans="1:141" s="116" customFormat="1">
      <c r="A23328" s="136"/>
      <c r="CM23328" s="111"/>
      <c r="CQ23328" s="111"/>
      <c r="EF23328"/>
      <c r="EG23328"/>
      <c r="EH23328"/>
      <c r="EI23328"/>
      <c r="EJ23328"/>
      <c r="EK23328"/>
    </row>
    <row r="23329" spans="1:141" s="116" customFormat="1">
      <c r="A23329" s="136"/>
      <c r="CM23329" s="111"/>
      <c r="CQ23329" s="111"/>
      <c r="EF23329"/>
      <c r="EG23329"/>
      <c r="EH23329"/>
      <c r="EI23329"/>
      <c r="EJ23329"/>
      <c r="EK23329"/>
    </row>
    <row r="23330" spans="1:141" s="116" customFormat="1">
      <c r="A23330" s="136"/>
      <c r="CM23330" s="111"/>
      <c r="CQ23330" s="111"/>
      <c r="EF23330"/>
      <c r="EG23330"/>
      <c r="EH23330"/>
      <c r="EI23330"/>
      <c r="EJ23330"/>
      <c r="EK23330"/>
    </row>
    <row r="23331" spans="1:141" s="116" customFormat="1">
      <c r="A23331" s="136"/>
      <c r="CM23331" s="111"/>
      <c r="CQ23331" s="111"/>
      <c r="EF23331"/>
      <c r="EG23331"/>
      <c r="EH23331"/>
      <c r="EI23331"/>
      <c r="EJ23331"/>
      <c r="EK23331"/>
    </row>
    <row r="23332" spans="1:141" s="116" customFormat="1">
      <c r="A23332" s="136"/>
      <c r="CM23332" s="111"/>
      <c r="CQ23332" s="111"/>
      <c r="EF23332"/>
      <c r="EG23332"/>
      <c r="EH23332"/>
      <c r="EI23332"/>
      <c r="EJ23332"/>
      <c r="EK23332"/>
    </row>
    <row r="23333" spans="1:141" s="116" customFormat="1">
      <c r="A23333" s="136"/>
      <c r="CM23333" s="111"/>
      <c r="CQ23333" s="111"/>
      <c r="EF23333"/>
      <c r="EG23333"/>
      <c r="EH23333"/>
      <c r="EI23333"/>
      <c r="EJ23333"/>
      <c r="EK23333"/>
    </row>
    <row r="23334" spans="1:141" s="116" customFormat="1">
      <c r="A23334" s="136"/>
      <c r="CM23334" s="111"/>
      <c r="CQ23334" s="111"/>
      <c r="EF23334"/>
      <c r="EG23334"/>
      <c r="EH23334"/>
      <c r="EI23334"/>
      <c r="EJ23334"/>
      <c r="EK23334"/>
    </row>
    <row r="23335" spans="1:141" s="116" customFormat="1">
      <c r="A23335" s="136"/>
      <c r="CM23335" s="111"/>
      <c r="CQ23335" s="111"/>
      <c r="EF23335"/>
      <c r="EG23335"/>
      <c r="EH23335"/>
      <c r="EI23335"/>
      <c r="EJ23335"/>
      <c r="EK23335"/>
    </row>
    <row r="23336" spans="1:141" s="116" customFormat="1">
      <c r="A23336" s="136"/>
      <c r="CM23336" s="111"/>
      <c r="CQ23336" s="111"/>
      <c r="EF23336"/>
      <c r="EG23336"/>
      <c r="EH23336"/>
      <c r="EI23336"/>
      <c r="EJ23336"/>
      <c r="EK23336"/>
    </row>
    <row r="23337" spans="1:141" s="116" customFormat="1">
      <c r="A23337" s="136"/>
      <c r="CM23337" s="111"/>
      <c r="CQ23337" s="111"/>
      <c r="EF23337"/>
      <c r="EG23337"/>
      <c r="EH23337"/>
      <c r="EI23337"/>
      <c r="EJ23337"/>
      <c r="EK23337"/>
    </row>
    <row r="23338" spans="1:141" s="116" customFormat="1">
      <c r="A23338" s="136"/>
      <c r="CM23338" s="111"/>
      <c r="CQ23338" s="111"/>
      <c r="EF23338"/>
      <c r="EG23338"/>
      <c r="EH23338"/>
      <c r="EI23338"/>
      <c r="EJ23338"/>
      <c r="EK23338"/>
    </row>
    <row r="23339" spans="1:141" s="116" customFormat="1">
      <c r="A23339" s="136"/>
      <c r="CM23339" s="111"/>
      <c r="CQ23339" s="111"/>
      <c r="EF23339"/>
      <c r="EG23339"/>
      <c r="EH23339"/>
      <c r="EI23339"/>
      <c r="EJ23339"/>
      <c r="EK23339"/>
    </row>
    <row r="23340" spans="1:141" s="116" customFormat="1">
      <c r="A23340" s="136"/>
      <c r="CM23340" s="111"/>
      <c r="CQ23340" s="111"/>
      <c r="EF23340"/>
      <c r="EG23340"/>
      <c r="EH23340"/>
      <c r="EI23340"/>
      <c r="EJ23340"/>
      <c r="EK23340"/>
    </row>
    <row r="23341" spans="1:141" s="116" customFormat="1">
      <c r="A23341" s="136"/>
      <c r="CM23341" s="111"/>
      <c r="CQ23341" s="111"/>
      <c r="EF23341"/>
      <c r="EG23341"/>
      <c r="EH23341"/>
      <c r="EI23341"/>
      <c r="EJ23341"/>
      <c r="EK23341"/>
    </row>
    <row r="23342" spans="1:141" s="116" customFormat="1">
      <c r="A23342" s="136"/>
      <c r="CM23342" s="111"/>
      <c r="CQ23342" s="111"/>
      <c r="EF23342"/>
      <c r="EG23342"/>
      <c r="EH23342"/>
      <c r="EI23342"/>
      <c r="EJ23342"/>
      <c r="EK23342"/>
    </row>
    <row r="23343" spans="1:141" s="116" customFormat="1">
      <c r="A23343" s="136"/>
      <c r="CM23343" s="111"/>
      <c r="CQ23343" s="111"/>
      <c r="EF23343"/>
      <c r="EG23343"/>
      <c r="EH23343"/>
      <c r="EI23343"/>
      <c r="EJ23343"/>
      <c r="EK23343"/>
    </row>
    <row r="23344" spans="1:141" s="116" customFormat="1">
      <c r="A23344" s="136"/>
      <c r="CM23344" s="111"/>
      <c r="CQ23344" s="111"/>
      <c r="EF23344"/>
      <c r="EG23344"/>
      <c r="EH23344"/>
      <c r="EI23344"/>
      <c r="EJ23344"/>
      <c r="EK23344"/>
    </row>
    <row r="23345" spans="1:141" s="116" customFormat="1">
      <c r="A23345" s="136"/>
      <c r="CM23345" s="111"/>
      <c r="CQ23345" s="111"/>
      <c r="EF23345"/>
      <c r="EG23345"/>
      <c r="EH23345"/>
      <c r="EI23345"/>
      <c r="EJ23345"/>
      <c r="EK23345"/>
    </row>
    <row r="23346" spans="1:141" s="116" customFormat="1">
      <c r="A23346" s="136"/>
      <c r="CM23346" s="111"/>
      <c r="CQ23346" s="111"/>
      <c r="EF23346"/>
      <c r="EG23346"/>
      <c r="EH23346"/>
      <c r="EI23346"/>
      <c r="EJ23346"/>
      <c r="EK23346"/>
    </row>
    <row r="23347" spans="1:141" s="116" customFormat="1">
      <c r="A23347" s="136"/>
      <c r="CM23347" s="111"/>
      <c r="CQ23347" s="111"/>
      <c r="EF23347"/>
      <c r="EG23347"/>
      <c r="EH23347"/>
      <c r="EI23347"/>
      <c r="EJ23347"/>
      <c r="EK23347"/>
    </row>
    <row r="23348" spans="1:141" s="116" customFormat="1">
      <c r="A23348" s="136"/>
      <c r="CM23348" s="111"/>
      <c r="CQ23348" s="111"/>
      <c r="EF23348"/>
      <c r="EG23348"/>
      <c r="EH23348"/>
      <c r="EI23348"/>
      <c r="EJ23348"/>
      <c r="EK23348"/>
    </row>
    <row r="23349" spans="1:141" s="116" customFormat="1">
      <c r="A23349" s="136"/>
      <c r="CM23349" s="111"/>
      <c r="CQ23349" s="111"/>
      <c r="EF23349"/>
      <c r="EG23349"/>
      <c r="EH23349"/>
      <c r="EI23349"/>
      <c r="EJ23349"/>
      <c r="EK23349"/>
    </row>
    <row r="23350" spans="1:141" s="116" customFormat="1">
      <c r="A23350" s="136"/>
      <c r="CM23350" s="111"/>
      <c r="CQ23350" s="111"/>
      <c r="EF23350"/>
      <c r="EG23350"/>
      <c r="EH23350"/>
      <c r="EI23350"/>
      <c r="EJ23350"/>
      <c r="EK23350"/>
    </row>
    <row r="23351" spans="1:141" s="116" customFormat="1">
      <c r="A23351" s="136"/>
      <c r="CM23351" s="111"/>
      <c r="CQ23351" s="111"/>
      <c r="EF23351"/>
      <c r="EG23351"/>
      <c r="EH23351"/>
      <c r="EI23351"/>
      <c r="EJ23351"/>
      <c r="EK23351"/>
    </row>
    <row r="23352" spans="1:141" s="116" customFormat="1">
      <c r="A23352" s="136"/>
      <c r="CM23352" s="111"/>
      <c r="CQ23352" s="111"/>
      <c r="EF23352"/>
      <c r="EG23352"/>
      <c r="EH23352"/>
      <c r="EI23352"/>
      <c r="EJ23352"/>
      <c r="EK23352"/>
    </row>
    <row r="23353" spans="1:141" s="116" customFormat="1">
      <c r="A23353" s="136"/>
      <c r="CM23353" s="111"/>
      <c r="CQ23353" s="111"/>
      <c r="EF23353"/>
      <c r="EG23353"/>
      <c r="EH23353"/>
      <c r="EI23353"/>
      <c r="EJ23353"/>
      <c r="EK23353"/>
    </row>
    <row r="23354" spans="1:141" s="116" customFormat="1">
      <c r="A23354" s="136"/>
      <c r="CM23354" s="111"/>
      <c r="CQ23354" s="111"/>
      <c r="EF23354"/>
      <c r="EG23354"/>
      <c r="EH23354"/>
      <c r="EI23354"/>
      <c r="EJ23354"/>
      <c r="EK23354"/>
    </row>
    <row r="23355" spans="1:141" s="116" customFormat="1">
      <c r="A23355" s="136"/>
      <c r="CM23355" s="111"/>
      <c r="CQ23355" s="111"/>
      <c r="EF23355"/>
      <c r="EG23355"/>
      <c r="EH23355"/>
      <c r="EI23355"/>
      <c r="EJ23355"/>
      <c r="EK23355"/>
    </row>
    <row r="23356" spans="1:141" s="116" customFormat="1">
      <c r="A23356" s="136"/>
      <c r="CM23356" s="111"/>
      <c r="CQ23356" s="111"/>
      <c r="EF23356"/>
      <c r="EG23356"/>
      <c r="EH23356"/>
      <c r="EI23356"/>
      <c r="EJ23356"/>
      <c r="EK23356"/>
    </row>
    <row r="23357" spans="1:141" s="116" customFormat="1">
      <c r="A23357" s="136"/>
      <c r="CM23357" s="111"/>
      <c r="CQ23357" s="111"/>
      <c r="EF23357"/>
      <c r="EG23357"/>
      <c r="EH23357"/>
      <c r="EI23357"/>
      <c r="EJ23357"/>
      <c r="EK23357"/>
    </row>
    <row r="23358" spans="1:141" s="116" customFormat="1">
      <c r="A23358" s="136"/>
      <c r="CM23358" s="111"/>
      <c r="CQ23358" s="111"/>
      <c r="EF23358"/>
      <c r="EG23358"/>
      <c r="EH23358"/>
      <c r="EI23358"/>
      <c r="EJ23358"/>
      <c r="EK23358"/>
    </row>
    <row r="23359" spans="1:141" s="116" customFormat="1">
      <c r="A23359" s="136"/>
      <c r="CM23359" s="111"/>
      <c r="CQ23359" s="111"/>
      <c r="EF23359"/>
      <c r="EG23359"/>
      <c r="EH23359"/>
      <c r="EI23359"/>
      <c r="EJ23359"/>
      <c r="EK23359"/>
    </row>
    <row r="23360" spans="1:141" s="116" customFormat="1">
      <c r="A23360" s="136"/>
      <c r="CM23360" s="111"/>
      <c r="CQ23360" s="111"/>
      <c r="EF23360"/>
      <c r="EG23360"/>
      <c r="EH23360"/>
      <c r="EI23360"/>
      <c r="EJ23360"/>
      <c r="EK23360"/>
    </row>
    <row r="23361" spans="1:141" s="116" customFormat="1">
      <c r="A23361" s="136"/>
      <c r="CM23361" s="111"/>
      <c r="CQ23361" s="111"/>
      <c r="EF23361"/>
      <c r="EG23361"/>
      <c r="EH23361"/>
      <c r="EI23361"/>
      <c r="EJ23361"/>
      <c r="EK23361"/>
    </row>
    <row r="23362" spans="1:141" s="116" customFormat="1">
      <c r="A23362" s="136"/>
      <c r="CM23362" s="111"/>
      <c r="CQ23362" s="111"/>
      <c r="EF23362"/>
      <c r="EG23362"/>
      <c r="EH23362"/>
      <c r="EI23362"/>
      <c r="EJ23362"/>
      <c r="EK23362"/>
    </row>
    <row r="23363" spans="1:141" s="116" customFormat="1">
      <c r="A23363" s="136"/>
      <c r="CM23363" s="111"/>
      <c r="CQ23363" s="111"/>
      <c r="EF23363"/>
      <c r="EG23363"/>
      <c r="EH23363"/>
      <c r="EI23363"/>
      <c r="EJ23363"/>
      <c r="EK23363"/>
    </row>
    <row r="23364" spans="1:141" s="116" customFormat="1">
      <c r="A23364" s="136"/>
      <c r="CM23364" s="111"/>
      <c r="CQ23364" s="111"/>
      <c r="EF23364"/>
      <c r="EG23364"/>
      <c r="EH23364"/>
      <c r="EI23364"/>
      <c r="EJ23364"/>
      <c r="EK23364"/>
    </row>
    <row r="23365" spans="1:141" s="116" customFormat="1">
      <c r="A23365" s="136"/>
      <c r="CM23365" s="111"/>
      <c r="CQ23365" s="111"/>
      <c r="EF23365"/>
      <c r="EG23365"/>
      <c r="EH23365"/>
      <c r="EI23365"/>
      <c r="EJ23365"/>
      <c r="EK23365"/>
    </row>
    <row r="23366" spans="1:141" s="116" customFormat="1">
      <c r="A23366" s="136"/>
      <c r="CM23366" s="111"/>
      <c r="CQ23366" s="111"/>
      <c r="EF23366"/>
      <c r="EG23366"/>
      <c r="EH23366"/>
      <c r="EI23366"/>
      <c r="EJ23366"/>
      <c r="EK23366"/>
    </row>
    <row r="23367" spans="1:141" s="116" customFormat="1">
      <c r="A23367" s="136"/>
      <c r="CM23367" s="111"/>
      <c r="CQ23367" s="111"/>
      <c r="EF23367"/>
      <c r="EG23367"/>
      <c r="EH23367"/>
      <c r="EI23367"/>
      <c r="EJ23367"/>
      <c r="EK23367"/>
    </row>
    <row r="23368" spans="1:141" s="116" customFormat="1">
      <c r="A23368" s="136"/>
      <c r="CM23368" s="111"/>
      <c r="CQ23368" s="111"/>
      <c r="EF23368"/>
      <c r="EG23368"/>
      <c r="EH23368"/>
      <c r="EI23368"/>
      <c r="EJ23368"/>
      <c r="EK23368"/>
    </row>
    <row r="23369" spans="1:141" s="116" customFormat="1">
      <c r="A23369" s="136"/>
      <c r="CM23369" s="111"/>
      <c r="CQ23369" s="111"/>
      <c r="EF23369"/>
      <c r="EG23369"/>
      <c r="EH23369"/>
      <c r="EI23369"/>
      <c r="EJ23369"/>
      <c r="EK23369"/>
    </row>
    <row r="23370" spans="1:141" s="116" customFormat="1">
      <c r="A23370" s="136"/>
      <c r="CM23370" s="111"/>
      <c r="CQ23370" s="111"/>
      <c r="EF23370"/>
      <c r="EG23370"/>
      <c r="EH23370"/>
      <c r="EI23370"/>
      <c r="EJ23370"/>
      <c r="EK23370"/>
    </row>
    <row r="23371" spans="1:141" s="116" customFormat="1">
      <c r="A23371" s="136"/>
      <c r="CM23371" s="111"/>
      <c r="CQ23371" s="111"/>
      <c r="EF23371"/>
      <c r="EG23371"/>
      <c r="EH23371"/>
      <c r="EI23371"/>
      <c r="EJ23371"/>
      <c r="EK23371"/>
    </row>
    <row r="23372" spans="1:141" s="116" customFormat="1">
      <c r="A23372" s="136"/>
      <c r="CM23372" s="111"/>
      <c r="CQ23372" s="111"/>
      <c r="EF23372"/>
      <c r="EG23372"/>
      <c r="EH23372"/>
      <c r="EI23372"/>
      <c r="EJ23372"/>
      <c r="EK23372"/>
    </row>
    <row r="23373" spans="1:141" s="116" customFormat="1">
      <c r="A23373" s="136"/>
      <c r="CM23373" s="111"/>
      <c r="CQ23373" s="111"/>
      <c r="EF23373"/>
      <c r="EG23373"/>
      <c r="EH23373"/>
      <c r="EI23373"/>
      <c r="EJ23373"/>
      <c r="EK23373"/>
    </row>
    <row r="23374" spans="1:141" s="116" customFormat="1">
      <c r="A23374" s="136"/>
      <c r="CM23374" s="111"/>
      <c r="CQ23374" s="111"/>
      <c r="EF23374"/>
      <c r="EG23374"/>
      <c r="EH23374"/>
      <c r="EI23374"/>
      <c r="EJ23374"/>
      <c r="EK23374"/>
    </row>
    <row r="23375" spans="1:141" s="116" customFormat="1">
      <c r="A23375" s="136"/>
      <c r="CM23375" s="111"/>
      <c r="CQ23375" s="111"/>
      <c r="EF23375"/>
      <c r="EG23375"/>
      <c r="EH23375"/>
      <c r="EI23375"/>
      <c r="EJ23375"/>
      <c r="EK23375"/>
    </row>
    <row r="23376" spans="1:141" s="116" customFormat="1">
      <c r="A23376" s="136"/>
      <c r="CM23376" s="111"/>
      <c r="CQ23376" s="111"/>
      <c r="EF23376"/>
      <c r="EG23376"/>
      <c r="EH23376"/>
      <c r="EI23376"/>
      <c r="EJ23376"/>
      <c r="EK23376"/>
    </row>
    <row r="23377" spans="1:141" s="116" customFormat="1">
      <c r="A23377" s="136"/>
      <c r="CM23377" s="111"/>
      <c r="CQ23377" s="111"/>
      <c r="EF23377"/>
      <c r="EG23377"/>
      <c r="EH23377"/>
      <c r="EI23377"/>
      <c r="EJ23377"/>
      <c r="EK23377"/>
    </row>
    <row r="23378" spans="1:141" s="116" customFormat="1">
      <c r="A23378" s="136"/>
      <c r="CM23378" s="111"/>
      <c r="CQ23378" s="111"/>
      <c r="EF23378"/>
      <c r="EG23378"/>
      <c r="EH23378"/>
      <c r="EI23378"/>
      <c r="EJ23378"/>
      <c r="EK23378"/>
    </row>
    <row r="23379" spans="1:141" s="116" customFormat="1">
      <c r="A23379" s="136"/>
      <c r="CM23379" s="111"/>
      <c r="CQ23379" s="111"/>
      <c r="EF23379"/>
      <c r="EG23379"/>
      <c r="EH23379"/>
      <c r="EI23379"/>
      <c r="EJ23379"/>
      <c r="EK23379"/>
    </row>
    <row r="23380" spans="1:141" s="116" customFormat="1">
      <c r="A23380" s="136"/>
      <c r="CM23380" s="111"/>
      <c r="CQ23380" s="111"/>
      <c r="EF23380"/>
      <c r="EG23380"/>
      <c r="EH23380"/>
      <c r="EI23380"/>
      <c r="EJ23380"/>
      <c r="EK23380"/>
    </row>
    <row r="23381" spans="1:141" s="116" customFormat="1">
      <c r="A23381" s="136"/>
      <c r="CM23381" s="111"/>
      <c r="CQ23381" s="111"/>
      <c r="EF23381"/>
      <c r="EG23381"/>
      <c r="EH23381"/>
      <c r="EI23381"/>
      <c r="EJ23381"/>
      <c r="EK23381"/>
    </row>
    <row r="23382" spans="1:141" s="116" customFormat="1">
      <c r="A23382" s="136"/>
      <c r="CM23382" s="111"/>
      <c r="CQ23382" s="111"/>
      <c r="EF23382"/>
      <c r="EG23382"/>
      <c r="EH23382"/>
      <c r="EI23382"/>
      <c r="EJ23382"/>
      <c r="EK23382"/>
    </row>
    <row r="23383" spans="1:141" s="116" customFormat="1">
      <c r="A23383" s="136"/>
      <c r="CM23383" s="111"/>
      <c r="CQ23383" s="111"/>
      <c r="EF23383"/>
      <c r="EG23383"/>
      <c r="EH23383"/>
      <c r="EI23383"/>
      <c r="EJ23383"/>
      <c r="EK23383"/>
    </row>
    <row r="23384" spans="1:141" s="116" customFormat="1">
      <c r="A23384" s="136"/>
      <c r="CM23384" s="111"/>
      <c r="CQ23384" s="111"/>
      <c r="EF23384"/>
      <c r="EG23384"/>
      <c r="EH23384"/>
      <c r="EI23384"/>
      <c r="EJ23384"/>
      <c r="EK23384"/>
    </row>
    <row r="23385" spans="1:141" s="116" customFormat="1">
      <c r="A23385" s="136"/>
      <c r="CM23385" s="111"/>
      <c r="CQ23385" s="111"/>
      <c r="EF23385"/>
      <c r="EG23385"/>
      <c r="EH23385"/>
      <c r="EI23385"/>
      <c r="EJ23385"/>
      <c r="EK23385"/>
    </row>
    <row r="23386" spans="1:141" s="116" customFormat="1">
      <c r="A23386" s="136"/>
      <c r="CM23386" s="111"/>
      <c r="CQ23386" s="111"/>
      <c r="EF23386"/>
      <c r="EG23386"/>
      <c r="EH23386"/>
      <c r="EI23386"/>
      <c r="EJ23386"/>
      <c r="EK23386"/>
    </row>
    <row r="23387" spans="1:141" s="116" customFormat="1">
      <c r="A23387" s="136"/>
      <c r="CM23387" s="111"/>
      <c r="CQ23387" s="111"/>
      <c r="EF23387"/>
      <c r="EG23387"/>
      <c r="EH23387"/>
      <c r="EI23387"/>
      <c r="EJ23387"/>
      <c r="EK23387"/>
    </row>
    <row r="23388" spans="1:141" s="116" customFormat="1">
      <c r="A23388" s="136"/>
      <c r="CM23388" s="111"/>
      <c r="CQ23388" s="111"/>
      <c r="EF23388"/>
      <c r="EG23388"/>
      <c r="EH23388"/>
      <c r="EI23388"/>
      <c r="EJ23388"/>
      <c r="EK23388"/>
    </row>
    <row r="23389" spans="1:141" s="116" customFormat="1">
      <c r="A23389" s="136"/>
      <c r="CM23389" s="111"/>
      <c r="CQ23389" s="111"/>
      <c r="EF23389"/>
      <c r="EG23389"/>
      <c r="EH23389"/>
      <c r="EI23389"/>
      <c r="EJ23389"/>
      <c r="EK23389"/>
    </row>
    <row r="23390" spans="1:141" s="116" customFormat="1">
      <c r="A23390" s="136"/>
      <c r="CM23390" s="111"/>
      <c r="CQ23390" s="111"/>
      <c r="EF23390"/>
      <c r="EG23390"/>
      <c r="EH23390"/>
      <c r="EI23390"/>
      <c r="EJ23390"/>
      <c r="EK23390"/>
    </row>
    <row r="23391" spans="1:141" s="116" customFormat="1">
      <c r="A23391" s="136"/>
      <c r="CM23391" s="111"/>
      <c r="CQ23391" s="111"/>
      <c r="EF23391"/>
      <c r="EG23391"/>
      <c r="EH23391"/>
      <c r="EI23391"/>
      <c r="EJ23391"/>
      <c r="EK23391"/>
    </row>
    <row r="23392" spans="1:141" s="116" customFormat="1">
      <c r="A23392" s="136"/>
      <c r="CM23392" s="111"/>
      <c r="CQ23392" s="111"/>
      <c r="EF23392"/>
      <c r="EG23392"/>
      <c r="EH23392"/>
      <c r="EI23392"/>
      <c r="EJ23392"/>
      <c r="EK23392"/>
    </row>
    <row r="23393" spans="1:141" s="116" customFormat="1">
      <c r="A23393" s="136"/>
      <c r="CM23393" s="111"/>
      <c r="CQ23393" s="111"/>
      <c r="EF23393"/>
      <c r="EG23393"/>
      <c r="EH23393"/>
      <c r="EI23393"/>
      <c r="EJ23393"/>
      <c r="EK23393"/>
    </row>
    <row r="23394" spans="1:141" s="116" customFormat="1">
      <c r="A23394" s="136"/>
      <c r="CM23394" s="111"/>
      <c r="CQ23394" s="111"/>
      <c r="EF23394"/>
      <c r="EG23394"/>
      <c r="EH23394"/>
      <c r="EI23394"/>
      <c r="EJ23394"/>
      <c r="EK23394"/>
    </row>
    <row r="23395" spans="1:141" s="116" customFormat="1">
      <c r="A23395" s="136"/>
      <c r="CM23395" s="111"/>
      <c r="CQ23395" s="111"/>
      <c r="EF23395"/>
      <c r="EG23395"/>
      <c r="EH23395"/>
      <c r="EI23395"/>
      <c r="EJ23395"/>
      <c r="EK23395"/>
    </row>
    <row r="23396" spans="1:141" s="116" customFormat="1">
      <c r="A23396" s="136"/>
      <c r="CM23396" s="111"/>
      <c r="CQ23396" s="111"/>
      <c r="EF23396"/>
      <c r="EG23396"/>
      <c r="EH23396"/>
      <c r="EI23396"/>
      <c r="EJ23396"/>
      <c r="EK23396"/>
    </row>
    <row r="23397" spans="1:141" s="116" customFormat="1">
      <c r="A23397" s="136"/>
      <c r="CM23397" s="111"/>
      <c r="CQ23397" s="111"/>
      <c r="EF23397"/>
      <c r="EG23397"/>
      <c r="EH23397"/>
      <c r="EI23397"/>
      <c r="EJ23397"/>
      <c r="EK23397"/>
    </row>
    <row r="23398" spans="1:141" s="116" customFormat="1">
      <c r="A23398" s="136"/>
      <c r="CM23398" s="111"/>
      <c r="CQ23398" s="111"/>
      <c r="EF23398"/>
      <c r="EG23398"/>
      <c r="EH23398"/>
      <c r="EI23398"/>
      <c r="EJ23398"/>
      <c r="EK23398"/>
    </row>
    <row r="23399" spans="1:141" s="116" customFormat="1">
      <c r="A23399" s="136"/>
      <c r="CM23399" s="111"/>
      <c r="CQ23399" s="111"/>
      <c r="EF23399"/>
      <c r="EG23399"/>
      <c r="EH23399"/>
      <c r="EI23399"/>
      <c r="EJ23399"/>
      <c r="EK23399"/>
    </row>
    <row r="23400" spans="1:141" s="116" customFormat="1">
      <c r="A23400" s="136"/>
      <c r="CM23400" s="111"/>
      <c r="CQ23400" s="111"/>
      <c r="EF23400"/>
      <c r="EG23400"/>
      <c r="EH23400"/>
      <c r="EI23400"/>
      <c r="EJ23400"/>
      <c r="EK23400"/>
    </row>
    <row r="23401" spans="1:141" s="116" customFormat="1">
      <c r="A23401" s="136"/>
      <c r="CM23401" s="111"/>
      <c r="CQ23401" s="111"/>
      <c r="EF23401"/>
      <c r="EG23401"/>
      <c r="EH23401"/>
      <c r="EI23401"/>
      <c r="EJ23401"/>
      <c r="EK23401"/>
    </row>
    <row r="23402" spans="1:141" s="116" customFormat="1">
      <c r="A23402" s="136"/>
      <c r="CM23402" s="111"/>
      <c r="CQ23402" s="111"/>
      <c r="EF23402"/>
      <c r="EG23402"/>
      <c r="EH23402"/>
      <c r="EI23402"/>
      <c r="EJ23402"/>
      <c r="EK23402"/>
    </row>
    <row r="23403" spans="1:141" s="116" customFormat="1">
      <c r="A23403" s="136"/>
      <c r="CM23403" s="111"/>
      <c r="CQ23403" s="111"/>
      <c r="EF23403"/>
      <c r="EG23403"/>
      <c r="EH23403"/>
      <c r="EI23403"/>
      <c r="EJ23403"/>
      <c r="EK23403"/>
    </row>
    <row r="23404" spans="1:141" s="116" customFormat="1">
      <c r="A23404" s="136"/>
      <c r="CM23404" s="111"/>
      <c r="CQ23404" s="111"/>
      <c r="EF23404"/>
      <c r="EG23404"/>
      <c r="EH23404"/>
      <c r="EI23404"/>
      <c r="EJ23404"/>
      <c r="EK23404"/>
    </row>
    <row r="23405" spans="1:141" s="116" customFormat="1">
      <c r="A23405" s="136"/>
      <c r="CM23405" s="111"/>
      <c r="CQ23405" s="111"/>
      <c r="EF23405"/>
      <c r="EG23405"/>
      <c r="EH23405"/>
      <c r="EI23405"/>
      <c r="EJ23405"/>
      <c r="EK23405"/>
    </row>
    <row r="23406" spans="1:141" s="116" customFormat="1">
      <c r="A23406" s="136"/>
      <c r="CM23406" s="111"/>
      <c r="CQ23406" s="111"/>
      <c r="EF23406"/>
      <c r="EG23406"/>
      <c r="EH23406"/>
      <c r="EI23406"/>
      <c r="EJ23406"/>
      <c r="EK23406"/>
    </row>
    <row r="23407" spans="1:141" s="116" customFormat="1">
      <c r="A23407" s="136"/>
      <c r="CM23407" s="111"/>
      <c r="CQ23407" s="111"/>
      <c r="EF23407"/>
      <c r="EG23407"/>
      <c r="EH23407"/>
      <c r="EI23407"/>
      <c r="EJ23407"/>
      <c r="EK23407"/>
    </row>
    <row r="23408" spans="1:141" s="116" customFormat="1">
      <c r="A23408" s="136"/>
      <c r="CM23408" s="111"/>
      <c r="CQ23408" s="111"/>
      <c r="EF23408"/>
      <c r="EG23408"/>
      <c r="EH23408"/>
      <c r="EI23408"/>
      <c r="EJ23408"/>
      <c r="EK23408"/>
    </row>
    <row r="23409" spans="1:141" s="116" customFormat="1">
      <c r="A23409" s="136"/>
      <c r="CM23409" s="111"/>
      <c r="CQ23409" s="111"/>
      <c r="EF23409"/>
      <c r="EG23409"/>
      <c r="EH23409"/>
      <c r="EI23409"/>
      <c r="EJ23409"/>
      <c r="EK23409"/>
    </row>
    <row r="23410" spans="1:141" s="116" customFormat="1">
      <c r="A23410" s="136"/>
      <c r="CM23410" s="111"/>
      <c r="CQ23410" s="111"/>
      <c r="EF23410"/>
      <c r="EG23410"/>
      <c r="EH23410"/>
      <c r="EI23410"/>
      <c r="EJ23410"/>
      <c r="EK23410"/>
    </row>
    <row r="23411" spans="1:141" s="116" customFormat="1">
      <c r="A23411" s="136"/>
      <c r="CM23411" s="111"/>
      <c r="CQ23411" s="111"/>
      <c r="EF23411"/>
      <c r="EG23411"/>
      <c r="EH23411"/>
      <c r="EI23411"/>
      <c r="EJ23411"/>
      <c r="EK23411"/>
    </row>
    <row r="23412" spans="1:141" s="116" customFormat="1">
      <c r="A23412" s="136"/>
      <c r="CM23412" s="111"/>
      <c r="CQ23412" s="111"/>
      <c r="EF23412"/>
      <c r="EG23412"/>
      <c r="EH23412"/>
      <c r="EI23412"/>
      <c r="EJ23412"/>
      <c r="EK23412"/>
    </row>
    <row r="23413" spans="1:141" s="116" customFormat="1">
      <c r="A23413" s="136"/>
      <c r="CM23413" s="111"/>
      <c r="CQ23413" s="111"/>
      <c r="EF23413"/>
      <c r="EG23413"/>
      <c r="EH23413"/>
      <c r="EI23413"/>
      <c r="EJ23413"/>
      <c r="EK23413"/>
    </row>
    <row r="23414" spans="1:141" s="116" customFormat="1">
      <c r="A23414" s="136"/>
      <c r="CM23414" s="111"/>
      <c r="CQ23414" s="111"/>
      <c r="EF23414"/>
      <c r="EG23414"/>
      <c r="EH23414"/>
      <c r="EI23414"/>
      <c r="EJ23414"/>
      <c r="EK23414"/>
    </row>
    <row r="23415" spans="1:141" s="116" customFormat="1">
      <c r="A23415" s="136"/>
      <c r="CM23415" s="111"/>
      <c r="CQ23415" s="111"/>
      <c r="EF23415"/>
      <c r="EG23415"/>
      <c r="EH23415"/>
      <c r="EI23415"/>
      <c r="EJ23415"/>
      <c r="EK23415"/>
    </row>
    <row r="23416" spans="1:141" s="116" customFormat="1">
      <c r="A23416" s="136"/>
      <c r="CM23416" s="111"/>
      <c r="CQ23416" s="111"/>
      <c r="EF23416"/>
      <c r="EG23416"/>
      <c r="EH23416"/>
      <c r="EI23416"/>
      <c r="EJ23416"/>
      <c r="EK23416"/>
    </row>
    <row r="23417" spans="1:141" s="116" customFormat="1">
      <c r="A23417" s="136"/>
      <c r="CM23417" s="111"/>
      <c r="CQ23417" s="111"/>
      <c r="EF23417"/>
      <c r="EG23417"/>
      <c r="EH23417"/>
      <c r="EI23417"/>
      <c r="EJ23417"/>
      <c r="EK23417"/>
    </row>
    <row r="23418" spans="1:141" s="116" customFormat="1">
      <c r="A23418" s="136"/>
      <c r="CM23418" s="111"/>
      <c r="CQ23418" s="111"/>
      <c r="EF23418"/>
      <c r="EG23418"/>
      <c r="EH23418"/>
      <c r="EI23418"/>
      <c r="EJ23418"/>
      <c r="EK23418"/>
    </row>
    <row r="23419" spans="1:141" s="116" customFormat="1">
      <c r="A23419" s="136"/>
      <c r="CM23419" s="111"/>
      <c r="CQ23419" s="111"/>
      <c r="EF23419"/>
      <c r="EG23419"/>
      <c r="EH23419"/>
      <c r="EI23419"/>
      <c r="EJ23419"/>
      <c r="EK23419"/>
    </row>
    <row r="23420" spans="1:141" s="116" customFormat="1">
      <c r="A23420" s="136"/>
      <c r="CM23420" s="111"/>
      <c r="CQ23420" s="111"/>
      <c r="EF23420"/>
      <c r="EG23420"/>
      <c r="EH23420"/>
      <c r="EI23420"/>
      <c r="EJ23420"/>
      <c r="EK23420"/>
    </row>
    <row r="23421" spans="1:141" s="116" customFormat="1">
      <c r="A23421" s="136"/>
      <c r="CM23421" s="111"/>
      <c r="CQ23421" s="111"/>
      <c r="EF23421"/>
      <c r="EG23421"/>
      <c r="EH23421"/>
      <c r="EI23421"/>
      <c r="EJ23421"/>
      <c r="EK23421"/>
    </row>
    <row r="23422" spans="1:141" s="116" customFormat="1">
      <c r="A23422" s="136"/>
      <c r="CM23422" s="111"/>
      <c r="CQ23422" s="111"/>
      <c r="EF23422"/>
      <c r="EG23422"/>
      <c r="EH23422"/>
      <c r="EI23422"/>
      <c r="EJ23422"/>
      <c r="EK23422"/>
    </row>
    <row r="23423" spans="1:141" s="116" customFormat="1">
      <c r="A23423" s="136"/>
      <c r="CM23423" s="111"/>
      <c r="CQ23423" s="111"/>
      <c r="EF23423"/>
      <c r="EG23423"/>
      <c r="EH23423"/>
      <c r="EI23423"/>
      <c r="EJ23423"/>
      <c r="EK23423"/>
    </row>
    <row r="23424" spans="1:141" s="116" customFormat="1">
      <c r="A23424" s="136"/>
      <c r="CM23424" s="111"/>
      <c r="CQ23424" s="111"/>
      <c r="EF23424"/>
      <c r="EG23424"/>
      <c r="EH23424"/>
      <c r="EI23424"/>
      <c r="EJ23424"/>
      <c r="EK23424"/>
    </row>
    <row r="23425" spans="1:141" s="116" customFormat="1">
      <c r="A23425" s="136"/>
      <c r="CM23425" s="111"/>
      <c r="CQ23425" s="111"/>
      <c r="EF23425"/>
      <c r="EG23425"/>
      <c r="EH23425"/>
      <c r="EI23425"/>
      <c r="EJ23425"/>
      <c r="EK23425"/>
    </row>
    <row r="23426" spans="1:141" s="116" customFormat="1">
      <c r="A23426" s="136"/>
      <c r="CM23426" s="111"/>
      <c r="CQ23426" s="111"/>
      <c r="EF23426"/>
      <c r="EG23426"/>
      <c r="EH23426"/>
      <c r="EI23426"/>
      <c r="EJ23426"/>
      <c r="EK23426"/>
    </row>
    <row r="23427" spans="1:141" s="116" customFormat="1">
      <c r="A23427" s="136"/>
      <c r="CM23427" s="111"/>
      <c r="CQ23427" s="111"/>
      <c r="EF23427"/>
      <c r="EG23427"/>
      <c r="EH23427"/>
      <c r="EI23427"/>
      <c r="EJ23427"/>
      <c r="EK23427"/>
    </row>
    <row r="23428" spans="1:141" s="116" customFormat="1">
      <c r="A23428" s="136"/>
      <c r="CM23428" s="111"/>
      <c r="CQ23428" s="111"/>
      <c r="EF23428"/>
      <c r="EG23428"/>
      <c r="EH23428"/>
      <c r="EI23428"/>
      <c r="EJ23428"/>
      <c r="EK23428"/>
    </row>
    <row r="23429" spans="1:141" s="116" customFormat="1">
      <c r="A23429" s="136"/>
      <c r="CM23429" s="111"/>
      <c r="CQ23429" s="111"/>
      <c r="EF23429"/>
      <c r="EG23429"/>
      <c r="EH23429"/>
      <c r="EI23429"/>
      <c r="EJ23429"/>
      <c r="EK23429"/>
    </row>
    <row r="23430" spans="1:141" s="116" customFormat="1">
      <c r="A23430" s="136"/>
      <c r="CM23430" s="111"/>
      <c r="CQ23430" s="111"/>
      <c r="EF23430"/>
      <c r="EG23430"/>
      <c r="EH23430"/>
      <c r="EI23430"/>
      <c r="EJ23430"/>
      <c r="EK23430"/>
    </row>
    <row r="23431" spans="1:141" s="116" customFormat="1">
      <c r="A23431" s="136"/>
      <c r="CM23431" s="111"/>
      <c r="CQ23431" s="111"/>
      <c r="EF23431"/>
      <c r="EG23431"/>
      <c r="EH23431"/>
      <c r="EI23431"/>
      <c r="EJ23431"/>
      <c r="EK23431"/>
    </row>
    <row r="23432" spans="1:141" s="116" customFormat="1">
      <c r="A23432" s="136"/>
      <c r="CM23432" s="111"/>
      <c r="CQ23432" s="111"/>
      <c r="EF23432"/>
      <c r="EG23432"/>
      <c r="EH23432"/>
      <c r="EI23432"/>
      <c r="EJ23432"/>
      <c r="EK23432"/>
    </row>
    <row r="23433" spans="1:141" s="116" customFormat="1">
      <c r="A23433" s="136"/>
      <c r="CM23433" s="111"/>
      <c r="CQ23433" s="111"/>
      <c r="EF23433"/>
      <c r="EG23433"/>
      <c r="EH23433"/>
      <c r="EI23433"/>
      <c r="EJ23433"/>
      <c r="EK23433"/>
    </row>
    <row r="23434" spans="1:141" s="116" customFormat="1">
      <c r="A23434" s="136"/>
      <c r="CM23434" s="111"/>
      <c r="CQ23434" s="111"/>
      <c r="EF23434"/>
      <c r="EG23434"/>
      <c r="EH23434"/>
      <c r="EI23434"/>
      <c r="EJ23434"/>
      <c r="EK23434"/>
    </row>
    <row r="23435" spans="1:141" s="116" customFormat="1">
      <c r="A23435" s="136"/>
      <c r="CM23435" s="111"/>
      <c r="CQ23435" s="111"/>
      <c r="EF23435"/>
      <c r="EG23435"/>
      <c r="EH23435"/>
      <c r="EI23435"/>
      <c r="EJ23435"/>
      <c r="EK23435"/>
    </row>
    <row r="23436" spans="1:141" s="116" customFormat="1">
      <c r="A23436" s="136"/>
      <c r="CM23436" s="111"/>
      <c r="CQ23436" s="111"/>
      <c r="EF23436"/>
      <c r="EG23436"/>
      <c r="EH23436"/>
      <c r="EI23436"/>
      <c r="EJ23436"/>
      <c r="EK23436"/>
    </row>
    <row r="23437" spans="1:141" s="116" customFormat="1">
      <c r="A23437" s="136"/>
      <c r="CM23437" s="111"/>
      <c r="CQ23437" s="111"/>
      <c r="EF23437"/>
      <c r="EG23437"/>
      <c r="EH23437"/>
      <c r="EI23437"/>
      <c r="EJ23437"/>
      <c r="EK23437"/>
    </row>
    <row r="23438" spans="1:141" s="116" customFormat="1">
      <c r="A23438" s="136"/>
      <c r="CM23438" s="111"/>
      <c r="CQ23438" s="111"/>
      <c r="EF23438"/>
      <c r="EG23438"/>
      <c r="EH23438"/>
      <c r="EI23438"/>
      <c r="EJ23438"/>
      <c r="EK23438"/>
    </row>
    <row r="23439" spans="1:141" s="116" customFormat="1">
      <c r="A23439" s="136"/>
      <c r="CM23439" s="111"/>
      <c r="CQ23439" s="111"/>
      <c r="EF23439"/>
      <c r="EG23439"/>
      <c r="EH23439"/>
      <c r="EI23439"/>
      <c r="EJ23439"/>
      <c r="EK23439"/>
    </row>
    <row r="23440" spans="1:141" s="116" customFormat="1">
      <c r="A23440" s="136"/>
      <c r="CM23440" s="111"/>
      <c r="CQ23440" s="111"/>
      <c r="EF23440"/>
      <c r="EG23440"/>
      <c r="EH23440"/>
      <c r="EI23440"/>
      <c r="EJ23440"/>
      <c r="EK23440"/>
    </row>
    <row r="23441" spans="1:141" s="116" customFormat="1">
      <c r="A23441" s="136"/>
      <c r="CM23441" s="111"/>
      <c r="CQ23441" s="111"/>
      <c r="EF23441"/>
      <c r="EG23441"/>
      <c r="EH23441"/>
      <c r="EI23441"/>
      <c r="EJ23441"/>
      <c r="EK23441"/>
    </row>
    <row r="23442" spans="1:141" s="116" customFormat="1">
      <c r="A23442" s="136"/>
      <c r="CM23442" s="111"/>
      <c r="CQ23442" s="111"/>
      <c r="EF23442"/>
      <c r="EG23442"/>
      <c r="EH23442"/>
      <c r="EI23442"/>
      <c r="EJ23442"/>
      <c r="EK23442"/>
    </row>
    <row r="23443" spans="1:141" s="116" customFormat="1">
      <c r="A23443" s="136"/>
      <c r="CM23443" s="111"/>
      <c r="CQ23443" s="111"/>
      <c r="EF23443"/>
      <c r="EG23443"/>
      <c r="EH23443"/>
      <c r="EI23443"/>
      <c r="EJ23443"/>
      <c r="EK23443"/>
    </row>
    <row r="23444" spans="1:141" s="116" customFormat="1">
      <c r="A23444" s="136"/>
      <c r="CM23444" s="111"/>
      <c r="CQ23444" s="111"/>
      <c r="EF23444"/>
      <c r="EG23444"/>
      <c r="EH23444"/>
      <c r="EI23444"/>
      <c r="EJ23444"/>
      <c r="EK23444"/>
    </row>
    <row r="23445" spans="1:141" s="116" customFormat="1">
      <c r="A23445" s="136"/>
      <c r="CM23445" s="111"/>
      <c r="CQ23445" s="111"/>
      <c r="EF23445"/>
      <c r="EG23445"/>
      <c r="EH23445"/>
      <c r="EI23445"/>
      <c r="EJ23445"/>
      <c r="EK23445"/>
    </row>
    <row r="23446" spans="1:141" s="116" customFormat="1">
      <c r="A23446" s="136"/>
      <c r="CM23446" s="111"/>
      <c r="CQ23446" s="111"/>
      <c r="EF23446"/>
      <c r="EG23446"/>
      <c r="EH23446"/>
      <c r="EI23446"/>
      <c r="EJ23446"/>
      <c r="EK23446"/>
    </row>
    <row r="23447" spans="1:141" s="116" customFormat="1">
      <c r="A23447" s="136"/>
      <c r="CM23447" s="111"/>
      <c r="CQ23447" s="111"/>
      <c r="EF23447"/>
      <c r="EG23447"/>
      <c r="EH23447"/>
      <c r="EI23447"/>
      <c r="EJ23447"/>
      <c r="EK23447"/>
    </row>
    <row r="23448" spans="1:141" s="116" customFormat="1">
      <c r="A23448" s="136"/>
      <c r="CM23448" s="111"/>
      <c r="CQ23448" s="111"/>
      <c r="EF23448"/>
      <c r="EG23448"/>
      <c r="EH23448"/>
      <c r="EI23448"/>
      <c r="EJ23448"/>
      <c r="EK23448"/>
    </row>
    <row r="23449" spans="1:141" s="116" customFormat="1">
      <c r="A23449" s="136"/>
      <c r="CM23449" s="111"/>
      <c r="CQ23449" s="111"/>
      <c r="EF23449"/>
      <c r="EG23449"/>
      <c r="EH23449"/>
      <c r="EI23449"/>
      <c r="EJ23449"/>
      <c r="EK23449"/>
    </row>
    <row r="23450" spans="1:141" s="116" customFormat="1">
      <c r="A23450" s="136"/>
      <c r="CM23450" s="111"/>
      <c r="CQ23450" s="111"/>
      <c r="EF23450"/>
      <c r="EG23450"/>
      <c r="EH23450"/>
      <c r="EI23450"/>
      <c r="EJ23450"/>
      <c r="EK23450"/>
    </row>
    <row r="23451" spans="1:141" s="116" customFormat="1">
      <c r="A23451" s="136"/>
      <c r="CM23451" s="111"/>
      <c r="CQ23451" s="111"/>
      <c r="EF23451"/>
      <c r="EG23451"/>
      <c r="EH23451"/>
      <c r="EI23451"/>
      <c r="EJ23451"/>
      <c r="EK23451"/>
    </row>
    <row r="23452" spans="1:141" s="116" customFormat="1">
      <c r="A23452" s="136"/>
      <c r="CM23452" s="111"/>
      <c r="CQ23452" s="111"/>
      <c r="EF23452"/>
      <c r="EG23452"/>
      <c r="EH23452"/>
      <c r="EI23452"/>
      <c r="EJ23452"/>
      <c r="EK23452"/>
    </row>
    <row r="23453" spans="1:141" s="116" customFormat="1">
      <c r="A23453" s="136"/>
      <c r="CM23453" s="111"/>
      <c r="CQ23453" s="111"/>
      <c r="EF23453"/>
      <c r="EG23453"/>
      <c r="EH23453"/>
      <c r="EI23453"/>
      <c r="EJ23453"/>
      <c r="EK23453"/>
    </row>
    <row r="23454" spans="1:141" s="116" customFormat="1">
      <c r="A23454" s="136"/>
      <c r="CM23454" s="111"/>
      <c r="CQ23454" s="111"/>
      <c r="EF23454"/>
      <c r="EG23454"/>
      <c r="EH23454"/>
      <c r="EI23454"/>
      <c r="EJ23454"/>
      <c r="EK23454"/>
    </row>
    <row r="23455" spans="1:141" s="116" customFormat="1">
      <c r="A23455" s="136"/>
      <c r="CM23455" s="111"/>
      <c r="CQ23455" s="111"/>
      <c r="EF23455"/>
      <c r="EG23455"/>
      <c r="EH23455"/>
      <c r="EI23455"/>
      <c r="EJ23455"/>
      <c r="EK23455"/>
    </row>
    <row r="23456" spans="1:141" s="116" customFormat="1">
      <c r="A23456" s="136"/>
      <c r="CM23456" s="111"/>
      <c r="CQ23456" s="111"/>
      <c r="EF23456"/>
      <c r="EG23456"/>
      <c r="EH23456"/>
      <c r="EI23456"/>
      <c r="EJ23456"/>
      <c r="EK23456"/>
    </row>
    <row r="23457" spans="1:141" s="116" customFormat="1">
      <c r="A23457" s="136"/>
      <c r="CM23457" s="111"/>
      <c r="CQ23457" s="111"/>
      <c r="EF23457"/>
      <c r="EG23457"/>
      <c r="EH23457"/>
      <c r="EI23457"/>
      <c r="EJ23457"/>
      <c r="EK23457"/>
    </row>
    <row r="23458" spans="1:141" s="116" customFormat="1">
      <c r="A23458" s="136"/>
      <c r="CM23458" s="111"/>
      <c r="CQ23458" s="111"/>
      <c r="EF23458"/>
      <c r="EG23458"/>
      <c r="EH23458"/>
      <c r="EI23458"/>
      <c r="EJ23458"/>
      <c r="EK23458"/>
    </row>
    <row r="23459" spans="1:141" s="116" customFormat="1">
      <c r="A23459" s="136"/>
      <c r="CM23459" s="111"/>
      <c r="CQ23459" s="111"/>
      <c r="EF23459"/>
      <c r="EG23459"/>
      <c r="EH23459"/>
      <c r="EI23459"/>
      <c r="EJ23459"/>
      <c r="EK23459"/>
    </row>
    <row r="23460" spans="1:141" s="116" customFormat="1">
      <c r="A23460" s="136"/>
      <c r="CM23460" s="111"/>
      <c r="CQ23460" s="111"/>
      <c r="EF23460"/>
      <c r="EG23460"/>
      <c r="EH23460"/>
      <c r="EI23460"/>
      <c r="EJ23460"/>
      <c r="EK23460"/>
    </row>
    <row r="23461" spans="1:141" s="116" customFormat="1">
      <c r="A23461" s="136"/>
      <c r="CM23461" s="111"/>
      <c r="CQ23461" s="111"/>
      <c r="EF23461"/>
      <c r="EG23461"/>
      <c r="EH23461"/>
      <c r="EI23461"/>
      <c r="EJ23461"/>
      <c r="EK23461"/>
    </row>
    <row r="23462" spans="1:141" s="116" customFormat="1">
      <c r="A23462" s="136"/>
      <c r="CM23462" s="111"/>
      <c r="CQ23462" s="111"/>
      <c r="EF23462"/>
      <c r="EG23462"/>
      <c r="EH23462"/>
      <c r="EI23462"/>
      <c r="EJ23462"/>
      <c r="EK23462"/>
    </row>
    <row r="23463" spans="1:141" s="116" customFormat="1">
      <c r="A23463" s="136"/>
      <c r="CM23463" s="111"/>
      <c r="CQ23463" s="111"/>
      <c r="EF23463"/>
      <c r="EG23463"/>
      <c r="EH23463"/>
      <c r="EI23463"/>
      <c r="EJ23463"/>
      <c r="EK23463"/>
    </row>
    <row r="23464" spans="1:141" s="116" customFormat="1">
      <c r="A23464" s="136"/>
      <c r="CM23464" s="111"/>
      <c r="CQ23464" s="111"/>
      <c r="EF23464"/>
      <c r="EG23464"/>
      <c r="EH23464"/>
      <c r="EI23464"/>
      <c r="EJ23464"/>
      <c r="EK23464"/>
    </row>
    <row r="23465" spans="1:141" s="116" customFormat="1">
      <c r="A23465" s="136"/>
      <c r="CM23465" s="111"/>
      <c r="CQ23465" s="111"/>
      <c r="EF23465"/>
      <c r="EG23465"/>
      <c r="EH23465"/>
      <c r="EI23465"/>
      <c r="EJ23465"/>
      <c r="EK23465"/>
    </row>
    <row r="23466" spans="1:141" s="116" customFormat="1">
      <c r="A23466" s="136"/>
      <c r="CM23466" s="111"/>
      <c r="CQ23466" s="111"/>
      <c r="EF23466"/>
      <c r="EG23466"/>
      <c r="EH23466"/>
      <c r="EI23466"/>
      <c r="EJ23466"/>
      <c r="EK23466"/>
    </row>
    <row r="23467" spans="1:141" s="116" customFormat="1">
      <c r="A23467" s="136"/>
      <c r="CM23467" s="111"/>
      <c r="CQ23467" s="111"/>
      <c r="EF23467"/>
      <c r="EG23467"/>
      <c r="EH23467"/>
      <c r="EI23467"/>
      <c r="EJ23467"/>
      <c r="EK23467"/>
    </row>
    <row r="23468" spans="1:141" s="116" customFormat="1">
      <c r="A23468" s="136"/>
      <c r="CM23468" s="111"/>
      <c r="CQ23468" s="111"/>
      <c r="EF23468"/>
      <c r="EG23468"/>
      <c r="EH23468"/>
      <c r="EI23468"/>
      <c r="EJ23468"/>
      <c r="EK23468"/>
    </row>
    <row r="23469" spans="1:141" s="116" customFormat="1">
      <c r="A23469" s="136"/>
      <c r="CM23469" s="111"/>
      <c r="CQ23469" s="111"/>
      <c r="EF23469"/>
      <c r="EG23469"/>
      <c r="EH23469"/>
      <c r="EI23469"/>
      <c r="EJ23469"/>
      <c r="EK23469"/>
    </row>
    <row r="23470" spans="1:141" s="116" customFormat="1">
      <c r="A23470" s="136"/>
      <c r="CM23470" s="111"/>
      <c r="CQ23470" s="111"/>
      <c r="EF23470"/>
      <c r="EG23470"/>
      <c r="EH23470"/>
      <c r="EI23470"/>
      <c r="EJ23470"/>
      <c r="EK23470"/>
    </row>
    <row r="23471" spans="1:141" s="116" customFormat="1">
      <c r="A23471" s="136"/>
      <c r="CM23471" s="111"/>
      <c r="CQ23471" s="111"/>
      <c r="EF23471"/>
      <c r="EG23471"/>
      <c r="EH23471"/>
      <c r="EI23471"/>
      <c r="EJ23471"/>
      <c r="EK23471"/>
    </row>
    <row r="23472" spans="1:141" s="116" customFormat="1">
      <c r="A23472" s="136"/>
      <c r="CM23472" s="111"/>
      <c r="CQ23472" s="111"/>
      <c r="EF23472"/>
      <c r="EG23472"/>
      <c r="EH23472"/>
      <c r="EI23472"/>
      <c r="EJ23472"/>
      <c r="EK23472"/>
    </row>
    <row r="23473" spans="1:141" s="116" customFormat="1">
      <c r="A23473" s="136"/>
      <c r="CM23473" s="111"/>
      <c r="CQ23473" s="111"/>
      <c r="EF23473"/>
      <c r="EG23473"/>
      <c r="EH23473"/>
      <c r="EI23473"/>
      <c r="EJ23473"/>
      <c r="EK23473"/>
    </row>
    <row r="23474" spans="1:141" s="116" customFormat="1">
      <c r="A23474" s="136"/>
      <c r="CM23474" s="111"/>
      <c r="CQ23474" s="111"/>
      <c r="EF23474"/>
      <c r="EG23474"/>
      <c r="EH23474"/>
      <c r="EI23474"/>
      <c r="EJ23474"/>
      <c r="EK23474"/>
    </row>
    <row r="23475" spans="1:141" s="116" customFormat="1">
      <c r="A23475" s="136"/>
      <c r="CM23475" s="111"/>
      <c r="CQ23475" s="111"/>
      <c r="EF23475"/>
      <c r="EG23475"/>
      <c r="EH23475"/>
      <c r="EI23475"/>
      <c r="EJ23475"/>
      <c r="EK23475"/>
    </row>
    <row r="23476" spans="1:141" s="116" customFormat="1">
      <c r="A23476" s="136"/>
      <c r="CM23476" s="111"/>
      <c r="CQ23476" s="111"/>
      <c r="EF23476"/>
      <c r="EG23476"/>
      <c r="EH23476"/>
      <c r="EI23476"/>
      <c r="EJ23476"/>
      <c r="EK23476"/>
    </row>
    <row r="23477" spans="1:141" s="116" customFormat="1">
      <c r="A23477" s="136"/>
      <c r="CM23477" s="111"/>
      <c r="CQ23477" s="111"/>
      <c r="EF23477"/>
      <c r="EG23477"/>
      <c r="EH23477"/>
      <c r="EI23477"/>
      <c r="EJ23477"/>
      <c r="EK23477"/>
    </row>
    <row r="23478" spans="1:141" s="116" customFormat="1">
      <c r="A23478" s="136"/>
      <c r="CM23478" s="111"/>
      <c r="CQ23478" s="111"/>
      <c r="EF23478"/>
      <c r="EG23478"/>
      <c r="EH23478"/>
      <c r="EI23478"/>
      <c r="EJ23478"/>
      <c r="EK23478"/>
    </row>
    <row r="23479" spans="1:141" s="116" customFormat="1">
      <c r="A23479" s="136"/>
      <c r="CM23479" s="111"/>
      <c r="CQ23479" s="111"/>
      <c r="EF23479"/>
      <c r="EG23479"/>
      <c r="EH23479"/>
      <c r="EI23479"/>
      <c r="EJ23479"/>
      <c r="EK23479"/>
    </row>
    <row r="23480" spans="1:141" s="116" customFormat="1">
      <c r="A23480" s="136"/>
      <c r="CM23480" s="111"/>
      <c r="CQ23480" s="111"/>
      <c r="EF23480"/>
      <c r="EG23480"/>
      <c r="EH23480"/>
      <c r="EI23480"/>
      <c r="EJ23480"/>
      <c r="EK23480"/>
    </row>
    <row r="23481" spans="1:141" s="116" customFormat="1">
      <c r="A23481" s="136"/>
      <c r="CM23481" s="111"/>
      <c r="CQ23481" s="111"/>
      <c r="EF23481"/>
      <c r="EG23481"/>
      <c r="EH23481"/>
      <c r="EI23481"/>
      <c r="EJ23481"/>
      <c r="EK23481"/>
    </row>
    <row r="23482" spans="1:141" s="116" customFormat="1">
      <c r="A23482" s="136"/>
      <c r="CM23482" s="111"/>
      <c r="CQ23482" s="111"/>
      <c r="EF23482"/>
      <c r="EG23482"/>
      <c r="EH23482"/>
      <c r="EI23482"/>
      <c r="EJ23482"/>
      <c r="EK23482"/>
    </row>
    <row r="23483" spans="1:141" s="116" customFormat="1">
      <c r="A23483" s="136"/>
      <c r="CM23483" s="111"/>
      <c r="CQ23483" s="111"/>
      <c r="EF23483"/>
      <c r="EG23483"/>
      <c r="EH23483"/>
      <c r="EI23483"/>
      <c r="EJ23483"/>
      <c r="EK23483"/>
    </row>
    <row r="23484" spans="1:141" s="116" customFormat="1">
      <c r="A23484" s="136"/>
      <c r="CM23484" s="111"/>
      <c r="CQ23484" s="111"/>
      <c r="EF23484"/>
      <c r="EG23484"/>
      <c r="EH23484"/>
      <c r="EI23484"/>
      <c r="EJ23484"/>
      <c r="EK23484"/>
    </row>
    <row r="23485" spans="1:141" s="116" customFormat="1">
      <c r="A23485" s="136"/>
      <c r="CM23485" s="111"/>
      <c r="CQ23485" s="111"/>
      <c r="EF23485"/>
      <c r="EG23485"/>
      <c r="EH23485"/>
      <c r="EI23485"/>
      <c r="EJ23485"/>
      <c r="EK23485"/>
    </row>
    <row r="23486" spans="1:141" s="116" customFormat="1">
      <c r="A23486" s="136"/>
      <c r="CM23486" s="111"/>
      <c r="CQ23486" s="111"/>
      <c r="EF23486"/>
      <c r="EG23486"/>
      <c r="EH23486"/>
      <c r="EI23486"/>
      <c r="EJ23486"/>
      <c r="EK23486"/>
    </row>
    <row r="23487" spans="1:141" s="116" customFormat="1">
      <c r="A23487" s="136"/>
      <c r="CM23487" s="111"/>
      <c r="CQ23487" s="111"/>
      <c r="EF23487"/>
      <c r="EG23487"/>
      <c r="EH23487"/>
      <c r="EI23487"/>
      <c r="EJ23487"/>
      <c r="EK23487"/>
    </row>
    <row r="23488" spans="1:141" s="116" customFormat="1">
      <c r="A23488" s="136"/>
      <c r="CM23488" s="111"/>
      <c r="CQ23488" s="111"/>
      <c r="EF23488"/>
      <c r="EG23488"/>
      <c r="EH23488"/>
      <c r="EI23488"/>
      <c r="EJ23488"/>
      <c r="EK23488"/>
    </row>
    <row r="23489" spans="1:141" s="116" customFormat="1">
      <c r="A23489" s="136"/>
      <c r="CM23489" s="111"/>
      <c r="CQ23489" s="111"/>
      <c r="EF23489"/>
      <c r="EG23489"/>
      <c r="EH23489"/>
      <c r="EI23489"/>
      <c r="EJ23489"/>
      <c r="EK23489"/>
    </row>
    <row r="23490" spans="1:141" s="116" customFormat="1">
      <c r="A23490" s="136"/>
      <c r="CM23490" s="111"/>
      <c r="CQ23490" s="111"/>
      <c r="EF23490"/>
      <c r="EG23490"/>
      <c r="EH23490"/>
      <c r="EI23490"/>
      <c r="EJ23490"/>
      <c r="EK23490"/>
    </row>
    <row r="23491" spans="1:141" s="116" customFormat="1">
      <c r="A23491" s="136"/>
      <c r="CM23491" s="111"/>
      <c r="CQ23491" s="111"/>
      <c r="EF23491"/>
      <c r="EG23491"/>
      <c r="EH23491"/>
      <c r="EI23491"/>
      <c r="EJ23491"/>
      <c r="EK23491"/>
    </row>
    <row r="23492" spans="1:141" s="116" customFormat="1">
      <c r="A23492" s="136"/>
      <c r="CM23492" s="111"/>
      <c r="CQ23492" s="111"/>
      <c r="EF23492"/>
      <c r="EG23492"/>
      <c r="EH23492"/>
      <c r="EI23492"/>
      <c r="EJ23492"/>
      <c r="EK23492"/>
    </row>
    <row r="23493" spans="1:141" s="116" customFormat="1">
      <c r="A23493" s="136"/>
      <c r="CM23493" s="111"/>
      <c r="CQ23493" s="111"/>
      <c r="EF23493"/>
      <c r="EG23493"/>
      <c r="EH23493"/>
      <c r="EI23493"/>
      <c r="EJ23493"/>
      <c r="EK23493"/>
    </row>
    <row r="23494" spans="1:141" s="116" customFormat="1">
      <c r="A23494" s="136"/>
      <c r="CM23494" s="111"/>
      <c r="CQ23494" s="111"/>
      <c r="EF23494"/>
      <c r="EG23494"/>
      <c r="EH23494"/>
      <c r="EI23494"/>
      <c r="EJ23494"/>
      <c r="EK23494"/>
    </row>
    <row r="23495" spans="1:141" s="116" customFormat="1">
      <c r="A23495" s="136"/>
      <c r="CM23495" s="111"/>
      <c r="CQ23495" s="111"/>
      <c r="EF23495"/>
      <c r="EG23495"/>
      <c r="EH23495"/>
      <c r="EI23495"/>
      <c r="EJ23495"/>
      <c r="EK23495"/>
    </row>
    <row r="23496" spans="1:141" s="116" customFormat="1">
      <c r="A23496" s="136"/>
      <c r="CM23496" s="111"/>
      <c r="CQ23496" s="111"/>
      <c r="EF23496"/>
      <c r="EG23496"/>
      <c r="EH23496"/>
      <c r="EI23496"/>
      <c r="EJ23496"/>
      <c r="EK23496"/>
    </row>
    <row r="23497" spans="1:141" s="116" customFormat="1">
      <c r="A23497" s="136"/>
      <c r="CM23497" s="111"/>
      <c r="CQ23497" s="111"/>
      <c r="EF23497"/>
      <c r="EG23497"/>
      <c r="EH23497"/>
      <c r="EI23497"/>
      <c r="EJ23497"/>
      <c r="EK23497"/>
    </row>
    <row r="23498" spans="1:141" s="116" customFormat="1">
      <c r="A23498" s="136"/>
      <c r="CM23498" s="111"/>
      <c r="CQ23498" s="111"/>
      <c r="EF23498"/>
      <c r="EG23498"/>
      <c r="EH23498"/>
      <c r="EI23498"/>
      <c r="EJ23498"/>
      <c r="EK23498"/>
    </row>
    <row r="23499" spans="1:141" s="116" customFormat="1">
      <c r="A23499" s="136"/>
      <c r="CM23499" s="111"/>
      <c r="CQ23499" s="111"/>
      <c r="EF23499"/>
      <c r="EG23499"/>
      <c r="EH23499"/>
      <c r="EI23499"/>
      <c r="EJ23499"/>
      <c r="EK23499"/>
    </row>
    <row r="23500" spans="1:141" s="116" customFormat="1">
      <c r="A23500" s="136"/>
      <c r="CM23500" s="111"/>
      <c r="CQ23500" s="111"/>
      <c r="EF23500"/>
      <c r="EG23500"/>
      <c r="EH23500"/>
      <c r="EI23500"/>
      <c r="EJ23500"/>
      <c r="EK23500"/>
    </row>
    <row r="23501" spans="1:141" s="116" customFormat="1">
      <c r="A23501" s="136"/>
      <c r="CM23501" s="111"/>
      <c r="CQ23501" s="111"/>
      <c r="EF23501"/>
      <c r="EG23501"/>
      <c r="EH23501"/>
      <c r="EI23501"/>
      <c r="EJ23501"/>
      <c r="EK23501"/>
    </row>
    <row r="23502" spans="1:141" s="116" customFormat="1">
      <c r="A23502" s="136"/>
      <c r="CM23502" s="111"/>
      <c r="CQ23502" s="111"/>
      <c r="EF23502"/>
      <c r="EG23502"/>
      <c r="EH23502"/>
      <c r="EI23502"/>
      <c r="EJ23502"/>
      <c r="EK23502"/>
    </row>
    <row r="23503" spans="1:141" s="116" customFormat="1">
      <c r="A23503" s="136"/>
      <c r="CM23503" s="111"/>
      <c r="CQ23503" s="111"/>
      <c r="EF23503"/>
      <c r="EG23503"/>
      <c r="EH23503"/>
      <c r="EI23503"/>
      <c r="EJ23503"/>
      <c r="EK23503"/>
    </row>
    <row r="23504" spans="1:141" s="116" customFormat="1">
      <c r="A23504" s="136"/>
      <c r="CM23504" s="111"/>
      <c r="CQ23504" s="111"/>
      <c r="EF23504"/>
      <c r="EG23504"/>
      <c r="EH23504"/>
      <c r="EI23504"/>
      <c r="EJ23504"/>
      <c r="EK23504"/>
    </row>
    <row r="23505" spans="1:141" s="116" customFormat="1">
      <c r="A23505" s="136"/>
      <c r="CM23505" s="111"/>
      <c r="CQ23505" s="111"/>
      <c r="EF23505"/>
      <c r="EG23505"/>
      <c r="EH23505"/>
      <c r="EI23505"/>
      <c r="EJ23505"/>
      <c r="EK23505"/>
    </row>
    <row r="23506" spans="1:141" s="116" customFormat="1">
      <c r="A23506" s="136"/>
      <c r="CM23506" s="111"/>
      <c r="CQ23506" s="111"/>
      <c r="EF23506"/>
      <c r="EG23506"/>
      <c r="EH23506"/>
      <c r="EI23506"/>
      <c r="EJ23506"/>
      <c r="EK23506"/>
    </row>
    <row r="23507" spans="1:141" s="116" customFormat="1">
      <c r="A23507" s="136"/>
      <c r="CM23507" s="111"/>
      <c r="CQ23507" s="111"/>
      <c r="EF23507"/>
      <c r="EG23507"/>
      <c r="EH23507"/>
      <c r="EI23507"/>
      <c r="EJ23507"/>
      <c r="EK23507"/>
    </row>
    <row r="23508" spans="1:141" s="116" customFormat="1">
      <c r="A23508" s="136"/>
      <c r="CM23508" s="111"/>
      <c r="CQ23508" s="111"/>
      <c r="EF23508"/>
      <c r="EG23508"/>
      <c r="EH23508"/>
      <c r="EI23508"/>
      <c r="EJ23508"/>
      <c r="EK23508"/>
    </row>
    <row r="23509" spans="1:141" s="116" customFormat="1">
      <c r="A23509" s="136"/>
      <c r="CM23509" s="111"/>
      <c r="CQ23509" s="111"/>
      <c r="EF23509"/>
      <c r="EG23509"/>
      <c r="EH23509"/>
      <c r="EI23509"/>
      <c r="EJ23509"/>
      <c r="EK23509"/>
    </row>
    <row r="23510" spans="1:141" s="116" customFormat="1">
      <c r="A23510" s="136"/>
      <c r="CM23510" s="111"/>
      <c r="CQ23510" s="111"/>
      <c r="EF23510"/>
      <c r="EG23510"/>
      <c r="EH23510"/>
      <c r="EI23510"/>
      <c r="EJ23510"/>
      <c r="EK23510"/>
    </row>
    <row r="23511" spans="1:141" s="116" customFormat="1">
      <c r="A23511" s="136"/>
      <c r="CM23511" s="111"/>
      <c r="CQ23511" s="111"/>
      <c r="EF23511"/>
      <c r="EG23511"/>
      <c r="EH23511"/>
      <c r="EI23511"/>
      <c r="EJ23511"/>
      <c r="EK23511"/>
    </row>
    <row r="23512" spans="1:141" s="116" customFormat="1">
      <c r="A23512" s="136"/>
      <c r="CM23512" s="111"/>
      <c r="CQ23512" s="111"/>
      <c r="EF23512"/>
      <c r="EG23512"/>
      <c r="EH23512"/>
      <c r="EI23512"/>
      <c r="EJ23512"/>
      <c r="EK23512"/>
    </row>
    <row r="23513" spans="1:141" s="116" customFormat="1">
      <c r="A23513" s="136"/>
      <c r="CM23513" s="111"/>
      <c r="CQ23513" s="111"/>
      <c r="EF23513"/>
      <c r="EG23513"/>
      <c r="EH23513"/>
      <c r="EI23513"/>
      <c r="EJ23513"/>
      <c r="EK23513"/>
    </row>
    <row r="23514" spans="1:141" s="116" customFormat="1">
      <c r="A23514" s="136"/>
      <c r="CM23514" s="111"/>
      <c r="CQ23514" s="111"/>
      <c r="EF23514"/>
      <c r="EG23514"/>
      <c r="EH23514"/>
      <c r="EI23514"/>
      <c r="EJ23514"/>
      <c r="EK23514"/>
    </row>
    <row r="23515" spans="1:141" s="116" customFormat="1">
      <c r="A23515" s="136"/>
      <c r="CM23515" s="111"/>
      <c r="CQ23515" s="111"/>
      <c r="EF23515"/>
      <c r="EG23515"/>
      <c r="EH23515"/>
      <c r="EI23515"/>
      <c r="EJ23515"/>
      <c r="EK23515"/>
    </row>
    <row r="23516" spans="1:141" s="116" customFormat="1">
      <c r="A23516" s="136"/>
      <c r="CM23516" s="111"/>
      <c r="CQ23516" s="111"/>
      <c r="EF23516"/>
      <c r="EG23516"/>
      <c r="EH23516"/>
      <c r="EI23516"/>
      <c r="EJ23516"/>
      <c r="EK23516"/>
    </row>
    <row r="23517" spans="1:141" s="116" customFormat="1">
      <c r="A23517" s="136"/>
      <c r="CM23517" s="111"/>
      <c r="CQ23517" s="111"/>
      <c r="EF23517"/>
      <c r="EG23517"/>
      <c r="EH23517"/>
      <c r="EI23517"/>
      <c r="EJ23517"/>
      <c r="EK23517"/>
    </row>
    <row r="23518" spans="1:141" s="116" customFormat="1">
      <c r="A23518" s="136"/>
      <c r="CM23518" s="111"/>
      <c r="CQ23518" s="111"/>
      <c r="EF23518"/>
      <c r="EG23518"/>
      <c r="EH23518"/>
      <c r="EI23518"/>
      <c r="EJ23518"/>
      <c r="EK23518"/>
    </row>
    <row r="23519" spans="1:141" s="116" customFormat="1">
      <c r="A23519" s="136"/>
      <c r="CM23519" s="111"/>
      <c r="CQ23519" s="111"/>
      <c r="EF23519"/>
      <c r="EG23519"/>
      <c r="EH23519"/>
      <c r="EI23519"/>
      <c r="EJ23519"/>
      <c r="EK23519"/>
    </row>
    <row r="23520" spans="1:141" s="116" customFormat="1">
      <c r="A23520" s="136"/>
      <c r="CM23520" s="111"/>
      <c r="CQ23520" s="111"/>
      <c r="EF23520"/>
      <c r="EG23520"/>
      <c r="EH23520"/>
      <c r="EI23520"/>
      <c r="EJ23520"/>
      <c r="EK23520"/>
    </row>
    <row r="23521" spans="1:141" s="116" customFormat="1">
      <c r="A23521" s="136"/>
      <c r="CM23521" s="111"/>
      <c r="CQ23521" s="111"/>
      <c r="EF23521"/>
      <c r="EG23521"/>
      <c r="EH23521"/>
      <c r="EI23521"/>
      <c r="EJ23521"/>
      <c r="EK23521"/>
    </row>
    <row r="23522" spans="1:141" s="116" customFormat="1">
      <c r="A23522" s="136"/>
      <c r="CM23522" s="111"/>
      <c r="CQ23522" s="111"/>
      <c r="EF23522"/>
      <c r="EG23522"/>
      <c r="EH23522"/>
      <c r="EI23522"/>
      <c r="EJ23522"/>
      <c r="EK23522"/>
    </row>
    <row r="23523" spans="1:141" s="116" customFormat="1">
      <c r="A23523" s="136"/>
      <c r="CM23523" s="111"/>
      <c r="CQ23523" s="111"/>
      <c r="EF23523"/>
      <c r="EG23523"/>
      <c r="EH23523"/>
      <c r="EI23523"/>
      <c r="EJ23523"/>
      <c r="EK23523"/>
    </row>
    <row r="23524" spans="1:141" s="116" customFormat="1">
      <c r="A23524" s="136"/>
      <c r="CM23524" s="111"/>
      <c r="CQ23524" s="111"/>
      <c r="EF23524"/>
      <c r="EG23524"/>
      <c r="EH23524"/>
      <c r="EI23524"/>
      <c r="EJ23524"/>
      <c r="EK23524"/>
    </row>
    <row r="23525" spans="1:141" s="116" customFormat="1">
      <c r="A23525" s="136"/>
      <c r="CM23525" s="111"/>
      <c r="CQ23525" s="111"/>
      <c r="EF23525"/>
      <c r="EG23525"/>
      <c r="EH23525"/>
      <c r="EI23525"/>
      <c r="EJ23525"/>
      <c r="EK23525"/>
    </row>
    <row r="23526" spans="1:141" s="116" customFormat="1">
      <c r="A23526" s="136"/>
      <c r="CM23526" s="111"/>
      <c r="CQ23526" s="111"/>
      <c r="EF23526"/>
      <c r="EG23526"/>
      <c r="EH23526"/>
      <c r="EI23526"/>
      <c r="EJ23526"/>
      <c r="EK23526"/>
    </row>
    <row r="23527" spans="1:141" s="116" customFormat="1">
      <c r="A23527" s="136"/>
      <c r="CM23527" s="111"/>
      <c r="CQ23527" s="111"/>
      <c r="EF23527"/>
      <c r="EG23527"/>
      <c r="EH23527"/>
      <c r="EI23527"/>
      <c r="EJ23527"/>
      <c r="EK23527"/>
    </row>
    <row r="23528" spans="1:141" s="116" customFormat="1">
      <c r="A23528" s="136"/>
      <c r="CM23528" s="111"/>
      <c r="CQ23528" s="111"/>
      <c r="EF23528"/>
      <c r="EG23528"/>
      <c r="EH23528"/>
      <c r="EI23528"/>
      <c r="EJ23528"/>
      <c r="EK23528"/>
    </row>
    <row r="23529" spans="1:141" s="116" customFormat="1">
      <c r="A23529" s="136"/>
      <c r="CM23529" s="111"/>
      <c r="CQ23529" s="111"/>
      <c r="EF23529"/>
      <c r="EG23529"/>
      <c r="EH23529"/>
      <c r="EI23529"/>
      <c r="EJ23529"/>
      <c r="EK23529"/>
    </row>
    <row r="23530" spans="1:141" s="116" customFormat="1">
      <c r="A23530" s="136"/>
      <c r="CM23530" s="111"/>
      <c r="CQ23530" s="111"/>
      <c r="EF23530"/>
      <c r="EG23530"/>
      <c r="EH23530"/>
      <c r="EI23530"/>
      <c r="EJ23530"/>
      <c r="EK23530"/>
    </row>
    <row r="23531" spans="1:141" s="116" customFormat="1">
      <c r="A23531" s="136"/>
      <c r="CM23531" s="111"/>
      <c r="CQ23531" s="111"/>
      <c r="EF23531"/>
      <c r="EG23531"/>
      <c r="EH23531"/>
      <c r="EI23531"/>
      <c r="EJ23531"/>
      <c r="EK23531"/>
    </row>
    <row r="23532" spans="1:141" s="116" customFormat="1">
      <c r="A23532" s="136"/>
      <c r="CM23532" s="111"/>
      <c r="CQ23532" s="111"/>
      <c r="EF23532"/>
      <c r="EG23532"/>
      <c r="EH23532"/>
      <c r="EI23532"/>
      <c r="EJ23532"/>
      <c r="EK23532"/>
    </row>
    <row r="23533" spans="1:141" s="116" customFormat="1">
      <c r="A23533" s="136"/>
      <c r="CM23533" s="111"/>
      <c r="CQ23533" s="111"/>
      <c r="EF23533"/>
      <c r="EG23533"/>
      <c r="EH23533"/>
      <c r="EI23533"/>
      <c r="EJ23533"/>
      <c r="EK23533"/>
    </row>
    <row r="23534" spans="1:141" s="116" customFormat="1">
      <c r="A23534" s="136"/>
      <c r="CM23534" s="111"/>
      <c r="CQ23534" s="111"/>
      <c r="EF23534"/>
      <c r="EG23534"/>
      <c r="EH23534"/>
      <c r="EI23534"/>
      <c r="EJ23534"/>
      <c r="EK23534"/>
    </row>
    <row r="23535" spans="1:141" s="116" customFormat="1">
      <c r="A23535" s="136"/>
      <c r="CM23535" s="111"/>
      <c r="CQ23535" s="111"/>
      <c r="EF23535"/>
      <c r="EG23535"/>
      <c r="EH23535"/>
      <c r="EI23535"/>
      <c r="EJ23535"/>
      <c r="EK23535"/>
    </row>
    <row r="23536" spans="1:141" s="116" customFormat="1">
      <c r="A23536" s="136"/>
      <c r="CM23536" s="111"/>
      <c r="CQ23536" s="111"/>
      <c r="EF23536"/>
      <c r="EG23536"/>
      <c r="EH23536"/>
      <c r="EI23536"/>
      <c r="EJ23536"/>
      <c r="EK23536"/>
    </row>
    <row r="23537" spans="1:141" s="116" customFormat="1">
      <c r="A23537" s="136"/>
      <c r="CM23537" s="111"/>
      <c r="CQ23537" s="111"/>
      <c r="EF23537"/>
      <c r="EG23537"/>
      <c r="EH23537"/>
      <c r="EI23537"/>
      <c r="EJ23537"/>
      <c r="EK23537"/>
    </row>
    <row r="23538" spans="1:141" s="116" customFormat="1">
      <c r="A23538" s="136"/>
      <c r="CM23538" s="111"/>
      <c r="CQ23538" s="111"/>
      <c r="EF23538"/>
      <c r="EG23538"/>
      <c r="EH23538"/>
      <c r="EI23538"/>
      <c r="EJ23538"/>
      <c r="EK23538"/>
    </row>
    <row r="23539" spans="1:141" s="116" customFormat="1">
      <c r="A23539" s="136"/>
      <c r="CM23539" s="111"/>
      <c r="CQ23539" s="111"/>
      <c r="EF23539"/>
      <c r="EG23539"/>
      <c r="EH23539"/>
      <c r="EI23539"/>
      <c r="EJ23539"/>
      <c r="EK23539"/>
    </row>
    <row r="23540" spans="1:141" s="116" customFormat="1">
      <c r="A23540" s="136"/>
      <c r="CM23540" s="111"/>
      <c r="CQ23540" s="111"/>
      <c r="EF23540"/>
      <c r="EG23540"/>
      <c r="EH23540"/>
      <c r="EI23540"/>
      <c r="EJ23540"/>
      <c r="EK23540"/>
    </row>
    <row r="23541" spans="1:141" s="116" customFormat="1">
      <c r="A23541" s="136"/>
      <c r="CM23541" s="111"/>
      <c r="CQ23541" s="111"/>
      <c r="EF23541"/>
      <c r="EG23541"/>
      <c r="EH23541"/>
      <c r="EI23541"/>
      <c r="EJ23541"/>
      <c r="EK23541"/>
    </row>
    <row r="23542" spans="1:141" s="116" customFormat="1">
      <c r="A23542" s="136"/>
      <c r="CM23542" s="111"/>
      <c r="CQ23542" s="111"/>
      <c r="EF23542"/>
      <c r="EG23542"/>
      <c r="EH23542"/>
      <c r="EI23542"/>
      <c r="EJ23542"/>
      <c r="EK23542"/>
    </row>
    <row r="23543" spans="1:141" s="116" customFormat="1">
      <c r="A23543" s="136"/>
      <c r="CM23543" s="111"/>
      <c r="CQ23543" s="111"/>
      <c r="EF23543"/>
      <c r="EG23543"/>
      <c r="EH23543"/>
      <c r="EI23543"/>
      <c r="EJ23543"/>
      <c r="EK23543"/>
    </row>
    <row r="23544" spans="1:141" s="116" customFormat="1">
      <c r="A23544" s="136"/>
      <c r="CM23544" s="111"/>
      <c r="CQ23544" s="111"/>
      <c r="EF23544"/>
      <c r="EG23544"/>
      <c r="EH23544"/>
      <c r="EI23544"/>
      <c r="EJ23544"/>
      <c r="EK23544"/>
    </row>
    <row r="23545" spans="1:141" s="116" customFormat="1">
      <c r="A23545" s="136"/>
      <c r="CM23545" s="111"/>
      <c r="CQ23545" s="111"/>
      <c r="EF23545"/>
      <c r="EG23545"/>
      <c r="EH23545"/>
      <c r="EI23545"/>
      <c r="EJ23545"/>
      <c r="EK23545"/>
    </row>
    <row r="23546" spans="1:141" s="116" customFormat="1">
      <c r="A23546" s="136"/>
      <c r="CM23546" s="111"/>
      <c r="CQ23546" s="111"/>
      <c r="EF23546"/>
      <c r="EG23546"/>
      <c r="EH23546"/>
      <c r="EI23546"/>
      <c r="EJ23546"/>
      <c r="EK23546"/>
    </row>
    <row r="23547" spans="1:141" s="116" customFormat="1">
      <c r="A23547" s="136"/>
      <c r="CM23547" s="111"/>
      <c r="CQ23547" s="111"/>
      <c r="EF23547"/>
      <c r="EG23547"/>
      <c r="EH23547"/>
      <c r="EI23547"/>
      <c r="EJ23547"/>
      <c r="EK23547"/>
    </row>
    <row r="23548" spans="1:141" s="116" customFormat="1">
      <c r="A23548" s="136"/>
      <c r="CM23548" s="111"/>
      <c r="CQ23548" s="111"/>
      <c r="EF23548"/>
      <c r="EG23548"/>
      <c r="EH23548"/>
      <c r="EI23548"/>
      <c r="EJ23548"/>
      <c r="EK23548"/>
    </row>
    <row r="23549" spans="1:141" s="116" customFormat="1">
      <c r="A23549" s="136"/>
      <c r="CM23549" s="111"/>
      <c r="CQ23549" s="111"/>
      <c r="EF23549"/>
      <c r="EG23549"/>
      <c r="EH23549"/>
      <c r="EI23549"/>
      <c r="EJ23549"/>
      <c r="EK23549"/>
    </row>
    <row r="23550" spans="1:141" s="116" customFormat="1">
      <c r="A23550" s="136"/>
      <c r="CM23550" s="111"/>
      <c r="CQ23550" s="111"/>
      <c r="EF23550"/>
      <c r="EG23550"/>
      <c r="EH23550"/>
      <c r="EI23550"/>
      <c r="EJ23550"/>
      <c r="EK23550"/>
    </row>
    <row r="23551" spans="1:141" s="116" customFormat="1">
      <c r="A23551" s="136"/>
      <c r="CM23551" s="111"/>
      <c r="CQ23551" s="111"/>
      <c r="EF23551"/>
      <c r="EG23551"/>
      <c r="EH23551"/>
      <c r="EI23551"/>
      <c r="EJ23551"/>
      <c r="EK23551"/>
    </row>
    <row r="23552" spans="1:141" s="116" customFormat="1">
      <c r="A23552" s="136"/>
      <c r="CM23552" s="111"/>
      <c r="CQ23552" s="111"/>
      <c r="EF23552"/>
      <c r="EG23552"/>
      <c r="EH23552"/>
      <c r="EI23552"/>
      <c r="EJ23552"/>
      <c r="EK23552"/>
    </row>
    <row r="23553" spans="1:141" s="116" customFormat="1">
      <c r="A23553" s="136"/>
      <c r="CM23553" s="111"/>
      <c r="CQ23553" s="111"/>
      <c r="EF23553"/>
      <c r="EG23553"/>
      <c r="EH23553"/>
      <c r="EI23553"/>
      <c r="EJ23553"/>
      <c r="EK23553"/>
    </row>
    <row r="23554" spans="1:141" s="116" customFormat="1">
      <c r="A23554" s="136"/>
      <c r="CM23554" s="111"/>
      <c r="CQ23554" s="111"/>
      <c r="EF23554"/>
      <c r="EG23554"/>
      <c r="EH23554"/>
      <c r="EI23554"/>
      <c r="EJ23554"/>
      <c r="EK23554"/>
    </row>
    <row r="23555" spans="1:141" s="116" customFormat="1">
      <c r="A23555" s="136"/>
      <c r="CM23555" s="111"/>
      <c r="CQ23555" s="111"/>
      <c r="EF23555"/>
      <c r="EG23555"/>
      <c r="EH23555"/>
      <c r="EI23555"/>
      <c r="EJ23555"/>
      <c r="EK23555"/>
    </row>
    <row r="23556" spans="1:141" s="116" customFormat="1">
      <c r="A23556" s="136"/>
      <c r="CM23556" s="111"/>
      <c r="CQ23556" s="111"/>
      <c r="EF23556"/>
      <c r="EG23556"/>
      <c r="EH23556"/>
      <c r="EI23556"/>
      <c r="EJ23556"/>
      <c r="EK23556"/>
    </row>
    <row r="23557" spans="1:141" s="116" customFormat="1">
      <c r="A23557" s="136"/>
      <c r="CM23557" s="111"/>
      <c r="CQ23557" s="111"/>
      <c r="EF23557"/>
      <c r="EG23557"/>
      <c r="EH23557"/>
      <c r="EI23557"/>
      <c r="EJ23557"/>
      <c r="EK23557"/>
    </row>
    <row r="23558" spans="1:141" s="116" customFormat="1">
      <c r="A23558" s="136"/>
      <c r="CM23558" s="111"/>
      <c r="CQ23558" s="111"/>
      <c r="EF23558"/>
      <c r="EG23558"/>
      <c r="EH23558"/>
      <c r="EI23558"/>
      <c r="EJ23558"/>
      <c r="EK23558"/>
    </row>
    <row r="23559" spans="1:141" s="116" customFormat="1">
      <c r="A23559" s="136"/>
      <c r="CM23559" s="111"/>
      <c r="CQ23559" s="111"/>
      <c r="EF23559"/>
      <c r="EG23559"/>
      <c r="EH23559"/>
      <c r="EI23559"/>
      <c r="EJ23559"/>
      <c r="EK23559"/>
    </row>
    <row r="23560" spans="1:141" s="116" customFormat="1">
      <c r="A23560" s="136"/>
      <c r="CM23560" s="111"/>
      <c r="CQ23560" s="111"/>
      <c r="EF23560"/>
      <c r="EG23560"/>
      <c r="EH23560"/>
      <c r="EI23560"/>
      <c r="EJ23560"/>
      <c r="EK23560"/>
    </row>
    <row r="23561" spans="1:141" s="116" customFormat="1">
      <c r="A23561" s="136"/>
      <c r="CM23561" s="111"/>
      <c r="CQ23561" s="111"/>
      <c r="EF23561"/>
      <c r="EG23561"/>
      <c r="EH23561"/>
      <c r="EI23561"/>
      <c r="EJ23561"/>
      <c r="EK23561"/>
    </row>
    <row r="23562" spans="1:141" s="116" customFormat="1">
      <c r="A23562" s="136"/>
      <c r="CM23562" s="111"/>
      <c r="CQ23562" s="111"/>
      <c r="EF23562"/>
      <c r="EG23562"/>
      <c r="EH23562"/>
      <c r="EI23562"/>
      <c r="EJ23562"/>
      <c r="EK23562"/>
    </row>
    <row r="23563" spans="1:141" s="116" customFormat="1">
      <c r="A23563" s="136"/>
      <c r="CM23563" s="111"/>
      <c r="CQ23563" s="111"/>
      <c r="EF23563"/>
      <c r="EG23563"/>
      <c r="EH23563"/>
      <c r="EI23563"/>
      <c r="EJ23563"/>
      <c r="EK23563"/>
    </row>
    <row r="23564" spans="1:141" s="116" customFormat="1">
      <c r="A23564" s="136"/>
      <c r="CM23564" s="111"/>
      <c r="CQ23564" s="111"/>
      <c r="EF23564"/>
      <c r="EG23564"/>
      <c r="EH23564"/>
      <c r="EI23564"/>
      <c r="EJ23564"/>
      <c r="EK23564"/>
    </row>
    <row r="23565" spans="1:141" s="116" customFormat="1">
      <c r="A23565" s="136"/>
      <c r="CM23565" s="111"/>
      <c r="CQ23565" s="111"/>
      <c r="EF23565"/>
      <c r="EG23565"/>
      <c r="EH23565"/>
      <c r="EI23565"/>
      <c r="EJ23565"/>
      <c r="EK23565"/>
    </row>
    <row r="23566" spans="1:141" s="116" customFormat="1">
      <c r="A23566" s="136"/>
      <c r="CM23566" s="111"/>
      <c r="CQ23566" s="111"/>
      <c r="EF23566"/>
      <c r="EG23566"/>
      <c r="EH23566"/>
      <c r="EI23566"/>
      <c r="EJ23566"/>
      <c r="EK23566"/>
    </row>
    <row r="23567" spans="1:141" s="116" customFormat="1">
      <c r="A23567" s="136"/>
      <c r="CM23567" s="111"/>
      <c r="CQ23567" s="111"/>
      <c r="EF23567"/>
      <c r="EG23567"/>
      <c r="EH23567"/>
      <c r="EI23567"/>
      <c r="EJ23567"/>
      <c r="EK23567"/>
    </row>
    <row r="23568" spans="1:141" s="116" customFormat="1">
      <c r="A23568" s="136"/>
      <c r="CM23568" s="111"/>
      <c r="CQ23568" s="111"/>
      <c r="EF23568"/>
      <c r="EG23568"/>
      <c r="EH23568"/>
      <c r="EI23568"/>
      <c r="EJ23568"/>
      <c r="EK23568"/>
    </row>
    <row r="23569" spans="1:141" s="116" customFormat="1">
      <c r="A23569" s="136"/>
      <c r="CM23569" s="111"/>
      <c r="CQ23569" s="111"/>
      <c r="EF23569"/>
      <c r="EG23569"/>
      <c r="EH23569"/>
      <c r="EI23569"/>
      <c r="EJ23569"/>
      <c r="EK23569"/>
    </row>
    <row r="23570" spans="1:141" s="116" customFormat="1">
      <c r="A23570" s="136"/>
      <c r="CM23570" s="111"/>
      <c r="CQ23570" s="111"/>
      <c r="EF23570"/>
      <c r="EG23570"/>
      <c r="EH23570"/>
      <c r="EI23570"/>
      <c r="EJ23570"/>
      <c r="EK23570"/>
    </row>
    <row r="23571" spans="1:141" s="116" customFormat="1">
      <c r="A23571" s="136"/>
      <c r="CM23571" s="111"/>
      <c r="CQ23571" s="111"/>
      <c r="EF23571"/>
      <c r="EG23571"/>
      <c r="EH23571"/>
      <c r="EI23571"/>
      <c r="EJ23571"/>
      <c r="EK23571"/>
    </row>
    <row r="23572" spans="1:141" s="116" customFormat="1">
      <c r="A23572" s="136"/>
      <c r="CM23572" s="111"/>
      <c r="CQ23572" s="111"/>
      <c r="EF23572"/>
      <c r="EG23572"/>
      <c r="EH23572"/>
      <c r="EI23572"/>
      <c r="EJ23572"/>
      <c r="EK23572"/>
    </row>
    <row r="23573" spans="1:141" s="116" customFormat="1">
      <c r="A23573" s="136"/>
      <c r="CM23573" s="111"/>
      <c r="CQ23573" s="111"/>
      <c r="EF23573"/>
      <c r="EG23573"/>
      <c r="EH23573"/>
      <c r="EI23573"/>
      <c r="EJ23573"/>
      <c r="EK23573"/>
    </row>
    <row r="23574" spans="1:141" s="116" customFormat="1">
      <c r="A23574" s="136"/>
      <c r="CM23574" s="111"/>
      <c r="CQ23574" s="111"/>
      <c r="EF23574"/>
      <c r="EG23574"/>
      <c r="EH23574"/>
      <c r="EI23574"/>
      <c r="EJ23574"/>
      <c r="EK23574"/>
    </row>
    <row r="23575" spans="1:141" s="116" customFormat="1">
      <c r="A23575" s="136"/>
      <c r="CM23575" s="111"/>
      <c r="CQ23575" s="111"/>
      <c r="EF23575"/>
      <c r="EG23575"/>
      <c r="EH23575"/>
      <c r="EI23575"/>
      <c r="EJ23575"/>
      <c r="EK23575"/>
    </row>
    <row r="23576" spans="1:141" s="116" customFormat="1">
      <c r="A23576" s="136"/>
      <c r="CM23576" s="111"/>
      <c r="CQ23576" s="111"/>
      <c r="EF23576"/>
      <c r="EG23576"/>
      <c r="EH23576"/>
      <c r="EI23576"/>
      <c r="EJ23576"/>
      <c r="EK23576"/>
    </row>
    <row r="23577" spans="1:141" s="116" customFormat="1">
      <c r="A23577" s="136"/>
      <c r="CM23577" s="111"/>
      <c r="CQ23577" s="111"/>
      <c r="EF23577"/>
      <c r="EG23577"/>
      <c r="EH23577"/>
      <c r="EI23577"/>
      <c r="EJ23577"/>
      <c r="EK23577"/>
    </row>
    <row r="23578" spans="1:141" s="116" customFormat="1">
      <c r="A23578" s="136"/>
      <c r="CM23578" s="111"/>
      <c r="CQ23578" s="111"/>
      <c r="EF23578"/>
      <c r="EG23578"/>
      <c r="EH23578"/>
      <c r="EI23578"/>
      <c r="EJ23578"/>
      <c r="EK23578"/>
    </row>
    <row r="23579" spans="1:141" s="116" customFormat="1">
      <c r="A23579" s="136"/>
      <c r="CM23579" s="111"/>
      <c r="CQ23579" s="111"/>
      <c r="EF23579"/>
      <c r="EG23579"/>
      <c r="EH23579"/>
      <c r="EI23579"/>
      <c r="EJ23579"/>
      <c r="EK23579"/>
    </row>
    <row r="23580" spans="1:141" s="116" customFormat="1">
      <c r="A23580" s="136"/>
      <c r="CM23580" s="111"/>
      <c r="CQ23580" s="111"/>
      <c r="EF23580"/>
      <c r="EG23580"/>
      <c r="EH23580"/>
      <c r="EI23580"/>
      <c r="EJ23580"/>
      <c r="EK23580"/>
    </row>
    <row r="23581" spans="1:141" s="116" customFormat="1">
      <c r="A23581" s="136"/>
      <c r="CM23581" s="111"/>
      <c r="CQ23581" s="111"/>
      <c r="EF23581"/>
      <c r="EG23581"/>
      <c r="EH23581"/>
      <c r="EI23581"/>
      <c r="EJ23581"/>
      <c r="EK23581"/>
    </row>
    <row r="23582" spans="1:141" s="116" customFormat="1">
      <c r="A23582" s="136"/>
      <c r="CM23582" s="111"/>
      <c r="CQ23582" s="111"/>
      <c r="EF23582"/>
      <c r="EG23582"/>
      <c r="EH23582"/>
      <c r="EI23582"/>
      <c r="EJ23582"/>
      <c r="EK23582"/>
    </row>
    <row r="23583" spans="1:141" s="116" customFormat="1">
      <c r="A23583" s="136"/>
      <c r="CM23583" s="111"/>
      <c r="CQ23583" s="111"/>
      <c r="EF23583"/>
      <c r="EG23583"/>
      <c r="EH23583"/>
      <c r="EI23583"/>
      <c r="EJ23583"/>
      <c r="EK23583"/>
    </row>
    <row r="23584" spans="1:141" s="116" customFormat="1">
      <c r="A23584" s="136"/>
      <c r="CM23584" s="111"/>
      <c r="CQ23584" s="111"/>
      <c r="EF23584"/>
      <c r="EG23584"/>
      <c r="EH23584"/>
      <c r="EI23584"/>
      <c r="EJ23584"/>
      <c r="EK23584"/>
    </row>
    <row r="23585" spans="1:141" s="116" customFormat="1">
      <c r="A23585" s="136"/>
      <c r="CM23585" s="111"/>
      <c r="CQ23585" s="111"/>
      <c r="EF23585"/>
      <c r="EG23585"/>
      <c r="EH23585"/>
      <c r="EI23585"/>
      <c r="EJ23585"/>
      <c r="EK23585"/>
    </row>
    <row r="23586" spans="1:141" s="116" customFormat="1">
      <c r="A23586" s="136"/>
      <c r="CM23586" s="111"/>
      <c r="CQ23586" s="111"/>
      <c r="EF23586"/>
      <c r="EG23586"/>
      <c r="EH23586"/>
      <c r="EI23586"/>
      <c r="EJ23586"/>
      <c r="EK23586"/>
    </row>
    <row r="23587" spans="1:141" s="116" customFormat="1">
      <c r="A23587" s="136"/>
      <c r="CM23587" s="111"/>
      <c r="CQ23587" s="111"/>
      <c r="EF23587"/>
      <c r="EG23587"/>
      <c r="EH23587"/>
      <c r="EI23587"/>
      <c r="EJ23587"/>
      <c r="EK23587"/>
    </row>
    <row r="23588" spans="1:141" s="116" customFormat="1">
      <c r="A23588" s="136"/>
      <c r="CM23588" s="111"/>
      <c r="CQ23588" s="111"/>
      <c r="EF23588"/>
      <c r="EG23588"/>
      <c r="EH23588"/>
      <c r="EI23588"/>
      <c r="EJ23588"/>
      <c r="EK23588"/>
    </row>
    <row r="23589" spans="1:141" s="116" customFormat="1">
      <c r="A23589" s="136"/>
      <c r="CM23589" s="111"/>
      <c r="CQ23589" s="111"/>
      <c r="EF23589"/>
      <c r="EG23589"/>
      <c r="EH23589"/>
      <c r="EI23589"/>
      <c r="EJ23589"/>
      <c r="EK23589"/>
    </row>
    <row r="23590" spans="1:141" s="116" customFormat="1">
      <c r="A23590" s="136"/>
      <c r="CM23590" s="111"/>
      <c r="CQ23590" s="111"/>
      <c r="EF23590"/>
      <c r="EG23590"/>
      <c r="EH23590"/>
      <c r="EI23590"/>
      <c r="EJ23590"/>
      <c r="EK23590"/>
    </row>
    <row r="23591" spans="1:141" s="116" customFormat="1">
      <c r="A23591" s="136"/>
      <c r="CM23591" s="111"/>
      <c r="CQ23591" s="111"/>
      <c r="EF23591"/>
      <c r="EG23591"/>
      <c r="EH23591"/>
      <c r="EI23591"/>
      <c r="EJ23591"/>
      <c r="EK23591"/>
    </row>
    <row r="23592" spans="1:141" s="116" customFormat="1">
      <c r="A23592" s="136"/>
      <c r="CM23592" s="111"/>
      <c r="CQ23592" s="111"/>
      <c r="EF23592"/>
      <c r="EG23592"/>
      <c r="EH23592"/>
      <c r="EI23592"/>
      <c r="EJ23592"/>
      <c r="EK23592"/>
    </row>
    <row r="23593" spans="1:141" s="116" customFormat="1">
      <c r="A23593" s="136"/>
      <c r="CM23593" s="111"/>
      <c r="CQ23593" s="111"/>
      <c r="EF23593"/>
      <c r="EG23593"/>
      <c r="EH23593"/>
      <c r="EI23593"/>
      <c r="EJ23593"/>
      <c r="EK23593"/>
    </row>
    <row r="23594" spans="1:141" s="116" customFormat="1">
      <c r="A23594" s="136"/>
      <c r="CM23594" s="111"/>
      <c r="CQ23594" s="111"/>
      <c r="EF23594"/>
      <c r="EG23594"/>
      <c r="EH23594"/>
      <c r="EI23594"/>
      <c r="EJ23594"/>
      <c r="EK23594"/>
    </row>
    <row r="23595" spans="1:141" s="116" customFormat="1">
      <c r="A23595" s="136"/>
      <c r="CM23595" s="111"/>
      <c r="CQ23595" s="111"/>
      <c r="EF23595"/>
      <c r="EG23595"/>
      <c r="EH23595"/>
      <c r="EI23595"/>
      <c r="EJ23595"/>
      <c r="EK23595"/>
    </row>
    <row r="23596" spans="1:141" s="116" customFormat="1">
      <c r="A23596" s="136"/>
      <c r="CM23596" s="111"/>
      <c r="CQ23596" s="111"/>
      <c r="EF23596"/>
      <c r="EG23596"/>
      <c r="EH23596"/>
      <c r="EI23596"/>
      <c r="EJ23596"/>
      <c r="EK23596"/>
    </row>
    <row r="23597" spans="1:141" s="116" customFormat="1">
      <c r="A23597" s="136"/>
      <c r="CM23597" s="111"/>
      <c r="CQ23597" s="111"/>
      <c r="EF23597"/>
      <c r="EG23597"/>
      <c r="EH23597"/>
      <c r="EI23597"/>
      <c r="EJ23597"/>
      <c r="EK23597"/>
    </row>
    <row r="23598" spans="1:141" s="116" customFormat="1">
      <c r="A23598" s="136"/>
      <c r="CM23598" s="111"/>
      <c r="CQ23598" s="111"/>
      <c r="EF23598"/>
      <c r="EG23598"/>
      <c r="EH23598"/>
      <c r="EI23598"/>
      <c r="EJ23598"/>
      <c r="EK23598"/>
    </row>
    <row r="23599" spans="1:141" s="116" customFormat="1">
      <c r="A23599" s="136"/>
      <c r="CM23599" s="111"/>
      <c r="CQ23599" s="111"/>
      <c r="EF23599"/>
      <c r="EG23599"/>
      <c r="EH23599"/>
      <c r="EI23599"/>
      <c r="EJ23599"/>
      <c r="EK23599"/>
    </row>
    <row r="23600" spans="1:141" s="116" customFormat="1">
      <c r="A23600" s="136"/>
      <c r="CM23600" s="111"/>
      <c r="CQ23600" s="111"/>
      <c r="EF23600"/>
      <c r="EG23600"/>
      <c r="EH23600"/>
      <c r="EI23600"/>
      <c r="EJ23600"/>
      <c r="EK23600"/>
    </row>
    <row r="23601" spans="1:141" s="116" customFormat="1">
      <c r="A23601" s="136"/>
      <c r="CM23601" s="111"/>
      <c r="CQ23601" s="111"/>
      <c r="EF23601"/>
      <c r="EG23601"/>
      <c r="EH23601"/>
      <c r="EI23601"/>
      <c r="EJ23601"/>
      <c r="EK23601"/>
    </row>
    <row r="23602" spans="1:141" s="116" customFormat="1">
      <c r="A23602" s="136"/>
      <c r="CM23602" s="111"/>
      <c r="CQ23602" s="111"/>
      <c r="EF23602"/>
      <c r="EG23602"/>
      <c r="EH23602"/>
      <c r="EI23602"/>
      <c r="EJ23602"/>
      <c r="EK23602"/>
    </row>
    <row r="23603" spans="1:141" s="116" customFormat="1">
      <c r="A23603" s="136"/>
      <c r="CM23603" s="111"/>
      <c r="CQ23603" s="111"/>
      <c r="EF23603"/>
      <c r="EG23603"/>
      <c r="EH23603"/>
      <c r="EI23603"/>
      <c r="EJ23603"/>
      <c r="EK23603"/>
    </row>
    <row r="23604" spans="1:141" s="116" customFormat="1">
      <c r="A23604" s="136"/>
      <c r="CM23604" s="111"/>
      <c r="CQ23604" s="111"/>
      <c r="EF23604"/>
      <c r="EG23604"/>
      <c r="EH23604"/>
      <c r="EI23604"/>
      <c r="EJ23604"/>
      <c r="EK23604"/>
    </row>
    <row r="23605" spans="1:141" s="116" customFormat="1">
      <c r="A23605" s="136"/>
      <c r="CM23605" s="111"/>
      <c r="CQ23605" s="111"/>
      <c r="EF23605"/>
      <c r="EG23605"/>
      <c r="EH23605"/>
      <c r="EI23605"/>
      <c r="EJ23605"/>
      <c r="EK23605"/>
    </row>
    <row r="23606" spans="1:141" s="116" customFormat="1">
      <c r="A23606" s="136"/>
      <c r="CM23606" s="111"/>
      <c r="CQ23606" s="111"/>
      <c r="EF23606"/>
      <c r="EG23606"/>
      <c r="EH23606"/>
      <c r="EI23606"/>
      <c r="EJ23606"/>
      <c r="EK23606"/>
    </row>
    <row r="23607" spans="1:141" s="116" customFormat="1">
      <c r="A23607" s="136"/>
      <c r="CM23607" s="111"/>
      <c r="CQ23607" s="111"/>
      <c r="EF23607"/>
      <c r="EG23607"/>
      <c r="EH23607"/>
      <c r="EI23607"/>
      <c r="EJ23607"/>
      <c r="EK23607"/>
    </row>
    <row r="23608" spans="1:141" s="116" customFormat="1">
      <c r="A23608" s="136"/>
      <c r="CM23608" s="111"/>
      <c r="CQ23608" s="111"/>
      <c r="EF23608"/>
      <c r="EG23608"/>
      <c r="EH23608"/>
      <c r="EI23608"/>
      <c r="EJ23608"/>
      <c r="EK23608"/>
    </row>
    <row r="23609" spans="1:141" s="116" customFormat="1">
      <c r="A23609" s="136"/>
      <c r="CM23609" s="111"/>
      <c r="CQ23609" s="111"/>
      <c r="EF23609"/>
      <c r="EG23609"/>
      <c r="EH23609"/>
      <c r="EI23609"/>
      <c r="EJ23609"/>
      <c r="EK23609"/>
    </row>
    <row r="23610" spans="1:141" s="116" customFormat="1">
      <c r="A23610" s="136"/>
      <c r="CM23610" s="111"/>
      <c r="CQ23610" s="111"/>
      <c r="EF23610"/>
      <c r="EG23610"/>
      <c r="EH23610"/>
      <c r="EI23610"/>
      <c r="EJ23610"/>
      <c r="EK23610"/>
    </row>
    <row r="23611" spans="1:141" s="116" customFormat="1">
      <c r="A23611" s="136"/>
      <c r="CM23611" s="111"/>
      <c r="CQ23611" s="111"/>
      <c r="EF23611"/>
      <c r="EG23611"/>
      <c r="EH23611"/>
      <c r="EI23611"/>
      <c r="EJ23611"/>
      <c r="EK23611"/>
    </row>
    <row r="23612" spans="1:141" s="116" customFormat="1">
      <c r="A23612" s="136"/>
      <c r="CM23612" s="111"/>
      <c r="CQ23612" s="111"/>
      <c r="EF23612"/>
      <c r="EG23612"/>
      <c r="EH23612"/>
      <c r="EI23612"/>
      <c r="EJ23612"/>
      <c r="EK23612"/>
    </row>
    <row r="23613" spans="1:141" s="116" customFormat="1">
      <c r="A23613" s="136"/>
      <c r="CM23613" s="111"/>
      <c r="CQ23613" s="111"/>
      <c r="EF23613"/>
      <c r="EG23613"/>
      <c r="EH23613"/>
      <c r="EI23613"/>
      <c r="EJ23613"/>
      <c r="EK23613"/>
    </row>
    <row r="23614" spans="1:141" s="116" customFormat="1">
      <c r="A23614" s="136"/>
      <c r="CM23614" s="111"/>
      <c r="CQ23614" s="111"/>
      <c r="EF23614"/>
      <c r="EG23614"/>
      <c r="EH23614"/>
      <c r="EI23614"/>
      <c r="EJ23614"/>
      <c r="EK23614"/>
    </row>
    <row r="23615" spans="1:141" s="116" customFormat="1">
      <c r="A23615" s="136"/>
      <c r="CM23615" s="111"/>
      <c r="CQ23615" s="111"/>
      <c r="EF23615"/>
      <c r="EG23615"/>
      <c r="EH23615"/>
      <c r="EI23615"/>
      <c r="EJ23615"/>
      <c r="EK23615"/>
    </row>
    <row r="23616" spans="1:141" s="116" customFormat="1">
      <c r="A23616" s="136"/>
      <c r="CM23616" s="111"/>
      <c r="CQ23616" s="111"/>
      <c r="EF23616"/>
      <c r="EG23616"/>
      <c r="EH23616"/>
      <c r="EI23616"/>
      <c r="EJ23616"/>
      <c r="EK23616"/>
    </row>
    <row r="23617" spans="1:141" s="116" customFormat="1">
      <c r="A23617" s="136"/>
      <c r="CM23617" s="111"/>
      <c r="CQ23617" s="111"/>
      <c r="EF23617"/>
      <c r="EG23617"/>
      <c r="EH23617"/>
      <c r="EI23617"/>
      <c r="EJ23617"/>
      <c r="EK23617"/>
    </row>
    <row r="23618" spans="1:141" s="116" customFormat="1">
      <c r="A23618" s="136"/>
      <c r="CM23618" s="111"/>
      <c r="CQ23618" s="111"/>
      <c r="EF23618"/>
      <c r="EG23618"/>
      <c r="EH23618"/>
      <c r="EI23618"/>
      <c r="EJ23618"/>
      <c r="EK23618"/>
    </row>
    <row r="23619" spans="1:141" s="116" customFormat="1">
      <c r="A23619" s="136"/>
      <c r="CM23619" s="111"/>
      <c r="CQ23619" s="111"/>
      <c r="EF23619"/>
      <c r="EG23619"/>
      <c r="EH23619"/>
      <c r="EI23619"/>
      <c r="EJ23619"/>
      <c r="EK23619"/>
    </row>
    <row r="23620" spans="1:141" s="116" customFormat="1">
      <c r="A23620" s="136"/>
      <c r="CM23620" s="111"/>
      <c r="CQ23620" s="111"/>
      <c r="EF23620"/>
      <c r="EG23620"/>
      <c r="EH23620"/>
      <c r="EI23620"/>
      <c r="EJ23620"/>
      <c r="EK23620"/>
    </row>
    <row r="23621" spans="1:141" s="116" customFormat="1">
      <c r="A23621" s="136"/>
      <c r="CM23621" s="111"/>
      <c r="CQ23621" s="111"/>
      <c r="EF23621"/>
      <c r="EG23621"/>
      <c r="EH23621"/>
      <c r="EI23621"/>
      <c r="EJ23621"/>
      <c r="EK23621"/>
    </row>
    <row r="23622" spans="1:141" s="116" customFormat="1">
      <c r="A23622" s="136"/>
      <c r="CM23622" s="111"/>
      <c r="CQ23622" s="111"/>
      <c r="EF23622"/>
      <c r="EG23622"/>
      <c r="EH23622"/>
      <c r="EI23622"/>
      <c r="EJ23622"/>
      <c r="EK23622"/>
    </row>
    <row r="23623" spans="1:141" s="116" customFormat="1">
      <c r="A23623" s="136"/>
      <c r="CM23623" s="111"/>
      <c r="CQ23623" s="111"/>
      <c r="EF23623"/>
      <c r="EG23623"/>
      <c r="EH23623"/>
      <c r="EI23623"/>
      <c r="EJ23623"/>
      <c r="EK23623"/>
    </row>
    <row r="23624" spans="1:141" s="116" customFormat="1">
      <c r="A23624" s="136"/>
      <c r="CM23624" s="111"/>
      <c r="CQ23624" s="111"/>
      <c r="EF23624"/>
      <c r="EG23624"/>
      <c r="EH23624"/>
      <c r="EI23624"/>
      <c r="EJ23624"/>
      <c r="EK23624"/>
    </row>
    <row r="23625" spans="1:141" s="116" customFormat="1">
      <c r="A23625" s="136"/>
      <c r="CM23625" s="111"/>
      <c r="CQ23625" s="111"/>
      <c r="EF23625"/>
      <c r="EG23625"/>
      <c r="EH23625"/>
      <c r="EI23625"/>
      <c r="EJ23625"/>
      <c r="EK23625"/>
    </row>
    <row r="23626" spans="1:141" s="116" customFormat="1">
      <c r="A23626" s="136"/>
      <c r="CM23626" s="111"/>
      <c r="CQ23626" s="111"/>
      <c r="EF23626"/>
      <c r="EG23626"/>
      <c r="EH23626"/>
      <c r="EI23626"/>
      <c r="EJ23626"/>
      <c r="EK23626"/>
    </row>
    <row r="23627" spans="1:141" s="116" customFormat="1">
      <c r="A23627" s="136"/>
      <c r="CM23627" s="111"/>
      <c r="CQ23627" s="111"/>
      <c r="EF23627"/>
      <c r="EG23627"/>
      <c r="EH23627"/>
      <c r="EI23627"/>
      <c r="EJ23627"/>
      <c r="EK23627"/>
    </row>
    <row r="23628" spans="1:141" s="116" customFormat="1">
      <c r="A23628" s="136"/>
      <c r="CM23628" s="111"/>
      <c r="CQ23628" s="111"/>
      <c r="EF23628"/>
      <c r="EG23628"/>
      <c r="EH23628"/>
      <c r="EI23628"/>
      <c r="EJ23628"/>
      <c r="EK23628"/>
    </row>
    <row r="23629" spans="1:141" s="116" customFormat="1">
      <c r="A23629" s="136"/>
      <c r="CM23629" s="111"/>
      <c r="CQ23629" s="111"/>
      <c r="EF23629"/>
      <c r="EG23629"/>
      <c r="EH23629"/>
      <c r="EI23629"/>
      <c r="EJ23629"/>
      <c r="EK23629"/>
    </row>
    <row r="23630" spans="1:141" s="116" customFormat="1">
      <c r="A23630" s="136"/>
      <c r="CM23630" s="111"/>
      <c r="CQ23630" s="111"/>
      <c r="EF23630"/>
      <c r="EG23630"/>
      <c r="EH23630"/>
      <c r="EI23630"/>
      <c r="EJ23630"/>
      <c r="EK23630"/>
    </row>
    <row r="23631" spans="1:141" s="116" customFormat="1">
      <c r="A23631" s="136"/>
      <c r="CM23631" s="111"/>
      <c r="CQ23631" s="111"/>
      <c r="EF23631"/>
      <c r="EG23631"/>
      <c r="EH23631"/>
      <c r="EI23631"/>
      <c r="EJ23631"/>
      <c r="EK23631"/>
    </row>
    <row r="23632" spans="1:141" s="116" customFormat="1">
      <c r="A23632" s="136"/>
      <c r="CM23632" s="111"/>
      <c r="CQ23632" s="111"/>
      <c r="EF23632"/>
      <c r="EG23632"/>
      <c r="EH23632"/>
      <c r="EI23632"/>
      <c r="EJ23632"/>
      <c r="EK23632"/>
    </row>
    <row r="23633" spans="1:141" s="116" customFormat="1">
      <c r="A23633" s="136"/>
      <c r="CM23633" s="111"/>
      <c r="CQ23633" s="111"/>
      <c r="EF23633"/>
      <c r="EG23633"/>
      <c r="EH23633"/>
      <c r="EI23633"/>
      <c r="EJ23633"/>
      <c r="EK23633"/>
    </row>
    <row r="23634" spans="1:141" s="116" customFormat="1">
      <c r="A23634" s="136"/>
      <c r="CM23634" s="111"/>
      <c r="CQ23634" s="111"/>
      <c r="EF23634"/>
      <c r="EG23634"/>
      <c r="EH23634"/>
      <c r="EI23634"/>
      <c r="EJ23634"/>
      <c r="EK23634"/>
    </row>
    <row r="23635" spans="1:141" s="116" customFormat="1">
      <c r="A23635" s="136"/>
      <c r="CM23635" s="111"/>
      <c r="CQ23635" s="111"/>
      <c r="EF23635"/>
      <c r="EG23635"/>
      <c r="EH23635"/>
      <c r="EI23635"/>
      <c r="EJ23635"/>
      <c r="EK23635"/>
    </row>
    <row r="23636" spans="1:141" s="116" customFormat="1">
      <c r="A23636" s="136"/>
      <c r="CM23636" s="111"/>
      <c r="CQ23636" s="111"/>
      <c r="EF23636"/>
      <c r="EG23636"/>
      <c r="EH23636"/>
      <c r="EI23636"/>
      <c r="EJ23636"/>
      <c r="EK23636"/>
    </row>
    <row r="23637" spans="1:141" s="116" customFormat="1">
      <c r="A23637" s="136"/>
      <c r="CM23637" s="111"/>
      <c r="CQ23637" s="111"/>
      <c r="EF23637"/>
      <c r="EG23637"/>
      <c r="EH23637"/>
      <c r="EI23637"/>
      <c r="EJ23637"/>
      <c r="EK23637"/>
    </row>
    <row r="23638" spans="1:141" s="116" customFormat="1">
      <c r="A23638" s="136"/>
      <c r="CM23638" s="111"/>
      <c r="CQ23638" s="111"/>
      <c r="EF23638"/>
      <c r="EG23638"/>
      <c r="EH23638"/>
      <c r="EI23638"/>
      <c r="EJ23638"/>
      <c r="EK23638"/>
    </row>
    <row r="23639" spans="1:141" s="116" customFormat="1">
      <c r="A23639" s="136"/>
      <c r="CM23639" s="111"/>
      <c r="CQ23639" s="111"/>
      <c r="EF23639"/>
      <c r="EG23639"/>
      <c r="EH23639"/>
      <c r="EI23639"/>
      <c r="EJ23639"/>
      <c r="EK23639"/>
    </row>
    <row r="23640" spans="1:141" s="116" customFormat="1">
      <c r="A23640" s="136"/>
      <c r="CM23640" s="111"/>
      <c r="CQ23640" s="111"/>
      <c r="EF23640"/>
      <c r="EG23640"/>
      <c r="EH23640"/>
      <c r="EI23640"/>
      <c r="EJ23640"/>
      <c r="EK23640"/>
    </row>
    <row r="23641" spans="1:141" s="116" customFormat="1">
      <c r="A23641" s="136"/>
      <c r="CM23641" s="111"/>
      <c r="CQ23641" s="111"/>
      <c r="EF23641"/>
      <c r="EG23641"/>
      <c r="EH23641"/>
      <c r="EI23641"/>
      <c r="EJ23641"/>
      <c r="EK23641"/>
    </row>
    <row r="23642" spans="1:141" s="116" customFormat="1">
      <c r="A23642" s="136"/>
      <c r="CM23642" s="111"/>
      <c r="CQ23642" s="111"/>
      <c r="EF23642"/>
      <c r="EG23642"/>
      <c r="EH23642"/>
      <c r="EI23642"/>
      <c r="EJ23642"/>
      <c r="EK23642"/>
    </row>
    <row r="23643" spans="1:141" s="116" customFormat="1">
      <c r="A23643" s="136"/>
      <c r="CM23643" s="111"/>
      <c r="CQ23643" s="111"/>
      <c r="EF23643"/>
      <c r="EG23643"/>
      <c r="EH23643"/>
      <c r="EI23643"/>
      <c r="EJ23643"/>
      <c r="EK23643"/>
    </row>
    <row r="23644" spans="1:141" s="116" customFormat="1">
      <c r="A23644" s="136"/>
      <c r="CM23644" s="111"/>
      <c r="CQ23644" s="111"/>
      <c r="EF23644"/>
      <c r="EG23644"/>
      <c r="EH23644"/>
      <c r="EI23644"/>
      <c r="EJ23644"/>
      <c r="EK23644"/>
    </row>
    <row r="23645" spans="1:141" s="116" customFormat="1">
      <c r="A23645" s="136"/>
      <c r="CM23645" s="111"/>
      <c r="CQ23645" s="111"/>
      <c r="EF23645"/>
      <c r="EG23645"/>
      <c r="EH23645"/>
      <c r="EI23645"/>
      <c r="EJ23645"/>
      <c r="EK23645"/>
    </row>
    <row r="23646" spans="1:141" s="116" customFormat="1">
      <c r="A23646" s="136"/>
      <c r="CM23646" s="111"/>
      <c r="CQ23646" s="111"/>
      <c r="EF23646"/>
      <c r="EG23646"/>
      <c r="EH23646"/>
      <c r="EI23646"/>
      <c r="EJ23646"/>
      <c r="EK23646"/>
    </row>
    <row r="23647" spans="1:141" s="116" customFormat="1">
      <c r="A23647" s="136"/>
      <c r="CM23647" s="111"/>
      <c r="CQ23647" s="111"/>
      <c r="EF23647"/>
      <c r="EG23647"/>
      <c r="EH23647"/>
      <c r="EI23647"/>
      <c r="EJ23647"/>
      <c r="EK23647"/>
    </row>
    <row r="23648" spans="1:141" s="116" customFormat="1">
      <c r="A23648" s="136"/>
      <c r="CM23648" s="111"/>
      <c r="CQ23648" s="111"/>
      <c r="EF23648"/>
      <c r="EG23648"/>
      <c r="EH23648"/>
      <c r="EI23648"/>
      <c r="EJ23648"/>
      <c r="EK23648"/>
    </row>
    <row r="23649" spans="1:141" s="116" customFormat="1">
      <c r="A23649" s="136"/>
      <c r="CM23649" s="111"/>
      <c r="CQ23649" s="111"/>
      <c r="EF23649"/>
      <c r="EG23649"/>
      <c r="EH23649"/>
      <c r="EI23649"/>
      <c r="EJ23649"/>
      <c r="EK23649"/>
    </row>
    <row r="23650" spans="1:141" s="116" customFormat="1">
      <c r="A23650" s="136"/>
      <c r="CM23650" s="111"/>
      <c r="CQ23650" s="111"/>
      <c r="EF23650"/>
      <c r="EG23650"/>
      <c r="EH23650"/>
      <c r="EI23650"/>
      <c r="EJ23650"/>
      <c r="EK23650"/>
    </row>
    <row r="23651" spans="1:141" s="116" customFormat="1">
      <c r="A23651" s="136"/>
      <c r="CM23651" s="111"/>
      <c r="CQ23651" s="111"/>
      <c r="EF23651"/>
      <c r="EG23651"/>
      <c r="EH23651"/>
      <c r="EI23651"/>
      <c r="EJ23651"/>
      <c r="EK23651"/>
    </row>
    <row r="23652" spans="1:141" s="116" customFormat="1">
      <c r="A23652" s="136"/>
      <c r="CM23652" s="111"/>
      <c r="CQ23652" s="111"/>
      <c r="EF23652"/>
      <c r="EG23652"/>
      <c r="EH23652"/>
      <c r="EI23652"/>
      <c r="EJ23652"/>
      <c r="EK23652"/>
    </row>
    <row r="23653" spans="1:141" s="116" customFormat="1">
      <c r="A23653" s="136"/>
      <c r="CM23653" s="111"/>
      <c r="CQ23653" s="111"/>
      <c r="EF23653"/>
      <c r="EG23653"/>
      <c r="EH23653"/>
      <c r="EI23653"/>
      <c r="EJ23653"/>
      <c r="EK23653"/>
    </row>
    <row r="23654" spans="1:141" s="116" customFormat="1">
      <c r="A23654" s="136"/>
      <c r="CM23654" s="111"/>
      <c r="CQ23654" s="111"/>
      <c r="EF23654"/>
      <c r="EG23654"/>
      <c r="EH23654"/>
      <c r="EI23654"/>
      <c r="EJ23654"/>
      <c r="EK23654"/>
    </row>
    <row r="23655" spans="1:141" s="116" customFormat="1">
      <c r="A23655" s="136"/>
      <c r="CM23655" s="111"/>
      <c r="CQ23655" s="111"/>
      <c r="EF23655"/>
      <c r="EG23655"/>
      <c r="EH23655"/>
      <c r="EI23655"/>
      <c r="EJ23655"/>
      <c r="EK23655"/>
    </row>
    <row r="23656" spans="1:141" s="116" customFormat="1">
      <c r="A23656" s="136"/>
      <c r="CM23656" s="111"/>
      <c r="CQ23656" s="111"/>
      <c r="EF23656"/>
      <c r="EG23656"/>
      <c r="EH23656"/>
      <c r="EI23656"/>
      <c r="EJ23656"/>
      <c r="EK23656"/>
    </row>
    <row r="23657" spans="1:141" s="116" customFormat="1">
      <c r="A23657" s="136"/>
      <c r="CM23657" s="111"/>
      <c r="CQ23657" s="111"/>
      <c r="EF23657"/>
      <c r="EG23657"/>
      <c r="EH23657"/>
      <c r="EI23657"/>
      <c r="EJ23657"/>
      <c r="EK23657"/>
    </row>
    <row r="23658" spans="1:141" s="116" customFormat="1">
      <c r="A23658" s="136"/>
      <c r="CM23658" s="111"/>
      <c r="CQ23658" s="111"/>
      <c r="EF23658"/>
      <c r="EG23658"/>
      <c r="EH23658"/>
      <c r="EI23658"/>
      <c r="EJ23658"/>
      <c r="EK23658"/>
    </row>
    <row r="23659" spans="1:141" s="116" customFormat="1">
      <c r="A23659" s="136"/>
      <c r="CM23659" s="111"/>
      <c r="CQ23659" s="111"/>
      <c r="EF23659"/>
      <c r="EG23659"/>
      <c r="EH23659"/>
      <c r="EI23659"/>
      <c r="EJ23659"/>
      <c r="EK23659"/>
    </row>
    <row r="23660" spans="1:141" s="116" customFormat="1">
      <c r="A23660" s="136"/>
      <c r="CM23660" s="111"/>
      <c r="CQ23660" s="111"/>
      <c r="EF23660"/>
      <c r="EG23660"/>
      <c r="EH23660"/>
      <c r="EI23660"/>
      <c r="EJ23660"/>
      <c r="EK23660"/>
    </row>
    <row r="23661" spans="1:141" s="116" customFormat="1">
      <c r="A23661" s="136"/>
      <c r="CM23661" s="111"/>
      <c r="CQ23661" s="111"/>
      <c r="EF23661"/>
      <c r="EG23661"/>
      <c r="EH23661"/>
      <c r="EI23661"/>
      <c r="EJ23661"/>
      <c r="EK23661"/>
    </row>
    <row r="23662" spans="1:141" s="116" customFormat="1">
      <c r="A23662" s="136"/>
      <c r="CM23662" s="111"/>
      <c r="CQ23662" s="111"/>
      <c r="EF23662"/>
      <c r="EG23662"/>
      <c r="EH23662"/>
      <c r="EI23662"/>
      <c r="EJ23662"/>
      <c r="EK23662"/>
    </row>
    <row r="23663" spans="1:141" s="116" customFormat="1">
      <c r="A23663" s="136"/>
      <c r="CM23663" s="111"/>
      <c r="CQ23663" s="111"/>
      <c r="EF23663"/>
      <c r="EG23663"/>
      <c r="EH23663"/>
      <c r="EI23663"/>
      <c r="EJ23663"/>
      <c r="EK23663"/>
    </row>
    <row r="23664" spans="1:141" s="116" customFormat="1">
      <c r="A23664" s="136"/>
      <c r="CM23664" s="111"/>
      <c r="CQ23664" s="111"/>
      <c r="EF23664"/>
      <c r="EG23664"/>
      <c r="EH23664"/>
      <c r="EI23664"/>
      <c r="EJ23664"/>
      <c r="EK23664"/>
    </row>
    <row r="23665" spans="1:141" s="116" customFormat="1">
      <c r="A23665" s="136"/>
      <c r="CM23665" s="111"/>
      <c r="CQ23665" s="111"/>
      <c r="EF23665"/>
      <c r="EG23665"/>
      <c r="EH23665"/>
      <c r="EI23665"/>
      <c r="EJ23665"/>
      <c r="EK23665"/>
    </row>
    <row r="23666" spans="1:141" s="116" customFormat="1">
      <c r="A23666" s="136"/>
      <c r="CM23666" s="111"/>
      <c r="CQ23666" s="111"/>
      <c r="EF23666"/>
      <c r="EG23666"/>
      <c r="EH23666"/>
      <c r="EI23666"/>
      <c r="EJ23666"/>
      <c r="EK23666"/>
    </row>
    <row r="23667" spans="1:141" s="116" customFormat="1">
      <c r="A23667" s="136"/>
      <c r="CM23667" s="111"/>
      <c r="CQ23667" s="111"/>
      <c r="EF23667"/>
      <c r="EG23667"/>
      <c r="EH23667"/>
      <c r="EI23667"/>
      <c r="EJ23667"/>
      <c r="EK23667"/>
    </row>
    <row r="23668" spans="1:141" s="116" customFormat="1">
      <c r="A23668" s="136"/>
      <c r="CM23668" s="111"/>
      <c r="CQ23668" s="111"/>
      <c r="EF23668"/>
      <c r="EG23668"/>
      <c r="EH23668"/>
      <c r="EI23668"/>
      <c r="EJ23668"/>
      <c r="EK23668"/>
    </row>
    <row r="23669" spans="1:141" s="116" customFormat="1">
      <c r="A23669" s="136"/>
      <c r="CM23669" s="111"/>
      <c r="CQ23669" s="111"/>
      <c r="EF23669"/>
      <c r="EG23669"/>
      <c r="EH23669"/>
      <c r="EI23669"/>
      <c r="EJ23669"/>
      <c r="EK23669"/>
    </row>
    <row r="23670" spans="1:141" s="116" customFormat="1">
      <c r="A23670" s="136"/>
      <c r="CM23670" s="111"/>
      <c r="CQ23670" s="111"/>
      <c r="EF23670"/>
      <c r="EG23670"/>
      <c r="EH23670"/>
      <c r="EI23670"/>
      <c r="EJ23670"/>
      <c r="EK23670"/>
    </row>
    <row r="23671" spans="1:141" s="116" customFormat="1">
      <c r="A23671" s="136"/>
      <c r="CM23671" s="111"/>
      <c r="CQ23671" s="111"/>
      <c r="EF23671"/>
      <c r="EG23671"/>
      <c r="EH23671"/>
      <c r="EI23671"/>
      <c r="EJ23671"/>
      <c r="EK23671"/>
    </row>
    <row r="23672" spans="1:141" s="116" customFormat="1">
      <c r="A23672" s="136"/>
      <c r="CM23672" s="111"/>
      <c r="CQ23672" s="111"/>
      <c r="EF23672"/>
      <c r="EG23672"/>
      <c r="EH23672"/>
      <c r="EI23672"/>
      <c r="EJ23672"/>
      <c r="EK23672"/>
    </row>
    <row r="23673" spans="1:141" s="116" customFormat="1">
      <c r="A23673" s="136"/>
      <c r="CM23673" s="111"/>
      <c r="CQ23673" s="111"/>
      <c r="EF23673"/>
      <c r="EG23673"/>
      <c r="EH23673"/>
      <c r="EI23673"/>
      <c r="EJ23673"/>
      <c r="EK23673"/>
    </row>
    <row r="23674" spans="1:141" s="116" customFormat="1">
      <c r="A23674" s="136"/>
      <c r="CM23674" s="111"/>
      <c r="CQ23674" s="111"/>
      <c r="EF23674"/>
      <c r="EG23674"/>
      <c r="EH23674"/>
      <c r="EI23674"/>
      <c r="EJ23674"/>
      <c r="EK23674"/>
    </row>
    <row r="23675" spans="1:141" s="116" customFormat="1">
      <c r="A23675" s="136"/>
      <c r="CM23675" s="111"/>
      <c r="CQ23675" s="111"/>
      <c r="EF23675"/>
      <c r="EG23675"/>
      <c r="EH23675"/>
      <c r="EI23675"/>
      <c r="EJ23675"/>
      <c r="EK23675"/>
    </row>
    <row r="23676" spans="1:141" s="116" customFormat="1">
      <c r="A23676" s="136"/>
      <c r="CM23676" s="111"/>
      <c r="CQ23676" s="111"/>
      <c r="EF23676"/>
      <c r="EG23676"/>
      <c r="EH23676"/>
      <c r="EI23676"/>
      <c r="EJ23676"/>
      <c r="EK23676"/>
    </row>
    <row r="23677" spans="1:141" s="116" customFormat="1">
      <c r="A23677" s="136"/>
      <c r="CM23677" s="111"/>
      <c r="CQ23677" s="111"/>
      <c r="EF23677"/>
      <c r="EG23677"/>
      <c r="EH23677"/>
      <c r="EI23677"/>
      <c r="EJ23677"/>
      <c r="EK23677"/>
    </row>
    <row r="23678" spans="1:141" s="116" customFormat="1">
      <c r="A23678" s="136"/>
      <c r="CM23678" s="111"/>
      <c r="CQ23678" s="111"/>
      <c r="EF23678"/>
      <c r="EG23678"/>
      <c r="EH23678"/>
      <c r="EI23678"/>
      <c r="EJ23678"/>
      <c r="EK23678"/>
    </row>
    <row r="23679" spans="1:141" s="116" customFormat="1">
      <c r="A23679" s="136"/>
      <c r="CM23679" s="111"/>
      <c r="CQ23679" s="111"/>
      <c r="EF23679"/>
      <c r="EG23679"/>
      <c r="EH23679"/>
      <c r="EI23679"/>
      <c r="EJ23679"/>
      <c r="EK23679"/>
    </row>
    <row r="23680" spans="1:141" s="116" customFormat="1">
      <c r="A23680" s="136"/>
      <c r="CM23680" s="111"/>
      <c r="CQ23680" s="111"/>
      <c r="EF23680"/>
      <c r="EG23680"/>
      <c r="EH23680"/>
      <c r="EI23680"/>
      <c r="EJ23680"/>
      <c r="EK23680"/>
    </row>
    <row r="23681" spans="1:141" s="116" customFormat="1">
      <c r="A23681" s="136"/>
      <c r="CM23681" s="111"/>
      <c r="CQ23681" s="111"/>
      <c r="EF23681"/>
      <c r="EG23681"/>
      <c r="EH23681"/>
      <c r="EI23681"/>
      <c r="EJ23681"/>
      <c r="EK23681"/>
    </row>
    <row r="23682" spans="1:141" s="116" customFormat="1">
      <c r="A23682" s="136"/>
      <c r="CM23682" s="111"/>
      <c r="CQ23682" s="111"/>
      <c r="EF23682"/>
      <c r="EG23682"/>
      <c r="EH23682"/>
      <c r="EI23682"/>
      <c r="EJ23682"/>
      <c r="EK23682"/>
    </row>
    <row r="23683" spans="1:141" s="116" customFormat="1">
      <c r="A23683" s="136"/>
      <c r="CM23683" s="111"/>
      <c r="CQ23683" s="111"/>
      <c r="EF23683"/>
      <c r="EG23683"/>
      <c r="EH23683"/>
      <c r="EI23683"/>
      <c r="EJ23683"/>
      <c r="EK23683"/>
    </row>
    <row r="23684" spans="1:141" s="116" customFormat="1">
      <c r="A23684" s="136"/>
      <c r="CM23684" s="111"/>
      <c r="CQ23684" s="111"/>
      <c r="EF23684"/>
      <c r="EG23684"/>
      <c r="EH23684"/>
      <c r="EI23684"/>
      <c r="EJ23684"/>
      <c r="EK23684"/>
    </row>
    <row r="23685" spans="1:141" s="116" customFormat="1">
      <c r="A23685" s="136"/>
      <c r="CM23685" s="111"/>
      <c r="CQ23685" s="111"/>
      <c r="EF23685"/>
      <c r="EG23685"/>
      <c r="EH23685"/>
      <c r="EI23685"/>
      <c r="EJ23685"/>
      <c r="EK23685"/>
    </row>
    <row r="23686" spans="1:141" s="116" customFormat="1">
      <c r="A23686" s="136"/>
      <c r="CM23686" s="111"/>
      <c r="CQ23686" s="111"/>
      <c r="EF23686"/>
      <c r="EG23686"/>
      <c r="EH23686"/>
      <c r="EI23686"/>
      <c r="EJ23686"/>
      <c r="EK23686"/>
    </row>
    <row r="23687" spans="1:141" s="116" customFormat="1">
      <c r="A23687" s="136"/>
      <c r="CM23687" s="111"/>
      <c r="CQ23687" s="111"/>
      <c r="EF23687"/>
      <c r="EG23687"/>
      <c r="EH23687"/>
      <c r="EI23687"/>
      <c r="EJ23687"/>
      <c r="EK23687"/>
    </row>
    <row r="23688" spans="1:141" s="116" customFormat="1">
      <c r="A23688" s="136"/>
      <c r="CM23688" s="111"/>
      <c r="CQ23688" s="111"/>
      <c r="EF23688"/>
      <c r="EG23688"/>
      <c r="EH23688"/>
      <c r="EI23688"/>
      <c r="EJ23688"/>
      <c r="EK23688"/>
    </row>
    <row r="23689" spans="1:141" s="116" customFormat="1">
      <c r="A23689" s="136"/>
      <c r="CM23689" s="111"/>
      <c r="CQ23689" s="111"/>
      <c r="EF23689"/>
      <c r="EG23689"/>
      <c r="EH23689"/>
      <c r="EI23689"/>
      <c r="EJ23689"/>
      <c r="EK23689"/>
    </row>
    <row r="23690" spans="1:141" s="116" customFormat="1">
      <c r="A23690" s="136"/>
      <c r="CM23690" s="111"/>
      <c r="CQ23690" s="111"/>
      <c r="EF23690"/>
      <c r="EG23690"/>
      <c r="EH23690"/>
      <c r="EI23690"/>
      <c r="EJ23690"/>
      <c r="EK23690"/>
    </row>
    <row r="23691" spans="1:141" s="116" customFormat="1">
      <c r="A23691" s="136"/>
      <c r="CM23691" s="111"/>
      <c r="CQ23691" s="111"/>
      <c r="EF23691"/>
      <c r="EG23691"/>
      <c r="EH23691"/>
      <c r="EI23691"/>
      <c r="EJ23691"/>
      <c r="EK23691"/>
    </row>
    <row r="23692" spans="1:141" s="116" customFormat="1">
      <c r="A23692" s="136"/>
      <c r="CM23692" s="111"/>
      <c r="CQ23692" s="111"/>
      <c r="EF23692"/>
      <c r="EG23692"/>
      <c r="EH23692"/>
      <c r="EI23692"/>
      <c r="EJ23692"/>
      <c r="EK23692"/>
    </row>
    <row r="23693" spans="1:141" s="116" customFormat="1">
      <c r="A23693" s="136"/>
      <c r="CM23693" s="111"/>
      <c r="CQ23693" s="111"/>
      <c r="EF23693"/>
      <c r="EG23693"/>
      <c r="EH23693"/>
      <c r="EI23693"/>
      <c r="EJ23693"/>
      <c r="EK23693"/>
    </row>
    <row r="23694" spans="1:141" s="116" customFormat="1">
      <c r="A23694" s="136"/>
      <c r="CM23694" s="111"/>
      <c r="CQ23694" s="111"/>
      <c r="EF23694"/>
      <c r="EG23694"/>
      <c r="EH23694"/>
      <c r="EI23694"/>
      <c r="EJ23694"/>
      <c r="EK23694"/>
    </row>
    <row r="23695" spans="1:141" s="116" customFormat="1">
      <c r="A23695" s="136"/>
      <c r="CM23695" s="111"/>
      <c r="CQ23695" s="111"/>
      <c r="EF23695"/>
      <c r="EG23695"/>
      <c r="EH23695"/>
      <c r="EI23695"/>
      <c r="EJ23695"/>
      <c r="EK23695"/>
    </row>
    <row r="23696" spans="1:141" s="116" customFormat="1">
      <c r="A23696" s="136"/>
      <c r="CM23696" s="111"/>
      <c r="CQ23696" s="111"/>
      <c r="EF23696"/>
      <c r="EG23696"/>
      <c r="EH23696"/>
      <c r="EI23696"/>
      <c r="EJ23696"/>
      <c r="EK23696"/>
    </row>
    <row r="23697" spans="1:141" s="116" customFormat="1">
      <c r="A23697" s="136"/>
      <c r="CM23697" s="111"/>
      <c r="CQ23697" s="111"/>
      <c r="EF23697"/>
      <c r="EG23697"/>
      <c r="EH23697"/>
      <c r="EI23697"/>
      <c r="EJ23697"/>
      <c r="EK23697"/>
    </row>
    <row r="23698" spans="1:141" s="116" customFormat="1">
      <c r="A23698" s="136"/>
      <c r="CM23698" s="111"/>
      <c r="CQ23698" s="111"/>
      <c r="EF23698"/>
      <c r="EG23698"/>
      <c r="EH23698"/>
      <c r="EI23698"/>
      <c r="EJ23698"/>
      <c r="EK23698"/>
    </row>
    <row r="23699" spans="1:141" s="116" customFormat="1">
      <c r="A23699" s="136"/>
      <c r="CM23699" s="111"/>
      <c r="CQ23699" s="111"/>
      <c r="EF23699"/>
      <c r="EG23699"/>
      <c r="EH23699"/>
      <c r="EI23699"/>
      <c r="EJ23699"/>
      <c r="EK23699"/>
    </row>
    <row r="23700" spans="1:141" s="116" customFormat="1">
      <c r="A23700" s="136"/>
      <c r="CM23700" s="111"/>
      <c r="CQ23700" s="111"/>
      <c r="EF23700"/>
      <c r="EG23700"/>
      <c r="EH23700"/>
      <c r="EI23700"/>
      <c r="EJ23700"/>
      <c r="EK23700"/>
    </row>
    <row r="23701" spans="1:141" s="116" customFormat="1">
      <c r="A23701" s="136"/>
      <c r="CM23701" s="111"/>
      <c r="CQ23701" s="111"/>
      <c r="EF23701"/>
      <c r="EG23701"/>
      <c r="EH23701"/>
      <c r="EI23701"/>
      <c r="EJ23701"/>
      <c r="EK23701"/>
    </row>
    <row r="23702" spans="1:141" s="116" customFormat="1">
      <c r="A23702" s="136"/>
      <c r="CM23702" s="111"/>
      <c r="CQ23702" s="111"/>
      <c r="EF23702"/>
      <c r="EG23702"/>
      <c r="EH23702"/>
      <c r="EI23702"/>
      <c r="EJ23702"/>
      <c r="EK23702"/>
    </row>
    <row r="23703" spans="1:141" s="116" customFormat="1">
      <c r="A23703" s="136"/>
      <c r="CM23703" s="111"/>
      <c r="CQ23703" s="111"/>
      <c r="EF23703"/>
      <c r="EG23703"/>
      <c r="EH23703"/>
      <c r="EI23703"/>
      <c r="EJ23703"/>
      <c r="EK23703"/>
    </row>
    <row r="23704" spans="1:141" s="116" customFormat="1">
      <c r="A23704" s="136"/>
      <c r="CM23704" s="111"/>
      <c r="CQ23704" s="111"/>
      <c r="EF23704"/>
      <c r="EG23704"/>
      <c r="EH23704"/>
      <c r="EI23704"/>
      <c r="EJ23704"/>
      <c r="EK23704"/>
    </row>
    <row r="23705" spans="1:141" s="116" customFormat="1">
      <c r="A23705" s="136"/>
      <c r="CM23705" s="111"/>
      <c r="CQ23705" s="111"/>
      <c r="EF23705"/>
      <c r="EG23705"/>
      <c r="EH23705"/>
      <c r="EI23705"/>
      <c r="EJ23705"/>
      <c r="EK23705"/>
    </row>
    <row r="23706" spans="1:141" s="116" customFormat="1">
      <c r="A23706" s="136"/>
      <c r="CM23706" s="111"/>
      <c r="CQ23706" s="111"/>
      <c r="EF23706"/>
      <c r="EG23706"/>
      <c r="EH23706"/>
      <c r="EI23706"/>
      <c r="EJ23706"/>
      <c r="EK23706"/>
    </row>
    <row r="23707" spans="1:141" s="116" customFormat="1">
      <c r="A23707" s="136"/>
      <c r="CM23707" s="111"/>
      <c r="CQ23707" s="111"/>
      <c r="EF23707"/>
      <c r="EG23707"/>
      <c r="EH23707"/>
      <c r="EI23707"/>
      <c r="EJ23707"/>
      <c r="EK23707"/>
    </row>
    <row r="23708" spans="1:141" s="116" customFormat="1">
      <c r="A23708" s="136"/>
      <c r="CM23708" s="111"/>
      <c r="CQ23708" s="111"/>
      <c r="EF23708"/>
      <c r="EG23708"/>
      <c r="EH23708"/>
      <c r="EI23708"/>
      <c r="EJ23708"/>
      <c r="EK23708"/>
    </row>
    <row r="23709" spans="1:141" s="116" customFormat="1">
      <c r="A23709" s="136"/>
      <c r="CM23709" s="111"/>
      <c r="CQ23709" s="111"/>
      <c r="EF23709"/>
      <c r="EG23709"/>
      <c r="EH23709"/>
      <c r="EI23709"/>
      <c r="EJ23709"/>
      <c r="EK23709"/>
    </row>
    <row r="23710" spans="1:141" s="116" customFormat="1">
      <c r="A23710" s="136"/>
      <c r="CM23710" s="111"/>
      <c r="CQ23710" s="111"/>
      <c r="EF23710"/>
      <c r="EG23710"/>
      <c r="EH23710"/>
      <c r="EI23710"/>
      <c r="EJ23710"/>
      <c r="EK23710"/>
    </row>
    <row r="23711" spans="1:141" s="116" customFormat="1">
      <c r="A23711" s="136"/>
      <c r="CM23711" s="111"/>
      <c r="CQ23711" s="111"/>
      <c r="EF23711"/>
      <c r="EG23711"/>
      <c r="EH23711"/>
      <c r="EI23711"/>
      <c r="EJ23711"/>
      <c r="EK23711"/>
    </row>
    <row r="23712" spans="1:141" s="116" customFormat="1">
      <c r="A23712" s="136"/>
      <c r="CM23712" s="111"/>
      <c r="CQ23712" s="111"/>
      <c r="EF23712"/>
      <c r="EG23712"/>
      <c r="EH23712"/>
      <c r="EI23712"/>
      <c r="EJ23712"/>
      <c r="EK23712"/>
    </row>
    <row r="23713" spans="1:141" s="116" customFormat="1">
      <c r="A23713" s="136"/>
      <c r="CM23713" s="111"/>
      <c r="CQ23713" s="111"/>
      <c r="EF23713"/>
      <c r="EG23713"/>
      <c r="EH23713"/>
      <c r="EI23713"/>
      <c r="EJ23713"/>
      <c r="EK23713"/>
    </row>
    <row r="23714" spans="1:141" s="116" customFormat="1">
      <c r="A23714" s="136"/>
      <c r="CM23714" s="111"/>
      <c r="CQ23714" s="111"/>
      <c r="EF23714"/>
      <c r="EG23714"/>
      <c r="EH23714"/>
      <c r="EI23714"/>
      <c r="EJ23714"/>
      <c r="EK23714"/>
    </row>
    <row r="23715" spans="1:141" s="116" customFormat="1">
      <c r="A23715" s="136"/>
      <c r="CM23715" s="111"/>
      <c r="CQ23715" s="111"/>
      <c r="EF23715"/>
      <c r="EG23715"/>
      <c r="EH23715"/>
      <c r="EI23715"/>
      <c r="EJ23715"/>
      <c r="EK23715"/>
    </row>
    <row r="23716" spans="1:141" s="116" customFormat="1">
      <c r="A23716" s="136"/>
      <c r="CM23716" s="111"/>
      <c r="CQ23716" s="111"/>
      <c r="EF23716"/>
      <c r="EG23716"/>
      <c r="EH23716"/>
      <c r="EI23716"/>
      <c r="EJ23716"/>
      <c r="EK23716"/>
    </row>
    <row r="23717" spans="1:141" s="116" customFormat="1">
      <c r="A23717" s="136"/>
      <c r="CM23717" s="111"/>
      <c r="CQ23717" s="111"/>
      <c r="EF23717"/>
      <c r="EG23717"/>
      <c r="EH23717"/>
      <c r="EI23717"/>
      <c r="EJ23717"/>
      <c r="EK23717"/>
    </row>
    <row r="23718" spans="1:141" s="116" customFormat="1">
      <c r="A23718" s="136"/>
      <c r="CM23718" s="111"/>
      <c r="CQ23718" s="111"/>
      <c r="EF23718"/>
      <c r="EG23718"/>
      <c r="EH23718"/>
      <c r="EI23718"/>
      <c r="EJ23718"/>
      <c r="EK23718"/>
    </row>
    <row r="23719" spans="1:141" s="116" customFormat="1">
      <c r="A23719" s="136"/>
      <c r="CM23719" s="111"/>
      <c r="CQ23719" s="111"/>
      <c r="EF23719"/>
      <c r="EG23719"/>
      <c r="EH23719"/>
      <c r="EI23719"/>
      <c r="EJ23719"/>
      <c r="EK23719"/>
    </row>
    <row r="23720" spans="1:141" s="116" customFormat="1">
      <c r="A23720" s="136"/>
      <c r="CM23720" s="111"/>
      <c r="CQ23720" s="111"/>
      <c r="EF23720"/>
      <c r="EG23720"/>
      <c r="EH23720"/>
      <c r="EI23720"/>
      <c r="EJ23720"/>
      <c r="EK23720"/>
    </row>
    <row r="23721" spans="1:141" s="116" customFormat="1">
      <c r="A23721" s="136"/>
      <c r="CM23721" s="111"/>
      <c r="CQ23721" s="111"/>
      <c r="EF23721"/>
      <c r="EG23721"/>
      <c r="EH23721"/>
      <c r="EI23721"/>
      <c r="EJ23721"/>
      <c r="EK23721"/>
    </row>
    <row r="23722" spans="1:141" s="116" customFormat="1">
      <c r="A23722" s="136"/>
      <c r="CM23722" s="111"/>
      <c r="CQ23722" s="111"/>
      <c r="EF23722"/>
      <c r="EG23722"/>
      <c r="EH23722"/>
      <c r="EI23722"/>
      <c r="EJ23722"/>
      <c r="EK23722"/>
    </row>
    <row r="23723" spans="1:141" s="116" customFormat="1">
      <c r="A23723" s="136"/>
      <c r="CM23723" s="111"/>
      <c r="CQ23723" s="111"/>
      <c r="EF23723"/>
      <c r="EG23723"/>
      <c r="EH23723"/>
      <c r="EI23723"/>
      <c r="EJ23723"/>
      <c r="EK23723"/>
    </row>
    <row r="23724" spans="1:141" s="116" customFormat="1">
      <c r="A23724" s="136"/>
      <c r="CM23724" s="111"/>
      <c r="CQ23724" s="111"/>
      <c r="EF23724"/>
      <c r="EG23724"/>
      <c r="EH23724"/>
      <c r="EI23724"/>
      <c r="EJ23724"/>
      <c r="EK23724"/>
    </row>
    <row r="23725" spans="1:141" s="116" customFormat="1">
      <c r="A23725" s="136"/>
      <c r="CM23725" s="111"/>
      <c r="CQ23725" s="111"/>
      <c r="EF23725"/>
      <c r="EG23725"/>
      <c r="EH23725"/>
      <c r="EI23725"/>
      <c r="EJ23725"/>
      <c r="EK23725"/>
    </row>
    <row r="23726" spans="1:141" s="116" customFormat="1">
      <c r="A23726" s="136"/>
      <c r="CM23726" s="111"/>
      <c r="CQ23726" s="111"/>
      <c r="EF23726"/>
      <c r="EG23726"/>
      <c r="EH23726"/>
      <c r="EI23726"/>
      <c r="EJ23726"/>
      <c r="EK23726"/>
    </row>
    <row r="23727" spans="1:141" s="116" customFormat="1">
      <c r="A23727" s="136"/>
      <c r="CM23727" s="111"/>
      <c r="CQ23727" s="111"/>
      <c r="EF23727"/>
      <c r="EG23727"/>
      <c r="EH23727"/>
      <c r="EI23727"/>
      <c r="EJ23727"/>
      <c r="EK23727"/>
    </row>
    <row r="23728" spans="1:141" s="116" customFormat="1">
      <c r="A23728" s="136"/>
      <c r="CM23728" s="111"/>
      <c r="CQ23728" s="111"/>
      <c r="EF23728"/>
      <c r="EG23728"/>
      <c r="EH23728"/>
      <c r="EI23728"/>
      <c r="EJ23728"/>
      <c r="EK23728"/>
    </row>
    <row r="23729" spans="1:141" s="116" customFormat="1">
      <c r="A23729" s="136"/>
      <c r="CM23729" s="111"/>
      <c r="CQ23729" s="111"/>
      <c r="EF23729"/>
      <c r="EG23729"/>
      <c r="EH23729"/>
      <c r="EI23729"/>
      <c r="EJ23729"/>
      <c r="EK23729"/>
    </row>
    <row r="23730" spans="1:141" s="116" customFormat="1">
      <c r="A23730" s="136"/>
      <c r="CM23730" s="111"/>
      <c r="CQ23730" s="111"/>
      <c r="EF23730"/>
      <c r="EG23730"/>
      <c r="EH23730"/>
      <c r="EI23730"/>
      <c r="EJ23730"/>
      <c r="EK23730"/>
    </row>
    <row r="23731" spans="1:141" s="116" customFormat="1">
      <c r="A23731" s="136"/>
      <c r="CM23731" s="111"/>
      <c r="CQ23731" s="111"/>
      <c r="EF23731"/>
      <c r="EG23731"/>
      <c r="EH23731"/>
      <c r="EI23731"/>
      <c r="EJ23731"/>
      <c r="EK23731"/>
    </row>
    <row r="23732" spans="1:141" s="116" customFormat="1">
      <c r="A23732" s="136"/>
      <c r="CM23732" s="111"/>
      <c r="CQ23732" s="111"/>
      <c r="EF23732"/>
      <c r="EG23732"/>
      <c r="EH23732"/>
      <c r="EI23732"/>
      <c r="EJ23732"/>
      <c r="EK23732"/>
    </row>
    <row r="23733" spans="1:141" s="116" customFormat="1">
      <c r="A23733" s="136"/>
      <c r="CM23733" s="111"/>
      <c r="CQ23733" s="111"/>
      <c r="EF23733"/>
      <c r="EG23733"/>
      <c r="EH23733"/>
      <c r="EI23733"/>
      <c r="EJ23733"/>
      <c r="EK23733"/>
    </row>
    <row r="23734" spans="1:141" s="116" customFormat="1">
      <c r="A23734" s="136"/>
      <c r="CM23734" s="111"/>
      <c r="CQ23734" s="111"/>
      <c r="EF23734"/>
      <c r="EG23734"/>
      <c r="EH23734"/>
      <c r="EI23734"/>
      <c r="EJ23734"/>
      <c r="EK23734"/>
    </row>
    <row r="23735" spans="1:141" s="116" customFormat="1">
      <c r="A23735" s="136"/>
      <c r="CM23735" s="111"/>
      <c r="CQ23735" s="111"/>
      <c r="EF23735"/>
      <c r="EG23735"/>
      <c r="EH23735"/>
      <c r="EI23735"/>
      <c r="EJ23735"/>
      <c r="EK23735"/>
    </row>
    <row r="23736" spans="1:141" s="116" customFormat="1">
      <c r="A23736" s="136"/>
      <c r="CM23736" s="111"/>
      <c r="CQ23736" s="111"/>
      <c r="EF23736"/>
      <c r="EG23736"/>
      <c r="EH23736"/>
      <c r="EI23736"/>
      <c r="EJ23736"/>
      <c r="EK23736"/>
    </row>
    <row r="23737" spans="1:141" s="116" customFormat="1">
      <c r="A23737" s="136"/>
      <c r="CM23737" s="111"/>
      <c r="CQ23737" s="111"/>
      <c r="EF23737"/>
      <c r="EG23737"/>
      <c r="EH23737"/>
      <c r="EI23737"/>
      <c r="EJ23737"/>
      <c r="EK23737"/>
    </row>
    <row r="23738" spans="1:141" s="116" customFormat="1">
      <c r="A23738" s="136"/>
      <c r="CM23738" s="111"/>
      <c r="CQ23738" s="111"/>
      <c r="EF23738"/>
      <c r="EG23738"/>
      <c r="EH23738"/>
      <c r="EI23738"/>
      <c r="EJ23738"/>
      <c r="EK23738"/>
    </row>
    <row r="23739" spans="1:141" s="116" customFormat="1">
      <c r="A23739" s="136"/>
      <c r="CM23739" s="111"/>
      <c r="CQ23739" s="111"/>
      <c r="EF23739"/>
      <c r="EG23739"/>
      <c r="EH23739"/>
      <c r="EI23739"/>
      <c r="EJ23739"/>
      <c r="EK23739"/>
    </row>
    <row r="23740" spans="1:141" s="116" customFormat="1">
      <c r="A23740" s="136"/>
      <c r="CM23740" s="111"/>
      <c r="CQ23740" s="111"/>
      <c r="EF23740"/>
      <c r="EG23740"/>
      <c r="EH23740"/>
      <c r="EI23740"/>
      <c r="EJ23740"/>
      <c r="EK23740"/>
    </row>
    <row r="23741" spans="1:141" s="116" customFormat="1">
      <c r="A23741" s="136"/>
      <c r="CM23741" s="111"/>
      <c r="CQ23741" s="111"/>
      <c r="EF23741"/>
      <c r="EG23741"/>
      <c r="EH23741"/>
      <c r="EI23741"/>
      <c r="EJ23741"/>
      <c r="EK23741"/>
    </row>
    <row r="23742" spans="1:141" s="116" customFormat="1">
      <c r="A23742" s="136"/>
      <c r="CM23742" s="111"/>
      <c r="CQ23742" s="111"/>
      <c r="EF23742"/>
      <c r="EG23742"/>
      <c r="EH23742"/>
      <c r="EI23742"/>
      <c r="EJ23742"/>
      <c r="EK23742"/>
    </row>
    <row r="23743" spans="1:141" s="116" customFormat="1">
      <c r="A23743" s="136"/>
      <c r="CM23743" s="111"/>
      <c r="CQ23743" s="111"/>
      <c r="EF23743"/>
      <c r="EG23743"/>
      <c r="EH23743"/>
      <c r="EI23743"/>
      <c r="EJ23743"/>
      <c r="EK23743"/>
    </row>
    <row r="23744" spans="1:141" s="116" customFormat="1">
      <c r="A23744" s="136"/>
      <c r="CM23744" s="111"/>
      <c r="CQ23744" s="111"/>
      <c r="EF23744"/>
      <c r="EG23744"/>
      <c r="EH23744"/>
      <c r="EI23744"/>
      <c r="EJ23744"/>
      <c r="EK23744"/>
    </row>
    <row r="23745" spans="1:141" s="116" customFormat="1">
      <c r="A23745" s="136"/>
      <c r="CM23745" s="111"/>
      <c r="CQ23745" s="111"/>
      <c r="EF23745"/>
      <c r="EG23745"/>
      <c r="EH23745"/>
      <c r="EI23745"/>
      <c r="EJ23745"/>
      <c r="EK23745"/>
    </row>
    <row r="23746" spans="1:141" s="116" customFormat="1">
      <c r="A23746" s="136"/>
      <c r="CM23746" s="111"/>
      <c r="CQ23746" s="111"/>
      <c r="EF23746"/>
      <c r="EG23746"/>
      <c r="EH23746"/>
      <c r="EI23746"/>
      <c r="EJ23746"/>
      <c r="EK23746"/>
    </row>
    <row r="23747" spans="1:141" s="116" customFormat="1">
      <c r="A23747" s="136"/>
      <c r="CM23747" s="111"/>
      <c r="CQ23747" s="111"/>
      <c r="EF23747"/>
      <c r="EG23747"/>
      <c r="EH23747"/>
      <c r="EI23747"/>
      <c r="EJ23747"/>
      <c r="EK23747"/>
    </row>
    <row r="23748" spans="1:141" s="116" customFormat="1">
      <c r="A23748" s="136"/>
      <c r="CM23748" s="111"/>
      <c r="CQ23748" s="111"/>
      <c r="EF23748"/>
      <c r="EG23748"/>
      <c r="EH23748"/>
      <c r="EI23748"/>
      <c r="EJ23748"/>
      <c r="EK23748"/>
    </row>
    <row r="23749" spans="1:141" s="116" customFormat="1">
      <c r="A23749" s="136"/>
      <c r="CM23749" s="111"/>
      <c r="CQ23749" s="111"/>
      <c r="EF23749"/>
      <c r="EG23749"/>
      <c r="EH23749"/>
      <c r="EI23749"/>
      <c r="EJ23749"/>
      <c r="EK23749"/>
    </row>
    <row r="23750" spans="1:141" s="116" customFormat="1">
      <c r="A23750" s="136"/>
      <c r="CM23750" s="111"/>
      <c r="CQ23750" s="111"/>
      <c r="EF23750"/>
      <c r="EG23750"/>
      <c r="EH23750"/>
      <c r="EI23750"/>
      <c r="EJ23750"/>
      <c r="EK23750"/>
    </row>
    <row r="23751" spans="1:141" s="116" customFormat="1">
      <c r="A23751" s="136"/>
      <c r="CM23751" s="111"/>
      <c r="CQ23751" s="111"/>
      <c r="EF23751"/>
      <c r="EG23751"/>
      <c r="EH23751"/>
      <c r="EI23751"/>
      <c r="EJ23751"/>
      <c r="EK23751"/>
    </row>
    <row r="23752" spans="1:141" s="116" customFormat="1">
      <c r="A23752" s="136"/>
      <c r="CM23752" s="111"/>
      <c r="CQ23752" s="111"/>
      <c r="EF23752"/>
      <c r="EG23752"/>
      <c r="EH23752"/>
      <c r="EI23752"/>
      <c r="EJ23752"/>
      <c r="EK23752"/>
    </row>
    <row r="23753" spans="1:141" s="116" customFormat="1">
      <c r="A23753" s="136"/>
      <c r="CM23753" s="111"/>
      <c r="CQ23753" s="111"/>
      <c r="EF23753"/>
      <c r="EG23753"/>
      <c r="EH23753"/>
      <c r="EI23753"/>
      <c r="EJ23753"/>
      <c r="EK23753"/>
    </row>
    <row r="23754" spans="1:141" s="116" customFormat="1">
      <c r="A23754" s="136"/>
      <c r="CM23754" s="111"/>
      <c r="CQ23754" s="111"/>
      <c r="EF23754"/>
      <c r="EG23754"/>
      <c r="EH23754"/>
      <c r="EI23754"/>
      <c r="EJ23754"/>
      <c r="EK23754"/>
    </row>
    <row r="23755" spans="1:141" s="116" customFormat="1">
      <c r="A23755" s="136"/>
      <c r="CM23755" s="111"/>
      <c r="CQ23755" s="111"/>
      <c r="EF23755"/>
      <c r="EG23755"/>
      <c r="EH23755"/>
      <c r="EI23755"/>
      <c r="EJ23755"/>
      <c r="EK23755"/>
    </row>
    <row r="23756" spans="1:141" s="116" customFormat="1">
      <c r="A23756" s="136"/>
      <c r="CM23756" s="111"/>
      <c r="CQ23756" s="111"/>
      <c r="EF23756"/>
      <c r="EG23756"/>
      <c r="EH23756"/>
      <c r="EI23756"/>
      <c r="EJ23756"/>
      <c r="EK23756"/>
    </row>
    <row r="23757" spans="1:141" s="116" customFormat="1">
      <c r="A23757" s="136"/>
      <c r="CM23757" s="111"/>
      <c r="CQ23757" s="111"/>
      <c r="EF23757"/>
      <c r="EG23757"/>
      <c r="EH23757"/>
      <c r="EI23757"/>
      <c r="EJ23757"/>
      <c r="EK23757"/>
    </row>
    <row r="23758" spans="1:141" s="116" customFormat="1">
      <c r="A23758" s="136"/>
      <c r="CM23758" s="111"/>
      <c r="CQ23758" s="111"/>
      <c r="EF23758"/>
      <c r="EG23758"/>
      <c r="EH23758"/>
      <c r="EI23758"/>
      <c r="EJ23758"/>
      <c r="EK23758"/>
    </row>
    <row r="23759" spans="1:141" s="116" customFormat="1">
      <c r="A23759" s="136"/>
      <c r="CM23759" s="111"/>
      <c r="CQ23759" s="111"/>
      <c r="EF23759"/>
      <c r="EG23759"/>
      <c r="EH23759"/>
      <c r="EI23759"/>
      <c r="EJ23759"/>
      <c r="EK23759"/>
    </row>
    <row r="23760" spans="1:141" s="116" customFormat="1">
      <c r="A23760" s="136"/>
      <c r="CM23760" s="111"/>
      <c r="CQ23760" s="111"/>
      <c r="EF23760"/>
      <c r="EG23760"/>
      <c r="EH23760"/>
      <c r="EI23760"/>
      <c r="EJ23760"/>
      <c r="EK23760"/>
    </row>
    <row r="23761" spans="1:141" s="116" customFormat="1">
      <c r="A23761" s="136"/>
      <c r="CM23761" s="111"/>
      <c r="CQ23761" s="111"/>
      <c r="EF23761"/>
      <c r="EG23761"/>
      <c r="EH23761"/>
      <c r="EI23761"/>
      <c r="EJ23761"/>
      <c r="EK23761"/>
    </row>
    <row r="23762" spans="1:141" s="116" customFormat="1">
      <c r="A23762" s="136"/>
      <c r="CM23762" s="111"/>
      <c r="CQ23762" s="111"/>
      <c r="EF23762"/>
      <c r="EG23762"/>
      <c r="EH23762"/>
      <c r="EI23762"/>
      <c r="EJ23762"/>
      <c r="EK23762"/>
    </row>
    <row r="23763" spans="1:141" s="116" customFormat="1">
      <c r="A23763" s="136"/>
      <c r="CM23763" s="111"/>
      <c r="CQ23763" s="111"/>
      <c r="EF23763"/>
      <c r="EG23763"/>
      <c r="EH23763"/>
      <c r="EI23763"/>
      <c r="EJ23763"/>
      <c r="EK23763"/>
    </row>
    <row r="23764" spans="1:141" s="116" customFormat="1">
      <c r="A23764" s="136"/>
      <c r="CM23764" s="111"/>
      <c r="CQ23764" s="111"/>
      <c r="EF23764"/>
      <c r="EG23764"/>
      <c r="EH23764"/>
      <c r="EI23764"/>
      <c r="EJ23764"/>
      <c r="EK23764"/>
    </row>
    <row r="23765" spans="1:141" s="116" customFormat="1">
      <c r="A23765" s="136"/>
      <c r="CM23765" s="111"/>
      <c r="CQ23765" s="111"/>
      <c r="EF23765"/>
      <c r="EG23765"/>
      <c r="EH23765"/>
      <c r="EI23765"/>
      <c r="EJ23765"/>
      <c r="EK23765"/>
    </row>
    <row r="23766" spans="1:141" s="116" customFormat="1">
      <c r="A23766" s="136"/>
      <c r="CM23766" s="111"/>
      <c r="CQ23766" s="111"/>
      <c r="EF23766"/>
      <c r="EG23766"/>
      <c r="EH23766"/>
      <c r="EI23766"/>
      <c r="EJ23766"/>
      <c r="EK23766"/>
    </row>
    <row r="23767" spans="1:141" s="116" customFormat="1">
      <c r="A23767" s="136"/>
      <c r="CM23767" s="111"/>
      <c r="CQ23767" s="111"/>
      <c r="EF23767"/>
      <c r="EG23767"/>
      <c r="EH23767"/>
      <c r="EI23767"/>
      <c r="EJ23767"/>
      <c r="EK23767"/>
    </row>
    <row r="23768" spans="1:141" s="116" customFormat="1">
      <c r="A23768" s="136"/>
      <c r="CM23768" s="111"/>
      <c r="CQ23768" s="111"/>
      <c r="EF23768"/>
      <c r="EG23768"/>
      <c r="EH23768"/>
      <c r="EI23768"/>
      <c r="EJ23768"/>
      <c r="EK23768"/>
    </row>
    <row r="23769" spans="1:141" s="116" customFormat="1">
      <c r="A23769" s="136"/>
      <c r="CM23769" s="111"/>
      <c r="CQ23769" s="111"/>
      <c r="EF23769"/>
      <c r="EG23769"/>
      <c r="EH23769"/>
      <c r="EI23769"/>
      <c r="EJ23769"/>
      <c r="EK23769"/>
    </row>
    <row r="23770" spans="1:141" s="116" customFormat="1">
      <c r="A23770" s="136"/>
      <c r="CM23770" s="111"/>
      <c r="CQ23770" s="111"/>
      <c r="EF23770"/>
      <c r="EG23770"/>
      <c r="EH23770"/>
      <c r="EI23770"/>
      <c r="EJ23770"/>
      <c r="EK23770"/>
    </row>
    <row r="23771" spans="1:141" s="116" customFormat="1">
      <c r="A23771" s="136"/>
      <c r="CM23771" s="111"/>
      <c r="CQ23771" s="111"/>
      <c r="EF23771"/>
      <c r="EG23771"/>
      <c r="EH23771"/>
      <c r="EI23771"/>
      <c r="EJ23771"/>
      <c r="EK23771"/>
    </row>
    <row r="23772" spans="1:141" s="116" customFormat="1">
      <c r="A23772" s="136"/>
      <c r="CM23772" s="111"/>
      <c r="CQ23772" s="111"/>
      <c r="EF23772"/>
      <c r="EG23772"/>
      <c r="EH23772"/>
      <c r="EI23772"/>
      <c r="EJ23772"/>
      <c r="EK23772"/>
    </row>
    <row r="23773" spans="1:141" s="116" customFormat="1">
      <c r="A23773" s="136"/>
      <c r="CM23773" s="111"/>
      <c r="CQ23773" s="111"/>
      <c r="EF23773"/>
      <c r="EG23773"/>
      <c r="EH23773"/>
      <c r="EI23773"/>
      <c r="EJ23773"/>
      <c r="EK23773"/>
    </row>
    <row r="23774" spans="1:141" s="116" customFormat="1">
      <c r="A23774" s="136"/>
      <c r="CM23774" s="111"/>
      <c r="CQ23774" s="111"/>
      <c r="EF23774"/>
      <c r="EG23774"/>
      <c r="EH23774"/>
      <c r="EI23774"/>
      <c r="EJ23774"/>
      <c r="EK23774"/>
    </row>
    <row r="23775" spans="1:141" s="116" customFormat="1">
      <c r="A23775" s="136"/>
      <c r="CM23775" s="111"/>
      <c r="CQ23775" s="111"/>
      <c r="EF23775"/>
      <c r="EG23775"/>
      <c r="EH23775"/>
      <c r="EI23775"/>
      <c r="EJ23775"/>
      <c r="EK23775"/>
    </row>
    <row r="23776" spans="1:141" s="116" customFormat="1">
      <c r="A23776" s="136"/>
      <c r="CM23776" s="111"/>
      <c r="CQ23776" s="111"/>
      <c r="EF23776"/>
      <c r="EG23776"/>
      <c r="EH23776"/>
      <c r="EI23776"/>
      <c r="EJ23776"/>
      <c r="EK23776"/>
    </row>
    <row r="23777" spans="1:141" s="116" customFormat="1">
      <c r="A23777" s="136"/>
      <c r="CM23777" s="111"/>
      <c r="CQ23777" s="111"/>
      <c r="EF23777"/>
      <c r="EG23777"/>
      <c r="EH23777"/>
      <c r="EI23777"/>
      <c r="EJ23777"/>
      <c r="EK23777"/>
    </row>
    <row r="23778" spans="1:141" s="116" customFormat="1">
      <c r="A23778" s="136"/>
      <c r="CM23778" s="111"/>
      <c r="CQ23778" s="111"/>
      <c r="EF23778"/>
      <c r="EG23778"/>
      <c r="EH23778"/>
      <c r="EI23778"/>
      <c r="EJ23778"/>
      <c r="EK23778"/>
    </row>
    <row r="23779" spans="1:141" s="116" customFormat="1">
      <c r="A23779" s="136"/>
      <c r="CM23779" s="111"/>
      <c r="CQ23779" s="111"/>
      <c r="EF23779"/>
      <c r="EG23779"/>
      <c r="EH23779"/>
      <c r="EI23779"/>
      <c r="EJ23779"/>
      <c r="EK23779"/>
    </row>
    <row r="23780" spans="1:141" s="116" customFormat="1">
      <c r="A23780" s="136"/>
      <c r="CM23780" s="111"/>
      <c r="CQ23780" s="111"/>
      <c r="EF23780"/>
      <c r="EG23780"/>
      <c r="EH23780"/>
      <c r="EI23780"/>
      <c r="EJ23780"/>
      <c r="EK23780"/>
    </row>
    <row r="23781" spans="1:141" s="116" customFormat="1">
      <c r="A23781" s="136"/>
      <c r="CM23781" s="111"/>
      <c r="CQ23781" s="111"/>
      <c r="EF23781"/>
      <c r="EG23781"/>
      <c r="EH23781"/>
      <c r="EI23781"/>
      <c r="EJ23781"/>
      <c r="EK23781"/>
    </row>
    <row r="23782" spans="1:141" s="116" customFormat="1">
      <c r="A23782" s="136"/>
      <c r="CM23782" s="111"/>
      <c r="CQ23782" s="111"/>
      <c r="EF23782"/>
      <c r="EG23782"/>
      <c r="EH23782"/>
      <c r="EI23782"/>
      <c r="EJ23782"/>
      <c r="EK23782"/>
    </row>
    <row r="23783" spans="1:141" s="116" customFormat="1">
      <c r="A23783" s="136"/>
      <c r="CM23783" s="111"/>
      <c r="CQ23783" s="111"/>
      <c r="EF23783"/>
      <c r="EG23783"/>
      <c r="EH23783"/>
      <c r="EI23783"/>
      <c r="EJ23783"/>
      <c r="EK23783"/>
    </row>
    <row r="23784" spans="1:141" s="116" customFormat="1">
      <c r="A23784" s="136"/>
      <c r="CM23784" s="111"/>
      <c r="CQ23784" s="111"/>
      <c r="EF23784"/>
      <c r="EG23784"/>
      <c r="EH23784"/>
      <c r="EI23784"/>
      <c r="EJ23784"/>
      <c r="EK23784"/>
    </row>
    <row r="23785" spans="1:141" s="116" customFormat="1">
      <c r="A23785" s="136"/>
      <c r="CM23785" s="111"/>
      <c r="CQ23785" s="111"/>
      <c r="EF23785"/>
      <c r="EG23785"/>
      <c r="EH23785"/>
      <c r="EI23785"/>
      <c r="EJ23785"/>
      <c r="EK23785"/>
    </row>
    <row r="23786" spans="1:141" s="116" customFormat="1">
      <c r="A23786" s="136"/>
      <c r="CM23786" s="111"/>
      <c r="CQ23786" s="111"/>
      <c r="EF23786"/>
      <c r="EG23786"/>
      <c r="EH23786"/>
      <c r="EI23786"/>
      <c r="EJ23786"/>
      <c r="EK23786"/>
    </row>
    <row r="23787" spans="1:141" s="116" customFormat="1">
      <c r="A23787" s="136"/>
      <c r="CM23787" s="111"/>
      <c r="CQ23787" s="111"/>
      <c r="EF23787"/>
      <c r="EG23787"/>
      <c r="EH23787"/>
      <c r="EI23787"/>
      <c r="EJ23787"/>
      <c r="EK23787"/>
    </row>
    <row r="23788" spans="1:141" s="116" customFormat="1">
      <c r="A23788" s="136"/>
      <c r="CM23788" s="111"/>
      <c r="CQ23788" s="111"/>
      <c r="EF23788"/>
      <c r="EG23788"/>
      <c r="EH23788"/>
      <c r="EI23788"/>
      <c r="EJ23788"/>
      <c r="EK23788"/>
    </row>
    <row r="23789" spans="1:141" s="116" customFormat="1">
      <c r="A23789" s="136"/>
      <c r="CM23789" s="111"/>
      <c r="CQ23789" s="111"/>
      <c r="EF23789"/>
      <c r="EG23789"/>
      <c r="EH23789"/>
      <c r="EI23789"/>
      <c r="EJ23789"/>
      <c r="EK23789"/>
    </row>
    <row r="23790" spans="1:141" s="116" customFormat="1">
      <c r="A23790" s="136"/>
      <c r="CM23790" s="111"/>
      <c r="CQ23790" s="111"/>
      <c r="EF23790"/>
      <c r="EG23790"/>
      <c r="EH23790"/>
      <c r="EI23790"/>
      <c r="EJ23790"/>
      <c r="EK23790"/>
    </row>
    <row r="23791" spans="1:141" s="116" customFormat="1">
      <c r="A23791" s="136"/>
      <c r="CM23791" s="111"/>
      <c r="CQ23791" s="111"/>
      <c r="EF23791"/>
      <c r="EG23791"/>
      <c r="EH23791"/>
      <c r="EI23791"/>
      <c r="EJ23791"/>
      <c r="EK23791"/>
    </row>
    <row r="23792" spans="1:141" s="116" customFormat="1">
      <c r="A23792" s="136"/>
      <c r="CM23792" s="111"/>
      <c r="CQ23792" s="111"/>
      <c r="EF23792"/>
      <c r="EG23792"/>
      <c r="EH23792"/>
      <c r="EI23792"/>
      <c r="EJ23792"/>
      <c r="EK23792"/>
    </row>
    <row r="23793" spans="1:141" s="116" customFormat="1">
      <c r="A23793" s="136"/>
      <c r="CM23793" s="111"/>
      <c r="CQ23793" s="111"/>
      <c r="EF23793"/>
      <c r="EG23793"/>
      <c r="EH23793"/>
      <c r="EI23793"/>
      <c r="EJ23793"/>
      <c r="EK23793"/>
    </row>
    <row r="23794" spans="1:141" s="116" customFormat="1">
      <c r="A23794" s="136"/>
      <c r="CM23794" s="111"/>
      <c r="CQ23794" s="111"/>
      <c r="EF23794"/>
      <c r="EG23794"/>
      <c r="EH23794"/>
      <c r="EI23794"/>
      <c r="EJ23794"/>
      <c r="EK23794"/>
    </row>
    <row r="23795" spans="1:141" s="116" customFormat="1">
      <c r="A23795" s="136"/>
      <c r="CM23795" s="111"/>
      <c r="CQ23795" s="111"/>
      <c r="EF23795"/>
      <c r="EG23795"/>
      <c r="EH23795"/>
      <c r="EI23795"/>
      <c r="EJ23795"/>
      <c r="EK23795"/>
    </row>
    <row r="23796" spans="1:141" s="116" customFormat="1">
      <c r="A23796" s="136"/>
      <c r="CM23796" s="111"/>
      <c r="CQ23796" s="111"/>
      <c r="EF23796"/>
      <c r="EG23796"/>
      <c r="EH23796"/>
      <c r="EI23796"/>
      <c r="EJ23796"/>
      <c r="EK23796"/>
    </row>
    <row r="23797" spans="1:141" s="116" customFormat="1">
      <c r="A23797" s="136"/>
      <c r="CM23797" s="111"/>
      <c r="CQ23797" s="111"/>
      <c r="EF23797"/>
      <c r="EG23797"/>
      <c r="EH23797"/>
      <c r="EI23797"/>
      <c r="EJ23797"/>
      <c r="EK23797"/>
    </row>
    <row r="23798" spans="1:141" s="116" customFormat="1">
      <c r="A23798" s="136"/>
      <c r="CM23798" s="111"/>
      <c r="CQ23798" s="111"/>
      <c r="EF23798"/>
      <c r="EG23798"/>
      <c r="EH23798"/>
      <c r="EI23798"/>
      <c r="EJ23798"/>
      <c r="EK23798"/>
    </row>
    <row r="23799" spans="1:141" s="116" customFormat="1">
      <c r="A23799" s="136"/>
      <c r="CM23799" s="111"/>
      <c r="CQ23799" s="111"/>
      <c r="EF23799"/>
      <c r="EG23799"/>
      <c r="EH23799"/>
      <c r="EI23799"/>
      <c r="EJ23799"/>
      <c r="EK23799"/>
    </row>
    <row r="23800" spans="1:141" s="116" customFormat="1">
      <c r="A23800" s="136"/>
      <c r="CM23800" s="111"/>
      <c r="CQ23800" s="111"/>
      <c r="EF23800"/>
      <c r="EG23800"/>
      <c r="EH23800"/>
      <c r="EI23800"/>
      <c r="EJ23800"/>
      <c r="EK23800"/>
    </row>
    <row r="23801" spans="1:141" s="116" customFormat="1">
      <c r="A23801" s="136"/>
      <c r="CM23801" s="111"/>
      <c r="CQ23801" s="111"/>
      <c r="EF23801"/>
      <c r="EG23801"/>
      <c r="EH23801"/>
      <c r="EI23801"/>
      <c r="EJ23801"/>
      <c r="EK23801"/>
    </row>
    <row r="23802" spans="1:141" s="116" customFormat="1">
      <c r="A23802" s="136"/>
      <c r="CM23802" s="111"/>
      <c r="CQ23802" s="111"/>
      <c r="EF23802"/>
      <c r="EG23802"/>
      <c r="EH23802"/>
      <c r="EI23802"/>
      <c r="EJ23802"/>
      <c r="EK23802"/>
    </row>
    <row r="23803" spans="1:141" s="116" customFormat="1">
      <c r="A23803" s="136"/>
      <c r="CM23803" s="111"/>
      <c r="CQ23803" s="111"/>
      <c r="EF23803"/>
      <c r="EG23803"/>
      <c r="EH23803"/>
      <c r="EI23803"/>
      <c r="EJ23803"/>
      <c r="EK23803"/>
    </row>
    <row r="23804" spans="1:141" s="116" customFormat="1">
      <c r="A23804" s="136"/>
      <c r="CM23804" s="111"/>
      <c r="CQ23804" s="111"/>
      <c r="EF23804"/>
      <c r="EG23804"/>
      <c r="EH23804"/>
      <c r="EI23804"/>
      <c r="EJ23804"/>
      <c r="EK23804"/>
    </row>
    <row r="23805" spans="1:141" s="116" customFormat="1">
      <c r="A23805" s="136"/>
      <c r="CM23805" s="111"/>
      <c r="CQ23805" s="111"/>
      <c r="EF23805"/>
      <c r="EG23805"/>
      <c r="EH23805"/>
      <c r="EI23805"/>
      <c r="EJ23805"/>
      <c r="EK23805"/>
    </row>
    <row r="23806" spans="1:141" s="116" customFormat="1">
      <c r="A23806" s="136"/>
      <c r="CM23806" s="111"/>
      <c r="CQ23806" s="111"/>
      <c r="EF23806"/>
      <c r="EG23806"/>
      <c r="EH23806"/>
      <c r="EI23806"/>
      <c r="EJ23806"/>
      <c r="EK23806"/>
    </row>
    <row r="23807" spans="1:141" s="116" customFormat="1">
      <c r="A23807" s="136"/>
      <c r="CM23807" s="111"/>
      <c r="CQ23807" s="111"/>
      <c r="EF23807"/>
      <c r="EG23807"/>
      <c r="EH23807"/>
      <c r="EI23807"/>
      <c r="EJ23807"/>
      <c r="EK23807"/>
    </row>
    <row r="23808" spans="1:141" s="116" customFormat="1">
      <c r="A23808" s="136"/>
      <c r="CM23808" s="111"/>
      <c r="CQ23808" s="111"/>
      <c r="EF23808"/>
      <c r="EG23808"/>
      <c r="EH23808"/>
      <c r="EI23808"/>
      <c r="EJ23808"/>
      <c r="EK23808"/>
    </row>
    <row r="23809" spans="1:141" s="116" customFormat="1">
      <c r="A23809" s="136"/>
      <c r="CM23809" s="111"/>
      <c r="CQ23809" s="111"/>
      <c r="EF23809"/>
      <c r="EG23809"/>
      <c r="EH23809"/>
      <c r="EI23809"/>
      <c r="EJ23809"/>
      <c r="EK23809"/>
    </row>
    <row r="23810" spans="1:141" s="116" customFormat="1">
      <c r="A23810" s="136"/>
      <c r="CM23810" s="111"/>
      <c r="CQ23810" s="111"/>
      <c r="EF23810"/>
      <c r="EG23810"/>
      <c r="EH23810"/>
      <c r="EI23810"/>
      <c r="EJ23810"/>
      <c r="EK23810"/>
    </row>
    <row r="23811" spans="1:141" s="116" customFormat="1">
      <c r="A23811" s="136"/>
      <c r="CM23811" s="111"/>
      <c r="CQ23811" s="111"/>
      <c r="EF23811"/>
      <c r="EG23811"/>
      <c r="EH23811"/>
      <c r="EI23811"/>
      <c r="EJ23811"/>
      <c r="EK23811"/>
    </row>
    <row r="23812" spans="1:141" s="116" customFormat="1">
      <c r="A23812" s="136"/>
      <c r="CM23812" s="111"/>
      <c r="CQ23812" s="111"/>
      <c r="EF23812"/>
      <c r="EG23812"/>
      <c r="EH23812"/>
      <c r="EI23812"/>
      <c r="EJ23812"/>
      <c r="EK23812"/>
    </row>
    <row r="23813" spans="1:141" s="116" customFormat="1">
      <c r="A23813" s="136"/>
      <c r="CM23813" s="111"/>
      <c r="CQ23813" s="111"/>
      <c r="EF23813"/>
      <c r="EG23813"/>
      <c r="EH23813"/>
      <c r="EI23813"/>
      <c r="EJ23813"/>
      <c r="EK23813"/>
    </row>
    <row r="23814" spans="1:141" s="116" customFormat="1">
      <c r="A23814" s="136"/>
      <c r="CM23814" s="111"/>
      <c r="CQ23814" s="111"/>
      <c r="EF23814"/>
      <c r="EG23814"/>
      <c r="EH23814"/>
      <c r="EI23814"/>
      <c r="EJ23814"/>
      <c r="EK23814"/>
    </row>
    <row r="23815" spans="1:141" s="116" customFormat="1">
      <c r="A23815" s="136"/>
      <c r="CM23815" s="111"/>
      <c r="CQ23815" s="111"/>
      <c r="EF23815"/>
      <c r="EG23815"/>
      <c r="EH23815"/>
      <c r="EI23815"/>
      <c r="EJ23815"/>
      <c r="EK23815"/>
    </row>
    <row r="23816" spans="1:141" s="116" customFormat="1">
      <c r="A23816" s="136"/>
      <c r="CM23816" s="111"/>
      <c r="CQ23816" s="111"/>
      <c r="EF23816"/>
      <c r="EG23816"/>
      <c r="EH23816"/>
      <c r="EI23816"/>
      <c r="EJ23816"/>
      <c r="EK23816"/>
    </row>
    <row r="23817" spans="1:141" s="116" customFormat="1">
      <c r="A23817" s="136"/>
      <c r="CM23817" s="111"/>
      <c r="CQ23817" s="111"/>
      <c r="EF23817"/>
      <c r="EG23817"/>
      <c r="EH23817"/>
      <c r="EI23817"/>
      <c r="EJ23817"/>
      <c r="EK23817"/>
    </row>
    <row r="23818" spans="1:141" s="116" customFormat="1">
      <c r="A23818" s="136"/>
      <c r="CM23818" s="111"/>
      <c r="CQ23818" s="111"/>
      <c r="EF23818"/>
      <c r="EG23818"/>
      <c r="EH23818"/>
      <c r="EI23818"/>
      <c r="EJ23818"/>
      <c r="EK23818"/>
    </row>
    <row r="23819" spans="1:141" s="116" customFormat="1">
      <c r="A23819" s="136"/>
      <c r="CM23819" s="111"/>
      <c r="CQ23819" s="111"/>
      <c r="EF23819"/>
      <c r="EG23819"/>
      <c r="EH23819"/>
      <c r="EI23819"/>
      <c r="EJ23819"/>
      <c r="EK23819"/>
    </row>
    <row r="23820" spans="1:141" s="116" customFormat="1">
      <c r="A23820" s="136"/>
      <c r="CM23820" s="111"/>
      <c r="CQ23820" s="111"/>
      <c r="EF23820"/>
      <c r="EG23820"/>
      <c r="EH23820"/>
      <c r="EI23820"/>
      <c r="EJ23820"/>
      <c r="EK23820"/>
    </row>
    <row r="23821" spans="1:141" s="116" customFormat="1">
      <c r="A23821" s="136"/>
      <c r="CM23821" s="111"/>
      <c r="CQ23821" s="111"/>
      <c r="EF23821"/>
      <c r="EG23821"/>
      <c r="EH23821"/>
      <c r="EI23821"/>
      <c r="EJ23821"/>
      <c r="EK23821"/>
    </row>
    <row r="23822" spans="1:141" s="116" customFormat="1">
      <c r="A23822" s="136"/>
      <c r="CM23822" s="111"/>
      <c r="CQ23822" s="111"/>
      <c r="EF23822"/>
      <c r="EG23822"/>
      <c r="EH23822"/>
      <c r="EI23822"/>
      <c r="EJ23822"/>
      <c r="EK23822"/>
    </row>
    <row r="23823" spans="1:141" s="116" customFormat="1">
      <c r="A23823" s="136"/>
      <c r="CM23823" s="111"/>
      <c r="CQ23823" s="111"/>
      <c r="EF23823"/>
      <c r="EG23823"/>
      <c r="EH23823"/>
      <c r="EI23823"/>
      <c r="EJ23823"/>
      <c r="EK23823"/>
    </row>
    <row r="23824" spans="1:141" s="116" customFormat="1">
      <c r="A23824" s="136"/>
      <c r="CM23824" s="111"/>
      <c r="CQ23824" s="111"/>
      <c r="EF23824"/>
      <c r="EG23824"/>
      <c r="EH23824"/>
      <c r="EI23824"/>
      <c r="EJ23824"/>
      <c r="EK23824"/>
    </row>
    <row r="23825" spans="1:141" s="116" customFormat="1">
      <c r="A23825" s="136"/>
      <c r="CM23825" s="111"/>
      <c r="CQ23825" s="111"/>
      <c r="EF23825"/>
      <c r="EG23825"/>
      <c r="EH23825"/>
      <c r="EI23825"/>
      <c r="EJ23825"/>
      <c r="EK23825"/>
    </row>
    <row r="23826" spans="1:141" s="116" customFormat="1">
      <c r="A23826" s="136"/>
      <c r="CM23826" s="111"/>
      <c r="CQ23826" s="111"/>
      <c r="EF23826"/>
      <c r="EG23826"/>
      <c r="EH23826"/>
      <c r="EI23826"/>
      <c r="EJ23826"/>
      <c r="EK23826"/>
    </row>
    <row r="23827" spans="1:141" s="116" customFormat="1">
      <c r="A23827" s="136"/>
      <c r="CM23827" s="111"/>
      <c r="CQ23827" s="111"/>
      <c r="EF23827"/>
      <c r="EG23827"/>
      <c r="EH23827"/>
      <c r="EI23827"/>
      <c r="EJ23827"/>
      <c r="EK23827"/>
    </row>
    <row r="23828" spans="1:141" s="116" customFormat="1">
      <c r="A23828" s="136"/>
      <c r="CM23828" s="111"/>
      <c r="CQ23828" s="111"/>
      <c r="EF23828"/>
      <c r="EG23828"/>
      <c r="EH23828"/>
      <c r="EI23828"/>
      <c r="EJ23828"/>
      <c r="EK23828"/>
    </row>
    <row r="23829" spans="1:141" s="116" customFormat="1">
      <c r="A23829" s="136"/>
      <c r="CM23829" s="111"/>
      <c r="CQ23829" s="111"/>
      <c r="EF23829"/>
      <c r="EG23829"/>
      <c r="EH23829"/>
      <c r="EI23829"/>
      <c r="EJ23829"/>
      <c r="EK23829"/>
    </row>
    <row r="23830" spans="1:141" s="116" customFormat="1">
      <c r="A23830" s="136"/>
      <c r="CM23830" s="111"/>
      <c r="CQ23830" s="111"/>
      <c r="EF23830"/>
      <c r="EG23830"/>
      <c r="EH23830"/>
      <c r="EI23830"/>
      <c r="EJ23830"/>
      <c r="EK23830"/>
    </row>
    <row r="23831" spans="1:141" s="116" customFormat="1">
      <c r="A23831" s="136"/>
      <c r="CM23831" s="111"/>
      <c r="CQ23831" s="111"/>
      <c r="EF23831"/>
      <c r="EG23831"/>
      <c r="EH23831"/>
      <c r="EI23831"/>
      <c r="EJ23831"/>
      <c r="EK23831"/>
    </row>
    <row r="23832" spans="1:141" s="116" customFormat="1">
      <c r="A23832" s="136"/>
      <c r="CM23832" s="111"/>
      <c r="CQ23832" s="111"/>
      <c r="EF23832"/>
      <c r="EG23832"/>
      <c r="EH23832"/>
      <c r="EI23832"/>
      <c r="EJ23832"/>
      <c r="EK23832"/>
    </row>
    <row r="23833" spans="1:141" s="116" customFormat="1">
      <c r="A23833" s="136"/>
      <c r="CM23833" s="111"/>
      <c r="CQ23833" s="111"/>
      <c r="EF23833"/>
      <c r="EG23833"/>
      <c r="EH23833"/>
      <c r="EI23833"/>
      <c r="EJ23833"/>
      <c r="EK23833"/>
    </row>
    <row r="23834" spans="1:141" s="116" customFormat="1">
      <c r="A23834" s="136"/>
      <c r="CM23834" s="111"/>
      <c r="CQ23834" s="111"/>
      <c r="EF23834"/>
      <c r="EG23834"/>
      <c r="EH23834"/>
      <c r="EI23834"/>
      <c r="EJ23834"/>
      <c r="EK23834"/>
    </row>
    <row r="23835" spans="1:141" s="116" customFormat="1">
      <c r="A23835" s="136"/>
      <c r="CM23835" s="111"/>
      <c r="CQ23835" s="111"/>
      <c r="EF23835"/>
      <c r="EG23835"/>
      <c r="EH23835"/>
      <c r="EI23835"/>
      <c r="EJ23835"/>
      <c r="EK23835"/>
    </row>
    <row r="23836" spans="1:141" s="116" customFormat="1">
      <c r="A23836" s="136"/>
      <c r="CM23836" s="111"/>
      <c r="CQ23836" s="111"/>
      <c r="EF23836"/>
      <c r="EG23836"/>
      <c r="EH23836"/>
      <c r="EI23836"/>
      <c r="EJ23836"/>
      <c r="EK23836"/>
    </row>
    <row r="23837" spans="1:141" s="116" customFormat="1">
      <c r="A23837" s="136"/>
      <c r="CM23837" s="111"/>
      <c r="CQ23837" s="111"/>
      <c r="EF23837"/>
      <c r="EG23837"/>
      <c r="EH23837"/>
      <c r="EI23837"/>
      <c r="EJ23837"/>
      <c r="EK23837"/>
    </row>
    <row r="23838" spans="1:141" s="116" customFormat="1">
      <c r="A23838" s="136"/>
      <c r="CM23838" s="111"/>
      <c r="CQ23838" s="111"/>
      <c r="EF23838"/>
      <c r="EG23838"/>
      <c r="EH23838"/>
      <c r="EI23838"/>
      <c r="EJ23838"/>
      <c r="EK23838"/>
    </row>
    <row r="23839" spans="1:141" s="116" customFormat="1">
      <c r="A23839" s="136"/>
      <c r="CM23839" s="111"/>
      <c r="CQ23839" s="111"/>
      <c r="EF23839"/>
      <c r="EG23839"/>
      <c r="EH23839"/>
      <c r="EI23839"/>
      <c r="EJ23839"/>
      <c r="EK23839"/>
    </row>
    <row r="23840" spans="1:141" s="116" customFormat="1">
      <c r="A23840" s="136"/>
      <c r="CM23840" s="111"/>
      <c r="CQ23840" s="111"/>
      <c r="EF23840"/>
      <c r="EG23840"/>
      <c r="EH23840"/>
      <c r="EI23840"/>
      <c r="EJ23840"/>
      <c r="EK23840"/>
    </row>
    <row r="23841" spans="1:141" s="116" customFormat="1">
      <c r="A23841" s="136"/>
      <c r="CM23841" s="111"/>
      <c r="CQ23841" s="111"/>
      <c r="EF23841"/>
      <c r="EG23841"/>
      <c r="EH23841"/>
      <c r="EI23841"/>
      <c r="EJ23841"/>
      <c r="EK23841"/>
    </row>
    <row r="23842" spans="1:141" s="116" customFormat="1">
      <c r="A23842" s="136"/>
      <c r="CM23842" s="111"/>
      <c r="CQ23842" s="111"/>
      <c r="EF23842"/>
      <c r="EG23842"/>
      <c r="EH23842"/>
      <c r="EI23842"/>
      <c r="EJ23842"/>
      <c r="EK23842"/>
    </row>
    <row r="23843" spans="1:141" s="116" customFormat="1">
      <c r="A23843" s="136"/>
      <c r="CM23843" s="111"/>
      <c r="CQ23843" s="111"/>
      <c r="EF23843"/>
      <c r="EG23843"/>
      <c r="EH23843"/>
      <c r="EI23843"/>
      <c r="EJ23843"/>
      <c r="EK23843"/>
    </row>
    <row r="23844" spans="1:141" s="116" customFormat="1">
      <c r="A23844" s="136"/>
      <c r="CM23844" s="111"/>
      <c r="CQ23844" s="111"/>
      <c r="EF23844"/>
      <c r="EG23844"/>
      <c r="EH23844"/>
      <c r="EI23844"/>
      <c r="EJ23844"/>
      <c r="EK23844"/>
    </row>
    <row r="23845" spans="1:141" s="116" customFormat="1">
      <c r="A23845" s="136"/>
      <c r="CM23845" s="111"/>
      <c r="CQ23845" s="111"/>
      <c r="EF23845"/>
      <c r="EG23845"/>
      <c r="EH23845"/>
      <c r="EI23845"/>
      <c r="EJ23845"/>
      <c r="EK23845"/>
    </row>
    <row r="23846" spans="1:141" s="116" customFormat="1">
      <c r="A23846" s="136"/>
      <c r="CM23846" s="111"/>
      <c r="CQ23846" s="111"/>
      <c r="EF23846"/>
      <c r="EG23846"/>
      <c r="EH23846"/>
      <c r="EI23846"/>
      <c r="EJ23846"/>
      <c r="EK23846"/>
    </row>
    <row r="23847" spans="1:141" s="116" customFormat="1">
      <c r="A23847" s="136"/>
      <c r="CM23847" s="111"/>
      <c r="CQ23847" s="111"/>
      <c r="EF23847"/>
      <c r="EG23847"/>
      <c r="EH23847"/>
      <c r="EI23847"/>
      <c r="EJ23847"/>
      <c r="EK23847"/>
    </row>
    <row r="23848" spans="1:141" s="116" customFormat="1">
      <c r="A23848" s="136"/>
      <c r="CM23848" s="111"/>
      <c r="CQ23848" s="111"/>
      <c r="EF23848"/>
      <c r="EG23848"/>
      <c r="EH23848"/>
      <c r="EI23848"/>
      <c r="EJ23848"/>
      <c r="EK23848"/>
    </row>
    <row r="23849" spans="1:141" s="116" customFormat="1">
      <c r="A23849" s="136"/>
      <c r="CM23849" s="111"/>
      <c r="CQ23849" s="111"/>
      <c r="EF23849"/>
      <c r="EG23849"/>
      <c r="EH23849"/>
      <c r="EI23849"/>
      <c r="EJ23849"/>
      <c r="EK23849"/>
    </row>
    <row r="23850" spans="1:141" s="116" customFormat="1">
      <c r="A23850" s="136"/>
      <c r="CM23850" s="111"/>
      <c r="CQ23850" s="111"/>
      <c r="EF23850"/>
      <c r="EG23850"/>
      <c r="EH23850"/>
      <c r="EI23850"/>
      <c r="EJ23850"/>
      <c r="EK23850"/>
    </row>
    <row r="23851" spans="1:141" s="116" customFormat="1">
      <c r="A23851" s="136"/>
      <c r="CM23851" s="111"/>
      <c r="CQ23851" s="111"/>
      <c r="EF23851"/>
      <c r="EG23851"/>
      <c r="EH23851"/>
      <c r="EI23851"/>
      <c r="EJ23851"/>
      <c r="EK23851"/>
    </row>
    <row r="23852" spans="1:141" s="116" customFormat="1">
      <c r="A23852" s="136"/>
      <c r="CM23852" s="111"/>
      <c r="CQ23852" s="111"/>
      <c r="EF23852"/>
      <c r="EG23852"/>
      <c r="EH23852"/>
      <c r="EI23852"/>
      <c r="EJ23852"/>
      <c r="EK23852"/>
    </row>
    <row r="23853" spans="1:141" s="116" customFormat="1">
      <c r="A23853" s="136"/>
      <c r="CM23853" s="111"/>
      <c r="CQ23853" s="111"/>
      <c r="EF23853"/>
      <c r="EG23853"/>
      <c r="EH23853"/>
      <c r="EI23853"/>
      <c r="EJ23853"/>
      <c r="EK23853"/>
    </row>
    <row r="23854" spans="1:141" s="116" customFormat="1">
      <c r="A23854" s="136"/>
      <c r="CM23854" s="111"/>
      <c r="CQ23854" s="111"/>
      <c r="EF23854"/>
      <c r="EG23854"/>
      <c r="EH23854"/>
      <c r="EI23854"/>
      <c r="EJ23854"/>
      <c r="EK23854"/>
    </row>
    <row r="23855" spans="1:141" s="116" customFormat="1">
      <c r="A23855" s="136"/>
      <c r="CM23855" s="111"/>
      <c r="CQ23855" s="111"/>
      <c r="EF23855"/>
      <c r="EG23855"/>
      <c r="EH23855"/>
      <c r="EI23855"/>
      <c r="EJ23855"/>
      <c r="EK23855"/>
    </row>
    <row r="23856" spans="1:141" s="116" customFormat="1">
      <c r="A23856" s="136"/>
      <c r="CM23856" s="111"/>
      <c r="CQ23856" s="111"/>
      <c r="EF23856"/>
      <c r="EG23856"/>
      <c r="EH23856"/>
      <c r="EI23856"/>
      <c r="EJ23856"/>
      <c r="EK23856"/>
    </row>
    <row r="23857" spans="1:141" s="116" customFormat="1">
      <c r="A23857" s="136"/>
      <c r="CM23857" s="111"/>
      <c r="CQ23857" s="111"/>
      <c r="EF23857"/>
      <c r="EG23857"/>
      <c r="EH23857"/>
      <c r="EI23857"/>
      <c r="EJ23857"/>
      <c r="EK23857"/>
    </row>
    <row r="23858" spans="1:141" s="116" customFormat="1">
      <c r="A23858" s="136"/>
      <c r="CM23858" s="111"/>
      <c r="CQ23858" s="111"/>
      <c r="EF23858"/>
      <c r="EG23858"/>
      <c r="EH23858"/>
      <c r="EI23858"/>
      <c r="EJ23858"/>
      <c r="EK23858"/>
    </row>
    <row r="23859" spans="1:141" s="116" customFormat="1">
      <c r="A23859" s="136"/>
      <c r="CM23859" s="111"/>
      <c r="CQ23859" s="111"/>
      <c r="EF23859"/>
      <c r="EG23859"/>
      <c r="EH23859"/>
      <c r="EI23859"/>
      <c r="EJ23859"/>
      <c r="EK23859"/>
    </row>
    <row r="23860" spans="1:141" s="116" customFormat="1">
      <c r="A23860" s="136"/>
      <c r="CM23860" s="111"/>
      <c r="CQ23860" s="111"/>
      <c r="EF23860"/>
      <c r="EG23860"/>
      <c r="EH23860"/>
      <c r="EI23860"/>
      <c r="EJ23860"/>
      <c r="EK23860"/>
    </row>
    <row r="23861" spans="1:141" s="116" customFormat="1">
      <c r="A23861" s="136"/>
      <c r="CM23861" s="111"/>
      <c r="CQ23861" s="111"/>
      <c r="EF23861"/>
      <c r="EG23861"/>
      <c r="EH23861"/>
      <c r="EI23861"/>
      <c r="EJ23861"/>
      <c r="EK23861"/>
    </row>
    <row r="23862" spans="1:141" s="116" customFormat="1">
      <c r="A23862" s="136"/>
      <c r="CM23862" s="111"/>
      <c r="CQ23862" s="111"/>
      <c r="EF23862"/>
      <c r="EG23862"/>
      <c r="EH23862"/>
      <c r="EI23862"/>
      <c r="EJ23862"/>
      <c r="EK23862"/>
    </row>
    <row r="23863" spans="1:141" s="116" customFormat="1">
      <c r="A23863" s="136"/>
      <c r="CM23863" s="111"/>
      <c r="CQ23863" s="111"/>
      <c r="EF23863"/>
      <c r="EG23863"/>
      <c r="EH23863"/>
      <c r="EI23863"/>
      <c r="EJ23863"/>
      <c r="EK23863"/>
    </row>
    <row r="23864" spans="1:141" s="116" customFormat="1">
      <c r="A23864" s="136"/>
      <c r="CM23864" s="111"/>
      <c r="CQ23864" s="111"/>
      <c r="EF23864"/>
      <c r="EG23864"/>
      <c r="EH23864"/>
      <c r="EI23864"/>
      <c r="EJ23864"/>
      <c r="EK23864"/>
    </row>
    <row r="23865" spans="1:141" s="116" customFormat="1">
      <c r="A23865" s="136"/>
      <c r="CM23865" s="111"/>
      <c r="CQ23865" s="111"/>
      <c r="EF23865"/>
      <c r="EG23865"/>
      <c r="EH23865"/>
      <c r="EI23865"/>
      <c r="EJ23865"/>
      <c r="EK23865"/>
    </row>
    <row r="23866" spans="1:141" s="116" customFormat="1">
      <c r="A23866" s="136"/>
      <c r="CM23866" s="111"/>
      <c r="CQ23866" s="111"/>
      <c r="EF23866"/>
      <c r="EG23866"/>
      <c r="EH23866"/>
      <c r="EI23866"/>
      <c r="EJ23866"/>
      <c r="EK23866"/>
    </row>
    <row r="23867" spans="1:141" s="116" customFormat="1">
      <c r="A23867" s="136"/>
      <c r="CM23867" s="111"/>
      <c r="CQ23867" s="111"/>
      <c r="EF23867"/>
      <c r="EG23867"/>
      <c r="EH23867"/>
      <c r="EI23867"/>
      <c r="EJ23867"/>
      <c r="EK23867"/>
    </row>
    <row r="23868" spans="1:141" s="116" customFormat="1">
      <c r="A23868" s="136"/>
      <c r="CM23868" s="111"/>
      <c r="CQ23868" s="111"/>
      <c r="EF23868"/>
      <c r="EG23868"/>
      <c r="EH23868"/>
      <c r="EI23868"/>
      <c r="EJ23868"/>
      <c r="EK23868"/>
    </row>
    <row r="23869" spans="1:141" s="116" customFormat="1">
      <c r="A23869" s="136"/>
      <c r="CM23869" s="111"/>
      <c r="CQ23869" s="111"/>
      <c r="EF23869"/>
      <c r="EG23869"/>
      <c r="EH23869"/>
      <c r="EI23869"/>
      <c r="EJ23869"/>
      <c r="EK23869"/>
    </row>
    <row r="23870" spans="1:141" s="116" customFormat="1">
      <c r="A23870" s="136"/>
      <c r="CM23870" s="111"/>
      <c r="CQ23870" s="111"/>
      <c r="EF23870"/>
      <c r="EG23870"/>
      <c r="EH23870"/>
      <c r="EI23870"/>
      <c r="EJ23870"/>
      <c r="EK23870"/>
    </row>
    <row r="23871" spans="1:141" s="116" customFormat="1">
      <c r="A23871" s="136"/>
      <c r="CM23871" s="111"/>
      <c r="CQ23871" s="111"/>
      <c r="EF23871"/>
      <c r="EG23871"/>
      <c r="EH23871"/>
      <c r="EI23871"/>
      <c r="EJ23871"/>
      <c r="EK23871"/>
    </row>
    <row r="23872" spans="1:141" s="116" customFormat="1">
      <c r="A23872" s="136"/>
      <c r="CM23872" s="111"/>
      <c r="CQ23872" s="111"/>
      <c r="EF23872"/>
      <c r="EG23872"/>
      <c r="EH23872"/>
      <c r="EI23872"/>
      <c r="EJ23872"/>
      <c r="EK23872"/>
    </row>
    <row r="23873" spans="1:141" s="116" customFormat="1">
      <c r="A23873" s="136"/>
      <c r="CM23873" s="111"/>
      <c r="CQ23873" s="111"/>
      <c r="EF23873"/>
      <c r="EG23873"/>
      <c r="EH23873"/>
      <c r="EI23873"/>
      <c r="EJ23873"/>
      <c r="EK23873"/>
    </row>
    <row r="23874" spans="1:141" s="116" customFormat="1">
      <c r="A23874" s="136"/>
      <c r="CM23874" s="111"/>
      <c r="CQ23874" s="111"/>
      <c r="EF23874"/>
      <c r="EG23874"/>
      <c r="EH23874"/>
      <c r="EI23874"/>
      <c r="EJ23874"/>
      <c r="EK23874"/>
    </row>
    <row r="23875" spans="1:141" s="116" customFormat="1">
      <c r="A23875" s="136"/>
      <c r="CM23875" s="111"/>
      <c r="CQ23875" s="111"/>
      <c r="EF23875"/>
      <c r="EG23875"/>
      <c r="EH23875"/>
      <c r="EI23875"/>
      <c r="EJ23875"/>
      <c r="EK23875"/>
    </row>
    <row r="23876" spans="1:141" s="116" customFormat="1">
      <c r="A23876" s="136"/>
      <c r="CM23876" s="111"/>
      <c r="CQ23876" s="111"/>
      <c r="EF23876"/>
      <c r="EG23876"/>
      <c r="EH23876"/>
      <c r="EI23876"/>
      <c r="EJ23876"/>
      <c r="EK23876"/>
    </row>
    <row r="23877" spans="1:141" s="116" customFormat="1">
      <c r="A23877" s="136"/>
      <c r="CM23877" s="111"/>
      <c r="CQ23877" s="111"/>
      <c r="EF23877"/>
      <c r="EG23877"/>
      <c r="EH23877"/>
      <c r="EI23877"/>
      <c r="EJ23877"/>
      <c r="EK23877"/>
    </row>
    <row r="23878" spans="1:141" s="116" customFormat="1">
      <c r="A23878" s="136"/>
      <c r="CM23878" s="111"/>
      <c r="CQ23878" s="111"/>
      <c r="EF23878"/>
      <c r="EG23878"/>
      <c r="EH23878"/>
      <c r="EI23878"/>
      <c r="EJ23878"/>
      <c r="EK23878"/>
    </row>
    <row r="23879" spans="1:141" s="116" customFormat="1">
      <c r="A23879" s="136"/>
      <c r="CM23879" s="111"/>
      <c r="CQ23879" s="111"/>
      <c r="EF23879"/>
      <c r="EG23879"/>
      <c r="EH23879"/>
      <c r="EI23879"/>
      <c r="EJ23879"/>
      <c r="EK23879"/>
    </row>
    <row r="23880" spans="1:141" s="116" customFormat="1">
      <c r="A23880" s="136"/>
      <c r="CM23880" s="111"/>
      <c r="CQ23880" s="111"/>
      <c r="EF23880"/>
      <c r="EG23880"/>
      <c r="EH23880"/>
      <c r="EI23880"/>
      <c r="EJ23880"/>
      <c r="EK23880"/>
    </row>
    <row r="23881" spans="1:141" s="116" customFormat="1">
      <c r="A23881" s="136"/>
      <c r="CM23881" s="111"/>
      <c r="CQ23881" s="111"/>
      <c r="EF23881"/>
      <c r="EG23881"/>
      <c r="EH23881"/>
      <c r="EI23881"/>
      <c r="EJ23881"/>
      <c r="EK23881"/>
    </row>
    <row r="23882" spans="1:141" s="116" customFormat="1">
      <c r="A23882" s="136"/>
      <c r="CM23882" s="111"/>
      <c r="CQ23882" s="111"/>
      <c r="EF23882"/>
      <c r="EG23882"/>
      <c r="EH23882"/>
      <c r="EI23882"/>
      <c r="EJ23882"/>
      <c r="EK23882"/>
    </row>
    <row r="23883" spans="1:141" s="116" customFormat="1">
      <c r="A23883" s="136"/>
      <c r="CM23883" s="111"/>
      <c r="CQ23883" s="111"/>
      <c r="EF23883"/>
      <c r="EG23883"/>
      <c r="EH23883"/>
      <c r="EI23883"/>
      <c r="EJ23883"/>
      <c r="EK23883"/>
    </row>
    <row r="23884" spans="1:141" s="116" customFormat="1">
      <c r="A23884" s="136"/>
      <c r="CM23884" s="111"/>
      <c r="CQ23884" s="111"/>
      <c r="EF23884"/>
      <c r="EG23884"/>
      <c r="EH23884"/>
      <c r="EI23884"/>
      <c r="EJ23884"/>
      <c r="EK23884"/>
    </row>
    <row r="23885" spans="1:141" s="116" customFormat="1">
      <c r="A23885" s="136"/>
      <c r="CM23885" s="111"/>
      <c r="CQ23885" s="111"/>
      <c r="EF23885"/>
      <c r="EG23885"/>
      <c r="EH23885"/>
      <c r="EI23885"/>
      <c r="EJ23885"/>
      <c r="EK23885"/>
    </row>
    <row r="23886" spans="1:141" s="116" customFormat="1">
      <c r="A23886" s="136"/>
      <c r="CM23886" s="111"/>
      <c r="CQ23886" s="111"/>
      <c r="EF23886"/>
      <c r="EG23886"/>
      <c r="EH23886"/>
      <c r="EI23886"/>
      <c r="EJ23886"/>
      <c r="EK23886"/>
    </row>
    <row r="23887" spans="1:141" s="116" customFormat="1">
      <c r="A23887" s="136"/>
      <c r="CM23887" s="111"/>
      <c r="CQ23887" s="111"/>
      <c r="EF23887"/>
      <c r="EG23887"/>
      <c r="EH23887"/>
      <c r="EI23887"/>
      <c r="EJ23887"/>
      <c r="EK23887"/>
    </row>
    <row r="23888" spans="1:141" s="116" customFormat="1">
      <c r="A23888" s="136"/>
      <c r="CM23888" s="111"/>
      <c r="CQ23888" s="111"/>
      <c r="EF23888"/>
      <c r="EG23888"/>
      <c r="EH23888"/>
      <c r="EI23888"/>
      <c r="EJ23888"/>
      <c r="EK23888"/>
    </row>
    <row r="23889" spans="1:141" s="116" customFormat="1">
      <c r="A23889" s="136"/>
      <c r="CM23889" s="111"/>
      <c r="CQ23889" s="111"/>
      <c r="EF23889"/>
      <c r="EG23889"/>
      <c r="EH23889"/>
      <c r="EI23889"/>
      <c r="EJ23889"/>
      <c r="EK23889"/>
    </row>
    <row r="23890" spans="1:141" s="116" customFormat="1">
      <c r="A23890" s="136"/>
      <c r="CM23890" s="111"/>
      <c r="CQ23890" s="111"/>
      <c r="EF23890"/>
      <c r="EG23890"/>
      <c r="EH23890"/>
      <c r="EI23890"/>
      <c r="EJ23890"/>
      <c r="EK23890"/>
    </row>
    <row r="23891" spans="1:141" s="116" customFormat="1">
      <c r="A23891" s="136"/>
      <c r="CM23891" s="111"/>
      <c r="CQ23891" s="111"/>
      <c r="EF23891"/>
      <c r="EG23891"/>
      <c r="EH23891"/>
      <c r="EI23891"/>
      <c r="EJ23891"/>
      <c r="EK23891"/>
    </row>
    <row r="23892" spans="1:141" s="116" customFormat="1">
      <c r="A23892" s="136"/>
      <c r="CM23892" s="111"/>
      <c r="CQ23892" s="111"/>
      <c r="EF23892"/>
      <c r="EG23892"/>
      <c r="EH23892"/>
      <c r="EI23892"/>
      <c r="EJ23892"/>
      <c r="EK23892"/>
    </row>
    <row r="23893" spans="1:141" s="116" customFormat="1">
      <c r="A23893" s="136"/>
      <c r="CM23893" s="111"/>
      <c r="CQ23893" s="111"/>
      <c r="EF23893"/>
      <c r="EG23893"/>
      <c r="EH23893"/>
      <c r="EI23893"/>
      <c r="EJ23893"/>
      <c r="EK23893"/>
    </row>
    <row r="23894" spans="1:141" s="116" customFormat="1">
      <c r="A23894" s="136"/>
      <c r="CM23894" s="111"/>
      <c r="CQ23894" s="111"/>
      <c r="EF23894"/>
      <c r="EG23894"/>
      <c r="EH23894"/>
      <c r="EI23894"/>
      <c r="EJ23894"/>
      <c r="EK23894"/>
    </row>
    <row r="23895" spans="1:141" s="116" customFormat="1">
      <c r="A23895" s="136"/>
      <c r="CM23895" s="111"/>
      <c r="CQ23895" s="111"/>
      <c r="EF23895"/>
      <c r="EG23895"/>
      <c r="EH23895"/>
      <c r="EI23895"/>
      <c r="EJ23895"/>
      <c r="EK23895"/>
    </row>
    <row r="23896" spans="1:141" s="116" customFormat="1">
      <c r="A23896" s="136"/>
      <c r="CM23896" s="111"/>
      <c r="CQ23896" s="111"/>
      <c r="EF23896"/>
      <c r="EG23896"/>
      <c r="EH23896"/>
      <c r="EI23896"/>
      <c r="EJ23896"/>
      <c r="EK23896"/>
    </row>
    <row r="23897" spans="1:141" s="116" customFormat="1">
      <c r="A23897" s="136"/>
      <c r="CM23897" s="111"/>
      <c r="CQ23897" s="111"/>
      <c r="EF23897"/>
      <c r="EG23897"/>
      <c r="EH23897"/>
      <c r="EI23897"/>
      <c r="EJ23897"/>
      <c r="EK23897"/>
    </row>
    <row r="23898" spans="1:141" s="116" customFormat="1">
      <c r="A23898" s="136"/>
      <c r="CM23898" s="111"/>
      <c r="CQ23898" s="111"/>
      <c r="EF23898"/>
      <c r="EG23898"/>
      <c r="EH23898"/>
      <c r="EI23898"/>
      <c r="EJ23898"/>
      <c r="EK23898"/>
    </row>
    <row r="23899" spans="1:141" s="116" customFormat="1">
      <c r="A23899" s="136"/>
      <c r="CM23899" s="111"/>
      <c r="CQ23899" s="111"/>
      <c r="EF23899"/>
      <c r="EG23899"/>
      <c r="EH23899"/>
      <c r="EI23899"/>
      <c r="EJ23899"/>
      <c r="EK23899"/>
    </row>
    <row r="23900" spans="1:141" s="116" customFormat="1">
      <c r="A23900" s="136"/>
      <c r="CM23900" s="111"/>
      <c r="CQ23900" s="111"/>
      <c r="EF23900"/>
      <c r="EG23900"/>
      <c r="EH23900"/>
      <c r="EI23900"/>
      <c r="EJ23900"/>
      <c r="EK23900"/>
    </row>
    <row r="23901" spans="1:141" s="116" customFormat="1">
      <c r="A23901" s="136"/>
      <c r="CM23901" s="111"/>
      <c r="CQ23901" s="111"/>
      <c r="EF23901"/>
      <c r="EG23901"/>
      <c r="EH23901"/>
      <c r="EI23901"/>
      <c r="EJ23901"/>
      <c r="EK23901"/>
    </row>
    <row r="23902" spans="1:141" s="116" customFormat="1">
      <c r="A23902" s="136"/>
      <c r="CM23902" s="111"/>
      <c r="CQ23902" s="111"/>
      <c r="EF23902"/>
      <c r="EG23902"/>
      <c r="EH23902"/>
      <c r="EI23902"/>
      <c r="EJ23902"/>
      <c r="EK23902"/>
    </row>
    <row r="23903" spans="1:141" s="116" customFormat="1">
      <c r="A23903" s="136"/>
      <c r="CM23903" s="111"/>
      <c r="CQ23903" s="111"/>
      <c r="EF23903"/>
      <c r="EG23903"/>
      <c r="EH23903"/>
      <c r="EI23903"/>
      <c r="EJ23903"/>
      <c r="EK23903"/>
    </row>
    <row r="23904" spans="1:141" s="116" customFormat="1">
      <c r="A23904" s="136"/>
      <c r="CM23904" s="111"/>
      <c r="CQ23904" s="111"/>
      <c r="EF23904"/>
      <c r="EG23904"/>
      <c r="EH23904"/>
      <c r="EI23904"/>
      <c r="EJ23904"/>
      <c r="EK23904"/>
    </row>
    <row r="23905" spans="1:141" s="116" customFormat="1">
      <c r="A23905" s="136"/>
      <c r="CM23905" s="111"/>
      <c r="CQ23905" s="111"/>
      <c r="EF23905"/>
      <c r="EG23905"/>
      <c r="EH23905"/>
      <c r="EI23905"/>
      <c r="EJ23905"/>
      <c r="EK23905"/>
    </row>
    <row r="23906" spans="1:141" s="116" customFormat="1">
      <c r="A23906" s="136"/>
      <c r="CM23906" s="111"/>
      <c r="CQ23906" s="111"/>
      <c r="EF23906"/>
      <c r="EG23906"/>
      <c r="EH23906"/>
      <c r="EI23906"/>
      <c r="EJ23906"/>
      <c r="EK23906"/>
    </row>
    <row r="23907" spans="1:141" s="116" customFormat="1">
      <c r="A23907" s="136"/>
      <c r="CM23907" s="111"/>
      <c r="CQ23907" s="111"/>
      <c r="EF23907"/>
      <c r="EG23907"/>
      <c r="EH23907"/>
      <c r="EI23907"/>
      <c r="EJ23907"/>
      <c r="EK23907"/>
    </row>
    <row r="23908" spans="1:141" s="116" customFormat="1">
      <c r="A23908" s="136"/>
      <c r="CM23908" s="111"/>
      <c r="CQ23908" s="111"/>
      <c r="EF23908"/>
      <c r="EG23908"/>
      <c r="EH23908"/>
      <c r="EI23908"/>
      <c r="EJ23908"/>
      <c r="EK23908"/>
    </row>
    <row r="23909" spans="1:141" s="116" customFormat="1">
      <c r="A23909" s="136"/>
      <c r="CM23909" s="111"/>
      <c r="CQ23909" s="111"/>
      <c r="EF23909"/>
      <c r="EG23909"/>
      <c r="EH23909"/>
      <c r="EI23909"/>
      <c r="EJ23909"/>
      <c r="EK23909"/>
    </row>
    <row r="23910" spans="1:141" s="116" customFormat="1">
      <c r="A23910" s="136"/>
      <c r="CM23910" s="111"/>
      <c r="CQ23910" s="111"/>
      <c r="EF23910"/>
      <c r="EG23910"/>
      <c r="EH23910"/>
      <c r="EI23910"/>
      <c r="EJ23910"/>
      <c r="EK23910"/>
    </row>
    <row r="23911" spans="1:141" s="116" customFormat="1">
      <c r="A23911" s="136"/>
      <c r="CM23911" s="111"/>
      <c r="CQ23911" s="111"/>
      <c r="EF23911"/>
      <c r="EG23911"/>
      <c r="EH23911"/>
      <c r="EI23911"/>
      <c r="EJ23911"/>
      <c r="EK23911"/>
    </row>
    <row r="23912" spans="1:141" s="116" customFormat="1">
      <c r="A23912" s="136"/>
      <c r="CM23912" s="111"/>
      <c r="CQ23912" s="111"/>
      <c r="EF23912"/>
      <c r="EG23912"/>
      <c r="EH23912"/>
      <c r="EI23912"/>
      <c r="EJ23912"/>
      <c r="EK23912"/>
    </row>
    <row r="23913" spans="1:141" s="116" customFormat="1">
      <c r="A23913" s="136"/>
      <c r="CM23913" s="111"/>
      <c r="CQ23913" s="111"/>
      <c r="EF23913"/>
      <c r="EG23913"/>
      <c r="EH23913"/>
      <c r="EI23913"/>
      <c r="EJ23913"/>
      <c r="EK23913"/>
    </row>
    <row r="23914" spans="1:141" s="116" customFormat="1">
      <c r="A23914" s="136"/>
      <c r="CM23914" s="111"/>
      <c r="CQ23914" s="111"/>
      <c r="EF23914"/>
      <c r="EG23914"/>
      <c r="EH23914"/>
      <c r="EI23914"/>
      <c r="EJ23914"/>
      <c r="EK23914"/>
    </row>
    <row r="23915" spans="1:141" s="116" customFormat="1">
      <c r="A23915" s="136"/>
      <c r="CM23915" s="111"/>
      <c r="CQ23915" s="111"/>
      <c r="EF23915"/>
      <c r="EG23915"/>
      <c r="EH23915"/>
      <c r="EI23915"/>
      <c r="EJ23915"/>
      <c r="EK23915"/>
    </row>
    <row r="23916" spans="1:141" s="116" customFormat="1">
      <c r="A23916" s="136"/>
      <c r="CM23916" s="111"/>
      <c r="CQ23916" s="111"/>
      <c r="EF23916"/>
      <c r="EG23916"/>
      <c r="EH23916"/>
      <c r="EI23916"/>
      <c r="EJ23916"/>
      <c r="EK23916"/>
    </row>
    <row r="23917" spans="1:141" s="116" customFormat="1">
      <c r="A23917" s="136"/>
      <c r="CM23917" s="111"/>
      <c r="CQ23917" s="111"/>
      <c r="EF23917"/>
      <c r="EG23917"/>
      <c r="EH23917"/>
      <c r="EI23917"/>
      <c r="EJ23917"/>
      <c r="EK23917"/>
    </row>
    <row r="23918" spans="1:141" s="116" customFormat="1">
      <c r="A23918" s="136"/>
      <c r="CM23918" s="111"/>
      <c r="CQ23918" s="111"/>
      <c r="EF23918"/>
      <c r="EG23918"/>
      <c r="EH23918"/>
      <c r="EI23918"/>
      <c r="EJ23918"/>
      <c r="EK23918"/>
    </row>
    <row r="23919" spans="1:141" s="116" customFormat="1">
      <c r="A23919" s="136"/>
      <c r="CM23919" s="111"/>
      <c r="CQ23919" s="111"/>
      <c r="EF23919"/>
      <c r="EG23919"/>
      <c r="EH23919"/>
      <c r="EI23919"/>
      <c r="EJ23919"/>
      <c r="EK23919"/>
    </row>
    <row r="23920" spans="1:141" s="116" customFormat="1">
      <c r="A23920" s="136"/>
      <c r="CM23920" s="111"/>
      <c r="CQ23920" s="111"/>
      <c r="EF23920"/>
      <c r="EG23920"/>
      <c r="EH23920"/>
      <c r="EI23920"/>
      <c r="EJ23920"/>
      <c r="EK23920"/>
    </row>
    <row r="23921" spans="1:141" s="116" customFormat="1">
      <c r="A23921" s="136"/>
      <c r="CM23921" s="111"/>
      <c r="CQ23921" s="111"/>
      <c r="EF23921"/>
      <c r="EG23921"/>
      <c r="EH23921"/>
      <c r="EI23921"/>
      <c r="EJ23921"/>
      <c r="EK23921"/>
    </row>
    <row r="23922" spans="1:141" s="116" customFormat="1">
      <c r="A23922" s="136"/>
      <c r="CM23922" s="111"/>
      <c r="CQ23922" s="111"/>
      <c r="EF23922"/>
      <c r="EG23922"/>
      <c r="EH23922"/>
      <c r="EI23922"/>
      <c r="EJ23922"/>
      <c r="EK23922"/>
    </row>
    <row r="23923" spans="1:141" s="116" customFormat="1">
      <c r="A23923" s="136"/>
      <c r="CM23923" s="111"/>
      <c r="CQ23923" s="111"/>
      <c r="EF23923"/>
      <c r="EG23923"/>
      <c r="EH23923"/>
      <c r="EI23923"/>
      <c r="EJ23923"/>
      <c r="EK23923"/>
    </row>
    <row r="23924" spans="1:141" s="116" customFormat="1">
      <c r="A23924" s="136"/>
      <c r="CM23924" s="111"/>
      <c r="CQ23924" s="111"/>
      <c r="EF23924"/>
      <c r="EG23924"/>
      <c r="EH23924"/>
      <c r="EI23924"/>
      <c r="EJ23924"/>
      <c r="EK23924"/>
    </row>
    <row r="23925" spans="1:141" s="116" customFormat="1">
      <c r="A23925" s="136"/>
      <c r="CM23925" s="111"/>
      <c r="CQ23925" s="111"/>
      <c r="EF23925"/>
      <c r="EG23925"/>
      <c r="EH23925"/>
      <c r="EI23925"/>
      <c r="EJ23925"/>
      <c r="EK23925"/>
    </row>
    <row r="23926" spans="1:141" s="116" customFormat="1">
      <c r="A23926" s="136"/>
      <c r="CM23926" s="111"/>
      <c r="CQ23926" s="111"/>
      <c r="EF23926"/>
      <c r="EG23926"/>
      <c r="EH23926"/>
      <c r="EI23926"/>
      <c r="EJ23926"/>
      <c r="EK23926"/>
    </row>
    <row r="23927" spans="1:141" s="116" customFormat="1">
      <c r="A23927" s="136"/>
      <c r="CM23927" s="111"/>
      <c r="CQ23927" s="111"/>
      <c r="EF23927"/>
      <c r="EG23927"/>
      <c r="EH23927"/>
      <c r="EI23927"/>
      <c r="EJ23927"/>
      <c r="EK23927"/>
    </row>
    <row r="23928" spans="1:141" s="116" customFormat="1">
      <c r="A23928" s="136"/>
      <c r="CM23928" s="111"/>
      <c r="CQ23928" s="111"/>
      <c r="EF23928"/>
      <c r="EG23928"/>
      <c r="EH23928"/>
      <c r="EI23928"/>
      <c r="EJ23928"/>
      <c r="EK23928"/>
    </row>
    <row r="23929" spans="1:141" s="116" customFormat="1">
      <c r="A23929" s="136"/>
      <c r="CM23929" s="111"/>
      <c r="CQ23929" s="111"/>
      <c r="EF23929"/>
      <c r="EG23929"/>
      <c r="EH23929"/>
      <c r="EI23929"/>
      <c r="EJ23929"/>
      <c r="EK23929"/>
    </row>
    <row r="23930" spans="1:141" s="116" customFormat="1">
      <c r="A23930" s="136"/>
      <c r="CM23930" s="111"/>
      <c r="CQ23930" s="111"/>
      <c r="EF23930"/>
      <c r="EG23930"/>
      <c r="EH23930"/>
      <c r="EI23930"/>
      <c r="EJ23930"/>
      <c r="EK23930"/>
    </row>
    <row r="23931" spans="1:141" s="116" customFormat="1">
      <c r="A23931" s="136"/>
      <c r="CM23931" s="111"/>
      <c r="CQ23931" s="111"/>
      <c r="EF23931"/>
      <c r="EG23931"/>
      <c r="EH23931"/>
      <c r="EI23931"/>
      <c r="EJ23931"/>
      <c r="EK23931"/>
    </row>
    <row r="23932" spans="1:141" s="116" customFormat="1">
      <c r="A23932" s="136"/>
      <c r="CM23932" s="111"/>
      <c r="CQ23932" s="111"/>
      <c r="EF23932"/>
      <c r="EG23932"/>
      <c r="EH23932"/>
      <c r="EI23932"/>
      <c r="EJ23932"/>
      <c r="EK23932"/>
    </row>
    <row r="23933" spans="1:141" s="116" customFormat="1">
      <c r="A23933" s="136"/>
      <c r="CM23933" s="111"/>
      <c r="CQ23933" s="111"/>
      <c r="EF23933"/>
      <c r="EG23933"/>
      <c r="EH23933"/>
      <c r="EI23933"/>
      <c r="EJ23933"/>
      <c r="EK23933"/>
    </row>
    <row r="23934" spans="1:141" s="116" customFormat="1">
      <c r="A23934" s="136"/>
      <c r="CM23934" s="111"/>
      <c r="CQ23934" s="111"/>
      <c r="EF23934"/>
      <c r="EG23934"/>
      <c r="EH23934"/>
      <c r="EI23934"/>
      <c r="EJ23934"/>
      <c r="EK23934"/>
    </row>
    <row r="23935" spans="1:141" s="116" customFormat="1">
      <c r="A23935" s="136"/>
      <c r="CM23935" s="111"/>
      <c r="CQ23935" s="111"/>
      <c r="EF23935"/>
      <c r="EG23935"/>
      <c r="EH23935"/>
      <c r="EI23935"/>
      <c r="EJ23935"/>
      <c r="EK23935"/>
    </row>
    <row r="23936" spans="1:141" s="116" customFormat="1">
      <c r="A23936" s="136"/>
      <c r="CM23936" s="111"/>
      <c r="CQ23936" s="111"/>
      <c r="EF23936"/>
      <c r="EG23936"/>
      <c r="EH23936"/>
      <c r="EI23936"/>
      <c r="EJ23936"/>
      <c r="EK23936"/>
    </row>
    <row r="23937" spans="1:141" s="116" customFormat="1">
      <c r="A23937" s="136"/>
      <c r="CM23937" s="111"/>
      <c r="CQ23937" s="111"/>
      <c r="EF23937"/>
      <c r="EG23937"/>
      <c r="EH23937"/>
      <c r="EI23937"/>
      <c r="EJ23937"/>
      <c r="EK23937"/>
    </row>
    <row r="23938" spans="1:141" s="116" customFormat="1">
      <c r="A23938" s="136"/>
      <c r="CM23938" s="111"/>
      <c r="CQ23938" s="111"/>
      <c r="EF23938"/>
      <c r="EG23938"/>
      <c r="EH23938"/>
      <c r="EI23938"/>
      <c r="EJ23938"/>
      <c r="EK23938"/>
    </row>
    <row r="23939" spans="1:141" s="116" customFormat="1">
      <c r="A23939" s="136"/>
      <c r="CM23939" s="111"/>
      <c r="CQ23939" s="111"/>
      <c r="EF23939"/>
      <c r="EG23939"/>
      <c r="EH23939"/>
      <c r="EI23939"/>
      <c r="EJ23939"/>
      <c r="EK23939"/>
    </row>
    <row r="23940" spans="1:141" s="116" customFormat="1">
      <c r="A23940" s="136"/>
      <c r="CM23940" s="111"/>
      <c r="CQ23940" s="111"/>
      <c r="EF23940"/>
      <c r="EG23940"/>
      <c r="EH23940"/>
      <c r="EI23940"/>
      <c r="EJ23940"/>
      <c r="EK23940"/>
    </row>
    <row r="23941" spans="1:141" s="116" customFormat="1">
      <c r="A23941" s="136"/>
      <c r="CM23941" s="111"/>
      <c r="CQ23941" s="111"/>
      <c r="EF23941"/>
      <c r="EG23941"/>
      <c r="EH23941"/>
      <c r="EI23941"/>
      <c r="EJ23941"/>
      <c r="EK23941"/>
    </row>
    <row r="23942" spans="1:141" s="116" customFormat="1">
      <c r="A23942" s="136"/>
      <c r="CM23942" s="111"/>
      <c r="CQ23942" s="111"/>
      <c r="EF23942"/>
      <c r="EG23942"/>
      <c r="EH23942"/>
      <c r="EI23942"/>
      <c r="EJ23942"/>
      <c r="EK23942"/>
    </row>
    <row r="23943" spans="1:141" s="116" customFormat="1">
      <c r="A23943" s="136"/>
      <c r="CM23943" s="111"/>
      <c r="CQ23943" s="111"/>
      <c r="EF23943"/>
      <c r="EG23943"/>
      <c r="EH23943"/>
      <c r="EI23943"/>
      <c r="EJ23943"/>
      <c r="EK23943"/>
    </row>
    <row r="23944" spans="1:141" s="116" customFormat="1">
      <c r="A23944" s="136"/>
      <c r="CM23944" s="111"/>
      <c r="CQ23944" s="111"/>
      <c r="EF23944"/>
      <c r="EG23944"/>
      <c r="EH23944"/>
      <c r="EI23944"/>
      <c r="EJ23944"/>
      <c r="EK23944"/>
    </row>
    <row r="23945" spans="1:141" s="116" customFormat="1">
      <c r="A23945" s="136"/>
      <c r="CM23945" s="111"/>
      <c r="CQ23945" s="111"/>
      <c r="EF23945"/>
      <c r="EG23945"/>
      <c r="EH23945"/>
      <c r="EI23945"/>
      <c r="EJ23945"/>
      <c r="EK23945"/>
    </row>
    <row r="23946" spans="1:141" s="116" customFormat="1">
      <c r="A23946" s="136"/>
      <c r="CM23946" s="111"/>
      <c r="CQ23946" s="111"/>
      <c r="EF23946"/>
      <c r="EG23946"/>
      <c r="EH23946"/>
      <c r="EI23946"/>
      <c r="EJ23946"/>
      <c r="EK23946"/>
    </row>
    <row r="23947" spans="1:141" s="116" customFormat="1">
      <c r="A23947" s="136"/>
      <c r="CM23947" s="111"/>
      <c r="CQ23947" s="111"/>
      <c r="EF23947"/>
      <c r="EG23947"/>
      <c r="EH23947"/>
      <c r="EI23947"/>
      <c r="EJ23947"/>
      <c r="EK23947"/>
    </row>
    <row r="23948" spans="1:141" s="116" customFormat="1">
      <c r="A23948" s="136"/>
      <c r="CM23948" s="111"/>
      <c r="CQ23948" s="111"/>
      <c r="EF23948"/>
      <c r="EG23948"/>
      <c r="EH23948"/>
      <c r="EI23948"/>
      <c r="EJ23948"/>
      <c r="EK23948"/>
    </row>
    <row r="23949" spans="1:141" s="116" customFormat="1">
      <c r="A23949" s="136"/>
      <c r="CM23949" s="111"/>
      <c r="CQ23949" s="111"/>
      <c r="EF23949"/>
      <c r="EG23949"/>
      <c r="EH23949"/>
      <c r="EI23949"/>
      <c r="EJ23949"/>
      <c r="EK23949"/>
    </row>
    <row r="23950" spans="1:141" s="116" customFormat="1">
      <c r="A23950" s="136"/>
      <c r="CM23950" s="111"/>
      <c r="CQ23950" s="111"/>
      <c r="EF23950"/>
      <c r="EG23950"/>
      <c r="EH23950"/>
      <c r="EI23950"/>
      <c r="EJ23950"/>
      <c r="EK23950"/>
    </row>
    <row r="23951" spans="1:141" s="116" customFormat="1">
      <c r="A23951" s="136"/>
      <c r="CM23951" s="111"/>
      <c r="CQ23951" s="111"/>
      <c r="EF23951"/>
      <c r="EG23951"/>
      <c r="EH23951"/>
      <c r="EI23951"/>
      <c r="EJ23951"/>
      <c r="EK23951"/>
    </row>
    <row r="23952" spans="1:141" s="116" customFormat="1">
      <c r="A23952" s="136"/>
      <c r="CM23952" s="111"/>
      <c r="CQ23952" s="111"/>
      <c r="EF23952"/>
      <c r="EG23952"/>
      <c r="EH23952"/>
      <c r="EI23952"/>
      <c r="EJ23952"/>
      <c r="EK23952"/>
    </row>
    <row r="23953" spans="1:141" s="116" customFormat="1">
      <c r="A23953" s="136"/>
      <c r="CM23953" s="111"/>
      <c r="CQ23953" s="111"/>
      <c r="EF23953"/>
      <c r="EG23953"/>
      <c r="EH23953"/>
      <c r="EI23953"/>
      <c r="EJ23953"/>
      <c r="EK23953"/>
    </row>
    <row r="23954" spans="1:141" s="116" customFormat="1">
      <c r="A23954" s="136"/>
      <c r="CM23954" s="111"/>
      <c r="CQ23954" s="111"/>
      <c r="EF23954"/>
      <c r="EG23954"/>
      <c r="EH23954"/>
      <c r="EI23954"/>
      <c r="EJ23954"/>
      <c r="EK23954"/>
    </row>
    <row r="23955" spans="1:141" s="116" customFormat="1">
      <c r="A23955" s="136"/>
      <c r="CM23955" s="111"/>
      <c r="CQ23955" s="111"/>
      <c r="EF23955"/>
      <c r="EG23955"/>
      <c r="EH23955"/>
      <c r="EI23955"/>
      <c r="EJ23955"/>
      <c r="EK23955"/>
    </row>
    <row r="23956" spans="1:141" s="116" customFormat="1">
      <c r="A23956" s="136"/>
      <c r="CM23956" s="111"/>
      <c r="CQ23956" s="111"/>
      <c r="EF23956"/>
      <c r="EG23956"/>
      <c r="EH23956"/>
      <c r="EI23956"/>
      <c r="EJ23956"/>
      <c r="EK23956"/>
    </row>
    <row r="23957" spans="1:141" s="116" customFormat="1">
      <c r="A23957" s="136"/>
      <c r="CM23957" s="111"/>
      <c r="CQ23957" s="111"/>
      <c r="EF23957"/>
      <c r="EG23957"/>
      <c r="EH23957"/>
      <c r="EI23957"/>
      <c r="EJ23957"/>
      <c r="EK23957"/>
    </row>
    <row r="23958" spans="1:141" s="116" customFormat="1">
      <c r="A23958" s="136"/>
      <c r="CM23958" s="111"/>
      <c r="CQ23958" s="111"/>
      <c r="EF23958"/>
      <c r="EG23958"/>
      <c r="EH23958"/>
      <c r="EI23958"/>
      <c r="EJ23958"/>
      <c r="EK23958"/>
    </row>
    <row r="23959" spans="1:141" s="116" customFormat="1">
      <c r="A23959" s="136"/>
      <c r="CM23959" s="111"/>
      <c r="CQ23959" s="111"/>
      <c r="EF23959"/>
      <c r="EG23959"/>
      <c r="EH23959"/>
      <c r="EI23959"/>
      <c r="EJ23959"/>
      <c r="EK23959"/>
    </row>
    <row r="23960" spans="1:141" s="116" customFormat="1">
      <c r="A23960" s="136"/>
      <c r="CM23960" s="111"/>
      <c r="CQ23960" s="111"/>
      <c r="EF23960"/>
      <c r="EG23960"/>
      <c r="EH23960"/>
      <c r="EI23960"/>
      <c r="EJ23960"/>
      <c r="EK23960"/>
    </row>
    <row r="23961" spans="1:141" s="116" customFormat="1">
      <c r="A23961" s="136"/>
      <c r="CM23961" s="111"/>
      <c r="CQ23961" s="111"/>
      <c r="EF23961"/>
      <c r="EG23961"/>
      <c r="EH23961"/>
      <c r="EI23961"/>
      <c r="EJ23961"/>
      <c r="EK23961"/>
    </row>
    <row r="23962" spans="1:141" s="116" customFormat="1">
      <c r="A23962" s="136"/>
      <c r="CM23962" s="111"/>
      <c r="CQ23962" s="111"/>
      <c r="EF23962"/>
      <c r="EG23962"/>
      <c r="EH23962"/>
      <c r="EI23962"/>
      <c r="EJ23962"/>
      <c r="EK23962"/>
    </row>
    <row r="23963" spans="1:141" s="116" customFormat="1">
      <c r="A23963" s="136"/>
      <c r="CM23963" s="111"/>
      <c r="CQ23963" s="111"/>
      <c r="EF23963"/>
      <c r="EG23963"/>
      <c r="EH23963"/>
      <c r="EI23963"/>
      <c r="EJ23963"/>
      <c r="EK23963"/>
    </row>
    <row r="23964" spans="1:141" s="116" customFormat="1">
      <c r="A23964" s="136"/>
      <c r="CM23964" s="111"/>
      <c r="CQ23964" s="111"/>
      <c r="EF23964"/>
      <c r="EG23964"/>
      <c r="EH23964"/>
      <c r="EI23964"/>
      <c r="EJ23964"/>
      <c r="EK23964"/>
    </row>
    <row r="23965" spans="1:141" s="116" customFormat="1">
      <c r="A23965" s="136"/>
      <c r="CM23965" s="111"/>
      <c r="CQ23965" s="111"/>
      <c r="EF23965"/>
      <c r="EG23965"/>
      <c r="EH23965"/>
      <c r="EI23965"/>
      <c r="EJ23965"/>
      <c r="EK23965"/>
    </row>
    <row r="23966" spans="1:141" s="116" customFormat="1">
      <c r="A23966" s="136"/>
      <c r="CM23966" s="111"/>
      <c r="CQ23966" s="111"/>
      <c r="EF23966"/>
      <c r="EG23966"/>
      <c r="EH23966"/>
      <c r="EI23966"/>
      <c r="EJ23966"/>
      <c r="EK23966"/>
    </row>
    <row r="23967" spans="1:141" s="116" customFormat="1">
      <c r="A23967" s="136"/>
      <c r="CM23967" s="111"/>
      <c r="CQ23967" s="111"/>
      <c r="EF23967"/>
      <c r="EG23967"/>
      <c r="EH23967"/>
      <c r="EI23967"/>
      <c r="EJ23967"/>
      <c r="EK23967"/>
    </row>
    <row r="23968" spans="1:141" s="116" customFormat="1">
      <c r="A23968" s="136"/>
      <c r="CM23968" s="111"/>
      <c r="CQ23968" s="111"/>
      <c r="EF23968"/>
      <c r="EG23968"/>
      <c r="EH23968"/>
      <c r="EI23968"/>
      <c r="EJ23968"/>
      <c r="EK23968"/>
    </row>
    <row r="23969" spans="1:141" s="116" customFormat="1">
      <c r="A23969" s="136"/>
      <c r="CM23969" s="111"/>
      <c r="CQ23969" s="111"/>
      <c r="EF23969"/>
      <c r="EG23969"/>
      <c r="EH23969"/>
      <c r="EI23969"/>
      <c r="EJ23969"/>
      <c r="EK23969"/>
    </row>
    <row r="23970" spans="1:141" s="116" customFormat="1">
      <c r="A23970" s="136"/>
      <c r="CM23970" s="111"/>
      <c r="CQ23970" s="111"/>
      <c r="EF23970"/>
      <c r="EG23970"/>
      <c r="EH23970"/>
      <c r="EI23970"/>
      <c r="EJ23970"/>
      <c r="EK23970"/>
    </row>
    <row r="23971" spans="1:141" s="116" customFormat="1">
      <c r="A23971" s="136"/>
      <c r="CM23971" s="111"/>
      <c r="CQ23971" s="111"/>
      <c r="EF23971"/>
      <c r="EG23971"/>
      <c r="EH23971"/>
      <c r="EI23971"/>
      <c r="EJ23971"/>
      <c r="EK23971"/>
    </row>
    <row r="23972" spans="1:141" s="116" customFormat="1">
      <c r="A23972" s="136"/>
      <c r="CM23972" s="111"/>
      <c r="CQ23972" s="111"/>
      <c r="EF23972"/>
      <c r="EG23972"/>
      <c r="EH23972"/>
      <c r="EI23972"/>
      <c r="EJ23972"/>
      <c r="EK23972"/>
    </row>
    <row r="23973" spans="1:141" s="116" customFormat="1">
      <c r="A23973" s="136"/>
      <c r="CM23973" s="111"/>
      <c r="CQ23973" s="111"/>
      <c r="EF23973"/>
      <c r="EG23973"/>
      <c r="EH23973"/>
      <c r="EI23973"/>
      <c r="EJ23973"/>
      <c r="EK23973"/>
    </row>
    <row r="23974" spans="1:141" s="116" customFormat="1">
      <c r="A23974" s="136"/>
      <c r="CM23974" s="111"/>
      <c r="CQ23974" s="111"/>
      <c r="EF23974"/>
      <c r="EG23974"/>
      <c r="EH23974"/>
      <c r="EI23974"/>
      <c r="EJ23974"/>
      <c r="EK23974"/>
    </row>
    <row r="23975" spans="1:141" s="116" customFormat="1">
      <c r="A23975" s="136"/>
      <c r="CM23975" s="111"/>
      <c r="CQ23975" s="111"/>
      <c r="EF23975"/>
      <c r="EG23975"/>
      <c r="EH23975"/>
      <c r="EI23975"/>
      <c r="EJ23975"/>
      <c r="EK23975"/>
    </row>
    <row r="23976" spans="1:141" s="116" customFormat="1">
      <c r="A23976" s="136"/>
      <c r="CM23976" s="111"/>
      <c r="CQ23976" s="111"/>
      <c r="EF23976"/>
      <c r="EG23976"/>
      <c r="EH23976"/>
      <c r="EI23976"/>
      <c r="EJ23976"/>
      <c r="EK23976"/>
    </row>
    <row r="23977" spans="1:141" s="116" customFormat="1">
      <c r="A23977" s="136"/>
      <c r="CM23977" s="111"/>
      <c r="CQ23977" s="111"/>
      <c r="EF23977"/>
      <c r="EG23977"/>
      <c r="EH23977"/>
      <c r="EI23977"/>
      <c r="EJ23977"/>
      <c r="EK23977"/>
    </row>
    <row r="23978" spans="1:141" s="116" customFormat="1">
      <c r="A23978" s="136"/>
      <c r="CM23978" s="111"/>
      <c r="CQ23978" s="111"/>
      <c r="EF23978"/>
      <c r="EG23978"/>
      <c r="EH23978"/>
      <c r="EI23978"/>
      <c r="EJ23978"/>
      <c r="EK23978"/>
    </row>
    <row r="23979" spans="1:141" s="116" customFormat="1">
      <c r="A23979" s="136"/>
      <c r="CM23979" s="111"/>
      <c r="CQ23979" s="111"/>
      <c r="EF23979"/>
      <c r="EG23979"/>
      <c r="EH23979"/>
      <c r="EI23979"/>
      <c r="EJ23979"/>
      <c r="EK23979"/>
    </row>
    <row r="23980" spans="1:141" s="116" customFormat="1">
      <c r="A23980" s="136"/>
      <c r="CM23980" s="111"/>
      <c r="CQ23980" s="111"/>
      <c r="EF23980"/>
      <c r="EG23980"/>
      <c r="EH23980"/>
      <c r="EI23980"/>
      <c r="EJ23980"/>
      <c r="EK23980"/>
    </row>
    <row r="23981" spans="1:141" s="116" customFormat="1">
      <c r="A23981" s="136"/>
      <c r="CM23981" s="111"/>
      <c r="CQ23981" s="111"/>
      <c r="EF23981"/>
      <c r="EG23981"/>
      <c r="EH23981"/>
      <c r="EI23981"/>
      <c r="EJ23981"/>
      <c r="EK23981"/>
    </row>
    <row r="23982" spans="1:141" s="116" customFormat="1">
      <c r="A23982" s="136"/>
      <c r="CM23982" s="111"/>
      <c r="CQ23982" s="111"/>
      <c r="EF23982"/>
      <c r="EG23982"/>
      <c r="EH23982"/>
      <c r="EI23982"/>
      <c r="EJ23982"/>
      <c r="EK23982"/>
    </row>
    <row r="23983" spans="1:141" s="116" customFormat="1">
      <c r="A23983" s="136"/>
      <c r="CM23983" s="111"/>
      <c r="CQ23983" s="111"/>
      <c r="EF23983"/>
      <c r="EG23983"/>
      <c r="EH23983"/>
      <c r="EI23983"/>
      <c r="EJ23983"/>
      <c r="EK23983"/>
    </row>
    <row r="23984" spans="1:141" s="116" customFormat="1">
      <c r="A23984" s="136"/>
      <c r="CM23984" s="111"/>
      <c r="CQ23984" s="111"/>
      <c r="EF23984"/>
      <c r="EG23984"/>
      <c r="EH23984"/>
      <c r="EI23984"/>
      <c r="EJ23984"/>
      <c r="EK23984"/>
    </row>
    <row r="23985" spans="1:141" s="116" customFormat="1">
      <c r="A23985" s="136"/>
      <c r="CM23985" s="111"/>
      <c r="CQ23985" s="111"/>
      <c r="EF23985"/>
      <c r="EG23985"/>
      <c r="EH23985"/>
      <c r="EI23985"/>
      <c r="EJ23985"/>
      <c r="EK23985"/>
    </row>
    <row r="23986" spans="1:141" s="116" customFormat="1">
      <c r="A23986" s="136"/>
      <c r="CM23986" s="111"/>
      <c r="CQ23986" s="111"/>
      <c r="EF23986"/>
      <c r="EG23986"/>
      <c r="EH23986"/>
      <c r="EI23986"/>
      <c r="EJ23986"/>
      <c r="EK23986"/>
    </row>
    <row r="23987" spans="1:141" s="116" customFormat="1">
      <c r="A23987" s="136"/>
      <c r="CM23987" s="111"/>
      <c r="CQ23987" s="111"/>
      <c r="EF23987"/>
      <c r="EG23987"/>
      <c r="EH23987"/>
      <c r="EI23987"/>
      <c r="EJ23987"/>
      <c r="EK23987"/>
    </row>
    <row r="23988" spans="1:141" s="116" customFormat="1">
      <c r="A23988" s="136"/>
      <c r="CM23988" s="111"/>
      <c r="CQ23988" s="111"/>
      <c r="EF23988"/>
      <c r="EG23988"/>
      <c r="EH23988"/>
      <c r="EI23988"/>
      <c r="EJ23988"/>
      <c r="EK23988"/>
    </row>
    <row r="23989" spans="1:141" s="116" customFormat="1">
      <c r="A23989" s="136"/>
      <c r="CM23989" s="111"/>
      <c r="CQ23989" s="111"/>
      <c r="EF23989"/>
      <c r="EG23989"/>
      <c r="EH23989"/>
      <c r="EI23989"/>
      <c r="EJ23989"/>
      <c r="EK23989"/>
    </row>
    <row r="23990" spans="1:141" s="116" customFormat="1">
      <c r="A23990" s="136"/>
      <c r="CM23990" s="111"/>
      <c r="CQ23990" s="111"/>
      <c r="EF23990"/>
      <c r="EG23990"/>
      <c r="EH23990"/>
      <c r="EI23990"/>
      <c r="EJ23990"/>
      <c r="EK23990"/>
    </row>
    <row r="23991" spans="1:141" s="116" customFormat="1">
      <c r="A23991" s="136"/>
      <c r="CM23991" s="111"/>
      <c r="CQ23991" s="111"/>
      <c r="EF23991"/>
      <c r="EG23991"/>
      <c r="EH23991"/>
      <c r="EI23991"/>
      <c r="EJ23991"/>
      <c r="EK23991"/>
    </row>
    <row r="23992" spans="1:141" s="116" customFormat="1">
      <c r="A23992" s="136"/>
      <c r="CM23992" s="111"/>
      <c r="CQ23992" s="111"/>
      <c r="EF23992"/>
      <c r="EG23992"/>
      <c r="EH23992"/>
      <c r="EI23992"/>
      <c r="EJ23992"/>
      <c r="EK23992"/>
    </row>
    <row r="23993" spans="1:141" s="116" customFormat="1">
      <c r="A23993" s="136"/>
      <c r="CM23993" s="111"/>
      <c r="CQ23993" s="111"/>
      <c r="EF23993"/>
      <c r="EG23993"/>
      <c r="EH23993"/>
      <c r="EI23993"/>
      <c r="EJ23993"/>
      <c r="EK23993"/>
    </row>
    <row r="23994" spans="1:141" s="116" customFormat="1">
      <c r="A23994" s="136"/>
      <c r="CM23994" s="111"/>
      <c r="CQ23994" s="111"/>
      <c r="EF23994"/>
      <c r="EG23994"/>
      <c r="EH23994"/>
      <c r="EI23994"/>
      <c r="EJ23994"/>
      <c r="EK23994"/>
    </row>
    <row r="23995" spans="1:141" s="116" customFormat="1">
      <c r="A23995" s="136"/>
      <c r="CM23995" s="111"/>
      <c r="CQ23995" s="111"/>
      <c r="EF23995"/>
      <c r="EG23995"/>
      <c r="EH23995"/>
      <c r="EI23995"/>
      <c r="EJ23995"/>
      <c r="EK23995"/>
    </row>
    <row r="23996" spans="1:141" s="116" customFormat="1">
      <c r="A23996" s="136"/>
      <c r="CM23996" s="111"/>
      <c r="CQ23996" s="111"/>
      <c r="EF23996"/>
      <c r="EG23996"/>
      <c r="EH23996"/>
      <c r="EI23996"/>
      <c r="EJ23996"/>
      <c r="EK23996"/>
    </row>
    <row r="23997" spans="1:141" s="116" customFormat="1">
      <c r="A23997" s="136"/>
      <c r="CM23997" s="111"/>
      <c r="CQ23997" s="111"/>
      <c r="EF23997"/>
      <c r="EG23997"/>
      <c r="EH23997"/>
      <c r="EI23997"/>
      <c r="EJ23997"/>
      <c r="EK23997"/>
    </row>
    <row r="23998" spans="1:141" s="116" customFormat="1">
      <c r="A23998" s="136"/>
      <c r="CM23998" s="111"/>
      <c r="CQ23998" s="111"/>
      <c r="EF23998"/>
      <c r="EG23998"/>
      <c r="EH23998"/>
      <c r="EI23998"/>
      <c r="EJ23998"/>
      <c r="EK23998"/>
    </row>
    <row r="23999" spans="1:141" s="116" customFormat="1">
      <c r="A23999" s="136"/>
      <c r="CM23999" s="111"/>
      <c r="CQ23999" s="111"/>
      <c r="EF23999"/>
      <c r="EG23999"/>
      <c r="EH23999"/>
      <c r="EI23999"/>
      <c r="EJ23999"/>
      <c r="EK23999"/>
    </row>
    <row r="24000" spans="1:141" s="116" customFormat="1">
      <c r="A24000" s="136"/>
      <c r="CM24000" s="111"/>
      <c r="CQ24000" s="111"/>
      <c r="EF24000"/>
      <c r="EG24000"/>
      <c r="EH24000"/>
      <c r="EI24000"/>
      <c r="EJ24000"/>
      <c r="EK24000"/>
    </row>
    <row r="24001" spans="1:141" s="116" customFormat="1">
      <c r="A24001" s="136"/>
      <c r="CM24001" s="111"/>
      <c r="CQ24001" s="111"/>
      <c r="EF24001"/>
      <c r="EG24001"/>
      <c r="EH24001"/>
      <c r="EI24001"/>
      <c r="EJ24001"/>
      <c r="EK24001"/>
    </row>
    <row r="24002" spans="1:141" s="116" customFormat="1">
      <c r="A24002" s="136"/>
      <c r="CM24002" s="111"/>
      <c r="CQ24002" s="111"/>
      <c r="EF24002"/>
      <c r="EG24002"/>
      <c r="EH24002"/>
      <c r="EI24002"/>
      <c r="EJ24002"/>
      <c r="EK24002"/>
    </row>
    <row r="24003" spans="1:141" s="116" customFormat="1">
      <c r="A24003" s="136"/>
      <c r="CM24003" s="111"/>
      <c r="CQ24003" s="111"/>
      <c r="EF24003"/>
      <c r="EG24003"/>
      <c r="EH24003"/>
      <c r="EI24003"/>
      <c r="EJ24003"/>
      <c r="EK24003"/>
    </row>
    <row r="24004" spans="1:141" s="116" customFormat="1">
      <c r="A24004" s="136"/>
      <c r="CM24004" s="111"/>
      <c r="CQ24004" s="111"/>
      <c r="EF24004"/>
      <c r="EG24004"/>
      <c r="EH24004"/>
      <c r="EI24004"/>
      <c r="EJ24004"/>
      <c r="EK24004"/>
    </row>
    <row r="24005" spans="1:141" s="116" customFormat="1">
      <c r="A24005" s="136"/>
      <c r="CM24005" s="111"/>
      <c r="CQ24005" s="111"/>
      <c r="EF24005"/>
      <c r="EG24005"/>
      <c r="EH24005"/>
      <c r="EI24005"/>
      <c r="EJ24005"/>
      <c r="EK24005"/>
    </row>
    <row r="24006" spans="1:141" s="116" customFormat="1">
      <c r="A24006" s="136"/>
      <c r="CM24006" s="111"/>
      <c r="CQ24006" s="111"/>
      <c r="EF24006"/>
      <c r="EG24006"/>
      <c r="EH24006"/>
      <c r="EI24006"/>
      <c r="EJ24006"/>
      <c r="EK24006"/>
    </row>
    <row r="24007" spans="1:141" s="116" customFormat="1">
      <c r="A24007" s="136"/>
      <c r="CM24007" s="111"/>
      <c r="CQ24007" s="111"/>
      <c r="EF24007"/>
      <c r="EG24007"/>
      <c r="EH24007"/>
      <c r="EI24007"/>
      <c r="EJ24007"/>
      <c r="EK24007"/>
    </row>
    <row r="24008" spans="1:141" s="116" customFormat="1">
      <c r="A24008" s="136"/>
      <c r="CM24008" s="111"/>
      <c r="CQ24008" s="111"/>
      <c r="EF24008"/>
      <c r="EG24008"/>
      <c r="EH24008"/>
      <c r="EI24008"/>
      <c r="EJ24008"/>
      <c r="EK24008"/>
    </row>
    <row r="24009" spans="1:141" s="116" customFormat="1">
      <c r="A24009" s="136"/>
      <c r="CM24009" s="111"/>
      <c r="CQ24009" s="111"/>
      <c r="EF24009"/>
      <c r="EG24009"/>
      <c r="EH24009"/>
      <c r="EI24009"/>
      <c r="EJ24009"/>
      <c r="EK24009"/>
    </row>
    <row r="24010" spans="1:141" s="116" customFormat="1">
      <c r="A24010" s="136"/>
      <c r="CM24010" s="111"/>
      <c r="CQ24010" s="111"/>
      <c r="EF24010"/>
      <c r="EG24010"/>
      <c r="EH24010"/>
      <c r="EI24010"/>
      <c r="EJ24010"/>
      <c r="EK24010"/>
    </row>
    <row r="24011" spans="1:141" s="116" customFormat="1">
      <c r="A24011" s="136"/>
      <c r="CM24011" s="111"/>
      <c r="CQ24011" s="111"/>
      <c r="EF24011"/>
      <c r="EG24011"/>
      <c r="EH24011"/>
      <c r="EI24011"/>
      <c r="EJ24011"/>
      <c r="EK24011"/>
    </row>
    <row r="24012" spans="1:141" s="116" customFormat="1">
      <c r="A24012" s="136"/>
      <c r="CM24012" s="111"/>
      <c r="CQ24012" s="111"/>
      <c r="EF24012"/>
      <c r="EG24012"/>
      <c r="EH24012"/>
      <c r="EI24012"/>
      <c r="EJ24012"/>
      <c r="EK24012"/>
    </row>
    <row r="24013" spans="1:141" s="116" customFormat="1">
      <c r="A24013" s="136"/>
      <c r="CM24013" s="111"/>
      <c r="CQ24013" s="111"/>
      <c r="EF24013"/>
      <c r="EG24013"/>
      <c r="EH24013"/>
      <c r="EI24013"/>
      <c r="EJ24013"/>
      <c r="EK24013"/>
    </row>
    <row r="24014" spans="1:141" s="116" customFormat="1">
      <c r="A24014" s="136"/>
      <c r="CM24014" s="111"/>
      <c r="CQ24014" s="111"/>
      <c r="EF24014"/>
      <c r="EG24014"/>
      <c r="EH24014"/>
      <c r="EI24014"/>
      <c r="EJ24014"/>
      <c r="EK24014"/>
    </row>
    <row r="24015" spans="1:141" s="116" customFormat="1">
      <c r="A24015" s="136"/>
      <c r="CM24015" s="111"/>
      <c r="CQ24015" s="111"/>
      <c r="EF24015"/>
      <c r="EG24015"/>
      <c r="EH24015"/>
      <c r="EI24015"/>
      <c r="EJ24015"/>
      <c r="EK24015"/>
    </row>
    <row r="24016" spans="1:141" s="116" customFormat="1">
      <c r="A24016" s="136"/>
      <c r="CM24016" s="111"/>
      <c r="CQ24016" s="111"/>
      <c r="EF24016"/>
      <c r="EG24016"/>
      <c r="EH24016"/>
      <c r="EI24016"/>
      <c r="EJ24016"/>
      <c r="EK24016"/>
    </row>
    <row r="24017" spans="1:141" s="116" customFormat="1">
      <c r="A24017" s="136"/>
      <c r="CM24017" s="111"/>
      <c r="CQ24017" s="111"/>
      <c r="EF24017"/>
      <c r="EG24017"/>
      <c r="EH24017"/>
      <c r="EI24017"/>
      <c r="EJ24017"/>
      <c r="EK24017"/>
    </row>
    <row r="24018" spans="1:141" s="116" customFormat="1">
      <c r="A24018" s="136"/>
      <c r="CM24018" s="111"/>
      <c r="CQ24018" s="111"/>
      <c r="EF24018"/>
      <c r="EG24018"/>
      <c r="EH24018"/>
      <c r="EI24018"/>
      <c r="EJ24018"/>
      <c r="EK24018"/>
    </row>
    <row r="24019" spans="1:141" s="116" customFormat="1">
      <c r="A24019" s="136"/>
      <c r="CM24019" s="111"/>
      <c r="CQ24019" s="111"/>
      <c r="EF24019"/>
      <c r="EG24019"/>
      <c r="EH24019"/>
      <c r="EI24019"/>
      <c r="EJ24019"/>
      <c r="EK24019"/>
    </row>
    <row r="24020" spans="1:141" s="116" customFormat="1">
      <c r="A24020" s="136"/>
      <c r="CM24020" s="111"/>
      <c r="CQ24020" s="111"/>
      <c r="EF24020"/>
      <c r="EG24020"/>
      <c r="EH24020"/>
      <c r="EI24020"/>
      <c r="EJ24020"/>
      <c r="EK24020"/>
    </row>
    <row r="24021" spans="1:141" s="116" customFormat="1">
      <c r="A24021" s="136"/>
      <c r="CM24021" s="111"/>
      <c r="CQ24021" s="111"/>
      <c r="EF24021"/>
      <c r="EG24021"/>
      <c r="EH24021"/>
      <c r="EI24021"/>
      <c r="EJ24021"/>
      <c r="EK24021"/>
    </row>
    <row r="24022" spans="1:141" s="116" customFormat="1">
      <c r="A24022" s="136"/>
      <c r="CM24022" s="111"/>
      <c r="CQ24022" s="111"/>
      <c r="EF24022"/>
      <c r="EG24022"/>
      <c r="EH24022"/>
      <c r="EI24022"/>
      <c r="EJ24022"/>
      <c r="EK24022"/>
    </row>
    <row r="24023" spans="1:141" s="116" customFormat="1">
      <c r="A24023" s="136"/>
      <c r="CM24023" s="111"/>
      <c r="CQ24023" s="111"/>
      <c r="EF24023"/>
      <c r="EG24023"/>
      <c r="EH24023"/>
      <c r="EI24023"/>
      <c r="EJ24023"/>
      <c r="EK24023"/>
    </row>
    <row r="24024" spans="1:141" s="116" customFormat="1">
      <c r="A24024" s="136"/>
      <c r="CM24024" s="111"/>
      <c r="CQ24024" s="111"/>
      <c r="EF24024"/>
      <c r="EG24024"/>
      <c r="EH24024"/>
      <c r="EI24024"/>
      <c r="EJ24024"/>
      <c r="EK24024"/>
    </row>
    <row r="24025" spans="1:141" s="116" customFormat="1">
      <c r="A24025" s="136"/>
      <c r="CM24025" s="111"/>
      <c r="CQ24025" s="111"/>
      <c r="EF24025"/>
      <c r="EG24025"/>
      <c r="EH24025"/>
      <c r="EI24025"/>
      <c r="EJ24025"/>
      <c r="EK24025"/>
    </row>
    <row r="24026" spans="1:141" s="116" customFormat="1">
      <c r="A24026" s="136"/>
      <c r="CM24026" s="111"/>
      <c r="CQ24026" s="111"/>
      <c r="EF24026"/>
      <c r="EG24026"/>
      <c r="EH24026"/>
      <c r="EI24026"/>
      <c r="EJ24026"/>
      <c r="EK24026"/>
    </row>
    <row r="24027" spans="1:141" s="116" customFormat="1">
      <c r="A24027" s="136"/>
      <c r="CM24027" s="111"/>
      <c r="CQ24027" s="111"/>
      <c r="EF24027"/>
      <c r="EG24027"/>
      <c r="EH24027"/>
      <c r="EI24027"/>
      <c r="EJ24027"/>
      <c r="EK24027"/>
    </row>
    <row r="24028" spans="1:141" s="116" customFormat="1">
      <c r="A24028" s="136"/>
      <c r="CM24028" s="111"/>
      <c r="CQ24028" s="111"/>
      <c r="EF24028"/>
      <c r="EG24028"/>
      <c r="EH24028"/>
      <c r="EI24028"/>
      <c r="EJ24028"/>
      <c r="EK24028"/>
    </row>
    <row r="24029" spans="1:141" s="116" customFormat="1">
      <c r="A24029" s="136"/>
      <c r="CM24029" s="111"/>
      <c r="CQ24029" s="111"/>
      <c r="EF24029"/>
      <c r="EG24029"/>
      <c r="EH24029"/>
      <c r="EI24029"/>
      <c r="EJ24029"/>
      <c r="EK24029"/>
    </row>
    <row r="24030" spans="1:141" s="116" customFormat="1">
      <c r="A24030" s="136"/>
      <c r="CM24030" s="111"/>
      <c r="CQ24030" s="111"/>
      <c r="EF24030"/>
      <c r="EG24030"/>
      <c r="EH24030"/>
      <c r="EI24030"/>
      <c r="EJ24030"/>
      <c r="EK24030"/>
    </row>
    <row r="24031" spans="1:141" s="116" customFormat="1">
      <c r="A24031" s="136"/>
      <c r="CM24031" s="111"/>
      <c r="CQ24031" s="111"/>
      <c r="EF24031"/>
      <c r="EG24031"/>
      <c r="EH24031"/>
      <c r="EI24031"/>
      <c r="EJ24031"/>
      <c r="EK24031"/>
    </row>
    <row r="24032" spans="1:141" s="116" customFormat="1">
      <c r="A24032" s="136"/>
      <c r="CM24032" s="111"/>
      <c r="CQ24032" s="111"/>
      <c r="EF24032"/>
      <c r="EG24032"/>
      <c r="EH24032"/>
      <c r="EI24032"/>
      <c r="EJ24032"/>
      <c r="EK24032"/>
    </row>
    <row r="24033" spans="1:141" s="116" customFormat="1">
      <c r="A24033" s="136"/>
      <c r="CM24033" s="111"/>
      <c r="CQ24033" s="111"/>
      <c r="EF24033"/>
      <c r="EG24033"/>
      <c r="EH24033"/>
      <c r="EI24033"/>
      <c r="EJ24033"/>
      <c r="EK24033"/>
    </row>
    <row r="24034" spans="1:141" s="116" customFormat="1">
      <c r="A24034" s="136"/>
      <c r="CM24034" s="111"/>
      <c r="CQ24034" s="111"/>
      <c r="EF24034"/>
      <c r="EG24034"/>
      <c r="EH24034"/>
      <c r="EI24034"/>
      <c r="EJ24034"/>
      <c r="EK24034"/>
    </row>
    <row r="24035" spans="1:141" s="116" customFormat="1">
      <c r="A24035" s="136"/>
      <c r="CM24035" s="111"/>
      <c r="CQ24035" s="111"/>
      <c r="EF24035"/>
      <c r="EG24035"/>
      <c r="EH24035"/>
      <c r="EI24035"/>
      <c r="EJ24035"/>
      <c r="EK24035"/>
    </row>
    <row r="24036" spans="1:141" s="116" customFormat="1">
      <c r="A24036" s="136"/>
      <c r="CM24036" s="111"/>
      <c r="CQ24036" s="111"/>
      <c r="EF24036"/>
      <c r="EG24036"/>
      <c r="EH24036"/>
      <c r="EI24036"/>
      <c r="EJ24036"/>
      <c r="EK24036"/>
    </row>
    <row r="24037" spans="1:141" s="116" customFormat="1">
      <c r="A24037" s="136"/>
      <c r="CM24037" s="111"/>
      <c r="CQ24037" s="111"/>
      <c r="EF24037"/>
      <c r="EG24037"/>
      <c r="EH24037"/>
      <c r="EI24037"/>
      <c r="EJ24037"/>
      <c r="EK24037"/>
    </row>
    <row r="24038" spans="1:141" s="116" customFormat="1">
      <c r="A24038" s="136"/>
      <c r="CM24038" s="111"/>
      <c r="CQ24038" s="111"/>
      <c r="EF24038"/>
      <c r="EG24038"/>
      <c r="EH24038"/>
      <c r="EI24038"/>
      <c r="EJ24038"/>
      <c r="EK24038"/>
    </row>
    <row r="24039" spans="1:141" s="116" customFormat="1">
      <c r="A24039" s="136"/>
      <c r="CM24039" s="111"/>
      <c r="CQ24039" s="111"/>
      <c r="EF24039"/>
      <c r="EG24039"/>
      <c r="EH24039"/>
      <c r="EI24039"/>
      <c r="EJ24039"/>
      <c r="EK24039"/>
    </row>
    <row r="24040" spans="1:141" s="116" customFormat="1">
      <c r="A24040" s="136"/>
      <c r="CM24040" s="111"/>
      <c r="CQ24040" s="111"/>
      <c r="EF24040"/>
      <c r="EG24040"/>
      <c r="EH24040"/>
      <c r="EI24040"/>
      <c r="EJ24040"/>
      <c r="EK24040"/>
    </row>
    <row r="24041" spans="1:141" s="116" customFormat="1">
      <c r="A24041" s="136"/>
      <c r="CM24041" s="111"/>
      <c r="CQ24041" s="111"/>
      <c r="EF24041"/>
      <c r="EG24041"/>
      <c r="EH24041"/>
      <c r="EI24041"/>
      <c r="EJ24041"/>
      <c r="EK24041"/>
    </row>
    <row r="24042" spans="1:141" s="116" customFormat="1">
      <c r="A24042" s="136"/>
      <c r="CM24042" s="111"/>
      <c r="CQ24042" s="111"/>
      <c r="EF24042"/>
      <c r="EG24042"/>
      <c r="EH24042"/>
      <c r="EI24042"/>
      <c r="EJ24042"/>
      <c r="EK24042"/>
    </row>
    <row r="24043" spans="1:141" s="116" customFormat="1">
      <c r="A24043" s="136"/>
      <c r="CM24043" s="111"/>
      <c r="CQ24043" s="111"/>
      <c r="EF24043"/>
      <c r="EG24043"/>
      <c r="EH24043"/>
      <c r="EI24043"/>
      <c r="EJ24043"/>
      <c r="EK24043"/>
    </row>
    <row r="24044" spans="1:141" s="116" customFormat="1">
      <c r="A24044" s="136"/>
      <c r="CM24044" s="111"/>
      <c r="CQ24044" s="111"/>
      <c r="EF24044"/>
      <c r="EG24044"/>
      <c r="EH24044"/>
      <c r="EI24044"/>
      <c r="EJ24044"/>
      <c r="EK24044"/>
    </row>
    <row r="24045" spans="1:141" s="116" customFormat="1">
      <c r="A24045" s="136"/>
      <c r="CM24045" s="111"/>
      <c r="CQ24045" s="111"/>
      <c r="EF24045"/>
      <c r="EG24045"/>
      <c r="EH24045"/>
      <c r="EI24045"/>
      <c r="EJ24045"/>
      <c r="EK24045"/>
    </row>
    <row r="24046" spans="1:141" s="116" customFormat="1">
      <c r="A24046" s="136"/>
      <c r="CM24046" s="111"/>
      <c r="CQ24046" s="111"/>
      <c r="EF24046"/>
      <c r="EG24046"/>
      <c r="EH24046"/>
      <c r="EI24046"/>
      <c r="EJ24046"/>
      <c r="EK24046"/>
    </row>
    <row r="24047" spans="1:141" s="116" customFormat="1">
      <c r="A24047" s="136"/>
      <c r="CM24047" s="111"/>
      <c r="CQ24047" s="111"/>
      <c r="EF24047"/>
      <c r="EG24047"/>
      <c r="EH24047"/>
      <c r="EI24047"/>
      <c r="EJ24047"/>
      <c r="EK24047"/>
    </row>
    <row r="24048" spans="1:141" s="116" customFormat="1">
      <c r="A24048" s="136"/>
      <c r="CM24048" s="111"/>
      <c r="CQ24048" s="111"/>
      <c r="EF24048"/>
      <c r="EG24048"/>
      <c r="EH24048"/>
      <c r="EI24048"/>
      <c r="EJ24048"/>
      <c r="EK24048"/>
    </row>
    <row r="24049" spans="1:141" s="116" customFormat="1">
      <c r="A24049" s="136"/>
      <c r="CM24049" s="111"/>
      <c r="CQ24049" s="111"/>
      <c r="EF24049"/>
      <c r="EG24049"/>
      <c r="EH24049"/>
      <c r="EI24049"/>
      <c r="EJ24049"/>
      <c r="EK24049"/>
    </row>
    <row r="24050" spans="1:141" s="116" customFormat="1">
      <c r="A24050" s="136"/>
      <c r="CM24050" s="111"/>
      <c r="CQ24050" s="111"/>
      <c r="EF24050"/>
      <c r="EG24050"/>
      <c r="EH24050"/>
      <c r="EI24050"/>
      <c r="EJ24050"/>
      <c r="EK24050"/>
    </row>
    <row r="24051" spans="1:141" s="116" customFormat="1">
      <c r="A24051" s="136"/>
      <c r="CM24051" s="111"/>
      <c r="CQ24051" s="111"/>
      <c r="EF24051"/>
      <c r="EG24051"/>
      <c r="EH24051"/>
      <c r="EI24051"/>
      <c r="EJ24051"/>
      <c r="EK24051"/>
    </row>
    <row r="24052" spans="1:141" s="116" customFormat="1">
      <c r="A24052" s="136"/>
      <c r="CM24052" s="111"/>
      <c r="CQ24052" s="111"/>
      <c r="EF24052"/>
      <c r="EG24052"/>
      <c r="EH24052"/>
      <c r="EI24052"/>
      <c r="EJ24052"/>
      <c r="EK24052"/>
    </row>
    <row r="24053" spans="1:141" s="116" customFormat="1">
      <c r="A24053" s="136"/>
      <c r="CM24053" s="111"/>
      <c r="CQ24053" s="111"/>
      <c r="EF24053"/>
      <c r="EG24053"/>
      <c r="EH24053"/>
      <c r="EI24053"/>
      <c r="EJ24053"/>
      <c r="EK24053"/>
    </row>
    <row r="24054" spans="1:141" s="116" customFormat="1">
      <c r="A24054" s="136"/>
      <c r="CM24054" s="111"/>
      <c r="CQ24054" s="111"/>
      <c r="EF24054"/>
      <c r="EG24054"/>
      <c r="EH24054"/>
      <c r="EI24054"/>
      <c r="EJ24054"/>
      <c r="EK24054"/>
    </row>
    <row r="24055" spans="1:141" s="116" customFormat="1">
      <c r="A24055" s="136"/>
      <c r="CM24055" s="111"/>
      <c r="CQ24055" s="111"/>
      <c r="EF24055"/>
      <c r="EG24055"/>
      <c r="EH24055"/>
      <c r="EI24055"/>
      <c r="EJ24055"/>
      <c r="EK24055"/>
    </row>
    <row r="24056" spans="1:141" s="116" customFormat="1">
      <c r="A24056" s="136"/>
      <c r="CM24056" s="111"/>
      <c r="CQ24056" s="111"/>
      <c r="EF24056"/>
      <c r="EG24056"/>
      <c r="EH24056"/>
      <c r="EI24056"/>
      <c r="EJ24056"/>
      <c r="EK24056"/>
    </row>
    <row r="24057" spans="1:141" s="116" customFormat="1">
      <c r="A24057" s="136"/>
      <c r="CM24057" s="111"/>
      <c r="CQ24057" s="111"/>
      <c r="EF24057"/>
      <c r="EG24057"/>
      <c r="EH24057"/>
      <c r="EI24057"/>
      <c r="EJ24057"/>
      <c r="EK24057"/>
    </row>
    <row r="24058" spans="1:141" s="116" customFormat="1">
      <c r="A24058" s="136"/>
      <c r="CM24058" s="111"/>
      <c r="CQ24058" s="111"/>
      <c r="EF24058"/>
      <c r="EG24058"/>
      <c r="EH24058"/>
      <c r="EI24058"/>
      <c r="EJ24058"/>
      <c r="EK24058"/>
    </row>
    <row r="24059" spans="1:141" s="116" customFormat="1">
      <c r="A24059" s="136"/>
      <c r="CM24059" s="111"/>
      <c r="CQ24059" s="111"/>
      <c r="EF24059"/>
      <c r="EG24059"/>
      <c r="EH24059"/>
      <c r="EI24059"/>
      <c r="EJ24059"/>
      <c r="EK24059"/>
    </row>
    <row r="24060" spans="1:141" s="116" customFormat="1">
      <c r="A24060" s="136"/>
      <c r="CM24060" s="111"/>
      <c r="CQ24060" s="111"/>
      <c r="EF24060"/>
      <c r="EG24060"/>
      <c r="EH24060"/>
      <c r="EI24060"/>
      <c r="EJ24060"/>
      <c r="EK24060"/>
    </row>
    <row r="24061" spans="1:141" s="116" customFormat="1">
      <c r="A24061" s="136"/>
      <c r="CM24061" s="111"/>
      <c r="CQ24061" s="111"/>
      <c r="EF24061"/>
      <c r="EG24061"/>
      <c r="EH24061"/>
      <c r="EI24061"/>
      <c r="EJ24061"/>
      <c r="EK24061"/>
    </row>
    <row r="24062" spans="1:141" s="116" customFormat="1">
      <c r="A24062" s="136"/>
      <c r="CM24062" s="111"/>
      <c r="CQ24062" s="111"/>
      <c r="EF24062"/>
      <c r="EG24062"/>
      <c r="EH24062"/>
      <c r="EI24062"/>
      <c r="EJ24062"/>
      <c r="EK24062"/>
    </row>
    <row r="24063" spans="1:141" s="116" customFormat="1">
      <c r="A24063" s="136"/>
      <c r="CM24063" s="111"/>
      <c r="CQ24063" s="111"/>
      <c r="EF24063"/>
      <c r="EG24063"/>
      <c r="EH24063"/>
      <c r="EI24063"/>
      <c r="EJ24063"/>
      <c r="EK24063"/>
    </row>
    <row r="24064" spans="1:141" s="116" customFormat="1">
      <c r="A24064" s="136"/>
      <c r="CM24064" s="111"/>
      <c r="CQ24064" s="111"/>
      <c r="EF24064"/>
      <c r="EG24064"/>
      <c r="EH24064"/>
      <c r="EI24064"/>
      <c r="EJ24064"/>
      <c r="EK24064"/>
    </row>
    <row r="24065" spans="1:141" s="116" customFormat="1">
      <c r="A24065" s="136"/>
      <c r="CM24065" s="111"/>
      <c r="CQ24065" s="111"/>
      <c r="EF24065"/>
      <c r="EG24065"/>
      <c r="EH24065"/>
      <c r="EI24065"/>
      <c r="EJ24065"/>
      <c r="EK24065"/>
    </row>
    <row r="24066" spans="1:141" s="116" customFormat="1">
      <c r="A24066" s="136"/>
      <c r="CM24066" s="111"/>
      <c r="CQ24066" s="111"/>
      <c r="EF24066"/>
      <c r="EG24066"/>
      <c r="EH24066"/>
      <c r="EI24066"/>
      <c r="EJ24066"/>
      <c r="EK24066"/>
    </row>
    <row r="24067" spans="1:141" s="116" customFormat="1">
      <c r="A24067" s="136"/>
      <c r="CM24067" s="111"/>
      <c r="CQ24067" s="111"/>
      <c r="EF24067"/>
      <c r="EG24067"/>
      <c r="EH24067"/>
      <c r="EI24067"/>
      <c r="EJ24067"/>
      <c r="EK24067"/>
    </row>
    <row r="24068" spans="1:141" s="116" customFormat="1">
      <c r="A24068" s="136"/>
      <c r="CM24068" s="111"/>
      <c r="CQ24068" s="111"/>
      <c r="EF24068"/>
      <c r="EG24068"/>
      <c r="EH24068"/>
      <c r="EI24068"/>
      <c r="EJ24068"/>
      <c r="EK24068"/>
    </row>
    <row r="24069" spans="1:141" s="116" customFormat="1">
      <c r="A24069" s="136"/>
      <c r="CM24069" s="111"/>
      <c r="CQ24069" s="111"/>
      <c r="EF24069"/>
      <c r="EG24069"/>
      <c r="EH24069"/>
      <c r="EI24069"/>
      <c r="EJ24069"/>
      <c r="EK24069"/>
    </row>
    <row r="24070" spans="1:141" s="116" customFormat="1">
      <c r="A24070" s="136"/>
      <c r="CM24070" s="111"/>
      <c r="CQ24070" s="111"/>
      <c r="EF24070"/>
      <c r="EG24070"/>
      <c r="EH24070"/>
      <c r="EI24070"/>
      <c r="EJ24070"/>
      <c r="EK24070"/>
    </row>
    <row r="24071" spans="1:141" s="116" customFormat="1">
      <c r="A24071" s="136"/>
      <c r="CM24071" s="111"/>
      <c r="CQ24071" s="111"/>
      <c r="EF24071"/>
      <c r="EG24071"/>
      <c r="EH24071"/>
      <c r="EI24071"/>
      <c r="EJ24071"/>
      <c r="EK24071"/>
    </row>
    <row r="24072" spans="1:141" s="116" customFormat="1">
      <c r="A24072" s="136"/>
      <c r="CM24072" s="111"/>
      <c r="CQ24072" s="111"/>
      <c r="EF24072"/>
      <c r="EG24072"/>
      <c r="EH24072"/>
      <c r="EI24072"/>
      <c r="EJ24072"/>
      <c r="EK24072"/>
    </row>
    <row r="24073" spans="1:141" s="116" customFormat="1">
      <c r="A24073" s="136"/>
      <c r="CM24073" s="111"/>
      <c r="CQ24073" s="111"/>
      <c r="EF24073"/>
      <c r="EG24073"/>
      <c r="EH24073"/>
      <c r="EI24073"/>
      <c r="EJ24073"/>
      <c r="EK24073"/>
    </row>
    <row r="24074" spans="1:141" s="116" customFormat="1">
      <c r="A24074" s="136"/>
      <c r="CM24074" s="111"/>
      <c r="CQ24074" s="111"/>
      <c r="EF24074"/>
      <c r="EG24074"/>
      <c r="EH24074"/>
      <c r="EI24074"/>
      <c r="EJ24074"/>
      <c r="EK24074"/>
    </row>
    <row r="24075" spans="1:141" s="116" customFormat="1">
      <c r="A24075" s="136"/>
      <c r="CM24075" s="111"/>
      <c r="CQ24075" s="111"/>
      <c r="EF24075"/>
      <c r="EG24075"/>
      <c r="EH24075"/>
      <c r="EI24075"/>
      <c r="EJ24075"/>
      <c r="EK24075"/>
    </row>
    <row r="24076" spans="1:141" s="116" customFormat="1">
      <c r="A24076" s="136"/>
      <c r="CM24076" s="111"/>
      <c r="CQ24076" s="111"/>
      <c r="EF24076"/>
      <c r="EG24076"/>
      <c r="EH24076"/>
      <c r="EI24076"/>
      <c r="EJ24076"/>
      <c r="EK24076"/>
    </row>
    <row r="24077" spans="1:141" s="116" customFormat="1">
      <c r="A24077" s="136"/>
      <c r="CM24077" s="111"/>
      <c r="CQ24077" s="111"/>
      <c r="EF24077"/>
      <c r="EG24077"/>
      <c r="EH24077"/>
      <c r="EI24077"/>
      <c r="EJ24077"/>
      <c r="EK24077"/>
    </row>
    <row r="24078" spans="1:141" s="116" customFormat="1">
      <c r="A24078" s="136"/>
      <c r="CM24078" s="111"/>
      <c r="CQ24078" s="111"/>
      <c r="EF24078"/>
      <c r="EG24078"/>
      <c r="EH24078"/>
      <c r="EI24078"/>
      <c r="EJ24078"/>
      <c r="EK24078"/>
    </row>
    <row r="24079" spans="1:141" s="116" customFormat="1">
      <c r="A24079" s="136"/>
      <c r="CM24079" s="111"/>
      <c r="CQ24079" s="111"/>
      <c r="EF24079"/>
      <c r="EG24079"/>
      <c r="EH24079"/>
      <c r="EI24079"/>
      <c r="EJ24079"/>
      <c r="EK24079"/>
    </row>
    <row r="24080" spans="1:141" s="116" customFormat="1">
      <c r="A24080" s="136"/>
      <c r="CM24080" s="111"/>
      <c r="CQ24080" s="111"/>
      <c r="EF24080"/>
      <c r="EG24080"/>
      <c r="EH24080"/>
      <c r="EI24080"/>
      <c r="EJ24080"/>
      <c r="EK24080"/>
    </row>
    <row r="24081" spans="1:141" s="116" customFormat="1">
      <c r="A24081" s="136"/>
      <c r="CM24081" s="111"/>
      <c r="CQ24081" s="111"/>
      <c r="EF24081"/>
      <c r="EG24081"/>
      <c r="EH24081"/>
      <c r="EI24081"/>
      <c r="EJ24081"/>
      <c r="EK24081"/>
    </row>
    <row r="24082" spans="1:141" s="116" customFormat="1">
      <c r="A24082" s="136"/>
      <c r="CM24082" s="111"/>
      <c r="CQ24082" s="111"/>
      <c r="EF24082"/>
      <c r="EG24082"/>
      <c r="EH24082"/>
      <c r="EI24082"/>
      <c r="EJ24082"/>
      <c r="EK24082"/>
    </row>
    <row r="24083" spans="1:141" s="116" customFormat="1">
      <c r="A24083" s="136"/>
      <c r="CM24083" s="111"/>
      <c r="CQ24083" s="111"/>
      <c r="EF24083"/>
      <c r="EG24083"/>
      <c r="EH24083"/>
      <c r="EI24083"/>
      <c r="EJ24083"/>
      <c r="EK24083"/>
    </row>
    <row r="24084" spans="1:141" s="116" customFormat="1">
      <c r="A24084" s="136"/>
      <c r="CM24084" s="111"/>
      <c r="CQ24084" s="111"/>
      <c r="EF24084"/>
      <c r="EG24084"/>
      <c r="EH24084"/>
      <c r="EI24084"/>
      <c r="EJ24084"/>
      <c r="EK24084"/>
    </row>
    <row r="24085" spans="1:141" s="116" customFormat="1">
      <c r="A24085" s="136"/>
      <c r="CM24085" s="111"/>
      <c r="CQ24085" s="111"/>
      <c r="EF24085"/>
      <c r="EG24085"/>
      <c r="EH24085"/>
      <c r="EI24085"/>
      <c r="EJ24085"/>
      <c r="EK24085"/>
    </row>
    <row r="24086" spans="1:141" s="116" customFormat="1">
      <c r="A24086" s="136"/>
      <c r="CM24086" s="111"/>
      <c r="CQ24086" s="111"/>
      <c r="EF24086"/>
      <c r="EG24086"/>
      <c r="EH24086"/>
      <c r="EI24086"/>
      <c r="EJ24086"/>
      <c r="EK24086"/>
    </row>
    <row r="24087" spans="1:141" s="116" customFormat="1">
      <c r="A24087" s="136"/>
      <c r="CM24087" s="111"/>
      <c r="CQ24087" s="111"/>
      <c r="EF24087"/>
      <c r="EG24087"/>
      <c r="EH24087"/>
      <c r="EI24087"/>
      <c r="EJ24087"/>
      <c r="EK24087"/>
    </row>
    <row r="24088" spans="1:141" s="116" customFormat="1">
      <c r="A24088" s="136"/>
      <c r="CM24088" s="111"/>
      <c r="CQ24088" s="111"/>
      <c r="EF24088"/>
      <c r="EG24088"/>
      <c r="EH24088"/>
      <c r="EI24088"/>
      <c r="EJ24088"/>
      <c r="EK24088"/>
    </row>
    <row r="24089" spans="1:141" s="116" customFormat="1">
      <c r="A24089" s="136"/>
      <c r="CM24089" s="111"/>
      <c r="CQ24089" s="111"/>
      <c r="EF24089"/>
      <c r="EG24089"/>
      <c r="EH24089"/>
      <c r="EI24089"/>
      <c r="EJ24089"/>
      <c r="EK24089"/>
    </row>
    <row r="24090" spans="1:141" s="116" customFormat="1">
      <c r="A24090" s="136"/>
      <c r="CM24090" s="111"/>
      <c r="CQ24090" s="111"/>
      <c r="EF24090"/>
      <c r="EG24090"/>
      <c r="EH24090"/>
      <c r="EI24090"/>
      <c r="EJ24090"/>
      <c r="EK24090"/>
    </row>
    <row r="24091" spans="1:141" s="116" customFormat="1">
      <c r="A24091" s="136"/>
      <c r="CM24091" s="111"/>
      <c r="CQ24091" s="111"/>
      <c r="EF24091"/>
      <c r="EG24091"/>
      <c r="EH24091"/>
      <c r="EI24091"/>
      <c r="EJ24091"/>
      <c r="EK24091"/>
    </row>
    <row r="24092" spans="1:141" s="116" customFormat="1">
      <c r="A24092" s="136"/>
      <c r="CM24092" s="111"/>
      <c r="CQ24092" s="111"/>
      <c r="EF24092"/>
      <c r="EG24092"/>
      <c r="EH24092"/>
      <c r="EI24092"/>
      <c r="EJ24092"/>
      <c r="EK24092"/>
    </row>
    <row r="24093" spans="1:141" s="116" customFormat="1">
      <c r="A24093" s="136"/>
      <c r="CM24093" s="111"/>
      <c r="CQ24093" s="111"/>
      <c r="EF24093"/>
      <c r="EG24093"/>
      <c r="EH24093"/>
      <c r="EI24093"/>
      <c r="EJ24093"/>
      <c r="EK24093"/>
    </row>
    <row r="24094" spans="1:141" s="116" customFormat="1">
      <c r="A24094" s="136"/>
      <c r="CM24094" s="111"/>
      <c r="CQ24094" s="111"/>
      <c r="EF24094"/>
      <c r="EG24094"/>
      <c r="EH24094"/>
      <c r="EI24094"/>
      <c r="EJ24094"/>
      <c r="EK24094"/>
    </row>
    <row r="24095" spans="1:141" s="116" customFormat="1">
      <c r="A24095" s="136"/>
      <c r="CM24095" s="111"/>
      <c r="CQ24095" s="111"/>
      <c r="EF24095"/>
      <c r="EG24095"/>
      <c r="EH24095"/>
      <c r="EI24095"/>
      <c r="EJ24095"/>
      <c r="EK24095"/>
    </row>
    <row r="24096" spans="1:141" s="116" customFormat="1">
      <c r="A24096" s="136"/>
      <c r="CM24096" s="111"/>
      <c r="CQ24096" s="111"/>
      <c r="EF24096"/>
      <c r="EG24096"/>
      <c r="EH24096"/>
      <c r="EI24096"/>
      <c r="EJ24096"/>
      <c r="EK24096"/>
    </row>
    <row r="24097" spans="1:141" s="116" customFormat="1">
      <c r="A24097" s="136"/>
      <c r="CM24097" s="111"/>
      <c r="CQ24097" s="111"/>
      <c r="EF24097"/>
      <c r="EG24097"/>
      <c r="EH24097"/>
      <c r="EI24097"/>
      <c r="EJ24097"/>
      <c r="EK24097"/>
    </row>
    <row r="24098" spans="1:141" s="116" customFormat="1">
      <c r="A24098" s="136"/>
      <c r="CM24098" s="111"/>
      <c r="CQ24098" s="111"/>
      <c r="EF24098"/>
      <c r="EG24098"/>
      <c r="EH24098"/>
      <c r="EI24098"/>
      <c r="EJ24098"/>
      <c r="EK24098"/>
    </row>
    <row r="24099" spans="1:141" s="116" customFormat="1">
      <c r="A24099" s="136"/>
      <c r="CM24099" s="111"/>
      <c r="CQ24099" s="111"/>
      <c r="EF24099"/>
      <c r="EG24099"/>
      <c r="EH24099"/>
      <c r="EI24099"/>
      <c r="EJ24099"/>
      <c r="EK24099"/>
    </row>
    <row r="24100" spans="1:141" s="116" customFormat="1">
      <c r="A24100" s="136"/>
      <c r="CM24100" s="111"/>
      <c r="CQ24100" s="111"/>
      <c r="EF24100"/>
      <c r="EG24100"/>
      <c r="EH24100"/>
      <c r="EI24100"/>
      <c r="EJ24100"/>
      <c r="EK24100"/>
    </row>
    <row r="24101" spans="1:141" s="116" customFormat="1">
      <c r="A24101" s="136"/>
      <c r="CM24101" s="111"/>
      <c r="CQ24101" s="111"/>
      <c r="EF24101"/>
      <c r="EG24101"/>
      <c r="EH24101"/>
      <c r="EI24101"/>
      <c r="EJ24101"/>
      <c r="EK24101"/>
    </row>
    <row r="24102" spans="1:141" s="116" customFormat="1">
      <c r="A24102" s="136"/>
      <c r="CM24102" s="111"/>
      <c r="CQ24102" s="111"/>
      <c r="EF24102"/>
      <c r="EG24102"/>
      <c r="EH24102"/>
      <c r="EI24102"/>
      <c r="EJ24102"/>
      <c r="EK24102"/>
    </row>
    <row r="24103" spans="1:141" s="116" customFormat="1">
      <c r="A24103" s="136"/>
      <c r="CM24103" s="111"/>
      <c r="CQ24103" s="111"/>
      <c r="EF24103"/>
      <c r="EG24103"/>
      <c r="EH24103"/>
      <c r="EI24103"/>
      <c r="EJ24103"/>
      <c r="EK24103"/>
    </row>
    <row r="24104" spans="1:141" s="116" customFormat="1">
      <c r="A24104" s="136"/>
      <c r="CM24104" s="111"/>
      <c r="CQ24104" s="111"/>
      <c r="EF24104"/>
      <c r="EG24104"/>
      <c r="EH24104"/>
      <c r="EI24104"/>
      <c r="EJ24104"/>
      <c r="EK24104"/>
    </row>
    <row r="24105" spans="1:141" s="116" customFormat="1">
      <c r="A24105" s="136"/>
      <c r="CM24105" s="111"/>
      <c r="CQ24105" s="111"/>
      <c r="EF24105"/>
      <c r="EG24105"/>
      <c r="EH24105"/>
      <c r="EI24105"/>
      <c r="EJ24105"/>
      <c r="EK24105"/>
    </row>
    <row r="24106" spans="1:141" s="116" customFormat="1">
      <c r="A24106" s="136"/>
      <c r="CM24106" s="111"/>
      <c r="CQ24106" s="111"/>
      <c r="EF24106"/>
      <c r="EG24106"/>
      <c r="EH24106"/>
      <c r="EI24106"/>
      <c r="EJ24106"/>
      <c r="EK24106"/>
    </row>
    <row r="24107" spans="1:141" s="116" customFormat="1">
      <c r="A24107" s="136"/>
      <c r="CM24107" s="111"/>
      <c r="CQ24107" s="111"/>
      <c r="EF24107"/>
      <c r="EG24107"/>
      <c r="EH24107"/>
      <c r="EI24107"/>
      <c r="EJ24107"/>
      <c r="EK24107"/>
    </row>
    <row r="24108" spans="1:141" s="116" customFormat="1">
      <c r="A24108" s="136"/>
      <c r="CM24108" s="111"/>
      <c r="CQ24108" s="111"/>
      <c r="EF24108"/>
      <c r="EG24108"/>
      <c r="EH24108"/>
      <c r="EI24108"/>
      <c r="EJ24108"/>
      <c r="EK24108"/>
    </row>
    <row r="24109" spans="1:141" s="116" customFormat="1">
      <c r="A24109" s="136"/>
      <c r="CM24109" s="111"/>
      <c r="CQ24109" s="111"/>
      <c r="EF24109"/>
      <c r="EG24109"/>
      <c r="EH24109"/>
      <c r="EI24109"/>
      <c r="EJ24109"/>
      <c r="EK24109"/>
    </row>
    <row r="24110" spans="1:141" s="116" customFormat="1">
      <c r="A24110" s="136"/>
      <c r="CM24110" s="111"/>
      <c r="CQ24110" s="111"/>
      <c r="EF24110"/>
      <c r="EG24110"/>
      <c r="EH24110"/>
      <c r="EI24110"/>
      <c r="EJ24110"/>
      <c r="EK24110"/>
    </row>
    <row r="24111" spans="1:141" s="116" customFormat="1">
      <c r="A24111" s="136"/>
      <c r="CM24111" s="111"/>
      <c r="CQ24111" s="111"/>
      <c r="EF24111"/>
      <c r="EG24111"/>
      <c r="EH24111"/>
      <c r="EI24111"/>
      <c r="EJ24111"/>
      <c r="EK24111"/>
    </row>
    <row r="24112" spans="1:141" s="116" customFormat="1">
      <c r="A24112" s="136"/>
      <c r="CM24112" s="111"/>
      <c r="CQ24112" s="111"/>
      <c r="EF24112"/>
      <c r="EG24112"/>
      <c r="EH24112"/>
      <c r="EI24112"/>
      <c r="EJ24112"/>
      <c r="EK24112"/>
    </row>
    <row r="24113" spans="1:141" s="116" customFormat="1">
      <c r="A24113" s="136"/>
      <c r="CM24113" s="111"/>
      <c r="CQ24113" s="111"/>
      <c r="EF24113"/>
      <c r="EG24113"/>
      <c r="EH24113"/>
      <c r="EI24113"/>
      <c r="EJ24113"/>
      <c r="EK24113"/>
    </row>
    <row r="24114" spans="1:141" s="116" customFormat="1">
      <c r="A24114" s="136"/>
      <c r="CM24114" s="111"/>
      <c r="CQ24114" s="111"/>
      <c r="EF24114"/>
      <c r="EG24114"/>
      <c r="EH24114"/>
      <c r="EI24114"/>
      <c r="EJ24114"/>
      <c r="EK24114"/>
    </row>
    <row r="24115" spans="1:141" s="116" customFormat="1">
      <c r="A24115" s="136"/>
      <c r="CM24115" s="111"/>
      <c r="CQ24115" s="111"/>
      <c r="EF24115"/>
      <c r="EG24115"/>
      <c r="EH24115"/>
      <c r="EI24115"/>
      <c r="EJ24115"/>
      <c r="EK24115"/>
    </row>
    <row r="24116" spans="1:141" s="116" customFormat="1">
      <c r="A24116" s="136"/>
      <c r="CM24116" s="111"/>
      <c r="CQ24116" s="111"/>
      <c r="EF24116"/>
      <c r="EG24116"/>
      <c r="EH24116"/>
      <c r="EI24116"/>
      <c r="EJ24116"/>
      <c r="EK24116"/>
    </row>
    <row r="24117" spans="1:141" s="116" customFormat="1">
      <c r="A24117" s="136"/>
      <c r="CM24117" s="111"/>
      <c r="CQ24117" s="111"/>
      <c r="EF24117"/>
      <c r="EG24117"/>
      <c r="EH24117"/>
      <c r="EI24117"/>
      <c r="EJ24117"/>
      <c r="EK24117"/>
    </row>
    <row r="24118" spans="1:141" s="116" customFormat="1">
      <c r="A24118" s="136"/>
      <c r="CM24118" s="111"/>
      <c r="CQ24118" s="111"/>
      <c r="EF24118"/>
      <c r="EG24118"/>
      <c r="EH24118"/>
      <c r="EI24118"/>
      <c r="EJ24118"/>
      <c r="EK24118"/>
    </row>
    <row r="24119" spans="1:141" s="116" customFormat="1">
      <c r="A24119" s="136"/>
      <c r="CM24119" s="111"/>
      <c r="CQ24119" s="111"/>
      <c r="EF24119"/>
      <c r="EG24119"/>
      <c r="EH24119"/>
      <c r="EI24119"/>
      <c r="EJ24119"/>
      <c r="EK24119"/>
    </row>
    <row r="24120" spans="1:141" s="116" customFormat="1">
      <c r="A24120" s="136"/>
      <c r="CM24120" s="111"/>
      <c r="CQ24120" s="111"/>
      <c r="EF24120"/>
      <c r="EG24120"/>
      <c r="EH24120"/>
      <c r="EI24120"/>
      <c r="EJ24120"/>
      <c r="EK24120"/>
    </row>
    <row r="24121" spans="1:141" s="116" customFormat="1">
      <c r="A24121" s="136"/>
      <c r="CM24121" s="111"/>
      <c r="CQ24121" s="111"/>
      <c r="EF24121"/>
      <c r="EG24121"/>
      <c r="EH24121"/>
      <c r="EI24121"/>
      <c r="EJ24121"/>
      <c r="EK24121"/>
    </row>
    <row r="24122" spans="1:141" s="116" customFormat="1">
      <c r="A24122" s="136"/>
      <c r="CM24122" s="111"/>
      <c r="CQ24122" s="111"/>
      <c r="EF24122"/>
      <c r="EG24122"/>
      <c r="EH24122"/>
      <c r="EI24122"/>
      <c r="EJ24122"/>
      <c r="EK24122"/>
    </row>
    <row r="24123" spans="1:141" s="116" customFormat="1">
      <c r="A24123" s="136"/>
      <c r="CM24123" s="111"/>
      <c r="CQ24123" s="111"/>
      <c r="EF24123"/>
      <c r="EG24123"/>
      <c r="EH24123"/>
      <c r="EI24123"/>
      <c r="EJ24123"/>
      <c r="EK24123"/>
    </row>
    <row r="24124" spans="1:141" s="116" customFormat="1">
      <c r="A24124" s="136"/>
      <c r="CM24124" s="111"/>
      <c r="CQ24124" s="111"/>
      <c r="EF24124"/>
      <c r="EG24124"/>
      <c r="EH24124"/>
      <c r="EI24124"/>
      <c r="EJ24124"/>
      <c r="EK24124"/>
    </row>
    <row r="24125" spans="1:141" s="116" customFormat="1">
      <c r="A24125" s="136"/>
      <c r="CM24125" s="111"/>
      <c r="CQ24125" s="111"/>
      <c r="EF24125"/>
      <c r="EG24125"/>
      <c r="EH24125"/>
      <c r="EI24125"/>
      <c r="EJ24125"/>
      <c r="EK24125"/>
    </row>
    <row r="24126" spans="1:141" s="116" customFormat="1">
      <c r="A24126" s="136"/>
      <c r="CM24126" s="111"/>
      <c r="CQ24126" s="111"/>
      <c r="EF24126"/>
      <c r="EG24126"/>
      <c r="EH24126"/>
      <c r="EI24126"/>
      <c r="EJ24126"/>
      <c r="EK24126"/>
    </row>
    <row r="24127" spans="1:141" s="116" customFormat="1">
      <c r="A24127" s="136"/>
      <c r="CM24127" s="111"/>
      <c r="CQ24127" s="111"/>
      <c r="EF24127"/>
      <c r="EG24127"/>
      <c r="EH24127"/>
      <c r="EI24127"/>
      <c r="EJ24127"/>
      <c r="EK24127"/>
    </row>
    <row r="24128" spans="1:141" s="116" customFormat="1">
      <c r="A24128" s="136"/>
      <c r="CM24128" s="111"/>
      <c r="CQ24128" s="111"/>
      <c r="EF24128"/>
      <c r="EG24128"/>
      <c r="EH24128"/>
      <c r="EI24128"/>
      <c r="EJ24128"/>
      <c r="EK24128"/>
    </row>
    <row r="24129" spans="1:141" s="116" customFormat="1">
      <c r="A24129" s="136"/>
      <c r="CM24129" s="111"/>
      <c r="CQ24129" s="111"/>
      <c r="EF24129"/>
      <c r="EG24129"/>
      <c r="EH24129"/>
      <c r="EI24129"/>
      <c r="EJ24129"/>
      <c r="EK24129"/>
    </row>
    <row r="24130" spans="1:141" s="116" customFormat="1">
      <c r="A24130" s="136"/>
      <c r="CM24130" s="111"/>
      <c r="CQ24130" s="111"/>
      <c r="EF24130"/>
      <c r="EG24130"/>
      <c r="EH24130"/>
      <c r="EI24130"/>
      <c r="EJ24130"/>
      <c r="EK24130"/>
    </row>
    <row r="24131" spans="1:141" s="116" customFormat="1">
      <c r="A24131" s="136"/>
      <c r="CM24131" s="111"/>
      <c r="CQ24131" s="111"/>
      <c r="EF24131"/>
      <c r="EG24131"/>
      <c r="EH24131"/>
      <c r="EI24131"/>
      <c r="EJ24131"/>
      <c r="EK24131"/>
    </row>
    <row r="24132" spans="1:141" s="116" customFormat="1">
      <c r="A24132" s="136"/>
      <c r="CM24132" s="111"/>
      <c r="CQ24132" s="111"/>
      <c r="EF24132"/>
      <c r="EG24132"/>
      <c r="EH24132"/>
      <c r="EI24132"/>
      <c r="EJ24132"/>
      <c r="EK24132"/>
    </row>
    <row r="24133" spans="1:141" s="116" customFormat="1">
      <c r="A24133" s="136"/>
      <c r="CM24133" s="111"/>
      <c r="CQ24133" s="111"/>
      <c r="EF24133"/>
      <c r="EG24133"/>
      <c r="EH24133"/>
      <c r="EI24133"/>
      <c r="EJ24133"/>
      <c r="EK24133"/>
    </row>
    <row r="24134" spans="1:141" s="116" customFormat="1">
      <c r="A24134" s="136"/>
      <c r="CM24134" s="111"/>
      <c r="CQ24134" s="111"/>
      <c r="EF24134"/>
      <c r="EG24134"/>
      <c r="EH24134"/>
      <c r="EI24134"/>
      <c r="EJ24134"/>
      <c r="EK24134"/>
    </row>
    <row r="24135" spans="1:141" s="116" customFormat="1">
      <c r="A24135" s="136"/>
      <c r="CM24135" s="111"/>
      <c r="CQ24135" s="111"/>
      <c r="EF24135"/>
      <c r="EG24135"/>
      <c r="EH24135"/>
      <c r="EI24135"/>
      <c r="EJ24135"/>
      <c r="EK24135"/>
    </row>
    <row r="24136" spans="1:141" s="116" customFormat="1">
      <c r="A24136" s="136"/>
      <c r="CM24136" s="111"/>
      <c r="CQ24136" s="111"/>
      <c r="EF24136"/>
      <c r="EG24136"/>
      <c r="EH24136"/>
      <c r="EI24136"/>
      <c r="EJ24136"/>
      <c r="EK24136"/>
    </row>
    <row r="24137" spans="1:141" s="116" customFormat="1">
      <c r="A24137" s="136"/>
      <c r="CM24137" s="111"/>
      <c r="CQ24137" s="111"/>
      <c r="EF24137"/>
      <c r="EG24137"/>
      <c r="EH24137"/>
      <c r="EI24137"/>
      <c r="EJ24137"/>
      <c r="EK24137"/>
    </row>
    <row r="24138" spans="1:141" s="116" customFormat="1">
      <c r="A24138" s="136"/>
      <c r="CM24138" s="111"/>
      <c r="CQ24138" s="111"/>
      <c r="EF24138"/>
      <c r="EG24138"/>
      <c r="EH24138"/>
      <c r="EI24138"/>
      <c r="EJ24138"/>
      <c r="EK24138"/>
    </row>
    <row r="24139" spans="1:141" s="116" customFormat="1">
      <c r="A24139" s="136"/>
      <c r="CM24139" s="111"/>
      <c r="CQ24139" s="111"/>
      <c r="EF24139"/>
      <c r="EG24139"/>
      <c r="EH24139"/>
      <c r="EI24139"/>
      <c r="EJ24139"/>
      <c r="EK24139"/>
    </row>
    <row r="24140" spans="1:141" s="116" customFormat="1">
      <c r="A24140" s="136"/>
      <c r="CM24140" s="111"/>
      <c r="CQ24140" s="111"/>
      <c r="EF24140"/>
      <c r="EG24140"/>
      <c r="EH24140"/>
      <c r="EI24140"/>
      <c r="EJ24140"/>
      <c r="EK24140"/>
    </row>
    <row r="24141" spans="1:141" s="116" customFormat="1">
      <c r="A24141" s="136"/>
      <c r="CM24141" s="111"/>
      <c r="CQ24141" s="111"/>
      <c r="EF24141"/>
      <c r="EG24141"/>
      <c r="EH24141"/>
      <c r="EI24141"/>
      <c r="EJ24141"/>
      <c r="EK24141"/>
    </row>
    <row r="24142" spans="1:141" s="116" customFormat="1">
      <c r="A24142" s="136"/>
      <c r="CM24142" s="111"/>
      <c r="CQ24142" s="111"/>
      <c r="EF24142"/>
      <c r="EG24142"/>
      <c r="EH24142"/>
      <c r="EI24142"/>
      <c r="EJ24142"/>
      <c r="EK24142"/>
    </row>
    <row r="24143" spans="1:141" s="116" customFormat="1">
      <c r="A24143" s="136"/>
      <c r="CM24143" s="111"/>
      <c r="CQ24143" s="111"/>
      <c r="EF24143"/>
      <c r="EG24143"/>
      <c r="EH24143"/>
      <c r="EI24143"/>
      <c r="EJ24143"/>
      <c r="EK24143"/>
    </row>
    <row r="24144" spans="1:141" s="116" customFormat="1">
      <c r="A24144" s="136"/>
      <c r="CM24144" s="111"/>
      <c r="CQ24144" s="111"/>
      <c r="EF24144"/>
      <c r="EG24144"/>
      <c r="EH24144"/>
      <c r="EI24144"/>
      <c r="EJ24144"/>
      <c r="EK24144"/>
    </row>
    <row r="24145" spans="1:141" s="116" customFormat="1">
      <c r="A24145" s="136"/>
      <c r="CM24145" s="111"/>
      <c r="CQ24145" s="111"/>
      <c r="EF24145"/>
      <c r="EG24145"/>
      <c r="EH24145"/>
      <c r="EI24145"/>
      <c r="EJ24145"/>
      <c r="EK24145"/>
    </row>
    <row r="24146" spans="1:141" s="116" customFormat="1">
      <c r="A24146" s="136"/>
      <c r="CM24146" s="111"/>
      <c r="CQ24146" s="111"/>
      <c r="EF24146"/>
      <c r="EG24146"/>
      <c r="EH24146"/>
      <c r="EI24146"/>
      <c r="EJ24146"/>
      <c r="EK24146"/>
    </row>
    <row r="24147" spans="1:141" s="116" customFormat="1">
      <c r="A24147" s="136"/>
      <c r="CM24147" s="111"/>
      <c r="CQ24147" s="111"/>
      <c r="EF24147"/>
      <c r="EG24147"/>
      <c r="EH24147"/>
      <c r="EI24147"/>
      <c r="EJ24147"/>
      <c r="EK24147"/>
    </row>
    <row r="24148" spans="1:141" s="116" customFormat="1">
      <c r="A24148" s="136"/>
      <c r="CM24148" s="111"/>
      <c r="CQ24148" s="111"/>
      <c r="EF24148"/>
      <c r="EG24148"/>
      <c r="EH24148"/>
      <c r="EI24148"/>
      <c r="EJ24148"/>
      <c r="EK24148"/>
    </row>
    <row r="24149" spans="1:141" s="116" customFormat="1">
      <c r="A24149" s="136"/>
      <c r="CM24149" s="111"/>
      <c r="CQ24149" s="111"/>
      <c r="EF24149"/>
      <c r="EG24149"/>
      <c r="EH24149"/>
      <c r="EI24149"/>
      <c r="EJ24149"/>
      <c r="EK24149"/>
    </row>
    <row r="24150" spans="1:141" s="116" customFormat="1">
      <c r="A24150" s="136"/>
      <c r="CM24150" s="111"/>
      <c r="CQ24150" s="111"/>
      <c r="EF24150"/>
      <c r="EG24150"/>
      <c r="EH24150"/>
      <c r="EI24150"/>
      <c r="EJ24150"/>
      <c r="EK24150"/>
    </row>
    <row r="24151" spans="1:141" s="116" customFormat="1">
      <c r="A24151" s="136"/>
      <c r="CM24151" s="111"/>
      <c r="CQ24151" s="111"/>
      <c r="EF24151"/>
      <c r="EG24151"/>
      <c r="EH24151"/>
      <c r="EI24151"/>
      <c r="EJ24151"/>
      <c r="EK24151"/>
    </row>
    <row r="24152" spans="1:141" s="116" customFormat="1">
      <c r="A24152" s="136"/>
      <c r="CM24152" s="111"/>
      <c r="CQ24152" s="111"/>
      <c r="EF24152"/>
      <c r="EG24152"/>
      <c r="EH24152"/>
      <c r="EI24152"/>
      <c r="EJ24152"/>
      <c r="EK24152"/>
    </row>
    <row r="24153" spans="1:141" s="116" customFormat="1">
      <c r="A24153" s="136"/>
      <c r="CM24153" s="111"/>
      <c r="CQ24153" s="111"/>
      <c r="EF24153"/>
      <c r="EG24153"/>
      <c r="EH24153"/>
      <c r="EI24153"/>
      <c r="EJ24153"/>
      <c r="EK24153"/>
    </row>
    <row r="24154" spans="1:141" s="116" customFormat="1">
      <c r="A24154" s="136"/>
      <c r="CM24154" s="111"/>
      <c r="CQ24154" s="111"/>
      <c r="EF24154"/>
      <c r="EG24154"/>
      <c r="EH24154"/>
      <c r="EI24154"/>
      <c r="EJ24154"/>
      <c r="EK24154"/>
    </row>
    <row r="24155" spans="1:141" s="116" customFormat="1">
      <c r="A24155" s="136"/>
      <c r="CM24155" s="111"/>
      <c r="CQ24155" s="111"/>
      <c r="EF24155"/>
      <c r="EG24155"/>
      <c r="EH24155"/>
      <c r="EI24155"/>
      <c r="EJ24155"/>
      <c r="EK24155"/>
    </row>
    <row r="24156" spans="1:141" s="116" customFormat="1">
      <c r="A24156" s="136"/>
      <c r="CM24156" s="111"/>
      <c r="CQ24156" s="111"/>
      <c r="EF24156"/>
      <c r="EG24156"/>
      <c r="EH24156"/>
      <c r="EI24156"/>
      <c r="EJ24156"/>
      <c r="EK24156"/>
    </row>
    <row r="24157" spans="1:141" s="116" customFormat="1">
      <c r="A24157" s="136"/>
      <c r="CM24157" s="111"/>
      <c r="CQ24157" s="111"/>
      <c r="EF24157"/>
      <c r="EG24157"/>
      <c r="EH24157"/>
      <c r="EI24157"/>
      <c r="EJ24157"/>
      <c r="EK24157"/>
    </row>
    <row r="24158" spans="1:141" s="116" customFormat="1">
      <c r="A24158" s="136"/>
      <c r="CM24158" s="111"/>
      <c r="CQ24158" s="111"/>
      <c r="EF24158"/>
      <c r="EG24158"/>
      <c r="EH24158"/>
      <c r="EI24158"/>
      <c r="EJ24158"/>
      <c r="EK24158"/>
    </row>
    <row r="24159" spans="1:141" s="116" customFormat="1">
      <c r="A24159" s="136"/>
      <c r="CM24159" s="111"/>
      <c r="CQ24159" s="111"/>
      <c r="EF24159"/>
      <c r="EG24159"/>
      <c r="EH24159"/>
      <c r="EI24159"/>
      <c r="EJ24159"/>
      <c r="EK24159"/>
    </row>
    <row r="24160" spans="1:141" s="116" customFormat="1">
      <c r="A24160" s="136"/>
      <c r="CM24160" s="111"/>
      <c r="CQ24160" s="111"/>
      <c r="EF24160"/>
      <c r="EG24160"/>
      <c r="EH24160"/>
      <c r="EI24160"/>
      <c r="EJ24160"/>
      <c r="EK24160"/>
    </row>
    <row r="24161" spans="1:141" s="116" customFormat="1">
      <c r="A24161" s="136"/>
      <c r="CM24161" s="111"/>
      <c r="CQ24161" s="111"/>
      <c r="EF24161"/>
      <c r="EG24161"/>
      <c r="EH24161"/>
      <c r="EI24161"/>
      <c r="EJ24161"/>
      <c r="EK24161"/>
    </row>
    <row r="24162" spans="1:141" s="116" customFormat="1">
      <c r="A24162" s="136"/>
      <c r="CM24162" s="111"/>
      <c r="CQ24162" s="111"/>
      <c r="EF24162"/>
      <c r="EG24162"/>
      <c r="EH24162"/>
      <c r="EI24162"/>
      <c r="EJ24162"/>
      <c r="EK24162"/>
    </row>
    <row r="24163" spans="1:141" s="116" customFormat="1">
      <c r="A24163" s="136"/>
      <c r="CM24163" s="111"/>
      <c r="CQ24163" s="111"/>
      <c r="EF24163"/>
      <c r="EG24163"/>
      <c r="EH24163"/>
      <c r="EI24163"/>
      <c r="EJ24163"/>
      <c r="EK24163"/>
    </row>
    <row r="24164" spans="1:141" s="116" customFormat="1">
      <c r="A24164" s="136"/>
      <c r="CM24164" s="111"/>
      <c r="CQ24164" s="111"/>
      <c r="EF24164"/>
      <c r="EG24164"/>
      <c r="EH24164"/>
      <c r="EI24164"/>
      <c r="EJ24164"/>
      <c r="EK24164"/>
    </row>
    <row r="24165" spans="1:141" s="116" customFormat="1">
      <c r="A24165" s="136"/>
      <c r="CM24165" s="111"/>
      <c r="CQ24165" s="111"/>
      <c r="EF24165"/>
      <c r="EG24165"/>
      <c r="EH24165"/>
      <c r="EI24165"/>
      <c r="EJ24165"/>
      <c r="EK24165"/>
    </row>
    <row r="24166" spans="1:141" s="116" customFormat="1">
      <c r="A24166" s="136"/>
      <c r="CM24166" s="111"/>
      <c r="CQ24166" s="111"/>
      <c r="EF24166"/>
      <c r="EG24166"/>
      <c r="EH24166"/>
      <c r="EI24166"/>
      <c r="EJ24166"/>
      <c r="EK24166"/>
    </row>
    <row r="24167" spans="1:141" s="116" customFormat="1">
      <c r="A24167" s="136"/>
      <c r="CM24167" s="111"/>
      <c r="CQ24167" s="111"/>
      <c r="EF24167"/>
      <c r="EG24167"/>
      <c r="EH24167"/>
      <c r="EI24167"/>
      <c r="EJ24167"/>
      <c r="EK24167"/>
    </row>
    <row r="24168" spans="1:141" s="116" customFormat="1">
      <c r="A24168" s="136"/>
      <c r="CM24168" s="111"/>
      <c r="CQ24168" s="111"/>
      <c r="EF24168"/>
      <c r="EG24168"/>
      <c r="EH24168"/>
      <c r="EI24168"/>
      <c r="EJ24168"/>
      <c r="EK24168"/>
    </row>
    <row r="24169" spans="1:141" s="116" customFormat="1">
      <c r="A24169" s="136"/>
      <c r="CM24169" s="111"/>
      <c r="CQ24169" s="111"/>
      <c r="EF24169"/>
      <c r="EG24169"/>
      <c r="EH24169"/>
      <c r="EI24169"/>
      <c r="EJ24169"/>
      <c r="EK24169"/>
    </row>
    <row r="24170" spans="1:141" s="116" customFormat="1">
      <c r="A24170" s="136"/>
      <c r="CM24170" s="111"/>
      <c r="CQ24170" s="111"/>
      <c r="EF24170"/>
      <c r="EG24170"/>
      <c r="EH24170"/>
      <c r="EI24170"/>
      <c r="EJ24170"/>
      <c r="EK24170"/>
    </row>
    <row r="24171" spans="1:141" s="116" customFormat="1">
      <c r="A24171" s="136"/>
      <c r="CM24171" s="111"/>
      <c r="CQ24171" s="111"/>
      <c r="EF24171"/>
      <c r="EG24171"/>
      <c r="EH24171"/>
      <c r="EI24171"/>
      <c r="EJ24171"/>
      <c r="EK24171"/>
    </row>
    <row r="24172" spans="1:141" s="116" customFormat="1">
      <c r="A24172" s="136"/>
      <c r="CM24172" s="111"/>
      <c r="CQ24172" s="111"/>
      <c r="EF24172"/>
      <c r="EG24172"/>
      <c r="EH24172"/>
      <c r="EI24172"/>
      <c r="EJ24172"/>
      <c r="EK24172"/>
    </row>
    <row r="24173" spans="1:141" s="116" customFormat="1">
      <c r="A24173" s="136"/>
      <c r="CM24173" s="111"/>
      <c r="CQ24173" s="111"/>
      <c r="EF24173"/>
      <c r="EG24173"/>
      <c r="EH24173"/>
      <c r="EI24173"/>
      <c r="EJ24173"/>
      <c r="EK24173"/>
    </row>
    <row r="24174" spans="1:141" s="116" customFormat="1">
      <c r="A24174" s="136"/>
      <c r="CM24174" s="111"/>
      <c r="CQ24174" s="111"/>
      <c r="EF24174"/>
      <c r="EG24174"/>
      <c r="EH24174"/>
      <c r="EI24174"/>
      <c r="EJ24174"/>
      <c r="EK24174"/>
    </row>
    <row r="24175" spans="1:141" s="116" customFormat="1">
      <c r="A24175" s="136"/>
      <c r="CM24175" s="111"/>
      <c r="CQ24175" s="111"/>
      <c r="EF24175"/>
      <c r="EG24175"/>
      <c r="EH24175"/>
      <c r="EI24175"/>
      <c r="EJ24175"/>
      <c r="EK24175"/>
    </row>
    <row r="24176" spans="1:141" s="116" customFormat="1">
      <c r="A24176" s="136"/>
      <c r="CM24176" s="111"/>
      <c r="CQ24176" s="111"/>
      <c r="EF24176"/>
      <c r="EG24176"/>
      <c r="EH24176"/>
      <c r="EI24176"/>
      <c r="EJ24176"/>
      <c r="EK24176"/>
    </row>
    <row r="24177" spans="1:141" s="116" customFormat="1">
      <c r="A24177" s="136"/>
      <c r="CM24177" s="111"/>
      <c r="CQ24177" s="111"/>
      <c r="EF24177"/>
      <c r="EG24177"/>
      <c r="EH24177"/>
      <c r="EI24177"/>
      <c r="EJ24177"/>
      <c r="EK24177"/>
    </row>
    <row r="24178" spans="1:141" s="116" customFormat="1">
      <c r="A24178" s="136"/>
      <c r="CM24178" s="111"/>
      <c r="CQ24178" s="111"/>
      <c r="EF24178"/>
      <c r="EG24178"/>
      <c r="EH24178"/>
      <c r="EI24178"/>
      <c r="EJ24178"/>
      <c r="EK24178"/>
    </row>
    <row r="24179" spans="1:141" s="116" customFormat="1">
      <c r="A24179" s="136"/>
      <c r="CM24179" s="111"/>
      <c r="CQ24179" s="111"/>
      <c r="EF24179"/>
      <c r="EG24179"/>
      <c r="EH24179"/>
      <c r="EI24179"/>
      <c r="EJ24179"/>
      <c r="EK24179"/>
    </row>
    <row r="24180" spans="1:141" s="116" customFormat="1">
      <c r="A24180" s="136"/>
      <c r="CM24180" s="111"/>
      <c r="CQ24180" s="111"/>
      <c r="EF24180"/>
      <c r="EG24180"/>
      <c r="EH24180"/>
      <c r="EI24180"/>
      <c r="EJ24180"/>
      <c r="EK24180"/>
    </row>
    <row r="24181" spans="1:141" s="116" customFormat="1">
      <c r="A24181" s="136"/>
      <c r="CM24181" s="111"/>
      <c r="CQ24181" s="111"/>
      <c r="EF24181"/>
      <c r="EG24181"/>
      <c r="EH24181"/>
      <c r="EI24181"/>
      <c r="EJ24181"/>
      <c r="EK24181"/>
    </row>
    <row r="24182" spans="1:141" s="116" customFormat="1">
      <c r="A24182" s="136"/>
      <c r="CM24182" s="111"/>
      <c r="CQ24182" s="111"/>
      <c r="EF24182"/>
      <c r="EG24182"/>
      <c r="EH24182"/>
      <c r="EI24182"/>
      <c r="EJ24182"/>
      <c r="EK24182"/>
    </row>
    <row r="24183" spans="1:141" s="116" customFormat="1">
      <c r="A24183" s="136"/>
      <c r="CM24183" s="111"/>
      <c r="CQ24183" s="111"/>
      <c r="EF24183"/>
      <c r="EG24183"/>
      <c r="EH24183"/>
      <c r="EI24183"/>
      <c r="EJ24183"/>
      <c r="EK24183"/>
    </row>
    <row r="24184" spans="1:141" s="116" customFormat="1">
      <c r="A24184" s="136"/>
      <c r="CM24184" s="111"/>
      <c r="CQ24184" s="111"/>
      <c r="EF24184"/>
      <c r="EG24184"/>
      <c r="EH24184"/>
      <c r="EI24184"/>
      <c r="EJ24184"/>
      <c r="EK24184"/>
    </row>
    <row r="24185" spans="1:141" s="116" customFormat="1">
      <c r="A24185" s="136"/>
      <c r="CM24185" s="111"/>
      <c r="CQ24185" s="111"/>
      <c r="EF24185"/>
      <c r="EG24185"/>
      <c r="EH24185"/>
      <c r="EI24185"/>
      <c r="EJ24185"/>
      <c r="EK24185"/>
    </row>
    <row r="24186" spans="1:141" s="116" customFormat="1">
      <c r="A24186" s="136"/>
      <c r="CM24186" s="111"/>
      <c r="CQ24186" s="111"/>
      <c r="EF24186"/>
      <c r="EG24186"/>
      <c r="EH24186"/>
      <c r="EI24186"/>
      <c r="EJ24186"/>
      <c r="EK24186"/>
    </row>
    <row r="24187" spans="1:141" s="116" customFormat="1">
      <c r="A24187" s="136"/>
      <c r="CM24187" s="111"/>
      <c r="CQ24187" s="111"/>
      <c r="EF24187"/>
      <c r="EG24187"/>
      <c r="EH24187"/>
      <c r="EI24187"/>
      <c r="EJ24187"/>
      <c r="EK24187"/>
    </row>
    <row r="24188" spans="1:141" s="116" customFormat="1">
      <c r="A24188" s="136"/>
      <c r="CM24188" s="111"/>
      <c r="CQ24188" s="111"/>
      <c r="EF24188"/>
      <c r="EG24188"/>
      <c r="EH24188"/>
      <c r="EI24188"/>
      <c r="EJ24188"/>
      <c r="EK24188"/>
    </row>
    <row r="24189" spans="1:141" s="116" customFormat="1">
      <c r="A24189" s="136"/>
      <c r="CM24189" s="111"/>
      <c r="CQ24189" s="111"/>
      <c r="EF24189"/>
      <c r="EG24189"/>
      <c r="EH24189"/>
      <c r="EI24189"/>
      <c r="EJ24189"/>
      <c r="EK24189"/>
    </row>
    <row r="24190" spans="1:141" s="116" customFormat="1">
      <c r="A24190" s="136"/>
      <c r="CM24190" s="111"/>
      <c r="CQ24190" s="111"/>
      <c r="EF24190"/>
      <c r="EG24190"/>
      <c r="EH24190"/>
      <c r="EI24190"/>
      <c r="EJ24190"/>
      <c r="EK24190"/>
    </row>
    <row r="24191" spans="1:141" s="116" customFormat="1">
      <c r="A24191" s="136"/>
      <c r="CM24191" s="111"/>
      <c r="CQ24191" s="111"/>
      <c r="EF24191"/>
      <c r="EG24191"/>
      <c r="EH24191"/>
      <c r="EI24191"/>
      <c r="EJ24191"/>
      <c r="EK24191"/>
    </row>
    <row r="24192" spans="1:141" s="116" customFormat="1">
      <c r="A24192" s="136"/>
      <c r="CM24192" s="111"/>
      <c r="CQ24192" s="111"/>
      <c r="EF24192"/>
      <c r="EG24192"/>
      <c r="EH24192"/>
      <c r="EI24192"/>
      <c r="EJ24192"/>
      <c r="EK24192"/>
    </row>
    <row r="24193" spans="1:141" s="116" customFormat="1">
      <c r="A24193" s="136"/>
      <c r="CM24193" s="111"/>
      <c r="CQ24193" s="111"/>
      <c r="EF24193"/>
      <c r="EG24193"/>
      <c r="EH24193"/>
      <c r="EI24193"/>
      <c r="EJ24193"/>
      <c r="EK24193"/>
    </row>
    <row r="24194" spans="1:141" s="116" customFormat="1">
      <c r="A24194" s="136"/>
      <c r="CM24194" s="111"/>
      <c r="CQ24194" s="111"/>
      <c r="EF24194"/>
      <c r="EG24194"/>
      <c r="EH24194"/>
      <c r="EI24194"/>
      <c r="EJ24194"/>
      <c r="EK24194"/>
    </row>
    <row r="24195" spans="1:141" s="116" customFormat="1">
      <c r="A24195" s="136"/>
      <c r="CM24195" s="111"/>
      <c r="CQ24195" s="111"/>
      <c r="EF24195"/>
      <c r="EG24195"/>
      <c r="EH24195"/>
      <c r="EI24195"/>
      <c r="EJ24195"/>
      <c r="EK24195"/>
    </row>
    <row r="24196" spans="1:141" s="116" customFormat="1">
      <c r="A24196" s="136"/>
      <c r="CM24196" s="111"/>
      <c r="CQ24196" s="111"/>
      <c r="EF24196"/>
      <c r="EG24196"/>
      <c r="EH24196"/>
      <c r="EI24196"/>
      <c r="EJ24196"/>
      <c r="EK24196"/>
    </row>
    <row r="24197" spans="1:141" s="116" customFormat="1">
      <c r="A24197" s="136"/>
      <c r="CM24197" s="111"/>
      <c r="CQ24197" s="111"/>
      <c r="EF24197"/>
      <c r="EG24197"/>
      <c r="EH24197"/>
      <c r="EI24197"/>
      <c r="EJ24197"/>
      <c r="EK24197"/>
    </row>
    <row r="24198" spans="1:141" s="116" customFormat="1">
      <c r="A24198" s="136"/>
      <c r="CM24198" s="111"/>
      <c r="CQ24198" s="111"/>
      <c r="EF24198"/>
      <c r="EG24198"/>
      <c r="EH24198"/>
      <c r="EI24198"/>
      <c r="EJ24198"/>
      <c r="EK24198"/>
    </row>
    <row r="24199" spans="1:141" s="116" customFormat="1">
      <c r="A24199" s="136"/>
      <c r="CM24199" s="111"/>
      <c r="CQ24199" s="111"/>
      <c r="EF24199"/>
      <c r="EG24199"/>
      <c r="EH24199"/>
      <c r="EI24199"/>
      <c r="EJ24199"/>
      <c r="EK24199"/>
    </row>
    <row r="24200" spans="1:141" s="116" customFormat="1">
      <c r="A24200" s="136"/>
      <c r="CM24200" s="111"/>
      <c r="CQ24200" s="111"/>
      <c r="EF24200"/>
      <c r="EG24200"/>
      <c r="EH24200"/>
      <c r="EI24200"/>
      <c r="EJ24200"/>
      <c r="EK24200"/>
    </row>
    <row r="24201" spans="1:141" s="116" customFormat="1">
      <c r="A24201" s="136"/>
      <c r="CM24201" s="111"/>
      <c r="CQ24201" s="111"/>
      <c r="EF24201"/>
      <c r="EG24201"/>
      <c r="EH24201"/>
      <c r="EI24201"/>
      <c r="EJ24201"/>
      <c r="EK24201"/>
    </row>
    <row r="24202" spans="1:141" s="116" customFormat="1">
      <c r="A24202" s="136"/>
      <c r="CM24202" s="111"/>
      <c r="CQ24202" s="111"/>
      <c r="EF24202"/>
      <c r="EG24202"/>
      <c r="EH24202"/>
      <c r="EI24202"/>
      <c r="EJ24202"/>
      <c r="EK24202"/>
    </row>
    <row r="24203" spans="1:141" s="116" customFormat="1">
      <c r="A24203" s="136"/>
      <c r="CM24203" s="111"/>
      <c r="CQ24203" s="111"/>
      <c r="EF24203"/>
      <c r="EG24203"/>
      <c r="EH24203"/>
      <c r="EI24203"/>
      <c r="EJ24203"/>
      <c r="EK24203"/>
    </row>
    <row r="24204" spans="1:141" s="116" customFormat="1">
      <c r="A24204" s="136"/>
      <c r="CM24204" s="111"/>
      <c r="CQ24204" s="111"/>
      <c r="EF24204"/>
      <c r="EG24204"/>
      <c r="EH24204"/>
      <c r="EI24204"/>
      <c r="EJ24204"/>
      <c r="EK24204"/>
    </row>
    <row r="24205" spans="1:141" s="116" customFormat="1">
      <c r="A24205" s="136"/>
      <c r="CM24205" s="111"/>
      <c r="CQ24205" s="111"/>
      <c r="EF24205"/>
      <c r="EG24205"/>
      <c r="EH24205"/>
      <c r="EI24205"/>
      <c r="EJ24205"/>
      <c r="EK24205"/>
    </row>
    <row r="24206" spans="1:141" s="116" customFormat="1">
      <c r="A24206" s="136"/>
      <c r="CM24206" s="111"/>
      <c r="CQ24206" s="111"/>
      <c r="EF24206"/>
      <c r="EG24206"/>
      <c r="EH24206"/>
      <c r="EI24206"/>
      <c r="EJ24206"/>
      <c r="EK24206"/>
    </row>
    <row r="24207" spans="1:141" s="116" customFormat="1">
      <c r="A24207" s="136"/>
      <c r="CM24207" s="111"/>
      <c r="CQ24207" s="111"/>
      <c r="EF24207"/>
      <c r="EG24207"/>
      <c r="EH24207"/>
      <c r="EI24207"/>
      <c r="EJ24207"/>
      <c r="EK24207"/>
    </row>
    <row r="24208" spans="1:141" s="116" customFormat="1">
      <c r="A24208" s="136"/>
      <c r="CM24208" s="111"/>
      <c r="CQ24208" s="111"/>
      <c r="EF24208"/>
      <c r="EG24208"/>
      <c r="EH24208"/>
      <c r="EI24208"/>
      <c r="EJ24208"/>
      <c r="EK24208"/>
    </row>
    <row r="24209" spans="1:141" s="116" customFormat="1">
      <c r="A24209" s="136"/>
      <c r="CM24209" s="111"/>
      <c r="CQ24209" s="111"/>
      <c r="EF24209"/>
      <c r="EG24209"/>
      <c r="EH24209"/>
      <c r="EI24209"/>
      <c r="EJ24209"/>
      <c r="EK24209"/>
    </row>
    <row r="24210" spans="1:141" s="116" customFormat="1">
      <c r="A24210" s="136"/>
      <c r="CM24210" s="111"/>
      <c r="CQ24210" s="111"/>
      <c r="EF24210"/>
      <c r="EG24210"/>
      <c r="EH24210"/>
      <c r="EI24210"/>
      <c r="EJ24210"/>
      <c r="EK24210"/>
    </row>
    <row r="24211" spans="1:141" s="116" customFormat="1">
      <c r="A24211" s="136"/>
      <c r="CM24211" s="111"/>
      <c r="CQ24211" s="111"/>
      <c r="EF24211"/>
      <c r="EG24211"/>
      <c r="EH24211"/>
      <c r="EI24211"/>
      <c r="EJ24211"/>
      <c r="EK24211"/>
    </row>
    <row r="24212" spans="1:141" s="116" customFormat="1">
      <c r="A24212" s="136"/>
      <c r="CM24212" s="111"/>
      <c r="CQ24212" s="111"/>
      <c r="EF24212"/>
      <c r="EG24212"/>
      <c r="EH24212"/>
      <c r="EI24212"/>
      <c r="EJ24212"/>
      <c r="EK24212"/>
    </row>
    <row r="24213" spans="1:141" s="116" customFormat="1">
      <c r="A24213" s="136"/>
      <c r="CM24213" s="111"/>
      <c r="CQ24213" s="111"/>
      <c r="EF24213"/>
      <c r="EG24213"/>
      <c r="EH24213"/>
      <c r="EI24213"/>
      <c r="EJ24213"/>
      <c r="EK24213"/>
    </row>
    <row r="24214" spans="1:141" s="116" customFormat="1">
      <c r="A24214" s="136"/>
      <c r="CM24214" s="111"/>
      <c r="CQ24214" s="111"/>
      <c r="EF24214"/>
      <c r="EG24214"/>
      <c r="EH24214"/>
      <c r="EI24214"/>
      <c r="EJ24214"/>
      <c r="EK24214"/>
    </row>
    <row r="24215" spans="1:141" s="116" customFormat="1">
      <c r="A24215" s="136"/>
      <c r="CM24215" s="111"/>
      <c r="CQ24215" s="111"/>
      <c r="EF24215"/>
      <c r="EG24215"/>
      <c r="EH24215"/>
      <c r="EI24215"/>
      <c r="EJ24215"/>
      <c r="EK24215"/>
    </row>
    <row r="24216" spans="1:141" s="116" customFormat="1">
      <c r="A24216" s="136"/>
      <c r="CM24216" s="111"/>
      <c r="CQ24216" s="111"/>
      <c r="EF24216"/>
      <c r="EG24216"/>
      <c r="EH24216"/>
      <c r="EI24216"/>
      <c r="EJ24216"/>
      <c r="EK24216"/>
    </row>
    <row r="24217" spans="1:141" s="116" customFormat="1">
      <c r="A24217" s="136"/>
      <c r="CM24217" s="111"/>
      <c r="CQ24217" s="111"/>
      <c r="EF24217"/>
      <c r="EG24217"/>
      <c r="EH24217"/>
      <c r="EI24217"/>
      <c r="EJ24217"/>
      <c r="EK24217"/>
    </row>
    <row r="24218" spans="1:141" s="116" customFormat="1">
      <c r="A24218" s="136"/>
      <c r="CM24218" s="111"/>
      <c r="CQ24218" s="111"/>
      <c r="EF24218"/>
      <c r="EG24218"/>
      <c r="EH24218"/>
      <c r="EI24218"/>
      <c r="EJ24218"/>
      <c r="EK24218"/>
    </row>
    <row r="24219" spans="1:141" s="116" customFormat="1">
      <c r="A24219" s="136"/>
      <c r="CM24219" s="111"/>
      <c r="CQ24219" s="111"/>
      <c r="EF24219"/>
      <c r="EG24219"/>
      <c r="EH24219"/>
      <c r="EI24219"/>
      <c r="EJ24219"/>
      <c r="EK24219"/>
    </row>
    <row r="24220" spans="1:141" s="116" customFormat="1">
      <c r="A24220" s="136"/>
      <c r="CM24220" s="111"/>
      <c r="CQ24220" s="111"/>
      <c r="EF24220"/>
      <c r="EG24220"/>
      <c r="EH24220"/>
      <c r="EI24220"/>
      <c r="EJ24220"/>
      <c r="EK24220"/>
    </row>
    <row r="24221" spans="1:141" s="116" customFormat="1">
      <c r="A24221" s="136"/>
      <c r="CM24221" s="111"/>
      <c r="CQ24221" s="111"/>
      <c r="EF24221"/>
      <c r="EG24221"/>
      <c r="EH24221"/>
      <c r="EI24221"/>
      <c r="EJ24221"/>
      <c r="EK24221"/>
    </row>
    <row r="24222" spans="1:141" s="116" customFormat="1">
      <c r="A24222" s="136"/>
      <c r="CM24222" s="111"/>
      <c r="CQ24222" s="111"/>
      <c r="EF24222"/>
      <c r="EG24222"/>
      <c r="EH24222"/>
      <c r="EI24222"/>
      <c r="EJ24222"/>
      <c r="EK24222"/>
    </row>
    <row r="24223" spans="1:141" s="116" customFormat="1">
      <c r="A24223" s="136"/>
      <c r="CM24223" s="111"/>
      <c r="CQ24223" s="111"/>
      <c r="EF24223"/>
      <c r="EG24223"/>
      <c r="EH24223"/>
      <c r="EI24223"/>
      <c r="EJ24223"/>
      <c r="EK24223"/>
    </row>
    <row r="24224" spans="1:141" s="116" customFormat="1">
      <c r="A24224" s="136"/>
      <c r="CM24224" s="111"/>
      <c r="CQ24224" s="111"/>
      <c r="EF24224"/>
      <c r="EG24224"/>
      <c r="EH24224"/>
      <c r="EI24224"/>
      <c r="EJ24224"/>
      <c r="EK24224"/>
    </row>
    <row r="24225" spans="1:141" s="116" customFormat="1">
      <c r="A24225" s="136"/>
      <c r="CM24225" s="111"/>
      <c r="CQ24225" s="111"/>
      <c r="EF24225"/>
      <c r="EG24225"/>
      <c r="EH24225"/>
      <c r="EI24225"/>
      <c r="EJ24225"/>
      <c r="EK24225"/>
    </row>
    <row r="24226" spans="1:141" s="116" customFormat="1">
      <c r="A24226" s="136"/>
      <c r="CM24226" s="111"/>
      <c r="CQ24226" s="111"/>
      <c r="EF24226"/>
      <c r="EG24226"/>
      <c r="EH24226"/>
      <c r="EI24226"/>
      <c r="EJ24226"/>
      <c r="EK24226"/>
    </row>
    <row r="24227" spans="1:141" s="116" customFormat="1">
      <c r="A24227" s="136"/>
      <c r="CM24227" s="111"/>
      <c r="CQ24227" s="111"/>
      <c r="EF24227"/>
      <c r="EG24227"/>
      <c r="EH24227"/>
      <c r="EI24227"/>
      <c r="EJ24227"/>
      <c r="EK24227"/>
    </row>
    <row r="24228" spans="1:141" s="116" customFormat="1">
      <c r="A24228" s="136"/>
      <c r="CM24228" s="111"/>
      <c r="CQ24228" s="111"/>
      <c r="EF24228"/>
      <c r="EG24228"/>
      <c r="EH24228"/>
      <c r="EI24228"/>
      <c r="EJ24228"/>
      <c r="EK24228"/>
    </row>
    <row r="24229" spans="1:141" s="116" customFormat="1">
      <c r="A24229" s="136"/>
      <c r="CM24229" s="111"/>
      <c r="CQ24229" s="111"/>
      <c r="EF24229"/>
      <c r="EG24229"/>
      <c r="EH24229"/>
      <c r="EI24229"/>
      <c r="EJ24229"/>
      <c r="EK24229"/>
    </row>
    <row r="24230" spans="1:141" s="116" customFormat="1">
      <c r="A24230" s="136"/>
      <c r="CM24230" s="111"/>
      <c r="CQ24230" s="111"/>
      <c r="EF24230"/>
      <c r="EG24230"/>
      <c r="EH24230"/>
      <c r="EI24230"/>
      <c r="EJ24230"/>
      <c r="EK24230"/>
    </row>
    <row r="24231" spans="1:141" s="116" customFormat="1">
      <c r="A24231" s="136"/>
      <c r="CM24231" s="111"/>
      <c r="CQ24231" s="111"/>
      <c r="EF24231"/>
      <c r="EG24231"/>
      <c r="EH24231"/>
      <c r="EI24231"/>
      <c r="EJ24231"/>
      <c r="EK24231"/>
    </row>
    <row r="24232" spans="1:141" s="116" customFormat="1">
      <c r="A24232" s="136"/>
      <c r="CM24232" s="111"/>
      <c r="CQ24232" s="111"/>
      <c r="EF24232"/>
      <c r="EG24232"/>
      <c r="EH24232"/>
      <c r="EI24232"/>
      <c r="EJ24232"/>
      <c r="EK24232"/>
    </row>
    <row r="24233" spans="1:141" s="116" customFormat="1">
      <c r="A24233" s="136"/>
      <c r="CM24233" s="111"/>
      <c r="CQ24233" s="111"/>
      <c r="EF24233"/>
      <c r="EG24233"/>
      <c r="EH24233"/>
      <c r="EI24233"/>
      <c r="EJ24233"/>
      <c r="EK24233"/>
    </row>
    <row r="24234" spans="1:141" s="116" customFormat="1">
      <c r="A24234" s="136"/>
      <c r="CM24234" s="111"/>
      <c r="CQ24234" s="111"/>
      <c r="EF24234"/>
      <c r="EG24234"/>
      <c r="EH24234"/>
      <c r="EI24234"/>
      <c r="EJ24234"/>
      <c r="EK24234"/>
    </row>
    <row r="24235" spans="1:141" s="116" customFormat="1">
      <c r="A24235" s="136"/>
      <c r="CM24235" s="111"/>
      <c r="CQ24235" s="111"/>
      <c r="EF24235"/>
      <c r="EG24235"/>
      <c r="EH24235"/>
      <c r="EI24235"/>
      <c r="EJ24235"/>
      <c r="EK24235"/>
    </row>
    <row r="24236" spans="1:141" s="116" customFormat="1">
      <c r="A24236" s="136"/>
      <c r="CM24236" s="111"/>
      <c r="CQ24236" s="111"/>
      <c r="EF24236"/>
      <c r="EG24236"/>
      <c r="EH24236"/>
      <c r="EI24236"/>
      <c r="EJ24236"/>
      <c r="EK24236"/>
    </row>
    <row r="24237" spans="1:141" s="116" customFormat="1">
      <c r="A24237" s="136"/>
      <c r="CM24237" s="111"/>
      <c r="CQ24237" s="111"/>
      <c r="EF24237"/>
      <c r="EG24237"/>
      <c r="EH24237"/>
      <c r="EI24237"/>
      <c r="EJ24237"/>
      <c r="EK24237"/>
    </row>
    <row r="24238" spans="1:141" s="116" customFormat="1">
      <c r="A24238" s="136"/>
      <c r="CM24238" s="111"/>
      <c r="CQ24238" s="111"/>
      <c r="EF24238"/>
      <c r="EG24238"/>
      <c r="EH24238"/>
      <c r="EI24238"/>
      <c r="EJ24238"/>
      <c r="EK24238"/>
    </row>
    <row r="24239" spans="1:141" s="116" customFormat="1">
      <c r="A24239" s="136"/>
      <c r="CM24239" s="111"/>
      <c r="CQ24239" s="111"/>
      <c r="EF24239"/>
      <c r="EG24239"/>
      <c r="EH24239"/>
      <c r="EI24239"/>
      <c r="EJ24239"/>
      <c r="EK24239"/>
    </row>
    <row r="24240" spans="1:141" s="116" customFormat="1">
      <c r="A24240" s="136"/>
      <c r="CM24240" s="111"/>
      <c r="CQ24240" s="111"/>
      <c r="EF24240"/>
      <c r="EG24240"/>
      <c r="EH24240"/>
      <c r="EI24240"/>
      <c r="EJ24240"/>
      <c r="EK24240"/>
    </row>
    <row r="24241" spans="1:141" s="116" customFormat="1">
      <c r="A24241" s="136"/>
      <c r="CM24241" s="111"/>
      <c r="CQ24241" s="111"/>
      <c r="EF24241"/>
      <c r="EG24241"/>
      <c r="EH24241"/>
      <c r="EI24241"/>
      <c r="EJ24241"/>
      <c r="EK24241"/>
    </row>
    <row r="24242" spans="1:141" s="116" customFormat="1">
      <c r="A24242" s="136"/>
      <c r="CM24242" s="111"/>
      <c r="CQ24242" s="111"/>
      <c r="EF24242"/>
      <c r="EG24242"/>
      <c r="EH24242"/>
      <c r="EI24242"/>
      <c r="EJ24242"/>
      <c r="EK24242"/>
    </row>
    <row r="24243" spans="1:141" s="116" customFormat="1">
      <c r="A24243" s="136"/>
      <c r="CM24243" s="111"/>
      <c r="CQ24243" s="111"/>
      <c r="EF24243"/>
      <c r="EG24243"/>
      <c r="EH24243"/>
      <c r="EI24243"/>
      <c r="EJ24243"/>
      <c r="EK24243"/>
    </row>
    <row r="24244" spans="1:141" s="116" customFormat="1">
      <c r="A24244" s="136"/>
      <c r="CM24244" s="111"/>
      <c r="CQ24244" s="111"/>
      <c r="EF24244"/>
      <c r="EG24244"/>
      <c r="EH24244"/>
      <c r="EI24244"/>
      <c r="EJ24244"/>
      <c r="EK24244"/>
    </row>
    <row r="24245" spans="1:141" s="116" customFormat="1">
      <c r="A24245" s="136"/>
      <c r="CM24245" s="111"/>
      <c r="CQ24245" s="111"/>
      <c r="EF24245"/>
      <c r="EG24245"/>
      <c r="EH24245"/>
      <c r="EI24245"/>
      <c r="EJ24245"/>
      <c r="EK24245"/>
    </row>
    <row r="24246" spans="1:141" s="116" customFormat="1">
      <c r="A24246" s="136"/>
      <c r="CM24246" s="111"/>
      <c r="CQ24246" s="111"/>
      <c r="EF24246"/>
      <c r="EG24246"/>
      <c r="EH24246"/>
      <c r="EI24246"/>
      <c r="EJ24246"/>
      <c r="EK24246"/>
    </row>
    <row r="24247" spans="1:141" s="116" customFormat="1">
      <c r="A24247" s="136"/>
      <c r="CM24247" s="111"/>
      <c r="CQ24247" s="111"/>
      <c r="EF24247"/>
      <c r="EG24247"/>
      <c r="EH24247"/>
      <c r="EI24247"/>
      <c r="EJ24247"/>
      <c r="EK24247"/>
    </row>
    <row r="24248" spans="1:141" s="116" customFormat="1">
      <c r="A24248" s="136"/>
      <c r="CM24248" s="111"/>
      <c r="CQ24248" s="111"/>
      <c r="EF24248"/>
      <c r="EG24248"/>
      <c r="EH24248"/>
      <c r="EI24248"/>
      <c r="EJ24248"/>
      <c r="EK24248"/>
    </row>
    <row r="24249" spans="1:141" s="116" customFormat="1">
      <c r="A24249" s="136"/>
      <c r="CM24249" s="111"/>
      <c r="CQ24249" s="111"/>
      <c r="EF24249"/>
      <c r="EG24249"/>
      <c r="EH24249"/>
      <c r="EI24249"/>
      <c r="EJ24249"/>
      <c r="EK24249"/>
    </row>
    <row r="24250" spans="1:141" s="116" customFormat="1">
      <c r="A24250" s="136"/>
      <c r="CM24250" s="111"/>
      <c r="CQ24250" s="111"/>
      <c r="EF24250"/>
      <c r="EG24250"/>
      <c r="EH24250"/>
      <c r="EI24250"/>
      <c r="EJ24250"/>
      <c r="EK24250"/>
    </row>
    <row r="24251" spans="1:141" s="116" customFormat="1">
      <c r="A24251" s="136"/>
      <c r="CM24251" s="111"/>
      <c r="CQ24251" s="111"/>
      <c r="EF24251"/>
      <c r="EG24251"/>
      <c r="EH24251"/>
      <c r="EI24251"/>
      <c r="EJ24251"/>
      <c r="EK24251"/>
    </row>
    <row r="24252" spans="1:141" s="116" customFormat="1">
      <c r="A24252" s="136"/>
      <c r="CM24252" s="111"/>
      <c r="CQ24252" s="111"/>
      <c r="EF24252"/>
      <c r="EG24252"/>
      <c r="EH24252"/>
      <c r="EI24252"/>
      <c r="EJ24252"/>
      <c r="EK24252"/>
    </row>
    <row r="24253" spans="1:141" s="116" customFormat="1">
      <c r="A24253" s="136"/>
      <c r="CM24253" s="111"/>
      <c r="CQ24253" s="111"/>
      <c r="EF24253"/>
      <c r="EG24253"/>
      <c r="EH24253"/>
      <c r="EI24253"/>
      <c r="EJ24253"/>
      <c r="EK24253"/>
    </row>
    <row r="24254" spans="1:141" s="116" customFormat="1">
      <c r="A24254" s="136"/>
      <c r="CM24254" s="111"/>
      <c r="CQ24254" s="111"/>
      <c r="EF24254"/>
      <c r="EG24254"/>
      <c r="EH24254"/>
      <c r="EI24254"/>
      <c r="EJ24254"/>
      <c r="EK24254"/>
    </row>
    <row r="24255" spans="1:141" s="116" customFormat="1">
      <c r="A24255" s="136"/>
      <c r="CM24255" s="111"/>
      <c r="CQ24255" s="111"/>
      <c r="EF24255"/>
      <c r="EG24255"/>
      <c r="EH24255"/>
      <c r="EI24255"/>
      <c r="EJ24255"/>
      <c r="EK24255"/>
    </row>
    <row r="24256" spans="1:141" s="116" customFormat="1">
      <c r="A24256" s="136"/>
      <c r="CM24256" s="111"/>
      <c r="CQ24256" s="111"/>
      <c r="EF24256"/>
      <c r="EG24256"/>
      <c r="EH24256"/>
      <c r="EI24256"/>
      <c r="EJ24256"/>
      <c r="EK24256"/>
    </row>
    <row r="24257" spans="1:141" s="116" customFormat="1">
      <c r="A24257" s="136"/>
      <c r="CM24257" s="111"/>
      <c r="CQ24257" s="111"/>
      <c r="EF24257"/>
      <c r="EG24257"/>
      <c r="EH24257"/>
      <c r="EI24257"/>
      <c r="EJ24257"/>
      <c r="EK24257"/>
    </row>
    <row r="24258" spans="1:141" s="116" customFormat="1">
      <c r="A24258" s="136"/>
      <c r="CM24258" s="111"/>
      <c r="CQ24258" s="111"/>
      <c r="EF24258"/>
      <c r="EG24258"/>
      <c r="EH24258"/>
      <c r="EI24258"/>
      <c r="EJ24258"/>
      <c r="EK24258"/>
    </row>
    <row r="24259" spans="1:141" s="116" customFormat="1">
      <c r="A24259" s="136"/>
      <c r="CM24259" s="111"/>
      <c r="CQ24259" s="111"/>
      <c r="EF24259"/>
      <c r="EG24259"/>
      <c r="EH24259"/>
      <c r="EI24259"/>
      <c r="EJ24259"/>
      <c r="EK24259"/>
    </row>
    <row r="24260" spans="1:141" s="116" customFormat="1">
      <c r="A24260" s="136"/>
      <c r="CM24260" s="111"/>
      <c r="CQ24260" s="111"/>
      <c r="EF24260"/>
      <c r="EG24260"/>
      <c r="EH24260"/>
      <c r="EI24260"/>
      <c r="EJ24260"/>
      <c r="EK24260"/>
    </row>
    <row r="24261" spans="1:141" s="116" customFormat="1">
      <c r="A24261" s="136"/>
      <c r="CM24261" s="111"/>
      <c r="CQ24261" s="111"/>
      <c r="EF24261"/>
      <c r="EG24261"/>
      <c r="EH24261"/>
      <c r="EI24261"/>
      <c r="EJ24261"/>
      <c r="EK24261"/>
    </row>
    <row r="24262" spans="1:141" s="116" customFormat="1">
      <c r="A24262" s="136"/>
      <c r="CM24262" s="111"/>
      <c r="CQ24262" s="111"/>
      <c r="EF24262"/>
      <c r="EG24262"/>
      <c r="EH24262"/>
      <c r="EI24262"/>
      <c r="EJ24262"/>
      <c r="EK24262"/>
    </row>
    <row r="24263" spans="1:141" s="116" customFormat="1">
      <c r="A24263" s="136"/>
      <c r="CM24263" s="111"/>
      <c r="CQ24263" s="111"/>
      <c r="EF24263"/>
      <c r="EG24263"/>
      <c r="EH24263"/>
      <c r="EI24263"/>
      <c r="EJ24263"/>
      <c r="EK24263"/>
    </row>
    <row r="24264" spans="1:141" s="116" customFormat="1">
      <c r="A24264" s="136"/>
      <c r="CM24264" s="111"/>
      <c r="CQ24264" s="111"/>
      <c r="EF24264"/>
      <c r="EG24264"/>
      <c r="EH24264"/>
      <c r="EI24264"/>
      <c r="EJ24264"/>
      <c r="EK24264"/>
    </row>
    <row r="24265" spans="1:141" s="116" customFormat="1">
      <c r="A24265" s="136"/>
      <c r="CM24265" s="111"/>
      <c r="CQ24265" s="111"/>
      <c r="EF24265"/>
      <c r="EG24265"/>
      <c r="EH24265"/>
      <c r="EI24265"/>
      <c r="EJ24265"/>
      <c r="EK24265"/>
    </row>
    <row r="24266" spans="1:141" s="116" customFormat="1">
      <c r="A24266" s="136"/>
      <c r="CM24266" s="111"/>
      <c r="CQ24266" s="111"/>
      <c r="EF24266"/>
      <c r="EG24266"/>
      <c r="EH24266"/>
      <c r="EI24266"/>
      <c r="EJ24266"/>
      <c r="EK24266"/>
    </row>
    <row r="24267" spans="1:141" s="116" customFormat="1">
      <c r="A24267" s="136"/>
      <c r="CM24267" s="111"/>
      <c r="CQ24267" s="111"/>
      <c r="EF24267"/>
      <c r="EG24267"/>
      <c r="EH24267"/>
      <c r="EI24267"/>
      <c r="EJ24267"/>
      <c r="EK24267"/>
    </row>
    <row r="24268" spans="1:141" s="116" customFormat="1">
      <c r="A24268" s="136"/>
      <c r="CM24268" s="111"/>
      <c r="CQ24268" s="111"/>
      <c r="EF24268"/>
      <c r="EG24268"/>
      <c r="EH24268"/>
      <c r="EI24268"/>
      <c r="EJ24268"/>
      <c r="EK24268"/>
    </row>
    <row r="24269" spans="1:141" s="116" customFormat="1">
      <c r="A24269" s="136"/>
      <c r="CM24269" s="111"/>
      <c r="CQ24269" s="111"/>
      <c r="EF24269"/>
      <c r="EG24269"/>
      <c r="EH24269"/>
      <c r="EI24269"/>
      <c r="EJ24269"/>
      <c r="EK24269"/>
    </row>
    <row r="24270" spans="1:141" s="116" customFormat="1">
      <c r="A24270" s="136"/>
      <c r="CM24270" s="111"/>
      <c r="CQ24270" s="111"/>
      <c r="EF24270"/>
      <c r="EG24270"/>
      <c r="EH24270"/>
      <c r="EI24270"/>
      <c r="EJ24270"/>
      <c r="EK24270"/>
    </row>
    <row r="24271" spans="1:141" s="116" customFormat="1">
      <c r="A24271" s="136"/>
      <c r="CM24271" s="111"/>
      <c r="CQ24271" s="111"/>
      <c r="EF24271"/>
      <c r="EG24271"/>
      <c r="EH24271"/>
      <c r="EI24271"/>
      <c r="EJ24271"/>
      <c r="EK24271"/>
    </row>
    <row r="24272" spans="1:141" s="116" customFormat="1">
      <c r="A24272" s="136"/>
      <c r="CM24272" s="111"/>
      <c r="CQ24272" s="111"/>
      <c r="EF24272"/>
      <c r="EG24272"/>
      <c r="EH24272"/>
      <c r="EI24272"/>
      <c r="EJ24272"/>
      <c r="EK24272"/>
    </row>
    <row r="24273" spans="1:141" s="116" customFormat="1">
      <c r="A24273" s="136"/>
      <c r="CM24273" s="111"/>
      <c r="CQ24273" s="111"/>
      <c r="EF24273"/>
      <c r="EG24273"/>
      <c r="EH24273"/>
      <c r="EI24273"/>
      <c r="EJ24273"/>
      <c r="EK24273"/>
    </row>
    <row r="24274" spans="1:141" s="116" customFormat="1">
      <c r="A24274" s="136"/>
      <c r="CM24274" s="111"/>
      <c r="CQ24274" s="111"/>
      <c r="EF24274"/>
      <c r="EG24274"/>
      <c r="EH24274"/>
      <c r="EI24274"/>
      <c r="EJ24274"/>
      <c r="EK24274"/>
    </row>
    <row r="24275" spans="1:141" s="116" customFormat="1">
      <c r="A24275" s="136"/>
      <c r="CM24275" s="111"/>
      <c r="CQ24275" s="111"/>
      <c r="EF24275"/>
      <c r="EG24275"/>
      <c r="EH24275"/>
      <c r="EI24275"/>
      <c r="EJ24275"/>
      <c r="EK24275"/>
    </row>
    <row r="24276" spans="1:141" s="116" customFormat="1">
      <c r="A24276" s="136"/>
      <c r="CM24276" s="111"/>
      <c r="CQ24276" s="111"/>
      <c r="EF24276"/>
      <c r="EG24276"/>
      <c r="EH24276"/>
      <c r="EI24276"/>
      <c r="EJ24276"/>
      <c r="EK24276"/>
    </row>
    <row r="24277" spans="1:141" s="116" customFormat="1">
      <c r="A24277" s="136"/>
      <c r="CM24277" s="111"/>
      <c r="CQ24277" s="111"/>
      <c r="EF24277"/>
      <c r="EG24277"/>
      <c r="EH24277"/>
      <c r="EI24277"/>
      <c r="EJ24277"/>
      <c r="EK24277"/>
    </row>
    <row r="24278" spans="1:141" s="116" customFormat="1">
      <c r="A24278" s="136"/>
      <c r="CM24278" s="111"/>
      <c r="CQ24278" s="111"/>
      <c r="EF24278"/>
      <c r="EG24278"/>
      <c r="EH24278"/>
      <c r="EI24278"/>
      <c r="EJ24278"/>
      <c r="EK24278"/>
    </row>
    <row r="24279" spans="1:141" s="116" customFormat="1">
      <c r="A24279" s="136"/>
      <c r="CM24279" s="111"/>
      <c r="CQ24279" s="111"/>
      <c r="EF24279"/>
      <c r="EG24279"/>
      <c r="EH24279"/>
      <c r="EI24279"/>
      <c r="EJ24279"/>
      <c r="EK24279"/>
    </row>
    <row r="24280" spans="1:141" s="116" customFormat="1">
      <c r="A24280" s="136"/>
      <c r="CM24280" s="111"/>
      <c r="CQ24280" s="111"/>
      <c r="EF24280"/>
      <c r="EG24280"/>
      <c r="EH24280"/>
      <c r="EI24280"/>
      <c r="EJ24280"/>
      <c r="EK24280"/>
    </row>
    <row r="24281" spans="1:141" s="116" customFormat="1">
      <c r="A24281" s="136"/>
      <c r="CM24281" s="111"/>
      <c r="CQ24281" s="111"/>
      <c r="EF24281"/>
      <c r="EG24281"/>
      <c r="EH24281"/>
      <c r="EI24281"/>
      <c r="EJ24281"/>
      <c r="EK24281"/>
    </row>
    <row r="24282" spans="1:141" s="116" customFormat="1">
      <c r="A24282" s="136"/>
      <c r="CM24282" s="111"/>
      <c r="CQ24282" s="111"/>
      <c r="EF24282"/>
      <c r="EG24282"/>
      <c r="EH24282"/>
      <c r="EI24282"/>
      <c r="EJ24282"/>
      <c r="EK24282"/>
    </row>
    <row r="24283" spans="1:141" s="116" customFormat="1">
      <c r="A24283" s="136"/>
      <c r="CM24283" s="111"/>
      <c r="CQ24283" s="111"/>
      <c r="EF24283"/>
      <c r="EG24283"/>
      <c r="EH24283"/>
      <c r="EI24283"/>
      <c r="EJ24283"/>
      <c r="EK24283"/>
    </row>
    <row r="24284" spans="1:141" s="116" customFormat="1">
      <c r="A24284" s="136"/>
      <c r="CM24284" s="111"/>
      <c r="CQ24284" s="111"/>
      <c r="EF24284"/>
      <c r="EG24284"/>
      <c r="EH24284"/>
      <c r="EI24284"/>
      <c r="EJ24284"/>
      <c r="EK24284"/>
    </row>
    <row r="24285" spans="1:141" s="116" customFormat="1">
      <c r="A24285" s="136"/>
      <c r="CM24285" s="111"/>
      <c r="CQ24285" s="111"/>
      <c r="EF24285"/>
      <c r="EG24285"/>
      <c r="EH24285"/>
      <c r="EI24285"/>
      <c r="EJ24285"/>
      <c r="EK24285"/>
    </row>
    <row r="24286" spans="1:141" s="116" customFormat="1">
      <c r="A24286" s="136"/>
      <c r="CM24286" s="111"/>
      <c r="CQ24286" s="111"/>
      <c r="EF24286"/>
      <c r="EG24286"/>
      <c r="EH24286"/>
      <c r="EI24286"/>
      <c r="EJ24286"/>
      <c r="EK24286"/>
    </row>
    <row r="24287" spans="1:141" s="116" customFormat="1">
      <c r="A24287" s="136"/>
      <c r="CM24287" s="111"/>
      <c r="CQ24287" s="111"/>
      <c r="EF24287"/>
      <c r="EG24287"/>
      <c r="EH24287"/>
      <c r="EI24287"/>
      <c r="EJ24287"/>
      <c r="EK24287"/>
    </row>
    <row r="24288" spans="1:141" s="116" customFormat="1">
      <c r="A24288" s="136"/>
      <c r="CM24288" s="111"/>
      <c r="CQ24288" s="111"/>
      <c r="EF24288"/>
      <c r="EG24288"/>
      <c r="EH24288"/>
      <c r="EI24288"/>
      <c r="EJ24288"/>
      <c r="EK24288"/>
    </row>
    <row r="24289" spans="1:141" s="116" customFormat="1">
      <c r="A24289" s="136"/>
      <c r="CM24289" s="111"/>
      <c r="CQ24289" s="111"/>
      <c r="EF24289"/>
      <c r="EG24289"/>
      <c r="EH24289"/>
      <c r="EI24289"/>
      <c r="EJ24289"/>
      <c r="EK24289"/>
    </row>
    <row r="24290" spans="1:141" s="116" customFormat="1">
      <c r="A24290" s="136"/>
      <c r="CM24290" s="111"/>
      <c r="CQ24290" s="111"/>
      <c r="EF24290"/>
      <c r="EG24290"/>
      <c r="EH24290"/>
      <c r="EI24290"/>
      <c r="EJ24290"/>
      <c r="EK24290"/>
    </row>
    <row r="24291" spans="1:141" s="116" customFormat="1">
      <c r="A24291" s="136"/>
      <c r="CM24291" s="111"/>
      <c r="CQ24291" s="111"/>
      <c r="EF24291"/>
      <c r="EG24291"/>
      <c r="EH24291"/>
      <c r="EI24291"/>
      <c r="EJ24291"/>
      <c r="EK24291"/>
    </row>
    <row r="24292" spans="1:141" s="116" customFormat="1">
      <c r="A24292" s="136"/>
      <c r="CM24292" s="111"/>
      <c r="CQ24292" s="111"/>
      <c r="EF24292"/>
      <c r="EG24292"/>
      <c r="EH24292"/>
      <c r="EI24292"/>
      <c r="EJ24292"/>
      <c r="EK24292"/>
    </row>
    <row r="24293" spans="1:141" s="116" customFormat="1">
      <c r="A24293" s="136"/>
      <c r="CM24293" s="111"/>
      <c r="CQ24293" s="111"/>
      <c r="EF24293"/>
      <c r="EG24293"/>
      <c r="EH24293"/>
      <c r="EI24293"/>
      <c r="EJ24293"/>
      <c r="EK24293"/>
    </row>
    <row r="24294" spans="1:141" s="116" customFormat="1">
      <c r="A24294" s="136"/>
      <c r="CM24294" s="111"/>
      <c r="CQ24294" s="111"/>
      <c r="EF24294"/>
      <c r="EG24294"/>
      <c r="EH24294"/>
      <c r="EI24294"/>
      <c r="EJ24294"/>
      <c r="EK24294"/>
    </row>
    <row r="24295" spans="1:141" s="116" customFormat="1">
      <c r="A24295" s="136"/>
      <c r="CM24295" s="111"/>
      <c r="CQ24295" s="111"/>
      <c r="EF24295"/>
      <c r="EG24295"/>
      <c r="EH24295"/>
      <c r="EI24295"/>
      <c r="EJ24295"/>
      <c r="EK24295"/>
    </row>
    <row r="24296" spans="1:141" s="116" customFormat="1">
      <c r="A24296" s="136"/>
      <c r="CM24296" s="111"/>
      <c r="CQ24296" s="111"/>
      <c r="EF24296"/>
      <c r="EG24296"/>
      <c r="EH24296"/>
      <c r="EI24296"/>
      <c r="EJ24296"/>
      <c r="EK24296"/>
    </row>
    <row r="24297" spans="1:141" s="116" customFormat="1">
      <c r="A24297" s="136"/>
      <c r="CM24297" s="111"/>
      <c r="CQ24297" s="111"/>
      <c r="EF24297"/>
      <c r="EG24297"/>
      <c r="EH24297"/>
      <c r="EI24297"/>
      <c r="EJ24297"/>
      <c r="EK24297"/>
    </row>
    <row r="24298" spans="1:141" s="116" customFormat="1">
      <c r="A24298" s="136"/>
      <c r="CM24298" s="111"/>
      <c r="CQ24298" s="111"/>
      <c r="EF24298"/>
      <c r="EG24298"/>
      <c r="EH24298"/>
      <c r="EI24298"/>
      <c r="EJ24298"/>
      <c r="EK24298"/>
    </row>
    <row r="24299" spans="1:141" s="116" customFormat="1">
      <c r="A24299" s="136"/>
      <c r="CM24299" s="111"/>
      <c r="CQ24299" s="111"/>
      <c r="EF24299"/>
      <c r="EG24299"/>
      <c r="EH24299"/>
      <c r="EI24299"/>
      <c r="EJ24299"/>
      <c r="EK24299"/>
    </row>
    <row r="24300" spans="1:141" s="116" customFormat="1">
      <c r="A24300" s="136"/>
      <c r="CM24300" s="111"/>
      <c r="CQ24300" s="111"/>
      <c r="EF24300"/>
      <c r="EG24300"/>
      <c r="EH24300"/>
      <c r="EI24300"/>
      <c r="EJ24300"/>
      <c r="EK24300"/>
    </row>
    <row r="24301" spans="1:141" s="116" customFormat="1">
      <c r="A24301" s="136"/>
      <c r="CM24301" s="111"/>
      <c r="CQ24301" s="111"/>
      <c r="EF24301"/>
      <c r="EG24301"/>
      <c r="EH24301"/>
      <c r="EI24301"/>
      <c r="EJ24301"/>
      <c r="EK24301"/>
    </row>
    <row r="24302" spans="1:141" s="116" customFormat="1">
      <c r="A24302" s="136"/>
      <c r="CM24302" s="111"/>
      <c r="CQ24302" s="111"/>
      <c r="EF24302"/>
      <c r="EG24302"/>
      <c r="EH24302"/>
      <c r="EI24302"/>
      <c r="EJ24302"/>
      <c r="EK24302"/>
    </row>
    <row r="24303" spans="1:141" s="116" customFormat="1">
      <c r="A24303" s="136"/>
      <c r="CM24303" s="111"/>
      <c r="CQ24303" s="111"/>
      <c r="EF24303"/>
      <c r="EG24303"/>
      <c r="EH24303"/>
      <c r="EI24303"/>
      <c r="EJ24303"/>
      <c r="EK24303"/>
    </row>
    <row r="24304" spans="1:141" s="116" customFormat="1">
      <c r="A24304" s="136"/>
      <c r="CM24304" s="111"/>
      <c r="CQ24304" s="111"/>
      <c r="EF24304"/>
      <c r="EG24304"/>
      <c r="EH24304"/>
      <c r="EI24304"/>
      <c r="EJ24304"/>
      <c r="EK24304"/>
    </row>
    <row r="24305" spans="1:141" s="116" customFormat="1">
      <c r="A24305" s="136"/>
      <c r="CM24305" s="111"/>
      <c r="CQ24305" s="111"/>
      <c r="EF24305"/>
      <c r="EG24305"/>
      <c r="EH24305"/>
      <c r="EI24305"/>
      <c r="EJ24305"/>
      <c r="EK24305"/>
    </row>
    <row r="24306" spans="1:141" s="116" customFormat="1">
      <c r="A24306" s="136"/>
      <c r="CM24306" s="111"/>
      <c r="CQ24306" s="111"/>
      <c r="EF24306"/>
      <c r="EG24306"/>
      <c r="EH24306"/>
      <c r="EI24306"/>
      <c r="EJ24306"/>
      <c r="EK24306"/>
    </row>
    <row r="24307" spans="1:141" s="116" customFormat="1">
      <c r="A24307" s="136"/>
      <c r="CM24307" s="111"/>
      <c r="CQ24307" s="111"/>
      <c r="EF24307"/>
      <c r="EG24307"/>
      <c r="EH24307"/>
      <c r="EI24307"/>
      <c r="EJ24307"/>
      <c r="EK24307"/>
    </row>
    <row r="24308" spans="1:141" s="116" customFormat="1">
      <c r="A24308" s="136"/>
      <c r="CM24308" s="111"/>
      <c r="CQ24308" s="111"/>
      <c r="EF24308"/>
      <c r="EG24308"/>
      <c r="EH24308"/>
      <c r="EI24308"/>
      <c r="EJ24308"/>
      <c r="EK24308"/>
    </row>
    <row r="24309" spans="1:141" s="116" customFormat="1">
      <c r="A24309" s="136"/>
      <c r="CM24309" s="111"/>
      <c r="CQ24309" s="111"/>
      <c r="EF24309"/>
      <c r="EG24309"/>
      <c r="EH24309"/>
      <c r="EI24309"/>
      <c r="EJ24309"/>
      <c r="EK24309"/>
    </row>
    <row r="24310" spans="1:141" s="116" customFormat="1">
      <c r="A24310" s="136"/>
      <c r="CM24310" s="111"/>
      <c r="CQ24310" s="111"/>
      <c r="EF24310"/>
      <c r="EG24310"/>
      <c r="EH24310"/>
      <c r="EI24310"/>
      <c r="EJ24310"/>
      <c r="EK24310"/>
    </row>
    <row r="24311" spans="1:141" s="116" customFormat="1">
      <c r="A24311" s="136"/>
      <c r="CM24311" s="111"/>
      <c r="CQ24311" s="111"/>
      <c r="EF24311"/>
      <c r="EG24311"/>
      <c r="EH24311"/>
      <c r="EI24311"/>
      <c r="EJ24311"/>
      <c r="EK24311"/>
    </row>
    <row r="24312" spans="1:141" s="116" customFormat="1">
      <c r="A24312" s="136"/>
      <c r="CM24312" s="111"/>
      <c r="CQ24312" s="111"/>
      <c r="EF24312"/>
      <c r="EG24312"/>
      <c r="EH24312"/>
      <c r="EI24312"/>
      <c r="EJ24312"/>
      <c r="EK24312"/>
    </row>
    <row r="24313" spans="1:141" s="116" customFormat="1">
      <c r="A24313" s="136"/>
      <c r="CM24313" s="111"/>
      <c r="CQ24313" s="111"/>
      <c r="EF24313"/>
      <c r="EG24313"/>
      <c r="EH24313"/>
      <c r="EI24313"/>
      <c r="EJ24313"/>
      <c r="EK24313"/>
    </row>
    <row r="24314" spans="1:141" s="116" customFormat="1">
      <c r="A24314" s="136"/>
      <c r="CM24314" s="111"/>
      <c r="CQ24314" s="111"/>
      <c r="EF24314"/>
      <c r="EG24314"/>
      <c r="EH24314"/>
      <c r="EI24314"/>
      <c r="EJ24314"/>
      <c r="EK24314"/>
    </row>
    <row r="24315" spans="1:141" s="116" customFormat="1">
      <c r="A24315" s="136"/>
      <c r="CM24315" s="111"/>
      <c r="CQ24315" s="111"/>
      <c r="EF24315"/>
      <c r="EG24315"/>
      <c r="EH24315"/>
      <c r="EI24315"/>
      <c r="EJ24315"/>
      <c r="EK24315"/>
    </row>
    <row r="24316" spans="1:141" s="116" customFormat="1">
      <c r="A24316" s="136"/>
      <c r="CM24316" s="111"/>
      <c r="CQ24316" s="111"/>
      <c r="EF24316"/>
      <c r="EG24316"/>
      <c r="EH24316"/>
      <c r="EI24316"/>
      <c r="EJ24316"/>
      <c r="EK24316"/>
    </row>
    <row r="24317" spans="1:141" s="116" customFormat="1">
      <c r="A24317" s="136"/>
      <c r="CM24317" s="111"/>
      <c r="CQ24317" s="111"/>
      <c r="EF24317"/>
      <c r="EG24317"/>
      <c r="EH24317"/>
      <c r="EI24317"/>
      <c r="EJ24317"/>
      <c r="EK24317"/>
    </row>
    <row r="24318" spans="1:141" s="116" customFormat="1">
      <c r="A24318" s="136"/>
      <c r="CM24318" s="111"/>
      <c r="CQ24318" s="111"/>
      <c r="EF24318"/>
      <c r="EG24318"/>
      <c r="EH24318"/>
      <c r="EI24318"/>
      <c r="EJ24318"/>
      <c r="EK24318"/>
    </row>
    <row r="24319" spans="1:141" s="116" customFormat="1">
      <c r="A24319" s="136"/>
      <c r="CM24319" s="111"/>
      <c r="CQ24319" s="111"/>
      <c r="EF24319"/>
      <c r="EG24319"/>
      <c r="EH24319"/>
      <c r="EI24319"/>
      <c r="EJ24319"/>
      <c r="EK24319"/>
    </row>
    <row r="24320" spans="1:141" s="116" customFormat="1">
      <c r="A24320" s="136"/>
      <c r="CM24320" s="111"/>
      <c r="CQ24320" s="111"/>
      <c r="EF24320"/>
      <c r="EG24320"/>
      <c r="EH24320"/>
      <c r="EI24320"/>
      <c r="EJ24320"/>
      <c r="EK24320"/>
    </row>
    <row r="24321" spans="1:141" s="116" customFormat="1">
      <c r="A24321" s="136"/>
      <c r="CM24321" s="111"/>
      <c r="CQ24321" s="111"/>
      <c r="EF24321"/>
      <c r="EG24321"/>
      <c r="EH24321"/>
      <c r="EI24321"/>
      <c r="EJ24321"/>
      <c r="EK24321"/>
    </row>
    <row r="24322" spans="1:141" s="116" customFormat="1">
      <c r="A24322" s="136"/>
      <c r="CM24322" s="111"/>
      <c r="CQ24322" s="111"/>
      <c r="EF24322"/>
      <c r="EG24322"/>
      <c r="EH24322"/>
      <c r="EI24322"/>
      <c r="EJ24322"/>
      <c r="EK24322"/>
    </row>
    <row r="24323" spans="1:141" s="116" customFormat="1">
      <c r="A24323" s="136"/>
      <c r="CM24323" s="111"/>
      <c r="CQ24323" s="111"/>
      <c r="EF24323"/>
      <c r="EG24323"/>
      <c r="EH24323"/>
      <c r="EI24323"/>
      <c r="EJ24323"/>
      <c r="EK24323"/>
    </row>
    <row r="24324" spans="1:141" s="116" customFormat="1">
      <c r="A24324" s="136"/>
      <c r="CM24324" s="111"/>
      <c r="CQ24324" s="111"/>
      <c r="EF24324"/>
      <c r="EG24324"/>
      <c r="EH24324"/>
      <c r="EI24324"/>
      <c r="EJ24324"/>
      <c r="EK24324"/>
    </row>
    <row r="24325" spans="1:141" s="116" customFormat="1">
      <c r="A24325" s="136"/>
      <c r="CM24325" s="111"/>
      <c r="CQ24325" s="111"/>
      <c r="EF24325"/>
      <c r="EG24325"/>
      <c r="EH24325"/>
      <c r="EI24325"/>
      <c r="EJ24325"/>
      <c r="EK24325"/>
    </row>
    <row r="24326" spans="1:141" s="116" customFormat="1">
      <c r="A24326" s="136"/>
      <c r="CM24326" s="111"/>
      <c r="CQ24326" s="111"/>
      <c r="EF24326"/>
      <c r="EG24326"/>
      <c r="EH24326"/>
      <c r="EI24326"/>
      <c r="EJ24326"/>
      <c r="EK24326"/>
    </row>
    <row r="24327" spans="1:141" s="116" customFormat="1">
      <c r="A24327" s="136"/>
      <c r="CM24327" s="111"/>
      <c r="CQ24327" s="111"/>
      <c r="EF24327"/>
      <c r="EG24327"/>
      <c r="EH24327"/>
      <c r="EI24327"/>
      <c r="EJ24327"/>
      <c r="EK24327"/>
    </row>
    <row r="24328" spans="1:141" s="116" customFormat="1">
      <c r="A24328" s="136"/>
      <c r="CM24328" s="111"/>
      <c r="CQ24328" s="111"/>
      <c r="EF24328"/>
      <c r="EG24328"/>
      <c r="EH24328"/>
      <c r="EI24328"/>
      <c r="EJ24328"/>
      <c r="EK24328"/>
    </row>
    <row r="24329" spans="1:141" s="116" customFormat="1">
      <c r="A24329" s="136"/>
      <c r="CM24329" s="111"/>
      <c r="CQ24329" s="111"/>
      <c r="EF24329"/>
      <c r="EG24329"/>
      <c r="EH24329"/>
      <c r="EI24329"/>
      <c r="EJ24329"/>
      <c r="EK24329"/>
    </row>
    <row r="24330" spans="1:141" s="116" customFormat="1">
      <c r="A24330" s="136"/>
      <c r="CM24330" s="111"/>
      <c r="CQ24330" s="111"/>
      <c r="EF24330"/>
      <c r="EG24330"/>
      <c r="EH24330"/>
      <c r="EI24330"/>
      <c r="EJ24330"/>
      <c r="EK24330"/>
    </row>
    <row r="24331" spans="1:141" s="116" customFormat="1">
      <c r="A24331" s="136"/>
      <c r="CM24331" s="111"/>
      <c r="CQ24331" s="111"/>
      <c r="EF24331"/>
      <c r="EG24331"/>
      <c r="EH24331"/>
      <c r="EI24331"/>
      <c r="EJ24331"/>
      <c r="EK24331"/>
    </row>
    <row r="24332" spans="1:141" s="116" customFormat="1">
      <c r="A24332" s="136"/>
      <c r="CM24332" s="111"/>
      <c r="CQ24332" s="111"/>
      <c r="EF24332"/>
      <c r="EG24332"/>
      <c r="EH24332"/>
      <c r="EI24332"/>
      <c r="EJ24332"/>
      <c r="EK24332"/>
    </row>
    <row r="24333" spans="1:141" s="116" customFormat="1">
      <c r="A24333" s="136"/>
      <c r="CM24333" s="111"/>
      <c r="CQ24333" s="111"/>
      <c r="EF24333"/>
      <c r="EG24333"/>
      <c r="EH24333"/>
      <c r="EI24333"/>
      <c r="EJ24333"/>
      <c r="EK24333"/>
    </row>
    <row r="24334" spans="1:141" s="116" customFormat="1">
      <c r="A24334" s="136"/>
      <c r="CM24334" s="111"/>
      <c r="CQ24334" s="111"/>
      <c r="EF24334"/>
      <c r="EG24334"/>
      <c r="EH24334"/>
      <c r="EI24334"/>
      <c r="EJ24334"/>
      <c r="EK24334"/>
    </row>
    <row r="24335" spans="1:141" s="116" customFormat="1">
      <c r="A24335" s="136"/>
      <c r="CM24335" s="111"/>
      <c r="CQ24335" s="111"/>
      <c r="EF24335"/>
      <c r="EG24335"/>
      <c r="EH24335"/>
      <c r="EI24335"/>
      <c r="EJ24335"/>
      <c r="EK24335"/>
    </row>
    <row r="24336" spans="1:141" s="116" customFormat="1">
      <c r="A24336" s="136"/>
      <c r="CM24336" s="111"/>
      <c r="CQ24336" s="111"/>
      <c r="EF24336"/>
      <c r="EG24336"/>
      <c r="EH24336"/>
      <c r="EI24336"/>
      <c r="EJ24336"/>
      <c r="EK24336"/>
    </row>
    <row r="24337" spans="1:141" s="116" customFormat="1">
      <c r="A24337" s="136"/>
      <c r="CM24337" s="111"/>
      <c r="CQ24337" s="111"/>
      <c r="EF24337"/>
      <c r="EG24337"/>
      <c r="EH24337"/>
      <c r="EI24337"/>
      <c r="EJ24337"/>
      <c r="EK24337"/>
    </row>
    <row r="24338" spans="1:141" s="116" customFormat="1">
      <c r="A24338" s="136"/>
      <c r="CM24338" s="111"/>
      <c r="CQ24338" s="111"/>
      <c r="EF24338"/>
      <c r="EG24338"/>
      <c r="EH24338"/>
      <c r="EI24338"/>
      <c r="EJ24338"/>
      <c r="EK24338"/>
    </row>
    <row r="24339" spans="1:141" s="116" customFormat="1">
      <c r="A24339" s="136"/>
      <c r="CM24339" s="111"/>
      <c r="CQ24339" s="111"/>
      <c r="EF24339"/>
      <c r="EG24339"/>
      <c r="EH24339"/>
      <c r="EI24339"/>
      <c r="EJ24339"/>
      <c r="EK24339"/>
    </row>
    <row r="24340" spans="1:141" s="116" customFormat="1">
      <c r="A24340" s="136"/>
      <c r="CM24340" s="111"/>
      <c r="CQ24340" s="111"/>
      <c r="EF24340"/>
      <c r="EG24340"/>
      <c r="EH24340"/>
      <c r="EI24340"/>
      <c r="EJ24340"/>
      <c r="EK24340"/>
    </row>
    <row r="24341" spans="1:141" s="116" customFormat="1">
      <c r="A24341" s="136"/>
      <c r="CM24341" s="111"/>
      <c r="CQ24341" s="111"/>
      <c r="EF24341"/>
      <c r="EG24341"/>
      <c r="EH24341"/>
      <c r="EI24341"/>
      <c r="EJ24341"/>
      <c r="EK24341"/>
    </row>
    <row r="24342" spans="1:141" s="116" customFormat="1">
      <c r="A24342" s="136"/>
      <c r="CM24342" s="111"/>
      <c r="CQ24342" s="111"/>
      <c r="EF24342"/>
      <c r="EG24342"/>
      <c r="EH24342"/>
      <c r="EI24342"/>
      <c r="EJ24342"/>
      <c r="EK24342"/>
    </row>
    <row r="24343" spans="1:141" s="116" customFormat="1">
      <c r="A24343" s="136"/>
      <c r="CM24343" s="111"/>
      <c r="CQ24343" s="111"/>
      <c r="EF24343"/>
      <c r="EG24343"/>
      <c r="EH24343"/>
      <c r="EI24343"/>
      <c r="EJ24343"/>
      <c r="EK24343"/>
    </row>
    <row r="24344" spans="1:141" s="116" customFormat="1">
      <c r="A24344" s="136"/>
      <c r="CM24344" s="111"/>
      <c r="CQ24344" s="111"/>
      <c r="EF24344"/>
      <c r="EG24344"/>
      <c r="EH24344"/>
      <c r="EI24344"/>
      <c r="EJ24344"/>
      <c r="EK24344"/>
    </row>
    <row r="24345" spans="1:141" s="116" customFormat="1">
      <c r="A24345" s="136"/>
      <c r="CM24345" s="111"/>
      <c r="CQ24345" s="111"/>
      <c r="EF24345"/>
      <c r="EG24345"/>
      <c r="EH24345"/>
      <c r="EI24345"/>
      <c r="EJ24345"/>
      <c r="EK24345"/>
    </row>
    <row r="24346" spans="1:141" s="116" customFormat="1">
      <c r="A24346" s="136"/>
      <c r="CM24346" s="111"/>
      <c r="CQ24346" s="111"/>
      <c r="EF24346"/>
      <c r="EG24346"/>
      <c r="EH24346"/>
      <c r="EI24346"/>
      <c r="EJ24346"/>
      <c r="EK24346"/>
    </row>
    <row r="24347" spans="1:141" s="116" customFormat="1">
      <c r="A24347" s="136"/>
      <c r="CM24347" s="111"/>
      <c r="CQ24347" s="111"/>
      <c r="EF24347"/>
      <c r="EG24347"/>
      <c r="EH24347"/>
      <c r="EI24347"/>
      <c r="EJ24347"/>
      <c r="EK24347"/>
    </row>
    <row r="24348" spans="1:141" s="116" customFormat="1">
      <c r="A24348" s="136"/>
      <c r="CM24348" s="111"/>
      <c r="CQ24348" s="111"/>
      <c r="EF24348"/>
      <c r="EG24348"/>
      <c r="EH24348"/>
      <c r="EI24348"/>
      <c r="EJ24348"/>
      <c r="EK24348"/>
    </row>
    <row r="24349" spans="1:141" s="116" customFormat="1">
      <c r="A24349" s="136"/>
      <c r="CM24349" s="111"/>
      <c r="CQ24349" s="111"/>
      <c r="EF24349"/>
      <c r="EG24349"/>
      <c r="EH24349"/>
      <c r="EI24349"/>
      <c r="EJ24349"/>
      <c r="EK24349"/>
    </row>
    <row r="24350" spans="1:141" s="116" customFormat="1">
      <c r="A24350" s="136"/>
      <c r="CM24350" s="111"/>
      <c r="CQ24350" s="111"/>
      <c r="EF24350"/>
      <c r="EG24350"/>
      <c r="EH24350"/>
      <c r="EI24350"/>
      <c r="EJ24350"/>
      <c r="EK24350"/>
    </row>
    <row r="24351" spans="1:141" s="116" customFormat="1">
      <c r="A24351" s="136"/>
      <c r="CM24351" s="111"/>
      <c r="CQ24351" s="111"/>
      <c r="EF24351"/>
      <c r="EG24351"/>
      <c r="EH24351"/>
      <c r="EI24351"/>
      <c r="EJ24351"/>
      <c r="EK24351"/>
    </row>
    <row r="24352" spans="1:141" s="116" customFormat="1">
      <c r="A24352" s="136"/>
      <c r="CM24352" s="111"/>
      <c r="CQ24352" s="111"/>
      <c r="EF24352"/>
      <c r="EG24352"/>
      <c r="EH24352"/>
      <c r="EI24352"/>
      <c r="EJ24352"/>
      <c r="EK24352"/>
    </row>
    <row r="24353" spans="1:141" s="116" customFormat="1">
      <c r="A24353" s="136"/>
      <c r="CM24353" s="111"/>
      <c r="CQ24353" s="111"/>
      <c r="EF24353"/>
      <c r="EG24353"/>
      <c r="EH24353"/>
      <c r="EI24353"/>
      <c r="EJ24353"/>
      <c r="EK24353"/>
    </row>
    <row r="24354" spans="1:141" s="116" customFormat="1">
      <c r="A24354" s="136"/>
      <c r="CM24354" s="111"/>
      <c r="CQ24354" s="111"/>
      <c r="EF24354"/>
      <c r="EG24354"/>
      <c r="EH24354"/>
      <c r="EI24354"/>
      <c r="EJ24354"/>
      <c r="EK24354"/>
    </row>
    <row r="24355" spans="1:141" s="116" customFormat="1">
      <c r="A24355" s="136"/>
      <c r="CM24355" s="111"/>
      <c r="CQ24355" s="111"/>
      <c r="EF24355"/>
      <c r="EG24355"/>
      <c r="EH24355"/>
      <c r="EI24355"/>
      <c r="EJ24355"/>
      <c r="EK24355"/>
    </row>
    <row r="24356" spans="1:141" s="116" customFormat="1">
      <c r="A24356" s="136"/>
      <c r="CM24356" s="111"/>
      <c r="CQ24356" s="111"/>
      <c r="EF24356"/>
      <c r="EG24356"/>
      <c r="EH24356"/>
      <c r="EI24356"/>
      <c r="EJ24356"/>
      <c r="EK24356"/>
    </row>
    <row r="24357" spans="1:141" s="116" customFormat="1">
      <c r="A24357" s="136"/>
      <c r="CM24357" s="111"/>
      <c r="CQ24357" s="111"/>
      <c r="EF24357"/>
      <c r="EG24357"/>
      <c r="EH24357"/>
      <c r="EI24357"/>
      <c r="EJ24357"/>
      <c r="EK24357"/>
    </row>
    <row r="24358" spans="1:141" s="116" customFormat="1">
      <c r="A24358" s="136"/>
      <c r="CM24358" s="111"/>
      <c r="CQ24358" s="111"/>
      <c r="EF24358"/>
      <c r="EG24358"/>
      <c r="EH24358"/>
      <c r="EI24358"/>
      <c r="EJ24358"/>
      <c r="EK24358"/>
    </row>
    <row r="24359" spans="1:141" s="116" customFormat="1">
      <c r="A24359" s="136"/>
      <c r="CM24359" s="111"/>
      <c r="CQ24359" s="111"/>
      <c r="EF24359"/>
      <c r="EG24359"/>
      <c r="EH24359"/>
      <c r="EI24359"/>
      <c r="EJ24359"/>
      <c r="EK24359"/>
    </row>
    <row r="24360" spans="1:141" s="116" customFormat="1">
      <c r="A24360" s="136"/>
      <c r="CM24360" s="111"/>
      <c r="CQ24360" s="111"/>
      <c r="EF24360"/>
      <c r="EG24360"/>
      <c r="EH24360"/>
      <c r="EI24360"/>
      <c r="EJ24360"/>
      <c r="EK24360"/>
    </row>
    <row r="24361" spans="1:141" s="116" customFormat="1">
      <c r="A24361" s="136"/>
      <c r="CM24361" s="111"/>
      <c r="CQ24361" s="111"/>
      <c r="EF24361"/>
      <c r="EG24361"/>
      <c r="EH24361"/>
      <c r="EI24361"/>
      <c r="EJ24361"/>
      <c r="EK24361"/>
    </row>
    <row r="24362" spans="1:141" s="116" customFormat="1">
      <c r="A24362" s="136"/>
      <c r="CM24362" s="111"/>
      <c r="CQ24362" s="111"/>
      <c r="EF24362"/>
      <c r="EG24362"/>
      <c r="EH24362"/>
      <c r="EI24362"/>
      <c r="EJ24362"/>
      <c r="EK24362"/>
    </row>
    <row r="24363" spans="1:141" s="116" customFormat="1">
      <c r="A24363" s="136"/>
      <c r="CM24363" s="111"/>
      <c r="CQ24363" s="111"/>
      <c r="EF24363"/>
      <c r="EG24363"/>
      <c r="EH24363"/>
      <c r="EI24363"/>
      <c r="EJ24363"/>
      <c r="EK24363"/>
    </row>
    <row r="24364" spans="1:141" s="116" customFormat="1">
      <c r="A24364" s="136"/>
      <c r="CM24364" s="111"/>
      <c r="CQ24364" s="111"/>
      <c r="EF24364"/>
      <c r="EG24364"/>
      <c r="EH24364"/>
      <c r="EI24364"/>
      <c r="EJ24364"/>
      <c r="EK24364"/>
    </row>
    <row r="24365" spans="1:141" s="116" customFormat="1">
      <c r="A24365" s="136"/>
      <c r="CM24365" s="111"/>
      <c r="CQ24365" s="111"/>
      <c r="EF24365"/>
      <c r="EG24365"/>
      <c r="EH24365"/>
      <c r="EI24365"/>
      <c r="EJ24365"/>
      <c r="EK24365"/>
    </row>
    <row r="24366" spans="1:141" s="116" customFormat="1">
      <c r="A24366" s="136"/>
      <c r="CM24366" s="111"/>
      <c r="CQ24366" s="111"/>
      <c r="EF24366"/>
      <c r="EG24366"/>
      <c r="EH24366"/>
      <c r="EI24366"/>
      <c r="EJ24366"/>
      <c r="EK24366"/>
    </row>
    <row r="24367" spans="1:141" s="116" customFormat="1">
      <c r="A24367" s="136"/>
      <c r="CM24367" s="111"/>
      <c r="CQ24367" s="111"/>
      <c r="EF24367"/>
      <c r="EG24367"/>
      <c r="EH24367"/>
      <c r="EI24367"/>
      <c r="EJ24367"/>
      <c r="EK24367"/>
    </row>
    <row r="24368" spans="1:141" s="116" customFormat="1">
      <c r="A24368" s="136"/>
      <c r="CM24368" s="111"/>
      <c r="CQ24368" s="111"/>
      <c r="EF24368"/>
      <c r="EG24368"/>
      <c r="EH24368"/>
      <c r="EI24368"/>
      <c r="EJ24368"/>
      <c r="EK24368"/>
    </row>
    <row r="24369" spans="1:141" s="116" customFormat="1">
      <c r="A24369" s="136"/>
      <c r="CM24369" s="111"/>
      <c r="CQ24369" s="111"/>
      <c r="EF24369"/>
      <c r="EG24369"/>
      <c r="EH24369"/>
      <c r="EI24369"/>
      <c r="EJ24369"/>
      <c r="EK24369"/>
    </row>
    <row r="24370" spans="1:141" s="116" customFormat="1">
      <c r="A24370" s="136"/>
      <c r="CM24370" s="111"/>
      <c r="CQ24370" s="111"/>
      <c r="EF24370"/>
      <c r="EG24370"/>
      <c r="EH24370"/>
      <c r="EI24370"/>
      <c r="EJ24370"/>
      <c r="EK24370"/>
    </row>
    <row r="24371" spans="1:141" s="116" customFormat="1">
      <c r="A24371" s="136"/>
      <c r="CM24371" s="111"/>
      <c r="CQ24371" s="111"/>
      <c r="EF24371"/>
      <c r="EG24371"/>
      <c r="EH24371"/>
      <c r="EI24371"/>
      <c r="EJ24371"/>
      <c r="EK24371"/>
    </row>
    <row r="24372" spans="1:141" s="116" customFormat="1">
      <c r="A24372" s="136"/>
      <c r="CM24372" s="111"/>
      <c r="CQ24372" s="111"/>
      <c r="EF24372"/>
      <c r="EG24372"/>
      <c r="EH24372"/>
      <c r="EI24372"/>
      <c r="EJ24372"/>
      <c r="EK24372"/>
    </row>
    <row r="24373" spans="1:141" s="116" customFormat="1">
      <c r="A24373" s="136"/>
      <c r="CM24373" s="111"/>
      <c r="CQ24373" s="111"/>
      <c r="EF24373"/>
      <c r="EG24373"/>
      <c r="EH24373"/>
      <c r="EI24373"/>
      <c r="EJ24373"/>
      <c r="EK24373"/>
    </row>
    <row r="24374" spans="1:141" s="116" customFormat="1">
      <c r="A24374" s="136"/>
      <c r="CM24374" s="111"/>
      <c r="CQ24374" s="111"/>
      <c r="EF24374"/>
      <c r="EG24374"/>
      <c r="EH24374"/>
      <c r="EI24374"/>
      <c r="EJ24374"/>
      <c r="EK24374"/>
    </row>
    <row r="24375" spans="1:141" s="116" customFormat="1">
      <c r="A24375" s="136"/>
      <c r="CM24375" s="111"/>
      <c r="CQ24375" s="111"/>
      <c r="EF24375"/>
      <c r="EG24375"/>
      <c r="EH24375"/>
      <c r="EI24375"/>
      <c r="EJ24375"/>
      <c r="EK24375"/>
    </row>
    <row r="24376" spans="1:141" s="116" customFormat="1">
      <c r="A24376" s="136"/>
      <c r="CM24376" s="111"/>
      <c r="CQ24376" s="111"/>
      <c r="EF24376"/>
      <c r="EG24376"/>
      <c r="EH24376"/>
      <c r="EI24376"/>
      <c r="EJ24376"/>
      <c r="EK24376"/>
    </row>
    <row r="24377" spans="1:141" s="116" customFormat="1">
      <c r="A24377" s="136"/>
      <c r="CM24377" s="111"/>
      <c r="CQ24377" s="111"/>
      <c r="EF24377"/>
      <c r="EG24377"/>
      <c r="EH24377"/>
      <c r="EI24377"/>
      <c r="EJ24377"/>
      <c r="EK24377"/>
    </row>
    <row r="24378" spans="1:141" s="116" customFormat="1">
      <c r="A24378" s="136"/>
      <c r="CM24378" s="111"/>
      <c r="CQ24378" s="111"/>
      <c r="EF24378"/>
      <c r="EG24378"/>
      <c r="EH24378"/>
      <c r="EI24378"/>
      <c r="EJ24378"/>
      <c r="EK24378"/>
    </row>
    <row r="24379" spans="1:141" s="116" customFormat="1">
      <c r="A24379" s="136"/>
      <c r="CM24379" s="111"/>
      <c r="CQ24379" s="111"/>
      <c r="EF24379"/>
      <c r="EG24379"/>
      <c r="EH24379"/>
      <c r="EI24379"/>
      <c r="EJ24379"/>
      <c r="EK24379"/>
    </row>
    <row r="24380" spans="1:141" s="116" customFormat="1">
      <c r="A24380" s="136"/>
      <c r="CM24380" s="111"/>
      <c r="CQ24380" s="111"/>
      <c r="EF24380"/>
      <c r="EG24380"/>
      <c r="EH24380"/>
      <c r="EI24380"/>
      <c r="EJ24380"/>
      <c r="EK24380"/>
    </row>
    <row r="24381" spans="1:141" s="116" customFormat="1">
      <c r="A24381" s="136"/>
      <c r="CM24381" s="111"/>
      <c r="CQ24381" s="111"/>
      <c r="EF24381"/>
      <c r="EG24381"/>
      <c r="EH24381"/>
      <c r="EI24381"/>
      <c r="EJ24381"/>
      <c r="EK24381"/>
    </row>
    <row r="24382" spans="1:141" s="116" customFormat="1">
      <c r="A24382" s="136"/>
      <c r="CM24382" s="111"/>
      <c r="CQ24382" s="111"/>
      <c r="EF24382"/>
      <c r="EG24382"/>
      <c r="EH24382"/>
      <c r="EI24382"/>
      <c r="EJ24382"/>
      <c r="EK24382"/>
    </row>
    <row r="24383" spans="1:141" s="116" customFormat="1">
      <c r="A24383" s="136"/>
      <c r="CM24383" s="111"/>
      <c r="CQ24383" s="111"/>
      <c r="EF24383"/>
      <c r="EG24383"/>
      <c r="EH24383"/>
      <c r="EI24383"/>
      <c r="EJ24383"/>
      <c r="EK24383"/>
    </row>
    <row r="24384" spans="1:141" s="116" customFormat="1">
      <c r="A24384" s="136"/>
      <c r="CM24384" s="111"/>
      <c r="CQ24384" s="111"/>
      <c r="EF24384"/>
      <c r="EG24384"/>
      <c r="EH24384"/>
      <c r="EI24384"/>
      <c r="EJ24384"/>
      <c r="EK24384"/>
    </row>
    <row r="24385" spans="1:141" s="116" customFormat="1">
      <c r="A24385" s="136"/>
      <c r="CM24385" s="111"/>
      <c r="CQ24385" s="111"/>
      <c r="EF24385"/>
      <c r="EG24385"/>
      <c r="EH24385"/>
      <c r="EI24385"/>
      <c r="EJ24385"/>
      <c r="EK24385"/>
    </row>
    <row r="24386" spans="1:141" s="116" customFormat="1">
      <c r="A24386" s="136"/>
      <c r="CM24386" s="111"/>
      <c r="CQ24386" s="111"/>
      <c r="EF24386"/>
      <c r="EG24386"/>
      <c r="EH24386"/>
      <c r="EI24386"/>
      <c r="EJ24386"/>
      <c r="EK24386"/>
    </row>
    <row r="24387" spans="1:141" s="116" customFormat="1">
      <c r="A24387" s="136"/>
      <c r="CM24387" s="111"/>
      <c r="CQ24387" s="111"/>
      <c r="EF24387"/>
      <c r="EG24387"/>
      <c r="EH24387"/>
      <c r="EI24387"/>
      <c r="EJ24387"/>
      <c r="EK24387"/>
    </row>
    <row r="24388" spans="1:141" s="116" customFormat="1">
      <c r="A24388" s="136"/>
      <c r="CM24388" s="111"/>
      <c r="CQ24388" s="111"/>
      <c r="EF24388"/>
      <c r="EG24388"/>
      <c r="EH24388"/>
      <c r="EI24388"/>
      <c r="EJ24388"/>
      <c r="EK24388"/>
    </row>
    <row r="24389" spans="1:141" s="116" customFormat="1">
      <c r="A24389" s="136"/>
      <c r="CM24389" s="111"/>
      <c r="CQ24389" s="111"/>
      <c r="EF24389"/>
      <c r="EG24389"/>
      <c r="EH24389"/>
      <c r="EI24389"/>
      <c r="EJ24389"/>
      <c r="EK24389"/>
    </row>
    <row r="24390" spans="1:141" s="116" customFormat="1">
      <c r="A24390" s="136"/>
      <c r="CM24390" s="111"/>
      <c r="CQ24390" s="111"/>
      <c r="EF24390"/>
      <c r="EG24390"/>
      <c r="EH24390"/>
      <c r="EI24390"/>
      <c r="EJ24390"/>
      <c r="EK24390"/>
    </row>
    <row r="24391" spans="1:141" s="116" customFormat="1">
      <c r="A24391" s="136"/>
      <c r="CM24391" s="111"/>
      <c r="CQ24391" s="111"/>
      <c r="EF24391"/>
      <c r="EG24391"/>
      <c r="EH24391"/>
      <c r="EI24391"/>
      <c r="EJ24391"/>
      <c r="EK24391"/>
    </row>
    <row r="24392" spans="1:141" s="116" customFormat="1">
      <c r="A24392" s="136"/>
      <c r="CM24392" s="111"/>
      <c r="CQ24392" s="111"/>
      <c r="EF24392"/>
      <c r="EG24392"/>
      <c r="EH24392"/>
      <c r="EI24392"/>
      <c r="EJ24392"/>
      <c r="EK24392"/>
    </row>
    <row r="24393" spans="1:141" s="116" customFormat="1">
      <c r="A24393" s="136"/>
      <c r="CM24393" s="111"/>
      <c r="CQ24393" s="111"/>
      <c r="EF24393"/>
      <c r="EG24393"/>
      <c r="EH24393"/>
      <c r="EI24393"/>
      <c r="EJ24393"/>
      <c r="EK24393"/>
    </row>
    <row r="24394" spans="1:141" s="116" customFormat="1">
      <c r="A24394" s="136"/>
      <c r="CM24394" s="111"/>
      <c r="CQ24394" s="111"/>
      <c r="EF24394"/>
      <c r="EG24394"/>
      <c r="EH24394"/>
      <c r="EI24394"/>
      <c r="EJ24394"/>
      <c r="EK24394"/>
    </row>
    <row r="24395" spans="1:141" s="116" customFormat="1">
      <c r="A24395" s="136"/>
      <c r="CM24395" s="111"/>
      <c r="CQ24395" s="111"/>
      <c r="EF24395"/>
      <c r="EG24395"/>
      <c r="EH24395"/>
      <c r="EI24395"/>
      <c r="EJ24395"/>
      <c r="EK24395"/>
    </row>
    <row r="24396" spans="1:141" s="116" customFormat="1">
      <c r="A24396" s="136"/>
      <c r="CM24396" s="111"/>
      <c r="CQ24396" s="111"/>
      <c r="EF24396"/>
      <c r="EG24396"/>
      <c r="EH24396"/>
      <c r="EI24396"/>
      <c r="EJ24396"/>
      <c r="EK24396"/>
    </row>
    <row r="24397" spans="1:141" s="116" customFormat="1">
      <c r="A24397" s="136"/>
      <c r="CM24397" s="111"/>
      <c r="CQ24397" s="111"/>
      <c r="EF24397"/>
      <c r="EG24397"/>
      <c r="EH24397"/>
      <c r="EI24397"/>
      <c r="EJ24397"/>
      <c r="EK24397"/>
    </row>
    <row r="24398" spans="1:141" s="116" customFormat="1">
      <c r="A24398" s="136"/>
      <c r="CM24398" s="111"/>
      <c r="CQ24398" s="111"/>
      <c r="EF24398"/>
      <c r="EG24398"/>
      <c r="EH24398"/>
      <c r="EI24398"/>
      <c r="EJ24398"/>
      <c r="EK24398"/>
    </row>
    <row r="24399" spans="1:141" s="116" customFormat="1">
      <c r="A24399" s="136"/>
      <c r="CM24399" s="111"/>
      <c r="CQ24399" s="111"/>
      <c r="EF24399"/>
      <c r="EG24399"/>
      <c r="EH24399"/>
      <c r="EI24399"/>
      <c r="EJ24399"/>
      <c r="EK24399"/>
    </row>
    <row r="24400" spans="1:141" s="116" customFormat="1">
      <c r="A24400" s="136"/>
      <c r="CM24400" s="111"/>
      <c r="CQ24400" s="111"/>
      <c r="EF24400"/>
      <c r="EG24400"/>
      <c r="EH24400"/>
      <c r="EI24400"/>
      <c r="EJ24400"/>
      <c r="EK24400"/>
    </row>
    <row r="24401" spans="1:141" s="116" customFormat="1">
      <c r="A24401" s="136"/>
      <c r="CM24401" s="111"/>
      <c r="CQ24401" s="111"/>
      <c r="EF24401"/>
      <c r="EG24401"/>
      <c r="EH24401"/>
      <c r="EI24401"/>
      <c r="EJ24401"/>
      <c r="EK24401"/>
    </row>
    <row r="24402" spans="1:141" s="116" customFormat="1">
      <c r="A24402" s="136"/>
      <c r="CM24402" s="111"/>
      <c r="CQ24402" s="111"/>
      <c r="EF24402"/>
      <c r="EG24402"/>
      <c r="EH24402"/>
      <c r="EI24402"/>
      <c r="EJ24402"/>
      <c r="EK24402"/>
    </row>
    <row r="24403" spans="1:141" s="116" customFormat="1">
      <c r="A24403" s="136"/>
      <c r="CM24403" s="111"/>
      <c r="CQ24403" s="111"/>
      <c r="EF24403"/>
      <c r="EG24403"/>
      <c r="EH24403"/>
      <c r="EI24403"/>
      <c r="EJ24403"/>
      <c r="EK24403"/>
    </row>
    <row r="24404" spans="1:141" s="116" customFormat="1">
      <c r="A24404" s="136"/>
      <c r="CM24404" s="111"/>
      <c r="CQ24404" s="111"/>
      <c r="EF24404"/>
      <c r="EG24404"/>
      <c r="EH24404"/>
      <c r="EI24404"/>
      <c r="EJ24404"/>
      <c r="EK24404"/>
    </row>
    <row r="24405" spans="1:141" s="116" customFormat="1">
      <c r="A24405" s="136"/>
      <c r="CM24405" s="111"/>
      <c r="CQ24405" s="111"/>
      <c r="EF24405"/>
      <c r="EG24405"/>
      <c r="EH24405"/>
      <c r="EI24405"/>
      <c r="EJ24405"/>
      <c r="EK24405"/>
    </row>
    <row r="24406" spans="1:141" s="116" customFormat="1">
      <c r="A24406" s="136"/>
      <c r="CM24406" s="111"/>
      <c r="CQ24406" s="111"/>
      <c r="EF24406"/>
      <c r="EG24406"/>
      <c r="EH24406"/>
      <c r="EI24406"/>
      <c r="EJ24406"/>
      <c r="EK24406"/>
    </row>
    <row r="24407" spans="1:141" s="116" customFormat="1">
      <c r="A24407" s="136"/>
      <c r="CM24407" s="111"/>
      <c r="CQ24407" s="111"/>
      <c r="EF24407"/>
      <c r="EG24407"/>
      <c r="EH24407"/>
      <c r="EI24407"/>
      <c r="EJ24407"/>
      <c r="EK24407"/>
    </row>
    <row r="24408" spans="1:141" s="116" customFormat="1">
      <c r="A24408" s="136"/>
      <c r="CM24408" s="111"/>
      <c r="CQ24408" s="111"/>
      <c r="EF24408"/>
      <c r="EG24408"/>
      <c r="EH24408"/>
      <c r="EI24408"/>
      <c r="EJ24408"/>
      <c r="EK24408"/>
    </row>
    <row r="24409" spans="1:141" s="116" customFormat="1">
      <c r="A24409" s="136"/>
      <c r="CM24409" s="111"/>
      <c r="CQ24409" s="111"/>
      <c r="EF24409"/>
      <c r="EG24409"/>
      <c r="EH24409"/>
      <c r="EI24409"/>
      <c r="EJ24409"/>
      <c r="EK24409"/>
    </row>
    <row r="24410" spans="1:141" s="116" customFormat="1">
      <c r="A24410" s="136"/>
      <c r="CM24410" s="111"/>
      <c r="CQ24410" s="111"/>
      <c r="EF24410"/>
      <c r="EG24410"/>
      <c r="EH24410"/>
      <c r="EI24410"/>
      <c r="EJ24410"/>
      <c r="EK24410"/>
    </row>
    <row r="24411" spans="1:141" s="116" customFormat="1">
      <c r="A24411" s="136"/>
      <c r="CM24411" s="111"/>
      <c r="CQ24411" s="111"/>
      <c r="EF24411"/>
      <c r="EG24411"/>
      <c r="EH24411"/>
      <c r="EI24411"/>
      <c r="EJ24411"/>
      <c r="EK24411"/>
    </row>
    <row r="24412" spans="1:141" s="116" customFormat="1">
      <c r="A24412" s="136"/>
      <c r="CM24412" s="111"/>
      <c r="CQ24412" s="111"/>
      <c r="EF24412"/>
      <c r="EG24412"/>
      <c r="EH24412"/>
      <c r="EI24412"/>
      <c r="EJ24412"/>
      <c r="EK24412"/>
    </row>
    <row r="24413" spans="1:141" s="116" customFormat="1">
      <c r="A24413" s="136"/>
      <c r="CM24413" s="111"/>
      <c r="CQ24413" s="111"/>
      <c r="EF24413"/>
      <c r="EG24413"/>
      <c r="EH24413"/>
      <c r="EI24413"/>
      <c r="EJ24413"/>
      <c r="EK24413"/>
    </row>
    <row r="24414" spans="1:141" s="116" customFormat="1">
      <c r="A24414" s="136"/>
      <c r="CM24414" s="111"/>
      <c r="CQ24414" s="111"/>
      <c r="EF24414"/>
      <c r="EG24414"/>
      <c r="EH24414"/>
      <c r="EI24414"/>
      <c r="EJ24414"/>
      <c r="EK24414"/>
    </row>
    <row r="24415" spans="1:141" s="116" customFormat="1">
      <c r="A24415" s="136"/>
      <c r="CM24415" s="111"/>
      <c r="CQ24415" s="111"/>
      <c r="EF24415"/>
      <c r="EG24415"/>
      <c r="EH24415"/>
      <c r="EI24415"/>
      <c r="EJ24415"/>
      <c r="EK24415"/>
    </row>
    <row r="24416" spans="1:141" s="116" customFormat="1">
      <c r="A24416" s="136"/>
      <c r="CM24416" s="111"/>
      <c r="CQ24416" s="111"/>
      <c r="EF24416"/>
      <c r="EG24416"/>
      <c r="EH24416"/>
      <c r="EI24416"/>
      <c r="EJ24416"/>
      <c r="EK24416"/>
    </row>
    <row r="24417" spans="1:141" s="116" customFormat="1">
      <c r="A24417" s="136"/>
      <c r="CM24417" s="111"/>
      <c r="CQ24417" s="111"/>
      <c r="EF24417"/>
      <c r="EG24417"/>
      <c r="EH24417"/>
      <c r="EI24417"/>
      <c r="EJ24417"/>
      <c r="EK24417"/>
    </row>
    <row r="24418" spans="1:141" s="116" customFormat="1">
      <c r="A24418" s="136"/>
      <c r="CM24418" s="111"/>
      <c r="CQ24418" s="111"/>
      <c r="EF24418"/>
      <c r="EG24418"/>
      <c r="EH24418"/>
      <c r="EI24418"/>
      <c r="EJ24418"/>
      <c r="EK24418"/>
    </row>
    <row r="24419" spans="1:141" s="116" customFormat="1">
      <c r="A24419" s="136"/>
      <c r="CM24419" s="111"/>
      <c r="CQ24419" s="111"/>
      <c r="EF24419"/>
      <c r="EG24419"/>
      <c r="EH24419"/>
      <c r="EI24419"/>
      <c r="EJ24419"/>
      <c r="EK24419"/>
    </row>
    <row r="24420" spans="1:141" s="116" customFormat="1">
      <c r="A24420" s="136"/>
      <c r="CM24420" s="111"/>
      <c r="CQ24420" s="111"/>
      <c r="EF24420"/>
      <c r="EG24420"/>
      <c r="EH24420"/>
      <c r="EI24420"/>
      <c r="EJ24420"/>
      <c r="EK24420"/>
    </row>
    <row r="24421" spans="1:141" s="116" customFormat="1">
      <c r="A24421" s="136"/>
      <c r="CM24421" s="111"/>
      <c r="CQ24421" s="111"/>
      <c r="EF24421"/>
      <c r="EG24421"/>
      <c r="EH24421"/>
      <c r="EI24421"/>
      <c r="EJ24421"/>
      <c r="EK24421"/>
    </row>
    <row r="24422" spans="1:141" s="116" customFormat="1">
      <c r="A24422" s="136"/>
      <c r="CM24422" s="111"/>
      <c r="CQ24422" s="111"/>
      <c r="EF24422"/>
      <c r="EG24422"/>
      <c r="EH24422"/>
      <c r="EI24422"/>
      <c r="EJ24422"/>
      <c r="EK24422"/>
    </row>
    <row r="24423" spans="1:141" s="116" customFormat="1">
      <c r="A24423" s="136"/>
      <c r="CM24423" s="111"/>
      <c r="CQ24423" s="111"/>
      <c r="EF24423"/>
      <c r="EG24423"/>
      <c r="EH24423"/>
      <c r="EI24423"/>
      <c r="EJ24423"/>
      <c r="EK24423"/>
    </row>
    <row r="24424" spans="1:141" s="116" customFormat="1">
      <c r="A24424" s="136"/>
      <c r="CM24424" s="111"/>
      <c r="CQ24424" s="111"/>
      <c r="EF24424"/>
      <c r="EG24424"/>
      <c r="EH24424"/>
      <c r="EI24424"/>
      <c r="EJ24424"/>
      <c r="EK24424"/>
    </row>
    <row r="24425" spans="1:141" s="116" customFormat="1">
      <c r="A24425" s="136"/>
      <c r="CM24425" s="111"/>
      <c r="CQ24425" s="111"/>
      <c r="EF24425"/>
      <c r="EG24425"/>
      <c r="EH24425"/>
      <c r="EI24425"/>
      <c r="EJ24425"/>
      <c r="EK24425"/>
    </row>
    <row r="24426" spans="1:141" s="116" customFormat="1">
      <c r="A24426" s="136"/>
      <c r="CM24426" s="111"/>
      <c r="CQ24426" s="111"/>
      <c r="EF24426"/>
      <c r="EG24426"/>
      <c r="EH24426"/>
      <c r="EI24426"/>
      <c r="EJ24426"/>
      <c r="EK24426"/>
    </row>
    <row r="24427" spans="1:141" s="116" customFormat="1">
      <c r="A24427" s="136"/>
      <c r="CM24427" s="111"/>
      <c r="CQ24427" s="111"/>
      <c r="EF24427"/>
      <c r="EG24427"/>
      <c r="EH24427"/>
      <c r="EI24427"/>
      <c r="EJ24427"/>
      <c r="EK24427"/>
    </row>
    <row r="24428" spans="1:141" s="116" customFormat="1">
      <c r="A24428" s="136"/>
      <c r="CM24428" s="111"/>
      <c r="CQ24428" s="111"/>
      <c r="EF24428"/>
      <c r="EG24428"/>
      <c r="EH24428"/>
      <c r="EI24428"/>
      <c r="EJ24428"/>
      <c r="EK24428"/>
    </row>
    <row r="24429" spans="1:141" s="116" customFormat="1">
      <c r="A24429" s="136"/>
      <c r="CM24429" s="111"/>
      <c r="CQ24429" s="111"/>
      <c r="EF24429"/>
      <c r="EG24429"/>
      <c r="EH24429"/>
      <c r="EI24429"/>
      <c r="EJ24429"/>
      <c r="EK24429"/>
    </row>
    <row r="24430" spans="1:141" s="116" customFormat="1">
      <c r="A24430" s="136"/>
      <c r="CM24430" s="111"/>
      <c r="CQ24430" s="111"/>
      <c r="EF24430"/>
      <c r="EG24430"/>
      <c r="EH24430"/>
      <c r="EI24430"/>
      <c r="EJ24430"/>
      <c r="EK24430"/>
    </row>
    <row r="24431" spans="1:141" s="116" customFormat="1">
      <c r="A24431" s="136"/>
      <c r="CM24431" s="111"/>
      <c r="CQ24431" s="111"/>
      <c r="EF24431"/>
      <c r="EG24431"/>
      <c r="EH24431"/>
      <c r="EI24431"/>
      <c r="EJ24431"/>
      <c r="EK24431"/>
    </row>
    <row r="24432" spans="1:141" s="116" customFormat="1">
      <c r="A24432" s="136"/>
      <c r="CM24432" s="111"/>
      <c r="CQ24432" s="111"/>
      <c r="EF24432"/>
      <c r="EG24432"/>
      <c r="EH24432"/>
      <c r="EI24432"/>
      <c r="EJ24432"/>
      <c r="EK24432"/>
    </row>
    <row r="24433" spans="1:141" s="116" customFormat="1">
      <c r="A24433" s="136"/>
      <c r="CM24433" s="111"/>
      <c r="CQ24433" s="111"/>
      <c r="EF24433"/>
      <c r="EG24433"/>
      <c r="EH24433"/>
      <c r="EI24433"/>
      <c r="EJ24433"/>
      <c r="EK24433"/>
    </row>
    <row r="24434" spans="1:141" s="116" customFormat="1">
      <c r="A24434" s="136"/>
      <c r="CM24434" s="111"/>
      <c r="CQ24434" s="111"/>
      <c r="EF24434"/>
      <c r="EG24434"/>
      <c r="EH24434"/>
      <c r="EI24434"/>
      <c r="EJ24434"/>
      <c r="EK24434"/>
    </row>
    <row r="24435" spans="1:141" s="116" customFormat="1">
      <c r="A24435" s="136"/>
      <c r="CM24435" s="111"/>
      <c r="CQ24435" s="111"/>
      <c r="EF24435"/>
      <c r="EG24435"/>
      <c r="EH24435"/>
      <c r="EI24435"/>
      <c r="EJ24435"/>
      <c r="EK24435"/>
    </row>
    <row r="24436" spans="1:141" s="116" customFormat="1">
      <c r="A24436" s="136"/>
      <c r="CM24436" s="111"/>
      <c r="CQ24436" s="111"/>
      <c r="EF24436"/>
      <c r="EG24436"/>
      <c r="EH24436"/>
      <c r="EI24436"/>
      <c r="EJ24436"/>
      <c r="EK24436"/>
    </row>
    <row r="24437" spans="1:141" s="116" customFormat="1">
      <c r="A24437" s="136"/>
      <c r="CM24437" s="111"/>
      <c r="CQ24437" s="111"/>
      <c r="EF24437"/>
      <c r="EG24437"/>
      <c r="EH24437"/>
      <c r="EI24437"/>
      <c r="EJ24437"/>
      <c r="EK24437"/>
    </row>
    <row r="24438" spans="1:141" s="116" customFormat="1">
      <c r="A24438" s="136"/>
      <c r="CM24438" s="111"/>
      <c r="CQ24438" s="111"/>
      <c r="EF24438"/>
      <c r="EG24438"/>
      <c r="EH24438"/>
      <c r="EI24438"/>
      <c r="EJ24438"/>
      <c r="EK24438"/>
    </row>
    <row r="24439" spans="1:141" s="116" customFormat="1">
      <c r="A24439" s="136"/>
      <c r="CM24439" s="111"/>
      <c r="CQ24439" s="111"/>
      <c r="EF24439"/>
      <c r="EG24439"/>
      <c r="EH24439"/>
      <c r="EI24439"/>
      <c r="EJ24439"/>
      <c r="EK24439"/>
    </row>
    <row r="24440" spans="1:141" s="116" customFormat="1">
      <c r="A24440" s="136"/>
      <c r="CM24440" s="111"/>
      <c r="CQ24440" s="111"/>
      <c r="EF24440"/>
      <c r="EG24440"/>
      <c r="EH24440"/>
      <c r="EI24440"/>
      <c r="EJ24440"/>
      <c r="EK24440"/>
    </row>
    <row r="24441" spans="1:141" s="116" customFormat="1">
      <c r="A24441" s="136"/>
      <c r="CM24441" s="111"/>
      <c r="CQ24441" s="111"/>
      <c r="EF24441"/>
      <c r="EG24441"/>
      <c r="EH24441"/>
      <c r="EI24441"/>
      <c r="EJ24441"/>
      <c r="EK24441"/>
    </row>
    <row r="24442" spans="1:141" s="116" customFormat="1">
      <c r="A24442" s="136"/>
      <c r="CM24442" s="111"/>
      <c r="CQ24442" s="111"/>
      <c r="EF24442"/>
      <c r="EG24442"/>
      <c r="EH24442"/>
      <c r="EI24442"/>
      <c r="EJ24442"/>
      <c r="EK24442"/>
    </row>
    <row r="24443" spans="1:141" s="116" customFormat="1">
      <c r="A24443" s="136"/>
      <c r="CM24443" s="111"/>
      <c r="CQ24443" s="111"/>
      <c r="EF24443"/>
      <c r="EG24443"/>
      <c r="EH24443"/>
      <c r="EI24443"/>
      <c r="EJ24443"/>
      <c r="EK24443"/>
    </row>
    <row r="24444" spans="1:141" s="116" customFormat="1">
      <c r="A24444" s="136"/>
      <c r="CM24444" s="111"/>
      <c r="CQ24444" s="111"/>
      <c r="EF24444"/>
      <c r="EG24444"/>
      <c r="EH24444"/>
      <c r="EI24444"/>
      <c r="EJ24444"/>
      <c r="EK24444"/>
    </row>
    <row r="24445" spans="1:141" s="116" customFormat="1">
      <c r="A24445" s="136"/>
      <c r="CM24445" s="111"/>
      <c r="CQ24445" s="111"/>
      <c r="EF24445"/>
      <c r="EG24445"/>
      <c r="EH24445"/>
      <c r="EI24445"/>
      <c r="EJ24445"/>
      <c r="EK24445"/>
    </row>
    <row r="24446" spans="1:141" s="116" customFormat="1">
      <c r="A24446" s="136"/>
      <c r="CM24446" s="111"/>
      <c r="CQ24446" s="111"/>
      <c r="EF24446"/>
      <c r="EG24446"/>
      <c r="EH24446"/>
      <c r="EI24446"/>
      <c r="EJ24446"/>
      <c r="EK24446"/>
    </row>
    <row r="24447" spans="1:141" s="116" customFormat="1">
      <c r="A24447" s="136"/>
      <c r="CM24447" s="111"/>
      <c r="CQ24447" s="111"/>
      <c r="EF24447"/>
      <c r="EG24447"/>
      <c r="EH24447"/>
      <c r="EI24447"/>
      <c r="EJ24447"/>
      <c r="EK24447"/>
    </row>
    <row r="24448" spans="1:141" s="116" customFormat="1">
      <c r="A24448" s="136"/>
      <c r="CM24448" s="111"/>
      <c r="CQ24448" s="111"/>
      <c r="EF24448"/>
      <c r="EG24448"/>
      <c r="EH24448"/>
      <c r="EI24448"/>
      <c r="EJ24448"/>
      <c r="EK24448"/>
    </row>
    <row r="24449" spans="1:141" s="116" customFormat="1">
      <c r="A24449" s="136"/>
      <c r="CM24449" s="111"/>
      <c r="CQ24449" s="111"/>
      <c r="EF24449"/>
      <c r="EG24449"/>
      <c r="EH24449"/>
      <c r="EI24449"/>
      <c r="EJ24449"/>
      <c r="EK24449"/>
    </row>
    <row r="24450" spans="1:141" s="116" customFormat="1">
      <c r="A24450" s="136"/>
      <c r="CM24450" s="111"/>
      <c r="CQ24450" s="111"/>
      <c r="EF24450"/>
      <c r="EG24450"/>
      <c r="EH24450"/>
      <c r="EI24450"/>
      <c r="EJ24450"/>
      <c r="EK24450"/>
    </row>
    <row r="24451" spans="1:141" s="116" customFormat="1">
      <c r="A24451" s="136"/>
      <c r="CM24451" s="111"/>
      <c r="CQ24451" s="111"/>
      <c r="EF24451"/>
      <c r="EG24451"/>
      <c r="EH24451"/>
      <c r="EI24451"/>
      <c r="EJ24451"/>
      <c r="EK24451"/>
    </row>
    <row r="24452" spans="1:141" s="116" customFormat="1">
      <c r="A24452" s="136"/>
      <c r="CM24452" s="111"/>
      <c r="CQ24452" s="111"/>
      <c r="EF24452"/>
      <c r="EG24452"/>
      <c r="EH24452"/>
      <c r="EI24452"/>
      <c r="EJ24452"/>
      <c r="EK24452"/>
    </row>
    <row r="24453" spans="1:141" s="116" customFormat="1">
      <c r="A24453" s="136"/>
      <c r="CM24453" s="111"/>
      <c r="CQ24453" s="111"/>
      <c r="EF24453"/>
      <c r="EG24453"/>
      <c r="EH24453"/>
      <c r="EI24453"/>
      <c r="EJ24453"/>
      <c r="EK24453"/>
    </row>
    <row r="24454" spans="1:141" s="116" customFormat="1">
      <c r="A24454" s="136"/>
      <c r="CM24454" s="111"/>
      <c r="CQ24454" s="111"/>
      <c r="EF24454"/>
      <c r="EG24454"/>
      <c r="EH24454"/>
      <c r="EI24454"/>
      <c r="EJ24454"/>
      <c r="EK24454"/>
    </row>
    <row r="24455" spans="1:141" s="116" customFormat="1">
      <c r="A24455" s="136"/>
      <c r="CM24455" s="111"/>
      <c r="CQ24455" s="111"/>
      <c r="EF24455"/>
      <c r="EG24455"/>
      <c r="EH24455"/>
      <c r="EI24455"/>
      <c r="EJ24455"/>
      <c r="EK24455"/>
    </row>
    <row r="24456" spans="1:141" s="116" customFormat="1">
      <c r="A24456" s="136"/>
      <c r="CM24456" s="111"/>
      <c r="CQ24456" s="111"/>
      <c r="EF24456"/>
      <c r="EG24456"/>
      <c r="EH24456"/>
      <c r="EI24456"/>
      <c r="EJ24456"/>
      <c r="EK24456"/>
    </row>
    <row r="24457" spans="1:141" s="116" customFormat="1">
      <c r="A24457" s="136"/>
      <c r="CM24457" s="111"/>
      <c r="CQ24457" s="111"/>
      <c r="EF24457"/>
      <c r="EG24457"/>
      <c r="EH24457"/>
      <c r="EI24457"/>
      <c r="EJ24457"/>
      <c r="EK24457"/>
    </row>
    <row r="24458" spans="1:141" s="116" customFormat="1">
      <c r="A24458" s="136"/>
      <c r="CM24458" s="111"/>
      <c r="CQ24458" s="111"/>
      <c r="EF24458"/>
      <c r="EG24458"/>
      <c r="EH24458"/>
      <c r="EI24458"/>
      <c r="EJ24458"/>
      <c r="EK24458"/>
    </row>
    <row r="24459" spans="1:141" s="116" customFormat="1">
      <c r="A24459" s="136"/>
      <c r="CM24459" s="111"/>
      <c r="CQ24459" s="111"/>
      <c r="EF24459"/>
      <c r="EG24459"/>
      <c r="EH24459"/>
      <c r="EI24459"/>
      <c r="EJ24459"/>
      <c r="EK24459"/>
    </row>
    <row r="24460" spans="1:141" s="116" customFormat="1">
      <c r="A24460" s="136"/>
      <c r="CM24460" s="111"/>
      <c r="CQ24460" s="111"/>
      <c r="EF24460"/>
      <c r="EG24460"/>
      <c r="EH24460"/>
      <c r="EI24460"/>
      <c r="EJ24460"/>
      <c r="EK24460"/>
    </row>
    <row r="24461" spans="1:141" s="116" customFormat="1">
      <c r="A24461" s="136"/>
      <c r="CM24461" s="111"/>
      <c r="CQ24461" s="111"/>
      <c r="EF24461"/>
      <c r="EG24461"/>
      <c r="EH24461"/>
      <c r="EI24461"/>
      <c r="EJ24461"/>
      <c r="EK24461"/>
    </row>
    <row r="24462" spans="1:141" s="116" customFormat="1">
      <c r="A24462" s="136"/>
      <c r="CM24462" s="111"/>
      <c r="CQ24462" s="111"/>
      <c r="EF24462"/>
      <c r="EG24462"/>
      <c r="EH24462"/>
      <c r="EI24462"/>
      <c r="EJ24462"/>
      <c r="EK24462"/>
    </row>
    <row r="24463" spans="1:141" s="116" customFormat="1">
      <c r="A24463" s="136"/>
      <c r="CM24463" s="111"/>
      <c r="CQ24463" s="111"/>
      <c r="EF24463"/>
      <c r="EG24463"/>
      <c r="EH24463"/>
      <c r="EI24463"/>
      <c r="EJ24463"/>
      <c r="EK24463"/>
    </row>
    <row r="24464" spans="1:141" s="116" customFormat="1">
      <c r="A24464" s="136"/>
      <c r="CM24464" s="111"/>
      <c r="CQ24464" s="111"/>
      <c r="EF24464"/>
      <c r="EG24464"/>
      <c r="EH24464"/>
      <c r="EI24464"/>
      <c r="EJ24464"/>
      <c r="EK24464"/>
    </row>
    <row r="24465" spans="1:141" s="116" customFormat="1">
      <c r="A24465" s="136"/>
      <c r="CM24465" s="111"/>
      <c r="CQ24465" s="111"/>
      <c r="EF24465"/>
      <c r="EG24465"/>
      <c r="EH24465"/>
      <c r="EI24465"/>
      <c r="EJ24465"/>
      <c r="EK24465"/>
    </row>
    <row r="24466" spans="1:141" s="116" customFormat="1">
      <c r="A24466" s="136"/>
      <c r="CM24466" s="111"/>
      <c r="CQ24466" s="111"/>
      <c r="EF24466"/>
      <c r="EG24466"/>
      <c r="EH24466"/>
      <c r="EI24466"/>
      <c r="EJ24466"/>
      <c r="EK24466"/>
    </row>
    <row r="24467" spans="1:141" s="116" customFormat="1">
      <c r="A24467" s="136"/>
      <c r="CM24467" s="111"/>
      <c r="CQ24467" s="111"/>
      <c r="EF24467"/>
      <c r="EG24467"/>
      <c r="EH24467"/>
      <c r="EI24467"/>
      <c r="EJ24467"/>
      <c r="EK24467"/>
    </row>
    <row r="24468" spans="1:141" s="116" customFormat="1">
      <c r="A24468" s="136"/>
      <c r="CM24468" s="111"/>
      <c r="CQ24468" s="111"/>
      <c r="EF24468"/>
      <c r="EG24468"/>
      <c r="EH24468"/>
      <c r="EI24468"/>
      <c r="EJ24468"/>
      <c r="EK24468"/>
    </row>
    <row r="24469" spans="1:141" s="116" customFormat="1">
      <c r="A24469" s="136"/>
      <c r="CM24469" s="111"/>
      <c r="CQ24469" s="111"/>
      <c r="EF24469"/>
      <c r="EG24469"/>
      <c r="EH24469"/>
      <c r="EI24469"/>
      <c r="EJ24469"/>
      <c r="EK24469"/>
    </row>
    <row r="24470" spans="1:141" s="116" customFormat="1">
      <c r="A24470" s="136"/>
      <c r="CM24470" s="111"/>
      <c r="CQ24470" s="111"/>
      <c r="EF24470"/>
      <c r="EG24470"/>
      <c r="EH24470"/>
      <c r="EI24470"/>
      <c r="EJ24470"/>
      <c r="EK24470"/>
    </row>
    <row r="24471" spans="1:141" s="116" customFormat="1">
      <c r="A24471" s="136"/>
      <c r="CM24471" s="111"/>
      <c r="CQ24471" s="111"/>
      <c r="EF24471"/>
      <c r="EG24471"/>
      <c r="EH24471"/>
      <c r="EI24471"/>
      <c r="EJ24471"/>
      <c r="EK24471"/>
    </row>
    <row r="24472" spans="1:141" s="116" customFormat="1">
      <c r="A24472" s="136"/>
      <c r="CM24472" s="111"/>
      <c r="CQ24472" s="111"/>
      <c r="EF24472"/>
      <c r="EG24472"/>
      <c r="EH24472"/>
      <c r="EI24472"/>
      <c r="EJ24472"/>
      <c r="EK24472"/>
    </row>
    <row r="24473" spans="1:141" s="116" customFormat="1">
      <c r="A24473" s="136"/>
      <c r="CM24473" s="111"/>
      <c r="CQ24473" s="111"/>
      <c r="EF24473"/>
      <c r="EG24473"/>
      <c r="EH24473"/>
      <c r="EI24473"/>
      <c r="EJ24473"/>
      <c r="EK24473"/>
    </row>
    <row r="24474" spans="1:141" s="116" customFormat="1">
      <c r="A24474" s="136"/>
      <c r="CM24474" s="111"/>
      <c r="CQ24474" s="111"/>
      <c r="EF24474"/>
      <c r="EG24474"/>
      <c r="EH24474"/>
      <c r="EI24474"/>
      <c r="EJ24474"/>
      <c r="EK24474"/>
    </row>
    <row r="24475" spans="1:141" s="116" customFormat="1">
      <c r="A24475" s="136"/>
      <c r="CM24475" s="111"/>
      <c r="CQ24475" s="111"/>
      <c r="EF24475"/>
      <c r="EG24475"/>
      <c r="EH24475"/>
      <c r="EI24475"/>
      <c r="EJ24475"/>
      <c r="EK24475"/>
    </row>
    <row r="24476" spans="1:141" s="116" customFormat="1">
      <c r="A24476" s="136"/>
      <c r="CM24476" s="111"/>
      <c r="CQ24476" s="111"/>
      <c r="EF24476"/>
      <c r="EG24476"/>
      <c r="EH24476"/>
      <c r="EI24476"/>
      <c r="EJ24476"/>
      <c r="EK24476"/>
    </row>
    <row r="24477" spans="1:141" s="116" customFormat="1">
      <c r="A24477" s="136"/>
      <c r="CM24477" s="111"/>
      <c r="CQ24477" s="111"/>
      <c r="EF24477"/>
      <c r="EG24477"/>
      <c r="EH24477"/>
      <c r="EI24477"/>
      <c r="EJ24477"/>
      <c r="EK24477"/>
    </row>
    <row r="24478" spans="1:141" s="116" customFormat="1">
      <c r="A24478" s="136"/>
      <c r="CM24478" s="111"/>
      <c r="CQ24478" s="111"/>
      <c r="EF24478"/>
      <c r="EG24478"/>
      <c r="EH24478"/>
      <c r="EI24478"/>
      <c r="EJ24478"/>
      <c r="EK24478"/>
    </row>
    <row r="24479" spans="1:141" s="116" customFormat="1">
      <c r="A24479" s="136"/>
      <c r="CM24479" s="111"/>
      <c r="CQ24479" s="111"/>
      <c r="EF24479"/>
      <c r="EG24479"/>
      <c r="EH24479"/>
      <c r="EI24479"/>
      <c r="EJ24479"/>
      <c r="EK24479"/>
    </row>
    <row r="24480" spans="1:141" s="116" customFormat="1">
      <c r="A24480" s="136"/>
      <c r="CM24480" s="111"/>
      <c r="CQ24480" s="111"/>
      <c r="EF24480"/>
      <c r="EG24480"/>
      <c r="EH24480"/>
      <c r="EI24480"/>
      <c r="EJ24480"/>
      <c r="EK24480"/>
    </row>
    <row r="24481" spans="1:141" s="116" customFormat="1">
      <c r="A24481" s="136"/>
      <c r="CM24481" s="111"/>
      <c r="CQ24481" s="111"/>
      <c r="EF24481"/>
      <c r="EG24481"/>
      <c r="EH24481"/>
      <c r="EI24481"/>
      <c r="EJ24481"/>
      <c r="EK24481"/>
    </row>
    <row r="24482" spans="1:141" s="116" customFormat="1">
      <c r="A24482" s="136"/>
      <c r="CM24482" s="111"/>
      <c r="CQ24482" s="111"/>
      <c r="EF24482"/>
      <c r="EG24482"/>
      <c r="EH24482"/>
      <c r="EI24482"/>
      <c r="EJ24482"/>
      <c r="EK24482"/>
    </row>
    <row r="24483" spans="1:141" s="116" customFormat="1">
      <c r="A24483" s="136"/>
      <c r="CM24483" s="111"/>
      <c r="CQ24483" s="111"/>
      <c r="EF24483"/>
      <c r="EG24483"/>
      <c r="EH24483"/>
      <c r="EI24483"/>
      <c r="EJ24483"/>
      <c r="EK24483"/>
    </row>
    <row r="24484" spans="1:141" s="116" customFormat="1">
      <c r="A24484" s="136"/>
      <c r="CM24484" s="111"/>
      <c r="CQ24484" s="111"/>
      <c r="EF24484"/>
      <c r="EG24484"/>
      <c r="EH24484"/>
      <c r="EI24484"/>
      <c r="EJ24484"/>
      <c r="EK24484"/>
    </row>
    <row r="24485" spans="1:141" s="116" customFormat="1">
      <c r="A24485" s="136"/>
      <c r="CM24485" s="111"/>
      <c r="CQ24485" s="111"/>
      <c r="EF24485"/>
      <c r="EG24485"/>
      <c r="EH24485"/>
      <c r="EI24485"/>
      <c r="EJ24485"/>
      <c r="EK24485"/>
    </row>
    <row r="24486" spans="1:141" s="116" customFormat="1">
      <c r="A24486" s="136"/>
      <c r="CM24486" s="111"/>
      <c r="CQ24486" s="111"/>
      <c r="EF24486"/>
      <c r="EG24486"/>
      <c r="EH24486"/>
      <c r="EI24486"/>
      <c r="EJ24486"/>
      <c r="EK24486"/>
    </row>
    <row r="24487" spans="1:141" s="116" customFormat="1">
      <c r="A24487" s="136"/>
      <c r="CM24487" s="111"/>
      <c r="CQ24487" s="111"/>
      <c r="EF24487"/>
      <c r="EG24487"/>
      <c r="EH24487"/>
      <c r="EI24487"/>
      <c r="EJ24487"/>
      <c r="EK24487"/>
    </row>
    <row r="24488" spans="1:141" s="116" customFormat="1">
      <c r="A24488" s="136"/>
      <c r="CM24488" s="111"/>
      <c r="CQ24488" s="111"/>
      <c r="EF24488"/>
      <c r="EG24488"/>
      <c r="EH24488"/>
      <c r="EI24488"/>
      <c r="EJ24488"/>
      <c r="EK24488"/>
    </row>
    <row r="24489" spans="1:141" s="116" customFormat="1">
      <c r="A24489" s="136"/>
      <c r="CM24489" s="111"/>
      <c r="CQ24489" s="111"/>
      <c r="EF24489"/>
      <c r="EG24489"/>
      <c r="EH24489"/>
      <c r="EI24489"/>
      <c r="EJ24489"/>
      <c r="EK24489"/>
    </row>
    <row r="24490" spans="1:141" s="116" customFormat="1">
      <c r="A24490" s="136"/>
      <c r="CM24490" s="111"/>
      <c r="CQ24490" s="111"/>
      <c r="EF24490"/>
      <c r="EG24490"/>
      <c r="EH24490"/>
      <c r="EI24490"/>
      <c r="EJ24490"/>
      <c r="EK24490"/>
    </row>
    <row r="24491" spans="1:141" s="116" customFormat="1">
      <c r="A24491" s="136"/>
      <c r="CM24491" s="111"/>
      <c r="CQ24491" s="111"/>
      <c r="EF24491"/>
      <c r="EG24491"/>
      <c r="EH24491"/>
      <c r="EI24491"/>
      <c r="EJ24491"/>
      <c r="EK24491"/>
    </row>
    <row r="24492" spans="1:141" s="116" customFormat="1">
      <c r="A24492" s="136"/>
      <c r="CM24492" s="111"/>
      <c r="CQ24492" s="111"/>
      <c r="EF24492"/>
      <c r="EG24492"/>
      <c r="EH24492"/>
      <c r="EI24492"/>
      <c r="EJ24492"/>
      <c r="EK24492"/>
    </row>
    <row r="24493" spans="1:141" s="116" customFormat="1">
      <c r="A24493" s="136"/>
      <c r="CM24493" s="111"/>
      <c r="CQ24493" s="111"/>
      <c r="EF24493"/>
      <c r="EG24493"/>
      <c r="EH24493"/>
      <c r="EI24493"/>
      <c r="EJ24493"/>
      <c r="EK24493"/>
    </row>
    <row r="24494" spans="1:141" s="116" customFormat="1">
      <c r="A24494" s="136"/>
      <c r="CM24494" s="111"/>
      <c r="CQ24494" s="111"/>
      <c r="EF24494"/>
      <c r="EG24494"/>
      <c r="EH24494"/>
      <c r="EI24494"/>
      <c r="EJ24494"/>
      <c r="EK24494"/>
    </row>
    <row r="24495" spans="1:141" s="116" customFormat="1">
      <c r="A24495" s="136"/>
      <c r="CM24495" s="111"/>
      <c r="CQ24495" s="111"/>
      <c r="EF24495"/>
      <c r="EG24495"/>
      <c r="EH24495"/>
      <c r="EI24495"/>
      <c r="EJ24495"/>
      <c r="EK24495"/>
    </row>
    <row r="24496" spans="1:141" s="116" customFormat="1">
      <c r="A24496" s="136"/>
      <c r="CM24496" s="111"/>
      <c r="CQ24496" s="111"/>
      <c r="EF24496"/>
      <c r="EG24496"/>
      <c r="EH24496"/>
      <c r="EI24496"/>
      <c r="EJ24496"/>
      <c r="EK24496"/>
    </row>
    <row r="24497" spans="1:141" s="116" customFormat="1">
      <c r="A24497" s="136"/>
      <c r="CM24497" s="111"/>
      <c r="CQ24497" s="111"/>
      <c r="EF24497"/>
      <c r="EG24497"/>
      <c r="EH24497"/>
      <c r="EI24497"/>
      <c r="EJ24497"/>
      <c r="EK24497"/>
    </row>
    <row r="24498" spans="1:141" s="116" customFormat="1">
      <c r="A24498" s="136"/>
      <c r="CM24498" s="111"/>
      <c r="CQ24498" s="111"/>
      <c r="EF24498"/>
      <c r="EG24498"/>
      <c r="EH24498"/>
      <c r="EI24498"/>
      <c r="EJ24498"/>
      <c r="EK24498"/>
    </row>
    <row r="24499" spans="1:141" s="116" customFormat="1">
      <c r="A24499" s="136"/>
      <c r="CM24499" s="111"/>
      <c r="CQ24499" s="111"/>
      <c r="EF24499"/>
      <c r="EG24499"/>
      <c r="EH24499"/>
      <c r="EI24499"/>
      <c r="EJ24499"/>
      <c r="EK24499"/>
    </row>
    <row r="24500" spans="1:141" s="116" customFormat="1">
      <c r="A24500" s="136"/>
      <c r="CM24500" s="111"/>
      <c r="CQ24500" s="111"/>
      <c r="EF24500"/>
      <c r="EG24500"/>
      <c r="EH24500"/>
      <c r="EI24500"/>
      <c r="EJ24500"/>
      <c r="EK24500"/>
    </row>
    <row r="24501" spans="1:141" s="116" customFormat="1">
      <c r="A24501" s="136"/>
      <c r="CM24501" s="111"/>
      <c r="CQ24501" s="111"/>
      <c r="EF24501"/>
      <c r="EG24501"/>
      <c r="EH24501"/>
      <c r="EI24501"/>
      <c r="EJ24501"/>
      <c r="EK24501"/>
    </row>
    <row r="24502" spans="1:141" s="116" customFormat="1">
      <c r="A24502" s="136"/>
      <c r="CM24502" s="111"/>
      <c r="CQ24502" s="111"/>
      <c r="EF24502"/>
      <c r="EG24502"/>
      <c r="EH24502"/>
      <c r="EI24502"/>
      <c r="EJ24502"/>
      <c r="EK24502"/>
    </row>
    <row r="24503" spans="1:141" s="116" customFormat="1">
      <c r="A24503" s="136"/>
      <c r="CM24503" s="111"/>
      <c r="CQ24503" s="111"/>
      <c r="EF24503"/>
      <c r="EG24503"/>
      <c r="EH24503"/>
      <c r="EI24503"/>
      <c r="EJ24503"/>
      <c r="EK24503"/>
    </row>
    <row r="24504" spans="1:141" s="116" customFormat="1">
      <c r="A24504" s="136"/>
      <c r="CM24504" s="111"/>
      <c r="CQ24504" s="111"/>
      <c r="EF24504"/>
      <c r="EG24504"/>
      <c r="EH24504"/>
      <c r="EI24504"/>
      <c r="EJ24504"/>
      <c r="EK24504"/>
    </row>
    <row r="24505" spans="1:141" s="116" customFormat="1">
      <c r="A24505" s="136"/>
      <c r="CM24505" s="111"/>
      <c r="CQ24505" s="111"/>
      <c r="EF24505"/>
      <c r="EG24505"/>
      <c r="EH24505"/>
      <c r="EI24505"/>
      <c r="EJ24505"/>
      <c r="EK24505"/>
    </row>
    <row r="24506" spans="1:141" s="116" customFormat="1">
      <c r="A24506" s="136"/>
      <c r="CM24506" s="111"/>
      <c r="CQ24506" s="111"/>
      <c r="EF24506"/>
      <c r="EG24506"/>
      <c r="EH24506"/>
      <c r="EI24506"/>
      <c r="EJ24506"/>
      <c r="EK24506"/>
    </row>
    <row r="24507" spans="1:141" s="116" customFormat="1">
      <c r="A24507" s="136"/>
      <c r="CM24507" s="111"/>
      <c r="CQ24507" s="111"/>
      <c r="EF24507"/>
      <c r="EG24507"/>
      <c r="EH24507"/>
      <c r="EI24507"/>
      <c r="EJ24507"/>
      <c r="EK24507"/>
    </row>
    <row r="24508" spans="1:141" s="116" customFormat="1">
      <c r="A24508" s="136"/>
      <c r="CM24508" s="111"/>
      <c r="CQ24508" s="111"/>
      <c r="EF24508"/>
      <c r="EG24508"/>
      <c r="EH24508"/>
      <c r="EI24508"/>
      <c r="EJ24508"/>
      <c r="EK24508"/>
    </row>
    <row r="24509" spans="1:141" s="116" customFormat="1">
      <c r="A24509" s="136"/>
      <c r="CM24509" s="111"/>
      <c r="CQ24509" s="111"/>
      <c r="EF24509"/>
      <c r="EG24509"/>
      <c r="EH24509"/>
      <c r="EI24509"/>
      <c r="EJ24509"/>
      <c r="EK24509"/>
    </row>
    <row r="24510" spans="1:141" s="116" customFormat="1">
      <c r="A24510" s="136"/>
      <c r="CM24510" s="111"/>
      <c r="CQ24510" s="111"/>
      <c r="EF24510"/>
      <c r="EG24510"/>
      <c r="EH24510"/>
      <c r="EI24510"/>
      <c r="EJ24510"/>
      <c r="EK24510"/>
    </row>
    <row r="24511" spans="1:141" s="116" customFormat="1">
      <c r="A24511" s="136"/>
      <c r="CM24511" s="111"/>
      <c r="CQ24511" s="111"/>
      <c r="EF24511"/>
      <c r="EG24511"/>
      <c r="EH24511"/>
      <c r="EI24511"/>
      <c r="EJ24511"/>
      <c r="EK24511"/>
    </row>
    <row r="24512" spans="1:141" s="116" customFormat="1">
      <c r="A24512" s="136"/>
      <c r="CM24512" s="111"/>
      <c r="CQ24512" s="111"/>
      <c r="EF24512"/>
      <c r="EG24512"/>
      <c r="EH24512"/>
      <c r="EI24512"/>
      <c r="EJ24512"/>
      <c r="EK24512"/>
    </row>
    <row r="24513" spans="1:141" s="116" customFormat="1">
      <c r="A24513" s="136"/>
      <c r="CM24513" s="111"/>
      <c r="CQ24513" s="111"/>
      <c r="EF24513"/>
      <c r="EG24513"/>
      <c r="EH24513"/>
      <c r="EI24513"/>
      <c r="EJ24513"/>
      <c r="EK24513"/>
    </row>
    <row r="24514" spans="1:141" s="116" customFormat="1">
      <c r="A24514" s="136"/>
      <c r="CM24514" s="111"/>
      <c r="CQ24514" s="111"/>
      <c r="EF24514"/>
      <c r="EG24514"/>
      <c r="EH24514"/>
      <c r="EI24514"/>
      <c r="EJ24514"/>
      <c r="EK24514"/>
    </row>
    <row r="24515" spans="1:141" s="116" customFormat="1">
      <c r="A24515" s="136"/>
      <c r="CM24515" s="111"/>
      <c r="CQ24515" s="111"/>
      <c r="EF24515"/>
      <c r="EG24515"/>
      <c r="EH24515"/>
      <c r="EI24515"/>
      <c r="EJ24515"/>
      <c r="EK24515"/>
    </row>
    <row r="24516" spans="1:141" s="116" customFormat="1">
      <c r="A24516" s="136"/>
      <c r="CM24516" s="111"/>
      <c r="CQ24516" s="111"/>
      <c r="EF24516"/>
      <c r="EG24516"/>
      <c r="EH24516"/>
      <c r="EI24516"/>
      <c r="EJ24516"/>
      <c r="EK24516"/>
    </row>
    <row r="24517" spans="1:141" s="116" customFormat="1">
      <c r="A24517" s="136"/>
      <c r="CM24517" s="111"/>
      <c r="CQ24517" s="111"/>
      <c r="EF24517"/>
      <c r="EG24517"/>
      <c r="EH24517"/>
      <c r="EI24517"/>
      <c r="EJ24517"/>
      <c r="EK24517"/>
    </row>
    <row r="24518" spans="1:141" s="116" customFormat="1">
      <c r="A24518" s="136"/>
      <c r="CM24518" s="111"/>
      <c r="CQ24518" s="111"/>
      <c r="EF24518"/>
      <c r="EG24518"/>
      <c r="EH24518"/>
      <c r="EI24518"/>
      <c r="EJ24518"/>
      <c r="EK24518"/>
    </row>
    <row r="24519" spans="1:141" s="116" customFormat="1">
      <c r="A24519" s="136"/>
      <c r="CM24519" s="111"/>
      <c r="CQ24519" s="111"/>
      <c r="EF24519"/>
      <c r="EG24519"/>
      <c r="EH24519"/>
      <c r="EI24519"/>
      <c r="EJ24519"/>
      <c r="EK24519"/>
    </row>
    <row r="24520" spans="1:141" s="116" customFormat="1">
      <c r="A24520" s="136"/>
      <c r="CM24520" s="111"/>
      <c r="CQ24520" s="111"/>
      <c r="EF24520"/>
      <c r="EG24520"/>
      <c r="EH24520"/>
      <c r="EI24520"/>
      <c r="EJ24520"/>
      <c r="EK24520"/>
    </row>
    <row r="24521" spans="1:141" s="116" customFormat="1">
      <c r="A24521" s="136"/>
      <c r="CM24521" s="111"/>
      <c r="CQ24521" s="111"/>
      <c r="EF24521"/>
      <c r="EG24521"/>
      <c r="EH24521"/>
      <c r="EI24521"/>
      <c r="EJ24521"/>
      <c r="EK24521"/>
    </row>
    <row r="24522" spans="1:141" s="116" customFormat="1">
      <c r="A24522" s="136"/>
      <c r="CM24522" s="111"/>
      <c r="CQ24522" s="111"/>
      <c r="EF24522"/>
      <c r="EG24522"/>
      <c r="EH24522"/>
      <c r="EI24522"/>
      <c r="EJ24522"/>
      <c r="EK24522"/>
    </row>
    <row r="24523" spans="1:141" s="116" customFormat="1">
      <c r="A24523" s="136"/>
      <c r="CM24523" s="111"/>
      <c r="CQ24523" s="111"/>
      <c r="EF24523"/>
      <c r="EG24523"/>
      <c r="EH24523"/>
      <c r="EI24523"/>
      <c r="EJ24523"/>
      <c r="EK24523"/>
    </row>
    <row r="24524" spans="1:141" s="116" customFormat="1">
      <c r="A24524" s="136"/>
      <c r="CM24524" s="111"/>
      <c r="CQ24524" s="111"/>
      <c r="EF24524"/>
      <c r="EG24524"/>
      <c r="EH24524"/>
      <c r="EI24524"/>
      <c r="EJ24524"/>
      <c r="EK24524"/>
    </row>
    <row r="24525" spans="1:141" s="116" customFormat="1">
      <c r="A24525" s="136"/>
      <c r="CM24525" s="111"/>
      <c r="CQ24525" s="111"/>
      <c r="EF24525"/>
      <c r="EG24525"/>
      <c r="EH24525"/>
      <c r="EI24525"/>
      <c r="EJ24525"/>
      <c r="EK24525"/>
    </row>
    <row r="24526" spans="1:141" s="116" customFormat="1">
      <c r="A24526" s="136"/>
      <c r="CM24526" s="111"/>
      <c r="CQ24526" s="111"/>
      <c r="EF24526"/>
      <c r="EG24526"/>
      <c r="EH24526"/>
      <c r="EI24526"/>
      <c r="EJ24526"/>
      <c r="EK24526"/>
    </row>
    <row r="24527" spans="1:141" s="116" customFormat="1">
      <c r="A24527" s="136"/>
      <c r="CM24527" s="111"/>
      <c r="CQ24527" s="111"/>
      <c r="EF24527"/>
      <c r="EG24527"/>
      <c r="EH24527"/>
      <c r="EI24527"/>
      <c r="EJ24527"/>
      <c r="EK24527"/>
    </row>
    <row r="24528" spans="1:141" s="116" customFormat="1">
      <c r="A24528" s="136"/>
      <c r="CM24528" s="111"/>
      <c r="CQ24528" s="111"/>
      <c r="EF24528"/>
      <c r="EG24528"/>
      <c r="EH24528"/>
      <c r="EI24528"/>
      <c r="EJ24528"/>
      <c r="EK24528"/>
    </row>
    <row r="24529" spans="1:141" s="116" customFormat="1">
      <c r="A24529" s="136"/>
      <c r="CM24529" s="111"/>
      <c r="CQ24529" s="111"/>
      <c r="EF24529"/>
      <c r="EG24529"/>
      <c r="EH24529"/>
      <c r="EI24529"/>
      <c r="EJ24529"/>
      <c r="EK24529"/>
    </row>
    <row r="24530" spans="1:141" s="116" customFormat="1">
      <c r="A24530" s="136"/>
      <c r="CM24530" s="111"/>
      <c r="CQ24530" s="111"/>
      <c r="EF24530"/>
      <c r="EG24530"/>
      <c r="EH24530"/>
      <c r="EI24530"/>
      <c r="EJ24530"/>
      <c r="EK24530"/>
    </row>
    <row r="24531" spans="1:141" s="116" customFormat="1">
      <c r="A24531" s="136"/>
      <c r="CM24531" s="111"/>
      <c r="CQ24531" s="111"/>
      <c r="EF24531"/>
      <c r="EG24531"/>
      <c r="EH24531"/>
      <c r="EI24531"/>
      <c r="EJ24531"/>
      <c r="EK24531"/>
    </row>
    <row r="24532" spans="1:141" s="116" customFormat="1">
      <c r="A24532" s="136"/>
      <c r="CM24532" s="111"/>
      <c r="CQ24532" s="111"/>
      <c r="EF24532"/>
      <c r="EG24532"/>
      <c r="EH24532"/>
      <c r="EI24532"/>
      <c r="EJ24532"/>
      <c r="EK24532"/>
    </row>
    <row r="24533" spans="1:141" s="116" customFormat="1">
      <c r="A24533" s="136"/>
      <c r="CM24533" s="111"/>
      <c r="CQ24533" s="111"/>
      <c r="EF24533"/>
      <c r="EG24533"/>
      <c r="EH24533"/>
      <c r="EI24533"/>
      <c r="EJ24533"/>
      <c r="EK24533"/>
    </row>
    <row r="24534" spans="1:141" s="116" customFormat="1">
      <c r="A24534" s="136"/>
      <c r="CM24534" s="111"/>
      <c r="CQ24534" s="111"/>
      <c r="EF24534"/>
      <c r="EG24534"/>
      <c r="EH24534"/>
      <c r="EI24534"/>
      <c r="EJ24534"/>
      <c r="EK24534"/>
    </row>
    <row r="24535" spans="1:141" s="116" customFormat="1">
      <c r="A24535" s="136"/>
      <c r="CM24535" s="111"/>
      <c r="CQ24535" s="111"/>
      <c r="EF24535"/>
      <c r="EG24535"/>
      <c r="EH24535"/>
      <c r="EI24535"/>
      <c r="EJ24535"/>
      <c r="EK24535"/>
    </row>
    <row r="24536" spans="1:141" s="116" customFormat="1">
      <c r="A24536" s="136"/>
      <c r="CM24536" s="111"/>
      <c r="CQ24536" s="111"/>
      <c r="EF24536"/>
      <c r="EG24536"/>
      <c r="EH24536"/>
      <c r="EI24536"/>
      <c r="EJ24536"/>
      <c r="EK24536"/>
    </row>
    <row r="24537" spans="1:141" s="116" customFormat="1">
      <c r="A24537" s="136"/>
      <c r="CM24537" s="111"/>
      <c r="CQ24537" s="111"/>
      <c r="EF24537"/>
      <c r="EG24537"/>
      <c r="EH24537"/>
      <c r="EI24537"/>
      <c r="EJ24537"/>
      <c r="EK24537"/>
    </row>
    <row r="24538" spans="1:141" s="116" customFormat="1">
      <c r="A24538" s="136"/>
      <c r="CM24538" s="111"/>
      <c r="CQ24538" s="111"/>
      <c r="EF24538"/>
      <c r="EG24538"/>
      <c r="EH24538"/>
      <c r="EI24538"/>
      <c r="EJ24538"/>
      <c r="EK24538"/>
    </row>
    <row r="24539" spans="1:141" s="116" customFormat="1">
      <c r="A24539" s="136"/>
      <c r="CM24539" s="111"/>
      <c r="CQ24539" s="111"/>
      <c r="EF24539"/>
      <c r="EG24539"/>
      <c r="EH24539"/>
      <c r="EI24539"/>
      <c r="EJ24539"/>
      <c r="EK24539"/>
    </row>
    <row r="24540" spans="1:141" s="116" customFormat="1">
      <c r="A24540" s="136"/>
      <c r="CM24540" s="111"/>
      <c r="CQ24540" s="111"/>
      <c r="EF24540"/>
      <c r="EG24540"/>
      <c r="EH24540"/>
      <c r="EI24540"/>
      <c r="EJ24540"/>
      <c r="EK24540"/>
    </row>
    <row r="24541" spans="1:141" s="116" customFormat="1">
      <c r="A24541" s="136"/>
      <c r="CM24541" s="111"/>
      <c r="CQ24541" s="111"/>
      <c r="EF24541"/>
      <c r="EG24541"/>
      <c r="EH24541"/>
      <c r="EI24541"/>
      <c r="EJ24541"/>
      <c r="EK24541"/>
    </row>
    <row r="24542" spans="1:141" s="116" customFormat="1">
      <c r="A24542" s="136"/>
      <c r="CM24542" s="111"/>
      <c r="CQ24542" s="111"/>
      <c r="EF24542"/>
      <c r="EG24542"/>
      <c r="EH24542"/>
      <c r="EI24542"/>
      <c r="EJ24542"/>
      <c r="EK24542"/>
    </row>
    <row r="24543" spans="1:141" s="116" customFormat="1">
      <c r="A24543" s="136"/>
      <c r="CM24543" s="111"/>
      <c r="CQ24543" s="111"/>
      <c r="EF24543"/>
      <c r="EG24543"/>
      <c r="EH24543"/>
      <c r="EI24543"/>
      <c r="EJ24543"/>
      <c r="EK24543"/>
    </row>
    <row r="24544" spans="1:141" s="116" customFormat="1">
      <c r="A24544" s="136"/>
      <c r="CM24544" s="111"/>
      <c r="CQ24544" s="111"/>
      <c r="EF24544"/>
      <c r="EG24544"/>
      <c r="EH24544"/>
      <c r="EI24544"/>
      <c r="EJ24544"/>
      <c r="EK24544"/>
    </row>
    <row r="24545" spans="1:141" s="116" customFormat="1">
      <c r="A24545" s="136"/>
      <c r="CM24545" s="111"/>
      <c r="CQ24545" s="111"/>
      <c r="EF24545"/>
      <c r="EG24545"/>
      <c r="EH24545"/>
      <c r="EI24545"/>
      <c r="EJ24545"/>
      <c r="EK24545"/>
    </row>
    <row r="24546" spans="1:141" s="116" customFormat="1">
      <c r="A24546" s="136"/>
      <c r="CM24546" s="111"/>
      <c r="CQ24546" s="111"/>
      <c r="EF24546"/>
      <c r="EG24546"/>
      <c r="EH24546"/>
      <c r="EI24546"/>
      <c r="EJ24546"/>
      <c r="EK24546"/>
    </row>
    <row r="24547" spans="1:141" s="116" customFormat="1">
      <c r="A24547" s="136"/>
      <c r="CM24547" s="111"/>
      <c r="CQ24547" s="111"/>
      <c r="EF24547"/>
      <c r="EG24547"/>
      <c r="EH24547"/>
      <c r="EI24547"/>
      <c r="EJ24547"/>
      <c r="EK24547"/>
    </row>
    <row r="24548" spans="1:141" s="116" customFormat="1">
      <c r="A24548" s="136"/>
      <c r="CM24548" s="111"/>
      <c r="CQ24548" s="111"/>
      <c r="EF24548"/>
      <c r="EG24548"/>
      <c r="EH24548"/>
      <c r="EI24548"/>
      <c r="EJ24548"/>
      <c r="EK24548"/>
    </row>
    <row r="24549" spans="1:141" s="116" customFormat="1">
      <c r="A24549" s="136"/>
      <c r="CM24549" s="111"/>
      <c r="CQ24549" s="111"/>
      <c r="EF24549"/>
      <c r="EG24549"/>
      <c r="EH24549"/>
      <c r="EI24549"/>
      <c r="EJ24549"/>
      <c r="EK24549"/>
    </row>
    <row r="24550" spans="1:141" s="116" customFormat="1">
      <c r="A24550" s="136"/>
      <c r="CM24550" s="111"/>
      <c r="CQ24550" s="111"/>
      <c r="EF24550"/>
      <c r="EG24550"/>
      <c r="EH24550"/>
      <c r="EI24550"/>
      <c r="EJ24550"/>
      <c r="EK24550"/>
    </row>
    <row r="24551" spans="1:141" s="116" customFormat="1">
      <c r="A24551" s="136"/>
      <c r="CM24551" s="111"/>
      <c r="CQ24551" s="111"/>
      <c r="EF24551"/>
      <c r="EG24551"/>
      <c r="EH24551"/>
      <c r="EI24551"/>
      <c r="EJ24551"/>
      <c r="EK24551"/>
    </row>
    <row r="24552" spans="1:141" s="116" customFormat="1">
      <c r="A24552" s="136"/>
      <c r="CM24552" s="111"/>
      <c r="CQ24552" s="111"/>
      <c r="EF24552"/>
      <c r="EG24552"/>
      <c r="EH24552"/>
      <c r="EI24552"/>
      <c r="EJ24552"/>
      <c r="EK24552"/>
    </row>
    <row r="24553" spans="1:141" s="116" customFormat="1">
      <c r="A24553" s="136"/>
      <c r="CM24553" s="111"/>
      <c r="CQ24553" s="111"/>
      <c r="EF24553"/>
      <c r="EG24553"/>
      <c r="EH24553"/>
      <c r="EI24553"/>
      <c r="EJ24553"/>
      <c r="EK24553"/>
    </row>
    <row r="24554" spans="1:141" s="116" customFormat="1">
      <c r="A24554" s="136"/>
      <c r="CM24554" s="111"/>
      <c r="CQ24554" s="111"/>
      <c r="EF24554"/>
      <c r="EG24554"/>
      <c r="EH24554"/>
      <c r="EI24554"/>
      <c r="EJ24554"/>
      <c r="EK24554"/>
    </row>
    <row r="24555" spans="1:141" s="116" customFormat="1">
      <c r="A24555" s="136"/>
      <c r="CM24555" s="111"/>
      <c r="CQ24555" s="111"/>
      <c r="EF24555"/>
      <c r="EG24555"/>
      <c r="EH24555"/>
      <c r="EI24555"/>
      <c r="EJ24555"/>
      <c r="EK24555"/>
    </row>
    <row r="24556" spans="1:141" s="116" customFormat="1">
      <c r="A24556" s="136"/>
      <c r="CM24556" s="111"/>
      <c r="CQ24556" s="111"/>
      <c r="EF24556"/>
      <c r="EG24556"/>
      <c r="EH24556"/>
      <c r="EI24556"/>
      <c r="EJ24556"/>
      <c r="EK24556"/>
    </row>
    <row r="24557" spans="1:141" s="116" customFormat="1">
      <c r="A24557" s="136"/>
      <c r="CM24557" s="111"/>
      <c r="CQ24557" s="111"/>
      <c r="EF24557"/>
      <c r="EG24557"/>
      <c r="EH24557"/>
      <c r="EI24557"/>
      <c r="EJ24557"/>
      <c r="EK24557"/>
    </row>
    <row r="24558" spans="1:141" s="116" customFormat="1">
      <c r="A24558" s="136"/>
      <c r="CM24558" s="111"/>
      <c r="CQ24558" s="111"/>
      <c r="EF24558"/>
      <c r="EG24558"/>
      <c r="EH24558"/>
      <c r="EI24558"/>
      <c r="EJ24558"/>
      <c r="EK24558"/>
    </row>
    <row r="24559" spans="1:141" s="116" customFormat="1">
      <c r="A24559" s="136"/>
      <c r="CM24559" s="111"/>
      <c r="CQ24559" s="111"/>
      <c r="EF24559"/>
      <c r="EG24559"/>
      <c r="EH24559"/>
      <c r="EI24559"/>
      <c r="EJ24559"/>
      <c r="EK24559"/>
    </row>
    <row r="24560" spans="1:141" s="116" customFormat="1">
      <c r="A24560" s="136"/>
      <c r="CM24560" s="111"/>
      <c r="CQ24560" s="111"/>
      <c r="EF24560"/>
      <c r="EG24560"/>
      <c r="EH24560"/>
      <c r="EI24560"/>
      <c r="EJ24560"/>
      <c r="EK24560"/>
    </row>
    <row r="24561" spans="1:141" s="116" customFormat="1">
      <c r="A24561" s="136"/>
      <c r="CM24561" s="111"/>
      <c r="CQ24561" s="111"/>
      <c r="EF24561"/>
      <c r="EG24561"/>
      <c r="EH24561"/>
      <c r="EI24561"/>
      <c r="EJ24561"/>
      <c r="EK24561"/>
    </row>
    <row r="24562" spans="1:141" s="116" customFormat="1">
      <c r="A24562" s="136"/>
      <c r="CM24562" s="111"/>
      <c r="CQ24562" s="111"/>
      <c r="EF24562"/>
      <c r="EG24562"/>
      <c r="EH24562"/>
      <c r="EI24562"/>
      <c r="EJ24562"/>
      <c r="EK24562"/>
    </row>
    <row r="24563" spans="1:141" s="116" customFormat="1">
      <c r="A24563" s="136"/>
      <c r="CM24563" s="111"/>
      <c r="CQ24563" s="111"/>
      <c r="EF24563"/>
      <c r="EG24563"/>
      <c r="EH24563"/>
      <c r="EI24563"/>
      <c r="EJ24563"/>
      <c r="EK24563"/>
    </row>
    <row r="24564" spans="1:141" s="116" customFormat="1">
      <c r="A24564" s="136"/>
      <c r="CM24564" s="111"/>
      <c r="CQ24564" s="111"/>
      <c r="EF24564"/>
      <c r="EG24564"/>
      <c r="EH24564"/>
      <c r="EI24564"/>
      <c r="EJ24564"/>
      <c r="EK24564"/>
    </row>
    <row r="24565" spans="1:141" s="116" customFormat="1">
      <c r="A24565" s="136"/>
      <c r="CM24565" s="111"/>
      <c r="CQ24565" s="111"/>
      <c r="EF24565"/>
      <c r="EG24565"/>
      <c r="EH24565"/>
      <c r="EI24565"/>
      <c r="EJ24565"/>
      <c r="EK24565"/>
    </row>
    <row r="24566" spans="1:141" s="116" customFormat="1">
      <c r="A24566" s="136"/>
      <c r="CM24566" s="111"/>
      <c r="CQ24566" s="111"/>
      <c r="EF24566"/>
      <c r="EG24566"/>
      <c r="EH24566"/>
      <c r="EI24566"/>
      <c r="EJ24566"/>
      <c r="EK24566"/>
    </row>
    <row r="24567" spans="1:141" s="116" customFormat="1">
      <c r="A24567" s="136"/>
      <c r="CM24567" s="111"/>
      <c r="CQ24567" s="111"/>
      <c r="EF24567"/>
      <c r="EG24567"/>
      <c r="EH24567"/>
      <c r="EI24567"/>
      <c r="EJ24567"/>
      <c r="EK24567"/>
    </row>
    <row r="24568" spans="1:141" s="116" customFormat="1">
      <c r="A24568" s="136"/>
      <c r="CM24568" s="111"/>
      <c r="CQ24568" s="111"/>
      <c r="EF24568"/>
      <c r="EG24568"/>
      <c r="EH24568"/>
      <c r="EI24568"/>
      <c r="EJ24568"/>
      <c r="EK24568"/>
    </row>
    <row r="24569" spans="1:141" s="116" customFormat="1">
      <c r="A24569" s="136"/>
      <c r="CM24569" s="111"/>
      <c r="CQ24569" s="111"/>
      <c r="EF24569"/>
      <c r="EG24569"/>
      <c r="EH24569"/>
      <c r="EI24569"/>
      <c r="EJ24569"/>
      <c r="EK24569"/>
    </row>
    <row r="24570" spans="1:141" s="116" customFormat="1">
      <c r="A24570" s="136"/>
      <c r="CM24570" s="111"/>
      <c r="CQ24570" s="111"/>
      <c r="EF24570"/>
      <c r="EG24570"/>
      <c r="EH24570"/>
      <c r="EI24570"/>
      <c r="EJ24570"/>
      <c r="EK24570"/>
    </row>
    <row r="24571" spans="1:141" s="116" customFormat="1">
      <c r="A24571" s="136"/>
      <c r="CM24571" s="111"/>
      <c r="CQ24571" s="111"/>
      <c r="EF24571"/>
      <c r="EG24571"/>
      <c r="EH24571"/>
      <c r="EI24571"/>
      <c r="EJ24571"/>
      <c r="EK24571"/>
    </row>
    <row r="24572" spans="1:141" s="116" customFormat="1">
      <c r="A24572" s="136"/>
      <c r="CM24572" s="111"/>
      <c r="CQ24572" s="111"/>
      <c r="EF24572"/>
      <c r="EG24572"/>
      <c r="EH24572"/>
      <c r="EI24572"/>
      <c r="EJ24572"/>
      <c r="EK24572"/>
    </row>
    <row r="24573" spans="1:141" s="116" customFormat="1">
      <c r="A24573" s="136"/>
      <c r="CM24573" s="111"/>
      <c r="CQ24573" s="111"/>
      <c r="EF24573"/>
      <c r="EG24573"/>
      <c r="EH24573"/>
      <c r="EI24573"/>
      <c r="EJ24573"/>
      <c r="EK24573"/>
    </row>
    <row r="24574" spans="1:141" s="116" customFormat="1">
      <c r="A24574" s="136"/>
      <c r="CM24574" s="111"/>
      <c r="CQ24574" s="111"/>
      <c r="EF24574"/>
      <c r="EG24574"/>
      <c r="EH24574"/>
      <c r="EI24574"/>
      <c r="EJ24574"/>
      <c r="EK24574"/>
    </row>
    <row r="24575" spans="1:141" s="116" customFormat="1">
      <c r="A24575" s="136"/>
      <c r="CM24575" s="111"/>
      <c r="CQ24575" s="111"/>
      <c r="EF24575"/>
      <c r="EG24575"/>
      <c r="EH24575"/>
      <c r="EI24575"/>
      <c r="EJ24575"/>
      <c r="EK24575"/>
    </row>
    <row r="24576" spans="1:141" s="116" customFormat="1">
      <c r="A24576" s="136"/>
      <c r="CM24576" s="111"/>
      <c r="CQ24576" s="111"/>
      <c r="EF24576"/>
      <c r="EG24576"/>
      <c r="EH24576"/>
      <c r="EI24576"/>
      <c r="EJ24576"/>
      <c r="EK24576"/>
    </row>
    <row r="24577" spans="1:141" s="116" customFormat="1">
      <c r="A24577" s="136"/>
      <c r="CM24577" s="111"/>
      <c r="CQ24577" s="111"/>
      <c r="EF24577"/>
      <c r="EG24577"/>
      <c r="EH24577"/>
      <c r="EI24577"/>
      <c r="EJ24577"/>
      <c r="EK24577"/>
    </row>
    <row r="24578" spans="1:141" s="116" customFormat="1">
      <c r="A24578" s="136"/>
      <c r="CM24578" s="111"/>
      <c r="CQ24578" s="111"/>
      <c r="EF24578"/>
      <c r="EG24578"/>
      <c r="EH24578"/>
      <c r="EI24578"/>
      <c r="EJ24578"/>
      <c r="EK24578"/>
    </row>
    <row r="24579" spans="1:141" s="116" customFormat="1">
      <c r="A24579" s="136"/>
      <c r="CM24579" s="111"/>
      <c r="CQ24579" s="111"/>
      <c r="EF24579"/>
      <c r="EG24579"/>
      <c r="EH24579"/>
      <c r="EI24579"/>
      <c r="EJ24579"/>
      <c r="EK24579"/>
    </row>
    <row r="24580" spans="1:141" s="116" customFormat="1">
      <c r="A24580" s="136"/>
      <c r="CM24580" s="111"/>
      <c r="CQ24580" s="111"/>
      <c r="EF24580"/>
      <c r="EG24580"/>
      <c r="EH24580"/>
      <c r="EI24580"/>
      <c r="EJ24580"/>
      <c r="EK24580"/>
    </row>
    <row r="24581" spans="1:141" s="116" customFormat="1">
      <c r="A24581" s="136"/>
      <c r="CM24581" s="111"/>
      <c r="CQ24581" s="111"/>
      <c r="EF24581"/>
      <c r="EG24581"/>
      <c r="EH24581"/>
      <c r="EI24581"/>
      <c r="EJ24581"/>
      <c r="EK24581"/>
    </row>
    <row r="24582" spans="1:141" s="116" customFormat="1">
      <c r="A24582" s="136"/>
      <c r="CM24582" s="111"/>
      <c r="CQ24582" s="111"/>
      <c r="EF24582"/>
      <c r="EG24582"/>
      <c r="EH24582"/>
      <c r="EI24582"/>
      <c r="EJ24582"/>
      <c r="EK24582"/>
    </row>
    <row r="24583" spans="1:141" s="116" customFormat="1">
      <c r="A24583" s="136"/>
      <c r="CM24583" s="111"/>
      <c r="CQ24583" s="111"/>
      <c r="EF24583"/>
      <c r="EG24583"/>
      <c r="EH24583"/>
      <c r="EI24583"/>
      <c r="EJ24583"/>
      <c r="EK24583"/>
    </row>
    <row r="24584" spans="1:141" s="116" customFormat="1">
      <c r="A24584" s="136"/>
      <c r="CM24584" s="111"/>
      <c r="CQ24584" s="111"/>
      <c r="EF24584"/>
      <c r="EG24584"/>
      <c r="EH24584"/>
      <c r="EI24584"/>
      <c r="EJ24584"/>
      <c r="EK24584"/>
    </row>
    <row r="24585" spans="1:141" s="116" customFormat="1">
      <c r="A24585" s="136"/>
      <c r="CM24585" s="111"/>
      <c r="CQ24585" s="111"/>
      <c r="EF24585"/>
      <c r="EG24585"/>
      <c r="EH24585"/>
      <c r="EI24585"/>
      <c r="EJ24585"/>
      <c r="EK24585"/>
    </row>
    <row r="24586" spans="1:141" s="116" customFormat="1">
      <c r="A24586" s="136"/>
      <c r="CM24586" s="111"/>
      <c r="CQ24586" s="111"/>
      <c r="EF24586"/>
      <c r="EG24586"/>
      <c r="EH24586"/>
      <c r="EI24586"/>
      <c r="EJ24586"/>
      <c r="EK24586"/>
    </row>
    <row r="24587" spans="1:141" s="116" customFormat="1">
      <c r="A24587" s="136"/>
      <c r="CM24587" s="111"/>
      <c r="CQ24587" s="111"/>
      <c r="EF24587"/>
      <c r="EG24587"/>
      <c r="EH24587"/>
      <c r="EI24587"/>
      <c r="EJ24587"/>
      <c r="EK24587"/>
    </row>
    <row r="24588" spans="1:141" s="116" customFormat="1">
      <c r="A24588" s="136"/>
      <c r="CM24588" s="111"/>
      <c r="CQ24588" s="111"/>
      <c r="EF24588"/>
      <c r="EG24588"/>
      <c r="EH24588"/>
      <c r="EI24588"/>
      <c r="EJ24588"/>
      <c r="EK24588"/>
    </row>
    <row r="24589" spans="1:141" s="116" customFormat="1">
      <c r="A24589" s="136"/>
      <c r="CM24589" s="111"/>
      <c r="CQ24589" s="111"/>
      <c r="EF24589"/>
      <c r="EG24589"/>
      <c r="EH24589"/>
      <c r="EI24589"/>
      <c r="EJ24589"/>
      <c r="EK24589"/>
    </row>
    <row r="24590" spans="1:141" s="116" customFormat="1">
      <c r="A24590" s="136"/>
      <c r="CM24590" s="111"/>
      <c r="CQ24590" s="111"/>
      <c r="EF24590"/>
      <c r="EG24590"/>
      <c r="EH24590"/>
      <c r="EI24590"/>
      <c r="EJ24590"/>
      <c r="EK24590"/>
    </row>
    <row r="24591" spans="1:141" s="116" customFormat="1">
      <c r="A24591" s="136"/>
      <c r="CM24591" s="111"/>
      <c r="CQ24591" s="111"/>
      <c r="EF24591"/>
      <c r="EG24591"/>
      <c r="EH24591"/>
      <c r="EI24591"/>
      <c r="EJ24591"/>
      <c r="EK24591"/>
    </row>
    <row r="24592" spans="1:141" s="116" customFormat="1">
      <c r="A24592" s="136"/>
      <c r="CM24592" s="111"/>
      <c r="CQ24592" s="111"/>
      <c r="EF24592"/>
      <c r="EG24592"/>
      <c r="EH24592"/>
      <c r="EI24592"/>
      <c r="EJ24592"/>
      <c r="EK24592"/>
    </row>
    <row r="24593" spans="1:141" s="116" customFormat="1">
      <c r="A24593" s="136"/>
      <c r="CM24593" s="111"/>
      <c r="CQ24593" s="111"/>
      <c r="EF24593"/>
      <c r="EG24593"/>
      <c r="EH24593"/>
      <c r="EI24593"/>
      <c r="EJ24593"/>
      <c r="EK24593"/>
    </row>
    <row r="24594" spans="1:141" s="116" customFormat="1">
      <c r="A24594" s="136"/>
      <c r="CM24594" s="111"/>
      <c r="CQ24594" s="111"/>
      <c r="EF24594"/>
      <c r="EG24594"/>
      <c r="EH24594"/>
      <c r="EI24594"/>
      <c r="EJ24594"/>
      <c r="EK24594"/>
    </row>
    <row r="24595" spans="1:141" s="116" customFormat="1">
      <c r="A24595" s="136"/>
      <c r="CM24595" s="111"/>
      <c r="CQ24595" s="111"/>
      <c r="EF24595"/>
      <c r="EG24595"/>
      <c r="EH24595"/>
      <c r="EI24595"/>
      <c r="EJ24595"/>
      <c r="EK24595"/>
    </row>
    <row r="24596" spans="1:141" s="116" customFormat="1">
      <c r="A24596" s="136"/>
      <c r="CM24596" s="111"/>
      <c r="CQ24596" s="111"/>
      <c r="EF24596"/>
      <c r="EG24596"/>
      <c r="EH24596"/>
      <c r="EI24596"/>
      <c r="EJ24596"/>
      <c r="EK24596"/>
    </row>
    <row r="24597" spans="1:141" s="116" customFormat="1">
      <c r="A24597" s="136"/>
      <c r="CM24597" s="111"/>
      <c r="CQ24597" s="111"/>
      <c r="EF24597"/>
      <c r="EG24597"/>
      <c r="EH24597"/>
      <c r="EI24597"/>
      <c r="EJ24597"/>
      <c r="EK24597"/>
    </row>
    <row r="24598" spans="1:141" s="116" customFormat="1">
      <c r="A24598" s="136"/>
      <c r="CM24598" s="111"/>
      <c r="CQ24598" s="111"/>
      <c r="EF24598"/>
      <c r="EG24598"/>
      <c r="EH24598"/>
      <c r="EI24598"/>
      <c r="EJ24598"/>
      <c r="EK24598"/>
    </row>
    <row r="24599" spans="1:141" s="116" customFormat="1">
      <c r="A24599" s="136"/>
      <c r="CM24599" s="111"/>
      <c r="CQ24599" s="111"/>
      <c r="EF24599"/>
      <c r="EG24599"/>
      <c r="EH24599"/>
      <c r="EI24599"/>
      <c r="EJ24599"/>
      <c r="EK24599"/>
    </row>
    <row r="24600" spans="1:141" s="116" customFormat="1">
      <c r="A24600" s="136"/>
      <c r="CM24600" s="111"/>
      <c r="CQ24600" s="111"/>
      <c r="EF24600"/>
      <c r="EG24600"/>
      <c r="EH24600"/>
      <c r="EI24600"/>
      <c r="EJ24600"/>
      <c r="EK24600"/>
    </row>
    <row r="24601" spans="1:141" s="116" customFormat="1">
      <c r="A24601" s="136"/>
      <c r="CM24601" s="111"/>
      <c r="CQ24601" s="111"/>
      <c r="EF24601"/>
      <c r="EG24601"/>
      <c r="EH24601"/>
      <c r="EI24601"/>
      <c r="EJ24601"/>
      <c r="EK24601"/>
    </row>
    <row r="24602" spans="1:141" s="116" customFormat="1">
      <c r="A24602" s="136"/>
      <c r="CM24602" s="111"/>
      <c r="CQ24602" s="111"/>
      <c r="EF24602"/>
      <c r="EG24602"/>
      <c r="EH24602"/>
      <c r="EI24602"/>
      <c r="EJ24602"/>
      <c r="EK24602"/>
    </row>
    <row r="24603" spans="1:141" s="116" customFormat="1">
      <c r="A24603" s="136"/>
      <c r="CM24603" s="111"/>
      <c r="CQ24603" s="111"/>
      <c r="EF24603"/>
      <c r="EG24603"/>
      <c r="EH24603"/>
      <c r="EI24603"/>
      <c r="EJ24603"/>
      <c r="EK24603"/>
    </row>
    <row r="24604" spans="1:141" s="116" customFormat="1">
      <c r="A24604" s="136"/>
      <c r="CM24604" s="111"/>
      <c r="CQ24604" s="111"/>
      <c r="EF24604"/>
      <c r="EG24604"/>
      <c r="EH24604"/>
      <c r="EI24604"/>
      <c r="EJ24604"/>
      <c r="EK24604"/>
    </row>
    <row r="24605" spans="1:141" s="116" customFormat="1">
      <c r="A24605" s="136"/>
      <c r="CM24605" s="111"/>
      <c r="CQ24605" s="111"/>
      <c r="EF24605"/>
      <c r="EG24605"/>
      <c r="EH24605"/>
      <c r="EI24605"/>
      <c r="EJ24605"/>
      <c r="EK24605"/>
    </row>
    <row r="24606" spans="1:141" s="116" customFormat="1">
      <c r="A24606" s="136"/>
      <c r="CM24606" s="111"/>
      <c r="CQ24606" s="111"/>
      <c r="EF24606"/>
      <c r="EG24606"/>
      <c r="EH24606"/>
      <c r="EI24606"/>
      <c r="EJ24606"/>
      <c r="EK24606"/>
    </row>
    <row r="24607" spans="1:141" s="116" customFormat="1">
      <c r="A24607" s="136"/>
      <c r="CM24607" s="111"/>
      <c r="CQ24607" s="111"/>
      <c r="EF24607"/>
      <c r="EG24607"/>
      <c r="EH24607"/>
      <c r="EI24607"/>
      <c r="EJ24607"/>
      <c r="EK24607"/>
    </row>
    <row r="24608" spans="1:141" s="116" customFormat="1">
      <c r="A24608" s="136"/>
      <c r="CM24608" s="111"/>
      <c r="CQ24608" s="111"/>
      <c r="EF24608"/>
      <c r="EG24608"/>
      <c r="EH24608"/>
      <c r="EI24608"/>
      <c r="EJ24608"/>
      <c r="EK24608"/>
    </row>
    <row r="24609" spans="1:141" s="116" customFormat="1">
      <c r="A24609" s="136"/>
      <c r="CM24609" s="111"/>
      <c r="CQ24609" s="111"/>
      <c r="EF24609"/>
      <c r="EG24609"/>
      <c r="EH24609"/>
      <c r="EI24609"/>
      <c r="EJ24609"/>
      <c r="EK24609"/>
    </row>
    <row r="24610" spans="1:141" s="116" customFormat="1">
      <c r="A24610" s="136"/>
      <c r="CM24610" s="111"/>
      <c r="CQ24610" s="111"/>
      <c r="EF24610"/>
      <c r="EG24610"/>
      <c r="EH24610"/>
      <c r="EI24610"/>
      <c r="EJ24610"/>
      <c r="EK24610"/>
    </row>
    <row r="24611" spans="1:141" s="116" customFormat="1">
      <c r="A24611" s="136"/>
      <c r="CM24611" s="111"/>
      <c r="CQ24611" s="111"/>
      <c r="EF24611"/>
      <c r="EG24611"/>
      <c r="EH24611"/>
      <c r="EI24611"/>
      <c r="EJ24611"/>
      <c r="EK24611"/>
    </row>
    <row r="24612" spans="1:141" s="116" customFormat="1">
      <c r="A24612" s="136"/>
      <c r="CM24612" s="111"/>
      <c r="CQ24612" s="111"/>
      <c r="EF24612"/>
      <c r="EG24612"/>
      <c r="EH24612"/>
      <c r="EI24612"/>
      <c r="EJ24612"/>
      <c r="EK24612"/>
    </row>
    <row r="24613" spans="1:141" s="116" customFormat="1">
      <c r="A24613" s="136"/>
      <c r="CM24613" s="111"/>
      <c r="CQ24613" s="111"/>
      <c r="EF24613"/>
      <c r="EG24613"/>
      <c r="EH24613"/>
      <c r="EI24613"/>
      <c r="EJ24613"/>
      <c r="EK24613"/>
    </row>
    <row r="24614" spans="1:141" s="116" customFormat="1">
      <c r="A24614" s="136"/>
      <c r="CM24614" s="111"/>
      <c r="CQ24614" s="111"/>
      <c r="EF24614"/>
      <c r="EG24614"/>
      <c r="EH24614"/>
      <c r="EI24614"/>
      <c r="EJ24614"/>
      <c r="EK24614"/>
    </row>
    <row r="24615" spans="1:141" s="116" customFormat="1">
      <c r="A24615" s="136"/>
      <c r="CM24615" s="111"/>
      <c r="CQ24615" s="111"/>
      <c r="EF24615"/>
      <c r="EG24615"/>
      <c r="EH24615"/>
      <c r="EI24615"/>
      <c r="EJ24615"/>
      <c r="EK24615"/>
    </row>
    <row r="24616" spans="1:141" s="116" customFormat="1">
      <c r="A24616" s="136"/>
      <c r="CM24616" s="111"/>
      <c r="CQ24616" s="111"/>
      <c r="EF24616"/>
      <c r="EG24616"/>
      <c r="EH24616"/>
      <c r="EI24616"/>
      <c r="EJ24616"/>
      <c r="EK24616"/>
    </row>
    <row r="24617" spans="1:141" s="116" customFormat="1">
      <c r="A24617" s="136"/>
      <c r="CM24617" s="111"/>
      <c r="CQ24617" s="111"/>
      <c r="EF24617"/>
      <c r="EG24617"/>
      <c r="EH24617"/>
      <c r="EI24617"/>
      <c r="EJ24617"/>
      <c r="EK24617"/>
    </row>
    <row r="24618" spans="1:141" s="116" customFormat="1">
      <c r="A24618" s="136"/>
      <c r="CM24618" s="111"/>
      <c r="CQ24618" s="111"/>
      <c r="EF24618"/>
      <c r="EG24618"/>
      <c r="EH24618"/>
      <c r="EI24618"/>
      <c r="EJ24618"/>
      <c r="EK24618"/>
    </row>
    <row r="24619" spans="1:141" s="116" customFormat="1">
      <c r="A24619" s="136"/>
      <c r="CM24619" s="111"/>
      <c r="CQ24619" s="111"/>
      <c r="EF24619"/>
      <c r="EG24619"/>
      <c r="EH24619"/>
      <c r="EI24619"/>
      <c r="EJ24619"/>
      <c r="EK24619"/>
    </row>
    <row r="24620" spans="1:141" s="116" customFormat="1">
      <c r="A24620" s="136"/>
      <c r="CM24620" s="111"/>
      <c r="CQ24620" s="111"/>
      <c r="EF24620"/>
      <c r="EG24620"/>
      <c r="EH24620"/>
      <c r="EI24620"/>
      <c r="EJ24620"/>
      <c r="EK24620"/>
    </row>
    <row r="24621" spans="1:141" s="116" customFormat="1">
      <c r="A24621" s="136"/>
      <c r="CM24621" s="111"/>
      <c r="CQ24621" s="111"/>
      <c r="EF24621"/>
      <c r="EG24621"/>
      <c r="EH24621"/>
      <c r="EI24621"/>
      <c r="EJ24621"/>
      <c r="EK24621"/>
    </row>
    <row r="24622" spans="1:141" s="116" customFormat="1">
      <c r="A24622" s="136"/>
      <c r="CM24622" s="111"/>
      <c r="CQ24622" s="111"/>
      <c r="EF24622"/>
      <c r="EG24622"/>
      <c r="EH24622"/>
      <c r="EI24622"/>
      <c r="EJ24622"/>
      <c r="EK24622"/>
    </row>
    <row r="24623" spans="1:141" s="116" customFormat="1">
      <c r="A24623" s="136"/>
      <c r="CM24623" s="111"/>
      <c r="CQ24623" s="111"/>
      <c r="EF24623"/>
      <c r="EG24623"/>
      <c r="EH24623"/>
      <c r="EI24623"/>
      <c r="EJ24623"/>
      <c r="EK24623"/>
    </row>
    <row r="24624" spans="1:141" s="116" customFormat="1">
      <c r="A24624" s="136"/>
      <c r="CM24624" s="111"/>
      <c r="CQ24624" s="111"/>
      <c r="EF24624"/>
      <c r="EG24624"/>
      <c r="EH24624"/>
      <c r="EI24624"/>
      <c r="EJ24624"/>
      <c r="EK24624"/>
    </row>
    <row r="24625" spans="1:141" s="116" customFormat="1">
      <c r="A24625" s="136"/>
      <c r="CM24625" s="111"/>
      <c r="CQ24625" s="111"/>
      <c r="EF24625"/>
      <c r="EG24625"/>
      <c r="EH24625"/>
      <c r="EI24625"/>
      <c r="EJ24625"/>
      <c r="EK24625"/>
    </row>
    <row r="24626" spans="1:141" s="116" customFormat="1">
      <c r="A24626" s="136"/>
      <c r="CM24626" s="111"/>
      <c r="CQ24626" s="111"/>
      <c r="EF24626"/>
      <c r="EG24626"/>
      <c r="EH24626"/>
      <c r="EI24626"/>
      <c r="EJ24626"/>
      <c r="EK24626"/>
    </row>
    <row r="24627" spans="1:141" s="116" customFormat="1">
      <c r="A24627" s="136"/>
      <c r="CM24627" s="111"/>
      <c r="CQ24627" s="111"/>
      <c r="EF24627"/>
      <c r="EG24627"/>
      <c r="EH24627"/>
      <c r="EI24627"/>
      <c r="EJ24627"/>
      <c r="EK24627"/>
    </row>
    <row r="24628" spans="1:141" s="116" customFormat="1">
      <c r="A24628" s="136"/>
      <c r="CM24628" s="111"/>
      <c r="CQ24628" s="111"/>
      <c r="EF24628"/>
      <c r="EG24628"/>
      <c r="EH24628"/>
      <c r="EI24628"/>
      <c r="EJ24628"/>
      <c r="EK24628"/>
    </row>
    <row r="24629" spans="1:141" s="116" customFormat="1">
      <c r="A24629" s="136"/>
      <c r="CM24629" s="111"/>
      <c r="CQ24629" s="111"/>
      <c r="EF24629"/>
      <c r="EG24629"/>
      <c r="EH24629"/>
      <c r="EI24629"/>
      <c r="EJ24629"/>
      <c r="EK24629"/>
    </row>
    <row r="24630" spans="1:141" s="116" customFormat="1">
      <c r="A24630" s="136"/>
      <c r="CM24630" s="111"/>
      <c r="CQ24630" s="111"/>
      <c r="EF24630"/>
      <c r="EG24630"/>
      <c r="EH24630"/>
      <c r="EI24630"/>
      <c r="EJ24630"/>
      <c r="EK24630"/>
    </row>
    <row r="24631" spans="1:141" s="116" customFormat="1">
      <c r="A24631" s="136"/>
      <c r="CM24631" s="111"/>
      <c r="CQ24631" s="111"/>
      <c r="EF24631"/>
      <c r="EG24631"/>
      <c r="EH24631"/>
      <c r="EI24631"/>
      <c r="EJ24631"/>
      <c r="EK24631"/>
    </row>
    <row r="24632" spans="1:141" s="116" customFormat="1">
      <c r="A24632" s="136"/>
      <c r="CM24632" s="111"/>
      <c r="CQ24632" s="111"/>
      <c r="EF24632"/>
      <c r="EG24632"/>
      <c r="EH24632"/>
      <c r="EI24632"/>
      <c r="EJ24632"/>
      <c r="EK24632"/>
    </row>
    <row r="24633" spans="1:141" s="116" customFormat="1">
      <c r="A24633" s="136"/>
      <c r="CM24633" s="111"/>
      <c r="CQ24633" s="111"/>
      <c r="EF24633"/>
      <c r="EG24633"/>
      <c r="EH24633"/>
      <c r="EI24633"/>
      <c r="EJ24633"/>
      <c r="EK24633"/>
    </row>
    <row r="24634" spans="1:141" s="116" customFormat="1">
      <c r="A24634" s="136"/>
      <c r="CM24634" s="111"/>
      <c r="CQ24634" s="111"/>
      <c r="EF24634"/>
      <c r="EG24634"/>
      <c r="EH24634"/>
      <c r="EI24634"/>
      <c r="EJ24634"/>
      <c r="EK24634"/>
    </row>
    <row r="24635" spans="1:141" s="116" customFormat="1">
      <c r="A24635" s="136"/>
      <c r="CM24635" s="111"/>
      <c r="CQ24635" s="111"/>
      <c r="EF24635"/>
      <c r="EG24635"/>
      <c r="EH24635"/>
      <c r="EI24635"/>
      <c r="EJ24635"/>
      <c r="EK24635"/>
    </row>
    <row r="24636" spans="1:141" s="116" customFormat="1">
      <c r="A24636" s="136"/>
      <c r="CM24636" s="111"/>
      <c r="CQ24636" s="111"/>
      <c r="EF24636"/>
      <c r="EG24636"/>
      <c r="EH24636"/>
      <c r="EI24636"/>
      <c r="EJ24636"/>
      <c r="EK24636"/>
    </row>
    <row r="24637" spans="1:141" s="116" customFormat="1">
      <c r="A24637" s="136"/>
      <c r="CM24637" s="111"/>
      <c r="CQ24637" s="111"/>
      <c r="EF24637"/>
      <c r="EG24637"/>
      <c r="EH24637"/>
      <c r="EI24637"/>
      <c r="EJ24637"/>
      <c r="EK24637"/>
    </row>
    <row r="24638" spans="1:141" s="116" customFormat="1">
      <c r="A24638" s="136"/>
      <c r="CM24638" s="111"/>
      <c r="CQ24638" s="111"/>
      <c r="EF24638"/>
      <c r="EG24638"/>
      <c r="EH24638"/>
      <c r="EI24638"/>
      <c r="EJ24638"/>
      <c r="EK24638"/>
    </row>
    <row r="24639" spans="1:141" s="116" customFormat="1">
      <c r="A24639" s="136"/>
      <c r="CM24639" s="111"/>
      <c r="CQ24639" s="111"/>
      <c r="EF24639"/>
      <c r="EG24639"/>
      <c r="EH24639"/>
      <c r="EI24639"/>
      <c r="EJ24639"/>
      <c r="EK24639"/>
    </row>
    <row r="24640" spans="1:141" s="116" customFormat="1">
      <c r="A24640" s="136"/>
      <c r="CM24640" s="111"/>
      <c r="CQ24640" s="111"/>
      <c r="EF24640"/>
      <c r="EG24640"/>
      <c r="EH24640"/>
      <c r="EI24640"/>
      <c r="EJ24640"/>
      <c r="EK24640"/>
    </row>
    <row r="24641" spans="1:141" s="116" customFormat="1">
      <c r="A24641" s="136"/>
      <c r="CM24641" s="111"/>
      <c r="CQ24641" s="111"/>
      <c r="EF24641"/>
      <c r="EG24641"/>
      <c r="EH24641"/>
      <c r="EI24641"/>
      <c r="EJ24641"/>
      <c r="EK24641"/>
    </row>
    <row r="24642" spans="1:141" s="116" customFormat="1">
      <c r="A24642" s="136"/>
      <c r="CM24642" s="111"/>
      <c r="CQ24642" s="111"/>
      <c r="EF24642"/>
      <c r="EG24642"/>
      <c r="EH24642"/>
      <c r="EI24642"/>
      <c r="EJ24642"/>
      <c r="EK24642"/>
    </row>
    <row r="24643" spans="1:141" s="116" customFormat="1">
      <c r="A24643" s="136"/>
      <c r="CM24643" s="111"/>
      <c r="CQ24643" s="111"/>
      <c r="EF24643"/>
      <c r="EG24643"/>
      <c r="EH24643"/>
      <c r="EI24643"/>
      <c r="EJ24643"/>
      <c r="EK24643"/>
    </row>
    <row r="24644" spans="1:141" s="116" customFormat="1">
      <c r="A24644" s="136"/>
      <c r="CM24644" s="111"/>
      <c r="CQ24644" s="111"/>
      <c r="EF24644"/>
      <c r="EG24644"/>
      <c r="EH24644"/>
      <c r="EI24644"/>
      <c r="EJ24644"/>
      <c r="EK24644"/>
    </row>
    <row r="24645" spans="1:141" s="116" customFormat="1">
      <c r="A24645" s="136"/>
      <c r="CM24645" s="111"/>
      <c r="CQ24645" s="111"/>
      <c r="EF24645"/>
      <c r="EG24645"/>
      <c r="EH24645"/>
      <c r="EI24645"/>
      <c r="EJ24645"/>
      <c r="EK24645"/>
    </row>
    <row r="24646" spans="1:141" s="116" customFormat="1">
      <c r="A24646" s="136"/>
      <c r="CM24646" s="111"/>
      <c r="CQ24646" s="111"/>
      <c r="EF24646"/>
      <c r="EG24646"/>
      <c r="EH24646"/>
      <c r="EI24646"/>
      <c r="EJ24646"/>
      <c r="EK24646"/>
    </row>
    <row r="24647" spans="1:141" s="116" customFormat="1">
      <c r="A24647" s="136"/>
      <c r="CM24647" s="111"/>
      <c r="CQ24647" s="111"/>
      <c r="EF24647"/>
      <c r="EG24647"/>
      <c r="EH24647"/>
      <c r="EI24647"/>
      <c r="EJ24647"/>
      <c r="EK24647"/>
    </row>
    <row r="24648" spans="1:141" s="116" customFormat="1">
      <c r="A24648" s="136"/>
      <c r="CM24648" s="111"/>
      <c r="CQ24648" s="111"/>
      <c r="EF24648"/>
      <c r="EG24648"/>
      <c r="EH24648"/>
      <c r="EI24648"/>
      <c r="EJ24648"/>
      <c r="EK24648"/>
    </row>
    <row r="24649" spans="1:141" s="116" customFormat="1">
      <c r="A24649" s="136"/>
      <c r="CM24649" s="111"/>
      <c r="CQ24649" s="111"/>
      <c r="EF24649"/>
      <c r="EG24649"/>
      <c r="EH24649"/>
      <c r="EI24649"/>
      <c r="EJ24649"/>
      <c r="EK24649"/>
    </row>
    <row r="24650" spans="1:141" s="116" customFormat="1">
      <c r="A24650" s="136"/>
      <c r="CM24650" s="111"/>
      <c r="CQ24650" s="111"/>
      <c r="EF24650"/>
      <c r="EG24650"/>
      <c r="EH24650"/>
      <c r="EI24650"/>
      <c r="EJ24650"/>
      <c r="EK24650"/>
    </row>
    <row r="24651" spans="1:141" s="116" customFormat="1">
      <c r="A24651" s="136"/>
      <c r="CM24651" s="111"/>
      <c r="CQ24651" s="111"/>
      <c r="EF24651"/>
      <c r="EG24651"/>
      <c r="EH24651"/>
      <c r="EI24651"/>
      <c r="EJ24651"/>
      <c r="EK24651"/>
    </row>
    <row r="24652" spans="1:141" s="116" customFormat="1">
      <c r="A24652" s="136"/>
      <c r="CM24652" s="111"/>
      <c r="CQ24652" s="111"/>
      <c r="EF24652"/>
      <c r="EG24652"/>
      <c r="EH24652"/>
      <c r="EI24652"/>
      <c r="EJ24652"/>
      <c r="EK24652"/>
    </row>
    <row r="24653" spans="1:141" s="116" customFormat="1">
      <c r="A24653" s="136"/>
      <c r="CM24653" s="111"/>
      <c r="CQ24653" s="111"/>
      <c r="EF24653"/>
      <c r="EG24653"/>
      <c r="EH24653"/>
      <c r="EI24653"/>
      <c r="EJ24653"/>
      <c r="EK24653"/>
    </row>
    <row r="24654" spans="1:141" s="116" customFormat="1">
      <c r="A24654" s="136"/>
      <c r="CM24654" s="111"/>
      <c r="CQ24654" s="111"/>
      <c r="EF24654"/>
      <c r="EG24654"/>
      <c r="EH24654"/>
      <c r="EI24654"/>
      <c r="EJ24654"/>
      <c r="EK24654"/>
    </row>
    <row r="24655" spans="1:141" s="116" customFormat="1">
      <c r="A24655" s="136"/>
      <c r="CM24655" s="111"/>
      <c r="CQ24655" s="111"/>
      <c r="EF24655"/>
      <c r="EG24655"/>
      <c r="EH24655"/>
      <c r="EI24655"/>
      <c r="EJ24655"/>
      <c r="EK24655"/>
    </row>
    <row r="24656" spans="1:141" s="116" customFormat="1">
      <c r="A24656" s="136"/>
      <c r="CM24656" s="111"/>
      <c r="CQ24656" s="111"/>
      <c r="EF24656"/>
      <c r="EG24656"/>
      <c r="EH24656"/>
      <c r="EI24656"/>
      <c r="EJ24656"/>
      <c r="EK24656"/>
    </row>
    <row r="24657" spans="1:141" s="116" customFormat="1">
      <c r="A24657" s="136"/>
      <c r="CM24657" s="111"/>
      <c r="CQ24657" s="111"/>
      <c r="EF24657"/>
      <c r="EG24657"/>
      <c r="EH24657"/>
      <c r="EI24657"/>
      <c r="EJ24657"/>
      <c r="EK24657"/>
    </row>
    <row r="24658" spans="1:141" s="116" customFormat="1">
      <c r="A24658" s="136"/>
      <c r="CM24658" s="111"/>
      <c r="CQ24658" s="111"/>
      <c r="EF24658"/>
      <c r="EG24658"/>
      <c r="EH24658"/>
      <c r="EI24658"/>
      <c r="EJ24658"/>
      <c r="EK24658"/>
    </row>
    <row r="24659" spans="1:141" s="116" customFormat="1">
      <c r="A24659" s="136"/>
      <c r="CM24659" s="111"/>
      <c r="CQ24659" s="111"/>
      <c r="EF24659"/>
      <c r="EG24659"/>
      <c r="EH24659"/>
      <c r="EI24659"/>
      <c r="EJ24659"/>
      <c r="EK24659"/>
    </row>
    <row r="24660" spans="1:141" s="116" customFormat="1">
      <c r="A24660" s="136"/>
      <c r="CM24660" s="111"/>
      <c r="CQ24660" s="111"/>
      <c r="EF24660"/>
      <c r="EG24660"/>
      <c r="EH24660"/>
      <c r="EI24660"/>
      <c r="EJ24660"/>
      <c r="EK24660"/>
    </row>
    <row r="24661" spans="1:141" s="116" customFormat="1">
      <c r="A24661" s="136"/>
      <c r="CM24661" s="111"/>
      <c r="CQ24661" s="111"/>
      <c r="EF24661"/>
      <c r="EG24661"/>
      <c r="EH24661"/>
      <c r="EI24661"/>
      <c r="EJ24661"/>
      <c r="EK24661"/>
    </row>
    <row r="24662" spans="1:141" s="116" customFormat="1">
      <c r="A24662" s="136"/>
      <c r="CM24662" s="111"/>
      <c r="CQ24662" s="111"/>
      <c r="EF24662"/>
      <c r="EG24662"/>
      <c r="EH24662"/>
      <c r="EI24662"/>
      <c r="EJ24662"/>
      <c r="EK24662"/>
    </row>
    <row r="24663" spans="1:141" s="116" customFormat="1">
      <c r="A24663" s="136"/>
      <c r="CM24663" s="111"/>
      <c r="CQ24663" s="111"/>
      <c r="EF24663"/>
      <c r="EG24663"/>
      <c r="EH24663"/>
      <c r="EI24663"/>
      <c r="EJ24663"/>
      <c r="EK24663"/>
    </row>
    <row r="24664" spans="1:141" s="116" customFormat="1">
      <c r="A24664" s="136"/>
      <c r="CM24664" s="111"/>
      <c r="CQ24664" s="111"/>
      <c r="EF24664"/>
      <c r="EG24664"/>
      <c r="EH24664"/>
      <c r="EI24664"/>
      <c r="EJ24664"/>
      <c r="EK24664"/>
    </row>
    <row r="24665" spans="1:141" s="116" customFormat="1">
      <c r="A24665" s="136"/>
      <c r="CM24665" s="111"/>
      <c r="CQ24665" s="111"/>
      <c r="EF24665"/>
      <c r="EG24665"/>
      <c r="EH24665"/>
      <c r="EI24665"/>
      <c r="EJ24665"/>
      <c r="EK24665"/>
    </row>
    <row r="24666" spans="1:141" s="116" customFormat="1">
      <c r="A24666" s="136"/>
      <c r="CM24666" s="111"/>
      <c r="CQ24666" s="111"/>
      <c r="EF24666"/>
      <c r="EG24666"/>
      <c r="EH24666"/>
      <c r="EI24666"/>
      <c r="EJ24666"/>
      <c r="EK24666"/>
    </row>
    <row r="24667" spans="1:141" s="116" customFormat="1">
      <c r="A24667" s="136"/>
      <c r="CM24667" s="111"/>
      <c r="CQ24667" s="111"/>
      <c r="EF24667"/>
      <c r="EG24667"/>
      <c r="EH24667"/>
      <c r="EI24667"/>
      <c r="EJ24667"/>
      <c r="EK24667"/>
    </row>
    <row r="24668" spans="1:141" s="116" customFormat="1">
      <c r="A24668" s="136"/>
      <c r="CM24668" s="111"/>
      <c r="CQ24668" s="111"/>
      <c r="EF24668"/>
      <c r="EG24668"/>
      <c r="EH24668"/>
      <c r="EI24668"/>
      <c r="EJ24668"/>
      <c r="EK24668"/>
    </row>
    <row r="24669" spans="1:141" s="116" customFormat="1">
      <c r="A24669" s="136"/>
      <c r="CM24669" s="111"/>
      <c r="CQ24669" s="111"/>
      <c r="EF24669"/>
      <c r="EG24669"/>
      <c r="EH24669"/>
      <c r="EI24669"/>
      <c r="EJ24669"/>
      <c r="EK24669"/>
    </row>
    <row r="24670" spans="1:141" s="116" customFormat="1">
      <c r="A24670" s="136"/>
      <c r="CM24670" s="111"/>
      <c r="CQ24670" s="111"/>
      <c r="EF24670"/>
      <c r="EG24670"/>
      <c r="EH24670"/>
      <c r="EI24670"/>
      <c r="EJ24670"/>
      <c r="EK24670"/>
    </row>
    <row r="24671" spans="1:141" s="116" customFormat="1">
      <c r="A24671" s="136"/>
      <c r="CM24671" s="111"/>
      <c r="CQ24671" s="111"/>
      <c r="EF24671"/>
      <c r="EG24671"/>
      <c r="EH24671"/>
      <c r="EI24671"/>
      <c r="EJ24671"/>
      <c r="EK24671"/>
    </row>
    <row r="24672" spans="1:141" s="116" customFormat="1">
      <c r="A24672" s="136"/>
      <c r="CM24672" s="111"/>
      <c r="CQ24672" s="111"/>
      <c r="EF24672"/>
      <c r="EG24672"/>
      <c r="EH24672"/>
      <c r="EI24672"/>
      <c r="EJ24672"/>
      <c r="EK24672"/>
    </row>
    <row r="24673" spans="1:141" s="116" customFormat="1">
      <c r="A24673" s="136"/>
      <c r="CM24673" s="111"/>
      <c r="CQ24673" s="111"/>
      <c r="EF24673"/>
      <c r="EG24673"/>
      <c r="EH24673"/>
      <c r="EI24673"/>
      <c r="EJ24673"/>
      <c r="EK24673"/>
    </row>
    <row r="24674" spans="1:141" s="116" customFormat="1">
      <c r="A24674" s="136"/>
      <c r="CM24674" s="111"/>
      <c r="CQ24674" s="111"/>
      <c r="EF24674"/>
      <c r="EG24674"/>
      <c r="EH24674"/>
      <c r="EI24674"/>
      <c r="EJ24674"/>
      <c r="EK24674"/>
    </row>
    <row r="24675" spans="1:141" s="116" customFormat="1">
      <c r="A24675" s="136"/>
      <c r="CM24675" s="111"/>
      <c r="CQ24675" s="111"/>
      <c r="EF24675"/>
      <c r="EG24675"/>
      <c r="EH24675"/>
      <c r="EI24675"/>
      <c r="EJ24675"/>
      <c r="EK24675"/>
    </row>
    <row r="24676" spans="1:141" s="116" customFormat="1">
      <c r="A24676" s="136"/>
      <c r="CM24676" s="111"/>
      <c r="CQ24676" s="111"/>
      <c r="EF24676"/>
      <c r="EG24676"/>
      <c r="EH24676"/>
      <c r="EI24676"/>
      <c r="EJ24676"/>
      <c r="EK24676"/>
    </row>
    <row r="24677" spans="1:141" s="116" customFormat="1">
      <c r="A24677" s="136"/>
      <c r="CM24677" s="111"/>
      <c r="CQ24677" s="111"/>
      <c r="EF24677"/>
      <c r="EG24677"/>
      <c r="EH24677"/>
      <c r="EI24677"/>
      <c r="EJ24677"/>
      <c r="EK24677"/>
    </row>
    <row r="24678" spans="1:141" s="116" customFormat="1">
      <c r="A24678" s="136"/>
      <c r="CM24678" s="111"/>
      <c r="CQ24678" s="111"/>
      <c r="EF24678"/>
      <c r="EG24678"/>
      <c r="EH24678"/>
      <c r="EI24678"/>
      <c r="EJ24678"/>
      <c r="EK24678"/>
    </row>
    <row r="24679" spans="1:141" s="116" customFormat="1">
      <c r="A24679" s="136"/>
      <c r="CM24679" s="111"/>
      <c r="CQ24679" s="111"/>
      <c r="EF24679"/>
      <c r="EG24679"/>
      <c r="EH24679"/>
      <c r="EI24679"/>
      <c r="EJ24679"/>
      <c r="EK24679"/>
    </row>
    <row r="24680" spans="1:141" s="116" customFormat="1">
      <c r="A24680" s="136"/>
      <c r="CM24680" s="111"/>
      <c r="CQ24680" s="111"/>
      <c r="EF24680"/>
      <c r="EG24680"/>
      <c r="EH24680"/>
      <c r="EI24680"/>
      <c r="EJ24680"/>
      <c r="EK24680"/>
    </row>
    <row r="24681" spans="1:141" s="116" customFormat="1">
      <c r="A24681" s="136"/>
      <c r="CM24681" s="111"/>
      <c r="CQ24681" s="111"/>
      <c r="EF24681"/>
      <c r="EG24681"/>
      <c r="EH24681"/>
      <c r="EI24681"/>
      <c r="EJ24681"/>
      <c r="EK24681"/>
    </row>
    <row r="24682" spans="1:141" s="116" customFormat="1">
      <c r="A24682" s="136"/>
      <c r="CM24682" s="111"/>
      <c r="CQ24682" s="111"/>
      <c r="EF24682"/>
      <c r="EG24682"/>
      <c r="EH24682"/>
      <c r="EI24682"/>
      <c r="EJ24682"/>
      <c r="EK24682"/>
    </row>
    <row r="24683" spans="1:141" s="116" customFormat="1">
      <c r="A24683" s="136"/>
      <c r="CM24683" s="111"/>
      <c r="CQ24683" s="111"/>
      <c r="EF24683"/>
      <c r="EG24683"/>
      <c r="EH24683"/>
      <c r="EI24683"/>
      <c r="EJ24683"/>
      <c r="EK24683"/>
    </row>
    <row r="24684" spans="1:141" s="116" customFormat="1">
      <c r="A24684" s="136"/>
      <c r="CM24684" s="111"/>
      <c r="CQ24684" s="111"/>
      <c r="EF24684"/>
      <c r="EG24684"/>
      <c r="EH24684"/>
      <c r="EI24684"/>
      <c r="EJ24684"/>
      <c r="EK24684"/>
    </row>
    <row r="24685" spans="1:141" s="116" customFormat="1">
      <c r="A24685" s="136"/>
      <c r="CM24685" s="111"/>
      <c r="CQ24685" s="111"/>
      <c r="EF24685"/>
      <c r="EG24685"/>
      <c r="EH24685"/>
      <c r="EI24685"/>
      <c r="EJ24685"/>
      <c r="EK24685"/>
    </row>
    <row r="24686" spans="1:141" s="116" customFormat="1">
      <c r="A24686" s="136"/>
      <c r="CM24686" s="111"/>
      <c r="CQ24686" s="111"/>
      <c r="EF24686"/>
      <c r="EG24686"/>
      <c r="EH24686"/>
      <c r="EI24686"/>
      <c r="EJ24686"/>
      <c r="EK24686"/>
    </row>
    <row r="24687" spans="1:141" s="116" customFormat="1">
      <c r="A24687" s="136"/>
      <c r="CM24687" s="111"/>
      <c r="CQ24687" s="111"/>
      <c r="EF24687"/>
      <c r="EG24687"/>
      <c r="EH24687"/>
      <c r="EI24687"/>
      <c r="EJ24687"/>
      <c r="EK24687"/>
    </row>
    <row r="24688" spans="1:141" s="116" customFormat="1">
      <c r="A24688" s="136"/>
      <c r="CM24688" s="111"/>
      <c r="CQ24688" s="111"/>
      <c r="EF24688"/>
      <c r="EG24688"/>
      <c r="EH24688"/>
      <c r="EI24688"/>
      <c r="EJ24688"/>
      <c r="EK24688"/>
    </row>
    <row r="24689" spans="1:141" s="116" customFormat="1">
      <c r="A24689" s="136"/>
      <c r="CM24689" s="111"/>
      <c r="CQ24689" s="111"/>
      <c r="EF24689"/>
      <c r="EG24689"/>
      <c r="EH24689"/>
      <c r="EI24689"/>
      <c r="EJ24689"/>
      <c r="EK24689"/>
    </row>
    <row r="24690" spans="1:141" s="116" customFormat="1">
      <c r="A24690" s="136"/>
      <c r="CM24690" s="111"/>
      <c r="CQ24690" s="111"/>
      <c r="EF24690"/>
      <c r="EG24690"/>
      <c r="EH24690"/>
      <c r="EI24690"/>
      <c r="EJ24690"/>
      <c r="EK24690"/>
    </row>
    <row r="24691" spans="1:141" s="116" customFormat="1">
      <c r="A24691" s="136"/>
      <c r="CM24691" s="111"/>
      <c r="CQ24691" s="111"/>
      <c r="EF24691"/>
      <c r="EG24691"/>
      <c r="EH24691"/>
      <c r="EI24691"/>
      <c r="EJ24691"/>
      <c r="EK24691"/>
    </row>
    <row r="24692" spans="1:141" s="116" customFormat="1">
      <c r="A24692" s="136"/>
      <c r="CM24692" s="111"/>
      <c r="CQ24692" s="111"/>
      <c r="EF24692"/>
      <c r="EG24692"/>
      <c r="EH24692"/>
      <c r="EI24692"/>
      <c r="EJ24692"/>
      <c r="EK24692"/>
    </row>
    <row r="24693" spans="1:141" s="116" customFormat="1">
      <c r="A24693" s="136"/>
      <c r="CM24693" s="111"/>
      <c r="CQ24693" s="111"/>
      <c r="EF24693"/>
      <c r="EG24693"/>
      <c r="EH24693"/>
      <c r="EI24693"/>
      <c r="EJ24693"/>
      <c r="EK24693"/>
    </row>
    <row r="24694" spans="1:141" s="116" customFormat="1">
      <c r="A24694" s="136"/>
      <c r="CM24694" s="111"/>
      <c r="CQ24694" s="111"/>
      <c r="EF24694"/>
      <c r="EG24694"/>
      <c r="EH24694"/>
      <c r="EI24694"/>
      <c r="EJ24694"/>
      <c r="EK24694"/>
    </row>
    <row r="24695" spans="1:141" s="116" customFormat="1">
      <c r="A24695" s="136"/>
      <c r="CM24695" s="111"/>
      <c r="CQ24695" s="111"/>
      <c r="EF24695"/>
      <c r="EG24695"/>
      <c r="EH24695"/>
      <c r="EI24695"/>
      <c r="EJ24695"/>
      <c r="EK24695"/>
    </row>
    <row r="24696" spans="1:141" s="116" customFormat="1">
      <c r="A24696" s="136"/>
      <c r="CM24696" s="111"/>
      <c r="CQ24696" s="111"/>
      <c r="EF24696"/>
      <c r="EG24696"/>
      <c r="EH24696"/>
      <c r="EI24696"/>
      <c r="EJ24696"/>
      <c r="EK24696"/>
    </row>
    <row r="24697" spans="1:141" s="116" customFormat="1">
      <c r="A24697" s="136"/>
      <c r="CM24697" s="111"/>
      <c r="CQ24697" s="111"/>
      <c r="EF24697"/>
      <c r="EG24697"/>
      <c r="EH24697"/>
      <c r="EI24697"/>
      <c r="EJ24697"/>
      <c r="EK24697"/>
    </row>
    <row r="24698" spans="1:141" s="116" customFormat="1">
      <c r="A24698" s="136"/>
      <c r="CM24698" s="111"/>
      <c r="CQ24698" s="111"/>
      <c r="EF24698"/>
      <c r="EG24698"/>
      <c r="EH24698"/>
      <c r="EI24698"/>
      <c r="EJ24698"/>
      <c r="EK24698"/>
    </row>
    <row r="24699" spans="1:141" s="116" customFormat="1">
      <c r="A24699" s="136"/>
      <c r="CM24699" s="111"/>
      <c r="CQ24699" s="111"/>
      <c r="EF24699"/>
      <c r="EG24699"/>
      <c r="EH24699"/>
      <c r="EI24699"/>
      <c r="EJ24699"/>
      <c r="EK24699"/>
    </row>
    <row r="24700" spans="1:141" s="116" customFormat="1">
      <c r="A24700" s="136"/>
      <c r="CM24700" s="111"/>
      <c r="CQ24700" s="111"/>
      <c r="EF24700"/>
      <c r="EG24700"/>
      <c r="EH24700"/>
      <c r="EI24700"/>
      <c r="EJ24700"/>
      <c r="EK24700"/>
    </row>
    <row r="24701" spans="1:141" s="116" customFormat="1">
      <c r="A24701" s="136"/>
      <c r="CM24701" s="111"/>
      <c r="CQ24701" s="111"/>
      <c r="EF24701"/>
      <c r="EG24701"/>
      <c r="EH24701"/>
      <c r="EI24701"/>
      <c r="EJ24701"/>
      <c r="EK24701"/>
    </row>
    <row r="24702" spans="1:141" s="116" customFormat="1">
      <c r="A24702" s="136"/>
      <c r="CM24702" s="111"/>
      <c r="CQ24702" s="111"/>
      <c r="EF24702"/>
      <c r="EG24702"/>
      <c r="EH24702"/>
      <c r="EI24702"/>
      <c r="EJ24702"/>
      <c r="EK24702"/>
    </row>
    <row r="24703" spans="1:141" s="116" customFormat="1">
      <c r="A24703" s="136"/>
      <c r="CM24703" s="111"/>
      <c r="CQ24703" s="111"/>
      <c r="EF24703"/>
      <c r="EG24703"/>
      <c r="EH24703"/>
      <c r="EI24703"/>
      <c r="EJ24703"/>
      <c r="EK24703"/>
    </row>
    <row r="24704" spans="1:141" s="116" customFormat="1">
      <c r="A24704" s="136"/>
      <c r="CM24704" s="111"/>
      <c r="CQ24704" s="111"/>
      <c r="EF24704"/>
      <c r="EG24704"/>
      <c r="EH24704"/>
      <c r="EI24704"/>
      <c r="EJ24704"/>
      <c r="EK24704"/>
    </row>
    <row r="24705" spans="1:141" s="116" customFormat="1">
      <c r="A24705" s="136"/>
      <c r="CM24705" s="111"/>
      <c r="CQ24705" s="111"/>
      <c r="EF24705"/>
      <c r="EG24705"/>
      <c r="EH24705"/>
      <c r="EI24705"/>
      <c r="EJ24705"/>
      <c r="EK24705"/>
    </row>
    <row r="24706" spans="1:141" s="116" customFormat="1">
      <c r="A24706" s="136"/>
      <c r="CM24706" s="111"/>
      <c r="CQ24706" s="111"/>
      <c r="EF24706"/>
      <c r="EG24706"/>
      <c r="EH24706"/>
      <c r="EI24706"/>
      <c r="EJ24706"/>
      <c r="EK24706"/>
    </row>
    <row r="24707" spans="1:141" s="116" customFormat="1">
      <c r="A24707" s="136"/>
      <c r="CM24707" s="111"/>
      <c r="CQ24707" s="111"/>
      <c r="EF24707"/>
      <c r="EG24707"/>
      <c r="EH24707"/>
      <c r="EI24707"/>
      <c r="EJ24707"/>
      <c r="EK24707"/>
    </row>
    <row r="24708" spans="1:141" s="116" customFormat="1">
      <c r="A24708" s="136"/>
      <c r="CM24708" s="111"/>
      <c r="CQ24708" s="111"/>
      <c r="EF24708"/>
      <c r="EG24708"/>
      <c r="EH24708"/>
      <c r="EI24708"/>
      <c r="EJ24708"/>
      <c r="EK24708"/>
    </row>
    <row r="24709" spans="1:141" s="116" customFormat="1">
      <c r="A24709" s="136"/>
      <c r="CM24709" s="111"/>
      <c r="CQ24709" s="111"/>
      <c r="EF24709"/>
      <c r="EG24709"/>
      <c r="EH24709"/>
      <c r="EI24709"/>
      <c r="EJ24709"/>
      <c r="EK24709"/>
    </row>
    <row r="24710" spans="1:141" s="116" customFormat="1">
      <c r="A24710" s="136"/>
      <c r="CM24710" s="111"/>
      <c r="CQ24710" s="111"/>
      <c r="EF24710"/>
      <c r="EG24710"/>
      <c r="EH24710"/>
      <c r="EI24710"/>
      <c r="EJ24710"/>
      <c r="EK24710"/>
    </row>
    <row r="24711" spans="1:141" s="116" customFormat="1">
      <c r="A24711" s="136"/>
      <c r="CM24711" s="111"/>
      <c r="CQ24711" s="111"/>
      <c r="EF24711"/>
      <c r="EG24711"/>
      <c r="EH24711"/>
      <c r="EI24711"/>
      <c r="EJ24711"/>
      <c r="EK24711"/>
    </row>
    <row r="24712" spans="1:141" s="116" customFormat="1">
      <c r="A24712" s="136"/>
      <c r="CM24712" s="111"/>
      <c r="CQ24712" s="111"/>
      <c r="EF24712"/>
      <c r="EG24712"/>
      <c r="EH24712"/>
      <c r="EI24712"/>
      <c r="EJ24712"/>
      <c r="EK24712"/>
    </row>
    <row r="24713" spans="1:141" s="116" customFormat="1">
      <c r="A24713" s="136"/>
      <c r="CM24713" s="111"/>
      <c r="CQ24713" s="111"/>
      <c r="EF24713"/>
      <c r="EG24713"/>
      <c r="EH24713"/>
      <c r="EI24713"/>
      <c r="EJ24713"/>
      <c r="EK24713"/>
    </row>
    <row r="24714" spans="1:141" s="116" customFormat="1">
      <c r="A24714" s="136"/>
      <c r="CM24714" s="111"/>
      <c r="CQ24714" s="111"/>
      <c r="EF24714"/>
      <c r="EG24714"/>
      <c r="EH24714"/>
      <c r="EI24714"/>
      <c r="EJ24714"/>
      <c r="EK24714"/>
    </row>
    <row r="24715" spans="1:141" s="116" customFormat="1">
      <c r="A24715" s="136"/>
      <c r="CM24715" s="111"/>
      <c r="CQ24715" s="111"/>
      <c r="EF24715"/>
      <c r="EG24715"/>
      <c r="EH24715"/>
      <c r="EI24715"/>
      <c r="EJ24715"/>
      <c r="EK24715"/>
    </row>
    <row r="24716" spans="1:141" s="116" customFormat="1">
      <c r="A24716" s="136"/>
      <c r="CM24716" s="111"/>
      <c r="CQ24716" s="111"/>
      <c r="EF24716"/>
      <c r="EG24716"/>
      <c r="EH24716"/>
      <c r="EI24716"/>
      <c r="EJ24716"/>
      <c r="EK24716"/>
    </row>
    <row r="24717" spans="1:141" s="116" customFormat="1">
      <c r="A24717" s="136"/>
      <c r="CM24717" s="111"/>
      <c r="CQ24717" s="111"/>
      <c r="EF24717"/>
      <c r="EG24717"/>
      <c r="EH24717"/>
      <c r="EI24717"/>
      <c r="EJ24717"/>
      <c r="EK24717"/>
    </row>
    <row r="24718" spans="1:141" s="116" customFormat="1">
      <c r="A24718" s="136"/>
      <c r="CM24718" s="111"/>
      <c r="CQ24718" s="111"/>
      <c r="EF24718"/>
      <c r="EG24718"/>
      <c r="EH24718"/>
      <c r="EI24718"/>
      <c r="EJ24718"/>
      <c r="EK24718"/>
    </row>
    <row r="24719" spans="1:141" s="116" customFormat="1">
      <c r="A24719" s="136"/>
      <c r="CM24719" s="111"/>
      <c r="CQ24719" s="111"/>
      <c r="EF24719"/>
      <c r="EG24719"/>
      <c r="EH24719"/>
      <c r="EI24719"/>
      <c r="EJ24719"/>
      <c r="EK24719"/>
    </row>
    <row r="24720" spans="1:141" s="116" customFormat="1">
      <c r="A24720" s="136"/>
      <c r="CM24720" s="111"/>
      <c r="CQ24720" s="111"/>
      <c r="EF24720"/>
      <c r="EG24720"/>
      <c r="EH24720"/>
      <c r="EI24720"/>
      <c r="EJ24720"/>
      <c r="EK24720"/>
    </row>
    <row r="24721" spans="1:141" s="116" customFormat="1">
      <c r="A24721" s="136"/>
      <c r="CM24721" s="111"/>
      <c r="CQ24721" s="111"/>
      <c r="EF24721"/>
      <c r="EG24721"/>
      <c r="EH24721"/>
      <c r="EI24721"/>
      <c r="EJ24721"/>
      <c r="EK24721"/>
    </row>
    <row r="24722" spans="1:141" s="116" customFormat="1">
      <c r="A24722" s="136"/>
      <c r="CM24722" s="111"/>
      <c r="CQ24722" s="111"/>
      <c r="EF24722"/>
      <c r="EG24722"/>
      <c r="EH24722"/>
      <c r="EI24722"/>
      <c r="EJ24722"/>
      <c r="EK24722"/>
    </row>
    <row r="24723" spans="1:141" s="116" customFormat="1">
      <c r="A24723" s="136"/>
      <c r="CM24723" s="111"/>
      <c r="CQ24723" s="111"/>
      <c r="EF24723"/>
      <c r="EG24723"/>
      <c r="EH24723"/>
      <c r="EI24723"/>
      <c r="EJ24723"/>
      <c r="EK24723"/>
    </row>
    <row r="24724" spans="1:141" s="116" customFormat="1">
      <c r="A24724" s="136"/>
      <c r="CM24724" s="111"/>
      <c r="CQ24724" s="111"/>
      <c r="EF24724"/>
      <c r="EG24724"/>
      <c r="EH24724"/>
      <c r="EI24724"/>
      <c r="EJ24724"/>
      <c r="EK24724"/>
    </row>
    <row r="24725" spans="1:141" s="116" customFormat="1">
      <c r="A24725" s="136"/>
      <c r="CM24725" s="111"/>
      <c r="CQ24725" s="111"/>
      <c r="EF24725"/>
      <c r="EG24725"/>
      <c r="EH24725"/>
      <c r="EI24725"/>
      <c r="EJ24725"/>
      <c r="EK24725"/>
    </row>
    <row r="24726" spans="1:141" s="116" customFormat="1">
      <c r="A24726" s="136"/>
      <c r="CM24726" s="111"/>
      <c r="CQ24726" s="111"/>
      <c r="EF24726"/>
      <c r="EG24726"/>
      <c r="EH24726"/>
      <c r="EI24726"/>
      <c r="EJ24726"/>
      <c r="EK24726"/>
    </row>
    <row r="24727" spans="1:141" s="116" customFormat="1">
      <c r="A24727" s="136"/>
      <c r="CM24727" s="111"/>
      <c r="CQ24727" s="111"/>
      <c r="EF24727"/>
      <c r="EG24727"/>
      <c r="EH24727"/>
      <c r="EI24727"/>
      <c r="EJ24727"/>
      <c r="EK24727"/>
    </row>
    <row r="24728" spans="1:141" s="116" customFormat="1">
      <c r="A24728" s="136"/>
      <c r="CM24728" s="111"/>
      <c r="CQ24728" s="111"/>
      <c r="EF24728"/>
      <c r="EG24728"/>
      <c r="EH24728"/>
      <c r="EI24728"/>
      <c r="EJ24728"/>
      <c r="EK24728"/>
    </row>
    <row r="24729" spans="1:141" s="116" customFormat="1">
      <c r="A24729" s="136"/>
      <c r="CM24729" s="111"/>
      <c r="CQ24729" s="111"/>
      <c r="EF24729"/>
      <c r="EG24729"/>
      <c r="EH24729"/>
      <c r="EI24729"/>
      <c r="EJ24729"/>
      <c r="EK24729"/>
    </row>
    <row r="24730" spans="1:141" s="116" customFormat="1">
      <c r="A24730" s="136"/>
      <c r="CM24730" s="111"/>
      <c r="CQ24730" s="111"/>
      <c r="EF24730"/>
      <c r="EG24730"/>
      <c r="EH24730"/>
      <c r="EI24730"/>
      <c r="EJ24730"/>
      <c r="EK24730"/>
    </row>
    <row r="24731" spans="1:141" s="116" customFormat="1">
      <c r="A24731" s="136"/>
      <c r="CM24731" s="111"/>
      <c r="CQ24731" s="111"/>
      <c r="EF24731"/>
      <c r="EG24731"/>
      <c r="EH24731"/>
      <c r="EI24731"/>
      <c r="EJ24731"/>
      <c r="EK24731"/>
    </row>
    <row r="24732" spans="1:141" s="116" customFormat="1">
      <c r="A24732" s="136"/>
      <c r="CM24732" s="111"/>
      <c r="CQ24732" s="111"/>
      <c r="EF24732"/>
      <c r="EG24732"/>
      <c r="EH24732"/>
      <c r="EI24732"/>
      <c r="EJ24732"/>
      <c r="EK24732"/>
    </row>
    <row r="24733" spans="1:141" s="116" customFormat="1">
      <c r="A24733" s="136"/>
      <c r="CM24733" s="111"/>
      <c r="CQ24733" s="111"/>
      <c r="EF24733"/>
      <c r="EG24733"/>
      <c r="EH24733"/>
      <c r="EI24733"/>
      <c r="EJ24733"/>
      <c r="EK24733"/>
    </row>
    <row r="24734" spans="1:141" s="116" customFormat="1">
      <c r="A24734" s="136"/>
      <c r="CM24734" s="111"/>
      <c r="CQ24734" s="111"/>
      <c r="EF24734"/>
      <c r="EG24734"/>
      <c r="EH24734"/>
      <c r="EI24734"/>
      <c r="EJ24734"/>
      <c r="EK24734"/>
    </row>
    <row r="24735" spans="1:141" s="116" customFormat="1">
      <c r="A24735" s="136"/>
      <c r="CM24735" s="111"/>
      <c r="CQ24735" s="111"/>
      <c r="EF24735"/>
      <c r="EG24735"/>
      <c r="EH24735"/>
      <c r="EI24735"/>
      <c r="EJ24735"/>
      <c r="EK24735"/>
    </row>
    <row r="24736" spans="1:141" s="116" customFormat="1">
      <c r="A24736" s="136"/>
      <c r="CM24736" s="111"/>
      <c r="CQ24736" s="111"/>
      <c r="EF24736"/>
      <c r="EG24736"/>
      <c r="EH24736"/>
      <c r="EI24736"/>
      <c r="EJ24736"/>
      <c r="EK24736"/>
    </row>
    <row r="24737" spans="1:141" s="116" customFormat="1">
      <c r="A24737" s="136"/>
      <c r="CM24737" s="111"/>
      <c r="CQ24737" s="111"/>
      <c r="EF24737"/>
      <c r="EG24737"/>
      <c r="EH24737"/>
      <c r="EI24737"/>
      <c r="EJ24737"/>
      <c r="EK24737"/>
    </row>
    <row r="24738" spans="1:141" s="116" customFormat="1">
      <c r="A24738" s="136"/>
      <c r="CM24738" s="111"/>
      <c r="CQ24738" s="111"/>
      <c r="EF24738"/>
      <c r="EG24738"/>
      <c r="EH24738"/>
      <c r="EI24738"/>
      <c r="EJ24738"/>
      <c r="EK24738"/>
    </row>
    <row r="24739" spans="1:141" s="116" customFormat="1">
      <c r="A24739" s="136"/>
      <c r="CM24739" s="111"/>
      <c r="CQ24739" s="111"/>
      <c r="EF24739"/>
      <c r="EG24739"/>
      <c r="EH24739"/>
      <c r="EI24739"/>
      <c r="EJ24739"/>
      <c r="EK24739"/>
    </row>
    <row r="24740" spans="1:141" s="116" customFormat="1">
      <c r="A24740" s="136"/>
      <c r="CM24740" s="111"/>
      <c r="CQ24740" s="111"/>
      <c r="EF24740"/>
      <c r="EG24740"/>
      <c r="EH24740"/>
      <c r="EI24740"/>
      <c r="EJ24740"/>
      <c r="EK24740"/>
    </row>
    <row r="24741" spans="1:141" s="116" customFormat="1">
      <c r="A24741" s="136"/>
      <c r="CM24741" s="111"/>
      <c r="CQ24741" s="111"/>
      <c r="EF24741"/>
      <c r="EG24741"/>
      <c r="EH24741"/>
      <c r="EI24741"/>
      <c r="EJ24741"/>
      <c r="EK24741"/>
    </row>
    <row r="24742" spans="1:141" s="116" customFormat="1">
      <c r="A24742" s="136"/>
      <c r="CM24742" s="111"/>
      <c r="CQ24742" s="111"/>
      <c r="EF24742"/>
      <c r="EG24742"/>
      <c r="EH24742"/>
      <c r="EI24742"/>
      <c r="EJ24742"/>
      <c r="EK24742"/>
    </row>
    <row r="24743" spans="1:141" s="116" customFormat="1">
      <c r="A24743" s="136"/>
      <c r="CM24743" s="111"/>
      <c r="CQ24743" s="111"/>
      <c r="EF24743"/>
      <c r="EG24743"/>
      <c r="EH24743"/>
      <c r="EI24743"/>
      <c r="EJ24743"/>
      <c r="EK24743"/>
    </row>
    <row r="24744" spans="1:141" s="116" customFormat="1">
      <c r="A24744" s="136"/>
      <c r="CM24744" s="111"/>
      <c r="CQ24744" s="111"/>
      <c r="EF24744"/>
      <c r="EG24744"/>
      <c r="EH24744"/>
      <c r="EI24744"/>
      <c r="EJ24744"/>
      <c r="EK24744"/>
    </row>
    <row r="24745" spans="1:141" s="116" customFormat="1">
      <c r="A24745" s="136"/>
      <c r="CM24745" s="111"/>
      <c r="CQ24745" s="111"/>
      <c r="EF24745"/>
      <c r="EG24745"/>
      <c r="EH24745"/>
      <c r="EI24745"/>
      <c r="EJ24745"/>
      <c r="EK24745"/>
    </row>
    <row r="24746" spans="1:141" s="116" customFormat="1">
      <c r="A24746" s="136"/>
      <c r="CM24746" s="111"/>
      <c r="CQ24746" s="111"/>
      <c r="EF24746"/>
      <c r="EG24746"/>
      <c r="EH24746"/>
      <c r="EI24746"/>
      <c r="EJ24746"/>
      <c r="EK24746"/>
    </row>
    <row r="24747" spans="1:141" s="116" customFormat="1">
      <c r="A24747" s="136"/>
      <c r="CM24747" s="111"/>
      <c r="CQ24747" s="111"/>
      <c r="EF24747"/>
      <c r="EG24747"/>
      <c r="EH24747"/>
      <c r="EI24747"/>
      <c r="EJ24747"/>
      <c r="EK24747"/>
    </row>
    <row r="24748" spans="1:141" s="116" customFormat="1">
      <c r="A24748" s="136"/>
      <c r="CM24748" s="111"/>
      <c r="CQ24748" s="111"/>
      <c r="EF24748"/>
      <c r="EG24748"/>
      <c r="EH24748"/>
      <c r="EI24748"/>
      <c r="EJ24748"/>
      <c r="EK24748"/>
    </row>
    <row r="24749" spans="1:141" s="116" customFormat="1">
      <c r="A24749" s="136"/>
      <c r="CM24749" s="111"/>
      <c r="CQ24749" s="111"/>
      <c r="EF24749"/>
      <c r="EG24749"/>
      <c r="EH24749"/>
      <c r="EI24749"/>
      <c r="EJ24749"/>
      <c r="EK24749"/>
    </row>
    <row r="24750" spans="1:141" s="116" customFormat="1">
      <c r="A24750" s="136"/>
      <c r="CM24750" s="111"/>
      <c r="CQ24750" s="111"/>
      <c r="EF24750"/>
      <c r="EG24750"/>
      <c r="EH24750"/>
      <c r="EI24750"/>
      <c r="EJ24750"/>
      <c r="EK24750"/>
    </row>
    <row r="24751" spans="1:141" s="116" customFormat="1">
      <c r="A24751" s="136"/>
      <c r="CM24751" s="111"/>
      <c r="CQ24751" s="111"/>
      <c r="EF24751"/>
      <c r="EG24751"/>
      <c r="EH24751"/>
      <c r="EI24751"/>
      <c r="EJ24751"/>
      <c r="EK24751"/>
    </row>
    <row r="24752" spans="1:141" s="116" customFormat="1">
      <c r="A24752" s="136"/>
      <c r="CM24752" s="111"/>
      <c r="CQ24752" s="111"/>
      <c r="EF24752"/>
      <c r="EG24752"/>
      <c r="EH24752"/>
      <c r="EI24752"/>
      <c r="EJ24752"/>
      <c r="EK24752"/>
    </row>
    <row r="24753" spans="1:141" s="116" customFormat="1">
      <c r="A24753" s="136"/>
      <c r="CM24753" s="111"/>
      <c r="CQ24753" s="111"/>
      <c r="EF24753"/>
      <c r="EG24753"/>
      <c r="EH24753"/>
      <c r="EI24753"/>
      <c r="EJ24753"/>
      <c r="EK24753"/>
    </row>
    <row r="24754" spans="1:141" s="116" customFormat="1">
      <c r="A24754" s="136"/>
      <c r="CM24754" s="111"/>
      <c r="CQ24754" s="111"/>
      <c r="EF24754"/>
      <c r="EG24754"/>
      <c r="EH24754"/>
      <c r="EI24754"/>
      <c r="EJ24754"/>
      <c r="EK24754"/>
    </row>
    <row r="24755" spans="1:141" s="116" customFormat="1">
      <c r="A24755" s="136"/>
      <c r="CM24755" s="111"/>
      <c r="CQ24755" s="111"/>
      <c r="EF24755"/>
      <c r="EG24755"/>
      <c r="EH24755"/>
      <c r="EI24755"/>
      <c r="EJ24755"/>
      <c r="EK24755"/>
    </row>
    <row r="24756" spans="1:141" s="116" customFormat="1">
      <c r="A24756" s="136"/>
      <c r="CM24756" s="111"/>
      <c r="CQ24756" s="111"/>
      <c r="EF24756"/>
      <c r="EG24756"/>
      <c r="EH24756"/>
      <c r="EI24756"/>
      <c r="EJ24756"/>
      <c r="EK24756"/>
    </row>
    <row r="24757" spans="1:141" s="116" customFormat="1">
      <c r="A24757" s="136"/>
      <c r="CM24757" s="111"/>
      <c r="CQ24757" s="111"/>
      <c r="EF24757"/>
      <c r="EG24757"/>
      <c r="EH24757"/>
      <c r="EI24757"/>
      <c r="EJ24757"/>
      <c r="EK24757"/>
    </row>
    <row r="24758" spans="1:141" s="116" customFormat="1">
      <c r="A24758" s="136"/>
      <c r="CM24758" s="111"/>
      <c r="CQ24758" s="111"/>
      <c r="EF24758"/>
      <c r="EG24758"/>
      <c r="EH24758"/>
      <c r="EI24758"/>
      <c r="EJ24758"/>
      <c r="EK24758"/>
    </row>
    <row r="24759" spans="1:141" s="116" customFormat="1">
      <c r="A24759" s="136"/>
      <c r="CM24759" s="111"/>
      <c r="CQ24759" s="111"/>
      <c r="EF24759"/>
      <c r="EG24759"/>
      <c r="EH24759"/>
      <c r="EI24759"/>
      <c r="EJ24759"/>
      <c r="EK24759"/>
    </row>
    <row r="24760" spans="1:141" s="116" customFormat="1">
      <c r="A24760" s="136"/>
      <c r="CM24760" s="111"/>
      <c r="CQ24760" s="111"/>
      <c r="EF24760"/>
      <c r="EG24760"/>
      <c r="EH24760"/>
      <c r="EI24760"/>
      <c r="EJ24760"/>
      <c r="EK24760"/>
    </row>
    <row r="24761" spans="1:141" s="116" customFormat="1">
      <c r="A24761" s="136"/>
      <c r="CM24761" s="111"/>
      <c r="CQ24761" s="111"/>
      <c r="EF24761"/>
      <c r="EG24761"/>
      <c r="EH24761"/>
      <c r="EI24761"/>
      <c r="EJ24761"/>
      <c r="EK24761"/>
    </row>
    <row r="24762" spans="1:141" s="116" customFormat="1">
      <c r="A24762" s="136"/>
      <c r="CM24762" s="111"/>
      <c r="CQ24762" s="111"/>
      <c r="EF24762"/>
      <c r="EG24762"/>
      <c r="EH24762"/>
      <c r="EI24762"/>
      <c r="EJ24762"/>
      <c r="EK24762"/>
    </row>
    <row r="24763" spans="1:141" s="116" customFormat="1">
      <c r="A24763" s="136"/>
      <c r="CM24763" s="111"/>
      <c r="CQ24763" s="111"/>
      <c r="EF24763"/>
      <c r="EG24763"/>
      <c r="EH24763"/>
      <c r="EI24763"/>
      <c r="EJ24763"/>
      <c r="EK24763"/>
    </row>
    <row r="24764" spans="1:141" s="116" customFormat="1">
      <c r="A24764" s="136"/>
      <c r="CM24764" s="111"/>
      <c r="CQ24764" s="111"/>
      <c r="EF24764"/>
      <c r="EG24764"/>
      <c r="EH24764"/>
      <c r="EI24764"/>
      <c r="EJ24764"/>
      <c r="EK24764"/>
    </row>
    <row r="24765" spans="1:141" s="116" customFormat="1">
      <c r="A24765" s="136"/>
      <c r="CM24765" s="111"/>
      <c r="CQ24765" s="111"/>
      <c r="EF24765"/>
      <c r="EG24765"/>
      <c r="EH24765"/>
      <c r="EI24765"/>
      <c r="EJ24765"/>
      <c r="EK24765"/>
    </row>
    <row r="24766" spans="1:141" s="116" customFormat="1">
      <c r="A24766" s="136"/>
      <c r="CM24766" s="111"/>
      <c r="CQ24766" s="111"/>
      <c r="EF24766"/>
      <c r="EG24766"/>
      <c r="EH24766"/>
      <c r="EI24766"/>
      <c r="EJ24766"/>
      <c r="EK24766"/>
    </row>
    <row r="24767" spans="1:141" s="116" customFormat="1">
      <c r="A24767" s="136"/>
      <c r="CM24767" s="111"/>
      <c r="CQ24767" s="111"/>
      <c r="EF24767"/>
      <c r="EG24767"/>
      <c r="EH24767"/>
      <c r="EI24767"/>
      <c r="EJ24767"/>
      <c r="EK24767"/>
    </row>
    <row r="24768" spans="1:141" s="116" customFormat="1">
      <c r="A24768" s="136"/>
      <c r="CM24768" s="111"/>
      <c r="CQ24768" s="111"/>
      <c r="EF24768"/>
      <c r="EG24768"/>
      <c r="EH24768"/>
      <c r="EI24768"/>
      <c r="EJ24768"/>
      <c r="EK24768"/>
    </row>
    <row r="24769" spans="1:141" s="116" customFormat="1">
      <c r="A24769" s="136"/>
      <c r="CM24769" s="111"/>
      <c r="CQ24769" s="111"/>
      <c r="EF24769"/>
      <c r="EG24769"/>
      <c r="EH24769"/>
      <c r="EI24769"/>
      <c r="EJ24769"/>
      <c r="EK24769"/>
    </row>
    <row r="24770" spans="1:141" s="116" customFormat="1">
      <c r="A24770" s="136"/>
      <c r="CM24770" s="111"/>
      <c r="CQ24770" s="111"/>
      <c r="EF24770"/>
      <c r="EG24770"/>
      <c r="EH24770"/>
      <c r="EI24770"/>
      <c r="EJ24770"/>
      <c r="EK24770"/>
    </row>
    <row r="24771" spans="1:141" s="116" customFormat="1">
      <c r="A24771" s="136"/>
      <c r="CM24771" s="111"/>
      <c r="CQ24771" s="111"/>
      <c r="EF24771"/>
      <c r="EG24771"/>
      <c r="EH24771"/>
      <c r="EI24771"/>
      <c r="EJ24771"/>
      <c r="EK24771"/>
    </row>
    <row r="24772" spans="1:141" s="116" customFormat="1">
      <c r="A24772" s="136"/>
      <c r="CM24772" s="111"/>
      <c r="CQ24772" s="111"/>
      <c r="EF24772"/>
      <c r="EG24772"/>
      <c r="EH24772"/>
      <c r="EI24772"/>
      <c r="EJ24772"/>
      <c r="EK24772"/>
    </row>
    <row r="24773" spans="1:141" s="116" customFormat="1">
      <c r="A24773" s="136"/>
      <c r="CM24773" s="111"/>
      <c r="CQ24773" s="111"/>
      <c r="EF24773"/>
      <c r="EG24773"/>
      <c r="EH24773"/>
      <c r="EI24773"/>
      <c r="EJ24773"/>
      <c r="EK24773"/>
    </row>
    <row r="24774" spans="1:141" s="116" customFormat="1">
      <c r="A24774" s="136"/>
      <c r="CM24774" s="111"/>
      <c r="CQ24774" s="111"/>
      <c r="EF24774"/>
      <c r="EG24774"/>
      <c r="EH24774"/>
      <c r="EI24774"/>
      <c r="EJ24774"/>
      <c r="EK24774"/>
    </row>
    <row r="24775" spans="1:141" s="116" customFormat="1">
      <c r="A24775" s="136"/>
      <c r="CM24775" s="111"/>
      <c r="CQ24775" s="111"/>
      <c r="EF24775"/>
      <c r="EG24775"/>
      <c r="EH24775"/>
      <c r="EI24775"/>
      <c r="EJ24775"/>
      <c r="EK24775"/>
    </row>
    <row r="24776" spans="1:141" s="116" customFormat="1">
      <c r="A24776" s="136"/>
      <c r="CM24776" s="111"/>
      <c r="CQ24776" s="111"/>
      <c r="EF24776"/>
      <c r="EG24776"/>
      <c r="EH24776"/>
      <c r="EI24776"/>
      <c r="EJ24776"/>
      <c r="EK24776"/>
    </row>
    <row r="24777" spans="1:141" s="116" customFormat="1">
      <c r="A24777" s="136"/>
      <c r="CM24777" s="111"/>
      <c r="CQ24777" s="111"/>
      <c r="EF24777"/>
      <c r="EG24777"/>
      <c r="EH24777"/>
      <c r="EI24777"/>
      <c r="EJ24777"/>
      <c r="EK24777"/>
    </row>
    <row r="24778" spans="1:141" s="116" customFormat="1">
      <c r="A24778" s="136"/>
      <c r="CM24778" s="111"/>
      <c r="CQ24778" s="111"/>
      <c r="EF24778"/>
      <c r="EG24778"/>
      <c r="EH24778"/>
      <c r="EI24778"/>
      <c r="EJ24778"/>
      <c r="EK24778"/>
    </row>
    <row r="24779" spans="1:141" s="116" customFormat="1">
      <c r="A24779" s="136"/>
      <c r="CM24779" s="111"/>
      <c r="CQ24779" s="111"/>
      <c r="EF24779"/>
      <c r="EG24779"/>
      <c r="EH24779"/>
      <c r="EI24779"/>
      <c r="EJ24779"/>
      <c r="EK24779"/>
    </row>
    <row r="24780" spans="1:141" s="116" customFormat="1">
      <c r="A24780" s="136"/>
      <c r="CM24780" s="111"/>
      <c r="CQ24780" s="111"/>
      <c r="EF24780"/>
      <c r="EG24780"/>
      <c r="EH24780"/>
      <c r="EI24780"/>
      <c r="EJ24780"/>
      <c r="EK24780"/>
    </row>
    <row r="24781" spans="1:141" s="116" customFormat="1">
      <c r="A24781" s="136"/>
      <c r="CM24781" s="111"/>
      <c r="CQ24781" s="111"/>
      <c r="EF24781"/>
      <c r="EG24781"/>
      <c r="EH24781"/>
      <c r="EI24781"/>
      <c r="EJ24781"/>
      <c r="EK24781"/>
    </row>
    <row r="24782" spans="1:141" s="116" customFormat="1">
      <c r="A24782" s="136"/>
      <c r="CM24782" s="111"/>
      <c r="CQ24782" s="111"/>
      <c r="EF24782"/>
      <c r="EG24782"/>
      <c r="EH24782"/>
      <c r="EI24782"/>
      <c r="EJ24782"/>
      <c r="EK24782"/>
    </row>
    <row r="24783" spans="1:141" s="116" customFormat="1">
      <c r="A24783" s="136"/>
      <c r="CM24783" s="111"/>
      <c r="CQ24783" s="111"/>
      <c r="EF24783"/>
      <c r="EG24783"/>
      <c r="EH24783"/>
      <c r="EI24783"/>
      <c r="EJ24783"/>
      <c r="EK24783"/>
    </row>
    <row r="24784" spans="1:141" s="116" customFormat="1">
      <c r="A24784" s="136"/>
      <c r="CM24784" s="111"/>
      <c r="CQ24784" s="111"/>
      <c r="EF24784"/>
      <c r="EG24784"/>
      <c r="EH24784"/>
      <c r="EI24784"/>
      <c r="EJ24784"/>
      <c r="EK24784"/>
    </row>
    <row r="24785" spans="1:141" s="116" customFormat="1">
      <c r="A24785" s="136"/>
      <c r="CM24785" s="111"/>
      <c r="CQ24785" s="111"/>
      <c r="EF24785"/>
      <c r="EG24785"/>
      <c r="EH24785"/>
      <c r="EI24785"/>
      <c r="EJ24785"/>
      <c r="EK24785"/>
    </row>
    <row r="24786" spans="1:141" s="116" customFormat="1">
      <c r="A24786" s="136"/>
      <c r="CM24786" s="111"/>
      <c r="CQ24786" s="111"/>
      <c r="EF24786"/>
      <c r="EG24786"/>
      <c r="EH24786"/>
      <c r="EI24786"/>
      <c r="EJ24786"/>
      <c r="EK24786"/>
    </row>
    <row r="24787" spans="1:141" s="116" customFormat="1">
      <c r="A24787" s="136"/>
      <c r="CM24787" s="111"/>
      <c r="CQ24787" s="111"/>
      <c r="EF24787"/>
      <c r="EG24787"/>
      <c r="EH24787"/>
      <c r="EI24787"/>
      <c r="EJ24787"/>
      <c r="EK24787"/>
    </row>
    <row r="24788" spans="1:141" s="116" customFormat="1">
      <c r="A24788" s="136"/>
      <c r="CM24788" s="111"/>
      <c r="CQ24788" s="111"/>
      <c r="EF24788"/>
      <c r="EG24788"/>
      <c r="EH24788"/>
      <c r="EI24788"/>
      <c r="EJ24788"/>
      <c r="EK24788"/>
    </row>
    <row r="24789" spans="1:141" s="116" customFormat="1">
      <c r="A24789" s="136"/>
      <c r="CM24789" s="111"/>
      <c r="CQ24789" s="111"/>
      <c r="EF24789"/>
      <c r="EG24789"/>
      <c r="EH24789"/>
      <c r="EI24789"/>
      <c r="EJ24789"/>
      <c r="EK24789"/>
    </row>
    <row r="24790" spans="1:141" s="116" customFormat="1">
      <c r="A24790" s="136"/>
      <c r="CM24790" s="111"/>
      <c r="CQ24790" s="111"/>
      <c r="EF24790"/>
      <c r="EG24790"/>
      <c r="EH24790"/>
      <c r="EI24790"/>
      <c r="EJ24790"/>
      <c r="EK24790"/>
    </row>
    <row r="24791" spans="1:141" s="116" customFormat="1">
      <c r="A24791" s="136"/>
      <c r="CM24791" s="111"/>
      <c r="CQ24791" s="111"/>
      <c r="EF24791"/>
      <c r="EG24791"/>
      <c r="EH24791"/>
      <c r="EI24791"/>
      <c r="EJ24791"/>
      <c r="EK24791"/>
    </row>
    <row r="24792" spans="1:141" s="116" customFormat="1">
      <c r="A24792" s="136"/>
      <c r="CM24792" s="111"/>
      <c r="CQ24792" s="111"/>
      <c r="EF24792"/>
      <c r="EG24792"/>
      <c r="EH24792"/>
      <c r="EI24792"/>
      <c r="EJ24792"/>
      <c r="EK24792"/>
    </row>
    <row r="24793" spans="1:141" s="116" customFormat="1">
      <c r="A24793" s="136"/>
      <c r="CM24793" s="111"/>
      <c r="CQ24793" s="111"/>
      <c r="EF24793"/>
      <c r="EG24793"/>
      <c r="EH24793"/>
      <c r="EI24793"/>
      <c r="EJ24793"/>
      <c r="EK24793"/>
    </row>
    <row r="24794" spans="1:141" s="116" customFormat="1">
      <c r="A24794" s="136"/>
      <c r="CM24794" s="111"/>
      <c r="CQ24794" s="111"/>
      <c r="EF24794"/>
      <c r="EG24794"/>
      <c r="EH24794"/>
      <c r="EI24794"/>
      <c r="EJ24794"/>
      <c r="EK24794"/>
    </row>
    <row r="24795" spans="1:141" s="116" customFormat="1">
      <c r="A24795" s="136"/>
      <c r="CM24795" s="111"/>
      <c r="CQ24795" s="111"/>
      <c r="EF24795"/>
      <c r="EG24795"/>
      <c r="EH24795"/>
      <c r="EI24795"/>
      <c r="EJ24795"/>
      <c r="EK24795"/>
    </row>
    <row r="24796" spans="1:141" s="116" customFormat="1">
      <c r="A24796" s="136"/>
      <c r="CM24796" s="111"/>
      <c r="CQ24796" s="111"/>
      <c r="EF24796"/>
      <c r="EG24796"/>
      <c r="EH24796"/>
      <c r="EI24796"/>
      <c r="EJ24796"/>
      <c r="EK24796"/>
    </row>
    <row r="24797" spans="1:141" s="116" customFormat="1">
      <c r="A24797" s="136"/>
      <c r="CM24797" s="111"/>
      <c r="CQ24797" s="111"/>
      <c r="EF24797"/>
      <c r="EG24797"/>
      <c r="EH24797"/>
      <c r="EI24797"/>
      <c r="EJ24797"/>
      <c r="EK24797"/>
    </row>
    <row r="24798" spans="1:141" s="116" customFormat="1">
      <c r="A24798" s="136"/>
      <c r="CM24798" s="111"/>
      <c r="CQ24798" s="111"/>
      <c r="EF24798"/>
      <c r="EG24798"/>
      <c r="EH24798"/>
      <c r="EI24798"/>
      <c r="EJ24798"/>
      <c r="EK24798"/>
    </row>
    <row r="24799" spans="1:141" s="116" customFormat="1">
      <c r="A24799" s="136"/>
      <c r="CM24799" s="111"/>
      <c r="CQ24799" s="111"/>
      <c r="EF24799"/>
      <c r="EG24799"/>
      <c r="EH24799"/>
      <c r="EI24799"/>
      <c r="EJ24799"/>
      <c r="EK24799"/>
    </row>
    <row r="24800" spans="1:141" s="116" customFormat="1">
      <c r="A24800" s="136"/>
      <c r="CM24800" s="111"/>
      <c r="CQ24800" s="111"/>
      <c r="EF24800"/>
      <c r="EG24800"/>
      <c r="EH24800"/>
      <c r="EI24800"/>
      <c r="EJ24800"/>
      <c r="EK24800"/>
    </row>
    <row r="24801" spans="1:141" s="116" customFormat="1">
      <c r="A24801" s="136"/>
      <c r="CM24801" s="111"/>
      <c r="CQ24801" s="111"/>
      <c r="EF24801"/>
      <c r="EG24801"/>
      <c r="EH24801"/>
      <c r="EI24801"/>
      <c r="EJ24801"/>
      <c r="EK24801"/>
    </row>
    <row r="24802" spans="1:141" s="116" customFormat="1">
      <c r="A24802" s="136"/>
      <c r="CM24802" s="111"/>
      <c r="CQ24802" s="111"/>
      <c r="EF24802"/>
      <c r="EG24802"/>
      <c r="EH24802"/>
      <c r="EI24802"/>
      <c r="EJ24802"/>
      <c r="EK24802"/>
    </row>
    <row r="24803" spans="1:141" s="116" customFormat="1">
      <c r="A24803" s="136"/>
      <c r="CM24803" s="111"/>
      <c r="CQ24803" s="111"/>
      <c r="EF24803"/>
      <c r="EG24803"/>
      <c r="EH24803"/>
      <c r="EI24803"/>
      <c r="EJ24803"/>
      <c r="EK24803"/>
    </row>
    <row r="24804" spans="1:141" s="116" customFormat="1">
      <c r="A24804" s="136"/>
      <c r="CM24804" s="111"/>
      <c r="CQ24804" s="111"/>
      <c r="EF24804"/>
      <c r="EG24804"/>
      <c r="EH24804"/>
      <c r="EI24804"/>
      <c r="EJ24804"/>
      <c r="EK24804"/>
    </row>
    <row r="24805" spans="1:141" s="116" customFormat="1">
      <c r="A24805" s="136"/>
      <c r="CM24805" s="111"/>
      <c r="CQ24805" s="111"/>
      <c r="EF24805"/>
      <c r="EG24805"/>
      <c r="EH24805"/>
      <c r="EI24805"/>
      <c r="EJ24805"/>
      <c r="EK24805"/>
    </row>
    <row r="24806" spans="1:141" s="116" customFormat="1">
      <c r="A24806" s="136"/>
      <c r="CM24806" s="111"/>
      <c r="CQ24806" s="111"/>
      <c r="EF24806"/>
      <c r="EG24806"/>
      <c r="EH24806"/>
      <c r="EI24806"/>
      <c r="EJ24806"/>
      <c r="EK24806"/>
    </row>
    <row r="24807" spans="1:141" s="116" customFormat="1">
      <c r="A24807" s="136"/>
      <c r="CM24807" s="111"/>
      <c r="CQ24807" s="111"/>
      <c r="EF24807"/>
      <c r="EG24807"/>
      <c r="EH24807"/>
      <c r="EI24807"/>
      <c r="EJ24807"/>
      <c r="EK24807"/>
    </row>
    <row r="24808" spans="1:141" s="116" customFormat="1">
      <c r="A24808" s="136"/>
      <c r="CM24808" s="111"/>
      <c r="CQ24808" s="111"/>
      <c r="EF24808"/>
      <c r="EG24808"/>
      <c r="EH24808"/>
      <c r="EI24808"/>
      <c r="EJ24808"/>
      <c r="EK24808"/>
    </row>
    <row r="24809" spans="1:141" s="116" customFormat="1">
      <c r="A24809" s="136"/>
      <c r="CM24809" s="111"/>
      <c r="CQ24809" s="111"/>
      <c r="EF24809"/>
      <c r="EG24809"/>
      <c r="EH24809"/>
      <c r="EI24809"/>
      <c r="EJ24809"/>
      <c r="EK24809"/>
    </row>
    <row r="24810" spans="1:141" s="116" customFormat="1">
      <c r="A24810" s="136"/>
      <c r="CM24810" s="111"/>
      <c r="CQ24810" s="111"/>
      <c r="EF24810"/>
      <c r="EG24810"/>
      <c r="EH24810"/>
      <c r="EI24810"/>
      <c r="EJ24810"/>
      <c r="EK24810"/>
    </row>
    <row r="24811" spans="1:141" s="116" customFormat="1">
      <c r="A24811" s="136"/>
      <c r="CM24811" s="111"/>
      <c r="CQ24811" s="111"/>
      <c r="EF24811"/>
      <c r="EG24811"/>
      <c r="EH24811"/>
      <c r="EI24811"/>
      <c r="EJ24811"/>
      <c r="EK24811"/>
    </row>
    <row r="24812" spans="1:141" s="116" customFormat="1">
      <c r="A24812" s="136"/>
      <c r="CM24812" s="111"/>
      <c r="CQ24812" s="111"/>
      <c r="EF24812"/>
      <c r="EG24812"/>
      <c r="EH24812"/>
      <c r="EI24812"/>
      <c r="EJ24812"/>
      <c r="EK24812"/>
    </row>
    <row r="24813" spans="1:141" s="116" customFormat="1">
      <c r="A24813" s="136"/>
      <c r="CM24813" s="111"/>
      <c r="CQ24813" s="111"/>
      <c r="EF24813"/>
      <c r="EG24813"/>
      <c r="EH24813"/>
      <c r="EI24813"/>
      <c r="EJ24813"/>
      <c r="EK24813"/>
    </row>
    <row r="24814" spans="1:141" s="116" customFormat="1">
      <c r="A24814" s="136"/>
      <c r="CM24814" s="111"/>
      <c r="CQ24814" s="111"/>
      <c r="EF24814"/>
      <c r="EG24814"/>
      <c r="EH24814"/>
      <c r="EI24814"/>
      <c r="EJ24814"/>
      <c r="EK24814"/>
    </row>
    <row r="24815" spans="1:141" s="116" customFormat="1">
      <c r="A24815" s="136"/>
      <c r="CM24815" s="111"/>
      <c r="CQ24815" s="111"/>
      <c r="EF24815"/>
      <c r="EG24815"/>
      <c r="EH24815"/>
      <c r="EI24815"/>
      <c r="EJ24815"/>
      <c r="EK24815"/>
    </row>
    <row r="24816" spans="1:141" s="116" customFormat="1">
      <c r="A24816" s="136"/>
      <c r="CM24816" s="111"/>
      <c r="CQ24816" s="111"/>
      <c r="EF24816"/>
      <c r="EG24816"/>
      <c r="EH24816"/>
      <c r="EI24816"/>
      <c r="EJ24816"/>
      <c r="EK24816"/>
    </row>
    <row r="24817" spans="1:141" s="116" customFormat="1">
      <c r="A24817" s="136"/>
      <c r="CM24817" s="111"/>
      <c r="CQ24817" s="111"/>
      <c r="EF24817"/>
      <c r="EG24817"/>
      <c r="EH24817"/>
      <c r="EI24817"/>
      <c r="EJ24817"/>
      <c r="EK24817"/>
    </row>
    <row r="24818" spans="1:141" s="116" customFormat="1">
      <c r="A24818" s="136"/>
      <c r="CM24818" s="111"/>
      <c r="CQ24818" s="111"/>
      <c r="EF24818"/>
      <c r="EG24818"/>
      <c r="EH24818"/>
      <c r="EI24818"/>
      <c r="EJ24818"/>
      <c r="EK24818"/>
    </row>
    <row r="24819" spans="1:141" s="116" customFormat="1">
      <c r="A24819" s="136"/>
      <c r="CM24819" s="111"/>
      <c r="CQ24819" s="111"/>
      <c r="EF24819"/>
      <c r="EG24819"/>
      <c r="EH24819"/>
      <c r="EI24819"/>
      <c r="EJ24819"/>
      <c r="EK24819"/>
    </row>
    <row r="24820" spans="1:141" s="116" customFormat="1">
      <c r="A24820" s="136"/>
      <c r="CM24820" s="111"/>
      <c r="CQ24820" s="111"/>
      <c r="EF24820"/>
      <c r="EG24820"/>
      <c r="EH24820"/>
      <c r="EI24820"/>
      <c r="EJ24820"/>
      <c r="EK24820"/>
    </row>
    <row r="24821" spans="1:141" s="116" customFormat="1">
      <c r="A24821" s="136"/>
      <c r="CM24821" s="111"/>
      <c r="CQ24821" s="111"/>
      <c r="EF24821"/>
      <c r="EG24821"/>
      <c r="EH24821"/>
      <c r="EI24821"/>
      <c r="EJ24821"/>
      <c r="EK24821"/>
    </row>
    <row r="24822" spans="1:141" s="116" customFormat="1">
      <c r="A24822" s="136"/>
      <c r="CM24822" s="111"/>
      <c r="CQ24822" s="111"/>
      <c r="EF24822"/>
      <c r="EG24822"/>
      <c r="EH24822"/>
      <c r="EI24822"/>
      <c r="EJ24822"/>
      <c r="EK24822"/>
    </row>
    <row r="24823" spans="1:141" s="116" customFormat="1">
      <c r="A24823" s="136"/>
      <c r="CM24823" s="111"/>
      <c r="CQ24823" s="111"/>
      <c r="EF24823"/>
      <c r="EG24823"/>
      <c r="EH24823"/>
      <c r="EI24823"/>
      <c r="EJ24823"/>
      <c r="EK24823"/>
    </row>
    <row r="24824" spans="1:141" s="116" customFormat="1">
      <c r="A24824" s="136"/>
      <c r="CM24824" s="111"/>
      <c r="CQ24824" s="111"/>
      <c r="EF24824"/>
      <c r="EG24824"/>
      <c r="EH24824"/>
      <c r="EI24824"/>
      <c r="EJ24824"/>
      <c r="EK24824"/>
    </row>
    <row r="24825" spans="1:141" s="116" customFormat="1">
      <c r="A24825" s="136"/>
      <c r="CM24825" s="111"/>
      <c r="CQ24825" s="111"/>
      <c r="EF24825"/>
      <c r="EG24825"/>
      <c r="EH24825"/>
      <c r="EI24825"/>
      <c r="EJ24825"/>
      <c r="EK24825"/>
    </row>
    <row r="24826" spans="1:141" s="116" customFormat="1">
      <c r="A24826" s="136"/>
      <c r="CM24826" s="111"/>
      <c r="CQ24826" s="111"/>
      <c r="EF24826"/>
      <c r="EG24826"/>
      <c r="EH24826"/>
      <c r="EI24826"/>
      <c r="EJ24826"/>
      <c r="EK24826"/>
    </row>
    <row r="24827" spans="1:141" s="116" customFormat="1">
      <c r="A24827" s="136"/>
      <c r="CM24827" s="111"/>
      <c r="CQ24827" s="111"/>
      <c r="EF24827"/>
      <c r="EG24827"/>
      <c r="EH24827"/>
      <c r="EI24827"/>
      <c r="EJ24827"/>
      <c r="EK24827"/>
    </row>
    <row r="24828" spans="1:141" s="116" customFormat="1">
      <c r="A24828" s="136"/>
      <c r="CM24828" s="111"/>
      <c r="CQ24828" s="111"/>
      <c r="EF24828"/>
      <c r="EG24828"/>
      <c r="EH24828"/>
      <c r="EI24828"/>
      <c r="EJ24828"/>
      <c r="EK24828"/>
    </row>
    <row r="24829" spans="1:141" s="116" customFormat="1">
      <c r="A24829" s="136"/>
      <c r="CM24829" s="111"/>
      <c r="CQ24829" s="111"/>
      <c r="EF24829"/>
      <c r="EG24829"/>
      <c r="EH24829"/>
      <c r="EI24829"/>
      <c r="EJ24829"/>
      <c r="EK24829"/>
    </row>
    <row r="24830" spans="1:141" s="116" customFormat="1">
      <c r="A24830" s="136"/>
      <c r="CM24830" s="111"/>
      <c r="CQ24830" s="111"/>
      <c r="EF24830"/>
      <c r="EG24830"/>
      <c r="EH24830"/>
      <c r="EI24830"/>
      <c r="EJ24830"/>
      <c r="EK24830"/>
    </row>
    <row r="24831" spans="1:141" s="116" customFormat="1">
      <c r="A24831" s="136"/>
      <c r="CM24831" s="111"/>
      <c r="CQ24831" s="111"/>
      <c r="EF24831"/>
      <c r="EG24831"/>
      <c r="EH24831"/>
      <c r="EI24831"/>
      <c r="EJ24831"/>
      <c r="EK24831"/>
    </row>
    <row r="24832" spans="1:141" s="116" customFormat="1">
      <c r="A24832" s="136"/>
      <c r="CM24832" s="111"/>
      <c r="CQ24832" s="111"/>
      <c r="EF24832"/>
      <c r="EG24832"/>
      <c r="EH24832"/>
      <c r="EI24832"/>
      <c r="EJ24832"/>
      <c r="EK24832"/>
    </row>
    <row r="24833" spans="1:141" s="116" customFormat="1">
      <c r="A24833" s="136"/>
      <c r="CM24833" s="111"/>
      <c r="CQ24833" s="111"/>
      <c r="EF24833"/>
      <c r="EG24833"/>
      <c r="EH24833"/>
      <c r="EI24833"/>
      <c r="EJ24833"/>
      <c r="EK24833"/>
    </row>
    <row r="24834" spans="1:141" s="116" customFormat="1">
      <c r="A24834" s="136"/>
      <c r="CM24834" s="111"/>
      <c r="CQ24834" s="111"/>
      <c r="EF24834"/>
      <c r="EG24834"/>
      <c r="EH24834"/>
      <c r="EI24834"/>
      <c r="EJ24834"/>
      <c r="EK24834"/>
    </row>
    <row r="24835" spans="1:141" s="116" customFormat="1">
      <c r="A24835" s="136"/>
      <c r="CM24835" s="111"/>
      <c r="CQ24835" s="111"/>
      <c r="EF24835"/>
      <c r="EG24835"/>
      <c r="EH24835"/>
      <c r="EI24835"/>
      <c r="EJ24835"/>
      <c r="EK24835"/>
    </row>
    <row r="24836" spans="1:141" s="116" customFormat="1">
      <c r="A24836" s="136"/>
      <c r="CM24836" s="111"/>
      <c r="CQ24836" s="111"/>
      <c r="EF24836"/>
      <c r="EG24836"/>
      <c r="EH24836"/>
      <c r="EI24836"/>
      <c r="EJ24836"/>
      <c r="EK24836"/>
    </row>
    <row r="24837" spans="1:141" s="116" customFormat="1">
      <c r="A24837" s="136"/>
      <c r="CM24837" s="111"/>
      <c r="CQ24837" s="111"/>
      <c r="EF24837"/>
      <c r="EG24837"/>
      <c r="EH24837"/>
      <c r="EI24837"/>
      <c r="EJ24837"/>
      <c r="EK24837"/>
    </row>
    <row r="24838" spans="1:141" s="116" customFormat="1">
      <c r="A24838" s="136"/>
      <c r="CM24838" s="111"/>
      <c r="CQ24838" s="111"/>
      <c r="EF24838"/>
      <c r="EG24838"/>
      <c r="EH24838"/>
      <c r="EI24838"/>
      <c r="EJ24838"/>
      <c r="EK24838"/>
    </row>
    <row r="24839" spans="1:141" s="116" customFormat="1">
      <c r="A24839" s="136"/>
      <c r="CM24839" s="111"/>
      <c r="CQ24839" s="111"/>
      <c r="EF24839"/>
      <c r="EG24839"/>
      <c r="EH24839"/>
      <c r="EI24839"/>
      <c r="EJ24839"/>
      <c r="EK24839"/>
    </row>
    <row r="24840" spans="1:141" s="116" customFormat="1">
      <c r="A24840" s="136"/>
      <c r="CM24840" s="111"/>
      <c r="CQ24840" s="111"/>
      <c r="EF24840"/>
      <c r="EG24840"/>
      <c r="EH24840"/>
      <c r="EI24840"/>
      <c r="EJ24840"/>
      <c r="EK24840"/>
    </row>
    <row r="24841" spans="1:141" s="116" customFormat="1">
      <c r="A24841" s="136"/>
      <c r="CM24841" s="111"/>
      <c r="CQ24841" s="111"/>
      <c r="EF24841"/>
      <c r="EG24841"/>
      <c r="EH24841"/>
      <c r="EI24841"/>
      <c r="EJ24841"/>
      <c r="EK24841"/>
    </row>
    <row r="24842" spans="1:141" s="116" customFormat="1">
      <c r="A24842" s="136"/>
      <c r="CM24842" s="111"/>
      <c r="CQ24842" s="111"/>
      <c r="EF24842"/>
      <c r="EG24842"/>
      <c r="EH24842"/>
      <c r="EI24842"/>
      <c r="EJ24842"/>
      <c r="EK24842"/>
    </row>
    <row r="24843" spans="1:141" s="116" customFormat="1">
      <c r="A24843" s="136"/>
      <c r="CM24843" s="111"/>
      <c r="CQ24843" s="111"/>
      <c r="EF24843"/>
      <c r="EG24843"/>
      <c r="EH24843"/>
      <c r="EI24843"/>
      <c r="EJ24843"/>
      <c r="EK24843"/>
    </row>
    <row r="24844" spans="1:141" s="116" customFormat="1">
      <c r="A24844" s="136"/>
      <c r="CM24844" s="111"/>
      <c r="CQ24844" s="111"/>
      <c r="EF24844"/>
      <c r="EG24844"/>
      <c r="EH24844"/>
      <c r="EI24844"/>
      <c r="EJ24844"/>
      <c r="EK24844"/>
    </row>
    <row r="24845" spans="1:141" s="116" customFormat="1">
      <c r="A24845" s="136"/>
      <c r="CM24845" s="111"/>
      <c r="CQ24845" s="111"/>
      <c r="EF24845"/>
      <c r="EG24845"/>
      <c r="EH24845"/>
      <c r="EI24845"/>
      <c r="EJ24845"/>
      <c r="EK24845"/>
    </row>
    <row r="24846" spans="1:141" s="116" customFormat="1">
      <c r="A24846" s="136"/>
      <c r="CM24846" s="111"/>
      <c r="CQ24846" s="111"/>
      <c r="EF24846"/>
      <c r="EG24846"/>
      <c r="EH24846"/>
      <c r="EI24846"/>
      <c r="EJ24846"/>
      <c r="EK24846"/>
    </row>
    <row r="24847" spans="1:141" s="116" customFormat="1">
      <c r="A24847" s="136"/>
      <c r="CM24847" s="111"/>
      <c r="CQ24847" s="111"/>
      <c r="EF24847"/>
      <c r="EG24847"/>
      <c r="EH24847"/>
      <c r="EI24847"/>
      <c r="EJ24847"/>
      <c r="EK24847"/>
    </row>
    <row r="24848" spans="1:141" s="116" customFormat="1">
      <c r="A24848" s="136"/>
      <c r="CM24848" s="111"/>
      <c r="CQ24848" s="111"/>
      <c r="EF24848"/>
      <c r="EG24848"/>
      <c r="EH24848"/>
      <c r="EI24848"/>
      <c r="EJ24848"/>
      <c r="EK24848"/>
    </row>
    <row r="24849" spans="1:141" s="116" customFormat="1">
      <c r="A24849" s="136"/>
      <c r="CM24849" s="111"/>
      <c r="CQ24849" s="111"/>
      <c r="EF24849"/>
      <c r="EG24849"/>
      <c r="EH24849"/>
      <c r="EI24849"/>
      <c r="EJ24849"/>
      <c r="EK24849"/>
    </row>
    <row r="24850" spans="1:141" s="116" customFormat="1">
      <c r="A24850" s="136"/>
      <c r="CM24850" s="111"/>
      <c r="CQ24850" s="111"/>
      <c r="EF24850"/>
      <c r="EG24850"/>
      <c r="EH24850"/>
      <c r="EI24850"/>
      <c r="EJ24850"/>
      <c r="EK24850"/>
    </row>
    <row r="24851" spans="1:141" s="116" customFormat="1">
      <c r="A24851" s="136"/>
      <c r="CM24851" s="111"/>
      <c r="CQ24851" s="111"/>
      <c r="EF24851"/>
      <c r="EG24851"/>
      <c r="EH24851"/>
      <c r="EI24851"/>
      <c r="EJ24851"/>
      <c r="EK24851"/>
    </row>
    <row r="24852" spans="1:141" s="116" customFormat="1">
      <c r="A24852" s="136"/>
      <c r="CM24852" s="111"/>
      <c r="CQ24852" s="111"/>
      <c r="EF24852"/>
      <c r="EG24852"/>
      <c r="EH24852"/>
      <c r="EI24852"/>
      <c r="EJ24852"/>
      <c r="EK24852"/>
    </row>
    <row r="24853" spans="1:141" s="116" customFormat="1">
      <c r="A24853" s="136"/>
      <c r="CM24853" s="111"/>
      <c r="CQ24853" s="111"/>
      <c r="EF24853"/>
      <c r="EG24853"/>
      <c r="EH24853"/>
      <c r="EI24853"/>
      <c r="EJ24853"/>
      <c r="EK24853"/>
    </row>
    <row r="24854" spans="1:141" s="116" customFormat="1">
      <c r="A24854" s="136"/>
      <c r="CM24854" s="111"/>
      <c r="CQ24854" s="111"/>
      <c r="EF24854"/>
      <c r="EG24854"/>
      <c r="EH24854"/>
      <c r="EI24854"/>
      <c r="EJ24854"/>
      <c r="EK24854"/>
    </row>
    <row r="24855" spans="1:141" s="116" customFormat="1">
      <c r="A24855" s="136"/>
      <c r="CM24855" s="111"/>
      <c r="CQ24855" s="111"/>
      <c r="EF24855"/>
      <c r="EG24855"/>
      <c r="EH24855"/>
      <c r="EI24855"/>
      <c r="EJ24855"/>
      <c r="EK24855"/>
    </row>
    <row r="24856" spans="1:141" s="116" customFormat="1">
      <c r="A24856" s="136"/>
      <c r="CM24856" s="111"/>
      <c r="CQ24856" s="111"/>
      <c r="EF24856"/>
      <c r="EG24856"/>
      <c r="EH24856"/>
      <c r="EI24856"/>
      <c r="EJ24856"/>
      <c r="EK24856"/>
    </row>
    <row r="24857" spans="1:141" s="116" customFormat="1">
      <c r="A24857" s="136"/>
      <c r="CM24857" s="111"/>
      <c r="CQ24857" s="111"/>
      <c r="EF24857"/>
      <c r="EG24857"/>
      <c r="EH24857"/>
      <c r="EI24857"/>
      <c r="EJ24857"/>
      <c r="EK24857"/>
    </row>
    <row r="24858" spans="1:141" s="116" customFormat="1">
      <c r="A24858" s="136"/>
      <c r="CM24858" s="111"/>
      <c r="CQ24858" s="111"/>
      <c r="EF24858"/>
      <c r="EG24858"/>
      <c r="EH24858"/>
      <c r="EI24858"/>
      <c r="EJ24858"/>
      <c r="EK24858"/>
    </row>
    <row r="24859" spans="1:141" s="116" customFormat="1">
      <c r="A24859" s="136"/>
      <c r="CM24859" s="111"/>
      <c r="CQ24859" s="111"/>
      <c r="EF24859"/>
      <c r="EG24859"/>
      <c r="EH24859"/>
      <c r="EI24859"/>
      <c r="EJ24859"/>
      <c r="EK24859"/>
    </row>
    <row r="24860" spans="1:141" s="116" customFormat="1">
      <c r="A24860" s="136"/>
      <c r="CM24860" s="111"/>
      <c r="CQ24860" s="111"/>
      <c r="EF24860"/>
      <c r="EG24860"/>
      <c r="EH24860"/>
      <c r="EI24860"/>
      <c r="EJ24860"/>
      <c r="EK24860"/>
    </row>
    <row r="24861" spans="1:141" s="116" customFormat="1">
      <c r="A24861" s="136"/>
      <c r="CM24861" s="111"/>
      <c r="CQ24861" s="111"/>
      <c r="EF24861"/>
      <c r="EG24861"/>
      <c r="EH24861"/>
      <c r="EI24861"/>
      <c r="EJ24861"/>
      <c r="EK24861"/>
    </row>
    <row r="24862" spans="1:141" s="116" customFormat="1">
      <c r="A24862" s="136"/>
      <c r="CM24862" s="111"/>
      <c r="CQ24862" s="111"/>
      <c r="EF24862"/>
      <c r="EG24862"/>
      <c r="EH24862"/>
      <c r="EI24862"/>
      <c r="EJ24862"/>
      <c r="EK24862"/>
    </row>
    <row r="24863" spans="1:141" s="116" customFormat="1">
      <c r="A24863" s="136"/>
      <c r="CM24863" s="111"/>
      <c r="CQ24863" s="111"/>
      <c r="EF24863"/>
      <c r="EG24863"/>
      <c r="EH24863"/>
      <c r="EI24863"/>
      <c r="EJ24863"/>
      <c r="EK24863"/>
    </row>
    <row r="24864" spans="1:141" s="116" customFormat="1">
      <c r="A24864" s="136"/>
      <c r="CM24864" s="111"/>
      <c r="CQ24864" s="111"/>
      <c r="EF24864"/>
      <c r="EG24864"/>
      <c r="EH24864"/>
      <c r="EI24864"/>
      <c r="EJ24864"/>
      <c r="EK24864"/>
    </row>
    <row r="24865" spans="1:141" s="116" customFormat="1">
      <c r="A24865" s="136"/>
      <c r="CM24865" s="111"/>
      <c r="CQ24865" s="111"/>
      <c r="EF24865"/>
      <c r="EG24865"/>
      <c r="EH24865"/>
      <c r="EI24865"/>
      <c r="EJ24865"/>
      <c r="EK24865"/>
    </row>
    <row r="24866" spans="1:141" s="116" customFormat="1">
      <c r="A24866" s="136"/>
      <c r="CM24866" s="111"/>
      <c r="CQ24866" s="111"/>
      <c r="EF24866"/>
      <c r="EG24866"/>
      <c r="EH24866"/>
      <c r="EI24866"/>
      <c r="EJ24866"/>
      <c r="EK24866"/>
    </row>
    <row r="24867" spans="1:141" s="116" customFormat="1">
      <c r="A24867" s="136"/>
      <c r="CM24867" s="111"/>
      <c r="CQ24867" s="111"/>
      <c r="EF24867"/>
      <c r="EG24867"/>
      <c r="EH24867"/>
      <c r="EI24867"/>
      <c r="EJ24867"/>
      <c r="EK24867"/>
    </row>
    <row r="24868" spans="1:141" s="116" customFormat="1">
      <c r="A24868" s="136"/>
      <c r="CM24868" s="111"/>
      <c r="CQ24868" s="111"/>
      <c r="EF24868"/>
      <c r="EG24868"/>
      <c r="EH24868"/>
      <c r="EI24868"/>
      <c r="EJ24868"/>
      <c r="EK24868"/>
    </row>
    <row r="24869" spans="1:141" s="116" customFormat="1">
      <c r="A24869" s="136"/>
      <c r="CM24869" s="111"/>
      <c r="CQ24869" s="111"/>
      <c r="EF24869"/>
      <c r="EG24869"/>
      <c r="EH24869"/>
      <c r="EI24869"/>
      <c r="EJ24869"/>
      <c r="EK24869"/>
    </row>
    <row r="24870" spans="1:141" s="116" customFormat="1">
      <c r="A24870" s="136"/>
      <c r="CM24870" s="111"/>
      <c r="CQ24870" s="111"/>
      <c r="EF24870"/>
      <c r="EG24870"/>
      <c r="EH24870"/>
      <c r="EI24870"/>
      <c r="EJ24870"/>
      <c r="EK24870"/>
    </row>
    <row r="24871" spans="1:141" s="116" customFormat="1">
      <c r="A24871" s="136"/>
      <c r="CM24871" s="111"/>
      <c r="CQ24871" s="111"/>
      <c r="EF24871"/>
      <c r="EG24871"/>
      <c r="EH24871"/>
      <c r="EI24871"/>
      <c r="EJ24871"/>
      <c r="EK24871"/>
    </row>
    <row r="24872" spans="1:141" s="116" customFormat="1">
      <c r="A24872" s="136"/>
      <c r="CM24872" s="111"/>
      <c r="CQ24872" s="111"/>
      <c r="EF24872"/>
      <c r="EG24872"/>
      <c r="EH24872"/>
      <c r="EI24872"/>
      <c r="EJ24872"/>
      <c r="EK24872"/>
    </row>
    <row r="24873" spans="1:141" s="116" customFormat="1">
      <c r="A24873" s="136"/>
      <c r="CM24873" s="111"/>
      <c r="CQ24873" s="111"/>
      <c r="EF24873"/>
      <c r="EG24873"/>
      <c r="EH24873"/>
      <c r="EI24873"/>
      <c r="EJ24873"/>
      <c r="EK24873"/>
    </row>
    <row r="24874" spans="1:141" s="116" customFormat="1">
      <c r="A24874" s="136"/>
      <c r="CM24874" s="111"/>
      <c r="CQ24874" s="111"/>
      <c r="EF24874"/>
      <c r="EG24874"/>
      <c r="EH24874"/>
      <c r="EI24874"/>
      <c r="EJ24874"/>
      <c r="EK24874"/>
    </row>
    <row r="24875" spans="1:141" s="116" customFormat="1">
      <c r="A24875" s="136"/>
      <c r="CM24875" s="111"/>
      <c r="CQ24875" s="111"/>
      <c r="EF24875"/>
      <c r="EG24875"/>
      <c r="EH24875"/>
      <c r="EI24875"/>
      <c r="EJ24875"/>
      <c r="EK24875"/>
    </row>
    <row r="24876" spans="1:141" s="116" customFormat="1">
      <c r="A24876" s="136"/>
      <c r="CM24876" s="111"/>
      <c r="CQ24876" s="111"/>
      <c r="EF24876"/>
      <c r="EG24876"/>
      <c r="EH24876"/>
      <c r="EI24876"/>
      <c r="EJ24876"/>
      <c r="EK24876"/>
    </row>
    <row r="24877" spans="1:141" s="116" customFormat="1">
      <c r="A24877" s="136"/>
      <c r="CM24877" s="111"/>
      <c r="CQ24877" s="111"/>
      <c r="EF24877"/>
      <c r="EG24877"/>
      <c r="EH24877"/>
      <c r="EI24877"/>
      <c r="EJ24877"/>
      <c r="EK24877"/>
    </row>
    <row r="24878" spans="1:141" s="116" customFormat="1">
      <c r="A24878" s="136"/>
      <c r="CM24878" s="111"/>
      <c r="CQ24878" s="111"/>
      <c r="EF24878"/>
      <c r="EG24878"/>
      <c r="EH24878"/>
      <c r="EI24878"/>
      <c r="EJ24878"/>
      <c r="EK24878"/>
    </row>
    <row r="24879" spans="1:141" s="116" customFormat="1">
      <c r="A24879" s="136"/>
      <c r="CM24879" s="111"/>
      <c r="CQ24879" s="111"/>
      <c r="EF24879"/>
      <c r="EG24879"/>
      <c r="EH24879"/>
      <c r="EI24879"/>
      <c r="EJ24879"/>
      <c r="EK24879"/>
    </row>
    <row r="24880" spans="1:141" s="116" customFormat="1">
      <c r="A24880" s="136"/>
      <c r="CM24880" s="111"/>
      <c r="CQ24880" s="111"/>
      <c r="EF24880"/>
      <c r="EG24880"/>
      <c r="EH24880"/>
      <c r="EI24880"/>
      <c r="EJ24880"/>
      <c r="EK24880"/>
    </row>
    <row r="24881" spans="1:141" s="116" customFormat="1">
      <c r="A24881" s="136"/>
      <c r="CM24881" s="111"/>
      <c r="CQ24881" s="111"/>
      <c r="EF24881"/>
      <c r="EG24881"/>
      <c r="EH24881"/>
      <c r="EI24881"/>
      <c r="EJ24881"/>
      <c r="EK24881"/>
    </row>
    <row r="24882" spans="1:141" s="116" customFormat="1">
      <c r="A24882" s="136"/>
      <c r="CM24882" s="111"/>
      <c r="CQ24882" s="111"/>
      <c r="EF24882"/>
      <c r="EG24882"/>
      <c r="EH24882"/>
      <c r="EI24882"/>
      <c r="EJ24882"/>
      <c r="EK24882"/>
    </row>
    <row r="24883" spans="1:141" s="116" customFormat="1">
      <c r="A24883" s="136"/>
      <c r="CM24883" s="111"/>
      <c r="CQ24883" s="111"/>
      <c r="EF24883"/>
      <c r="EG24883"/>
      <c r="EH24883"/>
      <c r="EI24883"/>
      <c r="EJ24883"/>
      <c r="EK24883"/>
    </row>
    <row r="24884" spans="1:141" s="116" customFormat="1">
      <c r="A24884" s="136"/>
      <c r="CM24884" s="111"/>
      <c r="CQ24884" s="111"/>
      <c r="EF24884"/>
      <c r="EG24884"/>
      <c r="EH24884"/>
      <c r="EI24884"/>
      <c r="EJ24884"/>
      <c r="EK24884"/>
    </row>
    <row r="24885" spans="1:141" s="116" customFormat="1">
      <c r="A24885" s="136"/>
      <c r="CM24885" s="111"/>
      <c r="CQ24885" s="111"/>
      <c r="EF24885"/>
      <c r="EG24885"/>
      <c r="EH24885"/>
      <c r="EI24885"/>
      <c r="EJ24885"/>
      <c r="EK24885"/>
    </row>
    <row r="24886" spans="1:141" s="116" customFormat="1">
      <c r="A24886" s="136"/>
      <c r="CM24886" s="111"/>
      <c r="CQ24886" s="111"/>
      <c r="EF24886"/>
      <c r="EG24886"/>
      <c r="EH24886"/>
      <c r="EI24886"/>
      <c r="EJ24886"/>
      <c r="EK24886"/>
    </row>
    <row r="24887" spans="1:141" s="116" customFormat="1">
      <c r="A24887" s="136"/>
      <c r="CM24887" s="111"/>
      <c r="CQ24887" s="111"/>
      <c r="EF24887"/>
      <c r="EG24887"/>
      <c r="EH24887"/>
      <c r="EI24887"/>
      <c r="EJ24887"/>
      <c r="EK24887"/>
    </row>
    <row r="24888" spans="1:141" s="116" customFormat="1">
      <c r="A24888" s="136"/>
      <c r="CM24888" s="111"/>
      <c r="CQ24888" s="111"/>
      <c r="EF24888"/>
      <c r="EG24888"/>
      <c r="EH24888"/>
      <c r="EI24888"/>
      <c r="EJ24888"/>
      <c r="EK24888"/>
    </row>
    <row r="24889" spans="1:141" s="116" customFormat="1">
      <c r="A24889" s="136"/>
      <c r="CM24889" s="111"/>
      <c r="CQ24889" s="111"/>
      <c r="EF24889"/>
      <c r="EG24889"/>
      <c r="EH24889"/>
      <c r="EI24889"/>
      <c r="EJ24889"/>
      <c r="EK24889"/>
    </row>
    <row r="24890" spans="1:141" s="116" customFormat="1">
      <c r="A24890" s="136"/>
      <c r="CM24890" s="111"/>
      <c r="CQ24890" s="111"/>
      <c r="EF24890"/>
      <c r="EG24890"/>
      <c r="EH24890"/>
      <c r="EI24890"/>
      <c r="EJ24890"/>
      <c r="EK24890"/>
    </row>
    <row r="24891" spans="1:141" s="116" customFormat="1">
      <c r="A24891" s="136"/>
      <c r="CM24891" s="111"/>
      <c r="CQ24891" s="111"/>
      <c r="EF24891"/>
      <c r="EG24891"/>
      <c r="EH24891"/>
      <c r="EI24891"/>
      <c r="EJ24891"/>
      <c r="EK24891"/>
    </row>
    <row r="24892" spans="1:141" s="116" customFormat="1">
      <c r="A24892" s="136"/>
      <c r="CM24892" s="111"/>
      <c r="CQ24892" s="111"/>
      <c r="EF24892"/>
      <c r="EG24892"/>
      <c r="EH24892"/>
      <c r="EI24892"/>
      <c r="EJ24892"/>
      <c r="EK24892"/>
    </row>
    <row r="24893" spans="1:141" s="116" customFormat="1">
      <c r="A24893" s="136"/>
      <c r="CM24893" s="111"/>
      <c r="CQ24893" s="111"/>
      <c r="EF24893"/>
      <c r="EG24893"/>
      <c r="EH24893"/>
      <c r="EI24893"/>
      <c r="EJ24893"/>
      <c r="EK24893"/>
    </row>
    <row r="24894" spans="1:141" s="116" customFormat="1">
      <c r="A24894" s="136"/>
      <c r="CM24894" s="111"/>
      <c r="CQ24894" s="111"/>
      <c r="EF24894"/>
      <c r="EG24894"/>
      <c r="EH24894"/>
      <c r="EI24894"/>
      <c r="EJ24894"/>
      <c r="EK24894"/>
    </row>
    <row r="24895" spans="1:141" s="116" customFormat="1">
      <c r="A24895" s="136"/>
      <c r="CM24895" s="111"/>
      <c r="CQ24895" s="111"/>
      <c r="EF24895"/>
      <c r="EG24895"/>
      <c r="EH24895"/>
      <c r="EI24895"/>
      <c r="EJ24895"/>
      <c r="EK24895"/>
    </row>
    <row r="24896" spans="1:141" s="116" customFormat="1">
      <c r="A24896" s="136"/>
      <c r="CM24896" s="111"/>
      <c r="CQ24896" s="111"/>
      <c r="EF24896"/>
      <c r="EG24896"/>
      <c r="EH24896"/>
      <c r="EI24896"/>
      <c r="EJ24896"/>
      <c r="EK24896"/>
    </row>
    <row r="24897" spans="1:141" s="116" customFormat="1">
      <c r="A24897" s="136"/>
      <c r="CM24897" s="111"/>
      <c r="CQ24897" s="111"/>
      <c r="EF24897"/>
      <c r="EG24897"/>
      <c r="EH24897"/>
      <c r="EI24897"/>
      <c r="EJ24897"/>
      <c r="EK24897"/>
    </row>
    <row r="24898" spans="1:141" s="116" customFormat="1">
      <c r="A24898" s="136"/>
      <c r="CM24898" s="111"/>
      <c r="CQ24898" s="111"/>
      <c r="EF24898"/>
      <c r="EG24898"/>
      <c r="EH24898"/>
      <c r="EI24898"/>
      <c r="EJ24898"/>
      <c r="EK24898"/>
    </row>
    <row r="24899" spans="1:141" s="116" customFormat="1">
      <c r="A24899" s="136"/>
      <c r="CM24899" s="111"/>
      <c r="CQ24899" s="111"/>
      <c r="EF24899"/>
      <c r="EG24899"/>
      <c r="EH24899"/>
      <c r="EI24899"/>
      <c r="EJ24899"/>
      <c r="EK24899"/>
    </row>
    <row r="24900" spans="1:141" s="116" customFormat="1">
      <c r="A24900" s="136"/>
      <c r="CM24900" s="111"/>
      <c r="CQ24900" s="111"/>
      <c r="EF24900"/>
      <c r="EG24900"/>
      <c r="EH24900"/>
      <c r="EI24900"/>
      <c r="EJ24900"/>
      <c r="EK24900"/>
    </row>
    <row r="24901" spans="1:141" s="116" customFormat="1">
      <c r="A24901" s="136"/>
      <c r="CM24901" s="111"/>
      <c r="CQ24901" s="111"/>
      <c r="EF24901"/>
      <c r="EG24901"/>
      <c r="EH24901"/>
      <c r="EI24901"/>
      <c r="EJ24901"/>
      <c r="EK24901"/>
    </row>
    <row r="24902" spans="1:141" s="116" customFormat="1">
      <c r="A24902" s="136"/>
      <c r="CM24902" s="111"/>
      <c r="CQ24902" s="111"/>
      <c r="EF24902"/>
      <c r="EG24902"/>
      <c r="EH24902"/>
      <c r="EI24902"/>
      <c r="EJ24902"/>
      <c r="EK24902"/>
    </row>
    <row r="24903" spans="1:141" s="116" customFormat="1">
      <c r="A24903" s="136"/>
      <c r="CM24903" s="111"/>
      <c r="CQ24903" s="111"/>
      <c r="EF24903"/>
      <c r="EG24903"/>
      <c r="EH24903"/>
      <c r="EI24903"/>
      <c r="EJ24903"/>
      <c r="EK24903"/>
    </row>
    <row r="24904" spans="1:141" s="116" customFormat="1">
      <c r="A24904" s="136"/>
      <c r="CM24904" s="111"/>
      <c r="CQ24904" s="111"/>
      <c r="EF24904"/>
      <c r="EG24904"/>
      <c r="EH24904"/>
      <c r="EI24904"/>
      <c r="EJ24904"/>
      <c r="EK24904"/>
    </row>
    <row r="24905" spans="1:141" s="116" customFormat="1">
      <c r="A24905" s="136"/>
      <c r="CM24905" s="111"/>
      <c r="CQ24905" s="111"/>
      <c r="EF24905"/>
      <c r="EG24905"/>
      <c r="EH24905"/>
      <c r="EI24905"/>
      <c r="EJ24905"/>
      <c r="EK24905"/>
    </row>
    <row r="24906" spans="1:141" s="116" customFormat="1">
      <c r="A24906" s="136"/>
      <c r="CM24906" s="111"/>
      <c r="CQ24906" s="111"/>
      <c r="EF24906"/>
      <c r="EG24906"/>
      <c r="EH24906"/>
      <c r="EI24906"/>
      <c r="EJ24906"/>
      <c r="EK24906"/>
    </row>
    <row r="24907" spans="1:141" s="116" customFormat="1">
      <c r="A24907" s="136"/>
      <c r="CM24907" s="111"/>
      <c r="CQ24907" s="111"/>
      <c r="EF24907"/>
      <c r="EG24907"/>
      <c r="EH24907"/>
      <c r="EI24907"/>
      <c r="EJ24907"/>
      <c r="EK24907"/>
    </row>
    <row r="24908" spans="1:141" s="116" customFormat="1">
      <c r="A24908" s="136"/>
      <c r="CM24908" s="111"/>
      <c r="CQ24908" s="111"/>
      <c r="EF24908"/>
      <c r="EG24908"/>
      <c r="EH24908"/>
      <c r="EI24908"/>
      <c r="EJ24908"/>
      <c r="EK24908"/>
    </row>
    <row r="24909" spans="1:141" s="116" customFormat="1">
      <c r="A24909" s="136"/>
      <c r="CM24909" s="111"/>
      <c r="CQ24909" s="111"/>
      <c r="EF24909"/>
      <c r="EG24909"/>
      <c r="EH24909"/>
      <c r="EI24909"/>
      <c r="EJ24909"/>
      <c r="EK24909"/>
    </row>
    <row r="24910" spans="1:141" s="116" customFormat="1">
      <c r="A24910" s="136"/>
      <c r="CM24910" s="111"/>
      <c r="CQ24910" s="111"/>
      <c r="EF24910"/>
      <c r="EG24910"/>
      <c r="EH24910"/>
      <c r="EI24910"/>
      <c r="EJ24910"/>
      <c r="EK24910"/>
    </row>
    <row r="24911" spans="1:141" s="116" customFormat="1">
      <c r="A24911" s="136"/>
      <c r="CM24911" s="111"/>
      <c r="CQ24911" s="111"/>
      <c r="EF24911"/>
      <c r="EG24911"/>
      <c r="EH24911"/>
      <c r="EI24911"/>
      <c r="EJ24911"/>
      <c r="EK24911"/>
    </row>
    <row r="24912" spans="1:141" s="116" customFormat="1">
      <c r="A24912" s="136"/>
      <c r="CM24912" s="111"/>
      <c r="CQ24912" s="111"/>
      <c r="EF24912"/>
      <c r="EG24912"/>
      <c r="EH24912"/>
      <c r="EI24912"/>
      <c r="EJ24912"/>
      <c r="EK24912"/>
    </row>
    <row r="24913" spans="1:141" s="116" customFormat="1">
      <c r="A24913" s="136"/>
      <c r="CM24913" s="111"/>
      <c r="CQ24913" s="111"/>
      <c r="EF24913"/>
      <c r="EG24913"/>
      <c r="EH24913"/>
      <c r="EI24913"/>
      <c r="EJ24913"/>
      <c r="EK24913"/>
    </row>
    <row r="24914" spans="1:141" s="116" customFormat="1">
      <c r="A24914" s="136"/>
      <c r="CM24914" s="111"/>
      <c r="CQ24914" s="111"/>
      <c r="EF24914"/>
      <c r="EG24914"/>
      <c r="EH24914"/>
      <c r="EI24914"/>
      <c r="EJ24914"/>
      <c r="EK24914"/>
    </row>
    <row r="24915" spans="1:141" s="116" customFormat="1">
      <c r="A24915" s="136"/>
      <c r="CM24915" s="111"/>
      <c r="CQ24915" s="111"/>
      <c r="EF24915"/>
      <c r="EG24915"/>
      <c r="EH24915"/>
      <c r="EI24915"/>
      <c r="EJ24915"/>
      <c r="EK24915"/>
    </row>
    <row r="24916" spans="1:141" s="116" customFormat="1">
      <c r="A24916" s="136"/>
      <c r="CM24916" s="111"/>
      <c r="CQ24916" s="111"/>
      <c r="EF24916"/>
      <c r="EG24916"/>
      <c r="EH24916"/>
      <c r="EI24916"/>
      <c r="EJ24916"/>
      <c r="EK24916"/>
    </row>
    <row r="24917" spans="1:141" s="116" customFormat="1">
      <c r="A24917" s="136"/>
      <c r="CM24917" s="111"/>
      <c r="CQ24917" s="111"/>
      <c r="EF24917"/>
      <c r="EG24917"/>
      <c r="EH24917"/>
      <c r="EI24917"/>
      <c r="EJ24917"/>
      <c r="EK24917"/>
    </row>
    <row r="24918" spans="1:141" s="116" customFormat="1">
      <c r="A24918" s="136"/>
      <c r="CM24918" s="111"/>
      <c r="CQ24918" s="111"/>
      <c r="EF24918"/>
      <c r="EG24918"/>
      <c r="EH24918"/>
      <c r="EI24918"/>
      <c r="EJ24918"/>
      <c r="EK24918"/>
    </row>
    <row r="24919" spans="1:141" s="116" customFormat="1">
      <c r="A24919" s="136"/>
      <c r="CM24919" s="111"/>
      <c r="CQ24919" s="111"/>
      <c r="EF24919"/>
      <c r="EG24919"/>
      <c r="EH24919"/>
      <c r="EI24919"/>
      <c r="EJ24919"/>
      <c r="EK24919"/>
    </row>
    <row r="24920" spans="1:141" s="116" customFormat="1">
      <c r="A24920" s="136"/>
      <c r="CM24920" s="111"/>
      <c r="CQ24920" s="111"/>
      <c r="EF24920"/>
      <c r="EG24920"/>
      <c r="EH24920"/>
      <c r="EI24920"/>
      <c r="EJ24920"/>
      <c r="EK24920"/>
    </row>
    <row r="24921" spans="1:141" s="116" customFormat="1">
      <c r="A24921" s="136"/>
      <c r="CM24921" s="111"/>
      <c r="CQ24921" s="111"/>
      <c r="EF24921"/>
      <c r="EG24921"/>
      <c r="EH24921"/>
      <c r="EI24921"/>
      <c r="EJ24921"/>
      <c r="EK24921"/>
    </row>
    <row r="24922" spans="1:141" s="116" customFormat="1">
      <c r="A24922" s="136"/>
      <c r="CM24922" s="111"/>
      <c r="CQ24922" s="111"/>
      <c r="EF24922"/>
      <c r="EG24922"/>
      <c r="EH24922"/>
      <c r="EI24922"/>
      <c r="EJ24922"/>
      <c r="EK24922"/>
    </row>
    <row r="24923" spans="1:141" s="116" customFormat="1">
      <c r="A24923" s="136"/>
      <c r="CM24923" s="111"/>
      <c r="CQ24923" s="111"/>
      <c r="EF24923"/>
      <c r="EG24923"/>
      <c r="EH24923"/>
      <c r="EI24923"/>
      <c r="EJ24923"/>
      <c r="EK24923"/>
    </row>
    <row r="24924" spans="1:141" s="116" customFormat="1">
      <c r="A24924" s="136"/>
      <c r="CM24924" s="111"/>
      <c r="CQ24924" s="111"/>
      <c r="EF24924"/>
      <c r="EG24924"/>
      <c r="EH24924"/>
      <c r="EI24924"/>
      <c r="EJ24924"/>
      <c r="EK24924"/>
    </row>
    <row r="24925" spans="1:141" s="116" customFormat="1">
      <c r="A24925" s="136"/>
      <c r="CM24925" s="111"/>
      <c r="CQ24925" s="111"/>
      <c r="EF24925"/>
      <c r="EG24925"/>
      <c r="EH24925"/>
      <c r="EI24925"/>
      <c r="EJ24925"/>
      <c r="EK24925"/>
    </row>
    <row r="24926" spans="1:141" s="116" customFormat="1">
      <c r="A24926" s="136"/>
      <c r="CM24926" s="111"/>
      <c r="CQ24926" s="111"/>
      <c r="EF24926"/>
      <c r="EG24926"/>
      <c r="EH24926"/>
      <c r="EI24926"/>
      <c r="EJ24926"/>
      <c r="EK24926"/>
    </row>
    <row r="24927" spans="1:141" s="116" customFormat="1">
      <c r="A24927" s="136"/>
      <c r="CM24927" s="111"/>
      <c r="CQ24927" s="111"/>
      <c r="EF24927"/>
      <c r="EG24927"/>
      <c r="EH24927"/>
      <c r="EI24927"/>
      <c r="EJ24927"/>
      <c r="EK24927"/>
    </row>
    <row r="24928" spans="1:141" s="116" customFormat="1">
      <c r="A24928" s="136"/>
      <c r="CM24928" s="111"/>
      <c r="CQ24928" s="111"/>
      <c r="EF24928"/>
      <c r="EG24928"/>
      <c r="EH24928"/>
      <c r="EI24928"/>
      <c r="EJ24928"/>
      <c r="EK24928"/>
    </row>
    <row r="24929" spans="1:141" s="116" customFormat="1">
      <c r="A24929" s="136"/>
      <c r="CM24929" s="111"/>
      <c r="CQ24929" s="111"/>
      <c r="EF24929"/>
      <c r="EG24929"/>
      <c r="EH24929"/>
      <c r="EI24929"/>
      <c r="EJ24929"/>
      <c r="EK24929"/>
    </row>
    <row r="24930" spans="1:141" s="116" customFormat="1">
      <c r="A24930" s="136"/>
      <c r="CM24930" s="111"/>
      <c r="CQ24930" s="111"/>
      <c r="EF24930"/>
      <c r="EG24930"/>
      <c r="EH24930"/>
      <c r="EI24930"/>
      <c r="EJ24930"/>
      <c r="EK24930"/>
    </row>
    <row r="24931" spans="1:141" s="116" customFormat="1">
      <c r="A24931" s="136"/>
      <c r="CM24931" s="111"/>
      <c r="CQ24931" s="111"/>
      <c r="EF24931"/>
      <c r="EG24931"/>
      <c r="EH24931"/>
      <c r="EI24931"/>
      <c r="EJ24931"/>
      <c r="EK24931"/>
    </row>
    <row r="24932" spans="1:141" s="116" customFormat="1">
      <c r="A24932" s="136"/>
      <c r="CM24932" s="111"/>
      <c r="CQ24932" s="111"/>
      <c r="EF24932"/>
      <c r="EG24932"/>
      <c r="EH24932"/>
      <c r="EI24932"/>
      <c r="EJ24932"/>
      <c r="EK24932"/>
    </row>
    <row r="24933" spans="1:141" s="116" customFormat="1">
      <c r="A24933" s="136"/>
      <c r="CM24933" s="111"/>
      <c r="CQ24933" s="111"/>
      <c r="EF24933"/>
      <c r="EG24933"/>
      <c r="EH24933"/>
      <c r="EI24933"/>
      <c r="EJ24933"/>
      <c r="EK24933"/>
    </row>
    <row r="24934" spans="1:141" s="116" customFormat="1">
      <c r="A24934" s="136"/>
      <c r="CM24934" s="111"/>
      <c r="CQ24934" s="111"/>
      <c r="EF24934"/>
      <c r="EG24934"/>
      <c r="EH24934"/>
      <c r="EI24934"/>
      <c r="EJ24934"/>
      <c r="EK24934"/>
    </row>
    <row r="24935" spans="1:141" s="116" customFormat="1">
      <c r="A24935" s="136"/>
      <c r="CM24935" s="111"/>
      <c r="CQ24935" s="111"/>
      <c r="EF24935"/>
      <c r="EG24935"/>
      <c r="EH24935"/>
      <c r="EI24935"/>
      <c r="EJ24935"/>
      <c r="EK24935"/>
    </row>
    <row r="24936" spans="1:141" s="116" customFormat="1">
      <c r="A24936" s="136"/>
      <c r="CM24936" s="111"/>
      <c r="CQ24936" s="111"/>
      <c r="EF24936"/>
      <c r="EG24936"/>
      <c r="EH24936"/>
      <c r="EI24936"/>
      <c r="EJ24936"/>
      <c r="EK24936"/>
    </row>
    <row r="24937" spans="1:141" s="116" customFormat="1">
      <c r="A24937" s="136"/>
      <c r="CM24937" s="111"/>
      <c r="CQ24937" s="111"/>
      <c r="EF24937"/>
      <c r="EG24937"/>
      <c r="EH24937"/>
      <c r="EI24937"/>
      <c r="EJ24937"/>
      <c r="EK24937"/>
    </row>
    <row r="24938" spans="1:141" s="116" customFormat="1">
      <c r="A24938" s="136"/>
      <c r="CM24938" s="111"/>
      <c r="CQ24938" s="111"/>
      <c r="EF24938"/>
      <c r="EG24938"/>
      <c r="EH24938"/>
      <c r="EI24938"/>
      <c r="EJ24938"/>
      <c r="EK24938"/>
    </row>
    <row r="24939" spans="1:141" s="116" customFormat="1">
      <c r="A24939" s="136"/>
      <c r="CM24939" s="111"/>
      <c r="CQ24939" s="111"/>
      <c r="EF24939"/>
      <c r="EG24939"/>
      <c r="EH24939"/>
      <c r="EI24939"/>
      <c r="EJ24939"/>
      <c r="EK24939"/>
    </row>
    <row r="24940" spans="1:141" s="116" customFormat="1">
      <c r="A24940" s="136"/>
      <c r="CM24940" s="111"/>
      <c r="CQ24940" s="111"/>
      <c r="EF24940"/>
      <c r="EG24940"/>
      <c r="EH24940"/>
      <c r="EI24940"/>
      <c r="EJ24940"/>
      <c r="EK24940"/>
    </row>
    <row r="24941" spans="1:141" s="116" customFormat="1">
      <c r="A24941" s="136"/>
      <c r="CM24941" s="111"/>
      <c r="CQ24941" s="111"/>
      <c r="EF24941"/>
      <c r="EG24941"/>
      <c r="EH24941"/>
      <c r="EI24941"/>
      <c r="EJ24941"/>
      <c r="EK24941"/>
    </row>
    <row r="24942" spans="1:141" s="116" customFormat="1">
      <c r="A24942" s="136"/>
      <c r="CM24942" s="111"/>
      <c r="CQ24942" s="111"/>
      <c r="EF24942"/>
      <c r="EG24942"/>
      <c r="EH24942"/>
      <c r="EI24942"/>
      <c r="EJ24942"/>
      <c r="EK24942"/>
    </row>
    <row r="24943" spans="1:141" s="116" customFormat="1">
      <c r="A24943" s="136"/>
      <c r="CM24943" s="111"/>
      <c r="CQ24943" s="111"/>
      <c r="EF24943"/>
      <c r="EG24943"/>
      <c r="EH24943"/>
      <c r="EI24943"/>
      <c r="EJ24943"/>
      <c r="EK24943"/>
    </row>
    <row r="24944" spans="1:141" s="116" customFormat="1">
      <c r="A24944" s="136"/>
      <c r="CM24944" s="111"/>
      <c r="CQ24944" s="111"/>
      <c r="EF24944"/>
      <c r="EG24944"/>
      <c r="EH24944"/>
      <c r="EI24944"/>
      <c r="EJ24944"/>
      <c r="EK24944"/>
    </row>
    <row r="24945" spans="1:141" s="116" customFormat="1">
      <c r="A24945" s="136"/>
      <c r="CM24945" s="111"/>
      <c r="CQ24945" s="111"/>
      <c r="EF24945"/>
      <c r="EG24945"/>
      <c r="EH24945"/>
      <c r="EI24945"/>
      <c r="EJ24945"/>
      <c r="EK24945"/>
    </row>
    <row r="24946" spans="1:141" s="116" customFormat="1">
      <c r="A24946" s="136"/>
      <c r="CM24946" s="111"/>
      <c r="CQ24946" s="111"/>
      <c r="EF24946"/>
      <c r="EG24946"/>
      <c r="EH24946"/>
      <c r="EI24946"/>
      <c r="EJ24946"/>
      <c r="EK24946"/>
    </row>
    <row r="24947" spans="1:141" s="116" customFormat="1">
      <c r="A24947" s="136"/>
      <c r="CM24947" s="111"/>
      <c r="CQ24947" s="111"/>
      <c r="EF24947"/>
      <c r="EG24947"/>
      <c r="EH24947"/>
      <c r="EI24947"/>
      <c r="EJ24947"/>
      <c r="EK24947"/>
    </row>
    <row r="24948" spans="1:141" s="116" customFormat="1">
      <c r="A24948" s="136"/>
      <c r="CM24948" s="111"/>
      <c r="CQ24948" s="111"/>
      <c r="EF24948"/>
      <c r="EG24948"/>
      <c r="EH24948"/>
      <c r="EI24948"/>
      <c r="EJ24948"/>
      <c r="EK24948"/>
    </row>
    <row r="24949" spans="1:141" s="116" customFormat="1">
      <c r="A24949" s="136"/>
      <c r="CM24949" s="111"/>
      <c r="CQ24949" s="111"/>
      <c r="EF24949"/>
      <c r="EG24949"/>
      <c r="EH24949"/>
      <c r="EI24949"/>
      <c r="EJ24949"/>
      <c r="EK24949"/>
    </row>
    <row r="24950" spans="1:141" s="116" customFormat="1">
      <c r="A24950" s="136"/>
      <c r="CM24950" s="111"/>
      <c r="CQ24950" s="111"/>
      <c r="EF24950"/>
      <c r="EG24950"/>
      <c r="EH24950"/>
      <c r="EI24950"/>
      <c r="EJ24950"/>
      <c r="EK24950"/>
    </row>
    <row r="24951" spans="1:141" s="116" customFormat="1">
      <c r="A24951" s="136"/>
      <c r="CM24951" s="111"/>
      <c r="CQ24951" s="111"/>
      <c r="EF24951"/>
      <c r="EG24951"/>
      <c r="EH24951"/>
      <c r="EI24951"/>
      <c r="EJ24951"/>
      <c r="EK24951"/>
    </row>
    <row r="24952" spans="1:141" s="116" customFormat="1">
      <c r="A24952" s="136"/>
      <c r="CM24952" s="111"/>
      <c r="CQ24952" s="111"/>
      <c r="EF24952"/>
      <c r="EG24952"/>
      <c r="EH24952"/>
      <c r="EI24952"/>
      <c r="EJ24952"/>
      <c r="EK24952"/>
    </row>
    <row r="24953" spans="1:141" s="116" customFormat="1">
      <c r="A24953" s="136"/>
      <c r="CM24953" s="111"/>
      <c r="CQ24953" s="111"/>
      <c r="EF24953"/>
      <c r="EG24953"/>
      <c r="EH24953"/>
      <c r="EI24953"/>
      <c r="EJ24953"/>
      <c r="EK24953"/>
    </row>
    <row r="24954" spans="1:141" s="116" customFormat="1">
      <c r="A24954" s="136"/>
      <c r="CM24954" s="111"/>
      <c r="CQ24954" s="111"/>
      <c r="EF24954"/>
      <c r="EG24954"/>
      <c r="EH24954"/>
      <c r="EI24954"/>
      <c r="EJ24954"/>
      <c r="EK24954"/>
    </row>
    <row r="24955" spans="1:141" s="116" customFormat="1">
      <c r="A24955" s="136"/>
      <c r="CM24955" s="111"/>
      <c r="CQ24955" s="111"/>
      <c r="EF24955"/>
      <c r="EG24955"/>
      <c r="EH24955"/>
      <c r="EI24955"/>
      <c r="EJ24955"/>
      <c r="EK24955"/>
    </row>
    <row r="24956" spans="1:141" s="116" customFormat="1">
      <c r="A24956" s="136"/>
      <c r="CM24956" s="111"/>
      <c r="CQ24956" s="111"/>
      <c r="EF24956"/>
      <c r="EG24956"/>
      <c r="EH24956"/>
      <c r="EI24956"/>
      <c r="EJ24956"/>
      <c r="EK24956"/>
    </row>
    <row r="24957" spans="1:141" s="116" customFormat="1">
      <c r="A24957" s="136"/>
      <c r="CM24957" s="111"/>
      <c r="CQ24957" s="111"/>
      <c r="EF24957"/>
      <c r="EG24957"/>
      <c r="EH24957"/>
      <c r="EI24957"/>
      <c r="EJ24957"/>
      <c r="EK24957"/>
    </row>
    <row r="24958" spans="1:141" s="116" customFormat="1">
      <c r="A24958" s="136"/>
      <c r="CM24958" s="111"/>
      <c r="CQ24958" s="111"/>
      <c r="EF24958"/>
      <c r="EG24958"/>
      <c r="EH24958"/>
      <c r="EI24958"/>
      <c r="EJ24958"/>
      <c r="EK24958"/>
    </row>
    <row r="24959" spans="1:141" s="116" customFormat="1">
      <c r="A24959" s="136"/>
      <c r="CM24959" s="111"/>
      <c r="CQ24959" s="111"/>
      <c r="EF24959"/>
      <c r="EG24959"/>
      <c r="EH24959"/>
      <c r="EI24959"/>
      <c r="EJ24959"/>
      <c r="EK24959"/>
    </row>
    <row r="24960" spans="1:141" s="116" customFormat="1">
      <c r="A24960" s="136"/>
      <c r="CM24960" s="111"/>
      <c r="CQ24960" s="111"/>
      <c r="EF24960"/>
      <c r="EG24960"/>
      <c r="EH24960"/>
      <c r="EI24960"/>
      <c r="EJ24960"/>
      <c r="EK24960"/>
    </row>
    <row r="24961" spans="1:141" s="116" customFormat="1">
      <c r="A24961" s="136"/>
      <c r="CM24961" s="111"/>
      <c r="CQ24961" s="111"/>
      <c r="EF24961"/>
      <c r="EG24961"/>
      <c r="EH24961"/>
      <c r="EI24961"/>
      <c r="EJ24961"/>
      <c r="EK24961"/>
    </row>
    <row r="24962" spans="1:141" s="116" customFormat="1">
      <c r="A24962" s="136"/>
      <c r="CM24962" s="111"/>
      <c r="CQ24962" s="111"/>
      <c r="EF24962"/>
      <c r="EG24962"/>
      <c r="EH24962"/>
      <c r="EI24962"/>
      <c r="EJ24962"/>
      <c r="EK24962"/>
    </row>
    <row r="24963" spans="1:141" s="116" customFormat="1">
      <c r="A24963" s="136"/>
      <c r="CM24963" s="111"/>
      <c r="CQ24963" s="111"/>
      <c r="EF24963"/>
      <c r="EG24963"/>
      <c r="EH24963"/>
      <c r="EI24963"/>
      <c r="EJ24963"/>
      <c r="EK24963"/>
    </row>
    <row r="24964" spans="1:141" s="116" customFormat="1">
      <c r="A24964" s="136"/>
      <c r="CM24964" s="111"/>
      <c r="CQ24964" s="111"/>
      <c r="EF24964"/>
      <c r="EG24964"/>
      <c r="EH24964"/>
      <c r="EI24964"/>
      <c r="EJ24964"/>
      <c r="EK24964"/>
    </row>
    <row r="24965" spans="1:141" s="116" customFormat="1">
      <c r="A24965" s="136"/>
      <c r="CM24965" s="111"/>
      <c r="CQ24965" s="111"/>
      <c r="EF24965"/>
      <c r="EG24965"/>
      <c r="EH24965"/>
      <c r="EI24965"/>
      <c r="EJ24965"/>
      <c r="EK24965"/>
    </row>
    <row r="24966" spans="1:141" s="116" customFormat="1">
      <c r="A24966" s="136"/>
      <c r="CM24966" s="111"/>
      <c r="CQ24966" s="111"/>
      <c r="EF24966"/>
      <c r="EG24966"/>
      <c r="EH24966"/>
      <c r="EI24966"/>
      <c r="EJ24966"/>
      <c r="EK24966"/>
    </row>
    <row r="24967" spans="1:141" s="116" customFormat="1">
      <c r="A24967" s="136"/>
      <c r="CM24967" s="111"/>
      <c r="CQ24967" s="111"/>
      <c r="EF24967"/>
      <c r="EG24967"/>
      <c r="EH24967"/>
      <c r="EI24967"/>
      <c r="EJ24967"/>
      <c r="EK24967"/>
    </row>
    <row r="24968" spans="1:141" s="116" customFormat="1">
      <c r="A24968" s="136"/>
      <c r="CM24968" s="111"/>
      <c r="CQ24968" s="111"/>
      <c r="EF24968"/>
      <c r="EG24968"/>
      <c r="EH24968"/>
      <c r="EI24968"/>
      <c r="EJ24968"/>
      <c r="EK24968"/>
    </row>
    <row r="24969" spans="1:141" s="116" customFormat="1">
      <c r="A24969" s="136"/>
      <c r="CM24969" s="111"/>
      <c r="CQ24969" s="111"/>
      <c r="EF24969"/>
      <c r="EG24969"/>
      <c r="EH24969"/>
      <c r="EI24969"/>
      <c r="EJ24969"/>
      <c r="EK24969"/>
    </row>
    <row r="24970" spans="1:141" s="116" customFormat="1">
      <c r="A24970" s="136"/>
      <c r="CM24970" s="111"/>
      <c r="CQ24970" s="111"/>
      <c r="EF24970"/>
      <c r="EG24970"/>
      <c r="EH24970"/>
      <c r="EI24970"/>
      <c r="EJ24970"/>
      <c r="EK24970"/>
    </row>
    <row r="24971" spans="1:141" s="116" customFormat="1">
      <c r="A24971" s="136"/>
      <c r="CM24971" s="111"/>
      <c r="CQ24971" s="111"/>
      <c r="EF24971"/>
      <c r="EG24971"/>
      <c r="EH24971"/>
      <c r="EI24971"/>
      <c r="EJ24971"/>
      <c r="EK24971"/>
    </row>
    <row r="24972" spans="1:141" s="116" customFormat="1">
      <c r="A24972" s="136"/>
      <c r="CM24972" s="111"/>
      <c r="CQ24972" s="111"/>
      <c r="EF24972"/>
      <c r="EG24972"/>
      <c r="EH24972"/>
      <c r="EI24972"/>
      <c r="EJ24972"/>
      <c r="EK24972"/>
    </row>
    <row r="24973" spans="1:141" s="116" customFormat="1">
      <c r="A24973" s="136"/>
      <c r="CM24973" s="111"/>
      <c r="CQ24973" s="111"/>
      <c r="EF24973"/>
      <c r="EG24973"/>
      <c r="EH24973"/>
      <c r="EI24973"/>
      <c r="EJ24973"/>
      <c r="EK24973"/>
    </row>
    <row r="24974" spans="1:141" s="116" customFormat="1">
      <c r="A24974" s="136"/>
      <c r="CM24974" s="111"/>
      <c r="CQ24974" s="111"/>
      <c r="EF24974"/>
      <c r="EG24974"/>
      <c r="EH24974"/>
      <c r="EI24974"/>
      <c r="EJ24974"/>
      <c r="EK24974"/>
    </row>
    <row r="24975" spans="1:141" s="116" customFormat="1">
      <c r="A24975" s="136"/>
      <c r="CM24975" s="111"/>
      <c r="CQ24975" s="111"/>
      <c r="EF24975"/>
      <c r="EG24975"/>
      <c r="EH24975"/>
      <c r="EI24975"/>
      <c r="EJ24975"/>
      <c r="EK24975"/>
    </row>
    <row r="24976" spans="1:141" s="116" customFormat="1">
      <c r="A24976" s="136"/>
      <c r="CM24976" s="111"/>
      <c r="CQ24976" s="111"/>
      <c r="EF24976"/>
      <c r="EG24976"/>
      <c r="EH24976"/>
      <c r="EI24976"/>
      <c r="EJ24976"/>
      <c r="EK24976"/>
    </row>
    <row r="24977" spans="1:141" s="116" customFormat="1">
      <c r="A24977" s="136"/>
      <c r="CM24977" s="111"/>
      <c r="CQ24977" s="111"/>
      <c r="EF24977"/>
      <c r="EG24977"/>
      <c r="EH24977"/>
      <c r="EI24977"/>
      <c r="EJ24977"/>
      <c r="EK24977"/>
    </row>
    <row r="24978" spans="1:141" s="116" customFormat="1">
      <c r="A24978" s="136"/>
      <c r="CM24978" s="111"/>
      <c r="CQ24978" s="111"/>
      <c r="EF24978"/>
      <c r="EG24978"/>
      <c r="EH24978"/>
      <c r="EI24978"/>
      <c r="EJ24978"/>
      <c r="EK24978"/>
    </row>
    <row r="24979" spans="1:141" s="116" customFormat="1">
      <c r="A24979" s="136"/>
      <c r="CM24979" s="111"/>
      <c r="CQ24979" s="111"/>
      <c r="EF24979"/>
      <c r="EG24979"/>
      <c r="EH24979"/>
      <c r="EI24979"/>
      <c r="EJ24979"/>
      <c r="EK24979"/>
    </row>
    <row r="24980" spans="1:141" s="116" customFormat="1">
      <c r="A24980" s="136"/>
      <c r="CM24980" s="111"/>
      <c r="CQ24980" s="111"/>
      <c r="EF24980"/>
      <c r="EG24980"/>
      <c r="EH24980"/>
      <c r="EI24980"/>
      <c r="EJ24980"/>
      <c r="EK24980"/>
    </row>
    <row r="24981" spans="1:141" s="116" customFormat="1">
      <c r="A24981" s="136"/>
      <c r="CM24981" s="111"/>
      <c r="CQ24981" s="111"/>
      <c r="EF24981"/>
      <c r="EG24981"/>
      <c r="EH24981"/>
      <c r="EI24981"/>
      <c r="EJ24981"/>
      <c r="EK24981"/>
    </row>
    <row r="24982" spans="1:141" s="116" customFormat="1">
      <c r="A24982" s="136"/>
      <c r="CM24982" s="111"/>
      <c r="CQ24982" s="111"/>
      <c r="EF24982"/>
      <c r="EG24982"/>
      <c r="EH24982"/>
      <c r="EI24982"/>
      <c r="EJ24982"/>
      <c r="EK24982"/>
    </row>
    <row r="24983" spans="1:141" s="116" customFormat="1">
      <c r="A24983" s="136"/>
      <c r="CM24983" s="111"/>
      <c r="CQ24983" s="111"/>
      <c r="EF24983"/>
      <c r="EG24983"/>
      <c r="EH24983"/>
      <c r="EI24983"/>
      <c r="EJ24983"/>
      <c r="EK24983"/>
    </row>
    <row r="24984" spans="1:141" s="116" customFormat="1">
      <c r="A24984" s="136"/>
      <c r="CM24984" s="111"/>
      <c r="CQ24984" s="111"/>
      <c r="EF24984"/>
      <c r="EG24984"/>
      <c r="EH24984"/>
      <c r="EI24984"/>
      <c r="EJ24984"/>
      <c r="EK24984"/>
    </row>
    <row r="24985" spans="1:141" s="116" customFormat="1">
      <c r="A24985" s="136"/>
      <c r="CM24985" s="111"/>
      <c r="CQ24985" s="111"/>
      <c r="EF24985"/>
      <c r="EG24985"/>
      <c r="EH24985"/>
      <c r="EI24985"/>
      <c r="EJ24985"/>
      <c r="EK24985"/>
    </row>
    <row r="24986" spans="1:141" s="116" customFormat="1">
      <c r="A24986" s="136"/>
      <c r="CM24986" s="111"/>
      <c r="CQ24986" s="111"/>
      <c r="EF24986"/>
      <c r="EG24986"/>
      <c r="EH24986"/>
      <c r="EI24986"/>
      <c r="EJ24986"/>
      <c r="EK24986"/>
    </row>
    <row r="24987" spans="1:141" s="116" customFormat="1">
      <c r="A24987" s="136"/>
      <c r="CM24987" s="111"/>
      <c r="CQ24987" s="111"/>
      <c r="EF24987"/>
      <c r="EG24987"/>
      <c r="EH24987"/>
      <c r="EI24987"/>
      <c r="EJ24987"/>
      <c r="EK24987"/>
    </row>
    <row r="24988" spans="1:141" s="116" customFormat="1">
      <c r="A24988" s="136"/>
      <c r="CM24988" s="111"/>
      <c r="CQ24988" s="111"/>
      <c r="EF24988"/>
      <c r="EG24988"/>
      <c r="EH24988"/>
      <c r="EI24988"/>
      <c r="EJ24988"/>
      <c r="EK24988"/>
    </row>
    <row r="24989" spans="1:141" s="116" customFormat="1">
      <c r="A24989" s="136"/>
      <c r="CM24989" s="111"/>
      <c r="CQ24989" s="111"/>
      <c r="EF24989"/>
      <c r="EG24989"/>
      <c r="EH24989"/>
      <c r="EI24989"/>
      <c r="EJ24989"/>
      <c r="EK24989"/>
    </row>
    <row r="24990" spans="1:141" s="116" customFormat="1">
      <c r="A24990" s="136"/>
      <c r="CM24990" s="111"/>
      <c r="CQ24990" s="111"/>
      <c r="EF24990"/>
      <c r="EG24990"/>
      <c r="EH24990"/>
      <c r="EI24990"/>
      <c r="EJ24990"/>
      <c r="EK24990"/>
    </row>
    <row r="24991" spans="1:141" s="116" customFormat="1">
      <c r="A24991" s="136"/>
      <c r="CM24991" s="111"/>
      <c r="CQ24991" s="111"/>
      <c r="EF24991"/>
      <c r="EG24991"/>
      <c r="EH24991"/>
      <c r="EI24991"/>
      <c r="EJ24991"/>
      <c r="EK24991"/>
    </row>
    <row r="24992" spans="1:141" s="116" customFormat="1">
      <c r="A24992" s="136"/>
      <c r="CM24992" s="111"/>
      <c r="CQ24992" s="111"/>
      <c r="EF24992"/>
      <c r="EG24992"/>
      <c r="EH24992"/>
      <c r="EI24992"/>
      <c r="EJ24992"/>
      <c r="EK24992"/>
    </row>
    <row r="24993" spans="1:141" s="116" customFormat="1">
      <c r="A24993" s="136"/>
      <c r="CM24993" s="111"/>
      <c r="CQ24993" s="111"/>
      <c r="EF24993"/>
      <c r="EG24993"/>
      <c r="EH24993"/>
      <c r="EI24993"/>
      <c r="EJ24993"/>
      <c r="EK24993"/>
    </row>
    <row r="24994" spans="1:141" s="116" customFormat="1">
      <c r="A24994" s="136"/>
      <c r="CM24994" s="111"/>
      <c r="CQ24994" s="111"/>
      <c r="EF24994"/>
      <c r="EG24994"/>
      <c r="EH24994"/>
      <c r="EI24994"/>
      <c r="EJ24994"/>
      <c r="EK24994"/>
    </row>
    <row r="24995" spans="1:141" s="116" customFormat="1">
      <c r="A24995" s="136"/>
      <c r="CM24995" s="111"/>
      <c r="CQ24995" s="111"/>
      <c r="EF24995"/>
      <c r="EG24995"/>
      <c r="EH24995"/>
      <c r="EI24995"/>
      <c r="EJ24995"/>
      <c r="EK24995"/>
    </row>
    <row r="24996" spans="1:141" s="116" customFormat="1">
      <c r="A24996" s="136"/>
      <c r="CM24996" s="111"/>
      <c r="CQ24996" s="111"/>
      <c r="EF24996"/>
      <c r="EG24996"/>
      <c r="EH24996"/>
      <c r="EI24996"/>
      <c r="EJ24996"/>
      <c r="EK24996"/>
    </row>
    <row r="24997" spans="1:141" s="116" customFormat="1">
      <c r="A24997" s="136"/>
      <c r="CM24997" s="111"/>
      <c r="CQ24997" s="111"/>
      <c r="EF24997"/>
      <c r="EG24997"/>
      <c r="EH24997"/>
      <c r="EI24997"/>
      <c r="EJ24997"/>
      <c r="EK24997"/>
    </row>
    <row r="24998" spans="1:141" s="116" customFormat="1">
      <c r="A24998" s="136"/>
      <c r="CM24998" s="111"/>
      <c r="CQ24998" s="111"/>
      <c r="EF24998"/>
      <c r="EG24998"/>
      <c r="EH24998"/>
      <c r="EI24998"/>
      <c r="EJ24998"/>
      <c r="EK24998"/>
    </row>
    <row r="24999" spans="1:141" s="116" customFormat="1">
      <c r="A24999" s="136"/>
      <c r="CM24999" s="111"/>
      <c r="CQ24999" s="111"/>
      <c r="EF24999"/>
      <c r="EG24999"/>
      <c r="EH24999"/>
      <c r="EI24999"/>
      <c r="EJ24999"/>
      <c r="EK24999"/>
    </row>
    <row r="25000" spans="1:141" s="116" customFormat="1">
      <c r="A25000" s="136"/>
      <c r="CM25000" s="111"/>
      <c r="CQ25000" s="111"/>
      <c r="EF25000"/>
      <c r="EG25000"/>
      <c r="EH25000"/>
      <c r="EI25000"/>
      <c r="EJ25000"/>
      <c r="EK25000"/>
    </row>
    <row r="25001" spans="1:141" s="116" customFormat="1">
      <c r="A25001" s="136"/>
      <c r="CM25001" s="111"/>
      <c r="CQ25001" s="111"/>
      <c r="EF25001"/>
      <c r="EG25001"/>
      <c r="EH25001"/>
      <c r="EI25001"/>
      <c r="EJ25001"/>
      <c r="EK25001"/>
    </row>
    <row r="25002" spans="1:141" s="116" customFormat="1">
      <c r="A25002" s="136"/>
      <c r="CM25002" s="111"/>
      <c r="CQ25002" s="111"/>
      <c r="EF25002"/>
      <c r="EG25002"/>
      <c r="EH25002"/>
      <c r="EI25002"/>
      <c r="EJ25002"/>
      <c r="EK25002"/>
    </row>
    <row r="25003" spans="1:141" s="116" customFormat="1">
      <c r="A25003" s="136"/>
      <c r="CM25003" s="111"/>
      <c r="CQ25003" s="111"/>
      <c r="EF25003"/>
      <c r="EG25003"/>
      <c r="EH25003"/>
      <c r="EI25003"/>
      <c r="EJ25003"/>
      <c r="EK25003"/>
    </row>
    <row r="25004" spans="1:141" s="116" customFormat="1">
      <c r="A25004" s="136"/>
      <c r="CM25004" s="111"/>
      <c r="CQ25004" s="111"/>
      <c r="EF25004"/>
      <c r="EG25004"/>
      <c r="EH25004"/>
      <c r="EI25004"/>
      <c r="EJ25004"/>
      <c r="EK25004"/>
    </row>
    <row r="25005" spans="1:141" s="116" customFormat="1">
      <c r="A25005" s="136"/>
      <c r="CM25005" s="111"/>
      <c r="CQ25005" s="111"/>
      <c r="EF25005"/>
      <c r="EG25005"/>
      <c r="EH25005"/>
      <c r="EI25005"/>
      <c r="EJ25005"/>
      <c r="EK25005"/>
    </row>
    <row r="25006" spans="1:141" s="116" customFormat="1">
      <c r="A25006" s="136"/>
      <c r="CM25006" s="111"/>
      <c r="CQ25006" s="111"/>
      <c r="EF25006"/>
      <c r="EG25006"/>
      <c r="EH25006"/>
      <c r="EI25006"/>
      <c r="EJ25006"/>
      <c r="EK25006"/>
    </row>
    <row r="25007" spans="1:141" s="116" customFormat="1">
      <c r="A25007" s="136"/>
      <c r="CM25007" s="111"/>
      <c r="CQ25007" s="111"/>
      <c r="EF25007"/>
      <c r="EG25007"/>
      <c r="EH25007"/>
      <c r="EI25007"/>
      <c r="EJ25007"/>
      <c r="EK25007"/>
    </row>
    <row r="25008" spans="1:141" s="116" customFormat="1">
      <c r="A25008" s="136"/>
      <c r="CM25008" s="111"/>
      <c r="CQ25008" s="111"/>
      <c r="EF25008"/>
      <c r="EG25008"/>
      <c r="EH25008"/>
      <c r="EI25008"/>
      <c r="EJ25008"/>
      <c r="EK25008"/>
    </row>
    <row r="25009" spans="1:141" s="116" customFormat="1">
      <c r="A25009" s="136"/>
      <c r="CM25009" s="111"/>
      <c r="CQ25009" s="111"/>
      <c r="EF25009"/>
      <c r="EG25009"/>
      <c r="EH25009"/>
      <c r="EI25009"/>
      <c r="EJ25009"/>
      <c r="EK25009"/>
    </row>
    <row r="25010" spans="1:141" s="116" customFormat="1">
      <c r="A25010" s="136"/>
      <c r="CM25010" s="111"/>
      <c r="CQ25010" s="111"/>
      <c r="EF25010"/>
      <c r="EG25010"/>
      <c r="EH25010"/>
      <c r="EI25010"/>
      <c r="EJ25010"/>
      <c r="EK25010"/>
    </row>
    <row r="25011" spans="1:141" s="116" customFormat="1">
      <c r="A25011" s="136"/>
      <c r="CM25011" s="111"/>
      <c r="CQ25011" s="111"/>
      <c r="EF25011"/>
      <c r="EG25011"/>
      <c r="EH25011"/>
      <c r="EI25011"/>
      <c r="EJ25011"/>
      <c r="EK25011"/>
    </row>
    <row r="25012" spans="1:141" s="116" customFormat="1">
      <c r="A25012" s="136"/>
      <c r="CM25012" s="111"/>
      <c r="CQ25012" s="111"/>
      <c r="EF25012"/>
      <c r="EG25012"/>
      <c r="EH25012"/>
      <c r="EI25012"/>
      <c r="EJ25012"/>
      <c r="EK25012"/>
    </row>
    <row r="25013" spans="1:141" s="116" customFormat="1">
      <c r="A25013" s="136"/>
      <c r="CM25013" s="111"/>
      <c r="CQ25013" s="111"/>
      <c r="EF25013"/>
      <c r="EG25013"/>
      <c r="EH25013"/>
      <c r="EI25013"/>
      <c r="EJ25013"/>
      <c r="EK25013"/>
    </row>
    <row r="25014" spans="1:141" s="116" customFormat="1">
      <c r="A25014" s="136"/>
      <c r="CM25014" s="111"/>
      <c r="CQ25014" s="111"/>
      <c r="EF25014"/>
      <c r="EG25014"/>
      <c r="EH25014"/>
      <c r="EI25014"/>
      <c r="EJ25014"/>
      <c r="EK25014"/>
    </row>
    <row r="25015" spans="1:141" s="116" customFormat="1">
      <c r="A25015" s="136"/>
      <c r="CM25015" s="111"/>
      <c r="CQ25015" s="111"/>
      <c r="EF25015"/>
      <c r="EG25015"/>
      <c r="EH25015"/>
      <c r="EI25015"/>
      <c r="EJ25015"/>
      <c r="EK25015"/>
    </row>
    <row r="25016" spans="1:141" s="116" customFormat="1">
      <c r="A25016" s="136"/>
      <c r="CM25016" s="111"/>
      <c r="CQ25016" s="111"/>
      <c r="EF25016"/>
      <c r="EG25016"/>
      <c r="EH25016"/>
      <c r="EI25016"/>
      <c r="EJ25016"/>
      <c r="EK25016"/>
    </row>
    <row r="25017" spans="1:141" s="116" customFormat="1">
      <c r="A25017" s="136"/>
      <c r="CM25017" s="111"/>
      <c r="CQ25017" s="111"/>
      <c r="EF25017"/>
      <c r="EG25017"/>
      <c r="EH25017"/>
      <c r="EI25017"/>
      <c r="EJ25017"/>
      <c r="EK25017"/>
    </row>
    <row r="25018" spans="1:141" s="116" customFormat="1">
      <c r="A25018" s="136"/>
      <c r="CM25018" s="111"/>
      <c r="CQ25018" s="111"/>
      <c r="EF25018"/>
      <c r="EG25018"/>
      <c r="EH25018"/>
      <c r="EI25018"/>
      <c r="EJ25018"/>
      <c r="EK25018"/>
    </row>
    <row r="25019" spans="1:141" s="116" customFormat="1">
      <c r="A25019" s="136"/>
      <c r="CM25019" s="111"/>
      <c r="CQ25019" s="111"/>
      <c r="EF25019"/>
      <c r="EG25019"/>
      <c r="EH25019"/>
      <c r="EI25019"/>
      <c r="EJ25019"/>
      <c r="EK25019"/>
    </row>
    <row r="25020" spans="1:141" s="116" customFormat="1">
      <c r="A25020" s="136"/>
      <c r="CM25020" s="111"/>
      <c r="CQ25020" s="111"/>
      <c r="EF25020"/>
      <c r="EG25020"/>
      <c r="EH25020"/>
      <c r="EI25020"/>
      <c r="EJ25020"/>
      <c r="EK25020"/>
    </row>
    <row r="25021" spans="1:141" s="116" customFormat="1">
      <c r="A25021" s="136"/>
      <c r="CM25021" s="111"/>
      <c r="CQ25021" s="111"/>
      <c r="EF25021"/>
      <c r="EG25021"/>
      <c r="EH25021"/>
      <c r="EI25021"/>
      <c r="EJ25021"/>
      <c r="EK25021"/>
    </row>
    <row r="25022" spans="1:141" s="116" customFormat="1">
      <c r="A25022" s="136"/>
      <c r="CM25022" s="111"/>
      <c r="CQ25022" s="111"/>
      <c r="EF25022"/>
      <c r="EG25022"/>
      <c r="EH25022"/>
      <c r="EI25022"/>
      <c r="EJ25022"/>
      <c r="EK25022"/>
    </row>
    <row r="25023" spans="1:141" s="116" customFormat="1">
      <c r="A25023" s="136"/>
      <c r="CM25023" s="111"/>
      <c r="CQ25023" s="111"/>
      <c r="EF25023"/>
      <c r="EG25023"/>
      <c r="EH25023"/>
      <c r="EI25023"/>
      <c r="EJ25023"/>
      <c r="EK25023"/>
    </row>
    <row r="25024" spans="1:141" s="116" customFormat="1">
      <c r="A25024" s="136"/>
      <c r="CM25024" s="111"/>
      <c r="CQ25024" s="111"/>
      <c r="EF25024"/>
      <c r="EG25024"/>
      <c r="EH25024"/>
      <c r="EI25024"/>
      <c r="EJ25024"/>
      <c r="EK25024"/>
    </row>
    <row r="25025" spans="1:141" s="116" customFormat="1">
      <c r="A25025" s="136"/>
      <c r="CM25025" s="111"/>
      <c r="CQ25025" s="111"/>
      <c r="EF25025"/>
      <c r="EG25025"/>
      <c r="EH25025"/>
      <c r="EI25025"/>
      <c r="EJ25025"/>
      <c r="EK25025"/>
    </row>
    <row r="25026" spans="1:141" s="116" customFormat="1">
      <c r="A25026" s="136"/>
      <c r="CM25026" s="111"/>
      <c r="CQ25026" s="111"/>
      <c r="EF25026"/>
      <c r="EG25026"/>
      <c r="EH25026"/>
      <c r="EI25026"/>
      <c r="EJ25026"/>
      <c r="EK25026"/>
    </row>
    <row r="25027" spans="1:141" s="116" customFormat="1">
      <c r="A25027" s="136"/>
      <c r="CM25027" s="111"/>
      <c r="CQ25027" s="111"/>
      <c r="EF25027"/>
      <c r="EG25027"/>
      <c r="EH25027"/>
      <c r="EI25027"/>
      <c r="EJ25027"/>
      <c r="EK25027"/>
    </row>
    <row r="25028" spans="1:141" s="116" customFormat="1">
      <c r="A25028" s="136"/>
      <c r="CM25028" s="111"/>
      <c r="CQ25028" s="111"/>
      <c r="EF25028"/>
      <c r="EG25028"/>
      <c r="EH25028"/>
      <c r="EI25028"/>
      <c r="EJ25028"/>
      <c r="EK25028"/>
    </row>
    <row r="25029" spans="1:141" s="116" customFormat="1">
      <c r="A25029" s="136"/>
      <c r="CM25029" s="111"/>
      <c r="CQ25029" s="111"/>
      <c r="EF25029"/>
      <c r="EG25029"/>
      <c r="EH25029"/>
      <c r="EI25029"/>
      <c r="EJ25029"/>
      <c r="EK25029"/>
    </row>
    <row r="25030" spans="1:141" s="116" customFormat="1">
      <c r="A25030" s="136"/>
      <c r="CM25030" s="111"/>
      <c r="CQ25030" s="111"/>
      <c r="EF25030"/>
      <c r="EG25030"/>
      <c r="EH25030"/>
      <c r="EI25030"/>
      <c r="EJ25030"/>
      <c r="EK25030"/>
    </row>
    <row r="25031" spans="1:141" s="116" customFormat="1">
      <c r="A25031" s="136"/>
      <c r="CM25031" s="111"/>
      <c r="CQ25031" s="111"/>
      <c r="EF25031"/>
      <c r="EG25031"/>
      <c r="EH25031"/>
      <c r="EI25031"/>
      <c r="EJ25031"/>
      <c r="EK25031"/>
    </row>
    <row r="25032" spans="1:141" s="116" customFormat="1">
      <c r="A25032" s="136"/>
      <c r="CM25032" s="111"/>
      <c r="CQ25032" s="111"/>
      <c r="EF25032"/>
      <c r="EG25032"/>
      <c r="EH25032"/>
      <c r="EI25032"/>
      <c r="EJ25032"/>
      <c r="EK25032"/>
    </row>
    <row r="25033" spans="1:141" s="116" customFormat="1">
      <c r="A25033" s="136"/>
      <c r="CM25033" s="111"/>
      <c r="CQ25033" s="111"/>
      <c r="EF25033"/>
      <c r="EG25033"/>
      <c r="EH25033"/>
      <c r="EI25033"/>
      <c r="EJ25033"/>
      <c r="EK25033"/>
    </row>
    <row r="25034" spans="1:141" s="116" customFormat="1">
      <c r="A25034" s="136"/>
      <c r="CM25034" s="111"/>
      <c r="CQ25034" s="111"/>
      <c r="EF25034"/>
      <c r="EG25034"/>
      <c r="EH25034"/>
      <c r="EI25034"/>
      <c r="EJ25034"/>
      <c r="EK25034"/>
    </row>
    <row r="25035" spans="1:141" s="116" customFormat="1">
      <c r="A25035" s="136"/>
      <c r="CM25035" s="111"/>
      <c r="CQ25035" s="111"/>
      <c r="EF25035"/>
      <c r="EG25035"/>
      <c r="EH25035"/>
      <c r="EI25035"/>
      <c r="EJ25035"/>
      <c r="EK25035"/>
    </row>
    <row r="25036" spans="1:141" s="116" customFormat="1">
      <c r="A25036" s="136"/>
      <c r="CM25036" s="111"/>
      <c r="CQ25036" s="111"/>
      <c r="EF25036"/>
      <c r="EG25036"/>
      <c r="EH25036"/>
      <c r="EI25036"/>
      <c r="EJ25036"/>
      <c r="EK25036"/>
    </row>
    <row r="25037" spans="1:141" s="116" customFormat="1">
      <c r="A25037" s="136"/>
      <c r="CM25037" s="111"/>
      <c r="CQ25037" s="111"/>
      <c r="EF25037"/>
      <c r="EG25037"/>
      <c r="EH25037"/>
      <c r="EI25037"/>
      <c r="EJ25037"/>
      <c r="EK25037"/>
    </row>
    <row r="25038" spans="1:141" s="116" customFormat="1">
      <c r="A25038" s="136"/>
      <c r="CM25038" s="111"/>
      <c r="CQ25038" s="111"/>
      <c r="EF25038"/>
      <c r="EG25038"/>
      <c r="EH25038"/>
      <c r="EI25038"/>
      <c r="EJ25038"/>
      <c r="EK25038"/>
    </row>
    <row r="25039" spans="1:141" s="116" customFormat="1">
      <c r="A25039" s="136"/>
      <c r="CM25039" s="111"/>
      <c r="CQ25039" s="111"/>
      <c r="EF25039"/>
      <c r="EG25039"/>
      <c r="EH25039"/>
      <c r="EI25039"/>
      <c r="EJ25039"/>
      <c r="EK25039"/>
    </row>
    <row r="25040" spans="1:141" s="116" customFormat="1">
      <c r="A25040" s="136"/>
      <c r="CM25040" s="111"/>
      <c r="CQ25040" s="111"/>
      <c r="EF25040"/>
      <c r="EG25040"/>
      <c r="EH25040"/>
      <c r="EI25040"/>
      <c r="EJ25040"/>
      <c r="EK25040"/>
    </row>
    <row r="25041" spans="1:141" s="116" customFormat="1">
      <c r="A25041" s="136"/>
      <c r="CM25041" s="111"/>
      <c r="CQ25041" s="111"/>
      <c r="EF25041"/>
      <c r="EG25041"/>
      <c r="EH25041"/>
      <c r="EI25041"/>
      <c r="EJ25041"/>
      <c r="EK25041"/>
    </row>
    <row r="25042" spans="1:141" s="116" customFormat="1">
      <c r="A25042" s="136"/>
      <c r="CM25042" s="111"/>
      <c r="CQ25042" s="111"/>
      <c r="EF25042"/>
      <c r="EG25042"/>
      <c r="EH25042"/>
      <c r="EI25042"/>
      <c r="EJ25042"/>
      <c r="EK25042"/>
    </row>
    <row r="25043" spans="1:141" s="116" customFormat="1">
      <c r="A25043" s="136"/>
      <c r="CM25043" s="111"/>
      <c r="CQ25043" s="111"/>
      <c r="EF25043"/>
      <c r="EG25043"/>
      <c r="EH25043"/>
      <c r="EI25043"/>
      <c r="EJ25043"/>
      <c r="EK25043"/>
    </row>
    <row r="25044" spans="1:141" s="116" customFormat="1">
      <c r="A25044" s="136"/>
      <c r="CM25044" s="111"/>
      <c r="CQ25044" s="111"/>
      <c r="EF25044"/>
      <c r="EG25044"/>
      <c r="EH25044"/>
      <c r="EI25044"/>
      <c r="EJ25044"/>
      <c r="EK25044"/>
    </row>
    <row r="25045" spans="1:141" s="116" customFormat="1">
      <c r="A25045" s="136"/>
      <c r="CM25045" s="111"/>
      <c r="CQ25045" s="111"/>
      <c r="EF25045"/>
      <c r="EG25045"/>
      <c r="EH25045"/>
      <c r="EI25045"/>
      <c r="EJ25045"/>
      <c r="EK25045"/>
    </row>
    <row r="25046" spans="1:141" s="116" customFormat="1">
      <c r="A25046" s="136"/>
      <c r="CM25046" s="111"/>
      <c r="CQ25046" s="111"/>
      <c r="EF25046"/>
      <c r="EG25046"/>
      <c r="EH25046"/>
      <c r="EI25046"/>
      <c r="EJ25046"/>
      <c r="EK25046"/>
    </row>
    <row r="25047" spans="1:141" s="116" customFormat="1">
      <c r="A25047" s="136"/>
      <c r="CM25047" s="111"/>
      <c r="CQ25047" s="111"/>
      <c r="EF25047"/>
      <c r="EG25047"/>
      <c r="EH25047"/>
      <c r="EI25047"/>
      <c r="EJ25047"/>
      <c r="EK25047"/>
    </row>
    <row r="25048" spans="1:141" s="116" customFormat="1">
      <c r="A25048" s="136"/>
      <c r="CM25048" s="111"/>
      <c r="CQ25048" s="111"/>
      <c r="EF25048"/>
      <c r="EG25048"/>
      <c r="EH25048"/>
      <c r="EI25048"/>
      <c r="EJ25048"/>
      <c r="EK25048"/>
    </row>
    <row r="25049" spans="1:141" s="116" customFormat="1">
      <c r="A25049" s="136"/>
      <c r="CM25049" s="111"/>
      <c r="CQ25049" s="111"/>
      <c r="EF25049"/>
      <c r="EG25049"/>
      <c r="EH25049"/>
      <c r="EI25049"/>
      <c r="EJ25049"/>
      <c r="EK25049"/>
    </row>
    <row r="25050" spans="1:141" s="116" customFormat="1">
      <c r="A25050" s="136"/>
      <c r="CM25050" s="111"/>
      <c r="CQ25050" s="111"/>
      <c r="EF25050"/>
      <c r="EG25050"/>
      <c r="EH25050"/>
      <c r="EI25050"/>
      <c r="EJ25050"/>
      <c r="EK25050"/>
    </row>
    <row r="25051" spans="1:141" s="116" customFormat="1">
      <c r="A25051" s="136"/>
      <c r="CM25051" s="111"/>
      <c r="CQ25051" s="111"/>
      <c r="EF25051"/>
      <c r="EG25051"/>
      <c r="EH25051"/>
      <c r="EI25051"/>
      <c r="EJ25051"/>
      <c r="EK25051"/>
    </row>
    <row r="25052" spans="1:141" s="116" customFormat="1">
      <c r="A25052" s="136"/>
      <c r="CM25052" s="111"/>
      <c r="CQ25052" s="111"/>
      <c r="EF25052"/>
      <c r="EG25052"/>
      <c r="EH25052"/>
      <c r="EI25052"/>
      <c r="EJ25052"/>
      <c r="EK25052"/>
    </row>
    <row r="25053" spans="1:141" s="116" customFormat="1">
      <c r="A25053" s="136"/>
      <c r="CM25053" s="111"/>
      <c r="CQ25053" s="111"/>
      <c r="EF25053"/>
      <c r="EG25053"/>
      <c r="EH25053"/>
      <c r="EI25053"/>
      <c r="EJ25053"/>
      <c r="EK25053"/>
    </row>
    <row r="25054" spans="1:141" s="116" customFormat="1">
      <c r="A25054" s="136"/>
      <c r="CM25054" s="111"/>
      <c r="CQ25054" s="111"/>
      <c r="EF25054"/>
      <c r="EG25054"/>
      <c r="EH25054"/>
      <c r="EI25054"/>
      <c r="EJ25054"/>
      <c r="EK25054"/>
    </row>
    <row r="25055" spans="1:141" s="116" customFormat="1">
      <c r="A25055" s="136"/>
      <c r="CM25055" s="111"/>
      <c r="CQ25055" s="111"/>
      <c r="EF25055"/>
      <c r="EG25055"/>
      <c r="EH25055"/>
      <c r="EI25055"/>
      <c r="EJ25055"/>
      <c r="EK25055"/>
    </row>
    <row r="25056" spans="1:141" s="116" customFormat="1">
      <c r="A25056" s="136"/>
      <c r="CM25056" s="111"/>
      <c r="CQ25056" s="111"/>
      <c r="EF25056"/>
      <c r="EG25056"/>
      <c r="EH25056"/>
      <c r="EI25056"/>
      <c r="EJ25056"/>
      <c r="EK25056"/>
    </row>
    <row r="25057" spans="1:141" s="116" customFormat="1">
      <c r="A25057" s="136"/>
      <c r="CM25057" s="111"/>
      <c r="CQ25057" s="111"/>
      <c r="EF25057"/>
      <c r="EG25057"/>
      <c r="EH25057"/>
      <c r="EI25057"/>
      <c r="EJ25057"/>
      <c r="EK25057"/>
    </row>
    <row r="25058" spans="1:141" s="116" customFormat="1">
      <c r="A25058" s="136"/>
      <c r="CM25058" s="111"/>
      <c r="CQ25058" s="111"/>
      <c r="EF25058"/>
      <c r="EG25058"/>
      <c r="EH25058"/>
      <c r="EI25058"/>
      <c r="EJ25058"/>
      <c r="EK25058"/>
    </row>
    <row r="25059" spans="1:141" s="116" customFormat="1">
      <c r="A25059" s="136"/>
      <c r="CM25059" s="111"/>
      <c r="CQ25059" s="111"/>
      <c r="EF25059"/>
      <c r="EG25059"/>
      <c r="EH25059"/>
      <c r="EI25059"/>
      <c r="EJ25059"/>
      <c r="EK25059"/>
    </row>
    <row r="25060" spans="1:141" s="116" customFormat="1">
      <c r="A25060" s="136"/>
      <c r="CM25060" s="111"/>
      <c r="CQ25060" s="111"/>
      <c r="EF25060"/>
      <c r="EG25060"/>
      <c r="EH25060"/>
      <c r="EI25060"/>
      <c r="EJ25060"/>
      <c r="EK25060"/>
    </row>
    <row r="25061" spans="1:141" s="116" customFormat="1">
      <c r="A25061" s="136"/>
      <c r="CM25061" s="111"/>
      <c r="CQ25061" s="111"/>
      <c r="EF25061"/>
      <c r="EG25061"/>
      <c r="EH25061"/>
      <c r="EI25061"/>
      <c r="EJ25061"/>
      <c r="EK25061"/>
    </row>
    <row r="25062" spans="1:141" s="116" customFormat="1">
      <c r="A25062" s="136"/>
      <c r="CM25062" s="111"/>
      <c r="CQ25062" s="111"/>
      <c r="EF25062"/>
      <c r="EG25062"/>
      <c r="EH25062"/>
      <c r="EI25062"/>
      <c r="EJ25062"/>
      <c r="EK25062"/>
    </row>
    <row r="25063" spans="1:141" s="116" customFormat="1">
      <c r="A25063" s="136"/>
      <c r="CM25063" s="111"/>
      <c r="CQ25063" s="111"/>
      <c r="EF25063"/>
      <c r="EG25063"/>
      <c r="EH25063"/>
      <c r="EI25063"/>
      <c r="EJ25063"/>
      <c r="EK25063"/>
    </row>
    <row r="25064" spans="1:141" s="116" customFormat="1">
      <c r="A25064" s="136"/>
      <c r="CM25064" s="111"/>
      <c r="CQ25064" s="111"/>
      <c r="EF25064"/>
      <c r="EG25064"/>
      <c r="EH25064"/>
      <c r="EI25064"/>
      <c r="EJ25064"/>
      <c r="EK25064"/>
    </row>
    <row r="25065" spans="1:141" s="116" customFormat="1">
      <c r="A25065" s="136"/>
      <c r="CM25065" s="111"/>
      <c r="CQ25065" s="111"/>
      <c r="EF25065"/>
      <c r="EG25065"/>
      <c r="EH25065"/>
      <c r="EI25065"/>
      <c r="EJ25065"/>
      <c r="EK25065"/>
    </row>
    <row r="25066" spans="1:141" s="116" customFormat="1">
      <c r="A25066" s="136"/>
      <c r="CM25066" s="111"/>
      <c r="CQ25066" s="111"/>
      <c r="EF25066"/>
      <c r="EG25066"/>
      <c r="EH25066"/>
      <c r="EI25066"/>
      <c r="EJ25066"/>
      <c r="EK25066"/>
    </row>
    <row r="25067" spans="1:141" s="116" customFormat="1">
      <c r="A25067" s="136"/>
      <c r="CM25067" s="111"/>
      <c r="CQ25067" s="111"/>
      <c r="EF25067"/>
      <c r="EG25067"/>
      <c r="EH25067"/>
      <c r="EI25067"/>
      <c r="EJ25067"/>
      <c r="EK25067"/>
    </row>
    <row r="25068" spans="1:141" s="116" customFormat="1">
      <c r="A25068" s="136"/>
      <c r="CM25068" s="111"/>
      <c r="CQ25068" s="111"/>
      <c r="EF25068"/>
      <c r="EG25068"/>
      <c r="EH25068"/>
      <c r="EI25068"/>
      <c r="EJ25068"/>
      <c r="EK25068"/>
    </row>
    <row r="25069" spans="1:141" s="116" customFormat="1">
      <c r="A25069" s="136"/>
      <c r="CM25069" s="111"/>
      <c r="CQ25069" s="111"/>
      <c r="EF25069"/>
      <c r="EG25069"/>
      <c r="EH25069"/>
      <c r="EI25069"/>
      <c r="EJ25069"/>
      <c r="EK25069"/>
    </row>
    <row r="25070" spans="1:141" s="116" customFormat="1">
      <c r="A25070" s="136"/>
      <c r="CM25070" s="111"/>
      <c r="CQ25070" s="111"/>
      <c r="EF25070"/>
      <c r="EG25070"/>
      <c r="EH25070"/>
      <c r="EI25070"/>
      <c r="EJ25070"/>
      <c r="EK25070"/>
    </row>
    <row r="25071" spans="1:141" s="116" customFormat="1">
      <c r="A25071" s="136"/>
      <c r="CM25071" s="111"/>
      <c r="CQ25071" s="111"/>
      <c r="EF25071"/>
      <c r="EG25071"/>
      <c r="EH25071"/>
      <c r="EI25071"/>
      <c r="EJ25071"/>
      <c r="EK25071"/>
    </row>
    <row r="25072" spans="1:141" s="116" customFormat="1">
      <c r="A25072" s="136"/>
      <c r="CM25072" s="111"/>
      <c r="CQ25072" s="111"/>
      <c r="EF25072"/>
      <c r="EG25072"/>
      <c r="EH25072"/>
      <c r="EI25072"/>
      <c r="EJ25072"/>
      <c r="EK25072"/>
    </row>
    <row r="25073" spans="1:141" s="116" customFormat="1">
      <c r="A25073" s="136"/>
      <c r="CM25073" s="111"/>
      <c r="CQ25073" s="111"/>
      <c r="EF25073"/>
      <c r="EG25073"/>
      <c r="EH25073"/>
      <c r="EI25073"/>
      <c r="EJ25073"/>
      <c r="EK25073"/>
    </row>
    <row r="25074" spans="1:141" s="116" customFormat="1">
      <c r="A25074" s="136"/>
      <c r="CM25074" s="111"/>
      <c r="CQ25074" s="111"/>
      <c r="EF25074"/>
      <c r="EG25074"/>
      <c r="EH25074"/>
      <c r="EI25074"/>
      <c r="EJ25074"/>
      <c r="EK25074"/>
    </row>
    <row r="25075" spans="1:141" s="116" customFormat="1">
      <c r="A25075" s="136"/>
      <c r="CM25075" s="111"/>
      <c r="CQ25075" s="111"/>
      <c r="EF25075"/>
      <c r="EG25075"/>
      <c r="EH25075"/>
      <c r="EI25075"/>
      <c r="EJ25075"/>
      <c r="EK25075"/>
    </row>
    <row r="25076" spans="1:141" s="116" customFormat="1">
      <c r="A25076" s="136"/>
      <c r="CM25076" s="111"/>
      <c r="CQ25076" s="111"/>
      <c r="EF25076"/>
      <c r="EG25076"/>
      <c r="EH25076"/>
      <c r="EI25076"/>
      <c r="EJ25076"/>
      <c r="EK25076"/>
    </row>
    <row r="25077" spans="1:141" s="116" customFormat="1">
      <c r="A25077" s="136"/>
      <c r="CM25077" s="111"/>
      <c r="CQ25077" s="111"/>
      <c r="EF25077"/>
      <c r="EG25077"/>
      <c r="EH25077"/>
      <c r="EI25077"/>
      <c r="EJ25077"/>
      <c r="EK25077"/>
    </row>
    <row r="25078" spans="1:141" s="116" customFormat="1">
      <c r="A25078" s="136"/>
      <c r="CM25078" s="111"/>
      <c r="CQ25078" s="111"/>
      <c r="EF25078"/>
      <c r="EG25078"/>
      <c r="EH25078"/>
      <c r="EI25078"/>
      <c r="EJ25078"/>
      <c r="EK25078"/>
    </row>
    <row r="25079" spans="1:141" s="116" customFormat="1">
      <c r="A25079" s="136"/>
      <c r="CM25079" s="111"/>
      <c r="CQ25079" s="111"/>
      <c r="EF25079"/>
      <c r="EG25079"/>
      <c r="EH25079"/>
      <c r="EI25079"/>
      <c r="EJ25079"/>
      <c r="EK25079"/>
    </row>
    <row r="25080" spans="1:141" s="116" customFormat="1">
      <c r="A25080" s="136"/>
      <c r="CM25080" s="111"/>
      <c r="CQ25080" s="111"/>
      <c r="EF25080"/>
      <c r="EG25080"/>
      <c r="EH25080"/>
      <c r="EI25080"/>
      <c r="EJ25080"/>
      <c r="EK25080"/>
    </row>
    <row r="25081" spans="1:141" s="116" customFormat="1">
      <c r="A25081" s="136"/>
      <c r="CM25081" s="111"/>
      <c r="CQ25081" s="111"/>
      <c r="EF25081"/>
      <c r="EG25081"/>
      <c r="EH25081"/>
      <c r="EI25081"/>
      <c r="EJ25081"/>
      <c r="EK25081"/>
    </row>
    <row r="25082" spans="1:141" s="116" customFormat="1">
      <c r="A25082" s="136"/>
      <c r="CM25082" s="111"/>
      <c r="CQ25082" s="111"/>
      <c r="EF25082"/>
      <c r="EG25082"/>
      <c r="EH25082"/>
      <c r="EI25082"/>
      <c r="EJ25082"/>
      <c r="EK25082"/>
    </row>
    <row r="25083" spans="1:141" s="116" customFormat="1">
      <c r="A25083" s="136"/>
      <c r="CM25083" s="111"/>
      <c r="CQ25083" s="111"/>
      <c r="EF25083"/>
      <c r="EG25083"/>
      <c r="EH25083"/>
      <c r="EI25083"/>
      <c r="EJ25083"/>
      <c r="EK25083"/>
    </row>
    <row r="25084" spans="1:141" s="116" customFormat="1">
      <c r="A25084" s="136"/>
      <c r="CM25084" s="111"/>
      <c r="CQ25084" s="111"/>
      <c r="EF25084"/>
      <c r="EG25084"/>
      <c r="EH25084"/>
      <c r="EI25084"/>
      <c r="EJ25084"/>
      <c r="EK25084"/>
    </row>
    <row r="25085" spans="1:141" s="116" customFormat="1">
      <c r="A25085" s="136"/>
      <c r="CM25085" s="111"/>
      <c r="CQ25085" s="111"/>
      <c r="EF25085"/>
      <c r="EG25085"/>
      <c r="EH25085"/>
      <c r="EI25085"/>
      <c r="EJ25085"/>
      <c r="EK25085"/>
    </row>
    <row r="25086" spans="1:141" s="116" customFormat="1">
      <c r="A25086" s="136"/>
      <c r="CM25086" s="111"/>
      <c r="CQ25086" s="111"/>
      <c r="EF25086"/>
      <c r="EG25086"/>
      <c r="EH25086"/>
      <c r="EI25086"/>
      <c r="EJ25086"/>
      <c r="EK25086"/>
    </row>
    <row r="25087" spans="1:141" s="116" customFormat="1">
      <c r="A25087" s="136"/>
      <c r="CM25087" s="111"/>
      <c r="CQ25087" s="111"/>
      <c r="EF25087"/>
      <c r="EG25087"/>
      <c r="EH25087"/>
      <c r="EI25087"/>
      <c r="EJ25087"/>
      <c r="EK25087"/>
    </row>
    <row r="25088" spans="1:141" s="116" customFormat="1">
      <c r="A25088" s="136"/>
      <c r="CM25088" s="111"/>
      <c r="CQ25088" s="111"/>
      <c r="EF25088"/>
      <c r="EG25088"/>
      <c r="EH25088"/>
      <c r="EI25088"/>
      <c r="EJ25088"/>
      <c r="EK25088"/>
    </row>
    <row r="25089" spans="1:141" s="116" customFormat="1">
      <c r="A25089" s="136"/>
      <c r="CM25089" s="111"/>
      <c r="CQ25089" s="111"/>
      <c r="EF25089"/>
      <c r="EG25089"/>
      <c r="EH25089"/>
      <c r="EI25089"/>
      <c r="EJ25089"/>
      <c r="EK25089"/>
    </row>
    <row r="25090" spans="1:141" s="116" customFormat="1">
      <c r="A25090" s="136"/>
      <c r="CM25090" s="111"/>
      <c r="CQ25090" s="111"/>
      <c r="EF25090"/>
      <c r="EG25090"/>
      <c r="EH25090"/>
      <c r="EI25090"/>
      <c r="EJ25090"/>
      <c r="EK25090"/>
    </row>
    <row r="25091" spans="1:141" s="116" customFormat="1">
      <c r="A25091" s="136"/>
      <c r="CM25091" s="111"/>
      <c r="CQ25091" s="111"/>
      <c r="EF25091"/>
      <c r="EG25091"/>
      <c r="EH25091"/>
      <c r="EI25091"/>
      <c r="EJ25091"/>
      <c r="EK25091"/>
    </row>
    <row r="25092" spans="1:141" s="116" customFormat="1">
      <c r="A25092" s="136"/>
      <c r="CM25092" s="111"/>
      <c r="CQ25092" s="111"/>
      <c r="EF25092"/>
      <c r="EG25092"/>
      <c r="EH25092"/>
      <c r="EI25092"/>
      <c r="EJ25092"/>
      <c r="EK25092"/>
    </row>
    <row r="25093" spans="1:141" s="116" customFormat="1">
      <c r="A25093" s="136"/>
      <c r="CM25093" s="111"/>
      <c r="CQ25093" s="111"/>
      <c r="EF25093"/>
      <c r="EG25093"/>
      <c r="EH25093"/>
      <c r="EI25093"/>
      <c r="EJ25093"/>
      <c r="EK25093"/>
    </row>
    <row r="25094" spans="1:141" s="116" customFormat="1">
      <c r="A25094" s="136"/>
      <c r="CM25094" s="111"/>
      <c r="CQ25094" s="111"/>
      <c r="EF25094"/>
      <c r="EG25094"/>
      <c r="EH25094"/>
      <c r="EI25094"/>
      <c r="EJ25094"/>
      <c r="EK25094"/>
    </row>
    <row r="25095" spans="1:141" s="116" customFormat="1">
      <c r="A25095" s="136"/>
      <c r="CM25095" s="111"/>
      <c r="CQ25095" s="111"/>
      <c r="EF25095"/>
      <c r="EG25095"/>
      <c r="EH25095"/>
      <c r="EI25095"/>
      <c r="EJ25095"/>
      <c r="EK25095"/>
    </row>
    <row r="25096" spans="1:141" s="116" customFormat="1">
      <c r="A25096" s="136"/>
      <c r="CM25096" s="111"/>
      <c r="CQ25096" s="111"/>
      <c r="EF25096"/>
      <c r="EG25096"/>
      <c r="EH25096"/>
      <c r="EI25096"/>
      <c r="EJ25096"/>
      <c r="EK25096"/>
    </row>
    <row r="25097" spans="1:141" s="116" customFormat="1">
      <c r="A25097" s="136"/>
      <c r="CM25097" s="111"/>
      <c r="CQ25097" s="111"/>
      <c r="EF25097"/>
      <c r="EG25097"/>
      <c r="EH25097"/>
      <c r="EI25097"/>
      <c r="EJ25097"/>
      <c r="EK25097"/>
    </row>
    <row r="25098" spans="1:141" s="116" customFormat="1">
      <c r="A25098" s="136"/>
      <c r="CM25098" s="111"/>
      <c r="CQ25098" s="111"/>
      <c r="EF25098"/>
      <c r="EG25098"/>
      <c r="EH25098"/>
      <c r="EI25098"/>
      <c r="EJ25098"/>
      <c r="EK25098"/>
    </row>
    <row r="25099" spans="1:141" s="116" customFormat="1">
      <c r="A25099" s="136"/>
      <c r="CM25099" s="111"/>
      <c r="CQ25099" s="111"/>
      <c r="EF25099"/>
      <c r="EG25099"/>
      <c r="EH25099"/>
      <c r="EI25099"/>
      <c r="EJ25099"/>
      <c r="EK25099"/>
    </row>
    <row r="25100" spans="1:141" s="116" customFormat="1">
      <c r="A25100" s="136"/>
      <c r="CM25100" s="111"/>
      <c r="CQ25100" s="111"/>
      <c r="EF25100"/>
      <c r="EG25100"/>
      <c r="EH25100"/>
      <c r="EI25100"/>
      <c r="EJ25100"/>
      <c r="EK25100"/>
    </row>
    <row r="25101" spans="1:141" s="116" customFormat="1">
      <c r="A25101" s="136"/>
      <c r="CM25101" s="111"/>
      <c r="CQ25101" s="111"/>
      <c r="EF25101"/>
      <c r="EG25101"/>
      <c r="EH25101"/>
      <c r="EI25101"/>
      <c r="EJ25101"/>
      <c r="EK25101"/>
    </row>
    <row r="25102" spans="1:141" s="116" customFormat="1">
      <c r="A25102" s="136"/>
      <c r="CM25102" s="111"/>
      <c r="CQ25102" s="111"/>
      <c r="EF25102"/>
      <c r="EG25102"/>
      <c r="EH25102"/>
      <c r="EI25102"/>
      <c r="EJ25102"/>
      <c r="EK25102"/>
    </row>
    <row r="25103" spans="1:141" s="116" customFormat="1">
      <c r="A25103" s="136"/>
      <c r="CM25103" s="111"/>
      <c r="CQ25103" s="111"/>
      <c r="EF25103"/>
      <c r="EG25103"/>
      <c r="EH25103"/>
      <c r="EI25103"/>
      <c r="EJ25103"/>
      <c r="EK25103"/>
    </row>
    <row r="25104" spans="1:141" s="116" customFormat="1">
      <c r="A25104" s="136"/>
      <c r="CM25104" s="111"/>
      <c r="CQ25104" s="111"/>
      <c r="EF25104"/>
      <c r="EG25104"/>
      <c r="EH25104"/>
      <c r="EI25104"/>
      <c r="EJ25104"/>
      <c r="EK25104"/>
    </row>
    <row r="25105" spans="1:141" s="116" customFormat="1">
      <c r="A25105" s="136"/>
      <c r="CM25105" s="111"/>
      <c r="CQ25105" s="111"/>
      <c r="EF25105"/>
      <c r="EG25105"/>
      <c r="EH25105"/>
      <c r="EI25105"/>
      <c r="EJ25105"/>
      <c r="EK25105"/>
    </row>
    <row r="25106" spans="1:141" s="116" customFormat="1">
      <c r="A25106" s="136"/>
      <c r="CM25106" s="111"/>
      <c r="CQ25106" s="111"/>
      <c r="EF25106"/>
      <c r="EG25106"/>
      <c r="EH25106"/>
      <c r="EI25106"/>
      <c r="EJ25106"/>
      <c r="EK25106"/>
    </row>
    <row r="25107" spans="1:141" s="116" customFormat="1">
      <c r="A25107" s="136"/>
      <c r="CM25107" s="111"/>
      <c r="CQ25107" s="111"/>
      <c r="EF25107"/>
      <c r="EG25107"/>
      <c r="EH25107"/>
      <c r="EI25107"/>
      <c r="EJ25107"/>
      <c r="EK25107"/>
    </row>
    <row r="25108" spans="1:141" s="116" customFormat="1">
      <c r="A25108" s="136"/>
      <c r="CM25108" s="111"/>
      <c r="CQ25108" s="111"/>
      <c r="EF25108"/>
      <c r="EG25108"/>
      <c r="EH25108"/>
      <c r="EI25108"/>
      <c r="EJ25108"/>
      <c r="EK25108"/>
    </row>
    <row r="25109" spans="1:141" s="116" customFormat="1">
      <c r="A25109" s="136"/>
      <c r="CM25109" s="111"/>
      <c r="CQ25109" s="111"/>
      <c r="EF25109"/>
      <c r="EG25109"/>
      <c r="EH25109"/>
      <c r="EI25109"/>
      <c r="EJ25109"/>
      <c r="EK25109"/>
    </row>
    <row r="25110" spans="1:141" s="116" customFormat="1">
      <c r="A25110" s="136"/>
      <c r="CM25110" s="111"/>
      <c r="CQ25110" s="111"/>
      <c r="EF25110"/>
      <c r="EG25110"/>
      <c r="EH25110"/>
      <c r="EI25110"/>
      <c r="EJ25110"/>
      <c r="EK25110"/>
    </row>
    <row r="25111" spans="1:141" s="116" customFormat="1">
      <c r="A25111" s="136"/>
      <c r="CM25111" s="111"/>
      <c r="CQ25111" s="111"/>
      <c r="EF25111"/>
      <c r="EG25111"/>
      <c r="EH25111"/>
      <c r="EI25111"/>
      <c r="EJ25111"/>
      <c r="EK25111"/>
    </row>
    <row r="25112" spans="1:141" s="116" customFormat="1">
      <c r="A25112" s="136"/>
      <c r="CM25112" s="111"/>
      <c r="CQ25112" s="111"/>
      <c r="EF25112"/>
      <c r="EG25112"/>
      <c r="EH25112"/>
      <c r="EI25112"/>
      <c r="EJ25112"/>
      <c r="EK25112"/>
    </row>
    <row r="25113" spans="1:141" s="116" customFormat="1">
      <c r="A25113" s="136"/>
      <c r="CM25113" s="111"/>
      <c r="CQ25113" s="111"/>
      <c r="EF25113"/>
      <c r="EG25113"/>
      <c r="EH25113"/>
      <c r="EI25113"/>
      <c r="EJ25113"/>
      <c r="EK25113"/>
    </row>
    <row r="25114" spans="1:141" s="116" customFormat="1">
      <c r="A25114" s="136"/>
      <c r="CM25114" s="111"/>
      <c r="CQ25114" s="111"/>
      <c r="EF25114"/>
      <c r="EG25114"/>
      <c r="EH25114"/>
      <c r="EI25114"/>
      <c r="EJ25114"/>
      <c r="EK25114"/>
    </row>
    <row r="25115" spans="1:141" s="116" customFormat="1">
      <c r="A25115" s="136"/>
      <c r="CM25115" s="111"/>
      <c r="CQ25115" s="111"/>
      <c r="EF25115"/>
      <c r="EG25115"/>
      <c r="EH25115"/>
      <c r="EI25115"/>
      <c r="EJ25115"/>
      <c r="EK25115"/>
    </row>
    <row r="25116" spans="1:141" s="116" customFormat="1">
      <c r="A25116" s="136"/>
      <c r="CM25116" s="111"/>
      <c r="CQ25116" s="111"/>
      <c r="EF25116"/>
      <c r="EG25116"/>
      <c r="EH25116"/>
      <c r="EI25116"/>
      <c r="EJ25116"/>
      <c r="EK25116"/>
    </row>
    <row r="25117" spans="1:141" s="116" customFormat="1">
      <c r="A25117" s="136"/>
      <c r="CM25117" s="111"/>
      <c r="CQ25117" s="111"/>
      <c r="EF25117"/>
      <c r="EG25117"/>
      <c r="EH25117"/>
      <c r="EI25117"/>
      <c r="EJ25117"/>
      <c r="EK25117"/>
    </row>
    <row r="25118" spans="1:141" s="116" customFormat="1">
      <c r="A25118" s="136"/>
      <c r="CM25118" s="111"/>
      <c r="CQ25118" s="111"/>
      <c r="EF25118"/>
      <c r="EG25118"/>
      <c r="EH25118"/>
      <c r="EI25118"/>
      <c r="EJ25118"/>
      <c r="EK25118"/>
    </row>
    <row r="25119" spans="1:141" s="116" customFormat="1">
      <c r="A25119" s="136"/>
      <c r="CM25119" s="111"/>
      <c r="CQ25119" s="111"/>
      <c r="EF25119"/>
      <c r="EG25119"/>
      <c r="EH25119"/>
      <c r="EI25119"/>
      <c r="EJ25119"/>
      <c r="EK25119"/>
    </row>
    <row r="25120" spans="1:141" s="116" customFormat="1">
      <c r="A25120" s="136"/>
      <c r="CM25120" s="111"/>
      <c r="CQ25120" s="111"/>
      <c r="EF25120"/>
      <c r="EG25120"/>
      <c r="EH25120"/>
      <c r="EI25120"/>
      <c r="EJ25120"/>
      <c r="EK25120"/>
    </row>
    <row r="25121" spans="1:141" s="116" customFormat="1">
      <c r="A25121" s="136"/>
      <c r="CM25121" s="111"/>
      <c r="CQ25121" s="111"/>
      <c r="EF25121"/>
      <c r="EG25121"/>
      <c r="EH25121"/>
      <c r="EI25121"/>
      <c r="EJ25121"/>
      <c r="EK25121"/>
    </row>
    <row r="25122" spans="1:141" s="116" customFormat="1">
      <c r="A25122" s="136"/>
      <c r="CM25122" s="111"/>
      <c r="CQ25122" s="111"/>
      <c r="EF25122"/>
      <c r="EG25122"/>
      <c r="EH25122"/>
      <c r="EI25122"/>
      <c r="EJ25122"/>
      <c r="EK25122"/>
    </row>
    <row r="25123" spans="1:141" s="116" customFormat="1">
      <c r="A25123" s="136"/>
      <c r="CM25123" s="111"/>
      <c r="CQ25123" s="111"/>
      <c r="EF25123"/>
      <c r="EG25123"/>
      <c r="EH25123"/>
      <c r="EI25123"/>
      <c r="EJ25123"/>
      <c r="EK25123"/>
    </row>
    <row r="25124" spans="1:141" s="116" customFormat="1">
      <c r="A25124" s="136"/>
      <c r="CM25124" s="111"/>
      <c r="CQ25124" s="111"/>
      <c r="EF25124"/>
      <c r="EG25124"/>
      <c r="EH25124"/>
      <c r="EI25124"/>
      <c r="EJ25124"/>
      <c r="EK25124"/>
    </row>
    <row r="25125" spans="1:141" s="116" customFormat="1">
      <c r="A25125" s="136"/>
      <c r="CM25125" s="111"/>
      <c r="CQ25125" s="111"/>
      <c r="EF25125"/>
      <c r="EG25125"/>
      <c r="EH25125"/>
      <c r="EI25125"/>
      <c r="EJ25125"/>
      <c r="EK25125"/>
    </row>
    <row r="25126" spans="1:141" s="116" customFormat="1">
      <c r="A25126" s="136"/>
      <c r="CM25126" s="111"/>
      <c r="CQ25126" s="111"/>
      <c r="EF25126"/>
      <c r="EG25126"/>
      <c r="EH25126"/>
      <c r="EI25126"/>
      <c r="EJ25126"/>
      <c r="EK25126"/>
    </row>
    <row r="25127" spans="1:141" s="116" customFormat="1">
      <c r="A25127" s="136"/>
      <c r="CM25127" s="111"/>
      <c r="CQ25127" s="111"/>
      <c r="EF25127"/>
      <c r="EG25127"/>
      <c r="EH25127"/>
      <c r="EI25127"/>
      <c r="EJ25127"/>
      <c r="EK25127"/>
    </row>
    <row r="25128" spans="1:141" s="116" customFormat="1">
      <c r="A25128" s="136"/>
      <c r="CM25128" s="111"/>
      <c r="CQ25128" s="111"/>
      <c r="EF25128"/>
      <c r="EG25128"/>
      <c r="EH25128"/>
      <c r="EI25128"/>
      <c r="EJ25128"/>
      <c r="EK25128"/>
    </row>
    <row r="25129" spans="1:141" s="116" customFormat="1">
      <c r="A25129" s="136"/>
      <c r="CM25129" s="111"/>
      <c r="CQ25129" s="111"/>
      <c r="EF25129"/>
      <c r="EG25129"/>
      <c r="EH25129"/>
      <c r="EI25129"/>
      <c r="EJ25129"/>
      <c r="EK25129"/>
    </row>
    <row r="25130" spans="1:141" s="116" customFormat="1">
      <c r="A25130" s="136"/>
      <c r="CM25130" s="111"/>
      <c r="CQ25130" s="111"/>
      <c r="EF25130"/>
      <c r="EG25130"/>
      <c r="EH25130"/>
      <c r="EI25130"/>
      <c r="EJ25130"/>
      <c r="EK25130"/>
    </row>
    <row r="25131" spans="1:141" s="116" customFormat="1">
      <c r="A25131" s="136"/>
      <c r="CM25131" s="111"/>
      <c r="CQ25131" s="111"/>
      <c r="EF25131"/>
      <c r="EG25131"/>
      <c r="EH25131"/>
      <c r="EI25131"/>
      <c r="EJ25131"/>
      <c r="EK25131"/>
    </row>
    <row r="25132" spans="1:141" s="116" customFormat="1">
      <c r="A25132" s="136"/>
      <c r="CM25132" s="111"/>
      <c r="CQ25132" s="111"/>
      <c r="EF25132"/>
      <c r="EG25132"/>
      <c r="EH25132"/>
      <c r="EI25132"/>
      <c r="EJ25132"/>
      <c r="EK25132"/>
    </row>
    <row r="25133" spans="1:141" s="116" customFormat="1">
      <c r="A25133" s="136"/>
      <c r="CM25133" s="111"/>
      <c r="CQ25133" s="111"/>
      <c r="EF25133"/>
      <c r="EG25133"/>
      <c r="EH25133"/>
      <c r="EI25133"/>
      <c r="EJ25133"/>
      <c r="EK25133"/>
    </row>
    <row r="25134" spans="1:141" s="116" customFormat="1">
      <c r="A25134" s="136"/>
      <c r="CM25134" s="111"/>
      <c r="CQ25134" s="111"/>
      <c r="EF25134"/>
      <c r="EG25134"/>
      <c r="EH25134"/>
      <c r="EI25134"/>
      <c r="EJ25134"/>
      <c r="EK25134"/>
    </row>
    <row r="25135" spans="1:141" s="116" customFormat="1">
      <c r="A25135" s="136"/>
      <c r="CM25135" s="111"/>
      <c r="CQ25135" s="111"/>
      <c r="EF25135"/>
      <c r="EG25135"/>
      <c r="EH25135"/>
      <c r="EI25135"/>
      <c r="EJ25135"/>
      <c r="EK25135"/>
    </row>
    <row r="25136" spans="1:141" s="116" customFormat="1">
      <c r="A25136" s="136"/>
      <c r="CM25136" s="111"/>
      <c r="CQ25136" s="111"/>
      <c r="EF25136"/>
      <c r="EG25136"/>
      <c r="EH25136"/>
      <c r="EI25136"/>
      <c r="EJ25136"/>
      <c r="EK25136"/>
    </row>
    <row r="25137" spans="1:141" s="116" customFormat="1">
      <c r="A25137" s="136"/>
      <c r="CM25137" s="111"/>
      <c r="CQ25137" s="111"/>
      <c r="EF25137"/>
      <c r="EG25137"/>
      <c r="EH25137"/>
      <c r="EI25137"/>
      <c r="EJ25137"/>
      <c r="EK25137"/>
    </row>
    <row r="25138" spans="1:141" s="116" customFormat="1">
      <c r="A25138" s="136"/>
      <c r="CM25138" s="111"/>
      <c r="CQ25138" s="111"/>
      <c r="EF25138"/>
      <c r="EG25138"/>
      <c r="EH25138"/>
      <c r="EI25138"/>
      <c r="EJ25138"/>
      <c r="EK25138"/>
    </row>
    <row r="25139" spans="1:141" s="116" customFormat="1">
      <c r="A25139" s="136"/>
      <c r="CM25139" s="111"/>
      <c r="CQ25139" s="111"/>
      <c r="EF25139"/>
      <c r="EG25139"/>
      <c r="EH25139"/>
      <c r="EI25139"/>
      <c r="EJ25139"/>
      <c r="EK25139"/>
    </row>
    <row r="25140" spans="1:141" s="116" customFormat="1">
      <c r="A25140" s="136"/>
      <c r="CM25140" s="111"/>
      <c r="CQ25140" s="111"/>
      <c r="EF25140"/>
      <c r="EG25140"/>
      <c r="EH25140"/>
      <c r="EI25140"/>
      <c r="EJ25140"/>
      <c r="EK25140"/>
    </row>
    <row r="25141" spans="1:141" s="116" customFormat="1">
      <c r="A25141" s="136"/>
      <c r="CM25141" s="111"/>
      <c r="CQ25141" s="111"/>
      <c r="EF25141"/>
      <c r="EG25141"/>
      <c r="EH25141"/>
      <c r="EI25141"/>
      <c r="EJ25141"/>
      <c r="EK25141"/>
    </row>
    <row r="25142" spans="1:141" s="116" customFormat="1">
      <c r="A25142" s="136"/>
      <c r="CM25142" s="111"/>
      <c r="CQ25142" s="111"/>
      <c r="EF25142"/>
      <c r="EG25142"/>
      <c r="EH25142"/>
      <c r="EI25142"/>
      <c r="EJ25142"/>
      <c r="EK25142"/>
    </row>
    <row r="25143" spans="1:141" s="116" customFormat="1">
      <c r="A25143" s="136"/>
      <c r="CM25143" s="111"/>
      <c r="CQ25143" s="111"/>
      <c r="EF25143"/>
      <c r="EG25143"/>
      <c r="EH25143"/>
      <c r="EI25143"/>
      <c r="EJ25143"/>
      <c r="EK25143"/>
    </row>
    <row r="25144" spans="1:141" s="116" customFormat="1">
      <c r="A25144" s="136"/>
      <c r="CM25144" s="111"/>
      <c r="CQ25144" s="111"/>
      <c r="EF25144"/>
      <c r="EG25144"/>
      <c r="EH25144"/>
      <c r="EI25144"/>
      <c r="EJ25144"/>
      <c r="EK25144"/>
    </row>
    <row r="25145" spans="1:141" s="116" customFormat="1">
      <c r="A25145" s="136"/>
      <c r="CM25145" s="111"/>
      <c r="CQ25145" s="111"/>
      <c r="EF25145"/>
      <c r="EG25145"/>
      <c r="EH25145"/>
      <c r="EI25145"/>
      <c r="EJ25145"/>
      <c r="EK25145"/>
    </row>
    <row r="25146" spans="1:141" s="116" customFormat="1">
      <c r="A25146" s="136"/>
      <c r="CM25146" s="111"/>
      <c r="CQ25146" s="111"/>
      <c r="EF25146"/>
      <c r="EG25146"/>
      <c r="EH25146"/>
      <c r="EI25146"/>
      <c r="EJ25146"/>
      <c r="EK25146"/>
    </row>
    <row r="25147" spans="1:141" s="116" customFormat="1">
      <c r="A25147" s="136"/>
      <c r="CM25147" s="111"/>
      <c r="CQ25147" s="111"/>
      <c r="EF25147"/>
      <c r="EG25147"/>
      <c r="EH25147"/>
      <c r="EI25147"/>
      <c r="EJ25147"/>
      <c r="EK25147"/>
    </row>
    <row r="25148" spans="1:141" s="116" customFormat="1">
      <c r="A25148" s="136"/>
      <c r="CM25148" s="111"/>
      <c r="CQ25148" s="111"/>
      <c r="EF25148"/>
      <c r="EG25148"/>
      <c r="EH25148"/>
      <c r="EI25148"/>
      <c r="EJ25148"/>
      <c r="EK25148"/>
    </row>
    <row r="25149" spans="1:141" s="116" customFormat="1">
      <c r="A25149" s="136"/>
      <c r="CM25149" s="111"/>
      <c r="CQ25149" s="111"/>
      <c r="EF25149"/>
      <c r="EG25149"/>
      <c r="EH25149"/>
      <c r="EI25149"/>
      <c r="EJ25149"/>
      <c r="EK25149"/>
    </row>
    <row r="25150" spans="1:141" s="116" customFormat="1">
      <c r="A25150" s="136"/>
      <c r="CM25150" s="111"/>
      <c r="CQ25150" s="111"/>
      <c r="EF25150"/>
      <c r="EG25150"/>
      <c r="EH25150"/>
      <c r="EI25150"/>
      <c r="EJ25150"/>
      <c r="EK25150"/>
    </row>
    <row r="25151" spans="1:141" s="116" customFormat="1">
      <c r="A25151" s="136"/>
      <c r="CM25151" s="111"/>
      <c r="CQ25151" s="111"/>
      <c r="EF25151"/>
      <c r="EG25151"/>
      <c r="EH25151"/>
      <c r="EI25151"/>
      <c r="EJ25151"/>
      <c r="EK25151"/>
    </row>
    <row r="25152" spans="1:141" s="116" customFormat="1">
      <c r="A25152" s="136"/>
      <c r="CM25152" s="111"/>
      <c r="CQ25152" s="111"/>
      <c r="EF25152"/>
      <c r="EG25152"/>
      <c r="EH25152"/>
      <c r="EI25152"/>
      <c r="EJ25152"/>
      <c r="EK25152"/>
    </row>
    <row r="25153" spans="1:141" s="116" customFormat="1">
      <c r="A25153" s="136"/>
      <c r="CM25153" s="111"/>
      <c r="CQ25153" s="111"/>
      <c r="EF25153"/>
      <c r="EG25153"/>
      <c r="EH25153"/>
      <c r="EI25153"/>
      <c r="EJ25153"/>
      <c r="EK25153"/>
    </row>
    <row r="25154" spans="1:141" s="116" customFormat="1">
      <c r="A25154" s="136"/>
      <c r="CM25154" s="111"/>
      <c r="CQ25154" s="111"/>
      <c r="EF25154"/>
      <c r="EG25154"/>
      <c r="EH25154"/>
      <c r="EI25154"/>
      <c r="EJ25154"/>
      <c r="EK25154"/>
    </row>
    <row r="25155" spans="1:141" s="116" customFormat="1">
      <c r="A25155" s="136"/>
      <c r="CM25155" s="111"/>
      <c r="CQ25155" s="111"/>
      <c r="EF25155"/>
      <c r="EG25155"/>
      <c r="EH25155"/>
      <c r="EI25155"/>
      <c r="EJ25155"/>
      <c r="EK25155"/>
    </row>
    <row r="25156" spans="1:141" s="116" customFormat="1">
      <c r="A25156" s="136"/>
      <c r="CM25156" s="111"/>
      <c r="CQ25156" s="111"/>
      <c r="EF25156"/>
      <c r="EG25156"/>
      <c r="EH25156"/>
      <c r="EI25156"/>
      <c r="EJ25156"/>
      <c r="EK25156"/>
    </row>
    <row r="25157" spans="1:141" s="116" customFormat="1">
      <c r="A25157" s="136"/>
      <c r="CM25157" s="111"/>
      <c r="CQ25157" s="111"/>
      <c r="EF25157"/>
      <c r="EG25157"/>
      <c r="EH25157"/>
      <c r="EI25157"/>
      <c r="EJ25157"/>
      <c r="EK25157"/>
    </row>
    <row r="25158" spans="1:141" s="116" customFormat="1">
      <c r="A25158" s="136"/>
      <c r="CM25158" s="111"/>
      <c r="CQ25158" s="111"/>
      <c r="EF25158"/>
      <c r="EG25158"/>
      <c r="EH25158"/>
      <c r="EI25158"/>
      <c r="EJ25158"/>
      <c r="EK25158"/>
    </row>
    <row r="25159" spans="1:141" s="116" customFormat="1">
      <c r="A25159" s="136"/>
      <c r="CM25159" s="111"/>
      <c r="CQ25159" s="111"/>
      <c r="EF25159"/>
      <c r="EG25159"/>
      <c r="EH25159"/>
      <c r="EI25159"/>
      <c r="EJ25159"/>
      <c r="EK25159"/>
    </row>
    <row r="25160" spans="1:141" s="116" customFormat="1">
      <c r="A25160" s="136"/>
      <c r="CM25160" s="111"/>
      <c r="CQ25160" s="111"/>
      <c r="EF25160"/>
      <c r="EG25160"/>
      <c r="EH25160"/>
      <c r="EI25160"/>
      <c r="EJ25160"/>
      <c r="EK25160"/>
    </row>
    <row r="25161" spans="1:141" s="116" customFormat="1">
      <c r="A25161" s="136"/>
      <c r="CM25161" s="111"/>
      <c r="CQ25161" s="111"/>
      <c r="EF25161"/>
      <c r="EG25161"/>
      <c r="EH25161"/>
      <c r="EI25161"/>
      <c r="EJ25161"/>
      <c r="EK25161"/>
    </row>
    <row r="25162" spans="1:141" s="116" customFormat="1">
      <c r="A25162" s="136"/>
      <c r="CM25162" s="111"/>
      <c r="CQ25162" s="111"/>
      <c r="EF25162"/>
      <c r="EG25162"/>
      <c r="EH25162"/>
      <c r="EI25162"/>
      <c r="EJ25162"/>
      <c r="EK25162"/>
    </row>
    <row r="25163" spans="1:141" s="116" customFormat="1">
      <c r="A25163" s="136"/>
      <c r="CM25163" s="111"/>
      <c r="CQ25163" s="111"/>
      <c r="EF25163"/>
      <c r="EG25163"/>
      <c r="EH25163"/>
      <c r="EI25163"/>
      <c r="EJ25163"/>
      <c r="EK25163"/>
    </row>
    <row r="25164" spans="1:141" s="116" customFormat="1">
      <c r="A25164" s="136"/>
      <c r="CM25164" s="111"/>
      <c r="CQ25164" s="111"/>
      <c r="EF25164"/>
      <c r="EG25164"/>
      <c r="EH25164"/>
      <c r="EI25164"/>
      <c r="EJ25164"/>
      <c r="EK25164"/>
    </row>
    <row r="25165" spans="1:141" s="116" customFormat="1">
      <c r="A25165" s="136"/>
      <c r="CM25165" s="111"/>
      <c r="CQ25165" s="111"/>
      <c r="EF25165"/>
      <c r="EG25165"/>
      <c r="EH25165"/>
      <c r="EI25165"/>
      <c r="EJ25165"/>
      <c r="EK25165"/>
    </row>
    <row r="25166" spans="1:141" s="116" customFormat="1">
      <c r="A25166" s="136"/>
      <c r="CM25166" s="111"/>
      <c r="CQ25166" s="111"/>
      <c r="EF25166"/>
      <c r="EG25166"/>
      <c r="EH25166"/>
      <c r="EI25166"/>
      <c r="EJ25166"/>
      <c r="EK25166"/>
    </row>
    <row r="25167" spans="1:141" s="116" customFormat="1">
      <c r="A25167" s="136"/>
      <c r="CM25167" s="111"/>
      <c r="CQ25167" s="111"/>
      <c r="EF25167"/>
      <c r="EG25167"/>
      <c r="EH25167"/>
      <c r="EI25167"/>
      <c r="EJ25167"/>
      <c r="EK25167"/>
    </row>
    <row r="25168" spans="1:141" s="116" customFormat="1">
      <c r="A25168" s="136"/>
      <c r="CM25168" s="111"/>
      <c r="CQ25168" s="111"/>
      <c r="EF25168"/>
      <c r="EG25168"/>
      <c r="EH25168"/>
      <c r="EI25168"/>
      <c r="EJ25168"/>
      <c r="EK25168"/>
    </row>
    <row r="25169" spans="1:141" s="116" customFormat="1">
      <c r="A25169" s="136"/>
      <c r="CM25169" s="111"/>
      <c r="CQ25169" s="111"/>
      <c r="EF25169"/>
      <c r="EG25169"/>
      <c r="EH25169"/>
      <c r="EI25169"/>
      <c r="EJ25169"/>
      <c r="EK25169"/>
    </row>
    <row r="25170" spans="1:141" s="116" customFormat="1">
      <c r="A25170" s="136"/>
      <c r="CM25170" s="111"/>
      <c r="CQ25170" s="111"/>
      <c r="EF25170"/>
      <c r="EG25170"/>
      <c r="EH25170"/>
      <c r="EI25170"/>
      <c r="EJ25170"/>
      <c r="EK25170"/>
    </row>
    <row r="25171" spans="1:141" s="116" customFormat="1">
      <c r="A25171" s="136"/>
      <c r="CM25171" s="111"/>
      <c r="CQ25171" s="111"/>
      <c r="EF25171"/>
      <c r="EG25171"/>
      <c r="EH25171"/>
      <c r="EI25171"/>
      <c r="EJ25171"/>
      <c r="EK25171"/>
    </row>
    <row r="25172" spans="1:141" s="116" customFormat="1">
      <c r="A25172" s="136"/>
      <c r="CM25172" s="111"/>
      <c r="CQ25172" s="111"/>
      <c r="EF25172"/>
      <c r="EG25172"/>
      <c r="EH25172"/>
      <c r="EI25172"/>
      <c r="EJ25172"/>
      <c r="EK25172"/>
    </row>
    <row r="25173" spans="1:141" s="116" customFormat="1">
      <c r="A25173" s="136"/>
      <c r="CM25173" s="111"/>
      <c r="CQ25173" s="111"/>
      <c r="EF25173"/>
      <c r="EG25173"/>
      <c r="EH25173"/>
      <c r="EI25173"/>
      <c r="EJ25173"/>
      <c r="EK25173"/>
    </row>
    <row r="25174" spans="1:141" s="116" customFormat="1">
      <c r="A25174" s="136"/>
      <c r="CM25174" s="111"/>
      <c r="CQ25174" s="111"/>
      <c r="EF25174"/>
      <c r="EG25174"/>
      <c r="EH25174"/>
      <c r="EI25174"/>
      <c r="EJ25174"/>
      <c r="EK25174"/>
    </row>
    <row r="25175" spans="1:141" s="116" customFormat="1">
      <c r="A25175" s="136"/>
      <c r="CM25175" s="111"/>
      <c r="CQ25175" s="111"/>
      <c r="EF25175"/>
      <c r="EG25175"/>
      <c r="EH25175"/>
      <c r="EI25175"/>
      <c r="EJ25175"/>
      <c r="EK25175"/>
    </row>
    <row r="25176" spans="1:141" s="116" customFormat="1">
      <c r="A25176" s="136"/>
      <c r="CM25176" s="111"/>
      <c r="CQ25176" s="111"/>
      <c r="EF25176"/>
      <c r="EG25176"/>
      <c r="EH25176"/>
      <c r="EI25176"/>
      <c r="EJ25176"/>
      <c r="EK25176"/>
    </row>
    <row r="25177" spans="1:141" s="116" customFormat="1">
      <c r="A25177" s="136"/>
      <c r="CM25177" s="111"/>
      <c r="CQ25177" s="111"/>
      <c r="EF25177"/>
      <c r="EG25177"/>
      <c r="EH25177"/>
      <c r="EI25177"/>
      <c r="EJ25177"/>
      <c r="EK25177"/>
    </row>
    <row r="25178" spans="1:141" s="116" customFormat="1">
      <c r="A25178" s="136"/>
      <c r="CM25178" s="111"/>
      <c r="CQ25178" s="111"/>
      <c r="EF25178"/>
      <c r="EG25178"/>
      <c r="EH25178"/>
      <c r="EI25178"/>
      <c r="EJ25178"/>
      <c r="EK25178"/>
    </row>
    <row r="25179" spans="1:141" s="116" customFormat="1">
      <c r="A25179" s="136"/>
      <c r="CM25179" s="111"/>
      <c r="CQ25179" s="111"/>
      <c r="EF25179"/>
      <c r="EG25179"/>
      <c r="EH25179"/>
      <c r="EI25179"/>
      <c r="EJ25179"/>
      <c r="EK25179"/>
    </row>
    <row r="25180" spans="1:141" s="116" customFormat="1">
      <c r="A25180" s="136"/>
      <c r="CM25180" s="111"/>
      <c r="CQ25180" s="111"/>
      <c r="EF25180"/>
      <c r="EG25180"/>
      <c r="EH25180"/>
      <c r="EI25180"/>
      <c r="EJ25180"/>
      <c r="EK25180"/>
    </row>
    <row r="25181" spans="1:141" s="116" customFormat="1">
      <c r="A25181" s="136"/>
      <c r="CM25181" s="111"/>
      <c r="CQ25181" s="111"/>
      <c r="EF25181"/>
      <c r="EG25181"/>
      <c r="EH25181"/>
      <c r="EI25181"/>
      <c r="EJ25181"/>
      <c r="EK25181"/>
    </row>
    <row r="25182" spans="1:141" s="116" customFormat="1">
      <c r="A25182" s="136"/>
      <c r="CM25182" s="111"/>
      <c r="CQ25182" s="111"/>
      <c r="EF25182"/>
      <c r="EG25182"/>
      <c r="EH25182"/>
      <c r="EI25182"/>
      <c r="EJ25182"/>
      <c r="EK25182"/>
    </row>
    <row r="25183" spans="1:141" s="116" customFormat="1">
      <c r="A25183" s="136"/>
      <c r="CM25183" s="111"/>
      <c r="CQ25183" s="111"/>
      <c r="EF25183"/>
      <c r="EG25183"/>
      <c r="EH25183"/>
      <c r="EI25183"/>
      <c r="EJ25183"/>
      <c r="EK25183"/>
    </row>
    <row r="25184" spans="1:141" s="116" customFormat="1">
      <c r="A25184" s="136"/>
      <c r="CM25184" s="111"/>
      <c r="CQ25184" s="111"/>
      <c r="EF25184"/>
      <c r="EG25184"/>
      <c r="EH25184"/>
      <c r="EI25184"/>
      <c r="EJ25184"/>
      <c r="EK25184"/>
    </row>
    <row r="25185" spans="1:141" s="116" customFormat="1">
      <c r="A25185" s="136"/>
      <c r="CM25185" s="111"/>
      <c r="CQ25185" s="111"/>
      <c r="EF25185"/>
      <c r="EG25185"/>
      <c r="EH25185"/>
      <c r="EI25185"/>
      <c r="EJ25185"/>
      <c r="EK25185"/>
    </row>
    <row r="25186" spans="1:141" s="116" customFormat="1">
      <c r="A25186" s="136"/>
      <c r="CM25186" s="111"/>
      <c r="CQ25186" s="111"/>
      <c r="EF25186"/>
      <c r="EG25186"/>
      <c r="EH25186"/>
      <c r="EI25186"/>
      <c r="EJ25186"/>
      <c r="EK25186"/>
    </row>
    <row r="25187" spans="1:141" s="116" customFormat="1">
      <c r="A25187" s="136"/>
      <c r="CM25187" s="111"/>
      <c r="CQ25187" s="111"/>
      <c r="EF25187"/>
      <c r="EG25187"/>
      <c r="EH25187"/>
      <c r="EI25187"/>
      <c r="EJ25187"/>
      <c r="EK25187"/>
    </row>
    <row r="25188" spans="1:141" s="116" customFormat="1">
      <c r="A25188" s="136"/>
      <c r="CM25188" s="111"/>
      <c r="CQ25188" s="111"/>
      <c r="EF25188"/>
      <c r="EG25188"/>
      <c r="EH25188"/>
      <c r="EI25188"/>
      <c r="EJ25188"/>
      <c r="EK25188"/>
    </row>
    <row r="25189" spans="1:141" s="116" customFormat="1">
      <c r="A25189" s="136"/>
      <c r="CM25189" s="111"/>
      <c r="CQ25189" s="111"/>
      <c r="EF25189"/>
      <c r="EG25189"/>
      <c r="EH25189"/>
      <c r="EI25189"/>
      <c r="EJ25189"/>
      <c r="EK25189"/>
    </row>
    <row r="25190" spans="1:141" s="116" customFormat="1">
      <c r="A25190" s="136"/>
      <c r="CM25190" s="111"/>
      <c r="CQ25190" s="111"/>
      <c r="EF25190"/>
      <c r="EG25190"/>
      <c r="EH25190"/>
      <c r="EI25190"/>
      <c r="EJ25190"/>
      <c r="EK25190"/>
    </row>
    <row r="25191" spans="1:141" s="116" customFormat="1">
      <c r="A25191" s="136"/>
      <c r="CM25191" s="111"/>
      <c r="CQ25191" s="111"/>
      <c r="EF25191"/>
      <c r="EG25191"/>
      <c r="EH25191"/>
      <c r="EI25191"/>
      <c r="EJ25191"/>
      <c r="EK25191"/>
    </row>
    <row r="25192" spans="1:141" s="116" customFormat="1">
      <c r="A25192" s="136"/>
      <c r="CM25192" s="111"/>
      <c r="CQ25192" s="111"/>
      <c r="EF25192"/>
      <c r="EG25192"/>
      <c r="EH25192"/>
      <c r="EI25192"/>
      <c r="EJ25192"/>
      <c r="EK25192"/>
    </row>
    <row r="25193" spans="1:141" s="116" customFormat="1">
      <c r="A25193" s="136"/>
      <c r="CM25193" s="111"/>
      <c r="CQ25193" s="111"/>
      <c r="EF25193"/>
      <c r="EG25193"/>
      <c r="EH25193"/>
      <c r="EI25193"/>
      <c r="EJ25193"/>
      <c r="EK25193"/>
    </row>
    <row r="25194" spans="1:141" s="116" customFormat="1">
      <c r="A25194" s="136"/>
      <c r="CM25194" s="111"/>
      <c r="CQ25194" s="111"/>
      <c r="EF25194"/>
      <c r="EG25194"/>
      <c r="EH25194"/>
      <c r="EI25194"/>
      <c r="EJ25194"/>
      <c r="EK25194"/>
    </row>
    <row r="25195" spans="1:141" s="116" customFormat="1">
      <c r="A25195" s="136"/>
      <c r="CM25195" s="111"/>
      <c r="CQ25195" s="111"/>
      <c r="EF25195"/>
      <c r="EG25195"/>
      <c r="EH25195"/>
      <c r="EI25195"/>
      <c r="EJ25195"/>
      <c r="EK25195"/>
    </row>
    <row r="25196" spans="1:141" s="116" customFormat="1">
      <c r="A25196" s="136"/>
      <c r="CM25196" s="111"/>
      <c r="CQ25196" s="111"/>
      <c r="EF25196"/>
      <c r="EG25196"/>
      <c r="EH25196"/>
      <c r="EI25196"/>
      <c r="EJ25196"/>
      <c r="EK25196"/>
    </row>
    <row r="25197" spans="1:141" s="116" customFormat="1">
      <c r="A25197" s="136"/>
      <c r="CM25197" s="111"/>
      <c r="CQ25197" s="111"/>
      <c r="EF25197"/>
      <c r="EG25197"/>
      <c r="EH25197"/>
      <c r="EI25197"/>
      <c r="EJ25197"/>
      <c r="EK25197"/>
    </row>
    <row r="25198" spans="1:141" s="116" customFormat="1">
      <c r="A25198" s="136"/>
      <c r="CM25198" s="111"/>
      <c r="CQ25198" s="111"/>
      <c r="EF25198"/>
      <c r="EG25198"/>
      <c r="EH25198"/>
      <c r="EI25198"/>
      <c r="EJ25198"/>
      <c r="EK25198"/>
    </row>
    <row r="25199" spans="1:141" s="116" customFormat="1">
      <c r="A25199" s="136"/>
      <c r="CM25199" s="111"/>
      <c r="CQ25199" s="111"/>
      <c r="EF25199"/>
      <c r="EG25199"/>
      <c r="EH25199"/>
      <c r="EI25199"/>
      <c r="EJ25199"/>
      <c r="EK25199"/>
    </row>
    <row r="25200" spans="1:141" s="116" customFormat="1">
      <c r="A25200" s="136"/>
      <c r="CM25200" s="111"/>
      <c r="CQ25200" s="111"/>
      <c r="EF25200"/>
      <c r="EG25200"/>
      <c r="EH25200"/>
      <c r="EI25200"/>
      <c r="EJ25200"/>
      <c r="EK25200"/>
    </row>
    <row r="25201" spans="1:141" s="116" customFormat="1">
      <c r="A25201" s="136"/>
      <c r="CM25201" s="111"/>
      <c r="CQ25201" s="111"/>
      <c r="EF25201"/>
      <c r="EG25201"/>
      <c r="EH25201"/>
      <c r="EI25201"/>
      <c r="EJ25201"/>
      <c r="EK25201"/>
    </row>
    <row r="25202" spans="1:141" s="116" customFormat="1">
      <c r="A25202" s="136"/>
      <c r="CM25202" s="111"/>
      <c r="CQ25202" s="111"/>
      <c r="EF25202"/>
      <c r="EG25202"/>
      <c r="EH25202"/>
      <c r="EI25202"/>
      <c r="EJ25202"/>
      <c r="EK25202"/>
    </row>
    <row r="25203" spans="1:141" s="116" customFormat="1">
      <c r="A25203" s="136"/>
      <c r="CM25203" s="111"/>
      <c r="CQ25203" s="111"/>
      <c r="EF25203"/>
      <c r="EG25203"/>
      <c r="EH25203"/>
      <c r="EI25203"/>
      <c r="EJ25203"/>
      <c r="EK25203"/>
    </row>
    <row r="25204" spans="1:141" s="116" customFormat="1">
      <c r="A25204" s="136"/>
      <c r="CM25204" s="111"/>
      <c r="CQ25204" s="111"/>
      <c r="EF25204"/>
      <c r="EG25204"/>
      <c r="EH25204"/>
      <c r="EI25204"/>
      <c r="EJ25204"/>
      <c r="EK25204"/>
    </row>
    <row r="25205" spans="1:141" s="116" customFormat="1">
      <c r="A25205" s="136"/>
      <c r="CM25205" s="111"/>
      <c r="CQ25205" s="111"/>
      <c r="EF25205"/>
      <c r="EG25205"/>
      <c r="EH25205"/>
      <c r="EI25205"/>
      <c r="EJ25205"/>
      <c r="EK25205"/>
    </row>
    <row r="25206" spans="1:141" s="116" customFormat="1">
      <c r="A25206" s="136"/>
      <c r="CM25206" s="111"/>
      <c r="CQ25206" s="111"/>
      <c r="EF25206"/>
      <c r="EG25206"/>
      <c r="EH25206"/>
      <c r="EI25206"/>
      <c r="EJ25206"/>
      <c r="EK25206"/>
    </row>
    <row r="25207" spans="1:141" s="116" customFormat="1">
      <c r="A25207" s="136"/>
      <c r="CM25207" s="111"/>
      <c r="CQ25207" s="111"/>
      <c r="EF25207"/>
      <c r="EG25207"/>
      <c r="EH25207"/>
      <c r="EI25207"/>
      <c r="EJ25207"/>
      <c r="EK25207"/>
    </row>
    <row r="25208" spans="1:141" s="116" customFormat="1">
      <c r="A25208" s="136"/>
      <c r="CM25208" s="111"/>
      <c r="CQ25208" s="111"/>
      <c r="EF25208"/>
      <c r="EG25208"/>
      <c r="EH25208"/>
      <c r="EI25208"/>
      <c r="EJ25208"/>
      <c r="EK25208"/>
    </row>
    <row r="25209" spans="1:141" s="116" customFormat="1">
      <c r="A25209" s="136"/>
      <c r="CM25209" s="111"/>
      <c r="CQ25209" s="111"/>
      <c r="EF25209"/>
      <c r="EG25209"/>
      <c r="EH25209"/>
      <c r="EI25209"/>
      <c r="EJ25209"/>
      <c r="EK25209"/>
    </row>
    <row r="25210" spans="1:141" s="116" customFormat="1">
      <c r="A25210" s="136"/>
      <c r="CM25210" s="111"/>
      <c r="CQ25210" s="111"/>
      <c r="EF25210"/>
      <c r="EG25210"/>
      <c r="EH25210"/>
      <c r="EI25210"/>
      <c r="EJ25210"/>
      <c r="EK25210"/>
    </row>
    <row r="25211" spans="1:141" s="116" customFormat="1">
      <c r="A25211" s="136"/>
      <c r="CM25211" s="111"/>
      <c r="CQ25211" s="111"/>
      <c r="EF25211"/>
      <c r="EG25211"/>
      <c r="EH25211"/>
      <c r="EI25211"/>
      <c r="EJ25211"/>
      <c r="EK25211"/>
    </row>
    <row r="25212" spans="1:141" s="116" customFormat="1">
      <c r="A25212" s="136"/>
      <c r="CM25212" s="111"/>
      <c r="CQ25212" s="111"/>
      <c r="EF25212"/>
      <c r="EG25212"/>
      <c r="EH25212"/>
      <c r="EI25212"/>
      <c r="EJ25212"/>
      <c r="EK25212"/>
    </row>
    <row r="25213" spans="1:141" s="116" customFormat="1">
      <c r="A25213" s="136"/>
      <c r="CM25213" s="111"/>
      <c r="CQ25213" s="111"/>
      <c r="EF25213"/>
      <c r="EG25213"/>
      <c r="EH25213"/>
      <c r="EI25213"/>
      <c r="EJ25213"/>
      <c r="EK25213"/>
    </row>
    <row r="25214" spans="1:141" s="116" customFormat="1">
      <c r="A25214" s="136"/>
      <c r="CM25214" s="111"/>
      <c r="CQ25214" s="111"/>
      <c r="EF25214"/>
      <c r="EG25214"/>
      <c r="EH25214"/>
      <c r="EI25214"/>
      <c r="EJ25214"/>
      <c r="EK25214"/>
    </row>
    <row r="25215" spans="1:141" s="116" customFormat="1">
      <c r="A25215" s="136"/>
      <c r="CM25215" s="111"/>
      <c r="CQ25215" s="111"/>
      <c r="EF25215"/>
      <c r="EG25215"/>
      <c r="EH25215"/>
      <c r="EI25215"/>
      <c r="EJ25215"/>
      <c r="EK25215"/>
    </row>
    <row r="25216" spans="1:141" s="116" customFormat="1">
      <c r="A25216" s="136"/>
      <c r="CM25216" s="111"/>
      <c r="CQ25216" s="111"/>
      <c r="EF25216"/>
      <c r="EG25216"/>
      <c r="EH25216"/>
      <c r="EI25216"/>
      <c r="EJ25216"/>
      <c r="EK25216"/>
    </row>
    <row r="25217" spans="1:141" s="116" customFormat="1">
      <c r="A25217" s="136"/>
      <c r="CM25217" s="111"/>
      <c r="CQ25217" s="111"/>
      <c r="EF25217"/>
      <c r="EG25217"/>
      <c r="EH25217"/>
      <c r="EI25217"/>
      <c r="EJ25217"/>
      <c r="EK25217"/>
    </row>
    <row r="25218" spans="1:141" s="116" customFormat="1">
      <c r="A25218" s="136"/>
      <c r="CM25218" s="111"/>
      <c r="CQ25218" s="111"/>
      <c r="EF25218"/>
      <c r="EG25218"/>
      <c r="EH25218"/>
      <c r="EI25218"/>
      <c r="EJ25218"/>
      <c r="EK25218"/>
    </row>
    <row r="25219" spans="1:141" s="116" customFormat="1">
      <c r="A25219" s="136"/>
      <c r="CM25219" s="111"/>
      <c r="CQ25219" s="111"/>
      <c r="EF25219"/>
      <c r="EG25219"/>
      <c r="EH25219"/>
      <c r="EI25219"/>
      <c r="EJ25219"/>
      <c r="EK25219"/>
    </row>
    <row r="25220" spans="1:141" s="116" customFormat="1">
      <c r="A25220" s="136"/>
      <c r="CM25220" s="111"/>
      <c r="CQ25220" s="111"/>
      <c r="EF25220"/>
      <c r="EG25220"/>
      <c r="EH25220"/>
      <c r="EI25220"/>
      <c r="EJ25220"/>
      <c r="EK25220"/>
    </row>
    <row r="25221" spans="1:141" s="116" customFormat="1">
      <c r="A25221" s="136"/>
      <c r="CM25221" s="111"/>
      <c r="CQ25221" s="111"/>
      <c r="EF25221"/>
      <c r="EG25221"/>
      <c r="EH25221"/>
      <c r="EI25221"/>
      <c r="EJ25221"/>
      <c r="EK25221"/>
    </row>
    <row r="25222" spans="1:141" s="116" customFormat="1">
      <c r="A25222" s="136"/>
      <c r="CM25222" s="111"/>
      <c r="CQ25222" s="111"/>
      <c r="EF25222"/>
      <c r="EG25222"/>
      <c r="EH25222"/>
      <c r="EI25222"/>
      <c r="EJ25222"/>
      <c r="EK25222"/>
    </row>
    <row r="25223" spans="1:141" s="116" customFormat="1">
      <c r="A25223" s="136"/>
      <c r="CM25223" s="111"/>
      <c r="CQ25223" s="111"/>
      <c r="EF25223"/>
      <c r="EG25223"/>
      <c r="EH25223"/>
      <c r="EI25223"/>
      <c r="EJ25223"/>
      <c r="EK25223"/>
    </row>
    <row r="25224" spans="1:141" s="116" customFormat="1">
      <c r="A25224" s="136"/>
      <c r="CM25224" s="111"/>
      <c r="CQ25224" s="111"/>
      <c r="EF25224"/>
      <c r="EG25224"/>
      <c r="EH25224"/>
      <c r="EI25224"/>
      <c r="EJ25224"/>
      <c r="EK25224"/>
    </row>
    <row r="25225" spans="1:141" s="116" customFormat="1">
      <c r="A25225" s="136"/>
      <c r="CM25225" s="111"/>
      <c r="CQ25225" s="111"/>
      <c r="EF25225"/>
      <c r="EG25225"/>
      <c r="EH25225"/>
      <c r="EI25225"/>
      <c r="EJ25225"/>
      <c r="EK25225"/>
    </row>
    <row r="25226" spans="1:141" s="116" customFormat="1">
      <c r="A25226" s="136"/>
      <c r="CM25226" s="111"/>
      <c r="CQ25226" s="111"/>
      <c r="EF25226"/>
      <c r="EG25226"/>
      <c r="EH25226"/>
      <c r="EI25226"/>
      <c r="EJ25226"/>
      <c r="EK25226"/>
    </row>
    <row r="25227" spans="1:141" s="116" customFormat="1">
      <c r="A25227" s="136"/>
      <c r="CM25227" s="111"/>
      <c r="CQ25227" s="111"/>
      <c r="EF25227"/>
      <c r="EG25227"/>
      <c r="EH25227"/>
      <c r="EI25227"/>
      <c r="EJ25227"/>
      <c r="EK25227"/>
    </row>
    <row r="25228" spans="1:141" s="116" customFormat="1">
      <c r="A25228" s="136"/>
      <c r="CM25228" s="111"/>
      <c r="CQ25228" s="111"/>
      <c r="EF25228"/>
      <c r="EG25228"/>
      <c r="EH25228"/>
      <c r="EI25228"/>
      <c r="EJ25228"/>
      <c r="EK25228"/>
    </row>
    <row r="25229" spans="1:141" s="116" customFormat="1">
      <c r="A25229" s="136"/>
      <c r="CM25229" s="111"/>
      <c r="CQ25229" s="111"/>
      <c r="EF25229"/>
      <c r="EG25229"/>
      <c r="EH25229"/>
      <c r="EI25229"/>
      <c r="EJ25229"/>
      <c r="EK25229"/>
    </row>
    <row r="25230" spans="1:141" s="116" customFormat="1">
      <c r="A25230" s="136"/>
      <c r="CM25230" s="111"/>
      <c r="CQ25230" s="111"/>
      <c r="EF25230"/>
      <c r="EG25230"/>
      <c r="EH25230"/>
      <c r="EI25230"/>
      <c r="EJ25230"/>
      <c r="EK25230"/>
    </row>
    <row r="25231" spans="1:141" s="116" customFormat="1">
      <c r="A25231" s="136"/>
      <c r="CM25231" s="111"/>
      <c r="CQ25231" s="111"/>
      <c r="EF25231"/>
      <c r="EG25231"/>
      <c r="EH25231"/>
      <c r="EI25231"/>
      <c r="EJ25231"/>
      <c r="EK25231"/>
    </row>
    <row r="25232" spans="1:141" s="116" customFormat="1">
      <c r="A25232" s="136"/>
      <c r="CM25232" s="111"/>
      <c r="CQ25232" s="111"/>
      <c r="EF25232"/>
      <c r="EG25232"/>
      <c r="EH25232"/>
      <c r="EI25232"/>
      <c r="EJ25232"/>
      <c r="EK25232"/>
    </row>
    <row r="25233" spans="1:141" s="116" customFormat="1">
      <c r="A25233" s="136"/>
      <c r="CM25233" s="111"/>
      <c r="CQ25233" s="111"/>
      <c r="EF25233"/>
      <c r="EG25233"/>
      <c r="EH25233"/>
      <c r="EI25233"/>
      <c r="EJ25233"/>
      <c r="EK25233"/>
    </row>
    <row r="25234" spans="1:141" s="116" customFormat="1">
      <c r="A25234" s="136"/>
      <c r="CM25234" s="111"/>
      <c r="CQ25234" s="111"/>
      <c r="EF25234"/>
      <c r="EG25234"/>
      <c r="EH25234"/>
      <c r="EI25234"/>
      <c r="EJ25234"/>
      <c r="EK25234"/>
    </row>
    <row r="25235" spans="1:141" s="116" customFormat="1">
      <c r="A25235" s="136"/>
      <c r="CM25235" s="111"/>
      <c r="CQ25235" s="111"/>
      <c r="EF25235"/>
      <c r="EG25235"/>
      <c r="EH25235"/>
      <c r="EI25235"/>
      <c r="EJ25235"/>
      <c r="EK25235"/>
    </row>
    <row r="25236" spans="1:141" s="116" customFormat="1">
      <c r="A25236" s="136"/>
      <c r="CM25236" s="111"/>
      <c r="CQ25236" s="111"/>
      <c r="EF25236"/>
      <c r="EG25236"/>
      <c r="EH25236"/>
      <c r="EI25236"/>
      <c r="EJ25236"/>
      <c r="EK25236"/>
    </row>
    <row r="25237" spans="1:141" s="116" customFormat="1">
      <c r="A25237" s="136"/>
      <c r="CM25237" s="111"/>
      <c r="CQ25237" s="111"/>
      <c r="EF25237"/>
      <c r="EG25237"/>
      <c r="EH25237"/>
      <c r="EI25237"/>
      <c r="EJ25237"/>
      <c r="EK25237"/>
    </row>
    <row r="25238" spans="1:141" s="116" customFormat="1">
      <c r="A25238" s="136"/>
      <c r="CM25238" s="111"/>
      <c r="CQ25238" s="111"/>
      <c r="EF25238"/>
      <c r="EG25238"/>
      <c r="EH25238"/>
      <c r="EI25238"/>
      <c r="EJ25238"/>
      <c r="EK25238"/>
    </row>
    <row r="25239" spans="1:141" s="116" customFormat="1">
      <c r="A25239" s="136"/>
      <c r="CM25239" s="111"/>
      <c r="CQ25239" s="111"/>
      <c r="EF25239"/>
      <c r="EG25239"/>
      <c r="EH25239"/>
      <c r="EI25239"/>
      <c r="EJ25239"/>
      <c r="EK25239"/>
    </row>
    <row r="25240" spans="1:141" s="116" customFormat="1">
      <c r="A25240" s="136"/>
      <c r="CM25240" s="111"/>
      <c r="CQ25240" s="111"/>
      <c r="EF25240"/>
      <c r="EG25240"/>
      <c r="EH25240"/>
      <c r="EI25240"/>
      <c r="EJ25240"/>
      <c r="EK25240"/>
    </row>
    <row r="25241" spans="1:141" s="116" customFormat="1">
      <c r="A25241" s="136"/>
      <c r="CM25241" s="111"/>
      <c r="CQ25241" s="111"/>
      <c r="EF25241"/>
      <c r="EG25241"/>
      <c r="EH25241"/>
      <c r="EI25241"/>
      <c r="EJ25241"/>
      <c r="EK25241"/>
    </row>
    <row r="25242" spans="1:141" s="116" customFormat="1">
      <c r="A25242" s="136"/>
      <c r="CM25242" s="111"/>
      <c r="CQ25242" s="111"/>
      <c r="EF25242"/>
      <c r="EG25242"/>
      <c r="EH25242"/>
      <c r="EI25242"/>
      <c r="EJ25242"/>
      <c r="EK25242"/>
    </row>
    <row r="25243" spans="1:141" s="116" customFormat="1">
      <c r="A25243" s="136"/>
      <c r="CM25243" s="111"/>
      <c r="CQ25243" s="111"/>
      <c r="EF25243"/>
      <c r="EG25243"/>
      <c r="EH25243"/>
      <c r="EI25243"/>
      <c r="EJ25243"/>
      <c r="EK25243"/>
    </row>
    <row r="25244" spans="1:141" s="116" customFormat="1">
      <c r="A25244" s="136"/>
      <c r="CM25244" s="111"/>
      <c r="CQ25244" s="111"/>
      <c r="EF25244"/>
      <c r="EG25244"/>
      <c r="EH25244"/>
      <c r="EI25244"/>
      <c r="EJ25244"/>
      <c r="EK25244"/>
    </row>
    <row r="25245" spans="1:141" s="116" customFormat="1">
      <c r="A25245" s="136"/>
      <c r="CM25245" s="111"/>
      <c r="CQ25245" s="111"/>
      <c r="EF25245"/>
      <c r="EG25245"/>
      <c r="EH25245"/>
      <c r="EI25245"/>
      <c r="EJ25245"/>
      <c r="EK25245"/>
    </row>
    <row r="25246" spans="1:141" s="116" customFormat="1">
      <c r="A25246" s="136"/>
      <c r="CM25246" s="111"/>
      <c r="CQ25246" s="111"/>
      <c r="EF25246"/>
      <c r="EG25246"/>
      <c r="EH25246"/>
      <c r="EI25246"/>
      <c r="EJ25246"/>
      <c r="EK25246"/>
    </row>
    <row r="25247" spans="1:141" s="116" customFormat="1">
      <c r="A25247" s="136"/>
      <c r="CM25247" s="111"/>
      <c r="CQ25247" s="111"/>
      <c r="EF25247"/>
      <c r="EG25247"/>
      <c r="EH25247"/>
      <c r="EI25247"/>
      <c r="EJ25247"/>
      <c r="EK25247"/>
    </row>
    <row r="25248" spans="1:141" s="116" customFormat="1">
      <c r="A25248" s="136"/>
      <c r="CM25248" s="111"/>
      <c r="CQ25248" s="111"/>
      <c r="EF25248"/>
      <c r="EG25248"/>
      <c r="EH25248"/>
      <c r="EI25248"/>
      <c r="EJ25248"/>
      <c r="EK25248"/>
    </row>
    <row r="25249" spans="1:141" s="116" customFormat="1">
      <c r="A25249" s="136"/>
      <c r="CM25249" s="111"/>
      <c r="CQ25249" s="111"/>
      <c r="EF25249"/>
      <c r="EG25249"/>
      <c r="EH25249"/>
      <c r="EI25249"/>
      <c r="EJ25249"/>
      <c r="EK25249"/>
    </row>
    <row r="25250" spans="1:141" s="116" customFormat="1">
      <c r="A25250" s="136"/>
      <c r="CM25250" s="111"/>
      <c r="CQ25250" s="111"/>
      <c r="EF25250"/>
      <c r="EG25250"/>
      <c r="EH25250"/>
      <c r="EI25250"/>
      <c r="EJ25250"/>
      <c r="EK25250"/>
    </row>
    <row r="25251" spans="1:141" s="116" customFormat="1">
      <c r="A25251" s="136"/>
      <c r="CM25251" s="111"/>
      <c r="CQ25251" s="111"/>
      <c r="EF25251"/>
      <c r="EG25251"/>
      <c r="EH25251"/>
      <c r="EI25251"/>
      <c r="EJ25251"/>
      <c r="EK25251"/>
    </row>
    <row r="25252" spans="1:141" s="116" customFormat="1">
      <c r="A25252" s="136"/>
      <c r="CM25252" s="111"/>
      <c r="CQ25252" s="111"/>
      <c r="EF25252"/>
      <c r="EG25252"/>
      <c r="EH25252"/>
      <c r="EI25252"/>
      <c r="EJ25252"/>
      <c r="EK25252"/>
    </row>
    <row r="25253" spans="1:141" s="116" customFormat="1">
      <c r="A25253" s="136"/>
      <c r="CM25253" s="111"/>
      <c r="CQ25253" s="111"/>
      <c r="EF25253"/>
      <c r="EG25253"/>
      <c r="EH25253"/>
      <c r="EI25253"/>
      <c r="EJ25253"/>
      <c r="EK25253"/>
    </row>
    <row r="25254" spans="1:141" s="116" customFormat="1">
      <c r="A25254" s="136"/>
      <c r="CM25254" s="111"/>
      <c r="CQ25254" s="111"/>
      <c r="EF25254"/>
      <c r="EG25254"/>
      <c r="EH25254"/>
      <c r="EI25254"/>
      <c r="EJ25254"/>
      <c r="EK25254"/>
    </row>
    <row r="25255" spans="1:141" s="116" customFormat="1">
      <c r="A25255" s="136"/>
      <c r="CM25255" s="111"/>
      <c r="CQ25255" s="111"/>
      <c r="EF25255"/>
      <c r="EG25255"/>
      <c r="EH25255"/>
      <c r="EI25255"/>
      <c r="EJ25255"/>
      <c r="EK25255"/>
    </row>
    <row r="25256" spans="1:141" s="116" customFormat="1">
      <c r="A25256" s="136"/>
      <c r="CM25256" s="111"/>
      <c r="CQ25256" s="111"/>
      <c r="EF25256"/>
      <c r="EG25256"/>
      <c r="EH25256"/>
      <c r="EI25256"/>
      <c r="EJ25256"/>
      <c r="EK25256"/>
    </row>
    <row r="25257" spans="1:141" s="116" customFormat="1">
      <c r="A25257" s="136"/>
      <c r="CM25257" s="111"/>
      <c r="CQ25257" s="111"/>
      <c r="EF25257"/>
      <c r="EG25257"/>
      <c r="EH25257"/>
      <c r="EI25257"/>
      <c r="EJ25257"/>
      <c r="EK25257"/>
    </row>
    <row r="25258" spans="1:141" s="116" customFormat="1">
      <c r="A25258" s="136"/>
      <c r="CM25258" s="111"/>
      <c r="CQ25258" s="111"/>
      <c r="EF25258"/>
      <c r="EG25258"/>
      <c r="EH25258"/>
      <c r="EI25258"/>
      <c r="EJ25258"/>
      <c r="EK25258"/>
    </row>
    <row r="25259" spans="1:141" s="116" customFormat="1">
      <c r="A25259" s="136"/>
      <c r="CM25259" s="111"/>
      <c r="CQ25259" s="111"/>
      <c r="EF25259"/>
      <c r="EG25259"/>
      <c r="EH25259"/>
      <c r="EI25259"/>
      <c r="EJ25259"/>
      <c r="EK25259"/>
    </row>
    <row r="25260" spans="1:141" s="116" customFormat="1">
      <c r="A25260" s="136"/>
      <c r="CM25260" s="111"/>
      <c r="CQ25260" s="111"/>
      <c r="EF25260"/>
      <c r="EG25260"/>
      <c r="EH25260"/>
      <c r="EI25260"/>
      <c r="EJ25260"/>
      <c r="EK25260"/>
    </row>
    <row r="25261" spans="1:141" s="116" customFormat="1">
      <c r="A25261" s="136"/>
      <c r="CM25261" s="111"/>
      <c r="CQ25261" s="111"/>
      <c r="EF25261"/>
      <c r="EG25261"/>
      <c r="EH25261"/>
      <c r="EI25261"/>
      <c r="EJ25261"/>
      <c r="EK25261"/>
    </row>
    <row r="25262" spans="1:141" s="116" customFormat="1">
      <c r="A25262" s="136"/>
      <c r="CM25262" s="111"/>
      <c r="CQ25262" s="111"/>
      <c r="EF25262"/>
      <c r="EG25262"/>
      <c r="EH25262"/>
      <c r="EI25262"/>
      <c r="EJ25262"/>
      <c r="EK25262"/>
    </row>
    <row r="25263" spans="1:141" s="116" customFormat="1">
      <c r="A25263" s="136"/>
      <c r="CM25263" s="111"/>
      <c r="CQ25263" s="111"/>
      <c r="EF25263"/>
      <c r="EG25263"/>
      <c r="EH25263"/>
      <c r="EI25263"/>
      <c r="EJ25263"/>
      <c r="EK25263"/>
    </row>
    <row r="25264" spans="1:141" s="116" customFormat="1">
      <c r="A25264" s="136"/>
      <c r="CM25264" s="111"/>
      <c r="CQ25264" s="111"/>
      <c r="EF25264"/>
      <c r="EG25264"/>
      <c r="EH25264"/>
      <c r="EI25264"/>
      <c r="EJ25264"/>
      <c r="EK25264"/>
    </row>
    <row r="25265" spans="1:141" s="116" customFormat="1">
      <c r="A25265" s="136"/>
      <c r="CM25265" s="111"/>
      <c r="CQ25265" s="111"/>
      <c r="EF25265"/>
      <c r="EG25265"/>
      <c r="EH25265"/>
      <c r="EI25265"/>
      <c r="EJ25265"/>
      <c r="EK25265"/>
    </row>
    <row r="25266" spans="1:141" s="116" customFormat="1">
      <c r="A25266" s="136"/>
      <c r="CM25266" s="111"/>
      <c r="CQ25266" s="111"/>
      <c r="EF25266"/>
      <c r="EG25266"/>
      <c r="EH25266"/>
      <c r="EI25266"/>
      <c r="EJ25266"/>
      <c r="EK25266"/>
    </row>
    <row r="25267" spans="1:141" s="116" customFormat="1">
      <c r="A25267" s="136"/>
      <c r="CM25267" s="111"/>
      <c r="CQ25267" s="111"/>
      <c r="EF25267"/>
      <c r="EG25267"/>
      <c r="EH25267"/>
      <c r="EI25267"/>
      <c r="EJ25267"/>
      <c r="EK25267"/>
    </row>
    <row r="25268" spans="1:141" s="116" customFormat="1">
      <c r="A25268" s="136"/>
      <c r="CM25268" s="111"/>
      <c r="CQ25268" s="111"/>
      <c r="EF25268"/>
      <c r="EG25268"/>
      <c r="EH25268"/>
      <c r="EI25268"/>
      <c r="EJ25268"/>
      <c r="EK25268"/>
    </row>
    <row r="25269" spans="1:141" s="116" customFormat="1">
      <c r="A25269" s="136"/>
      <c r="CM25269" s="111"/>
      <c r="CQ25269" s="111"/>
      <c r="EF25269"/>
      <c r="EG25269"/>
      <c r="EH25269"/>
      <c r="EI25269"/>
      <c r="EJ25269"/>
      <c r="EK25269"/>
    </row>
    <row r="25270" spans="1:141" s="116" customFormat="1">
      <c r="A25270" s="136"/>
      <c r="CM25270" s="111"/>
      <c r="CQ25270" s="111"/>
      <c r="EF25270"/>
      <c r="EG25270"/>
      <c r="EH25270"/>
      <c r="EI25270"/>
      <c r="EJ25270"/>
      <c r="EK25270"/>
    </row>
    <row r="25271" spans="1:141" s="116" customFormat="1">
      <c r="A25271" s="136"/>
      <c r="CM25271" s="111"/>
      <c r="CQ25271" s="111"/>
      <c r="EF25271"/>
      <c r="EG25271"/>
      <c r="EH25271"/>
      <c r="EI25271"/>
      <c r="EJ25271"/>
      <c r="EK25271"/>
    </row>
    <row r="25272" spans="1:141" s="116" customFormat="1">
      <c r="A25272" s="136"/>
      <c r="CM25272" s="111"/>
      <c r="CQ25272" s="111"/>
      <c r="EF25272"/>
      <c r="EG25272"/>
      <c r="EH25272"/>
      <c r="EI25272"/>
      <c r="EJ25272"/>
      <c r="EK25272"/>
    </row>
    <row r="25273" spans="1:141" s="116" customFormat="1">
      <c r="A25273" s="136"/>
      <c r="CM25273" s="111"/>
      <c r="CQ25273" s="111"/>
      <c r="EF25273"/>
      <c r="EG25273"/>
      <c r="EH25273"/>
      <c r="EI25273"/>
      <c r="EJ25273"/>
      <c r="EK25273"/>
    </row>
    <row r="25274" spans="1:141" s="116" customFormat="1">
      <c r="A25274" s="136"/>
      <c r="CM25274" s="111"/>
      <c r="CQ25274" s="111"/>
      <c r="EF25274"/>
      <c r="EG25274"/>
      <c r="EH25274"/>
      <c r="EI25274"/>
      <c r="EJ25274"/>
      <c r="EK25274"/>
    </row>
    <row r="25275" spans="1:141" s="116" customFormat="1">
      <c r="A25275" s="136"/>
      <c r="CM25275" s="111"/>
      <c r="CQ25275" s="111"/>
      <c r="EF25275"/>
      <c r="EG25275"/>
      <c r="EH25275"/>
      <c r="EI25275"/>
      <c r="EJ25275"/>
      <c r="EK25275"/>
    </row>
    <row r="25276" spans="1:141" s="116" customFormat="1">
      <c r="A25276" s="136"/>
      <c r="CM25276" s="111"/>
      <c r="CQ25276" s="111"/>
      <c r="EF25276"/>
      <c r="EG25276"/>
      <c r="EH25276"/>
      <c r="EI25276"/>
      <c r="EJ25276"/>
      <c r="EK25276"/>
    </row>
    <row r="25277" spans="1:141" s="116" customFormat="1">
      <c r="A25277" s="136"/>
      <c r="CM25277" s="111"/>
      <c r="CQ25277" s="111"/>
      <c r="EF25277"/>
      <c r="EG25277"/>
      <c r="EH25277"/>
      <c r="EI25277"/>
      <c r="EJ25277"/>
      <c r="EK25277"/>
    </row>
    <row r="25278" spans="1:141" s="116" customFormat="1">
      <c r="A25278" s="136"/>
      <c r="CM25278" s="111"/>
      <c r="CQ25278" s="111"/>
      <c r="EF25278"/>
      <c r="EG25278"/>
      <c r="EH25278"/>
      <c r="EI25278"/>
      <c r="EJ25278"/>
      <c r="EK25278"/>
    </row>
    <row r="25279" spans="1:141" s="116" customFormat="1">
      <c r="A25279" s="136"/>
      <c r="CM25279" s="111"/>
      <c r="CQ25279" s="111"/>
      <c r="EF25279"/>
      <c r="EG25279"/>
      <c r="EH25279"/>
      <c r="EI25279"/>
      <c r="EJ25279"/>
      <c r="EK25279"/>
    </row>
    <row r="25280" spans="1:141" s="116" customFormat="1">
      <c r="A25280" s="136"/>
      <c r="CM25280" s="111"/>
      <c r="CQ25280" s="111"/>
      <c r="EF25280"/>
      <c r="EG25280"/>
      <c r="EH25280"/>
      <c r="EI25280"/>
      <c r="EJ25280"/>
      <c r="EK25280"/>
    </row>
    <row r="25281" spans="1:141" s="116" customFormat="1">
      <c r="A25281" s="136"/>
      <c r="CM25281" s="111"/>
      <c r="CQ25281" s="111"/>
      <c r="EF25281"/>
      <c r="EG25281"/>
      <c r="EH25281"/>
      <c r="EI25281"/>
      <c r="EJ25281"/>
      <c r="EK25281"/>
    </row>
    <row r="25282" spans="1:141" s="116" customFormat="1">
      <c r="A25282" s="136"/>
      <c r="CM25282" s="111"/>
      <c r="CQ25282" s="111"/>
      <c r="EF25282"/>
      <c r="EG25282"/>
      <c r="EH25282"/>
      <c r="EI25282"/>
      <c r="EJ25282"/>
      <c r="EK25282"/>
    </row>
    <row r="25283" spans="1:141" s="116" customFormat="1">
      <c r="A25283" s="136"/>
      <c r="CM25283" s="111"/>
      <c r="CQ25283" s="111"/>
      <c r="EF25283"/>
      <c r="EG25283"/>
      <c r="EH25283"/>
      <c r="EI25283"/>
      <c r="EJ25283"/>
      <c r="EK25283"/>
    </row>
    <row r="25284" spans="1:141" s="116" customFormat="1">
      <c r="A25284" s="136"/>
      <c r="CM25284" s="111"/>
      <c r="CQ25284" s="111"/>
      <c r="EF25284"/>
      <c r="EG25284"/>
      <c r="EH25284"/>
      <c r="EI25284"/>
      <c r="EJ25284"/>
      <c r="EK25284"/>
    </row>
    <row r="25285" spans="1:141" s="116" customFormat="1">
      <c r="A25285" s="136"/>
      <c r="CM25285" s="111"/>
      <c r="CQ25285" s="111"/>
      <c r="EF25285"/>
      <c r="EG25285"/>
      <c r="EH25285"/>
      <c r="EI25285"/>
      <c r="EJ25285"/>
      <c r="EK25285"/>
    </row>
    <row r="25286" spans="1:141" s="116" customFormat="1">
      <c r="A25286" s="136"/>
      <c r="CM25286" s="111"/>
      <c r="CQ25286" s="111"/>
      <c r="EF25286"/>
      <c r="EG25286"/>
      <c r="EH25286"/>
      <c r="EI25286"/>
      <c r="EJ25286"/>
      <c r="EK25286"/>
    </row>
    <row r="25287" spans="1:141" s="116" customFormat="1">
      <c r="A25287" s="136"/>
      <c r="CM25287" s="111"/>
      <c r="CQ25287" s="111"/>
      <c r="EF25287"/>
      <c r="EG25287"/>
      <c r="EH25287"/>
      <c r="EI25287"/>
      <c r="EJ25287"/>
      <c r="EK25287"/>
    </row>
    <row r="25288" spans="1:141" s="116" customFormat="1">
      <c r="A25288" s="136"/>
      <c r="CM25288" s="111"/>
      <c r="CQ25288" s="111"/>
      <c r="EF25288"/>
      <c r="EG25288"/>
      <c r="EH25288"/>
      <c r="EI25288"/>
      <c r="EJ25288"/>
      <c r="EK25288"/>
    </row>
    <row r="25289" spans="1:141" s="116" customFormat="1">
      <c r="A25289" s="136"/>
      <c r="CM25289" s="111"/>
      <c r="CQ25289" s="111"/>
      <c r="EF25289"/>
      <c r="EG25289"/>
      <c r="EH25289"/>
      <c r="EI25289"/>
      <c r="EJ25289"/>
      <c r="EK25289"/>
    </row>
    <row r="25290" spans="1:141" s="116" customFormat="1">
      <c r="A25290" s="136"/>
      <c r="CM25290" s="111"/>
      <c r="CQ25290" s="111"/>
      <c r="EF25290"/>
      <c r="EG25290"/>
      <c r="EH25290"/>
      <c r="EI25290"/>
      <c r="EJ25290"/>
      <c r="EK25290"/>
    </row>
    <row r="25291" spans="1:141" s="116" customFormat="1">
      <c r="A25291" s="136"/>
      <c r="CM25291" s="111"/>
      <c r="CQ25291" s="111"/>
      <c r="EF25291"/>
      <c r="EG25291"/>
      <c r="EH25291"/>
      <c r="EI25291"/>
      <c r="EJ25291"/>
      <c r="EK25291"/>
    </row>
    <row r="25292" spans="1:141" s="116" customFormat="1">
      <c r="A25292" s="136"/>
      <c r="CM25292" s="111"/>
      <c r="CQ25292" s="111"/>
      <c r="EF25292"/>
      <c r="EG25292"/>
      <c r="EH25292"/>
      <c r="EI25292"/>
      <c r="EJ25292"/>
      <c r="EK25292"/>
    </row>
    <row r="25293" spans="1:141" s="116" customFormat="1">
      <c r="A25293" s="136"/>
      <c r="CM25293" s="111"/>
      <c r="CQ25293" s="111"/>
      <c r="EF25293"/>
      <c r="EG25293"/>
      <c r="EH25293"/>
      <c r="EI25293"/>
      <c r="EJ25293"/>
      <c r="EK25293"/>
    </row>
    <row r="25294" spans="1:141" s="116" customFormat="1">
      <c r="A25294" s="136"/>
      <c r="CM25294" s="111"/>
      <c r="CQ25294" s="111"/>
      <c r="EF25294"/>
      <c r="EG25294"/>
      <c r="EH25294"/>
      <c r="EI25294"/>
      <c r="EJ25294"/>
      <c r="EK25294"/>
    </row>
    <row r="25295" spans="1:141" s="116" customFormat="1">
      <c r="A25295" s="136"/>
      <c r="CM25295" s="111"/>
      <c r="CQ25295" s="111"/>
      <c r="EF25295"/>
      <c r="EG25295"/>
      <c r="EH25295"/>
      <c r="EI25295"/>
      <c r="EJ25295"/>
      <c r="EK25295"/>
    </row>
    <row r="25296" spans="1:141" s="116" customFormat="1">
      <c r="A25296" s="136"/>
      <c r="CM25296" s="111"/>
      <c r="CQ25296" s="111"/>
      <c r="EF25296"/>
      <c r="EG25296"/>
      <c r="EH25296"/>
      <c r="EI25296"/>
      <c r="EJ25296"/>
      <c r="EK25296"/>
    </row>
    <row r="25297" spans="1:141" s="116" customFormat="1">
      <c r="A25297" s="136"/>
      <c r="CM25297" s="111"/>
      <c r="CQ25297" s="111"/>
      <c r="EF25297"/>
      <c r="EG25297"/>
      <c r="EH25297"/>
      <c r="EI25297"/>
      <c r="EJ25297"/>
      <c r="EK25297"/>
    </row>
    <row r="25298" spans="1:141" s="116" customFormat="1">
      <c r="A25298" s="136"/>
      <c r="CM25298" s="111"/>
      <c r="CQ25298" s="111"/>
      <c r="EF25298"/>
      <c r="EG25298"/>
      <c r="EH25298"/>
      <c r="EI25298"/>
      <c r="EJ25298"/>
      <c r="EK25298"/>
    </row>
    <row r="25299" spans="1:141" s="116" customFormat="1">
      <c r="A25299" s="136"/>
      <c r="CM25299" s="111"/>
      <c r="CQ25299" s="111"/>
      <c r="EF25299"/>
      <c r="EG25299"/>
      <c r="EH25299"/>
      <c r="EI25299"/>
      <c r="EJ25299"/>
      <c r="EK25299"/>
    </row>
    <row r="25300" spans="1:141" s="116" customFormat="1">
      <c r="A25300" s="136"/>
      <c r="CM25300" s="111"/>
      <c r="CQ25300" s="111"/>
      <c r="EF25300"/>
      <c r="EG25300"/>
      <c r="EH25300"/>
      <c r="EI25300"/>
      <c r="EJ25300"/>
      <c r="EK25300"/>
    </row>
    <row r="25301" spans="1:141" s="116" customFormat="1">
      <c r="A25301" s="136"/>
      <c r="CM25301" s="111"/>
      <c r="CQ25301" s="111"/>
      <c r="EF25301"/>
      <c r="EG25301"/>
      <c r="EH25301"/>
      <c r="EI25301"/>
      <c r="EJ25301"/>
      <c r="EK25301"/>
    </row>
    <row r="25302" spans="1:141" s="116" customFormat="1">
      <c r="A25302" s="136"/>
      <c r="CM25302" s="111"/>
      <c r="CQ25302" s="111"/>
      <c r="EF25302"/>
      <c r="EG25302"/>
      <c r="EH25302"/>
      <c r="EI25302"/>
      <c r="EJ25302"/>
      <c r="EK25302"/>
    </row>
    <row r="25303" spans="1:141" s="116" customFormat="1">
      <c r="A25303" s="136"/>
      <c r="CM25303" s="111"/>
      <c r="CQ25303" s="111"/>
      <c r="EF25303"/>
      <c r="EG25303"/>
      <c r="EH25303"/>
      <c r="EI25303"/>
      <c r="EJ25303"/>
      <c r="EK25303"/>
    </row>
    <row r="25304" spans="1:141" s="116" customFormat="1">
      <c r="A25304" s="136"/>
      <c r="CM25304" s="111"/>
      <c r="CQ25304" s="111"/>
      <c r="EF25304"/>
      <c r="EG25304"/>
      <c r="EH25304"/>
      <c r="EI25304"/>
      <c r="EJ25304"/>
      <c r="EK25304"/>
    </row>
    <row r="25305" spans="1:141" s="116" customFormat="1">
      <c r="A25305" s="136"/>
      <c r="CM25305" s="111"/>
      <c r="CQ25305" s="111"/>
      <c r="EF25305"/>
      <c r="EG25305"/>
      <c r="EH25305"/>
      <c r="EI25305"/>
      <c r="EJ25305"/>
      <c r="EK25305"/>
    </row>
    <row r="25306" spans="1:141" s="116" customFormat="1">
      <c r="A25306" s="136"/>
      <c r="CM25306" s="111"/>
      <c r="CQ25306" s="111"/>
      <c r="EF25306"/>
      <c r="EG25306"/>
      <c r="EH25306"/>
      <c r="EI25306"/>
      <c r="EJ25306"/>
      <c r="EK25306"/>
    </row>
    <row r="25307" spans="1:141" s="116" customFormat="1">
      <c r="A25307" s="136"/>
      <c r="CM25307" s="111"/>
      <c r="CQ25307" s="111"/>
      <c r="EF25307"/>
      <c r="EG25307"/>
      <c r="EH25307"/>
      <c r="EI25307"/>
      <c r="EJ25307"/>
      <c r="EK25307"/>
    </row>
    <row r="25308" spans="1:141" s="116" customFormat="1">
      <c r="A25308" s="136"/>
      <c r="CM25308" s="111"/>
      <c r="CQ25308" s="111"/>
      <c r="EF25308"/>
      <c r="EG25308"/>
      <c r="EH25308"/>
      <c r="EI25308"/>
      <c r="EJ25308"/>
      <c r="EK25308"/>
    </row>
    <row r="25309" spans="1:141" s="116" customFormat="1">
      <c r="A25309" s="136"/>
      <c r="CM25309" s="111"/>
      <c r="CQ25309" s="111"/>
      <c r="EF25309"/>
      <c r="EG25309"/>
      <c r="EH25309"/>
      <c r="EI25309"/>
      <c r="EJ25309"/>
      <c r="EK25309"/>
    </row>
    <row r="25310" spans="1:141" s="116" customFormat="1">
      <c r="A25310" s="136"/>
      <c r="CM25310" s="111"/>
      <c r="CQ25310" s="111"/>
      <c r="EF25310"/>
      <c r="EG25310"/>
      <c r="EH25310"/>
      <c r="EI25310"/>
      <c r="EJ25310"/>
      <c r="EK25310"/>
    </row>
    <row r="25311" spans="1:141" s="116" customFormat="1">
      <c r="A25311" s="136"/>
      <c r="CM25311" s="111"/>
      <c r="CQ25311" s="111"/>
      <c r="EF25311"/>
      <c r="EG25311"/>
      <c r="EH25311"/>
      <c r="EI25311"/>
      <c r="EJ25311"/>
      <c r="EK25311"/>
    </row>
    <row r="25312" spans="1:141" s="116" customFormat="1">
      <c r="A25312" s="136"/>
      <c r="CM25312" s="111"/>
      <c r="CQ25312" s="111"/>
      <c r="EF25312"/>
      <c r="EG25312"/>
      <c r="EH25312"/>
      <c r="EI25312"/>
      <c r="EJ25312"/>
      <c r="EK25312"/>
    </row>
    <row r="25313" spans="1:141" s="116" customFormat="1">
      <c r="A25313" s="136"/>
      <c r="CM25313" s="111"/>
      <c r="CQ25313" s="111"/>
      <c r="EF25313"/>
      <c r="EG25313"/>
      <c r="EH25313"/>
      <c r="EI25313"/>
      <c r="EJ25313"/>
      <c r="EK25313"/>
    </row>
    <row r="25314" spans="1:141" s="116" customFormat="1">
      <c r="A25314" s="136"/>
      <c r="CM25314" s="111"/>
      <c r="CQ25314" s="111"/>
      <c r="EF25314"/>
      <c r="EG25314"/>
      <c r="EH25314"/>
      <c r="EI25314"/>
      <c r="EJ25314"/>
      <c r="EK25314"/>
    </row>
    <row r="25315" spans="1:141" s="116" customFormat="1">
      <c r="A25315" s="136"/>
      <c r="CM25315" s="111"/>
      <c r="CQ25315" s="111"/>
      <c r="EF25315"/>
      <c r="EG25315"/>
      <c r="EH25315"/>
      <c r="EI25315"/>
      <c r="EJ25315"/>
      <c r="EK25315"/>
    </row>
    <row r="25316" spans="1:141" s="116" customFormat="1">
      <c r="A25316" s="136"/>
      <c r="CM25316" s="111"/>
      <c r="CQ25316" s="111"/>
      <c r="EF25316"/>
      <c r="EG25316"/>
      <c r="EH25316"/>
      <c r="EI25316"/>
      <c r="EJ25316"/>
      <c r="EK25316"/>
    </row>
    <row r="25317" spans="1:141" s="116" customFormat="1">
      <c r="A25317" s="136"/>
      <c r="CM25317" s="111"/>
      <c r="CQ25317" s="111"/>
      <c r="EF25317"/>
      <c r="EG25317"/>
      <c r="EH25317"/>
      <c r="EI25317"/>
      <c r="EJ25317"/>
      <c r="EK25317"/>
    </row>
    <row r="25318" spans="1:141" s="116" customFormat="1">
      <c r="A25318" s="136"/>
      <c r="CM25318" s="111"/>
      <c r="CQ25318" s="111"/>
      <c r="EF25318"/>
      <c r="EG25318"/>
      <c r="EH25318"/>
      <c r="EI25318"/>
      <c r="EJ25318"/>
      <c r="EK25318"/>
    </row>
    <row r="25319" spans="1:141" s="116" customFormat="1">
      <c r="A25319" s="136"/>
      <c r="CM25319" s="111"/>
      <c r="CQ25319" s="111"/>
      <c r="EF25319"/>
      <c r="EG25319"/>
      <c r="EH25319"/>
      <c r="EI25319"/>
      <c r="EJ25319"/>
      <c r="EK25319"/>
    </row>
    <row r="25320" spans="1:141" s="116" customFormat="1">
      <c r="A25320" s="136"/>
      <c r="CM25320" s="111"/>
      <c r="CQ25320" s="111"/>
      <c r="EF25320"/>
      <c r="EG25320"/>
      <c r="EH25320"/>
      <c r="EI25320"/>
      <c r="EJ25320"/>
      <c r="EK25320"/>
    </row>
    <row r="25321" spans="1:141" s="116" customFormat="1">
      <c r="A25321" s="136"/>
      <c r="CM25321" s="111"/>
      <c r="CQ25321" s="111"/>
      <c r="EF25321"/>
      <c r="EG25321"/>
      <c r="EH25321"/>
      <c r="EI25321"/>
      <c r="EJ25321"/>
      <c r="EK25321"/>
    </row>
    <row r="25322" spans="1:141" s="116" customFormat="1">
      <c r="A25322" s="136"/>
      <c r="CM25322" s="111"/>
      <c r="CQ25322" s="111"/>
      <c r="EF25322"/>
      <c r="EG25322"/>
      <c r="EH25322"/>
      <c r="EI25322"/>
      <c r="EJ25322"/>
      <c r="EK25322"/>
    </row>
    <row r="25323" spans="1:141" s="116" customFormat="1">
      <c r="A25323" s="136"/>
      <c r="CM25323" s="111"/>
      <c r="CQ25323" s="111"/>
      <c r="EF25323"/>
      <c r="EG25323"/>
      <c r="EH25323"/>
      <c r="EI25323"/>
      <c r="EJ25323"/>
      <c r="EK25323"/>
    </row>
    <row r="25324" spans="1:141" s="116" customFormat="1">
      <c r="A25324" s="136"/>
      <c r="CM25324" s="111"/>
      <c r="CQ25324" s="111"/>
      <c r="EF25324"/>
      <c r="EG25324"/>
      <c r="EH25324"/>
      <c r="EI25324"/>
      <c r="EJ25324"/>
      <c r="EK25324"/>
    </row>
    <row r="25325" spans="1:141" s="116" customFormat="1">
      <c r="A25325" s="136"/>
      <c r="CM25325" s="111"/>
      <c r="CQ25325" s="111"/>
      <c r="EF25325"/>
      <c r="EG25325"/>
      <c r="EH25325"/>
      <c r="EI25325"/>
      <c r="EJ25325"/>
      <c r="EK25325"/>
    </row>
    <row r="25326" spans="1:141" s="116" customFormat="1">
      <c r="A25326" s="136"/>
      <c r="CM25326" s="111"/>
      <c r="CQ25326" s="111"/>
      <c r="EF25326"/>
      <c r="EG25326"/>
      <c r="EH25326"/>
      <c r="EI25326"/>
      <c r="EJ25326"/>
      <c r="EK25326"/>
    </row>
    <row r="25327" spans="1:141" s="116" customFormat="1">
      <c r="A25327" s="136"/>
      <c r="CM25327" s="111"/>
      <c r="CQ25327" s="111"/>
      <c r="EF25327"/>
      <c r="EG25327"/>
      <c r="EH25327"/>
      <c r="EI25327"/>
      <c r="EJ25327"/>
      <c r="EK25327"/>
    </row>
    <row r="25328" spans="1:141" s="116" customFormat="1">
      <c r="A25328" s="136"/>
      <c r="CM25328" s="111"/>
      <c r="CQ25328" s="111"/>
      <c r="EF25328"/>
      <c r="EG25328"/>
      <c r="EH25328"/>
      <c r="EI25328"/>
      <c r="EJ25328"/>
      <c r="EK25328"/>
    </row>
    <row r="25329" spans="1:141" s="116" customFormat="1">
      <c r="A25329" s="136"/>
      <c r="CM25329" s="111"/>
      <c r="CQ25329" s="111"/>
      <c r="EF25329"/>
      <c r="EG25329"/>
      <c r="EH25329"/>
      <c r="EI25329"/>
      <c r="EJ25329"/>
      <c r="EK25329"/>
    </row>
    <row r="25330" spans="1:141" s="116" customFormat="1">
      <c r="A25330" s="136"/>
      <c r="CM25330" s="111"/>
      <c r="CQ25330" s="111"/>
      <c r="EF25330"/>
      <c r="EG25330"/>
      <c r="EH25330"/>
      <c r="EI25330"/>
      <c r="EJ25330"/>
      <c r="EK25330"/>
    </row>
    <row r="25331" spans="1:141" s="116" customFormat="1">
      <c r="A25331" s="136"/>
      <c r="CM25331" s="111"/>
      <c r="CQ25331" s="111"/>
      <c r="EF25331"/>
      <c r="EG25331"/>
      <c r="EH25331"/>
      <c r="EI25331"/>
      <c r="EJ25331"/>
      <c r="EK25331"/>
    </row>
    <row r="25332" spans="1:141" s="116" customFormat="1">
      <c r="A25332" s="136"/>
      <c r="CM25332" s="111"/>
      <c r="CQ25332" s="111"/>
      <c r="EF25332"/>
      <c r="EG25332"/>
      <c r="EH25332"/>
      <c r="EI25332"/>
      <c r="EJ25332"/>
      <c r="EK25332"/>
    </row>
    <row r="25333" spans="1:141" s="116" customFormat="1">
      <c r="A25333" s="136"/>
      <c r="CM25333" s="111"/>
      <c r="CQ25333" s="111"/>
      <c r="EF25333"/>
      <c r="EG25333"/>
      <c r="EH25333"/>
      <c r="EI25333"/>
      <c r="EJ25333"/>
      <c r="EK25333"/>
    </row>
    <row r="25334" spans="1:141" s="116" customFormat="1">
      <c r="A25334" s="136"/>
      <c r="CM25334" s="111"/>
      <c r="CQ25334" s="111"/>
      <c r="EF25334"/>
      <c r="EG25334"/>
      <c r="EH25334"/>
      <c r="EI25334"/>
      <c r="EJ25334"/>
      <c r="EK25334"/>
    </row>
    <row r="25335" spans="1:141" s="116" customFormat="1">
      <c r="A25335" s="136"/>
      <c r="CM25335" s="111"/>
      <c r="CQ25335" s="111"/>
      <c r="EF25335"/>
      <c r="EG25335"/>
      <c r="EH25335"/>
      <c r="EI25335"/>
      <c r="EJ25335"/>
      <c r="EK25335"/>
    </row>
    <row r="25336" spans="1:141" s="116" customFormat="1">
      <c r="A25336" s="136"/>
      <c r="CM25336" s="111"/>
      <c r="CQ25336" s="111"/>
      <c r="EF25336"/>
      <c r="EG25336"/>
      <c r="EH25336"/>
      <c r="EI25336"/>
      <c r="EJ25336"/>
      <c r="EK25336"/>
    </row>
    <row r="25337" spans="1:141" s="116" customFormat="1">
      <c r="A25337" s="136"/>
      <c r="CM25337" s="111"/>
      <c r="CQ25337" s="111"/>
      <c r="EF25337"/>
      <c r="EG25337"/>
      <c r="EH25337"/>
      <c r="EI25337"/>
      <c r="EJ25337"/>
      <c r="EK25337"/>
    </row>
    <row r="25338" spans="1:141" s="116" customFormat="1">
      <c r="A25338" s="136"/>
      <c r="CM25338" s="111"/>
      <c r="CQ25338" s="111"/>
      <c r="EF25338"/>
      <c r="EG25338"/>
      <c r="EH25338"/>
      <c r="EI25338"/>
      <c r="EJ25338"/>
      <c r="EK25338"/>
    </row>
    <row r="25339" spans="1:141" s="116" customFormat="1">
      <c r="A25339" s="136"/>
      <c r="CM25339" s="111"/>
      <c r="CQ25339" s="111"/>
      <c r="EF25339"/>
      <c r="EG25339"/>
      <c r="EH25339"/>
      <c r="EI25339"/>
      <c r="EJ25339"/>
      <c r="EK25339"/>
    </row>
    <row r="25340" spans="1:141" s="116" customFormat="1">
      <c r="A25340" s="136"/>
      <c r="CM25340" s="111"/>
      <c r="CQ25340" s="111"/>
      <c r="EF25340"/>
      <c r="EG25340"/>
      <c r="EH25340"/>
      <c r="EI25340"/>
      <c r="EJ25340"/>
      <c r="EK25340"/>
    </row>
    <row r="25341" spans="1:141" s="116" customFormat="1">
      <c r="A25341" s="136"/>
      <c r="CM25341" s="111"/>
      <c r="CQ25341" s="111"/>
      <c r="EF25341"/>
      <c r="EG25341"/>
      <c r="EH25341"/>
      <c r="EI25341"/>
      <c r="EJ25341"/>
      <c r="EK25341"/>
    </row>
    <row r="25342" spans="1:141" s="116" customFormat="1">
      <c r="A25342" s="136"/>
      <c r="CM25342" s="111"/>
      <c r="CQ25342" s="111"/>
      <c r="EF25342"/>
      <c r="EG25342"/>
      <c r="EH25342"/>
      <c r="EI25342"/>
      <c r="EJ25342"/>
      <c r="EK25342"/>
    </row>
    <row r="25343" spans="1:141" s="116" customFormat="1">
      <c r="A25343" s="136"/>
      <c r="CM25343" s="111"/>
      <c r="CQ25343" s="111"/>
      <c r="EF25343"/>
      <c r="EG25343"/>
      <c r="EH25343"/>
      <c r="EI25343"/>
      <c r="EJ25343"/>
      <c r="EK25343"/>
    </row>
    <row r="25344" spans="1:141" s="116" customFormat="1">
      <c r="A25344" s="136"/>
      <c r="CM25344" s="111"/>
      <c r="CQ25344" s="111"/>
      <c r="EF25344"/>
      <c r="EG25344"/>
      <c r="EH25344"/>
      <c r="EI25344"/>
      <c r="EJ25344"/>
      <c r="EK25344"/>
    </row>
    <row r="25345" spans="1:141" s="116" customFormat="1">
      <c r="A25345" s="136"/>
      <c r="CM25345" s="111"/>
      <c r="CQ25345" s="111"/>
      <c r="EF25345"/>
      <c r="EG25345"/>
      <c r="EH25345"/>
      <c r="EI25345"/>
      <c r="EJ25345"/>
      <c r="EK25345"/>
    </row>
    <row r="25346" spans="1:141" s="116" customFormat="1">
      <c r="A25346" s="136"/>
      <c r="CM25346" s="111"/>
      <c r="CQ25346" s="111"/>
      <c r="EF25346"/>
      <c r="EG25346"/>
      <c r="EH25346"/>
      <c r="EI25346"/>
      <c r="EJ25346"/>
      <c r="EK25346"/>
    </row>
    <row r="25347" spans="1:141" s="116" customFormat="1">
      <c r="A25347" s="136"/>
      <c r="CM25347" s="111"/>
      <c r="CQ25347" s="111"/>
      <c r="EF25347"/>
      <c r="EG25347"/>
      <c r="EH25347"/>
      <c r="EI25347"/>
      <c r="EJ25347"/>
      <c r="EK25347"/>
    </row>
    <row r="25348" spans="1:141" s="116" customFormat="1">
      <c r="A25348" s="136"/>
      <c r="CM25348" s="111"/>
      <c r="CQ25348" s="111"/>
      <c r="EF25348"/>
      <c r="EG25348"/>
      <c r="EH25348"/>
      <c r="EI25348"/>
      <c r="EJ25348"/>
      <c r="EK25348"/>
    </row>
    <row r="25349" spans="1:141" s="116" customFormat="1">
      <c r="A25349" s="136"/>
      <c r="CM25349" s="111"/>
      <c r="CQ25349" s="111"/>
      <c r="EF25349"/>
      <c r="EG25349"/>
      <c r="EH25349"/>
      <c r="EI25349"/>
      <c r="EJ25349"/>
      <c r="EK25349"/>
    </row>
    <row r="25350" spans="1:141" s="116" customFormat="1">
      <c r="A25350" s="136"/>
      <c r="CM25350" s="111"/>
      <c r="CQ25350" s="111"/>
      <c r="EF25350"/>
      <c r="EG25350"/>
      <c r="EH25350"/>
      <c r="EI25350"/>
      <c r="EJ25350"/>
      <c r="EK25350"/>
    </row>
    <row r="25351" spans="1:141" s="116" customFormat="1">
      <c r="A25351" s="136"/>
      <c r="CM25351" s="111"/>
      <c r="CQ25351" s="111"/>
      <c r="EF25351"/>
      <c r="EG25351"/>
      <c r="EH25351"/>
      <c r="EI25351"/>
      <c r="EJ25351"/>
      <c r="EK25351"/>
    </row>
    <row r="25352" spans="1:141" s="116" customFormat="1">
      <c r="A25352" s="136"/>
      <c r="CM25352" s="111"/>
      <c r="CQ25352" s="111"/>
      <c r="EF25352"/>
      <c r="EG25352"/>
      <c r="EH25352"/>
      <c r="EI25352"/>
      <c r="EJ25352"/>
      <c r="EK25352"/>
    </row>
    <row r="25353" spans="1:141" s="116" customFormat="1">
      <c r="A25353" s="136"/>
      <c r="CM25353" s="111"/>
      <c r="CQ25353" s="111"/>
      <c r="EF25353"/>
      <c r="EG25353"/>
      <c r="EH25353"/>
      <c r="EI25353"/>
      <c r="EJ25353"/>
      <c r="EK25353"/>
    </row>
    <row r="25354" spans="1:141" s="116" customFormat="1">
      <c r="A25354" s="136"/>
      <c r="CM25354" s="111"/>
      <c r="CQ25354" s="111"/>
      <c r="EF25354"/>
      <c r="EG25354"/>
      <c r="EH25354"/>
      <c r="EI25354"/>
      <c r="EJ25354"/>
      <c r="EK25354"/>
    </row>
    <row r="25355" spans="1:141" s="116" customFormat="1">
      <c r="A25355" s="136"/>
      <c r="CM25355" s="111"/>
      <c r="CQ25355" s="111"/>
      <c r="EF25355"/>
      <c r="EG25355"/>
      <c r="EH25355"/>
      <c r="EI25355"/>
      <c r="EJ25355"/>
      <c r="EK25355"/>
    </row>
    <row r="25356" spans="1:141" s="116" customFormat="1">
      <c r="A25356" s="136"/>
      <c r="CM25356" s="111"/>
      <c r="CQ25356" s="111"/>
      <c r="EF25356"/>
      <c r="EG25356"/>
      <c r="EH25356"/>
      <c r="EI25356"/>
      <c r="EJ25356"/>
      <c r="EK25356"/>
    </row>
    <row r="25357" spans="1:141" s="116" customFormat="1">
      <c r="A25357" s="136"/>
      <c r="CM25357" s="111"/>
      <c r="CQ25357" s="111"/>
      <c r="EF25357"/>
      <c r="EG25357"/>
      <c r="EH25357"/>
      <c r="EI25357"/>
      <c r="EJ25357"/>
      <c r="EK25357"/>
    </row>
    <row r="25358" spans="1:141" s="116" customFormat="1">
      <c r="A25358" s="136"/>
      <c r="CM25358" s="111"/>
      <c r="CQ25358" s="111"/>
      <c r="EF25358"/>
      <c r="EG25358"/>
      <c r="EH25358"/>
      <c r="EI25358"/>
      <c r="EJ25358"/>
      <c r="EK25358"/>
    </row>
    <row r="25359" spans="1:141" s="116" customFormat="1">
      <c r="A25359" s="136"/>
      <c r="CM25359" s="111"/>
      <c r="CQ25359" s="111"/>
      <c r="EF25359"/>
      <c r="EG25359"/>
      <c r="EH25359"/>
      <c r="EI25359"/>
      <c r="EJ25359"/>
      <c r="EK25359"/>
    </row>
    <row r="25360" spans="1:141" s="116" customFormat="1">
      <c r="A25360" s="136"/>
      <c r="CM25360" s="111"/>
      <c r="CQ25360" s="111"/>
      <c r="EF25360"/>
      <c r="EG25360"/>
      <c r="EH25360"/>
      <c r="EI25360"/>
      <c r="EJ25360"/>
      <c r="EK25360"/>
    </row>
    <row r="25361" spans="1:141" s="116" customFormat="1">
      <c r="A25361" s="136"/>
      <c r="CM25361" s="111"/>
      <c r="CQ25361" s="111"/>
      <c r="EF25361"/>
      <c r="EG25361"/>
      <c r="EH25361"/>
      <c r="EI25361"/>
      <c r="EJ25361"/>
      <c r="EK25361"/>
    </row>
    <row r="25362" spans="1:141" s="116" customFormat="1">
      <c r="A25362" s="136"/>
      <c r="CM25362" s="111"/>
      <c r="CQ25362" s="111"/>
      <c r="EF25362"/>
      <c r="EG25362"/>
      <c r="EH25362"/>
      <c r="EI25362"/>
      <c r="EJ25362"/>
      <c r="EK25362"/>
    </row>
    <row r="25363" spans="1:141" s="116" customFormat="1">
      <c r="A25363" s="136"/>
      <c r="CM25363" s="111"/>
      <c r="CQ25363" s="111"/>
      <c r="EF25363"/>
      <c r="EG25363"/>
      <c r="EH25363"/>
      <c r="EI25363"/>
      <c r="EJ25363"/>
      <c r="EK25363"/>
    </row>
    <row r="25364" spans="1:141" s="116" customFormat="1">
      <c r="A25364" s="136"/>
      <c r="CM25364" s="111"/>
      <c r="CQ25364" s="111"/>
      <c r="EF25364"/>
      <c r="EG25364"/>
      <c r="EH25364"/>
      <c r="EI25364"/>
      <c r="EJ25364"/>
      <c r="EK25364"/>
    </row>
    <row r="25365" spans="1:141" s="116" customFormat="1">
      <c r="A25365" s="136"/>
      <c r="CM25365" s="111"/>
      <c r="CQ25365" s="111"/>
      <c r="EF25365"/>
      <c r="EG25365"/>
      <c r="EH25365"/>
      <c r="EI25365"/>
      <c r="EJ25365"/>
      <c r="EK25365"/>
    </row>
    <row r="25366" spans="1:141" s="116" customFormat="1">
      <c r="A25366" s="136"/>
      <c r="CM25366" s="111"/>
      <c r="CQ25366" s="111"/>
      <c r="EF25366"/>
      <c r="EG25366"/>
      <c r="EH25366"/>
      <c r="EI25366"/>
      <c r="EJ25366"/>
      <c r="EK25366"/>
    </row>
    <row r="25367" spans="1:141" s="116" customFormat="1">
      <c r="A25367" s="136"/>
      <c r="CM25367" s="111"/>
      <c r="CQ25367" s="111"/>
      <c r="EF25367"/>
      <c r="EG25367"/>
      <c r="EH25367"/>
      <c r="EI25367"/>
      <c r="EJ25367"/>
      <c r="EK25367"/>
    </row>
    <row r="25368" spans="1:141" s="116" customFormat="1">
      <c r="A25368" s="136"/>
      <c r="CM25368" s="111"/>
      <c r="CQ25368" s="111"/>
      <c r="EF25368"/>
      <c r="EG25368"/>
      <c r="EH25368"/>
      <c r="EI25368"/>
      <c r="EJ25368"/>
      <c r="EK25368"/>
    </row>
    <row r="25369" spans="1:141" s="116" customFormat="1">
      <c r="A25369" s="136"/>
      <c r="CM25369" s="111"/>
      <c r="CQ25369" s="111"/>
      <c r="EF25369"/>
      <c r="EG25369"/>
      <c r="EH25369"/>
      <c r="EI25369"/>
      <c r="EJ25369"/>
      <c r="EK25369"/>
    </row>
    <row r="25370" spans="1:141" s="116" customFormat="1">
      <c r="A25370" s="136"/>
      <c r="CM25370" s="111"/>
      <c r="CQ25370" s="111"/>
      <c r="EF25370"/>
      <c r="EG25370"/>
      <c r="EH25370"/>
      <c r="EI25370"/>
      <c r="EJ25370"/>
      <c r="EK25370"/>
    </row>
    <row r="25371" spans="1:141" s="116" customFormat="1">
      <c r="A25371" s="136"/>
      <c r="CM25371" s="111"/>
      <c r="CQ25371" s="111"/>
      <c r="EF25371"/>
      <c r="EG25371"/>
      <c r="EH25371"/>
      <c r="EI25371"/>
      <c r="EJ25371"/>
      <c r="EK25371"/>
    </row>
    <row r="25372" spans="1:141" s="116" customFormat="1">
      <c r="A25372" s="136"/>
      <c r="CM25372" s="111"/>
      <c r="CQ25372" s="111"/>
      <c r="EF25372"/>
      <c r="EG25372"/>
      <c r="EH25372"/>
      <c r="EI25372"/>
      <c r="EJ25372"/>
      <c r="EK25372"/>
    </row>
    <row r="25373" spans="1:141" s="116" customFormat="1">
      <c r="A25373" s="136"/>
      <c r="CM25373" s="111"/>
      <c r="CQ25373" s="111"/>
      <c r="EF25373"/>
      <c r="EG25373"/>
      <c r="EH25373"/>
      <c r="EI25373"/>
      <c r="EJ25373"/>
      <c r="EK25373"/>
    </row>
    <row r="25374" spans="1:141" s="116" customFormat="1">
      <c r="A25374" s="136"/>
      <c r="CM25374" s="111"/>
      <c r="CQ25374" s="111"/>
      <c r="EF25374"/>
      <c r="EG25374"/>
      <c r="EH25374"/>
      <c r="EI25374"/>
      <c r="EJ25374"/>
      <c r="EK25374"/>
    </row>
    <row r="25375" spans="1:141" s="116" customFormat="1">
      <c r="A25375" s="136"/>
      <c r="CM25375" s="111"/>
      <c r="CQ25375" s="111"/>
      <c r="EF25375"/>
      <c r="EG25375"/>
      <c r="EH25375"/>
      <c r="EI25375"/>
      <c r="EJ25375"/>
      <c r="EK25375"/>
    </row>
    <row r="25376" spans="1:141" s="116" customFormat="1">
      <c r="A25376" s="136"/>
      <c r="CM25376" s="111"/>
      <c r="CQ25376" s="111"/>
      <c r="EF25376"/>
      <c r="EG25376"/>
      <c r="EH25376"/>
      <c r="EI25376"/>
      <c r="EJ25376"/>
      <c r="EK25376"/>
    </row>
    <row r="25377" spans="1:141" s="116" customFormat="1">
      <c r="A25377" s="136"/>
      <c r="CM25377" s="111"/>
      <c r="CQ25377" s="111"/>
      <c r="EF25377"/>
      <c r="EG25377"/>
      <c r="EH25377"/>
      <c r="EI25377"/>
      <c r="EJ25377"/>
      <c r="EK25377"/>
    </row>
    <row r="25378" spans="1:141" s="116" customFormat="1">
      <c r="A25378" s="136"/>
      <c r="CM25378" s="111"/>
      <c r="CQ25378" s="111"/>
      <c r="EF25378"/>
      <c r="EG25378"/>
      <c r="EH25378"/>
      <c r="EI25378"/>
      <c r="EJ25378"/>
      <c r="EK25378"/>
    </row>
    <row r="25379" spans="1:141" s="116" customFormat="1">
      <c r="A25379" s="136"/>
      <c r="CM25379" s="111"/>
      <c r="CQ25379" s="111"/>
      <c r="EF25379"/>
      <c r="EG25379"/>
      <c r="EH25379"/>
      <c r="EI25379"/>
      <c r="EJ25379"/>
      <c r="EK25379"/>
    </row>
    <row r="25380" spans="1:141" s="116" customFormat="1">
      <c r="A25380" s="136"/>
      <c r="CM25380" s="111"/>
      <c r="CQ25380" s="111"/>
      <c r="EF25380"/>
      <c r="EG25380"/>
      <c r="EH25380"/>
      <c r="EI25380"/>
      <c r="EJ25380"/>
      <c r="EK25380"/>
    </row>
    <row r="25381" spans="1:141" s="116" customFormat="1">
      <c r="A25381" s="136"/>
      <c r="CM25381" s="111"/>
      <c r="CQ25381" s="111"/>
      <c r="EF25381"/>
      <c r="EG25381"/>
      <c r="EH25381"/>
      <c r="EI25381"/>
      <c r="EJ25381"/>
      <c r="EK25381"/>
    </row>
    <row r="25382" spans="1:141" s="116" customFormat="1">
      <c r="A25382" s="136"/>
      <c r="CM25382" s="111"/>
      <c r="CQ25382" s="111"/>
      <c r="EF25382"/>
      <c r="EG25382"/>
      <c r="EH25382"/>
      <c r="EI25382"/>
      <c r="EJ25382"/>
      <c r="EK25382"/>
    </row>
    <row r="25383" spans="1:141" s="116" customFormat="1">
      <c r="A25383" s="136"/>
      <c r="CM25383" s="111"/>
      <c r="CQ25383" s="111"/>
      <c r="EF25383"/>
      <c r="EG25383"/>
      <c r="EH25383"/>
      <c r="EI25383"/>
      <c r="EJ25383"/>
      <c r="EK25383"/>
    </row>
    <row r="25384" spans="1:141" s="116" customFormat="1">
      <c r="A25384" s="136"/>
      <c r="CM25384" s="111"/>
      <c r="CQ25384" s="111"/>
      <c r="EF25384"/>
      <c r="EG25384"/>
      <c r="EH25384"/>
      <c r="EI25384"/>
      <c r="EJ25384"/>
      <c r="EK25384"/>
    </row>
    <row r="25385" spans="1:141" s="116" customFormat="1">
      <c r="A25385" s="136"/>
      <c r="CM25385" s="111"/>
      <c r="CQ25385" s="111"/>
      <c r="EF25385"/>
      <c r="EG25385"/>
      <c r="EH25385"/>
      <c r="EI25385"/>
      <c r="EJ25385"/>
      <c r="EK25385"/>
    </row>
    <row r="25386" spans="1:141" s="116" customFormat="1">
      <c r="A25386" s="136"/>
      <c r="CM25386" s="111"/>
      <c r="CQ25386" s="111"/>
      <c r="EF25386"/>
      <c r="EG25386"/>
      <c r="EH25386"/>
      <c r="EI25386"/>
      <c r="EJ25386"/>
      <c r="EK25386"/>
    </row>
    <row r="25387" spans="1:141" s="116" customFormat="1">
      <c r="A25387" s="136"/>
      <c r="CM25387" s="111"/>
      <c r="CQ25387" s="111"/>
      <c r="EF25387"/>
      <c r="EG25387"/>
      <c r="EH25387"/>
      <c r="EI25387"/>
      <c r="EJ25387"/>
      <c r="EK25387"/>
    </row>
    <row r="25388" spans="1:141" s="116" customFormat="1">
      <c r="A25388" s="136"/>
      <c r="CM25388" s="111"/>
      <c r="CQ25388" s="111"/>
      <c r="EF25388"/>
      <c r="EG25388"/>
      <c r="EH25388"/>
      <c r="EI25388"/>
      <c r="EJ25388"/>
      <c r="EK25388"/>
    </row>
    <row r="25389" spans="1:141" s="116" customFormat="1">
      <c r="A25389" s="136"/>
      <c r="CM25389" s="111"/>
      <c r="CQ25389" s="111"/>
      <c r="EF25389"/>
      <c r="EG25389"/>
      <c r="EH25389"/>
      <c r="EI25389"/>
      <c r="EJ25389"/>
      <c r="EK25389"/>
    </row>
    <row r="25390" spans="1:141" s="116" customFormat="1">
      <c r="A25390" s="136"/>
      <c r="CM25390" s="111"/>
      <c r="CQ25390" s="111"/>
      <c r="EF25390"/>
      <c r="EG25390"/>
      <c r="EH25390"/>
      <c r="EI25390"/>
      <c r="EJ25390"/>
      <c r="EK25390"/>
    </row>
    <row r="25391" spans="1:141" s="116" customFormat="1">
      <c r="A25391" s="136"/>
      <c r="CM25391" s="111"/>
      <c r="CQ25391" s="111"/>
      <c r="EF25391"/>
      <c r="EG25391"/>
      <c r="EH25391"/>
      <c r="EI25391"/>
      <c r="EJ25391"/>
      <c r="EK25391"/>
    </row>
    <row r="25392" spans="1:141" s="116" customFormat="1">
      <c r="A25392" s="136"/>
      <c r="CM25392" s="111"/>
      <c r="CQ25392" s="111"/>
      <c r="EF25392"/>
      <c r="EG25392"/>
      <c r="EH25392"/>
      <c r="EI25392"/>
      <c r="EJ25392"/>
      <c r="EK25392"/>
    </row>
    <row r="25393" spans="1:141" s="116" customFormat="1">
      <c r="A25393" s="136"/>
      <c r="CM25393" s="111"/>
      <c r="CQ25393" s="111"/>
      <c r="EF25393"/>
      <c r="EG25393"/>
      <c r="EH25393"/>
      <c r="EI25393"/>
      <c r="EJ25393"/>
      <c r="EK25393"/>
    </row>
    <row r="25394" spans="1:141" s="116" customFormat="1">
      <c r="A25394" s="136"/>
      <c r="CM25394" s="111"/>
      <c r="CQ25394" s="111"/>
      <c r="EF25394"/>
      <c r="EG25394"/>
      <c r="EH25394"/>
      <c r="EI25394"/>
      <c r="EJ25394"/>
      <c r="EK25394"/>
    </row>
    <row r="25395" spans="1:141" s="116" customFormat="1">
      <c r="A25395" s="136"/>
      <c r="CM25395" s="111"/>
      <c r="CQ25395" s="111"/>
      <c r="EF25395"/>
      <c r="EG25395"/>
      <c r="EH25395"/>
      <c r="EI25395"/>
      <c r="EJ25395"/>
      <c r="EK25395"/>
    </row>
    <row r="25396" spans="1:141" s="116" customFormat="1">
      <c r="A25396" s="136"/>
      <c r="CM25396" s="111"/>
      <c r="CQ25396" s="111"/>
      <c r="EF25396"/>
      <c r="EG25396"/>
      <c r="EH25396"/>
      <c r="EI25396"/>
      <c r="EJ25396"/>
      <c r="EK25396"/>
    </row>
    <row r="25397" spans="1:141" s="116" customFormat="1">
      <c r="A25397" s="136"/>
      <c r="CM25397" s="111"/>
      <c r="CQ25397" s="111"/>
      <c r="EF25397"/>
      <c r="EG25397"/>
      <c r="EH25397"/>
      <c r="EI25397"/>
      <c r="EJ25397"/>
      <c r="EK25397"/>
    </row>
    <row r="25398" spans="1:141" s="116" customFormat="1">
      <c r="A25398" s="136"/>
      <c r="CM25398" s="111"/>
      <c r="CQ25398" s="111"/>
      <c r="EF25398"/>
      <c r="EG25398"/>
      <c r="EH25398"/>
      <c r="EI25398"/>
      <c r="EJ25398"/>
      <c r="EK25398"/>
    </row>
    <row r="25399" spans="1:141" s="116" customFormat="1">
      <c r="A25399" s="136"/>
      <c r="CM25399" s="111"/>
      <c r="CQ25399" s="111"/>
      <c r="EF25399"/>
      <c r="EG25399"/>
      <c r="EH25399"/>
      <c r="EI25399"/>
      <c r="EJ25399"/>
      <c r="EK25399"/>
    </row>
    <row r="25400" spans="1:141" s="116" customFormat="1">
      <c r="A25400" s="136"/>
      <c r="CM25400" s="111"/>
      <c r="CQ25400" s="111"/>
      <c r="EF25400"/>
      <c r="EG25400"/>
      <c r="EH25400"/>
      <c r="EI25400"/>
      <c r="EJ25400"/>
      <c r="EK25400"/>
    </row>
    <row r="25401" spans="1:141" s="116" customFormat="1">
      <c r="A25401" s="136"/>
      <c r="CM25401" s="111"/>
      <c r="CQ25401" s="111"/>
      <c r="EF25401"/>
      <c r="EG25401"/>
      <c r="EH25401"/>
      <c r="EI25401"/>
      <c r="EJ25401"/>
      <c r="EK25401"/>
    </row>
    <row r="25402" spans="1:141" s="116" customFormat="1">
      <c r="A25402" s="136"/>
      <c r="CM25402" s="111"/>
      <c r="CQ25402" s="111"/>
      <c r="EF25402"/>
      <c r="EG25402"/>
      <c r="EH25402"/>
      <c r="EI25402"/>
      <c r="EJ25402"/>
      <c r="EK25402"/>
    </row>
    <row r="25403" spans="1:141" s="116" customFormat="1">
      <c r="A25403" s="136"/>
      <c r="CM25403" s="111"/>
      <c r="CQ25403" s="111"/>
      <c r="EF25403"/>
      <c r="EG25403"/>
      <c r="EH25403"/>
      <c r="EI25403"/>
      <c r="EJ25403"/>
      <c r="EK25403"/>
    </row>
    <row r="25404" spans="1:141" s="116" customFormat="1">
      <c r="A25404" s="136"/>
      <c r="CM25404" s="111"/>
      <c r="CQ25404" s="111"/>
      <c r="EF25404"/>
      <c r="EG25404"/>
      <c r="EH25404"/>
      <c r="EI25404"/>
      <c r="EJ25404"/>
      <c r="EK25404"/>
    </row>
    <row r="25405" spans="1:141" s="116" customFormat="1">
      <c r="A25405" s="136"/>
      <c r="CM25405" s="111"/>
      <c r="CQ25405" s="111"/>
      <c r="EF25405"/>
      <c r="EG25405"/>
      <c r="EH25405"/>
      <c r="EI25405"/>
      <c r="EJ25405"/>
      <c r="EK25405"/>
    </row>
    <row r="25406" spans="1:141" s="116" customFormat="1">
      <c r="A25406" s="136"/>
      <c r="CM25406" s="111"/>
      <c r="CQ25406" s="111"/>
      <c r="EF25406"/>
      <c r="EG25406"/>
      <c r="EH25406"/>
      <c r="EI25406"/>
      <c r="EJ25406"/>
      <c r="EK25406"/>
    </row>
    <row r="25407" spans="1:141" s="116" customFormat="1">
      <c r="A25407" s="136"/>
      <c r="CM25407" s="111"/>
      <c r="CQ25407" s="111"/>
      <c r="EF25407"/>
      <c r="EG25407"/>
      <c r="EH25407"/>
      <c r="EI25407"/>
      <c r="EJ25407"/>
      <c r="EK25407"/>
    </row>
    <row r="25408" spans="1:141" s="116" customFormat="1">
      <c r="A25408" s="136"/>
      <c r="CM25408" s="111"/>
      <c r="CQ25408" s="111"/>
      <c r="EF25408"/>
      <c r="EG25408"/>
      <c r="EH25408"/>
      <c r="EI25408"/>
      <c r="EJ25408"/>
      <c r="EK25408"/>
    </row>
    <row r="25409" spans="1:141" s="116" customFormat="1">
      <c r="A25409" s="136"/>
      <c r="CM25409" s="111"/>
      <c r="CQ25409" s="111"/>
      <c r="EF25409"/>
      <c r="EG25409"/>
      <c r="EH25409"/>
      <c r="EI25409"/>
      <c r="EJ25409"/>
      <c r="EK25409"/>
    </row>
    <row r="25410" spans="1:141" s="116" customFormat="1">
      <c r="A25410" s="136"/>
      <c r="CM25410" s="111"/>
      <c r="CQ25410" s="111"/>
      <c r="EF25410"/>
      <c r="EG25410"/>
      <c r="EH25410"/>
      <c r="EI25410"/>
      <c r="EJ25410"/>
      <c r="EK25410"/>
    </row>
    <row r="25411" spans="1:141" s="116" customFormat="1">
      <c r="A25411" s="136"/>
      <c r="CM25411" s="111"/>
      <c r="CQ25411" s="111"/>
      <c r="EF25411"/>
      <c r="EG25411"/>
      <c r="EH25411"/>
      <c r="EI25411"/>
      <c r="EJ25411"/>
      <c r="EK25411"/>
    </row>
    <row r="25412" spans="1:141" s="116" customFormat="1">
      <c r="A25412" s="136"/>
      <c r="CM25412" s="111"/>
      <c r="CQ25412" s="111"/>
      <c r="EF25412"/>
      <c r="EG25412"/>
      <c r="EH25412"/>
      <c r="EI25412"/>
      <c r="EJ25412"/>
      <c r="EK25412"/>
    </row>
    <row r="25413" spans="1:141" s="116" customFormat="1">
      <c r="A25413" s="136"/>
      <c r="CM25413" s="111"/>
      <c r="CQ25413" s="111"/>
      <c r="EF25413"/>
      <c r="EG25413"/>
      <c r="EH25413"/>
      <c r="EI25413"/>
      <c r="EJ25413"/>
      <c r="EK25413"/>
    </row>
    <row r="25414" spans="1:141" s="116" customFormat="1">
      <c r="A25414" s="136"/>
      <c r="CM25414" s="111"/>
      <c r="CQ25414" s="111"/>
      <c r="EF25414"/>
      <c r="EG25414"/>
      <c r="EH25414"/>
      <c r="EI25414"/>
      <c r="EJ25414"/>
      <c r="EK25414"/>
    </row>
    <row r="25415" spans="1:141" s="116" customFormat="1">
      <c r="A25415" s="136"/>
      <c r="CM25415" s="111"/>
      <c r="CQ25415" s="111"/>
      <c r="EF25415"/>
      <c r="EG25415"/>
      <c r="EH25415"/>
      <c r="EI25415"/>
      <c r="EJ25415"/>
      <c r="EK25415"/>
    </row>
    <row r="25416" spans="1:141" s="116" customFormat="1">
      <c r="A25416" s="136"/>
      <c r="CM25416" s="111"/>
      <c r="CQ25416" s="111"/>
      <c r="EF25416"/>
      <c r="EG25416"/>
      <c r="EH25416"/>
      <c r="EI25416"/>
      <c r="EJ25416"/>
      <c r="EK25416"/>
    </row>
    <row r="25417" spans="1:141" s="116" customFormat="1">
      <c r="A25417" s="136"/>
      <c r="CM25417" s="111"/>
      <c r="CQ25417" s="111"/>
      <c r="EF25417"/>
      <c r="EG25417"/>
      <c r="EH25417"/>
      <c r="EI25417"/>
      <c r="EJ25417"/>
      <c r="EK25417"/>
    </row>
    <row r="25418" spans="1:141" s="116" customFormat="1">
      <c r="A25418" s="136"/>
      <c r="CM25418" s="111"/>
      <c r="CQ25418" s="111"/>
      <c r="EF25418"/>
      <c r="EG25418"/>
      <c r="EH25418"/>
      <c r="EI25418"/>
      <c r="EJ25418"/>
      <c r="EK25418"/>
    </row>
    <row r="25419" spans="1:141" s="116" customFormat="1">
      <c r="A25419" s="136"/>
      <c r="CM25419" s="111"/>
      <c r="CQ25419" s="111"/>
      <c r="EF25419"/>
      <c r="EG25419"/>
      <c r="EH25419"/>
      <c r="EI25419"/>
      <c r="EJ25419"/>
      <c r="EK25419"/>
    </row>
    <row r="25420" spans="1:141" s="116" customFormat="1">
      <c r="A25420" s="136"/>
      <c r="CM25420" s="111"/>
      <c r="CQ25420" s="111"/>
      <c r="EF25420"/>
      <c r="EG25420"/>
      <c r="EH25420"/>
      <c r="EI25420"/>
      <c r="EJ25420"/>
      <c r="EK25420"/>
    </row>
    <row r="25421" spans="1:141" s="116" customFormat="1">
      <c r="A25421" s="136"/>
      <c r="CM25421" s="111"/>
      <c r="CQ25421" s="111"/>
      <c r="EF25421"/>
      <c r="EG25421"/>
      <c r="EH25421"/>
      <c r="EI25421"/>
      <c r="EJ25421"/>
      <c r="EK25421"/>
    </row>
    <row r="25422" spans="1:141" s="116" customFormat="1">
      <c r="A25422" s="136"/>
      <c r="CM25422" s="111"/>
      <c r="CQ25422" s="111"/>
      <c r="EF25422"/>
      <c r="EG25422"/>
      <c r="EH25422"/>
      <c r="EI25422"/>
      <c r="EJ25422"/>
      <c r="EK25422"/>
    </row>
    <row r="25423" spans="1:141" s="116" customFormat="1">
      <c r="A25423" s="136"/>
      <c r="CM25423" s="111"/>
      <c r="CQ25423" s="111"/>
      <c r="EF25423"/>
      <c r="EG25423"/>
      <c r="EH25423"/>
      <c r="EI25423"/>
      <c r="EJ25423"/>
      <c r="EK25423"/>
    </row>
    <row r="25424" spans="1:141" s="116" customFormat="1">
      <c r="A25424" s="136"/>
      <c r="CM25424" s="111"/>
      <c r="CQ25424" s="111"/>
      <c r="EF25424"/>
      <c r="EG25424"/>
      <c r="EH25424"/>
      <c r="EI25424"/>
      <c r="EJ25424"/>
      <c r="EK25424"/>
    </row>
    <row r="25425" spans="1:141" s="116" customFormat="1">
      <c r="A25425" s="136"/>
      <c r="CM25425" s="111"/>
      <c r="CQ25425" s="111"/>
      <c r="EF25425"/>
      <c r="EG25425"/>
      <c r="EH25425"/>
      <c r="EI25425"/>
      <c r="EJ25425"/>
      <c r="EK25425"/>
    </row>
    <row r="25426" spans="1:141" s="116" customFormat="1">
      <c r="A25426" s="136"/>
      <c r="CM25426" s="111"/>
      <c r="CQ25426" s="111"/>
      <c r="EF25426"/>
      <c r="EG25426"/>
      <c r="EH25426"/>
      <c r="EI25426"/>
      <c r="EJ25426"/>
      <c r="EK25426"/>
    </row>
    <row r="25427" spans="1:141" s="116" customFormat="1">
      <c r="A25427" s="136"/>
      <c r="CM25427" s="111"/>
      <c r="CQ25427" s="111"/>
      <c r="EF25427"/>
      <c r="EG25427"/>
      <c r="EH25427"/>
      <c r="EI25427"/>
      <c r="EJ25427"/>
      <c r="EK25427"/>
    </row>
    <row r="25428" spans="1:141" s="116" customFormat="1">
      <c r="A25428" s="136"/>
      <c r="CM25428" s="111"/>
      <c r="CQ25428" s="111"/>
      <c r="EF25428"/>
      <c r="EG25428"/>
      <c r="EH25428"/>
      <c r="EI25428"/>
      <c r="EJ25428"/>
      <c r="EK25428"/>
    </row>
    <row r="25429" spans="1:141" s="116" customFormat="1">
      <c r="A25429" s="136"/>
      <c r="CM25429" s="111"/>
      <c r="CQ25429" s="111"/>
      <c r="EF25429"/>
      <c r="EG25429"/>
      <c r="EH25429"/>
      <c r="EI25429"/>
      <c r="EJ25429"/>
      <c r="EK25429"/>
    </row>
    <row r="25430" spans="1:141" s="116" customFormat="1">
      <c r="A25430" s="136"/>
      <c r="CM25430" s="111"/>
      <c r="CQ25430" s="111"/>
      <c r="EF25430"/>
      <c r="EG25430"/>
      <c r="EH25430"/>
      <c r="EI25430"/>
      <c r="EJ25430"/>
      <c r="EK25430"/>
    </row>
    <row r="25431" spans="1:141" s="116" customFormat="1">
      <c r="A25431" s="136"/>
      <c r="CM25431" s="111"/>
      <c r="CQ25431" s="111"/>
      <c r="EF25431"/>
      <c r="EG25431"/>
      <c r="EH25431"/>
      <c r="EI25431"/>
      <c r="EJ25431"/>
      <c r="EK25431"/>
    </row>
    <row r="25432" spans="1:141" s="116" customFormat="1">
      <c r="A25432" s="136"/>
      <c r="CM25432" s="111"/>
      <c r="CQ25432" s="111"/>
      <c r="EF25432"/>
      <c r="EG25432"/>
      <c r="EH25432"/>
      <c r="EI25432"/>
      <c r="EJ25432"/>
      <c r="EK25432"/>
    </row>
    <row r="25433" spans="1:141" s="116" customFormat="1">
      <c r="A25433" s="136"/>
      <c r="CM25433" s="111"/>
      <c r="CQ25433" s="111"/>
      <c r="EF25433"/>
      <c r="EG25433"/>
      <c r="EH25433"/>
      <c r="EI25433"/>
      <c r="EJ25433"/>
      <c r="EK25433"/>
    </row>
    <row r="25434" spans="1:141" s="116" customFormat="1">
      <c r="A25434" s="136"/>
      <c r="CM25434" s="111"/>
      <c r="CQ25434" s="111"/>
      <c r="EF25434"/>
      <c r="EG25434"/>
      <c r="EH25434"/>
      <c r="EI25434"/>
      <c r="EJ25434"/>
      <c r="EK25434"/>
    </row>
    <row r="25435" spans="1:141" s="116" customFormat="1">
      <c r="A25435" s="136"/>
      <c r="CM25435" s="111"/>
      <c r="CQ25435" s="111"/>
      <c r="EF25435"/>
      <c r="EG25435"/>
      <c r="EH25435"/>
      <c r="EI25435"/>
      <c r="EJ25435"/>
      <c r="EK25435"/>
    </row>
    <row r="25436" spans="1:141" s="116" customFormat="1">
      <c r="A25436" s="136"/>
      <c r="CM25436" s="111"/>
      <c r="CQ25436" s="111"/>
      <c r="EF25436"/>
      <c r="EG25436"/>
      <c r="EH25436"/>
      <c r="EI25436"/>
      <c r="EJ25436"/>
      <c r="EK25436"/>
    </row>
    <row r="25437" spans="1:141" s="116" customFormat="1">
      <c r="A25437" s="136"/>
      <c r="CM25437" s="111"/>
      <c r="CQ25437" s="111"/>
      <c r="EF25437"/>
      <c r="EG25437"/>
      <c r="EH25437"/>
      <c r="EI25437"/>
      <c r="EJ25437"/>
      <c r="EK25437"/>
    </row>
    <row r="25438" spans="1:141" s="116" customFormat="1">
      <c r="A25438" s="136"/>
      <c r="CM25438" s="111"/>
      <c r="CQ25438" s="111"/>
      <c r="EF25438"/>
      <c r="EG25438"/>
      <c r="EH25438"/>
      <c r="EI25438"/>
      <c r="EJ25438"/>
      <c r="EK25438"/>
    </row>
    <row r="25439" spans="1:141" s="116" customFormat="1">
      <c r="A25439" s="136"/>
      <c r="CM25439" s="111"/>
      <c r="CQ25439" s="111"/>
      <c r="EF25439"/>
      <c r="EG25439"/>
      <c r="EH25439"/>
      <c r="EI25439"/>
      <c r="EJ25439"/>
      <c r="EK25439"/>
    </row>
    <row r="25440" spans="1:141" s="116" customFormat="1">
      <c r="A25440" s="136"/>
      <c r="CM25440" s="111"/>
      <c r="CQ25440" s="111"/>
      <c r="EF25440"/>
      <c r="EG25440"/>
      <c r="EH25440"/>
      <c r="EI25440"/>
      <c r="EJ25440"/>
      <c r="EK25440"/>
    </row>
    <row r="25441" spans="1:141" s="116" customFormat="1">
      <c r="A25441" s="136"/>
      <c r="CM25441" s="111"/>
      <c r="CQ25441" s="111"/>
      <c r="EF25441"/>
      <c r="EG25441"/>
      <c r="EH25441"/>
      <c r="EI25441"/>
      <c r="EJ25441"/>
      <c r="EK25441"/>
    </row>
    <row r="25442" spans="1:141" s="116" customFormat="1">
      <c r="A25442" s="136"/>
      <c r="CM25442" s="111"/>
      <c r="CQ25442" s="111"/>
      <c r="EF25442"/>
      <c r="EG25442"/>
      <c r="EH25442"/>
      <c r="EI25442"/>
      <c r="EJ25442"/>
      <c r="EK25442"/>
    </row>
    <row r="25443" spans="1:141" s="116" customFormat="1">
      <c r="A25443" s="136"/>
      <c r="CM25443" s="111"/>
      <c r="CQ25443" s="111"/>
      <c r="EF25443"/>
      <c r="EG25443"/>
      <c r="EH25443"/>
      <c r="EI25443"/>
      <c r="EJ25443"/>
      <c r="EK25443"/>
    </row>
    <row r="25444" spans="1:141" s="116" customFormat="1">
      <c r="A25444" s="136"/>
      <c r="CM25444" s="111"/>
      <c r="CQ25444" s="111"/>
      <c r="EF25444"/>
      <c r="EG25444"/>
      <c r="EH25444"/>
      <c r="EI25444"/>
      <c r="EJ25444"/>
      <c r="EK25444"/>
    </row>
    <row r="25445" spans="1:141" s="116" customFormat="1">
      <c r="A25445" s="136"/>
      <c r="CM25445" s="111"/>
      <c r="CQ25445" s="111"/>
      <c r="EF25445"/>
      <c r="EG25445"/>
      <c r="EH25445"/>
      <c r="EI25445"/>
      <c r="EJ25445"/>
      <c r="EK25445"/>
    </row>
    <row r="25446" spans="1:141" s="116" customFormat="1">
      <c r="A25446" s="136"/>
      <c r="CM25446" s="111"/>
      <c r="CQ25446" s="111"/>
      <c r="EF25446"/>
      <c r="EG25446"/>
      <c r="EH25446"/>
      <c r="EI25446"/>
      <c r="EJ25446"/>
      <c r="EK25446"/>
    </row>
    <row r="25447" spans="1:141" s="116" customFormat="1">
      <c r="A25447" s="136"/>
      <c r="CM25447" s="111"/>
      <c r="CQ25447" s="111"/>
      <c r="EF25447"/>
      <c r="EG25447"/>
      <c r="EH25447"/>
      <c r="EI25447"/>
      <c r="EJ25447"/>
      <c r="EK25447"/>
    </row>
    <row r="25448" spans="1:141" s="116" customFormat="1">
      <c r="A25448" s="136"/>
      <c r="CM25448" s="111"/>
      <c r="CQ25448" s="111"/>
      <c r="EF25448"/>
      <c r="EG25448"/>
      <c r="EH25448"/>
      <c r="EI25448"/>
      <c r="EJ25448"/>
      <c r="EK25448"/>
    </row>
    <row r="25449" spans="1:141" s="116" customFormat="1">
      <c r="A25449" s="136"/>
      <c r="CM25449" s="111"/>
      <c r="CQ25449" s="111"/>
      <c r="EF25449"/>
      <c r="EG25449"/>
      <c r="EH25449"/>
      <c r="EI25449"/>
      <c r="EJ25449"/>
      <c r="EK25449"/>
    </row>
    <row r="25450" spans="1:141" s="116" customFormat="1">
      <c r="A25450" s="136"/>
      <c r="CM25450" s="111"/>
      <c r="CQ25450" s="111"/>
      <c r="EF25450"/>
      <c r="EG25450"/>
      <c r="EH25450"/>
      <c r="EI25450"/>
      <c r="EJ25450"/>
      <c r="EK25450"/>
    </row>
    <row r="25451" spans="1:141" s="116" customFormat="1">
      <c r="A25451" s="136"/>
      <c r="CM25451" s="111"/>
      <c r="CQ25451" s="111"/>
      <c r="EF25451"/>
      <c r="EG25451"/>
      <c r="EH25451"/>
      <c r="EI25451"/>
      <c r="EJ25451"/>
      <c r="EK25451"/>
    </row>
    <row r="25452" spans="1:141" s="116" customFormat="1">
      <c r="A25452" s="136"/>
      <c r="CM25452" s="111"/>
      <c r="CQ25452" s="111"/>
      <c r="EF25452"/>
      <c r="EG25452"/>
      <c r="EH25452"/>
      <c r="EI25452"/>
      <c r="EJ25452"/>
      <c r="EK25452"/>
    </row>
    <row r="25453" spans="1:141" s="116" customFormat="1">
      <c r="A25453" s="136"/>
      <c r="CM25453" s="111"/>
      <c r="CQ25453" s="111"/>
      <c r="EF25453"/>
      <c r="EG25453"/>
      <c r="EH25453"/>
      <c r="EI25453"/>
      <c r="EJ25453"/>
      <c r="EK25453"/>
    </row>
    <row r="25454" spans="1:141" s="116" customFormat="1">
      <c r="A25454" s="136"/>
      <c r="CM25454" s="111"/>
      <c r="CQ25454" s="111"/>
      <c r="EF25454"/>
      <c r="EG25454"/>
      <c r="EH25454"/>
      <c r="EI25454"/>
      <c r="EJ25454"/>
      <c r="EK25454"/>
    </row>
    <row r="25455" spans="1:141" s="116" customFormat="1">
      <c r="A25455" s="136"/>
      <c r="CM25455" s="111"/>
      <c r="CQ25455" s="111"/>
      <c r="EF25455"/>
      <c r="EG25455"/>
      <c r="EH25455"/>
      <c r="EI25455"/>
      <c r="EJ25455"/>
      <c r="EK25455"/>
    </row>
    <row r="25456" spans="1:141" s="116" customFormat="1">
      <c r="A25456" s="136"/>
      <c r="CM25456" s="111"/>
      <c r="CQ25456" s="111"/>
      <c r="EF25456"/>
      <c r="EG25456"/>
      <c r="EH25456"/>
      <c r="EI25456"/>
      <c r="EJ25456"/>
      <c r="EK25456"/>
    </row>
    <row r="25457" spans="1:141" s="116" customFormat="1">
      <c r="A25457" s="136"/>
      <c r="CM25457" s="111"/>
      <c r="CQ25457" s="111"/>
      <c r="EF25457"/>
      <c r="EG25457"/>
      <c r="EH25457"/>
      <c r="EI25457"/>
      <c r="EJ25457"/>
      <c r="EK25457"/>
    </row>
    <row r="25458" spans="1:141" s="116" customFormat="1">
      <c r="A25458" s="136"/>
      <c r="CM25458" s="111"/>
      <c r="CQ25458" s="111"/>
      <c r="EF25458"/>
      <c r="EG25458"/>
      <c r="EH25458"/>
      <c r="EI25458"/>
      <c r="EJ25458"/>
      <c r="EK25458"/>
    </row>
    <row r="25459" spans="1:141" s="116" customFormat="1">
      <c r="A25459" s="136"/>
      <c r="CM25459" s="111"/>
      <c r="CQ25459" s="111"/>
      <c r="EF25459"/>
      <c r="EG25459"/>
      <c r="EH25459"/>
      <c r="EI25459"/>
      <c r="EJ25459"/>
      <c r="EK25459"/>
    </row>
    <row r="25460" spans="1:141" s="116" customFormat="1">
      <c r="A25460" s="136"/>
      <c r="CM25460" s="111"/>
      <c r="CQ25460" s="111"/>
      <c r="EF25460"/>
      <c r="EG25460"/>
      <c r="EH25460"/>
      <c r="EI25460"/>
      <c r="EJ25460"/>
      <c r="EK25460"/>
    </row>
    <row r="25461" spans="1:141" s="116" customFormat="1">
      <c r="A25461" s="136"/>
      <c r="CM25461" s="111"/>
      <c r="CQ25461" s="111"/>
      <c r="EF25461"/>
      <c r="EG25461"/>
      <c r="EH25461"/>
      <c r="EI25461"/>
      <c r="EJ25461"/>
      <c r="EK25461"/>
    </row>
    <row r="25462" spans="1:141" s="116" customFormat="1">
      <c r="A25462" s="136"/>
      <c r="CM25462" s="111"/>
      <c r="CQ25462" s="111"/>
      <c r="EF25462"/>
      <c r="EG25462"/>
      <c r="EH25462"/>
      <c r="EI25462"/>
      <c r="EJ25462"/>
      <c r="EK25462"/>
    </row>
    <row r="25463" spans="1:141" s="116" customFormat="1">
      <c r="A25463" s="136"/>
      <c r="CM25463" s="111"/>
      <c r="CQ25463" s="111"/>
      <c r="EF25463"/>
      <c r="EG25463"/>
      <c r="EH25463"/>
      <c r="EI25463"/>
      <c r="EJ25463"/>
      <c r="EK25463"/>
    </row>
    <row r="25464" spans="1:141" s="116" customFormat="1">
      <c r="A25464" s="136"/>
      <c r="CM25464" s="111"/>
      <c r="CQ25464" s="111"/>
      <c r="EF25464"/>
      <c r="EG25464"/>
      <c r="EH25464"/>
      <c r="EI25464"/>
      <c r="EJ25464"/>
      <c r="EK25464"/>
    </row>
    <row r="25465" spans="1:141" s="116" customFormat="1">
      <c r="A25465" s="136"/>
      <c r="CM25465" s="111"/>
      <c r="CQ25465" s="111"/>
      <c r="EF25465"/>
      <c r="EG25465"/>
      <c r="EH25465"/>
      <c r="EI25465"/>
      <c r="EJ25465"/>
      <c r="EK25465"/>
    </row>
    <row r="25466" spans="1:141" s="116" customFormat="1">
      <c r="A25466" s="136"/>
      <c r="CM25466" s="111"/>
      <c r="CQ25466" s="111"/>
      <c r="EF25466"/>
      <c r="EG25466"/>
      <c r="EH25466"/>
      <c r="EI25466"/>
      <c r="EJ25466"/>
      <c r="EK25466"/>
    </row>
    <row r="25467" spans="1:141" s="116" customFormat="1">
      <c r="A25467" s="136"/>
      <c r="CM25467" s="111"/>
      <c r="CQ25467" s="111"/>
      <c r="EF25467"/>
      <c r="EG25467"/>
      <c r="EH25467"/>
      <c r="EI25467"/>
      <c r="EJ25467"/>
      <c r="EK25467"/>
    </row>
    <row r="25468" spans="1:141" s="116" customFormat="1">
      <c r="A25468" s="136"/>
      <c r="CM25468" s="111"/>
      <c r="CQ25468" s="111"/>
      <c r="EF25468"/>
      <c r="EG25468"/>
      <c r="EH25468"/>
      <c r="EI25468"/>
      <c r="EJ25468"/>
      <c r="EK25468"/>
    </row>
    <row r="25469" spans="1:141" s="116" customFormat="1">
      <c r="A25469" s="136"/>
      <c r="CM25469" s="111"/>
      <c r="CQ25469" s="111"/>
      <c r="EF25469"/>
      <c r="EG25469"/>
      <c r="EH25469"/>
      <c r="EI25469"/>
      <c r="EJ25469"/>
      <c r="EK25469"/>
    </row>
    <row r="25470" spans="1:141" s="116" customFormat="1">
      <c r="A25470" s="136"/>
      <c r="CM25470" s="111"/>
      <c r="CQ25470" s="111"/>
      <c r="EF25470"/>
      <c r="EG25470"/>
      <c r="EH25470"/>
      <c r="EI25470"/>
      <c r="EJ25470"/>
      <c r="EK25470"/>
    </row>
    <row r="25471" spans="1:141" s="116" customFormat="1">
      <c r="A25471" s="136"/>
      <c r="CM25471" s="111"/>
      <c r="CQ25471" s="111"/>
      <c r="EF25471"/>
      <c r="EG25471"/>
      <c r="EH25471"/>
      <c r="EI25471"/>
      <c r="EJ25471"/>
      <c r="EK25471"/>
    </row>
    <row r="25472" spans="1:141" s="116" customFormat="1">
      <c r="A25472" s="136"/>
      <c r="CM25472" s="111"/>
      <c r="CQ25472" s="111"/>
      <c r="EF25472"/>
      <c r="EG25472"/>
      <c r="EH25472"/>
      <c r="EI25472"/>
      <c r="EJ25472"/>
      <c r="EK25472"/>
    </row>
    <row r="25473" spans="1:141" s="116" customFormat="1">
      <c r="A25473" s="136"/>
      <c r="CM25473" s="111"/>
      <c r="CQ25473" s="111"/>
      <c r="EF25473"/>
      <c r="EG25473"/>
      <c r="EH25473"/>
      <c r="EI25473"/>
      <c r="EJ25473"/>
      <c r="EK25473"/>
    </row>
    <row r="25474" spans="1:141" s="116" customFormat="1">
      <c r="A25474" s="136"/>
      <c r="CM25474" s="111"/>
      <c r="CQ25474" s="111"/>
      <c r="EF25474"/>
      <c r="EG25474"/>
      <c r="EH25474"/>
      <c r="EI25474"/>
      <c r="EJ25474"/>
      <c r="EK25474"/>
    </row>
    <row r="25475" spans="1:141" s="116" customFormat="1">
      <c r="A25475" s="136"/>
      <c r="CM25475" s="111"/>
      <c r="CQ25475" s="111"/>
      <c r="EF25475"/>
      <c r="EG25475"/>
      <c r="EH25475"/>
      <c r="EI25475"/>
      <c r="EJ25475"/>
      <c r="EK25475"/>
    </row>
    <row r="25476" spans="1:141" s="116" customFormat="1">
      <c r="A25476" s="136"/>
      <c r="CM25476" s="111"/>
      <c r="CQ25476" s="111"/>
      <c r="EF25476"/>
      <c r="EG25476"/>
      <c r="EH25476"/>
      <c r="EI25476"/>
      <c r="EJ25476"/>
      <c r="EK25476"/>
    </row>
    <row r="25477" spans="1:141" s="116" customFormat="1">
      <c r="A25477" s="136"/>
      <c r="CM25477" s="111"/>
      <c r="CQ25477" s="111"/>
      <c r="EF25477"/>
      <c r="EG25477"/>
      <c r="EH25477"/>
      <c r="EI25477"/>
      <c r="EJ25477"/>
      <c r="EK25477"/>
    </row>
    <row r="25478" spans="1:141" s="116" customFormat="1">
      <c r="A25478" s="136"/>
      <c r="CM25478" s="111"/>
      <c r="CQ25478" s="111"/>
      <c r="EF25478"/>
      <c r="EG25478"/>
      <c r="EH25478"/>
      <c r="EI25478"/>
      <c r="EJ25478"/>
      <c r="EK25478"/>
    </row>
    <row r="25479" spans="1:141" s="116" customFormat="1">
      <c r="A25479" s="136"/>
      <c r="CM25479" s="111"/>
      <c r="CQ25479" s="111"/>
      <c r="EF25479"/>
      <c r="EG25479"/>
      <c r="EH25479"/>
      <c r="EI25479"/>
      <c r="EJ25479"/>
      <c r="EK25479"/>
    </row>
    <row r="25480" spans="1:141" s="116" customFormat="1">
      <c r="A25480" s="136"/>
      <c r="CM25480" s="111"/>
      <c r="CQ25480" s="111"/>
      <c r="EF25480"/>
      <c r="EG25480"/>
      <c r="EH25480"/>
      <c r="EI25480"/>
      <c r="EJ25480"/>
      <c r="EK25480"/>
    </row>
    <row r="25481" spans="1:141" s="116" customFormat="1">
      <c r="A25481" s="136"/>
      <c r="CM25481" s="111"/>
      <c r="CQ25481" s="111"/>
      <c r="EF25481"/>
      <c r="EG25481"/>
      <c r="EH25481"/>
      <c r="EI25481"/>
      <c r="EJ25481"/>
      <c r="EK25481"/>
    </row>
    <row r="25482" spans="1:141" s="116" customFormat="1">
      <c r="A25482" s="136"/>
      <c r="CM25482" s="111"/>
      <c r="CQ25482" s="111"/>
      <c r="EF25482"/>
      <c r="EG25482"/>
      <c r="EH25482"/>
      <c r="EI25482"/>
      <c r="EJ25482"/>
      <c r="EK25482"/>
    </row>
    <row r="25483" spans="1:141" s="116" customFormat="1">
      <c r="A25483" s="136"/>
      <c r="CM25483" s="111"/>
      <c r="CQ25483" s="111"/>
      <c r="EF25483"/>
      <c r="EG25483"/>
      <c r="EH25483"/>
      <c r="EI25483"/>
      <c r="EJ25483"/>
      <c r="EK25483"/>
    </row>
    <row r="25484" spans="1:141" s="116" customFormat="1">
      <c r="A25484" s="136"/>
      <c r="CM25484" s="111"/>
      <c r="CQ25484" s="111"/>
      <c r="EF25484"/>
      <c r="EG25484"/>
      <c r="EH25484"/>
      <c r="EI25484"/>
      <c r="EJ25484"/>
      <c r="EK25484"/>
    </row>
    <row r="25485" spans="1:141" s="116" customFormat="1">
      <c r="A25485" s="136"/>
      <c r="CM25485" s="111"/>
      <c r="CQ25485" s="111"/>
      <c r="EF25485"/>
      <c r="EG25485"/>
      <c r="EH25485"/>
      <c r="EI25485"/>
      <c r="EJ25485"/>
      <c r="EK25485"/>
    </row>
    <row r="25486" spans="1:141" s="116" customFormat="1">
      <c r="A25486" s="136"/>
      <c r="CM25486" s="111"/>
      <c r="CQ25486" s="111"/>
      <c r="EF25486"/>
      <c r="EG25486"/>
      <c r="EH25486"/>
      <c r="EI25486"/>
      <c r="EJ25486"/>
      <c r="EK25486"/>
    </row>
    <row r="25487" spans="1:141" s="116" customFormat="1">
      <c r="A25487" s="136"/>
      <c r="CM25487" s="111"/>
      <c r="CQ25487" s="111"/>
      <c r="EF25487"/>
      <c r="EG25487"/>
      <c r="EH25487"/>
      <c r="EI25487"/>
      <c r="EJ25487"/>
      <c r="EK25487"/>
    </row>
    <row r="25488" spans="1:141" s="116" customFormat="1">
      <c r="A25488" s="136"/>
      <c r="CM25488" s="111"/>
      <c r="CQ25488" s="111"/>
      <c r="EF25488"/>
      <c r="EG25488"/>
      <c r="EH25488"/>
      <c r="EI25488"/>
      <c r="EJ25488"/>
      <c r="EK25488"/>
    </row>
    <row r="25489" spans="1:141" s="116" customFormat="1">
      <c r="A25489" s="136"/>
      <c r="CM25489" s="111"/>
      <c r="CQ25489" s="111"/>
      <c r="EF25489"/>
      <c r="EG25489"/>
      <c r="EH25489"/>
      <c r="EI25489"/>
      <c r="EJ25489"/>
      <c r="EK25489"/>
    </row>
    <row r="25490" spans="1:141" s="116" customFormat="1">
      <c r="A25490" s="136"/>
      <c r="CM25490" s="111"/>
      <c r="CQ25490" s="111"/>
      <c r="EF25490"/>
      <c r="EG25490"/>
      <c r="EH25490"/>
      <c r="EI25490"/>
      <c r="EJ25490"/>
      <c r="EK25490"/>
    </row>
    <row r="25491" spans="1:141" s="116" customFormat="1">
      <c r="A25491" s="136"/>
      <c r="CM25491" s="111"/>
      <c r="CQ25491" s="111"/>
      <c r="EF25491"/>
      <c r="EG25491"/>
      <c r="EH25491"/>
      <c r="EI25491"/>
      <c r="EJ25491"/>
      <c r="EK25491"/>
    </row>
    <row r="25492" spans="1:141" s="116" customFormat="1">
      <c r="A25492" s="136"/>
      <c r="CM25492" s="111"/>
      <c r="CQ25492" s="111"/>
      <c r="EF25492"/>
      <c r="EG25492"/>
      <c r="EH25492"/>
      <c r="EI25492"/>
      <c r="EJ25492"/>
      <c r="EK25492"/>
    </row>
    <row r="25493" spans="1:141" s="116" customFormat="1">
      <c r="A25493" s="136"/>
      <c r="CM25493" s="111"/>
      <c r="CQ25493" s="111"/>
      <c r="EF25493"/>
      <c r="EG25493"/>
      <c r="EH25493"/>
      <c r="EI25493"/>
      <c r="EJ25493"/>
      <c r="EK25493"/>
    </row>
    <row r="25494" spans="1:141" s="116" customFormat="1">
      <c r="A25494" s="136"/>
      <c r="CM25494" s="111"/>
      <c r="CQ25494" s="111"/>
      <c r="EF25494"/>
      <c r="EG25494"/>
      <c r="EH25494"/>
      <c r="EI25494"/>
      <c r="EJ25494"/>
      <c r="EK25494"/>
    </row>
    <row r="25495" spans="1:141" s="116" customFormat="1">
      <c r="A25495" s="136"/>
      <c r="CM25495" s="111"/>
      <c r="CQ25495" s="111"/>
      <c r="EF25495"/>
      <c r="EG25495"/>
      <c r="EH25495"/>
      <c r="EI25495"/>
      <c r="EJ25495"/>
      <c r="EK25495"/>
    </row>
    <row r="25496" spans="1:141" s="116" customFormat="1">
      <c r="A25496" s="136"/>
      <c r="CM25496" s="111"/>
      <c r="CQ25496" s="111"/>
      <c r="EF25496"/>
      <c r="EG25496"/>
      <c r="EH25496"/>
      <c r="EI25496"/>
      <c r="EJ25496"/>
      <c r="EK25496"/>
    </row>
    <row r="25497" spans="1:141" s="116" customFormat="1">
      <c r="A25497" s="136"/>
      <c r="CM25497" s="111"/>
      <c r="CQ25497" s="111"/>
      <c r="EF25497"/>
      <c r="EG25497"/>
      <c r="EH25497"/>
      <c r="EI25497"/>
      <c r="EJ25497"/>
      <c r="EK25497"/>
    </row>
    <row r="25498" spans="1:141" s="116" customFormat="1">
      <c r="A25498" s="136"/>
      <c r="CM25498" s="111"/>
      <c r="CQ25498" s="111"/>
      <c r="EF25498"/>
      <c r="EG25498"/>
      <c r="EH25498"/>
      <c r="EI25498"/>
      <c r="EJ25498"/>
      <c r="EK25498"/>
    </row>
    <row r="25499" spans="1:141" s="116" customFormat="1">
      <c r="A25499" s="136"/>
      <c r="CM25499" s="111"/>
      <c r="CQ25499" s="111"/>
      <c r="EF25499"/>
      <c r="EG25499"/>
      <c r="EH25499"/>
      <c r="EI25499"/>
      <c r="EJ25499"/>
      <c r="EK25499"/>
    </row>
    <row r="25500" spans="1:141" s="116" customFormat="1">
      <c r="A25500" s="136"/>
      <c r="CM25500" s="111"/>
      <c r="CQ25500" s="111"/>
      <c r="EF25500"/>
      <c r="EG25500"/>
      <c r="EH25500"/>
      <c r="EI25500"/>
      <c r="EJ25500"/>
      <c r="EK25500"/>
    </row>
    <row r="25501" spans="1:141" s="116" customFormat="1">
      <c r="A25501" s="136"/>
      <c r="CM25501" s="111"/>
      <c r="CQ25501" s="111"/>
      <c r="EF25501"/>
      <c r="EG25501"/>
      <c r="EH25501"/>
      <c r="EI25501"/>
      <c r="EJ25501"/>
      <c r="EK25501"/>
    </row>
    <row r="25502" spans="1:141" s="116" customFormat="1">
      <c r="A25502" s="136"/>
      <c r="CM25502" s="111"/>
      <c r="CQ25502" s="111"/>
      <c r="EF25502"/>
      <c r="EG25502"/>
      <c r="EH25502"/>
      <c r="EI25502"/>
      <c r="EJ25502"/>
      <c r="EK25502"/>
    </row>
    <row r="25503" spans="1:141" s="116" customFormat="1">
      <c r="A25503" s="136"/>
      <c r="CM25503" s="111"/>
      <c r="CQ25503" s="111"/>
      <c r="EF25503"/>
      <c r="EG25503"/>
      <c r="EH25503"/>
      <c r="EI25503"/>
      <c r="EJ25503"/>
      <c r="EK25503"/>
    </row>
    <row r="25504" spans="1:141" s="116" customFormat="1">
      <c r="A25504" s="136"/>
      <c r="CM25504" s="111"/>
      <c r="CQ25504" s="111"/>
      <c r="EF25504"/>
      <c r="EG25504"/>
      <c r="EH25504"/>
      <c r="EI25504"/>
      <c r="EJ25504"/>
      <c r="EK25504"/>
    </row>
    <row r="25505" spans="1:141" s="116" customFormat="1">
      <c r="A25505" s="136"/>
      <c r="CM25505" s="111"/>
      <c r="CQ25505" s="111"/>
      <c r="EF25505"/>
      <c r="EG25505"/>
      <c r="EH25505"/>
      <c r="EI25505"/>
      <c r="EJ25505"/>
      <c r="EK25505"/>
    </row>
    <row r="25506" spans="1:141" s="116" customFormat="1">
      <c r="A25506" s="136"/>
      <c r="CM25506" s="111"/>
      <c r="CQ25506" s="111"/>
      <c r="EF25506"/>
      <c r="EG25506"/>
      <c r="EH25506"/>
      <c r="EI25506"/>
      <c r="EJ25506"/>
      <c r="EK25506"/>
    </row>
    <row r="25507" spans="1:141" s="116" customFormat="1">
      <c r="A25507" s="136"/>
      <c r="CM25507" s="111"/>
      <c r="CQ25507" s="111"/>
      <c r="EF25507"/>
      <c r="EG25507"/>
      <c r="EH25507"/>
      <c r="EI25507"/>
      <c r="EJ25507"/>
      <c r="EK25507"/>
    </row>
    <row r="25508" spans="1:141" s="116" customFormat="1">
      <c r="A25508" s="136"/>
      <c r="CM25508" s="111"/>
      <c r="CQ25508" s="111"/>
      <c r="EF25508"/>
      <c r="EG25508"/>
      <c r="EH25508"/>
      <c r="EI25508"/>
      <c r="EJ25508"/>
      <c r="EK25508"/>
    </row>
    <row r="25509" spans="1:141" s="116" customFormat="1">
      <c r="A25509" s="136"/>
      <c r="CM25509" s="111"/>
      <c r="CQ25509" s="111"/>
      <c r="EF25509"/>
      <c r="EG25509"/>
      <c r="EH25509"/>
      <c r="EI25509"/>
      <c r="EJ25509"/>
      <c r="EK25509"/>
    </row>
    <row r="25510" spans="1:141" s="116" customFormat="1">
      <c r="A25510" s="136"/>
      <c r="CM25510" s="111"/>
      <c r="CQ25510" s="111"/>
      <c r="EF25510"/>
      <c r="EG25510"/>
      <c r="EH25510"/>
      <c r="EI25510"/>
      <c r="EJ25510"/>
      <c r="EK25510"/>
    </row>
    <row r="25511" spans="1:141" s="116" customFormat="1">
      <c r="A25511" s="136"/>
      <c r="CM25511" s="111"/>
      <c r="CQ25511" s="111"/>
      <c r="EF25511"/>
      <c r="EG25511"/>
      <c r="EH25511"/>
      <c r="EI25511"/>
      <c r="EJ25511"/>
      <c r="EK25511"/>
    </row>
    <row r="25512" spans="1:141" s="116" customFormat="1">
      <c r="A25512" s="136"/>
      <c r="CM25512" s="111"/>
      <c r="CQ25512" s="111"/>
      <c r="EF25512"/>
      <c r="EG25512"/>
      <c r="EH25512"/>
      <c r="EI25512"/>
      <c r="EJ25512"/>
      <c r="EK25512"/>
    </row>
    <row r="25513" spans="1:141" s="116" customFormat="1">
      <c r="A25513" s="136"/>
      <c r="CM25513" s="111"/>
      <c r="CQ25513" s="111"/>
      <c r="EF25513"/>
      <c r="EG25513"/>
      <c r="EH25513"/>
      <c r="EI25513"/>
      <c r="EJ25513"/>
      <c r="EK25513"/>
    </row>
    <row r="25514" spans="1:141" s="116" customFormat="1">
      <c r="A25514" s="136"/>
      <c r="CM25514" s="111"/>
      <c r="CQ25514" s="111"/>
      <c r="EF25514"/>
      <c r="EG25514"/>
      <c r="EH25514"/>
      <c r="EI25514"/>
      <c r="EJ25514"/>
      <c r="EK25514"/>
    </row>
    <row r="25515" spans="1:141" s="116" customFormat="1">
      <c r="A25515" s="136"/>
      <c r="CM25515" s="111"/>
      <c r="CQ25515" s="111"/>
      <c r="EF25515"/>
      <c r="EG25515"/>
      <c r="EH25515"/>
      <c r="EI25515"/>
      <c r="EJ25515"/>
      <c r="EK25515"/>
    </row>
    <row r="25516" spans="1:141" s="116" customFormat="1">
      <c r="A25516" s="136"/>
      <c r="CM25516" s="111"/>
      <c r="CQ25516" s="111"/>
      <c r="EF25516"/>
      <c r="EG25516"/>
      <c r="EH25516"/>
      <c r="EI25516"/>
      <c r="EJ25516"/>
      <c r="EK25516"/>
    </row>
    <row r="25517" spans="1:141" s="116" customFormat="1">
      <c r="A25517" s="136"/>
      <c r="CM25517" s="111"/>
      <c r="CQ25517" s="111"/>
      <c r="EF25517"/>
      <c r="EG25517"/>
      <c r="EH25517"/>
      <c r="EI25517"/>
      <c r="EJ25517"/>
      <c r="EK25517"/>
    </row>
    <row r="25518" spans="1:141" s="116" customFormat="1">
      <c r="A25518" s="136"/>
      <c r="CM25518" s="111"/>
      <c r="CQ25518" s="111"/>
      <c r="EF25518"/>
      <c r="EG25518"/>
      <c r="EH25518"/>
      <c r="EI25518"/>
      <c r="EJ25518"/>
      <c r="EK25518"/>
    </row>
    <row r="25519" spans="1:141" s="116" customFormat="1">
      <c r="A25519" s="136"/>
      <c r="CM25519" s="111"/>
      <c r="CQ25519" s="111"/>
      <c r="EF25519"/>
      <c r="EG25519"/>
      <c r="EH25519"/>
      <c r="EI25519"/>
      <c r="EJ25519"/>
      <c r="EK25519"/>
    </row>
    <row r="25520" spans="1:141" s="116" customFormat="1">
      <c r="A25520" s="136"/>
      <c r="CM25520" s="111"/>
      <c r="CQ25520" s="111"/>
      <c r="EF25520"/>
      <c r="EG25520"/>
      <c r="EH25520"/>
      <c r="EI25520"/>
      <c r="EJ25520"/>
      <c r="EK25520"/>
    </row>
    <row r="25521" spans="1:141" s="116" customFormat="1">
      <c r="A25521" s="136"/>
      <c r="CM25521" s="111"/>
      <c r="CQ25521" s="111"/>
      <c r="EF25521"/>
      <c r="EG25521"/>
      <c r="EH25521"/>
      <c r="EI25521"/>
      <c r="EJ25521"/>
      <c r="EK25521"/>
    </row>
    <row r="25522" spans="1:141" s="116" customFormat="1">
      <c r="A25522" s="136"/>
      <c r="CM25522" s="111"/>
      <c r="CQ25522" s="111"/>
      <c r="EF25522"/>
      <c r="EG25522"/>
      <c r="EH25522"/>
      <c r="EI25522"/>
      <c r="EJ25522"/>
      <c r="EK25522"/>
    </row>
    <row r="25523" spans="1:141" s="116" customFormat="1">
      <c r="A25523" s="136"/>
      <c r="CM25523" s="111"/>
      <c r="CQ25523" s="111"/>
      <c r="EF25523"/>
      <c r="EG25523"/>
      <c r="EH25523"/>
      <c r="EI25523"/>
      <c r="EJ25523"/>
      <c r="EK25523"/>
    </row>
    <row r="25524" spans="1:141" s="116" customFormat="1">
      <c r="A25524" s="136"/>
      <c r="CM25524" s="111"/>
      <c r="CQ25524" s="111"/>
      <c r="EF25524"/>
      <c r="EG25524"/>
      <c r="EH25524"/>
      <c r="EI25524"/>
      <c r="EJ25524"/>
      <c r="EK25524"/>
    </row>
    <row r="25525" spans="1:141" s="116" customFormat="1">
      <c r="A25525" s="136"/>
      <c r="CM25525" s="111"/>
      <c r="CQ25525" s="111"/>
      <c r="EF25525"/>
      <c r="EG25525"/>
      <c r="EH25525"/>
      <c r="EI25525"/>
      <c r="EJ25525"/>
      <c r="EK25525"/>
    </row>
    <row r="25526" spans="1:141" s="116" customFormat="1">
      <c r="A25526" s="136"/>
      <c r="CM25526" s="111"/>
      <c r="CQ25526" s="111"/>
      <c r="EF25526"/>
      <c r="EG25526"/>
      <c r="EH25526"/>
      <c r="EI25526"/>
      <c r="EJ25526"/>
      <c r="EK25526"/>
    </row>
    <row r="25527" spans="1:141" s="116" customFormat="1">
      <c r="A25527" s="136"/>
      <c r="CM25527" s="111"/>
      <c r="CQ25527" s="111"/>
      <c r="EF25527"/>
      <c r="EG25527"/>
      <c r="EH25527"/>
      <c r="EI25527"/>
      <c r="EJ25527"/>
      <c r="EK25527"/>
    </row>
    <row r="25528" spans="1:141" s="116" customFormat="1">
      <c r="A25528" s="136"/>
      <c r="CM25528" s="111"/>
      <c r="CQ25528" s="111"/>
      <c r="EF25528"/>
      <c r="EG25528"/>
      <c r="EH25528"/>
      <c r="EI25528"/>
      <c r="EJ25528"/>
      <c r="EK25528"/>
    </row>
    <row r="25529" spans="1:141" s="116" customFormat="1">
      <c r="A25529" s="136"/>
      <c r="CM25529" s="111"/>
      <c r="CQ25529" s="111"/>
      <c r="EF25529"/>
      <c r="EG25529"/>
      <c r="EH25529"/>
      <c r="EI25529"/>
      <c r="EJ25529"/>
      <c r="EK25529"/>
    </row>
    <row r="25530" spans="1:141" s="116" customFormat="1">
      <c r="A25530" s="136"/>
      <c r="CM25530" s="111"/>
      <c r="CQ25530" s="111"/>
      <c r="EF25530"/>
      <c r="EG25530"/>
      <c r="EH25530"/>
      <c r="EI25530"/>
      <c r="EJ25530"/>
      <c r="EK25530"/>
    </row>
    <row r="25531" spans="1:141" s="116" customFormat="1">
      <c r="A25531" s="136"/>
      <c r="CM25531" s="111"/>
      <c r="CQ25531" s="111"/>
      <c r="EF25531"/>
      <c r="EG25531"/>
      <c r="EH25531"/>
      <c r="EI25531"/>
      <c r="EJ25531"/>
      <c r="EK25531"/>
    </row>
    <row r="25532" spans="1:141" s="116" customFormat="1">
      <c r="A25532" s="136"/>
      <c r="CM25532" s="111"/>
      <c r="CQ25532" s="111"/>
      <c r="EF25532"/>
      <c r="EG25532"/>
      <c r="EH25532"/>
      <c r="EI25532"/>
      <c r="EJ25532"/>
      <c r="EK25532"/>
    </row>
    <row r="25533" spans="1:141" s="116" customFormat="1">
      <c r="A25533" s="136"/>
      <c r="CM25533" s="111"/>
      <c r="CQ25533" s="111"/>
      <c r="EF25533"/>
      <c r="EG25533"/>
      <c r="EH25533"/>
      <c r="EI25533"/>
      <c r="EJ25533"/>
      <c r="EK25533"/>
    </row>
    <row r="25534" spans="1:141" s="116" customFormat="1">
      <c r="A25534" s="136"/>
      <c r="CM25534" s="111"/>
      <c r="CQ25534" s="111"/>
      <c r="EF25534"/>
      <c r="EG25534"/>
      <c r="EH25534"/>
      <c r="EI25534"/>
      <c r="EJ25534"/>
      <c r="EK25534"/>
    </row>
    <row r="25535" spans="1:141" s="116" customFormat="1">
      <c r="A25535" s="136"/>
      <c r="CM25535" s="111"/>
      <c r="CQ25535" s="111"/>
      <c r="EF25535"/>
      <c r="EG25535"/>
      <c r="EH25535"/>
      <c r="EI25535"/>
      <c r="EJ25535"/>
      <c r="EK25535"/>
    </row>
    <row r="25536" spans="1:141" s="116" customFormat="1">
      <c r="A25536" s="136"/>
      <c r="CM25536" s="111"/>
      <c r="CQ25536" s="111"/>
      <c r="EF25536"/>
      <c r="EG25536"/>
      <c r="EH25536"/>
      <c r="EI25536"/>
      <c r="EJ25536"/>
      <c r="EK25536"/>
    </row>
    <row r="25537" spans="1:141" s="116" customFormat="1">
      <c r="A25537" s="136"/>
      <c r="CM25537" s="111"/>
      <c r="CQ25537" s="111"/>
      <c r="EF25537"/>
      <c r="EG25537"/>
      <c r="EH25537"/>
      <c r="EI25537"/>
      <c r="EJ25537"/>
      <c r="EK25537"/>
    </row>
    <row r="25538" spans="1:141" s="116" customFormat="1">
      <c r="A25538" s="136"/>
      <c r="CM25538" s="111"/>
      <c r="CQ25538" s="111"/>
      <c r="EF25538"/>
      <c r="EG25538"/>
      <c r="EH25538"/>
      <c r="EI25538"/>
      <c r="EJ25538"/>
      <c r="EK25538"/>
    </row>
    <row r="25539" spans="1:141" s="116" customFormat="1">
      <c r="A25539" s="136"/>
      <c r="CM25539" s="111"/>
      <c r="CQ25539" s="111"/>
      <c r="EF25539"/>
      <c r="EG25539"/>
      <c r="EH25539"/>
      <c r="EI25539"/>
      <c r="EJ25539"/>
      <c r="EK25539"/>
    </row>
    <row r="25540" spans="1:141" s="116" customFormat="1">
      <c r="A25540" s="136"/>
      <c r="CM25540" s="111"/>
      <c r="CQ25540" s="111"/>
      <c r="EF25540"/>
      <c r="EG25540"/>
      <c r="EH25540"/>
      <c r="EI25540"/>
      <c r="EJ25540"/>
      <c r="EK25540"/>
    </row>
    <row r="25541" spans="1:141" s="116" customFormat="1">
      <c r="A25541" s="136"/>
      <c r="CM25541" s="111"/>
      <c r="CQ25541" s="111"/>
      <c r="EF25541"/>
      <c r="EG25541"/>
      <c r="EH25541"/>
      <c r="EI25541"/>
      <c r="EJ25541"/>
      <c r="EK25541"/>
    </row>
    <row r="25542" spans="1:141" s="116" customFormat="1">
      <c r="A25542" s="136"/>
      <c r="CM25542" s="111"/>
      <c r="CQ25542" s="111"/>
      <c r="EF25542"/>
      <c r="EG25542"/>
      <c r="EH25542"/>
      <c r="EI25542"/>
      <c r="EJ25542"/>
      <c r="EK25542"/>
    </row>
    <row r="25543" spans="1:141" s="116" customFormat="1">
      <c r="A25543" s="136"/>
      <c r="CM25543" s="111"/>
      <c r="CQ25543" s="111"/>
      <c r="EF25543"/>
      <c r="EG25543"/>
      <c r="EH25543"/>
      <c r="EI25543"/>
      <c r="EJ25543"/>
      <c r="EK25543"/>
    </row>
    <row r="25544" spans="1:141" s="116" customFormat="1">
      <c r="A25544" s="136"/>
      <c r="CM25544" s="111"/>
      <c r="CQ25544" s="111"/>
      <c r="EF25544"/>
      <c r="EG25544"/>
      <c r="EH25544"/>
      <c r="EI25544"/>
      <c r="EJ25544"/>
      <c r="EK25544"/>
    </row>
    <row r="25545" spans="1:141" s="116" customFormat="1">
      <c r="A25545" s="136"/>
      <c r="CM25545" s="111"/>
      <c r="CQ25545" s="111"/>
      <c r="EF25545"/>
      <c r="EG25545"/>
      <c r="EH25545"/>
      <c r="EI25545"/>
      <c r="EJ25545"/>
      <c r="EK25545"/>
    </row>
    <row r="25546" spans="1:141" s="116" customFormat="1">
      <c r="A25546" s="136"/>
      <c r="CM25546" s="111"/>
      <c r="CQ25546" s="111"/>
      <c r="EF25546"/>
      <c r="EG25546"/>
      <c r="EH25546"/>
      <c r="EI25546"/>
      <c r="EJ25546"/>
      <c r="EK25546"/>
    </row>
    <row r="25547" spans="1:141" s="116" customFormat="1">
      <c r="A25547" s="136"/>
      <c r="CM25547" s="111"/>
      <c r="CQ25547" s="111"/>
      <c r="EF25547"/>
      <c r="EG25547"/>
      <c r="EH25547"/>
      <c r="EI25547"/>
      <c r="EJ25547"/>
      <c r="EK25547"/>
    </row>
    <row r="25548" spans="1:141" s="116" customFormat="1">
      <c r="A25548" s="136"/>
      <c r="CM25548" s="111"/>
      <c r="CQ25548" s="111"/>
      <c r="EF25548"/>
      <c r="EG25548"/>
      <c r="EH25548"/>
      <c r="EI25548"/>
      <c r="EJ25548"/>
      <c r="EK25548"/>
    </row>
    <row r="25549" spans="1:141" s="116" customFormat="1">
      <c r="A25549" s="136"/>
      <c r="CM25549" s="111"/>
      <c r="CQ25549" s="111"/>
      <c r="EF25549"/>
      <c r="EG25549"/>
      <c r="EH25549"/>
      <c r="EI25549"/>
      <c r="EJ25549"/>
      <c r="EK25549"/>
    </row>
    <row r="25550" spans="1:141" s="116" customFormat="1">
      <c r="A25550" s="136"/>
      <c r="CM25550" s="111"/>
      <c r="CQ25550" s="111"/>
      <c r="EF25550"/>
      <c r="EG25550"/>
      <c r="EH25550"/>
      <c r="EI25550"/>
      <c r="EJ25550"/>
      <c r="EK25550"/>
    </row>
    <row r="25551" spans="1:141" s="116" customFormat="1">
      <c r="A25551" s="136"/>
      <c r="CM25551" s="111"/>
      <c r="CQ25551" s="111"/>
      <c r="EF25551"/>
      <c r="EG25551"/>
      <c r="EH25551"/>
      <c r="EI25551"/>
      <c r="EJ25551"/>
      <c r="EK25551"/>
    </row>
    <row r="25552" spans="1:141" s="116" customFormat="1">
      <c r="A25552" s="136"/>
      <c r="CM25552" s="111"/>
      <c r="CQ25552" s="111"/>
      <c r="EF25552"/>
      <c r="EG25552"/>
      <c r="EH25552"/>
      <c r="EI25552"/>
      <c r="EJ25552"/>
      <c r="EK25552"/>
    </row>
    <row r="25553" spans="1:141" s="116" customFormat="1">
      <c r="A25553" s="136"/>
      <c r="CM25553" s="111"/>
      <c r="CQ25553" s="111"/>
      <c r="EF25553"/>
      <c r="EG25553"/>
      <c r="EH25553"/>
      <c r="EI25553"/>
      <c r="EJ25553"/>
      <c r="EK25553"/>
    </row>
    <row r="25554" spans="1:141" s="116" customFormat="1">
      <c r="A25554" s="136"/>
      <c r="CM25554" s="111"/>
      <c r="CQ25554" s="111"/>
      <c r="EF25554"/>
      <c r="EG25554"/>
      <c r="EH25554"/>
      <c r="EI25554"/>
      <c r="EJ25554"/>
      <c r="EK25554"/>
    </row>
    <row r="25555" spans="1:141" s="116" customFormat="1">
      <c r="A25555" s="136"/>
      <c r="CM25555" s="111"/>
      <c r="CQ25555" s="111"/>
      <c r="EF25555"/>
      <c r="EG25555"/>
      <c r="EH25555"/>
      <c r="EI25555"/>
      <c r="EJ25555"/>
      <c r="EK25555"/>
    </row>
    <row r="25556" spans="1:141" s="116" customFormat="1">
      <c r="A25556" s="136"/>
      <c r="CM25556" s="111"/>
      <c r="CQ25556" s="111"/>
      <c r="EF25556"/>
      <c r="EG25556"/>
      <c r="EH25556"/>
      <c r="EI25556"/>
      <c r="EJ25556"/>
      <c r="EK25556"/>
    </row>
    <row r="25557" spans="1:141" s="116" customFormat="1">
      <c r="A25557" s="136"/>
      <c r="CM25557" s="111"/>
      <c r="CQ25557" s="111"/>
      <c r="EF25557"/>
      <c r="EG25557"/>
      <c r="EH25557"/>
      <c r="EI25557"/>
      <c r="EJ25557"/>
      <c r="EK25557"/>
    </row>
    <row r="25558" spans="1:141" s="116" customFormat="1">
      <c r="A25558" s="136"/>
      <c r="CM25558" s="111"/>
      <c r="CQ25558" s="111"/>
      <c r="EF25558"/>
      <c r="EG25558"/>
      <c r="EH25558"/>
      <c r="EI25558"/>
      <c r="EJ25558"/>
      <c r="EK25558"/>
    </row>
    <row r="25559" spans="1:141" s="116" customFormat="1">
      <c r="A25559" s="136"/>
      <c r="CM25559" s="111"/>
      <c r="CQ25559" s="111"/>
      <c r="EF25559"/>
      <c r="EG25559"/>
      <c r="EH25559"/>
      <c r="EI25559"/>
      <c r="EJ25559"/>
      <c r="EK25559"/>
    </row>
    <row r="25560" spans="1:141" s="116" customFormat="1">
      <c r="A25560" s="136"/>
      <c r="CM25560" s="111"/>
      <c r="CQ25560" s="111"/>
      <c r="EF25560"/>
      <c r="EG25560"/>
      <c r="EH25560"/>
      <c r="EI25560"/>
      <c r="EJ25560"/>
      <c r="EK25560"/>
    </row>
    <row r="25561" spans="1:141" s="116" customFormat="1">
      <c r="A25561" s="136"/>
      <c r="CM25561" s="111"/>
      <c r="CQ25561" s="111"/>
      <c r="EF25561"/>
      <c r="EG25561"/>
      <c r="EH25561"/>
      <c r="EI25561"/>
      <c r="EJ25561"/>
      <c r="EK25561"/>
    </row>
    <row r="25562" spans="1:141" s="116" customFormat="1">
      <c r="A25562" s="136"/>
      <c r="CM25562" s="111"/>
      <c r="CQ25562" s="111"/>
      <c r="EF25562"/>
      <c r="EG25562"/>
      <c r="EH25562"/>
      <c r="EI25562"/>
      <c r="EJ25562"/>
      <c r="EK25562"/>
    </row>
    <row r="25563" spans="1:141" s="116" customFormat="1">
      <c r="A25563" s="136"/>
      <c r="CM25563" s="111"/>
      <c r="CQ25563" s="111"/>
      <c r="EF25563"/>
      <c r="EG25563"/>
      <c r="EH25563"/>
      <c r="EI25563"/>
      <c r="EJ25563"/>
      <c r="EK25563"/>
    </row>
    <row r="25564" spans="1:141" s="116" customFormat="1">
      <c r="A25564" s="136"/>
      <c r="CM25564" s="111"/>
      <c r="CQ25564" s="111"/>
      <c r="EF25564"/>
      <c r="EG25564"/>
      <c r="EH25564"/>
      <c r="EI25564"/>
      <c r="EJ25564"/>
      <c r="EK25564"/>
    </row>
    <row r="25565" spans="1:141" s="116" customFormat="1">
      <c r="A25565" s="136"/>
      <c r="CM25565" s="111"/>
      <c r="CQ25565" s="111"/>
      <c r="EF25565"/>
      <c r="EG25565"/>
      <c r="EH25565"/>
      <c r="EI25565"/>
      <c r="EJ25565"/>
      <c r="EK25565"/>
    </row>
    <row r="25566" spans="1:141" s="116" customFormat="1">
      <c r="A25566" s="136"/>
      <c r="CM25566" s="111"/>
      <c r="CQ25566" s="111"/>
      <c r="EF25566"/>
      <c r="EG25566"/>
      <c r="EH25566"/>
      <c r="EI25566"/>
      <c r="EJ25566"/>
      <c r="EK25566"/>
    </row>
    <row r="25567" spans="1:141" s="116" customFormat="1">
      <c r="A25567" s="136"/>
      <c r="CM25567" s="111"/>
      <c r="CQ25567" s="111"/>
      <c r="EF25567"/>
      <c r="EG25567"/>
      <c r="EH25567"/>
      <c r="EI25567"/>
      <c r="EJ25567"/>
      <c r="EK25567"/>
    </row>
    <row r="25568" spans="1:141" s="116" customFormat="1">
      <c r="A25568" s="136"/>
      <c r="CM25568" s="111"/>
      <c r="CQ25568" s="111"/>
      <c r="EF25568"/>
      <c r="EG25568"/>
      <c r="EH25568"/>
      <c r="EI25568"/>
      <c r="EJ25568"/>
      <c r="EK25568"/>
    </row>
    <row r="25569" spans="1:141" s="116" customFormat="1">
      <c r="A25569" s="136"/>
      <c r="CM25569" s="111"/>
      <c r="CQ25569" s="111"/>
      <c r="EF25569"/>
      <c r="EG25569"/>
      <c r="EH25569"/>
      <c r="EI25569"/>
      <c r="EJ25569"/>
      <c r="EK25569"/>
    </row>
    <row r="25570" spans="1:141" s="116" customFormat="1">
      <c r="A25570" s="136"/>
      <c r="CM25570" s="111"/>
      <c r="CQ25570" s="111"/>
      <c r="EF25570"/>
      <c r="EG25570"/>
      <c r="EH25570"/>
      <c r="EI25570"/>
      <c r="EJ25570"/>
      <c r="EK25570"/>
    </row>
    <row r="25571" spans="1:141" s="116" customFormat="1">
      <c r="A25571" s="136"/>
      <c r="CM25571" s="111"/>
      <c r="CQ25571" s="111"/>
      <c r="EF25571"/>
      <c r="EG25571"/>
      <c r="EH25571"/>
      <c r="EI25571"/>
      <c r="EJ25571"/>
      <c r="EK25571"/>
    </row>
    <row r="25572" spans="1:141" s="116" customFormat="1">
      <c r="A25572" s="136"/>
      <c r="CM25572" s="111"/>
      <c r="CQ25572" s="111"/>
      <c r="EF25572"/>
      <c r="EG25572"/>
      <c r="EH25572"/>
      <c r="EI25572"/>
      <c r="EJ25572"/>
      <c r="EK25572"/>
    </row>
    <row r="25573" spans="1:141" s="116" customFormat="1">
      <c r="A25573" s="136"/>
      <c r="CM25573" s="111"/>
      <c r="CQ25573" s="111"/>
      <c r="EF25573"/>
      <c r="EG25573"/>
      <c r="EH25573"/>
      <c r="EI25573"/>
      <c r="EJ25573"/>
      <c r="EK25573"/>
    </row>
    <row r="25574" spans="1:141" s="116" customFormat="1">
      <c r="A25574" s="136"/>
      <c r="CM25574" s="111"/>
      <c r="CQ25574" s="111"/>
      <c r="EF25574"/>
      <c r="EG25574"/>
      <c r="EH25574"/>
      <c r="EI25574"/>
      <c r="EJ25574"/>
      <c r="EK25574"/>
    </row>
    <row r="25575" spans="1:141" s="116" customFormat="1">
      <c r="A25575" s="136"/>
      <c r="CM25575" s="111"/>
      <c r="CQ25575" s="111"/>
      <c r="EF25575"/>
      <c r="EG25575"/>
      <c r="EH25575"/>
      <c r="EI25575"/>
      <c r="EJ25575"/>
      <c r="EK25575"/>
    </row>
    <row r="25576" spans="1:141" s="116" customFormat="1">
      <c r="A25576" s="136"/>
      <c r="CM25576" s="111"/>
      <c r="CQ25576" s="111"/>
      <c r="EF25576"/>
      <c r="EG25576"/>
      <c r="EH25576"/>
      <c r="EI25576"/>
      <c r="EJ25576"/>
      <c r="EK25576"/>
    </row>
    <row r="25577" spans="1:141" s="116" customFormat="1">
      <c r="A25577" s="136"/>
      <c r="CM25577" s="111"/>
      <c r="CQ25577" s="111"/>
      <c r="EF25577"/>
      <c r="EG25577"/>
      <c r="EH25577"/>
      <c r="EI25577"/>
      <c r="EJ25577"/>
      <c r="EK25577"/>
    </row>
    <row r="25578" spans="1:141" s="116" customFormat="1">
      <c r="A25578" s="136"/>
      <c r="CM25578" s="111"/>
      <c r="CQ25578" s="111"/>
      <c r="EF25578"/>
      <c r="EG25578"/>
      <c r="EH25578"/>
      <c r="EI25578"/>
      <c r="EJ25578"/>
      <c r="EK25578"/>
    </row>
    <row r="25579" spans="1:141" s="116" customFormat="1">
      <c r="A25579" s="136"/>
      <c r="CM25579" s="111"/>
      <c r="CQ25579" s="111"/>
      <c r="EF25579"/>
      <c r="EG25579"/>
      <c r="EH25579"/>
      <c r="EI25579"/>
      <c r="EJ25579"/>
      <c r="EK25579"/>
    </row>
    <row r="25580" spans="1:141" s="116" customFormat="1">
      <c r="A25580" s="136"/>
      <c r="CM25580" s="111"/>
      <c r="CQ25580" s="111"/>
      <c r="EF25580"/>
      <c r="EG25580"/>
      <c r="EH25580"/>
      <c r="EI25580"/>
      <c r="EJ25580"/>
      <c r="EK25580"/>
    </row>
    <row r="25581" spans="1:141" s="116" customFormat="1">
      <c r="A25581" s="136"/>
      <c r="CM25581" s="111"/>
      <c r="CQ25581" s="111"/>
      <c r="EF25581"/>
      <c r="EG25581"/>
      <c r="EH25581"/>
      <c r="EI25581"/>
      <c r="EJ25581"/>
      <c r="EK25581"/>
    </row>
    <row r="25582" spans="1:141" s="116" customFormat="1">
      <c r="A25582" s="136"/>
      <c r="CM25582" s="111"/>
      <c r="CQ25582" s="111"/>
      <c r="EF25582"/>
      <c r="EG25582"/>
      <c r="EH25582"/>
      <c r="EI25582"/>
      <c r="EJ25582"/>
      <c r="EK25582"/>
    </row>
    <row r="25583" spans="1:141" s="116" customFormat="1">
      <c r="A25583" s="136"/>
      <c r="CM25583" s="111"/>
      <c r="CQ25583" s="111"/>
      <c r="EF25583"/>
      <c r="EG25583"/>
      <c r="EH25583"/>
      <c r="EI25583"/>
      <c r="EJ25583"/>
      <c r="EK25583"/>
    </row>
    <row r="25584" spans="1:141" s="116" customFormat="1">
      <c r="A25584" s="136"/>
      <c r="CM25584" s="111"/>
      <c r="CQ25584" s="111"/>
      <c r="EF25584"/>
      <c r="EG25584"/>
      <c r="EH25584"/>
      <c r="EI25584"/>
      <c r="EJ25584"/>
      <c r="EK25584"/>
    </row>
    <row r="25585" spans="1:141" s="116" customFormat="1">
      <c r="A25585" s="136"/>
      <c r="CM25585" s="111"/>
      <c r="CQ25585" s="111"/>
      <c r="EF25585"/>
      <c r="EG25585"/>
      <c r="EH25585"/>
      <c r="EI25585"/>
      <c r="EJ25585"/>
      <c r="EK25585"/>
    </row>
    <row r="25586" spans="1:141" s="116" customFormat="1">
      <c r="A25586" s="136"/>
      <c r="CM25586" s="111"/>
      <c r="CQ25586" s="111"/>
      <c r="EF25586"/>
      <c r="EG25586"/>
      <c r="EH25586"/>
      <c r="EI25586"/>
      <c r="EJ25586"/>
      <c r="EK25586"/>
    </row>
    <row r="25587" spans="1:141" s="116" customFormat="1">
      <c r="A25587" s="136"/>
      <c r="CM25587" s="111"/>
      <c r="CQ25587" s="111"/>
      <c r="EF25587"/>
      <c r="EG25587"/>
      <c r="EH25587"/>
      <c r="EI25587"/>
      <c r="EJ25587"/>
      <c r="EK25587"/>
    </row>
    <row r="25588" spans="1:141" s="116" customFormat="1">
      <c r="A25588" s="136"/>
      <c r="CM25588" s="111"/>
      <c r="CQ25588" s="111"/>
      <c r="EF25588"/>
      <c r="EG25588"/>
      <c r="EH25588"/>
      <c r="EI25588"/>
      <c r="EJ25588"/>
      <c r="EK25588"/>
    </row>
    <row r="25589" spans="1:141" s="116" customFormat="1">
      <c r="A25589" s="136"/>
      <c r="CM25589" s="111"/>
      <c r="CQ25589" s="111"/>
      <c r="EF25589"/>
      <c r="EG25589"/>
      <c r="EH25589"/>
      <c r="EI25589"/>
      <c r="EJ25589"/>
      <c r="EK25589"/>
    </row>
    <row r="25590" spans="1:141" s="116" customFormat="1">
      <c r="A25590" s="136"/>
      <c r="CM25590" s="111"/>
      <c r="CQ25590" s="111"/>
      <c r="EF25590"/>
      <c r="EG25590"/>
      <c r="EH25590"/>
      <c r="EI25590"/>
      <c r="EJ25590"/>
      <c r="EK25590"/>
    </row>
    <row r="25591" spans="1:141" s="116" customFormat="1">
      <c r="A25591" s="136"/>
      <c r="CM25591" s="111"/>
      <c r="CQ25591" s="111"/>
      <c r="EF25591"/>
      <c r="EG25591"/>
      <c r="EH25591"/>
      <c r="EI25591"/>
      <c r="EJ25591"/>
      <c r="EK25591"/>
    </row>
    <row r="25592" spans="1:141" s="116" customFormat="1">
      <c r="A25592" s="136"/>
      <c r="CM25592" s="111"/>
      <c r="CQ25592" s="111"/>
      <c r="EF25592"/>
      <c r="EG25592"/>
      <c r="EH25592"/>
      <c r="EI25592"/>
      <c r="EJ25592"/>
      <c r="EK25592"/>
    </row>
    <row r="25593" spans="1:141" s="116" customFormat="1">
      <c r="A25593" s="136"/>
      <c r="CM25593" s="111"/>
      <c r="CQ25593" s="111"/>
      <c r="EF25593"/>
      <c r="EG25593"/>
      <c r="EH25593"/>
      <c r="EI25593"/>
      <c r="EJ25593"/>
      <c r="EK25593"/>
    </row>
    <row r="25594" spans="1:141" s="116" customFormat="1">
      <c r="A25594" s="136"/>
      <c r="CM25594" s="111"/>
      <c r="CQ25594" s="111"/>
      <c r="EF25594"/>
      <c r="EG25594"/>
      <c r="EH25594"/>
      <c r="EI25594"/>
      <c r="EJ25594"/>
      <c r="EK25594"/>
    </row>
    <row r="25595" spans="1:141" s="116" customFormat="1">
      <c r="A25595" s="136"/>
      <c r="CM25595" s="111"/>
      <c r="CQ25595" s="111"/>
      <c r="EF25595"/>
      <c r="EG25595"/>
      <c r="EH25595"/>
      <c r="EI25595"/>
      <c r="EJ25595"/>
      <c r="EK25595"/>
    </row>
    <row r="25596" spans="1:141" s="116" customFormat="1">
      <c r="A25596" s="136"/>
      <c r="CM25596" s="111"/>
      <c r="CQ25596" s="111"/>
      <c r="EF25596"/>
      <c r="EG25596"/>
      <c r="EH25596"/>
      <c r="EI25596"/>
      <c r="EJ25596"/>
      <c r="EK25596"/>
    </row>
    <row r="25597" spans="1:141" s="116" customFormat="1">
      <c r="A25597" s="136"/>
      <c r="CM25597" s="111"/>
      <c r="CQ25597" s="111"/>
      <c r="EF25597"/>
      <c r="EG25597"/>
      <c r="EH25597"/>
      <c r="EI25597"/>
      <c r="EJ25597"/>
      <c r="EK25597"/>
    </row>
    <row r="25598" spans="1:141" s="116" customFormat="1">
      <c r="A25598" s="136"/>
      <c r="CM25598" s="111"/>
      <c r="CQ25598" s="111"/>
      <c r="EF25598"/>
      <c r="EG25598"/>
      <c r="EH25598"/>
      <c r="EI25598"/>
      <c r="EJ25598"/>
      <c r="EK25598"/>
    </row>
    <row r="25599" spans="1:141" s="116" customFormat="1">
      <c r="A25599" s="136"/>
      <c r="CM25599" s="111"/>
      <c r="CQ25599" s="111"/>
      <c r="EF25599"/>
      <c r="EG25599"/>
      <c r="EH25599"/>
      <c r="EI25599"/>
      <c r="EJ25599"/>
      <c r="EK25599"/>
    </row>
    <row r="25600" spans="1:141" s="116" customFormat="1">
      <c r="A25600" s="136"/>
      <c r="CM25600" s="111"/>
      <c r="CQ25600" s="111"/>
      <c r="EF25600"/>
      <c r="EG25600"/>
      <c r="EH25600"/>
      <c r="EI25600"/>
      <c r="EJ25600"/>
      <c r="EK25600"/>
    </row>
    <row r="25601" spans="1:141" s="116" customFormat="1">
      <c r="A25601" s="136"/>
      <c r="CM25601" s="111"/>
      <c r="CQ25601" s="111"/>
      <c r="EF25601"/>
      <c r="EG25601"/>
      <c r="EH25601"/>
      <c r="EI25601"/>
      <c r="EJ25601"/>
      <c r="EK25601"/>
    </row>
    <row r="25602" spans="1:141" s="116" customFormat="1">
      <c r="A25602" s="136"/>
      <c r="CM25602" s="111"/>
      <c r="CQ25602" s="111"/>
      <c r="EF25602"/>
      <c r="EG25602"/>
      <c r="EH25602"/>
      <c r="EI25602"/>
      <c r="EJ25602"/>
      <c r="EK25602"/>
    </row>
    <row r="25603" spans="1:141" s="116" customFormat="1">
      <c r="A25603" s="136"/>
      <c r="CM25603" s="111"/>
      <c r="CQ25603" s="111"/>
      <c r="EF25603"/>
      <c r="EG25603"/>
      <c r="EH25603"/>
      <c r="EI25603"/>
      <c r="EJ25603"/>
      <c r="EK25603"/>
    </row>
    <row r="25604" spans="1:141" s="116" customFormat="1">
      <c r="A25604" s="136"/>
      <c r="CM25604" s="111"/>
      <c r="CQ25604" s="111"/>
      <c r="EF25604"/>
      <c r="EG25604"/>
      <c r="EH25604"/>
      <c r="EI25604"/>
      <c r="EJ25604"/>
      <c r="EK25604"/>
    </row>
    <row r="25605" spans="1:141" s="116" customFormat="1">
      <c r="A25605" s="136"/>
      <c r="CM25605" s="111"/>
      <c r="CQ25605" s="111"/>
      <c r="EF25605"/>
      <c r="EG25605"/>
      <c r="EH25605"/>
      <c r="EI25605"/>
      <c r="EJ25605"/>
      <c r="EK25605"/>
    </row>
    <row r="25606" spans="1:141" s="116" customFormat="1">
      <c r="A25606" s="136"/>
      <c r="CM25606" s="111"/>
      <c r="CQ25606" s="111"/>
      <c r="EF25606"/>
      <c r="EG25606"/>
      <c r="EH25606"/>
      <c r="EI25606"/>
      <c r="EJ25606"/>
      <c r="EK25606"/>
    </row>
    <row r="25607" spans="1:141" s="116" customFormat="1">
      <c r="A25607" s="136"/>
      <c r="CM25607" s="111"/>
      <c r="CQ25607" s="111"/>
      <c r="EF25607"/>
      <c r="EG25607"/>
      <c r="EH25607"/>
      <c r="EI25607"/>
      <c r="EJ25607"/>
      <c r="EK25607"/>
    </row>
    <row r="25608" spans="1:141" s="116" customFormat="1">
      <c r="A25608" s="136"/>
      <c r="CM25608" s="111"/>
      <c r="CQ25608" s="111"/>
      <c r="EF25608"/>
      <c r="EG25608"/>
      <c r="EH25608"/>
      <c r="EI25608"/>
      <c r="EJ25608"/>
      <c r="EK25608"/>
    </row>
    <row r="25609" spans="1:141" s="116" customFormat="1">
      <c r="A25609" s="136"/>
      <c r="CM25609" s="111"/>
      <c r="CQ25609" s="111"/>
      <c r="EF25609"/>
      <c r="EG25609"/>
      <c r="EH25609"/>
      <c r="EI25609"/>
      <c r="EJ25609"/>
      <c r="EK25609"/>
    </row>
    <row r="25610" spans="1:141" s="116" customFormat="1">
      <c r="A25610" s="136"/>
      <c r="CM25610" s="111"/>
      <c r="CQ25610" s="111"/>
      <c r="EF25610"/>
      <c r="EG25610"/>
      <c r="EH25610"/>
      <c r="EI25610"/>
      <c r="EJ25610"/>
      <c r="EK25610"/>
    </row>
    <row r="25611" spans="1:141" s="116" customFormat="1">
      <c r="A25611" s="136"/>
      <c r="CM25611" s="111"/>
      <c r="CQ25611" s="111"/>
      <c r="EF25611"/>
      <c r="EG25611"/>
      <c r="EH25611"/>
      <c r="EI25611"/>
      <c r="EJ25611"/>
      <c r="EK25611"/>
    </row>
    <row r="25612" spans="1:141" s="116" customFormat="1">
      <c r="A25612" s="136"/>
      <c r="CM25612" s="111"/>
      <c r="CQ25612" s="111"/>
      <c r="EF25612"/>
      <c r="EG25612"/>
      <c r="EH25612"/>
      <c r="EI25612"/>
      <c r="EJ25612"/>
      <c r="EK25612"/>
    </row>
    <row r="25613" spans="1:141" s="116" customFormat="1">
      <c r="A25613" s="136"/>
      <c r="CM25613" s="111"/>
      <c r="CQ25613" s="111"/>
      <c r="EF25613"/>
      <c r="EG25613"/>
      <c r="EH25613"/>
      <c r="EI25613"/>
      <c r="EJ25613"/>
      <c r="EK25613"/>
    </row>
    <row r="25614" spans="1:141" s="116" customFormat="1">
      <c r="A25614" s="136"/>
      <c r="CM25614" s="111"/>
      <c r="CQ25614" s="111"/>
      <c r="EF25614"/>
      <c r="EG25614"/>
      <c r="EH25614"/>
      <c r="EI25614"/>
      <c r="EJ25614"/>
      <c r="EK25614"/>
    </row>
    <row r="25615" spans="1:141" s="116" customFormat="1">
      <c r="A25615" s="136"/>
      <c r="CM25615" s="111"/>
      <c r="CQ25615" s="111"/>
      <c r="EF25615"/>
      <c r="EG25615"/>
      <c r="EH25615"/>
      <c r="EI25615"/>
      <c r="EJ25615"/>
      <c r="EK25615"/>
    </row>
    <row r="25616" spans="1:141" s="116" customFormat="1">
      <c r="A25616" s="136"/>
      <c r="CM25616" s="111"/>
      <c r="CQ25616" s="111"/>
      <c r="EF25616"/>
      <c r="EG25616"/>
      <c r="EH25616"/>
      <c r="EI25616"/>
      <c r="EJ25616"/>
      <c r="EK25616"/>
    </row>
    <row r="25617" spans="1:141" s="116" customFormat="1">
      <c r="A25617" s="136"/>
      <c r="CM25617" s="111"/>
      <c r="CQ25617" s="111"/>
      <c r="EF25617"/>
      <c r="EG25617"/>
      <c r="EH25617"/>
      <c r="EI25617"/>
      <c r="EJ25617"/>
      <c r="EK25617"/>
    </row>
    <row r="25618" spans="1:141" s="116" customFormat="1">
      <c r="A25618" s="136"/>
      <c r="CM25618" s="111"/>
      <c r="CQ25618" s="111"/>
      <c r="EF25618"/>
      <c r="EG25618"/>
      <c r="EH25618"/>
      <c r="EI25618"/>
      <c r="EJ25618"/>
      <c r="EK25618"/>
    </row>
    <row r="25619" spans="1:141" s="116" customFormat="1">
      <c r="A25619" s="136"/>
      <c r="CM25619" s="111"/>
      <c r="CQ25619" s="111"/>
      <c r="EF25619"/>
      <c r="EG25619"/>
      <c r="EH25619"/>
      <c r="EI25619"/>
      <c r="EJ25619"/>
      <c r="EK25619"/>
    </row>
    <row r="25620" spans="1:141" s="116" customFormat="1">
      <c r="A25620" s="136"/>
      <c r="CM25620" s="111"/>
      <c r="CQ25620" s="111"/>
      <c r="EF25620"/>
      <c r="EG25620"/>
      <c r="EH25620"/>
      <c r="EI25620"/>
      <c r="EJ25620"/>
      <c r="EK25620"/>
    </row>
    <row r="25621" spans="1:141" s="116" customFormat="1">
      <c r="A25621" s="136"/>
      <c r="CM25621" s="111"/>
      <c r="CQ25621" s="111"/>
      <c r="EF25621"/>
      <c r="EG25621"/>
      <c r="EH25621"/>
      <c r="EI25621"/>
      <c r="EJ25621"/>
      <c r="EK25621"/>
    </row>
    <row r="25622" spans="1:141" s="116" customFormat="1">
      <c r="A25622" s="136"/>
      <c r="CM25622" s="111"/>
      <c r="CQ25622" s="111"/>
      <c r="EF25622"/>
      <c r="EG25622"/>
      <c r="EH25622"/>
      <c r="EI25622"/>
      <c r="EJ25622"/>
      <c r="EK25622"/>
    </row>
    <row r="25623" spans="1:141" s="116" customFormat="1">
      <c r="A25623" s="136"/>
      <c r="CM25623" s="111"/>
      <c r="CQ25623" s="111"/>
      <c r="EF25623"/>
      <c r="EG25623"/>
      <c r="EH25623"/>
      <c r="EI25623"/>
      <c r="EJ25623"/>
      <c r="EK25623"/>
    </row>
    <row r="25624" spans="1:141" s="116" customFormat="1">
      <c r="A25624" s="136"/>
      <c r="CM25624" s="111"/>
      <c r="CQ25624" s="111"/>
      <c r="EF25624"/>
      <c r="EG25624"/>
      <c r="EH25624"/>
      <c r="EI25624"/>
      <c r="EJ25624"/>
      <c r="EK25624"/>
    </row>
    <row r="25625" spans="1:141" s="116" customFormat="1">
      <c r="A25625" s="136"/>
      <c r="CM25625" s="111"/>
      <c r="CQ25625" s="111"/>
      <c r="EF25625"/>
      <c r="EG25625"/>
      <c r="EH25625"/>
      <c r="EI25625"/>
      <c r="EJ25625"/>
      <c r="EK25625"/>
    </row>
    <row r="25626" spans="1:141" s="116" customFormat="1">
      <c r="A25626" s="136"/>
      <c r="CM25626" s="111"/>
      <c r="CQ25626" s="111"/>
      <c r="EF25626"/>
      <c r="EG25626"/>
      <c r="EH25626"/>
      <c r="EI25626"/>
      <c r="EJ25626"/>
      <c r="EK25626"/>
    </row>
    <row r="25627" spans="1:141" s="116" customFormat="1">
      <c r="A25627" s="136"/>
      <c r="CM25627" s="111"/>
      <c r="CQ25627" s="111"/>
      <c r="EF25627"/>
      <c r="EG25627"/>
      <c r="EH25627"/>
      <c r="EI25627"/>
      <c r="EJ25627"/>
      <c r="EK25627"/>
    </row>
    <row r="25628" spans="1:141" s="116" customFormat="1">
      <c r="A25628" s="136"/>
      <c r="CM25628" s="111"/>
      <c r="CQ25628" s="111"/>
      <c r="EF25628"/>
      <c r="EG25628"/>
      <c r="EH25628"/>
      <c r="EI25628"/>
      <c r="EJ25628"/>
      <c r="EK25628"/>
    </row>
    <row r="25629" spans="1:141" s="116" customFormat="1">
      <c r="A25629" s="136"/>
      <c r="CM25629" s="111"/>
      <c r="CQ25629" s="111"/>
      <c r="EF25629"/>
      <c r="EG25629"/>
      <c r="EH25629"/>
      <c r="EI25629"/>
      <c r="EJ25629"/>
      <c r="EK25629"/>
    </row>
    <row r="25630" spans="1:141" s="116" customFormat="1">
      <c r="A25630" s="136"/>
      <c r="CM25630" s="111"/>
      <c r="CQ25630" s="111"/>
      <c r="EF25630"/>
      <c r="EG25630"/>
      <c r="EH25630"/>
      <c r="EI25630"/>
      <c r="EJ25630"/>
      <c r="EK25630"/>
    </row>
    <row r="25631" spans="1:141" s="116" customFormat="1">
      <c r="A25631" s="136"/>
      <c r="CM25631" s="111"/>
      <c r="CQ25631" s="111"/>
      <c r="EF25631"/>
      <c r="EG25631"/>
      <c r="EH25631"/>
      <c r="EI25631"/>
      <c r="EJ25631"/>
      <c r="EK25631"/>
    </row>
    <row r="25632" spans="1:141" s="116" customFormat="1">
      <c r="A25632" s="136"/>
      <c r="CM25632" s="111"/>
      <c r="CQ25632" s="111"/>
      <c r="EF25632"/>
      <c r="EG25632"/>
      <c r="EH25632"/>
      <c r="EI25632"/>
      <c r="EJ25632"/>
      <c r="EK25632"/>
    </row>
    <row r="25633" spans="1:141" s="116" customFormat="1">
      <c r="A25633" s="136"/>
      <c r="CM25633" s="111"/>
      <c r="CQ25633" s="111"/>
      <c r="EF25633"/>
      <c r="EG25633"/>
      <c r="EH25633"/>
      <c r="EI25633"/>
      <c r="EJ25633"/>
      <c r="EK25633"/>
    </row>
    <row r="25634" spans="1:141" s="116" customFormat="1">
      <c r="A25634" s="136"/>
      <c r="CM25634" s="111"/>
      <c r="CQ25634" s="111"/>
      <c r="EF25634"/>
      <c r="EG25634"/>
      <c r="EH25634"/>
      <c r="EI25634"/>
      <c r="EJ25634"/>
      <c r="EK25634"/>
    </row>
    <row r="25635" spans="1:141" s="116" customFormat="1">
      <c r="A25635" s="136"/>
      <c r="CM25635" s="111"/>
      <c r="CQ25635" s="111"/>
      <c r="EF25635"/>
      <c r="EG25635"/>
      <c r="EH25635"/>
      <c r="EI25635"/>
      <c r="EJ25635"/>
      <c r="EK25635"/>
    </row>
    <row r="25636" spans="1:141" s="116" customFormat="1">
      <c r="A25636" s="136"/>
      <c r="CM25636" s="111"/>
      <c r="CQ25636" s="111"/>
      <c r="EF25636"/>
      <c r="EG25636"/>
      <c r="EH25636"/>
      <c r="EI25636"/>
      <c r="EJ25636"/>
      <c r="EK25636"/>
    </row>
    <row r="25637" spans="1:141" s="116" customFormat="1">
      <c r="A25637" s="136"/>
      <c r="CM25637" s="111"/>
      <c r="CQ25637" s="111"/>
      <c r="EF25637"/>
      <c r="EG25637"/>
      <c r="EH25637"/>
      <c r="EI25637"/>
      <c r="EJ25637"/>
      <c r="EK25637"/>
    </row>
    <row r="25638" spans="1:141" s="116" customFormat="1">
      <c r="A25638" s="136"/>
      <c r="CM25638" s="111"/>
      <c r="CQ25638" s="111"/>
      <c r="EF25638"/>
      <c r="EG25638"/>
      <c r="EH25638"/>
      <c r="EI25638"/>
      <c r="EJ25638"/>
      <c r="EK25638"/>
    </row>
    <row r="25639" spans="1:141" s="116" customFormat="1">
      <c r="A25639" s="136"/>
      <c r="CM25639" s="111"/>
      <c r="CQ25639" s="111"/>
      <c r="EF25639"/>
      <c r="EG25639"/>
      <c r="EH25639"/>
      <c r="EI25639"/>
      <c r="EJ25639"/>
      <c r="EK25639"/>
    </row>
    <row r="25640" spans="1:141" s="116" customFormat="1">
      <c r="A25640" s="136"/>
      <c r="CM25640" s="111"/>
      <c r="CQ25640" s="111"/>
      <c r="EF25640"/>
      <c r="EG25640"/>
      <c r="EH25640"/>
      <c r="EI25640"/>
      <c r="EJ25640"/>
      <c r="EK25640"/>
    </row>
    <row r="25641" spans="1:141" s="116" customFormat="1">
      <c r="A25641" s="136"/>
      <c r="CM25641" s="111"/>
      <c r="CQ25641" s="111"/>
      <c r="EF25641"/>
      <c r="EG25641"/>
      <c r="EH25641"/>
      <c r="EI25641"/>
      <c r="EJ25641"/>
      <c r="EK25641"/>
    </row>
    <row r="25642" spans="1:141" s="116" customFormat="1">
      <c r="A25642" s="136"/>
      <c r="CM25642" s="111"/>
      <c r="CQ25642" s="111"/>
      <c r="EF25642"/>
      <c r="EG25642"/>
      <c r="EH25642"/>
      <c r="EI25642"/>
      <c r="EJ25642"/>
      <c r="EK25642"/>
    </row>
    <row r="25643" spans="1:141" s="116" customFormat="1">
      <c r="A25643" s="136"/>
      <c r="CM25643" s="111"/>
      <c r="CQ25643" s="111"/>
      <c r="EF25643"/>
      <c r="EG25643"/>
      <c r="EH25643"/>
      <c r="EI25643"/>
      <c r="EJ25643"/>
      <c r="EK25643"/>
    </row>
    <row r="25644" spans="1:141" s="116" customFormat="1">
      <c r="A25644" s="136"/>
      <c r="CM25644" s="111"/>
      <c r="CQ25644" s="111"/>
      <c r="EF25644"/>
      <c r="EG25644"/>
      <c r="EH25644"/>
      <c r="EI25644"/>
      <c r="EJ25644"/>
      <c r="EK25644"/>
    </row>
    <row r="25645" spans="1:141" s="116" customFormat="1">
      <c r="A25645" s="136"/>
      <c r="CM25645" s="111"/>
      <c r="CQ25645" s="111"/>
      <c r="EF25645"/>
      <c r="EG25645"/>
      <c r="EH25645"/>
      <c r="EI25645"/>
      <c r="EJ25645"/>
      <c r="EK25645"/>
    </row>
    <row r="25646" spans="1:141" s="116" customFormat="1">
      <c r="A25646" s="136"/>
      <c r="CM25646" s="111"/>
      <c r="CQ25646" s="111"/>
      <c r="EF25646"/>
      <c r="EG25646"/>
      <c r="EH25646"/>
      <c r="EI25646"/>
      <c r="EJ25646"/>
      <c r="EK25646"/>
    </row>
    <row r="25647" spans="1:141" s="116" customFormat="1">
      <c r="A25647" s="136"/>
      <c r="CM25647" s="111"/>
      <c r="CQ25647" s="111"/>
      <c r="EF25647"/>
      <c r="EG25647"/>
      <c r="EH25647"/>
      <c r="EI25647"/>
      <c r="EJ25647"/>
      <c r="EK25647"/>
    </row>
    <row r="25648" spans="1:141" s="116" customFormat="1">
      <c r="A25648" s="136"/>
      <c r="CM25648" s="111"/>
      <c r="CQ25648" s="111"/>
      <c r="EF25648"/>
      <c r="EG25648"/>
      <c r="EH25648"/>
      <c r="EI25648"/>
      <c r="EJ25648"/>
      <c r="EK25648"/>
    </row>
    <row r="25649" spans="1:141" s="116" customFormat="1">
      <c r="A25649" s="136"/>
      <c r="CM25649" s="111"/>
      <c r="CQ25649" s="111"/>
      <c r="EF25649"/>
      <c r="EG25649"/>
      <c r="EH25649"/>
      <c r="EI25649"/>
      <c r="EJ25649"/>
      <c r="EK25649"/>
    </row>
    <row r="25650" spans="1:141" s="116" customFormat="1">
      <c r="A25650" s="136"/>
      <c r="CM25650" s="111"/>
      <c r="CQ25650" s="111"/>
      <c r="EF25650"/>
      <c r="EG25650"/>
      <c r="EH25650"/>
      <c r="EI25650"/>
      <c r="EJ25650"/>
      <c r="EK25650"/>
    </row>
    <row r="25651" spans="1:141" s="116" customFormat="1">
      <c r="A25651" s="136"/>
      <c r="CM25651" s="111"/>
      <c r="CQ25651" s="111"/>
      <c r="EF25651"/>
      <c r="EG25651"/>
      <c r="EH25651"/>
      <c r="EI25651"/>
      <c r="EJ25651"/>
      <c r="EK25651"/>
    </row>
    <row r="25652" spans="1:141" s="116" customFormat="1">
      <c r="A25652" s="136"/>
      <c r="CM25652" s="111"/>
      <c r="CQ25652" s="111"/>
      <c r="EF25652"/>
      <c r="EG25652"/>
      <c r="EH25652"/>
      <c r="EI25652"/>
      <c r="EJ25652"/>
      <c r="EK25652"/>
    </row>
    <row r="25653" spans="1:141" s="116" customFormat="1">
      <c r="A25653" s="136"/>
      <c r="CM25653" s="111"/>
      <c r="CQ25653" s="111"/>
      <c r="EF25653"/>
      <c r="EG25653"/>
      <c r="EH25653"/>
      <c r="EI25653"/>
      <c r="EJ25653"/>
      <c r="EK25653"/>
    </row>
    <row r="25654" spans="1:141" s="116" customFormat="1">
      <c r="A25654" s="136"/>
      <c r="CM25654" s="111"/>
      <c r="CQ25654" s="111"/>
      <c r="EF25654"/>
      <c r="EG25654"/>
      <c r="EH25654"/>
      <c r="EI25654"/>
      <c r="EJ25654"/>
      <c r="EK25654"/>
    </row>
    <row r="25655" spans="1:141" s="116" customFormat="1">
      <c r="A25655" s="136"/>
      <c r="CM25655" s="111"/>
      <c r="CQ25655" s="111"/>
      <c r="EF25655"/>
      <c r="EG25655"/>
      <c r="EH25655"/>
      <c r="EI25655"/>
      <c r="EJ25655"/>
      <c r="EK25655"/>
    </row>
    <row r="25656" spans="1:141" s="116" customFormat="1">
      <c r="A25656" s="136"/>
      <c r="CM25656" s="111"/>
      <c r="CQ25656" s="111"/>
      <c r="EF25656"/>
      <c r="EG25656"/>
      <c r="EH25656"/>
      <c r="EI25656"/>
      <c r="EJ25656"/>
      <c r="EK25656"/>
    </row>
    <row r="25657" spans="1:141" s="116" customFormat="1">
      <c r="A25657" s="136"/>
      <c r="CM25657" s="111"/>
      <c r="CQ25657" s="111"/>
      <c r="EF25657"/>
      <c r="EG25657"/>
      <c r="EH25657"/>
      <c r="EI25657"/>
      <c r="EJ25657"/>
      <c r="EK25657"/>
    </row>
    <row r="25658" spans="1:141" s="116" customFormat="1">
      <c r="A25658" s="136"/>
      <c r="CM25658" s="111"/>
      <c r="CQ25658" s="111"/>
      <c r="EF25658"/>
      <c r="EG25658"/>
      <c r="EH25658"/>
      <c r="EI25658"/>
      <c r="EJ25658"/>
      <c r="EK25658"/>
    </row>
    <row r="25659" spans="1:141" s="116" customFormat="1">
      <c r="A25659" s="136"/>
      <c r="CM25659" s="111"/>
      <c r="CQ25659" s="111"/>
      <c r="EF25659"/>
      <c r="EG25659"/>
      <c r="EH25659"/>
      <c r="EI25659"/>
      <c r="EJ25659"/>
      <c r="EK25659"/>
    </row>
    <row r="25660" spans="1:141" s="116" customFormat="1">
      <c r="A25660" s="136"/>
      <c r="CM25660" s="111"/>
      <c r="CQ25660" s="111"/>
      <c r="EF25660"/>
      <c r="EG25660"/>
      <c r="EH25660"/>
      <c r="EI25660"/>
      <c r="EJ25660"/>
      <c r="EK25660"/>
    </row>
    <row r="25661" spans="1:141" s="116" customFormat="1">
      <c r="A25661" s="136"/>
      <c r="CM25661" s="111"/>
      <c r="CQ25661" s="111"/>
      <c r="EF25661"/>
      <c r="EG25661"/>
      <c r="EH25661"/>
      <c r="EI25661"/>
      <c r="EJ25661"/>
      <c r="EK25661"/>
    </row>
    <row r="25662" spans="1:141" s="116" customFormat="1">
      <c r="A25662" s="136"/>
      <c r="CM25662" s="111"/>
      <c r="CQ25662" s="111"/>
      <c r="EF25662"/>
      <c r="EG25662"/>
      <c r="EH25662"/>
      <c r="EI25662"/>
      <c r="EJ25662"/>
      <c r="EK25662"/>
    </row>
    <row r="25663" spans="1:141" s="116" customFormat="1">
      <c r="A25663" s="136"/>
      <c r="CM25663" s="111"/>
      <c r="CQ25663" s="111"/>
      <c r="EF25663"/>
      <c r="EG25663"/>
      <c r="EH25663"/>
      <c r="EI25663"/>
      <c r="EJ25663"/>
      <c r="EK25663"/>
    </row>
    <row r="25664" spans="1:141" s="116" customFormat="1">
      <c r="A25664" s="136"/>
      <c r="CM25664" s="111"/>
      <c r="CQ25664" s="111"/>
      <c r="EF25664"/>
      <c r="EG25664"/>
      <c r="EH25664"/>
      <c r="EI25664"/>
      <c r="EJ25664"/>
      <c r="EK25664"/>
    </row>
    <row r="25665" spans="1:141" s="116" customFormat="1">
      <c r="A25665" s="136"/>
      <c r="CM25665" s="111"/>
      <c r="CQ25665" s="111"/>
      <c r="EF25665"/>
      <c r="EG25665"/>
      <c r="EH25665"/>
      <c r="EI25665"/>
      <c r="EJ25665"/>
      <c r="EK25665"/>
    </row>
    <row r="25666" spans="1:141" s="116" customFormat="1">
      <c r="A25666" s="136"/>
      <c r="CM25666" s="111"/>
      <c r="CQ25666" s="111"/>
      <c r="EF25666"/>
      <c r="EG25666"/>
      <c r="EH25666"/>
      <c r="EI25666"/>
      <c r="EJ25666"/>
      <c r="EK25666"/>
    </row>
    <row r="25667" spans="1:141" s="116" customFormat="1">
      <c r="A25667" s="136"/>
      <c r="CM25667" s="111"/>
      <c r="CQ25667" s="111"/>
      <c r="EF25667"/>
      <c r="EG25667"/>
      <c r="EH25667"/>
      <c r="EI25667"/>
      <c r="EJ25667"/>
      <c r="EK25667"/>
    </row>
    <row r="25668" spans="1:141" s="116" customFormat="1">
      <c r="A25668" s="136"/>
      <c r="CM25668" s="111"/>
      <c r="CQ25668" s="111"/>
      <c r="EF25668"/>
      <c r="EG25668"/>
      <c r="EH25668"/>
      <c r="EI25668"/>
      <c r="EJ25668"/>
      <c r="EK25668"/>
    </row>
    <row r="25669" spans="1:141" s="116" customFormat="1">
      <c r="A25669" s="136"/>
      <c r="CM25669" s="111"/>
      <c r="CQ25669" s="111"/>
      <c r="EF25669"/>
      <c r="EG25669"/>
      <c r="EH25669"/>
      <c r="EI25669"/>
      <c r="EJ25669"/>
      <c r="EK25669"/>
    </row>
    <row r="25670" spans="1:141" s="116" customFormat="1">
      <c r="A25670" s="136"/>
      <c r="CM25670" s="111"/>
      <c r="CQ25670" s="111"/>
      <c r="EF25670"/>
      <c r="EG25670"/>
      <c r="EH25670"/>
      <c r="EI25670"/>
      <c r="EJ25670"/>
      <c r="EK25670"/>
    </row>
    <row r="25671" spans="1:141" s="116" customFormat="1">
      <c r="A25671" s="136"/>
      <c r="CM25671" s="111"/>
      <c r="CQ25671" s="111"/>
      <c r="EF25671"/>
      <c r="EG25671"/>
      <c r="EH25671"/>
      <c r="EI25671"/>
      <c r="EJ25671"/>
      <c r="EK25671"/>
    </row>
    <row r="25672" spans="1:141" s="116" customFormat="1">
      <c r="A25672" s="136"/>
      <c r="CM25672" s="111"/>
      <c r="CQ25672" s="111"/>
      <c r="EF25672"/>
      <c r="EG25672"/>
      <c r="EH25672"/>
      <c r="EI25672"/>
      <c r="EJ25672"/>
      <c r="EK25672"/>
    </row>
    <row r="25673" spans="1:141" s="116" customFormat="1">
      <c r="A25673" s="136"/>
      <c r="CM25673" s="111"/>
      <c r="CQ25673" s="111"/>
      <c r="EF25673"/>
      <c r="EG25673"/>
      <c r="EH25673"/>
      <c r="EI25673"/>
      <c r="EJ25673"/>
      <c r="EK25673"/>
    </row>
    <row r="25674" spans="1:141" s="116" customFormat="1">
      <c r="A25674" s="136"/>
      <c r="CM25674" s="111"/>
      <c r="CQ25674" s="111"/>
      <c r="EF25674"/>
      <c r="EG25674"/>
      <c r="EH25674"/>
      <c r="EI25674"/>
      <c r="EJ25674"/>
      <c r="EK25674"/>
    </row>
    <row r="25675" spans="1:141" s="116" customFormat="1">
      <c r="A25675" s="136"/>
      <c r="CM25675" s="111"/>
      <c r="CQ25675" s="111"/>
      <c r="EF25675"/>
      <c r="EG25675"/>
      <c r="EH25675"/>
      <c r="EI25675"/>
      <c r="EJ25675"/>
      <c r="EK25675"/>
    </row>
    <row r="25676" spans="1:141" s="116" customFormat="1">
      <c r="A25676" s="136"/>
      <c r="CM25676" s="111"/>
      <c r="CQ25676" s="111"/>
      <c r="EF25676"/>
      <c r="EG25676"/>
      <c r="EH25676"/>
      <c r="EI25676"/>
      <c r="EJ25676"/>
      <c r="EK25676"/>
    </row>
    <row r="25677" spans="1:141" s="116" customFormat="1">
      <c r="A25677" s="136"/>
      <c r="CM25677" s="111"/>
      <c r="CQ25677" s="111"/>
      <c r="EF25677"/>
      <c r="EG25677"/>
      <c r="EH25677"/>
      <c r="EI25677"/>
      <c r="EJ25677"/>
      <c r="EK25677"/>
    </row>
    <row r="25678" spans="1:141" s="116" customFormat="1">
      <c r="A25678" s="136"/>
      <c r="CM25678" s="111"/>
      <c r="CQ25678" s="111"/>
      <c r="EF25678"/>
      <c r="EG25678"/>
      <c r="EH25678"/>
      <c r="EI25678"/>
      <c r="EJ25678"/>
      <c r="EK25678"/>
    </row>
    <row r="25679" spans="1:141" s="116" customFormat="1">
      <c r="A25679" s="136"/>
      <c r="CM25679" s="111"/>
      <c r="CQ25679" s="111"/>
      <c r="EF25679"/>
      <c r="EG25679"/>
      <c r="EH25679"/>
      <c r="EI25679"/>
      <c r="EJ25679"/>
      <c r="EK25679"/>
    </row>
    <row r="25680" spans="1:141" s="116" customFormat="1">
      <c r="A25680" s="136"/>
      <c r="CM25680" s="111"/>
      <c r="CQ25680" s="111"/>
      <c r="EF25680"/>
      <c r="EG25680"/>
      <c r="EH25680"/>
      <c r="EI25680"/>
      <c r="EJ25680"/>
      <c r="EK25680"/>
    </row>
    <row r="25681" spans="1:141" s="116" customFormat="1">
      <c r="A25681" s="136"/>
      <c r="CM25681" s="111"/>
      <c r="CQ25681" s="111"/>
      <c r="EF25681"/>
      <c r="EG25681"/>
      <c r="EH25681"/>
      <c r="EI25681"/>
      <c r="EJ25681"/>
      <c r="EK25681"/>
    </row>
    <row r="25682" spans="1:141" s="116" customFormat="1">
      <c r="A25682" s="136"/>
      <c r="CM25682" s="111"/>
      <c r="CQ25682" s="111"/>
      <c r="EF25682"/>
      <c r="EG25682"/>
      <c r="EH25682"/>
      <c r="EI25682"/>
      <c r="EJ25682"/>
      <c r="EK25682"/>
    </row>
    <row r="25683" spans="1:141" s="116" customFormat="1">
      <c r="A25683" s="136"/>
      <c r="CM25683" s="111"/>
      <c r="CQ25683" s="111"/>
      <c r="EF25683"/>
      <c r="EG25683"/>
      <c r="EH25683"/>
      <c r="EI25683"/>
      <c r="EJ25683"/>
      <c r="EK25683"/>
    </row>
    <row r="25684" spans="1:141" s="116" customFormat="1">
      <c r="A25684" s="136"/>
      <c r="CM25684" s="111"/>
      <c r="CQ25684" s="111"/>
      <c r="EF25684"/>
      <c r="EG25684"/>
      <c r="EH25684"/>
      <c r="EI25684"/>
      <c r="EJ25684"/>
      <c r="EK25684"/>
    </row>
    <row r="25685" spans="1:141" s="116" customFormat="1">
      <c r="A25685" s="136"/>
      <c r="CM25685" s="111"/>
      <c r="CQ25685" s="111"/>
      <c r="EF25685"/>
      <c r="EG25685"/>
      <c r="EH25685"/>
      <c r="EI25685"/>
      <c r="EJ25685"/>
      <c r="EK25685"/>
    </row>
    <row r="25686" spans="1:141" s="116" customFormat="1">
      <c r="A25686" s="136"/>
      <c r="CM25686" s="111"/>
      <c r="CQ25686" s="111"/>
      <c r="EF25686"/>
      <c r="EG25686"/>
      <c r="EH25686"/>
      <c r="EI25686"/>
      <c r="EJ25686"/>
      <c r="EK25686"/>
    </row>
    <row r="25687" spans="1:141" s="116" customFormat="1">
      <c r="A25687" s="136"/>
      <c r="CM25687" s="111"/>
      <c r="CQ25687" s="111"/>
      <c r="EF25687"/>
      <c r="EG25687"/>
      <c r="EH25687"/>
      <c r="EI25687"/>
      <c r="EJ25687"/>
      <c r="EK25687"/>
    </row>
    <row r="25688" spans="1:141" s="116" customFormat="1">
      <c r="A25688" s="136"/>
      <c r="CM25688" s="111"/>
      <c r="CQ25688" s="111"/>
      <c r="EF25688"/>
      <c r="EG25688"/>
      <c r="EH25688"/>
      <c r="EI25688"/>
      <c r="EJ25688"/>
      <c r="EK25688"/>
    </row>
    <row r="25689" spans="1:141" s="116" customFormat="1">
      <c r="A25689" s="136"/>
      <c r="CM25689" s="111"/>
      <c r="CQ25689" s="111"/>
      <c r="EF25689"/>
      <c r="EG25689"/>
      <c r="EH25689"/>
      <c r="EI25689"/>
      <c r="EJ25689"/>
      <c r="EK25689"/>
    </row>
    <row r="25690" spans="1:141" s="116" customFormat="1">
      <c r="A25690" s="136"/>
      <c r="CM25690" s="111"/>
      <c r="CQ25690" s="111"/>
      <c r="EF25690"/>
      <c r="EG25690"/>
      <c r="EH25690"/>
      <c r="EI25690"/>
      <c r="EJ25690"/>
      <c r="EK25690"/>
    </row>
    <row r="25691" spans="1:141" s="116" customFormat="1">
      <c r="A25691" s="136"/>
      <c r="CM25691" s="111"/>
      <c r="CQ25691" s="111"/>
      <c r="EF25691"/>
      <c r="EG25691"/>
      <c r="EH25691"/>
      <c r="EI25691"/>
      <c r="EJ25691"/>
      <c r="EK25691"/>
    </row>
    <row r="25692" spans="1:141" s="116" customFormat="1">
      <c r="A25692" s="136"/>
      <c r="CM25692" s="111"/>
      <c r="CQ25692" s="111"/>
      <c r="EF25692"/>
      <c r="EG25692"/>
      <c r="EH25692"/>
      <c r="EI25692"/>
      <c r="EJ25692"/>
      <c r="EK25692"/>
    </row>
    <row r="25693" spans="1:141" s="116" customFormat="1">
      <c r="A25693" s="136"/>
      <c r="CM25693" s="111"/>
      <c r="CQ25693" s="111"/>
      <c r="EF25693"/>
      <c r="EG25693"/>
      <c r="EH25693"/>
      <c r="EI25693"/>
      <c r="EJ25693"/>
      <c r="EK25693"/>
    </row>
    <row r="25694" spans="1:141" s="116" customFormat="1">
      <c r="A25694" s="136"/>
      <c r="CM25694" s="111"/>
      <c r="CQ25694" s="111"/>
      <c r="EF25694"/>
      <c r="EG25694"/>
      <c r="EH25694"/>
      <c r="EI25694"/>
      <c r="EJ25694"/>
      <c r="EK25694"/>
    </row>
    <row r="25695" spans="1:141" s="116" customFormat="1">
      <c r="A25695" s="136"/>
      <c r="CM25695" s="111"/>
      <c r="CQ25695" s="111"/>
      <c r="EF25695"/>
      <c r="EG25695"/>
      <c r="EH25695"/>
      <c r="EI25695"/>
      <c r="EJ25695"/>
      <c r="EK25695"/>
    </row>
    <row r="25696" spans="1:141" s="116" customFormat="1">
      <c r="A25696" s="136"/>
      <c r="CM25696" s="111"/>
      <c r="CQ25696" s="111"/>
      <c r="EF25696"/>
      <c r="EG25696"/>
      <c r="EH25696"/>
      <c r="EI25696"/>
      <c r="EJ25696"/>
      <c r="EK25696"/>
    </row>
    <row r="25697" spans="1:141" s="116" customFormat="1">
      <c r="A25697" s="136"/>
      <c r="CM25697" s="111"/>
      <c r="CQ25697" s="111"/>
      <c r="EF25697"/>
      <c r="EG25697"/>
      <c r="EH25697"/>
      <c r="EI25697"/>
      <c r="EJ25697"/>
      <c r="EK25697"/>
    </row>
    <row r="25698" spans="1:141" s="116" customFormat="1">
      <c r="A25698" s="136"/>
      <c r="CM25698" s="111"/>
      <c r="CQ25698" s="111"/>
      <c r="EF25698"/>
      <c r="EG25698"/>
      <c r="EH25698"/>
      <c r="EI25698"/>
      <c r="EJ25698"/>
      <c r="EK25698"/>
    </row>
    <row r="25699" spans="1:141" s="116" customFormat="1">
      <c r="A25699" s="136"/>
      <c r="CM25699" s="111"/>
      <c r="CQ25699" s="111"/>
      <c r="EF25699"/>
      <c r="EG25699"/>
      <c r="EH25699"/>
      <c r="EI25699"/>
      <c r="EJ25699"/>
      <c r="EK25699"/>
    </row>
    <row r="25700" spans="1:141" s="116" customFormat="1">
      <c r="A25700" s="136"/>
      <c r="CM25700" s="111"/>
      <c r="CQ25700" s="111"/>
      <c r="EF25700"/>
      <c r="EG25700"/>
      <c r="EH25700"/>
      <c r="EI25700"/>
      <c r="EJ25700"/>
      <c r="EK25700"/>
    </row>
    <row r="25701" spans="1:141" s="116" customFormat="1">
      <c r="A25701" s="136"/>
      <c r="CM25701" s="111"/>
      <c r="CQ25701" s="111"/>
      <c r="EF25701"/>
      <c r="EG25701"/>
      <c r="EH25701"/>
      <c r="EI25701"/>
      <c r="EJ25701"/>
      <c r="EK25701"/>
    </row>
    <row r="25702" spans="1:141" s="116" customFormat="1">
      <c r="A25702" s="136"/>
      <c r="CM25702" s="111"/>
      <c r="CQ25702" s="111"/>
      <c r="EF25702"/>
      <c r="EG25702"/>
      <c r="EH25702"/>
      <c r="EI25702"/>
      <c r="EJ25702"/>
      <c r="EK25702"/>
    </row>
    <row r="25703" spans="1:141" s="116" customFormat="1">
      <c r="A25703" s="136"/>
      <c r="CM25703" s="111"/>
      <c r="CQ25703" s="111"/>
      <c r="EF25703"/>
      <c r="EG25703"/>
      <c r="EH25703"/>
      <c r="EI25703"/>
      <c r="EJ25703"/>
      <c r="EK25703"/>
    </row>
    <row r="25704" spans="1:141" s="116" customFormat="1">
      <c r="A25704" s="136"/>
      <c r="CM25704" s="111"/>
      <c r="CQ25704" s="111"/>
      <c r="EF25704"/>
      <c r="EG25704"/>
      <c r="EH25704"/>
      <c r="EI25704"/>
      <c r="EJ25704"/>
      <c r="EK25704"/>
    </row>
    <row r="25705" spans="1:141" s="116" customFormat="1">
      <c r="A25705" s="136"/>
      <c r="CM25705" s="111"/>
      <c r="CQ25705" s="111"/>
      <c r="EF25705"/>
      <c r="EG25705"/>
      <c r="EH25705"/>
      <c r="EI25705"/>
      <c r="EJ25705"/>
      <c r="EK25705"/>
    </row>
    <row r="25706" spans="1:141" s="116" customFormat="1">
      <c r="A25706" s="136"/>
      <c r="CM25706" s="111"/>
      <c r="CQ25706" s="111"/>
      <c r="EF25706"/>
      <c r="EG25706"/>
      <c r="EH25706"/>
      <c r="EI25706"/>
      <c r="EJ25706"/>
      <c r="EK25706"/>
    </row>
    <row r="25707" spans="1:141" s="116" customFormat="1">
      <c r="A25707" s="136"/>
      <c r="CM25707" s="111"/>
      <c r="CQ25707" s="111"/>
      <c r="EF25707"/>
      <c r="EG25707"/>
      <c r="EH25707"/>
      <c r="EI25707"/>
      <c r="EJ25707"/>
      <c r="EK25707"/>
    </row>
    <row r="25708" spans="1:141" s="116" customFormat="1">
      <c r="A25708" s="136"/>
      <c r="CM25708" s="111"/>
      <c r="CQ25708" s="111"/>
      <c r="EF25708"/>
      <c r="EG25708"/>
      <c r="EH25708"/>
      <c r="EI25708"/>
      <c r="EJ25708"/>
      <c r="EK25708"/>
    </row>
    <row r="25709" spans="1:141" s="116" customFormat="1">
      <c r="A25709" s="136"/>
      <c r="CM25709" s="111"/>
      <c r="CQ25709" s="111"/>
      <c r="EF25709"/>
      <c r="EG25709"/>
      <c r="EH25709"/>
      <c r="EI25709"/>
      <c r="EJ25709"/>
      <c r="EK25709"/>
    </row>
    <row r="25710" spans="1:141" s="116" customFormat="1">
      <c r="A25710" s="136"/>
      <c r="CM25710" s="111"/>
      <c r="CQ25710" s="111"/>
      <c r="EF25710"/>
      <c r="EG25710"/>
      <c r="EH25710"/>
      <c r="EI25710"/>
      <c r="EJ25710"/>
      <c r="EK25710"/>
    </row>
    <row r="25711" spans="1:141" s="116" customFormat="1">
      <c r="A25711" s="136"/>
      <c r="CM25711" s="111"/>
      <c r="CQ25711" s="111"/>
      <c r="EF25711"/>
      <c r="EG25711"/>
      <c r="EH25711"/>
      <c r="EI25711"/>
      <c r="EJ25711"/>
      <c r="EK25711"/>
    </row>
    <row r="25712" spans="1:141" s="116" customFormat="1">
      <c r="A25712" s="136"/>
      <c r="CM25712" s="111"/>
      <c r="CQ25712" s="111"/>
      <c r="EF25712"/>
      <c r="EG25712"/>
      <c r="EH25712"/>
      <c r="EI25712"/>
      <c r="EJ25712"/>
      <c r="EK25712"/>
    </row>
    <row r="25713" spans="1:141" s="116" customFormat="1">
      <c r="A25713" s="136"/>
      <c r="CM25713" s="111"/>
      <c r="CQ25713" s="111"/>
      <c r="EF25713"/>
      <c r="EG25713"/>
      <c r="EH25713"/>
      <c r="EI25713"/>
      <c r="EJ25713"/>
      <c r="EK25713"/>
    </row>
    <row r="25714" spans="1:141" s="116" customFormat="1">
      <c r="A25714" s="136"/>
      <c r="CM25714" s="111"/>
      <c r="CQ25714" s="111"/>
      <c r="EF25714"/>
      <c r="EG25714"/>
      <c r="EH25714"/>
      <c r="EI25714"/>
      <c r="EJ25714"/>
      <c r="EK25714"/>
    </row>
    <row r="25715" spans="1:141" s="116" customFormat="1">
      <c r="A25715" s="136"/>
      <c r="CM25715" s="111"/>
      <c r="CQ25715" s="111"/>
      <c r="EF25715"/>
      <c r="EG25715"/>
      <c r="EH25715"/>
      <c r="EI25715"/>
      <c r="EJ25715"/>
      <c r="EK25715"/>
    </row>
    <row r="25716" spans="1:141" s="116" customFormat="1">
      <c r="A25716" s="136"/>
      <c r="CM25716" s="111"/>
      <c r="CQ25716" s="111"/>
      <c r="EF25716"/>
      <c r="EG25716"/>
      <c r="EH25716"/>
      <c r="EI25716"/>
      <c r="EJ25716"/>
      <c r="EK25716"/>
    </row>
    <row r="25717" spans="1:141" s="116" customFormat="1">
      <c r="A25717" s="136"/>
      <c r="CM25717" s="111"/>
      <c r="CQ25717" s="111"/>
      <c r="EF25717"/>
      <c r="EG25717"/>
      <c r="EH25717"/>
      <c r="EI25717"/>
      <c r="EJ25717"/>
      <c r="EK25717"/>
    </row>
    <row r="25718" spans="1:141" s="116" customFormat="1">
      <c r="A25718" s="136"/>
      <c r="CM25718" s="111"/>
      <c r="CQ25718" s="111"/>
      <c r="EF25718"/>
      <c r="EG25718"/>
      <c r="EH25718"/>
      <c r="EI25718"/>
      <c r="EJ25718"/>
      <c r="EK25718"/>
    </row>
    <row r="25719" spans="1:141" s="116" customFormat="1">
      <c r="A25719" s="136"/>
      <c r="CM25719" s="111"/>
      <c r="CQ25719" s="111"/>
      <c r="EF25719"/>
      <c r="EG25719"/>
      <c r="EH25719"/>
      <c r="EI25719"/>
      <c r="EJ25719"/>
      <c r="EK25719"/>
    </row>
    <row r="25720" spans="1:141" s="116" customFormat="1">
      <c r="A25720" s="136"/>
      <c r="CM25720" s="111"/>
      <c r="CQ25720" s="111"/>
      <c r="EF25720"/>
      <c r="EG25720"/>
      <c r="EH25720"/>
      <c r="EI25720"/>
      <c r="EJ25720"/>
      <c r="EK25720"/>
    </row>
    <row r="25721" spans="1:141" s="116" customFormat="1">
      <c r="A25721" s="136"/>
      <c r="CM25721" s="111"/>
      <c r="CQ25721" s="111"/>
      <c r="EF25721"/>
      <c r="EG25721"/>
      <c r="EH25721"/>
      <c r="EI25721"/>
      <c r="EJ25721"/>
      <c r="EK25721"/>
    </row>
    <row r="25722" spans="1:141" s="116" customFormat="1">
      <c r="A25722" s="136"/>
      <c r="CM25722" s="111"/>
      <c r="CQ25722" s="111"/>
      <c r="EF25722"/>
      <c r="EG25722"/>
      <c r="EH25722"/>
      <c r="EI25722"/>
      <c r="EJ25722"/>
      <c r="EK25722"/>
    </row>
    <row r="25723" spans="1:141" s="116" customFormat="1">
      <c r="A25723" s="136"/>
      <c r="CM25723" s="111"/>
      <c r="CQ25723" s="111"/>
      <c r="EF25723"/>
      <c r="EG25723"/>
      <c r="EH25723"/>
      <c r="EI25723"/>
      <c r="EJ25723"/>
      <c r="EK25723"/>
    </row>
    <row r="25724" spans="1:141" s="116" customFormat="1">
      <c r="A25724" s="136"/>
      <c r="CM25724" s="111"/>
      <c r="CQ25724" s="111"/>
      <c r="EF25724"/>
      <c r="EG25724"/>
      <c r="EH25724"/>
      <c r="EI25724"/>
      <c r="EJ25724"/>
      <c r="EK25724"/>
    </row>
    <row r="25725" spans="1:141" s="116" customFormat="1">
      <c r="A25725" s="136"/>
      <c r="CM25725" s="111"/>
      <c r="CQ25725" s="111"/>
      <c r="EF25725"/>
      <c r="EG25725"/>
      <c r="EH25725"/>
      <c r="EI25725"/>
      <c r="EJ25725"/>
      <c r="EK25725"/>
    </row>
    <row r="25726" spans="1:141" s="116" customFormat="1">
      <c r="A25726" s="136"/>
      <c r="CM25726" s="111"/>
      <c r="CQ25726" s="111"/>
      <c r="EF25726"/>
      <c r="EG25726"/>
      <c r="EH25726"/>
      <c r="EI25726"/>
      <c r="EJ25726"/>
      <c r="EK25726"/>
    </row>
    <row r="25727" spans="1:141" s="116" customFormat="1">
      <c r="A25727" s="136"/>
      <c r="CM25727" s="111"/>
      <c r="CQ25727" s="111"/>
      <c r="EF25727"/>
      <c r="EG25727"/>
      <c r="EH25727"/>
      <c r="EI25727"/>
      <c r="EJ25727"/>
      <c r="EK25727"/>
    </row>
    <row r="25728" spans="1:141" s="116" customFormat="1">
      <c r="A25728" s="136"/>
      <c r="CM25728" s="111"/>
      <c r="CQ25728" s="111"/>
      <c r="EF25728"/>
      <c r="EG25728"/>
      <c r="EH25728"/>
      <c r="EI25728"/>
      <c r="EJ25728"/>
      <c r="EK25728"/>
    </row>
    <row r="25729" spans="1:141" s="116" customFormat="1">
      <c r="A25729" s="136"/>
      <c r="CM25729" s="111"/>
      <c r="CQ25729" s="111"/>
      <c r="EF25729"/>
      <c r="EG25729"/>
      <c r="EH25729"/>
      <c r="EI25729"/>
      <c r="EJ25729"/>
      <c r="EK25729"/>
    </row>
    <row r="25730" spans="1:141" s="116" customFormat="1">
      <c r="A25730" s="136"/>
      <c r="CM25730" s="111"/>
      <c r="CQ25730" s="111"/>
      <c r="EF25730"/>
      <c r="EG25730"/>
      <c r="EH25730"/>
      <c r="EI25730"/>
      <c r="EJ25730"/>
      <c r="EK25730"/>
    </row>
    <row r="25731" spans="1:141" s="116" customFormat="1">
      <c r="A25731" s="136"/>
      <c r="CM25731" s="111"/>
      <c r="CQ25731" s="111"/>
      <c r="EF25731"/>
      <c r="EG25731"/>
      <c r="EH25731"/>
      <c r="EI25731"/>
      <c r="EJ25731"/>
      <c r="EK25731"/>
    </row>
    <row r="25732" spans="1:141" s="116" customFormat="1">
      <c r="A25732" s="136"/>
      <c r="CM25732" s="111"/>
      <c r="CQ25732" s="111"/>
      <c r="EF25732"/>
      <c r="EG25732"/>
      <c r="EH25732"/>
      <c r="EI25732"/>
      <c r="EJ25732"/>
      <c r="EK25732"/>
    </row>
    <row r="25733" spans="1:141" s="116" customFormat="1">
      <c r="A25733" s="136"/>
      <c r="CM25733" s="111"/>
      <c r="CQ25733" s="111"/>
      <c r="EF25733"/>
      <c r="EG25733"/>
      <c r="EH25733"/>
      <c r="EI25733"/>
      <c r="EJ25733"/>
      <c r="EK25733"/>
    </row>
    <row r="25734" spans="1:141" s="116" customFormat="1">
      <c r="A25734" s="136"/>
      <c r="CM25734" s="111"/>
      <c r="CQ25734" s="111"/>
      <c r="EF25734"/>
      <c r="EG25734"/>
      <c r="EH25734"/>
      <c r="EI25734"/>
      <c r="EJ25734"/>
      <c r="EK25734"/>
    </row>
    <row r="25735" spans="1:141" s="116" customFormat="1">
      <c r="A25735" s="136"/>
      <c r="CM25735" s="111"/>
      <c r="CQ25735" s="111"/>
      <c r="EF25735"/>
      <c r="EG25735"/>
      <c r="EH25735"/>
      <c r="EI25735"/>
      <c r="EJ25735"/>
      <c r="EK25735"/>
    </row>
    <row r="25736" spans="1:141" s="116" customFormat="1">
      <c r="A25736" s="136"/>
      <c r="CM25736" s="111"/>
      <c r="CQ25736" s="111"/>
      <c r="EF25736"/>
      <c r="EG25736"/>
      <c r="EH25736"/>
      <c r="EI25736"/>
      <c r="EJ25736"/>
      <c r="EK25736"/>
    </row>
    <row r="25737" spans="1:141" s="116" customFormat="1">
      <c r="A25737" s="136"/>
      <c r="CM25737" s="111"/>
      <c r="CQ25737" s="111"/>
      <c r="EF25737"/>
      <c r="EG25737"/>
      <c r="EH25737"/>
      <c r="EI25737"/>
      <c r="EJ25737"/>
      <c r="EK25737"/>
    </row>
    <row r="25738" spans="1:141" s="116" customFormat="1">
      <c r="A25738" s="136"/>
      <c r="CM25738" s="111"/>
      <c r="CQ25738" s="111"/>
      <c r="EF25738"/>
      <c r="EG25738"/>
      <c r="EH25738"/>
      <c r="EI25738"/>
      <c r="EJ25738"/>
      <c r="EK25738"/>
    </row>
    <row r="25739" spans="1:141" s="116" customFormat="1">
      <c r="A25739" s="136"/>
      <c r="CM25739" s="111"/>
      <c r="CQ25739" s="111"/>
      <c r="EF25739"/>
      <c r="EG25739"/>
      <c r="EH25739"/>
      <c r="EI25739"/>
      <c r="EJ25739"/>
      <c r="EK25739"/>
    </row>
    <row r="25740" spans="1:141" s="116" customFormat="1">
      <c r="A25740" s="136"/>
      <c r="CM25740" s="111"/>
      <c r="CQ25740" s="111"/>
      <c r="EF25740"/>
      <c r="EG25740"/>
      <c r="EH25740"/>
      <c r="EI25740"/>
      <c r="EJ25740"/>
      <c r="EK25740"/>
    </row>
    <row r="25741" spans="1:141" s="116" customFormat="1">
      <c r="A25741" s="136"/>
      <c r="CM25741" s="111"/>
      <c r="CQ25741" s="111"/>
      <c r="EF25741"/>
      <c r="EG25741"/>
      <c r="EH25741"/>
      <c r="EI25741"/>
      <c r="EJ25741"/>
      <c r="EK25741"/>
    </row>
    <row r="25742" spans="1:141" s="116" customFormat="1">
      <c r="A25742" s="136"/>
      <c r="CM25742" s="111"/>
      <c r="CQ25742" s="111"/>
      <c r="EF25742"/>
      <c r="EG25742"/>
      <c r="EH25742"/>
      <c r="EI25742"/>
      <c r="EJ25742"/>
      <c r="EK25742"/>
    </row>
    <row r="25743" spans="1:141" s="116" customFormat="1">
      <c r="A25743" s="136"/>
      <c r="CM25743" s="111"/>
      <c r="CQ25743" s="111"/>
      <c r="EF25743"/>
      <c r="EG25743"/>
      <c r="EH25743"/>
      <c r="EI25743"/>
      <c r="EJ25743"/>
      <c r="EK25743"/>
    </row>
    <row r="25744" spans="1:141" s="116" customFormat="1">
      <c r="A25744" s="136"/>
      <c r="CM25744" s="111"/>
      <c r="CQ25744" s="111"/>
      <c r="EF25744"/>
      <c r="EG25744"/>
      <c r="EH25744"/>
      <c r="EI25744"/>
      <c r="EJ25744"/>
      <c r="EK25744"/>
    </row>
    <row r="25745" spans="1:141" s="116" customFormat="1">
      <c r="A25745" s="136"/>
      <c r="CM25745" s="111"/>
      <c r="CQ25745" s="111"/>
      <c r="EF25745"/>
      <c r="EG25745"/>
      <c r="EH25745"/>
      <c r="EI25745"/>
      <c r="EJ25745"/>
      <c r="EK25745"/>
    </row>
    <row r="25746" spans="1:141" s="116" customFormat="1">
      <c r="A25746" s="136"/>
      <c r="CM25746" s="111"/>
      <c r="CQ25746" s="111"/>
      <c r="EF25746"/>
      <c r="EG25746"/>
      <c r="EH25746"/>
      <c r="EI25746"/>
      <c r="EJ25746"/>
      <c r="EK25746"/>
    </row>
    <row r="25747" spans="1:141" s="116" customFormat="1">
      <c r="A25747" s="136"/>
      <c r="CM25747" s="111"/>
      <c r="CQ25747" s="111"/>
      <c r="EF25747"/>
      <c r="EG25747"/>
      <c r="EH25747"/>
      <c r="EI25747"/>
      <c r="EJ25747"/>
      <c r="EK25747"/>
    </row>
    <row r="25748" spans="1:141" s="116" customFormat="1">
      <c r="A25748" s="136"/>
      <c r="CM25748" s="111"/>
      <c r="CQ25748" s="111"/>
      <c r="EF25748"/>
      <c r="EG25748"/>
      <c r="EH25748"/>
      <c r="EI25748"/>
      <c r="EJ25748"/>
      <c r="EK25748"/>
    </row>
    <row r="25749" spans="1:141" s="116" customFormat="1">
      <c r="A25749" s="136"/>
      <c r="CM25749" s="111"/>
      <c r="CQ25749" s="111"/>
      <c r="EF25749"/>
      <c r="EG25749"/>
      <c r="EH25749"/>
      <c r="EI25749"/>
      <c r="EJ25749"/>
      <c r="EK25749"/>
    </row>
    <row r="25750" spans="1:141" s="116" customFormat="1">
      <c r="A25750" s="136"/>
      <c r="CM25750" s="111"/>
      <c r="CQ25750" s="111"/>
      <c r="EF25750"/>
      <c r="EG25750"/>
      <c r="EH25750"/>
      <c r="EI25750"/>
      <c r="EJ25750"/>
      <c r="EK25750"/>
    </row>
    <row r="25751" spans="1:141" s="116" customFormat="1">
      <c r="A25751" s="136"/>
      <c r="CM25751" s="111"/>
      <c r="CQ25751" s="111"/>
      <c r="EF25751"/>
      <c r="EG25751"/>
      <c r="EH25751"/>
      <c r="EI25751"/>
      <c r="EJ25751"/>
      <c r="EK25751"/>
    </row>
    <row r="25752" spans="1:141" s="116" customFormat="1">
      <c r="A25752" s="136"/>
      <c r="CM25752" s="111"/>
      <c r="CQ25752" s="111"/>
      <c r="EF25752"/>
      <c r="EG25752"/>
      <c r="EH25752"/>
      <c r="EI25752"/>
      <c r="EJ25752"/>
      <c r="EK25752"/>
    </row>
    <row r="25753" spans="1:141" s="116" customFormat="1">
      <c r="A25753" s="136"/>
      <c r="CM25753" s="111"/>
      <c r="CQ25753" s="111"/>
      <c r="EF25753"/>
      <c r="EG25753"/>
      <c r="EH25753"/>
      <c r="EI25753"/>
      <c r="EJ25753"/>
      <c r="EK25753"/>
    </row>
    <row r="25754" spans="1:141" s="116" customFormat="1">
      <c r="A25754" s="136"/>
      <c r="CM25754" s="111"/>
      <c r="CQ25754" s="111"/>
      <c r="EF25754"/>
      <c r="EG25754"/>
      <c r="EH25754"/>
      <c r="EI25754"/>
      <c r="EJ25754"/>
      <c r="EK25754"/>
    </row>
    <row r="25755" spans="1:141" s="116" customFormat="1">
      <c r="A25755" s="136"/>
      <c r="CM25755" s="111"/>
      <c r="CQ25755" s="111"/>
      <c r="EF25755"/>
      <c r="EG25755"/>
      <c r="EH25755"/>
      <c r="EI25755"/>
      <c r="EJ25755"/>
      <c r="EK25755"/>
    </row>
    <row r="25756" spans="1:141" s="116" customFormat="1">
      <c r="A25756" s="136"/>
      <c r="CM25756" s="111"/>
      <c r="CQ25756" s="111"/>
      <c r="EF25756"/>
      <c r="EG25756"/>
      <c r="EH25756"/>
      <c r="EI25756"/>
      <c r="EJ25756"/>
      <c r="EK25756"/>
    </row>
    <row r="25757" spans="1:141" s="116" customFormat="1">
      <c r="A25757" s="136"/>
      <c r="CM25757" s="111"/>
      <c r="CQ25757" s="111"/>
      <c r="EF25757"/>
      <c r="EG25757"/>
      <c r="EH25757"/>
      <c r="EI25757"/>
      <c r="EJ25757"/>
      <c r="EK25757"/>
    </row>
    <row r="25758" spans="1:141" s="116" customFormat="1">
      <c r="A25758" s="136"/>
      <c r="CM25758" s="111"/>
      <c r="CQ25758" s="111"/>
      <c r="EF25758"/>
      <c r="EG25758"/>
      <c r="EH25758"/>
      <c r="EI25758"/>
      <c r="EJ25758"/>
      <c r="EK25758"/>
    </row>
    <row r="25759" spans="1:141" s="116" customFormat="1">
      <c r="A25759" s="136"/>
      <c r="CM25759" s="111"/>
      <c r="CQ25759" s="111"/>
      <c r="EF25759"/>
      <c r="EG25759"/>
      <c r="EH25759"/>
      <c r="EI25759"/>
      <c r="EJ25759"/>
      <c r="EK25759"/>
    </row>
    <row r="25760" spans="1:141" s="116" customFormat="1">
      <c r="A25760" s="136"/>
      <c r="CM25760" s="111"/>
      <c r="CQ25760" s="111"/>
      <c r="EF25760"/>
      <c r="EG25760"/>
      <c r="EH25760"/>
      <c r="EI25760"/>
      <c r="EJ25760"/>
      <c r="EK25760"/>
    </row>
    <row r="25761" spans="1:141" s="116" customFormat="1">
      <c r="A25761" s="136"/>
      <c r="CM25761" s="111"/>
      <c r="CQ25761" s="111"/>
      <c r="EF25761"/>
      <c r="EG25761"/>
      <c r="EH25761"/>
      <c r="EI25761"/>
      <c r="EJ25761"/>
      <c r="EK25761"/>
    </row>
    <row r="25762" spans="1:141" s="116" customFormat="1">
      <c r="A25762" s="136"/>
      <c r="CM25762" s="111"/>
      <c r="CQ25762" s="111"/>
      <c r="EF25762"/>
      <c r="EG25762"/>
      <c r="EH25762"/>
      <c r="EI25762"/>
      <c r="EJ25762"/>
      <c r="EK25762"/>
    </row>
    <row r="25763" spans="1:141" s="116" customFormat="1">
      <c r="A25763" s="136"/>
      <c r="CM25763" s="111"/>
      <c r="CQ25763" s="111"/>
      <c r="EF25763"/>
      <c r="EG25763"/>
      <c r="EH25763"/>
      <c r="EI25763"/>
      <c r="EJ25763"/>
      <c r="EK25763"/>
    </row>
    <row r="25764" spans="1:141" s="116" customFormat="1">
      <c r="A25764" s="136"/>
      <c r="CM25764" s="111"/>
      <c r="CQ25764" s="111"/>
      <c r="EF25764"/>
      <c r="EG25764"/>
      <c r="EH25764"/>
      <c r="EI25764"/>
      <c r="EJ25764"/>
      <c r="EK25764"/>
    </row>
    <row r="25765" spans="1:141" s="116" customFormat="1">
      <c r="A25765" s="136"/>
      <c r="CM25765" s="111"/>
      <c r="CQ25765" s="111"/>
      <c r="EF25765"/>
      <c r="EG25765"/>
      <c r="EH25765"/>
      <c r="EI25765"/>
      <c r="EJ25765"/>
      <c r="EK25765"/>
    </row>
    <row r="25766" spans="1:141" s="116" customFormat="1">
      <c r="A25766" s="136"/>
      <c r="CM25766" s="111"/>
      <c r="CQ25766" s="111"/>
      <c r="EF25766"/>
      <c r="EG25766"/>
      <c r="EH25766"/>
      <c r="EI25766"/>
      <c r="EJ25766"/>
      <c r="EK25766"/>
    </row>
    <row r="25767" spans="1:141" s="116" customFormat="1">
      <c r="A25767" s="136"/>
      <c r="CM25767" s="111"/>
      <c r="CQ25767" s="111"/>
      <c r="EF25767"/>
      <c r="EG25767"/>
      <c r="EH25767"/>
      <c r="EI25767"/>
      <c r="EJ25767"/>
      <c r="EK25767"/>
    </row>
    <row r="25768" spans="1:141" s="116" customFormat="1">
      <c r="A25768" s="136"/>
      <c r="CM25768" s="111"/>
      <c r="CQ25768" s="111"/>
      <c r="EF25768"/>
      <c r="EG25768"/>
      <c r="EH25768"/>
      <c r="EI25768"/>
      <c r="EJ25768"/>
      <c r="EK25768"/>
    </row>
    <row r="25769" spans="1:141" s="116" customFormat="1">
      <c r="A25769" s="136"/>
      <c r="CM25769" s="111"/>
      <c r="CQ25769" s="111"/>
      <c r="EF25769"/>
      <c r="EG25769"/>
      <c r="EH25769"/>
      <c r="EI25769"/>
      <c r="EJ25769"/>
      <c r="EK25769"/>
    </row>
    <row r="25770" spans="1:141" s="116" customFormat="1">
      <c r="A25770" s="136"/>
      <c r="CM25770" s="111"/>
      <c r="CQ25770" s="111"/>
      <c r="EF25770"/>
      <c r="EG25770"/>
      <c r="EH25770"/>
      <c r="EI25770"/>
      <c r="EJ25770"/>
      <c r="EK25770"/>
    </row>
    <row r="25771" spans="1:141" s="116" customFormat="1">
      <c r="A25771" s="136"/>
      <c r="CM25771" s="111"/>
      <c r="CQ25771" s="111"/>
      <c r="EF25771"/>
      <c r="EG25771"/>
      <c r="EH25771"/>
      <c r="EI25771"/>
      <c r="EJ25771"/>
      <c r="EK25771"/>
    </row>
    <row r="25772" spans="1:141" s="116" customFormat="1">
      <c r="A25772" s="136"/>
      <c r="CM25772" s="111"/>
      <c r="CQ25772" s="111"/>
      <c r="EF25772"/>
      <c r="EG25772"/>
      <c r="EH25772"/>
      <c r="EI25772"/>
      <c r="EJ25772"/>
      <c r="EK25772"/>
    </row>
    <row r="25773" spans="1:141" s="116" customFormat="1">
      <c r="A25773" s="136"/>
      <c r="CM25773" s="111"/>
      <c r="CQ25773" s="111"/>
      <c r="EF25773"/>
      <c r="EG25773"/>
      <c r="EH25773"/>
      <c r="EI25773"/>
      <c r="EJ25773"/>
      <c r="EK25773"/>
    </row>
    <row r="25774" spans="1:141" s="116" customFormat="1">
      <c r="A25774" s="136"/>
      <c r="CM25774" s="111"/>
      <c r="CQ25774" s="111"/>
      <c r="EF25774"/>
      <c r="EG25774"/>
      <c r="EH25774"/>
      <c r="EI25774"/>
      <c r="EJ25774"/>
      <c r="EK25774"/>
    </row>
    <row r="25775" spans="1:141" s="116" customFormat="1">
      <c r="A25775" s="136"/>
      <c r="CM25775" s="111"/>
      <c r="CQ25775" s="111"/>
      <c r="EF25775"/>
      <c r="EG25775"/>
      <c r="EH25775"/>
      <c r="EI25775"/>
      <c r="EJ25775"/>
      <c r="EK25775"/>
    </row>
    <row r="25776" spans="1:141" s="116" customFormat="1">
      <c r="A25776" s="136"/>
      <c r="CM25776" s="111"/>
      <c r="CQ25776" s="111"/>
      <c r="EF25776"/>
      <c r="EG25776"/>
      <c r="EH25776"/>
      <c r="EI25776"/>
      <c r="EJ25776"/>
      <c r="EK25776"/>
    </row>
    <row r="25777" spans="1:141" s="116" customFormat="1">
      <c r="A25777" s="136"/>
      <c r="CM25777" s="111"/>
      <c r="CQ25777" s="111"/>
      <c r="EF25777"/>
      <c r="EG25777"/>
      <c r="EH25777"/>
      <c r="EI25777"/>
      <c r="EJ25777"/>
      <c r="EK25777"/>
    </row>
    <row r="25778" spans="1:141" s="116" customFormat="1">
      <c r="A25778" s="136"/>
      <c r="CM25778" s="111"/>
      <c r="CQ25778" s="111"/>
      <c r="EF25778"/>
      <c r="EG25778"/>
      <c r="EH25778"/>
      <c r="EI25778"/>
      <c r="EJ25778"/>
      <c r="EK25778"/>
    </row>
    <row r="25779" spans="1:141" s="116" customFormat="1">
      <c r="A25779" s="136"/>
      <c r="CM25779" s="111"/>
      <c r="CQ25779" s="111"/>
      <c r="EF25779"/>
      <c r="EG25779"/>
      <c r="EH25779"/>
      <c r="EI25779"/>
      <c r="EJ25779"/>
      <c r="EK25779"/>
    </row>
    <row r="25780" spans="1:141" s="116" customFormat="1">
      <c r="A25780" s="136"/>
      <c r="CM25780" s="111"/>
      <c r="CQ25780" s="111"/>
      <c r="EF25780"/>
      <c r="EG25780"/>
      <c r="EH25780"/>
      <c r="EI25780"/>
      <c r="EJ25780"/>
      <c r="EK25780"/>
    </row>
    <row r="25781" spans="1:141" s="116" customFormat="1">
      <c r="A25781" s="136"/>
      <c r="CM25781" s="111"/>
      <c r="CQ25781" s="111"/>
      <c r="EF25781"/>
      <c r="EG25781"/>
      <c r="EH25781"/>
      <c r="EI25781"/>
      <c r="EJ25781"/>
      <c r="EK25781"/>
    </row>
    <row r="25782" spans="1:141" s="116" customFormat="1">
      <c r="A25782" s="136"/>
      <c r="CM25782" s="111"/>
      <c r="CQ25782" s="111"/>
      <c r="EF25782"/>
      <c r="EG25782"/>
      <c r="EH25782"/>
      <c r="EI25782"/>
      <c r="EJ25782"/>
      <c r="EK25782"/>
    </row>
    <row r="25783" spans="1:141" s="116" customFormat="1">
      <c r="A25783" s="136"/>
      <c r="CM25783" s="111"/>
      <c r="CQ25783" s="111"/>
      <c r="EF25783"/>
      <c r="EG25783"/>
      <c r="EH25783"/>
      <c r="EI25783"/>
      <c r="EJ25783"/>
      <c r="EK25783"/>
    </row>
    <row r="25784" spans="1:141" s="116" customFormat="1">
      <c r="A25784" s="136"/>
      <c r="CM25784" s="111"/>
      <c r="CQ25784" s="111"/>
      <c r="EF25784"/>
      <c r="EG25784"/>
      <c r="EH25784"/>
      <c r="EI25784"/>
      <c r="EJ25784"/>
      <c r="EK25784"/>
    </row>
    <row r="25785" spans="1:141" s="116" customFormat="1">
      <c r="A25785" s="136"/>
      <c r="CM25785" s="111"/>
      <c r="CQ25785" s="111"/>
      <c r="EF25785"/>
      <c r="EG25785"/>
      <c r="EH25785"/>
      <c r="EI25785"/>
      <c r="EJ25785"/>
      <c r="EK25785"/>
    </row>
    <row r="25786" spans="1:141" s="116" customFormat="1">
      <c r="A25786" s="136"/>
      <c r="CM25786" s="111"/>
      <c r="CQ25786" s="111"/>
      <c r="EF25786"/>
      <c r="EG25786"/>
      <c r="EH25786"/>
      <c r="EI25786"/>
      <c r="EJ25786"/>
      <c r="EK25786"/>
    </row>
    <row r="25787" spans="1:141" s="116" customFormat="1">
      <c r="A25787" s="136"/>
      <c r="CM25787" s="111"/>
      <c r="CQ25787" s="111"/>
      <c r="EF25787"/>
      <c r="EG25787"/>
      <c r="EH25787"/>
      <c r="EI25787"/>
      <c r="EJ25787"/>
      <c r="EK25787"/>
    </row>
    <row r="25788" spans="1:141" s="116" customFormat="1">
      <c r="A25788" s="136"/>
      <c r="CM25788" s="111"/>
      <c r="CQ25788" s="111"/>
      <c r="EF25788"/>
      <c r="EG25788"/>
      <c r="EH25788"/>
      <c r="EI25788"/>
      <c r="EJ25788"/>
      <c r="EK25788"/>
    </row>
    <row r="25789" spans="1:141" s="116" customFormat="1">
      <c r="A25789" s="136"/>
      <c r="CM25789" s="111"/>
      <c r="CQ25789" s="111"/>
      <c r="EF25789"/>
      <c r="EG25789"/>
      <c r="EH25789"/>
      <c r="EI25789"/>
      <c r="EJ25789"/>
      <c r="EK25789"/>
    </row>
    <row r="25790" spans="1:141" s="116" customFormat="1">
      <c r="A25790" s="136"/>
      <c r="CM25790" s="111"/>
      <c r="CQ25790" s="111"/>
      <c r="EF25790"/>
      <c r="EG25790"/>
      <c r="EH25790"/>
      <c r="EI25790"/>
      <c r="EJ25790"/>
      <c r="EK25790"/>
    </row>
    <row r="25791" spans="1:141" s="116" customFormat="1">
      <c r="A25791" s="136"/>
      <c r="CM25791" s="111"/>
      <c r="CQ25791" s="111"/>
      <c r="EF25791"/>
      <c r="EG25791"/>
      <c r="EH25791"/>
      <c r="EI25791"/>
      <c r="EJ25791"/>
      <c r="EK25791"/>
    </row>
    <row r="25792" spans="1:141" s="116" customFormat="1">
      <c r="A25792" s="136"/>
      <c r="CM25792" s="111"/>
      <c r="CQ25792" s="111"/>
      <c r="EF25792"/>
      <c r="EG25792"/>
      <c r="EH25792"/>
      <c r="EI25792"/>
      <c r="EJ25792"/>
      <c r="EK25792"/>
    </row>
    <row r="25793" spans="1:141" s="116" customFormat="1">
      <c r="A25793" s="136"/>
      <c r="CM25793" s="111"/>
      <c r="CQ25793" s="111"/>
      <c r="EF25793"/>
      <c r="EG25793"/>
      <c r="EH25793"/>
      <c r="EI25793"/>
      <c r="EJ25793"/>
      <c r="EK25793"/>
    </row>
    <row r="25794" spans="1:141" s="116" customFormat="1">
      <c r="A25794" s="136"/>
      <c r="CM25794" s="111"/>
      <c r="CQ25794" s="111"/>
      <c r="EF25794"/>
      <c r="EG25794"/>
      <c r="EH25794"/>
      <c r="EI25794"/>
      <c r="EJ25794"/>
      <c r="EK25794"/>
    </row>
    <row r="25795" spans="1:141" s="116" customFormat="1">
      <c r="A25795" s="136"/>
      <c r="CM25795" s="111"/>
      <c r="CQ25795" s="111"/>
      <c r="EF25795"/>
      <c r="EG25795"/>
      <c r="EH25795"/>
      <c r="EI25795"/>
      <c r="EJ25795"/>
      <c r="EK25795"/>
    </row>
    <row r="25796" spans="1:141" s="116" customFormat="1">
      <c r="A25796" s="136"/>
      <c r="CM25796" s="111"/>
      <c r="CQ25796" s="111"/>
      <c r="EF25796"/>
      <c r="EG25796"/>
      <c r="EH25796"/>
      <c r="EI25796"/>
      <c r="EJ25796"/>
      <c r="EK25796"/>
    </row>
    <row r="25797" spans="1:141" s="116" customFormat="1">
      <c r="A25797" s="136"/>
      <c r="CM25797" s="111"/>
      <c r="CQ25797" s="111"/>
      <c r="EF25797"/>
      <c r="EG25797"/>
      <c r="EH25797"/>
      <c r="EI25797"/>
      <c r="EJ25797"/>
      <c r="EK25797"/>
    </row>
    <row r="25798" spans="1:141" s="116" customFormat="1">
      <c r="A25798" s="136"/>
      <c r="CM25798" s="111"/>
      <c r="CQ25798" s="111"/>
      <c r="EF25798"/>
      <c r="EG25798"/>
      <c r="EH25798"/>
      <c r="EI25798"/>
      <c r="EJ25798"/>
      <c r="EK25798"/>
    </row>
    <row r="25799" spans="1:141" s="116" customFormat="1">
      <c r="A25799" s="136"/>
      <c r="CM25799" s="111"/>
      <c r="CQ25799" s="111"/>
      <c r="EF25799"/>
      <c r="EG25799"/>
      <c r="EH25799"/>
      <c r="EI25799"/>
      <c r="EJ25799"/>
      <c r="EK25799"/>
    </row>
    <row r="25800" spans="1:141" s="116" customFormat="1">
      <c r="A25800" s="136"/>
      <c r="CM25800" s="111"/>
      <c r="CQ25800" s="111"/>
      <c r="EF25800"/>
      <c r="EG25800"/>
      <c r="EH25800"/>
      <c r="EI25800"/>
      <c r="EJ25800"/>
      <c r="EK25800"/>
    </row>
    <row r="25801" spans="1:141" s="116" customFormat="1">
      <c r="A25801" s="136"/>
      <c r="CM25801" s="111"/>
      <c r="CQ25801" s="111"/>
      <c r="EF25801"/>
      <c r="EG25801"/>
      <c r="EH25801"/>
      <c r="EI25801"/>
      <c r="EJ25801"/>
      <c r="EK25801"/>
    </row>
    <row r="25802" spans="1:141" s="116" customFormat="1">
      <c r="A25802" s="136"/>
      <c r="CM25802" s="111"/>
      <c r="CQ25802" s="111"/>
      <c r="EF25802"/>
      <c r="EG25802"/>
      <c r="EH25802"/>
      <c r="EI25802"/>
      <c r="EJ25802"/>
      <c r="EK25802"/>
    </row>
    <row r="25803" spans="1:141" s="116" customFormat="1">
      <c r="A25803" s="136"/>
      <c r="CM25803" s="111"/>
      <c r="CQ25803" s="111"/>
      <c r="EF25803"/>
      <c r="EG25803"/>
      <c r="EH25803"/>
      <c r="EI25803"/>
      <c r="EJ25803"/>
      <c r="EK25803"/>
    </row>
    <row r="25804" spans="1:141" s="116" customFormat="1">
      <c r="A25804" s="136"/>
      <c r="CM25804" s="111"/>
      <c r="CQ25804" s="111"/>
      <c r="EF25804"/>
      <c r="EG25804"/>
      <c r="EH25804"/>
      <c r="EI25804"/>
      <c r="EJ25804"/>
      <c r="EK25804"/>
    </row>
    <row r="25805" spans="1:141" s="116" customFormat="1">
      <c r="A25805" s="136"/>
      <c r="CM25805" s="111"/>
      <c r="CQ25805" s="111"/>
      <c r="EF25805"/>
      <c r="EG25805"/>
      <c r="EH25805"/>
      <c r="EI25805"/>
      <c r="EJ25805"/>
      <c r="EK25805"/>
    </row>
    <row r="25806" spans="1:141" s="116" customFormat="1">
      <c r="A25806" s="136"/>
      <c r="CM25806" s="111"/>
      <c r="CQ25806" s="111"/>
      <c r="EF25806"/>
      <c r="EG25806"/>
      <c r="EH25806"/>
      <c r="EI25806"/>
      <c r="EJ25806"/>
      <c r="EK25806"/>
    </row>
    <row r="25807" spans="1:141" s="116" customFormat="1">
      <c r="A25807" s="136"/>
      <c r="CM25807" s="111"/>
      <c r="CQ25807" s="111"/>
      <c r="EF25807"/>
      <c r="EG25807"/>
      <c r="EH25807"/>
      <c r="EI25807"/>
      <c r="EJ25807"/>
      <c r="EK25807"/>
    </row>
    <row r="25808" spans="1:141" s="116" customFormat="1">
      <c r="A25808" s="136"/>
      <c r="CM25808" s="111"/>
      <c r="CQ25808" s="111"/>
      <c r="EF25808"/>
      <c r="EG25808"/>
      <c r="EH25808"/>
      <c r="EI25808"/>
      <c r="EJ25808"/>
      <c r="EK25808"/>
    </row>
    <row r="25809" spans="1:141" s="116" customFormat="1">
      <c r="A25809" s="136"/>
      <c r="CM25809" s="111"/>
      <c r="CQ25809" s="111"/>
      <c r="EF25809"/>
      <c r="EG25809"/>
      <c r="EH25809"/>
      <c r="EI25809"/>
      <c r="EJ25809"/>
      <c r="EK25809"/>
    </row>
    <row r="25810" spans="1:141" s="116" customFormat="1">
      <c r="A25810" s="136"/>
      <c r="CM25810" s="111"/>
      <c r="CQ25810" s="111"/>
      <c r="EF25810"/>
      <c r="EG25810"/>
      <c r="EH25810"/>
      <c r="EI25810"/>
      <c r="EJ25810"/>
      <c r="EK25810"/>
    </row>
    <row r="25811" spans="1:141" s="116" customFormat="1">
      <c r="A25811" s="136"/>
      <c r="CM25811" s="111"/>
      <c r="CQ25811" s="111"/>
      <c r="EF25811"/>
      <c r="EG25811"/>
      <c r="EH25811"/>
      <c r="EI25811"/>
      <c r="EJ25811"/>
      <c r="EK25811"/>
    </row>
    <row r="25812" spans="1:141" s="116" customFormat="1">
      <c r="A25812" s="136"/>
      <c r="CM25812" s="111"/>
      <c r="CQ25812" s="111"/>
      <c r="EF25812"/>
      <c r="EG25812"/>
      <c r="EH25812"/>
      <c r="EI25812"/>
      <c r="EJ25812"/>
      <c r="EK25812"/>
    </row>
    <row r="25813" spans="1:141" s="116" customFormat="1">
      <c r="A25813" s="136"/>
      <c r="CM25813" s="111"/>
      <c r="CQ25813" s="111"/>
      <c r="EF25813"/>
      <c r="EG25813"/>
      <c r="EH25813"/>
      <c r="EI25813"/>
      <c r="EJ25813"/>
      <c r="EK25813"/>
    </row>
    <row r="25814" spans="1:141" s="116" customFormat="1">
      <c r="A25814" s="136"/>
      <c r="CM25814" s="111"/>
      <c r="CQ25814" s="111"/>
      <c r="EF25814"/>
      <c r="EG25814"/>
      <c r="EH25814"/>
      <c r="EI25814"/>
      <c r="EJ25814"/>
      <c r="EK25814"/>
    </row>
    <row r="25815" spans="1:141" s="116" customFormat="1">
      <c r="A25815" s="136"/>
      <c r="CM25815" s="111"/>
      <c r="CQ25815" s="111"/>
      <c r="EF25815"/>
      <c r="EG25815"/>
      <c r="EH25815"/>
      <c r="EI25815"/>
      <c r="EJ25815"/>
      <c r="EK25815"/>
    </row>
    <row r="25816" spans="1:141" s="116" customFormat="1">
      <c r="A25816" s="136"/>
      <c r="CM25816" s="111"/>
      <c r="CQ25816" s="111"/>
      <c r="EF25816"/>
      <c r="EG25816"/>
      <c r="EH25816"/>
      <c r="EI25816"/>
      <c r="EJ25816"/>
      <c r="EK25816"/>
    </row>
    <row r="25817" spans="1:141" s="116" customFormat="1">
      <c r="A25817" s="136"/>
      <c r="CM25817" s="111"/>
      <c r="CQ25817" s="111"/>
      <c r="EF25817"/>
      <c r="EG25817"/>
      <c r="EH25817"/>
      <c r="EI25817"/>
      <c r="EJ25817"/>
      <c r="EK25817"/>
    </row>
    <row r="25818" spans="1:141" s="116" customFormat="1">
      <c r="A25818" s="136"/>
      <c r="CM25818" s="111"/>
      <c r="CQ25818" s="111"/>
      <c r="EF25818"/>
      <c r="EG25818"/>
      <c r="EH25818"/>
      <c r="EI25818"/>
      <c r="EJ25818"/>
      <c r="EK25818"/>
    </row>
    <row r="25819" spans="1:141" s="116" customFormat="1">
      <c r="A25819" s="136"/>
      <c r="CM25819" s="111"/>
      <c r="CQ25819" s="111"/>
      <c r="EF25819"/>
      <c r="EG25819"/>
      <c r="EH25819"/>
      <c r="EI25819"/>
      <c r="EJ25819"/>
      <c r="EK25819"/>
    </row>
    <row r="25820" spans="1:141" s="116" customFormat="1">
      <c r="A25820" s="136"/>
      <c r="CM25820" s="111"/>
      <c r="CQ25820" s="111"/>
      <c r="EF25820"/>
      <c r="EG25820"/>
      <c r="EH25820"/>
      <c r="EI25820"/>
      <c r="EJ25820"/>
      <c r="EK25820"/>
    </row>
    <row r="25821" spans="1:141" s="116" customFormat="1">
      <c r="A25821" s="136"/>
      <c r="CM25821" s="111"/>
      <c r="CQ25821" s="111"/>
      <c r="EF25821"/>
      <c r="EG25821"/>
      <c r="EH25821"/>
      <c r="EI25821"/>
      <c r="EJ25821"/>
      <c r="EK25821"/>
    </row>
    <row r="25822" spans="1:141" s="116" customFormat="1">
      <c r="A25822" s="136"/>
      <c r="CM25822" s="111"/>
      <c r="CQ25822" s="111"/>
      <c r="EF25822"/>
      <c r="EG25822"/>
      <c r="EH25822"/>
      <c r="EI25822"/>
      <c r="EJ25822"/>
      <c r="EK25822"/>
    </row>
    <row r="25823" spans="1:141" s="116" customFormat="1">
      <c r="A25823" s="136"/>
      <c r="CM25823" s="111"/>
      <c r="CQ25823" s="111"/>
      <c r="EF25823"/>
      <c r="EG25823"/>
      <c r="EH25823"/>
      <c r="EI25823"/>
      <c r="EJ25823"/>
      <c r="EK25823"/>
    </row>
    <row r="25824" spans="1:141" s="116" customFormat="1">
      <c r="A25824" s="136"/>
      <c r="CM25824" s="111"/>
      <c r="CQ25824" s="111"/>
      <c r="EF25824"/>
      <c r="EG25824"/>
      <c r="EH25824"/>
      <c r="EI25824"/>
      <c r="EJ25824"/>
      <c r="EK25824"/>
    </row>
    <row r="25825" spans="1:141" s="116" customFormat="1">
      <c r="A25825" s="136"/>
      <c r="CM25825" s="111"/>
      <c r="CQ25825" s="111"/>
      <c r="EF25825"/>
      <c r="EG25825"/>
      <c r="EH25825"/>
      <c r="EI25825"/>
      <c r="EJ25825"/>
      <c r="EK25825"/>
    </row>
    <row r="25826" spans="1:141" s="116" customFormat="1">
      <c r="A25826" s="136"/>
      <c r="CM25826" s="111"/>
      <c r="CQ25826" s="111"/>
      <c r="EF25826"/>
      <c r="EG25826"/>
      <c r="EH25826"/>
      <c r="EI25826"/>
      <c r="EJ25826"/>
      <c r="EK25826"/>
    </row>
    <row r="25827" spans="1:141" s="116" customFormat="1">
      <c r="A25827" s="136"/>
      <c r="CM25827" s="111"/>
      <c r="CQ25827" s="111"/>
      <c r="EF25827"/>
      <c r="EG25827"/>
      <c r="EH25827"/>
      <c r="EI25827"/>
      <c r="EJ25827"/>
      <c r="EK25827"/>
    </row>
    <row r="25828" spans="1:141" s="116" customFormat="1">
      <c r="A25828" s="136"/>
      <c r="CM25828" s="111"/>
      <c r="CQ25828" s="111"/>
      <c r="EF25828"/>
      <c r="EG25828"/>
      <c r="EH25828"/>
      <c r="EI25828"/>
      <c r="EJ25828"/>
      <c r="EK25828"/>
    </row>
    <row r="25829" spans="1:141" s="116" customFormat="1">
      <c r="A25829" s="136"/>
      <c r="CM25829" s="111"/>
      <c r="CQ25829" s="111"/>
      <c r="EF25829"/>
      <c r="EG25829"/>
      <c r="EH25829"/>
      <c r="EI25829"/>
      <c r="EJ25829"/>
      <c r="EK25829"/>
    </row>
    <row r="25830" spans="1:141" s="116" customFormat="1">
      <c r="A25830" s="136"/>
      <c r="CM25830" s="111"/>
      <c r="CQ25830" s="111"/>
      <c r="EF25830"/>
      <c r="EG25830"/>
      <c r="EH25830"/>
      <c r="EI25830"/>
      <c r="EJ25830"/>
      <c r="EK25830"/>
    </row>
    <row r="25831" spans="1:141" s="116" customFormat="1">
      <c r="A25831" s="136"/>
      <c r="CM25831" s="111"/>
      <c r="CQ25831" s="111"/>
      <c r="EF25831"/>
      <c r="EG25831"/>
      <c r="EH25831"/>
      <c r="EI25831"/>
      <c r="EJ25831"/>
      <c r="EK25831"/>
    </row>
    <row r="25832" spans="1:141" s="116" customFormat="1">
      <c r="A25832" s="136"/>
      <c r="CM25832" s="111"/>
      <c r="CQ25832" s="111"/>
      <c r="EF25832"/>
      <c r="EG25832"/>
      <c r="EH25832"/>
      <c r="EI25832"/>
      <c r="EJ25832"/>
      <c r="EK25832"/>
    </row>
    <row r="25833" spans="1:141" s="116" customFormat="1">
      <c r="A25833" s="136"/>
      <c r="CM25833" s="111"/>
      <c r="CQ25833" s="111"/>
      <c r="EF25833"/>
      <c r="EG25833"/>
      <c r="EH25833"/>
      <c r="EI25833"/>
      <c r="EJ25833"/>
      <c r="EK25833"/>
    </row>
    <row r="25834" spans="1:141" s="116" customFormat="1">
      <c r="A25834" s="136"/>
      <c r="CM25834" s="111"/>
      <c r="CQ25834" s="111"/>
      <c r="EF25834"/>
      <c r="EG25834"/>
      <c r="EH25834"/>
      <c r="EI25834"/>
      <c r="EJ25834"/>
      <c r="EK25834"/>
    </row>
    <row r="25835" spans="1:141" s="116" customFormat="1">
      <c r="A25835" s="136"/>
      <c r="CM25835" s="111"/>
      <c r="CQ25835" s="111"/>
      <c r="EF25835"/>
      <c r="EG25835"/>
      <c r="EH25835"/>
      <c r="EI25835"/>
      <c r="EJ25835"/>
      <c r="EK25835"/>
    </row>
    <row r="25836" spans="1:141" s="116" customFormat="1">
      <c r="A25836" s="136"/>
      <c r="CM25836" s="111"/>
      <c r="CQ25836" s="111"/>
      <c r="EF25836"/>
      <c r="EG25836"/>
      <c r="EH25836"/>
      <c r="EI25836"/>
      <c r="EJ25836"/>
      <c r="EK25836"/>
    </row>
    <row r="25837" spans="1:141" s="116" customFormat="1">
      <c r="A25837" s="136"/>
      <c r="CM25837" s="111"/>
      <c r="CQ25837" s="111"/>
      <c r="EF25837"/>
      <c r="EG25837"/>
      <c r="EH25837"/>
      <c r="EI25837"/>
      <c r="EJ25837"/>
      <c r="EK25837"/>
    </row>
    <row r="25838" spans="1:141" s="116" customFormat="1">
      <c r="A25838" s="136"/>
      <c r="CM25838" s="111"/>
      <c r="CQ25838" s="111"/>
      <c r="EF25838"/>
      <c r="EG25838"/>
      <c r="EH25838"/>
      <c r="EI25838"/>
      <c r="EJ25838"/>
      <c r="EK25838"/>
    </row>
    <row r="25839" spans="1:141" s="116" customFormat="1">
      <c r="A25839" s="136"/>
      <c r="CM25839" s="111"/>
      <c r="CQ25839" s="111"/>
      <c r="EF25839"/>
      <c r="EG25839"/>
      <c r="EH25839"/>
      <c r="EI25839"/>
      <c r="EJ25839"/>
      <c r="EK25839"/>
    </row>
    <row r="25840" spans="1:141" s="116" customFormat="1">
      <c r="A25840" s="136"/>
      <c r="CM25840" s="111"/>
      <c r="CQ25840" s="111"/>
      <c r="EF25840"/>
      <c r="EG25840"/>
      <c r="EH25840"/>
      <c r="EI25840"/>
      <c r="EJ25840"/>
      <c r="EK25840"/>
    </row>
    <row r="25841" spans="1:141" s="116" customFormat="1">
      <c r="A25841" s="136"/>
      <c r="CM25841" s="111"/>
      <c r="CQ25841" s="111"/>
      <c r="EF25841"/>
      <c r="EG25841"/>
      <c r="EH25841"/>
      <c r="EI25841"/>
      <c r="EJ25841"/>
      <c r="EK25841"/>
    </row>
    <row r="25842" spans="1:141" s="116" customFormat="1">
      <c r="A25842" s="136"/>
      <c r="CM25842" s="111"/>
      <c r="CQ25842" s="111"/>
      <c r="EF25842"/>
      <c r="EG25842"/>
      <c r="EH25842"/>
      <c r="EI25842"/>
      <c r="EJ25842"/>
      <c r="EK25842"/>
    </row>
    <row r="25843" spans="1:141" s="116" customFormat="1">
      <c r="A25843" s="136"/>
      <c r="CM25843" s="111"/>
      <c r="CQ25843" s="111"/>
      <c r="EF25843"/>
      <c r="EG25843"/>
      <c r="EH25843"/>
      <c r="EI25843"/>
      <c r="EJ25843"/>
      <c r="EK25843"/>
    </row>
    <row r="25844" spans="1:141" s="116" customFormat="1">
      <c r="A25844" s="136"/>
      <c r="CM25844" s="111"/>
      <c r="CQ25844" s="111"/>
      <c r="EF25844"/>
      <c r="EG25844"/>
      <c r="EH25844"/>
      <c r="EI25844"/>
      <c r="EJ25844"/>
      <c r="EK25844"/>
    </row>
    <row r="25845" spans="1:141" s="116" customFormat="1">
      <c r="A25845" s="136"/>
      <c r="CM25845" s="111"/>
      <c r="CQ25845" s="111"/>
      <c r="EF25845"/>
      <c r="EG25845"/>
      <c r="EH25845"/>
      <c r="EI25845"/>
      <c r="EJ25845"/>
      <c r="EK25845"/>
    </row>
    <row r="25846" spans="1:141" s="116" customFormat="1">
      <c r="A25846" s="136"/>
      <c r="CM25846" s="111"/>
      <c r="CQ25846" s="111"/>
      <c r="EF25846"/>
      <c r="EG25846"/>
      <c r="EH25846"/>
      <c r="EI25846"/>
      <c r="EJ25846"/>
      <c r="EK25846"/>
    </row>
    <row r="25847" spans="1:141" s="116" customFormat="1">
      <c r="A25847" s="136"/>
      <c r="CM25847" s="111"/>
      <c r="CQ25847" s="111"/>
      <c r="EF25847"/>
      <c r="EG25847"/>
      <c r="EH25847"/>
      <c r="EI25847"/>
      <c r="EJ25847"/>
      <c r="EK25847"/>
    </row>
    <row r="25848" spans="1:141" s="116" customFormat="1">
      <c r="A25848" s="136"/>
      <c r="CM25848" s="111"/>
      <c r="CQ25848" s="111"/>
      <c r="EF25848"/>
      <c r="EG25848"/>
      <c r="EH25848"/>
      <c r="EI25848"/>
      <c r="EJ25848"/>
      <c r="EK25848"/>
    </row>
    <row r="25849" spans="1:141" s="116" customFormat="1">
      <c r="A25849" s="136"/>
      <c r="CM25849" s="111"/>
      <c r="CQ25849" s="111"/>
      <c r="EF25849"/>
      <c r="EG25849"/>
      <c r="EH25849"/>
      <c r="EI25849"/>
      <c r="EJ25849"/>
      <c r="EK25849"/>
    </row>
    <row r="25850" spans="1:141" s="116" customFormat="1">
      <c r="A25850" s="136"/>
      <c r="CM25850" s="111"/>
      <c r="CQ25850" s="111"/>
      <c r="EF25850"/>
      <c r="EG25850"/>
      <c r="EH25850"/>
      <c r="EI25850"/>
      <c r="EJ25850"/>
      <c r="EK25850"/>
    </row>
    <row r="25851" spans="1:141" s="116" customFormat="1">
      <c r="A25851" s="136"/>
      <c r="CM25851" s="111"/>
      <c r="CQ25851" s="111"/>
      <c r="EF25851"/>
      <c r="EG25851"/>
      <c r="EH25851"/>
      <c r="EI25851"/>
      <c r="EJ25851"/>
      <c r="EK25851"/>
    </row>
    <row r="25852" spans="1:141" s="116" customFormat="1">
      <c r="A25852" s="136"/>
      <c r="CM25852" s="111"/>
      <c r="CQ25852" s="111"/>
      <c r="EF25852"/>
      <c r="EG25852"/>
      <c r="EH25852"/>
      <c r="EI25852"/>
      <c r="EJ25852"/>
      <c r="EK25852"/>
    </row>
    <row r="25853" spans="1:141" s="116" customFormat="1">
      <c r="A25853" s="136"/>
      <c r="CM25853" s="111"/>
      <c r="CQ25853" s="111"/>
      <c r="EF25853"/>
      <c r="EG25853"/>
      <c r="EH25853"/>
      <c r="EI25853"/>
      <c r="EJ25853"/>
      <c r="EK25853"/>
    </row>
    <row r="25854" spans="1:141" s="116" customFormat="1">
      <c r="A25854" s="136"/>
      <c r="CM25854" s="111"/>
      <c r="CQ25854" s="111"/>
      <c r="EF25854"/>
      <c r="EG25854"/>
      <c r="EH25854"/>
      <c r="EI25854"/>
      <c r="EJ25854"/>
      <c r="EK25854"/>
    </row>
    <row r="25855" spans="1:141" s="116" customFormat="1">
      <c r="A25855" s="136"/>
      <c r="CM25855" s="111"/>
      <c r="CQ25855" s="111"/>
      <c r="EF25855"/>
      <c r="EG25855"/>
      <c r="EH25855"/>
      <c r="EI25855"/>
      <c r="EJ25855"/>
      <c r="EK25855"/>
    </row>
    <row r="25856" spans="1:141" s="116" customFormat="1">
      <c r="A25856" s="136"/>
      <c r="CM25856" s="111"/>
      <c r="CQ25856" s="111"/>
      <c r="EF25856"/>
      <c r="EG25856"/>
      <c r="EH25856"/>
      <c r="EI25856"/>
      <c r="EJ25856"/>
      <c r="EK25856"/>
    </row>
    <row r="25857" spans="1:141" s="116" customFormat="1">
      <c r="A25857" s="136"/>
      <c r="CM25857" s="111"/>
      <c r="CQ25857" s="111"/>
      <c r="EF25857"/>
      <c r="EG25857"/>
      <c r="EH25857"/>
      <c r="EI25857"/>
      <c r="EJ25857"/>
      <c r="EK25857"/>
    </row>
    <row r="25858" spans="1:141" s="116" customFormat="1">
      <c r="A25858" s="136"/>
      <c r="CM25858" s="111"/>
      <c r="CQ25858" s="111"/>
      <c r="EF25858"/>
      <c r="EG25858"/>
      <c r="EH25858"/>
      <c r="EI25858"/>
      <c r="EJ25858"/>
      <c r="EK25858"/>
    </row>
    <row r="25859" spans="1:141" s="116" customFormat="1">
      <c r="A25859" s="136"/>
      <c r="CM25859" s="111"/>
      <c r="CQ25859" s="111"/>
      <c r="EF25859"/>
      <c r="EG25859"/>
      <c r="EH25859"/>
      <c r="EI25859"/>
      <c r="EJ25859"/>
      <c r="EK25859"/>
    </row>
    <row r="25860" spans="1:141" s="116" customFormat="1">
      <c r="A25860" s="136"/>
      <c r="CM25860" s="111"/>
      <c r="CQ25860" s="111"/>
      <c r="EF25860"/>
      <c r="EG25860"/>
      <c r="EH25860"/>
      <c r="EI25860"/>
      <c r="EJ25860"/>
      <c r="EK25860"/>
    </row>
    <row r="25861" spans="1:141" s="116" customFormat="1">
      <c r="A25861" s="136"/>
      <c r="CM25861" s="111"/>
      <c r="CQ25861" s="111"/>
      <c r="EF25861"/>
      <c r="EG25861"/>
      <c r="EH25861"/>
      <c r="EI25861"/>
      <c r="EJ25861"/>
      <c r="EK25861"/>
    </row>
    <row r="25862" spans="1:141" s="116" customFormat="1">
      <c r="A25862" s="136"/>
      <c r="CM25862" s="111"/>
      <c r="CQ25862" s="111"/>
      <c r="EF25862"/>
      <c r="EG25862"/>
      <c r="EH25862"/>
      <c r="EI25862"/>
      <c r="EJ25862"/>
      <c r="EK25862"/>
    </row>
    <row r="25863" spans="1:141" s="116" customFormat="1">
      <c r="A25863" s="136"/>
      <c r="CM25863" s="111"/>
      <c r="CQ25863" s="111"/>
      <c r="EF25863"/>
      <c r="EG25863"/>
      <c r="EH25863"/>
      <c r="EI25863"/>
      <c r="EJ25863"/>
      <c r="EK25863"/>
    </row>
    <row r="25864" spans="1:141" s="116" customFormat="1">
      <c r="A25864" s="136"/>
      <c r="CM25864" s="111"/>
      <c r="CQ25864" s="111"/>
      <c r="EF25864"/>
      <c r="EG25864"/>
      <c r="EH25864"/>
      <c r="EI25864"/>
      <c r="EJ25864"/>
      <c r="EK25864"/>
    </row>
    <row r="25865" spans="1:141" s="116" customFormat="1">
      <c r="A25865" s="136"/>
      <c r="CM25865" s="111"/>
      <c r="CQ25865" s="111"/>
      <c r="EF25865"/>
      <c r="EG25865"/>
      <c r="EH25865"/>
      <c r="EI25865"/>
      <c r="EJ25865"/>
      <c r="EK25865"/>
    </row>
    <row r="25866" spans="1:141" s="116" customFormat="1">
      <c r="A25866" s="136"/>
      <c r="CM25866" s="111"/>
      <c r="CQ25866" s="111"/>
      <c r="EF25866"/>
      <c r="EG25866"/>
      <c r="EH25866"/>
      <c r="EI25866"/>
      <c r="EJ25866"/>
      <c r="EK25866"/>
    </row>
    <row r="25867" spans="1:141" s="116" customFormat="1">
      <c r="A25867" s="136"/>
      <c r="CM25867" s="111"/>
      <c r="CQ25867" s="111"/>
      <c r="EF25867"/>
      <c r="EG25867"/>
      <c r="EH25867"/>
      <c r="EI25867"/>
      <c r="EJ25867"/>
      <c r="EK25867"/>
    </row>
    <row r="25868" spans="1:141" s="116" customFormat="1">
      <c r="A25868" s="136"/>
      <c r="CM25868" s="111"/>
      <c r="CQ25868" s="111"/>
      <c r="EF25868"/>
      <c r="EG25868"/>
      <c r="EH25868"/>
      <c r="EI25868"/>
      <c r="EJ25868"/>
      <c r="EK25868"/>
    </row>
    <row r="25869" spans="1:141" s="116" customFormat="1">
      <c r="A25869" s="136"/>
      <c r="CM25869" s="111"/>
      <c r="CQ25869" s="111"/>
      <c r="EF25869"/>
      <c r="EG25869"/>
      <c r="EH25869"/>
      <c r="EI25869"/>
      <c r="EJ25869"/>
      <c r="EK25869"/>
    </row>
    <row r="25870" spans="1:141" s="116" customFormat="1">
      <c r="A25870" s="136"/>
      <c r="CM25870" s="111"/>
      <c r="CQ25870" s="111"/>
      <c r="EF25870"/>
      <c r="EG25870"/>
      <c r="EH25870"/>
      <c r="EI25870"/>
      <c r="EJ25870"/>
      <c r="EK25870"/>
    </row>
    <row r="25871" spans="1:141" s="116" customFormat="1">
      <c r="A25871" s="136"/>
      <c r="CM25871" s="111"/>
      <c r="CQ25871" s="111"/>
      <c r="EF25871"/>
      <c r="EG25871"/>
      <c r="EH25871"/>
      <c r="EI25871"/>
      <c r="EJ25871"/>
      <c r="EK25871"/>
    </row>
    <row r="25872" spans="1:141" s="116" customFormat="1">
      <c r="A25872" s="136"/>
      <c r="CM25872" s="111"/>
      <c r="CQ25872" s="111"/>
      <c r="EF25872"/>
      <c r="EG25872"/>
      <c r="EH25872"/>
      <c r="EI25872"/>
      <c r="EJ25872"/>
      <c r="EK25872"/>
    </row>
    <row r="25873" spans="1:141" s="116" customFormat="1">
      <c r="A25873" s="136"/>
      <c r="CM25873" s="111"/>
      <c r="CQ25873" s="111"/>
      <c r="EF25873"/>
      <c r="EG25873"/>
      <c r="EH25873"/>
      <c r="EI25873"/>
      <c r="EJ25873"/>
      <c r="EK25873"/>
    </row>
    <row r="25874" spans="1:141" s="116" customFormat="1">
      <c r="A25874" s="136"/>
      <c r="CM25874" s="111"/>
      <c r="CQ25874" s="111"/>
      <c r="EF25874"/>
      <c r="EG25874"/>
      <c r="EH25874"/>
      <c r="EI25874"/>
      <c r="EJ25874"/>
      <c r="EK25874"/>
    </row>
    <row r="25875" spans="1:141" s="116" customFormat="1">
      <c r="A25875" s="136"/>
      <c r="CM25875" s="111"/>
      <c r="CQ25875" s="111"/>
      <c r="EF25875"/>
      <c r="EG25875"/>
      <c r="EH25875"/>
      <c r="EI25875"/>
      <c r="EJ25875"/>
      <c r="EK25875"/>
    </row>
    <row r="25876" spans="1:141" s="116" customFormat="1">
      <c r="A25876" s="136"/>
      <c r="CM25876" s="111"/>
      <c r="CQ25876" s="111"/>
      <c r="EF25876"/>
      <c r="EG25876"/>
      <c r="EH25876"/>
      <c r="EI25876"/>
      <c r="EJ25876"/>
      <c r="EK25876"/>
    </row>
    <row r="25877" spans="1:141" s="116" customFormat="1">
      <c r="A25877" s="136"/>
      <c r="CM25877" s="111"/>
      <c r="CQ25877" s="111"/>
      <c r="EF25877"/>
      <c r="EG25877"/>
      <c r="EH25877"/>
      <c r="EI25877"/>
      <c r="EJ25877"/>
      <c r="EK25877"/>
    </row>
    <row r="25878" spans="1:141" s="116" customFormat="1">
      <c r="A25878" s="136"/>
      <c r="CM25878" s="111"/>
      <c r="CQ25878" s="111"/>
      <c r="EF25878"/>
      <c r="EG25878"/>
      <c r="EH25878"/>
      <c r="EI25878"/>
      <c r="EJ25878"/>
      <c r="EK25878"/>
    </row>
    <row r="25879" spans="1:141" s="116" customFormat="1">
      <c r="A25879" s="136"/>
      <c r="CM25879" s="111"/>
      <c r="CQ25879" s="111"/>
      <c r="EF25879"/>
      <c r="EG25879"/>
      <c r="EH25879"/>
      <c r="EI25879"/>
      <c r="EJ25879"/>
      <c r="EK25879"/>
    </row>
    <row r="25880" spans="1:141" s="116" customFormat="1">
      <c r="A25880" s="136"/>
      <c r="CM25880" s="111"/>
      <c r="CQ25880" s="111"/>
      <c r="EF25880"/>
      <c r="EG25880"/>
      <c r="EH25880"/>
      <c r="EI25880"/>
      <c r="EJ25880"/>
      <c r="EK25880"/>
    </row>
    <row r="25881" spans="1:141" s="116" customFormat="1">
      <c r="A25881" s="136"/>
      <c r="CM25881" s="111"/>
      <c r="CQ25881" s="111"/>
      <c r="EF25881"/>
      <c r="EG25881"/>
      <c r="EH25881"/>
      <c r="EI25881"/>
      <c r="EJ25881"/>
      <c r="EK25881"/>
    </row>
    <row r="25882" spans="1:141" s="116" customFormat="1">
      <c r="A25882" s="136"/>
      <c r="CM25882" s="111"/>
      <c r="CQ25882" s="111"/>
      <c r="EF25882"/>
      <c r="EG25882"/>
      <c r="EH25882"/>
      <c r="EI25882"/>
      <c r="EJ25882"/>
      <c r="EK25882"/>
    </row>
    <row r="25883" spans="1:141" s="116" customFormat="1">
      <c r="A25883" s="136"/>
      <c r="CM25883" s="111"/>
      <c r="CQ25883" s="111"/>
      <c r="EF25883"/>
      <c r="EG25883"/>
      <c r="EH25883"/>
      <c r="EI25883"/>
      <c r="EJ25883"/>
      <c r="EK25883"/>
    </row>
    <row r="25884" spans="1:141" s="116" customFormat="1">
      <c r="A25884" s="136"/>
      <c r="CM25884" s="111"/>
      <c r="CQ25884" s="111"/>
      <c r="EF25884"/>
      <c r="EG25884"/>
      <c r="EH25884"/>
      <c r="EI25884"/>
      <c r="EJ25884"/>
      <c r="EK25884"/>
    </row>
    <row r="25885" spans="1:141" s="116" customFormat="1">
      <c r="A25885" s="136"/>
      <c r="CM25885" s="111"/>
      <c r="CQ25885" s="111"/>
      <c r="EF25885"/>
      <c r="EG25885"/>
      <c r="EH25885"/>
      <c r="EI25885"/>
      <c r="EJ25885"/>
      <c r="EK25885"/>
    </row>
    <row r="25886" spans="1:141" s="116" customFormat="1">
      <c r="A25886" s="136"/>
      <c r="CM25886" s="111"/>
      <c r="CQ25886" s="111"/>
      <c r="EF25886"/>
      <c r="EG25886"/>
      <c r="EH25886"/>
      <c r="EI25886"/>
      <c r="EJ25886"/>
      <c r="EK25886"/>
    </row>
    <row r="25887" spans="1:141" s="116" customFormat="1">
      <c r="A25887" s="136"/>
      <c r="CM25887" s="111"/>
      <c r="CQ25887" s="111"/>
      <c r="EF25887"/>
      <c r="EG25887"/>
      <c r="EH25887"/>
      <c r="EI25887"/>
      <c r="EJ25887"/>
      <c r="EK25887"/>
    </row>
    <row r="25888" spans="1:141" s="116" customFormat="1">
      <c r="A25888" s="136"/>
      <c r="CM25888" s="111"/>
      <c r="CQ25888" s="111"/>
      <c r="EF25888"/>
      <c r="EG25888"/>
      <c r="EH25888"/>
      <c r="EI25888"/>
      <c r="EJ25888"/>
      <c r="EK25888"/>
    </row>
    <row r="25889" spans="1:141" s="116" customFormat="1">
      <c r="A25889" s="136"/>
      <c r="CM25889" s="111"/>
      <c r="CQ25889" s="111"/>
      <c r="EF25889"/>
      <c r="EG25889"/>
      <c r="EH25889"/>
      <c r="EI25889"/>
      <c r="EJ25889"/>
      <c r="EK25889"/>
    </row>
    <row r="25890" spans="1:141" s="116" customFormat="1">
      <c r="A25890" s="136"/>
      <c r="CM25890" s="111"/>
      <c r="CQ25890" s="111"/>
      <c r="EF25890"/>
      <c r="EG25890"/>
      <c r="EH25890"/>
      <c r="EI25890"/>
      <c r="EJ25890"/>
      <c r="EK25890"/>
    </row>
    <row r="25891" spans="1:141" s="116" customFormat="1">
      <c r="A25891" s="136"/>
      <c r="CM25891" s="111"/>
      <c r="CQ25891" s="111"/>
      <c r="EF25891"/>
      <c r="EG25891"/>
      <c r="EH25891"/>
      <c r="EI25891"/>
      <c r="EJ25891"/>
      <c r="EK25891"/>
    </row>
    <row r="25892" spans="1:141" s="116" customFormat="1">
      <c r="A25892" s="136"/>
      <c r="CM25892" s="111"/>
      <c r="CQ25892" s="111"/>
      <c r="EF25892"/>
      <c r="EG25892"/>
      <c r="EH25892"/>
      <c r="EI25892"/>
      <c r="EJ25892"/>
      <c r="EK25892"/>
    </row>
    <row r="25893" spans="1:141" s="116" customFormat="1">
      <c r="A25893" s="136"/>
      <c r="CM25893" s="111"/>
      <c r="CQ25893" s="111"/>
      <c r="EF25893"/>
      <c r="EG25893"/>
      <c r="EH25893"/>
      <c r="EI25893"/>
      <c r="EJ25893"/>
      <c r="EK25893"/>
    </row>
    <row r="25894" spans="1:141" s="116" customFormat="1">
      <c r="A25894" s="136"/>
      <c r="CM25894" s="111"/>
      <c r="CQ25894" s="111"/>
      <c r="EF25894"/>
      <c r="EG25894"/>
      <c r="EH25894"/>
      <c r="EI25894"/>
      <c r="EJ25894"/>
      <c r="EK25894"/>
    </row>
    <row r="25895" spans="1:141" s="116" customFormat="1">
      <c r="A25895" s="136"/>
      <c r="CM25895" s="111"/>
      <c r="CQ25895" s="111"/>
      <c r="EF25895"/>
      <c r="EG25895"/>
      <c r="EH25895"/>
      <c r="EI25895"/>
      <c r="EJ25895"/>
      <c r="EK25895"/>
    </row>
    <row r="25896" spans="1:141" s="116" customFormat="1">
      <c r="A25896" s="136"/>
      <c r="CM25896" s="111"/>
      <c r="CQ25896" s="111"/>
      <c r="EF25896"/>
      <c r="EG25896"/>
      <c r="EH25896"/>
      <c r="EI25896"/>
      <c r="EJ25896"/>
      <c r="EK25896"/>
    </row>
    <row r="25897" spans="1:141" s="116" customFormat="1">
      <c r="A25897" s="136"/>
      <c r="CM25897" s="111"/>
      <c r="CQ25897" s="111"/>
      <c r="EF25897"/>
      <c r="EG25897"/>
      <c r="EH25897"/>
      <c r="EI25897"/>
      <c r="EJ25897"/>
      <c r="EK25897"/>
    </row>
    <row r="25898" spans="1:141" s="116" customFormat="1">
      <c r="A25898" s="136"/>
      <c r="CM25898" s="111"/>
      <c r="CQ25898" s="111"/>
      <c r="EF25898"/>
      <c r="EG25898"/>
      <c r="EH25898"/>
      <c r="EI25898"/>
      <c r="EJ25898"/>
      <c r="EK25898"/>
    </row>
    <row r="25899" spans="1:141" s="116" customFormat="1">
      <c r="A25899" s="136"/>
      <c r="CM25899" s="111"/>
      <c r="CQ25899" s="111"/>
      <c r="EF25899"/>
      <c r="EG25899"/>
      <c r="EH25899"/>
      <c r="EI25899"/>
      <c r="EJ25899"/>
      <c r="EK25899"/>
    </row>
    <row r="25900" spans="1:141" s="116" customFormat="1">
      <c r="A25900" s="136"/>
      <c r="CM25900" s="111"/>
      <c r="CQ25900" s="111"/>
      <c r="EF25900"/>
      <c r="EG25900"/>
      <c r="EH25900"/>
      <c r="EI25900"/>
      <c r="EJ25900"/>
      <c r="EK25900"/>
    </row>
    <row r="25901" spans="1:141" s="116" customFormat="1">
      <c r="A25901" s="136"/>
      <c r="CM25901" s="111"/>
      <c r="CQ25901" s="111"/>
      <c r="EF25901"/>
      <c r="EG25901"/>
      <c r="EH25901"/>
      <c r="EI25901"/>
      <c r="EJ25901"/>
      <c r="EK25901"/>
    </row>
    <row r="25902" spans="1:141" s="116" customFormat="1">
      <c r="A25902" s="136"/>
      <c r="CM25902" s="111"/>
      <c r="CQ25902" s="111"/>
      <c r="EF25902"/>
      <c r="EG25902"/>
      <c r="EH25902"/>
      <c r="EI25902"/>
      <c r="EJ25902"/>
      <c r="EK25902"/>
    </row>
    <row r="25903" spans="1:141" s="116" customFormat="1">
      <c r="A25903" s="136"/>
      <c r="CM25903" s="111"/>
      <c r="CQ25903" s="111"/>
      <c r="EF25903"/>
      <c r="EG25903"/>
      <c r="EH25903"/>
      <c r="EI25903"/>
      <c r="EJ25903"/>
      <c r="EK25903"/>
    </row>
    <row r="25904" spans="1:141" s="116" customFormat="1">
      <c r="A25904" s="136"/>
      <c r="CM25904" s="111"/>
      <c r="CQ25904" s="111"/>
      <c r="EF25904"/>
      <c r="EG25904"/>
      <c r="EH25904"/>
      <c r="EI25904"/>
      <c r="EJ25904"/>
      <c r="EK25904"/>
    </row>
    <row r="25905" spans="1:141" s="116" customFormat="1">
      <c r="A25905" s="136"/>
      <c r="CM25905" s="111"/>
      <c r="CQ25905" s="111"/>
      <c r="EF25905"/>
      <c r="EG25905"/>
      <c r="EH25905"/>
      <c r="EI25905"/>
      <c r="EJ25905"/>
      <c r="EK25905"/>
    </row>
    <row r="25906" spans="1:141" s="116" customFormat="1">
      <c r="A25906" s="136"/>
      <c r="CM25906" s="111"/>
      <c r="CQ25906" s="111"/>
      <c r="EF25906"/>
      <c r="EG25906"/>
      <c r="EH25906"/>
      <c r="EI25906"/>
      <c r="EJ25906"/>
      <c r="EK25906"/>
    </row>
    <row r="25907" spans="1:141" s="116" customFormat="1">
      <c r="A25907" s="136"/>
      <c r="CM25907" s="111"/>
      <c r="CQ25907" s="111"/>
      <c r="EF25907"/>
      <c r="EG25907"/>
      <c r="EH25907"/>
      <c r="EI25907"/>
      <c r="EJ25907"/>
      <c r="EK25907"/>
    </row>
    <row r="25908" spans="1:141" s="116" customFormat="1">
      <c r="A25908" s="136"/>
      <c r="CM25908" s="111"/>
      <c r="CQ25908" s="111"/>
      <c r="EF25908"/>
      <c r="EG25908"/>
      <c r="EH25908"/>
      <c r="EI25908"/>
      <c r="EJ25908"/>
      <c r="EK25908"/>
    </row>
    <row r="25909" spans="1:141" s="116" customFormat="1">
      <c r="A25909" s="136"/>
      <c r="CM25909" s="111"/>
      <c r="CQ25909" s="111"/>
      <c r="EF25909"/>
      <c r="EG25909"/>
      <c r="EH25909"/>
      <c r="EI25909"/>
      <c r="EJ25909"/>
      <c r="EK25909"/>
    </row>
    <row r="25910" spans="1:141" s="116" customFormat="1">
      <c r="A25910" s="136"/>
      <c r="CM25910" s="111"/>
      <c r="CQ25910" s="111"/>
      <c r="EF25910"/>
      <c r="EG25910"/>
      <c r="EH25910"/>
      <c r="EI25910"/>
      <c r="EJ25910"/>
      <c r="EK25910"/>
    </row>
    <row r="25911" spans="1:141" s="116" customFormat="1">
      <c r="A25911" s="136"/>
      <c r="CM25911" s="111"/>
      <c r="CQ25911" s="111"/>
      <c r="EF25911"/>
      <c r="EG25911"/>
      <c r="EH25911"/>
      <c r="EI25911"/>
      <c r="EJ25911"/>
      <c r="EK25911"/>
    </row>
    <row r="25912" spans="1:141" s="116" customFormat="1">
      <c r="A25912" s="136"/>
      <c r="CM25912" s="111"/>
      <c r="CQ25912" s="111"/>
      <c r="EF25912"/>
      <c r="EG25912"/>
      <c r="EH25912"/>
      <c r="EI25912"/>
      <c r="EJ25912"/>
      <c r="EK25912"/>
    </row>
    <row r="25913" spans="1:141" s="116" customFormat="1">
      <c r="A25913" s="136"/>
      <c r="CM25913" s="111"/>
      <c r="CQ25913" s="111"/>
      <c r="EF25913"/>
      <c r="EG25913"/>
      <c r="EH25913"/>
      <c r="EI25913"/>
      <c r="EJ25913"/>
      <c r="EK25913"/>
    </row>
    <row r="25914" spans="1:141" s="116" customFormat="1">
      <c r="A25914" s="136"/>
      <c r="CM25914" s="111"/>
      <c r="CQ25914" s="111"/>
      <c r="EF25914"/>
      <c r="EG25914"/>
      <c r="EH25914"/>
      <c r="EI25914"/>
      <c r="EJ25914"/>
      <c r="EK25914"/>
    </row>
    <row r="25915" spans="1:141" s="116" customFormat="1">
      <c r="A25915" s="136"/>
      <c r="CM25915" s="111"/>
      <c r="CQ25915" s="111"/>
      <c r="EF25915"/>
      <c r="EG25915"/>
      <c r="EH25915"/>
      <c r="EI25915"/>
      <c r="EJ25915"/>
      <c r="EK25915"/>
    </row>
    <row r="25916" spans="1:141" s="116" customFormat="1">
      <c r="A25916" s="136"/>
      <c r="CM25916" s="111"/>
      <c r="CQ25916" s="111"/>
      <c r="EF25916"/>
      <c r="EG25916"/>
      <c r="EH25916"/>
      <c r="EI25916"/>
      <c r="EJ25916"/>
      <c r="EK25916"/>
    </row>
    <row r="25917" spans="1:141" s="116" customFormat="1">
      <c r="A25917" s="136"/>
      <c r="CM25917" s="111"/>
      <c r="CQ25917" s="111"/>
      <c r="EF25917"/>
      <c r="EG25917"/>
      <c r="EH25917"/>
      <c r="EI25917"/>
      <c r="EJ25917"/>
      <c r="EK25917"/>
    </row>
    <row r="25918" spans="1:141" s="116" customFormat="1">
      <c r="A25918" s="136"/>
      <c r="CM25918" s="111"/>
      <c r="CQ25918" s="111"/>
      <c r="EF25918"/>
      <c r="EG25918"/>
      <c r="EH25918"/>
      <c r="EI25918"/>
      <c r="EJ25918"/>
      <c r="EK25918"/>
    </row>
    <row r="25919" spans="1:141" s="116" customFormat="1">
      <c r="A25919" s="136"/>
      <c r="CM25919" s="111"/>
      <c r="CQ25919" s="111"/>
      <c r="EF25919"/>
      <c r="EG25919"/>
      <c r="EH25919"/>
      <c r="EI25919"/>
      <c r="EJ25919"/>
      <c r="EK25919"/>
    </row>
    <row r="25920" spans="1:141" s="116" customFormat="1">
      <c r="A25920" s="136"/>
      <c r="CM25920" s="111"/>
      <c r="CQ25920" s="111"/>
      <c r="EF25920"/>
      <c r="EG25920"/>
      <c r="EH25920"/>
      <c r="EI25920"/>
      <c r="EJ25920"/>
      <c r="EK25920"/>
    </row>
    <row r="25921" spans="1:141" s="116" customFormat="1">
      <c r="A25921" s="136"/>
      <c r="CM25921" s="111"/>
      <c r="CQ25921" s="111"/>
      <c r="EF25921"/>
      <c r="EG25921"/>
      <c r="EH25921"/>
      <c r="EI25921"/>
      <c r="EJ25921"/>
      <c r="EK25921"/>
    </row>
    <row r="25922" spans="1:141" s="116" customFormat="1">
      <c r="A25922" s="136"/>
      <c r="CM25922" s="111"/>
      <c r="CQ25922" s="111"/>
      <c r="EF25922"/>
      <c r="EG25922"/>
      <c r="EH25922"/>
      <c r="EI25922"/>
      <c r="EJ25922"/>
      <c r="EK25922"/>
    </row>
    <row r="25923" spans="1:141" s="116" customFormat="1">
      <c r="A25923" s="136"/>
      <c r="CM25923" s="111"/>
      <c r="CQ25923" s="111"/>
      <c r="EF25923"/>
      <c r="EG25923"/>
      <c r="EH25923"/>
      <c r="EI25923"/>
      <c r="EJ25923"/>
      <c r="EK25923"/>
    </row>
    <row r="25924" spans="1:141" s="116" customFormat="1">
      <c r="A25924" s="136"/>
      <c r="CM25924" s="111"/>
      <c r="CQ25924" s="111"/>
      <c r="EF25924"/>
      <c r="EG25924"/>
      <c r="EH25924"/>
      <c r="EI25924"/>
      <c r="EJ25924"/>
      <c r="EK25924"/>
    </row>
    <row r="25925" spans="1:141" s="116" customFormat="1">
      <c r="A25925" s="136"/>
      <c r="CM25925" s="111"/>
      <c r="CQ25925" s="111"/>
      <c r="EF25925"/>
      <c r="EG25925"/>
      <c r="EH25925"/>
      <c r="EI25925"/>
      <c r="EJ25925"/>
      <c r="EK25925"/>
    </row>
    <row r="25926" spans="1:141" s="116" customFormat="1">
      <c r="A25926" s="136"/>
      <c r="CM25926" s="111"/>
      <c r="CQ25926" s="111"/>
      <c r="EF25926"/>
      <c r="EG25926"/>
      <c r="EH25926"/>
      <c r="EI25926"/>
      <c r="EJ25926"/>
      <c r="EK25926"/>
    </row>
    <row r="25927" spans="1:141" s="116" customFormat="1">
      <c r="A25927" s="136"/>
      <c r="CM25927" s="111"/>
      <c r="CQ25927" s="111"/>
      <c r="EF25927"/>
      <c r="EG25927"/>
      <c r="EH25927"/>
      <c r="EI25927"/>
      <c r="EJ25927"/>
      <c r="EK25927"/>
    </row>
    <row r="25928" spans="1:141" s="116" customFormat="1">
      <c r="A25928" s="136"/>
      <c r="CM25928" s="111"/>
      <c r="CQ25928" s="111"/>
      <c r="EF25928"/>
      <c r="EG25928"/>
      <c r="EH25928"/>
      <c r="EI25928"/>
      <c r="EJ25928"/>
      <c r="EK25928"/>
    </row>
    <row r="25929" spans="1:141" s="116" customFormat="1">
      <c r="A25929" s="136"/>
      <c r="CM25929" s="111"/>
      <c r="CQ25929" s="111"/>
      <c r="EF25929"/>
      <c r="EG25929"/>
      <c r="EH25929"/>
      <c r="EI25929"/>
      <c r="EJ25929"/>
      <c r="EK25929"/>
    </row>
    <row r="25930" spans="1:141" s="116" customFormat="1">
      <c r="A25930" s="136"/>
      <c r="CM25930" s="111"/>
      <c r="CQ25930" s="111"/>
      <c r="EF25930"/>
      <c r="EG25930"/>
      <c r="EH25930"/>
      <c r="EI25930"/>
      <c r="EJ25930"/>
      <c r="EK25930"/>
    </row>
    <row r="25931" spans="1:141" s="116" customFormat="1">
      <c r="A25931" s="136"/>
      <c r="CM25931" s="111"/>
      <c r="CQ25931" s="111"/>
      <c r="EF25931"/>
      <c r="EG25931"/>
      <c r="EH25931"/>
      <c r="EI25931"/>
      <c r="EJ25931"/>
      <c r="EK25931"/>
    </row>
    <row r="25932" spans="1:141" s="116" customFormat="1">
      <c r="A25932" s="136"/>
      <c r="CM25932" s="111"/>
      <c r="CQ25932" s="111"/>
      <c r="EF25932"/>
      <c r="EG25932"/>
      <c r="EH25932"/>
      <c r="EI25932"/>
      <c r="EJ25932"/>
      <c r="EK25932"/>
    </row>
    <row r="25933" spans="1:141" s="116" customFormat="1">
      <c r="A25933" s="136"/>
      <c r="CM25933" s="111"/>
      <c r="CQ25933" s="111"/>
      <c r="EF25933"/>
      <c r="EG25933"/>
      <c r="EH25933"/>
      <c r="EI25933"/>
      <c r="EJ25933"/>
      <c r="EK25933"/>
    </row>
    <row r="25934" spans="1:141" s="116" customFormat="1">
      <c r="A25934" s="136"/>
      <c r="CM25934" s="111"/>
      <c r="CQ25934" s="111"/>
      <c r="EF25934"/>
      <c r="EG25934"/>
      <c r="EH25934"/>
      <c r="EI25934"/>
      <c r="EJ25934"/>
      <c r="EK25934"/>
    </row>
    <row r="25935" spans="1:141" s="116" customFormat="1">
      <c r="A25935" s="136"/>
      <c r="CM25935" s="111"/>
      <c r="CQ25935" s="111"/>
      <c r="EF25935"/>
      <c r="EG25935"/>
      <c r="EH25935"/>
      <c r="EI25935"/>
      <c r="EJ25935"/>
      <c r="EK25935"/>
    </row>
    <row r="25936" spans="1:141" s="116" customFormat="1">
      <c r="A25936" s="136"/>
      <c r="CM25936" s="111"/>
      <c r="CQ25936" s="111"/>
      <c r="EF25936"/>
      <c r="EG25936"/>
      <c r="EH25936"/>
      <c r="EI25936"/>
      <c r="EJ25936"/>
      <c r="EK25936"/>
    </row>
    <row r="25937" spans="1:141" s="116" customFormat="1">
      <c r="A25937" s="136"/>
      <c r="CM25937" s="111"/>
      <c r="CQ25937" s="111"/>
      <c r="EF25937"/>
      <c r="EG25937"/>
      <c r="EH25937"/>
      <c r="EI25937"/>
      <c r="EJ25937"/>
      <c r="EK25937"/>
    </row>
    <row r="25938" spans="1:141" s="116" customFormat="1">
      <c r="A25938" s="136"/>
      <c r="CM25938" s="111"/>
      <c r="CQ25938" s="111"/>
      <c r="EF25938"/>
      <c r="EG25938"/>
      <c r="EH25938"/>
      <c r="EI25938"/>
      <c r="EJ25938"/>
      <c r="EK25938"/>
    </row>
    <row r="25939" spans="1:141" s="116" customFormat="1">
      <c r="A25939" s="136"/>
      <c r="CM25939" s="111"/>
      <c r="CQ25939" s="111"/>
      <c r="EF25939"/>
      <c r="EG25939"/>
      <c r="EH25939"/>
      <c r="EI25939"/>
      <c r="EJ25939"/>
      <c r="EK25939"/>
    </row>
    <row r="25940" spans="1:141" s="116" customFormat="1">
      <c r="A25940" s="136"/>
      <c r="CM25940" s="111"/>
      <c r="CQ25940" s="111"/>
      <c r="EF25940"/>
      <c r="EG25940"/>
      <c r="EH25940"/>
      <c r="EI25940"/>
      <c r="EJ25940"/>
      <c r="EK25940"/>
    </row>
    <row r="25941" spans="1:141" s="116" customFormat="1">
      <c r="A25941" s="136"/>
      <c r="CM25941" s="111"/>
      <c r="CQ25941" s="111"/>
      <c r="EF25941"/>
      <c r="EG25941"/>
      <c r="EH25941"/>
      <c r="EI25941"/>
      <c r="EJ25941"/>
      <c r="EK25941"/>
    </row>
    <row r="25942" spans="1:141" s="116" customFormat="1">
      <c r="A25942" s="136"/>
      <c r="CM25942" s="111"/>
      <c r="CQ25942" s="111"/>
      <c r="EF25942"/>
      <c r="EG25942"/>
      <c r="EH25942"/>
      <c r="EI25942"/>
      <c r="EJ25942"/>
      <c r="EK25942"/>
    </row>
    <row r="25943" spans="1:141" s="116" customFormat="1">
      <c r="A25943" s="136"/>
      <c r="CM25943" s="111"/>
      <c r="CQ25943" s="111"/>
      <c r="EF25943"/>
      <c r="EG25943"/>
      <c r="EH25943"/>
      <c r="EI25943"/>
      <c r="EJ25943"/>
      <c r="EK25943"/>
    </row>
    <row r="25944" spans="1:141" s="116" customFormat="1">
      <c r="A25944" s="136"/>
      <c r="CM25944" s="111"/>
      <c r="CQ25944" s="111"/>
      <c r="EF25944"/>
      <c r="EG25944"/>
      <c r="EH25944"/>
      <c r="EI25944"/>
      <c r="EJ25944"/>
      <c r="EK25944"/>
    </row>
    <row r="25945" spans="1:141" s="116" customFormat="1">
      <c r="A25945" s="136"/>
      <c r="CM25945" s="111"/>
      <c r="CQ25945" s="111"/>
      <c r="EF25945"/>
      <c r="EG25945"/>
      <c r="EH25945"/>
      <c r="EI25945"/>
      <c r="EJ25945"/>
      <c r="EK25945"/>
    </row>
    <row r="25946" spans="1:141" s="116" customFormat="1">
      <c r="A25946" s="136"/>
      <c r="CM25946" s="111"/>
      <c r="CQ25946" s="111"/>
      <c r="EF25946"/>
      <c r="EG25946"/>
      <c r="EH25946"/>
      <c r="EI25946"/>
      <c r="EJ25946"/>
      <c r="EK25946"/>
    </row>
    <row r="25947" spans="1:141" s="116" customFormat="1">
      <c r="A25947" s="136"/>
      <c r="CM25947" s="111"/>
      <c r="CQ25947" s="111"/>
      <c r="EF25947"/>
      <c r="EG25947"/>
      <c r="EH25947"/>
      <c r="EI25947"/>
      <c r="EJ25947"/>
      <c r="EK25947"/>
    </row>
    <row r="25948" spans="1:141" s="116" customFormat="1">
      <c r="A25948" s="136"/>
      <c r="CM25948" s="111"/>
      <c r="CQ25948" s="111"/>
      <c r="EF25948"/>
      <c r="EG25948"/>
      <c r="EH25948"/>
      <c r="EI25948"/>
      <c r="EJ25948"/>
      <c r="EK25948"/>
    </row>
    <row r="25949" spans="1:141" s="116" customFormat="1">
      <c r="A25949" s="136"/>
      <c r="CM25949" s="111"/>
      <c r="CQ25949" s="111"/>
      <c r="EF25949"/>
      <c r="EG25949"/>
      <c r="EH25949"/>
      <c r="EI25949"/>
      <c r="EJ25949"/>
      <c r="EK25949"/>
    </row>
    <row r="25950" spans="1:141" s="116" customFormat="1">
      <c r="A25950" s="136"/>
      <c r="CM25950" s="111"/>
      <c r="CQ25950" s="111"/>
      <c r="EF25950"/>
      <c r="EG25950"/>
      <c r="EH25950"/>
      <c r="EI25950"/>
      <c r="EJ25950"/>
      <c r="EK25950"/>
    </row>
    <row r="25951" spans="1:141" s="116" customFormat="1">
      <c r="A25951" s="136"/>
      <c r="CM25951" s="111"/>
      <c r="CQ25951" s="111"/>
      <c r="EF25951"/>
      <c r="EG25951"/>
      <c r="EH25951"/>
      <c r="EI25951"/>
      <c r="EJ25951"/>
      <c r="EK25951"/>
    </row>
    <row r="25952" spans="1:141" s="116" customFormat="1">
      <c r="A25952" s="136"/>
      <c r="CM25952" s="111"/>
      <c r="CQ25952" s="111"/>
      <c r="EF25952"/>
      <c r="EG25952"/>
      <c r="EH25952"/>
      <c r="EI25952"/>
      <c r="EJ25952"/>
      <c r="EK25952"/>
    </row>
    <row r="25953" spans="1:141" s="116" customFormat="1">
      <c r="A25953" s="136"/>
      <c r="CM25953" s="111"/>
      <c r="CQ25953" s="111"/>
      <c r="EF25953"/>
      <c r="EG25953"/>
      <c r="EH25953"/>
      <c r="EI25953"/>
      <c r="EJ25953"/>
      <c r="EK25953"/>
    </row>
    <row r="25954" spans="1:141" s="116" customFormat="1">
      <c r="A25954" s="136"/>
      <c r="CM25954" s="111"/>
      <c r="CQ25954" s="111"/>
      <c r="EF25954"/>
      <c r="EG25954"/>
      <c r="EH25954"/>
      <c r="EI25954"/>
      <c r="EJ25954"/>
      <c r="EK25954"/>
    </row>
    <row r="25955" spans="1:141" s="116" customFormat="1">
      <c r="A25955" s="136"/>
      <c r="CM25955" s="111"/>
      <c r="CQ25955" s="111"/>
      <c r="EF25955"/>
      <c r="EG25955"/>
      <c r="EH25955"/>
      <c r="EI25955"/>
      <c r="EJ25955"/>
      <c r="EK25955"/>
    </row>
    <row r="25956" spans="1:141" s="116" customFormat="1">
      <c r="A25956" s="136"/>
      <c r="CM25956" s="111"/>
      <c r="CQ25956" s="111"/>
      <c r="EF25956"/>
      <c r="EG25956"/>
      <c r="EH25956"/>
      <c r="EI25956"/>
      <c r="EJ25956"/>
      <c r="EK25956"/>
    </row>
    <row r="25957" spans="1:141" s="116" customFormat="1">
      <c r="A25957" s="136"/>
      <c r="CM25957" s="111"/>
      <c r="CQ25957" s="111"/>
      <c r="EF25957"/>
      <c r="EG25957"/>
      <c r="EH25957"/>
      <c r="EI25957"/>
      <c r="EJ25957"/>
      <c r="EK25957"/>
    </row>
    <row r="25958" spans="1:141" s="116" customFormat="1">
      <c r="A25958" s="136"/>
      <c r="CM25958" s="111"/>
      <c r="CQ25958" s="111"/>
      <c r="EF25958"/>
      <c r="EG25958"/>
      <c r="EH25958"/>
      <c r="EI25958"/>
      <c r="EJ25958"/>
      <c r="EK25958"/>
    </row>
    <row r="25959" spans="1:141" s="116" customFormat="1">
      <c r="A25959" s="136"/>
      <c r="CM25959" s="111"/>
      <c r="CQ25959" s="111"/>
      <c r="EF25959"/>
      <c r="EG25959"/>
      <c r="EH25959"/>
      <c r="EI25959"/>
      <c r="EJ25959"/>
      <c r="EK25959"/>
    </row>
    <row r="25960" spans="1:141" s="116" customFormat="1">
      <c r="A25960" s="136"/>
      <c r="CM25960" s="111"/>
      <c r="CQ25960" s="111"/>
      <c r="EF25960"/>
      <c r="EG25960"/>
      <c r="EH25960"/>
      <c r="EI25960"/>
      <c r="EJ25960"/>
      <c r="EK25960"/>
    </row>
    <row r="25961" spans="1:141" s="116" customFormat="1">
      <c r="A25961" s="136"/>
      <c r="CM25961" s="111"/>
      <c r="CQ25961" s="111"/>
      <c r="EF25961"/>
      <c r="EG25961"/>
      <c r="EH25961"/>
      <c r="EI25961"/>
      <c r="EJ25961"/>
      <c r="EK25961"/>
    </row>
    <row r="25962" spans="1:141" s="116" customFormat="1">
      <c r="A25962" s="136"/>
      <c r="CM25962" s="111"/>
      <c r="CQ25962" s="111"/>
      <c r="EF25962"/>
      <c r="EG25962"/>
      <c r="EH25962"/>
      <c r="EI25962"/>
      <c r="EJ25962"/>
      <c r="EK25962"/>
    </row>
    <row r="25963" spans="1:141" s="116" customFormat="1">
      <c r="A25963" s="136"/>
      <c r="CM25963" s="111"/>
      <c r="CQ25963" s="111"/>
      <c r="EF25963"/>
      <c r="EG25963"/>
      <c r="EH25963"/>
      <c r="EI25963"/>
      <c r="EJ25963"/>
      <c r="EK25963"/>
    </row>
    <row r="25964" spans="1:141" s="116" customFormat="1">
      <c r="A25964" s="136"/>
      <c r="CM25964" s="111"/>
      <c r="CQ25964" s="111"/>
      <c r="EF25964"/>
      <c r="EG25964"/>
      <c r="EH25964"/>
      <c r="EI25964"/>
      <c r="EJ25964"/>
      <c r="EK25964"/>
    </row>
    <row r="25965" spans="1:141" s="116" customFormat="1">
      <c r="A25965" s="136"/>
      <c r="CM25965" s="111"/>
      <c r="CQ25965" s="111"/>
      <c r="EF25965"/>
      <c r="EG25965"/>
      <c r="EH25965"/>
      <c r="EI25965"/>
      <c r="EJ25965"/>
      <c r="EK25965"/>
    </row>
    <row r="25966" spans="1:141" s="116" customFormat="1">
      <c r="A25966" s="136"/>
      <c r="CM25966" s="111"/>
      <c r="CQ25966" s="111"/>
      <c r="EF25966"/>
      <c r="EG25966"/>
      <c r="EH25966"/>
      <c r="EI25966"/>
      <c r="EJ25966"/>
      <c r="EK25966"/>
    </row>
    <row r="25967" spans="1:141" s="116" customFormat="1">
      <c r="A25967" s="136"/>
      <c r="CM25967" s="111"/>
      <c r="CQ25967" s="111"/>
      <c r="EF25967"/>
      <c r="EG25967"/>
      <c r="EH25967"/>
      <c r="EI25967"/>
      <c r="EJ25967"/>
      <c r="EK25967"/>
    </row>
    <row r="25968" spans="1:141" s="116" customFormat="1">
      <c r="A25968" s="136"/>
      <c r="CM25968" s="111"/>
      <c r="CQ25968" s="111"/>
      <c r="EF25968"/>
      <c r="EG25968"/>
      <c r="EH25968"/>
      <c r="EI25968"/>
      <c r="EJ25968"/>
      <c r="EK25968"/>
    </row>
    <row r="25969" spans="1:141" s="116" customFormat="1">
      <c r="A25969" s="136"/>
      <c r="CM25969" s="111"/>
      <c r="CQ25969" s="111"/>
      <c r="EF25969"/>
      <c r="EG25969"/>
      <c r="EH25969"/>
      <c r="EI25969"/>
      <c r="EJ25969"/>
      <c r="EK25969"/>
    </row>
    <row r="25970" spans="1:141" s="116" customFormat="1">
      <c r="A25970" s="136"/>
      <c r="CM25970" s="111"/>
      <c r="CQ25970" s="111"/>
      <c r="EF25970"/>
      <c r="EG25970"/>
      <c r="EH25970"/>
      <c r="EI25970"/>
      <c r="EJ25970"/>
      <c r="EK25970"/>
    </row>
    <row r="25971" spans="1:141" s="116" customFormat="1">
      <c r="A25971" s="136"/>
      <c r="CM25971" s="111"/>
      <c r="CQ25971" s="111"/>
      <c r="EF25971"/>
      <c r="EG25971"/>
      <c r="EH25971"/>
      <c r="EI25971"/>
      <c r="EJ25971"/>
      <c r="EK25971"/>
    </row>
    <row r="25972" spans="1:141" s="116" customFormat="1">
      <c r="A25972" s="136"/>
      <c r="CM25972" s="111"/>
      <c r="CQ25972" s="111"/>
      <c r="EF25972"/>
      <c r="EG25972"/>
      <c r="EH25972"/>
      <c r="EI25972"/>
      <c r="EJ25972"/>
      <c r="EK25972"/>
    </row>
    <row r="25973" spans="1:141" s="116" customFormat="1">
      <c r="A25973" s="136"/>
      <c r="CM25973" s="111"/>
      <c r="CQ25973" s="111"/>
      <c r="EF25973"/>
      <c r="EG25973"/>
      <c r="EH25973"/>
      <c r="EI25973"/>
      <c r="EJ25973"/>
      <c r="EK25973"/>
    </row>
    <row r="25974" spans="1:141" s="116" customFormat="1">
      <c r="A25974" s="136"/>
      <c r="CM25974" s="111"/>
      <c r="CQ25974" s="111"/>
      <c r="EF25974"/>
      <c r="EG25974"/>
      <c r="EH25974"/>
      <c r="EI25974"/>
      <c r="EJ25974"/>
      <c r="EK25974"/>
    </row>
    <row r="25975" spans="1:141" s="116" customFormat="1">
      <c r="A25975" s="136"/>
      <c r="CM25975" s="111"/>
      <c r="CQ25975" s="111"/>
      <c r="EF25975"/>
      <c r="EG25975"/>
      <c r="EH25975"/>
      <c r="EI25975"/>
      <c r="EJ25975"/>
      <c r="EK25975"/>
    </row>
    <row r="25976" spans="1:141" s="116" customFormat="1">
      <c r="A25976" s="136"/>
      <c r="CM25976" s="111"/>
      <c r="CQ25976" s="111"/>
      <c r="EF25976"/>
      <c r="EG25976"/>
      <c r="EH25976"/>
      <c r="EI25976"/>
      <c r="EJ25976"/>
      <c r="EK25976"/>
    </row>
    <row r="25977" spans="1:141" s="116" customFormat="1">
      <c r="A25977" s="136"/>
      <c r="CM25977" s="111"/>
      <c r="CQ25977" s="111"/>
      <c r="EF25977"/>
      <c r="EG25977"/>
      <c r="EH25977"/>
      <c r="EI25977"/>
      <c r="EJ25977"/>
      <c r="EK25977"/>
    </row>
    <row r="25978" spans="1:141" s="116" customFormat="1">
      <c r="A25978" s="136"/>
      <c r="CM25978" s="111"/>
      <c r="CQ25978" s="111"/>
      <c r="EF25978"/>
      <c r="EG25978"/>
      <c r="EH25978"/>
      <c r="EI25978"/>
      <c r="EJ25978"/>
      <c r="EK25978"/>
    </row>
    <row r="25979" spans="1:141" s="116" customFormat="1">
      <c r="A25979" s="136"/>
      <c r="CM25979" s="111"/>
      <c r="CQ25979" s="111"/>
      <c r="EF25979"/>
      <c r="EG25979"/>
      <c r="EH25979"/>
      <c r="EI25979"/>
      <c r="EJ25979"/>
      <c r="EK25979"/>
    </row>
    <row r="25980" spans="1:141" s="116" customFormat="1">
      <c r="A25980" s="136"/>
      <c r="CM25980" s="111"/>
      <c r="CQ25980" s="111"/>
      <c r="EF25980"/>
      <c r="EG25980"/>
      <c r="EH25980"/>
      <c r="EI25980"/>
      <c r="EJ25980"/>
      <c r="EK25980"/>
    </row>
    <row r="25981" spans="1:141" s="116" customFormat="1">
      <c r="A25981" s="136"/>
      <c r="CM25981" s="111"/>
      <c r="CQ25981" s="111"/>
      <c r="EF25981"/>
      <c r="EG25981"/>
      <c r="EH25981"/>
      <c r="EI25981"/>
      <c r="EJ25981"/>
      <c r="EK25981"/>
    </row>
    <row r="25982" spans="1:141" s="116" customFormat="1">
      <c r="A25982" s="136"/>
      <c r="CM25982" s="111"/>
      <c r="CQ25982" s="111"/>
      <c r="EF25982"/>
      <c r="EG25982"/>
      <c r="EH25982"/>
      <c r="EI25982"/>
      <c r="EJ25982"/>
      <c r="EK25982"/>
    </row>
    <row r="25983" spans="1:141" s="116" customFormat="1">
      <c r="A25983" s="136"/>
      <c r="CM25983" s="111"/>
      <c r="CQ25983" s="111"/>
      <c r="EF25983"/>
      <c r="EG25983"/>
      <c r="EH25983"/>
      <c r="EI25983"/>
      <c r="EJ25983"/>
      <c r="EK25983"/>
    </row>
    <row r="25984" spans="1:141" s="116" customFormat="1">
      <c r="A25984" s="136"/>
      <c r="CM25984" s="111"/>
      <c r="CQ25984" s="111"/>
      <c r="EF25984"/>
      <c r="EG25984"/>
      <c r="EH25984"/>
      <c r="EI25984"/>
      <c r="EJ25984"/>
      <c r="EK25984"/>
    </row>
    <row r="25985" spans="1:141" s="116" customFormat="1">
      <c r="A25985" s="136"/>
      <c r="CM25985" s="111"/>
      <c r="CQ25985" s="111"/>
      <c r="EF25985"/>
      <c r="EG25985"/>
      <c r="EH25985"/>
      <c r="EI25985"/>
      <c r="EJ25985"/>
      <c r="EK25985"/>
    </row>
    <row r="25986" spans="1:141" s="116" customFormat="1">
      <c r="A25986" s="136"/>
      <c r="CM25986" s="111"/>
      <c r="CQ25986" s="111"/>
      <c r="EF25986"/>
      <c r="EG25986"/>
      <c r="EH25986"/>
      <c r="EI25986"/>
      <c r="EJ25986"/>
      <c r="EK25986"/>
    </row>
    <row r="25987" spans="1:141" s="116" customFormat="1">
      <c r="A25987" s="136"/>
      <c r="CM25987" s="111"/>
      <c r="CQ25987" s="111"/>
      <c r="EF25987"/>
      <c r="EG25987"/>
      <c r="EH25987"/>
      <c r="EI25987"/>
      <c r="EJ25987"/>
      <c r="EK25987"/>
    </row>
    <row r="25988" spans="1:141" s="116" customFormat="1">
      <c r="A25988" s="136"/>
      <c r="CM25988" s="111"/>
      <c r="CQ25988" s="111"/>
      <c r="EF25988"/>
      <c r="EG25988"/>
      <c r="EH25988"/>
      <c r="EI25988"/>
      <c r="EJ25988"/>
      <c r="EK25988"/>
    </row>
    <row r="25989" spans="1:141" s="116" customFormat="1">
      <c r="A25989" s="136"/>
      <c r="CM25989" s="111"/>
      <c r="CQ25989" s="111"/>
      <c r="EF25989"/>
      <c r="EG25989"/>
      <c r="EH25989"/>
      <c r="EI25989"/>
      <c r="EJ25989"/>
      <c r="EK25989"/>
    </row>
    <row r="25990" spans="1:141" s="116" customFormat="1">
      <c r="A25990" s="136"/>
      <c r="CM25990" s="111"/>
      <c r="CQ25990" s="111"/>
      <c r="EF25990"/>
      <c r="EG25990"/>
      <c r="EH25990"/>
      <c r="EI25990"/>
      <c r="EJ25990"/>
      <c r="EK25990"/>
    </row>
    <row r="25991" spans="1:141" s="116" customFormat="1">
      <c r="A25991" s="136"/>
      <c r="CM25991" s="111"/>
      <c r="CQ25991" s="111"/>
      <c r="EF25991"/>
      <c r="EG25991"/>
      <c r="EH25991"/>
      <c r="EI25991"/>
      <c r="EJ25991"/>
      <c r="EK25991"/>
    </row>
    <row r="25992" spans="1:141" s="116" customFormat="1">
      <c r="A25992" s="136"/>
      <c r="CM25992" s="111"/>
      <c r="CQ25992" s="111"/>
      <c r="EF25992"/>
      <c r="EG25992"/>
      <c r="EH25992"/>
      <c r="EI25992"/>
      <c r="EJ25992"/>
      <c r="EK25992"/>
    </row>
    <row r="25993" spans="1:141" s="116" customFormat="1">
      <c r="A25993" s="136"/>
      <c r="CM25993" s="111"/>
      <c r="CQ25993" s="111"/>
      <c r="EF25993"/>
      <c r="EG25993"/>
      <c r="EH25993"/>
      <c r="EI25993"/>
      <c r="EJ25993"/>
      <c r="EK25993"/>
    </row>
    <row r="25994" spans="1:141" s="116" customFormat="1">
      <c r="A25994" s="136"/>
      <c r="CM25994" s="111"/>
      <c r="CQ25994" s="111"/>
      <c r="EF25994"/>
      <c r="EG25994"/>
      <c r="EH25994"/>
      <c r="EI25994"/>
      <c r="EJ25994"/>
      <c r="EK25994"/>
    </row>
    <row r="25995" spans="1:141" s="116" customFormat="1">
      <c r="A25995" s="136"/>
      <c r="CM25995" s="111"/>
      <c r="CQ25995" s="111"/>
      <c r="EF25995"/>
      <c r="EG25995"/>
      <c r="EH25995"/>
      <c r="EI25995"/>
      <c r="EJ25995"/>
      <c r="EK25995"/>
    </row>
    <row r="25996" spans="1:141" s="116" customFormat="1">
      <c r="A25996" s="136"/>
      <c r="CM25996" s="111"/>
      <c r="CQ25996" s="111"/>
      <c r="EF25996"/>
      <c r="EG25996"/>
      <c r="EH25996"/>
      <c r="EI25996"/>
      <c r="EJ25996"/>
      <c r="EK25996"/>
    </row>
    <row r="25997" spans="1:141" s="116" customFormat="1">
      <c r="A25997" s="136"/>
      <c r="CM25997" s="111"/>
      <c r="CQ25997" s="111"/>
      <c r="EF25997"/>
      <c r="EG25997"/>
      <c r="EH25997"/>
      <c r="EI25997"/>
      <c r="EJ25997"/>
      <c r="EK25997"/>
    </row>
    <row r="25998" spans="1:141" s="116" customFormat="1">
      <c r="A25998" s="136"/>
      <c r="CM25998" s="111"/>
      <c r="CQ25998" s="111"/>
      <c r="EF25998"/>
      <c r="EG25998"/>
      <c r="EH25998"/>
      <c r="EI25998"/>
      <c r="EJ25998"/>
      <c r="EK25998"/>
    </row>
    <row r="25999" spans="1:141" s="116" customFormat="1">
      <c r="A25999" s="136"/>
      <c r="CM25999" s="111"/>
      <c r="CQ25999" s="111"/>
      <c r="EF25999"/>
      <c r="EG25999"/>
      <c r="EH25999"/>
      <c r="EI25999"/>
      <c r="EJ25999"/>
      <c r="EK25999"/>
    </row>
    <row r="26000" spans="1:141" s="116" customFormat="1">
      <c r="A26000" s="136"/>
      <c r="CM26000" s="111"/>
      <c r="CQ26000" s="111"/>
      <c r="EF26000"/>
      <c r="EG26000"/>
      <c r="EH26000"/>
      <c r="EI26000"/>
      <c r="EJ26000"/>
      <c r="EK26000"/>
    </row>
    <row r="26001" spans="1:141" s="116" customFormat="1">
      <c r="A26001" s="136"/>
      <c r="CM26001" s="111"/>
      <c r="CQ26001" s="111"/>
      <c r="EF26001"/>
      <c r="EG26001"/>
      <c r="EH26001"/>
      <c r="EI26001"/>
      <c r="EJ26001"/>
      <c r="EK26001"/>
    </row>
    <row r="26002" spans="1:141" s="116" customFormat="1">
      <c r="A26002" s="136"/>
      <c r="CM26002" s="111"/>
      <c r="CQ26002" s="111"/>
      <c r="EF26002"/>
      <c r="EG26002"/>
      <c r="EH26002"/>
      <c r="EI26002"/>
      <c r="EJ26002"/>
      <c r="EK26002"/>
    </row>
    <row r="26003" spans="1:141" s="116" customFormat="1">
      <c r="A26003" s="136"/>
      <c r="CM26003" s="111"/>
      <c r="CQ26003" s="111"/>
      <c r="EF26003"/>
      <c r="EG26003"/>
      <c r="EH26003"/>
      <c r="EI26003"/>
      <c r="EJ26003"/>
      <c r="EK26003"/>
    </row>
    <row r="26004" spans="1:141" s="116" customFormat="1">
      <c r="A26004" s="136"/>
      <c r="CM26004" s="111"/>
      <c r="CQ26004" s="111"/>
      <c r="EF26004"/>
      <c r="EG26004"/>
      <c r="EH26004"/>
      <c r="EI26004"/>
      <c r="EJ26004"/>
      <c r="EK26004"/>
    </row>
    <row r="26005" spans="1:141" s="116" customFormat="1">
      <c r="A26005" s="136"/>
      <c r="CM26005" s="111"/>
      <c r="CQ26005" s="111"/>
      <c r="EF26005"/>
      <c r="EG26005"/>
      <c r="EH26005"/>
      <c r="EI26005"/>
      <c r="EJ26005"/>
      <c r="EK26005"/>
    </row>
    <row r="26006" spans="1:141" s="116" customFormat="1">
      <c r="A26006" s="136"/>
      <c r="CM26006" s="111"/>
      <c r="CQ26006" s="111"/>
      <c r="EF26006"/>
      <c r="EG26006"/>
      <c r="EH26006"/>
      <c r="EI26006"/>
      <c r="EJ26006"/>
      <c r="EK26006"/>
    </row>
    <row r="26007" spans="1:141" s="116" customFormat="1">
      <c r="A26007" s="136"/>
      <c r="CM26007" s="111"/>
      <c r="CQ26007" s="111"/>
      <c r="EF26007"/>
      <c r="EG26007"/>
      <c r="EH26007"/>
      <c r="EI26007"/>
      <c r="EJ26007"/>
      <c r="EK26007"/>
    </row>
    <row r="26008" spans="1:141" s="116" customFormat="1">
      <c r="A26008" s="136"/>
      <c r="CM26008" s="111"/>
      <c r="CQ26008" s="111"/>
      <c r="EF26008"/>
      <c r="EG26008"/>
      <c r="EH26008"/>
      <c r="EI26008"/>
      <c r="EJ26008"/>
      <c r="EK26008"/>
    </row>
    <row r="26009" spans="1:141" s="116" customFormat="1">
      <c r="A26009" s="136"/>
      <c r="CM26009" s="111"/>
      <c r="CQ26009" s="111"/>
      <c r="EF26009"/>
      <c r="EG26009"/>
      <c r="EH26009"/>
      <c r="EI26009"/>
      <c r="EJ26009"/>
      <c r="EK26009"/>
    </row>
    <row r="26010" spans="1:141" s="116" customFormat="1">
      <c r="A26010" s="136"/>
      <c r="CM26010" s="111"/>
      <c r="CQ26010" s="111"/>
      <c r="EF26010"/>
      <c r="EG26010"/>
      <c r="EH26010"/>
      <c r="EI26010"/>
      <c r="EJ26010"/>
      <c r="EK26010"/>
    </row>
    <row r="26011" spans="1:141" s="116" customFormat="1">
      <c r="A26011" s="136"/>
      <c r="CM26011" s="111"/>
      <c r="CQ26011" s="111"/>
      <c r="EF26011"/>
      <c r="EG26011"/>
      <c r="EH26011"/>
      <c r="EI26011"/>
      <c r="EJ26011"/>
      <c r="EK26011"/>
    </row>
    <row r="26012" spans="1:141" s="116" customFormat="1">
      <c r="A26012" s="136"/>
      <c r="CM26012" s="111"/>
      <c r="CQ26012" s="111"/>
      <c r="EF26012"/>
      <c r="EG26012"/>
      <c r="EH26012"/>
      <c r="EI26012"/>
      <c r="EJ26012"/>
      <c r="EK26012"/>
    </row>
    <row r="26013" spans="1:141" s="116" customFormat="1">
      <c r="A26013" s="136"/>
      <c r="CM26013" s="111"/>
      <c r="CQ26013" s="111"/>
      <c r="EF26013"/>
      <c r="EG26013"/>
      <c r="EH26013"/>
      <c r="EI26013"/>
      <c r="EJ26013"/>
      <c r="EK26013"/>
    </row>
    <row r="26014" spans="1:141" s="116" customFormat="1">
      <c r="A26014" s="136"/>
      <c r="CM26014" s="111"/>
      <c r="CQ26014" s="111"/>
      <c r="EF26014"/>
      <c r="EG26014"/>
      <c r="EH26014"/>
      <c r="EI26014"/>
      <c r="EJ26014"/>
      <c r="EK26014"/>
    </row>
    <row r="26015" spans="1:141" s="116" customFormat="1">
      <c r="A26015" s="136"/>
      <c r="CM26015" s="111"/>
      <c r="CQ26015" s="111"/>
      <c r="EF26015"/>
      <c r="EG26015"/>
      <c r="EH26015"/>
      <c r="EI26015"/>
      <c r="EJ26015"/>
      <c r="EK26015"/>
    </row>
    <row r="26016" spans="1:141" s="116" customFormat="1">
      <c r="A26016" s="136"/>
      <c r="CM26016" s="111"/>
      <c r="CQ26016" s="111"/>
      <c r="EF26016"/>
      <c r="EG26016"/>
      <c r="EH26016"/>
      <c r="EI26016"/>
      <c r="EJ26016"/>
      <c r="EK26016"/>
    </row>
    <row r="26017" spans="1:141" s="116" customFormat="1">
      <c r="A26017" s="136"/>
      <c r="CM26017" s="111"/>
      <c r="CQ26017" s="111"/>
      <c r="EF26017"/>
      <c r="EG26017"/>
      <c r="EH26017"/>
      <c r="EI26017"/>
      <c r="EJ26017"/>
      <c r="EK26017"/>
    </row>
    <row r="26018" spans="1:141" s="116" customFormat="1">
      <c r="A26018" s="136"/>
      <c r="CM26018" s="111"/>
      <c r="CQ26018" s="111"/>
      <c r="EF26018"/>
      <c r="EG26018"/>
      <c r="EH26018"/>
      <c r="EI26018"/>
      <c r="EJ26018"/>
      <c r="EK26018"/>
    </row>
    <row r="26019" spans="1:141" s="116" customFormat="1">
      <c r="A26019" s="136"/>
      <c r="CM26019" s="111"/>
      <c r="CQ26019" s="111"/>
      <c r="EF26019"/>
      <c r="EG26019"/>
      <c r="EH26019"/>
      <c r="EI26019"/>
      <c r="EJ26019"/>
      <c r="EK26019"/>
    </row>
    <row r="26020" spans="1:141" s="116" customFormat="1">
      <c r="A26020" s="136"/>
      <c r="CM26020" s="111"/>
      <c r="CQ26020" s="111"/>
      <c r="EF26020"/>
      <c r="EG26020"/>
      <c r="EH26020"/>
      <c r="EI26020"/>
      <c r="EJ26020"/>
      <c r="EK26020"/>
    </row>
    <row r="26021" spans="1:141" s="116" customFormat="1">
      <c r="A26021" s="136"/>
      <c r="CM26021" s="111"/>
      <c r="CQ26021" s="111"/>
      <c r="EF26021"/>
      <c r="EG26021"/>
      <c r="EH26021"/>
      <c r="EI26021"/>
      <c r="EJ26021"/>
      <c r="EK26021"/>
    </row>
    <row r="26022" spans="1:141" s="116" customFormat="1">
      <c r="A26022" s="136"/>
      <c r="CM26022" s="111"/>
      <c r="CQ26022" s="111"/>
      <c r="EF26022"/>
      <c r="EG26022"/>
      <c r="EH26022"/>
      <c r="EI26022"/>
      <c r="EJ26022"/>
      <c r="EK26022"/>
    </row>
    <row r="26023" spans="1:141" s="116" customFormat="1">
      <c r="A26023" s="136"/>
      <c r="CM26023" s="111"/>
      <c r="CQ26023" s="111"/>
      <c r="EF26023"/>
      <c r="EG26023"/>
      <c r="EH26023"/>
      <c r="EI26023"/>
      <c r="EJ26023"/>
      <c r="EK26023"/>
    </row>
    <row r="26024" spans="1:141" s="116" customFormat="1">
      <c r="A26024" s="136"/>
      <c r="CM26024" s="111"/>
      <c r="CQ26024" s="111"/>
      <c r="EF26024"/>
      <c r="EG26024"/>
      <c r="EH26024"/>
      <c r="EI26024"/>
      <c r="EJ26024"/>
      <c r="EK26024"/>
    </row>
    <row r="26025" spans="1:141" s="116" customFormat="1">
      <c r="A26025" s="136"/>
      <c r="CM26025" s="111"/>
      <c r="CQ26025" s="111"/>
      <c r="EF26025"/>
      <c r="EG26025"/>
      <c r="EH26025"/>
      <c r="EI26025"/>
      <c r="EJ26025"/>
      <c r="EK26025"/>
    </row>
    <row r="26026" spans="1:141" s="116" customFormat="1">
      <c r="A26026" s="136"/>
      <c r="CM26026" s="111"/>
      <c r="CQ26026" s="111"/>
      <c r="EF26026"/>
      <c r="EG26026"/>
      <c r="EH26026"/>
      <c r="EI26026"/>
      <c r="EJ26026"/>
      <c r="EK26026"/>
    </row>
    <row r="26027" spans="1:141" s="116" customFormat="1">
      <c r="A26027" s="136"/>
      <c r="CM26027" s="111"/>
      <c r="CQ26027" s="111"/>
      <c r="EF26027"/>
      <c r="EG26027"/>
      <c r="EH26027"/>
      <c r="EI26027"/>
      <c r="EJ26027"/>
      <c r="EK26027"/>
    </row>
    <row r="26028" spans="1:141" s="116" customFormat="1">
      <c r="A26028" s="136"/>
      <c r="CM26028" s="111"/>
      <c r="CQ26028" s="111"/>
      <c r="EF26028"/>
      <c r="EG26028"/>
      <c r="EH26028"/>
      <c r="EI26028"/>
      <c r="EJ26028"/>
      <c r="EK26028"/>
    </row>
    <row r="26029" spans="1:141" s="116" customFormat="1">
      <c r="A26029" s="136"/>
      <c r="CM26029" s="111"/>
      <c r="CQ26029" s="111"/>
      <c r="EF26029"/>
      <c r="EG26029"/>
      <c r="EH26029"/>
      <c r="EI26029"/>
      <c r="EJ26029"/>
      <c r="EK26029"/>
    </row>
    <row r="26030" spans="1:141" s="116" customFormat="1">
      <c r="A26030" s="136"/>
      <c r="CM26030" s="111"/>
      <c r="CQ26030" s="111"/>
      <c r="EF26030"/>
      <c r="EG26030"/>
      <c r="EH26030"/>
      <c r="EI26030"/>
      <c r="EJ26030"/>
      <c r="EK26030"/>
    </row>
    <row r="26031" spans="1:141" s="116" customFormat="1">
      <c r="A26031" s="136"/>
      <c r="CM26031" s="111"/>
      <c r="CQ26031" s="111"/>
      <c r="EF26031"/>
      <c r="EG26031"/>
      <c r="EH26031"/>
      <c r="EI26031"/>
      <c r="EJ26031"/>
      <c r="EK26031"/>
    </row>
    <row r="26032" spans="1:141" s="116" customFormat="1">
      <c r="A26032" s="136"/>
      <c r="CM26032" s="111"/>
      <c r="CQ26032" s="111"/>
      <c r="EF26032"/>
      <c r="EG26032"/>
      <c r="EH26032"/>
      <c r="EI26032"/>
      <c r="EJ26032"/>
      <c r="EK26032"/>
    </row>
    <row r="26033" spans="1:141" s="116" customFormat="1">
      <c r="A26033" s="136"/>
      <c r="CM26033" s="111"/>
      <c r="CQ26033" s="111"/>
      <c r="EF26033"/>
      <c r="EG26033"/>
      <c r="EH26033"/>
      <c r="EI26033"/>
      <c r="EJ26033"/>
      <c r="EK26033"/>
    </row>
    <row r="26034" spans="1:141" s="116" customFormat="1">
      <c r="A26034" s="136"/>
      <c r="CM26034" s="111"/>
      <c r="CQ26034" s="111"/>
      <c r="EF26034"/>
      <c r="EG26034"/>
      <c r="EH26034"/>
      <c r="EI26034"/>
      <c r="EJ26034"/>
      <c r="EK26034"/>
    </row>
    <row r="26035" spans="1:141" s="116" customFormat="1">
      <c r="A26035" s="136"/>
      <c r="CM26035" s="111"/>
      <c r="CQ26035" s="111"/>
      <c r="EF26035"/>
      <c r="EG26035"/>
      <c r="EH26035"/>
      <c r="EI26035"/>
      <c r="EJ26035"/>
      <c r="EK26035"/>
    </row>
    <row r="26036" spans="1:141" s="116" customFormat="1">
      <c r="A26036" s="136"/>
      <c r="CM26036" s="111"/>
      <c r="CQ26036" s="111"/>
      <c r="EF26036"/>
      <c r="EG26036"/>
      <c r="EH26036"/>
      <c r="EI26036"/>
      <c r="EJ26036"/>
      <c r="EK26036"/>
    </row>
    <row r="26037" spans="1:141" s="116" customFormat="1">
      <c r="A26037" s="136"/>
      <c r="CM26037" s="111"/>
      <c r="CQ26037" s="111"/>
      <c r="EF26037"/>
      <c r="EG26037"/>
      <c r="EH26037"/>
      <c r="EI26037"/>
      <c r="EJ26037"/>
      <c r="EK26037"/>
    </row>
    <row r="26038" spans="1:141" s="116" customFormat="1">
      <c r="A26038" s="136"/>
      <c r="CM26038" s="111"/>
      <c r="CQ26038" s="111"/>
      <c r="EF26038"/>
      <c r="EG26038"/>
      <c r="EH26038"/>
      <c r="EI26038"/>
      <c r="EJ26038"/>
      <c r="EK26038"/>
    </row>
    <row r="26039" spans="1:141" s="116" customFormat="1">
      <c r="A26039" s="136"/>
      <c r="CM26039" s="111"/>
      <c r="CQ26039" s="111"/>
      <c r="EF26039"/>
      <c r="EG26039"/>
      <c r="EH26039"/>
      <c r="EI26039"/>
      <c r="EJ26039"/>
      <c r="EK26039"/>
    </row>
    <row r="26040" spans="1:141" s="116" customFormat="1">
      <c r="A26040" s="136"/>
      <c r="CM26040" s="111"/>
      <c r="CQ26040" s="111"/>
      <c r="EF26040"/>
      <c r="EG26040"/>
      <c r="EH26040"/>
      <c r="EI26040"/>
      <c r="EJ26040"/>
      <c r="EK26040"/>
    </row>
    <row r="26041" spans="1:141" s="116" customFormat="1">
      <c r="A26041" s="136"/>
      <c r="CM26041" s="111"/>
      <c r="CQ26041" s="111"/>
      <c r="EF26041"/>
      <c r="EG26041"/>
      <c r="EH26041"/>
      <c r="EI26041"/>
      <c r="EJ26041"/>
      <c r="EK26041"/>
    </row>
    <row r="26042" spans="1:141" s="116" customFormat="1">
      <c r="A26042" s="136"/>
      <c r="CM26042" s="111"/>
      <c r="CQ26042" s="111"/>
      <c r="EF26042"/>
      <c r="EG26042"/>
      <c r="EH26042"/>
      <c r="EI26042"/>
      <c r="EJ26042"/>
      <c r="EK26042"/>
    </row>
    <row r="26043" spans="1:141" s="116" customFormat="1">
      <c r="A26043" s="136"/>
      <c r="CM26043" s="111"/>
      <c r="CQ26043" s="111"/>
      <c r="EF26043"/>
      <c r="EG26043"/>
      <c r="EH26043"/>
      <c r="EI26043"/>
      <c r="EJ26043"/>
      <c r="EK26043"/>
    </row>
    <row r="26044" spans="1:141" s="116" customFormat="1">
      <c r="A26044" s="136"/>
      <c r="CM26044" s="111"/>
      <c r="CQ26044" s="111"/>
      <c r="EF26044"/>
      <c r="EG26044"/>
      <c r="EH26044"/>
      <c r="EI26044"/>
      <c r="EJ26044"/>
      <c r="EK26044"/>
    </row>
    <row r="26045" spans="1:141" s="116" customFormat="1">
      <c r="A26045" s="136"/>
      <c r="CM26045" s="111"/>
      <c r="CQ26045" s="111"/>
      <c r="EF26045"/>
      <c r="EG26045"/>
      <c r="EH26045"/>
      <c r="EI26045"/>
      <c r="EJ26045"/>
      <c r="EK26045"/>
    </row>
    <row r="26046" spans="1:141" s="116" customFormat="1">
      <c r="A26046" s="136"/>
      <c r="CM26046" s="111"/>
      <c r="CQ26046" s="111"/>
      <c r="EF26046"/>
      <c r="EG26046"/>
      <c r="EH26046"/>
      <c r="EI26046"/>
      <c r="EJ26046"/>
      <c r="EK26046"/>
    </row>
    <row r="26047" spans="1:141" s="116" customFormat="1">
      <c r="A26047" s="136"/>
      <c r="CM26047" s="111"/>
      <c r="CQ26047" s="111"/>
      <c r="EF26047"/>
      <c r="EG26047"/>
      <c r="EH26047"/>
      <c r="EI26047"/>
      <c r="EJ26047"/>
      <c r="EK26047"/>
    </row>
    <row r="26048" spans="1:141" s="116" customFormat="1">
      <c r="A26048" s="136"/>
      <c r="CM26048" s="111"/>
      <c r="CQ26048" s="111"/>
      <c r="EF26048"/>
      <c r="EG26048"/>
      <c r="EH26048"/>
      <c r="EI26048"/>
      <c r="EJ26048"/>
      <c r="EK26048"/>
    </row>
    <row r="26049" spans="1:141" s="116" customFormat="1">
      <c r="A26049" s="136"/>
      <c r="CM26049" s="111"/>
      <c r="CQ26049" s="111"/>
      <c r="EF26049"/>
      <c r="EG26049"/>
      <c r="EH26049"/>
      <c r="EI26049"/>
      <c r="EJ26049"/>
      <c r="EK26049"/>
    </row>
    <row r="26050" spans="1:141" s="116" customFormat="1">
      <c r="A26050" s="136"/>
      <c r="CM26050" s="111"/>
      <c r="CQ26050" s="111"/>
      <c r="EF26050"/>
      <c r="EG26050"/>
      <c r="EH26050"/>
      <c r="EI26050"/>
      <c r="EJ26050"/>
      <c r="EK26050"/>
    </row>
    <row r="26051" spans="1:141" s="116" customFormat="1">
      <c r="A26051" s="136"/>
      <c r="CM26051" s="111"/>
      <c r="CQ26051" s="111"/>
      <c r="EF26051"/>
      <c r="EG26051"/>
      <c r="EH26051"/>
      <c r="EI26051"/>
      <c r="EJ26051"/>
      <c r="EK26051"/>
    </row>
    <row r="26052" spans="1:141" s="116" customFormat="1">
      <c r="A26052" s="136"/>
      <c r="CM26052" s="111"/>
      <c r="CQ26052" s="111"/>
      <c r="EF26052"/>
      <c r="EG26052"/>
      <c r="EH26052"/>
      <c r="EI26052"/>
      <c r="EJ26052"/>
      <c r="EK26052"/>
    </row>
    <row r="26053" spans="1:141" s="116" customFormat="1">
      <c r="A26053" s="136"/>
      <c r="CM26053" s="111"/>
      <c r="CQ26053" s="111"/>
      <c r="EF26053"/>
      <c r="EG26053"/>
      <c r="EH26053"/>
      <c r="EI26053"/>
      <c r="EJ26053"/>
      <c r="EK26053"/>
    </row>
    <row r="26054" spans="1:141" s="116" customFormat="1">
      <c r="A26054" s="136"/>
      <c r="CM26054" s="111"/>
      <c r="CQ26054" s="111"/>
      <c r="EF26054"/>
      <c r="EG26054"/>
      <c r="EH26054"/>
      <c r="EI26054"/>
      <c r="EJ26054"/>
      <c r="EK26054"/>
    </row>
    <row r="26055" spans="1:141" s="116" customFormat="1">
      <c r="A26055" s="136"/>
      <c r="CM26055" s="111"/>
      <c r="CQ26055" s="111"/>
      <c r="EF26055"/>
      <c r="EG26055"/>
      <c r="EH26055"/>
      <c r="EI26055"/>
      <c r="EJ26055"/>
      <c r="EK26055"/>
    </row>
    <row r="26056" spans="1:141" s="116" customFormat="1">
      <c r="A26056" s="136"/>
      <c r="CM26056" s="111"/>
      <c r="CQ26056" s="111"/>
      <c r="EF26056"/>
      <c r="EG26056"/>
      <c r="EH26056"/>
      <c r="EI26056"/>
      <c r="EJ26056"/>
      <c r="EK26056"/>
    </row>
    <row r="26057" spans="1:141" s="116" customFormat="1">
      <c r="A26057" s="136"/>
      <c r="CM26057" s="111"/>
      <c r="CQ26057" s="111"/>
      <c r="EF26057"/>
      <c r="EG26057"/>
      <c r="EH26057"/>
      <c r="EI26057"/>
      <c r="EJ26057"/>
      <c r="EK26057"/>
    </row>
    <row r="26058" spans="1:141" s="116" customFormat="1">
      <c r="A26058" s="136"/>
      <c r="CM26058" s="111"/>
      <c r="CQ26058" s="111"/>
      <c r="EF26058"/>
      <c r="EG26058"/>
      <c r="EH26058"/>
      <c r="EI26058"/>
      <c r="EJ26058"/>
      <c r="EK26058"/>
    </row>
    <row r="26059" spans="1:141" s="116" customFormat="1">
      <c r="A26059" s="136"/>
      <c r="CM26059" s="111"/>
      <c r="CQ26059" s="111"/>
      <c r="EF26059"/>
      <c r="EG26059"/>
      <c r="EH26059"/>
      <c r="EI26059"/>
      <c r="EJ26059"/>
      <c r="EK26059"/>
    </row>
    <row r="26060" spans="1:141" s="116" customFormat="1">
      <c r="A26060" s="136"/>
      <c r="CM26060" s="111"/>
      <c r="CQ26060" s="111"/>
      <c r="EF26060"/>
      <c r="EG26060"/>
      <c r="EH26060"/>
      <c r="EI26060"/>
      <c r="EJ26060"/>
      <c r="EK26060"/>
    </row>
    <row r="26061" spans="1:141" s="116" customFormat="1">
      <c r="A26061" s="136"/>
      <c r="CM26061" s="111"/>
      <c r="CQ26061" s="111"/>
      <c r="EF26061"/>
      <c r="EG26061"/>
      <c r="EH26061"/>
      <c r="EI26061"/>
      <c r="EJ26061"/>
      <c r="EK26061"/>
    </row>
    <row r="26062" spans="1:141" s="116" customFormat="1">
      <c r="A26062" s="136"/>
      <c r="CM26062" s="111"/>
      <c r="CQ26062" s="111"/>
      <c r="EF26062"/>
      <c r="EG26062"/>
      <c r="EH26062"/>
      <c r="EI26062"/>
      <c r="EJ26062"/>
      <c r="EK26062"/>
    </row>
    <row r="26063" spans="1:141" s="116" customFormat="1">
      <c r="A26063" s="136"/>
      <c r="CM26063" s="111"/>
      <c r="CQ26063" s="111"/>
      <c r="EF26063"/>
      <c r="EG26063"/>
      <c r="EH26063"/>
      <c r="EI26063"/>
      <c r="EJ26063"/>
      <c r="EK26063"/>
    </row>
    <row r="26064" spans="1:141" s="116" customFormat="1">
      <c r="A26064" s="136"/>
      <c r="CM26064" s="111"/>
      <c r="CQ26064" s="111"/>
      <c r="EF26064"/>
      <c r="EG26064"/>
      <c r="EH26064"/>
      <c r="EI26064"/>
      <c r="EJ26064"/>
      <c r="EK26064"/>
    </row>
    <row r="26065" spans="1:141" s="116" customFormat="1">
      <c r="A26065" s="136"/>
      <c r="CM26065" s="111"/>
      <c r="CQ26065" s="111"/>
      <c r="EF26065"/>
      <c r="EG26065"/>
      <c r="EH26065"/>
      <c r="EI26065"/>
      <c r="EJ26065"/>
      <c r="EK26065"/>
    </row>
    <row r="26066" spans="1:141" s="116" customFormat="1">
      <c r="A26066" s="136"/>
      <c r="CM26066" s="111"/>
      <c r="CQ26066" s="111"/>
      <c r="EF26066"/>
      <c r="EG26066"/>
      <c r="EH26066"/>
      <c r="EI26066"/>
      <c r="EJ26066"/>
      <c r="EK26066"/>
    </row>
    <row r="26067" spans="1:141" s="116" customFormat="1">
      <c r="A26067" s="136"/>
      <c r="CM26067" s="111"/>
      <c r="CQ26067" s="111"/>
      <c r="EF26067"/>
      <c r="EG26067"/>
      <c r="EH26067"/>
      <c r="EI26067"/>
      <c r="EJ26067"/>
      <c r="EK26067"/>
    </row>
    <row r="26068" spans="1:141" s="116" customFormat="1">
      <c r="A26068" s="136"/>
      <c r="CM26068" s="111"/>
      <c r="CQ26068" s="111"/>
      <c r="EF26068"/>
      <c r="EG26068"/>
      <c r="EH26068"/>
      <c r="EI26068"/>
      <c r="EJ26068"/>
      <c r="EK26068"/>
    </row>
    <row r="26069" spans="1:141" s="116" customFormat="1">
      <c r="A26069" s="136"/>
      <c r="CM26069" s="111"/>
      <c r="CQ26069" s="111"/>
      <c r="EF26069"/>
      <c r="EG26069"/>
      <c r="EH26069"/>
      <c r="EI26069"/>
      <c r="EJ26069"/>
      <c r="EK26069"/>
    </row>
    <row r="26070" spans="1:141" s="116" customFormat="1">
      <c r="A26070" s="136"/>
      <c r="CM26070" s="111"/>
      <c r="CQ26070" s="111"/>
      <c r="EF26070"/>
      <c r="EG26070"/>
      <c r="EH26070"/>
      <c r="EI26070"/>
      <c r="EJ26070"/>
      <c r="EK26070"/>
    </row>
    <row r="26071" spans="1:141" s="116" customFormat="1">
      <c r="A26071" s="136"/>
      <c r="CM26071" s="111"/>
      <c r="CQ26071" s="111"/>
      <c r="EF26071"/>
      <c r="EG26071"/>
      <c r="EH26071"/>
      <c r="EI26071"/>
      <c r="EJ26071"/>
      <c r="EK26071"/>
    </row>
    <row r="26072" spans="1:141" s="116" customFormat="1">
      <c r="A26072" s="136"/>
      <c r="CM26072" s="111"/>
      <c r="CQ26072" s="111"/>
      <c r="EF26072"/>
      <c r="EG26072"/>
      <c r="EH26072"/>
      <c r="EI26072"/>
      <c r="EJ26072"/>
      <c r="EK26072"/>
    </row>
    <row r="26073" spans="1:141" s="116" customFormat="1">
      <c r="A26073" s="136"/>
      <c r="CM26073" s="111"/>
      <c r="CQ26073" s="111"/>
      <c r="EF26073"/>
      <c r="EG26073"/>
      <c r="EH26073"/>
      <c r="EI26073"/>
      <c r="EJ26073"/>
      <c r="EK26073"/>
    </row>
    <row r="26074" spans="1:141" s="116" customFormat="1">
      <c r="A26074" s="136"/>
      <c r="CM26074" s="111"/>
      <c r="CQ26074" s="111"/>
      <c r="EF26074"/>
      <c r="EG26074"/>
      <c r="EH26074"/>
      <c r="EI26074"/>
      <c r="EJ26074"/>
      <c r="EK26074"/>
    </row>
    <row r="26075" spans="1:141" s="116" customFormat="1">
      <c r="A26075" s="136"/>
      <c r="CM26075" s="111"/>
      <c r="CQ26075" s="111"/>
      <c r="EF26075"/>
      <c r="EG26075"/>
      <c r="EH26075"/>
      <c r="EI26075"/>
      <c r="EJ26075"/>
      <c r="EK26075"/>
    </row>
    <row r="26076" spans="1:141" s="116" customFormat="1">
      <c r="A26076" s="136"/>
      <c r="CM26076" s="111"/>
      <c r="CQ26076" s="111"/>
      <c r="EF26076"/>
      <c r="EG26076"/>
      <c r="EH26076"/>
      <c r="EI26076"/>
      <c r="EJ26076"/>
      <c r="EK26076"/>
    </row>
    <row r="26077" spans="1:141" s="116" customFormat="1">
      <c r="A26077" s="136"/>
      <c r="CM26077" s="111"/>
      <c r="CQ26077" s="111"/>
      <c r="EF26077"/>
      <c r="EG26077"/>
      <c r="EH26077"/>
      <c r="EI26077"/>
      <c r="EJ26077"/>
      <c r="EK26077"/>
    </row>
    <row r="26078" spans="1:141" s="116" customFormat="1">
      <c r="A26078" s="136"/>
      <c r="CM26078" s="111"/>
      <c r="CQ26078" s="111"/>
      <c r="EF26078"/>
      <c r="EG26078"/>
      <c r="EH26078"/>
      <c r="EI26078"/>
      <c r="EJ26078"/>
      <c r="EK26078"/>
    </row>
    <row r="26079" spans="1:141" s="116" customFormat="1">
      <c r="A26079" s="136"/>
      <c r="CM26079" s="111"/>
      <c r="CQ26079" s="111"/>
      <c r="EF26079"/>
      <c r="EG26079"/>
      <c r="EH26079"/>
      <c r="EI26079"/>
      <c r="EJ26079"/>
      <c r="EK26079"/>
    </row>
    <row r="26080" spans="1:141" s="116" customFormat="1">
      <c r="A26080" s="136"/>
      <c r="CM26080" s="111"/>
      <c r="CQ26080" s="111"/>
      <c r="EF26080"/>
      <c r="EG26080"/>
      <c r="EH26080"/>
      <c r="EI26080"/>
      <c r="EJ26080"/>
      <c r="EK26080"/>
    </row>
    <row r="26081" spans="1:141" s="116" customFormat="1">
      <c r="A26081" s="136"/>
      <c r="CM26081" s="111"/>
      <c r="CQ26081" s="111"/>
      <c r="EF26081"/>
      <c r="EG26081"/>
      <c r="EH26081"/>
      <c r="EI26081"/>
      <c r="EJ26081"/>
      <c r="EK26081"/>
    </row>
    <row r="26082" spans="1:141" s="116" customFormat="1">
      <c r="A26082" s="136"/>
      <c r="CM26082" s="111"/>
      <c r="CQ26082" s="111"/>
      <c r="EF26082"/>
      <c r="EG26082"/>
      <c r="EH26082"/>
      <c r="EI26082"/>
      <c r="EJ26082"/>
      <c r="EK26082"/>
    </row>
    <row r="26083" spans="1:141" s="116" customFormat="1">
      <c r="A26083" s="136"/>
      <c r="CM26083" s="111"/>
      <c r="CQ26083" s="111"/>
      <c r="EF26083"/>
      <c r="EG26083"/>
      <c r="EH26083"/>
      <c r="EI26083"/>
      <c r="EJ26083"/>
      <c r="EK26083"/>
    </row>
    <row r="26084" spans="1:141" s="116" customFormat="1">
      <c r="A26084" s="136"/>
      <c r="CM26084" s="111"/>
      <c r="CQ26084" s="111"/>
      <c r="EF26084"/>
      <c r="EG26084"/>
      <c r="EH26084"/>
      <c r="EI26084"/>
      <c r="EJ26084"/>
      <c r="EK26084"/>
    </row>
    <row r="26085" spans="1:141" s="116" customFormat="1">
      <c r="A26085" s="136"/>
      <c r="CM26085" s="111"/>
      <c r="CQ26085" s="111"/>
      <c r="EF26085"/>
      <c r="EG26085"/>
      <c r="EH26085"/>
      <c r="EI26085"/>
      <c r="EJ26085"/>
      <c r="EK26085"/>
    </row>
    <row r="26086" spans="1:141" s="116" customFormat="1">
      <c r="A26086" s="136"/>
      <c r="CM26086" s="111"/>
      <c r="CQ26086" s="111"/>
      <c r="EF26086"/>
      <c r="EG26086"/>
      <c r="EH26086"/>
      <c r="EI26086"/>
      <c r="EJ26086"/>
      <c r="EK26086"/>
    </row>
    <row r="26087" spans="1:141" s="116" customFormat="1">
      <c r="A26087" s="136"/>
      <c r="CM26087" s="111"/>
      <c r="CQ26087" s="111"/>
      <c r="EF26087"/>
      <c r="EG26087"/>
      <c r="EH26087"/>
      <c r="EI26087"/>
      <c r="EJ26087"/>
      <c r="EK26087"/>
    </row>
    <row r="26088" spans="1:141" s="116" customFormat="1">
      <c r="A26088" s="136"/>
      <c r="CM26088" s="111"/>
      <c r="CQ26088" s="111"/>
      <c r="EF26088"/>
      <c r="EG26088"/>
      <c r="EH26088"/>
      <c r="EI26088"/>
      <c r="EJ26088"/>
      <c r="EK26088"/>
    </row>
    <row r="26089" spans="1:141" s="116" customFormat="1">
      <c r="A26089" s="136"/>
      <c r="CM26089" s="111"/>
      <c r="CQ26089" s="111"/>
      <c r="EF26089"/>
      <c r="EG26089"/>
      <c r="EH26089"/>
      <c r="EI26089"/>
      <c r="EJ26089"/>
      <c r="EK26089"/>
    </row>
    <row r="26090" spans="1:141" s="116" customFormat="1">
      <c r="A26090" s="136"/>
      <c r="CM26090" s="111"/>
      <c r="CQ26090" s="111"/>
      <c r="EF26090"/>
      <c r="EG26090"/>
      <c r="EH26090"/>
      <c r="EI26090"/>
      <c r="EJ26090"/>
      <c r="EK26090"/>
    </row>
    <row r="26091" spans="1:141" s="116" customFormat="1">
      <c r="A26091" s="136"/>
      <c r="CM26091" s="111"/>
      <c r="CQ26091" s="111"/>
      <c r="EF26091"/>
      <c r="EG26091"/>
      <c r="EH26091"/>
      <c r="EI26091"/>
      <c r="EJ26091"/>
      <c r="EK26091"/>
    </row>
    <row r="26092" spans="1:141" s="116" customFormat="1">
      <c r="A26092" s="136"/>
      <c r="CM26092" s="111"/>
      <c r="CQ26092" s="111"/>
      <c r="EF26092"/>
      <c r="EG26092"/>
      <c r="EH26092"/>
      <c r="EI26092"/>
      <c r="EJ26092"/>
      <c r="EK26092"/>
    </row>
    <row r="26093" spans="1:141" s="116" customFormat="1">
      <c r="A26093" s="136"/>
      <c r="CM26093" s="111"/>
      <c r="CQ26093" s="111"/>
      <c r="EF26093"/>
      <c r="EG26093"/>
      <c r="EH26093"/>
      <c r="EI26093"/>
      <c r="EJ26093"/>
      <c r="EK26093"/>
    </row>
    <row r="26094" spans="1:141" s="116" customFormat="1">
      <c r="A26094" s="136"/>
      <c r="CM26094" s="111"/>
      <c r="CQ26094" s="111"/>
      <c r="EF26094"/>
      <c r="EG26094"/>
      <c r="EH26094"/>
      <c r="EI26094"/>
      <c r="EJ26094"/>
      <c r="EK26094"/>
    </row>
    <row r="26095" spans="1:141" s="116" customFormat="1">
      <c r="A26095" s="136"/>
      <c r="CM26095" s="111"/>
      <c r="CQ26095" s="111"/>
      <c r="EF26095"/>
      <c r="EG26095"/>
      <c r="EH26095"/>
      <c r="EI26095"/>
      <c r="EJ26095"/>
      <c r="EK26095"/>
    </row>
    <row r="26096" spans="1:141" s="116" customFormat="1">
      <c r="A26096" s="136"/>
      <c r="CM26096" s="111"/>
      <c r="CQ26096" s="111"/>
      <c r="EF26096"/>
      <c r="EG26096"/>
      <c r="EH26096"/>
      <c r="EI26096"/>
      <c r="EJ26096"/>
      <c r="EK26096"/>
    </row>
    <row r="26097" spans="1:141" s="116" customFormat="1">
      <c r="A26097" s="136"/>
      <c r="CM26097" s="111"/>
      <c r="CQ26097" s="111"/>
      <c r="EF26097"/>
      <c r="EG26097"/>
      <c r="EH26097"/>
      <c r="EI26097"/>
      <c r="EJ26097"/>
      <c r="EK26097"/>
    </row>
    <row r="26098" spans="1:141" s="116" customFormat="1">
      <c r="A26098" s="136"/>
      <c r="CM26098" s="111"/>
      <c r="CQ26098" s="111"/>
      <c r="EF26098"/>
      <c r="EG26098"/>
      <c r="EH26098"/>
      <c r="EI26098"/>
      <c r="EJ26098"/>
      <c r="EK26098"/>
    </row>
    <row r="26099" spans="1:141" s="116" customFormat="1">
      <c r="A26099" s="136"/>
      <c r="CM26099" s="111"/>
      <c r="CQ26099" s="111"/>
      <c r="EF26099"/>
      <c r="EG26099"/>
      <c r="EH26099"/>
      <c r="EI26099"/>
      <c r="EJ26099"/>
      <c r="EK26099"/>
    </row>
    <row r="26100" spans="1:141" s="116" customFormat="1">
      <c r="A26100" s="136"/>
      <c r="CM26100" s="111"/>
      <c r="CQ26100" s="111"/>
      <c r="EF26100"/>
      <c r="EG26100"/>
      <c r="EH26100"/>
      <c r="EI26100"/>
      <c r="EJ26100"/>
      <c r="EK26100"/>
    </row>
    <row r="26101" spans="1:141" s="116" customFormat="1">
      <c r="A26101" s="136"/>
      <c r="CM26101" s="111"/>
      <c r="CQ26101" s="111"/>
      <c r="EF26101"/>
      <c r="EG26101"/>
      <c r="EH26101"/>
      <c r="EI26101"/>
      <c r="EJ26101"/>
      <c r="EK26101"/>
    </row>
    <row r="26102" spans="1:141" s="116" customFormat="1">
      <c r="A26102" s="136"/>
      <c r="CM26102" s="111"/>
      <c r="CQ26102" s="111"/>
      <c r="EF26102"/>
      <c r="EG26102"/>
      <c r="EH26102"/>
      <c r="EI26102"/>
      <c r="EJ26102"/>
      <c r="EK26102"/>
    </row>
    <row r="26103" spans="1:141" s="116" customFormat="1">
      <c r="A26103" s="136"/>
      <c r="CM26103" s="111"/>
      <c r="CQ26103" s="111"/>
      <c r="EF26103"/>
      <c r="EG26103"/>
      <c r="EH26103"/>
      <c r="EI26103"/>
      <c r="EJ26103"/>
      <c r="EK26103"/>
    </row>
    <row r="26104" spans="1:141" s="116" customFormat="1">
      <c r="A26104" s="136"/>
      <c r="CM26104" s="111"/>
      <c r="CQ26104" s="111"/>
      <c r="EF26104"/>
      <c r="EG26104"/>
      <c r="EH26104"/>
      <c r="EI26104"/>
      <c r="EJ26104"/>
      <c r="EK26104"/>
    </row>
    <row r="26105" spans="1:141" s="116" customFormat="1">
      <c r="A26105" s="136"/>
      <c r="CM26105" s="111"/>
      <c r="CQ26105" s="111"/>
      <c r="EF26105"/>
      <c r="EG26105"/>
      <c r="EH26105"/>
      <c r="EI26105"/>
      <c r="EJ26105"/>
      <c r="EK26105"/>
    </row>
    <row r="26106" spans="1:141" s="116" customFormat="1">
      <c r="A26106" s="136"/>
      <c r="CM26106" s="111"/>
      <c r="CQ26106" s="111"/>
      <c r="EF26106"/>
      <c r="EG26106"/>
      <c r="EH26106"/>
      <c r="EI26106"/>
      <c r="EJ26106"/>
      <c r="EK26106"/>
    </row>
    <row r="26107" spans="1:141" s="116" customFormat="1">
      <c r="A26107" s="136"/>
      <c r="CM26107" s="111"/>
      <c r="CQ26107" s="111"/>
      <c r="EF26107"/>
      <c r="EG26107"/>
      <c r="EH26107"/>
      <c r="EI26107"/>
      <c r="EJ26107"/>
      <c r="EK26107"/>
    </row>
    <row r="26108" spans="1:141" s="116" customFormat="1">
      <c r="A26108" s="136"/>
      <c r="CM26108" s="111"/>
      <c r="CQ26108" s="111"/>
      <c r="EF26108"/>
      <c r="EG26108"/>
      <c r="EH26108"/>
      <c r="EI26108"/>
      <c r="EJ26108"/>
      <c r="EK26108"/>
    </row>
    <row r="26109" spans="1:141" s="116" customFormat="1">
      <c r="A26109" s="136"/>
      <c r="CM26109" s="111"/>
      <c r="CQ26109" s="111"/>
      <c r="EF26109"/>
      <c r="EG26109"/>
      <c r="EH26109"/>
      <c r="EI26109"/>
      <c r="EJ26109"/>
      <c r="EK26109"/>
    </row>
    <row r="26110" spans="1:141" s="116" customFormat="1">
      <c r="A26110" s="136"/>
      <c r="CM26110" s="111"/>
      <c r="CQ26110" s="111"/>
      <c r="EF26110"/>
      <c r="EG26110"/>
      <c r="EH26110"/>
      <c r="EI26110"/>
      <c r="EJ26110"/>
      <c r="EK26110"/>
    </row>
    <row r="26111" spans="1:141" s="116" customFormat="1">
      <c r="A26111" s="136"/>
      <c r="CM26111" s="111"/>
      <c r="CQ26111" s="111"/>
      <c r="EF26111"/>
      <c r="EG26111"/>
      <c r="EH26111"/>
      <c r="EI26111"/>
      <c r="EJ26111"/>
      <c r="EK26111"/>
    </row>
    <row r="26112" spans="1:141" s="116" customFormat="1">
      <c r="A26112" s="136"/>
      <c r="CM26112" s="111"/>
      <c r="CQ26112" s="111"/>
      <c r="EF26112"/>
      <c r="EG26112"/>
      <c r="EH26112"/>
      <c r="EI26112"/>
      <c r="EJ26112"/>
      <c r="EK26112"/>
    </row>
    <row r="26113" spans="1:141" s="116" customFormat="1">
      <c r="A26113" s="136"/>
      <c r="CM26113" s="111"/>
      <c r="CQ26113" s="111"/>
      <c r="EF26113"/>
      <c r="EG26113"/>
      <c r="EH26113"/>
      <c r="EI26113"/>
      <c r="EJ26113"/>
      <c r="EK26113"/>
    </row>
    <row r="26114" spans="1:141" s="116" customFormat="1">
      <c r="A26114" s="136"/>
      <c r="CM26114" s="111"/>
      <c r="CQ26114" s="111"/>
      <c r="EF26114"/>
      <c r="EG26114"/>
      <c r="EH26114"/>
      <c r="EI26114"/>
      <c r="EJ26114"/>
      <c r="EK26114"/>
    </row>
    <row r="26115" spans="1:141" s="116" customFormat="1">
      <c r="A26115" s="136"/>
      <c r="CM26115" s="111"/>
      <c r="CQ26115" s="111"/>
      <c r="EF26115"/>
      <c r="EG26115"/>
      <c r="EH26115"/>
      <c r="EI26115"/>
      <c r="EJ26115"/>
      <c r="EK26115"/>
    </row>
    <row r="26116" spans="1:141" s="116" customFormat="1">
      <c r="A26116" s="136"/>
      <c r="CM26116" s="111"/>
      <c r="CQ26116" s="111"/>
      <c r="EF26116"/>
      <c r="EG26116"/>
      <c r="EH26116"/>
      <c r="EI26116"/>
      <c r="EJ26116"/>
      <c r="EK26116"/>
    </row>
    <row r="26117" spans="1:141" s="116" customFormat="1">
      <c r="A26117" s="136"/>
      <c r="CM26117" s="111"/>
      <c r="CQ26117" s="111"/>
      <c r="EF26117"/>
      <c r="EG26117"/>
      <c r="EH26117"/>
      <c r="EI26117"/>
      <c r="EJ26117"/>
      <c r="EK26117"/>
    </row>
    <row r="26118" spans="1:141" s="116" customFormat="1">
      <c r="A26118" s="136"/>
      <c r="CM26118" s="111"/>
      <c r="CQ26118" s="111"/>
      <c r="EF26118"/>
      <c r="EG26118"/>
      <c r="EH26118"/>
      <c r="EI26118"/>
      <c r="EJ26118"/>
      <c r="EK26118"/>
    </row>
    <row r="26119" spans="1:141" s="116" customFormat="1">
      <c r="A26119" s="136"/>
      <c r="CM26119" s="111"/>
      <c r="CQ26119" s="111"/>
      <c r="EF26119"/>
      <c r="EG26119"/>
      <c r="EH26119"/>
      <c r="EI26119"/>
      <c r="EJ26119"/>
      <c r="EK26119"/>
    </row>
    <row r="26120" spans="1:141" s="116" customFormat="1">
      <c r="A26120" s="136"/>
      <c r="CM26120" s="111"/>
      <c r="CQ26120" s="111"/>
      <c r="EF26120"/>
      <c r="EG26120"/>
      <c r="EH26120"/>
      <c r="EI26120"/>
      <c r="EJ26120"/>
      <c r="EK26120"/>
    </row>
    <row r="26121" spans="1:141" s="116" customFormat="1">
      <c r="A26121" s="136"/>
      <c r="CM26121" s="111"/>
      <c r="CQ26121" s="111"/>
      <c r="EF26121"/>
      <c r="EG26121"/>
      <c r="EH26121"/>
      <c r="EI26121"/>
      <c r="EJ26121"/>
      <c r="EK26121"/>
    </row>
    <row r="26122" spans="1:141" s="116" customFormat="1">
      <c r="A26122" s="136"/>
      <c r="CM26122" s="111"/>
      <c r="CQ26122" s="111"/>
      <c r="EF26122"/>
      <c r="EG26122"/>
      <c r="EH26122"/>
      <c r="EI26122"/>
      <c r="EJ26122"/>
      <c r="EK26122"/>
    </row>
    <row r="26123" spans="1:141" s="116" customFormat="1">
      <c r="A26123" s="136"/>
      <c r="CM26123" s="111"/>
      <c r="CQ26123" s="111"/>
      <c r="EF26123"/>
      <c r="EG26123"/>
      <c r="EH26123"/>
      <c r="EI26123"/>
      <c r="EJ26123"/>
      <c r="EK26123"/>
    </row>
    <row r="26124" spans="1:141" s="116" customFormat="1">
      <c r="A26124" s="136"/>
      <c r="CM26124" s="111"/>
      <c r="CQ26124" s="111"/>
      <c r="EF26124"/>
      <c r="EG26124"/>
      <c r="EH26124"/>
      <c r="EI26124"/>
      <c r="EJ26124"/>
      <c r="EK26124"/>
    </row>
    <row r="26125" spans="1:141" s="116" customFormat="1">
      <c r="A26125" s="136"/>
      <c r="CM26125" s="111"/>
      <c r="CQ26125" s="111"/>
      <c r="EF26125"/>
      <c r="EG26125"/>
      <c r="EH26125"/>
      <c r="EI26125"/>
      <c r="EJ26125"/>
      <c r="EK26125"/>
    </row>
    <row r="26126" spans="1:141" s="116" customFormat="1">
      <c r="A26126" s="136"/>
      <c r="CM26126" s="111"/>
      <c r="CQ26126" s="111"/>
      <c r="EF26126"/>
      <c r="EG26126"/>
      <c r="EH26126"/>
      <c r="EI26126"/>
      <c r="EJ26126"/>
      <c r="EK26126"/>
    </row>
    <row r="26127" spans="1:141" s="116" customFormat="1">
      <c r="A26127" s="136"/>
      <c r="CM26127" s="111"/>
      <c r="CQ26127" s="111"/>
      <c r="EF26127"/>
      <c r="EG26127"/>
      <c r="EH26127"/>
      <c r="EI26127"/>
      <c r="EJ26127"/>
      <c r="EK26127"/>
    </row>
    <row r="26128" spans="1:141" s="116" customFormat="1">
      <c r="A26128" s="136"/>
      <c r="CM26128" s="111"/>
      <c r="CQ26128" s="111"/>
      <c r="EF26128"/>
      <c r="EG26128"/>
      <c r="EH26128"/>
      <c r="EI26128"/>
      <c r="EJ26128"/>
      <c r="EK26128"/>
    </row>
    <row r="26129" spans="1:141" s="116" customFormat="1">
      <c r="A26129" s="136"/>
      <c r="CM26129" s="111"/>
      <c r="CQ26129" s="111"/>
      <c r="EF26129"/>
      <c r="EG26129"/>
      <c r="EH26129"/>
      <c r="EI26129"/>
      <c r="EJ26129"/>
      <c r="EK26129"/>
    </row>
    <row r="26130" spans="1:141" s="116" customFormat="1">
      <c r="A26130" s="136"/>
      <c r="CM26130" s="111"/>
      <c r="CQ26130" s="111"/>
      <c r="EF26130"/>
      <c r="EG26130"/>
      <c r="EH26130"/>
      <c r="EI26130"/>
      <c r="EJ26130"/>
      <c r="EK26130"/>
    </row>
    <row r="26131" spans="1:141" s="116" customFormat="1">
      <c r="A26131" s="136"/>
      <c r="CM26131" s="111"/>
      <c r="CQ26131" s="111"/>
      <c r="EF26131"/>
      <c r="EG26131"/>
      <c r="EH26131"/>
      <c r="EI26131"/>
      <c r="EJ26131"/>
      <c r="EK26131"/>
    </row>
    <row r="26132" spans="1:141" s="116" customFormat="1">
      <c r="A26132" s="136"/>
      <c r="CM26132" s="111"/>
      <c r="CQ26132" s="111"/>
      <c r="EF26132"/>
      <c r="EG26132"/>
      <c r="EH26132"/>
      <c r="EI26132"/>
      <c r="EJ26132"/>
      <c r="EK26132"/>
    </row>
    <row r="26133" spans="1:141" s="116" customFormat="1">
      <c r="A26133" s="136"/>
      <c r="CM26133" s="111"/>
      <c r="CQ26133" s="111"/>
      <c r="EF26133"/>
      <c r="EG26133"/>
      <c r="EH26133"/>
      <c r="EI26133"/>
      <c r="EJ26133"/>
      <c r="EK26133"/>
    </row>
    <row r="26134" spans="1:141" s="116" customFormat="1">
      <c r="A26134" s="136"/>
      <c r="CM26134" s="111"/>
      <c r="CQ26134" s="111"/>
      <c r="EF26134"/>
      <c r="EG26134"/>
      <c r="EH26134"/>
      <c r="EI26134"/>
      <c r="EJ26134"/>
      <c r="EK26134"/>
    </row>
    <row r="26135" spans="1:141" s="116" customFormat="1">
      <c r="A26135" s="136"/>
      <c r="CM26135" s="111"/>
      <c r="CQ26135" s="111"/>
      <c r="EF26135"/>
      <c r="EG26135"/>
      <c r="EH26135"/>
      <c r="EI26135"/>
      <c r="EJ26135"/>
      <c r="EK26135"/>
    </row>
    <row r="26136" spans="1:141" s="116" customFormat="1">
      <c r="A26136" s="136"/>
      <c r="CM26136" s="111"/>
      <c r="CQ26136" s="111"/>
      <c r="EF26136"/>
      <c r="EG26136"/>
      <c r="EH26136"/>
      <c r="EI26136"/>
      <c r="EJ26136"/>
      <c r="EK26136"/>
    </row>
    <row r="26137" spans="1:141" s="116" customFormat="1">
      <c r="A26137" s="136"/>
      <c r="CM26137" s="111"/>
      <c r="CQ26137" s="111"/>
      <c r="EF26137"/>
      <c r="EG26137"/>
      <c r="EH26137"/>
      <c r="EI26137"/>
      <c r="EJ26137"/>
      <c r="EK26137"/>
    </row>
    <row r="26138" spans="1:141" s="116" customFormat="1">
      <c r="A26138" s="136"/>
      <c r="CM26138" s="111"/>
      <c r="CQ26138" s="111"/>
      <c r="EF26138"/>
      <c r="EG26138"/>
      <c r="EH26138"/>
      <c r="EI26138"/>
      <c r="EJ26138"/>
      <c r="EK26138"/>
    </row>
    <row r="26139" spans="1:141" s="116" customFormat="1">
      <c r="A26139" s="136"/>
      <c r="CM26139" s="111"/>
      <c r="CQ26139" s="111"/>
      <c r="EF26139"/>
      <c r="EG26139"/>
      <c r="EH26139"/>
      <c r="EI26139"/>
      <c r="EJ26139"/>
      <c r="EK26139"/>
    </row>
    <row r="26140" spans="1:141" s="116" customFormat="1">
      <c r="A26140" s="136"/>
      <c r="CM26140" s="111"/>
      <c r="CQ26140" s="111"/>
      <c r="EF26140"/>
      <c r="EG26140"/>
      <c r="EH26140"/>
      <c r="EI26140"/>
      <c r="EJ26140"/>
      <c r="EK26140"/>
    </row>
    <row r="26141" spans="1:141" s="116" customFormat="1">
      <c r="A26141" s="136"/>
      <c r="CM26141" s="111"/>
      <c r="CQ26141" s="111"/>
      <c r="EF26141"/>
      <c r="EG26141"/>
      <c r="EH26141"/>
      <c r="EI26141"/>
      <c r="EJ26141"/>
      <c r="EK26141"/>
    </row>
    <row r="26142" spans="1:141" s="116" customFormat="1">
      <c r="A26142" s="136"/>
      <c r="CM26142" s="111"/>
      <c r="CQ26142" s="111"/>
      <c r="EF26142"/>
      <c r="EG26142"/>
      <c r="EH26142"/>
      <c r="EI26142"/>
      <c r="EJ26142"/>
      <c r="EK26142"/>
    </row>
    <row r="26143" spans="1:141" s="116" customFormat="1">
      <c r="A26143" s="136"/>
      <c r="CM26143" s="111"/>
      <c r="CQ26143" s="111"/>
      <c r="EF26143"/>
      <c r="EG26143"/>
      <c r="EH26143"/>
      <c r="EI26143"/>
      <c r="EJ26143"/>
      <c r="EK26143"/>
    </row>
    <row r="26144" spans="1:141" s="116" customFormat="1">
      <c r="A26144" s="136"/>
      <c r="CM26144" s="111"/>
      <c r="CQ26144" s="111"/>
      <c r="EF26144"/>
      <c r="EG26144"/>
      <c r="EH26144"/>
      <c r="EI26144"/>
      <c r="EJ26144"/>
      <c r="EK26144"/>
    </row>
    <row r="26145" spans="1:141" s="116" customFormat="1">
      <c r="A26145" s="136"/>
      <c r="CM26145" s="111"/>
      <c r="CQ26145" s="111"/>
      <c r="EF26145"/>
      <c r="EG26145"/>
      <c r="EH26145"/>
      <c r="EI26145"/>
      <c r="EJ26145"/>
      <c r="EK26145"/>
    </row>
    <row r="26146" spans="1:141" s="116" customFormat="1">
      <c r="A26146" s="136"/>
      <c r="CM26146" s="111"/>
      <c r="CQ26146" s="111"/>
      <c r="EF26146"/>
      <c r="EG26146"/>
      <c r="EH26146"/>
      <c r="EI26146"/>
      <c r="EJ26146"/>
      <c r="EK26146"/>
    </row>
    <row r="26147" spans="1:141" s="116" customFormat="1">
      <c r="A26147" s="136"/>
      <c r="CM26147" s="111"/>
      <c r="CQ26147" s="111"/>
      <c r="EF26147"/>
      <c r="EG26147"/>
      <c r="EH26147"/>
      <c r="EI26147"/>
      <c r="EJ26147"/>
      <c r="EK26147"/>
    </row>
    <row r="26148" spans="1:141" s="116" customFormat="1">
      <c r="A26148" s="136"/>
      <c r="CM26148" s="111"/>
      <c r="CQ26148" s="111"/>
      <c r="EF26148"/>
      <c r="EG26148"/>
      <c r="EH26148"/>
      <c r="EI26148"/>
      <c r="EJ26148"/>
      <c r="EK26148"/>
    </row>
    <row r="26149" spans="1:141" s="116" customFormat="1">
      <c r="A26149" s="136"/>
      <c r="CM26149" s="111"/>
      <c r="CQ26149" s="111"/>
      <c r="EF26149"/>
      <c r="EG26149"/>
      <c r="EH26149"/>
      <c r="EI26149"/>
      <c r="EJ26149"/>
      <c r="EK26149"/>
    </row>
    <row r="26150" spans="1:141" s="116" customFormat="1">
      <c r="A26150" s="136"/>
      <c r="CM26150" s="111"/>
      <c r="CQ26150" s="111"/>
      <c r="EF26150"/>
      <c r="EG26150"/>
      <c r="EH26150"/>
      <c r="EI26150"/>
      <c r="EJ26150"/>
      <c r="EK26150"/>
    </row>
    <row r="26151" spans="1:141" s="116" customFormat="1">
      <c r="A26151" s="136"/>
      <c r="CM26151" s="111"/>
      <c r="CQ26151" s="111"/>
      <c r="EF26151"/>
      <c r="EG26151"/>
      <c r="EH26151"/>
      <c r="EI26151"/>
      <c r="EJ26151"/>
      <c r="EK26151"/>
    </row>
    <row r="26152" spans="1:141" s="116" customFormat="1">
      <c r="A26152" s="136"/>
      <c r="CM26152" s="111"/>
      <c r="CQ26152" s="111"/>
      <c r="EF26152"/>
      <c r="EG26152"/>
      <c r="EH26152"/>
      <c r="EI26152"/>
      <c r="EJ26152"/>
      <c r="EK26152"/>
    </row>
    <row r="26153" spans="1:141" s="116" customFormat="1">
      <c r="A26153" s="136"/>
      <c r="CM26153" s="111"/>
      <c r="CQ26153" s="111"/>
      <c r="EF26153"/>
      <c r="EG26153"/>
      <c r="EH26153"/>
      <c r="EI26153"/>
      <c r="EJ26153"/>
      <c r="EK26153"/>
    </row>
    <row r="26154" spans="1:141" s="116" customFormat="1">
      <c r="A26154" s="136"/>
      <c r="CM26154" s="111"/>
      <c r="CQ26154" s="111"/>
      <c r="EF26154"/>
      <c r="EG26154"/>
      <c r="EH26154"/>
      <c r="EI26154"/>
      <c r="EJ26154"/>
      <c r="EK26154"/>
    </row>
    <row r="26155" spans="1:141" s="116" customFormat="1">
      <c r="A26155" s="136"/>
      <c r="CM26155" s="111"/>
      <c r="CQ26155" s="111"/>
      <c r="EF26155"/>
      <c r="EG26155"/>
      <c r="EH26155"/>
      <c r="EI26155"/>
      <c r="EJ26155"/>
      <c r="EK26155"/>
    </row>
    <row r="26156" spans="1:141" s="116" customFormat="1">
      <c r="A26156" s="136"/>
      <c r="CM26156" s="111"/>
      <c r="CQ26156" s="111"/>
      <c r="EF26156"/>
      <c r="EG26156"/>
      <c r="EH26156"/>
      <c r="EI26156"/>
      <c r="EJ26156"/>
      <c r="EK26156"/>
    </row>
    <row r="26157" spans="1:141" s="116" customFormat="1">
      <c r="A26157" s="136"/>
      <c r="CM26157" s="111"/>
      <c r="CQ26157" s="111"/>
      <c r="EF26157"/>
      <c r="EG26157"/>
      <c r="EH26157"/>
      <c r="EI26157"/>
      <c r="EJ26157"/>
      <c r="EK26157"/>
    </row>
    <row r="26158" spans="1:141" s="116" customFormat="1">
      <c r="A26158" s="136"/>
      <c r="CM26158" s="111"/>
      <c r="CQ26158" s="111"/>
      <c r="EF26158"/>
      <c r="EG26158"/>
      <c r="EH26158"/>
      <c r="EI26158"/>
      <c r="EJ26158"/>
      <c r="EK26158"/>
    </row>
    <row r="26159" spans="1:141" s="116" customFormat="1">
      <c r="A26159" s="136"/>
      <c r="CM26159" s="111"/>
      <c r="CQ26159" s="111"/>
      <c r="EF26159"/>
      <c r="EG26159"/>
      <c r="EH26159"/>
      <c r="EI26159"/>
      <c r="EJ26159"/>
      <c r="EK26159"/>
    </row>
    <row r="26160" spans="1:141" s="116" customFormat="1">
      <c r="A26160" s="136"/>
      <c r="CM26160" s="111"/>
      <c r="CQ26160" s="111"/>
      <c r="EF26160"/>
      <c r="EG26160"/>
      <c r="EH26160"/>
      <c r="EI26160"/>
      <c r="EJ26160"/>
      <c r="EK26160"/>
    </row>
    <row r="26161" spans="1:141" s="116" customFormat="1">
      <c r="A26161" s="136"/>
      <c r="CM26161" s="111"/>
      <c r="CQ26161" s="111"/>
      <c r="EF26161"/>
      <c r="EG26161"/>
      <c r="EH26161"/>
      <c r="EI26161"/>
      <c r="EJ26161"/>
      <c r="EK26161"/>
    </row>
    <row r="26162" spans="1:141" s="116" customFormat="1">
      <c r="A26162" s="136"/>
      <c r="CM26162" s="111"/>
      <c r="CQ26162" s="111"/>
      <c r="EF26162"/>
      <c r="EG26162"/>
      <c r="EH26162"/>
      <c r="EI26162"/>
      <c r="EJ26162"/>
      <c r="EK26162"/>
    </row>
    <row r="26163" spans="1:141" s="116" customFormat="1">
      <c r="A26163" s="136"/>
      <c r="CM26163" s="111"/>
      <c r="CQ26163" s="111"/>
      <c r="EF26163"/>
      <c r="EG26163"/>
      <c r="EH26163"/>
      <c r="EI26163"/>
      <c r="EJ26163"/>
      <c r="EK26163"/>
    </row>
    <row r="26164" spans="1:141" s="116" customFormat="1">
      <c r="A26164" s="136"/>
      <c r="CM26164" s="111"/>
      <c r="CQ26164" s="111"/>
      <c r="EF26164"/>
      <c r="EG26164"/>
      <c r="EH26164"/>
      <c r="EI26164"/>
      <c r="EJ26164"/>
      <c r="EK26164"/>
    </row>
    <row r="26165" spans="1:141" s="116" customFormat="1">
      <c r="A26165" s="136"/>
      <c r="CM26165" s="111"/>
      <c r="CQ26165" s="111"/>
      <c r="EF26165"/>
      <c r="EG26165"/>
      <c r="EH26165"/>
      <c r="EI26165"/>
      <c r="EJ26165"/>
      <c r="EK26165"/>
    </row>
    <row r="26166" spans="1:141" s="116" customFormat="1">
      <c r="A26166" s="136"/>
      <c r="CM26166" s="111"/>
      <c r="CQ26166" s="111"/>
      <c r="EF26166"/>
      <c r="EG26166"/>
      <c r="EH26166"/>
      <c r="EI26166"/>
      <c r="EJ26166"/>
      <c r="EK26166"/>
    </row>
    <row r="26167" spans="1:141" s="116" customFormat="1">
      <c r="A26167" s="136"/>
      <c r="CM26167" s="111"/>
      <c r="CQ26167" s="111"/>
      <c r="EF26167"/>
      <c r="EG26167"/>
      <c r="EH26167"/>
      <c r="EI26167"/>
      <c r="EJ26167"/>
      <c r="EK26167"/>
    </row>
    <row r="26168" spans="1:141" s="116" customFormat="1">
      <c r="A26168" s="136"/>
      <c r="CM26168" s="111"/>
      <c r="CQ26168" s="111"/>
      <c r="EF26168"/>
      <c r="EG26168"/>
      <c r="EH26168"/>
      <c r="EI26168"/>
      <c r="EJ26168"/>
      <c r="EK26168"/>
    </row>
    <row r="26169" spans="1:141" s="116" customFormat="1">
      <c r="A26169" s="136"/>
      <c r="CM26169" s="111"/>
      <c r="CQ26169" s="111"/>
      <c r="EF26169"/>
      <c r="EG26169"/>
      <c r="EH26169"/>
      <c r="EI26169"/>
      <c r="EJ26169"/>
      <c r="EK26169"/>
    </row>
    <row r="26170" spans="1:141" s="116" customFormat="1">
      <c r="A26170" s="136"/>
      <c r="CM26170" s="111"/>
      <c r="CQ26170" s="111"/>
      <c r="EF26170"/>
      <c r="EG26170"/>
      <c r="EH26170"/>
      <c r="EI26170"/>
      <c r="EJ26170"/>
      <c r="EK26170"/>
    </row>
    <row r="26171" spans="1:141" s="116" customFormat="1">
      <c r="A26171" s="136"/>
      <c r="CM26171" s="111"/>
      <c r="CQ26171" s="111"/>
      <c r="EF26171"/>
      <c r="EG26171"/>
      <c r="EH26171"/>
      <c r="EI26171"/>
      <c r="EJ26171"/>
      <c r="EK26171"/>
    </row>
    <row r="26172" spans="1:141" s="116" customFormat="1">
      <c r="A26172" s="136"/>
      <c r="CM26172" s="111"/>
      <c r="CQ26172" s="111"/>
      <c r="EF26172"/>
      <c r="EG26172"/>
      <c r="EH26172"/>
      <c r="EI26172"/>
      <c r="EJ26172"/>
      <c r="EK26172"/>
    </row>
    <row r="26173" spans="1:141" s="116" customFormat="1">
      <c r="A26173" s="136"/>
      <c r="CM26173" s="111"/>
      <c r="CQ26173" s="111"/>
      <c r="EF26173"/>
      <c r="EG26173"/>
      <c r="EH26173"/>
      <c r="EI26173"/>
      <c r="EJ26173"/>
      <c r="EK26173"/>
    </row>
    <row r="26174" spans="1:141" s="116" customFormat="1">
      <c r="A26174" s="136"/>
      <c r="CM26174" s="111"/>
      <c r="CQ26174" s="111"/>
      <c r="EF26174"/>
      <c r="EG26174"/>
      <c r="EH26174"/>
      <c r="EI26174"/>
      <c r="EJ26174"/>
      <c r="EK26174"/>
    </row>
    <row r="26175" spans="1:141" s="116" customFormat="1">
      <c r="A26175" s="136"/>
      <c r="CM26175" s="111"/>
      <c r="CQ26175" s="111"/>
      <c r="EF26175"/>
      <c r="EG26175"/>
      <c r="EH26175"/>
      <c r="EI26175"/>
      <c r="EJ26175"/>
      <c r="EK26175"/>
    </row>
    <row r="26176" spans="1:141" s="116" customFormat="1">
      <c r="A26176" s="136"/>
      <c r="CM26176" s="111"/>
      <c r="CQ26176" s="111"/>
      <c r="EF26176"/>
      <c r="EG26176"/>
      <c r="EH26176"/>
      <c r="EI26176"/>
      <c r="EJ26176"/>
      <c r="EK26176"/>
    </row>
    <row r="26177" spans="1:141" s="116" customFormat="1">
      <c r="A26177" s="136"/>
      <c r="CM26177" s="111"/>
      <c r="CQ26177" s="111"/>
      <c r="EF26177"/>
      <c r="EG26177"/>
      <c r="EH26177"/>
      <c r="EI26177"/>
      <c r="EJ26177"/>
      <c r="EK26177"/>
    </row>
    <row r="26178" spans="1:141" s="116" customFormat="1">
      <c r="A26178" s="136"/>
      <c r="CM26178" s="111"/>
      <c r="CQ26178" s="111"/>
      <c r="EF26178"/>
      <c r="EG26178"/>
      <c r="EH26178"/>
      <c r="EI26178"/>
      <c r="EJ26178"/>
      <c r="EK26178"/>
    </row>
    <row r="26179" spans="1:141" s="116" customFormat="1">
      <c r="A26179" s="136"/>
      <c r="CM26179" s="111"/>
      <c r="CQ26179" s="111"/>
      <c r="EF26179"/>
      <c r="EG26179"/>
      <c r="EH26179"/>
      <c r="EI26179"/>
      <c r="EJ26179"/>
      <c r="EK26179"/>
    </row>
    <row r="26180" spans="1:141" s="116" customFormat="1">
      <c r="A26180" s="136"/>
      <c r="CM26180" s="111"/>
      <c r="CQ26180" s="111"/>
      <c r="EF26180"/>
      <c r="EG26180"/>
      <c r="EH26180"/>
      <c r="EI26180"/>
      <c r="EJ26180"/>
      <c r="EK26180"/>
    </row>
    <row r="26181" spans="1:141" s="116" customFormat="1">
      <c r="A26181" s="136"/>
      <c r="CM26181" s="111"/>
      <c r="CQ26181" s="111"/>
      <c r="EF26181"/>
      <c r="EG26181"/>
      <c r="EH26181"/>
      <c r="EI26181"/>
      <c r="EJ26181"/>
      <c r="EK26181"/>
    </row>
    <row r="26182" spans="1:141" s="116" customFormat="1">
      <c r="A26182" s="136"/>
      <c r="CM26182" s="111"/>
      <c r="CQ26182" s="111"/>
      <c r="EF26182"/>
      <c r="EG26182"/>
      <c r="EH26182"/>
      <c r="EI26182"/>
      <c r="EJ26182"/>
      <c r="EK26182"/>
    </row>
    <row r="26183" spans="1:141" s="116" customFormat="1">
      <c r="A26183" s="136"/>
      <c r="CM26183" s="111"/>
      <c r="CQ26183" s="111"/>
      <c r="EF26183"/>
      <c r="EG26183"/>
      <c r="EH26183"/>
      <c r="EI26183"/>
      <c r="EJ26183"/>
      <c r="EK26183"/>
    </row>
    <row r="26184" spans="1:141" s="116" customFormat="1">
      <c r="A26184" s="136"/>
      <c r="CM26184" s="111"/>
      <c r="CQ26184" s="111"/>
      <c r="EF26184"/>
      <c r="EG26184"/>
      <c r="EH26184"/>
      <c r="EI26184"/>
      <c r="EJ26184"/>
      <c r="EK26184"/>
    </row>
    <row r="26185" spans="1:141" s="116" customFormat="1">
      <c r="A26185" s="136"/>
      <c r="CM26185" s="111"/>
      <c r="CQ26185" s="111"/>
      <c r="EF26185"/>
      <c r="EG26185"/>
      <c r="EH26185"/>
      <c r="EI26185"/>
      <c r="EJ26185"/>
      <c r="EK26185"/>
    </row>
    <row r="26186" spans="1:141" s="116" customFormat="1">
      <c r="A26186" s="136"/>
      <c r="CM26186" s="111"/>
      <c r="CQ26186" s="111"/>
      <c r="EF26186"/>
      <c r="EG26186"/>
      <c r="EH26186"/>
      <c r="EI26186"/>
      <c r="EJ26186"/>
      <c r="EK26186"/>
    </row>
    <row r="26187" spans="1:141" s="116" customFormat="1">
      <c r="A26187" s="136"/>
      <c r="CM26187" s="111"/>
      <c r="CQ26187" s="111"/>
      <c r="EF26187"/>
      <c r="EG26187"/>
      <c r="EH26187"/>
      <c r="EI26187"/>
      <c r="EJ26187"/>
      <c r="EK26187"/>
    </row>
    <row r="26188" spans="1:141" s="116" customFormat="1">
      <c r="A26188" s="136"/>
      <c r="CM26188" s="111"/>
      <c r="CQ26188" s="111"/>
      <c r="EF26188"/>
      <c r="EG26188"/>
      <c r="EH26188"/>
      <c r="EI26188"/>
      <c r="EJ26188"/>
      <c r="EK26188"/>
    </row>
    <row r="26189" spans="1:141" s="116" customFormat="1">
      <c r="A26189" s="136"/>
      <c r="CM26189" s="111"/>
      <c r="CQ26189" s="111"/>
      <c r="EF26189"/>
      <c r="EG26189"/>
      <c r="EH26189"/>
      <c r="EI26189"/>
      <c r="EJ26189"/>
      <c r="EK26189"/>
    </row>
    <row r="26190" spans="1:141" s="116" customFormat="1">
      <c r="A26190" s="136"/>
      <c r="CM26190" s="111"/>
      <c r="CQ26190" s="111"/>
      <c r="EF26190"/>
      <c r="EG26190"/>
      <c r="EH26190"/>
      <c r="EI26190"/>
      <c r="EJ26190"/>
      <c r="EK26190"/>
    </row>
    <row r="26191" spans="1:141" s="116" customFormat="1">
      <c r="A26191" s="136"/>
      <c r="CM26191" s="111"/>
      <c r="CQ26191" s="111"/>
      <c r="EF26191"/>
      <c r="EG26191"/>
      <c r="EH26191"/>
      <c r="EI26191"/>
      <c r="EJ26191"/>
      <c r="EK26191"/>
    </row>
    <row r="26192" spans="1:141" s="116" customFormat="1">
      <c r="A26192" s="136"/>
      <c r="CM26192" s="111"/>
      <c r="CQ26192" s="111"/>
      <c r="EF26192"/>
      <c r="EG26192"/>
      <c r="EH26192"/>
      <c r="EI26192"/>
      <c r="EJ26192"/>
      <c r="EK26192"/>
    </row>
    <row r="26193" spans="1:141" s="116" customFormat="1">
      <c r="A26193" s="136"/>
      <c r="CM26193" s="111"/>
      <c r="CQ26193" s="111"/>
      <c r="EF26193"/>
      <c r="EG26193"/>
      <c r="EH26193"/>
      <c r="EI26193"/>
      <c r="EJ26193"/>
      <c r="EK26193"/>
    </row>
    <row r="26194" spans="1:141" s="116" customFormat="1">
      <c r="A26194" s="136"/>
      <c r="CM26194" s="111"/>
      <c r="CQ26194" s="111"/>
      <c r="EF26194"/>
      <c r="EG26194"/>
      <c r="EH26194"/>
      <c r="EI26194"/>
      <c r="EJ26194"/>
      <c r="EK26194"/>
    </row>
    <row r="26195" spans="1:141" s="116" customFormat="1">
      <c r="A26195" s="136"/>
      <c r="CM26195" s="111"/>
      <c r="CQ26195" s="111"/>
      <c r="EF26195"/>
      <c r="EG26195"/>
      <c r="EH26195"/>
      <c r="EI26195"/>
      <c r="EJ26195"/>
      <c r="EK26195"/>
    </row>
    <row r="26196" spans="1:141" s="116" customFormat="1">
      <c r="A26196" s="136"/>
      <c r="CM26196" s="111"/>
      <c r="CQ26196" s="111"/>
      <c r="EF26196"/>
      <c r="EG26196"/>
      <c r="EH26196"/>
      <c r="EI26196"/>
      <c r="EJ26196"/>
      <c r="EK26196"/>
    </row>
    <row r="26197" spans="1:141" s="116" customFormat="1">
      <c r="A26197" s="136"/>
      <c r="CM26197" s="111"/>
      <c r="CQ26197" s="111"/>
      <c r="EF26197"/>
      <c r="EG26197"/>
      <c r="EH26197"/>
      <c r="EI26197"/>
      <c r="EJ26197"/>
      <c r="EK26197"/>
    </row>
    <row r="26198" spans="1:141" s="116" customFormat="1">
      <c r="A26198" s="136"/>
      <c r="CM26198" s="111"/>
      <c r="CQ26198" s="111"/>
      <c r="EF26198"/>
      <c r="EG26198"/>
      <c r="EH26198"/>
      <c r="EI26198"/>
      <c r="EJ26198"/>
      <c r="EK26198"/>
    </row>
    <row r="26199" spans="1:141" s="116" customFormat="1">
      <c r="A26199" s="136"/>
      <c r="CM26199" s="111"/>
      <c r="CQ26199" s="111"/>
      <c r="EF26199"/>
      <c r="EG26199"/>
      <c r="EH26199"/>
      <c r="EI26199"/>
      <c r="EJ26199"/>
      <c r="EK26199"/>
    </row>
    <row r="26200" spans="1:141" s="116" customFormat="1">
      <c r="A26200" s="136"/>
      <c r="CM26200" s="111"/>
      <c r="CQ26200" s="111"/>
      <c r="EF26200"/>
      <c r="EG26200"/>
      <c r="EH26200"/>
      <c r="EI26200"/>
      <c r="EJ26200"/>
      <c r="EK26200"/>
    </row>
    <row r="26201" spans="1:141" s="116" customFormat="1">
      <c r="A26201" s="136"/>
      <c r="CM26201" s="111"/>
      <c r="CQ26201" s="111"/>
      <c r="EF26201"/>
      <c r="EG26201"/>
      <c r="EH26201"/>
      <c r="EI26201"/>
      <c r="EJ26201"/>
      <c r="EK26201"/>
    </row>
    <row r="26202" spans="1:141" s="116" customFormat="1">
      <c r="A26202" s="136"/>
      <c r="CM26202" s="111"/>
      <c r="CQ26202" s="111"/>
      <c r="EF26202"/>
      <c r="EG26202"/>
      <c r="EH26202"/>
      <c r="EI26202"/>
      <c r="EJ26202"/>
      <c r="EK26202"/>
    </row>
    <row r="26203" spans="1:141" s="116" customFormat="1">
      <c r="A26203" s="136"/>
      <c r="CM26203" s="111"/>
      <c r="CQ26203" s="111"/>
      <c r="EF26203"/>
      <c r="EG26203"/>
      <c r="EH26203"/>
      <c r="EI26203"/>
      <c r="EJ26203"/>
      <c r="EK26203"/>
    </row>
    <row r="26204" spans="1:141" s="116" customFormat="1">
      <c r="A26204" s="136"/>
      <c r="CM26204" s="111"/>
      <c r="CQ26204" s="111"/>
      <c r="EF26204"/>
      <c r="EG26204"/>
      <c r="EH26204"/>
      <c r="EI26204"/>
      <c r="EJ26204"/>
      <c r="EK26204"/>
    </row>
    <row r="26205" spans="1:141" s="116" customFormat="1">
      <c r="A26205" s="136"/>
      <c r="CM26205" s="111"/>
      <c r="CQ26205" s="111"/>
      <c r="EF26205"/>
      <c r="EG26205"/>
      <c r="EH26205"/>
      <c r="EI26205"/>
      <c r="EJ26205"/>
      <c r="EK26205"/>
    </row>
    <row r="26206" spans="1:141" s="116" customFormat="1">
      <c r="A26206" s="136"/>
      <c r="CM26206" s="111"/>
      <c r="CQ26206" s="111"/>
      <c r="EF26206"/>
      <c r="EG26206"/>
      <c r="EH26206"/>
      <c r="EI26206"/>
      <c r="EJ26206"/>
      <c r="EK26206"/>
    </row>
    <row r="26207" spans="1:141" s="116" customFormat="1">
      <c r="A26207" s="136"/>
      <c r="CM26207" s="111"/>
      <c r="CQ26207" s="111"/>
      <c r="EF26207"/>
      <c r="EG26207"/>
      <c r="EH26207"/>
      <c r="EI26207"/>
      <c r="EJ26207"/>
      <c r="EK26207"/>
    </row>
    <row r="26208" spans="1:141" s="116" customFormat="1">
      <c r="A26208" s="136"/>
      <c r="CM26208" s="111"/>
      <c r="CQ26208" s="111"/>
      <c r="EF26208"/>
      <c r="EG26208"/>
      <c r="EH26208"/>
      <c r="EI26208"/>
      <c r="EJ26208"/>
      <c r="EK26208"/>
    </row>
    <row r="26209" spans="1:141" s="116" customFormat="1">
      <c r="A26209" s="136"/>
      <c r="CM26209" s="111"/>
      <c r="CQ26209" s="111"/>
      <c r="EF26209"/>
      <c r="EG26209"/>
      <c r="EH26209"/>
      <c r="EI26209"/>
      <c r="EJ26209"/>
      <c r="EK26209"/>
    </row>
    <row r="26210" spans="1:141" s="116" customFormat="1">
      <c r="A26210" s="136"/>
      <c r="CM26210" s="111"/>
      <c r="CQ26210" s="111"/>
      <c r="EF26210"/>
      <c r="EG26210"/>
      <c r="EH26210"/>
      <c r="EI26210"/>
      <c r="EJ26210"/>
      <c r="EK26210"/>
    </row>
    <row r="26211" spans="1:141" s="116" customFormat="1">
      <c r="A26211" s="136"/>
      <c r="CM26211" s="111"/>
      <c r="CQ26211" s="111"/>
      <c r="EF26211"/>
      <c r="EG26211"/>
      <c r="EH26211"/>
      <c r="EI26211"/>
      <c r="EJ26211"/>
      <c r="EK26211"/>
    </row>
    <row r="26212" spans="1:141" s="116" customFormat="1">
      <c r="A26212" s="136"/>
      <c r="CM26212" s="111"/>
      <c r="CQ26212" s="111"/>
      <c r="EF26212"/>
      <c r="EG26212"/>
      <c r="EH26212"/>
      <c r="EI26212"/>
      <c r="EJ26212"/>
      <c r="EK26212"/>
    </row>
    <row r="26213" spans="1:141" s="116" customFormat="1">
      <c r="A26213" s="136"/>
      <c r="CM26213" s="111"/>
      <c r="CQ26213" s="111"/>
      <c r="EF26213"/>
      <c r="EG26213"/>
      <c r="EH26213"/>
      <c r="EI26213"/>
      <c r="EJ26213"/>
      <c r="EK26213"/>
    </row>
    <row r="26214" spans="1:141" s="116" customFormat="1">
      <c r="A26214" s="136"/>
      <c r="CM26214" s="111"/>
      <c r="CQ26214" s="111"/>
      <c r="EF26214"/>
      <c r="EG26214"/>
      <c r="EH26214"/>
      <c r="EI26214"/>
      <c r="EJ26214"/>
      <c r="EK26214"/>
    </row>
    <row r="26215" spans="1:141" s="116" customFormat="1">
      <c r="A26215" s="136"/>
      <c r="CM26215" s="111"/>
      <c r="CQ26215" s="111"/>
      <c r="EF26215"/>
      <c r="EG26215"/>
      <c r="EH26215"/>
      <c r="EI26215"/>
      <c r="EJ26215"/>
      <c r="EK26215"/>
    </row>
    <row r="26216" spans="1:141" s="116" customFormat="1">
      <c r="A26216" s="136"/>
      <c r="CM26216" s="111"/>
      <c r="CQ26216" s="111"/>
      <c r="EF26216"/>
      <c r="EG26216"/>
      <c r="EH26216"/>
      <c r="EI26216"/>
      <c r="EJ26216"/>
      <c r="EK26216"/>
    </row>
    <row r="26217" spans="1:141" s="116" customFormat="1">
      <c r="A26217" s="136"/>
      <c r="CM26217" s="111"/>
      <c r="CQ26217" s="111"/>
      <c r="EF26217"/>
      <c r="EG26217"/>
      <c r="EH26217"/>
      <c r="EI26217"/>
      <c r="EJ26217"/>
      <c r="EK26217"/>
    </row>
    <row r="26218" spans="1:141" s="116" customFormat="1">
      <c r="A26218" s="136"/>
      <c r="CM26218" s="111"/>
      <c r="CQ26218" s="111"/>
      <c r="EF26218"/>
      <c r="EG26218"/>
      <c r="EH26218"/>
      <c r="EI26218"/>
      <c r="EJ26218"/>
      <c r="EK26218"/>
    </row>
    <row r="26219" spans="1:141" s="116" customFormat="1">
      <c r="A26219" s="136"/>
      <c r="CM26219" s="111"/>
      <c r="CQ26219" s="111"/>
      <c r="EF26219"/>
      <c r="EG26219"/>
      <c r="EH26219"/>
      <c r="EI26219"/>
      <c r="EJ26219"/>
      <c r="EK26219"/>
    </row>
    <row r="26220" spans="1:141" s="116" customFormat="1">
      <c r="A26220" s="136"/>
      <c r="CM26220" s="111"/>
      <c r="CQ26220" s="111"/>
      <c r="EF26220"/>
      <c r="EG26220"/>
      <c r="EH26220"/>
      <c r="EI26220"/>
      <c r="EJ26220"/>
      <c r="EK26220"/>
    </row>
    <row r="26221" spans="1:141" s="116" customFormat="1">
      <c r="A26221" s="136"/>
      <c r="CM26221" s="111"/>
      <c r="CQ26221" s="111"/>
      <c r="EF26221"/>
      <c r="EG26221"/>
      <c r="EH26221"/>
      <c r="EI26221"/>
      <c r="EJ26221"/>
      <c r="EK26221"/>
    </row>
    <row r="26222" spans="1:141" s="116" customFormat="1">
      <c r="A26222" s="136"/>
      <c r="CM26222" s="111"/>
      <c r="CQ26222" s="111"/>
      <c r="EF26222"/>
      <c r="EG26222"/>
      <c r="EH26222"/>
      <c r="EI26222"/>
      <c r="EJ26222"/>
      <c r="EK26222"/>
    </row>
    <row r="26223" spans="1:141" s="116" customFormat="1">
      <c r="A26223" s="136"/>
      <c r="CM26223" s="111"/>
      <c r="CQ26223" s="111"/>
      <c r="EF26223"/>
      <c r="EG26223"/>
      <c r="EH26223"/>
      <c r="EI26223"/>
      <c r="EJ26223"/>
      <c r="EK26223"/>
    </row>
    <row r="26224" spans="1:141" s="116" customFormat="1">
      <c r="A26224" s="136"/>
      <c r="CM26224" s="111"/>
      <c r="CQ26224" s="111"/>
      <c r="EF26224"/>
      <c r="EG26224"/>
      <c r="EH26224"/>
      <c r="EI26224"/>
      <c r="EJ26224"/>
      <c r="EK26224"/>
    </row>
    <row r="26225" spans="1:141" s="116" customFormat="1">
      <c r="A26225" s="136"/>
      <c r="CM26225" s="111"/>
      <c r="CQ26225" s="111"/>
      <c r="EF26225"/>
      <c r="EG26225"/>
      <c r="EH26225"/>
      <c r="EI26225"/>
      <c r="EJ26225"/>
      <c r="EK26225"/>
    </row>
    <row r="26226" spans="1:141" s="116" customFormat="1">
      <c r="A26226" s="136"/>
      <c r="CM26226" s="111"/>
      <c r="CQ26226" s="111"/>
      <c r="EF26226"/>
      <c r="EG26226"/>
      <c r="EH26226"/>
      <c r="EI26226"/>
      <c r="EJ26226"/>
      <c r="EK26226"/>
    </row>
    <row r="26227" spans="1:141" s="116" customFormat="1">
      <c r="A26227" s="136"/>
      <c r="CM26227" s="111"/>
      <c r="CQ26227" s="111"/>
      <c r="EF26227"/>
      <c r="EG26227"/>
      <c r="EH26227"/>
      <c r="EI26227"/>
      <c r="EJ26227"/>
      <c r="EK26227"/>
    </row>
    <row r="26228" spans="1:141" s="116" customFormat="1">
      <c r="A26228" s="136"/>
      <c r="CM26228" s="111"/>
      <c r="CQ26228" s="111"/>
      <c r="EF26228"/>
      <c r="EG26228"/>
      <c r="EH26228"/>
      <c r="EI26228"/>
      <c r="EJ26228"/>
      <c r="EK26228"/>
    </row>
    <row r="26229" spans="1:141" s="116" customFormat="1">
      <c r="A26229" s="136"/>
      <c r="CM26229" s="111"/>
      <c r="CQ26229" s="111"/>
      <c r="EF26229"/>
      <c r="EG26229"/>
      <c r="EH26229"/>
      <c r="EI26229"/>
      <c r="EJ26229"/>
      <c r="EK26229"/>
    </row>
    <row r="26230" spans="1:141" s="116" customFormat="1">
      <c r="A26230" s="136"/>
      <c r="CM26230" s="111"/>
      <c r="CQ26230" s="111"/>
      <c r="EF26230"/>
      <c r="EG26230"/>
      <c r="EH26230"/>
      <c r="EI26230"/>
      <c r="EJ26230"/>
      <c r="EK26230"/>
    </row>
    <row r="26231" spans="1:141" s="116" customFormat="1">
      <c r="A26231" s="136"/>
      <c r="CM26231" s="111"/>
      <c r="CQ26231" s="111"/>
      <c r="EF26231"/>
      <c r="EG26231"/>
      <c r="EH26231"/>
      <c r="EI26231"/>
      <c r="EJ26231"/>
      <c r="EK26231"/>
    </row>
    <row r="26232" spans="1:141" s="116" customFormat="1">
      <c r="A26232" s="136"/>
      <c r="CM26232" s="111"/>
      <c r="CQ26232" s="111"/>
      <c r="EF26232"/>
      <c r="EG26232"/>
      <c r="EH26232"/>
      <c r="EI26232"/>
      <c r="EJ26232"/>
      <c r="EK26232"/>
    </row>
    <row r="26233" spans="1:141" s="116" customFormat="1">
      <c r="A26233" s="136"/>
      <c r="CM26233" s="111"/>
      <c r="CQ26233" s="111"/>
      <c r="EF26233"/>
      <c r="EG26233"/>
      <c r="EH26233"/>
      <c r="EI26233"/>
      <c r="EJ26233"/>
      <c r="EK26233"/>
    </row>
    <row r="26234" spans="1:141" s="116" customFormat="1">
      <c r="A26234" s="136"/>
      <c r="CM26234" s="111"/>
      <c r="CQ26234" s="111"/>
      <c r="EF26234"/>
      <c r="EG26234"/>
      <c r="EH26234"/>
      <c r="EI26234"/>
      <c r="EJ26234"/>
      <c r="EK26234"/>
    </row>
    <row r="26235" spans="1:141" s="116" customFormat="1">
      <c r="A26235" s="136"/>
      <c r="CM26235" s="111"/>
      <c r="CQ26235" s="111"/>
      <c r="EF26235"/>
      <c r="EG26235"/>
      <c r="EH26235"/>
      <c r="EI26235"/>
      <c r="EJ26235"/>
      <c r="EK26235"/>
    </row>
    <row r="26236" spans="1:141" s="116" customFormat="1">
      <c r="A26236" s="136"/>
      <c r="CM26236" s="111"/>
      <c r="CQ26236" s="111"/>
      <c r="EF26236"/>
      <c r="EG26236"/>
      <c r="EH26236"/>
      <c r="EI26236"/>
      <c r="EJ26236"/>
      <c r="EK26236"/>
    </row>
    <row r="26237" spans="1:141" s="116" customFormat="1">
      <c r="A26237" s="136"/>
      <c r="CM26237" s="111"/>
      <c r="CQ26237" s="111"/>
      <c r="EF26237"/>
      <c r="EG26237"/>
      <c r="EH26237"/>
      <c r="EI26237"/>
      <c r="EJ26237"/>
      <c r="EK26237"/>
    </row>
    <row r="26238" spans="1:141" s="116" customFormat="1">
      <c r="A26238" s="136"/>
      <c r="CM26238" s="111"/>
      <c r="CQ26238" s="111"/>
      <c r="EF26238"/>
      <c r="EG26238"/>
      <c r="EH26238"/>
      <c r="EI26238"/>
      <c r="EJ26238"/>
      <c r="EK26238"/>
    </row>
    <row r="26239" spans="1:141" s="116" customFormat="1">
      <c r="A26239" s="136"/>
      <c r="CM26239" s="111"/>
      <c r="CQ26239" s="111"/>
      <c r="EF26239"/>
      <c r="EG26239"/>
      <c r="EH26239"/>
      <c r="EI26239"/>
      <c r="EJ26239"/>
      <c r="EK26239"/>
    </row>
    <row r="26240" spans="1:141" s="116" customFormat="1">
      <c r="A26240" s="136"/>
      <c r="CM26240" s="111"/>
      <c r="CQ26240" s="111"/>
      <c r="EF26240"/>
      <c r="EG26240"/>
      <c r="EH26240"/>
      <c r="EI26240"/>
      <c r="EJ26240"/>
      <c r="EK26240"/>
    </row>
    <row r="26241" spans="1:141" s="116" customFormat="1">
      <c r="A26241" s="136"/>
      <c r="CM26241" s="111"/>
      <c r="CQ26241" s="111"/>
      <c r="EF26241"/>
      <c r="EG26241"/>
      <c r="EH26241"/>
      <c r="EI26241"/>
      <c r="EJ26241"/>
      <c r="EK26241"/>
    </row>
    <row r="26242" spans="1:141" s="116" customFormat="1">
      <c r="A26242" s="136"/>
      <c r="CM26242" s="111"/>
      <c r="CQ26242" s="111"/>
      <c r="EF26242"/>
      <c r="EG26242"/>
      <c r="EH26242"/>
      <c r="EI26242"/>
      <c r="EJ26242"/>
      <c r="EK26242"/>
    </row>
    <row r="26243" spans="1:141" s="116" customFormat="1">
      <c r="A26243" s="136"/>
      <c r="CM26243" s="111"/>
      <c r="CQ26243" s="111"/>
      <c r="EF26243"/>
      <c r="EG26243"/>
      <c r="EH26243"/>
      <c r="EI26243"/>
      <c r="EJ26243"/>
      <c r="EK26243"/>
    </row>
    <row r="26244" spans="1:141" s="116" customFormat="1">
      <c r="A26244" s="136"/>
      <c r="CM26244" s="111"/>
      <c r="CQ26244" s="111"/>
      <c r="EF26244"/>
      <c r="EG26244"/>
      <c r="EH26244"/>
      <c r="EI26244"/>
      <c r="EJ26244"/>
      <c r="EK26244"/>
    </row>
    <row r="26245" spans="1:141" s="116" customFormat="1">
      <c r="A26245" s="136"/>
      <c r="CM26245" s="111"/>
      <c r="CQ26245" s="111"/>
      <c r="EF26245"/>
      <c r="EG26245"/>
      <c r="EH26245"/>
      <c r="EI26245"/>
      <c r="EJ26245"/>
      <c r="EK26245"/>
    </row>
    <row r="26246" spans="1:141" s="116" customFormat="1">
      <c r="A26246" s="136"/>
      <c r="CM26246" s="111"/>
      <c r="CQ26246" s="111"/>
      <c r="EF26246"/>
      <c r="EG26246"/>
      <c r="EH26246"/>
      <c r="EI26246"/>
      <c r="EJ26246"/>
      <c r="EK26246"/>
    </row>
    <row r="26247" spans="1:141" s="116" customFormat="1">
      <c r="A26247" s="136"/>
      <c r="CM26247" s="111"/>
      <c r="CQ26247" s="111"/>
      <c r="EF26247"/>
      <c r="EG26247"/>
      <c r="EH26247"/>
      <c r="EI26247"/>
      <c r="EJ26247"/>
      <c r="EK26247"/>
    </row>
    <row r="26248" spans="1:141" s="116" customFormat="1">
      <c r="A26248" s="136"/>
      <c r="CM26248" s="111"/>
      <c r="CQ26248" s="111"/>
      <c r="EF26248"/>
      <c r="EG26248"/>
      <c r="EH26248"/>
      <c r="EI26248"/>
      <c r="EJ26248"/>
      <c r="EK26248"/>
    </row>
    <row r="26249" spans="1:141" s="116" customFormat="1">
      <c r="A26249" s="136"/>
      <c r="CM26249" s="111"/>
      <c r="CQ26249" s="111"/>
      <c r="EF26249"/>
      <c r="EG26249"/>
      <c r="EH26249"/>
      <c r="EI26249"/>
      <c r="EJ26249"/>
      <c r="EK26249"/>
    </row>
    <row r="26250" spans="1:141" s="116" customFormat="1">
      <c r="A26250" s="136"/>
      <c r="CM26250" s="111"/>
      <c r="CQ26250" s="111"/>
      <c r="EF26250"/>
      <c r="EG26250"/>
      <c r="EH26250"/>
      <c r="EI26250"/>
      <c r="EJ26250"/>
      <c r="EK26250"/>
    </row>
    <row r="26251" spans="1:141" s="116" customFormat="1">
      <c r="A26251" s="136"/>
      <c r="CM26251" s="111"/>
      <c r="CQ26251" s="111"/>
      <c r="EF26251"/>
      <c r="EG26251"/>
      <c r="EH26251"/>
      <c r="EI26251"/>
      <c r="EJ26251"/>
      <c r="EK26251"/>
    </row>
    <row r="26252" spans="1:141" s="116" customFormat="1">
      <c r="A26252" s="136"/>
      <c r="CM26252" s="111"/>
      <c r="CQ26252" s="111"/>
      <c r="EF26252"/>
      <c r="EG26252"/>
      <c r="EH26252"/>
      <c r="EI26252"/>
      <c r="EJ26252"/>
      <c r="EK26252"/>
    </row>
    <row r="26253" spans="1:141" s="116" customFormat="1">
      <c r="A26253" s="136"/>
      <c r="CM26253" s="111"/>
      <c r="CQ26253" s="111"/>
      <c r="EF26253"/>
      <c r="EG26253"/>
      <c r="EH26253"/>
      <c r="EI26253"/>
      <c r="EJ26253"/>
      <c r="EK26253"/>
    </row>
    <row r="26254" spans="1:141" s="116" customFormat="1">
      <c r="A26254" s="136"/>
      <c r="CM26254" s="111"/>
      <c r="CQ26254" s="111"/>
      <c r="EF26254"/>
      <c r="EG26254"/>
      <c r="EH26254"/>
      <c r="EI26254"/>
      <c r="EJ26254"/>
      <c r="EK26254"/>
    </row>
    <row r="26255" spans="1:141" s="116" customFormat="1">
      <c r="A26255" s="136"/>
      <c r="CM26255" s="111"/>
      <c r="CQ26255" s="111"/>
      <c r="EF26255"/>
      <c r="EG26255"/>
      <c r="EH26255"/>
      <c r="EI26255"/>
      <c r="EJ26255"/>
      <c r="EK26255"/>
    </row>
    <row r="26256" spans="1:141" s="116" customFormat="1">
      <c r="A26256" s="136"/>
      <c r="CM26256" s="111"/>
      <c r="CQ26256" s="111"/>
      <c r="EF26256"/>
      <c r="EG26256"/>
      <c r="EH26256"/>
      <c r="EI26256"/>
      <c r="EJ26256"/>
      <c r="EK26256"/>
    </row>
    <row r="26257" spans="1:141" s="116" customFormat="1">
      <c r="A26257" s="136"/>
      <c r="CM26257" s="111"/>
      <c r="CQ26257" s="111"/>
      <c r="EF26257"/>
      <c r="EG26257"/>
      <c r="EH26257"/>
      <c r="EI26257"/>
      <c r="EJ26257"/>
      <c r="EK26257"/>
    </row>
    <row r="26258" spans="1:141" s="116" customFormat="1">
      <c r="A26258" s="136"/>
      <c r="CM26258" s="111"/>
      <c r="CQ26258" s="111"/>
      <c r="EF26258"/>
      <c r="EG26258"/>
      <c r="EH26258"/>
      <c r="EI26258"/>
      <c r="EJ26258"/>
      <c r="EK26258"/>
    </row>
    <row r="26259" spans="1:141" s="116" customFormat="1">
      <c r="A26259" s="136"/>
      <c r="CM26259" s="111"/>
      <c r="CQ26259" s="111"/>
      <c r="EF26259"/>
      <c r="EG26259"/>
      <c r="EH26259"/>
      <c r="EI26259"/>
      <c r="EJ26259"/>
      <c r="EK26259"/>
    </row>
    <row r="26260" spans="1:141" s="116" customFormat="1">
      <c r="A26260" s="136"/>
      <c r="CM26260" s="111"/>
      <c r="CQ26260" s="111"/>
      <c r="EF26260"/>
      <c r="EG26260"/>
      <c r="EH26260"/>
      <c r="EI26260"/>
      <c r="EJ26260"/>
      <c r="EK26260"/>
    </row>
    <row r="26261" spans="1:141" s="116" customFormat="1">
      <c r="A26261" s="136"/>
      <c r="CM26261" s="111"/>
      <c r="CQ26261" s="111"/>
      <c r="EF26261"/>
      <c r="EG26261"/>
      <c r="EH26261"/>
      <c r="EI26261"/>
      <c r="EJ26261"/>
      <c r="EK26261"/>
    </row>
    <row r="26262" spans="1:141" s="116" customFormat="1">
      <c r="A26262" s="136"/>
      <c r="CM26262" s="111"/>
      <c r="CQ26262" s="111"/>
      <c r="EF26262"/>
      <c r="EG26262"/>
      <c r="EH26262"/>
      <c r="EI26262"/>
      <c r="EJ26262"/>
      <c r="EK26262"/>
    </row>
    <row r="26263" spans="1:141" s="116" customFormat="1">
      <c r="A26263" s="136"/>
      <c r="CM26263" s="111"/>
      <c r="CQ26263" s="111"/>
      <c r="EF26263"/>
      <c r="EG26263"/>
      <c r="EH26263"/>
      <c r="EI26263"/>
      <c r="EJ26263"/>
      <c r="EK26263"/>
    </row>
    <row r="26264" spans="1:141" s="116" customFormat="1">
      <c r="A26264" s="136"/>
      <c r="CM26264" s="111"/>
      <c r="CQ26264" s="111"/>
      <c r="EF26264"/>
      <c r="EG26264"/>
      <c r="EH26264"/>
      <c r="EI26264"/>
      <c r="EJ26264"/>
      <c r="EK26264"/>
    </row>
    <row r="26265" spans="1:141" s="116" customFormat="1">
      <c r="A26265" s="136"/>
      <c r="CM26265" s="111"/>
      <c r="CQ26265" s="111"/>
      <c r="EF26265"/>
      <c r="EG26265"/>
      <c r="EH26265"/>
      <c r="EI26265"/>
      <c r="EJ26265"/>
      <c r="EK26265"/>
    </row>
    <row r="26266" spans="1:141" s="116" customFormat="1">
      <c r="A26266" s="136"/>
      <c r="CM26266" s="111"/>
      <c r="CQ26266" s="111"/>
      <c r="EF26266"/>
      <c r="EG26266"/>
      <c r="EH26266"/>
      <c r="EI26266"/>
      <c r="EJ26266"/>
      <c r="EK26266"/>
    </row>
    <row r="26267" spans="1:141" s="116" customFormat="1">
      <c r="A26267" s="136"/>
      <c r="CM26267" s="111"/>
      <c r="CQ26267" s="111"/>
      <c r="EF26267"/>
      <c r="EG26267"/>
      <c r="EH26267"/>
      <c r="EI26267"/>
      <c r="EJ26267"/>
      <c r="EK26267"/>
    </row>
    <row r="26268" spans="1:141" s="116" customFormat="1">
      <c r="A26268" s="136"/>
      <c r="CM26268" s="111"/>
      <c r="CQ26268" s="111"/>
      <c r="EF26268"/>
      <c r="EG26268"/>
      <c r="EH26268"/>
      <c r="EI26268"/>
      <c r="EJ26268"/>
      <c r="EK26268"/>
    </row>
    <row r="26269" spans="1:141" s="116" customFormat="1">
      <c r="A26269" s="136"/>
      <c r="CM26269" s="111"/>
      <c r="CQ26269" s="111"/>
      <c r="EF26269"/>
      <c r="EG26269"/>
      <c r="EH26269"/>
      <c r="EI26269"/>
      <c r="EJ26269"/>
      <c r="EK26269"/>
    </row>
    <row r="26270" spans="1:141" s="116" customFormat="1">
      <c r="A26270" s="136"/>
      <c r="CM26270" s="111"/>
      <c r="CQ26270" s="111"/>
      <c r="EF26270"/>
      <c r="EG26270"/>
      <c r="EH26270"/>
      <c r="EI26270"/>
      <c r="EJ26270"/>
      <c r="EK26270"/>
    </row>
    <row r="26271" spans="1:141" s="116" customFormat="1">
      <c r="A26271" s="136"/>
      <c r="CM26271" s="111"/>
      <c r="CQ26271" s="111"/>
      <c r="EF26271"/>
      <c r="EG26271"/>
      <c r="EH26271"/>
      <c r="EI26271"/>
      <c r="EJ26271"/>
      <c r="EK26271"/>
    </row>
    <row r="26272" spans="1:141" s="116" customFormat="1">
      <c r="A26272" s="136"/>
      <c r="CM26272" s="111"/>
      <c r="CQ26272" s="111"/>
      <c r="EF26272"/>
      <c r="EG26272"/>
      <c r="EH26272"/>
      <c r="EI26272"/>
      <c r="EJ26272"/>
      <c r="EK26272"/>
    </row>
    <row r="26273" spans="1:141" s="116" customFormat="1">
      <c r="A26273" s="136"/>
      <c r="CM26273" s="111"/>
      <c r="CQ26273" s="111"/>
      <c r="EF26273"/>
      <c r="EG26273"/>
      <c r="EH26273"/>
      <c r="EI26273"/>
      <c r="EJ26273"/>
      <c r="EK26273"/>
    </row>
    <row r="26274" spans="1:141" s="116" customFormat="1">
      <c r="A26274" s="136"/>
      <c r="CM26274" s="111"/>
      <c r="CQ26274" s="111"/>
      <c r="EF26274"/>
      <c r="EG26274"/>
      <c r="EH26274"/>
      <c r="EI26274"/>
      <c r="EJ26274"/>
      <c r="EK26274"/>
    </row>
    <row r="26275" spans="1:141" s="116" customFormat="1">
      <c r="A26275" s="136"/>
      <c r="CM26275" s="111"/>
      <c r="CQ26275" s="111"/>
      <c r="EF26275"/>
      <c r="EG26275"/>
      <c r="EH26275"/>
      <c r="EI26275"/>
      <c r="EJ26275"/>
      <c r="EK26275"/>
    </row>
    <row r="26276" spans="1:141" s="116" customFormat="1">
      <c r="A26276" s="136"/>
      <c r="CM26276" s="111"/>
      <c r="CQ26276" s="111"/>
      <c r="EF26276"/>
      <c r="EG26276"/>
      <c r="EH26276"/>
      <c r="EI26276"/>
      <c r="EJ26276"/>
      <c r="EK26276"/>
    </row>
    <row r="26277" spans="1:141" s="116" customFormat="1">
      <c r="A26277" s="136"/>
      <c r="CM26277" s="111"/>
      <c r="CQ26277" s="111"/>
      <c r="EF26277"/>
      <c r="EG26277"/>
      <c r="EH26277"/>
      <c r="EI26277"/>
      <c r="EJ26277"/>
      <c r="EK26277"/>
    </row>
    <row r="26278" spans="1:141" s="116" customFormat="1">
      <c r="A26278" s="136"/>
      <c r="CM26278" s="111"/>
      <c r="CQ26278" s="111"/>
      <c r="EF26278"/>
      <c r="EG26278"/>
      <c r="EH26278"/>
      <c r="EI26278"/>
      <c r="EJ26278"/>
      <c r="EK26278"/>
    </row>
    <row r="26279" spans="1:141" s="116" customFormat="1">
      <c r="A26279" s="136"/>
      <c r="CM26279" s="111"/>
      <c r="CQ26279" s="111"/>
      <c r="EF26279"/>
      <c r="EG26279"/>
      <c r="EH26279"/>
      <c r="EI26279"/>
      <c r="EJ26279"/>
      <c r="EK26279"/>
    </row>
    <row r="26280" spans="1:141" s="116" customFormat="1">
      <c r="A26280" s="136"/>
      <c r="CM26280" s="111"/>
      <c r="CQ26280" s="111"/>
      <c r="EF26280"/>
      <c r="EG26280"/>
      <c r="EH26280"/>
      <c r="EI26280"/>
      <c r="EJ26280"/>
      <c r="EK26280"/>
    </row>
    <row r="26281" spans="1:141" s="116" customFormat="1">
      <c r="A26281" s="136"/>
      <c r="CM26281" s="111"/>
      <c r="CQ26281" s="111"/>
      <c r="EF26281"/>
      <c r="EG26281"/>
      <c r="EH26281"/>
      <c r="EI26281"/>
      <c r="EJ26281"/>
      <c r="EK26281"/>
    </row>
    <row r="26282" spans="1:141" s="116" customFormat="1">
      <c r="A26282" s="136"/>
      <c r="CM26282" s="111"/>
      <c r="CQ26282" s="111"/>
      <c r="EF26282"/>
      <c r="EG26282"/>
      <c r="EH26282"/>
      <c r="EI26282"/>
      <c r="EJ26282"/>
      <c r="EK26282"/>
    </row>
    <row r="26283" spans="1:141" s="116" customFormat="1">
      <c r="A26283" s="136"/>
      <c r="CM26283" s="111"/>
      <c r="CQ26283" s="111"/>
      <c r="EF26283"/>
      <c r="EG26283"/>
      <c r="EH26283"/>
      <c r="EI26283"/>
      <c r="EJ26283"/>
      <c r="EK26283"/>
    </row>
    <row r="26284" spans="1:141" s="116" customFormat="1">
      <c r="A26284" s="136"/>
      <c r="CM26284" s="111"/>
      <c r="CQ26284" s="111"/>
      <c r="EF26284"/>
      <c r="EG26284"/>
      <c r="EH26284"/>
      <c r="EI26284"/>
      <c r="EJ26284"/>
      <c r="EK26284"/>
    </row>
    <row r="26285" spans="1:141" s="116" customFormat="1">
      <c r="A26285" s="136"/>
      <c r="CM26285" s="111"/>
      <c r="CQ26285" s="111"/>
      <c r="EF26285"/>
      <c r="EG26285"/>
      <c r="EH26285"/>
      <c r="EI26285"/>
      <c r="EJ26285"/>
      <c r="EK26285"/>
    </row>
    <row r="26286" spans="1:141" s="116" customFormat="1">
      <c r="A26286" s="136"/>
      <c r="CM26286" s="111"/>
      <c r="CQ26286" s="111"/>
      <c r="EF26286"/>
      <c r="EG26286"/>
      <c r="EH26286"/>
      <c r="EI26286"/>
      <c r="EJ26286"/>
      <c r="EK26286"/>
    </row>
    <row r="26287" spans="1:141" s="116" customFormat="1">
      <c r="A26287" s="136"/>
      <c r="CM26287" s="111"/>
      <c r="CQ26287" s="111"/>
      <c r="EF26287"/>
      <c r="EG26287"/>
      <c r="EH26287"/>
      <c r="EI26287"/>
      <c r="EJ26287"/>
      <c r="EK26287"/>
    </row>
    <row r="26288" spans="1:141" s="116" customFormat="1">
      <c r="A26288" s="136"/>
      <c r="CM26288" s="111"/>
      <c r="CQ26288" s="111"/>
      <c r="EF26288"/>
      <c r="EG26288"/>
      <c r="EH26288"/>
      <c r="EI26288"/>
      <c r="EJ26288"/>
      <c r="EK26288"/>
    </row>
    <row r="26289" spans="1:141" s="116" customFormat="1">
      <c r="A26289" s="136"/>
      <c r="CM26289" s="111"/>
      <c r="CQ26289" s="111"/>
      <c r="EF26289"/>
      <c r="EG26289"/>
      <c r="EH26289"/>
      <c r="EI26289"/>
      <c r="EJ26289"/>
      <c r="EK26289"/>
    </row>
    <row r="26290" spans="1:141" s="116" customFormat="1">
      <c r="A26290" s="136"/>
      <c r="CM26290" s="111"/>
      <c r="CQ26290" s="111"/>
      <c r="EF26290"/>
      <c r="EG26290"/>
      <c r="EH26290"/>
      <c r="EI26290"/>
      <c r="EJ26290"/>
      <c r="EK26290"/>
    </row>
    <row r="26291" spans="1:141" s="116" customFormat="1">
      <c r="A26291" s="136"/>
      <c r="CM26291" s="111"/>
      <c r="CQ26291" s="111"/>
      <c r="EF26291"/>
      <c r="EG26291"/>
      <c r="EH26291"/>
      <c r="EI26291"/>
      <c r="EJ26291"/>
      <c r="EK26291"/>
    </row>
    <row r="26292" spans="1:141" s="116" customFormat="1">
      <c r="A26292" s="136"/>
      <c r="CM26292" s="111"/>
      <c r="CQ26292" s="111"/>
      <c r="EF26292"/>
      <c r="EG26292"/>
      <c r="EH26292"/>
      <c r="EI26292"/>
      <c r="EJ26292"/>
      <c r="EK26292"/>
    </row>
    <row r="26293" spans="1:141" s="116" customFormat="1">
      <c r="A26293" s="136"/>
      <c r="CM26293" s="111"/>
      <c r="CQ26293" s="111"/>
      <c r="EF26293"/>
      <c r="EG26293"/>
      <c r="EH26293"/>
      <c r="EI26293"/>
      <c r="EJ26293"/>
      <c r="EK26293"/>
    </row>
    <row r="26294" spans="1:141" s="116" customFormat="1">
      <c r="A26294" s="136"/>
      <c r="CM26294" s="111"/>
      <c r="CQ26294" s="111"/>
      <c r="EF26294"/>
      <c r="EG26294"/>
      <c r="EH26294"/>
      <c r="EI26294"/>
      <c r="EJ26294"/>
      <c r="EK26294"/>
    </row>
    <row r="26295" spans="1:141" s="116" customFormat="1">
      <c r="A26295" s="136"/>
      <c r="CM26295" s="111"/>
      <c r="CQ26295" s="111"/>
      <c r="EF26295"/>
      <c r="EG26295"/>
      <c r="EH26295"/>
      <c r="EI26295"/>
      <c r="EJ26295"/>
      <c r="EK26295"/>
    </row>
    <row r="26296" spans="1:141" s="116" customFormat="1">
      <c r="A26296" s="136"/>
      <c r="CM26296" s="111"/>
      <c r="CQ26296" s="111"/>
      <c r="EF26296"/>
      <c r="EG26296"/>
      <c r="EH26296"/>
      <c r="EI26296"/>
      <c r="EJ26296"/>
      <c r="EK26296"/>
    </row>
    <row r="26297" spans="1:141" s="116" customFormat="1">
      <c r="A26297" s="136"/>
      <c r="CM26297" s="111"/>
      <c r="CQ26297" s="111"/>
      <c r="EF26297"/>
      <c r="EG26297"/>
      <c r="EH26297"/>
      <c r="EI26297"/>
      <c r="EJ26297"/>
      <c r="EK26297"/>
    </row>
    <row r="26298" spans="1:141" s="116" customFormat="1">
      <c r="A26298" s="136"/>
      <c r="CM26298" s="111"/>
      <c r="CQ26298" s="111"/>
      <c r="EF26298"/>
      <c r="EG26298"/>
      <c r="EH26298"/>
      <c r="EI26298"/>
      <c r="EJ26298"/>
      <c r="EK26298"/>
    </row>
    <row r="26299" spans="1:141" s="116" customFormat="1">
      <c r="A26299" s="136"/>
      <c r="CM26299" s="111"/>
      <c r="CQ26299" s="111"/>
      <c r="EF26299"/>
      <c r="EG26299"/>
      <c r="EH26299"/>
      <c r="EI26299"/>
      <c r="EJ26299"/>
      <c r="EK26299"/>
    </row>
    <row r="26300" spans="1:141" s="116" customFormat="1">
      <c r="A26300" s="136"/>
      <c r="CM26300" s="111"/>
      <c r="CQ26300" s="111"/>
      <c r="EF26300"/>
      <c r="EG26300"/>
      <c r="EH26300"/>
      <c r="EI26300"/>
      <c r="EJ26300"/>
      <c r="EK26300"/>
    </row>
    <row r="26301" spans="1:141" s="116" customFormat="1">
      <c r="A26301" s="136"/>
      <c r="CM26301" s="111"/>
      <c r="CQ26301" s="111"/>
      <c r="EF26301"/>
      <c r="EG26301"/>
      <c r="EH26301"/>
      <c r="EI26301"/>
      <c r="EJ26301"/>
      <c r="EK26301"/>
    </row>
    <row r="26302" spans="1:141" s="116" customFormat="1">
      <c r="A26302" s="136"/>
      <c r="CM26302" s="111"/>
      <c r="CQ26302" s="111"/>
      <c r="EF26302"/>
      <c r="EG26302"/>
      <c r="EH26302"/>
      <c r="EI26302"/>
      <c r="EJ26302"/>
      <c r="EK26302"/>
    </row>
    <row r="26303" spans="1:141" s="116" customFormat="1">
      <c r="A26303" s="136"/>
      <c r="CM26303" s="111"/>
      <c r="CQ26303" s="111"/>
      <c r="EF26303"/>
      <c r="EG26303"/>
      <c r="EH26303"/>
      <c r="EI26303"/>
      <c r="EJ26303"/>
      <c r="EK26303"/>
    </row>
    <row r="26304" spans="1:141" s="116" customFormat="1">
      <c r="A26304" s="136"/>
      <c r="CM26304" s="111"/>
      <c r="CQ26304" s="111"/>
      <c r="EF26304"/>
      <c r="EG26304"/>
      <c r="EH26304"/>
      <c r="EI26304"/>
      <c r="EJ26304"/>
      <c r="EK26304"/>
    </row>
    <row r="26305" spans="1:141" s="116" customFormat="1">
      <c r="A26305" s="136"/>
      <c r="CM26305" s="111"/>
      <c r="CQ26305" s="111"/>
      <c r="EF26305"/>
      <c r="EG26305"/>
      <c r="EH26305"/>
      <c r="EI26305"/>
      <c r="EJ26305"/>
      <c r="EK26305"/>
    </row>
    <row r="26306" spans="1:141" s="116" customFormat="1">
      <c r="A26306" s="136"/>
      <c r="CM26306" s="111"/>
      <c r="CQ26306" s="111"/>
      <c r="EF26306"/>
      <c r="EG26306"/>
      <c r="EH26306"/>
      <c r="EI26306"/>
      <c r="EJ26306"/>
      <c r="EK26306"/>
    </row>
    <row r="26307" spans="1:141" s="116" customFormat="1">
      <c r="A26307" s="136"/>
      <c r="CM26307" s="111"/>
      <c r="CQ26307" s="111"/>
      <c r="EF26307"/>
      <c r="EG26307"/>
      <c r="EH26307"/>
      <c r="EI26307"/>
      <c r="EJ26307"/>
      <c r="EK26307"/>
    </row>
    <row r="26308" spans="1:141" s="116" customFormat="1">
      <c r="A26308" s="136"/>
      <c r="CM26308" s="111"/>
      <c r="CQ26308" s="111"/>
      <c r="EF26308"/>
      <c r="EG26308"/>
      <c r="EH26308"/>
      <c r="EI26308"/>
      <c r="EJ26308"/>
      <c r="EK26308"/>
    </row>
    <row r="26309" spans="1:141" s="116" customFormat="1">
      <c r="A26309" s="136"/>
      <c r="CM26309" s="111"/>
      <c r="CQ26309" s="111"/>
      <c r="EF26309"/>
      <c r="EG26309"/>
      <c r="EH26309"/>
      <c r="EI26309"/>
      <c r="EJ26309"/>
      <c r="EK26309"/>
    </row>
    <row r="26310" spans="1:141" s="116" customFormat="1">
      <c r="A26310" s="136"/>
      <c r="CM26310" s="111"/>
      <c r="CQ26310" s="111"/>
      <c r="EF26310"/>
      <c r="EG26310"/>
      <c r="EH26310"/>
      <c r="EI26310"/>
      <c r="EJ26310"/>
      <c r="EK26310"/>
    </row>
    <row r="26311" spans="1:141" s="116" customFormat="1">
      <c r="A26311" s="136"/>
      <c r="CM26311" s="111"/>
      <c r="CQ26311" s="111"/>
      <c r="EF26311"/>
      <c r="EG26311"/>
      <c r="EH26311"/>
      <c r="EI26311"/>
      <c r="EJ26311"/>
      <c r="EK26311"/>
    </row>
    <row r="26312" spans="1:141" s="116" customFormat="1">
      <c r="A26312" s="136"/>
      <c r="CM26312" s="111"/>
      <c r="CQ26312" s="111"/>
      <c r="EF26312"/>
      <c r="EG26312"/>
      <c r="EH26312"/>
      <c r="EI26312"/>
      <c r="EJ26312"/>
      <c r="EK26312"/>
    </row>
    <row r="26313" spans="1:141" s="116" customFormat="1">
      <c r="A26313" s="136"/>
      <c r="CM26313" s="111"/>
      <c r="CQ26313" s="111"/>
      <c r="EF26313"/>
      <c r="EG26313"/>
      <c r="EH26313"/>
      <c r="EI26313"/>
      <c r="EJ26313"/>
      <c r="EK26313"/>
    </row>
    <row r="26314" spans="1:141" s="116" customFormat="1">
      <c r="A26314" s="136"/>
      <c r="CM26314" s="111"/>
      <c r="CQ26314" s="111"/>
      <c r="EF26314"/>
      <c r="EG26314"/>
      <c r="EH26314"/>
      <c r="EI26314"/>
      <c r="EJ26314"/>
      <c r="EK26314"/>
    </row>
    <row r="26315" spans="1:141" s="116" customFormat="1">
      <c r="A26315" s="136"/>
      <c r="CM26315" s="111"/>
      <c r="CQ26315" s="111"/>
      <c r="EF26315"/>
      <c r="EG26315"/>
      <c r="EH26315"/>
      <c r="EI26315"/>
      <c r="EJ26315"/>
      <c r="EK26315"/>
    </row>
    <row r="26316" spans="1:141" s="116" customFormat="1">
      <c r="A26316" s="136"/>
      <c r="CM26316" s="111"/>
      <c r="CQ26316" s="111"/>
      <c r="EF26316"/>
      <c r="EG26316"/>
      <c r="EH26316"/>
      <c r="EI26316"/>
      <c r="EJ26316"/>
      <c r="EK26316"/>
    </row>
    <row r="26317" spans="1:141" s="116" customFormat="1">
      <c r="A26317" s="136"/>
      <c r="CM26317" s="111"/>
      <c r="CQ26317" s="111"/>
      <c r="EF26317"/>
      <c r="EG26317"/>
      <c r="EH26317"/>
      <c r="EI26317"/>
      <c r="EJ26317"/>
      <c r="EK26317"/>
    </row>
    <row r="26318" spans="1:141" s="116" customFormat="1">
      <c r="A26318" s="136"/>
      <c r="CM26318" s="111"/>
      <c r="CQ26318" s="111"/>
      <c r="EF26318"/>
      <c r="EG26318"/>
      <c r="EH26318"/>
      <c r="EI26318"/>
      <c r="EJ26318"/>
      <c r="EK26318"/>
    </row>
    <row r="26319" spans="1:141" s="116" customFormat="1">
      <c r="A26319" s="136"/>
      <c r="CM26319" s="111"/>
      <c r="CQ26319" s="111"/>
      <c r="EF26319"/>
      <c r="EG26319"/>
      <c r="EH26319"/>
      <c r="EI26319"/>
      <c r="EJ26319"/>
      <c r="EK26319"/>
    </row>
    <row r="26320" spans="1:141" s="116" customFormat="1">
      <c r="A26320" s="136"/>
      <c r="CM26320" s="111"/>
      <c r="CQ26320" s="111"/>
      <c r="EF26320"/>
      <c r="EG26320"/>
      <c r="EH26320"/>
      <c r="EI26320"/>
      <c r="EJ26320"/>
      <c r="EK26320"/>
    </row>
    <row r="26321" spans="1:141" s="116" customFormat="1">
      <c r="A26321" s="136"/>
      <c r="CM26321" s="111"/>
      <c r="CQ26321" s="111"/>
      <c r="EF26321"/>
      <c r="EG26321"/>
      <c r="EH26321"/>
      <c r="EI26321"/>
      <c r="EJ26321"/>
      <c r="EK26321"/>
    </row>
    <row r="26322" spans="1:141" s="116" customFormat="1">
      <c r="A26322" s="136"/>
      <c r="CM26322" s="111"/>
      <c r="CQ26322" s="111"/>
      <c r="EF26322"/>
      <c r="EG26322"/>
      <c r="EH26322"/>
      <c r="EI26322"/>
      <c r="EJ26322"/>
      <c r="EK26322"/>
    </row>
    <row r="26323" spans="1:141" s="116" customFormat="1">
      <c r="A26323" s="136"/>
      <c r="CM26323" s="111"/>
      <c r="CQ26323" s="111"/>
      <c r="EF26323"/>
      <c r="EG26323"/>
      <c r="EH26323"/>
      <c r="EI26323"/>
      <c r="EJ26323"/>
      <c r="EK26323"/>
    </row>
    <row r="26324" spans="1:141" s="116" customFormat="1">
      <c r="A26324" s="136"/>
      <c r="CM26324" s="111"/>
      <c r="CQ26324" s="111"/>
      <c r="EF26324"/>
      <c r="EG26324"/>
      <c r="EH26324"/>
      <c r="EI26324"/>
      <c r="EJ26324"/>
      <c r="EK26324"/>
    </row>
    <row r="26325" spans="1:141" s="116" customFormat="1">
      <c r="A26325" s="136"/>
      <c r="CM26325" s="111"/>
      <c r="CQ26325" s="111"/>
      <c r="EF26325"/>
      <c r="EG26325"/>
      <c r="EH26325"/>
      <c r="EI26325"/>
      <c r="EJ26325"/>
      <c r="EK26325"/>
    </row>
    <row r="26326" spans="1:141" s="116" customFormat="1">
      <c r="A26326" s="136"/>
      <c r="CM26326" s="111"/>
      <c r="CQ26326" s="111"/>
      <c r="EF26326"/>
      <c r="EG26326"/>
      <c r="EH26326"/>
      <c r="EI26326"/>
      <c r="EJ26326"/>
      <c r="EK26326"/>
    </row>
    <row r="26327" spans="1:141" s="116" customFormat="1">
      <c r="A26327" s="136"/>
      <c r="CM26327" s="111"/>
      <c r="CQ26327" s="111"/>
      <c r="EF26327"/>
      <c r="EG26327"/>
      <c r="EH26327"/>
      <c r="EI26327"/>
      <c r="EJ26327"/>
      <c r="EK26327"/>
    </row>
    <row r="26328" spans="1:141" s="116" customFormat="1">
      <c r="A26328" s="136"/>
      <c r="CM26328" s="111"/>
      <c r="CQ26328" s="111"/>
      <c r="EF26328"/>
      <c r="EG26328"/>
      <c r="EH26328"/>
      <c r="EI26328"/>
      <c r="EJ26328"/>
      <c r="EK26328"/>
    </row>
    <row r="26329" spans="1:141" s="116" customFormat="1">
      <c r="A26329" s="136"/>
      <c r="CM26329" s="111"/>
      <c r="CQ26329" s="111"/>
      <c r="EF26329"/>
      <c r="EG26329"/>
      <c r="EH26329"/>
      <c r="EI26329"/>
      <c r="EJ26329"/>
      <c r="EK26329"/>
    </row>
    <row r="26330" spans="1:141" s="116" customFormat="1">
      <c r="A26330" s="136"/>
      <c r="CM26330" s="111"/>
      <c r="CQ26330" s="111"/>
      <c r="EF26330"/>
      <c r="EG26330"/>
      <c r="EH26330"/>
      <c r="EI26330"/>
      <c r="EJ26330"/>
      <c r="EK26330"/>
    </row>
    <row r="26331" spans="1:141" s="116" customFormat="1">
      <c r="A26331" s="136"/>
      <c r="CM26331" s="111"/>
      <c r="CQ26331" s="111"/>
      <c r="EF26331"/>
      <c r="EG26331"/>
      <c r="EH26331"/>
      <c r="EI26331"/>
      <c r="EJ26331"/>
      <c r="EK26331"/>
    </row>
    <row r="26332" spans="1:141" s="116" customFormat="1">
      <c r="A26332" s="136"/>
      <c r="CM26332" s="111"/>
      <c r="CQ26332" s="111"/>
      <c r="EF26332"/>
      <c r="EG26332"/>
      <c r="EH26332"/>
      <c r="EI26332"/>
      <c r="EJ26332"/>
      <c r="EK26332"/>
    </row>
    <row r="26333" spans="1:141" s="116" customFormat="1">
      <c r="A26333" s="136"/>
      <c r="CM26333" s="111"/>
      <c r="CQ26333" s="111"/>
      <c r="EF26333"/>
      <c r="EG26333"/>
      <c r="EH26333"/>
      <c r="EI26333"/>
      <c r="EJ26333"/>
      <c r="EK26333"/>
    </row>
    <row r="26334" spans="1:141" s="116" customFormat="1">
      <c r="A26334" s="136"/>
      <c r="CM26334" s="111"/>
      <c r="CQ26334" s="111"/>
      <c r="EF26334"/>
      <c r="EG26334"/>
      <c r="EH26334"/>
      <c r="EI26334"/>
      <c r="EJ26334"/>
      <c r="EK26334"/>
    </row>
    <row r="26335" spans="1:141" s="116" customFormat="1">
      <c r="A26335" s="136"/>
      <c r="CM26335" s="111"/>
      <c r="CQ26335" s="111"/>
      <c r="EF26335"/>
      <c r="EG26335"/>
      <c r="EH26335"/>
      <c r="EI26335"/>
      <c r="EJ26335"/>
      <c r="EK26335"/>
    </row>
    <row r="26336" spans="1:141" s="116" customFormat="1">
      <c r="A26336" s="136"/>
      <c r="CM26336" s="111"/>
      <c r="CQ26336" s="111"/>
      <c r="EF26336"/>
      <c r="EG26336"/>
      <c r="EH26336"/>
      <c r="EI26336"/>
      <c r="EJ26336"/>
      <c r="EK26336"/>
    </row>
    <row r="26337" spans="1:141" s="116" customFormat="1">
      <c r="A26337" s="136"/>
      <c r="CM26337" s="111"/>
      <c r="CQ26337" s="111"/>
      <c r="EF26337"/>
      <c r="EG26337"/>
      <c r="EH26337"/>
      <c r="EI26337"/>
      <c r="EJ26337"/>
      <c r="EK26337"/>
    </row>
    <row r="26338" spans="1:141" s="116" customFormat="1">
      <c r="A26338" s="136"/>
      <c r="CM26338" s="111"/>
      <c r="CQ26338" s="111"/>
      <c r="EF26338"/>
      <c r="EG26338"/>
      <c r="EH26338"/>
      <c r="EI26338"/>
      <c r="EJ26338"/>
      <c r="EK26338"/>
    </row>
    <row r="26339" spans="1:141" s="116" customFormat="1">
      <c r="A26339" s="136"/>
      <c r="CM26339" s="111"/>
      <c r="CQ26339" s="111"/>
      <c r="EF26339"/>
      <c r="EG26339"/>
      <c r="EH26339"/>
      <c r="EI26339"/>
      <c r="EJ26339"/>
      <c r="EK26339"/>
    </row>
    <row r="26340" spans="1:141" s="116" customFormat="1">
      <c r="A26340" s="136"/>
      <c r="CM26340" s="111"/>
      <c r="CQ26340" s="111"/>
      <c r="EF26340"/>
      <c r="EG26340"/>
      <c r="EH26340"/>
      <c r="EI26340"/>
      <c r="EJ26340"/>
      <c r="EK26340"/>
    </row>
    <row r="26341" spans="1:141" s="116" customFormat="1">
      <c r="A26341" s="136"/>
      <c r="CM26341" s="111"/>
      <c r="CQ26341" s="111"/>
      <c r="EF26341"/>
      <c r="EG26341"/>
      <c r="EH26341"/>
      <c r="EI26341"/>
      <c r="EJ26341"/>
      <c r="EK26341"/>
    </row>
    <row r="26342" spans="1:141" s="116" customFormat="1">
      <c r="A26342" s="136"/>
      <c r="CM26342" s="111"/>
      <c r="CQ26342" s="111"/>
      <c r="EF26342"/>
      <c r="EG26342"/>
      <c r="EH26342"/>
      <c r="EI26342"/>
      <c r="EJ26342"/>
      <c r="EK26342"/>
    </row>
    <row r="26343" spans="1:141" s="116" customFormat="1">
      <c r="A26343" s="136"/>
      <c r="CM26343" s="111"/>
      <c r="CQ26343" s="111"/>
      <c r="EF26343"/>
      <c r="EG26343"/>
      <c r="EH26343"/>
      <c r="EI26343"/>
      <c r="EJ26343"/>
      <c r="EK26343"/>
    </row>
    <row r="26344" spans="1:141" s="116" customFormat="1">
      <c r="A26344" s="136"/>
      <c r="CM26344" s="111"/>
      <c r="CQ26344" s="111"/>
      <c r="EF26344"/>
      <c r="EG26344"/>
      <c r="EH26344"/>
      <c r="EI26344"/>
      <c r="EJ26344"/>
      <c r="EK26344"/>
    </row>
    <row r="26345" spans="1:141" s="116" customFormat="1">
      <c r="A26345" s="136"/>
      <c r="CM26345" s="111"/>
      <c r="CQ26345" s="111"/>
      <c r="EF26345"/>
      <c r="EG26345"/>
      <c r="EH26345"/>
      <c r="EI26345"/>
      <c r="EJ26345"/>
      <c r="EK26345"/>
    </row>
    <row r="26346" spans="1:141" s="116" customFormat="1">
      <c r="A26346" s="136"/>
      <c r="CM26346" s="111"/>
      <c r="CQ26346" s="111"/>
      <c r="EF26346"/>
      <c r="EG26346"/>
      <c r="EH26346"/>
      <c r="EI26346"/>
      <c r="EJ26346"/>
      <c r="EK26346"/>
    </row>
    <row r="26347" spans="1:141" s="116" customFormat="1">
      <c r="A26347" s="136"/>
      <c r="CM26347" s="111"/>
      <c r="CQ26347" s="111"/>
      <c r="EF26347"/>
      <c r="EG26347"/>
      <c r="EH26347"/>
      <c r="EI26347"/>
      <c r="EJ26347"/>
      <c r="EK26347"/>
    </row>
    <row r="26348" spans="1:141" s="116" customFormat="1">
      <c r="A26348" s="136"/>
      <c r="CM26348" s="111"/>
      <c r="CQ26348" s="111"/>
      <c r="EF26348"/>
      <c r="EG26348"/>
      <c r="EH26348"/>
      <c r="EI26348"/>
      <c r="EJ26348"/>
      <c r="EK26348"/>
    </row>
    <row r="26349" spans="1:141" s="116" customFormat="1">
      <c r="A26349" s="136"/>
      <c r="CM26349" s="111"/>
      <c r="CQ26349" s="111"/>
      <c r="EF26349"/>
      <c r="EG26349"/>
      <c r="EH26349"/>
      <c r="EI26349"/>
      <c r="EJ26349"/>
      <c r="EK26349"/>
    </row>
    <row r="26350" spans="1:141" s="116" customFormat="1">
      <c r="A26350" s="136"/>
      <c r="CM26350" s="111"/>
      <c r="CQ26350" s="111"/>
      <c r="EF26350"/>
      <c r="EG26350"/>
      <c r="EH26350"/>
      <c r="EI26350"/>
      <c r="EJ26350"/>
      <c r="EK26350"/>
    </row>
    <row r="26351" spans="1:141" s="116" customFormat="1">
      <c r="A26351" s="136"/>
      <c r="CM26351" s="111"/>
      <c r="CQ26351" s="111"/>
      <c r="EF26351"/>
      <c r="EG26351"/>
      <c r="EH26351"/>
      <c r="EI26351"/>
      <c r="EJ26351"/>
      <c r="EK26351"/>
    </row>
    <row r="26352" spans="1:141" s="116" customFormat="1">
      <c r="A26352" s="136"/>
      <c r="CM26352" s="111"/>
      <c r="CQ26352" s="111"/>
      <c r="EF26352"/>
      <c r="EG26352"/>
      <c r="EH26352"/>
      <c r="EI26352"/>
      <c r="EJ26352"/>
      <c r="EK26352"/>
    </row>
    <row r="26353" spans="1:141" s="116" customFormat="1">
      <c r="A26353" s="136"/>
      <c r="CM26353" s="111"/>
      <c r="CQ26353" s="111"/>
      <c r="EF26353"/>
      <c r="EG26353"/>
      <c r="EH26353"/>
      <c r="EI26353"/>
      <c r="EJ26353"/>
      <c r="EK26353"/>
    </row>
    <row r="26354" spans="1:141" s="116" customFormat="1">
      <c r="A26354" s="136"/>
      <c r="CM26354" s="111"/>
      <c r="CQ26354" s="111"/>
      <c r="EF26354"/>
      <c r="EG26354"/>
      <c r="EH26354"/>
      <c r="EI26354"/>
      <c r="EJ26354"/>
      <c r="EK26354"/>
    </row>
    <row r="26355" spans="1:141" s="116" customFormat="1">
      <c r="A26355" s="136"/>
      <c r="CM26355" s="111"/>
      <c r="CQ26355" s="111"/>
      <c r="EF26355"/>
      <c r="EG26355"/>
      <c r="EH26355"/>
      <c r="EI26355"/>
      <c r="EJ26355"/>
      <c r="EK26355"/>
    </row>
    <row r="26356" spans="1:141" s="116" customFormat="1">
      <c r="A26356" s="136"/>
      <c r="CM26356" s="111"/>
      <c r="CQ26356" s="111"/>
      <c r="EF26356"/>
      <c r="EG26356"/>
      <c r="EH26356"/>
      <c r="EI26356"/>
      <c r="EJ26356"/>
      <c r="EK26356"/>
    </row>
    <row r="26357" spans="1:141" s="116" customFormat="1">
      <c r="A26357" s="136"/>
      <c r="CM26357" s="111"/>
      <c r="CQ26357" s="111"/>
      <c r="EF26357"/>
      <c r="EG26357"/>
      <c r="EH26357"/>
      <c r="EI26357"/>
      <c r="EJ26357"/>
      <c r="EK26357"/>
    </row>
    <row r="26358" spans="1:141" s="116" customFormat="1">
      <c r="A26358" s="136"/>
      <c r="CM26358" s="111"/>
      <c r="CQ26358" s="111"/>
      <c r="EF26358"/>
      <c r="EG26358"/>
      <c r="EH26358"/>
      <c r="EI26358"/>
      <c r="EJ26358"/>
      <c r="EK26358"/>
    </row>
    <row r="26359" spans="1:141" s="116" customFormat="1">
      <c r="A26359" s="136"/>
      <c r="CM26359" s="111"/>
      <c r="CQ26359" s="111"/>
      <c r="EF26359"/>
      <c r="EG26359"/>
      <c r="EH26359"/>
      <c r="EI26359"/>
      <c r="EJ26359"/>
      <c r="EK26359"/>
    </row>
    <row r="26360" spans="1:141" s="116" customFormat="1">
      <c r="A26360" s="136"/>
      <c r="CM26360" s="111"/>
      <c r="CQ26360" s="111"/>
      <c r="EF26360"/>
      <c r="EG26360"/>
      <c r="EH26360"/>
      <c r="EI26360"/>
      <c r="EJ26360"/>
      <c r="EK26360"/>
    </row>
    <row r="26361" spans="1:141" s="116" customFormat="1">
      <c r="A26361" s="136"/>
      <c r="CM26361" s="111"/>
      <c r="CQ26361" s="111"/>
      <c r="EF26361"/>
      <c r="EG26361"/>
      <c r="EH26361"/>
      <c r="EI26361"/>
      <c r="EJ26361"/>
      <c r="EK26361"/>
    </row>
    <row r="26362" spans="1:141" s="116" customFormat="1">
      <c r="A26362" s="136"/>
      <c r="CM26362" s="111"/>
      <c r="CQ26362" s="111"/>
      <c r="EF26362"/>
      <c r="EG26362"/>
      <c r="EH26362"/>
      <c r="EI26362"/>
      <c r="EJ26362"/>
      <c r="EK26362"/>
    </row>
    <row r="26363" spans="1:141" s="116" customFormat="1">
      <c r="A26363" s="136"/>
      <c r="CM26363" s="111"/>
      <c r="CQ26363" s="111"/>
      <c r="EF26363"/>
      <c r="EG26363"/>
      <c r="EH26363"/>
      <c r="EI26363"/>
      <c r="EJ26363"/>
      <c r="EK26363"/>
    </row>
    <row r="26364" spans="1:141" s="116" customFormat="1">
      <c r="A26364" s="136"/>
      <c r="CM26364" s="111"/>
      <c r="CQ26364" s="111"/>
      <c r="EF26364"/>
      <c r="EG26364"/>
      <c r="EH26364"/>
      <c r="EI26364"/>
      <c r="EJ26364"/>
      <c r="EK26364"/>
    </row>
    <row r="26365" spans="1:141" s="116" customFormat="1">
      <c r="A26365" s="136"/>
      <c r="CM26365" s="111"/>
      <c r="CQ26365" s="111"/>
      <c r="EF26365"/>
      <c r="EG26365"/>
      <c r="EH26365"/>
      <c r="EI26365"/>
      <c r="EJ26365"/>
      <c r="EK26365"/>
    </row>
    <row r="26366" spans="1:141" s="116" customFormat="1">
      <c r="A26366" s="136"/>
      <c r="CM26366" s="111"/>
      <c r="CQ26366" s="111"/>
      <c r="EF26366"/>
      <c r="EG26366"/>
      <c r="EH26366"/>
      <c r="EI26366"/>
      <c r="EJ26366"/>
      <c r="EK26366"/>
    </row>
    <row r="26367" spans="1:141" s="116" customFormat="1">
      <c r="A26367" s="136"/>
      <c r="CM26367" s="111"/>
      <c r="CQ26367" s="111"/>
      <c r="EF26367"/>
      <c r="EG26367"/>
      <c r="EH26367"/>
      <c r="EI26367"/>
      <c r="EJ26367"/>
      <c r="EK26367"/>
    </row>
    <row r="26368" spans="1:141" s="116" customFormat="1">
      <c r="A26368" s="136"/>
      <c r="CM26368" s="111"/>
      <c r="CQ26368" s="111"/>
      <c r="EF26368"/>
      <c r="EG26368"/>
      <c r="EH26368"/>
      <c r="EI26368"/>
      <c r="EJ26368"/>
      <c r="EK26368"/>
    </row>
    <row r="26369" spans="1:141" s="116" customFormat="1">
      <c r="A26369" s="136"/>
      <c r="CM26369" s="111"/>
      <c r="CQ26369" s="111"/>
      <c r="EF26369"/>
      <c r="EG26369"/>
      <c r="EH26369"/>
      <c r="EI26369"/>
      <c r="EJ26369"/>
      <c r="EK26369"/>
    </row>
    <row r="26370" spans="1:141" s="116" customFormat="1">
      <c r="A26370" s="136"/>
      <c r="CM26370" s="111"/>
      <c r="CQ26370" s="111"/>
      <c r="EF26370"/>
      <c r="EG26370"/>
      <c r="EH26370"/>
      <c r="EI26370"/>
      <c r="EJ26370"/>
      <c r="EK26370"/>
    </row>
    <row r="26371" spans="1:141" s="116" customFormat="1">
      <c r="A26371" s="136"/>
      <c r="CM26371" s="111"/>
      <c r="CQ26371" s="111"/>
      <c r="EF26371"/>
      <c r="EG26371"/>
      <c r="EH26371"/>
      <c r="EI26371"/>
      <c r="EJ26371"/>
      <c r="EK26371"/>
    </row>
    <row r="26372" spans="1:141" s="116" customFormat="1">
      <c r="A26372" s="136"/>
      <c r="CM26372" s="111"/>
      <c r="CQ26372" s="111"/>
      <c r="EF26372"/>
      <c r="EG26372"/>
      <c r="EH26372"/>
      <c r="EI26372"/>
      <c r="EJ26372"/>
      <c r="EK26372"/>
    </row>
    <row r="26373" spans="1:141" s="116" customFormat="1">
      <c r="A26373" s="136"/>
      <c r="CM26373" s="111"/>
      <c r="CQ26373" s="111"/>
      <c r="EF26373"/>
      <c r="EG26373"/>
      <c r="EH26373"/>
      <c r="EI26373"/>
      <c r="EJ26373"/>
      <c r="EK26373"/>
    </row>
    <row r="26374" spans="1:141" s="116" customFormat="1">
      <c r="A26374" s="136"/>
      <c r="CM26374" s="111"/>
      <c r="CQ26374" s="111"/>
      <c r="EF26374"/>
      <c r="EG26374"/>
      <c r="EH26374"/>
      <c r="EI26374"/>
      <c r="EJ26374"/>
      <c r="EK26374"/>
    </row>
    <row r="26375" spans="1:141" s="116" customFormat="1">
      <c r="A26375" s="136"/>
      <c r="CM26375" s="111"/>
      <c r="CQ26375" s="111"/>
      <c r="EF26375"/>
      <c r="EG26375"/>
      <c r="EH26375"/>
      <c r="EI26375"/>
      <c r="EJ26375"/>
      <c r="EK26375"/>
    </row>
    <row r="26376" spans="1:141" s="116" customFormat="1">
      <c r="A26376" s="136"/>
      <c r="CM26376" s="111"/>
      <c r="CQ26376" s="111"/>
      <c r="EF26376"/>
      <c r="EG26376"/>
      <c r="EH26376"/>
      <c r="EI26376"/>
      <c r="EJ26376"/>
      <c r="EK26376"/>
    </row>
    <row r="26377" spans="1:141" s="116" customFormat="1">
      <c r="A26377" s="136"/>
      <c r="CM26377" s="111"/>
      <c r="CQ26377" s="111"/>
      <c r="EF26377"/>
      <c r="EG26377"/>
      <c r="EH26377"/>
      <c r="EI26377"/>
      <c r="EJ26377"/>
      <c r="EK26377"/>
    </row>
    <row r="26378" spans="1:141" s="116" customFormat="1">
      <c r="A26378" s="136"/>
      <c r="CM26378" s="111"/>
      <c r="CQ26378" s="111"/>
      <c r="EF26378"/>
      <c r="EG26378"/>
      <c r="EH26378"/>
      <c r="EI26378"/>
      <c r="EJ26378"/>
      <c r="EK26378"/>
    </row>
    <row r="26379" spans="1:141" s="116" customFormat="1">
      <c r="A26379" s="136"/>
      <c r="CM26379" s="111"/>
      <c r="CQ26379" s="111"/>
      <c r="EF26379"/>
      <c r="EG26379"/>
      <c r="EH26379"/>
      <c r="EI26379"/>
      <c r="EJ26379"/>
      <c r="EK26379"/>
    </row>
    <row r="26380" spans="1:141" s="116" customFormat="1">
      <c r="A26380" s="136"/>
      <c r="CM26380" s="111"/>
      <c r="CQ26380" s="111"/>
      <c r="EF26380"/>
      <c r="EG26380"/>
      <c r="EH26380"/>
      <c r="EI26380"/>
      <c r="EJ26380"/>
      <c r="EK26380"/>
    </row>
    <row r="26381" spans="1:141" s="116" customFormat="1">
      <c r="A26381" s="136"/>
      <c r="CM26381" s="111"/>
      <c r="CQ26381" s="111"/>
      <c r="EF26381"/>
      <c r="EG26381"/>
      <c r="EH26381"/>
      <c r="EI26381"/>
      <c r="EJ26381"/>
      <c r="EK26381"/>
    </row>
    <row r="26382" spans="1:141" s="116" customFormat="1">
      <c r="A26382" s="136"/>
      <c r="CM26382" s="111"/>
      <c r="CQ26382" s="111"/>
      <c r="EF26382"/>
      <c r="EG26382"/>
      <c r="EH26382"/>
      <c r="EI26382"/>
      <c r="EJ26382"/>
      <c r="EK26382"/>
    </row>
    <row r="26383" spans="1:141" s="116" customFormat="1">
      <c r="A26383" s="136"/>
      <c r="CM26383" s="111"/>
      <c r="CQ26383" s="111"/>
      <c r="EF26383"/>
      <c r="EG26383"/>
      <c r="EH26383"/>
      <c r="EI26383"/>
      <c r="EJ26383"/>
      <c r="EK26383"/>
    </row>
    <row r="26384" spans="1:141" s="116" customFormat="1">
      <c r="A26384" s="136"/>
      <c r="CM26384" s="111"/>
      <c r="CQ26384" s="111"/>
      <c r="EF26384"/>
      <c r="EG26384"/>
      <c r="EH26384"/>
      <c r="EI26384"/>
      <c r="EJ26384"/>
      <c r="EK26384"/>
    </row>
    <row r="26385" spans="1:141" s="116" customFormat="1">
      <c r="A26385" s="136"/>
      <c r="CM26385" s="111"/>
      <c r="CQ26385" s="111"/>
      <c r="EF26385"/>
      <c r="EG26385"/>
      <c r="EH26385"/>
      <c r="EI26385"/>
      <c r="EJ26385"/>
      <c r="EK26385"/>
    </row>
    <row r="26386" spans="1:141" s="116" customFormat="1">
      <c r="A26386" s="136"/>
      <c r="CM26386" s="111"/>
      <c r="CQ26386" s="111"/>
      <c r="EF26386"/>
      <c r="EG26386"/>
      <c r="EH26386"/>
      <c r="EI26386"/>
      <c r="EJ26386"/>
      <c r="EK26386"/>
    </row>
    <row r="26387" spans="1:141" s="116" customFormat="1">
      <c r="A26387" s="136"/>
      <c r="CM26387" s="111"/>
      <c r="CQ26387" s="111"/>
      <c r="EF26387"/>
      <c r="EG26387"/>
      <c r="EH26387"/>
      <c r="EI26387"/>
      <c r="EJ26387"/>
      <c r="EK26387"/>
    </row>
    <row r="26388" spans="1:141" s="116" customFormat="1">
      <c r="A26388" s="136"/>
      <c r="CM26388" s="111"/>
      <c r="CQ26388" s="111"/>
      <c r="EF26388"/>
      <c r="EG26388"/>
      <c r="EH26388"/>
      <c r="EI26388"/>
      <c r="EJ26388"/>
      <c r="EK26388"/>
    </row>
    <row r="26389" spans="1:141" s="116" customFormat="1">
      <c r="A26389" s="136"/>
      <c r="CM26389" s="111"/>
      <c r="CQ26389" s="111"/>
      <c r="EF26389"/>
      <c r="EG26389"/>
      <c r="EH26389"/>
      <c r="EI26389"/>
      <c r="EJ26389"/>
      <c r="EK26389"/>
    </row>
    <row r="26390" spans="1:141" s="116" customFormat="1">
      <c r="A26390" s="136"/>
      <c r="CM26390" s="111"/>
      <c r="CQ26390" s="111"/>
      <c r="EF26390"/>
      <c r="EG26390"/>
      <c r="EH26390"/>
      <c r="EI26390"/>
      <c r="EJ26390"/>
      <c r="EK26390"/>
    </row>
    <row r="26391" spans="1:141" s="116" customFormat="1">
      <c r="A26391" s="136"/>
      <c r="CM26391" s="111"/>
      <c r="CQ26391" s="111"/>
      <c r="EF26391"/>
      <c r="EG26391"/>
      <c r="EH26391"/>
      <c r="EI26391"/>
      <c r="EJ26391"/>
      <c r="EK26391"/>
    </row>
    <row r="26392" spans="1:141" s="116" customFormat="1">
      <c r="A26392" s="136"/>
      <c r="CM26392" s="111"/>
      <c r="CQ26392" s="111"/>
      <c r="EF26392"/>
      <c r="EG26392"/>
      <c r="EH26392"/>
      <c r="EI26392"/>
      <c r="EJ26392"/>
      <c r="EK26392"/>
    </row>
    <row r="26393" spans="1:141" s="116" customFormat="1">
      <c r="A26393" s="136"/>
      <c r="CM26393" s="111"/>
      <c r="CQ26393" s="111"/>
      <c r="EF26393"/>
      <c r="EG26393"/>
      <c r="EH26393"/>
      <c r="EI26393"/>
      <c r="EJ26393"/>
      <c r="EK26393"/>
    </row>
    <row r="26394" spans="1:141" s="116" customFormat="1">
      <c r="A26394" s="136"/>
      <c r="CM26394" s="111"/>
      <c r="CQ26394" s="111"/>
      <c r="EF26394"/>
      <c r="EG26394"/>
      <c r="EH26394"/>
      <c r="EI26394"/>
      <c r="EJ26394"/>
      <c r="EK26394"/>
    </row>
    <row r="26395" spans="1:141" s="116" customFormat="1">
      <c r="A26395" s="136"/>
      <c r="CM26395" s="111"/>
      <c r="CQ26395" s="111"/>
      <c r="EF26395"/>
      <c r="EG26395"/>
      <c r="EH26395"/>
      <c r="EI26395"/>
      <c r="EJ26395"/>
      <c r="EK26395"/>
    </row>
    <row r="26396" spans="1:141" s="116" customFormat="1">
      <c r="A26396" s="136"/>
      <c r="CM26396" s="111"/>
      <c r="CQ26396" s="111"/>
      <c r="EF26396"/>
      <c r="EG26396"/>
      <c r="EH26396"/>
      <c r="EI26396"/>
      <c r="EJ26396"/>
      <c r="EK26396"/>
    </row>
    <row r="26397" spans="1:141" s="116" customFormat="1">
      <c r="A26397" s="136"/>
      <c r="CM26397" s="111"/>
      <c r="CQ26397" s="111"/>
      <c r="EF26397"/>
      <c r="EG26397"/>
      <c r="EH26397"/>
      <c r="EI26397"/>
      <c r="EJ26397"/>
      <c r="EK26397"/>
    </row>
    <row r="26398" spans="1:141" s="116" customFormat="1">
      <c r="A26398" s="136"/>
      <c r="CM26398" s="111"/>
      <c r="CQ26398" s="111"/>
      <c r="EF26398"/>
      <c r="EG26398"/>
      <c r="EH26398"/>
      <c r="EI26398"/>
      <c r="EJ26398"/>
      <c r="EK26398"/>
    </row>
    <row r="26399" spans="1:141" s="116" customFormat="1">
      <c r="A26399" s="136"/>
      <c r="CM26399" s="111"/>
      <c r="CQ26399" s="111"/>
      <c r="EF26399"/>
      <c r="EG26399"/>
      <c r="EH26399"/>
      <c r="EI26399"/>
      <c r="EJ26399"/>
      <c r="EK26399"/>
    </row>
    <row r="26400" spans="1:141" s="116" customFormat="1">
      <c r="A26400" s="136"/>
      <c r="CM26400" s="111"/>
      <c r="CQ26400" s="111"/>
      <c r="EF26400"/>
      <c r="EG26400"/>
      <c r="EH26400"/>
      <c r="EI26400"/>
      <c r="EJ26400"/>
      <c r="EK26400"/>
    </row>
    <row r="26401" spans="1:141" s="116" customFormat="1">
      <c r="A26401" s="136"/>
      <c r="CM26401" s="111"/>
      <c r="CQ26401" s="111"/>
      <c r="EF26401"/>
      <c r="EG26401"/>
      <c r="EH26401"/>
      <c r="EI26401"/>
      <c r="EJ26401"/>
      <c r="EK26401"/>
    </row>
    <row r="26402" spans="1:141" s="116" customFormat="1">
      <c r="A26402" s="136"/>
      <c r="CM26402" s="111"/>
      <c r="CQ26402" s="111"/>
      <c r="EF26402"/>
      <c r="EG26402"/>
      <c r="EH26402"/>
      <c r="EI26402"/>
      <c r="EJ26402"/>
      <c r="EK26402"/>
    </row>
    <row r="26403" spans="1:141" s="116" customFormat="1">
      <c r="A26403" s="136"/>
      <c r="CM26403" s="111"/>
      <c r="CQ26403" s="111"/>
      <c r="EF26403"/>
      <c r="EG26403"/>
      <c r="EH26403"/>
      <c r="EI26403"/>
      <c r="EJ26403"/>
      <c r="EK26403"/>
    </row>
    <row r="26404" spans="1:141" s="116" customFormat="1">
      <c r="A26404" s="136"/>
      <c r="CM26404" s="111"/>
      <c r="CQ26404" s="111"/>
      <c r="EF26404"/>
      <c r="EG26404"/>
      <c r="EH26404"/>
      <c r="EI26404"/>
      <c r="EJ26404"/>
      <c r="EK26404"/>
    </row>
    <row r="26405" spans="1:141" s="116" customFormat="1">
      <c r="A26405" s="136"/>
      <c r="CM26405" s="111"/>
      <c r="CQ26405" s="111"/>
      <c r="EF26405"/>
      <c r="EG26405"/>
      <c r="EH26405"/>
      <c r="EI26405"/>
      <c r="EJ26405"/>
      <c r="EK26405"/>
    </row>
    <row r="26406" spans="1:141" s="116" customFormat="1">
      <c r="A26406" s="136"/>
      <c r="CM26406" s="111"/>
      <c r="CQ26406" s="111"/>
      <c r="EF26406"/>
      <c r="EG26406"/>
      <c r="EH26406"/>
      <c r="EI26406"/>
      <c r="EJ26406"/>
      <c r="EK26406"/>
    </row>
    <row r="26407" spans="1:141" s="116" customFormat="1">
      <c r="A26407" s="136"/>
      <c r="CM26407" s="111"/>
      <c r="CQ26407" s="111"/>
      <c r="EF26407"/>
      <c r="EG26407"/>
      <c r="EH26407"/>
      <c r="EI26407"/>
      <c r="EJ26407"/>
      <c r="EK26407"/>
    </row>
    <row r="26408" spans="1:141" s="116" customFormat="1">
      <c r="A26408" s="136"/>
      <c r="CM26408" s="111"/>
      <c r="CQ26408" s="111"/>
      <c r="EF26408"/>
      <c r="EG26408"/>
      <c r="EH26408"/>
      <c r="EI26408"/>
      <c r="EJ26408"/>
      <c r="EK26408"/>
    </row>
    <row r="26409" spans="1:141" s="116" customFormat="1">
      <c r="A26409" s="136"/>
      <c r="CM26409" s="111"/>
      <c r="CQ26409" s="111"/>
      <c r="EF26409"/>
      <c r="EG26409"/>
      <c r="EH26409"/>
      <c r="EI26409"/>
      <c r="EJ26409"/>
      <c r="EK26409"/>
    </row>
    <row r="26410" spans="1:141" s="116" customFormat="1">
      <c r="A26410" s="136"/>
      <c r="CM26410" s="111"/>
      <c r="CQ26410" s="111"/>
      <c r="EF26410"/>
      <c r="EG26410"/>
      <c r="EH26410"/>
      <c r="EI26410"/>
      <c r="EJ26410"/>
      <c r="EK26410"/>
    </row>
    <row r="26411" spans="1:141" s="116" customFormat="1">
      <c r="A26411" s="136"/>
      <c r="CM26411" s="111"/>
      <c r="CQ26411" s="111"/>
      <c r="EF26411"/>
      <c r="EG26411"/>
      <c r="EH26411"/>
      <c r="EI26411"/>
      <c r="EJ26411"/>
      <c r="EK26411"/>
    </row>
    <row r="26412" spans="1:141" s="116" customFormat="1">
      <c r="A26412" s="136"/>
      <c r="CM26412" s="111"/>
      <c r="CQ26412" s="111"/>
      <c r="EF26412"/>
      <c r="EG26412"/>
      <c r="EH26412"/>
      <c r="EI26412"/>
      <c r="EJ26412"/>
      <c r="EK26412"/>
    </row>
    <row r="26413" spans="1:141" s="116" customFormat="1">
      <c r="A26413" s="136"/>
      <c r="CM26413" s="111"/>
      <c r="CQ26413" s="111"/>
      <c r="EF26413"/>
      <c r="EG26413"/>
      <c r="EH26413"/>
      <c r="EI26413"/>
      <c r="EJ26413"/>
      <c r="EK26413"/>
    </row>
    <row r="26414" spans="1:141" s="116" customFormat="1">
      <c r="A26414" s="136"/>
      <c r="CM26414" s="111"/>
      <c r="CQ26414" s="111"/>
      <c r="EF26414"/>
      <c r="EG26414"/>
      <c r="EH26414"/>
      <c r="EI26414"/>
      <c r="EJ26414"/>
      <c r="EK26414"/>
    </row>
    <row r="26415" spans="1:141" s="116" customFormat="1">
      <c r="A26415" s="136"/>
      <c r="CM26415" s="111"/>
      <c r="CQ26415" s="111"/>
      <c r="EF26415"/>
      <c r="EG26415"/>
      <c r="EH26415"/>
      <c r="EI26415"/>
      <c r="EJ26415"/>
      <c r="EK26415"/>
    </row>
    <row r="26416" spans="1:141" s="116" customFormat="1">
      <c r="A26416" s="136"/>
      <c r="CM26416" s="111"/>
      <c r="CQ26416" s="111"/>
      <c r="EF26416"/>
      <c r="EG26416"/>
      <c r="EH26416"/>
      <c r="EI26416"/>
      <c r="EJ26416"/>
      <c r="EK26416"/>
    </row>
    <row r="26417" spans="1:141" s="116" customFormat="1">
      <c r="A26417" s="136"/>
      <c r="CM26417" s="111"/>
      <c r="CQ26417" s="111"/>
      <c r="EF26417"/>
      <c r="EG26417"/>
      <c r="EH26417"/>
      <c r="EI26417"/>
      <c r="EJ26417"/>
      <c r="EK26417"/>
    </row>
    <row r="26418" spans="1:141" s="116" customFormat="1">
      <c r="A26418" s="136"/>
      <c r="CM26418" s="111"/>
      <c r="CQ26418" s="111"/>
      <c r="EF26418"/>
      <c r="EG26418"/>
      <c r="EH26418"/>
      <c r="EI26418"/>
      <c r="EJ26418"/>
      <c r="EK26418"/>
    </row>
    <row r="26419" spans="1:141" s="116" customFormat="1">
      <c r="A26419" s="136"/>
      <c r="CM26419" s="111"/>
      <c r="CQ26419" s="111"/>
      <c r="EF26419"/>
      <c r="EG26419"/>
      <c r="EH26419"/>
      <c r="EI26419"/>
      <c r="EJ26419"/>
      <c r="EK26419"/>
    </row>
    <row r="26420" spans="1:141" s="116" customFormat="1">
      <c r="A26420" s="136"/>
      <c r="CM26420" s="111"/>
      <c r="CQ26420" s="111"/>
      <c r="EF26420"/>
      <c r="EG26420"/>
      <c r="EH26420"/>
      <c r="EI26420"/>
      <c r="EJ26420"/>
      <c r="EK26420"/>
    </row>
    <row r="26421" spans="1:141" s="116" customFormat="1">
      <c r="A26421" s="136"/>
      <c r="CM26421" s="111"/>
      <c r="CQ26421" s="111"/>
      <c r="EF26421"/>
      <c r="EG26421"/>
      <c r="EH26421"/>
      <c r="EI26421"/>
      <c r="EJ26421"/>
      <c r="EK26421"/>
    </row>
    <row r="26422" spans="1:141" s="116" customFormat="1">
      <c r="A26422" s="136"/>
      <c r="CM26422" s="111"/>
      <c r="CQ26422" s="111"/>
      <c r="EF26422"/>
      <c r="EG26422"/>
      <c r="EH26422"/>
      <c r="EI26422"/>
      <c r="EJ26422"/>
      <c r="EK26422"/>
    </row>
    <row r="26423" spans="1:141" s="116" customFormat="1">
      <c r="A26423" s="136"/>
      <c r="CM26423" s="111"/>
      <c r="CQ26423" s="111"/>
      <c r="EF26423"/>
      <c r="EG26423"/>
      <c r="EH26423"/>
      <c r="EI26423"/>
      <c r="EJ26423"/>
      <c r="EK26423"/>
    </row>
    <row r="26424" spans="1:141" s="116" customFormat="1">
      <c r="A26424" s="136"/>
      <c r="CM26424" s="111"/>
      <c r="CQ26424" s="111"/>
      <c r="EF26424"/>
      <c r="EG26424"/>
      <c r="EH26424"/>
      <c r="EI26424"/>
      <c r="EJ26424"/>
      <c r="EK26424"/>
    </row>
    <row r="26425" spans="1:141" s="116" customFormat="1">
      <c r="A26425" s="136"/>
      <c r="CM26425" s="111"/>
      <c r="CQ26425" s="111"/>
      <c r="EF26425"/>
      <c r="EG26425"/>
      <c r="EH26425"/>
      <c r="EI26425"/>
      <c r="EJ26425"/>
      <c r="EK26425"/>
    </row>
    <row r="26426" spans="1:141" s="116" customFormat="1">
      <c r="A26426" s="136"/>
      <c r="CM26426" s="111"/>
      <c r="CQ26426" s="111"/>
      <c r="EF26426"/>
      <c r="EG26426"/>
      <c r="EH26426"/>
      <c r="EI26426"/>
      <c r="EJ26426"/>
      <c r="EK26426"/>
    </row>
    <row r="26427" spans="1:141" s="116" customFormat="1">
      <c r="A26427" s="136"/>
      <c r="CM26427" s="111"/>
      <c r="CQ26427" s="111"/>
      <c r="EF26427"/>
      <c r="EG26427"/>
      <c r="EH26427"/>
      <c r="EI26427"/>
      <c r="EJ26427"/>
      <c r="EK26427"/>
    </row>
    <row r="26428" spans="1:141" s="116" customFormat="1">
      <c r="A26428" s="136"/>
      <c r="CM26428" s="111"/>
      <c r="CQ26428" s="111"/>
      <c r="EF26428"/>
      <c r="EG26428"/>
      <c r="EH26428"/>
      <c r="EI26428"/>
      <c r="EJ26428"/>
      <c r="EK26428"/>
    </row>
    <row r="26429" spans="1:141" s="116" customFormat="1">
      <c r="A26429" s="136"/>
      <c r="CM26429" s="111"/>
      <c r="CQ26429" s="111"/>
      <c r="EF26429"/>
      <c r="EG26429"/>
      <c r="EH26429"/>
      <c r="EI26429"/>
      <c r="EJ26429"/>
      <c r="EK26429"/>
    </row>
    <row r="26430" spans="1:141" s="116" customFormat="1">
      <c r="A26430" s="136"/>
      <c r="CM26430" s="111"/>
      <c r="CQ26430" s="111"/>
      <c r="EF26430"/>
      <c r="EG26430"/>
      <c r="EH26430"/>
      <c r="EI26430"/>
      <c r="EJ26430"/>
      <c r="EK26430"/>
    </row>
    <row r="26431" spans="1:141" s="116" customFormat="1">
      <c r="A26431" s="136"/>
      <c r="CM26431" s="111"/>
      <c r="CQ26431" s="111"/>
      <c r="EF26431"/>
      <c r="EG26431"/>
      <c r="EH26431"/>
      <c r="EI26431"/>
      <c r="EJ26431"/>
      <c r="EK26431"/>
    </row>
    <row r="26432" spans="1:141" s="116" customFormat="1">
      <c r="A26432" s="136"/>
      <c r="CM26432" s="111"/>
      <c r="CQ26432" s="111"/>
      <c r="EF26432"/>
      <c r="EG26432"/>
      <c r="EH26432"/>
      <c r="EI26432"/>
      <c r="EJ26432"/>
      <c r="EK26432"/>
    </row>
    <row r="26433" spans="1:141" s="116" customFormat="1">
      <c r="A26433" s="136"/>
      <c r="CM26433" s="111"/>
      <c r="CQ26433" s="111"/>
      <c r="EF26433"/>
      <c r="EG26433"/>
      <c r="EH26433"/>
      <c r="EI26433"/>
      <c r="EJ26433"/>
      <c r="EK26433"/>
    </row>
    <row r="26434" spans="1:141" s="116" customFormat="1">
      <c r="A26434" s="136"/>
      <c r="CM26434" s="111"/>
      <c r="CQ26434" s="111"/>
      <c r="EF26434"/>
      <c r="EG26434"/>
      <c r="EH26434"/>
      <c r="EI26434"/>
      <c r="EJ26434"/>
      <c r="EK26434"/>
    </row>
    <row r="26435" spans="1:141" s="116" customFormat="1">
      <c r="A26435" s="136"/>
      <c r="CM26435" s="111"/>
      <c r="CQ26435" s="111"/>
      <c r="EF26435"/>
      <c r="EG26435"/>
      <c r="EH26435"/>
      <c r="EI26435"/>
      <c r="EJ26435"/>
      <c r="EK26435"/>
    </row>
    <row r="26436" spans="1:141" s="116" customFormat="1">
      <c r="A26436" s="136"/>
      <c r="CM26436" s="111"/>
      <c r="CQ26436" s="111"/>
      <c r="EF26436"/>
      <c r="EG26436"/>
      <c r="EH26436"/>
      <c r="EI26436"/>
      <c r="EJ26436"/>
      <c r="EK26436"/>
    </row>
    <row r="26437" spans="1:141" s="116" customFormat="1">
      <c r="A26437" s="136"/>
      <c r="CM26437" s="111"/>
      <c r="CQ26437" s="111"/>
      <c r="EF26437"/>
      <c r="EG26437"/>
      <c r="EH26437"/>
      <c r="EI26437"/>
      <c r="EJ26437"/>
      <c r="EK26437"/>
    </row>
    <row r="26438" spans="1:141" s="116" customFormat="1">
      <c r="A26438" s="136"/>
      <c r="CM26438" s="111"/>
      <c r="CQ26438" s="111"/>
      <c r="EF26438"/>
      <c r="EG26438"/>
      <c r="EH26438"/>
      <c r="EI26438"/>
      <c r="EJ26438"/>
      <c r="EK26438"/>
    </row>
    <row r="26439" spans="1:141" s="116" customFormat="1">
      <c r="A26439" s="136"/>
      <c r="CM26439" s="111"/>
      <c r="CQ26439" s="111"/>
      <c r="EF26439"/>
      <c r="EG26439"/>
      <c r="EH26439"/>
      <c r="EI26439"/>
      <c r="EJ26439"/>
      <c r="EK26439"/>
    </row>
    <row r="26440" spans="1:141" s="116" customFormat="1">
      <c r="A26440" s="136"/>
      <c r="CM26440" s="111"/>
      <c r="CQ26440" s="111"/>
      <c r="EF26440"/>
      <c r="EG26440"/>
      <c r="EH26440"/>
      <c r="EI26440"/>
      <c r="EJ26440"/>
      <c r="EK26440"/>
    </row>
    <row r="26441" spans="1:141" s="116" customFormat="1">
      <c r="A26441" s="136"/>
      <c r="CM26441" s="111"/>
      <c r="CQ26441" s="111"/>
      <c r="EF26441"/>
      <c r="EG26441"/>
      <c r="EH26441"/>
      <c r="EI26441"/>
      <c r="EJ26441"/>
      <c r="EK26441"/>
    </row>
    <row r="26442" spans="1:141" s="116" customFormat="1">
      <c r="A26442" s="136"/>
      <c r="CM26442" s="111"/>
      <c r="CQ26442" s="111"/>
      <c r="EF26442"/>
      <c r="EG26442"/>
      <c r="EH26442"/>
      <c r="EI26442"/>
      <c r="EJ26442"/>
      <c r="EK26442"/>
    </row>
    <row r="26443" spans="1:141" s="116" customFormat="1">
      <c r="A26443" s="136"/>
      <c r="CM26443" s="111"/>
      <c r="CQ26443" s="111"/>
      <c r="EF26443"/>
      <c r="EG26443"/>
      <c r="EH26443"/>
      <c r="EI26443"/>
      <c r="EJ26443"/>
      <c r="EK26443"/>
    </row>
    <row r="26444" spans="1:141" s="116" customFormat="1">
      <c r="A26444" s="136"/>
      <c r="CM26444" s="111"/>
      <c r="CQ26444" s="111"/>
      <c r="EF26444"/>
      <c r="EG26444"/>
      <c r="EH26444"/>
      <c r="EI26444"/>
      <c r="EJ26444"/>
      <c r="EK26444"/>
    </row>
    <row r="26445" spans="1:141" s="116" customFormat="1">
      <c r="A26445" s="136"/>
      <c r="CM26445" s="111"/>
      <c r="CQ26445" s="111"/>
      <c r="EF26445"/>
      <c r="EG26445"/>
      <c r="EH26445"/>
      <c r="EI26445"/>
      <c r="EJ26445"/>
      <c r="EK26445"/>
    </row>
    <row r="26446" spans="1:141" s="116" customFormat="1">
      <c r="A26446" s="136"/>
      <c r="CM26446" s="111"/>
      <c r="CQ26446" s="111"/>
      <c r="EF26446"/>
      <c r="EG26446"/>
      <c r="EH26446"/>
      <c r="EI26446"/>
      <c r="EJ26446"/>
      <c r="EK26446"/>
    </row>
    <row r="26447" spans="1:141" s="116" customFormat="1">
      <c r="A26447" s="136"/>
      <c r="CM26447" s="111"/>
      <c r="CQ26447" s="111"/>
      <c r="EF26447"/>
      <c r="EG26447"/>
      <c r="EH26447"/>
      <c r="EI26447"/>
      <c r="EJ26447"/>
      <c r="EK26447"/>
    </row>
    <row r="26448" spans="1:141" s="116" customFormat="1">
      <c r="A26448" s="136"/>
      <c r="CM26448" s="111"/>
      <c r="CQ26448" s="111"/>
      <c r="EF26448"/>
      <c r="EG26448"/>
      <c r="EH26448"/>
      <c r="EI26448"/>
      <c r="EJ26448"/>
      <c r="EK26448"/>
    </row>
    <row r="26449" spans="1:141" s="116" customFormat="1">
      <c r="A26449" s="136"/>
      <c r="CM26449" s="111"/>
      <c r="CQ26449" s="111"/>
      <c r="EF26449"/>
      <c r="EG26449"/>
      <c r="EH26449"/>
      <c r="EI26449"/>
      <c r="EJ26449"/>
      <c r="EK26449"/>
    </row>
    <row r="26450" spans="1:141" s="116" customFormat="1">
      <c r="A26450" s="136"/>
      <c r="CM26450" s="111"/>
      <c r="CQ26450" s="111"/>
      <c r="EF26450"/>
      <c r="EG26450"/>
      <c r="EH26450"/>
      <c r="EI26450"/>
      <c r="EJ26450"/>
      <c r="EK26450"/>
    </row>
    <row r="26451" spans="1:141" s="116" customFormat="1">
      <c r="A26451" s="136"/>
      <c r="CM26451" s="111"/>
      <c r="CQ26451" s="111"/>
      <c r="EF26451"/>
      <c r="EG26451"/>
      <c r="EH26451"/>
      <c r="EI26451"/>
      <c r="EJ26451"/>
      <c r="EK26451"/>
    </row>
    <row r="26452" spans="1:141" s="116" customFormat="1">
      <c r="A26452" s="136"/>
      <c r="CM26452" s="111"/>
      <c r="CQ26452" s="111"/>
      <c r="EF26452"/>
      <c r="EG26452"/>
      <c r="EH26452"/>
      <c r="EI26452"/>
      <c r="EJ26452"/>
      <c r="EK26452"/>
    </row>
    <row r="26453" spans="1:141" s="116" customFormat="1">
      <c r="A26453" s="136"/>
      <c r="CM26453" s="111"/>
      <c r="CQ26453" s="111"/>
      <c r="EF26453"/>
      <c r="EG26453"/>
      <c r="EH26453"/>
      <c r="EI26453"/>
      <c r="EJ26453"/>
      <c r="EK26453"/>
    </row>
    <row r="26454" spans="1:141" s="116" customFormat="1">
      <c r="A26454" s="136"/>
      <c r="CM26454" s="111"/>
      <c r="CQ26454" s="111"/>
      <c r="EF26454"/>
      <c r="EG26454"/>
      <c r="EH26454"/>
      <c r="EI26454"/>
      <c r="EJ26454"/>
      <c r="EK26454"/>
    </row>
    <row r="26455" spans="1:141" s="116" customFormat="1">
      <c r="A26455" s="136"/>
      <c r="CM26455" s="111"/>
      <c r="CQ26455" s="111"/>
      <c r="EF26455"/>
      <c r="EG26455"/>
      <c r="EH26455"/>
      <c r="EI26455"/>
      <c r="EJ26455"/>
      <c r="EK26455"/>
    </row>
    <row r="26456" spans="1:141" s="116" customFormat="1">
      <c r="A26456" s="136"/>
      <c r="CM26456" s="111"/>
      <c r="CQ26456" s="111"/>
      <c r="EF26456"/>
      <c r="EG26456"/>
      <c r="EH26456"/>
      <c r="EI26456"/>
      <c r="EJ26456"/>
      <c r="EK26456"/>
    </row>
    <row r="26457" spans="1:141" s="116" customFormat="1">
      <c r="A26457" s="136"/>
      <c r="CM26457" s="111"/>
      <c r="CQ26457" s="111"/>
      <c r="EF26457"/>
      <c r="EG26457"/>
      <c r="EH26457"/>
      <c r="EI26457"/>
      <c r="EJ26457"/>
      <c r="EK26457"/>
    </row>
    <row r="26458" spans="1:141" s="116" customFormat="1">
      <c r="A26458" s="136"/>
      <c r="CM26458" s="111"/>
      <c r="CQ26458" s="111"/>
      <c r="EF26458"/>
      <c r="EG26458"/>
      <c r="EH26458"/>
      <c r="EI26458"/>
      <c r="EJ26458"/>
      <c r="EK26458"/>
    </row>
    <row r="26459" spans="1:141" s="116" customFormat="1">
      <c r="A26459" s="136"/>
      <c r="CM26459" s="111"/>
      <c r="CQ26459" s="111"/>
      <c r="EF26459"/>
      <c r="EG26459"/>
      <c r="EH26459"/>
      <c r="EI26459"/>
      <c r="EJ26459"/>
      <c r="EK26459"/>
    </row>
    <row r="26460" spans="1:141" s="116" customFormat="1">
      <c r="A26460" s="136"/>
      <c r="CM26460" s="111"/>
      <c r="CQ26460" s="111"/>
      <c r="EF26460"/>
      <c r="EG26460"/>
      <c r="EH26460"/>
      <c r="EI26460"/>
      <c r="EJ26460"/>
      <c r="EK26460"/>
    </row>
    <row r="26461" spans="1:141" s="116" customFormat="1">
      <c r="A26461" s="136"/>
      <c r="CM26461" s="111"/>
      <c r="CQ26461" s="111"/>
      <c r="EF26461"/>
      <c r="EG26461"/>
      <c r="EH26461"/>
      <c r="EI26461"/>
      <c r="EJ26461"/>
      <c r="EK26461"/>
    </row>
    <row r="26462" spans="1:141" s="116" customFormat="1">
      <c r="A26462" s="136"/>
      <c r="CM26462" s="111"/>
      <c r="CQ26462" s="111"/>
      <c r="EF26462"/>
      <c r="EG26462"/>
      <c r="EH26462"/>
      <c r="EI26462"/>
      <c r="EJ26462"/>
      <c r="EK26462"/>
    </row>
    <row r="26463" spans="1:141" s="116" customFormat="1">
      <c r="A26463" s="136"/>
      <c r="CM26463" s="111"/>
      <c r="CQ26463" s="111"/>
      <c r="EF26463"/>
      <c r="EG26463"/>
      <c r="EH26463"/>
      <c r="EI26463"/>
      <c r="EJ26463"/>
      <c r="EK26463"/>
    </row>
    <row r="26464" spans="1:141" s="116" customFormat="1">
      <c r="A26464" s="136"/>
      <c r="CM26464" s="111"/>
      <c r="CQ26464" s="111"/>
      <c r="EF26464"/>
      <c r="EG26464"/>
      <c r="EH26464"/>
      <c r="EI26464"/>
      <c r="EJ26464"/>
      <c r="EK26464"/>
    </row>
    <row r="26465" spans="1:141" s="116" customFormat="1">
      <c r="A26465" s="136"/>
      <c r="CM26465" s="111"/>
      <c r="CQ26465" s="111"/>
      <c r="EF26465"/>
      <c r="EG26465"/>
      <c r="EH26465"/>
      <c r="EI26465"/>
      <c r="EJ26465"/>
      <c r="EK26465"/>
    </row>
    <row r="26466" spans="1:141" s="116" customFormat="1">
      <c r="A26466" s="136"/>
      <c r="CM26466" s="111"/>
      <c r="CQ26466" s="111"/>
      <c r="EF26466"/>
      <c r="EG26466"/>
      <c r="EH26466"/>
      <c r="EI26466"/>
      <c r="EJ26466"/>
      <c r="EK26466"/>
    </row>
    <row r="26467" spans="1:141" s="116" customFormat="1">
      <c r="A26467" s="136"/>
      <c r="CM26467" s="111"/>
      <c r="CQ26467" s="111"/>
      <c r="EF26467"/>
      <c r="EG26467"/>
      <c r="EH26467"/>
      <c r="EI26467"/>
      <c r="EJ26467"/>
      <c r="EK26467"/>
    </row>
    <row r="26468" spans="1:141" s="116" customFormat="1">
      <c r="A26468" s="136"/>
      <c r="CM26468" s="111"/>
      <c r="CQ26468" s="111"/>
      <c r="EF26468"/>
      <c r="EG26468"/>
      <c r="EH26468"/>
      <c r="EI26468"/>
      <c r="EJ26468"/>
      <c r="EK26468"/>
    </row>
    <row r="26469" spans="1:141" s="116" customFormat="1">
      <c r="A26469" s="136"/>
      <c r="CM26469" s="111"/>
      <c r="CQ26469" s="111"/>
      <c r="EF26469"/>
      <c r="EG26469"/>
      <c r="EH26469"/>
      <c r="EI26469"/>
      <c r="EJ26469"/>
      <c r="EK26469"/>
    </row>
    <row r="26470" spans="1:141" s="116" customFormat="1">
      <c r="A26470" s="136"/>
      <c r="CM26470" s="111"/>
      <c r="CQ26470" s="111"/>
      <c r="EF26470"/>
      <c r="EG26470"/>
      <c r="EH26470"/>
      <c r="EI26470"/>
      <c r="EJ26470"/>
      <c r="EK26470"/>
    </row>
    <row r="26471" spans="1:141" s="116" customFormat="1">
      <c r="A26471" s="136"/>
      <c r="CM26471" s="111"/>
      <c r="CQ26471" s="111"/>
      <c r="EF26471"/>
      <c r="EG26471"/>
      <c r="EH26471"/>
      <c r="EI26471"/>
      <c r="EJ26471"/>
      <c r="EK26471"/>
    </row>
    <row r="26472" spans="1:141" s="116" customFormat="1">
      <c r="A26472" s="136"/>
      <c r="CM26472" s="111"/>
      <c r="CQ26472" s="111"/>
      <c r="EF26472"/>
      <c r="EG26472"/>
      <c r="EH26472"/>
      <c r="EI26472"/>
      <c r="EJ26472"/>
      <c r="EK26472"/>
    </row>
    <row r="26473" spans="1:141" s="116" customFormat="1">
      <c r="A26473" s="136"/>
      <c r="CM26473" s="111"/>
      <c r="CQ26473" s="111"/>
      <c r="EF26473"/>
      <c r="EG26473"/>
      <c r="EH26473"/>
      <c r="EI26473"/>
      <c r="EJ26473"/>
      <c r="EK26473"/>
    </row>
    <row r="26474" spans="1:141" s="116" customFormat="1">
      <c r="A26474" s="136"/>
      <c r="CM26474" s="111"/>
      <c r="CQ26474" s="111"/>
      <c r="EF26474"/>
      <c r="EG26474"/>
      <c r="EH26474"/>
      <c r="EI26474"/>
      <c r="EJ26474"/>
      <c r="EK26474"/>
    </row>
    <row r="26475" spans="1:141" s="116" customFormat="1">
      <c r="A26475" s="136"/>
      <c r="CM26475" s="111"/>
      <c r="CQ26475" s="111"/>
      <c r="EF26475"/>
      <c r="EG26475"/>
      <c r="EH26475"/>
      <c r="EI26475"/>
      <c r="EJ26475"/>
      <c r="EK26475"/>
    </row>
    <row r="26476" spans="1:141" s="116" customFormat="1">
      <c r="A26476" s="136"/>
      <c r="CM26476" s="111"/>
      <c r="CQ26476" s="111"/>
      <c r="EF26476"/>
      <c r="EG26476"/>
      <c r="EH26476"/>
      <c r="EI26476"/>
      <c r="EJ26476"/>
      <c r="EK26476"/>
    </row>
    <row r="26477" spans="1:141" s="116" customFormat="1">
      <c r="A26477" s="136"/>
      <c r="CM26477" s="111"/>
      <c r="CQ26477" s="111"/>
      <c r="EF26477"/>
      <c r="EG26477"/>
      <c r="EH26477"/>
      <c r="EI26477"/>
      <c r="EJ26477"/>
      <c r="EK26477"/>
    </row>
    <row r="26478" spans="1:141" s="116" customFormat="1">
      <c r="A26478" s="136"/>
      <c r="CM26478" s="111"/>
      <c r="CQ26478" s="111"/>
      <c r="EF26478"/>
      <c r="EG26478"/>
      <c r="EH26478"/>
      <c r="EI26478"/>
      <c r="EJ26478"/>
      <c r="EK26478"/>
    </row>
    <row r="26479" spans="1:141" s="116" customFormat="1">
      <c r="A26479" s="136"/>
      <c r="CM26479" s="111"/>
      <c r="CQ26479" s="111"/>
      <c r="EF26479"/>
      <c r="EG26479"/>
      <c r="EH26479"/>
      <c r="EI26479"/>
      <c r="EJ26479"/>
      <c r="EK26479"/>
    </row>
    <row r="26480" spans="1:141" s="116" customFormat="1">
      <c r="A26480" s="136"/>
      <c r="CM26480" s="111"/>
      <c r="CQ26480" s="111"/>
      <c r="EF26480"/>
      <c r="EG26480"/>
      <c r="EH26480"/>
      <c r="EI26480"/>
      <c r="EJ26480"/>
      <c r="EK26480"/>
    </row>
    <row r="26481" spans="1:141" s="116" customFormat="1">
      <c r="A26481" s="136"/>
      <c r="CM26481" s="111"/>
      <c r="CQ26481" s="111"/>
      <c r="EF26481"/>
      <c r="EG26481"/>
      <c r="EH26481"/>
      <c r="EI26481"/>
      <c r="EJ26481"/>
      <c r="EK26481"/>
    </row>
    <row r="26482" spans="1:141" s="116" customFormat="1">
      <c r="A26482" s="136"/>
      <c r="CM26482" s="111"/>
      <c r="CQ26482" s="111"/>
      <c r="EF26482"/>
      <c r="EG26482"/>
      <c r="EH26482"/>
      <c r="EI26482"/>
      <c r="EJ26482"/>
      <c r="EK26482"/>
    </row>
    <row r="26483" spans="1:141" s="116" customFormat="1">
      <c r="A26483" s="136"/>
      <c r="CM26483" s="111"/>
      <c r="CQ26483" s="111"/>
      <c r="EF26483"/>
      <c r="EG26483"/>
      <c r="EH26483"/>
      <c r="EI26483"/>
      <c r="EJ26483"/>
      <c r="EK26483"/>
    </row>
    <row r="26484" spans="1:141" s="116" customFormat="1">
      <c r="A26484" s="136"/>
      <c r="CM26484" s="111"/>
      <c r="CQ26484" s="111"/>
      <c r="EF26484"/>
      <c r="EG26484"/>
      <c r="EH26484"/>
      <c r="EI26484"/>
      <c r="EJ26484"/>
      <c r="EK26484"/>
    </row>
    <row r="26485" spans="1:141" s="116" customFormat="1">
      <c r="A26485" s="136"/>
      <c r="CM26485" s="111"/>
      <c r="CQ26485" s="111"/>
      <c r="EF26485"/>
      <c r="EG26485"/>
      <c r="EH26485"/>
      <c r="EI26485"/>
      <c r="EJ26485"/>
      <c r="EK26485"/>
    </row>
    <row r="26486" spans="1:141" s="116" customFormat="1">
      <c r="A26486" s="136"/>
      <c r="CM26486" s="111"/>
      <c r="CQ26486" s="111"/>
      <c r="EF26486"/>
      <c r="EG26486"/>
      <c r="EH26486"/>
      <c r="EI26486"/>
      <c r="EJ26486"/>
      <c r="EK26486"/>
    </row>
    <row r="26487" spans="1:141" s="116" customFormat="1">
      <c r="A26487" s="136"/>
      <c r="CM26487" s="111"/>
      <c r="CQ26487" s="111"/>
      <c r="EF26487"/>
      <c r="EG26487"/>
      <c r="EH26487"/>
      <c r="EI26487"/>
      <c r="EJ26487"/>
      <c r="EK26487"/>
    </row>
    <row r="26488" spans="1:141" s="116" customFormat="1">
      <c r="A26488" s="136"/>
      <c r="CM26488" s="111"/>
      <c r="CQ26488" s="111"/>
      <c r="EF26488"/>
      <c r="EG26488"/>
      <c r="EH26488"/>
      <c r="EI26488"/>
      <c r="EJ26488"/>
      <c r="EK26488"/>
    </row>
    <row r="26489" spans="1:141" s="116" customFormat="1">
      <c r="A26489" s="136"/>
      <c r="CM26489" s="111"/>
      <c r="CQ26489" s="111"/>
      <c r="EF26489"/>
      <c r="EG26489"/>
      <c r="EH26489"/>
      <c r="EI26489"/>
      <c r="EJ26489"/>
      <c r="EK26489"/>
    </row>
    <row r="26490" spans="1:141" s="116" customFormat="1">
      <c r="A26490" s="136"/>
      <c r="CM26490" s="111"/>
      <c r="CQ26490" s="111"/>
      <c r="EF26490"/>
      <c r="EG26490"/>
      <c r="EH26490"/>
      <c r="EI26490"/>
      <c r="EJ26490"/>
      <c r="EK26490"/>
    </row>
    <row r="26491" spans="1:141" s="116" customFormat="1">
      <c r="A26491" s="136"/>
      <c r="CM26491" s="111"/>
      <c r="CQ26491" s="111"/>
      <c r="EF26491"/>
      <c r="EG26491"/>
      <c r="EH26491"/>
      <c r="EI26491"/>
      <c r="EJ26491"/>
      <c r="EK26491"/>
    </row>
    <row r="26492" spans="1:141" s="116" customFormat="1">
      <c r="A26492" s="136"/>
      <c r="CM26492" s="111"/>
      <c r="CQ26492" s="111"/>
      <c r="EF26492"/>
      <c r="EG26492"/>
      <c r="EH26492"/>
      <c r="EI26492"/>
      <c r="EJ26492"/>
      <c r="EK26492"/>
    </row>
    <row r="26493" spans="1:141" s="116" customFormat="1">
      <c r="A26493" s="136"/>
      <c r="CM26493" s="111"/>
      <c r="CQ26493" s="111"/>
      <c r="EF26493"/>
      <c r="EG26493"/>
      <c r="EH26493"/>
      <c r="EI26493"/>
      <c r="EJ26493"/>
      <c r="EK26493"/>
    </row>
    <row r="26494" spans="1:141" s="116" customFormat="1">
      <c r="A26494" s="136"/>
      <c r="CM26494" s="111"/>
      <c r="CQ26494" s="111"/>
      <c r="EF26494"/>
      <c r="EG26494"/>
      <c r="EH26494"/>
      <c r="EI26494"/>
      <c r="EJ26494"/>
      <c r="EK26494"/>
    </row>
    <row r="26495" spans="1:141" s="116" customFormat="1">
      <c r="A26495" s="136"/>
      <c r="CM26495" s="111"/>
      <c r="CQ26495" s="111"/>
      <c r="EF26495"/>
      <c r="EG26495"/>
      <c r="EH26495"/>
      <c r="EI26495"/>
      <c r="EJ26495"/>
      <c r="EK26495"/>
    </row>
    <row r="26496" spans="1:141" s="116" customFormat="1">
      <c r="A26496" s="136"/>
      <c r="CM26496" s="111"/>
      <c r="CQ26496" s="111"/>
      <c r="EF26496"/>
      <c r="EG26496"/>
      <c r="EH26496"/>
      <c r="EI26496"/>
      <c r="EJ26496"/>
      <c r="EK26496"/>
    </row>
    <row r="26497" spans="1:141" s="116" customFormat="1">
      <c r="A26497" s="136"/>
      <c r="CM26497" s="111"/>
      <c r="CQ26497" s="111"/>
      <c r="EF26497"/>
      <c r="EG26497"/>
      <c r="EH26497"/>
      <c r="EI26497"/>
      <c r="EJ26497"/>
      <c r="EK26497"/>
    </row>
    <row r="26498" spans="1:141" s="116" customFormat="1">
      <c r="A26498" s="136"/>
      <c r="CM26498" s="111"/>
      <c r="CQ26498" s="111"/>
      <c r="EF26498"/>
      <c r="EG26498"/>
      <c r="EH26498"/>
      <c r="EI26498"/>
      <c r="EJ26498"/>
      <c r="EK26498"/>
    </row>
    <row r="26499" spans="1:141" s="116" customFormat="1">
      <c r="A26499" s="136"/>
      <c r="CM26499" s="111"/>
      <c r="CQ26499" s="111"/>
      <c r="EF26499"/>
      <c r="EG26499"/>
      <c r="EH26499"/>
      <c r="EI26499"/>
      <c r="EJ26499"/>
      <c r="EK26499"/>
    </row>
    <row r="26500" spans="1:141" s="116" customFormat="1">
      <c r="A26500" s="136"/>
      <c r="CM26500" s="111"/>
      <c r="CQ26500" s="111"/>
      <c r="EF26500"/>
      <c r="EG26500"/>
      <c r="EH26500"/>
      <c r="EI26500"/>
      <c r="EJ26500"/>
      <c r="EK26500"/>
    </row>
    <row r="26501" spans="1:141" s="116" customFormat="1">
      <c r="A26501" s="136"/>
      <c r="CM26501" s="111"/>
      <c r="CQ26501" s="111"/>
      <c r="EF26501"/>
      <c r="EG26501"/>
      <c r="EH26501"/>
      <c r="EI26501"/>
      <c r="EJ26501"/>
      <c r="EK26501"/>
    </row>
    <row r="26502" spans="1:141" s="116" customFormat="1">
      <c r="A26502" s="136"/>
      <c r="CM26502" s="111"/>
      <c r="CQ26502" s="111"/>
      <c r="EF26502"/>
      <c r="EG26502"/>
      <c r="EH26502"/>
      <c r="EI26502"/>
      <c r="EJ26502"/>
      <c r="EK26502"/>
    </row>
    <row r="26503" spans="1:141" s="116" customFormat="1">
      <c r="A26503" s="136"/>
      <c r="CM26503" s="111"/>
      <c r="CQ26503" s="111"/>
      <c r="EF26503"/>
      <c r="EG26503"/>
      <c r="EH26503"/>
      <c r="EI26503"/>
      <c r="EJ26503"/>
      <c r="EK26503"/>
    </row>
    <row r="26504" spans="1:141" s="116" customFormat="1">
      <c r="A26504" s="136"/>
      <c r="CM26504" s="111"/>
      <c r="CQ26504" s="111"/>
      <c r="EF26504"/>
      <c r="EG26504"/>
      <c r="EH26504"/>
      <c r="EI26504"/>
      <c r="EJ26504"/>
      <c r="EK26504"/>
    </row>
    <row r="26505" spans="1:141" s="116" customFormat="1">
      <c r="A26505" s="136"/>
      <c r="CM26505" s="111"/>
      <c r="CQ26505" s="111"/>
      <c r="EF26505"/>
      <c r="EG26505"/>
      <c r="EH26505"/>
      <c r="EI26505"/>
      <c r="EJ26505"/>
      <c r="EK26505"/>
    </row>
    <row r="26506" spans="1:141" s="116" customFormat="1">
      <c r="A26506" s="136"/>
      <c r="CM26506" s="111"/>
      <c r="CQ26506" s="111"/>
      <c r="EF26506"/>
      <c r="EG26506"/>
      <c r="EH26506"/>
      <c r="EI26506"/>
      <c r="EJ26506"/>
      <c r="EK26506"/>
    </row>
    <row r="26507" spans="1:141" s="116" customFormat="1">
      <c r="A26507" s="136"/>
      <c r="CM26507" s="111"/>
      <c r="CQ26507" s="111"/>
      <c r="EF26507"/>
      <c r="EG26507"/>
      <c r="EH26507"/>
      <c r="EI26507"/>
      <c r="EJ26507"/>
      <c r="EK26507"/>
    </row>
    <row r="26508" spans="1:141" s="116" customFormat="1">
      <c r="A26508" s="136"/>
      <c r="CM26508" s="111"/>
      <c r="CQ26508" s="111"/>
      <c r="EF26508"/>
      <c r="EG26508"/>
      <c r="EH26508"/>
      <c r="EI26508"/>
      <c r="EJ26508"/>
      <c r="EK26508"/>
    </row>
    <row r="26509" spans="1:141" s="116" customFormat="1">
      <c r="A26509" s="136"/>
      <c r="CM26509" s="111"/>
      <c r="CQ26509" s="111"/>
      <c r="EF26509"/>
      <c r="EG26509"/>
      <c r="EH26509"/>
      <c r="EI26509"/>
      <c r="EJ26509"/>
      <c r="EK26509"/>
    </row>
    <row r="26510" spans="1:141" s="116" customFormat="1">
      <c r="A26510" s="136"/>
      <c r="CM26510" s="111"/>
      <c r="CQ26510" s="111"/>
      <c r="EF26510"/>
      <c r="EG26510"/>
      <c r="EH26510"/>
      <c r="EI26510"/>
      <c r="EJ26510"/>
      <c r="EK26510"/>
    </row>
    <row r="26511" spans="1:141" s="116" customFormat="1">
      <c r="A26511" s="136"/>
      <c r="CM26511" s="111"/>
      <c r="CQ26511" s="111"/>
      <c r="EF26511"/>
      <c r="EG26511"/>
      <c r="EH26511"/>
      <c r="EI26511"/>
      <c r="EJ26511"/>
      <c r="EK26511"/>
    </row>
    <row r="26512" spans="1:141" s="116" customFormat="1">
      <c r="A26512" s="136"/>
      <c r="CM26512" s="111"/>
      <c r="CQ26512" s="111"/>
      <c r="EF26512"/>
      <c r="EG26512"/>
      <c r="EH26512"/>
      <c r="EI26512"/>
      <c r="EJ26512"/>
      <c r="EK26512"/>
    </row>
    <row r="26513" spans="1:141" s="116" customFormat="1">
      <c r="A26513" s="136"/>
      <c r="CM26513" s="111"/>
      <c r="CQ26513" s="111"/>
      <c r="EF26513"/>
      <c r="EG26513"/>
      <c r="EH26513"/>
      <c r="EI26513"/>
      <c r="EJ26513"/>
      <c r="EK26513"/>
    </row>
    <row r="26514" spans="1:141" s="116" customFormat="1">
      <c r="A26514" s="136"/>
      <c r="CM26514" s="111"/>
      <c r="CQ26514" s="111"/>
      <c r="EF26514"/>
      <c r="EG26514"/>
      <c r="EH26514"/>
      <c r="EI26514"/>
      <c r="EJ26514"/>
      <c r="EK26514"/>
    </row>
    <row r="26515" spans="1:141" s="116" customFormat="1">
      <c r="A26515" s="136"/>
      <c r="CM26515" s="111"/>
      <c r="CQ26515" s="111"/>
      <c r="EF26515"/>
      <c r="EG26515"/>
      <c r="EH26515"/>
      <c r="EI26515"/>
      <c r="EJ26515"/>
      <c r="EK26515"/>
    </row>
    <row r="26516" spans="1:141" s="116" customFormat="1">
      <c r="A26516" s="136"/>
      <c r="CM26516" s="111"/>
      <c r="CQ26516" s="111"/>
      <c r="EF26516"/>
      <c r="EG26516"/>
      <c r="EH26516"/>
      <c r="EI26516"/>
      <c r="EJ26516"/>
      <c r="EK26516"/>
    </row>
    <row r="26517" spans="1:141" s="116" customFormat="1">
      <c r="A26517" s="136"/>
      <c r="CM26517" s="111"/>
      <c r="CQ26517" s="111"/>
      <c r="EF26517"/>
      <c r="EG26517"/>
      <c r="EH26517"/>
      <c r="EI26517"/>
      <c r="EJ26517"/>
      <c r="EK26517"/>
    </row>
    <row r="26518" spans="1:141" s="116" customFormat="1">
      <c r="A26518" s="136"/>
      <c r="CM26518" s="111"/>
      <c r="CQ26518" s="111"/>
      <c r="EF26518"/>
      <c r="EG26518"/>
      <c r="EH26518"/>
      <c r="EI26518"/>
      <c r="EJ26518"/>
      <c r="EK26518"/>
    </row>
    <row r="26519" spans="1:141" s="116" customFormat="1">
      <c r="A26519" s="136"/>
      <c r="CM26519" s="111"/>
      <c r="CQ26519" s="111"/>
      <c r="EF26519"/>
      <c r="EG26519"/>
      <c r="EH26519"/>
      <c r="EI26519"/>
      <c r="EJ26519"/>
      <c r="EK26519"/>
    </row>
    <row r="26520" spans="1:141" s="116" customFormat="1">
      <c r="A26520" s="136"/>
      <c r="CM26520" s="111"/>
      <c r="CQ26520" s="111"/>
      <c r="EF26520"/>
      <c r="EG26520"/>
      <c r="EH26520"/>
      <c r="EI26520"/>
      <c r="EJ26520"/>
      <c r="EK26520"/>
    </row>
    <row r="26521" spans="1:141" s="116" customFormat="1">
      <c r="A26521" s="136"/>
      <c r="CM26521" s="111"/>
      <c r="CQ26521" s="111"/>
      <c r="EF26521"/>
      <c r="EG26521"/>
      <c r="EH26521"/>
      <c r="EI26521"/>
      <c r="EJ26521"/>
      <c r="EK26521"/>
    </row>
    <row r="26522" spans="1:141" s="116" customFormat="1">
      <c r="A26522" s="136"/>
      <c r="CM26522" s="111"/>
      <c r="CQ26522" s="111"/>
      <c r="EF26522"/>
      <c r="EG26522"/>
      <c r="EH26522"/>
      <c r="EI26522"/>
      <c r="EJ26522"/>
      <c r="EK26522"/>
    </row>
    <row r="26523" spans="1:141" s="116" customFormat="1">
      <c r="A26523" s="136"/>
      <c r="CM26523" s="111"/>
      <c r="CQ26523" s="111"/>
      <c r="EF26523"/>
      <c r="EG26523"/>
      <c r="EH26523"/>
      <c r="EI26523"/>
      <c r="EJ26523"/>
      <c r="EK26523"/>
    </row>
    <row r="26524" spans="1:141" s="116" customFormat="1">
      <c r="A26524" s="136"/>
      <c r="CM26524" s="111"/>
      <c r="CQ26524" s="111"/>
      <c r="EF26524"/>
      <c r="EG26524"/>
      <c r="EH26524"/>
      <c r="EI26524"/>
      <c r="EJ26524"/>
      <c r="EK26524"/>
    </row>
    <row r="26525" spans="1:141" s="116" customFormat="1">
      <c r="A26525" s="136"/>
      <c r="CM26525" s="111"/>
      <c r="CQ26525" s="111"/>
      <c r="EF26525"/>
      <c r="EG26525"/>
      <c r="EH26525"/>
      <c r="EI26525"/>
      <c r="EJ26525"/>
      <c r="EK26525"/>
    </row>
    <row r="26526" spans="1:141" s="116" customFormat="1">
      <c r="A26526" s="136"/>
      <c r="CM26526" s="111"/>
      <c r="CQ26526" s="111"/>
      <c r="EF26526"/>
      <c r="EG26526"/>
      <c r="EH26526"/>
      <c r="EI26526"/>
      <c r="EJ26526"/>
      <c r="EK26526"/>
    </row>
    <row r="26527" spans="1:141" s="116" customFormat="1">
      <c r="A26527" s="136"/>
      <c r="CM26527" s="111"/>
      <c r="CQ26527" s="111"/>
      <c r="EF26527"/>
      <c r="EG26527"/>
      <c r="EH26527"/>
      <c r="EI26527"/>
      <c r="EJ26527"/>
      <c r="EK26527"/>
    </row>
    <row r="26528" spans="1:141" s="116" customFormat="1">
      <c r="A26528" s="136"/>
      <c r="CM26528" s="111"/>
      <c r="CQ26528" s="111"/>
      <c r="EF26528"/>
      <c r="EG26528"/>
      <c r="EH26528"/>
      <c r="EI26528"/>
      <c r="EJ26528"/>
      <c r="EK26528"/>
    </row>
    <row r="26529" spans="1:141" s="116" customFormat="1">
      <c r="A26529" s="136"/>
      <c r="CM26529" s="111"/>
      <c r="CQ26529" s="111"/>
      <c r="EF26529"/>
      <c r="EG26529"/>
      <c r="EH26529"/>
      <c r="EI26529"/>
      <c r="EJ26529"/>
      <c r="EK26529"/>
    </row>
    <row r="26530" spans="1:141" s="116" customFormat="1">
      <c r="A26530" s="136"/>
      <c r="CM26530" s="111"/>
      <c r="CQ26530" s="111"/>
      <c r="EF26530"/>
      <c r="EG26530"/>
      <c r="EH26530"/>
      <c r="EI26530"/>
      <c r="EJ26530"/>
      <c r="EK26530"/>
    </row>
    <row r="26531" spans="1:141" s="116" customFormat="1">
      <c r="A26531" s="136"/>
      <c r="CM26531" s="111"/>
      <c r="CQ26531" s="111"/>
      <c r="EF26531"/>
      <c r="EG26531"/>
      <c r="EH26531"/>
      <c r="EI26531"/>
      <c r="EJ26531"/>
      <c r="EK26531"/>
    </row>
    <row r="26532" spans="1:141" s="116" customFormat="1">
      <c r="A26532" s="136"/>
      <c r="CM26532" s="111"/>
      <c r="CQ26532" s="111"/>
      <c r="EF26532"/>
      <c r="EG26532"/>
      <c r="EH26532"/>
      <c r="EI26532"/>
      <c r="EJ26532"/>
      <c r="EK26532"/>
    </row>
    <row r="26533" spans="1:141" s="116" customFormat="1">
      <c r="A26533" s="136"/>
      <c r="CM26533" s="111"/>
      <c r="CQ26533" s="111"/>
      <c r="EF26533"/>
      <c r="EG26533"/>
      <c r="EH26533"/>
      <c r="EI26533"/>
      <c r="EJ26533"/>
      <c r="EK26533"/>
    </row>
    <row r="26534" spans="1:141" s="116" customFormat="1">
      <c r="A26534" s="136"/>
      <c r="CM26534" s="111"/>
      <c r="CQ26534" s="111"/>
      <c r="EF26534"/>
      <c r="EG26534"/>
      <c r="EH26534"/>
      <c r="EI26534"/>
      <c r="EJ26534"/>
      <c r="EK26534"/>
    </row>
    <row r="26535" spans="1:141" s="116" customFormat="1">
      <c r="A26535" s="136"/>
      <c r="CM26535" s="111"/>
      <c r="CQ26535" s="111"/>
      <c r="EF26535"/>
      <c r="EG26535"/>
      <c r="EH26535"/>
      <c r="EI26535"/>
      <c r="EJ26535"/>
      <c r="EK26535"/>
    </row>
    <row r="26536" spans="1:141" s="116" customFormat="1">
      <c r="A26536" s="136"/>
      <c r="CM26536" s="111"/>
      <c r="CQ26536" s="111"/>
      <c r="EF26536"/>
      <c r="EG26536"/>
      <c r="EH26536"/>
      <c r="EI26536"/>
      <c r="EJ26536"/>
      <c r="EK26536"/>
    </row>
    <row r="26537" spans="1:141" s="116" customFormat="1">
      <c r="A26537" s="136"/>
      <c r="CM26537" s="111"/>
      <c r="CQ26537" s="111"/>
      <c r="EF26537"/>
      <c r="EG26537"/>
      <c r="EH26537"/>
      <c r="EI26537"/>
      <c r="EJ26537"/>
      <c r="EK26537"/>
    </row>
    <row r="26538" spans="1:141" s="116" customFormat="1">
      <c r="A26538" s="136"/>
      <c r="CM26538" s="111"/>
      <c r="CQ26538" s="111"/>
      <c r="EF26538"/>
      <c r="EG26538"/>
      <c r="EH26538"/>
      <c r="EI26538"/>
      <c r="EJ26538"/>
      <c r="EK26538"/>
    </row>
    <row r="26539" spans="1:141" s="116" customFormat="1">
      <c r="A26539" s="136"/>
      <c r="CM26539" s="111"/>
      <c r="CQ26539" s="111"/>
      <c r="EF26539"/>
      <c r="EG26539"/>
      <c r="EH26539"/>
      <c r="EI26539"/>
      <c r="EJ26539"/>
      <c r="EK26539"/>
    </row>
    <row r="26540" spans="1:141" s="116" customFormat="1">
      <c r="A26540" s="136"/>
      <c r="CM26540" s="111"/>
      <c r="CQ26540" s="111"/>
      <c r="EF26540"/>
      <c r="EG26540"/>
      <c r="EH26540"/>
      <c r="EI26540"/>
      <c r="EJ26540"/>
      <c r="EK26540"/>
    </row>
    <row r="26541" spans="1:141" s="116" customFormat="1">
      <c r="A26541" s="136"/>
      <c r="CM26541" s="111"/>
      <c r="CQ26541" s="111"/>
      <c r="EF26541"/>
      <c r="EG26541"/>
      <c r="EH26541"/>
      <c r="EI26541"/>
      <c r="EJ26541"/>
      <c r="EK26541"/>
    </row>
    <row r="26542" spans="1:141" s="116" customFormat="1">
      <c r="A26542" s="136"/>
      <c r="CM26542" s="111"/>
      <c r="CQ26542" s="111"/>
      <c r="EF26542"/>
      <c r="EG26542"/>
      <c r="EH26542"/>
      <c r="EI26542"/>
      <c r="EJ26542"/>
      <c r="EK26542"/>
    </row>
    <row r="26543" spans="1:141" s="116" customFormat="1">
      <c r="A26543" s="136"/>
      <c r="CM26543" s="111"/>
      <c r="CQ26543" s="111"/>
      <c r="EF26543"/>
      <c r="EG26543"/>
      <c r="EH26543"/>
      <c r="EI26543"/>
      <c r="EJ26543"/>
      <c r="EK26543"/>
    </row>
    <row r="26544" spans="1:141" s="116" customFormat="1">
      <c r="A26544" s="136"/>
      <c r="CM26544" s="111"/>
      <c r="CQ26544" s="111"/>
      <c r="EF26544"/>
      <c r="EG26544"/>
      <c r="EH26544"/>
      <c r="EI26544"/>
      <c r="EJ26544"/>
      <c r="EK26544"/>
    </row>
    <row r="26545" spans="1:141" s="116" customFormat="1">
      <c r="A26545" s="136"/>
      <c r="CM26545" s="111"/>
      <c r="CQ26545" s="111"/>
      <c r="EF26545"/>
      <c r="EG26545"/>
      <c r="EH26545"/>
      <c r="EI26545"/>
      <c r="EJ26545"/>
      <c r="EK26545"/>
    </row>
    <row r="26546" spans="1:141" s="116" customFormat="1">
      <c r="A26546" s="136"/>
      <c r="CM26546" s="111"/>
      <c r="CQ26546" s="111"/>
      <c r="EF26546"/>
      <c r="EG26546"/>
      <c r="EH26546"/>
      <c r="EI26546"/>
      <c r="EJ26546"/>
      <c r="EK26546"/>
    </row>
    <row r="26547" spans="1:141" s="116" customFormat="1">
      <c r="A26547" s="136"/>
      <c r="CM26547" s="111"/>
      <c r="CQ26547" s="111"/>
      <c r="EF26547"/>
      <c r="EG26547"/>
      <c r="EH26547"/>
      <c r="EI26547"/>
      <c r="EJ26547"/>
      <c r="EK26547"/>
    </row>
    <row r="26548" spans="1:141" s="116" customFormat="1">
      <c r="A26548" s="136"/>
      <c r="CM26548" s="111"/>
      <c r="CQ26548" s="111"/>
      <c r="EF26548"/>
      <c r="EG26548"/>
      <c r="EH26548"/>
      <c r="EI26548"/>
      <c r="EJ26548"/>
      <c r="EK26548"/>
    </row>
    <row r="26549" spans="1:141" s="116" customFormat="1">
      <c r="A26549" s="136"/>
      <c r="CM26549" s="111"/>
      <c r="CQ26549" s="111"/>
      <c r="EF26549"/>
      <c r="EG26549"/>
      <c r="EH26549"/>
      <c r="EI26549"/>
      <c r="EJ26549"/>
      <c r="EK26549"/>
    </row>
    <row r="26550" spans="1:141" s="116" customFormat="1">
      <c r="A26550" s="136"/>
      <c r="CM26550" s="111"/>
      <c r="CQ26550" s="111"/>
      <c r="EF26550"/>
      <c r="EG26550"/>
      <c r="EH26550"/>
      <c r="EI26550"/>
      <c r="EJ26550"/>
      <c r="EK26550"/>
    </row>
    <row r="26551" spans="1:141" s="116" customFormat="1">
      <c r="A26551" s="136"/>
      <c r="CM26551" s="111"/>
      <c r="CQ26551" s="111"/>
      <c r="EF26551"/>
      <c r="EG26551"/>
      <c r="EH26551"/>
      <c r="EI26551"/>
      <c r="EJ26551"/>
      <c r="EK26551"/>
    </row>
    <row r="26552" spans="1:141" s="116" customFormat="1">
      <c r="A26552" s="136"/>
      <c r="CM26552" s="111"/>
      <c r="CQ26552" s="111"/>
      <c r="EF26552"/>
      <c r="EG26552"/>
      <c r="EH26552"/>
      <c r="EI26552"/>
      <c r="EJ26552"/>
      <c r="EK26552"/>
    </row>
    <row r="26553" spans="1:141" s="116" customFormat="1">
      <c r="A26553" s="136"/>
      <c r="CM26553" s="111"/>
      <c r="CQ26553" s="111"/>
      <c r="EF26553"/>
      <c r="EG26553"/>
      <c r="EH26553"/>
      <c r="EI26553"/>
      <c r="EJ26553"/>
      <c r="EK26553"/>
    </row>
    <row r="26554" spans="1:141" s="116" customFormat="1">
      <c r="A26554" s="136"/>
      <c r="CM26554" s="111"/>
      <c r="CQ26554" s="111"/>
      <c r="EF26554"/>
      <c r="EG26554"/>
      <c r="EH26554"/>
      <c r="EI26554"/>
      <c r="EJ26554"/>
      <c r="EK26554"/>
    </row>
    <row r="26555" spans="1:141" s="116" customFormat="1">
      <c r="A26555" s="136"/>
      <c r="CM26555" s="111"/>
      <c r="CQ26555" s="111"/>
      <c r="EF26555"/>
      <c r="EG26555"/>
      <c r="EH26555"/>
      <c r="EI26555"/>
      <c r="EJ26555"/>
      <c r="EK26555"/>
    </row>
    <row r="26556" spans="1:141" s="116" customFormat="1">
      <c r="A26556" s="136"/>
      <c r="CM26556" s="111"/>
      <c r="CQ26556" s="111"/>
      <c r="EF26556"/>
      <c r="EG26556"/>
      <c r="EH26556"/>
      <c r="EI26556"/>
      <c r="EJ26556"/>
      <c r="EK26556"/>
    </row>
    <row r="26557" spans="1:141" s="116" customFormat="1">
      <c r="A26557" s="136"/>
      <c r="CM26557" s="111"/>
      <c r="CQ26557" s="111"/>
      <c r="EF26557"/>
      <c r="EG26557"/>
      <c r="EH26557"/>
      <c r="EI26557"/>
      <c r="EJ26557"/>
      <c r="EK26557"/>
    </row>
    <row r="26558" spans="1:141" s="116" customFormat="1">
      <c r="A26558" s="136"/>
      <c r="CM26558" s="111"/>
      <c r="CQ26558" s="111"/>
      <c r="EF26558"/>
      <c r="EG26558"/>
      <c r="EH26558"/>
      <c r="EI26558"/>
      <c r="EJ26558"/>
      <c r="EK26558"/>
    </row>
    <row r="26559" spans="1:141" s="116" customFormat="1">
      <c r="A26559" s="136"/>
      <c r="CM26559" s="111"/>
      <c r="CQ26559" s="111"/>
      <c r="EF26559"/>
      <c r="EG26559"/>
      <c r="EH26559"/>
      <c r="EI26559"/>
      <c r="EJ26559"/>
      <c r="EK26559"/>
    </row>
    <row r="26560" spans="1:141" s="116" customFormat="1">
      <c r="A26560" s="136"/>
      <c r="CM26560" s="111"/>
      <c r="CQ26560" s="111"/>
      <c r="EF26560"/>
      <c r="EG26560"/>
      <c r="EH26560"/>
      <c r="EI26560"/>
      <c r="EJ26560"/>
      <c r="EK26560"/>
    </row>
    <row r="26561" spans="1:141" s="116" customFormat="1">
      <c r="A26561" s="136"/>
      <c r="CM26561" s="111"/>
      <c r="CQ26561" s="111"/>
      <c r="EF26561"/>
      <c r="EG26561"/>
      <c r="EH26561"/>
      <c r="EI26561"/>
      <c r="EJ26561"/>
      <c r="EK26561"/>
    </row>
    <row r="26562" spans="1:141" s="116" customFormat="1">
      <c r="A26562" s="136"/>
      <c r="CM26562" s="111"/>
      <c r="CQ26562" s="111"/>
      <c r="EF26562"/>
      <c r="EG26562"/>
      <c r="EH26562"/>
      <c r="EI26562"/>
      <c r="EJ26562"/>
      <c r="EK26562"/>
    </row>
    <row r="26563" spans="1:141" s="116" customFormat="1">
      <c r="A26563" s="136"/>
      <c r="CM26563" s="111"/>
      <c r="CQ26563" s="111"/>
      <c r="EF26563"/>
      <c r="EG26563"/>
      <c r="EH26563"/>
      <c r="EI26563"/>
      <c r="EJ26563"/>
      <c r="EK26563"/>
    </row>
    <row r="26564" spans="1:141" s="116" customFormat="1">
      <c r="A26564" s="136"/>
      <c r="CM26564" s="111"/>
      <c r="CQ26564" s="111"/>
      <c r="EF26564"/>
      <c r="EG26564"/>
      <c r="EH26564"/>
      <c r="EI26564"/>
      <c r="EJ26564"/>
      <c r="EK26564"/>
    </row>
    <row r="26565" spans="1:141" s="116" customFormat="1">
      <c r="A26565" s="136"/>
      <c r="CM26565" s="111"/>
      <c r="CQ26565" s="111"/>
      <c r="EF26565"/>
      <c r="EG26565"/>
      <c r="EH26565"/>
      <c r="EI26565"/>
      <c r="EJ26565"/>
      <c r="EK26565"/>
    </row>
    <row r="26566" spans="1:141" s="116" customFormat="1">
      <c r="A26566" s="136"/>
      <c r="CM26566" s="111"/>
      <c r="CQ26566" s="111"/>
      <c r="EF26566"/>
      <c r="EG26566"/>
      <c r="EH26566"/>
      <c r="EI26566"/>
      <c r="EJ26566"/>
      <c r="EK26566"/>
    </row>
    <row r="26567" spans="1:141" s="116" customFormat="1">
      <c r="A26567" s="136"/>
      <c r="CM26567" s="111"/>
      <c r="CQ26567" s="111"/>
      <c r="EF26567"/>
      <c r="EG26567"/>
      <c r="EH26567"/>
      <c r="EI26567"/>
      <c r="EJ26567"/>
      <c r="EK26567"/>
    </row>
    <row r="26568" spans="1:141" s="116" customFormat="1">
      <c r="A26568" s="136"/>
      <c r="CM26568" s="111"/>
      <c r="CQ26568" s="111"/>
      <c r="EF26568"/>
      <c r="EG26568"/>
      <c r="EH26568"/>
      <c r="EI26568"/>
      <c r="EJ26568"/>
      <c r="EK26568"/>
    </row>
    <row r="26569" spans="1:141" s="116" customFormat="1">
      <c r="A26569" s="136"/>
      <c r="CM26569" s="111"/>
      <c r="CQ26569" s="111"/>
      <c r="EF26569"/>
      <c r="EG26569"/>
      <c r="EH26569"/>
      <c r="EI26569"/>
      <c r="EJ26569"/>
      <c r="EK26569"/>
    </row>
    <row r="26570" spans="1:141" s="116" customFormat="1">
      <c r="A26570" s="136"/>
      <c r="CM26570" s="111"/>
      <c r="CQ26570" s="111"/>
      <c r="EF26570"/>
      <c r="EG26570"/>
      <c r="EH26570"/>
      <c r="EI26570"/>
      <c r="EJ26570"/>
      <c r="EK26570"/>
    </row>
    <row r="26571" spans="1:141" s="116" customFormat="1">
      <c r="A26571" s="136"/>
      <c r="CM26571" s="111"/>
      <c r="CQ26571" s="111"/>
      <c r="EF26571"/>
      <c r="EG26571"/>
      <c r="EH26571"/>
      <c r="EI26571"/>
      <c r="EJ26571"/>
      <c r="EK26571"/>
    </row>
    <row r="26572" spans="1:141" s="116" customFormat="1">
      <c r="A26572" s="136"/>
      <c r="CM26572" s="111"/>
      <c r="CQ26572" s="111"/>
      <c r="EF26572"/>
      <c r="EG26572"/>
      <c r="EH26572"/>
      <c r="EI26572"/>
      <c r="EJ26572"/>
      <c r="EK26572"/>
    </row>
    <row r="26573" spans="1:141" s="116" customFormat="1">
      <c r="A26573" s="136"/>
      <c r="CM26573" s="111"/>
      <c r="CQ26573" s="111"/>
      <c r="EF26573"/>
      <c r="EG26573"/>
      <c r="EH26573"/>
      <c r="EI26573"/>
      <c r="EJ26573"/>
      <c r="EK26573"/>
    </row>
    <row r="26574" spans="1:141" s="116" customFormat="1">
      <c r="A26574" s="136"/>
      <c r="CM26574" s="111"/>
      <c r="CQ26574" s="111"/>
      <c r="EF26574"/>
      <c r="EG26574"/>
      <c r="EH26574"/>
      <c r="EI26574"/>
      <c r="EJ26574"/>
      <c r="EK26574"/>
    </row>
    <row r="26575" spans="1:141" s="116" customFormat="1">
      <c r="A26575" s="136"/>
      <c r="CM26575" s="111"/>
      <c r="CQ26575" s="111"/>
      <c r="EF26575"/>
      <c r="EG26575"/>
      <c r="EH26575"/>
      <c r="EI26575"/>
      <c r="EJ26575"/>
      <c r="EK26575"/>
    </row>
    <row r="26576" spans="1:141" s="116" customFormat="1">
      <c r="A26576" s="136"/>
      <c r="CM26576" s="111"/>
      <c r="CQ26576" s="111"/>
      <c r="EF26576"/>
      <c r="EG26576"/>
      <c r="EH26576"/>
      <c r="EI26576"/>
      <c r="EJ26576"/>
      <c r="EK26576"/>
    </row>
    <row r="26577" spans="1:141" s="116" customFormat="1">
      <c r="A26577" s="136"/>
      <c r="CM26577" s="111"/>
      <c r="CQ26577" s="111"/>
      <c r="EF26577"/>
      <c r="EG26577"/>
      <c r="EH26577"/>
      <c r="EI26577"/>
      <c r="EJ26577"/>
      <c r="EK26577"/>
    </row>
    <row r="26578" spans="1:141" s="116" customFormat="1">
      <c r="A26578" s="136"/>
      <c r="CM26578" s="111"/>
      <c r="CQ26578" s="111"/>
      <c r="EF26578"/>
      <c r="EG26578"/>
      <c r="EH26578"/>
      <c r="EI26578"/>
      <c r="EJ26578"/>
      <c r="EK26578"/>
    </row>
    <row r="26579" spans="1:141" s="116" customFormat="1">
      <c r="A26579" s="136"/>
      <c r="CM26579" s="111"/>
      <c r="CQ26579" s="111"/>
      <c r="EF26579"/>
      <c r="EG26579"/>
      <c r="EH26579"/>
      <c r="EI26579"/>
      <c r="EJ26579"/>
      <c r="EK26579"/>
    </row>
    <row r="26580" spans="1:141" s="116" customFormat="1">
      <c r="A26580" s="136"/>
      <c r="CM26580" s="111"/>
      <c r="CQ26580" s="111"/>
      <c r="EF26580"/>
      <c r="EG26580"/>
      <c r="EH26580"/>
      <c r="EI26580"/>
      <c r="EJ26580"/>
      <c r="EK26580"/>
    </row>
    <row r="26581" spans="1:141" s="116" customFormat="1">
      <c r="A26581" s="136"/>
      <c r="CM26581" s="111"/>
      <c r="CQ26581" s="111"/>
      <c r="EF26581"/>
      <c r="EG26581"/>
      <c r="EH26581"/>
      <c r="EI26581"/>
      <c r="EJ26581"/>
      <c r="EK26581"/>
    </row>
    <row r="26582" spans="1:141" s="116" customFormat="1">
      <c r="A26582" s="136"/>
      <c r="CM26582" s="111"/>
      <c r="CQ26582" s="111"/>
      <c r="EF26582"/>
      <c r="EG26582"/>
      <c r="EH26582"/>
      <c r="EI26582"/>
      <c r="EJ26582"/>
      <c r="EK26582"/>
    </row>
    <row r="26583" spans="1:141" s="116" customFormat="1">
      <c r="A26583" s="136"/>
      <c r="CM26583" s="111"/>
      <c r="CQ26583" s="111"/>
      <c r="EF26583"/>
      <c r="EG26583"/>
      <c r="EH26583"/>
      <c r="EI26583"/>
      <c r="EJ26583"/>
      <c r="EK26583"/>
    </row>
    <row r="26584" spans="1:141" s="116" customFormat="1">
      <c r="A26584" s="136"/>
      <c r="CM26584" s="111"/>
      <c r="CQ26584" s="111"/>
      <c r="EF26584"/>
      <c r="EG26584"/>
      <c r="EH26584"/>
      <c r="EI26584"/>
      <c r="EJ26584"/>
      <c r="EK26584"/>
    </row>
    <row r="26585" spans="1:141" s="116" customFormat="1">
      <c r="A26585" s="136"/>
      <c r="CM26585" s="111"/>
      <c r="CQ26585" s="111"/>
      <c r="EF26585"/>
      <c r="EG26585"/>
      <c r="EH26585"/>
      <c r="EI26585"/>
      <c r="EJ26585"/>
      <c r="EK26585"/>
    </row>
    <row r="26586" spans="1:141" s="116" customFormat="1">
      <c r="A26586" s="136"/>
      <c r="CM26586" s="111"/>
      <c r="CQ26586" s="111"/>
      <c r="EF26586"/>
      <c r="EG26586"/>
      <c r="EH26586"/>
      <c r="EI26586"/>
      <c r="EJ26586"/>
      <c r="EK26586"/>
    </row>
    <row r="26587" spans="1:141" s="116" customFormat="1">
      <c r="A26587" s="136"/>
      <c r="CM26587" s="111"/>
      <c r="CQ26587" s="111"/>
      <c r="EF26587"/>
      <c r="EG26587"/>
      <c r="EH26587"/>
      <c r="EI26587"/>
      <c r="EJ26587"/>
      <c r="EK26587"/>
    </row>
    <row r="26588" spans="1:141" s="116" customFormat="1">
      <c r="A26588" s="136"/>
      <c r="CM26588" s="111"/>
      <c r="CQ26588" s="111"/>
      <c r="EF26588"/>
      <c r="EG26588"/>
      <c r="EH26588"/>
      <c r="EI26588"/>
      <c r="EJ26588"/>
      <c r="EK26588"/>
    </row>
    <row r="26589" spans="1:141" s="116" customFormat="1">
      <c r="A26589" s="136"/>
      <c r="CM26589" s="111"/>
      <c r="CQ26589" s="111"/>
      <c r="EF26589"/>
      <c r="EG26589"/>
      <c r="EH26589"/>
      <c r="EI26589"/>
      <c r="EJ26589"/>
      <c r="EK26589"/>
    </row>
    <row r="26590" spans="1:141" s="116" customFormat="1">
      <c r="A26590" s="136"/>
      <c r="CM26590" s="111"/>
      <c r="CQ26590" s="111"/>
      <c r="EF26590"/>
      <c r="EG26590"/>
      <c r="EH26590"/>
      <c r="EI26590"/>
      <c r="EJ26590"/>
      <c r="EK26590"/>
    </row>
    <row r="26591" spans="1:141" s="116" customFormat="1">
      <c r="A26591" s="136"/>
      <c r="CM26591" s="111"/>
      <c r="CQ26591" s="111"/>
      <c r="EF26591"/>
      <c r="EG26591"/>
      <c r="EH26591"/>
      <c r="EI26591"/>
      <c r="EJ26591"/>
      <c r="EK26591"/>
    </row>
    <row r="26592" spans="1:141" s="116" customFormat="1">
      <c r="A26592" s="136"/>
      <c r="CM26592" s="111"/>
      <c r="CQ26592" s="111"/>
      <c r="EF26592"/>
      <c r="EG26592"/>
      <c r="EH26592"/>
      <c r="EI26592"/>
      <c r="EJ26592"/>
      <c r="EK26592"/>
    </row>
    <row r="26593" spans="1:141" s="116" customFormat="1">
      <c r="A26593" s="136"/>
      <c r="CM26593" s="111"/>
      <c r="CQ26593" s="111"/>
      <c r="EF26593"/>
      <c r="EG26593"/>
      <c r="EH26593"/>
      <c r="EI26593"/>
      <c r="EJ26593"/>
      <c r="EK26593"/>
    </row>
    <row r="26594" spans="1:141" s="116" customFormat="1">
      <c r="A26594" s="136"/>
      <c r="CM26594" s="111"/>
      <c r="CQ26594" s="111"/>
      <c r="EF26594"/>
      <c r="EG26594"/>
      <c r="EH26594"/>
      <c r="EI26594"/>
      <c r="EJ26594"/>
      <c r="EK26594"/>
    </row>
    <row r="26595" spans="1:141" s="116" customFormat="1">
      <c r="A26595" s="136"/>
      <c r="CM26595" s="111"/>
      <c r="CQ26595" s="111"/>
      <c r="EF26595"/>
      <c r="EG26595"/>
      <c r="EH26595"/>
      <c r="EI26595"/>
      <c r="EJ26595"/>
      <c r="EK26595"/>
    </row>
    <row r="26596" spans="1:141" s="116" customFormat="1">
      <c r="A26596" s="136"/>
      <c r="CM26596" s="111"/>
      <c r="CQ26596" s="111"/>
      <c r="EF26596"/>
      <c r="EG26596"/>
      <c r="EH26596"/>
      <c r="EI26596"/>
      <c r="EJ26596"/>
      <c r="EK26596"/>
    </row>
    <row r="26597" spans="1:141" s="116" customFormat="1">
      <c r="A26597" s="136"/>
      <c r="CM26597" s="111"/>
      <c r="CQ26597" s="111"/>
      <c r="EF26597"/>
      <c r="EG26597"/>
      <c r="EH26597"/>
      <c r="EI26597"/>
      <c r="EJ26597"/>
      <c r="EK26597"/>
    </row>
    <row r="26598" spans="1:141" s="116" customFormat="1">
      <c r="A26598" s="136"/>
      <c r="CM26598" s="111"/>
      <c r="CQ26598" s="111"/>
      <c r="EF26598"/>
      <c r="EG26598"/>
      <c r="EH26598"/>
      <c r="EI26598"/>
      <c r="EJ26598"/>
      <c r="EK26598"/>
    </row>
    <row r="26599" spans="1:141" s="116" customFormat="1">
      <c r="A26599" s="136"/>
      <c r="CM26599" s="111"/>
      <c r="CQ26599" s="111"/>
      <c r="EF26599"/>
      <c r="EG26599"/>
      <c r="EH26599"/>
      <c r="EI26599"/>
      <c r="EJ26599"/>
      <c r="EK26599"/>
    </row>
    <row r="26600" spans="1:141" s="116" customFormat="1">
      <c r="A26600" s="136"/>
      <c r="CM26600" s="111"/>
      <c r="CQ26600" s="111"/>
      <c r="EF26600"/>
      <c r="EG26600"/>
      <c r="EH26600"/>
      <c r="EI26600"/>
      <c r="EJ26600"/>
      <c r="EK26600"/>
    </row>
    <row r="26601" spans="1:141" s="116" customFormat="1">
      <c r="A26601" s="136"/>
      <c r="CM26601" s="111"/>
      <c r="CQ26601" s="111"/>
      <c r="EF26601"/>
      <c r="EG26601"/>
      <c r="EH26601"/>
      <c r="EI26601"/>
      <c r="EJ26601"/>
      <c r="EK26601"/>
    </row>
    <row r="26602" spans="1:141" s="116" customFormat="1">
      <c r="A26602" s="136"/>
      <c r="CM26602" s="111"/>
      <c r="CQ26602" s="111"/>
      <c r="EF26602"/>
      <c r="EG26602"/>
      <c r="EH26602"/>
      <c r="EI26602"/>
      <c r="EJ26602"/>
      <c r="EK26602"/>
    </row>
    <row r="26603" spans="1:141" s="116" customFormat="1">
      <c r="A26603" s="136"/>
      <c r="CM26603" s="111"/>
      <c r="CQ26603" s="111"/>
      <c r="EF26603"/>
      <c r="EG26603"/>
      <c r="EH26603"/>
      <c r="EI26603"/>
      <c r="EJ26603"/>
      <c r="EK26603"/>
    </row>
    <row r="26604" spans="1:141" s="116" customFormat="1">
      <c r="A26604" s="136"/>
      <c r="CM26604" s="111"/>
      <c r="CQ26604" s="111"/>
      <c r="EF26604"/>
      <c r="EG26604"/>
      <c r="EH26604"/>
      <c r="EI26604"/>
      <c r="EJ26604"/>
      <c r="EK26604"/>
    </row>
    <row r="26605" spans="1:141" s="116" customFormat="1">
      <c r="A26605" s="136"/>
      <c r="CM26605" s="111"/>
      <c r="CQ26605" s="111"/>
      <c r="EF26605"/>
      <c r="EG26605"/>
      <c r="EH26605"/>
      <c r="EI26605"/>
      <c r="EJ26605"/>
      <c r="EK26605"/>
    </row>
    <row r="26606" spans="1:141" s="116" customFormat="1">
      <c r="A26606" s="136"/>
      <c r="CM26606" s="111"/>
      <c r="CQ26606" s="111"/>
      <c r="EF26606"/>
      <c r="EG26606"/>
      <c r="EH26606"/>
      <c r="EI26606"/>
      <c r="EJ26606"/>
      <c r="EK26606"/>
    </row>
    <row r="26607" spans="1:141" s="116" customFormat="1">
      <c r="A26607" s="136"/>
      <c r="CM26607" s="111"/>
      <c r="CQ26607" s="111"/>
      <c r="EF26607"/>
      <c r="EG26607"/>
      <c r="EH26607"/>
      <c r="EI26607"/>
      <c r="EJ26607"/>
      <c r="EK26607"/>
    </row>
    <row r="26608" spans="1:141" s="116" customFormat="1">
      <c r="A26608" s="136"/>
      <c r="CM26608" s="111"/>
      <c r="CQ26608" s="111"/>
      <c r="EF26608"/>
      <c r="EG26608"/>
      <c r="EH26608"/>
      <c r="EI26608"/>
      <c r="EJ26608"/>
      <c r="EK26608"/>
    </row>
    <row r="26609" spans="1:141" s="116" customFormat="1">
      <c r="A26609" s="136"/>
      <c r="CM26609" s="111"/>
      <c r="CQ26609" s="111"/>
      <c r="EF26609"/>
      <c r="EG26609"/>
      <c r="EH26609"/>
      <c r="EI26609"/>
      <c r="EJ26609"/>
      <c r="EK26609"/>
    </row>
    <row r="26610" spans="1:141" s="116" customFormat="1">
      <c r="A26610" s="136"/>
      <c r="CM26610" s="111"/>
      <c r="CQ26610" s="111"/>
      <c r="EF26610"/>
      <c r="EG26610"/>
      <c r="EH26610"/>
      <c r="EI26610"/>
      <c r="EJ26610"/>
      <c r="EK26610"/>
    </row>
    <row r="26611" spans="1:141" s="116" customFormat="1">
      <c r="A26611" s="136"/>
      <c r="CM26611" s="111"/>
      <c r="CQ26611" s="111"/>
      <c r="EF26611"/>
      <c r="EG26611"/>
      <c r="EH26611"/>
      <c r="EI26611"/>
      <c r="EJ26611"/>
      <c r="EK26611"/>
    </row>
    <row r="26612" spans="1:141" s="116" customFormat="1">
      <c r="A26612" s="136"/>
      <c r="CM26612" s="111"/>
      <c r="CQ26612" s="111"/>
      <c r="EF26612"/>
      <c r="EG26612"/>
      <c r="EH26612"/>
      <c r="EI26612"/>
      <c r="EJ26612"/>
      <c r="EK26612"/>
    </row>
    <row r="26613" spans="1:141" s="116" customFormat="1">
      <c r="A26613" s="136"/>
      <c r="CM26613" s="111"/>
      <c r="CQ26613" s="111"/>
      <c r="EF26613"/>
      <c r="EG26613"/>
      <c r="EH26613"/>
      <c r="EI26613"/>
      <c r="EJ26613"/>
      <c r="EK26613"/>
    </row>
    <row r="26614" spans="1:141" s="116" customFormat="1">
      <c r="A26614" s="136"/>
      <c r="CM26614" s="111"/>
      <c r="CQ26614" s="111"/>
      <c r="EF26614"/>
      <c r="EG26614"/>
      <c r="EH26614"/>
      <c r="EI26614"/>
      <c r="EJ26614"/>
      <c r="EK26614"/>
    </row>
    <row r="26615" spans="1:141" s="116" customFormat="1">
      <c r="A26615" s="136"/>
      <c r="CM26615" s="111"/>
      <c r="CQ26615" s="111"/>
      <c r="EF26615"/>
      <c r="EG26615"/>
      <c r="EH26615"/>
      <c r="EI26615"/>
      <c r="EJ26615"/>
      <c r="EK26615"/>
    </row>
    <row r="26616" spans="1:141" s="116" customFormat="1">
      <c r="A26616" s="136"/>
      <c r="CM26616" s="111"/>
      <c r="CQ26616" s="111"/>
      <c r="EF26616"/>
      <c r="EG26616"/>
      <c r="EH26616"/>
      <c r="EI26616"/>
      <c r="EJ26616"/>
      <c r="EK26616"/>
    </row>
    <row r="26617" spans="1:141" s="116" customFormat="1">
      <c r="A26617" s="136"/>
      <c r="CM26617" s="111"/>
      <c r="CQ26617" s="111"/>
      <c r="EF26617"/>
      <c r="EG26617"/>
      <c r="EH26617"/>
      <c r="EI26617"/>
      <c r="EJ26617"/>
      <c r="EK26617"/>
    </row>
    <row r="26618" spans="1:141" s="116" customFormat="1">
      <c r="A26618" s="136"/>
      <c r="CM26618" s="111"/>
      <c r="CQ26618" s="111"/>
      <c r="EF26618"/>
      <c r="EG26618"/>
      <c r="EH26618"/>
      <c r="EI26618"/>
      <c r="EJ26618"/>
      <c r="EK26618"/>
    </row>
    <row r="26619" spans="1:141" s="116" customFormat="1">
      <c r="A26619" s="136"/>
      <c r="CM26619" s="111"/>
      <c r="CQ26619" s="111"/>
      <c r="EF26619"/>
      <c r="EG26619"/>
      <c r="EH26619"/>
      <c r="EI26619"/>
      <c r="EJ26619"/>
      <c r="EK26619"/>
    </row>
    <row r="26620" spans="1:141" s="116" customFormat="1">
      <c r="A26620" s="136"/>
      <c r="CM26620" s="111"/>
      <c r="CQ26620" s="111"/>
      <c r="EF26620"/>
      <c r="EG26620"/>
      <c r="EH26620"/>
      <c r="EI26620"/>
      <c r="EJ26620"/>
      <c r="EK26620"/>
    </row>
    <row r="26621" spans="1:141" s="116" customFormat="1">
      <c r="A26621" s="136"/>
      <c r="CM26621" s="111"/>
      <c r="CQ26621" s="111"/>
      <c r="EF26621"/>
      <c r="EG26621"/>
      <c r="EH26621"/>
      <c r="EI26621"/>
      <c r="EJ26621"/>
      <c r="EK26621"/>
    </row>
    <row r="26622" spans="1:141" s="116" customFormat="1">
      <c r="A26622" s="136"/>
      <c r="CM26622" s="111"/>
      <c r="CQ26622" s="111"/>
      <c r="EF26622"/>
      <c r="EG26622"/>
      <c r="EH26622"/>
      <c r="EI26622"/>
      <c r="EJ26622"/>
      <c r="EK26622"/>
    </row>
    <row r="26623" spans="1:141" s="116" customFormat="1">
      <c r="A26623" s="136"/>
      <c r="CM26623" s="111"/>
      <c r="CQ26623" s="111"/>
      <c r="EF26623"/>
      <c r="EG26623"/>
      <c r="EH26623"/>
      <c r="EI26623"/>
      <c r="EJ26623"/>
      <c r="EK26623"/>
    </row>
    <row r="26624" spans="1:141" s="116" customFormat="1">
      <c r="A26624" s="136"/>
      <c r="CM26624" s="111"/>
      <c r="CQ26624" s="111"/>
      <c r="EF26624"/>
      <c r="EG26624"/>
      <c r="EH26624"/>
      <c r="EI26624"/>
      <c r="EJ26624"/>
      <c r="EK26624"/>
    </row>
    <row r="26625" spans="1:141" s="116" customFormat="1">
      <c r="A26625" s="136"/>
      <c r="CM26625" s="111"/>
      <c r="CQ26625" s="111"/>
      <c r="EF26625"/>
      <c r="EG26625"/>
      <c r="EH26625"/>
      <c r="EI26625"/>
      <c r="EJ26625"/>
      <c r="EK26625"/>
    </row>
    <row r="26626" spans="1:141" s="116" customFormat="1">
      <c r="A26626" s="136"/>
      <c r="CM26626" s="111"/>
      <c r="CQ26626" s="111"/>
      <c r="EF26626"/>
      <c r="EG26626"/>
      <c r="EH26626"/>
      <c r="EI26626"/>
      <c r="EJ26626"/>
      <c r="EK26626"/>
    </row>
    <row r="26627" spans="1:141" s="116" customFormat="1">
      <c r="A26627" s="136"/>
      <c r="CM26627" s="111"/>
      <c r="CQ26627" s="111"/>
      <c r="EF26627"/>
      <c r="EG26627"/>
      <c r="EH26627"/>
      <c r="EI26627"/>
      <c r="EJ26627"/>
      <c r="EK26627"/>
    </row>
    <row r="26628" spans="1:141" s="116" customFormat="1">
      <c r="A26628" s="136"/>
      <c r="CM26628" s="111"/>
      <c r="CQ26628" s="111"/>
      <c r="EF26628"/>
      <c r="EG26628"/>
      <c r="EH26628"/>
      <c r="EI26628"/>
      <c r="EJ26628"/>
      <c r="EK26628"/>
    </row>
    <row r="26629" spans="1:141" s="116" customFormat="1">
      <c r="A26629" s="136"/>
      <c r="CM26629" s="111"/>
      <c r="CQ26629" s="111"/>
      <c r="EF26629"/>
      <c r="EG26629"/>
      <c r="EH26629"/>
      <c r="EI26629"/>
      <c r="EJ26629"/>
      <c r="EK26629"/>
    </row>
    <row r="26630" spans="1:141" s="116" customFormat="1">
      <c r="A26630" s="136"/>
      <c r="CM26630" s="111"/>
      <c r="CQ26630" s="111"/>
      <c r="EF26630"/>
      <c r="EG26630"/>
      <c r="EH26630"/>
      <c r="EI26630"/>
      <c r="EJ26630"/>
      <c r="EK26630"/>
    </row>
    <row r="26631" spans="1:141" s="116" customFormat="1">
      <c r="A26631" s="136"/>
      <c r="CM26631" s="111"/>
      <c r="CQ26631" s="111"/>
      <c r="EF26631"/>
      <c r="EG26631"/>
      <c r="EH26631"/>
      <c r="EI26631"/>
      <c r="EJ26631"/>
      <c r="EK26631"/>
    </row>
    <row r="26632" spans="1:141" s="116" customFormat="1">
      <c r="A26632" s="136"/>
      <c r="CM26632" s="111"/>
      <c r="CQ26632" s="111"/>
      <c r="EF26632"/>
      <c r="EG26632"/>
      <c r="EH26632"/>
      <c r="EI26632"/>
      <c r="EJ26632"/>
      <c r="EK26632"/>
    </row>
    <row r="26633" spans="1:141" s="116" customFormat="1">
      <c r="A26633" s="136"/>
      <c r="CM26633" s="111"/>
      <c r="CQ26633" s="111"/>
      <c r="EF26633"/>
      <c r="EG26633"/>
      <c r="EH26633"/>
      <c r="EI26633"/>
      <c r="EJ26633"/>
      <c r="EK26633"/>
    </row>
    <row r="26634" spans="1:141" s="116" customFormat="1">
      <c r="A26634" s="136"/>
      <c r="CM26634" s="111"/>
      <c r="CQ26634" s="111"/>
      <c r="EF26634"/>
      <c r="EG26634"/>
      <c r="EH26634"/>
      <c r="EI26634"/>
      <c r="EJ26634"/>
      <c r="EK26634"/>
    </row>
    <row r="26635" spans="1:141" s="116" customFormat="1">
      <c r="A26635" s="136"/>
      <c r="CM26635" s="111"/>
      <c r="CQ26635" s="111"/>
      <c r="EF26635"/>
      <c r="EG26635"/>
      <c r="EH26635"/>
      <c r="EI26635"/>
      <c r="EJ26635"/>
      <c r="EK26635"/>
    </row>
    <row r="26636" spans="1:141" s="116" customFormat="1">
      <c r="A26636" s="136"/>
      <c r="CM26636" s="111"/>
      <c r="CQ26636" s="111"/>
      <c r="EF26636"/>
      <c r="EG26636"/>
      <c r="EH26636"/>
      <c r="EI26636"/>
      <c r="EJ26636"/>
      <c r="EK26636"/>
    </row>
    <row r="26637" spans="1:141" s="116" customFormat="1">
      <c r="A26637" s="136"/>
      <c r="CM26637" s="111"/>
      <c r="CQ26637" s="111"/>
      <c r="EF26637"/>
      <c r="EG26637"/>
      <c r="EH26637"/>
      <c r="EI26637"/>
      <c r="EJ26637"/>
      <c r="EK26637"/>
    </row>
    <row r="26638" spans="1:141" s="116" customFormat="1">
      <c r="A26638" s="136"/>
      <c r="CM26638" s="111"/>
      <c r="CQ26638" s="111"/>
      <c r="EF26638"/>
      <c r="EG26638"/>
      <c r="EH26638"/>
      <c r="EI26638"/>
      <c r="EJ26638"/>
      <c r="EK26638"/>
    </row>
    <row r="26639" spans="1:141" s="116" customFormat="1">
      <c r="A26639" s="136"/>
      <c r="CM26639" s="111"/>
      <c r="CQ26639" s="111"/>
      <c r="EF26639"/>
      <c r="EG26639"/>
      <c r="EH26639"/>
      <c r="EI26639"/>
      <c r="EJ26639"/>
      <c r="EK26639"/>
    </row>
    <row r="26640" spans="1:141" s="116" customFormat="1">
      <c r="A26640" s="136"/>
      <c r="CM26640" s="111"/>
      <c r="CQ26640" s="111"/>
      <c r="EF26640"/>
      <c r="EG26640"/>
      <c r="EH26640"/>
      <c r="EI26640"/>
      <c r="EJ26640"/>
      <c r="EK26640"/>
    </row>
    <row r="26641" spans="1:141" s="116" customFormat="1">
      <c r="A26641" s="136"/>
      <c r="CM26641" s="111"/>
      <c r="CQ26641" s="111"/>
      <c r="EF26641"/>
      <c r="EG26641"/>
      <c r="EH26641"/>
      <c r="EI26641"/>
      <c r="EJ26641"/>
      <c r="EK26641"/>
    </row>
    <row r="26642" spans="1:141" s="116" customFormat="1">
      <c r="A26642" s="136"/>
      <c r="CM26642" s="111"/>
      <c r="CQ26642" s="111"/>
      <c r="EF26642"/>
      <c r="EG26642"/>
      <c r="EH26642"/>
      <c r="EI26642"/>
      <c r="EJ26642"/>
      <c r="EK26642"/>
    </row>
    <row r="26643" spans="1:141" s="116" customFormat="1">
      <c r="A26643" s="136"/>
      <c r="CM26643" s="111"/>
      <c r="CQ26643" s="111"/>
      <c r="EF26643"/>
      <c r="EG26643"/>
      <c r="EH26643"/>
      <c r="EI26643"/>
      <c r="EJ26643"/>
      <c r="EK26643"/>
    </row>
    <row r="26644" spans="1:141" s="116" customFormat="1">
      <c r="A26644" s="136"/>
      <c r="CM26644" s="111"/>
      <c r="CQ26644" s="111"/>
      <c r="EF26644"/>
      <c r="EG26644"/>
      <c r="EH26644"/>
      <c r="EI26644"/>
      <c r="EJ26644"/>
      <c r="EK26644"/>
    </row>
    <row r="26645" spans="1:141" s="116" customFormat="1">
      <c r="A26645" s="136"/>
      <c r="CM26645" s="111"/>
      <c r="CQ26645" s="111"/>
      <c r="EF26645"/>
      <c r="EG26645"/>
      <c r="EH26645"/>
      <c r="EI26645"/>
      <c r="EJ26645"/>
      <c r="EK26645"/>
    </row>
    <row r="26646" spans="1:141" s="116" customFormat="1">
      <c r="A26646" s="136"/>
      <c r="CM26646" s="111"/>
      <c r="CQ26646" s="111"/>
      <c r="EF26646"/>
      <c r="EG26646"/>
      <c r="EH26646"/>
      <c r="EI26646"/>
      <c r="EJ26646"/>
      <c r="EK26646"/>
    </row>
    <row r="26647" spans="1:141" s="116" customFormat="1">
      <c r="A26647" s="136"/>
      <c r="CM26647" s="111"/>
      <c r="CQ26647" s="111"/>
      <c r="EF26647"/>
      <c r="EG26647"/>
      <c r="EH26647"/>
      <c r="EI26647"/>
      <c r="EJ26647"/>
      <c r="EK26647"/>
    </row>
    <row r="26648" spans="1:141" s="116" customFormat="1">
      <c r="A26648" s="136"/>
      <c r="CM26648" s="111"/>
      <c r="CQ26648" s="111"/>
      <c r="EF26648"/>
      <c r="EG26648"/>
      <c r="EH26648"/>
      <c r="EI26648"/>
      <c r="EJ26648"/>
      <c r="EK26648"/>
    </row>
    <row r="26649" spans="1:141" s="116" customFormat="1">
      <c r="A26649" s="136"/>
      <c r="CM26649" s="111"/>
      <c r="CQ26649" s="111"/>
      <c r="EF26649"/>
      <c r="EG26649"/>
      <c r="EH26649"/>
      <c r="EI26649"/>
      <c r="EJ26649"/>
      <c r="EK26649"/>
    </row>
    <row r="26650" spans="1:141" s="116" customFormat="1">
      <c r="A26650" s="136"/>
      <c r="CM26650" s="111"/>
      <c r="CQ26650" s="111"/>
      <c r="EF26650"/>
      <c r="EG26650"/>
      <c r="EH26650"/>
      <c r="EI26650"/>
      <c r="EJ26650"/>
      <c r="EK26650"/>
    </row>
    <row r="26651" spans="1:141" s="116" customFormat="1">
      <c r="A26651" s="136"/>
      <c r="CM26651" s="111"/>
      <c r="CQ26651" s="111"/>
      <c r="EF26651"/>
      <c r="EG26651"/>
      <c r="EH26651"/>
      <c r="EI26651"/>
      <c r="EJ26651"/>
      <c r="EK26651"/>
    </row>
    <row r="26652" spans="1:141" s="116" customFormat="1">
      <c r="A26652" s="136"/>
      <c r="CM26652" s="111"/>
      <c r="CQ26652" s="111"/>
      <c r="EF26652"/>
      <c r="EG26652"/>
      <c r="EH26652"/>
      <c r="EI26652"/>
      <c r="EJ26652"/>
      <c r="EK26652"/>
    </row>
    <row r="26653" spans="1:141" s="116" customFormat="1">
      <c r="A26653" s="136"/>
      <c r="CM26653" s="111"/>
      <c r="CQ26653" s="111"/>
      <c r="EF26653"/>
      <c r="EG26653"/>
      <c r="EH26653"/>
      <c r="EI26653"/>
      <c r="EJ26653"/>
      <c r="EK26653"/>
    </row>
    <row r="26654" spans="1:141" s="116" customFormat="1">
      <c r="A26654" s="136"/>
      <c r="CM26654" s="111"/>
      <c r="CQ26654" s="111"/>
      <c r="EF26654"/>
      <c r="EG26654"/>
      <c r="EH26654"/>
      <c r="EI26654"/>
      <c r="EJ26654"/>
      <c r="EK26654"/>
    </row>
    <row r="26655" spans="1:141" s="116" customFormat="1">
      <c r="A26655" s="136"/>
      <c r="CM26655" s="111"/>
      <c r="CQ26655" s="111"/>
      <c r="EF26655"/>
      <c r="EG26655"/>
      <c r="EH26655"/>
      <c r="EI26655"/>
      <c r="EJ26655"/>
      <c r="EK26655"/>
    </row>
    <row r="26656" spans="1:141" s="116" customFormat="1">
      <c r="A26656" s="136"/>
      <c r="CM26656" s="111"/>
      <c r="CQ26656" s="111"/>
      <c r="EF26656"/>
      <c r="EG26656"/>
      <c r="EH26656"/>
      <c r="EI26656"/>
      <c r="EJ26656"/>
      <c r="EK26656"/>
    </row>
    <row r="26657" spans="1:141" s="116" customFormat="1">
      <c r="A26657" s="136"/>
      <c r="CM26657" s="111"/>
      <c r="CQ26657" s="111"/>
      <c r="EF26657"/>
      <c r="EG26657"/>
      <c r="EH26657"/>
      <c r="EI26657"/>
      <c r="EJ26657"/>
      <c r="EK26657"/>
    </row>
    <row r="26658" spans="1:141" s="116" customFormat="1">
      <c r="A26658" s="136"/>
      <c r="CM26658" s="111"/>
      <c r="CQ26658" s="111"/>
      <c r="EF26658"/>
      <c r="EG26658"/>
      <c r="EH26658"/>
      <c r="EI26658"/>
      <c r="EJ26658"/>
      <c r="EK26658"/>
    </row>
    <row r="26659" spans="1:141" s="116" customFormat="1">
      <c r="A26659" s="136"/>
      <c r="CM26659" s="111"/>
      <c r="CQ26659" s="111"/>
      <c r="EF26659"/>
      <c r="EG26659"/>
      <c r="EH26659"/>
      <c r="EI26659"/>
      <c r="EJ26659"/>
      <c r="EK26659"/>
    </row>
    <row r="26660" spans="1:141" s="116" customFormat="1">
      <c r="A26660" s="136"/>
      <c r="CM26660" s="111"/>
      <c r="CQ26660" s="111"/>
      <c r="EF26660"/>
      <c r="EG26660"/>
      <c r="EH26660"/>
      <c r="EI26660"/>
      <c r="EJ26660"/>
      <c r="EK26660"/>
    </row>
    <row r="26661" spans="1:141" s="116" customFormat="1">
      <c r="A26661" s="136"/>
      <c r="CM26661" s="111"/>
      <c r="CQ26661" s="111"/>
      <c r="EF26661"/>
      <c r="EG26661"/>
      <c r="EH26661"/>
      <c r="EI26661"/>
      <c r="EJ26661"/>
      <c r="EK26661"/>
    </row>
    <row r="26662" spans="1:141" s="116" customFormat="1">
      <c r="A26662" s="136"/>
      <c r="CM26662" s="111"/>
      <c r="CQ26662" s="111"/>
      <c r="EF26662"/>
      <c r="EG26662"/>
      <c r="EH26662"/>
      <c r="EI26662"/>
      <c r="EJ26662"/>
      <c r="EK26662"/>
    </row>
    <row r="26663" spans="1:141" s="116" customFormat="1">
      <c r="A26663" s="136"/>
      <c r="CM26663" s="111"/>
      <c r="CQ26663" s="111"/>
      <c r="EF26663"/>
      <c r="EG26663"/>
      <c r="EH26663"/>
      <c r="EI26663"/>
      <c r="EJ26663"/>
      <c r="EK26663"/>
    </row>
    <row r="26664" spans="1:141" s="116" customFormat="1">
      <c r="A26664" s="136"/>
      <c r="CM26664" s="111"/>
      <c r="CQ26664" s="111"/>
      <c r="EF26664"/>
      <c r="EG26664"/>
      <c r="EH26664"/>
      <c r="EI26664"/>
      <c r="EJ26664"/>
      <c r="EK26664"/>
    </row>
    <row r="26665" spans="1:141" s="116" customFormat="1">
      <c r="A26665" s="136"/>
      <c r="CM26665" s="111"/>
      <c r="CQ26665" s="111"/>
      <c r="EF26665"/>
      <c r="EG26665"/>
      <c r="EH26665"/>
      <c r="EI26665"/>
      <c r="EJ26665"/>
      <c r="EK26665"/>
    </row>
    <row r="26666" spans="1:141" s="116" customFormat="1">
      <c r="A26666" s="136"/>
      <c r="CM26666" s="111"/>
      <c r="CQ26666" s="111"/>
      <c r="EF26666"/>
      <c r="EG26666"/>
      <c r="EH26666"/>
      <c r="EI26666"/>
      <c r="EJ26666"/>
      <c r="EK26666"/>
    </row>
    <row r="26667" spans="1:141" s="116" customFormat="1">
      <c r="A26667" s="136"/>
      <c r="CM26667" s="111"/>
      <c r="CQ26667" s="111"/>
      <c r="EF26667"/>
      <c r="EG26667"/>
      <c r="EH26667"/>
      <c r="EI26667"/>
      <c r="EJ26667"/>
      <c r="EK26667"/>
    </row>
    <row r="26668" spans="1:141" s="116" customFormat="1">
      <c r="A26668" s="136"/>
      <c r="CM26668" s="111"/>
      <c r="CQ26668" s="111"/>
      <c r="EF26668"/>
      <c r="EG26668"/>
      <c r="EH26668"/>
      <c r="EI26668"/>
      <c r="EJ26668"/>
      <c r="EK26668"/>
    </row>
    <row r="26669" spans="1:141" s="116" customFormat="1">
      <c r="A26669" s="136"/>
      <c r="CM26669" s="111"/>
      <c r="CQ26669" s="111"/>
      <c r="EF26669"/>
      <c r="EG26669"/>
      <c r="EH26669"/>
      <c r="EI26669"/>
      <c r="EJ26669"/>
      <c r="EK26669"/>
    </row>
    <row r="26670" spans="1:141" s="116" customFormat="1">
      <c r="A26670" s="136"/>
      <c r="CM26670" s="111"/>
      <c r="CQ26670" s="111"/>
      <c r="EF26670"/>
      <c r="EG26670"/>
      <c r="EH26670"/>
      <c r="EI26670"/>
      <c r="EJ26670"/>
      <c r="EK26670"/>
    </row>
    <row r="26671" spans="1:141" s="116" customFormat="1">
      <c r="A26671" s="136"/>
      <c r="CM26671" s="111"/>
      <c r="CQ26671" s="111"/>
      <c r="EF26671"/>
      <c r="EG26671"/>
      <c r="EH26671"/>
      <c r="EI26671"/>
      <c r="EJ26671"/>
      <c r="EK26671"/>
    </row>
    <row r="26672" spans="1:141" s="116" customFormat="1">
      <c r="A26672" s="136"/>
      <c r="CM26672" s="111"/>
      <c r="CQ26672" s="111"/>
      <c r="EF26672"/>
      <c r="EG26672"/>
      <c r="EH26672"/>
      <c r="EI26672"/>
      <c r="EJ26672"/>
      <c r="EK26672"/>
    </row>
    <row r="26673" spans="1:141" s="116" customFormat="1">
      <c r="A26673" s="136"/>
      <c r="CM26673" s="111"/>
      <c r="CQ26673" s="111"/>
      <c r="EF26673"/>
      <c r="EG26673"/>
      <c r="EH26673"/>
      <c r="EI26673"/>
      <c r="EJ26673"/>
      <c r="EK26673"/>
    </row>
    <row r="26674" spans="1:141" s="116" customFormat="1">
      <c r="A26674" s="136"/>
      <c r="CM26674" s="111"/>
      <c r="CQ26674" s="111"/>
      <c r="EF26674"/>
      <c r="EG26674"/>
      <c r="EH26674"/>
      <c r="EI26674"/>
      <c r="EJ26674"/>
      <c r="EK26674"/>
    </row>
    <row r="26675" spans="1:141" s="116" customFormat="1">
      <c r="A26675" s="136"/>
      <c r="CM26675" s="111"/>
      <c r="CQ26675" s="111"/>
      <c r="EF26675"/>
      <c r="EG26675"/>
      <c r="EH26675"/>
      <c r="EI26675"/>
      <c r="EJ26675"/>
      <c r="EK26675"/>
    </row>
    <row r="26676" spans="1:141" s="116" customFormat="1">
      <c r="A26676" s="136"/>
      <c r="CM26676" s="111"/>
      <c r="CQ26676" s="111"/>
      <c r="EF26676"/>
      <c r="EG26676"/>
      <c r="EH26676"/>
      <c r="EI26676"/>
      <c r="EJ26676"/>
      <c r="EK26676"/>
    </row>
    <row r="26677" spans="1:141" s="116" customFormat="1">
      <c r="A26677" s="136"/>
      <c r="CM26677" s="111"/>
      <c r="CQ26677" s="111"/>
      <c r="EF26677"/>
      <c r="EG26677"/>
      <c r="EH26677"/>
      <c r="EI26677"/>
      <c r="EJ26677"/>
      <c r="EK26677"/>
    </row>
    <row r="26678" spans="1:141" s="116" customFormat="1">
      <c r="A26678" s="136"/>
      <c r="CM26678" s="111"/>
      <c r="CQ26678" s="111"/>
      <c r="EF26678"/>
      <c r="EG26678"/>
      <c r="EH26678"/>
      <c r="EI26678"/>
      <c r="EJ26678"/>
      <c r="EK26678"/>
    </row>
    <row r="26679" spans="1:141" s="116" customFormat="1">
      <c r="A26679" s="136"/>
      <c r="CM26679" s="111"/>
      <c r="CQ26679" s="111"/>
      <c r="EF26679"/>
      <c r="EG26679"/>
      <c r="EH26679"/>
      <c r="EI26679"/>
      <c r="EJ26679"/>
      <c r="EK26679"/>
    </row>
    <row r="26680" spans="1:141" s="116" customFormat="1">
      <c r="A26680" s="136"/>
      <c r="CM26680" s="111"/>
      <c r="CQ26680" s="111"/>
      <c r="EF26680"/>
      <c r="EG26680"/>
      <c r="EH26680"/>
      <c r="EI26680"/>
      <c r="EJ26680"/>
      <c r="EK26680"/>
    </row>
    <row r="26681" spans="1:141" s="116" customFormat="1">
      <c r="A26681" s="136"/>
      <c r="CM26681" s="111"/>
      <c r="CQ26681" s="111"/>
      <c r="EF26681"/>
      <c r="EG26681"/>
      <c r="EH26681"/>
      <c r="EI26681"/>
      <c r="EJ26681"/>
      <c r="EK26681"/>
    </row>
    <row r="26682" spans="1:141" s="116" customFormat="1">
      <c r="A26682" s="136"/>
      <c r="CM26682" s="111"/>
      <c r="CQ26682" s="111"/>
      <c r="EF26682"/>
      <c r="EG26682"/>
      <c r="EH26682"/>
      <c r="EI26682"/>
      <c r="EJ26682"/>
      <c r="EK26682"/>
    </row>
    <row r="26683" spans="1:141" s="116" customFormat="1">
      <c r="A26683" s="136"/>
      <c r="CM26683" s="111"/>
      <c r="CQ26683" s="111"/>
      <c r="EF26683"/>
      <c r="EG26683"/>
      <c r="EH26683"/>
      <c r="EI26683"/>
      <c r="EJ26683"/>
      <c r="EK26683"/>
    </row>
    <row r="26684" spans="1:141" s="116" customFormat="1">
      <c r="A26684" s="136"/>
      <c r="CM26684" s="111"/>
      <c r="CQ26684" s="111"/>
      <c r="EF26684"/>
      <c r="EG26684"/>
      <c r="EH26684"/>
      <c r="EI26684"/>
      <c r="EJ26684"/>
      <c r="EK26684"/>
    </row>
    <row r="26685" spans="1:141" s="116" customFormat="1">
      <c r="A26685" s="136"/>
      <c r="CM26685" s="111"/>
      <c r="CQ26685" s="111"/>
      <c r="EF26685"/>
      <c r="EG26685"/>
      <c r="EH26685"/>
      <c r="EI26685"/>
      <c r="EJ26685"/>
      <c r="EK26685"/>
    </row>
    <row r="26686" spans="1:141" s="116" customFormat="1">
      <c r="A26686" s="136"/>
      <c r="CM26686" s="111"/>
      <c r="CQ26686" s="111"/>
      <c r="EF26686"/>
      <c r="EG26686"/>
      <c r="EH26686"/>
      <c r="EI26686"/>
      <c r="EJ26686"/>
      <c r="EK26686"/>
    </row>
    <row r="26687" spans="1:141" s="116" customFormat="1">
      <c r="A26687" s="136"/>
      <c r="CM26687" s="111"/>
      <c r="CQ26687" s="111"/>
      <c r="EF26687"/>
      <c r="EG26687"/>
      <c r="EH26687"/>
      <c r="EI26687"/>
      <c r="EJ26687"/>
      <c r="EK26687"/>
    </row>
    <row r="26688" spans="1:141" s="116" customFormat="1">
      <c r="A26688" s="136"/>
      <c r="CM26688" s="111"/>
      <c r="CQ26688" s="111"/>
      <c r="EF26688"/>
      <c r="EG26688"/>
      <c r="EH26688"/>
      <c r="EI26688"/>
      <c r="EJ26688"/>
      <c r="EK26688"/>
    </row>
    <row r="26689" spans="1:141" s="116" customFormat="1">
      <c r="A26689" s="136"/>
      <c r="CM26689" s="111"/>
      <c r="CQ26689" s="111"/>
      <c r="EF26689"/>
      <c r="EG26689"/>
      <c r="EH26689"/>
      <c r="EI26689"/>
      <c r="EJ26689"/>
      <c r="EK26689"/>
    </row>
    <row r="26690" spans="1:141" s="116" customFormat="1">
      <c r="A26690" s="136"/>
      <c r="CM26690" s="111"/>
      <c r="CQ26690" s="111"/>
      <c r="EF26690"/>
      <c r="EG26690"/>
      <c r="EH26690"/>
      <c r="EI26690"/>
      <c r="EJ26690"/>
      <c r="EK26690"/>
    </row>
    <row r="26691" spans="1:141" s="116" customFormat="1">
      <c r="A26691" s="136"/>
      <c r="CM26691" s="111"/>
      <c r="CQ26691" s="111"/>
      <c r="EF26691"/>
      <c r="EG26691"/>
      <c r="EH26691"/>
      <c r="EI26691"/>
      <c r="EJ26691"/>
      <c r="EK26691"/>
    </row>
    <row r="26692" spans="1:141" s="116" customFormat="1">
      <c r="A26692" s="136"/>
      <c r="CM26692" s="111"/>
      <c r="CQ26692" s="111"/>
      <c r="EF26692"/>
      <c r="EG26692"/>
      <c r="EH26692"/>
      <c r="EI26692"/>
      <c r="EJ26692"/>
      <c r="EK26692"/>
    </row>
    <row r="26693" spans="1:141" s="116" customFormat="1">
      <c r="A26693" s="136"/>
      <c r="CM26693" s="111"/>
      <c r="CQ26693" s="111"/>
      <c r="EF26693"/>
      <c r="EG26693"/>
      <c r="EH26693"/>
      <c r="EI26693"/>
      <c r="EJ26693"/>
      <c r="EK26693"/>
    </row>
    <row r="26694" spans="1:141" s="116" customFormat="1">
      <c r="A26694" s="136"/>
      <c r="CM26694" s="111"/>
      <c r="CQ26694" s="111"/>
      <c r="EF26694"/>
      <c r="EG26694"/>
      <c r="EH26694"/>
      <c r="EI26694"/>
      <c r="EJ26694"/>
      <c r="EK26694"/>
    </row>
    <row r="26695" spans="1:141" s="116" customFormat="1">
      <c r="A26695" s="136"/>
      <c r="CM26695" s="111"/>
      <c r="CQ26695" s="111"/>
      <c r="EF26695"/>
      <c r="EG26695"/>
      <c r="EH26695"/>
      <c r="EI26695"/>
      <c r="EJ26695"/>
      <c r="EK26695"/>
    </row>
    <row r="26696" spans="1:141" s="116" customFormat="1">
      <c r="A26696" s="136"/>
      <c r="CM26696" s="111"/>
      <c r="CQ26696" s="111"/>
      <c r="EF26696"/>
      <c r="EG26696"/>
      <c r="EH26696"/>
      <c r="EI26696"/>
      <c r="EJ26696"/>
      <c r="EK26696"/>
    </row>
    <row r="26697" spans="1:141" s="116" customFormat="1">
      <c r="A26697" s="136"/>
      <c r="CM26697" s="111"/>
      <c r="CQ26697" s="111"/>
      <c r="EF26697"/>
      <c r="EG26697"/>
      <c r="EH26697"/>
      <c r="EI26697"/>
      <c r="EJ26697"/>
      <c r="EK26697"/>
    </row>
    <row r="26698" spans="1:141" s="116" customFormat="1">
      <c r="A26698" s="136"/>
      <c r="CM26698" s="111"/>
      <c r="CQ26698" s="111"/>
      <c r="EF26698"/>
      <c r="EG26698"/>
      <c r="EH26698"/>
      <c r="EI26698"/>
      <c r="EJ26698"/>
      <c r="EK26698"/>
    </row>
    <row r="26699" spans="1:141" s="116" customFormat="1">
      <c r="A26699" s="136"/>
      <c r="CM26699" s="111"/>
      <c r="CQ26699" s="111"/>
      <c r="EF26699"/>
      <c r="EG26699"/>
      <c r="EH26699"/>
      <c r="EI26699"/>
      <c r="EJ26699"/>
      <c r="EK26699"/>
    </row>
    <row r="26700" spans="1:141" s="116" customFormat="1">
      <c r="A26700" s="136"/>
      <c r="CM26700" s="111"/>
      <c r="CQ26700" s="111"/>
      <c r="EF26700"/>
      <c r="EG26700"/>
      <c r="EH26700"/>
      <c r="EI26700"/>
      <c r="EJ26700"/>
      <c r="EK26700"/>
    </row>
    <row r="26701" spans="1:141" s="116" customFormat="1">
      <c r="A26701" s="136"/>
      <c r="CM26701" s="111"/>
      <c r="CQ26701" s="111"/>
      <c r="EF26701"/>
      <c r="EG26701"/>
      <c r="EH26701"/>
      <c r="EI26701"/>
      <c r="EJ26701"/>
      <c r="EK26701"/>
    </row>
    <row r="26702" spans="1:141" s="116" customFormat="1">
      <c r="A26702" s="136"/>
      <c r="CM26702" s="111"/>
      <c r="CQ26702" s="111"/>
      <c r="EF26702"/>
      <c r="EG26702"/>
      <c r="EH26702"/>
      <c r="EI26702"/>
      <c r="EJ26702"/>
      <c r="EK26702"/>
    </row>
    <row r="26703" spans="1:141" s="116" customFormat="1">
      <c r="A26703" s="136"/>
      <c r="CM26703" s="111"/>
      <c r="CQ26703" s="111"/>
      <c r="EF26703"/>
      <c r="EG26703"/>
      <c r="EH26703"/>
      <c r="EI26703"/>
      <c r="EJ26703"/>
      <c r="EK26703"/>
    </row>
    <row r="26704" spans="1:141" s="116" customFormat="1">
      <c r="A26704" s="136"/>
      <c r="CM26704" s="111"/>
      <c r="CQ26704" s="111"/>
      <c r="EF26704"/>
      <c r="EG26704"/>
      <c r="EH26704"/>
      <c r="EI26704"/>
      <c r="EJ26704"/>
      <c r="EK26704"/>
    </row>
    <row r="26705" spans="1:141" s="116" customFormat="1">
      <c r="A26705" s="136"/>
      <c r="CM26705" s="111"/>
      <c r="CQ26705" s="111"/>
      <c r="EF26705"/>
      <c r="EG26705"/>
      <c r="EH26705"/>
      <c r="EI26705"/>
      <c r="EJ26705"/>
      <c r="EK26705"/>
    </row>
    <row r="26706" spans="1:141" s="116" customFormat="1">
      <c r="A26706" s="136"/>
      <c r="CM26706" s="111"/>
      <c r="CQ26706" s="111"/>
      <c r="EF26706"/>
      <c r="EG26706"/>
      <c r="EH26706"/>
      <c r="EI26706"/>
      <c r="EJ26706"/>
      <c r="EK26706"/>
    </row>
    <row r="26707" spans="1:141" s="116" customFormat="1">
      <c r="A26707" s="136"/>
      <c r="CM26707" s="111"/>
      <c r="CQ26707" s="111"/>
      <c r="EF26707"/>
      <c r="EG26707"/>
      <c r="EH26707"/>
      <c r="EI26707"/>
      <c r="EJ26707"/>
      <c r="EK26707"/>
    </row>
    <row r="26708" spans="1:141" s="116" customFormat="1">
      <c r="A26708" s="136"/>
      <c r="CM26708" s="111"/>
      <c r="CQ26708" s="111"/>
      <c r="EF26708"/>
      <c r="EG26708"/>
      <c r="EH26708"/>
      <c r="EI26708"/>
      <c r="EJ26708"/>
      <c r="EK26708"/>
    </row>
    <row r="26709" spans="1:141" s="116" customFormat="1">
      <c r="A26709" s="136"/>
      <c r="CM26709" s="111"/>
      <c r="CQ26709" s="111"/>
      <c r="EF26709"/>
      <c r="EG26709"/>
      <c r="EH26709"/>
      <c r="EI26709"/>
      <c r="EJ26709"/>
      <c r="EK26709"/>
    </row>
    <row r="26710" spans="1:141" s="116" customFormat="1">
      <c r="A26710" s="136"/>
      <c r="CM26710" s="111"/>
      <c r="CQ26710" s="111"/>
      <c r="EF26710"/>
      <c r="EG26710"/>
      <c r="EH26710"/>
      <c r="EI26710"/>
      <c r="EJ26710"/>
      <c r="EK26710"/>
    </row>
    <row r="26711" spans="1:141" s="116" customFormat="1">
      <c r="A26711" s="136"/>
      <c r="CM26711" s="111"/>
      <c r="CQ26711" s="111"/>
      <c r="EF26711"/>
      <c r="EG26711"/>
      <c r="EH26711"/>
      <c r="EI26711"/>
      <c r="EJ26711"/>
      <c r="EK26711"/>
    </row>
    <row r="26712" spans="1:141" s="116" customFormat="1">
      <c r="A26712" s="136"/>
      <c r="CM26712" s="111"/>
      <c r="CQ26712" s="111"/>
      <c r="EF26712"/>
      <c r="EG26712"/>
      <c r="EH26712"/>
      <c r="EI26712"/>
      <c r="EJ26712"/>
      <c r="EK26712"/>
    </row>
    <row r="26713" spans="1:141" s="116" customFormat="1">
      <c r="A26713" s="136"/>
      <c r="CM26713" s="111"/>
      <c r="CQ26713" s="111"/>
      <c r="EF26713"/>
      <c r="EG26713"/>
      <c r="EH26713"/>
      <c r="EI26713"/>
      <c r="EJ26713"/>
      <c r="EK26713"/>
    </row>
    <row r="26714" spans="1:141" s="116" customFormat="1">
      <c r="A26714" s="136"/>
      <c r="CM26714" s="111"/>
      <c r="CQ26714" s="111"/>
      <c r="EF26714"/>
      <c r="EG26714"/>
      <c r="EH26714"/>
      <c r="EI26714"/>
      <c r="EJ26714"/>
      <c r="EK26714"/>
    </row>
    <row r="26715" spans="1:141" s="116" customFormat="1">
      <c r="A26715" s="136"/>
      <c r="CM26715" s="111"/>
      <c r="CQ26715" s="111"/>
      <c r="EF26715"/>
      <c r="EG26715"/>
      <c r="EH26715"/>
      <c r="EI26715"/>
      <c r="EJ26715"/>
      <c r="EK26715"/>
    </row>
    <row r="26716" spans="1:141" s="116" customFormat="1">
      <c r="A26716" s="136"/>
      <c r="CM26716" s="111"/>
      <c r="CQ26716" s="111"/>
      <c r="EF26716"/>
      <c r="EG26716"/>
      <c r="EH26716"/>
      <c r="EI26716"/>
      <c r="EJ26716"/>
      <c r="EK26716"/>
    </row>
    <row r="26717" spans="1:141" s="116" customFormat="1">
      <c r="A26717" s="136"/>
      <c r="CM26717" s="111"/>
      <c r="CQ26717" s="111"/>
      <c r="EF26717"/>
      <c r="EG26717"/>
      <c r="EH26717"/>
      <c r="EI26717"/>
      <c r="EJ26717"/>
      <c r="EK26717"/>
    </row>
    <row r="26718" spans="1:141" s="116" customFormat="1">
      <c r="A26718" s="136"/>
      <c r="CM26718" s="111"/>
      <c r="CQ26718" s="111"/>
      <c r="EF26718"/>
      <c r="EG26718"/>
      <c r="EH26718"/>
      <c r="EI26718"/>
      <c r="EJ26718"/>
      <c r="EK26718"/>
    </row>
    <row r="26719" spans="1:141" s="116" customFormat="1">
      <c r="A26719" s="136"/>
      <c r="CM26719" s="111"/>
      <c r="CQ26719" s="111"/>
      <c r="EF26719"/>
      <c r="EG26719"/>
      <c r="EH26719"/>
      <c r="EI26719"/>
      <c r="EJ26719"/>
      <c r="EK26719"/>
    </row>
    <row r="26720" spans="1:141" s="116" customFormat="1">
      <c r="A26720" s="136"/>
      <c r="CM26720" s="111"/>
      <c r="CQ26720" s="111"/>
      <c r="EF26720"/>
      <c r="EG26720"/>
      <c r="EH26720"/>
      <c r="EI26720"/>
      <c r="EJ26720"/>
      <c r="EK26720"/>
    </row>
    <row r="26721" spans="1:141" s="116" customFormat="1">
      <c r="A26721" s="136"/>
      <c r="CM26721" s="111"/>
      <c r="CQ26721" s="111"/>
      <c r="EF26721"/>
      <c r="EG26721"/>
      <c r="EH26721"/>
      <c r="EI26721"/>
      <c r="EJ26721"/>
      <c r="EK26721"/>
    </row>
    <row r="26722" spans="1:141" s="116" customFormat="1">
      <c r="A26722" s="136"/>
      <c r="CM26722" s="111"/>
      <c r="CQ26722" s="111"/>
      <c r="EF26722"/>
      <c r="EG26722"/>
      <c r="EH26722"/>
      <c r="EI26722"/>
      <c r="EJ26722"/>
      <c r="EK26722"/>
    </row>
    <row r="26723" spans="1:141" s="116" customFormat="1">
      <c r="A26723" s="136"/>
      <c r="CM26723" s="111"/>
      <c r="CQ26723" s="111"/>
      <c r="EF26723"/>
      <c r="EG26723"/>
      <c r="EH26723"/>
      <c r="EI26723"/>
      <c r="EJ26723"/>
      <c r="EK26723"/>
    </row>
    <row r="26724" spans="1:141" s="116" customFormat="1">
      <c r="A26724" s="136"/>
      <c r="CM26724" s="111"/>
      <c r="CQ26724" s="111"/>
      <c r="EF26724"/>
      <c r="EG26724"/>
      <c r="EH26724"/>
      <c r="EI26724"/>
      <c r="EJ26724"/>
      <c r="EK26724"/>
    </row>
    <row r="26725" spans="1:141" s="116" customFormat="1">
      <c r="A26725" s="136"/>
      <c r="CM26725" s="111"/>
      <c r="CQ26725" s="111"/>
      <c r="EF26725"/>
      <c r="EG26725"/>
      <c r="EH26725"/>
      <c r="EI26725"/>
      <c r="EJ26725"/>
      <c r="EK26725"/>
    </row>
    <row r="26726" spans="1:141" s="116" customFormat="1">
      <c r="A26726" s="136"/>
      <c r="CM26726" s="111"/>
      <c r="CQ26726" s="111"/>
      <c r="EF26726"/>
      <c r="EG26726"/>
      <c r="EH26726"/>
      <c r="EI26726"/>
      <c r="EJ26726"/>
      <c r="EK26726"/>
    </row>
    <row r="26727" spans="1:141" s="116" customFormat="1">
      <c r="A26727" s="136"/>
      <c r="CM26727" s="111"/>
      <c r="CQ26727" s="111"/>
      <c r="EF26727"/>
      <c r="EG26727"/>
      <c r="EH26727"/>
      <c r="EI26727"/>
      <c r="EJ26727"/>
      <c r="EK26727"/>
    </row>
    <row r="26728" spans="1:141" s="116" customFormat="1">
      <c r="A26728" s="136"/>
      <c r="CM26728" s="111"/>
      <c r="CQ26728" s="111"/>
      <c r="EF26728"/>
      <c r="EG26728"/>
      <c r="EH26728"/>
      <c r="EI26728"/>
      <c r="EJ26728"/>
      <c r="EK26728"/>
    </row>
    <row r="26729" spans="1:141" s="116" customFormat="1">
      <c r="A26729" s="136"/>
      <c r="CM26729" s="111"/>
      <c r="CQ26729" s="111"/>
      <c r="EF26729"/>
      <c r="EG26729"/>
      <c r="EH26729"/>
      <c r="EI26729"/>
      <c r="EJ26729"/>
      <c r="EK26729"/>
    </row>
    <row r="26730" spans="1:141" s="116" customFormat="1">
      <c r="A26730" s="136"/>
      <c r="CM26730" s="111"/>
      <c r="CQ26730" s="111"/>
      <c r="EF26730"/>
      <c r="EG26730"/>
      <c r="EH26730"/>
      <c r="EI26730"/>
      <c r="EJ26730"/>
      <c r="EK26730"/>
    </row>
    <row r="26731" spans="1:141" s="116" customFormat="1">
      <c r="A26731" s="136"/>
      <c r="CM26731" s="111"/>
      <c r="CQ26731" s="111"/>
      <c r="EF26731"/>
      <c r="EG26731"/>
      <c r="EH26731"/>
      <c r="EI26731"/>
      <c r="EJ26731"/>
      <c r="EK26731"/>
    </row>
    <row r="26732" spans="1:141" s="116" customFormat="1">
      <c r="A26732" s="136"/>
      <c r="CM26732" s="111"/>
      <c r="CQ26732" s="111"/>
      <c r="EF26732"/>
      <c r="EG26732"/>
      <c r="EH26732"/>
      <c r="EI26732"/>
      <c r="EJ26732"/>
      <c r="EK26732"/>
    </row>
    <row r="26733" spans="1:141" s="116" customFormat="1">
      <c r="A26733" s="136"/>
      <c r="CM26733" s="111"/>
      <c r="CQ26733" s="111"/>
      <c r="EF26733"/>
      <c r="EG26733"/>
      <c r="EH26733"/>
      <c r="EI26733"/>
      <c r="EJ26733"/>
      <c r="EK26733"/>
    </row>
    <row r="26734" spans="1:141" s="116" customFormat="1">
      <c r="A26734" s="136"/>
      <c r="CM26734" s="111"/>
      <c r="CQ26734" s="111"/>
      <c r="EF26734"/>
      <c r="EG26734"/>
      <c r="EH26734"/>
      <c r="EI26734"/>
      <c r="EJ26734"/>
      <c r="EK26734"/>
    </row>
    <row r="26735" spans="1:141" s="116" customFormat="1">
      <c r="A26735" s="136"/>
      <c r="CM26735" s="111"/>
      <c r="CQ26735" s="111"/>
      <c r="EF26735"/>
      <c r="EG26735"/>
      <c r="EH26735"/>
      <c r="EI26735"/>
      <c r="EJ26735"/>
      <c r="EK26735"/>
    </row>
    <row r="26736" spans="1:141" s="116" customFormat="1">
      <c r="A26736" s="136"/>
      <c r="CM26736" s="111"/>
      <c r="CQ26736" s="111"/>
      <c r="EF26736"/>
      <c r="EG26736"/>
      <c r="EH26736"/>
      <c r="EI26736"/>
      <c r="EJ26736"/>
      <c r="EK26736"/>
    </row>
    <row r="26737" spans="1:141" s="116" customFormat="1">
      <c r="A26737" s="136"/>
      <c r="CM26737" s="111"/>
      <c r="CQ26737" s="111"/>
      <c r="EF26737"/>
      <c r="EG26737"/>
      <c r="EH26737"/>
      <c r="EI26737"/>
      <c r="EJ26737"/>
      <c r="EK26737"/>
    </row>
    <row r="26738" spans="1:141" s="116" customFormat="1">
      <c r="A26738" s="136"/>
      <c r="CM26738" s="111"/>
      <c r="CQ26738" s="111"/>
      <c r="EF26738"/>
      <c r="EG26738"/>
      <c r="EH26738"/>
      <c r="EI26738"/>
      <c r="EJ26738"/>
      <c r="EK26738"/>
    </row>
    <row r="26739" spans="1:141" s="116" customFormat="1">
      <c r="A26739" s="136"/>
      <c r="CM26739" s="111"/>
      <c r="CQ26739" s="111"/>
      <c r="EF26739"/>
      <c r="EG26739"/>
      <c r="EH26739"/>
      <c r="EI26739"/>
      <c r="EJ26739"/>
      <c r="EK26739"/>
    </row>
    <row r="26740" spans="1:141" s="116" customFormat="1">
      <c r="A26740" s="136"/>
      <c r="CM26740" s="111"/>
      <c r="CQ26740" s="111"/>
      <c r="EF26740"/>
      <c r="EG26740"/>
      <c r="EH26740"/>
      <c r="EI26740"/>
      <c r="EJ26740"/>
      <c r="EK26740"/>
    </row>
    <row r="26741" spans="1:141" s="116" customFormat="1">
      <c r="A26741" s="136"/>
      <c r="CM26741" s="111"/>
      <c r="CQ26741" s="111"/>
      <c r="EF26741"/>
      <c r="EG26741"/>
      <c r="EH26741"/>
      <c r="EI26741"/>
      <c r="EJ26741"/>
      <c r="EK26741"/>
    </row>
    <row r="26742" spans="1:141" s="116" customFormat="1">
      <c r="A26742" s="136"/>
      <c r="CM26742" s="111"/>
      <c r="CQ26742" s="111"/>
      <c r="EF26742"/>
      <c r="EG26742"/>
      <c r="EH26742"/>
      <c r="EI26742"/>
      <c r="EJ26742"/>
      <c r="EK26742"/>
    </row>
    <row r="26743" spans="1:141" s="116" customFormat="1">
      <c r="A26743" s="136"/>
      <c r="CM26743" s="111"/>
      <c r="CQ26743" s="111"/>
      <c r="EF26743"/>
      <c r="EG26743"/>
      <c r="EH26743"/>
      <c r="EI26743"/>
      <c r="EJ26743"/>
      <c r="EK26743"/>
    </row>
    <row r="26744" spans="1:141" s="116" customFormat="1">
      <c r="A26744" s="136"/>
      <c r="CM26744" s="111"/>
      <c r="CQ26744" s="111"/>
      <c r="EF26744"/>
      <c r="EG26744"/>
      <c r="EH26744"/>
      <c r="EI26744"/>
      <c r="EJ26744"/>
      <c r="EK26744"/>
    </row>
    <row r="26745" spans="1:141" s="116" customFormat="1">
      <c r="A26745" s="136"/>
      <c r="CM26745" s="111"/>
      <c r="CQ26745" s="111"/>
      <c r="EF26745"/>
      <c r="EG26745"/>
      <c r="EH26745"/>
      <c r="EI26745"/>
      <c r="EJ26745"/>
      <c r="EK26745"/>
    </row>
    <row r="26746" spans="1:141" s="116" customFormat="1">
      <c r="A26746" s="136"/>
      <c r="CM26746" s="111"/>
      <c r="CQ26746" s="111"/>
      <c r="EF26746"/>
      <c r="EG26746"/>
      <c r="EH26746"/>
      <c r="EI26746"/>
      <c r="EJ26746"/>
      <c r="EK26746"/>
    </row>
    <row r="26747" spans="1:141" s="116" customFormat="1">
      <c r="A26747" s="136"/>
      <c r="CM26747" s="111"/>
      <c r="CQ26747" s="111"/>
      <c r="EF26747"/>
      <c r="EG26747"/>
      <c r="EH26747"/>
      <c r="EI26747"/>
      <c r="EJ26747"/>
      <c r="EK26747"/>
    </row>
    <row r="26748" spans="1:141" s="116" customFormat="1">
      <c r="A26748" s="136"/>
      <c r="CM26748" s="111"/>
      <c r="CQ26748" s="111"/>
      <c r="EF26748"/>
      <c r="EG26748"/>
      <c r="EH26748"/>
      <c r="EI26748"/>
      <c r="EJ26748"/>
      <c r="EK26748"/>
    </row>
    <row r="26749" spans="1:141" s="116" customFormat="1">
      <c r="A26749" s="136"/>
      <c r="CM26749" s="111"/>
      <c r="CQ26749" s="111"/>
      <c r="EF26749"/>
      <c r="EG26749"/>
      <c r="EH26749"/>
      <c r="EI26749"/>
      <c r="EJ26749"/>
      <c r="EK26749"/>
    </row>
    <row r="26750" spans="1:141" s="116" customFormat="1">
      <c r="A26750" s="136"/>
      <c r="CM26750" s="111"/>
      <c r="CQ26750" s="111"/>
      <c r="EF26750"/>
      <c r="EG26750"/>
      <c r="EH26750"/>
      <c r="EI26750"/>
      <c r="EJ26750"/>
      <c r="EK26750"/>
    </row>
    <row r="26751" spans="1:141" s="116" customFormat="1">
      <c r="A26751" s="136"/>
      <c r="CM26751" s="111"/>
      <c r="CQ26751" s="111"/>
      <c r="EF26751"/>
      <c r="EG26751"/>
      <c r="EH26751"/>
      <c r="EI26751"/>
      <c r="EJ26751"/>
      <c r="EK26751"/>
    </row>
    <row r="26752" spans="1:141" s="116" customFormat="1">
      <c r="A26752" s="136"/>
      <c r="CM26752" s="111"/>
      <c r="CQ26752" s="111"/>
      <c r="EF26752"/>
      <c r="EG26752"/>
      <c r="EH26752"/>
      <c r="EI26752"/>
      <c r="EJ26752"/>
      <c r="EK26752"/>
    </row>
    <row r="26753" spans="1:141" s="116" customFormat="1">
      <c r="A26753" s="136"/>
      <c r="CM26753" s="111"/>
      <c r="CQ26753" s="111"/>
      <c r="EF26753"/>
      <c r="EG26753"/>
      <c r="EH26753"/>
      <c r="EI26753"/>
      <c r="EJ26753"/>
      <c r="EK26753"/>
    </row>
    <row r="26754" spans="1:141" s="116" customFormat="1">
      <c r="A26754" s="136"/>
      <c r="CM26754" s="111"/>
      <c r="CQ26754" s="111"/>
      <c r="EF26754"/>
      <c r="EG26754"/>
      <c r="EH26754"/>
      <c r="EI26754"/>
      <c r="EJ26754"/>
      <c r="EK26754"/>
    </row>
    <row r="26755" spans="1:141" s="116" customFormat="1">
      <c r="A26755" s="136"/>
      <c r="CM26755" s="111"/>
      <c r="CQ26755" s="111"/>
      <c r="EF26755"/>
      <c r="EG26755"/>
      <c r="EH26755"/>
      <c r="EI26755"/>
      <c r="EJ26755"/>
      <c r="EK26755"/>
    </row>
    <row r="26756" spans="1:141" s="116" customFormat="1">
      <c r="A26756" s="136"/>
      <c r="CM26756" s="111"/>
      <c r="CQ26756" s="111"/>
      <c r="EF26756"/>
      <c r="EG26756"/>
      <c r="EH26756"/>
      <c r="EI26756"/>
      <c r="EJ26756"/>
      <c r="EK26756"/>
    </row>
    <row r="26757" spans="1:141" s="116" customFormat="1">
      <c r="A26757" s="136"/>
      <c r="CM26757" s="111"/>
      <c r="CQ26757" s="111"/>
      <c r="EF26757"/>
      <c r="EG26757"/>
      <c r="EH26757"/>
      <c r="EI26757"/>
      <c r="EJ26757"/>
      <c r="EK26757"/>
    </row>
    <row r="26758" spans="1:141" s="116" customFormat="1">
      <c r="A26758" s="136"/>
      <c r="CM26758" s="111"/>
      <c r="CQ26758" s="111"/>
      <c r="EF26758"/>
      <c r="EG26758"/>
      <c r="EH26758"/>
      <c r="EI26758"/>
      <c r="EJ26758"/>
      <c r="EK26758"/>
    </row>
    <row r="26759" spans="1:141" s="116" customFormat="1">
      <c r="A26759" s="136"/>
      <c r="CM26759" s="111"/>
      <c r="CQ26759" s="111"/>
      <c r="EF26759"/>
      <c r="EG26759"/>
      <c r="EH26759"/>
      <c r="EI26759"/>
      <c r="EJ26759"/>
      <c r="EK26759"/>
    </row>
    <row r="26760" spans="1:141" s="116" customFormat="1">
      <c r="A26760" s="136"/>
      <c r="CM26760" s="111"/>
      <c r="CQ26760" s="111"/>
      <c r="EF26760"/>
      <c r="EG26760"/>
      <c r="EH26760"/>
      <c r="EI26760"/>
      <c r="EJ26760"/>
      <c r="EK26760"/>
    </row>
    <row r="26761" spans="1:141" s="116" customFormat="1">
      <c r="A26761" s="136"/>
      <c r="CM26761" s="111"/>
      <c r="CQ26761" s="111"/>
      <c r="EF26761"/>
      <c r="EG26761"/>
      <c r="EH26761"/>
      <c r="EI26761"/>
      <c r="EJ26761"/>
      <c r="EK26761"/>
    </row>
    <row r="26762" spans="1:141" s="116" customFormat="1">
      <c r="A26762" s="136"/>
      <c r="CM26762" s="111"/>
      <c r="CQ26762" s="111"/>
      <c r="EF26762"/>
      <c r="EG26762"/>
      <c r="EH26762"/>
      <c r="EI26762"/>
      <c r="EJ26762"/>
      <c r="EK26762"/>
    </row>
    <row r="26763" spans="1:141" s="116" customFormat="1">
      <c r="A26763" s="136"/>
      <c r="CM26763" s="111"/>
      <c r="CQ26763" s="111"/>
      <c r="EF26763"/>
      <c r="EG26763"/>
      <c r="EH26763"/>
      <c r="EI26763"/>
      <c r="EJ26763"/>
      <c r="EK26763"/>
    </row>
    <row r="26764" spans="1:141" s="116" customFormat="1">
      <c r="A26764" s="136"/>
      <c r="CM26764" s="111"/>
      <c r="CQ26764" s="111"/>
      <c r="EF26764"/>
      <c r="EG26764"/>
      <c r="EH26764"/>
      <c r="EI26764"/>
      <c r="EJ26764"/>
      <c r="EK26764"/>
    </row>
    <row r="26765" spans="1:141" s="116" customFormat="1">
      <c r="A26765" s="136"/>
      <c r="CM26765" s="111"/>
      <c r="CQ26765" s="111"/>
      <c r="EF26765"/>
      <c r="EG26765"/>
      <c r="EH26765"/>
      <c r="EI26765"/>
      <c r="EJ26765"/>
      <c r="EK26765"/>
    </row>
    <row r="26766" spans="1:141" s="116" customFormat="1">
      <c r="A26766" s="136"/>
      <c r="CM26766" s="111"/>
      <c r="CQ26766" s="111"/>
      <c r="EF26766"/>
      <c r="EG26766"/>
      <c r="EH26766"/>
      <c r="EI26766"/>
      <c r="EJ26766"/>
      <c r="EK26766"/>
    </row>
    <row r="26767" spans="1:141" s="116" customFormat="1">
      <c r="A26767" s="136"/>
      <c r="CM26767" s="111"/>
      <c r="CQ26767" s="111"/>
      <c r="EF26767"/>
      <c r="EG26767"/>
      <c r="EH26767"/>
      <c r="EI26767"/>
      <c r="EJ26767"/>
      <c r="EK26767"/>
    </row>
    <row r="26768" spans="1:141" s="116" customFormat="1">
      <c r="A26768" s="136"/>
      <c r="CM26768" s="111"/>
      <c r="CQ26768" s="111"/>
      <c r="EF26768"/>
      <c r="EG26768"/>
      <c r="EH26768"/>
      <c r="EI26768"/>
      <c r="EJ26768"/>
      <c r="EK26768"/>
    </row>
    <row r="26769" spans="1:141" s="116" customFormat="1">
      <c r="A26769" s="136"/>
      <c r="CM26769" s="111"/>
      <c r="CQ26769" s="111"/>
      <c r="EF26769"/>
      <c r="EG26769"/>
      <c r="EH26769"/>
      <c r="EI26769"/>
      <c r="EJ26769"/>
      <c r="EK26769"/>
    </row>
    <row r="26770" spans="1:141" s="116" customFormat="1">
      <c r="A26770" s="136"/>
      <c r="CM26770" s="111"/>
      <c r="CQ26770" s="111"/>
      <c r="EF26770"/>
      <c r="EG26770"/>
      <c r="EH26770"/>
      <c r="EI26770"/>
      <c r="EJ26770"/>
      <c r="EK26770"/>
    </row>
    <row r="26771" spans="1:141" s="116" customFormat="1">
      <c r="A26771" s="136"/>
      <c r="CM26771" s="111"/>
      <c r="CQ26771" s="111"/>
      <c r="EF26771"/>
      <c r="EG26771"/>
      <c r="EH26771"/>
      <c r="EI26771"/>
      <c r="EJ26771"/>
      <c r="EK26771"/>
    </row>
    <row r="26772" spans="1:141" s="116" customFormat="1">
      <c r="A26772" s="136"/>
      <c r="CM26772" s="111"/>
      <c r="CQ26772" s="111"/>
      <c r="EF26772"/>
      <c r="EG26772"/>
      <c r="EH26772"/>
      <c r="EI26772"/>
      <c r="EJ26772"/>
      <c r="EK26772"/>
    </row>
    <row r="26773" spans="1:141" s="116" customFormat="1">
      <c r="A26773" s="136"/>
      <c r="CM26773" s="111"/>
      <c r="CQ26773" s="111"/>
      <c r="EF26773"/>
      <c r="EG26773"/>
      <c r="EH26773"/>
      <c r="EI26773"/>
      <c r="EJ26773"/>
      <c r="EK26773"/>
    </row>
    <row r="26774" spans="1:141" s="116" customFormat="1">
      <c r="A26774" s="136"/>
      <c r="CM26774" s="111"/>
      <c r="CQ26774" s="111"/>
      <c r="EF26774"/>
      <c r="EG26774"/>
      <c r="EH26774"/>
      <c r="EI26774"/>
      <c r="EJ26774"/>
      <c r="EK26774"/>
    </row>
    <row r="26775" spans="1:141" s="116" customFormat="1">
      <c r="A26775" s="136"/>
      <c r="CM26775" s="111"/>
      <c r="CQ26775" s="111"/>
      <c r="EF26775"/>
      <c r="EG26775"/>
      <c r="EH26775"/>
      <c r="EI26775"/>
      <c r="EJ26775"/>
      <c r="EK26775"/>
    </row>
    <row r="26776" spans="1:141" s="116" customFormat="1">
      <c r="A26776" s="136"/>
      <c r="CM26776" s="111"/>
      <c r="CQ26776" s="111"/>
      <c r="EF26776"/>
      <c r="EG26776"/>
      <c r="EH26776"/>
      <c r="EI26776"/>
      <c r="EJ26776"/>
      <c r="EK26776"/>
    </row>
    <row r="26777" spans="1:141" s="116" customFormat="1">
      <c r="A26777" s="136"/>
      <c r="CM26777" s="111"/>
      <c r="CQ26777" s="111"/>
      <c r="EF26777"/>
      <c r="EG26777"/>
      <c r="EH26777"/>
      <c r="EI26777"/>
      <c r="EJ26777"/>
      <c r="EK26777"/>
    </row>
    <row r="26778" spans="1:141" s="116" customFormat="1">
      <c r="A26778" s="136"/>
      <c r="CM26778" s="111"/>
      <c r="CQ26778" s="111"/>
      <c r="EF26778"/>
      <c r="EG26778"/>
      <c r="EH26778"/>
      <c r="EI26778"/>
      <c r="EJ26778"/>
      <c r="EK26778"/>
    </row>
    <row r="26779" spans="1:141" s="116" customFormat="1">
      <c r="A26779" s="136"/>
      <c r="CM26779" s="111"/>
      <c r="CQ26779" s="111"/>
      <c r="EF26779"/>
      <c r="EG26779"/>
      <c r="EH26779"/>
      <c r="EI26779"/>
      <c r="EJ26779"/>
      <c r="EK26779"/>
    </row>
    <row r="26780" spans="1:141" s="116" customFormat="1">
      <c r="A26780" s="136"/>
      <c r="CM26780" s="111"/>
      <c r="CQ26780" s="111"/>
      <c r="EF26780"/>
      <c r="EG26780"/>
      <c r="EH26780"/>
      <c r="EI26780"/>
      <c r="EJ26780"/>
      <c r="EK26780"/>
    </row>
    <row r="26781" spans="1:141" s="116" customFormat="1">
      <c r="A26781" s="136"/>
      <c r="CM26781" s="111"/>
      <c r="CQ26781" s="111"/>
      <c r="EF26781"/>
      <c r="EG26781"/>
      <c r="EH26781"/>
      <c r="EI26781"/>
      <c r="EJ26781"/>
      <c r="EK26781"/>
    </row>
    <row r="26782" spans="1:141" s="116" customFormat="1">
      <c r="A26782" s="136"/>
      <c r="CM26782" s="111"/>
      <c r="CQ26782" s="111"/>
      <c r="EF26782"/>
      <c r="EG26782"/>
      <c r="EH26782"/>
      <c r="EI26782"/>
      <c r="EJ26782"/>
      <c r="EK26782"/>
    </row>
    <row r="26783" spans="1:141" s="116" customFormat="1">
      <c r="A26783" s="136"/>
      <c r="CM26783" s="111"/>
      <c r="CQ26783" s="111"/>
      <c r="EF26783"/>
      <c r="EG26783"/>
      <c r="EH26783"/>
      <c r="EI26783"/>
      <c r="EJ26783"/>
      <c r="EK26783"/>
    </row>
    <row r="26784" spans="1:141" s="116" customFormat="1">
      <c r="A26784" s="136"/>
      <c r="CM26784" s="111"/>
      <c r="CQ26784" s="111"/>
      <c r="EF26784"/>
      <c r="EG26784"/>
      <c r="EH26784"/>
      <c r="EI26784"/>
      <c r="EJ26784"/>
      <c r="EK26784"/>
    </row>
    <row r="26785" spans="1:141" s="116" customFormat="1">
      <c r="A26785" s="136"/>
      <c r="CM26785" s="111"/>
      <c r="CQ26785" s="111"/>
      <c r="EF26785"/>
      <c r="EG26785"/>
      <c r="EH26785"/>
      <c r="EI26785"/>
      <c r="EJ26785"/>
      <c r="EK26785"/>
    </row>
    <row r="26786" spans="1:141" s="116" customFormat="1">
      <c r="A26786" s="136"/>
      <c r="CM26786" s="111"/>
      <c r="CQ26786" s="111"/>
      <c r="EF26786"/>
      <c r="EG26786"/>
      <c r="EH26786"/>
      <c r="EI26786"/>
      <c r="EJ26786"/>
      <c r="EK26786"/>
    </row>
    <row r="26787" spans="1:141" s="116" customFormat="1">
      <c r="A26787" s="136"/>
      <c r="CM26787" s="111"/>
      <c r="CQ26787" s="111"/>
      <c r="EF26787"/>
      <c r="EG26787"/>
      <c r="EH26787"/>
      <c r="EI26787"/>
      <c r="EJ26787"/>
      <c r="EK26787"/>
    </row>
    <row r="26788" spans="1:141" s="116" customFormat="1">
      <c r="A26788" s="136"/>
      <c r="CM26788" s="111"/>
      <c r="CQ26788" s="111"/>
      <c r="EF26788"/>
      <c r="EG26788"/>
      <c r="EH26788"/>
      <c r="EI26788"/>
      <c r="EJ26788"/>
      <c r="EK26788"/>
    </row>
    <row r="26789" spans="1:141" s="116" customFormat="1">
      <c r="A26789" s="136"/>
      <c r="CM26789" s="111"/>
      <c r="CQ26789" s="111"/>
      <c r="EF26789"/>
      <c r="EG26789"/>
      <c r="EH26789"/>
      <c r="EI26789"/>
      <c r="EJ26789"/>
      <c r="EK26789"/>
    </row>
    <row r="26790" spans="1:141" s="116" customFormat="1">
      <c r="A26790" s="136"/>
      <c r="CM26790" s="111"/>
      <c r="CQ26790" s="111"/>
      <c r="EF26790"/>
      <c r="EG26790"/>
      <c r="EH26790"/>
      <c r="EI26790"/>
      <c r="EJ26790"/>
      <c r="EK26790"/>
    </row>
    <row r="26791" spans="1:141" s="116" customFormat="1">
      <c r="A26791" s="136"/>
      <c r="CM26791" s="111"/>
      <c r="CQ26791" s="111"/>
      <c r="EF26791"/>
      <c r="EG26791"/>
      <c r="EH26791"/>
      <c r="EI26791"/>
      <c r="EJ26791"/>
      <c r="EK26791"/>
    </row>
    <row r="26792" spans="1:141" s="116" customFormat="1">
      <c r="A26792" s="136"/>
      <c r="CM26792" s="111"/>
      <c r="CQ26792" s="111"/>
      <c r="EF26792"/>
      <c r="EG26792"/>
      <c r="EH26792"/>
      <c r="EI26792"/>
      <c r="EJ26792"/>
      <c r="EK26792"/>
    </row>
    <row r="26793" spans="1:141" s="116" customFormat="1">
      <c r="A26793" s="136"/>
      <c r="CM26793" s="111"/>
      <c r="CQ26793" s="111"/>
      <c r="EF26793"/>
      <c r="EG26793"/>
      <c r="EH26793"/>
      <c r="EI26793"/>
      <c r="EJ26793"/>
      <c r="EK26793"/>
    </row>
    <row r="26794" spans="1:141" s="116" customFormat="1">
      <c r="A26794" s="136"/>
      <c r="CM26794" s="111"/>
      <c r="CQ26794" s="111"/>
      <c r="EF26794"/>
      <c r="EG26794"/>
      <c r="EH26794"/>
      <c r="EI26794"/>
      <c r="EJ26794"/>
      <c r="EK26794"/>
    </row>
    <row r="26795" spans="1:141" s="116" customFormat="1">
      <c r="A26795" s="136"/>
      <c r="CM26795" s="111"/>
      <c r="CQ26795" s="111"/>
      <c r="EF26795"/>
      <c r="EG26795"/>
      <c r="EH26795"/>
      <c r="EI26795"/>
      <c r="EJ26795"/>
      <c r="EK26795"/>
    </row>
    <row r="26796" spans="1:141" s="116" customFormat="1">
      <c r="A26796" s="136"/>
      <c r="CM26796" s="111"/>
      <c r="CQ26796" s="111"/>
      <c r="EF26796"/>
      <c r="EG26796"/>
      <c r="EH26796"/>
      <c r="EI26796"/>
      <c r="EJ26796"/>
      <c r="EK26796"/>
    </row>
    <row r="26797" spans="1:141" s="116" customFormat="1">
      <c r="A26797" s="136"/>
      <c r="CM26797" s="111"/>
      <c r="CQ26797" s="111"/>
      <c r="EF26797"/>
      <c r="EG26797"/>
      <c r="EH26797"/>
      <c r="EI26797"/>
      <c r="EJ26797"/>
      <c r="EK26797"/>
    </row>
    <row r="26798" spans="1:141" s="116" customFormat="1">
      <c r="A26798" s="136"/>
      <c r="CM26798" s="111"/>
      <c r="CQ26798" s="111"/>
      <c r="EF26798"/>
      <c r="EG26798"/>
      <c r="EH26798"/>
      <c r="EI26798"/>
      <c r="EJ26798"/>
      <c r="EK26798"/>
    </row>
    <row r="26799" spans="1:141" s="116" customFormat="1">
      <c r="A26799" s="136"/>
      <c r="CM26799" s="111"/>
      <c r="CQ26799" s="111"/>
      <c r="EF26799"/>
      <c r="EG26799"/>
      <c r="EH26799"/>
      <c r="EI26799"/>
      <c r="EJ26799"/>
      <c r="EK26799"/>
    </row>
    <row r="26800" spans="1:141" s="116" customFormat="1">
      <c r="A26800" s="136"/>
      <c r="CM26800" s="111"/>
      <c r="CQ26800" s="111"/>
      <c r="EF26800"/>
      <c r="EG26800"/>
      <c r="EH26800"/>
      <c r="EI26800"/>
      <c r="EJ26800"/>
      <c r="EK26800"/>
    </row>
    <row r="26801" spans="1:141" s="116" customFormat="1">
      <c r="A26801" s="136"/>
      <c r="CM26801" s="111"/>
      <c r="CQ26801" s="111"/>
      <c r="EF26801"/>
      <c r="EG26801"/>
      <c r="EH26801"/>
      <c r="EI26801"/>
      <c r="EJ26801"/>
      <c r="EK26801"/>
    </row>
    <row r="26802" spans="1:141" s="116" customFormat="1">
      <c r="A26802" s="136"/>
      <c r="CM26802" s="111"/>
      <c r="CQ26802" s="111"/>
      <c r="EF26802"/>
      <c r="EG26802"/>
      <c r="EH26802"/>
      <c r="EI26802"/>
      <c r="EJ26802"/>
      <c r="EK26802"/>
    </row>
    <row r="26803" spans="1:141" s="116" customFormat="1">
      <c r="A26803" s="136"/>
      <c r="CM26803" s="111"/>
      <c r="CQ26803" s="111"/>
      <c r="EF26803"/>
      <c r="EG26803"/>
      <c r="EH26803"/>
      <c r="EI26803"/>
      <c r="EJ26803"/>
      <c r="EK26803"/>
    </row>
    <row r="26804" spans="1:141" s="116" customFormat="1">
      <c r="A26804" s="136"/>
      <c r="CM26804" s="111"/>
      <c r="CQ26804" s="111"/>
      <c r="EF26804"/>
      <c r="EG26804"/>
      <c r="EH26804"/>
      <c r="EI26804"/>
      <c r="EJ26804"/>
      <c r="EK26804"/>
    </row>
    <row r="26805" spans="1:141" s="116" customFormat="1">
      <c r="A26805" s="136"/>
      <c r="CM26805" s="111"/>
      <c r="CQ26805" s="111"/>
      <c r="EF26805"/>
      <c r="EG26805"/>
      <c r="EH26805"/>
      <c r="EI26805"/>
      <c r="EJ26805"/>
      <c r="EK26805"/>
    </row>
    <row r="26806" spans="1:141" s="116" customFormat="1">
      <c r="A26806" s="136"/>
      <c r="CM26806" s="111"/>
      <c r="CQ26806" s="111"/>
      <c r="EF26806"/>
      <c r="EG26806"/>
      <c r="EH26806"/>
      <c r="EI26806"/>
      <c r="EJ26806"/>
      <c r="EK26806"/>
    </row>
    <row r="26807" spans="1:141" s="116" customFormat="1">
      <c r="A26807" s="136"/>
      <c r="CM26807" s="111"/>
      <c r="CQ26807" s="111"/>
      <c r="EF26807"/>
      <c r="EG26807"/>
      <c r="EH26807"/>
      <c r="EI26807"/>
      <c r="EJ26807"/>
      <c r="EK26807"/>
    </row>
    <row r="26808" spans="1:141" s="116" customFormat="1">
      <c r="A26808" s="136"/>
      <c r="CM26808" s="111"/>
      <c r="CQ26808" s="111"/>
      <c r="EF26808"/>
      <c r="EG26808"/>
      <c r="EH26808"/>
      <c r="EI26808"/>
      <c r="EJ26808"/>
      <c r="EK26808"/>
    </row>
    <row r="26809" spans="1:141" s="116" customFormat="1">
      <c r="A26809" s="136"/>
      <c r="CM26809" s="111"/>
      <c r="CQ26809" s="111"/>
      <c r="EF26809"/>
      <c r="EG26809"/>
      <c r="EH26809"/>
      <c r="EI26809"/>
      <c r="EJ26809"/>
      <c r="EK26809"/>
    </row>
    <row r="26810" spans="1:141" s="116" customFormat="1">
      <c r="A26810" s="136"/>
      <c r="CM26810" s="111"/>
      <c r="CQ26810" s="111"/>
      <c r="EF26810"/>
      <c r="EG26810"/>
      <c r="EH26810"/>
      <c r="EI26810"/>
      <c r="EJ26810"/>
      <c r="EK26810"/>
    </row>
    <row r="26811" spans="1:141" s="116" customFormat="1">
      <c r="A26811" s="136"/>
      <c r="CM26811" s="111"/>
      <c r="CQ26811" s="111"/>
      <c r="EF26811"/>
      <c r="EG26811"/>
      <c r="EH26811"/>
      <c r="EI26811"/>
      <c r="EJ26811"/>
      <c r="EK26811"/>
    </row>
    <row r="26812" spans="1:141" s="116" customFormat="1">
      <c r="A26812" s="136"/>
      <c r="CM26812" s="111"/>
      <c r="CQ26812" s="111"/>
      <c r="EF26812"/>
      <c r="EG26812"/>
      <c r="EH26812"/>
      <c r="EI26812"/>
      <c r="EJ26812"/>
      <c r="EK26812"/>
    </row>
    <row r="26813" spans="1:141" s="116" customFormat="1">
      <c r="A26813" s="136"/>
      <c r="CM26813" s="111"/>
      <c r="CQ26813" s="111"/>
      <c r="EF26813"/>
      <c r="EG26813"/>
      <c r="EH26813"/>
      <c r="EI26813"/>
      <c r="EJ26813"/>
      <c r="EK26813"/>
    </row>
    <row r="26814" spans="1:141" s="116" customFormat="1">
      <c r="A26814" s="136"/>
      <c r="CM26814" s="111"/>
      <c r="CQ26814" s="111"/>
      <c r="EF26814"/>
      <c r="EG26814"/>
      <c r="EH26814"/>
      <c r="EI26814"/>
      <c r="EJ26814"/>
      <c r="EK26814"/>
    </row>
    <row r="26815" spans="1:141" s="116" customFormat="1">
      <c r="A26815" s="136"/>
      <c r="CM26815" s="111"/>
      <c r="CQ26815" s="111"/>
      <c r="EF26815"/>
      <c r="EG26815"/>
      <c r="EH26815"/>
      <c r="EI26815"/>
      <c r="EJ26815"/>
      <c r="EK26815"/>
    </row>
    <row r="26816" spans="1:141" s="116" customFormat="1">
      <c r="A26816" s="136"/>
      <c r="CM26816" s="111"/>
      <c r="CQ26816" s="111"/>
      <c r="EF26816"/>
      <c r="EG26816"/>
      <c r="EH26816"/>
      <c r="EI26816"/>
      <c r="EJ26816"/>
      <c r="EK26816"/>
    </row>
    <row r="26817" spans="1:141" s="116" customFormat="1">
      <c r="A26817" s="136"/>
      <c r="CM26817" s="111"/>
      <c r="CQ26817" s="111"/>
      <c r="EF26817"/>
      <c r="EG26817"/>
      <c r="EH26817"/>
      <c r="EI26817"/>
      <c r="EJ26817"/>
      <c r="EK26817"/>
    </row>
    <row r="26818" spans="1:141" s="116" customFormat="1">
      <c r="A26818" s="136"/>
      <c r="CM26818" s="111"/>
      <c r="CQ26818" s="111"/>
      <c r="EF26818"/>
      <c r="EG26818"/>
      <c r="EH26818"/>
      <c r="EI26818"/>
      <c r="EJ26818"/>
      <c r="EK26818"/>
    </row>
    <row r="26819" spans="1:141" s="116" customFormat="1">
      <c r="A26819" s="136"/>
      <c r="CM26819" s="111"/>
      <c r="CQ26819" s="111"/>
      <c r="EF26819"/>
      <c r="EG26819"/>
      <c r="EH26819"/>
      <c r="EI26819"/>
      <c r="EJ26819"/>
      <c r="EK26819"/>
    </row>
    <row r="26820" spans="1:141" s="116" customFormat="1">
      <c r="A26820" s="136"/>
      <c r="CM26820" s="111"/>
      <c r="CQ26820" s="111"/>
      <c r="EF26820"/>
      <c r="EG26820"/>
      <c r="EH26820"/>
      <c r="EI26820"/>
      <c r="EJ26820"/>
      <c r="EK26820"/>
    </row>
    <row r="26821" spans="1:141" s="116" customFormat="1">
      <c r="A26821" s="136"/>
      <c r="CM26821" s="111"/>
      <c r="CQ26821" s="111"/>
      <c r="EF26821"/>
      <c r="EG26821"/>
      <c r="EH26821"/>
      <c r="EI26821"/>
      <c r="EJ26821"/>
      <c r="EK26821"/>
    </row>
    <row r="26822" spans="1:141" s="116" customFormat="1">
      <c r="A26822" s="136"/>
      <c r="CM26822" s="111"/>
      <c r="CQ26822" s="111"/>
      <c r="EF26822"/>
      <c r="EG26822"/>
      <c r="EH26822"/>
      <c r="EI26822"/>
      <c r="EJ26822"/>
      <c r="EK26822"/>
    </row>
    <row r="26823" spans="1:141" s="116" customFormat="1">
      <c r="A26823" s="136"/>
      <c r="CM26823" s="111"/>
      <c r="CQ26823" s="111"/>
      <c r="EF26823"/>
      <c r="EG26823"/>
      <c r="EH26823"/>
      <c r="EI26823"/>
      <c r="EJ26823"/>
      <c r="EK26823"/>
    </row>
    <row r="26824" spans="1:141" s="116" customFormat="1">
      <c r="A26824" s="136"/>
      <c r="CM26824" s="111"/>
      <c r="CQ26824" s="111"/>
      <c r="EF26824"/>
      <c r="EG26824"/>
      <c r="EH26824"/>
      <c r="EI26824"/>
      <c r="EJ26824"/>
      <c r="EK26824"/>
    </row>
    <row r="26825" spans="1:141" s="116" customFormat="1">
      <c r="A26825" s="136"/>
      <c r="CM26825" s="111"/>
      <c r="CQ26825" s="111"/>
      <c r="EF26825"/>
      <c r="EG26825"/>
      <c r="EH26825"/>
      <c r="EI26825"/>
      <c r="EJ26825"/>
      <c r="EK26825"/>
    </row>
    <row r="26826" spans="1:141" s="116" customFormat="1">
      <c r="A26826" s="136"/>
      <c r="CM26826" s="111"/>
      <c r="CQ26826" s="111"/>
      <c r="EF26826"/>
      <c r="EG26826"/>
      <c r="EH26826"/>
      <c r="EI26826"/>
      <c r="EJ26826"/>
      <c r="EK26826"/>
    </row>
    <row r="26827" spans="1:141" s="116" customFormat="1">
      <c r="A26827" s="136"/>
      <c r="CM26827" s="111"/>
      <c r="CQ26827" s="111"/>
      <c r="EF26827"/>
      <c r="EG26827"/>
      <c r="EH26827"/>
      <c r="EI26827"/>
      <c r="EJ26827"/>
      <c r="EK26827"/>
    </row>
    <row r="26828" spans="1:141" s="116" customFormat="1">
      <c r="A26828" s="136"/>
      <c r="CM26828" s="111"/>
      <c r="CQ26828" s="111"/>
      <c r="EF26828"/>
      <c r="EG26828"/>
      <c r="EH26828"/>
      <c r="EI26828"/>
      <c r="EJ26828"/>
      <c r="EK26828"/>
    </row>
    <row r="26829" spans="1:141" s="116" customFormat="1">
      <c r="A26829" s="136"/>
      <c r="CM26829" s="111"/>
      <c r="CQ26829" s="111"/>
      <c r="EF26829"/>
      <c r="EG26829"/>
      <c r="EH26829"/>
      <c r="EI26829"/>
      <c r="EJ26829"/>
      <c r="EK26829"/>
    </row>
    <row r="26830" spans="1:141" s="116" customFormat="1">
      <c r="A26830" s="136"/>
      <c r="CM26830" s="111"/>
      <c r="CQ26830" s="111"/>
      <c r="EF26830"/>
      <c r="EG26830"/>
      <c r="EH26830"/>
      <c r="EI26830"/>
      <c r="EJ26830"/>
      <c r="EK26830"/>
    </row>
    <row r="26831" spans="1:141" s="116" customFormat="1">
      <c r="A26831" s="136"/>
      <c r="CM26831" s="111"/>
      <c r="CQ26831" s="111"/>
      <c r="EF26831"/>
      <c r="EG26831"/>
      <c r="EH26831"/>
      <c r="EI26831"/>
      <c r="EJ26831"/>
      <c r="EK26831"/>
    </row>
    <row r="26832" spans="1:141" s="116" customFormat="1">
      <c r="A26832" s="136"/>
      <c r="CM26832" s="111"/>
      <c r="CQ26832" s="111"/>
      <c r="EF26832"/>
      <c r="EG26832"/>
      <c r="EH26832"/>
      <c r="EI26832"/>
      <c r="EJ26832"/>
      <c r="EK26832"/>
    </row>
    <row r="26833" spans="1:141" s="116" customFormat="1">
      <c r="A26833" s="136"/>
      <c r="CM26833" s="111"/>
      <c r="CQ26833" s="111"/>
      <c r="EF26833"/>
      <c r="EG26833"/>
      <c r="EH26833"/>
      <c r="EI26833"/>
      <c r="EJ26833"/>
      <c r="EK26833"/>
    </row>
    <row r="26834" spans="1:141" s="116" customFormat="1">
      <c r="A26834" s="136"/>
      <c r="CM26834" s="111"/>
      <c r="CQ26834" s="111"/>
      <c r="EF26834"/>
      <c r="EG26834"/>
      <c r="EH26834"/>
      <c r="EI26834"/>
      <c r="EJ26834"/>
      <c r="EK26834"/>
    </row>
    <row r="26835" spans="1:141" s="116" customFormat="1">
      <c r="A26835" s="136"/>
      <c r="CM26835" s="111"/>
      <c r="CQ26835" s="111"/>
      <c r="EF26835"/>
      <c r="EG26835"/>
      <c r="EH26835"/>
      <c r="EI26835"/>
      <c r="EJ26835"/>
      <c r="EK26835"/>
    </row>
    <row r="26836" spans="1:141" s="116" customFormat="1">
      <c r="A26836" s="136"/>
      <c r="CM26836" s="111"/>
      <c r="CQ26836" s="111"/>
      <c r="EF26836"/>
      <c r="EG26836"/>
      <c r="EH26836"/>
      <c r="EI26836"/>
      <c r="EJ26836"/>
      <c r="EK26836"/>
    </row>
    <row r="26837" spans="1:141" s="116" customFormat="1">
      <c r="A26837" s="136"/>
      <c r="CM26837" s="111"/>
      <c r="CQ26837" s="111"/>
      <c r="EF26837"/>
      <c r="EG26837"/>
      <c r="EH26837"/>
      <c r="EI26837"/>
      <c r="EJ26837"/>
      <c r="EK26837"/>
    </row>
    <row r="26838" spans="1:141" s="116" customFormat="1">
      <c r="A26838" s="136"/>
      <c r="CM26838" s="111"/>
      <c r="CQ26838" s="111"/>
      <c r="EF26838"/>
      <c r="EG26838"/>
      <c r="EH26838"/>
      <c r="EI26838"/>
      <c r="EJ26838"/>
      <c r="EK26838"/>
    </row>
    <row r="26839" spans="1:141" s="116" customFormat="1">
      <c r="A26839" s="136"/>
      <c r="CM26839" s="111"/>
      <c r="CQ26839" s="111"/>
      <c r="EF26839"/>
      <c r="EG26839"/>
      <c r="EH26839"/>
      <c r="EI26839"/>
      <c r="EJ26839"/>
      <c r="EK26839"/>
    </row>
    <row r="26840" spans="1:141" s="116" customFormat="1">
      <c r="A26840" s="136"/>
      <c r="CM26840" s="111"/>
      <c r="CQ26840" s="111"/>
      <c r="EF26840"/>
      <c r="EG26840"/>
      <c r="EH26840"/>
      <c r="EI26840"/>
      <c r="EJ26840"/>
      <c r="EK26840"/>
    </row>
    <row r="26841" spans="1:141" s="116" customFormat="1">
      <c r="A26841" s="136"/>
      <c r="CM26841" s="111"/>
      <c r="CQ26841" s="111"/>
      <c r="EF26841"/>
      <c r="EG26841"/>
      <c r="EH26841"/>
      <c r="EI26841"/>
      <c r="EJ26841"/>
      <c r="EK26841"/>
    </row>
    <row r="26842" spans="1:141" s="116" customFormat="1">
      <c r="A26842" s="136"/>
      <c r="CM26842" s="111"/>
      <c r="CQ26842" s="111"/>
      <c r="EF26842"/>
      <c r="EG26842"/>
      <c r="EH26842"/>
      <c r="EI26842"/>
      <c r="EJ26842"/>
      <c r="EK26842"/>
    </row>
    <row r="26843" spans="1:141" s="116" customFormat="1">
      <c r="A26843" s="136"/>
      <c r="CM26843" s="111"/>
      <c r="CQ26843" s="111"/>
      <c r="EF26843"/>
      <c r="EG26843"/>
      <c r="EH26843"/>
      <c r="EI26843"/>
      <c r="EJ26843"/>
      <c r="EK26843"/>
    </row>
    <row r="26844" spans="1:141" s="116" customFormat="1">
      <c r="A26844" s="136"/>
      <c r="CM26844" s="111"/>
      <c r="CQ26844" s="111"/>
      <c r="EF26844"/>
      <c r="EG26844"/>
      <c r="EH26844"/>
      <c r="EI26844"/>
      <c r="EJ26844"/>
      <c r="EK26844"/>
    </row>
    <row r="26845" spans="1:141" s="116" customFormat="1">
      <c r="A26845" s="136"/>
      <c r="CM26845" s="111"/>
      <c r="CQ26845" s="111"/>
      <c r="EF26845"/>
      <c r="EG26845"/>
      <c r="EH26845"/>
      <c r="EI26845"/>
      <c r="EJ26845"/>
      <c r="EK26845"/>
    </row>
    <row r="26846" spans="1:141" s="116" customFormat="1">
      <c r="A26846" s="136"/>
      <c r="CM26846" s="111"/>
      <c r="CQ26846" s="111"/>
      <c r="EF26846"/>
      <c r="EG26846"/>
      <c r="EH26846"/>
      <c r="EI26846"/>
      <c r="EJ26846"/>
      <c r="EK26846"/>
    </row>
    <row r="26847" spans="1:141" s="116" customFormat="1">
      <c r="A26847" s="136"/>
      <c r="CM26847" s="111"/>
      <c r="CQ26847" s="111"/>
      <c r="EF26847"/>
      <c r="EG26847"/>
      <c r="EH26847"/>
      <c r="EI26847"/>
      <c r="EJ26847"/>
      <c r="EK26847"/>
    </row>
    <row r="26848" spans="1:141" s="116" customFormat="1">
      <c r="A26848" s="136"/>
      <c r="CM26848" s="111"/>
      <c r="CQ26848" s="111"/>
      <c r="EF26848"/>
      <c r="EG26848"/>
      <c r="EH26848"/>
      <c r="EI26848"/>
      <c r="EJ26848"/>
      <c r="EK26848"/>
    </row>
    <row r="26849" spans="1:141" s="116" customFormat="1">
      <c r="A26849" s="136"/>
      <c r="CM26849" s="111"/>
      <c r="CQ26849" s="111"/>
      <c r="EF26849"/>
      <c r="EG26849"/>
      <c r="EH26849"/>
      <c r="EI26849"/>
      <c r="EJ26849"/>
      <c r="EK26849"/>
    </row>
    <row r="26850" spans="1:141" s="116" customFormat="1">
      <c r="A26850" s="136"/>
      <c r="CM26850" s="111"/>
      <c r="CQ26850" s="111"/>
      <c r="EF26850"/>
      <c r="EG26850"/>
      <c r="EH26850"/>
      <c r="EI26850"/>
      <c r="EJ26850"/>
      <c r="EK26850"/>
    </row>
    <row r="26851" spans="1:141" s="116" customFormat="1">
      <c r="A26851" s="136"/>
      <c r="CM26851" s="111"/>
      <c r="CQ26851" s="111"/>
      <c r="EF26851"/>
      <c r="EG26851"/>
      <c r="EH26851"/>
      <c r="EI26851"/>
      <c r="EJ26851"/>
      <c r="EK26851"/>
    </row>
    <row r="26852" spans="1:141" s="116" customFormat="1">
      <c r="A26852" s="136"/>
      <c r="CM26852" s="111"/>
      <c r="CQ26852" s="111"/>
      <c r="EF26852"/>
      <c r="EG26852"/>
      <c r="EH26852"/>
      <c r="EI26852"/>
      <c r="EJ26852"/>
      <c r="EK26852"/>
    </row>
    <row r="26853" spans="1:141" s="116" customFormat="1">
      <c r="A26853" s="136"/>
      <c r="CM26853" s="111"/>
      <c r="CQ26853" s="111"/>
      <c r="EF26853"/>
      <c r="EG26853"/>
      <c r="EH26853"/>
      <c r="EI26853"/>
      <c r="EJ26853"/>
      <c r="EK26853"/>
    </row>
    <row r="26854" spans="1:141" s="116" customFormat="1">
      <c r="A26854" s="136"/>
      <c r="CM26854" s="111"/>
      <c r="CQ26854" s="111"/>
      <c r="EF26854"/>
      <c r="EG26854"/>
      <c r="EH26854"/>
      <c r="EI26854"/>
      <c r="EJ26854"/>
      <c r="EK26854"/>
    </row>
    <row r="26855" spans="1:141" s="116" customFormat="1">
      <c r="A26855" s="136"/>
      <c r="CM26855" s="111"/>
      <c r="CQ26855" s="111"/>
      <c r="EF26855"/>
      <c r="EG26855"/>
      <c r="EH26855"/>
      <c r="EI26855"/>
      <c r="EJ26855"/>
      <c r="EK26855"/>
    </row>
    <row r="26856" spans="1:141" s="116" customFormat="1">
      <c r="A26856" s="136"/>
      <c r="CM26856" s="111"/>
      <c r="CQ26856" s="111"/>
      <c r="EF26856"/>
      <c r="EG26856"/>
      <c r="EH26856"/>
      <c r="EI26856"/>
      <c r="EJ26856"/>
      <c r="EK26856"/>
    </row>
    <row r="26857" spans="1:141" s="116" customFormat="1">
      <c r="A26857" s="136"/>
      <c r="CM26857" s="111"/>
      <c r="CQ26857" s="111"/>
      <c r="EF26857"/>
      <c r="EG26857"/>
      <c r="EH26857"/>
      <c r="EI26857"/>
      <c r="EJ26857"/>
      <c r="EK26857"/>
    </row>
    <row r="26858" spans="1:141" s="116" customFormat="1">
      <c r="A26858" s="136"/>
      <c r="CM26858" s="111"/>
      <c r="CQ26858" s="111"/>
      <c r="EF26858"/>
      <c r="EG26858"/>
      <c r="EH26858"/>
      <c r="EI26858"/>
      <c r="EJ26858"/>
      <c r="EK26858"/>
    </row>
    <row r="26859" spans="1:141" s="116" customFormat="1">
      <c r="A26859" s="136"/>
      <c r="CM26859" s="111"/>
      <c r="CQ26859" s="111"/>
      <c r="EF26859"/>
      <c r="EG26859"/>
      <c r="EH26859"/>
      <c r="EI26859"/>
      <c r="EJ26859"/>
      <c r="EK26859"/>
    </row>
    <row r="26860" spans="1:141" s="116" customFormat="1">
      <c r="A26860" s="136"/>
      <c r="CM26860" s="111"/>
      <c r="CQ26860" s="111"/>
      <c r="EF26860"/>
      <c r="EG26860"/>
      <c r="EH26860"/>
      <c r="EI26860"/>
      <c r="EJ26860"/>
      <c r="EK26860"/>
    </row>
    <row r="26861" spans="1:141" s="116" customFormat="1">
      <c r="A26861" s="136"/>
      <c r="CM26861" s="111"/>
      <c r="CQ26861" s="111"/>
      <c r="EF26861"/>
      <c r="EG26861"/>
      <c r="EH26861"/>
      <c r="EI26861"/>
      <c r="EJ26861"/>
      <c r="EK26861"/>
    </row>
    <row r="26862" spans="1:141" s="116" customFormat="1">
      <c r="A26862" s="136"/>
      <c r="CM26862" s="111"/>
      <c r="CQ26862" s="111"/>
      <c r="EF26862"/>
      <c r="EG26862"/>
      <c r="EH26862"/>
      <c r="EI26862"/>
      <c r="EJ26862"/>
      <c r="EK26862"/>
    </row>
    <row r="26863" spans="1:141" s="116" customFormat="1">
      <c r="A26863" s="136"/>
      <c r="CM26863" s="111"/>
      <c r="CQ26863" s="111"/>
      <c r="EF26863"/>
      <c r="EG26863"/>
      <c r="EH26863"/>
      <c r="EI26863"/>
      <c r="EJ26863"/>
      <c r="EK26863"/>
    </row>
    <row r="26864" spans="1:141" s="116" customFormat="1">
      <c r="A26864" s="136"/>
      <c r="CM26864" s="111"/>
      <c r="CQ26864" s="111"/>
      <c r="EF26864"/>
      <c r="EG26864"/>
      <c r="EH26864"/>
      <c r="EI26864"/>
      <c r="EJ26864"/>
      <c r="EK26864"/>
    </row>
    <row r="26865" spans="1:141" s="116" customFormat="1">
      <c r="A26865" s="136"/>
      <c r="CM26865" s="111"/>
      <c r="CQ26865" s="111"/>
      <c r="EF26865"/>
      <c r="EG26865"/>
      <c r="EH26865"/>
      <c r="EI26865"/>
      <c r="EJ26865"/>
      <c r="EK26865"/>
    </row>
    <row r="26866" spans="1:141" s="116" customFormat="1">
      <c r="A26866" s="136"/>
      <c r="CM26866" s="111"/>
      <c r="CQ26866" s="111"/>
      <c r="EF26866"/>
      <c r="EG26866"/>
      <c r="EH26866"/>
      <c r="EI26866"/>
      <c r="EJ26866"/>
      <c r="EK26866"/>
    </row>
    <row r="26867" spans="1:141" s="116" customFormat="1">
      <c r="A26867" s="136"/>
      <c r="CM26867" s="111"/>
      <c r="CQ26867" s="111"/>
      <c r="EF26867"/>
      <c r="EG26867"/>
      <c r="EH26867"/>
      <c r="EI26867"/>
      <c r="EJ26867"/>
      <c r="EK26867"/>
    </row>
    <row r="26868" spans="1:141" s="116" customFormat="1">
      <c r="A26868" s="136"/>
      <c r="CM26868" s="111"/>
      <c r="CQ26868" s="111"/>
      <c r="EF26868"/>
      <c r="EG26868"/>
      <c r="EH26868"/>
      <c r="EI26868"/>
      <c r="EJ26868"/>
      <c r="EK26868"/>
    </row>
    <row r="26869" spans="1:141" s="116" customFormat="1">
      <c r="A26869" s="136"/>
      <c r="CM26869" s="111"/>
      <c r="CQ26869" s="111"/>
      <c r="EF26869"/>
      <c r="EG26869"/>
      <c r="EH26869"/>
      <c r="EI26869"/>
      <c r="EJ26869"/>
      <c r="EK26869"/>
    </row>
    <row r="26870" spans="1:141" s="116" customFormat="1">
      <c r="A26870" s="136"/>
      <c r="CM26870" s="111"/>
      <c r="CQ26870" s="111"/>
      <c r="EF26870"/>
      <c r="EG26870"/>
      <c r="EH26870"/>
      <c r="EI26870"/>
      <c r="EJ26870"/>
      <c r="EK26870"/>
    </row>
    <row r="26871" spans="1:141" s="116" customFormat="1">
      <c r="A26871" s="136"/>
      <c r="CM26871" s="111"/>
      <c r="CQ26871" s="111"/>
      <c r="EF26871"/>
      <c r="EG26871"/>
      <c r="EH26871"/>
      <c r="EI26871"/>
      <c r="EJ26871"/>
      <c r="EK26871"/>
    </row>
    <row r="26872" spans="1:141" s="116" customFormat="1">
      <c r="A26872" s="136"/>
      <c r="CM26872" s="111"/>
      <c r="CQ26872" s="111"/>
      <c r="EF26872"/>
      <c r="EG26872"/>
      <c r="EH26872"/>
      <c r="EI26872"/>
      <c r="EJ26872"/>
      <c r="EK26872"/>
    </row>
    <row r="26873" spans="1:141" s="116" customFormat="1">
      <c r="A26873" s="136"/>
      <c r="CM26873" s="111"/>
      <c r="CQ26873" s="111"/>
      <c r="EF26873"/>
      <c r="EG26873"/>
      <c r="EH26873"/>
      <c r="EI26873"/>
      <c r="EJ26873"/>
      <c r="EK26873"/>
    </row>
    <row r="26874" spans="1:141" s="116" customFormat="1">
      <c r="A26874" s="136"/>
      <c r="CM26874" s="111"/>
      <c r="CQ26874" s="111"/>
      <c r="EF26874"/>
      <c r="EG26874"/>
      <c r="EH26874"/>
      <c r="EI26874"/>
      <c r="EJ26874"/>
      <c r="EK26874"/>
    </row>
    <row r="26875" spans="1:141" s="116" customFormat="1">
      <c r="A26875" s="136"/>
      <c r="CM26875" s="111"/>
      <c r="CQ26875" s="111"/>
      <c r="EF26875"/>
      <c r="EG26875"/>
      <c r="EH26875"/>
      <c r="EI26875"/>
      <c r="EJ26875"/>
      <c r="EK26875"/>
    </row>
    <row r="26876" spans="1:141" s="116" customFormat="1">
      <c r="A26876" s="136"/>
      <c r="CM26876" s="111"/>
      <c r="CQ26876" s="111"/>
      <c r="EF26876"/>
      <c r="EG26876"/>
      <c r="EH26876"/>
      <c r="EI26876"/>
      <c r="EJ26876"/>
      <c r="EK26876"/>
    </row>
    <row r="26877" spans="1:141" s="116" customFormat="1">
      <c r="A26877" s="136"/>
      <c r="CM26877" s="111"/>
      <c r="CQ26877" s="111"/>
      <c r="EF26877"/>
      <c r="EG26877"/>
      <c r="EH26877"/>
      <c r="EI26877"/>
      <c r="EJ26877"/>
      <c r="EK26877"/>
    </row>
    <row r="26878" spans="1:141" s="116" customFormat="1">
      <c r="A26878" s="136"/>
      <c r="CM26878" s="111"/>
      <c r="CQ26878" s="111"/>
      <c r="EF26878"/>
      <c r="EG26878"/>
      <c r="EH26878"/>
      <c r="EI26878"/>
      <c r="EJ26878"/>
      <c r="EK26878"/>
    </row>
    <row r="26879" spans="1:141" s="116" customFormat="1">
      <c r="A26879" s="136"/>
      <c r="CM26879" s="111"/>
      <c r="CQ26879" s="111"/>
      <c r="EF26879"/>
      <c r="EG26879"/>
      <c r="EH26879"/>
      <c r="EI26879"/>
      <c r="EJ26879"/>
      <c r="EK26879"/>
    </row>
    <row r="26880" spans="1:141" s="116" customFormat="1">
      <c r="A26880" s="136"/>
      <c r="CM26880" s="111"/>
      <c r="CQ26880" s="111"/>
      <c r="EF26880"/>
      <c r="EG26880"/>
      <c r="EH26880"/>
      <c r="EI26880"/>
      <c r="EJ26880"/>
      <c r="EK26880"/>
    </row>
    <row r="26881" spans="1:141" s="116" customFormat="1">
      <c r="A26881" s="136"/>
      <c r="CM26881" s="111"/>
      <c r="CQ26881" s="111"/>
      <c r="EF26881"/>
      <c r="EG26881"/>
      <c r="EH26881"/>
      <c r="EI26881"/>
      <c r="EJ26881"/>
      <c r="EK26881"/>
    </row>
    <row r="26882" spans="1:141" s="116" customFormat="1">
      <c r="A26882" s="136"/>
      <c r="CM26882" s="111"/>
      <c r="CQ26882" s="111"/>
      <c r="EF26882"/>
      <c r="EG26882"/>
      <c r="EH26882"/>
      <c r="EI26882"/>
      <c r="EJ26882"/>
      <c r="EK26882"/>
    </row>
    <row r="26883" spans="1:141" s="116" customFormat="1">
      <c r="A26883" s="136"/>
      <c r="CM26883" s="111"/>
      <c r="CQ26883" s="111"/>
      <c r="EF26883"/>
      <c r="EG26883"/>
      <c r="EH26883"/>
      <c r="EI26883"/>
      <c r="EJ26883"/>
      <c r="EK26883"/>
    </row>
    <row r="26884" spans="1:141" s="116" customFormat="1">
      <c r="A26884" s="136"/>
      <c r="CM26884" s="111"/>
      <c r="CQ26884" s="111"/>
      <c r="EF26884"/>
      <c r="EG26884"/>
      <c r="EH26884"/>
      <c r="EI26884"/>
      <c r="EJ26884"/>
      <c r="EK26884"/>
    </row>
    <row r="26885" spans="1:141" s="116" customFormat="1">
      <c r="A26885" s="136"/>
      <c r="CM26885" s="111"/>
      <c r="CQ26885" s="111"/>
      <c r="EF26885"/>
      <c r="EG26885"/>
      <c r="EH26885"/>
      <c r="EI26885"/>
      <c r="EJ26885"/>
      <c r="EK26885"/>
    </row>
    <row r="26886" spans="1:141" s="116" customFormat="1">
      <c r="A26886" s="136"/>
      <c r="CM26886" s="111"/>
      <c r="CQ26886" s="111"/>
      <c r="EF26886"/>
      <c r="EG26886"/>
      <c r="EH26886"/>
      <c r="EI26886"/>
      <c r="EJ26886"/>
      <c r="EK26886"/>
    </row>
    <row r="26887" spans="1:141" s="116" customFormat="1">
      <c r="A26887" s="136"/>
      <c r="CM26887" s="111"/>
      <c r="CQ26887" s="111"/>
      <c r="EF26887"/>
      <c r="EG26887"/>
      <c r="EH26887"/>
      <c r="EI26887"/>
      <c r="EJ26887"/>
      <c r="EK26887"/>
    </row>
    <row r="26888" spans="1:141" s="116" customFormat="1">
      <c r="A26888" s="136"/>
      <c r="CM26888" s="111"/>
      <c r="CQ26888" s="111"/>
      <c r="EF26888"/>
      <c r="EG26888"/>
      <c r="EH26888"/>
      <c r="EI26888"/>
      <c r="EJ26888"/>
      <c r="EK26888"/>
    </row>
    <row r="26889" spans="1:141" s="116" customFormat="1">
      <c r="A26889" s="136"/>
      <c r="CM26889" s="111"/>
      <c r="CQ26889" s="111"/>
      <c r="EF26889"/>
      <c r="EG26889"/>
      <c r="EH26889"/>
      <c r="EI26889"/>
      <c r="EJ26889"/>
      <c r="EK26889"/>
    </row>
    <row r="26890" spans="1:141" s="116" customFormat="1">
      <c r="A26890" s="136"/>
      <c r="CM26890" s="111"/>
      <c r="CQ26890" s="111"/>
      <c r="EF26890"/>
      <c r="EG26890"/>
      <c r="EH26890"/>
      <c r="EI26890"/>
      <c r="EJ26890"/>
      <c r="EK26890"/>
    </row>
    <row r="26891" spans="1:141" s="116" customFormat="1">
      <c r="A26891" s="136"/>
      <c r="CM26891" s="111"/>
      <c r="CQ26891" s="111"/>
      <c r="EF26891"/>
      <c r="EG26891"/>
      <c r="EH26891"/>
      <c r="EI26891"/>
      <c r="EJ26891"/>
      <c r="EK26891"/>
    </row>
    <row r="26892" spans="1:141" s="116" customFormat="1">
      <c r="A26892" s="136"/>
      <c r="CM26892" s="111"/>
      <c r="CQ26892" s="111"/>
      <c r="EF26892"/>
      <c r="EG26892"/>
      <c r="EH26892"/>
      <c r="EI26892"/>
      <c r="EJ26892"/>
      <c r="EK26892"/>
    </row>
    <row r="26893" spans="1:141" s="116" customFormat="1">
      <c r="A26893" s="136"/>
      <c r="CM26893" s="111"/>
      <c r="CQ26893" s="111"/>
      <c r="EF26893"/>
      <c r="EG26893"/>
      <c r="EH26893"/>
      <c r="EI26893"/>
      <c r="EJ26893"/>
      <c r="EK26893"/>
    </row>
    <row r="26894" spans="1:141" s="116" customFormat="1">
      <c r="A26894" s="136"/>
      <c r="CM26894" s="111"/>
      <c r="CQ26894" s="111"/>
      <c r="EF26894"/>
      <c r="EG26894"/>
      <c r="EH26894"/>
      <c r="EI26894"/>
      <c r="EJ26894"/>
      <c r="EK26894"/>
    </row>
    <row r="26895" spans="1:141" s="116" customFormat="1">
      <c r="A26895" s="136"/>
      <c r="CM26895" s="111"/>
      <c r="CQ26895" s="111"/>
      <c r="EF26895"/>
      <c r="EG26895"/>
      <c r="EH26895"/>
      <c r="EI26895"/>
      <c r="EJ26895"/>
      <c r="EK26895"/>
    </row>
    <row r="26896" spans="1:141" s="116" customFormat="1">
      <c r="A26896" s="136"/>
      <c r="CM26896" s="111"/>
      <c r="CQ26896" s="111"/>
      <c r="EF26896"/>
      <c r="EG26896"/>
      <c r="EH26896"/>
      <c r="EI26896"/>
      <c r="EJ26896"/>
      <c r="EK26896"/>
    </row>
    <row r="26897" spans="1:141" s="116" customFormat="1">
      <c r="A26897" s="136"/>
      <c r="CM26897" s="111"/>
      <c r="CQ26897" s="111"/>
      <c r="EF26897"/>
      <c r="EG26897"/>
      <c r="EH26897"/>
      <c r="EI26897"/>
      <c r="EJ26897"/>
      <c r="EK26897"/>
    </row>
    <row r="26898" spans="1:141" s="116" customFormat="1">
      <c r="A26898" s="136"/>
      <c r="CM26898" s="111"/>
      <c r="CQ26898" s="111"/>
      <c r="EF26898"/>
      <c r="EG26898"/>
      <c r="EH26898"/>
      <c r="EI26898"/>
      <c r="EJ26898"/>
      <c r="EK26898"/>
    </row>
    <row r="26899" spans="1:141" s="116" customFormat="1">
      <c r="A26899" s="136"/>
      <c r="CM26899" s="111"/>
      <c r="CQ26899" s="111"/>
      <c r="EF26899"/>
      <c r="EG26899"/>
      <c r="EH26899"/>
      <c r="EI26899"/>
      <c r="EJ26899"/>
      <c r="EK26899"/>
    </row>
    <row r="26900" spans="1:141" s="116" customFormat="1">
      <c r="A26900" s="136"/>
      <c r="CM26900" s="111"/>
      <c r="CQ26900" s="111"/>
      <c r="EF26900"/>
      <c r="EG26900"/>
      <c r="EH26900"/>
      <c r="EI26900"/>
      <c r="EJ26900"/>
      <c r="EK26900"/>
    </row>
    <row r="26901" spans="1:141" s="116" customFormat="1">
      <c r="A26901" s="136"/>
      <c r="CM26901" s="111"/>
      <c r="CQ26901" s="111"/>
      <c r="EF26901"/>
      <c r="EG26901"/>
      <c r="EH26901"/>
      <c r="EI26901"/>
      <c r="EJ26901"/>
      <c r="EK26901"/>
    </row>
    <row r="26902" spans="1:141" s="116" customFormat="1">
      <c r="A26902" s="136"/>
      <c r="CM26902" s="111"/>
      <c r="CQ26902" s="111"/>
      <c r="EF26902"/>
      <c r="EG26902"/>
      <c r="EH26902"/>
      <c r="EI26902"/>
      <c r="EJ26902"/>
      <c r="EK26902"/>
    </row>
    <row r="26903" spans="1:141" s="116" customFormat="1">
      <c r="A26903" s="136"/>
      <c r="CM26903" s="111"/>
      <c r="CQ26903" s="111"/>
      <c r="EF26903"/>
      <c r="EG26903"/>
      <c r="EH26903"/>
      <c r="EI26903"/>
      <c r="EJ26903"/>
      <c r="EK26903"/>
    </row>
    <row r="26904" spans="1:141" s="116" customFormat="1">
      <c r="A26904" s="136"/>
      <c r="CM26904" s="111"/>
      <c r="CQ26904" s="111"/>
      <c r="EF26904"/>
      <c r="EG26904"/>
      <c r="EH26904"/>
      <c r="EI26904"/>
      <c r="EJ26904"/>
      <c r="EK26904"/>
    </row>
    <row r="26905" spans="1:141" s="116" customFormat="1">
      <c r="A26905" s="136"/>
      <c r="CM26905" s="111"/>
      <c r="CQ26905" s="111"/>
      <c r="EF26905"/>
      <c r="EG26905"/>
      <c r="EH26905"/>
      <c r="EI26905"/>
      <c r="EJ26905"/>
      <c r="EK26905"/>
    </row>
    <row r="26906" spans="1:141" s="116" customFormat="1">
      <c r="A26906" s="136"/>
      <c r="CM26906" s="111"/>
      <c r="CQ26906" s="111"/>
      <c r="EF26906"/>
      <c r="EG26906"/>
      <c r="EH26906"/>
      <c r="EI26906"/>
      <c r="EJ26906"/>
      <c r="EK26906"/>
    </row>
    <row r="26907" spans="1:141" s="116" customFormat="1">
      <c r="A26907" s="136"/>
      <c r="CM26907" s="111"/>
      <c r="CQ26907" s="111"/>
      <c r="EF26907"/>
      <c r="EG26907"/>
      <c r="EH26907"/>
      <c r="EI26907"/>
      <c r="EJ26907"/>
      <c r="EK26907"/>
    </row>
    <row r="26908" spans="1:141" s="116" customFormat="1">
      <c r="A26908" s="136"/>
      <c r="CM26908" s="111"/>
      <c r="CQ26908" s="111"/>
      <c r="EF26908"/>
      <c r="EG26908"/>
      <c r="EH26908"/>
      <c r="EI26908"/>
      <c r="EJ26908"/>
      <c r="EK26908"/>
    </row>
    <row r="26909" spans="1:141" s="116" customFormat="1">
      <c r="A26909" s="136"/>
      <c r="CM26909" s="111"/>
      <c r="CQ26909" s="111"/>
      <c r="EF26909"/>
      <c r="EG26909"/>
      <c r="EH26909"/>
      <c r="EI26909"/>
      <c r="EJ26909"/>
      <c r="EK26909"/>
    </row>
    <row r="26910" spans="1:141" s="116" customFormat="1">
      <c r="A26910" s="136"/>
      <c r="CM26910" s="111"/>
      <c r="CQ26910" s="111"/>
      <c r="EF26910"/>
      <c r="EG26910"/>
      <c r="EH26910"/>
      <c r="EI26910"/>
      <c r="EJ26910"/>
      <c r="EK26910"/>
    </row>
    <row r="26911" spans="1:141" s="116" customFormat="1">
      <c r="A26911" s="136"/>
      <c r="CM26911" s="111"/>
      <c r="CQ26911" s="111"/>
      <c r="EF26911"/>
      <c r="EG26911"/>
      <c r="EH26911"/>
      <c r="EI26911"/>
      <c r="EJ26911"/>
      <c r="EK26911"/>
    </row>
    <row r="26912" spans="1:141" s="116" customFormat="1">
      <c r="A26912" s="136"/>
      <c r="CM26912" s="111"/>
      <c r="CQ26912" s="111"/>
      <c r="EF26912"/>
      <c r="EG26912"/>
      <c r="EH26912"/>
      <c r="EI26912"/>
      <c r="EJ26912"/>
      <c r="EK26912"/>
    </row>
    <row r="26913" spans="1:141" s="116" customFormat="1">
      <c r="A26913" s="136"/>
      <c r="CM26913" s="111"/>
      <c r="CQ26913" s="111"/>
      <c r="EF26913"/>
      <c r="EG26913"/>
      <c r="EH26913"/>
      <c r="EI26913"/>
      <c r="EJ26913"/>
      <c r="EK26913"/>
    </row>
    <row r="26914" spans="1:141" s="116" customFormat="1">
      <c r="A26914" s="136"/>
      <c r="CM26914" s="111"/>
      <c r="CQ26914" s="111"/>
      <c r="EF26914"/>
      <c r="EG26914"/>
      <c r="EH26914"/>
      <c r="EI26914"/>
      <c r="EJ26914"/>
      <c r="EK26914"/>
    </row>
    <row r="26915" spans="1:141" s="116" customFormat="1">
      <c r="A26915" s="136"/>
      <c r="CM26915" s="111"/>
      <c r="CQ26915" s="111"/>
      <c r="EF26915"/>
      <c r="EG26915"/>
      <c r="EH26915"/>
      <c r="EI26915"/>
      <c r="EJ26915"/>
      <c r="EK26915"/>
    </row>
    <row r="26916" spans="1:141" s="116" customFormat="1">
      <c r="A26916" s="136"/>
      <c r="CM26916" s="111"/>
      <c r="CQ26916" s="111"/>
      <c r="EF26916"/>
      <c r="EG26916"/>
      <c r="EH26916"/>
      <c r="EI26916"/>
      <c r="EJ26916"/>
      <c r="EK26916"/>
    </row>
    <row r="26917" spans="1:141" s="116" customFormat="1">
      <c r="A26917" s="136"/>
      <c r="CM26917" s="111"/>
      <c r="CQ26917" s="111"/>
      <c r="EF26917"/>
      <c r="EG26917"/>
      <c r="EH26917"/>
      <c r="EI26917"/>
      <c r="EJ26917"/>
      <c r="EK26917"/>
    </row>
    <row r="26918" spans="1:141" s="116" customFormat="1">
      <c r="A26918" s="136"/>
      <c r="CM26918" s="111"/>
      <c r="CQ26918" s="111"/>
      <c r="EF26918"/>
      <c r="EG26918"/>
      <c r="EH26918"/>
      <c r="EI26918"/>
      <c r="EJ26918"/>
      <c r="EK26918"/>
    </row>
    <row r="26919" spans="1:141" s="116" customFormat="1">
      <c r="A26919" s="136"/>
      <c r="CM26919" s="111"/>
      <c r="CQ26919" s="111"/>
      <c r="EF26919"/>
      <c r="EG26919"/>
      <c r="EH26919"/>
      <c r="EI26919"/>
      <c r="EJ26919"/>
      <c r="EK26919"/>
    </row>
    <row r="26920" spans="1:141" s="116" customFormat="1">
      <c r="A26920" s="136"/>
      <c r="CM26920" s="111"/>
      <c r="CQ26920" s="111"/>
      <c r="EF26920"/>
      <c r="EG26920"/>
      <c r="EH26920"/>
      <c r="EI26920"/>
      <c r="EJ26920"/>
      <c r="EK26920"/>
    </row>
    <row r="26921" spans="1:141" s="116" customFormat="1">
      <c r="A26921" s="136"/>
      <c r="CM26921" s="111"/>
      <c r="CQ26921" s="111"/>
      <c r="EF26921"/>
      <c r="EG26921"/>
      <c r="EH26921"/>
      <c r="EI26921"/>
      <c r="EJ26921"/>
      <c r="EK26921"/>
    </row>
    <row r="26922" spans="1:141" s="116" customFormat="1">
      <c r="A26922" s="136"/>
      <c r="CM26922" s="111"/>
      <c r="CQ26922" s="111"/>
      <c r="EF26922"/>
      <c r="EG26922"/>
      <c r="EH26922"/>
      <c r="EI26922"/>
      <c r="EJ26922"/>
      <c r="EK26922"/>
    </row>
    <row r="26923" spans="1:141" s="116" customFormat="1">
      <c r="A26923" s="136"/>
      <c r="CM26923" s="111"/>
      <c r="CQ26923" s="111"/>
      <c r="EF26923"/>
      <c r="EG26923"/>
      <c r="EH26923"/>
      <c r="EI26923"/>
      <c r="EJ26923"/>
      <c r="EK26923"/>
    </row>
    <row r="26924" spans="1:141" s="116" customFormat="1">
      <c r="A26924" s="136"/>
      <c r="CM26924" s="111"/>
      <c r="CQ26924" s="111"/>
      <c r="EF26924"/>
      <c r="EG26924"/>
      <c r="EH26924"/>
      <c r="EI26924"/>
      <c r="EJ26924"/>
      <c r="EK26924"/>
    </row>
    <row r="26925" spans="1:141" s="116" customFormat="1">
      <c r="A26925" s="136"/>
      <c r="CM26925" s="111"/>
      <c r="CQ26925" s="111"/>
      <c r="EF26925"/>
      <c r="EG26925"/>
      <c r="EH26925"/>
      <c r="EI26925"/>
      <c r="EJ26925"/>
      <c r="EK26925"/>
    </row>
    <row r="26926" spans="1:141" s="116" customFormat="1">
      <c r="A26926" s="136"/>
      <c r="CM26926" s="111"/>
      <c r="CQ26926" s="111"/>
      <c r="EF26926"/>
      <c r="EG26926"/>
      <c r="EH26926"/>
      <c r="EI26926"/>
      <c r="EJ26926"/>
      <c r="EK26926"/>
    </row>
    <row r="26927" spans="1:141" s="116" customFormat="1">
      <c r="A26927" s="136"/>
      <c r="CM26927" s="111"/>
      <c r="CQ26927" s="111"/>
      <c r="EF26927"/>
      <c r="EG26927"/>
      <c r="EH26927"/>
      <c r="EI26927"/>
      <c r="EJ26927"/>
      <c r="EK26927"/>
    </row>
    <row r="26928" spans="1:141" s="116" customFormat="1">
      <c r="A26928" s="136"/>
      <c r="CM26928" s="111"/>
      <c r="CQ26928" s="111"/>
      <c r="EF26928"/>
      <c r="EG26928"/>
      <c r="EH26928"/>
      <c r="EI26928"/>
      <c r="EJ26928"/>
      <c r="EK26928"/>
    </row>
    <row r="26929" spans="1:141" s="116" customFormat="1">
      <c r="A26929" s="136"/>
      <c r="CM26929" s="111"/>
      <c r="CQ26929" s="111"/>
      <c r="EF26929"/>
      <c r="EG26929"/>
      <c r="EH26929"/>
      <c r="EI26929"/>
      <c r="EJ26929"/>
      <c r="EK26929"/>
    </row>
    <row r="26930" spans="1:141" s="116" customFormat="1">
      <c r="A26930" s="136"/>
      <c r="CM26930" s="111"/>
      <c r="CQ26930" s="111"/>
      <c r="EF26930"/>
      <c r="EG26930"/>
      <c r="EH26930"/>
      <c r="EI26930"/>
      <c r="EJ26930"/>
      <c r="EK26930"/>
    </row>
    <row r="26931" spans="1:141" s="116" customFormat="1">
      <c r="A26931" s="136"/>
      <c r="CM26931" s="111"/>
      <c r="CQ26931" s="111"/>
      <c r="EF26931"/>
      <c r="EG26931"/>
      <c r="EH26931"/>
      <c r="EI26931"/>
      <c r="EJ26931"/>
      <c r="EK26931"/>
    </row>
    <row r="26932" spans="1:141" s="116" customFormat="1">
      <c r="A26932" s="136"/>
      <c r="CM26932" s="111"/>
      <c r="CQ26932" s="111"/>
      <c r="EF26932"/>
      <c r="EG26932"/>
      <c r="EH26932"/>
      <c r="EI26932"/>
      <c r="EJ26932"/>
      <c r="EK26932"/>
    </row>
    <row r="26933" spans="1:141" s="116" customFormat="1">
      <c r="A26933" s="136"/>
      <c r="CM26933" s="111"/>
      <c r="CQ26933" s="111"/>
      <c r="EF26933"/>
      <c r="EG26933"/>
      <c r="EH26933"/>
      <c r="EI26933"/>
      <c r="EJ26933"/>
      <c r="EK26933"/>
    </row>
    <row r="26934" spans="1:141" s="116" customFormat="1">
      <c r="A26934" s="136"/>
      <c r="CM26934" s="111"/>
      <c r="CQ26934" s="111"/>
      <c r="EF26934"/>
      <c r="EG26934"/>
      <c r="EH26934"/>
      <c r="EI26934"/>
      <c r="EJ26934"/>
      <c r="EK26934"/>
    </row>
    <row r="26935" spans="1:141" s="116" customFormat="1">
      <c r="A26935" s="136"/>
      <c r="CM26935" s="111"/>
      <c r="CQ26935" s="111"/>
      <c r="EF26935"/>
      <c r="EG26935"/>
      <c r="EH26935"/>
      <c r="EI26935"/>
      <c r="EJ26935"/>
      <c r="EK26935"/>
    </row>
    <row r="26936" spans="1:141" s="116" customFormat="1">
      <c r="A26936" s="136"/>
      <c r="CM26936" s="111"/>
      <c r="CQ26936" s="111"/>
      <c r="EF26936"/>
      <c r="EG26936"/>
      <c r="EH26936"/>
      <c r="EI26936"/>
      <c r="EJ26936"/>
      <c r="EK26936"/>
    </row>
    <row r="26937" spans="1:141" s="116" customFormat="1">
      <c r="A26937" s="136"/>
      <c r="CM26937" s="111"/>
      <c r="CQ26937" s="111"/>
      <c r="EF26937"/>
      <c r="EG26937"/>
      <c r="EH26937"/>
      <c r="EI26937"/>
      <c r="EJ26937"/>
      <c r="EK26937"/>
    </row>
    <row r="26938" spans="1:141" s="116" customFormat="1">
      <c r="A26938" s="136"/>
      <c r="CM26938" s="111"/>
      <c r="CQ26938" s="111"/>
      <c r="EF26938"/>
      <c r="EG26938"/>
      <c r="EH26938"/>
      <c r="EI26938"/>
      <c r="EJ26938"/>
      <c r="EK26938"/>
    </row>
    <row r="26939" spans="1:141" s="116" customFormat="1">
      <c r="A26939" s="136"/>
      <c r="CM26939" s="111"/>
      <c r="CQ26939" s="111"/>
      <c r="EF26939"/>
      <c r="EG26939"/>
      <c r="EH26939"/>
      <c r="EI26939"/>
      <c r="EJ26939"/>
      <c r="EK26939"/>
    </row>
    <row r="26940" spans="1:141" s="116" customFormat="1">
      <c r="A26940" s="136"/>
      <c r="CM26940" s="111"/>
      <c r="CQ26940" s="111"/>
      <c r="EF26940"/>
      <c r="EG26940"/>
      <c r="EH26940"/>
      <c r="EI26940"/>
      <c r="EJ26940"/>
      <c r="EK26940"/>
    </row>
    <row r="26941" spans="1:141" s="116" customFormat="1">
      <c r="A26941" s="136"/>
      <c r="CM26941" s="111"/>
      <c r="CQ26941" s="111"/>
      <c r="EF26941"/>
      <c r="EG26941"/>
      <c r="EH26941"/>
      <c r="EI26941"/>
      <c r="EJ26941"/>
      <c r="EK26941"/>
    </row>
    <row r="26942" spans="1:141" s="116" customFormat="1">
      <c r="A26942" s="136"/>
      <c r="CM26942" s="111"/>
      <c r="CQ26942" s="111"/>
      <c r="EF26942"/>
      <c r="EG26942"/>
      <c r="EH26942"/>
      <c r="EI26942"/>
      <c r="EJ26942"/>
      <c r="EK26942"/>
    </row>
    <row r="26943" spans="1:141" s="116" customFormat="1">
      <c r="A26943" s="136"/>
      <c r="CM26943" s="111"/>
      <c r="CQ26943" s="111"/>
      <c r="EF26943"/>
      <c r="EG26943"/>
      <c r="EH26943"/>
      <c r="EI26943"/>
      <c r="EJ26943"/>
      <c r="EK26943"/>
    </row>
    <row r="26944" spans="1:141" s="116" customFormat="1">
      <c r="A26944" s="136"/>
      <c r="CM26944" s="111"/>
      <c r="CQ26944" s="111"/>
      <c r="EF26944"/>
      <c r="EG26944"/>
      <c r="EH26944"/>
      <c r="EI26944"/>
      <c r="EJ26944"/>
      <c r="EK26944"/>
    </row>
    <row r="26945" spans="1:141" s="116" customFormat="1">
      <c r="A26945" s="136"/>
      <c r="CM26945" s="111"/>
      <c r="CQ26945" s="111"/>
      <c r="EF26945"/>
      <c r="EG26945"/>
      <c r="EH26945"/>
      <c r="EI26945"/>
      <c r="EJ26945"/>
      <c r="EK26945"/>
    </row>
    <row r="26946" spans="1:141" s="116" customFormat="1">
      <c r="A26946" s="136"/>
      <c r="CM26946" s="111"/>
      <c r="CQ26946" s="111"/>
      <c r="EF26946"/>
      <c r="EG26946"/>
      <c r="EH26946"/>
      <c r="EI26946"/>
      <c r="EJ26946"/>
      <c r="EK26946"/>
    </row>
    <row r="26947" spans="1:141" s="116" customFormat="1">
      <c r="A26947" s="136"/>
      <c r="CM26947" s="111"/>
      <c r="CQ26947" s="111"/>
      <c r="EF26947"/>
      <c r="EG26947"/>
      <c r="EH26947"/>
      <c r="EI26947"/>
      <c r="EJ26947"/>
      <c r="EK26947"/>
    </row>
    <row r="26948" spans="1:141" s="116" customFormat="1">
      <c r="A26948" s="136"/>
      <c r="CM26948" s="111"/>
      <c r="CQ26948" s="111"/>
      <c r="EF26948"/>
      <c r="EG26948"/>
      <c r="EH26948"/>
      <c r="EI26948"/>
      <c r="EJ26948"/>
      <c r="EK26948"/>
    </row>
    <row r="26949" spans="1:141" s="116" customFormat="1">
      <c r="A26949" s="136"/>
      <c r="CM26949" s="111"/>
      <c r="CQ26949" s="111"/>
      <c r="EF26949"/>
      <c r="EG26949"/>
      <c r="EH26949"/>
      <c r="EI26949"/>
      <c r="EJ26949"/>
      <c r="EK26949"/>
    </row>
    <row r="26950" spans="1:141" s="116" customFormat="1">
      <c r="A26950" s="136"/>
      <c r="CM26950" s="111"/>
      <c r="CQ26950" s="111"/>
      <c r="EF26950"/>
      <c r="EG26950"/>
      <c r="EH26950"/>
      <c r="EI26950"/>
      <c r="EJ26950"/>
      <c r="EK26950"/>
    </row>
    <row r="26951" spans="1:141" s="116" customFormat="1">
      <c r="A26951" s="136"/>
      <c r="CM26951" s="111"/>
      <c r="CQ26951" s="111"/>
      <c r="EF26951"/>
      <c r="EG26951"/>
      <c r="EH26951"/>
      <c r="EI26951"/>
      <c r="EJ26951"/>
      <c r="EK26951"/>
    </row>
    <row r="26952" spans="1:141" s="116" customFormat="1">
      <c r="A26952" s="136"/>
      <c r="CM26952" s="111"/>
      <c r="CQ26952" s="111"/>
      <c r="EF26952"/>
      <c r="EG26952"/>
      <c r="EH26952"/>
      <c r="EI26952"/>
      <c r="EJ26952"/>
      <c r="EK26952"/>
    </row>
    <row r="26953" spans="1:141" s="116" customFormat="1">
      <c r="A26953" s="136"/>
      <c r="CM26953" s="111"/>
      <c r="CQ26953" s="111"/>
      <c r="EF26953"/>
      <c r="EG26953"/>
      <c r="EH26953"/>
      <c r="EI26953"/>
      <c r="EJ26953"/>
      <c r="EK26953"/>
    </row>
    <row r="26954" spans="1:141" s="116" customFormat="1">
      <c r="A26954" s="136"/>
      <c r="CM26954" s="111"/>
      <c r="CQ26954" s="111"/>
      <c r="EF26954"/>
      <c r="EG26954"/>
      <c r="EH26954"/>
      <c r="EI26954"/>
      <c r="EJ26954"/>
      <c r="EK26954"/>
    </row>
    <row r="26955" spans="1:141" s="116" customFormat="1">
      <c r="A26955" s="136"/>
      <c r="CM26955" s="111"/>
      <c r="CQ26955" s="111"/>
      <c r="EF26955"/>
      <c r="EG26955"/>
      <c r="EH26955"/>
      <c r="EI26955"/>
      <c r="EJ26955"/>
      <c r="EK26955"/>
    </row>
    <row r="26956" spans="1:141" s="116" customFormat="1">
      <c r="A26956" s="136"/>
      <c r="CM26956" s="111"/>
      <c r="CQ26956" s="111"/>
      <c r="EF26956"/>
      <c r="EG26956"/>
      <c r="EH26956"/>
      <c r="EI26956"/>
      <c r="EJ26956"/>
      <c r="EK26956"/>
    </row>
    <row r="26957" spans="1:141" s="116" customFormat="1">
      <c r="A26957" s="136"/>
      <c r="CM26957" s="111"/>
      <c r="CQ26957" s="111"/>
      <c r="EF26957"/>
      <c r="EG26957"/>
      <c r="EH26957"/>
      <c r="EI26957"/>
      <c r="EJ26957"/>
      <c r="EK26957"/>
    </row>
    <row r="26958" spans="1:141" s="116" customFormat="1">
      <c r="A26958" s="136"/>
      <c r="CM26958" s="111"/>
      <c r="CQ26958" s="111"/>
      <c r="EF26958"/>
      <c r="EG26958"/>
      <c r="EH26958"/>
      <c r="EI26958"/>
      <c r="EJ26958"/>
      <c r="EK26958"/>
    </row>
    <row r="26959" spans="1:141" s="116" customFormat="1">
      <c r="A26959" s="136"/>
      <c r="CM26959" s="111"/>
      <c r="CQ26959" s="111"/>
      <c r="EF26959"/>
      <c r="EG26959"/>
      <c r="EH26959"/>
      <c r="EI26959"/>
      <c r="EJ26959"/>
      <c r="EK26959"/>
    </row>
    <row r="26960" spans="1:141" s="116" customFormat="1">
      <c r="A26960" s="136"/>
      <c r="CM26960" s="111"/>
      <c r="CQ26960" s="111"/>
      <c r="EF26960"/>
      <c r="EG26960"/>
      <c r="EH26960"/>
      <c r="EI26960"/>
      <c r="EJ26960"/>
      <c r="EK26960"/>
    </row>
    <row r="26961" spans="1:141" s="116" customFormat="1">
      <c r="A26961" s="136"/>
      <c r="CM26961" s="111"/>
      <c r="CQ26961" s="111"/>
      <c r="EF26961"/>
      <c r="EG26961"/>
      <c r="EH26961"/>
      <c r="EI26961"/>
      <c r="EJ26961"/>
      <c r="EK26961"/>
    </row>
    <row r="26962" spans="1:141" s="116" customFormat="1">
      <c r="A26962" s="136"/>
      <c r="CM26962" s="111"/>
      <c r="CQ26962" s="111"/>
      <c r="EF26962"/>
      <c r="EG26962"/>
      <c r="EH26962"/>
      <c r="EI26962"/>
      <c r="EJ26962"/>
      <c r="EK26962"/>
    </row>
    <row r="26963" spans="1:141" s="116" customFormat="1">
      <c r="A26963" s="136"/>
      <c r="CM26963" s="111"/>
      <c r="CQ26963" s="111"/>
      <c r="EF26963"/>
      <c r="EG26963"/>
      <c r="EH26963"/>
      <c r="EI26963"/>
      <c r="EJ26963"/>
      <c r="EK26963"/>
    </row>
    <row r="26964" spans="1:141" s="116" customFormat="1">
      <c r="A26964" s="136"/>
      <c r="CM26964" s="111"/>
      <c r="CQ26964" s="111"/>
      <c r="EF26964"/>
      <c r="EG26964"/>
      <c r="EH26964"/>
      <c r="EI26964"/>
      <c r="EJ26964"/>
      <c r="EK26964"/>
    </row>
    <row r="26965" spans="1:141" s="116" customFormat="1">
      <c r="A26965" s="136"/>
      <c r="CM26965" s="111"/>
      <c r="CQ26965" s="111"/>
      <c r="EF26965"/>
      <c r="EG26965"/>
      <c r="EH26965"/>
      <c r="EI26965"/>
      <c r="EJ26965"/>
      <c r="EK26965"/>
    </row>
    <row r="26966" spans="1:141" s="116" customFormat="1">
      <c r="A26966" s="136"/>
      <c r="CM26966" s="111"/>
      <c r="CQ26966" s="111"/>
      <c r="EF26966"/>
      <c r="EG26966"/>
      <c r="EH26966"/>
      <c r="EI26966"/>
      <c r="EJ26966"/>
      <c r="EK26966"/>
    </row>
    <row r="26967" spans="1:141" s="116" customFormat="1">
      <c r="A26967" s="136"/>
      <c r="CM26967" s="111"/>
      <c r="CQ26967" s="111"/>
      <c r="EF26967"/>
      <c r="EG26967"/>
      <c r="EH26967"/>
      <c r="EI26967"/>
      <c r="EJ26967"/>
      <c r="EK26967"/>
    </row>
    <row r="26968" spans="1:141" s="116" customFormat="1">
      <c r="A26968" s="136"/>
      <c r="CM26968" s="111"/>
      <c r="CQ26968" s="111"/>
      <c r="EF26968"/>
      <c r="EG26968"/>
      <c r="EH26968"/>
      <c r="EI26968"/>
      <c r="EJ26968"/>
      <c r="EK26968"/>
    </row>
    <row r="26969" spans="1:141" s="116" customFormat="1">
      <c r="A26969" s="136"/>
      <c r="CM26969" s="111"/>
      <c r="CQ26969" s="111"/>
      <c r="EF26969"/>
      <c r="EG26969"/>
      <c r="EH26969"/>
      <c r="EI26969"/>
      <c r="EJ26969"/>
      <c r="EK26969"/>
    </row>
    <row r="26970" spans="1:141" s="116" customFormat="1">
      <c r="A26970" s="136"/>
      <c r="CM26970" s="111"/>
      <c r="CQ26970" s="111"/>
      <c r="EF26970"/>
      <c r="EG26970"/>
      <c r="EH26970"/>
      <c r="EI26970"/>
      <c r="EJ26970"/>
      <c r="EK26970"/>
    </row>
    <row r="26971" spans="1:141" s="116" customFormat="1">
      <c r="A26971" s="136"/>
      <c r="CM26971" s="111"/>
      <c r="CQ26971" s="111"/>
      <c r="EF26971"/>
      <c r="EG26971"/>
      <c r="EH26971"/>
      <c r="EI26971"/>
      <c r="EJ26971"/>
      <c r="EK26971"/>
    </row>
    <row r="26972" spans="1:141" s="116" customFormat="1">
      <c r="A26972" s="136"/>
      <c r="CM26972" s="111"/>
      <c r="CQ26972" s="111"/>
      <c r="EF26972"/>
      <c r="EG26972"/>
      <c r="EH26972"/>
      <c r="EI26972"/>
      <c r="EJ26972"/>
      <c r="EK26972"/>
    </row>
    <row r="26973" spans="1:141" s="116" customFormat="1">
      <c r="A26973" s="136"/>
      <c r="CM26973" s="111"/>
      <c r="CQ26973" s="111"/>
      <c r="EF26973"/>
      <c r="EG26973"/>
      <c r="EH26973"/>
      <c r="EI26973"/>
      <c r="EJ26973"/>
      <c r="EK26973"/>
    </row>
    <row r="26974" spans="1:141" s="116" customFormat="1">
      <c r="A26974" s="136"/>
      <c r="CM26974" s="111"/>
      <c r="CQ26974" s="111"/>
      <c r="EF26974"/>
      <c r="EG26974"/>
      <c r="EH26974"/>
      <c r="EI26974"/>
      <c r="EJ26974"/>
      <c r="EK26974"/>
    </row>
    <row r="26975" spans="1:141" s="116" customFormat="1">
      <c r="A26975" s="136"/>
      <c r="CM26975" s="111"/>
      <c r="CQ26975" s="111"/>
      <c r="EF26975"/>
      <c r="EG26975"/>
      <c r="EH26975"/>
      <c r="EI26975"/>
      <c r="EJ26975"/>
      <c r="EK26975"/>
    </row>
    <row r="26976" spans="1:141" s="116" customFormat="1">
      <c r="A26976" s="136"/>
      <c r="CM26976" s="111"/>
      <c r="CQ26976" s="111"/>
      <c r="EF26976"/>
      <c r="EG26976"/>
      <c r="EH26976"/>
      <c r="EI26976"/>
      <c r="EJ26976"/>
      <c r="EK26976"/>
    </row>
    <row r="26977" spans="1:141" s="116" customFormat="1">
      <c r="A26977" s="136"/>
      <c r="CM26977" s="111"/>
      <c r="CQ26977" s="111"/>
      <c r="EF26977"/>
      <c r="EG26977"/>
      <c r="EH26977"/>
      <c r="EI26977"/>
      <c r="EJ26977"/>
      <c r="EK26977"/>
    </row>
    <row r="26978" spans="1:141" s="116" customFormat="1">
      <c r="A26978" s="136"/>
      <c r="CM26978" s="111"/>
      <c r="CQ26978" s="111"/>
      <c r="EF26978"/>
      <c r="EG26978"/>
      <c r="EH26978"/>
      <c r="EI26978"/>
      <c r="EJ26978"/>
      <c r="EK26978"/>
    </row>
    <row r="26979" spans="1:141" s="116" customFormat="1">
      <c r="A26979" s="136"/>
      <c r="CM26979" s="111"/>
      <c r="CQ26979" s="111"/>
      <c r="EF26979"/>
      <c r="EG26979"/>
      <c r="EH26979"/>
      <c r="EI26979"/>
      <c r="EJ26979"/>
      <c r="EK26979"/>
    </row>
    <row r="26980" spans="1:141" s="116" customFormat="1">
      <c r="A26980" s="136"/>
      <c r="CM26980" s="111"/>
      <c r="CQ26980" s="111"/>
      <c r="EF26980"/>
      <c r="EG26980"/>
      <c r="EH26980"/>
      <c r="EI26980"/>
      <c r="EJ26980"/>
      <c r="EK26980"/>
    </row>
    <row r="26981" spans="1:141" s="116" customFormat="1">
      <c r="A26981" s="136"/>
      <c r="CM26981" s="111"/>
      <c r="CQ26981" s="111"/>
      <c r="EF26981"/>
      <c r="EG26981"/>
      <c r="EH26981"/>
      <c r="EI26981"/>
      <c r="EJ26981"/>
      <c r="EK26981"/>
    </row>
    <row r="26982" spans="1:141" s="116" customFormat="1">
      <c r="A26982" s="136"/>
      <c r="CM26982" s="111"/>
      <c r="CQ26982" s="111"/>
      <c r="EF26982"/>
      <c r="EG26982"/>
      <c r="EH26982"/>
      <c r="EI26982"/>
      <c r="EJ26982"/>
      <c r="EK26982"/>
    </row>
    <row r="26983" spans="1:141" s="116" customFormat="1">
      <c r="A26983" s="136"/>
      <c r="CM26983" s="111"/>
      <c r="CQ26983" s="111"/>
      <c r="EF26983"/>
      <c r="EG26983"/>
      <c r="EH26983"/>
      <c r="EI26983"/>
      <c r="EJ26983"/>
      <c r="EK26983"/>
    </row>
    <row r="26984" spans="1:141" s="116" customFormat="1">
      <c r="A26984" s="136"/>
      <c r="CM26984" s="111"/>
      <c r="CQ26984" s="111"/>
      <c r="EF26984"/>
      <c r="EG26984"/>
      <c r="EH26984"/>
      <c r="EI26984"/>
      <c r="EJ26984"/>
      <c r="EK26984"/>
    </row>
    <row r="26985" spans="1:141" s="116" customFormat="1">
      <c r="A26985" s="136"/>
      <c r="CM26985" s="111"/>
      <c r="CQ26985" s="111"/>
      <c r="EF26985"/>
      <c r="EG26985"/>
      <c r="EH26985"/>
      <c r="EI26985"/>
      <c r="EJ26985"/>
      <c r="EK26985"/>
    </row>
    <row r="26986" spans="1:141" s="116" customFormat="1">
      <c r="A26986" s="136"/>
      <c r="CM26986" s="111"/>
      <c r="CQ26986" s="111"/>
      <c r="EF26986"/>
      <c r="EG26986"/>
      <c r="EH26986"/>
      <c r="EI26986"/>
      <c r="EJ26986"/>
      <c r="EK26986"/>
    </row>
    <row r="26987" spans="1:141" s="116" customFormat="1">
      <c r="A26987" s="136"/>
      <c r="CM26987" s="111"/>
      <c r="CQ26987" s="111"/>
      <c r="EF26987"/>
      <c r="EG26987"/>
      <c r="EH26987"/>
      <c r="EI26987"/>
      <c r="EJ26987"/>
      <c r="EK26987"/>
    </row>
    <row r="26988" spans="1:141" s="116" customFormat="1">
      <c r="A26988" s="136"/>
      <c r="CM26988" s="111"/>
      <c r="CQ26988" s="111"/>
      <c r="EF26988"/>
      <c r="EG26988"/>
      <c r="EH26988"/>
      <c r="EI26988"/>
      <c r="EJ26988"/>
      <c r="EK26988"/>
    </row>
    <row r="26989" spans="1:141" s="116" customFormat="1">
      <c r="A26989" s="136"/>
      <c r="CM26989" s="111"/>
      <c r="CQ26989" s="111"/>
      <c r="EF26989"/>
      <c r="EG26989"/>
      <c r="EH26989"/>
      <c r="EI26989"/>
      <c r="EJ26989"/>
      <c r="EK26989"/>
    </row>
    <row r="26990" spans="1:141" s="116" customFormat="1">
      <c r="A26990" s="136"/>
      <c r="CM26990" s="111"/>
      <c r="CQ26990" s="111"/>
      <c r="EF26990"/>
      <c r="EG26990"/>
      <c r="EH26990"/>
      <c r="EI26990"/>
      <c r="EJ26990"/>
      <c r="EK26990"/>
    </row>
    <row r="26991" spans="1:141" s="116" customFormat="1">
      <c r="A26991" s="136"/>
      <c r="CM26991" s="111"/>
      <c r="CQ26991" s="111"/>
      <c r="EF26991"/>
      <c r="EG26991"/>
      <c r="EH26991"/>
      <c r="EI26991"/>
      <c r="EJ26991"/>
      <c r="EK26991"/>
    </row>
    <row r="26992" spans="1:141" s="116" customFormat="1">
      <c r="A26992" s="136"/>
      <c r="CM26992" s="111"/>
      <c r="CQ26992" s="111"/>
      <c r="EF26992"/>
      <c r="EG26992"/>
      <c r="EH26992"/>
      <c r="EI26992"/>
      <c r="EJ26992"/>
      <c r="EK26992"/>
    </row>
    <row r="26993" spans="1:141" s="116" customFormat="1">
      <c r="A26993" s="136"/>
      <c r="CM26993" s="111"/>
      <c r="CQ26993" s="111"/>
      <c r="EF26993"/>
      <c r="EG26993"/>
      <c r="EH26993"/>
      <c r="EI26993"/>
      <c r="EJ26993"/>
      <c r="EK26993"/>
    </row>
    <row r="26994" spans="1:141" s="116" customFormat="1">
      <c r="A26994" s="136"/>
      <c r="CM26994" s="111"/>
      <c r="CQ26994" s="111"/>
      <c r="EF26994"/>
      <c r="EG26994"/>
      <c r="EH26994"/>
      <c r="EI26994"/>
      <c r="EJ26994"/>
      <c r="EK26994"/>
    </row>
    <row r="26995" spans="1:141" s="116" customFormat="1">
      <c r="A26995" s="136"/>
      <c r="CM26995" s="111"/>
      <c r="CQ26995" s="111"/>
      <c r="EF26995"/>
      <c r="EG26995"/>
      <c r="EH26995"/>
      <c r="EI26995"/>
      <c r="EJ26995"/>
      <c r="EK26995"/>
    </row>
    <row r="26996" spans="1:141" s="116" customFormat="1">
      <c r="A26996" s="136"/>
      <c r="CM26996" s="111"/>
      <c r="CQ26996" s="111"/>
      <c r="EF26996"/>
      <c r="EG26996"/>
      <c r="EH26996"/>
      <c r="EI26996"/>
      <c r="EJ26996"/>
      <c r="EK26996"/>
    </row>
    <row r="26997" spans="1:141" s="116" customFormat="1">
      <c r="A26997" s="136"/>
      <c r="CM26997" s="111"/>
      <c r="CQ26997" s="111"/>
      <c r="EF26997"/>
      <c r="EG26997"/>
      <c r="EH26997"/>
      <c r="EI26997"/>
      <c r="EJ26997"/>
      <c r="EK26997"/>
    </row>
    <row r="26998" spans="1:141" s="116" customFormat="1">
      <c r="A26998" s="136"/>
      <c r="CM26998" s="111"/>
      <c r="CQ26998" s="111"/>
      <c r="EF26998"/>
      <c r="EG26998"/>
      <c r="EH26998"/>
      <c r="EI26998"/>
      <c r="EJ26998"/>
      <c r="EK26998"/>
    </row>
    <row r="26999" spans="1:141" s="116" customFormat="1">
      <c r="A26999" s="136"/>
      <c r="CM26999" s="111"/>
      <c r="CQ26999" s="111"/>
      <c r="EF26999"/>
      <c r="EG26999"/>
      <c r="EH26999"/>
      <c r="EI26999"/>
      <c r="EJ26999"/>
      <c r="EK26999"/>
    </row>
    <row r="27000" spans="1:141" s="116" customFormat="1">
      <c r="A27000" s="136"/>
      <c r="CM27000" s="111"/>
      <c r="CQ27000" s="111"/>
      <c r="EF27000"/>
      <c r="EG27000"/>
      <c r="EH27000"/>
      <c r="EI27000"/>
      <c r="EJ27000"/>
      <c r="EK27000"/>
    </row>
    <row r="27001" spans="1:141" s="116" customFormat="1">
      <c r="A27001" s="136"/>
      <c r="CM27001" s="111"/>
      <c r="CQ27001" s="111"/>
      <c r="EF27001"/>
      <c r="EG27001"/>
      <c r="EH27001"/>
      <c r="EI27001"/>
      <c r="EJ27001"/>
      <c r="EK27001"/>
    </row>
    <row r="27002" spans="1:141" s="116" customFormat="1">
      <c r="A27002" s="136"/>
      <c r="CM27002" s="111"/>
      <c r="CQ27002" s="111"/>
      <c r="EF27002"/>
      <c r="EG27002"/>
      <c r="EH27002"/>
      <c r="EI27002"/>
      <c r="EJ27002"/>
      <c r="EK27002"/>
    </row>
    <row r="27003" spans="1:141" s="116" customFormat="1">
      <c r="A27003" s="136"/>
      <c r="CM27003" s="111"/>
      <c r="CQ27003" s="111"/>
      <c r="EF27003"/>
      <c r="EG27003"/>
      <c r="EH27003"/>
      <c r="EI27003"/>
      <c r="EJ27003"/>
      <c r="EK27003"/>
    </row>
    <row r="27004" spans="1:141" s="116" customFormat="1">
      <c r="A27004" s="136"/>
      <c r="CM27004" s="111"/>
      <c r="CQ27004" s="111"/>
      <c r="EF27004"/>
      <c r="EG27004"/>
      <c r="EH27004"/>
      <c r="EI27004"/>
      <c r="EJ27004"/>
      <c r="EK27004"/>
    </row>
    <row r="27005" spans="1:141" s="116" customFormat="1">
      <c r="A27005" s="136"/>
      <c r="CM27005" s="111"/>
      <c r="CQ27005" s="111"/>
      <c r="EF27005"/>
      <c r="EG27005"/>
      <c r="EH27005"/>
      <c r="EI27005"/>
      <c r="EJ27005"/>
      <c r="EK27005"/>
    </row>
    <row r="27006" spans="1:141" s="116" customFormat="1">
      <c r="A27006" s="136"/>
      <c r="CM27006" s="111"/>
      <c r="CQ27006" s="111"/>
      <c r="EF27006"/>
      <c r="EG27006"/>
      <c r="EH27006"/>
      <c r="EI27006"/>
      <c r="EJ27006"/>
      <c r="EK27006"/>
    </row>
    <row r="27007" spans="1:141" s="116" customFormat="1">
      <c r="A27007" s="136"/>
      <c r="CM27007" s="111"/>
      <c r="CQ27007" s="111"/>
      <c r="EF27007"/>
      <c r="EG27007"/>
      <c r="EH27007"/>
      <c r="EI27007"/>
      <c r="EJ27007"/>
      <c r="EK27007"/>
    </row>
    <row r="27008" spans="1:141" s="116" customFormat="1">
      <c r="A27008" s="136"/>
      <c r="CM27008" s="111"/>
      <c r="CQ27008" s="111"/>
      <c r="EF27008"/>
      <c r="EG27008"/>
      <c r="EH27008"/>
      <c r="EI27008"/>
      <c r="EJ27008"/>
      <c r="EK27008"/>
    </row>
    <row r="27009" spans="1:141" s="116" customFormat="1">
      <c r="A27009" s="136"/>
      <c r="CM27009" s="111"/>
      <c r="CQ27009" s="111"/>
      <c r="EF27009"/>
      <c r="EG27009"/>
      <c r="EH27009"/>
      <c r="EI27009"/>
      <c r="EJ27009"/>
      <c r="EK27009"/>
    </row>
    <row r="27010" spans="1:141" s="116" customFormat="1">
      <c r="A27010" s="136"/>
      <c r="CM27010" s="111"/>
      <c r="CQ27010" s="111"/>
      <c r="EF27010"/>
      <c r="EG27010"/>
      <c r="EH27010"/>
      <c r="EI27010"/>
      <c r="EJ27010"/>
      <c r="EK27010"/>
    </row>
    <row r="27011" spans="1:141" s="116" customFormat="1">
      <c r="A27011" s="136"/>
      <c r="CM27011" s="111"/>
      <c r="CQ27011" s="111"/>
      <c r="EF27011"/>
      <c r="EG27011"/>
      <c r="EH27011"/>
      <c r="EI27011"/>
      <c r="EJ27011"/>
      <c r="EK27011"/>
    </row>
    <row r="27012" spans="1:141" s="116" customFormat="1">
      <c r="A27012" s="136"/>
      <c r="CM27012" s="111"/>
      <c r="CQ27012" s="111"/>
      <c r="EF27012"/>
      <c r="EG27012"/>
      <c r="EH27012"/>
      <c r="EI27012"/>
      <c r="EJ27012"/>
      <c r="EK27012"/>
    </row>
    <row r="27013" spans="1:141" s="116" customFormat="1">
      <c r="A27013" s="136"/>
      <c r="CM27013" s="111"/>
      <c r="CQ27013" s="111"/>
      <c r="EF27013"/>
      <c r="EG27013"/>
      <c r="EH27013"/>
      <c r="EI27013"/>
      <c r="EJ27013"/>
      <c r="EK27013"/>
    </row>
    <row r="27014" spans="1:141" s="116" customFormat="1">
      <c r="A27014" s="136"/>
      <c r="CM27014" s="111"/>
      <c r="CQ27014" s="111"/>
      <c r="EF27014"/>
      <c r="EG27014"/>
      <c r="EH27014"/>
      <c r="EI27014"/>
      <c r="EJ27014"/>
      <c r="EK27014"/>
    </row>
    <row r="27015" spans="1:141" s="116" customFormat="1">
      <c r="A27015" s="136"/>
      <c r="CM27015" s="111"/>
      <c r="CQ27015" s="111"/>
      <c r="EF27015"/>
      <c r="EG27015"/>
      <c r="EH27015"/>
      <c r="EI27015"/>
      <c r="EJ27015"/>
      <c r="EK27015"/>
    </row>
    <row r="27016" spans="1:141" s="116" customFormat="1">
      <c r="A27016" s="136"/>
      <c r="CM27016" s="111"/>
      <c r="CQ27016" s="111"/>
      <c r="EF27016"/>
      <c r="EG27016"/>
      <c r="EH27016"/>
      <c r="EI27016"/>
      <c r="EJ27016"/>
      <c r="EK27016"/>
    </row>
    <row r="27017" spans="1:141" s="116" customFormat="1">
      <c r="A27017" s="136"/>
      <c r="CM27017" s="111"/>
      <c r="CQ27017" s="111"/>
      <c r="EF27017"/>
      <c r="EG27017"/>
      <c r="EH27017"/>
      <c r="EI27017"/>
      <c r="EJ27017"/>
      <c r="EK27017"/>
    </row>
    <row r="27018" spans="1:141" s="116" customFormat="1">
      <c r="A27018" s="136"/>
      <c r="CM27018" s="111"/>
      <c r="CQ27018" s="111"/>
      <c r="EF27018"/>
      <c r="EG27018"/>
      <c r="EH27018"/>
      <c r="EI27018"/>
      <c r="EJ27018"/>
      <c r="EK27018"/>
    </row>
    <row r="27019" spans="1:141" s="116" customFormat="1">
      <c r="A27019" s="136"/>
      <c r="CM27019" s="111"/>
      <c r="CQ27019" s="111"/>
      <c r="EF27019"/>
      <c r="EG27019"/>
      <c r="EH27019"/>
      <c r="EI27019"/>
      <c r="EJ27019"/>
      <c r="EK27019"/>
    </row>
    <row r="27020" spans="1:141" s="116" customFormat="1">
      <c r="A27020" s="136"/>
      <c r="CM27020" s="111"/>
      <c r="CQ27020" s="111"/>
      <c r="EF27020"/>
      <c r="EG27020"/>
      <c r="EH27020"/>
      <c r="EI27020"/>
      <c r="EJ27020"/>
      <c r="EK27020"/>
    </row>
    <row r="27021" spans="1:141" s="116" customFormat="1">
      <c r="A27021" s="136"/>
      <c r="CM27021" s="111"/>
      <c r="CQ27021" s="111"/>
      <c r="EF27021"/>
      <c r="EG27021"/>
      <c r="EH27021"/>
      <c r="EI27021"/>
      <c r="EJ27021"/>
      <c r="EK27021"/>
    </row>
    <row r="27022" spans="1:141" s="116" customFormat="1">
      <c r="A27022" s="136"/>
      <c r="CM27022" s="111"/>
      <c r="CQ27022" s="111"/>
      <c r="EF27022"/>
      <c r="EG27022"/>
      <c r="EH27022"/>
      <c r="EI27022"/>
      <c r="EJ27022"/>
      <c r="EK27022"/>
    </row>
    <row r="27023" spans="1:141" s="116" customFormat="1">
      <c r="A27023" s="136"/>
      <c r="CM27023" s="111"/>
      <c r="CQ27023" s="111"/>
      <c r="EF27023"/>
      <c r="EG27023"/>
      <c r="EH27023"/>
      <c r="EI27023"/>
      <c r="EJ27023"/>
      <c r="EK27023"/>
    </row>
    <row r="27024" spans="1:141" s="116" customFormat="1">
      <c r="A27024" s="136"/>
      <c r="CM27024" s="111"/>
      <c r="CQ27024" s="111"/>
      <c r="EF27024"/>
      <c r="EG27024"/>
      <c r="EH27024"/>
      <c r="EI27024"/>
      <c r="EJ27024"/>
      <c r="EK27024"/>
    </row>
    <row r="27025" spans="1:141" s="116" customFormat="1">
      <c r="A27025" s="136"/>
      <c r="CM27025" s="111"/>
      <c r="CQ27025" s="111"/>
      <c r="EF27025"/>
      <c r="EG27025"/>
      <c r="EH27025"/>
      <c r="EI27025"/>
      <c r="EJ27025"/>
      <c r="EK27025"/>
    </row>
    <row r="27026" spans="1:141" s="116" customFormat="1">
      <c r="A27026" s="136"/>
      <c r="CM27026" s="111"/>
      <c r="CQ27026" s="111"/>
      <c r="EF27026"/>
      <c r="EG27026"/>
      <c r="EH27026"/>
      <c r="EI27026"/>
      <c r="EJ27026"/>
      <c r="EK27026"/>
    </row>
    <row r="27027" spans="1:141" s="116" customFormat="1">
      <c r="A27027" s="136"/>
      <c r="CM27027" s="111"/>
      <c r="CQ27027" s="111"/>
      <c r="EF27027"/>
      <c r="EG27027"/>
      <c r="EH27027"/>
      <c r="EI27027"/>
      <c r="EJ27027"/>
      <c r="EK27027"/>
    </row>
    <row r="27028" spans="1:141" s="116" customFormat="1">
      <c r="A27028" s="136"/>
      <c r="CM27028" s="111"/>
      <c r="CQ27028" s="111"/>
      <c r="EF27028"/>
      <c r="EG27028"/>
      <c r="EH27028"/>
      <c r="EI27028"/>
      <c r="EJ27028"/>
      <c r="EK27028"/>
    </row>
    <row r="27029" spans="1:141" s="116" customFormat="1">
      <c r="A27029" s="136"/>
      <c r="CM27029" s="111"/>
      <c r="CQ27029" s="111"/>
      <c r="EF27029"/>
      <c r="EG27029"/>
      <c r="EH27029"/>
      <c r="EI27029"/>
      <c r="EJ27029"/>
      <c r="EK27029"/>
    </row>
    <row r="27030" spans="1:141" s="116" customFormat="1">
      <c r="A27030" s="136"/>
      <c r="CM27030" s="111"/>
      <c r="CQ27030" s="111"/>
      <c r="EF27030"/>
      <c r="EG27030"/>
      <c r="EH27030"/>
      <c r="EI27030"/>
      <c r="EJ27030"/>
      <c r="EK27030"/>
    </row>
    <row r="27031" spans="1:141" s="116" customFormat="1">
      <c r="A27031" s="136"/>
      <c r="CM27031" s="111"/>
      <c r="CQ27031" s="111"/>
      <c r="EF27031"/>
      <c r="EG27031"/>
      <c r="EH27031"/>
      <c r="EI27031"/>
      <c r="EJ27031"/>
      <c r="EK27031"/>
    </row>
    <row r="27032" spans="1:141" s="116" customFormat="1">
      <c r="A27032" s="136"/>
      <c r="CM27032" s="111"/>
      <c r="CQ27032" s="111"/>
      <c r="EF27032"/>
      <c r="EG27032"/>
      <c r="EH27032"/>
      <c r="EI27032"/>
      <c r="EJ27032"/>
      <c r="EK27032"/>
    </row>
    <row r="27033" spans="1:141" s="116" customFormat="1">
      <c r="A27033" s="136"/>
      <c r="CM27033" s="111"/>
      <c r="CQ27033" s="111"/>
      <c r="EF27033"/>
      <c r="EG27033"/>
      <c r="EH27033"/>
      <c r="EI27033"/>
      <c r="EJ27033"/>
      <c r="EK27033"/>
    </row>
    <row r="27034" spans="1:141" s="116" customFormat="1">
      <c r="A27034" s="136"/>
      <c r="CM27034" s="111"/>
      <c r="CQ27034" s="111"/>
      <c r="EF27034"/>
      <c r="EG27034"/>
      <c r="EH27034"/>
      <c r="EI27034"/>
      <c r="EJ27034"/>
      <c r="EK27034"/>
    </row>
    <row r="27035" spans="1:141" s="116" customFormat="1">
      <c r="A27035" s="136"/>
      <c r="CM27035" s="111"/>
      <c r="CQ27035" s="111"/>
      <c r="EF27035"/>
      <c r="EG27035"/>
      <c r="EH27035"/>
      <c r="EI27035"/>
      <c r="EJ27035"/>
      <c r="EK27035"/>
    </row>
    <row r="27036" spans="1:141" s="116" customFormat="1">
      <c r="A27036" s="136"/>
      <c r="CM27036" s="111"/>
      <c r="CQ27036" s="111"/>
      <c r="EF27036"/>
      <c r="EG27036"/>
      <c r="EH27036"/>
      <c r="EI27036"/>
      <c r="EJ27036"/>
      <c r="EK27036"/>
    </row>
    <row r="27037" spans="1:141" s="116" customFormat="1">
      <c r="A27037" s="136"/>
      <c r="CM27037" s="111"/>
      <c r="CQ27037" s="111"/>
      <c r="EF27037"/>
      <c r="EG27037"/>
      <c r="EH27037"/>
      <c r="EI27037"/>
      <c r="EJ27037"/>
      <c r="EK27037"/>
    </row>
    <row r="27038" spans="1:141" s="116" customFormat="1">
      <c r="A27038" s="136"/>
      <c r="CM27038" s="111"/>
      <c r="CQ27038" s="111"/>
      <c r="EF27038"/>
      <c r="EG27038"/>
      <c r="EH27038"/>
      <c r="EI27038"/>
      <c r="EJ27038"/>
      <c r="EK27038"/>
    </row>
    <row r="27039" spans="1:141" s="116" customFormat="1">
      <c r="A27039" s="136"/>
      <c r="CM27039" s="111"/>
      <c r="CQ27039" s="111"/>
      <c r="EF27039"/>
      <c r="EG27039"/>
      <c r="EH27039"/>
      <c r="EI27039"/>
      <c r="EJ27039"/>
      <c r="EK27039"/>
    </row>
    <row r="27040" spans="1:141" s="116" customFormat="1">
      <c r="A27040" s="136"/>
      <c r="CM27040" s="111"/>
      <c r="CQ27040" s="111"/>
      <c r="EF27040"/>
      <c r="EG27040"/>
      <c r="EH27040"/>
      <c r="EI27040"/>
      <c r="EJ27040"/>
      <c r="EK27040"/>
    </row>
    <row r="27041" spans="1:141" s="116" customFormat="1">
      <c r="A27041" s="136"/>
      <c r="CM27041" s="111"/>
      <c r="CQ27041" s="111"/>
      <c r="EF27041"/>
      <c r="EG27041"/>
      <c r="EH27041"/>
      <c r="EI27041"/>
      <c r="EJ27041"/>
      <c r="EK27041"/>
    </row>
    <row r="27042" spans="1:141" s="116" customFormat="1">
      <c r="A27042" s="136"/>
      <c r="CM27042" s="111"/>
      <c r="CQ27042" s="111"/>
      <c r="EF27042"/>
      <c r="EG27042"/>
      <c r="EH27042"/>
      <c r="EI27042"/>
      <c r="EJ27042"/>
      <c r="EK27042"/>
    </row>
    <row r="27043" spans="1:141" s="116" customFormat="1">
      <c r="A27043" s="136"/>
      <c r="CM27043" s="111"/>
      <c r="CQ27043" s="111"/>
      <c r="EF27043"/>
      <c r="EG27043"/>
      <c r="EH27043"/>
      <c r="EI27043"/>
      <c r="EJ27043"/>
      <c r="EK27043"/>
    </row>
    <row r="27044" spans="1:141" s="116" customFormat="1">
      <c r="A27044" s="136"/>
      <c r="CM27044" s="111"/>
      <c r="CQ27044" s="111"/>
      <c r="EF27044"/>
      <c r="EG27044"/>
      <c r="EH27044"/>
      <c r="EI27044"/>
      <c r="EJ27044"/>
      <c r="EK27044"/>
    </row>
    <row r="27045" spans="1:141" s="116" customFormat="1">
      <c r="A27045" s="136"/>
      <c r="CM27045" s="111"/>
      <c r="CQ27045" s="111"/>
      <c r="EF27045"/>
      <c r="EG27045"/>
      <c r="EH27045"/>
      <c r="EI27045"/>
      <c r="EJ27045"/>
      <c r="EK27045"/>
    </row>
    <row r="27046" spans="1:141" s="116" customFormat="1">
      <c r="A27046" s="136"/>
      <c r="CM27046" s="111"/>
      <c r="CQ27046" s="111"/>
      <c r="EF27046"/>
      <c r="EG27046"/>
      <c r="EH27046"/>
      <c r="EI27046"/>
      <c r="EJ27046"/>
      <c r="EK27046"/>
    </row>
    <row r="27047" spans="1:141" s="116" customFormat="1">
      <c r="A27047" s="136"/>
      <c r="CM27047" s="111"/>
      <c r="CQ27047" s="111"/>
      <c r="EF27047"/>
      <c r="EG27047"/>
      <c r="EH27047"/>
      <c r="EI27047"/>
      <c r="EJ27047"/>
      <c r="EK27047"/>
    </row>
    <row r="27048" spans="1:141" s="116" customFormat="1">
      <c r="A27048" s="136"/>
      <c r="CM27048" s="111"/>
      <c r="CQ27048" s="111"/>
      <c r="EF27048"/>
      <c r="EG27048"/>
      <c r="EH27048"/>
      <c r="EI27048"/>
      <c r="EJ27048"/>
      <c r="EK27048"/>
    </row>
    <row r="27049" spans="1:141" s="116" customFormat="1">
      <c r="A27049" s="136"/>
      <c r="CM27049" s="111"/>
      <c r="CQ27049" s="111"/>
      <c r="EF27049"/>
      <c r="EG27049"/>
      <c r="EH27049"/>
      <c r="EI27049"/>
      <c r="EJ27049"/>
      <c r="EK27049"/>
    </row>
    <row r="27050" spans="1:141" s="116" customFormat="1">
      <c r="A27050" s="136"/>
      <c r="CM27050" s="111"/>
      <c r="CQ27050" s="111"/>
      <c r="EF27050"/>
      <c r="EG27050"/>
      <c r="EH27050"/>
      <c r="EI27050"/>
      <c r="EJ27050"/>
      <c r="EK27050"/>
    </row>
    <row r="27051" spans="1:141" s="116" customFormat="1">
      <c r="A27051" s="136"/>
      <c r="CM27051" s="111"/>
      <c r="CQ27051" s="111"/>
      <c r="EF27051"/>
      <c r="EG27051"/>
      <c r="EH27051"/>
      <c r="EI27051"/>
      <c r="EJ27051"/>
      <c r="EK27051"/>
    </row>
    <row r="27052" spans="1:141" s="116" customFormat="1">
      <c r="A27052" s="136"/>
      <c r="CM27052" s="111"/>
      <c r="CQ27052" s="111"/>
      <c r="EF27052"/>
      <c r="EG27052"/>
      <c r="EH27052"/>
      <c r="EI27052"/>
      <c r="EJ27052"/>
      <c r="EK27052"/>
    </row>
    <row r="27053" spans="1:141" s="116" customFormat="1">
      <c r="A27053" s="136"/>
      <c r="CM27053" s="111"/>
      <c r="CQ27053" s="111"/>
      <c r="EF27053"/>
      <c r="EG27053"/>
      <c r="EH27053"/>
      <c r="EI27053"/>
      <c r="EJ27053"/>
      <c r="EK27053"/>
    </row>
    <row r="27054" spans="1:141" s="116" customFormat="1">
      <c r="A27054" s="136"/>
      <c r="CM27054" s="111"/>
      <c r="CQ27054" s="111"/>
      <c r="EF27054"/>
      <c r="EG27054"/>
      <c r="EH27054"/>
      <c r="EI27054"/>
      <c r="EJ27054"/>
      <c r="EK27054"/>
    </row>
    <row r="27055" spans="1:141" s="116" customFormat="1">
      <c r="A27055" s="136"/>
      <c r="CM27055" s="111"/>
      <c r="CQ27055" s="111"/>
      <c r="EF27055"/>
      <c r="EG27055"/>
      <c r="EH27055"/>
      <c r="EI27055"/>
      <c r="EJ27055"/>
      <c r="EK27055"/>
    </row>
    <row r="27056" spans="1:141" s="116" customFormat="1">
      <c r="A27056" s="136"/>
      <c r="CM27056" s="111"/>
      <c r="CQ27056" s="111"/>
      <c r="EF27056"/>
      <c r="EG27056"/>
      <c r="EH27056"/>
      <c r="EI27056"/>
      <c r="EJ27056"/>
      <c r="EK27056"/>
    </row>
    <row r="27057" spans="1:141" s="116" customFormat="1">
      <c r="A27057" s="136"/>
      <c r="CM27057" s="111"/>
      <c r="CQ27057" s="111"/>
      <c r="EF27057"/>
      <c r="EG27057"/>
      <c r="EH27057"/>
      <c r="EI27057"/>
      <c r="EJ27057"/>
      <c r="EK27057"/>
    </row>
    <row r="27058" spans="1:141" s="116" customFormat="1">
      <c r="A27058" s="136"/>
      <c r="CM27058" s="111"/>
      <c r="CQ27058" s="111"/>
      <c r="EF27058"/>
      <c r="EG27058"/>
      <c r="EH27058"/>
      <c r="EI27058"/>
      <c r="EJ27058"/>
      <c r="EK27058"/>
    </row>
    <row r="27059" spans="1:141" s="116" customFormat="1">
      <c r="A27059" s="136"/>
      <c r="CM27059" s="111"/>
      <c r="CQ27059" s="111"/>
      <c r="EF27059"/>
      <c r="EG27059"/>
      <c r="EH27059"/>
      <c r="EI27059"/>
      <c r="EJ27059"/>
      <c r="EK27059"/>
    </row>
    <row r="27060" spans="1:141" s="116" customFormat="1">
      <c r="A27060" s="136"/>
      <c r="CM27060" s="111"/>
      <c r="CQ27060" s="111"/>
      <c r="EF27060"/>
      <c r="EG27060"/>
      <c r="EH27060"/>
      <c r="EI27060"/>
      <c r="EJ27060"/>
      <c r="EK27060"/>
    </row>
    <row r="27061" spans="1:141" s="116" customFormat="1">
      <c r="A27061" s="136"/>
      <c r="CM27061" s="111"/>
      <c r="CQ27061" s="111"/>
      <c r="EF27061"/>
      <c r="EG27061"/>
      <c r="EH27061"/>
      <c r="EI27061"/>
      <c r="EJ27061"/>
      <c r="EK27061"/>
    </row>
    <row r="27062" spans="1:141" s="116" customFormat="1">
      <c r="A27062" s="136"/>
      <c r="CM27062" s="111"/>
      <c r="CQ27062" s="111"/>
      <c r="EF27062"/>
      <c r="EG27062"/>
      <c r="EH27062"/>
      <c r="EI27062"/>
      <c r="EJ27062"/>
      <c r="EK27062"/>
    </row>
    <row r="27063" spans="1:141" s="116" customFormat="1">
      <c r="A27063" s="136"/>
      <c r="CM27063" s="111"/>
      <c r="CQ27063" s="111"/>
      <c r="EF27063"/>
      <c r="EG27063"/>
      <c r="EH27063"/>
      <c r="EI27063"/>
      <c r="EJ27063"/>
      <c r="EK27063"/>
    </row>
    <row r="27064" spans="1:141" s="116" customFormat="1">
      <c r="A27064" s="136"/>
      <c r="CM27064" s="111"/>
      <c r="CQ27064" s="111"/>
      <c r="EF27064"/>
      <c r="EG27064"/>
      <c r="EH27064"/>
      <c r="EI27064"/>
      <c r="EJ27064"/>
      <c r="EK27064"/>
    </row>
    <row r="27065" spans="1:141" s="116" customFormat="1">
      <c r="A27065" s="136"/>
      <c r="CM27065" s="111"/>
      <c r="CQ27065" s="111"/>
      <c r="EF27065"/>
      <c r="EG27065"/>
      <c r="EH27065"/>
      <c r="EI27065"/>
      <c r="EJ27065"/>
      <c r="EK27065"/>
    </row>
    <row r="27066" spans="1:141" s="116" customFormat="1">
      <c r="A27066" s="136"/>
      <c r="CM27066" s="111"/>
      <c r="CQ27066" s="111"/>
      <c r="EF27066"/>
      <c r="EG27066"/>
      <c r="EH27066"/>
      <c r="EI27066"/>
      <c r="EJ27066"/>
      <c r="EK27066"/>
    </row>
    <row r="27067" spans="1:141" s="116" customFormat="1">
      <c r="A27067" s="136"/>
      <c r="CM27067" s="111"/>
      <c r="CQ27067" s="111"/>
      <c r="EF27067"/>
      <c r="EG27067"/>
      <c r="EH27067"/>
      <c r="EI27067"/>
      <c r="EJ27067"/>
      <c r="EK27067"/>
    </row>
    <row r="27068" spans="1:141" s="116" customFormat="1">
      <c r="A27068" s="136"/>
      <c r="CM27068" s="111"/>
      <c r="CQ27068" s="111"/>
      <c r="EF27068"/>
      <c r="EG27068"/>
      <c r="EH27068"/>
      <c r="EI27068"/>
      <c r="EJ27068"/>
      <c r="EK27068"/>
    </row>
    <row r="27069" spans="1:141" s="116" customFormat="1">
      <c r="A27069" s="136"/>
      <c r="CM27069" s="111"/>
      <c r="CQ27069" s="111"/>
      <c r="EF27069"/>
      <c r="EG27069"/>
      <c r="EH27069"/>
      <c r="EI27069"/>
      <c r="EJ27069"/>
      <c r="EK27069"/>
    </row>
    <row r="27070" spans="1:141" s="116" customFormat="1">
      <c r="A27070" s="136"/>
      <c r="CM27070" s="111"/>
      <c r="CQ27070" s="111"/>
      <c r="EF27070"/>
      <c r="EG27070"/>
      <c r="EH27070"/>
      <c r="EI27070"/>
      <c r="EJ27070"/>
      <c r="EK27070"/>
    </row>
    <row r="27071" spans="1:141" s="116" customFormat="1">
      <c r="A27071" s="136"/>
      <c r="CM27071" s="111"/>
      <c r="CQ27071" s="111"/>
      <c r="EF27071"/>
      <c r="EG27071"/>
      <c r="EH27071"/>
      <c r="EI27071"/>
      <c r="EJ27071"/>
      <c r="EK27071"/>
    </row>
    <row r="27072" spans="1:141" s="116" customFormat="1">
      <c r="A27072" s="136"/>
      <c r="CM27072" s="111"/>
      <c r="CQ27072" s="111"/>
      <c r="EF27072"/>
      <c r="EG27072"/>
      <c r="EH27072"/>
      <c r="EI27072"/>
      <c r="EJ27072"/>
      <c r="EK27072"/>
    </row>
    <row r="27073" spans="1:141" s="116" customFormat="1">
      <c r="A27073" s="136"/>
      <c r="CM27073" s="111"/>
      <c r="CQ27073" s="111"/>
      <c r="EF27073"/>
      <c r="EG27073"/>
      <c r="EH27073"/>
      <c r="EI27073"/>
      <c r="EJ27073"/>
      <c r="EK27073"/>
    </row>
    <row r="27074" spans="1:141" s="116" customFormat="1">
      <c r="A27074" s="136"/>
      <c r="CM27074" s="111"/>
      <c r="CQ27074" s="111"/>
      <c r="EF27074"/>
      <c r="EG27074"/>
      <c r="EH27074"/>
      <c r="EI27074"/>
      <c r="EJ27074"/>
      <c r="EK27074"/>
    </row>
    <row r="27075" spans="1:141" s="116" customFormat="1">
      <c r="A27075" s="136"/>
      <c r="CM27075" s="111"/>
      <c r="CQ27075" s="111"/>
      <c r="EF27075"/>
      <c r="EG27075"/>
      <c r="EH27075"/>
      <c r="EI27075"/>
      <c r="EJ27075"/>
      <c r="EK27075"/>
    </row>
    <row r="27076" spans="1:141" s="116" customFormat="1">
      <c r="A27076" s="136"/>
      <c r="CM27076" s="111"/>
      <c r="CQ27076" s="111"/>
      <c r="EF27076"/>
      <c r="EG27076"/>
      <c r="EH27076"/>
      <c r="EI27076"/>
      <c r="EJ27076"/>
      <c r="EK27076"/>
    </row>
    <row r="27077" spans="1:141" s="116" customFormat="1">
      <c r="A27077" s="136"/>
      <c r="CM27077" s="111"/>
      <c r="CQ27077" s="111"/>
      <c r="EF27077"/>
      <c r="EG27077"/>
      <c r="EH27077"/>
      <c r="EI27077"/>
      <c r="EJ27077"/>
      <c r="EK27077"/>
    </row>
    <row r="27078" spans="1:141" s="116" customFormat="1">
      <c r="A27078" s="136"/>
      <c r="CM27078" s="111"/>
      <c r="CQ27078" s="111"/>
      <c r="EF27078"/>
      <c r="EG27078"/>
      <c r="EH27078"/>
      <c r="EI27078"/>
      <c r="EJ27078"/>
      <c r="EK27078"/>
    </row>
    <row r="27079" spans="1:141" s="116" customFormat="1">
      <c r="A27079" s="136"/>
      <c r="CM27079" s="111"/>
      <c r="CQ27079" s="111"/>
      <c r="EF27079"/>
      <c r="EG27079"/>
      <c r="EH27079"/>
      <c r="EI27079"/>
      <c r="EJ27079"/>
      <c r="EK27079"/>
    </row>
    <row r="27080" spans="1:141" s="116" customFormat="1">
      <c r="A27080" s="136"/>
      <c r="CM27080" s="111"/>
      <c r="CQ27080" s="111"/>
      <c r="EF27080"/>
      <c r="EG27080"/>
      <c r="EH27080"/>
      <c r="EI27080"/>
      <c r="EJ27080"/>
      <c r="EK27080"/>
    </row>
    <row r="27081" spans="1:141" s="116" customFormat="1">
      <c r="A27081" s="136"/>
      <c r="CM27081" s="111"/>
      <c r="CQ27081" s="111"/>
      <c r="EF27081"/>
      <c r="EG27081"/>
      <c r="EH27081"/>
      <c r="EI27081"/>
      <c r="EJ27081"/>
      <c r="EK27081"/>
    </row>
    <row r="27082" spans="1:141" s="116" customFormat="1">
      <c r="A27082" s="136"/>
      <c r="CM27082" s="111"/>
      <c r="CQ27082" s="111"/>
      <c r="EF27082"/>
      <c r="EG27082"/>
      <c r="EH27082"/>
      <c r="EI27082"/>
      <c r="EJ27082"/>
      <c r="EK27082"/>
    </row>
    <row r="27083" spans="1:141" s="116" customFormat="1">
      <c r="A27083" s="136"/>
      <c r="CM27083" s="111"/>
      <c r="CQ27083" s="111"/>
      <c r="EF27083"/>
      <c r="EG27083"/>
      <c r="EH27083"/>
      <c r="EI27083"/>
      <c r="EJ27083"/>
      <c r="EK27083"/>
    </row>
    <row r="27084" spans="1:141" s="116" customFormat="1">
      <c r="A27084" s="136"/>
      <c r="CM27084" s="111"/>
      <c r="CQ27084" s="111"/>
      <c r="EF27084"/>
      <c r="EG27084"/>
      <c r="EH27084"/>
      <c r="EI27084"/>
      <c r="EJ27084"/>
      <c r="EK27084"/>
    </row>
    <row r="27085" spans="1:141" s="116" customFormat="1">
      <c r="A27085" s="136"/>
      <c r="CM27085" s="111"/>
      <c r="CQ27085" s="111"/>
      <c r="EF27085"/>
      <c r="EG27085"/>
      <c r="EH27085"/>
      <c r="EI27085"/>
      <c r="EJ27085"/>
      <c r="EK27085"/>
    </row>
    <row r="27086" spans="1:141" s="116" customFormat="1">
      <c r="A27086" s="136"/>
      <c r="CM27086" s="111"/>
      <c r="CQ27086" s="111"/>
      <c r="EF27086"/>
      <c r="EG27086"/>
      <c r="EH27086"/>
      <c r="EI27086"/>
      <c r="EJ27086"/>
      <c r="EK27086"/>
    </row>
    <row r="27087" spans="1:141" s="116" customFormat="1">
      <c r="A27087" s="136"/>
      <c r="CM27087" s="111"/>
      <c r="CQ27087" s="111"/>
      <c r="EF27087"/>
      <c r="EG27087"/>
      <c r="EH27087"/>
      <c r="EI27087"/>
      <c r="EJ27087"/>
      <c r="EK27087"/>
    </row>
    <row r="27088" spans="1:141" s="116" customFormat="1">
      <c r="A27088" s="136"/>
      <c r="CM27088" s="111"/>
      <c r="CQ27088" s="111"/>
      <c r="EF27088"/>
      <c r="EG27088"/>
      <c r="EH27088"/>
      <c r="EI27088"/>
      <c r="EJ27088"/>
      <c r="EK27088"/>
    </row>
    <row r="27089" spans="1:141" s="116" customFormat="1">
      <c r="A27089" s="136"/>
      <c r="CM27089" s="111"/>
      <c r="CQ27089" s="111"/>
      <c r="EF27089"/>
      <c r="EG27089"/>
      <c r="EH27089"/>
      <c r="EI27089"/>
      <c r="EJ27089"/>
      <c r="EK27089"/>
    </row>
    <row r="27090" spans="1:141" s="116" customFormat="1">
      <c r="A27090" s="136"/>
      <c r="CM27090" s="111"/>
      <c r="CQ27090" s="111"/>
      <c r="EF27090"/>
      <c r="EG27090"/>
      <c r="EH27090"/>
      <c r="EI27090"/>
      <c r="EJ27090"/>
      <c r="EK27090"/>
    </row>
    <row r="27091" spans="1:141" s="116" customFormat="1">
      <c r="A27091" s="136"/>
      <c r="CM27091" s="111"/>
      <c r="CQ27091" s="111"/>
      <c r="EF27091"/>
      <c r="EG27091"/>
      <c r="EH27091"/>
      <c r="EI27091"/>
      <c r="EJ27091"/>
      <c r="EK27091"/>
    </row>
    <row r="27092" spans="1:141" s="116" customFormat="1">
      <c r="A27092" s="136"/>
      <c r="CM27092" s="111"/>
      <c r="CQ27092" s="111"/>
      <c r="EF27092"/>
      <c r="EG27092"/>
      <c r="EH27092"/>
      <c r="EI27092"/>
      <c r="EJ27092"/>
      <c r="EK27092"/>
    </row>
    <row r="27093" spans="1:141" s="116" customFormat="1">
      <c r="A27093" s="136"/>
      <c r="CM27093" s="111"/>
      <c r="CQ27093" s="111"/>
      <c r="EF27093"/>
      <c r="EG27093"/>
      <c r="EH27093"/>
      <c r="EI27093"/>
      <c r="EJ27093"/>
      <c r="EK27093"/>
    </row>
    <row r="27094" spans="1:141" s="116" customFormat="1">
      <c r="A27094" s="136"/>
      <c r="CM27094" s="111"/>
      <c r="CQ27094" s="111"/>
      <c r="EF27094"/>
      <c r="EG27094"/>
      <c r="EH27094"/>
      <c r="EI27094"/>
      <c r="EJ27094"/>
      <c r="EK27094"/>
    </row>
    <row r="27095" spans="1:141" s="116" customFormat="1">
      <c r="A27095" s="136"/>
      <c r="CM27095" s="111"/>
      <c r="CQ27095" s="111"/>
      <c r="EF27095"/>
      <c r="EG27095"/>
      <c r="EH27095"/>
      <c r="EI27095"/>
      <c r="EJ27095"/>
      <c r="EK27095"/>
    </row>
    <row r="27096" spans="1:141" s="116" customFormat="1">
      <c r="A27096" s="136"/>
      <c r="CM27096" s="111"/>
      <c r="CQ27096" s="111"/>
      <c r="EF27096"/>
      <c r="EG27096"/>
      <c r="EH27096"/>
      <c r="EI27096"/>
      <c r="EJ27096"/>
      <c r="EK27096"/>
    </row>
    <row r="27097" spans="1:141" s="116" customFormat="1">
      <c r="A27097" s="136"/>
      <c r="CM27097" s="111"/>
      <c r="CQ27097" s="111"/>
      <c r="EF27097"/>
      <c r="EG27097"/>
      <c r="EH27097"/>
      <c r="EI27097"/>
      <c r="EJ27097"/>
      <c r="EK27097"/>
    </row>
    <row r="27098" spans="1:141" s="116" customFormat="1">
      <c r="A27098" s="136"/>
      <c r="CM27098" s="111"/>
      <c r="CQ27098" s="111"/>
      <c r="EF27098"/>
      <c r="EG27098"/>
      <c r="EH27098"/>
      <c r="EI27098"/>
      <c r="EJ27098"/>
      <c r="EK27098"/>
    </row>
    <row r="27099" spans="1:141" s="116" customFormat="1">
      <c r="A27099" s="136"/>
      <c r="CM27099" s="111"/>
      <c r="CQ27099" s="111"/>
      <c r="EF27099"/>
      <c r="EG27099"/>
      <c r="EH27099"/>
      <c r="EI27099"/>
      <c r="EJ27099"/>
      <c r="EK27099"/>
    </row>
    <row r="27100" spans="1:141" s="116" customFormat="1">
      <c r="A27100" s="136"/>
      <c r="CM27100" s="111"/>
      <c r="CQ27100" s="111"/>
      <c r="EF27100"/>
      <c r="EG27100"/>
      <c r="EH27100"/>
      <c r="EI27100"/>
      <c r="EJ27100"/>
      <c r="EK27100"/>
    </row>
    <row r="27101" spans="1:141" s="116" customFormat="1">
      <c r="A27101" s="136"/>
      <c r="CM27101" s="111"/>
      <c r="CQ27101" s="111"/>
      <c r="EF27101"/>
      <c r="EG27101"/>
      <c r="EH27101"/>
      <c r="EI27101"/>
      <c r="EJ27101"/>
      <c r="EK27101"/>
    </row>
    <row r="27102" spans="1:141" s="116" customFormat="1">
      <c r="A27102" s="136"/>
      <c r="CM27102" s="111"/>
      <c r="CQ27102" s="111"/>
      <c r="EF27102"/>
      <c r="EG27102"/>
      <c r="EH27102"/>
      <c r="EI27102"/>
      <c r="EJ27102"/>
      <c r="EK27102"/>
    </row>
    <row r="27103" spans="1:141" s="116" customFormat="1">
      <c r="A27103" s="136"/>
      <c r="CM27103" s="111"/>
      <c r="CQ27103" s="111"/>
      <c r="EF27103"/>
      <c r="EG27103"/>
      <c r="EH27103"/>
      <c r="EI27103"/>
      <c r="EJ27103"/>
      <c r="EK27103"/>
    </row>
    <row r="27104" spans="1:141" s="116" customFormat="1">
      <c r="A27104" s="136"/>
      <c r="CM27104" s="111"/>
      <c r="CQ27104" s="111"/>
      <c r="EF27104"/>
      <c r="EG27104"/>
      <c r="EH27104"/>
      <c r="EI27104"/>
      <c r="EJ27104"/>
      <c r="EK27104"/>
    </row>
    <row r="27105" spans="1:141" s="116" customFormat="1">
      <c r="A27105" s="136"/>
      <c r="CM27105" s="111"/>
      <c r="CQ27105" s="111"/>
      <c r="EF27105"/>
      <c r="EG27105"/>
      <c r="EH27105"/>
      <c r="EI27105"/>
      <c r="EJ27105"/>
      <c r="EK27105"/>
    </row>
    <row r="27106" spans="1:141" s="116" customFormat="1">
      <c r="A27106" s="136"/>
      <c r="CM27106" s="111"/>
      <c r="CQ27106" s="111"/>
      <c r="EF27106"/>
      <c r="EG27106"/>
      <c r="EH27106"/>
      <c r="EI27106"/>
      <c r="EJ27106"/>
      <c r="EK27106"/>
    </row>
    <row r="27107" spans="1:141" s="116" customFormat="1">
      <c r="A27107" s="136"/>
      <c r="CM27107" s="111"/>
      <c r="CQ27107" s="111"/>
      <c r="EF27107"/>
      <c r="EG27107"/>
      <c r="EH27107"/>
      <c r="EI27107"/>
      <c r="EJ27107"/>
      <c r="EK27107"/>
    </row>
    <row r="27108" spans="1:141" s="116" customFormat="1">
      <c r="A27108" s="136"/>
      <c r="CM27108" s="111"/>
      <c r="CQ27108" s="111"/>
      <c r="EF27108"/>
      <c r="EG27108"/>
      <c r="EH27108"/>
      <c r="EI27108"/>
      <c r="EJ27108"/>
      <c r="EK27108"/>
    </row>
    <row r="27109" spans="1:141" s="116" customFormat="1">
      <c r="A27109" s="136"/>
      <c r="CM27109" s="111"/>
      <c r="CQ27109" s="111"/>
      <c r="EF27109"/>
      <c r="EG27109"/>
      <c r="EH27109"/>
      <c r="EI27109"/>
      <c r="EJ27109"/>
      <c r="EK27109"/>
    </row>
    <row r="27110" spans="1:141" s="116" customFormat="1">
      <c r="A27110" s="136"/>
      <c r="CM27110" s="111"/>
      <c r="CQ27110" s="111"/>
      <c r="EF27110"/>
      <c r="EG27110"/>
      <c r="EH27110"/>
      <c r="EI27110"/>
      <c r="EJ27110"/>
      <c r="EK27110"/>
    </row>
    <row r="27111" spans="1:141" s="116" customFormat="1">
      <c r="A27111" s="136"/>
      <c r="CM27111" s="111"/>
      <c r="CQ27111" s="111"/>
      <c r="EF27111"/>
      <c r="EG27111"/>
      <c r="EH27111"/>
      <c r="EI27111"/>
      <c r="EJ27111"/>
      <c r="EK27111"/>
    </row>
    <row r="27112" spans="1:141" s="116" customFormat="1">
      <c r="A27112" s="136"/>
      <c r="CM27112" s="111"/>
      <c r="CQ27112" s="111"/>
      <c r="EF27112"/>
      <c r="EG27112"/>
      <c r="EH27112"/>
      <c r="EI27112"/>
      <c r="EJ27112"/>
      <c r="EK27112"/>
    </row>
    <row r="27113" spans="1:141" s="116" customFormat="1">
      <c r="A27113" s="136"/>
      <c r="CM27113" s="111"/>
      <c r="CQ27113" s="111"/>
      <c r="EF27113"/>
      <c r="EG27113"/>
      <c r="EH27113"/>
      <c r="EI27113"/>
      <c r="EJ27113"/>
      <c r="EK27113"/>
    </row>
    <row r="27114" spans="1:141" s="116" customFormat="1">
      <c r="A27114" s="136"/>
      <c r="CM27114" s="111"/>
      <c r="CQ27114" s="111"/>
      <c r="EF27114"/>
      <c r="EG27114"/>
      <c r="EH27114"/>
      <c r="EI27114"/>
      <c r="EJ27114"/>
      <c r="EK27114"/>
    </row>
    <row r="27115" spans="1:141" s="116" customFormat="1">
      <c r="A27115" s="136"/>
      <c r="CM27115" s="111"/>
      <c r="CQ27115" s="111"/>
      <c r="EF27115"/>
      <c r="EG27115"/>
      <c r="EH27115"/>
      <c r="EI27115"/>
      <c r="EJ27115"/>
      <c r="EK27115"/>
    </row>
    <row r="27116" spans="1:141" s="116" customFormat="1">
      <c r="A27116" s="136"/>
      <c r="CM27116" s="111"/>
      <c r="CQ27116" s="111"/>
      <c r="EF27116"/>
      <c r="EG27116"/>
      <c r="EH27116"/>
      <c r="EI27116"/>
      <c r="EJ27116"/>
      <c r="EK27116"/>
    </row>
    <row r="27117" spans="1:141" s="116" customFormat="1">
      <c r="A27117" s="136"/>
      <c r="CM27117" s="111"/>
      <c r="CQ27117" s="111"/>
      <c r="EF27117"/>
      <c r="EG27117"/>
      <c r="EH27117"/>
      <c r="EI27117"/>
      <c r="EJ27117"/>
      <c r="EK27117"/>
    </row>
    <row r="27118" spans="1:141" s="116" customFormat="1">
      <c r="A27118" s="136"/>
      <c r="CM27118" s="111"/>
      <c r="CQ27118" s="111"/>
      <c r="EF27118"/>
      <c r="EG27118"/>
      <c r="EH27118"/>
      <c r="EI27118"/>
      <c r="EJ27118"/>
      <c r="EK27118"/>
    </row>
    <row r="27119" spans="1:141" s="116" customFormat="1">
      <c r="A27119" s="136"/>
      <c r="CM27119" s="111"/>
      <c r="CQ27119" s="111"/>
      <c r="EF27119"/>
      <c r="EG27119"/>
      <c r="EH27119"/>
      <c r="EI27119"/>
      <c r="EJ27119"/>
      <c r="EK27119"/>
    </row>
    <row r="27120" spans="1:141" s="116" customFormat="1">
      <c r="A27120" s="136"/>
      <c r="CM27120" s="111"/>
      <c r="CQ27120" s="111"/>
      <c r="EF27120"/>
      <c r="EG27120"/>
      <c r="EH27120"/>
      <c r="EI27120"/>
      <c r="EJ27120"/>
      <c r="EK27120"/>
    </row>
    <row r="27121" spans="1:141" s="116" customFormat="1">
      <c r="A27121" s="136"/>
      <c r="CM27121" s="111"/>
      <c r="CQ27121" s="111"/>
      <c r="EF27121"/>
      <c r="EG27121"/>
      <c r="EH27121"/>
      <c r="EI27121"/>
      <c r="EJ27121"/>
      <c r="EK27121"/>
    </row>
    <row r="27122" spans="1:141" s="116" customFormat="1">
      <c r="A27122" s="136"/>
      <c r="CM27122" s="111"/>
      <c r="CQ27122" s="111"/>
      <c r="EF27122"/>
      <c r="EG27122"/>
      <c r="EH27122"/>
      <c r="EI27122"/>
      <c r="EJ27122"/>
      <c r="EK27122"/>
    </row>
    <row r="27123" spans="1:141" s="116" customFormat="1">
      <c r="A27123" s="136"/>
      <c r="CM27123" s="111"/>
      <c r="CQ27123" s="111"/>
      <c r="EF27123"/>
      <c r="EG27123"/>
      <c r="EH27123"/>
      <c r="EI27123"/>
      <c r="EJ27123"/>
      <c r="EK27123"/>
    </row>
    <row r="27124" spans="1:141" s="116" customFormat="1">
      <c r="A27124" s="136"/>
      <c r="CM27124" s="111"/>
      <c r="CQ27124" s="111"/>
      <c r="EF27124"/>
      <c r="EG27124"/>
      <c r="EH27124"/>
      <c r="EI27124"/>
      <c r="EJ27124"/>
      <c r="EK27124"/>
    </row>
    <row r="27125" spans="1:141" s="116" customFormat="1">
      <c r="A27125" s="136"/>
      <c r="CM27125" s="111"/>
      <c r="CQ27125" s="111"/>
      <c r="EF27125"/>
      <c r="EG27125"/>
      <c r="EH27125"/>
      <c r="EI27125"/>
      <c r="EJ27125"/>
      <c r="EK27125"/>
    </row>
    <row r="27126" spans="1:141" s="116" customFormat="1">
      <c r="A27126" s="136"/>
      <c r="CM27126" s="111"/>
      <c r="CQ27126" s="111"/>
      <c r="EF27126"/>
      <c r="EG27126"/>
      <c r="EH27126"/>
      <c r="EI27126"/>
      <c r="EJ27126"/>
      <c r="EK27126"/>
    </row>
    <row r="27127" spans="1:141" s="116" customFormat="1">
      <c r="A27127" s="136"/>
      <c r="CM27127" s="111"/>
      <c r="CQ27127" s="111"/>
      <c r="EF27127"/>
      <c r="EG27127"/>
      <c r="EH27127"/>
      <c r="EI27127"/>
      <c r="EJ27127"/>
      <c r="EK27127"/>
    </row>
    <row r="27128" spans="1:141" s="116" customFormat="1">
      <c r="A27128" s="136"/>
      <c r="CM27128" s="111"/>
      <c r="CQ27128" s="111"/>
      <c r="EF27128"/>
      <c r="EG27128"/>
      <c r="EH27128"/>
      <c r="EI27128"/>
      <c r="EJ27128"/>
      <c r="EK27128"/>
    </row>
    <row r="27129" spans="1:141" s="116" customFormat="1">
      <c r="A27129" s="136"/>
      <c r="CM27129" s="111"/>
      <c r="CQ27129" s="111"/>
      <c r="EF27129"/>
      <c r="EG27129"/>
      <c r="EH27129"/>
      <c r="EI27129"/>
      <c r="EJ27129"/>
      <c r="EK27129"/>
    </row>
    <row r="27130" spans="1:141" s="116" customFormat="1">
      <c r="A27130" s="136"/>
      <c r="CM27130" s="111"/>
      <c r="CQ27130" s="111"/>
      <c r="EF27130"/>
      <c r="EG27130"/>
      <c r="EH27130"/>
      <c r="EI27130"/>
      <c r="EJ27130"/>
      <c r="EK27130"/>
    </row>
    <row r="27131" spans="1:141" s="116" customFormat="1">
      <c r="A27131" s="136"/>
      <c r="CM27131" s="111"/>
      <c r="CQ27131" s="111"/>
      <c r="EF27131"/>
      <c r="EG27131"/>
      <c r="EH27131"/>
      <c r="EI27131"/>
      <c r="EJ27131"/>
      <c r="EK27131"/>
    </row>
    <row r="27132" spans="1:141" s="116" customFormat="1">
      <c r="A27132" s="136"/>
      <c r="CM27132" s="111"/>
      <c r="CQ27132" s="111"/>
      <c r="EF27132"/>
      <c r="EG27132"/>
      <c r="EH27132"/>
      <c r="EI27132"/>
      <c r="EJ27132"/>
      <c r="EK27132"/>
    </row>
    <row r="27133" spans="1:141" s="116" customFormat="1">
      <c r="A27133" s="136"/>
      <c r="CM27133" s="111"/>
      <c r="CQ27133" s="111"/>
      <c r="EF27133"/>
      <c r="EG27133"/>
      <c r="EH27133"/>
      <c r="EI27133"/>
      <c r="EJ27133"/>
      <c r="EK27133"/>
    </row>
    <row r="27134" spans="1:141" s="116" customFormat="1">
      <c r="A27134" s="136"/>
      <c r="CM27134" s="111"/>
      <c r="CQ27134" s="111"/>
      <c r="EF27134"/>
      <c r="EG27134"/>
      <c r="EH27134"/>
      <c r="EI27134"/>
      <c r="EJ27134"/>
      <c r="EK27134"/>
    </row>
    <row r="27135" spans="1:141" s="116" customFormat="1">
      <c r="A27135" s="136"/>
      <c r="CM27135" s="111"/>
      <c r="CQ27135" s="111"/>
      <c r="EF27135"/>
      <c r="EG27135"/>
      <c r="EH27135"/>
      <c r="EI27135"/>
      <c r="EJ27135"/>
      <c r="EK27135"/>
    </row>
    <row r="27136" spans="1:141" s="116" customFormat="1">
      <c r="A27136" s="136"/>
      <c r="CM27136" s="111"/>
      <c r="CQ27136" s="111"/>
      <c r="EF27136"/>
      <c r="EG27136"/>
      <c r="EH27136"/>
      <c r="EI27136"/>
      <c r="EJ27136"/>
      <c r="EK27136"/>
    </row>
    <row r="27137" spans="1:141" s="116" customFormat="1">
      <c r="A27137" s="136"/>
      <c r="CM27137" s="111"/>
      <c r="CQ27137" s="111"/>
      <c r="EF27137"/>
      <c r="EG27137"/>
      <c r="EH27137"/>
      <c r="EI27137"/>
      <c r="EJ27137"/>
      <c r="EK27137"/>
    </row>
    <row r="27138" spans="1:141" s="116" customFormat="1">
      <c r="A27138" s="136"/>
      <c r="CM27138" s="111"/>
      <c r="CQ27138" s="111"/>
      <c r="EF27138"/>
      <c r="EG27138"/>
      <c r="EH27138"/>
      <c r="EI27138"/>
      <c r="EJ27138"/>
      <c r="EK27138"/>
    </row>
    <row r="27139" spans="1:141" s="116" customFormat="1">
      <c r="A27139" s="136"/>
      <c r="CM27139" s="111"/>
      <c r="CQ27139" s="111"/>
      <c r="EF27139"/>
      <c r="EG27139"/>
      <c r="EH27139"/>
      <c r="EI27139"/>
      <c r="EJ27139"/>
      <c r="EK27139"/>
    </row>
    <row r="27140" spans="1:141" s="116" customFormat="1">
      <c r="A27140" s="136"/>
      <c r="CM27140" s="111"/>
      <c r="CQ27140" s="111"/>
      <c r="EF27140"/>
      <c r="EG27140"/>
      <c r="EH27140"/>
      <c r="EI27140"/>
      <c r="EJ27140"/>
      <c r="EK27140"/>
    </row>
    <row r="27141" spans="1:141" s="116" customFormat="1">
      <c r="A27141" s="136"/>
      <c r="CM27141" s="111"/>
      <c r="CQ27141" s="111"/>
      <c r="EF27141"/>
      <c r="EG27141"/>
      <c r="EH27141"/>
      <c r="EI27141"/>
      <c r="EJ27141"/>
      <c r="EK27141"/>
    </row>
    <row r="27142" spans="1:141" s="116" customFormat="1">
      <c r="A27142" s="136"/>
      <c r="CM27142" s="111"/>
      <c r="CQ27142" s="111"/>
      <c r="EF27142"/>
      <c r="EG27142"/>
      <c r="EH27142"/>
      <c r="EI27142"/>
      <c r="EJ27142"/>
      <c r="EK27142"/>
    </row>
    <row r="27143" spans="1:141" s="116" customFormat="1">
      <c r="A27143" s="136"/>
      <c r="CM27143" s="111"/>
      <c r="CQ27143" s="111"/>
      <c r="EF27143"/>
      <c r="EG27143"/>
      <c r="EH27143"/>
      <c r="EI27143"/>
      <c r="EJ27143"/>
      <c r="EK27143"/>
    </row>
    <row r="27144" spans="1:141" s="116" customFormat="1">
      <c r="A27144" s="136"/>
      <c r="CM27144" s="111"/>
      <c r="CQ27144" s="111"/>
      <c r="EF27144"/>
      <c r="EG27144"/>
      <c r="EH27144"/>
      <c r="EI27144"/>
      <c r="EJ27144"/>
      <c r="EK27144"/>
    </row>
    <row r="27145" spans="1:141" s="116" customFormat="1">
      <c r="A27145" s="136"/>
      <c r="CM27145" s="111"/>
      <c r="CQ27145" s="111"/>
      <c r="EF27145"/>
      <c r="EG27145"/>
      <c r="EH27145"/>
      <c r="EI27145"/>
      <c r="EJ27145"/>
      <c r="EK27145"/>
    </row>
    <row r="27146" spans="1:141" s="116" customFormat="1">
      <c r="A27146" s="136"/>
      <c r="CM27146" s="111"/>
      <c r="CQ27146" s="111"/>
      <c r="EF27146"/>
      <c r="EG27146"/>
      <c r="EH27146"/>
      <c r="EI27146"/>
      <c r="EJ27146"/>
      <c r="EK27146"/>
    </row>
    <row r="27147" spans="1:141" s="116" customFormat="1">
      <c r="A27147" s="136"/>
      <c r="CM27147" s="111"/>
      <c r="CQ27147" s="111"/>
      <c r="EF27147"/>
      <c r="EG27147"/>
      <c r="EH27147"/>
      <c r="EI27147"/>
      <c r="EJ27147"/>
      <c r="EK27147"/>
    </row>
    <row r="27148" spans="1:141" s="116" customFormat="1">
      <c r="A27148" s="136"/>
      <c r="CM27148" s="111"/>
      <c r="CQ27148" s="111"/>
      <c r="EF27148"/>
      <c r="EG27148"/>
      <c r="EH27148"/>
      <c r="EI27148"/>
      <c r="EJ27148"/>
      <c r="EK27148"/>
    </row>
    <row r="27149" spans="1:141" s="116" customFormat="1">
      <c r="A27149" s="136"/>
      <c r="CM27149" s="111"/>
      <c r="CQ27149" s="111"/>
      <c r="EF27149"/>
      <c r="EG27149"/>
      <c r="EH27149"/>
      <c r="EI27149"/>
      <c r="EJ27149"/>
      <c r="EK27149"/>
    </row>
    <row r="27150" spans="1:141" s="116" customFormat="1">
      <c r="A27150" s="136"/>
      <c r="CM27150" s="111"/>
      <c r="CQ27150" s="111"/>
      <c r="EF27150"/>
      <c r="EG27150"/>
      <c r="EH27150"/>
      <c r="EI27150"/>
      <c r="EJ27150"/>
      <c r="EK27150"/>
    </row>
    <row r="27151" spans="1:141" s="116" customFormat="1">
      <c r="A27151" s="136"/>
      <c r="CM27151" s="111"/>
      <c r="CQ27151" s="111"/>
      <c r="EF27151"/>
      <c r="EG27151"/>
      <c r="EH27151"/>
      <c r="EI27151"/>
      <c r="EJ27151"/>
      <c r="EK27151"/>
    </row>
    <row r="27152" spans="1:141" s="116" customFormat="1">
      <c r="A27152" s="136"/>
      <c r="CM27152" s="111"/>
      <c r="CQ27152" s="111"/>
      <c r="EF27152"/>
      <c r="EG27152"/>
      <c r="EH27152"/>
      <c r="EI27152"/>
      <c r="EJ27152"/>
      <c r="EK27152"/>
    </row>
    <row r="27153" spans="1:141" s="116" customFormat="1">
      <c r="A27153" s="136"/>
      <c r="CM27153" s="111"/>
      <c r="CQ27153" s="111"/>
      <c r="EF27153"/>
      <c r="EG27153"/>
      <c r="EH27153"/>
      <c r="EI27153"/>
      <c r="EJ27153"/>
      <c r="EK27153"/>
    </row>
    <row r="27154" spans="1:141" s="116" customFormat="1">
      <c r="A27154" s="136"/>
      <c r="CM27154" s="111"/>
      <c r="CQ27154" s="111"/>
      <c r="EF27154"/>
      <c r="EG27154"/>
      <c r="EH27154"/>
      <c r="EI27154"/>
      <c r="EJ27154"/>
      <c r="EK27154"/>
    </row>
    <row r="27155" spans="1:141" s="116" customFormat="1">
      <c r="A27155" s="136"/>
      <c r="CM27155" s="111"/>
      <c r="CQ27155" s="111"/>
      <c r="EF27155"/>
      <c r="EG27155"/>
      <c r="EH27155"/>
      <c r="EI27155"/>
      <c r="EJ27155"/>
      <c r="EK27155"/>
    </row>
    <row r="27156" spans="1:141" s="116" customFormat="1">
      <c r="A27156" s="136"/>
      <c r="CM27156" s="111"/>
      <c r="CQ27156" s="111"/>
      <c r="EF27156"/>
      <c r="EG27156"/>
      <c r="EH27156"/>
      <c r="EI27156"/>
      <c r="EJ27156"/>
      <c r="EK27156"/>
    </row>
    <row r="27157" spans="1:141" s="116" customFormat="1">
      <c r="A27157" s="136"/>
      <c r="CM27157" s="111"/>
      <c r="CQ27157" s="111"/>
      <c r="EF27157"/>
      <c r="EG27157"/>
      <c r="EH27157"/>
      <c r="EI27157"/>
      <c r="EJ27157"/>
      <c r="EK27157"/>
    </row>
    <row r="27158" spans="1:141" s="116" customFormat="1">
      <c r="A27158" s="136"/>
      <c r="CM27158" s="111"/>
      <c r="CQ27158" s="111"/>
      <c r="EF27158"/>
      <c r="EG27158"/>
      <c r="EH27158"/>
      <c r="EI27158"/>
      <c r="EJ27158"/>
      <c r="EK27158"/>
    </row>
    <row r="27159" spans="1:141" s="116" customFormat="1">
      <c r="A27159" s="136"/>
      <c r="CM27159" s="111"/>
      <c r="CQ27159" s="111"/>
      <c r="EF27159"/>
      <c r="EG27159"/>
      <c r="EH27159"/>
      <c r="EI27159"/>
      <c r="EJ27159"/>
      <c r="EK27159"/>
    </row>
    <row r="27160" spans="1:141" s="116" customFormat="1">
      <c r="A27160" s="136"/>
      <c r="CM27160" s="111"/>
      <c r="CQ27160" s="111"/>
      <c r="EF27160"/>
      <c r="EG27160"/>
      <c r="EH27160"/>
      <c r="EI27160"/>
      <c r="EJ27160"/>
      <c r="EK27160"/>
    </row>
    <row r="27161" spans="1:141" s="116" customFormat="1">
      <c r="A27161" s="136"/>
      <c r="CM27161" s="111"/>
      <c r="CQ27161" s="111"/>
      <c r="EF27161"/>
      <c r="EG27161"/>
      <c r="EH27161"/>
      <c r="EI27161"/>
      <c r="EJ27161"/>
      <c r="EK27161"/>
    </row>
    <row r="27162" spans="1:141" s="116" customFormat="1">
      <c r="A27162" s="136"/>
      <c r="CM27162" s="111"/>
      <c r="CQ27162" s="111"/>
      <c r="EF27162"/>
      <c r="EG27162"/>
      <c r="EH27162"/>
      <c r="EI27162"/>
      <c r="EJ27162"/>
      <c r="EK27162"/>
    </row>
    <row r="27163" spans="1:141" s="116" customFormat="1">
      <c r="A27163" s="136"/>
      <c r="CM27163" s="111"/>
      <c r="CQ27163" s="111"/>
      <c r="EF27163"/>
      <c r="EG27163"/>
      <c r="EH27163"/>
      <c r="EI27163"/>
      <c r="EJ27163"/>
      <c r="EK27163"/>
    </row>
    <row r="27164" spans="1:141" s="116" customFormat="1">
      <c r="A27164" s="136"/>
      <c r="CM27164" s="111"/>
      <c r="CQ27164" s="111"/>
      <c r="EF27164"/>
      <c r="EG27164"/>
      <c r="EH27164"/>
      <c r="EI27164"/>
      <c r="EJ27164"/>
      <c r="EK27164"/>
    </row>
    <row r="27165" spans="1:141" s="116" customFormat="1">
      <c r="A27165" s="136"/>
      <c r="CM27165" s="111"/>
      <c r="CQ27165" s="111"/>
      <c r="EF27165"/>
      <c r="EG27165"/>
      <c r="EH27165"/>
      <c r="EI27165"/>
      <c r="EJ27165"/>
      <c r="EK27165"/>
    </row>
    <row r="27166" spans="1:141" s="116" customFormat="1">
      <c r="A27166" s="136"/>
      <c r="CM27166" s="111"/>
      <c r="CQ27166" s="111"/>
      <c r="EF27166"/>
      <c r="EG27166"/>
      <c r="EH27166"/>
      <c r="EI27166"/>
      <c r="EJ27166"/>
      <c r="EK27166"/>
    </row>
    <row r="27167" spans="1:141" s="116" customFormat="1">
      <c r="A27167" s="136"/>
      <c r="CM27167" s="111"/>
      <c r="CQ27167" s="111"/>
      <c r="EF27167"/>
      <c r="EG27167"/>
      <c r="EH27167"/>
      <c r="EI27167"/>
      <c r="EJ27167"/>
      <c r="EK27167"/>
    </row>
    <row r="27168" spans="1:141" s="116" customFormat="1">
      <c r="A27168" s="136"/>
      <c r="CM27168" s="111"/>
      <c r="CQ27168" s="111"/>
      <c r="EF27168"/>
      <c r="EG27168"/>
      <c r="EH27168"/>
      <c r="EI27168"/>
      <c r="EJ27168"/>
      <c r="EK27168"/>
    </row>
    <row r="27169" spans="1:141" s="116" customFormat="1">
      <c r="A27169" s="136"/>
      <c r="CM27169" s="111"/>
      <c r="CQ27169" s="111"/>
      <c r="EF27169"/>
      <c r="EG27169"/>
      <c r="EH27169"/>
      <c r="EI27169"/>
      <c r="EJ27169"/>
      <c r="EK27169"/>
    </row>
    <row r="27170" spans="1:141" s="116" customFormat="1">
      <c r="A27170" s="136"/>
      <c r="CM27170" s="111"/>
      <c r="CQ27170" s="111"/>
      <c r="EF27170"/>
      <c r="EG27170"/>
      <c r="EH27170"/>
      <c r="EI27170"/>
      <c r="EJ27170"/>
      <c r="EK27170"/>
    </row>
    <row r="27171" spans="1:141" s="116" customFormat="1">
      <c r="A27171" s="136"/>
      <c r="CM27171" s="111"/>
      <c r="CQ27171" s="111"/>
      <c r="EF27171"/>
      <c r="EG27171"/>
      <c r="EH27171"/>
      <c r="EI27171"/>
      <c r="EJ27171"/>
      <c r="EK27171"/>
    </row>
    <row r="27172" spans="1:141" s="116" customFormat="1">
      <c r="A27172" s="136"/>
      <c r="CM27172" s="111"/>
      <c r="CQ27172" s="111"/>
      <c r="EF27172"/>
      <c r="EG27172"/>
      <c r="EH27172"/>
      <c r="EI27172"/>
      <c r="EJ27172"/>
      <c r="EK27172"/>
    </row>
    <row r="27173" spans="1:141" s="116" customFormat="1">
      <c r="A27173" s="136"/>
      <c r="CM27173" s="111"/>
      <c r="CQ27173" s="111"/>
      <c r="EF27173"/>
      <c r="EG27173"/>
      <c r="EH27173"/>
      <c r="EI27173"/>
      <c r="EJ27173"/>
      <c r="EK27173"/>
    </row>
    <row r="27174" spans="1:141" s="116" customFormat="1">
      <c r="A27174" s="136"/>
      <c r="CM27174" s="111"/>
      <c r="CQ27174" s="111"/>
      <c r="EF27174"/>
      <c r="EG27174"/>
      <c r="EH27174"/>
      <c r="EI27174"/>
      <c r="EJ27174"/>
      <c r="EK27174"/>
    </row>
    <row r="27175" spans="1:141" s="116" customFormat="1">
      <c r="A27175" s="136"/>
      <c r="CM27175" s="111"/>
      <c r="CQ27175" s="111"/>
      <c r="EF27175"/>
      <c r="EG27175"/>
      <c r="EH27175"/>
      <c r="EI27175"/>
      <c r="EJ27175"/>
      <c r="EK27175"/>
    </row>
    <row r="27176" spans="1:141" s="116" customFormat="1">
      <c r="A27176" s="136"/>
      <c r="CM27176" s="111"/>
      <c r="CQ27176" s="111"/>
      <c r="EF27176"/>
      <c r="EG27176"/>
      <c r="EH27176"/>
      <c r="EI27176"/>
      <c r="EJ27176"/>
      <c r="EK27176"/>
    </row>
    <row r="27177" spans="1:141" s="116" customFormat="1">
      <c r="A27177" s="136"/>
      <c r="CM27177" s="111"/>
      <c r="CQ27177" s="111"/>
      <c r="EF27177"/>
      <c r="EG27177"/>
      <c r="EH27177"/>
      <c r="EI27177"/>
      <c r="EJ27177"/>
      <c r="EK27177"/>
    </row>
    <row r="27178" spans="1:141" s="116" customFormat="1">
      <c r="A27178" s="136"/>
      <c r="CM27178" s="111"/>
      <c r="CQ27178" s="111"/>
      <c r="EF27178"/>
      <c r="EG27178"/>
      <c r="EH27178"/>
      <c r="EI27178"/>
      <c r="EJ27178"/>
      <c r="EK27178"/>
    </row>
    <row r="27179" spans="1:141" s="116" customFormat="1">
      <c r="A27179" s="136"/>
      <c r="CM27179" s="111"/>
      <c r="CQ27179" s="111"/>
      <c r="EF27179"/>
      <c r="EG27179"/>
      <c r="EH27179"/>
      <c r="EI27179"/>
      <c r="EJ27179"/>
      <c r="EK27179"/>
    </row>
    <row r="27180" spans="1:141" s="116" customFormat="1">
      <c r="A27180" s="136"/>
      <c r="CM27180" s="111"/>
      <c r="CQ27180" s="111"/>
      <c r="EF27180"/>
      <c r="EG27180"/>
      <c r="EH27180"/>
      <c r="EI27180"/>
      <c r="EJ27180"/>
      <c r="EK27180"/>
    </row>
    <row r="27181" spans="1:141" s="116" customFormat="1">
      <c r="A27181" s="136"/>
      <c r="CM27181" s="111"/>
      <c r="CQ27181" s="111"/>
      <c r="EF27181"/>
      <c r="EG27181"/>
      <c r="EH27181"/>
      <c r="EI27181"/>
      <c r="EJ27181"/>
      <c r="EK27181"/>
    </row>
    <row r="27182" spans="1:141" s="116" customFormat="1">
      <c r="A27182" s="136"/>
      <c r="CM27182" s="111"/>
      <c r="CQ27182" s="111"/>
      <c r="EF27182"/>
      <c r="EG27182"/>
      <c r="EH27182"/>
      <c r="EI27182"/>
      <c r="EJ27182"/>
      <c r="EK27182"/>
    </row>
    <row r="27183" spans="1:141" s="116" customFormat="1">
      <c r="A27183" s="136"/>
      <c r="CM27183" s="111"/>
      <c r="CQ27183" s="111"/>
      <c r="EF27183"/>
      <c r="EG27183"/>
      <c r="EH27183"/>
      <c r="EI27183"/>
      <c r="EJ27183"/>
      <c r="EK27183"/>
    </row>
    <row r="27184" spans="1:141" s="116" customFormat="1">
      <c r="A27184" s="136"/>
      <c r="CM27184" s="111"/>
      <c r="CQ27184" s="111"/>
      <c r="EF27184"/>
      <c r="EG27184"/>
      <c r="EH27184"/>
      <c r="EI27184"/>
      <c r="EJ27184"/>
      <c r="EK27184"/>
    </row>
    <row r="27185" spans="1:141" s="116" customFormat="1">
      <c r="A27185" s="136"/>
      <c r="CM27185" s="111"/>
      <c r="CQ27185" s="111"/>
      <c r="EF27185"/>
      <c r="EG27185"/>
      <c r="EH27185"/>
      <c r="EI27185"/>
      <c r="EJ27185"/>
      <c r="EK27185"/>
    </row>
    <row r="27186" spans="1:141" s="116" customFormat="1">
      <c r="A27186" s="136"/>
      <c r="CM27186" s="111"/>
      <c r="CQ27186" s="111"/>
      <c r="EF27186"/>
      <c r="EG27186"/>
      <c r="EH27186"/>
      <c r="EI27186"/>
      <c r="EJ27186"/>
      <c r="EK27186"/>
    </row>
    <row r="27187" spans="1:141" s="116" customFormat="1">
      <c r="A27187" s="136"/>
      <c r="CM27187" s="111"/>
      <c r="CQ27187" s="111"/>
      <c r="EF27187"/>
      <c r="EG27187"/>
      <c r="EH27187"/>
      <c r="EI27187"/>
      <c r="EJ27187"/>
      <c r="EK27187"/>
    </row>
    <row r="27188" spans="1:141" s="116" customFormat="1">
      <c r="A27188" s="136"/>
      <c r="CM27188" s="111"/>
      <c r="CQ27188" s="111"/>
      <c r="EF27188"/>
      <c r="EG27188"/>
      <c r="EH27188"/>
      <c r="EI27188"/>
      <c r="EJ27188"/>
      <c r="EK27188"/>
    </row>
    <row r="27189" spans="1:141" s="116" customFormat="1">
      <c r="A27189" s="136"/>
      <c r="CM27189" s="111"/>
      <c r="CQ27189" s="111"/>
      <c r="EF27189"/>
      <c r="EG27189"/>
      <c r="EH27189"/>
      <c r="EI27189"/>
      <c r="EJ27189"/>
      <c r="EK27189"/>
    </row>
    <row r="27190" spans="1:141" s="116" customFormat="1">
      <c r="A27190" s="136"/>
      <c r="CM27190" s="111"/>
      <c r="CQ27190" s="111"/>
      <c r="EF27190"/>
      <c r="EG27190"/>
      <c r="EH27190"/>
      <c r="EI27190"/>
      <c r="EJ27190"/>
      <c r="EK27190"/>
    </row>
    <row r="27191" spans="1:141" s="116" customFormat="1">
      <c r="A27191" s="136"/>
      <c r="CM27191" s="111"/>
      <c r="CQ27191" s="111"/>
      <c r="EF27191"/>
      <c r="EG27191"/>
      <c r="EH27191"/>
      <c r="EI27191"/>
      <c r="EJ27191"/>
      <c r="EK27191"/>
    </row>
    <row r="27192" spans="1:141" s="116" customFormat="1">
      <c r="A27192" s="136"/>
      <c r="CM27192" s="111"/>
      <c r="CQ27192" s="111"/>
      <c r="EF27192"/>
      <c r="EG27192"/>
      <c r="EH27192"/>
      <c r="EI27192"/>
      <c r="EJ27192"/>
      <c r="EK27192"/>
    </row>
    <row r="27193" spans="1:141" s="116" customFormat="1">
      <c r="A27193" s="136"/>
      <c r="CM27193" s="111"/>
      <c r="CQ27193" s="111"/>
      <c r="EF27193"/>
      <c r="EG27193"/>
      <c r="EH27193"/>
      <c r="EI27193"/>
      <c r="EJ27193"/>
      <c r="EK27193"/>
    </row>
    <row r="27194" spans="1:141" s="116" customFormat="1">
      <c r="A27194" s="136"/>
      <c r="CM27194" s="111"/>
      <c r="CQ27194" s="111"/>
      <c r="EF27194"/>
      <c r="EG27194"/>
      <c r="EH27194"/>
      <c r="EI27194"/>
      <c r="EJ27194"/>
      <c r="EK27194"/>
    </row>
    <row r="27195" spans="1:141" s="116" customFormat="1">
      <c r="A27195" s="136"/>
      <c r="CM27195" s="111"/>
      <c r="CQ27195" s="111"/>
      <c r="EF27195"/>
      <c r="EG27195"/>
      <c r="EH27195"/>
      <c r="EI27195"/>
      <c r="EJ27195"/>
      <c r="EK27195"/>
    </row>
    <row r="27196" spans="1:141" s="116" customFormat="1">
      <c r="A27196" s="136"/>
      <c r="CM27196" s="111"/>
      <c r="CQ27196" s="111"/>
      <c r="EF27196"/>
      <c r="EG27196"/>
      <c r="EH27196"/>
      <c r="EI27196"/>
      <c r="EJ27196"/>
      <c r="EK27196"/>
    </row>
    <row r="27197" spans="1:141" s="116" customFormat="1">
      <c r="A27197" s="136"/>
      <c r="CM27197" s="111"/>
      <c r="CQ27197" s="111"/>
      <c r="EF27197"/>
      <c r="EG27197"/>
      <c r="EH27197"/>
      <c r="EI27197"/>
      <c r="EJ27197"/>
      <c r="EK27197"/>
    </row>
    <row r="27198" spans="1:141" s="116" customFormat="1">
      <c r="A27198" s="136"/>
      <c r="CM27198" s="111"/>
      <c r="CQ27198" s="111"/>
      <c r="EF27198"/>
      <c r="EG27198"/>
      <c r="EH27198"/>
      <c r="EI27198"/>
      <c r="EJ27198"/>
      <c r="EK27198"/>
    </row>
    <row r="27199" spans="1:141" s="116" customFormat="1">
      <c r="A27199" s="136"/>
      <c r="CM27199" s="111"/>
      <c r="CQ27199" s="111"/>
      <c r="EF27199"/>
      <c r="EG27199"/>
      <c r="EH27199"/>
      <c r="EI27199"/>
      <c r="EJ27199"/>
      <c r="EK27199"/>
    </row>
    <row r="27200" spans="1:141" s="116" customFormat="1">
      <c r="A27200" s="136"/>
      <c r="CM27200" s="111"/>
      <c r="CQ27200" s="111"/>
      <c r="EF27200"/>
      <c r="EG27200"/>
      <c r="EH27200"/>
      <c r="EI27200"/>
      <c r="EJ27200"/>
      <c r="EK27200"/>
    </row>
    <row r="27201" spans="1:141" s="116" customFormat="1">
      <c r="A27201" s="136"/>
      <c r="CM27201" s="111"/>
      <c r="CQ27201" s="111"/>
      <c r="EF27201"/>
      <c r="EG27201"/>
      <c r="EH27201"/>
      <c r="EI27201"/>
      <c r="EJ27201"/>
      <c r="EK27201"/>
    </row>
    <row r="27202" spans="1:141" s="116" customFormat="1">
      <c r="A27202" s="136"/>
      <c r="CM27202" s="111"/>
      <c r="CQ27202" s="111"/>
      <c r="EF27202"/>
      <c r="EG27202"/>
      <c r="EH27202"/>
      <c r="EI27202"/>
      <c r="EJ27202"/>
      <c r="EK27202"/>
    </row>
    <row r="27203" spans="1:141" s="116" customFormat="1">
      <c r="A27203" s="136"/>
      <c r="CM27203" s="111"/>
      <c r="CQ27203" s="111"/>
      <c r="EF27203"/>
      <c r="EG27203"/>
      <c r="EH27203"/>
      <c r="EI27203"/>
      <c r="EJ27203"/>
      <c r="EK27203"/>
    </row>
    <row r="27204" spans="1:141" s="116" customFormat="1">
      <c r="A27204" s="136"/>
      <c r="CM27204" s="111"/>
      <c r="CQ27204" s="111"/>
      <c r="EF27204"/>
      <c r="EG27204"/>
      <c r="EH27204"/>
      <c r="EI27204"/>
      <c r="EJ27204"/>
      <c r="EK27204"/>
    </row>
    <row r="27205" spans="1:141" s="116" customFormat="1">
      <c r="A27205" s="136"/>
      <c r="CM27205" s="111"/>
      <c r="CQ27205" s="111"/>
      <c r="EF27205"/>
      <c r="EG27205"/>
      <c r="EH27205"/>
      <c r="EI27205"/>
      <c r="EJ27205"/>
      <c r="EK27205"/>
    </row>
    <row r="27206" spans="1:141" s="116" customFormat="1">
      <c r="A27206" s="136"/>
      <c r="CM27206" s="111"/>
      <c r="CQ27206" s="111"/>
      <c r="EF27206"/>
      <c r="EG27206"/>
      <c r="EH27206"/>
      <c r="EI27206"/>
      <c r="EJ27206"/>
      <c r="EK27206"/>
    </row>
    <row r="27207" spans="1:141" s="116" customFormat="1">
      <c r="A27207" s="136"/>
      <c r="CM27207" s="111"/>
      <c r="CQ27207" s="111"/>
      <c r="EF27207"/>
      <c r="EG27207"/>
      <c r="EH27207"/>
      <c r="EI27207"/>
      <c r="EJ27207"/>
      <c r="EK27207"/>
    </row>
    <row r="27208" spans="1:141" s="116" customFormat="1">
      <c r="A27208" s="136"/>
      <c r="CM27208" s="111"/>
      <c r="CQ27208" s="111"/>
      <c r="EF27208"/>
      <c r="EG27208"/>
      <c r="EH27208"/>
      <c r="EI27208"/>
      <c r="EJ27208"/>
      <c r="EK27208"/>
    </row>
    <row r="27209" spans="1:141" s="116" customFormat="1">
      <c r="A27209" s="136"/>
      <c r="CM27209" s="111"/>
      <c r="CQ27209" s="111"/>
      <c r="EF27209"/>
      <c r="EG27209"/>
      <c r="EH27209"/>
      <c r="EI27209"/>
      <c r="EJ27209"/>
      <c r="EK27209"/>
    </row>
    <row r="27210" spans="1:141" s="116" customFormat="1">
      <c r="A27210" s="136"/>
      <c r="CM27210" s="111"/>
      <c r="CQ27210" s="111"/>
      <c r="EF27210"/>
      <c r="EG27210"/>
      <c r="EH27210"/>
      <c r="EI27210"/>
      <c r="EJ27210"/>
      <c r="EK27210"/>
    </row>
    <row r="27211" spans="1:141" s="116" customFormat="1">
      <c r="A27211" s="136"/>
      <c r="CM27211" s="111"/>
      <c r="CQ27211" s="111"/>
      <c r="EF27211"/>
      <c r="EG27211"/>
      <c r="EH27211"/>
      <c r="EI27211"/>
      <c r="EJ27211"/>
      <c r="EK27211"/>
    </row>
    <row r="27212" spans="1:141" s="116" customFormat="1">
      <c r="A27212" s="136"/>
      <c r="CM27212" s="111"/>
      <c r="CQ27212" s="111"/>
      <c r="EF27212"/>
      <c r="EG27212"/>
      <c r="EH27212"/>
      <c r="EI27212"/>
      <c r="EJ27212"/>
      <c r="EK27212"/>
    </row>
    <row r="27213" spans="1:141" s="116" customFormat="1">
      <c r="A27213" s="136"/>
      <c r="CM27213" s="111"/>
      <c r="CQ27213" s="111"/>
      <c r="EF27213"/>
      <c r="EG27213"/>
      <c r="EH27213"/>
      <c r="EI27213"/>
      <c r="EJ27213"/>
      <c r="EK27213"/>
    </row>
    <row r="27214" spans="1:141" s="116" customFormat="1">
      <c r="A27214" s="136"/>
      <c r="CM27214" s="111"/>
      <c r="CQ27214" s="111"/>
      <c r="EF27214"/>
      <c r="EG27214"/>
      <c r="EH27214"/>
      <c r="EI27214"/>
      <c r="EJ27214"/>
      <c r="EK27214"/>
    </row>
    <row r="27215" spans="1:141" s="116" customFormat="1">
      <c r="A27215" s="136"/>
      <c r="CM27215" s="111"/>
      <c r="CQ27215" s="111"/>
      <c r="EF27215"/>
      <c r="EG27215"/>
      <c r="EH27215"/>
      <c r="EI27215"/>
      <c r="EJ27215"/>
      <c r="EK27215"/>
    </row>
    <row r="27216" spans="1:141" s="116" customFormat="1">
      <c r="A27216" s="136"/>
      <c r="CM27216" s="111"/>
      <c r="CQ27216" s="111"/>
      <c r="EF27216"/>
      <c r="EG27216"/>
      <c r="EH27216"/>
      <c r="EI27216"/>
      <c r="EJ27216"/>
      <c r="EK27216"/>
    </row>
    <row r="27217" spans="1:141" s="116" customFormat="1">
      <c r="A27217" s="136"/>
      <c r="CM27217" s="111"/>
      <c r="CQ27217" s="111"/>
      <c r="EF27217"/>
      <c r="EG27217"/>
      <c r="EH27217"/>
      <c r="EI27217"/>
      <c r="EJ27217"/>
      <c r="EK27217"/>
    </row>
    <row r="27218" spans="1:141" s="116" customFormat="1">
      <c r="A27218" s="136"/>
      <c r="CM27218" s="111"/>
      <c r="CQ27218" s="111"/>
      <c r="EF27218"/>
      <c r="EG27218"/>
      <c r="EH27218"/>
      <c r="EI27218"/>
      <c r="EJ27218"/>
      <c r="EK27218"/>
    </row>
    <row r="27219" spans="1:141" s="116" customFormat="1">
      <c r="A27219" s="136"/>
      <c r="CM27219" s="111"/>
      <c r="CQ27219" s="111"/>
      <c r="EF27219"/>
      <c r="EG27219"/>
      <c r="EH27219"/>
      <c r="EI27219"/>
      <c r="EJ27219"/>
      <c r="EK27219"/>
    </row>
    <row r="27220" spans="1:141" s="116" customFormat="1">
      <c r="A27220" s="136"/>
      <c r="CM27220" s="111"/>
      <c r="CQ27220" s="111"/>
      <c r="EF27220"/>
      <c r="EG27220"/>
      <c r="EH27220"/>
      <c r="EI27220"/>
      <c r="EJ27220"/>
      <c r="EK27220"/>
    </row>
    <row r="27221" spans="1:141" s="116" customFormat="1">
      <c r="A27221" s="136"/>
      <c r="CM27221" s="111"/>
      <c r="CQ27221" s="111"/>
      <c r="EF27221"/>
      <c r="EG27221"/>
      <c r="EH27221"/>
      <c r="EI27221"/>
      <c r="EJ27221"/>
      <c r="EK27221"/>
    </row>
    <row r="27222" spans="1:141" s="116" customFormat="1">
      <c r="A27222" s="136"/>
      <c r="CM27222" s="111"/>
      <c r="CQ27222" s="111"/>
      <c r="EF27222"/>
      <c r="EG27222"/>
      <c r="EH27222"/>
      <c r="EI27222"/>
      <c r="EJ27222"/>
      <c r="EK27222"/>
    </row>
    <row r="27223" spans="1:141" s="116" customFormat="1">
      <c r="A27223" s="136"/>
      <c r="CM27223" s="111"/>
      <c r="CQ27223" s="111"/>
      <c r="EF27223"/>
      <c r="EG27223"/>
      <c r="EH27223"/>
      <c r="EI27223"/>
      <c r="EJ27223"/>
      <c r="EK27223"/>
    </row>
    <row r="27224" spans="1:141" s="116" customFormat="1">
      <c r="A27224" s="136"/>
      <c r="CM27224" s="111"/>
      <c r="CQ27224" s="111"/>
      <c r="EF27224"/>
      <c r="EG27224"/>
      <c r="EH27224"/>
      <c r="EI27224"/>
      <c r="EJ27224"/>
      <c r="EK27224"/>
    </row>
    <row r="27225" spans="1:141" s="116" customFormat="1">
      <c r="A27225" s="136"/>
      <c r="CM27225" s="111"/>
      <c r="CQ27225" s="111"/>
      <c r="EF27225"/>
      <c r="EG27225"/>
      <c r="EH27225"/>
      <c r="EI27225"/>
      <c r="EJ27225"/>
      <c r="EK27225"/>
    </row>
    <row r="27226" spans="1:141" s="116" customFormat="1">
      <c r="A27226" s="136"/>
      <c r="CM27226" s="111"/>
      <c r="CQ27226" s="111"/>
      <c r="EF27226"/>
      <c r="EG27226"/>
      <c r="EH27226"/>
      <c r="EI27226"/>
      <c r="EJ27226"/>
      <c r="EK27226"/>
    </row>
    <row r="27227" spans="1:141" s="116" customFormat="1">
      <c r="A27227" s="136"/>
      <c r="CM27227" s="111"/>
      <c r="CQ27227" s="111"/>
      <c r="EF27227"/>
      <c r="EG27227"/>
      <c r="EH27227"/>
      <c r="EI27227"/>
      <c r="EJ27227"/>
      <c r="EK27227"/>
    </row>
    <row r="27228" spans="1:141" s="116" customFormat="1">
      <c r="A27228" s="136"/>
      <c r="CM27228" s="111"/>
      <c r="CQ27228" s="111"/>
      <c r="EF27228"/>
      <c r="EG27228"/>
      <c r="EH27228"/>
      <c r="EI27228"/>
      <c r="EJ27228"/>
      <c r="EK27228"/>
    </row>
    <row r="27229" spans="1:141" s="116" customFormat="1">
      <c r="A27229" s="136"/>
      <c r="CM27229" s="111"/>
      <c r="CQ27229" s="111"/>
      <c r="EF27229"/>
      <c r="EG27229"/>
      <c r="EH27229"/>
      <c r="EI27229"/>
      <c r="EJ27229"/>
      <c r="EK27229"/>
    </row>
    <row r="27230" spans="1:141" s="116" customFormat="1">
      <c r="A27230" s="136"/>
      <c r="CM27230" s="111"/>
      <c r="CQ27230" s="111"/>
      <c r="EF27230"/>
      <c r="EG27230"/>
      <c r="EH27230"/>
      <c r="EI27230"/>
      <c r="EJ27230"/>
      <c r="EK27230"/>
    </row>
    <row r="27231" spans="1:141" s="116" customFormat="1">
      <c r="A27231" s="136"/>
      <c r="CM27231" s="111"/>
      <c r="CQ27231" s="111"/>
      <c r="EF27231"/>
      <c r="EG27231"/>
      <c r="EH27231"/>
      <c r="EI27231"/>
      <c r="EJ27231"/>
      <c r="EK27231"/>
    </row>
    <row r="27232" spans="1:141" s="116" customFormat="1">
      <c r="A27232" s="136"/>
      <c r="CM27232" s="111"/>
      <c r="CQ27232" s="111"/>
      <c r="EF27232"/>
      <c r="EG27232"/>
      <c r="EH27232"/>
      <c r="EI27232"/>
      <c r="EJ27232"/>
      <c r="EK27232"/>
    </row>
    <row r="27233" spans="1:141" s="116" customFormat="1">
      <c r="A27233" s="136"/>
      <c r="CM27233" s="111"/>
      <c r="CQ27233" s="111"/>
      <c r="EF27233"/>
      <c r="EG27233"/>
      <c r="EH27233"/>
      <c r="EI27233"/>
      <c r="EJ27233"/>
      <c r="EK27233"/>
    </row>
    <row r="27234" spans="1:141" s="116" customFormat="1">
      <c r="A27234" s="136"/>
      <c r="CM27234" s="111"/>
      <c r="CQ27234" s="111"/>
      <c r="EF27234"/>
      <c r="EG27234"/>
      <c r="EH27234"/>
      <c r="EI27234"/>
      <c r="EJ27234"/>
      <c r="EK27234"/>
    </row>
    <row r="27235" spans="1:141" s="116" customFormat="1">
      <c r="A27235" s="136"/>
      <c r="CM27235" s="111"/>
      <c r="CQ27235" s="111"/>
      <c r="EF27235"/>
      <c r="EG27235"/>
      <c r="EH27235"/>
      <c r="EI27235"/>
      <c r="EJ27235"/>
      <c r="EK27235"/>
    </row>
    <row r="27236" spans="1:141" s="116" customFormat="1">
      <c r="A27236" s="136"/>
      <c r="CM27236" s="111"/>
      <c r="CQ27236" s="111"/>
      <c r="EF27236"/>
      <c r="EG27236"/>
      <c r="EH27236"/>
      <c r="EI27236"/>
      <c r="EJ27236"/>
      <c r="EK27236"/>
    </row>
    <row r="27237" spans="1:141" s="116" customFormat="1">
      <c r="A27237" s="136"/>
      <c r="CM27237" s="111"/>
      <c r="CQ27237" s="111"/>
      <c r="EF27237"/>
      <c r="EG27237"/>
      <c r="EH27237"/>
      <c r="EI27237"/>
      <c r="EJ27237"/>
      <c r="EK27237"/>
    </row>
    <row r="27238" spans="1:141" s="116" customFormat="1">
      <c r="A27238" s="136"/>
      <c r="CM27238" s="111"/>
      <c r="CQ27238" s="111"/>
      <c r="EF27238"/>
      <c r="EG27238"/>
      <c r="EH27238"/>
      <c r="EI27238"/>
      <c r="EJ27238"/>
      <c r="EK27238"/>
    </row>
    <row r="27239" spans="1:141" s="116" customFormat="1">
      <c r="A27239" s="136"/>
      <c r="CM27239" s="111"/>
      <c r="CQ27239" s="111"/>
      <c r="EF27239"/>
      <c r="EG27239"/>
      <c r="EH27239"/>
      <c r="EI27239"/>
      <c r="EJ27239"/>
      <c r="EK27239"/>
    </row>
    <row r="27240" spans="1:141" s="116" customFormat="1">
      <c r="A27240" s="136"/>
      <c r="CM27240" s="111"/>
      <c r="CQ27240" s="111"/>
      <c r="EF27240"/>
      <c r="EG27240"/>
      <c r="EH27240"/>
      <c r="EI27240"/>
      <c r="EJ27240"/>
      <c r="EK27240"/>
    </row>
    <row r="27241" spans="1:141" s="116" customFormat="1">
      <c r="A27241" s="136"/>
      <c r="CM27241" s="111"/>
      <c r="CQ27241" s="111"/>
      <c r="EF27241"/>
      <c r="EG27241"/>
      <c r="EH27241"/>
      <c r="EI27241"/>
      <c r="EJ27241"/>
      <c r="EK27241"/>
    </row>
    <row r="27242" spans="1:141" s="116" customFormat="1">
      <c r="A27242" s="136"/>
      <c r="CM27242" s="111"/>
      <c r="CQ27242" s="111"/>
      <c r="EF27242"/>
      <c r="EG27242"/>
      <c r="EH27242"/>
      <c r="EI27242"/>
      <c r="EJ27242"/>
      <c r="EK27242"/>
    </row>
    <row r="27243" spans="1:141" s="116" customFormat="1">
      <c r="A27243" s="136"/>
      <c r="CM27243" s="111"/>
      <c r="CQ27243" s="111"/>
      <c r="EF27243"/>
      <c r="EG27243"/>
      <c r="EH27243"/>
      <c r="EI27243"/>
      <c r="EJ27243"/>
      <c r="EK27243"/>
    </row>
    <row r="27244" spans="1:141" s="116" customFormat="1">
      <c r="A27244" s="136"/>
      <c r="CM27244" s="111"/>
      <c r="CQ27244" s="111"/>
      <c r="EF27244"/>
      <c r="EG27244"/>
      <c r="EH27244"/>
      <c r="EI27244"/>
      <c r="EJ27244"/>
      <c r="EK27244"/>
    </row>
    <row r="27245" spans="1:141" s="116" customFormat="1">
      <c r="A27245" s="136"/>
      <c r="CM27245" s="111"/>
      <c r="CQ27245" s="111"/>
      <c r="EF27245"/>
      <c r="EG27245"/>
      <c r="EH27245"/>
      <c r="EI27245"/>
      <c r="EJ27245"/>
      <c r="EK27245"/>
    </row>
    <row r="27246" spans="1:141" s="116" customFormat="1">
      <c r="A27246" s="136"/>
      <c r="CM27246" s="111"/>
      <c r="CQ27246" s="111"/>
      <c r="EF27246"/>
      <c r="EG27246"/>
      <c r="EH27246"/>
      <c r="EI27246"/>
      <c r="EJ27246"/>
      <c r="EK27246"/>
    </row>
    <row r="27247" spans="1:141" s="116" customFormat="1">
      <c r="A27247" s="136"/>
      <c r="CM27247" s="111"/>
      <c r="CQ27247" s="111"/>
      <c r="EF27247"/>
      <c r="EG27247"/>
      <c r="EH27247"/>
      <c r="EI27247"/>
      <c r="EJ27247"/>
      <c r="EK27247"/>
    </row>
    <row r="27248" spans="1:141" s="116" customFormat="1">
      <c r="A27248" s="136"/>
      <c r="CM27248" s="111"/>
      <c r="CQ27248" s="111"/>
      <c r="EF27248"/>
      <c r="EG27248"/>
      <c r="EH27248"/>
      <c r="EI27248"/>
      <c r="EJ27248"/>
      <c r="EK27248"/>
    </row>
    <row r="27249" spans="1:141" s="116" customFormat="1">
      <c r="A27249" s="136"/>
      <c r="CM27249" s="111"/>
      <c r="CQ27249" s="111"/>
      <c r="EF27249"/>
      <c r="EG27249"/>
      <c r="EH27249"/>
      <c r="EI27249"/>
      <c r="EJ27249"/>
      <c r="EK27249"/>
    </row>
    <row r="27250" spans="1:141" s="116" customFormat="1">
      <c r="A27250" s="136"/>
      <c r="CM27250" s="111"/>
      <c r="CQ27250" s="111"/>
      <c r="EF27250"/>
      <c r="EG27250"/>
      <c r="EH27250"/>
      <c r="EI27250"/>
      <c r="EJ27250"/>
      <c r="EK27250"/>
    </row>
    <row r="27251" spans="1:141" s="116" customFormat="1">
      <c r="A27251" s="136"/>
      <c r="CM27251" s="111"/>
      <c r="CQ27251" s="111"/>
      <c r="EF27251"/>
      <c r="EG27251"/>
      <c r="EH27251"/>
      <c r="EI27251"/>
      <c r="EJ27251"/>
      <c r="EK27251"/>
    </row>
    <row r="27252" spans="1:141" s="116" customFormat="1">
      <c r="A27252" s="136"/>
      <c r="CM27252" s="111"/>
      <c r="CQ27252" s="111"/>
      <c r="EF27252"/>
      <c r="EG27252"/>
      <c r="EH27252"/>
      <c r="EI27252"/>
      <c r="EJ27252"/>
      <c r="EK27252"/>
    </row>
    <row r="27253" spans="1:141" s="116" customFormat="1">
      <c r="A27253" s="136"/>
      <c r="CM27253" s="111"/>
      <c r="CQ27253" s="111"/>
      <c r="EF27253"/>
      <c r="EG27253"/>
      <c r="EH27253"/>
      <c r="EI27253"/>
      <c r="EJ27253"/>
      <c r="EK27253"/>
    </row>
    <row r="27254" spans="1:141" s="116" customFormat="1">
      <c r="A27254" s="136"/>
      <c r="CM27254" s="111"/>
      <c r="CQ27254" s="111"/>
      <c r="EF27254"/>
      <c r="EG27254"/>
      <c r="EH27254"/>
      <c r="EI27254"/>
      <c r="EJ27254"/>
      <c r="EK27254"/>
    </row>
    <row r="27255" spans="1:141" s="116" customFormat="1">
      <c r="A27255" s="136"/>
      <c r="CM27255" s="111"/>
      <c r="CQ27255" s="111"/>
      <c r="EF27255"/>
      <c r="EG27255"/>
      <c r="EH27255"/>
      <c r="EI27255"/>
      <c r="EJ27255"/>
      <c r="EK27255"/>
    </row>
    <row r="27256" spans="1:141" s="116" customFormat="1">
      <c r="A27256" s="136"/>
      <c r="CM27256" s="111"/>
      <c r="CQ27256" s="111"/>
      <c r="EF27256"/>
      <c r="EG27256"/>
      <c r="EH27256"/>
      <c r="EI27256"/>
      <c r="EJ27256"/>
      <c r="EK27256"/>
    </row>
    <row r="27257" spans="1:141" s="116" customFormat="1">
      <c r="A27257" s="136"/>
      <c r="CM27257" s="111"/>
      <c r="CQ27257" s="111"/>
      <c r="EF27257"/>
      <c r="EG27257"/>
      <c r="EH27257"/>
      <c r="EI27257"/>
      <c r="EJ27257"/>
      <c r="EK27257"/>
    </row>
    <row r="27258" spans="1:141" s="116" customFormat="1">
      <c r="A27258" s="136"/>
      <c r="CM27258" s="111"/>
      <c r="CQ27258" s="111"/>
      <c r="EF27258"/>
      <c r="EG27258"/>
      <c r="EH27258"/>
      <c r="EI27258"/>
      <c r="EJ27258"/>
      <c r="EK27258"/>
    </row>
    <row r="27259" spans="1:141" s="116" customFormat="1">
      <c r="A27259" s="136"/>
      <c r="CM27259" s="111"/>
      <c r="CQ27259" s="111"/>
      <c r="EF27259"/>
      <c r="EG27259"/>
      <c r="EH27259"/>
      <c r="EI27259"/>
      <c r="EJ27259"/>
      <c r="EK27259"/>
    </row>
    <row r="27260" spans="1:141" s="116" customFormat="1">
      <c r="A27260" s="136"/>
      <c r="CM27260" s="111"/>
      <c r="CQ27260" s="111"/>
      <c r="EF27260"/>
      <c r="EG27260"/>
      <c r="EH27260"/>
      <c r="EI27260"/>
      <c r="EJ27260"/>
      <c r="EK27260"/>
    </row>
    <row r="27261" spans="1:141" s="116" customFormat="1">
      <c r="A27261" s="136"/>
      <c r="CM27261" s="111"/>
      <c r="CQ27261" s="111"/>
      <c r="EF27261"/>
      <c r="EG27261"/>
      <c r="EH27261"/>
      <c r="EI27261"/>
      <c r="EJ27261"/>
      <c r="EK27261"/>
    </row>
    <row r="27262" spans="1:141" s="116" customFormat="1">
      <c r="A27262" s="136"/>
      <c r="CM27262" s="111"/>
      <c r="CQ27262" s="111"/>
      <c r="EF27262"/>
      <c r="EG27262"/>
      <c r="EH27262"/>
      <c r="EI27262"/>
      <c r="EJ27262"/>
      <c r="EK27262"/>
    </row>
    <row r="27263" spans="1:141" s="116" customFormat="1">
      <c r="A27263" s="136"/>
      <c r="CM27263" s="111"/>
      <c r="CQ27263" s="111"/>
      <c r="EF27263"/>
      <c r="EG27263"/>
      <c r="EH27263"/>
      <c r="EI27263"/>
      <c r="EJ27263"/>
      <c r="EK27263"/>
    </row>
    <row r="27264" spans="1:141" s="116" customFormat="1">
      <c r="A27264" s="136"/>
      <c r="CM27264" s="111"/>
      <c r="CQ27264" s="111"/>
      <c r="EF27264"/>
      <c r="EG27264"/>
      <c r="EH27264"/>
      <c r="EI27264"/>
      <c r="EJ27264"/>
      <c r="EK27264"/>
    </row>
    <row r="27265" spans="1:141" s="116" customFormat="1">
      <c r="A27265" s="136"/>
      <c r="CM27265" s="111"/>
      <c r="CQ27265" s="111"/>
      <c r="EF27265"/>
      <c r="EG27265"/>
      <c r="EH27265"/>
      <c r="EI27265"/>
      <c r="EJ27265"/>
      <c r="EK27265"/>
    </row>
    <row r="27266" spans="1:141" s="116" customFormat="1">
      <c r="A27266" s="136"/>
      <c r="CM27266" s="111"/>
      <c r="CQ27266" s="111"/>
      <c r="EF27266"/>
      <c r="EG27266"/>
      <c r="EH27266"/>
      <c r="EI27266"/>
      <c r="EJ27266"/>
      <c r="EK27266"/>
    </row>
    <row r="27267" spans="1:141" s="116" customFormat="1">
      <c r="A27267" s="136"/>
      <c r="CM27267" s="111"/>
      <c r="CQ27267" s="111"/>
      <c r="EF27267"/>
      <c r="EG27267"/>
      <c r="EH27267"/>
      <c r="EI27267"/>
      <c r="EJ27267"/>
      <c r="EK27267"/>
    </row>
    <row r="27268" spans="1:141" s="116" customFormat="1">
      <c r="A27268" s="136"/>
      <c r="CM27268" s="111"/>
      <c r="CQ27268" s="111"/>
      <c r="EF27268"/>
      <c r="EG27268"/>
      <c r="EH27268"/>
      <c r="EI27268"/>
      <c r="EJ27268"/>
      <c r="EK27268"/>
    </row>
    <row r="27269" spans="1:141" s="116" customFormat="1">
      <c r="A27269" s="136"/>
      <c r="CM27269" s="111"/>
      <c r="CQ27269" s="111"/>
      <c r="EF27269"/>
      <c r="EG27269"/>
      <c r="EH27269"/>
      <c r="EI27269"/>
      <c r="EJ27269"/>
      <c r="EK27269"/>
    </row>
    <row r="27270" spans="1:141" s="116" customFormat="1">
      <c r="A27270" s="136"/>
      <c r="CM27270" s="111"/>
      <c r="CQ27270" s="111"/>
      <c r="EF27270"/>
      <c r="EG27270"/>
      <c r="EH27270"/>
      <c r="EI27270"/>
      <c r="EJ27270"/>
      <c r="EK27270"/>
    </row>
    <row r="27271" spans="1:141" s="116" customFormat="1">
      <c r="A27271" s="136"/>
      <c r="CM27271" s="111"/>
      <c r="CQ27271" s="111"/>
      <c r="EF27271"/>
      <c r="EG27271"/>
      <c r="EH27271"/>
      <c r="EI27271"/>
      <c r="EJ27271"/>
      <c r="EK27271"/>
    </row>
    <row r="27272" spans="1:141" s="116" customFormat="1">
      <c r="A27272" s="136"/>
      <c r="CM27272" s="111"/>
      <c r="CQ27272" s="111"/>
      <c r="EF27272"/>
      <c r="EG27272"/>
      <c r="EH27272"/>
      <c r="EI27272"/>
      <c r="EJ27272"/>
      <c r="EK27272"/>
    </row>
    <row r="27273" spans="1:141" s="116" customFormat="1">
      <c r="A27273" s="136"/>
      <c r="CM27273" s="111"/>
      <c r="CQ27273" s="111"/>
      <c r="EF27273"/>
      <c r="EG27273"/>
      <c r="EH27273"/>
      <c r="EI27273"/>
      <c r="EJ27273"/>
      <c r="EK27273"/>
    </row>
    <row r="27274" spans="1:141" s="116" customFormat="1">
      <c r="A27274" s="136"/>
      <c r="CM27274" s="111"/>
      <c r="CQ27274" s="111"/>
      <c r="EF27274"/>
      <c r="EG27274"/>
      <c r="EH27274"/>
      <c r="EI27274"/>
      <c r="EJ27274"/>
      <c r="EK27274"/>
    </row>
    <row r="27275" spans="1:141" s="116" customFormat="1">
      <c r="A27275" s="136"/>
      <c r="CM27275" s="111"/>
      <c r="CQ27275" s="111"/>
      <c r="EF27275"/>
      <c r="EG27275"/>
      <c r="EH27275"/>
      <c r="EI27275"/>
      <c r="EJ27275"/>
      <c r="EK27275"/>
    </row>
    <row r="27276" spans="1:141" s="116" customFormat="1">
      <c r="A27276" s="136"/>
      <c r="CM27276" s="111"/>
      <c r="CQ27276" s="111"/>
      <c r="EF27276"/>
      <c r="EG27276"/>
      <c r="EH27276"/>
      <c r="EI27276"/>
      <c r="EJ27276"/>
      <c r="EK27276"/>
    </row>
    <row r="27277" spans="1:141" s="116" customFormat="1">
      <c r="A27277" s="136"/>
      <c r="CM27277" s="111"/>
      <c r="CQ27277" s="111"/>
      <c r="EF27277"/>
      <c r="EG27277"/>
      <c r="EH27277"/>
      <c r="EI27277"/>
      <c r="EJ27277"/>
      <c r="EK27277"/>
    </row>
    <row r="27278" spans="1:141" s="116" customFormat="1">
      <c r="A27278" s="136"/>
      <c r="CM27278" s="111"/>
      <c r="CQ27278" s="111"/>
      <c r="EF27278"/>
      <c r="EG27278"/>
      <c r="EH27278"/>
      <c r="EI27278"/>
      <c r="EJ27278"/>
      <c r="EK27278"/>
    </row>
    <row r="27279" spans="1:141" s="116" customFormat="1">
      <c r="A27279" s="136"/>
      <c r="CM27279" s="111"/>
      <c r="CQ27279" s="111"/>
      <c r="EF27279"/>
      <c r="EG27279"/>
      <c r="EH27279"/>
      <c r="EI27279"/>
      <c r="EJ27279"/>
      <c r="EK27279"/>
    </row>
    <row r="27280" spans="1:141" s="116" customFormat="1">
      <c r="A27280" s="136"/>
      <c r="CM27280" s="111"/>
      <c r="CQ27280" s="111"/>
      <c r="EF27280"/>
      <c r="EG27280"/>
      <c r="EH27280"/>
      <c r="EI27280"/>
      <c r="EJ27280"/>
      <c r="EK27280"/>
    </row>
    <row r="27281" spans="1:141" s="116" customFormat="1">
      <c r="A27281" s="136"/>
      <c r="CM27281" s="111"/>
      <c r="CQ27281" s="111"/>
      <c r="EF27281"/>
      <c r="EG27281"/>
      <c r="EH27281"/>
      <c r="EI27281"/>
      <c r="EJ27281"/>
      <c r="EK27281"/>
    </row>
    <row r="27282" spans="1:141" s="116" customFormat="1">
      <c r="A27282" s="136"/>
      <c r="CM27282" s="111"/>
      <c r="CQ27282" s="111"/>
      <c r="EF27282"/>
      <c r="EG27282"/>
      <c r="EH27282"/>
      <c r="EI27282"/>
      <c r="EJ27282"/>
      <c r="EK27282"/>
    </row>
    <row r="27283" spans="1:141" s="116" customFormat="1">
      <c r="A27283" s="136"/>
      <c r="CM27283" s="111"/>
      <c r="CQ27283" s="111"/>
      <c r="EF27283"/>
      <c r="EG27283"/>
      <c r="EH27283"/>
      <c r="EI27283"/>
      <c r="EJ27283"/>
      <c r="EK27283"/>
    </row>
    <row r="27284" spans="1:141" s="116" customFormat="1">
      <c r="A27284" s="136"/>
      <c r="CM27284" s="111"/>
      <c r="CQ27284" s="111"/>
      <c r="EF27284"/>
      <c r="EG27284"/>
      <c r="EH27284"/>
      <c r="EI27284"/>
      <c r="EJ27284"/>
      <c r="EK27284"/>
    </row>
    <row r="27285" spans="1:141" s="116" customFormat="1">
      <c r="A27285" s="136"/>
      <c r="CM27285" s="111"/>
      <c r="CQ27285" s="111"/>
      <c r="EF27285"/>
      <c r="EG27285"/>
      <c r="EH27285"/>
      <c r="EI27285"/>
      <c r="EJ27285"/>
      <c r="EK27285"/>
    </row>
    <row r="27286" spans="1:141" s="116" customFormat="1">
      <c r="A27286" s="136"/>
      <c r="CM27286" s="111"/>
      <c r="CQ27286" s="111"/>
      <c r="EF27286"/>
      <c r="EG27286"/>
      <c r="EH27286"/>
      <c r="EI27286"/>
      <c r="EJ27286"/>
      <c r="EK27286"/>
    </row>
    <row r="27287" spans="1:141" s="116" customFormat="1">
      <c r="A27287" s="136"/>
      <c r="CM27287" s="111"/>
      <c r="CQ27287" s="111"/>
      <c r="EF27287"/>
      <c r="EG27287"/>
      <c r="EH27287"/>
      <c r="EI27287"/>
      <c r="EJ27287"/>
      <c r="EK27287"/>
    </row>
    <row r="27288" spans="1:141" s="116" customFormat="1">
      <c r="A27288" s="136"/>
      <c r="CM27288" s="111"/>
      <c r="CQ27288" s="111"/>
      <c r="EF27288"/>
      <c r="EG27288"/>
      <c r="EH27288"/>
      <c r="EI27288"/>
      <c r="EJ27288"/>
      <c r="EK27288"/>
    </row>
    <row r="27289" spans="1:141" s="116" customFormat="1">
      <c r="A27289" s="136"/>
      <c r="CM27289" s="111"/>
      <c r="CQ27289" s="111"/>
      <c r="EF27289"/>
      <c r="EG27289"/>
      <c r="EH27289"/>
      <c r="EI27289"/>
      <c r="EJ27289"/>
      <c r="EK27289"/>
    </row>
    <row r="27290" spans="1:141" s="116" customFormat="1">
      <c r="A27290" s="136"/>
      <c r="CM27290" s="111"/>
      <c r="CQ27290" s="111"/>
      <c r="EF27290"/>
      <c r="EG27290"/>
      <c r="EH27290"/>
      <c r="EI27290"/>
      <c r="EJ27290"/>
      <c r="EK27290"/>
    </row>
    <row r="27291" spans="1:141" s="116" customFormat="1">
      <c r="A27291" s="136"/>
      <c r="CM27291" s="111"/>
      <c r="CQ27291" s="111"/>
      <c r="EF27291"/>
      <c r="EG27291"/>
      <c r="EH27291"/>
      <c r="EI27291"/>
      <c r="EJ27291"/>
      <c r="EK27291"/>
    </row>
    <row r="27292" spans="1:141" s="116" customFormat="1">
      <c r="A27292" s="136"/>
      <c r="CM27292" s="111"/>
      <c r="CQ27292" s="111"/>
      <c r="EF27292"/>
      <c r="EG27292"/>
      <c r="EH27292"/>
      <c r="EI27292"/>
      <c r="EJ27292"/>
      <c r="EK27292"/>
    </row>
    <row r="27293" spans="1:141" s="116" customFormat="1">
      <c r="A27293" s="136"/>
      <c r="CM27293" s="111"/>
      <c r="CQ27293" s="111"/>
      <c r="EF27293"/>
      <c r="EG27293"/>
      <c r="EH27293"/>
      <c r="EI27293"/>
      <c r="EJ27293"/>
      <c r="EK27293"/>
    </row>
    <row r="27294" spans="1:141" s="116" customFormat="1">
      <c r="A27294" s="136"/>
      <c r="CM27294" s="111"/>
      <c r="CQ27294" s="111"/>
      <c r="EF27294"/>
      <c r="EG27294"/>
      <c r="EH27294"/>
      <c r="EI27294"/>
      <c r="EJ27294"/>
      <c r="EK27294"/>
    </row>
    <row r="27295" spans="1:141" s="116" customFormat="1">
      <c r="A27295" s="136"/>
      <c r="CM27295" s="111"/>
      <c r="CQ27295" s="111"/>
      <c r="EF27295"/>
      <c r="EG27295"/>
      <c r="EH27295"/>
      <c r="EI27295"/>
      <c r="EJ27295"/>
      <c r="EK27295"/>
    </row>
    <row r="27296" spans="1:141" s="116" customFormat="1">
      <c r="A27296" s="136"/>
      <c r="CM27296" s="111"/>
      <c r="CQ27296" s="111"/>
      <c r="EF27296"/>
      <c r="EG27296"/>
      <c r="EH27296"/>
      <c r="EI27296"/>
      <c r="EJ27296"/>
      <c r="EK27296"/>
    </row>
    <row r="27297" spans="1:141" s="116" customFormat="1">
      <c r="A27297" s="136"/>
      <c r="CM27297" s="111"/>
      <c r="CQ27297" s="111"/>
      <c r="EF27297"/>
      <c r="EG27297"/>
      <c r="EH27297"/>
      <c r="EI27297"/>
      <c r="EJ27297"/>
      <c r="EK27297"/>
    </row>
    <row r="27298" spans="1:141" s="116" customFormat="1">
      <c r="A27298" s="136"/>
      <c r="CM27298" s="111"/>
      <c r="CQ27298" s="111"/>
      <c r="EF27298"/>
      <c r="EG27298"/>
      <c r="EH27298"/>
      <c r="EI27298"/>
      <c r="EJ27298"/>
      <c r="EK27298"/>
    </row>
    <row r="27299" spans="1:141" s="116" customFormat="1">
      <c r="A27299" s="136"/>
      <c r="CM27299" s="111"/>
      <c r="CQ27299" s="111"/>
      <c r="EF27299"/>
      <c r="EG27299"/>
      <c r="EH27299"/>
      <c r="EI27299"/>
      <c r="EJ27299"/>
      <c r="EK27299"/>
    </row>
    <row r="27300" spans="1:141" s="116" customFormat="1">
      <c r="A27300" s="136"/>
      <c r="CM27300" s="111"/>
      <c r="CQ27300" s="111"/>
      <c r="EF27300"/>
      <c r="EG27300"/>
      <c r="EH27300"/>
      <c r="EI27300"/>
      <c r="EJ27300"/>
      <c r="EK27300"/>
    </row>
    <row r="27301" spans="1:141" s="116" customFormat="1">
      <c r="A27301" s="136"/>
      <c r="CM27301" s="111"/>
      <c r="CQ27301" s="111"/>
      <c r="EF27301"/>
      <c r="EG27301"/>
      <c r="EH27301"/>
      <c r="EI27301"/>
      <c r="EJ27301"/>
      <c r="EK27301"/>
    </row>
    <row r="27302" spans="1:141" s="116" customFormat="1">
      <c r="A27302" s="136"/>
      <c r="CM27302" s="111"/>
      <c r="CQ27302" s="111"/>
      <c r="EF27302"/>
      <c r="EG27302"/>
      <c r="EH27302"/>
      <c r="EI27302"/>
      <c r="EJ27302"/>
      <c r="EK27302"/>
    </row>
    <row r="27303" spans="1:141" s="116" customFormat="1">
      <c r="A27303" s="136"/>
      <c r="CM27303" s="111"/>
      <c r="CQ27303" s="111"/>
      <c r="EF27303"/>
      <c r="EG27303"/>
      <c r="EH27303"/>
      <c r="EI27303"/>
      <c r="EJ27303"/>
      <c r="EK27303"/>
    </row>
    <row r="27304" spans="1:141" s="116" customFormat="1">
      <c r="A27304" s="136"/>
      <c r="CM27304" s="111"/>
      <c r="CQ27304" s="111"/>
      <c r="EF27304"/>
      <c r="EG27304"/>
      <c r="EH27304"/>
      <c r="EI27304"/>
      <c r="EJ27304"/>
      <c r="EK27304"/>
    </row>
    <row r="27305" spans="1:141" s="116" customFormat="1">
      <c r="A27305" s="136"/>
      <c r="CM27305" s="111"/>
      <c r="CQ27305" s="111"/>
      <c r="EF27305"/>
      <c r="EG27305"/>
      <c r="EH27305"/>
      <c r="EI27305"/>
      <c r="EJ27305"/>
      <c r="EK27305"/>
    </row>
    <row r="27306" spans="1:141" s="116" customFormat="1">
      <c r="A27306" s="136"/>
      <c r="CM27306" s="111"/>
      <c r="CQ27306" s="111"/>
      <c r="EF27306"/>
      <c r="EG27306"/>
      <c r="EH27306"/>
      <c r="EI27306"/>
      <c r="EJ27306"/>
      <c r="EK27306"/>
    </row>
    <row r="27307" spans="1:141" s="116" customFormat="1">
      <c r="A27307" s="136"/>
      <c r="CM27307" s="111"/>
      <c r="CQ27307" s="111"/>
      <c r="EF27307"/>
      <c r="EG27307"/>
      <c r="EH27307"/>
      <c r="EI27307"/>
      <c r="EJ27307"/>
      <c r="EK27307"/>
    </row>
    <row r="27308" spans="1:141" s="116" customFormat="1">
      <c r="A27308" s="136"/>
      <c r="CM27308" s="111"/>
      <c r="CQ27308" s="111"/>
      <c r="EF27308"/>
      <c r="EG27308"/>
      <c r="EH27308"/>
      <c r="EI27308"/>
      <c r="EJ27308"/>
      <c r="EK27308"/>
    </row>
    <row r="27309" spans="1:141" s="116" customFormat="1">
      <c r="A27309" s="136"/>
      <c r="CM27309" s="111"/>
      <c r="CQ27309" s="111"/>
      <c r="EF27309"/>
      <c r="EG27309"/>
      <c r="EH27309"/>
      <c r="EI27309"/>
      <c r="EJ27309"/>
      <c r="EK27309"/>
    </row>
    <row r="27310" spans="1:141" s="116" customFormat="1">
      <c r="A27310" s="136"/>
      <c r="CM27310" s="111"/>
      <c r="CQ27310" s="111"/>
      <c r="EF27310"/>
      <c r="EG27310"/>
      <c r="EH27310"/>
      <c r="EI27310"/>
      <c r="EJ27310"/>
      <c r="EK27310"/>
    </row>
    <row r="27311" spans="1:141" s="116" customFormat="1">
      <c r="A27311" s="136"/>
      <c r="CM27311" s="111"/>
      <c r="CQ27311" s="111"/>
      <c r="EF27311"/>
      <c r="EG27311"/>
      <c r="EH27311"/>
      <c r="EI27311"/>
      <c r="EJ27311"/>
      <c r="EK27311"/>
    </row>
    <row r="27312" spans="1:141" s="116" customFormat="1">
      <c r="A27312" s="136"/>
      <c r="CM27312" s="111"/>
      <c r="CQ27312" s="111"/>
      <c r="EF27312"/>
      <c r="EG27312"/>
      <c r="EH27312"/>
      <c r="EI27312"/>
      <c r="EJ27312"/>
      <c r="EK27312"/>
    </row>
    <row r="27313" spans="1:141" s="116" customFormat="1">
      <c r="A27313" s="136"/>
      <c r="CM27313" s="111"/>
      <c r="CQ27313" s="111"/>
      <c r="EF27313"/>
      <c r="EG27313"/>
      <c r="EH27313"/>
      <c r="EI27313"/>
      <c r="EJ27313"/>
      <c r="EK27313"/>
    </row>
    <row r="27314" spans="1:141" s="116" customFormat="1">
      <c r="A27314" s="136"/>
      <c r="CM27314" s="111"/>
      <c r="CQ27314" s="111"/>
      <c r="EF27314"/>
      <c r="EG27314"/>
      <c r="EH27314"/>
      <c r="EI27314"/>
      <c r="EJ27314"/>
      <c r="EK27314"/>
    </row>
    <row r="27315" spans="1:141" s="116" customFormat="1">
      <c r="A27315" s="136"/>
      <c r="CM27315" s="111"/>
      <c r="CQ27315" s="111"/>
      <c r="EF27315"/>
      <c r="EG27315"/>
      <c r="EH27315"/>
      <c r="EI27315"/>
      <c r="EJ27315"/>
      <c r="EK27315"/>
    </row>
    <row r="27316" spans="1:141" s="116" customFormat="1">
      <c r="A27316" s="136"/>
      <c r="CM27316" s="111"/>
      <c r="CQ27316" s="111"/>
      <c r="EF27316"/>
      <c r="EG27316"/>
      <c r="EH27316"/>
      <c r="EI27316"/>
      <c r="EJ27316"/>
      <c r="EK27316"/>
    </row>
    <row r="27317" spans="1:141" s="116" customFormat="1">
      <c r="A27317" s="136"/>
      <c r="CM27317" s="111"/>
      <c r="CQ27317" s="111"/>
      <c r="EF27317"/>
      <c r="EG27317"/>
      <c r="EH27317"/>
      <c r="EI27317"/>
      <c r="EJ27317"/>
      <c r="EK27317"/>
    </row>
    <row r="27318" spans="1:141" s="116" customFormat="1">
      <c r="A27318" s="136"/>
      <c r="CM27318" s="111"/>
      <c r="CQ27318" s="111"/>
      <c r="EF27318"/>
      <c r="EG27318"/>
      <c r="EH27318"/>
      <c r="EI27318"/>
      <c r="EJ27318"/>
      <c r="EK27318"/>
    </row>
    <row r="27319" spans="1:141" s="116" customFormat="1">
      <c r="A27319" s="136"/>
      <c r="CM27319" s="111"/>
      <c r="CQ27319" s="111"/>
      <c r="EF27319"/>
      <c r="EG27319"/>
      <c r="EH27319"/>
      <c r="EI27319"/>
      <c r="EJ27319"/>
      <c r="EK27319"/>
    </row>
    <row r="27320" spans="1:141" s="116" customFormat="1">
      <c r="A27320" s="136"/>
      <c r="CM27320" s="111"/>
      <c r="CQ27320" s="111"/>
      <c r="EF27320"/>
      <c r="EG27320"/>
      <c r="EH27320"/>
      <c r="EI27320"/>
      <c r="EJ27320"/>
      <c r="EK27320"/>
    </row>
    <row r="27321" spans="1:141" s="116" customFormat="1">
      <c r="A27321" s="136"/>
      <c r="CM27321" s="111"/>
      <c r="CQ27321" s="111"/>
      <c r="EF27321"/>
      <c r="EG27321"/>
      <c r="EH27321"/>
      <c r="EI27321"/>
      <c r="EJ27321"/>
      <c r="EK27321"/>
    </row>
    <row r="27322" spans="1:141" s="116" customFormat="1">
      <c r="A27322" s="136"/>
      <c r="CM27322" s="111"/>
      <c r="CQ27322" s="111"/>
      <c r="EF27322"/>
      <c r="EG27322"/>
      <c r="EH27322"/>
      <c r="EI27322"/>
      <c r="EJ27322"/>
      <c r="EK27322"/>
    </row>
    <row r="27323" spans="1:141" s="116" customFormat="1">
      <c r="A27323" s="136"/>
      <c r="CM27323" s="111"/>
      <c r="CQ27323" s="111"/>
      <c r="EF27323"/>
      <c r="EG27323"/>
      <c r="EH27323"/>
      <c r="EI27323"/>
      <c r="EJ27323"/>
      <c r="EK27323"/>
    </row>
    <row r="27324" spans="1:141" s="116" customFormat="1">
      <c r="A27324" s="136"/>
      <c r="CM27324" s="111"/>
      <c r="CQ27324" s="111"/>
      <c r="EF27324"/>
      <c r="EG27324"/>
      <c r="EH27324"/>
      <c r="EI27324"/>
      <c r="EJ27324"/>
      <c r="EK27324"/>
    </row>
    <row r="27325" spans="1:141" s="116" customFormat="1">
      <c r="A27325" s="136"/>
      <c r="CM27325" s="111"/>
      <c r="CQ27325" s="111"/>
      <c r="EF27325"/>
      <c r="EG27325"/>
      <c r="EH27325"/>
      <c r="EI27325"/>
      <c r="EJ27325"/>
      <c r="EK27325"/>
    </row>
    <row r="27326" spans="1:141" s="116" customFormat="1">
      <c r="A27326" s="136"/>
      <c r="CM27326" s="111"/>
      <c r="CQ27326" s="111"/>
      <c r="EF27326"/>
      <c r="EG27326"/>
      <c r="EH27326"/>
      <c r="EI27326"/>
      <c r="EJ27326"/>
      <c r="EK27326"/>
    </row>
    <row r="27327" spans="1:141" s="116" customFormat="1">
      <c r="A27327" s="136"/>
      <c r="CM27327" s="111"/>
      <c r="CQ27327" s="111"/>
      <c r="EF27327"/>
      <c r="EG27327"/>
      <c r="EH27327"/>
      <c r="EI27327"/>
      <c r="EJ27327"/>
      <c r="EK27327"/>
    </row>
    <row r="27328" spans="1:141" s="116" customFormat="1">
      <c r="A27328" s="136"/>
      <c r="CM27328" s="111"/>
      <c r="CQ27328" s="111"/>
      <c r="EF27328"/>
      <c r="EG27328"/>
      <c r="EH27328"/>
      <c r="EI27328"/>
      <c r="EJ27328"/>
      <c r="EK27328"/>
    </row>
    <row r="27329" spans="1:141" s="116" customFormat="1">
      <c r="A27329" s="136"/>
      <c r="CM27329" s="111"/>
      <c r="CQ27329" s="111"/>
      <c r="EF27329"/>
      <c r="EG27329"/>
      <c r="EH27329"/>
      <c r="EI27329"/>
      <c r="EJ27329"/>
      <c r="EK27329"/>
    </row>
    <row r="27330" spans="1:141" s="116" customFormat="1">
      <c r="A27330" s="136"/>
      <c r="CM27330" s="111"/>
      <c r="CQ27330" s="111"/>
      <c r="EF27330"/>
      <c r="EG27330"/>
      <c r="EH27330"/>
      <c r="EI27330"/>
      <c r="EJ27330"/>
      <c r="EK27330"/>
    </row>
    <row r="27331" spans="1:141" s="116" customFormat="1">
      <c r="A27331" s="136"/>
      <c r="CM27331" s="111"/>
      <c r="CQ27331" s="111"/>
      <c r="EF27331"/>
      <c r="EG27331"/>
      <c r="EH27331"/>
      <c r="EI27331"/>
      <c r="EJ27331"/>
      <c r="EK27331"/>
    </row>
    <row r="27332" spans="1:141" s="116" customFormat="1">
      <c r="A27332" s="136"/>
      <c r="CM27332" s="111"/>
      <c r="CQ27332" s="111"/>
      <c r="EF27332"/>
      <c r="EG27332"/>
      <c r="EH27332"/>
      <c r="EI27332"/>
      <c r="EJ27332"/>
      <c r="EK27332"/>
    </row>
    <row r="27333" spans="1:141" s="116" customFormat="1">
      <c r="A27333" s="136"/>
      <c r="CM27333" s="111"/>
      <c r="CQ27333" s="111"/>
      <c r="EF27333"/>
      <c r="EG27333"/>
      <c r="EH27333"/>
      <c r="EI27333"/>
      <c r="EJ27333"/>
      <c r="EK27333"/>
    </row>
    <row r="27334" spans="1:141" s="116" customFormat="1">
      <c r="A27334" s="136"/>
      <c r="CM27334" s="111"/>
      <c r="CQ27334" s="111"/>
      <c r="EF27334"/>
      <c r="EG27334"/>
      <c r="EH27334"/>
      <c r="EI27334"/>
      <c r="EJ27334"/>
      <c r="EK27334"/>
    </row>
    <row r="27335" spans="1:141" s="116" customFormat="1">
      <c r="A27335" s="136"/>
      <c r="CM27335" s="111"/>
      <c r="CQ27335" s="111"/>
      <c r="EF27335"/>
      <c r="EG27335"/>
      <c r="EH27335"/>
      <c r="EI27335"/>
      <c r="EJ27335"/>
      <c r="EK27335"/>
    </row>
    <row r="27336" spans="1:141" s="116" customFormat="1">
      <c r="A27336" s="136"/>
      <c r="CM27336" s="111"/>
      <c r="CQ27336" s="111"/>
      <c r="EF27336"/>
      <c r="EG27336"/>
      <c r="EH27336"/>
      <c r="EI27336"/>
      <c r="EJ27336"/>
      <c r="EK27336"/>
    </row>
    <row r="27337" spans="1:141" s="116" customFormat="1">
      <c r="A27337" s="136"/>
      <c r="CM27337" s="111"/>
      <c r="CQ27337" s="111"/>
      <c r="EF27337"/>
      <c r="EG27337"/>
      <c r="EH27337"/>
      <c r="EI27337"/>
      <c r="EJ27337"/>
      <c r="EK27337"/>
    </row>
    <row r="27338" spans="1:141" s="116" customFormat="1">
      <c r="A27338" s="136"/>
      <c r="CM27338" s="111"/>
      <c r="CQ27338" s="111"/>
      <c r="EF27338"/>
      <c r="EG27338"/>
      <c r="EH27338"/>
      <c r="EI27338"/>
      <c r="EJ27338"/>
      <c r="EK27338"/>
    </row>
    <row r="27339" spans="1:141" s="116" customFormat="1">
      <c r="A27339" s="136"/>
      <c r="CM27339" s="111"/>
      <c r="CQ27339" s="111"/>
      <c r="EF27339"/>
      <c r="EG27339"/>
      <c r="EH27339"/>
      <c r="EI27339"/>
      <c r="EJ27339"/>
      <c r="EK27339"/>
    </row>
    <row r="27340" spans="1:141" s="116" customFormat="1">
      <c r="A27340" s="136"/>
      <c r="CM27340" s="111"/>
      <c r="CQ27340" s="111"/>
      <c r="EF27340"/>
      <c r="EG27340"/>
      <c r="EH27340"/>
      <c r="EI27340"/>
      <c r="EJ27340"/>
      <c r="EK27340"/>
    </row>
    <row r="27341" spans="1:141" s="116" customFormat="1">
      <c r="A27341" s="136"/>
      <c r="CM27341" s="111"/>
      <c r="CQ27341" s="111"/>
      <c r="EF27341"/>
      <c r="EG27341"/>
      <c r="EH27341"/>
      <c r="EI27341"/>
      <c r="EJ27341"/>
      <c r="EK27341"/>
    </row>
    <row r="27342" spans="1:141" s="116" customFormat="1">
      <c r="A27342" s="136"/>
      <c r="CM27342" s="111"/>
      <c r="CQ27342" s="111"/>
      <c r="EF27342"/>
      <c r="EG27342"/>
      <c r="EH27342"/>
      <c r="EI27342"/>
      <c r="EJ27342"/>
      <c r="EK27342"/>
    </row>
    <row r="27343" spans="1:141" s="116" customFormat="1">
      <c r="A27343" s="136"/>
      <c r="CM27343" s="111"/>
      <c r="CQ27343" s="111"/>
      <c r="EF27343"/>
      <c r="EG27343"/>
      <c r="EH27343"/>
      <c r="EI27343"/>
      <c r="EJ27343"/>
      <c r="EK27343"/>
    </row>
    <row r="27344" spans="1:141" s="116" customFormat="1">
      <c r="A27344" s="136"/>
      <c r="CM27344" s="111"/>
      <c r="CQ27344" s="111"/>
      <c r="EF27344"/>
      <c r="EG27344"/>
      <c r="EH27344"/>
      <c r="EI27344"/>
      <c r="EJ27344"/>
      <c r="EK27344"/>
    </row>
    <row r="27345" spans="1:141" s="116" customFormat="1">
      <c r="A27345" s="136"/>
      <c r="CM27345" s="111"/>
      <c r="CQ27345" s="111"/>
      <c r="EF27345"/>
      <c r="EG27345"/>
      <c r="EH27345"/>
      <c r="EI27345"/>
      <c r="EJ27345"/>
      <c r="EK27345"/>
    </row>
    <row r="27346" spans="1:141" s="116" customFormat="1">
      <c r="A27346" s="136"/>
      <c r="CM27346" s="111"/>
      <c r="CQ27346" s="111"/>
      <c r="EF27346"/>
      <c r="EG27346"/>
      <c r="EH27346"/>
      <c r="EI27346"/>
      <c r="EJ27346"/>
      <c r="EK27346"/>
    </row>
    <row r="27347" spans="1:141" s="116" customFormat="1">
      <c r="A27347" s="136"/>
      <c r="CM27347" s="111"/>
      <c r="CQ27347" s="111"/>
      <c r="EF27347"/>
      <c r="EG27347"/>
      <c r="EH27347"/>
      <c r="EI27347"/>
      <c r="EJ27347"/>
      <c r="EK27347"/>
    </row>
    <row r="27348" spans="1:141" s="116" customFormat="1">
      <c r="A27348" s="136"/>
      <c r="CM27348" s="111"/>
      <c r="CQ27348" s="111"/>
      <c r="EF27348"/>
      <c r="EG27348"/>
      <c r="EH27348"/>
      <c r="EI27348"/>
      <c r="EJ27348"/>
      <c r="EK27348"/>
    </row>
    <row r="27349" spans="1:141" s="116" customFormat="1">
      <c r="A27349" s="136"/>
      <c r="CM27349" s="111"/>
      <c r="CQ27349" s="111"/>
      <c r="EF27349"/>
      <c r="EG27349"/>
      <c r="EH27349"/>
      <c r="EI27349"/>
      <c r="EJ27349"/>
      <c r="EK27349"/>
    </row>
    <row r="27350" spans="1:141" s="116" customFormat="1">
      <c r="A27350" s="136"/>
      <c r="CM27350" s="111"/>
      <c r="CQ27350" s="111"/>
      <c r="EF27350"/>
      <c r="EG27350"/>
      <c r="EH27350"/>
      <c r="EI27350"/>
      <c r="EJ27350"/>
      <c r="EK27350"/>
    </row>
    <row r="27351" spans="1:141" s="116" customFormat="1">
      <c r="A27351" s="136"/>
      <c r="CM27351" s="111"/>
      <c r="CQ27351" s="111"/>
      <c r="EF27351"/>
      <c r="EG27351"/>
      <c r="EH27351"/>
      <c r="EI27351"/>
      <c r="EJ27351"/>
      <c r="EK27351"/>
    </row>
    <row r="27352" spans="1:141" s="116" customFormat="1">
      <c r="A27352" s="136"/>
      <c r="CM27352" s="111"/>
      <c r="CQ27352" s="111"/>
      <c r="EF27352"/>
      <c r="EG27352"/>
      <c r="EH27352"/>
      <c r="EI27352"/>
      <c r="EJ27352"/>
      <c r="EK27352"/>
    </row>
    <row r="27353" spans="1:141" s="116" customFormat="1">
      <c r="A27353" s="136"/>
      <c r="CM27353" s="111"/>
      <c r="CQ27353" s="111"/>
      <c r="EF27353"/>
      <c r="EG27353"/>
      <c r="EH27353"/>
      <c r="EI27353"/>
      <c r="EJ27353"/>
      <c r="EK27353"/>
    </row>
    <row r="27354" spans="1:141" s="116" customFormat="1">
      <c r="A27354" s="136"/>
      <c r="CM27354" s="111"/>
      <c r="CQ27354" s="111"/>
      <c r="EF27354"/>
      <c r="EG27354"/>
      <c r="EH27354"/>
      <c r="EI27354"/>
      <c r="EJ27354"/>
      <c r="EK27354"/>
    </row>
    <row r="27355" spans="1:141" s="116" customFormat="1">
      <c r="A27355" s="136"/>
      <c r="CM27355" s="111"/>
      <c r="CQ27355" s="111"/>
      <c r="EF27355"/>
      <c r="EG27355"/>
      <c r="EH27355"/>
      <c r="EI27355"/>
      <c r="EJ27355"/>
      <c r="EK27355"/>
    </row>
    <row r="27356" spans="1:141" s="116" customFormat="1">
      <c r="A27356" s="136"/>
      <c r="CM27356" s="111"/>
      <c r="CQ27356" s="111"/>
      <c r="EF27356"/>
      <c r="EG27356"/>
      <c r="EH27356"/>
      <c r="EI27356"/>
      <c r="EJ27356"/>
      <c r="EK27356"/>
    </row>
    <row r="27357" spans="1:141" s="116" customFormat="1">
      <c r="A27357" s="136"/>
      <c r="CM27357" s="111"/>
      <c r="CQ27357" s="111"/>
      <c r="EF27357"/>
      <c r="EG27357"/>
      <c r="EH27357"/>
      <c r="EI27357"/>
      <c r="EJ27357"/>
      <c r="EK27357"/>
    </row>
    <row r="27358" spans="1:141" s="116" customFormat="1">
      <c r="A27358" s="136"/>
      <c r="CM27358" s="111"/>
      <c r="CQ27358" s="111"/>
      <c r="EF27358"/>
      <c r="EG27358"/>
      <c r="EH27358"/>
      <c r="EI27358"/>
      <c r="EJ27358"/>
      <c r="EK27358"/>
    </row>
    <row r="27359" spans="1:141" s="116" customFormat="1">
      <c r="A27359" s="136"/>
      <c r="CM27359" s="111"/>
      <c r="CQ27359" s="111"/>
      <c r="EF27359"/>
      <c r="EG27359"/>
      <c r="EH27359"/>
      <c r="EI27359"/>
      <c r="EJ27359"/>
      <c r="EK27359"/>
    </row>
    <row r="27360" spans="1:141" s="116" customFormat="1">
      <c r="A27360" s="136"/>
      <c r="CM27360" s="111"/>
      <c r="CQ27360" s="111"/>
      <c r="EF27360"/>
      <c r="EG27360"/>
      <c r="EH27360"/>
      <c r="EI27360"/>
      <c r="EJ27360"/>
      <c r="EK27360"/>
    </row>
    <row r="27361" spans="1:141" s="116" customFormat="1">
      <c r="A27361" s="136"/>
      <c r="CM27361" s="111"/>
      <c r="CQ27361" s="111"/>
      <c r="EF27361"/>
      <c r="EG27361"/>
      <c r="EH27361"/>
      <c r="EI27361"/>
      <c r="EJ27361"/>
      <c r="EK27361"/>
    </row>
    <row r="27362" spans="1:141" s="116" customFormat="1">
      <c r="A27362" s="136"/>
      <c r="CM27362" s="111"/>
      <c r="CQ27362" s="111"/>
      <c r="EF27362"/>
      <c r="EG27362"/>
      <c r="EH27362"/>
      <c r="EI27362"/>
      <c r="EJ27362"/>
      <c r="EK27362"/>
    </row>
    <row r="27363" spans="1:141" s="116" customFormat="1">
      <c r="A27363" s="136"/>
      <c r="CM27363" s="111"/>
      <c r="CQ27363" s="111"/>
      <c r="EF27363"/>
      <c r="EG27363"/>
      <c r="EH27363"/>
      <c r="EI27363"/>
      <c r="EJ27363"/>
      <c r="EK27363"/>
    </row>
    <row r="27364" spans="1:141" s="116" customFormat="1">
      <c r="A27364" s="136"/>
      <c r="CM27364" s="111"/>
      <c r="CQ27364" s="111"/>
      <c r="EF27364"/>
      <c r="EG27364"/>
      <c r="EH27364"/>
      <c r="EI27364"/>
      <c r="EJ27364"/>
      <c r="EK27364"/>
    </row>
    <row r="27365" spans="1:141" s="116" customFormat="1">
      <c r="A27365" s="136"/>
      <c r="CM27365" s="111"/>
      <c r="CQ27365" s="111"/>
      <c r="EF27365"/>
      <c r="EG27365"/>
      <c r="EH27365"/>
      <c r="EI27365"/>
      <c r="EJ27365"/>
      <c r="EK27365"/>
    </row>
    <row r="27366" spans="1:141" s="116" customFormat="1">
      <c r="A27366" s="136"/>
      <c r="CM27366" s="111"/>
      <c r="CQ27366" s="111"/>
      <c r="EF27366"/>
      <c r="EG27366"/>
      <c r="EH27366"/>
      <c r="EI27366"/>
      <c r="EJ27366"/>
      <c r="EK27366"/>
    </row>
    <row r="27367" spans="1:141" s="116" customFormat="1">
      <c r="A27367" s="136"/>
      <c r="CM27367" s="111"/>
      <c r="CQ27367" s="111"/>
      <c r="EF27367"/>
      <c r="EG27367"/>
      <c r="EH27367"/>
      <c r="EI27367"/>
      <c r="EJ27367"/>
      <c r="EK27367"/>
    </row>
    <row r="27368" spans="1:141" s="116" customFormat="1">
      <c r="A27368" s="136"/>
      <c r="CM27368" s="111"/>
      <c r="CQ27368" s="111"/>
      <c r="EF27368"/>
      <c r="EG27368"/>
      <c r="EH27368"/>
      <c r="EI27368"/>
      <c r="EJ27368"/>
      <c r="EK27368"/>
    </row>
    <row r="27369" spans="1:141" s="116" customFormat="1">
      <c r="A27369" s="136"/>
      <c r="CM27369" s="111"/>
      <c r="CQ27369" s="111"/>
      <c r="EF27369"/>
      <c r="EG27369"/>
      <c r="EH27369"/>
      <c r="EI27369"/>
      <c r="EJ27369"/>
      <c r="EK27369"/>
    </row>
    <row r="27370" spans="1:141" s="116" customFormat="1">
      <c r="A27370" s="136"/>
      <c r="CM27370" s="111"/>
      <c r="CQ27370" s="111"/>
      <c r="EF27370"/>
      <c r="EG27370"/>
      <c r="EH27370"/>
      <c r="EI27370"/>
      <c r="EJ27370"/>
      <c r="EK27370"/>
    </row>
    <row r="27371" spans="1:141" s="116" customFormat="1">
      <c r="A27371" s="136"/>
      <c r="CM27371" s="111"/>
      <c r="CQ27371" s="111"/>
      <c r="EF27371"/>
      <c r="EG27371"/>
      <c r="EH27371"/>
      <c r="EI27371"/>
      <c r="EJ27371"/>
      <c r="EK27371"/>
    </row>
    <row r="27372" spans="1:141" s="116" customFormat="1">
      <c r="A27372" s="136"/>
      <c r="CM27372" s="111"/>
      <c r="CQ27372" s="111"/>
      <c r="EF27372"/>
      <c r="EG27372"/>
      <c r="EH27372"/>
      <c r="EI27372"/>
      <c r="EJ27372"/>
      <c r="EK27372"/>
    </row>
    <row r="27373" spans="1:141" s="116" customFormat="1">
      <c r="A27373" s="136"/>
      <c r="CM27373" s="111"/>
      <c r="CQ27373" s="111"/>
      <c r="EF27373"/>
      <c r="EG27373"/>
      <c r="EH27373"/>
      <c r="EI27373"/>
      <c r="EJ27373"/>
      <c r="EK27373"/>
    </row>
    <row r="27374" spans="1:141" s="116" customFormat="1">
      <c r="A27374" s="136"/>
      <c r="CM27374" s="111"/>
      <c r="CQ27374" s="111"/>
      <c r="EF27374"/>
      <c r="EG27374"/>
      <c r="EH27374"/>
      <c r="EI27374"/>
      <c r="EJ27374"/>
      <c r="EK27374"/>
    </row>
    <row r="27375" spans="1:141" s="116" customFormat="1">
      <c r="A27375" s="136"/>
      <c r="CM27375" s="111"/>
      <c r="CQ27375" s="111"/>
      <c r="EF27375"/>
      <c r="EG27375"/>
      <c r="EH27375"/>
      <c r="EI27375"/>
      <c r="EJ27375"/>
      <c r="EK27375"/>
    </row>
    <row r="27376" spans="1:141" s="116" customFormat="1">
      <c r="A27376" s="136"/>
      <c r="CM27376" s="111"/>
      <c r="CQ27376" s="111"/>
      <c r="EF27376"/>
      <c r="EG27376"/>
      <c r="EH27376"/>
      <c r="EI27376"/>
      <c r="EJ27376"/>
      <c r="EK27376"/>
    </row>
    <row r="27377" spans="1:141" s="116" customFormat="1">
      <c r="A27377" s="136"/>
      <c r="CM27377" s="111"/>
      <c r="CQ27377" s="111"/>
      <c r="EF27377"/>
      <c r="EG27377"/>
      <c r="EH27377"/>
      <c r="EI27377"/>
      <c r="EJ27377"/>
      <c r="EK27377"/>
    </row>
    <row r="27378" spans="1:141" s="116" customFormat="1">
      <c r="A27378" s="136"/>
      <c r="CM27378" s="111"/>
      <c r="CQ27378" s="111"/>
      <c r="EF27378"/>
      <c r="EG27378"/>
      <c r="EH27378"/>
      <c r="EI27378"/>
      <c r="EJ27378"/>
      <c r="EK27378"/>
    </row>
    <row r="27379" spans="1:141" s="116" customFormat="1">
      <c r="A27379" s="136"/>
      <c r="CM27379" s="111"/>
      <c r="CQ27379" s="111"/>
      <c r="EF27379"/>
      <c r="EG27379"/>
      <c r="EH27379"/>
      <c r="EI27379"/>
      <c r="EJ27379"/>
      <c r="EK27379"/>
    </row>
    <row r="27380" spans="1:141" s="116" customFormat="1">
      <c r="A27380" s="136"/>
      <c r="CM27380" s="111"/>
      <c r="CQ27380" s="111"/>
      <c r="EF27380"/>
      <c r="EG27380"/>
      <c r="EH27380"/>
      <c r="EI27380"/>
      <c r="EJ27380"/>
      <c r="EK27380"/>
    </row>
    <row r="27381" spans="1:141" s="116" customFormat="1">
      <c r="A27381" s="136"/>
      <c r="CM27381" s="111"/>
      <c r="CQ27381" s="111"/>
      <c r="EF27381"/>
      <c r="EG27381"/>
      <c r="EH27381"/>
      <c r="EI27381"/>
      <c r="EJ27381"/>
      <c r="EK27381"/>
    </row>
    <row r="27382" spans="1:141" s="116" customFormat="1">
      <c r="A27382" s="136"/>
      <c r="CM27382" s="111"/>
      <c r="CQ27382" s="111"/>
      <c r="EF27382"/>
      <c r="EG27382"/>
      <c r="EH27382"/>
      <c r="EI27382"/>
      <c r="EJ27382"/>
      <c r="EK27382"/>
    </row>
    <row r="27383" spans="1:141" s="116" customFormat="1">
      <c r="A27383" s="136"/>
      <c r="CM27383" s="111"/>
      <c r="CQ27383" s="111"/>
      <c r="EF27383"/>
      <c r="EG27383"/>
      <c r="EH27383"/>
      <c r="EI27383"/>
      <c r="EJ27383"/>
      <c r="EK27383"/>
    </row>
    <row r="27384" spans="1:141" s="116" customFormat="1">
      <c r="A27384" s="136"/>
      <c r="CM27384" s="111"/>
      <c r="CQ27384" s="111"/>
      <c r="EF27384"/>
      <c r="EG27384"/>
      <c r="EH27384"/>
      <c r="EI27384"/>
      <c r="EJ27384"/>
      <c r="EK27384"/>
    </row>
    <row r="27385" spans="1:141" s="116" customFormat="1">
      <c r="A27385" s="136"/>
      <c r="CM27385" s="111"/>
      <c r="CQ27385" s="111"/>
      <c r="EF27385"/>
      <c r="EG27385"/>
      <c r="EH27385"/>
      <c r="EI27385"/>
      <c r="EJ27385"/>
      <c r="EK27385"/>
    </row>
    <row r="27386" spans="1:141" s="116" customFormat="1">
      <c r="A27386" s="136"/>
      <c r="CM27386" s="111"/>
      <c r="CQ27386" s="111"/>
      <c r="EF27386"/>
      <c r="EG27386"/>
      <c r="EH27386"/>
      <c r="EI27386"/>
      <c r="EJ27386"/>
      <c r="EK27386"/>
    </row>
    <row r="27387" spans="1:141" s="116" customFormat="1">
      <c r="A27387" s="136"/>
      <c r="CM27387" s="111"/>
      <c r="CQ27387" s="111"/>
      <c r="EF27387"/>
      <c r="EG27387"/>
      <c r="EH27387"/>
      <c r="EI27387"/>
      <c r="EJ27387"/>
      <c r="EK27387"/>
    </row>
    <row r="27388" spans="1:141" s="116" customFormat="1">
      <c r="A27388" s="136"/>
      <c r="CM27388" s="111"/>
      <c r="CQ27388" s="111"/>
      <c r="EF27388"/>
      <c r="EG27388"/>
      <c r="EH27388"/>
      <c r="EI27388"/>
      <c r="EJ27388"/>
      <c r="EK27388"/>
    </row>
    <row r="27389" spans="1:141" s="116" customFormat="1">
      <c r="A27389" s="136"/>
      <c r="CM27389" s="111"/>
      <c r="CQ27389" s="111"/>
      <c r="EF27389"/>
      <c r="EG27389"/>
      <c r="EH27389"/>
      <c r="EI27389"/>
      <c r="EJ27389"/>
      <c r="EK27389"/>
    </row>
    <row r="27390" spans="1:141" s="116" customFormat="1">
      <c r="A27390" s="136"/>
      <c r="CM27390" s="111"/>
      <c r="CQ27390" s="111"/>
      <c r="EF27390"/>
      <c r="EG27390"/>
      <c r="EH27390"/>
      <c r="EI27390"/>
      <c r="EJ27390"/>
      <c r="EK27390"/>
    </row>
    <row r="27391" spans="1:141" s="116" customFormat="1">
      <c r="A27391" s="136"/>
      <c r="CM27391" s="111"/>
      <c r="CQ27391" s="111"/>
      <c r="EF27391"/>
      <c r="EG27391"/>
      <c r="EH27391"/>
      <c r="EI27391"/>
      <c r="EJ27391"/>
      <c r="EK27391"/>
    </row>
    <row r="27392" spans="1:141" s="116" customFormat="1">
      <c r="A27392" s="136"/>
      <c r="CM27392" s="111"/>
      <c r="CQ27392" s="111"/>
      <c r="EF27392"/>
      <c r="EG27392"/>
      <c r="EH27392"/>
      <c r="EI27392"/>
      <c r="EJ27392"/>
      <c r="EK27392"/>
    </row>
    <row r="27393" spans="1:141" s="116" customFormat="1">
      <c r="A27393" s="136"/>
      <c r="CM27393" s="111"/>
      <c r="CQ27393" s="111"/>
      <c r="EF27393"/>
      <c r="EG27393"/>
      <c r="EH27393"/>
      <c r="EI27393"/>
      <c r="EJ27393"/>
      <c r="EK27393"/>
    </row>
    <row r="27394" spans="1:141" s="116" customFormat="1">
      <c r="A27394" s="136"/>
      <c r="CM27394" s="111"/>
      <c r="CQ27394" s="111"/>
      <c r="EF27394"/>
      <c r="EG27394"/>
      <c r="EH27394"/>
      <c r="EI27394"/>
      <c r="EJ27394"/>
      <c r="EK27394"/>
    </row>
    <row r="27395" spans="1:141" s="116" customFormat="1">
      <c r="A27395" s="136"/>
      <c r="CM27395" s="111"/>
      <c r="CQ27395" s="111"/>
      <c r="EF27395"/>
      <c r="EG27395"/>
      <c r="EH27395"/>
      <c r="EI27395"/>
      <c r="EJ27395"/>
      <c r="EK27395"/>
    </row>
    <row r="27396" spans="1:141" s="116" customFormat="1">
      <c r="A27396" s="136"/>
      <c r="CM27396" s="111"/>
      <c r="CQ27396" s="111"/>
      <c r="EF27396"/>
      <c r="EG27396"/>
      <c r="EH27396"/>
      <c r="EI27396"/>
      <c r="EJ27396"/>
      <c r="EK27396"/>
    </row>
    <row r="27397" spans="1:141" s="116" customFormat="1">
      <c r="A27397" s="136"/>
      <c r="CM27397" s="111"/>
      <c r="CQ27397" s="111"/>
      <c r="EF27397"/>
      <c r="EG27397"/>
      <c r="EH27397"/>
      <c r="EI27397"/>
      <c r="EJ27397"/>
      <c r="EK27397"/>
    </row>
    <row r="27398" spans="1:141" s="116" customFormat="1">
      <c r="A27398" s="136"/>
      <c r="CM27398" s="111"/>
      <c r="CQ27398" s="111"/>
      <c r="EF27398"/>
      <c r="EG27398"/>
      <c r="EH27398"/>
      <c r="EI27398"/>
      <c r="EJ27398"/>
      <c r="EK27398"/>
    </row>
    <row r="27399" spans="1:141" s="116" customFormat="1">
      <c r="A27399" s="136"/>
      <c r="CM27399" s="111"/>
      <c r="CQ27399" s="111"/>
      <c r="EF27399"/>
      <c r="EG27399"/>
      <c r="EH27399"/>
      <c r="EI27399"/>
      <c r="EJ27399"/>
      <c r="EK27399"/>
    </row>
    <row r="27400" spans="1:141" s="116" customFormat="1">
      <c r="A27400" s="136"/>
      <c r="CM27400" s="111"/>
      <c r="CQ27400" s="111"/>
      <c r="EF27400"/>
      <c r="EG27400"/>
      <c r="EH27400"/>
      <c r="EI27400"/>
      <c r="EJ27400"/>
      <c r="EK27400"/>
    </row>
    <row r="27401" spans="1:141" s="116" customFormat="1">
      <c r="A27401" s="136"/>
      <c r="CM27401" s="111"/>
      <c r="CQ27401" s="111"/>
      <c r="EF27401"/>
      <c r="EG27401"/>
      <c r="EH27401"/>
      <c r="EI27401"/>
      <c r="EJ27401"/>
      <c r="EK27401"/>
    </row>
    <row r="27402" spans="1:141" s="116" customFormat="1">
      <c r="A27402" s="136"/>
      <c r="CM27402" s="111"/>
      <c r="CQ27402" s="111"/>
      <c r="EF27402"/>
      <c r="EG27402"/>
      <c r="EH27402"/>
      <c r="EI27402"/>
      <c r="EJ27402"/>
      <c r="EK27402"/>
    </row>
    <row r="27403" spans="1:141" s="116" customFormat="1">
      <c r="A27403" s="136"/>
      <c r="CM27403" s="111"/>
      <c r="CQ27403" s="111"/>
      <c r="EF27403"/>
      <c r="EG27403"/>
      <c r="EH27403"/>
      <c r="EI27403"/>
      <c r="EJ27403"/>
      <c r="EK27403"/>
    </row>
    <row r="27404" spans="1:141" s="116" customFormat="1">
      <c r="A27404" s="136"/>
      <c r="CM27404" s="111"/>
      <c r="CQ27404" s="111"/>
      <c r="EF27404"/>
      <c r="EG27404"/>
      <c r="EH27404"/>
      <c r="EI27404"/>
      <c r="EJ27404"/>
      <c r="EK27404"/>
    </row>
    <row r="27405" spans="1:141" s="116" customFormat="1">
      <c r="A27405" s="136"/>
      <c r="CM27405" s="111"/>
      <c r="CQ27405" s="111"/>
      <c r="EF27405"/>
      <c r="EG27405"/>
      <c r="EH27405"/>
      <c r="EI27405"/>
      <c r="EJ27405"/>
      <c r="EK27405"/>
    </row>
    <row r="27406" spans="1:141" s="116" customFormat="1">
      <c r="A27406" s="136"/>
      <c r="CM27406" s="111"/>
      <c r="CQ27406" s="111"/>
      <c r="EF27406"/>
      <c r="EG27406"/>
      <c r="EH27406"/>
      <c r="EI27406"/>
      <c r="EJ27406"/>
      <c r="EK27406"/>
    </row>
    <row r="27407" spans="1:141" s="116" customFormat="1">
      <c r="A27407" s="136"/>
      <c r="CM27407" s="111"/>
      <c r="CQ27407" s="111"/>
      <c r="EF27407"/>
      <c r="EG27407"/>
      <c r="EH27407"/>
      <c r="EI27407"/>
      <c r="EJ27407"/>
      <c r="EK27407"/>
    </row>
    <row r="27408" spans="1:141" s="116" customFormat="1">
      <c r="A27408" s="136"/>
      <c r="CM27408" s="111"/>
      <c r="CQ27408" s="111"/>
      <c r="EF27408"/>
      <c r="EG27408"/>
      <c r="EH27408"/>
      <c r="EI27408"/>
      <c r="EJ27408"/>
      <c r="EK27408"/>
    </row>
    <row r="27409" spans="1:141" s="116" customFormat="1">
      <c r="A27409" s="136"/>
      <c r="CM27409" s="111"/>
      <c r="CQ27409" s="111"/>
      <c r="EF27409"/>
      <c r="EG27409"/>
      <c r="EH27409"/>
      <c r="EI27409"/>
      <c r="EJ27409"/>
      <c r="EK27409"/>
    </row>
    <row r="27410" spans="1:141" s="116" customFormat="1">
      <c r="A27410" s="136"/>
      <c r="CM27410" s="111"/>
      <c r="CQ27410" s="111"/>
      <c r="EF27410"/>
      <c r="EG27410"/>
      <c r="EH27410"/>
      <c r="EI27410"/>
      <c r="EJ27410"/>
      <c r="EK27410"/>
    </row>
    <row r="27411" spans="1:141" s="116" customFormat="1">
      <c r="A27411" s="136"/>
      <c r="CM27411" s="111"/>
      <c r="CQ27411" s="111"/>
      <c r="EF27411"/>
      <c r="EG27411"/>
      <c r="EH27411"/>
      <c r="EI27411"/>
      <c r="EJ27411"/>
      <c r="EK27411"/>
    </row>
    <row r="27412" spans="1:141" s="116" customFormat="1">
      <c r="A27412" s="136"/>
      <c r="CM27412" s="111"/>
      <c r="CQ27412" s="111"/>
      <c r="EF27412"/>
      <c r="EG27412"/>
      <c r="EH27412"/>
      <c r="EI27412"/>
      <c r="EJ27412"/>
      <c r="EK27412"/>
    </row>
    <row r="27413" spans="1:141" s="116" customFormat="1">
      <c r="A27413" s="136"/>
      <c r="CM27413" s="111"/>
      <c r="CQ27413" s="111"/>
      <c r="EF27413"/>
      <c r="EG27413"/>
      <c r="EH27413"/>
      <c r="EI27413"/>
      <c r="EJ27413"/>
      <c r="EK27413"/>
    </row>
    <row r="27414" spans="1:141" s="116" customFormat="1">
      <c r="A27414" s="136"/>
      <c r="CM27414" s="111"/>
      <c r="CQ27414" s="111"/>
      <c r="EF27414"/>
      <c r="EG27414"/>
      <c r="EH27414"/>
      <c r="EI27414"/>
      <c r="EJ27414"/>
      <c r="EK27414"/>
    </row>
    <row r="27415" spans="1:141" s="116" customFormat="1">
      <c r="A27415" s="136"/>
      <c r="CM27415" s="111"/>
      <c r="CQ27415" s="111"/>
      <c r="EF27415"/>
      <c r="EG27415"/>
      <c r="EH27415"/>
      <c r="EI27415"/>
      <c r="EJ27415"/>
      <c r="EK27415"/>
    </row>
    <row r="27416" spans="1:141" s="116" customFormat="1">
      <c r="A27416" s="136"/>
      <c r="CM27416" s="111"/>
      <c r="CQ27416" s="111"/>
      <c r="EF27416"/>
      <c r="EG27416"/>
      <c r="EH27416"/>
      <c r="EI27416"/>
      <c r="EJ27416"/>
      <c r="EK27416"/>
    </row>
    <row r="27417" spans="1:141" s="116" customFormat="1">
      <c r="A27417" s="136"/>
      <c r="CM27417" s="111"/>
      <c r="CQ27417" s="111"/>
      <c r="EF27417"/>
      <c r="EG27417"/>
      <c r="EH27417"/>
      <c r="EI27417"/>
      <c r="EJ27417"/>
      <c r="EK27417"/>
    </row>
    <row r="27418" spans="1:141" s="116" customFormat="1">
      <c r="A27418" s="136"/>
      <c r="CM27418" s="111"/>
      <c r="CQ27418" s="111"/>
      <c r="EF27418"/>
      <c r="EG27418"/>
      <c r="EH27418"/>
      <c r="EI27418"/>
      <c r="EJ27418"/>
      <c r="EK27418"/>
    </row>
    <row r="27419" spans="1:141" s="116" customFormat="1">
      <c r="A27419" s="136"/>
      <c r="CM27419" s="111"/>
      <c r="CQ27419" s="111"/>
      <c r="EF27419"/>
      <c r="EG27419"/>
      <c r="EH27419"/>
      <c r="EI27419"/>
      <c r="EJ27419"/>
      <c r="EK27419"/>
    </row>
    <row r="27420" spans="1:141" s="116" customFormat="1">
      <c r="A27420" s="136"/>
      <c r="CM27420" s="111"/>
      <c r="CQ27420" s="111"/>
      <c r="EF27420"/>
      <c r="EG27420"/>
      <c r="EH27420"/>
      <c r="EI27420"/>
      <c r="EJ27420"/>
      <c r="EK27420"/>
    </row>
    <row r="27421" spans="1:141" s="116" customFormat="1">
      <c r="A27421" s="136"/>
      <c r="CM27421" s="111"/>
      <c r="CQ27421" s="111"/>
      <c r="EF27421"/>
      <c r="EG27421"/>
      <c r="EH27421"/>
      <c r="EI27421"/>
      <c r="EJ27421"/>
      <c r="EK27421"/>
    </row>
    <row r="27422" spans="1:141" s="116" customFormat="1">
      <c r="A27422" s="136"/>
      <c r="CM27422" s="111"/>
      <c r="CQ27422" s="111"/>
      <c r="EF27422"/>
      <c r="EG27422"/>
      <c r="EH27422"/>
      <c r="EI27422"/>
      <c r="EJ27422"/>
      <c r="EK27422"/>
    </row>
    <row r="27423" spans="1:141" s="116" customFormat="1">
      <c r="A27423" s="136"/>
      <c r="CM27423" s="111"/>
      <c r="CQ27423" s="111"/>
      <c r="EF27423"/>
      <c r="EG27423"/>
      <c r="EH27423"/>
      <c r="EI27423"/>
      <c r="EJ27423"/>
      <c r="EK27423"/>
    </row>
    <row r="27424" spans="1:141" s="116" customFormat="1">
      <c r="A27424" s="136"/>
      <c r="CM27424" s="111"/>
      <c r="CQ27424" s="111"/>
      <c r="EF27424"/>
      <c r="EG27424"/>
      <c r="EH27424"/>
      <c r="EI27424"/>
      <c r="EJ27424"/>
      <c r="EK27424"/>
    </row>
    <row r="27425" spans="1:141" s="116" customFormat="1">
      <c r="A27425" s="136"/>
      <c r="CM27425" s="111"/>
      <c r="CQ27425" s="111"/>
      <c r="EF27425"/>
      <c r="EG27425"/>
      <c r="EH27425"/>
      <c r="EI27425"/>
      <c r="EJ27425"/>
      <c r="EK27425"/>
    </row>
    <row r="27426" spans="1:141" s="116" customFormat="1">
      <c r="A27426" s="136"/>
      <c r="CM27426" s="111"/>
      <c r="CQ27426" s="111"/>
      <c r="EF27426"/>
      <c r="EG27426"/>
      <c r="EH27426"/>
      <c r="EI27426"/>
      <c r="EJ27426"/>
      <c r="EK27426"/>
    </row>
    <row r="27427" spans="1:141" s="116" customFormat="1">
      <c r="A27427" s="136"/>
      <c r="CM27427" s="111"/>
      <c r="CQ27427" s="111"/>
      <c r="EF27427"/>
      <c r="EG27427"/>
      <c r="EH27427"/>
      <c r="EI27427"/>
      <c r="EJ27427"/>
      <c r="EK27427"/>
    </row>
    <row r="27428" spans="1:141" s="116" customFormat="1">
      <c r="A27428" s="136"/>
      <c r="CM27428" s="111"/>
      <c r="CQ27428" s="111"/>
      <c r="EF27428"/>
      <c r="EG27428"/>
      <c r="EH27428"/>
      <c r="EI27428"/>
      <c r="EJ27428"/>
      <c r="EK27428"/>
    </row>
    <row r="27429" spans="1:141" s="116" customFormat="1">
      <c r="A27429" s="136"/>
      <c r="CM27429" s="111"/>
      <c r="CQ27429" s="111"/>
      <c r="EF27429"/>
      <c r="EG27429"/>
      <c r="EH27429"/>
      <c r="EI27429"/>
      <c r="EJ27429"/>
      <c r="EK27429"/>
    </row>
    <row r="27430" spans="1:141" s="116" customFormat="1">
      <c r="A27430" s="136"/>
      <c r="CM27430" s="111"/>
      <c r="CQ27430" s="111"/>
      <c r="EF27430"/>
      <c r="EG27430"/>
      <c r="EH27430"/>
      <c r="EI27430"/>
      <c r="EJ27430"/>
      <c r="EK27430"/>
    </row>
    <row r="27431" spans="1:141" s="116" customFormat="1">
      <c r="A27431" s="136"/>
      <c r="CM27431" s="111"/>
      <c r="CQ27431" s="111"/>
      <c r="EF27431"/>
      <c r="EG27431"/>
      <c r="EH27431"/>
      <c r="EI27431"/>
      <c r="EJ27431"/>
      <c r="EK27431"/>
    </row>
    <row r="27432" spans="1:141" s="116" customFormat="1">
      <c r="A27432" s="136"/>
      <c r="CM27432" s="111"/>
      <c r="CQ27432" s="111"/>
      <c r="EF27432"/>
      <c r="EG27432"/>
      <c r="EH27432"/>
      <c r="EI27432"/>
      <c r="EJ27432"/>
      <c r="EK27432"/>
    </row>
    <row r="27433" spans="1:141" s="116" customFormat="1">
      <c r="A27433" s="136"/>
      <c r="CM27433" s="111"/>
      <c r="CQ27433" s="111"/>
      <c r="EF27433"/>
      <c r="EG27433"/>
      <c r="EH27433"/>
      <c r="EI27433"/>
      <c r="EJ27433"/>
      <c r="EK27433"/>
    </row>
    <row r="27434" spans="1:141" s="116" customFormat="1">
      <c r="A27434" s="136"/>
      <c r="CM27434" s="111"/>
      <c r="CQ27434" s="111"/>
      <c r="EF27434"/>
      <c r="EG27434"/>
      <c r="EH27434"/>
      <c r="EI27434"/>
      <c r="EJ27434"/>
      <c r="EK27434"/>
    </row>
    <row r="27435" spans="1:141" s="116" customFormat="1">
      <c r="A27435" s="136"/>
      <c r="CM27435" s="111"/>
      <c r="CQ27435" s="111"/>
      <c r="EF27435"/>
      <c r="EG27435"/>
      <c r="EH27435"/>
      <c r="EI27435"/>
      <c r="EJ27435"/>
      <c r="EK27435"/>
    </row>
    <row r="27436" spans="1:141" s="116" customFormat="1">
      <c r="A27436" s="136"/>
      <c r="CM27436" s="111"/>
      <c r="CQ27436" s="111"/>
      <c r="EF27436"/>
      <c r="EG27436"/>
      <c r="EH27436"/>
      <c r="EI27436"/>
      <c r="EJ27436"/>
      <c r="EK27436"/>
    </row>
    <row r="27437" spans="1:141" s="116" customFormat="1">
      <c r="A27437" s="136"/>
      <c r="CM27437" s="111"/>
      <c r="CQ27437" s="111"/>
      <c r="EF27437"/>
      <c r="EG27437"/>
      <c r="EH27437"/>
      <c r="EI27437"/>
      <c r="EJ27437"/>
      <c r="EK27437"/>
    </row>
    <row r="27438" spans="1:141" s="116" customFormat="1">
      <c r="A27438" s="136"/>
      <c r="CM27438" s="111"/>
      <c r="CQ27438" s="111"/>
      <c r="EF27438"/>
      <c r="EG27438"/>
      <c r="EH27438"/>
      <c r="EI27438"/>
      <c r="EJ27438"/>
      <c r="EK27438"/>
    </row>
    <row r="27439" spans="1:141" s="116" customFormat="1">
      <c r="A27439" s="136"/>
      <c r="CM27439" s="111"/>
      <c r="CQ27439" s="111"/>
      <c r="EF27439"/>
      <c r="EG27439"/>
      <c r="EH27439"/>
      <c r="EI27439"/>
      <c r="EJ27439"/>
      <c r="EK27439"/>
    </row>
    <row r="27440" spans="1:141" s="116" customFormat="1">
      <c r="A27440" s="136"/>
      <c r="CM27440" s="111"/>
      <c r="CQ27440" s="111"/>
      <c r="EF27440"/>
      <c r="EG27440"/>
      <c r="EH27440"/>
      <c r="EI27440"/>
      <c r="EJ27440"/>
      <c r="EK27440"/>
    </row>
    <row r="27441" spans="1:141" s="116" customFormat="1">
      <c r="A27441" s="136"/>
      <c r="CM27441" s="111"/>
      <c r="CQ27441" s="111"/>
      <c r="EF27441"/>
      <c r="EG27441"/>
      <c r="EH27441"/>
      <c r="EI27441"/>
      <c r="EJ27441"/>
      <c r="EK27441"/>
    </row>
    <row r="27442" spans="1:141" s="116" customFormat="1">
      <c r="A27442" s="136"/>
      <c r="CM27442" s="111"/>
      <c r="CQ27442" s="111"/>
      <c r="EF27442"/>
      <c r="EG27442"/>
      <c r="EH27442"/>
      <c r="EI27442"/>
      <c r="EJ27442"/>
      <c r="EK27442"/>
    </row>
    <row r="27443" spans="1:141" s="116" customFormat="1">
      <c r="A27443" s="136"/>
      <c r="CM27443" s="111"/>
      <c r="CQ27443" s="111"/>
      <c r="EF27443"/>
      <c r="EG27443"/>
      <c r="EH27443"/>
      <c r="EI27443"/>
      <c r="EJ27443"/>
      <c r="EK27443"/>
    </row>
    <row r="27444" spans="1:141" s="116" customFormat="1">
      <c r="A27444" s="136"/>
      <c r="CM27444" s="111"/>
      <c r="CQ27444" s="111"/>
      <c r="EF27444"/>
      <c r="EG27444"/>
      <c r="EH27444"/>
      <c r="EI27444"/>
      <c r="EJ27444"/>
      <c r="EK27444"/>
    </row>
    <row r="27445" spans="1:141" s="116" customFormat="1">
      <c r="A27445" s="136"/>
      <c r="CM27445" s="111"/>
      <c r="CQ27445" s="111"/>
      <c r="EF27445"/>
      <c r="EG27445"/>
      <c r="EH27445"/>
      <c r="EI27445"/>
      <c r="EJ27445"/>
      <c r="EK27445"/>
    </row>
    <row r="27446" spans="1:141" s="116" customFormat="1">
      <c r="A27446" s="136"/>
      <c r="CM27446" s="111"/>
      <c r="CQ27446" s="111"/>
      <c r="EF27446"/>
      <c r="EG27446"/>
      <c r="EH27446"/>
      <c r="EI27446"/>
      <c r="EJ27446"/>
      <c r="EK27446"/>
    </row>
    <row r="27447" spans="1:141" s="116" customFormat="1">
      <c r="A27447" s="136"/>
      <c r="CM27447" s="111"/>
      <c r="CQ27447" s="111"/>
      <c r="EF27447"/>
      <c r="EG27447"/>
      <c r="EH27447"/>
      <c r="EI27447"/>
      <c r="EJ27447"/>
      <c r="EK27447"/>
    </row>
    <row r="27448" spans="1:141" s="116" customFormat="1">
      <c r="A27448" s="136"/>
      <c r="CM27448" s="111"/>
      <c r="CQ27448" s="111"/>
      <c r="EF27448"/>
      <c r="EG27448"/>
      <c r="EH27448"/>
      <c r="EI27448"/>
      <c r="EJ27448"/>
      <c r="EK27448"/>
    </row>
    <row r="27449" spans="1:141" s="116" customFormat="1">
      <c r="A27449" s="136"/>
      <c r="CM27449" s="111"/>
      <c r="CQ27449" s="111"/>
      <c r="EF27449"/>
      <c r="EG27449"/>
      <c r="EH27449"/>
      <c r="EI27449"/>
      <c r="EJ27449"/>
      <c r="EK27449"/>
    </row>
    <row r="27450" spans="1:141" s="116" customFormat="1">
      <c r="A27450" s="136"/>
      <c r="CM27450" s="111"/>
      <c r="CQ27450" s="111"/>
      <c r="EF27450"/>
      <c r="EG27450"/>
      <c r="EH27450"/>
      <c r="EI27450"/>
      <c r="EJ27450"/>
      <c r="EK27450"/>
    </row>
    <row r="27451" spans="1:141" s="116" customFormat="1">
      <c r="A27451" s="136"/>
      <c r="CM27451" s="111"/>
      <c r="CQ27451" s="111"/>
      <c r="EF27451"/>
      <c r="EG27451"/>
      <c r="EH27451"/>
      <c r="EI27451"/>
      <c r="EJ27451"/>
      <c r="EK27451"/>
    </row>
    <row r="27452" spans="1:141" s="116" customFormat="1">
      <c r="A27452" s="136"/>
      <c r="CM27452" s="111"/>
      <c r="CQ27452" s="111"/>
      <c r="EF27452"/>
      <c r="EG27452"/>
      <c r="EH27452"/>
      <c r="EI27452"/>
      <c r="EJ27452"/>
      <c r="EK27452"/>
    </row>
    <row r="27453" spans="1:141" s="116" customFormat="1">
      <c r="A27453" s="136"/>
      <c r="CM27453" s="111"/>
      <c r="CQ27453" s="111"/>
      <c r="EF27453"/>
      <c r="EG27453"/>
      <c r="EH27453"/>
      <c r="EI27453"/>
      <c r="EJ27453"/>
      <c r="EK27453"/>
    </row>
    <row r="27454" spans="1:141" s="116" customFormat="1">
      <c r="A27454" s="136"/>
      <c r="CM27454" s="111"/>
      <c r="CQ27454" s="111"/>
      <c r="EF27454"/>
      <c r="EG27454"/>
      <c r="EH27454"/>
      <c r="EI27454"/>
      <c r="EJ27454"/>
      <c r="EK27454"/>
    </row>
    <row r="27455" spans="1:141" s="116" customFormat="1">
      <c r="A27455" s="136"/>
      <c r="CM27455" s="111"/>
      <c r="CQ27455" s="111"/>
      <c r="EF27455"/>
      <c r="EG27455"/>
      <c r="EH27455"/>
      <c r="EI27455"/>
      <c r="EJ27455"/>
      <c r="EK27455"/>
    </row>
    <row r="27456" spans="1:141" s="116" customFormat="1">
      <c r="A27456" s="136"/>
      <c r="CM27456" s="111"/>
      <c r="CQ27456" s="111"/>
      <c r="EF27456"/>
      <c r="EG27456"/>
      <c r="EH27456"/>
      <c r="EI27456"/>
      <c r="EJ27456"/>
      <c r="EK27456"/>
    </row>
    <row r="27457" spans="1:141" s="116" customFormat="1">
      <c r="A27457" s="136"/>
      <c r="CM27457" s="111"/>
      <c r="CQ27457" s="111"/>
      <c r="EF27457"/>
      <c r="EG27457"/>
      <c r="EH27457"/>
      <c r="EI27457"/>
      <c r="EJ27457"/>
      <c r="EK27457"/>
    </row>
    <row r="27458" spans="1:141" s="116" customFormat="1">
      <c r="A27458" s="136"/>
      <c r="CM27458" s="111"/>
      <c r="CQ27458" s="111"/>
      <c r="EF27458"/>
      <c r="EG27458"/>
      <c r="EH27458"/>
      <c r="EI27458"/>
      <c r="EJ27458"/>
      <c r="EK27458"/>
    </row>
    <row r="27459" spans="1:141" s="116" customFormat="1">
      <c r="A27459" s="136"/>
      <c r="CM27459" s="111"/>
      <c r="CQ27459" s="111"/>
      <c r="EF27459"/>
      <c r="EG27459"/>
      <c r="EH27459"/>
      <c r="EI27459"/>
      <c r="EJ27459"/>
      <c r="EK27459"/>
    </row>
    <row r="27460" spans="1:141" s="116" customFormat="1">
      <c r="A27460" s="136"/>
      <c r="CM27460" s="111"/>
      <c r="CQ27460" s="111"/>
      <c r="EF27460"/>
      <c r="EG27460"/>
      <c r="EH27460"/>
      <c r="EI27460"/>
      <c r="EJ27460"/>
      <c r="EK27460"/>
    </row>
    <row r="27461" spans="1:141" s="116" customFormat="1">
      <c r="A27461" s="136"/>
      <c r="CM27461" s="111"/>
      <c r="CQ27461" s="111"/>
      <c r="EF27461"/>
      <c r="EG27461"/>
      <c r="EH27461"/>
      <c r="EI27461"/>
      <c r="EJ27461"/>
      <c r="EK27461"/>
    </row>
    <row r="27462" spans="1:141" s="116" customFormat="1">
      <c r="A27462" s="136"/>
      <c r="CM27462" s="111"/>
      <c r="CQ27462" s="111"/>
      <c r="EF27462"/>
      <c r="EG27462"/>
      <c r="EH27462"/>
      <c r="EI27462"/>
      <c r="EJ27462"/>
      <c r="EK27462"/>
    </row>
    <row r="27463" spans="1:141" s="116" customFormat="1">
      <c r="A27463" s="136"/>
      <c r="CM27463" s="111"/>
      <c r="CQ27463" s="111"/>
      <c r="EF27463"/>
      <c r="EG27463"/>
      <c r="EH27463"/>
      <c r="EI27463"/>
      <c r="EJ27463"/>
      <c r="EK27463"/>
    </row>
    <row r="27464" spans="1:141" s="116" customFormat="1">
      <c r="A27464" s="136"/>
      <c r="CM27464" s="111"/>
      <c r="CQ27464" s="111"/>
      <c r="EF27464"/>
      <c r="EG27464"/>
      <c r="EH27464"/>
      <c r="EI27464"/>
      <c r="EJ27464"/>
      <c r="EK27464"/>
    </row>
    <row r="27465" spans="1:141" s="116" customFormat="1">
      <c r="A27465" s="136"/>
      <c r="CM27465" s="111"/>
      <c r="CQ27465" s="111"/>
      <c r="EF27465"/>
      <c r="EG27465"/>
      <c r="EH27465"/>
      <c r="EI27465"/>
      <c r="EJ27465"/>
      <c r="EK27465"/>
    </row>
    <row r="27466" spans="1:141" s="116" customFormat="1">
      <c r="A27466" s="136"/>
      <c r="CM27466" s="111"/>
      <c r="CQ27466" s="111"/>
      <c r="EF27466"/>
      <c r="EG27466"/>
      <c r="EH27466"/>
      <c r="EI27466"/>
      <c r="EJ27466"/>
      <c r="EK27466"/>
    </row>
    <row r="27467" spans="1:141" s="116" customFormat="1">
      <c r="A27467" s="136"/>
      <c r="CM27467" s="111"/>
      <c r="CQ27467" s="111"/>
      <c r="EF27467"/>
      <c r="EG27467"/>
      <c r="EH27467"/>
      <c r="EI27467"/>
      <c r="EJ27467"/>
      <c r="EK27467"/>
    </row>
    <row r="27468" spans="1:141" s="116" customFormat="1">
      <c r="A27468" s="136"/>
      <c r="CM27468" s="111"/>
      <c r="CQ27468" s="111"/>
      <c r="EF27468"/>
      <c r="EG27468"/>
      <c r="EH27468"/>
      <c r="EI27468"/>
      <c r="EJ27468"/>
      <c r="EK27468"/>
    </row>
    <row r="27469" spans="1:141" s="116" customFormat="1">
      <c r="A27469" s="136"/>
      <c r="CM27469" s="111"/>
      <c r="CQ27469" s="111"/>
      <c r="EF27469"/>
      <c r="EG27469"/>
      <c r="EH27469"/>
      <c r="EI27469"/>
      <c r="EJ27469"/>
      <c r="EK27469"/>
    </row>
    <row r="27470" spans="1:141" s="116" customFormat="1">
      <c r="A27470" s="136"/>
      <c r="CM27470" s="111"/>
      <c r="CQ27470" s="111"/>
      <c r="EF27470"/>
      <c r="EG27470"/>
      <c r="EH27470"/>
      <c r="EI27470"/>
      <c r="EJ27470"/>
      <c r="EK27470"/>
    </row>
    <row r="27471" spans="1:141" s="116" customFormat="1">
      <c r="A27471" s="136"/>
      <c r="CM27471" s="111"/>
      <c r="CQ27471" s="111"/>
      <c r="EF27471"/>
      <c r="EG27471"/>
      <c r="EH27471"/>
      <c r="EI27471"/>
      <c r="EJ27471"/>
      <c r="EK27471"/>
    </row>
    <row r="27472" spans="1:141" s="116" customFormat="1">
      <c r="A27472" s="136"/>
      <c r="CM27472" s="111"/>
      <c r="CQ27472" s="111"/>
      <c r="EF27472"/>
      <c r="EG27472"/>
      <c r="EH27472"/>
      <c r="EI27472"/>
      <c r="EJ27472"/>
      <c r="EK27472"/>
    </row>
    <row r="27473" spans="1:141" s="116" customFormat="1">
      <c r="A27473" s="136"/>
      <c r="CM27473" s="111"/>
      <c r="CQ27473" s="111"/>
      <c r="EF27473"/>
      <c r="EG27473"/>
      <c r="EH27473"/>
      <c r="EI27473"/>
      <c r="EJ27473"/>
      <c r="EK27473"/>
    </row>
    <row r="27474" spans="1:141" s="116" customFormat="1">
      <c r="A27474" s="136"/>
      <c r="CM27474" s="111"/>
      <c r="CQ27474" s="111"/>
      <c r="EF27474"/>
      <c r="EG27474"/>
      <c r="EH27474"/>
      <c r="EI27474"/>
      <c r="EJ27474"/>
      <c r="EK27474"/>
    </row>
    <row r="27475" spans="1:141" s="116" customFormat="1">
      <c r="A27475" s="136"/>
      <c r="CM27475" s="111"/>
      <c r="CQ27475" s="111"/>
      <c r="EF27475"/>
      <c r="EG27475"/>
      <c r="EH27475"/>
      <c r="EI27475"/>
      <c r="EJ27475"/>
      <c r="EK27475"/>
    </row>
    <row r="27476" spans="1:141" s="116" customFormat="1">
      <c r="A27476" s="136"/>
      <c r="CM27476" s="111"/>
      <c r="CQ27476" s="111"/>
      <c r="EF27476"/>
      <c r="EG27476"/>
      <c r="EH27476"/>
      <c r="EI27476"/>
      <c r="EJ27476"/>
      <c r="EK27476"/>
    </row>
    <row r="27477" spans="1:141" s="116" customFormat="1">
      <c r="A27477" s="136"/>
      <c r="CM27477" s="111"/>
      <c r="CQ27477" s="111"/>
      <c r="EF27477"/>
      <c r="EG27477"/>
      <c r="EH27477"/>
      <c r="EI27477"/>
      <c r="EJ27477"/>
      <c r="EK27477"/>
    </row>
    <row r="27478" spans="1:141" s="116" customFormat="1">
      <c r="A27478" s="136"/>
      <c r="CM27478" s="111"/>
      <c r="CQ27478" s="111"/>
      <c r="EF27478"/>
      <c r="EG27478"/>
      <c r="EH27478"/>
      <c r="EI27478"/>
      <c r="EJ27478"/>
      <c r="EK27478"/>
    </row>
    <row r="27479" spans="1:141" s="116" customFormat="1">
      <c r="A27479" s="136"/>
      <c r="CM27479" s="111"/>
      <c r="CQ27479" s="111"/>
      <c r="EF27479"/>
      <c r="EG27479"/>
      <c r="EH27479"/>
      <c r="EI27479"/>
      <c r="EJ27479"/>
      <c r="EK27479"/>
    </row>
    <row r="27480" spans="1:141" s="116" customFormat="1">
      <c r="A27480" s="136"/>
      <c r="CM27480" s="111"/>
      <c r="CQ27480" s="111"/>
      <c r="EF27480"/>
      <c r="EG27480"/>
      <c r="EH27480"/>
      <c r="EI27480"/>
      <c r="EJ27480"/>
      <c r="EK27480"/>
    </row>
    <row r="27481" spans="1:141" s="116" customFormat="1">
      <c r="A27481" s="136"/>
      <c r="CM27481" s="111"/>
      <c r="CQ27481" s="111"/>
      <c r="EF27481"/>
      <c r="EG27481"/>
      <c r="EH27481"/>
      <c r="EI27481"/>
      <c r="EJ27481"/>
      <c r="EK27481"/>
    </row>
    <row r="27482" spans="1:141" s="116" customFormat="1">
      <c r="A27482" s="136"/>
      <c r="CM27482" s="111"/>
      <c r="CQ27482" s="111"/>
      <c r="EF27482"/>
      <c r="EG27482"/>
      <c r="EH27482"/>
      <c r="EI27482"/>
      <c r="EJ27482"/>
      <c r="EK27482"/>
    </row>
    <row r="27483" spans="1:141" s="116" customFormat="1">
      <c r="A27483" s="136"/>
      <c r="CM27483" s="111"/>
      <c r="CQ27483" s="111"/>
      <c r="EF27483"/>
      <c r="EG27483"/>
      <c r="EH27483"/>
      <c r="EI27483"/>
      <c r="EJ27483"/>
      <c r="EK27483"/>
    </row>
    <row r="27484" spans="1:141" s="116" customFormat="1">
      <c r="A27484" s="136"/>
      <c r="CM27484" s="111"/>
      <c r="CQ27484" s="111"/>
      <c r="EF27484"/>
      <c r="EG27484"/>
      <c r="EH27484"/>
      <c r="EI27484"/>
      <c r="EJ27484"/>
      <c r="EK27484"/>
    </row>
    <row r="27485" spans="1:141" s="116" customFormat="1">
      <c r="A27485" s="136"/>
      <c r="CM27485" s="111"/>
      <c r="CQ27485" s="111"/>
      <c r="EF27485"/>
      <c r="EG27485"/>
      <c r="EH27485"/>
      <c r="EI27485"/>
      <c r="EJ27485"/>
      <c r="EK27485"/>
    </row>
    <row r="27486" spans="1:141" s="116" customFormat="1">
      <c r="A27486" s="136"/>
      <c r="CM27486" s="111"/>
      <c r="CQ27486" s="111"/>
      <c r="EF27486"/>
      <c r="EG27486"/>
      <c r="EH27486"/>
      <c r="EI27486"/>
      <c r="EJ27486"/>
      <c r="EK27486"/>
    </row>
    <row r="27487" spans="1:141" s="116" customFormat="1">
      <c r="A27487" s="136"/>
      <c r="CM27487" s="111"/>
      <c r="CQ27487" s="111"/>
      <c r="EF27487"/>
      <c r="EG27487"/>
      <c r="EH27487"/>
      <c r="EI27487"/>
      <c r="EJ27487"/>
      <c r="EK27487"/>
    </row>
    <row r="27488" spans="1:141" s="116" customFormat="1">
      <c r="A27488" s="136"/>
      <c r="CM27488" s="111"/>
      <c r="CQ27488" s="111"/>
      <c r="EF27488"/>
      <c r="EG27488"/>
      <c r="EH27488"/>
      <c r="EI27488"/>
      <c r="EJ27488"/>
      <c r="EK27488"/>
    </row>
    <row r="27489" spans="1:141" s="116" customFormat="1">
      <c r="A27489" s="136"/>
      <c r="CM27489" s="111"/>
      <c r="CQ27489" s="111"/>
      <c r="EF27489"/>
      <c r="EG27489"/>
      <c r="EH27489"/>
      <c r="EI27489"/>
      <c r="EJ27489"/>
      <c r="EK27489"/>
    </row>
    <row r="27490" spans="1:141" s="116" customFormat="1">
      <c r="A27490" s="136"/>
      <c r="CM27490" s="111"/>
      <c r="CQ27490" s="111"/>
      <c r="EF27490"/>
      <c r="EG27490"/>
      <c r="EH27490"/>
      <c r="EI27490"/>
      <c r="EJ27490"/>
      <c r="EK27490"/>
    </row>
    <row r="27491" spans="1:141" s="116" customFormat="1">
      <c r="A27491" s="136"/>
      <c r="CM27491" s="111"/>
      <c r="CQ27491" s="111"/>
      <c r="EF27491"/>
      <c r="EG27491"/>
      <c r="EH27491"/>
      <c r="EI27491"/>
      <c r="EJ27491"/>
      <c r="EK27491"/>
    </row>
    <row r="27492" spans="1:141" s="116" customFormat="1">
      <c r="A27492" s="136"/>
      <c r="CM27492" s="111"/>
      <c r="CQ27492" s="111"/>
      <c r="EF27492"/>
      <c r="EG27492"/>
      <c r="EH27492"/>
      <c r="EI27492"/>
      <c r="EJ27492"/>
      <c r="EK27492"/>
    </row>
    <row r="27493" spans="1:141" s="116" customFormat="1">
      <c r="A27493" s="136"/>
      <c r="CM27493" s="111"/>
      <c r="CQ27493" s="111"/>
      <c r="EF27493"/>
      <c r="EG27493"/>
      <c r="EH27493"/>
      <c r="EI27493"/>
      <c r="EJ27493"/>
      <c r="EK27493"/>
    </row>
    <row r="27494" spans="1:141" s="116" customFormat="1">
      <c r="A27494" s="136"/>
      <c r="CM27494" s="111"/>
      <c r="CQ27494" s="111"/>
      <c r="EF27494"/>
      <c r="EG27494"/>
      <c r="EH27494"/>
      <c r="EI27494"/>
      <c r="EJ27494"/>
      <c r="EK27494"/>
    </row>
    <row r="27495" spans="1:141" s="116" customFormat="1">
      <c r="A27495" s="136"/>
      <c r="CM27495" s="111"/>
      <c r="CQ27495" s="111"/>
      <c r="EF27495"/>
      <c r="EG27495"/>
      <c r="EH27495"/>
      <c r="EI27495"/>
      <c r="EJ27495"/>
      <c r="EK27495"/>
    </row>
    <row r="27496" spans="1:141" s="116" customFormat="1">
      <c r="A27496" s="136"/>
      <c r="CM27496" s="111"/>
      <c r="CQ27496" s="111"/>
      <c r="EF27496"/>
      <c r="EG27496"/>
      <c r="EH27496"/>
      <c r="EI27496"/>
      <c r="EJ27496"/>
      <c r="EK27496"/>
    </row>
    <row r="27497" spans="1:141" s="116" customFormat="1">
      <c r="A27497" s="136"/>
      <c r="CM27497" s="111"/>
      <c r="CQ27497" s="111"/>
      <c r="EF27497"/>
      <c r="EG27497"/>
      <c r="EH27497"/>
      <c r="EI27497"/>
      <c r="EJ27497"/>
      <c r="EK27497"/>
    </row>
    <row r="27498" spans="1:141" s="116" customFormat="1">
      <c r="A27498" s="136"/>
      <c r="CM27498" s="111"/>
      <c r="CQ27498" s="111"/>
      <c r="EF27498"/>
      <c r="EG27498"/>
      <c r="EH27498"/>
      <c r="EI27498"/>
      <c r="EJ27498"/>
      <c r="EK27498"/>
    </row>
    <row r="27499" spans="1:141" s="116" customFormat="1">
      <c r="A27499" s="136"/>
      <c r="CM27499" s="111"/>
      <c r="CQ27499" s="111"/>
      <c r="EF27499"/>
      <c r="EG27499"/>
      <c r="EH27499"/>
      <c r="EI27499"/>
      <c r="EJ27499"/>
      <c r="EK27499"/>
    </row>
    <row r="27500" spans="1:141" s="116" customFormat="1">
      <c r="A27500" s="136"/>
      <c r="CM27500" s="111"/>
      <c r="CQ27500" s="111"/>
      <c r="EF27500"/>
      <c r="EG27500"/>
      <c r="EH27500"/>
      <c r="EI27500"/>
      <c r="EJ27500"/>
      <c r="EK27500"/>
    </row>
    <row r="27501" spans="1:141" s="116" customFormat="1">
      <c r="A27501" s="136"/>
      <c r="CM27501" s="111"/>
      <c r="CQ27501" s="111"/>
      <c r="EF27501"/>
      <c r="EG27501"/>
      <c r="EH27501"/>
      <c r="EI27501"/>
      <c r="EJ27501"/>
      <c r="EK27501"/>
    </row>
    <row r="27502" spans="1:141" s="116" customFormat="1">
      <c r="A27502" s="136"/>
      <c r="CM27502" s="111"/>
      <c r="CQ27502" s="111"/>
      <c r="EF27502"/>
      <c r="EG27502"/>
      <c r="EH27502"/>
      <c r="EI27502"/>
      <c r="EJ27502"/>
      <c r="EK27502"/>
    </row>
    <row r="27503" spans="1:141" s="116" customFormat="1">
      <c r="A27503" s="136"/>
      <c r="CM27503" s="111"/>
      <c r="CQ27503" s="111"/>
      <c r="EF27503"/>
      <c r="EG27503"/>
      <c r="EH27503"/>
      <c r="EI27503"/>
      <c r="EJ27503"/>
      <c r="EK27503"/>
    </row>
    <row r="27504" spans="1:141" s="116" customFormat="1">
      <c r="A27504" s="136"/>
      <c r="CM27504" s="111"/>
      <c r="CQ27504" s="111"/>
      <c r="EF27504"/>
      <c r="EG27504"/>
      <c r="EH27504"/>
      <c r="EI27504"/>
      <c r="EJ27504"/>
      <c r="EK27504"/>
    </row>
    <row r="27505" spans="1:141" s="116" customFormat="1">
      <c r="A27505" s="136"/>
      <c r="CM27505" s="111"/>
      <c r="CQ27505" s="111"/>
      <c r="EF27505"/>
      <c r="EG27505"/>
      <c r="EH27505"/>
      <c r="EI27505"/>
      <c r="EJ27505"/>
      <c r="EK27505"/>
    </row>
    <row r="27506" spans="1:141" s="116" customFormat="1">
      <c r="A27506" s="136"/>
      <c r="CM27506" s="111"/>
      <c r="CQ27506" s="111"/>
      <c r="EF27506"/>
      <c r="EG27506"/>
      <c r="EH27506"/>
      <c r="EI27506"/>
      <c r="EJ27506"/>
      <c r="EK27506"/>
    </row>
    <row r="27507" spans="1:141" s="116" customFormat="1">
      <c r="A27507" s="136"/>
      <c r="CM27507" s="111"/>
      <c r="CQ27507" s="111"/>
      <c r="EF27507"/>
      <c r="EG27507"/>
      <c r="EH27507"/>
      <c r="EI27507"/>
      <c r="EJ27507"/>
      <c r="EK27507"/>
    </row>
    <row r="27508" spans="1:141" s="116" customFormat="1">
      <c r="A27508" s="136"/>
      <c r="CM27508" s="111"/>
      <c r="CQ27508" s="111"/>
      <c r="EF27508"/>
      <c r="EG27508"/>
      <c r="EH27508"/>
      <c r="EI27508"/>
      <c r="EJ27508"/>
      <c r="EK27508"/>
    </row>
    <row r="27509" spans="1:141" s="116" customFormat="1">
      <c r="A27509" s="136"/>
      <c r="CM27509" s="111"/>
      <c r="CQ27509" s="111"/>
      <c r="EF27509"/>
      <c r="EG27509"/>
      <c r="EH27509"/>
      <c r="EI27509"/>
      <c r="EJ27509"/>
      <c r="EK27509"/>
    </row>
    <row r="27510" spans="1:141" s="116" customFormat="1">
      <c r="A27510" s="136"/>
      <c r="CM27510" s="111"/>
      <c r="CQ27510" s="111"/>
      <c r="EF27510"/>
      <c r="EG27510"/>
      <c r="EH27510"/>
      <c r="EI27510"/>
      <c r="EJ27510"/>
      <c r="EK27510"/>
    </row>
    <row r="27511" spans="1:141" s="116" customFormat="1">
      <c r="A27511" s="136"/>
      <c r="CM27511" s="111"/>
      <c r="CQ27511" s="111"/>
      <c r="EF27511"/>
      <c r="EG27511"/>
      <c r="EH27511"/>
      <c r="EI27511"/>
      <c r="EJ27511"/>
      <c r="EK27511"/>
    </row>
    <row r="27512" spans="1:141" s="116" customFormat="1">
      <c r="A27512" s="136"/>
      <c r="CM27512" s="111"/>
      <c r="CQ27512" s="111"/>
      <c r="EF27512"/>
      <c r="EG27512"/>
      <c r="EH27512"/>
      <c r="EI27512"/>
      <c r="EJ27512"/>
      <c r="EK27512"/>
    </row>
    <row r="27513" spans="1:141" s="116" customFormat="1">
      <c r="A27513" s="136"/>
      <c r="CM27513" s="111"/>
      <c r="CQ27513" s="111"/>
      <c r="EF27513"/>
      <c r="EG27513"/>
      <c r="EH27513"/>
      <c r="EI27513"/>
      <c r="EJ27513"/>
      <c r="EK27513"/>
    </row>
    <row r="27514" spans="1:141" s="116" customFormat="1">
      <c r="A27514" s="136"/>
      <c r="CM27514" s="111"/>
      <c r="CQ27514" s="111"/>
      <c r="EF27514"/>
      <c r="EG27514"/>
      <c r="EH27514"/>
      <c r="EI27514"/>
      <c r="EJ27514"/>
      <c r="EK27514"/>
    </row>
    <row r="27515" spans="1:141" s="116" customFormat="1">
      <c r="A27515" s="136"/>
      <c r="CM27515" s="111"/>
      <c r="CQ27515" s="111"/>
      <c r="EF27515"/>
      <c r="EG27515"/>
      <c r="EH27515"/>
      <c r="EI27515"/>
      <c r="EJ27515"/>
      <c r="EK27515"/>
    </row>
    <row r="27516" spans="1:141" s="116" customFormat="1">
      <c r="A27516" s="136"/>
      <c r="CM27516" s="111"/>
      <c r="CQ27516" s="111"/>
      <c r="EF27516"/>
      <c r="EG27516"/>
      <c r="EH27516"/>
      <c r="EI27516"/>
      <c r="EJ27516"/>
      <c r="EK27516"/>
    </row>
    <row r="27517" spans="1:141" s="116" customFormat="1">
      <c r="A27517" s="136"/>
      <c r="CM27517" s="111"/>
      <c r="CQ27517" s="111"/>
      <c r="EF27517"/>
      <c r="EG27517"/>
      <c r="EH27517"/>
      <c r="EI27517"/>
      <c r="EJ27517"/>
      <c r="EK27517"/>
    </row>
    <row r="27518" spans="1:141" s="116" customFormat="1">
      <c r="A27518" s="136"/>
      <c r="CM27518" s="111"/>
      <c r="CQ27518" s="111"/>
      <c r="EF27518"/>
      <c r="EG27518"/>
      <c r="EH27518"/>
      <c r="EI27518"/>
      <c r="EJ27518"/>
      <c r="EK27518"/>
    </row>
    <row r="27519" spans="1:141" s="116" customFormat="1">
      <c r="A27519" s="136"/>
      <c r="CM27519" s="111"/>
      <c r="CQ27519" s="111"/>
      <c r="EF27519"/>
      <c r="EG27519"/>
      <c r="EH27519"/>
      <c r="EI27519"/>
      <c r="EJ27519"/>
      <c r="EK27519"/>
    </row>
    <row r="27520" spans="1:141" s="116" customFormat="1">
      <c r="A27520" s="136"/>
      <c r="CM27520" s="111"/>
      <c r="CQ27520" s="111"/>
      <c r="EF27520"/>
      <c r="EG27520"/>
      <c r="EH27520"/>
      <c r="EI27520"/>
      <c r="EJ27520"/>
      <c r="EK27520"/>
    </row>
    <row r="27521" spans="1:141" s="116" customFormat="1">
      <c r="A27521" s="136"/>
      <c r="CM27521" s="111"/>
      <c r="CQ27521" s="111"/>
      <c r="EF27521"/>
      <c r="EG27521"/>
      <c r="EH27521"/>
      <c r="EI27521"/>
      <c r="EJ27521"/>
      <c r="EK27521"/>
    </row>
    <row r="27522" spans="1:141" s="116" customFormat="1">
      <c r="A27522" s="136"/>
      <c r="CM27522" s="111"/>
      <c r="CQ27522" s="111"/>
      <c r="EF27522"/>
      <c r="EG27522"/>
      <c r="EH27522"/>
      <c r="EI27522"/>
      <c r="EJ27522"/>
      <c r="EK27522"/>
    </row>
    <row r="27523" spans="1:141" s="116" customFormat="1">
      <c r="A27523" s="136"/>
      <c r="CM27523" s="111"/>
      <c r="CQ27523" s="111"/>
      <c r="EF27523"/>
      <c r="EG27523"/>
      <c r="EH27523"/>
      <c r="EI27523"/>
      <c r="EJ27523"/>
      <c r="EK27523"/>
    </row>
    <row r="27524" spans="1:141" s="116" customFormat="1">
      <c r="A27524" s="136"/>
      <c r="CM27524" s="111"/>
      <c r="CQ27524" s="111"/>
      <c r="EF27524"/>
      <c r="EG27524"/>
      <c r="EH27524"/>
      <c r="EI27524"/>
      <c r="EJ27524"/>
      <c r="EK27524"/>
    </row>
    <row r="27525" spans="1:141" s="116" customFormat="1">
      <c r="A27525" s="136"/>
      <c r="CM27525" s="111"/>
      <c r="CQ27525" s="111"/>
      <c r="EF27525"/>
      <c r="EG27525"/>
      <c r="EH27525"/>
      <c r="EI27525"/>
      <c r="EJ27525"/>
      <c r="EK27525"/>
    </row>
    <row r="27526" spans="1:141" s="116" customFormat="1">
      <c r="A27526" s="136"/>
      <c r="CM27526" s="111"/>
      <c r="CQ27526" s="111"/>
      <c r="EF27526"/>
      <c r="EG27526"/>
      <c r="EH27526"/>
      <c r="EI27526"/>
      <c r="EJ27526"/>
      <c r="EK27526"/>
    </row>
    <row r="27527" spans="1:141" s="116" customFormat="1">
      <c r="A27527" s="136"/>
      <c r="CM27527" s="111"/>
      <c r="CQ27527" s="111"/>
      <c r="EF27527"/>
      <c r="EG27527"/>
      <c r="EH27527"/>
      <c r="EI27527"/>
      <c r="EJ27527"/>
      <c r="EK27527"/>
    </row>
    <row r="27528" spans="1:141" s="116" customFormat="1">
      <c r="A27528" s="136"/>
      <c r="CM27528" s="111"/>
      <c r="CQ27528" s="111"/>
      <c r="EF27528"/>
      <c r="EG27528"/>
      <c r="EH27528"/>
      <c r="EI27528"/>
      <c r="EJ27528"/>
      <c r="EK27528"/>
    </row>
    <row r="27529" spans="1:141" s="116" customFormat="1">
      <c r="A27529" s="136"/>
      <c r="CM27529" s="111"/>
      <c r="CQ27529" s="111"/>
      <c r="EF27529"/>
      <c r="EG27529"/>
      <c r="EH27529"/>
      <c r="EI27529"/>
      <c r="EJ27529"/>
      <c r="EK27529"/>
    </row>
    <row r="27530" spans="1:141" s="116" customFormat="1">
      <c r="A27530" s="136"/>
      <c r="CM27530" s="111"/>
      <c r="CQ27530" s="111"/>
      <c r="EF27530"/>
      <c r="EG27530"/>
      <c r="EH27530"/>
      <c r="EI27530"/>
      <c r="EJ27530"/>
      <c r="EK27530"/>
    </row>
    <row r="27531" spans="1:141" s="116" customFormat="1">
      <c r="A27531" s="136"/>
      <c r="CM27531" s="111"/>
      <c r="CQ27531" s="111"/>
      <c r="EF27531"/>
      <c r="EG27531"/>
      <c r="EH27531"/>
      <c r="EI27531"/>
      <c r="EJ27531"/>
      <c r="EK27531"/>
    </row>
    <row r="27532" spans="1:141" s="116" customFormat="1">
      <c r="A27532" s="136"/>
      <c r="CM27532" s="111"/>
      <c r="CQ27532" s="111"/>
      <c r="EF27532"/>
      <c r="EG27532"/>
      <c r="EH27532"/>
      <c r="EI27532"/>
      <c r="EJ27532"/>
      <c r="EK27532"/>
    </row>
    <row r="27533" spans="1:141" s="116" customFormat="1">
      <c r="A27533" s="136"/>
      <c r="CM27533" s="111"/>
      <c r="CQ27533" s="111"/>
      <c r="EF27533"/>
      <c r="EG27533"/>
      <c r="EH27533"/>
      <c r="EI27533"/>
      <c r="EJ27533"/>
      <c r="EK27533"/>
    </row>
    <row r="27534" spans="1:141" s="116" customFormat="1">
      <c r="A27534" s="136"/>
      <c r="CM27534" s="111"/>
      <c r="CQ27534" s="111"/>
      <c r="EF27534"/>
      <c r="EG27534"/>
      <c r="EH27534"/>
      <c r="EI27534"/>
      <c r="EJ27534"/>
      <c r="EK27534"/>
    </row>
    <row r="27535" spans="1:141" s="116" customFormat="1">
      <c r="A27535" s="136"/>
      <c r="CM27535" s="111"/>
      <c r="CQ27535" s="111"/>
      <c r="EF27535"/>
      <c r="EG27535"/>
      <c r="EH27535"/>
      <c r="EI27535"/>
      <c r="EJ27535"/>
      <c r="EK27535"/>
    </row>
    <row r="27536" spans="1:141" s="116" customFormat="1">
      <c r="A27536" s="136"/>
      <c r="CM27536" s="111"/>
      <c r="CQ27536" s="111"/>
      <c r="EF27536"/>
      <c r="EG27536"/>
      <c r="EH27536"/>
      <c r="EI27536"/>
      <c r="EJ27536"/>
      <c r="EK27536"/>
    </row>
    <row r="27537" spans="1:141" s="116" customFormat="1">
      <c r="A27537" s="136"/>
      <c r="CM27537" s="111"/>
      <c r="CQ27537" s="111"/>
      <c r="EF27537"/>
      <c r="EG27537"/>
      <c r="EH27537"/>
      <c r="EI27537"/>
      <c r="EJ27537"/>
      <c r="EK27537"/>
    </row>
    <row r="27538" spans="1:141" s="116" customFormat="1">
      <c r="A27538" s="136"/>
      <c r="CM27538" s="111"/>
      <c r="CQ27538" s="111"/>
      <c r="EF27538"/>
      <c r="EG27538"/>
      <c r="EH27538"/>
      <c r="EI27538"/>
      <c r="EJ27538"/>
      <c r="EK27538"/>
    </row>
    <row r="27539" spans="1:141" s="116" customFormat="1">
      <c r="A27539" s="136"/>
      <c r="CM27539" s="111"/>
      <c r="CQ27539" s="111"/>
      <c r="EF27539"/>
      <c r="EG27539"/>
      <c r="EH27539"/>
      <c r="EI27539"/>
      <c r="EJ27539"/>
      <c r="EK27539"/>
    </row>
    <row r="27540" spans="1:141" s="116" customFormat="1">
      <c r="A27540" s="136"/>
      <c r="CM27540" s="111"/>
      <c r="CQ27540" s="111"/>
      <c r="EF27540"/>
      <c r="EG27540"/>
      <c r="EH27540"/>
      <c r="EI27540"/>
      <c r="EJ27540"/>
      <c r="EK27540"/>
    </row>
    <row r="27541" spans="1:141" s="116" customFormat="1">
      <c r="A27541" s="136"/>
      <c r="CM27541" s="111"/>
      <c r="CQ27541" s="111"/>
      <c r="EF27541"/>
      <c r="EG27541"/>
      <c r="EH27541"/>
      <c r="EI27541"/>
      <c r="EJ27541"/>
      <c r="EK27541"/>
    </row>
    <row r="27542" spans="1:141" s="116" customFormat="1">
      <c r="A27542" s="136"/>
      <c r="CM27542" s="111"/>
      <c r="CQ27542" s="111"/>
      <c r="EF27542"/>
      <c r="EG27542"/>
      <c r="EH27542"/>
      <c r="EI27542"/>
      <c r="EJ27542"/>
      <c r="EK27542"/>
    </row>
    <row r="27543" spans="1:141" s="116" customFormat="1">
      <c r="A27543" s="136"/>
      <c r="CM27543" s="111"/>
      <c r="CQ27543" s="111"/>
      <c r="EF27543"/>
      <c r="EG27543"/>
      <c r="EH27543"/>
      <c r="EI27543"/>
      <c r="EJ27543"/>
      <c r="EK27543"/>
    </row>
    <row r="27544" spans="1:141" s="116" customFormat="1">
      <c r="A27544" s="136"/>
      <c r="CM27544" s="111"/>
      <c r="CQ27544" s="111"/>
      <c r="EF27544"/>
      <c r="EG27544"/>
      <c r="EH27544"/>
      <c r="EI27544"/>
      <c r="EJ27544"/>
      <c r="EK27544"/>
    </row>
    <row r="27545" spans="1:141" s="116" customFormat="1">
      <c r="A27545" s="136"/>
      <c r="CM27545" s="111"/>
      <c r="CQ27545" s="111"/>
      <c r="EF27545"/>
      <c r="EG27545"/>
      <c r="EH27545"/>
      <c r="EI27545"/>
      <c r="EJ27545"/>
      <c r="EK27545"/>
    </row>
    <row r="27546" spans="1:141" s="116" customFormat="1">
      <c r="A27546" s="136"/>
      <c r="CM27546" s="111"/>
      <c r="CQ27546" s="111"/>
      <c r="EF27546"/>
      <c r="EG27546"/>
      <c r="EH27546"/>
      <c r="EI27546"/>
      <c r="EJ27546"/>
      <c r="EK27546"/>
    </row>
    <row r="27547" spans="1:141" s="116" customFormat="1">
      <c r="A27547" s="136"/>
      <c r="CM27547" s="111"/>
      <c r="CQ27547" s="111"/>
      <c r="EF27547"/>
      <c r="EG27547"/>
      <c r="EH27547"/>
      <c r="EI27547"/>
      <c r="EJ27547"/>
      <c r="EK27547"/>
    </row>
    <row r="27548" spans="1:141" s="116" customFormat="1">
      <c r="A27548" s="136"/>
      <c r="CM27548" s="111"/>
      <c r="CQ27548" s="111"/>
      <c r="EF27548"/>
      <c r="EG27548"/>
      <c r="EH27548"/>
      <c r="EI27548"/>
      <c r="EJ27548"/>
      <c r="EK27548"/>
    </row>
    <row r="27549" spans="1:141" s="116" customFormat="1">
      <c r="A27549" s="136"/>
      <c r="CM27549" s="111"/>
      <c r="CQ27549" s="111"/>
      <c r="EF27549"/>
      <c r="EG27549"/>
      <c r="EH27549"/>
      <c r="EI27549"/>
      <c r="EJ27549"/>
      <c r="EK27549"/>
    </row>
    <row r="27550" spans="1:141" s="116" customFormat="1">
      <c r="A27550" s="136"/>
      <c r="CM27550" s="111"/>
      <c r="CQ27550" s="111"/>
      <c r="EF27550"/>
      <c r="EG27550"/>
      <c r="EH27550"/>
      <c r="EI27550"/>
      <c r="EJ27550"/>
      <c r="EK27550"/>
    </row>
    <row r="27551" spans="1:141" s="116" customFormat="1">
      <c r="A27551" s="136"/>
      <c r="CM27551" s="111"/>
      <c r="CQ27551" s="111"/>
      <c r="EF27551"/>
      <c r="EG27551"/>
      <c r="EH27551"/>
      <c r="EI27551"/>
      <c r="EJ27551"/>
      <c r="EK27551"/>
    </row>
    <row r="27552" spans="1:141" s="116" customFormat="1">
      <c r="A27552" s="136"/>
      <c r="CM27552" s="111"/>
      <c r="CQ27552" s="111"/>
      <c r="EF27552"/>
      <c r="EG27552"/>
      <c r="EH27552"/>
      <c r="EI27552"/>
      <c r="EJ27552"/>
      <c r="EK27552"/>
    </row>
    <row r="27553" spans="1:141" s="116" customFormat="1">
      <c r="A27553" s="136"/>
      <c r="CM27553" s="111"/>
      <c r="CQ27553" s="111"/>
      <c r="EF27553"/>
      <c r="EG27553"/>
      <c r="EH27553"/>
      <c r="EI27553"/>
      <c r="EJ27553"/>
      <c r="EK27553"/>
    </row>
    <row r="27554" spans="1:141" s="116" customFormat="1">
      <c r="A27554" s="136"/>
      <c r="CM27554" s="111"/>
      <c r="CQ27554" s="111"/>
      <c r="EF27554"/>
      <c r="EG27554"/>
      <c r="EH27554"/>
      <c r="EI27554"/>
      <c r="EJ27554"/>
      <c r="EK27554"/>
    </row>
    <row r="27555" spans="1:141" s="116" customFormat="1">
      <c r="A27555" s="136"/>
      <c r="CM27555" s="111"/>
      <c r="CQ27555" s="111"/>
      <c r="EF27555"/>
      <c r="EG27555"/>
      <c r="EH27555"/>
      <c r="EI27555"/>
      <c r="EJ27555"/>
      <c r="EK27555"/>
    </row>
    <row r="27556" spans="1:141" s="116" customFormat="1">
      <c r="A27556" s="136"/>
      <c r="CM27556" s="111"/>
      <c r="CQ27556" s="111"/>
      <c r="EF27556"/>
      <c r="EG27556"/>
      <c r="EH27556"/>
      <c r="EI27556"/>
      <c r="EJ27556"/>
      <c r="EK27556"/>
    </row>
    <row r="27557" spans="1:141" s="116" customFormat="1">
      <c r="A27557" s="136"/>
      <c r="CM27557" s="111"/>
      <c r="CQ27557" s="111"/>
      <c r="EF27557"/>
      <c r="EG27557"/>
      <c r="EH27557"/>
      <c r="EI27557"/>
      <c r="EJ27557"/>
      <c r="EK27557"/>
    </row>
    <row r="27558" spans="1:141" s="116" customFormat="1">
      <c r="A27558" s="136"/>
      <c r="CM27558" s="111"/>
      <c r="CQ27558" s="111"/>
      <c r="EF27558"/>
      <c r="EG27558"/>
      <c r="EH27558"/>
      <c r="EI27558"/>
      <c r="EJ27558"/>
      <c r="EK27558"/>
    </row>
    <row r="27559" spans="1:141" s="116" customFormat="1">
      <c r="A27559" s="136"/>
      <c r="CM27559" s="111"/>
      <c r="CQ27559" s="111"/>
      <c r="EF27559"/>
      <c r="EG27559"/>
      <c r="EH27559"/>
      <c r="EI27559"/>
      <c r="EJ27559"/>
      <c r="EK27559"/>
    </row>
    <row r="27560" spans="1:141" s="116" customFormat="1">
      <c r="A27560" s="136"/>
      <c r="CM27560" s="111"/>
      <c r="CQ27560" s="111"/>
      <c r="EF27560"/>
      <c r="EG27560"/>
      <c r="EH27560"/>
      <c r="EI27560"/>
      <c r="EJ27560"/>
      <c r="EK27560"/>
    </row>
    <row r="27561" spans="1:141" s="116" customFormat="1">
      <c r="A27561" s="136"/>
      <c r="CM27561" s="111"/>
      <c r="CQ27561" s="111"/>
      <c r="EF27561"/>
      <c r="EG27561"/>
      <c r="EH27561"/>
      <c r="EI27561"/>
      <c r="EJ27561"/>
      <c r="EK27561"/>
    </row>
    <row r="27562" spans="1:141" s="116" customFormat="1">
      <c r="A27562" s="136"/>
      <c r="CM27562" s="111"/>
      <c r="CQ27562" s="111"/>
      <c r="EF27562"/>
      <c r="EG27562"/>
      <c r="EH27562"/>
      <c r="EI27562"/>
      <c r="EJ27562"/>
      <c r="EK27562"/>
    </row>
    <row r="27563" spans="1:141" s="116" customFormat="1">
      <c r="A27563" s="136"/>
      <c r="CM27563" s="111"/>
      <c r="CQ27563" s="111"/>
      <c r="EF27563"/>
      <c r="EG27563"/>
      <c r="EH27563"/>
      <c r="EI27563"/>
      <c r="EJ27563"/>
      <c r="EK27563"/>
    </row>
    <row r="27564" spans="1:141" s="116" customFormat="1">
      <c r="A27564" s="136"/>
      <c r="CM27564" s="111"/>
      <c r="CQ27564" s="111"/>
      <c r="EF27564"/>
      <c r="EG27564"/>
      <c r="EH27564"/>
      <c r="EI27564"/>
      <c r="EJ27564"/>
      <c r="EK27564"/>
    </row>
    <row r="27565" spans="1:141" s="116" customFormat="1">
      <c r="A27565" s="136"/>
      <c r="CM27565" s="111"/>
      <c r="CQ27565" s="111"/>
      <c r="EF27565"/>
      <c r="EG27565"/>
      <c r="EH27565"/>
      <c r="EI27565"/>
      <c r="EJ27565"/>
      <c r="EK27565"/>
    </row>
    <row r="27566" spans="1:141" s="116" customFormat="1">
      <c r="A27566" s="136"/>
      <c r="CM27566" s="111"/>
      <c r="CQ27566" s="111"/>
      <c r="EF27566"/>
      <c r="EG27566"/>
      <c r="EH27566"/>
      <c r="EI27566"/>
      <c r="EJ27566"/>
      <c r="EK27566"/>
    </row>
    <row r="27567" spans="1:141" s="116" customFormat="1">
      <c r="A27567" s="136"/>
      <c r="CM27567" s="111"/>
      <c r="CQ27567" s="111"/>
      <c r="EF27567"/>
      <c r="EG27567"/>
      <c r="EH27567"/>
      <c r="EI27567"/>
      <c r="EJ27567"/>
      <c r="EK27567"/>
    </row>
    <row r="27568" spans="1:141" s="116" customFormat="1">
      <c r="A27568" s="136"/>
      <c r="CM27568" s="111"/>
      <c r="CQ27568" s="111"/>
      <c r="EF27568"/>
      <c r="EG27568"/>
      <c r="EH27568"/>
      <c r="EI27568"/>
      <c r="EJ27568"/>
      <c r="EK27568"/>
    </row>
    <row r="27569" spans="1:141" s="116" customFormat="1">
      <c r="A27569" s="136"/>
      <c r="CM27569" s="111"/>
      <c r="CQ27569" s="111"/>
      <c r="EF27569"/>
      <c r="EG27569"/>
      <c r="EH27569"/>
      <c r="EI27569"/>
      <c r="EJ27569"/>
      <c r="EK27569"/>
    </row>
    <row r="27570" spans="1:141" s="116" customFormat="1">
      <c r="A27570" s="136"/>
      <c r="CM27570" s="111"/>
      <c r="CQ27570" s="111"/>
      <c r="EF27570"/>
      <c r="EG27570"/>
      <c r="EH27570"/>
      <c r="EI27570"/>
      <c r="EJ27570"/>
      <c r="EK27570"/>
    </row>
    <row r="27571" spans="1:141" s="116" customFormat="1">
      <c r="A27571" s="136"/>
      <c r="CM27571" s="111"/>
      <c r="CQ27571" s="111"/>
      <c r="EF27571"/>
      <c r="EG27571"/>
      <c r="EH27571"/>
      <c r="EI27571"/>
      <c r="EJ27571"/>
      <c r="EK27571"/>
    </row>
    <row r="27572" spans="1:141" s="116" customFormat="1">
      <c r="A27572" s="136"/>
      <c r="CM27572" s="111"/>
      <c r="CQ27572" s="111"/>
      <c r="EF27572"/>
      <c r="EG27572"/>
      <c r="EH27572"/>
      <c r="EI27572"/>
      <c r="EJ27572"/>
      <c r="EK27572"/>
    </row>
    <row r="27573" spans="1:141" s="116" customFormat="1">
      <c r="A27573" s="136"/>
      <c r="CM27573" s="111"/>
      <c r="CQ27573" s="111"/>
      <c r="EF27573"/>
      <c r="EG27573"/>
      <c r="EH27573"/>
      <c r="EI27573"/>
      <c r="EJ27573"/>
      <c r="EK27573"/>
    </row>
    <row r="27574" spans="1:141" s="116" customFormat="1">
      <c r="A27574" s="136"/>
      <c r="CM27574" s="111"/>
      <c r="CQ27574" s="111"/>
      <c r="EF27574"/>
      <c r="EG27574"/>
      <c r="EH27574"/>
      <c r="EI27574"/>
      <c r="EJ27574"/>
      <c r="EK27574"/>
    </row>
    <row r="27575" spans="1:141" s="116" customFormat="1">
      <c r="A27575" s="136"/>
      <c r="CM27575" s="111"/>
      <c r="CQ27575" s="111"/>
      <c r="EF27575"/>
      <c r="EG27575"/>
      <c r="EH27575"/>
      <c r="EI27575"/>
      <c r="EJ27575"/>
      <c r="EK27575"/>
    </row>
    <row r="27576" spans="1:141" s="116" customFormat="1">
      <c r="A27576" s="136"/>
      <c r="CM27576" s="111"/>
      <c r="CQ27576" s="111"/>
      <c r="EF27576"/>
      <c r="EG27576"/>
      <c r="EH27576"/>
      <c r="EI27576"/>
      <c r="EJ27576"/>
      <c r="EK27576"/>
    </row>
    <row r="27577" spans="1:141" s="116" customFormat="1">
      <c r="A27577" s="136"/>
      <c r="CM27577" s="111"/>
      <c r="CQ27577" s="111"/>
      <c r="EF27577"/>
      <c r="EG27577"/>
      <c r="EH27577"/>
      <c r="EI27577"/>
      <c r="EJ27577"/>
      <c r="EK27577"/>
    </row>
    <row r="27578" spans="1:141" s="116" customFormat="1">
      <c r="A27578" s="136"/>
      <c r="CM27578" s="111"/>
      <c r="CQ27578" s="111"/>
      <c r="EF27578"/>
      <c r="EG27578"/>
      <c r="EH27578"/>
      <c r="EI27578"/>
      <c r="EJ27578"/>
      <c r="EK27578"/>
    </row>
    <row r="27579" spans="1:141" s="116" customFormat="1">
      <c r="A27579" s="136"/>
      <c r="CM27579" s="111"/>
      <c r="CQ27579" s="111"/>
      <c r="EF27579"/>
      <c r="EG27579"/>
      <c r="EH27579"/>
      <c r="EI27579"/>
      <c r="EJ27579"/>
      <c r="EK27579"/>
    </row>
    <row r="27580" spans="1:141" s="116" customFormat="1">
      <c r="A27580" s="136"/>
      <c r="CM27580" s="111"/>
      <c r="CQ27580" s="111"/>
      <c r="EF27580"/>
      <c r="EG27580"/>
      <c r="EH27580"/>
      <c r="EI27580"/>
      <c r="EJ27580"/>
      <c r="EK27580"/>
    </row>
    <row r="27581" spans="1:141" s="116" customFormat="1">
      <c r="A27581" s="136"/>
      <c r="CM27581" s="111"/>
      <c r="CQ27581" s="111"/>
      <c r="EF27581"/>
      <c r="EG27581"/>
      <c r="EH27581"/>
      <c r="EI27581"/>
      <c r="EJ27581"/>
      <c r="EK27581"/>
    </row>
    <row r="27582" spans="1:141" s="116" customFormat="1">
      <c r="A27582" s="136"/>
      <c r="CM27582" s="111"/>
      <c r="CQ27582" s="111"/>
      <c r="EF27582"/>
      <c r="EG27582"/>
      <c r="EH27582"/>
      <c r="EI27582"/>
      <c r="EJ27582"/>
      <c r="EK27582"/>
    </row>
    <row r="27583" spans="1:141" s="116" customFormat="1">
      <c r="A27583" s="136"/>
      <c r="CM27583" s="111"/>
      <c r="CQ27583" s="111"/>
      <c r="EF27583"/>
      <c r="EG27583"/>
      <c r="EH27583"/>
      <c r="EI27583"/>
      <c r="EJ27583"/>
      <c r="EK27583"/>
    </row>
    <row r="27584" spans="1:141" s="116" customFormat="1">
      <c r="A27584" s="136"/>
      <c r="CM27584" s="111"/>
      <c r="CQ27584" s="111"/>
      <c r="EF27584"/>
      <c r="EG27584"/>
      <c r="EH27584"/>
      <c r="EI27584"/>
      <c r="EJ27584"/>
      <c r="EK27584"/>
    </row>
    <row r="27585" spans="1:141" s="116" customFormat="1">
      <c r="A27585" s="136"/>
      <c r="CM27585" s="111"/>
      <c r="CQ27585" s="111"/>
      <c r="EF27585"/>
      <c r="EG27585"/>
      <c r="EH27585"/>
      <c r="EI27585"/>
      <c r="EJ27585"/>
      <c r="EK27585"/>
    </row>
    <row r="27586" spans="1:141" s="116" customFormat="1">
      <c r="A27586" s="136"/>
      <c r="CM27586" s="111"/>
      <c r="CQ27586" s="111"/>
      <c r="EF27586"/>
      <c r="EG27586"/>
      <c r="EH27586"/>
      <c r="EI27586"/>
      <c r="EJ27586"/>
      <c r="EK27586"/>
    </row>
    <row r="27587" spans="1:141" s="116" customFormat="1">
      <c r="A27587" s="136"/>
      <c r="CM27587" s="111"/>
      <c r="CQ27587" s="111"/>
      <c r="EF27587"/>
      <c r="EG27587"/>
      <c r="EH27587"/>
      <c r="EI27587"/>
      <c r="EJ27587"/>
      <c r="EK27587"/>
    </row>
    <row r="27588" spans="1:141" s="116" customFormat="1">
      <c r="A27588" s="136"/>
      <c r="CM27588" s="111"/>
      <c r="CQ27588" s="111"/>
      <c r="EF27588"/>
      <c r="EG27588"/>
      <c r="EH27588"/>
      <c r="EI27588"/>
      <c r="EJ27588"/>
      <c r="EK27588"/>
    </row>
    <row r="27589" spans="1:141" s="116" customFormat="1">
      <c r="A27589" s="136"/>
      <c r="CM27589" s="111"/>
      <c r="CQ27589" s="111"/>
      <c r="EF27589"/>
      <c r="EG27589"/>
      <c r="EH27589"/>
      <c r="EI27589"/>
      <c r="EJ27589"/>
      <c r="EK27589"/>
    </row>
    <row r="27590" spans="1:141" s="116" customFormat="1">
      <c r="A27590" s="136"/>
      <c r="CM27590" s="111"/>
      <c r="CQ27590" s="111"/>
      <c r="EF27590"/>
      <c r="EG27590"/>
      <c r="EH27590"/>
      <c r="EI27590"/>
      <c r="EJ27590"/>
      <c r="EK27590"/>
    </row>
    <row r="27591" spans="1:141" s="116" customFormat="1">
      <c r="A27591" s="136"/>
      <c r="CM27591" s="111"/>
      <c r="CQ27591" s="111"/>
      <c r="EF27591"/>
      <c r="EG27591"/>
      <c r="EH27591"/>
      <c r="EI27591"/>
      <c r="EJ27591"/>
      <c r="EK27591"/>
    </row>
    <row r="27592" spans="1:141" s="116" customFormat="1">
      <c r="A27592" s="136"/>
      <c r="CM27592" s="111"/>
      <c r="CQ27592" s="111"/>
      <c r="EF27592"/>
      <c r="EG27592"/>
      <c r="EH27592"/>
      <c r="EI27592"/>
      <c r="EJ27592"/>
      <c r="EK27592"/>
    </row>
    <row r="27593" spans="1:141" s="116" customFormat="1">
      <c r="A27593" s="136"/>
      <c r="CM27593" s="111"/>
      <c r="CQ27593" s="111"/>
      <c r="EF27593"/>
      <c r="EG27593"/>
      <c r="EH27593"/>
      <c r="EI27593"/>
      <c r="EJ27593"/>
      <c r="EK27593"/>
    </row>
    <row r="27594" spans="1:141" s="116" customFormat="1">
      <c r="A27594" s="136"/>
      <c r="CM27594" s="111"/>
      <c r="CQ27594" s="111"/>
      <c r="EF27594"/>
      <c r="EG27594"/>
      <c r="EH27594"/>
      <c r="EI27594"/>
      <c r="EJ27594"/>
      <c r="EK27594"/>
    </row>
    <row r="27595" spans="1:141" s="116" customFormat="1">
      <c r="A27595" s="136"/>
      <c r="CM27595" s="111"/>
      <c r="CQ27595" s="111"/>
      <c r="EF27595"/>
      <c r="EG27595"/>
      <c r="EH27595"/>
      <c r="EI27595"/>
      <c r="EJ27595"/>
      <c r="EK27595"/>
    </row>
    <row r="27596" spans="1:141" s="116" customFormat="1">
      <c r="A27596" s="136"/>
      <c r="CM27596" s="111"/>
      <c r="CQ27596" s="111"/>
      <c r="EF27596"/>
      <c r="EG27596"/>
      <c r="EH27596"/>
      <c r="EI27596"/>
      <c r="EJ27596"/>
      <c r="EK27596"/>
    </row>
    <row r="27597" spans="1:141" s="116" customFormat="1">
      <c r="A27597" s="136"/>
      <c r="CM27597" s="111"/>
      <c r="CQ27597" s="111"/>
      <c r="EF27597"/>
      <c r="EG27597"/>
      <c r="EH27597"/>
      <c r="EI27597"/>
      <c r="EJ27597"/>
      <c r="EK27597"/>
    </row>
    <row r="27598" spans="1:141" s="116" customFormat="1">
      <c r="A27598" s="136"/>
      <c r="CM27598" s="111"/>
      <c r="CQ27598" s="111"/>
      <c r="EF27598"/>
      <c r="EG27598"/>
      <c r="EH27598"/>
      <c r="EI27598"/>
      <c r="EJ27598"/>
      <c r="EK27598"/>
    </row>
    <row r="27599" spans="1:141" s="116" customFormat="1">
      <c r="A27599" s="136"/>
      <c r="CM27599" s="111"/>
      <c r="CQ27599" s="111"/>
      <c r="EF27599"/>
      <c r="EG27599"/>
      <c r="EH27599"/>
      <c r="EI27599"/>
      <c r="EJ27599"/>
      <c r="EK27599"/>
    </row>
    <row r="27600" spans="1:141" s="116" customFormat="1">
      <c r="A27600" s="136"/>
      <c r="CM27600" s="111"/>
      <c r="CQ27600" s="111"/>
      <c r="EF27600"/>
      <c r="EG27600"/>
      <c r="EH27600"/>
      <c r="EI27600"/>
      <c r="EJ27600"/>
      <c r="EK27600"/>
    </row>
    <row r="27601" spans="1:141" s="116" customFormat="1">
      <c r="A27601" s="136"/>
      <c r="CM27601" s="111"/>
      <c r="CQ27601" s="111"/>
      <c r="EF27601"/>
      <c r="EG27601"/>
      <c r="EH27601"/>
      <c r="EI27601"/>
      <c r="EJ27601"/>
      <c r="EK27601"/>
    </row>
    <row r="27602" spans="1:141" s="116" customFormat="1">
      <c r="A27602" s="136"/>
      <c r="CM27602" s="111"/>
      <c r="CQ27602" s="111"/>
      <c r="EF27602"/>
      <c r="EG27602"/>
      <c r="EH27602"/>
      <c r="EI27602"/>
      <c r="EJ27602"/>
      <c r="EK27602"/>
    </row>
    <row r="27603" spans="1:141" s="116" customFormat="1">
      <c r="A27603" s="136"/>
      <c r="CM27603" s="111"/>
      <c r="CQ27603" s="111"/>
      <c r="EF27603"/>
      <c r="EG27603"/>
      <c r="EH27603"/>
      <c r="EI27603"/>
      <c r="EJ27603"/>
      <c r="EK27603"/>
    </row>
    <row r="27604" spans="1:141" s="116" customFormat="1">
      <c r="A27604" s="136"/>
      <c r="CM27604" s="111"/>
      <c r="CQ27604" s="111"/>
      <c r="EF27604"/>
      <c r="EG27604"/>
      <c r="EH27604"/>
      <c r="EI27604"/>
      <c r="EJ27604"/>
      <c r="EK27604"/>
    </row>
    <row r="27605" spans="1:141" s="116" customFormat="1">
      <c r="A27605" s="136"/>
      <c r="CM27605" s="111"/>
      <c r="CQ27605" s="111"/>
      <c r="EF27605"/>
      <c r="EG27605"/>
      <c r="EH27605"/>
      <c r="EI27605"/>
      <c r="EJ27605"/>
      <c r="EK27605"/>
    </row>
    <row r="27606" spans="1:141" s="116" customFormat="1">
      <c r="A27606" s="136"/>
      <c r="CM27606" s="111"/>
      <c r="CQ27606" s="111"/>
      <c r="EF27606"/>
      <c r="EG27606"/>
      <c r="EH27606"/>
      <c r="EI27606"/>
      <c r="EJ27606"/>
      <c r="EK27606"/>
    </row>
    <row r="27607" spans="1:141" s="116" customFormat="1">
      <c r="A27607" s="136"/>
      <c r="CM27607" s="111"/>
      <c r="CQ27607" s="111"/>
      <c r="EF27607"/>
      <c r="EG27607"/>
      <c r="EH27607"/>
      <c r="EI27607"/>
      <c r="EJ27607"/>
      <c r="EK27607"/>
    </row>
    <row r="27608" spans="1:141" s="116" customFormat="1">
      <c r="A27608" s="136"/>
      <c r="CM27608" s="111"/>
      <c r="CQ27608" s="111"/>
      <c r="EF27608"/>
      <c r="EG27608"/>
      <c r="EH27608"/>
      <c r="EI27608"/>
      <c r="EJ27608"/>
      <c r="EK27608"/>
    </row>
    <row r="27609" spans="1:141" s="116" customFormat="1">
      <c r="A27609" s="136"/>
      <c r="CM27609" s="111"/>
      <c r="CQ27609" s="111"/>
      <c r="EF27609"/>
      <c r="EG27609"/>
      <c r="EH27609"/>
      <c r="EI27609"/>
      <c r="EJ27609"/>
      <c r="EK27609"/>
    </row>
    <row r="27610" spans="1:141" s="116" customFormat="1">
      <c r="A27610" s="136"/>
      <c r="CM27610" s="111"/>
      <c r="CQ27610" s="111"/>
      <c r="EF27610"/>
      <c r="EG27610"/>
      <c r="EH27610"/>
      <c r="EI27610"/>
      <c r="EJ27610"/>
      <c r="EK27610"/>
    </row>
    <row r="27611" spans="1:141" s="116" customFormat="1">
      <c r="A27611" s="136"/>
      <c r="CM27611" s="111"/>
      <c r="CQ27611" s="111"/>
      <c r="EF27611"/>
      <c r="EG27611"/>
      <c r="EH27611"/>
      <c r="EI27611"/>
      <c r="EJ27611"/>
      <c r="EK27611"/>
    </row>
    <row r="27612" spans="1:141" s="116" customFormat="1">
      <c r="A27612" s="136"/>
      <c r="CM27612" s="111"/>
      <c r="CQ27612" s="111"/>
      <c r="EF27612"/>
      <c r="EG27612"/>
      <c r="EH27612"/>
      <c r="EI27612"/>
      <c r="EJ27612"/>
      <c r="EK27612"/>
    </row>
    <row r="27613" spans="1:141" s="116" customFormat="1">
      <c r="A27613" s="136"/>
      <c r="CM27613" s="111"/>
      <c r="CQ27613" s="111"/>
      <c r="EF27613"/>
      <c r="EG27613"/>
      <c r="EH27613"/>
      <c r="EI27613"/>
      <c r="EJ27613"/>
      <c r="EK27613"/>
    </row>
    <row r="27614" spans="1:141" s="116" customFormat="1">
      <c r="A27614" s="136"/>
      <c r="CM27614" s="111"/>
      <c r="CQ27614" s="111"/>
      <c r="EF27614"/>
      <c r="EG27614"/>
      <c r="EH27614"/>
      <c r="EI27614"/>
      <c r="EJ27614"/>
      <c r="EK27614"/>
    </row>
    <row r="27615" spans="1:141" s="116" customFormat="1">
      <c r="A27615" s="136"/>
      <c r="CM27615" s="111"/>
      <c r="CQ27615" s="111"/>
      <c r="EF27615"/>
      <c r="EG27615"/>
      <c r="EH27615"/>
      <c r="EI27615"/>
      <c r="EJ27615"/>
      <c r="EK27615"/>
    </row>
    <row r="27616" spans="1:141" s="116" customFormat="1">
      <c r="A27616" s="136"/>
      <c r="CM27616" s="111"/>
      <c r="CQ27616" s="111"/>
      <c r="EF27616"/>
      <c r="EG27616"/>
      <c r="EH27616"/>
      <c r="EI27616"/>
      <c r="EJ27616"/>
      <c r="EK27616"/>
    </row>
    <row r="27617" spans="1:141" s="116" customFormat="1">
      <c r="A27617" s="136"/>
      <c r="CM27617" s="111"/>
      <c r="CQ27617" s="111"/>
      <c r="EF27617"/>
      <c r="EG27617"/>
      <c r="EH27617"/>
      <c r="EI27617"/>
      <c r="EJ27617"/>
      <c r="EK27617"/>
    </row>
    <row r="27618" spans="1:141" s="116" customFormat="1">
      <c r="A27618" s="136"/>
      <c r="CM27618" s="111"/>
      <c r="CQ27618" s="111"/>
      <c r="EF27618"/>
      <c r="EG27618"/>
      <c r="EH27618"/>
      <c r="EI27618"/>
      <c r="EJ27618"/>
      <c r="EK27618"/>
    </row>
    <row r="27619" spans="1:141" s="116" customFormat="1">
      <c r="A27619" s="136"/>
      <c r="CM27619" s="111"/>
      <c r="CQ27619" s="111"/>
      <c r="EF27619"/>
      <c r="EG27619"/>
      <c r="EH27619"/>
      <c r="EI27619"/>
      <c r="EJ27619"/>
      <c r="EK27619"/>
    </row>
    <row r="27620" spans="1:141" s="116" customFormat="1">
      <c r="A27620" s="136"/>
      <c r="CM27620" s="111"/>
      <c r="CQ27620" s="111"/>
      <c r="EF27620"/>
      <c r="EG27620"/>
      <c r="EH27620"/>
      <c r="EI27620"/>
      <c r="EJ27620"/>
      <c r="EK27620"/>
    </row>
    <row r="27621" spans="1:141" s="116" customFormat="1">
      <c r="A27621" s="136"/>
      <c r="CM27621" s="111"/>
      <c r="CQ27621" s="111"/>
      <c r="EF27621"/>
      <c r="EG27621"/>
      <c r="EH27621"/>
      <c r="EI27621"/>
      <c r="EJ27621"/>
      <c r="EK27621"/>
    </row>
    <row r="27622" spans="1:141" s="116" customFormat="1">
      <c r="A27622" s="136"/>
      <c r="CM27622" s="111"/>
      <c r="CQ27622" s="111"/>
      <c r="EF27622"/>
      <c r="EG27622"/>
      <c r="EH27622"/>
      <c r="EI27622"/>
      <c r="EJ27622"/>
      <c r="EK27622"/>
    </row>
    <row r="27623" spans="1:141" s="116" customFormat="1">
      <c r="A27623" s="136"/>
      <c r="CM27623" s="111"/>
      <c r="CQ27623" s="111"/>
      <c r="EF27623"/>
      <c r="EG27623"/>
      <c r="EH27623"/>
      <c r="EI27623"/>
      <c r="EJ27623"/>
      <c r="EK27623"/>
    </row>
    <row r="27624" spans="1:141" s="116" customFormat="1">
      <c r="A27624" s="136"/>
      <c r="CM27624" s="111"/>
      <c r="CQ27624" s="111"/>
      <c r="EF27624"/>
      <c r="EG27624"/>
      <c r="EH27624"/>
      <c r="EI27624"/>
      <c r="EJ27624"/>
      <c r="EK27624"/>
    </row>
    <row r="27625" spans="1:141" s="116" customFormat="1">
      <c r="A27625" s="136"/>
      <c r="CM27625" s="111"/>
      <c r="CQ27625" s="111"/>
      <c r="EF27625"/>
      <c r="EG27625"/>
      <c r="EH27625"/>
      <c r="EI27625"/>
      <c r="EJ27625"/>
      <c r="EK27625"/>
    </row>
    <row r="27626" spans="1:141" s="116" customFormat="1">
      <c r="A27626" s="136"/>
      <c r="CM27626" s="111"/>
      <c r="CQ27626" s="111"/>
      <c r="EF27626"/>
      <c r="EG27626"/>
      <c r="EH27626"/>
      <c r="EI27626"/>
      <c r="EJ27626"/>
      <c r="EK27626"/>
    </row>
    <row r="27627" spans="1:141" s="116" customFormat="1">
      <c r="A27627" s="136"/>
      <c r="CM27627" s="111"/>
      <c r="CQ27627" s="111"/>
      <c r="EF27627"/>
      <c r="EG27627"/>
      <c r="EH27627"/>
      <c r="EI27627"/>
      <c r="EJ27627"/>
      <c r="EK27627"/>
    </row>
    <row r="27628" spans="1:141" s="116" customFormat="1">
      <c r="A27628" s="136"/>
      <c r="CM27628" s="111"/>
      <c r="CQ27628" s="111"/>
      <c r="EF27628"/>
      <c r="EG27628"/>
      <c r="EH27628"/>
      <c r="EI27628"/>
      <c r="EJ27628"/>
      <c r="EK27628"/>
    </row>
    <row r="27629" spans="1:141" s="116" customFormat="1">
      <c r="A27629" s="136"/>
      <c r="CM27629" s="111"/>
      <c r="CQ27629" s="111"/>
      <c r="EF27629"/>
      <c r="EG27629"/>
      <c r="EH27629"/>
      <c r="EI27629"/>
      <c r="EJ27629"/>
      <c r="EK27629"/>
    </row>
    <row r="27630" spans="1:141" s="116" customFormat="1">
      <c r="A27630" s="136"/>
      <c r="CM27630" s="111"/>
      <c r="CQ27630" s="111"/>
      <c r="EF27630"/>
      <c r="EG27630"/>
      <c r="EH27630"/>
      <c r="EI27630"/>
      <c r="EJ27630"/>
      <c r="EK27630"/>
    </row>
    <row r="27631" spans="1:141" s="116" customFormat="1">
      <c r="A27631" s="136"/>
      <c r="CM27631" s="111"/>
      <c r="CQ27631" s="111"/>
      <c r="EF27631"/>
      <c r="EG27631"/>
      <c r="EH27631"/>
      <c r="EI27631"/>
      <c r="EJ27631"/>
      <c r="EK27631"/>
    </row>
    <row r="27632" spans="1:141" s="116" customFormat="1">
      <c r="A27632" s="136"/>
      <c r="CM27632" s="111"/>
      <c r="CQ27632" s="111"/>
      <c r="EF27632"/>
      <c r="EG27632"/>
      <c r="EH27632"/>
      <c r="EI27632"/>
      <c r="EJ27632"/>
      <c r="EK27632"/>
    </row>
    <row r="27633" spans="1:141" s="116" customFormat="1">
      <c r="A27633" s="136"/>
      <c r="CM27633" s="111"/>
      <c r="CQ27633" s="111"/>
      <c r="EF27633"/>
      <c r="EG27633"/>
      <c r="EH27633"/>
      <c r="EI27633"/>
      <c r="EJ27633"/>
      <c r="EK27633"/>
    </row>
    <row r="27634" spans="1:141" s="116" customFormat="1">
      <c r="A27634" s="136"/>
      <c r="CM27634" s="111"/>
      <c r="CQ27634" s="111"/>
      <c r="EF27634"/>
      <c r="EG27634"/>
      <c r="EH27634"/>
      <c r="EI27634"/>
      <c r="EJ27634"/>
      <c r="EK27634"/>
    </row>
    <row r="27635" spans="1:141" s="116" customFormat="1">
      <c r="A27635" s="136"/>
      <c r="CM27635" s="111"/>
      <c r="CQ27635" s="111"/>
      <c r="EF27635"/>
      <c r="EG27635"/>
      <c r="EH27635"/>
      <c r="EI27635"/>
      <c r="EJ27635"/>
      <c r="EK27635"/>
    </row>
    <row r="27636" spans="1:141" s="116" customFormat="1">
      <c r="A27636" s="136"/>
      <c r="CM27636" s="111"/>
      <c r="CQ27636" s="111"/>
      <c r="EF27636"/>
      <c r="EG27636"/>
      <c r="EH27636"/>
      <c r="EI27636"/>
      <c r="EJ27636"/>
      <c r="EK27636"/>
    </row>
    <row r="27637" spans="1:141" s="116" customFormat="1">
      <c r="A27637" s="136"/>
      <c r="CM27637" s="111"/>
      <c r="CQ27637" s="111"/>
      <c r="EF27637"/>
      <c r="EG27637"/>
      <c r="EH27637"/>
      <c r="EI27637"/>
      <c r="EJ27637"/>
      <c r="EK27637"/>
    </row>
    <row r="27638" spans="1:141" s="116" customFormat="1">
      <c r="A27638" s="136"/>
      <c r="CM27638" s="111"/>
      <c r="CQ27638" s="111"/>
      <c r="EF27638"/>
      <c r="EG27638"/>
      <c r="EH27638"/>
      <c r="EI27638"/>
      <c r="EJ27638"/>
      <c r="EK27638"/>
    </row>
    <row r="27639" spans="1:141" s="116" customFormat="1">
      <c r="A27639" s="136"/>
      <c r="CM27639" s="111"/>
      <c r="CQ27639" s="111"/>
      <c r="EF27639"/>
      <c r="EG27639"/>
      <c r="EH27639"/>
      <c r="EI27639"/>
      <c r="EJ27639"/>
      <c r="EK27639"/>
    </row>
    <row r="27640" spans="1:141" s="116" customFormat="1">
      <c r="A27640" s="136"/>
      <c r="CM27640" s="111"/>
      <c r="CQ27640" s="111"/>
      <c r="EF27640"/>
      <c r="EG27640"/>
      <c r="EH27640"/>
      <c r="EI27640"/>
      <c r="EJ27640"/>
      <c r="EK27640"/>
    </row>
    <row r="27641" spans="1:141" s="116" customFormat="1">
      <c r="A27641" s="136"/>
      <c r="CM27641" s="111"/>
      <c r="CQ27641" s="111"/>
      <c r="EF27641"/>
      <c r="EG27641"/>
      <c r="EH27641"/>
      <c r="EI27641"/>
      <c r="EJ27641"/>
      <c r="EK27641"/>
    </row>
    <row r="27642" spans="1:141" s="116" customFormat="1">
      <c r="A27642" s="136"/>
      <c r="CM27642" s="111"/>
      <c r="CQ27642" s="111"/>
      <c r="EF27642"/>
      <c r="EG27642"/>
      <c r="EH27642"/>
      <c r="EI27642"/>
      <c r="EJ27642"/>
      <c r="EK27642"/>
    </row>
    <row r="27643" spans="1:141" s="116" customFormat="1">
      <c r="A27643" s="136"/>
      <c r="CM27643" s="111"/>
      <c r="CQ27643" s="111"/>
      <c r="EF27643"/>
      <c r="EG27643"/>
      <c r="EH27643"/>
      <c r="EI27643"/>
      <c r="EJ27643"/>
      <c r="EK27643"/>
    </row>
    <row r="27644" spans="1:141" s="116" customFormat="1">
      <c r="A27644" s="136"/>
      <c r="CM27644" s="111"/>
      <c r="CQ27644" s="111"/>
      <c r="EF27644"/>
      <c r="EG27644"/>
      <c r="EH27644"/>
      <c r="EI27644"/>
      <c r="EJ27644"/>
      <c r="EK27644"/>
    </row>
    <row r="27645" spans="1:141" s="116" customFormat="1">
      <c r="A27645" s="136"/>
      <c r="CM27645" s="111"/>
      <c r="CQ27645" s="111"/>
      <c r="EF27645"/>
      <c r="EG27645"/>
      <c r="EH27645"/>
      <c r="EI27645"/>
      <c r="EJ27645"/>
      <c r="EK27645"/>
    </row>
    <row r="27646" spans="1:141" s="116" customFormat="1">
      <c r="A27646" s="136"/>
      <c r="CM27646" s="111"/>
      <c r="CQ27646" s="111"/>
      <c r="EF27646"/>
      <c r="EG27646"/>
      <c r="EH27646"/>
      <c r="EI27646"/>
      <c r="EJ27646"/>
      <c r="EK27646"/>
    </row>
    <row r="27647" spans="1:141" s="116" customFormat="1">
      <c r="A27647" s="136"/>
      <c r="CM27647" s="111"/>
      <c r="CQ27647" s="111"/>
      <c r="EF27647"/>
      <c r="EG27647"/>
      <c r="EH27647"/>
      <c r="EI27647"/>
      <c r="EJ27647"/>
      <c r="EK27647"/>
    </row>
    <row r="27648" spans="1:141" s="116" customFormat="1">
      <c r="A27648" s="136"/>
      <c r="CM27648" s="111"/>
      <c r="CQ27648" s="111"/>
      <c r="EF27648"/>
      <c r="EG27648"/>
      <c r="EH27648"/>
      <c r="EI27648"/>
      <c r="EJ27648"/>
      <c r="EK27648"/>
    </row>
    <row r="27649" spans="1:141" s="116" customFormat="1">
      <c r="A27649" s="136"/>
      <c r="CM27649" s="111"/>
      <c r="CQ27649" s="111"/>
      <c r="EF27649"/>
      <c r="EG27649"/>
      <c r="EH27649"/>
      <c r="EI27649"/>
      <c r="EJ27649"/>
      <c r="EK27649"/>
    </row>
    <row r="27650" spans="1:141" s="116" customFormat="1">
      <c r="A27650" s="136"/>
      <c r="CM27650" s="111"/>
      <c r="CQ27650" s="111"/>
      <c r="EF27650"/>
      <c r="EG27650"/>
      <c r="EH27650"/>
      <c r="EI27650"/>
      <c r="EJ27650"/>
      <c r="EK27650"/>
    </row>
    <row r="27651" spans="1:141" s="116" customFormat="1">
      <c r="A27651" s="136"/>
      <c r="CM27651" s="111"/>
      <c r="CQ27651" s="111"/>
      <c r="EF27651"/>
      <c r="EG27651"/>
      <c r="EH27651"/>
      <c r="EI27651"/>
      <c r="EJ27651"/>
      <c r="EK27651"/>
    </row>
    <row r="27652" spans="1:141" s="116" customFormat="1">
      <c r="A27652" s="136"/>
      <c r="CM27652" s="111"/>
      <c r="CQ27652" s="111"/>
      <c r="EF27652"/>
      <c r="EG27652"/>
      <c r="EH27652"/>
      <c r="EI27652"/>
      <c r="EJ27652"/>
      <c r="EK27652"/>
    </row>
    <row r="27653" spans="1:141" s="116" customFormat="1">
      <c r="A27653" s="136"/>
      <c r="CM27653" s="111"/>
      <c r="CQ27653" s="111"/>
      <c r="EF27653"/>
      <c r="EG27653"/>
      <c r="EH27653"/>
      <c r="EI27653"/>
      <c r="EJ27653"/>
      <c r="EK27653"/>
    </row>
    <row r="27654" spans="1:141" s="116" customFormat="1">
      <c r="A27654" s="136"/>
      <c r="CM27654" s="111"/>
      <c r="CQ27654" s="111"/>
      <c r="EF27654"/>
      <c r="EG27654"/>
      <c r="EH27654"/>
      <c r="EI27654"/>
      <c r="EJ27654"/>
      <c r="EK27654"/>
    </row>
    <row r="27655" spans="1:141" s="116" customFormat="1">
      <c r="A27655" s="136"/>
      <c r="CM27655" s="111"/>
      <c r="CQ27655" s="111"/>
      <c r="EF27655"/>
      <c r="EG27655"/>
      <c r="EH27655"/>
      <c r="EI27655"/>
      <c r="EJ27655"/>
      <c r="EK27655"/>
    </row>
    <row r="27656" spans="1:141" s="116" customFormat="1">
      <c r="A27656" s="136"/>
      <c r="CM27656" s="111"/>
      <c r="CQ27656" s="111"/>
      <c r="EF27656"/>
      <c r="EG27656"/>
      <c r="EH27656"/>
      <c r="EI27656"/>
      <c r="EJ27656"/>
      <c r="EK27656"/>
    </row>
    <row r="27657" spans="1:141" s="116" customFormat="1">
      <c r="A27657" s="136"/>
      <c r="CM27657" s="111"/>
      <c r="CQ27657" s="111"/>
      <c r="EF27657"/>
      <c r="EG27657"/>
      <c r="EH27657"/>
      <c r="EI27657"/>
      <c r="EJ27657"/>
      <c r="EK27657"/>
    </row>
    <row r="27658" spans="1:141" s="116" customFormat="1">
      <c r="A27658" s="136"/>
      <c r="CM27658" s="111"/>
      <c r="CQ27658" s="111"/>
      <c r="EF27658"/>
      <c r="EG27658"/>
      <c r="EH27658"/>
      <c r="EI27658"/>
      <c r="EJ27658"/>
      <c r="EK27658"/>
    </row>
    <row r="27659" spans="1:141" s="116" customFormat="1">
      <c r="A27659" s="136"/>
      <c r="CM27659" s="111"/>
      <c r="CQ27659" s="111"/>
      <c r="EF27659"/>
      <c r="EG27659"/>
      <c r="EH27659"/>
      <c r="EI27659"/>
      <c r="EJ27659"/>
      <c r="EK27659"/>
    </row>
    <row r="27660" spans="1:141" s="116" customFormat="1">
      <c r="A27660" s="136"/>
      <c r="CM27660" s="111"/>
      <c r="CQ27660" s="111"/>
      <c r="EF27660"/>
      <c r="EG27660"/>
      <c r="EH27660"/>
      <c r="EI27660"/>
      <c r="EJ27660"/>
      <c r="EK27660"/>
    </row>
    <row r="27661" spans="1:141" s="116" customFormat="1">
      <c r="A27661" s="136"/>
      <c r="CM27661" s="111"/>
      <c r="CQ27661" s="111"/>
      <c r="EF27661"/>
      <c r="EG27661"/>
      <c r="EH27661"/>
      <c r="EI27661"/>
      <c r="EJ27661"/>
      <c r="EK27661"/>
    </row>
    <row r="27662" spans="1:141" s="116" customFormat="1">
      <c r="A27662" s="136"/>
      <c r="CM27662" s="111"/>
      <c r="CQ27662" s="111"/>
      <c r="EF27662"/>
      <c r="EG27662"/>
      <c r="EH27662"/>
      <c r="EI27662"/>
      <c r="EJ27662"/>
      <c r="EK27662"/>
    </row>
    <row r="27663" spans="1:141" s="116" customFormat="1">
      <c r="A27663" s="136"/>
      <c r="CM27663" s="111"/>
      <c r="CQ27663" s="111"/>
      <c r="EF27663"/>
      <c r="EG27663"/>
      <c r="EH27663"/>
      <c r="EI27663"/>
      <c r="EJ27663"/>
      <c r="EK27663"/>
    </row>
    <row r="27664" spans="1:141" s="116" customFormat="1">
      <c r="A27664" s="136"/>
      <c r="CM27664" s="111"/>
      <c r="CQ27664" s="111"/>
      <c r="EF27664"/>
      <c r="EG27664"/>
      <c r="EH27664"/>
      <c r="EI27664"/>
      <c r="EJ27664"/>
      <c r="EK27664"/>
    </row>
    <row r="27665" spans="1:141" s="116" customFormat="1">
      <c r="A27665" s="136"/>
      <c r="CM27665" s="111"/>
      <c r="CQ27665" s="111"/>
      <c r="EF27665"/>
      <c r="EG27665"/>
      <c r="EH27665"/>
      <c r="EI27665"/>
      <c r="EJ27665"/>
      <c r="EK27665"/>
    </row>
    <row r="27666" spans="1:141" s="116" customFormat="1">
      <c r="A27666" s="136"/>
      <c r="CM27666" s="111"/>
      <c r="CQ27666" s="111"/>
      <c r="EF27666"/>
      <c r="EG27666"/>
      <c r="EH27666"/>
      <c r="EI27666"/>
      <c r="EJ27666"/>
      <c r="EK27666"/>
    </row>
    <row r="27667" spans="1:141" s="116" customFormat="1">
      <c r="A27667" s="136"/>
      <c r="CM27667" s="111"/>
      <c r="CQ27667" s="111"/>
      <c r="EF27667"/>
      <c r="EG27667"/>
      <c r="EH27667"/>
      <c r="EI27667"/>
      <c r="EJ27667"/>
      <c r="EK27667"/>
    </row>
    <row r="27668" spans="1:141" s="116" customFormat="1">
      <c r="A27668" s="136"/>
      <c r="CM27668" s="111"/>
      <c r="CQ27668" s="111"/>
      <c r="EF27668"/>
      <c r="EG27668"/>
      <c r="EH27668"/>
      <c r="EI27668"/>
      <c r="EJ27668"/>
      <c r="EK27668"/>
    </row>
    <row r="27669" spans="1:141" s="116" customFormat="1">
      <c r="A27669" s="136"/>
      <c r="CM27669" s="111"/>
      <c r="CQ27669" s="111"/>
      <c r="EF27669"/>
      <c r="EG27669"/>
      <c r="EH27669"/>
      <c r="EI27669"/>
      <c r="EJ27669"/>
      <c r="EK27669"/>
    </row>
    <row r="27670" spans="1:141" s="116" customFormat="1">
      <c r="A27670" s="136"/>
      <c r="CM27670" s="111"/>
      <c r="CQ27670" s="111"/>
      <c r="EF27670"/>
      <c r="EG27670"/>
      <c r="EH27670"/>
      <c r="EI27670"/>
      <c r="EJ27670"/>
      <c r="EK27670"/>
    </row>
    <row r="27671" spans="1:141" s="116" customFormat="1">
      <c r="A27671" s="136"/>
      <c r="CM27671" s="111"/>
      <c r="CQ27671" s="111"/>
      <c r="EF27671"/>
      <c r="EG27671"/>
      <c r="EH27671"/>
      <c r="EI27671"/>
      <c r="EJ27671"/>
      <c r="EK27671"/>
    </row>
    <row r="27672" spans="1:141" s="116" customFormat="1">
      <c r="A27672" s="136"/>
      <c r="CM27672" s="111"/>
      <c r="CQ27672" s="111"/>
      <c r="EF27672"/>
      <c r="EG27672"/>
      <c r="EH27672"/>
      <c r="EI27672"/>
      <c r="EJ27672"/>
      <c r="EK27672"/>
    </row>
    <row r="27673" spans="1:141" s="116" customFormat="1">
      <c r="A27673" s="136"/>
      <c r="CM27673" s="111"/>
      <c r="CQ27673" s="111"/>
      <c r="EF27673"/>
      <c r="EG27673"/>
      <c r="EH27673"/>
      <c r="EI27673"/>
      <c r="EJ27673"/>
      <c r="EK27673"/>
    </row>
    <row r="27674" spans="1:141" s="116" customFormat="1">
      <c r="A27674" s="136"/>
      <c r="CM27674" s="111"/>
      <c r="CQ27674" s="111"/>
      <c r="EF27674"/>
      <c r="EG27674"/>
      <c r="EH27674"/>
      <c r="EI27674"/>
      <c r="EJ27674"/>
      <c r="EK27674"/>
    </row>
    <row r="27675" spans="1:141" s="116" customFormat="1">
      <c r="A27675" s="136"/>
      <c r="CM27675" s="111"/>
      <c r="CQ27675" s="111"/>
      <c r="EF27675"/>
      <c r="EG27675"/>
      <c r="EH27675"/>
      <c r="EI27675"/>
      <c r="EJ27675"/>
      <c r="EK27675"/>
    </row>
    <row r="27676" spans="1:141" s="116" customFormat="1">
      <c r="A27676" s="136"/>
      <c r="CM27676" s="111"/>
      <c r="CQ27676" s="111"/>
      <c r="EF27676"/>
      <c r="EG27676"/>
      <c r="EH27676"/>
      <c r="EI27676"/>
      <c r="EJ27676"/>
      <c r="EK27676"/>
    </row>
    <row r="27677" spans="1:141" s="116" customFormat="1">
      <c r="A27677" s="136"/>
      <c r="CM27677" s="111"/>
      <c r="CQ27677" s="111"/>
      <c r="EF27677"/>
      <c r="EG27677"/>
      <c r="EH27677"/>
      <c r="EI27677"/>
      <c r="EJ27677"/>
      <c r="EK27677"/>
    </row>
    <row r="27678" spans="1:141" s="116" customFormat="1">
      <c r="A27678" s="136"/>
      <c r="CM27678" s="111"/>
      <c r="CQ27678" s="111"/>
      <c r="EF27678"/>
      <c r="EG27678"/>
      <c r="EH27678"/>
      <c r="EI27678"/>
      <c r="EJ27678"/>
      <c r="EK27678"/>
    </row>
    <row r="27679" spans="1:141" s="116" customFormat="1">
      <c r="A27679" s="136"/>
      <c r="CM27679" s="111"/>
      <c r="CQ27679" s="111"/>
      <c r="EF27679"/>
      <c r="EG27679"/>
      <c r="EH27679"/>
      <c r="EI27679"/>
      <c r="EJ27679"/>
      <c r="EK27679"/>
    </row>
    <row r="27680" spans="1:141" s="116" customFormat="1">
      <c r="A27680" s="136"/>
      <c r="CM27680" s="111"/>
      <c r="CQ27680" s="111"/>
      <c r="EF27680"/>
      <c r="EG27680"/>
      <c r="EH27680"/>
      <c r="EI27680"/>
      <c r="EJ27680"/>
      <c r="EK27680"/>
    </row>
    <row r="27681" spans="1:141" s="116" customFormat="1">
      <c r="A27681" s="136"/>
      <c r="CM27681" s="111"/>
      <c r="CQ27681" s="111"/>
      <c r="EF27681"/>
      <c r="EG27681"/>
      <c r="EH27681"/>
      <c r="EI27681"/>
      <c r="EJ27681"/>
      <c r="EK27681"/>
    </row>
    <row r="27682" spans="1:141" s="116" customFormat="1">
      <c r="A27682" s="136"/>
      <c r="CM27682" s="111"/>
      <c r="CQ27682" s="111"/>
      <c r="EF27682"/>
      <c r="EG27682"/>
      <c r="EH27682"/>
      <c r="EI27682"/>
      <c r="EJ27682"/>
      <c r="EK27682"/>
    </row>
    <row r="27683" spans="1:141" s="116" customFormat="1">
      <c r="A27683" s="136"/>
      <c r="CM27683" s="111"/>
      <c r="CQ27683" s="111"/>
      <c r="EF27683"/>
      <c r="EG27683"/>
      <c r="EH27683"/>
      <c r="EI27683"/>
      <c r="EJ27683"/>
      <c r="EK27683"/>
    </row>
    <row r="27684" spans="1:141" s="116" customFormat="1">
      <c r="A27684" s="136"/>
      <c r="CM27684" s="111"/>
      <c r="CQ27684" s="111"/>
      <c r="EF27684"/>
      <c r="EG27684"/>
      <c r="EH27684"/>
      <c r="EI27684"/>
      <c r="EJ27684"/>
      <c r="EK27684"/>
    </row>
    <row r="27685" spans="1:141" s="116" customFormat="1">
      <c r="A27685" s="136"/>
      <c r="CM27685" s="111"/>
      <c r="CQ27685" s="111"/>
      <c r="EF27685"/>
      <c r="EG27685"/>
      <c r="EH27685"/>
      <c r="EI27685"/>
      <c r="EJ27685"/>
      <c r="EK27685"/>
    </row>
    <row r="27686" spans="1:141" s="116" customFormat="1">
      <c r="A27686" s="136"/>
      <c r="CM27686" s="111"/>
      <c r="CQ27686" s="111"/>
      <c r="EF27686"/>
      <c r="EG27686"/>
      <c r="EH27686"/>
      <c r="EI27686"/>
      <c r="EJ27686"/>
      <c r="EK27686"/>
    </row>
    <row r="27687" spans="1:141" s="116" customFormat="1">
      <c r="A27687" s="136"/>
      <c r="CM27687" s="111"/>
      <c r="CQ27687" s="111"/>
      <c r="EF27687"/>
      <c r="EG27687"/>
      <c r="EH27687"/>
      <c r="EI27687"/>
      <c r="EJ27687"/>
      <c r="EK27687"/>
    </row>
    <row r="27688" spans="1:141" s="116" customFormat="1">
      <c r="A27688" s="136"/>
      <c r="CM27688" s="111"/>
      <c r="CQ27688" s="111"/>
      <c r="EF27688"/>
      <c r="EG27688"/>
      <c r="EH27688"/>
      <c r="EI27688"/>
      <c r="EJ27688"/>
      <c r="EK27688"/>
    </row>
    <row r="27689" spans="1:141" s="116" customFormat="1">
      <c r="A27689" s="136"/>
      <c r="CM27689" s="111"/>
      <c r="CQ27689" s="111"/>
      <c r="EF27689"/>
      <c r="EG27689"/>
      <c r="EH27689"/>
      <c r="EI27689"/>
      <c r="EJ27689"/>
      <c r="EK27689"/>
    </row>
    <row r="27690" spans="1:141" s="116" customFormat="1">
      <c r="A27690" s="136"/>
      <c r="CM27690" s="111"/>
      <c r="CQ27690" s="111"/>
      <c r="EF27690"/>
      <c r="EG27690"/>
      <c r="EH27690"/>
      <c r="EI27690"/>
      <c r="EJ27690"/>
      <c r="EK27690"/>
    </row>
    <row r="27691" spans="1:141" s="116" customFormat="1">
      <c r="A27691" s="136"/>
      <c r="CM27691" s="111"/>
      <c r="CQ27691" s="111"/>
      <c r="EF27691"/>
      <c r="EG27691"/>
      <c r="EH27691"/>
      <c r="EI27691"/>
      <c r="EJ27691"/>
      <c r="EK27691"/>
    </row>
    <row r="27692" spans="1:141" s="116" customFormat="1">
      <c r="A27692" s="136"/>
      <c r="CM27692" s="111"/>
      <c r="CQ27692" s="111"/>
      <c r="EF27692"/>
      <c r="EG27692"/>
      <c r="EH27692"/>
      <c r="EI27692"/>
      <c r="EJ27692"/>
      <c r="EK27692"/>
    </row>
    <row r="27693" spans="1:141" s="116" customFormat="1">
      <c r="A27693" s="136"/>
      <c r="CM27693" s="111"/>
      <c r="CQ27693" s="111"/>
      <c r="EF27693"/>
      <c r="EG27693"/>
      <c r="EH27693"/>
      <c r="EI27693"/>
      <c r="EJ27693"/>
      <c r="EK27693"/>
    </row>
    <row r="27694" spans="1:141" s="116" customFormat="1">
      <c r="A27694" s="136"/>
      <c r="CM27694" s="111"/>
      <c r="CQ27694" s="111"/>
      <c r="EF27694"/>
      <c r="EG27694"/>
      <c r="EH27694"/>
      <c r="EI27694"/>
      <c r="EJ27694"/>
      <c r="EK27694"/>
    </row>
    <row r="27695" spans="1:141" s="116" customFormat="1">
      <c r="A27695" s="136"/>
      <c r="CM27695" s="111"/>
      <c r="CQ27695" s="111"/>
      <c r="EF27695"/>
      <c r="EG27695"/>
      <c r="EH27695"/>
      <c r="EI27695"/>
      <c r="EJ27695"/>
      <c r="EK27695"/>
    </row>
    <row r="27696" spans="1:141" s="116" customFormat="1">
      <c r="A27696" s="136"/>
      <c r="CM27696" s="111"/>
      <c r="CQ27696" s="111"/>
      <c r="EF27696"/>
      <c r="EG27696"/>
      <c r="EH27696"/>
      <c r="EI27696"/>
      <c r="EJ27696"/>
      <c r="EK27696"/>
    </row>
    <row r="27697" spans="1:141" s="116" customFormat="1">
      <c r="A27697" s="136"/>
      <c r="CM27697" s="111"/>
      <c r="CQ27697" s="111"/>
      <c r="EF27697"/>
      <c r="EG27697"/>
      <c r="EH27697"/>
      <c r="EI27697"/>
      <c r="EJ27697"/>
      <c r="EK27697"/>
    </row>
    <row r="27698" spans="1:141" s="116" customFormat="1">
      <c r="A27698" s="136"/>
      <c r="CM27698" s="111"/>
      <c r="CQ27698" s="111"/>
      <c r="EF27698"/>
      <c r="EG27698"/>
      <c r="EH27698"/>
      <c r="EI27698"/>
      <c r="EJ27698"/>
      <c r="EK27698"/>
    </row>
    <row r="27699" spans="1:141" s="116" customFormat="1">
      <c r="A27699" s="136"/>
      <c r="CM27699" s="111"/>
      <c r="CQ27699" s="111"/>
      <c r="EF27699"/>
      <c r="EG27699"/>
      <c r="EH27699"/>
      <c r="EI27699"/>
      <c r="EJ27699"/>
      <c r="EK27699"/>
    </row>
    <row r="27700" spans="1:141" s="116" customFormat="1">
      <c r="A27700" s="136"/>
      <c r="CM27700" s="111"/>
      <c r="CQ27700" s="111"/>
      <c r="EF27700"/>
      <c r="EG27700"/>
      <c r="EH27700"/>
      <c r="EI27700"/>
      <c r="EJ27700"/>
      <c r="EK27700"/>
    </row>
    <row r="27701" spans="1:141" s="116" customFormat="1">
      <c r="A27701" s="136"/>
      <c r="CM27701" s="111"/>
      <c r="CQ27701" s="111"/>
      <c r="EF27701"/>
      <c r="EG27701"/>
      <c r="EH27701"/>
      <c r="EI27701"/>
      <c r="EJ27701"/>
      <c r="EK27701"/>
    </row>
    <row r="27702" spans="1:141" s="116" customFormat="1">
      <c r="A27702" s="136"/>
      <c r="CM27702" s="111"/>
      <c r="CQ27702" s="111"/>
      <c r="EF27702"/>
      <c r="EG27702"/>
      <c r="EH27702"/>
      <c r="EI27702"/>
      <c r="EJ27702"/>
      <c r="EK27702"/>
    </row>
    <row r="27703" spans="1:141" s="116" customFormat="1">
      <c r="A27703" s="136"/>
      <c r="CM27703" s="111"/>
      <c r="CQ27703" s="111"/>
      <c r="EF27703"/>
      <c r="EG27703"/>
      <c r="EH27703"/>
      <c r="EI27703"/>
      <c r="EJ27703"/>
      <c r="EK27703"/>
    </row>
    <row r="27704" spans="1:141" s="116" customFormat="1">
      <c r="A27704" s="136"/>
      <c r="CM27704" s="111"/>
      <c r="CQ27704" s="111"/>
      <c r="EF27704"/>
      <c r="EG27704"/>
      <c r="EH27704"/>
      <c r="EI27704"/>
      <c r="EJ27704"/>
      <c r="EK27704"/>
    </row>
    <row r="27705" spans="1:141" s="116" customFormat="1">
      <c r="A27705" s="136"/>
      <c r="CM27705" s="111"/>
      <c r="CQ27705" s="111"/>
      <c r="EF27705"/>
      <c r="EG27705"/>
      <c r="EH27705"/>
      <c r="EI27705"/>
      <c r="EJ27705"/>
      <c r="EK27705"/>
    </row>
    <row r="27706" spans="1:141" s="116" customFormat="1">
      <c r="A27706" s="136"/>
      <c r="CM27706" s="111"/>
      <c r="CQ27706" s="111"/>
      <c r="EF27706"/>
      <c r="EG27706"/>
      <c r="EH27706"/>
      <c r="EI27706"/>
      <c r="EJ27706"/>
      <c r="EK27706"/>
    </row>
    <row r="27707" spans="1:141" s="116" customFormat="1">
      <c r="A27707" s="136"/>
      <c r="CM27707" s="111"/>
      <c r="CQ27707" s="111"/>
      <c r="EF27707"/>
      <c r="EG27707"/>
      <c r="EH27707"/>
      <c r="EI27707"/>
      <c r="EJ27707"/>
      <c r="EK27707"/>
    </row>
    <row r="27708" spans="1:141" s="116" customFormat="1">
      <c r="A27708" s="136"/>
      <c r="CM27708" s="111"/>
      <c r="CQ27708" s="111"/>
      <c r="EF27708"/>
      <c r="EG27708"/>
      <c r="EH27708"/>
      <c r="EI27708"/>
      <c r="EJ27708"/>
      <c r="EK27708"/>
    </row>
    <row r="27709" spans="1:141" s="116" customFormat="1">
      <c r="A27709" s="136"/>
      <c r="CM27709" s="111"/>
      <c r="CQ27709" s="111"/>
      <c r="EF27709"/>
      <c r="EG27709"/>
      <c r="EH27709"/>
      <c r="EI27709"/>
      <c r="EJ27709"/>
      <c r="EK27709"/>
    </row>
    <row r="27710" spans="1:141" s="116" customFormat="1">
      <c r="A27710" s="136"/>
      <c r="CM27710" s="111"/>
      <c r="CQ27710" s="111"/>
      <c r="EF27710"/>
      <c r="EG27710"/>
      <c r="EH27710"/>
      <c r="EI27710"/>
      <c r="EJ27710"/>
      <c r="EK27710"/>
    </row>
    <row r="27711" spans="1:141" s="116" customFormat="1">
      <c r="A27711" s="136"/>
      <c r="CM27711" s="111"/>
      <c r="CQ27711" s="111"/>
      <c r="EF27711"/>
      <c r="EG27711"/>
      <c r="EH27711"/>
      <c r="EI27711"/>
      <c r="EJ27711"/>
      <c r="EK27711"/>
    </row>
    <row r="27712" spans="1:141" s="116" customFormat="1">
      <c r="A27712" s="136"/>
      <c r="CM27712" s="111"/>
      <c r="CQ27712" s="111"/>
      <c r="EF27712"/>
      <c r="EG27712"/>
      <c r="EH27712"/>
      <c r="EI27712"/>
      <c r="EJ27712"/>
      <c r="EK27712"/>
    </row>
    <row r="27713" spans="1:141" s="116" customFormat="1">
      <c r="A27713" s="136"/>
      <c r="CM27713" s="111"/>
      <c r="CQ27713" s="111"/>
      <c r="EF27713"/>
      <c r="EG27713"/>
      <c r="EH27713"/>
      <c r="EI27713"/>
      <c r="EJ27713"/>
      <c r="EK27713"/>
    </row>
    <row r="27714" spans="1:141" s="116" customFormat="1">
      <c r="A27714" s="136"/>
      <c r="CM27714" s="111"/>
      <c r="CQ27714" s="111"/>
      <c r="EF27714"/>
      <c r="EG27714"/>
      <c r="EH27714"/>
      <c r="EI27714"/>
      <c r="EJ27714"/>
      <c r="EK27714"/>
    </row>
    <row r="27715" spans="1:141" s="116" customFormat="1">
      <c r="A27715" s="136"/>
      <c r="CM27715" s="111"/>
      <c r="CQ27715" s="111"/>
      <c r="EF27715"/>
      <c r="EG27715"/>
      <c r="EH27715"/>
      <c r="EI27715"/>
      <c r="EJ27715"/>
      <c r="EK27715"/>
    </row>
    <row r="27716" spans="1:141" s="116" customFormat="1">
      <c r="A27716" s="136"/>
      <c r="CM27716" s="111"/>
      <c r="CQ27716" s="111"/>
      <c r="EF27716"/>
      <c r="EG27716"/>
      <c r="EH27716"/>
      <c r="EI27716"/>
      <c r="EJ27716"/>
      <c r="EK27716"/>
    </row>
    <row r="27717" spans="1:141" s="116" customFormat="1">
      <c r="A27717" s="136"/>
      <c r="CM27717" s="111"/>
      <c r="CQ27717" s="111"/>
      <c r="EF27717"/>
      <c r="EG27717"/>
      <c r="EH27717"/>
      <c r="EI27717"/>
      <c r="EJ27717"/>
      <c r="EK27717"/>
    </row>
    <row r="27718" spans="1:141" s="116" customFormat="1">
      <c r="A27718" s="136"/>
      <c r="CM27718" s="111"/>
      <c r="CQ27718" s="111"/>
      <c r="EF27718"/>
      <c r="EG27718"/>
      <c r="EH27718"/>
      <c r="EI27718"/>
      <c r="EJ27718"/>
      <c r="EK27718"/>
    </row>
    <row r="27719" spans="1:141" s="116" customFormat="1">
      <c r="A27719" s="136"/>
      <c r="CM27719" s="111"/>
      <c r="CQ27719" s="111"/>
      <c r="EF27719"/>
      <c r="EG27719"/>
      <c r="EH27719"/>
      <c r="EI27719"/>
      <c r="EJ27719"/>
      <c r="EK27719"/>
    </row>
    <row r="27720" spans="1:141" s="116" customFormat="1">
      <c r="A27720" s="136"/>
      <c r="CM27720" s="111"/>
      <c r="CQ27720" s="111"/>
      <c r="EF27720"/>
      <c r="EG27720"/>
      <c r="EH27720"/>
      <c r="EI27720"/>
      <c r="EJ27720"/>
      <c r="EK27720"/>
    </row>
    <row r="27721" spans="1:141" s="116" customFormat="1">
      <c r="A27721" s="136"/>
      <c r="CM27721" s="111"/>
      <c r="CQ27721" s="111"/>
      <c r="EF27721"/>
      <c r="EG27721"/>
      <c r="EH27721"/>
      <c r="EI27721"/>
      <c r="EJ27721"/>
      <c r="EK27721"/>
    </row>
    <row r="27722" spans="1:141" s="116" customFormat="1">
      <c r="A27722" s="136"/>
      <c r="CM27722" s="111"/>
      <c r="CQ27722" s="111"/>
      <c r="EF27722"/>
      <c r="EG27722"/>
      <c r="EH27722"/>
      <c r="EI27722"/>
      <c r="EJ27722"/>
      <c r="EK27722"/>
    </row>
    <row r="27723" spans="1:141" s="116" customFormat="1">
      <c r="A27723" s="136"/>
      <c r="CM27723" s="111"/>
      <c r="CQ27723" s="111"/>
      <c r="EF27723"/>
      <c r="EG27723"/>
      <c r="EH27723"/>
      <c r="EI27723"/>
      <c r="EJ27723"/>
      <c r="EK27723"/>
    </row>
    <row r="27724" spans="1:141" s="116" customFormat="1">
      <c r="A27724" s="136"/>
      <c r="CM27724" s="111"/>
      <c r="CQ27724" s="111"/>
      <c r="EF27724"/>
      <c r="EG27724"/>
      <c r="EH27724"/>
      <c r="EI27724"/>
      <c r="EJ27724"/>
      <c r="EK27724"/>
    </row>
    <row r="27725" spans="1:141" s="116" customFormat="1">
      <c r="A27725" s="136"/>
      <c r="CM27725" s="111"/>
      <c r="CQ27725" s="111"/>
      <c r="EF27725"/>
      <c r="EG27725"/>
      <c r="EH27725"/>
      <c r="EI27725"/>
      <c r="EJ27725"/>
      <c r="EK27725"/>
    </row>
    <row r="27726" spans="1:141" s="116" customFormat="1">
      <c r="A27726" s="136"/>
      <c r="CM27726" s="111"/>
      <c r="CQ27726" s="111"/>
      <c r="EF27726"/>
      <c r="EG27726"/>
      <c r="EH27726"/>
      <c r="EI27726"/>
      <c r="EJ27726"/>
      <c r="EK27726"/>
    </row>
    <row r="27727" spans="1:141" s="116" customFormat="1">
      <c r="A27727" s="136"/>
      <c r="CM27727" s="111"/>
      <c r="CQ27727" s="111"/>
      <c r="EF27727"/>
      <c r="EG27727"/>
      <c r="EH27727"/>
      <c r="EI27727"/>
      <c r="EJ27727"/>
      <c r="EK27727"/>
    </row>
    <row r="27728" spans="1:141" s="116" customFormat="1">
      <c r="A27728" s="136"/>
      <c r="CM27728" s="111"/>
      <c r="CQ27728" s="111"/>
      <c r="EF27728"/>
      <c r="EG27728"/>
      <c r="EH27728"/>
      <c r="EI27728"/>
      <c r="EJ27728"/>
      <c r="EK27728"/>
    </row>
    <row r="27729" spans="1:141" s="116" customFormat="1">
      <c r="A27729" s="136"/>
      <c r="CM27729" s="111"/>
      <c r="CQ27729" s="111"/>
      <c r="EF27729"/>
      <c r="EG27729"/>
      <c r="EH27729"/>
      <c r="EI27729"/>
      <c r="EJ27729"/>
      <c r="EK27729"/>
    </row>
    <row r="27730" spans="1:141" s="116" customFormat="1">
      <c r="A27730" s="136"/>
      <c r="CM27730" s="111"/>
      <c r="CQ27730" s="111"/>
      <c r="EF27730"/>
      <c r="EG27730"/>
      <c r="EH27730"/>
      <c r="EI27730"/>
      <c r="EJ27730"/>
      <c r="EK27730"/>
    </row>
    <row r="27731" spans="1:141" s="116" customFormat="1">
      <c r="A27731" s="136"/>
      <c r="CM27731" s="111"/>
      <c r="CQ27731" s="111"/>
      <c r="EF27731"/>
      <c r="EG27731"/>
      <c r="EH27731"/>
      <c r="EI27731"/>
      <c r="EJ27731"/>
      <c r="EK27731"/>
    </row>
    <row r="27732" spans="1:141" s="116" customFormat="1">
      <c r="A27732" s="136"/>
      <c r="CM27732" s="111"/>
      <c r="CQ27732" s="111"/>
      <c r="EF27732"/>
      <c r="EG27732"/>
      <c r="EH27732"/>
      <c r="EI27732"/>
      <c r="EJ27732"/>
      <c r="EK27732"/>
    </row>
    <row r="27733" spans="1:141" s="116" customFormat="1">
      <c r="A27733" s="136"/>
      <c r="CM27733" s="111"/>
      <c r="CQ27733" s="111"/>
      <c r="EF27733"/>
      <c r="EG27733"/>
      <c r="EH27733"/>
      <c r="EI27733"/>
      <c r="EJ27733"/>
      <c r="EK27733"/>
    </row>
    <row r="27734" spans="1:141" s="116" customFormat="1">
      <c r="A27734" s="136"/>
      <c r="CM27734" s="111"/>
      <c r="CQ27734" s="111"/>
      <c r="EF27734"/>
      <c r="EG27734"/>
      <c r="EH27734"/>
      <c r="EI27734"/>
      <c r="EJ27734"/>
      <c r="EK27734"/>
    </row>
    <row r="27735" spans="1:141" s="116" customFormat="1">
      <c r="A27735" s="136"/>
      <c r="CM27735" s="111"/>
      <c r="CQ27735" s="111"/>
      <c r="EF27735"/>
      <c r="EG27735"/>
      <c r="EH27735"/>
      <c r="EI27735"/>
      <c r="EJ27735"/>
      <c r="EK27735"/>
    </row>
    <row r="27736" spans="1:141" s="116" customFormat="1">
      <c r="A27736" s="136"/>
      <c r="CM27736" s="111"/>
      <c r="CQ27736" s="111"/>
      <c r="EF27736"/>
      <c r="EG27736"/>
      <c r="EH27736"/>
      <c r="EI27736"/>
      <c r="EJ27736"/>
      <c r="EK27736"/>
    </row>
    <row r="27737" spans="1:141" s="116" customFormat="1">
      <c r="A27737" s="136"/>
      <c r="CM27737" s="111"/>
      <c r="CQ27737" s="111"/>
      <c r="EF27737"/>
      <c r="EG27737"/>
      <c r="EH27737"/>
      <c r="EI27737"/>
      <c r="EJ27737"/>
      <c r="EK27737"/>
    </row>
    <row r="27738" spans="1:141" s="116" customFormat="1">
      <c r="A27738" s="136"/>
      <c r="CM27738" s="111"/>
      <c r="CQ27738" s="111"/>
      <c r="EF27738"/>
      <c r="EG27738"/>
      <c r="EH27738"/>
      <c r="EI27738"/>
      <c r="EJ27738"/>
      <c r="EK27738"/>
    </row>
    <row r="27739" spans="1:141" s="116" customFormat="1">
      <c r="A27739" s="136"/>
      <c r="CM27739" s="111"/>
      <c r="CQ27739" s="111"/>
      <c r="EF27739"/>
      <c r="EG27739"/>
      <c r="EH27739"/>
      <c r="EI27739"/>
      <c r="EJ27739"/>
      <c r="EK27739"/>
    </row>
    <row r="27740" spans="1:141" s="116" customFormat="1">
      <c r="A27740" s="136"/>
      <c r="CM27740" s="111"/>
      <c r="CQ27740" s="111"/>
      <c r="EF27740"/>
      <c r="EG27740"/>
      <c r="EH27740"/>
      <c r="EI27740"/>
      <c r="EJ27740"/>
      <c r="EK27740"/>
    </row>
    <row r="27741" spans="1:141" s="116" customFormat="1">
      <c r="A27741" s="136"/>
      <c r="CM27741" s="111"/>
      <c r="CQ27741" s="111"/>
      <c r="EF27741"/>
      <c r="EG27741"/>
      <c r="EH27741"/>
      <c r="EI27741"/>
      <c r="EJ27741"/>
      <c r="EK27741"/>
    </row>
    <row r="27742" spans="1:141" s="116" customFormat="1">
      <c r="A27742" s="136"/>
      <c r="CM27742" s="111"/>
      <c r="CQ27742" s="111"/>
      <c r="EF27742"/>
      <c r="EG27742"/>
      <c r="EH27742"/>
      <c r="EI27742"/>
      <c r="EJ27742"/>
      <c r="EK27742"/>
    </row>
    <row r="27743" spans="1:141" s="116" customFormat="1">
      <c r="A27743" s="136"/>
      <c r="CM27743" s="111"/>
      <c r="CQ27743" s="111"/>
      <c r="EF27743"/>
      <c r="EG27743"/>
      <c r="EH27743"/>
      <c r="EI27743"/>
      <c r="EJ27743"/>
      <c r="EK27743"/>
    </row>
    <row r="27744" spans="1:141" s="116" customFormat="1">
      <c r="A27744" s="136"/>
      <c r="CM27744" s="111"/>
      <c r="CQ27744" s="111"/>
      <c r="EF27744"/>
      <c r="EG27744"/>
      <c r="EH27744"/>
      <c r="EI27744"/>
      <c r="EJ27744"/>
      <c r="EK27744"/>
    </row>
    <row r="27745" spans="1:141" s="116" customFormat="1">
      <c r="A27745" s="136"/>
      <c r="CM27745" s="111"/>
      <c r="CQ27745" s="111"/>
      <c r="EF27745"/>
      <c r="EG27745"/>
      <c r="EH27745"/>
      <c r="EI27745"/>
      <c r="EJ27745"/>
      <c r="EK27745"/>
    </row>
    <row r="27746" spans="1:141" s="116" customFormat="1">
      <c r="A27746" s="136"/>
      <c r="CM27746" s="111"/>
      <c r="CQ27746" s="111"/>
      <c r="EF27746"/>
      <c r="EG27746"/>
      <c r="EH27746"/>
      <c r="EI27746"/>
      <c r="EJ27746"/>
      <c r="EK27746"/>
    </row>
    <row r="27747" spans="1:141" s="116" customFormat="1">
      <c r="A27747" s="136"/>
      <c r="CM27747" s="111"/>
      <c r="CQ27747" s="111"/>
      <c r="EF27747"/>
      <c r="EG27747"/>
      <c r="EH27747"/>
      <c r="EI27747"/>
      <c r="EJ27747"/>
      <c r="EK27747"/>
    </row>
    <row r="27748" spans="1:141" s="116" customFormat="1">
      <c r="A27748" s="136"/>
      <c r="CM27748" s="111"/>
      <c r="CQ27748" s="111"/>
      <c r="EF27748"/>
      <c r="EG27748"/>
      <c r="EH27748"/>
      <c r="EI27748"/>
      <c r="EJ27748"/>
      <c r="EK27748"/>
    </row>
    <row r="27749" spans="1:141" s="116" customFormat="1">
      <c r="A27749" s="136"/>
      <c r="CM27749" s="111"/>
      <c r="CQ27749" s="111"/>
      <c r="EF27749"/>
      <c r="EG27749"/>
      <c r="EH27749"/>
      <c r="EI27749"/>
      <c r="EJ27749"/>
      <c r="EK27749"/>
    </row>
    <row r="27750" spans="1:141" s="116" customFormat="1">
      <c r="A27750" s="136"/>
      <c r="CM27750" s="111"/>
      <c r="CQ27750" s="111"/>
      <c r="EF27750"/>
      <c r="EG27750"/>
      <c r="EH27750"/>
      <c r="EI27750"/>
      <c r="EJ27750"/>
      <c r="EK27750"/>
    </row>
    <row r="27751" spans="1:141" s="116" customFormat="1">
      <c r="A27751" s="136"/>
      <c r="CM27751" s="111"/>
      <c r="CQ27751" s="111"/>
      <c r="EF27751"/>
      <c r="EG27751"/>
      <c r="EH27751"/>
      <c r="EI27751"/>
      <c r="EJ27751"/>
      <c r="EK27751"/>
    </row>
    <row r="27752" spans="1:141" s="116" customFormat="1">
      <c r="A27752" s="136"/>
      <c r="CM27752" s="111"/>
      <c r="CQ27752" s="111"/>
      <c r="EF27752"/>
      <c r="EG27752"/>
      <c r="EH27752"/>
      <c r="EI27752"/>
      <c r="EJ27752"/>
      <c r="EK27752"/>
    </row>
    <row r="27753" spans="1:141" s="116" customFormat="1">
      <c r="A27753" s="136"/>
      <c r="CM27753" s="111"/>
      <c r="CQ27753" s="111"/>
      <c r="EF27753"/>
      <c r="EG27753"/>
      <c r="EH27753"/>
      <c r="EI27753"/>
      <c r="EJ27753"/>
      <c r="EK27753"/>
    </row>
    <row r="27754" spans="1:141" s="116" customFormat="1">
      <c r="A27754" s="136"/>
      <c r="CM27754" s="111"/>
      <c r="CQ27754" s="111"/>
      <c r="EF27754"/>
      <c r="EG27754"/>
      <c r="EH27754"/>
      <c r="EI27754"/>
      <c r="EJ27754"/>
      <c r="EK27754"/>
    </row>
    <row r="27755" spans="1:141" s="116" customFormat="1">
      <c r="A27755" s="136"/>
      <c r="CM27755" s="111"/>
      <c r="CQ27755" s="111"/>
      <c r="EF27755"/>
      <c r="EG27755"/>
      <c r="EH27755"/>
      <c r="EI27755"/>
      <c r="EJ27755"/>
      <c r="EK27755"/>
    </row>
    <row r="27756" spans="1:141" s="116" customFormat="1">
      <c r="A27756" s="136"/>
      <c r="CM27756" s="111"/>
      <c r="CQ27756" s="111"/>
      <c r="EF27756"/>
      <c r="EG27756"/>
      <c r="EH27756"/>
      <c r="EI27756"/>
      <c r="EJ27756"/>
      <c r="EK27756"/>
    </row>
    <row r="27757" spans="1:141" s="116" customFormat="1">
      <c r="A27757" s="136"/>
      <c r="CM27757" s="111"/>
      <c r="CQ27757" s="111"/>
      <c r="EF27757"/>
      <c r="EG27757"/>
      <c r="EH27757"/>
      <c r="EI27757"/>
      <c r="EJ27757"/>
      <c r="EK27757"/>
    </row>
    <row r="27758" spans="1:141" s="116" customFormat="1">
      <c r="A27758" s="136"/>
      <c r="CM27758" s="111"/>
      <c r="CQ27758" s="111"/>
      <c r="EF27758"/>
      <c r="EG27758"/>
      <c r="EH27758"/>
      <c r="EI27758"/>
      <c r="EJ27758"/>
      <c r="EK27758"/>
    </row>
    <row r="27759" spans="1:141" s="116" customFormat="1">
      <c r="A27759" s="136"/>
      <c r="CM27759" s="111"/>
      <c r="CQ27759" s="111"/>
      <c r="EF27759"/>
      <c r="EG27759"/>
      <c r="EH27759"/>
      <c r="EI27759"/>
      <c r="EJ27759"/>
      <c r="EK27759"/>
    </row>
    <row r="27760" spans="1:141" s="116" customFormat="1">
      <c r="A27760" s="136"/>
      <c r="CM27760" s="111"/>
      <c r="CQ27760" s="111"/>
      <c r="EF27760"/>
      <c r="EG27760"/>
      <c r="EH27760"/>
      <c r="EI27760"/>
      <c r="EJ27760"/>
      <c r="EK27760"/>
    </row>
    <row r="27761" spans="1:141" s="116" customFormat="1">
      <c r="A27761" s="136"/>
      <c r="CM27761" s="111"/>
      <c r="CQ27761" s="111"/>
      <c r="EF27761"/>
      <c r="EG27761"/>
      <c r="EH27761"/>
      <c r="EI27761"/>
      <c r="EJ27761"/>
      <c r="EK27761"/>
    </row>
    <row r="27762" spans="1:141" s="116" customFormat="1">
      <c r="A27762" s="136"/>
      <c r="CM27762" s="111"/>
      <c r="CQ27762" s="111"/>
      <c r="EF27762"/>
      <c r="EG27762"/>
      <c r="EH27762"/>
      <c r="EI27762"/>
      <c r="EJ27762"/>
      <c r="EK27762"/>
    </row>
    <row r="27763" spans="1:141" s="116" customFormat="1">
      <c r="A27763" s="136"/>
      <c r="CM27763" s="111"/>
      <c r="CQ27763" s="111"/>
      <c r="EF27763"/>
      <c r="EG27763"/>
      <c r="EH27763"/>
      <c r="EI27763"/>
      <c r="EJ27763"/>
      <c r="EK27763"/>
    </row>
    <row r="27764" spans="1:141" s="116" customFormat="1">
      <c r="A27764" s="136"/>
      <c r="CM27764" s="111"/>
      <c r="CQ27764" s="111"/>
      <c r="EF27764"/>
      <c r="EG27764"/>
      <c r="EH27764"/>
      <c r="EI27764"/>
      <c r="EJ27764"/>
      <c r="EK27764"/>
    </row>
    <row r="27765" spans="1:141" s="116" customFormat="1">
      <c r="A27765" s="136"/>
      <c r="CM27765" s="111"/>
      <c r="CQ27765" s="111"/>
      <c r="EF27765"/>
      <c r="EG27765"/>
      <c r="EH27765"/>
      <c r="EI27765"/>
      <c r="EJ27765"/>
      <c r="EK27765"/>
    </row>
    <row r="27766" spans="1:141" s="116" customFormat="1">
      <c r="A27766" s="136"/>
      <c r="CM27766" s="111"/>
      <c r="CQ27766" s="111"/>
      <c r="EF27766"/>
      <c r="EG27766"/>
      <c r="EH27766"/>
      <c r="EI27766"/>
      <c r="EJ27766"/>
      <c r="EK27766"/>
    </row>
    <row r="27767" spans="1:141" s="116" customFormat="1">
      <c r="A27767" s="136"/>
      <c r="CM27767" s="111"/>
      <c r="CQ27767" s="111"/>
      <c r="EF27767"/>
      <c r="EG27767"/>
      <c r="EH27767"/>
      <c r="EI27767"/>
      <c r="EJ27767"/>
      <c r="EK27767"/>
    </row>
    <row r="27768" spans="1:141" s="116" customFormat="1">
      <c r="A27768" s="136"/>
      <c r="CM27768" s="111"/>
      <c r="CQ27768" s="111"/>
      <c r="EF27768"/>
      <c r="EG27768"/>
      <c r="EH27768"/>
      <c r="EI27768"/>
      <c r="EJ27768"/>
      <c r="EK27768"/>
    </row>
    <row r="27769" spans="1:141" s="116" customFormat="1">
      <c r="A27769" s="136"/>
      <c r="CM27769" s="111"/>
      <c r="CQ27769" s="111"/>
      <c r="EF27769"/>
      <c r="EG27769"/>
      <c r="EH27769"/>
      <c r="EI27769"/>
      <c r="EJ27769"/>
      <c r="EK27769"/>
    </row>
    <row r="27770" spans="1:141" s="116" customFormat="1">
      <c r="A27770" s="136"/>
      <c r="CM27770" s="111"/>
      <c r="CQ27770" s="111"/>
      <c r="EF27770"/>
      <c r="EG27770"/>
      <c r="EH27770"/>
      <c r="EI27770"/>
      <c r="EJ27770"/>
      <c r="EK27770"/>
    </row>
    <row r="27771" spans="1:141" s="116" customFormat="1">
      <c r="A27771" s="136"/>
      <c r="CM27771" s="111"/>
      <c r="CQ27771" s="111"/>
      <c r="EF27771"/>
      <c r="EG27771"/>
      <c r="EH27771"/>
      <c r="EI27771"/>
      <c r="EJ27771"/>
      <c r="EK27771"/>
    </row>
    <row r="27772" spans="1:141" s="116" customFormat="1">
      <c r="A27772" s="136"/>
      <c r="CM27772" s="111"/>
      <c r="CQ27772" s="111"/>
      <c r="EF27772"/>
      <c r="EG27772"/>
      <c r="EH27772"/>
      <c r="EI27772"/>
      <c r="EJ27772"/>
      <c r="EK27772"/>
    </row>
    <row r="27773" spans="1:141" s="116" customFormat="1">
      <c r="A27773" s="136"/>
      <c r="CM27773" s="111"/>
      <c r="CQ27773" s="111"/>
      <c r="EF27773"/>
      <c r="EG27773"/>
      <c r="EH27773"/>
      <c r="EI27773"/>
      <c r="EJ27773"/>
      <c r="EK27773"/>
    </row>
    <row r="27774" spans="1:141" s="116" customFormat="1">
      <c r="A27774" s="136"/>
      <c r="CM27774" s="111"/>
      <c r="CQ27774" s="111"/>
      <c r="EF27774"/>
      <c r="EG27774"/>
      <c r="EH27774"/>
      <c r="EI27774"/>
      <c r="EJ27774"/>
      <c r="EK27774"/>
    </row>
    <row r="27775" spans="1:141" s="116" customFormat="1">
      <c r="A27775" s="136"/>
      <c r="CM27775" s="111"/>
      <c r="CQ27775" s="111"/>
      <c r="EF27775"/>
      <c r="EG27775"/>
      <c r="EH27775"/>
      <c r="EI27775"/>
      <c r="EJ27775"/>
      <c r="EK27775"/>
    </row>
    <row r="27776" spans="1:141" s="116" customFormat="1">
      <c r="A27776" s="136"/>
      <c r="CM27776" s="111"/>
      <c r="CQ27776" s="111"/>
      <c r="EF27776"/>
      <c r="EG27776"/>
      <c r="EH27776"/>
      <c r="EI27776"/>
      <c r="EJ27776"/>
      <c r="EK27776"/>
    </row>
    <row r="27777" spans="1:141" s="116" customFormat="1">
      <c r="A27777" s="136"/>
      <c r="CM27777" s="111"/>
      <c r="CQ27777" s="111"/>
      <c r="EF27777"/>
      <c r="EG27777"/>
      <c r="EH27777"/>
      <c r="EI27777"/>
      <c r="EJ27777"/>
      <c r="EK27777"/>
    </row>
    <row r="27778" spans="1:141" s="116" customFormat="1">
      <c r="A27778" s="136"/>
      <c r="CM27778" s="111"/>
      <c r="CQ27778" s="111"/>
      <c r="EF27778"/>
      <c r="EG27778"/>
      <c r="EH27778"/>
      <c r="EI27778"/>
      <c r="EJ27778"/>
      <c r="EK27778"/>
    </row>
    <row r="27779" spans="1:141" s="116" customFormat="1">
      <c r="A27779" s="136"/>
      <c r="CM27779" s="111"/>
      <c r="CQ27779" s="111"/>
      <c r="EF27779"/>
      <c r="EG27779"/>
      <c r="EH27779"/>
      <c r="EI27779"/>
      <c r="EJ27779"/>
      <c r="EK27779"/>
    </row>
    <row r="27780" spans="1:141" s="116" customFormat="1">
      <c r="A27780" s="136"/>
      <c r="CM27780" s="111"/>
      <c r="CQ27780" s="111"/>
      <c r="EF27780"/>
      <c r="EG27780"/>
      <c r="EH27780"/>
      <c r="EI27780"/>
      <c r="EJ27780"/>
      <c r="EK27780"/>
    </row>
    <row r="27781" spans="1:141" s="116" customFormat="1">
      <c r="A27781" s="136"/>
      <c r="CM27781" s="111"/>
      <c r="CQ27781" s="111"/>
      <c r="EF27781"/>
      <c r="EG27781"/>
      <c r="EH27781"/>
      <c r="EI27781"/>
      <c r="EJ27781"/>
      <c r="EK27781"/>
    </row>
    <row r="27782" spans="1:141" s="116" customFormat="1">
      <c r="A27782" s="136"/>
      <c r="CM27782" s="111"/>
      <c r="CQ27782" s="111"/>
      <c r="EF27782"/>
      <c r="EG27782"/>
      <c r="EH27782"/>
      <c r="EI27782"/>
      <c r="EJ27782"/>
      <c r="EK27782"/>
    </row>
    <row r="27783" spans="1:141" s="116" customFormat="1">
      <c r="A27783" s="136"/>
      <c r="CM27783" s="111"/>
      <c r="CQ27783" s="111"/>
      <c r="EF27783"/>
      <c r="EG27783"/>
      <c r="EH27783"/>
      <c r="EI27783"/>
      <c r="EJ27783"/>
      <c r="EK27783"/>
    </row>
    <row r="27784" spans="1:141" s="116" customFormat="1">
      <c r="A27784" s="136"/>
      <c r="CM27784" s="111"/>
      <c r="CQ27784" s="111"/>
      <c r="EF27784"/>
      <c r="EG27784"/>
      <c r="EH27784"/>
      <c r="EI27784"/>
      <c r="EJ27784"/>
      <c r="EK27784"/>
    </row>
    <row r="27785" spans="1:141" s="116" customFormat="1">
      <c r="A27785" s="136"/>
      <c r="CM27785" s="111"/>
      <c r="CQ27785" s="111"/>
      <c r="EF27785"/>
      <c r="EG27785"/>
      <c r="EH27785"/>
      <c r="EI27785"/>
      <c r="EJ27785"/>
      <c r="EK27785"/>
    </row>
    <row r="27786" spans="1:141" s="116" customFormat="1">
      <c r="A27786" s="136"/>
      <c r="CM27786" s="111"/>
      <c r="CQ27786" s="111"/>
      <c r="EF27786"/>
      <c r="EG27786"/>
      <c r="EH27786"/>
      <c r="EI27786"/>
      <c r="EJ27786"/>
      <c r="EK27786"/>
    </row>
    <row r="27787" spans="1:141" s="116" customFormat="1">
      <c r="A27787" s="136"/>
      <c r="CM27787" s="111"/>
      <c r="CQ27787" s="111"/>
      <c r="EF27787"/>
      <c r="EG27787"/>
      <c r="EH27787"/>
      <c r="EI27787"/>
      <c r="EJ27787"/>
      <c r="EK27787"/>
    </row>
    <row r="27788" spans="1:141" s="116" customFormat="1">
      <c r="A27788" s="136"/>
      <c r="CM27788" s="111"/>
      <c r="CQ27788" s="111"/>
      <c r="EF27788"/>
      <c r="EG27788"/>
      <c r="EH27788"/>
      <c r="EI27788"/>
      <c r="EJ27788"/>
      <c r="EK27788"/>
    </row>
    <row r="27789" spans="1:141" s="116" customFormat="1">
      <c r="A27789" s="136"/>
      <c r="CM27789" s="111"/>
      <c r="CQ27789" s="111"/>
      <c r="EF27789"/>
      <c r="EG27789"/>
      <c r="EH27789"/>
      <c r="EI27789"/>
      <c r="EJ27789"/>
      <c r="EK27789"/>
    </row>
    <row r="27790" spans="1:141" s="116" customFormat="1">
      <c r="A27790" s="136"/>
      <c r="CM27790" s="111"/>
      <c r="CQ27790" s="111"/>
      <c r="EF27790"/>
      <c r="EG27790"/>
      <c r="EH27790"/>
      <c r="EI27790"/>
      <c r="EJ27790"/>
      <c r="EK27790"/>
    </row>
    <row r="27791" spans="1:141" s="116" customFormat="1">
      <c r="A27791" s="136"/>
      <c r="CM27791" s="111"/>
      <c r="CQ27791" s="111"/>
      <c r="EF27791"/>
      <c r="EG27791"/>
      <c r="EH27791"/>
      <c r="EI27791"/>
      <c r="EJ27791"/>
      <c r="EK27791"/>
    </row>
    <row r="27792" spans="1:141" s="116" customFormat="1">
      <c r="A27792" s="136"/>
      <c r="CM27792" s="111"/>
      <c r="CQ27792" s="111"/>
      <c r="EF27792"/>
      <c r="EG27792"/>
      <c r="EH27792"/>
      <c r="EI27792"/>
      <c r="EJ27792"/>
      <c r="EK27792"/>
    </row>
    <row r="27793" spans="1:141" s="116" customFormat="1">
      <c r="A27793" s="136"/>
      <c r="CM27793" s="111"/>
      <c r="CQ27793" s="111"/>
      <c r="EF27793"/>
      <c r="EG27793"/>
      <c r="EH27793"/>
      <c r="EI27793"/>
      <c r="EJ27793"/>
      <c r="EK27793"/>
    </row>
    <row r="27794" spans="1:141" s="116" customFormat="1">
      <c r="A27794" s="136"/>
      <c r="CM27794" s="111"/>
      <c r="CQ27794" s="111"/>
      <c r="EF27794"/>
      <c r="EG27794"/>
      <c r="EH27794"/>
      <c r="EI27794"/>
      <c r="EJ27794"/>
      <c r="EK27794"/>
    </row>
    <row r="27795" spans="1:141" s="116" customFormat="1">
      <c r="A27795" s="136"/>
      <c r="CM27795" s="111"/>
      <c r="CQ27795" s="111"/>
      <c r="EF27795"/>
      <c r="EG27795"/>
      <c r="EH27795"/>
      <c r="EI27795"/>
      <c r="EJ27795"/>
      <c r="EK27795"/>
    </row>
    <row r="27796" spans="1:141" s="116" customFormat="1">
      <c r="A27796" s="136"/>
      <c r="CM27796" s="111"/>
      <c r="CQ27796" s="111"/>
      <c r="EF27796"/>
      <c r="EG27796"/>
      <c r="EH27796"/>
      <c r="EI27796"/>
      <c r="EJ27796"/>
      <c r="EK27796"/>
    </row>
    <row r="27797" spans="1:141" s="116" customFormat="1">
      <c r="A27797" s="136"/>
      <c r="CM27797" s="111"/>
      <c r="CQ27797" s="111"/>
      <c r="EF27797"/>
      <c r="EG27797"/>
      <c r="EH27797"/>
      <c r="EI27797"/>
      <c r="EJ27797"/>
      <c r="EK27797"/>
    </row>
    <row r="27798" spans="1:141" s="116" customFormat="1">
      <c r="A27798" s="136"/>
      <c r="CM27798" s="111"/>
      <c r="CQ27798" s="111"/>
      <c r="EF27798"/>
      <c r="EG27798"/>
      <c r="EH27798"/>
      <c r="EI27798"/>
      <c r="EJ27798"/>
      <c r="EK27798"/>
    </row>
    <row r="27799" spans="1:141" s="116" customFormat="1">
      <c r="A27799" s="136"/>
      <c r="CM27799" s="111"/>
      <c r="CQ27799" s="111"/>
      <c r="EF27799"/>
      <c r="EG27799"/>
      <c r="EH27799"/>
      <c r="EI27799"/>
      <c r="EJ27799"/>
      <c r="EK27799"/>
    </row>
    <row r="27800" spans="1:141" s="116" customFormat="1">
      <c r="A27800" s="136"/>
      <c r="CM27800" s="111"/>
      <c r="CQ27800" s="111"/>
      <c r="EF27800"/>
      <c r="EG27800"/>
      <c r="EH27800"/>
      <c r="EI27800"/>
      <c r="EJ27800"/>
      <c r="EK27800"/>
    </row>
    <row r="27801" spans="1:141" s="116" customFormat="1">
      <c r="A27801" s="136"/>
      <c r="CM27801" s="111"/>
      <c r="CQ27801" s="111"/>
      <c r="EF27801"/>
      <c r="EG27801"/>
      <c r="EH27801"/>
      <c r="EI27801"/>
      <c r="EJ27801"/>
      <c r="EK27801"/>
    </row>
    <row r="27802" spans="1:141" s="116" customFormat="1">
      <c r="A27802" s="136"/>
      <c r="CM27802" s="111"/>
      <c r="CQ27802" s="111"/>
      <c r="EF27802"/>
      <c r="EG27802"/>
      <c r="EH27802"/>
      <c r="EI27802"/>
      <c r="EJ27802"/>
      <c r="EK27802"/>
    </row>
    <row r="27803" spans="1:141" s="116" customFormat="1">
      <c r="A27803" s="136"/>
      <c r="CM27803" s="111"/>
      <c r="CQ27803" s="111"/>
      <c r="EF27803"/>
      <c r="EG27803"/>
      <c r="EH27803"/>
      <c r="EI27803"/>
      <c r="EJ27803"/>
      <c r="EK27803"/>
    </row>
    <row r="27804" spans="1:141" s="116" customFormat="1">
      <c r="A27804" s="136"/>
      <c r="CM27804" s="111"/>
      <c r="CQ27804" s="111"/>
      <c r="EF27804"/>
      <c r="EG27804"/>
      <c r="EH27804"/>
      <c r="EI27804"/>
      <c r="EJ27804"/>
      <c r="EK27804"/>
    </row>
    <row r="27805" spans="1:141" s="116" customFormat="1">
      <c r="A27805" s="136"/>
      <c r="CM27805" s="111"/>
      <c r="CQ27805" s="111"/>
      <c r="EF27805"/>
      <c r="EG27805"/>
      <c r="EH27805"/>
      <c r="EI27805"/>
      <c r="EJ27805"/>
      <c r="EK27805"/>
    </row>
    <row r="27806" spans="1:141" s="116" customFormat="1">
      <c r="A27806" s="136"/>
      <c r="CM27806" s="111"/>
      <c r="CQ27806" s="111"/>
      <c r="EF27806"/>
      <c r="EG27806"/>
      <c r="EH27806"/>
      <c r="EI27806"/>
      <c r="EJ27806"/>
      <c r="EK27806"/>
    </row>
    <row r="27807" spans="1:141" s="116" customFormat="1">
      <c r="A27807" s="136"/>
      <c r="CM27807" s="111"/>
      <c r="CQ27807" s="111"/>
      <c r="EF27807"/>
      <c r="EG27807"/>
      <c r="EH27807"/>
      <c r="EI27807"/>
      <c r="EJ27807"/>
      <c r="EK27807"/>
    </row>
    <row r="27808" spans="1:141" s="116" customFormat="1">
      <c r="A27808" s="136"/>
      <c r="CM27808" s="111"/>
      <c r="CQ27808" s="111"/>
      <c r="EF27808"/>
      <c r="EG27808"/>
      <c r="EH27808"/>
      <c r="EI27808"/>
      <c r="EJ27808"/>
      <c r="EK27808"/>
    </row>
    <row r="27809" spans="1:141" s="116" customFormat="1">
      <c r="A27809" s="136"/>
      <c r="CM27809" s="111"/>
      <c r="CQ27809" s="111"/>
      <c r="EF27809"/>
      <c r="EG27809"/>
      <c r="EH27809"/>
      <c r="EI27809"/>
      <c r="EJ27809"/>
      <c r="EK27809"/>
    </row>
    <row r="27810" spans="1:141" s="116" customFormat="1">
      <c r="A27810" s="136"/>
      <c r="CM27810" s="111"/>
      <c r="CQ27810" s="111"/>
      <c r="EF27810"/>
      <c r="EG27810"/>
      <c r="EH27810"/>
      <c r="EI27810"/>
      <c r="EJ27810"/>
      <c r="EK27810"/>
    </row>
    <row r="27811" spans="1:141" s="116" customFormat="1">
      <c r="A27811" s="136"/>
      <c r="CM27811" s="111"/>
      <c r="CQ27811" s="111"/>
      <c r="EF27811"/>
      <c r="EG27811"/>
      <c r="EH27811"/>
      <c r="EI27811"/>
      <c r="EJ27811"/>
      <c r="EK27811"/>
    </row>
    <row r="27812" spans="1:141" s="116" customFormat="1">
      <c r="A27812" s="136"/>
      <c r="CM27812" s="111"/>
      <c r="CQ27812" s="111"/>
      <c r="EF27812"/>
      <c r="EG27812"/>
      <c r="EH27812"/>
      <c r="EI27812"/>
      <c r="EJ27812"/>
      <c r="EK27812"/>
    </row>
    <row r="27813" spans="1:141" s="116" customFormat="1">
      <c r="A27813" s="136"/>
      <c r="CM27813" s="111"/>
      <c r="CQ27813" s="111"/>
      <c r="EF27813"/>
      <c r="EG27813"/>
      <c r="EH27813"/>
      <c r="EI27813"/>
      <c r="EJ27813"/>
      <c r="EK27813"/>
    </row>
    <row r="27814" spans="1:141" s="116" customFormat="1">
      <c r="A27814" s="136"/>
      <c r="CM27814" s="111"/>
      <c r="CQ27814" s="111"/>
      <c r="EF27814"/>
      <c r="EG27814"/>
      <c r="EH27814"/>
      <c r="EI27814"/>
      <c r="EJ27814"/>
      <c r="EK27814"/>
    </row>
    <row r="27815" spans="1:141" s="116" customFormat="1">
      <c r="A27815" s="136"/>
      <c r="CM27815" s="111"/>
      <c r="CQ27815" s="111"/>
      <c r="EF27815"/>
      <c r="EG27815"/>
      <c r="EH27815"/>
      <c r="EI27815"/>
      <c r="EJ27815"/>
      <c r="EK27815"/>
    </row>
    <row r="27816" spans="1:141" s="116" customFormat="1">
      <c r="A27816" s="136"/>
      <c r="CM27816" s="111"/>
      <c r="CQ27816" s="111"/>
      <c r="EF27816"/>
      <c r="EG27816"/>
      <c r="EH27816"/>
      <c r="EI27816"/>
      <c r="EJ27816"/>
      <c r="EK27816"/>
    </row>
    <row r="27817" spans="1:141" s="116" customFormat="1">
      <c r="A27817" s="136"/>
      <c r="CM27817" s="111"/>
      <c r="CQ27817" s="111"/>
      <c r="EF27817"/>
      <c r="EG27817"/>
      <c r="EH27817"/>
      <c r="EI27817"/>
      <c r="EJ27817"/>
      <c r="EK27817"/>
    </row>
    <row r="27818" spans="1:141" s="116" customFormat="1">
      <c r="A27818" s="136"/>
      <c r="CM27818" s="111"/>
      <c r="CQ27818" s="111"/>
      <c r="EF27818"/>
      <c r="EG27818"/>
      <c r="EH27818"/>
      <c r="EI27818"/>
      <c r="EJ27818"/>
      <c r="EK27818"/>
    </row>
    <row r="27819" spans="1:141" s="116" customFormat="1">
      <c r="A27819" s="136"/>
      <c r="CM27819" s="111"/>
      <c r="CQ27819" s="111"/>
      <c r="EF27819"/>
      <c r="EG27819"/>
      <c r="EH27819"/>
      <c r="EI27819"/>
      <c r="EJ27819"/>
      <c r="EK27819"/>
    </row>
    <row r="27820" spans="1:141" s="116" customFormat="1">
      <c r="A27820" s="136"/>
      <c r="CM27820" s="111"/>
      <c r="CQ27820" s="111"/>
      <c r="EF27820"/>
      <c r="EG27820"/>
      <c r="EH27820"/>
      <c r="EI27820"/>
      <c r="EJ27820"/>
      <c r="EK27820"/>
    </row>
    <row r="27821" spans="1:141" s="116" customFormat="1">
      <c r="A27821" s="136"/>
      <c r="CM27821" s="111"/>
      <c r="CQ27821" s="111"/>
      <c r="EF27821"/>
      <c r="EG27821"/>
      <c r="EH27821"/>
      <c r="EI27821"/>
      <c r="EJ27821"/>
      <c r="EK27821"/>
    </row>
    <row r="27822" spans="1:141" s="116" customFormat="1">
      <c r="A27822" s="136"/>
      <c r="CM27822" s="111"/>
      <c r="CQ27822" s="111"/>
      <c r="EF27822"/>
      <c r="EG27822"/>
      <c r="EH27822"/>
      <c r="EI27822"/>
      <c r="EJ27822"/>
      <c r="EK27822"/>
    </row>
    <row r="27823" spans="1:141" s="116" customFormat="1">
      <c r="A27823" s="136"/>
      <c r="CM27823" s="111"/>
      <c r="CQ27823" s="111"/>
      <c r="EF27823"/>
      <c r="EG27823"/>
      <c r="EH27823"/>
      <c r="EI27823"/>
      <c r="EJ27823"/>
      <c r="EK27823"/>
    </row>
    <row r="27824" spans="1:141" s="116" customFormat="1">
      <c r="A27824" s="136"/>
      <c r="CM27824" s="111"/>
      <c r="CQ27824" s="111"/>
      <c r="EF27824"/>
      <c r="EG27824"/>
      <c r="EH27824"/>
      <c r="EI27824"/>
      <c r="EJ27824"/>
      <c r="EK27824"/>
    </row>
    <row r="27825" spans="1:141" s="116" customFormat="1">
      <c r="A27825" s="136"/>
      <c r="CM27825" s="111"/>
      <c r="CQ27825" s="111"/>
      <c r="EF27825"/>
      <c r="EG27825"/>
      <c r="EH27825"/>
      <c r="EI27825"/>
      <c r="EJ27825"/>
      <c r="EK27825"/>
    </row>
    <row r="27826" spans="1:141" s="116" customFormat="1">
      <c r="A27826" s="136"/>
      <c r="CM27826" s="111"/>
      <c r="CQ27826" s="111"/>
      <c r="EF27826"/>
      <c r="EG27826"/>
      <c r="EH27826"/>
      <c r="EI27826"/>
      <c r="EJ27826"/>
      <c r="EK27826"/>
    </row>
    <row r="27827" spans="1:141" s="116" customFormat="1">
      <c r="A27827" s="136"/>
      <c r="CM27827" s="111"/>
      <c r="CQ27827" s="111"/>
      <c r="EF27827"/>
      <c r="EG27827"/>
      <c r="EH27827"/>
      <c r="EI27827"/>
      <c r="EJ27827"/>
      <c r="EK27827"/>
    </row>
    <row r="27828" spans="1:141" s="116" customFormat="1">
      <c r="A27828" s="136"/>
      <c r="CM27828" s="111"/>
      <c r="CQ27828" s="111"/>
      <c r="EF27828"/>
      <c r="EG27828"/>
      <c r="EH27828"/>
      <c r="EI27828"/>
      <c r="EJ27828"/>
      <c r="EK27828"/>
    </row>
    <row r="27829" spans="1:141" s="116" customFormat="1">
      <c r="A27829" s="136"/>
      <c r="CM27829" s="111"/>
      <c r="CQ27829" s="111"/>
      <c r="EF27829"/>
      <c r="EG27829"/>
      <c r="EH27829"/>
      <c r="EI27829"/>
      <c r="EJ27829"/>
      <c r="EK27829"/>
    </row>
    <row r="27830" spans="1:141" s="116" customFormat="1">
      <c r="A27830" s="136"/>
      <c r="CM27830" s="111"/>
      <c r="CQ27830" s="111"/>
      <c r="EF27830"/>
      <c r="EG27830"/>
      <c r="EH27830"/>
      <c r="EI27830"/>
      <c r="EJ27830"/>
      <c r="EK27830"/>
    </row>
    <row r="27831" spans="1:141" s="116" customFormat="1">
      <c r="A27831" s="136"/>
      <c r="CM27831" s="111"/>
      <c r="CQ27831" s="111"/>
      <c r="EF27831"/>
      <c r="EG27831"/>
      <c r="EH27831"/>
      <c r="EI27831"/>
      <c r="EJ27831"/>
      <c r="EK27831"/>
    </row>
    <row r="27832" spans="1:141" s="116" customFormat="1">
      <c r="A27832" s="136"/>
      <c r="CM27832" s="111"/>
      <c r="CQ27832" s="111"/>
      <c r="EF27832"/>
      <c r="EG27832"/>
      <c r="EH27832"/>
      <c r="EI27832"/>
      <c r="EJ27832"/>
      <c r="EK27832"/>
    </row>
    <row r="27833" spans="1:141" s="116" customFormat="1">
      <c r="A27833" s="136"/>
      <c r="CM27833" s="111"/>
      <c r="CQ27833" s="111"/>
      <c r="EF27833"/>
      <c r="EG27833"/>
      <c r="EH27833"/>
      <c r="EI27833"/>
      <c r="EJ27833"/>
      <c r="EK27833"/>
    </row>
    <row r="27834" spans="1:141" s="116" customFormat="1">
      <c r="A27834" s="136"/>
      <c r="CM27834" s="111"/>
      <c r="CQ27834" s="111"/>
      <c r="EF27834"/>
      <c r="EG27834"/>
      <c r="EH27834"/>
      <c r="EI27834"/>
      <c r="EJ27834"/>
      <c r="EK27834"/>
    </row>
    <row r="27835" spans="1:141" s="116" customFormat="1">
      <c r="A27835" s="136"/>
      <c r="CM27835" s="111"/>
      <c r="CQ27835" s="111"/>
      <c r="EF27835"/>
      <c r="EG27835"/>
      <c r="EH27835"/>
      <c r="EI27835"/>
      <c r="EJ27835"/>
      <c r="EK27835"/>
    </row>
    <row r="27836" spans="1:141" s="116" customFormat="1">
      <c r="A27836" s="136"/>
      <c r="CM27836" s="111"/>
      <c r="CQ27836" s="111"/>
      <c r="EF27836"/>
      <c r="EG27836"/>
      <c r="EH27836"/>
      <c r="EI27836"/>
      <c r="EJ27836"/>
      <c r="EK27836"/>
    </row>
    <row r="27837" spans="1:141" s="116" customFormat="1">
      <c r="A27837" s="136"/>
      <c r="CM27837" s="111"/>
      <c r="CQ27837" s="111"/>
      <c r="EF27837"/>
      <c r="EG27837"/>
      <c r="EH27837"/>
      <c r="EI27837"/>
      <c r="EJ27837"/>
      <c r="EK27837"/>
    </row>
    <row r="27838" spans="1:141" s="116" customFormat="1">
      <c r="A27838" s="136"/>
      <c r="CM27838" s="111"/>
      <c r="CQ27838" s="111"/>
      <c r="EF27838"/>
      <c r="EG27838"/>
      <c r="EH27838"/>
      <c r="EI27838"/>
      <c r="EJ27838"/>
      <c r="EK27838"/>
    </row>
    <row r="27839" spans="1:141" s="116" customFormat="1">
      <c r="A27839" s="136"/>
      <c r="CM27839" s="111"/>
      <c r="CQ27839" s="111"/>
      <c r="EF27839"/>
      <c r="EG27839"/>
      <c r="EH27839"/>
      <c r="EI27839"/>
      <c r="EJ27839"/>
      <c r="EK27839"/>
    </row>
    <row r="27840" spans="1:141" s="116" customFormat="1">
      <c r="A27840" s="136"/>
      <c r="CM27840" s="111"/>
      <c r="CQ27840" s="111"/>
      <c r="EF27840"/>
      <c r="EG27840"/>
      <c r="EH27840"/>
      <c r="EI27840"/>
      <c r="EJ27840"/>
      <c r="EK27840"/>
    </row>
    <row r="27841" spans="1:141" s="116" customFormat="1">
      <c r="A27841" s="136"/>
      <c r="CM27841" s="111"/>
      <c r="CQ27841" s="111"/>
      <c r="EF27841"/>
      <c r="EG27841"/>
      <c r="EH27841"/>
      <c r="EI27841"/>
      <c r="EJ27841"/>
      <c r="EK27841"/>
    </row>
    <row r="27842" spans="1:141" s="116" customFormat="1">
      <c r="A27842" s="136"/>
      <c r="CM27842" s="111"/>
      <c r="CQ27842" s="111"/>
      <c r="EF27842"/>
      <c r="EG27842"/>
      <c r="EH27842"/>
      <c r="EI27842"/>
      <c r="EJ27842"/>
      <c r="EK27842"/>
    </row>
    <row r="27843" spans="1:141" s="116" customFormat="1">
      <c r="A27843" s="136"/>
      <c r="CM27843" s="111"/>
      <c r="CQ27843" s="111"/>
      <c r="EF27843"/>
      <c r="EG27843"/>
      <c r="EH27843"/>
      <c r="EI27843"/>
      <c r="EJ27843"/>
      <c r="EK27843"/>
    </row>
    <row r="27844" spans="1:141" s="116" customFormat="1">
      <c r="A27844" s="136"/>
      <c r="CM27844" s="111"/>
      <c r="CQ27844" s="111"/>
      <c r="EF27844"/>
      <c r="EG27844"/>
      <c r="EH27844"/>
      <c r="EI27844"/>
      <c r="EJ27844"/>
      <c r="EK27844"/>
    </row>
    <row r="27845" spans="1:141" s="116" customFormat="1">
      <c r="A27845" s="136"/>
      <c r="CM27845" s="111"/>
      <c r="CQ27845" s="111"/>
      <c r="EF27845"/>
      <c r="EG27845"/>
      <c r="EH27845"/>
      <c r="EI27845"/>
      <c r="EJ27845"/>
      <c r="EK27845"/>
    </row>
    <row r="27846" spans="1:141" s="116" customFormat="1">
      <c r="A27846" s="136"/>
      <c r="CM27846" s="111"/>
      <c r="CQ27846" s="111"/>
      <c r="EF27846"/>
      <c r="EG27846"/>
      <c r="EH27846"/>
      <c r="EI27846"/>
      <c r="EJ27846"/>
      <c r="EK27846"/>
    </row>
    <row r="27847" spans="1:141" s="116" customFormat="1">
      <c r="A27847" s="136"/>
      <c r="CM27847" s="111"/>
      <c r="CQ27847" s="111"/>
      <c r="EF27847"/>
      <c r="EG27847"/>
      <c r="EH27847"/>
      <c r="EI27847"/>
      <c r="EJ27847"/>
      <c r="EK27847"/>
    </row>
    <row r="27848" spans="1:141" s="116" customFormat="1">
      <c r="A27848" s="136"/>
      <c r="CM27848" s="111"/>
      <c r="CQ27848" s="111"/>
      <c r="EF27848"/>
      <c r="EG27848"/>
      <c r="EH27848"/>
      <c r="EI27848"/>
      <c r="EJ27848"/>
      <c r="EK27848"/>
    </row>
    <row r="27849" spans="1:141" s="116" customFormat="1">
      <c r="A27849" s="136"/>
      <c r="CM27849" s="111"/>
      <c r="CQ27849" s="111"/>
      <c r="EF27849"/>
      <c r="EG27849"/>
      <c r="EH27849"/>
      <c r="EI27849"/>
      <c r="EJ27849"/>
      <c r="EK27849"/>
    </row>
    <row r="27850" spans="1:141" s="116" customFormat="1">
      <c r="A27850" s="136"/>
      <c r="CM27850" s="111"/>
      <c r="CQ27850" s="111"/>
      <c r="EF27850"/>
      <c r="EG27850"/>
      <c r="EH27850"/>
      <c r="EI27850"/>
      <c r="EJ27850"/>
      <c r="EK27850"/>
    </row>
    <row r="27851" spans="1:141" s="116" customFormat="1">
      <c r="A27851" s="136"/>
      <c r="CM27851" s="111"/>
      <c r="CQ27851" s="111"/>
      <c r="EF27851"/>
      <c r="EG27851"/>
      <c r="EH27851"/>
      <c r="EI27851"/>
      <c r="EJ27851"/>
      <c r="EK27851"/>
    </row>
    <row r="27852" spans="1:141" s="116" customFormat="1">
      <c r="A27852" s="136"/>
      <c r="CM27852" s="111"/>
      <c r="CQ27852" s="111"/>
      <c r="EF27852"/>
      <c r="EG27852"/>
      <c r="EH27852"/>
      <c r="EI27852"/>
      <c r="EJ27852"/>
      <c r="EK27852"/>
    </row>
    <row r="27853" spans="1:141" s="116" customFormat="1">
      <c r="A27853" s="136"/>
      <c r="CM27853" s="111"/>
      <c r="CQ27853" s="111"/>
      <c r="EF27853"/>
      <c r="EG27853"/>
      <c r="EH27853"/>
      <c r="EI27853"/>
      <c r="EJ27853"/>
      <c r="EK27853"/>
    </row>
    <row r="27854" spans="1:141" s="116" customFormat="1">
      <c r="A27854" s="136"/>
      <c r="CM27854" s="111"/>
      <c r="CQ27854" s="111"/>
      <c r="EF27854"/>
      <c r="EG27854"/>
      <c r="EH27854"/>
      <c r="EI27854"/>
      <c r="EJ27854"/>
      <c r="EK27854"/>
    </row>
    <row r="27855" spans="1:141" s="116" customFormat="1">
      <c r="A27855" s="136"/>
      <c r="CM27855" s="111"/>
      <c r="CQ27855" s="111"/>
      <c r="EF27855"/>
      <c r="EG27855"/>
      <c r="EH27855"/>
      <c r="EI27855"/>
      <c r="EJ27855"/>
      <c r="EK27855"/>
    </row>
    <row r="27856" spans="1:141" s="116" customFormat="1">
      <c r="A27856" s="136"/>
      <c r="CM27856" s="111"/>
      <c r="CQ27856" s="111"/>
      <c r="EF27856"/>
      <c r="EG27856"/>
      <c r="EH27856"/>
      <c r="EI27856"/>
      <c r="EJ27856"/>
      <c r="EK27856"/>
    </row>
    <row r="27857" spans="1:141" s="116" customFormat="1">
      <c r="A27857" s="136"/>
      <c r="CM27857" s="111"/>
      <c r="CQ27857" s="111"/>
      <c r="EF27857"/>
      <c r="EG27857"/>
      <c r="EH27857"/>
      <c r="EI27857"/>
      <c r="EJ27857"/>
      <c r="EK27857"/>
    </row>
    <row r="27858" spans="1:141" s="116" customFormat="1">
      <c r="A27858" s="136"/>
      <c r="CM27858" s="111"/>
      <c r="CQ27858" s="111"/>
      <c r="EF27858"/>
      <c r="EG27858"/>
      <c r="EH27858"/>
      <c r="EI27858"/>
      <c r="EJ27858"/>
      <c r="EK27858"/>
    </row>
    <row r="27859" spans="1:141" s="116" customFormat="1">
      <c r="A27859" s="136"/>
      <c r="CM27859" s="111"/>
      <c r="CQ27859" s="111"/>
      <c r="EF27859"/>
      <c r="EG27859"/>
      <c r="EH27859"/>
      <c r="EI27859"/>
      <c r="EJ27859"/>
      <c r="EK27859"/>
    </row>
    <row r="27860" spans="1:141" s="116" customFormat="1">
      <c r="A27860" s="136"/>
      <c r="CM27860" s="111"/>
      <c r="CQ27860" s="111"/>
      <c r="EF27860"/>
      <c r="EG27860"/>
      <c r="EH27860"/>
      <c r="EI27860"/>
      <c r="EJ27860"/>
      <c r="EK27860"/>
    </row>
    <row r="27861" spans="1:141" s="116" customFormat="1">
      <c r="A27861" s="136"/>
      <c r="CM27861" s="111"/>
      <c r="CQ27861" s="111"/>
      <c r="EF27861"/>
      <c r="EG27861"/>
      <c r="EH27861"/>
      <c r="EI27861"/>
      <c r="EJ27861"/>
      <c r="EK27861"/>
    </row>
    <row r="27862" spans="1:141" s="116" customFormat="1">
      <c r="A27862" s="136"/>
      <c r="CM27862" s="111"/>
      <c r="CQ27862" s="111"/>
      <c r="EF27862"/>
      <c r="EG27862"/>
      <c r="EH27862"/>
      <c r="EI27862"/>
      <c r="EJ27862"/>
      <c r="EK27862"/>
    </row>
    <row r="27863" spans="1:141" s="116" customFormat="1">
      <c r="A27863" s="136"/>
      <c r="CM27863" s="111"/>
      <c r="CQ27863" s="111"/>
      <c r="EF27863"/>
      <c r="EG27863"/>
      <c r="EH27863"/>
      <c r="EI27863"/>
      <c r="EJ27863"/>
      <c r="EK27863"/>
    </row>
    <row r="27864" spans="1:141" s="116" customFormat="1">
      <c r="A27864" s="136"/>
      <c r="CM27864" s="111"/>
      <c r="CQ27864" s="111"/>
      <c r="EF27864"/>
      <c r="EG27864"/>
      <c r="EH27864"/>
      <c r="EI27864"/>
      <c r="EJ27864"/>
      <c r="EK27864"/>
    </row>
    <row r="27865" spans="1:141" s="116" customFormat="1">
      <c r="A27865" s="136"/>
      <c r="CM27865" s="111"/>
      <c r="CQ27865" s="111"/>
      <c r="EF27865"/>
      <c r="EG27865"/>
      <c r="EH27865"/>
      <c r="EI27865"/>
      <c r="EJ27865"/>
      <c r="EK27865"/>
    </row>
    <row r="27866" spans="1:141" s="116" customFormat="1">
      <c r="A27866" s="136"/>
      <c r="CM27866" s="111"/>
      <c r="CQ27866" s="111"/>
      <c r="EF27866"/>
      <c r="EG27866"/>
      <c r="EH27866"/>
      <c r="EI27866"/>
      <c r="EJ27866"/>
      <c r="EK27866"/>
    </row>
    <row r="27867" spans="1:141" s="116" customFormat="1">
      <c r="A27867" s="136"/>
      <c r="CM27867" s="111"/>
      <c r="CQ27867" s="111"/>
      <c r="EF27867"/>
      <c r="EG27867"/>
      <c r="EH27867"/>
      <c r="EI27867"/>
      <c r="EJ27867"/>
      <c r="EK27867"/>
    </row>
    <row r="27868" spans="1:141" s="116" customFormat="1">
      <c r="A27868" s="136"/>
      <c r="CM27868" s="111"/>
      <c r="CQ27868" s="111"/>
      <c r="EF27868"/>
      <c r="EG27868"/>
      <c r="EH27868"/>
      <c r="EI27868"/>
      <c r="EJ27868"/>
      <c r="EK27868"/>
    </row>
    <row r="27869" spans="1:141" s="116" customFormat="1">
      <c r="A27869" s="136"/>
      <c r="CM27869" s="111"/>
      <c r="CQ27869" s="111"/>
      <c r="EF27869"/>
      <c r="EG27869"/>
      <c r="EH27869"/>
      <c r="EI27869"/>
      <c r="EJ27869"/>
      <c r="EK27869"/>
    </row>
    <row r="27870" spans="1:141" s="116" customFormat="1">
      <c r="A27870" s="136"/>
      <c r="CM27870" s="111"/>
      <c r="CQ27870" s="111"/>
      <c r="EF27870"/>
      <c r="EG27870"/>
      <c r="EH27870"/>
      <c r="EI27870"/>
      <c r="EJ27870"/>
      <c r="EK27870"/>
    </row>
    <row r="27871" spans="1:141" s="116" customFormat="1">
      <c r="A27871" s="136"/>
      <c r="CM27871" s="111"/>
      <c r="CQ27871" s="111"/>
      <c r="EF27871"/>
      <c r="EG27871"/>
      <c r="EH27871"/>
      <c r="EI27871"/>
      <c r="EJ27871"/>
      <c r="EK27871"/>
    </row>
    <row r="27872" spans="1:141" s="116" customFormat="1">
      <c r="A27872" s="136"/>
      <c r="CM27872" s="111"/>
      <c r="CQ27872" s="111"/>
      <c r="EF27872"/>
      <c r="EG27872"/>
      <c r="EH27872"/>
      <c r="EI27872"/>
      <c r="EJ27872"/>
      <c r="EK27872"/>
    </row>
    <row r="27873" spans="1:141" s="116" customFormat="1">
      <c r="A27873" s="136"/>
      <c r="CM27873" s="111"/>
      <c r="CQ27873" s="111"/>
      <c r="EF27873"/>
      <c r="EG27873"/>
      <c r="EH27873"/>
      <c r="EI27873"/>
      <c r="EJ27873"/>
      <c r="EK27873"/>
    </row>
    <row r="27874" spans="1:141" s="116" customFormat="1">
      <c r="A27874" s="136"/>
      <c r="CM27874" s="111"/>
      <c r="CQ27874" s="111"/>
      <c r="EF27874"/>
      <c r="EG27874"/>
      <c r="EH27874"/>
      <c r="EI27874"/>
      <c r="EJ27874"/>
      <c r="EK27874"/>
    </row>
    <row r="27875" spans="1:141" s="116" customFormat="1">
      <c r="A27875" s="136"/>
      <c r="CM27875" s="111"/>
      <c r="CQ27875" s="111"/>
      <c r="EF27875"/>
      <c r="EG27875"/>
      <c r="EH27875"/>
      <c r="EI27875"/>
      <c r="EJ27875"/>
      <c r="EK27875"/>
    </row>
    <row r="27876" spans="1:141" s="116" customFormat="1">
      <c r="A27876" s="136"/>
      <c r="CM27876" s="111"/>
      <c r="CQ27876" s="111"/>
      <c r="EF27876"/>
      <c r="EG27876"/>
      <c r="EH27876"/>
      <c r="EI27876"/>
      <c r="EJ27876"/>
      <c r="EK27876"/>
    </row>
    <row r="27877" spans="1:141" s="116" customFormat="1">
      <c r="A27877" s="136"/>
      <c r="CM27877" s="111"/>
      <c r="CQ27877" s="111"/>
      <c r="EF27877"/>
      <c r="EG27877"/>
      <c r="EH27877"/>
      <c r="EI27877"/>
      <c r="EJ27877"/>
      <c r="EK27877"/>
    </row>
    <row r="27878" spans="1:141" s="116" customFormat="1">
      <c r="A27878" s="136"/>
      <c r="CM27878" s="111"/>
      <c r="CQ27878" s="111"/>
      <c r="EF27878"/>
      <c r="EG27878"/>
      <c r="EH27878"/>
      <c r="EI27878"/>
      <c r="EJ27878"/>
      <c r="EK27878"/>
    </row>
    <row r="27879" spans="1:141" s="116" customFormat="1">
      <c r="A27879" s="136"/>
      <c r="CM27879" s="111"/>
      <c r="CQ27879" s="111"/>
      <c r="EF27879"/>
      <c r="EG27879"/>
      <c r="EH27879"/>
      <c r="EI27879"/>
      <c r="EJ27879"/>
      <c r="EK27879"/>
    </row>
    <row r="27880" spans="1:141" s="116" customFormat="1">
      <c r="A27880" s="136"/>
      <c r="CM27880" s="111"/>
      <c r="CQ27880" s="111"/>
      <c r="EF27880"/>
      <c r="EG27880"/>
      <c r="EH27880"/>
      <c r="EI27880"/>
      <c r="EJ27880"/>
      <c r="EK27880"/>
    </row>
    <row r="27881" spans="1:141" s="116" customFormat="1">
      <c r="A27881" s="136"/>
      <c r="CM27881" s="111"/>
      <c r="CQ27881" s="111"/>
      <c r="EF27881"/>
      <c r="EG27881"/>
      <c r="EH27881"/>
      <c r="EI27881"/>
      <c r="EJ27881"/>
      <c r="EK27881"/>
    </row>
    <row r="27882" spans="1:141" s="116" customFormat="1">
      <c r="A27882" s="136"/>
      <c r="CM27882" s="111"/>
      <c r="CQ27882" s="111"/>
      <c r="EF27882"/>
      <c r="EG27882"/>
      <c r="EH27882"/>
      <c r="EI27882"/>
      <c r="EJ27882"/>
      <c r="EK27882"/>
    </row>
    <row r="27883" spans="1:141" s="116" customFormat="1">
      <c r="A27883" s="136"/>
      <c r="CM27883" s="111"/>
      <c r="CQ27883" s="111"/>
      <c r="EF27883"/>
      <c r="EG27883"/>
      <c r="EH27883"/>
      <c r="EI27883"/>
      <c r="EJ27883"/>
      <c r="EK27883"/>
    </row>
    <row r="27884" spans="1:141" s="116" customFormat="1">
      <c r="A27884" s="136"/>
      <c r="CM27884" s="111"/>
      <c r="CQ27884" s="111"/>
      <c r="EF27884"/>
      <c r="EG27884"/>
      <c r="EH27884"/>
      <c r="EI27884"/>
      <c r="EJ27884"/>
      <c r="EK27884"/>
    </row>
    <row r="27885" spans="1:141" s="116" customFormat="1">
      <c r="A27885" s="136"/>
      <c r="CM27885" s="111"/>
      <c r="CQ27885" s="111"/>
      <c r="EF27885"/>
      <c r="EG27885"/>
      <c r="EH27885"/>
      <c r="EI27885"/>
      <c r="EJ27885"/>
      <c r="EK27885"/>
    </row>
    <row r="27886" spans="1:141" s="116" customFormat="1">
      <c r="A27886" s="136"/>
      <c r="CM27886" s="111"/>
      <c r="CQ27886" s="111"/>
      <c r="EF27886"/>
      <c r="EG27886"/>
      <c r="EH27886"/>
      <c r="EI27886"/>
      <c r="EJ27886"/>
      <c r="EK27886"/>
    </row>
    <row r="27887" spans="1:141" s="116" customFormat="1">
      <c r="A27887" s="136"/>
      <c r="CM27887" s="111"/>
      <c r="CQ27887" s="111"/>
      <c r="EF27887"/>
      <c r="EG27887"/>
      <c r="EH27887"/>
      <c r="EI27887"/>
      <c r="EJ27887"/>
      <c r="EK27887"/>
    </row>
    <row r="27888" spans="1:141" s="116" customFormat="1">
      <c r="A27888" s="136"/>
      <c r="CM27888" s="111"/>
      <c r="CQ27888" s="111"/>
      <c r="EF27888"/>
      <c r="EG27888"/>
      <c r="EH27888"/>
      <c r="EI27888"/>
      <c r="EJ27888"/>
      <c r="EK27888"/>
    </row>
    <row r="27889" spans="1:141" s="116" customFormat="1">
      <c r="A27889" s="136"/>
      <c r="CM27889" s="111"/>
      <c r="CQ27889" s="111"/>
      <c r="EF27889"/>
      <c r="EG27889"/>
      <c r="EH27889"/>
      <c r="EI27889"/>
      <c r="EJ27889"/>
      <c r="EK27889"/>
    </row>
    <row r="27890" spans="1:141" s="116" customFormat="1">
      <c r="A27890" s="136"/>
      <c r="CM27890" s="111"/>
      <c r="CQ27890" s="111"/>
      <c r="EF27890"/>
      <c r="EG27890"/>
      <c r="EH27890"/>
      <c r="EI27890"/>
      <c r="EJ27890"/>
      <c r="EK27890"/>
    </row>
    <row r="27891" spans="1:141" s="116" customFormat="1">
      <c r="A27891" s="136"/>
      <c r="CM27891" s="111"/>
      <c r="CQ27891" s="111"/>
      <c r="EF27891"/>
      <c r="EG27891"/>
      <c r="EH27891"/>
      <c r="EI27891"/>
      <c r="EJ27891"/>
      <c r="EK27891"/>
    </row>
    <row r="27892" spans="1:141" s="116" customFormat="1">
      <c r="A27892" s="136"/>
      <c r="CM27892" s="111"/>
      <c r="CQ27892" s="111"/>
      <c r="EF27892"/>
      <c r="EG27892"/>
      <c r="EH27892"/>
      <c r="EI27892"/>
      <c r="EJ27892"/>
      <c r="EK27892"/>
    </row>
    <row r="27893" spans="1:141" s="116" customFormat="1">
      <c r="A27893" s="136"/>
      <c r="CM27893" s="111"/>
      <c r="CQ27893" s="111"/>
      <c r="EF27893"/>
      <c r="EG27893"/>
      <c r="EH27893"/>
      <c r="EI27893"/>
      <c r="EJ27893"/>
      <c r="EK27893"/>
    </row>
    <row r="27894" spans="1:141" s="116" customFormat="1">
      <c r="A27894" s="136"/>
      <c r="CM27894" s="111"/>
      <c r="CQ27894" s="111"/>
      <c r="EF27894"/>
      <c r="EG27894"/>
      <c r="EH27894"/>
      <c r="EI27894"/>
      <c r="EJ27894"/>
      <c r="EK27894"/>
    </row>
    <row r="27895" spans="1:141" s="116" customFormat="1">
      <c r="A27895" s="136"/>
      <c r="CM27895" s="111"/>
      <c r="CQ27895" s="111"/>
      <c r="EF27895"/>
      <c r="EG27895"/>
      <c r="EH27895"/>
      <c r="EI27895"/>
      <c r="EJ27895"/>
      <c r="EK27895"/>
    </row>
    <row r="27896" spans="1:141" s="116" customFormat="1">
      <c r="A27896" s="136"/>
      <c r="CM27896" s="111"/>
      <c r="CQ27896" s="111"/>
      <c r="EF27896"/>
      <c r="EG27896"/>
      <c r="EH27896"/>
      <c r="EI27896"/>
      <c r="EJ27896"/>
      <c r="EK27896"/>
    </row>
    <row r="27897" spans="1:141" s="116" customFormat="1">
      <c r="A27897" s="136"/>
      <c r="CM27897" s="111"/>
      <c r="CQ27897" s="111"/>
      <c r="EF27897"/>
      <c r="EG27897"/>
      <c r="EH27897"/>
      <c r="EI27897"/>
      <c r="EJ27897"/>
      <c r="EK27897"/>
    </row>
    <row r="27898" spans="1:141" s="116" customFormat="1">
      <c r="A27898" s="136"/>
      <c r="CM27898" s="111"/>
      <c r="CQ27898" s="111"/>
      <c r="EF27898"/>
      <c r="EG27898"/>
      <c r="EH27898"/>
      <c r="EI27898"/>
      <c r="EJ27898"/>
      <c r="EK27898"/>
    </row>
    <row r="27899" spans="1:141" s="116" customFormat="1">
      <c r="A27899" s="136"/>
      <c r="CM27899" s="111"/>
      <c r="CQ27899" s="111"/>
      <c r="EF27899"/>
      <c r="EG27899"/>
      <c r="EH27899"/>
      <c r="EI27899"/>
      <c r="EJ27899"/>
      <c r="EK27899"/>
    </row>
    <row r="27900" spans="1:141" s="116" customFormat="1">
      <c r="A27900" s="136"/>
      <c r="CM27900" s="111"/>
      <c r="CQ27900" s="111"/>
      <c r="EF27900"/>
      <c r="EG27900"/>
      <c r="EH27900"/>
      <c r="EI27900"/>
      <c r="EJ27900"/>
      <c r="EK27900"/>
    </row>
    <row r="27901" spans="1:141" s="116" customFormat="1">
      <c r="A27901" s="136"/>
      <c r="CM27901" s="111"/>
      <c r="CQ27901" s="111"/>
      <c r="EF27901"/>
      <c r="EG27901"/>
      <c r="EH27901"/>
      <c r="EI27901"/>
      <c r="EJ27901"/>
      <c r="EK27901"/>
    </row>
    <row r="27902" spans="1:141" s="116" customFormat="1">
      <c r="A27902" s="136"/>
      <c r="CM27902" s="111"/>
      <c r="CQ27902" s="111"/>
      <c r="EF27902"/>
      <c r="EG27902"/>
      <c r="EH27902"/>
      <c r="EI27902"/>
      <c r="EJ27902"/>
      <c r="EK27902"/>
    </row>
    <row r="27903" spans="1:141" s="116" customFormat="1">
      <c r="A27903" s="136"/>
      <c r="CM27903" s="111"/>
      <c r="CQ27903" s="111"/>
      <c r="EF27903"/>
      <c r="EG27903"/>
      <c r="EH27903"/>
      <c r="EI27903"/>
      <c r="EJ27903"/>
      <c r="EK27903"/>
    </row>
    <row r="27904" spans="1:141" s="116" customFormat="1">
      <c r="A27904" s="136"/>
      <c r="CM27904" s="111"/>
      <c r="CQ27904" s="111"/>
      <c r="EF27904"/>
      <c r="EG27904"/>
      <c r="EH27904"/>
      <c r="EI27904"/>
      <c r="EJ27904"/>
      <c r="EK27904"/>
    </row>
    <row r="27905" spans="1:141" s="116" customFormat="1">
      <c r="A27905" s="136"/>
      <c r="CM27905" s="111"/>
      <c r="CQ27905" s="111"/>
      <c r="EF27905"/>
      <c r="EG27905"/>
      <c r="EH27905"/>
      <c r="EI27905"/>
      <c r="EJ27905"/>
      <c r="EK27905"/>
    </row>
    <row r="27906" spans="1:141" s="116" customFormat="1">
      <c r="A27906" s="136"/>
      <c r="CM27906" s="111"/>
      <c r="CQ27906" s="111"/>
      <c r="EF27906"/>
      <c r="EG27906"/>
      <c r="EH27906"/>
      <c r="EI27906"/>
      <c r="EJ27906"/>
      <c r="EK27906"/>
    </row>
    <row r="27907" spans="1:141" s="116" customFormat="1">
      <c r="A27907" s="136"/>
      <c r="CM27907" s="111"/>
      <c r="CQ27907" s="111"/>
      <c r="EF27907"/>
      <c r="EG27907"/>
      <c r="EH27907"/>
      <c r="EI27907"/>
      <c r="EJ27907"/>
      <c r="EK27907"/>
    </row>
    <row r="27908" spans="1:141" s="116" customFormat="1">
      <c r="A27908" s="136"/>
      <c r="CM27908" s="111"/>
      <c r="CQ27908" s="111"/>
      <c r="EF27908"/>
      <c r="EG27908"/>
      <c r="EH27908"/>
      <c r="EI27908"/>
      <c r="EJ27908"/>
      <c r="EK27908"/>
    </row>
    <row r="27909" spans="1:141" s="116" customFormat="1">
      <c r="A27909" s="136"/>
      <c r="CM27909" s="111"/>
      <c r="CQ27909" s="111"/>
      <c r="EF27909"/>
      <c r="EG27909"/>
      <c r="EH27909"/>
      <c r="EI27909"/>
      <c r="EJ27909"/>
      <c r="EK27909"/>
    </row>
    <row r="27910" spans="1:141" s="116" customFormat="1">
      <c r="A27910" s="136"/>
      <c r="CM27910" s="111"/>
      <c r="CQ27910" s="111"/>
      <c r="EF27910"/>
      <c r="EG27910"/>
      <c r="EH27910"/>
      <c r="EI27910"/>
      <c r="EJ27910"/>
      <c r="EK27910"/>
    </row>
    <row r="27911" spans="1:141" s="116" customFormat="1">
      <c r="A27911" s="136"/>
      <c r="CM27911" s="111"/>
      <c r="CQ27911" s="111"/>
      <c r="EF27911"/>
      <c r="EG27911"/>
      <c r="EH27911"/>
      <c r="EI27911"/>
      <c r="EJ27911"/>
      <c r="EK27911"/>
    </row>
    <row r="27912" spans="1:141" s="116" customFormat="1">
      <c r="A27912" s="136"/>
      <c r="CM27912" s="111"/>
      <c r="CQ27912" s="111"/>
      <c r="EF27912"/>
      <c r="EG27912"/>
      <c r="EH27912"/>
      <c r="EI27912"/>
      <c r="EJ27912"/>
      <c r="EK27912"/>
    </row>
    <row r="27913" spans="1:141" s="116" customFormat="1">
      <c r="A27913" s="136"/>
      <c r="CM27913" s="111"/>
      <c r="CQ27913" s="111"/>
      <c r="EF27913"/>
      <c r="EG27913"/>
      <c r="EH27913"/>
      <c r="EI27913"/>
      <c r="EJ27913"/>
      <c r="EK27913"/>
    </row>
    <row r="27914" spans="1:141" s="116" customFormat="1">
      <c r="A27914" s="136"/>
      <c r="CM27914" s="111"/>
      <c r="CQ27914" s="111"/>
      <c r="EF27914"/>
      <c r="EG27914"/>
      <c r="EH27914"/>
      <c r="EI27914"/>
      <c r="EJ27914"/>
      <c r="EK27914"/>
    </row>
    <row r="27915" spans="1:141" s="116" customFormat="1">
      <c r="A27915" s="136"/>
      <c r="CM27915" s="111"/>
      <c r="CQ27915" s="111"/>
      <c r="EF27915"/>
      <c r="EG27915"/>
      <c r="EH27915"/>
      <c r="EI27915"/>
      <c r="EJ27915"/>
      <c r="EK27915"/>
    </row>
    <row r="27916" spans="1:141" s="116" customFormat="1">
      <c r="A27916" s="136"/>
      <c r="CM27916" s="111"/>
      <c r="CQ27916" s="111"/>
      <c r="EF27916"/>
      <c r="EG27916"/>
      <c r="EH27916"/>
      <c r="EI27916"/>
      <c r="EJ27916"/>
      <c r="EK27916"/>
    </row>
    <row r="27917" spans="1:141" s="116" customFormat="1">
      <c r="A27917" s="136"/>
      <c r="CM27917" s="111"/>
      <c r="CQ27917" s="111"/>
      <c r="EF27917"/>
      <c r="EG27917"/>
      <c r="EH27917"/>
      <c r="EI27917"/>
      <c r="EJ27917"/>
      <c r="EK27917"/>
    </row>
    <row r="27918" spans="1:141" s="116" customFormat="1">
      <c r="A27918" s="136"/>
      <c r="CM27918" s="111"/>
      <c r="CQ27918" s="111"/>
      <c r="EF27918"/>
      <c r="EG27918"/>
      <c r="EH27918"/>
      <c r="EI27918"/>
      <c r="EJ27918"/>
      <c r="EK27918"/>
    </row>
    <row r="27919" spans="1:141" s="116" customFormat="1">
      <c r="A27919" s="136"/>
      <c r="CM27919" s="111"/>
      <c r="CQ27919" s="111"/>
      <c r="EF27919"/>
      <c r="EG27919"/>
      <c r="EH27919"/>
      <c r="EI27919"/>
      <c r="EJ27919"/>
      <c r="EK27919"/>
    </row>
    <row r="27920" spans="1:141" s="116" customFormat="1">
      <c r="A27920" s="136"/>
      <c r="CM27920" s="111"/>
      <c r="CQ27920" s="111"/>
      <c r="EF27920"/>
      <c r="EG27920"/>
      <c r="EH27920"/>
      <c r="EI27920"/>
      <c r="EJ27920"/>
      <c r="EK27920"/>
    </row>
    <row r="27921" spans="1:141" s="116" customFormat="1">
      <c r="A27921" s="136"/>
      <c r="CM27921" s="111"/>
      <c r="CQ27921" s="111"/>
      <c r="EF27921"/>
      <c r="EG27921"/>
      <c r="EH27921"/>
      <c r="EI27921"/>
      <c r="EJ27921"/>
      <c r="EK27921"/>
    </row>
    <row r="27922" spans="1:141" s="116" customFormat="1">
      <c r="A27922" s="136"/>
      <c r="CM27922" s="111"/>
      <c r="CQ27922" s="111"/>
      <c r="EF27922"/>
      <c r="EG27922"/>
      <c r="EH27922"/>
      <c r="EI27922"/>
      <c r="EJ27922"/>
      <c r="EK27922"/>
    </row>
    <row r="27923" spans="1:141" s="116" customFormat="1">
      <c r="A27923" s="136"/>
      <c r="CM27923" s="111"/>
      <c r="CQ27923" s="111"/>
      <c r="EF27923"/>
      <c r="EG27923"/>
      <c r="EH27923"/>
      <c r="EI27923"/>
      <c r="EJ27923"/>
      <c r="EK27923"/>
    </row>
    <row r="27924" spans="1:141" s="116" customFormat="1">
      <c r="A27924" s="136"/>
      <c r="CM27924" s="111"/>
      <c r="CQ27924" s="111"/>
      <c r="EF27924"/>
      <c r="EG27924"/>
      <c r="EH27924"/>
      <c r="EI27924"/>
      <c r="EJ27924"/>
      <c r="EK27924"/>
    </row>
    <row r="27925" spans="1:141" s="116" customFormat="1">
      <c r="A27925" s="136"/>
      <c r="CM27925" s="111"/>
      <c r="CQ27925" s="111"/>
      <c r="EF27925"/>
      <c r="EG27925"/>
      <c r="EH27925"/>
      <c r="EI27925"/>
      <c r="EJ27925"/>
      <c r="EK27925"/>
    </row>
    <row r="27926" spans="1:141" s="116" customFormat="1">
      <c r="A27926" s="136"/>
      <c r="CM27926" s="111"/>
      <c r="CQ27926" s="111"/>
      <c r="EF27926"/>
      <c r="EG27926"/>
      <c r="EH27926"/>
      <c r="EI27926"/>
      <c r="EJ27926"/>
      <c r="EK27926"/>
    </row>
    <row r="27927" spans="1:141" s="116" customFormat="1">
      <c r="A27927" s="136"/>
      <c r="CM27927" s="111"/>
      <c r="CQ27927" s="111"/>
      <c r="EF27927"/>
      <c r="EG27927"/>
      <c r="EH27927"/>
      <c r="EI27927"/>
      <c r="EJ27927"/>
      <c r="EK27927"/>
    </row>
    <row r="27928" spans="1:141" s="116" customFormat="1">
      <c r="A27928" s="136"/>
      <c r="CM27928" s="111"/>
      <c r="CQ27928" s="111"/>
      <c r="EF27928"/>
      <c r="EG27928"/>
      <c r="EH27928"/>
      <c r="EI27928"/>
      <c r="EJ27928"/>
      <c r="EK27928"/>
    </row>
    <row r="27929" spans="1:141" s="116" customFormat="1">
      <c r="A27929" s="136"/>
      <c r="CM27929" s="111"/>
      <c r="CQ27929" s="111"/>
      <c r="EF27929"/>
      <c r="EG27929"/>
      <c r="EH27929"/>
      <c r="EI27929"/>
      <c r="EJ27929"/>
      <c r="EK27929"/>
    </row>
    <row r="27930" spans="1:141" s="116" customFormat="1">
      <c r="A27930" s="136"/>
      <c r="CM27930" s="111"/>
      <c r="CQ27930" s="111"/>
      <c r="EF27930"/>
      <c r="EG27930"/>
      <c r="EH27930"/>
      <c r="EI27930"/>
      <c r="EJ27930"/>
      <c r="EK27930"/>
    </row>
    <row r="27931" spans="1:141" s="116" customFormat="1">
      <c r="A27931" s="136"/>
      <c r="CM27931" s="111"/>
      <c r="CQ27931" s="111"/>
      <c r="EF27931"/>
      <c r="EG27931"/>
      <c r="EH27931"/>
      <c r="EI27931"/>
      <c r="EJ27931"/>
      <c r="EK27931"/>
    </row>
    <row r="27932" spans="1:141" s="116" customFormat="1">
      <c r="A27932" s="136"/>
      <c r="CM27932" s="111"/>
      <c r="CQ27932" s="111"/>
      <c r="EF27932"/>
      <c r="EG27932"/>
      <c r="EH27932"/>
      <c r="EI27932"/>
      <c r="EJ27932"/>
      <c r="EK27932"/>
    </row>
    <row r="27933" spans="1:141" s="116" customFormat="1">
      <c r="A27933" s="136"/>
      <c r="CM27933" s="111"/>
      <c r="CQ27933" s="111"/>
      <c r="EF27933"/>
      <c r="EG27933"/>
      <c r="EH27933"/>
      <c r="EI27933"/>
      <c r="EJ27933"/>
      <c r="EK27933"/>
    </row>
    <row r="27934" spans="1:141" s="116" customFormat="1">
      <c r="A27934" s="136"/>
      <c r="CM27934" s="111"/>
      <c r="CQ27934" s="111"/>
      <c r="EF27934"/>
      <c r="EG27934"/>
      <c r="EH27934"/>
      <c r="EI27934"/>
      <c r="EJ27934"/>
      <c r="EK27934"/>
    </row>
    <row r="27935" spans="1:141" s="116" customFormat="1">
      <c r="A27935" s="136"/>
      <c r="CM27935" s="111"/>
      <c r="CQ27935" s="111"/>
      <c r="EF27935"/>
      <c r="EG27935"/>
      <c r="EH27935"/>
      <c r="EI27935"/>
      <c r="EJ27935"/>
      <c r="EK27935"/>
    </row>
    <row r="27936" spans="1:141" s="116" customFormat="1">
      <c r="A27936" s="136"/>
      <c r="CM27936" s="111"/>
      <c r="CQ27936" s="111"/>
      <c r="EF27936"/>
      <c r="EG27936"/>
      <c r="EH27936"/>
      <c r="EI27936"/>
      <c r="EJ27936"/>
      <c r="EK27936"/>
    </row>
    <row r="27937" spans="1:141" s="116" customFormat="1">
      <c r="A27937" s="136"/>
      <c r="CM27937" s="111"/>
      <c r="CQ27937" s="111"/>
      <c r="EF27937"/>
      <c r="EG27937"/>
      <c r="EH27937"/>
      <c r="EI27937"/>
      <c r="EJ27937"/>
      <c r="EK27937"/>
    </row>
    <row r="27938" spans="1:141" s="116" customFormat="1">
      <c r="A27938" s="136"/>
      <c r="CM27938" s="111"/>
      <c r="CQ27938" s="111"/>
      <c r="EF27938"/>
      <c r="EG27938"/>
      <c r="EH27938"/>
      <c r="EI27938"/>
      <c r="EJ27938"/>
      <c r="EK27938"/>
    </row>
    <row r="27939" spans="1:141" s="116" customFormat="1">
      <c r="A27939" s="136"/>
      <c r="CM27939" s="111"/>
      <c r="CQ27939" s="111"/>
      <c r="EF27939"/>
      <c r="EG27939"/>
      <c r="EH27939"/>
      <c r="EI27939"/>
      <c r="EJ27939"/>
      <c r="EK27939"/>
    </row>
    <row r="27940" spans="1:141" s="116" customFormat="1">
      <c r="A27940" s="136"/>
      <c r="CM27940" s="111"/>
      <c r="CQ27940" s="111"/>
      <c r="EF27940"/>
      <c r="EG27940"/>
      <c r="EH27940"/>
      <c r="EI27940"/>
      <c r="EJ27940"/>
      <c r="EK27940"/>
    </row>
    <row r="27941" spans="1:141" s="116" customFormat="1">
      <c r="A27941" s="136"/>
      <c r="CM27941" s="111"/>
      <c r="CQ27941" s="111"/>
      <c r="EF27941"/>
      <c r="EG27941"/>
      <c r="EH27941"/>
      <c r="EI27941"/>
      <c r="EJ27941"/>
      <c r="EK27941"/>
    </row>
    <row r="27942" spans="1:141" s="116" customFormat="1">
      <c r="A27942" s="136"/>
      <c r="CM27942" s="111"/>
      <c r="CQ27942" s="111"/>
      <c r="EF27942"/>
      <c r="EG27942"/>
      <c r="EH27942"/>
      <c r="EI27942"/>
      <c r="EJ27942"/>
      <c r="EK27942"/>
    </row>
    <row r="27943" spans="1:141" s="116" customFormat="1">
      <c r="A27943" s="136"/>
      <c r="CM27943" s="111"/>
      <c r="CQ27943" s="111"/>
      <c r="EF27943"/>
      <c r="EG27943"/>
      <c r="EH27943"/>
      <c r="EI27943"/>
      <c r="EJ27943"/>
      <c r="EK27943"/>
    </row>
    <row r="27944" spans="1:141" s="116" customFormat="1">
      <c r="A27944" s="136"/>
      <c r="CM27944" s="111"/>
      <c r="CQ27944" s="111"/>
      <c r="EF27944"/>
      <c r="EG27944"/>
      <c r="EH27944"/>
      <c r="EI27944"/>
      <c r="EJ27944"/>
      <c r="EK27944"/>
    </row>
    <row r="27945" spans="1:141" s="116" customFormat="1">
      <c r="A27945" s="136"/>
      <c r="CM27945" s="111"/>
      <c r="CQ27945" s="111"/>
      <c r="EF27945"/>
      <c r="EG27945"/>
      <c r="EH27945"/>
      <c r="EI27945"/>
      <c r="EJ27945"/>
      <c r="EK27945"/>
    </row>
    <row r="27946" spans="1:141" s="116" customFormat="1">
      <c r="A27946" s="136"/>
      <c r="CM27946" s="111"/>
      <c r="CQ27946" s="111"/>
      <c r="EF27946"/>
      <c r="EG27946"/>
      <c r="EH27946"/>
      <c r="EI27946"/>
      <c r="EJ27946"/>
      <c r="EK27946"/>
    </row>
    <row r="27947" spans="1:141" s="116" customFormat="1">
      <c r="A27947" s="136"/>
      <c r="CM27947" s="111"/>
      <c r="CQ27947" s="111"/>
      <c r="EF27947"/>
      <c r="EG27947"/>
      <c r="EH27947"/>
      <c r="EI27947"/>
      <c r="EJ27947"/>
      <c r="EK27947"/>
    </row>
    <row r="27948" spans="1:141" s="116" customFormat="1">
      <c r="A27948" s="136"/>
      <c r="CM27948" s="111"/>
      <c r="CQ27948" s="111"/>
      <c r="EF27948"/>
      <c r="EG27948"/>
      <c r="EH27948"/>
      <c r="EI27948"/>
      <c r="EJ27948"/>
      <c r="EK27948"/>
    </row>
    <row r="27949" spans="1:141" s="116" customFormat="1">
      <c r="A27949" s="136"/>
      <c r="CM27949" s="111"/>
      <c r="CQ27949" s="111"/>
      <c r="EF27949"/>
      <c r="EG27949"/>
      <c r="EH27949"/>
      <c r="EI27949"/>
      <c r="EJ27949"/>
      <c r="EK27949"/>
    </row>
    <row r="27950" spans="1:141" s="116" customFormat="1">
      <c r="A27950" s="136"/>
      <c r="CM27950" s="111"/>
      <c r="CQ27950" s="111"/>
      <c r="EF27950"/>
      <c r="EG27950"/>
      <c r="EH27950"/>
      <c r="EI27950"/>
      <c r="EJ27950"/>
      <c r="EK27950"/>
    </row>
    <row r="27951" spans="1:141" s="116" customFormat="1">
      <c r="A27951" s="136"/>
      <c r="CM27951" s="111"/>
      <c r="CQ27951" s="111"/>
      <c r="EF27951"/>
      <c r="EG27951"/>
      <c r="EH27951"/>
      <c r="EI27951"/>
      <c r="EJ27951"/>
      <c r="EK27951"/>
    </row>
    <row r="27952" spans="1:141" s="116" customFormat="1">
      <c r="A27952" s="136"/>
      <c r="CM27952" s="111"/>
      <c r="CQ27952" s="111"/>
      <c r="EF27952"/>
      <c r="EG27952"/>
      <c r="EH27952"/>
      <c r="EI27952"/>
      <c r="EJ27952"/>
      <c r="EK27952"/>
    </row>
    <row r="27953" spans="1:141" s="116" customFormat="1">
      <c r="A27953" s="136"/>
      <c r="CM27953" s="111"/>
      <c r="CQ27953" s="111"/>
      <c r="EF27953"/>
      <c r="EG27953"/>
      <c r="EH27953"/>
      <c r="EI27953"/>
      <c r="EJ27953"/>
      <c r="EK27953"/>
    </row>
    <row r="27954" spans="1:141" s="116" customFormat="1">
      <c r="A27954" s="136"/>
      <c r="CM27954" s="111"/>
      <c r="CQ27954" s="111"/>
      <c r="EF27954"/>
      <c r="EG27954"/>
      <c r="EH27954"/>
      <c r="EI27954"/>
      <c r="EJ27954"/>
      <c r="EK27954"/>
    </row>
    <row r="27955" spans="1:141" s="116" customFormat="1">
      <c r="A27955" s="136"/>
      <c r="CM27955" s="111"/>
      <c r="CQ27955" s="111"/>
      <c r="EF27955"/>
      <c r="EG27955"/>
      <c r="EH27955"/>
      <c r="EI27955"/>
      <c r="EJ27955"/>
      <c r="EK27955"/>
    </row>
    <row r="27956" spans="1:141" s="116" customFormat="1">
      <c r="A27956" s="136"/>
      <c r="CM27956" s="111"/>
      <c r="CQ27956" s="111"/>
      <c r="EF27956"/>
      <c r="EG27956"/>
      <c r="EH27956"/>
      <c r="EI27956"/>
      <c r="EJ27956"/>
      <c r="EK27956"/>
    </row>
    <row r="27957" spans="1:141" s="116" customFormat="1">
      <c r="A27957" s="136"/>
      <c r="CM27957" s="111"/>
      <c r="CQ27957" s="111"/>
      <c r="EF27957"/>
      <c r="EG27957"/>
      <c r="EH27957"/>
      <c r="EI27957"/>
      <c r="EJ27957"/>
      <c r="EK27957"/>
    </row>
    <row r="27958" spans="1:141" s="116" customFormat="1">
      <c r="A27958" s="136"/>
      <c r="CM27958" s="111"/>
      <c r="CQ27958" s="111"/>
      <c r="EF27958"/>
      <c r="EG27958"/>
      <c r="EH27958"/>
      <c r="EI27958"/>
      <c r="EJ27958"/>
      <c r="EK27958"/>
    </row>
    <row r="27959" spans="1:141" s="116" customFormat="1">
      <c r="A27959" s="136"/>
      <c r="CM27959" s="111"/>
      <c r="CQ27959" s="111"/>
      <c r="EF27959"/>
      <c r="EG27959"/>
      <c r="EH27959"/>
      <c r="EI27959"/>
      <c r="EJ27959"/>
      <c r="EK27959"/>
    </row>
    <row r="27960" spans="1:141" s="116" customFormat="1">
      <c r="A27960" s="136"/>
      <c r="CM27960" s="111"/>
      <c r="CQ27960" s="111"/>
      <c r="EF27960"/>
      <c r="EG27960"/>
      <c r="EH27960"/>
      <c r="EI27960"/>
      <c r="EJ27960"/>
      <c r="EK27960"/>
    </row>
    <row r="27961" spans="1:141" s="116" customFormat="1">
      <c r="A27961" s="136"/>
      <c r="CM27961" s="111"/>
      <c r="CQ27961" s="111"/>
      <c r="EF27961"/>
      <c r="EG27961"/>
      <c r="EH27961"/>
      <c r="EI27961"/>
      <c r="EJ27961"/>
      <c r="EK27961"/>
    </row>
    <row r="27962" spans="1:141" s="116" customFormat="1">
      <c r="A27962" s="136"/>
      <c r="CM27962" s="111"/>
      <c r="CQ27962" s="111"/>
      <c r="EF27962"/>
      <c r="EG27962"/>
      <c r="EH27962"/>
      <c r="EI27962"/>
      <c r="EJ27962"/>
      <c r="EK27962"/>
    </row>
    <row r="27963" spans="1:141" s="116" customFormat="1">
      <c r="A27963" s="136"/>
      <c r="CM27963" s="111"/>
      <c r="CQ27963" s="111"/>
      <c r="EF27963"/>
      <c r="EG27963"/>
      <c r="EH27963"/>
      <c r="EI27963"/>
      <c r="EJ27963"/>
      <c r="EK27963"/>
    </row>
    <row r="27964" spans="1:141" s="116" customFormat="1">
      <c r="A27964" s="136"/>
      <c r="CM27964" s="111"/>
      <c r="CQ27964" s="111"/>
      <c r="EF27964"/>
      <c r="EG27964"/>
      <c r="EH27964"/>
      <c r="EI27964"/>
      <c r="EJ27964"/>
      <c r="EK27964"/>
    </row>
    <row r="27965" spans="1:141" s="116" customFormat="1">
      <c r="A27965" s="136"/>
      <c r="CM27965" s="111"/>
      <c r="CQ27965" s="111"/>
      <c r="EF27965"/>
      <c r="EG27965"/>
      <c r="EH27965"/>
      <c r="EI27965"/>
      <c r="EJ27965"/>
      <c r="EK27965"/>
    </row>
    <row r="27966" spans="1:141" s="116" customFormat="1">
      <c r="A27966" s="136"/>
      <c r="CM27966" s="111"/>
      <c r="CQ27966" s="111"/>
      <c r="EF27966"/>
      <c r="EG27966"/>
      <c r="EH27966"/>
      <c r="EI27966"/>
      <c r="EJ27966"/>
      <c r="EK27966"/>
    </row>
    <row r="27967" spans="1:141" s="116" customFormat="1">
      <c r="A27967" s="136"/>
      <c r="CM27967" s="111"/>
      <c r="CQ27967" s="111"/>
      <c r="EF27967"/>
      <c r="EG27967"/>
      <c r="EH27967"/>
      <c r="EI27967"/>
      <c r="EJ27967"/>
      <c r="EK27967"/>
    </row>
    <row r="27968" spans="1:141" s="116" customFormat="1">
      <c r="A27968" s="136"/>
      <c r="CM27968" s="111"/>
      <c r="CQ27968" s="111"/>
      <c r="EF27968"/>
      <c r="EG27968"/>
      <c r="EH27968"/>
      <c r="EI27968"/>
      <c r="EJ27968"/>
      <c r="EK27968"/>
    </row>
    <row r="27969" spans="1:141" s="116" customFormat="1">
      <c r="A27969" s="136"/>
      <c r="CM27969" s="111"/>
      <c r="CQ27969" s="111"/>
      <c r="EF27969"/>
      <c r="EG27969"/>
      <c r="EH27969"/>
      <c r="EI27969"/>
      <c r="EJ27969"/>
      <c r="EK27969"/>
    </row>
    <row r="27970" spans="1:141" s="116" customFormat="1">
      <c r="A27970" s="136"/>
      <c r="CM27970" s="111"/>
      <c r="CQ27970" s="111"/>
      <c r="EF27970"/>
      <c r="EG27970"/>
      <c r="EH27970"/>
      <c r="EI27970"/>
      <c r="EJ27970"/>
      <c r="EK27970"/>
    </row>
    <row r="27971" spans="1:141" s="116" customFormat="1">
      <c r="A27971" s="136"/>
      <c r="CM27971" s="111"/>
      <c r="CQ27971" s="111"/>
      <c r="EF27971"/>
      <c r="EG27971"/>
      <c r="EH27971"/>
      <c r="EI27971"/>
      <c r="EJ27971"/>
      <c r="EK27971"/>
    </row>
    <row r="27972" spans="1:141" s="116" customFormat="1">
      <c r="A27972" s="136"/>
      <c r="CM27972" s="111"/>
      <c r="CQ27972" s="111"/>
      <c r="EF27972"/>
      <c r="EG27972"/>
      <c r="EH27972"/>
      <c r="EI27972"/>
      <c r="EJ27972"/>
      <c r="EK27972"/>
    </row>
    <row r="27973" spans="1:141" s="116" customFormat="1">
      <c r="A27973" s="136"/>
      <c r="CM27973" s="111"/>
      <c r="CQ27973" s="111"/>
      <c r="EF27973"/>
      <c r="EG27973"/>
      <c r="EH27973"/>
      <c r="EI27973"/>
      <c r="EJ27973"/>
      <c r="EK27973"/>
    </row>
    <row r="27974" spans="1:141" s="116" customFormat="1">
      <c r="A27974" s="136"/>
      <c r="CM27974" s="111"/>
      <c r="CQ27974" s="111"/>
      <c r="EF27974"/>
      <c r="EG27974"/>
      <c r="EH27974"/>
      <c r="EI27974"/>
      <c r="EJ27974"/>
      <c r="EK27974"/>
    </row>
    <row r="27975" spans="1:141" s="116" customFormat="1">
      <c r="A27975" s="136"/>
      <c r="CM27975" s="111"/>
      <c r="CQ27975" s="111"/>
      <c r="EF27975"/>
      <c r="EG27975"/>
      <c r="EH27975"/>
      <c r="EI27975"/>
      <c r="EJ27975"/>
      <c r="EK27975"/>
    </row>
    <row r="27976" spans="1:141" s="116" customFormat="1">
      <c r="A27976" s="136"/>
      <c r="CM27976" s="111"/>
      <c r="CQ27976" s="111"/>
      <c r="EF27976"/>
      <c r="EG27976"/>
      <c r="EH27976"/>
      <c r="EI27976"/>
      <c r="EJ27976"/>
      <c r="EK27976"/>
    </row>
    <row r="27977" spans="1:141" s="116" customFormat="1">
      <c r="A27977" s="136"/>
      <c r="CM27977" s="111"/>
      <c r="CQ27977" s="111"/>
      <c r="EF27977"/>
      <c r="EG27977"/>
      <c r="EH27977"/>
      <c r="EI27977"/>
      <c r="EJ27977"/>
      <c r="EK27977"/>
    </row>
    <row r="27978" spans="1:141" s="116" customFormat="1">
      <c r="A27978" s="136"/>
      <c r="CM27978" s="111"/>
      <c r="CQ27978" s="111"/>
      <c r="EF27978"/>
      <c r="EG27978"/>
      <c r="EH27978"/>
      <c r="EI27978"/>
      <c r="EJ27978"/>
      <c r="EK27978"/>
    </row>
    <row r="27979" spans="1:141" s="116" customFormat="1">
      <c r="A27979" s="136"/>
      <c r="CM27979" s="111"/>
      <c r="CQ27979" s="111"/>
      <c r="EF27979"/>
      <c r="EG27979"/>
      <c r="EH27979"/>
      <c r="EI27979"/>
      <c r="EJ27979"/>
      <c r="EK27979"/>
    </row>
    <row r="27980" spans="1:141" s="116" customFormat="1">
      <c r="A27980" s="136"/>
      <c r="CM27980" s="111"/>
      <c r="CQ27980" s="111"/>
      <c r="EF27980"/>
      <c r="EG27980"/>
      <c r="EH27980"/>
      <c r="EI27980"/>
      <c r="EJ27980"/>
      <c r="EK27980"/>
    </row>
    <row r="27981" spans="1:141" s="116" customFormat="1">
      <c r="A27981" s="136"/>
      <c r="CM27981" s="111"/>
      <c r="CQ27981" s="111"/>
      <c r="EF27981"/>
      <c r="EG27981"/>
      <c r="EH27981"/>
      <c r="EI27981"/>
      <c r="EJ27981"/>
      <c r="EK27981"/>
    </row>
    <row r="27982" spans="1:141" s="116" customFormat="1">
      <c r="A27982" s="136"/>
      <c r="CM27982" s="111"/>
      <c r="CQ27982" s="111"/>
      <c r="EF27982"/>
      <c r="EG27982"/>
      <c r="EH27982"/>
      <c r="EI27982"/>
      <c r="EJ27982"/>
      <c r="EK27982"/>
    </row>
    <row r="27983" spans="1:141" s="116" customFormat="1">
      <c r="A27983" s="136"/>
      <c r="CM27983" s="111"/>
      <c r="CQ27983" s="111"/>
      <c r="EF27983"/>
      <c r="EG27983"/>
      <c r="EH27983"/>
      <c r="EI27983"/>
      <c r="EJ27983"/>
      <c r="EK27983"/>
    </row>
    <row r="27984" spans="1:141" s="116" customFormat="1">
      <c r="A27984" s="136"/>
      <c r="CM27984" s="111"/>
      <c r="CQ27984" s="111"/>
      <c r="EF27984"/>
      <c r="EG27984"/>
      <c r="EH27984"/>
      <c r="EI27984"/>
      <c r="EJ27984"/>
      <c r="EK27984"/>
    </row>
    <row r="27985" spans="1:141" s="116" customFormat="1">
      <c r="A27985" s="136"/>
      <c r="CM27985" s="111"/>
      <c r="CQ27985" s="111"/>
      <c r="EF27985"/>
      <c r="EG27985"/>
      <c r="EH27985"/>
      <c r="EI27985"/>
      <c r="EJ27985"/>
      <c r="EK27985"/>
    </row>
    <row r="27986" spans="1:141" s="116" customFormat="1">
      <c r="A27986" s="136"/>
      <c r="CM27986" s="111"/>
      <c r="CQ27986" s="111"/>
      <c r="EF27986"/>
      <c r="EG27986"/>
      <c r="EH27986"/>
      <c r="EI27986"/>
      <c r="EJ27986"/>
      <c r="EK27986"/>
    </row>
    <row r="27987" spans="1:141" s="116" customFormat="1">
      <c r="A27987" s="136"/>
      <c r="CM27987" s="111"/>
      <c r="CQ27987" s="111"/>
      <c r="EF27987"/>
      <c r="EG27987"/>
      <c r="EH27987"/>
      <c r="EI27987"/>
      <c r="EJ27987"/>
      <c r="EK27987"/>
    </row>
    <row r="27988" spans="1:141" s="116" customFormat="1">
      <c r="A27988" s="136"/>
      <c r="CM27988" s="111"/>
      <c r="CQ27988" s="111"/>
      <c r="EF27988"/>
      <c r="EG27988"/>
      <c r="EH27988"/>
      <c r="EI27988"/>
      <c r="EJ27988"/>
      <c r="EK27988"/>
    </row>
    <row r="27989" spans="1:141" s="116" customFormat="1">
      <c r="A27989" s="136"/>
      <c r="CM27989" s="111"/>
      <c r="CQ27989" s="111"/>
      <c r="EF27989"/>
      <c r="EG27989"/>
      <c r="EH27989"/>
      <c r="EI27989"/>
      <c r="EJ27989"/>
      <c r="EK27989"/>
    </row>
    <row r="27990" spans="1:141" s="116" customFormat="1">
      <c r="A27990" s="136"/>
      <c r="CM27990" s="111"/>
      <c r="CQ27990" s="111"/>
      <c r="EF27990"/>
      <c r="EG27990"/>
      <c r="EH27990"/>
      <c r="EI27990"/>
      <c r="EJ27990"/>
      <c r="EK27990"/>
    </row>
    <row r="27991" spans="1:141" s="116" customFormat="1">
      <c r="A27991" s="136"/>
      <c r="CM27991" s="111"/>
      <c r="CQ27991" s="111"/>
      <c r="EF27991"/>
      <c r="EG27991"/>
      <c r="EH27991"/>
      <c r="EI27991"/>
      <c r="EJ27991"/>
      <c r="EK27991"/>
    </row>
    <row r="27992" spans="1:141" s="116" customFormat="1">
      <c r="A27992" s="136"/>
      <c r="CM27992" s="111"/>
      <c r="CQ27992" s="111"/>
      <c r="EF27992"/>
      <c r="EG27992"/>
      <c r="EH27992"/>
      <c r="EI27992"/>
      <c r="EJ27992"/>
      <c r="EK27992"/>
    </row>
    <row r="27993" spans="1:141" s="116" customFormat="1">
      <c r="A27993" s="136"/>
      <c r="CM27993" s="111"/>
      <c r="CQ27993" s="111"/>
      <c r="EF27993"/>
      <c r="EG27993"/>
      <c r="EH27993"/>
      <c r="EI27993"/>
      <c r="EJ27993"/>
      <c r="EK27993"/>
    </row>
    <row r="27994" spans="1:141" s="116" customFormat="1">
      <c r="A27994" s="136"/>
      <c r="CM27994" s="111"/>
      <c r="CQ27994" s="111"/>
      <c r="EF27994"/>
      <c r="EG27994"/>
      <c r="EH27994"/>
      <c r="EI27994"/>
      <c r="EJ27994"/>
      <c r="EK27994"/>
    </row>
    <row r="27995" spans="1:141" s="116" customFormat="1">
      <c r="A27995" s="136"/>
      <c r="CM27995" s="111"/>
      <c r="CQ27995" s="111"/>
      <c r="EF27995"/>
      <c r="EG27995"/>
      <c r="EH27995"/>
      <c r="EI27995"/>
      <c r="EJ27995"/>
      <c r="EK27995"/>
    </row>
    <row r="27996" spans="1:141" s="116" customFormat="1">
      <c r="A27996" s="136"/>
      <c r="CM27996" s="111"/>
      <c r="CQ27996" s="111"/>
      <c r="EF27996"/>
      <c r="EG27996"/>
      <c r="EH27996"/>
      <c r="EI27996"/>
      <c r="EJ27996"/>
      <c r="EK27996"/>
    </row>
    <row r="27997" spans="1:141" s="116" customFormat="1">
      <c r="A27997" s="136"/>
      <c r="CM27997" s="111"/>
      <c r="CQ27997" s="111"/>
      <c r="EF27997"/>
      <c r="EG27997"/>
      <c r="EH27997"/>
      <c r="EI27997"/>
      <c r="EJ27997"/>
      <c r="EK27997"/>
    </row>
    <row r="27998" spans="1:141" s="116" customFormat="1">
      <c r="A27998" s="136"/>
      <c r="CM27998" s="111"/>
      <c r="CQ27998" s="111"/>
      <c r="EF27998"/>
      <c r="EG27998"/>
      <c r="EH27998"/>
      <c r="EI27998"/>
      <c r="EJ27998"/>
      <c r="EK27998"/>
    </row>
    <row r="27999" spans="1:141" s="116" customFormat="1">
      <c r="A27999" s="136"/>
      <c r="CM27999" s="111"/>
      <c r="CQ27999" s="111"/>
      <c r="EF27999"/>
      <c r="EG27999"/>
      <c r="EH27999"/>
      <c r="EI27999"/>
      <c r="EJ27999"/>
      <c r="EK27999"/>
    </row>
    <row r="28000" spans="1:141" s="116" customFormat="1">
      <c r="A28000" s="136"/>
      <c r="CM28000" s="111"/>
      <c r="CQ28000" s="111"/>
      <c r="EF28000"/>
      <c r="EG28000"/>
      <c r="EH28000"/>
      <c r="EI28000"/>
      <c r="EJ28000"/>
      <c r="EK28000"/>
    </row>
    <row r="28001" spans="1:141" s="116" customFormat="1">
      <c r="A28001" s="136"/>
      <c r="CM28001" s="111"/>
      <c r="CQ28001" s="111"/>
      <c r="EF28001"/>
      <c r="EG28001"/>
      <c r="EH28001"/>
      <c r="EI28001"/>
      <c r="EJ28001"/>
      <c r="EK28001"/>
    </row>
    <row r="28002" spans="1:141" s="116" customFormat="1">
      <c r="A28002" s="136"/>
      <c r="CM28002" s="111"/>
      <c r="CQ28002" s="111"/>
      <c r="EF28002"/>
      <c r="EG28002"/>
      <c r="EH28002"/>
      <c r="EI28002"/>
      <c r="EJ28002"/>
      <c r="EK28002"/>
    </row>
    <row r="28003" spans="1:141" s="116" customFormat="1">
      <c r="A28003" s="136"/>
      <c r="CM28003" s="111"/>
      <c r="CQ28003" s="111"/>
      <c r="EF28003"/>
      <c r="EG28003"/>
      <c r="EH28003"/>
      <c r="EI28003"/>
      <c r="EJ28003"/>
      <c r="EK28003"/>
    </row>
    <row r="28004" spans="1:141" s="116" customFormat="1">
      <c r="A28004" s="136"/>
      <c r="CM28004" s="111"/>
      <c r="CQ28004" s="111"/>
      <c r="EF28004"/>
      <c r="EG28004"/>
      <c r="EH28004"/>
      <c r="EI28004"/>
      <c r="EJ28004"/>
      <c r="EK28004"/>
    </row>
    <row r="28005" spans="1:141" s="116" customFormat="1">
      <c r="A28005" s="136"/>
      <c r="CM28005" s="111"/>
      <c r="CQ28005" s="111"/>
      <c r="EF28005"/>
      <c r="EG28005"/>
      <c r="EH28005"/>
      <c r="EI28005"/>
      <c r="EJ28005"/>
      <c r="EK28005"/>
    </row>
    <row r="28006" spans="1:141" s="116" customFormat="1">
      <c r="A28006" s="136"/>
      <c r="CM28006" s="111"/>
      <c r="CQ28006" s="111"/>
      <c r="EF28006"/>
      <c r="EG28006"/>
      <c r="EH28006"/>
      <c r="EI28006"/>
      <c r="EJ28006"/>
      <c r="EK28006"/>
    </row>
    <row r="28007" spans="1:141" s="116" customFormat="1">
      <c r="A28007" s="136"/>
      <c r="CM28007" s="111"/>
      <c r="CQ28007" s="111"/>
      <c r="EF28007"/>
      <c r="EG28007"/>
      <c r="EH28007"/>
      <c r="EI28007"/>
      <c r="EJ28007"/>
      <c r="EK28007"/>
    </row>
    <row r="28008" spans="1:141" s="116" customFormat="1">
      <c r="A28008" s="136"/>
      <c r="CM28008" s="111"/>
      <c r="CQ28008" s="111"/>
      <c r="EF28008"/>
      <c r="EG28008"/>
      <c r="EH28008"/>
      <c r="EI28008"/>
      <c r="EJ28008"/>
      <c r="EK28008"/>
    </row>
    <row r="28009" spans="1:141" s="116" customFormat="1">
      <c r="A28009" s="136"/>
      <c r="CM28009" s="111"/>
      <c r="CQ28009" s="111"/>
      <c r="EF28009"/>
      <c r="EG28009"/>
      <c r="EH28009"/>
      <c r="EI28009"/>
      <c r="EJ28009"/>
      <c r="EK28009"/>
    </row>
    <row r="28010" spans="1:141" s="116" customFormat="1">
      <c r="A28010" s="136"/>
      <c r="CM28010" s="111"/>
      <c r="CQ28010" s="111"/>
      <c r="EF28010"/>
      <c r="EG28010"/>
      <c r="EH28010"/>
      <c r="EI28010"/>
      <c r="EJ28010"/>
      <c r="EK28010"/>
    </row>
    <row r="28011" spans="1:141" s="116" customFormat="1">
      <c r="A28011" s="136"/>
      <c r="CM28011" s="111"/>
      <c r="CQ28011" s="111"/>
      <c r="EF28011"/>
      <c r="EG28011"/>
      <c r="EH28011"/>
      <c r="EI28011"/>
      <c r="EJ28011"/>
      <c r="EK28011"/>
    </row>
    <row r="28012" spans="1:141" s="116" customFormat="1">
      <c r="A28012" s="136"/>
      <c r="CM28012" s="111"/>
      <c r="CQ28012" s="111"/>
      <c r="EF28012"/>
      <c r="EG28012"/>
      <c r="EH28012"/>
      <c r="EI28012"/>
      <c r="EJ28012"/>
      <c r="EK28012"/>
    </row>
    <row r="28013" spans="1:141" s="116" customFormat="1">
      <c r="A28013" s="136"/>
      <c r="CM28013" s="111"/>
      <c r="CQ28013" s="111"/>
      <c r="EF28013"/>
      <c r="EG28013"/>
      <c r="EH28013"/>
      <c r="EI28013"/>
      <c r="EJ28013"/>
      <c r="EK28013"/>
    </row>
    <row r="28014" spans="1:141" s="116" customFormat="1">
      <c r="A28014" s="136"/>
      <c r="CM28014" s="111"/>
      <c r="CQ28014" s="111"/>
      <c r="EF28014"/>
      <c r="EG28014"/>
      <c r="EH28014"/>
      <c r="EI28014"/>
      <c r="EJ28014"/>
      <c r="EK28014"/>
    </row>
    <row r="28015" spans="1:141" s="116" customFormat="1">
      <c r="A28015" s="136"/>
      <c r="CM28015" s="111"/>
      <c r="CQ28015" s="111"/>
      <c r="EF28015"/>
      <c r="EG28015"/>
      <c r="EH28015"/>
      <c r="EI28015"/>
      <c r="EJ28015"/>
      <c r="EK28015"/>
    </row>
    <row r="28016" spans="1:141" s="116" customFormat="1">
      <c r="A28016" s="136"/>
      <c r="CM28016" s="111"/>
      <c r="CQ28016" s="111"/>
      <c r="EF28016"/>
      <c r="EG28016"/>
      <c r="EH28016"/>
      <c r="EI28016"/>
      <c r="EJ28016"/>
      <c r="EK28016"/>
    </row>
    <row r="28017" spans="1:141" s="116" customFormat="1">
      <c r="A28017" s="136"/>
      <c r="CM28017" s="111"/>
      <c r="CQ28017" s="111"/>
      <c r="EF28017"/>
      <c r="EG28017"/>
      <c r="EH28017"/>
      <c r="EI28017"/>
      <c r="EJ28017"/>
      <c r="EK28017"/>
    </row>
    <row r="28018" spans="1:141" s="116" customFormat="1">
      <c r="A28018" s="136"/>
      <c r="CM28018" s="111"/>
      <c r="CQ28018" s="111"/>
      <c r="EF28018"/>
      <c r="EG28018"/>
      <c r="EH28018"/>
      <c r="EI28018"/>
      <c r="EJ28018"/>
      <c r="EK28018"/>
    </row>
    <row r="28019" spans="1:141" s="116" customFormat="1">
      <c r="A28019" s="136"/>
      <c r="CM28019" s="111"/>
      <c r="CQ28019" s="111"/>
      <c r="EF28019"/>
      <c r="EG28019"/>
      <c r="EH28019"/>
      <c r="EI28019"/>
      <c r="EJ28019"/>
      <c r="EK28019"/>
    </row>
    <row r="28020" spans="1:141" s="116" customFormat="1">
      <c r="A28020" s="136"/>
      <c r="CM28020" s="111"/>
      <c r="CQ28020" s="111"/>
      <c r="EF28020"/>
      <c r="EG28020"/>
      <c r="EH28020"/>
      <c r="EI28020"/>
      <c r="EJ28020"/>
      <c r="EK28020"/>
    </row>
    <row r="28021" spans="1:141" s="116" customFormat="1">
      <c r="A28021" s="136"/>
      <c r="CM28021" s="111"/>
      <c r="CQ28021" s="111"/>
      <c r="EF28021"/>
      <c r="EG28021"/>
      <c r="EH28021"/>
      <c r="EI28021"/>
      <c r="EJ28021"/>
      <c r="EK28021"/>
    </row>
    <row r="28022" spans="1:141" s="116" customFormat="1">
      <c r="A28022" s="136"/>
      <c r="CM28022" s="111"/>
      <c r="CQ28022" s="111"/>
      <c r="EF28022"/>
      <c r="EG28022"/>
      <c r="EH28022"/>
      <c r="EI28022"/>
      <c r="EJ28022"/>
      <c r="EK28022"/>
    </row>
    <row r="28023" spans="1:141" s="116" customFormat="1">
      <c r="A28023" s="136"/>
      <c r="CM28023" s="111"/>
      <c r="CQ28023" s="111"/>
      <c r="EF28023"/>
      <c r="EG28023"/>
      <c r="EH28023"/>
      <c r="EI28023"/>
      <c r="EJ28023"/>
      <c r="EK28023"/>
    </row>
    <row r="28024" spans="1:141" s="116" customFormat="1">
      <c r="A28024" s="136"/>
      <c r="CM28024" s="111"/>
      <c r="CQ28024" s="111"/>
      <c r="EF28024"/>
      <c r="EG28024"/>
      <c r="EH28024"/>
      <c r="EI28024"/>
      <c r="EJ28024"/>
      <c r="EK28024"/>
    </row>
    <row r="28025" spans="1:141" s="116" customFormat="1">
      <c r="A28025" s="136"/>
      <c r="CM28025" s="111"/>
      <c r="CQ28025" s="111"/>
      <c r="EF28025"/>
      <c r="EG28025"/>
      <c r="EH28025"/>
      <c r="EI28025"/>
      <c r="EJ28025"/>
      <c r="EK28025"/>
    </row>
    <row r="28026" spans="1:141" s="116" customFormat="1">
      <c r="A28026" s="136"/>
      <c r="CM28026" s="111"/>
      <c r="CQ28026" s="111"/>
      <c r="EF28026"/>
      <c r="EG28026"/>
      <c r="EH28026"/>
      <c r="EI28026"/>
      <c r="EJ28026"/>
      <c r="EK28026"/>
    </row>
    <row r="28027" spans="1:141" s="116" customFormat="1">
      <c r="A28027" s="136"/>
      <c r="CM28027" s="111"/>
      <c r="CQ28027" s="111"/>
      <c r="EF28027"/>
      <c r="EG28027"/>
      <c r="EH28027"/>
      <c r="EI28027"/>
      <c r="EJ28027"/>
      <c r="EK28027"/>
    </row>
    <row r="28028" spans="1:141" s="116" customFormat="1">
      <c r="A28028" s="136"/>
      <c r="CM28028" s="111"/>
      <c r="CQ28028" s="111"/>
      <c r="EF28028"/>
      <c r="EG28028"/>
      <c r="EH28028"/>
      <c r="EI28028"/>
      <c r="EJ28028"/>
      <c r="EK28028"/>
    </row>
    <row r="28029" spans="1:141" s="116" customFormat="1">
      <c r="A28029" s="136"/>
      <c r="CM28029" s="111"/>
      <c r="CQ28029" s="111"/>
      <c r="EF28029"/>
      <c r="EG28029"/>
      <c r="EH28029"/>
      <c r="EI28029"/>
      <c r="EJ28029"/>
      <c r="EK28029"/>
    </row>
    <row r="28030" spans="1:141" s="116" customFormat="1">
      <c r="A28030" s="136"/>
      <c r="CM28030" s="111"/>
      <c r="CQ28030" s="111"/>
      <c r="EF28030"/>
      <c r="EG28030"/>
      <c r="EH28030"/>
      <c r="EI28030"/>
      <c r="EJ28030"/>
      <c r="EK28030"/>
    </row>
    <row r="28031" spans="1:141" s="116" customFormat="1">
      <c r="A28031" s="136"/>
      <c r="CM28031" s="111"/>
      <c r="CQ28031" s="111"/>
      <c r="EF28031"/>
      <c r="EG28031"/>
      <c r="EH28031"/>
      <c r="EI28031"/>
      <c r="EJ28031"/>
      <c r="EK28031"/>
    </row>
    <row r="28032" spans="1:141" s="116" customFormat="1">
      <c r="A28032" s="136"/>
      <c r="CM28032" s="111"/>
      <c r="CQ28032" s="111"/>
      <c r="EF28032"/>
      <c r="EG28032"/>
      <c r="EH28032"/>
      <c r="EI28032"/>
      <c r="EJ28032"/>
      <c r="EK28032"/>
    </row>
    <row r="28033" spans="1:141" s="116" customFormat="1">
      <c r="A28033" s="136"/>
      <c r="CM28033" s="111"/>
      <c r="CQ28033" s="111"/>
      <c r="EF28033"/>
      <c r="EG28033"/>
      <c r="EH28033"/>
      <c r="EI28033"/>
      <c r="EJ28033"/>
      <c r="EK28033"/>
    </row>
    <row r="28034" spans="1:141" s="116" customFormat="1">
      <c r="A28034" s="136"/>
      <c r="CM28034" s="111"/>
      <c r="CQ28034" s="111"/>
      <c r="EF28034"/>
      <c r="EG28034"/>
      <c r="EH28034"/>
      <c r="EI28034"/>
      <c r="EJ28034"/>
      <c r="EK28034"/>
    </row>
    <row r="28035" spans="1:141" s="116" customFormat="1">
      <c r="A28035" s="136"/>
      <c r="CM28035" s="111"/>
      <c r="CQ28035" s="111"/>
      <c r="EF28035"/>
      <c r="EG28035"/>
      <c r="EH28035"/>
      <c r="EI28035"/>
      <c r="EJ28035"/>
      <c r="EK28035"/>
    </row>
    <row r="28036" spans="1:141" s="116" customFormat="1">
      <c r="A28036" s="136"/>
      <c r="CM28036" s="111"/>
      <c r="CQ28036" s="111"/>
      <c r="EF28036"/>
      <c r="EG28036"/>
      <c r="EH28036"/>
      <c r="EI28036"/>
      <c r="EJ28036"/>
      <c r="EK28036"/>
    </row>
    <row r="28037" spans="1:141" s="116" customFormat="1">
      <c r="A28037" s="136"/>
      <c r="CM28037" s="111"/>
      <c r="CQ28037" s="111"/>
      <c r="EF28037"/>
      <c r="EG28037"/>
      <c r="EH28037"/>
      <c r="EI28037"/>
      <c r="EJ28037"/>
      <c r="EK28037"/>
    </row>
    <row r="28038" spans="1:141" s="116" customFormat="1">
      <c r="A28038" s="136"/>
      <c r="CM28038" s="111"/>
      <c r="CQ28038" s="111"/>
      <c r="EF28038"/>
      <c r="EG28038"/>
      <c r="EH28038"/>
      <c r="EI28038"/>
      <c r="EJ28038"/>
      <c r="EK28038"/>
    </row>
    <row r="28039" spans="1:141" s="116" customFormat="1">
      <c r="A28039" s="136"/>
      <c r="CM28039" s="111"/>
      <c r="CQ28039" s="111"/>
      <c r="EF28039"/>
      <c r="EG28039"/>
      <c r="EH28039"/>
      <c r="EI28039"/>
      <c r="EJ28039"/>
      <c r="EK28039"/>
    </row>
    <row r="28040" spans="1:141" s="116" customFormat="1">
      <c r="A28040" s="136"/>
      <c r="CM28040" s="111"/>
      <c r="CQ28040" s="111"/>
      <c r="EF28040"/>
      <c r="EG28040"/>
      <c r="EH28040"/>
      <c r="EI28040"/>
      <c r="EJ28040"/>
      <c r="EK28040"/>
    </row>
    <row r="28041" spans="1:141" s="116" customFormat="1">
      <c r="A28041" s="136"/>
      <c r="CM28041" s="111"/>
      <c r="CQ28041" s="111"/>
      <c r="EF28041"/>
      <c r="EG28041"/>
      <c r="EH28041"/>
      <c r="EI28041"/>
      <c r="EJ28041"/>
      <c r="EK28041"/>
    </row>
    <row r="28042" spans="1:141" s="116" customFormat="1">
      <c r="A28042" s="136"/>
      <c r="CM28042" s="111"/>
      <c r="CQ28042" s="111"/>
      <c r="EF28042"/>
      <c r="EG28042"/>
      <c r="EH28042"/>
      <c r="EI28042"/>
      <c r="EJ28042"/>
      <c r="EK28042"/>
    </row>
    <row r="28043" spans="1:141" s="116" customFormat="1">
      <c r="A28043" s="136"/>
      <c r="CM28043" s="111"/>
      <c r="CQ28043" s="111"/>
      <c r="EF28043"/>
      <c r="EG28043"/>
      <c r="EH28043"/>
      <c r="EI28043"/>
      <c r="EJ28043"/>
      <c r="EK28043"/>
    </row>
    <row r="28044" spans="1:141" s="116" customFormat="1">
      <c r="A28044" s="136"/>
      <c r="CM28044" s="111"/>
      <c r="CQ28044" s="111"/>
      <c r="EF28044"/>
      <c r="EG28044"/>
      <c r="EH28044"/>
      <c r="EI28044"/>
      <c r="EJ28044"/>
      <c r="EK28044"/>
    </row>
    <row r="28045" spans="1:141" s="116" customFormat="1">
      <c r="A28045" s="136"/>
      <c r="CM28045" s="111"/>
      <c r="CQ28045" s="111"/>
      <c r="EF28045"/>
      <c r="EG28045"/>
      <c r="EH28045"/>
      <c r="EI28045"/>
      <c r="EJ28045"/>
      <c r="EK28045"/>
    </row>
    <row r="28046" spans="1:141" s="116" customFormat="1">
      <c r="A28046" s="136"/>
      <c r="CM28046" s="111"/>
      <c r="CQ28046" s="111"/>
      <c r="EF28046"/>
      <c r="EG28046"/>
      <c r="EH28046"/>
      <c r="EI28046"/>
      <c r="EJ28046"/>
      <c r="EK28046"/>
    </row>
    <row r="28047" spans="1:141" s="116" customFormat="1">
      <c r="A28047" s="136"/>
      <c r="CM28047" s="111"/>
      <c r="CQ28047" s="111"/>
      <c r="EF28047"/>
      <c r="EG28047"/>
      <c r="EH28047"/>
      <c r="EI28047"/>
      <c r="EJ28047"/>
      <c r="EK28047"/>
    </row>
    <row r="28048" spans="1:141" s="116" customFormat="1">
      <c r="A28048" s="136"/>
      <c r="CM28048" s="111"/>
      <c r="CQ28048" s="111"/>
      <c r="EF28048"/>
      <c r="EG28048"/>
      <c r="EH28048"/>
      <c r="EI28048"/>
      <c r="EJ28048"/>
      <c r="EK28048"/>
    </row>
    <row r="28049" spans="1:141" s="116" customFormat="1">
      <c r="A28049" s="136"/>
      <c r="CM28049" s="111"/>
      <c r="CQ28049" s="111"/>
      <c r="EF28049"/>
      <c r="EG28049"/>
      <c r="EH28049"/>
      <c r="EI28049"/>
      <c r="EJ28049"/>
      <c r="EK28049"/>
    </row>
    <row r="28050" spans="1:141" s="116" customFormat="1">
      <c r="A28050" s="136"/>
      <c r="CM28050" s="111"/>
      <c r="CQ28050" s="111"/>
      <c r="EF28050"/>
      <c r="EG28050"/>
      <c r="EH28050"/>
      <c r="EI28050"/>
      <c r="EJ28050"/>
      <c r="EK28050"/>
    </row>
    <row r="28051" spans="1:141" s="116" customFormat="1">
      <c r="A28051" s="136"/>
      <c r="CM28051" s="111"/>
      <c r="CQ28051" s="111"/>
      <c r="EF28051"/>
      <c r="EG28051"/>
      <c r="EH28051"/>
      <c r="EI28051"/>
      <c r="EJ28051"/>
      <c r="EK28051"/>
    </row>
    <row r="28052" spans="1:141" s="116" customFormat="1">
      <c r="A28052" s="136"/>
      <c r="CM28052" s="111"/>
      <c r="CQ28052" s="111"/>
      <c r="EF28052"/>
      <c r="EG28052"/>
      <c r="EH28052"/>
      <c r="EI28052"/>
      <c r="EJ28052"/>
      <c r="EK28052"/>
    </row>
    <row r="28053" spans="1:141" s="116" customFormat="1">
      <c r="A28053" s="136"/>
      <c r="CM28053" s="111"/>
      <c r="CQ28053" s="111"/>
      <c r="EF28053"/>
      <c r="EG28053"/>
      <c r="EH28053"/>
      <c r="EI28053"/>
      <c r="EJ28053"/>
      <c r="EK28053"/>
    </row>
    <row r="28054" spans="1:141" s="116" customFormat="1">
      <c r="A28054" s="136"/>
      <c r="CM28054" s="111"/>
      <c r="CQ28054" s="111"/>
      <c r="EF28054"/>
      <c r="EG28054"/>
      <c r="EH28054"/>
      <c r="EI28054"/>
      <c r="EJ28054"/>
      <c r="EK28054"/>
    </row>
    <row r="28055" spans="1:141" s="116" customFormat="1">
      <c r="A28055" s="136"/>
      <c r="CM28055" s="111"/>
      <c r="CQ28055" s="111"/>
      <c r="EF28055"/>
      <c r="EG28055"/>
      <c r="EH28055"/>
      <c r="EI28055"/>
      <c r="EJ28055"/>
      <c r="EK28055"/>
    </row>
    <row r="28056" spans="1:141" s="116" customFormat="1">
      <c r="A28056" s="136"/>
      <c r="CM28056" s="111"/>
      <c r="CQ28056" s="111"/>
      <c r="EF28056"/>
      <c r="EG28056"/>
      <c r="EH28056"/>
      <c r="EI28056"/>
      <c r="EJ28056"/>
      <c r="EK28056"/>
    </row>
    <row r="28057" spans="1:141" s="116" customFormat="1">
      <c r="A28057" s="136"/>
      <c r="CM28057" s="111"/>
      <c r="CQ28057" s="111"/>
      <c r="EF28057"/>
      <c r="EG28057"/>
      <c r="EH28057"/>
      <c r="EI28057"/>
      <c r="EJ28057"/>
      <c r="EK28057"/>
    </row>
    <row r="28058" spans="1:141" s="116" customFormat="1">
      <c r="A28058" s="136"/>
      <c r="CM28058" s="111"/>
      <c r="CQ28058" s="111"/>
      <c r="EF28058"/>
      <c r="EG28058"/>
      <c r="EH28058"/>
      <c r="EI28058"/>
      <c r="EJ28058"/>
      <c r="EK28058"/>
    </row>
    <row r="28059" spans="1:141" s="116" customFormat="1">
      <c r="A28059" s="136"/>
      <c r="CM28059" s="111"/>
      <c r="CQ28059" s="111"/>
      <c r="EF28059"/>
      <c r="EG28059"/>
      <c r="EH28059"/>
      <c r="EI28059"/>
      <c r="EJ28059"/>
      <c r="EK28059"/>
    </row>
    <row r="28060" spans="1:141" s="116" customFormat="1">
      <c r="A28060" s="136"/>
      <c r="CM28060" s="111"/>
      <c r="CQ28060" s="111"/>
      <c r="EF28060"/>
      <c r="EG28060"/>
      <c r="EH28060"/>
      <c r="EI28060"/>
      <c r="EJ28060"/>
      <c r="EK28060"/>
    </row>
    <row r="28061" spans="1:141" s="116" customFormat="1">
      <c r="A28061" s="136"/>
      <c r="CM28061" s="111"/>
      <c r="CQ28061" s="111"/>
      <c r="EF28061"/>
      <c r="EG28061"/>
      <c r="EH28061"/>
      <c r="EI28061"/>
      <c r="EJ28061"/>
      <c r="EK28061"/>
    </row>
    <row r="28062" spans="1:141" s="116" customFormat="1">
      <c r="A28062" s="136"/>
      <c r="CM28062" s="111"/>
      <c r="CQ28062" s="111"/>
      <c r="EF28062"/>
      <c r="EG28062"/>
      <c r="EH28062"/>
      <c r="EI28062"/>
      <c r="EJ28062"/>
      <c r="EK28062"/>
    </row>
    <row r="28063" spans="1:141" s="116" customFormat="1">
      <c r="A28063" s="136"/>
      <c r="CM28063" s="111"/>
      <c r="CQ28063" s="111"/>
      <c r="EF28063"/>
      <c r="EG28063"/>
      <c r="EH28063"/>
      <c r="EI28063"/>
      <c r="EJ28063"/>
      <c r="EK28063"/>
    </row>
    <row r="28064" spans="1:141" s="116" customFormat="1">
      <c r="A28064" s="136"/>
      <c r="CM28064" s="111"/>
      <c r="CQ28064" s="111"/>
      <c r="EF28064"/>
      <c r="EG28064"/>
      <c r="EH28064"/>
      <c r="EI28064"/>
      <c r="EJ28064"/>
      <c r="EK28064"/>
    </row>
    <row r="28065" spans="1:141" s="116" customFormat="1">
      <c r="A28065" s="136"/>
      <c r="CM28065" s="111"/>
      <c r="CQ28065" s="111"/>
      <c r="EF28065"/>
      <c r="EG28065"/>
      <c r="EH28065"/>
      <c r="EI28065"/>
      <c r="EJ28065"/>
      <c r="EK28065"/>
    </row>
    <row r="28066" spans="1:141" s="116" customFormat="1">
      <c r="A28066" s="136"/>
      <c r="CM28066" s="111"/>
      <c r="CQ28066" s="111"/>
      <c r="EF28066"/>
      <c r="EG28066"/>
      <c r="EH28066"/>
      <c r="EI28066"/>
      <c r="EJ28066"/>
      <c r="EK28066"/>
    </row>
    <row r="28067" spans="1:141" s="116" customFormat="1">
      <c r="A28067" s="136"/>
      <c r="CM28067" s="111"/>
      <c r="CQ28067" s="111"/>
      <c r="EF28067"/>
      <c r="EG28067"/>
      <c r="EH28067"/>
      <c r="EI28067"/>
      <c r="EJ28067"/>
      <c r="EK28067"/>
    </row>
    <row r="28068" spans="1:141" s="116" customFormat="1">
      <c r="A28068" s="136"/>
      <c r="CM28068" s="111"/>
      <c r="CQ28068" s="111"/>
      <c r="EF28068"/>
      <c r="EG28068"/>
      <c r="EH28068"/>
      <c r="EI28068"/>
      <c r="EJ28068"/>
      <c r="EK28068"/>
    </row>
    <row r="28069" spans="1:141" s="116" customFormat="1">
      <c r="A28069" s="136"/>
      <c r="CM28069" s="111"/>
      <c r="CQ28069" s="111"/>
      <c r="EF28069"/>
      <c r="EG28069"/>
      <c r="EH28069"/>
      <c r="EI28069"/>
      <c r="EJ28069"/>
      <c r="EK28069"/>
    </row>
    <row r="28070" spans="1:141" s="116" customFormat="1">
      <c r="A28070" s="136"/>
      <c r="CM28070" s="111"/>
      <c r="CQ28070" s="111"/>
      <c r="EF28070"/>
      <c r="EG28070"/>
      <c r="EH28070"/>
      <c r="EI28070"/>
      <c r="EJ28070"/>
      <c r="EK28070"/>
    </row>
    <row r="28071" spans="1:141" s="116" customFormat="1">
      <c r="A28071" s="136"/>
      <c r="CM28071" s="111"/>
      <c r="CQ28071" s="111"/>
      <c r="EF28071"/>
      <c r="EG28071"/>
      <c r="EH28071"/>
      <c r="EI28071"/>
      <c r="EJ28071"/>
      <c r="EK28071"/>
    </row>
    <row r="28072" spans="1:141" s="116" customFormat="1">
      <c r="A28072" s="136"/>
      <c r="CM28072" s="111"/>
      <c r="CQ28072" s="111"/>
      <c r="EF28072"/>
      <c r="EG28072"/>
      <c r="EH28072"/>
      <c r="EI28072"/>
      <c r="EJ28072"/>
      <c r="EK28072"/>
    </row>
    <row r="28073" spans="1:141" s="116" customFormat="1">
      <c r="A28073" s="136"/>
      <c r="CM28073" s="111"/>
      <c r="CQ28073" s="111"/>
      <c r="EF28073"/>
      <c r="EG28073"/>
      <c r="EH28073"/>
      <c r="EI28073"/>
      <c r="EJ28073"/>
      <c r="EK28073"/>
    </row>
    <row r="28074" spans="1:141" s="116" customFormat="1">
      <c r="A28074" s="136"/>
      <c r="CM28074" s="111"/>
      <c r="CQ28074" s="111"/>
      <c r="EF28074"/>
      <c r="EG28074"/>
      <c r="EH28074"/>
      <c r="EI28074"/>
      <c r="EJ28074"/>
      <c r="EK28074"/>
    </row>
    <row r="28075" spans="1:141" s="116" customFormat="1">
      <c r="A28075" s="136"/>
      <c r="CM28075" s="111"/>
      <c r="CQ28075" s="111"/>
      <c r="EF28075"/>
      <c r="EG28075"/>
      <c r="EH28075"/>
      <c r="EI28075"/>
      <c r="EJ28075"/>
      <c r="EK28075"/>
    </row>
    <row r="28076" spans="1:141" s="116" customFormat="1">
      <c r="A28076" s="136"/>
      <c r="CM28076" s="111"/>
      <c r="CQ28076" s="111"/>
      <c r="EF28076"/>
      <c r="EG28076"/>
      <c r="EH28076"/>
      <c r="EI28076"/>
      <c r="EJ28076"/>
      <c r="EK28076"/>
    </row>
    <row r="28077" spans="1:141" s="116" customFormat="1">
      <c r="A28077" s="136"/>
      <c r="CM28077" s="111"/>
      <c r="CQ28077" s="111"/>
      <c r="EF28077"/>
      <c r="EG28077"/>
      <c r="EH28077"/>
      <c r="EI28077"/>
      <c r="EJ28077"/>
      <c r="EK28077"/>
    </row>
    <row r="28078" spans="1:141" s="116" customFormat="1">
      <c r="A28078" s="136"/>
      <c r="CM28078" s="111"/>
      <c r="CQ28078" s="111"/>
      <c r="EF28078"/>
      <c r="EG28078"/>
      <c r="EH28078"/>
      <c r="EI28078"/>
      <c r="EJ28078"/>
      <c r="EK28078"/>
    </row>
    <row r="28079" spans="1:141" s="116" customFormat="1">
      <c r="A28079" s="136"/>
      <c r="CM28079" s="111"/>
      <c r="CQ28079" s="111"/>
      <c r="EF28079"/>
      <c r="EG28079"/>
      <c r="EH28079"/>
      <c r="EI28079"/>
      <c r="EJ28079"/>
      <c r="EK28079"/>
    </row>
    <row r="28080" spans="1:141" s="116" customFormat="1">
      <c r="A28080" s="136"/>
      <c r="CM28080" s="111"/>
      <c r="CQ28080" s="111"/>
      <c r="EF28080"/>
      <c r="EG28080"/>
      <c r="EH28080"/>
      <c r="EI28080"/>
      <c r="EJ28080"/>
      <c r="EK28080"/>
    </row>
    <row r="28081" spans="1:141" s="116" customFormat="1">
      <c r="A28081" s="136"/>
      <c r="CM28081" s="111"/>
      <c r="CQ28081" s="111"/>
      <c r="EF28081"/>
      <c r="EG28081"/>
      <c r="EH28081"/>
      <c r="EI28081"/>
      <c r="EJ28081"/>
      <c r="EK28081"/>
    </row>
    <row r="28082" spans="1:141" s="116" customFormat="1">
      <c r="A28082" s="136"/>
      <c r="CM28082" s="111"/>
      <c r="CQ28082" s="111"/>
      <c r="EF28082"/>
      <c r="EG28082"/>
      <c r="EH28082"/>
      <c r="EI28082"/>
      <c r="EJ28082"/>
      <c r="EK28082"/>
    </row>
    <row r="28083" spans="1:141" s="116" customFormat="1">
      <c r="A28083" s="136"/>
      <c r="CM28083" s="111"/>
      <c r="CQ28083" s="111"/>
      <c r="EF28083"/>
      <c r="EG28083"/>
      <c r="EH28083"/>
      <c r="EI28083"/>
      <c r="EJ28083"/>
      <c r="EK28083"/>
    </row>
    <row r="28084" spans="1:141" s="116" customFormat="1">
      <c r="A28084" s="136"/>
      <c r="CM28084" s="111"/>
      <c r="CQ28084" s="111"/>
      <c r="EF28084"/>
      <c r="EG28084"/>
      <c r="EH28084"/>
      <c r="EI28084"/>
      <c r="EJ28084"/>
      <c r="EK28084"/>
    </row>
    <row r="28085" spans="1:141" s="116" customFormat="1">
      <c r="A28085" s="136"/>
      <c r="CM28085" s="111"/>
      <c r="CQ28085" s="111"/>
      <c r="EF28085"/>
      <c r="EG28085"/>
      <c r="EH28085"/>
      <c r="EI28085"/>
      <c r="EJ28085"/>
      <c r="EK28085"/>
    </row>
    <row r="28086" spans="1:141" s="116" customFormat="1">
      <c r="A28086" s="136"/>
      <c r="CM28086" s="111"/>
      <c r="CQ28086" s="111"/>
      <c r="EF28086"/>
      <c r="EG28086"/>
      <c r="EH28086"/>
      <c r="EI28086"/>
      <c r="EJ28086"/>
      <c r="EK28086"/>
    </row>
    <row r="28087" spans="1:141" s="116" customFormat="1">
      <c r="A28087" s="136"/>
      <c r="CM28087" s="111"/>
      <c r="CQ28087" s="111"/>
      <c r="EF28087"/>
      <c r="EG28087"/>
      <c r="EH28087"/>
      <c r="EI28087"/>
      <c r="EJ28087"/>
      <c r="EK28087"/>
    </row>
    <row r="28088" spans="1:141" s="116" customFormat="1">
      <c r="A28088" s="136"/>
      <c r="CM28088" s="111"/>
      <c r="CQ28088" s="111"/>
      <c r="EF28088"/>
      <c r="EG28088"/>
      <c r="EH28088"/>
      <c r="EI28088"/>
      <c r="EJ28088"/>
      <c r="EK28088"/>
    </row>
    <row r="28089" spans="1:141" s="116" customFormat="1">
      <c r="A28089" s="136"/>
      <c r="CM28089" s="111"/>
      <c r="CQ28089" s="111"/>
      <c r="EF28089"/>
      <c r="EG28089"/>
      <c r="EH28089"/>
      <c r="EI28089"/>
      <c r="EJ28089"/>
      <c r="EK28089"/>
    </row>
    <row r="28090" spans="1:141" s="116" customFormat="1">
      <c r="A28090" s="136"/>
      <c r="CM28090" s="111"/>
      <c r="CQ28090" s="111"/>
      <c r="EF28090"/>
      <c r="EG28090"/>
      <c r="EH28090"/>
      <c r="EI28090"/>
      <c r="EJ28090"/>
      <c r="EK28090"/>
    </row>
    <row r="28091" spans="1:141" s="116" customFormat="1">
      <c r="A28091" s="136"/>
      <c r="CM28091" s="111"/>
      <c r="CQ28091" s="111"/>
      <c r="EF28091"/>
      <c r="EG28091"/>
      <c r="EH28091"/>
      <c r="EI28091"/>
      <c r="EJ28091"/>
      <c r="EK28091"/>
    </row>
    <row r="28092" spans="1:141" s="116" customFormat="1">
      <c r="A28092" s="136"/>
      <c r="CM28092" s="111"/>
      <c r="CQ28092" s="111"/>
      <c r="EF28092"/>
      <c r="EG28092"/>
      <c r="EH28092"/>
      <c r="EI28092"/>
      <c r="EJ28092"/>
      <c r="EK28092"/>
    </row>
    <row r="28093" spans="1:141" s="116" customFormat="1">
      <c r="A28093" s="136"/>
      <c r="CM28093" s="111"/>
      <c r="CQ28093" s="111"/>
      <c r="EF28093"/>
      <c r="EG28093"/>
      <c r="EH28093"/>
      <c r="EI28093"/>
      <c r="EJ28093"/>
      <c r="EK28093"/>
    </row>
    <row r="28094" spans="1:141" s="116" customFormat="1">
      <c r="A28094" s="136"/>
      <c r="CM28094" s="111"/>
      <c r="CQ28094" s="111"/>
      <c r="EF28094"/>
      <c r="EG28094"/>
      <c r="EH28094"/>
      <c r="EI28094"/>
      <c r="EJ28094"/>
      <c r="EK28094"/>
    </row>
    <row r="28095" spans="1:141" s="116" customFormat="1">
      <c r="A28095" s="136"/>
      <c r="CM28095" s="111"/>
      <c r="CQ28095" s="111"/>
      <c r="EF28095"/>
      <c r="EG28095"/>
      <c r="EH28095"/>
      <c r="EI28095"/>
      <c r="EJ28095"/>
      <c r="EK28095"/>
    </row>
    <row r="28096" spans="1:141" s="116" customFormat="1">
      <c r="A28096" s="136"/>
      <c r="CM28096" s="111"/>
      <c r="CQ28096" s="111"/>
      <c r="EF28096"/>
      <c r="EG28096"/>
      <c r="EH28096"/>
      <c r="EI28096"/>
      <c r="EJ28096"/>
      <c r="EK28096"/>
    </row>
    <row r="28097" spans="1:141" s="116" customFormat="1">
      <c r="A28097" s="136"/>
      <c r="CM28097" s="111"/>
      <c r="CQ28097" s="111"/>
      <c r="EF28097"/>
      <c r="EG28097"/>
      <c r="EH28097"/>
      <c r="EI28097"/>
      <c r="EJ28097"/>
      <c r="EK28097"/>
    </row>
    <row r="28098" spans="1:141" s="116" customFormat="1">
      <c r="A28098" s="136"/>
      <c r="CM28098" s="111"/>
      <c r="CQ28098" s="111"/>
      <c r="EF28098"/>
      <c r="EG28098"/>
      <c r="EH28098"/>
      <c r="EI28098"/>
      <c r="EJ28098"/>
      <c r="EK28098"/>
    </row>
    <row r="28099" spans="1:141" s="116" customFormat="1">
      <c r="A28099" s="136"/>
      <c r="CM28099" s="111"/>
      <c r="CQ28099" s="111"/>
      <c r="EF28099"/>
      <c r="EG28099"/>
      <c r="EH28099"/>
      <c r="EI28099"/>
      <c r="EJ28099"/>
      <c r="EK28099"/>
    </row>
    <row r="28100" spans="1:141" s="116" customFormat="1">
      <c r="A28100" s="136"/>
      <c r="CM28100" s="111"/>
      <c r="CQ28100" s="111"/>
      <c r="EF28100"/>
      <c r="EG28100"/>
      <c r="EH28100"/>
      <c r="EI28100"/>
      <c r="EJ28100"/>
      <c r="EK28100"/>
    </row>
    <row r="28101" spans="1:141" s="116" customFormat="1">
      <c r="A28101" s="136"/>
      <c r="CM28101" s="111"/>
      <c r="CQ28101" s="111"/>
      <c r="EF28101"/>
      <c r="EG28101"/>
      <c r="EH28101"/>
      <c r="EI28101"/>
      <c r="EJ28101"/>
      <c r="EK28101"/>
    </row>
    <row r="28102" spans="1:141" s="116" customFormat="1">
      <c r="A28102" s="136"/>
      <c r="CM28102" s="111"/>
      <c r="CQ28102" s="111"/>
      <c r="EF28102"/>
      <c r="EG28102"/>
      <c r="EH28102"/>
      <c r="EI28102"/>
      <c r="EJ28102"/>
      <c r="EK28102"/>
    </row>
    <row r="28103" spans="1:141" s="116" customFormat="1">
      <c r="A28103" s="136"/>
      <c r="CM28103" s="111"/>
      <c r="CQ28103" s="111"/>
      <c r="EF28103"/>
      <c r="EG28103"/>
      <c r="EH28103"/>
      <c r="EI28103"/>
      <c r="EJ28103"/>
      <c r="EK28103"/>
    </row>
    <row r="28104" spans="1:141" s="116" customFormat="1">
      <c r="A28104" s="136"/>
      <c r="CM28104" s="111"/>
      <c r="CQ28104" s="111"/>
      <c r="EF28104"/>
      <c r="EG28104"/>
      <c r="EH28104"/>
      <c r="EI28104"/>
      <c r="EJ28104"/>
      <c r="EK28104"/>
    </row>
    <row r="28105" spans="1:141" s="116" customFormat="1">
      <c r="A28105" s="136"/>
      <c r="CM28105" s="111"/>
      <c r="CQ28105" s="111"/>
      <c r="EF28105"/>
      <c r="EG28105"/>
      <c r="EH28105"/>
      <c r="EI28105"/>
      <c r="EJ28105"/>
      <c r="EK28105"/>
    </row>
    <row r="28106" spans="1:141" s="116" customFormat="1">
      <c r="A28106" s="136"/>
      <c r="CM28106" s="111"/>
      <c r="CQ28106" s="111"/>
      <c r="EF28106"/>
      <c r="EG28106"/>
      <c r="EH28106"/>
      <c r="EI28106"/>
      <c r="EJ28106"/>
      <c r="EK28106"/>
    </row>
    <row r="28107" spans="1:141" s="116" customFormat="1">
      <c r="A28107" s="136"/>
      <c r="CM28107" s="111"/>
      <c r="CQ28107" s="111"/>
      <c r="EF28107"/>
      <c r="EG28107"/>
      <c r="EH28107"/>
      <c r="EI28107"/>
      <c r="EJ28107"/>
      <c r="EK28107"/>
    </row>
    <row r="28108" spans="1:141" s="116" customFormat="1">
      <c r="A28108" s="136"/>
      <c r="CM28108" s="111"/>
      <c r="CQ28108" s="111"/>
      <c r="EF28108"/>
      <c r="EG28108"/>
      <c r="EH28108"/>
      <c r="EI28108"/>
      <c r="EJ28108"/>
      <c r="EK28108"/>
    </row>
    <row r="28109" spans="1:141" s="116" customFormat="1">
      <c r="A28109" s="136"/>
      <c r="CM28109" s="111"/>
      <c r="CQ28109" s="111"/>
      <c r="EF28109"/>
      <c r="EG28109"/>
      <c r="EH28109"/>
      <c r="EI28109"/>
      <c r="EJ28109"/>
      <c r="EK28109"/>
    </row>
    <row r="28110" spans="1:141" s="116" customFormat="1">
      <c r="A28110" s="136"/>
      <c r="CM28110" s="111"/>
      <c r="CQ28110" s="111"/>
      <c r="EF28110"/>
      <c r="EG28110"/>
      <c r="EH28110"/>
      <c r="EI28110"/>
      <c r="EJ28110"/>
      <c r="EK28110"/>
    </row>
    <row r="28111" spans="1:141" s="116" customFormat="1">
      <c r="A28111" s="136"/>
      <c r="CM28111" s="111"/>
      <c r="CQ28111" s="111"/>
      <c r="EF28111"/>
      <c r="EG28111"/>
      <c r="EH28111"/>
      <c r="EI28111"/>
      <c r="EJ28111"/>
      <c r="EK28111"/>
    </row>
    <row r="28112" spans="1:141" s="116" customFormat="1">
      <c r="A28112" s="136"/>
      <c r="CM28112" s="111"/>
      <c r="CQ28112" s="111"/>
      <c r="EF28112"/>
      <c r="EG28112"/>
      <c r="EH28112"/>
      <c r="EI28112"/>
      <c r="EJ28112"/>
      <c r="EK28112"/>
    </row>
    <row r="28113" spans="1:141" s="116" customFormat="1">
      <c r="A28113" s="136"/>
      <c r="CM28113" s="111"/>
      <c r="CQ28113" s="111"/>
      <c r="EF28113"/>
      <c r="EG28113"/>
      <c r="EH28113"/>
      <c r="EI28113"/>
      <c r="EJ28113"/>
      <c r="EK28113"/>
    </row>
    <row r="28114" spans="1:141" s="116" customFormat="1">
      <c r="A28114" s="136"/>
      <c r="CM28114" s="111"/>
      <c r="CQ28114" s="111"/>
      <c r="EF28114"/>
      <c r="EG28114"/>
      <c r="EH28114"/>
      <c r="EI28114"/>
      <c r="EJ28114"/>
      <c r="EK28114"/>
    </row>
    <row r="28115" spans="1:141" s="116" customFormat="1">
      <c r="A28115" s="136"/>
      <c r="CM28115" s="111"/>
      <c r="CQ28115" s="111"/>
      <c r="EF28115"/>
      <c r="EG28115"/>
      <c r="EH28115"/>
      <c r="EI28115"/>
      <c r="EJ28115"/>
      <c r="EK28115"/>
    </row>
    <row r="28116" spans="1:141" s="116" customFormat="1">
      <c r="A28116" s="136"/>
      <c r="CM28116" s="111"/>
      <c r="CQ28116" s="111"/>
      <c r="EF28116"/>
      <c r="EG28116"/>
      <c r="EH28116"/>
      <c r="EI28116"/>
      <c r="EJ28116"/>
      <c r="EK28116"/>
    </row>
    <row r="28117" spans="1:141" s="116" customFormat="1">
      <c r="A28117" s="136"/>
      <c r="CM28117" s="111"/>
      <c r="CQ28117" s="111"/>
      <c r="EF28117"/>
      <c r="EG28117"/>
      <c r="EH28117"/>
      <c r="EI28117"/>
      <c r="EJ28117"/>
      <c r="EK28117"/>
    </row>
    <row r="28118" spans="1:141" s="116" customFormat="1">
      <c r="A28118" s="136"/>
      <c r="CM28118" s="111"/>
      <c r="CQ28118" s="111"/>
      <c r="EF28118"/>
      <c r="EG28118"/>
      <c r="EH28118"/>
      <c r="EI28118"/>
      <c r="EJ28118"/>
      <c r="EK28118"/>
    </row>
    <row r="28119" spans="1:141" s="116" customFormat="1">
      <c r="A28119" s="136"/>
      <c r="CM28119" s="111"/>
      <c r="CQ28119" s="111"/>
      <c r="EF28119"/>
      <c r="EG28119"/>
      <c r="EH28119"/>
      <c r="EI28119"/>
      <c r="EJ28119"/>
      <c r="EK28119"/>
    </row>
    <row r="28120" spans="1:141" s="116" customFormat="1">
      <c r="A28120" s="136"/>
      <c r="CM28120" s="111"/>
      <c r="CQ28120" s="111"/>
      <c r="EF28120"/>
      <c r="EG28120"/>
      <c r="EH28120"/>
      <c r="EI28120"/>
      <c r="EJ28120"/>
      <c r="EK28120"/>
    </row>
    <row r="28121" spans="1:141" s="116" customFormat="1">
      <c r="A28121" s="136"/>
      <c r="CM28121" s="111"/>
      <c r="CQ28121" s="111"/>
      <c r="EF28121"/>
      <c r="EG28121"/>
      <c r="EH28121"/>
      <c r="EI28121"/>
      <c r="EJ28121"/>
      <c r="EK28121"/>
    </row>
    <row r="28122" spans="1:141" s="116" customFormat="1">
      <c r="A28122" s="136"/>
      <c r="CM28122" s="111"/>
      <c r="CQ28122" s="111"/>
      <c r="EF28122"/>
      <c r="EG28122"/>
      <c r="EH28122"/>
      <c r="EI28122"/>
      <c r="EJ28122"/>
      <c r="EK28122"/>
    </row>
    <row r="28123" spans="1:141" s="116" customFormat="1">
      <c r="A28123" s="136"/>
      <c r="CM28123" s="111"/>
      <c r="CQ28123" s="111"/>
      <c r="EF28123"/>
      <c r="EG28123"/>
      <c r="EH28123"/>
      <c r="EI28123"/>
      <c r="EJ28123"/>
      <c r="EK28123"/>
    </row>
    <row r="28124" spans="1:141" s="116" customFormat="1">
      <c r="A28124" s="136"/>
      <c r="CM28124" s="111"/>
      <c r="CQ28124" s="111"/>
      <c r="EF28124"/>
      <c r="EG28124"/>
      <c r="EH28124"/>
      <c r="EI28124"/>
      <c r="EJ28124"/>
      <c r="EK28124"/>
    </row>
    <row r="28125" spans="1:141" s="116" customFormat="1">
      <c r="A28125" s="136"/>
      <c r="CM28125" s="111"/>
      <c r="CQ28125" s="111"/>
      <c r="EF28125"/>
      <c r="EG28125"/>
      <c r="EH28125"/>
      <c r="EI28125"/>
      <c r="EJ28125"/>
      <c r="EK28125"/>
    </row>
    <row r="28126" spans="1:141" s="116" customFormat="1">
      <c r="A28126" s="136"/>
      <c r="CM28126" s="111"/>
      <c r="CQ28126" s="111"/>
      <c r="EF28126"/>
      <c r="EG28126"/>
      <c r="EH28126"/>
      <c r="EI28126"/>
      <c r="EJ28126"/>
      <c r="EK28126"/>
    </row>
    <row r="28127" spans="1:141" s="116" customFormat="1">
      <c r="A28127" s="136"/>
      <c r="CM28127" s="111"/>
      <c r="CQ28127" s="111"/>
      <c r="EF28127"/>
      <c r="EG28127"/>
      <c r="EH28127"/>
      <c r="EI28127"/>
      <c r="EJ28127"/>
      <c r="EK28127"/>
    </row>
    <row r="28128" spans="1:141" s="116" customFormat="1">
      <c r="A28128" s="136"/>
      <c r="CM28128" s="111"/>
      <c r="CQ28128" s="111"/>
      <c r="EF28128"/>
      <c r="EG28128"/>
      <c r="EH28128"/>
      <c r="EI28128"/>
      <c r="EJ28128"/>
      <c r="EK28128"/>
    </row>
    <row r="28129" spans="1:141" s="116" customFormat="1">
      <c r="A28129" s="136"/>
      <c r="CM28129" s="111"/>
      <c r="CQ28129" s="111"/>
      <c r="EF28129"/>
      <c r="EG28129"/>
      <c r="EH28129"/>
      <c r="EI28129"/>
      <c r="EJ28129"/>
      <c r="EK28129"/>
    </row>
    <row r="28130" spans="1:141" s="116" customFormat="1">
      <c r="A28130" s="136"/>
      <c r="CM28130" s="111"/>
      <c r="CQ28130" s="111"/>
      <c r="EF28130"/>
      <c r="EG28130"/>
      <c r="EH28130"/>
      <c r="EI28130"/>
      <c r="EJ28130"/>
      <c r="EK28130"/>
    </row>
    <row r="28131" spans="1:141" s="116" customFormat="1">
      <c r="A28131" s="136"/>
      <c r="CM28131" s="111"/>
      <c r="CQ28131" s="111"/>
      <c r="EF28131"/>
      <c r="EG28131"/>
      <c r="EH28131"/>
      <c r="EI28131"/>
      <c r="EJ28131"/>
      <c r="EK28131"/>
    </row>
    <row r="28132" spans="1:141" s="116" customFormat="1">
      <c r="A28132" s="136"/>
      <c r="CM28132" s="111"/>
      <c r="CQ28132" s="111"/>
      <c r="EF28132"/>
      <c r="EG28132"/>
      <c r="EH28132"/>
      <c r="EI28132"/>
      <c r="EJ28132"/>
      <c r="EK28132"/>
    </row>
    <row r="28133" spans="1:141" s="116" customFormat="1">
      <c r="A28133" s="136"/>
      <c r="CM28133" s="111"/>
      <c r="CQ28133" s="111"/>
      <c r="EF28133"/>
      <c r="EG28133"/>
      <c r="EH28133"/>
      <c r="EI28133"/>
      <c r="EJ28133"/>
      <c r="EK28133"/>
    </row>
    <row r="28134" spans="1:141" s="116" customFormat="1">
      <c r="A28134" s="136"/>
      <c r="CM28134" s="111"/>
      <c r="CQ28134" s="111"/>
      <c r="EF28134"/>
      <c r="EG28134"/>
      <c r="EH28134"/>
      <c r="EI28134"/>
      <c r="EJ28134"/>
      <c r="EK28134"/>
    </row>
    <row r="28135" spans="1:141" s="116" customFormat="1">
      <c r="A28135" s="136"/>
      <c r="CM28135" s="111"/>
      <c r="CQ28135" s="111"/>
      <c r="EF28135"/>
      <c r="EG28135"/>
      <c r="EH28135"/>
      <c r="EI28135"/>
      <c r="EJ28135"/>
      <c r="EK28135"/>
    </row>
    <row r="28136" spans="1:141" s="116" customFormat="1">
      <c r="A28136" s="136"/>
      <c r="CM28136" s="111"/>
      <c r="CQ28136" s="111"/>
      <c r="EF28136"/>
      <c r="EG28136"/>
      <c r="EH28136"/>
      <c r="EI28136"/>
      <c r="EJ28136"/>
      <c r="EK28136"/>
    </row>
    <row r="28137" spans="1:141" s="116" customFormat="1">
      <c r="A28137" s="136"/>
      <c r="CM28137" s="111"/>
      <c r="CQ28137" s="111"/>
      <c r="EF28137"/>
      <c r="EG28137"/>
      <c r="EH28137"/>
      <c r="EI28137"/>
      <c r="EJ28137"/>
      <c r="EK28137"/>
    </row>
    <row r="28138" spans="1:141" s="116" customFormat="1">
      <c r="A28138" s="136"/>
      <c r="CM28138" s="111"/>
      <c r="CQ28138" s="111"/>
      <c r="EF28138"/>
      <c r="EG28138"/>
      <c r="EH28138"/>
      <c r="EI28138"/>
      <c r="EJ28138"/>
      <c r="EK28138"/>
    </row>
    <row r="28139" spans="1:141" s="116" customFormat="1">
      <c r="A28139" s="136"/>
      <c r="CM28139" s="111"/>
      <c r="CQ28139" s="111"/>
      <c r="EF28139"/>
      <c r="EG28139"/>
      <c r="EH28139"/>
      <c r="EI28139"/>
      <c r="EJ28139"/>
      <c r="EK28139"/>
    </row>
    <row r="28140" spans="1:141" s="116" customFormat="1">
      <c r="A28140" s="136"/>
      <c r="CM28140" s="111"/>
      <c r="CQ28140" s="111"/>
      <c r="EF28140"/>
      <c r="EG28140"/>
      <c r="EH28140"/>
      <c r="EI28140"/>
      <c r="EJ28140"/>
      <c r="EK28140"/>
    </row>
    <row r="28141" spans="1:141" s="116" customFormat="1">
      <c r="A28141" s="136"/>
      <c r="CM28141" s="111"/>
      <c r="CQ28141" s="111"/>
      <c r="EF28141"/>
      <c r="EG28141"/>
      <c r="EH28141"/>
      <c r="EI28141"/>
      <c r="EJ28141"/>
      <c r="EK28141"/>
    </row>
    <row r="28142" spans="1:141" s="116" customFormat="1">
      <c r="A28142" s="136"/>
      <c r="CM28142" s="111"/>
      <c r="CQ28142" s="111"/>
      <c r="EF28142"/>
      <c r="EG28142"/>
      <c r="EH28142"/>
      <c r="EI28142"/>
      <c r="EJ28142"/>
      <c r="EK28142"/>
    </row>
    <row r="28143" spans="1:141" s="116" customFormat="1">
      <c r="A28143" s="136"/>
      <c r="CM28143" s="111"/>
      <c r="CQ28143" s="111"/>
      <c r="EF28143"/>
      <c r="EG28143"/>
      <c r="EH28143"/>
      <c r="EI28143"/>
      <c r="EJ28143"/>
      <c r="EK28143"/>
    </row>
    <row r="28144" spans="1:141" s="116" customFormat="1">
      <c r="A28144" s="136"/>
      <c r="CM28144" s="111"/>
      <c r="CQ28144" s="111"/>
      <c r="EF28144"/>
      <c r="EG28144"/>
      <c r="EH28144"/>
      <c r="EI28144"/>
      <c r="EJ28144"/>
      <c r="EK28144"/>
    </row>
    <row r="28145" spans="1:141" s="116" customFormat="1">
      <c r="A28145" s="136"/>
      <c r="CM28145" s="111"/>
      <c r="CQ28145" s="111"/>
      <c r="EF28145"/>
      <c r="EG28145"/>
      <c r="EH28145"/>
      <c r="EI28145"/>
      <c r="EJ28145"/>
      <c r="EK28145"/>
    </row>
    <row r="28146" spans="1:141" s="116" customFormat="1">
      <c r="A28146" s="136"/>
      <c r="CM28146" s="111"/>
      <c r="CQ28146" s="111"/>
      <c r="EF28146"/>
      <c r="EG28146"/>
      <c r="EH28146"/>
      <c r="EI28146"/>
      <c r="EJ28146"/>
      <c r="EK28146"/>
    </row>
    <row r="28147" spans="1:141" s="116" customFormat="1">
      <c r="A28147" s="136"/>
      <c r="CM28147" s="111"/>
      <c r="CQ28147" s="111"/>
      <c r="EF28147"/>
      <c r="EG28147"/>
      <c r="EH28147"/>
      <c r="EI28147"/>
      <c r="EJ28147"/>
      <c r="EK28147"/>
    </row>
    <row r="28148" spans="1:141" s="116" customFormat="1">
      <c r="A28148" s="136"/>
      <c r="CM28148" s="111"/>
      <c r="CQ28148" s="111"/>
      <c r="EF28148"/>
      <c r="EG28148"/>
      <c r="EH28148"/>
      <c r="EI28148"/>
      <c r="EJ28148"/>
      <c r="EK28148"/>
    </row>
    <row r="28149" spans="1:141" s="116" customFormat="1">
      <c r="A28149" s="136"/>
      <c r="CM28149" s="111"/>
      <c r="CQ28149" s="111"/>
      <c r="EF28149"/>
      <c r="EG28149"/>
      <c r="EH28149"/>
      <c r="EI28149"/>
      <c r="EJ28149"/>
      <c r="EK28149"/>
    </row>
    <row r="28150" spans="1:141" s="116" customFormat="1">
      <c r="A28150" s="136"/>
      <c r="CM28150" s="111"/>
      <c r="CQ28150" s="111"/>
      <c r="EF28150"/>
      <c r="EG28150"/>
      <c r="EH28150"/>
      <c r="EI28150"/>
      <c r="EJ28150"/>
      <c r="EK28150"/>
    </row>
    <row r="28151" spans="1:141" s="116" customFormat="1">
      <c r="A28151" s="136"/>
      <c r="CM28151" s="111"/>
      <c r="CQ28151" s="111"/>
      <c r="EF28151"/>
      <c r="EG28151"/>
      <c r="EH28151"/>
      <c r="EI28151"/>
      <c r="EJ28151"/>
      <c r="EK28151"/>
    </row>
    <row r="28152" spans="1:141" s="116" customFormat="1">
      <c r="A28152" s="136"/>
      <c r="CM28152" s="111"/>
      <c r="CQ28152" s="111"/>
      <c r="EF28152"/>
      <c r="EG28152"/>
      <c r="EH28152"/>
      <c r="EI28152"/>
      <c r="EJ28152"/>
      <c r="EK28152"/>
    </row>
    <row r="28153" spans="1:141" s="116" customFormat="1">
      <c r="A28153" s="136"/>
      <c r="CM28153" s="111"/>
      <c r="CQ28153" s="111"/>
      <c r="EF28153"/>
      <c r="EG28153"/>
      <c r="EH28153"/>
      <c r="EI28153"/>
      <c r="EJ28153"/>
      <c r="EK28153"/>
    </row>
    <row r="28154" spans="1:141" s="116" customFormat="1">
      <c r="A28154" s="136"/>
      <c r="CM28154" s="111"/>
      <c r="CQ28154" s="111"/>
      <c r="EF28154"/>
      <c r="EG28154"/>
      <c r="EH28154"/>
      <c r="EI28154"/>
      <c r="EJ28154"/>
      <c r="EK28154"/>
    </row>
    <row r="28155" spans="1:141" s="116" customFormat="1">
      <c r="A28155" s="136"/>
      <c r="CM28155" s="111"/>
      <c r="CQ28155" s="111"/>
      <c r="EF28155"/>
      <c r="EG28155"/>
      <c r="EH28155"/>
      <c r="EI28155"/>
      <c r="EJ28155"/>
      <c r="EK28155"/>
    </row>
    <row r="28156" spans="1:141" s="116" customFormat="1">
      <c r="A28156" s="136"/>
      <c r="CM28156" s="111"/>
      <c r="CQ28156" s="111"/>
      <c r="EF28156"/>
      <c r="EG28156"/>
      <c r="EH28156"/>
      <c r="EI28156"/>
      <c r="EJ28156"/>
      <c r="EK28156"/>
    </row>
    <row r="28157" spans="1:141" s="116" customFormat="1">
      <c r="A28157" s="136"/>
      <c r="CM28157" s="111"/>
      <c r="CQ28157" s="111"/>
      <c r="EF28157"/>
      <c r="EG28157"/>
      <c r="EH28157"/>
      <c r="EI28157"/>
      <c r="EJ28157"/>
      <c r="EK28157"/>
    </row>
    <row r="28158" spans="1:141" s="116" customFormat="1">
      <c r="A28158" s="136"/>
      <c r="CM28158" s="111"/>
      <c r="CQ28158" s="111"/>
      <c r="EF28158"/>
      <c r="EG28158"/>
      <c r="EH28158"/>
      <c r="EI28158"/>
      <c r="EJ28158"/>
      <c r="EK28158"/>
    </row>
    <row r="28159" spans="1:141" s="116" customFormat="1">
      <c r="A28159" s="136"/>
      <c r="CM28159" s="111"/>
      <c r="CQ28159" s="111"/>
      <c r="EF28159"/>
      <c r="EG28159"/>
      <c r="EH28159"/>
      <c r="EI28159"/>
      <c r="EJ28159"/>
      <c r="EK28159"/>
    </row>
    <row r="28160" spans="1:141" s="116" customFormat="1">
      <c r="A28160" s="136"/>
      <c r="CM28160" s="111"/>
      <c r="CQ28160" s="111"/>
      <c r="EF28160"/>
      <c r="EG28160"/>
      <c r="EH28160"/>
      <c r="EI28160"/>
      <c r="EJ28160"/>
      <c r="EK28160"/>
    </row>
    <row r="28161" spans="1:141" s="116" customFormat="1">
      <c r="A28161" s="136"/>
      <c r="CM28161" s="111"/>
      <c r="CQ28161" s="111"/>
      <c r="EF28161"/>
      <c r="EG28161"/>
      <c r="EH28161"/>
      <c r="EI28161"/>
      <c r="EJ28161"/>
      <c r="EK28161"/>
    </row>
    <row r="28162" spans="1:141" s="116" customFormat="1">
      <c r="A28162" s="136"/>
      <c r="CM28162" s="111"/>
      <c r="CQ28162" s="111"/>
      <c r="EF28162"/>
      <c r="EG28162"/>
      <c r="EH28162"/>
      <c r="EI28162"/>
      <c r="EJ28162"/>
      <c r="EK28162"/>
    </row>
    <row r="28163" spans="1:141" s="116" customFormat="1">
      <c r="A28163" s="136"/>
      <c r="CM28163" s="111"/>
      <c r="CQ28163" s="111"/>
      <c r="EF28163"/>
      <c r="EG28163"/>
      <c r="EH28163"/>
      <c r="EI28163"/>
      <c r="EJ28163"/>
      <c r="EK28163"/>
    </row>
    <row r="28164" spans="1:141" s="116" customFormat="1">
      <c r="A28164" s="136"/>
      <c r="CM28164" s="111"/>
      <c r="CQ28164" s="111"/>
      <c r="EF28164"/>
      <c r="EG28164"/>
      <c r="EH28164"/>
      <c r="EI28164"/>
      <c r="EJ28164"/>
      <c r="EK28164"/>
    </row>
    <row r="28165" spans="1:141" s="116" customFormat="1">
      <c r="A28165" s="136"/>
      <c r="CM28165" s="111"/>
      <c r="CQ28165" s="111"/>
      <c r="EF28165"/>
      <c r="EG28165"/>
      <c r="EH28165"/>
      <c r="EI28165"/>
      <c r="EJ28165"/>
      <c r="EK28165"/>
    </row>
    <row r="28166" spans="1:141" s="116" customFormat="1">
      <c r="A28166" s="136"/>
      <c r="CM28166" s="111"/>
      <c r="CQ28166" s="111"/>
      <c r="EF28166"/>
      <c r="EG28166"/>
      <c r="EH28166"/>
      <c r="EI28166"/>
      <c r="EJ28166"/>
      <c r="EK28166"/>
    </row>
    <row r="28167" spans="1:141" s="116" customFormat="1">
      <c r="A28167" s="136"/>
      <c r="CM28167" s="111"/>
      <c r="CQ28167" s="111"/>
      <c r="EF28167"/>
      <c r="EG28167"/>
      <c r="EH28167"/>
      <c r="EI28167"/>
      <c r="EJ28167"/>
      <c r="EK28167"/>
    </row>
    <row r="28168" spans="1:141" s="116" customFormat="1">
      <c r="A28168" s="136"/>
      <c r="CM28168" s="111"/>
      <c r="CQ28168" s="111"/>
      <c r="EF28168"/>
      <c r="EG28168"/>
      <c r="EH28168"/>
      <c r="EI28168"/>
      <c r="EJ28168"/>
      <c r="EK28168"/>
    </row>
    <row r="28169" spans="1:141" s="116" customFormat="1">
      <c r="A28169" s="136"/>
      <c r="CM28169" s="111"/>
      <c r="CQ28169" s="111"/>
      <c r="EF28169"/>
      <c r="EG28169"/>
      <c r="EH28169"/>
      <c r="EI28169"/>
      <c r="EJ28169"/>
      <c r="EK28169"/>
    </row>
    <row r="28170" spans="1:141" s="116" customFormat="1">
      <c r="A28170" s="136"/>
      <c r="CM28170" s="111"/>
      <c r="CQ28170" s="111"/>
      <c r="EF28170"/>
      <c r="EG28170"/>
      <c r="EH28170"/>
      <c r="EI28170"/>
      <c r="EJ28170"/>
      <c r="EK28170"/>
    </row>
    <row r="28171" spans="1:141" s="116" customFormat="1">
      <c r="A28171" s="136"/>
      <c r="CM28171" s="111"/>
      <c r="CQ28171" s="111"/>
      <c r="EF28171"/>
      <c r="EG28171"/>
      <c r="EH28171"/>
      <c r="EI28171"/>
      <c r="EJ28171"/>
      <c r="EK28171"/>
    </row>
    <row r="28172" spans="1:141" s="116" customFormat="1">
      <c r="A28172" s="136"/>
      <c r="CM28172" s="111"/>
      <c r="CQ28172" s="111"/>
      <c r="EF28172"/>
      <c r="EG28172"/>
      <c r="EH28172"/>
      <c r="EI28172"/>
      <c r="EJ28172"/>
      <c r="EK28172"/>
    </row>
    <row r="28173" spans="1:141" s="116" customFormat="1">
      <c r="A28173" s="136"/>
      <c r="CM28173" s="111"/>
      <c r="CQ28173" s="111"/>
      <c r="EF28173"/>
      <c r="EG28173"/>
      <c r="EH28173"/>
      <c r="EI28173"/>
      <c r="EJ28173"/>
      <c r="EK28173"/>
    </row>
    <row r="28174" spans="1:141" s="116" customFormat="1">
      <c r="A28174" s="136"/>
      <c r="CM28174" s="111"/>
      <c r="CQ28174" s="111"/>
      <c r="EF28174"/>
      <c r="EG28174"/>
      <c r="EH28174"/>
      <c r="EI28174"/>
      <c r="EJ28174"/>
      <c r="EK28174"/>
    </row>
    <row r="28175" spans="1:141" s="116" customFormat="1">
      <c r="A28175" s="136"/>
      <c r="CM28175" s="111"/>
      <c r="CQ28175" s="111"/>
      <c r="EF28175"/>
      <c r="EG28175"/>
      <c r="EH28175"/>
      <c r="EI28175"/>
      <c r="EJ28175"/>
      <c r="EK28175"/>
    </row>
    <row r="28176" spans="1:141" s="116" customFormat="1">
      <c r="A28176" s="136"/>
      <c r="CM28176" s="111"/>
      <c r="CQ28176" s="111"/>
      <c r="EF28176"/>
      <c r="EG28176"/>
      <c r="EH28176"/>
      <c r="EI28176"/>
      <c r="EJ28176"/>
      <c r="EK28176"/>
    </row>
    <row r="28177" spans="1:141" s="116" customFormat="1">
      <c r="A28177" s="136"/>
      <c r="CM28177" s="111"/>
      <c r="CQ28177" s="111"/>
      <c r="EF28177"/>
      <c r="EG28177"/>
      <c r="EH28177"/>
      <c r="EI28177"/>
      <c r="EJ28177"/>
      <c r="EK28177"/>
    </row>
    <row r="28178" spans="1:141" s="116" customFormat="1">
      <c r="A28178" s="136"/>
      <c r="CM28178" s="111"/>
      <c r="CQ28178" s="111"/>
      <c r="EF28178"/>
      <c r="EG28178"/>
      <c r="EH28178"/>
      <c r="EI28178"/>
      <c r="EJ28178"/>
      <c r="EK28178"/>
    </row>
    <row r="28179" spans="1:141" s="116" customFormat="1">
      <c r="A28179" s="136"/>
      <c r="CM28179" s="111"/>
      <c r="CQ28179" s="111"/>
      <c r="EF28179"/>
      <c r="EG28179"/>
      <c r="EH28179"/>
      <c r="EI28179"/>
      <c r="EJ28179"/>
      <c r="EK28179"/>
    </row>
    <row r="28180" spans="1:141" s="116" customFormat="1">
      <c r="A28180" s="136"/>
      <c r="CM28180" s="111"/>
      <c r="CQ28180" s="111"/>
      <c r="EF28180"/>
      <c r="EG28180"/>
      <c r="EH28180"/>
      <c r="EI28180"/>
      <c r="EJ28180"/>
      <c r="EK28180"/>
    </row>
    <row r="28181" spans="1:141" s="116" customFormat="1">
      <c r="A28181" s="136"/>
      <c r="CM28181" s="111"/>
      <c r="CQ28181" s="111"/>
      <c r="EF28181"/>
      <c r="EG28181"/>
      <c r="EH28181"/>
      <c r="EI28181"/>
      <c r="EJ28181"/>
      <c r="EK28181"/>
    </row>
    <row r="28182" spans="1:141" s="116" customFormat="1">
      <c r="A28182" s="136"/>
      <c r="CM28182" s="111"/>
      <c r="CQ28182" s="111"/>
      <c r="EF28182"/>
      <c r="EG28182"/>
      <c r="EH28182"/>
      <c r="EI28182"/>
      <c r="EJ28182"/>
      <c r="EK28182"/>
    </row>
    <row r="28183" spans="1:141" s="116" customFormat="1">
      <c r="A28183" s="136"/>
      <c r="CM28183" s="111"/>
      <c r="CQ28183" s="111"/>
      <c r="EF28183"/>
      <c r="EG28183"/>
      <c r="EH28183"/>
      <c r="EI28183"/>
      <c r="EJ28183"/>
      <c r="EK28183"/>
    </row>
    <row r="28184" spans="1:141" s="116" customFormat="1">
      <c r="A28184" s="136"/>
      <c r="CM28184" s="111"/>
      <c r="CQ28184" s="111"/>
      <c r="EF28184"/>
      <c r="EG28184"/>
      <c r="EH28184"/>
      <c r="EI28184"/>
      <c r="EJ28184"/>
      <c r="EK28184"/>
    </row>
    <row r="28185" spans="1:141" s="116" customFormat="1">
      <c r="A28185" s="136"/>
      <c r="CM28185" s="111"/>
      <c r="CQ28185" s="111"/>
      <c r="EF28185"/>
      <c r="EG28185"/>
      <c r="EH28185"/>
      <c r="EI28185"/>
      <c r="EJ28185"/>
      <c r="EK28185"/>
    </row>
    <row r="28186" spans="1:141" s="116" customFormat="1">
      <c r="A28186" s="136"/>
      <c r="CM28186" s="111"/>
      <c r="CQ28186" s="111"/>
      <c r="EF28186"/>
      <c r="EG28186"/>
      <c r="EH28186"/>
      <c r="EI28186"/>
      <c r="EJ28186"/>
      <c r="EK28186"/>
    </row>
    <row r="28187" spans="1:141" s="116" customFormat="1">
      <c r="A28187" s="136"/>
      <c r="CM28187" s="111"/>
      <c r="CQ28187" s="111"/>
      <c r="EF28187"/>
      <c r="EG28187"/>
      <c r="EH28187"/>
      <c r="EI28187"/>
      <c r="EJ28187"/>
      <c r="EK28187"/>
    </row>
    <row r="28188" spans="1:141" s="116" customFormat="1">
      <c r="A28188" s="136"/>
      <c r="CM28188" s="111"/>
      <c r="CQ28188" s="111"/>
      <c r="EF28188"/>
      <c r="EG28188"/>
      <c r="EH28188"/>
      <c r="EI28188"/>
      <c r="EJ28188"/>
      <c r="EK28188"/>
    </row>
    <row r="28189" spans="1:141" s="116" customFormat="1">
      <c r="A28189" s="136"/>
      <c r="CM28189" s="111"/>
      <c r="CQ28189" s="111"/>
      <c r="EF28189"/>
      <c r="EG28189"/>
      <c r="EH28189"/>
      <c r="EI28189"/>
      <c r="EJ28189"/>
      <c r="EK28189"/>
    </row>
    <row r="28190" spans="1:141" s="116" customFormat="1">
      <c r="A28190" s="136"/>
      <c r="CM28190" s="111"/>
      <c r="CQ28190" s="111"/>
      <c r="EF28190"/>
      <c r="EG28190"/>
      <c r="EH28190"/>
      <c r="EI28190"/>
      <c r="EJ28190"/>
      <c r="EK28190"/>
    </row>
    <row r="28191" spans="1:141" s="116" customFormat="1">
      <c r="A28191" s="136"/>
      <c r="CM28191" s="111"/>
      <c r="CQ28191" s="111"/>
      <c r="EF28191"/>
      <c r="EG28191"/>
      <c r="EH28191"/>
      <c r="EI28191"/>
      <c r="EJ28191"/>
      <c r="EK28191"/>
    </row>
    <row r="28192" spans="1:141" s="116" customFormat="1">
      <c r="A28192" s="136"/>
      <c r="CM28192" s="111"/>
      <c r="CQ28192" s="111"/>
      <c r="EF28192"/>
      <c r="EG28192"/>
      <c r="EH28192"/>
      <c r="EI28192"/>
      <c r="EJ28192"/>
      <c r="EK28192"/>
    </row>
    <row r="28193" spans="1:141" s="116" customFormat="1">
      <c r="A28193" s="136"/>
      <c r="CM28193" s="111"/>
      <c r="CQ28193" s="111"/>
      <c r="EF28193"/>
      <c r="EG28193"/>
      <c r="EH28193"/>
      <c r="EI28193"/>
      <c r="EJ28193"/>
      <c r="EK28193"/>
    </row>
    <row r="28194" spans="1:141" s="116" customFormat="1">
      <c r="A28194" s="136"/>
      <c r="CM28194" s="111"/>
      <c r="CQ28194" s="111"/>
      <c r="EF28194"/>
      <c r="EG28194"/>
      <c r="EH28194"/>
      <c r="EI28194"/>
      <c r="EJ28194"/>
      <c r="EK28194"/>
    </row>
    <row r="28195" spans="1:141" s="116" customFormat="1">
      <c r="A28195" s="136"/>
      <c r="CM28195" s="111"/>
      <c r="CQ28195" s="111"/>
      <c r="EF28195"/>
      <c r="EG28195"/>
      <c r="EH28195"/>
      <c r="EI28195"/>
      <c r="EJ28195"/>
      <c r="EK28195"/>
    </row>
    <row r="28196" spans="1:141" s="116" customFormat="1">
      <c r="A28196" s="136"/>
      <c r="CM28196" s="111"/>
      <c r="CQ28196" s="111"/>
      <c r="EF28196"/>
      <c r="EG28196"/>
      <c r="EH28196"/>
      <c r="EI28196"/>
      <c r="EJ28196"/>
      <c r="EK28196"/>
    </row>
    <row r="28197" spans="1:141" s="116" customFormat="1">
      <c r="A28197" s="136"/>
      <c r="CM28197" s="111"/>
      <c r="CQ28197" s="111"/>
      <c r="EF28197"/>
      <c r="EG28197"/>
      <c r="EH28197"/>
      <c r="EI28197"/>
      <c r="EJ28197"/>
      <c r="EK28197"/>
    </row>
    <row r="28198" spans="1:141" s="116" customFormat="1">
      <c r="A28198" s="136"/>
      <c r="CM28198" s="111"/>
      <c r="CQ28198" s="111"/>
      <c r="EF28198"/>
      <c r="EG28198"/>
      <c r="EH28198"/>
      <c r="EI28198"/>
      <c r="EJ28198"/>
      <c r="EK28198"/>
    </row>
    <row r="28199" spans="1:141" s="116" customFormat="1">
      <c r="A28199" s="136"/>
      <c r="CM28199" s="111"/>
      <c r="CQ28199" s="111"/>
      <c r="EF28199"/>
      <c r="EG28199"/>
      <c r="EH28199"/>
      <c r="EI28199"/>
      <c r="EJ28199"/>
      <c r="EK28199"/>
    </row>
    <row r="28200" spans="1:141" s="116" customFormat="1">
      <c r="A28200" s="136"/>
      <c r="CM28200" s="111"/>
      <c r="CQ28200" s="111"/>
      <c r="EF28200"/>
      <c r="EG28200"/>
      <c r="EH28200"/>
      <c r="EI28200"/>
      <c r="EJ28200"/>
      <c r="EK28200"/>
    </row>
    <row r="28201" spans="1:141" s="116" customFormat="1">
      <c r="A28201" s="136"/>
      <c r="CM28201" s="111"/>
      <c r="CQ28201" s="111"/>
      <c r="EF28201"/>
      <c r="EG28201"/>
      <c r="EH28201"/>
      <c r="EI28201"/>
      <c r="EJ28201"/>
      <c r="EK28201"/>
    </row>
    <row r="28202" spans="1:141" s="116" customFormat="1">
      <c r="A28202" s="136"/>
      <c r="CM28202" s="111"/>
      <c r="CQ28202" s="111"/>
      <c r="EF28202"/>
      <c r="EG28202"/>
      <c r="EH28202"/>
      <c r="EI28202"/>
      <c r="EJ28202"/>
      <c r="EK28202"/>
    </row>
    <row r="28203" spans="1:141" s="116" customFormat="1">
      <c r="A28203" s="136"/>
      <c r="CM28203" s="111"/>
      <c r="CQ28203" s="111"/>
      <c r="EF28203"/>
      <c r="EG28203"/>
      <c r="EH28203"/>
      <c r="EI28203"/>
      <c r="EJ28203"/>
      <c r="EK28203"/>
    </row>
    <row r="28204" spans="1:141" s="116" customFormat="1">
      <c r="A28204" s="136"/>
      <c r="CM28204" s="111"/>
      <c r="CQ28204" s="111"/>
      <c r="EF28204"/>
      <c r="EG28204"/>
      <c r="EH28204"/>
      <c r="EI28204"/>
      <c r="EJ28204"/>
      <c r="EK28204"/>
    </row>
    <row r="28205" spans="1:141" s="116" customFormat="1">
      <c r="A28205" s="136"/>
      <c r="CM28205" s="111"/>
      <c r="CQ28205" s="111"/>
      <c r="EF28205"/>
      <c r="EG28205"/>
      <c r="EH28205"/>
      <c r="EI28205"/>
      <c r="EJ28205"/>
      <c r="EK28205"/>
    </row>
    <row r="28206" spans="1:141" s="116" customFormat="1">
      <c r="A28206" s="136"/>
      <c r="CM28206" s="111"/>
      <c r="CQ28206" s="111"/>
      <c r="EF28206"/>
      <c r="EG28206"/>
      <c r="EH28206"/>
      <c r="EI28206"/>
      <c r="EJ28206"/>
      <c r="EK28206"/>
    </row>
    <row r="28207" spans="1:141" s="116" customFormat="1">
      <c r="A28207" s="136"/>
      <c r="CM28207" s="111"/>
      <c r="CQ28207" s="111"/>
      <c r="EF28207"/>
      <c r="EG28207"/>
      <c r="EH28207"/>
      <c r="EI28207"/>
      <c r="EJ28207"/>
      <c r="EK28207"/>
    </row>
    <row r="28208" spans="1:141" s="116" customFormat="1">
      <c r="A28208" s="136"/>
      <c r="CM28208" s="111"/>
      <c r="CQ28208" s="111"/>
      <c r="EF28208"/>
      <c r="EG28208"/>
      <c r="EH28208"/>
      <c r="EI28208"/>
      <c r="EJ28208"/>
      <c r="EK28208"/>
    </row>
    <row r="28209" spans="1:141" s="116" customFormat="1">
      <c r="A28209" s="136"/>
      <c r="CM28209" s="111"/>
      <c r="CQ28209" s="111"/>
      <c r="EF28209"/>
      <c r="EG28209"/>
      <c r="EH28209"/>
      <c r="EI28209"/>
      <c r="EJ28209"/>
      <c r="EK28209"/>
    </row>
    <row r="28210" spans="1:141" s="116" customFormat="1">
      <c r="A28210" s="136"/>
      <c r="CM28210" s="111"/>
      <c r="CQ28210" s="111"/>
      <c r="EF28210"/>
      <c r="EG28210"/>
      <c r="EH28210"/>
      <c r="EI28210"/>
      <c r="EJ28210"/>
      <c r="EK28210"/>
    </row>
    <row r="28211" spans="1:141" s="116" customFormat="1">
      <c r="A28211" s="136"/>
      <c r="CM28211" s="111"/>
      <c r="CQ28211" s="111"/>
      <c r="EF28211"/>
      <c r="EG28211"/>
      <c r="EH28211"/>
      <c r="EI28211"/>
      <c r="EJ28211"/>
      <c r="EK28211"/>
    </row>
    <row r="28212" spans="1:141" s="116" customFormat="1">
      <c r="A28212" s="136"/>
      <c r="CM28212" s="111"/>
      <c r="CQ28212" s="111"/>
      <c r="EF28212"/>
      <c r="EG28212"/>
      <c r="EH28212"/>
      <c r="EI28212"/>
      <c r="EJ28212"/>
      <c r="EK28212"/>
    </row>
    <row r="28213" spans="1:141" s="116" customFormat="1">
      <c r="A28213" s="136"/>
      <c r="CM28213" s="111"/>
      <c r="CQ28213" s="111"/>
      <c r="EF28213"/>
      <c r="EG28213"/>
      <c r="EH28213"/>
      <c r="EI28213"/>
      <c r="EJ28213"/>
      <c r="EK28213"/>
    </row>
    <row r="28214" spans="1:141" s="116" customFormat="1">
      <c r="A28214" s="136"/>
      <c r="CM28214" s="111"/>
      <c r="CQ28214" s="111"/>
      <c r="EF28214"/>
      <c r="EG28214"/>
      <c r="EH28214"/>
      <c r="EI28214"/>
      <c r="EJ28214"/>
      <c r="EK28214"/>
    </row>
    <row r="28215" spans="1:141" s="116" customFormat="1">
      <c r="A28215" s="136"/>
      <c r="CM28215" s="111"/>
      <c r="CQ28215" s="111"/>
      <c r="EF28215"/>
      <c r="EG28215"/>
      <c r="EH28215"/>
      <c r="EI28215"/>
      <c r="EJ28215"/>
      <c r="EK28215"/>
    </row>
    <row r="28216" spans="1:141" s="116" customFormat="1">
      <c r="A28216" s="136"/>
      <c r="CM28216" s="111"/>
      <c r="CQ28216" s="111"/>
      <c r="EF28216"/>
      <c r="EG28216"/>
      <c r="EH28216"/>
      <c r="EI28216"/>
      <c r="EJ28216"/>
      <c r="EK28216"/>
    </row>
    <row r="28217" spans="1:141" s="116" customFormat="1">
      <c r="A28217" s="136"/>
      <c r="CM28217" s="111"/>
      <c r="CQ28217" s="111"/>
      <c r="EF28217"/>
      <c r="EG28217"/>
      <c r="EH28217"/>
      <c r="EI28217"/>
      <c r="EJ28217"/>
      <c r="EK28217"/>
    </row>
    <row r="28218" spans="1:141" s="116" customFormat="1">
      <c r="A28218" s="136"/>
      <c r="CM28218" s="111"/>
      <c r="CQ28218" s="111"/>
      <c r="EF28218"/>
      <c r="EG28218"/>
      <c r="EH28218"/>
      <c r="EI28218"/>
      <c r="EJ28218"/>
      <c r="EK28218"/>
    </row>
    <row r="28219" spans="1:141" s="116" customFormat="1">
      <c r="A28219" s="136"/>
      <c r="CM28219" s="111"/>
      <c r="CQ28219" s="111"/>
      <c r="EF28219"/>
      <c r="EG28219"/>
      <c r="EH28219"/>
      <c r="EI28219"/>
      <c r="EJ28219"/>
      <c r="EK28219"/>
    </row>
    <row r="28220" spans="1:141" s="116" customFormat="1">
      <c r="A28220" s="136"/>
      <c r="CM28220" s="111"/>
      <c r="CQ28220" s="111"/>
      <c r="EF28220"/>
      <c r="EG28220"/>
      <c r="EH28220"/>
      <c r="EI28220"/>
      <c r="EJ28220"/>
      <c r="EK28220"/>
    </row>
    <row r="28221" spans="1:141" s="116" customFormat="1">
      <c r="A28221" s="136"/>
      <c r="CM28221" s="111"/>
      <c r="CQ28221" s="111"/>
      <c r="EF28221"/>
      <c r="EG28221"/>
      <c r="EH28221"/>
      <c r="EI28221"/>
      <c r="EJ28221"/>
      <c r="EK28221"/>
    </row>
    <row r="28222" spans="1:141" s="116" customFormat="1">
      <c r="A28222" s="136"/>
      <c r="CM28222" s="111"/>
      <c r="CQ28222" s="111"/>
      <c r="EF28222"/>
      <c r="EG28222"/>
      <c r="EH28222"/>
      <c r="EI28222"/>
      <c r="EJ28222"/>
      <c r="EK28222"/>
    </row>
    <row r="28223" spans="1:141" s="116" customFormat="1">
      <c r="A28223" s="136"/>
      <c r="CM28223" s="111"/>
      <c r="CQ28223" s="111"/>
      <c r="EF28223"/>
      <c r="EG28223"/>
      <c r="EH28223"/>
      <c r="EI28223"/>
      <c r="EJ28223"/>
      <c r="EK28223"/>
    </row>
    <row r="28224" spans="1:141" s="116" customFormat="1">
      <c r="A28224" s="136"/>
      <c r="CM28224" s="111"/>
      <c r="CQ28224" s="111"/>
      <c r="EF28224"/>
      <c r="EG28224"/>
      <c r="EH28224"/>
      <c r="EI28224"/>
      <c r="EJ28224"/>
      <c r="EK28224"/>
    </row>
    <row r="28225" spans="1:141" s="116" customFormat="1">
      <c r="A28225" s="136"/>
      <c r="CM28225" s="111"/>
      <c r="CQ28225" s="111"/>
      <c r="EF28225"/>
      <c r="EG28225"/>
      <c r="EH28225"/>
      <c r="EI28225"/>
      <c r="EJ28225"/>
      <c r="EK28225"/>
    </row>
    <row r="28226" spans="1:141" s="116" customFormat="1">
      <c r="A28226" s="136"/>
      <c r="CM28226" s="111"/>
      <c r="CQ28226" s="111"/>
      <c r="EF28226"/>
      <c r="EG28226"/>
      <c r="EH28226"/>
      <c r="EI28226"/>
      <c r="EJ28226"/>
      <c r="EK28226"/>
    </row>
    <row r="28227" spans="1:141" s="116" customFormat="1">
      <c r="A28227" s="136"/>
      <c r="CM28227" s="111"/>
      <c r="CQ28227" s="111"/>
      <c r="EF28227"/>
      <c r="EG28227"/>
      <c r="EH28227"/>
      <c r="EI28227"/>
      <c r="EJ28227"/>
      <c r="EK28227"/>
    </row>
    <row r="28228" spans="1:141" s="116" customFormat="1">
      <c r="A28228" s="136"/>
      <c r="CM28228" s="111"/>
      <c r="CQ28228" s="111"/>
      <c r="EF28228"/>
      <c r="EG28228"/>
      <c r="EH28228"/>
      <c r="EI28228"/>
      <c r="EJ28228"/>
      <c r="EK28228"/>
    </row>
    <row r="28229" spans="1:141" s="116" customFormat="1">
      <c r="A28229" s="136"/>
      <c r="CM28229" s="111"/>
      <c r="CQ28229" s="111"/>
      <c r="EF28229"/>
      <c r="EG28229"/>
      <c r="EH28229"/>
      <c r="EI28229"/>
      <c r="EJ28229"/>
      <c r="EK28229"/>
    </row>
    <row r="28230" spans="1:141" s="116" customFormat="1">
      <c r="A28230" s="136"/>
      <c r="CM28230" s="111"/>
      <c r="CQ28230" s="111"/>
      <c r="EF28230"/>
      <c r="EG28230"/>
      <c r="EH28230"/>
      <c r="EI28230"/>
      <c r="EJ28230"/>
      <c r="EK28230"/>
    </row>
    <row r="28231" spans="1:141" s="116" customFormat="1">
      <c r="A28231" s="136"/>
      <c r="CM28231" s="111"/>
      <c r="CQ28231" s="111"/>
      <c r="EF28231"/>
      <c r="EG28231"/>
      <c r="EH28231"/>
      <c r="EI28231"/>
      <c r="EJ28231"/>
      <c r="EK28231"/>
    </row>
    <row r="28232" spans="1:141" s="116" customFormat="1">
      <c r="A28232" s="136"/>
      <c r="CM28232" s="111"/>
      <c r="CQ28232" s="111"/>
      <c r="EF28232"/>
      <c r="EG28232"/>
      <c r="EH28232"/>
      <c r="EI28232"/>
      <c r="EJ28232"/>
      <c r="EK28232"/>
    </row>
    <row r="28233" spans="1:141" s="116" customFormat="1">
      <c r="A28233" s="136"/>
      <c r="CM28233" s="111"/>
      <c r="CQ28233" s="111"/>
      <c r="EF28233"/>
      <c r="EG28233"/>
      <c r="EH28233"/>
      <c r="EI28233"/>
      <c r="EJ28233"/>
      <c r="EK28233"/>
    </row>
    <row r="28234" spans="1:141" s="116" customFormat="1">
      <c r="A28234" s="136"/>
      <c r="CM28234" s="111"/>
      <c r="CQ28234" s="111"/>
      <c r="EF28234"/>
      <c r="EG28234"/>
      <c r="EH28234"/>
      <c r="EI28234"/>
      <c r="EJ28234"/>
      <c r="EK28234"/>
    </row>
    <row r="28235" spans="1:141" s="116" customFormat="1">
      <c r="A28235" s="136"/>
      <c r="CM28235" s="111"/>
      <c r="CQ28235" s="111"/>
      <c r="EF28235"/>
      <c r="EG28235"/>
      <c r="EH28235"/>
      <c r="EI28235"/>
      <c r="EJ28235"/>
      <c r="EK28235"/>
    </row>
    <row r="28236" spans="1:141" s="116" customFormat="1">
      <c r="A28236" s="136"/>
      <c r="CM28236" s="111"/>
      <c r="CQ28236" s="111"/>
      <c r="EF28236"/>
      <c r="EG28236"/>
      <c r="EH28236"/>
      <c r="EI28236"/>
      <c r="EJ28236"/>
      <c r="EK28236"/>
    </row>
    <row r="28237" spans="1:141" s="116" customFormat="1">
      <c r="A28237" s="136"/>
      <c r="CM28237" s="111"/>
      <c r="CQ28237" s="111"/>
      <c r="EF28237"/>
      <c r="EG28237"/>
      <c r="EH28237"/>
      <c r="EI28237"/>
      <c r="EJ28237"/>
      <c r="EK28237"/>
    </row>
    <row r="28238" spans="1:141" s="116" customFormat="1">
      <c r="A28238" s="136"/>
      <c r="CM28238" s="111"/>
      <c r="CQ28238" s="111"/>
      <c r="EF28238"/>
      <c r="EG28238"/>
      <c r="EH28238"/>
      <c r="EI28238"/>
      <c r="EJ28238"/>
      <c r="EK28238"/>
    </row>
    <row r="28239" spans="1:141" s="116" customFormat="1">
      <c r="A28239" s="136"/>
      <c r="CM28239" s="111"/>
      <c r="CQ28239" s="111"/>
      <c r="EF28239"/>
      <c r="EG28239"/>
      <c r="EH28239"/>
      <c r="EI28239"/>
      <c r="EJ28239"/>
      <c r="EK28239"/>
    </row>
    <row r="28240" spans="1:141" s="116" customFormat="1">
      <c r="A28240" s="136"/>
      <c r="CM28240" s="111"/>
      <c r="CQ28240" s="111"/>
      <c r="EF28240"/>
      <c r="EG28240"/>
      <c r="EH28240"/>
      <c r="EI28240"/>
      <c r="EJ28240"/>
      <c r="EK28240"/>
    </row>
    <row r="28241" spans="1:141" s="116" customFormat="1">
      <c r="A28241" s="136"/>
      <c r="CM28241" s="111"/>
      <c r="CQ28241" s="111"/>
      <c r="EF28241"/>
      <c r="EG28241"/>
      <c r="EH28241"/>
      <c r="EI28241"/>
      <c r="EJ28241"/>
      <c r="EK28241"/>
    </row>
    <row r="28242" spans="1:141" s="116" customFormat="1">
      <c r="A28242" s="136"/>
      <c r="CM28242" s="111"/>
      <c r="CQ28242" s="111"/>
      <c r="EF28242"/>
      <c r="EG28242"/>
      <c r="EH28242"/>
      <c r="EI28242"/>
      <c r="EJ28242"/>
      <c r="EK28242"/>
    </row>
    <row r="28243" spans="1:141" s="116" customFormat="1">
      <c r="A28243" s="136"/>
      <c r="CM28243" s="111"/>
      <c r="CQ28243" s="111"/>
      <c r="EF28243"/>
      <c r="EG28243"/>
      <c r="EH28243"/>
      <c r="EI28243"/>
      <c r="EJ28243"/>
      <c r="EK28243"/>
    </row>
    <row r="28244" spans="1:141" s="116" customFormat="1">
      <c r="A28244" s="136"/>
      <c r="CM28244" s="111"/>
      <c r="CQ28244" s="111"/>
      <c r="EF28244"/>
      <c r="EG28244"/>
      <c r="EH28244"/>
      <c r="EI28244"/>
      <c r="EJ28244"/>
      <c r="EK28244"/>
    </row>
    <row r="28245" spans="1:141" s="116" customFormat="1">
      <c r="A28245" s="136"/>
      <c r="CM28245" s="111"/>
      <c r="CQ28245" s="111"/>
      <c r="EF28245"/>
      <c r="EG28245"/>
      <c r="EH28245"/>
      <c r="EI28245"/>
      <c r="EJ28245"/>
      <c r="EK28245"/>
    </row>
    <row r="28246" spans="1:141" s="116" customFormat="1">
      <c r="A28246" s="136"/>
      <c r="CM28246" s="111"/>
      <c r="CQ28246" s="111"/>
      <c r="EF28246"/>
      <c r="EG28246"/>
      <c r="EH28246"/>
      <c r="EI28246"/>
      <c r="EJ28246"/>
      <c r="EK28246"/>
    </row>
    <row r="28247" spans="1:141" s="116" customFormat="1">
      <c r="A28247" s="136"/>
      <c r="CM28247" s="111"/>
      <c r="CQ28247" s="111"/>
      <c r="EF28247"/>
      <c r="EG28247"/>
      <c r="EH28247"/>
      <c r="EI28247"/>
      <c r="EJ28247"/>
      <c r="EK28247"/>
    </row>
    <row r="28248" spans="1:141" s="116" customFormat="1">
      <c r="A28248" s="136"/>
      <c r="CM28248" s="111"/>
      <c r="CQ28248" s="111"/>
      <c r="EF28248"/>
      <c r="EG28248"/>
      <c r="EH28248"/>
      <c r="EI28248"/>
      <c r="EJ28248"/>
      <c r="EK28248"/>
    </row>
    <row r="28249" spans="1:141" s="116" customFormat="1">
      <c r="A28249" s="136"/>
      <c r="CM28249" s="111"/>
      <c r="CQ28249" s="111"/>
      <c r="EF28249"/>
      <c r="EG28249"/>
      <c r="EH28249"/>
      <c r="EI28249"/>
      <c r="EJ28249"/>
      <c r="EK28249"/>
    </row>
    <row r="28250" spans="1:141" s="116" customFormat="1">
      <c r="A28250" s="136"/>
      <c r="CM28250" s="111"/>
      <c r="CQ28250" s="111"/>
      <c r="EF28250"/>
      <c r="EG28250"/>
      <c r="EH28250"/>
      <c r="EI28250"/>
      <c r="EJ28250"/>
      <c r="EK28250"/>
    </row>
    <row r="28251" spans="1:141" s="116" customFormat="1">
      <c r="A28251" s="136"/>
      <c r="CM28251" s="111"/>
      <c r="CQ28251" s="111"/>
      <c r="EF28251"/>
      <c r="EG28251"/>
      <c r="EH28251"/>
      <c r="EI28251"/>
      <c r="EJ28251"/>
      <c r="EK28251"/>
    </row>
    <row r="28252" spans="1:141" s="116" customFormat="1">
      <c r="A28252" s="136"/>
      <c r="CM28252" s="111"/>
      <c r="CQ28252" s="111"/>
      <c r="EF28252"/>
      <c r="EG28252"/>
      <c r="EH28252"/>
      <c r="EI28252"/>
      <c r="EJ28252"/>
      <c r="EK28252"/>
    </row>
    <row r="28253" spans="1:141" s="116" customFormat="1">
      <c r="A28253" s="136"/>
      <c r="CM28253" s="111"/>
      <c r="CQ28253" s="111"/>
      <c r="EF28253"/>
      <c r="EG28253"/>
      <c r="EH28253"/>
      <c r="EI28253"/>
      <c r="EJ28253"/>
      <c r="EK28253"/>
    </row>
    <row r="28254" spans="1:141" s="116" customFormat="1">
      <c r="A28254" s="136"/>
      <c r="CM28254" s="111"/>
      <c r="CQ28254" s="111"/>
      <c r="EF28254"/>
      <c r="EG28254"/>
      <c r="EH28254"/>
      <c r="EI28254"/>
      <c r="EJ28254"/>
      <c r="EK28254"/>
    </row>
    <row r="28255" spans="1:141" s="116" customFormat="1">
      <c r="A28255" s="136"/>
      <c r="CM28255" s="111"/>
      <c r="CQ28255" s="111"/>
      <c r="EF28255"/>
      <c r="EG28255"/>
      <c r="EH28255"/>
      <c r="EI28255"/>
      <c r="EJ28255"/>
      <c r="EK28255"/>
    </row>
    <row r="28256" spans="1:141" s="116" customFormat="1">
      <c r="A28256" s="136"/>
      <c r="CM28256" s="111"/>
      <c r="CQ28256" s="111"/>
      <c r="EF28256"/>
      <c r="EG28256"/>
      <c r="EH28256"/>
      <c r="EI28256"/>
      <c r="EJ28256"/>
      <c r="EK28256"/>
    </row>
    <row r="28257" spans="1:141" s="116" customFormat="1">
      <c r="A28257" s="136"/>
      <c r="CM28257" s="111"/>
      <c r="CQ28257" s="111"/>
      <c r="EF28257"/>
      <c r="EG28257"/>
      <c r="EH28257"/>
      <c r="EI28257"/>
      <c r="EJ28257"/>
      <c r="EK28257"/>
    </row>
    <row r="28258" spans="1:141" s="116" customFormat="1">
      <c r="A28258" s="136"/>
      <c r="CM28258" s="111"/>
      <c r="CQ28258" s="111"/>
      <c r="EF28258"/>
      <c r="EG28258"/>
      <c r="EH28258"/>
      <c r="EI28258"/>
      <c r="EJ28258"/>
      <c r="EK28258"/>
    </row>
    <row r="28259" spans="1:141" s="116" customFormat="1">
      <c r="A28259" s="136"/>
      <c r="CM28259" s="111"/>
      <c r="CQ28259" s="111"/>
      <c r="EF28259"/>
      <c r="EG28259"/>
      <c r="EH28259"/>
      <c r="EI28259"/>
      <c r="EJ28259"/>
      <c r="EK28259"/>
    </row>
    <row r="28260" spans="1:141" s="116" customFormat="1">
      <c r="A28260" s="136"/>
      <c r="CM28260" s="111"/>
      <c r="CQ28260" s="111"/>
      <c r="EF28260"/>
      <c r="EG28260"/>
      <c r="EH28260"/>
      <c r="EI28260"/>
      <c r="EJ28260"/>
      <c r="EK28260"/>
    </row>
    <row r="28261" spans="1:141" s="116" customFormat="1">
      <c r="A28261" s="136"/>
      <c r="CM28261" s="111"/>
      <c r="CQ28261" s="111"/>
      <c r="EF28261"/>
      <c r="EG28261"/>
      <c r="EH28261"/>
      <c r="EI28261"/>
      <c r="EJ28261"/>
      <c r="EK28261"/>
    </row>
    <row r="28262" spans="1:141" s="116" customFormat="1">
      <c r="A28262" s="136"/>
      <c r="CM28262" s="111"/>
      <c r="CQ28262" s="111"/>
      <c r="EF28262"/>
      <c r="EG28262"/>
      <c r="EH28262"/>
      <c r="EI28262"/>
      <c r="EJ28262"/>
      <c r="EK28262"/>
    </row>
    <row r="28263" spans="1:141" s="116" customFormat="1">
      <c r="A28263" s="136"/>
      <c r="CM28263" s="111"/>
      <c r="CQ28263" s="111"/>
      <c r="EF28263"/>
      <c r="EG28263"/>
      <c r="EH28263"/>
      <c r="EI28263"/>
      <c r="EJ28263"/>
      <c r="EK28263"/>
    </row>
    <row r="28264" spans="1:141" s="116" customFormat="1">
      <c r="A28264" s="136"/>
      <c r="CM28264" s="111"/>
      <c r="CQ28264" s="111"/>
      <c r="EF28264"/>
      <c r="EG28264"/>
      <c r="EH28264"/>
      <c r="EI28264"/>
      <c r="EJ28264"/>
      <c r="EK28264"/>
    </row>
    <row r="28265" spans="1:141" s="116" customFormat="1">
      <c r="A28265" s="136"/>
      <c r="CM28265" s="111"/>
      <c r="CQ28265" s="111"/>
      <c r="EF28265"/>
      <c r="EG28265"/>
      <c r="EH28265"/>
      <c r="EI28265"/>
      <c r="EJ28265"/>
      <c r="EK28265"/>
    </row>
    <row r="28266" spans="1:141" s="116" customFormat="1">
      <c r="A28266" s="136"/>
      <c r="CM28266" s="111"/>
      <c r="CQ28266" s="111"/>
      <c r="EF28266"/>
      <c r="EG28266"/>
      <c r="EH28266"/>
      <c r="EI28266"/>
      <c r="EJ28266"/>
      <c r="EK28266"/>
    </row>
    <row r="28267" spans="1:141" s="116" customFormat="1">
      <c r="A28267" s="136"/>
      <c r="CM28267" s="111"/>
      <c r="CQ28267" s="111"/>
      <c r="EF28267"/>
      <c r="EG28267"/>
      <c r="EH28267"/>
      <c r="EI28267"/>
      <c r="EJ28267"/>
      <c r="EK28267"/>
    </row>
    <row r="28268" spans="1:141" s="116" customFormat="1">
      <c r="A28268" s="136"/>
      <c r="CM28268" s="111"/>
      <c r="CQ28268" s="111"/>
      <c r="EF28268"/>
      <c r="EG28268"/>
      <c r="EH28268"/>
      <c r="EI28268"/>
      <c r="EJ28268"/>
      <c r="EK28268"/>
    </row>
    <row r="28269" spans="1:141" s="116" customFormat="1">
      <c r="A28269" s="136"/>
      <c r="CM28269" s="111"/>
      <c r="CQ28269" s="111"/>
      <c r="EF28269"/>
      <c r="EG28269"/>
      <c r="EH28269"/>
      <c r="EI28269"/>
      <c r="EJ28269"/>
      <c r="EK28269"/>
    </row>
    <row r="28270" spans="1:141" s="116" customFormat="1">
      <c r="A28270" s="136"/>
      <c r="CM28270" s="111"/>
      <c r="CQ28270" s="111"/>
      <c r="EF28270"/>
      <c r="EG28270"/>
      <c r="EH28270"/>
      <c r="EI28270"/>
      <c r="EJ28270"/>
      <c r="EK28270"/>
    </row>
    <row r="28271" spans="1:141" s="116" customFormat="1">
      <c r="A28271" s="136"/>
      <c r="CM28271" s="111"/>
      <c r="CQ28271" s="111"/>
      <c r="EF28271"/>
      <c r="EG28271"/>
      <c r="EH28271"/>
      <c r="EI28271"/>
      <c r="EJ28271"/>
      <c r="EK28271"/>
    </row>
    <row r="28272" spans="1:141" s="116" customFormat="1">
      <c r="A28272" s="136"/>
      <c r="CM28272" s="111"/>
      <c r="CQ28272" s="111"/>
      <c r="EF28272"/>
      <c r="EG28272"/>
      <c r="EH28272"/>
      <c r="EI28272"/>
      <c r="EJ28272"/>
      <c r="EK28272"/>
    </row>
    <row r="28273" spans="1:141" s="116" customFormat="1">
      <c r="A28273" s="136"/>
      <c r="CM28273" s="111"/>
      <c r="CQ28273" s="111"/>
      <c r="EF28273"/>
      <c r="EG28273"/>
      <c r="EH28273"/>
      <c r="EI28273"/>
      <c r="EJ28273"/>
      <c r="EK28273"/>
    </row>
    <row r="28274" spans="1:141" s="116" customFormat="1">
      <c r="A28274" s="136"/>
      <c r="CM28274" s="111"/>
      <c r="CQ28274" s="111"/>
      <c r="EF28274"/>
      <c r="EG28274"/>
      <c r="EH28274"/>
      <c r="EI28274"/>
      <c r="EJ28274"/>
      <c r="EK28274"/>
    </row>
    <row r="28275" spans="1:141" s="116" customFormat="1">
      <c r="A28275" s="136"/>
      <c r="CM28275" s="111"/>
      <c r="CQ28275" s="111"/>
      <c r="EF28275"/>
      <c r="EG28275"/>
      <c r="EH28275"/>
      <c r="EI28275"/>
      <c r="EJ28275"/>
      <c r="EK28275"/>
    </row>
    <row r="28276" spans="1:141" s="116" customFormat="1">
      <c r="A28276" s="136"/>
      <c r="CM28276" s="111"/>
      <c r="CQ28276" s="111"/>
      <c r="EF28276"/>
      <c r="EG28276"/>
      <c r="EH28276"/>
      <c r="EI28276"/>
      <c r="EJ28276"/>
      <c r="EK28276"/>
    </row>
    <row r="28277" spans="1:141" s="116" customFormat="1">
      <c r="A28277" s="136"/>
      <c r="CM28277" s="111"/>
      <c r="CQ28277" s="111"/>
      <c r="EF28277"/>
      <c r="EG28277"/>
      <c r="EH28277"/>
      <c r="EI28277"/>
      <c r="EJ28277"/>
      <c r="EK28277"/>
    </row>
    <row r="28278" spans="1:141" s="116" customFormat="1">
      <c r="A28278" s="136"/>
      <c r="CM28278" s="111"/>
      <c r="CQ28278" s="111"/>
      <c r="EF28278"/>
      <c r="EG28278"/>
      <c r="EH28278"/>
      <c r="EI28278"/>
      <c r="EJ28278"/>
      <c r="EK28278"/>
    </row>
    <row r="28279" spans="1:141" s="116" customFormat="1">
      <c r="A28279" s="136"/>
      <c r="CM28279" s="111"/>
      <c r="CQ28279" s="111"/>
      <c r="EF28279"/>
      <c r="EG28279"/>
      <c r="EH28279"/>
      <c r="EI28279"/>
      <c r="EJ28279"/>
      <c r="EK28279"/>
    </row>
    <row r="28280" spans="1:141" s="116" customFormat="1">
      <c r="A28280" s="136"/>
      <c r="CM28280" s="111"/>
      <c r="CQ28280" s="111"/>
      <c r="EF28280"/>
      <c r="EG28280"/>
      <c r="EH28280"/>
      <c r="EI28280"/>
      <c r="EJ28280"/>
      <c r="EK28280"/>
    </row>
    <row r="28281" spans="1:141" s="116" customFormat="1">
      <c r="A28281" s="136"/>
      <c r="CM28281" s="111"/>
      <c r="CQ28281" s="111"/>
      <c r="EF28281"/>
      <c r="EG28281"/>
      <c r="EH28281"/>
      <c r="EI28281"/>
      <c r="EJ28281"/>
      <c r="EK28281"/>
    </row>
    <row r="28282" spans="1:141" s="116" customFormat="1">
      <c r="A28282" s="136"/>
      <c r="CM28282" s="111"/>
      <c r="CQ28282" s="111"/>
      <c r="EF28282"/>
      <c r="EG28282"/>
      <c r="EH28282"/>
      <c r="EI28282"/>
      <c r="EJ28282"/>
      <c r="EK28282"/>
    </row>
    <row r="28283" spans="1:141" s="116" customFormat="1">
      <c r="A28283" s="136"/>
      <c r="CM28283" s="111"/>
      <c r="CQ28283" s="111"/>
      <c r="EF28283"/>
      <c r="EG28283"/>
      <c r="EH28283"/>
      <c r="EI28283"/>
      <c r="EJ28283"/>
      <c r="EK28283"/>
    </row>
    <row r="28284" spans="1:141" s="116" customFormat="1">
      <c r="A28284" s="136"/>
      <c r="CM28284" s="111"/>
      <c r="CQ28284" s="111"/>
      <c r="EF28284"/>
      <c r="EG28284"/>
      <c r="EH28284"/>
      <c r="EI28284"/>
      <c r="EJ28284"/>
      <c r="EK28284"/>
    </row>
    <row r="28285" spans="1:141" s="116" customFormat="1">
      <c r="A28285" s="136"/>
      <c r="CM28285" s="111"/>
      <c r="CQ28285" s="111"/>
      <c r="EF28285"/>
      <c r="EG28285"/>
      <c r="EH28285"/>
      <c r="EI28285"/>
      <c r="EJ28285"/>
      <c r="EK28285"/>
    </row>
    <row r="28286" spans="1:141" s="116" customFormat="1">
      <c r="A28286" s="136"/>
      <c r="CM28286" s="111"/>
      <c r="CQ28286" s="111"/>
      <c r="EF28286"/>
      <c r="EG28286"/>
      <c r="EH28286"/>
      <c r="EI28286"/>
      <c r="EJ28286"/>
      <c r="EK28286"/>
    </row>
    <row r="28287" spans="1:141" s="116" customFormat="1">
      <c r="A28287" s="136"/>
      <c r="CM28287" s="111"/>
      <c r="CQ28287" s="111"/>
      <c r="EF28287"/>
      <c r="EG28287"/>
      <c r="EH28287"/>
      <c r="EI28287"/>
      <c r="EJ28287"/>
      <c r="EK28287"/>
    </row>
    <row r="28288" spans="1:141" s="116" customFormat="1">
      <c r="A28288" s="136"/>
      <c r="CM28288" s="111"/>
      <c r="CQ28288" s="111"/>
      <c r="EF28288"/>
      <c r="EG28288"/>
      <c r="EH28288"/>
      <c r="EI28288"/>
      <c r="EJ28288"/>
      <c r="EK28288"/>
    </row>
    <row r="28289" spans="1:141" s="116" customFormat="1">
      <c r="A28289" s="136"/>
      <c r="CM28289" s="111"/>
      <c r="CQ28289" s="111"/>
      <c r="EF28289"/>
      <c r="EG28289"/>
      <c r="EH28289"/>
      <c r="EI28289"/>
      <c r="EJ28289"/>
      <c r="EK28289"/>
    </row>
    <row r="28290" spans="1:141" s="116" customFormat="1">
      <c r="A28290" s="136"/>
      <c r="CM28290" s="111"/>
      <c r="CQ28290" s="111"/>
      <c r="EF28290"/>
      <c r="EG28290"/>
      <c r="EH28290"/>
      <c r="EI28290"/>
      <c r="EJ28290"/>
      <c r="EK28290"/>
    </row>
    <row r="28291" spans="1:141" s="116" customFormat="1">
      <c r="A28291" s="136"/>
      <c r="CM28291" s="111"/>
      <c r="CQ28291" s="111"/>
      <c r="EF28291"/>
      <c r="EG28291"/>
      <c r="EH28291"/>
      <c r="EI28291"/>
      <c r="EJ28291"/>
      <c r="EK28291"/>
    </row>
    <row r="28292" spans="1:141" s="116" customFormat="1">
      <c r="A28292" s="136"/>
      <c r="CM28292" s="111"/>
      <c r="CQ28292" s="111"/>
      <c r="EF28292"/>
      <c r="EG28292"/>
      <c r="EH28292"/>
      <c r="EI28292"/>
      <c r="EJ28292"/>
      <c r="EK28292"/>
    </row>
    <row r="28293" spans="1:141" s="116" customFormat="1">
      <c r="A28293" s="136"/>
      <c r="CM28293" s="111"/>
      <c r="CQ28293" s="111"/>
      <c r="EF28293"/>
      <c r="EG28293"/>
      <c r="EH28293"/>
      <c r="EI28293"/>
      <c r="EJ28293"/>
      <c r="EK28293"/>
    </row>
    <row r="28294" spans="1:141" s="116" customFormat="1">
      <c r="A28294" s="136"/>
      <c r="CM28294" s="111"/>
      <c r="CQ28294" s="111"/>
      <c r="EF28294"/>
      <c r="EG28294"/>
      <c r="EH28294"/>
      <c r="EI28294"/>
      <c r="EJ28294"/>
      <c r="EK28294"/>
    </row>
    <row r="28295" spans="1:141" s="116" customFormat="1">
      <c r="A28295" s="136"/>
      <c r="CM28295" s="111"/>
      <c r="CQ28295" s="111"/>
      <c r="EF28295"/>
      <c r="EG28295"/>
      <c r="EH28295"/>
      <c r="EI28295"/>
      <c r="EJ28295"/>
      <c r="EK28295"/>
    </row>
    <row r="28296" spans="1:141" s="116" customFormat="1">
      <c r="A28296" s="136"/>
      <c r="CM28296" s="111"/>
      <c r="CQ28296" s="111"/>
      <c r="EF28296"/>
      <c r="EG28296"/>
      <c r="EH28296"/>
      <c r="EI28296"/>
      <c r="EJ28296"/>
      <c r="EK28296"/>
    </row>
    <row r="28297" spans="1:141" s="116" customFormat="1">
      <c r="A28297" s="136"/>
      <c r="CM28297" s="111"/>
      <c r="CQ28297" s="111"/>
      <c r="EF28297"/>
      <c r="EG28297"/>
      <c r="EH28297"/>
      <c r="EI28297"/>
      <c r="EJ28297"/>
      <c r="EK28297"/>
    </row>
    <row r="28298" spans="1:141" s="116" customFormat="1">
      <c r="A28298" s="136"/>
      <c r="CM28298" s="111"/>
      <c r="CQ28298" s="111"/>
      <c r="EF28298"/>
      <c r="EG28298"/>
      <c r="EH28298"/>
      <c r="EI28298"/>
      <c r="EJ28298"/>
      <c r="EK28298"/>
    </row>
    <row r="28299" spans="1:141" s="116" customFormat="1">
      <c r="A28299" s="136"/>
      <c r="CM28299" s="111"/>
      <c r="CQ28299" s="111"/>
      <c r="EF28299"/>
      <c r="EG28299"/>
      <c r="EH28299"/>
      <c r="EI28299"/>
      <c r="EJ28299"/>
      <c r="EK28299"/>
    </row>
    <row r="28300" spans="1:141" s="116" customFormat="1">
      <c r="A28300" s="136"/>
      <c r="CM28300" s="111"/>
      <c r="CQ28300" s="111"/>
      <c r="EF28300"/>
      <c r="EG28300"/>
      <c r="EH28300"/>
      <c r="EI28300"/>
      <c r="EJ28300"/>
      <c r="EK28300"/>
    </row>
    <row r="28301" spans="1:141" s="116" customFormat="1">
      <c r="A28301" s="136"/>
      <c r="CM28301" s="111"/>
      <c r="CQ28301" s="111"/>
      <c r="EF28301"/>
      <c r="EG28301"/>
      <c r="EH28301"/>
      <c r="EI28301"/>
      <c r="EJ28301"/>
      <c r="EK28301"/>
    </row>
    <row r="28302" spans="1:141" s="116" customFormat="1">
      <c r="A28302" s="136"/>
      <c r="CM28302" s="111"/>
      <c r="CQ28302" s="111"/>
      <c r="EF28302"/>
      <c r="EG28302"/>
      <c r="EH28302"/>
      <c r="EI28302"/>
      <c r="EJ28302"/>
      <c r="EK28302"/>
    </row>
    <row r="28303" spans="1:141" s="116" customFormat="1">
      <c r="A28303" s="136"/>
      <c r="CM28303" s="111"/>
      <c r="CQ28303" s="111"/>
      <c r="EF28303"/>
      <c r="EG28303"/>
      <c r="EH28303"/>
      <c r="EI28303"/>
      <c r="EJ28303"/>
      <c r="EK28303"/>
    </row>
    <row r="28304" spans="1:141" s="116" customFormat="1">
      <c r="A28304" s="136"/>
      <c r="CM28304" s="111"/>
      <c r="CQ28304" s="111"/>
      <c r="EF28304"/>
      <c r="EG28304"/>
      <c r="EH28304"/>
      <c r="EI28304"/>
      <c r="EJ28304"/>
      <c r="EK28304"/>
    </row>
    <row r="28305" spans="1:141" s="116" customFormat="1">
      <c r="A28305" s="136"/>
      <c r="CM28305" s="111"/>
      <c r="CQ28305" s="111"/>
      <c r="EF28305"/>
      <c r="EG28305"/>
      <c r="EH28305"/>
      <c r="EI28305"/>
      <c r="EJ28305"/>
      <c r="EK28305"/>
    </row>
    <row r="28306" spans="1:141" s="116" customFormat="1">
      <c r="A28306" s="136"/>
      <c r="CM28306" s="111"/>
      <c r="CQ28306" s="111"/>
      <c r="EF28306"/>
      <c r="EG28306"/>
      <c r="EH28306"/>
      <c r="EI28306"/>
      <c r="EJ28306"/>
      <c r="EK28306"/>
    </row>
    <row r="28307" spans="1:141" s="116" customFormat="1">
      <c r="A28307" s="136"/>
      <c r="CM28307" s="111"/>
      <c r="CQ28307" s="111"/>
      <c r="EF28307"/>
      <c r="EG28307"/>
      <c r="EH28307"/>
      <c r="EI28307"/>
      <c r="EJ28307"/>
      <c r="EK28307"/>
    </row>
    <row r="28308" spans="1:141" s="116" customFormat="1">
      <c r="A28308" s="136"/>
      <c r="CM28308" s="111"/>
      <c r="CQ28308" s="111"/>
      <c r="EF28308"/>
      <c r="EG28308"/>
      <c r="EH28308"/>
      <c r="EI28308"/>
      <c r="EJ28308"/>
      <c r="EK28308"/>
    </row>
    <row r="28309" spans="1:141" s="116" customFormat="1">
      <c r="A28309" s="136"/>
      <c r="CM28309" s="111"/>
      <c r="CQ28309" s="111"/>
      <c r="EF28309"/>
      <c r="EG28309"/>
      <c r="EH28309"/>
      <c r="EI28309"/>
      <c r="EJ28309"/>
      <c r="EK28309"/>
    </row>
    <row r="28310" spans="1:141" s="116" customFormat="1">
      <c r="A28310" s="136"/>
      <c r="CM28310" s="111"/>
      <c r="CQ28310" s="111"/>
      <c r="EF28310"/>
      <c r="EG28310"/>
      <c r="EH28310"/>
      <c r="EI28310"/>
      <c r="EJ28310"/>
      <c r="EK28310"/>
    </row>
    <row r="28311" spans="1:141" s="116" customFormat="1">
      <c r="A28311" s="136"/>
      <c r="CM28311" s="111"/>
      <c r="CQ28311" s="111"/>
      <c r="EF28311"/>
      <c r="EG28311"/>
      <c r="EH28311"/>
      <c r="EI28311"/>
      <c r="EJ28311"/>
      <c r="EK28311"/>
    </row>
    <row r="28312" spans="1:141" s="116" customFormat="1">
      <c r="A28312" s="136"/>
      <c r="CM28312" s="111"/>
      <c r="CQ28312" s="111"/>
      <c r="EF28312"/>
      <c r="EG28312"/>
      <c r="EH28312"/>
      <c r="EI28312"/>
      <c r="EJ28312"/>
      <c r="EK28312"/>
    </row>
    <row r="28313" spans="1:141" s="116" customFormat="1">
      <c r="A28313" s="136"/>
      <c r="CM28313" s="111"/>
      <c r="CQ28313" s="111"/>
      <c r="EF28313"/>
      <c r="EG28313"/>
      <c r="EH28313"/>
      <c r="EI28313"/>
      <c r="EJ28313"/>
      <c r="EK28313"/>
    </row>
    <row r="28314" spans="1:141" s="116" customFormat="1">
      <c r="A28314" s="136"/>
      <c r="CM28314" s="111"/>
      <c r="CQ28314" s="111"/>
      <c r="EF28314"/>
      <c r="EG28314"/>
      <c r="EH28314"/>
      <c r="EI28314"/>
      <c r="EJ28314"/>
      <c r="EK28314"/>
    </row>
    <row r="28315" spans="1:141" s="116" customFormat="1">
      <c r="A28315" s="136"/>
      <c r="CM28315" s="111"/>
      <c r="CQ28315" s="111"/>
      <c r="EF28315"/>
      <c r="EG28315"/>
      <c r="EH28315"/>
      <c r="EI28315"/>
      <c r="EJ28315"/>
      <c r="EK28315"/>
    </row>
    <row r="28316" spans="1:141" s="116" customFormat="1">
      <c r="A28316" s="136"/>
      <c r="CM28316" s="111"/>
      <c r="CQ28316" s="111"/>
      <c r="EF28316"/>
      <c r="EG28316"/>
      <c r="EH28316"/>
      <c r="EI28316"/>
      <c r="EJ28316"/>
      <c r="EK28316"/>
    </row>
    <row r="28317" spans="1:141" s="116" customFormat="1">
      <c r="A28317" s="136"/>
      <c r="CM28317" s="111"/>
      <c r="CQ28317" s="111"/>
      <c r="EF28317"/>
      <c r="EG28317"/>
      <c r="EH28317"/>
      <c r="EI28317"/>
      <c r="EJ28317"/>
      <c r="EK28317"/>
    </row>
    <row r="28318" spans="1:141" s="116" customFormat="1">
      <c r="A28318" s="136"/>
      <c r="CM28318" s="111"/>
      <c r="CQ28318" s="111"/>
      <c r="EF28318"/>
      <c r="EG28318"/>
      <c r="EH28318"/>
      <c r="EI28318"/>
      <c r="EJ28318"/>
      <c r="EK28318"/>
    </row>
    <row r="28319" spans="1:141" s="116" customFormat="1">
      <c r="A28319" s="136"/>
      <c r="CM28319" s="111"/>
      <c r="CQ28319" s="111"/>
      <c r="EF28319"/>
      <c r="EG28319"/>
      <c r="EH28319"/>
      <c r="EI28319"/>
      <c r="EJ28319"/>
      <c r="EK28319"/>
    </row>
    <row r="28320" spans="1:141" s="116" customFormat="1">
      <c r="A28320" s="136"/>
      <c r="CM28320" s="111"/>
      <c r="CQ28320" s="111"/>
      <c r="EF28320"/>
      <c r="EG28320"/>
      <c r="EH28320"/>
      <c r="EI28320"/>
      <c r="EJ28320"/>
      <c r="EK28320"/>
    </row>
    <row r="28321" spans="1:141" s="116" customFormat="1">
      <c r="A28321" s="136"/>
      <c r="CM28321" s="111"/>
      <c r="CQ28321" s="111"/>
      <c r="EF28321"/>
      <c r="EG28321"/>
      <c r="EH28321"/>
      <c r="EI28321"/>
      <c r="EJ28321"/>
      <c r="EK28321"/>
    </row>
    <row r="28322" spans="1:141" s="116" customFormat="1">
      <c r="A28322" s="136"/>
      <c r="CM28322" s="111"/>
      <c r="CQ28322" s="111"/>
      <c r="EF28322"/>
      <c r="EG28322"/>
      <c r="EH28322"/>
      <c r="EI28322"/>
      <c r="EJ28322"/>
      <c r="EK28322"/>
    </row>
    <row r="28323" spans="1:141" s="116" customFormat="1">
      <c r="A28323" s="136"/>
      <c r="CM28323" s="111"/>
      <c r="CQ28323" s="111"/>
      <c r="EF28323"/>
      <c r="EG28323"/>
      <c r="EH28323"/>
      <c r="EI28323"/>
      <c r="EJ28323"/>
      <c r="EK28323"/>
    </row>
    <row r="28324" spans="1:141" s="116" customFormat="1">
      <c r="A28324" s="136"/>
      <c r="CM28324" s="111"/>
      <c r="CQ28324" s="111"/>
      <c r="EF28324"/>
      <c r="EG28324"/>
      <c r="EH28324"/>
      <c r="EI28324"/>
      <c r="EJ28324"/>
      <c r="EK28324"/>
    </row>
    <row r="28325" spans="1:141" s="116" customFormat="1">
      <c r="A28325" s="136"/>
      <c r="CM28325" s="111"/>
      <c r="CQ28325" s="111"/>
      <c r="EF28325"/>
      <c r="EG28325"/>
      <c r="EH28325"/>
      <c r="EI28325"/>
      <c r="EJ28325"/>
      <c r="EK28325"/>
    </row>
    <row r="28326" spans="1:141" s="116" customFormat="1">
      <c r="A28326" s="136"/>
      <c r="CM28326" s="111"/>
      <c r="CQ28326" s="111"/>
      <c r="EF28326"/>
      <c r="EG28326"/>
      <c r="EH28326"/>
      <c r="EI28326"/>
      <c r="EJ28326"/>
      <c r="EK28326"/>
    </row>
    <row r="28327" spans="1:141" s="116" customFormat="1">
      <c r="A28327" s="136"/>
      <c r="CM28327" s="111"/>
      <c r="CQ28327" s="111"/>
      <c r="EF28327"/>
      <c r="EG28327"/>
      <c r="EH28327"/>
      <c r="EI28327"/>
      <c r="EJ28327"/>
      <c r="EK28327"/>
    </row>
    <row r="28328" spans="1:141" s="116" customFormat="1">
      <c r="A28328" s="136"/>
      <c r="CM28328" s="111"/>
      <c r="CQ28328" s="111"/>
      <c r="EF28328"/>
      <c r="EG28328"/>
      <c r="EH28328"/>
      <c r="EI28328"/>
      <c r="EJ28328"/>
      <c r="EK28328"/>
    </row>
    <row r="28329" spans="1:141" s="116" customFormat="1">
      <c r="A28329" s="136"/>
      <c r="CM28329" s="111"/>
      <c r="CQ28329" s="111"/>
      <c r="EF28329"/>
      <c r="EG28329"/>
      <c r="EH28329"/>
      <c r="EI28329"/>
      <c r="EJ28329"/>
      <c r="EK28329"/>
    </row>
    <row r="28330" spans="1:141" s="116" customFormat="1">
      <c r="A28330" s="136"/>
      <c r="CM28330" s="111"/>
      <c r="CQ28330" s="111"/>
      <c r="EF28330"/>
      <c r="EG28330"/>
      <c r="EH28330"/>
      <c r="EI28330"/>
      <c r="EJ28330"/>
      <c r="EK28330"/>
    </row>
    <row r="28331" spans="1:141" s="116" customFormat="1">
      <c r="A28331" s="136"/>
      <c r="CM28331" s="111"/>
      <c r="CQ28331" s="111"/>
      <c r="EF28331"/>
      <c r="EG28331"/>
      <c r="EH28331"/>
      <c r="EI28331"/>
      <c r="EJ28331"/>
      <c r="EK28331"/>
    </row>
    <row r="28332" spans="1:141" s="116" customFormat="1">
      <c r="A28332" s="136"/>
      <c r="CM28332" s="111"/>
      <c r="CQ28332" s="111"/>
      <c r="EF28332"/>
      <c r="EG28332"/>
      <c r="EH28332"/>
      <c r="EI28332"/>
      <c r="EJ28332"/>
      <c r="EK28332"/>
    </row>
    <row r="28333" spans="1:141" s="116" customFormat="1">
      <c r="A28333" s="136"/>
      <c r="CM28333" s="111"/>
      <c r="CQ28333" s="111"/>
      <c r="EF28333"/>
      <c r="EG28333"/>
      <c r="EH28333"/>
      <c r="EI28333"/>
      <c r="EJ28333"/>
      <c r="EK28333"/>
    </row>
    <row r="28334" spans="1:141" s="116" customFormat="1">
      <c r="A28334" s="136"/>
      <c r="CM28334" s="111"/>
      <c r="CQ28334" s="111"/>
      <c r="EF28334"/>
      <c r="EG28334"/>
      <c r="EH28334"/>
      <c r="EI28334"/>
      <c r="EJ28334"/>
      <c r="EK28334"/>
    </row>
    <row r="28335" spans="1:141" s="116" customFormat="1">
      <c r="A28335" s="136"/>
      <c r="CM28335" s="111"/>
      <c r="CQ28335" s="111"/>
      <c r="EF28335"/>
      <c r="EG28335"/>
      <c r="EH28335"/>
      <c r="EI28335"/>
      <c r="EJ28335"/>
      <c r="EK28335"/>
    </row>
    <row r="28336" spans="1:141" s="116" customFormat="1">
      <c r="A28336" s="136"/>
      <c r="CM28336" s="111"/>
      <c r="CQ28336" s="111"/>
      <c r="EF28336"/>
      <c r="EG28336"/>
      <c r="EH28336"/>
      <c r="EI28336"/>
      <c r="EJ28336"/>
      <c r="EK28336"/>
    </row>
    <row r="28337" spans="1:141" s="116" customFormat="1">
      <c r="A28337" s="136"/>
      <c r="CM28337" s="111"/>
      <c r="CQ28337" s="111"/>
      <c r="EF28337"/>
      <c r="EG28337"/>
      <c r="EH28337"/>
      <c r="EI28337"/>
      <c r="EJ28337"/>
      <c r="EK28337"/>
    </row>
    <row r="28338" spans="1:141" s="116" customFormat="1">
      <c r="A28338" s="136"/>
      <c r="CM28338" s="111"/>
      <c r="CQ28338" s="111"/>
      <c r="EF28338"/>
      <c r="EG28338"/>
      <c r="EH28338"/>
      <c r="EI28338"/>
      <c r="EJ28338"/>
      <c r="EK28338"/>
    </row>
    <row r="28339" spans="1:141" s="116" customFormat="1">
      <c r="A28339" s="136"/>
      <c r="CM28339" s="111"/>
      <c r="CQ28339" s="111"/>
      <c r="EF28339"/>
      <c r="EG28339"/>
      <c r="EH28339"/>
      <c r="EI28339"/>
      <c r="EJ28339"/>
      <c r="EK28339"/>
    </row>
    <row r="28340" spans="1:141" s="116" customFormat="1">
      <c r="A28340" s="136"/>
      <c r="CM28340" s="111"/>
      <c r="CQ28340" s="111"/>
      <c r="EF28340"/>
      <c r="EG28340"/>
      <c r="EH28340"/>
      <c r="EI28340"/>
      <c r="EJ28340"/>
      <c r="EK28340"/>
    </row>
    <row r="28341" spans="1:141" s="116" customFormat="1">
      <c r="A28341" s="136"/>
      <c r="CM28341" s="111"/>
      <c r="CQ28341" s="111"/>
      <c r="EF28341"/>
      <c r="EG28341"/>
      <c r="EH28341"/>
      <c r="EI28341"/>
      <c r="EJ28341"/>
      <c r="EK28341"/>
    </row>
    <row r="28342" spans="1:141" s="116" customFormat="1">
      <c r="A28342" s="136"/>
      <c r="CM28342" s="111"/>
      <c r="CQ28342" s="111"/>
      <c r="EF28342"/>
      <c r="EG28342"/>
      <c r="EH28342"/>
      <c r="EI28342"/>
      <c r="EJ28342"/>
      <c r="EK28342"/>
    </row>
    <row r="28343" spans="1:141" s="116" customFormat="1">
      <c r="A28343" s="136"/>
      <c r="CM28343" s="111"/>
      <c r="CQ28343" s="111"/>
      <c r="EF28343"/>
      <c r="EG28343"/>
      <c r="EH28343"/>
      <c r="EI28343"/>
      <c r="EJ28343"/>
      <c r="EK28343"/>
    </row>
    <row r="28344" spans="1:141" s="116" customFormat="1">
      <c r="A28344" s="136"/>
      <c r="CM28344" s="111"/>
      <c r="CQ28344" s="111"/>
      <c r="EF28344"/>
      <c r="EG28344"/>
      <c r="EH28344"/>
      <c r="EI28344"/>
      <c r="EJ28344"/>
      <c r="EK28344"/>
    </row>
    <row r="28345" spans="1:141" s="116" customFormat="1">
      <c r="A28345" s="136"/>
      <c r="CM28345" s="111"/>
      <c r="CQ28345" s="111"/>
      <c r="EF28345"/>
      <c r="EG28345"/>
      <c r="EH28345"/>
      <c r="EI28345"/>
      <c r="EJ28345"/>
      <c r="EK28345"/>
    </row>
    <row r="28346" spans="1:141" s="116" customFormat="1">
      <c r="A28346" s="136"/>
      <c r="CM28346" s="111"/>
      <c r="CQ28346" s="111"/>
      <c r="EF28346"/>
      <c r="EG28346"/>
      <c r="EH28346"/>
      <c r="EI28346"/>
      <c r="EJ28346"/>
      <c r="EK28346"/>
    </row>
    <row r="28347" spans="1:141" s="116" customFormat="1">
      <c r="A28347" s="136"/>
      <c r="CM28347" s="111"/>
      <c r="CQ28347" s="111"/>
      <c r="EF28347"/>
      <c r="EG28347"/>
      <c r="EH28347"/>
      <c r="EI28347"/>
      <c r="EJ28347"/>
      <c r="EK28347"/>
    </row>
    <row r="28348" spans="1:141" s="116" customFormat="1">
      <c r="A28348" s="136"/>
      <c r="CM28348" s="111"/>
      <c r="CQ28348" s="111"/>
      <c r="EF28348"/>
      <c r="EG28348"/>
      <c r="EH28348"/>
      <c r="EI28348"/>
      <c r="EJ28348"/>
      <c r="EK28348"/>
    </row>
    <row r="28349" spans="1:141" s="116" customFormat="1">
      <c r="A28349" s="136"/>
      <c r="CM28349" s="111"/>
      <c r="CQ28349" s="111"/>
      <c r="EF28349"/>
      <c r="EG28349"/>
      <c r="EH28349"/>
      <c r="EI28349"/>
      <c r="EJ28349"/>
      <c r="EK28349"/>
    </row>
    <row r="28350" spans="1:141" s="116" customFormat="1">
      <c r="A28350" s="136"/>
      <c r="CM28350" s="111"/>
      <c r="CQ28350" s="111"/>
      <c r="EF28350"/>
      <c r="EG28350"/>
      <c r="EH28350"/>
      <c r="EI28350"/>
      <c r="EJ28350"/>
      <c r="EK28350"/>
    </row>
    <row r="28351" spans="1:141" s="116" customFormat="1">
      <c r="A28351" s="136"/>
      <c r="CM28351" s="111"/>
      <c r="CQ28351" s="111"/>
      <c r="EF28351"/>
      <c r="EG28351"/>
      <c r="EH28351"/>
      <c r="EI28351"/>
      <c r="EJ28351"/>
      <c r="EK28351"/>
    </row>
    <row r="28352" spans="1:141" s="116" customFormat="1">
      <c r="A28352" s="136"/>
      <c r="CM28352" s="111"/>
      <c r="CQ28352" s="111"/>
      <c r="EF28352"/>
      <c r="EG28352"/>
      <c r="EH28352"/>
      <c r="EI28352"/>
      <c r="EJ28352"/>
      <c r="EK28352"/>
    </row>
    <row r="28353" spans="1:141" s="116" customFormat="1">
      <c r="A28353" s="136"/>
      <c r="CM28353" s="111"/>
      <c r="CQ28353" s="111"/>
      <c r="EF28353"/>
      <c r="EG28353"/>
      <c r="EH28353"/>
      <c r="EI28353"/>
      <c r="EJ28353"/>
      <c r="EK28353"/>
    </row>
    <row r="28354" spans="1:141" s="116" customFormat="1">
      <c r="A28354" s="136"/>
      <c r="CM28354" s="111"/>
      <c r="CQ28354" s="111"/>
      <c r="EF28354"/>
      <c r="EG28354"/>
      <c r="EH28354"/>
      <c r="EI28354"/>
      <c r="EJ28354"/>
      <c r="EK28354"/>
    </row>
    <row r="28355" spans="1:141" s="116" customFormat="1">
      <c r="A28355" s="136"/>
      <c r="CM28355" s="111"/>
      <c r="CQ28355" s="111"/>
      <c r="EF28355"/>
      <c r="EG28355"/>
      <c r="EH28355"/>
      <c r="EI28355"/>
      <c r="EJ28355"/>
      <c r="EK28355"/>
    </row>
    <row r="28356" spans="1:141" s="116" customFormat="1">
      <c r="A28356" s="136"/>
      <c r="CM28356" s="111"/>
      <c r="CQ28356" s="111"/>
      <c r="EF28356"/>
      <c r="EG28356"/>
      <c r="EH28356"/>
      <c r="EI28356"/>
      <c r="EJ28356"/>
      <c r="EK28356"/>
    </row>
    <row r="28357" spans="1:141" s="116" customFormat="1">
      <c r="A28357" s="136"/>
      <c r="CM28357" s="111"/>
      <c r="CQ28357" s="111"/>
      <c r="EF28357"/>
      <c r="EG28357"/>
      <c r="EH28357"/>
      <c r="EI28357"/>
      <c r="EJ28357"/>
      <c r="EK28357"/>
    </row>
    <row r="28358" spans="1:141" s="116" customFormat="1">
      <c r="A28358" s="136"/>
      <c r="CM28358" s="111"/>
      <c r="CQ28358" s="111"/>
      <c r="EF28358"/>
      <c r="EG28358"/>
      <c r="EH28358"/>
      <c r="EI28358"/>
      <c r="EJ28358"/>
      <c r="EK28358"/>
    </row>
    <row r="28359" spans="1:141" s="116" customFormat="1">
      <c r="A28359" s="136"/>
      <c r="CM28359" s="111"/>
      <c r="CQ28359" s="111"/>
      <c r="EF28359"/>
      <c r="EG28359"/>
      <c r="EH28359"/>
      <c r="EI28359"/>
      <c r="EJ28359"/>
      <c r="EK28359"/>
    </row>
    <row r="28360" spans="1:141" s="116" customFormat="1">
      <c r="A28360" s="136"/>
      <c r="CM28360" s="111"/>
      <c r="CQ28360" s="111"/>
      <c r="EF28360"/>
      <c r="EG28360"/>
      <c r="EH28360"/>
      <c r="EI28360"/>
      <c r="EJ28360"/>
      <c r="EK28360"/>
    </row>
    <row r="28361" spans="1:141" s="116" customFormat="1">
      <c r="A28361" s="136"/>
      <c r="CM28361" s="111"/>
      <c r="CQ28361" s="111"/>
      <c r="EF28361"/>
      <c r="EG28361"/>
      <c r="EH28361"/>
      <c r="EI28361"/>
      <c r="EJ28361"/>
      <c r="EK28361"/>
    </row>
    <row r="28362" spans="1:141" s="116" customFormat="1">
      <c r="A28362" s="136"/>
      <c r="CM28362" s="111"/>
      <c r="CQ28362" s="111"/>
      <c r="EF28362"/>
      <c r="EG28362"/>
      <c r="EH28362"/>
      <c r="EI28362"/>
      <c r="EJ28362"/>
      <c r="EK28362"/>
    </row>
    <row r="28363" spans="1:141" s="116" customFormat="1">
      <c r="A28363" s="136"/>
      <c r="CM28363" s="111"/>
      <c r="CQ28363" s="111"/>
      <c r="EF28363"/>
      <c r="EG28363"/>
      <c r="EH28363"/>
      <c r="EI28363"/>
      <c r="EJ28363"/>
      <c r="EK28363"/>
    </row>
    <row r="28364" spans="1:141" s="116" customFormat="1">
      <c r="A28364" s="136"/>
      <c r="CM28364" s="111"/>
      <c r="CQ28364" s="111"/>
      <c r="EF28364"/>
      <c r="EG28364"/>
      <c r="EH28364"/>
      <c r="EI28364"/>
      <c r="EJ28364"/>
      <c r="EK28364"/>
    </row>
    <row r="28365" spans="1:141" s="116" customFormat="1">
      <c r="A28365" s="136"/>
      <c r="CM28365" s="111"/>
      <c r="CQ28365" s="111"/>
      <c r="EF28365"/>
      <c r="EG28365"/>
      <c r="EH28365"/>
      <c r="EI28365"/>
      <c r="EJ28365"/>
      <c r="EK28365"/>
    </row>
    <row r="28366" spans="1:141" s="116" customFormat="1">
      <c r="A28366" s="136"/>
      <c r="CM28366" s="111"/>
      <c r="CQ28366" s="111"/>
      <c r="EF28366"/>
      <c r="EG28366"/>
      <c r="EH28366"/>
      <c r="EI28366"/>
      <c r="EJ28366"/>
      <c r="EK28366"/>
    </row>
    <row r="28367" spans="1:141" s="116" customFormat="1">
      <c r="A28367" s="136"/>
      <c r="CM28367" s="111"/>
      <c r="CQ28367" s="111"/>
      <c r="EF28367"/>
      <c r="EG28367"/>
      <c r="EH28367"/>
      <c r="EI28367"/>
      <c r="EJ28367"/>
      <c r="EK28367"/>
    </row>
    <row r="28368" spans="1:141" s="116" customFormat="1">
      <c r="A28368" s="136"/>
      <c r="CM28368" s="111"/>
      <c r="CQ28368" s="111"/>
      <c r="EF28368"/>
      <c r="EG28368"/>
      <c r="EH28368"/>
      <c r="EI28368"/>
      <c r="EJ28368"/>
      <c r="EK28368"/>
    </row>
    <row r="28369" spans="1:141" s="116" customFormat="1">
      <c r="A28369" s="136"/>
      <c r="CM28369" s="111"/>
      <c r="CQ28369" s="111"/>
      <c r="EF28369"/>
      <c r="EG28369"/>
      <c r="EH28369"/>
      <c r="EI28369"/>
      <c r="EJ28369"/>
      <c r="EK28369"/>
    </row>
    <row r="28370" spans="1:141" s="116" customFormat="1">
      <c r="A28370" s="136"/>
      <c r="CM28370" s="111"/>
      <c r="CQ28370" s="111"/>
      <c r="EF28370"/>
      <c r="EG28370"/>
      <c r="EH28370"/>
      <c r="EI28370"/>
      <c r="EJ28370"/>
      <c r="EK28370"/>
    </row>
    <row r="28371" spans="1:141" s="116" customFormat="1">
      <c r="A28371" s="136"/>
      <c r="CM28371" s="111"/>
      <c r="CQ28371" s="111"/>
      <c r="EF28371"/>
      <c r="EG28371"/>
      <c r="EH28371"/>
      <c r="EI28371"/>
      <c r="EJ28371"/>
      <c r="EK28371"/>
    </row>
    <row r="28372" spans="1:141" s="116" customFormat="1">
      <c r="A28372" s="136"/>
      <c r="CM28372" s="111"/>
      <c r="CQ28372" s="111"/>
      <c r="EF28372"/>
      <c r="EG28372"/>
      <c r="EH28372"/>
      <c r="EI28372"/>
      <c r="EJ28372"/>
      <c r="EK28372"/>
    </row>
    <row r="28373" spans="1:141" s="116" customFormat="1">
      <c r="A28373" s="136"/>
      <c r="CM28373" s="111"/>
      <c r="CQ28373" s="111"/>
      <c r="EF28373"/>
      <c r="EG28373"/>
      <c r="EH28373"/>
      <c r="EI28373"/>
      <c r="EJ28373"/>
      <c r="EK28373"/>
    </row>
    <row r="28374" spans="1:141" s="116" customFormat="1">
      <c r="A28374" s="136"/>
      <c r="CM28374" s="111"/>
      <c r="CQ28374" s="111"/>
      <c r="EF28374"/>
      <c r="EG28374"/>
      <c r="EH28374"/>
      <c r="EI28374"/>
      <c r="EJ28374"/>
      <c r="EK28374"/>
    </row>
    <row r="28375" spans="1:141" s="116" customFormat="1">
      <c r="A28375" s="136"/>
      <c r="CM28375" s="111"/>
      <c r="CQ28375" s="111"/>
      <c r="EF28375"/>
      <c r="EG28375"/>
      <c r="EH28375"/>
      <c r="EI28375"/>
      <c r="EJ28375"/>
      <c r="EK28375"/>
    </row>
    <row r="28376" spans="1:141" s="116" customFormat="1">
      <c r="A28376" s="136"/>
      <c r="CM28376" s="111"/>
      <c r="CQ28376" s="111"/>
      <c r="EF28376"/>
      <c r="EG28376"/>
      <c r="EH28376"/>
      <c r="EI28376"/>
      <c r="EJ28376"/>
      <c r="EK28376"/>
    </row>
    <row r="28377" spans="1:141" s="116" customFormat="1">
      <c r="A28377" s="136"/>
      <c r="CM28377" s="111"/>
      <c r="CQ28377" s="111"/>
      <c r="EF28377"/>
      <c r="EG28377"/>
      <c r="EH28377"/>
      <c r="EI28377"/>
      <c r="EJ28377"/>
      <c r="EK28377"/>
    </row>
    <row r="28378" spans="1:141" s="116" customFormat="1">
      <c r="A28378" s="136"/>
      <c r="CM28378" s="111"/>
      <c r="CQ28378" s="111"/>
      <c r="EF28378"/>
      <c r="EG28378"/>
      <c r="EH28378"/>
      <c r="EI28378"/>
      <c r="EJ28378"/>
      <c r="EK28378"/>
    </row>
    <row r="28379" spans="1:141" s="116" customFormat="1">
      <c r="A28379" s="136"/>
      <c r="CM28379" s="111"/>
      <c r="CQ28379" s="111"/>
      <c r="EF28379"/>
      <c r="EG28379"/>
      <c r="EH28379"/>
      <c r="EI28379"/>
      <c r="EJ28379"/>
      <c r="EK28379"/>
    </row>
    <row r="28380" spans="1:141" s="116" customFormat="1">
      <c r="A28380" s="136"/>
      <c r="CM28380" s="111"/>
      <c r="CQ28380" s="111"/>
      <c r="EF28380"/>
      <c r="EG28380"/>
      <c r="EH28380"/>
      <c r="EI28380"/>
      <c r="EJ28380"/>
      <c r="EK28380"/>
    </row>
    <row r="28381" spans="1:141" s="116" customFormat="1">
      <c r="A28381" s="136"/>
      <c r="CM28381" s="111"/>
      <c r="CQ28381" s="111"/>
      <c r="EF28381"/>
      <c r="EG28381"/>
      <c r="EH28381"/>
      <c r="EI28381"/>
      <c r="EJ28381"/>
      <c r="EK28381"/>
    </row>
    <row r="28382" spans="1:141" s="116" customFormat="1">
      <c r="A28382" s="136"/>
      <c r="CM28382" s="111"/>
      <c r="CQ28382" s="111"/>
      <c r="EF28382"/>
      <c r="EG28382"/>
      <c r="EH28382"/>
      <c r="EI28382"/>
      <c r="EJ28382"/>
      <c r="EK28382"/>
    </row>
    <row r="28383" spans="1:141" s="116" customFormat="1">
      <c r="A28383" s="136"/>
      <c r="CM28383" s="111"/>
      <c r="CQ28383" s="111"/>
      <c r="EF28383"/>
      <c r="EG28383"/>
      <c r="EH28383"/>
      <c r="EI28383"/>
      <c r="EJ28383"/>
      <c r="EK28383"/>
    </row>
    <row r="28384" spans="1:141" s="116" customFormat="1">
      <c r="A28384" s="136"/>
      <c r="CM28384" s="111"/>
      <c r="CQ28384" s="111"/>
      <c r="EF28384"/>
      <c r="EG28384"/>
      <c r="EH28384"/>
      <c r="EI28384"/>
      <c r="EJ28384"/>
      <c r="EK28384"/>
    </row>
    <row r="28385" spans="1:141" s="116" customFormat="1">
      <c r="A28385" s="136"/>
      <c r="CM28385" s="111"/>
      <c r="CQ28385" s="111"/>
      <c r="EF28385"/>
      <c r="EG28385"/>
      <c r="EH28385"/>
      <c r="EI28385"/>
      <c r="EJ28385"/>
      <c r="EK28385"/>
    </row>
    <row r="28386" spans="1:141" s="116" customFormat="1">
      <c r="A28386" s="136"/>
      <c r="CM28386" s="111"/>
      <c r="CQ28386" s="111"/>
      <c r="EF28386"/>
      <c r="EG28386"/>
      <c r="EH28386"/>
      <c r="EI28386"/>
      <c r="EJ28386"/>
      <c r="EK28386"/>
    </row>
    <row r="28387" spans="1:141" s="116" customFormat="1">
      <c r="A28387" s="136"/>
      <c r="CM28387" s="111"/>
      <c r="CQ28387" s="111"/>
      <c r="EF28387"/>
      <c r="EG28387"/>
      <c r="EH28387"/>
      <c r="EI28387"/>
      <c r="EJ28387"/>
      <c r="EK28387"/>
    </row>
    <row r="28388" spans="1:141" s="116" customFormat="1">
      <c r="A28388" s="136"/>
      <c r="CM28388" s="111"/>
      <c r="CQ28388" s="111"/>
      <c r="EF28388"/>
      <c r="EG28388"/>
      <c r="EH28388"/>
      <c r="EI28388"/>
      <c r="EJ28388"/>
      <c r="EK28388"/>
    </row>
    <row r="28389" spans="1:141" s="116" customFormat="1">
      <c r="A28389" s="136"/>
      <c r="CM28389" s="111"/>
      <c r="CQ28389" s="111"/>
      <c r="EF28389"/>
      <c r="EG28389"/>
      <c r="EH28389"/>
      <c r="EI28389"/>
      <c r="EJ28389"/>
      <c r="EK28389"/>
    </row>
    <row r="28390" spans="1:141" s="116" customFormat="1">
      <c r="A28390" s="136"/>
      <c r="CM28390" s="111"/>
      <c r="CQ28390" s="111"/>
      <c r="EF28390"/>
      <c r="EG28390"/>
      <c r="EH28390"/>
      <c r="EI28390"/>
      <c r="EJ28390"/>
      <c r="EK28390"/>
    </row>
    <row r="28391" spans="1:141" s="116" customFormat="1">
      <c r="A28391" s="136"/>
      <c r="CM28391" s="111"/>
      <c r="CQ28391" s="111"/>
      <c r="EF28391"/>
      <c r="EG28391"/>
      <c r="EH28391"/>
      <c r="EI28391"/>
      <c r="EJ28391"/>
      <c r="EK28391"/>
    </row>
    <row r="28392" spans="1:141" s="116" customFormat="1">
      <c r="A28392" s="136"/>
      <c r="CM28392" s="111"/>
      <c r="CQ28392" s="111"/>
      <c r="EF28392"/>
      <c r="EG28392"/>
      <c r="EH28392"/>
      <c r="EI28392"/>
      <c r="EJ28392"/>
      <c r="EK28392"/>
    </row>
    <row r="28393" spans="1:141" s="116" customFormat="1">
      <c r="A28393" s="136"/>
      <c r="CM28393" s="111"/>
      <c r="CQ28393" s="111"/>
      <c r="EF28393"/>
      <c r="EG28393"/>
      <c r="EH28393"/>
      <c r="EI28393"/>
      <c r="EJ28393"/>
      <c r="EK28393"/>
    </row>
    <row r="28394" spans="1:141" s="116" customFormat="1">
      <c r="A28394" s="136"/>
      <c r="CM28394" s="111"/>
      <c r="CQ28394" s="111"/>
      <c r="EF28394"/>
      <c r="EG28394"/>
      <c r="EH28394"/>
      <c r="EI28394"/>
      <c r="EJ28394"/>
      <c r="EK28394"/>
    </row>
    <row r="28395" spans="1:141" s="116" customFormat="1">
      <c r="A28395" s="136"/>
      <c r="CM28395" s="111"/>
      <c r="CQ28395" s="111"/>
      <c r="EF28395"/>
      <c r="EG28395"/>
      <c r="EH28395"/>
      <c r="EI28395"/>
      <c r="EJ28395"/>
      <c r="EK28395"/>
    </row>
    <row r="28396" spans="1:141" s="116" customFormat="1">
      <c r="A28396" s="136"/>
      <c r="CM28396" s="111"/>
      <c r="CQ28396" s="111"/>
      <c r="EF28396"/>
      <c r="EG28396"/>
      <c r="EH28396"/>
      <c r="EI28396"/>
      <c r="EJ28396"/>
      <c r="EK28396"/>
    </row>
    <row r="28397" spans="1:141" s="116" customFormat="1">
      <c r="A28397" s="136"/>
      <c r="CM28397" s="111"/>
      <c r="CQ28397" s="111"/>
      <c r="EF28397"/>
      <c r="EG28397"/>
      <c r="EH28397"/>
      <c r="EI28397"/>
      <c r="EJ28397"/>
      <c r="EK28397"/>
    </row>
    <row r="28398" spans="1:141" s="116" customFormat="1">
      <c r="A28398" s="136"/>
      <c r="CM28398" s="111"/>
      <c r="CQ28398" s="111"/>
      <c r="EF28398"/>
      <c r="EG28398"/>
      <c r="EH28398"/>
      <c r="EI28398"/>
      <c r="EJ28398"/>
      <c r="EK28398"/>
    </row>
    <row r="28399" spans="1:141" s="116" customFormat="1">
      <c r="A28399" s="136"/>
      <c r="CM28399" s="111"/>
      <c r="CQ28399" s="111"/>
      <c r="EF28399"/>
      <c r="EG28399"/>
      <c r="EH28399"/>
      <c r="EI28399"/>
      <c r="EJ28399"/>
      <c r="EK28399"/>
    </row>
    <row r="28400" spans="1:141" s="116" customFormat="1">
      <c r="A28400" s="136"/>
      <c r="CM28400" s="111"/>
      <c r="CQ28400" s="111"/>
      <c r="EF28400"/>
      <c r="EG28400"/>
      <c r="EH28400"/>
      <c r="EI28400"/>
      <c r="EJ28400"/>
      <c r="EK28400"/>
    </row>
    <row r="28401" spans="1:141" s="116" customFormat="1">
      <c r="A28401" s="136"/>
      <c r="CM28401" s="111"/>
      <c r="CQ28401" s="111"/>
      <c r="EF28401"/>
      <c r="EG28401"/>
      <c r="EH28401"/>
      <c r="EI28401"/>
      <c r="EJ28401"/>
      <c r="EK28401"/>
    </row>
    <row r="28402" spans="1:141" s="116" customFormat="1">
      <c r="A28402" s="136"/>
      <c r="CM28402" s="111"/>
      <c r="CQ28402" s="111"/>
      <c r="EF28402"/>
      <c r="EG28402"/>
      <c r="EH28402"/>
      <c r="EI28402"/>
      <c r="EJ28402"/>
      <c r="EK28402"/>
    </row>
    <row r="28403" spans="1:141" s="116" customFormat="1">
      <c r="A28403" s="136"/>
      <c r="CM28403" s="111"/>
      <c r="CQ28403" s="111"/>
      <c r="EF28403"/>
      <c r="EG28403"/>
      <c r="EH28403"/>
      <c r="EI28403"/>
      <c r="EJ28403"/>
      <c r="EK28403"/>
    </row>
    <row r="28404" spans="1:141" s="116" customFormat="1">
      <c r="A28404" s="136"/>
      <c r="CM28404" s="111"/>
      <c r="CQ28404" s="111"/>
      <c r="EF28404"/>
      <c r="EG28404"/>
      <c r="EH28404"/>
      <c r="EI28404"/>
      <c r="EJ28404"/>
      <c r="EK28404"/>
    </row>
    <row r="28405" spans="1:141" s="116" customFormat="1">
      <c r="A28405" s="136"/>
      <c r="CM28405" s="111"/>
      <c r="CQ28405" s="111"/>
      <c r="EF28405"/>
      <c r="EG28405"/>
      <c r="EH28405"/>
      <c r="EI28405"/>
      <c r="EJ28405"/>
      <c r="EK28405"/>
    </row>
    <row r="28406" spans="1:141" s="116" customFormat="1">
      <c r="A28406" s="136"/>
      <c r="CM28406" s="111"/>
      <c r="CQ28406" s="111"/>
      <c r="EF28406"/>
      <c r="EG28406"/>
      <c r="EH28406"/>
      <c r="EI28406"/>
      <c r="EJ28406"/>
      <c r="EK28406"/>
    </row>
    <row r="28407" spans="1:141" s="116" customFormat="1">
      <c r="A28407" s="136"/>
      <c r="CM28407" s="111"/>
      <c r="CQ28407" s="111"/>
      <c r="EF28407"/>
      <c r="EG28407"/>
      <c r="EH28407"/>
      <c r="EI28407"/>
      <c r="EJ28407"/>
      <c r="EK28407"/>
    </row>
    <row r="28408" spans="1:141" s="116" customFormat="1">
      <c r="A28408" s="136"/>
      <c r="CM28408" s="111"/>
      <c r="CQ28408" s="111"/>
      <c r="EF28408"/>
      <c r="EG28408"/>
      <c r="EH28408"/>
      <c r="EI28408"/>
      <c r="EJ28408"/>
      <c r="EK28408"/>
    </row>
    <row r="28409" spans="1:141" s="116" customFormat="1">
      <c r="A28409" s="136"/>
      <c r="CM28409" s="111"/>
      <c r="CQ28409" s="111"/>
      <c r="EF28409"/>
      <c r="EG28409"/>
      <c r="EH28409"/>
      <c r="EI28409"/>
      <c r="EJ28409"/>
      <c r="EK28409"/>
    </row>
    <row r="28410" spans="1:141" s="116" customFormat="1">
      <c r="A28410" s="136"/>
      <c r="CM28410" s="111"/>
      <c r="CQ28410" s="111"/>
      <c r="EF28410"/>
      <c r="EG28410"/>
      <c r="EH28410"/>
      <c r="EI28410"/>
      <c r="EJ28410"/>
      <c r="EK28410"/>
    </row>
    <row r="28411" spans="1:141" s="116" customFormat="1">
      <c r="A28411" s="136"/>
      <c r="CM28411" s="111"/>
      <c r="CQ28411" s="111"/>
      <c r="EF28411"/>
      <c r="EG28411"/>
      <c r="EH28411"/>
      <c r="EI28411"/>
      <c r="EJ28411"/>
      <c r="EK28411"/>
    </row>
    <row r="28412" spans="1:141" s="116" customFormat="1">
      <c r="A28412" s="136"/>
      <c r="CM28412" s="111"/>
      <c r="CQ28412" s="111"/>
      <c r="EF28412"/>
      <c r="EG28412"/>
      <c r="EH28412"/>
      <c r="EI28412"/>
      <c r="EJ28412"/>
      <c r="EK28412"/>
    </row>
    <row r="28413" spans="1:141" s="116" customFormat="1">
      <c r="A28413" s="136"/>
      <c r="CM28413" s="111"/>
      <c r="CQ28413" s="111"/>
      <c r="EF28413"/>
      <c r="EG28413"/>
      <c r="EH28413"/>
      <c r="EI28413"/>
      <c r="EJ28413"/>
      <c r="EK28413"/>
    </row>
    <row r="28414" spans="1:141" s="116" customFormat="1">
      <c r="A28414" s="136"/>
      <c r="CM28414" s="111"/>
      <c r="CQ28414" s="111"/>
      <c r="EF28414"/>
      <c r="EG28414"/>
      <c r="EH28414"/>
      <c r="EI28414"/>
      <c r="EJ28414"/>
      <c r="EK28414"/>
    </row>
    <row r="28415" spans="1:141" s="116" customFormat="1">
      <c r="A28415" s="136"/>
      <c r="CM28415" s="111"/>
      <c r="CQ28415" s="111"/>
      <c r="EF28415"/>
      <c r="EG28415"/>
      <c r="EH28415"/>
      <c r="EI28415"/>
      <c r="EJ28415"/>
      <c r="EK28415"/>
    </row>
    <row r="28416" spans="1:141" s="116" customFormat="1">
      <c r="A28416" s="136"/>
      <c r="CM28416" s="111"/>
      <c r="CQ28416" s="111"/>
      <c r="EF28416"/>
      <c r="EG28416"/>
      <c r="EH28416"/>
      <c r="EI28416"/>
      <c r="EJ28416"/>
      <c r="EK28416"/>
    </row>
    <row r="28417" spans="1:141" s="116" customFormat="1">
      <c r="A28417" s="136"/>
      <c r="CM28417" s="111"/>
      <c r="CQ28417" s="111"/>
      <c r="EF28417"/>
      <c r="EG28417"/>
      <c r="EH28417"/>
      <c r="EI28417"/>
      <c r="EJ28417"/>
      <c r="EK28417"/>
    </row>
    <row r="28418" spans="1:141" s="116" customFormat="1">
      <c r="A28418" s="136"/>
      <c r="CM28418" s="111"/>
      <c r="CQ28418" s="111"/>
      <c r="EF28418"/>
      <c r="EG28418"/>
      <c r="EH28418"/>
      <c r="EI28418"/>
      <c r="EJ28418"/>
      <c r="EK28418"/>
    </row>
    <row r="28419" spans="1:141" s="116" customFormat="1">
      <c r="A28419" s="136"/>
      <c r="CM28419" s="111"/>
      <c r="CQ28419" s="111"/>
      <c r="EF28419"/>
      <c r="EG28419"/>
      <c r="EH28419"/>
      <c r="EI28419"/>
      <c r="EJ28419"/>
      <c r="EK28419"/>
    </row>
    <row r="28420" spans="1:141" s="116" customFormat="1">
      <c r="A28420" s="136"/>
      <c r="CM28420" s="111"/>
      <c r="CQ28420" s="111"/>
      <c r="EF28420"/>
      <c r="EG28420"/>
      <c r="EH28420"/>
      <c r="EI28420"/>
      <c r="EJ28420"/>
      <c r="EK28420"/>
    </row>
    <row r="28421" spans="1:141" s="116" customFormat="1">
      <c r="A28421" s="136"/>
      <c r="CM28421" s="111"/>
      <c r="CQ28421" s="111"/>
      <c r="EF28421"/>
      <c r="EG28421"/>
      <c r="EH28421"/>
      <c r="EI28421"/>
      <c r="EJ28421"/>
      <c r="EK28421"/>
    </row>
    <row r="28422" spans="1:141" s="116" customFormat="1">
      <c r="A28422" s="136"/>
      <c r="CM28422" s="111"/>
      <c r="CQ28422" s="111"/>
      <c r="EF28422"/>
      <c r="EG28422"/>
      <c r="EH28422"/>
      <c r="EI28422"/>
      <c r="EJ28422"/>
      <c r="EK28422"/>
    </row>
    <row r="28423" spans="1:141" s="116" customFormat="1">
      <c r="A28423" s="136"/>
      <c r="CM28423" s="111"/>
      <c r="CQ28423" s="111"/>
      <c r="EF28423"/>
      <c r="EG28423"/>
      <c r="EH28423"/>
      <c r="EI28423"/>
      <c r="EJ28423"/>
      <c r="EK28423"/>
    </row>
    <row r="28424" spans="1:141" s="116" customFormat="1">
      <c r="A28424" s="136"/>
      <c r="CM28424" s="111"/>
      <c r="CQ28424" s="111"/>
      <c r="EF28424"/>
      <c r="EG28424"/>
      <c r="EH28424"/>
      <c r="EI28424"/>
      <c r="EJ28424"/>
      <c r="EK28424"/>
    </row>
    <row r="28425" spans="1:141" s="116" customFormat="1">
      <c r="A28425" s="136"/>
      <c r="CM28425" s="111"/>
      <c r="CQ28425" s="111"/>
      <c r="EF28425"/>
      <c r="EG28425"/>
      <c r="EH28425"/>
      <c r="EI28425"/>
      <c r="EJ28425"/>
      <c r="EK28425"/>
    </row>
    <row r="28426" spans="1:141" s="116" customFormat="1">
      <c r="A28426" s="136"/>
      <c r="CM28426" s="111"/>
      <c r="CQ28426" s="111"/>
      <c r="EF28426"/>
      <c r="EG28426"/>
      <c r="EH28426"/>
      <c r="EI28426"/>
      <c r="EJ28426"/>
      <c r="EK28426"/>
    </row>
    <row r="28427" spans="1:141" s="116" customFormat="1">
      <c r="A28427" s="136"/>
      <c r="CM28427" s="111"/>
      <c r="CQ28427" s="111"/>
      <c r="EF28427"/>
      <c r="EG28427"/>
      <c r="EH28427"/>
      <c r="EI28427"/>
      <c r="EJ28427"/>
      <c r="EK28427"/>
    </row>
    <row r="28428" spans="1:141" s="116" customFormat="1">
      <c r="A28428" s="136"/>
      <c r="CM28428" s="111"/>
      <c r="CQ28428" s="111"/>
      <c r="EF28428"/>
      <c r="EG28428"/>
      <c r="EH28428"/>
      <c r="EI28428"/>
      <c r="EJ28428"/>
      <c r="EK28428"/>
    </row>
    <row r="28429" spans="1:141" s="116" customFormat="1">
      <c r="A28429" s="136"/>
      <c r="CM28429" s="111"/>
      <c r="CQ28429" s="111"/>
      <c r="EF28429"/>
      <c r="EG28429"/>
      <c r="EH28429"/>
      <c r="EI28429"/>
      <c r="EJ28429"/>
      <c r="EK28429"/>
    </row>
    <row r="28430" spans="1:141" s="116" customFormat="1">
      <c r="A28430" s="136"/>
      <c r="CM28430" s="111"/>
      <c r="CQ28430" s="111"/>
      <c r="EF28430"/>
      <c r="EG28430"/>
      <c r="EH28430"/>
      <c r="EI28430"/>
      <c r="EJ28430"/>
      <c r="EK28430"/>
    </row>
    <row r="28431" spans="1:141" s="116" customFormat="1">
      <c r="A28431" s="136"/>
      <c r="CM28431" s="111"/>
      <c r="CQ28431" s="111"/>
      <c r="EF28431"/>
      <c r="EG28431"/>
      <c r="EH28431"/>
      <c r="EI28431"/>
      <c r="EJ28431"/>
      <c r="EK28431"/>
    </row>
    <row r="28432" spans="1:141" s="116" customFormat="1">
      <c r="A28432" s="136"/>
      <c r="CM28432" s="111"/>
      <c r="CQ28432" s="111"/>
      <c r="EF28432"/>
      <c r="EG28432"/>
      <c r="EH28432"/>
      <c r="EI28432"/>
      <c r="EJ28432"/>
      <c r="EK28432"/>
    </row>
    <row r="28433" spans="1:141" s="116" customFormat="1">
      <c r="A28433" s="136"/>
      <c r="CM28433" s="111"/>
      <c r="CQ28433" s="111"/>
      <c r="EF28433"/>
      <c r="EG28433"/>
      <c r="EH28433"/>
      <c r="EI28433"/>
      <c r="EJ28433"/>
      <c r="EK28433"/>
    </row>
    <row r="28434" spans="1:141" s="116" customFormat="1">
      <c r="A28434" s="136"/>
      <c r="CM28434" s="111"/>
      <c r="CQ28434" s="111"/>
      <c r="EF28434"/>
      <c r="EG28434"/>
      <c r="EH28434"/>
      <c r="EI28434"/>
      <c r="EJ28434"/>
      <c r="EK28434"/>
    </row>
    <row r="28435" spans="1:141" s="116" customFormat="1">
      <c r="A28435" s="136"/>
      <c r="CM28435" s="111"/>
      <c r="CQ28435" s="111"/>
      <c r="EF28435"/>
      <c r="EG28435"/>
      <c r="EH28435"/>
      <c r="EI28435"/>
      <c r="EJ28435"/>
      <c r="EK28435"/>
    </row>
    <row r="28436" spans="1:141" s="116" customFormat="1">
      <c r="A28436" s="136"/>
      <c r="CM28436" s="111"/>
      <c r="CQ28436" s="111"/>
      <c r="EF28436"/>
      <c r="EG28436"/>
      <c r="EH28436"/>
      <c r="EI28436"/>
      <c r="EJ28436"/>
      <c r="EK28436"/>
    </row>
    <row r="28437" spans="1:141" s="116" customFormat="1">
      <c r="A28437" s="136"/>
      <c r="CM28437" s="111"/>
      <c r="CQ28437" s="111"/>
      <c r="EF28437"/>
      <c r="EG28437"/>
      <c r="EH28437"/>
      <c r="EI28437"/>
      <c r="EJ28437"/>
      <c r="EK28437"/>
    </row>
    <row r="28438" spans="1:141" s="116" customFormat="1">
      <c r="A28438" s="136"/>
      <c r="CM28438" s="111"/>
      <c r="CQ28438" s="111"/>
      <c r="EF28438"/>
      <c r="EG28438"/>
      <c r="EH28438"/>
      <c r="EI28438"/>
      <c r="EJ28438"/>
      <c r="EK28438"/>
    </row>
    <row r="28439" spans="1:141" s="116" customFormat="1">
      <c r="A28439" s="136"/>
      <c r="CM28439" s="111"/>
      <c r="CQ28439" s="111"/>
      <c r="EF28439"/>
      <c r="EG28439"/>
      <c r="EH28439"/>
      <c r="EI28439"/>
      <c r="EJ28439"/>
      <c r="EK28439"/>
    </row>
    <row r="28440" spans="1:141" s="116" customFormat="1">
      <c r="A28440" s="136"/>
      <c r="CM28440" s="111"/>
      <c r="CQ28440" s="111"/>
      <c r="EF28440"/>
      <c r="EG28440"/>
      <c r="EH28440"/>
      <c r="EI28440"/>
      <c r="EJ28440"/>
      <c r="EK28440"/>
    </row>
    <row r="28441" spans="1:141" s="116" customFormat="1">
      <c r="A28441" s="136"/>
      <c r="CM28441" s="111"/>
      <c r="CQ28441" s="111"/>
      <c r="EF28441"/>
      <c r="EG28441"/>
      <c r="EH28441"/>
      <c r="EI28441"/>
      <c r="EJ28441"/>
      <c r="EK28441"/>
    </row>
    <row r="28442" spans="1:141" s="116" customFormat="1">
      <c r="A28442" s="136"/>
      <c r="CM28442" s="111"/>
      <c r="CQ28442" s="111"/>
      <c r="EF28442"/>
      <c r="EG28442"/>
      <c r="EH28442"/>
      <c r="EI28442"/>
      <c r="EJ28442"/>
      <c r="EK28442"/>
    </row>
    <row r="28443" spans="1:141" s="116" customFormat="1">
      <c r="A28443" s="136"/>
      <c r="CM28443" s="111"/>
      <c r="CQ28443" s="111"/>
      <c r="EF28443"/>
      <c r="EG28443"/>
      <c r="EH28443"/>
      <c r="EI28443"/>
      <c r="EJ28443"/>
      <c r="EK28443"/>
    </row>
    <row r="28444" spans="1:141" s="116" customFormat="1">
      <c r="A28444" s="136"/>
      <c r="CM28444" s="111"/>
      <c r="CQ28444" s="111"/>
      <c r="EF28444"/>
      <c r="EG28444"/>
      <c r="EH28444"/>
      <c r="EI28444"/>
      <c r="EJ28444"/>
      <c r="EK28444"/>
    </row>
    <row r="28445" spans="1:141" s="116" customFormat="1">
      <c r="A28445" s="136"/>
      <c r="CM28445" s="111"/>
      <c r="CQ28445" s="111"/>
      <c r="EF28445"/>
      <c r="EG28445"/>
      <c r="EH28445"/>
      <c r="EI28445"/>
      <c r="EJ28445"/>
      <c r="EK28445"/>
    </row>
    <row r="28446" spans="1:141" s="116" customFormat="1">
      <c r="A28446" s="136"/>
      <c r="CM28446" s="111"/>
      <c r="CQ28446" s="111"/>
      <c r="EF28446"/>
      <c r="EG28446"/>
      <c r="EH28446"/>
      <c r="EI28446"/>
      <c r="EJ28446"/>
      <c r="EK28446"/>
    </row>
    <row r="28447" spans="1:141" s="116" customFormat="1">
      <c r="A28447" s="136"/>
      <c r="CM28447" s="111"/>
      <c r="CQ28447" s="111"/>
      <c r="EF28447"/>
      <c r="EG28447"/>
      <c r="EH28447"/>
      <c r="EI28447"/>
      <c r="EJ28447"/>
      <c r="EK28447"/>
    </row>
    <row r="28448" spans="1:141" s="116" customFormat="1">
      <c r="A28448" s="136"/>
      <c r="CM28448" s="111"/>
      <c r="CQ28448" s="111"/>
      <c r="EF28448"/>
      <c r="EG28448"/>
      <c r="EH28448"/>
      <c r="EI28448"/>
      <c r="EJ28448"/>
      <c r="EK28448"/>
    </row>
    <row r="28449" spans="1:141" s="116" customFormat="1">
      <c r="A28449" s="136"/>
      <c r="CM28449" s="111"/>
      <c r="CQ28449" s="111"/>
      <c r="EF28449"/>
      <c r="EG28449"/>
      <c r="EH28449"/>
      <c r="EI28449"/>
      <c r="EJ28449"/>
      <c r="EK28449"/>
    </row>
    <row r="28450" spans="1:141" s="116" customFormat="1">
      <c r="A28450" s="136"/>
      <c r="CM28450" s="111"/>
      <c r="CQ28450" s="111"/>
      <c r="EF28450"/>
      <c r="EG28450"/>
      <c r="EH28450"/>
      <c r="EI28450"/>
      <c r="EJ28450"/>
      <c r="EK28450"/>
    </row>
    <row r="28451" spans="1:141" s="116" customFormat="1">
      <c r="A28451" s="136"/>
      <c r="CM28451" s="111"/>
      <c r="CQ28451" s="111"/>
      <c r="EF28451"/>
      <c r="EG28451"/>
      <c r="EH28451"/>
      <c r="EI28451"/>
      <c r="EJ28451"/>
      <c r="EK28451"/>
    </row>
    <row r="28452" spans="1:141" s="116" customFormat="1">
      <c r="A28452" s="136"/>
      <c r="CM28452" s="111"/>
      <c r="CQ28452" s="111"/>
      <c r="EF28452"/>
      <c r="EG28452"/>
      <c r="EH28452"/>
      <c r="EI28452"/>
      <c r="EJ28452"/>
      <c r="EK28452"/>
    </row>
    <row r="28453" spans="1:141" s="116" customFormat="1">
      <c r="A28453" s="136"/>
      <c r="CM28453" s="111"/>
      <c r="CQ28453" s="111"/>
      <c r="EF28453"/>
      <c r="EG28453"/>
      <c r="EH28453"/>
      <c r="EI28453"/>
      <c r="EJ28453"/>
      <c r="EK28453"/>
    </row>
    <row r="28454" spans="1:141" s="116" customFormat="1">
      <c r="A28454" s="136"/>
      <c r="CM28454" s="111"/>
      <c r="CQ28454" s="111"/>
      <c r="EF28454"/>
      <c r="EG28454"/>
      <c r="EH28454"/>
      <c r="EI28454"/>
      <c r="EJ28454"/>
      <c r="EK28454"/>
    </row>
    <row r="28455" spans="1:141" s="116" customFormat="1">
      <c r="A28455" s="136"/>
      <c r="CM28455" s="111"/>
      <c r="CQ28455" s="111"/>
      <c r="EF28455"/>
      <c r="EG28455"/>
      <c r="EH28455"/>
      <c r="EI28455"/>
      <c r="EJ28455"/>
      <c r="EK28455"/>
    </row>
    <row r="28456" spans="1:141" s="116" customFormat="1">
      <c r="A28456" s="136"/>
      <c r="CM28456" s="111"/>
      <c r="CQ28456" s="111"/>
      <c r="EF28456"/>
      <c r="EG28456"/>
      <c r="EH28456"/>
      <c r="EI28456"/>
      <c r="EJ28456"/>
      <c r="EK28456"/>
    </row>
    <row r="28457" spans="1:141" s="116" customFormat="1">
      <c r="A28457" s="136"/>
      <c r="CM28457" s="111"/>
      <c r="CQ28457" s="111"/>
      <c r="EF28457"/>
      <c r="EG28457"/>
      <c r="EH28457"/>
      <c r="EI28457"/>
      <c r="EJ28457"/>
      <c r="EK28457"/>
    </row>
    <row r="28458" spans="1:141" s="116" customFormat="1">
      <c r="A28458" s="136"/>
      <c r="CM28458" s="111"/>
      <c r="CQ28458" s="111"/>
      <c r="EF28458"/>
      <c r="EG28458"/>
      <c r="EH28458"/>
      <c r="EI28458"/>
      <c r="EJ28458"/>
      <c r="EK28458"/>
    </row>
    <row r="28459" spans="1:141" s="116" customFormat="1">
      <c r="A28459" s="136"/>
      <c r="CM28459" s="111"/>
      <c r="CQ28459" s="111"/>
      <c r="EF28459"/>
      <c r="EG28459"/>
      <c r="EH28459"/>
      <c r="EI28459"/>
      <c r="EJ28459"/>
      <c r="EK28459"/>
    </row>
    <row r="28460" spans="1:141" s="116" customFormat="1">
      <c r="A28460" s="136"/>
      <c r="CM28460" s="111"/>
      <c r="CQ28460" s="111"/>
      <c r="EF28460"/>
      <c r="EG28460"/>
      <c r="EH28460"/>
      <c r="EI28460"/>
      <c r="EJ28460"/>
      <c r="EK28460"/>
    </row>
    <row r="28461" spans="1:141" s="116" customFormat="1">
      <c r="A28461" s="136"/>
      <c r="CM28461" s="111"/>
      <c r="CQ28461" s="111"/>
      <c r="EF28461"/>
      <c r="EG28461"/>
      <c r="EH28461"/>
      <c r="EI28461"/>
      <c r="EJ28461"/>
      <c r="EK28461"/>
    </row>
    <row r="28462" spans="1:141" s="116" customFormat="1">
      <c r="A28462" s="136"/>
      <c r="CM28462" s="111"/>
      <c r="CQ28462" s="111"/>
      <c r="EF28462"/>
      <c r="EG28462"/>
      <c r="EH28462"/>
      <c r="EI28462"/>
      <c r="EJ28462"/>
      <c r="EK28462"/>
    </row>
    <row r="28463" spans="1:141" s="116" customFormat="1">
      <c r="A28463" s="136"/>
      <c r="CM28463" s="111"/>
      <c r="CQ28463" s="111"/>
      <c r="EF28463"/>
      <c r="EG28463"/>
      <c r="EH28463"/>
      <c r="EI28463"/>
      <c r="EJ28463"/>
      <c r="EK28463"/>
    </row>
    <row r="28464" spans="1:141" s="116" customFormat="1">
      <c r="A28464" s="136"/>
      <c r="CM28464" s="111"/>
      <c r="CQ28464" s="111"/>
      <c r="EF28464"/>
      <c r="EG28464"/>
      <c r="EH28464"/>
      <c r="EI28464"/>
      <c r="EJ28464"/>
      <c r="EK28464"/>
    </row>
    <row r="28465" spans="1:141" s="116" customFormat="1">
      <c r="A28465" s="136"/>
      <c r="CM28465" s="111"/>
      <c r="CQ28465" s="111"/>
      <c r="EF28465"/>
      <c r="EG28465"/>
      <c r="EH28465"/>
      <c r="EI28465"/>
      <c r="EJ28465"/>
      <c r="EK28465"/>
    </row>
    <row r="28466" spans="1:141" s="116" customFormat="1">
      <c r="A28466" s="136"/>
      <c r="CM28466" s="111"/>
      <c r="CQ28466" s="111"/>
      <c r="EF28466"/>
      <c r="EG28466"/>
      <c r="EH28466"/>
      <c r="EI28466"/>
      <c r="EJ28466"/>
      <c r="EK28466"/>
    </row>
    <row r="28467" spans="1:141" s="116" customFormat="1">
      <c r="A28467" s="136"/>
      <c r="CM28467" s="111"/>
      <c r="CQ28467" s="111"/>
      <c r="EF28467"/>
      <c r="EG28467"/>
      <c r="EH28467"/>
      <c r="EI28467"/>
      <c r="EJ28467"/>
      <c r="EK28467"/>
    </row>
    <row r="28468" spans="1:141" s="116" customFormat="1">
      <c r="A28468" s="136"/>
      <c r="CM28468" s="111"/>
      <c r="CQ28468" s="111"/>
      <c r="EF28468"/>
      <c r="EG28468"/>
      <c r="EH28468"/>
      <c r="EI28468"/>
      <c r="EJ28468"/>
      <c r="EK28468"/>
    </row>
    <row r="28469" spans="1:141" s="116" customFormat="1">
      <c r="A28469" s="136"/>
      <c r="CM28469" s="111"/>
      <c r="CQ28469" s="111"/>
      <c r="EF28469"/>
      <c r="EG28469"/>
      <c r="EH28469"/>
      <c r="EI28469"/>
      <c r="EJ28469"/>
      <c r="EK28469"/>
    </row>
    <row r="28470" spans="1:141" s="116" customFormat="1">
      <c r="A28470" s="136"/>
      <c r="CM28470" s="111"/>
      <c r="CQ28470" s="111"/>
      <c r="EF28470"/>
      <c r="EG28470"/>
      <c r="EH28470"/>
      <c r="EI28470"/>
      <c r="EJ28470"/>
      <c r="EK28470"/>
    </row>
    <row r="28471" spans="1:141" s="116" customFormat="1">
      <c r="A28471" s="136"/>
      <c r="CM28471" s="111"/>
      <c r="CQ28471" s="111"/>
      <c r="EF28471"/>
      <c r="EG28471"/>
      <c r="EH28471"/>
      <c r="EI28471"/>
      <c r="EJ28471"/>
      <c r="EK28471"/>
    </row>
    <row r="28472" spans="1:141" s="116" customFormat="1">
      <c r="A28472" s="136"/>
      <c r="CM28472" s="111"/>
      <c r="CQ28472" s="111"/>
      <c r="EF28472"/>
      <c r="EG28472"/>
      <c r="EH28472"/>
      <c r="EI28472"/>
      <c r="EJ28472"/>
      <c r="EK28472"/>
    </row>
    <row r="28473" spans="1:141" s="116" customFormat="1">
      <c r="A28473" s="136"/>
      <c r="CM28473" s="111"/>
      <c r="CQ28473" s="111"/>
      <c r="EF28473"/>
      <c r="EG28473"/>
      <c r="EH28473"/>
      <c r="EI28473"/>
      <c r="EJ28473"/>
      <c r="EK28473"/>
    </row>
    <row r="28474" spans="1:141" s="116" customFormat="1">
      <c r="A28474" s="136"/>
      <c r="CM28474" s="111"/>
      <c r="CQ28474" s="111"/>
      <c r="EF28474"/>
      <c r="EG28474"/>
      <c r="EH28474"/>
      <c r="EI28474"/>
      <c r="EJ28474"/>
      <c r="EK28474"/>
    </row>
    <row r="28475" spans="1:141" s="116" customFormat="1">
      <c r="A28475" s="136"/>
      <c r="CM28475" s="111"/>
      <c r="CQ28475" s="111"/>
      <c r="EF28475"/>
      <c r="EG28475"/>
      <c r="EH28475"/>
      <c r="EI28475"/>
      <c r="EJ28475"/>
      <c r="EK28475"/>
    </row>
    <row r="28476" spans="1:141" s="116" customFormat="1">
      <c r="A28476" s="136"/>
      <c r="CM28476" s="111"/>
      <c r="CQ28476" s="111"/>
      <c r="EF28476"/>
      <c r="EG28476"/>
      <c r="EH28476"/>
      <c r="EI28476"/>
      <c r="EJ28476"/>
      <c r="EK28476"/>
    </row>
    <row r="28477" spans="1:141" s="116" customFormat="1">
      <c r="A28477" s="136"/>
      <c r="CM28477" s="111"/>
      <c r="CQ28477" s="111"/>
      <c r="EF28477"/>
      <c r="EG28477"/>
      <c r="EH28477"/>
      <c r="EI28477"/>
      <c r="EJ28477"/>
      <c r="EK28477"/>
    </row>
    <row r="28478" spans="1:141" s="116" customFormat="1">
      <c r="A28478" s="136"/>
      <c r="CM28478" s="111"/>
      <c r="CQ28478" s="111"/>
      <c r="EF28478"/>
      <c r="EG28478"/>
      <c r="EH28478"/>
      <c r="EI28478"/>
      <c r="EJ28478"/>
      <c r="EK28478"/>
    </row>
    <row r="28479" spans="1:141" s="116" customFormat="1">
      <c r="A28479" s="136"/>
      <c r="CM28479" s="111"/>
      <c r="CQ28479" s="111"/>
      <c r="EF28479"/>
      <c r="EG28479"/>
      <c r="EH28479"/>
      <c r="EI28479"/>
      <c r="EJ28479"/>
      <c r="EK28479"/>
    </row>
    <row r="28480" spans="1:141" s="116" customFormat="1">
      <c r="A28480" s="136"/>
      <c r="CM28480" s="111"/>
      <c r="CQ28480" s="111"/>
      <c r="EF28480"/>
      <c r="EG28480"/>
      <c r="EH28480"/>
      <c r="EI28480"/>
      <c r="EJ28480"/>
      <c r="EK28480"/>
    </row>
    <row r="28481" spans="1:141" s="116" customFormat="1">
      <c r="A28481" s="136"/>
      <c r="CM28481" s="111"/>
      <c r="CQ28481" s="111"/>
      <c r="EF28481"/>
      <c r="EG28481"/>
      <c r="EH28481"/>
      <c r="EI28481"/>
      <c r="EJ28481"/>
      <c r="EK28481"/>
    </row>
    <row r="28482" spans="1:141" s="116" customFormat="1">
      <c r="A28482" s="136"/>
      <c r="CM28482" s="111"/>
      <c r="CQ28482" s="111"/>
      <c r="EF28482"/>
      <c r="EG28482"/>
      <c r="EH28482"/>
      <c r="EI28482"/>
      <c r="EJ28482"/>
      <c r="EK28482"/>
    </row>
    <row r="28483" spans="1:141" s="116" customFormat="1">
      <c r="A28483" s="136"/>
      <c r="CM28483" s="111"/>
      <c r="CQ28483" s="111"/>
      <c r="EF28483"/>
      <c r="EG28483"/>
      <c r="EH28483"/>
      <c r="EI28483"/>
      <c r="EJ28483"/>
      <c r="EK28483"/>
    </row>
    <row r="28484" spans="1:141" s="116" customFormat="1">
      <c r="A28484" s="136"/>
      <c r="CM28484" s="111"/>
      <c r="CQ28484" s="111"/>
      <c r="EF28484"/>
      <c r="EG28484"/>
      <c r="EH28484"/>
      <c r="EI28484"/>
      <c r="EJ28484"/>
      <c r="EK28484"/>
    </row>
    <row r="28485" spans="1:141" s="116" customFormat="1">
      <c r="A28485" s="136"/>
      <c r="CM28485" s="111"/>
      <c r="CQ28485" s="111"/>
      <c r="EF28485"/>
      <c r="EG28485"/>
      <c r="EH28485"/>
      <c r="EI28485"/>
      <c r="EJ28485"/>
      <c r="EK28485"/>
    </row>
    <row r="28486" spans="1:141" s="116" customFormat="1">
      <c r="A28486" s="136"/>
      <c r="CM28486" s="111"/>
      <c r="CQ28486" s="111"/>
      <c r="EF28486"/>
      <c r="EG28486"/>
      <c r="EH28486"/>
      <c r="EI28486"/>
      <c r="EJ28486"/>
      <c r="EK28486"/>
    </row>
    <row r="28487" spans="1:141" s="116" customFormat="1">
      <c r="A28487" s="136"/>
      <c r="CM28487" s="111"/>
      <c r="CQ28487" s="111"/>
      <c r="EF28487"/>
      <c r="EG28487"/>
      <c r="EH28487"/>
      <c r="EI28487"/>
      <c r="EJ28487"/>
      <c r="EK28487"/>
    </row>
    <row r="28488" spans="1:141" s="116" customFormat="1">
      <c r="A28488" s="136"/>
      <c r="CM28488" s="111"/>
      <c r="CQ28488" s="111"/>
      <c r="EF28488"/>
      <c r="EG28488"/>
      <c r="EH28488"/>
      <c r="EI28488"/>
      <c r="EJ28488"/>
      <c r="EK28488"/>
    </row>
    <row r="28489" spans="1:141" s="116" customFormat="1">
      <c r="A28489" s="136"/>
      <c r="CM28489" s="111"/>
      <c r="CQ28489" s="111"/>
      <c r="EF28489"/>
      <c r="EG28489"/>
      <c r="EH28489"/>
      <c r="EI28489"/>
      <c r="EJ28489"/>
      <c r="EK28489"/>
    </row>
    <row r="28490" spans="1:141" s="116" customFormat="1">
      <c r="A28490" s="136"/>
      <c r="CM28490" s="111"/>
      <c r="CQ28490" s="111"/>
      <c r="EF28490"/>
      <c r="EG28490"/>
      <c r="EH28490"/>
      <c r="EI28490"/>
      <c r="EJ28490"/>
      <c r="EK28490"/>
    </row>
    <row r="28491" spans="1:141" s="116" customFormat="1">
      <c r="A28491" s="136"/>
      <c r="CM28491" s="111"/>
      <c r="CQ28491" s="111"/>
      <c r="EF28491"/>
      <c r="EG28491"/>
      <c r="EH28491"/>
      <c r="EI28491"/>
      <c r="EJ28491"/>
      <c r="EK28491"/>
    </row>
    <row r="28492" spans="1:141" s="116" customFormat="1">
      <c r="A28492" s="136"/>
      <c r="CM28492" s="111"/>
      <c r="CQ28492" s="111"/>
      <c r="EF28492"/>
      <c r="EG28492"/>
      <c r="EH28492"/>
      <c r="EI28492"/>
      <c r="EJ28492"/>
      <c r="EK28492"/>
    </row>
    <row r="28493" spans="1:141" s="116" customFormat="1">
      <c r="A28493" s="136"/>
      <c r="CM28493" s="111"/>
      <c r="CQ28493" s="111"/>
      <c r="EF28493"/>
      <c r="EG28493"/>
      <c r="EH28493"/>
      <c r="EI28493"/>
      <c r="EJ28493"/>
      <c r="EK28493"/>
    </row>
    <row r="28494" spans="1:141" s="116" customFormat="1">
      <c r="A28494" s="136"/>
      <c r="CM28494" s="111"/>
      <c r="CQ28494" s="111"/>
      <c r="EF28494"/>
      <c r="EG28494"/>
      <c r="EH28494"/>
      <c r="EI28494"/>
      <c r="EJ28494"/>
      <c r="EK28494"/>
    </row>
    <row r="28495" spans="1:141" s="116" customFormat="1">
      <c r="A28495" s="136"/>
      <c r="CM28495" s="111"/>
      <c r="CQ28495" s="111"/>
      <c r="EF28495"/>
      <c r="EG28495"/>
      <c r="EH28495"/>
      <c r="EI28495"/>
      <c r="EJ28495"/>
      <c r="EK28495"/>
    </row>
    <row r="28496" spans="1:141" s="116" customFormat="1">
      <c r="A28496" s="136"/>
      <c r="CM28496" s="111"/>
      <c r="CQ28496" s="111"/>
      <c r="EF28496"/>
      <c r="EG28496"/>
      <c r="EH28496"/>
      <c r="EI28496"/>
      <c r="EJ28496"/>
      <c r="EK28496"/>
    </row>
    <row r="28497" spans="1:141" s="116" customFormat="1">
      <c r="A28497" s="136"/>
      <c r="CM28497" s="111"/>
      <c r="CQ28497" s="111"/>
      <c r="EF28497"/>
      <c r="EG28497"/>
      <c r="EH28497"/>
      <c r="EI28497"/>
      <c r="EJ28497"/>
      <c r="EK28497"/>
    </row>
    <row r="28498" spans="1:141" s="116" customFormat="1">
      <c r="A28498" s="136"/>
      <c r="CM28498" s="111"/>
      <c r="CQ28498" s="111"/>
      <c r="EF28498"/>
      <c r="EG28498"/>
      <c r="EH28498"/>
      <c r="EI28498"/>
      <c r="EJ28498"/>
      <c r="EK28498"/>
    </row>
    <row r="28499" spans="1:141" s="116" customFormat="1">
      <c r="A28499" s="136"/>
      <c r="CM28499" s="111"/>
      <c r="CQ28499" s="111"/>
      <c r="EF28499"/>
      <c r="EG28499"/>
      <c r="EH28499"/>
      <c r="EI28499"/>
      <c r="EJ28499"/>
      <c r="EK28499"/>
    </row>
    <row r="28500" spans="1:141" s="116" customFormat="1">
      <c r="A28500" s="136"/>
      <c r="CM28500" s="111"/>
      <c r="CQ28500" s="111"/>
      <c r="EF28500"/>
      <c r="EG28500"/>
      <c r="EH28500"/>
      <c r="EI28500"/>
      <c r="EJ28500"/>
      <c r="EK28500"/>
    </row>
    <row r="28501" spans="1:141" s="116" customFormat="1">
      <c r="A28501" s="136"/>
      <c r="CM28501" s="111"/>
      <c r="CQ28501" s="111"/>
      <c r="EF28501"/>
      <c r="EG28501"/>
      <c r="EH28501"/>
      <c r="EI28501"/>
      <c r="EJ28501"/>
      <c r="EK28501"/>
    </row>
    <row r="28502" spans="1:141" s="116" customFormat="1">
      <c r="A28502" s="136"/>
      <c r="CM28502" s="111"/>
      <c r="CQ28502" s="111"/>
      <c r="EF28502"/>
      <c r="EG28502"/>
      <c r="EH28502"/>
      <c r="EI28502"/>
      <c r="EJ28502"/>
      <c r="EK28502"/>
    </row>
    <row r="28503" spans="1:141" s="116" customFormat="1">
      <c r="A28503" s="136"/>
      <c r="CM28503" s="111"/>
      <c r="CQ28503" s="111"/>
      <c r="EF28503"/>
      <c r="EG28503"/>
      <c r="EH28503"/>
      <c r="EI28503"/>
      <c r="EJ28503"/>
      <c r="EK28503"/>
    </row>
    <row r="28504" spans="1:141" s="116" customFormat="1">
      <c r="A28504" s="136"/>
      <c r="CM28504" s="111"/>
      <c r="CQ28504" s="111"/>
      <c r="EF28504"/>
      <c r="EG28504"/>
      <c r="EH28504"/>
      <c r="EI28504"/>
      <c r="EJ28504"/>
      <c r="EK28504"/>
    </row>
    <row r="28505" spans="1:141" s="116" customFormat="1">
      <c r="A28505" s="136"/>
      <c r="CM28505" s="111"/>
      <c r="CQ28505" s="111"/>
      <c r="EF28505"/>
      <c r="EG28505"/>
      <c r="EH28505"/>
      <c r="EI28505"/>
      <c r="EJ28505"/>
      <c r="EK28505"/>
    </row>
    <row r="28506" spans="1:141" s="116" customFormat="1">
      <c r="A28506" s="136"/>
      <c r="CM28506" s="111"/>
      <c r="CQ28506" s="111"/>
      <c r="EF28506"/>
      <c r="EG28506"/>
      <c r="EH28506"/>
      <c r="EI28506"/>
      <c r="EJ28506"/>
      <c r="EK28506"/>
    </row>
    <row r="28507" spans="1:141" s="116" customFormat="1">
      <c r="A28507" s="136"/>
      <c r="CM28507" s="111"/>
      <c r="CQ28507" s="111"/>
      <c r="EF28507"/>
      <c r="EG28507"/>
      <c r="EH28507"/>
      <c r="EI28507"/>
      <c r="EJ28507"/>
      <c r="EK28507"/>
    </row>
    <row r="28508" spans="1:141" s="116" customFormat="1">
      <c r="A28508" s="136"/>
      <c r="CM28508" s="111"/>
      <c r="CQ28508" s="111"/>
      <c r="EF28508"/>
      <c r="EG28508"/>
      <c r="EH28508"/>
      <c r="EI28508"/>
      <c r="EJ28508"/>
      <c r="EK28508"/>
    </row>
    <row r="28509" spans="1:141" s="116" customFormat="1">
      <c r="A28509" s="136"/>
      <c r="CM28509" s="111"/>
      <c r="CQ28509" s="111"/>
      <c r="EF28509"/>
      <c r="EG28509"/>
      <c r="EH28509"/>
      <c r="EI28509"/>
      <c r="EJ28509"/>
      <c r="EK28509"/>
    </row>
    <row r="28510" spans="1:141" s="116" customFormat="1">
      <c r="A28510" s="136"/>
      <c r="CM28510" s="111"/>
      <c r="CQ28510" s="111"/>
      <c r="EF28510"/>
      <c r="EG28510"/>
      <c r="EH28510"/>
      <c r="EI28510"/>
      <c r="EJ28510"/>
      <c r="EK28510"/>
    </row>
    <row r="28511" spans="1:141" s="116" customFormat="1">
      <c r="A28511" s="136"/>
      <c r="CM28511" s="111"/>
      <c r="CQ28511" s="111"/>
      <c r="EF28511"/>
      <c r="EG28511"/>
      <c r="EH28511"/>
      <c r="EI28511"/>
      <c r="EJ28511"/>
      <c r="EK28511"/>
    </row>
    <row r="28512" spans="1:141" s="116" customFormat="1">
      <c r="A28512" s="136"/>
      <c r="CM28512" s="111"/>
      <c r="CQ28512" s="111"/>
      <c r="EF28512"/>
      <c r="EG28512"/>
      <c r="EH28512"/>
      <c r="EI28512"/>
      <c r="EJ28512"/>
      <c r="EK28512"/>
    </row>
    <row r="28513" spans="1:141" s="116" customFormat="1">
      <c r="A28513" s="136"/>
      <c r="CM28513" s="111"/>
      <c r="CQ28513" s="111"/>
      <c r="EF28513"/>
      <c r="EG28513"/>
      <c r="EH28513"/>
      <c r="EI28513"/>
      <c r="EJ28513"/>
      <c r="EK28513"/>
    </row>
    <row r="28514" spans="1:141" s="116" customFormat="1">
      <c r="A28514" s="136"/>
      <c r="CM28514" s="111"/>
      <c r="CQ28514" s="111"/>
      <c r="EF28514"/>
      <c r="EG28514"/>
      <c r="EH28514"/>
      <c r="EI28514"/>
      <c r="EJ28514"/>
      <c r="EK28514"/>
    </row>
    <row r="28515" spans="1:141" s="116" customFormat="1">
      <c r="A28515" s="136"/>
      <c r="CM28515" s="111"/>
      <c r="CQ28515" s="111"/>
      <c r="EF28515"/>
      <c r="EG28515"/>
      <c r="EH28515"/>
      <c r="EI28515"/>
      <c r="EJ28515"/>
      <c r="EK28515"/>
    </row>
    <row r="28516" spans="1:141" s="116" customFormat="1">
      <c r="A28516" s="136"/>
      <c r="CM28516" s="111"/>
      <c r="CQ28516" s="111"/>
      <c r="EF28516"/>
      <c r="EG28516"/>
      <c r="EH28516"/>
      <c r="EI28516"/>
      <c r="EJ28516"/>
      <c r="EK28516"/>
    </row>
    <row r="28517" spans="1:141" s="116" customFormat="1">
      <c r="A28517" s="136"/>
      <c r="CM28517" s="111"/>
      <c r="CQ28517" s="111"/>
      <c r="EF28517"/>
      <c r="EG28517"/>
      <c r="EH28517"/>
      <c r="EI28517"/>
      <c r="EJ28517"/>
      <c r="EK28517"/>
    </row>
    <row r="28518" spans="1:141" s="116" customFormat="1">
      <c r="A28518" s="136"/>
      <c r="CM28518" s="111"/>
      <c r="CQ28518" s="111"/>
      <c r="EF28518"/>
      <c r="EG28518"/>
      <c r="EH28518"/>
      <c r="EI28518"/>
      <c r="EJ28518"/>
      <c r="EK28518"/>
    </row>
    <row r="28519" spans="1:141" s="116" customFormat="1">
      <c r="A28519" s="136"/>
      <c r="CM28519" s="111"/>
      <c r="CQ28519" s="111"/>
      <c r="EF28519"/>
      <c r="EG28519"/>
      <c r="EH28519"/>
      <c r="EI28519"/>
      <c r="EJ28519"/>
      <c r="EK28519"/>
    </row>
    <row r="28520" spans="1:141" s="116" customFormat="1">
      <c r="A28520" s="136"/>
      <c r="CM28520" s="111"/>
      <c r="CQ28520" s="111"/>
      <c r="EF28520"/>
      <c r="EG28520"/>
      <c r="EH28520"/>
      <c r="EI28520"/>
      <c r="EJ28520"/>
      <c r="EK28520"/>
    </row>
    <row r="28521" spans="1:141" s="116" customFormat="1">
      <c r="A28521" s="136"/>
      <c r="CM28521" s="111"/>
      <c r="CQ28521" s="111"/>
      <c r="EF28521"/>
      <c r="EG28521"/>
      <c r="EH28521"/>
      <c r="EI28521"/>
      <c r="EJ28521"/>
      <c r="EK28521"/>
    </row>
    <row r="28522" spans="1:141" s="116" customFormat="1">
      <c r="A28522" s="136"/>
      <c r="CM28522" s="111"/>
      <c r="CQ28522" s="111"/>
      <c r="EF28522"/>
      <c r="EG28522"/>
      <c r="EH28522"/>
      <c r="EI28522"/>
      <c r="EJ28522"/>
      <c r="EK28522"/>
    </row>
    <row r="28523" spans="1:141" s="116" customFormat="1">
      <c r="A28523" s="136"/>
      <c r="CM28523" s="111"/>
      <c r="CQ28523" s="111"/>
      <c r="EF28523"/>
      <c r="EG28523"/>
      <c r="EH28523"/>
      <c r="EI28523"/>
      <c r="EJ28523"/>
      <c r="EK28523"/>
    </row>
    <row r="28524" spans="1:141" s="116" customFormat="1">
      <c r="A28524" s="136"/>
      <c r="CM28524" s="111"/>
      <c r="CQ28524" s="111"/>
      <c r="EF28524"/>
      <c r="EG28524"/>
      <c r="EH28524"/>
      <c r="EI28524"/>
      <c r="EJ28524"/>
      <c r="EK28524"/>
    </row>
    <row r="28525" spans="1:141" s="116" customFormat="1">
      <c r="A28525" s="136"/>
      <c r="CM28525" s="111"/>
      <c r="CQ28525" s="111"/>
      <c r="EF28525"/>
      <c r="EG28525"/>
      <c r="EH28525"/>
      <c r="EI28525"/>
      <c r="EJ28525"/>
      <c r="EK28525"/>
    </row>
    <row r="28526" spans="1:141" s="116" customFormat="1">
      <c r="A28526" s="136"/>
      <c r="CM28526" s="111"/>
      <c r="CQ28526" s="111"/>
      <c r="EF28526"/>
      <c r="EG28526"/>
      <c r="EH28526"/>
      <c r="EI28526"/>
      <c r="EJ28526"/>
      <c r="EK28526"/>
    </row>
    <row r="28527" spans="1:141" s="116" customFormat="1">
      <c r="A28527" s="136"/>
      <c r="CM28527" s="111"/>
      <c r="CQ28527" s="111"/>
      <c r="EF28527"/>
      <c r="EG28527"/>
      <c r="EH28527"/>
      <c r="EI28527"/>
      <c r="EJ28527"/>
      <c r="EK28527"/>
    </row>
    <row r="28528" spans="1:141" s="116" customFormat="1">
      <c r="A28528" s="136"/>
      <c r="CM28528" s="111"/>
      <c r="CQ28528" s="111"/>
      <c r="EF28528"/>
      <c r="EG28528"/>
      <c r="EH28528"/>
      <c r="EI28528"/>
      <c r="EJ28528"/>
      <c r="EK28528"/>
    </row>
    <row r="28529" spans="1:141" s="116" customFormat="1">
      <c r="A28529" s="136"/>
      <c r="CM28529" s="111"/>
      <c r="CQ28529" s="111"/>
      <c r="EF28529"/>
      <c r="EG28529"/>
      <c r="EH28529"/>
      <c r="EI28529"/>
      <c r="EJ28529"/>
      <c r="EK28529"/>
    </row>
    <row r="28530" spans="1:141" s="116" customFormat="1">
      <c r="A28530" s="136"/>
      <c r="CM28530" s="111"/>
      <c r="CQ28530" s="111"/>
      <c r="EF28530"/>
      <c r="EG28530"/>
      <c r="EH28530"/>
      <c r="EI28530"/>
      <c r="EJ28530"/>
      <c r="EK28530"/>
    </row>
    <row r="28531" spans="1:141" s="116" customFormat="1">
      <c r="A28531" s="136"/>
      <c r="CM28531" s="111"/>
      <c r="CQ28531" s="111"/>
      <c r="EF28531"/>
      <c r="EG28531"/>
      <c r="EH28531"/>
      <c r="EI28531"/>
      <c r="EJ28531"/>
      <c r="EK28531"/>
    </row>
    <row r="28532" spans="1:141" s="116" customFormat="1">
      <c r="A28532" s="136"/>
      <c r="CM28532" s="111"/>
      <c r="CQ28532" s="111"/>
      <c r="EF28532"/>
      <c r="EG28532"/>
      <c r="EH28532"/>
      <c r="EI28532"/>
      <c r="EJ28532"/>
      <c r="EK28532"/>
    </row>
    <row r="28533" spans="1:141" s="116" customFormat="1">
      <c r="A28533" s="136"/>
      <c r="CM28533" s="111"/>
      <c r="CQ28533" s="111"/>
      <c r="EF28533"/>
      <c r="EG28533"/>
      <c r="EH28533"/>
      <c r="EI28533"/>
      <c r="EJ28533"/>
      <c r="EK28533"/>
    </row>
    <row r="28534" spans="1:141" s="116" customFormat="1">
      <c r="A28534" s="136"/>
      <c r="CM28534" s="111"/>
      <c r="CQ28534" s="111"/>
      <c r="EF28534"/>
      <c r="EG28534"/>
      <c r="EH28534"/>
      <c r="EI28534"/>
      <c r="EJ28534"/>
      <c r="EK28534"/>
    </row>
    <row r="28535" spans="1:141" s="116" customFormat="1">
      <c r="A28535" s="136"/>
      <c r="CM28535" s="111"/>
      <c r="CQ28535" s="111"/>
      <c r="EF28535"/>
      <c r="EG28535"/>
      <c r="EH28535"/>
      <c r="EI28535"/>
      <c r="EJ28535"/>
      <c r="EK28535"/>
    </row>
    <row r="28536" spans="1:141" s="116" customFormat="1">
      <c r="A28536" s="136"/>
      <c r="CM28536" s="111"/>
      <c r="CQ28536" s="111"/>
      <c r="EF28536"/>
      <c r="EG28536"/>
      <c r="EH28536"/>
      <c r="EI28536"/>
      <c r="EJ28536"/>
      <c r="EK28536"/>
    </row>
    <row r="28537" spans="1:141" s="116" customFormat="1">
      <c r="A28537" s="136"/>
      <c r="CM28537" s="111"/>
      <c r="CQ28537" s="111"/>
      <c r="EF28537"/>
      <c r="EG28537"/>
      <c r="EH28537"/>
      <c r="EI28537"/>
      <c r="EJ28537"/>
      <c r="EK28537"/>
    </row>
    <row r="28538" spans="1:141" s="116" customFormat="1">
      <c r="A28538" s="136"/>
      <c r="CM28538" s="111"/>
      <c r="CQ28538" s="111"/>
      <c r="EF28538"/>
      <c r="EG28538"/>
      <c r="EH28538"/>
      <c r="EI28538"/>
      <c r="EJ28538"/>
      <c r="EK28538"/>
    </row>
    <row r="28539" spans="1:141" s="116" customFormat="1">
      <c r="A28539" s="136"/>
      <c r="CM28539" s="111"/>
      <c r="CQ28539" s="111"/>
      <c r="EF28539"/>
      <c r="EG28539"/>
      <c r="EH28539"/>
      <c r="EI28539"/>
      <c r="EJ28539"/>
      <c r="EK28539"/>
    </row>
    <row r="28540" spans="1:141" s="116" customFormat="1">
      <c r="A28540" s="136"/>
      <c r="CM28540" s="111"/>
      <c r="CQ28540" s="111"/>
      <c r="EF28540"/>
      <c r="EG28540"/>
      <c r="EH28540"/>
      <c r="EI28540"/>
      <c r="EJ28540"/>
      <c r="EK28540"/>
    </row>
    <row r="28541" spans="1:141" s="116" customFormat="1">
      <c r="A28541" s="136"/>
      <c r="CM28541" s="111"/>
      <c r="CQ28541" s="111"/>
      <c r="EF28541"/>
      <c r="EG28541"/>
      <c r="EH28541"/>
      <c r="EI28541"/>
      <c r="EJ28541"/>
      <c r="EK28541"/>
    </row>
    <row r="28542" spans="1:141" s="116" customFormat="1">
      <c r="A28542" s="136"/>
      <c r="CM28542" s="111"/>
      <c r="CQ28542" s="111"/>
      <c r="EF28542"/>
      <c r="EG28542"/>
      <c r="EH28542"/>
      <c r="EI28542"/>
      <c r="EJ28542"/>
      <c r="EK28542"/>
    </row>
    <row r="28543" spans="1:141" s="116" customFormat="1">
      <c r="A28543" s="136"/>
      <c r="CM28543" s="111"/>
      <c r="CQ28543" s="111"/>
      <c r="EF28543"/>
      <c r="EG28543"/>
      <c r="EH28543"/>
      <c r="EI28543"/>
      <c r="EJ28543"/>
      <c r="EK28543"/>
    </row>
    <row r="28544" spans="1:141" s="116" customFormat="1">
      <c r="A28544" s="136"/>
      <c r="CM28544" s="111"/>
      <c r="CQ28544" s="111"/>
      <c r="EF28544"/>
      <c r="EG28544"/>
      <c r="EH28544"/>
      <c r="EI28544"/>
      <c r="EJ28544"/>
      <c r="EK28544"/>
    </row>
    <row r="28545" spans="1:141" s="116" customFormat="1">
      <c r="A28545" s="136"/>
      <c r="CM28545" s="111"/>
      <c r="CQ28545" s="111"/>
      <c r="EF28545"/>
      <c r="EG28545"/>
      <c r="EH28545"/>
      <c r="EI28545"/>
      <c r="EJ28545"/>
      <c r="EK28545"/>
    </row>
    <row r="28546" spans="1:141" s="116" customFormat="1">
      <c r="A28546" s="136"/>
      <c r="CM28546" s="111"/>
      <c r="CQ28546" s="111"/>
      <c r="EF28546"/>
      <c r="EG28546"/>
      <c r="EH28546"/>
      <c r="EI28546"/>
      <c r="EJ28546"/>
      <c r="EK28546"/>
    </row>
    <row r="28547" spans="1:141" s="116" customFormat="1">
      <c r="A28547" s="136"/>
      <c r="CM28547" s="111"/>
      <c r="CQ28547" s="111"/>
      <c r="EF28547"/>
      <c r="EG28547"/>
      <c r="EH28547"/>
      <c r="EI28547"/>
      <c r="EJ28547"/>
      <c r="EK28547"/>
    </row>
    <row r="28548" spans="1:141" s="116" customFormat="1">
      <c r="A28548" s="136"/>
      <c r="CM28548" s="111"/>
      <c r="CQ28548" s="111"/>
      <c r="EF28548"/>
      <c r="EG28548"/>
      <c r="EH28548"/>
      <c r="EI28548"/>
      <c r="EJ28548"/>
      <c r="EK28548"/>
    </row>
    <row r="28549" spans="1:141" s="116" customFormat="1">
      <c r="A28549" s="136"/>
      <c r="CM28549" s="111"/>
      <c r="CQ28549" s="111"/>
      <c r="EF28549"/>
      <c r="EG28549"/>
      <c r="EH28549"/>
      <c r="EI28549"/>
      <c r="EJ28549"/>
      <c r="EK28549"/>
    </row>
    <row r="28550" spans="1:141" s="116" customFormat="1">
      <c r="A28550" s="136"/>
      <c r="CM28550" s="111"/>
      <c r="CQ28550" s="111"/>
      <c r="EF28550"/>
      <c r="EG28550"/>
      <c r="EH28550"/>
      <c r="EI28550"/>
      <c r="EJ28550"/>
      <c r="EK28550"/>
    </row>
    <row r="28551" spans="1:141" s="116" customFormat="1">
      <c r="A28551" s="136"/>
      <c r="CM28551" s="111"/>
      <c r="CQ28551" s="111"/>
      <c r="EF28551"/>
      <c r="EG28551"/>
      <c r="EH28551"/>
      <c r="EI28551"/>
      <c r="EJ28551"/>
      <c r="EK28551"/>
    </row>
    <row r="28552" spans="1:141" s="116" customFormat="1">
      <c r="A28552" s="136"/>
      <c r="CM28552" s="111"/>
      <c r="CQ28552" s="111"/>
      <c r="EF28552"/>
      <c r="EG28552"/>
      <c r="EH28552"/>
      <c r="EI28552"/>
      <c r="EJ28552"/>
      <c r="EK28552"/>
    </row>
    <row r="28553" spans="1:141" s="116" customFormat="1">
      <c r="A28553" s="136"/>
      <c r="CM28553" s="111"/>
      <c r="CQ28553" s="111"/>
      <c r="EF28553"/>
      <c r="EG28553"/>
      <c r="EH28553"/>
      <c r="EI28553"/>
      <c r="EJ28553"/>
      <c r="EK28553"/>
    </row>
    <row r="28554" spans="1:141" s="116" customFormat="1">
      <c r="A28554" s="136"/>
      <c r="CM28554" s="111"/>
      <c r="CQ28554" s="111"/>
      <c r="EF28554"/>
      <c r="EG28554"/>
      <c r="EH28554"/>
      <c r="EI28554"/>
      <c r="EJ28554"/>
      <c r="EK28554"/>
    </row>
    <row r="28555" spans="1:141" s="116" customFormat="1">
      <c r="A28555" s="136"/>
      <c r="CM28555" s="111"/>
      <c r="CQ28555" s="111"/>
      <c r="EF28555"/>
      <c r="EG28555"/>
      <c r="EH28555"/>
      <c r="EI28555"/>
      <c r="EJ28555"/>
      <c r="EK28555"/>
    </row>
    <row r="28556" spans="1:141" s="116" customFormat="1">
      <c r="A28556" s="136"/>
      <c r="CM28556" s="111"/>
      <c r="CQ28556" s="111"/>
      <c r="EF28556"/>
      <c r="EG28556"/>
      <c r="EH28556"/>
      <c r="EI28556"/>
      <c r="EJ28556"/>
      <c r="EK28556"/>
    </row>
    <row r="28557" spans="1:141" s="116" customFormat="1">
      <c r="A28557" s="136"/>
      <c r="CM28557" s="111"/>
      <c r="CQ28557" s="111"/>
      <c r="EF28557"/>
      <c r="EG28557"/>
      <c r="EH28557"/>
      <c r="EI28557"/>
      <c r="EJ28557"/>
      <c r="EK28557"/>
    </row>
    <row r="28558" spans="1:141" s="116" customFormat="1">
      <c r="A28558" s="136"/>
      <c r="CM28558" s="111"/>
      <c r="CQ28558" s="111"/>
      <c r="EF28558"/>
      <c r="EG28558"/>
      <c r="EH28558"/>
      <c r="EI28558"/>
      <c r="EJ28558"/>
      <c r="EK28558"/>
    </row>
    <row r="28559" spans="1:141" s="116" customFormat="1">
      <c r="A28559" s="136"/>
      <c r="CM28559" s="111"/>
      <c r="CQ28559" s="111"/>
      <c r="EF28559"/>
      <c r="EG28559"/>
      <c r="EH28559"/>
      <c r="EI28559"/>
      <c r="EJ28559"/>
      <c r="EK28559"/>
    </row>
    <row r="28560" spans="1:141" s="116" customFormat="1">
      <c r="A28560" s="136"/>
      <c r="CM28560" s="111"/>
      <c r="CQ28560" s="111"/>
      <c r="EF28560"/>
      <c r="EG28560"/>
      <c r="EH28560"/>
      <c r="EI28560"/>
      <c r="EJ28560"/>
      <c r="EK28560"/>
    </row>
    <row r="28561" spans="1:141" s="116" customFormat="1">
      <c r="A28561" s="136"/>
      <c r="CM28561" s="111"/>
      <c r="CQ28561" s="111"/>
      <c r="EF28561"/>
      <c r="EG28561"/>
      <c r="EH28561"/>
      <c r="EI28561"/>
      <c r="EJ28561"/>
      <c r="EK28561"/>
    </row>
    <row r="28562" spans="1:141" s="116" customFormat="1">
      <c r="A28562" s="136"/>
      <c r="CM28562" s="111"/>
      <c r="CQ28562" s="111"/>
      <c r="EF28562"/>
      <c r="EG28562"/>
      <c r="EH28562"/>
      <c r="EI28562"/>
      <c r="EJ28562"/>
      <c r="EK28562"/>
    </row>
    <row r="28563" spans="1:141" s="116" customFormat="1">
      <c r="A28563" s="136"/>
      <c r="CM28563" s="111"/>
      <c r="CQ28563" s="111"/>
      <c r="EF28563"/>
      <c r="EG28563"/>
      <c r="EH28563"/>
      <c r="EI28563"/>
      <c r="EJ28563"/>
      <c r="EK28563"/>
    </row>
    <row r="28564" spans="1:141" s="116" customFormat="1">
      <c r="A28564" s="136"/>
      <c r="CM28564" s="111"/>
      <c r="CQ28564" s="111"/>
      <c r="EF28564"/>
      <c r="EG28564"/>
      <c r="EH28564"/>
      <c r="EI28564"/>
      <c r="EJ28564"/>
      <c r="EK28564"/>
    </row>
    <row r="28565" spans="1:141" s="116" customFormat="1">
      <c r="A28565" s="136"/>
      <c r="CM28565" s="111"/>
      <c r="CQ28565" s="111"/>
      <c r="EF28565"/>
      <c r="EG28565"/>
      <c r="EH28565"/>
      <c r="EI28565"/>
      <c r="EJ28565"/>
      <c r="EK28565"/>
    </row>
    <row r="28566" spans="1:141" s="116" customFormat="1">
      <c r="A28566" s="136"/>
      <c r="CM28566" s="111"/>
      <c r="CQ28566" s="111"/>
      <c r="EF28566"/>
      <c r="EG28566"/>
      <c r="EH28566"/>
      <c r="EI28566"/>
      <c r="EJ28566"/>
      <c r="EK28566"/>
    </row>
    <row r="28567" spans="1:141" s="116" customFormat="1">
      <c r="A28567" s="136"/>
      <c r="CM28567" s="111"/>
      <c r="CQ28567" s="111"/>
      <c r="EF28567"/>
      <c r="EG28567"/>
      <c r="EH28567"/>
      <c r="EI28567"/>
      <c r="EJ28567"/>
      <c r="EK28567"/>
    </row>
    <row r="28568" spans="1:141" s="116" customFormat="1">
      <c r="A28568" s="136"/>
      <c r="CM28568" s="111"/>
      <c r="CQ28568" s="111"/>
      <c r="EF28568"/>
      <c r="EG28568"/>
      <c r="EH28568"/>
      <c r="EI28568"/>
      <c r="EJ28568"/>
      <c r="EK28568"/>
    </row>
    <row r="28569" spans="1:141" s="116" customFormat="1">
      <c r="A28569" s="136"/>
      <c r="CM28569" s="111"/>
      <c r="CQ28569" s="111"/>
      <c r="EF28569"/>
      <c r="EG28569"/>
      <c r="EH28569"/>
      <c r="EI28569"/>
      <c r="EJ28569"/>
      <c r="EK28569"/>
    </row>
    <row r="28570" spans="1:141" s="116" customFormat="1">
      <c r="A28570" s="136"/>
      <c r="CM28570" s="111"/>
      <c r="CQ28570" s="111"/>
      <c r="EF28570"/>
      <c r="EG28570"/>
      <c r="EH28570"/>
      <c r="EI28570"/>
      <c r="EJ28570"/>
      <c r="EK28570"/>
    </row>
    <row r="28571" spans="1:141" s="116" customFormat="1">
      <c r="A28571" s="136"/>
      <c r="CM28571" s="111"/>
      <c r="CQ28571" s="111"/>
      <c r="EF28571"/>
      <c r="EG28571"/>
      <c r="EH28571"/>
      <c r="EI28571"/>
      <c r="EJ28571"/>
      <c r="EK28571"/>
    </row>
    <row r="28572" spans="1:141" s="116" customFormat="1">
      <c r="A28572" s="136"/>
      <c r="CM28572" s="111"/>
      <c r="CQ28572" s="111"/>
      <c r="EF28572"/>
      <c r="EG28572"/>
      <c r="EH28572"/>
      <c r="EI28572"/>
      <c r="EJ28572"/>
      <c r="EK28572"/>
    </row>
    <row r="28573" spans="1:141" s="116" customFormat="1">
      <c r="A28573" s="136"/>
      <c r="CM28573" s="111"/>
      <c r="CQ28573" s="111"/>
      <c r="EF28573"/>
      <c r="EG28573"/>
      <c r="EH28573"/>
      <c r="EI28573"/>
      <c r="EJ28573"/>
      <c r="EK28573"/>
    </row>
    <row r="28574" spans="1:141" s="116" customFormat="1">
      <c r="A28574" s="136"/>
      <c r="CM28574" s="111"/>
      <c r="CQ28574" s="111"/>
      <c r="EF28574"/>
      <c r="EG28574"/>
      <c r="EH28574"/>
      <c r="EI28574"/>
      <c r="EJ28574"/>
      <c r="EK28574"/>
    </row>
    <row r="28575" spans="1:141" s="116" customFormat="1">
      <c r="A28575" s="136"/>
      <c r="CM28575" s="111"/>
      <c r="CQ28575" s="111"/>
      <c r="EF28575"/>
      <c r="EG28575"/>
      <c r="EH28575"/>
      <c r="EI28575"/>
      <c r="EJ28575"/>
      <c r="EK28575"/>
    </row>
    <row r="28576" spans="1:141" s="116" customFormat="1">
      <c r="A28576" s="136"/>
      <c r="CM28576" s="111"/>
      <c r="CQ28576" s="111"/>
      <c r="EF28576"/>
      <c r="EG28576"/>
      <c r="EH28576"/>
      <c r="EI28576"/>
      <c r="EJ28576"/>
      <c r="EK28576"/>
    </row>
    <row r="28577" spans="1:141" s="116" customFormat="1">
      <c r="A28577" s="136"/>
      <c r="CM28577" s="111"/>
      <c r="CQ28577" s="111"/>
      <c r="EF28577"/>
      <c r="EG28577"/>
      <c r="EH28577"/>
      <c r="EI28577"/>
      <c r="EJ28577"/>
      <c r="EK28577"/>
    </row>
    <row r="28578" spans="1:141" s="116" customFormat="1">
      <c r="A28578" s="136"/>
      <c r="CM28578" s="111"/>
      <c r="CQ28578" s="111"/>
      <c r="EF28578"/>
      <c r="EG28578"/>
      <c r="EH28578"/>
      <c r="EI28578"/>
      <c r="EJ28578"/>
      <c r="EK28578"/>
    </row>
    <row r="28579" spans="1:141" s="116" customFormat="1">
      <c r="A28579" s="136"/>
      <c r="CM28579" s="111"/>
      <c r="CQ28579" s="111"/>
      <c r="EF28579"/>
      <c r="EG28579"/>
      <c r="EH28579"/>
      <c r="EI28579"/>
      <c r="EJ28579"/>
      <c r="EK28579"/>
    </row>
    <row r="28580" spans="1:141" s="116" customFormat="1">
      <c r="A28580" s="136"/>
      <c r="CM28580" s="111"/>
      <c r="CQ28580" s="111"/>
      <c r="EF28580"/>
      <c r="EG28580"/>
      <c r="EH28580"/>
      <c r="EI28580"/>
      <c r="EJ28580"/>
      <c r="EK28580"/>
    </row>
    <row r="28581" spans="1:141" s="116" customFormat="1">
      <c r="A28581" s="136"/>
      <c r="CM28581" s="111"/>
      <c r="CQ28581" s="111"/>
      <c r="EF28581"/>
      <c r="EG28581"/>
      <c r="EH28581"/>
      <c r="EI28581"/>
      <c r="EJ28581"/>
      <c r="EK28581"/>
    </row>
    <row r="28582" spans="1:141" s="116" customFormat="1">
      <c r="A28582" s="136"/>
      <c r="CM28582" s="111"/>
      <c r="CQ28582" s="111"/>
      <c r="EF28582"/>
      <c r="EG28582"/>
      <c r="EH28582"/>
      <c r="EI28582"/>
      <c r="EJ28582"/>
      <c r="EK28582"/>
    </row>
    <row r="28583" spans="1:141" s="116" customFormat="1">
      <c r="A28583" s="136"/>
      <c r="CM28583" s="111"/>
      <c r="CQ28583" s="111"/>
      <c r="EF28583"/>
      <c r="EG28583"/>
      <c r="EH28583"/>
      <c r="EI28583"/>
      <c r="EJ28583"/>
      <c r="EK28583"/>
    </row>
    <row r="28584" spans="1:141" s="116" customFormat="1">
      <c r="A28584" s="136"/>
      <c r="CM28584" s="111"/>
      <c r="CQ28584" s="111"/>
      <c r="EF28584"/>
      <c r="EG28584"/>
      <c r="EH28584"/>
      <c r="EI28584"/>
      <c r="EJ28584"/>
      <c r="EK28584"/>
    </row>
    <row r="28585" spans="1:141" s="116" customFormat="1">
      <c r="A28585" s="136"/>
      <c r="CM28585" s="111"/>
      <c r="CQ28585" s="111"/>
      <c r="EF28585"/>
      <c r="EG28585"/>
      <c r="EH28585"/>
      <c r="EI28585"/>
      <c r="EJ28585"/>
      <c r="EK28585"/>
    </row>
    <row r="28586" spans="1:141" s="116" customFormat="1">
      <c r="A28586" s="136"/>
      <c r="CM28586" s="111"/>
      <c r="CQ28586" s="111"/>
      <c r="EF28586"/>
      <c r="EG28586"/>
      <c r="EH28586"/>
      <c r="EI28586"/>
      <c r="EJ28586"/>
      <c r="EK28586"/>
    </row>
    <row r="28587" spans="1:141" s="116" customFormat="1">
      <c r="A28587" s="136"/>
      <c r="CM28587" s="111"/>
      <c r="CQ28587" s="111"/>
      <c r="EF28587"/>
      <c r="EG28587"/>
      <c r="EH28587"/>
      <c r="EI28587"/>
      <c r="EJ28587"/>
      <c r="EK28587"/>
    </row>
    <row r="28588" spans="1:141" s="116" customFormat="1">
      <c r="A28588" s="136"/>
      <c r="CM28588" s="111"/>
      <c r="CQ28588" s="111"/>
      <c r="EF28588"/>
      <c r="EG28588"/>
      <c r="EH28588"/>
      <c r="EI28588"/>
      <c r="EJ28588"/>
      <c r="EK28588"/>
    </row>
    <row r="28589" spans="1:141" s="116" customFormat="1">
      <c r="A28589" s="136"/>
      <c r="CM28589" s="111"/>
      <c r="CQ28589" s="111"/>
      <c r="EF28589"/>
      <c r="EG28589"/>
      <c r="EH28589"/>
      <c r="EI28589"/>
      <c r="EJ28589"/>
      <c r="EK28589"/>
    </row>
    <row r="28590" spans="1:141" s="116" customFormat="1">
      <c r="A28590" s="136"/>
      <c r="CM28590" s="111"/>
      <c r="CQ28590" s="111"/>
      <c r="EF28590"/>
      <c r="EG28590"/>
      <c r="EH28590"/>
      <c r="EI28590"/>
      <c r="EJ28590"/>
      <c r="EK28590"/>
    </row>
    <row r="28591" spans="1:141" s="116" customFormat="1">
      <c r="A28591" s="136"/>
      <c r="CM28591" s="111"/>
      <c r="CQ28591" s="111"/>
      <c r="EF28591"/>
      <c r="EG28591"/>
      <c r="EH28591"/>
      <c r="EI28591"/>
      <c r="EJ28591"/>
      <c r="EK28591"/>
    </row>
    <row r="28592" spans="1:141" s="116" customFormat="1">
      <c r="A28592" s="136"/>
      <c r="CM28592" s="111"/>
      <c r="CQ28592" s="111"/>
      <c r="EF28592"/>
      <c r="EG28592"/>
      <c r="EH28592"/>
      <c r="EI28592"/>
      <c r="EJ28592"/>
      <c r="EK28592"/>
    </row>
    <row r="28593" spans="1:141" s="116" customFormat="1">
      <c r="A28593" s="136"/>
      <c r="CM28593" s="111"/>
      <c r="CQ28593" s="111"/>
      <c r="EF28593"/>
      <c r="EG28593"/>
      <c r="EH28593"/>
      <c r="EI28593"/>
      <c r="EJ28593"/>
      <c r="EK28593"/>
    </row>
    <row r="28594" spans="1:141" s="116" customFormat="1">
      <c r="A28594" s="136"/>
      <c r="CM28594" s="111"/>
      <c r="CQ28594" s="111"/>
      <c r="EF28594"/>
      <c r="EG28594"/>
      <c r="EH28594"/>
      <c r="EI28594"/>
      <c r="EJ28594"/>
      <c r="EK28594"/>
    </row>
    <row r="28595" spans="1:141" s="116" customFormat="1">
      <c r="A28595" s="136"/>
      <c r="CM28595" s="111"/>
      <c r="CQ28595" s="111"/>
      <c r="EF28595"/>
      <c r="EG28595"/>
      <c r="EH28595"/>
      <c r="EI28595"/>
      <c r="EJ28595"/>
      <c r="EK28595"/>
    </row>
    <row r="28596" spans="1:141" s="116" customFormat="1">
      <c r="A28596" s="136"/>
      <c r="CM28596" s="111"/>
      <c r="CQ28596" s="111"/>
      <c r="EF28596"/>
      <c r="EG28596"/>
      <c r="EH28596"/>
      <c r="EI28596"/>
      <c r="EJ28596"/>
      <c r="EK28596"/>
    </row>
    <row r="28597" spans="1:141" s="116" customFormat="1">
      <c r="A28597" s="136"/>
      <c r="CM28597" s="111"/>
      <c r="CQ28597" s="111"/>
      <c r="EF28597"/>
      <c r="EG28597"/>
      <c r="EH28597"/>
      <c r="EI28597"/>
      <c r="EJ28597"/>
      <c r="EK28597"/>
    </row>
    <row r="28598" spans="1:141" s="116" customFormat="1">
      <c r="A28598" s="136"/>
      <c r="CM28598" s="111"/>
      <c r="CQ28598" s="111"/>
      <c r="EF28598"/>
      <c r="EG28598"/>
      <c r="EH28598"/>
      <c r="EI28598"/>
      <c r="EJ28598"/>
      <c r="EK28598"/>
    </row>
    <row r="28599" spans="1:141" s="116" customFormat="1">
      <c r="A28599" s="136"/>
      <c r="CM28599" s="111"/>
      <c r="CQ28599" s="111"/>
      <c r="EF28599"/>
      <c r="EG28599"/>
      <c r="EH28599"/>
      <c r="EI28599"/>
      <c r="EJ28599"/>
      <c r="EK28599"/>
    </row>
    <row r="28600" spans="1:141" s="116" customFormat="1">
      <c r="A28600" s="136"/>
      <c r="CM28600" s="111"/>
      <c r="CQ28600" s="111"/>
      <c r="EF28600"/>
      <c r="EG28600"/>
      <c r="EH28600"/>
      <c r="EI28600"/>
      <c r="EJ28600"/>
      <c r="EK28600"/>
    </row>
    <row r="28601" spans="1:141" s="116" customFormat="1">
      <c r="A28601" s="136"/>
      <c r="CM28601" s="111"/>
      <c r="CQ28601" s="111"/>
      <c r="EF28601"/>
      <c r="EG28601"/>
      <c r="EH28601"/>
      <c r="EI28601"/>
      <c r="EJ28601"/>
      <c r="EK28601"/>
    </row>
    <row r="28602" spans="1:141" s="116" customFormat="1">
      <c r="A28602" s="136"/>
      <c r="CM28602" s="111"/>
      <c r="CQ28602" s="111"/>
      <c r="EF28602"/>
      <c r="EG28602"/>
      <c r="EH28602"/>
      <c r="EI28602"/>
      <c r="EJ28602"/>
      <c r="EK28602"/>
    </row>
    <row r="28603" spans="1:141" s="116" customFormat="1">
      <c r="A28603" s="136"/>
      <c r="CM28603" s="111"/>
      <c r="CQ28603" s="111"/>
      <c r="EF28603"/>
      <c r="EG28603"/>
      <c r="EH28603"/>
      <c r="EI28603"/>
      <c r="EJ28603"/>
      <c r="EK28603"/>
    </row>
    <row r="28604" spans="1:141" s="116" customFormat="1">
      <c r="A28604" s="136"/>
      <c r="CM28604" s="111"/>
      <c r="CQ28604" s="111"/>
      <c r="EF28604"/>
      <c r="EG28604"/>
      <c r="EH28604"/>
      <c r="EI28604"/>
      <c r="EJ28604"/>
      <c r="EK28604"/>
    </row>
    <row r="28605" spans="1:141" s="116" customFormat="1">
      <c r="A28605" s="136"/>
      <c r="CM28605" s="111"/>
      <c r="CQ28605" s="111"/>
      <c r="EF28605"/>
      <c r="EG28605"/>
      <c r="EH28605"/>
      <c r="EI28605"/>
      <c r="EJ28605"/>
      <c r="EK28605"/>
    </row>
    <row r="28606" spans="1:141" s="116" customFormat="1">
      <c r="A28606" s="136"/>
      <c r="CM28606" s="111"/>
      <c r="CQ28606" s="111"/>
      <c r="EF28606"/>
      <c r="EG28606"/>
      <c r="EH28606"/>
      <c r="EI28606"/>
      <c r="EJ28606"/>
      <c r="EK28606"/>
    </row>
    <row r="28607" spans="1:141" s="116" customFormat="1">
      <c r="A28607" s="136"/>
      <c r="CM28607" s="111"/>
      <c r="CQ28607" s="111"/>
      <c r="EF28607"/>
      <c r="EG28607"/>
      <c r="EH28607"/>
      <c r="EI28607"/>
      <c r="EJ28607"/>
      <c r="EK28607"/>
    </row>
    <row r="28608" spans="1:141" s="116" customFormat="1">
      <c r="A28608" s="136"/>
      <c r="CM28608" s="111"/>
      <c r="CQ28608" s="111"/>
      <c r="EF28608"/>
      <c r="EG28608"/>
      <c r="EH28608"/>
      <c r="EI28608"/>
      <c r="EJ28608"/>
      <c r="EK28608"/>
    </row>
    <row r="28609" spans="1:141" s="116" customFormat="1">
      <c r="A28609" s="136"/>
      <c r="CM28609" s="111"/>
      <c r="CQ28609" s="111"/>
      <c r="EF28609"/>
      <c r="EG28609"/>
      <c r="EH28609"/>
      <c r="EI28609"/>
      <c r="EJ28609"/>
      <c r="EK28609"/>
    </row>
    <row r="28610" spans="1:141" s="116" customFormat="1">
      <c r="A28610" s="136"/>
      <c r="CM28610" s="111"/>
      <c r="CQ28610" s="111"/>
      <c r="EF28610"/>
      <c r="EG28610"/>
      <c r="EH28610"/>
      <c r="EI28610"/>
      <c r="EJ28610"/>
      <c r="EK28610"/>
    </row>
    <row r="28611" spans="1:141" s="116" customFormat="1">
      <c r="A28611" s="136"/>
      <c r="CM28611" s="111"/>
      <c r="CQ28611" s="111"/>
      <c r="EF28611"/>
      <c r="EG28611"/>
      <c r="EH28611"/>
      <c r="EI28611"/>
      <c r="EJ28611"/>
      <c r="EK28611"/>
    </row>
    <row r="28612" spans="1:141" s="116" customFormat="1">
      <c r="A28612" s="136"/>
      <c r="CM28612" s="111"/>
      <c r="CQ28612" s="111"/>
      <c r="EF28612"/>
      <c r="EG28612"/>
      <c r="EH28612"/>
      <c r="EI28612"/>
      <c r="EJ28612"/>
      <c r="EK28612"/>
    </row>
    <row r="28613" spans="1:141" s="116" customFormat="1">
      <c r="A28613" s="136"/>
      <c r="CM28613" s="111"/>
      <c r="CQ28613" s="111"/>
      <c r="EF28613"/>
      <c r="EG28613"/>
      <c r="EH28613"/>
      <c r="EI28613"/>
      <c r="EJ28613"/>
      <c r="EK28613"/>
    </row>
    <row r="28614" spans="1:141" s="116" customFormat="1">
      <c r="A28614" s="136"/>
      <c r="CM28614" s="111"/>
      <c r="CQ28614" s="111"/>
      <c r="EF28614"/>
      <c r="EG28614"/>
      <c r="EH28614"/>
      <c r="EI28614"/>
      <c r="EJ28614"/>
      <c r="EK28614"/>
    </row>
    <row r="28615" spans="1:141" s="116" customFormat="1">
      <c r="A28615" s="136"/>
      <c r="CM28615" s="111"/>
      <c r="CQ28615" s="111"/>
      <c r="EF28615"/>
      <c r="EG28615"/>
      <c r="EH28615"/>
      <c r="EI28615"/>
      <c r="EJ28615"/>
      <c r="EK28615"/>
    </row>
    <row r="28616" spans="1:141" s="116" customFormat="1">
      <c r="A28616" s="136"/>
      <c r="CM28616" s="111"/>
      <c r="CQ28616" s="111"/>
      <c r="EF28616"/>
      <c r="EG28616"/>
      <c r="EH28616"/>
      <c r="EI28616"/>
      <c r="EJ28616"/>
      <c r="EK28616"/>
    </row>
    <row r="28617" spans="1:141" s="116" customFormat="1">
      <c r="A28617" s="136"/>
      <c r="CM28617" s="111"/>
      <c r="CQ28617" s="111"/>
      <c r="EF28617"/>
      <c r="EG28617"/>
      <c r="EH28617"/>
      <c r="EI28617"/>
      <c r="EJ28617"/>
      <c r="EK28617"/>
    </row>
    <row r="28618" spans="1:141" s="116" customFormat="1">
      <c r="A28618" s="136"/>
      <c r="CM28618" s="111"/>
      <c r="CQ28618" s="111"/>
      <c r="EF28618"/>
      <c r="EG28618"/>
      <c r="EH28618"/>
      <c r="EI28618"/>
      <c r="EJ28618"/>
      <c r="EK28618"/>
    </row>
    <row r="28619" spans="1:141" s="116" customFormat="1">
      <c r="A28619" s="136"/>
      <c r="CM28619" s="111"/>
      <c r="CQ28619" s="111"/>
      <c r="EF28619"/>
      <c r="EG28619"/>
      <c r="EH28619"/>
      <c r="EI28619"/>
      <c r="EJ28619"/>
      <c r="EK28619"/>
    </row>
    <row r="28620" spans="1:141" s="116" customFormat="1">
      <c r="A28620" s="136"/>
      <c r="CM28620" s="111"/>
      <c r="CQ28620" s="111"/>
      <c r="EF28620"/>
      <c r="EG28620"/>
      <c r="EH28620"/>
      <c r="EI28620"/>
      <c r="EJ28620"/>
      <c r="EK28620"/>
    </row>
    <row r="28621" spans="1:141" s="116" customFormat="1">
      <c r="A28621" s="136"/>
      <c r="CM28621" s="111"/>
      <c r="CQ28621" s="111"/>
      <c r="EF28621"/>
      <c r="EG28621"/>
      <c r="EH28621"/>
      <c r="EI28621"/>
      <c r="EJ28621"/>
      <c r="EK28621"/>
    </row>
    <row r="28622" spans="1:141" s="116" customFormat="1">
      <c r="A28622" s="136"/>
      <c r="CM28622" s="111"/>
      <c r="CQ28622" s="111"/>
      <c r="EF28622"/>
      <c r="EG28622"/>
      <c r="EH28622"/>
      <c r="EI28622"/>
      <c r="EJ28622"/>
      <c r="EK28622"/>
    </row>
    <row r="28623" spans="1:141" s="116" customFormat="1">
      <c r="A28623" s="136"/>
      <c r="CM28623" s="111"/>
      <c r="CQ28623" s="111"/>
      <c r="EF28623"/>
      <c r="EG28623"/>
      <c r="EH28623"/>
      <c r="EI28623"/>
      <c r="EJ28623"/>
      <c r="EK28623"/>
    </row>
    <row r="28624" spans="1:141" s="116" customFormat="1">
      <c r="A28624" s="136"/>
      <c r="CM28624" s="111"/>
      <c r="CQ28624" s="111"/>
      <c r="EF28624"/>
      <c r="EG28624"/>
      <c r="EH28624"/>
      <c r="EI28624"/>
      <c r="EJ28624"/>
      <c r="EK28624"/>
    </row>
    <row r="28625" spans="1:141" s="116" customFormat="1">
      <c r="A28625" s="136"/>
      <c r="CM28625" s="111"/>
      <c r="CQ28625" s="111"/>
      <c r="EF28625"/>
      <c r="EG28625"/>
      <c r="EH28625"/>
      <c r="EI28625"/>
      <c r="EJ28625"/>
      <c r="EK28625"/>
    </row>
    <row r="28626" spans="1:141" s="116" customFormat="1">
      <c r="A28626" s="136"/>
      <c r="CM28626" s="111"/>
      <c r="CQ28626" s="111"/>
      <c r="EF28626"/>
      <c r="EG28626"/>
      <c r="EH28626"/>
      <c r="EI28626"/>
      <c r="EJ28626"/>
      <c r="EK28626"/>
    </row>
    <row r="28627" spans="1:141" s="116" customFormat="1">
      <c r="A28627" s="136"/>
      <c r="CM28627" s="111"/>
      <c r="CQ28627" s="111"/>
      <c r="EF28627"/>
      <c r="EG28627"/>
      <c r="EH28627"/>
      <c r="EI28627"/>
      <c r="EJ28627"/>
      <c r="EK28627"/>
    </row>
    <row r="28628" spans="1:141" s="116" customFormat="1">
      <c r="A28628" s="136"/>
      <c r="CM28628" s="111"/>
      <c r="CQ28628" s="111"/>
      <c r="EF28628"/>
      <c r="EG28628"/>
      <c r="EH28628"/>
      <c r="EI28628"/>
      <c r="EJ28628"/>
      <c r="EK28628"/>
    </row>
    <row r="28629" spans="1:141" s="116" customFormat="1">
      <c r="A28629" s="136"/>
      <c r="CM28629" s="111"/>
      <c r="CQ28629" s="111"/>
      <c r="EF28629"/>
      <c r="EG28629"/>
      <c r="EH28629"/>
      <c r="EI28629"/>
      <c r="EJ28629"/>
      <c r="EK28629"/>
    </row>
    <row r="28630" spans="1:141" s="116" customFormat="1">
      <c r="A28630" s="136"/>
      <c r="CM28630" s="111"/>
      <c r="CQ28630" s="111"/>
      <c r="EF28630"/>
      <c r="EG28630"/>
      <c r="EH28630"/>
      <c r="EI28630"/>
      <c r="EJ28630"/>
      <c r="EK28630"/>
    </row>
    <row r="28631" spans="1:141" s="116" customFormat="1">
      <c r="A28631" s="136"/>
      <c r="CM28631" s="111"/>
      <c r="CQ28631" s="111"/>
      <c r="EF28631"/>
      <c r="EG28631"/>
      <c r="EH28631"/>
      <c r="EI28631"/>
      <c r="EJ28631"/>
      <c r="EK28631"/>
    </row>
    <row r="28632" spans="1:141" s="116" customFormat="1">
      <c r="A28632" s="136"/>
      <c r="CM28632" s="111"/>
      <c r="CQ28632" s="111"/>
      <c r="EF28632"/>
      <c r="EG28632"/>
      <c r="EH28632"/>
      <c r="EI28632"/>
      <c r="EJ28632"/>
      <c r="EK28632"/>
    </row>
    <row r="28633" spans="1:141" s="116" customFormat="1">
      <c r="A28633" s="136"/>
      <c r="CM28633" s="111"/>
      <c r="CQ28633" s="111"/>
      <c r="EF28633"/>
      <c r="EG28633"/>
      <c r="EH28633"/>
      <c r="EI28633"/>
      <c r="EJ28633"/>
      <c r="EK28633"/>
    </row>
    <row r="28634" spans="1:141" s="116" customFormat="1">
      <c r="A28634" s="136"/>
      <c r="CM28634" s="111"/>
      <c r="CQ28634" s="111"/>
      <c r="EF28634"/>
      <c r="EG28634"/>
      <c r="EH28634"/>
      <c r="EI28634"/>
      <c r="EJ28634"/>
      <c r="EK28634"/>
    </row>
    <row r="28635" spans="1:141" s="116" customFormat="1">
      <c r="A28635" s="136"/>
      <c r="CM28635" s="111"/>
      <c r="CQ28635" s="111"/>
      <c r="EF28635"/>
      <c r="EG28635"/>
      <c r="EH28635"/>
      <c r="EI28635"/>
      <c r="EJ28635"/>
      <c r="EK28635"/>
    </row>
    <row r="28636" spans="1:141" s="116" customFormat="1">
      <c r="A28636" s="136"/>
      <c r="CM28636" s="111"/>
      <c r="CQ28636" s="111"/>
      <c r="EF28636"/>
      <c r="EG28636"/>
      <c r="EH28636"/>
      <c r="EI28636"/>
      <c r="EJ28636"/>
      <c r="EK28636"/>
    </row>
    <row r="28637" spans="1:141" s="116" customFormat="1">
      <c r="A28637" s="136"/>
      <c r="CM28637" s="111"/>
      <c r="CQ28637" s="111"/>
      <c r="EF28637"/>
      <c r="EG28637"/>
      <c r="EH28637"/>
      <c r="EI28637"/>
      <c r="EJ28637"/>
      <c r="EK28637"/>
    </row>
    <row r="28638" spans="1:141" s="116" customFormat="1">
      <c r="A28638" s="136"/>
      <c r="CM28638" s="111"/>
      <c r="CQ28638" s="111"/>
      <c r="EF28638"/>
      <c r="EG28638"/>
      <c r="EH28638"/>
      <c r="EI28638"/>
      <c r="EJ28638"/>
      <c r="EK28638"/>
    </row>
    <row r="28639" spans="1:141" s="116" customFormat="1">
      <c r="A28639" s="136"/>
      <c r="CM28639" s="111"/>
      <c r="CQ28639" s="111"/>
      <c r="EF28639"/>
      <c r="EG28639"/>
      <c r="EH28639"/>
      <c r="EI28639"/>
      <c r="EJ28639"/>
      <c r="EK28639"/>
    </row>
    <row r="28640" spans="1:141" s="116" customFormat="1">
      <c r="A28640" s="136"/>
      <c r="CM28640" s="111"/>
      <c r="CQ28640" s="111"/>
      <c r="EF28640"/>
      <c r="EG28640"/>
      <c r="EH28640"/>
      <c r="EI28640"/>
      <c r="EJ28640"/>
      <c r="EK28640"/>
    </row>
    <row r="28641" spans="1:141" s="116" customFormat="1">
      <c r="A28641" s="136"/>
      <c r="CM28641" s="111"/>
      <c r="CQ28641" s="111"/>
      <c r="EF28641"/>
      <c r="EG28641"/>
      <c r="EH28641"/>
      <c r="EI28641"/>
      <c r="EJ28641"/>
      <c r="EK28641"/>
    </row>
    <row r="28642" spans="1:141" s="116" customFormat="1">
      <c r="A28642" s="136"/>
      <c r="CM28642" s="111"/>
      <c r="CQ28642" s="111"/>
      <c r="EF28642"/>
      <c r="EG28642"/>
      <c r="EH28642"/>
      <c r="EI28642"/>
      <c r="EJ28642"/>
      <c r="EK28642"/>
    </row>
    <row r="28643" spans="1:141" s="116" customFormat="1">
      <c r="A28643" s="136"/>
      <c r="CM28643" s="111"/>
      <c r="CQ28643" s="111"/>
      <c r="EF28643"/>
      <c r="EG28643"/>
      <c r="EH28643"/>
      <c r="EI28643"/>
      <c r="EJ28643"/>
      <c r="EK28643"/>
    </row>
    <row r="28644" spans="1:141" s="116" customFormat="1">
      <c r="A28644" s="136"/>
      <c r="CM28644" s="111"/>
      <c r="CQ28644" s="111"/>
      <c r="EF28644"/>
      <c r="EG28644"/>
      <c r="EH28644"/>
      <c r="EI28644"/>
      <c r="EJ28644"/>
      <c r="EK28644"/>
    </row>
    <row r="28645" spans="1:141" s="116" customFormat="1">
      <c r="A28645" s="136"/>
      <c r="CM28645" s="111"/>
      <c r="CQ28645" s="111"/>
      <c r="EF28645"/>
      <c r="EG28645"/>
      <c r="EH28645"/>
      <c r="EI28645"/>
      <c r="EJ28645"/>
      <c r="EK28645"/>
    </row>
    <row r="28646" spans="1:141" s="116" customFormat="1">
      <c r="A28646" s="136"/>
      <c r="CM28646" s="111"/>
      <c r="CQ28646" s="111"/>
      <c r="EF28646"/>
      <c r="EG28646"/>
      <c r="EH28646"/>
      <c r="EI28646"/>
      <c r="EJ28646"/>
      <c r="EK28646"/>
    </row>
    <row r="28647" spans="1:141" s="116" customFormat="1">
      <c r="A28647" s="136"/>
      <c r="CM28647" s="111"/>
      <c r="CQ28647" s="111"/>
      <c r="EF28647"/>
      <c r="EG28647"/>
      <c r="EH28647"/>
      <c r="EI28647"/>
      <c r="EJ28647"/>
      <c r="EK28647"/>
    </row>
    <row r="28648" spans="1:141" s="116" customFormat="1">
      <c r="A28648" s="136"/>
      <c r="CM28648" s="111"/>
      <c r="CQ28648" s="111"/>
      <c r="EF28648"/>
      <c r="EG28648"/>
      <c r="EH28648"/>
      <c r="EI28648"/>
      <c r="EJ28648"/>
      <c r="EK28648"/>
    </row>
    <row r="28649" spans="1:141" s="116" customFormat="1">
      <c r="A28649" s="136"/>
      <c r="CM28649" s="111"/>
      <c r="CQ28649" s="111"/>
      <c r="EF28649"/>
      <c r="EG28649"/>
      <c r="EH28649"/>
      <c r="EI28649"/>
      <c r="EJ28649"/>
      <c r="EK28649"/>
    </row>
    <row r="28650" spans="1:141" s="116" customFormat="1">
      <c r="A28650" s="136"/>
      <c r="CM28650" s="111"/>
      <c r="CQ28650" s="111"/>
      <c r="EF28650"/>
      <c r="EG28650"/>
      <c r="EH28650"/>
      <c r="EI28650"/>
      <c r="EJ28650"/>
      <c r="EK28650"/>
    </row>
    <row r="28651" spans="1:141" s="116" customFormat="1">
      <c r="A28651" s="136"/>
      <c r="CM28651" s="111"/>
      <c r="CQ28651" s="111"/>
      <c r="EF28651"/>
      <c r="EG28651"/>
      <c r="EH28651"/>
      <c r="EI28651"/>
      <c r="EJ28651"/>
      <c r="EK28651"/>
    </row>
    <row r="28652" spans="1:141" s="116" customFormat="1">
      <c r="A28652" s="136"/>
      <c r="CM28652" s="111"/>
      <c r="CQ28652" s="111"/>
      <c r="EF28652"/>
      <c r="EG28652"/>
      <c r="EH28652"/>
      <c r="EI28652"/>
      <c r="EJ28652"/>
      <c r="EK28652"/>
    </row>
    <row r="28653" spans="1:141" s="116" customFormat="1">
      <c r="A28653" s="136"/>
      <c r="CM28653" s="111"/>
      <c r="CQ28653" s="111"/>
      <c r="EF28653"/>
      <c r="EG28653"/>
      <c r="EH28653"/>
      <c r="EI28653"/>
      <c r="EJ28653"/>
      <c r="EK28653"/>
    </row>
    <row r="28654" spans="1:141" s="116" customFormat="1">
      <c r="A28654" s="136"/>
      <c r="CM28654" s="111"/>
      <c r="CQ28654" s="111"/>
      <c r="EF28654"/>
      <c r="EG28654"/>
      <c r="EH28654"/>
      <c r="EI28654"/>
      <c r="EJ28654"/>
      <c r="EK28654"/>
    </row>
    <row r="28655" spans="1:141" s="116" customFormat="1">
      <c r="A28655" s="136"/>
      <c r="CM28655" s="111"/>
      <c r="CQ28655" s="111"/>
      <c r="EF28655"/>
      <c r="EG28655"/>
      <c r="EH28655"/>
      <c r="EI28655"/>
      <c r="EJ28655"/>
      <c r="EK28655"/>
    </row>
    <row r="28656" spans="1:141" s="116" customFormat="1">
      <c r="A28656" s="136"/>
      <c r="CM28656" s="111"/>
      <c r="CQ28656" s="111"/>
      <c r="EF28656"/>
      <c r="EG28656"/>
      <c r="EH28656"/>
      <c r="EI28656"/>
      <c r="EJ28656"/>
      <c r="EK28656"/>
    </row>
    <row r="28657" spans="1:141" s="116" customFormat="1">
      <c r="A28657" s="136"/>
      <c r="CM28657" s="111"/>
      <c r="CQ28657" s="111"/>
      <c r="EF28657"/>
      <c r="EG28657"/>
      <c r="EH28657"/>
      <c r="EI28657"/>
      <c r="EJ28657"/>
      <c r="EK28657"/>
    </row>
    <row r="28658" spans="1:141" s="116" customFormat="1">
      <c r="A28658" s="136"/>
      <c r="CM28658" s="111"/>
      <c r="CQ28658" s="111"/>
      <c r="EF28658"/>
      <c r="EG28658"/>
      <c r="EH28658"/>
      <c r="EI28658"/>
      <c r="EJ28658"/>
      <c r="EK28658"/>
    </row>
    <row r="28659" spans="1:141" s="116" customFormat="1">
      <c r="A28659" s="136"/>
      <c r="CM28659" s="111"/>
      <c r="CQ28659" s="111"/>
      <c r="EF28659"/>
      <c r="EG28659"/>
      <c r="EH28659"/>
      <c r="EI28659"/>
      <c r="EJ28659"/>
      <c r="EK28659"/>
    </row>
    <row r="28660" spans="1:141" s="116" customFormat="1">
      <c r="A28660" s="136"/>
      <c r="CM28660" s="111"/>
      <c r="CQ28660" s="111"/>
      <c r="EF28660"/>
      <c r="EG28660"/>
      <c r="EH28660"/>
      <c r="EI28660"/>
      <c r="EJ28660"/>
      <c r="EK28660"/>
    </row>
    <row r="28661" spans="1:141" s="116" customFormat="1">
      <c r="A28661" s="136"/>
      <c r="CM28661" s="111"/>
      <c r="CQ28661" s="111"/>
      <c r="EF28661"/>
      <c r="EG28661"/>
      <c r="EH28661"/>
      <c r="EI28661"/>
      <c r="EJ28661"/>
      <c r="EK28661"/>
    </row>
    <row r="28662" spans="1:141" s="116" customFormat="1">
      <c r="A28662" s="136"/>
      <c r="CM28662" s="111"/>
      <c r="CQ28662" s="111"/>
      <c r="EF28662"/>
      <c r="EG28662"/>
      <c r="EH28662"/>
      <c r="EI28662"/>
      <c r="EJ28662"/>
      <c r="EK28662"/>
    </row>
    <row r="28663" spans="1:141" s="116" customFormat="1">
      <c r="A28663" s="136"/>
      <c r="CM28663" s="111"/>
      <c r="CQ28663" s="111"/>
      <c r="EF28663"/>
      <c r="EG28663"/>
      <c r="EH28663"/>
      <c r="EI28663"/>
      <c r="EJ28663"/>
      <c r="EK28663"/>
    </row>
    <row r="28664" spans="1:141" s="116" customFormat="1">
      <c r="A28664" s="136"/>
      <c r="CM28664" s="111"/>
      <c r="CQ28664" s="111"/>
      <c r="EF28664"/>
      <c r="EG28664"/>
      <c r="EH28664"/>
      <c r="EI28664"/>
      <c r="EJ28664"/>
      <c r="EK28664"/>
    </row>
    <row r="28665" spans="1:141" s="116" customFormat="1">
      <c r="A28665" s="136"/>
      <c r="CM28665" s="111"/>
      <c r="CQ28665" s="111"/>
      <c r="EF28665"/>
      <c r="EG28665"/>
      <c r="EH28665"/>
      <c r="EI28665"/>
      <c r="EJ28665"/>
      <c r="EK28665"/>
    </row>
    <row r="28666" spans="1:141" s="116" customFormat="1">
      <c r="A28666" s="136"/>
      <c r="CM28666" s="111"/>
      <c r="CQ28666" s="111"/>
      <c r="EF28666"/>
      <c r="EG28666"/>
      <c r="EH28666"/>
      <c r="EI28666"/>
      <c r="EJ28666"/>
      <c r="EK28666"/>
    </row>
    <row r="28667" spans="1:141" s="116" customFormat="1">
      <c r="A28667" s="136"/>
      <c r="CM28667" s="111"/>
      <c r="CQ28667" s="111"/>
      <c r="EF28667"/>
      <c r="EG28667"/>
      <c r="EH28667"/>
      <c r="EI28667"/>
      <c r="EJ28667"/>
      <c r="EK28667"/>
    </row>
    <row r="28668" spans="1:141" s="116" customFormat="1">
      <c r="A28668" s="136"/>
      <c r="CM28668" s="111"/>
      <c r="CQ28668" s="111"/>
      <c r="EF28668"/>
      <c r="EG28668"/>
      <c r="EH28668"/>
      <c r="EI28668"/>
      <c r="EJ28668"/>
      <c r="EK28668"/>
    </row>
    <row r="28669" spans="1:141" s="116" customFormat="1">
      <c r="A28669" s="136"/>
      <c r="CM28669" s="111"/>
      <c r="CQ28669" s="111"/>
      <c r="EF28669"/>
      <c r="EG28669"/>
      <c r="EH28669"/>
      <c r="EI28669"/>
      <c r="EJ28669"/>
      <c r="EK28669"/>
    </row>
    <row r="28670" spans="1:141" s="116" customFormat="1">
      <c r="A28670" s="136"/>
      <c r="CM28670" s="111"/>
      <c r="CQ28670" s="111"/>
      <c r="EF28670"/>
      <c r="EG28670"/>
      <c r="EH28670"/>
      <c r="EI28670"/>
      <c r="EJ28670"/>
      <c r="EK28670"/>
    </row>
    <row r="28671" spans="1:141" s="116" customFormat="1">
      <c r="A28671" s="136"/>
      <c r="CM28671" s="111"/>
      <c r="CQ28671" s="111"/>
      <c r="EF28671"/>
      <c r="EG28671"/>
      <c r="EH28671"/>
      <c r="EI28671"/>
      <c r="EJ28671"/>
      <c r="EK28671"/>
    </row>
    <row r="28672" spans="1:141" s="116" customFormat="1">
      <c r="A28672" s="136"/>
      <c r="CM28672" s="111"/>
      <c r="CQ28672" s="111"/>
      <c r="EF28672"/>
      <c r="EG28672"/>
      <c r="EH28672"/>
      <c r="EI28672"/>
      <c r="EJ28672"/>
      <c r="EK28672"/>
    </row>
    <row r="28673" spans="1:141" s="116" customFormat="1">
      <c r="A28673" s="136"/>
      <c r="CM28673" s="111"/>
      <c r="CQ28673" s="111"/>
      <c r="EF28673"/>
      <c r="EG28673"/>
      <c r="EH28673"/>
      <c r="EI28673"/>
      <c r="EJ28673"/>
      <c r="EK28673"/>
    </row>
    <row r="28674" spans="1:141" s="116" customFormat="1">
      <c r="A28674" s="136"/>
      <c r="CM28674" s="111"/>
      <c r="CQ28674" s="111"/>
      <c r="EF28674"/>
      <c r="EG28674"/>
      <c r="EH28674"/>
      <c r="EI28674"/>
      <c r="EJ28674"/>
      <c r="EK28674"/>
    </row>
    <row r="28675" spans="1:141" s="116" customFormat="1">
      <c r="A28675" s="136"/>
      <c r="CM28675" s="111"/>
      <c r="CQ28675" s="111"/>
      <c r="EF28675"/>
      <c r="EG28675"/>
      <c r="EH28675"/>
      <c r="EI28675"/>
      <c r="EJ28675"/>
      <c r="EK28675"/>
    </row>
    <row r="28676" spans="1:141" s="116" customFormat="1">
      <c r="A28676" s="136"/>
      <c r="CM28676" s="111"/>
      <c r="CQ28676" s="111"/>
      <c r="EF28676"/>
      <c r="EG28676"/>
      <c r="EH28676"/>
      <c r="EI28676"/>
      <c r="EJ28676"/>
      <c r="EK28676"/>
    </row>
    <row r="28677" spans="1:141" s="116" customFormat="1">
      <c r="A28677" s="136"/>
      <c r="CM28677" s="111"/>
      <c r="CQ28677" s="111"/>
      <c r="EF28677"/>
      <c r="EG28677"/>
      <c r="EH28677"/>
      <c r="EI28677"/>
      <c r="EJ28677"/>
      <c r="EK28677"/>
    </row>
    <row r="28678" spans="1:141" s="116" customFormat="1">
      <c r="A28678" s="136"/>
      <c r="CM28678" s="111"/>
      <c r="CQ28678" s="111"/>
      <c r="EF28678"/>
      <c r="EG28678"/>
      <c r="EH28678"/>
      <c r="EI28678"/>
      <c r="EJ28678"/>
      <c r="EK28678"/>
    </row>
    <row r="28679" spans="1:141" s="116" customFormat="1">
      <c r="A28679" s="136"/>
      <c r="CM28679" s="111"/>
      <c r="CQ28679" s="111"/>
      <c r="EF28679"/>
      <c r="EG28679"/>
      <c r="EH28679"/>
      <c r="EI28679"/>
      <c r="EJ28679"/>
      <c r="EK28679"/>
    </row>
    <row r="28680" spans="1:141" s="116" customFormat="1">
      <c r="A28680" s="136"/>
      <c r="CM28680" s="111"/>
      <c r="CQ28680" s="111"/>
      <c r="EF28680"/>
      <c r="EG28680"/>
      <c r="EH28680"/>
      <c r="EI28680"/>
      <c r="EJ28680"/>
      <c r="EK28680"/>
    </row>
    <row r="28681" spans="1:141" s="116" customFormat="1">
      <c r="A28681" s="136"/>
      <c r="CM28681" s="111"/>
      <c r="CQ28681" s="111"/>
      <c r="EF28681"/>
      <c r="EG28681"/>
      <c r="EH28681"/>
      <c r="EI28681"/>
      <c r="EJ28681"/>
      <c r="EK28681"/>
    </row>
    <row r="28682" spans="1:141" s="116" customFormat="1">
      <c r="A28682" s="136"/>
      <c r="CM28682" s="111"/>
      <c r="CQ28682" s="111"/>
      <c r="EF28682"/>
      <c r="EG28682"/>
      <c r="EH28682"/>
      <c r="EI28682"/>
      <c r="EJ28682"/>
      <c r="EK28682"/>
    </row>
    <row r="28683" spans="1:141" s="116" customFormat="1">
      <c r="A28683" s="136"/>
      <c r="CM28683" s="111"/>
      <c r="CQ28683" s="111"/>
      <c r="EF28683"/>
      <c r="EG28683"/>
      <c r="EH28683"/>
      <c r="EI28683"/>
      <c r="EJ28683"/>
      <c r="EK28683"/>
    </row>
    <row r="28684" spans="1:141" s="116" customFormat="1">
      <c r="A28684" s="136"/>
      <c r="CM28684" s="111"/>
      <c r="CQ28684" s="111"/>
      <c r="EF28684"/>
      <c r="EG28684"/>
      <c r="EH28684"/>
      <c r="EI28684"/>
      <c r="EJ28684"/>
      <c r="EK28684"/>
    </row>
    <row r="28685" spans="1:141" s="116" customFormat="1">
      <c r="A28685" s="136"/>
      <c r="CM28685" s="111"/>
      <c r="CQ28685" s="111"/>
      <c r="EF28685"/>
      <c r="EG28685"/>
      <c r="EH28685"/>
      <c r="EI28685"/>
      <c r="EJ28685"/>
      <c r="EK28685"/>
    </row>
    <row r="28686" spans="1:141" s="116" customFormat="1">
      <c r="A28686" s="136"/>
      <c r="CM28686" s="111"/>
      <c r="CQ28686" s="111"/>
      <c r="EF28686"/>
      <c r="EG28686"/>
      <c r="EH28686"/>
      <c r="EI28686"/>
      <c r="EJ28686"/>
      <c r="EK28686"/>
    </row>
    <row r="28687" spans="1:141" s="116" customFormat="1">
      <c r="A28687" s="136"/>
      <c r="CM28687" s="111"/>
      <c r="CQ28687" s="111"/>
      <c r="EF28687"/>
      <c r="EG28687"/>
      <c r="EH28687"/>
      <c r="EI28687"/>
      <c r="EJ28687"/>
      <c r="EK28687"/>
    </row>
    <row r="28688" spans="1:141" s="116" customFormat="1">
      <c r="A28688" s="136"/>
      <c r="CM28688" s="111"/>
      <c r="CQ28688" s="111"/>
      <c r="EF28688"/>
      <c r="EG28688"/>
      <c r="EH28688"/>
      <c r="EI28688"/>
      <c r="EJ28688"/>
      <c r="EK28688"/>
    </row>
    <row r="28689" spans="1:141" s="116" customFormat="1">
      <c r="A28689" s="136"/>
      <c r="CM28689" s="111"/>
      <c r="CQ28689" s="111"/>
      <c r="EF28689"/>
      <c r="EG28689"/>
      <c r="EH28689"/>
      <c r="EI28689"/>
      <c r="EJ28689"/>
      <c r="EK28689"/>
    </row>
    <row r="28690" spans="1:141" s="116" customFormat="1">
      <c r="A28690" s="136"/>
      <c r="CM28690" s="111"/>
      <c r="CQ28690" s="111"/>
      <c r="EF28690"/>
      <c r="EG28690"/>
      <c r="EH28690"/>
      <c r="EI28690"/>
      <c r="EJ28690"/>
      <c r="EK28690"/>
    </row>
    <row r="28691" spans="1:141" s="116" customFormat="1">
      <c r="A28691" s="136"/>
      <c r="CM28691" s="111"/>
      <c r="CQ28691" s="111"/>
      <c r="EF28691"/>
      <c r="EG28691"/>
      <c r="EH28691"/>
      <c r="EI28691"/>
      <c r="EJ28691"/>
      <c r="EK28691"/>
    </row>
    <row r="28692" spans="1:141" s="116" customFormat="1">
      <c r="A28692" s="136"/>
      <c r="CM28692" s="111"/>
      <c r="CQ28692" s="111"/>
      <c r="EF28692"/>
      <c r="EG28692"/>
      <c r="EH28692"/>
      <c r="EI28692"/>
      <c r="EJ28692"/>
      <c r="EK28692"/>
    </row>
    <row r="28693" spans="1:141" s="116" customFormat="1">
      <c r="A28693" s="136"/>
      <c r="CM28693" s="111"/>
      <c r="CQ28693" s="111"/>
      <c r="EF28693"/>
      <c r="EG28693"/>
      <c r="EH28693"/>
      <c r="EI28693"/>
      <c r="EJ28693"/>
      <c r="EK28693"/>
    </row>
    <row r="28694" spans="1:141" s="116" customFormat="1">
      <c r="A28694" s="136"/>
      <c r="CM28694" s="111"/>
      <c r="CQ28694" s="111"/>
      <c r="EF28694"/>
      <c r="EG28694"/>
      <c r="EH28694"/>
      <c r="EI28694"/>
      <c r="EJ28694"/>
      <c r="EK28694"/>
    </row>
    <row r="28695" spans="1:141" s="116" customFormat="1">
      <c r="A28695" s="136"/>
      <c r="CM28695" s="111"/>
      <c r="CQ28695" s="111"/>
      <c r="EF28695"/>
      <c r="EG28695"/>
      <c r="EH28695"/>
      <c r="EI28695"/>
      <c r="EJ28695"/>
      <c r="EK28695"/>
    </row>
    <row r="28696" spans="1:141" s="116" customFormat="1">
      <c r="A28696" s="136"/>
      <c r="CM28696" s="111"/>
      <c r="CQ28696" s="111"/>
      <c r="EF28696"/>
      <c r="EG28696"/>
      <c r="EH28696"/>
      <c r="EI28696"/>
      <c r="EJ28696"/>
      <c r="EK28696"/>
    </row>
    <row r="28697" spans="1:141" s="116" customFormat="1">
      <c r="A28697" s="136"/>
      <c r="CM28697" s="111"/>
      <c r="CQ28697" s="111"/>
      <c r="EF28697"/>
      <c r="EG28697"/>
      <c r="EH28697"/>
      <c r="EI28697"/>
      <c r="EJ28697"/>
      <c r="EK28697"/>
    </row>
    <row r="28698" spans="1:141" s="116" customFormat="1">
      <c r="A28698" s="136"/>
      <c r="CM28698" s="111"/>
      <c r="CQ28698" s="111"/>
      <c r="EF28698"/>
      <c r="EG28698"/>
      <c r="EH28698"/>
      <c r="EI28698"/>
      <c r="EJ28698"/>
      <c r="EK28698"/>
    </row>
    <row r="28699" spans="1:141" s="116" customFormat="1">
      <c r="A28699" s="136"/>
      <c r="CM28699" s="111"/>
      <c r="CQ28699" s="111"/>
      <c r="EF28699"/>
      <c r="EG28699"/>
      <c r="EH28699"/>
      <c r="EI28699"/>
      <c r="EJ28699"/>
      <c r="EK28699"/>
    </row>
    <row r="28700" spans="1:141" s="116" customFormat="1">
      <c r="A28700" s="136"/>
      <c r="CM28700" s="111"/>
      <c r="CQ28700" s="111"/>
      <c r="EF28700"/>
      <c r="EG28700"/>
      <c r="EH28700"/>
      <c r="EI28700"/>
      <c r="EJ28700"/>
      <c r="EK28700"/>
    </row>
    <row r="28701" spans="1:141" s="116" customFormat="1">
      <c r="A28701" s="136"/>
      <c r="CM28701" s="111"/>
      <c r="CQ28701" s="111"/>
      <c r="EF28701"/>
      <c r="EG28701"/>
      <c r="EH28701"/>
      <c r="EI28701"/>
      <c r="EJ28701"/>
      <c r="EK28701"/>
    </row>
    <row r="28702" spans="1:141" s="116" customFormat="1">
      <c r="A28702" s="136"/>
      <c r="CM28702" s="111"/>
      <c r="CQ28702" s="111"/>
      <c r="EF28702"/>
      <c r="EG28702"/>
      <c r="EH28702"/>
      <c r="EI28702"/>
      <c r="EJ28702"/>
      <c r="EK28702"/>
    </row>
    <row r="28703" spans="1:141" s="116" customFormat="1">
      <c r="A28703" s="136"/>
      <c r="CM28703" s="111"/>
      <c r="CQ28703" s="111"/>
      <c r="EF28703"/>
      <c r="EG28703"/>
      <c r="EH28703"/>
      <c r="EI28703"/>
      <c r="EJ28703"/>
      <c r="EK28703"/>
    </row>
    <row r="28704" spans="1:141" s="116" customFormat="1">
      <c r="A28704" s="136"/>
      <c r="CM28704" s="111"/>
      <c r="CQ28704" s="111"/>
      <c r="EF28704"/>
      <c r="EG28704"/>
      <c r="EH28704"/>
      <c r="EI28704"/>
      <c r="EJ28704"/>
      <c r="EK28704"/>
    </row>
    <row r="28705" spans="1:141" s="116" customFormat="1">
      <c r="A28705" s="136"/>
      <c r="CM28705" s="111"/>
      <c r="CQ28705" s="111"/>
      <c r="EF28705"/>
      <c r="EG28705"/>
      <c r="EH28705"/>
      <c r="EI28705"/>
      <c r="EJ28705"/>
      <c r="EK28705"/>
    </row>
    <row r="28706" spans="1:141" s="116" customFormat="1">
      <c r="A28706" s="136"/>
      <c r="CM28706" s="111"/>
      <c r="CQ28706" s="111"/>
      <c r="EF28706"/>
      <c r="EG28706"/>
      <c r="EH28706"/>
      <c r="EI28706"/>
      <c r="EJ28706"/>
      <c r="EK28706"/>
    </row>
    <row r="28707" spans="1:141" s="116" customFormat="1">
      <c r="A28707" s="136"/>
      <c r="CM28707" s="111"/>
      <c r="CQ28707" s="111"/>
      <c r="EF28707"/>
      <c r="EG28707"/>
      <c r="EH28707"/>
      <c r="EI28707"/>
      <c r="EJ28707"/>
      <c r="EK28707"/>
    </row>
    <row r="28708" spans="1:141" s="116" customFormat="1">
      <c r="A28708" s="136"/>
      <c r="CM28708" s="111"/>
      <c r="CQ28708" s="111"/>
      <c r="EF28708"/>
      <c r="EG28708"/>
      <c r="EH28708"/>
      <c r="EI28708"/>
      <c r="EJ28708"/>
      <c r="EK28708"/>
    </row>
    <row r="28709" spans="1:141" s="116" customFormat="1">
      <c r="A28709" s="136"/>
      <c r="CM28709" s="111"/>
      <c r="CQ28709" s="111"/>
      <c r="EF28709"/>
      <c r="EG28709"/>
      <c r="EH28709"/>
      <c r="EI28709"/>
      <c r="EJ28709"/>
      <c r="EK28709"/>
    </row>
    <row r="28710" spans="1:141" s="116" customFormat="1">
      <c r="A28710" s="136"/>
      <c r="CM28710" s="111"/>
      <c r="CQ28710" s="111"/>
      <c r="EF28710"/>
      <c r="EG28710"/>
      <c r="EH28710"/>
      <c r="EI28710"/>
      <c r="EJ28710"/>
      <c r="EK28710"/>
    </row>
    <row r="28711" spans="1:141" s="116" customFormat="1">
      <c r="A28711" s="136"/>
      <c r="CM28711" s="111"/>
      <c r="CQ28711" s="111"/>
      <c r="EF28711"/>
      <c r="EG28711"/>
      <c r="EH28711"/>
      <c r="EI28711"/>
      <c r="EJ28711"/>
      <c r="EK28711"/>
    </row>
    <row r="28712" spans="1:141" s="116" customFormat="1">
      <c r="A28712" s="136"/>
      <c r="CM28712" s="111"/>
      <c r="CQ28712" s="111"/>
      <c r="EF28712"/>
      <c r="EG28712"/>
      <c r="EH28712"/>
      <c r="EI28712"/>
      <c r="EJ28712"/>
      <c r="EK28712"/>
    </row>
    <row r="28713" spans="1:141" s="116" customFormat="1">
      <c r="A28713" s="136"/>
      <c r="CM28713" s="111"/>
      <c r="CQ28713" s="111"/>
      <c r="EF28713"/>
      <c r="EG28713"/>
      <c r="EH28713"/>
      <c r="EI28713"/>
      <c r="EJ28713"/>
      <c r="EK28713"/>
    </row>
    <row r="28714" spans="1:141" s="116" customFormat="1">
      <c r="A28714" s="136"/>
      <c r="CM28714" s="111"/>
      <c r="CQ28714" s="111"/>
      <c r="EF28714"/>
      <c r="EG28714"/>
      <c r="EH28714"/>
      <c r="EI28714"/>
      <c r="EJ28714"/>
      <c r="EK28714"/>
    </row>
    <row r="28715" spans="1:141" s="116" customFormat="1">
      <c r="A28715" s="136"/>
      <c r="CM28715" s="111"/>
      <c r="CQ28715" s="111"/>
      <c r="EF28715"/>
      <c r="EG28715"/>
      <c r="EH28715"/>
      <c r="EI28715"/>
      <c r="EJ28715"/>
      <c r="EK28715"/>
    </row>
    <row r="28716" spans="1:141" s="116" customFormat="1">
      <c r="A28716" s="136"/>
      <c r="CM28716" s="111"/>
      <c r="CQ28716" s="111"/>
      <c r="EF28716"/>
      <c r="EG28716"/>
      <c r="EH28716"/>
      <c r="EI28716"/>
      <c r="EJ28716"/>
      <c r="EK28716"/>
    </row>
    <row r="28717" spans="1:141" s="116" customFormat="1">
      <c r="A28717" s="136"/>
      <c r="CM28717" s="111"/>
      <c r="CQ28717" s="111"/>
      <c r="EF28717"/>
      <c r="EG28717"/>
      <c r="EH28717"/>
      <c r="EI28717"/>
      <c r="EJ28717"/>
      <c r="EK28717"/>
    </row>
    <row r="28718" spans="1:141" s="116" customFormat="1">
      <c r="A28718" s="136"/>
      <c r="CM28718" s="111"/>
      <c r="CQ28718" s="111"/>
      <c r="EF28718"/>
      <c r="EG28718"/>
      <c r="EH28718"/>
      <c r="EI28718"/>
      <c r="EJ28718"/>
      <c r="EK28718"/>
    </row>
    <row r="28719" spans="1:141" s="116" customFormat="1">
      <c r="A28719" s="136"/>
      <c r="CM28719" s="111"/>
      <c r="CQ28719" s="111"/>
      <c r="EF28719"/>
      <c r="EG28719"/>
      <c r="EH28719"/>
      <c r="EI28719"/>
      <c r="EJ28719"/>
      <c r="EK28719"/>
    </row>
    <row r="28720" spans="1:141" s="116" customFormat="1">
      <c r="A28720" s="136"/>
      <c r="CM28720" s="111"/>
      <c r="CQ28720" s="111"/>
      <c r="EF28720"/>
      <c r="EG28720"/>
      <c r="EH28720"/>
      <c r="EI28720"/>
      <c r="EJ28720"/>
      <c r="EK28720"/>
    </row>
    <row r="28721" spans="1:141" s="116" customFormat="1">
      <c r="A28721" s="136"/>
      <c r="CM28721" s="111"/>
      <c r="CQ28721" s="111"/>
      <c r="EF28721"/>
      <c r="EG28721"/>
      <c r="EH28721"/>
      <c r="EI28721"/>
      <c r="EJ28721"/>
      <c r="EK28721"/>
    </row>
    <row r="28722" spans="1:141" s="116" customFormat="1">
      <c r="A28722" s="136"/>
      <c r="CM28722" s="111"/>
      <c r="CQ28722" s="111"/>
      <c r="EF28722"/>
      <c r="EG28722"/>
      <c r="EH28722"/>
      <c r="EI28722"/>
      <c r="EJ28722"/>
      <c r="EK28722"/>
    </row>
    <row r="28723" spans="1:141" s="116" customFormat="1">
      <c r="A28723" s="136"/>
      <c r="CM28723" s="111"/>
      <c r="CQ28723" s="111"/>
      <c r="EF28723"/>
      <c r="EG28723"/>
      <c r="EH28723"/>
      <c r="EI28723"/>
      <c r="EJ28723"/>
      <c r="EK28723"/>
    </row>
    <row r="28724" spans="1:141" s="116" customFormat="1">
      <c r="A28724" s="136"/>
      <c r="CM28724" s="111"/>
      <c r="CQ28724" s="111"/>
      <c r="EF28724"/>
      <c r="EG28724"/>
      <c r="EH28724"/>
      <c r="EI28724"/>
      <c r="EJ28724"/>
      <c r="EK28724"/>
    </row>
    <row r="28725" spans="1:141" s="116" customFormat="1">
      <c r="A28725" s="136"/>
      <c r="CM28725" s="111"/>
      <c r="CQ28725" s="111"/>
      <c r="EF28725"/>
      <c r="EG28725"/>
      <c r="EH28725"/>
      <c r="EI28725"/>
      <c r="EJ28725"/>
      <c r="EK28725"/>
    </row>
    <row r="28726" spans="1:141" s="116" customFormat="1">
      <c r="A28726" s="136"/>
      <c r="CM28726" s="111"/>
      <c r="CQ28726" s="111"/>
      <c r="EF28726"/>
      <c r="EG28726"/>
      <c r="EH28726"/>
      <c r="EI28726"/>
      <c r="EJ28726"/>
      <c r="EK28726"/>
    </row>
    <row r="28727" spans="1:141" s="116" customFormat="1">
      <c r="A28727" s="136"/>
      <c r="CM28727" s="111"/>
      <c r="CQ28727" s="111"/>
      <c r="EF28727"/>
      <c r="EG28727"/>
      <c r="EH28727"/>
      <c r="EI28727"/>
      <c r="EJ28727"/>
      <c r="EK28727"/>
    </row>
    <row r="28728" spans="1:141" s="116" customFormat="1">
      <c r="A28728" s="136"/>
      <c r="CM28728" s="111"/>
      <c r="CQ28728" s="111"/>
      <c r="EF28728"/>
      <c r="EG28728"/>
      <c r="EH28728"/>
      <c r="EI28728"/>
      <c r="EJ28728"/>
      <c r="EK28728"/>
    </row>
    <row r="28729" spans="1:141" s="116" customFormat="1">
      <c r="A28729" s="136"/>
      <c r="CM28729" s="111"/>
      <c r="CQ28729" s="111"/>
      <c r="EF28729"/>
      <c r="EG28729"/>
      <c r="EH28729"/>
      <c r="EI28729"/>
      <c r="EJ28729"/>
      <c r="EK28729"/>
    </row>
    <row r="28730" spans="1:141" s="116" customFormat="1">
      <c r="A28730" s="136"/>
      <c r="CM28730" s="111"/>
      <c r="CQ28730" s="111"/>
      <c r="EF28730"/>
      <c r="EG28730"/>
      <c r="EH28730"/>
      <c r="EI28730"/>
      <c r="EJ28730"/>
      <c r="EK28730"/>
    </row>
    <row r="28731" spans="1:141" s="116" customFormat="1">
      <c r="A28731" s="136"/>
      <c r="CM28731" s="111"/>
      <c r="CQ28731" s="111"/>
      <c r="EF28731"/>
      <c r="EG28731"/>
      <c r="EH28731"/>
      <c r="EI28731"/>
      <c r="EJ28731"/>
      <c r="EK28731"/>
    </row>
    <row r="28732" spans="1:141" s="116" customFormat="1">
      <c r="A28732" s="136"/>
      <c r="CM28732" s="111"/>
      <c r="CQ28732" s="111"/>
      <c r="EF28732"/>
      <c r="EG28732"/>
      <c r="EH28732"/>
      <c r="EI28732"/>
      <c r="EJ28732"/>
      <c r="EK28732"/>
    </row>
    <row r="28733" spans="1:141" s="116" customFormat="1">
      <c r="A28733" s="136"/>
      <c r="CM28733" s="111"/>
      <c r="CQ28733" s="111"/>
      <c r="EF28733"/>
      <c r="EG28733"/>
      <c r="EH28733"/>
      <c r="EI28733"/>
      <c r="EJ28733"/>
      <c r="EK28733"/>
    </row>
    <row r="28734" spans="1:141" s="116" customFormat="1">
      <c r="A28734" s="136"/>
      <c r="CM28734" s="111"/>
      <c r="CQ28734" s="111"/>
      <c r="EF28734"/>
      <c r="EG28734"/>
      <c r="EH28734"/>
      <c r="EI28734"/>
      <c r="EJ28734"/>
      <c r="EK28734"/>
    </row>
    <row r="28735" spans="1:141" s="116" customFormat="1">
      <c r="A28735" s="136"/>
      <c r="CM28735" s="111"/>
      <c r="CQ28735" s="111"/>
      <c r="EF28735"/>
      <c r="EG28735"/>
      <c r="EH28735"/>
      <c r="EI28735"/>
      <c r="EJ28735"/>
      <c r="EK28735"/>
    </row>
    <row r="28736" spans="1:141" s="116" customFormat="1">
      <c r="A28736" s="136"/>
      <c r="CM28736" s="111"/>
      <c r="CQ28736" s="111"/>
      <c r="EF28736"/>
      <c r="EG28736"/>
      <c r="EH28736"/>
      <c r="EI28736"/>
      <c r="EJ28736"/>
      <c r="EK28736"/>
    </row>
    <row r="28737" spans="1:141" s="116" customFormat="1">
      <c r="A28737" s="136"/>
      <c r="CM28737" s="111"/>
      <c r="CQ28737" s="111"/>
      <c r="EF28737"/>
      <c r="EG28737"/>
      <c r="EH28737"/>
      <c r="EI28737"/>
      <c r="EJ28737"/>
      <c r="EK28737"/>
    </row>
    <row r="28738" spans="1:141" s="116" customFormat="1">
      <c r="A28738" s="136"/>
      <c r="CM28738" s="111"/>
      <c r="CQ28738" s="111"/>
      <c r="EF28738"/>
      <c r="EG28738"/>
      <c r="EH28738"/>
      <c r="EI28738"/>
      <c r="EJ28738"/>
      <c r="EK28738"/>
    </row>
    <row r="28739" spans="1:141" s="116" customFormat="1">
      <c r="A28739" s="136"/>
      <c r="CM28739" s="111"/>
      <c r="CQ28739" s="111"/>
      <c r="EF28739"/>
      <c r="EG28739"/>
      <c r="EH28739"/>
      <c r="EI28739"/>
      <c r="EJ28739"/>
      <c r="EK28739"/>
    </row>
    <row r="28740" spans="1:141" s="116" customFormat="1">
      <c r="A28740" s="136"/>
      <c r="CM28740" s="111"/>
      <c r="CQ28740" s="111"/>
      <c r="EF28740"/>
      <c r="EG28740"/>
      <c r="EH28740"/>
      <c r="EI28740"/>
      <c r="EJ28740"/>
      <c r="EK28740"/>
    </row>
    <row r="28741" spans="1:141" s="116" customFormat="1">
      <c r="A28741" s="136"/>
      <c r="CM28741" s="111"/>
      <c r="CQ28741" s="111"/>
      <c r="EF28741"/>
      <c r="EG28741"/>
      <c r="EH28741"/>
      <c r="EI28741"/>
      <c r="EJ28741"/>
      <c r="EK28741"/>
    </row>
    <row r="28742" spans="1:141" s="116" customFormat="1">
      <c r="A28742" s="136"/>
      <c r="CM28742" s="111"/>
      <c r="CQ28742" s="111"/>
      <c r="EF28742"/>
      <c r="EG28742"/>
      <c r="EH28742"/>
      <c r="EI28742"/>
      <c r="EJ28742"/>
      <c r="EK28742"/>
    </row>
    <row r="28743" spans="1:141" s="116" customFormat="1">
      <c r="A28743" s="136"/>
      <c r="CM28743" s="111"/>
      <c r="CQ28743" s="111"/>
      <c r="EF28743"/>
      <c r="EG28743"/>
      <c r="EH28743"/>
      <c r="EI28743"/>
      <c r="EJ28743"/>
      <c r="EK28743"/>
    </row>
    <row r="28744" spans="1:141" s="116" customFormat="1">
      <c r="A28744" s="136"/>
      <c r="CM28744" s="111"/>
      <c r="CQ28744" s="111"/>
      <c r="EF28744"/>
      <c r="EG28744"/>
      <c r="EH28744"/>
      <c r="EI28744"/>
      <c r="EJ28744"/>
      <c r="EK28744"/>
    </row>
    <row r="28745" spans="1:141" s="116" customFormat="1">
      <c r="A28745" s="136"/>
      <c r="CM28745" s="111"/>
      <c r="CQ28745" s="111"/>
      <c r="EF28745"/>
      <c r="EG28745"/>
      <c r="EH28745"/>
      <c r="EI28745"/>
      <c r="EJ28745"/>
      <c r="EK28745"/>
    </row>
    <row r="28746" spans="1:141" s="116" customFormat="1">
      <c r="A28746" s="136"/>
      <c r="CM28746" s="111"/>
      <c r="CQ28746" s="111"/>
      <c r="EF28746"/>
      <c r="EG28746"/>
      <c r="EH28746"/>
      <c r="EI28746"/>
      <c r="EJ28746"/>
      <c r="EK28746"/>
    </row>
    <row r="28747" spans="1:141" s="116" customFormat="1">
      <c r="A28747" s="136"/>
      <c r="CM28747" s="111"/>
      <c r="CQ28747" s="111"/>
      <c r="EF28747"/>
      <c r="EG28747"/>
      <c r="EH28747"/>
      <c r="EI28747"/>
      <c r="EJ28747"/>
      <c r="EK28747"/>
    </row>
    <row r="28748" spans="1:141" s="116" customFormat="1">
      <c r="A28748" s="136"/>
      <c r="CM28748" s="111"/>
      <c r="CQ28748" s="111"/>
      <c r="EF28748"/>
      <c r="EG28748"/>
      <c r="EH28748"/>
      <c r="EI28748"/>
      <c r="EJ28748"/>
      <c r="EK28748"/>
    </row>
    <row r="28749" spans="1:141" s="116" customFormat="1">
      <c r="A28749" s="136"/>
      <c r="CM28749" s="111"/>
      <c r="CQ28749" s="111"/>
      <c r="EF28749"/>
      <c r="EG28749"/>
      <c r="EH28749"/>
      <c r="EI28749"/>
      <c r="EJ28749"/>
      <c r="EK28749"/>
    </row>
    <row r="28750" spans="1:141" s="116" customFormat="1">
      <c r="A28750" s="136"/>
      <c r="CM28750" s="111"/>
      <c r="CQ28750" s="111"/>
      <c r="EF28750"/>
      <c r="EG28750"/>
      <c r="EH28750"/>
      <c r="EI28750"/>
      <c r="EJ28750"/>
      <c r="EK28750"/>
    </row>
    <row r="28751" spans="1:141" s="116" customFormat="1">
      <c r="A28751" s="136"/>
      <c r="CM28751" s="111"/>
      <c r="CQ28751" s="111"/>
      <c r="EF28751"/>
      <c r="EG28751"/>
      <c r="EH28751"/>
      <c r="EI28751"/>
      <c r="EJ28751"/>
      <c r="EK28751"/>
    </row>
    <row r="28752" spans="1:141" s="116" customFormat="1">
      <c r="A28752" s="136"/>
      <c r="CM28752" s="111"/>
      <c r="CQ28752" s="111"/>
      <c r="EF28752"/>
      <c r="EG28752"/>
      <c r="EH28752"/>
      <c r="EI28752"/>
      <c r="EJ28752"/>
      <c r="EK28752"/>
    </row>
    <row r="28753" spans="1:141" s="116" customFormat="1">
      <c r="A28753" s="136"/>
      <c r="CM28753" s="111"/>
      <c r="CQ28753" s="111"/>
      <c r="EF28753"/>
      <c r="EG28753"/>
      <c r="EH28753"/>
      <c r="EI28753"/>
      <c r="EJ28753"/>
      <c r="EK28753"/>
    </row>
    <row r="28754" spans="1:141" s="116" customFormat="1">
      <c r="A28754" s="136"/>
      <c r="CM28754" s="111"/>
      <c r="CQ28754" s="111"/>
      <c r="EF28754"/>
      <c r="EG28754"/>
      <c r="EH28754"/>
      <c r="EI28754"/>
      <c r="EJ28754"/>
      <c r="EK28754"/>
    </row>
    <row r="28755" spans="1:141" s="116" customFormat="1">
      <c r="A28755" s="136"/>
      <c r="CM28755" s="111"/>
      <c r="CQ28755" s="111"/>
      <c r="EF28755"/>
      <c r="EG28755"/>
      <c r="EH28755"/>
      <c r="EI28755"/>
      <c r="EJ28755"/>
      <c r="EK28755"/>
    </row>
    <row r="28756" spans="1:141" s="116" customFormat="1">
      <c r="A28756" s="136"/>
      <c r="CM28756" s="111"/>
      <c r="CQ28756" s="111"/>
      <c r="EF28756"/>
      <c r="EG28756"/>
      <c r="EH28756"/>
      <c r="EI28756"/>
      <c r="EJ28756"/>
      <c r="EK28756"/>
    </row>
    <row r="28757" spans="1:141" s="116" customFormat="1">
      <c r="A28757" s="136"/>
      <c r="CM28757" s="111"/>
      <c r="CQ28757" s="111"/>
      <c r="EF28757"/>
      <c r="EG28757"/>
      <c r="EH28757"/>
      <c r="EI28757"/>
      <c r="EJ28757"/>
      <c r="EK28757"/>
    </row>
    <row r="28758" spans="1:141" s="116" customFormat="1">
      <c r="A28758" s="136"/>
      <c r="CM28758" s="111"/>
      <c r="CQ28758" s="111"/>
      <c r="EF28758"/>
      <c r="EG28758"/>
      <c r="EH28758"/>
      <c r="EI28758"/>
      <c r="EJ28758"/>
      <c r="EK28758"/>
    </row>
    <row r="28759" spans="1:141" s="116" customFormat="1">
      <c r="A28759" s="136"/>
      <c r="CM28759" s="111"/>
      <c r="CQ28759" s="111"/>
      <c r="EF28759"/>
      <c r="EG28759"/>
      <c r="EH28759"/>
      <c r="EI28759"/>
      <c r="EJ28759"/>
      <c r="EK28759"/>
    </row>
    <row r="28760" spans="1:141" s="116" customFormat="1">
      <c r="A28760" s="136"/>
      <c r="CM28760" s="111"/>
      <c r="CQ28760" s="111"/>
      <c r="EF28760"/>
      <c r="EG28760"/>
      <c r="EH28760"/>
      <c r="EI28760"/>
      <c r="EJ28760"/>
      <c r="EK28760"/>
    </row>
    <row r="28761" spans="1:141" s="116" customFormat="1">
      <c r="A28761" s="136"/>
      <c r="CM28761" s="111"/>
      <c r="CQ28761" s="111"/>
      <c r="EF28761"/>
      <c r="EG28761"/>
      <c r="EH28761"/>
      <c r="EI28761"/>
      <c r="EJ28761"/>
      <c r="EK28761"/>
    </row>
    <row r="28762" spans="1:141" s="116" customFormat="1">
      <c r="A28762" s="136"/>
      <c r="CM28762" s="111"/>
      <c r="CQ28762" s="111"/>
      <c r="EF28762"/>
      <c r="EG28762"/>
      <c r="EH28762"/>
      <c r="EI28762"/>
      <c r="EJ28762"/>
      <c r="EK28762"/>
    </row>
    <row r="28763" spans="1:141" s="116" customFormat="1">
      <c r="A28763" s="136"/>
      <c r="CM28763" s="111"/>
      <c r="CQ28763" s="111"/>
      <c r="EF28763"/>
      <c r="EG28763"/>
      <c r="EH28763"/>
      <c r="EI28763"/>
      <c r="EJ28763"/>
      <c r="EK28763"/>
    </row>
    <row r="28764" spans="1:141" s="116" customFormat="1">
      <c r="A28764" s="136"/>
      <c r="CM28764" s="111"/>
      <c r="CQ28764" s="111"/>
      <c r="EF28764"/>
      <c r="EG28764"/>
      <c r="EH28764"/>
      <c r="EI28764"/>
      <c r="EJ28764"/>
      <c r="EK28764"/>
    </row>
    <row r="28765" spans="1:141" s="116" customFormat="1">
      <c r="A28765" s="136"/>
      <c r="CM28765" s="111"/>
      <c r="CQ28765" s="111"/>
      <c r="EF28765"/>
      <c r="EG28765"/>
      <c r="EH28765"/>
      <c r="EI28765"/>
      <c r="EJ28765"/>
      <c r="EK28765"/>
    </row>
    <row r="28766" spans="1:141" s="116" customFormat="1">
      <c r="A28766" s="136"/>
      <c r="CM28766" s="111"/>
      <c r="CQ28766" s="111"/>
      <c r="EF28766"/>
      <c r="EG28766"/>
      <c r="EH28766"/>
      <c r="EI28766"/>
      <c r="EJ28766"/>
      <c r="EK28766"/>
    </row>
    <row r="28767" spans="1:141" s="116" customFormat="1">
      <c r="A28767" s="136"/>
      <c r="CM28767" s="111"/>
      <c r="CQ28767" s="111"/>
      <c r="EF28767"/>
      <c r="EG28767"/>
      <c r="EH28767"/>
      <c r="EI28767"/>
      <c r="EJ28767"/>
      <c r="EK28767"/>
    </row>
    <row r="28768" spans="1:141" s="116" customFormat="1">
      <c r="A28768" s="136"/>
      <c r="CM28768" s="111"/>
      <c r="CQ28768" s="111"/>
      <c r="EF28768"/>
      <c r="EG28768"/>
      <c r="EH28768"/>
      <c r="EI28768"/>
      <c r="EJ28768"/>
      <c r="EK28768"/>
    </row>
    <row r="28769" spans="1:141" s="116" customFormat="1">
      <c r="A28769" s="136"/>
      <c r="CM28769" s="111"/>
      <c r="CQ28769" s="111"/>
      <c r="EF28769"/>
      <c r="EG28769"/>
      <c r="EH28769"/>
      <c r="EI28769"/>
      <c r="EJ28769"/>
      <c r="EK28769"/>
    </row>
    <row r="28770" spans="1:141" s="116" customFormat="1">
      <c r="A28770" s="136"/>
      <c r="CM28770" s="111"/>
      <c r="CQ28770" s="111"/>
      <c r="EF28770"/>
      <c r="EG28770"/>
      <c r="EH28770"/>
      <c r="EI28770"/>
      <c r="EJ28770"/>
      <c r="EK28770"/>
    </row>
    <row r="28771" spans="1:141" s="116" customFormat="1">
      <c r="A28771" s="136"/>
      <c r="CM28771" s="111"/>
      <c r="CQ28771" s="111"/>
      <c r="EF28771"/>
      <c r="EG28771"/>
      <c r="EH28771"/>
      <c r="EI28771"/>
      <c r="EJ28771"/>
      <c r="EK28771"/>
    </row>
    <row r="28772" spans="1:141" s="116" customFormat="1">
      <c r="A28772" s="136"/>
      <c r="CM28772" s="111"/>
      <c r="CQ28772" s="111"/>
      <c r="EF28772"/>
      <c r="EG28772"/>
      <c r="EH28772"/>
      <c r="EI28772"/>
      <c r="EJ28772"/>
      <c r="EK28772"/>
    </row>
    <row r="28773" spans="1:141" s="116" customFormat="1">
      <c r="A28773" s="136"/>
      <c r="CM28773" s="111"/>
      <c r="CQ28773" s="111"/>
      <c r="EF28773"/>
      <c r="EG28773"/>
      <c r="EH28773"/>
      <c r="EI28773"/>
      <c r="EJ28773"/>
      <c r="EK28773"/>
    </row>
    <row r="28774" spans="1:141" s="116" customFormat="1">
      <c r="A28774" s="136"/>
      <c r="CM28774" s="111"/>
      <c r="CQ28774" s="111"/>
      <c r="EF28774"/>
      <c r="EG28774"/>
      <c r="EH28774"/>
      <c r="EI28774"/>
      <c r="EJ28774"/>
      <c r="EK28774"/>
    </row>
    <row r="28775" spans="1:141" s="116" customFormat="1">
      <c r="A28775" s="136"/>
      <c r="CM28775" s="111"/>
      <c r="CQ28775" s="111"/>
      <c r="EF28775"/>
      <c r="EG28775"/>
      <c r="EH28775"/>
      <c r="EI28775"/>
      <c r="EJ28775"/>
      <c r="EK28775"/>
    </row>
    <row r="28776" spans="1:141" s="116" customFormat="1">
      <c r="A28776" s="136"/>
      <c r="CM28776" s="111"/>
      <c r="CQ28776" s="111"/>
      <c r="EF28776"/>
      <c r="EG28776"/>
      <c r="EH28776"/>
      <c r="EI28776"/>
      <c r="EJ28776"/>
      <c r="EK28776"/>
    </row>
    <row r="28777" spans="1:141" s="116" customFormat="1">
      <c r="A28777" s="136"/>
      <c r="CM28777" s="111"/>
      <c r="CQ28777" s="111"/>
      <c r="EF28777"/>
      <c r="EG28777"/>
      <c r="EH28777"/>
      <c r="EI28777"/>
      <c r="EJ28777"/>
      <c r="EK28777"/>
    </row>
    <row r="28778" spans="1:141" s="116" customFormat="1">
      <c r="A28778" s="136"/>
      <c r="CM28778" s="111"/>
      <c r="CQ28778" s="111"/>
      <c r="EF28778"/>
      <c r="EG28778"/>
      <c r="EH28778"/>
      <c r="EI28778"/>
      <c r="EJ28778"/>
      <c r="EK28778"/>
    </row>
    <row r="28779" spans="1:141" s="116" customFormat="1">
      <c r="A28779" s="136"/>
      <c r="CM28779" s="111"/>
      <c r="CQ28779" s="111"/>
      <c r="EF28779"/>
      <c r="EG28779"/>
      <c r="EH28779"/>
      <c r="EI28779"/>
      <c r="EJ28779"/>
      <c r="EK28779"/>
    </row>
    <row r="28780" spans="1:141" s="116" customFormat="1">
      <c r="A28780" s="136"/>
      <c r="CM28780" s="111"/>
      <c r="CQ28780" s="111"/>
      <c r="EF28780"/>
      <c r="EG28780"/>
      <c r="EH28780"/>
      <c r="EI28780"/>
      <c r="EJ28780"/>
      <c r="EK28780"/>
    </row>
    <row r="28781" spans="1:141" s="116" customFormat="1">
      <c r="A28781" s="136"/>
      <c r="CM28781" s="111"/>
      <c r="CQ28781" s="111"/>
      <c r="EF28781"/>
      <c r="EG28781"/>
      <c r="EH28781"/>
      <c r="EI28781"/>
      <c r="EJ28781"/>
      <c r="EK28781"/>
    </row>
    <row r="28782" spans="1:141" s="116" customFormat="1">
      <c r="A28782" s="136"/>
      <c r="CM28782" s="111"/>
      <c r="CQ28782" s="111"/>
      <c r="EF28782"/>
      <c r="EG28782"/>
      <c r="EH28782"/>
      <c r="EI28782"/>
      <c r="EJ28782"/>
      <c r="EK28782"/>
    </row>
    <row r="28783" spans="1:141" s="116" customFormat="1">
      <c r="A28783" s="136"/>
      <c r="CM28783" s="111"/>
      <c r="CQ28783" s="111"/>
      <c r="EF28783"/>
      <c r="EG28783"/>
      <c r="EH28783"/>
      <c r="EI28783"/>
      <c r="EJ28783"/>
      <c r="EK28783"/>
    </row>
    <row r="28784" spans="1:141" s="116" customFormat="1">
      <c r="A28784" s="136"/>
      <c r="CM28784" s="111"/>
      <c r="CQ28784" s="111"/>
      <c r="EF28784"/>
      <c r="EG28784"/>
      <c r="EH28784"/>
      <c r="EI28784"/>
      <c r="EJ28784"/>
      <c r="EK28784"/>
    </row>
    <row r="28785" spans="1:141" s="116" customFormat="1">
      <c r="A28785" s="136"/>
      <c r="CM28785" s="111"/>
      <c r="CQ28785" s="111"/>
      <c r="EF28785"/>
      <c r="EG28785"/>
      <c r="EH28785"/>
      <c r="EI28785"/>
      <c r="EJ28785"/>
      <c r="EK28785"/>
    </row>
    <row r="28786" spans="1:141" s="116" customFormat="1">
      <c r="A28786" s="136"/>
      <c r="CM28786" s="111"/>
      <c r="CQ28786" s="111"/>
      <c r="EF28786"/>
      <c r="EG28786"/>
      <c r="EH28786"/>
      <c r="EI28786"/>
      <c r="EJ28786"/>
      <c r="EK28786"/>
    </row>
    <row r="28787" spans="1:141" s="116" customFormat="1">
      <c r="A28787" s="136"/>
      <c r="CM28787" s="111"/>
      <c r="CQ28787" s="111"/>
      <c r="EF28787"/>
      <c r="EG28787"/>
      <c r="EH28787"/>
      <c r="EI28787"/>
      <c r="EJ28787"/>
      <c r="EK28787"/>
    </row>
    <row r="28788" spans="1:141" s="116" customFormat="1">
      <c r="A28788" s="136"/>
      <c r="CM28788" s="111"/>
      <c r="CQ28788" s="111"/>
      <c r="EF28788"/>
      <c r="EG28788"/>
      <c r="EH28788"/>
      <c r="EI28788"/>
      <c r="EJ28788"/>
      <c r="EK28788"/>
    </row>
    <row r="28789" spans="1:141" s="116" customFormat="1">
      <c r="A28789" s="136"/>
      <c r="CM28789" s="111"/>
      <c r="CQ28789" s="111"/>
      <c r="EF28789"/>
      <c r="EG28789"/>
      <c r="EH28789"/>
      <c r="EI28789"/>
      <c r="EJ28789"/>
      <c r="EK28789"/>
    </row>
    <row r="28790" spans="1:141" s="116" customFormat="1">
      <c r="A28790" s="136"/>
      <c r="CM28790" s="111"/>
      <c r="CQ28790" s="111"/>
      <c r="EF28790"/>
      <c r="EG28790"/>
      <c r="EH28790"/>
      <c r="EI28790"/>
      <c r="EJ28790"/>
      <c r="EK28790"/>
    </row>
    <row r="28791" spans="1:141" s="116" customFormat="1">
      <c r="A28791" s="136"/>
      <c r="CM28791" s="111"/>
      <c r="CQ28791" s="111"/>
      <c r="EF28791"/>
      <c r="EG28791"/>
      <c r="EH28791"/>
      <c r="EI28791"/>
      <c r="EJ28791"/>
      <c r="EK28791"/>
    </row>
    <row r="28792" spans="1:141" s="116" customFormat="1">
      <c r="A28792" s="136"/>
      <c r="CM28792" s="111"/>
      <c r="CQ28792" s="111"/>
      <c r="EF28792"/>
      <c r="EG28792"/>
      <c r="EH28792"/>
      <c r="EI28792"/>
      <c r="EJ28792"/>
      <c r="EK28792"/>
    </row>
    <row r="28793" spans="1:141" s="116" customFormat="1">
      <c r="A28793" s="136"/>
      <c r="CM28793" s="111"/>
      <c r="CQ28793" s="111"/>
      <c r="EF28793"/>
      <c r="EG28793"/>
      <c r="EH28793"/>
      <c r="EI28793"/>
      <c r="EJ28793"/>
      <c r="EK28793"/>
    </row>
    <row r="28794" spans="1:141" s="116" customFormat="1">
      <c r="A28794" s="136"/>
      <c r="CM28794" s="111"/>
      <c r="CQ28794" s="111"/>
      <c r="EF28794"/>
      <c r="EG28794"/>
      <c r="EH28794"/>
      <c r="EI28794"/>
      <c r="EJ28794"/>
      <c r="EK28794"/>
    </row>
    <row r="28795" spans="1:141" s="116" customFormat="1">
      <c r="A28795" s="136"/>
      <c r="CM28795" s="111"/>
      <c r="CQ28795" s="111"/>
      <c r="EF28795"/>
      <c r="EG28795"/>
      <c r="EH28795"/>
      <c r="EI28795"/>
      <c r="EJ28795"/>
      <c r="EK28795"/>
    </row>
    <row r="28796" spans="1:141" s="116" customFormat="1">
      <c r="A28796" s="136"/>
      <c r="CM28796" s="111"/>
      <c r="CQ28796" s="111"/>
      <c r="EF28796"/>
      <c r="EG28796"/>
      <c r="EH28796"/>
      <c r="EI28796"/>
      <c r="EJ28796"/>
      <c r="EK28796"/>
    </row>
    <row r="28797" spans="1:141" s="116" customFormat="1">
      <c r="A28797" s="136"/>
      <c r="CM28797" s="111"/>
      <c r="CQ28797" s="111"/>
      <c r="EF28797"/>
      <c r="EG28797"/>
      <c r="EH28797"/>
      <c r="EI28797"/>
      <c r="EJ28797"/>
      <c r="EK28797"/>
    </row>
    <row r="28798" spans="1:141" s="116" customFormat="1">
      <c r="A28798" s="136"/>
      <c r="CM28798" s="111"/>
      <c r="CQ28798" s="111"/>
      <c r="EF28798"/>
      <c r="EG28798"/>
      <c r="EH28798"/>
      <c r="EI28798"/>
      <c r="EJ28798"/>
      <c r="EK28798"/>
    </row>
    <row r="28799" spans="1:141" s="116" customFormat="1">
      <c r="A28799" s="136"/>
      <c r="CM28799" s="111"/>
      <c r="CQ28799" s="111"/>
      <c r="EF28799"/>
      <c r="EG28799"/>
      <c r="EH28799"/>
      <c r="EI28799"/>
      <c r="EJ28799"/>
      <c r="EK28799"/>
    </row>
    <row r="28800" spans="1:141" s="116" customFormat="1">
      <c r="A28800" s="136"/>
      <c r="CM28800" s="111"/>
      <c r="CQ28800" s="111"/>
      <c r="EF28800"/>
      <c r="EG28800"/>
      <c r="EH28800"/>
      <c r="EI28800"/>
      <c r="EJ28800"/>
      <c r="EK28800"/>
    </row>
    <row r="28801" spans="1:141" s="116" customFormat="1">
      <c r="A28801" s="136"/>
      <c r="CM28801" s="111"/>
      <c r="CQ28801" s="111"/>
      <c r="EF28801"/>
      <c r="EG28801"/>
      <c r="EH28801"/>
      <c r="EI28801"/>
      <c r="EJ28801"/>
      <c r="EK28801"/>
    </row>
    <row r="28802" spans="1:141" s="116" customFormat="1">
      <c r="A28802" s="136"/>
      <c r="CM28802" s="111"/>
      <c r="CQ28802" s="111"/>
      <c r="EF28802"/>
      <c r="EG28802"/>
      <c r="EH28802"/>
      <c r="EI28802"/>
      <c r="EJ28802"/>
      <c r="EK28802"/>
    </row>
    <row r="28803" spans="1:141" s="116" customFormat="1">
      <c r="A28803" s="136"/>
      <c r="CM28803" s="111"/>
      <c r="CQ28803" s="111"/>
      <c r="EF28803"/>
      <c r="EG28803"/>
      <c r="EH28803"/>
      <c r="EI28803"/>
      <c r="EJ28803"/>
      <c r="EK28803"/>
    </row>
    <row r="28804" spans="1:141" s="116" customFormat="1">
      <c r="A28804" s="136"/>
      <c r="CM28804" s="111"/>
      <c r="CQ28804" s="111"/>
      <c r="EF28804"/>
      <c r="EG28804"/>
      <c r="EH28804"/>
      <c r="EI28804"/>
      <c r="EJ28804"/>
      <c r="EK28804"/>
    </row>
    <row r="28805" spans="1:141" s="116" customFormat="1">
      <c r="A28805" s="136"/>
      <c r="CM28805" s="111"/>
      <c r="CQ28805" s="111"/>
      <c r="EF28805"/>
      <c r="EG28805"/>
      <c r="EH28805"/>
      <c r="EI28805"/>
      <c r="EJ28805"/>
      <c r="EK28805"/>
    </row>
    <row r="28806" spans="1:141" s="116" customFormat="1">
      <c r="A28806" s="136"/>
      <c r="CM28806" s="111"/>
      <c r="CQ28806" s="111"/>
      <c r="EF28806"/>
      <c r="EG28806"/>
      <c r="EH28806"/>
      <c r="EI28806"/>
      <c r="EJ28806"/>
      <c r="EK28806"/>
    </row>
    <row r="28807" spans="1:141" s="116" customFormat="1">
      <c r="A28807" s="136"/>
      <c r="CM28807" s="111"/>
      <c r="CQ28807" s="111"/>
      <c r="EF28807"/>
      <c r="EG28807"/>
      <c r="EH28807"/>
      <c r="EI28807"/>
      <c r="EJ28807"/>
      <c r="EK28807"/>
    </row>
    <row r="28808" spans="1:141" s="116" customFormat="1">
      <c r="A28808" s="136"/>
      <c r="CM28808" s="111"/>
      <c r="CQ28808" s="111"/>
      <c r="EF28808"/>
      <c r="EG28808"/>
      <c r="EH28808"/>
      <c r="EI28808"/>
      <c r="EJ28808"/>
      <c r="EK28808"/>
    </row>
    <row r="28809" spans="1:141" s="116" customFormat="1">
      <c r="A28809" s="136"/>
      <c r="CM28809" s="111"/>
      <c r="CQ28809" s="111"/>
      <c r="EF28809"/>
      <c r="EG28809"/>
      <c r="EH28809"/>
      <c r="EI28809"/>
      <c r="EJ28809"/>
      <c r="EK28809"/>
    </row>
    <row r="28810" spans="1:141" s="116" customFormat="1">
      <c r="A28810" s="136"/>
      <c r="CM28810" s="111"/>
      <c r="CQ28810" s="111"/>
      <c r="EF28810"/>
      <c r="EG28810"/>
      <c r="EH28810"/>
      <c r="EI28810"/>
      <c r="EJ28810"/>
      <c r="EK28810"/>
    </row>
    <row r="28811" spans="1:141" s="116" customFormat="1">
      <c r="A28811" s="136"/>
      <c r="CM28811" s="111"/>
      <c r="CQ28811" s="111"/>
      <c r="EF28811"/>
      <c r="EG28811"/>
      <c r="EH28811"/>
      <c r="EI28811"/>
      <c r="EJ28811"/>
      <c r="EK28811"/>
    </row>
    <row r="28812" spans="1:141" s="116" customFormat="1">
      <c r="A28812" s="136"/>
      <c r="CM28812" s="111"/>
      <c r="CQ28812" s="111"/>
      <c r="EF28812"/>
      <c r="EG28812"/>
      <c r="EH28812"/>
      <c r="EI28812"/>
      <c r="EJ28812"/>
      <c r="EK28812"/>
    </row>
    <row r="28813" spans="1:141" s="116" customFormat="1">
      <c r="A28813" s="136"/>
      <c r="CM28813" s="111"/>
      <c r="CQ28813" s="111"/>
      <c r="EF28813"/>
      <c r="EG28813"/>
      <c r="EH28813"/>
      <c r="EI28813"/>
      <c r="EJ28813"/>
      <c r="EK28813"/>
    </row>
    <row r="28814" spans="1:141" s="116" customFormat="1">
      <c r="A28814" s="136"/>
      <c r="CM28814" s="111"/>
      <c r="CQ28814" s="111"/>
      <c r="EF28814"/>
      <c r="EG28814"/>
      <c r="EH28814"/>
      <c r="EI28814"/>
      <c r="EJ28814"/>
      <c r="EK28814"/>
    </row>
    <row r="28815" spans="1:141" s="116" customFormat="1">
      <c r="A28815" s="136"/>
      <c r="CM28815" s="111"/>
      <c r="CQ28815" s="111"/>
      <c r="EF28815"/>
      <c r="EG28815"/>
      <c r="EH28815"/>
      <c r="EI28815"/>
      <c r="EJ28815"/>
      <c r="EK28815"/>
    </row>
    <row r="28816" spans="1:141" s="116" customFormat="1">
      <c r="A28816" s="136"/>
      <c r="CM28816" s="111"/>
      <c r="CQ28816" s="111"/>
      <c r="EF28816"/>
      <c r="EG28816"/>
      <c r="EH28816"/>
      <c r="EI28816"/>
      <c r="EJ28816"/>
      <c r="EK28816"/>
    </row>
    <row r="28817" spans="1:141" s="116" customFormat="1">
      <c r="A28817" s="136"/>
      <c r="CM28817" s="111"/>
      <c r="CQ28817" s="111"/>
      <c r="EF28817"/>
      <c r="EG28817"/>
      <c r="EH28817"/>
      <c r="EI28817"/>
      <c r="EJ28817"/>
      <c r="EK28817"/>
    </row>
    <row r="28818" spans="1:141" s="116" customFormat="1">
      <c r="A28818" s="136"/>
      <c r="CM28818" s="111"/>
      <c r="CQ28818" s="111"/>
      <c r="EF28818"/>
      <c r="EG28818"/>
      <c r="EH28818"/>
      <c r="EI28818"/>
      <c r="EJ28818"/>
      <c r="EK28818"/>
    </row>
    <row r="28819" spans="1:141" s="116" customFormat="1">
      <c r="A28819" s="136"/>
      <c r="CM28819" s="111"/>
      <c r="CQ28819" s="111"/>
      <c r="EF28819"/>
      <c r="EG28819"/>
      <c r="EH28819"/>
      <c r="EI28819"/>
      <c r="EJ28819"/>
      <c r="EK28819"/>
    </row>
    <row r="28820" spans="1:141" s="116" customFormat="1">
      <c r="A28820" s="136"/>
      <c r="CM28820" s="111"/>
      <c r="CQ28820" s="111"/>
      <c r="EF28820"/>
      <c r="EG28820"/>
      <c r="EH28820"/>
      <c r="EI28820"/>
      <c r="EJ28820"/>
      <c r="EK28820"/>
    </row>
    <row r="28821" spans="1:141" s="116" customFormat="1">
      <c r="A28821" s="136"/>
      <c r="CM28821" s="111"/>
      <c r="CQ28821" s="111"/>
      <c r="EF28821"/>
      <c r="EG28821"/>
      <c r="EH28821"/>
      <c r="EI28821"/>
      <c r="EJ28821"/>
      <c r="EK28821"/>
    </row>
    <row r="28822" spans="1:141" s="116" customFormat="1">
      <c r="A28822" s="136"/>
      <c r="CM28822" s="111"/>
      <c r="CQ28822" s="111"/>
      <c r="EF28822"/>
      <c r="EG28822"/>
      <c r="EH28822"/>
      <c r="EI28822"/>
      <c r="EJ28822"/>
      <c r="EK28822"/>
    </row>
    <row r="28823" spans="1:141" s="116" customFormat="1">
      <c r="A28823" s="136"/>
      <c r="CM28823" s="111"/>
      <c r="CQ28823" s="111"/>
      <c r="EF28823"/>
      <c r="EG28823"/>
      <c r="EH28823"/>
      <c r="EI28823"/>
      <c r="EJ28823"/>
      <c r="EK28823"/>
    </row>
    <row r="28824" spans="1:141" s="116" customFormat="1">
      <c r="A28824" s="136"/>
      <c r="CM28824" s="111"/>
      <c r="CQ28824" s="111"/>
      <c r="EF28824"/>
      <c r="EG28824"/>
      <c r="EH28824"/>
      <c r="EI28824"/>
      <c r="EJ28824"/>
      <c r="EK28824"/>
    </row>
    <row r="28825" spans="1:141" s="116" customFormat="1">
      <c r="A28825" s="136"/>
      <c r="CM28825" s="111"/>
      <c r="CQ28825" s="111"/>
      <c r="EF28825"/>
      <c r="EG28825"/>
      <c r="EH28825"/>
      <c r="EI28825"/>
      <c r="EJ28825"/>
      <c r="EK28825"/>
    </row>
    <row r="28826" spans="1:141" s="116" customFormat="1">
      <c r="A28826" s="136"/>
      <c r="CM28826" s="111"/>
      <c r="CQ28826" s="111"/>
      <c r="EF28826"/>
      <c r="EG28826"/>
      <c r="EH28826"/>
      <c r="EI28826"/>
      <c r="EJ28826"/>
      <c r="EK28826"/>
    </row>
    <row r="28827" spans="1:141" s="116" customFormat="1">
      <c r="A28827" s="136"/>
      <c r="CM28827" s="111"/>
      <c r="CQ28827" s="111"/>
      <c r="EF28827"/>
      <c r="EG28827"/>
      <c r="EH28827"/>
      <c r="EI28827"/>
      <c r="EJ28827"/>
      <c r="EK28827"/>
    </row>
    <row r="28828" spans="1:141" s="116" customFormat="1">
      <c r="A28828" s="136"/>
      <c r="CM28828" s="111"/>
      <c r="CQ28828" s="111"/>
      <c r="EF28828"/>
      <c r="EG28828"/>
      <c r="EH28828"/>
      <c r="EI28828"/>
      <c r="EJ28828"/>
      <c r="EK28828"/>
    </row>
    <row r="28829" spans="1:141" s="116" customFormat="1">
      <c r="A28829" s="136"/>
      <c r="CM28829" s="111"/>
      <c r="CQ28829" s="111"/>
      <c r="EF28829"/>
      <c r="EG28829"/>
      <c r="EH28829"/>
      <c r="EI28829"/>
      <c r="EJ28829"/>
      <c r="EK28829"/>
    </row>
    <row r="28830" spans="1:141" s="116" customFormat="1">
      <c r="A28830" s="136"/>
      <c r="CM28830" s="111"/>
      <c r="CQ28830" s="111"/>
      <c r="EF28830"/>
      <c r="EG28830"/>
      <c r="EH28830"/>
      <c r="EI28830"/>
      <c r="EJ28830"/>
      <c r="EK28830"/>
    </row>
    <row r="28831" spans="1:141" s="116" customFormat="1">
      <c r="A28831" s="136"/>
      <c r="CM28831" s="111"/>
      <c r="CQ28831" s="111"/>
      <c r="EF28831"/>
      <c r="EG28831"/>
      <c r="EH28831"/>
      <c r="EI28831"/>
      <c r="EJ28831"/>
      <c r="EK28831"/>
    </row>
    <row r="28832" spans="1:141" s="116" customFormat="1">
      <c r="A28832" s="136"/>
      <c r="CM28832" s="111"/>
      <c r="CQ28832" s="111"/>
      <c r="EF28832"/>
      <c r="EG28832"/>
      <c r="EH28832"/>
      <c r="EI28832"/>
      <c r="EJ28832"/>
      <c r="EK28832"/>
    </row>
    <row r="28833" spans="1:141" s="116" customFormat="1">
      <c r="A28833" s="136"/>
      <c r="CM28833" s="111"/>
      <c r="CQ28833" s="111"/>
      <c r="EF28833"/>
      <c r="EG28833"/>
      <c r="EH28833"/>
      <c r="EI28833"/>
      <c r="EJ28833"/>
      <c r="EK28833"/>
    </row>
    <row r="28834" spans="1:141" s="116" customFormat="1">
      <c r="A28834" s="136"/>
      <c r="CM28834" s="111"/>
      <c r="CQ28834" s="111"/>
      <c r="EF28834"/>
      <c r="EG28834"/>
      <c r="EH28834"/>
      <c r="EI28834"/>
      <c r="EJ28834"/>
      <c r="EK28834"/>
    </row>
    <row r="28835" spans="1:141" s="116" customFormat="1">
      <c r="A28835" s="136"/>
      <c r="CM28835" s="111"/>
      <c r="CQ28835" s="111"/>
      <c r="EF28835"/>
      <c r="EG28835"/>
      <c r="EH28835"/>
      <c r="EI28835"/>
      <c r="EJ28835"/>
      <c r="EK28835"/>
    </row>
    <row r="28836" spans="1:141" s="116" customFormat="1">
      <c r="A28836" s="136"/>
      <c r="CM28836" s="111"/>
      <c r="CQ28836" s="111"/>
      <c r="EF28836"/>
      <c r="EG28836"/>
      <c r="EH28836"/>
      <c r="EI28836"/>
      <c r="EJ28836"/>
      <c r="EK28836"/>
    </row>
    <row r="28837" spans="1:141" s="116" customFormat="1">
      <c r="A28837" s="136"/>
      <c r="CM28837" s="111"/>
      <c r="CQ28837" s="111"/>
      <c r="EF28837"/>
      <c r="EG28837"/>
      <c r="EH28837"/>
      <c r="EI28837"/>
      <c r="EJ28837"/>
      <c r="EK28837"/>
    </row>
    <row r="28838" spans="1:141" s="116" customFormat="1">
      <c r="A28838" s="136"/>
      <c r="CM28838" s="111"/>
      <c r="CQ28838" s="111"/>
      <c r="EF28838"/>
      <c r="EG28838"/>
      <c r="EH28838"/>
      <c r="EI28838"/>
      <c r="EJ28838"/>
      <c r="EK28838"/>
    </row>
    <row r="28839" spans="1:141" s="116" customFormat="1">
      <c r="A28839" s="136"/>
      <c r="CM28839" s="111"/>
      <c r="CQ28839" s="111"/>
      <c r="EF28839"/>
      <c r="EG28839"/>
      <c r="EH28839"/>
      <c r="EI28839"/>
      <c r="EJ28839"/>
      <c r="EK28839"/>
    </row>
    <row r="28840" spans="1:141" s="116" customFormat="1">
      <c r="A28840" s="136"/>
      <c r="CM28840" s="111"/>
      <c r="CQ28840" s="111"/>
      <c r="EF28840"/>
      <c r="EG28840"/>
      <c r="EH28840"/>
      <c r="EI28840"/>
      <c r="EJ28840"/>
      <c r="EK28840"/>
    </row>
    <row r="28841" spans="1:141" s="116" customFormat="1">
      <c r="A28841" s="136"/>
      <c r="CM28841" s="111"/>
      <c r="CQ28841" s="111"/>
      <c r="EF28841"/>
      <c r="EG28841"/>
      <c r="EH28841"/>
      <c r="EI28841"/>
      <c r="EJ28841"/>
      <c r="EK28841"/>
    </row>
    <row r="28842" spans="1:141" s="116" customFormat="1">
      <c r="A28842" s="136"/>
      <c r="CM28842" s="111"/>
      <c r="CQ28842" s="111"/>
      <c r="EF28842"/>
      <c r="EG28842"/>
      <c r="EH28842"/>
      <c r="EI28842"/>
      <c r="EJ28842"/>
      <c r="EK28842"/>
    </row>
    <row r="28843" spans="1:141" s="116" customFormat="1">
      <c r="A28843" s="136"/>
      <c r="CM28843" s="111"/>
      <c r="CQ28843" s="111"/>
      <c r="EF28843"/>
      <c r="EG28843"/>
      <c r="EH28843"/>
      <c r="EI28843"/>
      <c r="EJ28843"/>
      <c r="EK28843"/>
    </row>
    <row r="28844" spans="1:141" s="116" customFormat="1">
      <c r="A28844" s="136"/>
      <c r="CM28844" s="111"/>
      <c r="CQ28844" s="111"/>
      <c r="EF28844"/>
      <c r="EG28844"/>
      <c r="EH28844"/>
      <c r="EI28844"/>
      <c r="EJ28844"/>
      <c r="EK28844"/>
    </row>
    <row r="28845" spans="1:141" s="116" customFormat="1">
      <c r="A28845" s="136"/>
      <c r="CM28845" s="111"/>
      <c r="CQ28845" s="111"/>
      <c r="EF28845"/>
      <c r="EG28845"/>
      <c r="EH28845"/>
      <c r="EI28845"/>
      <c r="EJ28845"/>
      <c r="EK28845"/>
    </row>
    <row r="28846" spans="1:141" s="116" customFormat="1">
      <c r="A28846" s="136"/>
      <c r="CM28846" s="111"/>
      <c r="CQ28846" s="111"/>
      <c r="EF28846"/>
      <c r="EG28846"/>
      <c r="EH28846"/>
      <c r="EI28846"/>
      <c r="EJ28846"/>
      <c r="EK28846"/>
    </row>
    <row r="28847" spans="1:141" s="116" customFormat="1">
      <c r="A28847" s="136"/>
      <c r="CM28847" s="111"/>
      <c r="CQ28847" s="111"/>
      <c r="EF28847"/>
      <c r="EG28847"/>
      <c r="EH28847"/>
      <c r="EI28847"/>
      <c r="EJ28847"/>
      <c r="EK28847"/>
    </row>
    <row r="28848" spans="1:141" s="116" customFormat="1">
      <c r="A28848" s="136"/>
      <c r="CM28848" s="111"/>
      <c r="CQ28848" s="111"/>
      <c r="EF28848"/>
      <c r="EG28848"/>
      <c r="EH28848"/>
      <c r="EI28848"/>
      <c r="EJ28848"/>
      <c r="EK28848"/>
    </row>
    <row r="28849" spans="1:141" s="116" customFormat="1">
      <c r="A28849" s="136"/>
      <c r="CM28849" s="111"/>
      <c r="CQ28849" s="111"/>
      <c r="EF28849"/>
      <c r="EG28849"/>
      <c r="EH28849"/>
      <c r="EI28849"/>
      <c r="EJ28849"/>
      <c r="EK28849"/>
    </row>
    <row r="28850" spans="1:141" s="116" customFormat="1">
      <c r="A28850" s="136"/>
      <c r="CM28850" s="111"/>
      <c r="CQ28850" s="111"/>
      <c r="EF28850"/>
      <c r="EG28850"/>
      <c r="EH28850"/>
      <c r="EI28850"/>
      <c r="EJ28850"/>
      <c r="EK28850"/>
    </row>
    <row r="28851" spans="1:141" s="116" customFormat="1">
      <c r="A28851" s="136"/>
      <c r="CM28851" s="111"/>
      <c r="CQ28851" s="111"/>
      <c r="EF28851"/>
      <c r="EG28851"/>
      <c r="EH28851"/>
      <c r="EI28851"/>
      <c r="EJ28851"/>
      <c r="EK28851"/>
    </row>
    <row r="28852" spans="1:141" s="116" customFormat="1">
      <c r="A28852" s="136"/>
      <c r="CM28852" s="111"/>
      <c r="CQ28852" s="111"/>
      <c r="EF28852"/>
      <c r="EG28852"/>
      <c r="EH28852"/>
      <c r="EI28852"/>
      <c r="EJ28852"/>
      <c r="EK28852"/>
    </row>
    <row r="28853" spans="1:141" s="116" customFormat="1">
      <c r="A28853" s="136"/>
      <c r="CM28853" s="111"/>
      <c r="CQ28853" s="111"/>
      <c r="EF28853"/>
      <c r="EG28853"/>
      <c r="EH28853"/>
      <c r="EI28853"/>
      <c r="EJ28853"/>
      <c r="EK28853"/>
    </row>
    <row r="28854" spans="1:141" s="116" customFormat="1">
      <c r="A28854" s="136"/>
      <c r="CM28854" s="111"/>
      <c r="CQ28854" s="111"/>
      <c r="EF28854"/>
      <c r="EG28854"/>
      <c r="EH28854"/>
      <c r="EI28854"/>
      <c r="EJ28854"/>
      <c r="EK28854"/>
    </row>
    <row r="28855" spans="1:141" s="116" customFormat="1">
      <c r="A28855" s="136"/>
      <c r="CM28855" s="111"/>
      <c r="CQ28855" s="111"/>
      <c r="EF28855"/>
      <c r="EG28855"/>
      <c r="EH28855"/>
      <c r="EI28855"/>
      <c r="EJ28855"/>
      <c r="EK28855"/>
    </row>
    <row r="28856" spans="1:141" s="116" customFormat="1">
      <c r="A28856" s="136"/>
      <c r="CM28856" s="111"/>
      <c r="CQ28856" s="111"/>
      <c r="EF28856"/>
      <c r="EG28856"/>
      <c r="EH28856"/>
      <c r="EI28856"/>
      <c r="EJ28856"/>
      <c r="EK28856"/>
    </row>
    <row r="28857" spans="1:141" s="116" customFormat="1">
      <c r="A28857" s="136"/>
      <c r="CM28857" s="111"/>
      <c r="CQ28857" s="111"/>
      <c r="EF28857"/>
      <c r="EG28857"/>
      <c r="EH28857"/>
      <c r="EI28857"/>
      <c r="EJ28857"/>
      <c r="EK28857"/>
    </row>
    <row r="28858" spans="1:141" s="116" customFormat="1">
      <c r="A28858" s="136"/>
      <c r="CM28858" s="111"/>
      <c r="CQ28858" s="111"/>
      <c r="EF28858"/>
      <c r="EG28858"/>
      <c r="EH28858"/>
      <c r="EI28858"/>
      <c r="EJ28858"/>
      <c r="EK28858"/>
    </row>
    <row r="28859" spans="1:141" s="116" customFormat="1">
      <c r="A28859" s="136"/>
      <c r="CM28859" s="111"/>
      <c r="CQ28859" s="111"/>
      <c r="EF28859"/>
      <c r="EG28859"/>
      <c r="EH28859"/>
      <c r="EI28859"/>
      <c r="EJ28859"/>
      <c r="EK28859"/>
    </row>
    <row r="28860" spans="1:141" s="116" customFormat="1">
      <c r="A28860" s="136"/>
      <c r="CM28860" s="111"/>
      <c r="CQ28860" s="111"/>
      <c r="EF28860"/>
      <c r="EG28860"/>
      <c r="EH28860"/>
      <c r="EI28860"/>
      <c r="EJ28860"/>
      <c r="EK28860"/>
    </row>
    <row r="28861" spans="1:141" s="116" customFormat="1">
      <c r="A28861" s="136"/>
      <c r="CM28861" s="111"/>
      <c r="CQ28861" s="111"/>
      <c r="EF28861"/>
      <c r="EG28861"/>
      <c r="EH28861"/>
      <c r="EI28861"/>
      <c r="EJ28861"/>
      <c r="EK28861"/>
    </row>
    <row r="28862" spans="1:141" s="116" customFormat="1">
      <c r="A28862" s="136"/>
      <c r="CM28862" s="111"/>
      <c r="CQ28862" s="111"/>
      <c r="EF28862"/>
      <c r="EG28862"/>
      <c r="EH28862"/>
      <c r="EI28862"/>
      <c r="EJ28862"/>
      <c r="EK28862"/>
    </row>
    <row r="28863" spans="1:141" s="116" customFormat="1">
      <c r="A28863" s="136"/>
      <c r="CM28863" s="111"/>
      <c r="CQ28863" s="111"/>
      <c r="EF28863"/>
      <c r="EG28863"/>
      <c r="EH28863"/>
      <c r="EI28863"/>
      <c r="EJ28863"/>
      <c r="EK28863"/>
    </row>
    <row r="28864" spans="1:141" s="116" customFormat="1">
      <c r="A28864" s="136"/>
      <c r="CM28864" s="111"/>
      <c r="CQ28864" s="111"/>
      <c r="EF28864"/>
      <c r="EG28864"/>
      <c r="EH28864"/>
      <c r="EI28864"/>
      <c r="EJ28864"/>
      <c r="EK28864"/>
    </row>
    <row r="28865" spans="1:141" s="116" customFormat="1">
      <c r="A28865" s="136"/>
      <c r="CM28865" s="111"/>
      <c r="CQ28865" s="111"/>
      <c r="EF28865"/>
      <c r="EG28865"/>
      <c r="EH28865"/>
      <c r="EI28865"/>
      <c r="EJ28865"/>
      <c r="EK28865"/>
    </row>
    <row r="28866" spans="1:141" s="116" customFormat="1">
      <c r="A28866" s="136"/>
      <c r="CM28866" s="111"/>
      <c r="CQ28866" s="111"/>
      <c r="EF28866"/>
      <c r="EG28866"/>
      <c r="EH28866"/>
      <c r="EI28866"/>
      <c r="EJ28866"/>
      <c r="EK28866"/>
    </row>
    <row r="28867" spans="1:141" s="116" customFormat="1">
      <c r="A28867" s="136"/>
      <c r="CM28867" s="111"/>
      <c r="CQ28867" s="111"/>
      <c r="EF28867"/>
      <c r="EG28867"/>
      <c r="EH28867"/>
      <c r="EI28867"/>
      <c r="EJ28867"/>
      <c r="EK28867"/>
    </row>
    <row r="28868" spans="1:141" s="116" customFormat="1">
      <c r="A28868" s="136"/>
      <c r="CM28868" s="111"/>
      <c r="CQ28868" s="111"/>
      <c r="EF28868"/>
      <c r="EG28868"/>
      <c r="EH28868"/>
      <c r="EI28868"/>
      <c r="EJ28868"/>
      <c r="EK28868"/>
    </row>
    <row r="28869" spans="1:141" s="116" customFormat="1">
      <c r="A28869" s="136"/>
      <c r="CM28869" s="111"/>
      <c r="CQ28869" s="111"/>
      <c r="EF28869"/>
      <c r="EG28869"/>
      <c r="EH28869"/>
      <c r="EI28869"/>
      <c r="EJ28869"/>
      <c r="EK28869"/>
    </row>
    <row r="28870" spans="1:141" s="116" customFormat="1">
      <c r="A28870" s="136"/>
      <c r="CM28870" s="111"/>
      <c r="CQ28870" s="111"/>
      <c r="EF28870"/>
      <c r="EG28870"/>
      <c r="EH28870"/>
      <c r="EI28870"/>
      <c r="EJ28870"/>
      <c r="EK28870"/>
    </row>
    <row r="28871" spans="1:141" s="116" customFormat="1">
      <c r="A28871" s="136"/>
      <c r="CM28871" s="111"/>
      <c r="CQ28871" s="111"/>
      <c r="EF28871"/>
      <c r="EG28871"/>
      <c r="EH28871"/>
      <c r="EI28871"/>
      <c r="EJ28871"/>
      <c r="EK28871"/>
    </row>
    <row r="28872" spans="1:141" s="116" customFormat="1">
      <c r="A28872" s="136"/>
      <c r="CM28872" s="111"/>
      <c r="CQ28872" s="111"/>
      <c r="EF28872"/>
      <c r="EG28872"/>
      <c r="EH28872"/>
      <c r="EI28872"/>
      <c r="EJ28872"/>
      <c r="EK28872"/>
    </row>
    <row r="28873" spans="1:141" s="116" customFormat="1">
      <c r="A28873" s="136"/>
      <c r="CM28873" s="111"/>
      <c r="CQ28873" s="111"/>
      <c r="EF28873"/>
      <c r="EG28873"/>
      <c r="EH28873"/>
      <c r="EI28873"/>
      <c r="EJ28873"/>
      <c r="EK28873"/>
    </row>
    <row r="28874" spans="1:141" s="116" customFormat="1">
      <c r="A28874" s="136"/>
      <c r="CM28874" s="111"/>
      <c r="CQ28874" s="111"/>
      <c r="EF28874"/>
      <c r="EG28874"/>
      <c r="EH28874"/>
      <c r="EI28874"/>
      <c r="EJ28874"/>
      <c r="EK28874"/>
    </row>
    <row r="28875" spans="1:141" s="116" customFormat="1">
      <c r="A28875" s="136"/>
      <c r="CM28875" s="111"/>
      <c r="CQ28875" s="111"/>
      <c r="EF28875"/>
      <c r="EG28875"/>
      <c r="EH28875"/>
      <c r="EI28875"/>
      <c r="EJ28875"/>
      <c r="EK28875"/>
    </row>
    <row r="28876" spans="1:141" s="116" customFormat="1">
      <c r="A28876" s="136"/>
      <c r="CM28876" s="111"/>
      <c r="CQ28876" s="111"/>
      <c r="EF28876"/>
      <c r="EG28876"/>
      <c r="EH28876"/>
      <c r="EI28876"/>
      <c r="EJ28876"/>
      <c r="EK28876"/>
    </row>
    <row r="28877" spans="1:141" s="116" customFormat="1">
      <c r="A28877" s="136"/>
      <c r="CM28877" s="111"/>
      <c r="CQ28877" s="111"/>
      <c r="EF28877"/>
      <c r="EG28877"/>
      <c r="EH28877"/>
      <c r="EI28877"/>
      <c r="EJ28877"/>
      <c r="EK28877"/>
    </row>
    <row r="28878" spans="1:141" s="116" customFormat="1">
      <c r="A28878" s="136"/>
      <c r="CM28878" s="111"/>
      <c r="CQ28878" s="111"/>
      <c r="EF28878"/>
      <c r="EG28878"/>
      <c r="EH28878"/>
      <c r="EI28878"/>
      <c r="EJ28878"/>
      <c r="EK28878"/>
    </row>
    <row r="28879" spans="1:141" s="116" customFormat="1">
      <c r="A28879" s="136"/>
      <c r="CM28879" s="111"/>
      <c r="CQ28879" s="111"/>
      <c r="EF28879"/>
      <c r="EG28879"/>
      <c r="EH28879"/>
      <c r="EI28879"/>
      <c r="EJ28879"/>
      <c r="EK28879"/>
    </row>
    <row r="28880" spans="1:141" s="116" customFormat="1">
      <c r="A28880" s="136"/>
      <c r="CM28880" s="111"/>
      <c r="CQ28880" s="111"/>
      <c r="EF28880"/>
      <c r="EG28880"/>
      <c r="EH28880"/>
      <c r="EI28880"/>
      <c r="EJ28880"/>
      <c r="EK28880"/>
    </row>
    <row r="28881" spans="1:141" s="116" customFormat="1">
      <c r="A28881" s="136"/>
      <c r="CM28881" s="111"/>
      <c r="CQ28881" s="111"/>
      <c r="EF28881"/>
      <c r="EG28881"/>
      <c r="EH28881"/>
      <c r="EI28881"/>
      <c r="EJ28881"/>
      <c r="EK28881"/>
    </row>
    <row r="28882" spans="1:141" s="116" customFormat="1">
      <c r="A28882" s="136"/>
      <c r="CM28882" s="111"/>
      <c r="CQ28882" s="111"/>
      <c r="EF28882"/>
      <c r="EG28882"/>
      <c r="EH28882"/>
      <c r="EI28882"/>
      <c r="EJ28882"/>
      <c r="EK28882"/>
    </row>
    <row r="28883" spans="1:141" s="116" customFormat="1">
      <c r="A28883" s="136"/>
      <c r="CM28883" s="111"/>
      <c r="CQ28883" s="111"/>
      <c r="EF28883"/>
      <c r="EG28883"/>
      <c r="EH28883"/>
      <c r="EI28883"/>
      <c r="EJ28883"/>
      <c r="EK28883"/>
    </row>
    <row r="28884" spans="1:141" s="116" customFormat="1">
      <c r="A28884" s="136"/>
      <c r="CM28884" s="111"/>
      <c r="CQ28884" s="111"/>
      <c r="EF28884"/>
      <c r="EG28884"/>
      <c r="EH28884"/>
      <c r="EI28884"/>
      <c r="EJ28884"/>
      <c r="EK28884"/>
    </row>
    <row r="28885" spans="1:141" s="116" customFormat="1">
      <c r="A28885" s="136"/>
      <c r="CM28885" s="111"/>
      <c r="CQ28885" s="111"/>
      <c r="EF28885"/>
      <c r="EG28885"/>
      <c r="EH28885"/>
      <c r="EI28885"/>
      <c r="EJ28885"/>
      <c r="EK28885"/>
    </row>
    <row r="28886" spans="1:141" s="116" customFormat="1">
      <c r="A28886" s="136"/>
      <c r="CM28886" s="111"/>
      <c r="CQ28886" s="111"/>
      <c r="EF28886"/>
      <c r="EG28886"/>
      <c r="EH28886"/>
      <c r="EI28886"/>
      <c r="EJ28886"/>
      <c r="EK28886"/>
    </row>
    <row r="28887" spans="1:141" s="116" customFormat="1">
      <c r="A28887" s="136"/>
      <c r="CM28887" s="111"/>
      <c r="CQ28887" s="111"/>
      <c r="EF28887"/>
      <c r="EG28887"/>
      <c r="EH28887"/>
      <c r="EI28887"/>
      <c r="EJ28887"/>
      <c r="EK28887"/>
    </row>
    <row r="28888" spans="1:141" s="116" customFormat="1">
      <c r="A28888" s="136"/>
      <c r="CM28888" s="111"/>
      <c r="CQ28888" s="111"/>
      <c r="EF28888"/>
      <c r="EG28888"/>
      <c r="EH28888"/>
      <c r="EI28888"/>
      <c r="EJ28888"/>
      <c r="EK28888"/>
    </row>
    <row r="28889" spans="1:141" s="116" customFormat="1">
      <c r="A28889" s="136"/>
      <c r="CM28889" s="111"/>
      <c r="CQ28889" s="111"/>
      <c r="EF28889"/>
      <c r="EG28889"/>
      <c r="EH28889"/>
      <c r="EI28889"/>
      <c r="EJ28889"/>
      <c r="EK28889"/>
    </row>
    <row r="28890" spans="1:141" s="116" customFormat="1">
      <c r="A28890" s="136"/>
      <c r="CM28890" s="111"/>
      <c r="CQ28890" s="111"/>
      <c r="EF28890"/>
      <c r="EG28890"/>
      <c r="EH28890"/>
      <c r="EI28890"/>
      <c r="EJ28890"/>
      <c r="EK28890"/>
    </row>
    <row r="28891" spans="1:141" s="116" customFormat="1">
      <c r="A28891" s="136"/>
      <c r="CM28891" s="111"/>
      <c r="CQ28891" s="111"/>
      <c r="EF28891"/>
      <c r="EG28891"/>
      <c r="EH28891"/>
      <c r="EI28891"/>
      <c r="EJ28891"/>
      <c r="EK28891"/>
    </row>
    <row r="28892" spans="1:141" s="116" customFormat="1">
      <c r="A28892" s="136"/>
      <c r="CM28892" s="111"/>
      <c r="CQ28892" s="111"/>
      <c r="EF28892"/>
      <c r="EG28892"/>
      <c r="EH28892"/>
      <c r="EI28892"/>
      <c r="EJ28892"/>
      <c r="EK28892"/>
    </row>
    <row r="28893" spans="1:141" s="116" customFormat="1">
      <c r="A28893" s="136"/>
      <c r="CM28893" s="111"/>
      <c r="CQ28893" s="111"/>
      <c r="EF28893"/>
      <c r="EG28893"/>
      <c r="EH28893"/>
      <c r="EI28893"/>
      <c r="EJ28893"/>
      <c r="EK28893"/>
    </row>
    <row r="28894" spans="1:141" s="116" customFormat="1">
      <c r="A28894" s="136"/>
      <c r="CM28894" s="111"/>
      <c r="CQ28894" s="111"/>
      <c r="EF28894"/>
      <c r="EG28894"/>
      <c r="EH28894"/>
      <c r="EI28894"/>
      <c r="EJ28894"/>
      <c r="EK28894"/>
    </row>
    <row r="28895" spans="1:141" s="116" customFormat="1">
      <c r="A28895" s="136"/>
      <c r="CM28895" s="111"/>
      <c r="CQ28895" s="111"/>
      <c r="EF28895"/>
      <c r="EG28895"/>
      <c r="EH28895"/>
      <c r="EI28895"/>
      <c r="EJ28895"/>
      <c r="EK28895"/>
    </row>
    <row r="28896" spans="1:141" s="116" customFormat="1">
      <c r="A28896" s="136"/>
      <c r="CM28896" s="111"/>
      <c r="CQ28896" s="111"/>
      <c r="EF28896"/>
      <c r="EG28896"/>
      <c r="EH28896"/>
      <c r="EI28896"/>
      <c r="EJ28896"/>
      <c r="EK28896"/>
    </row>
    <row r="28897" spans="1:141" s="116" customFormat="1">
      <c r="A28897" s="136"/>
      <c r="CM28897" s="111"/>
      <c r="CQ28897" s="111"/>
      <c r="EF28897"/>
      <c r="EG28897"/>
      <c r="EH28897"/>
      <c r="EI28897"/>
      <c r="EJ28897"/>
      <c r="EK28897"/>
    </row>
    <row r="28898" spans="1:141" s="116" customFormat="1">
      <c r="A28898" s="136"/>
      <c r="CM28898" s="111"/>
      <c r="CQ28898" s="111"/>
      <c r="EF28898"/>
      <c r="EG28898"/>
      <c r="EH28898"/>
      <c r="EI28898"/>
      <c r="EJ28898"/>
      <c r="EK28898"/>
    </row>
    <row r="28899" spans="1:141" s="116" customFormat="1">
      <c r="A28899" s="136"/>
      <c r="CM28899" s="111"/>
      <c r="CQ28899" s="111"/>
      <c r="EF28899"/>
      <c r="EG28899"/>
      <c r="EH28899"/>
      <c r="EI28899"/>
      <c r="EJ28899"/>
      <c r="EK28899"/>
    </row>
    <row r="28900" spans="1:141" s="116" customFormat="1">
      <c r="A28900" s="136"/>
      <c r="CM28900" s="111"/>
      <c r="CQ28900" s="111"/>
      <c r="EF28900"/>
      <c r="EG28900"/>
      <c r="EH28900"/>
      <c r="EI28900"/>
      <c r="EJ28900"/>
      <c r="EK28900"/>
    </row>
    <row r="28901" spans="1:141" s="116" customFormat="1">
      <c r="A28901" s="136"/>
      <c r="CM28901" s="111"/>
      <c r="CQ28901" s="111"/>
      <c r="EF28901"/>
      <c r="EG28901"/>
      <c r="EH28901"/>
      <c r="EI28901"/>
      <c r="EJ28901"/>
      <c r="EK28901"/>
    </row>
    <row r="28902" spans="1:141" s="116" customFormat="1">
      <c r="A28902" s="136"/>
      <c r="CM28902" s="111"/>
      <c r="CQ28902" s="111"/>
      <c r="EF28902"/>
      <c r="EG28902"/>
      <c r="EH28902"/>
      <c r="EI28902"/>
      <c r="EJ28902"/>
      <c r="EK28902"/>
    </row>
    <row r="28903" spans="1:141" s="116" customFormat="1">
      <c r="A28903" s="136"/>
      <c r="CM28903" s="111"/>
      <c r="CQ28903" s="111"/>
      <c r="EF28903"/>
      <c r="EG28903"/>
      <c r="EH28903"/>
      <c r="EI28903"/>
      <c r="EJ28903"/>
      <c r="EK28903"/>
    </row>
    <row r="28904" spans="1:141" s="116" customFormat="1">
      <c r="A28904" s="136"/>
      <c r="CM28904" s="111"/>
      <c r="CQ28904" s="111"/>
      <c r="EF28904"/>
      <c r="EG28904"/>
      <c r="EH28904"/>
      <c r="EI28904"/>
      <c r="EJ28904"/>
      <c r="EK28904"/>
    </row>
    <row r="28905" spans="1:141" s="116" customFormat="1">
      <c r="A28905" s="136"/>
      <c r="CM28905" s="111"/>
      <c r="CQ28905" s="111"/>
      <c r="EF28905"/>
      <c r="EG28905"/>
      <c r="EH28905"/>
      <c r="EI28905"/>
      <c r="EJ28905"/>
      <c r="EK28905"/>
    </row>
    <row r="28906" spans="1:141" s="116" customFormat="1">
      <c r="A28906" s="136"/>
      <c r="CM28906" s="111"/>
      <c r="CQ28906" s="111"/>
      <c r="EF28906"/>
      <c r="EG28906"/>
      <c r="EH28906"/>
      <c r="EI28906"/>
      <c r="EJ28906"/>
      <c r="EK28906"/>
    </row>
    <row r="28907" spans="1:141" s="116" customFormat="1">
      <c r="A28907" s="136"/>
      <c r="CM28907" s="111"/>
      <c r="CQ28907" s="111"/>
      <c r="EF28907"/>
      <c r="EG28907"/>
      <c r="EH28907"/>
      <c r="EI28907"/>
      <c r="EJ28907"/>
      <c r="EK28907"/>
    </row>
    <row r="28908" spans="1:141" s="116" customFormat="1">
      <c r="A28908" s="136"/>
      <c r="CM28908" s="111"/>
      <c r="CQ28908" s="111"/>
      <c r="EF28908"/>
      <c r="EG28908"/>
      <c r="EH28908"/>
      <c r="EI28908"/>
      <c r="EJ28908"/>
      <c r="EK28908"/>
    </row>
    <row r="28909" spans="1:141" s="116" customFormat="1">
      <c r="A28909" s="136"/>
      <c r="CM28909" s="111"/>
      <c r="CQ28909" s="111"/>
      <c r="EF28909"/>
      <c r="EG28909"/>
      <c r="EH28909"/>
      <c r="EI28909"/>
      <c r="EJ28909"/>
      <c r="EK28909"/>
    </row>
    <row r="28910" spans="1:141" s="116" customFormat="1">
      <c r="A28910" s="136"/>
      <c r="CM28910" s="111"/>
      <c r="CQ28910" s="111"/>
      <c r="EF28910"/>
      <c r="EG28910"/>
      <c r="EH28910"/>
      <c r="EI28910"/>
      <c r="EJ28910"/>
      <c r="EK28910"/>
    </row>
    <row r="28911" spans="1:141" s="116" customFormat="1">
      <c r="A28911" s="136"/>
      <c r="CM28911" s="111"/>
      <c r="CQ28911" s="111"/>
      <c r="EF28911"/>
      <c r="EG28911"/>
      <c r="EH28911"/>
      <c r="EI28911"/>
      <c r="EJ28911"/>
      <c r="EK28911"/>
    </row>
    <row r="28912" spans="1:141" s="116" customFormat="1">
      <c r="A28912" s="136"/>
      <c r="CM28912" s="111"/>
      <c r="CQ28912" s="111"/>
      <c r="EF28912"/>
      <c r="EG28912"/>
      <c r="EH28912"/>
      <c r="EI28912"/>
      <c r="EJ28912"/>
      <c r="EK28912"/>
    </row>
    <row r="28913" spans="1:141" s="116" customFormat="1">
      <c r="A28913" s="136"/>
      <c r="CM28913" s="111"/>
      <c r="CQ28913" s="111"/>
      <c r="EF28913"/>
      <c r="EG28913"/>
      <c r="EH28913"/>
      <c r="EI28913"/>
      <c r="EJ28913"/>
      <c r="EK28913"/>
    </row>
    <row r="28914" spans="1:141" s="116" customFormat="1">
      <c r="A28914" s="136"/>
      <c r="CM28914" s="111"/>
      <c r="CQ28914" s="111"/>
      <c r="EF28914"/>
      <c r="EG28914"/>
      <c r="EH28914"/>
      <c r="EI28914"/>
      <c r="EJ28914"/>
      <c r="EK28914"/>
    </row>
    <row r="28915" spans="1:141" s="116" customFormat="1">
      <c r="A28915" s="136"/>
      <c r="CM28915" s="111"/>
      <c r="CQ28915" s="111"/>
      <c r="EF28915"/>
      <c r="EG28915"/>
      <c r="EH28915"/>
      <c r="EI28915"/>
      <c r="EJ28915"/>
      <c r="EK28915"/>
    </row>
    <row r="28916" spans="1:141" s="116" customFormat="1">
      <c r="A28916" s="136"/>
      <c r="CM28916" s="111"/>
      <c r="CQ28916" s="111"/>
      <c r="EF28916"/>
      <c r="EG28916"/>
      <c r="EH28916"/>
      <c r="EI28916"/>
      <c r="EJ28916"/>
      <c r="EK28916"/>
    </row>
    <row r="28917" spans="1:141" s="116" customFormat="1">
      <c r="A28917" s="136"/>
      <c r="CM28917" s="111"/>
      <c r="CQ28917" s="111"/>
      <c r="EF28917"/>
      <c r="EG28917"/>
      <c r="EH28917"/>
      <c r="EI28917"/>
      <c r="EJ28917"/>
      <c r="EK28917"/>
    </row>
    <row r="28918" spans="1:141" s="116" customFormat="1">
      <c r="A28918" s="136"/>
      <c r="CM28918" s="111"/>
      <c r="CQ28918" s="111"/>
      <c r="EF28918"/>
      <c r="EG28918"/>
      <c r="EH28918"/>
      <c r="EI28918"/>
      <c r="EJ28918"/>
      <c r="EK28918"/>
    </row>
    <row r="28919" spans="1:141" s="116" customFormat="1">
      <c r="A28919" s="136"/>
      <c r="CM28919" s="111"/>
      <c r="CQ28919" s="111"/>
      <c r="EF28919"/>
      <c r="EG28919"/>
      <c r="EH28919"/>
      <c r="EI28919"/>
      <c r="EJ28919"/>
      <c r="EK28919"/>
    </row>
    <row r="28920" spans="1:141" s="116" customFormat="1">
      <c r="A28920" s="136"/>
      <c r="CM28920" s="111"/>
      <c r="CQ28920" s="111"/>
      <c r="EF28920"/>
      <c r="EG28920"/>
      <c r="EH28920"/>
      <c r="EI28920"/>
      <c r="EJ28920"/>
      <c r="EK28920"/>
    </row>
    <row r="28921" spans="1:141" s="116" customFormat="1">
      <c r="A28921" s="136"/>
      <c r="CM28921" s="111"/>
      <c r="CQ28921" s="111"/>
      <c r="EF28921"/>
      <c r="EG28921"/>
      <c r="EH28921"/>
      <c r="EI28921"/>
      <c r="EJ28921"/>
      <c r="EK28921"/>
    </row>
    <row r="28922" spans="1:141" s="116" customFormat="1">
      <c r="A28922" s="136"/>
      <c r="CM28922" s="111"/>
      <c r="CQ28922" s="111"/>
      <c r="EF28922"/>
      <c r="EG28922"/>
      <c r="EH28922"/>
      <c r="EI28922"/>
      <c r="EJ28922"/>
      <c r="EK28922"/>
    </row>
    <row r="28923" spans="1:141" s="116" customFormat="1">
      <c r="A28923" s="136"/>
      <c r="CM28923" s="111"/>
      <c r="CQ28923" s="111"/>
      <c r="EF28923"/>
      <c r="EG28923"/>
      <c r="EH28923"/>
      <c r="EI28923"/>
      <c r="EJ28923"/>
      <c r="EK28923"/>
    </row>
    <row r="28924" spans="1:141" s="116" customFormat="1">
      <c r="A28924" s="136"/>
      <c r="CM28924" s="111"/>
      <c r="CQ28924" s="111"/>
      <c r="EF28924"/>
      <c r="EG28924"/>
      <c r="EH28924"/>
      <c r="EI28924"/>
      <c r="EJ28924"/>
      <c r="EK28924"/>
    </row>
    <row r="28925" spans="1:141" s="116" customFormat="1">
      <c r="A28925" s="136"/>
      <c r="CM28925" s="111"/>
      <c r="CQ28925" s="111"/>
      <c r="EF28925"/>
      <c r="EG28925"/>
      <c r="EH28925"/>
      <c r="EI28925"/>
      <c r="EJ28925"/>
      <c r="EK28925"/>
    </row>
    <row r="28926" spans="1:141" s="116" customFormat="1">
      <c r="A28926" s="136"/>
      <c r="CM28926" s="111"/>
      <c r="CQ28926" s="111"/>
      <c r="EF28926"/>
      <c r="EG28926"/>
      <c r="EH28926"/>
      <c r="EI28926"/>
      <c r="EJ28926"/>
      <c r="EK28926"/>
    </row>
    <row r="28927" spans="1:141" s="116" customFormat="1">
      <c r="A28927" s="136"/>
      <c r="CM28927" s="111"/>
      <c r="CQ28927" s="111"/>
      <c r="EF28927"/>
      <c r="EG28927"/>
      <c r="EH28927"/>
      <c r="EI28927"/>
      <c r="EJ28927"/>
      <c r="EK28927"/>
    </row>
    <row r="28928" spans="1:141" s="116" customFormat="1">
      <c r="A28928" s="136"/>
      <c r="CM28928" s="111"/>
      <c r="CQ28928" s="111"/>
      <c r="EF28928"/>
      <c r="EG28928"/>
      <c r="EH28928"/>
      <c r="EI28928"/>
      <c r="EJ28928"/>
      <c r="EK28928"/>
    </row>
    <row r="28929" spans="1:141" s="116" customFormat="1">
      <c r="A28929" s="136"/>
      <c r="CM28929" s="111"/>
      <c r="CQ28929" s="111"/>
      <c r="EF28929"/>
      <c r="EG28929"/>
      <c r="EH28929"/>
      <c r="EI28929"/>
      <c r="EJ28929"/>
      <c r="EK28929"/>
    </row>
    <row r="28930" spans="1:141" s="116" customFormat="1">
      <c r="A28930" s="136"/>
      <c r="CM28930" s="111"/>
      <c r="CQ28930" s="111"/>
      <c r="EF28930"/>
      <c r="EG28930"/>
      <c r="EH28930"/>
      <c r="EI28930"/>
      <c r="EJ28930"/>
      <c r="EK28930"/>
    </row>
    <row r="28931" spans="1:141" s="116" customFormat="1">
      <c r="A28931" s="136"/>
      <c r="CM28931" s="111"/>
      <c r="CQ28931" s="111"/>
      <c r="EF28931"/>
      <c r="EG28931"/>
      <c r="EH28931"/>
      <c r="EI28931"/>
      <c r="EJ28931"/>
      <c r="EK28931"/>
    </row>
    <row r="28932" spans="1:141" s="116" customFormat="1">
      <c r="A28932" s="136"/>
      <c r="CM28932" s="111"/>
      <c r="CQ28932" s="111"/>
      <c r="EF28932"/>
      <c r="EG28932"/>
      <c r="EH28932"/>
      <c r="EI28932"/>
      <c r="EJ28932"/>
      <c r="EK28932"/>
    </row>
    <row r="28933" spans="1:141" s="116" customFormat="1">
      <c r="A28933" s="136"/>
      <c r="CM28933" s="111"/>
      <c r="CQ28933" s="111"/>
      <c r="EF28933"/>
      <c r="EG28933"/>
      <c r="EH28933"/>
      <c r="EI28933"/>
      <c r="EJ28933"/>
      <c r="EK28933"/>
    </row>
    <row r="28934" spans="1:141" s="116" customFormat="1">
      <c r="A28934" s="136"/>
      <c r="CM28934" s="111"/>
      <c r="CQ28934" s="111"/>
      <c r="EF28934"/>
      <c r="EG28934"/>
      <c r="EH28934"/>
      <c r="EI28934"/>
      <c r="EJ28934"/>
      <c r="EK28934"/>
    </row>
    <row r="28935" spans="1:141" s="116" customFormat="1">
      <c r="A28935" s="136"/>
      <c r="CM28935" s="111"/>
      <c r="CQ28935" s="111"/>
      <c r="EF28935"/>
      <c r="EG28935"/>
      <c r="EH28935"/>
      <c r="EI28935"/>
      <c r="EJ28935"/>
      <c r="EK28935"/>
    </row>
    <row r="28936" spans="1:141" s="116" customFormat="1">
      <c r="A28936" s="136"/>
      <c r="CM28936" s="111"/>
      <c r="CQ28936" s="111"/>
      <c r="EF28936"/>
      <c r="EG28936"/>
      <c r="EH28936"/>
      <c r="EI28936"/>
      <c r="EJ28936"/>
      <c r="EK28936"/>
    </row>
    <row r="28937" spans="1:141" s="116" customFormat="1">
      <c r="A28937" s="136"/>
      <c r="CM28937" s="111"/>
      <c r="CQ28937" s="111"/>
      <c r="EF28937"/>
      <c r="EG28937"/>
      <c r="EH28937"/>
      <c r="EI28937"/>
      <c r="EJ28937"/>
      <c r="EK28937"/>
    </row>
    <row r="28938" spans="1:141" s="116" customFormat="1">
      <c r="A28938" s="136"/>
      <c r="CM28938" s="111"/>
      <c r="CQ28938" s="111"/>
      <c r="EF28938"/>
      <c r="EG28938"/>
      <c r="EH28938"/>
      <c r="EI28938"/>
      <c r="EJ28938"/>
      <c r="EK28938"/>
    </row>
    <row r="28939" spans="1:141" s="116" customFormat="1">
      <c r="A28939" s="136"/>
      <c r="CM28939" s="111"/>
      <c r="CQ28939" s="111"/>
      <c r="EF28939"/>
      <c r="EG28939"/>
      <c r="EH28939"/>
      <c r="EI28939"/>
      <c r="EJ28939"/>
      <c r="EK28939"/>
    </row>
    <row r="28940" spans="1:141" s="116" customFormat="1">
      <c r="A28940" s="136"/>
      <c r="CM28940" s="111"/>
      <c r="CQ28940" s="111"/>
      <c r="EF28940"/>
      <c r="EG28940"/>
      <c r="EH28940"/>
      <c r="EI28940"/>
      <c r="EJ28940"/>
      <c r="EK28940"/>
    </row>
    <row r="28941" spans="1:141" s="116" customFormat="1">
      <c r="A28941" s="136"/>
      <c r="CM28941" s="111"/>
      <c r="CQ28941" s="111"/>
      <c r="EF28941"/>
      <c r="EG28941"/>
      <c r="EH28941"/>
      <c r="EI28941"/>
      <c r="EJ28941"/>
      <c r="EK28941"/>
    </row>
    <row r="28942" spans="1:141" s="116" customFormat="1">
      <c r="A28942" s="136"/>
      <c r="CM28942" s="111"/>
      <c r="CQ28942" s="111"/>
      <c r="EF28942"/>
      <c r="EG28942"/>
      <c r="EH28942"/>
      <c r="EI28942"/>
      <c r="EJ28942"/>
      <c r="EK28942"/>
    </row>
    <row r="28943" spans="1:141" s="116" customFormat="1">
      <c r="A28943" s="136"/>
      <c r="CM28943" s="111"/>
      <c r="CQ28943" s="111"/>
      <c r="EF28943"/>
      <c r="EG28943"/>
      <c r="EH28943"/>
      <c r="EI28943"/>
      <c r="EJ28943"/>
      <c r="EK28943"/>
    </row>
    <row r="28944" spans="1:141" s="116" customFormat="1">
      <c r="A28944" s="136"/>
      <c r="CM28944" s="111"/>
      <c r="CQ28944" s="111"/>
      <c r="EF28944"/>
      <c r="EG28944"/>
      <c r="EH28944"/>
      <c r="EI28944"/>
      <c r="EJ28944"/>
      <c r="EK28944"/>
    </row>
    <row r="28945" spans="1:141" s="116" customFormat="1">
      <c r="A28945" s="136"/>
      <c r="CM28945" s="111"/>
      <c r="CQ28945" s="111"/>
      <c r="EF28945"/>
      <c r="EG28945"/>
      <c r="EH28945"/>
      <c r="EI28945"/>
      <c r="EJ28945"/>
      <c r="EK28945"/>
    </row>
    <row r="28946" spans="1:141" s="116" customFormat="1">
      <c r="A28946" s="136"/>
      <c r="CM28946" s="111"/>
      <c r="CQ28946" s="111"/>
      <c r="EF28946"/>
      <c r="EG28946"/>
      <c r="EH28946"/>
      <c r="EI28946"/>
      <c r="EJ28946"/>
      <c r="EK28946"/>
    </row>
    <row r="28947" spans="1:141" s="116" customFormat="1">
      <c r="A28947" s="136"/>
      <c r="CM28947" s="111"/>
      <c r="CQ28947" s="111"/>
      <c r="EF28947"/>
      <c r="EG28947"/>
      <c r="EH28947"/>
      <c r="EI28947"/>
      <c r="EJ28947"/>
      <c r="EK28947"/>
    </row>
    <row r="28948" spans="1:141" s="116" customFormat="1">
      <c r="A28948" s="136"/>
      <c r="CM28948" s="111"/>
      <c r="CQ28948" s="111"/>
      <c r="EF28948"/>
      <c r="EG28948"/>
      <c r="EH28948"/>
      <c r="EI28948"/>
      <c r="EJ28948"/>
      <c r="EK28948"/>
    </row>
    <row r="28949" spans="1:141" s="116" customFormat="1">
      <c r="A28949" s="136"/>
      <c r="CM28949" s="111"/>
      <c r="CQ28949" s="111"/>
      <c r="EF28949"/>
      <c r="EG28949"/>
      <c r="EH28949"/>
      <c r="EI28949"/>
      <c r="EJ28949"/>
      <c r="EK28949"/>
    </row>
    <row r="28950" spans="1:141" s="116" customFormat="1">
      <c r="A28950" s="136"/>
      <c r="CM28950" s="111"/>
      <c r="CQ28950" s="111"/>
      <c r="EF28950"/>
      <c r="EG28950"/>
      <c r="EH28950"/>
      <c r="EI28950"/>
      <c r="EJ28950"/>
      <c r="EK28950"/>
    </row>
    <row r="28951" spans="1:141" s="116" customFormat="1">
      <c r="A28951" s="136"/>
      <c r="CM28951" s="111"/>
      <c r="CQ28951" s="111"/>
      <c r="EF28951"/>
      <c r="EG28951"/>
      <c r="EH28951"/>
      <c r="EI28951"/>
      <c r="EJ28951"/>
      <c r="EK28951"/>
    </row>
    <row r="28952" spans="1:141" s="116" customFormat="1">
      <c r="A28952" s="136"/>
      <c r="CM28952" s="111"/>
      <c r="CQ28952" s="111"/>
      <c r="EF28952"/>
      <c r="EG28952"/>
      <c r="EH28952"/>
      <c r="EI28952"/>
      <c r="EJ28952"/>
      <c r="EK28952"/>
    </row>
    <row r="28953" spans="1:141" s="116" customFormat="1">
      <c r="A28953" s="136"/>
      <c r="CM28953" s="111"/>
      <c r="CQ28953" s="111"/>
      <c r="EF28953"/>
      <c r="EG28953"/>
      <c r="EH28953"/>
      <c r="EI28953"/>
      <c r="EJ28953"/>
      <c r="EK28953"/>
    </row>
    <row r="28954" spans="1:141" s="116" customFormat="1">
      <c r="A28954" s="136"/>
      <c r="CM28954" s="111"/>
      <c r="CQ28954" s="111"/>
      <c r="EF28954"/>
      <c r="EG28954"/>
      <c r="EH28954"/>
      <c r="EI28954"/>
      <c r="EJ28954"/>
      <c r="EK28954"/>
    </row>
    <row r="28955" spans="1:141" s="116" customFormat="1">
      <c r="A28955" s="136"/>
      <c r="CM28955" s="111"/>
      <c r="CQ28955" s="111"/>
      <c r="EF28955"/>
      <c r="EG28955"/>
      <c r="EH28955"/>
      <c r="EI28955"/>
      <c r="EJ28955"/>
      <c r="EK28955"/>
    </row>
    <row r="28956" spans="1:141" s="116" customFormat="1">
      <c r="A28956" s="136"/>
      <c r="CM28956" s="111"/>
      <c r="CQ28956" s="111"/>
      <c r="EF28956"/>
      <c r="EG28956"/>
      <c r="EH28956"/>
      <c r="EI28956"/>
      <c r="EJ28956"/>
      <c r="EK28956"/>
    </row>
    <row r="28957" spans="1:141" s="116" customFormat="1">
      <c r="A28957" s="136"/>
      <c r="CM28957" s="111"/>
      <c r="CQ28957" s="111"/>
      <c r="EF28957"/>
      <c r="EG28957"/>
      <c r="EH28957"/>
      <c r="EI28957"/>
      <c r="EJ28957"/>
      <c r="EK28957"/>
    </row>
    <row r="28958" spans="1:141" s="116" customFormat="1">
      <c r="A28958" s="136"/>
      <c r="CM28958" s="111"/>
      <c r="CQ28958" s="111"/>
      <c r="EF28958"/>
      <c r="EG28958"/>
      <c r="EH28958"/>
      <c r="EI28958"/>
      <c r="EJ28958"/>
      <c r="EK28958"/>
    </row>
    <row r="28959" spans="1:141" s="116" customFormat="1">
      <c r="A28959" s="136"/>
      <c r="CM28959" s="111"/>
      <c r="CQ28959" s="111"/>
      <c r="EF28959"/>
      <c r="EG28959"/>
      <c r="EH28959"/>
      <c r="EI28959"/>
      <c r="EJ28959"/>
      <c r="EK28959"/>
    </row>
    <row r="28960" spans="1:141" s="116" customFormat="1">
      <c r="A28960" s="136"/>
      <c r="CM28960" s="111"/>
      <c r="CQ28960" s="111"/>
      <c r="EF28960"/>
      <c r="EG28960"/>
      <c r="EH28960"/>
      <c r="EI28960"/>
      <c r="EJ28960"/>
      <c r="EK28960"/>
    </row>
    <row r="28961" spans="1:141" s="116" customFormat="1">
      <c r="A28961" s="136"/>
      <c r="CM28961" s="111"/>
      <c r="CQ28961" s="111"/>
      <c r="EF28961"/>
      <c r="EG28961"/>
      <c r="EH28961"/>
      <c r="EI28961"/>
      <c r="EJ28961"/>
      <c r="EK28961"/>
    </row>
    <row r="28962" spans="1:141" s="116" customFormat="1">
      <c r="A28962" s="136"/>
      <c r="CM28962" s="111"/>
      <c r="CQ28962" s="111"/>
      <c r="EF28962"/>
      <c r="EG28962"/>
      <c r="EH28962"/>
      <c r="EI28962"/>
      <c r="EJ28962"/>
      <c r="EK28962"/>
    </row>
    <row r="28963" spans="1:141" s="116" customFormat="1">
      <c r="A28963" s="136"/>
      <c r="CM28963" s="111"/>
      <c r="CQ28963" s="111"/>
      <c r="EF28963"/>
      <c r="EG28963"/>
      <c r="EH28963"/>
      <c r="EI28963"/>
      <c r="EJ28963"/>
      <c r="EK28963"/>
    </row>
    <row r="28964" spans="1:141" s="116" customFormat="1">
      <c r="A28964" s="136"/>
      <c r="CM28964" s="111"/>
      <c r="CQ28964" s="111"/>
      <c r="EF28964"/>
      <c r="EG28964"/>
      <c r="EH28964"/>
      <c r="EI28964"/>
      <c r="EJ28964"/>
      <c r="EK28964"/>
    </row>
    <row r="28965" spans="1:141" s="116" customFormat="1">
      <c r="A28965" s="136"/>
      <c r="CM28965" s="111"/>
      <c r="CQ28965" s="111"/>
      <c r="EF28965"/>
      <c r="EG28965"/>
      <c r="EH28965"/>
      <c r="EI28965"/>
      <c r="EJ28965"/>
      <c r="EK28965"/>
    </row>
    <row r="28966" spans="1:141" s="116" customFormat="1">
      <c r="A28966" s="136"/>
      <c r="CM28966" s="111"/>
      <c r="CQ28966" s="111"/>
      <c r="EF28966"/>
      <c r="EG28966"/>
      <c r="EH28966"/>
      <c r="EI28966"/>
      <c r="EJ28966"/>
      <c r="EK28966"/>
    </row>
    <row r="28967" spans="1:141" s="116" customFormat="1">
      <c r="A28967" s="136"/>
      <c r="CM28967" s="111"/>
      <c r="CQ28967" s="111"/>
      <c r="EF28967"/>
      <c r="EG28967"/>
      <c r="EH28967"/>
      <c r="EI28967"/>
      <c r="EJ28967"/>
      <c r="EK28967"/>
    </row>
    <row r="28968" spans="1:141" s="116" customFormat="1">
      <c r="A28968" s="136"/>
      <c r="CM28968" s="111"/>
      <c r="CQ28968" s="111"/>
      <c r="EF28968"/>
      <c r="EG28968"/>
      <c r="EH28968"/>
      <c r="EI28968"/>
      <c r="EJ28968"/>
      <c r="EK28968"/>
    </row>
    <row r="28969" spans="1:141" s="116" customFormat="1">
      <c r="A28969" s="136"/>
      <c r="CM28969" s="111"/>
      <c r="CQ28969" s="111"/>
      <c r="EF28969"/>
      <c r="EG28969"/>
      <c r="EH28969"/>
      <c r="EI28969"/>
      <c r="EJ28969"/>
      <c r="EK28969"/>
    </row>
    <row r="28970" spans="1:141" s="116" customFormat="1">
      <c r="A28970" s="136"/>
      <c r="CM28970" s="111"/>
      <c r="CQ28970" s="111"/>
      <c r="EF28970"/>
      <c r="EG28970"/>
      <c r="EH28970"/>
      <c r="EI28970"/>
      <c r="EJ28970"/>
      <c r="EK28970"/>
    </row>
    <row r="28971" spans="1:141" s="116" customFormat="1">
      <c r="A28971" s="136"/>
      <c r="CM28971" s="111"/>
      <c r="CQ28971" s="111"/>
      <c r="EF28971"/>
      <c r="EG28971"/>
      <c r="EH28971"/>
      <c r="EI28971"/>
      <c r="EJ28971"/>
      <c r="EK28971"/>
    </row>
    <row r="28972" spans="1:141" s="116" customFormat="1">
      <c r="A28972" s="136"/>
      <c r="CM28972" s="111"/>
      <c r="CQ28972" s="111"/>
      <c r="EF28972"/>
      <c r="EG28972"/>
      <c r="EH28972"/>
      <c r="EI28972"/>
      <c r="EJ28972"/>
      <c r="EK28972"/>
    </row>
    <row r="28973" spans="1:141" s="116" customFormat="1">
      <c r="A28973" s="136"/>
      <c r="CM28973" s="111"/>
      <c r="CQ28973" s="111"/>
      <c r="EF28973"/>
      <c r="EG28973"/>
      <c r="EH28973"/>
      <c r="EI28973"/>
      <c r="EJ28973"/>
      <c r="EK28973"/>
    </row>
    <row r="28974" spans="1:141" s="116" customFormat="1">
      <c r="A28974" s="136"/>
      <c r="CM28974" s="111"/>
      <c r="CQ28974" s="111"/>
      <c r="EF28974"/>
      <c r="EG28974"/>
      <c r="EH28974"/>
      <c r="EI28974"/>
      <c r="EJ28974"/>
      <c r="EK28974"/>
    </row>
    <row r="28975" spans="1:141" s="116" customFormat="1">
      <c r="A28975" s="136"/>
      <c r="CM28975" s="111"/>
      <c r="CQ28975" s="111"/>
      <c r="EF28975"/>
      <c r="EG28975"/>
      <c r="EH28975"/>
      <c r="EI28975"/>
      <c r="EJ28975"/>
      <c r="EK28975"/>
    </row>
    <row r="28976" spans="1:141" s="116" customFormat="1">
      <c r="A28976" s="136"/>
      <c r="CM28976" s="111"/>
      <c r="CQ28976" s="111"/>
      <c r="EF28976"/>
      <c r="EG28976"/>
      <c r="EH28976"/>
      <c r="EI28976"/>
      <c r="EJ28976"/>
      <c r="EK28976"/>
    </row>
    <row r="28977" spans="1:141" s="116" customFormat="1">
      <c r="A28977" s="136"/>
      <c r="CM28977" s="111"/>
      <c r="CQ28977" s="111"/>
      <c r="EF28977"/>
      <c r="EG28977"/>
      <c r="EH28977"/>
      <c r="EI28977"/>
      <c r="EJ28977"/>
      <c r="EK28977"/>
    </row>
    <row r="28978" spans="1:141" s="116" customFormat="1">
      <c r="A28978" s="136"/>
      <c r="CM28978" s="111"/>
      <c r="CQ28978" s="111"/>
      <c r="EF28978"/>
      <c r="EG28978"/>
      <c r="EH28978"/>
      <c r="EI28978"/>
      <c r="EJ28978"/>
      <c r="EK28978"/>
    </row>
    <row r="28979" spans="1:141" s="116" customFormat="1">
      <c r="A28979" s="136"/>
      <c r="CM28979" s="111"/>
      <c r="CQ28979" s="111"/>
      <c r="EF28979"/>
      <c r="EG28979"/>
      <c r="EH28979"/>
      <c r="EI28979"/>
      <c r="EJ28979"/>
      <c r="EK28979"/>
    </row>
    <row r="28980" spans="1:141" s="116" customFormat="1">
      <c r="A28980" s="136"/>
      <c r="CM28980" s="111"/>
      <c r="CQ28980" s="111"/>
      <c r="EF28980"/>
      <c r="EG28980"/>
      <c r="EH28980"/>
      <c r="EI28980"/>
      <c r="EJ28980"/>
      <c r="EK28980"/>
    </row>
    <row r="28981" spans="1:141" s="116" customFormat="1">
      <c r="A28981" s="136"/>
      <c r="CM28981" s="111"/>
      <c r="CQ28981" s="111"/>
      <c r="EF28981"/>
      <c r="EG28981"/>
      <c r="EH28981"/>
      <c r="EI28981"/>
      <c r="EJ28981"/>
      <c r="EK28981"/>
    </row>
    <row r="28982" spans="1:141" s="116" customFormat="1">
      <c r="A28982" s="136"/>
      <c r="CM28982" s="111"/>
      <c r="CQ28982" s="111"/>
      <c r="EF28982"/>
      <c r="EG28982"/>
      <c r="EH28982"/>
      <c r="EI28982"/>
      <c r="EJ28982"/>
      <c r="EK28982"/>
    </row>
    <row r="28983" spans="1:141" s="116" customFormat="1">
      <c r="A28983" s="136"/>
      <c r="CM28983" s="111"/>
      <c r="CQ28983" s="111"/>
      <c r="EF28983"/>
      <c r="EG28983"/>
      <c r="EH28983"/>
      <c r="EI28983"/>
      <c r="EJ28983"/>
      <c r="EK28983"/>
    </row>
    <row r="28984" spans="1:141" s="116" customFormat="1">
      <c r="A28984" s="136"/>
      <c r="CM28984" s="111"/>
      <c r="CQ28984" s="111"/>
      <c r="EF28984"/>
      <c r="EG28984"/>
      <c r="EH28984"/>
      <c r="EI28984"/>
      <c r="EJ28984"/>
      <c r="EK28984"/>
    </row>
    <row r="28985" spans="1:141" s="116" customFormat="1">
      <c r="A28985" s="136"/>
      <c r="CM28985" s="111"/>
      <c r="CQ28985" s="111"/>
      <c r="EF28985"/>
      <c r="EG28985"/>
      <c r="EH28985"/>
      <c r="EI28985"/>
      <c r="EJ28985"/>
      <c r="EK28985"/>
    </row>
    <row r="28986" spans="1:141" s="116" customFormat="1">
      <c r="A28986" s="136"/>
      <c r="CM28986" s="111"/>
      <c r="CQ28986" s="111"/>
      <c r="EF28986"/>
      <c r="EG28986"/>
      <c r="EH28986"/>
      <c r="EI28986"/>
      <c r="EJ28986"/>
      <c r="EK28986"/>
    </row>
    <row r="28987" spans="1:141" s="116" customFormat="1">
      <c r="A28987" s="136"/>
      <c r="CM28987" s="111"/>
      <c r="CQ28987" s="111"/>
      <c r="EF28987"/>
      <c r="EG28987"/>
      <c r="EH28987"/>
      <c r="EI28987"/>
      <c r="EJ28987"/>
      <c r="EK28987"/>
    </row>
    <row r="28988" spans="1:141" s="116" customFormat="1">
      <c r="A28988" s="136"/>
      <c r="CM28988" s="111"/>
      <c r="CQ28988" s="111"/>
      <c r="EF28988"/>
      <c r="EG28988"/>
      <c r="EH28988"/>
      <c r="EI28988"/>
      <c r="EJ28988"/>
      <c r="EK28988"/>
    </row>
    <row r="28989" spans="1:141" s="116" customFormat="1">
      <c r="A28989" s="136"/>
      <c r="CM28989" s="111"/>
      <c r="CQ28989" s="111"/>
      <c r="EF28989"/>
      <c r="EG28989"/>
      <c r="EH28989"/>
      <c r="EI28989"/>
      <c r="EJ28989"/>
      <c r="EK28989"/>
    </row>
    <row r="28990" spans="1:141" s="116" customFormat="1">
      <c r="A28990" s="136"/>
      <c r="CM28990" s="111"/>
      <c r="CQ28990" s="111"/>
      <c r="EF28990"/>
      <c r="EG28990"/>
      <c r="EH28990"/>
      <c r="EI28990"/>
      <c r="EJ28990"/>
      <c r="EK28990"/>
    </row>
    <row r="28991" spans="1:141" s="116" customFormat="1">
      <c r="A28991" s="136"/>
      <c r="CM28991" s="111"/>
      <c r="CQ28991" s="111"/>
      <c r="EF28991"/>
      <c r="EG28991"/>
      <c r="EH28991"/>
      <c r="EI28991"/>
      <c r="EJ28991"/>
      <c r="EK28991"/>
    </row>
    <row r="28992" spans="1:141" s="116" customFormat="1">
      <c r="A28992" s="136"/>
      <c r="CM28992" s="111"/>
      <c r="CQ28992" s="111"/>
      <c r="EF28992"/>
      <c r="EG28992"/>
      <c r="EH28992"/>
      <c r="EI28992"/>
      <c r="EJ28992"/>
      <c r="EK28992"/>
    </row>
    <row r="28993" spans="1:141" s="116" customFormat="1">
      <c r="A28993" s="136"/>
      <c r="CM28993" s="111"/>
      <c r="CQ28993" s="111"/>
      <c r="EF28993"/>
      <c r="EG28993"/>
      <c r="EH28993"/>
      <c r="EI28993"/>
      <c r="EJ28993"/>
      <c r="EK28993"/>
    </row>
    <row r="28994" spans="1:141" s="116" customFormat="1">
      <c r="A28994" s="136"/>
      <c r="CM28994" s="111"/>
      <c r="CQ28994" s="111"/>
      <c r="EF28994"/>
      <c r="EG28994"/>
      <c r="EH28994"/>
      <c r="EI28994"/>
      <c r="EJ28994"/>
      <c r="EK28994"/>
    </row>
    <row r="28995" spans="1:141" s="116" customFormat="1">
      <c r="A28995" s="136"/>
      <c r="CM28995" s="111"/>
      <c r="CQ28995" s="111"/>
      <c r="EF28995"/>
      <c r="EG28995"/>
      <c r="EH28995"/>
      <c r="EI28995"/>
      <c r="EJ28995"/>
      <c r="EK28995"/>
    </row>
    <row r="28996" spans="1:141" s="116" customFormat="1">
      <c r="A28996" s="136"/>
      <c r="CM28996" s="111"/>
      <c r="CQ28996" s="111"/>
      <c r="EF28996"/>
      <c r="EG28996"/>
      <c r="EH28996"/>
      <c r="EI28996"/>
      <c r="EJ28996"/>
      <c r="EK28996"/>
    </row>
    <row r="28997" spans="1:141" s="116" customFormat="1">
      <c r="A28997" s="136"/>
      <c r="CM28997" s="111"/>
      <c r="CQ28997" s="111"/>
      <c r="EF28997"/>
      <c r="EG28997"/>
      <c r="EH28997"/>
      <c r="EI28997"/>
      <c r="EJ28997"/>
      <c r="EK28997"/>
    </row>
    <row r="28998" spans="1:141" s="116" customFormat="1">
      <c r="A28998" s="136"/>
      <c r="CM28998" s="111"/>
      <c r="CQ28998" s="111"/>
      <c r="EF28998"/>
      <c r="EG28998"/>
      <c r="EH28998"/>
      <c r="EI28998"/>
      <c r="EJ28998"/>
      <c r="EK28998"/>
    </row>
    <row r="28999" spans="1:141" s="116" customFormat="1">
      <c r="A28999" s="136"/>
      <c r="CM28999" s="111"/>
      <c r="CQ28999" s="111"/>
      <c r="EF28999"/>
      <c r="EG28999"/>
      <c r="EH28999"/>
      <c r="EI28999"/>
      <c r="EJ28999"/>
      <c r="EK28999"/>
    </row>
    <row r="29000" spans="1:141" s="116" customFormat="1">
      <c r="A29000" s="136"/>
      <c r="CM29000" s="111"/>
      <c r="CQ29000" s="111"/>
      <c r="EF29000"/>
      <c r="EG29000"/>
      <c r="EH29000"/>
      <c r="EI29000"/>
      <c r="EJ29000"/>
      <c r="EK29000"/>
    </row>
    <row r="29001" spans="1:141" s="116" customFormat="1">
      <c r="A29001" s="136"/>
      <c r="CM29001" s="111"/>
      <c r="CQ29001" s="111"/>
      <c r="EF29001"/>
      <c r="EG29001"/>
      <c r="EH29001"/>
      <c r="EI29001"/>
      <c r="EJ29001"/>
      <c r="EK29001"/>
    </row>
    <row r="29002" spans="1:141" s="116" customFormat="1">
      <c r="A29002" s="136"/>
      <c r="CM29002" s="111"/>
      <c r="CQ29002" s="111"/>
      <c r="EF29002"/>
      <c r="EG29002"/>
      <c r="EH29002"/>
      <c r="EI29002"/>
      <c r="EJ29002"/>
      <c r="EK29002"/>
    </row>
    <row r="29003" spans="1:141" s="116" customFormat="1">
      <c r="A29003" s="136"/>
      <c r="CM29003" s="111"/>
      <c r="CQ29003" s="111"/>
      <c r="EF29003"/>
      <c r="EG29003"/>
      <c r="EH29003"/>
      <c r="EI29003"/>
      <c r="EJ29003"/>
      <c r="EK29003"/>
    </row>
    <row r="29004" spans="1:141" s="116" customFormat="1">
      <c r="A29004" s="136"/>
      <c r="CM29004" s="111"/>
      <c r="CQ29004" s="111"/>
      <c r="EF29004"/>
      <c r="EG29004"/>
      <c r="EH29004"/>
      <c r="EI29004"/>
      <c r="EJ29004"/>
      <c r="EK29004"/>
    </row>
    <row r="29005" spans="1:141" s="116" customFormat="1">
      <c r="A29005" s="136"/>
      <c r="CM29005" s="111"/>
      <c r="CQ29005" s="111"/>
      <c r="EF29005"/>
      <c r="EG29005"/>
      <c r="EH29005"/>
      <c r="EI29005"/>
      <c r="EJ29005"/>
      <c r="EK29005"/>
    </row>
    <row r="29006" spans="1:141" s="116" customFormat="1">
      <c r="A29006" s="136"/>
      <c r="CM29006" s="111"/>
      <c r="CQ29006" s="111"/>
      <c r="EF29006"/>
      <c r="EG29006"/>
      <c r="EH29006"/>
      <c r="EI29006"/>
      <c r="EJ29006"/>
      <c r="EK29006"/>
    </row>
    <row r="29007" spans="1:141" s="116" customFormat="1">
      <c r="A29007" s="136"/>
      <c r="CM29007" s="111"/>
      <c r="CQ29007" s="111"/>
      <c r="EF29007"/>
      <c r="EG29007"/>
      <c r="EH29007"/>
      <c r="EI29007"/>
      <c r="EJ29007"/>
      <c r="EK29007"/>
    </row>
    <row r="29008" spans="1:141" s="116" customFormat="1">
      <c r="A29008" s="136"/>
      <c r="CM29008" s="111"/>
      <c r="CQ29008" s="111"/>
      <c r="EF29008"/>
      <c r="EG29008"/>
      <c r="EH29008"/>
      <c r="EI29008"/>
      <c r="EJ29008"/>
      <c r="EK29008"/>
    </row>
    <row r="29009" spans="1:141" s="116" customFormat="1">
      <c r="A29009" s="136"/>
      <c r="CM29009" s="111"/>
      <c r="CQ29009" s="111"/>
      <c r="EF29009"/>
      <c r="EG29009"/>
      <c r="EH29009"/>
      <c r="EI29009"/>
      <c r="EJ29009"/>
      <c r="EK29009"/>
    </row>
    <row r="29010" spans="1:141" s="116" customFormat="1">
      <c r="A29010" s="136"/>
      <c r="CM29010" s="111"/>
      <c r="CQ29010" s="111"/>
      <c r="EF29010"/>
      <c r="EG29010"/>
      <c r="EH29010"/>
      <c r="EI29010"/>
      <c r="EJ29010"/>
      <c r="EK29010"/>
    </row>
    <row r="29011" spans="1:141" s="116" customFormat="1">
      <c r="A29011" s="136"/>
      <c r="CM29011" s="111"/>
      <c r="CQ29011" s="111"/>
      <c r="EF29011"/>
      <c r="EG29011"/>
      <c r="EH29011"/>
      <c r="EI29011"/>
      <c r="EJ29011"/>
      <c r="EK29011"/>
    </row>
    <row r="29012" spans="1:141" s="116" customFormat="1">
      <c r="A29012" s="136"/>
      <c r="CM29012" s="111"/>
      <c r="CQ29012" s="111"/>
      <c r="EF29012"/>
      <c r="EG29012"/>
      <c r="EH29012"/>
      <c r="EI29012"/>
      <c r="EJ29012"/>
      <c r="EK29012"/>
    </row>
    <row r="29013" spans="1:141" s="116" customFormat="1">
      <c r="A29013" s="136"/>
      <c r="CM29013" s="111"/>
      <c r="CQ29013" s="111"/>
      <c r="EF29013"/>
      <c r="EG29013"/>
      <c r="EH29013"/>
      <c r="EI29013"/>
      <c r="EJ29013"/>
      <c r="EK29013"/>
    </row>
    <row r="29014" spans="1:141" s="116" customFormat="1">
      <c r="A29014" s="136"/>
      <c r="CM29014" s="111"/>
      <c r="CQ29014" s="111"/>
      <c r="EF29014"/>
      <c r="EG29014"/>
      <c r="EH29014"/>
      <c r="EI29014"/>
      <c r="EJ29014"/>
      <c r="EK29014"/>
    </row>
    <row r="29015" spans="1:141" s="116" customFormat="1">
      <c r="A29015" s="136"/>
      <c r="CM29015" s="111"/>
      <c r="CQ29015" s="111"/>
      <c r="EF29015"/>
      <c r="EG29015"/>
      <c r="EH29015"/>
      <c r="EI29015"/>
      <c r="EJ29015"/>
      <c r="EK29015"/>
    </row>
    <row r="29016" spans="1:141" s="116" customFormat="1">
      <c r="A29016" s="136"/>
      <c r="CM29016" s="111"/>
      <c r="CQ29016" s="111"/>
      <c r="EF29016"/>
      <c r="EG29016"/>
      <c r="EH29016"/>
      <c r="EI29016"/>
      <c r="EJ29016"/>
      <c r="EK29016"/>
    </row>
    <row r="29017" spans="1:141" s="116" customFormat="1">
      <c r="A29017" s="136"/>
      <c r="CM29017" s="111"/>
      <c r="CQ29017" s="111"/>
      <c r="EF29017"/>
      <c r="EG29017"/>
      <c r="EH29017"/>
      <c r="EI29017"/>
      <c r="EJ29017"/>
      <c r="EK29017"/>
    </row>
    <row r="29018" spans="1:141" s="116" customFormat="1">
      <c r="A29018" s="136"/>
      <c r="CM29018" s="111"/>
      <c r="CQ29018" s="111"/>
      <c r="EF29018"/>
      <c r="EG29018"/>
      <c r="EH29018"/>
      <c r="EI29018"/>
      <c r="EJ29018"/>
      <c r="EK29018"/>
    </row>
    <row r="29019" spans="1:141" s="116" customFormat="1">
      <c r="A29019" s="136"/>
      <c r="CM29019" s="111"/>
      <c r="CQ29019" s="111"/>
      <c r="EF29019"/>
      <c r="EG29019"/>
      <c r="EH29019"/>
      <c r="EI29019"/>
      <c r="EJ29019"/>
      <c r="EK29019"/>
    </row>
    <row r="29020" spans="1:141" s="116" customFormat="1">
      <c r="A29020" s="136"/>
      <c r="CM29020" s="111"/>
      <c r="CQ29020" s="111"/>
      <c r="EF29020"/>
      <c r="EG29020"/>
      <c r="EH29020"/>
      <c r="EI29020"/>
      <c r="EJ29020"/>
      <c r="EK29020"/>
    </row>
    <row r="29021" spans="1:141" s="116" customFormat="1">
      <c r="A29021" s="136"/>
      <c r="CM29021" s="111"/>
      <c r="CQ29021" s="111"/>
      <c r="EF29021"/>
      <c r="EG29021"/>
      <c r="EH29021"/>
      <c r="EI29021"/>
      <c r="EJ29021"/>
      <c r="EK29021"/>
    </row>
    <row r="29022" spans="1:141" s="116" customFormat="1">
      <c r="A29022" s="136"/>
      <c r="CM29022" s="111"/>
      <c r="CQ29022" s="111"/>
      <c r="EF29022"/>
      <c r="EG29022"/>
      <c r="EH29022"/>
      <c r="EI29022"/>
      <c r="EJ29022"/>
      <c r="EK29022"/>
    </row>
    <row r="29023" spans="1:141" s="116" customFormat="1">
      <c r="A29023" s="136"/>
      <c r="CM29023" s="111"/>
      <c r="CQ29023" s="111"/>
      <c r="EF29023"/>
      <c r="EG29023"/>
      <c r="EH29023"/>
      <c r="EI29023"/>
      <c r="EJ29023"/>
      <c r="EK29023"/>
    </row>
    <row r="29024" spans="1:141" s="116" customFormat="1">
      <c r="A29024" s="136"/>
      <c r="CM29024" s="111"/>
      <c r="CQ29024" s="111"/>
      <c r="EF29024"/>
      <c r="EG29024"/>
      <c r="EH29024"/>
      <c r="EI29024"/>
      <c r="EJ29024"/>
      <c r="EK29024"/>
    </row>
    <row r="29025" spans="1:141" s="116" customFormat="1">
      <c r="A29025" s="136"/>
      <c r="CM29025" s="111"/>
      <c r="CQ29025" s="111"/>
      <c r="EF29025"/>
      <c r="EG29025"/>
      <c r="EH29025"/>
      <c r="EI29025"/>
      <c r="EJ29025"/>
      <c r="EK29025"/>
    </row>
    <row r="29026" spans="1:141" s="116" customFormat="1">
      <c r="A29026" s="136"/>
      <c r="CM29026" s="111"/>
      <c r="CQ29026" s="111"/>
      <c r="EF29026"/>
      <c r="EG29026"/>
      <c r="EH29026"/>
      <c r="EI29026"/>
      <c r="EJ29026"/>
      <c r="EK29026"/>
    </row>
    <row r="29027" spans="1:141" s="116" customFormat="1">
      <c r="A29027" s="136"/>
      <c r="CM29027" s="111"/>
      <c r="CQ29027" s="111"/>
      <c r="EF29027"/>
      <c r="EG29027"/>
      <c r="EH29027"/>
      <c r="EI29027"/>
      <c r="EJ29027"/>
      <c r="EK29027"/>
    </row>
    <row r="29028" spans="1:141" s="116" customFormat="1">
      <c r="A29028" s="136"/>
      <c r="CM29028" s="111"/>
      <c r="CQ29028" s="111"/>
      <c r="EF29028"/>
      <c r="EG29028"/>
      <c r="EH29028"/>
      <c r="EI29028"/>
      <c r="EJ29028"/>
      <c r="EK29028"/>
    </row>
    <row r="29029" spans="1:141" s="116" customFormat="1">
      <c r="A29029" s="136"/>
      <c r="CM29029" s="111"/>
      <c r="CQ29029" s="111"/>
      <c r="EF29029"/>
      <c r="EG29029"/>
      <c r="EH29029"/>
      <c r="EI29029"/>
      <c r="EJ29029"/>
      <c r="EK29029"/>
    </row>
    <row r="29030" spans="1:141" s="116" customFormat="1">
      <c r="A29030" s="136"/>
      <c r="CM29030" s="111"/>
      <c r="CQ29030" s="111"/>
      <c r="EF29030"/>
      <c r="EG29030"/>
      <c r="EH29030"/>
      <c r="EI29030"/>
      <c r="EJ29030"/>
      <c r="EK29030"/>
    </row>
    <row r="29031" spans="1:141" s="116" customFormat="1">
      <c r="A29031" s="136"/>
      <c r="CM29031" s="111"/>
      <c r="CQ29031" s="111"/>
      <c r="EF29031"/>
      <c r="EG29031"/>
      <c r="EH29031"/>
      <c r="EI29031"/>
      <c r="EJ29031"/>
      <c r="EK29031"/>
    </row>
    <row r="29032" spans="1:141" s="116" customFormat="1">
      <c r="A29032" s="136"/>
      <c r="CM29032" s="111"/>
      <c r="CQ29032" s="111"/>
      <c r="EF29032"/>
      <c r="EG29032"/>
      <c r="EH29032"/>
      <c r="EI29032"/>
      <c r="EJ29032"/>
      <c r="EK29032"/>
    </row>
    <row r="29033" spans="1:141" s="116" customFormat="1">
      <c r="A29033" s="136"/>
      <c r="CM29033" s="111"/>
      <c r="CQ29033" s="111"/>
      <c r="EF29033"/>
      <c r="EG29033"/>
      <c r="EH29033"/>
      <c r="EI29033"/>
      <c r="EJ29033"/>
      <c r="EK29033"/>
    </row>
    <row r="29034" spans="1:141" s="116" customFormat="1">
      <c r="A29034" s="136"/>
      <c r="CM29034" s="111"/>
      <c r="CQ29034" s="111"/>
      <c r="EF29034"/>
      <c r="EG29034"/>
      <c r="EH29034"/>
      <c r="EI29034"/>
      <c r="EJ29034"/>
      <c r="EK29034"/>
    </row>
    <row r="29035" spans="1:141" s="116" customFormat="1">
      <c r="A29035" s="136"/>
      <c r="CM29035" s="111"/>
      <c r="CQ29035" s="111"/>
      <c r="EF29035"/>
      <c r="EG29035"/>
      <c r="EH29035"/>
      <c r="EI29035"/>
      <c r="EJ29035"/>
      <c r="EK29035"/>
    </row>
    <row r="29036" spans="1:141" s="116" customFormat="1">
      <c r="A29036" s="136"/>
      <c r="CM29036" s="111"/>
      <c r="CQ29036" s="111"/>
      <c r="EF29036"/>
      <c r="EG29036"/>
      <c r="EH29036"/>
      <c r="EI29036"/>
      <c r="EJ29036"/>
      <c r="EK29036"/>
    </row>
    <row r="29037" spans="1:141" s="116" customFormat="1">
      <c r="A29037" s="136"/>
      <c r="CM29037" s="111"/>
      <c r="CQ29037" s="111"/>
      <c r="EF29037"/>
      <c r="EG29037"/>
      <c r="EH29037"/>
      <c r="EI29037"/>
      <c r="EJ29037"/>
      <c r="EK29037"/>
    </row>
    <row r="29038" spans="1:141" s="116" customFormat="1">
      <c r="A29038" s="136"/>
      <c r="CM29038" s="111"/>
      <c r="CQ29038" s="111"/>
      <c r="EF29038"/>
      <c r="EG29038"/>
      <c r="EH29038"/>
      <c r="EI29038"/>
      <c r="EJ29038"/>
      <c r="EK29038"/>
    </row>
    <row r="29039" spans="1:141" s="116" customFormat="1">
      <c r="A29039" s="136"/>
      <c r="CM29039" s="111"/>
      <c r="CQ29039" s="111"/>
      <c r="EF29039"/>
      <c r="EG29039"/>
      <c r="EH29039"/>
      <c r="EI29039"/>
      <c r="EJ29039"/>
      <c r="EK29039"/>
    </row>
    <row r="29040" spans="1:141" s="116" customFormat="1">
      <c r="A29040" s="136"/>
      <c r="CM29040" s="111"/>
      <c r="CQ29040" s="111"/>
      <c r="EF29040"/>
      <c r="EG29040"/>
      <c r="EH29040"/>
      <c r="EI29040"/>
      <c r="EJ29040"/>
      <c r="EK29040"/>
    </row>
    <row r="29041" spans="1:141" s="116" customFormat="1">
      <c r="A29041" s="136"/>
      <c r="CM29041" s="111"/>
      <c r="CQ29041" s="111"/>
      <c r="EF29041"/>
      <c r="EG29041"/>
      <c r="EH29041"/>
      <c r="EI29041"/>
      <c r="EJ29041"/>
      <c r="EK29041"/>
    </row>
    <row r="29042" spans="1:141" s="116" customFormat="1">
      <c r="A29042" s="136"/>
      <c r="CM29042" s="111"/>
      <c r="CQ29042" s="111"/>
      <c r="EF29042"/>
      <c r="EG29042"/>
      <c r="EH29042"/>
      <c r="EI29042"/>
      <c r="EJ29042"/>
      <c r="EK29042"/>
    </row>
    <row r="29043" spans="1:141" s="116" customFormat="1">
      <c r="A29043" s="136"/>
      <c r="CM29043" s="111"/>
      <c r="CQ29043" s="111"/>
      <c r="EF29043"/>
      <c r="EG29043"/>
      <c r="EH29043"/>
      <c r="EI29043"/>
      <c r="EJ29043"/>
      <c r="EK29043"/>
    </row>
    <row r="29044" spans="1:141" s="116" customFormat="1">
      <c r="A29044" s="136"/>
      <c r="CM29044" s="111"/>
      <c r="CQ29044" s="111"/>
      <c r="EF29044"/>
      <c r="EG29044"/>
      <c r="EH29044"/>
      <c r="EI29044"/>
      <c r="EJ29044"/>
      <c r="EK29044"/>
    </row>
    <row r="29045" spans="1:141" s="116" customFormat="1">
      <c r="A29045" s="136"/>
      <c r="CM29045" s="111"/>
      <c r="CQ29045" s="111"/>
      <c r="EF29045"/>
      <c r="EG29045"/>
      <c r="EH29045"/>
      <c r="EI29045"/>
      <c r="EJ29045"/>
      <c r="EK29045"/>
    </row>
    <row r="29046" spans="1:141" s="116" customFormat="1">
      <c r="A29046" s="136"/>
      <c r="CM29046" s="111"/>
      <c r="CQ29046" s="111"/>
      <c r="EF29046"/>
      <c r="EG29046"/>
      <c r="EH29046"/>
      <c r="EI29046"/>
      <c r="EJ29046"/>
      <c r="EK29046"/>
    </row>
    <row r="29047" spans="1:141" s="116" customFormat="1">
      <c r="A29047" s="136"/>
      <c r="CM29047" s="111"/>
      <c r="CQ29047" s="111"/>
      <c r="EF29047"/>
      <c r="EG29047"/>
      <c r="EH29047"/>
      <c r="EI29047"/>
      <c r="EJ29047"/>
      <c r="EK29047"/>
    </row>
    <row r="29048" spans="1:141" s="116" customFormat="1">
      <c r="A29048" s="136"/>
      <c r="CM29048" s="111"/>
      <c r="CQ29048" s="111"/>
      <c r="EF29048"/>
      <c r="EG29048"/>
      <c r="EH29048"/>
      <c r="EI29048"/>
      <c r="EJ29048"/>
      <c r="EK29048"/>
    </row>
    <row r="29049" spans="1:141" s="116" customFormat="1">
      <c r="A29049" s="136"/>
      <c r="CM29049" s="111"/>
      <c r="CQ29049" s="111"/>
      <c r="EF29049"/>
      <c r="EG29049"/>
      <c r="EH29049"/>
      <c r="EI29049"/>
      <c r="EJ29049"/>
      <c r="EK29049"/>
    </row>
    <row r="29050" spans="1:141" s="116" customFormat="1">
      <c r="A29050" s="136"/>
      <c r="CM29050" s="111"/>
      <c r="CQ29050" s="111"/>
      <c r="EF29050"/>
      <c r="EG29050"/>
      <c r="EH29050"/>
      <c r="EI29050"/>
      <c r="EJ29050"/>
      <c r="EK29050"/>
    </row>
    <row r="29051" spans="1:141" s="116" customFormat="1">
      <c r="A29051" s="136"/>
      <c r="CM29051" s="111"/>
      <c r="CQ29051" s="111"/>
      <c r="EF29051"/>
      <c r="EG29051"/>
      <c r="EH29051"/>
      <c r="EI29051"/>
      <c r="EJ29051"/>
      <c r="EK29051"/>
    </row>
    <row r="29052" spans="1:141" s="116" customFormat="1">
      <c r="A29052" s="136"/>
      <c r="CM29052" s="111"/>
      <c r="CQ29052" s="111"/>
      <c r="EF29052"/>
      <c r="EG29052"/>
      <c r="EH29052"/>
      <c r="EI29052"/>
      <c r="EJ29052"/>
      <c r="EK29052"/>
    </row>
    <row r="29053" spans="1:141" s="116" customFormat="1">
      <c r="A29053" s="136"/>
      <c r="CM29053" s="111"/>
      <c r="CQ29053" s="111"/>
      <c r="EF29053"/>
      <c r="EG29053"/>
      <c r="EH29053"/>
      <c r="EI29053"/>
      <c r="EJ29053"/>
      <c r="EK29053"/>
    </row>
    <row r="29054" spans="1:141" s="116" customFormat="1">
      <c r="A29054" s="136"/>
      <c r="CM29054" s="111"/>
      <c r="CQ29054" s="111"/>
      <c r="EF29054"/>
      <c r="EG29054"/>
      <c r="EH29054"/>
      <c r="EI29054"/>
      <c r="EJ29054"/>
      <c r="EK29054"/>
    </row>
    <row r="29055" spans="1:141" s="116" customFormat="1">
      <c r="A29055" s="136"/>
      <c r="CM29055" s="111"/>
      <c r="CQ29055" s="111"/>
      <c r="EF29055"/>
      <c r="EG29055"/>
      <c r="EH29055"/>
      <c r="EI29055"/>
      <c r="EJ29055"/>
      <c r="EK29055"/>
    </row>
    <row r="29056" spans="1:141" s="116" customFormat="1">
      <c r="A29056" s="136"/>
      <c r="CM29056" s="111"/>
      <c r="CQ29056" s="111"/>
      <c r="EF29056"/>
      <c r="EG29056"/>
      <c r="EH29056"/>
      <c r="EI29056"/>
      <c r="EJ29056"/>
      <c r="EK29056"/>
    </row>
    <row r="29057" spans="1:141" s="116" customFormat="1">
      <c r="A29057" s="136"/>
      <c r="CM29057" s="111"/>
      <c r="CQ29057" s="111"/>
      <c r="EF29057"/>
      <c r="EG29057"/>
      <c r="EH29057"/>
      <c r="EI29057"/>
      <c r="EJ29057"/>
      <c r="EK29057"/>
    </row>
    <row r="29058" spans="1:141" s="116" customFormat="1">
      <c r="A29058" s="136"/>
      <c r="CM29058" s="111"/>
      <c r="CQ29058" s="111"/>
      <c r="EF29058"/>
      <c r="EG29058"/>
      <c r="EH29058"/>
      <c r="EI29058"/>
      <c r="EJ29058"/>
      <c r="EK29058"/>
    </row>
    <row r="29059" spans="1:141" s="116" customFormat="1">
      <c r="A29059" s="136"/>
      <c r="CM29059" s="111"/>
      <c r="CQ29059" s="111"/>
      <c r="EF29059"/>
      <c r="EG29059"/>
      <c r="EH29059"/>
      <c r="EI29059"/>
      <c r="EJ29059"/>
      <c r="EK29059"/>
    </row>
    <row r="29060" spans="1:141" s="116" customFormat="1">
      <c r="A29060" s="136"/>
      <c r="CM29060" s="111"/>
      <c r="CQ29060" s="111"/>
      <c r="EF29060"/>
      <c r="EG29060"/>
      <c r="EH29060"/>
      <c r="EI29060"/>
      <c r="EJ29060"/>
      <c r="EK29060"/>
    </row>
    <row r="29061" spans="1:141" s="116" customFormat="1">
      <c r="A29061" s="136"/>
      <c r="CM29061" s="111"/>
      <c r="CQ29061" s="111"/>
      <c r="EF29061"/>
      <c r="EG29061"/>
      <c r="EH29061"/>
      <c r="EI29061"/>
      <c r="EJ29061"/>
      <c r="EK29061"/>
    </row>
    <row r="29062" spans="1:141" s="116" customFormat="1">
      <c r="A29062" s="136"/>
      <c r="CM29062" s="111"/>
      <c r="CQ29062" s="111"/>
      <c r="EF29062"/>
      <c r="EG29062"/>
      <c r="EH29062"/>
      <c r="EI29062"/>
      <c r="EJ29062"/>
      <c r="EK29062"/>
    </row>
    <row r="29063" spans="1:141" s="116" customFormat="1">
      <c r="A29063" s="136"/>
      <c r="CM29063" s="111"/>
      <c r="CQ29063" s="111"/>
      <c r="EF29063"/>
      <c r="EG29063"/>
      <c r="EH29063"/>
      <c r="EI29063"/>
      <c r="EJ29063"/>
      <c r="EK29063"/>
    </row>
    <row r="29064" spans="1:141" s="116" customFormat="1">
      <c r="A29064" s="136"/>
      <c r="CM29064" s="111"/>
      <c r="CQ29064" s="111"/>
      <c r="EF29064"/>
      <c r="EG29064"/>
      <c r="EH29064"/>
      <c r="EI29064"/>
      <c r="EJ29064"/>
      <c r="EK29064"/>
    </row>
    <row r="29065" spans="1:141" s="116" customFormat="1">
      <c r="A29065" s="136"/>
      <c r="CM29065" s="111"/>
      <c r="CQ29065" s="111"/>
      <c r="EF29065"/>
      <c r="EG29065"/>
      <c r="EH29065"/>
      <c r="EI29065"/>
      <c r="EJ29065"/>
      <c r="EK29065"/>
    </row>
    <row r="29066" spans="1:141" s="116" customFormat="1">
      <c r="A29066" s="136"/>
      <c r="CM29066" s="111"/>
      <c r="CQ29066" s="111"/>
      <c r="EF29066"/>
      <c r="EG29066"/>
      <c r="EH29066"/>
      <c r="EI29066"/>
      <c r="EJ29066"/>
      <c r="EK29066"/>
    </row>
    <row r="29067" spans="1:141" s="116" customFormat="1">
      <c r="A29067" s="136"/>
      <c r="CM29067" s="111"/>
      <c r="CQ29067" s="111"/>
      <c r="EF29067"/>
      <c r="EG29067"/>
      <c r="EH29067"/>
      <c r="EI29067"/>
      <c r="EJ29067"/>
      <c r="EK29067"/>
    </row>
    <row r="29068" spans="1:141" s="116" customFormat="1">
      <c r="A29068" s="136"/>
      <c r="CM29068" s="111"/>
      <c r="CQ29068" s="111"/>
      <c r="EF29068"/>
      <c r="EG29068"/>
      <c r="EH29068"/>
      <c r="EI29068"/>
      <c r="EJ29068"/>
      <c r="EK29068"/>
    </row>
    <row r="29069" spans="1:141" s="116" customFormat="1">
      <c r="A29069" s="136"/>
      <c r="CM29069" s="111"/>
      <c r="CQ29069" s="111"/>
      <c r="EF29069"/>
      <c r="EG29069"/>
      <c r="EH29069"/>
      <c r="EI29069"/>
      <c r="EJ29069"/>
      <c r="EK29069"/>
    </row>
    <row r="29070" spans="1:141" s="116" customFormat="1">
      <c r="A29070" s="136"/>
      <c r="CM29070" s="111"/>
      <c r="CQ29070" s="111"/>
      <c r="EF29070"/>
      <c r="EG29070"/>
      <c r="EH29070"/>
      <c r="EI29070"/>
      <c r="EJ29070"/>
      <c r="EK29070"/>
    </row>
    <row r="29071" spans="1:141" s="116" customFormat="1">
      <c r="A29071" s="136"/>
      <c r="CM29071" s="111"/>
      <c r="CQ29071" s="111"/>
      <c r="EF29071"/>
      <c r="EG29071"/>
      <c r="EH29071"/>
      <c r="EI29071"/>
      <c r="EJ29071"/>
      <c r="EK29071"/>
    </row>
    <row r="29072" spans="1:141" s="116" customFormat="1">
      <c r="A29072" s="136"/>
      <c r="CM29072" s="111"/>
      <c r="CQ29072" s="111"/>
      <c r="EF29072"/>
      <c r="EG29072"/>
      <c r="EH29072"/>
      <c r="EI29072"/>
      <c r="EJ29072"/>
      <c r="EK29072"/>
    </row>
    <row r="29073" spans="1:141" s="116" customFormat="1">
      <c r="A29073" s="136"/>
      <c r="CM29073" s="111"/>
      <c r="CQ29073" s="111"/>
      <c r="EF29073"/>
      <c r="EG29073"/>
      <c r="EH29073"/>
      <c r="EI29073"/>
      <c r="EJ29073"/>
      <c r="EK29073"/>
    </row>
    <row r="29074" spans="1:141" s="116" customFormat="1">
      <c r="A29074" s="136"/>
      <c r="CM29074" s="111"/>
      <c r="CQ29074" s="111"/>
      <c r="EF29074"/>
      <c r="EG29074"/>
      <c r="EH29074"/>
      <c r="EI29074"/>
      <c r="EJ29074"/>
      <c r="EK29074"/>
    </row>
    <row r="29075" spans="1:141" s="116" customFormat="1">
      <c r="A29075" s="136"/>
      <c r="CM29075" s="111"/>
      <c r="CQ29075" s="111"/>
      <c r="EF29075"/>
      <c r="EG29075"/>
      <c r="EH29075"/>
      <c r="EI29075"/>
      <c r="EJ29075"/>
      <c r="EK29075"/>
    </row>
    <row r="29076" spans="1:141" s="116" customFormat="1">
      <c r="A29076" s="136"/>
      <c r="CM29076" s="111"/>
      <c r="CQ29076" s="111"/>
      <c r="EF29076"/>
      <c r="EG29076"/>
      <c r="EH29076"/>
      <c r="EI29076"/>
      <c r="EJ29076"/>
      <c r="EK29076"/>
    </row>
    <row r="29077" spans="1:141" s="116" customFormat="1">
      <c r="A29077" s="136"/>
      <c r="CM29077" s="111"/>
      <c r="CQ29077" s="111"/>
      <c r="EF29077"/>
      <c r="EG29077"/>
      <c r="EH29077"/>
      <c r="EI29077"/>
      <c r="EJ29077"/>
      <c r="EK29077"/>
    </row>
    <row r="29078" spans="1:141" s="116" customFormat="1">
      <c r="A29078" s="136"/>
      <c r="CM29078" s="111"/>
      <c r="CQ29078" s="111"/>
      <c r="EF29078"/>
      <c r="EG29078"/>
      <c r="EH29078"/>
      <c r="EI29078"/>
      <c r="EJ29078"/>
      <c r="EK29078"/>
    </row>
    <row r="29079" spans="1:141" s="116" customFormat="1">
      <c r="A29079" s="136"/>
      <c r="CM29079" s="111"/>
      <c r="CQ29079" s="111"/>
      <c r="EF29079"/>
      <c r="EG29079"/>
      <c r="EH29079"/>
      <c r="EI29079"/>
      <c r="EJ29079"/>
      <c r="EK29079"/>
    </row>
    <row r="29080" spans="1:141" s="116" customFormat="1">
      <c r="A29080" s="136"/>
      <c r="CM29080" s="111"/>
      <c r="CQ29080" s="111"/>
      <c r="EF29080"/>
      <c r="EG29080"/>
      <c r="EH29080"/>
      <c r="EI29080"/>
      <c r="EJ29080"/>
      <c r="EK29080"/>
    </row>
    <row r="29081" spans="1:141" s="116" customFormat="1">
      <c r="A29081" s="136"/>
      <c r="CM29081" s="111"/>
      <c r="CQ29081" s="111"/>
      <c r="EF29081"/>
      <c r="EG29081"/>
      <c r="EH29081"/>
      <c r="EI29081"/>
      <c r="EJ29081"/>
      <c r="EK29081"/>
    </row>
    <row r="29082" spans="1:141" s="116" customFormat="1">
      <c r="A29082" s="136"/>
      <c r="CM29082" s="111"/>
      <c r="CQ29082" s="111"/>
      <c r="EF29082"/>
      <c r="EG29082"/>
      <c r="EH29082"/>
      <c r="EI29082"/>
      <c r="EJ29082"/>
      <c r="EK29082"/>
    </row>
    <row r="29083" spans="1:141" s="116" customFormat="1">
      <c r="A29083" s="136"/>
      <c r="CM29083" s="111"/>
      <c r="CQ29083" s="111"/>
      <c r="EF29083"/>
      <c r="EG29083"/>
      <c r="EH29083"/>
      <c r="EI29083"/>
      <c r="EJ29083"/>
      <c r="EK29083"/>
    </row>
    <row r="29084" spans="1:141" s="116" customFormat="1">
      <c r="A29084" s="136"/>
      <c r="CM29084" s="111"/>
      <c r="CQ29084" s="111"/>
      <c r="EF29084"/>
      <c r="EG29084"/>
      <c r="EH29084"/>
      <c r="EI29084"/>
      <c r="EJ29084"/>
      <c r="EK29084"/>
    </row>
    <row r="29085" spans="1:141" s="116" customFormat="1">
      <c r="A29085" s="136"/>
      <c r="CM29085" s="111"/>
      <c r="CQ29085" s="111"/>
      <c r="EF29085"/>
      <c r="EG29085"/>
      <c r="EH29085"/>
      <c r="EI29085"/>
      <c r="EJ29085"/>
      <c r="EK29085"/>
    </row>
    <row r="29086" spans="1:141" s="116" customFormat="1">
      <c r="A29086" s="136"/>
      <c r="CM29086" s="111"/>
      <c r="CQ29086" s="111"/>
      <c r="EF29086"/>
      <c r="EG29086"/>
      <c r="EH29086"/>
      <c r="EI29086"/>
      <c r="EJ29086"/>
      <c r="EK29086"/>
    </row>
    <row r="29087" spans="1:141" s="116" customFormat="1">
      <c r="A29087" s="136"/>
      <c r="CM29087" s="111"/>
      <c r="CQ29087" s="111"/>
      <c r="EF29087"/>
      <c r="EG29087"/>
      <c r="EH29087"/>
      <c r="EI29087"/>
      <c r="EJ29087"/>
      <c r="EK29087"/>
    </row>
    <row r="29088" spans="1:141" s="116" customFormat="1">
      <c r="A29088" s="136"/>
      <c r="CM29088" s="111"/>
      <c r="CQ29088" s="111"/>
      <c r="EF29088"/>
      <c r="EG29088"/>
      <c r="EH29088"/>
      <c r="EI29088"/>
      <c r="EJ29088"/>
      <c r="EK29088"/>
    </row>
    <row r="29089" spans="1:141" s="116" customFormat="1">
      <c r="A29089" s="136"/>
      <c r="CM29089" s="111"/>
      <c r="CQ29089" s="111"/>
      <c r="EF29089"/>
      <c r="EG29089"/>
      <c r="EH29089"/>
      <c r="EI29089"/>
      <c r="EJ29089"/>
      <c r="EK29089"/>
    </row>
    <row r="29090" spans="1:141" s="116" customFormat="1">
      <c r="A29090" s="136"/>
      <c r="CM29090" s="111"/>
      <c r="CQ29090" s="111"/>
      <c r="EF29090"/>
      <c r="EG29090"/>
      <c r="EH29090"/>
      <c r="EI29090"/>
      <c r="EJ29090"/>
      <c r="EK29090"/>
    </row>
    <row r="29091" spans="1:141" s="116" customFormat="1">
      <c r="A29091" s="136"/>
      <c r="CM29091" s="111"/>
      <c r="CQ29091" s="111"/>
      <c r="EF29091"/>
      <c r="EG29091"/>
      <c r="EH29091"/>
      <c r="EI29091"/>
      <c r="EJ29091"/>
      <c r="EK29091"/>
    </row>
    <row r="29092" spans="1:141" s="116" customFormat="1">
      <c r="A29092" s="136"/>
      <c r="CM29092" s="111"/>
      <c r="CQ29092" s="111"/>
      <c r="EF29092"/>
      <c r="EG29092"/>
      <c r="EH29092"/>
      <c r="EI29092"/>
      <c r="EJ29092"/>
      <c r="EK29092"/>
    </row>
    <row r="29093" spans="1:141" s="116" customFormat="1">
      <c r="A29093" s="136"/>
      <c r="CM29093" s="111"/>
      <c r="CQ29093" s="111"/>
      <c r="EF29093"/>
      <c r="EG29093"/>
      <c r="EH29093"/>
      <c r="EI29093"/>
      <c r="EJ29093"/>
      <c r="EK29093"/>
    </row>
    <row r="29094" spans="1:141" s="116" customFormat="1">
      <c r="A29094" s="136"/>
      <c r="CM29094" s="111"/>
      <c r="CQ29094" s="111"/>
      <c r="EF29094"/>
      <c r="EG29094"/>
      <c r="EH29094"/>
      <c r="EI29094"/>
      <c r="EJ29094"/>
      <c r="EK29094"/>
    </row>
    <row r="29095" spans="1:141" s="116" customFormat="1">
      <c r="A29095" s="136"/>
      <c r="CM29095" s="111"/>
      <c r="CQ29095" s="111"/>
      <c r="EF29095"/>
      <c r="EG29095"/>
      <c r="EH29095"/>
      <c r="EI29095"/>
      <c r="EJ29095"/>
      <c r="EK29095"/>
    </row>
    <row r="29096" spans="1:141" s="116" customFormat="1">
      <c r="A29096" s="136"/>
      <c r="CM29096" s="111"/>
      <c r="CQ29096" s="111"/>
      <c r="EF29096"/>
      <c r="EG29096"/>
      <c r="EH29096"/>
      <c r="EI29096"/>
      <c r="EJ29096"/>
      <c r="EK29096"/>
    </row>
    <row r="29097" spans="1:141" s="116" customFormat="1">
      <c r="A29097" s="136"/>
      <c r="CM29097" s="111"/>
      <c r="CQ29097" s="111"/>
      <c r="EF29097"/>
      <c r="EG29097"/>
      <c r="EH29097"/>
      <c r="EI29097"/>
      <c r="EJ29097"/>
      <c r="EK29097"/>
    </row>
    <row r="29098" spans="1:141" s="116" customFormat="1">
      <c r="A29098" s="136"/>
      <c r="CM29098" s="111"/>
      <c r="CQ29098" s="111"/>
      <c r="EF29098"/>
      <c r="EG29098"/>
      <c r="EH29098"/>
      <c r="EI29098"/>
      <c r="EJ29098"/>
      <c r="EK29098"/>
    </row>
    <row r="29099" spans="1:141" s="116" customFormat="1">
      <c r="A29099" s="136"/>
      <c r="CM29099" s="111"/>
      <c r="CQ29099" s="111"/>
      <c r="EF29099"/>
      <c r="EG29099"/>
      <c r="EH29099"/>
      <c r="EI29099"/>
      <c r="EJ29099"/>
      <c r="EK29099"/>
    </row>
    <row r="29100" spans="1:141" s="116" customFormat="1">
      <c r="A29100" s="136"/>
      <c r="CM29100" s="111"/>
      <c r="CQ29100" s="111"/>
      <c r="EF29100"/>
      <c r="EG29100"/>
      <c r="EH29100"/>
      <c r="EI29100"/>
      <c r="EJ29100"/>
      <c r="EK29100"/>
    </row>
    <row r="29101" spans="1:141" s="116" customFormat="1">
      <c r="A29101" s="136"/>
      <c r="CM29101" s="111"/>
      <c r="CQ29101" s="111"/>
      <c r="EF29101"/>
      <c r="EG29101"/>
      <c r="EH29101"/>
      <c r="EI29101"/>
      <c r="EJ29101"/>
      <c r="EK29101"/>
    </row>
    <row r="29102" spans="1:141" s="116" customFormat="1">
      <c r="A29102" s="136"/>
      <c r="CM29102" s="111"/>
      <c r="CQ29102" s="111"/>
      <c r="EF29102"/>
      <c r="EG29102"/>
      <c r="EH29102"/>
      <c r="EI29102"/>
      <c r="EJ29102"/>
      <c r="EK29102"/>
    </row>
    <row r="29103" spans="1:141" s="116" customFormat="1">
      <c r="A29103" s="136"/>
      <c r="CM29103" s="111"/>
      <c r="CQ29103" s="111"/>
      <c r="EF29103"/>
      <c r="EG29103"/>
      <c r="EH29103"/>
      <c r="EI29103"/>
      <c r="EJ29103"/>
      <c r="EK29103"/>
    </row>
    <row r="29104" spans="1:141" s="116" customFormat="1">
      <c r="A29104" s="136"/>
      <c r="CM29104" s="111"/>
      <c r="CQ29104" s="111"/>
      <c r="EF29104"/>
      <c r="EG29104"/>
      <c r="EH29104"/>
      <c r="EI29104"/>
      <c r="EJ29104"/>
      <c r="EK29104"/>
    </row>
    <row r="29105" spans="1:141" s="116" customFormat="1">
      <c r="A29105" s="136"/>
      <c r="CM29105" s="111"/>
      <c r="CQ29105" s="111"/>
      <c r="EF29105"/>
      <c r="EG29105"/>
      <c r="EH29105"/>
      <c r="EI29105"/>
      <c r="EJ29105"/>
      <c r="EK29105"/>
    </row>
    <row r="29106" spans="1:141" s="116" customFormat="1">
      <c r="A29106" s="136"/>
      <c r="CM29106" s="111"/>
      <c r="CQ29106" s="111"/>
      <c r="EF29106"/>
      <c r="EG29106"/>
      <c r="EH29106"/>
      <c r="EI29106"/>
      <c r="EJ29106"/>
      <c r="EK29106"/>
    </row>
    <row r="29107" spans="1:141" s="116" customFormat="1">
      <c r="A29107" s="136"/>
      <c r="CM29107" s="111"/>
      <c r="CQ29107" s="111"/>
      <c r="EF29107"/>
      <c r="EG29107"/>
      <c r="EH29107"/>
      <c r="EI29107"/>
      <c r="EJ29107"/>
      <c r="EK29107"/>
    </row>
    <row r="29108" spans="1:141" s="116" customFormat="1">
      <c r="A29108" s="136"/>
      <c r="CM29108" s="111"/>
      <c r="CQ29108" s="111"/>
      <c r="EF29108"/>
      <c r="EG29108"/>
      <c r="EH29108"/>
      <c r="EI29108"/>
      <c r="EJ29108"/>
      <c r="EK29108"/>
    </row>
    <row r="29109" spans="1:141" s="116" customFormat="1">
      <c r="A29109" s="136"/>
      <c r="CM29109" s="111"/>
      <c r="CQ29109" s="111"/>
      <c r="EF29109"/>
      <c r="EG29109"/>
      <c r="EH29109"/>
      <c r="EI29109"/>
      <c r="EJ29109"/>
      <c r="EK29109"/>
    </row>
    <row r="29110" spans="1:141" s="116" customFormat="1">
      <c r="A29110" s="136"/>
      <c r="CM29110" s="111"/>
      <c r="CQ29110" s="111"/>
      <c r="EF29110"/>
      <c r="EG29110"/>
      <c r="EH29110"/>
      <c r="EI29110"/>
      <c r="EJ29110"/>
      <c r="EK29110"/>
    </row>
    <row r="29111" spans="1:141" s="116" customFormat="1">
      <c r="A29111" s="136"/>
      <c r="CM29111" s="111"/>
      <c r="CQ29111" s="111"/>
      <c r="EF29111"/>
      <c r="EG29111"/>
      <c r="EH29111"/>
      <c r="EI29111"/>
      <c r="EJ29111"/>
      <c r="EK29111"/>
    </row>
    <row r="29112" spans="1:141" s="116" customFormat="1">
      <c r="A29112" s="136"/>
      <c r="CM29112" s="111"/>
      <c r="CQ29112" s="111"/>
      <c r="EF29112"/>
      <c r="EG29112"/>
      <c r="EH29112"/>
      <c r="EI29112"/>
      <c r="EJ29112"/>
      <c r="EK29112"/>
    </row>
    <row r="29113" spans="1:141" s="116" customFormat="1">
      <c r="A29113" s="136"/>
      <c r="CM29113" s="111"/>
      <c r="CQ29113" s="111"/>
      <c r="EF29113"/>
      <c r="EG29113"/>
      <c r="EH29113"/>
      <c r="EI29113"/>
      <c r="EJ29113"/>
      <c r="EK29113"/>
    </row>
    <row r="29114" spans="1:141" s="116" customFormat="1">
      <c r="A29114" s="136"/>
      <c r="CM29114" s="111"/>
      <c r="CQ29114" s="111"/>
      <c r="EF29114"/>
      <c r="EG29114"/>
      <c r="EH29114"/>
      <c r="EI29114"/>
      <c r="EJ29114"/>
      <c r="EK29114"/>
    </row>
    <row r="29115" spans="1:141" s="116" customFormat="1">
      <c r="A29115" s="136"/>
      <c r="CM29115" s="111"/>
      <c r="CQ29115" s="111"/>
      <c r="EF29115"/>
      <c r="EG29115"/>
      <c r="EH29115"/>
      <c r="EI29115"/>
      <c r="EJ29115"/>
      <c r="EK29115"/>
    </row>
    <row r="29116" spans="1:141" s="116" customFormat="1">
      <c r="A29116" s="136"/>
      <c r="CM29116" s="111"/>
      <c r="CQ29116" s="111"/>
      <c r="EF29116"/>
      <c r="EG29116"/>
      <c r="EH29116"/>
      <c r="EI29116"/>
      <c r="EJ29116"/>
      <c r="EK29116"/>
    </row>
    <row r="29117" spans="1:141" s="116" customFormat="1">
      <c r="A29117" s="136"/>
      <c r="CM29117" s="111"/>
      <c r="CQ29117" s="111"/>
      <c r="EF29117"/>
      <c r="EG29117"/>
      <c r="EH29117"/>
      <c r="EI29117"/>
      <c r="EJ29117"/>
      <c r="EK29117"/>
    </row>
    <row r="29118" spans="1:141" s="116" customFormat="1">
      <c r="A29118" s="136"/>
      <c r="CM29118" s="111"/>
      <c r="CQ29118" s="111"/>
      <c r="EF29118"/>
      <c r="EG29118"/>
      <c r="EH29118"/>
      <c r="EI29118"/>
      <c r="EJ29118"/>
      <c r="EK29118"/>
    </row>
    <row r="29119" spans="1:141" s="116" customFormat="1">
      <c r="A29119" s="136"/>
      <c r="CM29119" s="111"/>
      <c r="CQ29119" s="111"/>
      <c r="EF29119"/>
      <c r="EG29119"/>
      <c r="EH29119"/>
      <c r="EI29119"/>
      <c r="EJ29119"/>
      <c r="EK29119"/>
    </row>
    <row r="29120" spans="1:141" s="116" customFormat="1">
      <c r="A29120" s="136"/>
      <c r="CM29120" s="111"/>
      <c r="CQ29120" s="111"/>
      <c r="EF29120"/>
      <c r="EG29120"/>
      <c r="EH29120"/>
      <c r="EI29120"/>
      <c r="EJ29120"/>
      <c r="EK29120"/>
    </row>
    <row r="29121" spans="1:141" s="116" customFormat="1">
      <c r="A29121" s="136"/>
      <c r="CM29121" s="111"/>
      <c r="CQ29121" s="111"/>
      <c r="EF29121"/>
      <c r="EG29121"/>
      <c r="EH29121"/>
      <c r="EI29121"/>
      <c r="EJ29121"/>
      <c r="EK29121"/>
    </row>
    <row r="29122" spans="1:141" s="116" customFormat="1">
      <c r="A29122" s="136"/>
      <c r="CM29122" s="111"/>
      <c r="CQ29122" s="111"/>
      <c r="EF29122"/>
      <c r="EG29122"/>
      <c r="EH29122"/>
      <c r="EI29122"/>
      <c r="EJ29122"/>
      <c r="EK29122"/>
    </row>
    <row r="29123" spans="1:141" s="116" customFormat="1">
      <c r="A29123" s="136"/>
      <c r="CM29123" s="111"/>
      <c r="CQ29123" s="111"/>
      <c r="EF29123"/>
      <c r="EG29123"/>
      <c r="EH29123"/>
      <c r="EI29123"/>
      <c r="EJ29123"/>
      <c r="EK29123"/>
    </row>
    <row r="29124" spans="1:141" s="116" customFormat="1">
      <c r="A29124" s="136"/>
      <c r="CM29124" s="111"/>
      <c r="CQ29124" s="111"/>
      <c r="EF29124"/>
      <c r="EG29124"/>
      <c r="EH29124"/>
      <c r="EI29124"/>
      <c r="EJ29124"/>
      <c r="EK29124"/>
    </row>
    <row r="29125" spans="1:141" s="116" customFormat="1">
      <c r="A29125" s="136"/>
      <c r="CM29125" s="111"/>
      <c r="CQ29125" s="111"/>
      <c r="EF29125"/>
      <c r="EG29125"/>
      <c r="EH29125"/>
      <c r="EI29125"/>
      <c r="EJ29125"/>
      <c r="EK29125"/>
    </row>
    <row r="29126" spans="1:141" s="116" customFormat="1">
      <c r="A29126" s="136"/>
      <c r="CM29126" s="111"/>
      <c r="CQ29126" s="111"/>
      <c r="EF29126"/>
      <c r="EG29126"/>
      <c r="EH29126"/>
      <c r="EI29126"/>
      <c r="EJ29126"/>
      <c r="EK29126"/>
    </row>
    <row r="29127" spans="1:141" s="116" customFormat="1">
      <c r="A29127" s="136"/>
      <c r="CM29127" s="111"/>
      <c r="CQ29127" s="111"/>
      <c r="EF29127"/>
      <c r="EG29127"/>
      <c r="EH29127"/>
      <c r="EI29127"/>
      <c r="EJ29127"/>
      <c r="EK29127"/>
    </row>
    <row r="29128" spans="1:141" s="116" customFormat="1">
      <c r="A29128" s="136"/>
      <c r="CM29128" s="111"/>
      <c r="CQ29128" s="111"/>
      <c r="EF29128"/>
      <c r="EG29128"/>
      <c r="EH29128"/>
      <c r="EI29128"/>
      <c r="EJ29128"/>
      <c r="EK29128"/>
    </row>
    <row r="29129" spans="1:141" s="116" customFormat="1">
      <c r="A29129" s="136"/>
      <c r="CM29129" s="111"/>
      <c r="CQ29129" s="111"/>
      <c r="EF29129"/>
      <c r="EG29129"/>
      <c r="EH29129"/>
      <c r="EI29129"/>
      <c r="EJ29129"/>
      <c r="EK29129"/>
    </row>
    <row r="29130" spans="1:141" s="116" customFormat="1">
      <c r="A29130" s="136"/>
      <c r="CM29130" s="111"/>
      <c r="CQ29130" s="111"/>
      <c r="EF29130"/>
      <c r="EG29130"/>
      <c r="EH29130"/>
      <c r="EI29130"/>
      <c r="EJ29130"/>
      <c r="EK29130"/>
    </row>
    <row r="29131" spans="1:141" s="116" customFormat="1">
      <c r="A29131" s="136"/>
      <c r="CM29131" s="111"/>
      <c r="CQ29131" s="111"/>
      <c r="EF29131"/>
      <c r="EG29131"/>
      <c r="EH29131"/>
      <c r="EI29131"/>
      <c r="EJ29131"/>
      <c r="EK29131"/>
    </row>
    <row r="29132" spans="1:141" s="116" customFormat="1">
      <c r="A29132" s="136"/>
      <c r="CM29132" s="111"/>
      <c r="CQ29132" s="111"/>
      <c r="EF29132"/>
      <c r="EG29132"/>
      <c r="EH29132"/>
      <c r="EI29132"/>
      <c r="EJ29132"/>
      <c r="EK29132"/>
    </row>
    <row r="29133" spans="1:141" s="116" customFormat="1">
      <c r="A29133" s="136"/>
      <c r="CM29133" s="111"/>
      <c r="CQ29133" s="111"/>
      <c r="EF29133"/>
      <c r="EG29133"/>
      <c r="EH29133"/>
      <c r="EI29133"/>
      <c r="EJ29133"/>
      <c r="EK29133"/>
    </row>
    <row r="29134" spans="1:141" s="116" customFormat="1">
      <c r="A29134" s="136"/>
      <c r="CM29134" s="111"/>
      <c r="CQ29134" s="111"/>
      <c r="EF29134"/>
      <c r="EG29134"/>
      <c r="EH29134"/>
      <c r="EI29134"/>
      <c r="EJ29134"/>
      <c r="EK29134"/>
    </row>
    <row r="29135" spans="1:141" s="116" customFormat="1">
      <c r="A29135" s="136"/>
      <c r="CM29135" s="111"/>
      <c r="CQ29135" s="111"/>
      <c r="EF29135"/>
      <c r="EG29135"/>
      <c r="EH29135"/>
      <c r="EI29135"/>
      <c r="EJ29135"/>
      <c r="EK29135"/>
    </row>
    <row r="29136" spans="1:141" s="116" customFormat="1">
      <c r="A29136" s="136"/>
      <c r="CM29136" s="111"/>
      <c r="CQ29136" s="111"/>
      <c r="EF29136"/>
      <c r="EG29136"/>
      <c r="EH29136"/>
      <c r="EI29136"/>
      <c r="EJ29136"/>
      <c r="EK29136"/>
    </row>
    <row r="29137" spans="1:141" s="116" customFormat="1">
      <c r="A29137" s="136"/>
      <c r="CM29137" s="111"/>
      <c r="CQ29137" s="111"/>
      <c r="EF29137"/>
      <c r="EG29137"/>
      <c r="EH29137"/>
      <c r="EI29137"/>
      <c r="EJ29137"/>
      <c r="EK29137"/>
    </row>
    <row r="29138" spans="1:141" s="116" customFormat="1">
      <c r="A29138" s="136"/>
      <c r="CM29138" s="111"/>
      <c r="CQ29138" s="111"/>
      <c r="EF29138"/>
      <c r="EG29138"/>
      <c r="EH29138"/>
      <c r="EI29138"/>
      <c r="EJ29138"/>
      <c r="EK29138"/>
    </row>
    <row r="29139" spans="1:141" s="116" customFormat="1">
      <c r="A29139" s="136"/>
      <c r="CM29139" s="111"/>
      <c r="CQ29139" s="111"/>
      <c r="EF29139"/>
      <c r="EG29139"/>
      <c r="EH29139"/>
      <c r="EI29139"/>
      <c r="EJ29139"/>
      <c r="EK29139"/>
    </row>
    <row r="29140" spans="1:141" s="116" customFormat="1">
      <c r="A29140" s="136"/>
      <c r="CM29140" s="111"/>
      <c r="CQ29140" s="111"/>
      <c r="EF29140"/>
      <c r="EG29140"/>
      <c r="EH29140"/>
      <c r="EI29140"/>
      <c r="EJ29140"/>
      <c r="EK29140"/>
    </row>
    <row r="29141" spans="1:141" s="116" customFormat="1">
      <c r="A29141" s="136"/>
      <c r="CM29141" s="111"/>
      <c r="CQ29141" s="111"/>
      <c r="EF29141"/>
      <c r="EG29141"/>
      <c r="EH29141"/>
      <c r="EI29141"/>
      <c r="EJ29141"/>
      <c r="EK29141"/>
    </row>
    <row r="29142" spans="1:141" s="116" customFormat="1">
      <c r="A29142" s="136"/>
      <c r="CM29142" s="111"/>
      <c r="CQ29142" s="111"/>
      <c r="EF29142"/>
      <c r="EG29142"/>
      <c r="EH29142"/>
      <c r="EI29142"/>
      <c r="EJ29142"/>
      <c r="EK29142"/>
    </row>
    <row r="29143" spans="1:141" s="116" customFormat="1">
      <c r="A29143" s="136"/>
      <c r="CM29143" s="111"/>
      <c r="CQ29143" s="111"/>
      <c r="EF29143"/>
      <c r="EG29143"/>
      <c r="EH29143"/>
      <c r="EI29143"/>
      <c r="EJ29143"/>
      <c r="EK29143"/>
    </row>
    <row r="29144" spans="1:141" s="116" customFormat="1">
      <c r="A29144" s="136"/>
      <c r="CM29144" s="111"/>
      <c r="CQ29144" s="111"/>
      <c r="EF29144"/>
      <c r="EG29144"/>
      <c r="EH29144"/>
      <c r="EI29144"/>
      <c r="EJ29144"/>
      <c r="EK29144"/>
    </row>
    <row r="29145" spans="1:141" s="116" customFormat="1">
      <c r="A29145" s="136"/>
      <c r="CM29145" s="111"/>
      <c r="CQ29145" s="111"/>
      <c r="EF29145"/>
      <c r="EG29145"/>
      <c r="EH29145"/>
      <c r="EI29145"/>
      <c r="EJ29145"/>
      <c r="EK29145"/>
    </row>
    <row r="29146" spans="1:141" s="116" customFormat="1">
      <c r="A29146" s="136"/>
      <c r="CM29146" s="111"/>
      <c r="CQ29146" s="111"/>
      <c r="EF29146"/>
      <c r="EG29146"/>
      <c r="EH29146"/>
      <c r="EI29146"/>
      <c r="EJ29146"/>
      <c r="EK29146"/>
    </row>
    <row r="29147" spans="1:141" s="116" customFormat="1">
      <c r="A29147" s="136"/>
      <c r="CM29147" s="111"/>
      <c r="CQ29147" s="111"/>
      <c r="EF29147"/>
      <c r="EG29147"/>
      <c r="EH29147"/>
      <c r="EI29147"/>
      <c r="EJ29147"/>
      <c r="EK29147"/>
    </row>
    <row r="29148" spans="1:141" s="116" customFormat="1">
      <c r="A29148" s="136"/>
      <c r="CM29148" s="111"/>
      <c r="CQ29148" s="111"/>
      <c r="EF29148"/>
      <c r="EG29148"/>
      <c r="EH29148"/>
      <c r="EI29148"/>
      <c r="EJ29148"/>
      <c r="EK29148"/>
    </row>
    <row r="29149" spans="1:141" s="116" customFormat="1">
      <c r="A29149" s="136"/>
      <c r="CM29149" s="111"/>
      <c r="CQ29149" s="111"/>
      <c r="EF29149"/>
      <c r="EG29149"/>
      <c r="EH29149"/>
      <c r="EI29149"/>
      <c r="EJ29149"/>
      <c r="EK29149"/>
    </row>
    <row r="29150" spans="1:141" s="116" customFormat="1">
      <c r="A29150" s="136"/>
      <c r="CM29150" s="111"/>
      <c r="CQ29150" s="111"/>
      <c r="EF29150"/>
      <c r="EG29150"/>
      <c r="EH29150"/>
      <c r="EI29150"/>
      <c r="EJ29150"/>
      <c r="EK29150"/>
    </row>
    <row r="29151" spans="1:141" s="116" customFormat="1">
      <c r="A29151" s="136"/>
      <c r="CM29151" s="111"/>
      <c r="CQ29151" s="111"/>
      <c r="EF29151"/>
      <c r="EG29151"/>
      <c r="EH29151"/>
      <c r="EI29151"/>
      <c r="EJ29151"/>
      <c r="EK29151"/>
    </row>
    <row r="29152" spans="1:141" s="116" customFormat="1">
      <c r="A29152" s="136"/>
      <c r="CM29152" s="111"/>
      <c r="CQ29152" s="111"/>
      <c r="EF29152"/>
      <c r="EG29152"/>
      <c r="EH29152"/>
      <c r="EI29152"/>
      <c r="EJ29152"/>
      <c r="EK29152"/>
    </row>
    <row r="29153" spans="1:141" s="116" customFormat="1">
      <c r="A29153" s="136"/>
      <c r="CM29153" s="111"/>
      <c r="CQ29153" s="111"/>
      <c r="EF29153"/>
      <c r="EG29153"/>
      <c r="EH29153"/>
      <c r="EI29153"/>
      <c r="EJ29153"/>
      <c r="EK29153"/>
    </row>
    <row r="29154" spans="1:141" s="116" customFormat="1">
      <c r="A29154" s="136"/>
      <c r="CM29154" s="111"/>
      <c r="CQ29154" s="111"/>
      <c r="EF29154"/>
      <c r="EG29154"/>
      <c r="EH29154"/>
      <c r="EI29154"/>
      <c r="EJ29154"/>
      <c r="EK29154"/>
    </row>
    <row r="29155" spans="1:141" s="116" customFormat="1">
      <c r="A29155" s="136"/>
      <c r="CM29155" s="111"/>
      <c r="CQ29155" s="111"/>
      <c r="EF29155"/>
      <c r="EG29155"/>
      <c r="EH29155"/>
      <c r="EI29155"/>
      <c r="EJ29155"/>
      <c r="EK29155"/>
    </row>
    <row r="29156" spans="1:141" s="116" customFormat="1">
      <c r="A29156" s="136"/>
      <c r="CM29156" s="111"/>
      <c r="CQ29156" s="111"/>
      <c r="EF29156"/>
      <c r="EG29156"/>
      <c r="EH29156"/>
      <c r="EI29156"/>
      <c r="EJ29156"/>
      <c r="EK29156"/>
    </row>
    <row r="29157" spans="1:141" s="116" customFormat="1">
      <c r="A29157" s="136"/>
      <c r="CM29157" s="111"/>
      <c r="CQ29157" s="111"/>
      <c r="EF29157"/>
      <c r="EG29157"/>
      <c r="EH29157"/>
      <c r="EI29157"/>
      <c r="EJ29157"/>
      <c r="EK29157"/>
    </row>
    <row r="29158" spans="1:141" s="116" customFormat="1">
      <c r="A29158" s="136"/>
      <c r="CM29158" s="111"/>
      <c r="CQ29158" s="111"/>
      <c r="EF29158"/>
      <c r="EG29158"/>
      <c r="EH29158"/>
      <c r="EI29158"/>
      <c r="EJ29158"/>
      <c r="EK29158"/>
    </row>
    <row r="29159" spans="1:141" s="116" customFormat="1">
      <c r="A29159" s="136"/>
      <c r="CM29159" s="111"/>
      <c r="CQ29159" s="111"/>
      <c r="EF29159"/>
      <c r="EG29159"/>
      <c r="EH29159"/>
      <c r="EI29159"/>
      <c r="EJ29159"/>
      <c r="EK29159"/>
    </row>
    <row r="29160" spans="1:141" s="116" customFormat="1">
      <c r="A29160" s="136"/>
      <c r="CM29160" s="111"/>
      <c r="CQ29160" s="111"/>
      <c r="EF29160"/>
      <c r="EG29160"/>
      <c r="EH29160"/>
      <c r="EI29160"/>
      <c r="EJ29160"/>
      <c r="EK29160"/>
    </row>
    <row r="29161" spans="1:141" s="116" customFormat="1">
      <c r="A29161" s="136"/>
      <c r="CM29161" s="111"/>
      <c r="CQ29161" s="111"/>
      <c r="EF29161"/>
      <c r="EG29161"/>
      <c r="EH29161"/>
      <c r="EI29161"/>
      <c r="EJ29161"/>
      <c r="EK29161"/>
    </row>
    <row r="29162" spans="1:141" s="116" customFormat="1">
      <c r="A29162" s="136"/>
      <c r="CM29162" s="111"/>
      <c r="CQ29162" s="111"/>
      <c r="EF29162"/>
      <c r="EG29162"/>
      <c r="EH29162"/>
      <c r="EI29162"/>
      <c r="EJ29162"/>
      <c r="EK29162"/>
    </row>
    <row r="29163" spans="1:141" s="116" customFormat="1">
      <c r="A29163" s="136"/>
      <c r="CM29163" s="111"/>
      <c r="CQ29163" s="111"/>
      <c r="EF29163"/>
      <c r="EG29163"/>
      <c r="EH29163"/>
      <c r="EI29163"/>
      <c r="EJ29163"/>
      <c r="EK29163"/>
    </row>
    <row r="29164" spans="1:141" s="116" customFormat="1">
      <c r="A29164" s="136"/>
      <c r="CM29164" s="111"/>
      <c r="CQ29164" s="111"/>
      <c r="EF29164"/>
      <c r="EG29164"/>
      <c r="EH29164"/>
      <c r="EI29164"/>
      <c r="EJ29164"/>
      <c r="EK29164"/>
    </row>
    <row r="29165" spans="1:141" s="116" customFormat="1">
      <c r="A29165" s="136"/>
      <c r="CM29165" s="111"/>
      <c r="CQ29165" s="111"/>
      <c r="EF29165"/>
      <c r="EG29165"/>
      <c r="EH29165"/>
      <c r="EI29165"/>
      <c r="EJ29165"/>
      <c r="EK29165"/>
    </row>
    <row r="29166" spans="1:141" s="116" customFormat="1">
      <c r="A29166" s="136"/>
      <c r="CM29166" s="111"/>
      <c r="CQ29166" s="111"/>
      <c r="EF29166"/>
      <c r="EG29166"/>
      <c r="EH29166"/>
      <c r="EI29166"/>
      <c r="EJ29166"/>
      <c r="EK29166"/>
    </row>
    <row r="29167" spans="1:141" s="116" customFormat="1">
      <c r="A29167" s="136"/>
      <c r="CM29167" s="111"/>
      <c r="CQ29167" s="111"/>
      <c r="EF29167"/>
      <c r="EG29167"/>
      <c r="EH29167"/>
      <c r="EI29167"/>
      <c r="EJ29167"/>
      <c r="EK29167"/>
    </row>
    <row r="29168" spans="1:141" s="116" customFormat="1">
      <c r="A29168" s="136"/>
      <c r="CM29168" s="111"/>
      <c r="CQ29168" s="111"/>
      <c r="EF29168"/>
      <c r="EG29168"/>
      <c r="EH29168"/>
      <c r="EI29168"/>
      <c r="EJ29168"/>
      <c r="EK29168"/>
    </row>
    <row r="29169" spans="1:141" s="116" customFormat="1">
      <c r="A29169" s="136"/>
      <c r="CM29169" s="111"/>
      <c r="CQ29169" s="111"/>
      <c r="EF29169"/>
      <c r="EG29169"/>
      <c r="EH29169"/>
      <c r="EI29169"/>
      <c r="EJ29169"/>
      <c r="EK29169"/>
    </row>
    <row r="29170" spans="1:141" s="116" customFormat="1">
      <c r="A29170" s="136"/>
      <c r="CM29170" s="111"/>
      <c r="CQ29170" s="111"/>
      <c r="EF29170"/>
      <c r="EG29170"/>
      <c r="EH29170"/>
      <c r="EI29170"/>
      <c r="EJ29170"/>
      <c r="EK29170"/>
    </row>
    <row r="29171" spans="1:141" s="116" customFormat="1">
      <c r="A29171" s="136"/>
      <c r="CM29171" s="111"/>
      <c r="CQ29171" s="111"/>
      <c r="EF29171"/>
      <c r="EG29171"/>
      <c r="EH29171"/>
      <c r="EI29171"/>
      <c r="EJ29171"/>
      <c r="EK29171"/>
    </row>
    <row r="29172" spans="1:141" s="116" customFormat="1">
      <c r="A29172" s="136"/>
      <c r="CM29172" s="111"/>
      <c r="CQ29172" s="111"/>
      <c r="EF29172"/>
      <c r="EG29172"/>
      <c r="EH29172"/>
      <c r="EI29172"/>
      <c r="EJ29172"/>
      <c r="EK29172"/>
    </row>
    <row r="29173" spans="1:141" s="116" customFormat="1">
      <c r="A29173" s="136"/>
      <c r="CM29173" s="111"/>
      <c r="CQ29173" s="111"/>
      <c r="EF29173"/>
      <c r="EG29173"/>
      <c r="EH29173"/>
      <c r="EI29173"/>
      <c r="EJ29173"/>
      <c r="EK29173"/>
    </row>
    <row r="29174" spans="1:141" s="116" customFormat="1">
      <c r="A29174" s="136"/>
      <c r="CM29174" s="111"/>
      <c r="CQ29174" s="111"/>
      <c r="EF29174"/>
      <c r="EG29174"/>
      <c r="EH29174"/>
      <c r="EI29174"/>
      <c r="EJ29174"/>
      <c r="EK29174"/>
    </row>
    <row r="29175" spans="1:141" s="116" customFormat="1">
      <c r="A29175" s="136"/>
      <c r="CM29175" s="111"/>
      <c r="CQ29175" s="111"/>
      <c r="EF29175"/>
      <c r="EG29175"/>
      <c r="EH29175"/>
      <c r="EI29175"/>
      <c r="EJ29175"/>
      <c r="EK29175"/>
    </row>
    <row r="29176" spans="1:141" s="116" customFormat="1">
      <c r="A29176" s="136"/>
      <c r="CM29176" s="111"/>
      <c r="CQ29176" s="111"/>
      <c r="EF29176"/>
      <c r="EG29176"/>
      <c r="EH29176"/>
      <c r="EI29176"/>
      <c r="EJ29176"/>
      <c r="EK29176"/>
    </row>
    <row r="29177" spans="1:141" s="116" customFormat="1">
      <c r="A29177" s="136"/>
      <c r="CM29177" s="111"/>
      <c r="CQ29177" s="111"/>
      <c r="EF29177"/>
      <c r="EG29177"/>
      <c r="EH29177"/>
      <c r="EI29177"/>
      <c r="EJ29177"/>
      <c r="EK29177"/>
    </row>
    <row r="29178" spans="1:141" s="116" customFormat="1">
      <c r="A29178" s="136"/>
      <c r="CM29178" s="111"/>
      <c r="CQ29178" s="111"/>
      <c r="EF29178"/>
      <c r="EG29178"/>
      <c r="EH29178"/>
      <c r="EI29178"/>
      <c r="EJ29178"/>
      <c r="EK29178"/>
    </row>
    <row r="29179" spans="1:141" s="116" customFormat="1">
      <c r="A29179" s="136"/>
      <c r="CM29179" s="111"/>
      <c r="CQ29179" s="111"/>
      <c r="EF29179"/>
      <c r="EG29179"/>
      <c r="EH29179"/>
      <c r="EI29179"/>
      <c r="EJ29179"/>
      <c r="EK29179"/>
    </row>
    <row r="29180" spans="1:141" s="116" customFormat="1">
      <c r="A29180" s="136"/>
      <c r="CM29180" s="111"/>
      <c r="CQ29180" s="111"/>
      <c r="EF29180"/>
      <c r="EG29180"/>
      <c r="EH29180"/>
      <c r="EI29180"/>
      <c r="EJ29180"/>
      <c r="EK29180"/>
    </row>
    <row r="29181" spans="1:141" s="116" customFormat="1">
      <c r="A29181" s="136"/>
      <c r="CM29181" s="111"/>
      <c r="CQ29181" s="111"/>
      <c r="EF29181"/>
      <c r="EG29181"/>
      <c r="EH29181"/>
      <c r="EI29181"/>
      <c r="EJ29181"/>
      <c r="EK29181"/>
    </row>
    <row r="29182" spans="1:141" s="116" customFormat="1">
      <c r="A29182" s="136"/>
      <c r="CM29182" s="111"/>
      <c r="CQ29182" s="111"/>
      <c r="EF29182"/>
      <c r="EG29182"/>
      <c r="EH29182"/>
      <c r="EI29182"/>
      <c r="EJ29182"/>
      <c r="EK29182"/>
    </row>
    <row r="29183" spans="1:141" s="116" customFormat="1">
      <c r="A29183" s="136"/>
      <c r="CM29183" s="111"/>
      <c r="CQ29183" s="111"/>
      <c r="EF29183"/>
      <c r="EG29183"/>
      <c r="EH29183"/>
      <c r="EI29183"/>
      <c r="EJ29183"/>
      <c r="EK29183"/>
    </row>
    <row r="29184" spans="1:141" s="116" customFormat="1">
      <c r="A29184" s="136"/>
      <c r="CM29184" s="111"/>
      <c r="CQ29184" s="111"/>
      <c r="EF29184"/>
      <c r="EG29184"/>
      <c r="EH29184"/>
      <c r="EI29184"/>
      <c r="EJ29184"/>
      <c r="EK29184"/>
    </row>
    <row r="29185" spans="1:141" s="116" customFormat="1">
      <c r="A29185" s="136"/>
      <c r="CM29185" s="111"/>
      <c r="CQ29185" s="111"/>
      <c r="EF29185"/>
      <c r="EG29185"/>
      <c r="EH29185"/>
      <c r="EI29185"/>
      <c r="EJ29185"/>
      <c r="EK29185"/>
    </row>
    <row r="29186" spans="1:141" s="116" customFormat="1">
      <c r="A29186" s="136"/>
      <c r="CM29186" s="111"/>
      <c r="CQ29186" s="111"/>
      <c r="EF29186"/>
      <c r="EG29186"/>
      <c r="EH29186"/>
      <c r="EI29186"/>
      <c r="EJ29186"/>
      <c r="EK29186"/>
    </row>
    <row r="29187" spans="1:141" s="116" customFormat="1">
      <c r="A29187" s="136"/>
      <c r="CM29187" s="111"/>
      <c r="CQ29187" s="111"/>
      <c r="EF29187"/>
      <c r="EG29187"/>
      <c r="EH29187"/>
      <c r="EI29187"/>
      <c r="EJ29187"/>
      <c r="EK29187"/>
    </row>
    <row r="29188" spans="1:141" s="116" customFormat="1">
      <c r="A29188" s="136"/>
      <c r="CM29188" s="111"/>
      <c r="CQ29188" s="111"/>
      <c r="EF29188"/>
      <c r="EG29188"/>
      <c r="EH29188"/>
      <c r="EI29188"/>
      <c r="EJ29188"/>
      <c r="EK29188"/>
    </row>
    <row r="29189" spans="1:141" s="116" customFormat="1">
      <c r="A29189" s="136"/>
      <c r="CM29189" s="111"/>
      <c r="CQ29189" s="111"/>
      <c r="EF29189"/>
      <c r="EG29189"/>
      <c r="EH29189"/>
      <c r="EI29189"/>
      <c r="EJ29189"/>
      <c r="EK29189"/>
    </row>
    <row r="29190" spans="1:141" s="116" customFormat="1">
      <c r="A29190" s="136"/>
      <c r="CM29190" s="111"/>
      <c r="CQ29190" s="111"/>
      <c r="EF29190"/>
      <c r="EG29190"/>
      <c r="EH29190"/>
      <c r="EI29190"/>
      <c r="EJ29190"/>
      <c r="EK29190"/>
    </row>
    <row r="29191" spans="1:141" s="116" customFormat="1">
      <c r="A29191" s="136"/>
      <c r="CM29191" s="111"/>
      <c r="CQ29191" s="111"/>
      <c r="EF29191"/>
      <c r="EG29191"/>
      <c r="EH29191"/>
      <c r="EI29191"/>
      <c r="EJ29191"/>
      <c r="EK29191"/>
    </row>
    <row r="29192" spans="1:141" s="116" customFormat="1">
      <c r="A29192" s="136"/>
      <c r="CM29192" s="111"/>
      <c r="CQ29192" s="111"/>
      <c r="EF29192"/>
      <c r="EG29192"/>
      <c r="EH29192"/>
      <c r="EI29192"/>
      <c r="EJ29192"/>
      <c r="EK29192"/>
    </row>
    <row r="29193" spans="1:141" s="116" customFormat="1">
      <c r="A29193" s="136"/>
      <c r="CM29193" s="111"/>
      <c r="CQ29193" s="111"/>
      <c r="EF29193"/>
      <c r="EG29193"/>
      <c r="EH29193"/>
      <c r="EI29193"/>
      <c r="EJ29193"/>
      <c r="EK29193"/>
    </row>
    <row r="29194" spans="1:141" s="116" customFormat="1">
      <c r="A29194" s="136"/>
      <c r="CM29194" s="111"/>
      <c r="CQ29194" s="111"/>
      <c r="EF29194"/>
      <c r="EG29194"/>
      <c r="EH29194"/>
      <c r="EI29194"/>
      <c r="EJ29194"/>
      <c r="EK29194"/>
    </row>
    <row r="29195" spans="1:141" s="116" customFormat="1">
      <c r="A29195" s="136"/>
      <c r="CM29195" s="111"/>
      <c r="CQ29195" s="111"/>
      <c r="EF29195"/>
      <c r="EG29195"/>
      <c r="EH29195"/>
      <c r="EI29195"/>
      <c r="EJ29195"/>
      <c r="EK29195"/>
    </row>
    <row r="29196" spans="1:141" s="116" customFormat="1">
      <c r="A29196" s="136"/>
      <c r="CM29196" s="111"/>
      <c r="CQ29196" s="111"/>
      <c r="EF29196"/>
      <c r="EG29196"/>
      <c r="EH29196"/>
      <c r="EI29196"/>
      <c r="EJ29196"/>
      <c r="EK29196"/>
    </row>
    <row r="29197" spans="1:141" s="116" customFormat="1">
      <c r="A29197" s="136"/>
      <c r="CM29197" s="111"/>
      <c r="CQ29197" s="111"/>
      <c r="EF29197"/>
      <c r="EG29197"/>
      <c r="EH29197"/>
      <c r="EI29197"/>
      <c r="EJ29197"/>
      <c r="EK29197"/>
    </row>
    <row r="29198" spans="1:141" s="116" customFormat="1">
      <c r="A29198" s="136"/>
      <c r="CM29198" s="111"/>
      <c r="CQ29198" s="111"/>
      <c r="EF29198"/>
      <c r="EG29198"/>
      <c r="EH29198"/>
      <c r="EI29198"/>
      <c r="EJ29198"/>
      <c r="EK29198"/>
    </row>
    <row r="29199" spans="1:141" s="116" customFormat="1">
      <c r="A29199" s="136"/>
      <c r="CM29199" s="111"/>
      <c r="CQ29199" s="111"/>
      <c r="EF29199"/>
      <c r="EG29199"/>
      <c r="EH29199"/>
      <c r="EI29199"/>
      <c r="EJ29199"/>
      <c r="EK29199"/>
    </row>
    <row r="29200" spans="1:141" s="116" customFormat="1">
      <c r="A29200" s="136"/>
      <c r="CM29200" s="111"/>
      <c r="CQ29200" s="111"/>
      <c r="EF29200"/>
      <c r="EG29200"/>
      <c r="EH29200"/>
      <c r="EI29200"/>
      <c r="EJ29200"/>
      <c r="EK29200"/>
    </row>
    <row r="29201" spans="1:141" s="116" customFormat="1">
      <c r="A29201" s="136"/>
      <c r="CM29201" s="111"/>
      <c r="CQ29201" s="111"/>
      <c r="EF29201"/>
      <c r="EG29201"/>
      <c r="EH29201"/>
      <c r="EI29201"/>
      <c r="EJ29201"/>
      <c r="EK29201"/>
    </row>
    <row r="29202" spans="1:141" s="116" customFormat="1">
      <c r="A29202" s="136"/>
      <c r="CM29202" s="111"/>
      <c r="CQ29202" s="111"/>
      <c r="EF29202"/>
      <c r="EG29202"/>
      <c r="EH29202"/>
      <c r="EI29202"/>
      <c r="EJ29202"/>
      <c r="EK29202"/>
    </row>
    <row r="29203" spans="1:141" s="116" customFormat="1">
      <c r="A29203" s="136"/>
      <c r="CM29203" s="111"/>
      <c r="CQ29203" s="111"/>
      <c r="EF29203"/>
      <c r="EG29203"/>
      <c r="EH29203"/>
      <c r="EI29203"/>
      <c r="EJ29203"/>
      <c r="EK29203"/>
    </row>
    <row r="29204" spans="1:141" s="116" customFormat="1">
      <c r="A29204" s="136"/>
      <c r="CM29204" s="111"/>
      <c r="CQ29204" s="111"/>
      <c r="EF29204"/>
      <c r="EG29204"/>
      <c r="EH29204"/>
      <c r="EI29204"/>
      <c r="EJ29204"/>
      <c r="EK29204"/>
    </row>
    <row r="29205" spans="1:141" s="116" customFormat="1">
      <c r="A29205" s="136"/>
      <c r="CM29205" s="111"/>
      <c r="CQ29205" s="111"/>
      <c r="EF29205"/>
      <c r="EG29205"/>
      <c r="EH29205"/>
      <c r="EI29205"/>
      <c r="EJ29205"/>
      <c r="EK29205"/>
    </row>
    <row r="29206" spans="1:141" s="116" customFormat="1">
      <c r="A29206" s="136"/>
      <c r="CM29206" s="111"/>
      <c r="CQ29206" s="111"/>
      <c r="EF29206"/>
      <c r="EG29206"/>
      <c r="EH29206"/>
      <c r="EI29206"/>
      <c r="EJ29206"/>
      <c r="EK29206"/>
    </row>
    <row r="29207" spans="1:141" s="116" customFormat="1">
      <c r="A29207" s="136"/>
      <c r="CM29207" s="111"/>
      <c r="CQ29207" s="111"/>
      <c r="EF29207"/>
      <c r="EG29207"/>
      <c r="EH29207"/>
      <c r="EI29207"/>
      <c r="EJ29207"/>
      <c r="EK29207"/>
    </row>
    <row r="29208" spans="1:141" s="116" customFormat="1">
      <c r="A29208" s="136"/>
      <c r="CM29208" s="111"/>
      <c r="CQ29208" s="111"/>
      <c r="EF29208"/>
      <c r="EG29208"/>
      <c r="EH29208"/>
      <c r="EI29208"/>
      <c r="EJ29208"/>
      <c r="EK29208"/>
    </row>
    <row r="29209" spans="1:141" s="116" customFormat="1">
      <c r="A29209" s="136"/>
      <c r="CM29209" s="111"/>
      <c r="CQ29209" s="111"/>
      <c r="EF29209"/>
      <c r="EG29209"/>
      <c r="EH29209"/>
      <c r="EI29209"/>
      <c r="EJ29209"/>
      <c r="EK29209"/>
    </row>
    <row r="29210" spans="1:141" s="116" customFormat="1">
      <c r="A29210" s="136"/>
      <c r="CM29210" s="111"/>
      <c r="CQ29210" s="111"/>
      <c r="EF29210"/>
      <c r="EG29210"/>
      <c r="EH29210"/>
      <c r="EI29210"/>
      <c r="EJ29210"/>
      <c r="EK29210"/>
    </row>
    <row r="29211" spans="1:141" s="116" customFormat="1">
      <c r="A29211" s="136"/>
      <c r="CM29211" s="111"/>
      <c r="CQ29211" s="111"/>
      <c r="EF29211"/>
      <c r="EG29211"/>
      <c r="EH29211"/>
      <c r="EI29211"/>
      <c r="EJ29211"/>
      <c r="EK29211"/>
    </row>
    <row r="29212" spans="1:141" s="116" customFormat="1">
      <c r="A29212" s="136"/>
      <c r="CM29212" s="111"/>
      <c r="CQ29212" s="111"/>
      <c r="EF29212"/>
      <c r="EG29212"/>
      <c r="EH29212"/>
      <c r="EI29212"/>
      <c r="EJ29212"/>
      <c r="EK29212"/>
    </row>
    <row r="29213" spans="1:141" s="116" customFormat="1">
      <c r="A29213" s="136"/>
      <c r="CM29213" s="111"/>
      <c r="CQ29213" s="111"/>
      <c r="EF29213"/>
      <c r="EG29213"/>
      <c r="EH29213"/>
      <c r="EI29213"/>
      <c r="EJ29213"/>
      <c r="EK29213"/>
    </row>
    <row r="29214" spans="1:141" s="116" customFormat="1">
      <c r="A29214" s="136"/>
      <c r="CM29214" s="111"/>
      <c r="CQ29214" s="111"/>
      <c r="EF29214"/>
      <c r="EG29214"/>
      <c r="EH29214"/>
      <c r="EI29214"/>
      <c r="EJ29214"/>
      <c r="EK29214"/>
    </row>
    <row r="29215" spans="1:141" s="116" customFormat="1">
      <c r="A29215" s="136"/>
      <c r="CM29215" s="111"/>
      <c r="CQ29215" s="111"/>
      <c r="EF29215"/>
      <c r="EG29215"/>
      <c r="EH29215"/>
      <c r="EI29215"/>
      <c r="EJ29215"/>
      <c r="EK29215"/>
    </row>
    <row r="29216" spans="1:141" s="116" customFormat="1">
      <c r="A29216" s="136"/>
      <c r="CM29216" s="111"/>
      <c r="CQ29216" s="111"/>
      <c r="EF29216"/>
      <c r="EG29216"/>
      <c r="EH29216"/>
      <c r="EI29216"/>
      <c r="EJ29216"/>
      <c r="EK29216"/>
    </row>
    <row r="29217" spans="1:141" s="116" customFormat="1">
      <c r="A29217" s="136"/>
      <c r="CM29217" s="111"/>
      <c r="CQ29217" s="111"/>
      <c r="EF29217"/>
      <c r="EG29217"/>
      <c r="EH29217"/>
      <c r="EI29217"/>
      <c r="EJ29217"/>
      <c r="EK29217"/>
    </row>
    <row r="29218" spans="1:141" s="116" customFormat="1">
      <c r="A29218" s="136"/>
      <c r="CM29218" s="111"/>
      <c r="CQ29218" s="111"/>
      <c r="EF29218"/>
      <c r="EG29218"/>
      <c r="EH29218"/>
      <c r="EI29218"/>
      <c r="EJ29218"/>
      <c r="EK29218"/>
    </row>
    <row r="29219" spans="1:141" s="116" customFormat="1">
      <c r="A29219" s="136"/>
      <c r="CM29219" s="111"/>
      <c r="CQ29219" s="111"/>
      <c r="EF29219"/>
      <c r="EG29219"/>
      <c r="EH29219"/>
      <c r="EI29219"/>
      <c r="EJ29219"/>
      <c r="EK29219"/>
    </row>
    <row r="29220" spans="1:141" s="116" customFormat="1">
      <c r="A29220" s="136"/>
      <c r="CM29220" s="111"/>
      <c r="CQ29220" s="111"/>
      <c r="EF29220"/>
      <c r="EG29220"/>
      <c r="EH29220"/>
      <c r="EI29220"/>
      <c r="EJ29220"/>
      <c r="EK29220"/>
    </row>
    <row r="29221" spans="1:141" s="116" customFormat="1">
      <c r="A29221" s="136"/>
      <c r="CM29221" s="111"/>
      <c r="CQ29221" s="111"/>
      <c r="EF29221"/>
      <c r="EG29221"/>
      <c r="EH29221"/>
      <c r="EI29221"/>
      <c r="EJ29221"/>
      <c r="EK29221"/>
    </row>
    <row r="29222" spans="1:141" s="116" customFormat="1">
      <c r="A29222" s="136"/>
      <c r="CM29222" s="111"/>
      <c r="CQ29222" s="111"/>
      <c r="EF29222"/>
      <c r="EG29222"/>
      <c r="EH29222"/>
      <c r="EI29222"/>
      <c r="EJ29222"/>
      <c r="EK29222"/>
    </row>
    <row r="29223" spans="1:141" s="116" customFormat="1">
      <c r="A29223" s="136"/>
      <c r="CM29223" s="111"/>
      <c r="CQ29223" s="111"/>
      <c r="EF29223"/>
      <c r="EG29223"/>
      <c r="EH29223"/>
      <c r="EI29223"/>
      <c r="EJ29223"/>
      <c r="EK29223"/>
    </row>
    <row r="29224" spans="1:141" s="116" customFormat="1">
      <c r="A29224" s="136"/>
      <c r="CM29224" s="111"/>
      <c r="CQ29224" s="111"/>
      <c r="EF29224"/>
      <c r="EG29224"/>
      <c r="EH29224"/>
      <c r="EI29224"/>
      <c r="EJ29224"/>
      <c r="EK29224"/>
    </row>
    <row r="29225" spans="1:141" s="116" customFormat="1">
      <c r="A29225" s="136"/>
      <c r="CM29225" s="111"/>
      <c r="CQ29225" s="111"/>
      <c r="EF29225"/>
      <c r="EG29225"/>
      <c r="EH29225"/>
      <c r="EI29225"/>
      <c r="EJ29225"/>
      <c r="EK29225"/>
    </row>
    <row r="29226" spans="1:141" s="116" customFormat="1">
      <c r="A29226" s="136"/>
      <c r="CM29226" s="111"/>
      <c r="CQ29226" s="111"/>
      <c r="EF29226"/>
      <c r="EG29226"/>
      <c r="EH29226"/>
      <c r="EI29226"/>
      <c r="EJ29226"/>
      <c r="EK29226"/>
    </row>
    <row r="29227" spans="1:141" s="116" customFormat="1">
      <c r="A29227" s="136"/>
      <c r="CM29227" s="111"/>
      <c r="CQ29227" s="111"/>
      <c r="EF29227"/>
      <c r="EG29227"/>
      <c r="EH29227"/>
      <c r="EI29227"/>
      <c r="EJ29227"/>
      <c r="EK29227"/>
    </row>
    <row r="29228" spans="1:141" s="116" customFormat="1">
      <c r="A29228" s="136"/>
      <c r="CM29228" s="111"/>
      <c r="CQ29228" s="111"/>
      <c r="EF29228"/>
      <c r="EG29228"/>
      <c r="EH29228"/>
      <c r="EI29228"/>
      <c r="EJ29228"/>
      <c r="EK29228"/>
    </row>
    <row r="29229" spans="1:141" s="116" customFormat="1">
      <c r="A29229" s="136"/>
      <c r="CM29229" s="111"/>
      <c r="CQ29229" s="111"/>
      <c r="EF29229"/>
      <c r="EG29229"/>
      <c r="EH29229"/>
      <c r="EI29229"/>
      <c r="EJ29229"/>
      <c r="EK29229"/>
    </row>
    <row r="29230" spans="1:141" s="116" customFormat="1">
      <c r="A29230" s="136"/>
      <c r="CM29230" s="111"/>
      <c r="CQ29230" s="111"/>
      <c r="EF29230"/>
      <c r="EG29230"/>
      <c r="EH29230"/>
      <c r="EI29230"/>
      <c r="EJ29230"/>
      <c r="EK29230"/>
    </row>
    <row r="29231" spans="1:141" s="116" customFormat="1">
      <c r="A29231" s="136"/>
      <c r="CM29231" s="111"/>
      <c r="CQ29231" s="111"/>
      <c r="EF29231"/>
      <c r="EG29231"/>
      <c r="EH29231"/>
      <c r="EI29231"/>
      <c r="EJ29231"/>
      <c r="EK29231"/>
    </row>
    <row r="29232" spans="1:141" s="116" customFormat="1">
      <c r="A29232" s="136"/>
      <c r="CM29232" s="111"/>
      <c r="CQ29232" s="111"/>
      <c r="EF29232"/>
      <c r="EG29232"/>
      <c r="EH29232"/>
      <c r="EI29232"/>
      <c r="EJ29232"/>
      <c r="EK29232"/>
    </row>
    <row r="29233" spans="1:141" s="116" customFormat="1">
      <c r="A29233" s="136"/>
      <c r="CM29233" s="111"/>
      <c r="CQ29233" s="111"/>
      <c r="EF29233"/>
      <c r="EG29233"/>
      <c r="EH29233"/>
      <c r="EI29233"/>
      <c r="EJ29233"/>
      <c r="EK29233"/>
    </row>
    <row r="29234" spans="1:141" s="116" customFormat="1">
      <c r="A29234" s="136"/>
      <c r="CM29234" s="111"/>
      <c r="CQ29234" s="111"/>
      <c r="EF29234"/>
      <c r="EG29234"/>
      <c r="EH29234"/>
      <c r="EI29234"/>
      <c r="EJ29234"/>
      <c r="EK29234"/>
    </row>
    <row r="29235" spans="1:141" s="116" customFormat="1">
      <c r="A29235" s="136"/>
      <c r="CM29235" s="111"/>
      <c r="CQ29235" s="111"/>
      <c r="EF29235"/>
      <c r="EG29235"/>
      <c r="EH29235"/>
      <c r="EI29235"/>
      <c r="EJ29235"/>
      <c r="EK29235"/>
    </row>
    <row r="29236" spans="1:141" s="116" customFormat="1">
      <c r="A29236" s="136"/>
      <c r="CM29236" s="111"/>
      <c r="CQ29236" s="111"/>
      <c r="EF29236"/>
      <c r="EG29236"/>
      <c r="EH29236"/>
      <c r="EI29236"/>
      <c r="EJ29236"/>
      <c r="EK29236"/>
    </row>
    <row r="29237" spans="1:141" s="116" customFormat="1">
      <c r="A29237" s="136"/>
      <c r="CM29237" s="111"/>
      <c r="CQ29237" s="111"/>
      <c r="EF29237"/>
      <c r="EG29237"/>
      <c r="EH29237"/>
      <c r="EI29237"/>
      <c r="EJ29237"/>
      <c r="EK29237"/>
    </row>
    <row r="29238" spans="1:141" s="116" customFormat="1">
      <c r="A29238" s="136"/>
      <c r="CM29238" s="111"/>
      <c r="CQ29238" s="111"/>
      <c r="EF29238"/>
      <c r="EG29238"/>
      <c r="EH29238"/>
      <c r="EI29238"/>
      <c r="EJ29238"/>
      <c r="EK29238"/>
    </row>
    <row r="29239" spans="1:141" s="116" customFormat="1">
      <c r="A29239" s="136"/>
      <c r="CM29239" s="111"/>
      <c r="CQ29239" s="111"/>
      <c r="EF29239"/>
      <c r="EG29239"/>
      <c r="EH29239"/>
      <c r="EI29239"/>
      <c r="EJ29239"/>
      <c r="EK29239"/>
    </row>
    <row r="29240" spans="1:141" s="116" customFormat="1">
      <c r="A29240" s="136"/>
      <c r="CM29240" s="111"/>
      <c r="CQ29240" s="111"/>
      <c r="EF29240"/>
      <c r="EG29240"/>
      <c r="EH29240"/>
      <c r="EI29240"/>
      <c r="EJ29240"/>
      <c r="EK29240"/>
    </row>
    <row r="29241" spans="1:141" s="116" customFormat="1">
      <c r="A29241" s="136"/>
      <c r="CM29241" s="111"/>
      <c r="CQ29241" s="111"/>
      <c r="EF29241"/>
      <c r="EG29241"/>
      <c r="EH29241"/>
      <c r="EI29241"/>
      <c r="EJ29241"/>
      <c r="EK29241"/>
    </row>
    <row r="29242" spans="1:141" s="116" customFormat="1">
      <c r="A29242" s="136"/>
      <c r="CM29242" s="111"/>
      <c r="CQ29242" s="111"/>
      <c r="EF29242"/>
      <c r="EG29242"/>
      <c r="EH29242"/>
      <c r="EI29242"/>
      <c r="EJ29242"/>
      <c r="EK29242"/>
    </row>
    <row r="29243" spans="1:141" s="116" customFormat="1">
      <c r="A29243" s="136"/>
      <c r="CM29243" s="111"/>
      <c r="CQ29243" s="111"/>
      <c r="EF29243"/>
      <c r="EG29243"/>
      <c r="EH29243"/>
      <c r="EI29243"/>
      <c r="EJ29243"/>
      <c r="EK29243"/>
    </row>
    <row r="29244" spans="1:141" s="116" customFormat="1">
      <c r="A29244" s="136"/>
      <c r="CM29244" s="111"/>
      <c r="CQ29244" s="111"/>
      <c r="EF29244"/>
      <c r="EG29244"/>
      <c r="EH29244"/>
      <c r="EI29244"/>
      <c r="EJ29244"/>
      <c r="EK29244"/>
    </row>
    <row r="29245" spans="1:141" s="116" customFormat="1">
      <c r="A29245" s="136"/>
      <c r="CM29245" s="111"/>
      <c r="CQ29245" s="111"/>
      <c r="EF29245"/>
      <c r="EG29245"/>
      <c r="EH29245"/>
      <c r="EI29245"/>
      <c r="EJ29245"/>
      <c r="EK29245"/>
    </row>
    <row r="29246" spans="1:141" s="116" customFormat="1">
      <c r="A29246" s="136"/>
      <c r="CM29246" s="111"/>
      <c r="CQ29246" s="111"/>
      <c r="EF29246"/>
      <c r="EG29246"/>
      <c r="EH29246"/>
      <c r="EI29246"/>
      <c r="EJ29246"/>
      <c r="EK29246"/>
    </row>
    <row r="29247" spans="1:141" s="116" customFormat="1">
      <c r="A29247" s="136"/>
      <c r="CM29247" s="111"/>
      <c r="CQ29247" s="111"/>
      <c r="EF29247"/>
      <c r="EG29247"/>
      <c r="EH29247"/>
      <c r="EI29247"/>
      <c r="EJ29247"/>
      <c r="EK29247"/>
    </row>
    <row r="29248" spans="1:141" s="116" customFormat="1">
      <c r="A29248" s="136"/>
      <c r="CM29248" s="111"/>
      <c r="CQ29248" s="111"/>
      <c r="EF29248"/>
      <c r="EG29248"/>
      <c r="EH29248"/>
      <c r="EI29248"/>
      <c r="EJ29248"/>
      <c r="EK29248"/>
    </row>
    <row r="29249" spans="1:141" s="116" customFormat="1">
      <c r="A29249" s="136"/>
      <c r="CM29249" s="111"/>
      <c r="CQ29249" s="111"/>
      <c r="EF29249"/>
      <c r="EG29249"/>
      <c r="EH29249"/>
      <c r="EI29249"/>
      <c r="EJ29249"/>
      <c r="EK29249"/>
    </row>
    <row r="29250" spans="1:141" s="116" customFormat="1">
      <c r="A29250" s="136"/>
      <c r="CM29250" s="111"/>
      <c r="CQ29250" s="111"/>
      <c r="EF29250"/>
      <c r="EG29250"/>
      <c r="EH29250"/>
      <c r="EI29250"/>
      <c r="EJ29250"/>
      <c r="EK29250"/>
    </row>
    <row r="29251" spans="1:141" s="116" customFormat="1">
      <c r="A29251" s="136"/>
      <c r="CM29251" s="111"/>
      <c r="CQ29251" s="111"/>
      <c r="EF29251"/>
      <c r="EG29251"/>
      <c r="EH29251"/>
      <c r="EI29251"/>
      <c r="EJ29251"/>
      <c r="EK29251"/>
    </row>
    <row r="29252" spans="1:141" s="116" customFormat="1">
      <c r="A29252" s="136"/>
      <c r="CM29252" s="111"/>
      <c r="CQ29252" s="111"/>
      <c r="EF29252"/>
      <c r="EG29252"/>
      <c r="EH29252"/>
      <c r="EI29252"/>
      <c r="EJ29252"/>
      <c r="EK29252"/>
    </row>
    <row r="29253" spans="1:141" s="116" customFormat="1">
      <c r="A29253" s="136"/>
      <c r="CM29253" s="111"/>
      <c r="CQ29253" s="111"/>
      <c r="EF29253"/>
      <c r="EG29253"/>
      <c r="EH29253"/>
      <c r="EI29253"/>
      <c r="EJ29253"/>
      <c r="EK29253"/>
    </row>
    <row r="29254" spans="1:141" s="116" customFormat="1">
      <c r="A29254" s="136"/>
      <c r="CM29254" s="111"/>
      <c r="CQ29254" s="111"/>
      <c r="EF29254"/>
      <c r="EG29254"/>
      <c r="EH29254"/>
      <c r="EI29254"/>
      <c r="EJ29254"/>
      <c r="EK29254"/>
    </row>
    <row r="29255" spans="1:141" s="116" customFormat="1">
      <c r="A29255" s="136"/>
      <c r="CM29255" s="111"/>
      <c r="CQ29255" s="111"/>
      <c r="EF29255"/>
      <c r="EG29255"/>
      <c r="EH29255"/>
      <c r="EI29255"/>
      <c r="EJ29255"/>
      <c r="EK29255"/>
    </row>
    <row r="29256" spans="1:141" s="116" customFormat="1">
      <c r="A29256" s="136"/>
      <c r="CM29256" s="111"/>
      <c r="CQ29256" s="111"/>
      <c r="EF29256"/>
      <c r="EG29256"/>
      <c r="EH29256"/>
      <c r="EI29256"/>
      <c r="EJ29256"/>
      <c r="EK29256"/>
    </row>
    <row r="29257" spans="1:141" s="116" customFormat="1">
      <c r="A29257" s="136"/>
      <c r="CM29257" s="111"/>
      <c r="CQ29257" s="111"/>
      <c r="EF29257"/>
      <c r="EG29257"/>
      <c r="EH29257"/>
      <c r="EI29257"/>
      <c r="EJ29257"/>
      <c r="EK29257"/>
    </row>
    <row r="29258" spans="1:141" s="116" customFormat="1">
      <c r="A29258" s="136"/>
      <c r="CM29258" s="111"/>
      <c r="CQ29258" s="111"/>
      <c r="EF29258"/>
      <c r="EG29258"/>
      <c r="EH29258"/>
      <c r="EI29258"/>
      <c r="EJ29258"/>
      <c r="EK29258"/>
    </row>
    <row r="29259" spans="1:141" s="116" customFormat="1">
      <c r="A29259" s="136"/>
      <c r="CM29259" s="111"/>
      <c r="CQ29259" s="111"/>
      <c r="EF29259"/>
      <c r="EG29259"/>
      <c r="EH29259"/>
      <c r="EI29259"/>
      <c r="EJ29259"/>
      <c r="EK29259"/>
    </row>
    <row r="29260" spans="1:141" s="116" customFormat="1">
      <c r="A29260" s="136"/>
      <c r="CM29260" s="111"/>
      <c r="CQ29260" s="111"/>
      <c r="EF29260"/>
      <c r="EG29260"/>
      <c r="EH29260"/>
      <c r="EI29260"/>
      <c r="EJ29260"/>
      <c r="EK29260"/>
    </row>
    <row r="29261" spans="1:141" s="116" customFormat="1">
      <c r="A29261" s="136"/>
      <c r="CM29261" s="111"/>
      <c r="CQ29261" s="111"/>
      <c r="EF29261"/>
      <c r="EG29261"/>
      <c r="EH29261"/>
      <c r="EI29261"/>
      <c r="EJ29261"/>
      <c r="EK29261"/>
    </row>
    <row r="29262" spans="1:141" s="116" customFormat="1">
      <c r="A29262" s="136"/>
      <c r="CM29262" s="111"/>
      <c r="CQ29262" s="111"/>
      <c r="EF29262"/>
      <c r="EG29262"/>
      <c r="EH29262"/>
      <c r="EI29262"/>
      <c r="EJ29262"/>
      <c r="EK29262"/>
    </row>
    <row r="29263" spans="1:141" s="116" customFormat="1">
      <c r="A29263" s="136"/>
      <c r="CM29263" s="111"/>
      <c r="CQ29263" s="111"/>
      <c r="EF29263"/>
      <c r="EG29263"/>
      <c r="EH29263"/>
      <c r="EI29263"/>
      <c r="EJ29263"/>
      <c r="EK29263"/>
    </row>
    <row r="29264" spans="1:141" s="116" customFormat="1">
      <c r="A29264" s="136"/>
      <c r="CM29264" s="111"/>
      <c r="CQ29264" s="111"/>
      <c r="EF29264"/>
      <c r="EG29264"/>
      <c r="EH29264"/>
      <c r="EI29264"/>
      <c r="EJ29264"/>
      <c r="EK29264"/>
    </row>
    <row r="29265" spans="1:141" s="116" customFormat="1">
      <c r="A29265" s="136"/>
      <c r="CM29265" s="111"/>
      <c r="CQ29265" s="111"/>
      <c r="EF29265"/>
      <c r="EG29265"/>
      <c r="EH29265"/>
      <c r="EI29265"/>
      <c r="EJ29265"/>
      <c r="EK29265"/>
    </row>
    <row r="29266" spans="1:141" s="116" customFormat="1">
      <c r="A29266" s="136"/>
      <c r="CM29266" s="111"/>
      <c r="CQ29266" s="111"/>
      <c r="EF29266"/>
      <c r="EG29266"/>
      <c r="EH29266"/>
      <c r="EI29266"/>
      <c r="EJ29266"/>
      <c r="EK29266"/>
    </row>
    <row r="29267" spans="1:141" s="116" customFormat="1">
      <c r="A29267" s="136"/>
      <c r="CM29267" s="111"/>
      <c r="CQ29267" s="111"/>
      <c r="EF29267"/>
      <c r="EG29267"/>
      <c r="EH29267"/>
      <c r="EI29267"/>
      <c r="EJ29267"/>
      <c r="EK29267"/>
    </row>
    <row r="29268" spans="1:141" s="116" customFormat="1">
      <c r="A29268" s="136"/>
      <c r="CM29268" s="111"/>
      <c r="CQ29268" s="111"/>
      <c r="EF29268"/>
      <c r="EG29268"/>
      <c r="EH29268"/>
      <c r="EI29268"/>
      <c r="EJ29268"/>
      <c r="EK29268"/>
    </row>
    <row r="29269" spans="1:141" s="116" customFormat="1">
      <c r="A29269" s="136"/>
      <c r="CM29269" s="111"/>
      <c r="CQ29269" s="111"/>
      <c r="EF29269"/>
      <c r="EG29269"/>
      <c r="EH29269"/>
      <c r="EI29269"/>
      <c r="EJ29269"/>
      <c r="EK29269"/>
    </row>
    <row r="29270" spans="1:141" s="116" customFormat="1">
      <c r="A29270" s="136"/>
      <c r="CM29270" s="111"/>
      <c r="CQ29270" s="111"/>
      <c r="EF29270"/>
      <c r="EG29270"/>
      <c r="EH29270"/>
      <c r="EI29270"/>
      <c r="EJ29270"/>
      <c r="EK29270"/>
    </row>
    <row r="29271" spans="1:141" s="116" customFormat="1">
      <c r="A29271" s="136"/>
      <c r="CM29271" s="111"/>
      <c r="CQ29271" s="111"/>
      <c r="EF29271"/>
      <c r="EG29271"/>
      <c r="EH29271"/>
      <c r="EI29271"/>
      <c r="EJ29271"/>
      <c r="EK29271"/>
    </row>
    <row r="29272" spans="1:141" s="116" customFormat="1">
      <c r="A29272" s="136"/>
      <c r="CM29272" s="111"/>
      <c r="CQ29272" s="111"/>
      <c r="EF29272"/>
      <c r="EG29272"/>
      <c r="EH29272"/>
      <c r="EI29272"/>
      <c r="EJ29272"/>
      <c r="EK29272"/>
    </row>
    <row r="29273" spans="1:141" s="116" customFormat="1">
      <c r="A29273" s="136"/>
      <c r="CM29273" s="111"/>
      <c r="CQ29273" s="111"/>
      <c r="EF29273"/>
      <c r="EG29273"/>
      <c r="EH29273"/>
      <c r="EI29273"/>
      <c r="EJ29273"/>
      <c r="EK29273"/>
    </row>
    <row r="29274" spans="1:141" s="116" customFormat="1">
      <c r="A29274" s="136"/>
      <c r="CM29274" s="111"/>
      <c r="CQ29274" s="111"/>
      <c r="EF29274"/>
      <c r="EG29274"/>
      <c r="EH29274"/>
      <c r="EI29274"/>
      <c r="EJ29274"/>
      <c r="EK29274"/>
    </row>
    <row r="29275" spans="1:141" s="116" customFormat="1">
      <c r="A29275" s="136"/>
      <c r="CM29275" s="111"/>
      <c r="CQ29275" s="111"/>
      <c r="EF29275"/>
      <c r="EG29275"/>
      <c r="EH29275"/>
      <c r="EI29275"/>
      <c r="EJ29275"/>
      <c r="EK29275"/>
    </row>
    <row r="29276" spans="1:141" s="116" customFormat="1">
      <c r="A29276" s="136"/>
      <c r="CM29276" s="111"/>
      <c r="CQ29276" s="111"/>
      <c r="EF29276"/>
      <c r="EG29276"/>
      <c r="EH29276"/>
      <c r="EI29276"/>
      <c r="EJ29276"/>
      <c r="EK29276"/>
    </row>
    <row r="29277" spans="1:141" s="116" customFormat="1">
      <c r="A29277" s="136"/>
      <c r="CM29277" s="111"/>
      <c r="CQ29277" s="111"/>
      <c r="EF29277"/>
      <c r="EG29277"/>
      <c r="EH29277"/>
      <c r="EI29277"/>
      <c r="EJ29277"/>
      <c r="EK29277"/>
    </row>
    <row r="29278" spans="1:141" s="116" customFormat="1">
      <c r="A29278" s="136"/>
      <c r="CM29278" s="111"/>
      <c r="CQ29278" s="111"/>
      <c r="EF29278"/>
      <c r="EG29278"/>
      <c r="EH29278"/>
      <c r="EI29278"/>
      <c r="EJ29278"/>
      <c r="EK29278"/>
    </row>
    <row r="29279" spans="1:141" s="116" customFormat="1">
      <c r="A29279" s="136"/>
      <c r="CM29279" s="111"/>
      <c r="CQ29279" s="111"/>
      <c r="EF29279"/>
      <c r="EG29279"/>
      <c r="EH29279"/>
      <c r="EI29279"/>
      <c r="EJ29279"/>
      <c r="EK29279"/>
    </row>
    <row r="29280" spans="1:141" s="116" customFormat="1">
      <c r="A29280" s="136"/>
      <c r="CM29280" s="111"/>
      <c r="CQ29280" s="111"/>
      <c r="EF29280"/>
      <c r="EG29280"/>
      <c r="EH29280"/>
      <c r="EI29280"/>
      <c r="EJ29280"/>
      <c r="EK29280"/>
    </row>
    <row r="29281" spans="1:141" s="116" customFormat="1">
      <c r="A29281" s="136"/>
      <c r="CM29281" s="111"/>
      <c r="CQ29281" s="111"/>
      <c r="EF29281"/>
      <c r="EG29281"/>
      <c r="EH29281"/>
      <c r="EI29281"/>
      <c r="EJ29281"/>
      <c r="EK29281"/>
    </row>
    <row r="29282" spans="1:141" s="116" customFormat="1">
      <c r="A29282" s="136"/>
      <c r="CM29282" s="111"/>
      <c r="CQ29282" s="111"/>
      <c r="EF29282"/>
      <c r="EG29282"/>
      <c r="EH29282"/>
      <c r="EI29282"/>
      <c r="EJ29282"/>
      <c r="EK29282"/>
    </row>
    <row r="29283" spans="1:141" s="116" customFormat="1">
      <c r="A29283" s="136"/>
      <c r="CM29283" s="111"/>
      <c r="CQ29283" s="111"/>
      <c r="EF29283"/>
      <c r="EG29283"/>
      <c r="EH29283"/>
      <c r="EI29283"/>
      <c r="EJ29283"/>
      <c r="EK29283"/>
    </row>
    <row r="29284" spans="1:141" s="116" customFormat="1">
      <c r="A29284" s="136"/>
      <c r="CM29284" s="111"/>
      <c r="CQ29284" s="111"/>
      <c r="EF29284"/>
      <c r="EG29284"/>
      <c r="EH29284"/>
      <c r="EI29284"/>
      <c r="EJ29284"/>
      <c r="EK29284"/>
    </row>
    <row r="29285" spans="1:141" s="116" customFormat="1">
      <c r="A29285" s="136"/>
      <c r="CM29285" s="111"/>
      <c r="CQ29285" s="111"/>
      <c r="EF29285"/>
      <c r="EG29285"/>
      <c r="EH29285"/>
      <c r="EI29285"/>
      <c r="EJ29285"/>
      <c r="EK29285"/>
    </row>
    <row r="29286" spans="1:141" s="116" customFormat="1">
      <c r="A29286" s="136"/>
      <c r="CM29286" s="111"/>
      <c r="CQ29286" s="111"/>
      <c r="EF29286"/>
      <c r="EG29286"/>
      <c r="EH29286"/>
      <c r="EI29286"/>
      <c r="EJ29286"/>
      <c r="EK29286"/>
    </row>
    <row r="29287" spans="1:141" s="116" customFormat="1">
      <c r="A29287" s="136"/>
      <c r="CM29287" s="111"/>
      <c r="CQ29287" s="111"/>
      <c r="EF29287"/>
      <c r="EG29287"/>
      <c r="EH29287"/>
      <c r="EI29287"/>
      <c r="EJ29287"/>
      <c r="EK29287"/>
    </row>
    <row r="29288" spans="1:141" s="116" customFormat="1">
      <c r="A29288" s="136"/>
      <c r="CM29288" s="111"/>
      <c r="CQ29288" s="111"/>
      <c r="EF29288"/>
      <c r="EG29288"/>
      <c r="EH29288"/>
      <c r="EI29288"/>
      <c r="EJ29288"/>
      <c r="EK29288"/>
    </row>
    <row r="29289" spans="1:141" s="116" customFormat="1">
      <c r="A29289" s="136"/>
      <c r="CM29289" s="111"/>
      <c r="CQ29289" s="111"/>
      <c r="EF29289"/>
      <c r="EG29289"/>
      <c r="EH29289"/>
      <c r="EI29289"/>
      <c r="EJ29289"/>
      <c r="EK29289"/>
    </row>
    <row r="29290" spans="1:141" s="116" customFormat="1">
      <c r="A29290" s="136"/>
      <c r="CM29290" s="111"/>
      <c r="CQ29290" s="111"/>
      <c r="EF29290"/>
      <c r="EG29290"/>
      <c r="EH29290"/>
      <c r="EI29290"/>
      <c r="EJ29290"/>
      <c r="EK29290"/>
    </row>
    <row r="29291" spans="1:141" s="116" customFormat="1">
      <c r="A29291" s="136"/>
      <c r="CM29291" s="111"/>
      <c r="CQ29291" s="111"/>
      <c r="EF29291"/>
      <c r="EG29291"/>
      <c r="EH29291"/>
      <c r="EI29291"/>
      <c r="EJ29291"/>
      <c r="EK29291"/>
    </row>
    <row r="29292" spans="1:141" s="116" customFormat="1">
      <c r="A29292" s="136"/>
      <c r="CM29292" s="111"/>
      <c r="CQ29292" s="111"/>
      <c r="EF29292"/>
      <c r="EG29292"/>
      <c r="EH29292"/>
      <c r="EI29292"/>
      <c r="EJ29292"/>
      <c r="EK29292"/>
    </row>
    <row r="29293" spans="1:141" s="116" customFormat="1">
      <c r="A29293" s="136"/>
      <c r="CM29293" s="111"/>
      <c r="CQ29293" s="111"/>
      <c r="EF29293"/>
      <c r="EG29293"/>
      <c r="EH29293"/>
      <c r="EI29293"/>
      <c r="EJ29293"/>
      <c r="EK29293"/>
    </row>
    <row r="29294" spans="1:141" s="116" customFormat="1">
      <c r="A29294" s="136"/>
      <c r="CM29294" s="111"/>
      <c r="CQ29294" s="111"/>
      <c r="EF29294"/>
      <c r="EG29294"/>
      <c r="EH29294"/>
      <c r="EI29294"/>
      <c r="EJ29294"/>
      <c r="EK29294"/>
    </row>
    <row r="29295" spans="1:141" s="116" customFormat="1">
      <c r="A29295" s="136"/>
      <c r="CM29295" s="111"/>
      <c r="CQ29295" s="111"/>
      <c r="EF29295"/>
      <c r="EG29295"/>
      <c r="EH29295"/>
      <c r="EI29295"/>
      <c r="EJ29295"/>
      <c r="EK29295"/>
    </row>
    <row r="29296" spans="1:141" s="116" customFormat="1">
      <c r="A29296" s="136"/>
      <c r="CM29296" s="111"/>
      <c r="CQ29296" s="111"/>
      <c r="EF29296"/>
      <c r="EG29296"/>
      <c r="EH29296"/>
      <c r="EI29296"/>
      <c r="EJ29296"/>
      <c r="EK29296"/>
    </row>
    <row r="29297" spans="1:141" s="116" customFormat="1">
      <c r="A29297" s="136"/>
      <c r="CM29297" s="111"/>
      <c r="CQ29297" s="111"/>
      <c r="EF29297"/>
      <c r="EG29297"/>
      <c r="EH29297"/>
      <c r="EI29297"/>
      <c r="EJ29297"/>
      <c r="EK29297"/>
    </row>
    <row r="29298" spans="1:141" s="116" customFormat="1">
      <c r="A29298" s="136"/>
      <c r="CM29298" s="111"/>
      <c r="CQ29298" s="111"/>
      <c r="EF29298"/>
      <c r="EG29298"/>
      <c r="EH29298"/>
      <c r="EI29298"/>
      <c r="EJ29298"/>
      <c r="EK29298"/>
    </row>
    <row r="29299" spans="1:141" s="116" customFormat="1">
      <c r="A29299" s="136"/>
      <c r="CM29299" s="111"/>
      <c r="CQ29299" s="111"/>
      <c r="EF29299"/>
      <c r="EG29299"/>
      <c r="EH29299"/>
      <c r="EI29299"/>
      <c r="EJ29299"/>
      <c r="EK29299"/>
    </row>
    <row r="29300" spans="1:141" s="116" customFormat="1">
      <c r="A29300" s="136"/>
      <c r="CM29300" s="111"/>
      <c r="CQ29300" s="111"/>
      <c r="EF29300"/>
      <c r="EG29300"/>
      <c r="EH29300"/>
      <c r="EI29300"/>
      <c r="EJ29300"/>
      <c r="EK29300"/>
    </row>
    <row r="29301" spans="1:141" s="116" customFormat="1">
      <c r="A29301" s="136"/>
      <c r="CM29301" s="111"/>
      <c r="CQ29301" s="111"/>
      <c r="EF29301"/>
      <c r="EG29301"/>
      <c r="EH29301"/>
      <c r="EI29301"/>
      <c r="EJ29301"/>
      <c r="EK29301"/>
    </row>
    <row r="29302" spans="1:141" s="116" customFormat="1">
      <c r="A29302" s="136"/>
      <c r="CM29302" s="111"/>
      <c r="CQ29302" s="111"/>
      <c r="EF29302"/>
      <c r="EG29302"/>
      <c r="EH29302"/>
      <c r="EI29302"/>
      <c r="EJ29302"/>
      <c r="EK29302"/>
    </row>
    <row r="29303" spans="1:141" s="116" customFormat="1">
      <c r="A29303" s="136"/>
      <c r="CM29303" s="111"/>
      <c r="CQ29303" s="111"/>
      <c r="EF29303"/>
      <c r="EG29303"/>
      <c r="EH29303"/>
      <c r="EI29303"/>
      <c r="EJ29303"/>
      <c r="EK29303"/>
    </row>
    <row r="29304" spans="1:141" s="116" customFormat="1">
      <c r="A29304" s="136"/>
      <c r="CM29304" s="111"/>
      <c r="CQ29304" s="111"/>
      <c r="EF29304"/>
      <c r="EG29304"/>
      <c r="EH29304"/>
      <c r="EI29304"/>
      <c r="EJ29304"/>
      <c r="EK29304"/>
    </row>
    <row r="29305" spans="1:141" s="116" customFormat="1">
      <c r="A29305" s="136"/>
      <c r="CM29305" s="111"/>
      <c r="CQ29305" s="111"/>
      <c r="EF29305"/>
      <c r="EG29305"/>
      <c r="EH29305"/>
      <c r="EI29305"/>
      <c r="EJ29305"/>
      <c r="EK29305"/>
    </row>
    <row r="29306" spans="1:141" s="116" customFormat="1">
      <c r="A29306" s="136"/>
      <c r="CM29306" s="111"/>
      <c r="CQ29306" s="111"/>
      <c r="EF29306"/>
      <c r="EG29306"/>
      <c r="EH29306"/>
      <c r="EI29306"/>
      <c r="EJ29306"/>
      <c r="EK29306"/>
    </row>
    <row r="29307" spans="1:141" s="116" customFormat="1">
      <c r="A29307" s="136"/>
      <c r="CM29307" s="111"/>
      <c r="CQ29307" s="111"/>
      <c r="EF29307"/>
      <c r="EG29307"/>
      <c r="EH29307"/>
      <c r="EI29307"/>
      <c r="EJ29307"/>
      <c r="EK29307"/>
    </row>
    <row r="29308" spans="1:141" s="116" customFormat="1">
      <c r="A29308" s="136"/>
      <c r="CM29308" s="111"/>
      <c r="CQ29308" s="111"/>
      <c r="EF29308"/>
      <c r="EG29308"/>
      <c r="EH29308"/>
      <c r="EI29308"/>
      <c r="EJ29308"/>
      <c r="EK29308"/>
    </row>
    <row r="29309" spans="1:141" s="116" customFormat="1">
      <c r="A29309" s="136"/>
      <c r="CM29309" s="111"/>
      <c r="CQ29309" s="111"/>
      <c r="EF29309"/>
      <c r="EG29309"/>
      <c r="EH29309"/>
      <c r="EI29309"/>
      <c r="EJ29309"/>
      <c r="EK29309"/>
    </row>
    <row r="29310" spans="1:141" s="116" customFormat="1">
      <c r="A29310" s="136"/>
      <c r="CM29310" s="111"/>
      <c r="CQ29310" s="111"/>
      <c r="EF29310"/>
      <c r="EG29310"/>
      <c r="EH29310"/>
      <c r="EI29310"/>
      <c r="EJ29310"/>
      <c r="EK29310"/>
    </row>
    <row r="29311" spans="1:141" s="116" customFormat="1">
      <c r="A29311" s="136"/>
      <c r="CM29311" s="111"/>
      <c r="CQ29311" s="111"/>
      <c r="EF29311"/>
      <c r="EG29311"/>
      <c r="EH29311"/>
      <c r="EI29311"/>
      <c r="EJ29311"/>
      <c r="EK29311"/>
    </row>
    <row r="29312" spans="1:141" s="116" customFormat="1">
      <c r="A29312" s="136"/>
      <c r="CM29312" s="111"/>
      <c r="CQ29312" s="111"/>
      <c r="EF29312"/>
      <c r="EG29312"/>
      <c r="EH29312"/>
      <c r="EI29312"/>
      <c r="EJ29312"/>
      <c r="EK29312"/>
    </row>
    <row r="29313" spans="1:141" s="116" customFormat="1">
      <c r="A29313" s="136"/>
      <c r="CM29313" s="111"/>
      <c r="CQ29313" s="111"/>
      <c r="EF29313"/>
      <c r="EG29313"/>
      <c r="EH29313"/>
      <c r="EI29313"/>
      <c r="EJ29313"/>
      <c r="EK29313"/>
    </row>
    <row r="29314" spans="1:141" s="116" customFormat="1">
      <c r="A29314" s="136"/>
      <c r="CM29314" s="111"/>
      <c r="CQ29314" s="111"/>
      <c r="EF29314"/>
      <c r="EG29314"/>
      <c r="EH29314"/>
      <c r="EI29314"/>
      <c r="EJ29314"/>
      <c r="EK29314"/>
    </row>
    <row r="29315" spans="1:141" s="116" customFormat="1">
      <c r="A29315" s="136"/>
      <c r="CM29315" s="111"/>
      <c r="CQ29315" s="111"/>
      <c r="EF29315"/>
      <c r="EG29315"/>
      <c r="EH29315"/>
      <c r="EI29315"/>
      <c r="EJ29315"/>
      <c r="EK29315"/>
    </row>
    <row r="29316" spans="1:141" s="116" customFormat="1">
      <c r="A29316" s="136"/>
      <c r="CM29316" s="111"/>
      <c r="CQ29316" s="111"/>
      <c r="EF29316"/>
      <c r="EG29316"/>
      <c r="EH29316"/>
      <c r="EI29316"/>
      <c r="EJ29316"/>
      <c r="EK29316"/>
    </row>
    <row r="29317" spans="1:141" s="116" customFormat="1">
      <c r="A29317" s="136"/>
      <c r="CM29317" s="111"/>
      <c r="CQ29317" s="111"/>
      <c r="EF29317"/>
      <c r="EG29317"/>
      <c r="EH29317"/>
      <c r="EI29317"/>
      <c r="EJ29317"/>
      <c r="EK29317"/>
    </row>
    <row r="29318" spans="1:141" s="116" customFormat="1">
      <c r="A29318" s="136"/>
      <c r="CM29318" s="111"/>
      <c r="CQ29318" s="111"/>
      <c r="EF29318"/>
      <c r="EG29318"/>
      <c r="EH29318"/>
      <c r="EI29318"/>
      <c r="EJ29318"/>
      <c r="EK29318"/>
    </row>
    <row r="29319" spans="1:141" s="116" customFormat="1">
      <c r="A29319" s="136"/>
      <c r="CM29319" s="111"/>
      <c r="CQ29319" s="111"/>
      <c r="EF29319"/>
      <c r="EG29319"/>
      <c r="EH29319"/>
      <c r="EI29319"/>
      <c r="EJ29319"/>
      <c r="EK29319"/>
    </row>
    <row r="29320" spans="1:141" s="116" customFormat="1">
      <c r="A29320" s="136"/>
      <c r="CM29320" s="111"/>
      <c r="CQ29320" s="111"/>
      <c r="EF29320"/>
      <c r="EG29320"/>
      <c r="EH29320"/>
      <c r="EI29320"/>
      <c r="EJ29320"/>
      <c r="EK29320"/>
    </row>
    <row r="29321" spans="1:141" s="116" customFormat="1">
      <c r="A29321" s="136"/>
      <c r="CM29321" s="111"/>
      <c r="CQ29321" s="111"/>
      <c r="EF29321"/>
      <c r="EG29321"/>
      <c r="EH29321"/>
      <c r="EI29321"/>
      <c r="EJ29321"/>
      <c r="EK29321"/>
    </row>
    <row r="29322" spans="1:141" s="116" customFormat="1">
      <c r="A29322" s="136"/>
      <c r="CM29322" s="111"/>
      <c r="CQ29322" s="111"/>
      <c r="EF29322"/>
      <c r="EG29322"/>
      <c r="EH29322"/>
      <c r="EI29322"/>
      <c r="EJ29322"/>
      <c r="EK29322"/>
    </row>
    <row r="29323" spans="1:141" s="116" customFormat="1">
      <c r="A29323" s="136"/>
      <c r="CM29323" s="111"/>
      <c r="CQ29323" s="111"/>
      <c r="EF29323"/>
      <c r="EG29323"/>
      <c r="EH29323"/>
      <c r="EI29323"/>
      <c r="EJ29323"/>
      <c r="EK29323"/>
    </row>
    <row r="29324" spans="1:141" s="116" customFormat="1">
      <c r="A29324" s="136"/>
      <c r="CM29324" s="111"/>
      <c r="CQ29324" s="111"/>
      <c r="EF29324"/>
      <c r="EG29324"/>
      <c r="EH29324"/>
      <c r="EI29324"/>
      <c r="EJ29324"/>
      <c r="EK29324"/>
    </row>
    <row r="29325" spans="1:141" s="116" customFormat="1">
      <c r="A29325" s="136"/>
      <c r="CM29325" s="111"/>
      <c r="CQ29325" s="111"/>
      <c r="EF29325"/>
      <c r="EG29325"/>
      <c r="EH29325"/>
      <c r="EI29325"/>
      <c r="EJ29325"/>
      <c r="EK29325"/>
    </row>
    <row r="29326" spans="1:141" s="116" customFormat="1">
      <c r="A29326" s="136"/>
      <c r="CM29326" s="111"/>
      <c r="CQ29326" s="111"/>
      <c r="EF29326"/>
      <c r="EG29326"/>
      <c r="EH29326"/>
      <c r="EI29326"/>
      <c r="EJ29326"/>
      <c r="EK29326"/>
    </row>
    <row r="29327" spans="1:141" s="116" customFormat="1">
      <c r="A29327" s="136"/>
      <c r="CM29327" s="111"/>
      <c r="CQ29327" s="111"/>
      <c r="EF29327"/>
      <c r="EG29327"/>
      <c r="EH29327"/>
      <c r="EI29327"/>
      <c r="EJ29327"/>
      <c r="EK29327"/>
    </row>
    <row r="29328" spans="1:141" s="116" customFormat="1">
      <c r="A29328" s="136"/>
      <c r="CM29328" s="111"/>
      <c r="CQ29328" s="111"/>
      <c r="EF29328"/>
      <c r="EG29328"/>
      <c r="EH29328"/>
      <c r="EI29328"/>
      <c r="EJ29328"/>
      <c r="EK29328"/>
    </row>
    <row r="29329" spans="1:141" s="116" customFormat="1">
      <c r="A29329" s="136"/>
      <c r="CM29329" s="111"/>
      <c r="CQ29329" s="111"/>
      <c r="EF29329"/>
      <c r="EG29329"/>
      <c r="EH29329"/>
      <c r="EI29329"/>
      <c r="EJ29329"/>
      <c r="EK29329"/>
    </row>
    <row r="29330" spans="1:141" s="116" customFormat="1">
      <c r="A29330" s="136"/>
      <c r="CM29330" s="111"/>
      <c r="CQ29330" s="111"/>
      <c r="EF29330"/>
      <c r="EG29330"/>
      <c r="EH29330"/>
      <c r="EI29330"/>
      <c r="EJ29330"/>
      <c r="EK29330"/>
    </row>
    <row r="29331" spans="1:141" s="116" customFormat="1">
      <c r="A29331" s="136"/>
      <c r="CM29331" s="111"/>
      <c r="CQ29331" s="111"/>
      <c r="EF29331"/>
      <c r="EG29331"/>
      <c r="EH29331"/>
      <c r="EI29331"/>
      <c r="EJ29331"/>
      <c r="EK29331"/>
    </row>
    <row r="29332" spans="1:141" s="116" customFormat="1">
      <c r="A29332" s="136"/>
      <c r="CM29332" s="111"/>
      <c r="CQ29332" s="111"/>
      <c r="EF29332"/>
      <c r="EG29332"/>
      <c r="EH29332"/>
      <c r="EI29332"/>
      <c r="EJ29332"/>
      <c r="EK29332"/>
    </row>
    <row r="29333" spans="1:141" s="116" customFormat="1">
      <c r="A29333" s="136"/>
      <c r="CM29333" s="111"/>
      <c r="CQ29333" s="111"/>
      <c r="EF29333"/>
      <c r="EG29333"/>
      <c r="EH29333"/>
      <c r="EI29333"/>
      <c r="EJ29333"/>
      <c r="EK29333"/>
    </row>
    <row r="29334" spans="1:141" s="116" customFormat="1">
      <c r="A29334" s="136"/>
      <c r="CM29334" s="111"/>
      <c r="CQ29334" s="111"/>
      <c r="EF29334"/>
      <c r="EG29334"/>
      <c r="EH29334"/>
      <c r="EI29334"/>
      <c r="EJ29334"/>
      <c r="EK29334"/>
    </row>
    <row r="29335" spans="1:141" s="116" customFormat="1">
      <c r="A29335" s="136"/>
      <c r="CM29335" s="111"/>
      <c r="CQ29335" s="111"/>
      <c r="EF29335"/>
      <c r="EG29335"/>
      <c r="EH29335"/>
      <c r="EI29335"/>
      <c r="EJ29335"/>
      <c r="EK29335"/>
    </row>
    <row r="29336" spans="1:141" s="116" customFormat="1">
      <c r="A29336" s="136"/>
      <c r="CM29336" s="111"/>
      <c r="CQ29336" s="111"/>
      <c r="EF29336"/>
      <c r="EG29336"/>
      <c r="EH29336"/>
      <c r="EI29336"/>
      <c r="EJ29336"/>
      <c r="EK29336"/>
    </row>
    <row r="29337" spans="1:141" s="116" customFormat="1">
      <c r="A29337" s="136"/>
      <c r="CM29337" s="111"/>
      <c r="CQ29337" s="111"/>
      <c r="EF29337"/>
      <c r="EG29337"/>
      <c r="EH29337"/>
      <c r="EI29337"/>
      <c r="EJ29337"/>
      <c r="EK29337"/>
    </row>
    <row r="29338" spans="1:141" s="116" customFormat="1">
      <c r="A29338" s="136"/>
      <c r="CM29338" s="111"/>
      <c r="CQ29338" s="111"/>
      <c r="EF29338"/>
      <c r="EG29338"/>
      <c r="EH29338"/>
      <c r="EI29338"/>
      <c r="EJ29338"/>
      <c r="EK29338"/>
    </row>
    <row r="29339" spans="1:141" s="116" customFormat="1">
      <c r="A29339" s="136"/>
      <c r="CM29339" s="111"/>
      <c r="CQ29339" s="111"/>
      <c r="EF29339"/>
      <c r="EG29339"/>
      <c r="EH29339"/>
      <c r="EI29339"/>
      <c r="EJ29339"/>
      <c r="EK29339"/>
    </row>
    <row r="29340" spans="1:141" s="116" customFormat="1">
      <c r="A29340" s="136"/>
      <c r="CM29340" s="111"/>
      <c r="CQ29340" s="111"/>
      <c r="EF29340"/>
      <c r="EG29340"/>
      <c r="EH29340"/>
      <c r="EI29340"/>
      <c r="EJ29340"/>
      <c r="EK29340"/>
    </row>
    <row r="29341" spans="1:141" s="116" customFormat="1">
      <c r="A29341" s="136"/>
      <c r="CM29341" s="111"/>
      <c r="CQ29341" s="111"/>
      <c r="EF29341"/>
      <c r="EG29341"/>
      <c r="EH29341"/>
      <c r="EI29341"/>
      <c r="EJ29341"/>
      <c r="EK29341"/>
    </row>
    <row r="29342" spans="1:141" s="116" customFormat="1">
      <c r="A29342" s="136"/>
      <c r="CM29342" s="111"/>
      <c r="CQ29342" s="111"/>
      <c r="EF29342"/>
      <c r="EG29342"/>
      <c r="EH29342"/>
      <c r="EI29342"/>
      <c r="EJ29342"/>
      <c r="EK29342"/>
    </row>
    <row r="29343" spans="1:141" s="116" customFormat="1">
      <c r="A29343" s="136"/>
      <c r="CM29343" s="111"/>
      <c r="CQ29343" s="111"/>
      <c r="EF29343"/>
      <c r="EG29343"/>
      <c r="EH29343"/>
      <c r="EI29343"/>
      <c r="EJ29343"/>
      <c r="EK29343"/>
    </row>
    <row r="29344" spans="1:141" s="116" customFormat="1">
      <c r="A29344" s="136"/>
      <c r="CM29344" s="111"/>
      <c r="CQ29344" s="111"/>
      <c r="EF29344"/>
      <c r="EG29344"/>
      <c r="EH29344"/>
      <c r="EI29344"/>
      <c r="EJ29344"/>
      <c r="EK29344"/>
    </row>
    <row r="29345" spans="1:141" s="116" customFormat="1">
      <c r="A29345" s="136"/>
      <c r="CM29345" s="111"/>
      <c r="CQ29345" s="111"/>
      <c r="EF29345"/>
      <c r="EG29345"/>
      <c r="EH29345"/>
      <c r="EI29345"/>
      <c r="EJ29345"/>
      <c r="EK29345"/>
    </row>
    <row r="29346" spans="1:141" s="116" customFormat="1">
      <c r="A29346" s="136"/>
      <c r="CM29346" s="111"/>
      <c r="CQ29346" s="111"/>
      <c r="EF29346"/>
      <c r="EG29346"/>
      <c r="EH29346"/>
      <c r="EI29346"/>
      <c r="EJ29346"/>
      <c r="EK29346"/>
    </row>
    <row r="29347" spans="1:141" s="116" customFormat="1">
      <c r="A29347" s="136"/>
      <c r="CM29347" s="111"/>
      <c r="CQ29347" s="111"/>
      <c r="EF29347"/>
      <c r="EG29347"/>
      <c r="EH29347"/>
      <c r="EI29347"/>
      <c r="EJ29347"/>
      <c r="EK29347"/>
    </row>
    <row r="29348" spans="1:141" s="116" customFormat="1">
      <c r="A29348" s="136"/>
      <c r="CM29348" s="111"/>
      <c r="CQ29348" s="111"/>
      <c r="EF29348"/>
      <c r="EG29348"/>
      <c r="EH29348"/>
      <c r="EI29348"/>
      <c r="EJ29348"/>
      <c r="EK29348"/>
    </row>
    <row r="29349" spans="1:141" s="116" customFormat="1">
      <c r="A29349" s="136"/>
      <c r="CM29349" s="111"/>
      <c r="CQ29349" s="111"/>
      <c r="EF29349"/>
      <c r="EG29349"/>
      <c r="EH29349"/>
      <c r="EI29349"/>
      <c r="EJ29349"/>
      <c r="EK29349"/>
    </row>
    <row r="29350" spans="1:141" s="116" customFormat="1">
      <c r="A29350" s="136"/>
      <c r="CM29350" s="111"/>
      <c r="CQ29350" s="111"/>
      <c r="EF29350"/>
      <c r="EG29350"/>
      <c r="EH29350"/>
      <c r="EI29350"/>
      <c r="EJ29350"/>
      <c r="EK29350"/>
    </row>
    <row r="29351" spans="1:141" s="116" customFormat="1">
      <c r="A29351" s="136"/>
      <c r="CM29351" s="111"/>
      <c r="CQ29351" s="111"/>
      <c r="EF29351"/>
      <c r="EG29351"/>
      <c r="EH29351"/>
      <c r="EI29351"/>
      <c r="EJ29351"/>
      <c r="EK29351"/>
    </row>
    <row r="29352" spans="1:141" s="116" customFormat="1">
      <c r="A29352" s="136"/>
      <c r="CM29352" s="111"/>
      <c r="CQ29352" s="111"/>
      <c r="EF29352"/>
      <c r="EG29352"/>
      <c r="EH29352"/>
      <c r="EI29352"/>
      <c r="EJ29352"/>
      <c r="EK29352"/>
    </row>
    <row r="29353" spans="1:141" s="116" customFormat="1">
      <c r="A29353" s="136"/>
      <c r="CM29353" s="111"/>
      <c r="CQ29353" s="111"/>
      <c r="EF29353"/>
      <c r="EG29353"/>
      <c r="EH29353"/>
      <c r="EI29353"/>
      <c r="EJ29353"/>
      <c r="EK29353"/>
    </row>
    <row r="29354" spans="1:141" s="116" customFormat="1">
      <c r="A29354" s="136"/>
      <c r="CM29354" s="111"/>
      <c r="CQ29354" s="111"/>
      <c r="EF29354"/>
      <c r="EG29354"/>
      <c r="EH29354"/>
      <c r="EI29354"/>
      <c r="EJ29354"/>
      <c r="EK29354"/>
    </row>
    <row r="29355" spans="1:141" s="116" customFormat="1">
      <c r="A29355" s="136"/>
      <c r="CM29355" s="111"/>
      <c r="CQ29355" s="111"/>
      <c r="EF29355"/>
      <c r="EG29355"/>
      <c r="EH29355"/>
      <c r="EI29355"/>
      <c r="EJ29355"/>
      <c r="EK29355"/>
    </row>
    <row r="29356" spans="1:141" s="116" customFormat="1">
      <c r="A29356" s="136"/>
      <c r="CM29356" s="111"/>
      <c r="CQ29356" s="111"/>
      <c r="EF29356"/>
      <c r="EG29356"/>
      <c r="EH29356"/>
      <c r="EI29356"/>
      <c r="EJ29356"/>
      <c r="EK29356"/>
    </row>
    <row r="29357" spans="1:141" s="116" customFormat="1">
      <c r="A29357" s="136"/>
      <c r="CM29357" s="111"/>
      <c r="CQ29357" s="111"/>
      <c r="EF29357"/>
      <c r="EG29357"/>
      <c r="EH29357"/>
      <c r="EI29357"/>
      <c r="EJ29357"/>
      <c r="EK29357"/>
    </row>
    <row r="29358" spans="1:141" s="116" customFormat="1">
      <c r="A29358" s="136"/>
      <c r="CM29358" s="111"/>
      <c r="CQ29358" s="111"/>
      <c r="EF29358"/>
      <c r="EG29358"/>
      <c r="EH29358"/>
      <c r="EI29358"/>
      <c r="EJ29358"/>
      <c r="EK29358"/>
    </row>
    <row r="29359" spans="1:141" s="116" customFormat="1">
      <c r="A29359" s="136"/>
      <c r="CM29359" s="111"/>
      <c r="CQ29359" s="111"/>
      <c r="EF29359"/>
      <c r="EG29359"/>
      <c r="EH29359"/>
      <c r="EI29359"/>
      <c r="EJ29359"/>
      <c r="EK29359"/>
    </row>
    <row r="29360" spans="1:141" s="116" customFormat="1">
      <c r="A29360" s="136"/>
      <c r="CM29360" s="111"/>
      <c r="CQ29360" s="111"/>
      <c r="EF29360"/>
      <c r="EG29360"/>
      <c r="EH29360"/>
      <c r="EI29360"/>
      <c r="EJ29360"/>
      <c r="EK29360"/>
    </row>
    <row r="29361" spans="1:141" s="116" customFormat="1">
      <c r="A29361" s="136"/>
      <c r="CM29361" s="111"/>
      <c r="CQ29361" s="111"/>
      <c r="EF29361"/>
      <c r="EG29361"/>
      <c r="EH29361"/>
      <c r="EI29361"/>
      <c r="EJ29361"/>
      <c r="EK29361"/>
    </row>
    <row r="29362" spans="1:141" s="116" customFormat="1">
      <c r="A29362" s="136"/>
      <c r="CM29362" s="111"/>
      <c r="CQ29362" s="111"/>
      <c r="EF29362"/>
      <c r="EG29362"/>
      <c r="EH29362"/>
      <c r="EI29362"/>
      <c r="EJ29362"/>
      <c r="EK29362"/>
    </row>
    <row r="29363" spans="1:141" s="116" customFormat="1">
      <c r="A29363" s="136"/>
      <c r="CM29363" s="111"/>
      <c r="CQ29363" s="111"/>
      <c r="EF29363"/>
      <c r="EG29363"/>
      <c r="EH29363"/>
      <c r="EI29363"/>
      <c r="EJ29363"/>
      <c r="EK29363"/>
    </row>
    <row r="29364" spans="1:141" s="116" customFormat="1">
      <c r="A29364" s="136"/>
      <c r="CM29364" s="111"/>
      <c r="CQ29364" s="111"/>
      <c r="EF29364"/>
      <c r="EG29364"/>
      <c r="EH29364"/>
      <c r="EI29364"/>
      <c r="EJ29364"/>
      <c r="EK29364"/>
    </row>
    <row r="29365" spans="1:141" s="116" customFormat="1">
      <c r="A29365" s="136"/>
      <c r="CM29365" s="111"/>
      <c r="CQ29365" s="111"/>
      <c r="EF29365"/>
      <c r="EG29365"/>
      <c r="EH29365"/>
      <c r="EI29365"/>
      <c r="EJ29365"/>
      <c r="EK29365"/>
    </row>
    <row r="29366" spans="1:141" s="116" customFormat="1">
      <c r="A29366" s="136"/>
      <c r="CM29366" s="111"/>
      <c r="CQ29366" s="111"/>
      <c r="EF29366"/>
      <c r="EG29366"/>
      <c r="EH29366"/>
      <c r="EI29366"/>
      <c r="EJ29366"/>
      <c r="EK29366"/>
    </row>
    <row r="29367" spans="1:141" s="116" customFormat="1">
      <c r="A29367" s="136"/>
      <c r="CM29367" s="111"/>
      <c r="CQ29367" s="111"/>
      <c r="EF29367"/>
      <c r="EG29367"/>
      <c r="EH29367"/>
      <c r="EI29367"/>
      <c r="EJ29367"/>
      <c r="EK29367"/>
    </row>
    <row r="29368" spans="1:141" s="116" customFormat="1">
      <c r="A29368" s="136"/>
      <c r="CM29368" s="111"/>
      <c r="CQ29368" s="111"/>
      <c r="EF29368"/>
      <c r="EG29368"/>
      <c r="EH29368"/>
      <c r="EI29368"/>
      <c r="EJ29368"/>
      <c r="EK29368"/>
    </row>
    <row r="29369" spans="1:141" s="116" customFormat="1">
      <c r="A29369" s="136"/>
      <c r="CM29369" s="111"/>
      <c r="CQ29369" s="111"/>
      <c r="EF29369"/>
      <c r="EG29369"/>
      <c r="EH29369"/>
      <c r="EI29369"/>
      <c r="EJ29369"/>
      <c r="EK29369"/>
    </row>
    <row r="29370" spans="1:141" s="116" customFormat="1">
      <c r="A29370" s="136"/>
      <c r="CM29370" s="111"/>
      <c r="CQ29370" s="111"/>
      <c r="EF29370"/>
      <c r="EG29370"/>
      <c r="EH29370"/>
      <c r="EI29370"/>
      <c r="EJ29370"/>
      <c r="EK29370"/>
    </row>
    <row r="29371" spans="1:141" s="116" customFormat="1">
      <c r="A29371" s="136"/>
      <c r="CM29371" s="111"/>
      <c r="CQ29371" s="111"/>
      <c r="EF29371"/>
      <c r="EG29371"/>
      <c r="EH29371"/>
      <c r="EI29371"/>
      <c r="EJ29371"/>
      <c r="EK29371"/>
    </row>
    <row r="29372" spans="1:141" s="116" customFormat="1">
      <c r="A29372" s="136"/>
      <c r="CM29372" s="111"/>
      <c r="CQ29372" s="111"/>
      <c r="EF29372"/>
      <c r="EG29372"/>
      <c r="EH29372"/>
      <c r="EI29372"/>
      <c r="EJ29372"/>
      <c r="EK29372"/>
    </row>
    <row r="29373" spans="1:141" s="116" customFormat="1">
      <c r="A29373" s="136"/>
      <c r="CM29373" s="111"/>
      <c r="CQ29373" s="111"/>
      <c r="EF29373"/>
      <c r="EG29373"/>
      <c r="EH29373"/>
      <c r="EI29373"/>
      <c r="EJ29373"/>
      <c r="EK29373"/>
    </row>
    <row r="29374" spans="1:141" s="116" customFormat="1">
      <c r="A29374" s="136"/>
      <c r="CM29374" s="111"/>
      <c r="CQ29374" s="111"/>
      <c r="EF29374"/>
      <c r="EG29374"/>
      <c r="EH29374"/>
      <c r="EI29374"/>
      <c r="EJ29374"/>
      <c r="EK29374"/>
    </row>
    <row r="29375" spans="1:141" s="116" customFormat="1">
      <c r="A29375" s="136"/>
      <c r="CM29375" s="111"/>
      <c r="CQ29375" s="111"/>
      <c r="EF29375"/>
      <c r="EG29375"/>
      <c r="EH29375"/>
      <c r="EI29375"/>
      <c r="EJ29375"/>
      <c r="EK29375"/>
    </row>
    <row r="29376" spans="1:141" s="116" customFormat="1">
      <c r="A29376" s="136"/>
      <c r="CM29376" s="111"/>
      <c r="CQ29376" s="111"/>
      <c r="EF29376"/>
      <c r="EG29376"/>
      <c r="EH29376"/>
      <c r="EI29376"/>
      <c r="EJ29376"/>
      <c r="EK29376"/>
    </row>
    <row r="29377" spans="1:141" s="116" customFormat="1">
      <c r="A29377" s="136"/>
      <c r="CM29377" s="111"/>
      <c r="CQ29377" s="111"/>
      <c r="EF29377"/>
      <c r="EG29377"/>
      <c r="EH29377"/>
      <c r="EI29377"/>
      <c r="EJ29377"/>
      <c r="EK29377"/>
    </row>
    <row r="29378" spans="1:141" s="116" customFormat="1">
      <c r="A29378" s="136"/>
      <c r="CM29378" s="111"/>
      <c r="CQ29378" s="111"/>
      <c r="EF29378"/>
      <c r="EG29378"/>
      <c r="EH29378"/>
      <c r="EI29378"/>
      <c r="EJ29378"/>
      <c r="EK29378"/>
    </row>
    <row r="29379" spans="1:141" s="116" customFormat="1">
      <c r="A29379" s="136"/>
      <c r="CM29379" s="111"/>
      <c r="CQ29379" s="111"/>
      <c r="EF29379"/>
      <c r="EG29379"/>
      <c r="EH29379"/>
      <c r="EI29379"/>
      <c r="EJ29379"/>
      <c r="EK29379"/>
    </row>
    <row r="29380" spans="1:141" s="116" customFormat="1">
      <c r="A29380" s="136"/>
      <c r="CM29380" s="111"/>
      <c r="CQ29380" s="111"/>
      <c r="EF29380"/>
      <c r="EG29380"/>
      <c r="EH29380"/>
      <c r="EI29380"/>
      <c r="EJ29380"/>
      <c r="EK29380"/>
    </row>
    <row r="29381" spans="1:141" s="116" customFormat="1">
      <c r="A29381" s="136"/>
      <c r="CM29381" s="111"/>
      <c r="CQ29381" s="111"/>
      <c r="EF29381"/>
      <c r="EG29381"/>
      <c r="EH29381"/>
      <c r="EI29381"/>
      <c r="EJ29381"/>
      <c r="EK29381"/>
    </row>
    <row r="29382" spans="1:141" s="116" customFormat="1">
      <c r="A29382" s="136"/>
      <c r="CM29382" s="111"/>
      <c r="CQ29382" s="111"/>
      <c r="EF29382"/>
      <c r="EG29382"/>
      <c r="EH29382"/>
      <c r="EI29382"/>
      <c r="EJ29382"/>
      <c r="EK29382"/>
    </row>
    <row r="29383" spans="1:141" s="116" customFormat="1">
      <c r="A29383" s="136"/>
      <c r="CM29383" s="111"/>
      <c r="CQ29383" s="111"/>
      <c r="EF29383"/>
      <c r="EG29383"/>
      <c r="EH29383"/>
      <c r="EI29383"/>
      <c r="EJ29383"/>
      <c r="EK29383"/>
    </row>
    <row r="29384" spans="1:141" s="116" customFormat="1">
      <c r="A29384" s="136"/>
      <c r="CM29384" s="111"/>
      <c r="CQ29384" s="111"/>
      <c r="EF29384"/>
      <c r="EG29384"/>
      <c r="EH29384"/>
      <c r="EI29384"/>
      <c r="EJ29384"/>
      <c r="EK29384"/>
    </row>
    <row r="29385" spans="1:141" s="116" customFormat="1">
      <c r="A29385" s="136"/>
      <c r="CM29385" s="111"/>
      <c r="CQ29385" s="111"/>
      <c r="EF29385"/>
      <c r="EG29385"/>
      <c r="EH29385"/>
      <c r="EI29385"/>
      <c r="EJ29385"/>
      <c r="EK29385"/>
    </row>
    <row r="29386" spans="1:141" s="116" customFormat="1">
      <c r="A29386" s="136"/>
      <c r="CM29386" s="111"/>
      <c r="CQ29386" s="111"/>
      <c r="EF29386"/>
      <c r="EG29386"/>
      <c r="EH29386"/>
      <c r="EI29386"/>
      <c r="EJ29386"/>
      <c r="EK29386"/>
    </row>
    <row r="29387" spans="1:141" s="116" customFormat="1">
      <c r="A29387" s="136"/>
      <c r="CM29387" s="111"/>
      <c r="CQ29387" s="111"/>
      <c r="EF29387"/>
      <c r="EG29387"/>
      <c r="EH29387"/>
      <c r="EI29387"/>
      <c r="EJ29387"/>
      <c r="EK29387"/>
    </row>
    <row r="29388" spans="1:141" s="116" customFormat="1">
      <c r="A29388" s="136"/>
      <c r="CM29388" s="111"/>
      <c r="CQ29388" s="111"/>
      <c r="EF29388"/>
      <c r="EG29388"/>
      <c r="EH29388"/>
      <c r="EI29388"/>
      <c r="EJ29388"/>
      <c r="EK29388"/>
    </row>
    <row r="29389" spans="1:141" s="116" customFormat="1">
      <c r="A29389" s="136"/>
      <c r="CM29389" s="111"/>
      <c r="CQ29389" s="111"/>
      <c r="EF29389"/>
      <c r="EG29389"/>
      <c r="EH29389"/>
      <c r="EI29389"/>
      <c r="EJ29389"/>
      <c r="EK29389"/>
    </row>
    <row r="29390" spans="1:141" s="116" customFormat="1">
      <c r="A29390" s="136"/>
      <c r="CM29390" s="111"/>
      <c r="CQ29390" s="111"/>
      <c r="EF29390"/>
      <c r="EG29390"/>
      <c r="EH29390"/>
      <c r="EI29390"/>
      <c r="EJ29390"/>
      <c r="EK29390"/>
    </row>
    <row r="29391" spans="1:141" s="116" customFormat="1">
      <c r="A29391" s="136"/>
      <c r="CM29391" s="111"/>
      <c r="CQ29391" s="111"/>
      <c r="EF29391"/>
      <c r="EG29391"/>
      <c r="EH29391"/>
      <c r="EI29391"/>
      <c r="EJ29391"/>
      <c r="EK29391"/>
    </row>
    <row r="29392" spans="1:141" s="116" customFormat="1">
      <c r="A29392" s="136"/>
      <c r="CM29392" s="111"/>
      <c r="CQ29392" s="111"/>
      <c r="EF29392"/>
      <c r="EG29392"/>
      <c r="EH29392"/>
      <c r="EI29392"/>
      <c r="EJ29392"/>
      <c r="EK29392"/>
    </row>
    <row r="29393" spans="1:141" s="116" customFormat="1">
      <c r="A29393" s="136"/>
      <c r="CM29393" s="111"/>
      <c r="CQ29393" s="111"/>
      <c r="EF29393"/>
      <c r="EG29393"/>
      <c r="EH29393"/>
      <c r="EI29393"/>
      <c r="EJ29393"/>
      <c r="EK29393"/>
    </row>
    <row r="29394" spans="1:141" s="116" customFormat="1">
      <c r="A29394" s="136"/>
      <c r="CM29394" s="111"/>
      <c r="CQ29394" s="111"/>
      <c r="EF29394"/>
      <c r="EG29394"/>
      <c r="EH29394"/>
      <c r="EI29394"/>
      <c r="EJ29394"/>
      <c r="EK29394"/>
    </row>
    <row r="29395" spans="1:141" s="116" customFormat="1">
      <c r="A29395" s="136"/>
      <c r="CM29395" s="111"/>
      <c r="CQ29395" s="111"/>
      <c r="EF29395"/>
      <c r="EG29395"/>
      <c r="EH29395"/>
      <c r="EI29395"/>
      <c r="EJ29395"/>
      <c r="EK29395"/>
    </row>
    <row r="29396" spans="1:141" s="116" customFormat="1">
      <c r="A29396" s="136"/>
      <c r="CM29396" s="111"/>
      <c r="CQ29396" s="111"/>
      <c r="EF29396"/>
      <c r="EG29396"/>
      <c r="EH29396"/>
      <c r="EI29396"/>
      <c r="EJ29396"/>
      <c r="EK29396"/>
    </row>
    <row r="29397" spans="1:141" s="116" customFormat="1">
      <c r="A29397" s="136"/>
      <c r="CM29397" s="111"/>
      <c r="CQ29397" s="111"/>
      <c r="EF29397"/>
      <c r="EG29397"/>
      <c r="EH29397"/>
      <c r="EI29397"/>
      <c r="EJ29397"/>
      <c r="EK29397"/>
    </row>
    <row r="29398" spans="1:141" s="116" customFormat="1">
      <c r="A29398" s="136"/>
      <c r="CM29398" s="111"/>
      <c r="CQ29398" s="111"/>
      <c r="EF29398"/>
      <c r="EG29398"/>
      <c r="EH29398"/>
      <c r="EI29398"/>
      <c r="EJ29398"/>
      <c r="EK29398"/>
    </row>
    <row r="29399" spans="1:141" s="116" customFormat="1">
      <c r="A29399" s="136"/>
      <c r="CM29399" s="111"/>
      <c r="CQ29399" s="111"/>
      <c r="EF29399"/>
      <c r="EG29399"/>
      <c r="EH29399"/>
      <c r="EI29399"/>
      <c r="EJ29399"/>
      <c r="EK29399"/>
    </row>
    <row r="29400" spans="1:141" s="116" customFormat="1">
      <c r="A29400" s="136"/>
      <c r="CM29400" s="111"/>
      <c r="CQ29400" s="111"/>
      <c r="EF29400"/>
      <c r="EG29400"/>
      <c r="EH29400"/>
      <c r="EI29400"/>
      <c r="EJ29400"/>
      <c r="EK29400"/>
    </row>
    <row r="29401" spans="1:141" s="116" customFormat="1">
      <c r="A29401" s="136"/>
      <c r="CM29401" s="111"/>
      <c r="CQ29401" s="111"/>
      <c r="EF29401"/>
      <c r="EG29401"/>
      <c r="EH29401"/>
      <c r="EI29401"/>
      <c r="EJ29401"/>
      <c r="EK29401"/>
    </row>
    <row r="29402" spans="1:141" s="116" customFormat="1">
      <c r="A29402" s="136"/>
      <c r="CM29402" s="111"/>
      <c r="CQ29402" s="111"/>
      <c r="EF29402"/>
      <c r="EG29402"/>
      <c r="EH29402"/>
      <c r="EI29402"/>
      <c r="EJ29402"/>
      <c r="EK29402"/>
    </row>
    <row r="29403" spans="1:141" s="116" customFormat="1">
      <c r="A29403" s="136"/>
      <c r="CM29403" s="111"/>
      <c r="CQ29403" s="111"/>
      <c r="EF29403"/>
      <c r="EG29403"/>
      <c r="EH29403"/>
      <c r="EI29403"/>
      <c r="EJ29403"/>
      <c r="EK29403"/>
    </row>
    <row r="29404" spans="1:141" s="116" customFormat="1">
      <c r="A29404" s="136"/>
      <c r="CM29404" s="111"/>
      <c r="CQ29404" s="111"/>
      <c r="EF29404"/>
      <c r="EG29404"/>
      <c r="EH29404"/>
      <c r="EI29404"/>
      <c r="EJ29404"/>
      <c r="EK29404"/>
    </row>
    <row r="29405" spans="1:141" s="116" customFormat="1">
      <c r="A29405" s="136"/>
      <c r="CM29405" s="111"/>
      <c r="CQ29405" s="111"/>
      <c r="EF29405"/>
      <c r="EG29405"/>
      <c r="EH29405"/>
      <c r="EI29405"/>
      <c r="EJ29405"/>
      <c r="EK29405"/>
    </row>
    <row r="29406" spans="1:141" s="116" customFormat="1">
      <c r="A29406" s="136"/>
      <c r="CM29406" s="111"/>
      <c r="CQ29406" s="111"/>
      <c r="EF29406"/>
      <c r="EG29406"/>
      <c r="EH29406"/>
      <c r="EI29406"/>
      <c r="EJ29406"/>
      <c r="EK29406"/>
    </row>
    <row r="29407" spans="1:141" s="116" customFormat="1">
      <c r="A29407" s="136"/>
      <c r="CM29407" s="111"/>
      <c r="CQ29407" s="111"/>
      <c r="EF29407"/>
      <c r="EG29407"/>
      <c r="EH29407"/>
      <c r="EI29407"/>
      <c r="EJ29407"/>
      <c r="EK29407"/>
    </row>
    <row r="29408" spans="1:141" s="116" customFormat="1">
      <c r="A29408" s="136"/>
      <c r="CM29408" s="111"/>
      <c r="CQ29408" s="111"/>
      <c r="EF29408"/>
      <c r="EG29408"/>
      <c r="EH29408"/>
      <c r="EI29408"/>
      <c r="EJ29408"/>
      <c r="EK29408"/>
    </row>
    <row r="29409" spans="1:141" s="116" customFormat="1">
      <c r="A29409" s="136"/>
      <c r="CM29409" s="111"/>
      <c r="CQ29409" s="111"/>
      <c r="EF29409"/>
      <c r="EG29409"/>
      <c r="EH29409"/>
      <c r="EI29409"/>
      <c r="EJ29409"/>
      <c r="EK29409"/>
    </row>
    <row r="29410" spans="1:141" s="116" customFormat="1">
      <c r="A29410" s="136"/>
      <c r="CM29410" s="111"/>
      <c r="CQ29410" s="111"/>
      <c r="EF29410"/>
      <c r="EG29410"/>
      <c r="EH29410"/>
      <c r="EI29410"/>
      <c r="EJ29410"/>
      <c r="EK29410"/>
    </row>
    <row r="29411" spans="1:141" s="116" customFormat="1">
      <c r="A29411" s="136"/>
      <c r="CM29411" s="111"/>
      <c r="CQ29411" s="111"/>
      <c r="EF29411"/>
      <c r="EG29411"/>
      <c r="EH29411"/>
      <c r="EI29411"/>
      <c r="EJ29411"/>
      <c r="EK29411"/>
    </row>
    <row r="29412" spans="1:141" s="116" customFormat="1">
      <c r="A29412" s="136"/>
      <c r="CM29412" s="111"/>
      <c r="CQ29412" s="111"/>
      <c r="EF29412"/>
      <c r="EG29412"/>
      <c r="EH29412"/>
      <c r="EI29412"/>
      <c r="EJ29412"/>
      <c r="EK29412"/>
    </row>
    <row r="29413" spans="1:141" s="116" customFormat="1">
      <c r="A29413" s="136"/>
      <c r="CM29413" s="111"/>
      <c r="CQ29413" s="111"/>
      <c r="EF29413"/>
      <c r="EG29413"/>
      <c r="EH29413"/>
      <c r="EI29413"/>
      <c r="EJ29413"/>
      <c r="EK29413"/>
    </row>
    <row r="29414" spans="1:141" s="116" customFormat="1">
      <c r="A29414" s="136"/>
      <c r="CM29414" s="111"/>
      <c r="CQ29414" s="111"/>
      <c r="EF29414"/>
      <c r="EG29414"/>
      <c r="EH29414"/>
      <c r="EI29414"/>
      <c r="EJ29414"/>
      <c r="EK29414"/>
    </row>
    <row r="29415" spans="1:141" s="116" customFormat="1">
      <c r="A29415" s="136"/>
      <c r="CM29415" s="111"/>
      <c r="CQ29415" s="111"/>
      <c r="EF29415"/>
      <c r="EG29415"/>
      <c r="EH29415"/>
      <c r="EI29415"/>
      <c r="EJ29415"/>
      <c r="EK29415"/>
    </row>
    <row r="29416" spans="1:141" s="116" customFormat="1">
      <c r="A29416" s="136"/>
      <c r="CM29416" s="111"/>
      <c r="CQ29416" s="111"/>
      <c r="EF29416"/>
      <c r="EG29416"/>
      <c r="EH29416"/>
      <c r="EI29416"/>
      <c r="EJ29416"/>
      <c r="EK29416"/>
    </row>
    <row r="29417" spans="1:141" s="116" customFormat="1">
      <c r="A29417" s="136"/>
      <c r="CM29417" s="111"/>
      <c r="CQ29417" s="111"/>
      <c r="EF29417"/>
      <c r="EG29417"/>
      <c r="EH29417"/>
      <c r="EI29417"/>
      <c r="EJ29417"/>
      <c r="EK29417"/>
    </row>
    <row r="29418" spans="1:141" s="116" customFormat="1">
      <c r="A29418" s="136"/>
      <c r="CM29418" s="111"/>
      <c r="CQ29418" s="111"/>
      <c r="EF29418"/>
      <c r="EG29418"/>
      <c r="EH29418"/>
      <c r="EI29418"/>
      <c r="EJ29418"/>
      <c r="EK29418"/>
    </row>
    <row r="29419" spans="1:141" s="116" customFormat="1">
      <c r="A29419" s="136"/>
      <c r="CM29419" s="111"/>
      <c r="CQ29419" s="111"/>
      <c r="EF29419"/>
      <c r="EG29419"/>
      <c r="EH29419"/>
      <c r="EI29419"/>
      <c r="EJ29419"/>
      <c r="EK29419"/>
    </row>
    <row r="29420" spans="1:141" s="116" customFormat="1">
      <c r="A29420" s="136"/>
      <c r="CM29420" s="111"/>
      <c r="CQ29420" s="111"/>
      <c r="EF29420"/>
      <c r="EG29420"/>
      <c r="EH29420"/>
      <c r="EI29420"/>
      <c r="EJ29420"/>
      <c r="EK29420"/>
    </row>
    <row r="29421" spans="1:141" s="116" customFormat="1">
      <c r="A29421" s="136"/>
      <c r="CM29421" s="111"/>
      <c r="CQ29421" s="111"/>
      <c r="EF29421"/>
      <c r="EG29421"/>
      <c r="EH29421"/>
      <c r="EI29421"/>
      <c r="EJ29421"/>
      <c r="EK29421"/>
    </row>
    <row r="29422" spans="1:141" s="116" customFormat="1">
      <c r="A29422" s="136"/>
      <c r="CM29422" s="111"/>
      <c r="CQ29422" s="111"/>
      <c r="EF29422"/>
      <c r="EG29422"/>
      <c r="EH29422"/>
      <c r="EI29422"/>
      <c r="EJ29422"/>
      <c r="EK29422"/>
    </row>
    <row r="29423" spans="1:141" s="116" customFormat="1">
      <c r="A29423" s="136"/>
      <c r="CM29423" s="111"/>
      <c r="CQ29423" s="111"/>
      <c r="EF29423"/>
      <c r="EG29423"/>
      <c r="EH29423"/>
      <c r="EI29423"/>
      <c r="EJ29423"/>
      <c r="EK29423"/>
    </row>
    <row r="29424" spans="1:141" s="116" customFormat="1">
      <c r="A29424" s="136"/>
      <c r="CM29424" s="111"/>
      <c r="CQ29424" s="111"/>
      <c r="EF29424"/>
      <c r="EG29424"/>
      <c r="EH29424"/>
      <c r="EI29424"/>
      <c r="EJ29424"/>
      <c r="EK29424"/>
    </row>
    <row r="29425" spans="1:141" s="116" customFormat="1">
      <c r="A29425" s="136"/>
      <c r="CM29425" s="111"/>
      <c r="CQ29425" s="111"/>
      <c r="EF29425"/>
      <c r="EG29425"/>
      <c r="EH29425"/>
      <c r="EI29425"/>
      <c r="EJ29425"/>
      <c r="EK29425"/>
    </row>
    <row r="29426" spans="1:141" s="116" customFormat="1">
      <c r="A29426" s="136"/>
      <c r="CM29426" s="111"/>
      <c r="CQ29426" s="111"/>
      <c r="EF29426"/>
      <c r="EG29426"/>
      <c r="EH29426"/>
      <c r="EI29426"/>
      <c r="EJ29426"/>
      <c r="EK29426"/>
    </row>
    <row r="29427" spans="1:141" s="116" customFormat="1">
      <c r="A29427" s="136"/>
      <c r="CM29427" s="111"/>
      <c r="CQ29427" s="111"/>
      <c r="EF29427"/>
      <c r="EG29427"/>
      <c r="EH29427"/>
      <c r="EI29427"/>
      <c r="EJ29427"/>
      <c r="EK29427"/>
    </row>
    <row r="29428" spans="1:141" s="116" customFormat="1">
      <c r="A29428" s="136"/>
      <c r="CM29428" s="111"/>
      <c r="CQ29428" s="111"/>
      <c r="EF29428"/>
      <c r="EG29428"/>
      <c r="EH29428"/>
      <c r="EI29428"/>
      <c r="EJ29428"/>
      <c r="EK29428"/>
    </row>
    <row r="29429" spans="1:141" s="116" customFormat="1">
      <c r="A29429" s="136"/>
      <c r="CM29429" s="111"/>
      <c r="CQ29429" s="111"/>
      <c r="EF29429"/>
      <c r="EG29429"/>
      <c r="EH29429"/>
      <c r="EI29429"/>
      <c r="EJ29429"/>
      <c r="EK29429"/>
    </row>
    <row r="29430" spans="1:141" s="116" customFormat="1">
      <c r="A29430" s="136"/>
      <c r="CM29430" s="111"/>
      <c r="CQ29430" s="111"/>
      <c r="EF29430"/>
      <c r="EG29430"/>
      <c r="EH29430"/>
      <c r="EI29430"/>
      <c r="EJ29430"/>
      <c r="EK29430"/>
    </row>
    <row r="29431" spans="1:141" s="116" customFormat="1">
      <c r="A29431" s="136"/>
      <c r="CM29431" s="111"/>
      <c r="CQ29431" s="111"/>
      <c r="EF29431"/>
      <c r="EG29431"/>
      <c r="EH29431"/>
      <c r="EI29431"/>
      <c r="EJ29431"/>
      <c r="EK29431"/>
    </row>
    <row r="29432" spans="1:141" s="116" customFormat="1">
      <c r="A29432" s="136"/>
      <c r="CM29432" s="111"/>
      <c r="CQ29432" s="111"/>
      <c r="EF29432"/>
      <c r="EG29432"/>
      <c r="EH29432"/>
      <c r="EI29432"/>
      <c r="EJ29432"/>
      <c r="EK29432"/>
    </row>
    <row r="29433" spans="1:141" s="116" customFormat="1">
      <c r="A29433" s="136"/>
      <c r="CM29433" s="111"/>
      <c r="CQ29433" s="111"/>
      <c r="EF29433"/>
      <c r="EG29433"/>
      <c r="EH29433"/>
      <c r="EI29433"/>
      <c r="EJ29433"/>
      <c r="EK29433"/>
    </row>
    <row r="29434" spans="1:141" s="116" customFormat="1">
      <c r="A29434" s="136"/>
      <c r="CM29434" s="111"/>
      <c r="CQ29434" s="111"/>
      <c r="EF29434"/>
      <c r="EG29434"/>
      <c r="EH29434"/>
      <c r="EI29434"/>
      <c r="EJ29434"/>
      <c r="EK29434"/>
    </row>
    <row r="29435" spans="1:141" s="116" customFormat="1">
      <c r="A29435" s="136"/>
      <c r="CM29435" s="111"/>
      <c r="CQ29435" s="111"/>
      <c r="EF29435"/>
      <c r="EG29435"/>
      <c r="EH29435"/>
      <c r="EI29435"/>
      <c r="EJ29435"/>
      <c r="EK29435"/>
    </row>
    <row r="29436" spans="1:141" s="116" customFormat="1">
      <c r="A29436" s="136"/>
      <c r="CM29436" s="111"/>
      <c r="CQ29436" s="111"/>
      <c r="EF29436"/>
      <c r="EG29436"/>
      <c r="EH29436"/>
      <c r="EI29436"/>
      <c r="EJ29436"/>
      <c r="EK29436"/>
    </row>
    <row r="29437" spans="1:141" s="116" customFormat="1">
      <c r="A29437" s="136"/>
      <c r="CM29437" s="111"/>
      <c r="CQ29437" s="111"/>
      <c r="EF29437"/>
      <c r="EG29437"/>
      <c r="EH29437"/>
      <c r="EI29437"/>
      <c r="EJ29437"/>
      <c r="EK29437"/>
    </row>
    <row r="29438" spans="1:141" s="116" customFormat="1">
      <c r="A29438" s="136"/>
      <c r="CM29438" s="111"/>
      <c r="CQ29438" s="111"/>
      <c r="EF29438"/>
      <c r="EG29438"/>
      <c r="EH29438"/>
      <c r="EI29438"/>
      <c r="EJ29438"/>
      <c r="EK29438"/>
    </row>
    <row r="29439" spans="1:141" s="116" customFormat="1">
      <c r="A29439" s="136"/>
      <c r="CM29439" s="111"/>
      <c r="CQ29439" s="111"/>
      <c r="EF29439"/>
      <c r="EG29439"/>
      <c r="EH29439"/>
      <c r="EI29439"/>
      <c r="EJ29439"/>
      <c r="EK29439"/>
    </row>
    <row r="29440" spans="1:141" s="116" customFormat="1">
      <c r="A29440" s="136"/>
      <c r="CM29440" s="111"/>
      <c r="CQ29440" s="111"/>
      <c r="EF29440"/>
      <c r="EG29440"/>
      <c r="EH29440"/>
      <c r="EI29440"/>
      <c r="EJ29440"/>
      <c r="EK29440"/>
    </row>
    <row r="29441" spans="1:141" s="116" customFormat="1">
      <c r="A29441" s="136"/>
      <c r="CM29441" s="111"/>
      <c r="CQ29441" s="111"/>
      <c r="EF29441"/>
      <c r="EG29441"/>
      <c r="EH29441"/>
      <c r="EI29441"/>
      <c r="EJ29441"/>
      <c r="EK29441"/>
    </row>
    <row r="29442" spans="1:141" s="116" customFormat="1">
      <c r="A29442" s="136"/>
      <c r="CM29442" s="111"/>
      <c r="CQ29442" s="111"/>
      <c r="EF29442"/>
      <c r="EG29442"/>
      <c r="EH29442"/>
      <c r="EI29442"/>
      <c r="EJ29442"/>
      <c r="EK29442"/>
    </row>
    <row r="29443" spans="1:141" s="116" customFormat="1">
      <c r="A29443" s="136"/>
      <c r="CM29443" s="111"/>
      <c r="CQ29443" s="111"/>
      <c r="EF29443"/>
      <c r="EG29443"/>
      <c r="EH29443"/>
      <c r="EI29443"/>
      <c r="EJ29443"/>
      <c r="EK29443"/>
    </row>
    <row r="29444" spans="1:141" s="116" customFormat="1">
      <c r="A29444" s="136"/>
      <c r="CM29444" s="111"/>
      <c r="CQ29444" s="111"/>
      <c r="EF29444"/>
      <c r="EG29444"/>
      <c r="EH29444"/>
      <c r="EI29444"/>
      <c r="EJ29444"/>
      <c r="EK29444"/>
    </row>
    <row r="29445" spans="1:141" s="116" customFormat="1">
      <c r="A29445" s="136"/>
      <c r="CM29445" s="111"/>
      <c r="CQ29445" s="111"/>
      <c r="EF29445"/>
      <c r="EG29445"/>
      <c r="EH29445"/>
      <c r="EI29445"/>
      <c r="EJ29445"/>
      <c r="EK29445"/>
    </row>
    <row r="29446" spans="1:141" s="116" customFormat="1">
      <c r="A29446" s="136"/>
      <c r="CM29446" s="111"/>
      <c r="CQ29446" s="111"/>
      <c r="EF29446"/>
      <c r="EG29446"/>
      <c r="EH29446"/>
      <c r="EI29446"/>
      <c r="EJ29446"/>
      <c r="EK29446"/>
    </row>
    <row r="29447" spans="1:141" s="116" customFormat="1">
      <c r="A29447" s="136"/>
      <c r="CM29447" s="111"/>
      <c r="CQ29447" s="111"/>
      <c r="EF29447"/>
      <c r="EG29447"/>
      <c r="EH29447"/>
      <c r="EI29447"/>
      <c r="EJ29447"/>
      <c r="EK29447"/>
    </row>
    <row r="29448" spans="1:141" s="116" customFormat="1">
      <c r="A29448" s="136"/>
      <c r="CM29448" s="111"/>
      <c r="CQ29448" s="111"/>
      <c r="EF29448"/>
      <c r="EG29448"/>
      <c r="EH29448"/>
      <c r="EI29448"/>
      <c r="EJ29448"/>
      <c r="EK29448"/>
    </row>
    <row r="29449" spans="1:141" s="116" customFormat="1">
      <c r="A29449" s="136"/>
      <c r="CM29449" s="111"/>
      <c r="CQ29449" s="111"/>
      <c r="EF29449"/>
      <c r="EG29449"/>
      <c r="EH29449"/>
      <c r="EI29449"/>
      <c r="EJ29449"/>
      <c r="EK29449"/>
    </row>
    <row r="29450" spans="1:141" s="116" customFormat="1">
      <c r="A29450" s="136"/>
      <c r="CM29450" s="111"/>
      <c r="CQ29450" s="111"/>
      <c r="EF29450"/>
      <c r="EG29450"/>
      <c r="EH29450"/>
      <c r="EI29450"/>
      <c r="EJ29450"/>
      <c r="EK29450"/>
    </row>
    <row r="29451" spans="1:141" s="116" customFormat="1">
      <c r="A29451" s="136"/>
      <c r="CM29451" s="111"/>
      <c r="CQ29451" s="111"/>
      <c r="EF29451"/>
      <c r="EG29451"/>
      <c r="EH29451"/>
      <c r="EI29451"/>
      <c r="EJ29451"/>
      <c r="EK29451"/>
    </row>
    <row r="29452" spans="1:141" s="116" customFormat="1">
      <c r="A29452" s="136"/>
      <c r="CM29452" s="111"/>
      <c r="CQ29452" s="111"/>
      <c r="EF29452"/>
      <c r="EG29452"/>
      <c r="EH29452"/>
      <c r="EI29452"/>
      <c r="EJ29452"/>
      <c r="EK29452"/>
    </row>
    <row r="29453" spans="1:141" s="116" customFormat="1">
      <c r="A29453" s="136"/>
      <c r="CM29453" s="111"/>
      <c r="CQ29453" s="111"/>
      <c r="EF29453"/>
      <c r="EG29453"/>
      <c r="EH29453"/>
      <c r="EI29453"/>
      <c r="EJ29453"/>
      <c r="EK29453"/>
    </row>
    <row r="29454" spans="1:141" s="116" customFormat="1">
      <c r="A29454" s="136"/>
      <c r="CM29454" s="111"/>
      <c r="CQ29454" s="111"/>
      <c r="EF29454"/>
      <c r="EG29454"/>
      <c r="EH29454"/>
      <c r="EI29454"/>
      <c r="EJ29454"/>
      <c r="EK29454"/>
    </row>
    <row r="29455" spans="1:141" s="116" customFormat="1">
      <c r="A29455" s="136"/>
      <c r="CM29455" s="111"/>
      <c r="CQ29455" s="111"/>
      <c r="EF29455"/>
      <c r="EG29455"/>
      <c r="EH29455"/>
      <c r="EI29455"/>
      <c r="EJ29455"/>
      <c r="EK29455"/>
    </row>
    <row r="29456" spans="1:141" s="116" customFormat="1">
      <c r="A29456" s="136"/>
      <c r="CM29456" s="111"/>
      <c r="CQ29456" s="111"/>
      <c r="EF29456"/>
      <c r="EG29456"/>
      <c r="EH29456"/>
      <c r="EI29456"/>
      <c r="EJ29456"/>
      <c r="EK29456"/>
    </row>
    <row r="29457" spans="1:141" s="116" customFormat="1">
      <c r="A29457" s="136"/>
      <c r="CM29457" s="111"/>
      <c r="CQ29457" s="111"/>
      <c r="EF29457"/>
      <c r="EG29457"/>
      <c r="EH29457"/>
      <c r="EI29457"/>
      <c r="EJ29457"/>
      <c r="EK29457"/>
    </row>
    <row r="29458" spans="1:141" s="116" customFormat="1">
      <c r="A29458" s="136"/>
      <c r="CM29458" s="111"/>
      <c r="CQ29458" s="111"/>
      <c r="EF29458"/>
      <c r="EG29458"/>
      <c r="EH29458"/>
      <c r="EI29458"/>
      <c r="EJ29458"/>
      <c r="EK29458"/>
    </row>
    <row r="29459" spans="1:141" s="116" customFormat="1">
      <c r="A29459" s="136"/>
      <c r="CM29459" s="111"/>
      <c r="CQ29459" s="111"/>
      <c r="EF29459"/>
      <c r="EG29459"/>
      <c r="EH29459"/>
      <c r="EI29459"/>
      <c r="EJ29459"/>
      <c r="EK29459"/>
    </row>
    <row r="29460" spans="1:141" s="116" customFormat="1">
      <c r="A29460" s="136"/>
      <c r="CM29460" s="111"/>
      <c r="CQ29460" s="111"/>
      <c r="EF29460"/>
      <c r="EG29460"/>
      <c r="EH29460"/>
      <c r="EI29460"/>
      <c r="EJ29460"/>
      <c r="EK29460"/>
    </row>
    <row r="29461" spans="1:141" s="116" customFormat="1">
      <c r="A29461" s="136"/>
      <c r="CM29461" s="111"/>
      <c r="CQ29461" s="111"/>
      <c r="EF29461"/>
      <c r="EG29461"/>
      <c r="EH29461"/>
      <c r="EI29461"/>
      <c r="EJ29461"/>
      <c r="EK29461"/>
    </row>
    <row r="29462" spans="1:141" s="116" customFormat="1">
      <c r="A29462" s="136"/>
      <c r="CM29462" s="111"/>
      <c r="CQ29462" s="111"/>
      <c r="EF29462"/>
      <c r="EG29462"/>
      <c r="EH29462"/>
      <c r="EI29462"/>
      <c r="EJ29462"/>
      <c r="EK29462"/>
    </row>
    <row r="29463" spans="1:141" s="116" customFormat="1">
      <c r="A29463" s="136"/>
      <c r="CM29463" s="111"/>
      <c r="CQ29463" s="111"/>
      <c r="EF29463"/>
      <c r="EG29463"/>
      <c r="EH29463"/>
      <c r="EI29463"/>
      <c r="EJ29463"/>
      <c r="EK29463"/>
    </row>
    <row r="29464" spans="1:141" s="116" customFormat="1">
      <c r="A29464" s="136"/>
      <c r="CM29464" s="111"/>
      <c r="CQ29464" s="111"/>
      <c r="EF29464"/>
      <c r="EG29464"/>
      <c r="EH29464"/>
      <c r="EI29464"/>
      <c r="EJ29464"/>
      <c r="EK29464"/>
    </row>
    <row r="29465" spans="1:141" s="116" customFormat="1">
      <c r="A29465" s="136"/>
      <c r="CM29465" s="111"/>
      <c r="CQ29465" s="111"/>
      <c r="EF29465"/>
      <c r="EG29465"/>
      <c r="EH29465"/>
      <c r="EI29465"/>
      <c r="EJ29465"/>
      <c r="EK29465"/>
    </row>
    <row r="29466" spans="1:141" s="116" customFormat="1">
      <c r="A29466" s="136"/>
      <c r="CM29466" s="111"/>
      <c r="CQ29466" s="111"/>
      <c r="EF29466"/>
      <c r="EG29466"/>
      <c r="EH29466"/>
      <c r="EI29466"/>
      <c r="EJ29466"/>
      <c r="EK29466"/>
    </row>
    <row r="29467" spans="1:141" s="116" customFormat="1">
      <c r="A29467" s="136"/>
      <c r="CM29467" s="111"/>
      <c r="CQ29467" s="111"/>
      <c r="EF29467"/>
      <c r="EG29467"/>
      <c r="EH29467"/>
      <c r="EI29467"/>
      <c r="EJ29467"/>
      <c r="EK29467"/>
    </row>
    <row r="29468" spans="1:141" s="116" customFormat="1">
      <c r="A29468" s="136"/>
      <c r="CM29468" s="111"/>
      <c r="CQ29468" s="111"/>
      <c r="EF29468"/>
      <c r="EG29468"/>
      <c r="EH29468"/>
      <c r="EI29468"/>
      <c r="EJ29468"/>
      <c r="EK29468"/>
    </row>
    <row r="29469" spans="1:141" s="116" customFormat="1">
      <c r="A29469" s="136"/>
      <c r="CM29469" s="111"/>
      <c r="CQ29469" s="111"/>
      <c r="EF29469"/>
      <c r="EG29469"/>
      <c r="EH29469"/>
      <c r="EI29469"/>
      <c r="EJ29469"/>
      <c r="EK29469"/>
    </row>
    <row r="29470" spans="1:141" s="116" customFormat="1">
      <c r="A29470" s="136"/>
      <c r="CM29470" s="111"/>
      <c r="CQ29470" s="111"/>
      <c r="EF29470"/>
      <c r="EG29470"/>
      <c r="EH29470"/>
      <c r="EI29470"/>
      <c r="EJ29470"/>
      <c r="EK29470"/>
    </row>
    <row r="29471" spans="1:141" s="116" customFormat="1">
      <c r="A29471" s="136"/>
      <c r="CM29471" s="111"/>
      <c r="CQ29471" s="111"/>
      <c r="EF29471"/>
      <c r="EG29471"/>
      <c r="EH29471"/>
      <c r="EI29471"/>
      <c r="EJ29471"/>
      <c r="EK29471"/>
    </row>
    <row r="29472" spans="1:141" s="116" customFormat="1">
      <c r="A29472" s="136"/>
      <c r="CM29472" s="111"/>
      <c r="CQ29472" s="111"/>
      <c r="EF29472"/>
      <c r="EG29472"/>
      <c r="EH29472"/>
      <c r="EI29472"/>
      <c r="EJ29472"/>
      <c r="EK29472"/>
    </row>
    <row r="29473" spans="1:141" s="116" customFormat="1">
      <c r="A29473" s="136"/>
      <c r="CM29473" s="111"/>
      <c r="CQ29473" s="111"/>
      <c r="EF29473"/>
      <c r="EG29473"/>
      <c r="EH29473"/>
      <c r="EI29473"/>
      <c r="EJ29473"/>
      <c r="EK29473"/>
    </row>
    <row r="29474" spans="1:141" s="116" customFormat="1">
      <c r="A29474" s="136"/>
      <c r="CM29474" s="111"/>
      <c r="CQ29474" s="111"/>
      <c r="EF29474"/>
      <c r="EG29474"/>
      <c r="EH29474"/>
      <c r="EI29474"/>
      <c r="EJ29474"/>
      <c r="EK29474"/>
    </row>
    <row r="29475" spans="1:141" s="116" customFormat="1">
      <c r="A29475" s="136"/>
      <c r="CM29475" s="111"/>
      <c r="CQ29475" s="111"/>
      <c r="EF29475"/>
      <c r="EG29475"/>
      <c r="EH29475"/>
      <c r="EI29475"/>
      <c r="EJ29475"/>
      <c r="EK29475"/>
    </row>
    <row r="29476" spans="1:141" s="116" customFormat="1">
      <c r="A29476" s="136"/>
      <c r="CM29476" s="111"/>
      <c r="CQ29476" s="111"/>
      <c r="EF29476"/>
      <c r="EG29476"/>
      <c r="EH29476"/>
      <c r="EI29476"/>
      <c r="EJ29476"/>
      <c r="EK29476"/>
    </row>
    <row r="29477" spans="1:141" s="116" customFormat="1">
      <c r="A29477" s="136"/>
      <c r="CM29477" s="111"/>
      <c r="CQ29477" s="111"/>
      <c r="EF29477"/>
      <c r="EG29477"/>
      <c r="EH29477"/>
      <c r="EI29477"/>
      <c r="EJ29477"/>
      <c r="EK29477"/>
    </row>
    <row r="29478" spans="1:141" s="116" customFormat="1">
      <c r="A29478" s="136"/>
      <c r="CM29478" s="111"/>
      <c r="CQ29478" s="111"/>
      <c r="EF29478"/>
      <c r="EG29478"/>
      <c r="EH29478"/>
      <c r="EI29478"/>
      <c r="EJ29478"/>
      <c r="EK29478"/>
    </row>
    <row r="29479" spans="1:141" s="116" customFormat="1">
      <c r="A29479" s="136"/>
      <c r="CM29479" s="111"/>
      <c r="CQ29479" s="111"/>
      <c r="EF29479"/>
      <c r="EG29479"/>
      <c r="EH29479"/>
      <c r="EI29479"/>
      <c r="EJ29479"/>
      <c r="EK29479"/>
    </row>
    <row r="29480" spans="1:141" s="116" customFormat="1">
      <c r="A29480" s="136"/>
      <c r="CM29480" s="111"/>
      <c r="CQ29480" s="111"/>
      <c r="EF29480"/>
      <c r="EG29480"/>
      <c r="EH29480"/>
      <c r="EI29480"/>
      <c r="EJ29480"/>
      <c r="EK29480"/>
    </row>
    <row r="29481" spans="1:141" s="116" customFormat="1">
      <c r="A29481" s="136"/>
      <c r="CM29481" s="111"/>
      <c r="CQ29481" s="111"/>
      <c r="EF29481"/>
      <c r="EG29481"/>
      <c r="EH29481"/>
      <c r="EI29481"/>
      <c r="EJ29481"/>
      <c r="EK29481"/>
    </row>
    <row r="29482" spans="1:141" s="116" customFormat="1">
      <c r="A29482" s="136"/>
      <c r="CM29482" s="111"/>
      <c r="CQ29482" s="111"/>
      <c r="EF29482"/>
      <c r="EG29482"/>
      <c r="EH29482"/>
      <c r="EI29482"/>
      <c r="EJ29482"/>
      <c r="EK29482"/>
    </row>
    <row r="29483" spans="1:141" s="116" customFormat="1">
      <c r="A29483" s="136"/>
      <c r="CM29483" s="111"/>
      <c r="CQ29483" s="111"/>
      <c r="EF29483"/>
      <c r="EG29483"/>
      <c r="EH29483"/>
      <c r="EI29483"/>
      <c r="EJ29483"/>
      <c r="EK29483"/>
    </row>
    <row r="29484" spans="1:141" s="116" customFormat="1">
      <c r="A29484" s="136"/>
      <c r="CM29484" s="111"/>
      <c r="CQ29484" s="111"/>
      <c r="EF29484"/>
      <c r="EG29484"/>
      <c r="EH29484"/>
      <c r="EI29484"/>
      <c r="EJ29484"/>
      <c r="EK29484"/>
    </row>
    <row r="29485" spans="1:141" s="116" customFormat="1">
      <c r="A29485" s="136"/>
      <c r="CM29485" s="111"/>
      <c r="CQ29485" s="111"/>
      <c r="EF29485"/>
      <c r="EG29485"/>
      <c r="EH29485"/>
      <c r="EI29485"/>
      <c r="EJ29485"/>
      <c r="EK29485"/>
    </row>
    <row r="29486" spans="1:141" s="116" customFormat="1">
      <c r="A29486" s="136"/>
      <c r="CM29486" s="111"/>
      <c r="CQ29486" s="111"/>
      <c r="EF29486"/>
      <c r="EG29486"/>
      <c r="EH29486"/>
      <c r="EI29486"/>
      <c r="EJ29486"/>
      <c r="EK29486"/>
    </row>
    <row r="29487" spans="1:141" s="116" customFormat="1">
      <c r="A29487" s="136"/>
      <c r="CM29487" s="111"/>
      <c r="CQ29487" s="111"/>
      <c r="EF29487"/>
      <c r="EG29487"/>
      <c r="EH29487"/>
      <c r="EI29487"/>
      <c r="EJ29487"/>
      <c r="EK29487"/>
    </row>
    <row r="29488" spans="1:141" s="116" customFormat="1">
      <c r="A29488" s="136"/>
      <c r="CM29488" s="111"/>
      <c r="CQ29488" s="111"/>
      <c r="EF29488"/>
      <c r="EG29488"/>
      <c r="EH29488"/>
      <c r="EI29488"/>
      <c r="EJ29488"/>
      <c r="EK29488"/>
    </row>
    <row r="29489" spans="1:141" s="116" customFormat="1">
      <c r="A29489" s="136"/>
      <c r="CM29489" s="111"/>
      <c r="CQ29489" s="111"/>
      <c r="EF29489"/>
      <c r="EG29489"/>
      <c r="EH29489"/>
      <c r="EI29489"/>
      <c r="EJ29489"/>
      <c r="EK29489"/>
    </row>
    <row r="29490" spans="1:141" s="116" customFormat="1">
      <c r="A29490" s="136"/>
      <c r="CM29490" s="111"/>
      <c r="CQ29490" s="111"/>
      <c r="EF29490"/>
      <c r="EG29490"/>
      <c r="EH29490"/>
      <c r="EI29490"/>
      <c r="EJ29490"/>
      <c r="EK29490"/>
    </row>
    <row r="29491" spans="1:141" s="116" customFormat="1">
      <c r="A29491" s="136"/>
      <c r="CM29491" s="111"/>
      <c r="CQ29491" s="111"/>
      <c r="EF29491"/>
      <c r="EG29491"/>
      <c r="EH29491"/>
      <c r="EI29491"/>
      <c r="EJ29491"/>
      <c r="EK29491"/>
    </row>
    <row r="29492" spans="1:141" s="116" customFormat="1">
      <c r="A29492" s="136"/>
      <c r="CM29492" s="111"/>
      <c r="CQ29492" s="111"/>
      <c r="EF29492"/>
      <c r="EG29492"/>
      <c r="EH29492"/>
      <c r="EI29492"/>
      <c r="EJ29492"/>
      <c r="EK29492"/>
    </row>
    <row r="29493" spans="1:141" s="116" customFormat="1">
      <c r="A29493" s="136"/>
      <c r="CM29493" s="111"/>
      <c r="CQ29493" s="111"/>
      <c r="EF29493"/>
      <c r="EG29493"/>
      <c r="EH29493"/>
      <c r="EI29493"/>
      <c r="EJ29493"/>
      <c r="EK29493"/>
    </row>
    <row r="29494" spans="1:141" s="116" customFormat="1">
      <c r="A29494" s="136"/>
      <c r="CM29494" s="111"/>
      <c r="CQ29494" s="111"/>
      <c r="EF29494"/>
      <c r="EG29494"/>
      <c r="EH29494"/>
      <c r="EI29494"/>
      <c r="EJ29494"/>
      <c r="EK29494"/>
    </row>
    <row r="29495" spans="1:141" s="116" customFormat="1">
      <c r="A29495" s="136"/>
      <c r="CM29495" s="111"/>
      <c r="CQ29495" s="111"/>
      <c r="EF29495"/>
      <c r="EG29495"/>
      <c r="EH29495"/>
      <c r="EI29495"/>
      <c r="EJ29495"/>
      <c r="EK29495"/>
    </row>
    <row r="29496" spans="1:141" s="116" customFormat="1">
      <c r="A29496" s="136"/>
      <c r="CM29496" s="111"/>
      <c r="CQ29496" s="111"/>
      <c r="EF29496"/>
      <c r="EG29496"/>
      <c r="EH29496"/>
      <c r="EI29496"/>
      <c r="EJ29496"/>
      <c r="EK29496"/>
    </row>
    <row r="29497" spans="1:141" s="116" customFormat="1">
      <c r="A29497" s="136"/>
      <c r="CM29497" s="111"/>
      <c r="CQ29497" s="111"/>
      <c r="EF29497"/>
      <c r="EG29497"/>
      <c r="EH29497"/>
      <c r="EI29497"/>
      <c r="EJ29497"/>
      <c r="EK29497"/>
    </row>
    <row r="29498" spans="1:141" s="116" customFormat="1">
      <c r="A29498" s="136"/>
      <c r="CM29498" s="111"/>
      <c r="CQ29498" s="111"/>
      <c r="EF29498"/>
      <c r="EG29498"/>
      <c r="EH29498"/>
      <c r="EI29498"/>
      <c r="EJ29498"/>
      <c r="EK29498"/>
    </row>
    <row r="29499" spans="1:141" s="116" customFormat="1">
      <c r="A29499" s="136"/>
      <c r="CM29499" s="111"/>
      <c r="CQ29499" s="111"/>
      <c r="EF29499"/>
      <c r="EG29499"/>
      <c r="EH29499"/>
      <c r="EI29499"/>
      <c r="EJ29499"/>
      <c r="EK29499"/>
    </row>
    <row r="29500" spans="1:141" s="116" customFormat="1">
      <c r="A29500" s="136"/>
      <c r="CM29500" s="111"/>
      <c r="CQ29500" s="111"/>
      <c r="EF29500"/>
      <c r="EG29500"/>
      <c r="EH29500"/>
      <c r="EI29500"/>
      <c r="EJ29500"/>
      <c r="EK29500"/>
    </row>
    <row r="29501" spans="1:141" s="116" customFormat="1">
      <c r="A29501" s="136"/>
      <c r="CM29501" s="111"/>
      <c r="CQ29501" s="111"/>
      <c r="EF29501"/>
      <c r="EG29501"/>
      <c r="EH29501"/>
      <c r="EI29501"/>
      <c r="EJ29501"/>
      <c r="EK29501"/>
    </row>
    <row r="29502" spans="1:141" s="116" customFormat="1">
      <c r="A29502" s="136"/>
      <c r="CM29502" s="111"/>
      <c r="CQ29502" s="111"/>
      <c r="EF29502"/>
      <c r="EG29502"/>
      <c r="EH29502"/>
      <c r="EI29502"/>
      <c r="EJ29502"/>
      <c r="EK29502"/>
    </row>
    <row r="29503" spans="1:141" s="116" customFormat="1">
      <c r="A29503" s="136"/>
      <c r="CM29503" s="111"/>
      <c r="CQ29503" s="111"/>
      <c r="EF29503"/>
      <c r="EG29503"/>
      <c r="EH29503"/>
      <c r="EI29503"/>
      <c r="EJ29503"/>
      <c r="EK29503"/>
    </row>
    <row r="29504" spans="1:141" s="116" customFormat="1">
      <c r="A29504" s="136"/>
      <c r="CM29504" s="111"/>
      <c r="CQ29504" s="111"/>
      <c r="EF29504"/>
      <c r="EG29504"/>
      <c r="EH29504"/>
      <c r="EI29504"/>
      <c r="EJ29504"/>
      <c r="EK29504"/>
    </row>
    <row r="29505" spans="1:141" s="116" customFormat="1">
      <c r="A29505" s="136"/>
      <c r="CM29505" s="111"/>
      <c r="CQ29505" s="111"/>
      <c r="EF29505"/>
      <c r="EG29505"/>
      <c r="EH29505"/>
      <c r="EI29505"/>
      <c r="EJ29505"/>
      <c r="EK29505"/>
    </row>
    <row r="29506" spans="1:141" s="116" customFormat="1">
      <c r="A29506" s="136"/>
      <c r="CM29506" s="111"/>
      <c r="CQ29506" s="111"/>
      <c r="EF29506"/>
      <c r="EG29506"/>
      <c r="EH29506"/>
      <c r="EI29506"/>
      <c r="EJ29506"/>
      <c r="EK29506"/>
    </row>
    <row r="29507" spans="1:141" s="116" customFormat="1">
      <c r="A29507" s="136"/>
      <c r="CM29507" s="111"/>
      <c r="CQ29507" s="111"/>
      <c r="EF29507"/>
      <c r="EG29507"/>
      <c r="EH29507"/>
      <c r="EI29507"/>
      <c r="EJ29507"/>
      <c r="EK29507"/>
    </row>
    <row r="29508" spans="1:141" s="116" customFormat="1">
      <c r="A29508" s="136"/>
      <c r="CM29508" s="111"/>
      <c r="CQ29508" s="111"/>
      <c r="EF29508"/>
      <c r="EG29508"/>
      <c r="EH29508"/>
      <c r="EI29508"/>
      <c r="EJ29508"/>
      <c r="EK29508"/>
    </row>
    <row r="29509" spans="1:141" s="116" customFormat="1">
      <c r="A29509" s="136"/>
      <c r="CM29509" s="111"/>
      <c r="CQ29509" s="111"/>
      <c r="EF29509"/>
      <c r="EG29509"/>
      <c r="EH29509"/>
      <c r="EI29509"/>
      <c r="EJ29509"/>
      <c r="EK29509"/>
    </row>
    <row r="29510" spans="1:141" s="116" customFormat="1">
      <c r="A29510" s="136"/>
      <c r="CM29510" s="111"/>
      <c r="CQ29510" s="111"/>
      <c r="EF29510"/>
      <c r="EG29510"/>
      <c r="EH29510"/>
      <c r="EI29510"/>
      <c r="EJ29510"/>
      <c r="EK29510"/>
    </row>
    <row r="29511" spans="1:141" s="116" customFormat="1">
      <c r="A29511" s="136"/>
      <c r="CM29511" s="111"/>
      <c r="CQ29511" s="111"/>
      <c r="EF29511"/>
      <c r="EG29511"/>
      <c r="EH29511"/>
      <c r="EI29511"/>
      <c r="EJ29511"/>
      <c r="EK29511"/>
    </row>
    <row r="29512" spans="1:141" s="116" customFormat="1">
      <c r="A29512" s="136"/>
      <c r="CM29512" s="111"/>
      <c r="CQ29512" s="111"/>
      <c r="EF29512"/>
      <c r="EG29512"/>
      <c r="EH29512"/>
      <c r="EI29512"/>
      <c r="EJ29512"/>
      <c r="EK29512"/>
    </row>
    <row r="29513" spans="1:141" s="116" customFormat="1">
      <c r="A29513" s="136"/>
      <c r="CM29513" s="111"/>
      <c r="CQ29513" s="111"/>
      <c r="EF29513"/>
      <c r="EG29513"/>
      <c r="EH29513"/>
      <c r="EI29513"/>
      <c r="EJ29513"/>
      <c r="EK29513"/>
    </row>
    <row r="29514" spans="1:141" s="116" customFormat="1">
      <c r="A29514" s="136"/>
      <c r="CM29514" s="111"/>
      <c r="CQ29514" s="111"/>
      <c r="EF29514"/>
      <c r="EG29514"/>
      <c r="EH29514"/>
      <c r="EI29514"/>
      <c r="EJ29514"/>
      <c r="EK29514"/>
    </row>
    <row r="29515" spans="1:141" s="116" customFormat="1">
      <c r="A29515" s="136"/>
      <c r="CM29515" s="111"/>
      <c r="CQ29515" s="111"/>
      <c r="EF29515"/>
      <c r="EG29515"/>
      <c r="EH29515"/>
      <c r="EI29515"/>
      <c r="EJ29515"/>
      <c r="EK29515"/>
    </row>
    <row r="29516" spans="1:141" s="116" customFormat="1">
      <c r="A29516" s="136"/>
      <c r="CM29516" s="111"/>
      <c r="CQ29516" s="111"/>
      <c r="EF29516"/>
      <c r="EG29516"/>
      <c r="EH29516"/>
      <c r="EI29516"/>
      <c r="EJ29516"/>
      <c r="EK29516"/>
    </row>
    <row r="29517" spans="1:141" s="116" customFormat="1">
      <c r="A29517" s="136"/>
      <c r="CM29517" s="111"/>
      <c r="CQ29517" s="111"/>
      <c r="EF29517"/>
      <c r="EG29517"/>
      <c r="EH29517"/>
      <c r="EI29517"/>
      <c r="EJ29517"/>
      <c r="EK29517"/>
    </row>
    <row r="29518" spans="1:141" s="116" customFormat="1">
      <c r="A29518" s="136"/>
      <c r="CM29518" s="111"/>
      <c r="CQ29518" s="111"/>
      <c r="EF29518"/>
      <c r="EG29518"/>
      <c r="EH29518"/>
      <c r="EI29518"/>
      <c r="EJ29518"/>
      <c r="EK29518"/>
    </row>
    <row r="29519" spans="1:141" s="116" customFormat="1">
      <c r="A29519" s="136"/>
      <c r="CM29519" s="111"/>
      <c r="CQ29519" s="111"/>
      <c r="EF29519"/>
      <c r="EG29519"/>
      <c r="EH29519"/>
      <c r="EI29519"/>
      <c r="EJ29519"/>
      <c r="EK29519"/>
    </row>
    <row r="29520" spans="1:141" s="116" customFormat="1">
      <c r="A29520" s="136"/>
      <c r="CM29520" s="111"/>
      <c r="CQ29520" s="111"/>
      <c r="EF29520"/>
      <c r="EG29520"/>
      <c r="EH29520"/>
      <c r="EI29520"/>
      <c r="EJ29520"/>
      <c r="EK29520"/>
    </row>
    <row r="29521" spans="1:141" s="116" customFormat="1">
      <c r="A29521" s="136"/>
      <c r="CM29521" s="111"/>
      <c r="CQ29521" s="111"/>
      <c r="EF29521"/>
      <c r="EG29521"/>
      <c r="EH29521"/>
      <c r="EI29521"/>
      <c r="EJ29521"/>
      <c r="EK29521"/>
    </row>
    <row r="29522" spans="1:141" s="116" customFormat="1">
      <c r="A29522" s="136"/>
      <c r="CM29522" s="111"/>
      <c r="CQ29522" s="111"/>
      <c r="EF29522"/>
      <c r="EG29522"/>
      <c r="EH29522"/>
      <c r="EI29522"/>
      <c r="EJ29522"/>
      <c r="EK29522"/>
    </row>
    <row r="29523" spans="1:141" s="116" customFormat="1">
      <c r="A29523" s="136"/>
      <c r="CM29523" s="111"/>
      <c r="CQ29523" s="111"/>
      <c r="EF29523"/>
      <c r="EG29523"/>
      <c r="EH29523"/>
      <c r="EI29523"/>
      <c r="EJ29523"/>
      <c r="EK29523"/>
    </row>
    <row r="29524" spans="1:141" s="116" customFormat="1">
      <c r="A29524" s="136"/>
      <c r="CM29524" s="111"/>
      <c r="CQ29524" s="111"/>
      <c r="EF29524"/>
      <c r="EG29524"/>
      <c r="EH29524"/>
      <c r="EI29524"/>
      <c r="EJ29524"/>
      <c r="EK29524"/>
    </row>
    <row r="29525" spans="1:141" s="116" customFormat="1">
      <c r="A29525" s="136"/>
      <c r="CM29525" s="111"/>
      <c r="CQ29525" s="111"/>
      <c r="EF29525"/>
      <c r="EG29525"/>
      <c r="EH29525"/>
      <c r="EI29525"/>
      <c r="EJ29525"/>
      <c r="EK29525"/>
    </row>
    <row r="29526" spans="1:141" s="116" customFormat="1">
      <c r="A29526" s="136"/>
      <c r="CM29526" s="111"/>
      <c r="CQ29526" s="111"/>
      <c r="EF29526"/>
      <c r="EG29526"/>
      <c r="EH29526"/>
      <c r="EI29526"/>
      <c r="EJ29526"/>
      <c r="EK29526"/>
    </row>
    <row r="29527" spans="1:141" s="116" customFormat="1">
      <c r="A29527" s="136"/>
      <c r="CM29527" s="111"/>
      <c r="CQ29527" s="111"/>
      <c r="EF29527"/>
      <c r="EG29527"/>
      <c r="EH29527"/>
      <c r="EI29527"/>
      <c r="EJ29527"/>
      <c r="EK29527"/>
    </row>
    <row r="29528" spans="1:141" s="116" customFormat="1">
      <c r="A29528" s="136"/>
      <c r="CM29528" s="111"/>
      <c r="CQ29528" s="111"/>
      <c r="EF29528"/>
      <c r="EG29528"/>
      <c r="EH29528"/>
      <c r="EI29528"/>
      <c r="EJ29528"/>
      <c r="EK29528"/>
    </row>
    <row r="29529" spans="1:141" s="116" customFormat="1">
      <c r="A29529" s="136"/>
      <c r="CM29529" s="111"/>
      <c r="CQ29529" s="111"/>
      <c r="EF29529"/>
      <c r="EG29529"/>
      <c r="EH29529"/>
      <c r="EI29529"/>
      <c r="EJ29529"/>
      <c r="EK29529"/>
    </row>
    <row r="29530" spans="1:141" s="116" customFormat="1">
      <c r="A29530" s="136"/>
      <c r="CM29530" s="111"/>
      <c r="CQ29530" s="111"/>
      <c r="EF29530"/>
      <c r="EG29530"/>
      <c r="EH29530"/>
      <c r="EI29530"/>
      <c r="EJ29530"/>
      <c r="EK29530"/>
    </row>
    <row r="29531" spans="1:141" s="116" customFormat="1">
      <c r="A29531" s="136"/>
      <c r="CM29531" s="111"/>
      <c r="CQ29531" s="111"/>
      <c r="EF29531"/>
      <c r="EG29531"/>
      <c r="EH29531"/>
      <c r="EI29531"/>
      <c r="EJ29531"/>
      <c r="EK29531"/>
    </row>
    <row r="29532" spans="1:141" s="116" customFormat="1">
      <c r="A29532" s="136"/>
      <c r="CM29532" s="111"/>
      <c r="CQ29532" s="111"/>
      <c r="EF29532"/>
      <c r="EG29532"/>
      <c r="EH29532"/>
      <c r="EI29532"/>
      <c r="EJ29532"/>
      <c r="EK29532"/>
    </row>
    <row r="29533" spans="1:141" s="116" customFormat="1">
      <c r="A29533" s="136"/>
      <c r="CM29533" s="111"/>
      <c r="CQ29533" s="111"/>
      <c r="EF29533"/>
      <c r="EG29533"/>
      <c r="EH29533"/>
      <c r="EI29533"/>
      <c r="EJ29533"/>
      <c r="EK29533"/>
    </row>
    <row r="29534" spans="1:141" s="116" customFormat="1">
      <c r="A29534" s="136"/>
      <c r="CM29534" s="111"/>
      <c r="CQ29534" s="111"/>
      <c r="EF29534"/>
      <c r="EG29534"/>
      <c r="EH29534"/>
      <c r="EI29534"/>
      <c r="EJ29534"/>
      <c r="EK29534"/>
    </row>
    <row r="29535" spans="1:141" s="116" customFormat="1">
      <c r="A29535" s="136"/>
      <c r="CM29535" s="111"/>
      <c r="CQ29535" s="111"/>
      <c r="EF29535"/>
      <c r="EG29535"/>
      <c r="EH29535"/>
      <c r="EI29535"/>
      <c r="EJ29535"/>
      <c r="EK29535"/>
    </row>
    <row r="29536" spans="1:141" s="116" customFormat="1">
      <c r="A29536" s="136"/>
      <c r="CM29536" s="111"/>
      <c r="CQ29536" s="111"/>
      <c r="EF29536"/>
      <c r="EG29536"/>
      <c r="EH29536"/>
      <c r="EI29536"/>
      <c r="EJ29536"/>
      <c r="EK29536"/>
    </row>
    <row r="29537" spans="1:141" s="116" customFormat="1">
      <c r="A29537" s="136"/>
      <c r="CM29537" s="111"/>
      <c r="CQ29537" s="111"/>
      <c r="EF29537"/>
      <c r="EG29537"/>
      <c r="EH29537"/>
      <c r="EI29537"/>
      <c r="EJ29537"/>
      <c r="EK29537"/>
    </row>
    <row r="29538" spans="1:141" s="116" customFormat="1">
      <c r="A29538" s="136"/>
      <c r="CM29538" s="111"/>
      <c r="CQ29538" s="111"/>
      <c r="EF29538"/>
      <c r="EG29538"/>
      <c r="EH29538"/>
      <c r="EI29538"/>
      <c r="EJ29538"/>
      <c r="EK29538"/>
    </row>
    <row r="29539" spans="1:141" s="116" customFormat="1">
      <c r="A29539" s="136"/>
      <c r="CM29539" s="111"/>
      <c r="CQ29539" s="111"/>
      <c r="EF29539"/>
      <c r="EG29539"/>
      <c r="EH29539"/>
      <c r="EI29539"/>
      <c r="EJ29539"/>
      <c r="EK29539"/>
    </row>
    <row r="29540" spans="1:141" s="116" customFormat="1">
      <c r="A29540" s="136"/>
      <c r="CM29540" s="111"/>
      <c r="CQ29540" s="111"/>
      <c r="EF29540"/>
      <c r="EG29540"/>
      <c r="EH29540"/>
      <c r="EI29540"/>
      <c r="EJ29540"/>
      <c r="EK29540"/>
    </row>
    <row r="29541" spans="1:141" s="116" customFormat="1">
      <c r="A29541" s="136"/>
      <c r="CM29541" s="111"/>
      <c r="CQ29541" s="111"/>
      <c r="EF29541"/>
      <c r="EG29541"/>
      <c r="EH29541"/>
      <c r="EI29541"/>
      <c r="EJ29541"/>
      <c r="EK29541"/>
    </row>
    <row r="29542" spans="1:141" s="116" customFormat="1">
      <c r="A29542" s="136"/>
      <c r="CM29542" s="111"/>
      <c r="CQ29542" s="111"/>
      <c r="EF29542"/>
      <c r="EG29542"/>
      <c r="EH29542"/>
      <c r="EI29542"/>
      <c r="EJ29542"/>
      <c r="EK29542"/>
    </row>
    <row r="29543" spans="1:141" s="116" customFormat="1">
      <c r="A29543" s="136"/>
      <c r="CM29543" s="111"/>
      <c r="CQ29543" s="111"/>
      <c r="EF29543"/>
      <c r="EG29543"/>
      <c r="EH29543"/>
      <c r="EI29543"/>
      <c r="EJ29543"/>
      <c r="EK29543"/>
    </row>
    <row r="29544" spans="1:141" s="116" customFormat="1">
      <c r="A29544" s="136"/>
      <c r="CM29544" s="111"/>
      <c r="CQ29544" s="111"/>
      <c r="EF29544"/>
      <c r="EG29544"/>
      <c r="EH29544"/>
      <c r="EI29544"/>
      <c r="EJ29544"/>
      <c r="EK29544"/>
    </row>
    <row r="29545" spans="1:141" s="116" customFormat="1">
      <c r="A29545" s="136"/>
      <c r="CM29545" s="111"/>
      <c r="CQ29545" s="111"/>
      <c r="EF29545"/>
      <c r="EG29545"/>
      <c r="EH29545"/>
      <c r="EI29545"/>
      <c r="EJ29545"/>
      <c r="EK29545"/>
    </row>
    <row r="29546" spans="1:141" s="116" customFormat="1">
      <c r="A29546" s="136"/>
      <c r="CM29546" s="111"/>
      <c r="CQ29546" s="111"/>
      <c r="EF29546"/>
      <c r="EG29546"/>
      <c r="EH29546"/>
      <c r="EI29546"/>
      <c r="EJ29546"/>
      <c r="EK29546"/>
    </row>
    <row r="29547" spans="1:141" s="116" customFormat="1">
      <c r="A29547" s="136"/>
      <c r="CM29547" s="111"/>
      <c r="CQ29547" s="111"/>
      <c r="EF29547"/>
      <c r="EG29547"/>
      <c r="EH29547"/>
      <c r="EI29547"/>
      <c r="EJ29547"/>
      <c r="EK29547"/>
    </row>
    <row r="29548" spans="1:141" s="116" customFormat="1">
      <c r="A29548" s="136"/>
      <c r="CM29548" s="111"/>
      <c r="CQ29548" s="111"/>
      <c r="EF29548"/>
      <c r="EG29548"/>
      <c r="EH29548"/>
      <c r="EI29548"/>
      <c r="EJ29548"/>
      <c r="EK29548"/>
    </row>
    <row r="29549" spans="1:141" s="116" customFormat="1">
      <c r="A29549" s="136"/>
      <c r="CM29549" s="111"/>
      <c r="CQ29549" s="111"/>
      <c r="EF29549"/>
      <c r="EG29549"/>
      <c r="EH29549"/>
      <c r="EI29549"/>
      <c r="EJ29549"/>
      <c r="EK29549"/>
    </row>
    <row r="29550" spans="1:141" s="116" customFormat="1">
      <c r="A29550" s="136"/>
      <c r="CM29550" s="111"/>
      <c r="CQ29550" s="111"/>
      <c r="EF29550"/>
      <c r="EG29550"/>
      <c r="EH29550"/>
      <c r="EI29550"/>
      <c r="EJ29550"/>
      <c r="EK29550"/>
    </row>
    <row r="29551" spans="1:141" s="116" customFormat="1">
      <c r="A29551" s="136"/>
      <c r="CM29551" s="111"/>
      <c r="CQ29551" s="111"/>
      <c r="EF29551"/>
      <c r="EG29551"/>
      <c r="EH29551"/>
      <c r="EI29551"/>
      <c r="EJ29551"/>
      <c r="EK29551"/>
    </row>
    <row r="29552" spans="1:141" s="116" customFormat="1">
      <c r="A29552" s="136"/>
      <c r="CM29552" s="111"/>
      <c r="CQ29552" s="111"/>
      <c r="EF29552"/>
      <c r="EG29552"/>
      <c r="EH29552"/>
      <c r="EI29552"/>
      <c r="EJ29552"/>
      <c r="EK29552"/>
    </row>
    <row r="29553" spans="1:141" s="116" customFormat="1">
      <c r="A29553" s="136"/>
      <c r="CM29553" s="111"/>
      <c r="CQ29553" s="111"/>
      <c r="EF29553"/>
      <c r="EG29553"/>
      <c r="EH29553"/>
      <c r="EI29553"/>
      <c r="EJ29553"/>
      <c r="EK29553"/>
    </row>
    <row r="29554" spans="1:141" s="116" customFormat="1">
      <c r="A29554" s="136"/>
      <c r="CM29554" s="111"/>
      <c r="CQ29554" s="111"/>
      <c r="EF29554"/>
      <c r="EG29554"/>
      <c r="EH29554"/>
      <c r="EI29554"/>
      <c r="EJ29554"/>
      <c r="EK29554"/>
    </row>
    <row r="29555" spans="1:141" s="116" customFormat="1">
      <c r="A29555" s="136"/>
      <c r="CM29555" s="111"/>
      <c r="CQ29555" s="111"/>
      <c r="EF29555"/>
      <c r="EG29555"/>
      <c r="EH29555"/>
      <c r="EI29555"/>
      <c r="EJ29555"/>
      <c r="EK29555"/>
    </row>
    <row r="29556" spans="1:141" s="116" customFormat="1">
      <c r="A29556" s="136"/>
      <c r="CM29556" s="111"/>
      <c r="CQ29556" s="111"/>
      <c r="EF29556"/>
      <c r="EG29556"/>
      <c r="EH29556"/>
      <c r="EI29556"/>
      <c r="EJ29556"/>
      <c r="EK29556"/>
    </row>
    <row r="29557" spans="1:141" s="116" customFormat="1">
      <c r="A29557" s="136"/>
      <c r="CM29557" s="111"/>
      <c r="CQ29557" s="111"/>
      <c r="EF29557"/>
      <c r="EG29557"/>
      <c r="EH29557"/>
      <c r="EI29557"/>
      <c r="EJ29557"/>
      <c r="EK29557"/>
    </row>
    <row r="29558" spans="1:141" s="116" customFormat="1">
      <c r="A29558" s="136"/>
      <c r="CM29558" s="111"/>
      <c r="CQ29558" s="111"/>
      <c r="EF29558"/>
      <c r="EG29558"/>
      <c r="EH29558"/>
      <c r="EI29558"/>
      <c r="EJ29558"/>
      <c r="EK29558"/>
    </row>
    <row r="29559" spans="1:141" s="116" customFormat="1">
      <c r="A29559" s="136"/>
      <c r="CM29559" s="111"/>
      <c r="CQ29559" s="111"/>
      <c r="EF29559"/>
      <c r="EG29559"/>
      <c r="EH29559"/>
      <c r="EI29559"/>
      <c r="EJ29559"/>
      <c r="EK29559"/>
    </row>
    <row r="29560" spans="1:141" s="116" customFormat="1">
      <c r="A29560" s="136"/>
      <c r="CM29560" s="111"/>
      <c r="CQ29560" s="111"/>
      <c r="EF29560"/>
      <c r="EG29560"/>
      <c r="EH29560"/>
      <c r="EI29560"/>
      <c r="EJ29560"/>
      <c r="EK29560"/>
    </row>
    <row r="29561" spans="1:141" s="116" customFormat="1">
      <c r="A29561" s="136"/>
      <c r="CM29561" s="111"/>
      <c r="CQ29561" s="111"/>
      <c r="EF29561"/>
      <c r="EG29561"/>
      <c r="EH29561"/>
      <c r="EI29561"/>
      <c r="EJ29561"/>
      <c r="EK29561"/>
    </row>
    <row r="29562" spans="1:141" s="116" customFormat="1">
      <c r="A29562" s="136"/>
      <c r="CM29562" s="111"/>
      <c r="CQ29562" s="111"/>
      <c r="EF29562"/>
      <c r="EG29562"/>
      <c r="EH29562"/>
      <c r="EI29562"/>
      <c r="EJ29562"/>
      <c r="EK29562"/>
    </row>
    <row r="29563" spans="1:141" s="116" customFormat="1">
      <c r="A29563" s="136"/>
      <c r="CM29563" s="111"/>
      <c r="CQ29563" s="111"/>
      <c r="EF29563"/>
      <c r="EG29563"/>
      <c r="EH29563"/>
      <c r="EI29563"/>
      <c r="EJ29563"/>
      <c r="EK29563"/>
    </row>
    <row r="29564" spans="1:141" s="116" customFormat="1">
      <c r="A29564" s="136"/>
      <c r="CM29564" s="111"/>
      <c r="CQ29564" s="111"/>
      <c r="EF29564"/>
      <c r="EG29564"/>
      <c r="EH29564"/>
      <c r="EI29564"/>
      <c r="EJ29564"/>
      <c r="EK29564"/>
    </row>
    <row r="29565" spans="1:141" s="116" customFormat="1">
      <c r="A29565" s="136"/>
      <c r="CM29565" s="111"/>
      <c r="CQ29565" s="111"/>
      <c r="EF29565"/>
      <c r="EG29565"/>
      <c r="EH29565"/>
      <c r="EI29565"/>
      <c r="EJ29565"/>
      <c r="EK29565"/>
    </row>
    <row r="29566" spans="1:141" s="116" customFormat="1">
      <c r="A29566" s="136"/>
      <c r="CM29566" s="111"/>
      <c r="CQ29566" s="111"/>
      <c r="EF29566"/>
      <c r="EG29566"/>
      <c r="EH29566"/>
      <c r="EI29566"/>
      <c r="EJ29566"/>
      <c r="EK29566"/>
    </row>
    <row r="29567" spans="1:141" s="116" customFormat="1">
      <c r="A29567" s="136"/>
      <c r="CM29567" s="111"/>
      <c r="CQ29567" s="111"/>
      <c r="EF29567"/>
      <c r="EG29567"/>
      <c r="EH29567"/>
      <c r="EI29567"/>
      <c r="EJ29567"/>
      <c r="EK29567"/>
    </row>
    <row r="29568" spans="1:141" s="116" customFormat="1">
      <c r="A29568" s="136"/>
      <c r="CM29568" s="111"/>
      <c r="CQ29568" s="111"/>
      <c r="EF29568"/>
      <c r="EG29568"/>
      <c r="EH29568"/>
      <c r="EI29568"/>
      <c r="EJ29568"/>
      <c r="EK29568"/>
    </row>
    <row r="29569" spans="1:141" s="116" customFormat="1">
      <c r="A29569" s="136"/>
      <c r="CM29569" s="111"/>
      <c r="CQ29569" s="111"/>
      <c r="EF29569"/>
      <c r="EG29569"/>
      <c r="EH29569"/>
      <c r="EI29569"/>
      <c r="EJ29569"/>
      <c r="EK29569"/>
    </row>
    <row r="29570" spans="1:141" s="116" customFormat="1">
      <c r="A29570" s="136"/>
      <c r="CM29570" s="111"/>
      <c r="CQ29570" s="111"/>
      <c r="EF29570"/>
      <c r="EG29570"/>
      <c r="EH29570"/>
      <c r="EI29570"/>
      <c r="EJ29570"/>
      <c r="EK29570"/>
    </row>
    <row r="29571" spans="1:141" s="116" customFormat="1">
      <c r="A29571" s="136"/>
      <c r="CM29571" s="111"/>
      <c r="CQ29571" s="111"/>
      <c r="EF29571"/>
      <c r="EG29571"/>
      <c r="EH29571"/>
      <c r="EI29571"/>
      <c r="EJ29571"/>
      <c r="EK29571"/>
    </row>
    <row r="29572" spans="1:141" s="116" customFormat="1">
      <c r="A29572" s="136"/>
      <c r="CM29572" s="111"/>
      <c r="CQ29572" s="111"/>
      <c r="EF29572"/>
      <c r="EG29572"/>
      <c r="EH29572"/>
      <c r="EI29572"/>
      <c r="EJ29572"/>
      <c r="EK29572"/>
    </row>
    <row r="29573" spans="1:141" s="116" customFormat="1">
      <c r="A29573" s="136"/>
      <c r="CM29573" s="111"/>
      <c r="CQ29573" s="111"/>
      <c r="EF29573"/>
      <c r="EG29573"/>
      <c r="EH29573"/>
      <c r="EI29573"/>
      <c r="EJ29573"/>
      <c r="EK29573"/>
    </row>
    <row r="29574" spans="1:141" s="116" customFormat="1">
      <c r="A29574" s="136"/>
      <c r="CM29574" s="111"/>
      <c r="CQ29574" s="111"/>
      <c r="EF29574"/>
      <c r="EG29574"/>
      <c r="EH29574"/>
      <c r="EI29574"/>
      <c r="EJ29574"/>
      <c r="EK29574"/>
    </row>
    <row r="29575" spans="1:141" s="116" customFormat="1">
      <c r="A29575" s="136"/>
      <c r="CM29575" s="111"/>
      <c r="CQ29575" s="111"/>
      <c r="EF29575"/>
      <c r="EG29575"/>
      <c r="EH29575"/>
      <c r="EI29575"/>
      <c r="EJ29575"/>
      <c r="EK29575"/>
    </row>
    <row r="29576" spans="1:141" s="116" customFormat="1">
      <c r="A29576" s="136"/>
      <c r="CM29576" s="111"/>
      <c r="CQ29576" s="111"/>
      <c r="EF29576"/>
      <c r="EG29576"/>
      <c r="EH29576"/>
      <c r="EI29576"/>
      <c r="EJ29576"/>
      <c r="EK29576"/>
    </row>
    <row r="29577" spans="1:141" s="116" customFormat="1">
      <c r="A29577" s="136"/>
      <c r="CM29577" s="111"/>
      <c r="CQ29577" s="111"/>
      <c r="EF29577"/>
      <c r="EG29577"/>
      <c r="EH29577"/>
      <c r="EI29577"/>
      <c r="EJ29577"/>
      <c r="EK29577"/>
    </row>
    <row r="29578" spans="1:141" s="116" customFormat="1">
      <c r="A29578" s="136"/>
      <c r="CM29578" s="111"/>
      <c r="CQ29578" s="111"/>
      <c r="EF29578"/>
      <c r="EG29578"/>
      <c r="EH29578"/>
      <c r="EI29578"/>
      <c r="EJ29578"/>
      <c r="EK29578"/>
    </row>
    <row r="29579" spans="1:141" s="116" customFormat="1">
      <c r="A29579" s="136"/>
      <c r="CM29579" s="111"/>
      <c r="CQ29579" s="111"/>
      <c r="EF29579"/>
      <c r="EG29579"/>
      <c r="EH29579"/>
      <c r="EI29579"/>
      <c r="EJ29579"/>
      <c r="EK29579"/>
    </row>
    <row r="29580" spans="1:141" s="116" customFormat="1">
      <c r="A29580" s="136"/>
      <c r="CM29580" s="111"/>
      <c r="CQ29580" s="111"/>
      <c r="EF29580"/>
      <c r="EG29580"/>
      <c r="EH29580"/>
      <c r="EI29580"/>
      <c r="EJ29580"/>
      <c r="EK29580"/>
    </row>
    <row r="29581" spans="1:141" s="116" customFormat="1">
      <c r="A29581" s="136"/>
      <c r="CM29581" s="111"/>
      <c r="CQ29581" s="111"/>
      <c r="EF29581"/>
      <c r="EG29581"/>
      <c r="EH29581"/>
      <c r="EI29581"/>
      <c r="EJ29581"/>
      <c r="EK29581"/>
    </row>
    <row r="29582" spans="1:141" s="116" customFormat="1">
      <c r="A29582" s="136"/>
      <c r="CM29582" s="111"/>
      <c r="CQ29582" s="111"/>
      <c r="EF29582"/>
      <c r="EG29582"/>
      <c r="EH29582"/>
      <c r="EI29582"/>
      <c r="EJ29582"/>
      <c r="EK29582"/>
    </row>
    <row r="29583" spans="1:141" s="116" customFormat="1">
      <c r="A29583" s="136"/>
      <c r="CM29583" s="111"/>
      <c r="CQ29583" s="111"/>
      <c r="EF29583"/>
      <c r="EG29583"/>
      <c r="EH29583"/>
      <c r="EI29583"/>
      <c r="EJ29583"/>
      <c r="EK29583"/>
    </row>
    <row r="29584" spans="1:141" s="116" customFormat="1">
      <c r="A29584" s="136"/>
      <c r="CM29584" s="111"/>
      <c r="CQ29584" s="111"/>
      <c r="EF29584"/>
      <c r="EG29584"/>
      <c r="EH29584"/>
      <c r="EI29584"/>
      <c r="EJ29584"/>
      <c r="EK29584"/>
    </row>
    <row r="29585" spans="1:141" s="116" customFormat="1">
      <c r="A29585" s="136"/>
      <c r="CM29585" s="111"/>
      <c r="CQ29585" s="111"/>
      <c r="EF29585"/>
      <c r="EG29585"/>
      <c r="EH29585"/>
      <c r="EI29585"/>
      <c r="EJ29585"/>
      <c r="EK29585"/>
    </row>
    <row r="29586" spans="1:141" s="116" customFormat="1">
      <c r="A29586" s="136"/>
      <c r="CM29586" s="111"/>
      <c r="CQ29586" s="111"/>
      <c r="EF29586"/>
      <c r="EG29586"/>
      <c r="EH29586"/>
      <c r="EI29586"/>
      <c r="EJ29586"/>
      <c r="EK29586"/>
    </row>
    <row r="29587" spans="1:141" s="116" customFormat="1">
      <c r="A29587" s="136"/>
      <c r="CM29587" s="111"/>
      <c r="CQ29587" s="111"/>
      <c r="EF29587"/>
      <c r="EG29587"/>
      <c r="EH29587"/>
      <c r="EI29587"/>
      <c r="EJ29587"/>
      <c r="EK29587"/>
    </row>
    <row r="29588" spans="1:141" s="116" customFormat="1">
      <c r="A29588" s="136"/>
      <c r="CM29588" s="111"/>
      <c r="CQ29588" s="111"/>
      <c r="EF29588"/>
      <c r="EG29588"/>
      <c r="EH29588"/>
      <c r="EI29588"/>
      <c r="EJ29588"/>
      <c r="EK29588"/>
    </row>
    <row r="29589" spans="1:141" s="116" customFormat="1">
      <c r="A29589" s="136"/>
      <c r="CM29589" s="111"/>
      <c r="CQ29589" s="111"/>
      <c r="EF29589"/>
      <c r="EG29589"/>
      <c r="EH29589"/>
      <c r="EI29589"/>
      <c r="EJ29589"/>
      <c r="EK29589"/>
    </row>
    <row r="29590" spans="1:141" s="116" customFormat="1">
      <c r="A29590" s="136"/>
      <c r="CM29590" s="111"/>
      <c r="CQ29590" s="111"/>
      <c r="EF29590"/>
      <c r="EG29590"/>
      <c r="EH29590"/>
      <c r="EI29590"/>
      <c r="EJ29590"/>
      <c r="EK29590"/>
    </row>
    <row r="29591" spans="1:141" s="116" customFormat="1">
      <c r="A29591" s="136"/>
      <c r="CM29591" s="111"/>
      <c r="CQ29591" s="111"/>
      <c r="EF29591"/>
      <c r="EG29591"/>
      <c r="EH29591"/>
      <c r="EI29591"/>
      <c r="EJ29591"/>
      <c r="EK29591"/>
    </row>
    <row r="29592" spans="1:141" s="116" customFormat="1">
      <c r="A29592" s="136"/>
      <c r="CM29592" s="111"/>
      <c r="CQ29592" s="111"/>
      <c r="EF29592"/>
      <c r="EG29592"/>
      <c r="EH29592"/>
      <c r="EI29592"/>
      <c r="EJ29592"/>
      <c r="EK29592"/>
    </row>
    <row r="29593" spans="1:141" s="116" customFormat="1">
      <c r="A29593" s="136"/>
      <c r="CM29593" s="111"/>
      <c r="CQ29593" s="111"/>
      <c r="EF29593"/>
      <c r="EG29593"/>
      <c r="EH29593"/>
      <c r="EI29593"/>
      <c r="EJ29593"/>
      <c r="EK29593"/>
    </row>
    <row r="29594" spans="1:141" s="116" customFormat="1">
      <c r="A29594" s="136"/>
      <c r="CM29594" s="111"/>
      <c r="CQ29594" s="111"/>
      <c r="EF29594"/>
      <c r="EG29594"/>
      <c r="EH29594"/>
      <c r="EI29594"/>
      <c r="EJ29594"/>
      <c r="EK29594"/>
    </row>
    <row r="29595" spans="1:141" s="116" customFormat="1">
      <c r="A29595" s="136"/>
      <c r="CM29595" s="111"/>
      <c r="CQ29595" s="111"/>
      <c r="EF29595"/>
      <c r="EG29595"/>
      <c r="EH29595"/>
      <c r="EI29595"/>
      <c r="EJ29595"/>
      <c r="EK29595"/>
    </row>
    <row r="29596" spans="1:141" s="116" customFormat="1">
      <c r="A29596" s="136"/>
      <c r="CM29596" s="111"/>
      <c r="CQ29596" s="111"/>
      <c r="EF29596"/>
      <c r="EG29596"/>
      <c r="EH29596"/>
      <c r="EI29596"/>
      <c r="EJ29596"/>
      <c r="EK29596"/>
    </row>
    <row r="29597" spans="1:141" s="116" customFormat="1">
      <c r="A29597" s="136"/>
      <c r="CM29597" s="111"/>
      <c r="CQ29597" s="111"/>
      <c r="EF29597"/>
      <c r="EG29597"/>
      <c r="EH29597"/>
      <c r="EI29597"/>
      <c r="EJ29597"/>
      <c r="EK29597"/>
    </row>
    <row r="29598" spans="1:141" s="116" customFormat="1">
      <c r="A29598" s="136"/>
      <c r="CM29598" s="111"/>
      <c r="CQ29598" s="111"/>
      <c r="EF29598"/>
      <c r="EG29598"/>
      <c r="EH29598"/>
      <c r="EI29598"/>
      <c r="EJ29598"/>
      <c r="EK29598"/>
    </row>
    <row r="29599" spans="1:141" s="116" customFormat="1">
      <c r="A29599" s="136"/>
      <c r="CM29599" s="111"/>
      <c r="CQ29599" s="111"/>
      <c r="EF29599"/>
      <c r="EG29599"/>
      <c r="EH29599"/>
      <c r="EI29599"/>
      <c r="EJ29599"/>
      <c r="EK29599"/>
    </row>
    <row r="29600" spans="1:141" s="116" customFormat="1">
      <c r="A29600" s="136"/>
      <c r="CM29600" s="111"/>
      <c r="CQ29600" s="111"/>
      <c r="EF29600"/>
      <c r="EG29600"/>
      <c r="EH29600"/>
      <c r="EI29600"/>
      <c r="EJ29600"/>
      <c r="EK29600"/>
    </row>
    <row r="29601" spans="1:141" s="116" customFormat="1">
      <c r="A29601" s="136"/>
      <c r="CM29601" s="111"/>
      <c r="CQ29601" s="111"/>
      <c r="EF29601"/>
      <c r="EG29601"/>
      <c r="EH29601"/>
      <c r="EI29601"/>
      <c r="EJ29601"/>
      <c r="EK29601"/>
    </row>
    <row r="29602" spans="1:141" s="116" customFormat="1">
      <c r="A29602" s="136"/>
      <c r="CM29602" s="111"/>
      <c r="CQ29602" s="111"/>
      <c r="EF29602"/>
      <c r="EG29602"/>
      <c r="EH29602"/>
      <c r="EI29602"/>
      <c r="EJ29602"/>
      <c r="EK29602"/>
    </row>
    <row r="29603" spans="1:141" s="116" customFormat="1">
      <c r="A29603" s="136"/>
      <c r="CM29603" s="111"/>
      <c r="CQ29603" s="111"/>
      <c r="EF29603"/>
      <c r="EG29603"/>
      <c r="EH29603"/>
      <c r="EI29603"/>
      <c r="EJ29603"/>
      <c r="EK29603"/>
    </row>
    <row r="29604" spans="1:141" s="116" customFormat="1">
      <c r="A29604" s="136"/>
      <c r="CM29604" s="111"/>
      <c r="CQ29604" s="111"/>
      <c r="EF29604"/>
      <c r="EG29604"/>
      <c r="EH29604"/>
      <c r="EI29604"/>
      <c r="EJ29604"/>
      <c r="EK29604"/>
    </row>
    <row r="29605" spans="1:141" s="116" customFormat="1">
      <c r="A29605" s="136"/>
      <c r="CM29605" s="111"/>
      <c r="CQ29605" s="111"/>
      <c r="EF29605"/>
      <c r="EG29605"/>
      <c r="EH29605"/>
      <c r="EI29605"/>
      <c r="EJ29605"/>
      <c r="EK29605"/>
    </row>
    <row r="29606" spans="1:141" s="116" customFormat="1">
      <c r="A29606" s="136"/>
      <c r="CM29606" s="111"/>
      <c r="CQ29606" s="111"/>
      <c r="EF29606"/>
      <c r="EG29606"/>
      <c r="EH29606"/>
      <c r="EI29606"/>
      <c r="EJ29606"/>
      <c r="EK29606"/>
    </row>
    <row r="29607" spans="1:141" s="116" customFormat="1">
      <c r="A29607" s="136"/>
      <c r="CM29607" s="111"/>
      <c r="CQ29607" s="111"/>
      <c r="EF29607"/>
      <c r="EG29607"/>
      <c r="EH29607"/>
      <c r="EI29607"/>
      <c r="EJ29607"/>
      <c r="EK29607"/>
    </row>
    <row r="29608" spans="1:141" s="116" customFormat="1">
      <c r="A29608" s="136"/>
      <c r="CM29608" s="111"/>
      <c r="CQ29608" s="111"/>
      <c r="EF29608"/>
      <c r="EG29608"/>
      <c r="EH29608"/>
      <c r="EI29608"/>
      <c r="EJ29608"/>
      <c r="EK29608"/>
    </row>
    <row r="29609" spans="1:141" s="116" customFormat="1">
      <c r="A29609" s="136"/>
      <c r="CM29609" s="111"/>
      <c r="CQ29609" s="111"/>
      <c r="EF29609"/>
      <c r="EG29609"/>
      <c r="EH29609"/>
      <c r="EI29609"/>
      <c r="EJ29609"/>
      <c r="EK29609"/>
    </row>
    <row r="29610" spans="1:141" s="116" customFormat="1">
      <c r="A29610" s="136"/>
      <c r="CM29610" s="111"/>
      <c r="CQ29610" s="111"/>
      <c r="EF29610"/>
      <c r="EG29610"/>
      <c r="EH29610"/>
      <c r="EI29610"/>
      <c r="EJ29610"/>
      <c r="EK29610"/>
    </row>
    <row r="29611" spans="1:141" s="116" customFormat="1">
      <c r="A29611" s="136"/>
      <c r="CM29611" s="111"/>
      <c r="CQ29611" s="111"/>
      <c r="EF29611"/>
      <c r="EG29611"/>
      <c r="EH29611"/>
      <c r="EI29611"/>
      <c r="EJ29611"/>
      <c r="EK29611"/>
    </row>
    <row r="29612" spans="1:141" s="116" customFormat="1">
      <c r="A29612" s="136"/>
      <c r="CM29612" s="111"/>
      <c r="CQ29612" s="111"/>
      <c r="EF29612"/>
      <c r="EG29612"/>
      <c r="EH29612"/>
      <c r="EI29612"/>
      <c r="EJ29612"/>
      <c r="EK29612"/>
    </row>
    <row r="29613" spans="1:141" s="116" customFormat="1">
      <c r="A29613" s="136"/>
      <c r="CM29613" s="111"/>
      <c r="CQ29613" s="111"/>
      <c r="EF29613"/>
      <c r="EG29613"/>
      <c r="EH29613"/>
      <c r="EI29613"/>
      <c r="EJ29613"/>
      <c r="EK29613"/>
    </row>
    <row r="29614" spans="1:141" s="116" customFormat="1">
      <c r="A29614" s="136"/>
      <c r="CM29614" s="111"/>
      <c r="CQ29614" s="111"/>
      <c r="EF29614"/>
      <c r="EG29614"/>
      <c r="EH29614"/>
      <c r="EI29614"/>
      <c r="EJ29614"/>
      <c r="EK29614"/>
    </row>
    <row r="29615" spans="1:141" s="116" customFormat="1">
      <c r="A29615" s="136"/>
      <c r="CM29615" s="111"/>
      <c r="CQ29615" s="111"/>
      <c r="EF29615"/>
      <c r="EG29615"/>
      <c r="EH29615"/>
      <c r="EI29615"/>
      <c r="EJ29615"/>
      <c r="EK29615"/>
    </row>
    <row r="29616" spans="1:141" s="116" customFormat="1">
      <c r="A29616" s="136"/>
      <c r="CM29616" s="111"/>
      <c r="CQ29616" s="111"/>
      <c r="EF29616"/>
      <c r="EG29616"/>
      <c r="EH29616"/>
      <c r="EI29616"/>
      <c r="EJ29616"/>
      <c r="EK29616"/>
    </row>
    <row r="29617" spans="1:141" s="116" customFormat="1">
      <c r="A29617" s="136"/>
      <c r="CM29617" s="111"/>
      <c r="CQ29617" s="111"/>
      <c r="EF29617"/>
      <c r="EG29617"/>
      <c r="EH29617"/>
      <c r="EI29617"/>
      <c r="EJ29617"/>
      <c r="EK29617"/>
    </row>
    <row r="29618" spans="1:141" s="116" customFormat="1">
      <c r="A29618" s="136"/>
      <c r="CM29618" s="111"/>
      <c r="CQ29618" s="111"/>
      <c r="EF29618"/>
      <c r="EG29618"/>
      <c r="EH29618"/>
      <c r="EI29618"/>
      <c r="EJ29618"/>
      <c r="EK29618"/>
    </row>
    <row r="29619" spans="1:141" s="116" customFormat="1">
      <c r="A29619" s="136"/>
      <c r="CM29619" s="111"/>
      <c r="CQ29619" s="111"/>
      <c r="EF29619"/>
      <c r="EG29619"/>
      <c r="EH29619"/>
      <c r="EI29619"/>
      <c r="EJ29619"/>
      <c r="EK29619"/>
    </row>
    <row r="29620" spans="1:141" s="116" customFormat="1">
      <c r="A29620" s="136"/>
      <c r="CM29620" s="111"/>
      <c r="CQ29620" s="111"/>
      <c r="EF29620"/>
      <c r="EG29620"/>
      <c r="EH29620"/>
      <c r="EI29620"/>
      <c r="EJ29620"/>
      <c r="EK29620"/>
    </row>
    <row r="29621" spans="1:141" s="116" customFormat="1">
      <c r="A29621" s="136"/>
      <c r="CM29621" s="111"/>
      <c r="CQ29621" s="111"/>
      <c r="EF29621"/>
      <c r="EG29621"/>
      <c r="EH29621"/>
      <c r="EI29621"/>
      <c r="EJ29621"/>
      <c r="EK29621"/>
    </row>
    <row r="29622" spans="1:141" s="116" customFormat="1">
      <c r="A29622" s="136"/>
      <c r="CM29622" s="111"/>
      <c r="CQ29622" s="111"/>
      <c r="EF29622"/>
      <c r="EG29622"/>
      <c r="EH29622"/>
      <c r="EI29622"/>
      <c r="EJ29622"/>
      <c r="EK29622"/>
    </row>
    <row r="29623" spans="1:141" s="116" customFormat="1">
      <c r="A29623" s="136"/>
      <c r="CM29623" s="111"/>
      <c r="CQ29623" s="111"/>
      <c r="EF29623"/>
      <c r="EG29623"/>
      <c r="EH29623"/>
      <c r="EI29623"/>
      <c r="EJ29623"/>
      <c r="EK29623"/>
    </row>
    <row r="29624" spans="1:141" s="116" customFormat="1">
      <c r="A29624" s="136"/>
      <c r="CM29624" s="111"/>
      <c r="CQ29624" s="111"/>
      <c r="EF29624"/>
      <c r="EG29624"/>
      <c r="EH29624"/>
      <c r="EI29624"/>
      <c r="EJ29624"/>
      <c r="EK29624"/>
    </row>
    <row r="29625" spans="1:141" s="116" customFormat="1">
      <c r="A29625" s="136"/>
      <c r="CM29625" s="111"/>
      <c r="CQ29625" s="111"/>
      <c r="EF29625"/>
      <c r="EG29625"/>
      <c r="EH29625"/>
      <c r="EI29625"/>
      <c r="EJ29625"/>
      <c r="EK29625"/>
    </row>
    <row r="29626" spans="1:141" s="116" customFormat="1">
      <c r="A29626" s="136"/>
      <c r="CM29626" s="111"/>
      <c r="CQ29626" s="111"/>
      <c r="EF29626"/>
      <c r="EG29626"/>
      <c r="EH29626"/>
      <c r="EI29626"/>
      <c r="EJ29626"/>
      <c r="EK29626"/>
    </row>
    <row r="29627" spans="1:141" s="116" customFormat="1">
      <c r="A29627" s="136"/>
      <c r="CM29627" s="111"/>
      <c r="CQ29627" s="111"/>
      <c r="EF29627"/>
      <c r="EG29627"/>
      <c r="EH29627"/>
      <c r="EI29627"/>
      <c r="EJ29627"/>
      <c r="EK29627"/>
    </row>
    <row r="29628" spans="1:141" s="116" customFormat="1">
      <c r="A29628" s="136"/>
      <c r="CM29628" s="111"/>
      <c r="CQ29628" s="111"/>
      <c r="EF29628"/>
      <c r="EG29628"/>
      <c r="EH29628"/>
      <c r="EI29628"/>
      <c r="EJ29628"/>
      <c r="EK29628"/>
    </row>
    <row r="29629" spans="1:141" s="116" customFormat="1">
      <c r="A29629" s="136"/>
      <c r="CM29629" s="111"/>
      <c r="CQ29629" s="111"/>
      <c r="EF29629"/>
      <c r="EG29629"/>
      <c r="EH29629"/>
      <c r="EI29629"/>
      <c r="EJ29629"/>
      <c r="EK29629"/>
    </row>
    <row r="29630" spans="1:141" s="116" customFormat="1">
      <c r="A29630" s="136"/>
      <c r="CM29630" s="111"/>
      <c r="CQ29630" s="111"/>
      <c r="EF29630"/>
      <c r="EG29630"/>
      <c r="EH29630"/>
      <c r="EI29630"/>
      <c r="EJ29630"/>
      <c r="EK29630"/>
    </row>
    <row r="29631" spans="1:141" s="116" customFormat="1">
      <c r="A29631" s="136"/>
      <c r="CM29631" s="111"/>
      <c r="CQ29631" s="111"/>
      <c r="EF29631"/>
      <c r="EG29631"/>
      <c r="EH29631"/>
      <c r="EI29631"/>
      <c r="EJ29631"/>
      <c r="EK29631"/>
    </row>
    <row r="29632" spans="1:141" s="116" customFormat="1">
      <c r="A29632" s="136"/>
      <c r="CM29632" s="111"/>
      <c r="CQ29632" s="111"/>
      <c r="EF29632"/>
      <c r="EG29632"/>
      <c r="EH29632"/>
      <c r="EI29632"/>
      <c r="EJ29632"/>
      <c r="EK29632"/>
    </row>
    <row r="29633" spans="1:141" s="116" customFormat="1">
      <c r="A29633" s="136"/>
      <c r="CM29633" s="111"/>
      <c r="CQ29633" s="111"/>
      <c r="EF29633"/>
      <c r="EG29633"/>
      <c r="EH29633"/>
      <c r="EI29633"/>
      <c r="EJ29633"/>
      <c r="EK29633"/>
    </row>
    <row r="29634" spans="1:141" s="116" customFormat="1">
      <c r="A29634" s="136"/>
      <c r="CM29634" s="111"/>
      <c r="CQ29634" s="111"/>
      <c r="EF29634"/>
      <c r="EG29634"/>
      <c r="EH29634"/>
      <c r="EI29634"/>
      <c r="EJ29634"/>
      <c r="EK29634"/>
    </row>
    <row r="29635" spans="1:141" s="116" customFormat="1">
      <c r="A29635" s="136"/>
      <c r="CM29635" s="111"/>
      <c r="CQ29635" s="111"/>
      <c r="EF29635"/>
      <c r="EG29635"/>
      <c r="EH29635"/>
      <c r="EI29635"/>
      <c r="EJ29635"/>
      <c r="EK29635"/>
    </row>
    <row r="29636" spans="1:141" s="116" customFormat="1">
      <c r="A29636" s="136"/>
      <c r="CM29636" s="111"/>
      <c r="CQ29636" s="111"/>
      <c r="EF29636"/>
      <c r="EG29636"/>
      <c r="EH29636"/>
      <c r="EI29636"/>
      <c r="EJ29636"/>
      <c r="EK29636"/>
    </row>
    <row r="29637" spans="1:141" s="116" customFormat="1">
      <c r="A29637" s="136"/>
      <c r="CM29637" s="111"/>
      <c r="CQ29637" s="111"/>
      <c r="EF29637"/>
      <c r="EG29637"/>
      <c r="EH29637"/>
      <c r="EI29637"/>
      <c r="EJ29637"/>
      <c r="EK29637"/>
    </row>
    <row r="29638" spans="1:141" s="116" customFormat="1">
      <c r="A29638" s="136"/>
      <c r="CM29638" s="111"/>
      <c r="CQ29638" s="111"/>
      <c r="EF29638"/>
      <c r="EG29638"/>
      <c r="EH29638"/>
      <c r="EI29638"/>
      <c r="EJ29638"/>
      <c r="EK29638"/>
    </row>
    <row r="29639" spans="1:141" s="116" customFormat="1">
      <c r="A29639" s="136"/>
      <c r="CM29639" s="111"/>
      <c r="CQ29639" s="111"/>
      <c r="EF29639"/>
      <c r="EG29639"/>
      <c r="EH29639"/>
      <c r="EI29639"/>
      <c r="EJ29639"/>
      <c r="EK29639"/>
    </row>
    <row r="29640" spans="1:141" s="116" customFormat="1">
      <c r="A29640" s="136"/>
      <c r="CM29640" s="111"/>
      <c r="CQ29640" s="111"/>
      <c r="EF29640"/>
      <c r="EG29640"/>
      <c r="EH29640"/>
      <c r="EI29640"/>
      <c r="EJ29640"/>
      <c r="EK29640"/>
    </row>
    <row r="29641" spans="1:141" s="116" customFormat="1">
      <c r="A29641" s="136"/>
      <c r="CM29641" s="111"/>
      <c r="CQ29641" s="111"/>
      <c r="EF29641"/>
      <c r="EG29641"/>
      <c r="EH29641"/>
      <c r="EI29641"/>
      <c r="EJ29641"/>
      <c r="EK29641"/>
    </row>
    <row r="29642" spans="1:141" s="116" customFormat="1">
      <c r="A29642" s="136"/>
      <c r="CM29642" s="111"/>
      <c r="CQ29642" s="111"/>
      <c r="EF29642"/>
      <c r="EG29642"/>
      <c r="EH29642"/>
      <c r="EI29642"/>
      <c r="EJ29642"/>
      <c r="EK29642"/>
    </row>
    <row r="29643" spans="1:141" s="116" customFormat="1">
      <c r="A29643" s="136"/>
      <c r="CM29643" s="111"/>
      <c r="CQ29643" s="111"/>
      <c r="EF29643"/>
      <c r="EG29643"/>
      <c r="EH29643"/>
      <c r="EI29643"/>
      <c r="EJ29643"/>
      <c r="EK29643"/>
    </row>
    <row r="29644" spans="1:141" s="116" customFormat="1">
      <c r="A29644" s="136"/>
      <c r="CM29644" s="111"/>
      <c r="CQ29644" s="111"/>
      <c r="EF29644"/>
      <c r="EG29644"/>
      <c r="EH29644"/>
      <c r="EI29644"/>
      <c r="EJ29644"/>
      <c r="EK29644"/>
    </row>
    <row r="29645" spans="1:141" s="116" customFormat="1">
      <c r="A29645" s="136"/>
      <c r="CM29645" s="111"/>
      <c r="CQ29645" s="111"/>
      <c r="EF29645"/>
      <c r="EG29645"/>
      <c r="EH29645"/>
      <c r="EI29645"/>
      <c r="EJ29645"/>
      <c r="EK29645"/>
    </row>
    <row r="29646" spans="1:141" s="116" customFormat="1">
      <c r="A29646" s="136"/>
      <c r="CM29646" s="111"/>
      <c r="CQ29646" s="111"/>
      <c r="EF29646"/>
      <c r="EG29646"/>
      <c r="EH29646"/>
      <c r="EI29646"/>
      <c r="EJ29646"/>
      <c r="EK29646"/>
    </row>
    <row r="29647" spans="1:141" s="116" customFormat="1">
      <c r="A29647" s="136"/>
      <c r="CM29647" s="111"/>
      <c r="CQ29647" s="111"/>
      <c r="EF29647"/>
      <c r="EG29647"/>
      <c r="EH29647"/>
      <c r="EI29647"/>
      <c r="EJ29647"/>
      <c r="EK29647"/>
    </row>
    <row r="29648" spans="1:141" s="116" customFormat="1">
      <c r="A29648" s="136"/>
      <c r="CM29648" s="111"/>
      <c r="CQ29648" s="111"/>
      <c r="EF29648"/>
      <c r="EG29648"/>
      <c r="EH29648"/>
      <c r="EI29648"/>
      <c r="EJ29648"/>
      <c r="EK29648"/>
    </row>
    <row r="29649" spans="1:141" s="116" customFormat="1">
      <c r="A29649" s="136"/>
      <c r="CM29649" s="111"/>
      <c r="CQ29649" s="111"/>
      <c r="EF29649"/>
      <c r="EG29649"/>
      <c r="EH29649"/>
      <c r="EI29649"/>
      <c r="EJ29649"/>
      <c r="EK29649"/>
    </row>
    <row r="29650" spans="1:141" s="116" customFormat="1">
      <c r="A29650" s="136"/>
      <c r="CM29650" s="111"/>
      <c r="CQ29650" s="111"/>
      <c r="EF29650"/>
      <c r="EG29650"/>
      <c r="EH29650"/>
      <c r="EI29650"/>
      <c r="EJ29650"/>
      <c r="EK29650"/>
    </row>
    <row r="29651" spans="1:141" s="116" customFormat="1">
      <c r="A29651" s="136"/>
      <c r="CM29651" s="111"/>
      <c r="CQ29651" s="111"/>
      <c r="EF29651"/>
      <c r="EG29651"/>
      <c r="EH29651"/>
      <c r="EI29651"/>
      <c r="EJ29651"/>
      <c r="EK29651"/>
    </row>
    <row r="29652" spans="1:141" s="116" customFormat="1">
      <c r="A29652" s="136"/>
      <c r="CM29652" s="111"/>
      <c r="CQ29652" s="111"/>
      <c r="EF29652"/>
      <c r="EG29652"/>
      <c r="EH29652"/>
      <c r="EI29652"/>
      <c r="EJ29652"/>
      <c r="EK29652"/>
    </row>
    <row r="29653" spans="1:141" s="116" customFormat="1">
      <c r="A29653" s="136"/>
      <c r="CM29653" s="111"/>
      <c r="CQ29653" s="111"/>
      <c r="EF29653"/>
      <c r="EG29653"/>
      <c r="EH29653"/>
      <c r="EI29653"/>
      <c r="EJ29653"/>
      <c r="EK29653"/>
    </row>
    <row r="29654" spans="1:141" s="116" customFormat="1">
      <c r="A29654" s="136"/>
      <c r="CM29654" s="111"/>
      <c r="CQ29654" s="111"/>
      <c r="EF29654"/>
      <c r="EG29654"/>
      <c r="EH29654"/>
      <c r="EI29654"/>
      <c r="EJ29654"/>
      <c r="EK29654"/>
    </row>
    <row r="29655" spans="1:141" s="116" customFormat="1">
      <c r="A29655" s="136"/>
      <c r="CM29655" s="111"/>
      <c r="CQ29655" s="111"/>
      <c r="EF29655"/>
      <c r="EG29655"/>
      <c r="EH29655"/>
      <c r="EI29655"/>
      <c r="EJ29655"/>
      <c r="EK29655"/>
    </row>
    <row r="29656" spans="1:141" s="116" customFormat="1">
      <c r="A29656" s="136"/>
      <c r="CM29656" s="111"/>
      <c r="CQ29656" s="111"/>
      <c r="EF29656"/>
      <c r="EG29656"/>
      <c r="EH29656"/>
      <c r="EI29656"/>
      <c r="EJ29656"/>
      <c r="EK29656"/>
    </row>
    <row r="29657" spans="1:141" s="116" customFormat="1">
      <c r="A29657" s="136"/>
      <c r="CM29657" s="111"/>
      <c r="CQ29657" s="111"/>
      <c r="EF29657"/>
      <c r="EG29657"/>
      <c r="EH29657"/>
      <c r="EI29657"/>
      <c r="EJ29657"/>
      <c r="EK29657"/>
    </row>
    <row r="29658" spans="1:141" s="116" customFormat="1">
      <c r="A29658" s="136"/>
      <c r="CM29658" s="111"/>
      <c r="CQ29658" s="111"/>
      <c r="EF29658"/>
      <c r="EG29658"/>
      <c r="EH29658"/>
      <c r="EI29658"/>
      <c r="EJ29658"/>
      <c r="EK29658"/>
    </row>
    <row r="29659" spans="1:141" s="116" customFormat="1">
      <c r="A29659" s="136"/>
      <c r="CM29659" s="111"/>
      <c r="CQ29659" s="111"/>
      <c r="EF29659"/>
      <c r="EG29659"/>
      <c r="EH29659"/>
      <c r="EI29659"/>
      <c r="EJ29659"/>
      <c r="EK29659"/>
    </row>
    <row r="29660" spans="1:141" s="116" customFormat="1">
      <c r="A29660" s="136"/>
      <c r="CM29660" s="111"/>
      <c r="CQ29660" s="111"/>
      <c r="EF29660"/>
      <c r="EG29660"/>
      <c r="EH29660"/>
      <c r="EI29660"/>
      <c r="EJ29660"/>
      <c r="EK29660"/>
    </row>
    <row r="29661" spans="1:141" s="116" customFormat="1">
      <c r="A29661" s="136"/>
      <c r="CM29661" s="111"/>
      <c r="CQ29661" s="111"/>
      <c r="EF29661"/>
      <c r="EG29661"/>
      <c r="EH29661"/>
      <c r="EI29661"/>
      <c r="EJ29661"/>
      <c r="EK29661"/>
    </row>
    <row r="29662" spans="1:141" s="116" customFormat="1">
      <c r="A29662" s="136"/>
      <c r="CM29662" s="111"/>
      <c r="CQ29662" s="111"/>
      <c r="EF29662"/>
      <c r="EG29662"/>
      <c r="EH29662"/>
      <c r="EI29662"/>
      <c r="EJ29662"/>
      <c r="EK29662"/>
    </row>
    <row r="29663" spans="1:141" s="116" customFormat="1">
      <c r="A29663" s="136"/>
      <c r="CM29663" s="111"/>
      <c r="CQ29663" s="111"/>
      <c r="EF29663"/>
      <c r="EG29663"/>
      <c r="EH29663"/>
      <c r="EI29663"/>
      <c r="EJ29663"/>
      <c r="EK29663"/>
    </row>
    <row r="29664" spans="1:141" s="116" customFormat="1">
      <c r="A29664" s="136"/>
      <c r="CM29664" s="111"/>
      <c r="CQ29664" s="111"/>
      <c r="EF29664"/>
      <c r="EG29664"/>
      <c r="EH29664"/>
      <c r="EI29664"/>
      <c r="EJ29664"/>
      <c r="EK29664"/>
    </row>
    <row r="29665" spans="1:141" s="116" customFormat="1">
      <c r="A29665" s="136"/>
      <c r="CM29665" s="111"/>
      <c r="CQ29665" s="111"/>
      <c r="EF29665"/>
      <c r="EG29665"/>
      <c r="EH29665"/>
      <c r="EI29665"/>
      <c r="EJ29665"/>
      <c r="EK29665"/>
    </row>
    <row r="29666" spans="1:141" s="116" customFormat="1">
      <c r="A29666" s="136"/>
      <c r="CM29666" s="111"/>
      <c r="CQ29666" s="111"/>
      <c r="EF29666"/>
      <c r="EG29666"/>
      <c r="EH29666"/>
      <c r="EI29666"/>
      <c r="EJ29666"/>
      <c r="EK29666"/>
    </row>
    <row r="29667" spans="1:141" s="116" customFormat="1">
      <c r="A29667" s="136"/>
      <c r="CM29667" s="111"/>
      <c r="CQ29667" s="111"/>
      <c r="EF29667"/>
      <c r="EG29667"/>
      <c r="EH29667"/>
      <c r="EI29667"/>
      <c r="EJ29667"/>
      <c r="EK29667"/>
    </row>
    <row r="29668" spans="1:141" s="116" customFormat="1">
      <c r="A29668" s="136"/>
      <c r="CM29668" s="111"/>
      <c r="CQ29668" s="111"/>
      <c r="EF29668"/>
      <c r="EG29668"/>
      <c r="EH29668"/>
      <c r="EI29668"/>
      <c r="EJ29668"/>
      <c r="EK29668"/>
    </row>
    <row r="29669" spans="1:141" s="116" customFormat="1">
      <c r="A29669" s="136"/>
      <c r="CM29669" s="111"/>
      <c r="CQ29669" s="111"/>
      <c r="EF29669"/>
      <c r="EG29669"/>
      <c r="EH29669"/>
      <c r="EI29669"/>
      <c r="EJ29669"/>
      <c r="EK29669"/>
    </row>
    <row r="29670" spans="1:141" s="116" customFormat="1">
      <c r="A29670" s="136"/>
      <c r="CM29670" s="111"/>
      <c r="CQ29670" s="111"/>
      <c r="EF29670"/>
      <c r="EG29670"/>
      <c r="EH29670"/>
      <c r="EI29670"/>
      <c r="EJ29670"/>
      <c r="EK29670"/>
    </row>
    <row r="29671" spans="1:141" s="116" customFormat="1">
      <c r="A29671" s="136"/>
      <c r="CM29671" s="111"/>
      <c r="CQ29671" s="111"/>
      <c r="EF29671"/>
      <c r="EG29671"/>
      <c r="EH29671"/>
      <c r="EI29671"/>
      <c r="EJ29671"/>
      <c r="EK29671"/>
    </row>
    <row r="29672" spans="1:141" s="116" customFormat="1">
      <c r="A29672" s="136"/>
      <c r="CM29672" s="111"/>
      <c r="CQ29672" s="111"/>
      <c r="EF29672"/>
      <c r="EG29672"/>
      <c r="EH29672"/>
      <c r="EI29672"/>
      <c r="EJ29672"/>
      <c r="EK29672"/>
    </row>
    <row r="29673" spans="1:141" s="116" customFormat="1">
      <c r="A29673" s="136"/>
      <c r="CM29673" s="111"/>
      <c r="CQ29673" s="111"/>
      <c r="EF29673"/>
      <c r="EG29673"/>
      <c r="EH29673"/>
      <c r="EI29673"/>
      <c r="EJ29673"/>
      <c r="EK29673"/>
    </row>
    <row r="29674" spans="1:141" s="116" customFormat="1">
      <c r="A29674" s="136"/>
      <c r="CM29674" s="111"/>
      <c r="CQ29674" s="111"/>
      <c r="EF29674"/>
      <c r="EG29674"/>
      <c r="EH29674"/>
      <c r="EI29674"/>
      <c r="EJ29674"/>
      <c r="EK29674"/>
    </row>
    <row r="29675" spans="1:141" s="116" customFormat="1">
      <c r="A29675" s="136"/>
      <c r="CM29675" s="111"/>
      <c r="CQ29675" s="111"/>
      <c r="EF29675"/>
      <c r="EG29675"/>
      <c r="EH29675"/>
      <c r="EI29675"/>
      <c r="EJ29675"/>
      <c r="EK29675"/>
    </row>
    <row r="29676" spans="1:141" s="116" customFormat="1">
      <c r="A29676" s="136"/>
      <c r="CM29676" s="111"/>
      <c r="CQ29676" s="111"/>
      <c r="EF29676"/>
      <c r="EG29676"/>
      <c r="EH29676"/>
      <c r="EI29676"/>
      <c r="EJ29676"/>
      <c r="EK29676"/>
    </row>
    <row r="29677" spans="1:141" s="116" customFormat="1">
      <c r="A29677" s="136"/>
      <c r="CM29677" s="111"/>
      <c r="CQ29677" s="111"/>
      <c r="EF29677"/>
      <c r="EG29677"/>
      <c r="EH29677"/>
      <c r="EI29677"/>
      <c r="EJ29677"/>
      <c r="EK29677"/>
    </row>
    <row r="29678" spans="1:141" s="116" customFormat="1">
      <c r="A29678" s="136"/>
      <c r="CM29678" s="111"/>
      <c r="CQ29678" s="111"/>
      <c r="EF29678"/>
      <c r="EG29678"/>
      <c r="EH29678"/>
      <c r="EI29678"/>
      <c r="EJ29678"/>
      <c r="EK29678"/>
    </row>
    <row r="29679" spans="1:141" s="116" customFormat="1">
      <c r="A29679" s="136"/>
      <c r="CM29679" s="111"/>
      <c r="CQ29679" s="111"/>
      <c r="EF29679"/>
      <c r="EG29679"/>
      <c r="EH29679"/>
      <c r="EI29679"/>
      <c r="EJ29679"/>
      <c r="EK29679"/>
    </row>
    <row r="29680" spans="1:141" s="116" customFormat="1">
      <c r="A29680" s="136"/>
      <c r="CM29680" s="111"/>
      <c r="CQ29680" s="111"/>
      <c r="EF29680"/>
      <c r="EG29680"/>
      <c r="EH29680"/>
      <c r="EI29680"/>
      <c r="EJ29680"/>
      <c r="EK29680"/>
    </row>
    <row r="29681" spans="1:141" s="116" customFormat="1">
      <c r="A29681" s="136"/>
      <c r="CM29681" s="111"/>
      <c r="CQ29681" s="111"/>
      <c r="EF29681"/>
      <c r="EG29681"/>
      <c r="EH29681"/>
      <c r="EI29681"/>
      <c r="EJ29681"/>
      <c r="EK29681"/>
    </row>
    <row r="29682" spans="1:141" s="116" customFormat="1">
      <c r="A29682" s="136"/>
      <c r="CM29682" s="111"/>
      <c r="CQ29682" s="111"/>
      <c r="EF29682"/>
      <c r="EG29682"/>
      <c r="EH29682"/>
      <c r="EI29682"/>
      <c r="EJ29682"/>
      <c r="EK29682"/>
    </row>
    <row r="29683" spans="1:141" s="116" customFormat="1">
      <c r="A29683" s="136"/>
      <c r="CM29683" s="111"/>
      <c r="CQ29683" s="111"/>
      <c r="EF29683"/>
      <c r="EG29683"/>
      <c r="EH29683"/>
      <c r="EI29683"/>
      <c r="EJ29683"/>
      <c r="EK29683"/>
    </row>
    <row r="29684" spans="1:141" s="116" customFormat="1">
      <c r="A29684" s="136"/>
      <c r="CM29684" s="111"/>
      <c r="CQ29684" s="111"/>
      <c r="EF29684"/>
      <c r="EG29684"/>
      <c r="EH29684"/>
      <c r="EI29684"/>
      <c r="EJ29684"/>
      <c r="EK29684"/>
    </row>
    <row r="29685" spans="1:141" s="116" customFormat="1">
      <c r="A29685" s="136"/>
      <c r="CM29685" s="111"/>
      <c r="CQ29685" s="111"/>
      <c r="EF29685"/>
      <c r="EG29685"/>
      <c r="EH29685"/>
      <c r="EI29685"/>
      <c r="EJ29685"/>
      <c r="EK29685"/>
    </row>
    <row r="29686" spans="1:141" s="116" customFormat="1">
      <c r="A29686" s="136"/>
      <c r="CM29686" s="111"/>
      <c r="CQ29686" s="111"/>
      <c r="EF29686"/>
      <c r="EG29686"/>
      <c r="EH29686"/>
      <c r="EI29686"/>
      <c r="EJ29686"/>
      <c r="EK29686"/>
    </row>
    <row r="29687" spans="1:141" s="116" customFormat="1">
      <c r="A29687" s="136"/>
      <c r="CM29687" s="111"/>
      <c r="CQ29687" s="111"/>
      <c r="EF29687"/>
      <c r="EG29687"/>
      <c r="EH29687"/>
      <c r="EI29687"/>
      <c r="EJ29687"/>
      <c r="EK29687"/>
    </row>
    <row r="29688" spans="1:141" s="116" customFormat="1">
      <c r="A29688" s="136"/>
      <c r="CM29688" s="111"/>
      <c r="CQ29688" s="111"/>
      <c r="EF29688"/>
      <c r="EG29688"/>
      <c r="EH29688"/>
      <c r="EI29688"/>
      <c r="EJ29688"/>
      <c r="EK29688"/>
    </row>
    <row r="29689" spans="1:141" s="116" customFormat="1">
      <c r="A29689" s="136"/>
      <c r="CM29689" s="111"/>
      <c r="CQ29689" s="111"/>
      <c r="EF29689"/>
      <c r="EG29689"/>
      <c r="EH29689"/>
      <c r="EI29689"/>
      <c r="EJ29689"/>
      <c r="EK29689"/>
    </row>
    <row r="29690" spans="1:141" s="116" customFormat="1">
      <c r="A29690" s="136"/>
      <c r="CM29690" s="111"/>
      <c r="CQ29690" s="111"/>
      <c r="EF29690"/>
      <c r="EG29690"/>
      <c r="EH29690"/>
      <c r="EI29690"/>
      <c r="EJ29690"/>
      <c r="EK29690"/>
    </row>
    <row r="29691" spans="1:141" s="116" customFormat="1">
      <c r="A29691" s="136"/>
      <c r="CM29691" s="111"/>
      <c r="CQ29691" s="111"/>
      <c r="EF29691"/>
      <c r="EG29691"/>
      <c r="EH29691"/>
      <c r="EI29691"/>
      <c r="EJ29691"/>
      <c r="EK29691"/>
    </row>
    <row r="29692" spans="1:141" s="116" customFormat="1">
      <c r="A29692" s="136"/>
      <c r="CM29692" s="111"/>
      <c r="CQ29692" s="111"/>
      <c r="EF29692"/>
      <c r="EG29692"/>
      <c r="EH29692"/>
      <c r="EI29692"/>
      <c r="EJ29692"/>
      <c r="EK29692"/>
    </row>
    <row r="29693" spans="1:141" s="116" customFormat="1">
      <c r="A29693" s="136"/>
      <c r="CM29693" s="111"/>
      <c r="CQ29693" s="111"/>
      <c r="EF29693"/>
      <c r="EG29693"/>
      <c r="EH29693"/>
      <c r="EI29693"/>
      <c r="EJ29693"/>
      <c r="EK29693"/>
    </row>
    <row r="29694" spans="1:141" s="116" customFormat="1">
      <c r="A29694" s="136"/>
      <c r="CM29694" s="111"/>
      <c r="CQ29694" s="111"/>
      <c r="EF29694"/>
      <c r="EG29694"/>
      <c r="EH29694"/>
      <c r="EI29694"/>
      <c r="EJ29694"/>
      <c r="EK29694"/>
    </row>
    <row r="29695" spans="1:141" s="116" customFormat="1">
      <c r="A29695" s="136"/>
      <c r="CM29695" s="111"/>
      <c r="CQ29695" s="111"/>
      <c r="EF29695"/>
      <c r="EG29695"/>
      <c r="EH29695"/>
      <c r="EI29695"/>
      <c r="EJ29695"/>
      <c r="EK29695"/>
    </row>
    <row r="29696" spans="1:141" s="116" customFormat="1">
      <c r="A29696" s="136"/>
      <c r="CM29696" s="111"/>
      <c r="CQ29696" s="111"/>
      <c r="EF29696"/>
      <c r="EG29696"/>
      <c r="EH29696"/>
      <c r="EI29696"/>
      <c r="EJ29696"/>
      <c r="EK29696"/>
    </row>
    <row r="29697" spans="1:141" s="116" customFormat="1">
      <c r="A29697" s="136"/>
      <c r="CM29697" s="111"/>
      <c r="CQ29697" s="111"/>
      <c r="EF29697"/>
      <c r="EG29697"/>
      <c r="EH29697"/>
      <c r="EI29697"/>
      <c r="EJ29697"/>
      <c r="EK29697"/>
    </row>
    <row r="29698" spans="1:141" s="116" customFormat="1">
      <c r="A29698" s="136"/>
      <c r="CM29698" s="111"/>
      <c r="CQ29698" s="111"/>
      <c r="EF29698"/>
      <c r="EG29698"/>
      <c r="EH29698"/>
      <c r="EI29698"/>
      <c r="EJ29698"/>
      <c r="EK29698"/>
    </row>
    <row r="29699" spans="1:141" s="116" customFormat="1">
      <c r="A29699" s="136"/>
      <c r="CM29699" s="111"/>
      <c r="CQ29699" s="111"/>
      <c r="EF29699"/>
      <c r="EG29699"/>
      <c r="EH29699"/>
      <c r="EI29699"/>
      <c r="EJ29699"/>
      <c r="EK29699"/>
    </row>
    <row r="29700" spans="1:141" s="116" customFormat="1">
      <c r="A29700" s="136"/>
      <c r="CM29700" s="111"/>
      <c r="CQ29700" s="111"/>
      <c r="EF29700"/>
      <c r="EG29700"/>
      <c r="EH29700"/>
      <c r="EI29700"/>
      <c r="EJ29700"/>
      <c r="EK29700"/>
    </row>
    <row r="29701" spans="1:141" s="116" customFormat="1">
      <c r="A29701" s="136"/>
      <c r="CM29701" s="111"/>
      <c r="CQ29701" s="111"/>
      <c r="EF29701"/>
      <c r="EG29701"/>
      <c r="EH29701"/>
      <c r="EI29701"/>
      <c r="EJ29701"/>
      <c r="EK29701"/>
    </row>
    <row r="29702" spans="1:141" s="116" customFormat="1">
      <c r="A29702" s="136"/>
      <c r="CM29702" s="111"/>
      <c r="CQ29702" s="111"/>
      <c r="EF29702"/>
      <c r="EG29702"/>
      <c r="EH29702"/>
      <c r="EI29702"/>
      <c r="EJ29702"/>
      <c r="EK29702"/>
    </row>
    <row r="29703" spans="1:141" s="116" customFormat="1">
      <c r="A29703" s="136"/>
      <c r="CM29703" s="111"/>
      <c r="CQ29703" s="111"/>
      <c r="EF29703"/>
      <c r="EG29703"/>
      <c r="EH29703"/>
      <c r="EI29703"/>
      <c r="EJ29703"/>
      <c r="EK29703"/>
    </row>
    <row r="29704" spans="1:141" s="116" customFormat="1">
      <c r="A29704" s="136"/>
      <c r="CM29704" s="111"/>
      <c r="CQ29704" s="111"/>
      <c r="EF29704"/>
      <c r="EG29704"/>
      <c r="EH29704"/>
      <c r="EI29704"/>
      <c r="EJ29704"/>
      <c r="EK29704"/>
    </row>
    <row r="29705" spans="1:141" s="116" customFormat="1">
      <c r="A29705" s="136"/>
      <c r="CM29705" s="111"/>
      <c r="CQ29705" s="111"/>
      <c r="EF29705"/>
      <c r="EG29705"/>
      <c r="EH29705"/>
      <c r="EI29705"/>
      <c r="EJ29705"/>
      <c r="EK29705"/>
    </row>
    <row r="29706" spans="1:141" s="116" customFormat="1">
      <c r="A29706" s="136"/>
      <c r="CM29706" s="111"/>
      <c r="CQ29706" s="111"/>
      <c r="EF29706"/>
      <c r="EG29706"/>
      <c r="EH29706"/>
      <c r="EI29706"/>
      <c r="EJ29706"/>
      <c r="EK29706"/>
    </row>
    <row r="29707" spans="1:141" s="116" customFormat="1">
      <c r="A29707" s="136"/>
      <c r="CM29707" s="111"/>
      <c r="CQ29707" s="111"/>
      <c r="EF29707"/>
      <c r="EG29707"/>
      <c r="EH29707"/>
      <c r="EI29707"/>
      <c r="EJ29707"/>
      <c r="EK29707"/>
    </row>
    <row r="29708" spans="1:141" s="116" customFormat="1">
      <c r="A29708" s="136"/>
      <c r="CM29708" s="111"/>
      <c r="CQ29708" s="111"/>
      <c r="EF29708"/>
      <c r="EG29708"/>
      <c r="EH29708"/>
      <c r="EI29708"/>
      <c r="EJ29708"/>
      <c r="EK29708"/>
    </row>
    <row r="29709" spans="1:141" s="116" customFormat="1">
      <c r="A29709" s="136"/>
      <c r="CM29709" s="111"/>
      <c r="CQ29709" s="111"/>
      <c r="EF29709"/>
      <c r="EG29709"/>
      <c r="EH29709"/>
      <c r="EI29709"/>
      <c r="EJ29709"/>
      <c r="EK29709"/>
    </row>
    <row r="29710" spans="1:141" s="116" customFormat="1">
      <c r="A29710" s="136"/>
      <c r="CM29710" s="111"/>
      <c r="CQ29710" s="111"/>
      <c r="EF29710"/>
      <c r="EG29710"/>
      <c r="EH29710"/>
      <c r="EI29710"/>
      <c r="EJ29710"/>
      <c r="EK29710"/>
    </row>
    <row r="29711" spans="1:141" s="116" customFormat="1">
      <c r="A29711" s="136"/>
      <c r="CM29711" s="111"/>
      <c r="CQ29711" s="111"/>
      <c r="EF29711"/>
      <c r="EG29711"/>
      <c r="EH29711"/>
      <c r="EI29711"/>
      <c r="EJ29711"/>
      <c r="EK29711"/>
    </row>
    <row r="29712" spans="1:141" s="116" customFormat="1">
      <c r="A29712" s="136"/>
      <c r="CM29712" s="111"/>
      <c r="CQ29712" s="111"/>
      <c r="EF29712"/>
      <c r="EG29712"/>
      <c r="EH29712"/>
      <c r="EI29712"/>
      <c r="EJ29712"/>
      <c r="EK29712"/>
    </row>
    <row r="29713" spans="1:141" s="116" customFormat="1">
      <c r="A29713" s="136"/>
      <c r="CM29713" s="111"/>
      <c r="CQ29713" s="111"/>
      <c r="EF29713"/>
      <c r="EG29713"/>
      <c r="EH29713"/>
      <c r="EI29713"/>
      <c r="EJ29713"/>
      <c r="EK29713"/>
    </row>
    <row r="29714" spans="1:141" s="116" customFormat="1">
      <c r="A29714" s="136"/>
      <c r="CM29714" s="111"/>
      <c r="CQ29714" s="111"/>
      <c r="EF29714"/>
      <c r="EG29714"/>
      <c r="EH29714"/>
      <c r="EI29714"/>
      <c r="EJ29714"/>
      <c r="EK29714"/>
    </row>
    <row r="29715" spans="1:141" s="116" customFormat="1">
      <c r="A29715" s="136"/>
      <c r="CM29715" s="111"/>
      <c r="CQ29715" s="111"/>
      <c r="EF29715"/>
      <c r="EG29715"/>
      <c r="EH29715"/>
      <c r="EI29715"/>
      <c r="EJ29715"/>
      <c r="EK29715"/>
    </row>
    <row r="29716" spans="1:141" s="116" customFormat="1">
      <c r="A29716" s="136"/>
      <c r="CM29716" s="111"/>
      <c r="CQ29716" s="111"/>
      <c r="EF29716"/>
      <c r="EG29716"/>
      <c r="EH29716"/>
      <c r="EI29716"/>
      <c r="EJ29716"/>
      <c r="EK29716"/>
    </row>
    <row r="29717" spans="1:141" s="116" customFormat="1">
      <c r="A29717" s="136"/>
      <c r="CM29717" s="111"/>
      <c r="CQ29717" s="111"/>
      <c r="EF29717"/>
      <c r="EG29717"/>
      <c r="EH29717"/>
      <c r="EI29717"/>
      <c r="EJ29717"/>
      <c r="EK29717"/>
    </row>
    <row r="29718" spans="1:141" s="116" customFormat="1">
      <c r="A29718" s="136"/>
      <c r="CM29718" s="111"/>
      <c r="CQ29718" s="111"/>
      <c r="EF29718"/>
      <c r="EG29718"/>
      <c r="EH29718"/>
      <c r="EI29718"/>
      <c r="EJ29718"/>
      <c r="EK29718"/>
    </row>
    <row r="29719" spans="1:141" s="116" customFormat="1">
      <c r="A29719" s="136"/>
      <c r="CM29719" s="111"/>
      <c r="CQ29719" s="111"/>
      <c r="EF29719"/>
      <c r="EG29719"/>
      <c r="EH29719"/>
      <c r="EI29719"/>
      <c r="EJ29719"/>
      <c r="EK29719"/>
    </row>
    <row r="29720" spans="1:141" s="116" customFormat="1">
      <c r="A29720" s="136"/>
      <c r="CM29720" s="111"/>
      <c r="CQ29720" s="111"/>
      <c r="EF29720"/>
      <c r="EG29720"/>
      <c r="EH29720"/>
      <c r="EI29720"/>
      <c r="EJ29720"/>
      <c r="EK29720"/>
    </row>
    <row r="29721" spans="1:141" s="116" customFormat="1">
      <c r="A29721" s="136"/>
      <c r="CM29721" s="111"/>
      <c r="CQ29721" s="111"/>
      <c r="EF29721"/>
      <c r="EG29721"/>
      <c r="EH29721"/>
      <c r="EI29721"/>
      <c r="EJ29721"/>
      <c r="EK29721"/>
    </row>
    <row r="29722" spans="1:141" s="116" customFormat="1">
      <c r="A29722" s="136"/>
      <c r="CM29722" s="111"/>
      <c r="CQ29722" s="111"/>
      <c r="EF29722"/>
      <c r="EG29722"/>
      <c r="EH29722"/>
      <c r="EI29722"/>
      <c r="EJ29722"/>
      <c r="EK29722"/>
    </row>
    <row r="29723" spans="1:141" s="116" customFormat="1">
      <c r="A29723" s="136"/>
      <c r="CM29723" s="111"/>
      <c r="CQ29723" s="111"/>
      <c r="EF29723"/>
      <c r="EG29723"/>
      <c r="EH29723"/>
      <c r="EI29723"/>
      <c r="EJ29723"/>
      <c r="EK29723"/>
    </row>
    <row r="29724" spans="1:141" s="116" customFormat="1">
      <c r="A29724" s="136"/>
      <c r="CM29724" s="111"/>
      <c r="CQ29724" s="111"/>
      <c r="EF29724"/>
      <c r="EG29724"/>
      <c r="EH29724"/>
      <c r="EI29724"/>
      <c r="EJ29724"/>
      <c r="EK29724"/>
    </row>
    <row r="29725" spans="1:141" s="116" customFormat="1">
      <c r="A29725" s="136"/>
      <c r="CM29725" s="111"/>
      <c r="CQ29725" s="111"/>
      <c r="EF29725"/>
      <c r="EG29725"/>
      <c r="EH29725"/>
      <c r="EI29725"/>
      <c r="EJ29725"/>
      <c r="EK29725"/>
    </row>
    <row r="29726" spans="1:141" s="116" customFormat="1">
      <c r="A29726" s="136"/>
      <c r="CM29726" s="111"/>
      <c r="CQ29726" s="111"/>
      <c r="EF29726"/>
      <c r="EG29726"/>
      <c r="EH29726"/>
      <c r="EI29726"/>
      <c r="EJ29726"/>
      <c r="EK29726"/>
    </row>
    <row r="29727" spans="1:141" s="116" customFormat="1">
      <c r="A29727" s="136"/>
      <c r="CM29727" s="111"/>
      <c r="CQ29727" s="111"/>
      <c r="EF29727"/>
      <c r="EG29727"/>
      <c r="EH29727"/>
      <c r="EI29727"/>
      <c r="EJ29727"/>
      <c r="EK29727"/>
    </row>
    <row r="29728" spans="1:141" s="116" customFormat="1">
      <c r="A29728" s="136"/>
      <c r="CM29728" s="111"/>
      <c r="CQ29728" s="111"/>
      <c r="EF29728"/>
      <c r="EG29728"/>
      <c r="EH29728"/>
      <c r="EI29728"/>
      <c r="EJ29728"/>
      <c r="EK29728"/>
    </row>
    <row r="29729" spans="1:141" s="116" customFormat="1">
      <c r="A29729" s="136"/>
      <c r="CM29729" s="111"/>
      <c r="CQ29729" s="111"/>
      <c r="EF29729"/>
      <c r="EG29729"/>
      <c r="EH29729"/>
      <c r="EI29729"/>
      <c r="EJ29729"/>
      <c r="EK29729"/>
    </row>
    <row r="29730" spans="1:141" s="116" customFormat="1">
      <c r="A29730" s="136"/>
      <c r="CM29730" s="111"/>
      <c r="CQ29730" s="111"/>
      <c r="EF29730"/>
      <c r="EG29730"/>
      <c r="EH29730"/>
      <c r="EI29730"/>
      <c r="EJ29730"/>
      <c r="EK29730"/>
    </row>
    <row r="29731" spans="1:141" s="116" customFormat="1">
      <c r="A29731" s="136"/>
      <c r="CM29731" s="111"/>
      <c r="CQ29731" s="111"/>
      <c r="EF29731"/>
      <c r="EG29731"/>
      <c r="EH29731"/>
      <c r="EI29731"/>
      <c r="EJ29731"/>
      <c r="EK29731"/>
    </row>
    <row r="29732" spans="1:141" s="116" customFormat="1">
      <c r="A29732" s="136"/>
      <c r="CM29732" s="111"/>
      <c r="CQ29732" s="111"/>
      <c r="EF29732"/>
      <c r="EG29732"/>
      <c r="EH29732"/>
      <c r="EI29732"/>
      <c r="EJ29732"/>
      <c r="EK29732"/>
    </row>
    <row r="29733" spans="1:141" s="116" customFormat="1">
      <c r="A29733" s="136"/>
      <c r="CM29733" s="111"/>
      <c r="CQ29733" s="111"/>
      <c r="EF29733"/>
      <c r="EG29733"/>
      <c r="EH29733"/>
      <c r="EI29733"/>
      <c r="EJ29733"/>
      <c r="EK29733"/>
    </row>
    <row r="29734" spans="1:141" s="116" customFormat="1">
      <c r="A29734" s="136"/>
      <c r="CM29734" s="111"/>
      <c r="CQ29734" s="111"/>
      <c r="EF29734"/>
      <c r="EG29734"/>
      <c r="EH29734"/>
      <c r="EI29734"/>
      <c r="EJ29734"/>
      <c r="EK29734"/>
    </row>
    <row r="29735" spans="1:141" s="116" customFormat="1">
      <c r="A29735" s="136"/>
      <c r="CM29735" s="111"/>
      <c r="CQ29735" s="111"/>
      <c r="EF29735"/>
      <c r="EG29735"/>
      <c r="EH29735"/>
      <c r="EI29735"/>
      <c r="EJ29735"/>
      <c r="EK29735"/>
    </row>
    <row r="29736" spans="1:141" s="116" customFormat="1">
      <c r="A29736" s="136"/>
      <c r="CM29736" s="111"/>
      <c r="CQ29736" s="111"/>
      <c r="EF29736"/>
      <c r="EG29736"/>
      <c r="EH29736"/>
      <c r="EI29736"/>
      <c r="EJ29736"/>
      <c r="EK29736"/>
    </row>
    <row r="29737" spans="1:141" s="116" customFormat="1">
      <c r="A29737" s="136"/>
      <c r="CM29737" s="111"/>
      <c r="CQ29737" s="111"/>
      <c r="EF29737"/>
      <c r="EG29737"/>
      <c r="EH29737"/>
      <c r="EI29737"/>
      <c r="EJ29737"/>
      <c r="EK29737"/>
    </row>
    <row r="29738" spans="1:141" s="116" customFormat="1">
      <c r="A29738" s="136"/>
      <c r="CM29738" s="111"/>
      <c r="CQ29738" s="111"/>
      <c r="EF29738"/>
      <c r="EG29738"/>
      <c r="EH29738"/>
      <c r="EI29738"/>
      <c r="EJ29738"/>
      <c r="EK29738"/>
    </row>
    <row r="29739" spans="1:141" s="116" customFormat="1">
      <c r="A29739" s="136"/>
      <c r="CM29739" s="111"/>
      <c r="CQ29739" s="111"/>
      <c r="EF29739"/>
      <c r="EG29739"/>
      <c r="EH29739"/>
      <c r="EI29739"/>
      <c r="EJ29739"/>
      <c r="EK29739"/>
    </row>
    <row r="29740" spans="1:141" s="116" customFormat="1">
      <c r="A29740" s="136"/>
      <c r="CM29740" s="111"/>
      <c r="CQ29740" s="111"/>
      <c r="EF29740"/>
      <c r="EG29740"/>
      <c r="EH29740"/>
      <c r="EI29740"/>
      <c r="EJ29740"/>
      <c r="EK29740"/>
    </row>
    <row r="29741" spans="1:141" s="116" customFormat="1">
      <c r="A29741" s="136"/>
      <c r="CM29741" s="111"/>
      <c r="CQ29741" s="111"/>
      <c r="EF29741"/>
      <c r="EG29741"/>
      <c r="EH29741"/>
      <c r="EI29741"/>
      <c r="EJ29741"/>
      <c r="EK29741"/>
    </row>
    <row r="29742" spans="1:141" s="116" customFormat="1">
      <c r="A29742" s="136"/>
      <c r="CM29742" s="111"/>
      <c r="CQ29742" s="111"/>
      <c r="EF29742"/>
      <c r="EG29742"/>
      <c r="EH29742"/>
      <c r="EI29742"/>
      <c r="EJ29742"/>
      <c r="EK29742"/>
    </row>
    <row r="29743" spans="1:141" s="116" customFormat="1">
      <c r="A29743" s="136"/>
      <c r="CM29743" s="111"/>
      <c r="CQ29743" s="111"/>
      <c r="EF29743"/>
      <c r="EG29743"/>
      <c r="EH29743"/>
      <c r="EI29743"/>
      <c r="EJ29743"/>
      <c r="EK29743"/>
    </row>
    <row r="29744" spans="1:141" s="116" customFormat="1">
      <c r="A29744" s="136"/>
      <c r="CM29744" s="111"/>
      <c r="CQ29744" s="111"/>
      <c r="EF29744"/>
      <c r="EG29744"/>
      <c r="EH29744"/>
      <c r="EI29744"/>
      <c r="EJ29744"/>
      <c r="EK29744"/>
    </row>
    <row r="29745" spans="1:141" s="116" customFormat="1">
      <c r="A29745" s="136"/>
      <c r="CM29745" s="111"/>
      <c r="CQ29745" s="111"/>
      <c r="EF29745"/>
      <c r="EG29745"/>
      <c r="EH29745"/>
      <c r="EI29745"/>
      <c r="EJ29745"/>
      <c r="EK29745"/>
    </row>
    <row r="29746" spans="1:141" s="116" customFormat="1">
      <c r="A29746" s="136"/>
      <c r="CM29746" s="111"/>
      <c r="CQ29746" s="111"/>
      <c r="EF29746"/>
      <c r="EG29746"/>
      <c r="EH29746"/>
      <c r="EI29746"/>
      <c r="EJ29746"/>
      <c r="EK29746"/>
    </row>
    <row r="29747" spans="1:141" s="116" customFormat="1">
      <c r="A29747" s="136"/>
      <c r="CM29747" s="111"/>
      <c r="CQ29747" s="111"/>
      <c r="EF29747"/>
      <c r="EG29747"/>
      <c r="EH29747"/>
      <c r="EI29747"/>
      <c r="EJ29747"/>
      <c r="EK29747"/>
    </row>
    <row r="29748" spans="1:141" s="116" customFormat="1">
      <c r="A29748" s="136"/>
      <c r="CM29748" s="111"/>
      <c r="CQ29748" s="111"/>
      <c r="EF29748"/>
      <c r="EG29748"/>
      <c r="EH29748"/>
      <c r="EI29748"/>
      <c r="EJ29748"/>
      <c r="EK29748"/>
    </row>
    <row r="29749" spans="1:141" s="116" customFormat="1">
      <c r="A29749" s="136"/>
      <c r="CM29749" s="111"/>
      <c r="CQ29749" s="111"/>
      <c r="EF29749"/>
      <c r="EG29749"/>
      <c r="EH29749"/>
      <c r="EI29749"/>
      <c r="EJ29749"/>
      <c r="EK29749"/>
    </row>
    <row r="29750" spans="1:141" s="116" customFormat="1">
      <c r="A29750" s="136"/>
      <c r="CM29750" s="111"/>
      <c r="CQ29750" s="111"/>
      <c r="EF29750"/>
      <c r="EG29750"/>
      <c r="EH29750"/>
      <c r="EI29750"/>
      <c r="EJ29750"/>
      <c r="EK29750"/>
    </row>
    <row r="29751" spans="1:141" s="116" customFormat="1">
      <c r="A29751" s="136"/>
      <c r="CM29751" s="111"/>
      <c r="CQ29751" s="111"/>
      <c r="EF29751"/>
      <c r="EG29751"/>
      <c r="EH29751"/>
      <c r="EI29751"/>
      <c r="EJ29751"/>
      <c r="EK29751"/>
    </row>
    <row r="29752" spans="1:141" s="116" customFormat="1">
      <c r="A29752" s="136"/>
      <c r="CM29752" s="111"/>
      <c r="CQ29752" s="111"/>
      <c r="EF29752"/>
      <c r="EG29752"/>
      <c r="EH29752"/>
      <c r="EI29752"/>
      <c r="EJ29752"/>
      <c r="EK29752"/>
    </row>
    <row r="29753" spans="1:141" s="116" customFormat="1">
      <c r="A29753" s="136"/>
      <c r="CM29753" s="111"/>
      <c r="CQ29753" s="111"/>
      <c r="EF29753"/>
      <c r="EG29753"/>
      <c r="EH29753"/>
      <c r="EI29753"/>
      <c r="EJ29753"/>
      <c r="EK29753"/>
    </row>
    <row r="29754" spans="1:141" s="116" customFormat="1">
      <c r="A29754" s="136"/>
      <c r="CM29754" s="111"/>
      <c r="CQ29754" s="111"/>
      <c r="EF29754"/>
      <c r="EG29754"/>
      <c r="EH29754"/>
      <c r="EI29754"/>
      <c r="EJ29754"/>
      <c r="EK29754"/>
    </row>
    <row r="29755" spans="1:141" s="116" customFormat="1">
      <c r="A29755" s="136"/>
      <c r="CM29755" s="111"/>
      <c r="CQ29755" s="111"/>
      <c r="EF29755"/>
      <c r="EG29755"/>
      <c r="EH29755"/>
      <c r="EI29755"/>
      <c r="EJ29755"/>
      <c r="EK29755"/>
    </row>
    <row r="29756" spans="1:141" s="116" customFormat="1">
      <c r="A29756" s="136"/>
      <c r="CM29756" s="111"/>
      <c r="CQ29756" s="111"/>
      <c r="EF29756"/>
      <c r="EG29756"/>
      <c r="EH29756"/>
      <c r="EI29756"/>
      <c r="EJ29756"/>
      <c r="EK29756"/>
    </row>
    <row r="29757" spans="1:141" s="116" customFormat="1">
      <c r="A29757" s="136"/>
      <c r="CM29757" s="111"/>
      <c r="CQ29757" s="111"/>
      <c r="EF29757"/>
      <c r="EG29757"/>
      <c r="EH29757"/>
      <c r="EI29757"/>
      <c r="EJ29757"/>
      <c r="EK29757"/>
    </row>
    <row r="29758" spans="1:141" s="116" customFormat="1">
      <c r="A29758" s="136"/>
      <c r="CM29758" s="111"/>
      <c r="CQ29758" s="111"/>
      <c r="EF29758"/>
      <c r="EG29758"/>
      <c r="EH29758"/>
      <c r="EI29758"/>
      <c r="EJ29758"/>
      <c r="EK29758"/>
    </row>
    <row r="29759" spans="1:141" s="116" customFormat="1">
      <c r="A29759" s="136"/>
      <c r="CM29759" s="111"/>
      <c r="CQ29759" s="111"/>
      <c r="EF29759"/>
      <c r="EG29759"/>
      <c r="EH29759"/>
      <c r="EI29759"/>
      <c r="EJ29759"/>
      <c r="EK29759"/>
    </row>
    <row r="29760" spans="1:141" s="116" customFormat="1">
      <c r="A29760" s="136"/>
      <c r="CM29760" s="111"/>
      <c r="CQ29760" s="111"/>
      <c r="EF29760"/>
      <c r="EG29760"/>
      <c r="EH29760"/>
      <c r="EI29760"/>
      <c r="EJ29760"/>
      <c r="EK29760"/>
    </row>
    <row r="29761" spans="1:141" s="116" customFormat="1">
      <c r="A29761" s="136"/>
      <c r="CM29761" s="111"/>
      <c r="CQ29761" s="111"/>
      <c r="EF29761"/>
      <c r="EG29761"/>
      <c r="EH29761"/>
      <c r="EI29761"/>
      <c r="EJ29761"/>
      <c r="EK29761"/>
    </row>
    <row r="29762" spans="1:141" s="116" customFormat="1">
      <c r="A29762" s="136"/>
      <c r="CM29762" s="111"/>
      <c r="CQ29762" s="111"/>
      <c r="EF29762"/>
      <c r="EG29762"/>
      <c r="EH29762"/>
      <c r="EI29762"/>
      <c r="EJ29762"/>
      <c r="EK29762"/>
    </row>
    <row r="29763" spans="1:141" s="116" customFormat="1">
      <c r="A29763" s="136"/>
      <c r="CM29763" s="111"/>
      <c r="CQ29763" s="111"/>
      <c r="EF29763"/>
      <c r="EG29763"/>
      <c r="EH29763"/>
      <c r="EI29763"/>
      <c r="EJ29763"/>
      <c r="EK29763"/>
    </row>
    <row r="29764" spans="1:141" s="116" customFormat="1">
      <c r="A29764" s="136"/>
      <c r="CM29764" s="111"/>
      <c r="CQ29764" s="111"/>
      <c r="EF29764"/>
      <c r="EG29764"/>
      <c r="EH29764"/>
      <c r="EI29764"/>
      <c r="EJ29764"/>
      <c r="EK29764"/>
    </row>
    <row r="29765" spans="1:141" s="116" customFormat="1">
      <c r="A29765" s="136"/>
      <c r="CM29765" s="111"/>
      <c r="CQ29765" s="111"/>
      <c r="EF29765"/>
      <c r="EG29765"/>
      <c r="EH29765"/>
      <c r="EI29765"/>
      <c r="EJ29765"/>
      <c r="EK29765"/>
    </row>
    <row r="29766" spans="1:141" s="116" customFormat="1">
      <c r="A29766" s="136"/>
      <c r="CM29766" s="111"/>
      <c r="CQ29766" s="111"/>
      <c r="EF29766"/>
      <c r="EG29766"/>
      <c r="EH29766"/>
      <c r="EI29766"/>
      <c r="EJ29766"/>
      <c r="EK29766"/>
    </row>
    <row r="29767" spans="1:141" s="116" customFormat="1">
      <c r="A29767" s="136"/>
      <c r="CM29767" s="111"/>
      <c r="CQ29767" s="111"/>
      <c r="EF29767"/>
      <c r="EG29767"/>
      <c r="EH29767"/>
      <c r="EI29767"/>
      <c r="EJ29767"/>
      <c r="EK29767"/>
    </row>
    <row r="29768" spans="1:141" s="116" customFormat="1">
      <c r="A29768" s="136"/>
      <c r="CM29768" s="111"/>
      <c r="CQ29768" s="111"/>
      <c r="EF29768"/>
      <c r="EG29768"/>
      <c r="EH29768"/>
      <c r="EI29768"/>
      <c r="EJ29768"/>
      <c r="EK29768"/>
    </row>
    <row r="29769" spans="1:141" s="116" customFormat="1">
      <c r="A29769" s="136"/>
      <c r="CM29769" s="111"/>
      <c r="CQ29769" s="111"/>
      <c r="EF29769"/>
      <c r="EG29769"/>
      <c r="EH29769"/>
      <c r="EI29769"/>
      <c r="EJ29769"/>
      <c r="EK29769"/>
    </row>
    <row r="29770" spans="1:141" s="116" customFormat="1">
      <c r="A29770" s="136"/>
      <c r="CM29770" s="111"/>
      <c r="CQ29770" s="111"/>
      <c r="EF29770"/>
      <c r="EG29770"/>
      <c r="EH29770"/>
      <c r="EI29770"/>
      <c r="EJ29770"/>
      <c r="EK29770"/>
    </row>
    <row r="29771" spans="1:141" s="116" customFormat="1">
      <c r="A29771" s="136"/>
      <c r="CM29771" s="111"/>
      <c r="CQ29771" s="111"/>
      <c r="EF29771"/>
      <c r="EG29771"/>
      <c r="EH29771"/>
      <c r="EI29771"/>
      <c r="EJ29771"/>
      <c r="EK29771"/>
    </row>
    <row r="29772" spans="1:141" s="116" customFormat="1">
      <c r="A29772" s="136"/>
      <c r="CM29772" s="111"/>
      <c r="CQ29772" s="111"/>
      <c r="EF29772"/>
      <c r="EG29772"/>
      <c r="EH29772"/>
      <c r="EI29772"/>
      <c r="EJ29772"/>
      <c r="EK29772"/>
    </row>
    <row r="29773" spans="1:141" s="116" customFormat="1">
      <c r="A29773" s="136"/>
      <c r="CM29773" s="111"/>
      <c r="CQ29773" s="111"/>
      <c r="EF29773"/>
      <c r="EG29773"/>
      <c r="EH29773"/>
      <c r="EI29773"/>
      <c r="EJ29773"/>
      <c r="EK29773"/>
    </row>
    <row r="29774" spans="1:141" s="116" customFormat="1">
      <c r="A29774" s="136"/>
      <c r="CM29774" s="111"/>
      <c r="CQ29774" s="111"/>
      <c r="EF29774"/>
      <c r="EG29774"/>
      <c r="EH29774"/>
      <c r="EI29774"/>
      <c r="EJ29774"/>
      <c r="EK29774"/>
    </row>
    <row r="29775" spans="1:141" s="116" customFormat="1">
      <c r="A29775" s="136"/>
      <c r="CM29775" s="111"/>
      <c r="CQ29775" s="111"/>
      <c r="EF29775"/>
      <c r="EG29775"/>
      <c r="EH29775"/>
      <c r="EI29775"/>
      <c r="EJ29775"/>
      <c r="EK29775"/>
    </row>
    <row r="29776" spans="1:141" s="116" customFormat="1">
      <c r="A29776" s="136"/>
      <c r="CM29776" s="111"/>
      <c r="CQ29776" s="111"/>
      <c r="EF29776"/>
      <c r="EG29776"/>
      <c r="EH29776"/>
      <c r="EI29776"/>
      <c r="EJ29776"/>
      <c r="EK29776"/>
    </row>
    <row r="29777" spans="1:141" s="116" customFormat="1">
      <c r="A29777" s="136"/>
      <c r="CM29777" s="111"/>
      <c r="CQ29777" s="111"/>
      <c r="EF29777"/>
      <c r="EG29777"/>
      <c r="EH29777"/>
      <c r="EI29777"/>
      <c r="EJ29777"/>
      <c r="EK29777"/>
    </row>
    <row r="29778" spans="1:141" s="116" customFormat="1">
      <c r="A29778" s="136"/>
      <c r="CM29778" s="111"/>
      <c r="CQ29778" s="111"/>
      <c r="EF29778"/>
      <c r="EG29778"/>
      <c r="EH29778"/>
      <c r="EI29778"/>
      <c r="EJ29778"/>
      <c r="EK29778"/>
    </row>
    <row r="29779" spans="1:141" s="116" customFormat="1">
      <c r="A29779" s="136"/>
      <c r="CM29779" s="111"/>
      <c r="CQ29779" s="111"/>
      <c r="EF29779"/>
      <c r="EG29779"/>
      <c r="EH29779"/>
      <c r="EI29779"/>
      <c r="EJ29779"/>
      <c r="EK29779"/>
    </row>
    <row r="29780" spans="1:141" s="116" customFormat="1">
      <c r="A29780" s="136"/>
      <c r="CM29780" s="111"/>
      <c r="CQ29780" s="111"/>
      <c r="EF29780"/>
      <c r="EG29780"/>
      <c r="EH29780"/>
      <c r="EI29780"/>
      <c r="EJ29780"/>
      <c r="EK29780"/>
    </row>
    <row r="29781" spans="1:141" s="116" customFormat="1">
      <c r="A29781" s="136"/>
      <c r="CM29781" s="111"/>
      <c r="CQ29781" s="111"/>
      <c r="EF29781"/>
      <c r="EG29781"/>
      <c r="EH29781"/>
      <c r="EI29781"/>
      <c r="EJ29781"/>
      <c r="EK29781"/>
    </row>
    <row r="29782" spans="1:141" s="116" customFormat="1">
      <c r="A29782" s="136"/>
      <c r="CM29782" s="111"/>
      <c r="CQ29782" s="111"/>
      <c r="EF29782"/>
      <c r="EG29782"/>
      <c r="EH29782"/>
      <c r="EI29782"/>
      <c r="EJ29782"/>
      <c r="EK29782"/>
    </row>
    <row r="29783" spans="1:141" s="116" customFormat="1">
      <c r="A29783" s="136"/>
      <c r="CM29783" s="111"/>
      <c r="CQ29783" s="111"/>
      <c r="EF29783"/>
      <c r="EG29783"/>
      <c r="EH29783"/>
      <c r="EI29783"/>
      <c r="EJ29783"/>
      <c r="EK29783"/>
    </row>
    <row r="29784" spans="1:141" s="116" customFormat="1">
      <c r="A29784" s="136"/>
      <c r="CM29784" s="111"/>
      <c r="CQ29784" s="111"/>
      <c r="EF29784"/>
      <c r="EG29784"/>
      <c r="EH29784"/>
      <c r="EI29784"/>
      <c r="EJ29784"/>
      <c r="EK29784"/>
    </row>
    <row r="29785" spans="1:141" s="116" customFormat="1">
      <c r="A29785" s="136"/>
      <c r="CM29785" s="111"/>
      <c r="CQ29785" s="111"/>
      <c r="EF29785"/>
      <c r="EG29785"/>
      <c r="EH29785"/>
      <c r="EI29785"/>
      <c r="EJ29785"/>
      <c r="EK29785"/>
    </row>
    <row r="29786" spans="1:141" s="116" customFormat="1">
      <c r="A29786" s="136"/>
      <c r="CM29786" s="111"/>
      <c r="CQ29786" s="111"/>
      <c r="EF29786"/>
      <c r="EG29786"/>
      <c r="EH29786"/>
      <c r="EI29786"/>
      <c r="EJ29786"/>
      <c r="EK29786"/>
    </row>
    <row r="29787" spans="1:141" s="116" customFormat="1">
      <c r="A29787" s="136"/>
      <c r="CM29787" s="111"/>
      <c r="CQ29787" s="111"/>
      <c r="EF29787"/>
      <c r="EG29787"/>
      <c r="EH29787"/>
      <c r="EI29787"/>
      <c r="EJ29787"/>
      <c r="EK29787"/>
    </row>
    <row r="29788" spans="1:141" s="116" customFormat="1">
      <c r="A29788" s="136"/>
      <c r="CM29788" s="111"/>
      <c r="CQ29788" s="111"/>
      <c r="EF29788"/>
      <c r="EG29788"/>
      <c r="EH29788"/>
      <c r="EI29788"/>
      <c r="EJ29788"/>
      <c r="EK29788"/>
    </row>
    <row r="29789" spans="1:141" s="116" customFormat="1">
      <c r="A29789" s="136"/>
      <c r="CM29789" s="111"/>
      <c r="CQ29789" s="111"/>
      <c r="EF29789"/>
      <c r="EG29789"/>
      <c r="EH29789"/>
      <c r="EI29789"/>
      <c r="EJ29789"/>
      <c r="EK29789"/>
    </row>
    <row r="29790" spans="1:141" s="116" customFormat="1">
      <c r="A29790" s="136"/>
      <c r="CM29790" s="111"/>
      <c r="CQ29790" s="111"/>
      <c r="EF29790"/>
      <c r="EG29790"/>
      <c r="EH29790"/>
      <c r="EI29790"/>
      <c r="EJ29790"/>
      <c r="EK29790"/>
    </row>
    <row r="29791" spans="1:141" s="116" customFormat="1">
      <c r="A29791" s="136"/>
      <c r="CM29791" s="111"/>
      <c r="CQ29791" s="111"/>
      <c r="EF29791"/>
      <c r="EG29791"/>
      <c r="EH29791"/>
      <c r="EI29791"/>
      <c r="EJ29791"/>
      <c r="EK29791"/>
    </row>
    <row r="29792" spans="1:141" s="116" customFormat="1">
      <c r="A29792" s="136"/>
      <c r="CM29792" s="111"/>
      <c r="CQ29792" s="111"/>
      <c r="EF29792"/>
      <c r="EG29792"/>
      <c r="EH29792"/>
      <c r="EI29792"/>
      <c r="EJ29792"/>
      <c r="EK29792"/>
    </row>
    <row r="29793" spans="1:141" s="116" customFormat="1">
      <c r="A29793" s="136"/>
      <c r="CM29793" s="111"/>
      <c r="CQ29793" s="111"/>
      <c r="EF29793"/>
      <c r="EG29793"/>
      <c r="EH29793"/>
      <c r="EI29793"/>
      <c r="EJ29793"/>
      <c r="EK29793"/>
    </row>
    <row r="29794" spans="1:141" s="116" customFormat="1">
      <c r="A29794" s="136"/>
      <c r="CM29794" s="111"/>
      <c r="CQ29794" s="111"/>
      <c r="EF29794"/>
      <c r="EG29794"/>
      <c r="EH29794"/>
      <c r="EI29794"/>
      <c r="EJ29794"/>
      <c r="EK29794"/>
    </row>
    <row r="29795" spans="1:141" s="116" customFormat="1">
      <c r="A29795" s="136"/>
      <c r="CM29795" s="111"/>
      <c r="CQ29795" s="111"/>
      <c r="EF29795"/>
      <c r="EG29795"/>
      <c r="EH29795"/>
      <c r="EI29795"/>
      <c r="EJ29795"/>
      <c r="EK29795"/>
    </row>
    <row r="29796" spans="1:141" s="116" customFormat="1">
      <c r="A29796" s="136"/>
      <c r="CM29796" s="111"/>
      <c r="CQ29796" s="111"/>
      <c r="EF29796"/>
      <c r="EG29796"/>
      <c r="EH29796"/>
      <c r="EI29796"/>
      <c r="EJ29796"/>
      <c r="EK29796"/>
    </row>
    <row r="29797" spans="1:141" s="116" customFormat="1">
      <c r="A29797" s="136"/>
      <c r="CM29797" s="111"/>
      <c r="CQ29797" s="111"/>
      <c r="EF29797"/>
      <c r="EG29797"/>
      <c r="EH29797"/>
      <c r="EI29797"/>
      <c r="EJ29797"/>
      <c r="EK29797"/>
    </row>
    <row r="29798" spans="1:141" s="116" customFormat="1">
      <c r="A29798" s="136"/>
      <c r="CM29798" s="111"/>
      <c r="CQ29798" s="111"/>
      <c r="EF29798"/>
      <c r="EG29798"/>
      <c r="EH29798"/>
      <c r="EI29798"/>
      <c r="EJ29798"/>
      <c r="EK29798"/>
    </row>
    <row r="29799" spans="1:141" s="116" customFormat="1">
      <c r="A29799" s="136"/>
      <c r="CM29799" s="111"/>
      <c r="CQ29799" s="111"/>
      <c r="EF29799"/>
      <c r="EG29799"/>
      <c r="EH29799"/>
      <c r="EI29799"/>
      <c r="EJ29799"/>
      <c r="EK29799"/>
    </row>
    <row r="29800" spans="1:141" s="116" customFormat="1">
      <c r="A29800" s="136"/>
      <c r="CM29800" s="111"/>
      <c r="CQ29800" s="111"/>
      <c r="EF29800"/>
      <c r="EG29800"/>
      <c r="EH29800"/>
      <c r="EI29800"/>
      <c r="EJ29800"/>
      <c r="EK29800"/>
    </row>
    <row r="29801" spans="1:141" s="116" customFormat="1">
      <c r="A29801" s="136"/>
      <c r="CM29801" s="111"/>
      <c r="CQ29801" s="111"/>
      <c r="EF29801"/>
      <c r="EG29801"/>
      <c r="EH29801"/>
      <c r="EI29801"/>
      <c r="EJ29801"/>
      <c r="EK29801"/>
    </row>
    <row r="29802" spans="1:141" s="116" customFormat="1">
      <c r="A29802" s="136"/>
      <c r="CM29802" s="111"/>
      <c r="CQ29802" s="111"/>
      <c r="EF29802"/>
      <c r="EG29802"/>
      <c r="EH29802"/>
      <c r="EI29802"/>
      <c r="EJ29802"/>
      <c r="EK29802"/>
    </row>
    <row r="29803" spans="1:141" s="116" customFormat="1">
      <c r="A29803" s="136"/>
      <c r="CM29803" s="111"/>
      <c r="CQ29803" s="111"/>
      <c r="EF29803"/>
      <c r="EG29803"/>
      <c r="EH29803"/>
      <c r="EI29803"/>
      <c r="EJ29803"/>
      <c r="EK29803"/>
    </row>
    <row r="29804" spans="1:141" s="116" customFormat="1">
      <c r="A29804" s="136"/>
      <c r="CM29804" s="111"/>
      <c r="CQ29804" s="111"/>
      <c r="EF29804"/>
      <c r="EG29804"/>
      <c r="EH29804"/>
      <c r="EI29804"/>
      <c r="EJ29804"/>
      <c r="EK29804"/>
    </row>
    <row r="29805" spans="1:141" s="116" customFormat="1">
      <c r="A29805" s="136"/>
      <c r="CM29805" s="111"/>
      <c r="CQ29805" s="111"/>
      <c r="EF29805"/>
      <c r="EG29805"/>
      <c r="EH29805"/>
      <c r="EI29805"/>
      <c r="EJ29805"/>
      <c r="EK29805"/>
    </row>
    <row r="29806" spans="1:141" s="116" customFormat="1">
      <c r="A29806" s="136"/>
      <c r="CM29806" s="111"/>
      <c r="CQ29806" s="111"/>
      <c r="EF29806"/>
      <c r="EG29806"/>
      <c r="EH29806"/>
      <c r="EI29806"/>
      <c r="EJ29806"/>
      <c r="EK29806"/>
    </row>
    <row r="29807" spans="1:141" s="116" customFormat="1">
      <c r="A29807" s="136"/>
      <c r="CM29807" s="111"/>
      <c r="CQ29807" s="111"/>
      <c r="EF29807"/>
      <c r="EG29807"/>
      <c r="EH29807"/>
      <c r="EI29807"/>
      <c r="EJ29807"/>
      <c r="EK29807"/>
    </row>
    <row r="29808" spans="1:141" s="116" customFormat="1">
      <c r="A29808" s="136"/>
      <c r="CM29808" s="111"/>
      <c r="CQ29808" s="111"/>
      <c r="EF29808"/>
      <c r="EG29808"/>
      <c r="EH29808"/>
      <c r="EI29808"/>
      <c r="EJ29808"/>
      <c r="EK29808"/>
    </row>
    <row r="29809" spans="1:141" s="116" customFormat="1">
      <c r="A29809" s="136"/>
      <c r="CM29809" s="111"/>
      <c r="CQ29809" s="111"/>
      <c r="EF29809"/>
      <c r="EG29809"/>
      <c r="EH29809"/>
      <c r="EI29809"/>
      <c r="EJ29809"/>
      <c r="EK29809"/>
    </row>
    <row r="29810" spans="1:141" s="116" customFormat="1">
      <c r="A29810" s="136"/>
      <c r="CM29810" s="111"/>
      <c r="CQ29810" s="111"/>
      <c r="EF29810"/>
      <c r="EG29810"/>
      <c r="EH29810"/>
      <c r="EI29810"/>
      <c r="EJ29810"/>
      <c r="EK29810"/>
    </row>
    <row r="29811" spans="1:141" s="116" customFormat="1">
      <c r="A29811" s="136"/>
      <c r="CM29811" s="111"/>
      <c r="CQ29811" s="111"/>
      <c r="EF29811"/>
      <c r="EG29811"/>
      <c r="EH29811"/>
      <c r="EI29811"/>
      <c r="EJ29811"/>
      <c r="EK29811"/>
    </row>
    <row r="29812" spans="1:141" s="116" customFormat="1">
      <c r="A29812" s="136"/>
      <c r="CM29812" s="111"/>
      <c r="CQ29812" s="111"/>
      <c r="EF29812"/>
      <c r="EG29812"/>
      <c r="EH29812"/>
      <c r="EI29812"/>
      <c r="EJ29812"/>
      <c r="EK29812"/>
    </row>
    <row r="29813" spans="1:141" s="116" customFormat="1">
      <c r="A29813" s="136"/>
      <c r="CM29813" s="111"/>
      <c r="CQ29813" s="111"/>
      <c r="EF29813"/>
      <c r="EG29813"/>
      <c r="EH29813"/>
      <c r="EI29813"/>
      <c r="EJ29813"/>
      <c r="EK29813"/>
    </row>
    <row r="29814" spans="1:141" s="116" customFormat="1">
      <c r="A29814" s="136"/>
      <c r="CM29814" s="111"/>
      <c r="CQ29814" s="111"/>
      <c r="EF29814"/>
      <c r="EG29814"/>
      <c r="EH29814"/>
      <c r="EI29814"/>
      <c r="EJ29814"/>
      <c r="EK29814"/>
    </row>
    <row r="29815" spans="1:141" s="116" customFormat="1">
      <c r="A29815" s="136"/>
      <c r="CM29815" s="111"/>
      <c r="CQ29815" s="111"/>
      <c r="EF29815"/>
      <c r="EG29815"/>
      <c r="EH29815"/>
      <c r="EI29815"/>
      <c r="EJ29815"/>
      <c r="EK29815"/>
    </row>
    <row r="29816" spans="1:141" s="116" customFormat="1">
      <c r="A29816" s="136"/>
      <c r="CM29816" s="111"/>
      <c r="CQ29816" s="111"/>
      <c r="EF29816"/>
      <c r="EG29816"/>
      <c r="EH29816"/>
      <c r="EI29816"/>
      <c r="EJ29816"/>
      <c r="EK29816"/>
    </row>
    <row r="29817" spans="1:141" s="116" customFormat="1">
      <c r="A29817" s="136"/>
      <c r="CM29817" s="111"/>
      <c r="CQ29817" s="111"/>
      <c r="EF29817"/>
      <c r="EG29817"/>
      <c r="EH29817"/>
      <c r="EI29817"/>
      <c r="EJ29817"/>
      <c r="EK29817"/>
    </row>
    <row r="29818" spans="1:141" s="116" customFormat="1">
      <c r="A29818" s="136"/>
      <c r="CM29818" s="111"/>
      <c r="CQ29818" s="111"/>
      <c r="EF29818"/>
      <c r="EG29818"/>
      <c r="EH29818"/>
      <c r="EI29818"/>
      <c r="EJ29818"/>
      <c r="EK29818"/>
    </row>
    <row r="29819" spans="1:141" s="116" customFormat="1">
      <c r="A29819" s="136"/>
      <c r="CM29819" s="111"/>
      <c r="CQ29819" s="111"/>
      <c r="EF29819"/>
      <c r="EG29819"/>
      <c r="EH29819"/>
      <c r="EI29819"/>
      <c r="EJ29819"/>
      <c r="EK29819"/>
    </row>
    <row r="29820" spans="1:141" s="116" customFormat="1">
      <c r="A29820" s="136"/>
      <c r="CM29820" s="111"/>
      <c r="CQ29820" s="111"/>
      <c r="EF29820"/>
      <c r="EG29820"/>
      <c r="EH29820"/>
      <c r="EI29820"/>
      <c r="EJ29820"/>
      <c r="EK29820"/>
    </row>
    <row r="29821" spans="1:141" s="116" customFormat="1">
      <c r="A29821" s="136"/>
      <c r="CM29821" s="111"/>
      <c r="CQ29821" s="111"/>
      <c r="EF29821"/>
      <c r="EG29821"/>
      <c r="EH29821"/>
      <c r="EI29821"/>
      <c r="EJ29821"/>
      <c r="EK29821"/>
    </row>
    <row r="29822" spans="1:141" s="116" customFormat="1">
      <c r="A29822" s="136"/>
      <c r="CM29822" s="111"/>
      <c r="CQ29822" s="111"/>
      <c r="EF29822"/>
      <c r="EG29822"/>
      <c r="EH29822"/>
      <c r="EI29822"/>
      <c r="EJ29822"/>
      <c r="EK29822"/>
    </row>
    <row r="29823" spans="1:141" s="116" customFormat="1">
      <c r="A29823" s="136"/>
      <c r="CM29823" s="111"/>
      <c r="CQ29823" s="111"/>
      <c r="EF29823"/>
      <c r="EG29823"/>
      <c r="EH29823"/>
      <c r="EI29823"/>
      <c r="EJ29823"/>
      <c r="EK29823"/>
    </row>
    <row r="29824" spans="1:141" s="116" customFormat="1">
      <c r="A29824" s="136"/>
      <c r="CM29824" s="111"/>
      <c r="CQ29824" s="111"/>
      <c r="EF29824"/>
      <c r="EG29824"/>
      <c r="EH29824"/>
      <c r="EI29824"/>
      <c r="EJ29824"/>
      <c r="EK29824"/>
    </row>
    <row r="29825" spans="1:141" s="116" customFormat="1">
      <c r="A29825" s="136"/>
      <c r="CM29825" s="111"/>
      <c r="CQ29825" s="111"/>
      <c r="EF29825"/>
      <c r="EG29825"/>
      <c r="EH29825"/>
      <c r="EI29825"/>
      <c r="EJ29825"/>
      <c r="EK29825"/>
    </row>
    <row r="29826" spans="1:141" s="116" customFormat="1">
      <c r="A29826" s="136"/>
      <c r="CM29826" s="111"/>
      <c r="CQ29826" s="111"/>
      <c r="EF29826"/>
      <c r="EG29826"/>
      <c r="EH29826"/>
      <c r="EI29826"/>
      <c r="EJ29826"/>
      <c r="EK29826"/>
    </row>
    <row r="29827" spans="1:141" s="116" customFormat="1">
      <c r="A29827" s="136"/>
      <c r="CM29827" s="111"/>
      <c r="CQ29827" s="111"/>
      <c r="EF29827"/>
      <c r="EG29827"/>
      <c r="EH29827"/>
      <c r="EI29827"/>
      <c r="EJ29827"/>
      <c r="EK29827"/>
    </row>
    <row r="29828" spans="1:141" s="116" customFormat="1">
      <c r="A29828" s="136"/>
      <c r="CM29828" s="111"/>
      <c r="CQ29828" s="111"/>
      <c r="EF29828"/>
      <c r="EG29828"/>
      <c r="EH29828"/>
      <c r="EI29828"/>
      <c r="EJ29828"/>
      <c r="EK29828"/>
    </row>
    <row r="29829" spans="1:141" s="116" customFormat="1">
      <c r="A29829" s="136"/>
      <c r="CM29829" s="111"/>
      <c r="CQ29829" s="111"/>
      <c r="EF29829"/>
      <c r="EG29829"/>
      <c r="EH29829"/>
      <c r="EI29829"/>
      <c r="EJ29829"/>
      <c r="EK29829"/>
    </row>
    <row r="29830" spans="1:141" s="116" customFormat="1">
      <c r="A29830" s="136"/>
      <c r="CM29830" s="111"/>
      <c r="CQ29830" s="111"/>
      <c r="EF29830"/>
      <c r="EG29830"/>
      <c r="EH29830"/>
      <c r="EI29830"/>
      <c r="EJ29830"/>
      <c r="EK29830"/>
    </row>
    <row r="29831" spans="1:141" s="116" customFormat="1">
      <c r="A29831" s="136"/>
      <c r="CM29831" s="111"/>
      <c r="CQ29831" s="111"/>
      <c r="EF29831"/>
      <c r="EG29831"/>
      <c r="EH29831"/>
      <c r="EI29831"/>
      <c r="EJ29831"/>
      <c r="EK29831"/>
    </row>
    <row r="29832" spans="1:141" s="116" customFormat="1">
      <c r="A29832" s="136"/>
      <c r="CM29832" s="111"/>
      <c r="CQ29832" s="111"/>
      <c r="EF29832"/>
      <c r="EG29832"/>
      <c r="EH29832"/>
      <c r="EI29832"/>
      <c r="EJ29832"/>
      <c r="EK29832"/>
    </row>
    <row r="29833" spans="1:141" s="116" customFormat="1">
      <c r="A29833" s="136"/>
      <c r="CM29833" s="111"/>
      <c r="CQ29833" s="111"/>
      <c r="EF29833"/>
      <c r="EG29833"/>
      <c r="EH29833"/>
      <c r="EI29833"/>
      <c r="EJ29833"/>
      <c r="EK29833"/>
    </row>
    <row r="29834" spans="1:141" s="116" customFormat="1">
      <c r="A29834" s="136"/>
      <c r="CM29834" s="111"/>
      <c r="CQ29834" s="111"/>
      <c r="EF29834"/>
      <c r="EG29834"/>
      <c r="EH29834"/>
      <c r="EI29834"/>
      <c r="EJ29834"/>
      <c r="EK29834"/>
    </row>
    <row r="29835" spans="1:141" s="116" customFormat="1">
      <c r="A29835" s="136"/>
      <c r="CM29835" s="111"/>
      <c r="CQ29835" s="111"/>
      <c r="EF29835"/>
      <c r="EG29835"/>
      <c r="EH29835"/>
      <c r="EI29835"/>
      <c r="EJ29835"/>
      <c r="EK29835"/>
    </row>
    <row r="29836" spans="1:141" s="116" customFormat="1">
      <c r="A29836" s="136"/>
      <c r="CM29836" s="111"/>
      <c r="CQ29836" s="111"/>
      <c r="EF29836"/>
      <c r="EG29836"/>
      <c r="EH29836"/>
      <c r="EI29836"/>
      <c r="EJ29836"/>
      <c r="EK29836"/>
    </row>
    <row r="29837" spans="1:141" s="116" customFormat="1">
      <c r="A29837" s="136"/>
      <c r="CM29837" s="111"/>
      <c r="CQ29837" s="111"/>
      <c r="EF29837"/>
      <c r="EG29837"/>
      <c r="EH29837"/>
      <c r="EI29837"/>
      <c r="EJ29837"/>
      <c r="EK29837"/>
    </row>
    <row r="29838" spans="1:141" s="116" customFormat="1">
      <c r="A29838" s="136"/>
      <c r="CM29838" s="111"/>
      <c r="CQ29838" s="111"/>
      <c r="EF29838"/>
      <c r="EG29838"/>
      <c r="EH29838"/>
      <c r="EI29838"/>
      <c r="EJ29838"/>
      <c r="EK29838"/>
    </row>
    <row r="29839" spans="1:141" s="116" customFormat="1">
      <c r="A29839" s="136"/>
      <c r="CM29839" s="111"/>
      <c r="CQ29839" s="111"/>
      <c r="EF29839"/>
      <c r="EG29839"/>
      <c r="EH29839"/>
      <c r="EI29839"/>
      <c r="EJ29839"/>
      <c r="EK29839"/>
    </row>
    <row r="29840" spans="1:141" s="116" customFormat="1">
      <c r="A29840" s="136"/>
      <c r="CM29840" s="111"/>
      <c r="CQ29840" s="111"/>
      <c r="EF29840"/>
      <c r="EG29840"/>
      <c r="EH29840"/>
      <c r="EI29840"/>
      <c r="EJ29840"/>
      <c r="EK29840"/>
    </row>
    <row r="29841" spans="1:141" s="116" customFormat="1">
      <c r="A29841" s="136"/>
      <c r="CM29841" s="111"/>
      <c r="CQ29841" s="111"/>
      <c r="EF29841"/>
      <c r="EG29841"/>
      <c r="EH29841"/>
      <c r="EI29841"/>
      <c r="EJ29841"/>
      <c r="EK29841"/>
    </row>
    <row r="29842" spans="1:141" s="116" customFormat="1">
      <c r="A29842" s="136"/>
      <c r="CM29842" s="111"/>
      <c r="CQ29842" s="111"/>
      <c r="EF29842"/>
      <c r="EG29842"/>
      <c r="EH29842"/>
      <c r="EI29842"/>
      <c r="EJ29842"/>
      <c r="EK29842"/>
    </row>
    <row r="29843" spans="1:141" s="116" customFormat="1">
      <c r="A29843" s="136"/>
      <c r="CM29843" s="111"/>
      <c r="CQ29843" s="111"/>
      <c r="EF29843"/>
      <c r="EG29843"/>
      <c r="EH29843"/>
      <c r="EI29843"/>
      <c r="EJ29843"/>
      <c r="EK29843"/>
    </row>
    <row r="29844" spans="1:141" s="116" customFormat="1">
      <c r="A29844" s="136"/>
      <c r="CM29844" s="111"/>
      <c r="CQ29844" s="111"/>
      <c r="EF29844"/>
      <c r="EG29844"/>
      <c r="EH29844"/>
      <c r="EI29844"/>
      <c r="EJ29844"/>
      <c r="EK29844"/>
    </row>
    <row r="29845" spans="1:141" s="116" customFormat="1">
      <c r="A29845" s="136"/>
      <c r="CM29845" s="111"/>
      <c r="CQ29845" s="111"/>
      <c r="EF29845"/>
      <c r="EG29845"/>
      <c r="EH29845"/>
      <c r="EI29845"/>
      <c r="EJ29845"/>
      <c r="EK29845"/>
    </row>
    <row r="29846" spans="1:141" s="116" customFormat="1">
      <c r="A29846" s="136"/>
      <c r="CM29846" s="111"/>
      <c r="CQ29846" s="111"/>
      <c r="EF29846"/>
      <c r="EG29846"/>
      <c r="EH29846"/>
      <c r="EI29846"/>
      <c r="EJ29846"/>
      <c r="EK29846"/>
    </row>
    <row r="29847" spans="1:141" s="116" customFormat="1">
      <c r="A29847" s="136"/>
      <c r="CM29847" s="111"/>
      <c r="CQ29847" s="111"/>
      <c r="EF29847"/>
      <c r="EG29847"/>
      <c r="EH29847"/>
      <c r="EI29847"/>
      <c r="EJ29847"/>
      <c r="EK29847"/>
    </row>
    <row r="29848" spans="1:141" s="116" customFormat="1">
      <c r="A29848" s="136"/>
      <c r="CM29848" s="111"/>
      <c r="CQ29848" s="111"/>
      <c r="EF29848"/>
      <c r="EG29848"/>
      <c r="EH29848"/>
      <c r="EI29848"/>
      <c r="EJ29848"/>
      <c r="EK29848"/>
    </row>
    <row r="29849" spans="1:141" s="116" customFormat="1">
      <c r="A29849" s="136"/>
      <c r="CM29849" s="111"/>
      <c r="CQ29849" s="111"/>
      <c r="EF29849"/>
      <c r="EG29849"/>
      <c r="EH29849"/>
      <c r="EI29849"/>
      <c r="EJ29849"/>
      <c r="EK29849"/>
    </row>
    <row r="29850" spans="1:141" s="116" customFormat="1">
      <c r="A29850" s="136"/>
      <c r="CM29850" s="111"/>
      <c r="CQ29850" s="111"/>
      <c r="EF29850"/>
      <c r="EG29850"/>
      <c r="EH29850"/>
      <c r="EI29850"/>
      <c r="EJ29850"/>
      <c r="EK29850"/>
    </row>
    <row r="29851" spans="1:141" s="116" customFormat="1">
      <c r="A29851" s="136"/>
      <c r="CM29851" s="111"/>
      <c r="CQ29851" s="111"/>
      <c r="EF29851"/>
      <c r="EG29851"/>
      <c r="EH29851"/>
      <c r="EI29851"/>
      <c r="EJ29851"/>
      <c r="EK29851"/>
    </row>
    <row r="29852" spans="1:141" s="116" customFormat="1">
      <c r="A29852" s="136"/>
      <c r="CM29852" s="111"/>
      <c r="CQ29852" s="111"/>
      <c r="EF29852"/>
      <c r="EG29852"/>
      <c r="EH29852"/>
      <c r="EI29852"/>
      <c r="EJ29852"/>
      <c r="EK29852"/>
    </row>
    <row r="29853" spans="1:141" s="116" customFormat="1">
      <c r="A29853" s="136"/>
      <c r="CM29853" s="111"/>
      <c r="CQ29853" s="111"/>
      <c r="EF29853"/>
      <c r="EG29853"/>
      <c r="EH29853"/>
      <c r="EI29853"/>
      <c r="EJ29853"/>
      <c r="EK29853"/>
    </row>
    <row r="29854" spans="1:141" s="116" customFormat="1">
      <c r="A29854" s="136"/>
      <c r="CM29854" s="111"/>
      <c r="CQ29854" s="111"/>
      <c r="EF29854"/>
      <c r="EG29854"/>
      <c r="EH29854"/>
      <c r="EI29854"/>
      <c r="EJ29854"/>
      <c r="EK29854"/>
    </row>
    <row r="29855" spans="1:141" s="116" customFormat="1">
      <c r="A29855" s="136"/>
      <c r="CM29855" s="111"/>
      <c r="CQ29855" s="111"/>
      <c r="EF29855"/>
      <c r="EG29855"/>
      <c r="EH29855"/>
      <c r="EI29855"/>
      <c r="EJ29855"/>
      <c r="EK29855"/>
    </row>
    <row r="29856" spans="1:141" s="116" customFormat="1">
      <c r="A29856" s="136"/>
      <c r="CM29856" s="111"/>
      <c r="CQ29856" s="111"/>
      <c r="EF29856"/>
      <c r="EG29856"/>
      <c r="EH29856"/>
      <c r="EI29856"/>
      <c r="EJ29856"/>
      <c r="EK29856"/>
    </row>
    <row r="29857" spans="1:141" s="116" customFormat="1">
      <c r="A29857" s="136"/>
      <c r="CM29857" s="111"/>
      <c r="CQ29857" s="111"/>
      <c r="EF29857"/>
      <c r="EG29857"/>
      <c r="EH29857"/>
      <c r="EI29857"/>
      <c r="EJ29857"/>
      <c r="EK29857"/>
    </row>
    <row r="29858" spans="1:141" s="116" customFormat="1">
      <c r="A29858" s="136"/>
      <c r="CM29858" s="111"/>
      <c r="CQ29858" s="111"/>
      <c r="EF29858"/>
      <c r="EG29858"/>
      <c r="EH29858"/>
      <c r="EI29858"/>
      <c r="EJ29858"/>
      <c r="EK29858"/>
    </row>
    <row r="29859" spans="1:141" s="116" customFormat="1">
      <c r="A29859" s="136"/>
      <c r="CM29859" s="111"/>
      <c r="CQ29859" s="111"/>
      <c r="EF29859"/>
      <c r="EG29859"/>
      <c r="EH29859"/>
      <c r="EI29859"/>
      <c r="EJ29859"/>
      <c r="EK29859"/>
    </row>
    <row r="29860" spans="1:141" s="116" customFormat="1">
      <c r="A29860" s="136"/>
      <c r="CM29860" s="111"/>
      <c r="CQ29860" s="111"/>
      <c r="EF29860"/>
      <c r="EG29860"/>
      <c r="EH29860"/>
      <c r="EI29860"/>
      <c r="EJ29860"/>
      <c r="EK29860"/>
    </row>
    <row r="29861" spans="1:141" s="116" customFormat="1">
      <c r="A29861" s="136"/>
      <c r="CM29861" s="111"/>
      <c r="CQ29861" s="111"/>
      <c r="EF29861"/>
      <c r="EG29861"/>
      <c r="EH29861"/>
      <c r="EI29861"/>
      <c r="EJ29861"/>
      <c r="EK29861"/>
    </row>
    <row r="29862" spans="1:141" s="116" customFormat="1">
      <c r="A29862" s="136"/>
      <c r="CM29862" s="111"/>
      <c r="CQ29862" s="111"/>
      <c r="EF29862"/>
      <c r="EG29862"/>
      <c r="EH29862"/>
      <c r="EI29862"/>
      <c r="EJ29862"/>
      <c r="EK29862"/>
    </row>
    <row r="29863" spans="1:141" s="116" customFormat="1">
      <c r="A29863" s="136"/>
      <c r="CM29863" s="111"/>
      <c r="CQ29863" s="111"/>
      <c r="EF29863"/>
      <c r="EG29863"/>
      <c r="EH29863"/>
      <c r="EI29863"/>
      <c r="EJ29863"/>
      <c r="EK29863"/>
    </row>
    <row r="29864" spans="1:141" s="116" customFormat="1">
      <c r="A29864" s="136"/>
      <c r="CM29864" s="111"/>
      <c r="CQ29864" s="111"/>
      <c r="EF29864"/>
      <c r="EG29864"/>
      <c r="EH29864"/>
      <c r="EI29864"/>
      <c r="EJ29864"/>
      <c r="EK29864"/>
    </row>
    <row r="29865" spans="1:141" s="116" customFormat="1">
      <c r="A29865" s="136"/>
      <c r="CM29865" s="111"/>
      <c r="CQ29865" s="111"/>
      <c r="EF29865"/>
      <c r="EG29865"/>
      <c r="EH29865"/>
      <c r="EI29865"/>
      <c r="EJ29865"/>
      <c r="EK29865"/>
    </row>
    <row r="29866" spans="1:141" s="116" customFormat="1">
      <c r="A29866" s="136"/>
      <c r="CM29866" s="111"/>
      <c r="CQ29866" s="111"/>
      <c r="EF29866"/>
      <c r="EG29866"/>
      <c r="EH29866"/>
      <c r="EI29866"/>
      <c r="EJ29866"/>
      <c r="EK29866"/>
    </row>
    <row r="29867" spans="1:141" s="116" customFormat="1">
      <c r="A29867" s="136"/>
      <c r="CM29867" s="111"/>
      <c r="CQ29867" s="111"/>
      <c r="EF29867"/>
      <c r="EG29867"/>
      <c r="EH29867"/>
      <c r="EI29867"/>
      <c r="EJ29867"/>
      <c r="EK29867"/>
    </row>
    <row r="29868" spans="1:141" s="116" customFormat="1">
      <c r="A29868" s="136"/>
      <c r="CM29868" s="111"/>
      <c r="CQ29868" s="111"/>
      <c r="EF29868"/>
      <c r="EG29868"/>
      <c r="EH29868"/>
      <c r="EI29868"/>
      <c r="EJ29868"/>
      <c r="EK29868"/>
    </row>
    <row r="29869" spans="1:141" s="116" customFormat="1">
      <c r="A29869" s="136"/>
      <c r="CM29869" s="111"/>
      <c r="CQ29869" s="111"/>
      <c r="EF29869"/>
      <c r="EG29869"/>
      <c r="EH29869"/>
      <c r="EI29869"/>
      <c r="EJ29869"/>
      <c r="EK29869"/>
    </row>
    <row r="29870" spans="1:141" s="116" customFormat="1">
      <c r="A29870" s="136"/>
      <c r="CM29870" s="111"/>
      <c r="CQ29870" s="111"/>
      <c r="EF29870"/>
      <c r="EG29870"/>
      <c r="EH29870"/>
      <c r="EI29870"/>
      <c r="EJ29870"/>
      <c r="EK29870"/>
    </row>
    <row r="29871" spans="1:141" s="116" customFormat="1">
      <c r="A29871" s="136"/>
      <c r="CM29871" s="111"/>
      <c r="CQ29871" s="111"/>
      <c r="EF29871"/>
      <c r="EG29871"/>
      <c r="EH29871"/>
      <c r="EI29871"/>
      <c r="EJ29871"/>
      <c r="EK29871"/>
    </row>
    <row r="29872" spans="1:141" s="116" customFormat="1">
      <c r="A29872" s="136"/>
      <c r="CM29872" s="111"/>
      <c r="CQ29872" s="111"/>
      <c r="EF29872"/>
      <c r="EG29872"/>
      <c r="EH29872"/>
      <c r="EI29872"/>
      <c r="EJ29872"/>
      <c r="EK29872"/>
    </row>
    <row r="29873" spans="1:141" s="116" customFormat="1">
      <c r="A29873" s="136"/>
      <c r="CM29873" s="111"/>
      <c r="CQ29873" s="111"/>
      <c r="EF29873"/>
      <c r="EG29873"/>
      <c r="EH29873"/>
      <c r="EI29873"/>
      <c r="EJ29873"/>
      <c r="EK29873"/>
    </row>
    <row r="29874" spans="1:141" s="116" customFormat="1">
      <c r="A29874" s="136"/>
      <c r="CM29874" s="111"/>
      <c r="CQ29874" s="111"/>
      <c r="EF29874"/>
      <c r="EG29874"/>
      <c r="EH29874"/>
      <c r="EI29874"/>
      <c r="EJ29874"/>
      <c r="EK29874"/>
    </row>
    <row r="29875" spans="1:141" s="116" customFormat="1">
      <c r="A29875" s="136"/>
      <c r="CM29875" s="111"/>
      <c r="CQ29875" s="111"/>
      <c r="EF29875"/>
      <c r="EG29875"/>
      <c r="EH29875"/>
      <c r="EI29875"/>
      <c r="EJ29875"/>
      <c r="EK29875"/>
    </row>
    <row r="29876" spans="1:141" s="116" customFormat="1">
      <c r="A29876" s="136"/>
      <c r="CM29876" s="111"/>
      <c r="CQ29876" s="111"/>
      <c r="EF29876"/>
      <c r="EG29876"/>
      <c r="EH29876"/>
      <c r="EI29876"/>
      <c r="EJ29876"/>
      <c r="EK29876"/>
    </row>
    <row r="29877" spans="1:141" s="116" customFormat="1">
      <c r="A29877" s="136"/>
      <c r="CM29877" s="111"/>
      <c r="CQ29877" s="111"/>
      <c r="EF29877"/>
      <c r="EG29877"/>
      <c r="EH29877"/>
      <c r="EI29877"/>
      <c r="EJ29877"/>
      <c r="EK29877"/>
    </row>
    <row r="29878" spans="1:141" s="116" customFormat="1">
      <c r="A29878" s="136"/>
      <c r="CM29878" s="111"/>
      <c r="CQ29878" s="111"/>
      <c r="EF29878"/>
      <c r="EG29878"/>
      <c r="EH29878"/>
      <c r="EI29878"/>
      <c r="EJ29878"/>
      <c r="EK29878"/>
    </row>
    <row r="29879" spans="1:141" s="116" customFormat="1">
      <c r="A29879" s="136"/>
      <c r="CM29879" s="111"/>
      <c r="CQ29879" s="111"/>
      <c r="EF29879"/>
      <c r="EG29879"/>
      <c r="EH29879"/>
      <c r="EI29879"/>
      <c r="EJ29879"/>
      <c r="EK29879"/>
    </row>
    <row r="29880" spans="1:141" s="116" customFormat="1">
      <c r="A29880" s="136"/>
      <c r="CM29880" s="111"/>
      <c r="CQ29880" s="111"/>
      <c r="EF29880"/>
      <c r="EG29880"/>
      <c r="EH29880"/>
      <c r="EI29880"/>
      <c r="EJ29880"/>
      <c r="EK29880"/>
    </row>
    <row r="29881" spans="1:141" s="116" customFormat="1">
      <c r="A29881" s="136"/>
      <c r="CM29881" s="111"/>
      <c r="CQ29881" s="111"/>
      <c r="EF29881"/>
      <c r="EG29881"/>
      <c r="EH29881"/>
      <c r="EI29881"/>
      <c r="EJ29881"/>
      <c r="EK29881"/>
    </row>
    <row r="29882" spans="1:141" s="116" customFormat="1">
      <c r="A29882" s="136"/>
      <c r="CM29882" s="111"/>
      <c r="CQ29882" s="111"/>
      <c r="EF29882"/>
      <c r="EG29882"/>
      <c r="EH29882"/>
      <c r="EI29882"/>
      <c r="EJ29882"/>
      <c r="EK29882"/>
    </row>
    <row r="29883" spans="1:141" s="116" customFormat="1">
      <c r="A29883" s="136"/>
      <c r="CM29883" s="111"/>
      <c r="CQ29883" s="111"/>
      <c r="EF29883"/>
      <c r="EG29883"/>
      <c r="EH29883"/>
      <c r="EI29883"/>
      <c r="EJ29883"/>
      <c r="EK29883"/>
    </row>
    <row r="29884" spans="1:141" s="116" customFormat="1">
      <c r="A29884" s="136"/>
      <c r="CM29884" s="111"/>
      <c r="CQ29884" s="111"/>
      <c r="EF29884"/>
      <c r="EG29884"/>
      <c r="EH29884"/>
      <c r="EI29884"/>
      <c r="EJ29884"/>
      <c r="EK29884"/>
    </row>
    <row r="29885" spans="1:141" s="116" customFormat="1">
      <c r="A29885" s="136"/>
      <c r="CM29885" s="111"/>
      <c r="CQ29885" s="111"/>
      <c r="EF29885"/>
      <c r="EG29885"/>
      <c r="EH29885"/>
      <c r="EI29885"/>
      <c r="EJ29885"/>
      <c r="EK29885"/>
    </row>
    <row r="29886" spans="1:141" s="116" customFormat="1">
      <c r="A29886" s="136"/>
      <c r="CM29886" s="111"/>
      <c r="CQ29886" s="111"/>
      <c r="EF29886"/>
      <c r="EG29886"/>
      <c r="EH29886"/>
      <c r="EI29886"/>
      <c r="EJ29886"/>
      <c r="EK29886"/>
    </row>
    <row r="29887" spans="1:141" s="116" customFormat="1">
      <c r="A29887" s="136"/>
      <c r="CM29887" s="111"/>
      <c r="CQ29887" s="111"/>
      <c r="EF29887"/>
      <c r="EG29887"/>
      <c r="EH29887"/>
      <c r="EI29887"/>
      <c r="EJ29887"/>
      <c r="EK29887"/>
    </row>
    <row r="29888" spans="1:141" s="116" customFormat="1">
      <c r="A29888" s="136"/>
      <c r="CM29888" s="111"/>
      <c r="CQ29888" s="111"/>
      <c r="EF29888"/>
      <c r="EG29888"/>
      <c r="EH29888"/>
      <c r="EI29888"/>
      <c r="EJ29888"/>
      <c r="EK29888"/>
    </row>
    <row r="29889" spans="1:141" s="116" customFormat="1">
      <c r="A29889" s="136"/>
      <c r="CM29889" s="111"/>
      <c r="CQ29889" s="111"/>
      <c r="EF29889"/>
      <c r="EG29889"/>
      <c r="EH29889"/>
      <c r="EI29889"/>
      <c r="EJ29889"/>
      <c r="EK29889"/>
    </row>
    <row r="29890" spans="1:141" s="116" customFormat="1">
      <c r="A29890" s="136"/>
      <c r="CM29890" s="111"/>
      <c r="CQ29890" s="111"/>
      <c r="EF29890"/>
      <c r="EG29890"/>
      <c r="EH29890"/>
      <c r="EI29890"/>
      <c r="EJ29890"/>
      <c r="EK29890"/>
    </row>
    <row r="29891" spans="1:141" s="116" customFormat="1">
      <c r="A29891" s="136"/>
      <c r="CM29891" s="111"/>
      <c r="CQ29891" s="111"/>
      <c r="EF29891"/>
      <c r="EG29891"/>
      <c r="EH29891"/>
      <c r="EI29891"/>
      <c r="EJ29891"/>
      <c r="EK29891"/>
    </row>
    <row r="29892" spans="1:141" s="116" customFormat="1">
      <c r="A29892" s="136"/>
      <c r="CM29892" s="111"/>
      <c r="CQ29892" s="111"/>
      <c r="EF29892"/>
      <c r="EG29892"/>
      <c r="EH29892"/>
      <c r="EI29892"/>
      <c r="EJ29892"/>
      <c r="EK29892"/>
    </row>
    <row r="29893" spans="1:141" s="116" customFormat="1">
      <c r="A29893" s="136"/>
      <c r="CM29893" s="111"/>
      <c r="CQ29893" s="111"/>
      <c r="EF29893"/>
      <c r="EG29893"/>
      <c r="EH29893"/>
      <c r="EI29893"/>
      <c r="EJ29893"/>
      <c r="EK29893"/>
    </row>
    <row r="29894" spans="1:141" s="116" customFormat="1">
      <c r="A29894" s="136"/>
      <c r="CM29894" s="111"/>
      <c r="CQ29894" s="111"/>
      <c r="EF29894"/>
      <c r="EG29894"/>
      <c r="EH29894"/>
      <c r="EI29894"/>
      <c r="EJ29894"/>
      <c r="EK29894"/>
    </row>
    <row r="29895" spans="1:141" s="116" customFormat="1">
      <c r="A29895" s="136"/>
      <c r="CM29895" s="111"/>
      <c r="CQ29895" s="111"/>
      <c r="EF29895"/>
      <c r="EG29895"/>
      <c r="EH29895"/>
      <c r="EI29895"/>
      <c r="EJ29895"/>
      <c r="EK29895"/>
    </row>
    <row r="29896" spans="1:141" s="116" customFormat="1">
      <c r="A29896" s="136"/>
      <c r="CM29896" s="111"/>
      <c r="CQ29896" s="111"/>
      <c r="EF29896"/>
      <c r="EG29896"/>
      <c r="EH29896"/>
      <c r="EI29896"/>
      <c r="EJ29896"/>
      <c r="EK29896"/>
    </row>
    <row r="29897" spans="1:141" s="116" customFormat="1">
      <c r="A29897" s="136"/>
      <c r="CM29897" s="111"/>
      <c r="CQ29897" s="111"/>
      <c r="EF29897"/>
      <c r="EG29897"/>
      <c r="EH29897"/>
      <c r="EI29897"/>
      <c r="EJ29897"/>
      <c r="EK29897"/>
    </row>
    <row r="29898" spans="1:141" s="116" customFormat="1">
      <c r="A29898" s="136"/>
      <c r="CM29898" s="111"/>
      <c r="CQ29898" s="111"/>
      <c r="EF29898"/>
      <c r="EG29898"/>
      <c r="EH29898"/>
      <c r="EI29898"/>
      <c r="EJ29898"/>
      <c r="EK29898"/>
    </row>
    <row r="29899" spans="1:141" s="116" customFormat="1">
      <c r="A29899" s="136"/>
      <c r="CM29899" s="111"/>
      <c r="CQ29899" s="111"/>
      <c r="EF29899"/>
      <c r="EG29899"/>
      <c r="EH29899"/>
      <c r="EI29899"/>
      <c r="EJ29899"/>
      <c r="EK29899"/>
    </row>
    <row r="29900" spans="1:141" s="116" customFormat="1">
      <c r="A29900" s="136"/>
      <c r="CM29900" s="111"/>
      <c r="CQ29900" s="111"/>
      <c r="EF29900"/>
      <c r="EG29900"/>
      <c r="EH29900"/>
      <c r="EI29900"/>
      <c r="EJ29900"/>
      <c r="EK29900"/>
    </row>
    <row r="29901" spans="1:141" s="116" customFormat="1">
      <c r="A29901" s="136"/>
      <c r="CM29901" s="111"/>
      <c r="CQ29901" s="111"/>
      <c r="EF29901"/>
      <c r="EG29901"/>
      <c r="EH29901"/>
      <c r="EI29901"/>
      <c r="EJ29901"/>
      <c r="EK29901"/>
    </row>
    <row r="29902" spans="1:141" s="116" customFormat="1">
      <c r="A29902" s="136"/>
      <c r="CM29902" s="111"/>
      <c r="CQ29902" s="111"/>
      <c r="EF29902"/>
      <c r="EG29902"/>
      <c r="EH29902"/>
      <c r="EI29902"/>
      <c r="EJ29902"/>
      <c r="EK29902"/>
    </row>
    <row r="29903" spans="1:141" s="116" customFormat="1">
      <c r="A29903" s="136"/>
      <c r="CM29903" s="111"/>
      <c r="CQ29903" s="111"/>
      <c r="EF29903"/>
      <c r="EG29903"/>
      <c r="EH29903"/>
      <c r="EI29903"/>
      <c r="EJ29903"/>
      <c r="EK29903"/>
    </row>
    <row r="29904" spans="1:141" s="116" customFormat="1">
      <c r="A29904" s="136"/>
      <c r="CM29904" s="111"/>
      <c r="CQ29904" s="111"/>
      <c r="EF29904"/>
      <c r="EG29904"/>
      <c r="EH29904"/>
      <c r="EI29904"/>
      <c r="EJ29904"/>
      <c r="EK29904"/>
    </row>
    <row r="29905" spans="1:141" s="116" customFormat="1">
      <c r="A29905" s="136"/>
      <c r="CM29905" s="111"/>
      <c r="CQ29905" s="111"/>
      <c r="EF29905"/>
      <c r="EG29905"/>
      <c r="EH29905"/>
      <c r="EI29905"/>
      <c r="EJ29905"/>
      <c r="EK29905"/>
    </row>
    <row r="29906" spans="1:141" s="116" customFormat="1">
      <c r="A29906" s="136"/>
      <c r="CM29906" s="111"/>
      <c r="CQ29906" s="111"/>
      <c r="EF29906"/>
      <c r="EG29906"/>
      <c r="EH29906"/>
      <c r="EI29906"/>
      <c r="EJ29906"/>
      <c r="EK29906"/>
    </row>
    <row r="29907" spans="1:141" s="116" customFormat="1">
      <c r="A29907" s="136"/>
      <c r="CM29907" s="111"/>
      <c r="CQ29907" s="111"/>
      <c r="EF29907"/>
      <c r="EG29907"/>
      <c r="EH29907"/>
      <c r="EI29907"/>
      <c r="EJ29907"/>
      <c r="EK29907"/>
    </row>
    <row r="29908" spans="1:141" s="116" customFormat="1">
      <c r="A29908" s="136"/>
      <c r="CM29908" s="111"/>
      <c r="CQ29908" s="111"/>
      <c r="EF29908"/>
      <c r="EG29908"/>
      <c r="EH29908"/>
      <c r="EI29908"/>
      <c r="EJ29908"/>
      <c r="EK29908"/>
    </row>
    <row r="29909" spans="1:141" s="116" customFormat="1">
      <c r="A29909" s="136"/>
      <c r="CM29909" s="111"/>
      <c r="CQ29909" s="111"/>
      <c r="EF29909"/>
      <c r="EG29909"/>
      <c r="EH29909"/>
      <c r="EI29909"/>
      <c r="EJ29909"/>
      <c r="EK29909"/>
    </row>
    <row r="29910" spans="1:141" s="116" customFormat="1">
      <c r="A29910" s="136"/>
      <c r="CM29910" s="111"/>
      <c r="CQ29910" s="111"/>
      <c r="EF29910"/>
      <c r="EG29910"/>
      <c r="EH29910"/>
      <c r="EI29910"/>
      <c r="EJ29910"/>
      <c r="EK29910"/>
    </row>
    <row r="29911" spans="1:141" s="116" customFormat="1">
      <c r="A29911" s="136"/>
      <c r="CM29911" s="111"/>
      <c r="CQ29911" s="111"/>
      <c r="EF29911"/>
      <c r="EG29911"/>
      <c r="EH29911"/>
      <c r="EI29911"/>
      <c r="EJ29911"/>
      <c r="EK29911"/>
    </row>
    <row r="29912" spans="1:141" s="116" customFormat="1">
      <c r="A29912" s="136"/>
      <c r="CM29912" s="111"/>
      <c r="CQ29912" s="111"/>
      <c r="EF29912"/>
      <c r="EG29912"/>
      <c r="EH29912"/>
      <c r="EI29912"/>
      <c r="EJ29912"/>
      <c r="EK29912"/>
    </row>
    <row r="29913" spans="1:141" s="116" customFormat="1">
      <c r="A29913" s="136"/>
      <c r="CM29913" s="111"/>
      <c r="CQ29913" s="111"/>
      <c r="EF29913"/>
      <c r="EG29913"/>
      <c r="EH29913"/>
      <c r="EI29913"/>
      <c r="EJ29913"/>
      <c r="EK29913"/>
    </row>
    <row r="29914" spans="1:141" s="116" customFormat="1">
      <c r="A29914" s="136"/>
      <c r="CM29914" s="111"/>
      <c r="CQ29914" s="111"/>
      <c r="EF29914"/>
      <c r="EG29914"/>
      <c r="EH29914"/>
      <c r="EI29914"/>
      <c r="EJ29914"/>
      <c r="EK29914"/>
    </row>
    <row r="29915" spans="1:141" s="116" customFormat="1">
      <c r="A29915" s="136"/>
      <c r="CM29915" s="111"/>
      <c r="CQ29915" s="111"/>
      <c r="EF29915"/>
      <c r="EG29915"/>
      <c r="EH29915"/>
      <c r="EI29915"/>
      <c r="EJ29915"/>
      <c r="EK29915"/>
    </row>
    <row r="29916" spans="1:141" s="116" customFormat="1">
      <c r="A29916" s="136"/>
      <c r="CM29916" s="111"/>
      <c r="CQ29916" s="111"/>
      <c r="EF29916"/>
      <c r="EG29916"/>
      <c r="EH29916"/>
      <c r="EI29916"/>
      <c r="EJ29916"/>
      <c r="EK29916"/>
    </row>
    <row r="29917" spans="1:141" s="116" customFormat="1">
      <c r="A29917" s="136"/>
      <c r="CM29917" s="111"/>
      <c r="CQ29917" s="111"/>
      <c r="EF29917"/>
      <c r="EG29917"/>
      <c r="EH29917"/>
      <c r="EI29917"/>
      <c r="EJ29917"/>
      <c r="EK29917"/>
    </row>
    <row r="29918" spans="1:141" s="116" customFormat="1">
      <c r="A29918" s="136"/>
      <c r="CM29918" s="111"/>
      <c r="CQ29918" s="111"/>
      <c r="EF29918"/>
      <c r="EG29918"/>
      <c r="EH29918"/>
      <c r="EI29918"/>
      <c r="EJ29918"/>
      <c r="EK29918"/>
    </row>
    <row r="29919" spans="1:141" s="116" customFormat="1">
      <c r="A29919" s="136"/>
      <c r="CM29919" s="111"/>
      <c r="CQ29919" s="111"/>
      <c r="EF29919"/>
      <c r="EG29919"/>
      <c r="EH29919"/>
      <c r="EI29919"/>
      <c r="EJ29919"/>
      <c r="EK29919"/>
    </row>
    <row r="29920" spans="1:141" s="116" customFormat="1">
      <c r="A29920" s="136"/>
      <c r="CM29920" s="111"/>
      <c r="CQ29920" s="111"/>
      <c r="EF29920"/>
      <c r="EG29920"/>
      <c r="EH29920"/>
      <c r="EI29920"/>
      <c r="EJ29920"/>
      <c r="EK29920"/>
    </row>
    <row r="29921" spans="1:141" s="116" customFormat="1">
      <c r="A29921" s="136"/>
      <c r="CM29921" s="111"/>
      <c r="CQ29921" s="111"/>
      <c r="EF29921"/>
      <c r="EG29921"/>
      <c r="EH29921"/>
      <c r="EI29921"/>
      <c r="EJ29921"/>
      <c r="EK29921"/>
    </row>
    <row r="29922" spans="1:141" s="116" customFormat="1">
      <c r="A29922" s="136"/>
      <c r="CM29922" s="111"/>
      <c r="CQ29922" s="111"/>
      <c r="EF29922"/>
      <c r="EG29922"/>
      <c r="EH29922"/>
      <c r="EI29922"/>
      <c r="EJ29922"/>
      <c r="EK29922"/>
    </row>
    <row r="29923" spans="1:141" s="116" customFormat="1">
      <c r="A29923" s="136"/>
      <c r="CM29923" s="111"/>
      <c r="CQ29923" s="111"/>
      <c r="EF29923"/>
      <c r="EG29923"/>
      <c r="EH29923"/>
      <c r="EI29923"/>
      <c r="EJ29923"/>
      <c r="EK29923"/>
    </row>
    <row r="29924" spans="1:141" s="116" customFormat="1">
      <c r="A29924" s="136"/>
      <c r="CM29924" s="111"/>
      <c r="CQ29924" s="111"/>
      <c r="EF29924"/>
      <c r="EG29924"/>
      <c r="EH29924"/>
      <c r="EI29924"/>
      <c r="EJ29924"/>
      <c r="EK29924"/>
    </row>
    <row r="29925" spans="1:141" s="116" customFormat="1">
      <c r="A29925" s="136"/>
      <c r="CM29925" s="111"/>
      <c r="CQ29925" s="111"/>
      <c r="EF29925"/>
      <c r="EG29925"/>
      <c r="EH29925"/>
      <c r="EI29925"/>
      <c r="EJ29925"/>
      <c r="EK29925"/>
    </row>
    <row r="29926" spans="1:141" s="116" customFormat="1">
      <c r="A29926" s="136"/>
      <c r="CM29926" s="111"/>
      <c r="CQ29926" s="111"/>
      <c r="EF29926"/>
      <c r="EG29926"/>
      <c r="EH29926"/>
      <c r="EI29926"/>
      <c r="EJ29926"/>
      <c r="EK29926"/>
    </row>
    <row r="29927" spans="1:141" s="116" customFormat="1">
      <c r="A29927" s="136"/>
      <c r="CM29927" s="111"/>
      <c r="CQ29927" s="111"/>
      <c r="EF29927"/>
      <c r="EG29927"/>
      <c r="EH29927"/>
      <c r="EI29927"/>
      <c r="EJ29927"/>
      <c r="EK29927"/>
    </row>
    <row r="29928" spans="1:141" s="116" customFormat="1">
      <c r="A29928" s="136"/>
      <c r="CM29928" s="111"/>
      <c r="CQ29928" s="111"/>
      <c r="EF29928"/>
      <c r="EG29928"/>
      <c r="EH29928"/>
      <c r="EI29928"/>
      <c r="EJ29928"/>
      <c r="EK29928"/>
    </row>
    <row r="29929" spans="1:141" s="116" customFormat="1">
      <c r="A29929" s="136"/>
      <c r="CM29929" s="111"/>
      <c r="CQ29929" s="111"/>
      <c r="EF29929"/>
      <c r="EG29929"/>
      <c r="EH29929"/>
      <c r="EI29929"/>
      <c r="EJ29929"/>
      <c r="EK29929"/>
    </row>
    <row r="29930" spans="1:141" s="116" customFormat="1">
      <c r="A29930" s="136"/>
      <c r="CM29930" s="111"/>
      <c r="CQ29930" s="111"/>
      <c r="EF29930"/>
      <c r="EG29930"/>
      <c r="EH29930"/>
      <c r="EI29930"/>
      <c r="EJ29930"/>
      <c r="EK29930"/>
    </row>
    <row r="29931" spans="1:141" s="116" customFormat="1">
      <c r="A29931" s="136"/>
      <c r="CM29931" s="111"/>
      <c r="CQ29931" s="111"/>
      <c r="EF29931"/>
      <c r="EG29931"/>
      <c r="EH29931"/>
      <c r="EI29931"/>
      <c r="EJ29931"/>
      <c r="EK29931"/>
    </row>
    <row r="29932" spans="1:141" s="116" customFormat="1">
      <c r="A29932" s="136"/>
      <c r="CM29932" s="111"/>
      <c r="CQ29932" s="111"/>
      <c r="EF29932"/>
      <c r="EG29932"/>
      <c r="EH29932"/>
      <c r="EI29932"/>
      <c r="EJ29932"/>
      <c r="EK29932"/>
    </row>
    <row r="29933" spans="1:141" s="116" customFormat="1">
      <c r="A29933" s="136"/>
      <c r="CM29933" s="111"/>
      <c r="CQ29933" s="111"/>
      <c r="EF29933"/>
      <c r="EG29933"/>
      <c r="EH29933"/>
      <c r="EI29933"/>
      <c r="EJ29933"/>
      <c r="EK29933"/>
    </row>
    <row r="29934" spans="1:141" s="116" customFormat="1">
      <c r="A29934" s="136"/>
      <c r="CM29934" s="111"/>
      <c r="CQ29934" s="111"/>
      <c r="EF29934"/>
      <c r="EG29934"/>
      <c r="EH29934"/>
      <c r="EI29934"/>
      <c r="EJ29934"/>
      <c r="EK29934"/>
    </row>
    <row r="29935" spans="1:141" s="116" customFormat="1">
      <c r="A29935" s="136"/>
      <c r="CM29935" s="111"/>
      <c r="CQ29935" s="111"/>
      <c r="EF29935"/>
      <c r="EG29935"/>
      <c r="EH29935"/>
      <c r="EI29935"/>
      <c r="EJ29935"/>
      <c r="EK29935"/>
    </row>
    <row r="29936" spans="1:141" s="116" customFormat="1">
      <c r="A29936" s="136"/>
      <c r="CM29936" s="111"/>
      <c r="CQ29936" s="111"/>
      <c r="EF29936"/>
      <c r="EG29936"/>
      <c r="EH29936"/>
      <c r="EI29936"/>
      <c r="EJ29936"/>
      <c r="EK29936"/>
    </row>
    <row r="29937" spans="1:141" s="116" customFormat="1">
      <c r="A29937" s="136"/>
      <c r="CM29937" s="111"/>
      <c r="CQ29937" s="111"/>
      <c r="EF29937"/>
      <c r="EG29937"/>
      <c r="EH29937"/>
      <c r="EI29937"/>
      <c r="EJ29937"/>
      <c r="EK29937"/>
    </row>
    <row r="29938" spans="1:141" s="116" customFormat="1">
      <c r="A29938" s="136"/>
      <c r="CM29938" s="111"/>
      <c r="CQ29938" s="111"/>
      <c r="EF29938"/>
      <c r="EG29938"/>
      <c r="EH29938"/>
      <c r="EI29938"/>
      <c r="EJ29938"/>
      <c r="EK29938"/>
    </row>
    <row r="29939" spans="1:141" s="116" customFormat="1">
      <c r="A29939" s="136"/>
      <c r="CM29939" s="111"/>
      <c r="CQ29939" s="111"/>
      <c r="EF29939"/>
      <c r="EG29939"/>
      <c r="EH29939"/>
      <c r="EI29939"/>
      <c r="EJ29939"/>
      <c r="EK29939"/>
    </row>
    <row r="29940" spans="1:141" s="116" customFormat="1">
      <c r="A29940" s="136"/>
      <c r="CM29940" s="111"/>
      <c r="CQ29940" s="111"/>
      <c r="EF29940"/>
      <c r="EG29940"/>
      <c r="EH29940"/>
      <c r="EI29940"/>
      <c r="EJ29940"/>
      <c r="EK29940"/>
    </row>
    <row r="29941" spans="1:141" s="116" customFormat="1">
      <c r="A29941" s="136"/>
      <c r="CM29941" s="111"/>
      <c r="CQ29941" s="111"/>
      <c r="EF29941"/>
      <c r="EG29941"/>
      <c r="EH29941"/>
      <c r="EI29941"/>
      <c r="EJ29941"/>
      <c r="EK29941"/>
    </row>
    <row r="29942" spans="1:141" s="116" customFormat="1">
      <c r="A29942" s="136"/>
      <c r="CM29942" s="111"/>
      <c r="CQ29942" s="111"/>
      <c r="EF29942"/>
      <c r="EG29942"/>
      <c r="EH29942"/>
      <c r="EI29942"/>
      <c r="EJ29942"/>
      <c r="EK29942"/>
    </row>
    <row r="29943" spans="1:141" s="116" customFormat="1">
      <c r="A29943" s="136"/>
      <c r="CM29943" s="111"/>
      <c r="CQ29943" s="111"/>
      <c r="EF29943"/>
      <c r="EG29943"/>
      <c r="EH29943"/>
      <c r="EI29943"/>
      <c r="EJ29943"/>
      <c r="EK29943"/>
    </row>
    <row r="29944" spans="1:141" s="116" customFormat="1">
      <c r="A29944" s="136"/>
      <c r="CM29944" s="111"/>
      <c r="CQ29944" s="111"/>
      <c r="EF29944"/>
      <c r="EG29944"/>
      <c r="EH29944"/>
      <c r="EI29944"/>
      <c r="EJ29944"/>
      <c r="EK29944"/>
    </row>
    <row r="29945" spans="1:141" s="116" customFormat="1">
      <c r="A29945" s="136"/>
      <c r="CM29945" s="111"/>
      <c r="CQ29945" s="111"/>
      <c r="EF29945"/>
      <c r="EG29945"/>
      <c r="EH29945"/>
      <c r="EI29945"/>
      <c r="EJ29945"/>
      <c r="EK29945"/>
    </row>
    <row r="29946" spans="1:141" s="116" customFormat="1">
      <c r="A29946" s="136"/>
      <c r="CM29946" s="111"/>
      <c r="CQ29946" s="111"/>
      <c r="EF29946"/>
      <c r="EG29946"/>
      <c r="EH29946"/>
      <c r="EI29946"/>
      <c r="EJ29946"/>
      <c r="EK29946"/>
    </row>
    <row r="29947" spans="1:141" s="116" customFormat="1">
      <c r="A29947" s="136"/>
      <c r="CM29947" s="111"/>
      <c r="CQ29947" s="111"/>
      <c r="EF29947"/>
      <c r="EG29947"/>
      <c r="EH29947"/>
      <c r="EI29947"/>
      <c r="EJ29947"/>
      <c r="EK29947"/>
    </row>
    <row r="29948" spans="1:141" s="116" customFormat="1">
      <c r="A29948" s="136"/>
      <c r="CM29948" s="111"/>
      <c r="CQ29948" s="111"/>
      <c r="EF29948"/>
      <c r="EG29948"/>
      <c r="EH29948"/>
      <c r="EI29948"/>
      <c r="EJ29948"/>
      <c r="EK29948"/>
    </row>
    <row r="29949" spans="1:141" s="116" customFormat="1">
      <c r="A29949" s="136"/>
      <c r="CM29949" s="111"/>
      <c r="CQ29949" s="111"/>
      <c r="EF29949"/>
      <c r="EG29949"/>
      <c r="EH29949"/>
      <c r="EI29949"/>
      <c r="EJ29949"/>
      <c r="EK29949"/>
    </row>
    <row r="29950" spans="1:141" s="116" customFormat="1">
      <c r="A29950" s="136"/>
      <c r="CM29950" s="111"/>
      <c r="CQ29950" s="111"/>
      <c r="EF29950"/>
      <c r="EG29950"/>
      <c r="EH29950"/>
      <c r="EI29950"/>
      <c r="EJ29950"/>
      <c r="EK29950"/>
    </row>
    <row r="29951" spans="1:141" s="116" customFormat="1">
      <c r="A29951" s="136"/>
      <c r="CM29951" s="111"/>
      <c r="CQ29951" s="111"/>
      <c r="EF29951"/>
      <c r="EG29951"/>
      <c r="EH29951"/>
      <c r="EI29951"/>
      <c r="EJ29951"/>
      <c r="EK29951"/>
    </row>
    <row r="29952" spans="1:141" s="116" customFormat="1">
      <c r="A29952" s="136"/>
      <c r="CM29952" s="111"/>
      <c r="CQ29952" s="111"/>
      <c r="EF29952"/>
      <c r="EG29952"/>
      <c r="EH29952"/>
      <c r="EI29952"/>
      <c r="EJ29952"/>
      <c r="EK29952"/>
    </row>
    <row r="29953" spans="1:141" s="116" customFormat="1">
      <c r="A29953" s="136"/>
      <c r="CM29953" s="111"/>
      <c r="CQ29953" s="111"/>
      <c r="EF29953"/>
      <c r="EG29953"/>
      <c r="EH29953"/>
      <c r="EI29953"/>
      <c r="EJ29953"/>
      <c r="EK29953"/>
    </row>
    <row r="29954" spans="1:141" s="116" customFormat="1">
      <c r="A29954" s="136"/>
      <c r="CM29954" s="111"/>
      <c r="CQ29954" s="111"/>
      <c r="EF29954"/>
      <c r="EG29954"/>
      <c r="EH29954"/>
      <c r="EI29954"/>
      <c r="EJ29954"/>
      <c r="EK29954"/>
    </row>
    <row r="29955" spans="1:141" s="116" customFormat="1">
      <c r="A29955" s="136"/>
      <c r="CM29955" s="111"/>
      <c r="CQ29955" s="111"/>
      <c r="EF29955"/>
      <c r="EG29955"/>
      <c r="EH29955"/>
      <c r="EI29955"/>
      <c r="EJ29955"/>
      <c r="EK29955"/>
    </row>
    <row r="29956" spans="1:141" s="116" customFormat="1">
      <c r="A29956" s="136"/>
      <c r="CM29956" s="111"/>
      <c r="CQ29956" s="111"/>
      <c r="EF29956"/>
      <c r="EG29956"/>
      <c r="EH29956"/>
      <c r="EI29956"/>
      <c r="EJ29956"/>
      <c r="EK29956"/>
    </row>
    <row r="29957" spans="1:141" s="116" customFormat="1">
      <c r="A29957" s="136"/>
      <c r="CM29957" s="111"/>
      <c r="CQ29957" s="111"/>
      <c r="EF29957"/>
      <c r="EG29957"/>
      <c r="EH29957"/>
      <c r="EI29957"/>
      <c r="EJ29957"/>
      <c r="EK29957"/>
    </row>
    <row r="29958" spans="1:141" s="116" customFormat="1">
      <c r="A29958" s="136"/>
      <c r="CM29958" s="111"/>
      <c r="CQ29958" s="111"/>
      <c r="EF29958"/>
      <c r="EG29958"/>
      <c r="EH29958"/>
      <c r="EI29958"/>
      <c r="EJ29958"/>
      <c r="EK29958"/>
    </row>
    <row r="29959" spans="1:141" s="116" customFormat="1">
      <c r="A29959" s="136"/>
      <c r="CM29959" s="111"/>
      <c r="CQ29959" s="111"/>
      <c r="EF29959"/>
      <c r="EG29959"/>
      <c r="EH29959"/>
      <c r="EI29959"/>
      <c r="EJ29959"/>
      <c r="EK29959"/>
    </row>
    <row r="29960" spans="1:141" s="116" customFormat="1">
      <c r="A29960" s="136"/>
      <c r="CM29960" s="111"/>
      <c r="CQ29960" s="111"/>
      <c r="EF29960"/>
      <c r="EG29960"/>
      <c r="EH29960"/>
      <c r="EI29960"/>
      <c r="EJ29960"/>
      <c r="EK29960"/>
    </row>
    <row r="29961" spans="1:141" s="116" customFormat="1">
      <c r="A29961" s="136"/>
      <c r="CM29961" s="111"/>
      <c r="CQ29961" s="111"/>
      <c r="EF29961"/>
      <c r="EG29961"/>
      <c r="EH29961"/>
      <c r="EI29961"/>
      <c r="EJ29961"/>
      <c r="EK29961"/>
    </row>
    <row r="29962" spans="1:141" s="116" customFormat="1">
      <c r="A29962" s="136"/>
      <c r="CM29962" s="111"/>
      <c r="CQ29962" s="111"/>
      <c r="EF29962"/>
      <c r="EG29962"/>
      <c r="EH29962"/>
      <c r="EI29962"/>
      <c r="EJ29962"/>
      <c r="EK29962"/>
    </row>
    <row r="29963" spans="1:141" s="116" customFormat="1">
      <c r="A29963" s="136"/>
      <c r="CM29963" s="111"/>
      <c r="CQ29963" s="111"/>
      <c r="EF29963"/>
      <c r="EG29963"/>
      <c r="EH29963"/>
      <c r="EI29963"/>
      <c r="EJ29963"/>
      <c r="EK29963"/>
    </row>
    <row r="29964" spans="1:141" s="116" customFormat="1">
      <c r="A29964" s="136"/>
      <c r="CM29964" s="111"/>
      <c r="CQ29964" s="111"/>
      <c r="EF29964"/>
      <c r="EG29964"/>
      <c r="EH29964"/>
      <c r="EI29964"/>
      <c r="EJ29964"/>
      <c r="EK29964"/>
    </row>
    <row r="29965" spans="1:141" s="116" customFormat="1">
      <c r="A29965" s="136"/>
      <c r="CM29965" s="111"/>
      <c r="CQ29965" s="111"/>
      <c r="EF29965"/>
      <c r="EG29965"/>
      <c r="EH29965"/>
      <c r="EI29965"/>
      <c r="EJ29965"/>
      <c r="EK29965"/>
    </row>
    <row r="29966" spans="1:141" s="116" customFormat="1">
      <c r="A29966" s="136"/>
      <c r="CM29966" s="111"/>
      <c r="CQ29966" s="111"/>
      <c r="EF29966"/>
      <c r="EG29966"/>
      <c r="EH29966"/>
      <c r="EI29966"/>
      <c r="EJ29966"/>
      <c r="EK29966"/>
    </row>
    <row r="29967" spans="1:141" s="116" customFormat="1">
      <c r="A29967" s="136"/>
      <c r="CM29967" s="111"/>
      <c r="CQ29967" s="111"/>
      <c r="EF29967"/>
      <c r="EG29967"/>
      <c r="EH29967"/>
      <c r="EI29967"/>
      <c r="EJ29967"/>
      <c r="EK29967"/>
    </row>
    <row r="29968" spans="1:141" s="116" customFormat="1">
      <c r="A29968" s="136"/>
      <c r="CM29968" s="111"/>
      <c r="CQ29968" s="111"/>
      <c r="EF29968"/>
      <c r="EG29968"/>
      <c r="EH29968"/>
      <c r="EI29968"/>
      <c r="EJ29968"/>
      <c r="EK29968"/>
    </row>
    <row r="29969" spans="1:141" s="116" customFormat="1">
      <c r="A29969" s="136"/>
      <c r="CM29969" s="111"/>
      <c r="CQ29969" s="111"/>
      <c r="EF29969"/>
      <c r="EG29969"/>
      <c r="EH29969"/>
      <c r="EI29969"/>
      <c r="EJ29969"/>
      <c r="EK29969"/>
    </row>
    <row r="29970" spans="1:141" s="116" customFormat="1">
      <c r="A29970" s="136"/>
      <c r="CM29970" s="111"/>
      <c r="CQ29970" s="111"/>
      <c r="EF29970"/>
      <c r="EG29970"/>
      <c r="EH29970"/>
      <c r="EI29970"/>
      <c r="EJ29970"/>
      <c r="EK29970"/>
    </row>
    <row r="29971" spans="1:141" s="116" customFormat="1">
      <c r="A29971" s="136"/>
      <c r="CM29971" s="111"/>
      <c r="CQ29971" s="111"/>
      <c r="EF29971"/>
      <c r="EG29971"/>
      <c r="EH29971"/>
      <c r="EI29971"/>
      <c r="EJ29971"/>
      <c r="EK29971"/>
    </row>
    <row r="29972" spans="1:141" s="116" customFormat="1">
      <c r="A29972" s="136"/>
      <c r="CM29972" s="111"/>
      <c r="CQ29972" s="111"/>
      <c r="EF29972"/>
      <c r="EG29972"/>
      <c r="EH29972"/>
      <c r="EI29972"/>
      <c r="EJ29972"/>
      <c r="EK29972"/>
    </row>
    <row r="29973" spans="1:141" s="116" customFormat="1">
      <c r="A29973" s="136"/>
      <c r="CM29973" s="111"/>
      <c r="CQ29973" s="111"/>
      <c r="EF29973"/>
      <c r="EG29973"/>
      <c r="EH29973"/>
      <c r="EI29973"/>
      <c r="EJ29973"/>
      <c r="EK29973"/>
    </row>
    <row r="29974" spans="1:141" s="116" customFormat="1">
      <c r="A29974" s="136"/>
      <c r="CM29974" s="111"/>
      <c r="CQ29974" s="111"/>
      <c r="EF29974"/>
      <c r="EG29974"/>
      <c r="EH29974"/>
      <c r="EI29974"/>
      <c r="EJ29974"/>
      <c r="EK29974"/>
    </row>
    <row r="29975" spans="1:141" s="116" customFormat="1">
      <c r="A29975" s="136"/>
      <c r="CM29975" s="111"/>
      <c r="CQ29975" s="111"/>
      <c r="EF29975"/>
      <c r="EG29975"/>
      <c r="EH29975"/>
      <c r="EI29975"/>
      <c r="EJ29975"/>
      <c r="EK29975"/>
    </row>
    <row r="29976" spans="1:141" s="116" customFormat="1">
      <c r="A29976" s="136"/>
      <c r="CM29976" s="111"/>
      <c r="CQ29976" s="111"/>
      <c r="EF29976"/>
      <c r="EG29976"/>
      <c r="EH29976"/>
      <c r="EI29976"/>
      <c r="EJ29976"/>
      <c r="EK29976"/>
    </row>
    <row r="29977" spans="1:141" s="116" customFormat="1">
      <c r="A29977" s="136"/>
      <c r="CM29977" s="111"/>
      <c r="CQ29977" s="111"/>
      <c r="EF29977"/>
      <c r="EG29977"/>
      <c r="EH29977"/>
      <c r="EI29977"/>
      <c r="EJ29977"/>
      <c r="EK29977"/>
    </row>
    <row r="29978" spans="1:141" s="116" customFormat="1">
      <c r="A29978" s="136"/>
      <c r="CM29978" s="111"/>
      <c r="CQ29978" s="111"/>
      <c r="EF29978"/>
      <c r="EG29978"/>
      <c r="EH29978"/>
      <c r="EI29978"/>
      <c r="EJ29978"/>
      <c r="EK29978"/>
    </row>
    <row r="29979" spans="1:141" s="116" customFormat="1">
      <c r="A29979" s="136"/>
      <c r="CM29979" s="111"/>
      <c r="CQ29979" s="111"/>
      <c r="EF29979"/>
      <c r="EG29979"/>
      <c r="EH29979"/>
      <c r="EI29979"/>
      <c r="EJ29979"/>
      <c r="EK29979"/>
    </row>
    <row r="29980" spans="1:141" s="116" customFormat="1">
      <c r="A29980" s="136"/>
      <c r="CM29980" s="111"/>
      <c r="CQ29980" s="111"/>
      <c r="EF29980"/>
      <c r="EG29980"/>
      <c r="EH29980"/>
      <c r="EI29980"/>
      <c r="EJ29980"/>
      <c r="EK29980"/>
    </row>
    <row r="29981" spans="1:141" s="116" customFormat="1">
      <c r="A29981" s="136"/>
      <c r="CM29981" s="111"/>
      <c r="CQ29981" s="111"/>
      <c r="EF29981"/>
      <c r="EG29981"/>
      <c r="EH29981"/>
      <c r="EI29981"/>
      <c r="EJ29981"/>
      <c r="EK29981"/>
    </row>
    <row r="29982" spans="1:141" s="116" customFormat="1">
      <c r="A29982" s="136"/>
      <c r="CM29982" s="111"/>
      <c r="CQ29982" s="111"/>
      <c r="EF29982"/>
      <c r="EG29982"/>
      <c r="EH29982"/>
      <c r="EI29982"/>
      <c r="EJ29982"/>
      <c r="EK29982"/>
    </row>
    <row r="29983" spans="1:141" s="116" customFormat="1">
      <c r="A29983" s="136"/>
      <c r="CM29983" s="111"/>
      <c r="CQ29983" s="111"/>
      <c r="EF29983"/>
      <c r="EG29983"/>
      <c r="EH29983"/>
      <c r="EI29983"/>
      <c r="EJ29983"/>
      <c r="EK29983"/>
    </row>
    <row r="29984" spans="1:141" s="116" customFormat="1">
      <c r="A29984" s="136"/>
      <c r="CM29984" s="111"/>
      <c r="CQ29984" s="111"/>
      <c r="EF29984"/>
      <c r="EG29984"/>
      <c r="EH29984"/>
      <c r="EI29984"/>
      <c r="EJ29984"/>
      <c r="EK29984"/>
    </row>
    <row r="29985" spans="1:141" s="116" customFormat="1">
      <c r="A29985" s="136"/>
      <c r="CM29985" s="111"/>
      <c r="CQ29985" s="111"/>
      <c r="EF29985"/>
      <c r="EG29985"/>
      <c r="EH29985"/>
      <c r="EI29985"/>
      <c r="EJ29985"/>
      <c r="EK29985"/>
    </row>
    <row r="29986" spans="1:141" s="116" customFormat="1">
      <c r="A29986" s="136"/>
      <c r="CM29986" s="111"/>
      <c r="CQ29986" s="111"/>
      <c r="EF29986"/>
      <c r="EG29986"/>
      <c r="EH29986"/>
      <c r="EI29986"/>
      <c r="EJ29986"/>
      <c r="EK29986"/>
    </row>
    <row r="29987" spans="1:141" s="116" customFormat="1">
      <c r="A29987" s="136"/>
      <c r="CM29987" s="111"/>
      <c r="CQ29987" s="111"/>
      <c r="EF29987"/>
      <c r="EG29987"/>
      <c r="EH29987"/>
      <c r="EI29987"/>
      <c r="EJ29987"/>
      <c r="EK29987"/>
    </row>
    <row r="29988" spans="1:141" s="116" customFormat="1">
      <c r="A29988" s="136"/>
      <c r="CM29988" s="111"/>
      <c r="CQ29988" s="111"/>
      <c r="EF29988"/>
      <c r="EG29988"/>
      <c r="EH29988"/>
      <c r="EI29988"/>
      <c r="EJ29988"/>
      <c r="EK29988"/>
    </row>
    <row r="29989" spans="1:141" s="116" customFormat="1">
      <c r="A29989" s="136"/>
      <c r="CM29989" s="111"/>
      <c r="CQ29989" s="111"/>
      <c r="EF29989"/>
      <c r="EG29989"/>
      <c r="EH29989"/>
      <c r="EI29989"/>
      <c r="EJ29989"/>
      <c r="EK29989"/>
    </row>
    <row r="29990" spans="1:141" s="116" customFormat="1">
      <c r="A29990" s="136"/>
      <c r="CM29990" s="111"/>
      <c r="CQ29990" s="111"/>
      <c r="EF29990"/>
      <c r="EG29990"/>
      <c r="EH29990"/>
      <c r="EI29990"/>
      <c r="EJ29990"/>
      <c r="EK29990"/>
    </row>
    <row r="29991" spans="1:141" s="116" customFormat="1">
      <c r="A29991" s="136"/>
      <c r="CM29991" s="111"/>
      <c r="CQ29991" s="111"/>
      <c r="EF29991"/>
      <c r="EG29991"/>
      <c r="EH29991"/>
      <c r="EI29991"/>
      <c r="EJ29991"/>
      <c r="EK29991"/>
    </row>
    <row r="29992" spans="1:141" s="116" customFormat="1">
      <c r="A29992" s="136"/>
      <c r="CM29992" s="111"/>
      <c r="CQ29992" s="111"/>
      <c r="EF29992"/>
      <c r="EG29992"/>
      <c r="EH29992"/>
      <c r="EI29992"/>
      <c r="EJ29992"/>
      <c r="EK29992"/>
    </row>
    <row r="29993" spans="1:141" s="116" customFormat="1">
      <c r="A29993" s="136"/>
      <c r="CM29993" s="111"/>
      <c r="CQ29993" s="111"/>
      <c r="EF29993"/>
      <c r="EG29993"/>
      <c r="EH29993"/>
      <c r="EI29993"/>
      <c r="EJ29993"/>
      <c r="EK29993"/>
    </row>
    <row r="29994" spans="1:141" s="116" customFormat="1">
      <c r="A29994" s="136"/>
      <c r="CM29994" s="111"/>
      <c r="CQ29994" s="111"/>
      <c r="EF29994"/>
      <c r="EG29994"/>
      <c r="EH29994"/>
      <c r="EI29994"/>
      <c r="EJ29994"/>
      <c r="EK29994"/>
    </row>
    <row r="29995" spans="1:141" s="116" customFormat="1">
      <c r="A29995" s="136"/>
      <c r="CM29995" s="111"/>
      <c r="CQ29995" s="111"/>
      <c r="EF29995"/>
      <c r="EG29995"/>
      <c r="EH29995"/>
      <c r="EI29995"/>
      <c r="EJ29995"/>
      <c r="EK29995"/>
    </row>
    <row r="29996" spans="1:141" s="116" customFormat="1">
      <c r="A29996" s="136"/>
      <c r="CM29996" s="111"/>
      <c r="CQ29996" s="111"/>
      <c r="EF29996"/>
      <c r="EG29996"/>
      <c r="EH29996"/>
      <c r="EI29996"/>
      <c r="EJ29996"/>
      <c r="EK29996"/>
    </row>
    <row r="29997" spans="1:141" s="116" customFormat="1">
      <c r="A29997" s="136"/>
      <c r="CM29997" s="111"/>
      <c r="CQ29997" s="111"/>
      <c r="EF29997"/>
      <c r="EG29997"/>
      <c r="EH29997"/>
      <c r="EI29997"/>
      <c r="EJ29997"/>
      <c r="EK29997"/>
    </row>
    <row r="29998" spans="1:141" s="116" customFormat="1">
      <c r="A29998" s="136"/>
      <c r="CM29998" s="111"/>
      <c r="CQ29998" s="111"/>
      <c r="EF29998"/>
      <c r="EG29998"/>
      <c r="EH29998"/>
      <c r="EI29998"/>
      <c r="EJ29998"/>
      <c r="EK29998"/>
    </row>
    <row r="29999" spans="1:141" s="116" customFormat="1">
      <c r="A29999" s="136"/>
      <c r="CM29999" s="111"/>
      <c r="CQ29999" s="111"/>
      <c r="EF29999"/>
      <c r="EG29999"/>
      <c r="EH29999"/>
      <c r="EI29999"/>
      <c r="EJ29999"/>
      <c r="EK29999"/>
    </row>
    <row r="30000" spans="1:141" s="116" customFormat="1">
      <c r="A30000" s="136"/>
      <c r="CM30000" s="111"/>
      <c r="CQ30000" s="111"/>
      <c r="EF30000"/>
      <c r="EG30000"/>
      <c r="EH30000"/>
      <c r="EI30000"/>
      <c r="EJ30000"/>
      <c r="EK30000"/>
    </row>
    <row r="30001" spans="1:141" s="116" customFormat="1">
      <c r="A30001" s="136"/>
      <c r="CM30001" s="111"/>
      <c r="CQ30001" s="111"/>
      <c r="EF30001"/>
      <c r="EG30001"/>
      <c r="EH30001"/>
      <c r="EI30001"/>
      <c r="EJ30001"/>
      <c r="EK30001"/>
    </row>
    <row r="30002" spans="1:141" s="116" customFormat="1">
      <c r="A30002" s="136"/>
      <c r="CM30002" s="111"/>
      <c r="CQ30002" s="111"/>
      <c r="EF30002"/>
      <c r="EG30002"/>
      <c r="EH30002"/>
      <c r="EI30002"/>
      <c r="EJ30002"/>
      <c r="EK30002"/>
    </row>
    <row r="30003" spans="1:141" s="116" customFormat="1">
      <c r="A30003" s="136"/>
      <c r="CM30003" s="111"/>
      <c r="CQ30003" s="111"/>
      <c r="EF30003"/>
      <c r="EG30003"/>
      <c r="EH30003"/>
      <c r="EI30003"/>
      <c r="EJ30003"/>
      <c r="EK30003"/>
    </row>
    <row r="30004" spans="1:141" s="116" customFormat="1">
      <c r="A30004" s="136"/>
      <c r="CM30004" s="111"/>
      <c r="CQ30004" s="111"/>
      <c r="EF30004"/>
      <c r="EG30004"/>
      <c r="EH30004"/>
      <c r="EI30004"/>
      <c r="EJ30004"/>
      <c r="EK30004"/>
    </row>
    <row r="30005" spans="1:141" s="116" customFormat="1">
      <c r="A30005" s="136"/>
      <c r="CM30005" s="111"/>
      <c r="CQ30005" s="111"/>
      <c r="EF30005"/>
      <c r="EG30005"/>
      <c r="EH30005"/>
      <c r="EI30005"/>
      <c r="EJ30005"/>
      <c r="EK30005"/>
    </row>
    <row r="30006" spans="1:141" s="116" customFormat="1">
      <c r="A30006" s="136"/>
      <c r="CM30006" s="111"/>
      <c r="CQ30006" s="111"/>
      <c r="EF30006"/>
      <c r="EG30006"/>
      <c r="EH30006"/>
      <c r="EI30006"/>
      <c r="EJ30006"/>
      <c r="EK30006"/>
    </row>
    <row r="30007" spans="1:141" s="116" customFormat="1">
      <c r="A30007" s="136"/>
      <c r="CM30007" s="111"/>
      <c r="CQ30007" s="111"/>
      <c r="EF30007"/>
      <c r="EG30007"/>
      <c r="EH30007"/>
      <c r="EI30007"/>
      <c r="EJ30007"/>
      <c r="EK30007"/>
    </row>
    <row r="30008" spans="1:141" s="116" customFormat="1">
      <c r="A30008" s="136"/>
      <c r="CM30008" s="111"/>
      <c r="CQ30008" s="111"/>
      <c r="EF30008"/>
      <c r="EG30008"/>
      <c r="EH30008"/>
      <c r="EI30008"/>
      <c r="EJ30008"/>
      <c r="EK30008"/>
    </row>
    <row r="30009" spans="1:141" s="116" customFormat="1">
      <c r="A30009" s="136"/>
      <c r="CM30009" s="111"/>
      <c r="CQ30009" s="111"/>
      <c r="EF30009"/>
      <c r="EG30009"/>
      <c r="EH30009"/>
      <c r="EI30009"/>
      <c r="EJ30009"/>
      <c r="EK30009"/>
    </row>
    <row r="30010" spans="1:141" s="116" customFormat="1">
      <c r="A30010" s="136"/>
      <c r="CM30010" s="111"/>
      <c r="CQ30010" s="111"/>
      <c r="EF30010"/>
      <c r="EG30010"/>
      <c r="EH30010"/>
      <c r="EI30010"/>
      <c r="EJ30010"/>
      <c r="EK30010"/>
    </row>
    <row r="30011" spans="1:141" s="116" customFormat="1">
      <c r="A30011" s="136"/>
      <c r="CM30011" s="111"/>
      <c r="CQ30011" s="111"/>
      <c r="EF30011"/>
      <c r="EG30011"/>
      <c r="EH30011"/>
      <c r="EI30011"/>
      <c r="EJ30011"/>
      <c r="EK30011"/>
    </row>
    <row r="30012" spans="1:141" s="116" customFormat="1">
      <c r="A30012" s="136"/>
      <c r="CM30012" s="111"/>
      <c r="CQ30012" s="111"/>
      <c r="EF30012"/>
      <c r="EG30012"/>
      <c r="EH30012"/>
      <c r="EI30012"/>
      <c r="EJ30012"/>
      <c r="EK30012"/>
    </row>
    <row r="30013" spans="1:141" s="116" customFormat="1">
      <c r="A30013" s="136"/>
      <c r="CM30013" s="111"/>
      <c r="CQ30013" s="111"/>
      <c r="EF30013"/>
      <c r="EG30013"/>
      <c r="EH30013"/>
      <c r="EI30013"/>
      <c r="EJ30013"/>
      <c r="EK30013"/>
    </row>
    <row r="30014" spans="1:141" s="116" customFormat="1">
      <c r="A30014" s="136"/>
      <c r="CM30014" s="111"/>
      <c r="CQ30014" s="111"/>
      <c r="EF30014"/>
      <c r="EG30014"/>
      <c r="EH30014"/>
      <c r="EI30014"/>
      <c r="EJ30014"/>
      <c r="EK30014"/>
    </row>
    <row r="30015" spans="1:141" s="116" customFormat="1">
      <c r="A30015" s="136"/>
      <c r="CM30015" s="111"/>
      <c r="CQ30015" s="111"/>
      <c r="EF30015"/>
      <c r="EG30015"/>
      <c r="EH30015"/>
      <c r="EI30015"/>
      <c r="EJ30015"/>
      <c r="EK30015"/>
    </row>
    <row r="30016" spans="1:141" s="116" customFormat="1">
      <c r="A30016" s="136"/>
      <c r="CM30016" s="111"/>
      <c r="CQ30016" s="111"/>
      <c r="EF30016"/>
      <c r="EG30016"/>
      <c r="EH30016"/>
      <c r="EI30016"/>
      <c r="EJ30016"/>
      <c r="EK30016"/>
    </row>
    <row r="30017" spans="1:141" s="116" customFormat="1">
      <c r="A30017" s="136"/>
      <c r="CM30017" s="111"/>
      <c r="CQ30017" s="111"/>
      <c r="EF30017"/>
      <c r="EG30017"/>
      <c r="EH30017"/>
      <c r="EI30017"/>
      <c r="EJ30017"/>
      <c r="EK30017"/>
    </row>
    <row r="30018" spans="1:141" s="116" customFormat="1">
      <c r="A30018" s="136"/>
      <c r="CM30018" s="111"/>
      <c r="CQ30018" s="111"/>
      <c r="EF30018"/>
      <c r="EG30018"/>
      <c r="EH30018"/>
      <c r="EI30018"/>
      <c r="EJ30018"/>
      <c r="EK30018"/>
    </row>
    <row r="30019" spans="1:141" s="116" customFormat="1">
      <c r="A30019" s="136"/>
      <c r="CM30019" s="111"/>
      <c r="CQ30019" s="111"/>
      <c r="EF30019"/>
      <c r="EG30019"/>
      <c r="EH30019"/>
      <c r="EI30019"/>
      <c r="EJ30019"/>
      <c r="EK30019"/>
    </row>
    <row r="30020" spans="1:141" s="116" customFormat="1">
      <c r="A30020" s="136"/>
      <c r="CM30020" s="111"/>
      <c r="CQ30020" s="111"/>
      <c r="EF30020"/>
      <c r="EG30020"/>
      <c r="EH30020"/>
      <c r="EI30020"/>
      <c r="EJ30020"/>
      <c r="EK30020"/>
    </row>
    <row r="30021" spans="1:141" s="116" customFormat="1">
      <c r="A30021" s="136"/>
      <c r="CM30021" s="111"/>
      <c r="CQ30021" s="111"/>
      <c r="EF30021"/>
      <c r="EG30021"/>
      <c r="EH30021"/>
      <c r="EI30021"/>
      <c r="EJ30021"/>
      <c r="EK30021"/>
    </row>
    <row r="30022" spans="1:141" s="116" customFormat="1">
      <c r="A30022" s="136"/>
      <c r="CM30022" s="111"/>
      <c r="CQ30022" s="111"/>
      <c r="EF30022"/>
      <c r="EG30022"/>
      <c r="EH30022"/>
      <c r="EI30022"/>
      <c r="EJ30022"/>
      <c r="EK30022"/>
    </row>
    <row r="30023" spans="1:141" s="116" customFormat="1">
      <c r="A30023" s="136"/>
      <c r="CM30023" s="111"/>
      <c r="CQ30023" s="111"/>
      <c r="EF30023"/>
      <c r="EG30023"/>
      <c r="EH30023"/>
      <c r="EI30023"/>
      <c r="EJ30023"/>
      <c r="EK30023"/>
    </row>
    <row r="30024" spans="1:141" s="116" customFormat="1">
      <c r="A30024" s="136"/>
      <c r="CM30024" s="111"/>
      <c r="CQ30024" s="111"/>
      <c r="EF30024"/>
      <c r="EG30024"/>
      <c r="EH30024"/>
      <c r="EI30024"/>
      <c r="EJ30024"/>
      <c r="EK30024"/>
    </row>
    <row r="30025" spans="1:141" s="116" customFormat="1">
      <c r="A30025" s="136"/>
      <c r="CM30025" s="111"/>
      <c r="CQ30025" s="111"/>
      <c r="EF30025"/>
      <c r="EG30025"/>
      <c r="EH30025"/>
      <c r="EI30025"/>
      <c r="EJ30025"/>
      <c r="EK30025"/>
    </row>
    <row r="30026" spans="1:141" s="116" customFormat="1">
      <c r="A30026" s="136"/>
      <c r="CM30026" s="111"/>
      <c r="CQ30026" s="111"/>
      <c r="EF30026"/>
      <c r="EG30026"/>
      <c r="EH30026"/>
      <c r="EI30026"/>
      <c r="EJ30026"/>
      <c r="EK30026"/>
    </row>
    <row r="30027" spans="1:141" s="116" customFormat="1">
      <c r="A30027" s="136"/>
      <c r="CM30027" s="111"/>
      <c r="CQ30027" s="111"/>
      <c r="EF30027"/>
      <c r="EG30027"/>
      <c r="EH30027"/>
      <c r="EI30027"/>
      <c r="EJ30027"/>
      <c r="EK30027"/>
    </row>
    <row r="30028" spans="1:141" s="116" customFormat="1">
      <c r="A30028" s="136"/>
      <c r="CM30028" s="111"/>
      <c r="CQ30028" s="111"/>
      <c r="EF30028"/>
      <c r="EG30028"/>
      <c r="EH30028"/>
      <c r="EI30028"/>
      <c r="EJ30028"/>
      <c r="EK30028"/>
    </row>
    <row r="30029" spans="1:141" s="116" customFormat="1">
      <c r="A30029" s="136"/>
      <c r="CM30029" s="111"/>
      <c r="CQ30029" s="111"/>
      <c r="EF30029"/>
      <c r="EG30029"/>
      <c r="EH30029"/>
      <c r="EI30029"/>
      <c r="EJ30029"/>
      <c r="EK30029"/>
    </row>
    <row r="30030" spans="1:141" s="116" customFormat="1">
      <c r="A30030" s="136"/>
      <c r="CM30030" s="111"/>
      <c r="CQ30030" s="111"/>
      <c r="EF30030"/>
      <c r="EG30030"/>
      <c r="EH30030"/>
      <c r="EI30030"/>
      <c r="EJ30030"/>
      <c r="EK30030"/>
    </row>
    <row r="30031" spans="1:141" s="116" customFormat="1">
      <c r="A30031" s="136"/>
      <c r="CM30031" s="111"/>
      <c r="CQ30031" s="111"/>
      <c r="EF30031"/>
      <c r="EG30031"/>
      <c r="EH30031"/>
      <c r="EI30031"/>
      <c r="EJ30031"/>
      <c r="EK30031"/>
    </row>
    <row r="30032" spans="1:141" s="116" customFormat="1">
      <c r="A30032" s="136"/>
      <c r="CM30032" s="111"/>
      <c r="CQ30032" s="111"/>
      <c r="EF30032"/>
      <c r="EG30032"/>
      <c r="EH30032"/>
      <c r="EI30032"/>
      <c r="EJ30032"/>
      <c r="EK30032"/>
    </row>
    <row r="30033" spans="1:141" s="116" customFormat="1">
      <c r="A30033" s="136"/>
      <c r="CM30033" s="111"/>
      <c r="CQ30033" s="111"/>
      <c r="EF30033"/>
      <c r="EG30033"/>
      <c r="EH30033"/>
      <c r="EI30033"/>
      <c r="EJ30033"/>
      <c r="EK30033"/>
    </row>
    <row r="30034" spans="1:141" s="116" customFormat="1">
      <c r="A30034" s="136"/>
      <c r="CM30034" s="111"/>
      <c r="CQ30034" s="111"/>
      <c r="EF30034"/>
      <c r="EG30034"/>
      <c r="EH30034"/>
      <c r="EI30034"/>
      <c r="EJ30034"/>
      <c r="EK30034"/>
    </row>
    <row r="30035" spans="1:141" s="116" customFormat="1">
      <c r="A30035" s="136"/>
      <c r="CM30035" s="111"/>
      <c r="CQ30035" s="111"/>
      <c r="EF30035"/>
      <c r="EG30035"/>
      <c r="EH30035"/>
      <c r="EI30035"/>
      <c r="EJ30035"/>
      <c r="EK30035"/>
    </row>
    <row r="30036" spans="1:141" s="116" customFormat="1">
      <c r="A30036" s="136"/>
      <c r="CM30036" s="111"/>
      <c r="CQ30036" s="111"/>
      <c r="EF30036"/>
      <c r="EG30036"/>
      <c r="EH30036"/>
      <c r="EI30036"/>
      <c r="EJ30036"/>
      <c r="EK30036"/>
    </row>
    <row r="30037" spans="1:141" s="116" customFormat="1">
      <c r="A30037" s="136"/>
      <c r="CM30037" s="111"/>
      <c r="CQ30037" s="111"/>
      <c r="EF30037"/>
      <c r="EG30037"/>
      <c r="EH30037"/>
      <c r="EI30037"/>
      <c r="EJ30037"/>
      <c r="EK30037"/>
    </row>
    <row r="30038" spans="1:141" s="116" customFormat="1">
      <c r="A30038" s="136"/>
      <c r="CM30038" s="111"/>
      <c r="CQ30038" s="111"/>
      <c r="EF30038"/>
      <c r="EG30038"/>
      <c r="EH30038"/>
      <c r="EI30038"/>
      <c r="EJ30038"/>
      <c r="EK30038"/>
    </row>
    <row r="30039" spans="1:141" s="116" customFormat="1">
      <c r="A30039" s="136"/>
      <c r="CM30039" s="111"/>
      <c r="CQ30039" s="111"/>
      <c r="EF30039"/>
      <c r="EG30039"/>
      <c r="EH30039"/>
      <c r="EI30039"/>
      <c r="EJ30039"/>
      <c r="EK30039"/>
    </row>
    <row r="30040" spans="1:141" s="116" customFormat="1">
      <c r="A30040" s="136"/>
      <c r="CM30040" s="111"/>
      <c r="CQ30040" s="111"/>
      <c r="EF30040"/>
      <c r="EG30040"/>
      <c r="EH30040"/>
      <c r="EI30040"/>
      <c r="EJ30040"/>
      <c r="EK30040"/>
    </row>
    <row r="30041" spans="1:141" s="116" customFormat="1">
      <c r="A30041" s="136"/>
      <c r="CM30041" s="111"/>
      <c r="CQ30041" s="111"/>
      <c r="EF30041"/>
      <c r="EG30041"/>
      <c r="EH30041"/>
      <c r="EI30041"/>
      <c r="EJ30041"/>
      <c r="EK30041"/>
    </row>
    <row r="30042" spans="1:141" s="116" customFormat="1">
      <c r="A30042" s="136"/>
      <c r="CM30042" s="111"/>
      <c r="CQ30042" s="111"/>
      <c r="EF30042"/>
      <c r="EG30042"/>
      <c r="EH30042"/>
      <c r="EI30042"/>
      <c r="EJ30042"/>
      <c r="EK30042"/>
    </row>
    <row r="30043" spans="1:141" s="116" customFormat="1">
      <c r="A30043" s="136"/>
      <c r="CM30043" s="111"/>
      <c r="CQ30043" s="111"/>
      <c r="EF30043"/>
      <c r="EG30043"/>
      <c r="EH30043"/>
      <c r="EI30043"/>
      <c r="EJ30043"/>
      <c r="EK30043"/>
    </row>
    <row r="30044" spans="1:141" s="116" customFormat="1">
      <c r="A30044" s="136"/>
      <c r="CM30044" s="111"/>
      <c r="CQ30044" s="111"/>
      <c r="EF30044"/>
      <c r="EG30044"/>
      <c r="EH30044"/>
      <c r="EI30044"/>
      <c r="EJ30044"/>
      <c r="EK30044"/>
    </row>
    <row r="30045" spans="1:141" s="116" customFormat="1">
      <c r="A30045" s="136"/>
      <c r="CM30045" s="111"/>
      <c r="CQ30045" s="111"/>
      <c r="EF30045"/>
      <c r="EG30045"/>
      <c r="EH30045"/>
      <c r="EI30045"/>
      <c r="EJ30045"/>
      <c r="EK30045"/>
    </row>
    <row r="30046" spans="1:141" s="116" customFormat="1">
      <c r="A30046" s="136"/>
      <c r="CM30046" s="111"/>
      <c r="CQ30046" s="111"/>
      <c r="EF30046"/>
      <c r="EG30046"/>
      <c r="EH30046"/>
      <c r="EI30046"/>
      <c r="EJ30046"/>
      <c r="EK30046"/>
    </row>
    <row r="30047" spans="1:141" s="116" customFormat="1">
      <c r="A30047" s="136"/>
      <c r="CM30047" s="111"/>
      <c r="CQ30047" s="111"/>
      <c r="EF30047"/>
      <c r="EG30047"/>
      <c r="EH30047"/>
      <c r="EI30047"/>
      <c r="EJ30047"/>
      <c r="EK30047"/>
    </row>
    <row r="30048" spans="1:141" s="116" customFormat="1">
      <c r="A30048" s="136"/>
      <c r="CM30048" s="111"/>
      <c r="CQ30048" s="111"/>
      <c r="EF30048"/>
      <c r="EG30048"/>
      <c r="EH30048"/>
      <c r="EI30048"/>
      <c r="EJ30048"/>
      <c r="EK30048"/>
    </row>
    <row r="30049" spans="1:141" s="116" customFormat="1">
      <c r="A30049" s="136"/>
      <c r="CM30049" s="111"/>
      <c r="CQ30049" s="111"/>
      <c r="EF30049"/>
      <c r="EG30049"/>
      <c r="EH30049"/>
      <c r="EI30049"/>
      <c r="EJ30049"/>
      <c r="EK30049"/>
    </row>
    <row r="30050" spans="1:141" s="116" customFormat="1">
      <c r="A30050" s="136"/>
      <c r="CM30050" s="111"/>
      <c r="CQ30050" s="111"/>
      <c r="EF30050"/>
      <c r="EG30050"/>
      <c r="EH30050"/>
      <c r="EI30050"/>
      <c r="EJ30050"/>
      <c r="EK30050"/>
    </row>
    <row r="30051" spans="1:141" s="116" customFormat="1">
      <c r="A30051" s="136"/>
      <c r="CM30051" s="111"/>
      <c r="CQ30051" s="111"/>
      <c r="EF30051"/>
      <c r="EG30051"/>
      <c r="EH30051"/>
      <c r="EI30051"/>
      <c r="EJ30051"/>
      <c r="EK30051"/>
    </row>
    <row r="30052" spans="1:141" s="116" customFormat="1">
      <c r="A30052" s="136"/>
      <c r="CM30052" s="111"/>
      <c r="CQ30052" s="111"/>
      <c r="EF30052"/>
      <c r="EG30052"/>
      <c r="EH30052"/>
      <c r="EI30052"/>
      <c r="EJ30052"/>
      <c r="EK30052"/>
    </row>
    <row r="30053" spans="1:141" s="116" customFormat="1">
      <c r="A30053" s="136"/>
      <c r="CM30053" s="111"/>
      <c r="CQ30053" s="111"/>
      <c r="EF30053"/>
      <c r="EG30053"/>
      <c r="EH30053"/>
      <c r="EI30053"/>
      <c r="EJ30053"/>
      <c r="EK30053"/>
    </row>
    <row r="30054" spans="1:141" s="116" customFormat="1">
      <c r="A30054" s="136"/>
      <c r="CM30054" s="111"/>
      <c r="CQ30054" s="111"/>
      <c r="EF30054"/>
      <c r="EG30054"/>
      <c r="EH30054"/>
      <c r="EI30054"/>
      <c r="EJ30054"/>
      <c r="EK30054"/>
    </row>
    <row r="30055" spans="1:141" s="116" customFormat="1">
      <c r="A30055" s="136"/>
      <c r="CM30055" s="111"/>
      <c r="CQ30055" s="111"/>
      <c r="EF30055"/>
      <c r="EG30055"/>
      <c r="EH30055"/>
      <c r="EI30055"/>
      <c r="EJ30055"/>
      <c r="EK30055"/>
    </row>
    <row r="30056" spans="1:141" s="116" customFormat="1">
      <c r="A30056" s="136"/>
      <c r="CM30056" s="111"/>
      <c r="CQ30056" s="111"/>
      <c r="EF30056"/>
      <c r="EG30056"/>
      <c r="EH30056"/>
      <c r="EI30056"/>
      <c r="EJ30056"/>
      <c r="EK30056"/>
    </row>
    <row r="30057" spans="1:141" s="116" customFormat="1">
      <c r="A30057" s="136"/>
      <c r="CM30057" s="111"/>
      <c r="CQ30057" s="111"/>
      <c r="EF30057"/>
      <c r="EG30057"/>
      <c r="EH30057"/>
      <c r="EI30057"/>
      <c r="EJ30057"/>
      <c r="EK30057"/>
    </row>
    <row r="30058" spans="1:141" s="116" customFormat="1">
      <c r="A30058" s="136"/>
      <c r="CM30058" s="111"/>
      <c r="CQ30058" s="111"/>
      <c r="EF30058"/>
      <c r="EG30058"/>
      <c r="EH30058"/>
      <c r="EI30058"/>
      <c r="EJ30058"/>
      <c r="EK30058"/>
    </row>
    <row r="30059" spans="1:141" s="116" customFormat="1">
      <c r="A30059" s="136"/>
      <c r="CM30059" s="111"/>
      <c r="CQ30059" s="111"/>
      <c r="EF30059"/>
      <c r="EG30059"/>
      <c r="EH30059"/>
      <c r="EI30059"/>
      <c r="EJ30059"/>
      <c r="EK30059"/>
    </row>
    <row r="30060" spans="1:141" s="116" customFormat="1">
      <c r="A30060" s="136"/>
      <c r="CM30060" s="111"/>
      <c r="CQ30060" s="111"/>
      <c r="EF30060"/>
      <c r="EG30060"/>
      <c r="EH30060"/>
      <c r="EI30060"/>
      <c r="EJ30060"/>
      <c r="EK30060"/>
    </row>
    <row r="30061" spans="1:141" s="116" customFormat="1">
      <c r="A30061" s="136"/>
      <c r="CM30061" s="111"/>
      <c r="CQ30061" s="111"/>
      <c r="EF30061"/>
      <c r="EG30061"/>
      <c r="EH30061"/>
      <c r="EI30061"/>
      <c r="EJ30061"/>
      <c r="EK30061"/>
    </row>
    <row r="30062" spans="1:141" s="116" customFormat="1">
      <c r="A30062" s="136"/>
      <c r="CM30062" s="111"/>
      <c r="CQ30062" s="111"/>
      <c r="EF30062"/>
      <c r="EG30062"/>
      <c r="EH30062"/>
      <c r="EI30062"/>
      <c r="EJ30062"/>
      <c r="EK30062"/>
    </row>
    <row r="30063" spans="1:141" s="116" customFormat="1">
      <c r="A30063" s="136"/>
      <c r="CM30063" s="111"/>
      <c r="CQ30063" s="111"/>
      <c r="EF30063"/>
      <c r="EG30063"/>
      <c r="EH30063"/>
      <c r="EI30063"/>
      <c r="EJ30063"/>
      <c r="EK30063"/>
    </row>
    <row r="30064" spans="1:141" s="116" customFormat="1">
      <c r="A30064" s="136"/>
      <c r="CM30064" s="111"/>
      <c r="CQ30064" s="111"/>
      <c r="EF30064"/>
      <c r="EG30064"/>
      <c r="EH30064"/>
      <c r="EI30064"/>
      <c r="EJ30064"/>
      <c r="EK30064"/>
    </row>
    <row r="30065" spans="1:141" s="116" customFormat="1">
      <c r="A30065" s="136"/>
      <c r="CM30065" s="111"/>
      <c r="CQ30065" s="111"/>
      <c r="EF30065"/>
      <c r="EG30065"/>
      <c r="EH30065"/>
      <c r="EI30065"/>
      <c r="EJ30065"/>
      <c r="EK30065"/>
    </row>
    <row r="30066" spans="1:141" s="116" customFormat="1">
      <c r="A30066" s="136"/>
      <c r="CM30066" s="111"/>
      <c r="CQ30066" s="111"/>
      <c r="EF30066"/>
      <c r="EG30066"/>
      <c r="EH30066"/>
      <c r="EI30066"/>
      <c r="EJ30066"/>
      <c r="EK30066"/>
    </row>
    <row r="30067" spans="1:141" s="116" customFormat="1">
      <c r="A30067" s="136"/>
      <c r="CM30067" s="111"/>
      <c r="CQ30067" s="111"/>
      <c r="EF30067"/>
      <c r="EG30067"/>
      <c r="EH30067"/>
      <c r="EI30067"/>
      <c r="EJ30067"/>
      <c r="EK30067"/>
    </row>
    <row r="30068" spans="1:141" s="116" customFormat="1">
      <c r="A30068" s="136"/>
      <c r="CM30068" s="111"/>
      <c r="CQ30068" s="111"/>
      <c r="EF30068"/>
      <c r="EG30068"/>
      <c r="EH30068"/>
      <c r="EI30068"/>
      <c r="EJ30068"/>
      <c r="EK30068"/>
    </row>
    <row r="30069" spans="1:141" s="116" customFormat="1">
      <c r="A30069" s="136"/>
      <c r="CM30069" s="111"/>
      <c r="CQ30069" s="111"/>
      <c r="EF30069"/>
      <c r="EG30069"/>
      <c r="EH30069"/>
      <c r="EI30069"/>
      <c r="EJ30069"/>
      <c r="EK30069"/>
    </row>
    <row r="30070" spans="1:141" s="116" customFormat="1">
      <c r="A30070" s="136"/>
      <c r="CM30070" s="111"/>
      <c r="CQ30070" s="111"/>
      <c r="EF30070"/>
      <c r="EG30070"/>
      <c r="EH30070"/>
      <c r="EI30070"/>
      <c r="EJ30070"/>
      <c r="EK30070"/>
    </row>
    <row r="30071" spans="1:141" s="116" customFormat="1">
      <c r="A30071" s="136"/>
      <c r="CM30071" s="111"/>
      <c r="CQ30071" s="111"/>
      <c r="EF30071"/>
      <c r="EG30071"/>
      <c r="EH30071"/>
      <c r="EI30071"/>
      <c r="EJ30071"/>
      <c r="EK30071"/>
    </row>
    <row r="30072" spans="1:141" s="116" customFormat="1">
      <c r="A30072" s="136"/>
      <c r="CM30072" s="111"/>
      <c r="CQ30072" s="111"/>
      <c r="EF30072"/>
      <c r="EG30072"/>
      <c r="EH30072"/>
      <c r="EI30072"/>
      <c r="EJ30072"/>
      <c r="EK30072"/>
    </row>
    <row r="30073" spans="1:141" s="116" customFormat="1">
      <c r="A30073" s="136"/>
      <c r="CM30073" s="111"/>
      <c r="CQ30073" s="111"/>
      <c r="EF30073"/>
      <c r="EG30073"/>
      <c r="EH30073"/>
      <c r="EI30073"/>
      <c r="EJ30073"/>
      <c r="EK30073"/>
    </row>
    <row r="30074" spans="1:141" s="116" customFormat="1">
      <c r="A30074" s="136"/>
      <c r="CM30074" s="111"/>
      <c r="CQ30074" s="111"/>
      <c r="EF30074"/>
      <c r="EG30074"/>
      <c r="EH30074"/>
      <c r="EI30074"/>
      <c r="EJ30074"/>
      <c r="EK30074"/>
    </row>
    <row r="30075" spans="1:141" s="116" customFormat="1">
      <c r="A30075" s="136"/>
      <c r="CM30075" s="111"/>
      <c r="CQ30075" s="111"/>
      <c r="EF30075"/>
      <c r="EG30075"/>
      <c r="EH30075"/>
      <c r="EI30075"/>
      <c r="EJ30075"/>
      <c r="EK30075"/>
    </row>
    <row r="30076" spans="1:141" s="116" customFormat="1">
      <c r="A30076" s="136"/>
      <c r="CM30076" s="111"/>
      <c r="CQ30076" s="111"/>
      <c r="EF30076"/>
      <c r="EG30076"/>
      <c r="EH30076"/>
      <c r="EI30076"/>
      <c r="EJ30076"/>
      <c r="EK30076"/>
    </row>
    <row r="30077" spans="1:141" s="116" customFormat="1">
      <c r="A30077" s="136"/>
      <c r="CM30077" s="111"/>
      <c r="CQ30077" s="111"/>
      <c r="EF30077"/>
      <c r="EG30077"/>
      <c r="EH30077"/>
      <c r="EI30077"/>
      <c r="EJ30077"/>
      <c r="EK30077"/>
    </row>
    <row r="30078" spans="1:141" s="116" customFormat="1">
      <c r="A30078" s="136"/>
      <c r="CM30078" s="111"/>
      <c r="CQ30078" s="111"/>
      <c r="EF30078"/>
      <c r="EG30078"/>
      <c r="EH30078"/>
      <c r="EI30078"/>
      <c r="EJ30078"/>
      <c r="EK30078"/>
    </row>
    <row r="30079" spans="1:141" s="116" customFormat="1">
      <c r="A30079" s="136"/>
      <c r="CM30079" s="111"/>
      <c r="CQ30079" s="111"/>
      <c r="EF30079"/>
      <c r="EG30079"/>
      <c r="EH30079"/>
      <c r="EI30079"/>
      <c r="EJ30079"/>
      <c r="EK30079"/>
    </row>
    <row r="30080" spans="1:141" s="116" customFormat="1">
      <c r="A30080" s="136"/>
      <c r="CM30080" s="111"/>
      <c r="CQ30080" s="111"/>
      <c r="EF30080"/>
      <c r="EG30080"/>
      <c r="EH30080"/>
      <c r="EI30080"/>
      <c r="EJ30080"/>
      <c r="EK30080"/>
    </row>
    <row r="30081" spans="1:141" s="116" customFormat="1">
      <c r="A30081" s="136"/>
      <c r="CM30081" s="111"/>
      <c r="CQ30081" s="111"/>
      <c r="EF30081"/>
      <c r="EG30081"/>
      <c r="EH30081"/>
      <c r="EI30081"/>
      <c r="EJ30081"/>
      <c r="EK30081"/>
    </row>
    <row r="30082" spans="1:141" s="116" customFormat="1">
      <c r="A30082" s="136"/>
      <c r="CM30082" s="111"/>
      <c r="CQ30082" s="111"/>
      <c r="EF30082"/>
      <c r="EG30082"/>
      <c r="EH30082"/>
      <c r="EI30082"/>
      <c r="EJ30082"/>
      <c r="EK30082"/>
    </row>
    <row r="30083" spans="1:141" s="116" customFormat="1">
      <c r="A30083" s="136"/>
      <c r="CM30083" s="111"/>
      <c r="CQ30083" s="111"/>
      <c r="EF30083"/>
      <c r="EG30083"/>
      <c r="EH30083"/>
      <c r="EI30083"/>
      <c r="EJ30083"/>
      <c r="EK30083"/>
    </row>
    <row r="30084" spans="1:141" s="116" customFormat="1">
      <c r="A30084" s="136"/>
      <c r="CM30084" s="111"/>
      <c r="CQ30084" s="111"/>
      <c r="EF30084"/>
      <c r="EG30084"/>
      <c r="EH30084"/>
      <c r="EI30084"/>
      <c r="EJ30084"/>
      <c r="EK30084"/>
    </row>
    <row r="30085" spans="1:141" s="116" customFormat="1">
      <c r="A30085" s="136"/>
      <c r="CM30085" s="111"/>
      <c r="CQ30085" s="111"/>
      <c r="EF30085"/>
      <c r="EG30085"/>
      <c r="EH30085"/>
      <c r="EI30085"/>
      <c r="EJ30085"/>
      <c r="EK30085"/>
    </row>
    <row r="30086" spans="1:141" s="116" customFormat="1">
      <c r="A30086" s="136"/>
      <c r="CM30086" s="111"/>
      <c r="CQ30086" s="111"/>
      <c r="EF30086"/>
      <c r="EG30086"/>
      <c r="EH30086"/>
      <c r="EI30086"/>
      <c r="EJ30086"/>
      <c r="EK30086"/>
    </row>
    <row r="30087" spans="1:141" s="116" customFormat="1">
      <c r="A30087" s="136"/>
      <c r="CM30087" s="111"/>
      <c r="CQ30087" s="111"/>
      <c r="EF30087"/>
      <c r="EG30087"/>
      <c r="EH30087"/>
      <c r="EI30087"/>
      <c r="EJ30087"/>
      <c r="EK30087"/>
    </row>
    <row r="30088" spans="1:141" s="116" customFormat="1">
      <c r="A30088" s="136"/>
      <c r="CM30088" s="111"/>
      <c r="CQ30088" s="111"/>
      <c r="EF30088"/>
      <c r="EG30088"/>
      <c r="EH30088"/>
      <c r="EI30088"/>
      <c r="EJ30088"/>
      <c r="EK30088"/>
    </row>
    <row r="30089" spans="1:141" s="116" customFormat="1">
      <c r="A30089" s="136"/>
      <c r="CM30089" s="111"/>
      <c r="CQ30089" s="111"/>
      <c r="EF30089"/>
      <c r="EG30089"/>
      <c r="EH30089"/>
      <c r="EI30089"/>
      <c r="EJ30089"/>
      <c r="EK30089"/>
    </row>
    <row r="30090" spans="1:141" s="116" customFormat="1">
      <c r="A30090" s="136"/>
      <c r="CM30090" s="111"/>
      <c r="CQ30090" s="111"/>
      <c r="EF30090"/>
      <c r="EG30090"/>
      <c r="EH30090"/>
      <c r="EI30090"/>
      <c r="EJ30090"/>
      <c r="EK30090"/>
    </row>
    <row r="30091" spans="1:141" s="116" customFormat="1">
      <c r="A30091" s="136"/>
      <c r="CM30091" s="111"/>
      <c r="CQ30091" s="111"/>
      <c r="EF30091"/>
      <c r="EG30091"/>
      <c r="EH30091"/>
      <c r="EI30091"/>
      <c r="EJ30091"/>
      <c r="EK30091"/>
    </row>
    <row r="30092" spans="1:141" s="116" customFormat="1">
      <c r="A30092" s="136"/>
      <c r="CM30092" s="111"/>
      <c r="CQ30092" s="111"/>
      <c r="EF30092"/>
      <c r="EG30092"/>
      <c r="EH30092"/>
      <c r="EI30092"/>
      <c r="EJ30092"/>
      <c r="EK30092"/>
    </row>
    <row r="30093" spans="1:141" s="116" customFormat="1">
      <c r="A30093" s="136"/>
      <c r="CM30093" s="111"/>
      <c r="CQ30093" s="111"/>
      <c r="EF30093"/>
      <c r="EG30093"/>
      <c r="EH30093"/>
      <c r="EI30093"/>
      <c r="EJ30093"/>
      <c r="EK30093"/>
    </row>
    <row r="30094" spans="1:141" s="116" customFormat="1">
      <c r="A30094" s="136"/>
      <c r="CM30094" s="111"/>
      <c r="CQ30094" s="111"/>
      <c r="EF30094"/>
      <c r="EG30094"/>
      <c r="EH30094"/>
      <c r="EI30094"/>
      <c r="EJ30094"/>
      <c r="EK30094"/>
    </row>
    <row r="30095" spans="1:141" s="116" customFormat="1">
      <c r="A30095" s="136"/>
      <c r="CM30095" s="111"/>
      <c r="CQ30095" s="111"/>
      <c r="EF30095"/>
      <c r="EG30095"/>
      <c r="EH30095"/>
      <c r="EI30095"/>
      <c r="EJ30095"/>
      <c r="EK30095"/>
    </row>
    <row r="30096" spans="1:141" s="116" customFormat="1">
      <c r="A30096" s="136"/>
      <c r="CM30096" s="111"/>
      <c r="CQ30096" s="111"/>
      <c r="EF30096"/>
      <c r="EG30096"/>
      <c r="EH30096"/>
      <c r="EI30096"/>
      <c r="EJ30096"/>
      <c r="EK30096"/>
    </row>
    <row r="30097" spans="1:141" s="116" customFormat="1">
      <c r="A30097" s="136"/>
      <c r="CM30097" s="111"/>
      <c r="CQ30097" s="111"/>
      <c r="EF30097"/>
      <c r="EG30097"/>
      <c r="EH30097"/>
      <c r="EI30097"/>
      <c r="EJ30097"/>
      <c r="EK30097"/>
    </row>
    <row r="30098" spans="1:141" s="116" customFormat="1">
      <c r="A30098" s="136"/>
      <c r="CM30098" s="111"/>
      <c r="CQ30098" s="111"/>
      <c r="EF30098"/>
      <c r="EG30098"/>
      <c r="EH30098"/>
      <c r="EI30098"/>
      <c r="EJ30098"/>
      <c r="EK30098"/>
    </row>
    <row r="30099" spans="1:141" s="116" customFormat="1">
      <c r="A30099" s="136"/>
      <c r="CM30099" s="111"/>
      <c r="CQ30099" s="111"/>
      <c r="EF30099"/>
      <c r="EG30099"/>
      <c r="EH30099"/>
      <c r="EI30099"/>
      <c r="EJ30099"/>
      <c r="EK30099"/>
    </row>
    <row r="30100" spans="1:141" s="116" customFormat="1">
      <c r="A30100" s="136"/>
      <c r="CM30100" s="111"/>
      <c r="CQ30100" s="111"/>
      <c r="EF30100"/>
      <c r="EG30100"/>
      <c r="EH30100"/>
      <c r="EI30100"/>
      <c r="EJ30100"/>
      <c r="EK30100"/>
    </row>
    <row r="30101" spans="1:141" s="116" customFormat="1">
      <c r="A30101" s="136"/>
      <c r="CM30101" s="111"/>
      <c r="CQ30101" s="111"/>
      <c r="EF30101"/>
      <c r="EG30101"/>
      <c r="EH30101"/>
      <c r="EI30101"/>
      <c r="EJ30101"/>
      <c r="EK30101"/>
    </row>
    <row r="30102" spans="1:141" s="116" customFormat="1">
      <c r="A30102" s="136"/>
      <c r="CM30102" s="111"/>
      <c r="CQ30102" s="111"/>
      <c r="EF30102"/>
      <c r="EG30102"/>
      <c r="EH30102"/>
      <c r="EI30102"/>
      <c r="EJ30102"/>
      <c r="EK30102"/>
    </row>
    <row r="30103" spans="1:141" s="116" customFormat="1">
      <c r="A30103" s="136"/>
      <c r="CM30103" s="111"/>
      <c r="CQ30103" s="111"/>
      <c r="EF30103"/>
      <c r="EG30103"/>
      <c r="EH30103"/>
      <c r="EI30103"/>
      <c r="EJ30103"/>
      <c r="EK30103"/>
    </row>
    <row r="30104" spans="1:141" s="116" customFormat="1">
      <c r="A30104" s="136"/>
      <c r="CM30104" s="111"/>
      <c r="CQ30104" s="111"/>
      <c r="EF30104"/>
      <c r="EG30104"/>
      <c r="EH30104"/>
      <c r="EI30104"/>
      <c r="EJ30104"/>
      <c r="EK30104"/>
    </row>
    <row r="30105" spans="1:141" s="116" customFormat="1">
      <c r="A30105" s="136"/>
      <c r="CM30105" s="111"/>
      <c r="CQ30105" s="111"/>
      <c r="EF30105"/>
      <c r="EG30105"/>
      <c r="EH30105"/>
      <c r="EI30105"/>
      <c r="EJ30105"/>
      <c r="EK30105"/>
    </row>
    <row r="30106" spans="1:141" s="116" customFormat="1">
      <c r="A30106" s="136"/>
      <c r="CM30106" s="111"/>
      <c r="CQ30106" s="111"/>
      <c r="EF30106"/>
      <c r="EG30106"/>
      <c r="EH30106"/>
      <c r="EI30106"/>
      <c r="EJ30106"/>
      <c r="EK30106"/>
    </row>
    <row r="30107" spans="1:141" s="116" customFormat="1">
      <c r="A30107" s="136"/>
      <c r="CM30107" s="111"/>
      <c r="CQ30107" s="111"/>
      <c r="EF30107"/>
      <c r="EG30107"/>
      <c r="EH30107"/>
      <c r="EI30107"/>
      <c r="EJ30107"/>
      <c r="EK30107"/>
    </row>
    <row r="30108" spans="1:141" s="116" customFormat="1">
      <c r="A30108" s="136"/>
      <c r="CM30108" s="111"/>
      <c r="CQ30108" s="111"/>
      <c r="EF30108"/>
      <c r="EG30108"/>
      <c r="EH30108"/>
      <c r="EI30108"/>
      <c r="EJ30108"/>
      <c r="EK30108"/>
    </row>
    <row r="30109" spans="1:141" s="116" customFormat="1">
      <c r="A30109" s="136"/>
      <c r="CM30109" s="111"/>
      <c r="CQ30109" s="111"/>
      <c r="EF30109"/>
      <c r="EG30109"/>
      <c r="EH30109"/>
      <c r="EI30109"/>
      <c r="EJ30109"/>
      <c r="EK30109"/>
    </row>
    <row r="30110" spans="1:141" s="116" customFormat="1">
      <c r="A30110" s="136"/>
      <c r="CM30110" s="111"/>
      <c r="CQ30110" s="111"/>
      <c r="EF30110"/>
      <c r="EG30110"/>
      <c r="EH30110"/>
      <c r="EI30110"/>
      <c r="EJ30110"/>
      <c r="EK30110"/>
    </row>
    <row r="30111" spans="1:141" s="116" customFormat="1">
      <c r="A30111" s="136"/>
      <c r="CM30111" s="111"/>
      <c r="CQ30111" s="111"/>
      <c r="EF30111"/>
      <c r="EG30111"/>
      <c r="EH30111"/>
      <c r="EI30111"/>
      <c r="EJ30111"/>
      <c r="EK30111"/>
    </row>
    <row r="30112" spans="1:141" s="116" customFormat="1">
      <c r="A30112" s="136"/>
      <c r="CM30112" s="111"/>
      <c r="CQ30112" s="111"/>
      <c r="EF30112"/>
      <c r="EG30112"/>
      <c r="EH30112"/>
      <c r="EI30112"/>
      <c r="EJ30112"/>
      <c r="EK30112"/>
    </row>
    <row r="30113" spans="1:141" s="116" customFormat="1">
      <c r="A30113" s="136"/>
      <c r="CM30113" s="111"/>
      <c r="CQ30113" s="111"/>
      <c r="EF30113"/>
      <c r="EG30113"/>
      <c r="EH30113"/>
      <c r="EI30113"/>
      <c r="EJ30113"/>
      <c r="EK30113"/>
    </row>
    <row r="30114" spans="1:141" s="116" customFormat="1">
      <c r="A30114" s="136"/>
      <c r="CM30114" s="111"/>
      <c r="CQ30114" s="111"/>
      <c r="EF30114"/>
      <c r="EG30114"/>
      <c r="EH30114"/>
      <c r="EI30114"/>
      <c r="EJ30114"/>
      <c r="EK30114"/>
    </row>
    <row r="30115" spans="1:141" s="116" customFormat="1">
      <c r="A30115" s="136"/>
      <c r="CM30115" s="111"/>
      <c r="CQ30115" s="111"/>
      <c r="EF30115"/>
      <c r="EG30115"/>
      <c r="EH30115"/>
      <c r="EI30115"/>
      <c r="EJ30115"/>
      <c r="EK30115"/>
    </row>
    <row r="30116" spans="1:141" s="116" customFormat="1">
      <c r="A30116" s="136"/>
      <c r="CM30116" s="111"/>
      <c r="CQ30116" s="111"/>
      <c r="EF30116"/>
      <c r="EG30116"/>
      <c r="EH30116"/>
      <c r="EI30116"/>
      <c r="EJ30116"/>
      <c r="EK30116"/>
    </row>
    <row r="30117" spans="1:141" s="116" customFormat="1">
      <c r="A30117" s="136"/>
      <c r="CM30117" s="111"/>
      <c r="CQ30117" s="111"/>
      <c r="EF30117"/>
      <c r="EG30117"/>
      <c r="EH30117"/>
      <c r="EI30117"/>
      <c r="EJ30117"/>
      <c r="EK30117"/>
    </row>
    <row r="30118" spans="1:141" s="116" customFormat="1">
      <c r="A30118" s="136"/>
      <c r="CM30118" s="111"/>
      <c r="CQ30118" s="111"/>
      <c r="EF30118"/>
      <c r="EG30118"/>
      <c r="EH30118"/>
      <c r="EI30118"/>
      <c r="EJ30118"/>
      <c r="EK30118"/>
    </row>
    <row r="30119" spans="1:141" s="116" customFormat="1">
      <c r="A30119" s="136"/>
      <c r="CM30119" s="111"/>
      <c r="CQ30119" s="111"/>
      <c r="EF30119"/>
      <c r="EG30119"/>
      <c r="EH30119"/>
      <c r="EI30119"/>
      <c r="EJ30119"/>
      <c r="EK30119"/>
    </row>
    <row r="30120" spans="1:141" s="116" customFormat="1">
      <c r="A30120" s="136"/>
      <c r="CM30120" s="111"/>
      <c r="CQ30120" s="111"/>
      <c r="EF30120"/>
      <c r="EG30120"/>
      <c r="EH30120"/>
      <c r="EI30120"/>
      <c r="EJ30120"/>
      <c r="EK30120"/>
    </row>
    <row r="30121" spans="1:141" s="116" customFormat="1">
      <c r="A30121" s="136"/>
      <c r="CM30121" s="111"/>
      <c r="CQ30121" s="111"/>
      <c r="EF30121"/>
      <c r="EG30121"/>
      <c r="EH30121"/>
      <c r="EI30121"/>
      <c r="EJ30121"/>
      <c r="EK30121"/>
    </row>
    <row r="30122" spans="1:141" s="116" customFormat="1">
      <c r="A30122" s="136"/>
      <c r="CM30122" s="111"/>
      <c r="CQ30122" s="111"/>
      <c r="EF30122"/>
      <c r="EG30122"/>
      <c r="EH30122"/>
      <c r="EI30122"/>
      <c r="EJ30122"/>
      <c r="EK30122"/>
    </row>
    <row r="30123" spans="1:141" s="116" customFormat="1">
      <c r="A30123" s="136"/>
      <c r="CM30123" s="111"/>
      <c r="CQ30123" s="111"/>
      <c r="EF30123"/>
      <c r="EG30123"/>
      <c r="EH30123"/>
      <c r="EI30123"/>
      <c r="EJ30123"/>
      <c r="EK30123"/>
    </row>
    <row r="30124" spans="1:141" s="116" customFormat="1">
      <c r="A30124" s="136"/>
      <c r="CM30124" s="111"/>
      <c r="CQ30124" s="111"/>
      <c r="EF30124"/>
      <c r="EG30124"/>
      <c r="EH30124"/>
      <c r="EI30124"/>
      <c r="EJ30124"/>
      <c r="EK30124"/>
    </row>
    <row r="30125" spans="1:141" s="116" customFormat="1">
      <c r="A30125" s="136"/>
      <c r="CM30125" s="111"/>
      <c r="CQ30125" s="111"/>
      <c r="EF30125"/>
      <c r="EG30125"/>
      <c r="EH30125"/>
      <c r="EI30125"/>
      <c r="EJ30125"/>
      <c r="EK30125"/>
    </row>
    <row r="30126" spans="1:141" s="116" customFormat="1">
      <c r="A30126" s="136"/>
      <c r="CM30126" s="111"/>
      <c r="CQ30126" s="111"/>
      <c r="EF30126"/>
      <c r="EG30126"/>
      <c r="EH30126"/>
      <c r="EI30126"/>
      <c r="EJ30126"/>
      <c r="EK30126"/>
    </row>
    <row r="30127" spans="1:141" s="116" customFormat="1">
      <c r="A30127" s="136"/>
      <c r="CM30127" s="111"/>
      <c r="CQ30127" s="111"/>
      <c r="EF30127"/>
      <c r="EG30127"/>
      <c r="EH30127"/>
      <c r="EI30127"/>
      <c r="EJ30127"/>
      <c r="EK30127"/>
    </row>
    <row r="30128" spans="1:141" s="116" customFormat="1">
      <c r="A30128" s="136"/>
      <c r="CM30128" s="111"/>
      <c r="CQ30128" s="111"/>
      <c r="EF30128"/>
      <c r="EG30128"/>
      <c r="EH30128"/>
      <c r="EI30128"/>
      <c r="EJ30128"/>
      <c r="EK30128"/>
    </row>
    <row r="30129" spans="1:141" s="116" customFormat="1">
      <c r="A30129" s="136"/>
      <c r="CM30129" s="111"/>
      <c r="CQ30129" s="111"/>
      <c r="EF30129"/>
      <c r="EG30129"/>
      <c r="EH30129"/>
      <c r="EI30129"/>
      <c r="EJ30129"/>
      <c r="EK30129"/>
    </row>
    <row r="30130" spans="1:141" s="116" customFormat="1">
      <c r="A30130" s="136"/>
      <c r="CM30130" s="111"/>
      <c r="CQ30130" s="111"/>
      <c r="EF30130"/>
      <c r="EG30130"/>
      <c r="EH30130"/>
      <c r="EI30130"/>
      <c r="EJ30130"/>
      <c r="EK30130"/>
    </row>
    <row r="30131" spans="1:141" s="116" customFormat="1">
      <c r="A30131" s="136"/>
      <c r="CM30131" s="111"/>
      <c r="CQ30131" s="111"/>
      <c r="EF30131"/>
      <c r="EG30131"/>
      <c r="EH30131"/>
      <c r="EI30131"/>
      <c r="EJ30131"/>
      <c r="EK30131"/>
    </row>
    <row r="30132" spans="1:141" s="116" customFormat="1">
      <c r="A30132" s="136"/>
      <c r="CM30132" s="111"/>
      <c r="CQ30132" s="111"/>
      <c r="EF30132"/>
      <c r="EG30132"/>
      <c r="EH30132"/>
      <c r="EI30132"/>
      <c r="EJ30132"/>
      <c r="EK30132"/>
    </row>
    <row r="30133" spans="1:141" s="116" customFormat="1">
      <c r="A30133" s="136"/>
      <c r="CM30133" s="111"/>
      <c r="CQ30133" s="111"/>
      <c r="EF30133"/>
      <c r="EG30133"/>
      <c r="EH30133"/>
      <c r="EI30133"/>
      <c r="EJ30133"/>
      <c r="EK30133"/>
    </row>
    <row r="30134" spans="1:141" s="116" customFormat="1">
      <c r="A30134" s="136"/>
      <c r="CM30134" s="111"/>
      <c r="CQ30134" s="111"/>
      <c r="EF30134"/>
      <c r="EG30134"/>
      <c r="EH30134"/>
      <c r="EI30134"/>
      <c r="EJ30134"/>
      <c r="EK30134"/>
    </row>
    <row r="30135" spans="1:141" s="116" customFormat="1">
      <c r="A30135" s="136"/>
      <c r="CM30135" s="111"/>
      <c r="CQ30135" s="111"/>
      <c r="EF30135"/>
      <c r="EG30135"/>
      <c r="EH30135"/>
      <c r="EI30135"/>
      <c r="EJ30135"/>
      <c r="EK30135"/>
    </row>
    <row r="30136" spans="1:141" s="116" customFormat="1">
      <c r="A30136" s="136"/>
      <c r="CM30136" s="111"/>
      <c r="CQ30136" s="111"/>
      <c r="EF30136"/>
      <c r="EG30136"/>
      <c r="EH30136"/>
      <c r="EI30136"/>
      <c r="EJ30136"/>
      <c r="EK30136"/>
    </row>
    <row r="30137" spans="1:141" s="116" customFormat="1">
      <c r="A30137" s="136"/>
      <c r="CM30137" s="111"/>
      <c r="CQ30137" s="111"/>
      <c r="EF30137"/>
      <c r="EG30137"/>
      <c r="EH30137"/>
      <c r="EI30137"/>
      <c r="EJ30137"/>
      <c r="EK30137"/>
    </row>
    <row r="30138" spans="1:141" s="116" customFormat="1">
      <c r="A30138" s="136"/>
      <c r="CM30138" s="111"/>
      <c r="CQ30138" s="111"/>
      <c r="EF30138"/>
      <c r="EG30138"/>
      <c r="EH30138"/>
      <c r="EI30138"/>
      <c r="EJ30138"/>
      <c r="EK30138"/>
    </row>
    <row r="30139" spans="1:141" s="116" customFormat="1">
      <c r="A30139" s="136"/>
      <c r="CM30139" s="111"/>
      <c r="CQ30139" s="111"/>
      <c r="EF30139"/>
      <c r="EG30139"/>
      <c r="EH30139"/>
      <c r="EI30139"/>
      <c r="EJ30139"/>
      <c r="EK30139"/>
    </row>
    <row r="30140" spans="1:141" s="116" customFormat="1">
      <c r="A30140" s="136"/>
      <c r="CM30140" s="111"/>
      <c r="CQ30140" s="111"/>
      <c r="EF30140"/>
      <c r="EG30140"/>
      <c r="EH30140"/>
      <c r="EI30140"/>
      <c r="EJ30140"/>
      <c r="EK30140"/>
    </row>
    <row r="30141" spans="1:141" s="116" customFormat="1">
      <c r="A30141" s="136"/>
      <c r="CM30141" s="111"/>
      <c r="CQ30141" s="111"/>
      <c r="EF30141"/>
      <c r="EG30141"/>
      <c r="EH30141"/>
      <c r="EI30141"/>
      <c r="EJ30141"/>
      <c r="EK30141"/>
    </row>
    <row r="30142" spans="1:141" s="116" customFormat="1">
      <c r="A30142" s="136"/>
      <c r="CM30142" s="111"/>
      <c r="CQ30142" s="111"/>
      <c r="EF30142"/>
      <c r="EG30142"/>
      <c r="EH30142"/>
      <c r="EI30142"/>
      <c r="EJ30142"/>
      <c r="EK30142"/>
    </row>
    <row r="30143" spans="1:141" s="116" customFormat="1">
      <c r="A30143" s="136"/>
      <c r="CM30143" s="111"/>
      <c r="CQ30143" s="111"/>
      <c r="EF30143"/>
      <c r="EG30143"/>
      <c r="EH30143"/>
      <c r="EI30143"/>
      <c r="EJ30143"/>
      <c r="EK30143"/>
    </row>
    <row r="30144" spans="1:141" s="116" customFormat="1">
      <c r="A30144" s="136"/>
      <c r="CM30144" s="111"/>
      <c r="CQ30144" s="111"/>
      <c r="EF30144"/>
      <c r="EG30144"/>
      <c r="EH30144"/>
      <c r="EI30144"/>
      <c r="EJ30144"/>
      <c r="EK30144"/>
    </row>
    <row r="30145" spans="1:141" s="116" customFormat="1">
      <c r="A30145" s="136"/>
      <c r="CM30145" s="111"/>
      <c r="CQ30145" s="111"/>
      <c r="EF30145"/>
      <c r="EG30145"/>
      <c r="EH30145"/>
      <c r="EI30145"/>
      <c r="EJ30145"/>
      <c r="EK30145"/>
    </row>
    <row r="30146" spans="1:141" s="116" customFormat="1">
      <c r="A30146" s="136"/>
      <c r="CM30146" s="111"/>
      <c r="CQ30146" s="111"/>
      <c r="EF30146"/>
      <c r="EG30146"/>
      <c r="EH30146"/>
      <c r="EI30146"/>
      <c r="EJ30146"/>
      <c r="EK30146"/>
    </row>
    <row r="30147" spans="1:141" s="116" customFormat="1">
      <c r="A30147" s="136"/>
      <c r="CM30147" s="111"/>
      <c r="CQ30147" s="111"/>
      <c r="EF30147"/>
      <c r="EG30147"/>
      <c r="EH30147"/>
      <c r="EI30147"/>
      <c r="EJ30147"/>
      <c r="EK30147"/>
    </row>
    <row r="30148" spans="1:141" s="116" customFormat="1">
      <c r="A30148" s="136"/>
      <c r="CM30148" s="111"/>
      <c r="CQ30148" s="111"/>
      <c r="EF30148"/>
      <c r="EG30148"/>
      <c r="EH30148"/>
      <c r="EI30148"/>
      <c r="EJ30148"/>
      <c r="EK30148"/>
    </row>
    <row r="30149" spans="1:141" s="116" customFormat="1">
      <c r="A30149" s="136"/>
      <c r="CM30149" s="111"/>
      <c r="CQ30149" s="111"/>
      <c r="EF30149"/>
      <c r="EG30149"/>
      <c r="EH30149"/>
      <c r="EI30149"/>
      <c r="EJ30149"/>
      <c r="EK30149"/>
    </row>
    <row r="30150" spans="1:141" s="116" customFormat="1">
      <c r="A30150" s="136"/>
      <c r="CM30150" s="111"/>
      <c r="CQ30150" s="111"/>
      <c r="EF30150"/>
      <c r="EG30150"/>
      <c r="EH30150"/>
      <c r="EI30150"/>
      <c r="EJ30150"/>
      <c r="EK30150"/>
    </row>
    <row r="30151" spans="1:141" s="116" customFormat="1">
      <c r="A30151" s="136"/>
      <c r="CM30151" s="111"/>
      <c r="CQ30151" s="111"/>
      <c r="EF30151"/>
      <c r="EG30151"/>
      <c r="EH30151"/>
      <c r="EI30151"/>
      <c r="EJ30151"/>
      <c r="EK30151"/>
    </row>
    <row r="30152" spans="1:141" s="116" customFormat="1">
      <c r="A30152" s="136"/>
      <c r="CM30152" s="111"/>
      <c r="CQ30152" s="111"/>
      <c r="EF30152"/>
      <c r="EG30152"/>
      <c r="EH30152"/>
      <c r="EI30152"/>
      <c r="EJ30152"/>
      <c r="EK30152"/>
    </row>
    <row r="30153" spans="1:141" s="116" customFormat="1">
      <c r="A30153" s="136"/>
      <c r="CM30153" s="111"/>
      <c r="CQ30153" s="111"/>
      <c r="EF30153"/>
      <c r="EG30153"/>
      <c r="EH30153"/>
      <c r="EI30153"/>
      <c r="EJ30153"/>
      <c r="EK30153"/>
    </row>
    <row r="30154" spans="1:141" s="116" customFormat="1">
      <c r="A30154" s="136"/>
      <c r="CM30154" s="111"/>
      <c r="CQ30154" s="111"/>
      <c r="EF30154"/>
      <c r="EG30154"/>
      <c r="EH30154"/>
      <c r="EI30154"/>
      <c r="EJ30154"/>
      <c r="EK30154"/>
    </row>
    <row r="30155" spans="1:141" s="116" customFormat="1">
      <c r="A30155" s="136"/>
      <c r="CM30155" s="111"/>
      <c r="CQ30155" s="111"/>
      <c r="EF30155"/>
      <c r="EG30155"/>
      <c r="EH30155"/>
      <c r="EI30155"/>
      <c r="EJ30155"/>
      <c r="EK30155"/>
    </row>
    <row r="30156" spans="1:141" s="116" customFormat="1">
      <c r="A30156" s="136"/>
      <c r="CM30156" s="111"/>
      <c r="CQ30156" s="111"/>
      <c r="EF30156"/>
      <c r="EG30156"/>
      <c r="EH30156"/>
      <c r="EI30156"/>
      <c r="EJ30156"/>
      <c r="EK30156"/>
    </row>
    <row r="30157" spans="1:141" s="116" customFormat="1">
      <c r="A30157" s="136"/>
      <c r="CM30157" s="111"/>
      <c r="CQ30157" s="111"/>
      <c r="EF30157"/>
      <c r="EG30157"/>
      <c r="EH30157"/>
      <c r="EI30157"/>
      <c r="EJ30157"/>
      <c r="EK30157"/>
    </row>
    <row r="30158" spans="1:141" s="116" customFormat="1">
      <c r="A30158" s="136"/>
      <c r="CM30158" s="111"/>
      <c r="CQ30158" s="111"/>
      <c r="EF30158"/>
      <c r="EG30158"/>
      <c r="EH30158"/>
      <c r="EI30158"/>
      <c r="EJ30158"/>
      <c r="EK30158"/>
    </row>
    <row r="30159" spans="1:141" s="116" customFormat="1">
      <c r="A30159" s="136"/>
      <c r="CM30159" s="111"/>
      <c r="CQ30159" s="111"/>
      <c r="EF30159"/>
      <c r="EG30159"/>
      <c r="EH30159"/>
      <c r="EI30159"/>
      <c r="EJ30159"/>
      <c r="EK30159"/>
    </row>
    <row r="30160" spans="1:141" s="116" customFormat="1">
      <c r="A30160" s="136"/>
      <c r="CM30160" s="111"/>
      <c r="CQ30160" s="111"/>
      <c r="EF30160"/>
      <c r="EG30160"/>
      <c r="EH30160"/>
      <c r="EI30160"/>
      <c r="EJ30160"/>
      <c r="EK30160"/>
    </row>
    <row r="30161" spans="1:141" s="116" customFormat="1">
      <c r="A30161" s="136"/>
      <c r="CM30161" s="111"/>
      <c r="CQ30161" s="111"/>
      <c r="EF30161"/>
      <c r="EG30161"/>
      <c r="EH30161"/>
      <c r="EI30161"/>
      <c r="EJ30161"/>
      <c r="EK30161"/>
    </row>
    <row r="30162" spans="1:141" s="116" customFormat="1">
      <c r="A30162" s="136"/>
      <c r="CM30162" s="111"/>
      <c r="CQ30162" s="111"/>
      <c r="EF30162"/>
      <c r="EG30162"/>
      <c r="EH30162"/>
      <c r="EI30162"/>
      <c r="EJ30162"/>
      <c r="EK30162"/>
    </row>
    <row r="30163" spans="1:141" s="116" customFormat="1">
      <c r="A30163" s="136"/>
      <c r="CM30163" s="111"/>
      <c r="CQ30163" s="111"/>
      <c r="EF30163"/>
      <c r="EG30163"/>
      <c r="EH30163"/>
      <c r="EI30163"/>
      <c r="EJ30163"/>
      <c r="EK30163"/>
    </row>
    <row r="30164" spans="1:141" s="116" customFormat="1">
      <c r="A30164" s="136"/>
      <c r="CM30164" s="111"/>
      <c r="CQ30164" s="111"/>
      <c r="EF30164"/>
      <c r="EG30164"/>
      <c r="EH30164"/>
      <c r="EI30164"/>
      <c r="EJ30164"/>
      <c r="EK30164"/>
    </row>
    <row r="30165" spans="1:141" s="116" customFormat="1">
      <c r="A30165" s="136"/>
      <c r="CM30165" s="111"/>
      <c r="CQ30165" s="111"/>
      <c r="EF30165"/>
      <c r="EG30165"/>
      <c r="EH30165"/>
      <c r="EI30165"/>
      <c r="EJ30165"/>
      <c r="EK30165"/>
    </row>
    <row r="30166" spans="1:141" s="116" customFormat="1">
      <c r="A30166" s="136"/>
      <c r="CM30166" s="111"/>
      <c r="CQ30166" s="111"/>
      <c r="EF30166"/>
      <c r="EG30166"/>
      <c r="EH30166"/>
      <c r="EI30166"/>
      <c r="EJ30166"/>
      <c r="EK30166"/>
    </row>
    <row r="30167" spans="1:141" s="116" customFormat="1">
      <c r="A30167" s="136"/>
      <c r="CM30167" s="111"/>
      <c r="CQ30167" s="111"/>
      <c r="EF30167"/>
      <c r="EG30167"/>
      <c r="EH30167"/>
      <c r="EI30167"/>
      <c r="EJ30167"/>
      <c r="EK30167"/>
    </row>
    <row r="30168" spans="1:141" s="116" customFormat="1">
      <c r="A30168" s="136"/>
      <c r="CM30168" s="111"/>
      <c r="CQ30168" s="111"/>
      <c r="EF30168"/>
      <c r="EG30168"/>
      <c r="EH30168"/>
      <c r="EI30168"/>
      <c r="EJ30168"/>
      <c r="EK30168"/>
    </row>
    <row r="30169" spans="1:141" s="116" customFormat="1">
      <c r="A30169" s="136"/>
      <c r="CM30169" s="111"/>
      <c r="CQ30169" s="111"/>
      <c r="EF30169"/>
      <c r="EG30169"/>
      <c r="EH30169"/>
      <c r="EI30169"/>
      <c r="EJ30169"/>
      <c r="EK30169"/>
    </row>
    <row r="30170" spans="1:141" s="116" customFormat="1">
      <c r="A30170" s="136"/>
      <c r="CM30170" s="111"/>
      <c r="CQ30170" s="111"/>
      <c r="EF30170"/>
      <c r="EG30170"/>
      <c r="EH30170"/>
      <c r="EI30170"/>
      <c r="EJ30170"/>
      <c r="EK30170"/>
    </row>
    <row r="30171" spans="1:141" s="116" customFormat="1">
      <c r="A30171" s="136"/>
      <c r="CM30171" s="111"/>
      <c r="CQ30171" s="111"/>
      <c r="EF30171"/>
      <c r="EG30171"/>
      <c r="EH30171"/>
      <c r="EI30171"/>
      <c r="EJ30171"/>
      <c r="EK30171"/>
    </row>
    <row r="30172" spans="1:141" s="116" customFormat="1">
      <c r="A30172" s="136"/>
      <c r="CM30172" s="111"/>
      <c r="CQ30172" s="111"/>
      <c r="EF30172"/>
      <c r="EG30172"/>
      <c r="EH30172"/>
      <c r="EI30172"/>
      <c r="EJ30172"/>
      <c r="EK30172"/>
    </row>
    <row r="30173" spans="1:141" s="116" customFormat="1">
      <c r="A30173" s="136"/>
      <c r="CM30173" s="111"/>
      <c r="CQ30173" s="111"/>
      <c r="EF30173"/>
      <c r="EG30173"/>
      <c r="EH30173"/>
      <c r="EI30173"/>
      <c r="EJ30173"/>
      <c r="EK30173"/>
    </row>
    <row r="30174" spans="1:141" s="116" customFormat="1">
      <c r="A30174" s="136"/>
      <c r="CM30174" s="111"/>
      <c r="CQ30174" s="111"/>
      <c r="EF30174"/>
      <c r="EG30174"/>
      <c r="EH30174"/>
      <c r="EI30174"/>
      <c r="EJ30174"/>
      <c r="EK30174"/>
    </row>
    <row r="30175" spans="1:141" s="116" customFormat="1">
      <c r="A30175" s="136"/>
      <c r="CM30175" s="111"/>
      <c r="CQ30175" s="111"/>
      <c r="EF30175"/>
      <c r="EG30175"/>
      <c r="EH30175"/>
      <c r="EI30175"/>
      <c r="EJ30175"/>
      <c r="EK30175"/>
    </row>
    <row r="30176" spans="1:141" s="116" customFormat="1">
      <c r="A30176" s="136"/>
      <c r="CM30176" s="111"/>
      <c r="CQ30176" s="111"/>
      <c r="EF30176"/>
      <c r="EG30176"/>
      <c r="EH30176"/>
      <c r="EI30176"/>
      <c r="EJ30176"/>
      <c r="EK30176"/>
    </row>
    <row r="30177" spans="1:141" s="116" customFormat="1">
      <c r="A30177" s="136"/>
      <c r="CM30177" s="111"/>
      <c r="CQ30177" s="111"/>
      <c r="EF30177"/>
      <c r="EG30177"/>
      <c r="EH30177"/>
      <c r="EI30177"/>
      <c r="EJ30177"/>
      <c r="EK30177"/>
    </row>
    <row r="30178" spans="1:141" s="116" customFormat="1">
      <c r="A30178" s="136"/>
      <c r="CM30178" s="111"/>
      <c r="CQ30178" s="111"/>
      <c r="EF30178"/>
      <c r="EG30178"/>
      <c r="EH30178"/>
      <c r="EI30178"/>
      <c r="EJ30178"/>
      <c r="EK30178"/>
    </row>
    <row r="30179" spans="1:141" s="116" customFormat="1">
      <c r="A30179" s="136"/>
      <c r="CM30179" s="111"/>
      <c r="CQ30179" s="111"/>
      <c r="EF30179"/>
      <c r="EG30179"/>
      <c r="EH30179"/>
      <c r="EI30179"/>
      <c r="EJ30179"/>
      <c r="EK30179"/>
    </row>
    <row r="30180" spans="1:141" s="116" customFormat="1">
      <c r="A30180" s="136"/>
      <c r="CM30180" s="111"/>
      <c r="CQ30180" s="111"/>
      <c r="EF30180"/>
      <c r="EG30180"/>
      <c r="EH30180"/>
      <c r="EI30180"/>
      <c r="EJ30180"/>
      <c r="EK30180"/>
    </row>
    <row r="30181" spans="1:141" s="116" customFormat="1">
      <c r="A30181" s="136"/>
      <c r="CM30181" s="111"/>
      <c r="CQ30181" s="111"/>
      <c r="EF30181"/>
      <c r="EG30181"/>
      <c r="EH30181"/>
      <c r="EI30181"/>
      <c r="EJ30181"/>
      <c r="EK30181"/>
    </row>
    <row r="30182" spans="1:141" s="116" customFormat="1">
      <c r="A30182" s="136"/>
      <c r="CM30182" s="111"/>
      <c r="CQ30182" s="111"/>
      <c r="EF30182"/>
      <c r="EG30182"/>
      <c r="EH30182"/>
      <c r="EI30182"/>
      <c r="EJ30182"/>
      <c r="EK30182"/>
    </row>
    <row r="30183" spans="1:141" s="116" customFormat="1">
      <c r="A30183" s="136"/>
      <c r="CM30183" s="111"/>
      <c r="CQ30183" s="111"/>
      <c r="EF30183"/>
      <c r="EG30183"/>
      <c r="EH30183"/>
      <c r="EI30183"/>
      <c r="EJ30183"/>
      <c r="EK30183"/>
    </row>
    <row r="30184" spans="1:141" s="116" customFormat="1">
      <c r="A30184" s="136"/>
      <c r="CM30184" s="111"/>
      <c r="CQ30184" s="111"/>
      <c r="EF30184"/>
      <c r="EG30184"/>
      <c r="EH30184"/>
      <c r="EI30184"/>
      <c r="EJ30184"/>
      <c r="EK30184"/>
    </row>
    <row r="30185" spans="1:141" s="116" customFormat="1">
      <c r="A30185" s="136"/>
      <c r="CM30185" s="111"/>
      <c r="CQ30185" s="111"/>
      <c r="EF30185"/>
      <c r="EG30185"/>
      <c r="EH30185"/>
      <c r="EI30185"/>
      <c r="EJ30185"/>
      <c r="EK30185"/>
    </row>
    <row r="30186" spans="1:141" s="116" customFormat="1">
      <c r="A30186" s="136"/>
      <c r="CM30186" s="111"/>
      <c r="CQ30186" s="111"/>
      <c r="EF30186"/>
      <c r="EG30186"/>
      <c r="EH30186"/>
      <c r="EI30186"/>
      <c r="EJ30186"/>
      <c r="EK30186"/>
    </row>
    <row r="30187" spans="1:141" s="116" customFormat="1">
      <c r="A30187" s="136"/>
      <c r="CM30187" s="111"/>
      <c r="CQ30187" s="111"/>
      <c r="EF30187"/>
      <c r="EG30187"/>
      <c r="EH30187"/>
      <c r="EI30187"/>
      <c r="EJ30187"/>
      <c r="EK30187"/>
    </row>
    <row r="30188" spans="1:141" s="116" customFormat="1">
      <c r="A30188" s="136"/>
      <c r="CM30188" s="111"/>
      <c r="CQ30188" s="111"/>
      <c r="EF30188"/>
      <c r="EG30188"/>
      <c r="EH30188"/>
      <c r="EI30188"/>
      <c r="EJ30188"/>
      <c r="EK30188"/>
    </row>
    <row r="30189" spans="1:141" s="116" customFormat="1">
      <c r="A30189" s="136"/>
      <c r="CM30189" s="111"/>
      <c r="CQ30189" s="111"/>
      <c r="EF30189"/>
      <c r="EG30189"/>
      <c r="EH30189"/>
      <c r="EI30189"/>
      <c r="EJ30189"/>
      <c r="EK30189"/>
    </row>
    <row r="30190" spans="1:141" s="116" customFormat="1">
      <c r="A30190" s="136"/>
      <c r="CM30190" s="111"/>
      <c r="CQ30190" s="111"/>
      <c r="EF30190"/>
      <c r="EG30190"/>
      <c r="EH30190"/>
      <c r="EI30190"/>
      <c r="EJ30190"/>
      <c r="EK30190"/>
    </row>
    <row r="30191" spans="1:141" s="116" customFormat="1">
      <c r="A30191" s="136"/>
      <c r="CM30191" s="111"/>
      <c r="CQ30191" s="111"/>
      <c r="EF30191"/>
      <c r="EG30191"/>
      <c r="EH30191"/>
      <c r="EI30191"/>
      <c r="EJ30191"/>
      <c r="EK30191"/>
    </row>
    <row r="30192" spans="1:141" s="116" customFormat="1">
      <c r="A30192" s="136"/>
      <c r="CM30192" s="111"/>
      <c r="CQ30192" s="111"/>
      <c r="EF30192"/>
      <c r="EG30192"/>
      <c r="EH30192"/>
      <c r="EI30192"/>
      <c r="EJ30192"/>
      <c r="EK30192"/>
    </row>
    <row r="30193" spans="1:141" s="116" customFormat="1">
      <c r="A30193" s="136"/>
      <c r="CM30193" s="111"/>
      <c r="CQ30193" s="111"/>
      <c r="EF30193"/>
      <c r="EG30193"/>
      <c r="EH30193"/>
      <c r="EI30193"/>
      <c r="EJ30193"/>
      <c r="EK30193"/>
    </row>
    <row r="30194" spans="1:141" s="116" customFormat="1">
      <c r="A30194" s="136"/>
      <c r="CM30194" s="111"/>
      <c r="CQ30194" s="111"/>
      <c r="EF30194"/>
      <c r="EG30194"/>
      <c r="EH30194"/>
      <c r="EI30194"/>
      <c r="EJ30194"/>
      <c r="EK30194"/>
    </row>
    <row r="30195" spans="1:141" s="116" customFormat="1">
      <c r="A30195" s="136"/>
      <c r="CM30195" s="111"/>
      <c r="CQ30195" s="111"/>
      <c r="EF30195"/>
      <c r="EG30195"/>
      <c r="EH30195"/>
      <c r="EI30195"/>
      <c r="EJ30195"/>
      <c r="EK30195"/>
    </row>
    <row r="30196" spans="1:141" s="116" customFormat="1">
      <c r="A30196" s="136"/>
      <c r="CM30196" s="111"/>
      <c r="CQ30196" s="111"/>
      <c r="EF30196"/>
      <c r="EG30196"/>
      <c r="EH30196"/>
      <c r="EI30196"/>
      <c r="EJ30196"/>
      <c r="EK30196"/>
    </row>
    <row r="30197" spans="1:141" s="116" customFormat="1">
      <c r="A30197" s="136"/>
      <c r="CM30197" s="111"/>
      <c r="CQ30197" s="111"/>
      <c r="EF30197"/>
      <c r="EG30197"/>
      <c r="EH30197"/>
      <c r="EI30197"/>
      <c r="EJ30197"/>
      <c r="EK30197"/>
    </row>
    <row r="30198" spans="1:141" s="116" customFormat="1">
      <c r="A30198" s="136"/>
      <c r="CM30198" s="111"/>
      <c r="CQ30198" s="111"/>
      <c r="EF30198"/>
      <c r="EG30198"/>
      <c r="EH30198"/>
      <c r="EI30198"/>
      <c r="EJ30198"/>
      <c r="EK30198"/>
    </row>
    <row r="30199" spans="1:141" s="116" customFormat="1">
      <c r="A30199" s="136"/>
      <c r="CM30199" s="111"/>
      <c r="CQ30199" s="111"/>
      <c r="EF30199"/>
      <c r="EG30199"/>
      <c r="EH30199"/>
      <c r="EI30199"/>
      <c r="EJ30199"/>
      <c r="EK30199"/>
    </row>
    <row r="30200" spans="1:141" s="116" customFormat="1">
      <c r="A30200" s="136"/>
      <c r="CM30200" s="111"/>
      <c r="CQ30200" s="111"/>
      <c r="EF30200"/>
      <c r="EG30200"/>
      <c r="EH30200"/>
      <c r="EI30200"/>
      <c r="EJ30200"/>
      <c r="EK30200"/>
    </row>
    <row r="30201" spans="1:141" s="116" customFormat="1">
      <c r="A30201" s="136"/>
      <c r="CM30201" s="111"/>
      <c r="CQ30201" s="111"/>
      <c r="EF30201"/>
      <c r="EG30201"/>
      <c r="EH30201"/>
      <c r="EI30201"/>
      <c r="EJ30201"/>
      <c r="EK30201"/>
    </row>
    <row r="30202" spans="1:141" s="116" customFormat="1">
      <c r="A30202" s="136"/>
      <c r="CM30202" s="111"/>
      <c r="CQ30202" s="111"/>
      <c r="EF30202"/>
      <c r="EG30202"/>
      <c r="EH30202"/>
      <c r="EI30202"/>
      <c r="EJ30202"/>
      <c r="EK30202"/>
    </row>
    <row r="30203" spans="1:141" s="116" customFormat="1">
      <c r="A30203" s="136"/>
      <c r="CM30203" s="111"/>
      <c r="CQ30203" s="111"/>
      <c r="EF30203"/>
      <c r="EG30203"/>
      <c r="EH30203"/>
      <c r="EI30203"/>
      <c r="EJ30203"/>
      <c r="EK30203"/>
    </row>
    <row r="30204" spans="1:141" s="116" customFormat="1">
      <c r="A30204" s="136"/>
      <c r="CM30204" s="111"/>
      <c r="CQ30204" s="111"/>
      <c r="EF30204"/>
      <c r="EG30204"/>
      <c r="EH30204"/>
      <c r="EI30204"/>
      <c r="EJ30204"/>
      <c r="EK30204"/>
    </row>
    <row r="30205" spans="1:141" s="116" customFormat="1">
      <c r="A30205" s="136"/>
      <c r="CM30205" s="111"/>
      <c r="CQ30205" s="111"/>
      <c r="EF30205"/>
      <c r="EG30205"/>
      <c r="EH30205"/>
      <c r="EI30205"/>
      <c r="EJ30205"/>
      <c r="EK30205"/>
    </row>
    <row r="30206" spans="1:141" s="116" customFormat="1">
      <c r="A30206" s="136"/>
      <c r="CM30206" s="111"/>
      <c r="CQ30206" s="111"/>
      <c r="EF30206"/>
      <c r="EG30206"/>
      <c r="EH30206"/>
      <c r="EI30206"/>
      <c r="EJ30206"/>
      <c r="EK30206"/>
    </row>
    <row r="30207" spans="1:141" s="116" customFormat="1">
      <c r="A30207" s="136"/>
      <c r="CM30207" s="111"/>
      <c r="CQ30207" s="111"/>
      <c r="EF30207"/>
      <c r="EG30207"/>
      <c r="EH30207"/>
      <c r="EI30207"/>
      <c r="EJ30207"/>
      <c r="EK30207"/>
    </row>
    <row r="30208" spans="1:141" s="116" customFormat="1">
      <c r="A30208" s="136"/>
      <c r="CM30208" s="111"/>
      <c r="CQ30208" s="111"/>
      <c r="EF30208"/>
      <c r="EG30208"/>
      <c r="EH30208"/>
      <c r="EI30208"/>
      <c r="EJ30208"/>
      <c r="EK30208"/>
    </row>
    <row r="30209" spans="1:141" s="116" customFormat="1">
      <c r="A30209" s="136"/>
      <c r="CM30209" s="111"/>
      <c r="CQ30209" s="111"/>
      <c r="EF30209"/>
      <c r="EG30209"/>
      <c r="EH30209"/>
      <c r="EI30209"/>
      <c r="EJ30209"/>
      <c r="EK30209"/>
    </row>
    <row r="30210" spans="1:141" s="116" customFormat="1">
      <c r="A30210" s="136"/>
      <c r="CM30210" s="111"/>
      <c r="CQ30210" s="111"/>
      <c r="EF30210"/>
      <c r="EG30210"/>
      <c r="EH30210"/>
      <c r="EI30210"/>
      <c r="EJ30210"/>
      <c r="EK30210"/>
    </row>
    <row r="30211" spans="1:141" s="116" customFormat="1">
      <c r="A30211" s="136"/>
      <c r="CM30211" s="111"/>
      <c r="CQ30211" s="111"/>
      <c r="EF30211"/>
      <c r="EG30211"/>
      <c r="EH30211"/>
      <c r="EI30211"/>
      <c r="EJ30211"/>
      <c r="EK30211"/>
    </row>
    <row r="30212" spans="1:141" s="116" customFormat="1">
      <c r="A30212" s="136"/>
      <c r="CM30212" s="111"/>
      <c r="CQ30212" s="111"/>
      <c r="EF30212"/>
      <c r="EG30212"/>
      <c r="EH30212"/>
      <c r="EI30212"/>
      <c r="EJ30212"/>
      <c r="EK30212"/>
    </row>
    <row r="30213" spans="1:141" s="116" customFormat="1">
      <c r="A30213" s="136"/>
      <c r="CM30213" s="111"/>
      <c r="CQ30213" s="111"/>
      <c r="EF30213"/>
      <c r="EG30213"/>
      <c r="EH30213"/>
      <c r="EI30213"/>
      <c r="EJ30213"/>
      <c r="EK30213"/>
    </row>
    <row r="30214" spans="1:141" s="116" customFormat="1">
      <c r="A30214" s="136"/>
      <c r="CM30214" s="111"/>
      <c r="CQ30214" s="111"/>
      <c r="EF30214"/>
      <c r="EG30214"/>
      <c r="EH30214"/>
      <c r="EI30214"/>
      <c r="EJ30214"/>
      <c r="EK30214"/>
    </row>
    <row r="30215" spans="1:141" s="116" customFormat="1">
      <c r="A30215" s="136"/>
      <c r="CM30215" s="111"/>
      <c r="CQ30215" s="111"/>
      <c r="EF30215"/>
      <c r="EG30215"/>
      <c r="EH30215"/>
      <c r="EI30215"/>
      <c r="EJ30215"/>
      <c r="EK30215"/>
    </row>
    <row r="30216" spans="1:141" s="116" customFormat="1">
      <c r="A30216" s="136"/>
      <c r="CM30216" s="111"/>
      <c r="CQ30216" s="111"/>
      <c r="EF30216"/>
      <c r="EG30216"/>
      <c r="EH30216"/>
      <c r="EI30216"/>
      <c r="EJ30216"/>
      <c r="EK30216"/>
    </row>
    <row r="30217" spans="1:141" s="116" customFormat="1">
      <c r="A30217" s="136"/>
      <c r="CM30217" s="111"/>
      <c r="CQ30217" s="111"/>
      <c r="EF30217"/>
      <c r="EG30217"/>
      <c r="EH30217"/>
      <c r="EI30217"/>
      <c r="EJ30217"/>
      <c r="EK30217"/>
    </row>
    <row r="30218" spans="1:141" s="116" customFormat="1">
      <c r="A30218" s="136"/>
      <c r="CM30218" s="111"/>
      <c r="CQ30218" s="111"/>
      <c r="EF30218"/>
      <c r="EG30218"/>
      <c r="EH30218"/>
      <c r="EI30218"/>
      <c r="EJ30218"/>
      <c r="EK30218"/>
    </row>
    <row r="30219" spans="1:141" s="116" customFormat="1">
      <c r="A30219" s="136"/>
      <c r="CM30219" s="111"/>
      <c r="CQ30219" s="111"/>
      <c r="EF30219"/>
      <c r="EG30219"/>
      <c r="EH30219"/>
      <c r="EI30219"/>
      <c r="EJ30219"/>
      <c r="EK30219"/>
    </row>
    <row r="30220" spans="1:141" s="116" customFormat="1">
      <c r="A30220" s="136"/>
      <c r="CM30220" s="111"/>
      <c r="CQ30220" s="111"/>
      <c r="EF30220"/>
      <c r="EG30220"/>
      <c r="EH30220"/>
      <c r="EI30220"/>
      <c r="EJ30220"/>
      <c r="EK30220"/>
    </row>
    <row r="30221" spans="1:141" s="116" customFormat="1">
      <c r="A30221" s="136"/>
      <c r="CM30221" s="111"/>
      <c r="CQ30221" s="111"/>
      <c r="EF30221"/>
      <c r="EG30221"/>
      <c r="EH30221"/>
      <c r="EI30221"/>
      <c r="EJ30221"/>
      <c r="EK30221"/>
    </row>
    <row r="30222" spans="1:141" s="116" customFormat="1">
      <c r="A30222" s="136"/>
      <c r="CM30222" s="111"/>
      <c r="CQ30222" s="111"/>
      <c r="EF30222"/>
      <c r="EG30222"/>
      <c r="EH30222"/>
      <c r="EI30222"/>
      <c r="EJ30222"/>
      <c r="EK30222"/>
    </row>
    <row r="30223" spans="1:141" s="116" customFormat="1">
      <c r="A30223" s="136"/>
      <c r="CM30223" s="111"/>
      <c r="CQ30223" s="111"/>
      <c r="EF30223"/>
      <c r="EG30223"/>
      <c r="EH30223"/>
      <c r="EI30223"/>
      <c r="EJ30223"/>
      <c r="EK30223"/>
    </row>
    <row r="30224" spans="1:141" s="116" customFormat="1">
      <c r="A30224" s="136"/>
      <c r="CM30224" s="111"/>
      <c r="CQ30224" s="111"/>
      <c r="EF30224"/>
      <c r="EG30224"/>
      <c r="EH30224"/>
      <c r="EI30224"/>
      <c r="EJ30224"/>
      <c r="EK30224"/>
    </row>
    <row r="30225" spans="1:141" s="116" customFormat="1">
      <c r="A30225" s="136"/>
      <c r="CM30225" s="111"/>
      <c r="CQ30225" s="111"/>
      <c r="EF30225"/>
      <c r="EG30225"/>
      <c r="EH30225"/>
      <c r="EI30225"/>
      <c r="EJ30225"/>
      <c r="EK30225"/>
    </row>
    <row r="30226" spans="1:141" s="116" customFormat="1">
      <c r="A30226" s="136"/>
      <c r="CM30226" s="111"/>
      <c r="CQ30226" s="111"/>
      <c r="EF30226"/>
      <c r="EG30226"/>
      <c r="EH30226"/>
      <c r="EI30226"/>
      <c r="EJ30226"/>
      <c r="EK30226"/>
    </row>
    <row r="30227" spans="1:141" s="116" customFormat="1">
      <c r="A30227" s="136"/>
      <c r="CM30227" s="111"/>
      <c r="CQ30227" s="111"/>
      <c r="EF30227"/>
      <c r="EG30227"/>
      <c r="EH30227"/>
      <c r="EI30227"/>
      <c r="EJ30227"/>
      <c r="EK30227"/>
    </row>
    <row r="30228" spans="1:141" s="116" customFormat="1">
      <c r="A30228" s="136"/>
      <c r="CM30228" s="111"/>
      <c r="CQ30228" s="111"/>
      <c r="EF30228"/>
      <c r="EG30228"/>
      <c r="EH30228"/>
      <c r="EI30228"/>
      <c r="EJ30228"/>
      <c r="EK30228"/>
    </row>
    <row r="30229" spans="1:141" s="116" customFormat="1">
      <c r="A30229" s="136"/>
      <c r="CM30229" s="111"/>
      <c r="CQ30229" s="111"/>
      <c r="EF30229"/>
      <c r="EG30229"/>
      <c r="EH30229"/>
      <c r="EI30229"/>
      <c r="EJ30229"/>
      <c r="EK30229"/>
    </row>
    <row r="30230" spans="1:141" s="116" customFormat="1">
      <c r="A30230" s="136"/>
      <c r="CM30230" s="111"/>
      <c r="CQ30230" s="111"/>
      <c r="EF30230"/>
      <c r="EG30230"/>
      <c r="EH30230"/>
      <c r="EI30230"/>
      <c r="EJ30230"/>
      <c r="EK30230"/>
    </row>
    <row r="30231" spans="1:141" s="116" customFormat="1">
      <c r="A30231" s="136"/>
      <c r="CM30231" s="111"/>
      <c r="CQ30231" s="111"/>
      <c r="EF30231"/>
      <c r="EG30231"/>
      <c r="EH30231"/>
      <c r="EI30231"/>
      <c r="EJ30231"/>
      <c r="EK30231"/>
    </row>
    <row r="30232" spans="1:141" s="116" customFormat="1">
      <c r="A30232" s="136"/>
      <c r="CM30232" s="111"/>
      <c r="CQ30232" s="111"/>
      <c r="EF30232"/>
      <c r="EG30232"/>
      <c r="EH30232"/>
      <c r="EI30232"/>
      <c r="EJ30232"/>
      <c r="EK30232"/>
    </row>
    <row r="30233" spans="1:141" s="116" customFormat="1">
      <c r="A30233" s="136"/>
      <c r="CM30233" s="111"/>
      <c r="CQ30233" s="111"/>
      <c r="EF30233"/>
      <c r="EG30233"/>
      <c r="EH30233"/>
      <c r="EI30233"/>
      <c r="EJ30233"/>
      <c r="EK30233"/>
    </row>
    <row r="30234" spans="1:141" s="116" customFormat="1">
      <c r="A30234" s="136"/>
      <c r="CM30234" s="111"/>
      <c r="CQ30234" s="111"/>
      <c r="EF30234"/>
      <c r="EG30234"/>
      <c r="EH30234"/>
      <c r="EI30234"/>
      <c r="EJ30234"/>
      <c r="EK30234"/>
    </row>
    <row r="30235" spans="1:141" s="116" customFormat="1">
      <c r="A30235" s="136"/>
      <c r="CM30235" s="111"/>
      <c r="CQ30235" s="111"/>
      <c r="EF30235"/>
      <c r="EG30235"/>
      <c r="EH30235"/>
      <c r="EI30235"/>
      <c r="EJ30235"/>
      <c r="EK30235"/>
    </row>
    <row r="30236" spans="1:141" s="116" customFormat="1">
      <c r="A30236" s="136"/>
      <c r="CM30236" s="111"/>
      <c r="CQ30236" s="111"/>
      <c r="EF30236"/>
      <c r="EG30236"/>
      <c r="EH30236"/>
      <c r="EI30236"/>
      <c r="EJ30236"/>
      <c r="EK30236"/>
    </row>
    <row r="30237" spans="1:141" s="116" customFormat="1">
      <c r="A30237" s="136"/>
      <c r="CM30237" s="111"/>
      <c r="CQ30237" s="111"/>
      <c r="EF30237"/>
      <c r="EG30237"/>
      <c r="EH30237"/>
      <c r="EI30237"/>
      <c r="EJ30237"/>
      <c r="EK30237"/>
    </row>
    <row r="30238" spans="1:141" s="116" customFormat="1">
      <c r="A30238" s="136"/>
      <c r="CM30238" s="111"/>
      <c r="CQ30238" s="111"/>
      <c r="EF30238"/>
      <c r="EG30238"/>
      <c r="EH30238"/>
      <c r="EI30238"/>
      <c r="EJ30238"/>
      <c r="EK30238"/>
    </row>
    <row r="30239" spans="1:141" s="116" customFormat="1">
      <c r="A30239" s="136"/>
      <c r="CM30239" s="111"/>
      <c r="CQ30239" s="111"/>
      <c r="EF30239"/>
      <c r="EG30239"/>
      <c r="EH30239"/>
      <c r="EI30239"/>
      <c r="EJ30239"/>
      <c r="EK30239"/>
    </row>
    <row r="30240" spans="1:141" s="116" customFormat="1">
      <c r="A30240" s="136"/>
      <c r="CM30240" s="111"/>
      <c r="CQ30240" s="111"/>
      <c r="EF30240"/>
      <c r="EG30240"/>
      <c r="EH30240"/>
      <c r="EI30240"/>
      <c r="EJ30240"/>
      <c r="EK30240"/>
    </row>
    <row r="30241" spans="1:141" s="116" customFormat="1">
      <c r="A30241" s="136"/>
      <c r="CM30241" s="111"/>
      <c r="CQ30241" s="111"/>
      <c r="EF30241"/>
      <c r="EG30241"/>
      <c r="EH30241"/>
      <c r="EI30241"/>
      <c r="EJ30241"/>
      <c r="EK30241"/>
    </row>
    <row r="30242" spans="1:141" s="116" customFormat="1">
      <c r="A30242" s="136"/>
      <c r="CM30242" s="111"/>
      <c r="CQ30242" s="111"/>
      <c r="EF30242"/>
      <c r="EG30242"/>
      <c r="EH30242"/>
      <c r="EI30242"/>
      <c r="EJ30242"/>
      <c r="EK30242"/>
    </row>
    <row r="30243" spans="1:141" s="116" customFormat="1">
      <c r="A30243" s="136"/>
      <c r="CM30243" s="111"/>
      <c r="CQ30243" s="111"/>
      <c r="EF30243"/>
      <c r="EG30243"/>
      <c r="EH30243"/>
      <c r="EI30243"/>
      <c r="EJ30243"/>
      <c r="EK30243"/>
    </row>
    <row r="30244" spans="1:141" s="116" customFormat="1">
      <c r="A30244" s="136"/>
      <c r="CM30244" s="111"/>
      <c r="CQ30244" s="111"/>
      <c r="EF30244"/>
      <c r="EG30244"/>
      <c r="EH30244"/>
      <c r="EI30244"/>
      <c r="EJ30244"/>
      <c r="EK30244"/>
    </row>
    <row r="30245" spans="1:141" s="116" customFormat="1">
      <c r="A30245" s="136"/>
      <c r="CM30245" s="111"/>
      <c r="CQ30245" s="111"/>
      <c r="EF30245"/>
      <c r="EG30245"/>
      <c r="EH30245"/>
      <c r="EI30245"/>
      <c r="EJ30245"/>
      <c r="EK30245"/>
    </row>
    <row r="30246" spans="1:141" s="116" customFormat="1">
      <c r="A30246" s="136"/>
      <c r="CM30246" s="111"/>
      <c r="CQ30246" s="111"/>
      <c r="EF30246"/>
      <c r="EG30246"/>
      <c r="EH30246"/>
      <c r="EI30246"/>
      <c r="EJ30246"/>
      <c r="EK30246"/>
    </row>
    <row r="30247" spans="1:141" s="116" customFormat="1">
      <c r="A30247" s="136"/>
      <c r="CM30247" s="111"/>
      <c r="CQ30247" s="111"/>
      <c r="EF30247"/>
      <c r="EG30247"/>
      <c r="EH30247"/>
      <c r="EI30247"/>
      <c r="EJ30247"/>
      <c r="EK30247"/>
    </row>
    <row r="30248" spans="1:141" s="116" customFormat="1">
      <c r="A30248" s="136"/>
      <c r="CM30248" s="111"/>
      <c r="CQ30248" s="111"/>
      <c r="EF30248"/>
      <c r="EG30248"/>
      <c r="EH30248"/>
      <c r="EI30248"/>
      <c r="EJ30248"/>
      <c r="EK30248"/>
    </row>
    <row r="30249" spans="1:141" s="116" customFormat="1">
      <c r="A30249" s="136"/>
      <c r="CM30249" s="111"/>
      <c r="CQ30249" s="111"/>
      <c r="EF30249"/>
      <c r="EG30249"/>
      <c r="EH30249"/>
      <c r="EI30249"/>
      <c r="EJ30249"/>
      <c r="EK30249"/>
    </row>
    <row r="30250" spans="1:141" s="116" customFormat="1">
      <c r="A30250" s="136"/>
      <c r="CM30250" s="111"/>
      <c r="CQ30250" s="111"/>
      <c r="EF30250"/>
      <c r="EG30250"/>
      <c r="EH30250"/>
      <c r="EI30250"/>
      <c r="EJ30250"/>
      <c r="EK30250"/>
    </row>
    <row r="30251" spans="1:141" s="116" customFormat="1">
      <c r="A30251" s="136"/>
      <c r="CM30251" s="111"/>
      <c r="CQ30251" s="111"/>
      <c r="EF30251"/>
      <c r="EG30251"/>
      <c r="EH30251"/>
      <c r="EI30251"/>
      <c r="EJ30251"/>
      <c r="EK30251"/>
    </row>
    <row r="30252" spans="1:141" s="116" customFormat="1">
      <c r="A30252" s="136"/>
      <c r="CM30252" s="111"/>
      <c r="CQ30252" s="111"/>
      <c r="EF30252"/>
      <c r="EG30252"/>
      <c r="EH30252"/>
      <c r="EI30252"/>
      <c r="EJ30252"/>
      <c r="EK30252"/>
    </row>
    <row r="30253" spans="1:141" s="116" customFormat="1">
      <c r="A30253" s="136"/>
      <c r="CM30253" s="111"/>
      <c r="CQ30253" s="111"/>
      <c r="EF30253"/>
      <c r="EG30253"/>
      <c r="EH30253"/>
      <c r="EI30253"/>
      <c r="EJ30253"/>
      <c r="EK30253"/>
    </row>
    <row r="30254" spans="1:141" s="116" customFormat="1">
      <c r="A30254" s="136"/>
      <c r="CM30254" s="111"/>
      <c r="CQ30254" s="111"/>
      <c r="EF30254"/>
      <c r="EG30254"/>
      <c r="EH30254"/>
      <c r="EI30254"/>
      <c r="EJ30254"/>
      <c r="EK30254"/>
    </row>
    <row r="30255" spans="1:141" s="116" customFormat="1">
      <c r="A30255" s="136"/>
      <c r="CM30255" s="111"/>
      <c r="CQ30255" s="111"/>
      <c r="EF30255"/>
      <c r="EG30255"/>
      <c r="EH30255"/>
      <c r="EI30255"/>
      <c r="EJ30255"/>
      <c r="EK30255"/>
    </row>
    <row r="30256" spans="1:141" s="116" customFormat="1">
      <c r="A30256" s="136"/>
      <c r="CM30256" s="111"/>
      <c r="CQ30256" s="111"/>
      <c r="EF30256"/>
      <c r="EG30256"/>
      <c r="EH30256"/>
      <c r="EI30256"/>
      <c r="EJ30256"/>
      <c r="EK30256"/>
    </row>
    <row r="30257" spans="1:141" s="116" customFormat="1">
      <c r="A30257" s="136"/>
      <c r="CM30257" s="111"/>
      <c r="CQ30257" s="111"/>
      <c r="EF30257"/>
      <c r="EG30257"/>
      <c r="EH30257"/>
      <c r="EI30257"/>
      <c r="EJ30257"/>
      <c r="EK30257"/>
    </row>
    <row r="30258" spans="1:141" s="116" customFormat="1">
      <c r="A30258" s="136"/>
      <c r="CM30258" s="111"/>
      <c r="CQ30258" s="111"/>
      <c r="EF30258"/>
      <c r="EG30258"/>
      <c r="EH30258"/>
      <c r="EI30258"/>
      <c r="EJ30258"/>
      <c r="EK30258"/>
    </row>
    <row r="30259" spans="1:141" s="116" customFormat="1">
      <c r="A30259" s="136"/>
      <c r="CM30259" s="111"/>
      <c r="CQ30259" s="111"/>
      <c r="EF30259"/>
      <c r="EG30259"/>
      <c r="EH30259"/>
      <c r="EI30259"/>
      <c r="EJ30259"/>
      <c r="EK30259"/>
    </row>
    <row r="30260" spans="1:141" s="116" customFormat="1">
      <c r="A30260" s="136"/>
      <c r="CM30260" s="111"/>
      <c r="CQ30260" s="111"/>
      <c r="EF30260"/>
      <c r="EG30260"/>
      <c r="EH30260"/>
      <c r="EI30260"/>
      <c r="EJ30260"/>
      <c r="EK30260"/>
    </row>
    <row r="30261" spans="1:141" s="116" customFormat="1">
      <c r="A30261" s="136"/>
      <c r="CM30261" s="111"/>
      <c r="CQ30261" s="111"/>
      <c r="EF30261"/>
      <c r="EG30261"/>
      <c r="EH30261"/>
      <c r="EI30261"/>
      <c r="EJ30261"/>
      <c r="EK30261"/>
    </row>
    <row r="30262" spans="1:141" s="116" customFormat="1">
      <c r="A30262" s="136"/>
      <c r="CM30262" s="111"/>
      <c r="CQ30262" s="111"/>
      <c r="EF30262"/>
      <c r="EG30262"/>
      <c r="EH30262"/>
      <c r="EI30262"/>
      <c r="EJ30262"/>
      <c r="EK30262"/>
    </row>
    <row r="30263" spans="1:141" s="116" customFormat="1">
      <c r="A30263" s="136"/>
      <c r="CM30263" s="111"/>
      <c r="CQ30263" s="111"/>
      <c r="EF30263"/>
      <c r="EG30263"/>
      <c r="EH30263"/>
      <c r="EI30263"/>
      <c r="EJ30263"/>
      <c r="EK30263"/>
    </row>
    <row r="30264" spans="1:141" s="116" customFormat="1">
      <c r="A30264" s="136"/>
      <c r="CM30264" s="111"/>
      <c r="CQ30264" s="111"/>
      <c r="EF30264"/>
      <c r="EG30264"/>
      <c r="EH30264"/>
      <c r="EI30264"/>
      <c r="EJ30264"/>
      <c r="EK30264"/>
    </row>
    <row r="30265" spans="1:141" s="116" customFormat="1">
      <c r="A30265" s="136"/>
      <c r="CM30265" s="111"/>
      <c r="CQ30265" s="111"/>
      <c r="EF30265"/>
      <c r="EG30265"/>
      <c r="EH30265"/>
      <c r="EI30265"/>
      <c r="EJ30265"/>
      <c r="EK30265"/>
    </row>
    <row r="30266" spans="1:141" s="116" customFormat="1">
      <c r="A30266" s="136"/>
      <c r="CM30266" s="111"/>
      <c r="CQ30266" s="111"/>
      <c r="EF30266"/>
      <c r="EG30266"/>
      <c r="EH30266"/>
      <c r="EI30266"/>
      <c r="EJ30266"/>
      <c r="EK30266"/>
    </row>
    <row r="30267" spans="1:141" s="116" customFormat="1">
      <c r="A30267" s="136"/>
      <c r="CM30267" s="111"/>
      <c r="CQ30267" s="111"/>
      <c r="EF30267"/>
      <c r="EG30267"/>
      <c r="EH30267"/>
      <c r="EI30267"/>
      <c r="EJ30267"/>
      <c r="EK30267"/>
    </row>
    <row r="30268" spans="1:141" s="116" customFormat="1">
      <c r="A30268" s="136"/>
      <c r="CM30268" s="111"/>
      <c r="CQ30268" s="111"/>
      <c r="EF30268"/>
      <c r="EG30268"/>
      <c r="EH30268"/>
      <c r="EI30268"/>
      <c r="EJ30268"/>
      <c r="EK30268"/>
    </row>
    <row r="30269" spans="1:141" s="116" customFormat="1">
      <c r="A30269" s="136"/>
      <c r="CM30269" s="111"/>
      <c r="CQ30269" s="111"/>
      <c r="EF30269"/>
      <c r="EG30269"/>
      <c r="EH30269"/>
      <c r="EI30269"/>
      <c r="EJ30269"/>
      <c r="EK30269"/>
    </row>
    <row r="30270" spans="1:141" s="116" customFormat="1">
      <c r="A30270" s="136"/>
      <c r="CM30270" s="111"/>
      <c r="CQ30270" s="111"/>
      <c r="EF30270"/>
      <c r="EG30270"/>
      <c r="EH30270"/>
      <c r="EI30270"/>
      <c r="EJ30270"/>
      <c r="EK30270"/>
    </row>
    <row r="30271" spans="1:141" s="116" customFormat="1">
      <c r="A30271" s="136"/>
      <c r="CM30271" s="111"/>
      <c r="CQ30271" s="111"/>
      <c r="EF30271"/>
      <c r="EG30271"/>
      <c r="EH30271"/>
      <c r="EI30271"/>
      <c r="EJ30271"/>
      <c r="EK30271"/>
    </row>
    <row r="30272" spans="1:141" s="116" customFormat="1">
      <c r="A30272" s="136"/>
      <c r="CM30272" s="111"/>
      <c r="CQ30272" s="111"/>
      <c r="EF30272"/>
      <c r="EG30272"/>
      <c r="EH30272"/>
      <c r="EI30272"/>
      <c r="EJ30272"/>
      <c r="EK30272"/>
    </row>
    <row r="30273" spans="1:141" s="116" customFormat="1">
      <c r="A30273" s="136"/>
      <c r="CM30273" s="111"/>
      <c r="CQ30273" s="111"/>
      <c r="EF30273"/>
      <c r="EG30273"/>
      <c r="EH30273"/>
      <c r="EI30273"/>
      <c r="EJ30273"/>
      <c r="EK30273"/>
    </row>
    <row r="30274" spans="1:141" s="116" customFormat="1">
      <c r="A30274" s="136"/>
      <c r="CM30274" s="111"/>
      <c r="CQ30274" s="111"/>
      <c r="EF30274"/>
      <c r="EG30274"/>
      <c r="EH30274"/>
      <c r="EI30274"/>
      <c r="EJ30274"/>
      <c r="EK30274"/>
    </row>
    <row r="30275" spans="1:141" s="116" customFormat="1">
      <c r="A30275" s="136"/>
      <c r="CM30275" s="111"/>
      <c r="CQ30275" s="111"/>
      <c r="EF30275"/>
      <c r="EG30275"/>
      <c r="EH30275"/>
      <c r="EI30275"/>
      <c r="EJ30275"/>
      <c r="EK30275"/>
    </row>
    <row r="30276" spans="1:141" s="116" customFormat="1">
      <c r="A30276" s="136"/>
      <c r="CM30276" s="111"/>
      <c r="CQ30276" s="111"/>
      <c r="EF30276"/>
      <c r="EG30276"/>
      <c r="EH30276"/>
      <c r="EI30276"/>
      <c r="EJ30276"/>
      <c r="EK30276"/>
    </row>
    <row r="30277" spans="1:141" s="116" customFormat="1">
      <c r="A30277" s="136"/>
      <c r="CM30277" s="111"/>
      <c r="CQ30277" s="111"/>
      <c r="EF30277"/>
      <c r="EG30277"/>
      <c r="EH30277"/>
      <c r="EI30277"/>
      <c r="EJ30277"/>
      <c r="EK30277"/>
    </row>
    <row r="30278" spans="1:141" s="116" customFormat="1">
      <c r="A30278" s="136"/>
      <c r="CM30278" s="111"/>
      <c r="CQ30278" s="111"/>
      <c r="EF30278"/>
      <c r="EG30278"/>
      <c r="EH30278"/>
      <c r="EI30278"/>
      <c r="EJ30278"/>
      <c r="EK30278"/>
    </row>
    <row r="30279" spans="1:141" s="116" customFormat="1">
      <c r="A30279" s="136"/>
      <c r="CM30279" s="111"/>
      <c r="CQ30279" s="111"/>
      <c r="EF30279"/>
      <c r="EG30279"/>
      <c r="EH30279"/>
      <c r="EI30279"/>
      <c r="EJ30279"/>
      <c r="EK30279"/>
    </row>
    <row r="30280" spans="1:141" s="116" customFormat="1">
      <c r="A30280" s="136"/>
      <c r="CM30280" s="111"/>
      <c r="CQ30280" s="111"/>
      <c r="EF30280"/>
      <c r="EG30280"/>
      <c r="EH30280"/>
      <c r="EI30280"/>
      <c r="EJ30280"/>
      <c r="EK30280"/>
    </row>
    <row r="30281" spans="1:141" s="116" customFormat="1">
      <c r="A30281" s="136"/>
      <c r="CM30281" s="111"/>
      <c r="CQ30281" s="111"/>
      <c r="EF30281"/>
      <c r="EG30281"/>
      <c r="EH30281"/>
      <c r="EI30281"/>
      <c r="EJ30281"/>
      <c r="EK30281"/>
    </row>
    <row r="30282" spans="1:141" s="116" customFormat="1">
      <c r="A30282" s="136"/>
      <c r="CM30282" s="111"/>
      <c r="CQ30282" s="111"/>
      <c r="EF30282"/>
      <c r="EG30282"/>
      <c r="EH30282"/>
      <c r="EI30282"/>
      <c r="EJ30282"/>
      <c r="EK30282"/>
    </row>
    <row r="30283" spans="1:141" s="116" customFormat="1">
      <c r="A30283" s="136"/>
      <c r="CM30283" s="111"/>
      <c r="CQ30283" s="111"/>
      <c r="EF30283"/>
      <c r="EG30283"/>
      <c r="EH30283"/>
      <c r="EI30283"/>
      <c r="EJ30283"/>
      <c r="EK30283"/>
    </row>
    <row r="30284" spans="1:141" s="116" customFormat="1">
      <c r="A30284" s="136"/>
      <c r="CM30284" s="111"/>
      <c r="CQ30284" s="111"/>
      <c r="EF30284"/>
      <c r="EG30284"/>
      <c r="EH30284"/>
      <c r="EI30284"/>
      <c r="EJ30284"/>
      <c r="EK30284"/>
    </row>
    <row r="30285" spans="1:141" s="116" customFormat="1">
      <c r="A30285" s="136"/>
      <c r="CM30285" s="111"/>
      <c r="CQ30285" s="111"/>
      <c r="EF30285"/>
      <c r="EG30285"/>
      <c r="EH30285"/>
      <c r="EI30285"/>
      <c r="EJ30285"/>
      <c r="EK30285"/>
    </row>
    <row r="30286" spans="1:141" s="116" customFormat="1">
      <c r="A30286" s="136"/>
      <c r="CM30286" s="111"/>
      <c r="CQ30286" s="111"/>
      <c r="EF30286"/>
      <c r="EG30286"/>
      <c r="EH30286"/>
      <c r="EI30286"/>
      <c r="EJ30286"/>
      <c r="EK30286"/>
    </row>
    <row r="30287" spans="1:141" s="116" customFormat="1">
      <c r="A30287" s="136"/>
      <c r="CM30287" s="111"/>
      <c r="CQ30287" s="111"/>
      <c r="EF30287"/>
      <c r="EG30287"/>
      <c r="EH30287"/>
      <c r="EI30287"/>
      <c r="EJ30287"/>
      <c r="EK30287"/>
    </row>
    <row r="30288" spans="1:141" s="116" customFormat="1">
      <c r="A30288" s="136"/>
      <c r="CM30288" s="111"/>
      <c r="CQ30288" s="111"/>
      <c r="EF30288"/>
      <c r="EG30288"/>
      <c r="EH30288"/>
      <c r="EI30288"/>
      <c r="EJ30288"/>
      <c r="EK30288"/>
    </row>
    <row r="30289" spans="1:141" s="116" customFormat="1">
      <c r="A30289" s="136"/>
      <c r="CM30289" s="111"/>
      <c r="CQ30289" s="111"/>
      <c r="EF30289"/>
      <c r="EG30289"/>
      <c r="EH30289"/>
      <c r="EI30289"/>
      <c r="EJ30289"/>
      <c r="EK30289"/>
    </row>
    <row r="30290" spans="1:141" s="116" customFormat="1">
      <c r="A30290" s="136"/>
      <c r="CM30290" s="111"/>
      <c r="CQ30290" s="111"/>
      <c r="EF30290"/>
      <c r="EG30290"/>
      <c r="EH30290"/>
      <c r="EI30290"/>
      <c r="EJ30290"/>
      <c r="EK30290"/>
    </row>
    <row r="30291" spans="1:141" s="116" customFormat="1">
      <c r="A30291" s="136"/>
      <c r="CM30291" s="111"/>
      <c r="CQ30291" s="111"/>
      <c r="EF30291"/>
      <c r="EG30291"/>
      <c r="EH30291"/>
      <c r="EI30291"/>
      <c r="EJ30291"/>
      <c r="EK30291"/>
    </row>
    <row r="30292" spans="1:141" s="116" customFormat="1">
      <c r="A30292" s="136"/>
      <c r="CM30292" s="111"/>
      <c r="CQ30292" s="111"/>
      <c r="EF30292"/>
      <c r="EG30292"/>
      <c r="EH30292"/>
      <c r="EI30292"/>
      <c r="EJ30292"/>
      <c r="EK30292"/>
    </row>
    <row r="30293" spans="1:141" s="116" customFormat="1">
      <c r="A30293" s="136"/>
      <c r="CM30293" s="111"/>
      <c r="CQ30293" s="111"/>
      <c r="EF30293"/>
      <c r="EG30293"/>
      <c r="EH30293"/>
      <c r="EI30293"/>
      <c r="EJ30293"/>
      <c r="EK30293"/>
    </row>
    <row r="30294" spans="1:141" s="116" customFormat="1">
      <c r="A30294" s="136"/>
      <c r="CM30294" s="111"/>
      <c r="CQ30294" s="111"/>
      <c r="EF30294"/>
      <c r="EG30294"/>
      <c r="EH30294"/>
      <c r="EI30294"/>
      <c r="EJ30294"/>
      <c r="EK30294"/>
    </row>
    <row r="30295" spans="1:141" s="116" customFormat="1">
      <c r="A30295" s="136"/>
      <c r="CM30295" s="111"/>
      <c r="CQ30295" s="111"/>
      <c r="EF30295"/>
      <c r="EG30295"/>
      <c r="EH30295"/>
      <c r="EI30295"/>
      <c r="EJ30295"/>
      <c r="EK30295"/>
    </row>
    <row r="30296" spans="1:141" s="116" customFormat="1">
      <c r="A30296" s="136"/>
      <c r="CM30296" s="111"/>
      <c r="CQ30296" s="111"/>
      <c r="EF30296"/>
      <c r="EG30296"/>
      <c r="EH30296"/>
      <c r="EI30296"/>
      <c r="EJ30296"/>
      <c r="EK30296"/>
    </row>
    <row r="30297" spans="1:141" s="116" customFormat="1">
      <c r="A30297" s="136"/>
      <c r="CM30297" s="111"/>
      <c r="CQ30297" s="111"/>
      <c r="EF30297"/>
      <c r="EG30297"/>
      <c r="EH30297"/>
      <c r="EI30297"/>
      <c r="EJ30297"/>
      <c r="EK30297"/>
    </row>
    <row r="30298" spans="1:141" s="116" customFormat="1">
      <c r="A30298" s="136"/>
      <c r="CM30298" s="111"/>
      <c r="CQ30298" s="111"/>
      <c r="EF30298"/>
      <c r="EG30298"/>
      <c r="EH30298"/>
      <c r="EI30298"/>
      <c r="EJ30298"/>
      <c r="EK30298"/>
    </row>
    <row r="30299" spans="1:141" s="116" customFormat="1">
      <c r="A30299" s="136"/>
      <c r="CM30299" s="111"/>
      <c r="CQ30299" s="111"/>
      <c r="EF30299"/>
      <c r="EG30299"/>
      <c r="EH30299"/>
      <c r="EI30299"/>
      <c r="EJ30299"/>
      <c r="EK30299"/>
    </row>
    <row r="30300" spans="1:141" s="116" customFormat="1">
      <c r="A30300" s="136"/>
      <c r="CM30300" s="111"/>
      <c r="CQ30300" s="111"/>
      <c r="EF30300"/>
      <c r="EG30300"/>
      <c r="EH30300"/>
      <c r="EI30300"/>
      <c r="EJ30300"/>
      <c r="EK30300"/>
    </row>
    <row r="30301" spans="1:141" s="116" customFormat="1">
      <c r="A30301" s="136"/>
      <c r="CM30301" s="111"/>
      <c r="CQ30301" s="111"/>
      <c r="EF30301"/>
      <c r="EG30301"/>
      <c r="EH30301"/>
      <c r="EI30301"/>
      <c r="EJ30301"/>
      <c r="EK30301"/>
    </row>
    <row r="30302" spans="1:141" s="116" customFormat="1">
      <c r="A30302" s="136"/>
      <c r="CM30302" s="111"/>
      <c r="CQ30302" s="111"/>
      <c r="EF30302"/>
      <c r="EG30302"/>
      <c r="EH30302"/>
      <c r="EI30302"/>
      <c r="EJ30302"/>
      <c r="EK30302"/>
    </row>
    <row r="30303" spans="1:141" s="116" customFormat="1">
      <c r="A30303" s="136"/>
      <c r="CM30303" s="111"/>
      <c r="CQ30303" s="111"/>
      <c r="EF30303"/>
      <c r="EG30303"/>
      <c r="EH30303"/>
      <c r="EI30303"/>
      <c r="EJ30303"/>
      <c r="EK30303"/>
    </row>
    <row r="30304" spans="1:141" s="116" customFormat="1">
      <c r="A30304" s="136"/>
      <c r="CM30304" s="111"/>
      <c r="CQ30304" s="111"/>
      <c r="EF30304"/>
      <c r="EG30304"/>
      <c r="EH30304"/>
      <c r="EI30304"/>
      <c r="EJ30304"/>
      <c r="EK30304"/>
    </row>
    <row r="30305" spans="1:141" s="116" customFormat="1">
      <c r="A30305" s="136"/>
      <c r="CM30305" s="111"/>
      <c r="CQ30305" s="111"/>
      <c r="EF30305"/>
      <c r="EG30305"/>
      <c r="EH30305"/>
      <c r="EI30305"/>
      <c r="EJ30305"/>
      <c r="EK30305"/>
    </row>
    <row r="30306" spans="1:141" s="116" customFormat="1">
      <c r="A30306" s="136"/>
      <c r="CM30306" s="111"/>
      <c r="CQ30306" s="111"/>
      <c r="EF30306"/>
      <c r="EG30306"/>
      <c r="EH30306"/>
      <c r="EI30306"/>
      <c r="EJ30306"/>
      <c r="EK30306"/>
    </row>
    <row r="30307" spans="1:141" s="116" customFormat="1">
      <c r="A30307" s="136"/>
      <c r="CM30307" s="111"/>
      <c r="CQ30307" s="111"/>
      <c r="EF30307"/>
      <c r="EG30307"/>
      <c r="EH30307"/>
      <c r="EI30307"/>
      <c r="EJ30307"/>
      <c r="EK30307"/>
    </row>
    <row r="30308" spans="1:141" s="116" customFormat="1">
      <c r="A30308" s="136"/>
      <c r="CM30308" s="111"/>
      <c r="CQ30308" s="111"/>
      <c r="EF30308"/>
      <c r="EG30308"/>
      <c r="EH30308"/>
      <c r="EI30308"/>
      <c r="EJ30308"/>
      <c r="EK30308"/>
    </row>
    <row r="30309" spans="1:141" s="116" customFormat="1">
      <c r="A30309" s="136"/>
      <c r="CM30309" s="111"/>
      <c r="CQ30309" s="111"/>
      <c r="EF30309"/>
      <c r="EG30309"/>
      <c r="EH30309"/>
      <c r="EI30309"/>
      <c r="EJ30309"/>
      <c r="EK30309"/>
    </row>
    <row r="30310" spans="1:141" s="116" customFormat="1">
      <c r="A30310" s="136"/>
      <c r="CM30310" s="111"/>
      <c r="CQ30310" s="111"/>
      <c r="EF30310"/>
      <c r="EG30310"/>
      <c r="EH30310"/>
      <c r="EI30310"/>
      <c r="EJ30310"/>
      <c r="EK30310"/>
    </row>
    <row r="30311" spans="1:141" s="116" customFormat="1">
      <c r="A30311" s="136"/>
      <c r="CM30311" s="111"/>
      <c r="CQ30311" s="111"/>
      <c r="EF30311"/>
      <c r="EG30311"/>
      <c r="EH30311"/>
      <c r="EI30311"/>
      <c r="EJ30311"/>
      <c r="EK30311"/>
    </row>
    <row r="30312" spans="1:141" s="116" customFormat="1">
      <c r="A30312" s="136"/>
      <c r="CM30312" s="111"/>
      <c r="CQ30312" s="111"/>
      <c r="EF30312"/>
      <c r="EG30312"/>
      <c r="EH30312"/>
      <c r="EI30312"/>
      <c r="EJ30312"/>
      <c r="EK30312"/>
    </row>
    <row r="30313" spans="1:141" s="116" customFormat="1">
      <c r="A30313" s="136"/>
      <c r="CM30313" s="111"/>
      <c r="CQ30313" s="111"/>
      <c r="EF30313"/>
      <c r="EG30313"/>
      <c r="EH30313"/>
      <c r="EI30313"/>
      <c r="EJ30313"/>
      <c r="EK30313"/>
    </row>
    <row r="30314" spans="1:141" s="116" customFormat="1">
      <c r="A30314" s="136"/>
      <c r="CM30314" s="111"/>
      <c r="CQ30314" s="111"/>
      <c r="EF30314"/>
      <c r="EG30314"/>
      <c r="EH30314"/>
      <c r="EI30314"/>
      <c r="EJ30314"/>
      <c r="EK30314"/>
    </row>
    <row r="30315" spans="1:141" s="116" customFormat="1">
      <c r="A30315" s="136"/>
      <c r="CM30315" s="111"/>
      <c r="CQ30315" s="111"/>
      <c r="EF30315"/>
      <c r="EG30315"/>
      <c r="EH30315"/>
      <c r="EI30315"/>
      <c r="EJ30315"/>
      <c r="EK30315"/>
    </row>
    <row r="30316" spans="1:141" s="116" customFormat="1">
      <c r="A30316" s="136"/>
      <c r="CM30316" s="111"/>
      <c r="CQ30316" s="111"/>
      <c r="EF30316"/>
      <c r="EG30316"/>
      <c r="EH30316"/>
      <c r="EI30316"/>
      <c r="EJ30316"/>
      <c r="EK30316"/>
    </row>
    <row r="30317" spans="1:141" s="116" customFormat="1">
      <c r="A30317" s="136"/>
      <c r="CM30317" s="111"/>
      <c r="CQ30317" s="111"/>
      <c r="EF30317"/>
      <c r="EG30317"/>
      <c r="EH30317"/>
      <c r="EI30317"/>
      <c r="EJ30317"/>
      <c r="EK30317"/>
    </row>
    <row r="30318" spans="1:141" s="116" customFormat="1">
      <c r="A30318" s="136"/>
      <c r="CM30318" s="111"/>
      <c r="CQ30318" s="111"/>
      <c r="EF30318"/>
      <c r="EG30318"/>
      <c r="EH30318"/>
      <c r="EI30318"/>
      <c r="EJ30318"/>
      <c r="EK30318"/>
    </row>
    <row r="30319" spans="1:141" s="116" customFormat="1">
      <c r="A30319" s="136"/>
      <c r="CM30319" s="111"/>
      <c r="CQ30319" s="111"/>
      <c r="EF30319"/>
      <c r="EG30319"/>
      <c r="EH30319"/>
      <c r="EI30319"/>
      <c r="EJ30319"/>
      <c r="EK30319"/>
    </row>
    <row r="30320" spans="1:141" s="116" customFormat="1">
      <c r="A30320" s="136"/>
      <c r="CM30320" s="111"/>
      <c r="CQ30320" s="111"/>
      <c r="EF30320"/>
      <c r="EG30320"/>
      <c r="EH30320"/>
      <c r="EI30320"/>
      <c r="EJ30320"/>
      <c r="EK30320"/>
    </row>
    <row r="30321" spans="1:141" s="116" customFormat="1">
      <c r="A30321" s="136"/>
      <c r="CM30321" s="111"/>
      <c r="CQ30321" s="111"/>
      <c r="EF30321"/>
      <c r="EG30321"/>
      <c r="EH30321"/>
      <c r="EI30321"/>
      <c r="EJ30321"/>
      <c r="EK30321"/>
    </row>
    <row r="30322" spans="1:141" s="116" customFormat="1">
      <c r="A30322" s="136"/>
      <c r="CM30322" s="111"/>
      <c r="CQ30322" s="111"/>
      <c r="EF30322"/>
      <c r="EG30322"/>
      <c r="EH30322"/>
      <c r="EI30322"/>
      <c r="EJ30322"/>
      <c r="EK30322"/>
    </row>
    <row r="30323" spans="1:141" s="116" customFormat="1">
      <c r="A30323" s="136"/>
      <c r="CM30323" s="111"/>
      <c r="CQ30323" s="111"/>
      <c r="EF30323"/>
      <c r="EG30323"/>
      <c r="EH30323"/>
      <c r="EI30323"/>
      <c r="EJ30323"/>
      <c r="EK30323"/>
    </row>
    <row r="30324" spans="1:141" s="116" customFormat="1">
      <c r="A30324" s="136"/>
      <c r="CM30324" s="111"/>
      <c r="CQ30324" s="111"/>
      <c r="EF30324"/>
      <c r="EG30324"/>
      <c r="EH30324"/>
      <c r="EI30324"/>
      <c r="EJ30324"/>
      <c r="EK30324"/>
    </row>
    <row r="30325" spans="1:141" s="116" customFormat="1">
      <c r="A30325" s="136"/>
      <c r="CM30325" s="111"/>
      <c r="CQ30325" s="111"/>
      <c r="EF30325"/>
      <c r="EG30325"/>
      <c r="EH30325"/>
      <c r="EI30325"/>
      <c r="EJ30325"/>
      <c r="EK30325"/>
    </row>
    <row r="30326" spans="1:141" s="116" customFormat="1">
      <c r="A30326" s="136"/>
      <c r="CM30326" s="111"/>
      <c r="CQ30326" s="111"/>
      <c r="EF30326"/>
      <c r="EG30326"/>
      <c r="EH30326"/>
      <c r="EI30326"/>
      <c r="EJ30326"/>
      <c r="EK30326"/>
    </row>
    <row r="30327" spans="1:141" s="116" customFormat="1">
      <c r="A30327" s="136"/>
      <c r="CM30327" s="111"/>
      <c r="CQ30327" s="111"/>
      <c r="EF30327"/>
      <c r="EG30327"/>
      <c r="EH30327"/>
      <c r="EI30327"/>
      <c r="EJ30327"/>
      <c r="EK30327"/>
    </row>
    <row r="30328" spans="1:141" s="116" customFormat="1">
      <c r="A30328" s="136"/>
      <c r="CM30328" s="111"/>
      <c r="CQ30328" s="111"/>
      <c r="EF30328"/>
      <c r="EG30328"/>
      <c r="EH30328"/>
      <c r="EI30328"/>
      <c r="EJ30328"/>
      <c r="EK30328"/>
    </row>
    <row r="30329" spans="1:141" s="116" customFormat="1">
      <c r="A30329" s="136"/>
      <c r="CM30329" s="111"/>
      <c r="CQ30329" s="111"/>
      <c r="EF30329"/>
      <c r="EG30329"/>
      <c r="EH30329"/>
      <c r="EI30329"/>
      <c r="EJ30329"/>
      <c r="EK30329"/>
    </row>
    <row r="30330" spans="1:141" s="116" customFormat="1">
      <c r="A30330" s="136"/>
      <c r="CM30330" s="111"/>
      <c r="CQ30330" s="111"/>
      <c r="EF30330"/>
      <c r="EG30330"/>
      <c r="EH30330"/>
      <c r="EI30330"/>
      <c r="EJ30330"/>
      <c r="EK30330"/>
    </row>
    <row r="30331" spans="1:141" s="116" customFormat="1">
      <c r="A30331" s="136"/>
      <c r="CM30331" s="111"/>
      <c r="CQ30331" s="111"/>
      <c r="EF30331"/>
      <c r="EG30331"/>
      <c r="EH30331"/>
      <c r="EI30331"/>
      <c r="EJ30331"/>
      <c r="EK30331"/>
    </row>
    <row r="30332" spans="1:141" s="116" customFormat="1">
      <c r="A30332" s="136"/>
      <c r="CM30332" s="111"/>
      <c r="CQ30332" s="111"/>
      <c r="EF30332"/>
      <c r="EG30332"/>
      <c r="EH30332"/>
      <c r="EI30332"/>
      <c r="EJ30332"/>
      <c r="EK30332"/>
    </row>
    <row r="30333" spans="1:141" s="116" customFormat="1">
      <c r="A30333" s="136"/>
      <c r="CM30333" s="111"/>
      <c r="CQ30333" s="111"/>
      <c r="EF30333"/>
      <c r="EG30333"/>
      <c r="EH30333"/>
      <c r="EI30333"/>
      <c r="EJ30333"/>
      <c r="EK30333"/>
    </row>
    <row r="30334" spans="1:141" s="116" customFormat="1">
      <c r="A30334" s="136"/>
      <c r="CM30334" s="111"/>
      <c r="CQ30334" s="111"/>
      <c r="EF30334"/>
      <c r="EG30334"/>
      <c r="EH30334"/>
      <c r="EI30334"/>
      <c r="EJ30334"/>
      <c r="EK30334"/>
    </row>
    <row r="30335" spans="1:141" s="116" customFormat="1">
      <c r="A30335" s="136"/>
      <c r="CM30335" s="111"/>
      <c r="CQ30335" s="111"/>
      <c r="EF30335"/>
      <c r="EG30335"/>
      <c r="EH30335"/>
      <c r="EI30335"/>
      <c r="EJ30335"/>
      <c r="EK30335"/>
    </row>
    <row r="30336" spans="1:141" s="116" customFormat="1">
      <c r="A30336" s="136"/>
      <c r="CM30336" s="111"/>
      <c r="CQ30336" s="111"/>
      <c r="EF30336"/>
      <c r="EG30336"/>
      <c r="EH30336"/>
      <c r="EI30336"/>
      <c r="EJ30336"/>
      <c r="EK30336"/>
    </row>
    <row r="30337" spans="1:141" s="116" customFormat="1">
      <c r="A30337" s="136"/>
      <c r="CM30337" s="111"/>
      <c r="CQ30337" s="111"/>
      <c r="EF30337"/>
      <c r="EG30337"/>
      <c r="EH30337"/>
      <c r="EI30337"/>
      <c r="EJ30337"/>
      <c r="EK30337"/>
    </row>
    <row r="30338" spans="1:141" s="116" customFormat="1">
      <c r="A30338" s="136"/>
      <c r="CM30338" s="111"/>
      <c r="CQ30338" s="111"/>
      <c r="EF30338"/>
      <c r="EG30338"/>
      <c r="EH30338"/>
      <c r="EI30338"/>
      <c r="EJ30338"/>
      <c r="EK30338"/>
    </row>
    <row r="30339" spans="1:141" s="116" customFormat="1">
      <c r="A30339" s="136"/>
      <c r="CM30339" s="111"/>
      <c r="CQ30339" s="111"/>
      <c r="EF30339"/>
      <c r="EG30339"/>
      <c r="EH30339"/>
      <c r="EI30339"/>
      <c r="EJ30339"/>
      <c r="EK30339"/>
    </row>
    <row r="30340" spans="1:141" s="116" customFormat="1">
      <c r="A30340" s="136"/>
      <c r="CM30340" s="111"/>
      <c r="CQ30340" s="111"/>
      <c r="EF30340"/>
      <c r="EG30340"/>
      <c r="EH30340"/>
      <c r="EI30340"/>
      <c r="EJ30340"/>
      <c r="EK30340"/>
    </row>
    <row r="30341" spans="1:141" s="116" customFormat="1">
      <c r="A30341" s="136"/>
      <c r="CM30341" s="111"/>
      <c r="CQ30341" s="111"/>
      <c r="EF30341"/>
      <c r="EG30341"/>
      <c r="EH30341"/>
      <c r="EI30341"/>
      <c r="EJ30341"/>
      <c r="EK30341"/>
    </row>
    <row r="30342" spans="1:141" s="116" customFormat="1">
      <c r="A30342" s="136"/>
      <c r="CM30342" s="111"/>
      <c r="CQ30342" s="111"/>
      <c r="EF30342"/>
      <c r="EG30342"/>
      <c r="EH30342"/>
      <c r="EI30342"/>
      <c r="EJ30342"/>
      <c r="EK30342"/>
    </row>
    <row r="30343" spans="1:141" s="116" customFormat="1">
      <c r="A30343" s="136"/>
      <c r="CM30343" s="111"/>
      <c r="CQ30343" s="111"/>
      <c r="EF30343"/>
      <c r="EG30343"/>
      <c r="EH30343"/>
      <c r="EI30343"/>
      <c r="EJ30343"/>
      <c r="EK30343"/>
    </row>
    <row r="30344" spans="1:141" s="116" customFormat="1">
      <c r="A30344" s="136"/>
      <c r="CM30344" s="111"/>
      <c r="CQ30344" s="111"/>
      <c r="EF30344"/>
      <c r="EG30344"/>
      <c r="EH30344"/>
      <c r="EI30344"/>
      <c r="EJ30344"/>
      <c r="EK30344"/>
    </row>
    <row r="30345" spans="1:141" s="116" customFormat="1">
      <c r="A30345" s="136"/>
      <c r="CM30345" s="111"/>
      <c r="CQ30345" s="111"/>
      <c r="EF30345"/>
      <c r="EG30345"/>
      <c r="EH30345"/>
      <c r="EI30345"/>
      <c r="EJ30345"/>
      <c r="EK30345"/>
    </row>
    <row r="30346" spans="1:141" s="116" customFormat="1">
      <c r="A30346" s="136"/>
      <c r="CM30346" s="111"/>
      <c r="CQ30346" s="111"/>
      <c r="EF30346"/>
      <c r="EG30346"/>
      <c r="EH30346"/>
      <c r="EI30346"/>
      <c r="EJ30346"/>
      <c r="EK30346"/>
    </row>
    <row r="30347" spans="1:141" s="116" customFormat="1">
      <c r="A30347" s="136"/>
      <c r="CM30347" s="111"/>
      <c r="CQ30347" s="111"/>
      <c r="EF30347"/>
      <c r="EG30347"/>
      <c r="EH30347"/>
      <c r="EI30347"/>
      <c r="EJ30347"/>
      <c r="EK30347"/>
    </row>
    <row r="30348" spans="1:141" s="116" customFormat="1">
      <c r="A30348" s="136"/>
      <c r="CM30348" s="111"/>
      <c r="CQ30348" s="111"/>
      <c r="EF30348"/>
      <c r="EG30348"/>
      <c r="EH30348"/>
      <c r="EI30348"/>
      <c r="EJ30348"/>
      <c r="EK30348"/>
    </row>
    <row r="30349" spans="1:141" s="116" customFormat="1">
      <c r="A30349" s="136"/>
      <c r="CM30349" s="111"/>
      <c r="CQ30349" s="111"/>
      <c r="EF30349"/>
      <c r="EG30349"/>
      <c r="EH30349"/>
      <c r="EI30349"/>
      <c r="EJ30349"/>
      <c r="EK30349"/>
    </row>
    <row r="30350" spans="1:141" s="116" customFormat="1">
      <c r="A30350" s="136"/>
      <c r="CM30350" s="111"/>
      <c r="CQ30350" s="111"/>
      <c r="EF30350"/>
      <c r="EG30350"/>
      <c r="EH30350"/>
      <c r="EI30350"/>
      <c r="EJ30350"/>
      <c r="EK30350"/>
    </row>
    <row r="30351" spans="1:141" s="116" customFormat="1">
      <c r="A30351" s="136"/>
      <c r="CM30351" s="111"/>
      <c r="CQ30351" s="111"/>
      <c r="EF30351"/>
      <c r="EG30351"/>
      <c r="EH30351"/>
      <c r="EI30351"/>
      <c r="EJ30351"/>
      <c r="EK30351"/>
    </row>
    <row r="30352" spans="1:141" s="116" customFormat="1">
      <c r="A30352" s="136"/>
      <c r="CM30352" s="111"/>
      <c r="CQ30352" s="111"/>
      <c r="EF30352"/>
      <c r="EG30352"/>
      <c r="EH30352"/>
      <c r="EI30352"/>
      <c r="EJ30352"/>
      <c r="EK30352"/>
    </row>
    <row r="30353" spans="1:141" s="116" customFormat="1">
      <c r="A30353" s="136"/>
      <c r="CM30353" s="111"/>
      <c r="CQ30353" s="111"/>
      <c r="EF30353"/>
      <c r="EG30353"/>
      <c r="EH30353"/>
      <c r="EI30353"/>
      <c r="EJ30353"/>
      <c r="EK30353"/>
    </row>
    <row r="30354" spans="1:141" s="116" customFormat="1">
      <c r="A30354" s="136"/>
      <c r="CM30354" s="111"/>
      <c r="CQ30354" s="111"/>
      <c r="EF30354"/>
      <c r="EG30354"/>
      <c r="EH30354"/>
      <c r="EI30354"/>
      <c r="EJ30354"/>
      <c r="EK30354"/>
    </row>
    <row r="30355" spans="1:141" s="116" customFormat="1">
      <c r="A30355" s="136"/>
      <c r="CM30355" s="111"/>
      <c r="CQ30355" s="111"/>
      <c r="EF30355"/>
      <c r="EG30355"/>
      <c r="EH30355"/>
      <c r="EI30355"/>
      <c r="EJ30355"/>
      <c r="EK30355"/>
    </row>
    <row r="30356" spans="1:141" s="116" customFormat="1">
      <c r="A30356" s="136"/>
      <c r="CM30356" s="111"/>
      <c r="CQ30356" s="111"/>
      <c r="EF30356"/>
      <c r="EG30356"/>
      <c r="EH30356"/>
      <c r="EI30356"/>
      <c r="EJ30356"/>
      <c r="EK30356"/>
    </row>
    <row r="30357" spans="1:141" s="116" customFormat="1">
      <c r="A30357" s="136"/>
      <c r="CM30357" s="111"/>
      <c r="CQ30357" s="111"/>
      <c r="EF30357"/>
      <c r="EG30357"/>
      <c r="EH30357"/>
      <c r="EI30357"/>
      <c r="EJ30357"/>
      <c r="EK30357"/>
    </row>
    <row r="30358" spans="1:141" s="116" customFormat="1">
      <c r="A30358" s="136"/>
      <c r="CM30358" s="111"/>
      <c r="CQ30358" s="111"/>
      <c r="EF30358"/>
      <c r="EG30358"/>
      <c r="EH30358"/>
      <c r="EI30358"/>
      <c r="EJ30358"/>
      <c r="EK30358"/>
    </row>
    <row r="30359" spans="1:141" s="116" customFormat="1">
      <c r="A30359" s="136"/>
      <c r="CM30359" s="111"/>
      <c r="CQ30359" s="111"/>
      <c r="EF30359"/>
      <c r="EG30359"/>
      <c r="EH30359"/>
      <c r="EI30359"/>
      <c r="EJ30359"/>
      <c r="EK30359"/>
    </row>
    <row r="30360" spans="1:141" s="116" customFormat="1">
      <c r="A30360" s="136"/>
      <c r="CM30360" s="111"/>
      <c r="CQ30360" s="111"/>
      <c r="EF30360"/>
      <c r="EG30360"/>
      <c r="EH30360"/>
      <c r="EI30360"/>
      <c r="EJ30360"/>
      <c r="EK30360"/>
    </row>
    <row r="30361" spans="1:141" s="116" customFormat="1">
      <c r="A30361" s="136"/>
      <c r="CM30361" s="111"/>
      <c r="CQ30361" s="111"/>
      <c r="EF30361"/>
      <c r="EG30361"/>
      <c r="EH30361"/>
      <c r="EI30361"/>
      <c r="EJ30361"/>
      <c r="EK30361"/>
    </row>
    <row r="30362" spans="1:141" s="116" customFormat="1">
      <c r="A30362" s="136"/>
      <c r="CM30362" s="111"/>
      <c r="CQ30362" s="111"/>
      <c r="EF30362"/>
      <c r="EG30362"/>
      <c r="EH30362"/>
      <c r="EI30362"/>
      <c r="EJ30362"/>
      <c r="EK30362"/>
    </row>
    <row r="30363" spans="1:141" s="116" customFormat="1">
      <c r="A30363" s="136"/>
      <c r="CM30363" s="111"/>
      <c r="CQ30363" s="111"/>
      <c r="EF30363"/>
      <c r="EG30363"/>
      <c r="EH30363"/>
      <c r="EI30363"/>
      <c r="EJ30363"/>
      <c r="EK30363"/>
    </row>
    <row r="30364" spans="1:141" s="116" customFormat="1">
      <c r="A30364" s="136"/>
      <c r="CM30364" s="111"/>
      <c r="CQ30364" s="111"/>
      <c r="EF30364"/>
      <c r="EG30364"/>
      <c r="EH30364"/>
      <c r="EI30364"/>
      <c r="EJ30364"/>
      <c r="EK30364"/>
    </row>
    <row r="30365" spans="1:141" s="116" customFormat="1">
      <c r="A30365" s="136"/>
      <c r="CM30365" s="111"/>
      <c r="CQ30365" s="111"/>
      <c r="EF30365"/>
      <c r="EG30365"/>
      <c r="EH30365"/>
      <c r="EI30365"/>
      <c r="EJ30365"/>
      <c r="EK30365"/>
    </row>
    <row r="30366" spans="1:141" s="116" customFormat="1">
      <c r="A30366" s="136"/>
      <c r="CM30366" s="111"/>
      <c r="CQ30366" s="111"/>
      <c r="EF30366"/>
      <c r="EG30366"/>
      <c r="EH30366"/>
      <c r="EI30366"/>
      <c r="EJ30366"/>
      <c r="EK30366"/>
    </row>
    <row r="30367" spans="1:141" s="116" customFormat="1">
      <c r="A30367" s="136"/>
      <c r="CM30367" s="111"/>
      <c r="CQ30367" s="111"/>
      <c r="EF30367"/>
      <c r="EG30367"/>
      <c r="EH30367"/>
      <c r="EI30367"/>
      <c r="EJ30367"/>
      <c r="EK30367"/>
    </row>
    <row r="30368" spans="1:141" s="116" customFormat="1">
      <c r="A30368" s="136"/>
      <c r="CM30368" s="111"/>
      <c r="CQ30368" s="111"/>
      <c r="EF30368"/>
      <c r="EG30368"/>
      <c r="EH30368"/>
      <c r="EI30368"/>
      <c r="EJ30368"/>
      <c r="EK30368"/>
    </row>
    <row r="30369" spans="1:141" s="116" customFormat="1">
      <c r="A30369" s="136"/>
      <c r="CM30369" s="111"/>
      <c r="CQ30369" s="111"/>
      <c r="EF30369"/>
      <c r="EG30369"/>
      <c r="EH30369"/>
      <c r="EI30369"/>
      <c r="EJ30369"/>
      <c r="EK30369"/>
    </row>
    <row r="30370" spans="1:141" s="116" customFormat="1">
      <c r="A30370" s="136"/>
      <c r="CM30370" s="111"/>
      <c r="CQ30370" s="111"/>
      <c r="EF30370"/>
      <c r="EG30370"/>
      <c r="EH30370"/>
      <c r="EI30370"/>
      <c r="EJ30370"/>
      <c r="EK30370"/>
    </row>
    <row r="30371" spans="1:141" s="116" customFormat="1">
      <c r="A30371" s="136"/>
      <c r="CM30371" s="111"/>
      <c r="CQ30371" s="111"/>
      <c r="EF30371"/>
      <c r="EG30371"/>
      <c r="EH30371"/>
      <c r="EI30371"/>
      <c r="EJ30371"/>
      <c r="EK30371"/>
    </row>
    <row r="30372" spans="1:141" s="116" customFormat="1">
      <c r="A30372" s="136"/>
      <c r="CM30372" s="111"/>
      <c r="CQ30372" s="111"/>
      <c r="EF30372"/>
      <c r="EG30372"/>
      <c r="EH30372"/>
      <c r="EI30372"/>
      <c r="EJ30372"/>
      <c r="EK30372"/>
    </row>
    <row r="30373" spans="1:141" s="116" customFormat="1">
      <c r="A30373" s="136"/>
      <c r="CM30373" s="111"/>
      <c r="CQ30373" s="111"/>
      <c r="EF30373"/>
      <c r="EG30373"/>
      <c r="EH30373"/>
      <c r="EI30373"/>
      <c r="EJ30373"/>
      <c r="EK30373"/>
    </row>
    <row r="30374" spans="1:141" s="116" customFormat="1">
      <c r="A30374" s="136"/>
      <c r="CM30374" s="111"/>
      <c r="CQ30374" s="111"/>
      <c r="EF30374"/>
      <c r="EG30374"/>
      <c r="EH30374"/>
      <c r="EI30374"/>
      <c r="EJ30374"/>
      <c r="EK30374"/>
    </row>
    <row r="30375" spans="1:141" s="116" customFormat="1">
      <c r="A30375" s="136"/>
      <c r="CM30375" s="111"/>
      <c r="CQ30375" s="111"/>
      <c r="EF30375"/>
      <c r="EG30375"/>
      <c r="EH30375"/>
      <c r="EI30375"/>
      <c r="EJ30375"/>
      <c r="EK30375"/>
    </row>
    <row r="30376" spans="1:141" s="116" customFormat="1">
      <c r="A30376" s="136"/>
      <c r="CM30376" s="111"/>
      <c r="CQ30376" s="111"/>
      <c r="EF30376"/>
      <c r="EG30376"/>
      <c r="EH30376"/>
      <c r="EI30376"/>
      <c r="EJ30376"/>
      <c r="EK30376"/>
    </row>
    <row r="30377" spans="1:141" s="116" customFormat="1">
      <c r="A30377" s="136"/>
      <c r="CM30377" s="111"/>
      <c r="CQ30377" s="111"/>
      <c r="EF30377"/>
      <c r="EG30377"/>
      <c r="EH30377"/>
      <c r="EI30377"/>
      <c r="EJ30377"/>
      <c r="EK30377"/>
    </row>
    <row r="30378" spans="1:141" s="116" customFormat="1">
      <c r="A30378" s="136"/>
      <c r="CM30378" s="111"/>
      <c r="CQ30378" s="111"/>
      <c r="EF30378"/>
      <c r="EG30378"/>
      <c r="EH30378"/>
      <c r="EI30378"/>
      <c r="EJ30378"/>
      <c r="EK30378"/>
    </row>
    <row r="30379" spans="1:141" s="116" customFormat="1">
      <c r="A30379" s="136"/>
      <c r="CM30379" s="111"/>
      <c r="CQ30379" s="111"/>
      <c r="EF30379"/>
      <c r="EG30379"/>
      <c r="EH30379"/>
      <c r="EI30379"/>
      <c r="EJ30379"/>
      <c r="EK30379"/>
    </row>
    <row r="30380" spans="1:141" s="116" customFormat="1">
      <c r="A30380" s="136"/>
      <c r="CM30380" s="111"/>
      <c r="CQ30380" s="111"/>
      <c r="EF30380"/>
      <c r="EG30380"/>
      <c r="EH30380"/>
      <c r="EI30380"/>
      <c r="EJ30380"/>
      <c r="EK30380"/>
    </row>
    <row r="30381" spans="1:141" s="116" customFormat="1">
      <c r="A30381" s="136"/>
      <c r="CM30381" s="111"/>
      <c r="CQ30381" s="111"/>
      <c r="EF30381"/>
      <c r="EG30381"/>
      <c r="EH30381"/>
      <c r="EI30381"/>
      <c r="EJ30381"/>
      <c r="EK30381"/>
    </row>
    <row r="30382" spans="1:141" s="116" customFormat="1">
      <c r="A30382" s="136"/>
      <c r="CM30382" s="111"/>
      <c r="CQ30382" s="111"/>
      <c r="EF30382"/>
      <c r="EG30382"/>
      <c r="EH30382"/>
      <c r="EI30382"/>
      <c r="EJ30382"/>
      <c r="EK30382"/>
    </row>
    <row r="30383" spans="1:141" s="116" customFormat="1">
      <c r="A30383" s="136"/>
      <c r="CM30383" s="111"/>
      <c r="CQ30383" s="111"/>
      <c r="EF30383"/>
      <c r="EG30383"/>
      <c r="EH30383"/>
      <c r="EI30383"/>
      <c r="EJ30383"/>
      <c r="EK30383"/>
    </row>
    <row r="30384" spans="1:141" s="116" customFormat="1">
      <c r="A30384" s="136"/>
      <c r="CM30384" s="111"/>
      <c r="CQ30384" s="111"/>
      <c r="EF30384"/>
      <c r="EG30384"/>
      <c r="EH30384"/>
      <c r="EI30384"/>
      <c r="EJ30384"/>
      <c r="EK30384"/>
    </row>
    <row r="30385" spans="1:141" s="116" customFormat="1">
      <c r="A30385" s="136"/>
      <c r="CM30385" s="111"/>
      <c r="CQ30385" s="111"/>
      <c r="EF30385"/>
      <c r="EG30385"/>
      <c r="EH30385"/>
      <c r="EI30385"/>
      <c r="EJ30385"/>
      <c r="EK30385"/>
    </row>
    <row r="30386" spans="1:141" s="116" customFormat="1">
      <c r="A30386" s="136"/>
      <c r="CM30386" s="111"/>
      <c r="CQ30386" s="111"/>
      <c r="EF30386"/>
      <c r="EG30386"/>
      <c r="EH30386"/>
      <c r="EI30386"/>
      <c r="EJ30386"/>
      <c r="EK30386"/>
    </row>
    <row r="30387" spans="1:141" s="116" customFormat="1">
      <c r="A30387" s="136"/>
      <c r="CM30387" s="111"/>
      <c r="CQ30387" s="111"/>
      <c r="EF30387"/>
      <c r="EG30387"/>
      <c r="EH30387"/>
      <c r="EI30387"/>
      <c r="EJ30387"/>
      <c r="EK30387"/>
    </row>
    <row r="30388" spans="1:141" s="116" customFormat="1">
      <c r="A30388" s="136"/>
      <c r="CM30388" s="111"/>
      <c r="CQ30388" s="111"/>
      <c r="EF30388"/>
      <c r="EG30388"/>
      <c r="EH30388"/>
      <c r="EI30388"/>
      <c r="EJ30388"/>
      <c r="EK30388"/>
    </row>
    <row r="30389" spans="1:141" s="116" customFormat="1">
      <c r="A30389" s="136"/>
      <c r="CM30389" s="111"/>
      <c r="CQ30389" s="111"/>
      <c r="EF30389"/>
      <c r="EG30389"/>
      <c r="EH30389"/>
      <c r="EI30389"/>
      <c r="EJ30389"/>
      <c r="EK30389"/>
    </row>
    <row r="30390" spans="1:141" s="116" customFormat="1">
      <c r="A30390" s="136"/>
      <c r="CM30390" s="111"/>
      <c r="CQ30390" s="111"/>
      <c r="EF30390"/>
      <c r="EG30390"/>
      <c r="EH30390"/>
      <c r="EI30390"/>
      <c r="EJ30390"/>
      <c r="EK30390"/>
    </row>
    <row r="30391" spans="1:141" s="116" customFormat="1">
      <c r="A30391" s="136"/>
      <c r="CM30391" s="111"/>
      <c r="CQ30391" s="111"/>
      <c r="EF30391"/>
      <c r="EG30391"/>
      <c r="EH30391"/>
      <c r="EI30391"/>
      <c r="EJ30391"/>
      <c r="EK30391"/>
    </row>
    <row r="30392" spans="1:141" s="116" customFormat="1">
      <c r="A30392" s="136"/>
      <c r="CM30392" s="111"/>
      <c r="CQ30392" s="111"/>
      <c r="EF30392"/>
      <c r="EG30392"/>
      <c r="EH30392"/>
      <c r="EI30392"/>
      <c r="EJ30392"/>
      <c r="EK30392"/>
    </row>
    <row r="30393" spans="1:141" s="116" customFormat="1">
      <c r="A30393" s="136"/>
      <c r="CM30393" s="111"/>
      <c r="CQ30393" s="111"/>
      <c r="EF30393"/>
      <c r="EG30393"/>
      <c r="EH30393"/>
      <c r="EI30393"/>
      <c r="EJ30393"/>
      <c r="EK30393"/>
    </row>
    <row r="30394" spans="1:141" s="116" customFormat="1">
      <c r="A30394" s="136"/>
      <c r="CM30394" s="111"/>
      <c r="CQ30394" s="111"/>
      <c r="EF30394"/>
      <c r="EG30394"/>
      <c r="EH30394"/>
      <c r="EI30394"/>
      <c r="EJ30394"/>
      <c r="EK30394"/>
    </row>
    <row r="30395" spans="1:141" s="116" customFormat="1">
      <c r="A30395" s="136"/>
      <c r="CM30395" s="111"/>
      <c r="CQ30395" s="111"/>
      <c r="EF30395"/>
      <c r="EG30395"/>
      <c r="EH30395"/>
      <c r="EI30395"/>
      <c r="EJ30395"/>
      <c r="EK30395"/>
    </row>
    <row r="30396" spans="1:141" s="116" customFormat="1">
      <c r="A30396" s="136"/>
      <c r="CM30396" s="111"/>
      <c r="CQ30396" s="111"/>
      <c r="EF30396"/>
      <c r="EG30396"/>
      <c r="EH30396"/>
      <c r="EI30396"/>
      <c r="EJ30396"/>
      <c r="EK30396"/>
    </row>
    <row r="30397" spans="1:141" s="116" customFormat="1">
      <c r="A30397" s="136"/>
      <c r="CM30397" s="111"/>
      <c r="CQ30397" s="111"/>
      <c r="EF30397"/>
      <c r="EG30397"/>
      <c r="EH30397"/>
      <c r="EI30397"/>
      <c r="EJ30397"/>
      <c r="EK30397"/>
    </row>
    <row r="30398" spans="1:141" s="116" customFormat="1">
      <c r="A30398" s="136"/>
      <c r="CM30398" s="111"/>
      <c r="CQ30398" s="111"/>
      <c r="EF30398"/>
      <c r="EG30398"/>
      <c r="EH30398"/>
      <c r="EI30398"/>
      <c r="EJ30398"/>
      <c r="EK30398"/>
    </row>
    <row r="30399" spans="1:141" s="116" customFormat="1">
      <c r="A30399" s="136"/>
      <c r="CM30399" s="111"/>
      <c r="CQ30399" s="111"/>
      <c r="EF30399"/>
      <c r="EG30399"/>
      <c r="EH30399"/>
      <c r="EI30399"/>
      <c r="EJ30399"/>
      <c r="EK30399"/>
    </row>
    <row r="30400" spans="1:141" s="116" customFormat="1">
      <c r="A30400" s="136"/>
      <c r="CM30400" s="111"/>
      <c r="CQ30400" s="111"/>
      <c r="EF30400"/>
      <c r="EG30400"/>
      <c r="EH30400"/>
      <c r="EI30400"/>
      <c r="EJ30400"/>
      <c r="EK30400"/>
    </row>
    <row r="30401" spans="1:141" s="116" customFormat="1">
      <c r="A30401" s="136"/>
      <c r="CM30401" s="111"/>
      <c r="CQ30401" s="111"/>
      <c r="EF30401"/>
      <c r="EG30401"/>
      <c r="EH30401"/>
      <c r="EI30401"/>
      <c r="EJ30401"/>
      <c r="EK30401"/>
    </row>
    <row r="30402" spans="1:141" s="116" customFormat="1">
      <c r="A30402" s="136"/>
      <c r="CM30402" s="111"/>
      <c r="CQ30402" s="111"/>
      <c r="EF30402"/>
      <c r="EG30402"/>
      <c r="EH30402"/>
      <c r="EI30402"/>
      <c r="EJ30402"/>
      <c r="EK30402"/>
    </row>
    <row r="30403" spans="1:141" s="116" customFormat="1">
      <c r="A30403" s="136"/>
      <c r="CM30403" s="111"/>
      <c r="CQ30403" s="111"/>
      <c r="EF30403"/>
      <c r="EG30403"/>
      <c r="EH30403"/>
      <c r="EI30403"/>
      <c r="EJ30403"/>
      <c r="EK30403"/>
    </row>
    <row r="30404" spans="1:141" s="116" customFormat="1">
      <c r="A30404" s="136"/>
      <c r="CM30404" s="111"/>
      <c r="CQ30404" s="111"/>
      <c r="EF30404"/>
      <c r="EG30404"/>
      <c r="EH30404"/>
      <c r="EI30404"/>
      <c r="EJ30404"/>
      <c r="EK30404"/>
    </row>
    <row r="30405" spans="1:141" s="116" customFormat="1">
      <c r="A30405" s="136"/>
      <c r="CM30405" s="111"/>
      <c r="CQ30405" s="111"/>
      <c r="EF30405"/>
      <c r="EG30405"/>
      <c r="EH30405"/>
      <c r="EI30405"/>
      <c r="EJ30405"/>
      <c r="EK30405"/>
    </row>
    <row r="30406" spans="1:141" s="116" customFormat="1">
      <c r="A30406" s="136"/>
      <c r="CM30406" s="111"/>
      <c r="CQ30406" s="111"/>
      <c r="EF30406"/>
      <c r="EG30406"/>
      <c r="EH30406"/>
      <c r="EI30406"/>
      <c r="EJ30406"/>
      <c r="EK30406"/>
    </row>
    <row r="30407" spans="1:141" s="116" customFormat="1">
      <c r="A30407" s="136"/>
      <c r="CM30407" s="111"/>
      <c r="CQ30407" s="111"/>
      <c r="EF30407"/>
      <c r="EG30407"/>
      <c r="EH30407"/>
      <c r="EI30407"/>
      <c r="EJ30407"/>
      <c r="EK30407"/>
    </row>
    <row r="30408" spans="1:141" s="116" customFormat="1">
      <c r="A30408" s="136"/>
      <c r="CM30408" s="111"/>
      <c r="CQ30408" s="111"/>
      <c r="EF30408"/>
      <c r="EG30408"/>
      <c r="EH30408"/>
      <c r="EI30408"/>
      <c r="EJ30408"/>
      <c r="EK30408"/>
    </row>
    <row r="30409" spans="1:141" s="116" customFormat="1">
      <c r="A30409" s="136"/>
      <c r="CM30409" s="111"/>
      <c r="CQ30409" s="111"/>
      <c r="EF30409"/>
      <c r="EG30409"/>
      <c r="EH30409"/>
      <c r="EI30409"/>
      <c r="EJ30409"/>
      <c r="EK30409"/>
    </row>
    <row r="30410" spans="1:141" s="116" customFormat="1">
      <c r="A30410" s="136"/>
      <c r="CM30410" s="111"/>
      <c r="CQ30410" s="111"/>
      <c r="EF30410"/>
      <c r="EG30410"/>
      <c r="EH30410"/>
      <c r="EI30410"/>
      <c r="EJ30410"/>
      <c r="EK30410"/>
    </row>
    <row r="30411" spans="1:141" s="116" customFormat="1">
      <c r="A30411" s="136"/>
      <c r="CM30411" s="111"/>
      <c r="CQ30411" s="111"/>
      <c r="EF30411"/>
      <c r="EG30411"/>
      <c r="EH30411"/>
      <c r="EI30411"/>
      <c r="EJ30411"/>
      <c r="EK30411"/>
    </row>
    <row r="30412" spans="1:141" s="116" customFormat="1">
      <c r="A30412" s="136"/>
      <c r="CM30412" s="111"/>
      <c r="CQ30412" s="111"/>
      <c r="EF30412"/>
      <c r="EG30412"/>
      <c r="EH30412"/>
      <c r="EI30412"/>
      <c r="EJ30412"/>
      <c r="EK30412"/>
    </row>
    <row r="30413" spans="1:141" s="116" customFormat="1">
      <c r="A30413" s="136"/>
      <c r="CM30413" s="111"/>
      <c r="CQ30413" s="111"/>
      <c r="EF30413"/>
      <c r="EG30413"/>
      <c r="EH30413"/>
      <c r="EI30413"/>
      <c r="EJ30413"/>
      <c r="EK30413"/>
    </row>
    <row r="30414" spans="1:141" s="116" customFormat="1">
      <c r="A30414" s="136"/>
      <c r="CM30414" s="111"/>
      <c r="CQ30414" s="111"/>
      <c r="EF30414"/>
      <c r="EG30414"/>
      <c r="EH30414"/>
      <c r="EI30414"/>
      <c r="EJ30414"/>
      <c r="EK30414"/>
    </row>
    <row r="30415" spans="1:141" s="116" customFormat="1">
      <c r="A30415" s="136"/>
      <c r="CM30415" s="111"/>
      <c r="CQ30415" s="111"/>
      <c r="EF30415"/>
      <c r="EG30415"/>
      <c r="EH30415"/>
      <c r="EI30415"/>
      <c r="EJ30415"/>
      <c r="EK30415"/>
    </row>
    <row r="30416" spans="1:141" s="116" customFormat="1">
      <c r="A30416" s="136"/>
      <c r="CM30416" s="111"/>
      <c r="CQ30416" s="111"/>
      <c r="EF30416"/>
      <c r="EG30416"/>
      <c r="EH30416"/>
      <c r="EI30416"/>
      <c r="EJ30416"/>
      <c r="EK30416"/>
    </row>
    <row r="30417" spans="1:141" s="116" customFormat="1">
      <c r="A30417" s="136"/>
      <c r="CM30417" s="111"/>
      <c r="CQ30417" s="111"/>
      <c r="EF30417"/>
      <c r="EG30417"/>
      <c r="EH30417"/>
      <c r="EI30417"/>
      <c r="EJ30417"/>
      <c r="EK30417"/>
    </row>
    <row r="30418" spans="1:141" s="116" customFormat="1">
      <c r="A30418" s="136"/>
      <c r="CM30418" s="111"/>
      <c r="CQ30418" s="111"/>
      <c r="EF30418"/>
      <c r="EG30418"/>
      <c r="EH30418"/>
      <c r="EI30418"/>
      <c r="EJ30418"/>
      <c r="EK30418"/>
    </row>
    <row r="30419" spans="1:141" s="116" customFormat="1">
      <c r="A30419" s="136"/>
      <c r="CM30419" s="111"/>
      <c r="CQ30419" s="111"/>
      <c r="EF30419"/>
      <c r="EG30419"/>
      <c r="EH30419"/>
      <c r="EI30419"/>
      <c r="EJ30419"/>
      <c r="EK30419"/>
    </row>
    <row r="30420" spans="1:141" s="116" customFormat="1">
      <c r="A30420" s="136"/>
      <c r="CM30420" s="111"/>
      <c r="CQ30420" s="111"/>
      <c r="EF30420"/>
      <c r="EG30420"/>
      <c r="EH30420"/>
      <c r="EI30420"/>
      <c r="EJ30420"/>
      <c r="EK30420"/>
    </row>
    <row r="30421" spans="1:141" s="116" customFormat="1">
      <c r="A30421" s="136"/>
      <c r="CM30421" s="111"/>
      <c r="CQ30421" s="111"/>
      <c r="EF30421"/>
      <c r="EG30421"/>
      <c r="EH30421"/>
      <c r="EI30421"/>
      <c r="EJ30421"/>
      <c r="EK30421"/>
    </row>
    <row r="30422" spans="1:141" s="116" customFormat="1">
      <c r="A30422" s="136"/>
      <c r="CM30422" s="111"/>
      <c r="CQ30422" s="111"/>
      <c r="EF30422"/>
      <c r="EG30422"/>
      <c r="EH30422"/>
      <c r="EI30422"/>
      <c r="EJ30422"/>
      <c r="EK30422"/>
    </row>
    <row r="30423" spans="1:141" s="116" customFormat="1">
      <c r="A30423" s="136"/>
      <c r="CM30423" s="111"/>
      <c r="CQ30423" s="111"/>
      <c r="EF30423"/>
      <c r="EG30423"/>
      <c r="EH30423"/>
      <c r="EI30423"/>
      <c r="EJ30423"/>
      <c r="EK30423"/>
    </row>
    <row r="30424" spans="1:141" s="116" customFormat="1">
      <c r="A30424" s="136"/>
      <c r="CM30424" s="111"/>
      <c r="CQ30424" s="111"/>
      <c r="EF30424"/>
      <c r="EG30424"/>
      <c r="EH30424"/>
      <c r="EI30424"/>
      <c r="EJ30424"/>
      <c r="EK30424"/>
    </row>
    <row r="30425" spans="1:141" s="116" customFormat="1">
      <c r="A30425" s="136"/>
      <c r="CM30425" s="111"/>
      <c r="CQ30425" s="111"/>
      <c r="EF30425"/>
      <c r="EG30425"/>
      <c r="EH30425"/>
      <c r="EI30425"/>
      <c r="EJ30425"/>
      <c r="EK30425"/>
    </row>
    <row r="30426" spans="1:141" s="116" customFormat="1">
      <c r="A30426" s="136"/>
      <c r="CM30426" s="111"/>
      <c r="CQ30426" s="111"/>
      <c r="EF30426"/>
      <c r="EG30426"/>
      <c r="EH30426"/>
      <c r="EI30426"/>
      <c r="EJ30426"/>
      <c r="EK30426"/>
    </row>
    <row r="30427" spans="1:141" s="116" customFormat="1">
      <c r="A30427" s="136"/>
      <c r="CM30427" s="111"/>
      <c r="CQ30427" s="111"/>
      <c r="EF30427"/>
      <c r="EG30427"/>
      <c r="EH30427"/>
      <c r="EI30427"/>
      <c r="EJ30427"/>
      <c r="EK30427"/>
    </row>
    <row r="30428" spans="1:141" s="116" customFormat="1">
      <c r="A30428" s="136"/>
      <c r="CM30428" s="111"/>
      <c r="CQ30428" s="111"/>
      <c r="EF30428"/>
      <c r="EG30428"/>
      <c r="EH30428"/>
      <c r="EI30428"/>
      <c r="EJ30428"/>
      <c r="EK30428"/>
    </row>
    <row r="30429" spans="1:141" s="116" customFormat="1">
      <c r="A30429" s="136"/>
      <c r="CM30429" s="111"/>
      <c r="CQ30429" s="111"/>
      <c r="EF30429"/>
      <c r="EG30429"/>
      <c r="EH30429"/>
      <c r="EI30429"/>
      <c r="EJ30429"/>
      <c r="EK30429"/>
    </row>
    <row r="30430" spans="1:141" s="116" customFormat="1">
      <c r="A30430" s="136"/>
      <c r="CM30430" s="111"/>
      <c r="CQ30430" s="111"/>
      <c r="EF30430"/>
      <c r="EG30430"/>
      <c r="EH30430"/>
      <c r="EI30430"/>
      <c r="EJ30430"/>
      <c r="EK30430"/>
    </row>
    <row r="30431" spans="1:141" s="116" customFormat="1">
      <c r="A30431" s="136"/>
      <c r="CM30431" s="111"/>
      <c r="CQ30431" s="111"/>
      <c r="EF30431"/>
      <c r="EG30431"/>
      <c r="EH30431"/>
      <c r="EI30431"/>
      <c r="EJ30431"/>
      <c r="EK30431"/>
    </row>
    <row r="30432" spans="1:141" s="116" customFormat="1">
      <c r="A30432" s="136"/>
      <c r="CM30432" s="111"/>
      <c r="CQ30432" s="111"/>
      <c r="EF30432"/>
      <c r="EG30432"/>
      <c r="EH30432"/>
      <c r="EI30432"/>
      <c r="EJ30432"/>
      <c r="EK30432"/>
    </row>
    <row r="30433" spans="1:141" s="116" customFormat="1">
      <c r="A30433" s="136"/>
      <c r="CM30433" s="111"/>
      <c r="CQ30433" s="111"/>
      <c r="EF30433"/>
      <c r="EG30433"/>
      <c r="EH30433"/>
      <c r="EI30433"/>
      <c r="EJ30433"/>
      <c r="EK30433"/>
    </row>
    <row r="30434" spans="1:141" s="116" customFormat="1">
      <c r="A30434" s="136"/>
      <c r="CM30434" s="111"/>
      <c r="CQ30434" s="111"/>
      <c r="EF30434"/>
      <c r="EG30434"/>
      <c r="EH30434"/>
      <c r="EI30434"/>
      <c r="EJ30434"/>
      <c r="EK30434"/>
    </row>
    <row r="30435" spans="1:141" s="116" customFormat="1">
      <c r="A30435" s="136"/>
      <c r="CM30435" s="111"/>
      <c r="CQ30435" s="111"/>
      <c r="EF30435"/>
      <c r="EG30435"/>
      <c r="EH30435"/>
      <c r="EI30435"/>
      <c r="EJ30435"/>
      <c r="EK30435"/>
    </row>
    <row r="30436" spans="1:141" s="116" customFormat="1">
      <c r="A30436" s="136"/>
      <c r="CM30436" s="111"/>
      <c r="CQ30436" s="111"/>
      <c r="EF30436"/>
      <c r="EG30436"/>
      <c r="EH30436"/>
      <c r="EI30436"/>
      <c r="EJ30436"/>
      <c r="EK30436"/>
    </row>
    <row r="30437" spans="1:141" s="116" customFormat="1">
      <c r="A30437" s="136"/>
      <c r="CM30437" s="111"/>
      <c r="CQ30437" s="111"/>
      <c r="EF30437"/>
      <c r="EG30437"/>
      <c r="EH30437"/>
      <c r="EI30437"/>
      <c r="EJ30437"/>
      <c r="EK30437"/>
    </row>
    <row r="30438" spans="1:141" s="116" customFormat="1">
      <c r="A30438" s="136"/>
      <c r="CM30438" s="111"/>
      <c r="CQ30438" s="111"/>
      <c r="EF30438"/>
      <c r="EG30438"/>
      <c r="EH30438"/>
      <c r="EI30438"/>
      <c r="EJ30438"/>
      <c r="EK30438"/>
    </row>
    <row r="30439" spans="1:141" s="116" customFormat="1">
      <c r="A30439" s="136"/>
      <c r="CM30439" s="111"/>
      <c r="CQ30439" s="111"/>
      <c r="EF30439"/>
      <c r="EG30439"/>
      <c r="EH30439"/>
      <c r="EI30439"/>
      <c r="EJ30439"/>
      <c r="EK30439"/>
    </row>
    <row r="30440" spans="1:141" s="116" customFormat="1">
      <c r="A30440" s="136"/>
      <c r="CM30440" s="111"/>
      <c r="CQ30440" s="111"/>
      <c r="EF30440"/>
      <c r="EG30440"/>
      <c r="EH30440"/>
      <c r="EI30440"/>
      <c r="EJ30440"/>
      <c r="EK30440"/>
    </row>
    <row r="30441" spans="1:141" s="116" customFormat="1">
      <c r="A30441" s="136"/>
      <c r="CM30441" s="111"/>
      <c r="CQ30441" s="111"/>
      <c r="EF30441"/>
      <c r="EG30441"/>
      <c r="EH30441"/>
      <c r="EI30441"/>
      <c r="EJ30441"/>
      <c r="EK30441"/>
    </row>
    <row r="30442" spans="1:141" s="116" customFormat="1">
      <c r="A30442" s="136"/>
      <c r="CM30442" s="111"/>
      <c r="CQ30442" s="111"/>
      <c r="EF30442"/>
      <c r="EG30442"/>
      <c r="EH30442"/>
      <c r="EI30442"/>
      <c r="EJ30442"/>
      <c r="EK30442"/>
    </row>
    <row r="30443" spans="1:141" s="116" customFormat="1">
      <c r="A30443" s="136"/>
      <c r="CM30443" s="111"/>
      <c r="CQ30443" s="111"/>
      <c r="EF30443"/>
      <c r="EG30443"/>
      <c r="EH30443"/>
      <c r="EI30443"/>
      <c r="EJ30443"/>
      <c r="EK30443"/>
    </row>
    <row r="30444" spans="1:141" s="116" customFormat="1">
      <c r="A30444" s="136"/>
      <c r="CM30444" s="111"/>
      <c r="CQ30444" s="111"/>
      <c r="EF30444"/>
      <c r="EG30444"/>
      <c r="EH30444"/>
      <c r="EI30444"/>
      <c r="EJ30444"/>
      <c r="EK30444"/>
    </row>
    <row r="30445" spans="1:141" s="116" customFormat="1">
      <c r="A30445" s="136"/>
      <c r="CM30445" s="111"/>
      <c r="CQ30445" s="111"/>
      <c r="EF30445"/>
      <c r="EG30445"/>
      <c r="EH30445"/>
      <c r="EI30445"/>
      <c r="EJ30445"/>
      <c r="EK30445"/>
    </row>
    <row r="30446" spans="1:141" s="116" customFormat="1">
      <c r="A30446" s="136"/>
      <c r="CM30446" s="111"/>
      <c r="CQ30446" s="111"/>
      <c r="EF30446"/>
      <c r="EG30446"/>
      <c r="EH30446"/>
      <c r="EI30446"/>
      <c r="EJ30446"/>
      <c r="EK30446"/>
    </row>
    <row r="30447" spans="1:141" s="116" customFormat="1">
      <c r="A30447" s="136"/>
      <c r="CM30447" s="111"/>
      <c r="CQ30447" s="111"/>
      <c r="EF30447"/>
      <c r="EG30447"/>
      <c r="EH30447"/>
      <c r="EI30447"/>
      <c r="EJ30447"/>
      <c r="EK30447"/>
    </row>
    <row r="30448" spans="1:141" s="116" customFormat="1">
      <c r="A30448" s="136"/>
      <c r="CM30448" s="111"/>
      <c r="CQ30448" s="111"/>
      <c r="EF30448"/>
      <c r="EG30448"/>
      <c r="EH30448"/>
      <c r="EI30448"/>
      <c r="EJ30448"/>
      <c r="EK30448"/>
    </row>
    <row r="30449" spans="1:141" s="116" customFormat="1">
      <c r="A30449" s="136"/>
      <c r="CM30449" s="111"/>
      <c r="CQ30449" s="111"/>
      <c r="EF30449"/>
      <c r="EG30449"/>
      <c r="EH30449"/>
      <c r="EI30449"/>
      <c r="EJ30449"/>
      <c r="EK30449"/>
    </row>
    <row r="30450" spans="1:141" s="116" customFormat="1">
      <c r="A30450" s="136"/>
      <c r="CM30450" s="111"/>
      <c r="CQ30450" s="111"/>
      <c r="EF30450"/>
      <c r="EG30450"/>
      <c r="EH30450"/>
      <c r="EI30450"/>
      <c r="EJ30450"/>
      <c r="EK30450"/>
    </row>
    <row r="30451" spans="1:141" s="116" customFormat="1">
      <c r="A30451" s="136"/>
      <c r="CM30451" s="111"/>
      <c r="CQ30451" s="111"/>
      <c r="EF30451"/>
      <c r="EG30451"/>
      <c r="EH30451"/>
      <c r="EI30451"/>
      <c r="EJ30451"/>
      <c r="EK30451"/>
    </row>
    <row r="30452" spans="1:141" s="116" customFormat="1">
      <c r="A30452" s="136"/>
      <c r="CM30452" s="111"/>
      <c r="CQ30452" s="111"/>
      <c r="EF30452"/>
      <c r="EG30452"/>
      <c r="EH30452"/>
      <c r="EI30452"/>
      <c r="EJ30452"/>
      <c r="EK30452"/>
    </row>
    <row r="30453" spans="1:141" s="116" customFormat="1">
      <c r="A30453" s="136"/>
      <c r="CM30453" s="111"/>
      <c r="CQ30453" s="111"/>
      <c r="EF30453"/>
      <c r="EG30453"/>
      <c r="EH30453"/>
      <c r="EI30453"/>
      <c r="EJ30453"/>
      <c r="EK30453"/>
    </row>
    <row r="30454" spans="1:141" s="116" customFormat="1">
      <c r="A30454" s="136"/>
      <c r="CM30454" s="111"/>
      <c r="CQ30454" s="111"/>
      <c r="EF30454"/>
      <c r="EG30454"/>
      <c r="EH30454"/>
      <c r="EI30454"/>
      <c r="EJ30454"/>
      <c r="EK30454"/>
    </row>
    <row r="30455" spans="1:141" s="116" customFormat="1">
      <c r="A30455" s="136"/>
      <c r="CM30455" s="111"/>
      <c r="CQ30455" s="111"/>
      <c r="EF30455"/>
      <c r="EG30455"/>
      <c r="EH30455"/>
      <c r="EI30455"/>
      <c r="EJ30455"/>
      <c r="EK30455"/>
    </row>
    <row r="30456" spans="1:141" s="116" customFormat="1">
      <c r="A30456" s="136"/>
      <c r="CM30456" s="111"/>
      <c r="CQ30456" s="111"/>
      <c r="EF30456"/>
      <c r="EG30456"/>
      <c r="EH30456"/>
      <c r="EI30456"/>
      <c r="EJ30456"/>
      <c r="EK30456"/>
    </row>
    <row r="30457" spans="1:141" s="116" customFormat="1">
      <c r="A30457" s="136"/>
      <c r="CM30457" s="111"/>
      <c r="CQ30457" s="111"/>
      <c r="EF30457"/>
      <c r="EG30457"/>
      <c r="EH30457"/>
      <c r="EI30457"/>
      <c r="EJ30457"/>
      <c r="EK30457"/>
    </row>
    <row r="30458" spans="1:141" s="116" customFormat="1">
      <c r="A30458" s="136"/>
      <c r="CM30458" s="111"/>
      <c r="CQ30458" s="111"/>
      <c r="EF30458"/>
      <c r="EG30458"/>
      <c r="EH30458"/>
      <c r="EI30458"/>
      <c r="EJ30458"/>
      <c r="EK30458"/>
    </row>
    <row r="30459" spans="1:141" s="116" customFormat="1">
      <c r="A30459" s="136"/>
      <c r="CM30459" s="111"/>
      <c r="CQ30459" s="111"/>
      <c r="EF30459"/>
      <c r="EG30459"/>
      <c r="EH30459"/>
      <c r="EI30459"/>
      <c r="EJ30459"/>
      <c r="EK30459"/>
    </row>
    <row r="30460" spans="1:141" s="116" customFormat="1">
      <c r="A30460" s="136"/>
      <c r="CM30460" s="111"/>
      <c r="CQ30460" s="111"/>
      <c r="EF30460"/>
      <c r="EG30460"/>
      <c r="EH30460"/>
      <c r="EI30460"/>
      <c r="EJ30460"/>
      <c r="EK30460"/>
    </row>
    <row r="30461" spans="1:141" s="116" customFormat="1">
      <c r="A30461" s="136"/>
      <c r="CM30461" s="111"/>
      <c r="CQ30461" s="111"/>
      <c r="EF30461"/>
      <c r="EG30461"/>
      <c r="EH30461"/>
      <c r="EI30461"/>
      <c r="EJ30461"/>
      <c r="EK30461"/>
    </row>
    <row r="30462" spans="1:141" s="116" customFormat="1">
      <c r="A30462" s="136"/>
      <c r="CM30462" s="111"/>
      <c r="CQ30462" s="111"/>
      <c r="EF30462"/>
      <c r="EG30462"/>
      <c r="EH30462"/>
      <c r="EI30462"/>
      <c r="EJ30462"/>
      <c r="EK30462"/>
    </row>
    <row r="30463" spans="1:141" s="116" customFormat="1">
      <c r="A30463" s="136"/>
      <c r="CM30463" s="111"/>
      <c r="CQ30463" s="111"/>
      <c r="EF30463"/>
      <c r="EG30463"/>
      <c r="EH30463"/>
      <c r="EI30463"/>
      <c r="EJ30463"/>
      <c r="EK30463"/>
    </row>
    <row r="30464" spans="1:141" s="116" customFormat="1">
      <c r="A30464" s="136"/>
      <c r="CM30464" s="111"/>
      <c r="CQ30464" s="111"/>
      <c r="EF30464"/>
      <c r="EG30464"/>
      <c r="EH30464"/>
      <c r="EI30464"/>
      <c r="EJ30464"/>
      <c r="EK30464"/>
    </row>
    <row r="30465" spans="1:141" s="116" customFormat="1">
      <c r="A30465" s="136"/>
      <c r="CM30465" s="111"/>
      <c r="CQ30465" s="111"/>
      <c r="EF30465"/>
      <c r="EG30465"/>
      <c r="EH30465"/>
      <c r="EI30465"/>
      <c r="EJ30465"/>
      <c r="EK30465"/>
    </row>
    <row r="30466" spans="1:141" s="116" customFormat="1">
      <c r="A30466" s="136"/>
      <c r="CM30466" s="111"/>
      <c r="CQ30466" s="111"/>
      <c r="EF30466"/>
      <c r="EG30466"/>
      <c r="EH30466"/>
      <c r="EI30466"/>
      <c r="EJ30466"/>
      <c r="EK30466"/>
    </row>
    <row r="30467" spans="1:141" s="116" customFormat="1">
      <c r="A30467" s="136"/>
      <c r="CM30467" s="111"/>
      <c r="CQ30467" s="111"/>
      <c r="EF30467"/>
      <c r="EG30467"/>
      <c r="EH30467"/>
      <c r="EI30467"/>
      <c r="EJ30467"/>
      <c r="EK30467"/>
    </row>
    <row r="30468" spans="1:141" s="116" customFormat="1">
      <c r="A30468" s="136"/>
      <c r="CM30468" s="111"/>
      <c r="CQ30468" s="111"/>
      <c r="EF30468"/>
      <c r="EG30468"/>
      <c r="EH30468"/>
      <c r="EI30468"/>
      <c r="EJ30468"/>
      <c r="EK30468"/>
    </row>
    <row r="30469" spans="1:141" s="116" customFormat="1">
      <c r="A30469" s="136"/>
      <c r="CM30469" s="111"/>
      <c r="CQ30469" s="111"/>
      <c r="EF30469"/>
      <c r="EG30469"/>
      <c r="EH30469"/>
      <c r="EI30469"/>
      <c r="EJ30469"/>
      <c r="EK30469"/>
    </row>
    <row r="30470" spans="1:141" s="116" customFormat="1">
      <c r="A30470" s="136"/>
      <c r="CM30470" s="111"/>
      <c r="CQ30470" s="111"/>
      <c r="EF30470"/>
      <c r="EG30470"/>
      <c r="EH30470"/>
      <c r="EI30470"/>
      <c r="EJ30470"/>
      <c r="EK30470"/>
    </row>
    <row r="30471" spans="1:141" s="116" customFormat="1">
      <c r="A30471" s="136"/>
      <c r="CM30471" s="111"/>
      <c r="CQ30471" s="111"/>
      <c r="EF30471"/>
      <c r="EG30471"/>
      <c r="EH30471"/>
      <c r="EI30471"/>
      <c r="EJ30471"/>
      <c r="EK30471"/>
    </row>
    <row r="30472" spans="1:141" s="116" customFormat="1">
      <c r="A30472" s="136"/>
      <c r="CM30472" s="111"/>
      <c r="CQ30472" s="111"/>
      <c r="EF30472"/>
      <c r="EG30472"/>
      <c r="EH30472"/>
      <c r="EI30472"/>
      <c r="EJ30472"/>
      <c r="EK30472"/>
    </row>
    <row r="30473" spans="1:141" s="116" customFormat="1">
      <c r="A30473" s="136"/>
      <c r="CM30473" s="111"/>
      <c r="CQ30473" s="111"/>
      <c r="EF30473"/>
      <c r="EG30473"/>
      <c r="EH30473"/>
      <c r="EI30473"/>
      <c r="EJ30473"/>
      <c r="EK30473"/>
    </row>
    <row r="30474" spans="1:141" s="116" customFormat="1">
      <c r="A30474" s="136"/>
      <c r="CM30474" s="111"/>
      <c r="CQ30474" s="111"/>
      <c r="EF30474"/>
      <c r="EG30474"/>
      <c r="EH30474"/>
      <c r="EI30474"/>
      <c r="EJ30474"/>
      <c r="EK30474"/>
    </row>
    <row r="30475" spans="1:141" s="116" customFormat="1">
      <c r="A30475" s="136"/>
      <c r="CM30475" s="111"/>
      <c r="CQ30475" s="111"/>
      <c r="EF30475"/>
      <c r="EG30475"/>
      <c r="EH30475"/>
      <c r="EI30475"/>
      <c r="EJ30475"/>
      <c r="EK30475"/>
    </row>
    <row r="30476" spans="1:141" s="116" customFormat="1">
      <c r="A30476" s="136"/>
      <c r="CM30476" s="111"/>
      <c r="CQ30476" s="111"/>
      <c r="EF30476"/>
      <c r="EG30476"/>
      <c r="EH30476"/>
      <c r="EI30476"/>
      <c r="EJ30476"/>
      <c r="EK30476"/>
    </row>
    <row r="30477" spans="1:141" s="116" customFormat="1">
      <c r="A30477" s="136"/>
      <c r="CM30477" s="111"/>
      <c r="CQ30477" s="111"/>
      <c r="EF30477"/>
      <c r="EG30477"/>
      <c r="EH30477"/>
      <c r="EI30477"/>
      <c r="EJ30477"/>
      <c r="EK30477"/>
    </row>
    <row r="30478" spans="1:141" s="116" customFormat="1">
      <c r="A30478" s="136"/>
      <c r="CM30478" s="111"/>
      <c r="CQ30478" s="111"/>
      <c r="EF30478"/>
      <c r="EG30478"/>
      <c r="EH30478"/>
      <c r="EI30478"/>
      <c r="EJ30478"/>
      <c r="EK30478"/>
    </row>
    <row r="30479" spans="1:141" s="116" customFormat="1">
      <c r="A30479" s="136"/>
      <c r="CM30479" s="111"/>
      <c r="CQ30479" s="111"/>
      <c r="EF30479"/>
      <c r="EG30479"/>
      <c r="EH30479"/>
      <c r="EI30479"/>
      <c r="EJ30479"/>
      <c r="EK30479"/>
    </row>
    <row r="30480" spans="1:141" s="116" customFormat="1">
      <c r="A30480" s="136"/>
      <c r="CM30480" s="111"/>
      <c r="CQ30480" s="111"/>
      <c r="EF30480"/>
      <c r="EG30480"/>
      <c r="EH30480"/>
      <c r="EI30480"/>
      <c r="EJ30480"/>
      <c r="EK30480"/>
    </row>
    <row r="30481" spans="1:141" s="116" customFormat="1">
      <c r="A30481" s="136"/>
      <c r="CM30481" s="111"/>
      <c r="CQ30481" s="111"/>
      <c r="EF30481"/>
      <c r="EG30481"/>
      <c r="EH30481"/>
      <c r="EI30481"/>
      <c r="EJ30481"/>
      <c r="EK30481"/>
    </row>
    <row r="30482" spans="1:141" s="116" customFormat="1">
      <c r="A30482" s="136"/>
      <c r="CM30482" s="111"/>
      <c r="CQ30482" s="111"/>
      <c r="EF30482"/>
      <c r="EG30482"/>
      <c r="EH30482"/>
      <c r="EI30482"/>
      <c r="EJ30482"/>
      <c r="EK30482"/>
    </row>
    <row r="30483" spans="1:141" s="116" customFormat="1">
      <c r="A30483" s="136"/>
      <c r="CM30483" s="111"/>
      <c r="CQ30483" s="111"/>
      <c r="EF30483"/>
      <c r="EG30483"/>
      <c r="EH30483"/>
      <c r="EI30483"/>
      <c r="EJ30483"/>
      <c r="EK30483"/>
    </row>
    <row r="30484" spans="1:141" s="116" customFormat="1">
      <c r="A30484" s="136"/>
      <c r="CM30484" s="111"/>
      <c r="CQ30484" s="111"/>
      <c r="EF30484"/>
      <c r="EG30484"/>
      <c r="EH30484"/>
      <c r="EI30484"/>
      <c r="EJ30484"/>
      <c r="EK30484"/>
    </row>
    <row r="30485" spans="1:141" s="116" customFormat="1">
      <c r="A30485" s="136"/>
      <c r="CM30485" s="111"/>
      <c r="CQ30485" s="111"/>
      <c r="EF30485"/>
      <c r="EG30485"/>
      <c r="EH30485"/>
      <c r="EI30485"/>
      <c r="EJ30485"/>
      <c r="EK30485"/>
    </row>
    <row r="30486" spans="1:141" s="116" customFormat="1">
      <c r="A30486" s="136"/>
      <c r="CM30486" s="111"/>
      <c r="CQ30486" s="111"/>
      <c r="EF30486"/>
      <c r="EG30486"/>
      <c r="EH30486"/>
      <c r="EI30486"/>
      <c r="EJ30486"/>
      <c r="EK30486"/>
    </row>
    <row r="30487" spans="1:141" s="116" customFormat="1">
      <c r="A30487" s="136"/>
      <c r="CM30487" s="111"/>
      <c r="CQ30487" s="111"/>
      <c r="EF30487"/>
      <c r="EG30487"/>
      <c r="EH30487"/>
      <c r="EI30487"/>
      <c r="EJ30487"/>
      <c r="EK30487"/>
    </row>
    <row r="30488" spans="1:141" s="116" customFormat="1">
      <c r="A30488" s="136"/>
      <c r="CM30488" s="111"/>
      <c r="CQ30488" s="111"/>
      <c r="EF30488"/>
      <c r="EG30488"/>
      <c r="EH30488"/>
      <c r="EI30488"/>
      <c r="EJ30488"/>
      <c r="EK30488"/>
    </row>
    <row r="30489" spans="1:141" s="116" customFormat="1">
      <c r="A30489" s="136"/>
      <c r="CM30489" s="111"/>
      <c r="CQ30489" s="111"/>
      <c r="EF30489"/>
      <c r="EG30489"/>
      <c r="EH30489"/>
      <c r="EI30489"/>
      <c r="EJ30489"/>
      <c r="EK30489"/>
    </row>
    <row r="30490" spans="1:141" s="116" customFormat="1">
      <c r="A30490" s="136"/>
      <c r="CM30490" s="111"/>
      <c r="CQ30490" s="111"/>
      <c r="EF30490"/>
      <c r="EG30490"/>
      <c r="EH30490"/>
      <c r="EI30490"/>
      <c r="EJ30490"/>
      <c r="EK30490"/>
    </row>
    <row r="30491" spans="1:141" s="116" customFormat="1">
      <c r="A30491" s="136"/>
      <c r="CM30491" s="111"/>
      <c r="CQ30491" s="111"/>
      <c r="EF30491"/>
      <c r="EG30491"/>
      <c r="EH30491"/>
      <c r="EI30491"/>
      <c r="EJ30491"/>
      <c r="EK30491"/>
    </row>
    <row r="30492" spans="1:141" s="116" customFormat="1">
      <c r="A30492" s="136"/>
      <c r="CM30492" s="111"/>
      <c r="CQ30492" s="111"/>
      <c r="EF30492"/>
      <c r="EG30492"/>
      <c r="EH30492"/>
      <c r="EI30492"/>
      <c r="EJ30492"/>
      <c r="EK30492"/>
    </row>
    <row r="30493" spans="1:141" s="116" customFormat="1">
      <c r="A30493" s="136"/>
      <c r="CM30493" s="111"/>
      <c r="CQ30493" s="111"/>
      <c r="EF30493"/>
      <c r="EG30493"/>
      <c r="EH30493"/>
      <c r="EI30493"/>
      <c r="EJ30493"/>
      <c r="EK30493"/>
    </row>
    <row r="30494" spans="1:141" s="116" customFormat="1">
      <c r="A30494" s="136"/>
      <c r="CM30494" s="111"/>
      <c r="CQ30494" s="111"/>
      <c r="EF30494"/>
      <c r="EG30494"/>
      <c r="EH30494"/>
      <c r="EI30494"/>
      <c r="EJ30494"/>
      <c r="EK30494"/>
    </row>
    <row r="30495" spans="1:141" s="116" customFormat="1">
      <c r="A30495" s="136"/>
      <c r="CM30495" s="111"/>
      <c r="CQ30495" s="111"/>
      <c r="EF30495"/>
      <c r="EG30495"/>
      <c r="EH30495"/>
      <c r="EI30495"/>
      <c r="EJ30495"/>
      <c r="EK30495"/>
    </row>
    <row r="30496" spans="1:141" s="116" customFormat="1">
      <c r="A30496" s="136"/>
      <c r="CM30496" s="111"/>
      <c r="CQ30496" s="111"/>
      <c r="EF30496"/>
      <c r="EG30496"/>
      <c r="EH30496"/>
      <c r="EI30496"/>
      <c r="EJ30496"/>
      <c r="EK30496"/>
    </row>
    <row r="30497" spans="1:141" s="116" customFormat="1">
      <c r="A30497" s="136"/>
      <c r="CM30497" s="111"/>
      <c r="CQ30497" s="111"/>
      <c r="EF30497"/>
      <c r="EG30497"/>
      <c r="EH30497"/>
      <c r="EI30497"/>
      <c r="EJ30497"/>
      <c r="EK30497"/>
    </row>
    <row r="30498" spans="1:141" s="116" customFormat="1">
      <c r="A30498" s="136"/>
      <c r="CM30498" s="111"/>
      <c r="CQ30498" s="111"/>
      <c r="EF30498"/>
      <c r="EG30498"/>
      <c r="EH30498"/>
      <c r="EI30498"/>
      <c r="EJ30498"/>
      <c r="EK30498"/>
    </row>
    <row r="30499" spans="1:141" s="116" customFormat="1">
      <c r="A30499" s="136"/>
      <c r="CM30499" s="111"/>
      <c r="CQ30499" s="111"/>
      <c r="EF30499"/>
      <c r="EG30499"/>
      <c r="EH30499"/>
      <c r="EI30499"/>
      <c r="EJ30499"/>
      <c r="EK30499"/>
    </row>
    <row r="30500" spans="1:141" s="116" customFormat="1">
      <c r="A30500" s="136"/>
      <c r="CM30500" s="111"/>
      <c r="CQ30500" s="111"/>
      <c r="EF30500"/>
      <c r="EG30500"/>
      <c r="EH30500"/>
      <c r="EI30500"/>
      <c r="EJ30500"/>
      <c r="EK30500"/>
    </row>
    <row r="30501" spans="1:141" s="116" customFormat="1">
      <c r="A30501" s="136"/>
      <c r="CM30501" s="111"/>
      <c r="CQ30501" s="111"/>
      <c r="EF30501"/>
      <c r="EG30501"/>
      <c r="EH30501"/>
      <c r="EI30501"/>
      <c r="EJ30501"/>
      <c r="EK30501"/>
    </row>
    <row r="30502" spans="1:141" s="116" customFormat="1">
      <c r="A30502" s="136"/>
      <c r="CM30502" s="111"/>
      <c r="CQ30502" s="111"/>
      <c r="EF30502"/>
      <c r="EG30502"/>
      <c r="EH30502"/>
      <c r="EI30502"/>
      <c r="EJ30502"/>
      <c r="EK30502"/>
    </row>
    <row r="30503" spans="1:141" s="116" customFormat="1">
      <c r="A30503" s="136"/>
      <c r="CM30503" s="111"/>
      <c r="CQ30503" s="111"/>
      <c r="EF30503"/>
      <c r="EG30503"/>
      <c r="EH30503"/>
      <c r="EI30503"/>
      <c r="EJ30503"/>
      <c r="EK30503"/>
    </row>
    <row r="30504" spans="1:141" s="116" customFormat="1">
      <c r="A30504" s="136"/>
      <c r="CM30504" s="111"/>
      <c r="CQ30504" s="111"/>
      <c r="EF30504"/>
      <c r="EG30504"/>
      <c r="EH30504"/>
      <c r="EI30504"/>
      <c r="EJ30504"/>
      <c r="EK30504"/>
    </row>
    <row r="30505" spans="1:141" s="116" customFormat="1">
      <c r="A30505" s="136"/>
      <c r="CM30505" s="111"/>
      <c r="CQ30505" s="111"/>
      <c r="EF30505"/>
      <c r="EG30505"/>
      <c r="EH30505"/>
      <c r="EI30505"/>
      <c r="EJ30505"/>
      <c r="EK30505"/>
    </row>
    <row r="30506" spans="1:141" s="116" customFormat="1">
      <c r="A30506" s="136"/>
      <c r="CM30506" s="111"/>
      <c r="CQ30506" s="111"/>
      <c r="EF30506"/>
      <c r="EG30506"/>
      <c r="EH30506"/>
      <c r="EI30506"/>
      <c r="EJ30506"/>
      <c r="EK30506"/>
    </row>
    <row r="30507" spans="1:141" s="116" customFormat="1">
      <c r="A30507" s="136"/>
      <c r="CM30507" s="111"/>
      <c r="CQ30507" s="111"/>
      <c r="EF30507"/>
      <c r="EG30507"/>
      <c r="EH30507"/>
      <c r="EI30507"/>
      <c r="EJ30507"/>
      <c r="EK30507"/>
    </row>
    <row r="30508" spans="1:141" s="116" customFormat="1">
      <c r="A30508" s="136"/>
      <c r="CM30508" s="111"/>
      <c r="CQ30508" s="111"/>
      <c r="EF30508"/>
      <c r="EG30508"/>
      <c r="EH30508"/>
      <c r="EI30508"/>
      <c r="EJ30508"/>
      <c r="EK30508"/>
    </row>
    <row r="30509" spans="1:141" s="116" customFormat="1">
      <c r="A30509" s="136"/>
      <c r="CM30509" s="111"/>
      <c r="CQ30509" s="111"/>
      <c r="EF30509"/>
      <c r="EG30509"/>
      <c r="EH30509"/>
      <c r="EI30509"/>
      <c r="EJ30509"/>
      <c r="EK30509"/>
    </row>
    <row r="30510" spans="1:141" s="116" customFormat="1">
      <c r="A30510" s="136"/>
      <c r="CM30510" s="111"/>
      <c r="CQ30510" s="111"/>
      <c r="EF30510"/>
      <c r="EG30510"/>
      <c r="EH30510"/>
      <c r="EI30510"/>
      <c r="EJ30510"/>
      <c r="EK30510"/>
    </row>
    <row r="30511" spans="1:141" s="116" customFormat="1">
      <c r="A30511" s="136"/>
      <c r="CM30511" s="111"/>
      <c r="CQ30511" s="111"/>
      <c r="EF30511"/>
      <c r="EG30511"/>
      <c r="EH30511"/>
      <c r="EI30511"/>
      <c r="EJ30511"/>
      <c r="EK30511"/>
    </row>
    <row r="30512" spans="1:141" s="116" customFormat="1">
      <c r="A30512" s="136"/>
      <c r="CM30512" s="111"/>
      <c r="CQ30512" s="111"/>
      <c r="EF30512"/>
      <c r="EG30512"/>
      <c r="EH30512"/>
      <c r="EI30512"/>
      <c r="EJ30512"/>
      <c r="EK30512"/>
    </row>
    <row r="30513" spans="1:141" s="116" customFormat="1">
      <c r="A30513" s="136"/>
      <c r="CM30513" s="111"/>
      <c r="CQ30513" s="111"/>
      <c r="EF30513"/>
      <c r="EG30513"/>
      <c r="EH30513"/>
      <c r="EI30513"/>
      <c r="EJ30513"/>
      <c r="EK30513"/>
    </row>
    <row r="30514" spans="1:141" s="116" customFormat="1">
      <c r="A30514" s="136"/>
      <c r="CM30514" s="111"/>
      <c r="CQ30514" s="111"/>
      <c r="EF30514"/>
      <c r="EG30514"/>
      <c r="EH30514"/>
      <c r="EI30514"/>
      <c r="EJ30514"/>
      <c r="EK30514"/>
    </row>
    <row r="30515" spans="1:141" s="116" customFormat="1">
      <c r="A30515" s="136"/>
      <c r="CM30515" s="111"/>
      <c r="CQ30515" s="111"/>
      <c r="EF30515"/>
      <c r="EG30515"/>
      <c r="EH30515"/>
      <c r="EI30515"/>
      <c r="EJ30515"/>
      <c r="EK30515"/>
    </row>
    <row r="30516" spans="1:141" s="116" customFormat="1">
      <c r="A30516" s="136"/>
      <c r="CM30516" s="111"/>
      <c r="CQ30516" s="111"/>
      <c r="EF30516"/>
      <c r="EG30516"/>
      <c r="EH30516"/>
      <c r="EI30516"/>
      <c r="EJ30516"/>
      <c r="EK30516"/>
    </row>
    <row r="30517" spans="1:141" s="116" customFormat="1">
      <c r="A30517" s="136"/>
      <c r="CM30517" s="111"/>
      <c r="CQ30517" s="111"/>
      <c r="EF30517"/>
      <c r="EG30517"/>
      <c r="EH30517"/>
      <c r="EI30517"/>
      <c r="EJ30517"/>
      <c r="EK30517"/>
    </row>
    <row r="30518" spans="1:141" s="116" customFormat="1">
      <c r="A30518" s="136"/>
      <c r="CM30518" s="111"/>
      <c r="CQ30518" s="111"/>
      <c r="EF30518"/>
      <c r="EG30518"/>
      <c r="EH30518"/>
      <c r="EI30518"/>
      <c r="EJ30518"/>
      <c r="EK30518"/>
    </row>
    <row r="30519" spans="1:141" s="116" customFormat="1">
      <c r="A30519" s="136"/>
      <c r="CM30519" s="111"/>
      <c r="CQ30519" s="111"/>
      <c r="EF30519"/>
      <c r="EG30519"/>
      <c r="EH30519"/>
      <c r="EI30519"/>
      <c r="EJ30519"/>
      <c r="EK30519"/>
    </row>
    <row r="30520" spans="1:141" s="116" customFormat="1">
      <c r="A30520" s="136"/>
      <c r="CM30520" s="111"/>
      <c r="CQ30520" s="111"/>
      <c r="EF30520"/>
      <c r="EG30520"/>
      <c r="EH30520"/>
      <c r="EI30520"/>
      <c r="EJ30520"/>
      <c r="EK30520"/>
    </row>
    <row r="30521" spans="1:141" s="116" customFormat="1">
      <c r="A30521" s="136"/>
      <c r="CM30521" s="111"/>
      <c r="CQ30521" s="111"/>
      <c r="EF30521"/>
      <c r="EG30521"/>
      <c r="EH30521"/>
      <c r="EI30521"/>
      <c r="EJ30521"/>
      <c r="EK30521"/>
    </row>
    <row r="30522" spans="1:141" s="116" customFormat="1">
      <c r="A30522" s="136"/>
      <c r="CM30522" s="111"/>
      <c r="CQ30522" s="111"/>
      <c r="EF30522"/>
      <c r="EG30522"/>
      <c r="EH30522"/>
      <c r="EI30522"/>
      <c r="EJ30522"/>
      <c r="EK30522"/>
    </row>
    <row r="30523" spans="1:141" s="116" customFormat="1">
      <c r="A30523" s="136"/>
      <c r="CM30523" s="111"/>
      <c r="CQ30523" s="111"/>
      <c r="EF30523"/>
      <c r="EG30523"/>
      <c r="EH30523"/>
      <c r="EI30523"/>
      <c r="EJ30523"/>
      <c r="EK30523"/>
    </row>
    <row r="30524" spans="1:141" s="116" customFormat="1">
      <c r="A30524" s="136"/>
      <c r="CM30524" s="111"/>
      <c r="CQ30524" s="111"/>
      <c r="EF30524"/>
      <c r="EG30524"/>
      <c r="EH30524"/>
      <c r="EI30524"/>
      <c r="EJ30524"/>
      <c r="EK30524"/>
    </row>
    <row r="30525" spans="1:141" s="116" customFormat="1">
      <c r="A30525" s="136"/>
      <c r="CM30525" s="111"/>
      <c r="CQ30525" s="111"/>
      <c r="EF30525"/>
      <c r="EG30525"/>
      <c r="EH30525"/>
      <c r="EI30525"/>
      <c r="EJ30525"/>
      <c r="EK30525"/>
    </row>
    <row r="30526" spans="1:141" s="116" customFormat="1">
      <c r="A30526" s="136"/>
      <c r="CM30526" s="111"/>
      <c r="CQ30526" s="111"/>
      <c r="EF30526"/>
      <c r="EG30526"/>
      <c r="EH30526"/>
      <c r="EI30526"/>
      <c r="EJ30526"/>
      <c r="EK30526"/>
    </row>
    <row r="30527" spans="1:141" s="116" customFormat="1">
      <c r="A30527" s="136"/>
      <c r="CM30527" s="111"/>
      <c r="CQ30527" s="111"/>
      <c r="EF30527"/>
      <c r="EG30527"/>
      <c r="EH30527"/>
      <c r="EI30527"/>
      <c r="EJ30527"/>
      <c r="EK30527"/>
    </row>
    <row r="30528" spans="1:141" s="116" customFormat="1">
      <c r="A30528" s="136"/>
      <c r="CM30528" s="111"/>
      <c r="CQ30528" s="111"/>
      <c r="EF30528"/>
      <c r="EG30528"/>
      <c r="EH30528"/>
      <c r="EI30528"/>
      <c r="EJ30528"/>
      <c r="EK30528"/>
    </row>
    <row r="30529" spans="1:141" s="116" customFormat="1">
      <c r="A30529" s="136"/>
      <c r="CM30529" s="111"/>
      <c r="CQ30529" s="111"/>
      <c r="EF30529"/>
      <c r="EG30529"/>
      <c r="EH30529"/>
      <c r="EI30529"/>
      <c r="EJ30529"/>
      <c r="EK30529"/>
    </row>
    <row r="30530" spans="1:141" s="116" customFormat="1">
      <c r="A30530" s="136"/>
      <c r="CM30530" s="111"/>
      <c r="CQ30530" s="111"/>
      <c r="EF30530"/>
      <c r="EG30530"/>
      <c r="EH30530"/>
      <c r="EI30530"/>
      <c r="EJ30530"/>
      <c r="EK30530"/>
    </row>
    <row r="30531" spans="1:141" s="116" customFormat="1">
      <c r="A30531" s="136"/>
      <c r="CM30531" s="111"/>
      <c r="CQ30531" s="111"/>
      <c r="EF30531"/>
      <c r="EG30531"/>
      <c r="EH30531"/>
      <c r="EI30531"/>
      <c r="EJ30531"/>
      <c r="EK30531"/>
    </row>
    <row r="30532" spans="1:141" s="116" customFormat="1">
      <c r="A30532" s="136"/>
      <c r="CM30532" s="111"/>
      <c r="CQ30532" s="111"/>
      <c r="EF30532"/>
      <c r="EG30532"/>
      <c r="EH30532"/>
      <c r="EI30532"/>
      <c r="EJ30532"/>
      <c r="EK30532"/>
    </row>
    <row r="30533" spans="1:141" s="116" customFormat="1">
      <c r="A30533" s="136"/>
      <c r="CM30533" s="111"/>
      <c r="CQ30533" s="111"/>
      <c r="EF30533"/>
      <c r="EG30533"/>
      <c r="EH30533"/>
      <c r="EI30533"/>
      <c r="EJ30533"/>
      <c r="EK30533"/>
    </row>
    <row r="30534" spans="1:141" s="116" customFormat="1">
      <c r="A30534" s="136"/>
      <c r="CM30534" s="111"/>
      <c r="CQ30534" s="111"/>
      <c r="EF30534"/>
      <c r="EG30534"/>
      <c r="EH30534"/>
      <c r="EI30534"/>
      <c r="EJ30534"/>
      <c r="EK30534"/>
    </row>
    <row r="30535" spans="1:141" s="116" customFormat="1">
      <c r="A30535" s="136"/>
      <c r="CM30535" s="111"/>
      <c r="CQ30535" s="111"/>
      <c r="EF30535"/>
      <c r="EG30535"/>
      <c r="EH30535"/>
      <c r="EI30535"/>
      <c r="EJ30535"/>
      <c r="EK30535"/>
    </row>
    <row r="30536" spans="1:141" s="116" customFormat="1">
      <c r="A30536" s="136"/>
      <c r="CM30536" s="111"/>
      <c r="CQ30536" s="111"/>
      <c r="EF30536"/>
      <c r="EG30536"/>
      <c r="EH30536"/>
      <c r="EI30536"/>
      <c r="EJ30536"/>
      <c r="EK30536"/>
    </row>
    <row r="30537" spans="1:141" s="116" customFormat="1">
      <c r="A30537" s="136"/>
      <c r="CM30537" s="111"/>
      <c r="CQ30537" s="111"/>
      <c r="EF30537"/>
      <c r="EG30537"/>
      <c r="EH30537"/>
      <c r="EI30537"/>
      <c r="EJ30537"/>
      <c r="EK30537"/>
    </row>
    <row r="30538" spans="1:141" s="116" customFormat="1">
      <c r="A30538" s="136"/>
      <c r="CM30538" s="111"/>
      <c r="CQ30538" s="111"/>
      <c r="EF30538"/>
      <c r="EG30538"/>
      <c r="EH30538"/>
      <c r="EI30538"/>
      <c r="EJ30538"/>
      <c r="EK30538"/>
    </row>
    <row r="30539" spans="1:141" s="116" customFormat="1">
      <c r="A30539" s="136"/>
      <c r="CM30539" s="111"/>
      <c r="CQ30539" s="111"/>
      <c r="EF30539"/>
      <c r="EG30539"/>
      <c r="EH30539"/>
      <c r="EI30539"/>
      <c r="EJ30539"/>
      <c r="EK30539"/>
    </row>
    <row r="30540" spans="1:141" s="116" customFormat="1">
      <c r="A30540" s="136"/>
      <c r="CM30540" s="111"/>
      <c r="CQ30540" s="111"/>
      <c r="EF30540"/>
      <c r="EG30540"/>
      <c r="EH30540"/>
      <c r="EI30540"/>
      <c r="EJ30540"/>
      <c r="EK30540"/>
    </row>
    <row r="30541" spans="1:141" s="116" customFormat="1">
      <c r="A30541" s="136"/>
      <c r="CM30541" s="111"/>
      <c r="CQ30541" s="111"/>
      <c r="EF30541"/>
      <c r="EG30541"/>
      <c r="EH30541"/>
      <c r="EI30541"/>
      <c r="EJ30541"/>
      <c r="EK30541"/>
    </row>
    <row r="30542" spans="1:141" s="116" customFormat="1">
      <c r="A30542" s="136"/>
      <c r="CM30542" s="111"/>
      <c r="CQ30542" s="111"/>
      <c r="EF30542"/>
      <c r="EG30542"/>
      <c r="EH30542"/>
      <c r="EI30542"/>
      <c r="EJ30542"/>
      <c r="EK30542"/>
    </row>
    <row r="30543" spans="1:141" s="116" customFormat="1">
      <c r="A30543" s="136"/>
      <c r="CM30543" s="111"/>
      <c r="CQ30543" s="111"/>
      <c r="EF30543"/>
      <c r="EG30543"/>
      <c r="EH30543"/>
      <c r="EI30543"/>
      <c r="EJ30543"/>
      <c r="EK30543"/>
    </row>
    <row r="30544" spans="1:141" s="116" customFormat="1">
      <c r="A30544" s="136"/>
      <c r="CM30544" s="111"/>
      <c r="CQ30544" s="111"/>
      <c r="EF30544"/>
      <c r="EG30544"/>
      <c r="EH30544"/>
      <c r="EI30544"/>
      <c r="EJ30544"/>
      <c r="EK30544"/>
    </row>
    <row r="30545" spans="1:141" s="116" customFormat="1">
      <c r="A30545" s="136"/>
      <c r="CM30545" s="111"/>
      <c r="CQ30545" s="111"/>
      <c r="EF30545"/>
      <c r="EG30545"/>
      <c r="EH30545"/>
      <c r="EI30545"/>
      <c r="EJ30545"/>
      <c r="EK30545"/>
    </row>
    <row r="30546" spans="1:141" s="116" customFormat="1">
      <c r="A30546" s="136"/>
      <c r="CM30546" s="111"/>
      <c r="CQ30546" s="111"/>
      <c r="EF30546"/>
      <c r="EG30546"/>
      <c r="EH30546"/>
      <c r="EI30546"/>
      <c r="EJ30546"/>
      <c r="EK30546"/>
    </row>
    <row r="30547" spans="1:141" s="116" customFormat="1">
      <c r="A30547" s="136"/>
      <c r="CM30547" s="111"/>
      <c r="CQ30547" s="111"/>
      <c r="EF30547"/>
      <c r="EG30547"/>
      <c r="EH30547"/>
      <c r="EI30547"/>
      <c r="EJ30547"/>
      <c r="EK30547"/>
    </row>
    <row r="30548" spans="1:141" s="116" customFormat="1">
      <c r="A30548" s="136"/>
      <c r="CM30548" s="111"/>
      <c r="CQ30548" s="111"/>
      <c r="EF30548"/>
      <c r="EG30548"/>
      <c r="EH30548"/>
      <c r="EI30548"/>
      <c r="EJ30548"/>
      <c r="EK30548"/>
    </row>
    <row r="30549" spans="1:141" s="116" customFormat="1">
      <c r="A30549" s="136"/>
      <c r="CM30549" s="111"/>
      <c r="CQ30549" s="111"/>
      <c r="EF30549"/>
      <c r="EG30549"/>
      <c r="EH30549"/>
      <c r="EI30549"/>
      <c r="EJ30549"/>
      <c r="EK30549"/>
    </row>
    <row r="30550" spans="1:141" s="116" customFormat="1">
      <c r="A30550" s="136"/>
      <c r="CM30550" s="111"/>
      <c r="CQ30550" s="111"/>
      <c r="EF30550"/>
      <c r="EG30550"/>
      <c r="EH30550"/>
      <c r="EI30550"/>
      <c r="EJ30550"/>
      <c r="EK30550"/>
    </row>
    <row r="30551" spans="1:141" s="116" customFormat="1">
      <c r="A30551" s="136"/>
      <c r="CM30551" s="111"/>
      <c r="CQ30551" s="111"/>
      <c r="EF30551"/>
      <c r="EG30551"/>
      <c r="EH30551"/>
      <c r="EI30551"/>
      <c r="EJ30551"/>
      <c r="EK30551"/>
    </row>
    <row r="30552" spans="1:141" s="116" customFormat="1">
      <c r="A30552" s="136"/>
      <c r="CM30552" s="111"/>
      <c r="CQ30552" s="111"/>
      <c r="EF30552"/>
      <c r="EG30552"/>
      <c r="EH30552"/>
      <c r="EI30552"/>
      <c r="EJ30552"/>
      <c r="EK30552"/>
    </row>
    <row r="30553" spans="1:141" s="116" customFormat="1">
      <c r="A30553" s="136"/>
      <c r="CM30553" s="111"/>
      <c r="CQ30553" s="111"/>
      <c r="EF30553"/>
      <c r="EG30553"/>
      <c r="EH30553"/>
      <c r="EI30553"/>
      <c r="EJ30553"/>
      <c r="EK30553"/>
    </row>
    <row r="30554" spans="1:141" s="116" customFormat="1">
      <c r="A30554" s="136"/>
      <c r="CM30554" s="111"/>
      <c r="CQ30554" s="111"/>
      <c r="EF30554"/>
      <c r="EG30554"/>
      <c r="EH30554"/>
      <c r="EI30554"/>
      <c r="EJ30554"/>
      <c r="EK30554"/>
    </row>
    <row r="30555" spans="1:141" s="116" customFormat="1">
      <c r="A30555" s="136"/>
      <c r="CM30555" s="111"/>
      <c r="CQ30555" s="111"/>
      <c r="EF30555"/>
      <c r="EG30555"/>
      <c r="EH30555"/>
      <c r="EI30555"/>
      <c r="EJ30555"/>
      <c r="EK30555"/>
    </row>
    <row r="30556" spans="1:141" s="116" customFormat="1">
      <c r="A30556" s="136"/>
      <c r="CM30556" s="111"/>
      <c r="CQ30556" s="111"/>
      <c r="EF30556"/>
      <c r="EG30556"/>
      <c r="EH30556"/>
      <c r="EI30556"/>
      <c r="EJ30556"/>
      <c r="EK30556"/>
    </row>
    <row r="30557" spans="1:141" s="116" customFormat="1">
      <c r="A30557" s="136"/>
      <c r="CM30557" s="111"/>
      <c r="CQ30557" s="111"/>
      <c r="EF30557"/>
      <c r="EG30557"/>
      <c r="EH30557"/>
      <c r="EI30557"/>
      <c r="EJ30557"/>
      <c r="EK30557"/>
    </row>
    <row r="30558" spans="1:141" s="116" customFormat="1">
      <c r="A30558" s="136"/>
      <c r="CM30558" s="111"/>
      <c r="CQ30558" s="111"/>
      <c r="EF30558"/>
      <c r="EG30558"/>
      <c r="EH30558"/>
      <c r="EI30558"/>
      <c r="EJ30558"/>
      <c r="EK30558"/>
    </row>
    <row r="30559" spans="1:141" s="116" customFormat="1">
      <c r="A30559" s="136"/>
      <c r="CM30559" s="111"/>
      <c r="CQ30559" s="111"/>
      <c r="EF30559"/>
      <c r="EG30559"/>
      <c r="EH30559"/>
      <c r="EI30559"/>
      <c r="EJ30559"/>
      <c r="EK30559"/>
    </row>
    <row r="30560" spans="1:141" s="116" customFormat="1">
      <c r="A30560" s="136"/>
      <c r="CM30560" s="111"/>
      <c r="CQ30560" s="111"/>
      <c r="EF30560"/>
      <c r="EG30560"/>
      <c r="EH30560"/>
      <c r="EI30560"/>
      <c r="EJ30560"/>
      <c r="EK30560"/>
    </row>
    <row r="30561" spans="1:141" s="116" customFormat="1">
      <c r="A30561" s="136"/>
      <c r="CM30561" s="111"/>
      <c r="CQ30561" s="111"/>
      <c r="EF30561"/>
      <c r="EG30561"/>
      <c r="EH30561"/>
      <c r="EI30561"/>
      <c r="EJ30561"/>
      <c r="EK30561"/>
    </row>
    <row r="30562" spans="1:141" s="116" customFormat="1">
      <c r="A30562" s="136"/>
      <c r="CM30562" s="111"/>
      <c r="CQ30562" s="111"/>
      <c r="EF30562"/>
      <c r="EG30562"/>
      <c r="EH30562"/>
      <c r="EI30562"/>
      <c r="EJ30562"/>
      <c r="EK30562"/>
    </row>
    <row r="30563" spans="1:141" s="116" customFormat="1">
      <c r="A30563" s="136"/>
      <c r="CM30563" s="111"/>
      <c r="CQ30563" s="111"/>
      <c r="EF30563"/>
      <c r="EG30563"/>
      <c r="EH30563"/>
      <c r="EI30563"/>
      <c r="EJ30563"/>
      <c r="EK30563"/>
    </row>
    <row r="30564" spans="1:141" s="116" customFormat="1">
      <c r="A30564" s="136"/>
      <c r="CM30564" s="111"/>
      <c r="CQ30564" s="111"/>
      <c r="EF30564"/>
      <c r="EG30564"/>
      <c r="EH30564"/>
      <c r="EI30564"/>
      <c r="EJ30564"/>
      <c r="EK30564"/>
    </row>
    <row r="30565" spans="1:141" s="116" customFormat="1">
      <c r="A30565" s="136"/>
      <c r="CM30565" s="111"/>
      <c r="CQ30565" s="111"/>
      <c r="EF30565"/>
      <c r="EG30565"/>
      <c r="EH30565"/>
      <c r="EI30565"/>
      <c r="EJ30565"/>
      <c r="EK30565"/>
    </row>
    <row r="30566" spans="1:141" s="116" customFormat="1">
      <c r="A30566" s="136"/>
      <c r="CM30566" s="111"/>
      <c r="CQ30566" s="111"/>
      <c r="EF30566"/>
      <c r="EG30566"/>
      <c r="EH30566"/>
      <c r="EI30566"/>
      <c r="EJ30566"/>
      <c r="EK30566"/>
    </row>
    <row r="30567" spans="1:141" s="116" customFormat="1">
      <c r="A30567" s="136"/>
      <c r="CM30567" s="111"/>
      <c r="CQ30567" s="111"/>
      <c r="EF30567"/>
      <c r="EG30567"/>
      <c r="EH30567"/>
      <c r="EI30567"/>
      <c r="EJ30567"/>
      <c r="EK30567"/>
    </row>
    <row r="30568" spans="1:141" s="116" customFormat="1">
      <c r="A30568" s="136"/>
      <c r="CM30568" s="111"/>
      <c r="CQ30568" s="111"/>
      <c r="EF30568"/>
      <c r="EG30568"/>
      <c r="EH30568"/>
      <c r="EI30568"/>
      <c r="EJ30568"/>
      <c r="EK30568"/>
    </row>
    <row r="30569" spans="1:141" s="116" customFormat="1">
      <c r="A30569" s="136"/>
      <c r="CM30569" s="111"/>
      <c r="CQ30569" s="111"/>
      <c r="EF30569"/>
      <c r="EG30569"/>
      <c r="EH30569"/>
      <c r="EI30569"/>
      <c r="EJ30569"/>
      <c r="EK30569"/>
    </row>
    <row r="30570" spans="1:141" s="116" customFormat="1">
      <c r="A30570" s="136"/>
      <c r="CM30570" s="111"/>
      <c r="CQ30570" s="111"/>
      <c r="EF30570"/>
      <c r="EG30570"/>
      <c r="EH30570"/>
      <c r="EI30570"/>
      <c r="EJ30570"/>
      <c r="EK30570"/>
    </row>
    <row r="30571" spans="1:141" s="116" customFormat="1">
      <c r="A30571" s="136"/>
      <c r="CM30571" s="111"/>
      <c r="CQ30571" s="111"/>
      <c r="EF30571"/>
      <c r="EG30571"/>
      <c r="EH30571"/>
      <c r="EI30571"/>
      <c r="EJ30571"/>
      <c r="EK30571"/>
    </row>
    <row r="30572" spans="1:141" s="116" customFormat="1">
      <c r="A30572" s="136"/>
      <c r="CM30572" s="111"/>
      <c r="CQ30572" s="111"/>
      <c r="EF30572"/>
      <c r="EG30572"/>
      <c r="EH30572"/>
      <c r="EI30572"/>
      <c r="EJ30572"/>
      <c r="EK30572"/>
    </row>
    <row r="30573" spans="1:141" s="116" customFormat="1">
      <c r="A30573" s="136"/>
      <c r="CM30573" s="111"/>
      <c r="CQ30573" s="111"/>
      <c r="EF30573"/>
      <c r="EG30573"/>
      <c r="EH30573"/>
      <c r="EI30573"/>
      <c r="EJ30573"/>
      <c r="EK30573"/>
    </row>
    <row r="30574" spans="1:141" s="116" customFormat="1">
      <c r="A30574" s="136"/>
      <c r="CM30574" s="111"/>
      <c r="CQ30574" s="111"/>
      <c r="EF30574"/>
      <c r="EG30574"/>
      <c r="EH30574"/>
      <c r="EI30574"/>
      <c r="EJ30574"/>
      <c r="EK30574"/>
    </row>
    <row r="30575" spans="1:141" s="116" customFormat="1">
      <c r="A30575" s="136"/>
      <c r="CM30575" s="111"/>
      <c r="CQ30575" s="111"/>
      <c r="EF30575"/>
      <c r="EG30575"/>
      <c r="EH30575"/>
      <c r="EI30575"/>
      <c r="EJ30575"/>
      <c r="EK30575"/>
    </row>
    <row r="30576" spans="1:141" s="116" customFormat="1">
      <c r="A30576" s="136"/>
      <c r="CM30576" s="111"/>
      <c r="CQ30576" s="111"/>
      <c r="EF30576"/>
      <c r="EG30576"/>
      <c r="EH30576"/>
      <c r="EI30576"/>
      <c r="EJ30576"/>
      <c r="EK30576"/>
    </row>
    <row r="30577" spans="1:141" s="116" customFormat="1">
      <c r="A30577" s="136"/>
      <c r="CM30577" s="111"/>
      <c r="CQ30577" s="111"/>
      <c r="EF30577"/>
      <c r="EG30577"/>
      <c r="EH30577"/>
      <c r="EI30577"/>
      <c r="EJ30577"/>
      <c r="EK30577"/>
    </row>
    <row r="30578" spans="1:141" s="116" customFormat="1">
      <c r="A30578" s="136"/>
      <c r="CM30578" s="111"/>
      <c r="CQ30578" s="111"/>
      <c r="EF30578"/>
      <c r="EG30578"/>
      <c r="EH30578"/>
      <c r="EI30578"/>
      <c r="EJ30578"/>
      <c r="EK30578"/>
    </row>
    <row r="30579" spans="1:141" s="116" customFormat="1">
      <c r="A30579" s="136"/>
      <c r="CM30579" s="111"/>
      <c r="CQ30579" s="111"/>
      <c r="EF30579"/>
      <c r="EG30579"/>
      <c r="EH30579"/>
      <c r="EI30579"/>
      <c r="EJ30579"/>
      <c r="EK30579"/>
    </row>
    <row r="30580" spans="1:141" s="116" customFormat="1">
      <c r="A30580" s="136"/>
      <c r="CM30580" s="111"/>
      <c r="CQ30580" s="111"/>
      <c r="EF30580"/>
      <c r="EG30580"/>
      <c r="EH30580"/>
      <c r="EI30580"/>
      <c r="EJ30580"/>
      <c r="EK30580"/>
    </row>
    <row r="30581" spans="1:141" s="116" customFormat="1">
      <c r="A30581" s="136"/>
      <c r="CM30581" s="111"/>
      <c r="CQ30581" s="111"/>
      <c r="EF30581"/>
      <c r="EG30581"/>
      <c r="EH30581"/>
      <c r="EI30581"/>
      <c r="EJ30581"/>
      <c r="EK30581"/>
    </row>
    <row r="30582" spans="1:141" s="116" customFormat="1">
      <c r="A30582" s="136"/>
      <c r="CM30582" s="111"/>
      <c r="CQ30582" s="111"/>
      <c r="EF30582"/>
      <c r="EG30582"/>
      <c r="EH30582"/>
      <c r="EI30582"/>
      <c r="EJ30582"/>
      <c r="EK30582"/>
    </row>
    <row r="30583" spans="1:141" s="116" customFormat="1">
      <c r="A30583" s="136"/>
      <c r="CM30583" s="111"/>
      <c r="CQ30583" s="111"/>
      <c r="EF30583"/>
      <c r="EG30583"/>
      <c r="EH30583"/>
      <c r="EI30583"/>
      <c r="EJ30583"/>
      <c r="EK30583"/>
    </row>
    <row r="30584" spans="1:141" s="116" customFormat="1">
      <c r="A30584" s="136"/>
      <c r="CM30584" s="111"/>
      <c r="CQ30584" s="111"/>
      <c r="EF30584"/>
      <c r="EG30584"/>
      <c r="EH30584"/>
      <c r="EI30584"/>
      <c r="EJ30584"/>
      <c r="EK30584"/>
    </row>
    <row r="30585" spans="1:141" s="116" customFormat="1">
      <c r="A30585" s="136"/>
      <c r="CM30585" s="111"/>
      <c r="CQ30585" s="111"/>
      <c r="EF30585"/>
      <c r="EG30585"/>
      <c r="EH30585"/>
      <c r="EI30585"/>
      <c r="EJ30585"/>
      <c r="EK30585"/>
    </row>
    <row r="30586" spans="1:141" s="116" customFormat="1">
      <c r="A30586" s="136"/>
      <c r="CM30586" s="111"/>
      <c r="CQ30586" s="111"/>
      <c r="EF30586"/>
      <c r="EG30586"/>
      <c r="EH30586"/>
      <c r="EI30586"/>
      <c r="EJ30586"/>
      <c r="EK30586"/>
    </row>
    <row r="30587" spans="1:141" s="116" customFormat="1">
      <c r="A30587" s="136"/>
      <c r="CM30587" s="111"/>
      <c r="CQ30587" s="111"/>
      <c r="EF30587"/>
      <c r="EG30587"/>
      <c r="EH30587"/>
      <c r="EI30587"/>
      <c r="EJ30587"/>
      <c r="EK30587"/>
    </row>
    <row r="30588" spans="1:141" s="116" customFormat="1">
      <c r="A30588" s="136"/>
      <c r="CM30588" s="111"/>
      <c r="CQ30588" s="111"/>
      <c r="EF30588"/>
      <c r="EG30588"/>
      <c r="EH30588"/>
      <c r="EI30588"/>
      <c r="EJ30588"/>
      <c r="EK30588"/>
    </row>
    <row r="30589" spans="1:141" s="116" customFormat="1">
      <c r="A30589" s="136"/>
      <c r="CM30589" s="111"/>
      <c r="CQ30589" s="111"/>
      <c r="EF30589"/>
      <c r="EG30589"/>
      <c r="EH30589"/>
      <c r="EI30589"/>
      <c r="EJ30589"/>
      <c r="EK30589"/>
    </row>
    <row r="30590" spans="1:141" s="116" customFormat="1">
      <c r="A30590" s="136"/>
      <c r="CM30590" s="111"/>
      <c r="CQ30590" s="111"/>
      <c r="EF30590"/>
      <c r="EG30590"/>
      <c r="EH30590"/>
      <c r="EI30590"/>
      <c r="EJ30590"/>
      <c r="EK30590"/>
    </row>
    <row r="30591" spans="1:141" s="116" customFormat="1">
      <c r="A30591" s="136"/>
      <c r="CM30591" s="111"/>
      <c r="CQ30591" s="111"/>
      <c r="EF30591"/>
      <c r="EG30591"/>
      <c r="EH30591"/>
      <c r="EI30591"/>
      <c r="EJ30591"/>
      <c r="EK30591"/>
    </row>
    <row r="30592" spans="1:141" s="116" customFormat="1">
      <c r="A30592" s="136"/>
      <c r="CM30592" s="111"/>
      <c r="CQ30592" s="111"/>
      <c r="EF30592"/>
      <c r="EG30592"/>
      <c r="EH30592"/>
      <c r="EI30592"/>
      <c r="EJ30592"/>
      <c r="EK30592"/>
    </row>
    <row r="30593" spans="1:141" s="116" customFormat="1">
      <c r="A30593" s="136"/>
      <c r="CM30593" s="111"/>
      <c r="CQ30593" s="111"/>
      <c r="EF30593"/>
      <c r="EG30593"/>
      <c r="EH30593"/>
      <c r="EI30593"/>
      <c r="EJ30593"/>
      <c r="EK30593"/>
    </row>
    <row r="30594" spans="1:141" s="116" customFormat="1">
      <c r="A30594" s="136"/>
      <c r="CM30594" s="111"/>
      <c r="CQ30594" s="111"/>
      <c r="EF30594"/>
      <c r="EG30594"/>
      <c r="EH30594"/>
      <c r="EI30594"/>
      <c r="EJ30594"/>
      <c r="EK30594"/>
    </row>
    <row r="30595" spans="1:141" s="116" customFormat="1">
      <c r="A30595" s="136"/>
      <c r="CM30595" s="111"/>
      <c r="CQ30595" s="111"/>
      <c r="EF30595"/>
      <c r="EG30595"/>
      <c r="EH30595"/>
      <c r="EI30595"/>
      <c r="EJ30595"/>
      <c r="EK30595"/>
    </row>
    <row r="30596" spans="1:141" s="116" customFormat="1">
      <c r="A30596" s="136"/>
      <c r="CM30596" s="111"/>
      <c r="CQ30596" s="111"/>
      <c r="EF30596"/>
      <c r="EG30596"/>
      <c r="EH30596"/>
      <c r="EI30596"/>
      <c r="EJ30596"/>
      <c r="EK30596"/>
    </row>
    <row r="30597" spans="1:141" s="116" customFormat="1">
      <c r="A30597" s="136"/>
      <c r="CM30597" s="111"/>
      <c r="CQ30597" s="111"/>
      <c r="EF30597"/>
      <c r="EG30597"/>
      <c r="EH30597"/>
      <c r="EI30597"/>
      <c r="EJ30597"/>
      <c r="EK30597"/>
    </row>
    <row r="30598" spans="1:141" s="116" customFormat="1">
      <c r="A30598" s="136"/>
      <c r="CM30598" s="111"/>
      <c r="CQ30598" s="111"/>
      <c r="EF30598"/>
      <c r="EG30598"/>
      <c r="EH30598"/>
      <c r="EI30598"/>
      <c r="EJ30598"/>
      <c r="EK30598"/>
    </row>
    <row r="30599" spans="1:141" s="116" customFormat="1">
      <c r="A30599" s="136"/>
      <c r="CM30599" s="111"/>
      <c r="CQ30599" s="111"/>
      <c r="EF30599"/>
      <c r="EG30599"/>
      <c r="EH30599"/>
      <c r="EI30599"/>
      <c r="EJ30599"/>
      <c r="EK30599"/>
    </row>
    <row r="30600" spans="1:141" s="116" customFormat="1">
      <c r="A30600" s="136"/>
      <c r="CM30600" s="111"/>
      <c r="CQ30600" s="111"/>
      <c r="EF30600"/>
      <c r="EG30600"/>
      <c r="EH30600"/>
      <c r="EI30600"/>
      <c r="EJ30600"/>
      <c r="EK30600"/>
    </row>
    <row r="30601" spans="1:141" s="116" customFormat="1">
      <c r="A30601" s="136"/>
      <c r="CM30601" s="111"/>
      <c r="CQ30601" s="111"/>
      <c r="EF30601"/>
      <c r="EG30601"/>
      <c r="EH30601"/>
      <c r="EI30601"/>
      <c r="EJ30601"/>
      <c r="EK30601"/>
    </row>
    <row r="30602" spans="1:141" s="116" customFormat="1">
      <c r="A30602" s="136"/>
      <c r="CM30602" s="111"/>
      <c r="CQ30602" s="111"/>
      <c r="EF30602"/>
      <c r="EG30602"/>
      <c r="EH30602"/>
      <c r="EI30602"/>
      <c r="EJ30602"/>
      <c r="EK30602"/>
    </row>
    <row r="30603" spans="1:141" s="116" customFormat="1">
      <c r="A30603" s="136"/>
      <c r="CM30603" s="111"/>
      <c r="CQ30603" s="111"/>
      <c r="EF30603"/>
      <c r="EG30603"/>
      <c r="EH30603"/>
      <c r="EI30603"/>
      <c r="EJ30603"/>
      <c r="EK30603"/>
    </row>
    <row r="30604" spans="1:141" s="116" customFormat="1">
      <c r="A30604" s="136"/>
      <c r="CM30604" s="111"/>
      <c r="CQ30604" s="111"/>
      <c r="EF30604"/>
      <c r="EG30604"/>
      <c r="EH30604"/>
      <c r="EI30604"/>
      <c r="EJ30604"/>
      <c r="EK30604"/>
    </row>
    <row r="30605" spans="1:141" s="116" customFormat="1">
      <c r="A30605" s="136"/>
      <c r="CM30605" s="111"/>
      <c r="CQ30605" s="111"/>
      <c r="EF30605"/>
      <c r="EG30605"/>
      <c r="EH30605"/>
      <c r="EI30605"/>
      <c r="EJ30605"/>
      <c r="EK30605"/>
    </row>
    <row r="30606" spans="1:141" s="116" customFormat="1">
      <c r="A30606" s="136"/>
      <c r="CM30606" s="111"/>
      <c r="CQ30606" s="111"/>
      <c r="EF30606"/>
      <c r="EG30606"/>
      <c r="EH30606"/>
      <c r="EI30606"/>
      <c r="EJ30606"/>
      <c r="EK30606"/>
    </row>
    <row r="30607" spans="1:141" s="116" customFormat="1">
      <c r="A30607" s="136"/>
      <c r="CM30607" s="111"/>
      <c r="CQ30607" s="111"/>
      <c r="EF30607"/>
      <c r="EG30607"/>
      <c r="EH30607"/>
      <c r="EI30607"/>
      <c r="EJ30607"/>
      <c r="EK30607"/>
    </row>
    <row r="30608" spans="1:141" s="116" customFormat="1">
      <c r="A30608" s="136"/>
      <c r="CM30608" s="111"/>
      <c r="CQ30608" s="111"/>
      <c r="EF30608"/>
      <c r="EG30608"/>
      <c r="EH30608"/>
      <c r="EI30608"/>
      <c r="EJ30608"/>
      <c r="EK30608"/>
    </row>
    <row r="30609" spans="1:141" s="116" customFormat="1">
      <c r="A30609" s="136"/>
      <c r="CM30609" s="111"/>
      <c r="CQ30609" s="111"/>
      <c r="EF30609"/>
      <c r="EG30609"/>
      <c r="EH30609"/>
      <c r="EI30609"/>
      <c r="EJ30609"/>
      <c r="EK30609"/>
    </row>
    <row r="30610" spans="1:141" s="116" customFormat="1">
      <c r="A30610" s="136"/>
      <c r="CM30610" s="111"/>
      <c r="CQ30610" s="111"/>
      <c r="EF30610"/>
      <c r="EG30610"/>
      <c r="EH30610"/>
      <c r="EI30610"/>
      <c r="EJ30610"/>
      <c r="EK30610"/>
    </row>
    <row r="30611" spans="1:141" s="116" customFormat="1">
      <c r="A30611" s="136"/>
      <c r="CM30611" s="111"/>
      <c r="CQ30611" s="111"/>
      <c r="EF30611"/>
      <c r="EG30611"/>
      <c r="EH30611"/>
      <c r="EI30611"/>
      <c r="EJ30611"/>
      <c r="EK30611"/>
    </row>
    <row r="30612" spans="1:141" s="116" customFormat="1">
      <c r="A30612" s="136"/>
      <c r="CM30612" s="111"/>
      <c r="CQ30612" s="111"/>
      <c r="EF30612"/>
      <c r="EG30612"/>
      <c r="EH30612"/>
      <c r="EI30612"/>
      <c r="EJ30612"/>
      <c r="EK30612"/>
    </row>
    <row r="30613" spans="1:141" s="116" customFormat="1">
      <c r="A30613" s="136"/>
      <c r="CM30613" s="111"/>
      <c r="CQ30613" s="111"/>
      <c r="EF30613"/>
      <c r="EG30613"/>
      <c r="EH30613"/>
      <c r="EI30613"/>
      <c r="EJ30613"/>
      <c r="EK30613"/>
    </row>
    <row r="30614" spans="1:141" s="116" customFormat="1">
      <c r="A30614" s="136"/>
      <c r="CM30614" s="111"/>
      <c r="CQ30614" s="111"/>
      <c r="EF30614"/>
      <c r="EG30614"/>
      <c r="EH30614"/>
      <c r="EI30614"/>
      <c r="EJ30614"/>
      <c r="EK30614"/>
    </row>
    <row r="30615" spans="1:141" s="116" customFormat="1">
      <c r="A30615" s="136"/>
      <c r="CM30615" s="111"/>
      <c r="CQ30615" s="111"/>
      <c r="EF30615"/>
      <c r="EG30615"/>
      <c r="EH30615"/>
      <c r="EI30615"/>
      <c r="EJ30615"/>
      <c r="EK30615"/>
    </row>
    <row r="30616" spans="1:141" s="116" customFormat="1">
      <c r="A30616" s="136"/>
      <c r="CM30616" s="111"/>
      <c r="CQ30616" s="111"/>
      <c r="EF30616"/>
      <c r="EG30616"/>
      <c r="EH30616"/>
      <c r="EI30616"/>
      <c r="EJ30616"/>
      <c r="EK30616"/>
    </row>
    <row r="30617" spans="1:141" s="116" customFormat="1">
      <c r="A30617" s="136"/>
      <c r="CM30617" s="111"/>
      <c r="CQ30617" s="111"/>
      <c r="EF30617"/>
      <c r="EG30617"/>
      <c r="EH30617"/>
      <c r="EI30617"/>
      <c r="EJ30617"/>
      <c r="EK30617"/>
    </row>
    <row r="30618" spans="1:141" s="116" customFormat="1">
      <c r="A30618" s="136"/>
      <c r="CM30618" s="111"/>
      <c r="CQ30618" s="111"/>
      <c r="EF30618"/>
      <c r="EG30618"/>
      <c r="EH30618"/>
      <c r="EI30618"/>
      <c r="EJ30618"/>
      <c r="EK30618"/>
    </row>
    <row r="30619" spans="1:141" s="116" customFormat="1">
      <c r="A30619" s="136"/>
      <c r="CM30619" s="111"/>
      <c r="CQ30619" s="111"/>
      <c r="EF30619"/>
      <c r="EG30619"/>
      <c r="EH30619"/>
      <c r="EI30619"/>
      <c r="EJ30619"/>
      <c r="EK30619"/>
    </row>
    <row r="30620" spans="1:141" s="116" customFormat="1">
      <c r="A30620" s="136"/>
      <c r="CM30620" s="111"/>
      <c r="CQ30620" s="111"/>
      <c r="EF30620"/>
      <c r="EG30620"/>
      <c r="EH30620"/>
      <c r="EI30620"/>
      <c r="EJ30620"/>
      <c r="EK30620"/>
    </row>
    <row r="30621" spans="1:141" s="116" customFormat="1">
      <c r="A30621" s="136"/>
      <c r="CM30621" s="111"/>
      <c r="CQ30621" s="111"/>
      <c r="EF30621"/>
      <c r="EG30621"/>
      <c r="EH30621"/>
      <c r="EI30621"/>
      <c r="EJ30621"/>
      <c r="EK30621"/>
    </row>
    <row r="30622" spans="1:141" s="116" customFormat="1">
      <c r="A30622" s="136"/>
      <c r="CM30622" s="111"/>
      <c r="CQ30622" s="111"/>
      <c r="EF30622"/>
      <c r="EG30622"/>
      <c r="EH30622"/>
      <c r="EI30622"/>
      <c r="EJ30622"/>
      <c r="EK30622"/>
    </row>
    <row r="30623" spans="1:141" s="116" customFormat="1">
      <c r="A30623" s="136"/>
      <c r="CM30623" s="111"/>
      <c r="CQ30623" s="111"/>
      <c r="EF30623"/>
      <c r="EG30623"/>
      <c r="EH30623"/>
      <c r="EI30623"/>
      <c r="EJ30623"/>
      <c r="EK30623"/>
    </row>
    <row r="30624" spans="1:141" s="116" customFormat="1">
      <c r="A30624" s="136"/>
      <c r="CM30624" s="111"/>
      <c r="CQ30624" s="111"/>
      <c r="EF30624"/>
      <c r="EG30624"/>
      <c r="EH30624"/>
      <c r="EI30624"/>
      <c r="EJ30624"/>
      <c r="EK30624"/>
    </row>
    <row r="30625" spans="1:141" s="116" customFormat="1">
      <c r="A30625" s="136"/>
      <c r="CM30625" s="111"/>
      <c r="CQ30625" s="111"/>
      <c r="EF30625"/>
      <c r="EG30625"/>
      <c r="EH30625"/>
      <c r="EI30625"/>
      <c r="EJ30625"/>
      <c r="EK30625"/>
    </row>
    <row r="30626" spans="1:141" s="116" customFormat="1">
      <c r="A30626" s="136"/>
      <c r="CM30626" s="111"/>
      <c r="CQ30626" s="111"/>
      <c r="EF30626"/>
      <c r="EG30626"/>
      <c r="EH30626"/>
      <c r="EI30626"/>
      <c r="EJ30626"/>
      <c r="EK30626"/>
    </row>
    <row r="30627" spans="1:141" s="116" customFormat="1">
      <c r="A30627" s="136"/>
      <c r="CM30627" s="111"/>
      <c r="CQ30627" s="111"/>
      <c r="EF30627"/>
      <c r="EG30627"/>
      <c r="EH30627"/>
      <c r="EI30627"/>
      <c r="EJ30627"/>
      <c r="EK30627"/>
    </row>
    <row r="30628" spans="1:141" s="116" customFormat="1">
      <c r="A30628" s="136"/>
      <c r="CM30628" s="111"/>
      <c r="CQ30628" s="111"/>
      <c r="EF30628"/>
      <c r="EG30628"/>
      <c r="EH30628"/>
      <c r="EI30628"/>
      <c r="EJ30628"/>
      <c r="EK30628"/>
    </row>
    <row r="30629" spans="1:141" s="116" customFormat="1">
      <c r="A30629" s="136"/>
      <c r="CM30629" s="111"/>
      <c r="CQ30629" s="111"/>
      <c r="EF30629"/>
      <c r="EG30629"/>
      <c r="EH30629"/>
      <c r="EI30629"/>
      <c r="EJ30629"/>
      <c r="EK30629"/>
    </row>
    <row r="30630" spans="1:141" s="116" customFormat="1">
      <c r="A30630" s="136"/>
      <c r="CM30630" s="111"/>
      <c r="CQ30630" s="111"/>
      <c r="EF30630"/>
      <c r="EG30630"/>
      <c r="EH30630"/>
      <c r="EI30630"/>
      <c r="EJ30630"/>
      <c r="EK30630"/>
    </row>
    <row r="30631" spans="1:141" s="116" customFormat="1">
      <c r="A30631" s="136"/>
      <c r="CM30631" s="111"/>
      <c r="CQ30631" s="111"/>
      <c r="EF30631"/>
      <c r="EG30631"/>
      <c r="EH30631"/>
      <c r="EI30631"/>
      <c r="EJ30631"/>
      <c r="EK30631"/>
    </row>
    <row r="30632" spans="1:141" s="116" customFormat="1">
      <c r="A30632" s="136"/>
      <c r="CM30632" s="111"/>
      <c r="CQ30632" s="111"/>
      <c r="EF30632"/>
      <c r="EG30632"/>
      <c r="EH30632"/>
      <c r="EI30632"/>
      <c r="EJ30632"/>
      <c r="EK30632"/>
    </row>
    <row r="30633" spans="1:141" s="116" customFormat="1">
      <c r="A30633" s="136"/>
      <c r="CM30633" s="111"/>
      <c r="CQ30633" s="111"/>
      <c r="EF30633"/>
      <c r="EG30633"/>
      <c r="EH30633"/>
      <c r="EI30633"/>
      <c r="EJ30633"/>
      <c r="EK30633"/>
    </row>
    <row r="30634" spans="1:141" s="116" customFormat="1">
      <c r="A30634" s="136"/>
      <c r="CM30634" s="111"/>
      <c r="CQ30634" s="111"/>
      <c r="EF30634"/>
      <c r="EG30634"/>
      <c r="EH30634"/>
      <c r="EI30634"/>
      <c r="EJ30634"/>
      <c r="EK30634"/>
    </row>
    <row r="30635" spans="1:141" s="116" customFormat="1">
      <c r="A30635" s="136"/>
      <c r="CM30635" s="111"/>
      <c r="CQ30635" s="111"/>
      <c r="EF30635"/>
      <c r="EG30635"/>
      <c r="EH30635"/>
      <c r="EI30635"/>
      <c r="EJ30635"/>
      <c r="EK30635"/>
    </row>
    <row r="30636" spans="1:141" s="116" customFormat="1">
      <c r="A30636" s="136"/>
      <c r="CM30636" s="111"/>
      <c r="CQ30636" s="111"/>
      <c r="EF30636"/>
      <c r="EG30636"/>
      <c r="EH30636"/>
      <c r="EI30636"/>
      <c r="EJ30636"/>
      <c r="EK30636"/>
    </row>
    <row r="30637" spans="1:141" s="116" customFormat="1">
      <c r="A30637" s="136"/>
      <c r="CM30637" s="111"/>
      <c r="CQ30637" s="111"/>
      <c r="EF30637"/>
      <c r="EG30637"/>
      <c r="EH30637"/>
      <c r="EI30637"/>
      <c r="EJ30637"/>
      <c r="EK30637"/>
    </row>
    <row r="30638" spans="1:141" s="116" customFormat="1">
      <c r="A30638" s="136"/>
      <c r="CM30638" s="111"/>
      <c r="CQ30638" s="111"/>
      <c r="EF30638"/>
      <c r="EG30638"/>
      <c r="EH30638"/>
      <c r="EI30638"/>
      <c r="EJ30638"/>
      <c r="EK30638"/>
    </row>
    <row r="30639" spans="1:141" s="116" customFormat="1">
      <c r="A30639" s="136"/>
      <c r="CM30639" s="111"/>
      <c r="CQ30639" s="111"/>
      <c r="EF30639"/>
      <c r="EG30639"/>
      <c r="EH30639"/>
      <c r="EI30639"/>
      <c r="EJ30639"/>
      <c r="EK30639"/>
    </row>
    <row r="30640" spans="1:141" s="116" customFormat="1">
      <c r="A30640" s="136"/>
      <c r="CM30640" s="111"/>
      <c r="CQ30640" s="111"/>
      <c r="EF30640"/>
      <c r="EG30640"/>
      <c r="EH30640"/>
      <c r="EI30640"/>
      <c r="EJ30640"/>
      <c r="EK30640"/>
    </row>
    <row r="30641" spans="1:141" s="116" customFormat="1">
      <c r="A30641" s="136"/>
      <c r="CM30641" s="111"/>
      <c r="CQ30641" s="111"/>
      <c r="EF30641"/>
      <c r="EG30641"/>
      <c r="EH30641"/>
      <c r="EI30641"/>
      <c r="EJ30641"/>
      <c r="EK30641"/>
    </row>
    <row r="30642" spans="1:141" s="116" customFormat="1">
      <c r="A30642" s="136"/>
      <c r="CM30642" s="111"/>
      <c r="CQ30642" s="111"/>
      <c r="EF30642"/>
      <c r="EG30642"/>
      <c r="EH30642"/>
      <c r="EI30642"/>
      <c r="EJ30642"/>
      <c r="EK30642"/>
    </row>
    <row r="30643" spans="1:141" s="116" customFormat="1">
      <c r="A30643" s="136"/>
      <c r="CM30643" s="111"/>
      <c r="CQ30643" s="111"/>
      <c r="EF30643"/>
      <c r="EG30643"/>
      <c r="EH30643"/>
      <c r="EI30643"/>
      <c r="EJ30643"/>
      <c r="EK30643"/>
    </row>
    <row r="30644" spans="1:141" s="116" customFormat="1">
      <c r="A30644" s="136"/>
      <c r="CM30644" s="111"/>
      <c r="CQ30644" s="111"/>
      <c r="EF30644"/>
      <c r="EG30644"/>
      <c r="EH30644"/>
      <c r="EI30644"/>
      <c r="EJ30644"/>
      <c r="EK30644"/>
    </row>
    <row r="30645" spans="1:141" s="116" customFormat="1">
      <c r="A30645" s="136"/>
      <c r="CM30645" s="111"/>
      <c r="CQ30645" s="111"/>
      <c r="EF30645"/>
      <c r="EG30645"/>
      <c r="EH30645"/>
      <c r="EI30645"/>
      <c r="EJ30645"/>
      <c r="EK30645"/>
    </row>
    <row r="30646" spans="1:141" s="116" customFormat="1">
      <c r="A30646" s="136"/>
      <c r="CM30646" s="111"/>
      <c r="CQ30646" s="111"/>
      <c r="EF30646"/>
      <c r="EG30646"/>
      <c r="EH30646"/>
      <c r="EI30646"/>
      <c r="EJ30646"/>
      <c r="EK30646"/>
    </row>
    <row r="30647" spans="1:141" s="116" customFormat="1">
      <c r="A30647" s="136"/>
      <c r="CM30647" s="111"/>
      <c r="CQ30647" s="111"/>
      <c r="EF30647"/>
      <c r="EG30647"/>
      <c r="EH30647"/>
      <c r="EI30647"/>
      <c r="EJ30647"/>
      <c r="EK30647"/>
    </row>
    <row r="30648" spans="1:141" s="116" customFormat="1">
      <c r="A30648" s="136"/>
      <c r="CM30648" s="111"/>
      <c r="CQ30648" s="111"/>
      <c r="EF30648"/>
      <c r="EG30648"/>
      <c r="EH30648"/>
      <c r="EI30648"/>
      <c r="EJ30648"/>
      <c r="EK30648"/>
    </row>
    <row r="30649" spans="1:141" s="116" customFormat="1">
      <c r="A30649" s="136"/>
      <c r="CM30649" s="111"/>
      <c r="CQ30649" s="111"/>
      <c r="EF30649"/>
      <c r="EG30649"/>
      <c r="EH30649"/>
      <c r="EI30649"/>
      <c r="EJ30649"/>
      <c r="EK30649"/>
    </row>
    <row r="30650" spans="1:141" s="116" customFormat="1">
      <c r="A30650" s="136"/>
      <c r="CM30650" s="111"/>
      <c r="CQ30650" s="111"/>
      <c r="EF30650"/>
      <c r="EG30650"/>
      <c r="EH30650"/>
      <c r="EI30650"/>
      <c r="EJ30650"/>
      <c r="EK30650"/>
    </row>
    <row r="30651" spans="1:141" s="116" customFormat="1">
      <c r="A30651" s="136"/>
      <c r="CM30651" s="111"/>
      <c r="CQ30651" s="111"/>
      <c r="EF30651"/>
      <c r="EG30651"/>
      <c r="EH30651"/>
      <c r="EI30651"/>
      <c r="EJ30651"/>
      <c r="EK30651"/>
    </row>
    <row r="30652" spans="1:141" s="116" customFormat="1">
      <c r="A30652" s="136"/>
      <c r="CM30652" s="111"/>
      <c r="CQ30652" s="111"/>
      <c r="EF30652"/>
      <c r="EG30652"/>
      <c r="EH30652"/>
      <c r="EI30652"/>
      <c r="EJ30652"/>
      <c r="EK30652"/>
    </row>
    <row r="30653" spans="1:141" s="116" customFormat="1">
      <c r="A30653" s="136"/>
      <c r="CM30653" s="111"/>
      <c r="CQ30653" s="111"/>
      <c r="EF30653"/>
      <c r="EG30653"/>
      <c r="EH30653"/>
      <c r="EI30653"/>
      <c r="EJ30653"/>
      <c r="EK30653"/>
    </row>
    <row r="30654" spans="1:141" s="116" customFormat="1">
      <c r="A30654" s="136"/>
      <c r="CM30654" s="111"/>
      <c r="CQ30654" s="111"/>
      <c r="EF30654"/>
      <c r="EG30654"/>
      <c r="EH30654"/>
      <c r="EI30654"/>
      <c r="EJ30654"/>
      <c r="EK30654"/>
    </row>
    <row r="30655" spans="1:141" s="116" customFormat="1">
      <c r="A30655" s="136"/>
      <c r="CM30655" s="111"/>
      <c r="CQ30655" s="111"/>
      <c r="EF30655"/>
      <c r="EG30655"/>
      <c r="EH30655"/>
      <c r="EI30655"/>
      <c r="EJ30655"/>
      <c r="EK30655"/>
    </row>
    <row r="30656" spans="1:141" s="116" customFormat="1">
      <c r="A30656" s="136"/>
      <c r="CM30656" s="111"/>
      <c r="CQ30656" s="111"/>
      <c r="EF30656"/>
      <c r="EG30656"/>
      <c r="EH30656"/>
      <c r="EI30656"/>
      <c r="EJ30656"/>
      <c r="EK30656"/>
    </row>
    <row r="30657" spans="1:141" s="116" customFormat="1">
      <c r="A30657" s="136"/>
      <c r="CM30657" s="111"/>
      <c r="CQ30657" s="111"/>
      <c r="EF30657"/>
      <c r="EG30657"/>
      <c r="EH30657"/>
      <c r="EI30657"/>
      <c r="EJ30657"/>
      <c r="EK30657"/>
    </row>
    <row r="30658" spans="1:141" s="116" customFormat="1">
      <c r="A30658" s="136"/>
      <c r="CM30658" s="111"/>
      <c r="CQ30658" s="111"/>
      <c r="EF30658"/>
      <c r="EG30658"/>
      <c r="EH30658"/>
      <c r="EI30658"/>
      <c r="EJ30658"/>
      <c r="EK30658"/>
    </row>
    <row r="30659" spans="1:141" s="116" customFormat="1">
      <c r="A30659" s="136"/>
      <c r="CM30659" s="111"/>
      <c r="CQ30659" s="111"/>
      <c r="EF30659"/>
      <c r="EG30659"/>
      <c r="EH30659"/>
      <c r="EI30659"/>
      <c r="EJ30659"/>
      <c r="EK30659"/>
    </row>
    <row r="30660" spans="1:141" s="116" customFormat="1">
      <c r="A30660" s="136"/>
      <c r="CM30660" s="111"/>
      <c r="CQ30660" s="111"/>
      <c r="EF30660"/>
      <c r="EG30660"/>
      <c r="EH30660"/>
      <c r="EI30660"/>
      <c r="EJ30660"/>
      <c r="EK30660"/>
    </row>
    <row r="30661" spans="1:141" s="116" customFormat="1">
      <c r="A30661" s="136"/>
      <c r="CM30661" s="111"/>
      <c r="CQ30661" s="111"/>
      <c r="EF30661"/>
      <c r="EG30661"/>
      <c r="EH30661"/>
      <c r="EI30661"/>
      <c r="EJ30661"/>
      <c r="EK30661"/>
    </row>
    <row r="30662" spans="1:141" s="116" customFormat="1">
      <c r="A30662" s="136"/>
      <c r="CM30662" s="111"/>
      <c r="CQ30662" s="111"/>
      <c r="EF30662"/>
      <c r="EG30662"/>
      <c r="EH30662"/>
      <c r="EI30662"/>
      <c r="EJ30662"/>
      <c r="EK30662"/>
    </row>
    <row r="30663" spans="1:141" s="116" customFormat="1">
      <c r="A30663" s="136"/>
      <c r="CM30663" s="111"/>
      <c r="CQ30663" s="111"/>
      <c r="EF30663"/>
      <c r="EG30663"/>
      <c r="EH30663"/>
      <c r="EI30663"/>
      <c r="EJ30663"/>
      <c r="EK30663"/>
    </row>
    <row r="30664" spans="1:141" s="116" customFormat="1">
      <c r="A30664" s="136"/>
      <c r="CM30664" s="111"/>
      <c r="CQ30664" s="111"/>
      <c r="EF30664"/>
      <c r="EG30664"/>
      <c r="EH30664"/>
      <c r="EI30664"/>
      <c r="EJ30664"/>
      <c r="EK30664"/>
    </row>
    <row r="30665" spans="1:141" s="116" customFormat="1">
      <c r="A30665" s="136"/>
      <c r="CM30665" s="111"/>
      <c r="CQ30665" s="111"/>
      <c r="EF30665"/>
      <c r="EG30665"/>
      <c r="EH30665"/>
      <c r="EI30665"/>
      <c r="EJ30665"/>
      <c r="EK30665"/>
    </row>
    <row r="30666" spans="1:141" s="116" customFormat="1">
      <c r="A30666" s="136"/>
      <c r="CM30666" s="111"/>
      <c r="CQ30666" s="111"/>
      <c r="EF30666"/>
      <c r="EG30666"/>
      <c r="EH30666"/>
      <c r="EI30666"/>
      <c r="EJ30666"/>
      <c r="EK30666"/>
    </row>
    <row r="30667" spans="1:141" s="116" customFormat="1">
      <c r="A30667" s="136"/>
      <c r="CM30667" s="111"/>
      <c r="CQ30667" s="111"/>
      <c r="EF30667"/>
      <c r="EG30667"/>
      <c r="EH30667"/>
      <c r="EI30667"/>
      <c r="EJ30667"/>
      <c r="EK30667"/>
    </row>
    <row r="30668" spans="1:141" s="116" customFormat="1">
      <c r="A30668" s="136"/>
      <c r="CM30668" s="111"/>
      <c r="CQ30668" s="111"/>
      <c r="EF30668"/>
      <c r="EG30668"/>
      <c r="EH30668"/>
      <c r="EI30668"/>
      <c r="EJ30668"/>
      <c r="EK30668"/>
    </row>
    <row r="30669" spans="1:141" s="116" customFormat="1">
      <c r="A30669" s="136"/>
      <c r="CM30669" s="111"/>
      <c r="CQ30669" s="111"/>
      <c r="EF30669"/>
      <c r="EG30669"/>
      <c r="EH30669"/>
      <c r="EI30669"/>
      <c r="EJ30669"/>
      <c r="EK30669"/>
    </row>
    <row r="30670" spans="1:141" s="116" customFormat="1">
      <c r="A30670" s="136"/>
      <c r="CM30670" s="111"/>
      <c r="CQ30670" s="111"/>
      <c r="EF30670"/>
      <c r="EG30670"/>
      <c r="EH30670"/>
      <c r="EI30670"/>
      <c r="EJ30670"/>
      <c r="EK30670"/>
    </row>
    <row r="30671" spans="1:141" s="116" customFormat="1">
      <c r="A30671" s="136"/>
      <c r="CM30671" s="111"/>
      <c r="CQ30671" s="111"/>
      <c r="EF30671"/>
      <c r="EG30671"/>
      <c r="EH30671"/>
      <c r="EI30671"/>
      <c r="EJ30671"/>
      <c r="EK30671"/>
    </row>
    <row r="30672" spans="1:141" s="116" customFormat="1">
      <c r="A30672" s="136"/>
      <c r="CM30672" s="111"/>
      <c r="CQ30672" s="111"/>
      <c r="EF30672"/>
      <c r="EG30672"/>
      <c r="EH30672"/>
      <c r="EI30672"/>
      <c r="EJ30672"/>
      <c r="EK30672"/>
    </row>
    <row r="30673" spans="1:141" s="116" customFormat="1">
      <c r="A30673" s="136"/>
      <c r="CM30673" s="111"/>
      <c r="CQ30673" s="111"/>
      <c r="EF30673"/>
      <c r="EG30673"/>
      <c r="EH30673"/>
      <c r="EI30673"/>
      <c r="EJ30673"/>
      <c r="EK30673"/>
    </row>
    <row r="30674" spans="1:141" s="116" customFormat="1">
      <c r="A30674" s="136"/>
      <c r="CM30674" s="111"/>
      <c r="CQ30674" s="111"/>
      <c r="EF30674"/>
      <c r="EG30674"/>
      <c r="EH30674"/>
      <c r="EI30674"/>
      <c r="EJ30674"/>
      <c r="EK30674"/>
    </row>
    <row r="30675" spans="1:141" s="116" customFormat="1">
      <c r="A30675" s="136"/>
      <c r="CM30675" s="111"/>
      <c r="CQ30675" s="111"/>
      <c r="EF30675"/>
      <c r="EG30675"/>
      <c r="EH30675"/>
      <c r="EI30675"/>
      <c r="EJ30675"/>
      <c r="EK30675"/>
    </row>
    <row r="30676" spans="1:141" s="116" customFormat="1">
      <c r="A30676" s="136"/>
      <c r="CM30676" s="111"/>
      <c r="CQ30676" s="111"/>
      <c r="EF30676"/>
      <c r="EG30676"/>
      <c r="EH30676"/>
      <c r="EI30676"/>
      <c r="EJ30676"/>
      <c r="EK30676"/>
    </row>
    <row r="30677" spans="1:141" s="116" customFormat="1">
      <c r="A30677" s="136"/>
      <c r="CM30677" s="111"/>
      <c r="CQ30677" s="111"/>
      <c r="EF30677"/>
      <c r="EG30677"/>
      <c r="EH30677"/>
      <c r="EI30677"/>
      <c r="EJ30677"/>
      <c r="EK30677"/>
    </row>
    <row r="30678" spans="1:141" s="116" customFormat="1">
      <c r="A30678" s="136"/>
      <c r="CM30678" s="111"/>
      <c r="CQ30678" s="111"/>
      <c r="EF30678"/>
      <c r="EG30678"/>
      <c r="EH30678"/>
      <c r="EI30678"/>
      <c r="EJ30678"/>
      <c r="EK30678"/>
    </row>
    <row r="30679" spans="1:141" s="116" customFormat="1">
      <c r="A30679" s="136"/>
      <c r="CM30679" s="111"/>
      <c r="CQ30679" s="111"/>
      <c r="EF30679"/>
      <c r="EG30679"/>
      <c r="EH30679"/>
      <c r="EI30679"/>
      <c r="EJ30679"/>
      <c r="EK30679"/>
    </row>
    <row r="30680" spans="1:141" s="116" customFormat="1">
      <c r="A30680" s="136"/>
      <c r="CM30680" s="111"/>
      <c r="CQ30680" s="111"/>
      <c r="EF30680"/>
      <c r="EG30680"/>
      <c r="EH30680"/>
      <c r="EI30680"/>
      <c r="EJ30680"/>
      <c r="EK30680"/>
    </row>
    <row r="30681" spans="1:141" s="116" customFormat="1">
      <c r="A30681" s="136"/>
      <c r="CM30681" s="111"/>
      <c r="CQ30681" s="111"/>
      <c r="EF30681"/>
      <c r="EG30681"/>
      <c r="EH30681"/>
      <c r="EI30681"/>
      <c r="EJ30681"/>
      <c r="EK30681"/>
    </row>
    <row r="30682" spans="1:141" s="116" customFormat="1">
      <c r="A30682" s="136"/>
      <c r="CM30682" s="111"/>
      <c r="CQ30682" s="111"/>
      <c r="EF30682"/>
      <c r="EG30682"/>
      <c r="EH30682"/>
      <c r="EI30682"/>
      <c r="EJ30682"/>
      <c r="EK30682"/>
    </row>
    <row r="30683" spans="1:141" s="116" customFormat="1">
      <c r="A30683" s="136"/>
      <c r="CM30683" s="111"/>
      <c r="CQ30683" s="111"/>
      <c r="EF30683"/>
      <c r="EG30683"/>
      <c r="EH30683"/>
      <c r="EI30683"/>
      <c r="EJ30683"/>
      <c r="EK30683"/>
    </row>
    <row r="30684" spans="1:141" s="116" customFormat="1">
      <c r="A30684" s="136"/>
      <c r="CM30684" s="111"/>
      <c r="CQ30684" s="111"/>
      <c r="EF30684"/>
      <c r="EG30684"/>
      <c r="EH30684"/>
      <c r="EI30684"/>
      <c r="EJ30684"/>
      <c r="EK30684"/>
    </row>
    <row r="30685" spans="1:141" s="116" customFormat="1">
      <c r="A30685" s="136"/>
      <c r="CM30685" s="111"/>
      <c r="CQ30685" s="111"/>
      <c r="EF30685"/>
      <c r="EG30685"/>
      <c r="EH30685"/>
      <c r="EI30685"/>
      <c r="EJ30685"/>
      <c r="EK30685"/>
    </row>
    <row r="30686" spans="1:141" s="116" customFormat="1">
      <c r="A30686" s="136"/>
      <c r="CM30686" s="111"/>
      <c r="CQ30686" s="111"/>
      <c r="EF30686"/>
      <c r="EG30686"/>
      <c r="EH30686"/>
      <c r="EI30686"/>
      <c r="EJ30686"/>
      <c r="EK30686"/>
    </row>
    <row r="30687" spans="1:141" s="116" customFormat="1">
      <c r="A30687" s="136"/>
      <c r="CM30687" s="111"/>
      <c r="CQ30687" s="111"/>
      <c r="EF30687"/>
      <c r="EG30687"/>
      <c r="EH30687"/>
      <c r="EI30687"/>
      <c r="EJ30687"/>
      <c r="EK30687"/>
    </row>
    <row r="30688" spans="1:141" s="116" customFormat="1">
      <c r="A30688" s="136"/>
      <c r="CM30688" s="111"/>
      <c r="CQ30688" s="111"/>
      <c r="EF30688"/>
      <c r="EG30688"/>
      <c r="EH30688"/>
      <c r="EI30688"/>
      <c r="EJ30688"/>
      <c r="EK30688"/>
    </row>
    <row r="30689" spans="1:141" s="116" customFormat="1">
      <c r="A30689" s="136"/>
      <c r="CM30689" s="111"/>
      <c r="CQ30689" s="111"/>
      <c r="EF30689"/>
      <c r="EG30689"/>
      <c r="EH30689"/>
      <c r="EI30689"/>
      <c r="EJ30689"/>
      <c r="EK30689"/>
    </row>
    <row r="30690" spans="1:141" s="116" customFormat="1">
      <c r="A30690" s="136"/>
      <c r="CM30690" s="111"/>
      <c r="CQ30690" s="111"/>
      <c r="EF30690"/>
      <c r="EG30690"/>
      <c r="EH30690"/>
      <c r="EI30690"/>
      <c r="EJ30690"/>
      <c r="EK30690"/>
    </row>
    <row r="30691" spans="1:141" s="116" customFormat="1">
      <c r="A30691" s="136"/>
      <c r="CM30691" s="111"/>
      <c r="CQ30691" s="111"/>
      <c r="EF30691"/>
      <c r="EG30691"/>
      <c r="EH30691"/>
      <c r="EI30691"/>
      <c r="EJ30691"/>
      <c r="EK30691"/>
    </row>
    <row r="30692" spans="1:141" s="116" customFormat="1">
      <c r="A30692" s="136"/>
      <c r="CM30692" s="111"/>
      <c r="CQ30692" s="111"/>
      <c r="EF30692"/>
      <c r="EG30692"/>
      <c r="EH30692"/>
      <c r="EI30692"/>
      <c r="EJ30692"/>
      <c r="EK30692"/>
    </row>
    <row r="30693" spans="1:141" s="116" customFormat="1">
      <c r="A30693" s="136"/>
      <c r="CM30693" s="111"/>
      <c r="CQ30693" s="111"/>
      <c r="EF30693"/>
      <c r="EG30693"/>
      <c r="EH30693"/>
      <c r="EI30693"/>
      <c r="EJ30693"/>
      <c r="EK30693"/>
    </row>
    <row r="30694" spans="1:141" s="116" customFormat="1">
      <c r="A30694" s="136"/>
      <c r="CM30694" s="111"/>
      <c r="CQ30694" s="111"/>
      <c r="EF30694"/>
      <c r="EG30694"/>
      <c r="EH30694"/>
      <c r="EI30694"/>
      <c r="EJ30694"/>
      <c r="EK30694"/>
    </row>
    <row r="30695" spans="1:141" s="116" customFormat="1">
      <c r="A30695" s="136"/>
      <c r="CM30695" s="111"/>
      <c r="CQ30695" s="111"/>
      <c r="EF30695"/>
      <c r="EG30695"/>
      <c r="EH30695"/>
      <c r="EI30695"/>
      <c r="EJ30695"/>
      <c r="EK30695"/>
    </row>
    <row r="30696" spans="1:141" s="116" customFormat="1">
      <c r="A30696" s="136"/>
      <c r="CM30696" s="111"/>
      <c r="CQ30696" s="111"/>
      <c r="EF30696"/>
      <c r="EG30696"/>
      <c r="EH30696"/>
      <c r="EI30696"/>
      <c r="EJ30696"/>
      <c r="EK30696"/>
    </row>
    <row r="30697" spans="1:141" s="116" customFormat="1">
      <c r="A30697" s="136"/>
      <c r="CM30697" s="111"/>
      <c r="CQ30697" s="111"/>
      <c r="EF30697"/>
      <c r="EG30697"/>
      <c r="EH30697"/>
      <c r="EI30697"/>
      <c r="EJ30697"/>
      <c r="EK30697"/>
    </row>
    <row r="30698" spans="1:141" s="116" customFormat="1">
      <c r="A30698" s="136"/>
      <c r="CM30698" s="111"/>
      <c r="CQ30698" s="111"/>
      <c r="EF30698"/>
      <c r="EG30698"/>
      <c r="EH30698"/>
      <c r="EI30698"/>
      <c r="EJ30698"/>
      <c r="EK30698"/>
    </row>
    <row r="30699" spans="1:141" s="116" customFormat="1">
      <c r="A30699" s="136"/>
      <c r="CM30699" s="111"/>
      <c r="CQ30699" s="111"/>
      <c r="EF30699"/>
      <c r="EG30699"/>
      <c r="EH30699"/>
      <c r="EI30699"/>
      <c r="EJ30699"/>
      <c r="EK30699"/>
    </row>
    <row r="30700" spans="1:141" s="116" customFormat="1">
      <c r="A30700" s="136"/>
      <c r="CM30700" s="111"/>
      <c r="CQ30700" s="111"/>
      <c r="EF30700"/>
      <c r="EG30700"/>
      <c r="EH30700"/>
      <c r="EI30700"/>
      <c r="EJ30700"/>
      <c r="EK30700"/>
    </row>
    <row r="30701" spans="1:141" s="116" customFormat="1">
      <c r="A30701" s="136"/>
      <c r="CM30701" s="111"/>
      <c r="CQ30701" s="111"/>
      <c r="EF30701"/>
      <c r="EG30701"/>
      <c r="EH30701"/>
      <c r="EI30701"/>
      <c r="EJ30701"/>
      <c r="EK30701"/>
    </row>
    <row r="30702" spans="1:141" s="116" customFormat="1">
      <c r="A30702" s="136"/>
      <c r="CM30702" s="111"/>
      <c r="CQ30702" s="111"/>
      <c r="EF30702"/>
      <c r="EG30702"/>
      <c r="EH30702"/>
      <c r="EI30702"/>
      <c r="EJ30702"/>
      <c r="EK30702"/>
    </row>
    <row r="30703" spans="1:141" s="116" customFormat="1">
      <c r="A30703" s="136"/>
      <c r="CM30703" s="111"/>
      <c r="CQ30703" s="111"/>
      <c r="EF30703"/>
      <c r="EG30703"/>
      <c r="EH30703"/>
      <c r="EI30703"/>
      <c r="EJ30703"/>
      <c r="EK30703"/>
    </row>
    <row r="30704" spans="1:141" s="116" customFormat="1">
      <c r="A30704" s="136"/>
      <c r="CM30704" s="111"/>
      <c r="CQ30704" s="111"/>
      <c r="EF30704"/>
      <c r="EG30704"/>
      <c r="EH30704"/>
      <c r="EI30704"/>
      <c r="EJ30704"/>
      <c r="EK30704"/>
    </row>
    <row r="30705" spans="1:141" s="116" customFormat="1">
      <c r="A30705" s="136"/>
      <c r="CM30705" s="111"/>
      <c r="CQ30705" s="111"/>
      <c r="EF30705"/>
      <c r="EG30705"/>
      <c r="EH30705"/>
      <c r="EI30705"/>
      <c r="EJ30705"/>
      <c r="EK30705"/>
    </row>
    <row r="30706" spans="1:141" s="116" customFormat="1">
      <c r="A30706" s="136"/>
      <c r="CM30706" s="111"/>
      <c r="CQ30706" s="111"/>
      <c r="EF30706"/>
      <c r="EG30706"/>
      <c r="EH30706"/>
      <c r="EI30706"/>
      <c r="EJ30706"/>
      <c r="EK30706"/>
    </row>
    <row r="30707" spans="1:141" s="116" customFormat="1">
      <c r="A30707" s="136"/>
      <c r="CM30707" s="111"/>
      <c r="CQ30707" s="111"/>
      <c r="EF30707"/>
      <c r="EG30707"/>
      <c r="EH30707"/>
      <c r="EI30707"/>
      <c r="EJ30707"/>
      <c r="EK30707"/>
    </row>
    <row r="30708" spans="1:141" s="116" customFormat="1">
      <c r="A30708" s="136"/>
      <c r="CM30708" s="111"/>
      <c r="CQ30708" s="111"/>
      <c r="EF30708"/>
      <c r="EG30708"/>
      <c r="EH30708"/>
      <c r="EI30708"/>
      <c r="EJ30708"/>
      <c r="EK30708"/>
    </row>
    <row r="30709" spans="1:141" s="116" customFormat="1">
      <c r="A30709" s="136"/>
      <c r="CM30709" s="111"/>
      <c r="CQ30709" s="111"/>
      <c r="EF30709"/>
      <c r="EG30709"/>
      <c r="EH30709"/>
      <c r="EI30709"/>
      <c r="EJ30709"/>
      <c r="EK30709"/>
    </row>
    <row r="30710" spans="1:141" s="116" customFormat="1">
      <c r="A30710" s="136"/>
      <c r="CM30710" s="111"/>
      <c r="CQ30710" s="111"/>
      <c r="EF30710"/>
      <c r="EG30710"/>
      <c r="EH30710"/>
      <c r="EI30710"/>
      <c r="EJ30710"/>
      <c r="EK30710"/>
    </row>
    <row r="30711" spans="1:141" s="116" customFormat="1">
      <c r="A30711" s="136"/>
      <c r="CM30711" s="111"/>
      <c r="CQ30711" s="111"/>
      <c r="EF30711"/>
      <c r="EG30711"/>
      <c r="EH30711"/>
      <c r="EI30711"/>
      <c r="EJ30711"/>
      <c r="EK30711"/>
    </row>
    <row r="30712" spans="1:141" s="116" customFormat="1">
      <c r="A30712" s="136"/>
      <c r="CM30712" s="111"/>
      <c r="CQ30712" s="111"/>
      <c r="EF30712"/>
      <c r="EG30712"/>
      <c r="EH30712"/>
      <c r="EI30712"/>
      <c r="EJ30712"/>
      <c r="EK30712"/>
    </row>
    <row r="30713" spans="1:141" s="116" customFormat="1">
      <c r="A30713" s="136"/>
      <c r="CM30713" s="111"/>
      <c r="CQ30713" s="111"/>
      <c r="EF30713"/>
      <c r="EG30713"/>
      <c r="EH30713"/>
      <c r="EI30713"/>
      <c r="EJ30713"/>
      <c r="EK30713"/>
    </row>
    <row r="30714" spans="1:141" s="116" customFormat="1">
      <c r="A30714" s="136"/>
      <c r="CM30714" s="111"/>
      <c r="CQ30714" s="111"/>
      <c r="EF30714"/>
      <c r="EG30714"/>
      <c r="EH30714"/>
      <c r="EI30714"/>
      <c r="EJ30714"/>
      <c r="EK30714"/>
    </row>
    <row r="30715" spans="1:141" s="116" customFormat="1">
      <c r="A30715" s="136"/>
      <c r="CM30715" s="111"/>
      <c r="CQ30715" s="111"/>
      <c r="EF30715"/>
      <c r="EG30715"/>
      <c r="EH30715"/>
      <c r="EI30715"/>
      <c r="EJ30715"/>
      <c r="EK30715"/>
    </row>
    <row r="30716" spans="1:141" s="116" customFormat="1">
      <c r="A30716" s="136"/>
      <c r="CM30716" s="111"/>
      <c r="CQ30716" s="111"/>
      <c r="EF30716"/>
      <c r="EG30716"/>
      <c r="EH30716"/>
      <c r="EI30716"/>
      <c r="EJ30716"/>
      <c r="EK30716"/>
    </row>
    <row r="30717" spans="1:141" s="116" customFormat="1">
      <c r="A30717" s="136"/>
      <c r="CM30717" s="111"/>
      <c r="CQ30717" s="111"/>
      <c r="EF30717"/>
      <c r="EG30717"/>
      <c r="EH30717"/>
      <c r="EI30717"/>
      <c r="EJ30717"/>
      <c r="EK30717"/>
    </row>
    <row r="30718" spans="1:141" s="116" customFormat="1">
      <c r="A30718" s="136"/>
      <c r="CM30718" s="111"/>
      <c r="CQ30718" s="111"/>
      <c r="EF30718"/>
      <c r="EG30718"/>
      <c r="EH30718"/>
      <c r="EI30718"/>
      <c r="EJ30718"/>
      <c r="EK30718"/>
    </row>
    <row r="30719" spans="1:141" s="116" customFormat="1">
      <c r="A30719" s="136"/>
      <c r="CM30719" s="111"/>
      <c r="CQ30719" s="111"/>
      <c r="EF30719"/>
      <c r="EG30719"/>
      <c r="EH30719"/>
      <c r="EI30719"/>
      <c r="EJ30719"/>
      <c r="EK30719"/>
    </row>
    <row r="30720" spans="1:141" s="116" customFormat="1">
      <c r="A30720" s="136"/>
      <c r="CM30720" s="111"/>
      <c r="CQ30720" s="111"/>
      <c r="EF30720"/>
      <c r="EG30720"/>
      <c r="EH30720"/>
      <c r="EI30720"/>
      <c r="EJ30720"/>
      <c r="EK30720"/>
    </row>
    <row r="30721" spans="1:141" s="116" customFormat="1">
      <c r="A30721" s="136"/>
      <c r="CM30721" s="111"/>
      <c r="CQ30721" s="111"/>
      <c r="EF30721"/>
      <c r="EG30721"/>
      <c r="EH30721"/>
      <c r="EI30721"/>
      <c r="EJ30721"/>
      <c r="EK30721"/>
    </row>
    <row r="30722" spans="1:141" s="116" customFormat="1">
      <c r="A30722" s="136"/>
      <c r="CM30722" s="111"/>
      <c r="CQ30722" s="111"/>
      <c r="EF30722"/>
      <c r="EG30722"/>
      <c r="EH30722"/>
      <c r="EI30722"/>
      <c r="EJ30722"/>
      <c r="EK30722"/>
    </row>
    <row r="30723" spans="1:141" s="116" customFormat="1">
      <c r="A30723" s="136"/>
      <c r="CM30723" s="111"/>
      <c r="CQ30723" s="111"/>
      <c r="EF30723"/>
      <c r="EG30723"/>
      <c r="EH30723"/>
      <c r="EI30723"/>
      <c r="EJ30723"/>
      <c r="EK30723"/>
    </row>
    <row r="30724" spans="1:141" s="116" customFormat="1">
      <c r="A30724" s="136"/>
      <c r="CM30724" s="111"/>
      <c r="CQ30724" s="111"/>
      <c r="EF30724"/>
      <c r="EG30724"/>
      <c r="EH30724"/>
      <c r="EI30724"/>
      <c r="EJ30724"/>
      <c r="EK30724"/>
    </row>
    <row r="30725" spans="1:141" s="116" customFormat="1">
      <c r="A30725" s="136"/>
      <c r="CM30725" s="111"/>
      <c r="CQ30725" s="111"/>
      <c r="EF30725"/>
      <c r="EG30725"/>
      <c r="EH30725"/>
      <c r="EI30725"/>
      <c r="EJ30725"/>
      <c r="EK30725"/>
    </row>
    <row r="30726" spans="1:141" s="116" customFormat="1">
      <c r="A30726" s="136"/>
      <c r="CM30726" s="111"/>
      <c r="CQ30726" s="111"/>
      <c r="EF30726"/>
      <c r="EG30726"/>
      <c r="EH30726"/>
      <c r="EI30726"/>
      <c r="EJ30726"/>
      <c r="EK30726"/>
    </row>
    <row r="30727" spans="1:141" s="116" customFormat="1">
      <c r="A30727" s="136"/>
      <c r="CM30727" s="111"/>
      <c r="CQ30727" s="111"/>
      <c r="EF30727"/>
      <c r="EG30727"/>
      <c r="EH30727"/>
      <c r="EI30727"/>
      <c r="EJ30727"/>
      <c r="EK30727"/>
    </row>
    <row r="30728" spans="1:141" s="116" customFormat="1">
      <c r="A30728" s="136"/>
      <c r="CM30728" s="111"/>
      <c r="CQ30728" s="111"/>
      <c r="EF30728"/>
      <c r="EG30728"/>
      <c r="EH30728"/>
      <c r="EI30728"/>
      <c r="EJ30728"/>
      <c r="EK30728"/>
    </row>
    <row r="30729" spans="1:141" s="116" customFormat="1">
      <c r="A30729" s="136"/>
      <c r="CM30729" s="111"/>
      <c r="CQ30729" s="111"/>
      <c r="EF30729"/>
      <c r="EG30729"/>
      <c r="EH30729"/>
      <c r="EI30729"/>
      <c r="EJ30729"/>
      <c r="EK30729"/>
    </row>
    <row r="30730" spans="1:141" s="116" customFormat="1">
      <c r="A30730" s="136"/>
      <c r="CM30730" s="111"/>
      <c r="CQ30730" s="111"/>
      <c r="EF30730"/>
      <c r="EG30730"/>
      <c r="EH30730"/>
      <c r="EI30730"/>
      <c r="EJ30730"/>
      <c r="EK30730"/>
    </row>
    <row r="30731" spans="1:141" s="116" customFormat="1">
      <c r="A30731" s="136"/>
      <c r="CM30731" s="111"/>
      <c r="CQ30731" s="111"/>
      <c r="EF30731"/>
      <c r="EG30731"/>
      <c r="EH30731"/>
      <c r="EI30731"/>
      <c r="EJ30731"/>
      <c r="EK30731"/>
    </row>
    <row r="30732" spans="1:141" s="116" customFormat="1">
      <c r="A30732" s="136"/>
      <c r="CM30732" s="111"/>
      <c r="CQ30732" s="111"/>
      <c r="EF30732"/>
      <c r="EG30732"/>
      <c r="EH30732"/>
      <c r="EI30732"/>
      <c r="EJ30732"/>
      <c r="EK30732"/>
    </row>
    <row r="30733" spans="1:141" s="116" customFormat="1">
      <c r="A30733" s="136"/>
      <c r="CM30733" s="111"/>
      <c r="CQ30733" s="111"/>
      <c r="EF30733"/>
      <c r="EG30733"/>
      <c r="EH30733"/>
      <c r="EI30733"/>
      <c r="EJ30733"/>
      <c r="EK30733"/>
    </row>
    <row r="30734" spans="1:141" s="116" customFormat="1">
      <c r="A30734" s="136"/>
      <c r="CM30734" s="111"/>
      <c r="CQ30734" s="111"/>
      <c r="EF30734"/>
      <c r="EG30734"/>
      <c r="EH30734"/>
      <c r="EI30734"/>
      <c r="EJ30734"/>
      <c r="EK30734"/>
    </row>
    <row r="30735" spans="1:141" s="116" customFormat="1">
      <c r="A30735" s="136"/>
      <c r="CM30735" s="111"/>
      <c r="CQ30735" s="111"/>
      <c r="EF30735"/>
      <c r="EG30735"/>
      <c r="EH30735"/>
      <c r="EI30735"/>
      <c r="EJ30735"/>
      <c r="EK30735"/>
    </row>
    <row r="30736" spans="1:141" s="116" customFormat="1">
      <c r="A30736" s="136"/>
      <c r="CM30736" s="111"/>
      <c r="CQ30736" s="111"/>
      <c r="EF30736"/>
      <c r="EG30736"/>
      <c r="EH30736"/>
      <c r="EI30736"/>
      <c r="EJ30736"/>
      <c r="EK30736"/>
    </row>
    <row r="30737" spans="1:141" s="116" customFormat="1">
      <c r="A30737" s="136"/>
      <c r="CM30737" s="111"/>
      <c r="CQ30737" s="111"/>
      <c r="EF30737"/>
      <c r="EG30737"/>
      <c r="EH30737"/>
      <c r="EI30737"/>
      <c r="EJ30737"/>
      <c r="EK30737"/>
    </row>
    <row r="30738" spans="1:141" s="116" customFormat="1">
      <c r="A30738" s="136"/>
      <c r="CM30738" s="111"/>
      <c r="CQ30738" s="111"/>
      <c r="EF30738"/>
      <c r="EG30738"/>
      <c r="EH30738"/>
      <c r="EI30738"/>
      <c r="EJ30738"/>
      <c r="EK30738"/>
    </row>
    <row r="30739" spans="1:141" s="116" customFormat="1">
      <c r="A30739" s="136"/>
      <c r="CM30739" s="111"/>
      <c r="CQ30739" s="111"/>
      <c r="EF30739"/>
      <c r="EG30739"/>
      <c r="EH30739"/>
      <c r="EI30739"/>
      <c r="EJ30739"/>
      <c r="EK30739"/>
    </row>
    <row r="30740" spans="1:141" s="116" customFormat="1">
      <c r="A30740" s="136"/>
      <c r="CM30740" s="111"/>
      <c r="CQ30740" s="111"/>
      <c r="EF30740"/>
      <c r="EG30740"/>
      <c r="EH30740"/>
      <c r="EI30740"/>
      <c r="EJ30740"/>
      <c r="EK30740"/>
    </row>
    <row r="30741" spans="1:141" s="116" customFormat="1">
      <c r="A30741" s="136"/>
      <c r="CM30741" s="111"/>
      <c r="CQ30741" s="111"/>
      <c r="EF30741"/>
      <c r="EG30741"/>
      <c r="EH30741"/>
      <c r="EI30741"/>
      <c r="EJ30741"/>
      <c r="EK30741"/>
    </row>
    <row r="30742" spans="1:141" s="116" customFormat="1">
      <c r="A30742" s="136"/>
      <c r="CM30742" s="111"/>
      <c r="CQ30742" s="111"/>
      <c r="EF30742"/>
      <c r="EG30742"/>
      <c r="EH30742"/>
      <c r="EI30742"/>
      <c r="EJ30742"/>
      <c r="EK30742"/>
    </row>
    <row r="30743" spans="1:141" s="116" customFormat="1">
      <c r="A30743" s="136"/>
      <c r="CM30743" s="111"/>
      <c r="CQ30743" s="111"/>
      <c r="EF30743"/>
      <c r="EG30743"/>
      <c r="EH30743"/>
      <c r="EI30743"/>
      <c r="EJ30743"/>
      <c r="EK30743"/>
    </row>
    <row r="30744" spans="1:141" s="116" customFormat="1">
      <c r="A30744" s="136"/>
      <c r="CM30744" s="111"/>
      <c r="CQ30744" s="111"/>
      <c r="EF30744"/>
      <c r="EG30744"/>
      <c r="EH30744"/>
      <c r="EI30744"/>
      <c r="EJ30744"/>
      <c r="EK30744"/>
    </row>
    <row r="30745" spans="1:141" s="116" customFormat="1">
      <c r="A30745" s="136"/>
      <c r="CM30745" s="111"/>
      <c r="CQ30745" s="111"/>
      <c r="EF30745"/>
      <c r="EG30745"/>
      <c r="EH30745"/>
      <c r="EI30745"/>
      <c r="EJ30745"/>
      <c r="EK30745"/>
    </row>
    <row r="30746" spans="1:141" s="116" customFormat="1">
      <c r="A30746" s="136"/>
      <c r="CM30746" s="111"/>
      <c r="CQ30746" s="111"/>
      <c r="EF30746"/>
      <c r="EG30746"/>
      <c r="EH30746"/>
      <c r="EI30746"/>
      <c r="EJ30746"/>
      <c r="EK30746"/>
    </row>
    <row r="30747" spans="1:141" s="116" customFormat="1">
      <c r="A30747" s="136"/>
      <c r="CM30747" s="111"/>
      <c r="CQ30747" s="111"/>
      <c r="EF30747"/>
      <c r="EG30747"/>
      <c r="EH30747"/>
      <c r="EI30747"/>
      <c r="EJ30747"/>
      <c r="EK30747"/>
    </row>
    <row r="30748" spans="1:141" s="116" customFormat="1">
      <c r="A30748" s="136"/>
      <c r="CM30748" s="111"/>
      <c r="CQ30748" s="111"/>
      <c r="EF30748"/>
      <c r="EG30748"/>
      <c r="EH30748"/>
      <c r="EI30748"/>
      <c r="EJ30748"/>
      <c r="EK30748"/>
    </row>
    <row r="30749" spans="1:141" s="116" customFormat="1">
      <c r="A30749" s="136"/>
      <c r="CM30749" s="111"/>
      <c r="CQ30749" s="111"/>
      <c r="EF30749"/>
      <c r="EG30749"/>
      <c r="EH30749"/>
      <c r="EI30749"/>
      <c r="EJ30749"/>
      <c r="EK30749"/>
    </row>
    <row r="30750" spans="1:141" s="116" customFormat="1">
      <c r="A30750" s="136"/>
      <c r="CM30750" s="111"/>
      <c r="CQ30750" s="111"/>
      <c r="EF30750"/>
      <c r="EG30750"/>
      <c r="EH30750"/>
      <c r="EI30750"/>
      <c r="EJ30750"/>
      <c r="EK30750"/>
    </row>
    <row r="30751" spans="1:141" s="116" customFormat="1">
      <c r="A30751" s="136"/>
      <c r="CM30751" s="111"/>
      <c r="CQ30751" s="111"/>
      <c r="EF30751"/>
      <c r="EG30751"/>
      <c r="EH30751"/>
      <c r="EI30751"/>
      <c r="EJ30751"/>
      <c r="EK30751"/>
    </row>
    <row r="30752" spans="1:141" s="116" customFormat="1">
      <c r="A30752" s="136"/>
      <c r="CM30752" s="111"/>
      <c r="CQ30752" s="111"/>
      <c r="EF30752"/>
      <c r="EG30752"/>
      <c r="EH30752"/>
      <c r="EI30752"/>
      <c r="EJ30752"/>
      <c r="EK30752"/>
    </row>
    <row r="30753" spans="1:141" s="116" customFormat="1">
      <c r="A30753" s="136"/>
      <c r="CM30753" s="111"/>
      <c r="CQ30753" s="111"/>
      <c r="EF30753"/>
      <c r="EG30753"/>
      <c r="EH30753"/>
      <c r="EI30753"/>
      <c r="EJ30753"/>
      <c r="EK30753"/>
    </row>
    <row r="30754" spans="1:141" s="116" customFormat="1">
      <c r="A30754" s="136"/>
      <c r="CM30754" s="111"/>
      <c r="CQ30754" s="111"/>
      <c r="EF30754"/>
      <c r="EG30754"/>
      <c r="EH30754"/>
      <c r="EI30754"/>
      <c r="EJ30754"/>
      <c r="EK30754"/>
    </row>
    <row r="30755" spans="1:141" s="116" customFormat="1">
      <c r="A30755" s="136"/>
      <c r="CM30755" s="111"/>
      <c r="CQ30755" s="111"/>
      <c r="EF30755"/>
      <c r="EG30755"/>
      <c r="EH30755"/>
      <c r="EI30755"/>
      <c r="EJ30755"/>
      <c r="EK30755"/>
    </row>
    <row r="30756" spans="1:141" s="116" customFormat="1">
      <c r="A30756" s="136"/>
      <c r="CM30756" s="111"/>
      <c r="CQ30756" s="111"/>
      <c r="EF30756"/>
      <c r="EG30756"/>
      <c r="EH30756"/>
      <c r="EI30756"/>
      <c r="EJ30756"/>
      <c r="EK30756"/>
    </row>
    <row r="30757" spans="1:141" s="116" customFormat="1">
      <c r="A30757" s="136"/>
      <c r="CM30757" s="111"/>
      <c r="CQ30757" s="111"/>
      <c r="EF30757"/>
      <c r="EG30757"/>
      <c r="EH30757"/>
      <c r="EI30757"/>
      <c r="EJ30757"/>
      <c r="EK30757"/>
    </row>
    <row r="30758" spans="1:141" s="116" customFormat="1">
      <c r="A30758" s="136"/>
      <c r="CM30758" s="111"/>
      <c r="CQ30758" s="111"/>
      <c r="EF30758"/>
      <c r="EG30758"/>
      <c r="EH30758"/>
      <c r="EI30758"/>
      <c r="EJ30758"/>
      <c r="EK30758"/>
    </row>
    <row r="30759" spans="1:141" s="116" customFormat="1">
      <c r="A30759" s="136"/>
      <c r="CM30759" s="111"/>
      <c r="CQ30759" s="111"/>
      <c r="EF30759"/>
      <c r="EG30759"/>
      <c r="EH30759"/>
      <c r="EI30759"/>
      <c r="EJ30759"/>
      <c r="EK30759"/>
    </row>
    <row r="30760" spans="1:141" s="116" customFormat="1">
      <c r="A30760" s="136"/>
      <c r="CM30760" s="111"/>
      <c r="CQ30760" s="111"/>
      <c r="EF30760"/>
      <c r="EG30760"/>
      <c r="EH30760"/>
      <c r="EI30760"/>
      <c r="EJ30760"/>
      <c r="EK30760"/>
    </row>
    <row r="30761" spans="1:141" s="116" customFormat="1">
      <c r="A30761" s="136"/>
      <c r="CM30761" s="111"/>
      <c r="CQ30761" s="111"/>
      <c r="EF30761"/>
      <c r="EG30761"/>
      <c r="EH30761"/>
      <c r="EI30761"/>
      <c r="EJ30761"/>
      <c r="EK30761"/>
    </row>
    <row r="30762" spans="1:141" s="116" customFormat="1">
      <c r="A30762" s="136"/>
      <c r="CM30762" s="111"/>
      <c r="CQ30762" s="111"/>
      <c r="EF30762"/>
      <c r="EG30762"/>
      <c r="EH30762"/>
      <c r="EI30762"/>
      <c r="EJ30762"/>
      <c r="EK30762"/>
    </row>
    <row r="30763" spans="1:141" s="116" customFormat="1">
      <c r="A30763" s="136"/>
      <c r="CM30763" s="111"/>
      <c r="CQ30763" s="111"/>
      <c r="EF30763"/>
      <c r="EG30763"/>
      <c r="EH30763"/>
      <c r="EI30763"/>
      <c r="EJ30763"/>
      <c r="EK30763"/>
    </row>
    <row r="30764" spans="1:141" s="116" customFormat="1">
      <c r="A30764" s="136"/>
      <c r="CM30764" s="111"/>
      <c r="CQ30764" s="111"/>
      <c r="EF30764"/>
      <c r="EG30764"/>
      <c r="EH30764"/>
      <c r="EI30764"/>
      <c r="EJ30764"/>
      <c r="EK30764"/>
    </row>
    <row r="30765" spans="1:141" s="116" customFormat="1">
      <c r="A30765" s="136"/>
      <c r="CM30765" s="111"/>
      <c r="CQ30765" s="111"/>
      <c r="EF30765"/>
      <c r="EG30765"/>
      <c r="EH30765"/>
      <c r="EI30765"/>
      <c r="EJ30765"/>
      <c r="EK30765"/>
    </row>
    <row r="30766" spans="1:141" s="116" customFormat="1">
      <c r="A30766" s="136"/>
      <c r="CM30766" s="111"/>
      <c r="CQ30766" s="111"/>
      <c r="EF30766"/>
      <c r="EG30766"/>
      <c r="EH30766"/>
      <c r="EI30766"/>
      <c r="EJ30766"/>
      <c r="EK30766"/>
    </row>
    <row r="30767" spans="1:141" s="116" customFormat="1">
      <c r="A30767" s="136"/>
      <c r="CM30767" s="111"/>
      <c r="CQ30767" s="111"/>
      <c r="EF30767"/>
      <c r="EG30767"/>
      <c r="EH30767"/>
      <c r="EI30767"/>
      <c r="EJ30767"/>
      <c r="EK30767"/>
    </row>
    <row r="30768" spans="1:141" s="116" customFormat="1">
      <c r="A30768" s="136"/>
      <c r="CM30768" s="111"/>
      <c r="CQ30768" s="111"/>
      <c r="EF30768"/>
      <c r="EG30768"/>
      <c r="EH30768"/>
      <c r="EI30768"/>
      <c r="EJ30768"/>
      <c r="EK30768"/>
    </row>
    <row r="30769" spans="1:141" s="116" customFormat="1">
      <c r="A30769" s="136"/>
      <c r="CM30769" s="111"/>
      <c r="CQ30769" s="111"/>
      <c r="EF30769"/>
      <c r="EG30769"/>
      <c r="EH30769"/>
      <c r="EI30769"/>
      <c r="EJ30769"/>
      <c r="EK30769"/>
    </row>
    <row r="30770" spans="1:141" s="116" customFormat="1">
      <c r="A30770" s="136"/>
      <c r="CM30770" s="111"/>
      <c r="CQ30770" s="111"/>
      <c r="EF30770"/>
      <c r="EG30770"/>
      <c r="EH30770"/>
      <c r="EI30770"/>
      <c r="EJ30770"/>
      <c r="EK30770"/>
    </row>
    <row r="30771" spans="1:141" s="116" customFormat="1">
      <c r="A30771" s="136"/>
      <c r="CM30771" s="111"/>
      <c r="CQ30771" s="111"/>
      <c r="EF30771"/>
      <c r="EG30771"/>
      <c r="EH30771"/>
      <c r="EI30771"/>
      <c r="EJ30771"/>
      <c r="EK30771"/>
    </row>
    <row r="30772" spans="1:141" s="116" customFormat="1">
      <c r="A30772" s="136"/>
      <c r="CM30772" s="111"/>
      <c r="CQ30772" s="111"/>
      <c r="EF30772"/>
      <c r="EG30772"/>
      <c r="EH30772"/>
      <c r="EI30772"/>
      <c r="EJ30772"/>
      <c r="EK30772"/>
    </row>
    <row r="30773" spans="1:141" s="116" customFormat="1">
      <c r="A30773" s="136"/>
      <c r="CM30773" s="111"/>
      <c r="CQ30773" s="111"/>
      <c r="EF30773"/>
      <c r="EG30773"/>
      <c r="EH30773"/>
      <c r="EI30773"/>
      <c r="EJ30773"/>
      <c r="EK30773"/>
    </row>
    <row r="30774" spans="1:141" s="116" customFormat="1">
      <c r="A30774" s="136"/>
      <c r="CM30774" s="111"/>
      <c r="CQ30774" s="111"/>
      <c r="EF30774"/>
      <c r="EG30774"/>
      <c r="EH30774"/>
      <c r="EI30774"/>
      <c r="EJ30774"/>
      <c r="EK30774"/>
    </row>
    <row r="30775" spans="1:141" s="116" customFormat="1">
      <c r="A30775" s="136"/>
      <c r="CM30775" s="111"/>
      <c r="CQ30775" s="111"/>
      <c r="EF30775"/>
      <c r="EG30775"/>
      <c r="EH30775"/>
      <c r="EI30775"/>
      <c r="EJ30775"/>
      <c r="EK30775"/>
    </row>
    <row r="30776" spans="1:141" s="116" customFormat="1">
      <c r="A30776" s="136"/>
      <c r="CM30776" s="111"/>
      <c r="CQ30776" s="111"/>
      <c r="EF30776"/>
      <c r="EG30776"/>
      <c r="EH30776"/>
      <c r="EI30776"/>
      <c r="EJ30776"/>
      <c r="EK30776"/>
    </row>
    <row r="30777" spans="1:141" s="116" customFormat="1">
      <c r="A30777" s="136"/>
      <c r="CM30777" s="111"/>
      <c r="CQ30777" s="111"/>
      <c r="EF30777"/>
      <c r="EG30777"/>
      <c r="EH30777"/>
      <c r="EI30777"/>
      <c r="EJ30777"/>
      <c r="EK30777"/>
    </row>
    <row r="30778" spans="1:141" s="116" customFormat="1">
      <c r="A30778" s="136"/>
      <c r="CM30778" s="111"/>
      <c r="CQ30778" s="111"/>
      <c r="EF30778"/>
      <c r="EG30778"/>
      <c r="EH30778"/>
      <c r="EI30778"/>
      <c r="EJ30778"/>
      <c r="EK30778"/>
    </row>
    <row r="30779" spans="1:141" s="116" customFormat="1">
      <c r="A30779" s="136"/>
      <c r="CM30779" s="111"/>
      <c r="CQ30779" s="111"/>
      <c r="EF30779"/>
      <c r="EG30779"/>
      <c r="EH30779"/>
      <c r="EI30779"/>
      <c r="EJ30779"/>
      <c r="EK30779"/>
    </row>
    <row r="30780" spans="1:141" s="116" customFormat="1">
      <c r="A30780" s="136"/>
      <c r="CM30780" s="111"/>
      <c r="CQ30780" s="111"/>
      <c r="EF30780"/>
      <c r="EG30780"/>
      <c r="EH30780"/>
      <c r="EI30780"/>
      <c r="EJ30780"/>
      <c r="EK30780"/>
    </row>
    <row r="30781" spans="1:141" s="116" customFormat="1">
      <c r="A30781" s="136"/>
      <c r="CM30781" s="111"/>
      <c r="CQ30781" s="111"/>
      <c r="EF30781"/>
      <c r="EG30781"/>
      <c r="EH30781"/>
      <c r="EI30781"/>
      <c r="EJ30781"/>
      <c r="EK30781"/>
    </row>
    <row r="30782" spans="1:141" s="116" customFormat="1">
      <c r="A30782" s="136"/>
      <c r="CM30782" s="111"/>
      <c r="CQ30782" s="111"/>
      <c r="EF30782"/>
      <c r="EG30782"/>
      <c r="EH30782"/>
      <c r="EI30782"/>
      <c r="EJ30782"/>
      <c r="EK30782"/>
    </row>
    <row r="30783" spans="1:141" s="116" customFormat="1">
      <c r="A30783" s="136"/>
      <c r="CM30783" s="111"/>
      <c r="CQ30783" s="111"/>
      <c r="EF30783"/>
      <c r="EG30783"/>
      <c r="EH30783"/>
      <c r="EI30783"/>
      <c r="EJ30783"/>
      <c r="EK30783"/>
    </row>
    <row r="30784" spans="1:141" s="116" customFormat="1">
      <c r="A30784" s="136"/>
      <c r="CM30784" s="111"/>
      <c r="CQ30784" s="111"/>
      <c r="EF30784"/>
      <c r="EG30784"/>
      <c r="EH30784"/>
      <c r="EI30784"/>
      <c r="EJ30784"/>
      <c r="EK30784"/>
    </row>
    <row r="30785" spans="1:141" s="116" customFormat="1">
      <c r="A30785" s="136"/>
      <c r="CM30785" s="111"/>
      <c r="CQ30785" s="111"/>
      <c r="EF30785"/>
      <c r="EG30785"/>
      <c r="EH30785"/>
      <c r="EI30785"/>
      <c r="EJ30785"/>
      <c r="EK30785"/>
    </row>
    <row r="30786" spans="1:141" s="116" customFormat="1">
      <c r="A30786" s="136"/>
      <c r="CM30786" s="111"/>
      <c r="CQ30786" s="111"/>
      <c r="EF30786"/>
      <c r="EG30786"/>
      <c r="EH30786"/>
      <c r="EI30786"/>
      <c r="EJ30786"/>
      <c r="EK30786"/>
    </row>
    <row r="30787" spans="1:141" s="116" customFormat="1">
      <c r="A30787" s="136"/>
      <c r="CM30787" s="111"/>
      <c r="CQ30787" s="111"/>
      <c r="EF30787"/>
      <c r="EG30787"/>
      <c r="EH30787"/>
      <c r="EI30787"/>
      <c r="EJ30787"/>
      <c r="EK30787"/>
    </row>
    <row r="30788" spans="1:141" s="116" customFormat="1">
      <c r="A30788" s="136"/>
      <c r="CM30788" s="111"/>
      <c r="CQ30788" s="111"/>
      <c r="EF30788"/>
      <c r="EG30788"/>
      <c r="EH30788"/>
      <c r="EI30788"/>
      <c r="EJ30788"/>
      <c r="EK30788"/>
    </row>
    <row r="30789" spans="1:141" s="116" customFormat="1">
      <c r="A30789" s="136"/>
      <c r="CM30789" s="111"/>
      <c r="CQ30789" s="111"/>
      <c r="EF30789"/>
      <c r="EG30789"/>
      <c r="EH30789"/>
      <c r="EI30789"/>
      <c r="EJ30789"/>
      <c r="EK30789"/>
    </row>
    <row r="30790" spans="1:141" s="116" customFormat="1">
      <c r="A30790" s="136"/>
      <c r="CM30790" s="111"/>
      <c r="CQ30790" s="111"/>
      <c r="EF30790"/>
      <c r="EG30790"/>
      <c r="EH30790"/>
      <c r="EI30790"/>
      <c r="EJ30790"/>
      <c r="EK30790"/>
    </row>
    <row r="30791" spans="1:141" s="116" customFormat="1">
      <c r="A30791" s="136"/>
      <c r="CM30791" s="111"/>
      <c r="CQ30791" s="111"/>
      <c r="EF30791"/>
      <c r="EG30791"/>
      <c r="EH30791"/>
      <c r="EI30791"/>
      <c r="EJ30791"/>
      <c r="EK30791"/>
    </row>
    <row r="30792" spans="1:141" s="116" customFormat="1">
      <c r="A30792" s="136"/>
      <c r="CM30792" s="111"/>
      <c r="CQ30792" s="111"/>
      <c r="EF30792"/>
      <c r="EG30792"/>
      <c r="EH30792"/>
      <c r="EI30792"/>
      <c r="EJ30792"/>
      <c r="EK30792"/>
    </row>
    <row r="30793" spans="1:141" s="116" customFormat="1">
      <c r="A30793" s="136"/>
      <c r="CM30793" s="111"/>
      <c r="CQ30793" s="111"/>
      <c r="EF30793"/>
      <c r="EG30793"/>
      <c r="EH30793"/>
      <c r="EI30793"/>
      <c r="EJ30793"/>
      <c r="EK30793"/>
    </row>
    <row r="30794" spans="1:141" s="116" customFormat="1">
      <c r="A30794" s="136"/>
      <c r="CM30794" s="111"/>
      <c r="CQ30794" s="111"/>
      <c r="EF30794"/>
      <c r="EG30794"/>
      <c r="EH30794"/>
      <c r="EI30794"/>
      <c r="EJ30794"/>
      <c r="EK30794"/>
    </row>
    <row r="30795" spans="1:141" s="116" customFormat="1">
      <c r="A30795" s="136"/>
      <c r="CM30795" s="111"/>
      <c r="CQ30795" s="111"/>
      <c r="EF30795"/>
      <c r="EG30795"/>
      <c r="EH30795"/>
      <c r="EI30795"/>
      <c r="EJ30795"/>
      <c r="EK30795"/>
    </row>
    <row r="30796" spans="1:141" s="116" customFormat="1">
      <c r="A30796" s="136"/>
      <c r="CM30796" s="111"/>
      <c r="CQ30796" s="111"/>
      <c r="EF30796"/>
      <c r="EG30796"/>
      <c r="EH30796"/>
      <c r="EI30796"/>
      <c r="EJ30796"/>
      <c r="EK30796"/>
    </row>
    <row r="30797" spans="1:141" s="116" customFormat="1">
      <c r="A30797" s="136"/>
      <c r="CM30797" s="111"/>
      <c r="CQ30797" s="111"/>
      <c r="EF30797"/>
      <c r="EG30797"/>
      <c r="EH30797"/>
      <c r="EI30797"/>
      <c r="EJ30797"/>
      <c r="EK30797"/>
    </row>
    <row r="30798" spans="1:141" s="116" customFormat="1">
      <c r="A30798" s="136"/>
      <c r="CM30798" s="111"/>
      <c r="CQ30798" s="111"/>
      <c r="EF30798"/>
      <c r="EG30798"/>
      <c r="EH30798"/>
      <c r="EI30798"/>
      <c r="EJ30798"/>
      <c r="EK30798"/>
    </row>
    <row r="30799" spans="1:141" s="116" customFormat="1">
      <c r="A30799" s="136"/>
      <c r="CM30799" s="111"/>
      <c r="CQ30799" s="111"/>
      <c r="EF30799"/>
      <c r="EG30799"/>
      <c r="EH30799"/>
      <c r="EI30799"/>
      <c r="EJ30799"/>
      <c r="EK30799"/>
    </row>
    <row r="30800" spans="1:141" s="116" customFormat="1">
      <c r="A30800" s="136"/>
      <c r="CM30800" s="111"/>
      <c r="CQ30800" s="111"/>
      <c r="EF30800"/>
      <c r="EG30800"/>
      <c r="EH30800"/>
      <c r="EI30800"/>
      <c r="EJ30800"/>
      <c r="EK30800"/>
    </row>
    <row r="30801" spans="1:141" s="116" customFormat="1">
      <c r="A30801" s="136"/>
      <c r="CM30801" s="111"/>
      <c r="CQ30801" s="111"/>
      <c r="EF30801"/>
      <c r="EG30801"/>
      <c r="EH30801"/>
      <c r="EI30801"/>
      <c r="EJ30801"/>
      <c r="EK30801"/>
    </row>
    <row r="30802" spans="1:141" s="116" customFormat="1">
      <c r="A30802" s="136"/>
      <c r="CM30802" s="111"/>
      <c r="CQ30802" s="111"/>
      <c r="EF30802"/>
      <c r="EG30802"/>
      <c r="EH30802"/>
      <c r="EI30802"/>
      <c r="EJ30802"/>
      <c r="EK30802"/>
    </row>
    <row r="30803" spans="1:141" s="116" customFormat="1">
      <c r="A30803" s="136"/>
      <c r="CM30803" s="111"/>
      <c r="CQ30803" s="111"/>
      <c r="EF30803"/>
      <c r="EG30803"/>
      <c r="EH30803"/>
      <c r="EI30803"/>
      <c r="EJ30803"/>
      <c r="EK30803"/>
    </row>
    <row r="30804" spans="1:141" s="116" customFormat="1">
      <c r="A30804" s="136"/>
      <c r="CM30804" s="111"/>
      <c r="CQ30804" s="111"/>
      <c r="EF30804"/>
      <c r="EG30804"/>
      <c r="EH30804"/>
      <c r="EI30804"/>
      <c r="EJ30804"/>
      <c r="EK30804"/>
    </row>
    <row r="30805" spans="1:141" s="116" customFormat="1">
      <c r="A30805" s="136"/>
      <c r="CM30805" s="111"/>
      <c r="CQ30805" s="111"/>
      <c r="EF30805"/>
      <c r="EG30805"/>
      <c r="EH30805"/>
      <c r="EI30805"/>
      <c r="EJ30805"/>
      <c r="EK30805"/>
    </row>
    <row r="30806" spans="1:141" s="116" customFormat="1">
      <c r="A30806" s="136"/>
      <c r="CM30806" s="111"/>
      <c r="CQ30806" s="111"/>
      <c r="EF30806"/>
      <c r="EG30806"/>
      <c r="EH30806"/>
      <c r="EI30806"/>
      <c r="EJ30806"/>
      <c r="EK30806"/>
    </row>
    <row r="30807" spans="1:141" s="116" customFormat="1">
      <c r="A30807" s="136"/>
      <c r="CM30807" s="111"/>
      <c r="CQ30807" s="111"/>
      <c r="EF30807"/>
      <c r="EG30807"/>
      <c r="EH30807"/>
      <c r="EI30807"/>
      <c r="EJ30807"/>
      <c r="EK30807"/>
    </row>
    <row r="30808" spans="1:141" s="116" customFormat="1">
      <c r="A30808" s="136"/>
      <c r="CM30808" s="111"/>
      <c r="CQ30808" s="111"/>
      <c r="EF30808"/>
      <c r="EG30808"/>
      <c r="EH30808"/>
      <c r="EI30808"/>
      <c r="EJ30808"/>
      <c r="EK30808"/>
    </row>
    <row r="30809" spans="1:141" s="116" customFormat="1">
      <c r="A30809" s="136"/>
      <c r="CM30809" s="111"/>
      <c r="CQ30809" s="111"/>
      <c r="EF30809"/>
      <c r="EG30809"/>
      <c r="EH30809"/>
      <c r="EI30809"/>
      <c r="EJ30809"/>
      <c r="EK30809"/>
    </row>
    <row r="30810" spans="1:141" s="116" customFormat="1">
      <c r="A30810" s="136"/>
      <c r="CM30810" s="111"/>
      <c r="CQ30810" s="111"/>
      <c r="EF30810"/>
      <c r="EG30810"/>
      <c r="EH30810"/>
      <c r="EI30810"/>
      <c r="EJ30810"/>
      <c r="EK30810"/>
    </row>
    <row r="30811" spans="1:141" s="116" customFormat="1">
      <c r="A30811" s="136"/>
      <c r="CM30811" s="111"/>
      <c r="CQ30811" s="111"/>
      <c r="EF30811"/>
      <c r="EG30811"/>
      <c r="EH30811"/>
      <c r="EI30811"/>
      <c r="EJ30811"/>
      <c r="EK30811"/>
    </row>
    <row r="30812" spans="1:141" s="116" customFormat="1">
      <c r="A30812" s="136"/>
      <c r="CM30812" s="111"/>
      <c r="CQ30812" s="111"/>
      <c r="EF30812"/>
      <c r="EG30812"/>
      <c r="EH30812"/>
      <c r="EI30812"/>
      <c r="EJ30812"/>
      <c r="EK30812"/>
    </row>
    <row r="30813" spans="1:141" s="116" customFormat="1">
      <c r="A30813" s="136"/>
      <c r="CM30813" s="111"/>
      <c r="CQ30813" s="111"/>
      <c r="EF30813"/>
      <c r="EG30813"/>
      <c r="EH30813"/>
      <c r="EI30813"/>
      <c r="EJ30813"/>
      <c r="EK30813"/>
    </row>
    <row r="30814" spans="1:141" s="116" customFormat="1">
      <c r="A30814" s="136"/>
      <c r="CM30814" s="111"/>
      <c r="CQ30814" s="111"/>
      <c r="EF30814"/>
      <c r="EG30814"/>
      <c r="EH30814"/>
      <c r="EI30814"/>
      <c r="EJ30814"/>
      <c r="EK30814"/>
    </row>
    <row r="30815" spans="1:141" s="116" customFormat="1">
      <c r="A30815" s="136"/>
      <c r="CM30815" s="111"/>
      <c r="CQ30815" s="111"/>
      <c r="EF30815"/>
      <c r="EG30815"/>
      <c r="EH30815"/>
      <c r="EI30815"/>
      <c r="EJ30815"/>
      <c r="EK30815"/>
    </row>
    <row r="30816" spans="1:141" s="116" customFormat="1">
      <c r="A30816" s="136"/>
      <c r="CM30816" s="111"/>
      <c r="CQ30816" s="111"/>
      <c r="EF30816"/>
      <c r="EG30816"/>
      <c r="EH30816"/>
      <c r="EI30816"/>
      <c r="EJ30816"/>
      <c r="EK30816"/>
    </row>
    <row r="30817" spans="1:141" s="116" customFormat="1">
      <c r="A30817" s="136"/>
      <c r="CM30817" s="111"/>
      <c r="CQ30817" s="111"/>
      <c r="EF30817"/>
      <c r="EG30817"/>
      <c r="EH30817"/>
      <c r="EI30817"/>
      <c r="EJ30817"/>
      <c r="EK30817"/>
    </row>
    <row r="30818" spans="1:141" s="116" customFormat="1">
      <c r="A30818" s="136"/>
      <c r="CM30818" s="111"/>
      <c r="CQ30818" s="111"/>
      <c r="EF30818"/>
      <c r="EG30818"/>
      <c r="EH30818"/>
      <c r="EI30818"/>
      <c r="EJ30818"/>
      <c r="EK30818"/>
    </row>
    <row r="30819" spans="1:141" s="116" customFormat="1">
      <c r="A30819" s="136"/>
      <c r="CM30819" s="111"/>
      <c r="CQ30819" s="111"/>
      <c r="EF30819"/>
      <c r="EG30819"/>
      <c r="EH30819"/>
      <c r="EI30819"/>
      <c r="EJ30819"/>
      <c r="EK30819"/>
    </row>
    <row r="30820" spans="1:141" s="116" customFormat="1">
      <c r="A30820" s="136"/>
      <c r="CM30820" s="111"/>
      <c r="CQ30820" s="111"/>
      <c r="EF30820"/>
      <c r="EG30820"/>
      <c r="EH30820"/>
      <c r="EI30820"/>
      <c r="EJ30820"/>
      <c r="EK30820"/>
    </row>
    <row r="30821" spans="1:141" s="116" customFormat="1">
      <c r="A30821" s="136"/>
      <c r="CM30821" s="111"/>
      <c r="CQ30821" s="111"/>
      <c r="EF30821"/>
      <c r="EG30821"/>
      <c r="EH30821"/>
      <c r="EI30821"/>
      <c r="EJ30821"/>
      <c r="EK30821"/>
    </row>
    <row r="30822" spans="1:141" s="116" customFormat="1">
      <c r="A30822" s="136"/>
      <c r="CM30822" s="111"/>
      <c r="CQ30822" s="111"/>
      <c r="EF30822"/>
      <c r="EG30822"/>
      <c r="EH30822"/>
      <c r="EI30822"/>
      <c r="EJ30822"/>
      <c r="EK30822"/>
    </row>
    <row r="30823" spans="1:141" s="116" customFormat="1">
      <c r="A30823" s="136"/>
      <c r="CM30823" s="111"/>
      <c r="CQ30823" s="111"/>
      <c r="EF30823"/>
      <c r="EG30823"/>
      <c r="EH30823"/>
      <c r="EI30823"/>
      <c r="EJ30823"/>
      <c r="EK30823"/>
    </row>
    <row r="30824" spans="1:141" s="116" customFormat="1">
      <c r="A30824" s="136"/>
      <c r="CM30824" s="111"/>
      <c r="CQ30824" s="111"/>
      <c r="EF30824"/>
      <c r="EG30824"/>
      <c r="EH30824"/>
      <c r="EI30824"/>
      <c r="EJ30824"/>
      <c r="EK30824"/>
    </row>
    <row r="30825" spans="1:141" s="116" customFormat="1">
      <c r="A30825" s="136"/>
      <c r="CM30825" s="111"/>
      <c r="CQ30825" s="111"/>
      <c r="EF30825"/>
      <c r="EG30825"/>
      <c r="EH30825"/>
      <c r="EI30825"/>
      <c r="EJ30825"/>
      <c r="EK30825"/>
    </row>
    <row r="30826" spans="1:141" s="116" customFormat="1">
      <c r="A30826" s="136"/>
      <c r="CM30826" s="111"/>
      <c r="CQ30826" s="111"/>
      <c r="EF30826"/>
      <c r="EG30826"/>
      <c r="EH30826"/>
      <c r="EI30826"/>
      <c r="EJ30826"/>
      <c r="EK30826"/>
    </row>
    <row r="30827" spans="1:141" s="116" customFormat="1">
      <c r="A30827" s="136"/>
      <c r="CM30827" s="111"/>
      <c r="CQ30827" s="111"/>
      <c r="EF30827"/>
      <c r="EG30827"/>
      <c r="EH30827"/>
      <c r="EI30827"/>
      <c r="EJ30827"/>
      <c r="EK30827"/>
    </row>
    <row r="30828" spans="1:141" s="116" customFormat="1">
      <c r="A30828" s="136"/>
      <c r="CM30828" s="111"/>
      <c r="CQ30828" s="111"/>
      <c r="EF30828"/>
      <c r="EG30828"/>
      <c r="EH30828"/>
      <c r="EI30828"/>
      <c r="EJ30828"/>
      <c r="EK30828"/>
    </row>
    <row r="30829" spans="1:141" s="116" customFormat="1">
      <c r="A30829" s="136"/>
      <c r="CM30829" s="111"/>
      <c r="CQ30829" s="111"/>
      <c r="EF30829"/>
      <c r="EG30829"/>
      <c r="EH30829"/>
      <c r="EI30829"/>
      <c r="EJ30829"/>
      <c r="EK30829"/>
    </row>
    <row r="30830" spans="1:141" s="116" customFormat="1">
      <c r="A30830" s="136"/>
      <c r="CM30830" s="111"/>
      <c r="CQ30830" s="111"/>
      <c r="EF30830"/>
      <c r="EG30830"/>
      <c r="EH30830"/>
      <c r="EI30830"/>
      <c r="EJ30830"/>
      <c r="EK30830"/>
    </row>
    <row r="30831" spans="1:141" s="116" customFormat="1">
      <c r="A30831" s="136"/>
      <c r="CM30831" s="111"/>
      <c r="CQ30831" s="111"/>
      <c r="EF30831"/>
      <c r="EG30831"/>
      <c r="EH30831"/>
      <c r="EI30831"/>
      <c r="EJ30831"/>
      <c r="EK30831"/>
    </row>
    <row r="30832" spans="1:141" s="116" customFormat="1">
      <c r="A30832" s="136"/>
      <c r="CM30832" s="111"/>
      <c r="CQ30832" s="111"/>
      <c r="EF30832"/>
      <c r="EG30832"/>
      <c r="EH30832"/>
      <c r="EI30832"/>
      <c r="EJ30832"/>
      <c r="EK30832"/>
    </row>
    <row r="30833" spans="1:141" s="116" customFormat="1">
      <c r="A30833" s="136"/>
      <c r="CM30833" s="111"/>
      <c r="CQ30833" s="111"/>
      <c r="EF30833"/>
      <c r="EG30833"/>
      <c r="EH30833"/>
      <c r="EI30833"/>
      <c r="EJ30833"/>
      <c r="EK30833"/>
    </row>
    <row r="30834" spans="1:141" s="116" customFormat="1">
      <c r="A30834" s="136"/>
      <c r="CM30834" s="111"/>
      <c r="CQ30834" s="111"/>
      <c r="EF30834"/>
      <c r="EG30834"/>
      <c r="EH30834"/>
      <c r="EI30834"/>
      <c r="EJ30834"/>
      <c r="EK30834"/>
    </row>
    <row r="30835" spans="1:141" s="116" customFormat="1">
      <c r="A30835" s="136"/>
      <c r="CM30835" s="111"/>
      <c r="CQ30835" s="111"/>
      <c r="EF30835"/>
      <c r="EG30835"/>
      <c r="EH30835"/>
      <c r="EI30835"/>
      <c r="EJ30835"/>
      <c r="EK30835"/>
    </row>
    <row r="30836" spans="1:141" s="116" customFormat="1">
      <c r="A30836" s="136"/>
      <c r="CM30836" s="111"/>
      <c r="CQ30836" s="111"/>
      <c r="EF30836"/>
      <c r="EG30836"/>
      <c r="EH30836"/>
      <c r="EI30836"/>
      <c r="EJ30836"/>
      <c r="EK30836"/>
    </row>
    <row r="30837" spans="1:141" s="116" customFormat="1">
      <c r="A30837" s="136"/>
      <c r="CM30837" s="111"/>
      <c r="CQ30837" s="111"/>
      <c r="EF30837"/>
      <c r="EG30837"/>
      <c r="EH30837"/>
      <c r="EI30837"/>
      <c r="EJ30837"/>
      <c r="EK30837"/>
    </row>
    <row r="30838" spans="1:141" s="116" customFormat="1">
      <c r="A30838" s="136"/>
      <c r="CM30838" s="111"/>
      <c r="CQ30838" s="111"/>
      <c r="EF30838"/>
      <c r="EG30838"/>
      <c r="EH30838"/>
      <c r="EI30838"/>
      <c r="EJ30838"/>
      <c r="EK30838"/>
    </row>
    <row r="30839" spans="1:141" s="116" customFormat="1">
      <c r="A30839" s="136"/>
      <c r="CM30839" s="111"/>
      <c r="CQ30839" s="111"/>
      <c r="EF30839"/>
      <c r="EG30839"/>
      <c r="EH30839"/>
      <c r="EI30839"/>
      <c r="EJ30839"/>
      <c r="EK30839"/>
    </row>
    <row r="30840" spans="1:141" s="116" customFormat="1">
      <c r="A30840" s="136"/>
      <c r="CM30840" s="111"/>
      <c r="CQ30840" s="111"/>
      <c r="EF30840"/>
      <c r="EG30840"/>
      <c r="EH30840"/>
      <c r="EI30840"/>
      <c r="EJ30840"/>
      <c r="EK30840"/>
    </row>
    <row r="30841" spans="1:141" s="116" customFormat="1">
      <c r="A30841" s="136"/>
      <c r="CM30841" s="111"/>
      <c r="CQ30841" s="111"/>
      <c r="EF30841"/>
      <c r="EG30841"/>
      <c r="EH30841"/>
      <c r="EI30841"/>
      <c r="EJ30841"/>
      <c r="EK30841"/>
    </row>
    <row r="30842" spans="1:141" s="116" customFormat="1">
      <c r="A30842" s="136"/>
      <c r="CM30842" s="111"/>
      <c r="CQ30842" s="111"/>
      <c r="EF30842"/>
      <c r="EG30842"/>
      <c r="EH30842"/>
      <c r="EI30842"/>
      <c r="EJ30842"/>
      <c r="EK30842"/>
    </row>
    <row r="30843" spans="1:141" s="116" customFormat="1">
      <c r="A30843" s="136"/>
      <c r="CM30843" s="111"/>
      <c r="CQ30843" s="111"/>
      <c r="EF30843"/>
      <c r="EG30843"/>
      <c r="EH30843"/>
      <c r="EI30843"/>
      <c r="EJ30843"/>
      <c r="EK30843"/>
    </row>
    <row r="30844" spans="1:141" s="116" customFormat="1">
      <c r="A30844" s="136"/>
      <c r="CM30844" s="111"/>
      <c r="CQ30844" s="111"/>
      <c r="EF30844"/>
      <c r="EG30844"/>
      <c r="EH30844"/>
      <c r="EI30844"/>
      <c r="EJ30844"/>
      <c r="EK30844"/>
    </row>
    <row r="30845" spans="1:141" s="116" customFormat="1">
      <c r="A30845" s="136"/>
      <c r="CM30845" s="111"/>
      <c r="CQ30845" s="111"/>
      <c r="EF30845"/>
      <c r="EG30845"/>
      <c r="EH30845"/>
      <c r="EI30845"/>
      <c r="EJ30845"/>
      <c r="EK30845"/>
    </row>
    <row r="30846" spans="1:141" s="116" customFormat="1">
      <c r="A30846" s="136"/>
      <c r="CM30846" s="111"/>
      <c r="CQ30846" s="111"/>
      <c r="EF30846"/>
      <c r="EG30846"/>
      <c r="EH30846"/>
      <c r="EI30846"/>
      <c r="EJ30846"/>
      <c r="EK30846"/>
    </row>
    <row r="30847" spans="1:141" s="116" customFormat="1">
      <c r="A30847" s="136"/>
      <c r="CM30847" s="111"/>
      <c r="CQ30847" s="111"/>
      <c r="EF30847"/>
      <c r="EG30847"/>
      <c r="EH30847"/>
      <c r="EI30847"/>
      <c r="EJ30847"/>
      <c r="EK30847"/>
    </row>
    <row r="30848" spans="1:141" s="116" customFormat="1">
      <c r="A30848" s="136"/>
      <c r="CM30848" s="111"/>
      <c r="CQ30848" s="111"/>
      <c r="EF30848"/>
      <c r="EG30848"/>
      <c r="EH30848"/>
      <c r="EI30848"/>
      <c r="EJ30848"/>
      <c r="EK30848"/>
    </row>
    <row r="30849" spans="1:141" s="116" customFormat="1">
      <c r="A30849" s="136"/>
      <c r="CM30849" s="111"/>
      <c r="CQ30849" s="111"/>
      <c r="EF30849"/>
      <c r="EG30849"/>
      <c r="EH30849"/>
      <c r="EI30849"/>
      <c r="EJ30849"/>
      <c r="EK30849"/>
    </row>
    <row r="30850" spans="1:141" s="116" customFormat="1">
      <c r="A30850" s="136"/>
      <c r="CM30850" s="111"/>
      <c r="CQ30850" s="111"/>
      <c r="EF30850"/>
      <c r="EG30850"/>
      <c r="EH30850"/>
      <c r="EI30850"/>
      <c r="EJ30850"/>
      <c r="EK30850"/>
    </row>
    <row r="30851" spans="1:141" s="116" customFormat="1">
      <c r="A30851" s="136"/>
      <c r="CM30851" s="111"/>
      <c r="CQ30851" s="111"/>
      <c r="EF30851"/>
      <c r="EG30851"/>
      <c r="EH30851"/>
      <c r="EI30851"/>
      <c r="EJ30851"/>
      <c r="EK30851"/>
    </row>
    <row r="30852" spans="1:141" s="116" customFormat="1">
      <c r="A30852" s="136"/>
      <c r="CM30852" s="111"/>
      <c r="CQ30852" s="111"/>
      <c r="EF30852"/>
      <c r="EG30852"/>
      <c r="EH30852"/>
      <c r="EI30852"/>
      <c r="EJ30852"/>
      <c r="EK30852"/>
    </row>
    <row r="30853" spans="1:141" s="116" customFormat="1">
      <c r="A30853" s="136"/>
      <c r="CM30853" s="111"/>
      <c r="CQ30853" s="111"/>
      <c r="EF30853"/>
      <c r="EG30853"/>
      <c r="EH30853"/>
      <c r="EI30853"/>
      <c r="EJ30853"/>
      <c r="EK30853"/>
    </row>
    <row r="30854" spans="1:141" s="116" customFormat="1">
      <c r="A30854" s="136"/>
      <c r="CM30854" s="111"/>
      <c r="CQ30854" s="111"/>
      <c r="EF30854"/>
      <c r="EG30854"/>
      <c r="EH30854"/>
      <c r="EI30854"/>
      <c r="EJ30854"/>
      <c r="EK30854"/>
    </row>
    <row r="30855" spans="1:141" s="116" customFormat="1">
      <c r="A30855" s="136"/>
      <c r="CM30855" s="111"/>
      <c r="CQ30855" s="111"/>
      <c r="EF30855"/>
      <c r="EG30855"/>
      <c r="EH30855"/>
      <c r="EI30855"/>
      <c r="EJ30855"/>
      <c r="EK30855"/>
    </row>
    <row r="30856" spans="1:141" s="116" customFormat="1">
      <c r="A30856" s="136"/>
      <c r="CM30856" s="111"/>
      <c r="CQ30856" s="111"/>
      <c r="EF30856"/>
      <c r="EG30856"/>
      <c r="EH30856"/>
      <c r="EI30856"/>
      <c r="EJ30856"/>
      <c r="EK30856"/>
    </row>
    <row r="30857" spans="1:141" s="116" customFormat="1">
      <c r="A30857" s="136"/>
      <c r="CM30857" s="111"/>
      <c r="CQ30857" s="111"/>
      <c r="EF30857"/>
      <c r="EG30857"/>
      <c r="EH30857"/>
      <c r="EI30857"/>
      <c r="EJ30857"/>
      <c r="EK30857"/>
    </row>
    <row r="30858" spans="1:141" s="116" customFormat="1">
      <c r="A30858" s="136"/>
      <c r="CM30858" s="111"/>
      <c r="CQ30858" s="111"/>
      <c r="EF30858"/>
      <c r="EG30858"/>
      <c r="EH30858"/>
      <c r="EI30858"/>
      <c r="EJ30858"/>
      <c r="EK30858"/>
    </row>
    <row r="30859" spans="1:141" s="116" customFormat="1">
      <c r="A30859" s="136"/>
      <c r="CM30859" s="111"/>
      <c r="CQ30859" s="111"/>
      <c r="EF30859"/>
      <c r="EG30859"/>
      <c r="EH30859"/>
      <c r="EI30859"/>
      <c r="EJ30859"/>
      <c r="EK30859"/>
    </row>
    <row r="30860" spans="1:141" s="116" customFormat="1">
      <c r="A30860" s="136"/>
      <c r="CM30860" s="111"/>
      <c r="CQ30860" s="111"/>
      <c r="EF30860"/>
      <c r="EG30860"/>
      <c r="EH30860"/>
      <c r="EI30860"/>
      <c r="EJ30860"/>
      <c r="EK30860"/>
    </row>
    <row r="30861" spans="1:141" s="116" customFormat="1">
      <c r="A30861" s="136"/>
      <c r="CM30861" s="111"/>
      <c r="CQ30861" s="111"/>
      <c r="EF30861"/>
      <c r="EG30861"/>
      <c r="EH30861"/>
      <c r="EI30861"/>
      <c r="EJ30861"/>
      <c r="EK30861"/>
    </row>
    <row r="30862" spans="1:141" s="116" customFormat="1">
      <c r="A30862" s="136"/>
      <c r="CM30862" s="111"/>
      <c r="CQ30862" s="111"/>
      <c r="EF30862"/>
      <c r="EG30862"/>
      <c r="EH30862"/>
      <c r="EI30862"/>
      <c r="EJ30862"/>
      <c r="EK30862"/>
    </row>
    <row r="30863" spans="1:141" s="116" customFormat="1">
      <c r="A30863" s="136"/>
      <c r="CM30863" s="111"/>
      <c r="CQ30863" s="111"/>
      <c r="EF30863"/>
      <c r="EG30863"/>
      <c r="EH30863"/>
      <c r="EI30863"/>
      <c r="EJ30863"/>
      <c r="EK30863"/>
    </row>
    <row r="30864" spans="1:141" s="116" customFormat="1">
      <c r="A30864" s="136"/>
      <c r="CM30864" s="111"/>
      <c r="CQ30864" s="111"/>
      <c r="EF30864"/>
      <c r="EG30864"/>
      <c r="EH30864"/>
      <c r="EI30864"/>
      <c r="EJ30864"/>
      <c r="EK30864"/>
    </row>
    <row r="30865" spans="1:141" s="116" customFormat="1">
      <c r="A30865" s="136"/>
      <c r="CM30865" s="111"/>
      <c r="CQ30865" s="111"/>
      <c r="EF30865"/>
      <c r="EG30865"/>
      <c r="EH30865"/>
      <c r="EI30865"/>
      <c r="EJ30865"/>
      <c r="EK30865"/>
    </row>
    <row r="30866" spans="1:141" s="116" customFormat="1">
      <c r="A30866" s="136"/>
      <c r="CM30866" s="111"/>
      <c r="CQ30866" s="111"/>
      <c r="EF30866"/>
      <c r="EG30866"/>
      <c r="EH30866"/>
      <c r="EI30866"/>
      <c r="EJ30866"/>
      <c r="EK30866"/>
    </row>
    <row r="30867" spans="1:141" s="116" customFormat="1">
      <c r="A30867" s="136"/>
      <c r="CM30867" s="111"/>
      <c r="CQ30867" s="111"/>
      <c r="EF30867"/>
      <c r="EG30867"/>
      <c r="EH30867"/>
      <c r="EI30867"/>
      <c r="EJ30867"/>
      <c r="EK30867"/>
    </row>
    <row r="30868" spans="1:141" s="116" customFormat="1">
      <c r="A30868" s="136"/>
      <c r="CM30868" s="111"/>
      <c r="CQ30868" s="111"/>
      <c r="EF30868"/>
      <c r="EG30868"/>
      <c r="EH30868"/>
      <c r="EI30868"/>
      <c r="EJ30868"/>
      <c r="EK30868"/>
    </row>
    <row r="30869" spans="1:141" s="116" customFormat="1">
      <c r="A30869" s="136"/>
      <c r="CM30869" s="111"/>
      <c r="CQ30869" s="111"/>
      <c r="EF30869"/>
      <c r="EG30869"/>
      <c r="EH30869"/>
      <c r="EI30869"/>
      <c r="EJ30869"/>
      <c r="EK30869"/>
    </row>
    <row r="30870" spans="1:141" s="116" customFormat="1">
      <c r="A30870" s="136"/>
      <c r="CM30870" s="111"/>
      <c r="CQ30870" s="111"/>
      <c r="EF30870"/>
      <c r="EG30870"/>
      <c r="EH30870"/>
      <c r="EI30870"/>
      <c r="EJ30870"/>
      <c r="EK30870"/>
    </row>
    <row r="30871" spans="1:141" s="116" customFormat="1">
      <c r="A30871" s="136"/>
      <c r="CM30871" s="111"/>
      <c r="CQ30871" s="111"/>
      <c r="EF30871"/>
      <c r="EG30871"/>
      <c r="EH30871"/>
      <c r="EI30871"/>
      <c r="EJ30871"/>
      <c r="EK30871"/>
    </row>
    <row r="30872" spans="1:141" s="116" customFormat="1">
      <c r="A30872" s="136"/>
      <c r="CM30872" s="111"/>
      <c r="CQ30872" s="111"/>
      <c r="EF30872"/>
      <c r="EG30872"/>
      <c r="EH30872"/>
      <c r="EI30872"/>
      <c r="EJ30872"/>
      <c r="EK30872"/>
    </row>
    <row r="30873" spans="1:141" s="116" customFormat="1">
      <c r="A30873" s="136"/>
      <c r="CM30873" s="111"/>
      <c r="CQ30873" s="111"/>
      <c r="EF30873"/>
      <c r="EG30873"/>
      <c r="EH30873"/>
      <c r="EI30873"/>
      <c r="EJ30873"/>
      <c r="EK30873"/>
    </row>
    <row r="30874" spans="1:141" s="116" customFormat="1">
      <c r="A30874" s="136"/>
      <c r="CM30874" s="111"/>
      <c r="CQ30874" s="111"/>
      <c r="EF30874"/>
      <c r="EG30874"/>
      <c r="EH30874"/>
      <c r="EI30874"/>
      <c r="EJ30874"/>
      <c r="EK30874"/>
    </row>
    <row r="30875" spans="1:141" s="116" customFormat="1">
      <c r="A30875" s="136"/>
      <c r="CM30875" s="111"/>
      <c r="CQ30875" s="111"/>
      <c r="EF30875"/>
      <c r="EG30875"/>
      <c r="EH30875"/>
      <c r="EI30875"/>
      <c r="EJ30875"/>
      <c r="EK30875"/>
    </row>
    <row r="30876" spans="1:141" s="116" customFormat="1">
      <c r="A30876" s="136"/>
      <c r="CM30876" s="111"/>
      <c r="CQ30876" s="111"/>
      <c r="EF30876"/>
      <c r="EG30876"/>
      <c r="EH30876"/>
      <c r="EI30876"/>
      <c r="EJ30876"/>
      <c r="EK30876"/>
    </row>
    <row r="30877" spans="1:141" s="116" customFormat="1">
      <c r="A30877" s="136"/>
      <c r="CM30877" s="111"/>
      <c r="CQ30877" s="111"/>
      <c r="EF30877"/>
      <c r="EG30877"/>
      <c r="EH30877"/>
      <c r="EI30877"/>
      <c r="EJ30877"/>
      <c r="EK30877"/>
    </row>
    <row r="30878" spans="1:141" s="116" customFormat="1">
      <c r="A30878" s="136"/>
      <c r="CM30878" s="111"/>
      <c r="CQ30878" s="111"/>
      <c r="EF30878"/>
      <c r="EG30878"/>
      <c r="EH30878"/>
      <c r="EI30878"/>
      <c r="EJ30878"/>
      <c r="EK30878"/>
    </row>
    <row r="30879" spans="1:141" s="116" customFormat="1">
      <c r="A30879" s="136"/>
      <c r="CM30879" s="111"/>
      <c r="CQ30879" s="111"/>
      <c r="EF30879"/>
      <c r="EG30879"/>
      <c r="EH30879"/>
      <c r="EI30879"/>
      <c r="EJ30879"/>
      <c r="EK30879"/>
    </row>
    <row r="30880" spans="1:141" s="116" customFormat="1">
      <c r="A30880" s="136"/>
      <c r="CM30880" s="111"/>
      <c r="CQ30880" s="111"/>
      <c r="EF30880"/>
      <c r="EG30880"/>
      <c r="EH30880"/>
      <c r="EI30880"/>
      <c r="EJ30880"/>
      <c r="EK30880"/>
    </row>
    <row r="30881" spans="1:141" s="116" customFormat="1">
      <c r="A30881" s="136"/>
      <c r="CM30881" s="111"/>
      <c r="CQ30881" s="111"/>
      <c r="EF30881"/>
      <c r="EG30881"/>
      <c r="EH30881"/>
      <c r="EI30881"/>
      <c r="EJ30881"/>
      <c r="EK30881"/>
    </row>
    <row r="30882" spans="1:141" s="116" customFormat="1">
      <c r="A30882" s="136"/>
      <c r="CM30882" s="111"/>
      <c r="CQ30882" s="111"/>
      <c r="EF30882"/>
      <c r="EG30882"/>
      <c r="EH30882"/>
      <c r="EI30882"/>
      <c r="EJ30882"/>
      <c r="EK30882"/>
    </row>
    <row r="30883" spans="1:141" s="116" customFormat="1">
      <c r="A30883" s="136"/>
      <c r="CM30883" s="111"/>
      <c r="CQ30883" s="111"/>
      <c r="EF30883"/>
      <c r="EG30883"/>
      <c r="EH30883"/>
      <c r="EI30883"/>
      <c r="EJ30883"/>
      <c r="EK30883"/>
    </row>
    <row r="30884" spans="1:141" s="116" customFormat="1">
      <c r="A30884" s="136"/>
      <c r="CM30884" s="111"/>
      <c r="CQ30884" s="111"/>
      <c r="EF30884"/>
      <c r="EG30884"/>
      <c r="EH30884"/>
      <c r="EI30884"/>
      <c r="EJ30884"/>
      <c r="EK30884"/>
    </row>
    <row r="30885" spans="1:141" s="116" customFormat="1">
      <c r="A30885" s="136"/>
      <c r="CM30885" s="111"/>
      <c r="CQ30885" s="111"/>
      <c r="EF30885"/>
      <c r="EG30885"/>
      <c r="EH30885"/>
      <c r="EI30885"/>
      <c r="EJ30885"/>
      <c r="EK30885"/>
    </row>
    <row r="30886" spans="1:141" s="116" customFormat="1">
      <c r="A30886" s="136"/>
      <c r="CM30886" s="111"/>
      <c r="CQ30886" s="111"/>
      <c r="EF30886"/>
      <c r="EG30886"/>
      <c r="EH30886"/>
      <c r="EI30886"/>
      <c r="EJ30886"/>
      <c r="EK30886"/>
    </row>
    <row r="30887" spans="1:141" s="116" customFormat="1">
      <c r="A30887" s="136"/>
      <c r="CM30887" s="111"/>
      <c r="CQ30887" s="111"/>
      <c r="EF30887"/>
      <c r="EG30887"/>
      <c r="EH30887"/>
      <c r="EI30887"/>
      <c r="EJ30887"/>
      <c r="EK30887"/>
    </row>
    <row r="30888" spans="1:141" s="116" customFormat="1">
      <c r="A30888" s="136"/>
      <c r="CM30888" s="111"/>
      <c r="CQ30888" s="111"/>
      <c r="EF30888"/>
      <c r="EG30888"/>
      <c r="EH30888"/>
      <c r="EI30888"/>
      <c r="EJ30888"/>
      <c r="EK30888"/>
    </row>
    <row r="30889" spans="1:141" s="116" customFormat="1">
      <c r="A30889" s="136"/>
      <c r="CM30889" s="111"/>
      <c r="CQ30889" s="111"/>
      <c r="EF30889"/>
      <c r="EG30889"/>
      <c r="EH30889"/>
      <c r="EI30889"/>
      <c r="EJ30889"/>
      <c r="EK30889"/>
    </row>
    <row r="30890" spans="1:141" s="116" customFormat="1">
      <c r="A30890" s="136"/>
      <c r="CM30890" s="111"/>
      <c r="CQ30890" s="111"/>
      <c r="EF30890"/>
      <c r="EG30890"/>
      <c r="EH30890"/>
      <c r="EI30890"/>
      <c r="EJ30890"/>
      <c r="EK30890"/>
    </row>
    <row r="30891" spans="1:141" s="116" customFormat="1">
      <c r="A30891" s="136"/>
      <c r="CM30891" s="111"/>
      <c r="CQ30891" s="111"/>
      <c r="EF30891"/>
      <c r="EG30891"/>
      <c r="EH30891"/>
      <c r="EI30891"/>
      <c r="EJ30891"/>
      <c r="EK30891"/>
    </row>
    <row r="30892" spans="1:141" s="116" customFormat="1">
      <c r="A30892" s="136"/>
      <c r="CM30892" s="111"/>
      <c r="CQ30892" s="111"/>
      <c r="EF30892"/>
      <c r="EG30892"/>
      <c r="EH30892"/>
      <c r="EI30892"/>
      <c r="EJ30892"/>
      <c r="EK30892"/>
    </row>
    <row r="30893" spans="1:141" s="116" customFormat="1">
      <c r="A30893" s="136"/>
      <c r="CM30893" s="111"/>
      <c r="CQ30893" s="111"/>
      <c r="EF30893"/>
      <c r="EG30893"/>
      <c r="EH30893"/>
      <c r="EI30893"/>
      <c r="EJ30893"/>
      <c r="EK30893"/>
    </row>
    <row r="30894" spans="1:141" s="116" customFormat="1">
      <c r="A30894" s="136"/>
      <c r="CM30894" s="111"/>
      <c r="CQ30894" s="111"/>
      <c r="EF30894"/>
      <c r="EG30894"/>
      <c r="EH30894"/>
      <c r="EI30894"/>
      <c r="EJ30894"/>
      <c r="EK30894"/>
    </row>
    <row r="30895" spans="1:141" s="116" customFormat="1">
      <c r="A30895" s="136"/>
      <c r="CM30895" s="111"/>
      <c r="CQ30895" s="111"/>
      <c r="EF30895"/>
      <c r="EG30895"/>
      <c r="EH30895"/>
      <c r="EI30895"/>
      <c r="EJ30895"/>
      <c r="EK30895"/>
    </row>
    <row r="30896" spans="1:141" s="116" customFormat="1">
      <c r="A30896" s="136"/>
      <c r="CM30896" s="111"/>
      <c r="CQ30896" s="111"/>
      <c r="EF30896"/>
      <c r="EG30896"/>
      <c r="EH30896"/>
      <c r="EI30896"/>
      <c r="EJ30896"/>
      <c r="EK30896"/>
    </row>
    <row r="30897" spans="1:141" s="116" customFormat="1">
      <c r="A30897" s="136"/>
      <c r="CM30897" s="111"/>
      <c r="CQ30897" s="111"/>
      <c r="EF30897"/>
      <c r="EG30897"/>
      <c r="EH30897"/>
      <c r="EI30897"/>
      <c r="EJ30897"/>
      <c r="EK30897"/>
    </row>
    <row r="30898" spans="1:141" s="116" customFormat="1">
      <c r="A30898" s="136"/>
      <c r="CM30898" s="111"/>
      <c r="CQ30898" s="111"/>
      <c r="EF30898"/>
      <c r="EG30898"/>
      <c r="EH30898"/>
      <c r="EI30898"/>
      <c r="EJ30898"/>
      <c r="EK30898"/>
    </row>
    <row r="30899" spans="1:141" s="116" customFormat="1">
      <c r="A30899" s="136"/>
      <c r="CM30899" s="111"/>
      <c r="CQ30899" s="111"/>
      <c r="EF30899"/>
      <c r="EG30899"/>
      <c r="EH30899"/>
      <c r="EI30899"/>
      <c r="EJ30899"/>
      <c r="EK30899"/>
    </row>
    <row r="30900" spans="1:141" s="116" customFormat="1">
      <c r="A30900" s="136"/>
      <c r="CM30900" s="111"/>
      <c r="CQ30900" s="111"/>
      <c r="EF30900"/>
      <c r="EG30900"/>
      <c r="EH30900"/>
      <c r="EI30900"/>
      <c r="EJ30900"/>
      <c r="EK30900"/>
    </row>
    <row r="30901" spans="1:141" s="116" customFormat="1">
      <c r="A30901" s="136"/>
      <c r="CM30901" s="111"/>
      <c r="CQ30901" s="111"/>
      <c r="EF30901"/>
      <c r="EG30901"/>
      <c r="EH30901"/>
      <c r="EI30901"/>
      <c r="EJ30901"/>
      <c r="EK30901"/>
    </row>
    <row r="30902" spans="1:141" s="116" customFormat="1">
      <c r="A30902" s="136"/>
      <c r="CM30902" s="111"/>
      <c r="CQ30902" s="111"/>
      <c r="EF30902"/>
      <c r="EG30902"/>
      <c r="EH30902"/>
      <c r="EI30902"/>
      <c r="EJ30902"/>
      <c r="EK30902"/>
    </row>
    <row r="30903" spans="1:141" s="116" customFormat="1">
      <c r="A30903" s="136"/>
      <c r="CM30903" s="111"/>
      <c r="CQ30903" s="111"/>
      <c r="EF30903"/>
      <c r="EG30903"/>
      <c r="EH30903"/>
      <c r="EI30903"/>
      <c r="EJ30903"/>
      <c r="EK30903"/>
    </row>
    <row r="30904" spans="1:141" s="116" customFormat="1">
      <c r="A30904" s="136"/>
      <c r="CM30904" s="111"/>
      <c r="CQ30904" s="111"/>
      <c r="EF30904"/>
      <c r="EG30904"/>
      <c r="EH30904"/>
      <c r="EI30904"/>
      <c r="EJ30904"/>
      <c r="EK30904"/>
    </row>
    <row r="30905" spans="1:141" s="116" customFormat="1">
      <c r="A30905" s="136"/>
      <c r="CM30905" s="111"/>
      <c r="CQ30905" s="111"/>
      <c r="EF30905"/>
      <c r="EG30905"/>
      <c r="EH30905"/>
      <c r="EI30905"/>
      <c r="EJ30905"/>
      <c r="EK30905"/>
    </row>
    <row r="30906" spans="1:141" s="116" customFormat="1">
      <c r="A30906" s="136"/>
      <c r="CM30906" s="111"/>
      <c r="CQ30906" s="111"/>
      <c r="EF30906"/>
      <c r="EG30906"/>
      <c r="EH30906"/>
      <c r="EI30906"/>
      <c r="EJ30906"/>
      <c r="EK30906"/>
    </row>
    <row r="30907" spans="1:141" s="116" customFormat="1">
      <c r="A30907" s="136"/>
      <c r="CM30907" s="111"/>
      <c r="CQ30907" s="111"/>
      <c r="EF30907"/>
      <c r="EG30907"/>
      <c r="EH30907"/>
      <c r="EI30907"/>
      <c r="EJ30907"/>
      <c r="EK30907"/>
    </row>
    <row r="30908" spans="1:141" s="116" customFormat="1">
      <c r="A30908" s="136"/>
      <c r="CM30908" s="111"/>
      <c r="CQ30908" s="111"/>
      <c r="EF30908"/>
      <c r="EG30908"/>
      <c r="EH30908"/>
      <c r="EI30908"/>
      <c r="EJ30908"/>
      <c r="EK30908"/>
    </row>
    <row r="30909" spans="1:141" s="116" customFormat="1">
      <c r="A30909" s="136"/>
      <c r="CM30909" s="111"/>
      <c r="CQ30909" s="111"/>
      <c r="EF30909"/>
      <c r="EG30909"/>
      <c r="EH30909"/>
      <c r="EI30909"/>
      <c r="EJ30909"/>
      <c r="EK30909"/>
    </row>
    <row r="30910" spans="1:141" s="116" customFormat="1">
      <c r="A30910" s="136"/>
      <c r="CM30910" s="111"/>
      <c r="CQ30910" s="111"/>
      <c r="EF30910"/>
      <c r="EG30910"/>
      <c r="EH30910"/>
      <c r="EI30910"/>
      <c r="EJ30910"/>
      <c r="EK30910"/>
    </row>
    <row r="30911" spans="1:141" s="116" customFormat="1">
      <c r="A30911" s="136"/>
      <c r="CM30911" s="111"/>
      <c r="CQ30911" s="111"/>
      <c r="EF30911"/>
      <c r="EG30911"/>
      <c r="EH30911"/>
      <c r="EI30911"/>
      <c r="EJ30911"/>
      <c r="EK30911"/>
    </row>
    <row r="30912" spans="1:141" s="116" customFormat="1">
      <c r="A30912" s="136"/>
      <c r="CM30912" s="111"/>
      <c r="CQ30912" s="111"/>
      <c r="EF30912"/>
      <c r="EG30912"/>
      <c r="EH30912"/>
      <c r="EI30912"/>
      <c r="EJ30912"/>
      <c r="EK30912"/>
    </row>
    <row r="30913" spans="1:141" s="116" customFormat="1">
      <c r="A30913" s="136"/>
      <c r="CM30913" s="111"/>
      <c r="CQ30913" s="111"/>
      <c r="EF30913"/>
      <c r="EG30913"/>
      <c r="EH30913"/>
      <c r="EI30913"/>
      <c r="EJ30913"/>
      <c r="EK30913"/>
    </row>
    <row r="30914" spans="1:141" s="116" customFormat="1">
      <c r="A30914" s="136"/>
      <c r="CM30914" s="111"/>
      <c r="CQ30914" s="111"/>
      <c r="EF30914"/>
      <c r="EG30914"/>
      <c r="EH30914"/>
      <c r="EI30914"/>
      <c r="EJ30914"/>
      <c r="EK30914"/>
    </row>
    <row r="30915" spans="1:141" s="116" customFormat="1">
      <c r="A30915" s="136"/>
      <c r="CM30915" s="111"/>
      <c r="CQ30915" s="111"/>
      <c r="EF30915"/>
      <c r="EG30915"/>
      <c r="EH30915"/>
      <c r="EI30915"/>
      <c r="EJ30915"/>
      <c r="EK30915"/>
    </row>
    <row r="30916" spans="1:141" s="116" customFormat="1">
      <c r="A30916" s="136"/>
      <c r="CM30916" s="111"/>
      <c r="CQ30916" s="111"/>
      <c r="EF30916"/>
      <c r="EG30916"/>
      <c r="EH30916"/>
      <c r="EI30916"/>
      <c r="EJ30916"/>
      <c r="EK30916"/>
    </row>
    <row r="30917" spans="1:141" s="116" customFormat="1">
      <c r="A30917" s="136"/>
      <c r="CM30917" s="111"/>
      <c r="CQ30917" s="111"/>
      <c r="EF30917"/>
      <c r="EG30917"/>
      <c r="EH30917"/>
      <c r="EI30917"/>
      <c r="EJ30917"/>
      <c r="EK30917"/>
    </row>
    <row r="30918" spans="1:141" s="116" customFormat="1">
      <c r="A30918" s="136"/>
      <c r="CM30918" s="111"/>
      <c r="CQ30918" s="111"/>
      <c r="EF30918"/>
      <c r="EG30918"/>
      <c r="EH30918"/>
      <c r="EI30918"/>
      <c r="EJ30918"/>
      <c r="EK30918"/>
    </row>
    <row r="30919" spans="1:141" s="116" customFormat="1">
      <c r="A30919" s="136"/>
      <c r="CM30919" s="111"/>
      <c r="CQ30919" s="111"/>
      <c r="EF30919"/>
      <c r="EG30919"/>
      <c r="EH30919"/>
      <c r="EI30919"/>
      <c r="EJ30919"/>
      <c r="EK30919"/>
    </row>
    <row r="30920" spans="1:141" s="116" customFormat="1">
      <c r="A30920" s="136"/>
      <c r="CM30920" s="111"/>
      <c r="CQ30920" s="111"/>
      <c r="EF30920"/>
      <c r="EG30920"/>
      <c r="EH30920"/>
      <c r="EI30920"/>
      <c r="EJ30920"/>
      <c r="EK30920"/>
    </row>
    <row r="30921" spans="1:141" s="116" customFormat="1">
      <c r="A30921" s="136"/>
      <c r="CM30921" s="111"/>
      <c r="CQ30921" s="111"/>
      <c r="EF30921"/>
      <c r="EG30921"/>
      <c r="EH30921"/>
      <c r="EI30921"/>
      <c r="EJ30921"/>
      <c r="EK30921"/>
    </row>
    <row r="30922" spans="1:141" s="116" customFormat="1">
      <c r="A30922" s="136"/>
      <c r="CM30922" s="111"/>
      <c r="CQ30922" s="111"/>
      <c r="EF30922"/>
      <c r="EG30922"/>
      <c r="EH30922"/>
      <c r="EI30922"/>
      <c r="EJ30922"/>
      <c r="EK30922"/>
    </row>
    <row r="30923" spans="1:141" s="116" customFormat="1">
      <c r="A30923" s="136"/>
      <c r="CM30923" s="111"/>
      <c r="CQ30923" s="111"/>
      <c r="EF30923"/>
      <c r="EG30923"/>
      <c r="EH30923"/>
      <c r="EI30923"/>
      <c r="EJ30923"/>
      <c r="EK30923"/>
    </row>
    <row r="30924" spans="1:141" s="116" customFormat="1">
      <c r="A30924" s="136"/>
      <c r="CM30924" s="111"/>
      <c r="CQ30924" s="111"/>
      <c r="EF30924"/>
      <c r="EG30924"/>
      <c r="EH30924"/>
      <c r="EI30924"/>
      <c r="EJ30924"/>
      <c r="EK30924"/>
    </row>
    <row r="30925" spans="1:141" s="116" customFormat="1">
      <c r="A30925" s="136"/>
      <c r="CM30925" s="111"/>
      <c r="CQ30925" s="111"/>
      <c r="EF30925"/>
      <c r="EG30925"/>
      <c r="EH30925"/>
      <c r="EI30925"/>
      <c r="EJ30925"/>
      <c r="EK30925"/>
    </row>
    <row r="30926" spans="1:141" s="116" customFormat="1">
      <c r="A30926" s="136"/>
      <c r="CM30926" s="111"/>
      <c r="CQ30926" s="111"/>
      <c r="EF30926"/>
      <c r="EG30926"/>
      <c r="EH30926"/>
      <c r="EI30926"/>
      <c r="EJ30926"/>
      <c r="EK30926"/>
    </row>
    <row r="30927" spans="1:141" s="116" customFormat="1">
      <c r="A30927" s="136"/>
      <c r="CM30927" s="111"/>
      <c r="CQ30927" s="111"/>
      <c r="EF30927"/>
      <c r="EG30927"/>
      <c r="EH30927"/>
      <c r="EI30927"/>
      <c r="EJ30927"/>
      <c r="EK30927"/>
    </row>
    <row r="30928" spans="1:141" s="116" customFormat="1">
      <c r="A30928" s="136"/>
      <c r="CM30928" s="111"/>
      <c r="CQ30928" s="111"/>
      <c r="EF30928"/>
      <c r="EG30928"/>
      <c r="EH30928"/>
      <c r="EI30928"/>
      <c r="EJ30928"/>
      <c r="EK30928"/>
    </row>
    <row r="30929" spans="1:141" s="116" customFormat="1">
      <c r="A30929" s="136"/>
      <c r="CM30929" s="111"/>
      <c r="CQ30929" s="111"/>
      <c r="EF30929"/>
      <c r="EG30929"/>
      <c r="EH30929"/>
      <c r="EI30929"/>
      <c r="EJ30929"/>
      <c r="EK30929"/>
    </row>
    <row r="30930" spans="1:141" s="116" customFormat="1">
      <c r="A30930" s="136"/>
      <c r="CM30930" s="111"/>
      <c r="CQ30930" s="111"/>
      <c r="EF30930"/>
      <c r="EG30930"/>
      <c r="EH30930"/>
      <c r="EI30930"/>
      <c r="EJ30930"/>
      <c r="EK30930"/>
    </row>
    <row r="30931" spans="1:141" s="116" customFormat="1">
      <c r="A30931" s="136"/>
      <c r="CM30931" s="111"/>
      <c r="CQ30931" s="111"/>
      <c r="EF30931"/>
      <c r="EG30931"/>
      <c r="EH30931"/>
      <c r="EI30931"/>
      <c r="EJ30931"/>
      <c r="EK30931"/>
    </row>
    <row r="30932" spans="1:141" s="116" customFormat="1">
      <c r="A30932" s="136"/>
      <c r="CM30932" s="111"/>
      <c r="CQ30932" s="111"/>
      <c r="EF30932"/>
      <c r="EG30932"/>
      <c r="EH30932"/>
      <c r="EI30932"/>
      <c r="EJ30932"/>
      <c r="EK30932"/>
    </row>
    <row r="30933" spans="1:141" s="116" customFormat="1">
      <c r="A30933" s="136"/>
      <c r="CM30933" s="111"/>
      <c r="CQ30933" s="111"/>
      <c r="EF30933"/>
      <c r="EG30933"/>
      <c r="EH30933"/>
      <c r="EI30933"/>
      <c r="EJ30933"/>
      <c r="EK30933"/>
    </row>
    <row r="30934" spans="1:141" s="116" customFormat="1">
      <c r="A30934" s="136"/>
      <c r="CM30934" s="111"/>
      <c r="CQ30934" s="111"/>
      <c r="EF30934"/>
      <c r="EG30934"/>
      <c r="EH30934"/>
      <c r="EI30934"/>
      <c r="EJ30934"/>
      <c r="EK30934"/>
    </row>
    <row r="30935" spans="1:141" s="116" customFormat="1">
      <c r="A30935" s="136"/>
      <c r="CM30935" s="111"/>
      <c r="CQ30935" s="111"/>
      <c r="EF30935"/>
      <c r="EG30935"/>
      <c r="EH30935"/>
      <c r="EI30935"/>
      <c r="EJ30935"/>
      <c r="EK30935"/>
    </row>
    <row r="30936" spans="1:141" s="116" customFormat="1">
      <c r="A30936" s="136"/>
      <c r="CM30936" s="111"/>
      <c r="CQ30936" s="111"/>
      <c r="EF30936"/>
      <c r="EG30936"/>
      <c r="EH30936"/>
      <c r="EI30936"/>
      <c r="EJ30936"/>
      <c r="EK30936"/>
    </row>
    <row r="30937" spans="1:141" s="116" customFormat="1">
      <c r="A30937" s="136"/>
      <c r="CM30937" s="111"/>
      <c r="CQ30937" s="111"/>
      <c r="EF30937"/>
      <c r="EG30937"/>
      <c r="EH30937"/>
      <c r="EI30937"/>
      <c r="EJ30937"/>
      <c r="EK30937"/>
    </row>
    <row r="30938" spans="1:141" s="116" customFormat="1">
      <c r="A30938" s="136"/>
      <c r="CM30938" s="111"/>
      <c r="CQ30938" s="111"/>
      <c r="EF30938"/>
      <c r="EG30938"/>
      <c r="EH30938"/>
      <c r="EI30938"/>
      <c r="EJ30938"/>
      <c r="EK30938"/>
    </row>
    <row r="30939" spans="1:141" s="116" customFormat="1">
      <c r="A30939" s="136"/>
      <c r="CM30939" s="111"/>
      <c r="CQ30939" s="111"/>
      <c r="EF30939"/>
      <c r="EG30939"/>
      <c r="EH30939"/>
      <c r="EI30939"/>
      <c r="EJ30939"/>
      <c r="EK30939"/>
    </row>
    <row r="30940" spans="1:141" s="116" customFormat="1">
      <c r="A30940" s="136"/>
      <c r="CM30940" s="111"/>
      <c r="CQ30940" s="111"/>
      <c r="EF30940"/>
      <c r="EG30940"/>
      <c r="EH30940"/>
      <c r="EI30940"/>
      <c r="EJ30940"/>
      <c r="EK30940"/>
    </row>
    <row r="30941" spans="1:141" s="116" customFormat="1">
      <c r="A30941" s="136"/>
      <c r="CM30941" s="111"/>
      <c r="CQ30941" s="111"/>
      <c r="EF30941"/>
      <c r="EG30941"/>
      <c r="EH30941"/>
      <c r="EI30941"/>
      <c r="EJ30941"/>
      <c r="EK30941"/>
    </row>
    <row r="30942" spans="1:141" s="116" customFormat="1">
      <c r="A30942" s="136"/>
      <c r="CM30942" s="111"/>
      <c r="CQ30942" s="111"/>
      <c r="EF30942"/>
      <c r="EG30942"/>
      <c r="EH30942"/>
      <c r="EI30942"/>
      <c r="EJ30942"/>
      <c r="EK30942"/>
    </row>
    <row r="30943" spans="1:141" s="116" customFormat="1">
      <c r="A30943" s="136"/>
      <c r="CM30943" s="111"/>
      <c r="CQ30943" s="111"/>
      <c r="EF30943"/>
      <c r="EG30943"/>
      <c r="EH30943"/>
      <c r="EI30943"/>
      <c r="EJ30943"/>
      <c r="EK30943"/>
    </row>
    <row r="30944" spans="1:141" s="116" customFormat="1">
      <c r="A30944" s="136"/>
      <c r="CM30944" s="111"/>
      <c r="CQ30944" s="111"/>
      <c r="EF30944"/>
      <c r="EG30944"/>
      <c r="EH30944"/>
      <c r="EI30944"/>
      <c r="EJ30944"/>
      <c r="EK30944"/>
    </row>
    <row r="30945" spans="1:141" s="116" customFormat="1">
      <c r="A30945" s="136"/>
      <c r="CM30945" s="111"/>
      <c r="CQ30945" s="111"/>
      <c r="EF30945"/>
      <c r="EG30945"/>
      <c r="EH30945"/>
      <c r="EI30945"/>
      <c r="EJ30945"/>
      <c r="EK30945"/>
    </row>
    <row r="30946" spans="1:141" s="116" customFormat="1">
      <c r="A30946" s="136"/>
      <c r="CM30946" s="111"/>
      <c r="CQ30946" s="111"/>
      <c r="EF30946"/>
      <c r="EG30946"/>
      <c r="EH30946"/>
      <c r="EI30946"/>
      <c r="EJ30946"/>
      <c r="EK30946"/>
    </row>
    <row r="30947" spans="1:141" s="116" customFormat="1">
      <c r="A30947" s="136"/>
      <c r="CM30947" s="111"/>
      <c r="CQ30947" s="111"/>
      <c r="EF30947"/>
      <c r="EG30947"/>
      <c r="EH30947"/>
      <c r="EI30947"/>
      <c r="EJ30947"/>
      <c r="EK30947"/>
    </row>
    <row r="30948" spans="1:141" s="116" customFormat="1">
      <c r="A30948" s="136"/>
      <c r="CM30948" s="111"/>
      <c r="CQ30948" s="111"/>
      <c r="EF30948"/>
      <c r="EG30948"/>
      <c r="EH30948"/>
      <c r="EI30948"/>
      <c r="EJ30948"/>
      <c r="EK30948"/>
    </row>
    <row r="30949" spans="1:141" s="116" customFormat="1">
      <c r="A30949" s="136"/>
      <c r="CM30949" s="111"/>
      <c r="CQ30949" s="111"/>
      <c r="EF30949"/>
      <c r="EG30949"/>
      <c r="EH30949"/>
      <c r="EI30949"/>
      <c r="EJ30949"/>
      <c r="EK30949"/>
    </row>
    <row r="30950" spans="1:141" s="116" customFormat="1">
      <c r="A30950" s="136"/>
      <c r="CM30950" s="111"/>
      <c r="CQ30950" s="111"/>
      <c r="EF30950"/>
      <c r="EG30950"/>
      <c r="EH30950"/>
      <c r="EI30950"/>
      <c r="EJ30950"/>
      <c r="EK30950"/>
    </row>
    <row r="30951" spans="1:141" s="116" customFormat="1">
      <c r="A30951" s="136"/>
      <c r="CM30951" s="111"/>
      <c r="CQ30951" s="111"/>
      <c r="EF30951"/>
      <c r="EG30951"/>
      <c r="EH30951"/>
      <c r="EI30951"/>
      <c r="EJ30951"/>
      <c r="EK30951"/>
    </row>
    <row r="30952" spans="1:141" s="116" customFormat="1">
      <c r="A30952" s="136"/>
      <c r="CM30952" s="111"/>
      <c r="CQ30952" s="111"/>
      <c r="EF30952"/>
      <c r="EG30952"/>
      <c r="EH30952"/>
      <c r="EI30952"/>
      <c r="EJ30952"/>
      <c r="EK30952"/>
    </row>
    <row r="30953" spans="1:141" s="116" customFormat="1">
      <c r="A30953" s="136"/>
      <c r="CM30953" s="111"/>
      <c r="CQ30953" s="111"/>
      <c r="EF30953"/>
      <c r="EG30953"/>
      <c r="EH30953"/>
      <c r="EI30953"/>
      <c r="EJ30953"/>
      <c r="EK30953"/>
    </row>
    <row r="30954" spans="1:141" s="116" customFormat="1">
      <c r="A30954" s="136"/>
      <c r="CM30954" s="111"/>
      <c r="CQ30954" s="111"/>
      <c r="EF30954"/>
      <c r="EG30954"/>
      <c r="EH30954"/>
      <c r="EI30954"/>
      <c r="EJ30954"/>
      <c r="EK30954"/>
    </row>
    <row r="30955" spans="1:141" s="116" customFormat="1">
      <c r="A30955" s="136"/>
      <c r="CM30955" s="111"/>
      <c r="CQ30955" s="111"/>
      <c r="EF30955"/>
      <c r="EG30955"/>
      <c r="EH30955"/>
      <c r="EI30955"/>
      <c r="EJ30955"/>
      <c r="EK30955"/>
    </row>
    <row r="30956" spans="1:141" s="116" customFormat="1">
      <c r="A30956" s="136"/>
      <c r="CM30956" s="111"/>
      <c r="CQ30956" s="111"/>
      <c r="EF30956"/>
      <c r="EG30956"/>
      <c r="EH30956"/>
      <c r="EI30956"/>
      <c r="EJ30956"/>
      <c r="EK30956"/>
    </row>
    <row r="30957" spans="1:141" s="116" customFormat="1">
      <c r="A30957" s="136"/>
      <c r="CM30957" s="111"/>
      <c r="CQ30957" s="111"/>
      <c r="EF30957"/>
      <c r="EG30957"/>
      <c r="EH30957"/>
      <c r="EI30957"/>
      <c r="EJ30957"/>
      <c r="EK30957"/>
    </row>
    <row r="30958" spans="1:141" s="116" customFormat="1">
      <c r="A30958" s="136"/>
      <c r="CM30958" s="111"/>
      <c r="CQ30958" s="111"/>
      <c r="EF30958"/>
      <c r="EG30958"/>
      <c r="EH30958"/>
      <c r="EI30958"/>
      <c r="EJ30958"/>
      <c r="EK30958"/>
    </row>
    <row r="30959" spans="1:141" s="116" customFormat="1">
      <c r="A30959" s="136"/>
      <c r="CM30959" s="111"/>
      <c r="CQ30959" s="111"/>
      <c r="EF30959"/>
      <c r="EG30959"/>
      <c r="EH30959"/>
      <c r="EI30959"/>
      <c r="EJ30959"/>
      <c r="EK30959"/>
    </row>
    <row r="30960" spans="1:141" s="116" customFormat="1">
      <c r="A30960" s="136"/>
      <c r="CM30960" s="111"/>
      <c r="CQ30960" s="111"/>
      <c r="EF30960"/>
      <c r="EG30960"/>
      <c r="EH30960"/>
      <c r="EI30960"/>
      <c r="EJ30960"/>
      <c r="EK30960"/>
    </row>
    <row r="30961" spans="1:141" s="116" customFormat="1">
      <c r="A30961" s="136"/>
      <c r="CM30961" s="111"/>
      <c r="CQ30961" s="111"/>
      <c r="EF30961"/>
      <c r="EG30961"/>
      <c r="EH30961"/>
      <c r="EI30961"/>
      <c r="EJ30961"/>
      <c r="EK30961"/>
    </row>
    <row r="30962" spans="1:141" s="116" customFormat="1">
      <c r="A30962" s="136"/>
      <c r="CM30962" s="111"/>
      <c r="CQ30962" s="111"/>
      <c r="EF30962"/>
      <c r="EG30962"/>
      <c r="EH30962"/>
      <c r="EI30962"/>
      <c r="EJ30962"/>
      <c r="EK30962"/>
    </row>
    <row r="30963" spans="1:141" s="116" customFormat="1">
      <c r="A30963" s="136"/>
      <c r="CM30963" s="111"/>
      <c r="CQ30963" s="111"/>
      <c r="EF30963"/>
      <c r="EG30963"/>
      <c r="EH30963"/>
      <c r="EI30963"/>
      <c r="EJ30963"/>
      <c r="EK30963"/>
    </row>
    <row r="30964" spans="1:141" s="116" customFormat="1">
      <c r="A30964" s="136"/>
      <c r="CM30964" s="111"/>
      <c r="CQ30964" s="111"/>
      <c r="EF30964"/>
      <c r="EG30964"/>
      <c r="EH30964"/>
      <c r="EI30964"/>
      <c r="EJ30964"/>
      <c r="EK30964"/>
    </row>
    <row r="30965" spans="1:141" s="116" customFormat="1">
      <c r="A30965" s="136"/>
      <c r="CM30965" s="111"/>
      <c r="CQ30965" s="111"/>
      <c r="EF30965"/>
      <c r="EG30965"/>
      <c r="EH30965"/>
      <c r="EI30965"/>
      <c r="EJ30965"/>
      <c r="EK30965"/>
    </row>
    <row r="30966" spans="1:141" s="116" customFormat="1">
      <c r="A30966" s="136"/>
      <c r="CM30966" s="111"/>
      <c r="CQ30966" s="111"/>
      <c r="EF30966"/>
      <c r="EG30966"/>
      <c r="EH30966"/>
      <c r="EI30966"/>
      <c r="EJ30966"/>
      <c r="EK30966"/>
    </row>
    <row r="30967" spans="1:141" s="116" customFormat="1">
      <c r="A30967" s="136"/>
      <c r="CM30967" s="111"/>
      <c r="CQ30967" s="111"/>
      <c r="EF30967"/>
      <c r="EG30967"/>
      <c r="EH30967"/>
      <c r="EI30967"/>
      <c r="EJ30967"/>
      <c r="EK30967"/>
    </row>
    <row r="30968" spans="1:141" s="116" customFormat="1">
      <c r="A30968" s="136"/>
      <c r="CM30968" s="111"/>
      <c r="CQ30968" s="111"/>
      <c r="EF30968"/>
      <c r="EG30968"/>
      <c r="EH30968"/>
      <c r="EI30968"/>
      <c r="EJ30968"/>
      <c r="EK30968"/>
    </row>
    <row r="30969" spans="1:141" s="116" customFormat="1">
      <c r="A30969" s="136"/>
      <c r="CM30969" s="111"/>
      <c r="CQ30969" s="111"/>
      <c r="EF30969"/>
      <c r="EG30969"/>
      <c r="EH30969"/>
      <c r="EI30969"/>
      <c r="EJ30969"/>
      <c r="EK30969"/>
    </row>
    <row r="30970" spans="1:141" s="116" customFormat="1">
      <c r="A30970" s="136"/>
      <c r="CM30970" s="111"/>
      <c r="CQ30970" s="111"/>
      <c r="EF30970"/>
      <c r="EG30970"/>
      <c r="EH30970"/>
      <c r="EI30970"/>
      <c r="EJ30970"/>
      <c r="EK30970"/>
    </row>
    <row r="30971" spans="1:141" s="116" customFormat="1">
      <c r="A30971" s="136"/>
      <c r="CM30971" s="111"/>
      <c r="CQ30971" s="111"/>
      <c r="EF30971"/>
      <c r="EG30971"/>
      <c r="EH30971"/>
      <c r="EI30971"/>
      <c r="EJ30971"/>
      <c r="EK30971"/>
    </row>
    <row r="30972" spans="1:141" s="116" customFormat="1">
      <c r="A30972" s="136"/>
      <c r="CM30972" s="111"/>
      <c r="CQ30972" s="111"/>
      <c r="EF30972"/>
      <c r="EG30972"/>
      <c r="EH30972"/>
      <c r="EI30972"/>
      <c r="EJ30972"/>
      <c r="EK30972"/>
    </row>
    <row r="30973" spans="1:141" s="116" customFormat="1">
      <c r="A30973" s="136"/>
      <c r="CM30973" s="111"/>
      <c r="CQ30973" s="111"/>
      <c r="EF30973"/>
      <c r="EG30973"/>
      <c r="EH30973"/>
      <c r="EI30973"/>
      <c r="EJ30973"/>
      <c r="EK30973"/>
    </row>
    <row r="30974" spans="1:141" s="116" customFormat="1">
      <c r="A30974" s="136"/>
      <c r="CM30974" s="111"/>
      <c r="CQ30974" s="111"/>
      <c r="EF30974"/>
      <c r="EG30974"/>
      <c r="EH30974"/>
      <c r="EI30974"/>
      <c r="EJ30974"/>
      <c r="EK30974"/>
    </row>
    <row r="30975" spans="1:141" s="116" customFormat="1">
      <c r="A30975" s="136"/>
      <c r="CM30975" s="111"/>
      <c r="CQ30975" s="111"/>
      <c r="EF30975"/>
      <c r="EG30975"/>
      <c r="EH30975"/>
      <c r="EI30975"/>
      <c r="EJ30975"/>
      <c r="EK30975"/>
    </row>
    <row r="30976" spans="1:141" s="116" customFormat="1">
      <c r="A30976" s="136"/>
      <c r="CM30976" s="111"/>
      <c r="CQ30976" s="111"/>
      <c r="EF30976"/>
      <c r="EG30976"/>
      <c r="EH30976"/>
      <c r="EI30976"/>
      <c r="EJ30976"/>
      <c r="EK30976"/>
    </row>
    <row r="30977" spans="1:141" s="116" customFormat="1">
      <c r="A30977" s="136"/>
      <c r="CM30977" s="111"/>
      <c r="CQ30977" s="111"/>
      <c r="EF30977"/>
      <c r="EG30977"/>
      <c r="EH30977"/>
      <c r="EI30977"/>
      <c r="EJ30977"/>
      <c r="EK30977"/>
    </row>
    <row r="30978" spans="1:141" s="116" customFormat="1">
      <c r="A30978" s="136"/>
      <c r="CM30978" s="111"/>
      <c r="CQ30978" s="111"/>
      <c r="EF30978"/>
      <c r="EG30978"/>
      <c r="EH30978"/>
      <c r="EI30978"/>
      <c r="EJ30978"/>
      <c r="EK30978"/>
    </row>
    <row r="30979" spans="1:141" s="116" customFormat="1">
      <c r="A30979" s="136"/>
      <c r="CM30979" s="111"/>
      <c r="CQ30979" s="111"/>
      <c r="EF30979"/>
      <c r="EG30979"/>
      <c r="EH30979"/>
      <c r="EI30979"/>
      <c r="EJ30979"/>
      <c r="EK30979"/>
    </row>
    <row r="30980" spans="1:141" s="116" customFormat="1">
      <c r="A30980" s="136"/>
      <c r="CM30980" s="111"/>
      <c r="CQ30980" s="111"/>
      <c r="EF30980"/>
      <c r="EG30980"/>
      <c r="EH30980"/>
      <c r="EI30980"/>
      <c r="EJ30980"/>
      <c r="EK30980"/>
    </row>
    <row r="30981" spans="1:141" s="116" customFormat="1">
      <c r="A30981" s="136"/>
      <c r="CM30981" s="111"/>
      <c r="CQ30981" s="111"/>
      <c r="EF30981"/>
      <c r="EG30981"/>
      <c r="EH30981"/>
      <c r="EI30981"/>
      <c r="EJ30981"/>
      <c r="EK30981"/>
    </row>
    <row r="30982" spans="1:141" s="116" customFormat="1">
      <c r="A30982" s="136"/>
      <c r="CM30982" s="111"/>
      <c r="CQ30982" s="111"/>
      <c r="EF30982"/>
      <c r="EG30982"/>
      <c r="EH30982"/>
      <c r="EI30982"/>
      <c r="EJ30982"/>
      <c r="EK30982"/>
    </row>
    <row r="30983" spans="1:141" s="116" customFormat="1">
      <c r="A30983" s="136"/>
      <c r="CM30983" s="111"/>
      <c r="CQ30983" s="111"/>
      <c r="EF30983"/>
      <c r="EG30983"/>
      <c r="EH30983"/>
      <c r="EI30983"/>
      <c r="EJ30983"/>
      <c r="EK30983"/>
    </row>
    <row r="30984" spans="1:141" s="116" customFormat="1">
      <c r="A30984" s="136"/>
      <c r="CM30984" s="111"/>
      <c r="CQ30984" s="111"/>
      <c r="EF30984"/>
      <c r="EG30984"/>
      <c r="EH30984"/>
      <c r="EI30984"/>
      <c r="EJ30984"/>
      <c r="EK30984"/>
    </row>
    <row r="30985" spans="1:141" s="116" customFormat="1">
      <c r="A30985" s="136"/>
      <c r="CM30985" s="111"/>
      <c r="CQ30985" s="111"/>
      <c r="EF30985"/>
      <c r="EG30985"/>
      <c r="EH30985"/>
      <c r="EI30985"/>
      <c r="EJ30985"/>
      <c r="EK30985"/>
    </row>
    <row r="30986" spans="1:141" s="116" customFormat="1">
      <c r="A30986" s="136"/>
      <c r="CM30986" s="111"/>
      <c r="CQ30986" s="111"/>
      <c r="EF30986"/>
      <c r="EG30986"/>
      <c r="EH30986"/>
      <c r="EI30986"/>
      <c r="EJ30986"/>
      <c r="EK30986"/>
    </row>
    <row r="30987" spans="1:141" s="116" customFormat="1">
      <c r="A30987" s="136"/>
      <c r="CM30987" s="111"/>
      <c r="CQ30987" s="111"/>
      <c r="EF30987"/>
      <c r="EG30987"/>
      <c r="EH30987"/>
      <c r="EI30987"/>
      <c r="EJ30987"/>
      <c r="EK30987"/>
    </row>
    <row r="30988" spans="1:141" s="116" customFormat="1">
      <c r="A30988" s="136"/>
      <c r="CM30988" s="111"/>
      <c r="CQ30988" s="111"/>
      <c r="EF30988"/>
      <c r="EG30988"/>
      <c r="EH30988"/>
      <c r="EI30988"/>
      <c r="EJ30988"/>
      <c r="EK30988"/>
    </row>
    <row r="30989" spans="1:141" s="116" customFormat="1">
      <c r="A30989" s="136"/>
      <c r="CM30989" s="111"/>
      <c r="CQ30989" s="111"/>
      <c r="EF30989"/>
      <c r="EG30989"/>
      <c r="EH30989"/>
      <c r="EI30989"/>
      <c r="EJ30989"/>
      <c r="EK30989"/>
    </row>
    <row r="30990" spans="1:141" s="116" customFormat="1">
      <c r="A30990" s="136"/>
      <c r="CM30990" s="111"/>
      <c r="CQ30990" s="111"/>
      <c r="EF30990"/>
      <c r="EG30990"/>
      <c r="EH30990"/>
      <c r="EI30990"/>
      <c r="EJ30990"/>
      <c r="EK30990"/>
    </row>
    <row r="30991" spans="1:141" s="116" customFormat="1">
      <c r="A30991" s="136"/>
      <c r="CM30991" s="111"/>
      <c r="CQ30991" s="111"/>
      <c r="EF30991"/>
      <c r="EG30991"/>
      <c r="EH30991"/>
      <c r="EI30991"/>
      <c r="EJ30991"/>
      <c r="EK30991"/>
    </row>
    <row r="30992" spans="1:141" s="116" customFormat="1">
      <c r="A30992" s="136"/>
      <c r="CM30992" s="111"/>
      <c r="CQ30992" s="111"/>
      <c r="EF30992"/>
      <c r="EG30992"/>
      <c r="EH30992"/>
      <c r="EI30992"/>
      <c r="EJ30992"/>
      <c r="EK30992"/>
    </row>
    <row r="30993" spans="1:141" s="116" customFormat="1">
      <c r="A30993" s="136"/>
      <c r="CM30993" s="111"/>
      <c r="CQ30993" s="111"/>
      <c r="EF30993"/>
      <c r="EG30993"/>
      <c r="EH30993"/>
      <c r="EI30993"/>
      <c r="EJ30993"/>
      <c r="EK30993"/>
    </row>
    <row r="30994" spans="1:141" s="116" customFormat="1">
      <c r="A30994" s="136"/>
      <c r="CM30994" s="111"/>
      <c r="CQ30994" s="111"/>
      <c r="EF30994"/>
      <c r="EG30994"/>
      <c r="EH30994"/>
      <c r="EI30994"/>
      <c r="EJ30994"/>
      <c r="EK30994"/>
    </row>
    <row r="30995" spans="1:141" s="116" customFormat="1">
      <c r="A30995" s="136"/>
      <c r="CM30995" s="111"/>
      <c r="CQ30995" s="111"/>
      <c r="EF30995"/>
      <c r="EG30995"/>
      <c r="EH30995"/>
      <c r="EI30995"/>
      <c r="EJ30995"/>
      <c r="EK30995"/>
    </row>
    <row r="30996" spans="1:141" s="116" customFormat="1">
      <c r="A30996" s="136"/>
      <c r="CM30996" s="111"/>
      <c r="CQ30996" s="111"/>
      <c r="EF30996"/>
      <c r="EG30996"/>
      <c r="EH30996"/>
      <c r="EI30996"/>
      <c r="EJ30996"/>
      <c r="EK30996"/>
    </row>
    <row r="30997" spans="1:141" s="116" customFormat="1">
      <c r="A30997" s="136"/>
      <c r="CM30997" s="111"/>
      <c r="CQ30997" s="111"/>
      <c r="EF30997"/>
      <c r="EG30997"/>
      <c r="EH30997"/>
      <c r="EI30997"/>
      <c r="EJ30997"/>
      <c r="EK30997"/>
    </row>
    <row r="30998" spans="1:141" s="116" customFormat="1">
      <c r="A30998" s="136"/>
      <c r="CM30998" s="111"/>
      <c r="CQ30998" s="111"/>
      <c r="EF30998"/>
      <c r="EG30998"/>
      <c r="EH30998"/>
      <c r="EI30998"/>
      <c r="EJ30998"/>
      <c r="EK30998"/>
    </row>
    <row r="30999" spans="1:141" s="116" customFormat="1">
      <c r="A30999" s="136"/>
      <c r="CM30999" s="111"/>
      <c r="CQ30999" s="111"/>
      <c r="EF30999"/>
      <c r="EG30999"/>
      <c r="EH30999"/>
      <c r="EI30999"/>
      <c r="EJ30999"/>
      <c r="EK30999"/>
    </row>
    <row r="31000" spans="1:141" s="116" customFormat="1">
      <c r="A31000" s="136"/>
      <c r="CM31000" s="111"/>
      <c r="CQ31000" s="111"/>
      <c r="EF31000"/>
      <c r="EG31000"/>
      <c r="EH31000"/>
      <c r="EI31000"/>
      <c r="EJ31000"/>
      <c r="EK31000"/>
    </row>
    <row r="31001" spans="1:141" s="116" customFormat="1">
      <c r="A31001" s="136"/>
      <c r="CM31001" s="111"/>
      <c r="CQ31001" s="111"/>
      <c r="EF31001"/>
      <c r="EG31001"/>
      <c r="EH31001"/>
      <c r="EI31001"/>
      <c r="EJ31001"/>
      <c r="EK31001"/>
    </row>
    <row r="31002" spans="1:141" s="116" customFormat="1">
      <c r="A31002" s="136"/>
      <c r="CM31002" s="111"/>
      <c r="CQ31002" s="111"/>
      <c r="EF31002"/>
      <c r="EG31002"/>
      <c r="EH31002"/>
      <c r="EI31002"/>
      <c r="EJ31002"/>
      <c r="EK31002"/>
    </row>
    <row r="31003" spans="1:141" s="116" customFormat="1">
      <c r="A31003" s="136"/>
      <c r="CM31003" s="111"/>
      <c r="CQ31003" s="111"/>
      <c r="EF31003"/>
      <c r="EG31003"/>
      <c r="EH31003"/>
      <c r="EI31003"/>
      <c r="EJ31003"/>
      <c r="EK31003"/>
    </row>
    <row r="31004" spans="1:141" s="116" customFormat="1">
      <c r="A31004" s="136"/>
      <c r="CM31004" s="111"/>
      <c r="CQ31004" s="111"/>
      <c r="EF31004"/>
      <c r="EG31004"/>
      <c r="EH31004"/>
      <c r="EI31004"/>
      <c r="EJ31004"/>
      <c r="EK31004"/>
    </row>
    <row r="31005" spans="1:141" s="116" customFormat="1">
      <c r="A31005" s="136"/>
      <c r="CM31005" s="111"/>
      <c r="CQ31005" s="111"/>
      <c r="EF31005"/>
      <c r="EG31005"/>
      <c r="EH31005"/>
      <c r="EI31005"/>
      <c r="EJ31005"/>
      <c r="EK31005"/>
    </row>
    <row r="31006" spans="1:141" s="116" customFormat="1">
      <c r="A31006" s="136"/>
      <c r="CM31006" s="111"/>
      <c r="CQ31006" s="111"/>
      <c r="EF31006"/>
      <c r="EG31006"/>
      <c r="EH31006"/>
      <c r="EI31006"/>
      <c r="EJ31006"/>
      <c r="EK31006"/>
    </row>
    <row r="31007" spans="1:141" s="116" customFormat="1">
      <c r="A31007" s="136"/>
      <c r="CM31007" s="111"/>
      <c r="CQ31007" s="111"/>
      <c r="EF31007"/>
      <c r="EG31007"/>
      <c r="EH31007"/>
      <c r="EI31007"/>
      <c r="EJ31007"/>
      <c r="EK31007"/>
    </row>
    <row r="31008" spans="1:141" s="116" customFormat="1">
      <c r="A31008" s="136"/>
      <c r="CM31008" s="111"/>
      <c r="CQ31008" s="111"/>
      <c r="EF31008"/>
      <c r="EG31008"/>
      <c r="EH31008"/>
      <c r="EI31008"/>
      <c r="EJ31008"/>
      <c r="EK31008"/>
    </row>
    <row r="31009" spans="1:141" s="116" customFormat="1">
      <c r="A31009" s="136"/>
      <c r="CM31009" s="111"/>
      <c r="CQ31009" s="111"/>
      <c r="EF31009"/>
      <c r="EG31009"/>
      <c r="EH31009"/>
      <c r="EI31009"/>
      <c r="EJ31009"/>
      <c r="EK31009"/>
    </row>
    <row r="31010" spans="1:141" s="116" customFormat="1">
      <c r="A31010" s="136"/>
      <c r="CM31010" s="111"/>
      <c r="CQ31010" s="111"/>
      <c r="EF31010"/>
      <c r="EG31010"/>
      <c r="EH31010"/>
      <c r="EI31010"/>
      <c r="EJ31010"/>
      <c r="EK31010"/>
    </row>
    <row r="31011" spans="1:141" s="116" customFormat="1">
      <c r="A31011" s="136"/>
      <c r="CM31011" s="111"/>
      <c r="CQ31011" s="111"/>
      <c r="EF31011"/>
      <c r="EG31011"/>
      <c r="EH31011"/>
      <c r="EI31011"/>
      <c r="EJ31011"/>
      <c r="EK31011"/>
    </row>
    <row r="31012" spans="1:141" s="116" customFormat="1">
      <c r="A31012" s="136"/>
      <c r="CM31012" s="111"/>
      <c r="CQ31012" s="111"/>
      <c r="EF31012"/>
      <c r="EG31012"/>
      <c r="EH31012"/>
      <c r="EI31012"/>
      <c r="EJ31012"/>
      <c r="EK31012"/>
    </row>
    <row r="31013" spans="1:141" s="116" customFormat="1">
      <c r="A31013" s="136"/>
      <c r="CM31013" s="111"/>
      <c r="CQ31013" s="111"/>
      <c r="EF31013"/>
      <c r="EG31013"/>
      <c r="EH31013"/>
      <c r="EI31013"/>
      <c r="EJ31013"/>
      <c r="EK31013"/>
    </row>
    <row r="31014" spans="1:141" s="116" customFormat="1">
      <c r="A31014" s="136"/>
      <c r="CM31014" s="111"/>
      <c r="CQ31014" s="111"/>
      <c r="EF31014"/>
      <c r="EG31014"/>
      <c r="EH31014"/>
      <c r="EI31014"/>
      <c r="EJ31014"/>
      <c r="EK31014"/>
    </row>
    <row r="31015" spans="1:141" s="116" customFormat="1">
      <c r="A31015" s="136"/>
      <c r="CM31015" s="111"/>
      <c r="CQ31015" s="111"/>
      <c r="EF31015"/>
      <c r="EG31015"/>
      <c r="EH31015"/>
      <c r="EI31015"/>
      <c r="EJ31015"/>
      <c r="EK31015"/>
    </row>
    <row r="31016" spans="1:141" s="116" customFormat="1">
      <c r="A31016" s="136"/>
      <c r="CM31016" s="111"/>
      <c r="CQ31016" s="111"/>
      <c r="EF31016"/>
      <c r="EG31016"/>
      <c r="EH31016"/>
      <c r="EI31016"/>
      <c r="EJ31016"/>
      <c r="EK31016"/>
    </row>
    <row r="31017" spans="1:141" s="116" customFormat="1">
      <c r="A31017" s="136"/>
      <c r="CM31017" s="111"/>
      <c r="CQ31017" s="111"/>
      <c r="EF31017"/>
      <c r="EG31017"/>
      <c r="EH31017"/>
      <c r="EI31017"/>
      <c r="EJ31017"/>
      <c r="EK31017"/>
    </row>
    <row r="31018" spans="1:141" s="116" customFormat="1">
      <c r="A31018" s="136"/>
      <c r="CM31018" s="111"/>
      <c r="CQ31018" s="111"/>
      <c r="EF31018"/>
      <c r="EG31018"/>
      <c r="EH31018"/>
      <c r="EI31018"/>
      <c r="EJ31018"/>
      <c r="EK31018"/>
    </row>
    <row r="31019" spans="1:141" s="116" customFormat="1">
      <c r="A31019" s="136"/>
      <c r="CM31019" s="111"/>
      <c r="CQ31019" s="111"/>
      <c r="EF31019"/>
      <c r="EG31019"/>
      <c r="EH31019"/>
      <c r="EI31019"/>
      <c r="EJ31019"/>
      <c r="EK31019"/>
    </row>
    <row r="31020" spans="1:141" s="116" customFormat="1">
      <c r="A31020" s="136"/>
      <c r="CM31020" s="111"/>
      <c r="CQ31020" s="111"/>
      <c r="EF31020"/>
      <c r="EG31020"/>
      <c r="EH31020"/>
      <c r="EI31020"/>
      <c r="EJ31020"/>
      <c r="EK31020"/>
    </row>
    <row r="31021" spans="1:141" s="116" customFormat="1">
      <c r="A31021" s="136"/>
      <c r="CM31021" s="111"/>
      <c r="CQ31021" s="111"/>
      <c r="EF31021"/>
      <c r="EG31021"/>
      <c r="EH31021"/>
      <c r="EI31021"/>
      <c r="EJ31021"/>
      <c r="EK31021"/>
    </row>
    <row r="31022" spans="1:141" s="116" customFormat="1">
      <c r="A31022" s="136"/>
      <c r="CM31022" s="111"/>
      <c r="CQ31022" s="111"/>
      <c r="EF31022"/>
      <c r="EG31022"/>
      <c r="EH31022"/>
      <c r="EI31022"/>
      <c r="EJ31022"/>
      <c r="EK31022"/>
    </row>
    <row r="31023" spans="1:141" s="116" customFormat="1">
      <c r="A31023" s="136"/>
      <c r="CM31023" s="111"/>
      <c r="CQ31023" s="111"/>
      <c r="EF31023"/>
      <c r="EG31023"/>
      <c r="EH31023"/>
      <c r="EI31023"/>
      <c r="EJ31023"/>
      <c r="EK31023"/>
    </row>
    <row r="31024" spans="1:141" s="116" customFormat="1">
      <c r="A31024" s="136"/>
      <c r="CM31024" s="111"/>
      <c r="CQ31024" s="111"/>
      <c r="EF31024"/>
      <c r="EG31024"/>
      <c r="EH31024"/>
      <c r="EI31024"/>
      <c r="EJ31024"/>
      <c r="EK31024"/>
    </row>
    <row r="31025" spans="1:141" s="116" customFormat="1">
      <c r="A31025" s="136"/>
      <c r="CM31025" s="111"/>
      <c r="CQ31025" s="111"/>
      <c r="EF31025"/>
      <c r="EG31025"/>
      <c r="EH31025"/>
      <c r="EI31025"/>
      <c r="EJ31025"/>
      <c r="EK31025"/>
    </row>
    <row r="31026" spans="1:141" s="116" customFormat="1">
      <c r="A31026" s="136"/>
      <c r="CM31026" s="111"/>
      <c r="CQ31026" s="111"/>
      <c r="EF31026"/>
      <c r="EG31026"/>
      <c r="EH31026"/>
      <c r="EI31026"/>
      <c r="EJ31026"/>
      <c r="EK31026"/>
    </row>
    <row r="31027" spans="1:141" s="116" customFormat="1">
      <c r="A31027" s="136"/>
      <c r="CM31027" s="111"/>
      <c r="CQ31027" s="111"/>
      <c r="EF31027"/>
      <c r="EG31027"/>
      <c r="EH31027"/>
      <c r="EI31027"/>
      <c r="EJ31027"/>
      <c r="EK31027"/>
    </row>
    <row r="31028" spans="1:141" s="116" customFormat="1">
      <c r="A31028" s="136"/>
      <c r="CM31028" s="111"/>
      <c r="CQ31028" s="111"/>
      <c r="EF31028"/>
      <c r="EG31028"/>
      <c r="EH31028"/>
      <c r="EI31028"/>
      <c r="EJ31028"/>
      <c r="EK31028"/>
    </row>
    <row r="31029" spans="1:141" s="116" customFormat="1">
      <c r="A31029" s="136"/>
      <c r="CM31029" s="111"/>
      <c r="CQ31029" s="111"/>
      <c r="EF31029"/>
      <c r="EG31029"/>
      <c r="EH31029"/>
      <c r="EI31029"/>
      <c r="EJ31029"/>
      <c r="EK31029"/>
    </row>
    <row r="31030" spans="1:141" s="116" customFormat="1">
      <c r="A31030" s="136"/>
      <c r="CM31030" s="111"/>
      <c r="CQ31030" s="111"/>
      <c r="EF31030"/>
      <c r="EG31030"/>
      <c r="EH31030"/>
      <c r="EI31030"/>
      <c r="EJ31030"/>
      <c r="EK31030"/>
    </row>
    <row r="31031" spans="1:141" s="116" customFormat="1">
      <c r="A31031" s="136"/>
      <c r="CM31031" s="111"/>
      <c r="CQ31031" s="111"/>
      <c r="EF31031"/>
      <c r="EG31031"/>
      <c r="EH31031"/>
      <c r="EI31031"/>
      <c r="EJ31031"/>
      <c r="EK31031"/>
    </row>
    <row r="31032" spans="1:141" s="116" customFormat="1">
      <c r="A31032" s="136"/>
      <c r="CM31032" s="111"/>
      <c r="CQ31032" s="111"/>
      <c r="EF31032"/>
      <c r="EG31032"/>
      <c r="EH31032"/>
      <c r="EI31032"/>
      <c r="EJ31032"/>
      <c r="EK31032"/>
    </row>
    <row r="31033" spans="1:141" s="116" customFormat="1">
      <c r="A31033" s="136"/>
      <c r="CM31033" s="111"/>
      <c r="CQ31033" s="111"/>
      <c r="EF31033"/>
      <c r="EG31033"/>
      <c r="EH31033"/>
      <c r="EI31033"/>
      <c r="EJ31033"/>
      <c r="EK31033"/>
    </row>
    <row r="31034" spans="1:141" s="116" customFormat="1">
      <c r="A31034" s="136"/>
      <c r="CM31034" s="111"/>
      <c r="CQ31034" s="111"/>
      <c r="EF31034"/>
      <c r="EG31034"/>
      <c r="EH31034"/>
      <c r="EI31034"/>
      <c r="EJ31034"/>
      <c r="EK31034"/>
    </row>
    <row r="31035" spans="1:141" s="116" customFormat="1">
      <c r="A31035" s="136"/>
      <c r="CM31035" s="111"/>
      <c r="CQ31035" s="111"/>
      <c r="EF31035"/>
      <c r="EG31035"/>
      <c r="EH31035"/>
      <c r="EI31035"/>
      <c r="EJ31035"/>
      <c r="EK31035"/>
    </row>
    <row r="31036" spans="1:141" s="116" customFormat="1">
      <c r="A31036" s="136"/>
      <c r="CM31036" s="111"/>
      <c r="CQ31036" s="111"/>
      <c r="EF31036"/>
      <c r="EG31036"/>
      <c r="EH31036"/>
      <c r="EI31036"/>
      <c r="EJ31036"/>
      <c r="EK31036"/>
    </row>
    <row r="31037" spans="1:141" s="116" customFormat="1">
      <c r="A31037" s="136"/>
      <c r="CM31037" s="111"/>
      <c r="CQ31037" s="111"/>
      <c r="EF31037"/>
      <c r="EG31037"/>
      <c r="EH31037"/>
      <c r="EI31037"/>
      <c r="EJ31037"/>
      <c r="EK31037"/>
    </row>
    <row r="31038" spans="1:141" s="116" customFormat="1">
      <c r="A31038" s="136"/>
      <c r="CM31038" s="111"/>
      <c r="CQ31038" s="111"/>
      <c r="EF31038"/>
      <c r="EG31038"/>
      <c r="EH31038"/>
      <c r="EI31038"/>
      <c r="EJ31038"/>
      <c r="EK31038"/>
    </row>
    <row r="31039" spans="1:141" s="116" customFormat="1">
      <c r="A31039" s="136"/>
      <c r="CM31039" s="111"/>
      <c r="CQ31039" s="111"/>
      <c r="EF31039"/>
      <c r="EG31039"/>
      <c r="EH31039"/>
      <c r="EI31039"/>
      <c r="EJ31039"/>
      <c r="EK31039"/>
    </row>
    <row r="31040" spans="1:141" s="116" customFormat="1">
      <c r="A31040" s="136"/>
      <c r="CM31040" s="111"/>
      <c r="CQ31040" s="111"/>
      <c r="EF31040"/>
      <c r="EG31040"/>
      <c r="EH31040"/>
      <c r="EI31040"/>
      <c r="EJ31040"/>
      <c r="EK31040"/>
    </row>
    <row r="31041" spans="1:141" s="116" customFormat="1">
      <c r="A31041" s="136"/>
      <c r="CM31041" s="111"/>
      <c r="CQ31041" s="111"/>
      <c r="EF31041"/>
      <c r="EG31041"/>
      <c r="EH31041"/>
      <c r="EI31041"/>
      <c r="EJ31041"/>
      <c r="EK31041"/>
    </row>
    <row r="31042" spans="1:141" s="116" customFormat="1">
      <c r="A31042" s="136"/>
      <c r="CM31042" s="111"/>
      <c r="CQ31042" s="111"/>
      <c r="EF31042"/>
      <c r="EG31042"/>
      <c r="EH31042"/>
      <c r="EI31042"/>
      <c r="EJ31042"/>
      <c r="EK31042"/>
    </row>
    <row r="31043" spans="1:141" s="116" customFormat="1">
      <c r="A31043" s="136"/>
      <c r="CM31043" s="111"/>
      <c r="CQ31043" s="111"/>
      <c r="EF31043"/>
      <c r="EG31043"/>
      <c r="EH31043"/>
      <c r="EI31043"/>
      <c r="EJ31043"/>
      <c r="EK31043"/>
    </row>
    <row r="31044" spans="1:141" s="116" customFormat="1">
      <c r="A31044" s="136"/>
      <c r="CM31044" s="111"/>
      <c r="CQ31044" s="111"/>
      <c r="EF31044"/>
      <c r="EG31044"/>
      <c r="EH31044"/>
      <c r="EI31044"/>
      <c r="EJ31044"/>
      <c r="EK31044"/>
    </row>
    <row r="31045" spans="1:141" s="116" customFormat="1">
      <c r="A31045" s="136"/>
      <c r="CM31045" s="111"/>
      <c r="CQ31045" s="111"/>
      <c r="EF31045"/>
      <c r="EG31045"/>
      <c r="EH31045"/>
      <c r="EI31045"/>
      <c r="EJ31045"/>
      <c r="EK31045"/>
    </row>
    <row r="31046" spans="1:141" s="116" customFormat="1">
      <c r="A31046" s="136"/>
      <c r="CM31046" s="111"/>
      <c r="CQ31046" s="111"/>
      <c r="EF31046"/>
      <c r="EG31046"/>
      <c r="EH31046"/>
      <c r="EI31046"/>
      <c r="EJ31046"/>
      <c r="EK31046"/>
    </row>
    <row r="31047" spans="1:141" s="116" customFormat="1">
      <c r="A31047" s="136"/>
      <c r="CM31047" s="111"/>
      <c r="CQ31047" s="111"/>
      <c r="EF31047"/>
      <c r="EG31047"/>
      <c r="EH31047"/>
      <c r="EI31047"/>
      <c r="EJ31047"/>
      <c r="EK31047"/>
    </row>
    <row r="31048" spans="1:141" s="116" customFormat="1">
      <c r="A31048" s="136"/>
      <c r="CM31048" s="111"/>
      <c r="CQ31048" s="111"/>
      <c r="EF31048"/>
      <c r="EG31048"/>
      <c r="EH31048"/>
      <c r="EI31048"/>
      <c r="EJ31048"/>
      <c r="EK31048"/>
    </row>
    <row r="31049" spans="1:141" s="116" customFormat="1">
      <c r="A31049" s="136"/>
      <c r="CM31049" s="111"/>
      <c r="CQ31049" s="111"/>
      <c r="EF31049"/>
      <c r="EG31049"/>
      <c r="EH31049"/>
      <c r="EI31049"/>
      <c r="EJ31049"/>
      <c r="EK31049"/>
    </row>
    <row r="31050" spans="1:141" s="116" customFormat="1">
      <c r="A31050" s="136"/>
      <c r="CM31050" s="111"/>
      <c r="CQ31050" s="111"/>
      <c r="EF31050"/>
      <c r="EG31050"/>
      <c r="EH31050"/>
      <c r="EI31050"/>
      <c r="EJ31050"/>
      <c r="EK31050"/>
    </row>
    <row r="31051" spans="1:141" s="116" customFormat="1">
      <c r="A31051" s="136"/>
      <c r="CM31051" s="111"/>
      <c r="CQ31051" s="111"/>
      <c r="EF31051"/>
      <c r="EG31051"/>
      <c r="EH31051"/>
      <c r="EI31051"/>
      <c r="EJ31051"/>
      <c r="EK31051"/>
    </row>
    <row r="31052" spans="1:141" s="116" customFormat="1">
      <c r="A31052" s="136"/>
      <c r="CM31052" s="111"/>
      <c r="CQ31052" s="111"/>
      <c r="EF31052"/>
      <c r="EG31052"/>
      <c r="EH31052"/>
      <c r="EI31052"/>
      <c r="EJ31052"/>
      <c r="EK31052"/>
    </row>
    <row r="31053" spans="1:141" s="116" customFormat="1">
      <c r="A31053" s="136"/>
      <c r="CM31053" s="111"/>
      <c r="CQ31053" s="111"/>
      <c r="EF31053"/>
      <c r="EG31053"/>
      <c r="EH31053"/>
      <c r="EI31053"/>
      <c r="EJ31053"/>
      <c r="EK31053"/>
    </row>
    <row r="31054" spans="1:141" s="116" customFormat="1">
      <c r="A31054" s="136"/>
      <c r="CM31054" s="111"/>
      <c r="CQ31054" s="111"/>
      <c r="EF31054"/>
      <c r="EG31054"/>
      <c r="EH31054"/>
      <c r="EI31054"/>
      <c r="EJ31054"/>
      <c r="EK31054"/>
    </row>
    <row r="31055" spans="1:141" s="116" customFormat="1">
      <c r="A31055" s="136"/>
      <c r="CM31055" s="111"/>
      <c r="CQ31055" s="111"/>
      <c r="EF31055"/>
      <c r="EG31055"/>
      <c r="EH31055"/>
      <c r="EI31055"/>
      <c r="EJ31055"/>
      <c r="EK31055"/>
    </row>
    <row r="31056" spans="1:141" s="116" customFormat="1">
      <c r="A31056" s="136"/>
      <c r="CM31056" s="111"/>
      <c r="CQ31056" s="111"/>
      <c r="EF31056"/>
      <c r="EG31056"/>
      <c r="EH31056"/>
      <c r="EI31056"/>
      <c r="EJ31056"/>
      <c r="EK31056"/>
    </row>
    <row r="31057" spans="1:141" s="116" customFormat="1">
      <c r="A31057" s="136"/>
      <c r="CM31057" s="111"/>
      <c r="CQ31057" s="111"/>
      <c r="EF31057"/>
      <c r="EG31057"/>
      <c r="EH31057"/>
      <c r="EI31057"/>
      <c r="EJ31057"/>
      <c r="EK31057"/>
    </row>
    <row r="31058" spans="1:141" s="116" customFormat="1">
      <c r="A31058" s="136"/>
      <c r="CM31058" s="111"/>
      <c r="CQ31058" s="111"/>
      <c r="EF31058"/>
      <c r="EG31058"/>
      <c r="EH31058"/>
      <c r="EI31058"/>
      <c r="EJ31058"/>
      <c r="EK31058"/>
    </row>
    <row r="31059" spans="1:141" s="116" customFormat="1">
      <c r="A31059" s="136"/>
      <c r="CM31059" s="111"/>
      <c r="CQ31059" s="111"/>
      <c r="EF31059"/>
      <c r="EG31059"/>
      <c r="EH31059"/>
      <c r="EI31059"/>
      <c r="EJ31059"/>
      <c r="EK31059"/>
    </row>
    <row r="31060" spans="1:141" s="116" customFormat="1">
      <c r="A31060" s="136"/>
      <c r="CM31060" s="111"/>
      <c r="CQ31060" s="111"/>
      <c r="EF31060"/>
      <c r="EG31060"/>
      <c r="EH31060"/>
      <c r="EI31060"/>
      <c r="EJ31060"/>
      <c r="EK31060"/>
    </row>
    <row r="31061" spans="1:141" s="116" customFormat="1">
      <c r="A31061" s="136"/>
      <c r="CM31061" s="111"/>
      <c r="CQ31061" s="111"/>
      <c r="EF31061"/>
      <c r="EG31061"/>
      <c r="EH31061"/>
      <c r="EI31061"/>
      <c r="EJ31061"/>
      <c r="EK31061"/>
    </row>
    <row r="31062" spans="1:141" s="116" customFormat="1">
      <c r="A31062" s="136"/>
      <c r="CM31062" s="111"/>
      <c r="CQ31062" s="111"/>
      <c r="EF31062"/>
      <c r="EG31062"/>
      <c r="EH31062"/>
      <c r="EI31062"/>
      <c r="EJ31062"/>
      <c r="EK31062"/>
    </row>
    <row r="31063" spans="1:141" s="116" customFormat="1">
      <c r="A31063" s="136"/>
      <c r="CM31063" s="111"/>
      <c r="CQ31063" s="111"/>
      <c r="EF31063"/>
      <c r="EG31063"/>
      <c r="EH31063"/>
      <c r="EI31063"/>
      <c r="EJ31063"/>
      <c r="EK31063"/>
    </row>
    <row r="31064" spans="1:141" s="116" customFormat="1">
      <c r="A31064" s="136"/>
      <c r="CM31064" s="111"/>
      <c r="CQ31064" s="111"/>
      <c r="EF31064"/>
      <c r="EG31064"/>
      <c r="EH31064"/>
      <c r="EI31064"/>
      <c r="EJ31064"/>
      <c r="EK31064"/>
    </row>
    <row r="31065" spans="1:141" s="116" customFormat="1">
      <c r="A31065" s="136"/>
      <c r="CM31065" s="111"/>
      <c r="CQ31065" s="111"/>
      <c r="EF31065"/>
      <c r="EG31065"/>
      <c r="EH31065"/>
      <c r="EI31065"/>
      <c r="EJ31065"/>
      <c r="EK31065"/>
    </row>
    <row r="31066" spans="1:141" s="116" customFormat="1">
      <c r="A31066" s="136"/>
      <c r="CM31066" s="111"/>
      <c r="CQ31066" s="111"/>
      <c r="EF31066"/>
      <c r="EG31066"/>
      <c r="EH31066"/>
      <c r="EI31066"/>
      <c r="EJ31066"/>
      <c r="EK31066"/>
    </row>
    <row r="31067" spans="1:141" s="116" customFormat="1">
      <c r="A31067" s="136"/>
      <c r="CM31067" s="111"/>
      <c r="CQ31067" s="111"/>
      <c r="EF31067"/>
      <c r="EG31067"/>
      <c r="EH31067"/>
      <c r="EI31067"/>
      <c r="EJ31067"/>
      <c r="EK31067"/>
    </row>
    <row r="31068" spans="1:141" s="116" customFormat="1">
      <c r="A31068" s="136"/>
      <c r="CM31068" s="111"/>
      <c r="CQ31068" s="111"/>
      <c r="EF31068"/>
      <c r="EG31068"/>
      <c r="EH31068"/>
      <c r="EI31068"/>
      <c r="EJ31068"/>
      <c r="EK31068"/>
    </row>
    <row r="31069" spans="1:141" s="116" customFormat="1">
      <c r="A31069" s="136"/>
      <c r="CM31069" s="111"/>
      <c r="CQ31069" s="111"/>
      <c r="EF31069"/>
      <c r="EG31069"/>
      <c r="EH31069"/>
      <c r="EI31069"/>
      <c r="EJ31069"/>
      <c r="EK31069"/>
    </row>
    <row r="31070" spans="1:141" s="116" customFormat="1">
      <c r="A31070" s="136"/>
      <c r="CM31070" s="111"/>
      <c r="CQ31070" s="111"/>
      <c r="EF31070"/>
      <c r="EG31070"/>
      <c r="EH31070"/>
      <c r="EI31070"/>
      <c r="EJ31070"/>
      <c r="EK31070"/>
    </row>
    <row r="31071" spans="1:141" s="116" customFormat="1">
      <c r="A31071" s="136"/>
      <c r="CM31071" s="111"/>
      <c r="CQ31071" s="111"/>
      <c r="EF31071"/>
      <c r="EG31071"/>
      <c r="EH31071"/>
      <c r="EI31071"/>
      <c r="EJ31071"/>
      <c r="EK31071"/>
    </row>
    <row r="31072" spans="1:141" s="116" customFormat="1">
      <c r="A31072" s="136"/>
      <c r="CM31072" s="111"/>
      <c r="CQ31072" s="111"/>
      <c r="EF31072"/>
      <c r="EG31072"/>
      <c r="EH31072"/>
      <c r="EI31072"/>
      <c r="EJ31072"/>
      <c r="EK31072"/>
    </row>
    <row r="31073" spans="1:141" s="116" customFormat="1">
      <c r="A31073" s="136"/>
      <c r="CM31073" s="111"/>
      <c r="CQ31073" s="111"/>
      <c r="EF31073"/>
      <c r="EG31073"/>
      <c r="EH31073"/>
      <c r="EI31073"/>
      <c r="EJ31073"/>
      <c r="EK31073"/>
    </row>
    <row r="31074" spans="1:141" s="116" customFormat="1">
      <c r="A31074" s="136"/>
      <c r="CM31074" s="111"/>
      <c r="CQ31074" s="111"/>
      <c r="EF31074"/>
      <c r="EG31074"/>
      <c r="EH31074"/>
      <c r="EI31074"/>
      <c r="EJ31074"/>
      <c r="EK31074"/>
    </row>
    <row r="31075" spans="1:141" s="116" customFormat="1">
      <c r="A31075" s="136"/>
      <c r="CM31075" s="111"/>
      <c r="CQ31075" s="111"/>
      <c r="EF31075"/>
      <c r="EG31075"/>
      <c r="EH31075"/>
      <c r="EI31075"/>
      <c r="EJ31075"/>
      <c r="EK31075"/>
    </row>
    <row r="31076" spans="1:141" s="116" customFormat="1">
      <c r="A31076" s="136"/>
      <c r="CM31076" s="111"/>
      <c r="CQ31076" s="111"/>
      <c r="EF31076"/>
      <c r="EG31076"/>
      <c r="EH31076"/>
      <c r="EI31076"/>
      <c r="EJ31076"/>
      <c r="EK31076"/>
    </row>
    <row r="31077" spans="1:141" s="116" customFormat="1">
      <c r="A31077" s="136"/>
      <c r="CM31077" s="111"/>
      <c r="CQ31077" s="111"/>
      <c r="EF31077"/>
      <c r="EG31077"/>
      <c r="EH31077"/>
      <c r="EI31077"/>
      <c r="EJ31077"/>
      <c r="EK31077"/>
    </row>
    <row r="31078" spans="1:141" s="116" customFormat="1">
      <c r="A31078" s="136"/>
      <c r="CM31078" s="111"/>
      <c r="CQ31078" s="111"/>
      <c r="EF31078"/>
      <c r="EG31078"/>
      <c r="EH31078"/>
      <c r="EI31078"/>
      <c r="EJ31078"/>
      <c r="EK31078"/>
    </row>
    <row r="31079" spans="1:141" s="116" customFormat="1">
      <c r="A31079" s="136"/>
      <c r="CM31079" s="111"/>
      <c r="CQ31079" s="111"/>
      <c r="EF31079"/>
      <c r="EG31079"/>
      <c r="EH31079"/>
      <c r="EI31079"/>
      <c r="EJ31079"/>
      <c r="EK31079"/>
    </row>
    <row r="31080" spans="1:141" s="116" customFormat="1">
      <c r="A31080" s="136"/>
      <c r="CM31080" s="111"/>
      <c r="CQ31080" s="111"/>
      <c r="EF31080"/>
      <c r="EG31080"/>
      <c r="EH31080"/>
      <c r="EI31080"/>
      <c r="EJ31080"/>
      <c r="EK31080"/>
    </row>
    <row r="31081" spans="1:141" s="116" customFormat="1">
      <c r="A31081" s="136"/>
      <c r="CM31081" s="111"/>
      <c r="CQ31081" s="111"/>
      <c r="EF31081"/>
      <c r="EG31081"/>
      <c r="EH31081"/>
      <c r="EI31081"/>
      <c r="EJ31081"/>
      <c r="EK31081"/>
    </row>
    <row r="31082" spans="1:141" s="116" customFormat="1">
      <c r="A31082" s="136"/>
      <c r="CM31082" s="111"/>
      <c r="CQ31082" s="111"/>
      <c r="EF31082"/>
      <c r="EG31082"/>
      <c r="EH31082"/>
      <c r="EI31082"/>
      <c r="EJ31082"/>
      <c r="EK31082"/>
    </row>
    <row r="31083" spans="1:141" s="116" customFormat="1">
      <c r="A31083" s="136"/>
      <c r="CM31083" s="111"/>
      <c r="CQ31083" s="111"/>
      <c r="EF31083"/>
      <c r="EG31083"/>
      <c r="EH31083"/>
      <c r="EI31083"/>
      <c r="EJ31083"/>
      <c r="EK31083"/>
    </row>
    <row r="31084" spans="1:141" s="116" customFormat="1">
      <c r="A31084" s="136"/>
      <c r="CM31084" s="111"/>
      <c r="CQ31084" s="111"/>
      <c r="EF31084"/>
      <c r="EG31084"/>
      <c r="EH31084"/>
      <c r="EI31084"/>
      <c r="EJ31084"/>
      <c r="EK31084"/>
    </row>
    <row r="31085" spans="1:141" s="116" customFormat="1">
      <c r="A31085" s="136"/>
      <c r="CM31085" s="111"/>
      <c r="CQ31085" s="111"/>
      <c r="EF31085"/>
      <c r="EG31085"/>
      <c r="EH31085"/>
      <c r="EI31085"/>
      <c r="EJ31085"/>
      <c r="EK31085"/>
    </row>
    <row r="31086" spans="1:141" s="116" customFormat="1">
      <c r="A31086" s="136"/>
      <c r="CM31086" s="111"/>
      <c r="CQ31086" s="111"/>
      <c r="EF31086"/>
      <c r="EG31086"/>
      <c r="EH31086"/>
      <c r="EI31086"/>
      <c r="EJ31086"/>
      <c r="EK31086"/>
    </row>
    <row r="31087" spans="1:141" s="116" customFormat="1">
      <c r="A31087" s="136"/>
      <c r="CM31087" s="111"/>
      <c r="CQ31087" s="111"/>
      <c r="EF31087"/>
      <c r="EG31087"/>
      <c r="EH31087"/>
      <c r="EI31087"/>
      <c r="EJ31087"/>
      <c r="EK31087"/>
    </row>
    <row r="31088" spans="1:141" s="116" customFormat="1">
      <c r="A31088" s="136"/>
      <c r="CM31088" s="111"/>
      <c r="CQ31088" s="111"/>
      <c r="EF31088"/>
      <c r="EG31088"/>
      <c r="EH31088"/>
      <c r="EI31088"/>
      <c r="EJ31088"/>
      <c r="EK31088"/>
    </row>
    <row r="31089" spans="1:141" s="116" customFormat="1">
      <c r="A31089" s="136"/>
      <c r="CM31089" s="111"/>
      <c r="CQ31089" s="111"/>
      <c r="EF31089"/>
      <c r="EG31089"/>
      <c r="EH31089"/>
      <c r="EI31089"/>
      <c r="EJ31089"/>
      <c r="EK31089"/>
    </row>
    <row r="31090" spans="1:141" s="116" customFormat="1">
      <c r="A31090" s="136"/>
      <c r="CM31090" s="111"/>
      <c r="CQ31090" s="111"/>
      <c r="EF31090"/>
      <c r="EG31090"/>
      <c r="EH31090"/>
      <c r="EI31090"/>
      <c r="EJ31090"/>
      <c r="EK31090"/>
    </row>
    <row r="31091" spans="1:141" s="116" customFormat="1">
      <c r="A31091" s="136"/>
      <c r="CM31091" s="111"/>
      <c r="CQ31091" s="111"/>
      <c r="EF31091"/>
      <c r="EG31091"/>
      <c r="EH31091"/>
      <c r="EI31091"/>
      <c r="EJ31091"/>
      <c r="EK31091"/>
    </row>
    <row r="31092" spans="1:141" s="116" customFormat="1">
      <c r="A31092" s="136"/>
      <c r="CM31092" s="111"/>
      <c r="CQ31092" s="111"/>
      <c r="EF31092"/>
      <c r="EG31092"/>
      <c r="EH31092"/>
      <c r="EI31092"/>
      <c r="EJ31092"/>
      <c r="EK31092"/>
    </row>
    <row r="31093" spans="1:141" s="116" customFormat="1">
      <c r="A31093" s="136"/>
      <c r="CM31093" s="111"/>
      <c r="CQ31093" s="111"/>
      <c r="EF31093"/>
      <c r="EG31093"/>
      <c r="EH31093"/>
      <c r="EI31093"/>
      <c r="EJ31093"/>
      <c r="EK31093"/>
    </row>
    <row r="31094" spans="1:141" s="116" customFormat="1">
      <c r="A31094" s="136"/>
      <c r="CM31094" s="111"/>
      <c r="CQ31094" s="111"/>
      <c r="EF31094"/>
      <c r="EG31094"/>
      <c r="EH31094"/>
      <c r="EI31094"/>
      <c r="EJ31094"/>
      <c r="EK31094"/>
    </row>
    <row r="31095" spans="1:141" s="116" customFormat="1">
      <c r="A31095" s="136"/>
      <c r="CM31095" s="111"/>
      <c r="CQ31095" s="111"/>
      <c r="EF31095"/>
      <c r="EG31095"/>
      <c r="EH31095"/>
      <c r="EI31095"/>
      <c r="EJ31095"/>
      <c r="EK31095"/>
    </row>
    <row r="31096" spans="1:141" s="116" customFormat="1">
      <c r="A31096" s="136"/>
      <c r="CM31096" s="111"/>
      <c r="CQ31096" s="111"/>
      <c r="EF31096"/>
      <c r="EG31096"/>
      <c r="EH31096"/>
      <c r="EI31096"/>
      <c r="EJ31096"/>
      <c r="EK31096"/>
    </row>
    <row r="31097" spans="1:141" s="116" customFormat="1">
      <c r="A31097" s="136"/>
      <c r="CM31097" s="111"/>
      <c r="CQ31097" s="111"/>
      <c r="EF31097"/>
      <c r="EG31097"/>
      <c r="EH31097"/>
      <c r="EI31097"/>
      <c r="EJ31097"/>
      <c r="EK31097"/>
    </row>
    <row r="31098" spans="1:141" s="116" customFormat="1">
      <c r="A31098" s="136"/>
      <c r="CM31098" s="111"/>
      <c r="CQ31098" s="111"/>
      <c r="EF31098"/>
      <c r="EG31098"/>
      <c r="EH31098"/>
      <c r="EI31098"/>
      <c r="EJ31098"/>
      <c r="EK31098"/>
    </row>
    <row r="31099" spans="1:141" s="116" customFormat="1">
      <c r="A31099" s="136"/>
      <c r="CM31099" s="111"/>
      <c r="CQ31099" s="111"/>
      <c r="EF31099"/>
      <c r="EG31099"/>
      <c r="EH31099"/>
      <c r="EI31099"/>
      <c r="EJ31099"/>
      <c r="EK31099"/>
    </row>
    <row r="31100" spans="1:141" s="116" customFormat="1">
      <c r="A31100" s="136"/>
      <c r="CM31100" s="111"/>
      <c r="CQ31100" s="111"/>
      <c r="EF31100"/>
      <c r="EG31100"/>
      <c r="EH31100"/>
      <c r="EI31100"/>
      <c r="EJ31100"/>
      <c r="EK31100"/>
    </row>
    <row r="31101" spans="1:141" s="116" customFormat="1">
      <c r="A31101" s="136"/>
      <c r="CM31101" s="111"/>
      <c r="CQ31101" s="111"/>
      <c r="EF31101"/>
      <c r="EG31101"/>
      <c r="EH31101"/>
      <c r="EI31101"/>
      <c r="EJ31101"/>
      <c r="EK31101"/>
    </row>
    <row r="31102" spans="1:141" s="116" customFormat="1">
      <c r="A31102" s="136"/>
      <c r="CM31102" s="111"/>
      <c r="CQ31102" s="111"/>
      <c r="EF31102"/>
      <c r="EG31102"/>
      <c r="EH31102"/>
      <c r="EI31102"/>
      <c r="EJ31102"/>
      <c r="EK31102"/>
    </row>
    <row r="31103" spans="1:141" s="116" customFormat="1">
      <c r="A31103" s="136"/>
      <c r="CM31103" s="111"/>
      <c r="CQ31103" s="111"/>
      <c r="EF31103"/>
      <c r="EG31103"/>
      <c r="EH31103"/>
      <c r="EI31103"/>
      <c r="EJ31103"/>
      <c r="EK31103"/>
    </row>
    <row r="31104" spans="1:141" s="116" customFormat="1">
      <c r="A31104" s="136"/>
      <c r="CM31104" s="111"/>
      <c r="CQ31104" s="111"/>
      <c r="EF31104"/>
      <c r="EG31104"/>
      <c r="EH31104"/>
      <c r="EI31104"/>
      <c r="EJ31104"/>
      <c r="EK31104"/>
    </row>
    <row r="31105" spans="1:141" s="116" customFormat="1">
      <c r="A31105" s="136"/>
      <c r="CM31105" s="111"/>
      <c r="CQ31105" s="111"/>
      <c r="EF31105"/>
      <c r="EG31105"/>
      <c r="EH31105"/>
      <c r="EI31105"/>
      <c r="EJ31105"/>
      <c r="EK31105"/>
    </row>
    <row r="31106" spans="1:141" s="116" customFormat="1">
      <c r="A31106" s="136"/>
      <c r="CM31106" s="111"/>
      <c r="CQ31106" s="111"/>
      <c r="EF31106"/>
      <c r="EG31106"/>
      <c r="EH31106"/>
      <c r="EI31106"/>
      <c r="EJ31106"/>
      <c r="EK31106"/>
    </row>
    <row r="31107" spans="1:141" s="116" customFormat="1">
      <c r="A31107" s="136"/>
      <c r="CM31107" s="111"/>
      <c r="CQ31107" s="111"/>
      <c r="EF31107"/>
      <c r="EG31107"/>
      <c r="EH31107"/>
      <c r="EI31107"/>
      <c r="EJ31107"/>
      <c r="EK31107"/>
    </row>
    <row r="31108" spans="1:141" s="116" customFormat="1">
      <c r="A31108" s="136"/>
      <c r="CM31108" s="111"/>
      <c r="CQ31108" s="111"/>
      <c r="EF31108"/>
      <c r="EG31108"/>
      <c r="EH31108"/>
      <c r="EI31108"/>
      <c r="EJ31108"/>
      <c r="EK31108"/>
    </row>
    <row r="31109" spans="1:141" s="116" customFormat="1">
      <c r="A31109" s="136"/>
      <c r="CM31109" s="111"/>
      <c r="CQ31109" s="111"/>
      <c r="EF31109"/>
      <c r="EG31109"/>
      <c r="EH31109"/>
      <c r="EI31109"/>
      <c r="EJ31109"/>
      <c r="EK31109"/>
    </row>
    <row r="31110" spans="1:141" s="116" customFormat="1">
      <c r="A31110" s="136"/>
      <c r="CM31110" s="111"/>
      <c r="CQ31110" s="111"/>
      <c r="EF31110"/>
      <c r="EG31110"/>
      <c r="EH31110"/>
      <c r="EI31110"/>
      <c r="EJ31110"/>
      <c r="EK31110"/>
    </row>
    <row r="31111" spans="1:141" s="116" customFormat="1">
      <c r="A31111" s="136"/>
      <c r="CM31111" s="111"/>
      <c r="CQ31111" s="111"/>
      <c r="EF31111"/>
      <c r="EG31111"/>
      <c r="EH31111"/>
      <c r="EI31111"/>
      <c r="EJ31111"/>
      <c r="EK31111"/>
    </row>
    <row r="31112" spans="1:141" s="116" customFormat="1">
      <c r="A31112" s="136"/>
      <c r="CM31112" s="111"/>
      <c r="CQ31112" s="111"/>
      <c r="EF31112"/>
      <c r="EG31112"/>
      <c r="EH31112"/>
      <c r="EI31112"/>
      <c r="EJ31112"/>
      <c r="EK31112"/>
    </row>
    <row r="31113" spans="1:141" s="116" customFormat="1">
      <c r="A31113" s="136"/>
      <c r="CM31113" s="111"/>
      <c r="CQ31113" s="111"/>
      <c r="EF31113"/>
      <c r="EG31113"/>
      <c r="EH31113"/>
      <c r="EI31113"/>
      <c r="EJ31113"/>
      <c r="EK31113"/>
    </row>
    <row r="31114" spans="1:141" s="116" customFormat="1">
      <c r="A31114" s="136"/>
      <c r="CM31114" s="111"/>
      <c r="CQ31114" s="111"/>
      <c r="EF31114"/>
      <c r="EG31114"/>
      <c r="EH31114"/>
      <c r="EI31114"/>
      <c r="EJ31114"/>
      <c r="EK31114"/>
    </row>
    <row r="31115" spans="1:141" s="116" customFormat="1">
      <c r="A31115" s="136"/>
      <c r="CM31115" s="111"/>
      <c r="CQ31115" s="111"/>
      <c r="EF31115"/>
      <c r="EG31115"/>
      <c r="EH31115"/>
      <c r="EI31115"/>
      <c r="EJ31115"/>
      <c r="EK31115"/>
    </row>
    <row r="31116" spans="1:141" s="116" customFormat="1">
      <c r="A31116" s="136"/>
      <c r="CM31116" s="111"/>
      <c r="CQ31116" s="111"/>
      <c r="EF31116"/>
      <c r="EG31116"/>
      <c r="EH31116"/>
      <c r="EI31116"/>
      <c r="EJ31116"/>
      <c r="EK31116"/>
    </row>
    <row r="31117" spans="1:141" s="116" customFormat="1">
      <c r="A31117" s="136"/>
      <c r="CM31117" s="111"/>
      <c r="CQ31117" s="111"/>
      <c r="EF31117"/>
      <c r="EG31117"/>
      <c r="EH31117"/>
      <c r="EI31117"/>
      <c r="EJ31117"/>
      <c r="EK31117"/>
    </row>
    <row r="31118" spans="1:141" s="116" customFormat="1">
      <c r="A31118" s="136"/>
      <c r="CM31118" s="111"/>
      <c r="CQ31118" s="111"/>
      <c r="EF31118"/>
      <c r="EG31118"/>
      <c r="EH31118"/>
      <c r="EI31118"/>
      <c r="EJ31118"/>
      <c r="EK31118"/>
    </row>
    <row r="31119" spans="1:141" s="116" customFormat="1">
      <c r="A31119" s="136"/>
      <c r="CM31119" s="111"/>
      <c r="CQ31119" s="111"/>
      <c r="EF31119"/>
      <c r="EG31119"/>
      <c r="EH31119"/>
      <c r="EI31119"/>
      <c r="EJ31119"/>
      <c r="EK31119"/>
    </row>
    <row r="31120" spans="1:141" s="116" customFormat="1">
      <c r="A31120" s="136"/>
      <c r="CM31120" s="111"/>
      <c r="CQ31120" s="111"/>
      <c r="EF31120"/>
      <c r="EG31120"/>
      <c r="EH31120"/>
      <c r="EI31120"/>
      <c r="EJ31120"/>
      <c r="EK31120"/>
    </row>
    <row r="31121" spans="1:141" s="116" customFormat="1">
      <c r="A31121" s="136"/>
      <c r="CM31121" s="111"/>
      <c r="CQ31121" s="111"/>
      <c r="EF31121"/>
      <c r="EG31121"/>
      <c r="EH31121"/>
      <c r="EI31121"/>
      <c r="EJ31121"/>
      <c r="EK31121"/>
    </row>
    <row r="31122" spans="1:141" s="116" customFormat="1">
      <c r="A31122" s="136"/>
      <c r="CM31122" s="111"/>
      <c r="CQ31122" s="111"/>
      <c r="EF31122"/>
      <c r="EG31122"/>
      <c r="EH31122"/>
      <c r="EI31122"/>
      <c r="EJ31122"/>
      <c r="EK31122"/>
    </row>
    <row r="31123" spans="1:141" s="116" customFormat="1">
      <c r="A31123" s="136"/>
      <c r="CM31123" s="111"/>
      <c r="CQ31123" s="111"/>
      <c r="EF31123"/>
      <c r="EG31123"/>
      <c r="EH31123"/>
      <c r="EI31123"/>
      <c r="EJ31123"/>
      <c r="EK31123"/>
    </row>
    <row r="31124" spans="1:141" s="116" customFormat="1">
      <c r="A31124" s="136"/>
      <c r="CM31124" s="111"/>
      <c r="CQ31124" s="111"/>
      <c r="EF31124"/>
      <c r="EG31124"/>
      <c r="EH31124"/>
      <c r="EI31124"/>
      <c r="EJ31124"/>
      <c r="EK31124"/>
    </row>
    <row r="31125" spans="1:141" s="116" customFormat="1">
      <c r="A31125" s="136"/>
      <c r="CM31125" s="111"/>
      <c r="CQ31125" s="111"/>
      <c r="EF31125"/>
      <c r="EG31125"/>
      <c r="EH31125"/>
      <c r="EI31125"/>
      <c r="EJ31125"/>
      <c r="EK31125"/>
    </row>
    <row r="31126" spans="1:141" s="116" customFormat="1">
      <c r="A31126" s="136"/>
      <c r="CM31126" s="111"/>
      <c r="CQ31126" s="111"/>
      <c r="EF31126"/>
      <c r="EG31126"/>
      <c r="EH31126"/>
      <c r="EI31126"/>
      <c r="EJ31126"/>
      <c r="EK31126"/>
    </row>
    <row r="31127" spans="1:141" s="116" customFormat="1">
      <c r="A31127" s="136"/>
      <c r="CM31127" s="111"/>
      <c r="CQ31127" s="111"/>
      <c r="EF31127"/>
      <c r="EG31127"/>
      <c r="EH31127"/>
      <c r="EI31127"/>
      <c r="EJ31127"/>
      <c r="EK31127"/>
    </row>
    <row r="31128" spans="1:141" s="116" customFormat="1">
      <c r="A31128" s="136"/>
      <c r="CM31128" s="111"/>
      <c r="CQ31128" s="111"/>
      <c r="EF31128"/>
      <c r="EG31128"/>
      <c r="EH31128"/>
      <c r="EI31128"/>
      <c r="EJ31128"/>
      <c r="EK31128"/>
    </row>
    <row r="31129" spans="1:141" s="116" customFormat="1">
      <c r="A31129" s="136"/>
      <c r="CM31129" s="111"/>
      <c r="CQ31129" s="111"/>
      <c r="EF31129"/>
      <c r="EG31129"/>
      <c r="EH31129"/>
      <c r="EI31129"/>
      <c r="EJ31129"/>
      <c r="EK31129"/>
    </row>
    <row r="31130" spans="1:141" s="116" customFormat="1">
      <c r="A31130" s="136"/>
      <c r="CM31130" s="111"/>
      <c r="CQ31130" s="111"/>
      <c r="EF31130"/>
      <c r="EG31130"/>
      <c r="EH31130"/>
      <c r="EI31130"/>
      <c r="EJ31130"/>
      <c r="EK31130"/>
    </row>
    <row r="31131" spans="1:141" s="116" customFormat="1">
      <c r="A31131" s="136"/>
      <c r="CM31131" s="111"/>
      <c r="CQ31131" s="111"/>
      <c r="EF31131"/>
      <c r="EG31131"/>
      <c r="EH31131"/>
      <c r="EI31131"/>
      <c r="EJ31131"/>
      <c r="EK31131"/>
    </row>
    <row r="31132" spans="1:141" s="116" customFormat="1">
      <c r="A31132" s="136"/>
      <c r="CM31132" s="111"/>
      <c r="CQ31132" s="111"/>
      <c r="EF31132"/>
      <c r="EG31132"/>
      <c r="EH31132"/>
      <c r="EI31132"/>
      <c r="EJ31132"/>
      <c r="EK31132"/>
    </row>
    <row r="31133" spans="1:141" s="116" customFormat="1">
      <c r="A31133" s="136"/>
      <c r="CM31133" s="111"/>
      <c r="CQ31133" s="111"/>
      <c r="EF31133"/>
      <c r="EG31133"/>
      <c r="EH31133"/>
      <c r="EI31133"/>
      <c r="EJ31133"/>
      <c r="EK31133"/>
    </row>
    <row r="31134" spans="1:141" s="116" customFormat="1">
      <c r="A31134" s="136"/>
      <c r="CM31134" s="111"/>
      <c r="CQ31134" s="111"/>
      <c r="EF31134"/>
      <c r="EG31134"/>
      <c r="EH31134"/>
      <c r="EI31134"/>
      <c r="EJ31134"/>
      <c r="EK31134"/>
    </row>
    <row r="31135" spans="1:141" s="116" customFormat="1">
      <c r="A31135" s="136"/>
      <c r="CM31135" s="111"/>
      <c r="CQ31135" s="111"/>
      <c r="EF31135"/>
      <c r="EG31135"/>
      <c r="EH31135"/>
      <c r="EI31135"/>
      <c r="EJ31135"/>
      <c r="EK31135"/>
    </row>
    <row r="31136" spans="1:141" s="116" customFormat="1">
      <c r="A31136" s="136"/>
      <c r="CM31136" s="111"/>
      <c r="CQ31136" s="111"/>
      <c r="EF31136"/>
      <c r="EG31136"/>
      <c r="EH31136"/>
      <c r="EI31136"/>
      <c r="EJ31136"/>
      <c r="EK31136"/>
    </row>
    <row r="31137" spans="1:141" s="116" customFormat="1">
      <c r="A31137" s="136"/>
      <c r="CM31137" s="111"/>
      <c r="CQ31137" s="111"/>
      <c r="EF31137"/>
      <c r="EG31137"/>
      <c r="EH31137"/>
      <c r="EI31137"/>
      <c r="EJ31137"/>
      <c r="EK31137"/>
    </row>
    <row r="31138" spans="1:141" s="116" customFormat="1">
      <c r="A31138" s="136"/>
      <c r="CM31138" s="111"/>
      <c r="CQ31138" s="111"/>
      <c r="EF31138"/>
      <c r="EG31138"/>
      <c r="EH31138"/>
      <c r="EI31138"/>
      <c r="EJ31138"/>
      <c r="EK31138"/>
    </row>
    <row r="31139" spans="1:141" s="116" customFormat="1">
      <c r="A31139" s="136"/>
      <c r="CM31139" s="111"/>
      <c r="CQ31139" s="111"/>
      <c r="EF31139"/>
      <c r="EG31139"/>
      <c r="EH31139"/>
      <c r="EI31139"/>
      <c r="EJ31139"/>
      <c r="EK31139"/>
    </row>
    <row r="31140" spans="1:141" s="116" customFormat="1">
      <c r="A31140" s="136"/>
      <c r="CM31140" s="111"/>
      <c r="CQ31140" s="111"/>
      <c r="EF31140"/>
      <c r="EG31140"/>
      <c r="EH31140"/>
      <c r="EI31140"/>
      <c r="EJ31140"/>
      <c r="EK31140"/>
    </row>
    <row r="31141" spans="1:141" s="116" customFormat="1">
      <c r="A31141" s="136"/>
      <c r="CM31141" s="111"/>
      <c r="CQ31141" s="111"/>
      <c r="EF31141"/>
      <c r="EG31141"/>
      <c r="EH31141"/>
      <c r="EI31141"/>
      <c r="EJ31141"/>
      <c r="EK31141"/>
    </row>
    <row r="31142" spans="1:141" s="116" customFormat="1">
      <c r="A31142" s="136"/>
      <c r="CM31142" s="111"/>
      <c r="CQ31142" s="111"/>
      <c r="EF31142"/>
      <c r="EG31142"/>
      <c r="EH31142"/>
      <c r="EI31142"/>
      <c r="EJ31142"/>
      <c r="EK31142"/>
    </row>
    <row r="31143" spans="1:141" s="116" customFormat="1">
      <c r="A31143" s="136"/>
      <c r="CM31143" s="111"/>
      <c r="CQ31143" s="111"/>
      <c r="EF31143"/>
      <c r="EG31143"/>
      <c r="EH31143"/>
      <c r="EI31143"/>
      <c r="EJ31143"/>
      <c r="EK31143"/>
    </row>
    <row r="31144" spans="1:141" s="116" customFormat="1">
      <c r="A31144" s="136"/>
      <c r="CM31144" s="111"/>
      <c r="CQ31144" s="111"/>
      <c r="EF31144"/>
      <c r="EG31144"/>
      <c r="EH31144"/>
      <c r="EI31144"/>
      <c r="EJ31144"/>
      <c r="EK31144"/>
    </row>
    <row r="31145" spans="1:141" s="116" customFormat="1">
      <c r="A31145" s="136"/>
      <c r="CM31145" s="111"/>
      <c r="CQ31145" s="111"/>
      <c r="EF31145"/>
      <c r="EG31145"/>
      <c r="EH31145"/>
      <c r="EI31145"/>
      <c r="EJ31145"/>
      <c r="EK31145"/>
    </row>
    <row r="31146" spans="1:141" s="116" customFormat="1">
      <c r="A31146" s="136"/>
      <c r="CM31146" s="111"/>
      <c r="CQ31146" s="111"/>
      <c r="EF31146"/>
      <c r="EG31146"/>
      <c r="EH31146"/>
      <c r="EI31146"/>
      <c r="EJ31146"/>
      <c r="EK31146"/>
    </row>
    <row r="31147" spans="1:141" s="116" customFormat="1">
      <c r="A31147" s="136"/>
      <c r="CM31147" s="111"/>
      <c r="CQ31147" s="111"/>
      <c r="EF31147"/>
      <c r="EG31147"/>
      <c r="EH31147"/>
      <c r="EI31147"/>
      <c r="EJ31147"/>
      <c r="EK31147"/>
    </row>
    <row r="31148" spans="1:141" s="116" customFormat="1">
      <c r="A31148" s="136"/>
      <c r="CM31148" s="111"/>
      <c r="CQ31148" s="111"/>
      <c r="EF31148"/>
      <c r="EG31148"/>
      <c r="EH31148"/>
      <c r="EI31148"/>
      <c r="EJ31148"/>
      <c r="EK31148"/>
    </row>
    <row r="31149" spans="1:141" s="116" customFormat="1">
      <c r="A31149" s="136"/>
      <c r="CM31149" s="111"/>
      <c r="CQ31149" s="111"/>
      <c r="EF31149"/>
      <c r="EG31149"/>
      <c r="EH31149"/>
      <c r="EI31149"/>
      <c r="EJ31149"/>
      <c r="EK31149"/>
    </row>
    <row r="31150" spans="1:141" s="116" customFormat="1">
      <c r="A31150" s="136"/>
      <c r="CM31150" s="111"/>
      <c r="CQ31150" s="111"/>
      <c r="EF31150"/>
      <c r="EG31150"/>
      <c r="EH31150"/>
      <c r="EI31150"/>
      <c r="EJ31150"/>
      <c r="EK31150"/>
    </row>
    <row r="31151" spans="1:141" s="116" customFormat="1">
      <c r="A31151" s="136"/>
      <c r="CM31151" s="111"/>
      <c r="CQ31151" s="111"/>
      <c r="EF31151"/>
      <c r="EG31151"/>
      <c r="EH31151"/>
      <c r="EI31151"/>
      <c r="EJ31151"/>
      <c r="EK31151"/>
    </row>
    <row r="31152" spans="1:141" s="116" customFormat="1">
      <c r="A31152" s="136"/>
      <c r="CM31152" s="111"/>
      <c r="CQ31152" s="111"/>
      <c r="EF31152"/>
      <c r="EG31152"/>
      <c r="EH31152"/>
      <c r="EI31152"/>
      <c r="EJ31152"/>
      <c r="EK31152"/>
    </row>
    <row r="31153" spans="1:141" s="116" customFormat="1">
      <c r="A31153" s="136"/>
      <c r="CM31153" s="111"/>
      <c r="CQ31153" s="111"/>
      <c r="EF31153"/>
      <c r="EG31153"/>
      <c r="EH31153"/>
      <c r="EI31153"/>
      <c r="EJ31153"/>
      <c r="EK31153"/>
    </row>
    <row r="31154" spans="1:141" s="116" customFormat="1">
      <c r="A31154" s="136"/>
      <c r="CM31154" s="111"/>
      <c r="CQ31154" s="111"/>
      <c r="EF31154"/>
      <c r="EG31154"/>
      <c r="EH31154"/>
      <c r="EI31154"/>
      <c r="EJ31154"/>
      <c r="EK31154"/>
    </row>
    <row r="31155" spans="1:141" s="116" customFormat="1">
      <c r="A31155" s="136"/>
      <c r="CM31155" s="111"/>
      <c r="CQ31155" s="111"/>
      <c r="EF31155"/>
      <c r="EG31155"/>
      <c r="EH31155"/>
      <c r="EI31155"/>
      <c r="EJ31155"/>
      <c r="EK31155"/>
    </row>
    <row r="31156" spans="1:141" s="116" customFormat="1">
      <c r="A31156" s="136"/>
      <c r="CM31156" s="111"/>
      <c r="CQ31156" s="111"/>
      <c r="EF31156"/>
      <c r="EG31156"/>
      <c r="EH31156"/>
      <c r="EI31156"/>
      <c r="EJ31156"/>
      <c r="EK31156"/>
    </row>
    <row r="31157" spans="1:141" s="116" customFormat="1">
      <c r="A31157" s="136"/>
      <c r="CM31157" s="111"/>
      <c r="CQ31157" s="111"/>
      <c r="EF31157"/>
      <c r="EG31157"/>
      <c r="EH31157"/>
      <c r="EI31157"/>
      <c r="EJ31157"/>
      <c r="EK31157"/>
    </row>
    <row r="31158" spans="1:141" s="116" customFormat="1">
      <c r="A31158" s="136"/>
      <c r="CM31158" s="111"/>
      <c r="CQ31158" s="111"/>
      <c r="EF31158"/>
      <c r="EG31158"/>
      <c r="EH31158"/>
      <c r="EI31158"/>
      <c r="EJ31158"/>
      <c r="EK31158"/>
    </row>
    <row r="31159" spans="1:141" s="116" customFormat="1">
      <c r="A31159" s="136"/>
      <c r="CM31159" s="111"/>
      <c r="CQ31159" s="111"/>
      <c r="EF31159"/>
      <c r="EG31159"/>
      <c r="EH31159"/>
      <c r="EI31159"/>
      <c r="EJ31159"/>
      <c r="EK31159"/>
    </row>
    <row r="31160" spans="1:141" s="116" customFormat="1">
      <c r="A31160" s="136"/>
      <c r="CM31160" s="111"/>
      <c r="CQ31160" s="111"/>
      <c r="EF31160"/>
      <c r="EG31160"/>
      <c r="EH31160"/>
      <c r="EI31160"/>
      <c r="EJ31160"/>
      <c r="EK31160"/>
    </row>
    <row r="31161" spans="1:141" s="116" customFormat="1">
      <c r="A31161" s="136"/>
      <c r="CM31161" s="111"/>
      <c r="CQ31161" s="111"/>
      <c r="EF31161"/>
      <c r="EG31161"/>
      <c r="EH31161"/>
      <c r="EI31161"/>
      <c r="EJ31161"/>
      <c r="EK31161"/>
    </row>
    <row r="31162" spans="1:141" s="116" customFormat="1">
      <c r="A31162" s="136"/>
      <c r="CM31162" s="111"/>
      <c r="CQ31162" s="111"/>
      <c r="EF31162"/>
      <c r="EG31162"/>
      <c r="EH31162"/>
      <c r="EI31162"/>
      <c r="EJ31162"/>
      <c r="EK31162"/>
    </row>
    <row r="31163" spans="1:141" s="116" customFormat="1">
      <c r="A31163" s="136"/>
      <c r="CM31163" s="111"/>
      <c r="CQ31163" s="111"/>
      <c r="EF31163"/>
      <c r="EG31163"/>
      <c r="EH31163"/>
      <c r="EI31163"/>
      <c r="EJ31163"/>
      <c r="EK31163"/>
    </row>
    <row r="31164" spans="1:141" s="116" customFormat="1">
      <c r="A31164" s="136"/>
      <c r="CM31164" s="111"/>
      <c r="CQ31164" s="111"/>
      <c r="EF31164"/>
      <c r="EG31164"/>
      <c r="EH31164"/>
      <c r="EI31164"/>
      <c r="EJ31164"/>
      <c r="EK31164"/>
    </row>
    <row r="31165" spans="1:141" s="116" customFormat="1">
      <c r="A31165" s="136"/>
      <c r="CM31165" s="111"/>
      <c r="CQ31165" s="111"/>
      <c r="EF31165"/>
      <c r="EG31165"/>
      <c r="EH31165"/>
      <c r="EI31165"/>
      <c r="EJ31165"/>
      <c r="EK31165"/>
    </row>
    <row r="31166" spans="1:141" s="116" customFormat="1">
      <c r="A31166" s="136"/>
      <c r="CM31166" s="111"/>
      <c r="CQ31166" s="111"/>
      <c r="EF31166"/>
      <c r="EG31166"/>
      <c r="EH31166"/>
      <c r="EI31166"/>
      <c r="EJ31166"/>
      <c r="EK31166"/>
    </row>
    <row r="31167" spans="1:141" s="116" customFormat="1">
      <c r="A31167" s="136"/>
      <c r="CM31167" s="111"/>
      <c r="CQ31167" s="111"/>
      <c r="EF31167"/>
      <c r="EG31167"/>
      <c r="EH31167"/>
      <c r="EI31167"/>
      <c r="EJ31167"/>
      <c r="EK31167"/>
    </row>
    <row r="31168" spans="1:141" s="116" customFormat="1">
      <c r="A31168" s="136"/>
      <c r="CM31168" s="111"/>
      <c r="CQ31168" s="111"/>
      <c r="EF31168"/>
      <c r="EG31168"/>
      <c r="EH31168"/>
      <c r="EI31168"/>
      <c r="EJ31168"/>
      <c r="EK31168"/>
    </row>
    <row r="31169" spans="1:141" s="116" customFormat="1">
      <c r="A31169" s="136"/>
      <c r="CM31169" s="111"/>
      <c r="CQ31169" s="111"/>
      <c r="EF31169"/>
      <c r="EG31169"/>
      <c r="EH31169"/>
      <c r="EI31169"/>
      <c r="EJ31169"/>
      <c r="EK31169"/>
    </row>
    <row r="31170" spans="1:141" s="116" customFormat="1">
      <c r="A31170" s="136"/>
      <c r="CM31170" s="111"/>
      <c r="CQ31170" s="111"/>
      <c r="EF31170"/>
      <c r="EG31170"/>
      <c r="EH31170"/>
      <c r="EI31170"/>
      <c r="EJ31170"/>
      <c r="EK31170"/>
    </row>
    <row r="31171" spans="1:141" s="116" customFormat="1">
      <c r="A31171" s="136"/>
      <c r="CM31171" s="111"/>
      <c r="CQ31171" s="111"/>
      <c r="EF31171"/>
      <c r="EG31171"/>
      <c r="EH31171"/>
      <c r="EI31171"/>
      <c r="EJ31171"/>
      <c r="EK31171"/>
    </row>
    <row r="31172" spans="1:141" s="116" customFormat="1">
      <c r="A31172" s="136"/>
      <c r="CM31172" s="111"/>
      <c r="CQ31172" s="111"/>
      <c r="EF31172"/>
      <c r="EG31172"/>
      <c r="EH31172"/>
      <c r="EI31172"/>
      <c r="EJ31172"/>
      <c r="EK31172"/>
    </row>
    <row r="31173" spans="1:141" s="116" customFormat="1">
      <c r="A31173" s="136"/>
      <c r="CM31173" s="111"/>
      <c r="CQ31173" s="111"/>
      <c r="EF31173"/>
      <c r="EG31173"/>
      <c r="EH31173"/>
      <c r="EI31173"/>
      <c r="EJ31173"/>
      <c r="EK31173"/>
    </row>
    <row r="31174" spans="1:141" s="116" customFormat="1">
      <c r="A31174" s="136"/>
      <c r="CM31174" s="111"/>
      <c r="CQ31174" s="111"/>
      <c r="EF31174"/>
      <c r="EG31174"/>
      <c r="EH31174"/>
      <c r="EI31174"/>
      <c r="EJ31174"/>
      <c r="EK31174"/>
    </row>
    <row r="31175" spans="1:141" s="116" customFormat="1">
      <c r="A31175" s="136"/>
      <c r="CM31175" s="111"/>
      <c r="CQ31175" s="111"/>
      <c r="EF31175"/>
      <c r="EG31175"/>
      <c r="EH31175"/>
      <c r="EI31175"/>
      <c r="EJ31175"/>
      <c r="EK31175"/>
    </row>
    <row r="31176" spans="1:141" s="116" customFormat="1">
      <c r="A31176" s="136"/>
      <c r="CM31176" s="111"/>
      <c r="CQ31176" s="111"/>
      <c r="EF31176"/>
      <c r="EG31176"/>
      <c r="EH31176"/>
      <c r="EI31176"/>
      <c r="EJ31176"/>
      <c r="EK31176"/>
    </row>
    <row r="31177" spans="1:141" s="116" customFormat="1">
      <c r="A31177" s="136"/>
      <c r="CM31177" s="111"/>
      <c r="CQ31177" s="111"/>
      <c r="EF31177"/>
      <c r="EG31177"/>
      <c r="EH31177"/>
      <c r="EI31177"/>
      <c r="EJ31177"/>
      <c r="EK31177"/>
    </row>
    <row r="31178" spans="1:141" s="116" customFormat="1">
      <c r="A31178" s="136"/>
      <c r="CM31178" s="111"/>
      <c r="CQ31178" s="111"/>
      <c r="EF31178"/>
      <c r="EG31178"/>
      <c r="EH31178"/>
      <c r="EI31178"/>
      <c r="EJ31178"/>
      <c r="EK31178"/>
    </row>
    <row r="31179" spans="1:141" s="116" customFormat="1">
      <c r="A31179" s="136"/>
      <c r="CM31179" s="111"/>
      <c r="CQ31179" s="111"/>
      <c r="EF31179"/>
      <c r="EG31179"/>
      <c r="EH31179"/>
      <c r="EI31179"/>
      <c r="EJ31179"/>
      <c r="EK31179"/>
    </row>
    <row r="31180" spans="1:141" s="116" customFormat="1">
      <c r="A31180" s="136"/>
      <c r="CM31180" s="111"/>
      <c r="CQ31180" s="111"/>
      <c r="EF31180"/>
      <c r="EG31180"/>
      <c r="EH31180"/>
      <c r="EI31180"/>
      <c r="EJ31180"/>
      <c r="EK31180"/>
    </row>
    <row r="31181" spans="1:141" s="116" customFormat="1">
      <c r="A31181" s="136"/>
      <c r="CM31181" s="111"/>
      <c r="CQ31181" s="111"/>
      <c r="EF31181"/>
      <c r="EG31181"/>
      <c r="EH31181"/>
      <c r="EI31181"/>
      <c r="EJ31181"/>
      <c r="EK31181"/>
    </row>
    <row r="31182" spans="1:141" s="116" customFormat="1">
      <c r="A31182" s="136"/>
      <c r="CM31182" s="111"/>
      <c r="CQ31182" s="111"/>
      <c r="EF31182"/>
      <c r="EG31182"/>
      <c r="EH31182"/>
      <c r="EI31182"/>
      <c r="EJ31182"/>
      <c r="EK31182"/>
    </row>
    <row r="31183" spans="1:141" s="116" customFormat="1">
      <c r="A31183" s="136"/>
      <c r="CM31183" s="111"/>
      <c r="CQ31183" s="111"/>
      <c r="EF31183"/>
      <c r="EG31183"/>
      <c r="EH31183"/>
      <c r="EI31183"/>
      <c r="EJ31183"/>
      <c r="EK31183"/>
    </row>
    <row r="31184" spans="1:141" s="116" customFormat="1">
      <c r="A31184" s="136"/>
      <c r="CM31184" s="111"/>
      <c r="CQ31184" s="111"/>
      <c r="EF31184"/>
      <c r="EG31184"/>
      <c r="EH31184"/>
      <c r="EI31184"/>
      <c r="EJ31184"/>
      <c r="EK31184"/>
    </row>
    <row r="31185" spans="1:141" s="116" customFormat="1">
      <c r="A31185" s="136"/>
      <c r="CM31185" s="111"/>
      <c r="CQ31185" s="111"/>
      <c r="EF31185"/>
      <c r="EG31185"/>
      <c r="EH31185"/>
      <c r="EI31185"/>
      <c r="EJ31185"/>
      <c r="EK31185"/>
    </row>
    <row r="31186" spans="1:141" s="116" customFormat="1">
      <c r="A31186" s="136"/>
      <c r="CM31186" s="111"/>
      <c r="CQ31186" s="111"/>
      <c r="EF31186"/>
      <c r="EG31186"/>
      <c r="EH31186"/>
      <c r="EI31186"/>
      <c r="EJ31186"/>
      <c r="EK31186"/>
    </row>
    <row r="31187" spans="1:141" s="116" customFormat="1">
      <c r="A31187" s="136"/>
      <c r="CM31187" s="111"/>
      <c r="CQ31187" s="111"/>
      <c r="EF31187"/>
      <c r="EG31187"/>
      <c r="EH31187"/>
      <c r="EI31187"/>
      <c r="EJ31187"/>
      <c r="EK31187"/>
    </row>
    <row r="31188" spans="1:141" s="116" customFormat="1">
      <c r="A31188" s="136"/>
      <c r="CM31188" s="111"/>
      <c r="CQ31188" s="111"/>
      <c r="EF31188"/>
      <c r="EG31188"/>
      <c r="EH31188"/>
      <c r="EI31188"/>
      <c r="EJ31188"/>
      <c r="EK31188"/>
    </row>
    <row r="31189" spans="1:141" s="116" customFormat="1">
      <c r="A31189" s="136"/>
      <c r="CM31189" s="111"/>
      <c r="CQ31189" s="111"/>
      <c r="EF31189"/>
      <c r="EG31189"/>
      <c r="EH31189"/>
      <c r="EI31189"/>
      <c r="EJ31189"/>
      <c r="EK31189"/>
    </row>
    <row r="31190" spans="1:141" s="116" customFormat="1">
      <c r="A31190" s="136"/>
      <c r="CM31190" s="111"/>
      <c r="CQ31190" s="111"/>
      <c r="EF31190"/>
      <c r="EG31190"/>
      <c r="EH31190"/>
      <c r="EI31190"/>
      <c r="EJ31190"/>
      <c r="EK31190"/>
    </row>
    <row r="31191" spans="1:141" s="116" customFormat="1">
      <c r="A31191" s="136"/>
      <c r="CM31191" s="111"/>
      <c r="CQ31191" s="111"/>
      <c r="EF31191"/>
      <c r="EG31191"/>
      <c r="EH31191"/>
      <c r="EI31191"/>
      <c r="EJ31191"/>
      <c r="EK31191"/>
    </row>
    <row r="31192" spans="1:141" s="116" customFormat="1">
      <c r="A31192" s="136"/>
      <c r="CM31192" s="111"/>
      <c r="CQ31192" s="111"/>
      <c r="EF31192"/>
      <c r="EG31192"/>
      <c r="EH31192"/>
      <c r="EI31192"/>
      <c r="EJ31192"/>
      <c r="EK31192"/>
    </row>
    <row r="31193" spans="1:141" s="116" customFormat="1">
      <c r="A31193" s="136"/>
      <c r="CM31193" s="111"/>
      <c r="CQ31193" s="111"/>
      <c r="EF31193"/>
      <c r="EG31193"/>
      <c r="EH31193"/>
      <c r="EI31193"/>
      <c r="EJ31193"/>
      <c r="EK31193"/>
    </row>
    <row r="31194" spans="1:141" s="116" customFormat="1">
      <c r="A31194" s="136"/>
      <c r="CM31194" s="111"/>
      <c r="CQ31194" s="111"/>
      <c r="EF31194"/>
      <c r="EG31194"/>
      <c r="EH31194"/>
      <c r="EI31194"/>
      <c r="EJ31194"/>
      <c r="EK31194"/>
    </row>
    <row r="31195" spans="1:141" s="116" customFormat="1">
      <c r="A31195" s="136"/>
      <c r="CM31195" s="111"/>
      <c r="CQ31195" s="111"/>
      <c r="EF31195"/>
      <c r="EG31195"/>
      <c r="EH31195"/>
      <c r="EI31195"/>
      <c r="EJ31195"/>
      <c r="EK31195"/>
    </row>
    <row r="31196" spans="1:141" s="116" customFormat="1">
      <c r="A31196" s="136"/>
      <c r="CM31196" s="111"/>
      <c r="CQ31196" s="111"/>
      <c r="EF31196"/>
      <c r="EG31196"/>
      <c r="EH31196"/>
      <c r="EI31196"/>
      <c r="EJ31196"/>
      <c r="EK31196"/>
    </row>
    <row r="31197" spans="1:141" s="116" customFormat="1">
      <c r="A31197" s="136"/>
      <c r="CM31197" s="111"/>
      <c r="CQ31197" s="111"/>
      <c r="EF31197"/>
      <c r="EG31197"/>
      <c r="EH31197"/>
      <c r="EI31197"/>
      <c r="EJ31197"/>
      <c r="EK31197"/>
    </row>
    <row r="31198" spans="1:141" s="116" customFormat="1">
      <c r="A31198" s="136"/>
      <c r="CM31198" s="111"/>
      <c r="CQ31198" s="111"/>
      <c r="EF31198"/>
      <c r="EG31198"/>
      <c r="EH31198"/>
      <c r="EI31198"/>
      <c r="EJ31198"/>
      <c r="EK31198"/>
    </row>
    <row r="31199" spans="1:141" s="116" customFormat="1">
      <c r="A31199" s="136"/>
      <c r="CM31199" s="111"/>
      <c r="CQ31199" s="111"/>
      <c r="EF31199"/>
      <c r="EG31199"/>
      <c r="EH31199"/>
      <c r="EI31199"/>
      <c r="EJ31199"/>
      <c r="EK31199"/>
    </row>
    <row r="31200" spans="1:141" s="116" customFormat="1">
      <c r="A31200" s="136"/>
      <c r="CM31200" s="111"/>
      <c r="CQ31200" s="111"/>
      <c r="EF31200"/>
      <c r="EG31200"/>
      <c r="EH31200"/>
      <c r="EI31200"/>
      <c r="EJ31200"/>
      <c r="EK31200"/>
    </row>
    <row r="31201" spans="1:141" s="116" customFormat="1">
      <c r="A31201" s="136"/>
      <c r="CM31201" s="111"/>
      <c r="CQ31201" s="111"/>
      <c r="EF31201"/>
      <c r="EG31201"/>
      <c r="EH31201"/>
      <c r="EI31201"/>
      <c r="EJ31201"/>
      <c r="EK31201"/>
    </row>
    <row r="31202" spans="1:141" s="116" customFormat="1">
      <c r="A31202" s="136"/>
      <c r="CM31202" s="111"/>
      <c r="CQ31202" s="111"/>
      <c r="EF31202"/>
      <c r="EG31202"/>
      <c r="EH31202"/>
      <c r="EI31202"/>
      <c r="EJ31202"/>
      <c r="EK31202"/>
    </row>
    <row r="31203" spans="1:141" s="116" customFormat="1">
      <c r="A31203" s="136"/>
      <c r="CM31203" s="111"/>
      <c r="CQ31203" s="111"/>
      <c r="EF31203"/>
      <c r="EG31203"/>
      <c r="EH31203"/>
      <c r="EI31203"/>
      <c r="EJ31203"/>
      <c r="EK31203"/>
    </row>
    <row r="31204" spans="1:141" s="116" customFormat="1">
      <c r="A31204" s="136"/>
      <c r="CM31204" s="111"/>
      <c r="CQ31204" s="111"/>
      <c r="EF31204"/>
      <c r="EG31204"/>
      <c r="EH31204"/>
      <c r="EI31204"/>
      <c r="EJ31204"/>
      <c r="EK31204"/>
    </row>
    <row r="31205" spans="1:141" s="116" customFormat="1">
      <c r="A31205" s="136"/>
      <c r="CM31205" s="111"/>
      <c r="CQ31205" s="111"/>
      <c r="EF31205"/>
      <c r="EG31205"/>
      <c r="EH31205"/>
      <c r="EI31205"/>
      <c r="EJ31205"/>
      <c r="EK31205"/>
    </row>
    <row r="31206" spans="1:141" s="116" customFormat="1">
      <c r="A31206" s="136"/>
      <c r="CM31206" s="111"/>
      <c r="CQ31206" s="111"/>
      <c r="EF31206"/>
      <c r="EG31206"/>
      <c r="EH31206"/>
      <c r="EI31206"/>
      <c r="EJ31206"/>
      <c r="EK31206"/>
    </row>
    <row r="31207" spans="1:141" s="116" customFormat="1">
      <c r="A31207" s="136"/>
      <c r="CM31207" s="111"/>
      <c r="CQ31207" s="111"/>
      <c r="EF31207"/>
      <c r="EG31207"/>
      <c r="EH31207"/>
      <c r="EI31207"/>
      <c r="EJ31207"/>
      <c r="EK31207"/>
    </row>
    <row r="31208" spans="1:141" s="116" customFormat="1">
      <c r="A31208" s="136"/>
      <c r="CM31208" s="111"/>
      <c r="CQ31208" s="111"/>
      <c r="EF31208"/>
      <c r="EG31208"/>
      <c r="EH31208"/>
      <c r="EI31208"/>
      <c r="EJ31208"/>
      <c r="EK31208"/>
    </row>
    <row r="31209" spans="1:141" s="116" customFormat="1">
      <c r="A31209" s="136"/>
      <c r="CM31209" s="111"/>
      <c r="CQ31209" s="111"/>
      <c r="EF31209"/>
      <c r="EG31209"/>
      <c r="EH31209"/>
      <c r="EI31209"/>
      <c r="EJ31209"/>
      <c r="EK31209"/>
    </row>
    <row r="31210" spans="1:141" s="116" customFormat="1">
      <c r="A31210" s="136"/>
      <c r="CM31210" s="111"/>
      <c r="CQ31210" s="111"/>
      <c r="EF31210"/>
      <c r="EG31210"/>
      <c r="EH31210"/>
      <c r="EI31210"/>
      <c r="EJ31210"/>
      <c r="EK31210"/>
    </row>
    <row r="31211" spans="1:141" s="116" customFormat="1">
      <c r="A31211" s="136"/>
      <c r="CM31211" s="111"/>
      <c r="CQ31211" s="111"/>
      <c r="EF31211"/>
      <c r="EG31211"/>
      <c r="EH31211"/>
      <c r="EI31211"/>
      <c r="EJ31211"/>
      <c r="EK31211"/>
    </row>
    <row r="31212" spans="1:141" s="116" customFormat="1">
      <c r="A31212" s="136"/>
      <c r="CM31212" s="111"/>
      <c r="CQ31212" s="111"/>
      <c r="EF31212"/>
      <c r="EG31212"/>
      <c r="EH31212"/>
      <c r="EI31212"/>
      <c r="EJ31212"/>
      <c r="EK31212"/>
    </row>
    <row r="31213" spans="1:141" s="116" customFormat="1">
      <c r="A31213" s="136"/>
      <c r="CM31213" s="111"/>
      <c r="CQ31213" s="111"/>
      <c r="EF31213"/>
      <c r="EG31213"/>
      <c r="EH31213"/>
      <c r="EI31213"/>
      <c r="EJ31213"/>
      <c r="EK31213"/>
    </row>
    <row r="31214" spans="1:141" s="116" customFormat="1">
      <c r="A31214" s="136"/>
      <c r="CM31214" s="111"/>
      <c r="CQ31214" s="111"/>
      <c r="EF31214"/>
      <c r="EG31214"/>
      <c r="EH31214"/>
      <c r="EI31214"/>
      <c r="EJ31214"/>
      <c r="EK31214"/>
    </row>
    <row r="31215" spans="1:141" s="116" customFormat="1">
      <c r="A31215" s="136"/>
      <c r="CM31215" s="111"/>
      <c r="CQ31215" s="111"/>
      <c r="EF31215"/>
      <c r="EG31215"/>
      <c r="EH31215"/>
      <c r="EI31215"/>
      <c r="EJ31215"/>
      <c r="EK31215"/>
    </row>
    <row r="31216" spans="1:141" s="116" customFormat="1">
      <c r="A31216" s="136"/>
      <c r="CM31216" s="111"/>
      <c r="CQ31216" s="111"/>
      <c r="EF31216"/>
      <c r="EG31216"/>
      <c r="EH31216"/>
      <c r="EI31216"/>
      <c r="EJ31216"/>
      <c r="EK31216"/>
    </row>
    <row r="31217" spans="1:141" s="116" customFormat="1">
      <c r="A31217" s="136"/>
      <c r="CM31217" s="111"/>
      <c r="CQ31217" s="111"/>
      <c r="EF31217"/>
      <c r="EG31217"/>
      <c r="EH31217"/>
      <c r="EI31217"/>
      <c r="EJ31217"/>
      <c r="EK31217"/>
    </row>
    <row r="31218" spans="1:141" s="116" customFormat="1">
      <c r="A31218" s="136"/>
      <c r="CM31218" s="111"/>
      <c r="CQ31218" s="111"/>
      <c r="EF31218"/>
      <c r="EG31218"/>
      <c r="EH31218"/>
      <c r="EI31218"/>
      <c r="EJ31218"/>
      <c r="EK31218"/>
    </row>
    <row r="31219" spans="1:141" s="116" customFormat="1">
      <c r="A31219" s="136"/>
      <c r="CM31219" s="111"/>
      <c r="CQ31219" s="111"/>
      <c r="EF31219"/>
      <c r="EG31219"/>
      <c r="EH31219"/>
      <c r="EI31219"/>
      <c r="EJ31219"/>
      <c r="EK31219"/>
    </row>
    <row r="31220" spans="1:141" s="116" customFormat="1">
      <c r="A31220" s="136"/>
      <c r="CM31220" s="111"/>
      <c r="CQ31220" s="111"/>
      <c r="EF31220"/>
      <c r="EG31220"/>
      <c r="EH31220"/>
      <c r="EI31220"/>
      <c r="EJ31220"/>
      <c r="EK31220"/>
    </row>
    <row r="31221" spans="1:141" s="116" customFormat="1">
      <c r="A31221" s="136"/>
      <c r="CM31221" s="111"/>
      <c r="CQ31221" s="111"/>
      <c r="EF31221"/>
      <c r="EG31221"/>
      <c r="EH31221"/>
      <c r="EI31221"/>
      <c r="EJ31221"/>
      <c r="EK31221"/>
    </row>
    <row r="31222" spans="1:141" s="116" customFormat="1">
      <c r="A31222" s="136"/>
      <c r="CM31222" s="111"/>
      <c r="CQ31222" s="111"/>
      <c r="EF31222"/>
      <c r="EG31222"/>
      <c r="EH31222"/>
      <c r="EI31222"/>
      <c r="EJ31222"/>
      <c r="EK31222"/>
    </row>
    <row r="31223" spans="1:141" s="116" customFormat="1">
      <c r="A31223" s="136"/>
      <c r="CM31223" s="111"/>
      <c r="CQ31223" s="111"/>
      <c r="EF31223"/>
      <c r="EG31223"/>
      <c r="EH31223"/>
      <c r="EI31223"/>
      <c r="EJ31223"/>
      <c r="EK31223"/>
    </row>
    <row r="31224" spans="1:141" s="116" customFormat="1">
      <c r="A31224" s="136"/>
      <c r="CM31224" s="111"/>
      <c r="CQ31224" s="111"/>
      <c r="EF31224"/>
      <c r="EG31224"/>
      <c r="EH31224"/>
      <c r="EI31224"/>
      <c r="EJ31224"/>
      <c r="EK31224"/>
    </row>
    <row r="31225" spans="1:141" s="116" customFormat="1">
      <c r="A31225" s="136"/>
      <c r="CM31225" s="111"/>
      <c r="CQ31225" s="111"/>
      <c r="EF31225"/>
      <c r="EG31225"/>
      <c r="EH31225"/>
      <c r="EI31225"/>
      <c r="EJ31225"/>
      <c r="EK31225"/>
    </row>
    <row r="31226" spans="1:141" s="116" customFormat="1">
      <c r="A31226" s="136"/>
      <c r="CM31226" s="111"/>
      <c r="CQ31226" s="111"/>
      <c r="EF31226"/>
      <c r="EG31226"/>
      <c r="EH31226"/>
      <c r="EI31226"/>
      <c r="EJ31226"/>
      <c r="EK31226"/>
    </row>
    <row r="31227" spans="1:141" s="116" customFormat="1">
      <c r="A31227" s="136"/>
      <c r="CM31227" s="111"/>
      <c r="CQ31227" s="111"/>
      <c r="EF31227"/>
      <c r="EG31227"/>
      <c r="EH31227"/>
      <c r="EI31227"/>
      <c r="EJ31227"/>
      <c r="EK31227"/>
    </row>
    <row r="31228" spans="1:141" s="116" customFormat="1">
      <c r="A31228" s="136"/>
      <c r="CM31228" s="111"/>
      <c r="CQ31228" s="111"/>
      <c r="EF31228"/>
      <c r="EG31228"/>
      <c r="EH31228"/>
      <c r="EI31228"/>
      <c r="EJ31228"/>
      <c r="EK31228"/>
    </row>
    <row r="31229" spans="1:141" s="116" customFormat="1">
      <c r="A31229" s="136"/>
      <c r="CM31229" s="111"/>
      <c r="CQ31229" s="111"/>
      <c r="EF31229"/>
      <c r="EG31229"/>
      <c r="EH31229"/>
      <c r="EI31229"/>
      <c r="EJ31229"/>
      <c r="EK31229"/>
    </row>
    <row r="31230" spans="1:141" s="116" customFormat="1">
      <c r="A31230" s="136"/>
      <c r="CM31230" s="111"/>
      <c r="CQ31230" s="111"/>
      <c r="EF31230"/>
      <c r="EG31230"/>
      <c r="EH31230"/>
      <c r="EI31230"/>
      <c r="EJ31230"/>
      <c r="EK31230"/>
    </row>
    <row r="31231" spans="1:141" s="116" customFormat="1">
      <c r="A31231" s="136"/>
      <c r="CM31231" s="111"/>
      <c r="CQ31231" s="111"/>
      <c r="EF31231"/>
      <c r="EG31231"/>
      <c r="EH31231"/>
      <c r="EI31231"/>
      <c r="EJ31231"/>
      <c r="EK31231"/>
    </row>
    <row r="31232" spans="1:141" s="116" customFormat="1">
      <c r="A31232" s="136"/>
      <c r="CM31232" s="111"/>
      <c r="CQ31232" s="111"/>
      <c r="EF31232"/>
      <c r="EG31232"/>
      <c r="EH31232"/>
      <c r="EI31232"/>
      <c r="EJ31232"/>
      <c r="EK31232"/>
    </row>
    <row r="31233" spans="1:141" s="116" customFormat="1">
      <c r="A31233" s="136"/>
      <c r="CM31233" s="111"/>
      <c r="CQ31233" s="111"/>
      <c r="EF31233"/>
      <c r="EG31233"/>
      <c r="EH31233"/>
      <c r="EI31233"/>
      <c r="EJ31233"/>
      <c r="EK31233"/>
    </row>
    <row r="31234" spans="1:141" s="116" customFormat="1">
      <c r="A31234" s="136"/>
      <c r="CM31234" s="111"/>
      <c r="CQ31234" s="111"/>
      <c r="EF31234"/>
      <c r="EG31234"/>
      <c r="EH31234"/>
      <c r="EI31234"/>
      <c r="EJ31234"/>
      <c r="EK31234"/>
    </row>
    <row r="31235" spans="1:141" s="116" customFormat="1">
      <c r="A31235" s="136"/>
      <c r="CM31235" s="111"/>
      <c r="CQ31235" s="111"/>
      <c r="EF31235"/>
      <c r="EG31235"/>
      <c r="EH31235"/>
      <c r="EI31235"/>
      <c r="EJ31235"/>
      <c r="EK31235"/>
    </row>
    <row r="31236" spans="1:141" s="116" customFormat="1">
      <c r="A31236" s="136"/>
      <c r="CM31236" s="111"/>
      <c r="CQ31236" s="111"/>
      <c r="EF31236"/>
      <c r="EG31236"/>
      <c r="EH31236"/>
      <c r="EI31236"/>
      <c r="EJ31236"/>
      <c r="EK31236"/>
    </row>
    <row r="31237" spans="1:141" s="116" customFormat="1">
      <c r="A31237" s="136"/>
      <c r="CM31237" s="111"/>
      <c r="CQ31237" s="111"/>
      <c r="EF31237"/>
      <c r="EG31237"/>
      <c r="EH31237"/>
      <c r="EI31237"/>
      <c r="EJ31237"/>
      <c r="EK31237"/>
    </row>
    <row r="31238" spans="1:141" s="116" customFormat="1">
      <c r="A31238" s="136"/>
      <c r="CM31238" s="111"/>
      <c r="CQ31238" s="111"/>
      <c r="EF31238"/>
      <c r="EG31238"/>
      <c r="EH31238"/>
      <c r="EI31238"/>
      <c r="EJ31238"/>
      <c r="EK31238"/>
    </row>
    <row r="31239" spans="1:141" s="116" customFormat="1">
      <c r="A31239" s="136"/>
      <c r="CM31239" s="111"/>
      <c r="CQ31239" s="111"/>
      <c r="EF31239"/>
      <c r="EG31239"/>
      <c r="EH31239"/>
      <c r="EI31239"/>
      <c r="EJ31239"/>
      <c r="EK31239"/>
    </row>
    <row r="31240" spans="1:141" s="116" customFormat="1">
      <c r="A31240" s="136"/>
      <c r="CM31240" s="111"/>
      <c r="CQ31240" s="111"/>
      <c r="EF31240"/>
      <c r="EG31240"/>
      <c r="EH31240"/>
      <c r="EI31240"/>
      <c r="EJ31240"/>
      <c r="EK31240"/>
    </row>
    <row r="31241" spans="1:141" s="116" customFormat="1">
      <c r="A31241" s="136"/>
      <c r="CM31241" s="111"/>
      <c r="CQ31241" s="111"/>
      <c r="EF31241"/>
      <c r="EG31241"/>
      <c r="EH31241"/>
      <c r="EI31241"/>
      <c r="EJ31241"/>
      <c r="EK31241"/>
    </row>
    <row r="31242" spans="1:141" s="116" customFormat="1">
      <c r="A31242" s="136"/>
      <c r="CM31242" s="111"/>
      <c r="CQ31242" s="111"/>
      <c r="EF31242"/>
      <c r="EG31242"/>
      <c r="EH31242"/>
      <c r="EI31242"/>
      <c r="EJ31242"/>
      <c r="EK31242"/>
    </row>
    <row r="31243" spans="1:141" s="116" customFormat="1">
      <c r="A31243" s="136"/>
      <c r="CM31243" s="111"/>
      <c r="CQ31243" s="111"/>
      <c r="EF31243"/>
      <c r="EG31243"/>
      <c r="EH31243"/>
      <c r="EI31243"/>
      <c r="EJ31243"/>
      <c r="EK31243"/>
    </row>
    <row r="31244" spans="1:141" s="116" customFormat="1">
      <c r="A31244" s="136"/>
      <c r="CM31244" s="111"/>
      <c r="CQ31244" s="111"/>
      <c r="EF31244"/>
      <c r="EG31244"/>
      <c r="EH31244"/>
      <c r="EI31244"/>
      <c r="EJ31244"/>
      <c r="EK31244"/>
    </row>
    <row r="31245" spans="1:141" s="116" customFormat="1">
      <c r="A31245" s="136"/>
      <c r="CM31245" s="111"/>
      <c r="CQ31245" s="111"/>
      <c r="EF31245"/>
      <c r="EG31245"/>
      <c r="EH31245"/>
      <c r="EI31245"/>
      <c r="EJ31245"/>
      <c r="EK31245"/>
    </row>
    <row r="31246" spans="1:141" s="116" customFormat="1">
      <c r="A31246" s="136"/>
      <c r="CM31246" s="111"/>
      <c r="CQ31246" s="111"/>
      <c r="EF31246"/>
      <c r="EG31246"/>
      <c r="EH31246"/>
      <c r="EI31246"/>
      <c r="EJ31246"/>
      <c r="EK31246"/>
    </row>
    <row r="31247" spans="1:141" s="116" customFormat="1">
      <c r="A31247" s="136"/>
      <c r="CM31247" s="111"/>
      <c r="CQ31247" s="111"/>
      <c r="EF31247"/>
      <c r="EG31247"/>
      <c r="EH31247"/>
      <c r="EI31247"/>
      <c r="EJ31247"/>
      <c r="EK31247"/>
    </row>
    <row r="31248" spans="1:141" s="116" customFormat="1">
      <c r="A31248" s="136"/>
      <c r="CM31248" s="111"/>
      <c r="CQ31248" s="111"/>
      <c r="EF31248"/>
      <c r="EG31248"/>
      <c r="EH31248"/>
      <c r="EI31248"/>
      <c r="EJ31248"/>
      <c r="EK31248"/>
    </row>
    <row r="31249" spans="1:141" s="116" customFormat="1">
      <c r="A31249" s="136"/>
      <c r="CM31249" s="111"/>
      <c r="CQ31249" s="111"/>
      <c r="EF31249"/>
      <c r="EG31249"/>
      <c r="EH31249"/>
      <c r="EI31249"/>
      <c r="EJ31249"/>
      <c r="EK31249"/>
    </row>
    <row r="31250" spans="1:141" s="116" customFormat="1">
      <c r="A31250" s="136"/>
      <c r="CM31250" s="111"/>
      <c r="CQ31250" s="111"/>
      <c r="EF31250"/>
      <c r="EG31250"/>
      <c r="EH31250"/>
      <c r="EI31250"/>
      <c r="EJ31250"/>
      <c r="EK31250"/>
    </row>
    <row r="31251" spans="1:141" s="116" customFormat="1">
      <c r="A31251" s="136"/>
      <c r="CM31251" s="111"/>
      <c r="CQ31251" s="111"/>
      <c r="EF31251"/>
      <c r="EG31251"/>
      <c r="EH31251"/>
      <c r="EI31251"/>
      <c r="EJ31251"/>
      <c r="EK31251"/>
    </row>
    <row r="31252" spans="1:141" s="116" customFormat="1">
      <c r="A31252" s="136"/>
      <c r="CM31252" s="111"/>
      <c r="CQ31252" s="111"/>
      <c r="EF31252"/>
      <c r="EG31252"/>
      <c r="EH31252"/>
      <c r="EI31252"/>
      <c r="EJ31252"/>
      <c r="EK31252"/>
    </row>
    <row r="31253" spans="1:141" s="116" customFormat="1">
      <c r="A31253" s="136"/>
      <c r="CM31253" s="111"/>
      <c r="CQ31253" s="111"/>
      <c r="EF31253"/>
      <c r="EG31253"/>
      <c r="EH31253"/>
      <c r="EI31253"/>
      <c r="EJ31253"/>
      <c r="EK31253"/>
    </row>
    <row r="31254" spans="1:141" s="116" customFormat="1">
      <c r="A31254" s="136"/>
      <c r="CM31254" s="111"/>
      <c r="CQ31254" s="111"/>
      <c r="EF31254"/>
      <c r="EG31254"/>
      <c r="EH31254"/>
      <c r="EI31254"/>
      <c r="EJ31254"/>
      <c r="EK31254"/>
    </row>
    <row r="31255" spans="1:141" s="116" customFormat="1">
      <c r="A31255" s="136"/>
      <c r="CM31255" s="111"/>
      <c r="CQ31255" s="111"/>
      <c r="EF31255"/>
      <c r="EG31255"/>
      <c r="EH31255"/>
      <c r="EI31255"/>
      <c r="EJ31255"/>
      <c r="EK31255"/>
    </row>
    <row r="31256" spans="1:141" s="116" customFormat="1">
      <c r="A31256" s="136"/>
      <c r="CM31256" s="111"/>
      <c r="CQ31256" s="111"/>
      <c r="EF31256"/>
      <c r="EG31256"/>
      <c r="EH31256"/>
      <c r="EI31256"/>
      <c r="EJ31256"/>
      <c r="EK31256"/>
    </row>
    <row r="31257" spans="1:141" s="116" customFormat="1">
      <c r="A31257" s="136"/>
      <c r="CM31257" s="111"/>
      <c r="CQ31257" s="111"/>
      <c r="EF31257"/>
      <c r="EG31257"/>
      <c r="EH31257"/>
      <c r="EI31257"/>
      <c r="EJ31257"/>
      <c r="EK31257"/>
    </row>
    <row r="31258" spans="1:141" s="116" customFormat="1">
      <c r="A31258" s="136"/>
      <c r="CM31258" s="111"/>
      <c r="CQ31258" s="111"/>
      <c r="EF31258"/>
      <c r="EG31258"/>
      <c r="EH31258"/>
      <c r="EI31258"/>
      <c r="EJ31258"/>
      <c r="EK31258"/>
    </row>
    <row r="31259" spans="1:141" s="116" customFormat="1">
      <c r="A31259" s="136"/>
      <c r="CM31259" s="111"/>
      <c r="CQ31259" s="111"/>
      <c r="EF31259"/>
      <c r="EG31259"/>
      <c r="EH31259"/>
      <c r="EI31259"/>
      <c r="EJ31259"/>
      <c r="EK31259"/>
    </row>
    <row r="31260" spans="1:141" s="116" customFormat="1">
      <c r="A31260" s="136"/>
      <c r="CM31260" s="111"/>
      <c r="CQ31260" s="111"/>
      <c r="EF31260"/>
      <c r="EG31260"/>
      <c r="EH31260"/>
      <c r="EI31260"/>
      <c r="EJ31260"/>
      <c r="EK31260"/>
    </row>
    <row r="31261" spans="1:141" s="116" customFormat="1">
      <c r="A31261" s="136"/>
      <c r="CM31261" s="111"/>
      <c r="CQ31261" s="111"/>
      <c r="EF31261"/>
      <c r="EG31261"/>
      <c r="EH31261"/>
      <c r="EI31261"/>
      <c r="EJ31261"/>
      <c r="EK31261"/>
    </row>
    <row r="31262" spans="1:141" s="116" customFormat="1">
      <c r="A31262" s="136"/>
      <c r="CM31262" s="111"/>
      <c r="CQ31262" s="111"/>
      <c r="EF31262"/>
      <c r="EG31262"/>
      <c r="EH31262"/>
      <c r="EI31262"/>
      <c r="EJ31262"/>
      <c r="EK31262"/>
    </row>
    <row r="31263" spans="1:141" s="116" customFormat="1">
      <c r="A31263" s="136"/>
      <c r="CM31263" s="111"/>
      <c r="CQ31263" s="111"/>
      <c r="EF31263"/>
      <c r="EG31263"/>
      <c r="EH31263"/>
      <c r="EI31263"/>
      <c r="EJ31263"/>
      <c r="EK31263"/>
    </row>
    <row r="31264" spans="1:141" s="116" customFormat="1">
      <c r="A31264" s="136"/>
      <c r="CM31264" s="111"/>
      <c r="CQ31264" s="111"/>
      <c r="EF31264"/>
      <c r="EG31264"/>
      <c r="EH31264"/>
      <c r="EI31264"/>
      <c r="EJ31264"/>
      <c r="EK31264"/>
    </row>
    <row r="31265" spans="1:141" s="116" customFormat="1">
      <c r="A31265" s="136"/>
      <c r="CM31265" s="111"/>
      <c r="CQ31265" s="111"/>
      <c r="EF31265"/>
      <c r="EG31265"/>
      <c r="EH31265"/>
      <c r="EI31265"/>
      <c r="EJ31265"/>
      <c r="EK31265"/>
    </row>
    <row r="31266" spans="1:141" s="116" customFormat="1">
      <c r="A31266" s="136"/>
      <c r="CM31266" s="111"/>
      <c r="CQ31266" s="111"/>
      <c r="EF31266"/>
      <c r="EG31266"/>
      <c r="EH31266"/>
      <c r="EI31266"/>
      <c r="EJ31266"/>
      <c r="EK31266"/>
    </row>
    <row r="31267" spans="1:141" s="116" customFormat="1">
      <c r="A31267" s="136"/>
      <c r="CM31267" s="111"/>
      <c r="CQ31267" s="111"/>
      <c r="EF31267"/>
      <c r="EG31267"/>
      <c r="EH31267"/>
      <c r="EI31267"/>
      <c r="EJ31267"/>
      <c r="EK31267"/>
    </row>
    <row r="31268" spans="1:141" s="116" customFormat="1">
      <c r="A31268" s="136"/>
      <c r="CM31268" s="111"/>
      <c r="CQ31268" s="111"/>
      <c r="EF31268"/>
      <c r="EG31268"/>
      <c r="EH31268"/>
      <c r="EI31268"/>
      <c r="EJ31268"/>
      <c r="EK31268"/>
    </row>
    <row r="31269" spans="1:141" s="116" customFormat="1">
      <c r="A31269" s="136"/>
      <c r="CM31269" s="111"/>
      <c r="CQ31269" s="111"/>
      <c r="EF31269"/>
      <c r="EG31269"/>
      <c r="EH31269"/>
      <c r="EI31269"/>
      <c r="EJ31269"/>
      <c r="EK31269"/>
    </row>
    <row r="31270" spans="1:141" s="116" customFormat="1">
      <c r="A31270" s="136"/>
      <c r="CM31270" s="111"/>
      <c r="CQ31270" s="111"/>
      <c r="EF31270"/>
      <c r="EG31270"/>
      <c r="EH31270"/>
      <c r="EI31270"/>
      <c r="EJ31270"/>
      <c r="EK31270"/>
    </row>
    <row r="31271" spans="1:141" s="116" customFormat="1">
      <c r="A31271" s="136"/>
      <c r="CM31271" s="111"/>
      <c r="CQ31271" s="111"/>
      <c r="EF31271"/>
      <c r="EG31271"/>
      <c r="EH31271"/>
      <c r="EI31271"/>
      <c r="EJ31271"/>
      <c r="EK31271"/>
    </row>
    <row r="31272" spans="1:141" s="116" customFormat="1">
      <c r="A31272" s="136"/>
      <c r="CM31272" s="111"/>
      <c r="CQ31272" s="111"/>
      <c r="EF31272"/>
      <c r="EG31272"/>
      <c r="EH31272"/>
      <c r="EI31272"/>
      <c r="EJ31272"/>
      <c r="EK31272"/>
    </row>
    <row r="31273" spans="1:141" s="116" customFormat="1">
      <c r="A31273" s="136"/>
      <c r="CM31273" s="111"/>
      <c r="CQ31273" s="111"/>
      <c r="EF31273"/>
      <c r="EG31273"/>
      <c r="EH31273"/>
      <c r="EI31273"/>
      <c r="EJ31273"/>
      <c r="EK31273"/>
    </row>
    <row r="31274" spans="1:141" s="116" customFormat="1">
      <c r="A31274" s="136"/>
      <c r="CM31274" s="111"/>
      <c r="CQ31274" s="111"/>
      <c r="EF31274"/>
      <c r="EG31274"/>
      <c r="EH31274"/>
      <c r="EI31274"/>
      <c r="EJ31274"/>
      <c r="EK31274"/>
    </row>
    <row r="31275" spans="1:141" s="116" customFormat="1">
      <c r="A31275" s="136"/>
      <c r="CM31275" s="111"/>
      <c r="CQ31275" s="111"/>
      <c r="EF31275"/>
      <c r="EG31275"/>
      <c r="EH31275"/>
      <c r="EI31275"/>
      <c r="EJ31275"/>
      <c r="EK31275"/>
    </row>
    <row r="31276" spans="1:141" s="116" customFormat="1">
      <c r="A31276" s="136"/>
      <c r="CM31276" s="111"/>
      <c r="CQ31276" s="111"/>
      <c r="EF31276"/>
      <c r="EG31276"/>
      <c r="EH31276"/>
      <c r="EI31276"/>
      <c r="EJ31276"/>
      <c r="EK31276"/>
    </row>
    <row r="31277" spans="1:141" s="116" customFormat="1">
      <c r="A31277" s="136"/>
      <c r="CM31277" s="111"/>
      <c r="CQ31277" s="111"/>
      <c r="EF31277"/>
      <c r="EG31277"/>
      <c r="EH31277"/>
      <c r="EI31277"/>
      <c r="EJ31277"/>
      <c r="EK31277"/>
    </row>
    <row r="31278" spans="1:141" s="116" customFormat="1">
      <c r="A31278" s="136"/>
      <c r="CM31278" s="111"/>
      <c r="CQ31278" s="111"/>
      <c r="EF31278"/>
      <c r="EG31278"/>
      <c r="EH31278"/>
      <c r="EI31278"/>
      <c r="EJ31278"/>
      <c r="EK31278"/>
    </row>
    <row r="31279" spans="1:141" s="116" customFormat="1">
      <c r="A31279" s="136"/>
      <c r="CM31279" s="111"/>
      <c r="CQ31279" s="111"/>
      <c r="EF31279"/>
      <c r="EG31279"/>
      <c r="EH31279"/>
      <c r="EI31279"/>
      <c r="EJ31279"/>
      <c r="EK31279"/>
    </row>
    <row r="31280" spans="1:141" s="116" customFormat="1">
      <c r="A31280" s="136"/>
      <c r="CM31280" s="111"/>
      <c r="CQ31280" s="111"/>
      <c r="EF31280"/>
      <c r="EG31280"/>
      <c r="EH31280"/>
      <c r="EI31280"/>
      <c r="EJ31280"/>
      <c r="EK31280"/>
    </row>
    <row r="31281" spans="1:141" s="116" customFormat="1">
      <c r="A31281" s="136"/>
      <c r="CM31281" s="111"/>
      <c r="CQ31281" s="111"/>
      <c r="EF31281"/>
      <c r="EG31281"/>
      <c r="EH31281"/>
      <c r="EI31281"/>
      <c r="EJ31281"/>
      <c r="EK31281"/>
    </row>
    <row r="31282" spans="1:141" s="116" customFormat="1">
      <c r="A31282" s="136"/>
      <c r="CM31282" s="111"/>
      <c r="CQ31282" s="111"/>
      <c r="EF31282"/>
      <c r="EG31282"/>
      <c r="EH31282"/>
      <c r="EI31282"/>
      <c r="EJ31282"/>
      <c r="EK31282"/>
    </row>
    <row r="31283" spans="1:141" s="116" customFormat="1">
      <c r="A31283" s="136"/>
      <c r="CM31283" s="111"/>
      <c r="CQ31283" s="111"/>
      <c r="EF31283"/>
      <c r="EG31283"/>
      <c r="EH31283"/>
      <c r="EI31283"/>
      <c r="EJ31283"/>
      <c r="EK31283"/>
    </row>
    <row r="31284" spans="1:141" s="116" customFormat="1">
      <c r="A31284" s="136"/>
      <c r="CM31284" s="111"/>
      <c r="CQ31284" s="111"/>
      <c r="EF31284"/>
      <c r="EG31284"/>
      <c r="EH31284"/>
      <c r="EI31284"/>
      <c r="EJ31284"/>
      <c r="EK31284"/>
    </row>
    <row r="31285" spans="1:141" s="116" customFormat="1">
      <c r="A31285" s="136"/>
      <c r="CM31285" s="111"/>
      <c r="CQ31285" s="111"/>
      <c r="EF31285"/>
      <c r="EG31285"/>
      <c r="EH31285"/>
      <c r="EI31285"/>
      <c r="EJ31285"/>
      <c r="EK31285"/>
    </row>
    <row r="31286" spans="1:141" s="116" customFormat="1">
      <c r="A31286" s="136"/>
      <c r="CM31286" s="111"/>
      <c r="CQ31286" s="111"/>
      <c r="EF31286"/>
      <c r="EG31286"/>
      <c r="EH31286"/>
      <c r="EI31286"/>
      <c r="EJ31286"/>
      <c r="EK31286"/>
    </row>
    <row r="31287" spans="1:141" s="116" customFormat="1">
      <c r="A31287" s="136"/>
      <c r="CM31287" s="111"/>
      <c r="CQ31287" s="111"/>
      <c r="EF31287"/>
      <c r="EG31287"/>
      <c r="EH31287"/>
      <c r="EI31287"/>
      <c r="EJ31287"/>
      <c r="EK31287"/>
    </row>
    <row r="31288" spans="1:141" s="116" customFormat="1">
      <c r="A31288" s="136"/>
      <c r="CM31288" s="111"/>
      <c r="CQ31288" s="111"/>
      <c r="EF31288"/>
      <c r="EG31288"/>
      <c r="EH31288"/>
      <c r="EI31288"/>
      <c r="EJ31288"/>
      <c r="EK31288"/>
    </row>
    <row r="31289" spans="1:141" s="116" customFormat="1">
      <c r="A31289" s="136"/>
      <c r="CM31289" s="111"/>
      <c r="CQ31289" s="111"/>
      <c r="EF31289"/>
      <c r="EG31289"/>
      <c r="EH31289"/>
      <c r="EI31289"/>
      <c r="EJ31289"/>
      <c r="EK31289"/>
    </row>
    <row r="31290" spans="1:141" s="116" customFormat="1">
      <c r="A31290" s="136"/>
      <c r="CM31290" s="111"/>
      <c r="CQ31290" s="111"/>
      <c r="EF31290"/>
      <c r="EG31290"/>
      <c r="EH31290"/>
      <c r="EI31290"/>
      <c r="EJ31290"/>
      <c r="EK31290"/>
    </row>
    <row r="31291" spans="1:141" s="116" customFormat="1">
      <c r="A31291" s="136"/>
      <c r="CM31291" s="111"/>
      <c r="CQ31291" s="111"/>
      <c r="EF31291"/>
      <c r="EG31291"/>
      <c r="EH31291"/>
      <c r="EI31291"/>
      <c r="EJ31291"/>
      <c r="EK31291"/>
    </row>
    <row r="31292" spans="1:141" s="116" customFormat="1">
      <c r="A31292" s="136"/>
      <c r="CM31292" s="111"/>
      <c r="CQ31292" s="111"/>
      <c r="EF31292"/>
      <c r="EG31292"/>
      <c r="EH31292"/>
      <c r="EI31292"/>
      <c r="EJ31292"/>
      <c r="EK31292"/>
    </row>
    <row r="31293" spans="1:141" s="116" customFormat="1">
      <c r="A31293" s="136"/>
      <c r="CM31293" s="111"/>
      <c r="CQ31293" s="111"/>
      <c r="EF31293"/>
      <c r="EG31293"/>
      <c r="EH31293"/>
      <c r="EI31293"/>
      <c r="EJ31293"/>
      <c r="EK31293"/>
    </row>
    <row r="31294" spans="1:141" s="116" customFormat="1">
      <c r="A31294" s="136"/>
      <c r="CM31294" s="111"/>
      <c r="CQ31294" s="111"/>
      <c r="EF31294"/>
      <c r="EG31294"/>
      <c r="EH31294"/>
      <c r="EI31294"/>
      <c r="EJ31294"/>
      <c r="EK31294"/>
    </row>
    <row r="31295" spans="1:141" s="116" customFormat="1">
      <c r="A31295" s="136"/>
      <c r="CM31295" s="111"/>
      <c r="CQ31295" s="111"/>
      <c r="EF31295"/>
      <c r="EG31295"/>
      <c r="EH31295"/>
      <c r="EI31295"/>
      <c r="EJ31295"/>
      <c r="EK31295"/>
    </row>
    <row r="31296" spans="1:141" s="116" customFormat="1">
      <c r="A31296" s="136"/>
      <c r="CM31296" s="111"/>
      <c r="CQ31296" s="111"/>
      <c r="EF31296"/>
      <c r="EG31296"/>
      <c r="EH31296"/>
      <c r="EI31296"/>
      <c r="EJ31296"/>
      <c r="EK31296"/>
    </row>
    <row r="31297" spans="1:141" s="116" customFormat="1">
      <c r="A31297" s="136"/>
      <c r="CM31297" s="111"/>
      <c r="CQ31297" s="111"/>
      <c r="EF31297"/>
      <c r="EG31297"/>
      <c r="EH31297"/>
      <c r="EI31297"/>
      <c r="EJ31297"/>
      <c r="EK31297"/>
    </row>
    <row r="31298" spans="1:141" s="116" customFormat="1">
      <c r="A31298" s="136"/>
      <c r="CM31298" s="111"/>
      <c r="CQ31298" s="111"/>
      <c r="EF31298"/>
      <c r="EG31298"/>
      <c r="EH31298"/>
      <c r="EI31298"/>
      <c r="EJ31298"/>
      <c r="EK31298"/>
    </row>
    <row r="31299" spans="1:141" s="116" customFormat="1">
      <c r="A31299" s="136"/>
      <c r="CM31299" s="111"/>
      <c r="CQ31299" s="111"/>
      <c r="EF31299"/>
      <c r="EG31299"/>
      <c r="EH31299"/>
      <c r="EI31299"/>
      <c r="EJ31299"/>
      <c r="EK31299"/>
    </row>
    <row r="31300" spans="1:141" s="116" customFormat="1">
      <c r="A31300" s="136"/>
      <c r="CM31300" s="111"/>
      <c r="CQ31300" s="111"/>
      <c r="EF31300"/>
      <c r="EG31300"/>
      <c r="EH31300"/>
      <c r="EI31300"/>
      <c r="EJ31300"/>
      <c r="EK31300"/>
    </row>
    <row r="31301" spans="1:141" s="116" customFormat="1">
      <c r="A31301" s="136"/>
      <c r="CM31301" s="111"/>
      <c r="CQ31301" s="111"/>
      <c r="EF31301"/>
      <c r="EG31301"/>
      <c r="EH31301"/>
      <c r="EI31301"/>
      <c r="EJ31301"/>
      <c r="EK31301"/>
    </row>
    <row r="31302" spans="1:141" s="116" customFormat="1">
      <c r="A31302" s="136"/>
      <c r="CM31302" s="111"/>
      <c r="CQ31302" s="111"/>
      <c r="EF31302"/>
      <c r="EG31302"/>
      <c r="EH31302"/>
      <c r="EI31302"/>
      <c r="EJ31302"/>
      <c r="EK31302"/>
    </row>
    <row r="31303" spans="1:141" s="116" customFormat="1">
      <c r="A31303" s="136"/>
      <c r="CM31303" s="111"/>
      <c r="CQ31303" s="111"/>
      <c r="EF31303"/>
      <c r="EG31303"/>
      <c r="EH31303"/>
      <c r="EI31303"/>
      <c r="EJ31303"/>
      <c r="EK31303"/>
    </row>
    <row r="31304" spans="1:141" s="116" customFormat="1">
      <c r="A31304" s="136"/>
      <c r="CM31304" s="111"/>
      <c r="CQ31304" s="111"/>
      <c r="EF31304"/>
      <c r="EG31304"/>
      <c r="EH31304"/>
      <c r="EI31304"/>
      <c r="EJ31304"/>
      <c r="EK31304"/>
    </row>
    <row r="31305" spans="1:141" s="116" customFormat="1">
      <c r="A31305" s="136"/>
      <c r="CM31305" s="111"/>
      <c r="CQ31305" s="111"/>
      <c r="EF31305"/>
      <c r="EG31305"/>
      <c r="EH31305"/>
      <c r="EI31305"/>
      <c r="EJ31305"/>
      <c r="EK31305"/>
    </row>
    <row r="31306" spans="1:141" s="116" customFormat="1">
      <c r="A31306" s="136"/>
      <c r="CM31306" s="111"/>
      <c r="CQ31306" s="111"/>
      <c r="EF31306"/>
      <c r="EG31306"/>
      <c r="EH31306"/>
      <c r="EI31306"/>
      <c r="EJ31306"/>
      <c r="EK31306"/>
    </row>
    <row r="31307" spans="1:141" s="116" customFormat="1">
      <c r="A31307" s="136"/>
      <c r="CM31307" s="111"/>
      <c r="CQ31307" s="111"/>
      <c r="EF31307"/>
      <c r="EG31307"/>
      <c r="EH31307"/>
      <c r="EI31307"/>
      <c r="EJ31307"/>
      <c r="EK31307"/>
    </row>
    <row r="31308" spans="1:141" s="116" customFormat="1">
      <c r="A31308" s="136"/>
      <c r="CM31308" s="111"/>
      <c r="CQ31308" s="111"/>
      <c r="EF31308"/>
      <c r="EG31308"/>
      <c r="EH31308"/>
      <c r="EI31308"/>
      <c r="EJ31308"/>
      <c r="EK31308"/>
    </row>
    <row r="31309" spans="1:141" s="116" customFormat="1">
      <c r="A31309" s="136"/>
      <c r="CM31309" s="111"/>
      <c r="CQ31309" s="111"/>
      <c r="EF31309"/>
      <c r="EG31309"/>
      <c r="EH31309"/>
      <c r="EI31309"/>
      <c r="EJ31309"/>
      <c r="EK31309"/>
    </row>
    <row r="31310" spans="1:141" s="116" customFormat="1">
      <c r="A31310" s="136"/>
      <c r="CM31310" s="111"/>
      <c r="CQ31310" s="111"/>
      <c r="EF31310"/>
      <c r="EG31310"/>
      <c r="EH31310"/>
      <c r="EI31310"/>
      <c r="EJ31310"/>
      <c r="EK31310"/>
    </row>
    <row r="31311" spans="1:141" s="116" customFormat="1">
      <c r="A31311" s="136"/>
      <c r="CM31311" s="111"/>
      <c r="CQ31311" s="111"/>
      <c r="EF31311"/>
      <c r="EG31311"/>
      <c r="EH31311"/>
      <c r="EI31311"/>
      <c r="EJ31311"/>
      <c r="EK31311"/>
    </row>
    <row r="31312" spans="1:141" s="116" customFormat="1">
      <c r="A31312" s="136"/>
      <c r="CM31312" s="111"/>
      <c r="CQ31312" s="111"/>
      <c r="EF31312"/>
      <c r="EG31312"/>
      <c r="EH31312"/>
      <c r="EI31312"/>
      <c r="EJ31312"/>
      <c r="EK31312"/>
    </row>
    <row r="31313" spans="1:141" s="116" customFormat="1">
      <c r="A31313" s="136"/>
      <c r="CM31313" s="111"/>
      <c r="CQ31313" s="111"/>
      <c r="EF31313"/>
      <c r="EG31313"/>
      <c r="EH31313"/>
      <c r="EI31313"/>
      <c r="EJ31313"/>
      <c r="EK31313"/>
    </row>
    <row r="31314" spans="1:141" s="116" customFormat="1">
      <c r="A31314" s="136"/>
      <c r="CM31314" s="111"/>
      <c r="CQ31314" s="111"/>
      <c r="EF31314"/>
      <c r="EG31314"/>
      <c r="EH31314"/>
      <c r="EI31314"/>
      <c r="EJ31314"/>
      <c r="EK31314"/>
    </row>
    <row r="31315" spans="1:141" s="116" customFormat="1">
      <c r="A31315" s="136"/>
      <c r="CM31315" s="111"/>
      <c r="CQ31315" s="111"/>
      <c r="EF31315"/>
      <c r="EG31315"/>
      <c r="EH31315"/>
      <c r="EI31315"/>
      <c r="EJ31315"/>
      <c r="EK31315"/>
    </row>
    <row r="31316" spans="1:141" s="116" customFormat="1">
      <c r="A31316" s="136"/>
      <c r="CM31316" s="111"/>
      <c r="CQ31316" s="111"/>
      <c r="EF31316"/>
      <c r="EG31316"/>
      <c r="EH31316"/>
      <c r="EI31316"/>
      <c r="EJ31316"/>
      <c r="EK31316"/>
    </row>
    <row r="31317" spans="1:141" s="116" customFormat="1">
      <c r="A31317" s="136"/>
      <c r="CM31317" s="111"/>
      <c r="CQ31317" s="111"/>
      <c r="EF31317"/>
      <c r="EG31317"/>
      <c r="EH31317"/>
      <c r="EI31317"/>
      <c r="EJ31317"/>
      <c r="EK31317"/>
    </row>
    <row r="31318" spans="1:141" s="116" customFormat="1">
      <c r="A31318" s="136"/>
      <c r="CM31318" s="111"/>
      <c r="CQ31318" s="111"/>
      <c r="EF31318"/>
      <c r="EG31318"/>
      <c r="EH31318"/>
      <c r="EI31318"/>
      <c r="EJ31318"/>
      <c r="EK31318"/>
    </row>
    <row r="31319" spans="1:141" s="116" customFormat="1">
      <c r="A31319" s="136"/>
      <c r="CM31319" s="111"/>
      <c r="CQ31319" s="111"/>
      <c r="EF31319"/>
      <c r="EG31319"/>
      <c r="EH31319"/>
      <c r="EI31319"/>
      <c r="EJ31319"/>
      <c r="EK31319"/>
    </row>
    <row r="31320" spans="1:141" s="116" customFormat="1">
      <c r="A31320" s="136"/>
      <c r="CM31320" s="111"/>
      <c r="CQ31320" s="111"/>
      <c r="EF31320"/>
      <c r="EG31320"/>
      <c r="EH31320"/>
      <c r="EI31320"/>
      <c r="EJ31320"/>
      <c r="EK31320"/>
    </row>
    <row r="31321" spans="1:141" s="116" customFormat="1">
      <c r="A31321" s="136"/>
      <c r="CM31321" s="111"/>
      <c r="CQ31321" s="111"/>
      <c r="EF31321"/>
      <c r="EG31321"/>
      <c r="EH31321"/>
      <c r="EI31321"/>
      <c r="EJ31321"/>
      <c r="EK31321"/>
    </row>
    <row r="31322" spans="1:141" s="116" customFormat="1">
      <c r="A31322" s="136"/>
      <c r="CM31322" s="111"/>
      <c r="CQ31322" s="111"/>
      <c r="EF31322"/>
      <c r="EG31322"/>
      <c r="EH31322"/>
      <c r="EI31322"/>
      <c r="EJ31322"/>
      <c r="EK31322"/>
    </row>
    <row r="31323" spans="1:141" s="116" customFormat="1">
      <c r="A31323" s="136"/>
      <c r="CM31323" s="111"/>
      <c r="CQ31323" s="111"/>
      <c r="EF31323"/>
      <c r="EG31323"/>
      <c r="EH31323"/>
      <c r="EI31323"/>
      <c r="EJ31323"/>
      <c r="EK31323"/>
    </row>
    <row r="31324" spans="1:141" s="116" customFormat="1">
      <c r="A31324" s="136"/>
      <c r="CM31324" s="111"/>
      <c r="CQ31324" s="111"/>
      <c r="EF31324"/>
      <c r="EG31324"/>
      <c r="EH31324"/>
      <c r="EI31324"/>
      <c r="EJ31324"/>
      <c r="EK31324"/>
    </row>
    <row r="31325" spans="1:141" s="116" customFormat="1">
      <c r="A31325" s="136"/>
      <c r="CM31325" s="111"/>
      <c r="CQ31325" s="111"/>
      <c r="EF31325"/>
      <c r="EG31325"/>
      <c r="EH31325"/>
      <c r="EI31325"/>
      <c r="EJ31325"/>
      <c r="EK31325"/>
    </row>
    <row r="31326" spans="1:141" s="116" customFormat="1">
      <c r="A31326" s="136"/>
      <c r="CM31326" s="111"/>
      <c r="CQ31326" s="111"/>
      <c r="EF31326"/>
      <c r="EG31326"/>
      <c r="EH31326"/>
      <c r="EI31326"/>
      <c r="EJ31326"/>
      <c r="EK31326"/>
    </row>
    <row r="31327" spans="1:141" s="116" customFormat="1">
      <c r="A31327" s="136"/>
      <c r="CM31327" s="111"/>
      <c r="CQ31327" s="111"/>
      <c r="EF31327"/>
      <c r="EG31327"/>
      <c r="EH31327"/>
      <c r="EI31327"/>
      <c r="EJ31327"/>
      <c r="EK31327"/>
    </row>
    <row r="31328" spans="1:141" s="116" customFormat="1">
      <c r="A31328" s="136"/>
      <c r="CM31328" s="111"/>
      <c r="CQ31328" s="111"/>
      <c r="EF31328"/>
      <c r="EG31328"/>
      <c r="EH31328"/>
      <c r="EI31328"/>
      <c r="EJ31328"/>
      <c r="EK31328"/>
    </row>
    <row r="31329" spans="1:141" s="116" customFormat="1">
      <c r="A31329" s="136"/>
      <c r="CM31329" s="111"/>
      <c r="CQ31329" s="111"/>
      <c r="EF31329"/>
      <c r="EG31329"/>
      <c r="EH31329"/>
      <c r="EI31329"/>
      <c r="EJ31329"/>
      <c r="EK31329"/>
    </row>
    <row r="31330" spans="1:141" s="116" customFormat="1">
      <c r="A31330" s="136"/>
      <c r="CM31330" s="111"/>
      <c r="CQ31330" s="111"/>
      <c r="EF31330"/>
      <c r="EG31330"/>
      <c r="EH31330"/>
      <c r="EI31330"/>
      <c r="EJ31330"/>
      <c r="EK31330"/>
    </row>
    <row r="31331" spans="1:141" s="116" customFormat="1">
      <c r="A31331" s="136"/>
      <c r="CM31331" s="111"/>
      <c r="CQ31331" s="111"/>
      <c r="EF31331"/>
      <c r="EG31331"/>
      <c r="EH31331"/>
      <c r="EI31331"/>
      <c r="EJ31331"/>
      <c r="EK31331"/>
    </row>
    <row r="31332" spans="1:141" s="116" customFormat="1">
      <c r="A31332" s="136"/>
      <c r="CM31332" s="111"/>
      <c r="CQ31332" s="111"/>
      <c r="EF31332"/>
      <c r="EG31332"/>
      <c r="EH31332"/>
      <c r="EI31332"/>
      <c r="EJ31332"/>
      <c r="EK31332"/>
    </row>
    <row r="31333" spans="1:141" s="116" customFormat="1">
      <c r="A31333" s="136"/>
      <c r="CM31333" s="111"/>
      <c r="CQ31333" s="111"/>
      <c r="EF31333"/>
      <c r="EG31333"/>
      <c r="EH31333"/>
      <c r="EI31333"/>
      <c r="EJ31333"/>
      <c r="EK31333"/>
    </row>
    <row r="31334" spans="1:141" s="116" customFormat="1">
      <c r="A31334" s="136"/>
      <c r="CM31334" s="111"/>
      <c r="CQ31334" s="111"/>
      <c r="EF31334"/>
      <c r="EG31334"/>
      <c r="EH31334"/>
      <c r="EI31334"/>
      <c r="EJ31334"/>
      <c r="EK31334"/>
    </row>
    <row r="31335" spans="1:141" s="116" customFormat="1">
      <c r="A31335" s="136"/>
      <c r="CM31335" s="111"/>
      <c r="CQ31335" s="111"/>
      <c r="EF31335"/>
      <c r="EG31335"/>
      <c r="EH31335"/>
      <c r="EI31335"/>
      <c r="EJ31335"/>
      <c r="EK31335"/>
    </row>
    <row r="31336" spans="1:141" s="116" customFormat="1">
      <c r="A31336" s="136"/>
      <c r="CM31336" s="111"/>
      <c r="CQ31336" s="111"/>
      <c r="EF31336"/>
      <c r="EG31336"/>
      <c r="EH31336"/>
      <c r="EI31336"/>
      <c r="EJ31336"/>
      <c r="EK31336"/>
    </row>
    <row r="31337" spans="1:141" s="116" customFormat="1">
      <c r="A31337" s="136"/>
      <c r="CM31337" s="111"/>
      <c r="CQ31337" s="111"/>
      <c r="EF31337"/>
      <c r="EG31337"/>
      <c r="EH31337"/>
      <c r="EI31337"/>
      <c r="EJ31337"/>
      <c r="EK31337"/>
    </row>
    <row r="31338" spans="1:141" s="116" customFormat="1">
      <c r="A31338" s="136"/>
      <c r="CM31338" s="111"/>
      <c r="CQ31338" s="111"/>
      <c r="EF31338"/>
      <c r="EG31338"/>
      <c r="EH31338"/>
      <c r="EI31338"/>
      <c r="EJ31338"/>
      <c r="EK31338"/>
    </row>
    <row r="31339" spans="1:141" s="116" customFormat="1">
      <c r="A31339" s="136"/>
      <c r="CM31339" s="111"/>
      <c r="CQ31339" s="111"/>
      <c r="EF31339"/>
      <c r="EG31339"/>
      <c r="EH31339"/>
      <c r="EI31339"/>
      <c r="EJ31339"/>
      <c r="EK31339"/>
    </row>
    <row r="31340" spans="1:141" s="116" customFormat="1">
      <c r="A31340" s="136"/>
      <c r="CM31340" s="111"/>
      <c r="CQ31340" s="111"/>
      <c r="EF31340"/>
      <c r="EG31340"/>
      <c r="EH31340"/>
      <c r="EI31340"/>
      <c r="EJ31340"/>
      <c r="EK31340"/>
    </row>
    <row r="31341" spans="1:141" s="116" customFormat="1">
      <c r="A31341" s="136"/>
      <c r="CM31341" s="111"/>
      <c r="CQ31341" s="111"/>
      <c r="EF31341"/>
      <c r="EG31341"/>
      <c r="EH31341"/>
      <c r="EI31341"/>
      <c r="EJ31341"/>
      <c r="EK31341"/>
    </row>
    <row r="31342" spans="1:141" s="116" customFormat="1">
      <c r="A31342" s="136"/>
      <c r="CM31342" s="111"/>
      <c r="CQ31342" s="111"/>
      <c r="EF31342"/>
      <c r="EG31342"/>
      <c r="EH31342"/>
      <c r="EI31342"/>
      <c r="EJ31342"/>
      <c r="EK31342"/>
    </row>
    <row r="31343" spans="1:141" s="116" customFormat="1">
      <c r="A31343" s="136"/>
      <c r="CM31343" s="111"/>
      <c r="CQ31343" s="111"/>
      <c r="EF31343"/>
      <c r="EG31343"/>
      <c r="EH31343"/>
      <c r="EI31343"/>
      <c r="EJ31343"/>
      <c r="EK31343"/>
    </row>
    <row r="31344" spans="1:141" s="116" customFormat="1">
      <c r="A31344" s="136"/>
      <c r="CM31344" s="111"/>
      <c r="CQ31344" s="111"/>
      <c r="EF31344"/>
      <c r="EG31344"/>
      <c r="EH31344"/>
      <c r="EI31344"/>
      <c r="EJ31344"/>
      <c r="EK31344"/>
    </row>
    <row r="31345" spans="1:141" s="116" customFormat="1">
      <c r="A31345" s="136"/>
      <c r="CM31345" s="111"/>
      <c r="CQ31345" s="111"/>
      <c r="EF31345"/>
      <c r="EG31345"/>
      <c r="EH31345"/>
      <c r="EI31345"/>
      <c r="EJ31345"/>
      <c r="EK31345"/>
    </row>
    <row r="31346" spans="1:141" s="116" customFormat="1">
      <c r="A31346" s="136"/>
      <c r="CM31346" s="111"/>
      <c r="CQ31346" s="111"/>
      <c r="EF31346"/>
      <c r="EG31346"/>
      <c r="EH31346"/>
      <c r="EI31346"/>
      <c r="EJ31346"/>
      <c r="EK31346"/>
    </row>
    <row r="31347" spans="1:141" s="116" customFormat="1">
      <c r="A31347" s="136"/>
      <c r="CM31347" s="111"/>
      <c r="CQ31347" s="111"/>
      <c r="EF31347"/>
      <c r="EG31347"/>
      <c r="EH31347"/>
      <c r="EI31347"/>
      <c r="EJ31347"/>
      <c r="EK31347"/>
    </row>
    <row r="31348" spans="1:141" s="116" customFormat="1">
      <c r="A31348" s="136"/>
      <c r="CM31348" s="111"/>
      <c r="CQ31348" s="111"/>
      <c r="EF31348"/>
      <c r="EG31348"/>
      <c r="EH31348"/>
      <c r="EI31348"/>
      <c r="EJ31348"/>
      <c r="EK31348"/>
    </row>
    <row r="31349" spans="1:141" s="116" customFormat="1">
      <c r="A31349" s="136"/>
      <c r="CM31349" s="111"/>
      <c r="CQ31349" s="111"/>
      <c r="EF31349"/>
      <c r="EG31349"/>
      <c r="EH31349"/>
      <c r="EI31349"/>
      <c r="EJ31349"/>
      <c r="EK31349"/>
    </row>
    <row r="31350" spans="1:141" s="116" customFormat="1">
      <c r="A31350" s="136"/>
      <c r="CM31350" s="111"/>
      <c r="CQ31350" s="111"/>
      <c r="EF31350"/>
      <c r="EG31350"/>
      <c r="EH31350"/>
      <c r="EI31350"/>
      <c r="EJ31350"/>
      <c r="EK31350"/>
    </row>
    <row r="31351" spans="1:141" s="116" customFormat="1">
      <c r="A31351" s="136"/>
      <c r="CM31351" s="111"/>
      <c r="CQ31351" s="111"/>
      <c r="EF31351"/>
      <c r="EG31351"/>
      <c r="EH31351"/>
      <c r="EI31351"/>
      <c r="EJ31351"/>
      <c r="EK31351"/>
    </row>
    <row r="31352" spans="1:141" s="116" customFormat="1">
      <c r="A31352" s="136"/>
      <c r="CM31352" s="111"/>
      <c r="CQ31352" s="111"/>
      <c r="EF31352"/>
      <c r="EG31352"/>
      <c r="EH31352"/>
      <c r="EI31352"/>
      <c r="EJ31352"/>
      <c r="EK31352"/>
    </row>
    <row r="31353" spans="1:141" s="116" customFormat="1">
      <c r="A31353" s="136"/>
      <c r="CM31353" s="111"/>
      <c r="CQ31353" s="111"/>
      <c r="EF31353"/>
      <c r="EG31353"/>
      <c r="EH31353"/>
      <c r="EI31353"/>
      <c r="EJ31353"/>
      <c r="EK31353"/>
    </row>
    <row r="31354" spans="1:141" s="116" customFormat="1">
      <c r="A31354" s="136"/>
      <c r="CM31354" s="111"/>
      <c r="CQ31354" s="111"/>
      <c r="EF31354"/>
      <c r="EG31354"/>
      <c r="EH31354"/>
      <c r="EI31354"/>
      <c r="EJ31354"/>
      <c r="EK31354"/>
    </row>
    <row r="31355" spans="1:141" s="116" customFormat="1">
      <c r="A31355" s="136"/>
      <c r="CM31355" s="111"/>
      <c r="CQ31355" s="111"/>
      <c r="EF31355"/>
      <c r="EG31355"/>
      <c r="EH31355"/>
      <c r="EI31355"/>
      <c r="EJ31355"/>
      <c r="EK31355"/>
    </row>
    <row r="31356" spans="1:141" s="116" customFormat="1">
      <c r="A31356" s="136"/>
      <c r="CM31356" s="111"/>
      <c r="CQ31356" s="111"/>
      <c r="EF31356"/>
      <c r="EG31356"/>
      <c r="EH31356"/>
      <c r="EI31356"/>
      <c r="EJ31356"/>
      <c r="EK31356"/>
    </row>
    <row r="31357" spans="1:141" s="116" customFormat="1">
      <c r="A31357" s="136"/>
      <c r="CM31357" s="111"/>
      <c r="CQ31357" s="111"/>
      <c r="EF31357"/>
      <c r="EG31357"/>
      <c r="EH31357"/>
      <c r="EI31357"/>
      <c r="EJ31357"/>
      <c r="EK31357"/>
    </row>
    <row r="31358" spans="1:141" s="116" customFormat="1">
      <c r="A31358" s="136"/>
      <c r="CM31358" s="111"/>
      <c r="CQ31358" s="111"/>
      <c r="EF31358"/>
      <c r="EG31358"/>
      <c r="EH31358"/>
      <c r="EI31358"/>
      <c r="EJ31358"/>
      <c r="EK31358"/>
    </row>
    <row r="31359" spans="1:141" s="116" customFormat="1">
      <c r="A31359" s="136"/>
      <c r="CM31359" s="111"/>
      <c r="CQ31359" s="111"/>
      <c r="EF31359"/>
      <c r="EG31359"/>
      <c r="EH31359"/>
      <c r="EI31359"/>
      <c r="EJ31359"/>
      <c r="EK31359"/>
    </row>
    <row r="31360" spans="1:141" s="116" customFormat="1">
      <c r="A31360" s="136"/>
      <c r="CM31360" s="111"/>
      <c r="CQ31360" s="111"/>
      <c r="EF31360"/>
      <c r="EG31360"/>
      <c r="EH31360"/>
      <c r="EI31360"/>
      <c r="EJ31360"/>
      <c r="EK31360"/>
    </row>
    <row r="31361" spans="1:141" s="116" customFormat="1">
      <c r="A31361" s="136"/>
      <c r="CM31361" s="111"/>
      <c r="CQ31361" s="111"/>
      <c r="EF31361"/>
      <c r="EG31361"/>
      <c r="EH31361"/>
      <c r="EI31361"/>
      <c r="EJ31361"/>
      <c r="EK31361"/>
    </row>
    <row r="31362" spans="1:141" s="116" customFormat="1">
      <c r="A31362" s="136"/>
      <c r="CM31362" s="111"/>
      <c r="CQ31362" s="111"/>
      <c r="EF31362"/>
      <c r="EG31362"/>
      <c r="EH31362"/>
      <c r="EI31362"/>
      <c r="EJ31362"/>
      <c r="EK31362"/>
    </row>
    <row r="31363" spans="1:141" s="116" customFormat="1">
      <c r="A31363" s="136"/>
      <c r="CM31363" s="111"/>
      <c r="CQ31363" s="111"/>
      <c r="EF31363"/>
      <c r="EG31363"/>
      <c r="EH31363"/>
      <c r="EI31363"/>
      <c r="EJ31363"/>
      <c r="EK31363"/>
    </row>
    <row r="31364" spans="1:141" s="116" customFormat="1">
      <c r="A31364" s="136"/>
      <c r="CM31364" s="111"/>
      <c r="CQ31364" s="111"/>
      <c r="EF31364"/>
      <c r="EG31364"/>
      <c r="EH31364"/>
      <c r="EI31364"/>
      <c r="EJ31364"/>
      <c r="EK31364"/>
    </row>
    <row r="31365" spans="1:141" s="116" customFormat="1">
      <c r="A31365" s="136"/>
      <c r="CM31365" s="111"/>
      <c r="CQ31365" s="111"/>
      <c r="EF31365"/>
      <c r="EG31365"/>
      <c r="EH31365"/>
      <c r="EI31365"/>
      <c r="EJ31365"/>
      <c r="EK31365"/>
    </row>
    <row r="31366" spans="1:141" s="116" customFormat="1">
      <c r="A31366" s="136"/>
      <c r="CM31366" s="111"/>
      <c r="CQ31366" s="111"/>
      <c r="EF31366"/>
      <c r="EG31366"/>
      <c r="EH31366"/>
      <c r="EI31366"/>
      <c r="EJ31366"/>
      <c r="EK31366"/>
    </row>
    <row r="31367" spans="1:141" s="116" customFormat="1">
      <c r="A31367" s="136"/>
      <c r="CM31367" s="111"/>
      <c r="CQ31367" s="111"/>
      <c r="EF31367"/>
      <c r="EG31367"/>
      <c r="EH31367"/>
      <c r="EI31367"/>
      <c r="EJ31367"/>
      <c r="EK31367"/>
    </row>
    <row r="31368" spans="1:141" s="116" customFormat="1">
      <c r="A31368" s="136"/>
      <c r="CM31368" s="111"/>
      <c r="CQ31368" s="111"/>
      <c r="EF31368"/>
      <c r="EG31368"/>
      <c r="EH31368"/>
      <c r="EI31368"/>
      <c r="EJ31368"/>
      <c r="EK31368"/>
    </row>
    <row r="31369" spans="1:141" s="116" customFormat="1">
      <c r="A31369" s="136"/>
      <c r="CM31369" s="111"/>
      <c r="CQ31369" s="111"/>
      <c r="EF31369"/>
      <c r="EG31369"/>
      <c r="EH31369"/>
      <c r="EI31369"/>
      <c r="EJ31369"/>
      <c r="EK31369"/>
    </row>
    <row r="31370" spans="1:141" s="116" customFormat="1">
      <c r="A31370" s="136"/>
      <c r="CM31370" s="111"/>
      <c r="CQ31370" s="111"/>
      <c r="EF31370"/>
      <c r="EG31370"/>
      <c r="EH31370"/>
      <c r="EI31370"/>
      <c r="EJ31370"/>
      <c r="EK31370"/>
    </row>
    <row r="31371" spans="1:141" s="116" customFormat="1">
      <c r="A31371" s="136"/>
      <c r="CM31371" s="111"/>
      <c r="CQ31371" s="111"/>
      <c r="EF31371"/>
      <c r="EG31371"/>
      <c r="EH31371"/>
      <c r="EI31371"/>
      <c r="EJ31371"/>
      <c r="EK31371"/>
    </row>
    <row r="31372" spans="1:141" s="116" customFormat="1">
      <c r="A31372" s="136"/>
      <c r="CM31372" s="111"/>
      <c r="CQ31372" s="111"/>
      <c r="EF31372"/>
      <c r="EG31372"/>
      <c r="EH31372"/>
      <c r="EI31372"/>
      <c r="EJ31372"/>
      <c r="EK31372"/>
    </row>
    <row r="31373" spans="1:141" s="116" customFormat="1">
      <c r="A31373" s="136"/>
      <c r="CM31373" s="111"/>
      <c r="CQ31373" s="111"/>
      <c r="EF31373"/>
      <c r="EG31373"/>
      <c r="EH31373"/>
      <c r="EI31373"/>
      <c r="EJ31373"/>
      <c r="EK31373"/>
    </row>
    <row r="31374" spans="1:141" s="116" customFormat="1">
      <c r="A31374" s="136"/>
      <c r="CM31374" s="111"/>
      <c r="CQ31374" s="111"/>
      <c r="EF31374"/>
      <c r="EG31374"/>
      <c r="EH31374"/>
      <c r="EI31374"/>
      <c r="EJ31374"/>
      <c r="EK31374"/>
    </row>
    <row r="31375" spans="1:141" s="116" customFormat="1">
      <c r="A31375" s="136"/>
      <c r="CM31375" s="111"/>
      <c r="CQ31375" s="111"/>
      <c r="EF31375"/>
      <c r="EG31375"/>
      <c r="EH31375"/>
      <c r="EI31375"/>
      <c r="EJ31375"/>
      <c r="EK31375"/>
    </row>
    <row r="31376" spans="1:141" s="116" customFormat="1">
      <c r="A31376" s="136"/>
      <c r="CM31376" s="111"/>
      <c r="CQ31376" s="111"/>
      <c r="EF31376"/>
      <c r="EG31376"/>
      <c r="EH31376"/>
      <c r="EI31376"/>
      <c r="EJ31376"/>
      <c r="EK31376"/>
    </row>
    <row r="31377" spans="1:141" s="116" customFormat="1">
      <c r="A31377" s="136"/>
      <c r="CM31377" s="111"/>
      <c r="CQ31377" s="111"/>
      <c r="EF31377"/>
      <c r="EG31377"/>
      <c r="EH31377"/>
      <c r="EI31377"/>
      <c r="EJ31377"/>
      <c r="EK31377"/>
    </row>
    <row r="31378" spans="1:141" s="116" customFormat="1">
      <c r="A31378" s="136"/>
      <c r="CM31378" s="111"/>
      <c r="CQ31378" s="111"/>
      <c r="EF31378"/>
      <c r="EG31378"/>
      <c r="EH31378"/>
      <c r="EI31378"/>
      <c r="EJ31378"/>
      <c r="EK31378"/>
    </row>
    <row r="31379" spans="1:141" s="116" customFormat="1">
      <c r="A31379" s="136"/>
      <c r="CM31379" s="111"/>
      <c r="CQ31379" s="111"/>
      <c r="EF31379"/>
      <c r="EG31379"/>
      <c r="EH31379"/>
      <c r="EI31379"/>
      <c r="EJ31379"/>
      <c r="EK31379"/>
    </row>
    <row r="31380" spans="1:141" s="116" customFormat="1">
      <c r="A31380" s="136"/>
      <c r="CM31380" s="111"/>
      <c r="CQ31380" s="111"/>
      <c r="EF31380"/>
      <c r="EG31380"/>
      <c r="EH31380"/>
      <c r="EI31380"/>
      <c r="EJ31380"/>
      <c r="EK31380"/>
    </row>
    <row r="31381" spans="1:141" s="116" customFormat="1">
      <c r="A31381" s="136"/>
      <c r="CM31381" s="111"/>
      <c r="CQ31381" s="111"/>
      <c r="EF31381"/>
      <c r="EG31381"/>
      <c r="EH31381"/>
      <c r="EI31381"/>
      <c r="EJ31381"/>
      <c r="EK31381"/>
    </row>
    <row r="31382" spans="1:141" s="116" customFormat="1">
      <c r="A31382" s="136"/>
      <c r="CM31382" s="111"/>
      <c r="CQ31382" s="111"/>
      <c r="EF31382"/>
      <c r="EG31382"/>
      <c r="EH31382"/>
      <c r="EI31382"/>
      <c r="EJ31382"/>
      <c r="EK31382"/>
    </row>
    <row r="31383" spans="1:141" s="116" customFormat="1">
      <c r="A31383" s="136"/>
      <c r="CM31383" s="111"/>
      <c r="CQ31383" s="111"/>
      <c r="EF31383"/>
      <c r="EG31383"/>
      <c r="EH31383"/>
      <c r="EI31383"/>
      <c r="EJ31383"/>
      <c r="EK31383"/>
    </row>
    <row r="31384" spans="1:141" s="116" customFormat="1">
      <c r="A31384" s="136"/>
      <c r="CM31384" s="111"/>
      <c r="CQ31384" s="111"/>
      <c r="EF31384"/>
      <c r="EG31384"/>
      <c r="EH31384"/>
      <c r="EI31384"/>
      <c r="EJ31384"/>
      <c r="EK31384"/>
    </row>
    <row r="31385" spans="1:141" s="116" customFormat="1">
      <c r="A31385" s="136"/>
      <c r="CM31385" s="111"/>
      <c r="CQ31385" s="111"/>
      <c r="EF31385"/>
      <c r="EG31385"/>
      <c r="EH31385"/>
      <c r="EI31385"/>
      <c r="EJ31385"/>
      <c r="EK31385"/>
    </row>
    <row r="31386" spans="1:141" s="116" customFormat="1">
      <c r="A31386" s="136"/>
      <c r="CM31386" s="111"/>
      <c r="CQ31386" s="111"/>
      <c r="EF31386"/>
      <c r="EG31386"/>
      <c r="EH31386"/>
      <c r="EI31386"/>
      <c r="EJ31386"/>
      <c r="EK31386"/>
    </row>
    <row r="31387" spans="1:141" s="116" customFormat="1">
      <c r="A31387" s="136"/>
      <c r="CM31387" s="111"/>
      <c r="CQ31387" s="111"/>
      <c r="EF31387"/>
      <c r="EG31387"/>
      <c r="EH31387"/>
      <c r="EI31387"/>
      <c r="EJ31387"/>
      <c r="EK31387"/>
    </row>
    <row r="31388" spans="1:141" s="116" customFormat="1">
      <c r="A31388" s="136"/>
      <c r="CM31388" s="111"/>
      <c r="CQ31388" s="111"/>
      <c r="EF31388"/>
      <c r="EG31388"/>
      <c r="EH31388"/>
      <c r="EI31388"/>
      <c r="EJ31388"/>
      <c r="EK31388"/>
    </row>
    <row r="31389" spans="1:141" s="116" customFormat="1">
      <c r="A31389" s="136"/>
      <c r="CM31389" s="111"/>
      <c r="CQ31389" s="111"/>
      <c r="EF31389"/>
      <c r="EG31389"/>
      <c r="EH31389"/>
      <c r="EI31389"/>
      <c r="EJ31389"/>
      <c r="EK31389"/>
    </row>
    <row r="31390" spans="1:141" s="116" customFormat="1">
      <c r="A31390" s="136"/>
      <c r="CM31390" s="111"/>
      <c r="CQ31390" s="111"/>
      <c r="EF31390"/>
      <c r="EG31390"/>
      <c r="EH31390"/>
      <c r="EI31390"/>
      <c r="EJ31390"/>
      <c r="EK31390"/>
    </row>
    <row r="31391" spans="1:141" s="116" customFormat="1">
      <c r="A31391" s="136"/>
      <c r="CM31391" s="111"/>
      <c r="CQ31391" s="111"/>
      <c r="EF31391"/>
      <c r="EG31391"/>
      <c r="EH31391"/>
      <c r="EI31391"/>
      <c r="EJ31391"/>
      <c r="EK31391"/>
    </row>
    <row r="31392" spans="1:141" s="116" customFormat="1">
      <c r="A31392" s="136"/>
      <c r="CM31392" s="111"/>
      <c r="CQ31392" s="111"/>
      <c r="EF31392"/>
      <c r="EG31392"/>
      <c r="EH31392"/>
      <c r="EI31392"/>
      <c r="EJ31392"/>
      <c r="EK31392"/>
    </row>
    <row r="31393" spans="1:141" s="116" customFormat="1">
      <c r="A31393" s="136"/>
      <c r="CM31393" s="111"/>
      <c r="CQ31393" s="111"/>
      <c r="EF31393"/>
      <c r="EG31393"/>
      <c r="EH31393"/>
      <c r="EI31393"/>
      <c r="EJ31393"/>
      <c r="EK31393"/>
    </row>
    <row r="31394" spans="1:141" s="116" customFormat="1">
      <c r="A31394" s="136"/>
      <c r="CM31394" s="111"/>
      <c r="CQ31394" s="111"/>
      <c r="EF31394"/>
      <c r="EG31394"/>
      <c r="EH31394"/>
      <c r="EI31394"/>
      <c r="EJ31394"/>
      <c r="EK31394"/>
    </row>
    <row r="31395" spans="1:141" s="116" customFormat="1">
      <c r="A31395" s="136"/>
      <c r="CM31395" s="111"/>
      <c r="CQ31395" s="111"/>
      <c r="EF31395"/>
      <c r="EG31395"/>
      <c r="EH31395"/>
      <c r="EI31395"/>
      <c r="EJ31395"/>
      <c r="EK31395"/>
    </row>
    <row r="31396" spans="1:141" s="116" customFormat="1">
      <c r="A31396" s="136"/>
      <c r="CM31396" s="111"/>
      <c r="CQ31396" s="111"/>
      <c r="EF31396"/>
      <c r="EG31396"/>
      <c r="EH31396"/>
      <c r="EI31396"/>
      <c r="EJ31396"/>
      <c r="EK31396"/>
    </row>
    <row r="31397" spans="1:141" s="116" customFormat="1">
      <c r="A31397" s="136"/>
      <c r="CM31397" s="111"/>
      <c r="CQ31397" s="111"/>
      <c r="EF31397"/>
      <c r="EG31397"/>
      <c r="EH31397"/>
      <c r="EI31397"/>
      <c r="EJ31397"/>
      <c r="EK31397"/>
    </row>
    <row r="31398" spans="1:141" s="116" customFormat="1">
      <c r="A31398" s="136"/>
      <c r="CM31398" s="111"/>
      <c r="CQ31398" s="111"/>
      <c r="EF31398"/>
      <c r="EG31398"/>
      <c r="EH31398"/>
      <c r="EI31398"/>
      <c r="EJ31398"/>
      <c r="EK31398"/>
    </row>
    <row r="31399" spans="1:141" s="116" customFormat="1">
      <c r="A31399" s="136"/>
      <c r="CM31399" s="111"/>
      <c r="CQ31399" s="111"/>
      <c r="EF31399"/>
      <c r="EG31399"/>
      <c r="EH31399"/>
      <c r="EI31399"/>
      <c r="EJ31399"/>
      <c r="EK31399"/>
    </row>
    <row r="31400" spans="1:141" s="116" customFormat="1">
      <c r="A31400" s="136"/>
      <c r="CM31400" s="111"/>
      <c r="CQ31400" s="111"/>
      <c r="EF31400"/>
      <c r="EG31400"/>
      <c r="EH31400"/>
      <c r="EI31400"/>
      <c r="EJ31400"/>
      <c r="EK31400"/>
    </row>
    <row r="31401" spans="1:141" s="116" customFormat="1">
      <c r="A31401" s="136"/>
      <c r="CM31401" s="111"/>
      <c r="CQ31401" s="111"/>
      <c r="EF31401"/>
      <c r="EG31401"/>
      <c r="EH31401"/>
      <c r="EI31401"/>
      <c r="EJ31401"/>
      <c r="EK31401"/>
    </row>
    <row r="31402" spans="1:141" s="116" customFormat="1">
      <c r="A31402" s="136"/>
      <c r="CM31402" s="111"/>
      <c r="CQ31402" s="111"/>
      <c r="EF31402"/>
      <c r="EG31402"/>
      <c r="EH31402"/>
      <c r="EI31402"/>
      <c r="EJ31402"/>
      <c r="EK31402"/>
    </row>
    <row r="31403" spans="1:141" s="116" customFormat="1">
      <c r="A31403" s="136"/>
      <c r="CM31403" s="111"/>
      <c r="CQ31403" s="111"/>
      <c r="EF31403"/>
      <c r="EG31403"/>
      <c r="EH31403"/>
      <c r="EI31403"/>
      <c r="EJ31403"/>
      <c r="EK31403"/>
    </row>
    <row r="31404" spans="1:141" s="116" customFormat="1">
      <c r="A31404" s="136"/>
      <c r="CM31404" s="111"/>
      <c r="CQ31404" s="111"/>
      <c r="EF31404"/>
      <c r="EG31404"/>
      <c r="EH31404"/>
      <c r="EI31404"/>
      <c r="EJ31404"/>
      <c r="EK31404"/>
    </row>
    <row r="31405" spans="1:141" s="116" customFormat="1">
      <c r="A31405" s="136"/>
      <c r="CM31405" s="111"/>
      <c r="CQ31405" s="111"/>
      <c r="EF31405"/>
      <c r="EG31405"/>
      <c r="EH31405"/>
      <c r="EI31405"/>
      <c r="EJ31405"/>
      <c r="EK31405"/>
    </row>
    <row r="31406" spans="1:141" s="116" customFormat="1">
      <c r="A31406" s="136"/>
      <c r="CM31406" s="111"/>
      <c r="CQ31406" s="111"/>
      <c r="EF31406"/>
      <c r="EG31406"/>
      <c r="EH31406"/>
      <c r="EI31406"/>
      <c r="EJ31406"/>
      <c r="EK31406"/>
    </row>
    <row r="31407" spans="1:141" s="116" customFormat="1">
      <c r="A31407" s="136"/>
      <c r="CM31407" s="111"/>
      <c r="CQ31407" s="111"/>
      <c r="EF31407"/>
      <c r="EG31407"/>
      <c r="EH31407"/>
      <c r="EI31407"/>
      <c r="EJ31407"/>
      <c r="EK31407"/>
    </row>
    <row r="31408" spans="1:141" s="116" customFormat="1">
      <c r="A31408" s="136"/>
      <c r="CM31408" s="111"/>
      <c r="CQ31408" s="111"/>
      <c r="EF31408"/>
      <c r="EG31408"/>
      <c r="EH31408"/>
      <c r="EI31408"/>
      <c r="EJ31408"/>
      <c r="EK31408"/>
    </row>
    <row r="31409" spans="1:141" s="116" customFormat="1">
      <c r="A31409" s="136"/>
      <c r="CM31409" s="111"/>
      <c r="CQ31409" s="111"/>
      <c r="EF31409"/>
      <c r="EG31409"/>
      <c r="EH31409"/>
      <c r="EI31409"/>
      <c r="EJ31409"/>
      <c r="EK31409"/>
    </row>
    <row r="31410" spans="1:141" s="116" customFormat="1">
      <c r="A31410" s="136"/>
      <c r="CM31410" s="111"/>
      <c r="CQ31410" s="111"/>
      <c r="EF31410"/>
      <c r="EG31410"/>
      <c r="EH31410"/>
      <c r="EI31410"/>
      <c r="EJ31410"/>
      <c r="EK31410"/>
    </row>
    <row r="31411" spans="1:141" s="116" customFormat="1">
      <c r="A31411" s="136"/>
      <c r="CM31411" s="111"/>
      <c r="CQ31411" s="111"/>
      <c r="EF31411"/>
      <c r="EG31411"/>
      <c r="EH31411"/>
      <c r="EI31411"/>
      <c r="EJ31411"/>
      <c r="EK31411"/>
    </row>
    <row r="31412" spans="1:141" s="116" customFormat="1">
      <c r="A31412" s="136"/>
      <c r="CM31412" s="111"/>
      <c r="CQ31412" s="111"/>
      <c r="EF31412"/>
      <c r="EG31412"/>
      <c r="EH31412"/>
      <c r="EI31412"/>
      <c r="EJ31412"/>
      <c r="EK31412"/>
    </row>
    <row r="31413" spans="1:141" s="116" customFormat="1">
      <c r="A31413" s="136"/>
      <c r="CM31413" s="111"/>
      <c r="CQ31413" s="111"/>
      <c r="EF31413"/>
      <c r="EG31413"/>
      <c r="EH31413"/>
      <c r="EI31413"/>
      <c r="EJ31413"/>
      <c r="EK31413"/>
    </row>
    <row r="31414" spans="1:141" s="116" customFormat="1">
      <c r="A31414" s="136"/>
      <c r="CM31414" s="111"/>
      <c r="CQ31414" s="111"/>
      <c r="EF31414"/>
      <c r="EG31414"/>
      <c r="EH31414"/>
      <c r="EI31414"/>
      <c r="EJ31414"/>
      <c r="EK31414"/>
    </row>
    <row r="31415" spans="1:141" s="116" customFormat="1">
      <c r="A31415" s="136"/>
      <c r="CM31415" s="111"/>
      <c r="CQ31415" s="111"/>
      <c r="EF31415"/>
      <c r="EG31415"/>
      <c r="EH31415"/>
      <c r="EI31415"/>
      <c r="EJ31415"/>
      <c r="EK31415"/>
    </row>
    <row r="31416" spans="1:141" s="116" customFormat="1">
      <c r="A31416" s="136"/>
      <c r="CM31416" s="111"/>
      <c r="CQ31416" s="111"/>
      <c r="EF31416"/>
      <c r="EG31416"/>
      <c r="EH31416"/>
      <c r="EI31416"/>
      <c r="EJ31416"/>
      <c r="EK31416"/>
    </row>
    <row r="31417" spans="1:141" s="116" customFormat="1">
      <c r="A31417" s="136"/>
      <c r="CM31417" s="111"/>
      <c r="CQ31417" s="111"/>
      <c r="EF31417"/>
      <c r="EG31417"/>
      <c r="EH31417"/>
      <c r="EI31417"/>
      <c r="EJ31417"/>
      <c r="EK31417"/>
    </row>
    <row r="31418" spans="1:141" s="116" customFormat="1">
      <c r="A31418" s="136"/>
      <c r="CM31418" s="111"/>
      <c r="CQ31418" s="111"/>
      <c r="EF31418"/>
      <c r="EG31418"/>
      <c r="EH31418"/>
      <c r="EI31418"/>
      <c r="EJ31418"/>
      <c r="EK31418"/>
    </row>
    <row r="31419" spans="1:141" s="116" customFormat="1">
      <c r="A31419" s="136"/>
      <c r="CM31419" s="111"/>
      <c r="CQ31419" s="111"/>
      <c r="EF31419"/>
      <c r="EG31419"/>
      <c r="EH31419"/>
      <c r="EI31419"/>
      <c r="EJ31419"/>
      <c r="EK31419"/>
    </row>
    <row r="31420" spans="1:141" s="116" customFormat="1">
      <c r="A31420" s="136"/>
      <c r="CM31420" s="111"/>
      <c r="CQ31420" s="111"/>
      <c r="EF31420"/>
      <c r="EG31420"/>
      <c r="EH31420"/>
      <c r="EI31420"/>
      <c r="EJ31420"/>
      <c r="EK31420"/>
    </row>
    <row r="31421" spans="1:141" s="116" customFormat="1">
      <c r="A31421" s="136"/>
      <c r="CM31421" s="111"/>
      <c r="CQ31421" s="111"/>
      <c r="EF31421"/>
      <c r="EG31421"/>
      <c r="EH31421"/>
      <c r="EI31421"/>
      <c r="EJ31421"/>
      <c r="EK31421"/>
    </row>
    <row r="31422" spans="1:141" s="116" customFormat="1">
      <c r="A31422" s="136"/>
      <c r="CM31422" s="111"/>
      <c r="CQ31422" s="111"/>
      <c r="EF31422"/>
      <c r="EG31422"/>
      <c r="EH31422"/>
      <c r="EI31422"/>
      <c r="EJ31422"/>
      <c r="EK31422"/>
    </row>
    <row r="31423" spans="1:141" s="116" customFormat="1">
      <c r="A31423" s="136"/>
      <c r="CM31423" s="111"/>
      <c r="CQ31423" s="111"/>
      <c r="EF31423"/>
      <c r="EG31423"/>
      <c r="EH31423"/>
      <c r="EI31423"/>
      <c r="EJ31423"/>
      <c r="EK31423"/>
    </row>
    <row r="31424" spans="1:141" s="116" customFormat="1">
      <c r="A31424" s="136"/>
      <c r="CM31424" s="111"/>
      <c r="CQ31424" s="111"/>
      <c r="EF31424"/>
      <c r="EG31424"/>
      <c r="EH31424"/>
      <c r="EI31424"/>
      <c r="EJ31424"/>
      <c r="EK31424"/>
    </row>
    <row r="31425" spans="1:141" s="116" customFormat="1">
      <c r="A31425" s="136"/>
      <c r="CM31425" s="111"/>
      <c r="CQ31425" s="111"/>
      <c r="EF31425"/>
      <c r="EG31425"/>
      <c r="EH31425"/>
      <c r="EI31425"/>
      <c r="EJ31425"/>
      <c r="EK31425"/>
    </row>
    <row r="31426" spans="1:141" s="116" customFormat="1">
      <c r="A31426" s="136"/>
      <c r="CM31426" s="111"/>
      <c r="CQ31426" s="111"/>
      <c r="EF31426"/>
      <c r="EG31426"/>
      <c r="EH31426"/>
      <c r="EI31426"/>
      <c r="EJ31426"/>
      <c r="EK31426"/>
    </row>
    <row r="31427" spans="1:141" s="116" customFormat="1">
      <c r="A31427" s="136"/>
      <c r="CM31427" s="111"/>
      <c r="CQ31427" s="111"/>
      <c r="EF31427"/>
      <c r="EG31427"/>
      <c r="EH31427"/>
      <c r="EI31427"/>
      <c r="EJ31427"/>
      <c r="EK31427"/>
    </row>
    <row r="31428" spans="1:141" s="116" customFormat="1">
      <c r="A31428" s="136"/>
      <c r="CM31428" s="111"/>
      <c r="CQ31428" s="111"/>
      <c r="EF31428"/>
      <c r="EG31428"/>
      <c r="EH31428"/>
      <c r="EI31428"/>
      <c r="EJ31428"/>
      <c r="EK31428"/>
    </row>
    <row r="31429" spans="1:141" s="116" customFormat="1">
      <c r="A31429" s="136"/>
      <c r="CM31429" s="111"/>
      <c r="CQ31429" s="111"/>
      <c r="EF31429"/>
      <c r="EG31429"/>
      <c r="EH31429"/>
      <c r="EI31429"/>
      <c r="EJ31429"/>
      <c r="EK31429"/>
    </row>
    <row r="31430" spans="1:141" s="116" customFormat="1">
      <c r="A31430" s="136"/>
      <c r="CM31430" s="111"/>
      <c r="CQ31430" s="111"/>
      <c r="EF31430"/>
      <c r="EG31430"/>
      <c r="EH31430"/>
      <c r="EI31430"/>
      <c r="EJ31430"/>
      <c r="EK31430"/>
    </row>
    <row r="31431" spans="1:141" s="116" customFormat="1">
      <c r="A31431" s="136"/>
      <c r="CM31431" s="111"/>
      <c r="CQ31431" s="111"/>
      <c r="EF31431"/>
      <c r="EG31431"/>
      <c r="EH31431"/>
      <c r="EI31431"/>
      <c r="EJ31431"/>
      <c r="EK31431"/>
    </row>
    <row r="31432" spans="1:141" s="116" customFormat="1">
      <c r="A31432" s="136"/>
      <c r="CM31432" s="111"/>
      <c r="CQ31432" s="111"/>
      <c r="EF31432"/>
      <c r="EG31432"/>
      <c r="EH31432"/>
      <c r="EI31432"/>
      <c r="EJ31432"/>
      <c r="EK31432"/>
    </row>
    <row r="31433" spans="1:141" s="116" customFormat="1">
      <c r="A31433" s="136"/>
      <c r="CM31433" s="111"/>
      <c r="CQ31433" s="111"/>
      <c r="EF31433"/>
      <c r="EG31433"/>
      <c r="EH31433"/>
      <c r="EI31433"/>
      <c r="EJ31433"/>
      <c r="EK31433"/>
    </row>
    <row r="31434" spans="1:141" s="116" customFormat="1">
      <c r="A31434" s="136"/>
      <c r="CM31434" s="111"/>
      <c r="CQ31434" s="111"/>
      <c r="EF31434"/>
      <c r="EG31434"/>
      <c r="EH31434"/>
      <c r="EI31434"/>
      <c r="EJ31434"/>
      <c r="EK31434"/>
    </row>
    <row r="31435" spans="1:141" s="116" customFormat="1">
      <c r="A31435" s="136"/>
      <c r="CM31435" s="111"/>
      <c r="CQ31435" s="111"/>
      <c r="EF31435"/>
      <c r="EG31435"/>
      <c r="EH31435"/>
      <c r="EI31435"/>
      <c r="EJ31435"/>
      <c r="EK31435"/>
    </row>
    <row r="31436" spans="1:141" s="116" customFormat="1">
      <c r="A31436" s="136"/>
      <c r="CM31436" s="111"/>
      <c r="CQ31436" s="111"/>
      <c r="EF31436"/>
      <c r="EG31436"/>
      <c r="EH31436"/>
      <c r="EI31436"/>
      <c r="EJ31436"/>
      <c r="EK31436"/>
    </row>
    <row r="31437" spans="1:141" s="116" customFormat="1">
      <c r="A31437" s="136"/>
      <c r="CM31437" s="111"/>
      <c r="CQ31437" s="111"/>
      <c r="EF31437"/>
      <c r="EG31437"/>
      <c r="EH31437"/>
      <c r="EI31437"/>
      <c r="EJ31437"/>
      <c r="EK31437"/>
    </row>
    <row r="31438" spans="1:141" s="116" customFormat="1">
      <c r="A31438" s="136"/>
      <c r="CM31438" s="111"/>
      <c r="CQ31438" s="111"/>
      <c r="EF31438"/>
      <c r="EG31438"/>
      <c r="EH31438"/>
      <c r="EI31438"/>
      <c r="EJ31438"/>
      <c r="EK31438"/>
    </row>
    <row r="31439" spans="1:141" s="116" customFormat="1">
      <c r="A31439" s="136"/>
      <c r="CM31439" s="111"/>
      <c r="CQ31439" s="111"/>
      <c r="EF31439"/>
      <c r="EG31439"/>
      <c r="EH31439"/>
      <c r="EI31439"/>
      <c r="EJ31439"/>
      <c r="EK31439"/>
    </row>
    <row r="31440" spans="1:141" s="116" customFormat="1">
      <c r="A31440" s="136"/>
      <c r="CM31440" s="111"/>
      <c r="CQ31440" s="111"/>
      <c r="EF31440"/>
      <c r="EG31440"/>
      <c r="EH31440"/>
      <c r="EI31440"/>
      <c r="EJ31440"/>
      <c r="EK31440"/>
    </row>
    <row r="31441" spans="1:141" s="116" customFormat="1">
      <c r="A31441" s="136"/>
      <c r="CM31441" s="111"/>
      <c r="CQ31441" s="111"/>
      <c r="EF31441"/>
      <c r="EG31441"/>
      <c r="EH31441"/>
      <c r="EI31441"/>
      <c r="EJ31441"/>
      <c r="EK31441"/>
    </row>
    <row r="31442" spans="1:141" s="116" customFormat="1">
      <c r="A31442" s="136"/>
      <c r="CM31442" s="111"/>
      <c r="CQ31442" s="111"/>
      <c r="EF31442"/>
      <c r="EG31442"/>
      <c r="EH31442"/>
      <c r="EI31442"/>
      <c r="EJ31442"/>
      <c r="EK31442"/>
    </row>
    <row r="31443" spans="1:141" s="116" customFormat="1">
      <c r="A31443" s="136"/>
      <c r="CM31443" s="111"/>
      <c r="CQ31443" s="111"/>
      <c r="EF31443"/>
      <c r="EG31443"/>
      <c r="EH31443"/>
      <c r="EI31443"/>
      <c r="EJ31443"/>
      <c r="EK31443"/>
    </row>
    <row r="31444" spans="1:141" s="116" customFormat="1">
      <c r="A31444" s="136"/>
      <c r="CM31444" s="111"/>
      <c r="CQ31444" s="111"/>
      <c r="EF31444"/>
      <c r="EG31444"/>
      <c r="EH31444"/>
      <c r="EI31444"/>
      <c r="EJ31444"/>
      <c r="EK31444"/>
    </row>
    <row r="31445" spans="1:141" s="116" customFormat="1">
      <c r="A31445" s="136"/>
      <c r="CM31445" s="111"/>
      <c r="CQ31445" s="111"/>
      <c r="EF31445"/>
      <c r="EG31445"/>
      <c r="EH31445"/>
      <c r="EI31445"/>
      <c r="EJ31445"/>
      <c r="EK31445"/>
    </row>
    <row r="31446" spans="1:141" s="116" customFormat="1">
      <c r="A31446" s="136"/>
      <c r="CM31446" s="111"/>
      <c r="CQ31446" s="111"/>
      <c r="EF31446"/>
      <c r="EG31446"/>
      <c r="EH31446"/>
      <c r="EI31446"/>
      <c r="EJ31446"/>
      <c r="EK31446"/>
    </row>
    <row r="31447" spans="1:141" s="116" customFormat="1">
      <c r="A31447" s="136"/>
      <c r="CM31447" s="111"/>
      <c r="CQ31447" s="111"/>
      <c r="EF31447"/>
      <c r="EG31447"/>
      <c r="EH31447"/>
      <c r="EI31447"/>
      <c r="EJ31447"/>
      <c r="EK31447"/>
    </row>
    <row r="31448" spans="1:141" s="116" customFormat="1">
      <c r="A31448" s="136"/>
      <c r="CM31448" s="111"/>
      <c r="CQ31448" s="111"/>
      <c r="EF31448"/>
      <c r="EG31448"/>
      <c r="EH31448"/>
      <c r="EI31448"/>
      <c r="EJ31448"/>
      <c r="EK31448"/>
    </row>
    <row r="31449" spans="1:141" s="116" customFormat="1">
      <c r="A31449" s="136"/>
      <c r="CM31449" s="111"/>
      <c r="CQ31449" s="111"/>
      <c r="EF31449"/>
      <c r="EG31449"/>
      <c r="EH31449"/>
      <c r="EI31449"/>
      <c r="EJ31449"/>
      <c r="EK31449"/>
    </row>
    <row r="31450" spans="1:141" s="116" customFormat="1">
      <c r="A31450" s="136"/>
      <c r="CM31450" s="111"/>
      <c r="CQ31450" s="111"/>
      <c r="EF31450"/>
      <c r="EG31450"/>
      <c r="EH31450"/>
      <c r="EI31450"/>
      <c r="EJ31450"/>
      <c r="EK31450"/>
    </row>
    <row r="31451" spans="1:141" s="116" customFormat="1">
      <c r="A31451" s="136"/>
      <c r="CM31451" s="111"/>
      <c r="CQ31451" s="111"/>
      <c r="EF31451"/>
      <c r="EG31451"/>
      <c r="EH31451"/>
      <c r="EI31451"/>
      <c r="EJ31451"/>
      <c r="EK31451"/>
    </row>
    <row r="31452" spans="1:141" s="116" customFormat="1">
      <c r="A31452" s="136"/>
      <c r="CM31452" s="111"/>
      <c r="CQ31452" s="111"/>
      <c r="EF31452"/>
      <c r="EG31452"/>
      <c r="EH31452"/>
      <c r="EI31452"/>
      <c r="EJ31452"/>
      <c r="EK31452"/>
    </row>
    <row r="31453" spans="1:141" s="116" customFormat="1">
      <c r="A31453" s="136"/>
      <c r="CM31453" s="111"/>
      <c r="CQ31453" s="111"/>
      <c r="EF31453"/>
      <c r="EG31453"/>
      <c r="EH31453"/>
      <c r="EI31453"/>
      <c r="EJ31453"/>
      <c r="EK31453"/>
    </row>
    <row r="31454" spans="1:141" s="116" customFormat="1">
      <c r="A31454" s="136"/>
      <c r="CM31454" s="111"/>
      <c r="CQ31454" s="111"/>
      <c r="EF31454"/>
      <c r="EG31454"/>
      <c r="EH31454"/>
      <c r="EI31454"/>
      <c r="EJ31454"/>
      <c r="EK31454"/>
    </row>
    <row r="31455" spans="1:141" s="116" customFormat="1">
      <c r="A31455" s="136"/>
      <c r="CM31455" s="111"/>
      <c r="CQ31455" s="111"/>
      <c r="EF31455"/>
      <c r="EG31455"/>
      <c r="EH31455"/>
      <c r="EI31455"/>
      <c r="EJ31455"/>
      <c r="EK31455"/>
    </row>
    <row r="31456" spans="1:141" s="116" customFormat="1">
      <c r="A31456" s="136"/>
      <c r="CM31456" s="111"/>
      <c r="CQ31456" s="111"/>
      <c r="EF31456"/>
      <c r="EG31456"/>
      <c r="EH31456"/>
      <c r="EI31456"/>
      <c r="EJ31456"/>
      <c r="EK31456"/>
    </row>
    <row r="31457" spans="1:141" s="116" customFormat="1">
      <c r="A31457" s="136"/>
      <c r="CM31457" s="111"/>
      <c r="CQ31457" s="111"/>
      <c r="EF31457"/>
      <c r="EG31457"/>
      <c r="EH31457"/>
      <c r="EI31457"/>
      <c r="EJ31457"/>
      <c r="EK31457"/>
    </row>
    <row r="31458" spans="1:141" s="116" customFormat="1">
      <c r="A31458" s="136"/>
      <c r="CM31458" s="111"/>
      <c r="CQ31458" s="111"/>
      <c r="EF31458"/>
      <c r="EG31458"/>
      <c r="EH31458"/>
      <c r="EI31458"/>
      <c r="EJ31458"/>
      <c r="EK31458"/>
    </row>
    <row r="31459" spans="1:141" s="116" customFormat="1">
      <c r="A31459" s="136"/>
      <c r="CM31459" s="111"/>
      <c r="CQ31459" s="111"/>
      <c r="EF31459"/>
      <c r="EG31459"/>
      <c r="EH31459"/>
      <c r="EI31459"/>
      <c r="EJ31459"/>
      <c r="EK31459"/>
    </row>
    <row r="31460" spans="1:141" s="116" customFormat="1">
      <c r="A31460" s="136"/>
      <c r="CM31460" s="111"/>
      <c r="CQ31460" s="111"/>
      <c r="EF31460"/>
      <c r="EG31460"/>
      <c r="EH31460"/>
      <c r="EI31460"/>
      <c r="EJ31460"/>
      <c r="EK31460"/>
    </row>
    <row r="31461" spans="1:141" s="116" customFormat="1">
      <c r="A31461" s="136"/>
      <c r="CM31461" s="111"/>
      <c r="CQ31461" s="111"/>
      <c r="EF31461"/>
      <c r="EG31461"/>
      <c r="EH31461"/>
      <c r="EI31461"/>
      <c r="EJ31461"/>
      <c r="EK31461"/>
    </row>
    <row r="31462" spans="1:141" s="116" customFormat="1">
      <c r="A31462" s="136"/>
      <c r="CM31462" s="111"/>
      <c r="CQ31462" s="111"/>
      <c r="EF31462"/>
      <c r="EG31462"/>
      <c r="EH31462"/>
      <c r="EI31462"/>
      <c r="EJ31462"/>
      <c r="EK31462"/>
    </row>
    <row r="31463" spans="1:141" s="116" customFormat="1">
      <c r="A31463" s="136"/>
      <c r="CM31463" s="111"/>
      <c r="CQ31463" s="111"/>
      <c r="EF31463"/>
      <c r="EG31463"/>
      <c r="EH31463"/>
      <c r="EI31463"/>
      <c r="EJ31463"/>
      <c r="EK31463"/>
    </row>
    <row r="31464" spans="1:141" s="116" customFormat="1">
      <c r="A31464" s="136"/>
      <c r="CM31464" s="111"/>
      <c r="CQ31464" s="111"/>
      <c r="EF31464"/>
      <c r="EG31464"/>
      <c r="EH31464"/>
      <c r="EI31464"/>
      <c r="EJ31464"/>
      <c r="EK31464"/>
    </row>
    <row r="31465" spans="1:141" s="116" customFormat="1">
      <c r="A31465" s="136"/>
      <c r="CM31465" s="111"/>
      <c r="CQ31465" s="111"/>
      <c r="EF31465"/>
      <c r="EG31465"/>
      <c r="EH31465"/>
      <c r="EI31465"/>
      <c r="EJ31465"/>
      <c r="EK31465"/>
    </row>
    <row r="31466" spans="1:141" s="116" customFormat="1">
      <c r="A31466" s="136"/>
      <c r="CM31466" s="111"/>
      <c r="CQ31466" s="111"/>
      <c r="EF31466"/>
      <c r="EG31466"/>
      <c r="EH31466"/>
      <c r="EI31466"/>
      <c r="EJ31466"/>
      <c r="EK31466"/>
    </row>
    <row r="31467" spans="1:141" s="116" customFormat="1">
      <c r="A31467" s="136"/>
      <c r="CM31467" s="111"/>
      <c r="CQ31467" s="111"/>
      <c r="EF31467"/>
      <c r="EG31467"/>
      <c r="EH31467"/>
      <c r="EI31467"/>
      <c r="EJ31467"/>
      <c r="EK31467"/>
    </row>
    <row r="31468" spans="1:141" s="116" customFormat="1">
      <c r="A31468" s="136"/>
      <c r="CM31468" s="111"/>
      <c r="CQ31468" s="111"/>
      <c r="EF31468"/>
      <c r="EG31468"/>
      <c r="EH31468"/>
      <c r="EI31468"/>
      <c r="EJ31468"/>
      <c r="EK31468"/>
    </row>
    <row r="31469" spans="1:141" s="116" customFormat="1">
      <c r="A31469" s="136"/>
      <c r="CM31469" s="111"/>
      <c r="CQ31469" s="111"/>
      <c r="EF31469"/>
      <c r="EG31469"/>
      <c r="EH31469"/>
      <c r="EI31469"/>
      <c r="EJ31469"/>
      <c r="EK31469"/>
    </row>
    <row r="31470" spans="1:141" s="116" customFormat="1">
      <c r="A31470" s="136"/>
      <c r="CM31470" s="111"/>
      <c r="CQ31470" s="111"/>
      <c r="EF31470"/>
      <c r="EG31470"/>
      <c r="EH31470"/>
      <c r="EI31470"/>
      <c r="EJ31470"/>
      <c r="EK31470"/>
    </row>
    <row r="31471" spans="1:141" s="116" customFormat="1">
      <c r="A31471" s="136"/>
      <c r="CM31471" s="111"/>
      <c r="CQ31471" s="111"/>
      <c r="EF31471"/>
      <c r="EG31471"/>
      <c r="EH31471"/>
      <c r="EI31471"/>
      <c r="EJ31471"/>
      <c r="EK31471"/>
    </row>
    <row r="31472" spans="1:141" s="116" customFormat="1">
      <c r="A31472" s="136"/>
      <c r="CM31472" s="111"/>
      <c r="CQ31472" s="111"/>
      <c r="EF31472"/>
      <c r="EG31472"/>
      <c r="EH31472"/>
      <c r="EI31472"/>
      <c r="EJ31472"/>
      <c r="EK31472"/>
    </row>
    <row r="31473" spans="1:141" s="116" customFormat="1">
      <c r="A31473" s="136"/>
      <c r="CM31473" s="111"/>
      <c r="CQ31473" s="111"/>
      <c r="EF31473"/>
      <c r="EG31473"/>
      <c r="EH31473"/>
      <c r="EI31473"/>
      <c r="EJ31473"/>
      <c r="EK31473"/>
    </row>
    <row r="31474" spans="1:141" s="116" customFormat="1">
      <c r="A31474" s="136"/>
      <c r="CM31474" s="111"/>
      <c r="CQ31474" s="111"/>
      <c r="EF31474"/>
      <c r="EG31474"/>
      <c r="EH31474"/>
      <c r="EI31474"/>
      <c r="EJ31474"/>
      <c r="EK31474"/>
    </row>
    <row r="31475" spans="1:141" s="116" customFormat="1">
      <c r="A31475" s="136"/>
      <c r="CM31475" s="111"/>
      <c r="CQ31475" s="111"/>
      <c r="EF31475"/>
      <c r="EG31475"/>
      <c r="EH31475"/>
      <c r="EI31475"/>
      <c r="EJ31475"/>
      <c r="EK31475"/>
    </row>
    <row r="31476" spans="1:141" s="116" customFormat="1">
      <c r="A31476" s="136"/>
      <c r="CM31476" s="111"/>
      <c r="CQ31476" s="111"/>
      <c r="EF31476"/>
      <c r="EG31476"/>
      <c r="EH31476"/>
      <c r="EI31476"/>
      <c r="EJ31476"/>
      <c r="EK31476"/>
    </row>
    <row r="31477" spans="1:141" s="116" customFormat="1">
      <c r="A31477" s="136"/>
      <c r="CM31477" s="111"/>
      <c r="CQ31477" s="111"/>
      <c r="EF31477"/>
      <c r="EG31477"/>
      <c r="EH31477"/>
      <c r="EI31477"/>
      <c r="EJ31477"/>
      <c r="EK31477"/>
    </row>
    <row r="31478" spans="1:141" s="116" customFormat="1">
      <c r="A31478" s="136"/>
      <c r="CM31478" s="111"/>
      <c r="CQ31478" s="111"/>
      <c r="EF31478"/>
      <c r="EG31478"/>
      <c r="EH31478"/>
      <c r="EI31478"/>
      <c r="EJ31478"/>
      <c r="EK31478"/>
    </row>
    <row r="31479" spans="1:141" s="116" customFormat="1">
      <c r="A31479" s="136"/>
      <c r="CM31479" s="111"/>
      <c r="CQ31479" s="111"/>
      <c r="EF31479"/>
      <c r="EG31479"/>
      <c r="EH31479"/>
      <c r="EI31479"/>
      <c r="EJ31479"/>
      <c r="EK31479"/>
    </row>
    <row r="31480" spans="1:141" s="116" customFormat="1">
      <c r="A31480" s="136"/>
      <c r="CM31480" s="111"/>
      <c r="CQ31480" s="111"/>
      <c r="EF31480"/>
      <c r="EG31480"/>
      <c r="EH31480"/>
      <c r="EI31480"/>
      <c r="EJ31480"/>
      <c r="EK31480"/>
    </row>
    <row r="31481" spans="1:141" s="116" customFormat="1">
      <c r="A31481" s="136"/>
      <c r="CM31481" s="111"/>
      <c r="CQ31481" s="111"/>
      <c r="EF31481"/>
      <c r="EG31481"/>
      <c r="EH31481"/>
      <c r="EI31481"/>
      <c r="EJ31481"/>
      <c r="EK31481"/>
    </row>
    <row r="31482" spans="1:141" s="116" customFormat="1">
      <c r="A31482" s="136"/>
      <c r="CM31482" s="111"/>
      <c r="CQ31482" s="111"/>
      <c r="EF31482"/>
      <c r="EG31482"/>
      <c r="EH31482"/>
      <c r="EI31482"/>
      <c r="EJ31482"/>
      <c r="EK31482"/>
    </row>
    <row r="31483" spans="1:141" s="116" customFormat="1">
      <c r="A31483" s="136"/>
      <c r="CM31483" s="111"/>
      <c r="CQ31483" s="111"/>
      <c r="EF31483"/>
      <c r="EG31483"/>
      <c r="EH31483"/>
      <c r="EI31483"/>
      <c r="EJ31483"/>
      <c r="EK31483"/>
    </row>
    <row r="31484" spans="1:141" s="116" customFormat="1">
      <c r="A31484" s="136"/>
      <c r="CM31484" s="111"/>
      <c r="CQ31484" s="111"/>
      <c r="EF31484"/>
      <c r="EG31484"/>
      <c r="EH31484"/>
      <c r="EI31484"/>
      <c r="EJ31484"/>
      <c r="EK31484"/>
    </row>
    <row r="31485" spans="1:141" s="116" customFormat="1">
      <c r="A31485" s="136"/>
      <c r="CM31485" s="111"/>
      <c r="CQ31485" s="111"/>
      <c r="EF31485"/>
      <c r="EG31485"/>
      <c r="EH31485"/>
      <c r="EI31485"/>
      <c r="EJ31485"/>
      <c r="EK31485"/>
    </row>
    <row r="31486" spans="1:141" s="116" customFormat="1">
      <c r="A31486" s="136"/>
      <c r="CM31486" s="111"/>
      <c r="CQ31486" s="111"/>
      <c r="EF31486"/>
      <c r="EG31486"/>
      <c r="EH31486"/>
      <c r="EI31486"/>
      <c r="EJ31486"/>
      <c r="EK31486"/>
    </row>
    <row r="31487" spans="1:141" s="116" customFormat="1">
      <c r="A31487" s="136"/>
      <c r="CM31487" s="111"/>
      <c r="CQ31487" s="111"/>
      <c r="EF31487"/>
      <c r="EG31487"/>
      <c r="EH31487"/>
      <c r="EI31487"/>
      <c r="EJ31487"/>
      <c r="EK31487"/>
    </row>
    <row r="31488" spans="1:141" s="116" customFormat="1">
      <c r="A31488" s="136"/>
      <c r="CM31488" s="111"/>
      <c r="CQ31488" s="111"/>
      <c r="EF31488"/>
      <c r="EG31488"/>
      <c r="EH31488"/>
      <c r="EI31488"/>
      <c r="EJ31488"/>
      <c r="EK31488"/>
    </row>
    <row r="31489" spans="1:141" s="116" customFormat="1">
      <c r="A31489" s="136"/>
      <c r="CM31489" s="111"/>
      <c r="CQ31489" s="111"/>
      <c r="EF31489"/>
      <c r="EG31489"/>
      <c r="EH31489"/>
      <c r="EI31489"/>
      <c r="EJ31489"/>
      <c r="EK31489"/>
    </row>
    <row r="31490" spans="1:141" s="116" customFormat="1">
      <c r="A31490" s="136"/>
      <c r="CM31490" s="111"/>
      <c r="CQ31490" s="111"/>
      <c r="EF31490"/>
      <c r="EG31490"/>
      <c r="EH31490"/>
      <c r="EI31490"/>
      <c r="EJ31490"/>
      <c r="EK31490"/>
    </row>
    <row r="31491" spans="1:141" s="116" customFormat="1">
      <c r="A31491" s="136"/>
      <c r="CM31491" s="111"/>
      <c r="CQ31491" s="111"/>
      <c r="EF31491"/>
      <c r="EG31491"/>
      <c r="EH31491"/>
      <c r="EI31491"/>
      <c r="EJ31491"/>
      <c r="EK31491"/>
    </row>
    <row r="31492" spans="1:141" s="116" customFormat="1">
      <c r="A31492" s="136"/>
      <c r="CM31492" s="111"/>
      <c r="CQ31492" s="111"/>
      <c r="EF31492"/>
      <c r="EG31492"/>
      <c r="EH31492"/>
      <c r="EI31492"/>
      <c r="EJ31492"/>
      <c r="EK31492"/>
    </row>
    <row r="31493" spans="1:141" s="116" customFormat="1">
      <c r="A31493" s="136"/>
      <c r="CM31493" s="111"/>
      <c r="CQ31493" s="111"/>
      <c r="EF31493"/>
      <c r="EG31493"/>
      <c r="EH31493"/>
      <c r="EI31493"/>
      <c r="EJ31493"/>
      <c r="EK31493"/>
    </row>
    <row r="31494" spans="1:141" s="116" customFormat="1">
      <c r="A31494" s="136"/>
      <c r="CM31494" s="111"/>
      <c r="CQ31494" s="111"/>
      <c r="EF31494"/>
      <c r="EG31494"/>
      <c r="EH31494"/>
      <c r="EI31494"/>
      <c r="EJ31494"/>
      <c r="EK31494"/>
    </row>
    <row r="31495" spans="1:141" s="116" customFormat="1">
      <c r="A31495" s="136"/>
      <c r="CM31495" s="111"/>
      <c r="CQ31495" s="111"/>
      <c r="EF31495"/>
      <c r="EG31495"/>
      <c r="EH31495"/>
      <c r="EI31495"/>
      <c r="EJ31495"/>
      <c r="EK31495"/>
    </row>
    <row r="31496" spans="1:141" s="116" customFormat="1">
      <c r="A31496" s="136"/>
      <c r="CM31496" s="111"/>
      <c r="CQ31496" s="111"/>
      <c r="EF31496"/>
      <c r="EG31496"/>
      <c r="EH31496"/>
      <c r="EI31496"/>
      <c r="EJ31496"/>
      <c r="EK31496"/>
    </row>
    <row r="31497" spans="1:141" s="116" customFormat="1">
      <c r="A31497" s="136"/>
      <c r="CM31497" s="111"/>
      <c r="CQ31497" s="111"/>
      <c r="EF31497"/>
      <c r="EG31497"/>
      <c r="EH31497"/>
      <c r="EI31497"/>
      <c r="EJ31497"/>
      <c r="EK31497"/>
    </row>
    <row r="31498" spans="1:141" s="116" customFormat="1">
      <c r="A31498" s="136"/>
      <c r="CM31498" s="111"/>
      <c r="CQ31498" s="111"/>
      <c r="EF31498"/>
      <c r="EG31498"/>
      <c r="EH31498"/>
      <c r="EI31498"/>
      <c r="EJ31498"/>
      <c r="EK31498"/>
    </row>
    <row r="31499" spans="1:141" s="116" customFormat="1">
      <c r="A31499" s="136"/>
      <c r="CM31499" s="111"/>
      <c r="CQ31499" s="111"/>
      <c r="EF31499"/>
      <c r="EG31499"/>
      <c r="EH31499"/>
      <c r="EI31499"/>
      <c r="EJ31499"/>
      <c r="EK31499"/>
    </row>
    <row r="31500" spans="1:141" s="116" customFormat="1">
      <c r="A31500" s="136"/>
      <c r="CM31500" s="111"/>
      <c r="CQ31500" s="111"/>
      <c r="EF31500"/>
      <c r="EG31500"/>
      <c r="EH31500"/>
      <c r="EI31500"/>
      <c r="EJ31500"/>
      <c r="EK31500"/>
    </row>
    <row r="31501" spans="1:141" s="116" customFormat="1">
      <c r="A31501" s="136"/>
      <c r="CM31501" s="111"/>
      <c r="CQ31501" s="111"/>
      <c r="EF31501"/>
      <c r="EG31501"/>
      <c r="EH31501"/>
      <c r="EI31501"/>
      <c r="EJ31501"/>
      <c r="EK31501"/>
    </row>
    <row r="31502" spans="1:141" s="116" customFormat="1">
      <c r="A31502" s="136"/>
      <c r="CM31502" s="111"/>
      <c r="CQ31502" s="111"/>
      <c r="EF31502"/>
      <c r="EG31502"/>
      <c r="EH31502"/>
      <c r="EI31502"/>
      <c r="EJ31502"/>
      <c r="EK31502"/>
    </row>
    <row r="31503" spans="1:141" s="116" customFormat="1">
      <c r="A31503" s="136"/>
      <c r="CM31503" s="111"/>
      <c r="CQ31503" s="111"/>
      <c r="EF31503"/>
      <c r="EG31503"/>
      <c r="EH31503"/>
      <c r="EI31503"/>
      <c r="EJ31503"/>
      <c r="EK31503"/>
    </row>
    <row r="31504" spans="1:141" s="116" customFormat="1">
      <c r="A31504" s="136"/>
      <c r="CM31504" s="111"/>
      <c r="CQ31504" s="111"/>
      <c r="EF31504"/>
      <c r="EG31504"/>
      <c r="EH31504"/>
      <c r="EI31504"/>
      <c r="EJ31504"/>
      <c r="EK31504"/>
    </row>
    <row r="31505" spans="1:141" s="116" customFormat="1">
      <c r="A31505" s="136"/>
      <c r="CM31505" s="111"/>
      <c r="CQ31505" s="111"/>
      <c r="EF31505"/>
      <c r="EG31505"/>
      <c r="EH31505"/>
      <c r="EI31505"/>
      <c r="EJ31505"/>
      <c r="EK31505"/>
    </row>
    <row r="31506" spans="1:141" s="116" customFormat="1">
      <c r="A31506" s="136"/>
      <c r="CM31506" s="111"/>
      <c r="CQ31506" s="111"/>
      <c r="EF31506"/>
      <c r="EG31506"/>
      <c r="EH31506"/>
      <c r="EI31506"/>
      <c r="EJ31506"/>
      <c r="EK31506"/>
    </row>
    <row r="31507" spans="1:141" s="116" customFormat="1">
      <c r="A31507" s="136"/>
      <c r="CM31507" s="111"/>
      <c r="CQ31507" s="111"/>
      <c r="EF31507"/>
      <c r="EG31507"/>
      <c r="EH31507"/>
      <c r="EI31507"/>
      <c r="EJ31507"/>
      <c r="EK31507"/>
    </row>
    <row r="31508" spans="1:141" s="116" customFormat="1">
      <c r="A31508" s="136"/>
      <c r="CM31508" s="111"/>
      <c r="CQ31508" s="111"/>
      <c r="EF31508"/>
      <c r="EG31508"/>
      <c r="EH31508"/>
      <c r="EI31508"/>
      <c r="EJ31508"/>
      <c r="EK31508"/>
    </row>
    <row r="31509" spans="1:141" s="116" customFormat="1">
      <c r="A31509" s="136"/>
      <c r="CM31509" s="111"/>
      <c r="CQ31509" s="111"/>
      <c r="EF31509"/>
      <c r="EG31509"/>
      <c r="EH31509"/>
      <c r="EI31509"/>
      <c r="EJ31509"/>
      <c r="EK31509"/>
    </row>
    <row r="31510" spans="1:141" s="116" customFormat="1">
      <c r="A31510" s="136"/>
      <c r="CM31510" s="111"/>
      <c r="CQ31510" s="111"/>
      <c r="EF31510"/>
      <c r="EG31510"/>
      <c r="EH31510"/>
      <c r="EI31510"/>
      <c r="EJ31510"/>
      <c r="EK31510"/>
    </row>
    <row r="31511" spans="1:141" s="116" customFormat="1">
      <c r="A31511" s="136"/>
      <c r="CM31511" s="111"/>
      <c r="CQ31511" s="111"/>
      <c r="EF31511"/>
      <c r="EG31511"/>
      <c r="EH31511"/>
      <c r="EI31511"/>
      <c r="EJ31511"/>
      <c r="EK31511"/>
    </row>
    <row r="31512" spans="1:141" s="116" customFormat="1">
      <c r="A31512" s="136"/>
      <c r="CM31512" s="111"/>
      <c r="CQ31512" s="111"/>
      <c r="EF31512"/>
      <c r="EG31512"/>
      <c r="EH31512"/>
      <c r="EI31512"/>
      <c r="EJ31512"/>
      <c r="EK31512"/>
    </row>
    <row r="31513" spans="1:141" s="116" customFormat="1">
      <c r="A31513" s="136"/>
      <c r="CM31513" s="111"/>
      <c r="CQ31513" s="111"/>
      <c r="EF31513"/>
      <c r="EG31513"/>
      <c r="EH31513"/>
      <c r="EI31513"/>
      <c r="EJ31513"/>
      <c r="EK31513"/>
    </row>
    <row r="31514" spans="1:141" s="116" customFormat="1">
      <c r="A31514" s="136"/>
      <c r="CM31514" s="111"/>
      <c r="CQ31514" s="111"/>
      <c r="EF31514"/>
      <c r="EG31514"/>
      <c r="EH31514"/>
      <c r="EI31514"/>
      <c r="EJ31514"/>
      <c r="EK31514"/>
    </row>
    <row r="31515" spans="1:141" s="116" customFormat="1">
      <c r="A31515" s="136"/>
      <c r="CM31515" s="111"/>
      <c r="CQ31515" s="111"/>
      <c r="EF31515"/>
      <c r="EG31515"/>
      <c r="EH31515"/>
      <c r="EI31515"/>
      <c r="EJ31515"/>
      <c r="EK31515"/>
    </row>
    <row r="31516" spans="1:141" s="116" customFormat="1">
      <c r="A31516" s="136"/>
      <c r="CM31516" s="111"/>
      <c r="CQ31516" s="111"/>
      <c r="EF31516"/>
      <c r="EG31516"/>
      <c r="EH31516"/>
      <c r="EI31516"/>
      <c r="EJ31516"/>
      <c r="EK31516"/>
    </row>
    <row r="31517" spans="1:141" s="116" customFormat="1">
      <c r="A31517" s="136"/>
      <c r="CM31517" s="111"/>
      <c r="CQ31517" s="111"/>
      <c r="EF31517"/>
      <c r="EG31517"/>
      <c r="EH31517"/>
      <c r="EI31517"/>
      <c r="EJ31517"/>
      <c r="EK31517"/>
    </row>
    <row r="31518" spans="1:141" s="116" customFormat="1">
      <c r="A31518" s="136"/>
      <c r="CM31518" s="111"/>
      <c r="CQ31518" s="111"/>
      <c r="EF31518"/>
      <c r="EG31518"/>
      <c r="EH31518"/>
      <c r="EI31518"/>
      <c r="EJ31518"/>
      <c r="EK31518"/>
    </row>
    <row r="31519" spans="1:141" s="116" customFormat="1">
      <c r="A31519" s="136"/>
      <c r="CM31519" s="111"/>
      <c r="CQ31519" s="111"/>
      <c r="EF31519"/>
      <c r="EG31519"/>
      <c r="EH31519"/>
      <c r="EI31519"/>
      <c r="EJ31519"/>
      <c r="EK31519"/>
    </row>
    <row r="31520" spans="1:141" s="116" customFormat="1">
      <c r="A31520" s="136"/>
      <c r="CM31520" s="111"/>
      <c r="CQ31520" s="111"/>
      <c r="EF31520"/>
      <c r="EG31520"/>
      <c r="EH31520"/>
      <c r="EI31520"/>
      <c r="EJ31520"/>
      <c r="EK31520"/>
    </row>
    <row r="31521" spans="1:141" s="116" customFormat="1">
      <c r="A31521" s="136"/>
      <c r="CM31521" s="111"/>
      <c r="CQ31521" s="111"/>
      <c r="EF31521"/>
      <c r="EG31521"/>
      <c r="EH31521"/>
      <c r="EI31521"/>
      <c r="EJ31521"/>
      <c r="EK31521"/>
    </row>
    <row r="31522" spans="1:141" s="116" customFormat="1">
      <c r="A31522" s="136"/>
      <c r="CM31522" s="111"/>
      <c r="CQ31522" s="111"/>
      <c r="EF31522"/>
      <c r="EG31522"/>
      <c r="EH31522"/>
      <c r="EI31522"/>
      <c r="EJ31522"/>
      <c r="EK31522"/>
    </row>
    <row r="31523" spans="1:141" s="116" customFormat="1">
      <c r="A31523" s="136"/>
      <c r="CM31523" s="111"/>
      <c r="CQ31523" s="111"/>
      <c r="EF31523"/>
      <c r="EG31523"/>
      <c r="EH31523"/>
      <c r="EI31523"/>
      <c r="EJ31523"/>
      <c r="EK31523"/>
    </row>
    <row r="31524" spans="1:141" s="116" customFormat="1">
      <c r="A31524" s="136"/>
      <c r="CM31524" s="111"/>
      <c r="CQ31524" s="111"/>
      <c r="EF31524"/>
      <c r="EG31524"/>
      <c r="EH31524"/>
      <c r="EI31524"/>
      <c r="EJ31524"/>
      <c r="EK31524"/>
    </row>
    <row r="31525" spans="1:141" s="116" customFormat="1">
      <c r="A31525" s="136"/>
      <c r="CM31525" s="111"/>
      <c r="CQ31525" s="111"/>
      <c r="EF31525"/>
      <c r="EG31525"/>
      <c r="EH31525"/>
      <c r="EI31525"/>
      <c r="EJ31525"/>
      <c r="EK31525"/>
    </row>
    <row r="31526" spans="1:141" s="116" customFormat="1">
      <c r="A31526" s="136"/>
      <c r="CM31526" s="111"/>
      <c r="CQ31526" s="111"/>
      <c r="EF31526"/>
      <c r="EG31526"/>
      <c r="EH31526"/>
      <c r="EI31526"/>
      <c r="EJ31526"/>
      <c r="EK31526"/>
    </row>
    <row r="31527" spans="1:141" s="116" customFormat="1">
      <c r="A31527" s="136"/>
      <c r="CM31527" s="111"/>
      <c r="CQ31527" s="111"/>
      <c r="EF31527"/>
      <c r="EG31527"/>
      <c r="EH31527"/>
      <c r="EI31527"/>
      <c r="EJ31527"/>
      <c r="EK31527"/>
    </row>
    <row r="31528" spans="1:141" s="116" customFormat="1">
      <c r="A31528" s="136"/>
      <c r="CM31528" s="111"/>
      <c r="CQ31528" s="111"/>
      <c r="EF31528"/>
      <c r="EG31528"/>
      <c r="EH31528"/>
      <c r="EI31528"/>
      <c r="EJ31528"/>
      <c r="EK31528"/>
    </row>
    <row r="31529" spans="1:141" s="116" customFormat="1">
      <c r="A31529" s="136"/>
      <c r="CM31529" s="111"/>
      <c r="CQ31529" s="111"/>
      <c r="EF31529"/>
      <c r="EG31529"/>
      <c r="EH31529"/>
      <c r="EI31529"/>
      <c r="EJ31529"/>
      <c r="EK31529"/>
    </row>
    <row r="31530" spans="1:141" s="116" customFormat="1">
      <c r="A31530" s="136"/>
      <c r="CM31530" s="111"/>
      <c r="CQ31530" s="111"/>
      <c r="EF31530"/>
      <c r="EG31530"/>
      <c r="EH31530"/>
      <c r="EI31530"/>
      <c r="EJ31530"/>
      <c r="EK31530"/>
    </row>
    <row r="31531" spans="1:141" s="116" customFormat="1">
      <c r="A31531" s="136"/>
      <c r="CM31531" s="111"/>
      <c r="CQ31531" s="111"/>
      <c r="EF31531"/>
      <c r="EG31531"/>
      <c r="EH31531"/>
      <c r="EI31531"/>
      <c r="EJ31531"/>
      <c r="EK31531"/>
    </row>
    <row r="31532" spans="1:141" s="116" customFormat="1">
      <c r="A31532" s="136"/>
      <c r="CM31532" s="111"/>
      <c r="CQ31532" s="111"/>
      <c r="EF31532"/>
      <c r="EG31532"/>
      <c r="EH31532"/>
      <c r="EI31532"/>
      <c r="EJ31532"/>
      <c r="EK31532"/>
    </row>
    <row r="31533" spans="1:141" s="116" customFormat="1">
      <c r="A31533" s="136"/>
      <c r="CM31533" s="111"/>
      <c r="CQ31533" s="111"/>
      <c r="EF31533"/>
      <c r="EG31533"/>
      <c r="EH31533"/>
      <c r="EI31533"/>
      <c r="EJ31533"/>
      <c r="EK31533"/>
    </row>
    <row r="31534" spans="1:141" s="116" customFormat="1">
      <c r="A31534" s="136"/>
      <c r="CM31534" s="111"/>
      <c r="CQ31534" s="111"/>
      <c r="EF31534"/>
      <c r="EG31534"/>
      <c r="EH31534"/>
      <c r="EI31534"/>
      <c r="EJ31534"/>
      <c r="EK31534"/>
    </row>
    <row r="31535" spans="1:141" s="116" customFormat="1">
      <c r="A31535" s="136"/>
      <c r="CM31535" s="111"/>
      <c r="CQ31535" s="111"/>
      <c r="EF31535"/>
      <c r="EG31535"/>
      <c r="EH31535"/>
      <c r="EI31535"/>
      <c r="EJ31535"/>
      <c r="EK31535"/>
    </row>
    <row r="31536" spans="1:141" s="116" customFormat="1">
      <c r="A31536" s="136"/>
      <c r="CM31536" s="111"/>
      <c r="CQ31536" s="111"/>
      <c r="EF31536"/>
      <c r="EG31536"/>
      <c r="EH31536"/>
      <c r="EI31536"/>
      <c r="EJ31536"/>
      <c r="EK31536"/>
    </row>
    <row r="31537" spans="1:141" s="116" customFormat="1">
      <c r="A31537" s="136"/>
      <c r="CM31537" s="111"/>
      <c r="CQ31537" s="111"/>
      <c r="EF31537"/>
      <c r="EG31537"/>
      <c r="EH31537"/>
      <c r="EI31537"/>
      <c r="EJ31537"/>
      <c r="EK31537"/>
    </row>
    <row r="31538" spans="1:141" s="116" customFormat="1">
      <c r="A31538" s="136"/>
      <c r="CM31538" s="111"/>
      <c r="CQ31538" s="111"/>
      <c r="EF31538"/>
      <c r="EG31538"/>
      <c r="EH31538"/>
      <c r="EI31538"/>
      <c r="EJ31538"/>
      <c r="EK31538"/>
    </row>
    <row r="31539" spans="1:141" s="116" customFormat="1">
      <c r="A31539" s="136"/>
      <c r="CM31539" s="111"/>
      <c r="CQ31539" s="111"/>
      <c r="EF31539"/>
      <c r="EG31539"/>
      <c r="EH31539"/>
      <c r="EI31539"/>
      <c r="EJ31539"/>
      <c r="EK31539"/>
    </row>
    <row r="31540" spans="1:141" s="116" customFormat="1">
      <c r="A31540" s="136"/>
      <c r="CM31540" s="111"/>
      <c r="CQ31540" s="111"/>
      <c r="EF31540"/>
      <c r="EG31540"/>
      <c r="EH31540"/>
      <c r="EI31540"/>
      <c r="EJ31540"/>
      <c r="EK31540"/>
    </row>
    <row r="31541" spans="1:141" s="116" customFormat="1">
      <c r="A31541" s="136"/>
      <c r="CM31541" s="111"/>
      <c r="CQ31541" s="111"/>
      <c r="EF31541"/>
      <c r="EG31541"/>
      <c r="EH31541"/>
      <c r="EI31541"/>
      <c r="EJ31541"/>
      <c r="EK31541"/>
    </row>
    <row r="31542" spans="1:141" s="116" customFormat="1">
      <c r="A31542" s="136"/>
      <c r="CM31542" s="111"/>
      <c r="CQ31542" s="111"/>
      <c r="EF31542"/>
      <c r="EG31542"/>
      <c r="EH31542"/>
      <c r="EI31542"/>
      <c r="EJ31542"/>
      <c r="EK31542"/>
    </row>
    <row r="31543" spans="1:141" s="116" customFormat="1">
      <c r="A31543" s="136"/>
      <c r="CM31543" s="111"/>
      <c r="CQ31543" s="111"/>
      <c r="EF31543"/>
      <c r="EG31543"/>
      <c r="EH31543"/>
      <c r="EI31543"/>
      <c r="EJ31543"/>
      <c r="EK31543"/>
    </row>
    <row r="31544" spans="1:141" s="116" customFormat="1">
      <c r="A31544" s="136"/>
      <c r="CM31544" s="111"/>
      <c r="CQ31544" s="111"/>
      <c r="EF31544"/>
      <c r="EG31544"/>
      <c r="EH31544"/>
      <c r="EI31544"/>
      <c r="EJ31544"/>
      <c r="EK31544"/>
    </row>
    <row r="31545" spans="1:141" s="116" customFormat="1">
      <c r="A31545" s="136"/>
      <c r="CM31545" s="111"/>
      <c r="CQ31545" s="111"/>
      <c r="EF31545"/>
      <c r="EG31545"/>
      <c r="EH31545"/>
      <c r="EI31545"/>
      <c r="EJ31545"/>
      <c r="EK31545"/>
    </row>
    <row r="31546" spans="1:141" s="116" customFormat="1">
      <c r="A31546" s="136"/>
      <c r="CM31546" s="111"/>
      <c r="CQ31546" s="111"/>
      <c r="EF31546"/>
      <c r="EG31546"/>
      <c r="EH31546"/>
      <c r="EI31546"/>
      <c r="EJ31546"/>
      <c r="EK31546"/>
    </row>
    <row r="31547" spans="1:141" s="116" customFormat="1">
      <c r="A31547" s="136"/>
      <c r="CM31547" s="111"/>
      <c r="CQ31547" s="111"/>
      <c r="EF31547"/>
      <c r="EG31547"/>
      <c r="EH31547"/>
      <c r="EI31547"/>
      <c r="EJ31547"/>
      <c r="EK31547"/>
    </row>
    <row r="31548" spans="1:141" s="116" customFormat="1">
      <c r="A31548" s="136"/>
      <c r="CM31548" s="111"/>
      <c r="CQ31548" s="111"/>
      <c r="EF31548"/>
      <c r="EG31548"/>
      <c r="EH31548"/>
      <c r="EI31548"/>
      <c r="EJ31548"/>
      <c r="EK31548"/>
    </row>
    <row r="31549" spans="1:141" s="116" customFormat="1">
      <c r="A31549" s="136"/>
      <c r="CM31549" s="111"/>
      <c r="CQ31549" s="111"/>
      <c r="EF31549"/>
      <c r="EG31549"/>
      <c r="EH31549"/>
      <c r="EI31549"/>
      <c r="EJ31549"/>
      <c r="EK31549"/>
    </row>
    <row r="31550" spans="1:141" s="116" customFormat="1">
      <c r="A31550" s="136"/>
      <c r="CM31550" s="111"/>
      <c r="CQ31550" s="111"/>
      <c r="EF31550"/>
      <c r="EG31550"/>
      <c r="EH31550"/>
      <c r="EI31550"/>
      <c r="EJ31550"/>
      <c r="EK31550"/>
    </row>
    <row r="31551" spans="1:141" s="116" customFormat="1">
      <c r="A31551" s="136"/>
      <c r="CM31551" s="111"/>
      <c r="CQ31551" s="111"/>
      <c r="EF31551"/>
      <c r="EG31551"/>
      <c r="EH31551"/>
      <c r="EI31551"/>
      <c r="EJ31551"/>
      <c r="EK31551"/>
    </row>
    <row r="31552" spans="1:141" s="116" customFormat="1">
      <c r="A31552" s="136"/>
      <c r="CM31552" s="111"/>
      <c r="CQ31552" s="111"/>
      <c r="EF31552"/>
      <c r="EG31552"/>
      <c r="EH31552"/>
      <c r="EI31552"/>
      <c r="EJ31552"/>
      <c r="EK31552"/>
    </row>
    <row r="31553" spans="1:141" s="116" customFormat="1">
      <c r="A31553" s="136"/>
      <c r="CM31553" s="111"/>
      <c r="CQ31553" s="111"/>
      <c r="EF31553"/>
      <c r="EG31553"/>
      <c r="EH31553"/>
      <c r="EI31553"/>
      <c r="EJ31553"/>
      <c r="EK31553"/>
    </row>
    <row r="31554" spans="1:141" s="116" customFormat="1">
      <c r="A31554" s="136"/>
      <c r="CM31554" s="111"/>
      <c r="CQ31554" s="111"/>
      <c r="EF31554"/>
      <c r="EG31554"/>
      <c r="EH31554"/>
      <c r="EI31554"/>
      <c r="EJ31554"/>
      <c r="EK31554"/>
    </row>
    <row r="31555" spans="1:141" s="116" customFormat="1">
      <c r="A31555" s="136"/>
      <c r="CM31555" s="111"/>
      <c r="CQ31555" s="111"/>
      <c r="EF31555"/>
      <c r="EG31555"/>
      <c r="EH31555"/>
      <c r="EI31555"/>
      <c r="EJ31555"/>
      <c r="EK31555"/>
    </row>
    <row r="31556" spans="1:141" s="116" customFormat="1">
      <c r="A31556" s="136"/>
      <c r="CM31556" s="111"/>
      <c r="CQ31556" s="111"/>
      <c r="EF31556"/>
      <c r="EG31556"/>
      <c r="EH31556"/>
      <c r="EI31556"/>
      <c r="EJ31556"/>
      <c r="EK31556"/>
    </row>
    <row r="31557" spans="1:141" s="116" customFormat="1">
      <c r="A31557" s="136"/>
      <c r="CM31557" s="111"/>
      <c r="CQ31557" s="111"/>
      <c r="EF31557"/>
      <c r="EG31557"/>
      <c r="EH31557"/>
      <c r="EI31557"/>
      <c r="EJ31557"/>
      <c r="EK31557"/>
    </row>
    <row r="31558" spans="1:141" s="116" customFormat="1">
      <c r="A31558" s="136"/>
      <c r="CM31558" s="111"/>
      <c r="CQ31558" s="111"/>
      <c r="EF31558"/>
      <c r="EG31558"/>
      <c r="EH31558"/>
      <c r="EI31558"/>
      <c r="EJ31558"/>
      <c r="EK31558"/>
    </row>
    <row r="31559" spans="1:141" s="116" customFormat="1">
      <c r="A31559" s="136"/>
      <c r="CM31559" s="111"/>
      <c r="CQ31559" s="111"/>
      <c r="EF31559"/>
      <c r="EG31559"/>
      <c r="EH31559"/>
      <c r="EI31559"/>
      <c r="EJ31559"/>
      <c r="EK31559"/>
    </row>
    <row r="31560" spans="1:141" s="116" customFormat="1">
      <c r="A31560" s="136"/>
      <c r="CM31560" s="111"/>
      <c r="CQ31560" s="111"/>
      <c r="EF31560"/>
      <c r="EG31560"/>
      <c r="EH31560"/>
      <c r="EI31560"/>
      <c r="EJ31560"/>
      <c r="EK31560"/>
    </row>
    <row r="31561" spans="1:141" s="116" customFormat="1">
      <c r="A31561" s="136"/>
      <c r="CM31561" s="111"/>
      <c r="CQ31561" s="111"/>
      <c r="EF31561"/>
      <c r="EG31561"/>
      <c r="EH31561"/>
      <c r="EI31561"/>
      <c r="EJ31561"/>
      <c r="EK31561"/>
    </row>
    <row r="31562" spans="1:141" s="116" customFormat="1">
      <c r="A31562" s="136"/>
      <c r="CM31562" s="111"/>
      <c r="CQ31562" s="111"/>
      <c r="EF31562"/>
      <c r="EG31562"/>
      <c r="EH31562"/>
      <c r="EI31562"/>
      <c r="EJ31562"/>
      <c r="EK31562"/>
    </row>
    <row r="31563" spans="1:141" s="116" customFormat="1">
      <c r="A31563" s="136"/>
      <c r="CM31563" s="111"/>
      <c r="CQ31563" s="111"/>
      <c r="EF31563"/>
      <c r="EG31563"/>
      <c r="EH31563"/>
      <c r="EI31563"/>
      <c r="EJ31563"/>
      <c r="EK31563"/>
    </row>
    <row r="31564" spans="1:141" s="116" customFormat="1">
      <c r="A31564" s="136"/>
      <c r="CM31564" s="111"/>
      <c r="CQ31564" s="111"/>
      <c r="EF31564"/>
      <c r="EG31564"/>
      <c r="EH31564"/>
      <c r="EI31564"/>
      <c r="EJ31564"/>
      <c r="EK31564"/>
    </row>
    <row r="31565" spans="1:141" s="116" customFormat="1">
      <c r="A31565" s="136"/>
      <c r="CM31565" s="111"/>
      <c r="CQ31565" s="111"/>
      <c r="EF31565"/>
      <c r="EG31565"/>
      <c r="EH31565"/>
      <c r="EI31565"/>
      <c r="EJ31565"/>
      <c r="EK31565"/>
    </row>
    <row r="31566" spans="1:141" s="116" customFormat="1">
      <c r="A31566" s="136"/>
      <c r="CM31566" s="111"/>
      <c r="CQ31566" s="111"/>
      <c r="EF31566"/>
      <c r="EG31566"/>
      <c r="EH31566"/>
      <c r="EI31566"/>
      <c r="EJ31566"/>
      <c r="EK31566"/>
    </row>
    <row r="31567" spans="1:141" s="116" customFormat="1">
      <c r="A31567" s="136"/>
      <c r="CM31567" s="111"/>
      <c r="CQ31567" s="111"/>
      <c r="EF31567"/>
      <c r="EG31567"/>
      <c r="EH31567"/>
      <c r="EI31567"/>
      <c r="EJ31567"/>
      <c r="EK31567"/>
    </row>
    <row r="31568" spans="1:141" s="116" customFormat="1">
      <c r="A31568" s="136"/>
      <c r="CM31568" s="111"/>
      <c r="CQ31568" s="111"/>
      <c r="EF31568"/>
      <c r="EG31568"/>
      <c r="EH31568"/>
      <c r="EI31568"/>
      <c r="EJ31568"/>
      <c r="EK31568"/>
    </row>
    <row r="31569" spans="1:141" s="116" customFormat="1">
      <c r="A31569" s="136"/>
      <c r="CM31569" s="111"/>
      <c r="CQ31569" s="111"/>
      <c r="EF31569"/>
      <c r="EG31569"/>
      <c r="EH31569"/>
      <c r="EI31569"/>
      <c r="EJ31569"/>
      <c r="EK31569"/>
    </row>
    <row r="31570" spans="1:141" s="116" customFormat="1">
      <c r="A31570" s="136"/>
      <c r="CM31570" s="111"/>
      <c r="CQ31570" s="111"/>
      <c r="EF31570"/>
      <c r="EG31570"/>
      <c r="EH31570"/>
      <c r="EI31570"/>
      <c r="EJ31570"/>
      <c r="EK31570"/>
    </row>
    <row r="31571" spans="1:141" s="116" customFormat="1">
      <c r="A31571" s="136"/>
      <c r="CM31571" s="111"/>
      <c r="CQ31571" s="111"/>
      <c r="EF31571"/>
      <c r="EG31571"/>
      <c r="EH31571"/>
      <c r="EI31571"/>
      <c r="EJ31571"/>
      <c r="EK31571"/>
    </row>
    <row r="31572" spans="1:141" s="116" customFormat="1">
      <c r="A31572" s="136"/>
      <c r="CM31572" s="111"/>
      <c r="CQ31572" s="111"/>
      <c r="EF31572"/>
      <c r="EG31572"/>
      <c r="EH31572"/>
      <c r="EI31572"/>
      <c r="EJ31572"/>
      <c r="EK31572"/>
    </row>
    <row r="31573" spans="1:141" s="116" customFormat="1">
      <c r="A31573" s="136"/>
      <c r="CM31573" s="111"/>
      <c r="CQ31573" s="111"/>
      <c r="EF31573"/>
      <c r="EG31573"/>
      <c r="EH31573"/>
      <c r="EI31573"/>
      <c r="EJ31573"/>
      <c r="EK31573"/>
    </row>
    <row r="31574" spans="1:141" s="116" customFormat="1">
      <c r="A31574" s="136"/>
      <c r="CM31574" s="111"/>
      <c r="CQ31574" s="111"/>
      <c r="EF31574"/>
      <c r="EG31574"/>
      <c r="EH31574"/>
      <c r="EI31574"/>
      <c r="EJ31574"/>
      <c r="EK31574"/>
    </row>
    <row r="31575" spans="1:141" s="116" customFormat="1">
      <c r="A31575" s="136"/>
      <c r="CM31575" s="111"/>
      <c r="CQ31575" s="111"/>
      <c r="EF31575"/>
      <c r="EG31575"/>
      <c r="EH31575"/>
      <c r="EI31575"/>
      <c r="EJ31575"/>
      <c r="EK31575"/>
    </row>
    <row r="31576" spans="1:141" s="116" customFormat="1">
      <c r="A31576" s="136"/>
      <c r="CM31576" s="111"/>
      <c r="CQ31576" s="111"/>
      <c r="EF31576"/>
      <c r="EG31576"/>
      <c r="EH31576"/>
      <c r="EI31576"/>
      <c r="EJ31576"/>
      <c r="EK31576"/>
    </row>
    <row r="31577" spans="1:141" s="116" customFormat="1">
      <c r="A31577" s="136"/>
      <c r="CM31577" s="111"/>
      <c r="CQ31577" s="111"/>
      <c r="EF31577"/>
      <c r="EG31577"/>
      <c r="EH31577"/>
      <c r="EI31577"/>
      <c r="EJ31577"/>
      <c r="EK31577"/>
    </row>
    <row r="31578" spans="1:141" s="116" customFormat="1">
      <c r="A31578" s="136"/>
      <c r="CM31578" s="111"/>
      <c r="CQ31578" s="111"/>
      <c r="EF31578"/>
      <c r="EG31578"/>
      <c r="EH31578"/>
      <c r="EI31578"/>
      <c r="EJ31578"/>
      <c r="EK31578"/>
    </row>
    <row r="31579" spans="1:141" s="116" customFormat="1">
      <c r="A31579" s="136"/>
      <c r="CM31579" s="111"/>
      <c r="CQ31579" s="111"/>
      <c r="EF31579"/>
      <c r="EG31579"/>
      <c r="EH31579"/>
      <c r="EI31579"/>
      <c r="EJ31579"/>
      <c r="EK31579"/>
    </row>
    <row r="31580" spans="1:141" s="116" customFormat="1">
      <c r="A31580" s="136"/>
      <c r="CM31580" s="111"/>
      <c r="CQ31580" s="111"/>
      <c r="EF31580"/>
      <c r="EG31580"/>
      <c r="EH31580"/>
      <c r="EI31580"/>
      <c r="EJ31580"/>
      <c r="EK31580"/>
    </row>
    <row r="31581" spans="1:141" s="116" customFormat="1">
      <c r="A31581" s="136"/>
      <c r="CM31581" s="111"/>
      <c r="CQ31581" s="111"/>
      <c r="EF31581"/>
      <c r="EG31581"/>
      <c r="EH31581"/>
      <c r="EI31581"/>
      <c r="EJ31581"/>
      <c r="EK31581"/>
    </row>
    <row r="31582" spans="1:141" s="116" customFormat="1">
      <c r="A31582" s="136"/>
      <c r="CM31582" s="111"/>
      <c r="CQ31582" s="111"/>
      <c r="EF31582"/>
      <c r="EG31582"/>
      <c r="EH31582"/>
      <c r="EI31582"/>
      <c r="EJ31582"/>
      <c r="EK31582"/>
    </row>
    <row r="31583" spans="1:141" s="116" customFormat="1">
      <c r="A31583" s="136"/>
      <c r="CM31583" s="111"/>
      <c r="CQ31583" s="111"/>
      <c r="EF31583"/>
      <c r="EG31583"/>
      <c r="EH31583"/>
      <c r="EI31583"/>
      <c r="EJ31583"/>
      <c r="EK31583"/>
    </row>
    <row r="31584" spans="1:141" s="116" customFormat="1">
      <c r="A31584" s="136"/>
      <c r="CM31584" s="111"/>
      <c r="CQ31584" s="111"/>
      <c r="EF31584"/>
      <c r="EG31584"/>
      <c r="EH31584"/>
      <c r="EI31584"/>
      <c r="EJ31584"/>
      <c r="EK31584"/>
    </row>
    <row r="31585" spans="1:141" s="116" customFormat="1">
      <c r="A31585" s="136"/>
      <c r="CM31585" s="111"/>
      <c r="CQ31585" s="111"/>
      <c r="EF31585"/>
      <c r="EG31585"/>
      <c r="EH31585"/>
      <c r="EI31585"/>
      <c r="EJ31585"/>
      <c r="EK31585"/>
    </row>
    <row r="31586" spans="1:141" s="116" customFormat="1">
      <c r="A31586" s="136"/>
      <c r="CM31586" s="111"/>
      <c r="CQ31586" s="111"/>
      <c r="EF31586"/>
      <c r="EG31586"/>
      <c r="EH31586"/>
      <c r="EI31586"/>
      <c r="EJ31586"/>
      <c r="EK31586"/>
    </row>
    <row r="31587" spans="1:141" s="116" customFormat="1">
      <c r="A31587" s="136"/>
      <c r="CM31587" s="111"/>
      <c r="CQ31587" s="111"/>
      <c r="EF31587"/>
      <c r="EG31587"/>
      <c r="EH31587"/>
      <c r="EI31587"/>
      <c r="EJ31587"/>
      <c r="EK31587"/>
    </row>
    <row r="31588" spans="1:141" s="116" customFormat="1">
      <c r="A31588" s="136"/>
      <c r="CM31588" s="111"/>
      <c r="CQ31588" s="111"/>
      <c r="EF31588"/>
      <c r="EG31588"/>
      <c r="EH31588"/>
      <c r="EI31588"/>
      <c r="EJ31588"/>
      <c r="EK31588"/>
    </row>
    <row r="31589" spans="1:141" s="116" customFormat="1">
      <c r="A31589" s="136"/>
      <c r="CM31589" s="111"/>
      <c r="CQ31589" s="111"/>
      <c r="EF31589"/>
      <c r="EG31589"/>
      <c r="EH31589"/>
      <c r="EI31589"/>
      <c r="EJ31589"/>
      <c r="EK31589"/>
    </row>
    <row r="31590" spans="1:141" s="116" customFormat="1">
      <c r="A31590" s="136"/>
      <c r="CM31590" s="111"/>
      <c r="CQ31590" s="111"/>
      <c r="EF31590"/>
      <c r="EG31590"/>
      <c r="EH31590"/>
      <c r="EI31590"/>
      <c r="EJ31590"/>
      <c r="EK31590"/>
    </row>
    <row r="31591" spans="1:141" s="116" customFormat="1">
      <c r="A31591" s="136"/>
      <c r="CM31591" s="111"/>
      <c r="CQ31591" s="111"/>
      <c r="EF31591"/>
      <c r="EG31591"/>
      <c r="EH31591"/>
      <c r="EI31591"/>
      <c r="EJ31591"/>
      <c r="EK31591"/>
    </row>
    <row r="31592" spans="1:141" s="116" customFormat="1">
      <c r="A31592" s="136"/>
      <c r="CM31592" s="111"/>
      <c r="CQ31592" s="111"/>
      <c r="EF31592"/>
      <c r="EG31592"/>
      <c r="EH31592"/>
      <c r="EI31592"/>
      <c r="EJ31592"/>
      <c r="EK31592"/>
    </row>
    <row r="31593" spans="1:141" s="116" customFormat="1">
      <c r="A31593" s="136"/>
      <c r="CM31593" s="111"/>
      <c r="CQ31593" s="111"/>
      <c r="EF31593"/>
      <c r="EG31593"/>
      <c r="EH31593"/>
      <c r="EI31593"/>
      <c r="EJ31593"/>
      <c r="EK31593"/>
    </row>
    <row r="31594" spans="1:141" s="116" customFormat="1">
      <c r="A31594" s="136"/>
      <c r="CM31594" s="111"/>
      <c r="CQ31594" s="111"/>
      <c r="EF31594"/>
      <c r="EG31594"/>
      <c r="EH31594"/>
      <c r="EI31594"/>
      <c r="EJ31594"/>
      <c r="EK31594"/>
    </row>
    <row r="31595" spans="1:141" s="116" customFormat="1">
      <c r="A31595" s="136"/>
      <c r="CM31595" s="111"/>
      <c r="CQ31595" s="111"/>
      <c r="EF31595"/>
      <c r="EG31595"/>
      <c r="EH31595"/>
      <c r="EI31595"/>
      <c r="EJ31595"/>
      <c r="EK31595"/>
    </row>
    <row r="31596" spans="1:141" s="116" customFormat="1">
      <c r="A31596" s="136"/>
      <c r="CM31596" s="111"/>
      <c r="CQ31596" s="111"/>
      <c r="EF31596"/>
      <c r="EG31596"/>
      <c r="EH31596"/>
      <c r="EI31596"/>
      <c r="EJ31596"/>
      <c r="EK31596"/>
    </row>
    <row r="31597" spans="1:141" s="116" customFormat="1">
      <c r="A31597" s="136"/>
      <c r="CM31597" s="111"/>
      <c r="CQ31597" s="111"/>
      <c r="EF31597"/>
      <c r="EG31597"/>
      <c r="EH31597"/>
      <c r="EI31597"/>
      <c r="EJ31597"/>
      <c r="EK31597"/>
    </row>
    <row r="31598" spans="1:141" s="116" customFormat="1">
      <c r="A31598" s="136"/>
      <c r="CM31598" s="111"/>
      <c r="CQ31598" s="111"/>
      <c r="EF31598"/>
      <c r="EG31598"/>
      <c r="EH31598"/>
      <c r="EI31598"/>
      <c r="EJ31598"/>
      <c r="EK31598"/>
    </row>
    <row r="31599" spans="1:141" s="116" customFormat="1">
      <c r="A31599" s="136"/>
      <c r="CM31599" s="111"/>
      <c r="CQ31599" s="111"/>
      <c r="EF31599"/>
      <c r="EG31599"/>
      <c r="EH31599"/>
      <c r="EI31599"/>
      <c r="EJ31599"/>
      <c r="EK31599"/>
    </row>
    <row r="31600" spans="1:141" s="116" customFormat="1">
      <c r="A31600" s="136"/>
      <c r="CM31600" s="111"/>
      <c r="CQ31600" s="111"/>
      <c r="EF31600"/>
      <c r="EG31600"/>
      <c r="EH31600"/>
      <c r="EI31600"/>
      <c r="EJ31600"/>
      <c r="EK31600"/>
    </row>
    <row r="31601" spans="1:141" s="116" customFormat="1">
      <c r="A31601" s="136"/>
      <c r="CM31601" s="111"/>
      <c r="CQ31601" s="111"/>
      <c r="EF31601"/>
      <c r="EG31601"/>
      <c r="EH31601"/>
      <c r="EI31601"/>
      <c r="EJ31601"/>
      <c r="EK31601"/>
    </row>
    <row r="31602" spans="1:141" s="116" customFormat="1">
      <c r="A31602" s="136"/>
      <c r="CM31602" s="111"/>
      <c r="CQ31602" s="111"/>
      <c r="EF31602"/>
      <c r="EG31602"/>
      <c r="EH31602"/>
      <c r="EI31602"/>
      <c r="EJ31602"/>
      <c r="EK31602"/>
    </row>
    <row r="31603" spans="1:141" s="116" customFormat="1">
      <c r="A31603" s="136"/>
      <c r="CM31603" s="111"/>
      <c r="CQ31603" s="111"/>
      <c r="EF31603"/>
      <c r="EG31603"/>
      <c r="EH31603"/>
      <c r="EI31603"/>
      <c r="EJ31603"/>
      <c r="EK31603"/>
    </row>
    <row r="31604" spans="1:141" s="116" customFormat="1">
      <c r="A31604" s="136"/>
      <c r="CM31604" s="111"/>
      <c r="CQ31604" s="111"/>
      <c r="EF31604"/>
      <c r="EG31604"/>
      <c r="EH31604"/>
      <c r="EI31604"/>
      <c r="EJ31604"/>
      <c r="EK31604"/>
    </row>
    <row r="31605" spans="1:141" s="116" customFormat="1">
      <c r="A31605" s="136"/>
      <c r="CM31605" s="111"/>
      <c r="CQ31605" s="111"/>
      <c r="EF31605"/>
      <c r="EG31605"/>
      <c r="EH31605"/>
      <c r="EI31605"/>
      <c r="EJ31605"/>
      <c r="EK31605"/>
    </row>
    <row r="31606" spans="1:141" s="116" customFormat="1">
      <c r="A31606" s="136"/>
      <c r="CM31606" s="111"/>
      <c r="CQ31606" s="111"/>
      <c r="EF31606"/>
      <c r="EG31606"/>
      <c r="EH31606"/>
      <c r="EI31606"/>
      <c r="EJ31606"/>
      <c r="EK31606"/>
    </row>
    <row r="31607" spans="1:141" s="116" customFormat="1">
      <c r="A31607" s="136"/>
      <c r="CM31607" s="111"/>
      <c r="CQ31607" s="111"/>
      <c r="EF31607"/>
      <c r="EG31607"/>
      <c r="EH31607"/>
      <c r="EI31607"/>
      <c r="EJ31607"/>
      <c r="EK31607"/>
    </row>
    <row r="31608" spans="1:141" s="116" customFormat="1">
      <c r="A31608" s="136"/>
      <c r="CM31608" s="111"/>
      <c r="CQ31608" s="111"/>
      <c r="EF31608"/>
      <c r="EG31608"/>
      <c r="EH31608"/>
      <c r="EI31608"/>
      <c r="EJ31608"/>
      <c r="EK31608"/>
    </row>
    <row r="31609" spans="1:141" s="116" customFormat="1">
      <c r="A31609" s="136"/>
      <c r="CM31609" s="111"/>
      <c r="CQ31609" s="111"/>
      <c r="EF31609"/>
      <c r="EG31609"/>
      <c r="EH31609"/>
      <c r="EI31609"/>
      <c r="EJ31609"/>
      <c r="EK31609"/>
    </row>
    <row r="31610" spans="1:141" s="116" customFormat="1">
      <c r="A31610" s="136"/>
      <c r="CM31610" s="111"/>
      <c r="CQ31610" s="111"/>
      <c r="EF31610"/>
      <c r="EG31610"/>
      <c r="EH31610"/>
      <c r="EI31610"/>
      <c r="EJ31610"/>
      <c r="EK31610"/>
    </row>
    <row r="31611" spans="1:141" s="116" customFormat="1">
      <c r="A31611" s="136"/>
      <c r="CM31611" s="111"/>
      <c r="CQ31611" s="111"/>
      <c r="EF31611"/>
      <c r="EG31611"/>
      <c r="EH31611"/>
      <c r="EI31611"/>
      <c r="EJ31611"/>
      <c r="EK31611"/>
    </row>
    <row r="31612" spans="1:141" s="116" customFormat="1">
      <c r="A31612" s="136"/>
      <c r="CM31612" s="111"/>
      <c r="CQ31612" s="111"/>
      <c r="EF31612"/>
      <c r="EG31612"/>
      <c r="EH31612"/>
      <c r="EI31612"/>
      <c r="EJ31612"/>
      <c r="EK31612"/>
    </row>
    <row r="31613" spans="1:141" s="116" customFormat="1">
      <c r="A31613" s="136"/>
      <c r="CM31613" s="111"/>
      <c r="CQ31613" s="111"/>
      <c r="EF31613"/>
      <c r="EG31613"/>
      <c r="EH31613"/>
      <c r="EI31613"/>
      <c r="EJ31613"/>
      <c r="EK31613"/>
    </row>
    <row r="31614" spans="1:141" s="116" customFormat="1">
      <c r="A31614" s="136"/>
      <c r="CM31614" s="111"/>
      <c r="CQ31614" s="111"/>
      <c r="EF31614"/>
      <c r="EG31614"/>
      <c r="EH31614"/>
      <c r="EI31614"/>
      <c r="EJ31614"/>
      <c r="EK31614"/>
    </row>
    <row r="31615" spans="1:141" s="116" customFormat="1">
      <c r="A31615" s="136"/>
      <c r="CM31615" s="111"/>
      <c r="CQ31615" s="111"/>
      <c r="EF31615"/>
      <c r="EG31615"/>
      <c r="EH31615"/>
      <c r="EI31615"/>
      <c r="EJ31615"/>
      <c r="EK31615"/>
    </row>
    <row r="31616" spans="1:141" s="116" customFormat="1">
      <c r="A31616" s="136"/>
      <c r="CM31616" s="111"/>
      <c r="CQ31616" s="111"/>
      <c r="EF31616"/>
      <c r="EG31616"/>
      <c r="EH31616"/>
      <c r="EI31616"/>
      <c r="EJ31616"/>
      <c r="EK31616"/>
    </row>
    <row r="31617" spans="1:141" s="116" customFormat="1">
      <c r="A31617" s="136"/>
      <c r="CM31617" s="111"/>
      <c r="CQ31617" s="111"/>
      <c r="EF31617"/>
      <c r="EG31617"/>
      <c r="EH31617"/>
      <c r="EI31617"/>
      <c r="EJ31617"/>
      <c r="EK31617"/>
    </row>
    <row r="31618" spans="1:141" s="116" customFormat="1">
      <c r="A31618" s="136"/>
      <c r="CM31618" s="111"/>
      <c r="CQ31618" s="111"/>
      <c r="EF31618"/>
      <c r="EG31618"/>
      <c r="EH31618"/>
      <c r="EI31618"/>
      <c r="EJ31618"/>
      <c r="EK31618"/>
    </row>
    <row r="31619" spans="1:141" s="116" customFormat="1">
      <c r="A31619" s="136"/>
      <c r="CM31619" s="111"/>
      <c r="CQ31619" s="111"/>
      <c r="EF31619"/>
      <c r="EG31619"/>
      <c r="EH31619"/>
      <c r="EI31619"/>
      <c r="EJ31619"/>
      <c r="EK31619"/>
    </row>
    <row r="31620" spans="1:141" s="116" customFormat="1">
      <c r="A31620" s="136"/>
      <c r="CM31620" s="111"/>
      <c r="CQ31620" s="111"/>
      <c r="EF31620"/>
      <c r="EG31620"/>
      <c r="EH31620"/>
      <c r="EI31620"/>
      <c r="EJ31620"/>
      <c r="EK31620"/>
    </row>
    <row r="31621" spans="1:141" s="116" customFormat="1">
      <c r="A31621" s="136"/>
      <c r="CM31621" s="111"/>
      <c r="CQ31621" s="111"/>
      <c r="EF31621"/>
      <c r="EG31621"/>
      <c r="EH31621"/>
      <c r="EI31621"/>
      <c r="EJ31621"/>
      <c r="EK31621"/>
    </row>
    <row r="31622" spans="1:141" s="116" customFormat="1">
      <c r="A31622" s="136"/>
      <c r="CM31622" s="111"/>
      <c r="CQ31622" s="111"/>
      <c r="EF31622"/>
      <c r="EG31622"/>
      <c r="EH31622"/>
      <c r="EI31622"/>
      <c r="EJ31622"/>
      <c r="EK31622"/>
    </row>
    <row r="31623" spans="1:141" s="116" customFormat="1">
      <c r="A31623" s="136"/>
      <c r="CM31623" s="111"/>
      <c r="CQ31623" s="111"/>
      <c r="EF31623"/>
      <c r="EG31623"/>
      <c r="EH31623"/>
      <c r="EI31623"/>
      <c r="EJ31623"/>
      <c r="EK31623"/>
    </row>
    <row r="31624" spans="1:141" s="116" customFormat="1">
      <c r="A31624" s="136"/>
      <c r="CM31624" s="111"/>
      <c r="CQ31624" s="111"/>
      <c r="EF31624"/>
      <c r="EG31624"/>
      <c r="EH31624"/>
      <c r="EI31624"/>
      <c r="EJ31624"/>
      <c r="EK31624"/>
    </row>
    <row r="31625" spans="1:141" s="116" customFormat="1">
      <c r="A31625" s="136"/>
      <c r="CM31625" s="111"/>
      <c r="CQ31625" s="111"/>
      <c r="EF31625"/>
      <c r="EG31625"/>
      <c r="EH31625"/>
      <c r="EI31625"/>
      <c r="EJ31625"/>
      <c r="EK31625"/>
    </row>
    <row r="31626" spans="1:141" s="116" customFormat="1">
      <c r="A31626" s="136"/>
      <c r="CM31626" s="111"/>
      <c r="CQ31626" s="111"/>
      <c r="EF31626"/>
      <c r="EG31626"/>
      <c r="EH31626"/>
      <c r="EI31626"/>
      <c r="EJ31626"/>
      <c r="EK31626"/>
    </row>
    <row r="31627" spans="1:141" s="116" customFormat="1">
      <c r="A31627" s="136"/>
      <c r="CM31627" s="111"/>
      <c r="CQ31627" s="111"/>
      <c r="EF31627"/>
      <c r="EG31627"/>
      <c r="EH31627"/>
      <c r="EI31627"/>
      <c r="EJ31627"/>
      <c r="EK31627"/>
    </row>
    <row r="31628" spans="1:141" s="116" customFormat="1">
      <c r="A31628" s="136"/>
      <c r="CM31628" s="111"/>
      <c r="CQ31628" s="111"/>
      <c r="EF31628"/>
      <c r="EG31628"/>
      <c r="EH31628"/>
      <c r="EI31628"/>
      <c r="EJ31628"/>
      <c r="EK31628"/>
    </row>
    <row r="31629" spans="1:141" s="116" customFormat="1">
      <c r="A31629" s="136"/>
      <c r="CM31629" s="111"/>
      <c r="CQ31629" s="111"/>
      <c r="EF31629"/>
      <c r="EG31629"/>
      <c r="EH31629"/>
      <c r="EI31629"/>
      <c r="EJ31629"/>
      <c r="EK31629"/>
    </row>
    <row r="31630" spans="1:141" s="116" customFormat="1">
      <c r="A31630" s="136"/>
      <c r="CM31630" s="111"/>
      <c r="CQ31630" s="111"/>
      <c r="EF31630"/>
      <c r="EG31630"/>
      <c r="EH31630"/>
      <c r="EI31630"/>
      <c r="EJ31630"/>
      <c r="EK31630"/>
    </row>
    <row r="31631" spans="1:141" s="116" customFormat="1">
      <c r="A31631" s="136"/>
      <c r="CM31631" s="111"/>
      <c r="CQ31631" s="111"/>
      <c r="EF31631"/>
      <c r="EG31631"/>
      <c r="EH31631"/>
      <c r="EI31631"/>
      <c r="EJ31631"/>
      <c r="EK31631"/>
    </row>
    <row r="31632" spans="1:141" s="116" customFormat="1">
      <c r="A31632" s="136"/>
      <c r="CM31632" s="111"/>
      <c r="CQ31632" s="111"/>
      <c r="EF31632"/>
      <c r="EG31632"/>
      <c r="EH31632"/>
      <c r="EI31632"/>
      <c r="EJ31632"/>
      <c r="EK31632"/>
    </row>
    <row r="31633" spans="1:141" s="116" customFormat="1">
      <c r="A31633" s="136"/>
      <c r="CM31633" s="111"/>
      <c r="CQ31633" s="111"/>
      <c r="EF31633"/>
      <c r="EG31633"/>
      <c r="EH31633"/>
      <c r="EI31633"/>
      <c r="EJ31633"/>
      <c r="EK31633"/>
    </row>
    <row r="31634" spans="1:141" s="116" customFormat="1">
      <c r="A31634" s="136"/>
      <c r="CM31634" s="111"/>
      <c r="CQ31634" s="111"/>
      <c r="EF31634"/>
      <c r="EG31634"/>
      <c r="EH31634"/>
      <c r="EI31634"/>
      <c r="EJ31634"/>
      <c r="EK31634"/>
    </row>
    <row r="31635" spans="1:141" s="116" customFormat="1">
      <c r="A31635" s="136"/>
      <c r="CM31635" s="111"/>
      <c r="CQ31635" s="111"/>
      <c r="EF31635"/>
      <c r="EG31635"/>
      <c r="EH31635"/>
      <c r="EI31635"/>
      <c r="EJ31635"/>
      <c r="EK31635"/>
    </row>
    <row r="31636" spans="1:141" s="116" customFormat="1">
      <c r="A31636" s="136"/>
      <c r="CM31636" s="111"/>
      <c r="CQ31636" s="111"/>
      <c r="EF31636"/>
      <c r="EG31636"/>
      <c r="EH31636"/>
      <c r="EI31636"/>
      <c r="EJ31636"/>
      <c r="EK31636"/>
    </row>
    <row r="31637" spans="1:141" s="116" customFormat="1">
      <c r="A31637" s="136"/>
      <c r="CM31637" s="111"/>
      <c r="CQ31637" s="111"/>
      <c r="EF31637"/>
      <c r="EG31637"/>
      <c r="EH31637"/>
      <c r="EI31637"/>
      <c r="EJ31637"/>
      <c r="EK31637"/>
    </row>
    <row r="31638" spans="1:141" s="116" customFormat="1">
      <c r="A31638" s="136"/>
      <c r="CM31638" s="111"/>
      <c r="CQ31638" s="111"/>
      <c r="EF31638"/>
      <c r="EG31638"/>
      <c r="EH31638"/>
      <c r="EI31638"/>
      <c r="EJ31638"/>
      <c r="EK31638"/>
    </row>
    <row r="31639" spans="1:141" s="116" customFormat="1">
      <c r="A31639" s="136"/>
      <c r="CM31639" s="111"/>
      <c r="CQ31639" s="111"/>
      <c r="EF31639"/>
      <c r="EG31639"/>
      <c r="EH31639"/>
      <c r="EI31639"/>
      <c r="EJ31639"/>
      <c r="EK31639"/>
    </row>
    <row r="31640" spans="1:141" s="116" customFormat="1">
      <c r="A31640" s="136"/>
      <c r="CM31640" s="111"/>
      <c r="CQ31640" s="111"/>
      <c r="EF31640"/>
      <c r="EG31640"/>
      <c r="EH31640"/>
      <c r="EI31640"/>
      <c r="EJ31640"/>
      <c r="EK31640"/>
    </row>
    <row r="31641" spans="1:141" s="116" customFormat="1">
      <c r="A31641" s="136"/>
      <c r="CM31641" s="111"/>
      <c r="CQ31641" s="111"/>
      <c r="EF31641"/>
      <c r="EG31641"/>
      <c r="EH31641"/>
      <c r="EI31641"/>
      <c r="EJ31641"/>
      <c r="EK31641"/>
    </row>
    <row r="31642" spans="1:141" s="116" customFormat="1">
      <c r="A31642" s="136"/>
      <c r="CM31642" s="111"/>
      <c r="CQ31642" s="111"/>
      <c r="EF31642"/>
      <c r="EG31642"/>
      <c r="EH31642"/>
      <c r="EI31642"/>
      <c r="EJ31642"/>
      <c r="EK31642"/>
    </row>
    <row r="31643" spans="1:141" s="116" customFormat="1">
      <c r="A31643" s="136"/>
      <c r="CM31643" s="111"/>
      <c r="CQ31643" s="111"/>
      <c r="EF31643"/>
      <c r="EG31643"/>
      <c r="EH31643"/>
      <c r="EI31643"/>
      <c r="EJ31643"/>
      <c r="EK31643"/>
    </row>
    <row r="31644" spans="1:141" s="116" customFormat="1">
      <c r="A31644" s="136"/>
      <c r="CM31644" s="111"/>
      <c r="CQ31644" s="111"/>
      <c r="EF31644"/>
      <c r="EG31644"/>
      <c r="EH31644"/>
      <c r="EI31644"/>
      <c r="EJ31644"/>
      <c r="EK31644"/>
    </row>
    <row r="31645" spans="1:141" s="116" customFormat="1">
      <c r="A31645" s="136"/>
      <c r="CM31645" s="111"/>
      <c r="CQ31645" s="111"/>
      <c r="EF31645"/>
      <c r="EG31645"/>
      <c r="EH31645"/>
      <c r="EI31645"/>
      <c r="EJ31645"/>
      <c r="EK31645"/>
    </row>
    <row r="31646" spans="1:141" s="116" customFormat="1">
      <c r="A31646" s="136"/>
      <c r="CM31646" s="111"/>
      <c r="CQ31646" s="111"/>
      <c r="EF31646"/>
      <c r="EG31646"/>
      <c r="EH31646"/>
      <c r="EI31646"/>
      <c r="EJ31646"/>
      <c r="EK31646"/>
    </row>
    <row r="31647" spans="1:141" s="116" customFormat="1">
      <c r="A31647" s="136"/>
      <c r="CM31647" s="111"/>
      <c r="CQ31647" s="111"/>
      <c r="EF31647"/>
      <c r="EG31647"/>
      <c r="EH31647"/>
      <c r="EI31647"/>
      <c r="EJ31647"/>
      <c r="EK31647"/>
    </row>
    <row r="31648" spans="1:141" s="116" customFormat="1">
      <c r="A31648" s="136"/>
      <c r="CM31648" s="111"/>
      <c r="CQ31648" s="111"/>
      <c r="EF31648"/>
      <c r="EG31648"/>
      <c r="EH31648"/>
      <c r="EI31648"/>
      <c r="EJ31648"/>
      <c r="EK31648"/>
    </row>
    <row r="31649" spans="1:141" s="116" customFormat="1">
      <c r="A31649" s="136"/>
      <c r="CM31649" s="111"/>
      <c r="CQ31649" s="111"/>
      <c r="EF31649"/>
      <c r="EG31649"/>
      <c r="EH31649"/>
      <c r="EI31649"/>
      <c r="EJ31649"/>
      <c r="EK31649"/>
    </row>
    <row r="31650" spans="1:141" s="116" customFormat="1">
      <c r="A31650" s="136"/>
      <c r="CM31650" s="111"/>
      <c r="CQ31650" s="111"/>
      <c r="EF31650"/>
      <c r="EG31650"/>
      <c r="EH31650"/>
      <c r="EI31650"/>
      <c r="EJ31650"/>
      <c r="EK31650"/>
    </row>
    <row r="31651" spans="1:141" s="116" customFormat="1">
      <c r="A31651" s="136"/>
      <c r="CM31651" s="111"/>
      <c r="CQ31651" s="111"/>
      <c r="EF31651"/>
      <c r="EG31651"/>
      <c r="EH31651"/>
      <c r="EI31651"/>
      <c r="EJ31651"/>
      <c r="EK31651"/>
    </row>
    <row r="31652" spans="1:141" s="116" customFormat="1">
      <c r="A31652" s="136"/>
      <c r="CM31652" s="111"/>
      <c r="CQ31652" s="111"/>
      <c r="EF31652"/>
      <c r="EG31652"/>
      <c r="EH31652"/>
      <c r="EI31652"/>
      <c r="EJ31652"/>
      <c r="EK31652"/>
    </row>
    <row r="31653" spans="1:141" s="116" customFormat="1">
      <c r="A31653" s="136"/>
      <c r="CM31653" s="111"/>
      <c r="CQ31653" s="111"/>
      <c r="EF31653"/>
      <c r="EG31653"/>
      <c r="EH31653"/>
      <c r="EI31653"/>
      <c r="EJ31653"/>
      <c r="EK31653"/>
    </row>
    <row r="31654" spans="1:141" s="116" customFormat="1">
      <c r="A31654" s="136"/>
      <c r="CM31654" s="111"/>
      <c r="CQ31654" s="111"/>
      <c r="EF31654"/>
      <c r="EG31654"/>
      <c r="EH31654"/>
      <c r="EI31654"/>
      <c r="EJ31654"/>
      <c r="EK31654"/>
    </row>
    <row r="31655" spans="1:141" s="116" customFormat="1">
      <c r="A31655" s="136"/>
      <c r="CM31655" s="111"/>
      <c r="CQ31655" s="111"/>
      <c r="EF31655"/>
      <c r="EG31655"/>
      <c r="EH31655"/>
      <c r="EI31655"/>
      <c r="EJ31655"/>
      <c r="EK31655"/>
    </row>
    <row r="31656" spans="1:141" s="116" customFormat="1">
      <c r="A31656" s="136"/>
      <c r="CM31656" s="111"/>
      <c r="CQ31656" s="111"/>
      <c r="EF31656"/>
      <c r="EG31656"/>
      <c r="EH31656"/>
      <c r="EI31656"/>
      <c r="EJ31656"/>
      <c r="EK31656"/>
    </row>
    <row r="31657" spans="1:141" s="116" customFormat="1">
      <c r="A31657" s="136"/>
      <c r="CM31657" s="111"/>
      <c r="CQ31657" s="111"/>
      <c r="EF31657"/>
      <c r="EG31657"/>
      <c r="EH31657"/>
      <c r="EI31657"/>
      <c r="EJ31657"/>
      <c r="EK31657"/>
    </row>
    <row r="31658" spans="1:141" s="116" customFormat="1">
      <c r="A31658" s="136"/>
      <c r="CM31658" s="111"/>
      <c r="CQ31658" s="111"/>
      <c r="EF31658"/>
      <c r="EG31658"/>
      <c r="EH31658"/>
      <c r="EI31658"/>
      <c r="EJ31658"/>
      <c r="EK31658"/>
    </row>
    <row r="31659" spans="1:141" s="116" customFormat="1">
      <c r="A31659" s="136"/>
      <c r="CM31659" s="111"/>
      <c r="CQ31659" s="111"/>
      <c r="EF31659"/>
      <c r="EG31659"/>
      <c r="EH31659"/>
      <c r="EI31659"/>
      <c r="EJ31659"/>
      <c r="EK31659"/>
    </row>
    <row r="31660" spans="1:141" s="116" customFormat="1">
      <c r="A31660" s="136"/>
      <c r="CM31660" s="111"/>
      <c r="CQ31660" s="111"/>
      <c r="EF31660"/>
      <c r="EG31660"/>
      <c r="EH31660"/>
      <c r="EI31660"/>
      <c r="EJ31660"/>
      <c r="EK31660"/>
    </row>
    <row r="31661" spans="1:141" s="116" customFormat="1">
      <c r="A31661" s="136"/>
      <c r="CM31661" s="111"/>
      <c r="CQ31661" s="111"/>
      <c r="EF31661"/>
      <c r="EG31661"/>
      <c r="EH31661"/>
      <c r="EI31661"/>
      <c r="EJ31661"/>
      <c r="EK31661"/>
    </row>
    <row r="31662" spans="1:141" s="116" customFormat="1">
      <c r="A31662" s="136"/>
      <c r="CM31662" s="111"/>
      <c r="CQ31662" s="111"/>
      <c r="EF31662"/>
      <c r="EG31662"/>
      <c r="EH31662"/>
      <c r="EI31662"/>
      <c r="EJ31662"/>
      <c r="EK31662"/>
    </row>
    <row r="31663" spans="1:141" s="116" customFormat="1">
      <c r="A31663" s="136"/>
      <c r="CM31663" s="111"/>
      <c r="CQ31663" s="111"/>
      <c r="EF31663"/>
      <c r="EG31663"/>
      <c r="EH31663"/>
      <c r="EI31663"/>
      <c r="EJ31663"/>
      <c r="EK31663"/>
    </row>
    <row r="31664" spans="1:141" s="116" customFormat="1">
      <c r="A31664" s="136"/>
      <c r="CM31664" s="111"/>
      <c r="CQ31664" s="111"/>
      <c r="EF31664"/>
      <c r="EG31664"/>
      <c r="EH31664"/>
      <c r="EI31664"/>
      <c r="EJ31664"/>
      <c r="EK31664"/>
    </row>
    <row r="31665" spans="1:141" s="116" customFormat="1">
      <c r="A31665" s="136"/>
      <c r="CM31665" s="111"/>
      <c r="CQ31665" s="111"/>
      <c r="EF31665"/>
      <c r="EG31665"/>
      <c r="EH31665"/>
      <c r="EI31665"/>
      <c r="EJ31665"/>
      <c r="EK31665"/>
    </row>
    <row r="31666" spans="1:141" s="116" customFormat="1">
      <c r="A31666" s="136"/>
      <c r="CM31666" s="111"/>
      <c r="CQ31666" s="111"/>
      <c r="EF31666"/>
      <c r="EG31666"/>
      <c r="EH31666"/>
      <c r="EI31666"/>
      <c r="EJ31666"/>
      <c r="EK31666"/>
    </row>
    <row r="31667" spans="1:141" s="116" customFormat="1">
      <c r="A31667" s="136"/>
      <c r="CM31667" s="111"/>
      <c r="CQ31667" s="111"/>
      <c r="EF31667"/>
      <c r="EG31667"/>
      <c r="EH31667"/>
      <c r="EI31667"/>
      <c r="EJ31667"/>
      <c r="EK31667"/>
    </row>
    <row r="31668" spans="1:141" s="116" customFormat="1">
      <c r="A31668" s="136"/>
      <c r="CM31668" s="111"/>
      <c r="CQ31668" s="111"/>
      <c r="EF31668"/>
      <c r="EG31668"/>
      <c r="EH31668"/>
      <c r="EI31668"/>
      <c r="EJ31668"/>
      <c r="EK31668"/>
    </row>
    <row r="31669" spans="1:141" s="116" customFormat="1">
      <c r="A31669" s="136"/>
      <c r="CM31669" s="111"/>
      <c r="CQ31669" s="111"/>
      <c r="EF31669"/>
      <c r="EG31669"/>
      <c r="EH31669"/>
      <c r="EI31669"/>
      <c r="EJ31669"/>
      <c r="EK31669"/>
    </row>
    <row r="31670" spans="1:141" s="116" customFormat="1">
      <c r="A31670" s="136"/>
      <c r="CM31670" s="111"/>
      <c r="CQ31670" s="111"/>
      <c r="EF31670"/>
      <c r="EG31670"/>
      <c r="EH31670"/>
      <c r="EI31670"/>
      <c r="EJ31670"/>
      <c r="EK31670"/>
    </row>
    <row r="31671" spans="1:141" s="116" customFormat="1">
      <c r="A31671" s="136"/>
      <c r="CM31671" s="111"/>
      <c r="CQ31671" s="111"/>
      <c r="EF31671"/>
      <c r="EG31671"/>
      <c r="EH31671"/>
      <c r="EI31671"/>
      <c r="EJ31671"/>
      <c r="EK31671"/>
    </row>
    <row r="31672" spans="1:141" s="116" customFormat="1">
      <c r="A31672" s="136"/>
      <c r="CM31672" s="111"/>
      <c r="CQ31672" s="111"/>
      <c r="EF31672"/>
      <c r="EG31672"/>
      <c r="EH31672"/>
      <c r="EI31672"/>
      <c r="EJ31672"/>
      <c r="EK31672"/>
    </row>
    <row r="31673" spans="1:141" s="116" customFormat="1">
      <c r="A31673" s="136"/>
      <c r="CM31673" s="111"/>
      <c r="CQ31673" s="111"/>
      <c r="EF31673"/>
      <c r="EG31673"/>
      <c r="EH31673"/>
      <c r="EI31673"/>
      <c r="EJ31673"/>
      <c r="EK31673"/>
    </row>
    <row r="31674" spans="1:141" s="116" customFormat="1">
      <c r="A31674" s="136"/>
      <c r="CM31674" s="111"/>
      <c r="CQ31674" s="111"/>
      <c r="EF31674"/>
      <c r="EG31674"/>
      <c r="EH31674"/>
      <c r="EI31674"/>
      <c r="EJ31674"/>
      <c r="EK31674"/>
    </row>
    <row r="31675" spans="1:141" s="116" customFormat="1">
      <c r="A31675" s="136"/>
      <c r="CM31675" s="111"/>
      <c r="CQ31675" s="111"/>
      <c r="EF31675"/>
      <c r="EG31675"/>
      <c r="EH31675"/>
      <c r="EI31675"/>
      <c r="EJ31675"/>
      <c r="EK31675"/>
    </row>
    <row r="31676" spans="1:141" s="116" customFormat="1">
      <c r="A31676" s="136"/>
      <c r="CM31676" s="111"/>
      <c r="CQ31676" s="111"/>
      <c r="EF31676"/>
      <c r="EG31676"/>
      <c r="EH31676"/>
      <c r="EI31676"/>
      <c r="EJ31676"/>
      <c r="EK31676"/>
    </row>
    <row r="31677" spans="1:141" s="116" customFormat="1">
      <c r="A31677" s="136"/>
      <c r="CM31677" s="111"/>
      <c r="CQ31677" s="111"/>
      <c r="EF31677"/>
      <c r="EG31677"/>
      <c r="EH31677"/>
      <c r="EI31677"/>
      <c r="EJ31677"/>
      <c r="EK31677"/>
    </row>
    <row r="31678" spans="1:141" s="116" customFormat="1">
      <c r="A31678" s="136"/>
      <c r="CM31678" s="111"/>
      <c r="CQ31678" s="111"/>
      <c r="EF31678"/>
      <c r="EG31678"/>
      <c r="EH31678"/>
      <c r="EI31678"/>
      <c r="EJ31678"/>
      <c r="EK31678"/>
    </row>
    <row r="31679" spans="1:141" s="116" customFormat="1">
      <c r="A31679" s="136"/>
      <c r="CM31679" s="111"/>
      <c r="CQ31679" s="111"/>
      <c r="EF31679"/>
      <c r="EG31679"/>
      <c r="EH31679"/>
      <c r="EI31679"/>
      <c r="EJ31679"/>
      <c r="EK31679"/>
    </row>
    <row r="31680" spans="1:141" s="116" customFormat="1">
      <c r="A31680" s="136"/>
      <c r="CM31680" s="111"/>
      <c r="CQ31680" s="111"/>
      <c r="EF31680"/>
      <c r="EG31680"/>
      <c r="EH31680"/>
      <c r="EI31680"/>
      <c r="EJ31680"/>
      <c r="EK31680"/>
    </row>
    <row r="31681" spans="1:141" s="116" customFormat="1">
      <c r="A31681" s="136"/>
      <c r="CM31681" s="111"/>
      <c r="CQ31681" s="111"/>
      <c r="EF31681"/>
      <c r="EG31681"/>
      <c r="EH31681"/>
      <c r="EI31681"/>
      <c r="EJ31681"/>
      <c r="EK31681"/>
    </row>
    <row r="31682" spans="1:141" s="116" customFormat="1">
      <c r="A31682" s="136"/>
      <c r="CM31682" s="111"/>
      <c r="CQ31682" s="111"/>
      <c r="EF31682"/>
      <c r="EG31682"/>
      <c r="EH31682"/>
      <c r="EI31682"/>
      <c r="EJ31682"/>
      <c r="EK31682"/>
    </row>
    <row r="31683" spans="1:141" s="116" customFormat="1">
      <c r="A31683" s="136"/>
      <c r="CM31683" s="111"/>
      <c r="CQ31683" s="111"/>
      <c r="EF31683"/>
      <c r="EG31683"/>
      <c r="EH31683"/>
      <c r="EI31683"/>
      <c r="EJ31683"/>
      <c r="EK31683"/>
    </row>
    <row r="31684" spans="1:141" s="116" customFormat="1">
      <c r="A31684" s="136"/>
      <c r="CM31684" s="111"/>
      <c r="CQ31684" s="111"/>
      <c r="EF31684"/>
      <c r="EG31684"/>
      <c r="EH31684"/>
      <c r="EI31684"/>
      <c r="EJ31684"/>
      <c r="EK31684"/>
    </row>
    <row r="31685" spans="1:141" s="116" customFormat="1">
      <c r="A31685" s="136"/>
      <c r="CM31685" s="111"/>
      <c r="CQ31685" s="111"/>
      <c r="EF31685"/>
      <c r="EG31685"/>
      <c r="EH31685"/>
      <c r="EI31685"/>
      <c r="EJ31685"/>
      <c r="EK31685"/>
    </row>
    <row r="31686" spans="1:141" s="116" customFormat="1">
      <c r="A31686" s="136"/>
      <c r="CM31686" s="111"/>
      <c r="CQ31686" s="111"/>
      <c r="EF31686"/>
      <c r="EG31686"/>
      <c r="EH31686"/>
      <c r="EI31686"/>
      <c r="EJ31686"/>
      <c r="EK31686"/>
    </row>
    <row r="31687" spans="1:141" s="116" customFormat="1">
      <c r="A31687" s="136"/>
      <c r="CM31687" s="111"/>
      <c r="CQ31687" s="111"/>
      <c r="EF31687"/>
      <c r="EG31687"/>
      <c r="EH31687"/>
      <c r="EI31687"/>
      <c r="EJ31687"/>
      <c r="EK31687"/>
    </row>
    <row r="31688" spans="1:141" s="116" customFormat="1">
      <c r="A31688" s="136"/>
      <c r="CM31688" s="111"/>
      <c r="CQ31688" s="111"/>
      <c r="EF31688"/>
      <c r="EG31688"/>
      <c r="EH31688"/>
      <c r="EI31688"/>
      <c r="EJ31688"/>
      <c r="EK31688"/>
    </row>
    <row r="31689" spans="1:141" s="116" customFormat="1">
      <c r="A31689" s="136"/>
      <c r="CM31689" s="111"/>
      <c r="CQ31689" s="111"/>
      <c r="EF31689"/>
      <c r="EG31689"/>
      <c r="EH31689"/>
      <c r="EI31689"/>
      <c r="EJ31689"/>
      <c r="EK31689"/>
    </row>
    <row r="31690" spans="1:141" s="116" customFormat="1">
      <c r="A31690" s="136"/>
      <c r="CM31690" s="111"/>
      <c r="CQ31690" s="111"/>
      <c r="EF31690"/>
      <c r="EG31690"/>
      <c r="EH31690"/>
      <c r="EI31690"/>
      <c r="EJ31690"/>
      <c r="EK31690"/>
    </row>
    <row r="31691" spans="1:141" s="116" customFormat="1">
      <c r="A31691" s="136"/>
      <c r="CM31691" s="111"/>
      <c r="CQ31691" s="111"/>
      <c r="EF31691"/>
      <c r="EG31691"/>
      <c r="EH31691"/>
      <c r="EI31691"/>
      <c r="EJ31691"/>
      <c r="EK31691"/>
    </row>
    <row r="31692" spans="1:141" s="116" customFormat="1">
      <c r="A31692" s="136"/>
      <c r="CM31692" s="111"/>
      <c r="CQ31692" s="111"/>
      <c r="EF31692"/>
      <c r="EG31692"/>
      <c r="EH31692"/>
      <c r="EI31692"/>
      <c r="EJ31692"/>
      <c r="EK31692"/>
    </row>
    <row r="31693" spans="1:141" s="116" customFormat="1">
      <c r="A31693" s="136"/>
      <c r="CM31693" s="111"/>
      <c r="CQ31693" s="111"/>
      <c r="EF31693"/>
      <c r="EG31693"/>
      <c r="EH31693"/>
      <c r="EI31693"/>
      <c r="EJ31693"/>
      <c r="EK31693"/>
    </row>
    <row r="31694" spans="1:141" s="116" customFormat="1">
      <c r="A31694" s="136"/>
      <c r="CM31694" s="111"/>
      <c r="CQ31694" s="111"/>
      <c r="EF31694"/>
      <c r="EG31694"/>
      <c r="EH31694"/>
      <c r="EI31694"/>
      <c r="EJ31694"/>
      <c r="EK31694"/>
    </row>
    <row r="31695" spans="1:141" s="116" customFormat="1">
      <c r="A31695" s="136"/>
      <c r="CM31695" s="111"/>
      <c r="CQ31695" s="111"/>
      <c r="EF31695"/>
      <c r="EG31695"/>
      <c r="EH31695"/>
      <c r="EI31695"/>
      <c r="EJ31695"/>
      <c r="EK31695"/>
    </row>
    <row r="31696" spans="1:141" s="116" customFormat="1">
      <c r="A31696" s="136"/>
      <c r="CM31696" s="111"/>
      <c r="CQ31696" s="111"/>
      <c r="EF31696"/>
      <c r="EG31696"/>
      <c r="EH31696"/>
      <c r="EI31696"/>
      <c r="EJ31696"/>
      <c r="EK31696"/>
    </row>
    <row r="31697" spans="1:141" s="116" customFormat="1">
      <c r="A31697" s="136"/>
      <c r="CM31697" s="111"/>
      <c r="CQ31697" s="111"/>
      <c r="EF31697"/>
      <c r="EG31697"/>
      <c r="EH31697"/>
      <c r="EI31697"/>
      <c r="EJ31697"/>
      <c r="EK31697"/>
    </row>
    <row r="31698" spans="1:141" s="116" customFormat="1">
      <c r="A31698" s="136"/>
      <c r="CM31698" s="111"/>
      <c r="CQ31698" s="111"/>
      <c r="EF31698"/>
      <c r="EG31698"/>
      <c r="EH31698"/>
      <c r="EI31698"/>
      <c r="EJ31698"/>
      <c r="EK31698"/>
    </row>
    <row r="31699" spans="1:141" s="116" customFormat="1">
      <c r="A31699" s="136"/>
      <c r="CM31699" s="111"/>
      <c r="CQ31699" s="111"/>
      <c r="EF31699"/>
      <c r="EG31699"/>
      <c r="EH31699"/>
      <c r="EI31699"/>
      <c r="EJ31699"/>
      <c r="EK31699"/>
    </row>
    <row r="31700" spans="1:141" s="116" customFormat="1">
      <c r="A31700" s="136"/>
      <c r="CM31700" s="111"/>
      <c r="CQ31700" s="111"/>
      <c r="EF31700"/>
      <c r="EG31700"/>
      <c r="EH31700"/>
      <c r="EI31700"/>
      <c r="EJ31700"/>
      <c r="EK31700"/>
    </row>
    <row r="31701" spans="1:141" s="116" customFormat="1">
      <c r="A31701" s="136"/>
      <c r="CM31701" s="111"/>
      <c r="CQ31701" s="111"/>
      <c r="EF31701"/>
      <c r="EG31701"/>
      <c r="EH31701"/>
      <c r="EI31701"/>
      <c r="EJ31701"/>
      <c r="EK31701"/>
    </row>
    <row r="31702" spans="1:141" s="116" customFormat="1">
      <c r="A31702" s="136"/>
      <c r="CM31702" s="111"/>
      <c r="CQ31702" s="111"/>
      <c r="EF31702"/>
      <c r="EG31702"/>
      <c r="EH31702"/>
      <c r="EI31702"/>
      <c r="EJ31702"/>
      <c r="EK31702"/>
    </row>
    <row r="31703" spans="1:141" s="116" customFormat="1">
      <c r="A31703" s="136"/>
      <c r="CM31703" s="111"/>
      <c r="CQ31703" s="111"/>
      <c r="EF31703"/>
      <c r="EG31703"/>
      <c r="EH31703"/>
      <c r="EI31703"/>
      <c r="EJ31703"/>
      <c r="EK31703"/>
    </row>
    <row r="31704" spans="1:141" s="116" customFormat="1">
      <c r="A31704" s="136"/>
      <c r="CM31704" s="111"/>
      <c r="CQ31704" s="111"/>
      <c r="EF31704"/>
      <c r="EG31704"/>
      <c r="EH31704"/>
      <c r="EI31704"/>
      <c r="EJ31704"/>
      <c r="EK31704"/>
    </row>
    <row r="31705" spans="1:141" s="116" customFormat="1">
      <c r="A31705" s="136"/>
      <c r="CM31705" s="111"/>
      <c r="CQ31705" s="111"/>
      <c r="EF31705"/>
      <c r="EG31705"/>
      <c r="EH31705"/>
      <c r="EI31705"/>
      <c r="EJ31705"/>
      <c r="EK31705"/>
    </row>
    <row r="31706" spans="1:141" s="116" customFormat="1">
      <c r="A31706" s="136"/>
      <c r="CM31706" s="111"/>
      <c r="CQ31706" s="111"/>
      <c r="EF31706"/>
      <c r="EG31706"/>
      <c r="EH31706"/>
      <c r="EI31706"/>
      <c r="EJ31706"/>
      <c r="EK31706"/>
    </row>
    <row r="31707" spans="1:141" s="116" customFormat="1">
      <c r="A31707" s="136"/>
      <c r="CM31707" s="111"/>
      <c r="CQ31707" s="111"/>
      <c r="EF31707"/>
      <c r="EG31707"/>
      <c r="EH31707"/>
      <c r="EI31707"/>
      <c r="EJ31707"/>
      <c r="EK31707"/>
    </row>
    <row r="31708" spans="1:141" s="116" customFormat="1">
      <c r="A31708" s="136"/>
      <c r="CM31708" s="111"/>
      <c r="CQ31708" s="111"/>
      <c r="EF31708"/>
      <c r="EG31708"/>
      <c r="EH31708"/>
      <c r="EI31708"/>
      <c r="EJ31708"/>
      <c r="EK31708"/>
    </row>
    <row r="31709" spans="1:141" s="116" customFormat="1">
      <c r="A31709" s="136"/>
      <c r="CM31709" s="111"/>
      <c r="CQ31709" s="111"/>
      <c r="EF31709"/>
      <c r="EG31709"/>
      <c r="EH31709"/>
      <c r="EI31709"/>
      <c r="EJ31709"/>
      <c r="EK31709"/>
    </row>
    <row r="31710" spans="1:141" s="116" customFormat="1">
      <c r="A31710" s="136"/>
      <c r="CM31710" s="111"/>
      <c r="CQ31710" s="111"/>
      <c r="EF31710"/>
      <c r="EG31710"/>
      <c r="EH31710"/>
      <c r="EI31710"/>
      <c r="EJ31710"/>
      <c r="EK31710"/>
    </row>
    <row r="31711" spans="1:141" s="116" customFormat="1">
      <c r="A31711" s="136"/>
      <c r="CM31711" s="111"/>
      <c r="CQ31711" s="111"/>
      <c r="EF31711"/>
      <c r="EG31711"/>
      <c r="EH31711"/>
      <c r="EI31711"/>
      <c r="EJ31711"/>
      <c r="EK31711"/>
    </row>
    <row r="31712" spans="1:141" s="116" customFormat="1">
      <c r="A31712" s="136"/>
      <c r="CM31712" s="111"/>
      <c r="CQ31712" s="111"/>
      <c r="EF31712"/>
      <c r="EG31712"/>
      <c r="EH31712"/>
      <c r="EI31712"/>
      <c r="EJ31712"/>
      <c r="EK31712"/>
    </row>
    <row r="31713" spans="1:141" s="116" customFormat="1">
      <c r="A31713" s="136"/>
      <c r="CM31713" s="111"/>
      <c r="CQ31713" s="111"/>
      <c r="EF31713"/>
      <c r="EG31713"/>
      <c r="EH31713"/>
      <c r="EI31713"/>
      <c r="EJ31713"/>
      <c r="EK31713"/>
    </row>
    <row r="31714" spans="1:141" s="116" customFormat="1">
      <c r="A31714" s="136"/>
      <c r="CM31714" s="111"/>
      <c r="CQ31714" s="111"/>
      <c r="EF31714"/>
      <c r="EG31714"/>
      <c r="EH31714"/>
      <c r="EI31714"/>
      <c r="EJ31714"/>
      <c r="EK31714"/>
    </row>
    <row r="31715" spans="1:141" s="116" customFormat="1">
      <c r="A31715" s="136"/>
      <c r="CM31715" s="111"/>
      <c r="CQ31715" s="111"/>
      <c r="EF31715"/>
      <c r="EG31715"/>
      <c r="EH31715"/>
      <c r="EI31715"/>
      <c r="EJ31715"/>
      <c r="EK31715"/>
    </row>
    <row r="31716" spans="1:141" s="116" customFormat="1">
      <c r="A31716" s="136"/>
      <c r="CM31716" s="111"/>
      <c r="CQ31716" s="111"/>
      <c r="EF31716"/>
      <c r="EG31716"/>
      <c r="EH31716"/>
      <c r="EI31716"/>
      <c r="EJ31716"/>
      <c r="EK31716"/>
    </row>
    <row r="31717" spans="1:141" s="116" customFormat="1">
      <c r="A31717" s="136"/>
      <c r="CM31717" s="111"/>
      <c r="CQ31717" s="111"/>
      <c r="EF31717"/>
      <c r="EG31717"/>
      <c r="EH31717"/>
      <c r="EI31717"/>
      <c r="EJ31717"/>
      <c r="EK31717"/>
    </row>
    <row r="31718" spans="1:141" s="116" customFormat="1">
      <c r="A31718" s="136"/>
      <c r="CM31718" s="111"/>
      <c r="CQ31718" s="111"/>
      <c r="EF31718"/>
      <c r="EG31718"/>
      <c r="EH31718"/>
      <c r="EI31718"/>
      <c r="EJ31718"/>
      <c r="EK31718"/>
    </row>
    <row r="31719" spans="1:141" s="116" customFormat="1">
      <c r="A31719" s="136"/>
      <c r="CM31719" s="111"/>
      <c r="CQ31719" s="111"/>
      <c r="EF31719"/>
      <c r="EG31719"/>
      <c r="EH31719"/>
      <c r="EI31719"/>
      <c r="EJ31719"/>
      <c r="EK31719"/>
    </row>
    <row r="31720" spans="1:141" s="116" customFormat="1">
      <c r="A31720" s="136"/>
      <c r="CM31720" s="111"/>
      <c r="CQ31720" s="111"/>
      <c r="EF31720"/>
      <c r="EG31720"/>
      <c r="EH31720"/>
      <c r="EI31720"/>
      <c r="EJ31720"/>
      <c r="EK31720"/>
    </row>
    <row r="31721" spans="1:141" s="116" customFormat="1">
      <c r="A31721" s="136"/>
      <c r="CM31721" s="111"/>
      <c r="CQ31721" s="111"/>
      <c r="EF31721"/>
      <c r="EG31721"/>
      <c r="EH31721"/>
      <c r="EI31721"/>
      <c r="EJ31721"/>
      <c r="EK31721"/>
    </row>
    <row r="31722" spans="1:141" s="116" customFormat="1">
      <c r="A31722" s="136"/>
      <c r="CM31722" s="111"/>
      <c r="CQ31722" s="111"/>
      <c r="EF31722"/>
      <c r="EG31722"/>
      <c r="EH31722"/>
      <c r="EI31722"/>
      <c r="EJ31722"/>
      <c r="EK31722"/>
    </row>
    <row r="31723" spans="1:141" s="116" customFormat="1">
      <c r="A31723" s="136"/>
      <c r="CM31723" s="111"/>
      <c r="CQ31723" s="111"/>
      <c r="EF31723"/>
      <c r="EG31723"/>
      <c r="EH31723"/>
      <c r="EI31723"/>
      <c r="EJ31723"/>
      <c r="EK31723"/>
    </row>
    <row r="31724" spans="1:141" s="116" customFormat="1">
      <c r="A31724" s="136"/>
      <c r="CM31724" s="111"/>
      <c r="CQ31724" s="111"/>
      <c r="EF31724"/>
      <c r="EG31724"/>
      <c r="EH31724"/>
      <c r="EI31724"/>
      <c r="EJ31724"/>
      <c r="EK31724"/>
    </row>
    <row r="31725" spans="1:141" s="116" customFormat="1">
      <c r="A31725" s="136"/>
      <c r="CM31725" s="111"/>
      <c r="CQ31725" s="111"/>
      <c r="EF31725"/>
      <c r="EG31725"/>
      <c r="EH31725"/>
      <c r="EI31725"/>
      <c r="EJ31725"/>
      <c r="EK31725"/>
    </row>
    <row r="31726" spans="1:141" s="116" customFormat="1">
      <c r="A31726" s="136"/>
      <c r="CM31726" s="111"/>
      <c r="CQ31726" s="111"/>
      <c r="EF31726"/>
      <c r="EG31726"/>
      <c r="EH31726"/>
      <c r="EI31726"/>
      <c r="EJ31726"/>
      <c r="EK31726"/>
    </row>
    <row r="31727" spans="1:141" s="116" customFormat="1">
      <c r="A31727" s="136"/>
      <c r="CM31727" s="111"/>
      <c r="CQ31727" s="111"/>
      <c r="EF31727"/>
      <c r="EG31727"/>
      <c r="EH31727"/>
      <c r="EI31727"/>
      <c r="EJ31727"/>
      <c r="EK31727"/>
    </row>
    <row r="31728" spans="1:141" s="116" customFormat="1">
      <c r="A31728" s="136"/>
      <c r="CM31728" s="111"/>
      <c r="CQ31728" s="111"/>
      <c r="EF31728"/>
      <c r="EG31728"/>
      <c r="EH31728"/>
      <c r="EI31728"/>
      <c r="EJ31728"/>
      <c r="EK31728"/>
    </row>
    <row r="31729" spans="1:141" s="116" customFormat="1">
      <c r="A31729" s="136"/>
      <c r="CM31729" s="111"/>
      <c r="CQ31729" s="111"/>
      <c r="EF31729"/>
      <c r="EG31729"/>
      <c r="EH31729"/>
      <c r="EI31729"/>
      <c r="EJ31729"/>
      <c r="EK31729"/>
    </row>
    <row r="31730" spans="1:141" s="116" customFormat="1">
      <c r="A31730" s="136"/>
      <c r="CM31730" s="111"/>
      <c r="CQ31730" s="111"/>
      <c r="EF31730"/>
      <c r="EG31730"/>
      <c r="EH31730"/>
      <c r="EI31730"/>
      <c r="EJ31730"/>
      <c r="EK31730"/>
    </row>
    <row r="31731" spans="1:141" s="116" customFormat="1">
      <c r="A31731" s="136"/>
      <c r="CM31731" s="111"/>
      <c r="CQ31731" s="111"/>
      <c r="EF31731"/>
      <c r="EG31731"/>
      <c r="EH31731"/>
      <c r="EI31731"/>
      <c r="EJ31731"/>
      <c r="EK31731"/>
    </row>
    <row r="31732" spans="1:141" s="116" customFormat="1">
      <c r="A31732" s="136"/>
      <c r="CM31732" s="111"/>
      <c r="CQ31732" s="111"/>
      <c r="EF31732"/>
      <c r="EG31732"/>
      <c r="EH31732"/>
      <c r="EI31732"/>
      <c r="EJ31732"/>
      <c r="EK31732"/>
    </row>
    <row r="31733" spans="1:141" s="116" customFormat="1">
      <c r="A31733" s="136"/>
      <c r="CM31733" s="111"/>
      <c r="CQ31733" s="111"/>
      <c r="EF31733"/>
      <c r="EG31733"/>
      <c r="EH31733"/>
      <c r="EI31733"/>
      <c r="EJ31733"/>
      <c r="EK31733"/>
    </row>
    <row r="31734" spans="1:141" s="116" customFormat="1">
      <c r="A31734" s="136"/>
      <c r="CM31734" s="111"/>
      <c r="CQ31734" s="111"/>
      <c r="EF31734"/>
      <c r="EG31734"/>
      <c r="EH31734"/>
      <c r="EI31734"/>
      <c r="EJ31734"/>
      <c r="EK31734"/>
    </row>
    <row r="31735" spans="1:141" s="116" customFormat="1">
      <c r="A31735" s="136"/>
      <c r="CM31735" s="111"/>
      <c r="CQ31735" s="111"/>
      <c r="EF31735"/>
      <c r="EG31735"/>
      <c r="EH31735"/>
      <c r="EI31735"/>
      <c r="EJ31735"/>
      <c r="EK31735"/>
    </row>
    <row r="31736" spans="1:141" s="116" customFormat="1">
      <c r="A31736" s="136"/>
      <c r="CM31736" s="111"/>
      <c r="CQ31736" s="111"/>
      <c r="EF31736"/>
      <c r="EG31736"/>
      <c r="EH31736"/>
      <c r="EI31736"/>
      <c r="EJ31736"/>
      <c r="EK31736"/>
    </row>
    <row r="31737" spans="1:141" s="116" customFormat="1">
      <c r="A31737" s="136"/>
      <c r="CM31737" s="111"/>
      <c r="CQ31737" s="111"/>
      <c r="EF31737"/>
      <c r="EG31737"/>
      <c r="EH31737"/>
      <c r="EI31737"/>
      <c r="EJ31737"/>
      <c r="EK31737"/>
    </row>
    <row r="31738" spans="1:141" s="116" customFormat="1">
      <c r="A31738" s="136"/>
      <c r="CM31738" s="111"/>
      <c r="CQ31738" s="111"/>
      <c r="EF31738"/>
      <c r="EG31738"/>
      <c r="EH31738"/>
      <c r="EI31738"/>
      <c r="EJ31738"/>
      <c r="EK31738"/>
    </row>
    <row r="31739" spans="1:141" s="116" customFormat="1">
      <c r="A31739" s="136"/>
      <c r="CM31739" s="111"/>
      <c r="CQ31739" s="111"/>
      <c r="EF31739"/>
      <c r="EG31739"/>
      <c r="EH31739"/>
      <c r="EI31739"/>
      <c r="EJ31739"/>
      <c r="EK31739"/>
    </row>
    <row r="31740" spans="1:141" s="116" customFormat="1">
      <c r="A31740" s="136"/>
      <c r="CM31740" s="111"/>
      <c r="CQ31740" s="111"/>
      <c r="EF31740"/>
      <c r="EG31740"/>
      <c r="EH31740"/>
      <c r="EI31740"/>
      <c r="EJ31740"/>
      <c r="EK31740"/>
    </row>
    <row r="31741" spans="1:141" s="116" customFormat="1">
      <c r="A31741" s="136"/>
      <c r="CM31741" s="111"/>
      <c r="CQ31741" s="111"/>
      <c r="EF31741"/>
      <c r="EG31741"/>
      <c r="EH31741"/>
      <c r="EI31741"/>
      <c r="EJ31741"/>
      <c r="EK31741"/>
    </row>
    <row r="31742" spans="1:141" s="116" customFormat="1">
      <c r="A31742" s="136"/>
      <c r="CM31742" s="111"/>
      <c r="CQ31742" s="111"/>
      <c r="EF31742"/>
      <c r="EG31742"/>
      <c r="EH31742"/>
      <c r="EI31742"/>
      <c r="EJ31742"/>
      <c r="EK31742"/>
    </row>
    <row r="31743" spans="1:141" s="116" customFormat="1">
      <c r="A31743" s="136"/>
      <c r="CM31743" s="111"/>
      <c r="CQ31743" s="111"/>
      <c r="EF31743"/>
      <c r="EG31743"/>
      <c r="EH31743"/>
      <c r="EI31743"/>
      <c r="EJ31743"/>
      <c r="EK31743"/>
    </row>
    <row r="31744" spans="1:141" s="116" customFormat="1">
      <c r="A31744" s="136"/>
      <c r="CM31744" s="111"/>
      <c r="CQ31744" s="111"/>
      <c r="EF31744"/>
      <c r="EG31744"/>
      <c r="EH31744"/>
      <c r="EI31744"/>
      <c r="EJ31744"/>
      <c r="EK31744"/>
    </row>
    <row r="31745" spans="1:141" s="116" customFormat="1">
      <c r="A31745" s="136"/>
      <c r="CM31745" s="111"/>
      <c r="CQ31745" s="111"/>
      <c r="EF31745"/>
      <c r="EG31745"/>
      <c r="EH31745"/>
      <c r="EI31745"/>
      <c r="EJ31745"/>
      <c r="EK31745"/>
    </row>
    <row r="31746" spans="1:141" s="116" customFormat="1">
      <c r="A31746" s="136"/>
      <c r="CM31746" s="111"/>
      <c r="CQ31746" s="111"/>
      <c r="EF31746"/>
      <c r="EG31746"/>
      <c r="EH31746"/>
      <c r="EI31746"/>
      <c r="EJ31746"/>
      <c r="EK31746"/>
    </row>
    <row r="31747" spans="1:141" s="116" customFormat="1">
      <c r="A31747" s="136"/>
      <c r="CM31747" s="111"/>
      <c r="CQ31747" s="111"/>
      <c r="EF31747"/>
      <c r="EG31747"/>
      <c r="EH31747"/>
      <c r="EI31747"/>
      <c r="EJ31747"/>
      <c r="EK31747"/>
    </row>
    <row r="31748" spans="1:141" s="116" customFormat="1">
      <c r="A31748" s="136"/>
      <c r="CM31748" s="111"/>
      <c r="CQ31748" s="111"/>
      <c r="EF31748"/>
      <c r="EG31748"/>
      <c r="EH31748"/>
      <c r="EI31748"/>
      <c r="EJ31748"/>
      <c r="EK31748"/>
    </row>
    <row r="31749" spans="1:141" s="116" customFormat="1">
      <c r="A31749" s="136"/>
      <c r="CM31749" s="111"/>
      <c r="CQ31749" s="111"/>
      <c r="EF31749"/>
      <c r="EG31749"/>
      <c r="EH31749"/>
      <c r="EI31749"/>
      <c r="EJ31749"/>
      <c r="EK31749"/>
    </row>
    <row r="31750" spans="1:141" s="116" customFormat="1">
      <c r="A31750" s="136"/>
      <c r="CM31750" s="111"/>
      <c r="CQ31750" s="111"/>
      <c r="EF31750"/>
      <c r="EG31750"/>
      <c r="EH31750"/>
      <c r="EI31750"/>
      <c r="EJ31750"/>
      <c r="EK31750"/>
    </row>
    <row r="31751" spans="1:141" s="116" customFormat="1">
      <c r="A31751" s="136"/>
      <c r="CM31751" s="111"/>
      <c r="CQ31751" s="111"/>
      <c r="EF31751"/>
      <c r="EG31751"/>
      <c r="EH31751"/>
      <c r="EI31751"/>
      <c r="EJ31751"/>
      <c r="EK31751"/>
    </row>
    <row r="31752" spans="1:141" s="116" customFormat="1">
      <c r="A31752" s="136"/>
      <c r="CM31752" s="111"/>
      <c r="CQ31752" s="111"/>
      <c r="EF31752"/>
      <c r="EG31752"/>
      <c r="EH31752"/>
      <c r="EI31752"/>
      <c r="EJ31752"/>
      <c r="EK31752"/>
    </row>
    <row r="31753" spans="1:141" s="116" customFormat="1">
      <c r="A31753" s="136"/>
      <c r="CM31753" s="111"/>
      <c r="CQ31753" s="111"/>
      <c r="EF31753"/>
      <c r="EG31753"/>
      <c r="EH31753"/>
      <c r="EI31753"/>
      <c r="EJ31753"/>
      <c r="EK31753"/>
    </row>
    <row r="31754" spans="1:141" s="116" customFormat="1">
      <c r="A31754" s="136"/>
      <c r="CM31754" s="111"/>
      <c r="CQ31754" s="111"/>
      <c r="EF31754"/>
      <c r="EG31754"/>
      <c r="EH31754"/>
      <c r="EI31754"/>
      <c r="EJ31754"/>
      <c r="EK31754"/>
    </row>
    <row r="31755" spans="1:141" s="116" customFormat="1">
      <c r="A31755" s="136"/>
      <c r="CM31755" s="111"/>
      <c r="CQ31755" s="111"/>
      <c r="EF31755"/>
      <c r="EG31755"/>
      <c r="EH31755"/>
      <c r="EI31755"/>
      <c r="EJ31755"/>
      <c r="EK31755"/>
    </row>
    <row r="31756" spans="1:141" s="116" customFormat="1">
      <c r="A31756" s="136"/>
      <c r="CM31756" s="111"/>
      <c r="CQ31756" s="111"/>
      <c r="EF31756"/>
      <c r="EG31756"/>
      <c r="EH31756"/>
      <c r="EI31756"/>
      <c r="EJ31756"/>
      <c r="EK31756"/>
    </row>
    <row r="31757" spans="1:141" s="116" customFormat="1">
      <c r="A31757" s="136"/>
      <c r="CM31757" s="111"/>
      <c r="CQ31757" s="111"/>
      <c r="EF31757"/>
      <c r="EG31757"/>
      <c r="EH31757"/>
      <c r="EI31757"/>
      <c r="EJ31757"/>
      <c r="EK31757"/>
    </row>
    <row r="31758" spans="1:141" s="116" customFormat="1">
      <c r="A31758" s="136"/>
      <c r="CM31758" s="111"/>
      <c r="CQ31758" s="111"/>
      <c r="EF31758"/>
      <c r="EG31758"/>
      <c r="EH31758"/>
      <c r="EI31758"/>
      <c r="EJ31758"/>
      <c r="EK31758"/>
    </row>
    <row r="31759" spans="1:141" s="116" customFormat="1">
      <c r="A31759" s="136"/>
      <c r="CM31759" s="111"/>
      <c r="CQ31759" s="111"/>
      <c r="EF31759"/>
      <c r="EG31759"/>
      <c r="EH31759"/>
      <c r="EI31759"/>
      <c r="EJ31759"/>
      <c r="EK31759"/>
    </row>
    <row r="31760" spans="1:141" s="116" customFormat="1">
      <c r="A31760" s="136"/>
      <c r="CM31760" s="111"/>
      <c r="CQ31760" s="111"/>
      <c r="EF31760"/>
      <c r="EG31760"/>
      <c r="EH31760"/>
      <c r="EI31760"/>
      <c r="EJ31760"/>
      <c r="EK31760"/>
    </row>
    <row r="31761" spans="1:141" s="116" customFormat="1">
      <c r="A31761" s="136"/>
      <c r="CM31761" s="111"/>
      <c r="CQ31761" s="111"/>
      <c r="EF31761"/>
      <c r="EG31761"/>
      <c r="EH31761"/>
      <c r="EI31761"/>
      <c r="EJ31761"/>
      <c r="EK31761"/>
    </row>
    <row r="31762" spans="1:141" s="116" customFormat="1">
      <c r="A31762" s="136"/>
      <c r="CM31762" s="111"/>
      <c r="CQ31762" s="111"/>
      <c r="EF31762"/>
      <c r="EG31762"/>
      <c r="EH31762"/>
      <c r="EI31762"/>
      <c r="EJ31762"/>
      <c r="EK31762"/>
    </row>
    <row r="31763" spans="1:141" s="116" customFormat="1">
      <c r="A31763" s="136"/>
      <c r="CM31763" s="111"/>
      <c r="CQ31763" s="111"/>
      <c r="EF31763"/>
      <c r="EG31763"/>
      <c r="EH31763"/>
      <c r="EI31763"/>
      <c r="EJ31763"/>
      <c r="EK31763"/>
    </row>
    <row r="31764" spans="1:141" s="116" customFormat="1">
      <c r="A31764" s="136"/>
      <c r="CM31764" s="111"/>
      <c r="CQ31764" s="111"/>
      <c r="EF31764"/>
      <c r="EG31764"/>
      <c r="EH31764"/>
      <c r="EI31764"/>
      <c r="EJ31764"/>
      <c r="EK31764"/>
    </row>
    <row r="31765" spans="1:141" s="116" customFormat="1">
      <c r="A31765" s="136"/>
      <c r="CM31765" s="111"/>
      <c r="CQ31765" s="111"/>
      <c r="EF31765"/>
      <c r="EG31765"/>
      <c r="EH31765"/>
      <c r="EI31765"/>
      <c r="EJ31765"/>
      <c r="EK31765"/>
    </row>
    <row r="31766" spans="1:141" s="116" customFormat="1">
      <c r="A31766" s="136"/>
      <c r="CM31766" s="111"/>
      <c r="CQ31766" s="111"/>
      <c r="EF31766"/>
      <c r="EG31766"/>
      <c r="EH31766"/>
      <c r="EI31766"/>
      <c r="EJ31766"/>
      <c r="EK31766"/>
    </row>
    <row r="31767" spans="1:141" s="116" customFormat="1">
      <c r="A31767" s="136"/>
      <c r="CM31767" s="111"/>
      <c r="CQ31767" s="111"/>
      <c r="EF31767"/>
      <c r="EG31767"/>
      <c r="EH31767"/>
      <c r="EI31767"/>
      <c r="EJ31767"/>
      <c r="EK31767"/>
    </row>
    <row r="31768" spans="1:141" s="116" customFormat="1">
      <c r="A31768" s="136"/>
      <c r="CM31768" s="111"/>
      <c r="CQ31768" s="111"/>
      <c r="EF31768"/>
      <c r="EG31768"/>
      <c r="EH31768"/>
      <c r="EI31768"/>
      <c r="EJ31768"/>
      <c r="EK31768"/>
    </row>
    <row r="31769" spans="1:141" s="116" customFormat="1">
      <c r="A31769" s="136"/>
      <c r="CM31769" s="111"/>
      <c r="CQ31769" s="111"/>
      <c r="EF31769"/>
      <c r="EG31769"/>
      <c r="EH31769"/>
      <c r="EI31769"/>
      <c r="EJ31769"/>
      <c r="EK31769"/>
    </row>
    <row r="31770" spans="1:141" s="116" customFormat="1">
      <c r="A31770" s="136"/>
      <c r="CM31770" s="111"/>
      <c r="CQ31770" s="111"/>
      <c r="EF31770"/>
      <c r="EG31770"/>
      <c r="EH31770"/>
      <c r="EI31770"/>
      <c r="EJ31770"/>
      <c r="EK31770"/>
    </row>
    <row r="31771" spans="1:141" s="116" customFormat="1">
      <c r="A31771" s="136"/>
      <c r="CM31771" s="111"/>
      <c r="CQ31771" s="111"/>
      <c r="EF31771"/>
      <c r="EG31771"/>
      <c r="EH31771"/>
      <c r="EI31771"/>
      <c r="EJ31771"/>
      <c r="EK31771"/>
    </row>
    <row r="31772" spans="1:141" s="116" customFormat="1">
      <c r="A31772" s="136"/>
      <c r="CM31772" s="111"/>
      <c r="CQ31772" s="111"/>
      <c r="EF31772"/>
      <c r="EG31772"/>
      <c r="EH31772"/>
      <c r="EI31772"/>
      <c r="EJ31772"/>
      <c r="EK31772"/>
    </row>
    <row r="31773" spans="1:141" s="116" customFormat="1">
      <c r="A31773" s="136"/>
      <c r="CM31773" s="111"/>
      <c r="CQ31773" s="111"/>
      <c r="EF31773"/>
      <c r="EG31773"/>
      <c r="EH31773"/>
      <c r="EI31773"/>
      <c r="EJ31773"/>
      <c r="EK31773"/>
    </row>
    <row r="31774" spans="1:141" s="116" customFormat="1">
      <c r="A31774" s="136"/>
      <c r="CM31774" s="111"/>
      <c r="CQ31774" s="111"/>
      <c r="EF31774"/>
      <c r="EG31774"/>
      <c r="EH31774"/>
      <c r="EI31774"/>
      <c r="EJ31774"/>
      <c r="EK31774"/>
    </row>
    <row r="31775" spans="1:141" s="116" customFormat="1">
      <c r="A31775" s="136"/>
      <c r="CM31775" s="111"/>
      <c r="CQ31775" s="111"/>
      <c r="EF31775"/>
      <c r="EG31775"/>
      <c r="EH31775"/>
      <c r="EI31775"/>
      <c r="EJ31775"/>
      <c r="EK31775"/>
    </row>
    <row r="31776" spans="1:141" s="116" customFormat="1">
      <c r="A31776" s="136"/>
      <c r="CM31776" s="111"/>
      <c r="CQ31776" s="111"/>
      <c r="EF31776"/>
      <c r="EG31776"/>
      <c r="EH31776"/>
      <c r="EI31776"/>
      <c r="EJ31776"/>
      <c r="EK31776"/>
    </row>
    <row r="31777" spans="1:141" s="116" customFormat="1">
      <c r="A31777" s="136"/>
      <c r="CM31777" s="111"/>
      <c r="CQ31777" s="111"/>
      <c r="EF31777"/>
      <c r="EG31777"/>
      <c r="EH31777"/>
      <c r="EI31777"/>
      <c r="EJ31777"/>
      <c r="EK31777"/>
    </row>
    <row r="31778" spans="1:141" s="116" customFormat="1">
      <c r="A31778" s="136"/>
      <c r="CM31778" s="111"/>
      <c r="CQ31778" s="111"/>
      <c r="EF31778"/>
      <c r="EG31778"/>
      <c r="EH31778"/>
      <c r="EI31778"/>
      <c r="EJ31778"/>
      <c r="EK31778"/>
    </row>
    <row r="31779" spans="1:141" s="116" customFormat="1">
      <c r="A31779" s="136"/>
      <c r="CM31779" s="111"/>
      <c r="CQ31779" s="111"/>
      <c r="EF31779"/>
      <c r="EG31779"/>
      <c r="EH31779"/>
      <c r="EI31779"/>
      <c r="EJ31779"/>
      <c r="EK31779"/>
    </row>
    <row r="31780" spans="1:141" s="116" customFormat="1">
      <c r="A31780" s="136"/>
      <c r="CM31780" s="111"/>
      <c r="CQ31780" s="111"/>
      <c r="EF31780"/>
      <c r="EG31780"/>
      <c r="EH31780"/>
      <c r="EI31780"/>
      <c r="EJ31780"/>
      <c r="EK31780"/>
    </row>
    <row r="31781" spans="1:141" s="116" customFormat="1">
      <c r="A31781" s="136"/>
      <c r="CM31781" s="111"/>
      <c r="CQ31781" s="111"/>
      <c r="EF31781"/>
      <c r="EG31781"/>
      <c r="EH31781"/>
      <c r="EI31781"/>
      <c r="EJ31781"/>
      <c r="EK31781"/>
    </row>
    <row r="31782" spans="1:141" s="116" customFormat="1">
      <c r="A31782" s="136"/>
      <c r="CM31782" s="111"/>
      <c r="CQ31782" s="111"/>
      <c r="EF31782"/>
      <c r="EG31782"/>
      <c r="EH31782"/>
      <c r="EI31782"/>
      <c r="EJ31782"/>
      <c r="EK31782"/>
    </row>
    <row r="31783" spans="1:141" s="116" customFormat="1">
      <c r="A31783" s="136"/>
      <c r="CM31783" s="111"/>
      <c r="CQ31783" s="111"/>
      <c r="EF31783"/>
      <c r="EG31783"/>
      <c r="EH31783"/>
      <c r="EI31783"/>
      <c r="EJ31783"/>
      <c r="EK31783"/>
    </row>
    <row r="31784" spans="1:141" s="116" customFormat="1">
      <c r="A31784" s="136"/>
      <c r="CM31784" s="111"/>
      <c r="CQ31784" s="111"/>
      <c r="EF31784"/>
      <c r="EG31784"/>
      <c r="EH31784"/>
      <c r="EI31784"/>
      <c r="EJ31784"/>
      <c r="EK31784"/>
    </row>
    <row r="31785" spans="1:141" s="116" customFormat="1">
      <c r="A31785" s="136"/>
      <c r="CM31785" s="111"/>
      <c r="CQ31785" s="111"/>
      <c r="EF31785"/>
      <c r="EG31785"/>
      <c r="EH31785"/>
      <c r="EI31785"/>
      <c r="EJ31785"/>
      <c r="EK31785"/>
    </row>
    <row r="31786" spans="1:141" s="116" customFormat="1">
      <c r="A31786" s="136"/>
      <c r="CM31786" s="111"/>
      <c r="CQ31786" s="111"/>
      <c r="EF31786"/>
      <c r="EG31786"/>
      <c r="EH31786"/>
      <c r="EI31786"/>
      <c r="EJ31786"/>
      <c r="EK31786"/>
    </row>
    <row r="31787" spans="1:141" s="116" customFormat="1">
      <c r="A31787" s="136"/>
      <c r="CM31787" s="111"/>
      <c r="CQ31787" s="111"/>
      <c r="EF31787"/>
      <c r="EG31787"/>
      <c r="EH31787"/>
      <c r="EI31787"/>
      <c r="EJ31787"/>
      <c r="EK31787"/>
    </row>
    <row r="31788" spans="1:141" s="116" customFormat="1">
      <c r="A31788" s="136"/>
      <c r="CM31788" s="111"/>
      <c r="CQ31788" s="111"/>
      <c r="EF31788"/>
      <c r="EG31788"/>
      <c r="EH31788"/>
      <c r="EI31788"/>
      <c r="EJ31788"/>
      <c r="EK31788"/>
    </row>
    <row r="31789" spans="1:141" s="116" customFormat="1">
      <c r="A31789" s="136"/>
      <c r="CM31789" s="111"/>
      <c r="CQ31789" s="111"/>
      <c r="EF31789"/>
      <c r="EG31789"/>
      <c r="EH31789"/>
      <c r="EI31789"/>
      <c r="EJ31789"/>
      <c r="EK31789"/>
    </row>
    <row r="31790" spans="1:141" s="116" customFormat="1">
      <c r="A31790" s="136"/>
      <c r="CM31790" s="111"/>
      <c r="CQ31790" s="111"/>
      <c r="EF31790"/>
      <c r="EG31790"/>
      <c r="EH31790"/>
      <c r="EI31790"/>
      <c r="EJ31790"/>
      <c r="EK31790"/>
    </row>
    <row r="31791" spans="1:141" s="116" customFormat="1">
      <c r="A31791" s="136"/>
      <c r="CM31791" s="111"/>
      <c r="CQ31791" s="111"/>
      <c r="EF31791"/>
      <c r="EG31791"/>
      <c r="EH31791"/>
      <c r="EI31791"/>
      <c r="EJ31791"/>
      <c r="EK31791"/>
    </row>
    <row r="31792" spans="1:141" s="116" customFormat="1">
      <c r="A31792" s="136"/>
      <c r="CM31792" s="111"/>
      <c r="CQ31792" s="111"/>
      <c r="EF31792"/>
      <c r="EG31792"/>
      <c r="EH31792"/>
      <c r="EI31792"/>
      <c r="EJ31792"/>
      <c r="EK31792"/>
    </row>
    <row r="31793" spans="1:141" s="116" customFormat="1">
      <c r="A31793" s="136"/>
      <c r="CM31793" s="111"/>
      <c r="CQ31793" s="111"/>
      <c r="EF31793"/>
      <c r="EG31793"/>
      <c r="EH31793"/>
      <c r="EI31793"/>
      <c r="EJ31793"/>
      <c r="EK31793"/>
    </row>
    <row r="31794" spans="1:141" s="116" customFormat="1">
      <c r="A31794" s="136"/>
      <c r="CM31794" s="111"/>
      <c r="CQ31794" s="111"/>
      <c r="EF31794"/>
      <c r="EG31794"/>
      <c r="EH31794"/>
      <c r="EI31794"/>
      <c r="EJ31794"/>
      <c r="EK31794"/>
    </row>
    <row r="31795" spans="1:141" s="116" customFormat="1">
      <c r="A31795" s="136"/>
      <c r="CM31795" s="111"/>
      <c r="CQ31795" s="111"/>
      <c r="EF31795"/>
      <c r="EG31795"/>
      <c r="EH31795"/>
      <c r="EI31795"/>
      <c r="EJ31795"/>
      <c r="EK31795"/>
    </row>
    <row r="31796" spans="1:141" s="116" customFormat="1">
      <c r="A31796" s="136"/>
      <c r="CM31796" s="111"/>
      <c r="CQ31796" s="111"/>
      <c r="EF31796"/>
      <c r="EG31796"/>
      <c r="EH31796"/>
      <c r="EI31796"/>
      <c r="EJ31796"/>
      <c r="EK31796"/>
    </row>
    <row r="31797" spans="1:141" s="116" customFormat="1">
      <c r="A31797" s="136"/>
      <c r="CM31797" s="111"/>
      <c r="CQ31797" s="111"/>
      <c r="EF31797"/>
      <c r="EG31797"/>
      <c r="EH31797"/>
      <c r="EI31797"/>
      <c r="EJ31797"/>
      <c r="EK31797"/>
    </row>
    <row r="31798" spans="1:141" s="116" customFormat="1">
      <c r="A31798" s="136"/>
      <c r="CM31798" s="111"/>
      <c r="CQ31798" s="111"/>
      <c r="EF31798"/>
      <c r="EG31798"/>
      <c r="EH31798"/>
      <c r="EI31798"/>
      <c r="EJ31798"/>
      <c r="EK31798"/>
    </row>
    <row r="31799" spans="1:141" s="116" customFormat="1">
      <c r="A31799" s="136"/>
      <c r="CM31799" s="111"/>
      <c r="CQ31799" s="111"/>
      <c r="EF31799"/>
      <c r="EG31799"/>
      <c r="EH31799"/>
      <c r="EI31799"/>
      <c r="EJ31799"/>
      <c r="EK31799"/>
    </row>
    <row r="31800" spans="1:141" s="116" customFormat="1">
      <c r="A31800" s="136"/>
      <c r="CM31800" s="111"/>
      <c r="CQ31800" s="111"/>
      <c r="EF31800"/>
      <c r="EG31800"/>
      <c r="EH31800"/>
      <c r="EI31800"/>
      <c r="EJ31800"/>
      <c r="EK31800"/>
    </row>
    <row r="31801" spans="1:141" s="116" customFormat="1">
      <c r="A31801" s="136"/>
      <c r="CM31801" s="111"/>
      <c r="CQ31801" s="111"/>
      <c r="EF31801"/>
      <c r="EG31801"/>
      <c r="EH31801"/>
      <c r="EI31801"/>
      <c r="EJ31801"/>
      <c r="EK31801"/>
    </row>
    <row r="31802" spans="1:141" s="116" customFormat="1">
      <c r="A31802" s="136"/>
      <c r="CM31802" s="111"/>
      <c r="CQ31802" s="111"/>
      <c r="EF31802"/>
      <c r="EG31802"/>
      <c r="EH31802"/>
      <c r="EI31802"/>
      <c r="EJ31802"/>
      <c r="EK31802"/>
    </row>
    <row r="31803" spans="1:141" s="116" customFormat="1">
      <c r="A31803" s="136"/>
      <c r="CM31803" s="111"/>
      <c r="CQ31803" s="111"/>
      <c r="EF31803"/>
      <c r="EG31803"/>
      <c r="EH31803"/>
      <c r="EI31803"/>
      <c r="EJ31803"/>
      <c r="EK31803"/>
    </row>
    <row r="31804" spans="1:141" s="116" customFormat="1">
      <c r="A31804" s="136"/>
      <c r="CM31804" s="111"/>
      <c r="CQ31804" s="111"/>
      <c r="EF31804"/>
      <c r="EG31804"/>
      <c r="EH31804"/>
      <c r="EI31804"/>
      <c r="EJ31804"/>
      <c r="EK31804"/>
    </row>
    <row r="31805" spans="1:141" s="116" customFormat="1">
      <c r="A31805" s="136"/>
      <c r="CM31805" s="111"/>
      <c r="CQ31805" s="111"/>
      <c r="EF31805"/>
      <c r="EG31805"/>
      <c r="EH31805"/>
      <c r="EI31805"/>
      <c r="EJ31805"/>
      <c r="EK31805"/>
    </row>
    <row r="31806" spans="1:141" s="116" customFormat="1">
      <c r="A31806" s="136"/>
      <c r="CM31806" s="111"/>
      <c r="CQ31806" s="111"/>
      <c r="EF31806"/>
      <c r="EG31806"/>
      <c r="EH31806"/>
      <c r="EI31806"/>
      <c r="EJ31806"/>
      <c r="EK31806"/>
    </row>
    <row r="31807" spans="1:141" s="116" customFormat="1">
      <c r="A31807" s="136"/>
      <c r="CM31807" s="111"/>
      <c r="CQ31807" s="111"/>
      <c r="EF31807"/>
      <c r="EG31807"/>
      <c r="EH31807"/>
      <c r="EI31807"/>
      <c r="EJ31807"/>
      <c r="EK31807"/>
    </row>
    <row r="31808" spans="1:141" s="116" customFormat="1">
      <c r="A31808" s="136"/>
      <c r="CM31808" s="111"/>
      <c r="CQ31808" s="111"/>
      <c r="EF31808"/>
      <c r="EG31808"/>
      <c r="EH31808"/>
      <c r="EI31808"/>
      <c r="EJ31808"/>
      <c r="EK31808"/>
    </row>
    <row r="31809" spans="1:141" s="116" customFormat="1">
      <c r="A31809" s="136"/>
      <c r="CM31809" s="111"/>
      <c r="CQ31809" s="111"/>
      <c r="EF31809"/>
      <c r="EG31809"/>
      <c r="EH31809"/>
      <c r="EI31809"/>
      <c r="EJ31809"/>
      <c r="EK31809"/>
    </row>
    <row r="31810" spans="1:141" s="116" customFormat="1">
      <c r="A31810" s="136"/>
      <c r="CM31810" s="111"/>
      <c r="CQ31810" s="111"/>
      <c r="EF31810"/>
      <c r="EG31810"/>
      <c r="EH31810"/>
      <c r="EI31810"/>
      <c r="EJ31810"/>
      <c r="EK31810"/>
    </row>
    <row r="31811" spans="1:141" s="116" customFormat="1">
      <c r="A31811" s="136"/>
      <c r="CM31811" s="111"/>
      <c r="CQ31811" s="111"/>
      <c r="EF31811"/>
      <c r="EG31811"/>
      <c r="EH31811"/>
      <c r="EI31811"/>
      <c r="EJ31811"/>
      <c r="EK31811"/>
    </row>
    <row r="31812" spans="1:141" s="116" customFormat="1">
      <c r="A31812" s="136"/>
      <c r="CM31812" s="111"/>
      <c r="CQ31812" s="111"/>
      <c r="EF31812"/>
      <c r="EG31812"/>
      <c r="EH31812"/>
      <c r="EI31812"/>
      <c r="EJ31812"/>
      <c r="EK31812"/>
    </row>
    <row r="31813" spans="1:141" s="116" customFormat="1">
      <c r="A31813" s="136"/>
      <c r="CM31813" s="111"/>
      <c r="CQ31813" s="111"/>
      <c r="EF31813"/>
      <c r="EG31813"/>
      <c r="EH31813"/>
      <c r="EI31813"/>
      <c r="EJ31813"/>
      <c r="EK31813"/>
    </row>
    <row r="31814" spans="1:141" s="116" customFormat="1">
      <c r="A31814" s="136"/>
      <c r="CM31814" s="111"/>
      <c r="CQ31814" s="111"/>
      <c r="EF31814"/>
      <c r="EG31814"/>
      <c r="EH31814"/>
      <c r="EI31814"/>
      <c r="EJ31814"/>
      <c r="EK31814"/>
    </row>
    <row r="31815" spans="1:141" s="116" customFormat="1">
      <c r="A31815" s="136"/>
      <c r="CM31815" s="111"/>
      <c r="CQ31815" s="111"/>
      <c r="EF31815"/>
      <c r="EG31815"/>
      <c r="EH31815"/>
      <c r="EI31815"/>
      <c r="EJ31815"/>
      <c r="EK31815"/>
    </row>
    <row r="31816" spans="1:141" s="116" customFormat="1">
      <c r="A31816" s="136"/>
      <c r="CM31816" s="111"/>
      <c r="CQ31816" s="111"/>
      <c r="EF31816"/>
      <c r="EG31816"/>
      <c r="EH31816"/>
      <c r="EI31816"/>
      <c r="EJ31816"/>
      <c r="EK31816"/>
    </row>
    <row r="31817" spans="1:141" s="116" customFormat="1">
      <c r="A31817" s="136"/>
      <c r="CM31817" s="111"/>
      <c r="CQ31817" s="111"/>
      <c r="EF31817"/>
      <c r="EG31817"/>
      <c r="EH31817"/>
      <c r="EI31817"/>
      <c r="EJ31817"/>
      <c r="EK31817"/>
    </row>
    <row r="31818" spans="1:141" s="116" customFormat="1">
      <c r="A31818" s="136"/>
      <c r="CM31818" s="111"/>
      <c r="CQ31818" s="111"/>
      <c r="EF31818"/>
      <c r="EG31818"/>
      <c r="EH31818"/>
      <c r="EI31818"/>
      <c r="EJ31818"/>
      <c r="EK31818"/>
    </row>
    <row r="31819" spans="1:141" s="116" customFormat="1">
      <c r="A31819" s="136"/>
      <c r="CM31819" s="111"/>
      <c r="CQ31819" s="111"/>
      <c r="EF31819"/>
      <c r="EG31819"/>
      <c r="EH31819"/>
      <c r="EI31819"/>
      <c r="EJ31819"/>
      <c r="EK31819"/>
    </row>
    <row r="31820" spans="1:141" s="116" customFormat="1">
      <c r="A31820" s="136"/>
      <c r="CM31820" s="111"/>
      <c r="CQ31820" s="111"/>
      <c r="EF31820"/>
      <c r="EG31820"/>
      <c r="EH31820"/>
      <c r="EI31820"/>
      <c r="EJ31820"/>
      <c r="EK31820"/>
    </row>
    <row r="31821" spans="1:141" s="116" customFormat="1">
      <c r="A31821" s="136"/>
      <c r="CM31821" s="111"/>
      <c r="CQ31821" s="111"/>
      <c r="EF31821"/>
      <c r="EG31821"/>
      <c r="EH31821"/>
      <c r="EI31821"/>
      <c r="EJ31821"/>
      <c r="EK31821"/>
    </row>
    <row r="31822" spans="1:141" s="116" customFormat="1">
      <c r="A31822" s="136"/>
      <c r="CM31822" s="111"/>
      <c r="CQ31822" s="111"/>
      <c r="EF31822"/>
      <c r="EG31822"/>
      <c r="EH31822"/>
      <c r="EI31822"/>
      <c r="EJ31822"/>
      <c r="EK31822"/>
    </row>
    <row r="31823" spans="1:141" s="116" customFormat="1">
      <c r="A31823" s="136"/>
      <c r="CM31823" s="111"/>
      <c r="CQ31823" s="111"/>
      <c r="EF31823"/>
      <c r="EG31823"/>
      <c r="EH31823"/>
      <c r="EI31823"/>
      <c r="EJ31823"/>
      <c r="EK31823"/>
    </row>
    <row r="31824" spans="1:141" s="116" customFormat="1">
      <c r="A31824" s="136"/>
      <c r="CM31824" s="111"/>
      <c r="CQ31824" s="111"/>
      <c r="EF31824"/>
      <c r="EG31824"/>
      <c r="EH31824"/>
      <c r="EI31824"/>
      <c r="EJ31824"/>
      <c r="EK31824"/>
    </row>
    <row r="31825" spans="1:141" s="116" customFormat="1">
      <c r="A31825" s="136"/>
      <c r="CM31825" s="111"/>
      <c r="CQ31825" s="111"/>
      <c r="EF31825"/>
      <c r="EG31825"/>
      <c r="EH31825"/>
      <c r="EI31825"/>
      <c r="EJ31825"/>
      <c r="EK31825"/>
    </row>
    <row r="31826" spans="1:141" s="116" customFormat="1">
      <c r="A31826" s="136"/>
      <c r="CM31826" s="111"/>
      <c r="CQ31826" s="111"/>
      <c r="EF31826"/>
      <c r="EG31826"/>
      <c r="EH31826"/>
      <c r="EI31826"/>
      <c r="EJ31826"/>
      <c r="EK31826"/>
    </row>
    <row r="31827" spans="1:141" s="116" customFormat="1">
      <c r="A31827" s="136"/>
      <c r="CM31827" s="111"/>
      <c r="CQ31827" s="111"/>
      <c r="EF31827"/>
      <c r="EG31827"/>
      <c r="EH31827"/>
      <c r="EI31827"/>
      <c r="EJ31827"/>
      <c r="EK31827"/>
    </row>
    <row r="31828" spans="1:141" s="116" customFormat="1">
      <c r="A31828" s="136"/>
      <c r="CM31828" s="111"/>
      <c r="CQ31828" s="111"/>
      <c r="EF31828"/>
      <c r="EG31828"/>
      <c r="EH31828"/>
      <c r="EI31828"/>
      <c r="EJ31828"/>
      <c r="EK31828"/>
    </row>
    <row r="31829" spans="1:141" s="116" customFormat="1">
      <c r="A31829" s="136"/>
      <c r="CM31829" s="111"/>
      <c r="CQ31829" s="111"/>
      <c r="EF31829"/>
      <c r="EG31829"/>
      <c r="EH31829"/>
      <c r="EI31829"/>
      <c r="EJ31829"/>
      <c r="EK31829"/>
    </row>
    <row r="31830" spans="1:141" s="116" customFormat="1">
      <c r="A31830" s="136"/>
      <c r="CM31830" s="111"/>
      <c r="CQ31830" s="111"/>
      <c r="EF31830"/>
      <c r="EG31830"/>
      <c r="EH31830"/>
      <c r="EI31830"/>
      <c r="EJ31830"/>
      <c r="EK31830"/>
    </row>
    <row r="31831" spans="1:141" s="116" customFormat="1">
      <c r="A31831" s="136"/>
      <c r="CM31831" s="111"/>
      <c r="CQ31831" s="111"/>
      <c r="EF31831"/>
      <c r="EG31831"/>
      <c r="EH31831"/>
      <c r="EI31831"/>
      <c r="EJ31831"/>
      <c r="EK31831"/>
    </row>
    <row r="31832" spans="1:141" s="116" customFormat="1">
      <c r="A31832" s="136"/>
      <c r="CM31832" s="111"/>
      <c r="CQ31832" s="111"/>
      <c r="EF31832"/>
      <c r="EG31832"/>
      <c r="EH31832"/>
      <c r="EI31832"/>
      <c r="EJ31832"/>
      <c r="EK31832"/>
    </row>
    <row r="31833" spans="1:141" s="116" customFormat="1">
      <c r="A31833" s="136"/>
      <c r="CM31833" s="111"/>
      <c r="CQ31833" s="111"/>
      <c r="EF31833"/>
      <c r="EG31833"/>
      <c r="EH31833"/>
      <c r="EI31833"/>
      <c r="EJ31833"/>
      <c r="EK31833"/>
    </row>
    <row r="31834" spans="1:141" s="116" customFormat="1">
      <c r="A31834" s="136"/>
      <c r="CM31834" s="111"/>
      <c r="CQ31834" s="111"/>
      <c r="EF31834"/>
      <c r="EG31834"/>
      <c r="EH31834"/>
      <c r="EI31834"/>
      <c r="EJ31834"/>
      <c r="EK31834"/>
    </row>
    <row r="31835" spans="1:141" s="116" customFormat="1">
      <c r="A31835" s="136"/>
      <c r="CM31835" s="111"/>
      <c r="CQ31835" s="111"/>
      <c r="EF31835"/>
      <c r="EG31835"/>
      <c r="EH31835"/>
      <c r="EI31835"/>
      <c r="EJ31835"/>
      <c r="EK31835"/>
    </row>
    <row r="31836" spans="1:141" s="116" customFormat="1">
      <c r="A31836" s="136"/>
      <c r="CM31836" s="111"/>
      <c r="CQ31836" s="111"/>
      <c r="EF31836"/>
      <c r="EG31836"/>
      <c r="EH31836"/>
      <c r="EI31836"/>
      <c r="EJ31836"/>
      <c r="EK31836"/>
    </row>
    <row r="31837" spans="1:141" s="116" customFormat="1">
      <c r="A31837" s="136"/>
      <c r="CM31837" s="111"/>
      <c r="CQ31837" s="111"/>
      <c r="EF31837"/>
      <c r="EG31837"/>
      <c r="EH31837"/>
      <c r="EI31837"/>
      <c r="EJ31837"/>
      <c r="EK31837"/>
    </row>
    <row r="31838" spans="1:141" s="116" customFormat="1">
      <c r="A31838" s="136"/>
      <c r="CM31838" s="111"/>
      <c r="CQ31838" s="111"/>
      <c r="EF31838"/>
      <c r="EG31838"/>
      <c r="EH31838"/>
      <c r="EI31838"/>
      <c r="EJ31838"/>
      <c r="EK31838"/>
    </row>
    <row r="31839" spans="1:141" s="116" customFormat="1">
      <c r="A31839" s="136"/>
      <c r="CM31839" s="111"/>
      <c r="CQ31839" s="111"/>
      <c r="EF31839"/>
      <c r="EG31839"/>
      <c r="EH31839"/>
      <c r="EI31839"/>
      <c r="EJ31839"/>
      <c r="EK31839"/>
    </row>
    <row r="31840" spans="1:141" s="116" customFormat="1">
      <c r="A31840" s="136"/>
      <c r="CM31840" s="111"/>
      <c r="CQ31840" s="111"/>
      <c r="EF31840"/>
      <c r="EG31840"/>
      <c r="EH31840"/>
      <c r="EI31840"/>
      <c r="EJ31840"/>
      <c r="EK31840"/>
    </row>
    <row r="31841" spans="1:141" s="116" customFormat="1">
      <c r="A31841" s="136"/>
      <c r="CM31841" s="111"/>
      <c r="CQ31841" s="111"/>
      <c r="EF31841"/>
      <c r="EG31841"/>
      <c r="EH31841"/>
      <c r="EI31841"/>
      <c r="EJ31841"/>
      <c r="EK31841"/>
    </row>
    <row r="31842" spans="1:141" s="116" customFormat="1">
      <c r="A31842" s="136"/>
      <c r="CM31842" s="111"/>
      <c r="CQ31842" s="111"/>
      <c r="EF31842"/>
      <c r="EG31842"/>
      <c r="EH31842"/>
      <c r="EI31842"/>
      <c r="EJ31842"/>
      <c r="EK31842"/>
    </row>
    <row r="31843" spans="1:141" s="116" customFormat="1">
      <c r="A31843" s="136"/>
      <c r="CM31843" s="111"/>
      <c r="CQ31843" s="111"/>
      <c r="EF31843"/>
      <c r="EG31843"/>
      <c r="EH31843"/>
      <c r="EI31843"/>
      <c r="EJ31843"/>
      <c r="EK31843"/>
    </row>
    <row r="31844" spans="1:141" s="116" customFormat="1">
      <c r="A31844" s="136"/>
      <c r="CM31844" s="111"/>
      <c r="CQ31844" s="111"/>
      <c r="EF31844"/>
      <c r="EG31844"/>
      <c r="EH31844"/>
      <c r="EI31844"/>
      <c r="EJ31844"/>
      <c r="EK31844"/>
    </row>
    <row r="31845" spans="1:141" s="116" customFormat="1">
      <c r="A31845" s="136"/>
      <c r="CM31845" s="111"/>
      <c r="CQ31845" s="111"/>
      <c r="EF31845"/>
      <c r="EG31845"/>
      <c r="EH31845"/>
      <c r="EI31845"/>
      <c r="EJ31845"/>
      <c r="EK31845"/>
    </row>
    <row r="31846" spans="1:141" s="116" customFormat="1">
      <c r="A31846" s="136"/>
      <c r="CM31846" s="111"/>
      <c r="CQ31846" s="111"/>
      <c r="EF31846"/>
      <c r="EG31846"/>
      <c r="EH31846"/>
      <c r="EI31846"/>
      <c r="EJ31846"/>
      <c r="EK31846"/>
    </row>
    <row r="31847" spans="1:141" s="116" customFormat="1">
      <c r="A31847" s="136"/>
      <c r="CM31847" s="111"/>
      <c r="CQ31847" s="111"/>
      <c r="EF31847"/>
      <c r="EG31847"/>
      <c r="EH31847"/>
      <c r="EI31847"/>
      <c r="EJ31847"/>
      <c r="EK31847"/>
    </row>
    <row r="31848" spans="1:141" s="116" customFormat="1">
      <c r="A31848" s="136"/>
      <c r="CM31848" s="111"/>
      <c r="CQ31848" s="111"/>
      <c r="EF31848"/>
      <c r="EG31848"/>
      <c r="EH31848"/>
      <c r="EI31848"/>
      <c r="EJ31848"/>
      <c r="EK31848"/>
    </row>
    <row r="31849" spans="1:141" s="116" customFormat="1">
      <c r="A31849" s="136"/>
      <c r="CM31849" s="111"/>
      <c r="CQ31849" s="111"/>
      <c r="EF31849"/>
      <c r="EG31849"/>
      <c r="EH31849"/>
      <c r="EI31849"/>
      <c r="EJ31849"/>
      <c r="EK31849"/>
    </row>
    <row r="31850" spans="1:141" s="116" customFormat="1">
      <c r="A31850" s="136"/>
      <c r="CM31850" s="111"/>
      <c r="CQ31850" s="111"/>
      <c r="EF31850"/>
      <c r="EG31850"/>
      <c r="EH31850"/>
      <c r="EI31850"/>
      <c r="EJ31850"/>
      <c r="EK31850"/>
    </row>
    <row r="31851" spans="1:141" s="116" customFormat="1">
      <c r="A31851" s="136"/>
      <c r="CM31851" s="111"/>
      <c r="CQ31851" s="111"/>
      <c r="EF31851"/>
      <c r="EG31851"/>
      <c r="EH31851"/>
      <c r="EI31851"/>
      <c r="EJ31851"/>
      <c r="EK31851"/>
    </row>
    <row r="31852" spans="1:141" s="116" customFormat="1">
      <c r="A31852" s="136"/>
      <c r="CM31852" s="111"/>
      <c r="CQ31852" s="111"/>
      <c r="EF31852"/>
      <c r="EG31852"/>
      <c r="EH31852"/>
      <c r="EI31852"/>
      <c r="EJ31852"/>
      <c r="EK31852"/>
    </row>
    <row r="31853" spans="1:141" s="116" customFormat="1">
      <c r="A31853" s="136"/>
      <c r="CM31853" s="111"/>
      <c r="CQ31853" s="111"/>
      <c r="EF31853"/>
      <c r="EG31853"/>
      <c r="EH31853"/>
      <c r="EI31853"/>
      <c r="EJ31853"/>
      <c r="EK31853"/>
    </row>
    <row r="31854" spans="1:141" s="116" customFormat="1">
      <c r="A31854" s="136"/>
      <c r="CM31854" s="111"/>
      <c r="CQ31854" s="111"/>
      <c r="EF31854"/>
      <c r="EG31854"/>
      <c r="EH31854"/>
      <c r="EI31854"/>
      <c r="EJ31854"/>
      <c r="EK31854"/>
    </row>
    <row r="31855" spans="1:141" s="116" customFormat="1">
      <c r="A31855" s="136"/>
      <c r="CM31855" s="111"/>
      <c r="CQ31855" s="111"/>
      <c r="EF31855"/>
      <c r="EG31855"/>
      <c r="EH31855"/>
      <c r="EI31855"/>
      <c r="EJ31855"/>
      <c r="EK31855"/>
    </row>
    <row r="31856" spans="1:141" s="116" customFormat="1">
      <c r="A31856" s="136"/>
      <c r="CM31856" s="111"/>
      <c r="CQ31856" s="111"/>
      <c r="EF31856"/>
      <c r="EG31856"/>
      <c r="EH31856"/>
      <c r="EI31856"/>
      <c r="EJ31856"/>
      <c r="EK31856"/>
    </row>
    <row r="31857" spans="1:141" s="116" customFormat="1">
      <c r="A31857" s="136"/>
      <c r="CM31857" s="111"/>
      <c r="CQ31857" s="111"/>
      <c r="EF31857"/>
      <c r="EG31857"/>
      <c r="EH31857"/>
      <c r="EI31857"/>
      <c r="EJ31857"/>
      <c r="EK31857"/>
    </row>
    <row r="31858" spans="1:141" s="116" customFormat="1">
      <c r="A31858" s="136"/>
      <c r="CM31858" s="111"/>
      <c r="CQ31858" s="111"/>
      <c r="EF31858"/>
      <c r="EG31858"/>
      <c r="EH31858"/>
      <c r="EI31858"/>
      <c r="EJ31858"/>
      <c r="EK31858"/>
    </row>
    <row r="31859" spans="1:141" s="116" customFormat="1">
      <c r="A31859" s="136"/>
      <c r="CM31859" s="111"/>
      <c r="CQ31859" s="111"/>
      <c r="EF31859"/>
      <c r="EG31859"/>
      <c r="EH31859"/>
      <c r="EI31859"/>
      <c r="EJ31859"/>
      <c r="EK31859"/>
    </row>
    <row r="31860" spans="1:141" s="116" customFormat="1">
      <c r="A31860" s="136"/>
      <c r="CM31860" s="111"/>
      <c r="CQ31860" s="111"/>
      <c r="EF31860"/>
      <c r="EG31860"/>
      <c r="EH31860"/>
      <c r="EI31860"/>
      <c r="EJ31860"/>
      <c r="EK31860"/>
    </row>
    <row r="31861" spans="1:141" s="116" customFormat="1">
      <c r="A31861" s="136"/>
      <c r="CM31861" s="111"/>
      <c r="CQ31861" s="111"/>
      <c r="EF31861"/>
      <c r="EG31861"/>
      <c r="EH31861"/>
      <c r="EI31861"/>
      <c r="EJ31861"/>
      <c r="EK31861"/>
    </row>
    <row r="31862" spans="1:141" s="116" customFormat="1">
      <c r="A31862" s="136"/>
      <c r="CM31862" s="111"/>
      <c r="CQ31862" s="111"/>
      <c r="EF31862"/>
      <c r="EG31862"/>
      <c r="EH31862"/>
      <c r="EI31862"/>
      <c r="EJ31862"/>
      <c r="EK31862"/>
    </row>
    <row r="31863" spans="1:141" s="116" customFormat="1">
      <c r="A31863" s="136"/>
      <c r="CM31863" s="111"/>
      <c r="CQ31863" s="111"/>
      <c r="EF31863"/>
      <c r="EG31863"/>
      <c r="EH31863"/>
      <c r="EI31863"/>
      <c r="EJ31863"/>
      <c r="EK31863"/>
    </row>
    <row r="31864" spans="1:141" s="116" customFormat="1">
      <c r="A31864" s="136"/>
      <c r="CM31864" s="111"/>
      <c r="CQ31864" s="111"/>
      <c r="EF31864"/>
      <c r="EG31864"/>
      <c r="EH31864"/>
      <c r="EI31864"/>
      <c r="EJ31864"/>
      <c r="EK31864"/>
    </row>
    <row r="31865" spans="1:141" s="116" customFormat="1">
      <c r="A31865" s="136"/>
      <c r="CM31865" s="111"/>
      <c r="CQ31865" s="111"/>
      <c r="EF31865"/>
      <c r="EG31865"/>
      <c r="EH31865"/>
      <c r="EI31865"/>
      <c r="EJ31865"/>
      <c r="EK31865"/>
    </row>
    <row r="31866" spans="1:141" s="116" customFormat="1">
      <c r="A31866" s="136"/>
      <c r="CM31866" s="111"/>
      <c r="CQ31866" s="111"/>
      <c r="EF31866"/>
      <c r="EG31866"/>
      <c r="EH31866"/>
      <c r="EI31866"/>
      <c r="EJ31866"/>
      <c r="EK31866"/>
    </row>
    <row r="31867" spans="1:141" s="116" customFormat="1">
      <c r="A31867" s="136"/>
      <c r="CM31867" s="111"/>
      <c r="CQ31867" s="111"/>
      <c r="EF31867"/>
      <c r="EG31867"/>
      <c r="EH31867"/>
      <c r="EI31867"/>
      <c r="EJ31867"/>
      <c r="EK31867"/>
    </row>
    <row r="31868" spans="1:141" s="116" customFormat="1">
      <c r="A31868" s="136"/>
      <c r="CM31868" s="111"/>
      <c r="CQ31868" s="111"/>
      <c r="EF31868"/>
      <c r="EG31868"/>
      <c r="EH31868"/>
      <c r="EI31868"/>
      <c r="EJ31868"/>
      <c r="EK31868"/>
    </row>
    <row r="31869" spans="1:141" s="116" customFormat="1">
      <c r="A31869" s="136"/>
      <c r="CM31869" s="111"/>
      <c r="CQ31869" s="111"/>
      <c r="EF31869"/>
      <c r="EG31869"/>
      <c r="EH31869"/>
      <c r="EI31869"/>
      <c r="EJ31869"/>
      <c r="EK31869"/>
    </row>
    <row r="31870" spans="1:141" s="116" customFormat="1">
      <c r="A31870" s="136"/>
      <c r="CM31870" s="111"/>
      <c r="CQ31870" s="111"/>
      <c r="EF31870"/>
      <c r="EG31870"/>
      <c r="EH31870"/>
      <c r="EI31870"/>
      <c r="EJ31870"/>
      <c r="EK31870"/>
    </row>
    <row r="31871" spans="1:141" s="116" customFormat="1">
      <c r="A31871" s="136"/>
      <c r="CM31871" s="111"/>
      <c r="CQ31871" s="111"/>
      <c r="EF31871"/>
      <c r="EG31871"/>
      <c r="EH31871"/>
      <c r="EI31871"/>
      <c r="EJ31871"/>
      <c r="EK31871"/>
    </row>
    <row r="31872" spans="1:141" s="116" customFormat="1">
      <c r="A31872" s="136"/>
      <c r="CM31872" s="111"/>
      <c r="CQ31872" s="111"/>
      <c r="EF31872"/>
      <c r="EG31872"/>
      <c r="EH31872"/>
      <c r="EI31872"/>
      <c r="EJ31872"/>
      <c r="EK31872"/>
    </row>
    <row r="31873" spans="1:141" s="116" customFormat="1">
      <c r="A31873" s="136"/>
      <c r="CM31873" s="111"/>
      <c r="CQ31873" s="111"/>
      <c r="EF31873"/>
      <c r="EG31873"/>
      <c r="EH31873"/>
      <c r="EI31873"/>
      <c r="EJ31873"/>
      <c r="EK31873"/>
    </row>
    <row r="31874" spans="1:141" s="116" customFormat="1">
      <c r="A31874" s="136"/>
      <c r="CM31874" s="111"/>
      <c r="CQ31874" s="111"/>
      <c r="EF31874"/>
      <c r="EG31874"/>
      <c r="EH31874"/>
      <c r="EI31874"/>
      <c r="EJ31874"/>
      <c r="EK31874"/>
    </row>
    <row r="31875" spans="1:141" s="116" customFormat="1">
      <c r="A31875" s="136"/>
      <c r="CM31875" s="111"/>
      <c r="CQ31875" s="111"/>
      <c r="EF31875"/>
      <c r="EG31875"/>
      <c r="EH31875"/>
      <c r="EI31875"/>
      <c r="EJ31875"/>
      <c r="EK31875"/>
    </row>
    <row r="31876" spans="1:141" s="116" customFormat="1">
      <c r="A31876" s="136"/>
      <c r="CM31876" s="111"/>
      <c r="CQ31876" s="111"/>
      <c r="EF31876"/>
      <c r="EG31876"/>
      <c r="EH31876"/>
      <c r="EI31876"/>
      <c r="EJ31876"/>
      <c r="EK31876"/>
    </row>
    <row r="31877" spans="1:141" s="116" customFormat="1">
      <c r="A31877" s="136"/>
      <c r="CM31877" s="111"/>
      <c r="CQ31877" s="111"/>
      <c r="EF31877"/>
      <c r="EG31877"/>
      <c r="EH31877"/>
      <c r="EI31877"/>
      <c r="EJ31877"/>
      <c r="EK31877"/>
    </row>
    <row r="31878" spans="1:141" s="116" customFormat="1">
      <c r="A31878" s="136"/>
      <c r="CM31878" s="111"/>
      <c r="CQ31878" s="111"/>
      <c r="EF31878"/>
      <c r="EG31878"/>
      <c r="EH31878"/>
      <c r="EI31878"/>
      <c r="EJ31878"/>
      <c r="EK31878"/>
    </row>
    <row r="31879" spans="1:141" s="116" customFormat="1">
      <c r="A31879" s="136"/>
      <c r="CM31879" s="111"/>
      <c r="CQ31879" s="111"/>
      <c r="EF31879"/>
      <c r="EG31879"/>
      <c r="EH31879"/>
      <c r="EI31879"/>
      <c r="EJ31879"/>
      <c r="EK31879"/>
    </row>
    <row r="31880" spans="1:141" s="116" customFormat="1">
      <c r="A31880" s="136"/>
      <c r="CM31880" s="111"/>
      <c r="CQ31880" s="111"/>
      <c r="EF31880"/>
      <c r="EG31880"/>
      <c r="EH31880"/>
      <c r="EI31880"/>
      <c r="EJ31880"/>
      <c r="EK31880"/>
    </row>
    <row r="31881" spans="1:141" s="116" customFormat="1">
      <c r="A31881" s="136"/>
      <c r="CM31881" s="111"/>
      <c r="CQ31881" s="111"/>
      <c r="EF31881"/>
      <c r="EG31881"/>
      <c r="EH31881"/>
      <c r="EI31881"/>
      <c r="EJ31881"/>
      <c r="EK31881"/>
    </row>
    <row r="31882" spans="1:141" s="116" customFormat="1">
      <c r="A31882" s="136"/>
      <c r="CM31882" s="111"/>
      <c r="CQ31882" s="111"/>
      <c r="EF31882"/>
      <c r="EG31882"/>
      <c r="EH31882"/>
      <c r="EI31882"/>
      <c r="EJ31882"/>
      <c r="EK31882"/>
    </row>
    <row r="31883" spans="1:141" s="116" customFormat="1">
      <c r="A31883" s="136"/>
      <c r="CM31883" s="111"/>
      <c r="CQ31883" s="111"/>
      <c r="EF31883"/>
      <c r="EG31883"/>
      <c r="EH31883"/>
      <c r="EI31883"/>
      <c r="EJ31883"/>
      <c r="EK31883"/>
    </row>
    <row r="31884" spans="1:141" s="116" customFormat="1">
      <c r="A31884" s="136"/>
      <c r="CM31884" s="111"/>
      <c r="CQ31884" s="111"/>
      <c r="EF31884"/>
      <c r="EG31884"/>
      <c r="EH31884"/>
      <c r="EI31884"/>
      <c r="EJ31884"/>
      <c r="EK31884"/>
    </row>
    <row r="31885" spans="1:141" s="116" customFormat="1">
      <c r="A31885" s="136"/>
      <c r="CM31885" s="111"/>
      <c r="CQ31885" s="111"/>
      <c r="EF31885"/>
      <c r="EG31885"/>
      <c r="EH31885"/>
      <c r="EI31885"/>
      <c r="EJ31885"/>
      <c r="EK31885"/>
    </row>
    <row r="31886" spans="1:141" s="116" customFormat="1">
      <c r="A31886" s="136"/>
      <c r="CM31886" s="111"/>
      <c r="CQ31886" s="111"/>
      <c r="EF31886"/>
      <c r="EG31886"/>
      <c r="EH31886"/>
      <c r="EI31886"/>
      <c r="EJ31886"/>
      <c r="EK31886"/>
    </row>
    <row r="31887" spans="1:141" s="116" customFormat="1">
      <c r="A31887" s="136"/>
      <c r="CM31887" s="111"/>
      <c r="CQ31887" s="111"/>
      <c r="EF31887"/>
      <c r="EG31887"/>
      <c r="EH31887"/>
      <c r="EI31887"/>
      <c r="EJ31887"/>
      <c r="EK31887"/>
    </row>
    <row r="31888" spans="1:141" s="116" customFormat="1">
      <c r="A31888" s="136"/>
      <c r="CM31888" s="111"/>
      <c r="CQ31888" s="111"/>
      <c r="EF31888"/>
      <c r="EG31888"/>
      <c r="EH31888"/>
      <c r="EI31888"/>
      <c r="EJ31888"/>
      <c r="EK31888"/>
    </row>
    <row r="31889" spans="1:141" s="116" customFormat="1">
      <c r="A31889" s="136"/>
      <c r="CM31889" s="111"/>
      <c r="CQ31889" s="111"/>
      <c r="EF31889"/>
      <c r="EG31889"/>
      <c r="EH31889"/>
      <c r="EI31889"/>
      <c r="EJ31889"/>
      <c r="EK31889"/>
    </row>
    <row r="31890" spans="1:141" s="116" customFormat="1">
      <c r="A31890" s="136"/>
      <c r="CM31890" s="111"/>
      <c r="CQ31890" s="111"/>
      <c r="EF31890"/>
      <c r="EG31890"/>
      <c r="EH31890"/>
      <c r="EI31890"/>
      <c r="EJ31890"/>
      <c r="EK31890"/>
    </row>
    <row r="31891" spans="1:141" s="116" customFormat="1">
      <c r="A31891" s="136"/>
      <c r="CM31891" s="111"/>
      <c r="CQ31891" s="111"/>
      <c r="EF31891"/>
      <c r="EG31891"/>
      <c r="EH31891"/>
      <c r="EI31891"/>
      <c r="EJ31891"/>
      <c r="EK31891"/>
    </row>
    <row r="31892" spans="1:141" s="116" customFormat="1">
      <c r="A31892" s="136"/>
      <c r="CM31892" s="111"/>
      <c r="CQ31892" s="111"/>
      <c r="EF31892"/>
      <c r="EG31892"/>
      <c r="EH31892"/>
      <c r="EI31892"/>
      <c r="EJ31892"/>
      <c r="EK31892"/>
    </row>
    <row r="31893" spans="1:141" s="116" customFormat="1">
      <c r="A31893" s="136"/>
      <c r="CM31893" s="111"/>
      <c r="CQ31893" s="111"/>
      <c r="EF31893"/>
      <c r="EG31893"/>
      <c r="EH31893"/>
      <c r="EI31893"/>
      <c r="EJ31893"/>
      <c r="EK31893"/>
    </row>
    <row r="31894" spans="1:141" s="116" customFormat="1">
      <c r="A31894" s="136"/>
      <c r="CM31894" s="111"/>
      <c r="CQ31894" s="111"/>
      <c r="EF31894"/>
      <c r="EG31894"/>
      <c r="EH31894"/>
      <c r="EI31894"/>
      <c r="EJ31894"/>
      <c r="EK31894"/>
    </row>
    <row r="31895" spans="1:141" s="116" customFormat="1">
      <c r="A31895" s="136"/>
      <c r="CM31895" s="111"/>
      <c r="CQ31895" s="111"/>
      <c r="EF31895"/>
      <c r="EG31895"/>
      <c r="EH31895"/>
      <c r="EI31895"/>
      <c r="EJ31895"/>
      <c r="EK31895"/>
    </row>
    <row r="31896" spans="1:141" s="116" customFormat="1">
      <c r="A31896" s="136"/>
      <c r="CM31896" s="111"/>
      <c r="CQ31896" s="111"/>
      <c r="EF31896"/>
      <c r="EG31896"/>
      <c r="EH31896"/>
      <c r="EI31896"/>
      <c r="EJ31896"/>
      <c r="EK31896"/>
    </row>
    <row r="31897" spans="1:141" s="116" customFormat="1">
      <c r="A31897" s="136"/>
      <c r="CM31897" s="111"/>
      <c r="CQ31897" s="111"/>
      <c r="EF31897"/>
      <c r="EG31897"/>
      <c r="EH31897"/>
      <c r="EI31897"/>
      <c r="EJ31897"/>
      <c r="EK31897"/>
    </row>
    <row r="31898" spans="1:141" s="116" customFormat="1">
      <c r="A31898" s="136"/>
      <c r="CM31898" s="111"/>
      <c r="CQ31898" s="111"/>
      <c r="EF31898"/>
      <c r="EG31898"/>
      <c r="EH31898"/>
      <c r="EI31898"/>
      <c r="EJ31898"/>
      <c r="EK31898"/>
    </row>
    <row r="31899" spans="1:141" s="116" customFormat="1">
      <c r="A31899" s="136"/>
      <c r="CM31899" s="111"/>
      <c r="CQ31899" s="111"/>
      <c r="EF31899"/>
      <c r="EG31899"/>
      <c r="EH31899"/>
      <c r="EI31899"/>
      <c r="EJ31899"/>
      <c r="EK31899"/>
    </row>
    <row r="31900" spans="1:141" s="116" customFormat="1">
      <c r="A31900" s="136"/>
      <c r="CM31900" s="111"/>
      <c r="CQ31900" s="111"/>
      <c r="EF31900"/>
      <c r="EG31900"/>
      <c r="EH31900"/>
      <c r="EI31900"/>
      <c r="EJ31900"/>
      <c r="EK31900"/>
    </row>
    <row r="31901" spans="1:141" s="116" customFormat="1">
      <c r="A31901" s="136"/>
      <c r="CM31901" s="111"/>
      <c r="CQ31901" s="111"/>
      <c r="EF31901"/>
      <c r="EG31901"/>
      <c r="EH31901"/>
      <c r="EI31901"/>
      <c r="EJ31901"/>
      <c r="EK31901"/>
    </row>
    <row r="31902" spans="1:141" s="116" customFormat="1">
      <c r="A31902" s="136"/>
      <c r="CM31902" s="111"/>
      <c r="CQ31902" s="111"/>
      <c r="EF31902"/>
      <c r="EG31902"/>
      <c r="EH31902"/>
      <c r="EI31902"/>
      <c r="EJ31902"/>
      <c r="EK31902"/>
    </row>
    <row r="31903" spans="1:141" s="116" customFormat="1">
      <c r="A31903" s="136"/>
      <c r="CM31903" s="111"/>
      <c r="CQ31903" s="111"/>
      <c r="EF31903"/>
      <c r="EG31903"/>
      <c r="EH31903"/>
      <c r="EI31903"/>
      <c r="EJ31903"/>
      <c r="EK31903"/>
    </row>
    <row r="31904" spans="1:141" s="116" customFormat="1">
      <c r="A31904" s="136"/>
      <c r="CM31904" s="111"/>
      <c r="CQ31904" s="111"/>
      <c r="EF31904"/>
      <c r="EG31904"/>
      <c r="EH31904"/>
      <c r="EI31904"/>
      <c r="EJ31904"/>
      <c r="EK31904"/>
    </row>
    <row r="31905" spans="1:141" s="116" customFormat="1">
      <c r="A31905" s="136"/>
      <c r="CM31905" s="111"/>
      <c r="CQ31905" s="111"/>
      <c r="EF31905"/>
      <c r="EG31905"/>
      <c r="EH31905"/>
      <c r="EI31905"/>
      <c r="EJ31905"/>
      <c r="EK31905"/>
    </row>
    <row r="31906" spans="1:141" s="116" customFormat="1">
      <c r="A31906" s="136"/>
      <c r="CM31906" s="111"/>
      <c r="CQ31906" s="111"/>
      <c r="EF31906"/>
      <c r="EG31906"/>
      <c r="EH31906"/>
      <c r="EI31906"/>
      <c r="EJ31906"/>
      <c r="EK31906"/>
    </row>
    <row r="31907" spans="1:141" s="116" customFormat="1">
      <c r="A31907" s="136"/>
      <c r="CM31907" s="111"/>
      <c r="CQ31907" s="111"/>
      <c r="EF31907"/>
      <c r="EG31907"/>
      <c r="EH31907"/>
      <c r="EI31907"/>
      <c r="EJ31907"/>
      <c r="EK31907"/>
    </row>
    <row r="31908" spans="1:141" s="116" customFormat="1">
      <c r="A31908" s="136"/>
      <c r="CM31908" s="111"/>
      <c r="CQ31908" s="111"/>
      <c r="EF31908"/>
      <c r="EG31908"/>
      <c r="EH31908"/>
      <c r="EI31908"/>
      <c r="EJ31908"/>
      <c r="EK31908"/>
    </row>
    <row r="31909" spans="1:141" s="116" customFormat="1">
      <c r="A31909" s="136"/>
      <c r="CM31909" s="111"/>
      <c r="CQ31909" s="111"/>
      <c r="EF31909"/>
      <c r="EG31909"/>
      <c r="EH31909"/>
      <c r="EI31909"/>
      <c r="EJ31909"/>
      <c r="EK31909"/>
    </row>
    <row r="31910" spans="1:141" s="116" customFormat="1">
      <c r="A31910" s="136"/>
      <c r="CM31910" s="111"/>
      <c r="CQ31910" s="111"/>
      <c r="EF31910"/>
      <c r="EG31910"/>
      <c r="EH31910"/>
      <c r="EI31910"/>
      <c r="EJ31910"/>
      <c r="EK31910"/>
    </row>
    <row r="31911" spans="1:141" s="116" customFormat="1">
      <c r="A31911" s="136"/>
      <c r="CM31911" s="111"/>
      <c r="CQ31911" s="111"/>
      <c r="EF31911"/>
      <c r="EG31911"/>
      <c r="EH31911"/>
      <c r="EI31911"/>
      <c r="EJ31911"/>
      <c r="EK31911"/>
    </row>
    <row r="31912" spans="1:141" s="116" customFormat="1">
      <c r="A31912" s="136"/>
      <c r="CM31912" s="111"/>
      <c r="CQ31912" s="111"/>
      <c r="EF31912"/>
      <c r="EG31912"/>
      <c r="EH31912"/>
      <c r="EI31912"/>
      <c r="EJ31912"/>
      <c r="EK31912"/>
    </row>
    <row r="31913" spans="1:141" s="116" customFormat="1">
      <c r="A31913" s="136"/>
      <c r="CM31913" s="111"/>
      <c r="CQ31913" s="111"/>
      <c r="EF31913"/>
      <c r="EG31913"/>
      <c r="EH31913"/>
      <c r="EI31913"/>
      <c r="EJ31913"/>
      <c r="EK31913"/>
    </row>
    <row r="31914" spans="1:141" s="116" customFormat="1">
      <c r="A31914" s="136"/>
      <c r="CM31914" s="111"/>
      <c r="CQ31914" s="111"/>
      <c r="EF31914"/>
      <c r="EG31914"/>
      <c r="EH31914"/>
      <c r="EI31914"/>
      <c r="EJ31914"/>
      <c r="EK31914"/>
    </row>
    <row r="31915" spans="1:141" s="116" customFormat="1">
      <c r="A31915" s="136"/>
      <c r="CM31915" s="111"/>
      <c r="CQ31915" s="111"/>
      <c r="EF31915"/>
      <c r="EG31915"/>
      <c r="EH31915"/>
      <c r="EI31915"/>
      <c r="EJ31915"/>
      <c r="EK31915"/>
    </row>
    <row r="31916" spans="1:141" s="116" customFormat="1">
      <c r="A31916" s="136"/>
      <c r="CM31916" s="111"/>
      <c r="CQ31916" s="111"/>
      <c r="EF31916"/>
      <c r="EG31916"/>
      <c r="EH31916"/>
      <c r="EI31916"/>
      <c r="EJ31916"/>
      <c r="EK31916"/>
    </row>
    <row r="31917" spans="1:141" s="116" customFormat="1">
      <c r="A31917" s="136"/>
      <c r="CM31917" s="111"/>
      <c r="CQ31917" s="111"/>
      <c r="EF31917"/>
      <c r="EG31917"/>
      <c r="EH31917"/>
      <c r="EI31917"/>
      <c r="EJ31917"/>
      <c r="EK31917"/>
    </row>
    <row r="31918" spans="1:141" s="116" customFormat="1">
      <c r="A31918" s="136"/>
      <c r="CM31918" s="111"/>
      <c r="CQ31918" s="111"/>
      <c r="EF31918"/>
      <c r="EG31918"/>
      <c r="EH31918"/>
      <c r="EI31918"/>
      <c r="EJ31918"/>
      <c r="EK31918"/>
    </row>
    <row r="31919" spans="1:141" s="116" customFormat="1">
      <c r="A31919" s="136"/>
      <c r="CM31919" s="111"/>
      <c r="CQ31919" s="111"/>
      <c r="EF31919"/>
      <c r="EG31919"/>
      <c r="EH31919"/>
      <c r="EI31919"/>
      <c r="EJ31919"/>
      <c r="EK31919"/>
    </row>
    <row r="31920" spans="1:141" s="116" customFormat="1">
      <c r="A31920" s="136"/>
      <c r="CM31920" s="111"/>
      <c r="CQ31920" s="111"/>
      <c r="EF31920"/>
      <c r="EG31920"/>
      <c r="EH31920"/>
      <c r="EI31920"/>
      <c r="EJ31920"/>
      <c r="EK31920"/>
    </row>
    <row r="31921" spans="1:141" s="116" customFormat="1">
      <c r="A31921" s="136"/>
      <c r="CM31921" s="111"/>
      <c r="CQ31921" s="111"/>
      <c r="EF31921"/>
      <c r="EG31921"/>
      <c r="EH31921"/>
      <c r="EI31921"/>
      <c r="EJ31921"/>
      <c r="EK31921"/>
    </row>
    <row r="31922" spans="1:141" s="116" customFormat="1">
      <c r="A31922" s="136"/>
      <c r="CM31922" s="111"/>
      <c r="CQ31922" s="111"/>
      <c r="EF31922"/>
      <c r="EG31922"/>
      <c r="EH31922"/>
      <c r="EI31922"/>
      <c r="EJ31922"/>
      <c r="EK31922"/>
    </row>
    <row r="31923" spans="1:141" s="116" customFormat="1">
      <c r="A31923" s="136"/>
      <c r="CM31923" s="111"/>
      <c r="CQ31923" s="111"/>
      <c r="EF31923"/>
      <c r="EG31923"/>
      <c r="EH31923"/>
      <c r="EI31923"/>
      <c r="EJ31923"/>
      <c r="EK31923"/>
    </row>
    <row r="31924" spans="1:141" s="116" customFormat="1">
      <c r="A31924" s="136"/>
      <c r="CM31924" s="111"/>
      <c r="CQ31924" s="111"/>
      <c r="EF31924"/>
      <c r="EG31924"/>
      <c r="EH31924"/>
      <c r="EI31924"/>
      <c r="EJ31924"/>
      <c r="EK31924"/>
    </row>
    <row r="31925" spans="1:141" s="116" customFormat="1">
      <c r="A31925" s="136"/>
      <c r="CM31925" s="111"/>
      <c r="CQ31925" s="111"/>
      <c r="EF31925"/>
      <c r="EG31925"/>
      <c r="EH31925"/>
      <c r="EI31925"/>
      <c r="EJ31925"/>
      <c r="EK31925"/>
    </row>
    <row r="31926" spans="1:141" s="116" customFormat="1">
      <c r="A31926" s="136"/>
      <c r="CM31926" s="111"/>
      <c r="CQ31926" s="111"/>
      <c r="EF31926"/>
      <c r="EG31926"/>
      <c r="EH31926"/>
      <c r="EI31926"/>
      <c r="EJ31926"/>
      <c r="EK31926"/>
    </row>
    <row r="31927" spans="1:141" s="116" customFormat="1">
      <c r="A31927" s="136"/>
      <c r="CM31927" s="111"/>
      <c r="CQ31927" s="111"/>
      <c r="EF31927"/>
      <c r="EG31927"/>
      <c r="EH31927"/>
      <c r="EI31927"/>
      <c r="EJ31927"/>
      <c r="EK31927"/>
    </row>
    <row r="31928" spans="1:141" s="116" customFormat="1">
      <c r="A31928" s="136"/>
      <c r="CM31928" s="111"/>
      <c r="CQ31928" s="111"/>
      <c r="EF31928"/>
      <c r="EG31928"/>
      <c r="EH31928"/>
      <c r="EI31928"/>
      <c r="EJ31928"/>
      <c r="EK31928"/>
    </row>
    <row r="31929" spans="1:141" s="116" customFormat="1">
      <c r="A31929" s="136"/>
      <c r="CM31929" s="111"/>
      <c r="CQ31929" s="111"/>
      <c r="EF31929"/>
      <c r="EG31929"/>
      <c r="EH31929"/>
      <c r="EI31929"/>
      <c r="EJ31929"/>
      <c r="EK31929"/>
    </row>
    <row r="31930" spans="1:141" s="116" customFormat="1">
      <c r="A31930" s="136"/>
      <c r="CM31930" s="111"/>
      <c r="CQ31930" s="111"/>
      <c r="EF31930"/>
      <c r="EG31930"/>
      <c r="EH31930"/>
      <c r="EI31930"/>
      <c r="EJ31930"/>
      <c r="EK31930"/>
    </row>
    <row r="31931" spans="1:141" s="116" customFormat="1">
      <c r="A31931" s="136"/>
      <c r="CM31931" s="111"/>
      <c r="CQ31931" s="111"/>
      <c r="EF31931"/>
      <c r="EG31931"/>
      <c r="EH31931"/>
      <c r="EI31931"/>
      <c r="EJ31931"/>
      <c r="EK31931"/>
    </row>
    <row r="31932" spans="1:141" s="116" customFormat="1">
      <c r="A31932" s="136"/>
      <c r="CM31932" s="111"/>
      <c r="CQ31932" s="111"/>
      <c r="EF31932"/>
      <c r="EG31932"/>
      <c r="EH31932"/>
      <c r="EI31932"/>
      <c r="EJ31932"/>
      <c r="EK31932"/>
    </row>
    <row r="31933" spans="1:141" s="116" customFormat="1">
      <c r="A31933" s="136"/>
      <c r="CM31933" s="111"/>
      <c r="CQ31933" s="111"/>
      <c r="EF31933"/>
      <c r="EG31933"/>
      <c r="EH31933"/>
      <c r="EI31933"/>
      <c r="EJ31933"/>
      <c r="EK31933"/>
    </row>
    <row r="31934" spans="1:141" s="116" customFormat="1">
      <c r="A31934" s="136"/>
      <c r="CM31934" s="111"/>
      <c r="CQ31934" s="111"/>
      <c r="EF31934"/>
      <c r="EG31934"/>
      <c r="EH31934"/>
      <c r="EI31934"/>
      <c r="EJ31934"/>
      <c r="EK31934"/>
    </row>
    <row r="31935" spans="1:141" s="116" customFormat="1">
      <c r="A31935" s="136"/>
      <c r="CM31935" s="111"/>
      <c r="CQ31935" s="111"/>
      <c r="EF31935"/>
      <c r="EG31935"/>
      <c r="EH31935"/>
      <c r="EI31935"/>
      <c r="EJ31935"/>
      <c r="EK31935"/>
    </row>
    <row r="31936" spans="1:141" s="116" customFormat="1">
      <c r="A31936" s="136"/>
      <c r="CM31936" s="111"/>
      <c r="CQ31936" s="111"/>
      <c r="EF31936"/>
      <c r="EG31936"/>
      <c r="EH31936"/>
      <c r="EI31936"/>
      <c r="EJ31936"/>
      <c r="EK31936"/>
    </row>
    <row r="31937" spans="1:141" s="116" customFormat="1">
      <c r="A31937" s="136"/>
      <c r="CM31937" s="111"/>
      <c r="CQ31937" s="111"/>
      <c r="EF31937"/>
      <c r="EG31937"/>
      <c r="EH31937"/>
      <c r="EI31937"/>
      <c r="EJ31937"/>
      <c r="EK31937"/>
    </row>
    <row r="31938" spans="1:141" s="116" customFormat="1">
      <c r="A31938" s="136"/>
      <c r="CM31938" s="111"/>
      <c r="CQ31938" s="111"/>
      <c r="EF31938"/>
      <c r="EG31938"/>
      <c r="EH31938"/>
      <c r="EI31938"/>
      <c r="EJ31938"/>
      <c r="EK31938"/>
    </row>
    <row r="31939" spans="1:141" s="116" customFormat="1">
      <c r="A31939" s="136"/>
      <c r="CM31939" s="111"/>
      <c r="CQ31939" s="111"/>
      <c r="EF31939"/>
      <c r="EG31939"/>
      <c r="EH31939"/>
      <c r="EI31939"/>
      <c r="EJ31939"/>
      <c r="EK31939"/>
    </row>
    <row r="31940" spans="1:141" s="116" customFormat="1">
      <c r="A31940" s="136"/>
      <c r="CM31940" s="111"/>
      <c r="CQ31940" s="111"/>
      <c r="EF31940"/>
      <c r="EG31940"/>
      <c r="EH31940"/>
      <c r="EI31940"/>
      <c r="EJ31940"/>
      <c r="EK31940"/>
    </row>
    <row r="31941" spans="1:141" s="116" customFormat="1">
      <c r="A31941" s="136"/>
      <c r="CM31941" s="111"/>
      <c r="CQ31941" s="111"/>
      <c r="EF31941"/>
      <c r="EG31941"/>
      <c r="EH31941"/>
      <c r="EI31941"/>
      <c r="EJ31941"/>
      <c r="EK31941"/>
    </row>
    <row r="31942" spans="1:141" s="116" customFormat="1">
      <c r="A31942" s="136"/>
      <c r="CM31942" s="111"/>
      <c r="CQ31942" s="111"/>
      <c r="EF31942"/>
      <c r="EG31942"/>
      <c r="EH31942"/>
      <c r="EI31942"/>
      <c r="EJ31942"/>
      <c r="EK31942"/>
    </row>
    <row r="31943" spans="1:141" s="116" customFormat="1">
      <c r="A31943" s="136"/>
      <c r="CM31943" s="111"/>
      <c r="CQ31943" s="111"/>
      <c r="EF31943"/>
      <c r="EG31943"/>
      <c r="EH31943"/>
      <c r="EI31943"/>
      <c r="EJ31943"/>
      <c r="EK31943"/>
    </row>
    <row r="31944" spans="1:141" s="116" customFormat="1">
      <c r="A31944" s="136"/>
      <c r="CM31944" s="111"/>
      <c r="CQ31944" s="111"/>
      <c r="EF31944"/>
      <c r="EG31944"/>
      <c r="EH31944"/>
      <c r="EI31944"/>
      <c r="EJ31944"/>
      <c r="EK31944"/>
    </row>
    <row r="31945" spans="1:141" s="116" customFormat="1">
      <c r="A31945" s="136"/>
      <c r="CM31945" s="111"/>
      <c r="CQ31945" s="111"/>
      <c r="EF31945"/>
      <c r="EG31945"/>
      <c r="EH31945"/>
      <c r="EI31945"/>
      <c r="EJ31945"/>
      <c r="EK31945"/>
    </row>
    <row r="31946" spans="1:141" s="116" customFormat="1">
      <c r="A31946" s="136"/>
      <c r="CM31946" s="111"/>
      <c r="CQ31946" s="111"/>
      <c r="EF31946"/>
      <c r="EG31946"/>
      <c r="EH31946"/>
      <c r="EI31946"/>
      <c r="EJ31946"/>
      <c r="EK31946"/>
    </row>
    <row r="31947" spans="1:141" s="116" customFormat="1">
      <c r="A31947" s="136"/>
      <c r="CM31947" s="111"/>
      <c r="CQ31947" s="111"/>
      <c r="EF31947"/>
      <c r="EG31947"/>
      <c r="EH31947"/>
      <c r="EI31947"/>
      <c r="EJ31947"/>
      <c r="EK31947"/>
    </row>
    <row r="31948" spans="1:141" s="116" customFormat="1">
      <c r="A31948" s="136"/>
      <c r="CM31948" s="111"/>
      <c r="CQ31948" s="111"/>
      <c r="EF31948"/>
      <c r="EG31948"/>
      <c r="EH31948"/>
      <c r="EI31948"/>
      <c r="EJ31948"/>
      <c r="EK31948"/>
    </row>
    <row r="31949" spans="1:141" s="116" customFormat="1">
      <c r="A31949" s="136"/>
      <c r="CM31949" s="111"/>
      <c r="CQ31949" s="111"/>
      <c r="EF31949"/>
      <c r="EG31949"/>
      <c r="EH31949"/>
      <c r="EI31949"/>
      <c r="EJ31949"/>
      <c r="EK31949"/>
    </row>
    <row r="31950" spans="1:141" s="116" customFormat="1">
      <c r="A31950" s="136"/>
      <c r="CM31950" s="111"/>
      <c r="CQ31950" s="111"/>
      <c r="EF31950"/>
      <c r="EG31950"/>
      <c r="EH31950"/>
      <c r="EI31950"/>
      <c r="EJ31950"/>
      <c r="EK31950"/>
    </row>
    <row r="31951" spans="1:141" s="116" customFormat="1">
      <c r="A31951" s="136"/>
      <c r="CM31951" s="111"/>
      <c r="CQ31951" s="111"/>
      <c r="EF31951"/>
      <c r="EG31951"/>
      <c r="EH31951"/>
      <c r="EI31951"/>
      <c r="EJ31951"/>
      <c r="EK31951"/>
    </row>
    <row r="31952" spans="1:141" s="116" customFormat="1">
      <c r="A31952" s="136"/>
      <c r="CM31952" s="111"/>
      <c r="CQ31952" s="111"/>
      <c r="EF31952"/>
      <c r="EG31952"/>
      <c r="EH31952"/>
      <c r="EI31952"/>
      <c r="EJ31952"/>
      <c r="EK31952"/>
    </row>
    <row r="31953" spans="1:141" s="116" customFormat="1">
      <c r="A31953" s="136"/>
      <c r="CM31953" s="111"/>
      <c r="CQ31953" s="111"/>
      <c r="EF31953"/>
      <c r="EG31953"/>
      <c r="EH31953"/>
      <c r="EI31953"/>
      <c r="EJ31953"/>
      <c r="EK31953"/>
    </row>
    <row r="31954" spans="1:141" s="116" customFormat="1">
      <c r="A31954" s="136"/>
      <c r="CM31954" s="111"/>
      <c r="CQ31954" s="111"/>
      <c r="EF31954"/>
      <c r="EG31954"/>
      <c r="EH31954"/>
      <c r="EI31954"/>
      <c r="EJ31954"/>
      <c r="EK31954"/>
    </row>
    <row r="31955" spans="1:141" s="116" customFormat="1">
      <c r="A31955" s="136"/>
      <c r="CM31955" s="111"/>
      <c r="CQ31955" s="111"/>
      <c r="EF31955"/>
      <c r="EG31955"/>
      <c r="EH31955"/>
      <c r="EI31955"/>
      <c r="EJ31955"/>
      <c r="EK31955"/>
    </row>
    <row r="31956" spans="1:141" s="116" customFormat="1">
      <c r="A31956" s="136"/>
      <c r="CM31956" s="111"/>
      <c r="CQ31956" s="111"/>
      <c r="EF31956"/>
      <c r="EG31956"/>
      <c r="EH31956"/>
      <c r="EI31956"/>
      <c r="EJ31956"/>
      <c r="EK31956"/>
    </row>
    <row r="31957" spans="1:141" s="116" customFormat="1">
      <c r="A31957" s="136"/>
      <c r="CM31957" s="111"/>
      <c r="CQ31957" s="111"/>
      <c r="EF31957"/>
      <c r="EG31957"/>
      <c r="EH31957"/>
      <c r="EI31957"/>
      <c r="EJ31957"/>
      <c r="EK31957"/>
    </row>
    <row r="31958" spans="1:141" s="116" customFormat="1">
      <c r="A31958" s="136"/>
      <c r="CM31958" s="111"/>
      <c r="CQ31958" s="111"/>
      <c r="EF31958"/>
      <c r="EG31958"/>
      <c r="EH31958"/>
      <c r="EI31958"/>
      <c r="EJ31958"/>
      <c r="EK31958"/>
    </row>
    <row r="31959" spans="1:141" s="116" customFormat="1">
      <c r="A31959" s="136"/>
      <c r="CM31959" s="111"/>
      <c r="CQ31959" s="111"/>
      <c r="EF31959"/>
      <c r="EG31959"/>
      <c r="EH31959"/>
      <c r="EI31959"/>
      <c r="EJ31959"/>
      <c r="EK31959"/>
    </row>
    <row r="31960" spans="1:141" s="116" customFormat="1">
      <c r="A31960" s="136"/>
      <c r="CM31960" s="111"/>
      <c r="CQ31960" s="111"/>
      <c r="EF31960"/>
      <c r="EG31960"/>
      <c r="EH31960"/>
      <c r="EI31960"/>
      <c r="EJ31960"/>
      <c r="EK31960"/>
    </row>
    <row r="31961" spans="1:141" s="116" customFormat="1">
      <c r="A31961" s="136"/>
      <c r="CM31961" s="111"/>
      <c r="CQ31961" s="111"/>
      <c r="EF31961"/>
      <c r="EG31961"/>
      <c r="EH31961"/>
      <c r="EI31961"/>
      <c r="EJ31961"/>
      <c r="EK31961"/>
    </row>
    <row r="31962" spans="1:141" s="116" customFormat="1">
      <c r="A31962" s="136"/>
      <c r="CM31962" s="111"/>
      <c r="CQ31962" s="111"/>
      <c r="EF31962"/>
      <c r="EG31962"/>
      <c r="EH31962"/>
      <c r="EI31962"/>
      <c r="EJ31962"/>
      <c r="EK31962"/>
    </row>
    <row r="31963" spans="1:141" s="116" customFormat="1">
      <c r="A31963" s="136"/>
      <c r="CM31963" s="111"/>
      <c r="CQ31963" s="111"/>
      <c r="EF31963"/>
      <c r="EG31963"/>
      <c r="EH31963"/>
      <c r="EI31963"/>
      <c r="EJ31963"/>
      <c r="EK31963"/>
    </row>
    <row r="31964" spans="1:141" s="116" customFormat="1">
      <c r="A31964" s="136"/>
      <c r="CM31964" s="111"/>
      <c r="CQ31964" s="111"/>
      <c r="EF31964"/>
      <c r="EG31964"/>
      <c r="EH31964"/>
      <c r="EI31964"/>
      <c r="EJ31964"/>
      <c r="EK31964"/>
    </row>
    <row r="31965" spans="1:141" s="116" customFormat="1">
      <c r="A31965" s="136"/>
      <c r="CM31965" s="111"/>
      <c r="CQ31965" s="111"/>
      <c r="EF31965"/>
      <c r="EG31965"/>
      <c r="EH31965"/>
      <c r="EI31965"/>
      <c r="EJ31965"/>
      <c r="EK31965"/>
    </row>
    <row r="31966" spans="1:141" s="116" customFormat="1">
      <c r="A31966" s="136"/>
      <c r="CM31966" s="111"/>
      <c r="CQ31966" s="111"/>
      <c r="EF31966"/>
      <c r="EG31966"/>
      <c r="EH31966"/>
      <c r="EI31966"/>
      <c r="EJ31966"/>
      <c r="EK31966"/>
    </row>
    <row r="31967" spans="1:141" s="116" customFormat="1">
      <c r="A31967" s="136"/>
      <c r="CM31967" s="111"/>
      <c r="CQ31967" s="111"/>
      <c r="EF31967"/>
      <c r="EG31967"/>
      <c r="EH31967"/>
      <c r="EI31967"/>
      <c r="EJ31967"/>
      <c r="EK31967"/>
    </row>
    <row r="31968" spans="1:141" s="116" customFormat="1">
      <c r="A31968" s="136"/>
      <c r="CM31968" s="111"/>
      <c r="CQ31968" s="111"/>
      <c r="EF31968"/>
      <c r="EG31968"/>
      <c r="EH31968"/>
      <c r="EI31968"/>
      <c r="EJ31968"/>
      <c r="EK31968"/>
    </row>
    <row r="31969" spans="1:141" s="116" customFormat="1">
      <c r="A31969" s="136"/>
      <c r="CM31969" s="111"/>
      <c r="CQ31969" s="111"/>
      <c r="EF31969"/>
      <c r="EG31969"/>
      <c r="EH31969"/>
      <c r="EI31969"/>
      <c r="EJ31969"/>
      <c r="EK31969"/>
    </row>
    <row r="31970" spans="1:141" s="116" customFormat="1">
      <c r="A31970" s="136"/>
      <c r="CM31970" s="111"/>
      <c r="CQ31970" s="111"/>
      <c r="EF31970"/>
      <c r="EG31970"/>
      <c r="EH31970"/>
      <c r="EI31970"/>
      <c r="EJ31970"/>
      <c r="EK31970"/>
    </row>
    <row r="31971" spans="1:141" s="116" customFormat="1">
      <c r="A31971" s="136"/>
      <c r="CM31971" s="111"/>
      <c r="CQ31971" s="111"/>
      <c r="EF31971"/>
      <c r="EG31971"/>
      <c r="EH31971"/>
      <c r="EI31971"/>
      <c r="EJ31971"/>
      <c r="EK31971"/>
    </row>
    <row r="31972" spans="1:141" s="116" customFormat="1">
      <c r="A31972" s="136"/>
      <c r="CM31972" s="111"/>
      <c r="CQ31972" s="111"/>
      <c r="EF31972"/>
      <c r="EG31972"/>
      <c r="EH31972"/>
      <c r="EI31972"/>
      <c r="EJ31972"/>
      <c r="EK31972"/>
    </row>
    <row r="31973" spans="1:141" s="116" customFormat="1">
      <c r="A31973" s="136"/>
      <c r="CM31973" s="111"/>
      <c r="CQ31973" s="111"/>
      <c r="EF31973"/>
      <c r="EG31973"/>
      <c r="EH31973"/>
      <c r="EI31973"/>
      <c r="EJ31973"/>
      <c r="EK31973"/>
    </row>
    <row r="31974" spans="1:141" s="116" customFormat="1">
      <c r="A31974" s="136"/>
      <c r="CM31974" s="111"/>
      <c r="CQ31974" s="111"/>
      <c r="EF31974"/>
      <c r="EG31974"/>
      <c r="EH31974"/>
      <c r="EI31974"/>
      <c r="EJ31974"/>
      <c r="EK31974"/>
    </row>
    <row r="31975" spans="1:141" s="116" customFormat="1">
      <c r="A31975" s="136"/>
      <c r="CM31975" s="111"/>
      <c r="CQ31975" s="111"/>
      <c r="EF31975"/>
      <c r="EG31975"/>
      <c r="EH31975"/>
      <c r="EI31975"/>
      <c r="EJ31975"/>
      <c r="EK31975"/>
    </row>
    <row r="31976" spans="1:141" s="116" customFormat="1">
      <c r="A31976" s="136"/>
      <c r="CM31976" s="111"/>
      <c r="CQ31976" s="111"/>
      <c r="EF31976"/>
      <c r="EG31976"/>
      <c r="EH31976"/>
      <c r="EI31976"/>
      <c r="EJ31976"/>
      <c r="EK31976"/>
    </row>
    <row r="31977" spans="1:141" s="116" customFormat="1">
      <c r="A31977" s="136"/>
      <c r="CM31977" s="111"/>
      <c r="CQ31977" s="111"/>
      <c r="EF31977"/>
      <c r="EG31977"/>
      <c r="EH31977"/>
      <c r="EI31977"/>
      <c r="EJ31977"/>
      <c r="EK31977"/>
    </row>
    <row r="31978" spans="1:141" s="116" customFormat="1">
      <c r="A31978" s="136"/>
      <c r="CM31978" s="111"/>
      <c r="CQ31978" s="111"/>
      <c r="EF31978"/>
      <c r="EG31978"/>
      <c r="EH31978"/>
      <c r="EI31978"/>
      <c r="EJ31978"/>
      <c r="EK31978"/>
    </row>
    <row r="31979" spans="1:141" s="116" customFormat="1">
      <c r="A31979" s="136"/>
      <c r="CM31979" s="111"/>
      <c r="CQ31979" s="111"/>
      <c r="EF31979"/>
      <c r="EG31979"/>
      <c r="EH31979"/>
      <c r="EI31979"/>
      <c r="EJ31979"/>
      <c r="EK31979"/>
    </row>
    <row r="31980" spans="1:141" s="116" customFormat="1">
      <c r="A31980" s="136"/>
      <c r="CM31980" s="111"/>
      <c r="CQ31980" s="111"/>
      <c r="EF31980"/>
      <c r="EG31980"/>
      <c r="EH31980"/>
      <c r="EI31980"/>
      <c r="EJ31980"/>
      <c r="EK31980"/>
    </row>
    <row r="31981" spans="1:141" s="116" customFormat="1">
      <c r="A31981" s="136"/>
      <c r="CM31981" s="111"/>
      <c r="CQ31981" s="111"/>
      <c r="EF31981"/>
      <c r="EG31981"/>
      <c r="EH31981"/>
      <c r="EI31981"/>
      <c r="EJ31981"/>
      <c r="EK31981"/>
    </row>
    <row r="31982" spans="1:141" s="116" customFormat="1">
      <c r="A31982" s="136"/>
      <c r="CM31982" s="111"/>
      <c r="CQ31982" s="111"/>
      <c r="EF31982"/>
      <c r="EG31982"/>
      <c r="EH31982"/>
      <c r="EI31982"/>
      <c r="EJ31982"/>
      <c r="EK31982"/>
    </row>
    <row r="31983" spans="1:141" s="116" customFormat="1">
      <c r="A31983" s="136"/>
      <c r="CM31983" s="111"/>
      <c r="CQ31983" s="111"/>
      <c r="EF31983"/>
      <c r="EG31983"/>
      <c r="EH31983"/>
      <c r="EI31983"/>
      <c r="EJ31983"/>
      <c r="EK31983"/>
    </row>
    <row r="31984" spans="1:141" s="116" customFormat="1">
      <c r="A31984" s="136"/>
      <c r="CM31984" s="111"/>
      <c r="CQ31984" s="111"/>
      <c r="EF31984"/>
      <c r="EG31984"/>
      <c r="EH31984"/>
      <c r="EI31984"/>
      <c r="EJ31984"/>
      <c r="EK31984"/>
    </row>
    <row r="31985" spans="1:141" s="116" customFormat="1">
      <c r="A31985" s="136"/>
      <c r="CM31985" s="111"/>
      <c r="CQ31985" s="111"/>
      <c r="EF31985"/>
      <c r="EG31985"/>
      <c r="EH31985"/>
      <c r="EI31985"/>
      <c r="EJ31985"/>
      <c r="EK31985"/>
    </row>
    <row r="31986" spans="1:141" s="116" customFormat="1">
      <c r="A31986" s="136"/>
      <c r="CM31986" s="111"/>
      <c r="CQ31986" s="111"/>
      <c r="EF31986"/>
      <c r="EG31986"/>
      <c r="EH31986"/>
      <c r="EI31986"/>
      <c r="EJ31986"/>
      <c r="EK31986"/>
    </row>
    <row r="31987" spans="1:141" s="116" customFormat="1">
      <c r="A31987" s="136"/>
      <c r="CM31987" s="111"/>
      <c r="CQ31987" s="111"/>
      <c r="EF31987"/>
      <c r="EG31987"/>
      <c r="EH31987"/>
      <c r="EI31987"/>
      <c r="EJ31987"/>
      <c r="EK31987"/>
    </row>
    <row r="31988" spans="1:141" s="116" customFormat="1">
      <c r="A31988" s="136"/>
      <c r="CM31988" s="111"/>
      <c r="CQ31988" s="111"/>
      <c r="EF31988"/>
      <c r="EG31988"/>
      <c r="EH31988"/>
      <c r="EI31988"/>
      <c r="EJ31988"/>
      <c r="EK31988"/>
    </row>
    <row r="31989" spans="1:141" s="116" customFormat="1">
      <c r="A31989" s="136"/>
      <c r="CM31989" s="111"/>
      <c r="CQ31989" s="111"/>
      <c r="EF31989"/>
      <c r="EG31989"/>
      <c r="EH31989"/>
      <c r="EI31989"/>
      <c r="EJ31989"/>
      <c r="EK31989"/>
    </row>
    <row r="31990" spans="1:141" s="116" customFormat="1">
      <c r="A31990" s="136"/>
      <c r="CM31990" s="111"/>
      <c r="CQ31990" s="111"/>
      <c r="EF31990"/>
      <c r="EG31990"/>
      <c r="EH31990"/>
      <c r="EI31990"/>
      <c r="EJ31990"/>
      <c r="EK31990"/>
    </row>
    <row r="31991" spans="1:141" s="116" customFormat="1">
      <c r="A31991" s="136"/>
      <c r="CM31991" s="111"/>
      <c r="CQ31991" s="111"/>
      <c r="EF31991"/>
      <c r="EG31991"/>
      <c r="EH31991"/>
      <c r="EI31991"/>
      <c r="EJ31991"/>
      <c r="EK31991"/>
    </row>
    <row r="31992" spans="1:141" s="116" customFormat="1">
      <c r="A31992" s="136"/>
      <c r="CM31992" s="111"/>
      <c r="CQ31992" s="111"/>
      <c r="EF31992"/>
      <c r="EG31992"/>
      <c r="EH31992"/>
      <c r="EI31992"/>
      <c r="EJ31992"/>
      <c r="EK31992"/>
    </row>
    <row r="31993" spans="1:141" s="116" customFormat="1">
      <c r="A31993" s="136"/>
      <c r="CM31993" s="111"/>
      <c r="CQ31993" s="111"/>
      <c r="EF31993"/>
      <c r="EG31993"/>
      <c r="EH31993"/>
      <c r="EI31993"/>
      <c r="EJ31993"/>
      <c r="EK31993"/>
    </row>
    <row r="31994" spans="1:141" s="116" customFormat="1">
      <c r="A31994" s="136"/>
      <c r="CM31994" s="111"/>
      <c r="CQ31994" s="111"/>
      <c r="EF31994"/>
      <c r="EG31994"/>
      <c r="EH31994"/>
      <c r="EI31994"/>
      <c r="EJ31994"/>
      <c r="EK31994"/>
    </row>
    <row r="31995" spans="1:141" s="116" customFormat="1">
      <c r="A31995" s="136"/>
      <c r="CM31995" s="111"/>
      <c r="CQ31995" s="111"/>
      <c r="EF31995"/>
      <c r="EG31995"/>
      <c r="EH31995"/>
      <c r="EI31995"/>
      <c r="EJ31995"/>
      <c r="EK31995"/>
    </row>
    <row r="31996" spans="1:141" s="116" customFormat="1">
      <c r="A31996" s="136"/>
      <c r="CM31996" s="111"/>
      <c r="CQ31996" s="111"/>
      <c r="EF31996"/>
      <c r="EG31996"/>
      <c r="EH31996"/>
      <c r="EI31996"/>
      <c r="EJ31996"/>
      <c r="EK31996"/>
    </row>
    <row r="31997" spans="1:141" s="116" customFormat="1">
      <c r="A31997" s="136"/>
      <c r="CM31997" s="111"/>
      <c r="CQ31997" s="111"/>
      <c r="EF31997"/>
      <c r="EG31997"/>
      <c r="EH31997"/>
      <c r="EI31997"/>
      <c r="EJ31997"/>
      <c r="EK31997"/>
    </row>
    <row r="31998" spans="1:141" s="116" customFormat="1">
      <c r="A31998" s="136"/>
      <c r="CM31998" s="111"/>
      <c r="CQ31998" s="111"/>
      <c r="EF31998"/>
      <c r="EG31998"/>
      <c r="EH31998"/>
      <c r="EI31998"/>
      <c r="EJ31998"/>
      <c r="EK31998"/>
    </row>
    <row r="31999" spans="1:141" s="116" customFormat="1">
      <c r="A31999" s="136"/>
      <c r="CM31999" s="111"/>
      <c r="CQ31999" s="111"/>
      <c r="EF31999"/>
      <c r="EG31999"/>
      <c r="EH31999"/>
      <c r="EI31999"/>
      <c r="EJ31999"/>
      <c r="EK31999"/>
    </row>
    <row r="32000" spans="1:141" s="116" customFormat="1">
      <c r="A32000" s="136"/>
      <c r="CM32000" s="111"/>
      <c r="CQ32000" s="111"/>
      <c r="EF32000"/>
      <c r="EG32000"/>
      <c r="EH32000"/>
      <c r="EI32000"/>
      <c r="EJ32000"/>
      <c r="EK32000"/>
    </row>
    <row r="32001" spans="1:141" s="116" customFormat="1">
      <c r="A32001" s="136"/>
      <c r="CM32001" s="111"/>
      <c r="CQ32001" s="111"/>
      <c r="EF32001"/>
      <c r="EG32001"/>
      <c r="EH32001"/>
      <c r="EI32001"/>
      <c r="EJ32001"/>
      <c r="EK32001"/>
    </row>
    <row r="32002" spans="1:141" s="116" customFormat="1">
      <c r="A32002" s="136"/>
      <c r="CM32002" s="111"/>
      <c r="CQ32002" s="111"/>
      <c r="EF32002"/>
      <c r="EG32002"/>
      <c r="EH32002"/>
      <c r="EI32002"/>
      <c r="EJ32002"/>
      <c r="EK32002"/>
    </row>
    <row r="32003" spans="1:141" s="116" customFormat="1">
      <c r="A32003" s="136"/>
      <c r="CM32003" s="111"/>
      <c r="CQ32003" s="111"/>
      <c r="EF32003"/>
      <c r="EG32003"/>
      <c r="EH32003"/>
      <c r="EI32003"/>
      <c r="EJ32003"/>
      <c r="EK32003"/>
    </row>
    <row r="32004" spans="1:141" s="116" customFormat="1">
      <c r="A32004" s="136"/>
      <c r="CM32004" s="111"/>
      <c r="CQ32004" s="111"/>
      <c r="EF32004"/>
      <c r="EG32004"/>
      <c r="EH32004"/>
      <c r="EI32004"/>
      <c r="EJ32004"/>
      <c r="EK32004"/>
    </row>
    <row r="32005" spans="1:141" s="116" customFormat="1">
      <c r="A32005" s="136"/>
      <c r="CM32005" s="111"/>
      <c r="CQ32005" s="111"/>
      <c r="EF32005"/>
      <c r="EG32005"/>
      <c r="EH32005"/>
      <c r="EI32005"/>
      <c r="EJ32005"/>
      <c r="EK32005"/>
    </row>
    <row r="32006" spans="1:141" s="116" customFormat="1">
      <c r="A32006" s="136"/>
      <c r="CM32006" s="111"/>
      <c r="CQ32006" s="111"/>
      <c r="EF32006"/>
      <c r="EG32006"/>
      <c r="EH32006"/>
      <c r="EI32006"/>
      <c r="EJ32006"/>
      <c r="EK32006"/>
    </row>
    <row r="32007" spans="1:141" s="116" customFormat="1">
      <c r="A32007" s="136"/>
      <c r="CM32007" s="111"/>
      <c r="CQ32007" s="111"/>
      <c r="EF32007"/>
      <c r="EG32007"/>
      <c r="EH32007"/>
      <c r="EI32007"/>
      <c r="EJ32007"/>
      <c r="EK32007"/>
    </row>
    <row r="32008" spans="1:141" s="116" customFormat="1">
      <c r="A32008" s="136"/>
      <c r="CM32008" s="111"/>
      <c r="CQ32008" s="111"/>
      <c r="EF32008"/>
      <c r="EG32008"/>
      <c r="EH32008"/>
      <c r="EI32008"/>
      <c r="EJ32008"/>
      <c r="EK32008"/>
    </row>
    <row r="32009" spans="1:141" s="116" customFormat="1">
      <c r="A32009" s="136"/>
      <c r="CM32009" s="111"/>
      <c r="CQ32009" s="111"/>
      <c r="EF32009"/>
      <c r="EG32009"/>
      <c r="EH32009"/>
      <c r="EI32009"/>
      <c r="EJ32009"/>
      <c r="EK32009"/>
    </row>
    <row r="32010" spans="1:141" s="116" customFormat="1">
      <c r="A32010" s="136"/>
      <c r="CM32010" s="111"/>
      <c r="CQ32010" s="111"/>
      <c r="EF32010"/>
      <c r="EG32010"/>
      <c r="EH32010"/>
      <c r="EI32010"/>
      <c r="EJ32010"/>
      <c r="EK32010"/>
    </row>
    <row r="32011" spans="1:141" s="116" customFormat="1">
      <c r="A32011" s="136"/>
      <c r="CM32011" s="111"/>
      <c r="CQ32011" s="111"/>
      <c r="EF32011"/>
      <c r="EG32011"/>
      <c r="EH32011"/>
      <c r="EI32011"/>
      <c r="EJ32011"/>
      <c r="EK32011"/>
    </row>
    <row r="32012" spans="1:141" s="116" customFormat="1">
      <c r="A32012" s="136"/>
      <c r="CM32012" s="111"/>
      <c r="CQ32012" s="111"/>
      <c r="EF32012"/>
      <c r="EG32012"/>
      <c r="EH32012"/>
      <c r="EI32012"/>
      <c r="EJ32012"/>
      <c r="EK32012"/>
    </row>
    <row r="32013" spans="1:141" s="116" customFormat="1">
      <c r="A32013" s="136"/>
      <c r="CM32013" s="111"/>
      <c r="CQ32013" s="111"/>
      <c r="EF32013"/>
      <c r="EG32013"/>
      <c r="EH32013"/>
      <c r="EI32013"/>
      <c r="EJ32013"/>
      <c r="EK32013"/>
    </row>
    <row r="32014" spans="1:141" s="116" customFormat="1">
      <c r="A32014" s="136"/>
      <c r="CM32014" s="111"/>
      <c r="CQ32014" s="111"/>
      <c r="EF32014"/>
      <c r="EG32014"/>
      <c r="EH32014"/>
      <c r="EI32014"/>
      <c r="EJ32014"/>
      <c r="EK32014"/>
    </row>
    <row r="32015" spans="1:141" s="116" customFormat="1">
      <c r="A32015" s="136"/>
      <c r="CM32015" s="111"/>
      <c r="CQ32015" s="111"/>
      <c r="EF32015"/>
      <c r="EG32015"/>
      <c r="EH32015"/>
      <c r="EI32015"/>
      <c r="EJ32015"/>
      <c r="EK32015"/>
    </row>
    <row r="32016" spans="1:141" s="116" customFormat="1">
      <c r="A32016" s="136"/>
      <c r="CM32016" s="111"/>
      <c r="CQ32016" s="111"/>
      <c r="EF32016"/>
      <c r="EG32016"/>
      <c r="EH32016"/>
      <c r="EI32016"/>
      <c r="EJ32016"/>
      <c r="EK32016"/>
    </row>
    <row r="32017" spans="1:141" s="116" customFormat="1">
      <c r="A32017" s="136"/>
      <c r="CM32017" s="111"/>
      <c r="CQ32017" s="111"/>
      <c r="EF32017"/>
      <c r="EG32017"/>
      <c r="EH32017"/>
      <c r="EI32017"/>
      <c r="EJ32017"/>
      <c r="EK32017"/>
    </row>
    <row r="32018" spans="1:141" s="116" customFormat="1">
      <c r="A32018" s="136"/>
      <c r="CM32018" s="111"/>
      <c r="CQ32018" s="111"/>
      <c r="EF32018"/>
      <c r="EG32018"/>
      <c r="EH32018"/>
      <c r="EI32018"/>
      <c r="EJ32018"/>
      <c r="EK32018"/>
    </row>
    <row r="32019" spans="1:141" s="116" customFormat="1">
      <c r="A32019" s="136"/>
      <c r="CM32019" s="111"/>
      <c r="CQ32019" s="111"/>
      <c r="EF32019"/>
      <c r="EG32019"/>
      <c r="EH32019"/>
      <c r="EI32019"/>
      <c r="EJ32019"/>
      <c r="EK32019"/>
    </row>
    <row r="32020" spans="1:141" s="116" customFormat="1">
      <c r="A32020" s="136"/>
      <c r="CM32020" s="111"/>
      <c r="CQ32020" s="111"/>
      <c r="EF32020"/>
      <c r="EG32020"/>
      <c r="EH32020"/>
      <c r="EI32020"/>
      <c r="EJ32020"/>
      <c r="EK32020"/>
    </row>
    <row r="32021" spans="1:141" s="116" customFormat="1">
      <c r="A32021" s="136"/>
      <c r="CM32021" s="111"/>
      <c r="CQ32021" s="111"/>
      <c r="EF32021"/>
      <c r="EG32021"/>
      <c r="EH32021"/>
      <c r="EI32021"/>
      <c r="EJ32021"/>
      <c r="EK32021"/>
    </row>
    <row r="32022" spans="1:141" s="116" customFormat="1">
      <c r="A32022" s="136"/>
      <c r="CM32022" s="111"/>
      <c r="CQ32022" s="111"/>
      <c r="EF32022"/>
      <c r="EG32022"/>
      <c r="EH32022"/>
      <c r="EI32022"/>
      <c r="EJ32022"/>
      <c r="EK32022"/>
    </row>
    <row r="32023" spans="1:141" s="116" customFormat="1">
      <c r="A32023" s="136"/>
      <c r="CM32023" s="111"/>
      <c r="CQ32023" s="111"/>
      <c r="EF32023"/>
      <c r="EG32023"/>
      <c r="EH32023"/>
      <c r="EI32023"/>
      <c r="EJ32023"/>
      <c r="EK32023"/>
    </row>
    <row r="32024" spans="1:141" s="116" customFormat="1">
      <c r="A32024" s="136"/>
      <c r="CM32024" s="111"/>
      <c r="CQ32024" s="111"/>
      <c r="EF32024"/>
      <c r="EG32024"/>
      <c r="EH32024"/>
      <c r="EI32024"/>
      <c r="EJ32024"/>
      <c r="EK32024"/>
    </row>
    <row r="32025" spans="1:141" s="116" customFormat="1">
      <c r="A32025" s="136"/>
      <c r="CM32025" s="111"/>
      <c r="CQ32025" s="111"/>
      <c r="EF32025"/>
      <c r="EG32025"/>
      <c r="EH32025"/>
      <c r="EI32025"/>
      <c r="EJ32025"/>
      <c r="EK32025"/>
    </row>
    <row r="32026" spans="1:141" s="116" customFormat="1">
      <c r="A32026" s="136"/>
      <c r="CM32026" s="111"/>
      <c r="CQ32026" s="111"/>
      <c r="EF32026"/>
      <c r="EG32026"/>
      <c r="EH32026"/>
      <c r="EI32026"/>
      <c r="EJ32026"/>
      <c r="EK32026"/>
    </row>
    <row r="32027" spans="1:141" s="116" customFormat="1">
      <c r="A32027" s="136"/>
      <c r="CM32027" s="111"/>
      <c r="CQ32027" s="111"/>
      <c r="EF32027"/>
      <c r="EG32027"/>
      <c r="EH32027"/>
      <c r="EI32027"/>
      <c r="EJ32027"/>
      <c r="EK32027"/>
    </row>
    <row r="32028" spans="1:141" s="116" customFormat="1">
      <c r="A32028" s="136"/>
      <c r="CM32028" s="111"/>
      <c r="CQ32028" s="111"/>
      <c r="EF32028"/>
      <c r="EG32028"/>
      <c r="EH32028"/>
      <c r="EI32028"/>
      <c r="EJ32028"/>
      <c r="EK32028"/>
    </row>
    <row r="32029" spans="1:141" s="116" customFormat="1">
      <c r="A32029" s="136"/>
      <c r="CM32029" s="111"/>
      <c r="CQ32029" s="111"/>
      <c r="EF32029"/>
      <c r="EG32029"/>
      <c r="EH32029"/>
      <c r="EI32029"/>
      <c r="EJ32029"/>
      <c r="EK32029"/>
    </row>
    <row r="32030" spans="1:141" s="116" customFormat="1">
      <c r="A32030" s="136"/>
      <c r="CM32030" s="111"/>
      <c r="CQ32030" s="111"/>
      <c r="EF32030"/>
      <c r="EG32030"/>
      <c r="EH32030"/>
      <c r="EI32030"/>
      <c r="EJ32030"/>
      <c r="EK32030"/>
    </row>
    <row r="32031" spans="1:141" s="116" customFormat="1">
      <c r="A32031" s="136"/>
      <c r="CM32031" s="111"/>
      <c r="CQ32031" s="111"/>
      <c r="EF32031"/>
      <c r="EG32031"/>
      <c r="EH32031"/>
      <c r="EI32031"/>
      <c r="EJ32031"/>
      <c r="EK32031"/>
    </row>
    <row r="32032" spans="1:141" s="116" customFormat="1">
      <c r="A32032" s="136"/>
      <c r="CM32032" s="111"/>
      <c r="CQ32032" s="111"/>
      <c r="EF32032"/>
      <c r="EG32032"/>
      <c r="EH32032"/>
      <c r="EI32032"/>
      <c r="EJ32032"/>
      <c r="EK32032"/>
    </row>
    <row r="32033" spans="1:141" s="116" customFormat="1">
      <c r="A32033" s="136"/>
      <c r="CM32033" s="111"/>
      <c r="CQ32033" s="111"/>
      <c r="EF32033"/>
      <c r="EG32033"/>
      <c r="EH32033"/>
      <c r="EI32033"/>
      <c r="EJ32033"/>
      <c r="EK32033"/>
    </row>
    <row r="32034" spans="1:141" s="116" customFormat="1">
      <c r="A32034" s="136"/>
      <c r="CM32034" s="111"/>
      <c r="CQ32034" s="111"/>
      <c r="EF32034"/>
      <c r="EG32034"/>
      <c r="EH32034"/>
      <c r="EI32034"/>
      <c r="EJ32034"/>
      <c r="EK32034"/>
    </row>
    <row r="32035" spans="1:141" s="116" customFormat="1">
      <c r="A32035" s="136"/>
      <c r="CM32035" s="111"/>
      <c r="CQ32035" s="111"/>
      <c r="EF32035"/>
      <c r="EG32035"/>
      <c r="EH32035"/>
      <c r="EI32035"/>
      <c r="EJ32035"/>
      <c r="EK32035"/>
    </row>
    <row r="32036" spans="1:141" s="116" customFormat="1">
      <c r="A32036" s="136"/>
      <c r="CM32036" s="111"/>
      <c r="CQ32036" s="111"/>
      <c r="EF32036"/>
      <c r="EG32036"/>
      <c r="EH32036"/>
      <c r="EI32036"/>
      <c r="EJ32036"/>
      <c r="EK32036"/>
    </row>
    <row r="32037" spans="1:141" s="116" customFormat="1">
      <c r="A32037" s="136"/>
      <c r="CM32037" s="111"/>
      <c r="CQ32037" s="111"/>
      <c r="EF32037"/>
      <c r="EG32037"/>
      <c r="EH32037"/>
      <c r="EI32037"/>
      <c r="EJ32037"/>
      <c r="EK32037"/>
    </row>
    <row r="32038" spans="1:141" s="116" customFormat="1">
      <c r="A32038" s="136"/>
      <c r="CM32038" s="111"/>
      <c r="CQ32038" s="111"/>
      <c r="EF32038"/>
      <c r="EG32038"/>
      <c r="EH32038"/>
      <c r="EI32038"/>
      <c r="EJ32038"/>
      <c r="EK32038"/>
    </row>
    <row r="32039" spans="1:141" s="116" customFormat="1">
      <c r="A32039" s="136"/>
      <c r="CM32039" s="111"/>
      <c r="CQ32039" s="111"/>
      <c r="EF32039"/>
      <c r="EG32039"/>
      <c r="EH32039"/>
      <c r="EI32039"/>
      <c r="EJ32039"/>
      <c r="EK32039"/>
    </row>
    <row r="32040" spans="1:141" s="116" customFormat="1">
      <c r="A32040" s="136"/>
      <c r="CM32040" s="111"/>
      <c r="CQ32040" s="111"/>
      <c r="EF32040"/>
      <c r="EG32040"/>
      <c r="EH32040"/>
      <c r="EI32040"/>
      <c r="EJ32040"/>
      <c r="EK32040"/>
    </row>
    <row r="32041" spans="1:141" s="116" customFormat="1">
      <c r="A32041" s="136"/>
      <c r="CM32041" s="111"/>
      <c r="CQ32041" s="111"/>
      <c r="EF32041"/>
      <c r="EG32041"/>
      <c r="EH32041"/>
      <c r="EI32041"/>
      <c r="EJ32041"/>
      <c r="EK32041"/>
    </row>
    <row r="32042" spans="1:141" s="116" customFormat="1">
      <c r="A32042" s="136"/>
      <c r="CM32042" s="111"/>
      <c r="CQ32042" s="111"/>
      <c r="EF32042"/>
      <c r="EG32042"/>
      <c r="EH32042"/>
      <c r="EI32042"/>
      <c r="EJ32042"/>
      <c r="EK32042"/>
    </row>
    <row r="32043" spans="1:141" s="116" customFormat="1">
      <c r="A32043" s="136"/>
      <c r="CM32043" s="111"/>
      <c r="CQ32043" s="111"/>
      <c r="EF32043"/>
      <c r="EG32043"/>
      <c r="EH32043"/>
      <c r="EI32043"/>
      <c r="EJ32043"/>
      <c r="EK32043"/>
    </row>
    <row r="32044" spans="1:141" s="116" customFormat="1">
      <c r="A32044" s="136"/>
      <c r="CM32044" s="111"/>
      <c r="CQ32044" s="111"/>
      <c r="EF32044"/>
      <c r="EG32044"/>
      <c r="EH32044"/>
      <c r="EI32044"/>
      <c r="EJ32044"/>
      <c r="EK32044"/>
    </row>
    <row r="32045" spans="1:141" s="116" customFormat="1">
      <c r="A32045" s="136"/>
      <c r="CM32045" s="111"/>
      <c r="CQ32045" s="111"/>
      <c r="EF32045"/>
      <c r="EG32045"/>
      <c r="EH32045"/>
      <c r="EI32045"/>
      <c r="EJ32045"/>
      <c r="EK32045"/>
    </row>
    <row r="32046" spans="1:141" s="116" customFormat="1">
      <c r="A32046" s="136"/>
      <c r="CM32046" s="111"/>
      <c r="CQ32046" s="111"/>
      <c r="EF32046"/>
      <c r="EG32046"/>
      <c r="EH32046"/>
      <c r="EI32046"/>
      <c r="EJ32046"/>
      <c r="EK32046"/>
    </row>
    <row r="32047" spans="1:141" s="116" customFormat="1">
      <c r="A32047" s="136"/>
      <c r="CM32047" s="111"/>
      <c r="CQ32047" s="111"/>
      <c r="EF32047"/>
      <c r="EG32047"/>
      <c r="EH32047"/>
      <c r="EI32047"/>
      <c r="EJ32047"/>
      <c r="EK32047"/>
    </row>
    <row r="32048" spans="1:141" s="116" customFormat="1">
      <c r="A32048" s="136"/>
      <c r="CM32048" s="111"/>
      <c r="CQ32048" s="111"/>
      <c r="EF32048"/>
      <c r="EG32048"/>
      <c r="EH32048"/>
      <c r="EI32048"/>
      <c r="EJ32048"/>
      <c r="EK32048"/>
    </row>
    <row r="32049" spans="1:141" s="116" customFormat="1">
      <c r="A32049" s="136"/>
      <c r="CM32049" s="111"/>
      <c r="CQ32049" s="111"/>
      <c r="EF32049"/>
      <c r="EG32049"/>
      <c r="EH32049"/>
      <c r="EI32049"/>
      <c r="EJ32049"/>
      <c r="EK32049"/>
    </row>
    <row r="32050" spans="1:141" s="116" customFormat="1">
      <c r="A32050" s="136"/>
      <c r="CM32050" s="111"/>
      <c r="CQ32050" s="111"/>
      <c r="EF32050"/>
      <c r="EG32050"/>
      <c r="EH32050"/>
      <c r="EI32050"/>
      <c r="EJ32050"/>
      <c r="EK32050"/>
    </row>
    <row r="32051" spans="1:141" s="116" customFormat="1">
      <c r="A32051" s="136"/>
      <c r="CM32051" s="111"/>
      <c r="CQ32051" s="111"/>
      <c r="EF32051"/>
      <c r="EG32051"/>
      <c r="EH32051"/>
      <c r="EI32051"/>
      <c r="EJ32051"/>
      <c r="EK32051"/>
    </row>
    <row r="32052" spans="1:141" s="116" customFormat="1">
      <c r="A32052" s="136"/>
      <c r="CM32052" s="111"/>
      <c r="CQ32052" s="111"/>
      <c r="EF32052"/>
      <c r="EG32052"/>
      <c r="EH32052"/>
      <c r="EI32052"/>
      <c r="EJ32052"/>
      <c r="EK32052"/>
    </row>
    <row r="32053" spans="1:141" s="116" customFormat="1">
      <c r="A32053" s="136"/>
      <c r="CM32053" s="111"/>
      <c r="CQ32053" s="111"/>
      <c r="EF32053"/>
      <c r="EG32053"/>
      <c r="EH32053"/>
      <c r="EI32053"/>
      <c r="EJ32053"/>
      <c r="EK32053"/>
    </row>
    <row r="32054" spans="1:141" s="116" customFormat="1">
      <c r="A32054" s="136"/>
      <c r="CM32054" s="111"/>
      <c r="CQ32054" s="111"/>
      <c r="EF32054"/>
      <c r="EG32054"/>
      <c r="EH32054"/>
      <c r="EI32054"/>
      <c r="EJ32054"/>
      <c r="EK32054"/>
    </row>
    <row r="32055" spans="1:141" s="116" customFormat="1">
      <c r="A32055" s="136"/>
      <c r="CM32055" s="111"/>
      <c r="CQ32055" s="111"/>
      <c r="EF32055"/>
      <c r="EG32055"/>
      <c r="EH32055"/>
      <c r="EI32055"/>
      <c r="EJ32055"/>
      <c r="EK32055"/>
    </row>
    <row r="32056" spans="1:141" s="116" customFormat="1">
      <c r="A32056" s="136"/>
      <c r="CM32056" s="111"/>
      <c r="CQ32056" s="111"/>
      <c r="EF32056"/>
      <c r="EG32056"/>
      <c r="EH32056"/>
      <c r="EI32056"/>
      <c r="EJ32056"/>
      <c r="EK32056"/>
    </row>
    <row r="32057" spans="1:141" s="116" customFormat="1">
      <c r="A32057" s="136"/>
      <c r="CM32057" s="111"/>
      <c r="CQ32057" s="111"/>
      <c r="EF32057"/>
      <c r="EG32057"/>
      <c r="EH32057"/>
      <c r="EI32057"/>
      <c r="EJ32057"/>
      <c r="EK32057"/>
    </row>
    <row r="32058" spans="1:141" s="116" customFormat="1">
      <c r="A32058" s="136"/>
      <c r="CM32058" s="111"/>
      <c r="CQ32058" s="111"/>
      <c r="EF32058"/>
      <c r="EG32058"/>
      <c r="EH32058"/>
      <c r="EI32058"/>
      <c r="EJ32058"/>
      <c r="EK32058"/>
    </row>
    <row r="32059" spans="1:141" s="116" customFormat="1">
      <c r="A32059" s="136"/>
      <c r="CM32059" s="111"/>
      <c r="CQ32059" s="111"/>
      <c r="EF32059"/>
      <c r="EG32059"/>
      <c r="EH32059"/>
      <c r="EI32059"/>
      <c r="EJ32059"/>
      <c r="EK32059"/>
    </row>
    <row r="32060" spans="1:141" s="116" customFormat="1">
      <c r="A32060" s="136"/>
      <c r="CM32060" s="111"/>
      <c r="CQ32060" s="111"/>
      <c r="EF32060"/>
      <c r="EG32060"/>
      <c r="EH32060"/>
      <c r="EI32060"/>
      <c r="EJ32060"/>
      <c r="EK32060"/>
    </row>
    <row r="32061" spans="1:141" s="116" customFormat="1">
      <c r="A32061" s="136"/>
      <c r="CM32061" s="111"/>
      <c r="CQ32061" s="111"/>
      <c r="EF32061"/>
      <c r="EG32061"/>
      <c r="EH32061"/>
      <c r="EI32061"/>
      <c r="EJ32061"/>
      <c r="EK32061"/>
    </row>
    <row r="32062" spans="1:141" s="116" customFormat="1">
      <c r="A32062" s="136"/>
      <c r="CM32062" s="111"/>
      <c r="CQ32062" s="111"/>
      <c r="EF32062"/>
      <c r="EG32062"/>
      <c r="EH32062"/>
      <c r="EI32062"/>
      <c r="EJ32062"/>
      <c r="EK32062"/>
    </row>
    <row r="32063" spans="1:141" s="116" customFormat="1">
      <c r="A32063" s="136"/>
      <c r="CM32063" s="111"/>
      <c r="CQ32063" s="111"/>
      <c r="EF32063"/>
      <c r="EG32063"/>
      <c r="EH32063"/>
      <c r="EI32063"/>
      <c r="EJ32063"/>
      <c r="EK32063"/>
    </row>
    <row r="32064" spans="1:141" s="116" customFormat="1">
      <c r="A32064" s="136"/>
      <c r="CM32064" s="111"/>
      <c r="CQ32064" s="111"/>
      <c r="EF32064"/>
      <c r="EG32064"/>
      <c r="EH32064"/>
      <c r="EI32064"/>
      <c r="EJ32064"/>
      <c r="EK32064"/>
    </row>
    <row r="32065" spans="1:141" s="116" customFormat="1">
      <c r="A32065" s="136"/>
      <c r="CM32065" s="111"/>
      <c r="CQ32065" s="111"/>
      <c r="EF32065"/>
      <c r="EG32065"/>
      <c r="EH32065"/>
      <c r="EI32065"/>
      <c r="EJ32065"/>
      <c r="EK32065"/>
    </row>
    <row r="32066" spans="1:141" s="116" customFormat="1">
      <c r="A32066" s="136"/>
      <c r="CM32066" s="111"/>
      <c r="CQ32066" s="111"/>
      <c r="EF32066"/>
      <c r="EG32066"/>
      <c r="EH32066"/>
      <c r="EI32066"/>
      <c r="EJ32066"/>
      <c r="EK32066"/>
    </row>
    <row r="32067" spans="1:141" s="116" customFormat="1">
      <c r="A32067" s="136"/>
      <c r="CM32067" s="111"/>
      <c r="CQ32067" s="111"/>
      <c r="EF32067"/>
      <c r="EG32067"/>
      <c r="EH32067"/>
      <c r="EI32067"/>
      <c r="EJ32067"/>
      <c r="EK32067"/>
    </row>
    <row r="32068" spans="1:141" s="116" customFormat="1">
      <c r="A32068" s="136"/>
      <c r="CM32068" s="111"/>
      <c r="CQ32068" s="111"/>
      <c r="EF32068"/>
      <c r="EG32068"/>
      <c r="EH32068"/>
      <c r="EI32068"/>
      <c r="EJ32068"/>
      <c r="EK32068"/>
    </row>
    <row r="32069" spans="1:141" s="116" customFormat="1">
      <c r="A32069" s="136"/>
      <c r="CM32069" s="111"/>
      <c r="CQ32069" s="111"/>
      <c r="EF32069"/>
      <c r="EG32069"/>
      <c r="EH32069"/>
      <c r="EI32069"/>
      <c r="EJ32069"/>
      <c r="EK32069"/>
    </row>
    <row r="32070" spans="1:141" s="116" customFormat="1">
      <c r="A32070" s="136"/>
      <c r="CM32070" s="111"/>
      <c r="CQ32070" s="111"/>
      <c r="EF32070"/>
      <c r="EG32070"/>
      <c r="EH32070"/>
      <c r="EI32070"/>
      <c r="EJ32070"/>
      <c r="EK32070"/>
    </row>
    <row r="32071" spans="1:141" s="116" customFormat="1">
      <c r="A32071" s="136"/>
      <c r="CM32071" s="111"/>
      <c r="CQ32071" s="111"/>
      <c r="EF32071"/>
      <c r="EG32071"/>
      <c r="EH32071"/>
      <c r="EI32071"/>
      <c r="EJ32071"/>
      <c r="EK32071"/>
    </row>
    <row r="32072" spans="1:141" s="116" customFormat="1">
      <c r="A32072" s="136"/>
      <c r="CM32072" s="111"/>
      <c r="CQ32072" s="111"/>
      <c r="EF32072"/>
      <c r="EG32072"/>
      <c r="EH32072"/>
      <c r="EI32072"/>
      <c r="EJ32072"/>
      <c r="EK32072"/>
    </row>
    <row r="32073" spans="1:141" s="116" customFormat="1">
      <c r="A32073" s="136"/>
      <c r="CM32073" s="111"/>
      <c r="CQ32073" s="111"/>
      <c r="EF32073"/>
      <c r="EG32073"/>
      <c r="EH32073"/>
      <c r="EI32073"/>
      <c r="EJ32073"/>
      <c r="EK32073"/>
    </row>
    <row r="32074" spans="1:141" s="116" customFormat="1">
      <c r="A32074" s="136"/>
      <c r="CM32074" s="111"/>
      <c r="CQ32074" s="111"/>
      <c r="EF32074"/>
      <c r="EG32074"/>
      <c r="EH32074"/>
      <c r="EI32074"/>
      <c r="EJ32074"/>
      <c r="EK32074"/>
    </row>
    <row r="32075" spans="1:141" s="116" customFormat="1">
      <c r="A32075" s="136"/>
      <c r="CM32075" s="111"/>
      <c r="CQ32075" s="111"/>
      <c r="EF32075"/>
      <c r="EG32075"/>
      <c r="EH32075"/>
      <c r="EI32075"/>
      <c r="EJ32075"/>
      <c r="EK32075"/>
    </row>
    <row r="32076" spans="1:141" s="116" customFormat="1">
      <c r="A32076" s="136"/>
      <c r="CM32076" s="111"/>
      <c r="CQ32076" s="111"/>
      <c r="EF32076"/>
      <c r="EG32076"/>
      <c r="EH32076"/>
      <c r="EI32076"/>
      <c r="EJ32076"/>
      <c r="EK32076"/>
    </row>
    <row r="32077" spans="1:141" s="116" customFormat="1">
      <c r="A32077" s="136"/>
      <c r="CM32077" s="111"/>
      <c r="CQ32077" s="111"/>
      <c r="EF32077"/>
      <c r="EG32077"/>
      <c r="EH32077"/>
      <c r="EI32077"/>
      <c r="EJ32077"/>
      <c r="EK32077"/>
    </row>
    <row r="32078" spans="1:141" s="116" customFormat="1">
      <c r="A32078" s="136"/>
      <c r="CM32078" s="111"/>
      <c r="CQ32078" s="111"/>
      <c r="EF32078"/>
      <c r="EG32078"/>
      <c r="EH32078"/>
      <c r="EI32078"/>
      <c r="EJ32078"/>
      <c r="EK32078"/>
    </row>
    <row r="32079" spans="1:141" s="116" customFormat="1">
      <c r="A32079" s="136"/>
      <c r="CM32079" s="111"/>
      <c r="CQ32079" s="111"/>
      <c r="EF32079"/>
      <c r="EG32079"/>
      <c r="EH32079"/>
      <c r="EI32079"/>
      <c r="EJ32079"/>
      <c r="EK32079"/>
    </row>
    <row r="32080" spans="1:141" s="116" customFormat="1">
      <c r="A32080" s="136"/>
      <c r="CM32080" s="111"/>
      <c r="CQ32080" s="111"/>
      <c r="EF32080"/>
      <c r="EG32080"/>
      <c r="EH32080"/>
      <c r="EI32080"/>
      <c r="EJ32080"/>
      <c r="EK32080"/>
    </row>
    <row r="32081" spans="1:141" s="116" customFormat="1">
      <c r="A32081" s="136"/>
      <c r="CM32081" s="111"/>
      <c r="CQ32081" s="111"/>
      <c r="EF32081"/>
      <c r="EG32081"/>
      <c r="EH32081"/>
      <c r="EI32081"/>
      <c r="EJ32081"/>
      <c r="EK32081"/>
    </row>
    <row r="32082" spans="1:141" s="116" customFormat="1">
      <c r="A32082" s="136"/>
      <c r="CM32082" s="111"/>
      <c r="CQ32082" s="111"/>
      <c r="EF32082"/>
      <c r="EG32082"/>
      <c r="EH32082"/>
      <c r="EI32082"/>
      <c r="EJ32082"/>
      <c r="EK32082"/>
    </row>
    <row r="32083" spans="1:141" s="116" customFormat="1">
      <c r="A32083" s="136"/>
      <c r="CM32083" s="111"/>
      <c r="CQ32083" s="111"/>
      <c r="EF32083"/>
      <c r="EG32083"/>
      <c r="EH32083"/>
      <c r="EI32083"/>
      <c r="EJ32083"/>
      <c r="EK32083"/>
    </row>
    <row r="32084" spans="1:141" s="116" customFormat="1">
      <c r="A32084" s="136"/>
      <c r="CM32084" s="111"/>
      <c r="CQ32084" s="111"/>
      <c r="EF32084"/>
      <c r="EG32084"/>
      <c r="EH32084"/>
      <c r="EI32084"/>
      <c r="EJ32084"/>
      <c r="EK32084"/>
    </row>
    <row r="32085" spans="1:141" s="116" customFormat="1">
      <c r="A32085" s="136"/>
      <c r="CM32085" s="111"/>
      <c r="CQ32085" s="111"/>
      <c r="EF32085"/>
      <c r="EG32085"/>
      <c r="EH32085"/>
      <c r="EI32085"/>
      <c r="EJ32085"/>
      <c r="EK32085"/>
    </row>
    <row r="32086" spans="1:141" s="116" customFormat="1">
      <c r="A32086" s="136"/>
      <c r="CM32086" s="111"/>
      <c r="CQ32086" s="111"/>
      <c r="EF32086"/>
      <c r="EG32086"/>
      <c r="EH32086"/>
      <c r="EI32086"/>
      <c r="EJ32086"/>
      <c r="EK32086"/>
    </row>
    <row r="32087" spans="1:141" s="116" customFormat="1">
      <c r="A32087" s="136"/>
      <c r="CM32087" s="111"/>
      <c r="CQ32087" s="111"/>
      <c r="EF32087"/>
      <c r="EG32087"/>
      <c r="EH32087"/>
      <c r="EI32087"/>
      <c r="EJ32087"/>
      <c r="EK32087"/>
    </row>
    <row r="32088" spans="1:141" s="116" customFormat="1">
      <c r="A32088" s="136"/>
      <c r="CM32088" s="111"/>
      <c r="CQ32088" s="111"/>
      <c r="EF32088"/>
      <c r="EG32088"/>
      <c r="EH32088"/>
      <c r="EI32088"/>
      <c r="EJ32088"/>
      <c r="EK32088"/>
    </row>
    <row r="32089" spans="1:141" s="116" customFormat="1">
      <c r="A32089" s="136"/>
      <c r="CM32089" s="111"/>
      <c r="CQ32089" s="111"/>
      <c r="EF32089"/>
      <c r="EG32089"/>
      <c r="EH32089"/>
      <c r="EI32089"/>
      <c r="EJ32089"/>
      <c r="EK32089"/>
    </row>
    <row r="32090" spans="1:141" s="116" customFormat="1">
      <c r="A32090" s="136"/>
      <c r="CM32090" s="111"/>
      <c r="CQ32090" s="111"/>
      <c r="EF32090"/>
      <c r="EG32090"/>
      <c r="EH32090"/>
      <c r="EI32090"/>
      <c r="EJ32090"/>
      <c r="EK32090"/>
    </row>
    <row r="32091" spans="1:141" s="116" customFormat="1">
      <c r="A32091" s="136"/>
      <c r="CM32091" s="111"/>
      <c r="CQ32091" s="111"/>
      <c r="EF32091"/>
      <c r="EG32091"/>
      <c r="EH32091"/>
      <c r="EI32091"/>
      <c r="EJ32091"/>
      <c r="EK32091"/>
    </row>
    <row r="32092" spans="1:141" s="116" customFormat="1">
      <c r="A32092" s="136"/>
      <c r="CM32092" s="111"/>
      <c r="CQ32092" s="111"/>
      <c r="EF32092"/>
      <c r="EG32092"/>
      <c r="EH32092"/>
      <c r="EI32092"/>
      <c r="EJ32092"/>
      <c r="EK32092"/>
    </row>
    <row r="32093" spans="1:141" s="116" customFormat="1">
      <c r="A32093" s="136"/>
      <c r="CM32093" s="111"/>
      <c r="CQ32093" s="111"/>
      <c r="EF32093"/>
      <c r="EG32093"/>
      <c r="EH32093"/>
      <c r="EI32093"/>
      <c r="EJ32093"/>
      <c r="EK32093"/>
    </row>
    <row r="32094" spans="1:141" s="116" customFormat="1">
      <c r="A32094" s="136"/>
      <c r="CM32094" s="111"/>
      <c r="CQ32094" s="111"/>
      <c r="EF32094"/>
      <c r="EG32094"/>
      <c r="EH32094"/>
      <c r="EI32094"/>
      <c r="EJ32094"/>
      <c r="EK32094"/>
    </row>
    <row r="32095" spans="1:141" s="116" customFormat="1">
      <c r="A32095" s="136"/>
      <c r="CM32095" s="111"/>
      <c r="CQ32095" s="111"/>
      <c r="EF32095"/>
      <c r="EG32095"/>
      <c r="EH32095"/>
      <c r="EI32095"/>
      <c r="EJ32095"/>
      <c r="EK32095"/>
    </row>
    <row r="32096" spans="1:141" s="116" customFormat="1">
      <c r="A32096" s="136"/>
      <c r="CM32096" s="111"/>
      <c r="CQ32096" s="111"/>
      <c r="EF32096"/>
      <c r="EG32096"/>
      <c r="EH32096"/>
      <c r="EI32096"/>
      <c r="EJ32096"/>
      <c r="EK32096"/>
    </row>
    <row r="32097" spans="1:141" s="116" customFormat="1">
      <c r="A32097" s="136"/>
      <c r="CM32097" s="111"/>
      <c r="CQ32097" s="111"/>
      <c r="EF32097"/>
      <c r="EG32097"/>
      <c r="EH32097"/>
      <c r="EI32097"/>
      <c r="EJ32097"/>
      <c r="EK32097"/>
    </row>
    <row r="32098" spans="1:141" s="116" customFormat="1">
      <c r="A32098" s="136"/>
      <c r="CM32098" s="111"/>
      <c r="CQ32098" s="111"/>
      <c r="EF32098"/>
      <c r="EG32098"/>
      <c r="EH32098"/>
      <c r="EI32098"/>
      <c r="EJ32098"/>
      <c r="EK32098"/>
    </row>
    <row r="32099" spans="1:141" s="116" customFormat="1">
      <c r="A32099" s="136"/>
      <c r="CM32099" s="111"/>
      <c r="CQ32099" s="111"/>
      <c r="EF32099"/>
      <c r="EG32099"/>
      <c r="EH32099"/>
      <c r="EI32099"/>
      <c r="EJ32099"/>
      <c r="EK32099"/>
    </row>
    <row r="32100" spans="1:141" s="116" customFormat="1">
      <c r="A32100" s="136"/>
      <c r="CM32100" s="111"/>
      <c r="CQ32100" s="111"/>
      <c r="EF32100"/>
      <c r="EG32100"/>
      <c r="EH32100"/>
      <c r="EI32100"/>
      <c r="EJ32100"/>
      <c r="EK32100"/>
    </row>
    <row r="32101" spans="1:141" s="116" customFormat="1">
      <c r="A32101" s="136"/>
      <c r="CM32101" s="111"/>
      <c r="CQ32101" s="111"/>
      <c r="EF32101"/>
      <c r="EG32101"/>
      <c r="EH32101"/>
      <c r="EI32101"/>
      <c r="EJ32101"/>
      <c r="EK32101"/>
    </row>
    <row r="32102" spans="1:141" s="116" customFormat="1">
      <c r="A32102" s="136"/>
      <c r="CM32102" s="111"/>
      <c r="CQ32102" s="111"/>
      <c r="EF32102"/>
      <c r="EG32102"/>
      <c r="EH32102"/>
      <c r="EI32102"/>
      <c r="EJ32102"/>
      <c r="EK32102"/>
    </row>
    <row r="32103" spans="1:141" s="116" customFormat="1">
      <c r="A32103" s="136"/>
      <c r="CM32103" s="111"/>
      <c r="CQ32103" s="111"/>
      <c r="EF32103"/>
      <c r="EG32103"/>
      <c r="EH32103"/>
      <c r="EI32103"/>
      <c r="EJ32103"/>
      <c r="EK32103"/>
    </row>
    <row r="32104" spans="1:141" s="116" customFormat="1">
      <c r="A32104" s="136"/>
      <c r="CM32104" s="111"/>
      <c r="CQ32104" s="111"/>
      <c r="EF32104"/>
      <c r="EG32104"/>
      <c r="EH32104"/>
      <c r="EI32104"/>
      <c r="EJ32104"/>
      <c r="EK32104"/>
    </row>
    <row r="32105" spans="1:141" s="116" customFormat="1">
      <c r="A32105" s="136"/>
      <c r="CM32105" s="111"/>
      <c r="CQ32105" s="111"/>
      <c r="EF32105"/>
      <c r="EG32105"/>
      <c r="EH32105"/>
      <c r="EI32105"/>
      <c r="EJ32105"/>
      <c r="EK32105"/>
    </row>
    <row r="32106" spans="1:141" s="116" customFormat="1">
      <c r="A32106" s="136"/>
      <c r="CM32106" s="111"/>
      <c r="CQ32106" s="111"/>
      <c r="EF32106"/>
      <c r="EG32106"/>
      <c r="EH32106"/>
      <c r="EI32106"/>
      <c r="EJ32106"/>
      <c r="EK32106"/>
    </row>
    <row r="32107" spans="1:141" s="116" customFormat="1">
      <c r="A32107" s="136"/>
      <c r="CM32107" s="111"/>
      <c r="CQ32107" s="111"/>
      <c r="EF32107"/>
      <c r="EG32107"/>
      <c r="EH32107"/>
      <c r="EI32107"/>
      <c r="EJ32107"/>
      <c r="EK32107"/>
    </row>
    <row r="32108" spans="1:141" s="116" customFormat="1">
      <c r="A32108" s="136"/>
      <c r="CM32108" s="111"/>
      <c r="CQ32108" s="111"/>
      <c r="EF32108"/>
      <c r="EG32108"/>
      <c r="EH32108"/>
      <c r="EI32108"/>
      <c r="EJ32108"/>
      <c r="EK32108"/>
    </row>
    <row r="32109" spans="1:141" s="116" customFormat="1">
      <c r="A32109" s="136"/>
      <c r="CM32109" s="111"/>
      <c r="CQ32109" s="111"/>
      <c r="EF32109"/>
      <c r="EG32109"/>
      <c r="EH32109"/>
      <c r="EI32109"/>
      <c r="EJ32109"/>
      <c r="EK32109"/>
    </row>
    <row r="32110" spans="1:141" s="116" customFormat="1">
      <c r="A32110" s="136"/>
      <c r="CM32110" s="111"/>
      <c r="CQ32110" s="111"/>
      <c r="EF32110"/>
      <c r="EG32110"/>
      <c r="EH32110"/>
      <c r="EI32110"/>
      <c r="EJ32110"/>
      <c r="EK32110"/>
    </row>
    <row r="32111" spans="1:141" s="116" customFormat="1">
      <c r="A32111" s="136"/>
      <c r="CM32111" s="111"/>
      <c r="CQ32111" s="111"/>
      <c r="EF32111"/>
      <c r="EG32111"/>
      <c r="EH32111"/>
      <c r="EI32111"/>
      <c r="EJ32111"/>
      <c r="EK32111"/>
    </row>
    <row r="32112" spans="1:141" s="116" customFormat="1">
      <c r="A32112" s="136"/>
      <c r="CM32112" s="111"/>
      <c r="CQ32112" s="111"/>
      <c r="EF32112"/>
      <c r="EG32112"/>
      <c r="EH32112"/>
      <c r="EI32112"/>
      <c r="EJ32112"/>
      <c r="EK32112"/>
    </row>
    <row r="32113" spans="1:141" s="116" customFormat="1">
      <c r="A32113" s="136"/>
      <c r="CM32113" s="111"/>
      <c r="CQ32113" s="111"/>
      <c r="EF32113"/>
      <c r="EG32113"/>
      <c r="EH32113"/>
      <c r="EI32113"/>
      <c r="EJ32113"/>
      <c r="EK32113"/>
    </row>
    <row r="32114" spans="1:141" s="116" customFormat="1">
      <c r="A32114" s="136"/>
      <c r="CM32114" s="111"/>
      <c r="CQ32114" s="111"/>
      <c r="EF32114"/>
      <c r="EG32114"/>
      <c r="EH32114"/>
      <c r="EI32114"/>
      <c r="EJ32114"/>
      <c r="EK32114"/>
    </row>
    <row r="32115" spans="1:141" s="116" customFormat="1">
      <c r="A32115" s="136"/>
      <c r="CM32115" s="111"/>
      <c r="CQ32115" s="111"/>
      <c r="EF32115"/>
      <c r="EG32115"/>
      <c r="EH32115"/>
      <c r="EI32115"/>
      <c r="EJ32115"/>
      <c r="EK32115"/>
    </row>
    <row r="32116" spans="1:141" s="116" customFormat="1">
      <c r="A32116" s="136"/>
      <c r="CM32116" s="111"/>
      <c r="CQ32116" s="111"/>
      <c r="EF32116"/>
      <c r="EG32116"/>
      <c r="EH32116"/>
      <c r="EI32116"/>
      <c r="EJ32116"/>
      <c r="EK32116"/>
    </row>
    <row r="32117" spans="1:141" s="116" customFormat="1">
      <c r="A32117" s="136"/>
      <c r="CM32117" s="111"/>
      <c r="CQ32117" s="111"/>
      <c r="EF32117"/>
      <c r="EG32117"/>
      <c r="EH32117"/>
      <c r="EI32117"/>
      <c r="EJ32117"/>
      <c r="EK32117"/>
    </row>
    <row r="32118" spans="1:141" s="116" customFormat="1">
      <c r="A32118" s="136"/>
      <c r="CM32118" s="111"/>
      <c r="CQ32118" s="111"/>
      <c r="EF32118"/>
      <c r="EG32118"/>
      <c r="EH32118"/>
      <c r="EI32118"/>
      <c r="EJ32118"/>
      <c r="EK32118"/>
    </row>
    <row r="32119" spans="1:141" s="116" customFormat="1">
      <c r="A32119" s="136"/>
      <c r="CM32119" s="111"/>
      <c r="CQ32119" s="111"/>
      <c r="EF32119"/>
      <c r="EG32119"/>
      <c r="EH32119"/>
      <c r="EI32119"/>
      <c r="EJ32119"/>
      <c r="EK32119"/>
    </row>
    <row r="32120" spans="1:141" s="116" customFormat="1">
      <c r="A32120" s="136"/>
      <c r="CM32120" s="111"/>
      <c r="CQ32120" s="111"/>
      <c r="EF32120"/>
      <c r="EG32120"/>
      <c r="EH32120"/>
      <c r="EI32120"/>
      <c r="EJ32120"/>
      <c r="EK32120"/>
    </row>
    <row r="32121" spans="1:141" s="116" customFormat="1">
      <c r="A32121" s="136"/>
      <c r="CM32121" s="111"/>
      <c r="CQ32121" s="111"/>
      <c r="EF32121"/>
      <c r="EG32121"/>
      <c r="EH32121"/>
      <c r="EI32121"/>
      <c r="EJ32121"/>
      <c r="EK32121"/>
    </row>
    <row r="32122" spans="1:141" s="116" customFormat="1">
      <c r="A32122" s="136"/>
      <c r="CM32122" s="111"/>
      <c r="CQ32122" s="111"/>
      <c r="EF32122"/>
      <c r="EG32122"/>
      <c r="EH32122"/>
      <c r="EI32122"/>
      <c r="EJ32122"/>
      <c r="EK32122"/>
    </row>
    <row r="32123" spans="1:141" s="116" customFormat="1">
      <c r="A32123" s="136"/>
      <c r="CM32123" s="111"/>
      <c r="CQ32123" s="111"/>
      <c r="EF32123"/>
      <c r="EG32123"/>
      <c r="EH32123"/>
      <c r="EI32123"/>
      <c r="EJ32123"/>
      <c r="EK32123"/>
    </row>
    <row r="32124" spans="1:141" s="116" customFormat="1">
      <c r="A32124" s="136"/>
      <c r="CM32124" s="111"/>
      <c r="CQ32124" s="111"/>
      <c r="EF32124"/>
      <c r="EG32124"/>
      <c r="EH32124"/>
      <c r="EI32124"/>
      <c r="EJ32124"/>
      <c r="EK32124"/>
    </row>
    <row r="32125" spans="1:141" s="116" customFormat="1">
      <c r="A32125" s="136"/>
      <c r="CM32125" s="111"/>
      <c r="CQ32125" s="111"/>
      <c r="EF32125"/>
      <c r="EG32125"/>
      <c r="EH32125"/>
      <c r="EI32125"/>
      <c r="EJ32125"/>
      <c r="EK32125"/>
    </row>
    <row r="32126" spans="1:141" s="116" customFormat="1">
      <c r="A32126" s="136"/>
      <c r="CM32126" s="111"/>
      <c r="CQ32126" s="111"/>
      <c r="EF32126"/>
      <c r="EG32126"/>
      <c r="EH32126"/>
      <c r="EI32126"/>
      <c r="EJ32126"/>
      <c r="EK32126"/>
    </row>
    <row r="32127" spans="1:141" s="116" customFormat="1">
      <c r="A32127" s="136"/>
      <c r="CM32127" s="111"/>
      <c r="CQ32127" s="111"/>
      <c r="EF32127"/>
      <c r="EG32127"/>
      <c r="EH32127"/>
      <c r="EI32127"/>
      <c r="EJ32127"/>
      <c r="EK32127"/>
    </row>
    <row r="32128" spans="1:141" s="116" customFormat="1">
      <c r="A32128" s="136"/>
      <c r="CM32128" s="111"/>
      <c r="CQ32128" s="111"/>
      <c r="EF32128"/>
      <c r="EG32128"/>
      <c r="EH32128"/>
      <c r="EI32128"/>
      <c r="EJ32128"/>
      <c r="EK32128"/>
    </row>
    <row r="32129" spans="1:141" s="116" customFormat="1">
      <c r="A32129" s="136"/>
      <c r="CM32129" s="111"/>
      <c r="CQ32129" s="111"/>
      <c r="EF32129"/>
      <c r="EG32129"/>
      <c r="EH32129"/>
      <c r="EI32129"/>
      <c r="EJ32129"/>
      <c r="EK32129"/>
    </row>
    <row r="32130" spans="1:141" s="116" customFormat="1">
      <c r="A32130" s="136"/>
      <c r="CM32130" s="111"/>
      <c r="CQ32130" s="111"/>
      <c r="EF32130"/>
      <c r="EG32130"/>
      <c r="EH32130"/>
      <c r="EI32130"/>
      <c r="EJ32130"/>
      <c r="EK32130"/>
    </row>
    <row r="32131" spans="1:141" s="116" customFormat="1">
      <c r="A32131" s="136"/>
      <c r="CM32131" s="111"/>
      <c r="CQ32131" s="111"/>
      <c r="EF32131"/>
      <c r="EG32131"/>
      <c r="EH32131"/>
      <c r="EI32131"/>
      <c r="EJ32131"/>
      <c r="EK32131"/>
    </row>
    <row r="32132" spans="1:141" s="116" customFormat="1">
      <c r="A32132" s="136"/>
      <c r="CM32132" s="111"/>
      <c r="CQ32132" s="111"/>
      <c r="EF32132"/>
      <c r="EG32132"/>
      <c r="EH32132"/>
      <c r="EI32132"/>
      <c r="EJ32132"/>
      <c r="EK32132"/>
    </row>
    <row r="32133" spans="1:141" s="116" customFormat="1">
      <c r="A32133" s="136"/>
      <c r="CM32133" s="111"/>
      <c r="CQ32133" s="111"/>
      <c r="EF32133"/>
      <c r="EG32133"/>
      <c r="EH32133"/>
      <c r="EI32133"/>
      <c r="EJ32133"/>
      <c r="EK32133"/>
    </row>
    <row r="32134" spans="1:141" s="116" customFormat="1">
      <c r="A32134" s="136"/>
      <c r="CM32134" s="111"/>
      <c r="CQ32134" s="111"/>
      <c r="EF32134"/>
      <c r="EG32134"/>
      <c r="EH32134"/>
      <c r="EI32134"/>
      <c r="EJ32134"/>
      <c r="EK32134"/>
    </row>
    <row r="32135" spans="1:141" s="116" customFormat="1">
      <c r="A32135" s="136"/>
      <c r="CM32135" s="111"/>
      <c r="CQ32135" s="111"/>
      <c r="EF32135"/>
      <c r="EG32135"/>
      <c r="EH32135"/>
      <c r="EI32135"/>
      <c r="EJ32135"/>
      <c r="EK32135"/>
    </row>
    <row r="32136" spans="1:141" s="116" customFormat="1">
      <c r="A32136" s="136"/>
      <c r="CM32136" s="111"/>
      <c r="CQ32136" s="111"/>
      <c r="EF32136"/>
      <c r="EG32136"/>
      <c r="EH32136"/>
      <c r="EI32136"/>
      <c r="EJ32136"/>
      <c r="EK32136"/>
    </row>
    <row r="32137" spans="1:141" s="116" customFormat="1">
      <c r="A32137" s="136"/>
      <c r="CM32137" s="111"/>
      <c r="CQ32137" s="111"/>
      <c r="EF32137"/>
      <c r="EG32137"/>
      <c r="EH32137"/>
      <c r="EI32137"/>
      <c r="EJ32137"/>
      <c r="EK32137"/>
    </row>
    <row r="32138" spans="1:141" s="116" customFormat="1">
      <c r="A32138" s="136"/>
      <c r="CM32138" s="111"/>
      <c r="CQ32138" s="111"/>
      <c r="EF32138"/>
      <c r="EG32138"/>
      <c r="EH32138"/>
      <c r="EI32138"/>
      <c r="EJ32138"/>
      <c r="EK32138"/>
    </row>
    <row r="32139" spans="1:141" s="116" customFormat="1">
      <c r="A32139" s="136"/>
      <c r="CM32139" s="111"/>
      <c r="CQ32139" s="111"/>
      <c r="EF32139"/>
      <c r="EG32139"/>
      <c r="EH32139"/>
      <c r="EI32139"/>
      <c r="EJ32139"/>
      <c r="EK32139"/>
    </row>
    <row r="32140" spans="1:141" s="116" customFormat="1">
      <c r="A32140" s="136"/>
      <c r="CM32140" s="111"/>
      <c r="CQ32140" s="111"/>
      <c r="EF32140"/>
      <c r="EG32140"/>
      <c r="EH32140"/>
      <c r="EI32140"/>
      <c r="EJ32140"/>
      <c r="EK32140"/>
    </row>
    <row r="32141" spans="1:141" s="116" customFormat="1">
      <c r="A32141" s="136"/>
      <c r="CM32141" s="111"/>
      <c r="CQ32141" s="111"/>
      <c r="EF32141"/>
      <c r="EG32141"/>
      <c r="EH32141"/>
      <c r="EI32141"/>
      <c r="EJ32141"/>
      <c r="EK32141"/>
    </row>
    <row r="32142" spans="1:141" s="116" customFormat="1">
      <c r="A32142" s="136"/>
      <c r="CM32142" s="111"/>
      <c r="CQ32142" s="111"/>
      <c r="EF32142"/>
      <c r="EG32142"/>
      <c r="EH32142"/>
      <c r="EI32142"/>
      <c r="EJ32142"/>
      <c r="EK32142"/>
    </row>
    <row r="32143" spans="1:141" s="116" customFormat="1">
      <c r="A32143" s="136"/>
      <c r="CM32143" s="111"/>
      <c r="CQ32143" s="111"/>
      <c r="EF32143"/>
      <c r="EG32143"/>
      <c r="EH32143"/>
      <c r="EI32143"/>
      <c r="EJ32143"/>
      <c r="EK32143"/>
    </row>
    <row r="32144" spans="1:141" s="116" customFormat="1">
      <c r="A32144" s="136"/>
      <c r="CM32144" s="111"/>
      <c r="CQ32144" s="111"/>
      <c r="EF32144"/>
      <c r="EG32144"/>
      <c r="EH32144"/>
      <c r="EI32144"/>
      <c r="EJ32144"/>
      <c r="EK32144"/>
    </row>
    <row r="32145" spans="1:141" s="116" customFormat="1">
      <c r="A32145" s="136"/>
      <c r="CM32145" s="111"/>
      <c r="CQ32145" s="111"/>
      <c r="EF32145"/>
      <c r="EG32145"/>
      <c r="EH32145"/>
      <c r="EI32145"/>
      <c r="EJ32145"/>
      <c r="EK32145"/>
    </row>
    <row r="32146" spans="1:141" s="116" customFormat="1">
      <c r="A32146" s="136"/>
      <c r="CM32146" s="111"/>
      <c r="CQ32146" s="111"/>
      <c r="EF32146"/>
      <c r="EG32146"/>
      <c r="EH32146"/>
      <c r="EI32146"/>
      <c r="EJ32146"/>
      <c r="EK32146"/>
    </row>
    <row r="32147" spans="1:141" s="116" customFormat="1">
      <c r="A32147" s="136"/>
      <c r="CM32147" s="111"/>
      <c r="CQ32147" s="111"/>
      <c r="EF32147"/>
      <c r="EG32147"/>
      <c r="EH32147"/>
      <c r="EI32147"/>
      <c r="EJ32147"/>
      <c r="EK32147"/>
    </row>
    <row r="32148" spans="1:141" s="116" customFormat="1">
      <c r="A32148" s="136"/>
      <c r="CM32148" s="111"/>
      <c r="CQ32148" s="111"/>
      <c r="EF32148"/>
      <c r="EG32148"/>
      <c r="EH32148"/>
      <c r="EI32148"/>
      <c r="EJ32148"/>
      <c r="EK32148"/>
    </row>
    <row r="32149" spans="1:141" s="116" customFormat="1">
      <c r="A32149" s="136"/>
      <c r="CM32149" s="111"/>
      <c r="CQ32149" s="111"/>
      <c r="EF32149"/>
      <c r="EG32149"/>
      <c r="EH32149"/>
      <c r="EI32149"/>
      <c r="EJ32149"/>
      <c r="EK32149"/>
    </row>
    <row r="32150" spans="1:141" s="116" customFormat="1">
      <c r="A32150" s="136"/>
      <c r="CM32150" s="111"/>
      <c r="CQ32150" s="111"/>
      <c r="EF32150"/>
      <c r="EG32150"/>
      <c r="EH32150"/>
      <c r="EI32150"/>
      <c r="EJ32150"/>
      <c r="EK32150"/>
    </row>
    <row r="32151" spans="1:141" s="116" customFormat="1">
      <c r="A32151" s="136"/>
      <c r="CM32151" s="111"/>
      <c r="CQ32151" s="111"/>
      <c r="EF32151"/>
      <c r="EG32151"/>
      <c r="EH32151"/>
      <c r="EI32151"/>
      <c r="EJ32151"/>
      <c r="EK32151"/>
    </row>
    <row r="32152" spans="1:141" s="116" customFormat="1">
      <c r="A32152" s="136"/>
      <c r="CM32152" s="111"/>
      <c r="CQ32152" s="111"/>
      <c r="EF32152"/>
      <c r="EG32152"/>
      <c r="EH32152"/>
      <c r="EI32152"/>
      <c r="EJ32152"/>
      <c r="EK32152"/>
    </row>
    <row r="32153" spans="1:141" s="116" customFormat="1">
      <c r="A32153" s="136"/>
      <c r="CM32153" s="111"/>
      <c r="CQ32153" s="111"/>
      <c r="EF32153"/>
      <c r="EG32153"/>
      <c r="EH32153"/>
      <c r="EI32153"/>
      <c r="EJ32153"/>
      <c r="EK32153"/>
    </row>
    <row r="32154" spans="1:141" s="116" customFormat="1">
      <c r="A32154" s="136"/>
      <c r="CM32154" s="111"/>
      <c r="CQ32154" s="111"/>
      <c r="EF32154"/>
      <c r="EG32154"/>
      <c r="EH32154"/>
      <c r="EI32154"/>
      <c r="EJ32154"/>
      <c r="EK32154"/>
    </row>
    <row r="32155" spans="1:141" s="116" customFormat="1">
      <c r="A32155" s="136"/>
      <c r="CM32155" s="111"/>
      <c r="CQ32155" s="111"/>
      <c r="EF32155"/>
      <c r="EG32155"/>
      <c r="EH32155"/>
      <c r="EI32155"/>
      <c r="EJ32155"/>
      <c r="EK32155"/>
    </row>
    <row r="32156" spans="1:141" s="116" customFormat="1">
      <c r="A32156" s="136"/>
      <c r="CM32156" s="111"/>
      <c r="CQ32156" s="111"/>
      <c r="EF32156"/>
      <c r="EG32156"/>
      <c r="EH32156"/>
      <c r="EI32156"/>
      <c r="EJ32156"/>
      <c r="EK32156"/>
    </row>
    <row r="32157" spans="1:141" s="116" customFormat="1">
      <c r="A32157" s="136"/>
      <c r="CM32157" s="111"/>
      <c r="CQ32157" s="111"/>
      <c r="EF32157"/>
      <c r="EG32157"/>
      <c r="EH32157"/>
      <c r="EI32157"/>
      <c r="EJ32157"/>
      <c r="EK32157"/>
    </row>
    <row r="32158" spans="1:141" s="116" customFormat="1">
      <c r="A32158" s="136"/>
      <c r="CM32158" s="111"/>
      <c r="CQ32158" s="111"/>
      <c r="EF32158"/>
      <c r="EG32158"/>
      <c r="EH32158"/>
      <c r="EI32158"/>
      <c r="EJ32158"/>
      <c r="EK32158"/>
    </row>
    <row r="32159" spans="1:141" s="116" customFormat="1">
      <c r="A32159" s="136"/>
      <c r="CM32159" s="111"/>
      <c r="CQ32159" s="111"/>
      <c r="EF32159"/>
      <c r="EG32159"/>
      <c r="EH32159"/>
      <c r="EI32159"/>
      <c r="EJ32159"/>
      <c r="EK32159"/>
    </row>
    <row r="32160" spans="1:141" s="116" customFormat="1">
      <c r="A32160" s="136"/>
      <c r="CM32160" s="111"/>
      <c r="CQ32160" s="111"/>
      <c r="EF32160"/>
      <c r="EG32160"/>
      <c r="EH32160"/>
      <c r="EI32160"/>
      <c r="EJ32160"/>
      <c r="EK32160"/>
    </row>
    <row r="32161" spans="1:141" s="116" customFormat="1">
      <c r="A32161" s="136"/>
      <c r="CM32161" s="111"/>
      <c r="CQ32161" s="111"/>
      <c r="EF32161"/>
      <c r="EG32161"/>
      <c r="EH32161"/>
      <c r="EI32161"/>
      <c r="EJ32161"/>
      <c r="EK32161"/>
    </row>
    <row r="32162" spans="1:141" s="116" customFormat="1">
      <c r="A32162" s="136"/>
      <c r="CM32162" s="111"/>
      <c r="CQ32162" s="111"/>
      <c r="EF32162"/>
      <c r="EG32162"/>
      <c r="EH32162"/>
      <c r="EI32162"/>
      <c r="EJ32162"/>
      <c r="EK32162"/>
    </row>
    <row r="32163" spans="1:141" s="116" customFormat="1">
      <c r="A32163" s="136"/>
      <c r="CM32163" s="111"/>
      <c r="CQ32163" s="111"/>
      <c r="EF32163"/>
      <c r="EG32163"/>
      <c r="EH32163"/>
      <c r="EI32163"/>
      <c r="EJ32163"/>
      <c r="EK32163"/>
    </row>
    <row r="32164" spans="1:141" s="116" customFormat="1">
      <c r="A32164" s="136"/>
      <c r="CM32164" s="111"/>
      <c r="CQ32164" s="111"/>
      <c r="EF32164"/>
      <c r="EG32164"/>
      <c r="EH32164"/>
      <c r="EI32164"/>
      <c r="EJ32164"/>
      <c r="EK32164"/>
    </row>
    <row r="32165" spans="1:141" s="116" customFormat="1">
      <c r="A32165" s="136"/>
      <c r="CM32165" s="111"/>
      <c r="CQ32165" s="111"/>
      <c r="EF32165"/>
      <c r="EG32165"/>
      <c r="EH32165"/>
      <c r="EI32165"/>
      <c r="EJ32165"/>
      <c r="EK32165"/>
    </row>
    <row r="32166" spans="1:141" s="116" customFormat="1">
      <c r="A32166" s="136"/>
      <c r="CM32166" s="111"/>
      <c r="CQ32166" s="111"/>
      <c r="EF32166"/>
      <c r="EG32166"/>
      <c r="EH32166"/>
      <c r="EI32166"/>
      <c r="EJ32166"/>
      <c r="EK32166"/>
    </row>
    <row r="32167" spans="1:141" s="116" customFormat="1">
      <c r="A32167" s="136"/>
      <c r="CM32167" s="111"/>
      <c r="CQ32167" s="111"/>
      <c r="EF32167"/>
      <c r="EG32167"/>
      <c r="EH32167"/>
      <c r="EI32167"/>
      <c r="EJ32167"/>
      <c r="EK32167"/>
    </row>
    <row r="32168" spans="1:141" s="116" customFormat="1">
      <c r="A32168" s="136"/>
      <c r="CM32168" s="111"/>
      <c r="CQ32168" s="111"/>
      <c r="EF32168"/>
      <c r="EG32168"/>
      <c r="EH32168"/>
      <c r="EI32168"/>
      <c r="EJ32168"/>
      <c r="EK32168"/>
    </row>
    <row r="32169" spans="1:141" s="116" customFormat="1">
      <c r="A32169" s="136"/>
      <c r="CM32169" s="111"/>
      <c r="CQ32169" s="111"/>
      <c r="EF32169"/>
      <c r="EG32169"/>
      <c r="EH32169"/>
      <c r="EI32169"/>
      <c r="EJ32169"/>
      <c r="EK32169"/>
    </row>
    <row r="32170" spans="1:141" s="116" customFormat="1">
      <c r="A32170" s="136"/>
      <c r="CM32170" s="111"/>
      <c r="CQ32170" s="111"/>
      <c r="EF32170"/>
      <c r="EG32170"/>
      <c r="EH32170"/>
      <c r="EI32170"/>
      <c r="EJ32170"/>
      <c r="EK32170"/>
    </row>
    <row r="32171" spans="1:141" s="116" customFormat="1">
      <c r="A32171" s="136"/>
      <c r="CM32171" s="111"/>
      <c r="CQ32171" s="111"/>
      <c r="EF32171"/>
      <c r="EG32171"/>
      <c r="EH32171"/>
      <c r="EI32171"/>
      <c r="EJ32171"/>
      <c r="EK32171"/>
    </row>
    <row r="32172" spans="1:141" s="116" customFormat="1">
      <c r="A32172" s="136"/>
      <c r="CM32172" s="111"/>
      <c r="CQ32172" s="111"/>
      <c r="EF32172"/>
      <c r="EG32172"/>
      <c r="EH32172"/>
      <c r="EI32172"/>
      <c r="EJ32172"/>
      <c r="EK32172"/>
    </row>
    <row r="32173" spans="1:141" s="116" customFormat="1">
      <c r="A32173" s="136"/>
      <c r="CM32173" s="111"/>
      <c r="CQ32173" s="111"/>
      <c r="EF32173"/>
      <c r="EG32173"/>
      <c r="EH32173"/>
      <c r="EI32173"/>
      <c r="EJ32173"/>
      <c r="EK32173"/>
    </row>
    <row r="32174" spans="1:141" s="116" customFormat="1">
      <c r="A32174" s="136"/>
      <c r="CM32174" s="111"/>
      <c r="CQ32174" s="111"/>
      <c r="EF32174"/>
      <c r="EG32174"/>
      <c r="EH32174"/>
      <c r="EI32174"/>
      <c r="EJ32174"/>
      <c r="EK32174"/>
    </row>
    <row r="32175" spans="1:141" s="116" customFormat="1">
      <c r="A32175" s="136"/>
      <c r="CM32175" s="111"/>
      <c r="CQ32175" s="111"/>
      <c r="EF32175"/>
      <c r="EG32175"/>
      <c r="EH32175"/>
      <c r="EI32175"/>
      <c r="EJ32175"/>
      <c r="EK32175"/>
    </row>
    <row r="32176" spans="1:141" s="116" customFormat="1">
      <c r="A32176" s="136"/>
      <c r="CM32176" s="111"/>
      <c r="CQ32176" s="111"/>
      <c r="EF32176"/>
      <c r="EG32176"/>
      <c r="EH32176"/>
      <c r="EI32176"/>
      <c r="EJ32176"/>
      <c r="EK32176"/>
    </row>
    <row r="32177" spans="1:141" s="116" customFormat="1">
      <c r="A32177" s="136"/>
      <c r="CM32177" s="111"/>
      <c r="CQ32177" s="111"/>
      <c r="EF32177"/>
      <c r="EG32177"/>
      <c r="EH32177"/>
      <c r="EI32177"/>
      <c r="EJ32177"/>
      <c r="EK32177"/>
    </row>
    <row r="32178" spans="1:141" s="116" customFormat="1">
      <c r="A32178" s="136"/>
      <c r="CM32178" s="111"/>
      <c r="CQ32178" s="111"/>
      <c r="EF32178"/>
      <c r="EG32178"/>
      <c r="EH32178"/>
      <c r="EI32178"/>
      <c r="EJ32178"/>
      <c r="EK32178"/>
    </row>
    <row r="32179" spans="1:141" s="116" customFormat="1">
      <c r="A32179" s="136"/>
      <c r="CM32179" s="111"/>
      <c r="CQ32179" s="111"/>
      <c r="EF32179"/>
      <c r="EG32179"/>
      <c r="EH32179"/>
      <c r="EI32179"/>
      <c r="EJ32179"/>
      <c r="EK32179"/>
    </row>
    <row r="32180" spans="1:141" s="116" customFormat="1">
      <c r="A32180" s="136"/>
      <c r="CM32180" s="111"/>
      <c r="CQ32180" s="111"/>
      <c r="EF32180"/>
      <c r="EG32180"/>
      <c r="EH32180"/>
      <c r="EI32180"/>
      <c r="EJ32180"/>
      <c r="EK32180"/>
    </row>
    <row r="32181" spans="1:141" s="116" customFormat="1">
      <c r="A32181" s="136"/>
      <c r="CM32181" s="111"/>
      <c r="CQ32181" s="111"/>
      <c r="EF32181"/>
      <c r="EG32181"/>
      <c r="EH32181"/>
      <c r="EI32181"/>
      <c r="EJ32181"/>
      <c r="EK32181"/>
    </row>
    <row r="32182" spans="1:141" s="116" customFormat="1">
      <c r="A32182" s="136"/>
      <c r="CM32182" s="111"/>
      <c r="CQ32182" s="111"/>
      <c r="EF32182"/>
      <c r="EG32182"/>
      <c r="EH32182"/>
      <c r="EI32182"/>
      <c r="EJ32182"/>
      <c r="EK32182"/>
    </row>
    <row r="32183" spans="1:141" s="116" customFormat="1">
      <c r="A32183" s="136"/>
      <c r="CM32183" s="111"/>
      <c r="CQ32183" s="111"/>
      <c r="EF32183"/>
      <c r="EG32183"/>
      <c r="EH32183"/>
      <c r="EI32183"/>
      <c r="EJ32183"/>
      <c r="EK32183"/>
    </row>
    <row r="32184" spans="1:141" s="116" customFormat="1">
      <c r="A32184" s="136"/>
      <c r="CM32184" s="111"/>
      <c r="CQ32184" s="111"/>
      <c r="EF32184"/>
      <c r="EG32184"/>
      <c r="EH32184"/>
      <c r="EI32184"/>
      <c r="EJ32184"/>
      <c r="EK32184"/>
    </row>
    <row r="32185" spans="1:141" s="116" customFormat="1">
      <c r="A32185" s="136"/>
      <c r="CM32185" s="111"/>
      <c r="CQ32185" s="111"/>
      <c r="EF32185"/>
      <c r="EG32185"/>
      <c r="EH32185"/>
      <c r="EI32185"/>
      <c r="EJ32185"/>
      <c r="EK32185"/>
    </row>
    <row r="32186" spans="1:141" s="116" customFormat="1">
      <c r="A32186" s="136"/>
      <c r="CM32186" s="111"/>
      <c r="CQ32186" s="111"/>
      <c r="EF32186"/>
      <c r="EG32186"/>
      <c r="EH32186"/>
      <c r="EI32186"/>
      <c r="EJ32186"/>
      <c r="EK32186"/>
    </row>
    <row r="32187" spans="1:141" s="116" customFormat="1">
      <c r="A32187" s="136"/>
      <c r="CM32187" s="111"/>
      <c r="CQ32187" s="111"/>
      <c r="EF32187"/>
      <c r="EG32187"/>
      <c r="EH32187"/>
      <c r="EI32187"/>
      <c r="EJ32187"/>
      <c r="EK32187"/>
    </row>
    <row r="32188" spans="1:141" s="116" customFormat="1">
      <c r="A32188" s="136"/>
      <c r="CM32188" s="111"/>
      <c r="CQ32188" s="111"/>
      <c r="EF32188"/>
      <c r="EG32188"/>
      <c r="EH32188"/>
      <c r="EI32188"/>
      <c r="EJ32188"/>
      <c r="EK32188"/>
    </row>
    <row r="32189" spans="1:141" s="116" customFormat="1">
      <c r="A32189" s="136"/>
      <c r="CM32189" s="111"/>
      <c r="CQ32189" s="111"/>
      <c r="EF32189"/>
      <c r="EG32189"/>
      <c r="EH32189"/>
      <c r="EI32189"/>
      <c r="EJ32189"/>
      <c r="EK32189"/>
    </row>
    <row r="32190" spans="1:141" s="116" customFormat="1">
      <c r="A32190" s="136"/>
      <c r="CM32190" s="111"/>
      <c r="CQ32190" s="111"/>
      <c r="EF32190"/>
      <c r="EG32190"/>
      <c r="EH32190"/>
      <c r="EI32190"/>
      <c r="EJ32190"/>
      <c r="EK32190"/>
    </row>
    <row r="32191" spans="1:141" s="116" customFormat="1">
      <c r="A32191" s="136"/>
      <c r="CM32191" s="111"/>
      <c r="CQ32191" s="111"/>
      <c r="EF32191"/>
      <c r="EG32191"/>
      <c r="EH32191"/>
      <c r="EI32191"/>
      <c r="EJ32191"/>
      <c r="EK32191"/>
    </row>
    <row r="32192" spans="1:141" s="116" customFormat="1">
      <c r="A32192" s="136"/>
      <c r="CM32192" s="111"/>
      <c r="CQ32192" s="111"/>
      <c r="EF32192"/>
      <c r="EG32192"/>
      <c r="EH32192"/>
      <c r="EI32192"/>
      <c r="EJ32192"/>
      <c r="EK32192"/>
    </row>
    <row r="32193" spans="1:141" s="116" customFormat="1">
      <c r="A32193" s="136"/>
      <c r="CM32193" s="111"/>
      <c r="CQ32193" s="111"/>
      <c r="EF32193"/>
      <c r="EG32193"/>
      <c r="EH32193"/>
      <c r="EI32193"/>
      <c r="EJ32193"/>
      <c r="EK32193"/>
    </row>
    <row r="32194" spans="1:141" s="116" customFormat="1">
      <c r="A32194" s="136"/>
      <c r="CM32194" s="111"/>
      <c r="CQ32194" s="111"/>
      <c r="EF32194"/>
      <c r="EG32194"/>
      <c r="EH32194"/>
      <c r="EI32194"/>
      <c r="EJ32194"/>
      <c r="EK32194"/>
    </row>
    <row r="32195" spans="1:141" s="116" customFormat="1">
      <c r="A32195" s="136"/>
      <c r="CM32195" s="111"/>
      <c r="CQ32195" s="111"/>
      <c r="EF32195"/>
      <c r="EG32195"/>
      <c r="EH32195"/>
      <c r="EI32195"/>
      <c r="EJ32195"/>
      <c r="EK32195"/>
    </row>
    <row r="32196" spans="1:141" s="116" customFormat="1">
      <c r="A32196" s="136"/>
      <c r="CM32196" s="111"/>
      <c r="CQ32196" s="111"/>
      <c r="EF32196"/>
      <c r="EG32196"/>
      <c r="EH32196"/>
      <c r="EI32196"/>
      <c r="EJ32196"/>
      <c r="EK32196"/>
    </row>
    <row r="32197" spans="1:141" s="116" customFormat="1">
      <c r="A32197" s="136"/>
      <c r="CM32197" s="111"/>
      <c r="CQ32197" s="111"/>
      <c r="EF32197"/>
      <c r="EG32197"/>
      <c r="EH32197"/>
      <c r="EI32197"/>
      <c r="EJ32197"/>
      <c r="EK32197"/>
    </row>
    <row r="32198" spans="1:141" s="116" customFormat="1">
      <c r="A32198" s="136"/>
      <c r="CM32198" s="111"/>
      <c r="CQ32198" s="111"/>
      <c r="EF32198"/>
      <c r="EG32198"/>
      <c r="EH32198"/>
      <c r="EI32198"/>
      <c r="EJ32198"/>
      <c r="EK32198"/>
    </row>
    <row r="32199" spans="1:141" s="116" customFormat="1">
      <c r="A32199" s="136"/>
      <c r="CM32199" s="111"/>
      <c r="CQ32199" s="111"/>
      <c r="EF32199"/>
      <c r="EG32199"/>
      <c r="EH32199"/>
      <c r="EI32199"/>
      <c r="EJ32199"/>
      <c r="EK32199"/>
    </row>
    <row r="32200" spans="1:141" s="116" customFormat="1">
      <c r="A32200" s="136"/>
      <c r="CM32200" s="111"/>
      <c r="CQ32200" s="111"/>
      <c r="EF32200"/>
      <c r="EG32200"/>
      <c r="EH32200"/>
      <c r="EI32200"/>
      <c r="EJ32200"/>
      <c r="EK32200"/>
    </row>
    <row r="32201" spans="1:141" s="116" customFormat="1">
      <c r="A32201" s="136"/>
      <c r="CM32201" s="111"/>
      <c r="CQ32201" s="111"/>
      <c r="EF32201"/>
      <c r="EG32201"/>
      <c r="EH32201"/>
      <c r="EI32201"/>
      <c r="EJ32201"/>
      <c r="EK32201"/>
    </row>
    <row r="32202" spans="1:141" s="116" customFormat="1">
      <c r="A32202" s="136"/>
      <c r="CM32202" s="111"/>
      <c r="CQ32202" s="111"/>
      <c r="EF32202"/>
      <c r="EG32202"/>
      <c r="EH32202"/>
      <c r="EI32202"/>
      <c r="EJ32202"/>
      <c r="EK32202"/>
    </row>
    <row r="32203" spans="1:141" s="116" customFormat="1">
      <c r="A32203" s="136"/>
      <c r="CM32203" s="111"/>
      <c r="CQ32203" s="111"/>
      <c r="EF32203"/>
      <c r="EG32203"/>
      <c r="EH32203"/>
      <c r="EI32203"/>
      <c r="EJ32203"/>
      <c r="EK32203"/>
    </row>
    <row r="32204" spans="1:141" s="116" customFormat="1">
      <c r="A32204" s="136"/>
      <c r="CM32204" s="111"/>
      <c r="CQ32204" s="111"/>
      <c r="EF32204"/>
      <c r="EG32204"/>
      <c r="EH32204"/>
      <c r="EI32204"/>
      <c r="EJ32204"/>
      <c r="EK32204"/>
    </row>
    <row r="32205" spans="1:141" s="116" customFormat="1">
      <c r="A32205" s="136"/>
      <c r="CM32205" s="111"/>
      <c r="CQ32205" s="111"/>
      <c r="EF32205"/>
      <c r="EG32205"/>
      <c r="EH32205"/>
      <c r="EI32205"/>
      <c r="EJ32205"/>
      <c r="EK32205"/>
    </row>
    <row r="32206" spans="1:141" s="116" customFormat="1">
      <c r="A32206" s="136"/>
      <c r="CM32206" s="111"/>
      <c r="CQ32206" s="111"/>
      <c r="EF32206"/>
      <c r="EG32206"/>
      <c r="EH32206"/>
      <c r="EI32206"/>
      <c r="EJ32206"/>
      <c r="EK32206"/>
    </row>
    <row r="32207" spans="1:141" s="116" customFormat="1">
      <c r="A32207" s="136"/>
      <c r="CM32207" s="111"/>
      <c r="CQ32207" s="111"/>
      <c r="EF32207"/>
      <c r="EG32207"/>
      <c r="EH32207"/>
      <c r="EI32207"/>
      <c r="EJ32207"/>
      <c r="EK32207"/>
    </row>
    <row r="32208" spans="1:141" s="116" customFormat="1">
      <c r="A32208" s="136"/>
      <c r="CM32208" s="111"/>
      <c r="CQ32208" s="111"/>
      <c r="EF32208"/>
      <c r="EG32208"/>
      <c r="EH32208"/>
      <c r="EI32208"/>
      <c r="EJ32208"/>
      <c r="EK32208"/>
    </row>
    <row r="32209" spans="1:141" s="116" customFormat="1">
      <c r="A32209" s="136"/>
      <c r="CM32209" s="111"/>
      <c r="CQ32209" s="111"/>
      <c r="EF32209"/>
      <c r="EG32209"/>
      <c r="EH32209"/>
      <c r="EI32209"/>
      <c r="EJ32209"/>
      <c r="EK32209"/>
    </row>
    <row r="32210" spans="1:141" s="116" customFormat="1">
      <c r="A32210" s="136"/>
      <c r="CM32210" s="111"/>
      <c r="CQ32210" s="111"/>
      <c r="EF32210"/>
      <c r="EG32210"/>
      <c r="EH32210"/>
      <c r="EI32210"/>
      <c r="EJ32210"/>
      <c r="EK32210"/>
    </row>
    <row r="32211" spans="1:141" s="116" customFormat="1">
      <c r="A32211" s="136"/>
      <c r="CM32211" s="111"/>
      <c r="CQ32211" s="111"/>
      <c r="EF32211"/>
      <c r="EG32211"/>
      <c r="EH32211"/>
      <c r="EI32211"/>
      <c r="EJ32211"/>
      <c r="EK32211"/>
    </row>
    <row r="32212" spans="1:141" s="116" customFormat="1">
      <c r="A32212" s="136"/>
      <c r="CM32212" s="111"/>
      <c r="CQ32212" s="111"/>
      <c r="EF32212"/>
      <c r="EG32212"/>
      <c r="EH32212"/>
      <c r="EI32212"/>
      <c r="EJ32212"/>
      <c r="EK32212"/>
    </row>
    <row r="32213" spans="1:141" s="116" customFormat="1">
      <c r="A32213" s="136"/>
      <c r="CM32213" s="111"/>
      <c r="CQ32213" s="111"/>
      <c r="EF32213"/>
      <c r="EG32213"/>
      <c r="EH32213"/>
      <c r="EI32213"/>
      <c r="EJ32213"/>
      <c r="EK32213"/>
    </row>
    <row r="32214" spans="1:141" s="116" customFormat="1">
      <c r="A32214" s="136"/>
      <c r="CM32214" s="111"/>
      <c r="CQ32214" s="111"/>
      <c r="EF32214"/>
      <c r="EG32214"/>
      <c r="EH32214"/>
      <c r="EI32214"/>
      <c r="EJ32214"/>
      <c r="EK32214"/>
    </row>
    <row r="32215" spans="1:141" s="116" customFormat="1">
      <c r="A32215" s="136"/>
      <c r="CM32215" s="111"/>
      <c r="CQ32215" s="111"/>
      <c r="EF32215"/>
      <c r="EG32215"/>
      <c r="EH32215"/>
      <c r="EI32215"/>
      <c r="EJ32215"/>
      <c r="EK32215"/>
    </row>
    <row r="32216" spans="1:141" s="116" customFormat="1">
      <c r="A32216" s="136"/>
      <c r="CM32216" s="111"/>
      <c r="CQ32216" s="111"/>
      <c r="EF32216"/>
      <c r="EG32216"/>
      <c r="EH32216"/>
      <c r="EI32216"/>
      <c r="EJ32216"/>
      <c r="EK32216"/>
    </row>
    <row r="32217" spans="1:141" s="116" customFormat="1">
      <c r="A32217" s="136"/>
      <c r="CM32217" s="111"/>
      <c r="CQ32217" s="111"/>
      <c r="EF32217"/>
      <c r="EG32217"/>
      <c r="EH32217"/>
      <c r="EI32217"/>
      <c r="EJ32217"/>
      <c r="EK32217"/>
    </row>
    <row r="32218" spans="1:141" s="116" customFormat="1">
      <c r="A32218" s="136"/>
      <c r="CM32218" s="111"/>
      <c r="CQ32218" s="111"/>
      <c r="EF32218"/>
      <c r="EG32218"/>
      <c r="EH32218"/>
      <c r="EI32218"/>
      <c r="EJ32218"/>
      <c r="EK32218"/>
    </row>
    <row r="32219" spans="1:141" s="116" customFormat="1">
      <c r="A32219" s="136"/>
      <c r="CM32219" s="111"/>
      <c r="CQ32219" s="111"/>
      <c r="EF32219"/>
      <c r="EG32219"/>
      <c r="EH32219"/>
      <c r="EI32219"/>
      <c r="EJ32219"/>
      <c r="EK32219"/>
    </row>
    <row r="32220" spans="1:141" s="116" customFormat="1">
      <c r="A32220" s="136"/>
      <c r="CM32220" s="111"/>
      <c r="CQ32220" s="111"/>
      <c r="EF32220"/>
      <c r="EG32220"/>
      <c r="EH32220"/>
      <c r="EI32220"/>
      <c r="EJ32220"/>
      <c r="EK32220"/>
    </row>
    <row r="32221" spans="1:141" s="116" customFormat="1">
      <c r="A32221" s="136"/>
      <c r="CM32221" s="111"/>
      <c r="CQ32221" s="111"/>
      <c r="EF32221"/>
      <c r="EG32221"/>
      <c r="EH32221"/>
      <c r="EI32221"/>
      <c r="EJ32221"/>
      <c r="EK32221"/>
    </row>
    <row r="32222" spans="1:141" s="116" customFormat="1">
      <c r="A32222" s="136"/>
      <c r="CM32222" s="111"/>
      <c r="CQ32222" s="111"/>
      <c r="EF32222"/>
      <c r="EG32222"/>
      <c r="EH32222"/>
      <c r="EI32222"/>
      <c r="EJ32222"/>
      <c r="EK32222"/>
    </row>
    <row r="32223" spans="1:141" s="116" customFormat="1">
      <c r="A32223" s="136"/>
      <c r="CM32223" s="111"/>
      <c r="CQ32223" s="111"/>
      <c r="EF32223"/>
      <c r="EG32223"/>
      <c r="EH32223"/>
      <c r="EI32223"/>
      <c r="EJ32223"/>
      <c r="EK32223"/>
    </row>
    <row r="32224" spans="1:141" s="116" customFormat="1">
      <c r="A32224" s="136"/>
      <c r="CM32224" s="111"/>
      <c r="CQ32224" s="111"/>
      <c r="EF32224"/>
      <c r="EG32224"/>
      <c r="EH32224"/>
      <c r="EI32224"/>
      <c r="EJ32224"/>
      <c r="EK32224"/>
    </row>
    <row r="32225" spans="1:141" s="116" customFormat="1">
      <c r="A32225" s="136"/>
      <c r="CM32225" s="111"/>
      <c r="CQ32225" s="111"/>
      <c r="EF32225"/>
      <c r="EG32225"/>
      <c r="EH32225"/>
      <c r="EI32225"/>
      <c r="EJ32225"/>
      <c r="EK32225"/>
    </row>
    <row r="32226" spans="1:141" s="116" customFormat="1">
      <c r="A32226" s="136"/>
      <c r="CM32226" s="111"/>
      <c r="CQ32226" s="111"/>
      <c r="EF32226"/>
      <c r="EG32226"/>
      <c r="EH32226"/>
      <c r="EI32226"/>
      <c r="EJ32226"/>
      <c r="EK32226"/>
    </row>
    <row r="32227" spans="1:141" s="116" customFormat="1">
      <c r="A32227" s="136"/>
      <c r="CM32227" s="111"/>
      <c r="CQ32227" s="111"/>
      <c r="EF32227"/>
      <c r="EG32227"/>
      <c r="EH32227"/>
      <c r="EI32227"/>
      <c r="EJ32227"/>
      <c r="EK32227"/>
    </row>
    <row r="32228" spans="1:141" s="116" customFormat="1">
      <c r="A32228" s="136"/>
      <c r="CM32228" s="111"/>
      <c r="CQ32228" s="111"/>
      <c r="EF32228"/>
      <c r="EG32228"/>
      <c r="EH32228"/>
      <c r="EI32228"/>
      <c r="EJ32228"/>
      <c r="EK32228"/>
    </row>
    <row r="32229" spans="1:141" s="116" customFormat="1">
      <c r="A32229" s="136"/>
      <c r="CM32229" s="111"/>
      <c r="CQ32229" s="111"/>
      <c r="EF32229"/>
      <c r="EG32229"/>
      <c r="EH32229"/>
      <c r="EI32229"/>
      <c r="EJ32229"/>
      <c r="EK32229"/>
    </row>
    <row r="32230" spans="1:141" s="116" customFormat="1">
      <c r="A32230" s="136"/>
      <c r="CM32230" s="111"/>
      <c r="CQ32230" s="111"/>
      <c r="EF32230"/>
      <c r="EG32230"/>
      <c r="EH32230"/>
      <c r="EI32230"/>
      <c r="EJ32230"/>
      <c r="EK32230"/>
    </row>
    <row r="32231" spans="1:141" s="116" customFormat="1">
      <c r="A32231" s="136"/>
      <c r="CM32231" s="111"/>
      <c r="CQ32231" s="111"/>
      <c r="EF32231"/>
      <c r="EG32231"/>
      <c r="EH32231"/>
      <c r="EI32231"/>
      <c r="EJ32231"/>
      <c r="EK32231"/>
    </row>
    <row r="32232" spans="1:141" s="116" customFormat="1">
      <c r="A32232" s="136"/>
      <c r="CM32232" s="111"/>
      <c r="CQ32232" s="111"/>
      <c r="EF32232"/>
      <c r="EG32232"/>
      <c r="EH32232"/>
      <c r="EI32232"/>
      <c r="EJ32232"/>
      <c r="EK32232"/>
    </row>
    <row r="32233" spans="1:141" s="116" customFormat="1">
      <c r="A32233" s="136"/>
      <c r="CM32233" s="111"/>
      <c r="CQ32233" s="111"/>
      <c r="EF32233"/>
      <c r="EG32233"/>
      <c r="EH32233"/>
      <c r="EI32233"/>
      <c r="EJ32233"/>
      <c r="EK32233"/>
    </row>
    <row r="32234" spans="1:141" s="116" customFormat="1">
      <c r="A32234" s="136"/>
      <c r="CM32234" s="111"/>
      <c r="CQ32234" s="111"/>
      <c r="EF32234"/>
      <c r="EG32234"/>
      <c r="EH32234"/>
      <c r="EI32234"/>
      <c r="EJ32234"/>
      <c r="EK32234"/>
    </row>
    <row r="32235" spans="1:141" s="116" customFormat="1">
      <c r="A32235" s="136"/>
      <c r="CM32235" s="111"/>
      <c r="CQ32235" s="111"/>
      <c r="EF32235"/>
      <c r="EG32235"/>
      <c r="EH32235"/>
      <c r="EI32235"/>
      <c r="EJ32235"/>
      <c r="EK32235"/>
    </row>
    <row r="32236" spans="1:141" s="116" customFormat="1">
      <c r="A32236" s="136"/>
      <c r="CM32236" s="111"/>
      <c r="CQ32236" s="111"/>
      <c r="EF32236"/>
      <c r="EG32236"/>
      <c r="EH32236"/>
      <c r="EI32236"/>
      <c r="EJ32236"/>
      <c r="EK32236"/>
    </row>
    <row r="32237" spans="1:141" s="116" customFormat="1">
      <c r="A32237" s="136"/>
      <c r="CM32237" s="111"/>
      <c r="CQ32237" s="111"/>
      <c r="EF32237"/>
      <c r="EG32237"/>
      <c r="EH32237"/>
      <c r="EI32237"/>
      <c r="EJ32237"/>
      <c r="EK32237"/>
    </row>
    <row r="32238" spans="1:141" s="116" customFormat="1">
      <c r="A32238" s="136"/>
      <c r="CM32238" s="111"/>
      <c r="CQ32238" s="111"/>
      <c r="EF32238"/>
      <c r="EG32238"/>
      <c r="EH32238"/>
      <c r="EI32238"/>
      <c r="EJ32238"/>
      <c r="EK32238"/>
    </row>
    <row r="32239" spans="1:141" s="116" customFormat="1">
      <c r="A32239" s="136"/>
      <c r="CM32239" s="111"/>
      <c r="CQ32239" s="111"/>
      <c r="EF32239"/>
      <c r="EG32239"/>
      <c r="EH32239"/>
      <c r="EI32239"/>
      <c r="EJ32239"/>
      <c r="EK32239"/>
    </row>
    <row r="32240" spans="1:141" s="116" customFormat="1">
      <c r="A32240" s="136"/>
      <c r="CM32240" s="111"/>
      <c r="CQ32240" s="111"/>
      <c r="EF32240"/>
      <c r="EG32240"/>
      <c r="EH32240"/>
      <c r="EI32240"/>
      <c r="EJ32240"/>
      <c r="EK32240"/>
    </row>
    <row r="32241" spans="1:141" s="116" customFormat="1">
      <c r="A32241" s="136"/>
      <c r="CM32241" s="111"/>
      <c r="CQ32241" s="111"/>
      <c r="EF32241"/>
      <c r="EG32241"/>
      <c r="EH32241"/>
      <c r="EI32241"/>
      <c r="EJ32241"/>
      <c r="EK32241"/>
    </row>
    <row r="32242" spans="1:141" s="116" customFormat="1">
      <c r="A32242" s="136"/>
      <c r="CM32242" s="111"/>
      <c r="CQ32242" s="111"/>
      <c r="EF32242"/>
      <c r="EG32242"/>
      <c r="EH32242"/>
      <c r="EI32242"/>
      <c r="EJ32242"/>
      <c r="EK32242"/>
    </row>
    <row r="32243" spans="1:141" s="116" customFormat="1">
      <c r="A32243" s="136"/>
      <c r="CM32243" s="111"/>
      <c r="CQ32243" s="111"/>
      <c r="EF32243"/>
      <c r="EG32243"/>
      <c r="EH32243"/>
      <c r="EI32243"/>
      <c r="EJ32243"/>
      <c r="EK32243"/>
    </row>
    <row r="32244" spans="1:141" s="116" customFormat="1">
      <c r="A32244" s="136"/>
      <c r="CM32244" s="111"/>
      <c r="CQ32244" s="111"/>
      <c r="EF32244"/>
      <c r="EG32244"/>
      <c r="EH32244"/>
      <c r="EI32244"/>
      <c r="EJ32244"/>
      <c r="EK32244"/>
    </row>
    <row r="32245" spans="1:141" s="116" customFormat="1">
      <c r="A32245" s="136"/>
      <c r="CM32245" s="111"/>
      <c r="CQ32245" s="111"/>
      <c r="EF32245"/>
      <c r="EG32245"/>
      <c r="EH32245"/>
      <c r="EI32245"/>
      <c r="EJ32245"/>
      <c r="EK32245"/>
    </row>
    <row r="32246" spans="1:141" s="116" customFormat="1">
      <c r="A32246" s="136"/>
      <c r="CM32246" s="111"/>
      <c r="CQ32246" s="111"/>
      <c r="EF32246"/>
      <c r="EG32246"/>
      <c r="EH32246"/>
      <c r="EI32246"/>
      <c r="EJ32246"/>
      <c r="EK32246"/>
    </row>
    <row r="32247" spans="1:141" s="116" customFormat="1">
      <c r="A32247" s="136"/>
      <c r="CM32247" s="111"/>
      <c r="CQ32247" s="111"/>
      <c r="EF32247"/>
      <c r="EG32247"/>
      <c r="EH32247"/>
      <c r="EI32247"/>
      <c r="EJ32247"/>
      <c r="EK32247"/>
    </row>
    <row r="32248" spans="1:141" s="116" customFormat="1">
      <c r="A32248" s="136"/>
      <c r="CM32248" s="111"/>
      <c r="CQ32248" s="111"/>
      <c r="EF32248"/>
      <c r="EG32248"/>
      <c r="EH32248"/>
      <c r="EI32248"/>
      <c r="EJ32248"/>
      <c r="EK32248"/>
    </row>
    <row r="32249" spans="1:141" s="116" customFormat="1">
      <c r="A32249" s="136"/>
      <c r="CM32249" s="111"/>
      <c r="CQ32249" s="111"/>
      <c r="EF32249"/>
      <c r="EG32249"/>
      <c r="EH32249"/>
      <c r="EI32249"/>
      <c r="EJ32249"/>
      <c r="EK32249"/>
    </row>
    <row r="32250" spans="1:141" s="116" customFormat="1">
      <c r="A32250" s="136"/>
      <c r="CM32250" s="111"/>
      <c r="CQ32250" s="111"/>
      <c r="EF32250"/>
      <c r="EG32250"/>
      <c r="EH32250"/>
      <c r="EI32250"/>
      <c r="EJ32250"/>
      <c r="EK32250"/>
    </row>
    <row r="32251" spans="1:141" s="116" customFormat="1">
      <c r="A32251" s="136"/>
      <c r="CM32251" s="111"/>
      <c r="CQ32251" s="111"/>
      <c r="EF32251"/>
      <c r="EG32251"/>
      <c r="EH32251"/>
      <c r="EI32251"/>
      <c r="EJ32251"/>
      <c r="EK32251"/>
    </row>
    <row r="32252" spans="1:141" s="116" customFormat="1">
      <c r="A32252" s="136"/>
      <c r="CM32252" s="111"/>
      <c r="CQ32252" s="111"/>
      <c r="EF32252"/>
      <c r="EG32252"/>
      <c r="EH32252"/>
      <c r="EI32252"/>
      <c r="EJ32252"/>
      <c r="EK32252"/>
    </row>
    <row r="32253" spans="1:141" s="116" customFormat="1">
      <c r="A32253" s="136"/>
      <c r="CM32253" s="111"/>
      <c r="CQ32253" s="111"/>
      <c r="EF32253"/>
      <c r="EG32253"/>
      <c r="EH32253"/>
      <c r="EI32253"/>
      <c r="EJ32253"/>
      <c r="EK32253"/>
    </row>
    <row r="32254" spans="1:141" s="116" customFormat="1">
      <c r="A32254" s="136"/>
      <c r="CM32254" s="111"/>
      <c r="CQ32254" s="111"/>
      <c r="EF32254"/>
      <c r="EG32254"/>
      <c r="EH32254"/>
      <c r="EI32254"/>
      <c r="EJ32254"/>
      <c r="EK32254"/>
    </row>
    <row r="32255" spans="1:141" s="116" customFormat="1">
      <c r="A32255" s="136"/>
      <c r="CM32255" s="111"/>
      <c r="CQ32255" s="111"/>
      <c r="EF32255"/>
      <c r="EG32255"/>
      <c r="EH32255"/>
      <c r="EI32255"/>
      <c r="EJ32255"/>
      <c r="EK32255"/>
    </row>
    <row r="32256" spans="1:141" s="116" customFormat="1">
      <c r="A32256" s="136"/>
      <c r="CM32256" s="111"/>
      <c r="CQ32256" s="111"/>
      <c r="EF32256"/>
      <c r="EG32256"/>
      <c r="EH32256"/>
      <c r="EI32256"/>
      <c r="EJ32256"/>
      <c r="EK32256"/>
    </row>
    <row r="32257" spans="1:141" s="116" customFormat="1">
      <c r="A32257" s="136"/>
      <c r="CM32257" s="111"/>
      <c r="CQ32257" s="111"/>
      <c r="EF32257"/>
      <c r="EG32257"/>
      <c r="EH32257"/>
      <c r="EI32257"/>
      <c r="EJ32257"/>
      <c r="EK32257"/>
    </row>
    <row r="32258" spans="1:141" s="116" customFormat="1">
      <c r="A32258" s="136"/>
      <c r="CM32258" s="111"/>
      <c r="CQ32258" s="111"/>
      <c r="EF32258"/>
      <c r="EG32258"/>
      <c r="EH32258"/>
      <c r="EI32258"/>
      <c r="EJ32258"/>
      <c r="EK32258"/>
    </row>
    <row r="32259" spans="1:141" s="116" customFormat="1">
      <c r="A32259" s="136"/>
      <c r="CM32259" s="111"/>
      <c r="CQ32259" s="111"/>
      <c r="EF32259"/>
      <c r="EG32259"/>
      <c r="EH32259"/>
      <c r="EI32259"/>
      <c r="EJ32259"/>
      <c r="EK32259"/>
    </row>
    <row r="32260" spans="1:141" s="116" customFormat="1">
      <c r="A32260" s="136"/>
      <c r="CM32260" s="111"/>
      <c r="CQ32260" s="111"/>
      <c r="EF32260"/>
      <c r="EG32260"/>
      <c r="EH32260"/>
      <c r="EI32260"/>
      <c r="EJ32260"/>
      <c r="EK32260"/>
    </row>
    <row r="32261" spans="1:141" s="116" customFormat="1">
      <c r="A32261" s="136"/>
      <c r="CM32261" s="111"/>
      <c r="CQ32261" s="111"/>
      <c r="EF32261"/>
      <c r="EG32261"/>
      <c r="EH32261"/>
      <c r="EI32261"/>
      <c r="EJ32261"/>
      <c r="EK32261"/>
    </row>
    <row r="32262" spans="1:141" s="116" customFormat="1">
      <c r="A32262" s="136"/>
      <c r="CM32262" s="111"/>
      <c r="CQ32262" s="111"/>
      <c r="EF32262"/>
      <c r="EG32262"/>
      <c r="EH32262"/>
      <c r="EI32262"/>
      <c r="EJ32262"/>
      <c r="EK32262"/>
    </row>
    <row r="32263" spans="1:141" s="116" customFormat="1">
      <c r="A32263" s="136"/>
      <c r="CM32263" s="111"/>
      <c r="CQ32263" s="111"/>
      <c r="EF32263"/>
      <c r="EG32263"/>
      <c r="EH32263"/>
      <c r="EI32263"/>
      <c r="EJ32263"/>
      <c r="EK32263"/>
    </row>
    <row r="32264" spans="1:141" s="116" customFormat="1">
      <c r="A32264" s="136"/>
      <c r="CM32264" s="111"/>
      <c r="CQ32264" s="111"/>
      <c r="EF32264"/>
      <c r="EG32264"/>
      <c r="EH32264"/>
      <c r="EI32264"/>
      <c r="EJ32264"/>
      <c r="EK32264"/>
    </row>
    <row r="32265" spans="1:141" s="116" customFormat="1">
      <c r="A32265" s="136"/>
      <c r="CM32265" s="111"/>
      <c r="CQ32265" s="111"/>
      <c r="EF32265"/>
      <c r="EG32265"/>
      <c r="EH32265"/>
      <c r="EI32265"/>
      <c r="EJ32265"/>
      <c r="EK32265"/>
    </row>
    <row r="32266" spans="1:141" s="116" customFormat="1">
      <c r="A32266" s="136"/>
      <c r="CM32266" s="111"/>
      <c r="CQ32266" s="111"/>
      <c r="EF32266"/>
      <c r="EG32266"/>
      <c r="EH32266"/>
      <c r="EI32266"/>
      <c r="EJ32266"/>
      <c r="EK32266"/>
    </row>
    <row r="32267" spans="1:141" s="116" customFormat="1">
      <c r="A32267" s="136"/>
      <c r="CM32267" s="111"/>
      <c r="CQ32267" s="111"/>
      <c r="EF32267"/>
      <c r="EG32267"/>
      <c r="EH32267"/>
      <c r="EI32267"/>
      <c r="EJ32267"/>
      <c r="EK32267"/>
    </row>
    <row r="32268" spans="1:141" s="116" customFormat="1">
      <c r="A32268" s="136"/>
      <c r="CM32268" s="111"/>
      <c r="CQ32268" s="111"/>
      <c r="EF32268"/>
      <c r="EG32268"/>
      <c r="EH32268"/>
      <c r="EI32268"/>
      <c r="EJ32268"/>
      <c r="EK32268"/>
    </row>
    <row r="32269" spans="1:141" s="116" customFormat="1">
      <c r="A32269" s="136"/>
      <c r="CM32269" s="111"/>
      <c r="CQ32269" s="111"/>
      <c r="EF32269"/>
      <c r="EG32269"/>
      <c r="EH32269"/>
      <c r="EI32269"/>
      <c r="EJ32269"/>
      <c r="EK32269"/>
    </row>
    <row r="32270" spans="1:141" s="116" customFormat="1">
      <c r="A32270" s="136"/>
      <c r="CM32270" s="111"/>
      <c r="CQ32270" s="111"/>
      <c r="EF32270"/>
      <c r="EG32270"/>
      <c r="EH32270"/>
      <c r="EI32270"/>
      <c r="EJ32270"/>
      <c r="EK32270"/>
    </row>
    <row r="32271" spans="1:141" s="116" customFormat="1">
      <c r="A32271" s="136"/>
      <c r="CM32271" s="111"/>
      <c r="CQ32271" s="111"/>
      <c r="EF32271"/>
      <c r="EG32271"/>
      <c r="EH32271"/>
      <c r="EI32271"/>
      <c r="EJ32271"/>
      <c r="EK32271"/>
    </row>
    <row r="32272" spans="1:141" s="116" customFormat="1">
      <c r="A32272" s="136"/>
      <c r="CM32272" s="111"/>
      <c r="CQ32272" s="111"/>
      <c r="EF32272"/>
      <c r="EG32272"/>
      <c r="EH32272"/>
      <c r="EI32272"/>
      <c r="EJ32272"/>
      <c r="EK32272"/>
    </row>
    <row r="32273" spans="1:141" s="116" customFormat="1">
      <c r="A32273" s="136"/>
      <c r="CM32273" s="111"/>
      <c r="CQ32273" s="111"/>
      <c r="EF32273"/>
      <c r="EG32273"/>
      <c r="EH32273"/>
      <c r="EI32273"/>
      <c r="EJ32273"/>
      <c r="EK32273"/>
    </row>
    <row r="32274" spans="1:141" s="116" customFormat="1">
      <c r="A32274" s="136"/>
      <c r="CM32274" s="111"/>
      <c r="CQ32274" s="111"/>
      <c r="EF32274"/>
      <c r="EG32274"/>
      <c r="EH32274"/>
      <c r="EI32274"/>
      <c r="EJ32274"/>
      <c r="EK32274"/>
    </row>
    <row r="32275" spans="1:141" s="116" customFormat="1">
      <c r="A32275" s="136"/>
      <c r="CM32275" s="111"/>
      <c r="CQ32275" s="111"/>
      <c r="EF32275"/>
      <c r="EG32275"/>
      <c r="EH32275"/>
      <c r="EI32275"/>
      <c r="EJ32275"/>
      <c r="EK32275"/>
    </row>
    <row r="32276" spans="1:141" s="116" customFormat="1">
      <c r="A32276" s="136"/>
      <c r="CM32276" s="111"/>
      <c r="CQ32276" s="111"/>
      <c r="EF32276"/>
      <c r="EG32276"/>
      <c r="EH32276"/>
      <c r="EI32276"/>
      <c r="EJ32276"/>
      <c r="EK32276"/>
    </row>
    <row r="32277" spans="1:141" s="116" customFormat="1">
      <c r="A32277" s="136"/>
      <c r="CM32277" s="111"/>
      <c r="CQ32277" s="111"/>
      <c r="EF32277"/>
      <c r="EG32277"/>
      <c r="EH32277"/>
      <c r="EI32277"/>
      <c r="EJ32277"/>
      <c r="EK32277"/>
    </row>
    <row r="32278" spans="1:141" s="116" customFormat="1">
      <c r="A32278" s="136"/>
      <c r="CM32278" s="111"/>
      <c r="CQ32278" s="111"/>
      <c r="EF32278"/>
      <c r="EG32278"/>
      <c r="EH32278"/>
      <c r="EI32278"/>
      <c r="EJ32278"/>
      <c r="EK32278"/>
    </row>
    <row r="32279" spans="1:141" s="116" customFormat="1">
      <c r="A32279" s="136"/>
      <c r="CM32279" s="111"/>
      <c r="CQ32279" s="111"/>
      <c r="EF32279"/>
      <c r="EG32279"/>
      <c r="EH32279"/>
      <c r="EI32279"/>
      <c r="EJ32279"/>
      <c r="EK32279"/>
    </row>
    <row r="32280" spans="1:141" s="116" customFormat="1">
      <c r="A32280" s="136"/>
      <c r="CM32280" s="111"/>
      <c r="CQ32280" s="111"/>
      <c r="EF32280"/>
      <c r="EG32280"/>
      <c r="EH32280"/>
      <c r="EI32280"/>
      <c r="EJ32280"/>
      <c r="EK32280"/>
    </row>
    <row r="32281" spans="1:141" s="116" customFormat="1">
      <c r="A32281" s="136"/>
      <c r="CM32281" s="111"/>
      <c r="CQ32281" s="111"/>
      <c r="EF32281"/>
      <c r="EG32281"/>
      <c r="EH32281"/>
      <c r="EI32281"/>
      <c r="EJ32281"/>
      <c r="EK32281"/>
    </row>
    <row r="32282" spans="1:141" s="116" customFormat="1">
      <c r="A32282" s="136"/>
      <c r="CM32282" s="111"/>
      <c r="CQ32282" s="111"/>
      <c r="EF32282"/>
      <c r="EG32282"/>
      <c r="EH32282"/>
      <c r="EI32282"/>
      <c r="EJ32282"/>
      <c r="EK32282"/>
    </row>
    <row r="32283" spans="1:141" s="116" customFormat="1">
      <c r="A32283" s="136"/>
      <c r="CM32283" s="111"/>
      <c r="CQ32283" s="111"/>
      <c r="EF32283"/>
      <c r="EG32283"/>
      <c r="EH32283"/>
      <c r="EI32283"/>
      <c r="EJ32283"/>
      <c r="EK32283"/>
    </row>
    <row r="32284" spans="1:141" s="116" customFormat="1">
      <c r="A32284" s="136"/>
      <c r="CM32284" s="111"/>
      <c r="CQ32284" s="111"/>
      <c r="EF32284"/>
      <c r="EG32284"/>
      <c r="EH32284"/>
      <c r="EI32284"/>
      <c r="EJ32284"/>
      <c r="EK32284"/>
    </row>
    <row r="32285" spans="1:141" s="116" customFormat="1">
      <c r="A32285" s="136"/>
      <c r="CM32285" s="111"/>
      <c r="CQ32285" s="111"/>
      <c r="EF32285"/>
      <c r="EG32285"/>
      <c r="EH32285"/>
      <c r="EI32285"/>
      <c r="EJ32285"/>
      <c r="EK32285"/>
    </row>
    <row r="32286" spans="1:141" s="116" customFormat="1">
      <c r="A32286" s="136"/>
      <c r="CM32286" s="111"/>
      <c r="CQ32286" s="111"/>
      <c r="EF32286"/>
      <c r="EG32286"/>
      <c r="EH32286"/>
      <c r="EI32286"/>
      <c r="EJ32286"/>
      <c r="EK32286"/>
    </row>
    <row r="32287" spans="1:141" s="116" customFormat="1">
      <c r="A32287" s="136"/>
      <c r="CM32287" s="111"/>
      <c r="CQ32287" s="111"/>
      <c r="EF32287"/>
      <c r="EG32287"/>
      <c r="EH32287"/>
      <c r="EI32287"/>
      <c r="EJ32287"/>
      <c r="EK32287"/>
    </row>
    <row r="32288" spans="1:141" s="116" customFormat="1">
      <c r="A32288" s="136"/>
      <c r="CM32288" s="111"/>
      <c r="CQ32288" s="111"/>
      <c r="EF32288"/>
      <c r="EG32288"/>
      <c r="EH32288"/>
      <c r="EI32288"/>
      <c r="EJ32288"/>
      <c r="EK32288"/>
    </row>
    <row r="32289" spans="1:141" s="116" customFormat="1">
      <c r="A32289" s="136"/>
      <c r="CM32289" s="111"/>
      <c r="CQ32289" s="111"/>
      <c r="EF32289"/>
      <c r="EG32289"/>
      <c r="EH32289"/>
      <c r="EI32289"/>
      <c r="EJ32289"/>
      <c r="EK32289"/>
    </row>
    <row r="32290" spans="1:141" s="116" customFormat="1">
      <c r="A32290" s="136"/>
      <c r="CM32290" s="111"/>
      <c r="CQ32290" s="111"/>
      <c r="EF32290"/>
      <c r="EG32290"/>
      <c r="EH32290"/>
      <c r="EI32290"/>
      <c r="EJ32290"/>
      <c r="EK32290"/>
    </row>
    <row r="32291" spans="1:141" s="116" customFormat="1">
      <c r="A32291" s="136"/>
      <c r="CM32291" s="111"/>
      <c r="CQ32291" s="111"/>
      <c r="EF32291"/>
      <c r="EG32291"/>
      <c r="EH32291"/>
      <c r="EI32291"/>
      <c r="EJ32291"/>
      <c r="EK32291"/>
    </row>
    <row r="32292" spans="1:141" s="116" customFormat="1">
      <c r="A32292" s="136"/>
      <c r="CM32292" s="111"/>
      <c r="CQ32292" s="111"/>
      <c r="EF32292"/>
      <c r="EG32292"/>
      <c r="EH32292"/>
      <c r="EI32292"/>
      <c r="EJ32292"/>
      <c r="EK32292"/>
    </row>
    <row r="32293" spans="1:141" s="116" customFormat="1">
      <c r="A32293" s="136"/>
      <c r="CM32293" s="111"/>
      <c r="CQ32293" s="111"/>
      <c r="EF32293"/>
      <c r="EG32293"/>
      <c r="EH32293"/>
      <c r="EI32293"/>
      <c r="EJ32293"/>
      <c r="EK32293"/>
    </row>
    <row r="32294" spans="1:141" s="116" customFormat="1">
      <c r="A32294" s="136"/>
      <c r="CM32294" s="111"/>
      <c r="CQ32294" s="111"/>
      <c r="EF32294"/>
      <c r="EG32294"/>
      <c r="EH32294"/>
      <c r="EI32294"/>
      <c r="EJ32294"/>
      <c r="EK32294"/>
    </row>
    <row r="32295" spans="1:141" s="116" customFormat="1">
      <c r="A32295" s="136"/>
      <c r="CM32295" s="111"/>
      <c r="CQ32295" s="111"/>
      <c r="EF32295"/>
      <c r="EG32295"/>
      <c r="EH32295"/>
      <c r="EI32295"/>
      <c r="EJ32295"/>
      <c r="EK32295"/>
    </row>
    <row r="32296" spans="1:141" s="116" customFormat="1">
      <c r="A32296" s="136"/>
      <c r="CM32296" s="111"/>
      <c r="CQ32296" s="111"/>
      <c r="EF32296"/>
      <c r="EG32296"/>
      <c r="EH32296"/>
      <c r="EI32296"/>
      <c r="EJ32296"/>
      <c r="EK32296"/>
    </row>
    <row r="32297" spans="1:141" s="116" customFormat="1">
      <c r="A32297" s="136"/>
      <c r="CM32297" s="111"/>
      <c r="CQ32297" s="111"/>
      <c r="EF32297"/>
      <c r="EG32297"/>
      <c r="EH32297"/>
      <c r="EI32297"/>
      <c r="EJ32297"/>
      <c r="EK32297"/>
    </row>
    <row r="32298" spans="1:141" s="116" customFormat="1">
      <c r="A32298" s="136"/>
      <c r="CM32298" s="111"/>
      <c r="CQ32298" s="111"/>
      <c r="EF32298"/>
      <c r="EG32298"/>
      <c r="EH32298"/>
      <c r="EI32298"/>
      <c r="EJ32298"/>
      <c r="EK32298"/>
    </row>
    <row r="32299" spans="1:141" s="116" customFormat="1">
      <c r="A32299" s="136"/>
      <c r="CM32299" s="111"/>
      <c r="CQ32299" s="111"/>
      <c r="EF32299"/>
      <c r="EG32299"/>
      <c r="EH32299"/>
      <c r="EI32299"/>
      <c r="EJ32299"/>
      <c r="EK32299"/>
    </row>
    <row r="32300" spans="1:141" s="116" customFormat="1">
      <c r="A32300" s="136"/>
      <c r="CM32300" s="111"/>
      <c r="CQ32300" s="111"/>
      <c r="EF32300"/>
      <c r="EG32300"/>
      <c r="EH32300"/>
      <c r="EI32300"/>
      <c r="EJ32300"/>
      <c r="EK32300"/>
    </row>
    <row r="32301" spans="1:141" s="116" customFormat="1">
      <c r="A32301" s="136"/>
      <c r="CM32301" s="111"/>
      <c r="CQ32301" s="111"/>
      <c r="EF32301"/>
      <c r="EG32301"/>
      <c r="EH32301"/>
      <c r="EI32301"/>
      <c r="EJ32301"/>
      <c r="EK32301"/>
    </row>
    <row r="32302" spans="1:141" s="116" customFormat="1">
      <c r="A32302" s="136"/>
      <c r="CM32302" s="111"/>
      <c r="CQ32302" s="111"/>
      <c r="EF32302"/>
      <c r="EG32302"/>
      <c r="EH32302"/>
      <c r="EI32302"/>
      <c r="EJ32302"/>
      <c r="EK32302"/>
    </row>
    <row r="32303" spans="1:141" s="116" customFormat="1">
      <c r="A32303" s="136"/>
      <c r="CM32303" s="111"/>
      <c r="CQ32303" s="111"/>
      <c r="EF32303"/>
      <c r="EG32303"/>
      <c r="EH32303"/>
      <c r="EI32303"/>
      <c r="EJ32303"/>
      <c r="EK32303"/>
    </row>
    <row r="32304" spans="1:141" s="116" customFormat="1">
      <c r="A32304" s="136"/>
      <c r="CM32304" s="111"/>
      <c r="CQ32304" s="111"/>
      <c r="EF32304"/>
      <c r="EG32304"/>
      <c r="EH32304"/>
      <c r="EI32304"/>
      <c r="EJ32304"/>
      <c r="EK32304"/>
    </row>
    <row r="32305" spans="1:141" s="116" customFormat="1">
      <c r="A32305" s="136"/>
      <c r="CM32305" s="111"/>
      <c r="CQ32305" s="111"/>
      <c r="EF32305"/>
      <c r="EG32305"/>
      <c r="EH32305"/>
      <c r="EI32305"/>
      <c r="EJ32305"/>
      <c r="EK32305"/>
    </row>
    <row r="32306" spans="1:141" s="116" customFormat="1">
      <c r="A32306" s="136"/>
      <c r="CM32306" s="111"/>
      <c r="CQ32306" s="111"/>
      <c r="EF32306"/>
      <c r="EG32306"/>
      <c r="EH32306"/>
      <c r="EI32306"/>
      <c r="EJ32306"/>
      <c r="EK32306"/>
    </row>
    <row r="32307" spans="1:141" s="116" customFormat="1">
      <c r="A32307" s="136"/>
      <c r="CM32307" s="111"/>
      <c r="CQ32307" s="111"/>
      <c r="EF32307"/>
      <c r="EG32307"/>
      <c r="EH32307"/>
      <c r="EI32307"/>
      <c r="EJ32307"/>
      <c r="EK32307"/>
    </row>
    <row r="32308" spans="1:141" s="116" customFormat="1">
      <c r="A32308" s="136"/>
      <c r="CM32308" s="111"/>
      <c r="CQ32308" s="111"/>
      <c r="EF32308"/>
      <c r="EG32308"/>
      <c r="EH32308"/>
      <c r="EI32308"/>
      <c r="EJ32308"/>
      <c r="EK32308"/>
    </row>
    <row r="32309" spans="1:141" s="116" customFormat="1">
      <c r="A32309" s="136"/>
      <c r="CM32309" s="111"/>
      <c r="CQ32309" s="111"/>
      <c r="EF32309"/>
      <c r="EG32309"/>
      <c r="EH32309"/>
      <c r="EI32309"/>
      <c r="EJ32309"/>
      <c r="EK32309"/>
    </row>
    <row r="32310" spans="1:141" s="116" customFormat="1">
      <c r="A32310" s="136"/>
      <c r="CM32310" s="111"/>
      <c r="CQ32310" s="111"/>
      <c r="EF32310"/>
      <c r="EG32310"/>
      <c r="EH32310"/>
      <c r="EI32310"/>
      <c r="EJ32310"/>
      <c r="EK32310"/>
    </row>
    <row r="32311" spans="1:141" s="116" customFormat="1">
      <c r="A32311" s="136"/>
      <c r="CM32311" s="111"/>
      <c r="CQ32311" s="111"/>
      <c r="EF32311"/>
      <c r="EG32311"/>
      <c r="EH32311"/>
      <c r="EI32311"/>
      <c r="EJ32311"/>
      <c r="EK32311"/>
    </row>
    <row r="32312" spans="1:141" s="116" customFormat="1">
      <c r="A32312" s="136"/>
      <c r="CM32312" s="111"/>
      <c r="CQ32312" s="111"/>
      <c r="EF32312"/>
      <c r="EG32312"/>
      <c r="EH32312"/>
      <c r="EI32312"/>
      <c r="EJ32312"/>
      <c r="EK32312"/>
    </row>
    <row r="32313" spans="1:141" s="116" customFormat="1">
      <c r="A32313" s="136"/>
      <c r="CM32313" s="111"/>
      <c r="CQ32313" s="111"/>
      <c r="EF32313"/>
      <c r="EG32313"/>
      <c r="EH32313"/>
      <c r="EI32313"/>
      <c r="EJ32313"/>
      <c r="EK32313"/>
    </row>
    <row r="32314" spans="1:141" s="116" customFormat="1">
      <c r="A32314" s="136"/>
      <c r="CM32314" s="111"/>
      <c r="CQ32314" s="111"/>
      <c r="EF32314"/>
      <c r="EG32314"/>
      <c r="EH32314"/>
      <c r="EI32314"/>
      <c r="EJ32314"/>
      <c r="EK32314"/>
    </row>
    <row r="32315" spans="1:141" s="116" customFormat="1">
      <c r="A32315" s="136"/>
      <c r="CM32315" s="111"/>
      <c r="CQ32315" s="111"/>
      <c r="EF32315"/>
      <c r="EG32315"/>
      <c r="EH32315"/>
      <c r="EI32315"/>
      <c r="EJ32315"/>
      <c r="EK32315"/>
    </row>
    <row r="32316" spans="1:141" s="116" customFormat="1">
      <c r="A32316" s="136"/>
      <c r="CM32316" s="111"/>
      <c r="CQ32316" s="111"/>
      <c r="EF32316"/>
      <c r="EG32316"/>
      <c r="EH32316"/>
      <c r="EI32316"/>
      <c r="EJ32316"/>
      <c r="EK32316"/>
    </row>
    <row r="32317" spans="1:141" s="116" customFormat="1">
      <c r="A32317" s="136"/>
      <c r="CM32317" s="111"/>
      <c r="CQ32317" s="111"/>
      <c r="EF32317"/>
      <c r="EG32317"/>
      <c r="EH32317"/>
      <c r="EI32317"/>
      <c r="EJ32317"/>
      <c r="EK32317"/>
    </row>
    <row r="32318" spans="1:141" s="116" customFormat="1">
      <c r="A32318" s="136"/>
      <c r="CM32318" s="111"/>
      <c r="CQ32318" s="111"/>
      <c r="EF32318"/>
      <c r="EG32318"/>
      <c r="EH32318"/>
      <c r="EI32318"/>
      <c r="EJ32318"/>
      <c r="EK32318"/>
    </row>
    <row r="32319" spans="1:141" s="116" customFormat="1">
      <c r="A32319" s="136"/>
      <c r="CM32319" s="111"/>
      <c r="CQ32319" s="111"/>
      <c r="EF32319"/>
      <c r="EG32319"/>
      <c r="EH32319"/>
      <c r="EI32319"/>
      <c r="EJ32319"/>
      <c r="EK32319"/>
    </row>
    <row r="32320" spans="1:141" s="116" customFormat="1">
      <c r="A32320" s="136"/>
      <c r="CM32320" s="111"/>
      <c r="CQ32320" s="111"/>
      <c r="EF32320"/>
      <c r="EG32320"/>
      <c r="EH32320"/>
      <c r="EI32320"/>
      <c r="EJ32320"/>
      <c r="EK32320"/>
    </row>
    <row r="32321" spans="1:141" s="116" customFormat="1">
      <c r="A32321" s="136"/>
      <c r="CM32321" s="111"/>
      <c r="CQ32321" s="111"/>
      <c r="EF32321"/>
      <c r="EG32321"/>
      <c r="EH32321"/>
      <c r="EI32321"/>
      <c r="EJ32321"/>
      <c r="EK32321"/>
    </row>
    <row r="32322" spans="1:141" s="116" customFormat="1">
      <c r="A32322" s="136"/>
      <c r="CM32322" s="111"/>
      <c r="CQ32322" s="111"/>
      <c r="EF32322"/>
      <c r="EG32322"/>
      <c r="EH32322"/>
      <c r="EI32322"/>
      <c r="EJ32322"/>
      <c r="EK32322"/>
    </row>
    <row r="32323" spans="1:141" s="116" customFormat="1">
      <c r="A32323" s="136"/>
      <c r="CM32323" s="111"/>
      <c r="CQ32323" s="111"/>
      <c r="EF32323"/>
      <c r="EG32323"/>
      <c r="EH32323"/>
      <c r="EI32323"/>
      <c r="EJ32323"/>
      <c r="EK32323"/>
    </row>
    <row r="32324" spans="1:141" s="116" customFormat="1">
      <c r="A32324" s="136"/>
      <c r="CM32324" s="111"/>
      <c r="CQ32324" s="111"/>
      <c r="EF32324"/>
      <c r="EG32324"/>
      <c r="EH32324"/>
      <c r="EI32324"/>
      <c r="EJ32324"/>
      <c r="EK32324"/>
    </row>
    <row r="32325" spans="1:141" s="116" customFormat="1">
      <c r="A32325" s="136"/>
      <c r="CM32325" s="111"/>
      <c r="CQ32325" s="111"/>
      <c r="EF32325"/>
      <c r="EG32325"/>
      <c r="EH32325"/>
      <c r="EI32325"/>
      <c r="EJ32325"/>
      <c r="EK32325"/>
    </row>
    <row r="32326" spans="1:141" s="116" customFormat="1">
      <c r="A32326" s="136"/>
      <c r="CM32326" s="111"/>
      <c r="CQ32326" s="111"/>
      <c r="EF32326"/>
      <c r="EG32326"/>
      <c r="EH32326"/>
      <c r="EI32326"/>
      <c r="EJ32326"/>
      <c r="EK32326"/>
    </row>
    <row r="32327" spans="1:141" s="116" customFormat="1">
      <c r="A32327" s="136"/>
      <c r="CM32327" s="111"/>
      <c r="CQ32327" s="111"/>
      <c r="EF32327"/>
      <c r="EG32327"/>
      <c r="EH32327"/>
      <c r="EI32327"/>
      <c r="EJ32327"/>
      <c r="EK32327"/>
    </row>
    <row r="32328" spans="1:141" s="116" customFormat="1">
      <c r="A32328" s="136"/>
      <c r="CM32328" s="111"/>
      <c r="CQ32328" s="111"/>
      <c r="EF32328"/>
      <c r="EG32328"/>
      <c r="EH32328"/>
      <c r="EI32328"/>
      <c r="EJ32328"/>
      <c r="EK32328"/>
    </row>
    <row r="32329" spans="1:141" s="116" customFormat="1">
      <c r="A32329" s="136"/>
      <c r="CM32329" s="111"/>
      <c r="CQ32329" s="111"/>
      <c r="EF32329"/>
      <c r="EG32329"/>
      <c r="EH32329"/>
      <c r="EI32329"/>
      <c r="EJ32329"/>
      <c r="EK32329"/>
    </row>
    <row r="32330" spans="1:141" s="116" customFormat="1">
      <c r="A32330" s="136"/>
      <c r="CM32330" s="111"/>
      <c r="CQ32330" s="111"/>
      <c r="EF32330"/>
      <c r="EG32330"/>
      <c r="EH32330"/>
      <c r="EI32330"/>
      <c r="EJ32330"/>
      <c r="EK32330"/>
    </row>
    <row r="32331" spans="1:141" s="116" customFormat="1">
      <c r="A32331" s="136"/>
      <c r="CM32331" s="111"/>
      <c r="CQ32331" s="111"/>
      <c r="EF32331"/>
      <c r="EG32331"/>
      <c r="EH32331"/>
      <c r="EI32331"/>
      <c r="EJ32331"/>
      <c r="EK32331"/>
    </row>
    <row r="32332" spans="1:141" s="116" customFormat="1">
      <c r="A32332" s="136"/>
      <c r="CM32332" s="111"/>
      <c r="CQ32332" s="111"/>
      <c r="EF32332"/>
      <c r="EG32332"/>
      <c r="EH32332"/>
      <c r="EI32332"/>
      <c r="EJ32332"/>
      <c r="EK32332"/>
    </row>
    <row r="32333" spans="1:141" s="116" customFormat="1">
      <c r="A32333" s="136"/>
      <c r="CM32333" s="111"/>
      <c r="CQ32333" s="111"/>
      <c r="EF32333"/>
      <c r="EG32333"/>
      <c r="EH32333"/>
      <c r="EI32333"/>
      <c r="EJ32333"/>
      <c r="EK32333"/>
    </row>
    <row r="32334" spans="1:141" s="116" customFormat="1">
      <c r="A32334" s="136"/>
      <c r="CM32334" s="111"/>
      <c r="CQ32334" s="111"/>
      <c r="EF32334"/>
      <c r="EG32334"/>
      <c r="EH32334"/>
      <c r="EI32334"/>
      <c r="EJ32334"/>
      <c r="EK32334"/>
    </row>
    <row r="32335" spans="1:141" s="116" customFormat="1">
      <c r="A32335" s="136"/>
      <c r="CM32335" s="111"/>
      <c r="CQ32335" s="111"/>
      <c r="EF32335"/>
      <c r="EG32335"/>
      <c r="EH32335"/>
      <c r="EI32335"/>
      <c r="EJ32335"/>
      <c r="EK32335"/>
    </row>
    <row r="32336" spans="1:141" s="116" customFormat="1">
      <c r="A32336" s="136"/>
      <c r="CM32336" s="111"/>
      <c r="CQ32336" s="111"/>
      <c r="EF32336"/>
      <c r="EG32336"/>
      <c r="EH32336"/>
      <c r="EI32336"/>
      <c r="EJ32336"/>
      <c r="EK32336"/>
    </row>
    <row r="32337" spans="1:141" s="116" customFormat="1">
      <c r="A32337" s="136"/>
      <c r="CM32337" s="111"/>
      <c r="CQ32337" s="111"/>
      <c r="EF32337"/>
      <c r="EG32337"/>
      <c r="EH32337"/>
      <c r="EI32337"/>
      <c r="EJ32337"/>
      <c r="EK32337"/>
    </row>
    <row r="32338" spans="1:141" s="116" customFormat="1">
      <c r="A32338" s="136"/>
      <c r="CM32338" s="111"/>
      <c r="CQ32338" s="111"/>
      <c r="EF32338"/>
      <c r="EG32338"/>
      <c r="EH32338"/>
      <c r="EI32338"/>
      <c r="EJ32338"/>
      <c r="EK32338"/>
    </row>
    <row r="32339" spans="1:141" s="116" customFormat="1">
      <c r="A32339" s="136"/>
      <c r="CM32339" s="111"/>
      <c r="CQ32339" s="111"/>
      <c r="EF32339"/>
      <c r="EG32339"/>
      <c r="EH32339"/>
      <c r="EI32339"/>
      <c r="EJ32339"/>
      <c r="EK32339"/>
    </row>
    <row r="32340" spans="1:141" s="116" customFormat="1">
      <c r="A32340" s="136"/>
      <c r="CM32340" s="111"/>
      <c r="CQ32340" s="111"/>
      <c r="EF32340"/>
      <c r="EG32340"/>
      <c r="EH32340"/>
      <c r="EI32340"/>
      <c r="EJ32340"/>
      <c r="EK32340"/>
    </row>
    <row r="32341" spans="1:141" s="116" customFormat="1">
      <c r="A32341" s="136"/>
      <c r="CM32341" s="111"/>
      <c r="CQ32341" s="111"/>
      <c r="EF32341"/>
      <c r="EG32341"/>
      <c r="EH32341"/>
      <c r="EI32341"/>
      <c r="EJ32341"/>
      <c r="EK32341"/>
    </row>
    <row r="32342" spans="1:141" s="116" customFormat="1">
      <c r="A32342" s="136"/>
      <c r="CM32342" s="111"/>
      <c r="CQ32342" s="111"/>
      <c r="EF32342"/>
      <c r="EG32342"/>
      <c r="EH32342"/>
      <c r="EI32342"/>
      <c r="EJ32342"/>
      <c r="EK32342"/>
    </row>
    <row r="32343" spans="1:141" s="116" customFormat="1">
      <c r="A32343" s="136"/>
      <c r="CM32343" s="111"/>
      <c r="CQ32343" s="111"/>
      <c r="EF32343"/>
      <c r="EG32343"/>
      <c r="EH32343"/>
      <c r="EI32343"/>
      <c r="EJ32343"/>
      <c r="EK32343"/>
    </row>
    <row r="32344" spans="1:141" s="116" customFormat="1">
      <c r="A32344" s="136"/>
      <c r="CM32344" s="111"/>
      <c r="CQ32344" s="111"/>
      <c r="EF32344"/>
      <c r="EG32344"/>
      <c r="EH32344"/>
      <c r="EI32344"/>
      <c r="EJ32344"/>
      <c r="EK32344"/>
    </row>
    <row r="32345" spans="1:141" s="116" customFormat="1">
      <c r="A32345" s="136"/>
      <c r="CM32345" s="111"/>
      <c r="CQ32345" s="111"/>
      <c r="EF32345"/>
      <c r="EG32345"/>
      <c r="EH32345"/>
      <c r="EI32345"/>
      <c r="EJ32345"/>
      <c r="EK32345"/>
    </row>
    <row r="32346" spans="1:141" s="116" customFormat="1">
      <c r="A32346" s="136"/>
      <c r="CM32346" s="111"/>
      <c r="CQ32346" s="111"/>
      <c r="EF32346"/>
      <c r="EG32346"/>
      <c r="EH32346"/>
      <c r="EI32346"/>
      <c r="EJ32346"/>
      <c r="EK32346"/>
    </row>
    <row r="32347" spans="1:141" s="116" customFormat="1">
      <c r="A32347" s="136"/>
      <c r="CM32347" s="111"/>
      <c r="CQ32347" s="111"/>
      <c r="EF32347"/>
      <c r="EG32347"/>
      <c r="EH32347"/>
      <c r="EI32347"/>
      <c r="EJ32347"/>
      <c r="EK32347"/>
    </row>
    <row r="32348" spans="1:141" s="116" customFormat="1">
      <c r="A32348" s="136"/>
      <c r="CM32348" s="111"/>
      <c r="CQ32348" s="111"/>
      <c r="EF32348"/>
      <c r="EG32348"/>
      <c r="EH32348"/>
      <c r="EI32348"/>
      <c r="EJ32348"/>
      <c r="EK32348"/>
    </row>
    <row r="32349" spans="1:141" s="116" customFormat="1">
      <c r="A32349" s="136"/>
      <c r="CM32349" s="111"/>
      <c r="CQ32349" s="111"/>
      <c r="EF32349"/>
      <c r="EG32349"/>
      <c r="EH32349"/>
      <c r="EI32349"/>
      <c r="EJ32349"/>
      <c r="EK32349"/>
    </row>
    <row r="32350" spans="1:141" s="116" customFormat="1">
      <c r="A32350" s="136"/>
      <c r="CM32350" s="111"/>
      <c r="CQ32350" s="111"/>
      <c r="EF32350"/>
      <c r="EG32350"/>
      <c r="EH32350"/>
      <c r="EI32350"/>
      <c r="EJ32350"/>
      <c r="EK32350"/>
    </row>
    <row r="32351" spans="1:141" s="116" customFormat="1">
      <c r="A32351" s="136"/>
      <c r="CM32351" s="111"/>
      <c r="CQ32351" s="111"/>
      <c r="EF32351"/>
      <c r="EG32351"/>
      <c r="EH32351"/>
      <c r="EI32351"/>
      <c r="EJ32351"/>
      <c r="EK32351"/>
    </row>
    <row r="32352" spans="1:141" s="116" customFormat="1">
      <c r="A32352" s="136"/>
      <c r="CM32352" s="111"/>
      <c r="CQ32352" s="111"/>
      <c r="EF32352"/>
      <c r="EG32352"/>
      <c r="EH32352"/>
      <c r="EI32352"/>
      <c r="EJ32352"/>
      <c r="EK32352"/>
    </row>
    <row r="32353" spans="1:141" s="116" customFormat="1">
      <c r="A32353" s="136"/>
      <c r="CM32353" s="111"/>
      <c r="CQ32353" s="111"/>
      <c r="EF32353"/>
      <c r="EG32353"/>
      <c r="EH32353"/>
      <c r="EI32353"/>
      <c r="EJ32353"/>
      <c r="EK32353"/>
    </row>
    <row r="32354" spans="1:141" s="116" customFormat="1">
      <c r="A32354" s="136"/>
      <c r="CM32354" s="111"/>
      <c r="CQ32354" s="111"/>
      <c r="EF32354"/>
      <c r="EG32354"/>
      <c r="EH32354"/>
      <c r="EI32354"/>
      <c r="EJ32354"/>
      <c r="EK32354"/>
    </row>
    <row r="32355" spans="1:141" s="116" customFormat="1">
      <c r="A32355" s="136"/>
      <c r="CM32355" s="111"/>
      <c r="CQ32355" s="111"/>
      <c r="EF32355"/>
      <c r="EG32355"/>
      <c r="EH32355"/>
      <c r="EI32355"/>
      <c r="EJ32355"/>
      <c r="EK32355"/>
    </row>
    <row r="32356" spans="1:141" s="116" customFormat="1">
      <c r="A32356" s="136"/>
      <c r="CM32356" s="111"/>
      <c r="CQ32356" s="111"/>
      <c r="EF32356"/>
      <c r="EG32356"/>
      <c r="EH32356"/>
      <c r="EI32356"/>
      <c r="EJ32356"/>
      <c r="EK32356"/>
    </row>
    <row r="32357" spans="1:141" s="116" customFormat="1">
      <c r="A32357" s="136"/>
      <c r="CM32357" s="111"/>
      <c r="CQ32357" s="111"/>
      <c r="EF32357"/>
      <c r="EG32357"/>
      <c r="EH32357"/>
      <c r="EI32357"/>
      <c r="EJ32357"/>
      <c r="EK32357"/>
    </row>
    <row r="32358" spans="1:141" s="116" customFormat="1">
      <c r="A32358" s="136"/>
      <c r="CM32358" s="111"/>
      <c r="CQ32358" s="111"/>
      <c r="EF32358"/>
      <c r="EG32358"/>
      <c r="EH32358"/>
      <c r="EI32358"/>
      <c r="EJ32358"/>
      <c r="EK32358"/>
    </row>
    <row r="32359" spans="1:141" s="116" customFormat="1">
      <c r="A32359" s="136"/>
      <c r="CM32359" s="111"/>
      <c r="CQ32359" s="111"/>
      <c r="EF32359"/>
      <c r="EG32359"/>
      <c r="EH32359"/>
      <c r="EI32359"/>
      <c r="EJ32359"/>
      <c r="EK32359"/>
    </row>
    <row r="32360" spans="1:141" s="116" customFormat="1">
      <c r="A32360" s="136"/>
      <c r="CM32360" s="111"/>
      <c r="CQ32360" s="111"/>
      <c r="EF32360"/>
      <c r="EG32360"/>
      <c r="EH32360"/>
      <c r="EI32360"/>
      <c r="EJ32360"/>
      <c r="EK32360"/>
    </row>
    <row r="32361" spans="1:141" s="116" customFormat="1">
      <c r="A32361" s="136"/>
      <c r="CM32361" s="111"/>
      <c r="CQ32361" s="111"/>
      <c r="EF32361"/>
      <c r="EG32361"/>
      <c r="EH32361"/>
      <c r="EI32361"/>
      <c r="EJ32361"/>
      <c r="EK32361"/>
    </row>
    <row r="32362" spans="1:141" s="116" customFormat="1">
      <c r="A32362" s="136"/>
      <c r="CM32362" s="111"/>
      <c r="CQ32362" s="111"/>
      <c r="EF32362"/>
      <c r="EG32362"/>
      <c r="EH32362"/>
      <c r="EI32362"/>
      <c r="EJ32362"/>
      <c r="EK32362"/>
    </row>
    <row r="32363" spans="1:141" s="116" customFormat="1">
      <c r="A32363" s="136"/>
      <c r="CM32363" s="111"/>
      <c r="CQ32363" s="111"/>
      <c r="EF32363"/>
      <c r="EG32363"/>
      <c r="EH32363"/>
      <c r="EI32363"/>
      <c r="EJ32363"/>
      <c r="EK32363"/>
    </row>
    <row r="32364" spans="1:141" s="116" customFormat="1">
      <c r="A32364" s="136"/>
      <c r="CM32364" s="111"/>
      <c r="CQ32364" s="111"/>
      <c r="EF32364"/>
      <c r="EG32364"/>
      <c r="EH32364"/>
      <c r="EI32364"/>
      <c r="EJ32364"/>
      <c r="EK32364"/>
    </row>
    <row r="32365" spans="1:141" s="116" customFormat="1">
      <c r="A32365" s="136"/>
      <c r="CM32365" s="111"/>
      <c r="CQ32365" s="111"/>
      <c r="EF32365"/>
      <c r="EG32365"/>
      <c r="EH32365"/>
      <c r="EI32365"/>
      <c r="EJ32365"/>
      <c r="EK32365"/>
    </row>
    <row r="32366" spans="1:141" s="116" customFormat="1">
      <c r="A32366" s="136"/>
      <c r="CM32366" s="111"/>
      <c r="CQ32366" s="111"/>
      <c r="EF32366"/>
      <c r="EG32366"/>
      <c r="EH32366"/>
      <c r="EI32366"/>
      <c r="EJ32366"/>
      <c r="EK32366"/>
    </row>
    <row r="32367" spans="1:141" s="116" customFormat="1">
      <c r="A32367" s="136"/>
      <c r="CM32367" s="111"/>
      <c r="CQ32367" s="111"/>
      <c r="EF32367"/>
      <c r="EG32367"/>
      <c r="EH32367"/>
      <c r="EI32367"/>
      <c r="EJ32367"/>
      <c r="EK32367"/>
    </row>
    <row r="32368" spans="1:141" s="116" customFormat="1">
      <c r="A32368" s="136"/>
      <c r="CM32368" s="111"/>
      <c r="CQ32368" s="111"/>
      <c r="EF32368"/>
      <c r="EG32368"/>
      <c r="EH32368"/>
      <c r="EI32368"/>
      <c r="EJ32368"/>
      <c r="EK32368"/>
    </row>
    <row r="32369" spans="1:141" s="116" customFormat="1">
      <c r="A32369" s="136"/>
      <c r="CM32369" s="111"/>
      <c r="CQ32369" s="111"/>
      <c r="EF32369"/>
      <c r="EG32369"/>
      <c r="EH32369"/>
      <c r="EI32369"/>
      <c r="EJ32369"/>
      <c r="EK32369"/>
    </row>
    <row r="32370" spans="1:141" s="116" customFormat="1">
      <c r="A32370" s="136"/>
      <c r="CM32370" s="111"/>
      <c r="CQ32370" s="111"/>
      <c r="EF32370"/>
      <c r="EG32370"/>
      <c r="EH32370"/>
      <c r="EI32370"/>
      <c r="EJ32370"/>
      <c r="EK32370"/>
    </row>
    <row r="32371" spans="1:141" s="116" customFormat="1">
      <c r="A32371" s="136"/>
      <c r="CM32371" s="111"/>
      <c r="CQ32371" s="111"/>
      <c r="EF32371"/>
      <c r="EG32371"/>
      <c r="EH32371"/>
      <c r="EI32371"/>
      <c r="EJ32371"/>
      <c r="EK32371"/>
    </row>
    <row r="32372" spans="1:141" s="116" customFormat="1">
      <c r="A32372" s="136"/>
      <c r="CM32372" s="111"/>
      <c r="CQ32372" s="111"/>
      <c r="EF32372"/>
      <c r="EG32372"/>
      <c r="EH32372"/>
      <c r="EI32372"/>
      <c r="EJ32372"/>
      <c r="EK32372"/>
    </row>
    <row r="32373" spans="1:141" s="116" customFormat="1">
      <c r="A32373" s="136"/>
      <c r="CM32373" s="111"/>
      <c r="CQ32373" s="111"/>
      <c r="EF32373"/>
      <c r="EG32373"/>
      <c r="EH32373"/>
      <c r="EI32373"/>
      <c r="EJ32373"/>
      <c r="EK32373"/>
    </row>
    <row r="32374" spans="1:141" s="116" customFormat="1">
      <c r="A32374" s="136"/>
      <c r="CM32374" s="111"/>
      <c r="CQ32374" s="111"/>
      <c r="EF32374"/>
      <c r="EG32374"/>
      <c r="EH32374"/>
      <c r="EI32374"/>
      <c r="EJ32374"/>
      <c r="EK32374"/>
    </row>
    <row r="32375" spans="1:141" s="116" customFormat="1">
      <c r="A32375" s="136"/>
      <c r="CM32375" s="111"/>
      <c r="CQ32375" s="111"/>
      <c r="EF32375"/>
      <c r="EG32375"/>
      <c r="EH32375"/>
      <c r="EI32375"/>
      <c r="EJ32375"/>
      <c r="EK32375"/>
    </row>
    <row r="32376" spans="1:141" s="116" customFormat="1">
      <c r="A32376" s="136"/>
      <c r="CM32376" s="111"/>
      <c r="CQ32376" s="111"/>
      <c r="EF32376"/>
      <c r="EG32376"/>
      <c r="EH32376"/>
      <c r="EI32376"/>
      <c r="EJ32376"/>
      <c r="EK32376"/>
    </row>
    <row r="32377" spans="1:141" s="116" customFormat="1">
      <c r="A32377" s="136"/>
      <c r="CM32377" s="111"/>
      <c r="CQ32377" s="111"/>
      <c r="EF32377"/>
      <c r="EG32377"/>
      <c r="EH32377"/>
      <c r="EI32377"/>
      <c r="EJ32377"/>
      <c r="EK32377"/>
    </row>
    <row r="32378" spans="1:141" s="116" customFormat="1">
      <c r="A32378" s="136"/>
      <c r="CM32378" s="111"/>
      <c r="CQ32378" s="111"/>
      <c r="EF32378"/>
      <c r="EG32378"/>
      <c r="EH32378"/>
      <c r="EI32378"/>
      <c r="EJ32378"/>
      <c r="EK32378"/>
    </row>
    <row r="32379" spans="1:141" s="116" customFormat="1">
      <c r="A32379" s="136"/>
      <c r="CM32379" s="111"/>
      <c r="CQ32379" s="111"/>
      <c r="EF32379"/>
      <c r="EG32379"/>
      <c r="EH32379"/>
      <c r="EI32379"/>
      <c r="EJ32379"/>
      <c r="EK32379"/>
    </row>
    <row r="32380" spans="1:141" s="116" customFormat="1">
      <c r="A32380" s="136"/>
      <c r="CM32380" s="111"/>
      <c r="CQ32380" s="111"/>
      <c r="EF32380"/>
      <c r="EG32380"/>
      <c r="EH32380"/>
      <c r="EI32380"/>
      <c r="EJ32380"/>
      <c r="EK32380"/>
    </row>
    <row r="32381" spans="1:141" s="116" customFormat="1">
      <c r="A32381" s="136"/>
      <c r="CM32381" s="111"/>
      <c r="CQ32381" s="111"/>
      <c r="EF32381"/>
      <c r="EG32381"/>
      <c r="EH32381"/>
      <c r="EI32381"/>
      <c r="EJ32381"/>
      <c r="EK32381"/>
    </row>
    <row r="32382" spans="1:141" s="116" customFormat="1">
      <c r="A32382" s="136"/>
      <c r="CM32382" s="111"/>
      <c r="CQ32382" s="111"/>
      <c r="EF32382"/>
      <c r="EG32382"/>
      <c r="EH32382"/>
      <c r="EI32382"/>
      <c r="EJ32382"/>
      <c r="EK32382"/>
    </row>
    <row r="32383" spans="1:141" s="116" customFormat="1">
      <c r="A32383" s="136"/>
      <c r="CM32383" s="111"/>
      <c r="CQ32383" s="111"/>
      <c r="EF32383"/>
      <c r="EG32383"/>
      <c r="EH32383"/>
      <c r="EI32383"/>
      <c r="EJ32383"/>
      <c r="EK32383"/>
    </row>
    <row r="32384" spans="1:141" s="116" customFormat="1">
      <c r="A32384" s="136"/>
      <c r="CM32384" s="111"/>
      <c r="CQ32384" s="111"/>
      <c r="EF32384"/>
      <c r="EG32384"/>
      <c r="EH32384"/>
      <c r="EI32384"/>
      <c r="EJ32384"/>
      <c r="EK32384"/>
    </row>
    <row r="32385" spans="1:141" s="116" customFormat="1">
      <c r="A32385" s="136"/>
      <c r="CM32385" s="111"/>
      <c r="CQ32385" s="111"/>
      <c r="EF32385"/>
      <c r="EG32385"/>
      <c r="EH32385"/>
      <c r="EI32385"/>
      <c r="EJ32385"/>
      <c r="EK32385"/>
    </row>
    <row r="32386" spans="1:141" s="116" customFormat="1">
      <c r="A32386" s="136"/>
      <c r="CM32386" s="111"/>
      <c r="CQ32386" s="111"/>
      <c r="EF32386"/>
      <c r="EG32386"/>
      <c r="EH32386"/>
      <c r="EI32386"/>
      <c r="EJ32386"/>
      <c r="EK32386"/>
    </row>
    <row r="32387" spans="1:141" s="116" customFormat="1">
      <c r="A32387" s="136"/>
      <c r="CM32387" s="111"/>
      <c r="CQ32387" s="111"/>
      <c r="EF32387"/>
      <c r="EG32387"/>
      <c r="EH32387"/>
      <c r="EI32387"/>
      <c r="EJ32387"/>
      <c r="EK32387"/>
    </row>
    <row r="32388" spans="1:141" s="116" customFormat="1">
      <c r="A32388" s="136"/>
      <c r="CM32388" s="111"/>
      <c r="CQ32388" s="111"/>
      <c r="EF32388"/>
      <c r="EG32388"/>
      <c r="EH32388"/>
      <c r="EI32388"/>
      <c r="EJ32388"/>
      <c r="EK32388"/>
    </row>
    <row r="32389" spans="1:141" s="116" customFormat="1">
      <c r="A32389" s="136"/>
      <c r="CM32389" s="111"/>
      <c r="CQ32389" s="111"/>
      <c r="EF32389"/>
      <c r="EG32389"/>
      <c r="EH32389"/>
      <c r="EI32389"/>
      <c r="EJ32389"/>
      <c r="EK32389"/>
    </row>
    <row r="32390" spans="1:141" s="116" customFormat="1">
      <c r="A32390" s="136"/>
      <c r="CM32390" s="111"/>
      <c r="CQ32390" s="111"/>
      <c r="EF32390"/>
      <c r="EG32390"/>
      <c r="EH32390"/>
      <c r="EI32390"/>
      <c r="EJ32390"/>
      <c r="EK32390"/>
    </row>
    <row r="32391" spans="1:141" s="116" customFormat="1">
      <c r="A32391" s="136"/>
      <c r="CM32391" s="111"/>
      <c r="CQ32391" s="111"/>
      <c r="EF32391"/>
      <c r="EG32391"/>
      <c r="EH32391"/>
      <c r="EI32391"/>
      <c r="EJ32391"/>
      <c r="EK32391"/>
    </row>
    <row r="32392" spans="1:141" s="116" customFormat="1">
      <c r="A32392" s="136"/>
      <c r="CM32392" s="111"/>
      <c r="CQ32392" s="111"/>
      <c r="EF32392"/>
      <c r="EG32392"/>
      <c r="EH32392"/>
      <c r="EI32392"/>
      <c r="EJ32392"/>
      <c r="EK32392"/>
    </row>
    <row r="32393" spans="1:141" s="116" customFormat="1">
      <c r="A32393" s="136"/>
      <c r="CM32393" s="111"/>
      <c r="CQ32393" s="111"/>
      <c r="EF32393"/>
      <c r="EG32393"/>
      <c r="EH32393"/>
      <c r="EI32393"/>
      <c r="EJ32393"/>
      <c r="EK32393"/>
    </row>
    <row r="32394" spans="1:141" s="116" customFormat="1">
      <c r="A32394" s="136"/>
      <c r="CM32394" s="111"/>
      <c r="CQ32394" s="111"/>
      <c r="EF32394"/>
      <c r="EG32394"/>
      <c r="EH32394"/>
      <c r="EI32394"/>
      <c r="EJ32394"/>
      <c r="EK32394"/>
    </row>
    <row r="32395" spans="1:141" s="116" customFormat="1">
      <c r="A32395" s="136"/>
      <c r="CM32395" s="111"/>
      <c r="CQ32395" s="111"/>
      <c r="EF32395"/>
      <c r="EG32395"/>
      <c r="EH32395"/>
      <c r="EI32395"/>
      <c r="EJ32395"/>
      <c r="EK32395"/>
    </row>
    <row r="32396" spans="1:141" s="116" customFormat="1">
      <c r="A32396" s="136"/>
      <c r="CM32396" s="111"/>
      <c r="CQ32396" s="111"/>
      <c r="EF32396"/>
      <c r="EG32396"/>
      <c r="EH32396"/>
      <c r="EI32396"/>
      <c r="EJ32396"/>
      <c r="EK32396"/>
    </row>
    <row r="32397" spans="1:141" s="116" customFormat="1">
      <c r="A32397" s="136"/>
      <c r="CM32397" s="111"/>
      <c r="CQ32397" s="111"/>
      <c r="EF32397"/>
      <c r="EG32397"/>
      <c r="EH32397"/>
      <c r="EI32397"/>
      <c r="EJ32397"/>
      <c r="EK32397"/>
    </row>
    <row r="32398" spans="1:141" s="116" customFormat="1">
      <c r="A32398" s="136"/>
      <c r="CM32398" s="111"/>
      <c r="CQ32398" s="111"/>
      <c r="EF32398"/>
      <c r="EG32398"/>
      <c r="EH32398"/>
      <c r="EI32398"/>
      <c r="EJ32398"/>
      <c r="EK32398"/>
    </row>
    <row r="32399" spans="1:141" s="116" customFormat="1">
      <c r="A32399" s="136"/>
      <c r="CM32399" s="111"/>
      <c r="CQ32399" s="111"/>
      <c r="EF32399"/>
      <c r="EG32399"/>
      <c r="EH32399"/>
      <c r="EI32399"/>
      <c r="EJ32399"/>
      <c r="EK32399"/>
    </row>
    <row r="32400" spans="1:141" s="116" customFormat="1">
      <c r="A32400" s="136"/>
      <c r="CM32400" s="111"/>
      <c r="CQ32400" s="111"/>
      <c r="EF32400"/>
      <c r="EG32400"/>
      <c r="EH32400"/>
      <c r="EI32400"/>
      <c r="EJ32400"/>
      <c r="EK32400"/>
    </row>
    <row r="32401" spans="1:141" s="116" customFormat="1">
      <c r="A32401" s="136"/>
      <c r="CM32401" s="111"/>
      <c r="CQ32401" s="111"/>
      <c r="EF32401"/>
      <c r="EG32401"/>
      <c r="EH32401"/>
      <c r="EI32401"/>
      <c r="EJ32401"/>
      <c r="EK32401"/>
    </row>
    <row r="32402" spans="1:141" s="116" customFormat="1">
      <c r="A32402" s="136"/>
      <c r="CM32402" s="111"/>
      <c r="CQ32402" s="111"/>
      <c r="EF32402"/>
      <c r="EG32402"/>
      <c r="EH32402"/>
      <c r="EI32402"/>
      <c r="EJ32402"/>
      <c r="EK32402"/>
    </row>
    <row r="32403" spans="1:141" s="116" customFormat="1">
      <c r="A32403" s="136"/>
      <c r="CM32403" s="111"/>
      <c r="CQ32403" s="111"/>
      <c r="EF32403"/>
      <c r="EG32403"/>
      <c r="EH32403"/>
      <c r="EI32403"/>
      <c r="EJ32403"/>
      <c r="EK32403"/>
    </row>
    <row r="32404" spans="1:141" s="116" customFormat="1">
      <c r="A32404" s="136"/>
      <c r="CM32404" s="111"/>
      <c r="CQ32404" s="111"/>
      <c r="EF32404"/>
      <c r="EG32404"/>
      <c r="EH32404"/>
      <c r="EI32404"/>
      <c r="EJ32404"/>
      <c r="EK32404"/>
    </row>
    <row r="32405" spans="1:141" s="116" customFormat="1">
      <c r="A32405" s="136"/>
      <c r="CM32405" s="111"/>
      <c r="CQ32405" s="111"/>
      <c r="EF32405"/>
      <c r="EG32405"/>
      <c r="EH32405"/>
      <c r="EI32405"/>
      <c r="EJ32405"/>
      <c r="EK32405"/>
    </row>
    <row r="32406" spans="1:141" s="116" customFormat="1">
      <c r="A32406" s="136"/>
      <c r="CM32406" s="111"/>
      <c r="CQ32406" s="111"/>
      <c r="EF32406"/>
      <c r="EG32406"/>
      <c r="EH32406"/>
      <c r="EI32406"/>
      <c r="EJ32406"/>
      <c r="EK32406"/>
    </row>
    <row r="32407" spans="1:141" s="116" customFormat="1">
      <c r="A32407" s="136"/>
      <c r="CM32407" s="111"/>
      <c r="CQ32407" s="111"/>
      <c r="EF32407"/>
      <c r="EG32407"/>
      <c r="EH32407"/>
      <c r="EI32407"/>
      <c r="EJ32407"/>
      <c r="EK32407"/>
    </row>
    <row r="32408" spans="1:141" s="116" customFormat="1">
      <c r="A32408" s="136"/>
      <c r="CM32408" s="111"/>
      <c r="CQ32408" s="111"/>
      <c r="EF32408"/>
      <c r="EG32408"/>
      <c r="EH32408"/>
      <c r="EI32408"/>
      <c r="EJ32408"/>
      <c r="EK32408"/>
    </row>
    <row r="32409" spans="1:141" s="116" customFormat="1">
      <c r="A32409" s="136"/>
      <c r="CM32409" s="111"/>
      <c r="CQ32409" s="111"/>
      <c r="EF32409"/>
      <c r="EG32409"/>
      <c r="EH32409"/>
      <c r="EI32409"/>
      <c r="EJ32409"/>
      <c r="EK32409"/>
    </row>
    <row r="32410" spans="1:141" s="116" customFormat="1">
      <c r="A32410" s="136"/>
      <c r="CM32410" s="111"/>
      <c r="CQ32410" s="111"/>
      <c r="EF32410"/>
      <c r="EG32410"/>
      <c r="EH32410"/>
      <c r="EI32410"/>
      <c r="EJ32410"/>
      <c r="EK32410"/>
    </row>
    <row r="32411" spans="1:141" s="116" customFormat="1">
      <c r="A32411" s="136"/>
      <c r="CM32411" s="111"/>
      <c r="CQ32411" s="111"/>
      <c r="EF32411"/>
      <c r="EG32411"/>
      <c r="EH32411"/>
      <c r="EI32411"/>
      <c r="EJ32411"/>
      <c r="EK32411"/>
    </row>
    <row r="32412" spans="1:141" s="116" customFormat="1">
      <c r="A32412" s="136"/>
      <c r="CM32412" s="111"/>
      <c r="CQ32412" s="111"/>
      <c r="EF32412"/>
      <c r="EG32412"/>
      <c r="EH32412"/>
      <c r="EI32412"/>
      <c r="EJ32412"/>
      <c r="EK32412"/>
    </row>
    <row r="32413" spans="1:141" s="116" customFormat="1">
      <c r="A32413" s="136"/>
      <c r="CM32413" s="111"/>
      <c r="CQ32413" s="111"/>
      <c r="EF32413"/>
      <c r="EG32413"/>
      <c r="EH32413"/>
      <c r="EI32413"/>
      <c r="EJ32413"/>
      <c r="EK32413"/>
    </row>
    <row r="32414" spans="1:141" s="116" customFormat="1">
      <c r="A32414" s="136"/>
      <c r="CM32414" s="111"/>
      <c r="CQ32414" s="111"/>
      <c r="EF32414"/>
      <c r="EG32414"/>
      <c r="EH32414"/>
      <c r="EI32414"/>
      <c r="EJ32414"/>
      <c r="EK32414"/>
    </row>
    <row r="32415" spans="1:141" s="116" customFormat="1">
      <c r="A32415" s="136"/>
      <c r="CM32415" s="111"/>
      <c r="CQ32415" s="111"/>
      <c r="EF32415"/>
      <c r="EG32415"/>
      <c r="EH32415"/>
      <c r="EI32415"/>
      <c r="EJ32415"/>
      <c r="EK32415"/>
    </row>
    <row r="32416" spans="1:141" s="116" customFormat="1">
      <c r="A32416" s="136"/>
      <c r="CM32416" s="111"/>
      <c r="CQ32416" s="111"/>
      <c r="EF32416"/>
      <c r="EG32416"/>
      <c r="EH32416"/>
      <c r="EI32416"/>
      <c r="EJ32416"/>
      <c r="EK32416"/>
    </row>
    <row r="32417" spans="1:141" s="116" customFormat="1">
      <c r="A32417" s="136"/>
      <c r="CM32417" s="111"/>
      <c r="CQ32417" s="111"/>
      <c r="EF32417"/>
      <c r="EG32417"/>
      <c r="EH32417"/>
      <c r="EI32417"/>
      <c r="EJ32417"/>
      <c r="EK32417"/>
    </row>
    <row r="32418" spans="1:141" s="116" customFormat="1">
      <c r="A32418" s="136"/>
      <c r="CM32418" s="111"/>
      <c r="CQ32418" s="111"/>
      <c r="EF32418"/>
      <c r="EG32418"/>
      <c r="EH32418"/>
      <c r="EI32418"/>
      <c r="EJ32418"/>
      <c r="EK32418"/>
    </row>
    <row r="32419" spans="1:141" s="116" customFormat="1">
      <c r="A32419" s="136"/>
      <c r="CM32419" s="111"/>
      <c r="CQ32419" s="111"/>
      <c r="EF32419"/>
      <c r="EG32419"/>
      <c r="EH32419"/>
      <c r="EI32419"/>
      <c r="EJ32419"/>
      <c r="EK32419"/>
    </row>
    <row r="32420" spans="1:141" s="116" customFormat="1">
      <c r="A32420" s="136"/>
      <c r="CM32420" s="111"/>
      <c r="CQ32420" s="111"/>
      <c r="EF32420"/>
      <c r="EG32420"/>
      <c r="EH32420"/>
      <c r="EI32420"/>
      <c r="EJ32420"/>
      <c r="EK32420"/>
    </row>
    <row r="32421" spans="1:141" s="116" customFormat="1">
      <c r="A32421" s="136"/>
      <c r="CM32421" s="111"/>
      <c r="CQ32421" s="111"/>
      <c r="EF32421"/>
      <c r="EG32421"/>
      <c r="EH32421"/>
      <c r="EI32421"/>
      <c r="EJ32421"/>
      <c r="EK32421"/>
    </row>
    <row r="32422" spans="1:141" s="116" customFormat="1">
      <c r="A32422" s="136"/>
      <c r="CM32422" s="111"/>
      <c r="CQ32422" s="111"/>
      <c r="EF32422"/>
      <c r="EG32422"/>
      <c r="EH32422"/>
      <c r="EI32422"/>
      <c r="EJ32422"/>
      <c r="EK32422"/>
    </row>
    <row r="32423" spans="1:141" s="116" customFormat="1">
      <c r="A32423" s="136"/>
      <c r="CM32423" s="111"/>
      <c r="CQ32423" s="111"/>
      <c r="EF32423"/>
      <c r="EG32423"/>
      <c r="EH32423"/>
      <c r="EI32423"/>
      <c r="EJ32423"/>
      <c r="EK32423"/>
    </row>
    <row r="32424" spans="1:141" s="116" customFormat="1">
      <c r="A32424" s="136"/>
      <c r="CM32424" s="111"/>
      <c r="CQ32424" s="111"/>
      <c r="EF32424"/>
      <c r="EG32424"/>
      <c r="EH32424"/>
      <c r="EI32424"/>
      <c r="EJ32424"/>
      <c r="EK32424"/>
    </row>
    <row r="32425" spans="1:141" s="116" customFormat="1">
      <c r="A32425" s="136"/>
      <c r="CM32425" s="111"/>
      <c r="CQ32425" s="111"/>
      <c r="EF32425"/>
      <c r="EG32425"/>
      <c r="EH32425"/>
      <c r="EI32425"/>
      <c r="EJ32425"/>
      <c r="EK32425"/>
    </row>
    <row r="32426" spans="1:141" s="116" customFormat="1">
      <c r="A32426" s="136"/>
      <c r="CM32426" s="111"/>
      <c r="CQ32426" s="111"/>
      <c r="EF32426"/>
      <c r="EG32426"/>
      <c r="EH32426"/>
      <c r="EI32426"/>
      <c r="EJ32426"/>
      <c r="EK32426"/>
    </row>
    <row r="32427" spans="1:141" s="116" customFormat="1">
      <c r="A32427" s="136"/>
      <c r="CM32427" s="111"/>
      <c r="CQ32427" s="111"/>
      <c r="EF32427"/>
      <c r="EG32427"/>
      <c r="EH32427"/>
      <c r="EI32427"/>
      <c r="EJ32427"/>
      <c r="EK32427"/>
    </row>
    <row r="32428" spans="1:141" s="116" customFormat="1">
      <c r="A32428" s="136"/>
      <c r="CM32428" s="111"/>
      <c r="CQ32428" s="111"/>
      <c r="EF32428"/>
      <c r="EG32428"/>
      <c r="EH32428"/>
      <c r="EI32428"/>
      <c r="EJ32428"/>
      <c r="EK32428"/>
    </row>
    <row r="32429" spans="1:141" s="116" customFormat="1">
      <c r="A32429" s="136"/>
      <c r="CM32429" s="111"/>
      <c r="CQ32429" s="111"/>
      <c r="EF32429"/>
      <c r="EG32429"/>
      <c r="EH32429"/>
      <c r="EI32429"/>
      <c r="EJ32429"/>
      <c r="EK32429"/>
    </row>
    <row r="32430" spans="1:141" s="116" customFormat="1">
      <c r="A32430" s="136"/>
      <c r="CM32430" s="111"/>
      <c r="CQ32430" s="111"/>
      <c r="EF32430"/>
      <c r="EG32430"/>
      <c r="EH32430"/>
      <c r="EI32430"/>
      <c r="EJ32430"/>
      <c r="EK32430"/>
    </row>
    <row r="32431" spans="1:141" s="116" customFormat="1">
      <c r="A32431" s="136"/>
      <c r="CM32431" s="111"/>
      <c r="CQ32431" s="111"/>
      <c r="EF32431"/>
      <c r="EG32431"/>
      <c r="EH32431"/>
      <c r="EI32431"/>
      <c r="EJ32431"/>
      <c r="EK32431"/>
    </row>
    <row r="32432" spans="1:141" s="116" customFormat="1">
      <c r="A32432" s="136"/>
      <c r="CM32432" s="111"/>
      <c r="CQ32432" s="111"/>
      <c r="EF32432"/>
      <c r="EG32432"/>
      <c r="EH32432"/>
      <c r="EI32432"/>
      <c r="EJ32432"/>
      <c r="EK32432"/>
    </row>
    <row r="32433" spans="1:141" s="116" customFormat="1">
      <c r="A32433" s="136"/>
      <c r="CM32433" s="111"/>
      <c r="CQ32433" s="111"/>
      <c r="EF32433"/>
      <c r="EG32433"/>
      <c r="EH32433"/>
      <c r="EI32433"/>
      <c r="EJ32433"/>
      <c r="EK32433"/>
    </row>
    <row r="32434" spans="1:141" s="116" customFormat="1">
      <c r="A32434" s="136"/>
      <c r="CM32434" s="111"/>
      <c r="CQ32434" s="111"/>
      <c r="EF32434"/>
      <c r="EG32434"/>
      <c r="EH32434"/>
      <c r="EI32434"/>
      <c r="EJ32434"/>
      <c r="EK32434"/>
    </row>
    <row r="32435" spans="1:141" s="116" customFormat="1">
      <c r="A32435" s="136"/>
      <c r="CM32435" s="111"/>
      <c r="CQ32435" s="111"/>
      <c r="EF32435"/>
      <c r="EG32435"/>
      <c r="EH32435"/>
      <c r="EI32435"/>
      <c r="EJ32435"/>
      <c r="EK32435"/>
    </row>
    <row r="32436" spans="1:141" s="116" customFormat="1">
      <c r="A32436" s="136"/>
      <c r="CM32436" s="111"/>
      <c r="CQ32436" s="111"/>
      <c r="EF32436"/>
      <c r="EG32436"/>
      <c r="EH32436"/>
      <c r="EI32436"/>
      <c r="EJ32436"/>
      <c r="EK32436"/>
    </row>
    <row r="32437" spans="1:141" s="116" customFormat="1">
      <c r="A32437" s="136"/>
      <c r="CM32437" s="111"/>
      <c r="CQ32437" s="111"/>
      <c r="EF32437"/>
      <c r="EG32437"/>
      <c r="EH32437"/>
      <c r="EI32437"/>
      <c r="EJ32437"/>
      <c r="EK32437"/>
    </row>
    <row r="32438" spans="1:141" s="116" customFormat="1">
      <c r="A32438" s="136"/>
      <c r="CM32438" s="111"/>
      <c r="CQ32438" s="111"/>
      <c r="EF32438"/>
      <c r="EG32438"/>
      <c r="EH32438"/>
      <c r="EI32438"/>
      <c r="EJ32438"/>
      <c r="EK32438"/>
    </row>
    <row r="32439" spans="1:141" s="116" customFormat="1">
      <c r="A32439" s="136"/>
      <c r="CM32439" s="111"/>
      <c r="CQ32439" s="111"/>
      <c r="EF32439"/>
      <c r="EG32439"/>
      <c r="EH32439"/>
      <c r="EI32439"/>
      <c r="EJ32439"/>
      <c r="EK32439"/>
    </row>
    <row r="32440" spans="1:141" s="116" customFormat="1">
      <c r="A32440" s="136"/>
      <c r="CM32440" s="111"/>
      <c r="CQ32440" s="111"/>
      <c r="EF32440"/>
      <c r="EG32440"/>
      <c r="EH32440"/>
      <c r="EI32440"/>
      <c r="EJ32440"/>
      <c r="EK32440"/>
    </row>
    <row r="32441" spans="1:141" s="116" customFormat="1">
      <c r="A32441" s="136"/>
      <c r="CM32441" s="111"/>
      <c r="CQ32441" s="111"/>
      <c r="EF32441"/>
      <c r="EG32441"/>
      <c r="EH32441"/>
      <c r="EI32441"/>
      <c r="EJ32441"/>
      <c r="EK32441"/>
    </row>
    <row r="32442" spans="1:141" s="116" customFormat="1">
      <c r="A32442" s="136"/>
      <c r="CM32442" s="111"/>
      <c r="CQ32442" s="111"/>
      <c r="EF32442"/>
      <c r="EG32442"/>
      <c r="EH32442"/>
      <c r="EI32442"/>
      <c r="EJ32442"/>
      <c r="EK32442"/>
    </row>
    <row r="32443" spans="1:141" s="116" customFormat="1">
      <c r="A32443" s="136"/>
      <c r="CM32443" s="111"/>
      <c r="CQ32443" s="111"/>
      <c r="EF32443"/>
      <c r="EG32443"/>
      <c r="EH32443"/>
      <c r="EI32443"/>
      <c r="EJ32443"/>
      <c r="EK32443"/>
    </row>
    <row r="32444" spans="1:141" s="116" customFormat="1">
      <c r="A32444" s="136"/>
      <c r="CM32444" s="111"/>
      <c r="CQ32444" s="111"/>
      <c r="EF32444"/>
      <c r="EG32444"/>
      <c r="EH32444"/>
      <c r="EI32444"/>
      <c r="EJ32444"/>
      <c r="EK32444"/>
    </row>
    <row r="32445" spans="1:141" s="116" customFormat="1">
      <c r="A32445" s="136"/>
      <c r="CM32445" s="111"/>
      <c r="CQ32445" s="111"/>
      <c r="EF32445"/>
      <c r="EG32445"/>
      <c r="EH32445"/>
      <c r="EI32445"/>
      <c r="EJ32445"/>
      <c r="EK32445"/>
    </row>
    <row r="32446" spans="1:141" s="116" customFormat="1">
      <c r="A32446" s="136"/>
      <c r="CM32446" s="111"/>
      <c r="CQ32446" s="111"/>
      <c r="EF32446"/>
      <c r="EG32446"/>
      <c r="EH32446"/>
      <c r="EI32446"/>
      <c r="EJ32446"/>
      <c r="EK32446"/>
    </row>
    <row r="32447" spans="1:141" s="116" customFormat="1">
      <c r="A32447" s="136"/>
      <c r="CM32447" s="111"/>
      <c r="CQ32447" s="111"/>
      <c r="EF32447"/>
      <c r="EG32447"/>
      <c r="EH32447"/>
      <c r="EI32447"/>
      <c r="EJ32447"/>
      <c r="EK32447"/>
    </row>
    <row r="32448" spans="1:141" s="116" customFormat="1">
      <c r="A32448" s="136"/>
      <c r="CM32448" s="111"/>
      <c r="CQ32448" s="111"/>
      <c r="EF32448"/>
      <c r="EG32448"/>
      <c r="EH32448"/>
      <c r="EI32448"/>
      <c r="EJ32448"/>
      <c r="EK32448"/>
    </row>
    <row r="32449" spans="1:141" s="116" customFormat="1">
      <c r="A32449" s="136"/>
      <c r="CM32449" s="111"/>
      <c r="CQ32449" s="111"/>
      <c r="EF32449"/>
      <c r="EG32449"/>
      <c r="EH32449"/>
      <c r="EI32449"/>
      <c r="EJ32449"/>
      <c r="EK32449"/>
    </row>
    <row r="32450" spans="1:141" s="116" customFormat="1">
      <c r="A32450" s="136"/>
      <c r="CM32450" s="111"/>
      <c r="CQ32450" s="111"/>
      <c r="EF32450"/>
      <c r="EG32450"/>
      <c r="EH32450"/>
      <c r="EI32450"/>
      <c r="EJ32450"/>
      <c r="EK32450"/>
    </row>
    <row r="32451" spans="1:141" s="116" customFormat="1">
      <c r="A32451" s="136"/>
      <c r="CM32451" s="111"/>
      <c r="CQ32451" s="111"/>
      <c r="EF32451"/>
      <c r="EG32451"/>
      <c r="EH32451"/>
      <c r="EI32451"/>
      <c r="EJ32451"/>
      <c r="EK32451"/>
    </row>
    <row r="32452" spans="1:141" s="116" customFormat="1">
      <c r="A32452" s="136"/>
      <c r="CM32452" s="111"/>
      <c r="CQ32452" s="111"/>
      <c r="EF32452"/>
      <c r="EG32452"/>
      <c r="EH32452"/>
      <c r="EI32452"/>
      <c r="EJ32452"/>
      <c r="EK32452"/>
    </row>
    <row r="32453" spans="1:141" s="116" customFormat="1">
      <c r="A32453" s="136"/>
      <c r="CM32453" s="111"/>
      <c r="CQ32453" s="111"/>
      <c r="EF32453"/>
      <c r="EG32453"/>
      <c r="EH32453"/>
      <c r="EI32453"/>
      <c r="EJ32453"/>
      <c r="EK32453"/>
    </row>
    <row r="32454" spans="1:141" s="116" customFormat="1">
      <c r="A32454" s="136"/>
      <c r="CM32454" s="111"/>
      <c r="CQ32454" s="111"/>
      <c r="EF32454"/>
      <c r="EG32454"/>
      <c r="EH32454"/>
      <c r="EI32454"/>
      <c r="EJ32454"/>
      <c r="EK32454"/>
    </row>
    <row r="32455" spans="1:141" s="116" customFormat="1">
      <c r="A32455" s="136"/>
      <c r="CM32455" s="111"/>
      <c r="CQ32455" s="111"/>
      <c r="EF32455"/>
      <c r="EG32455"/>
      <c r="EH32455"/>
      <c r="EI32455"/>
      <c r="EJ32455"/>
      <c r="EK32455"/>
    </row>
    <row r="32456" spans="1:141" s="116" customFormat="1">
      <c r="A32456" s="136"/>
      <c r="CM32456" s="111"/>
      <c r="CQ32456" s="111"/>
      <c r="EF32456"/>
      <c r="EG32456"/>
      <c r="EH32456"/>
      <c r="EI32456"/>
      <c r="EJ32456"/>
      <c r="EK32456"/>
    </row>
    <row r="32457" spans="1:141" s="116" customFormat="1">
      <c r="A32457" s="136"/>
      <c r="CM32457" s="111"/>
      <c r="CQ32457" s="111"/>
      <c r="EF32457"/>
      <c r="EG32457"/>
      <c r="EH32457"/>
      <c r="EI32457"/>
      <c r="EJ32457"/>
      <c r="EK32457"/>
    </row>
    <row r="32458" spans="1:141" s="116" customFormat="1">
      <c r="A32458" s="136"/>
      <c r="CM32458" s="111"/>
      <c r="CQ32458" s="111"/>
      <c r="EF32458"/>
      <c r="EG32458"/>
      <c r="EH32458"/>
      <c r="EI32458"/>
      <c r="EJ32458"/>
      <c r="EK32458"/>
    </row>
    <row r="32459" spans="1:141" s="116" customFormat="1">
      <c r="A32459" s="136"/>
      <c r="CM32459" s="111"/>
      <c r="CQ32459" s="111"/>
      <c r="EF32459"/>
      <c r="EG32459"/>
      <c r="EH32459"/>
      <c r="EI32459"/>
      <c r="EJ32459"/>
      <c r="EK32459"/>
    </row>
    <row r="32460" spans="1:141" s="116" customFormat="1">
      <c r="A32460" s="136"/>
      <c r="CM32460" s="111"/>
      <c r="CQ32460" s="111"/>
      <c r="EF32460"/>
      <c r="EG32460"/>
      <c r="EH32460"/>
      <c r="EI32460"/>
      <c r="EJ32460"/>
      <c r="EK32460"/>
    </row>
    <row r="32461" spans="1:141" s="116" customFormat="1">
      <c r="A32461" s="136"/>
      <c r="CM32461" s="111"/>
      <c r="CQ32461" s="111"/>
      <c r="EF32461"/>
      <c r="EG32461"/>
      <c r="EH32461"/>
      <c r="EI32461"/>
      <c r="EJ32461"/>
      <c r="EK32461"/>
    </row>
    <row r="32462" spans="1:141" s="116" customFormat="1">
      <c r="A32462" s="136"/>
      <c r="CM32462" s="111"/>
      <c r="CQ32462" s="111"/>
      <c r="EF32462"/>
      <c r="EG32462"/>
      <c r="EH32462"/>
      <c r="EI32462"/>
      <c r="EJ32462"/>
      <c r="EK32462"/>
    </row>
    <row r="32463" spans="1:141" s="116" customFormat="1">
      <c r="A32463" s="136"/>
      <c r="CM32463" s="111"/>
      <c r="CQ32463" s="111"/>
      <c r="EF32463"/>
      <c r="EG32463"/>
      <c r="EH32463"/>
      <c r="EI32463"/>
      <c r="EJ32463"/>
      <c r="EK32463"/>
    </row>
    <row r="32464" spans="1:141" s="116" customFormat="1">
      <c r="A32464" s="136"/>
      <c r="CM32464" s="111"/>
      <c r="CQ32464" s="111"/>
      <c r="EF32464"/>
      <c r="EG32464"/>
      <c r="EH32464"/>
      <c r="EI32464"/>
      <c r="EJ32464"/>
      <c r="EK32464"/>
    </row>
    <row r="32465" spans="1:141" s="116" customFormat="1">
      <c r="A32465" s="136"/>
      <c r="CM32465" s="111"/>
      <c r="CQ32465" s="111"/>
      <c r="EF32465"/>
      <c r="EG32465"/>
      <c r="EH32465"/>
      <c r="EI32465"/>
      <c r="EJ32465"/>
      <c r="EK32465"/>
    </row>
    <row r="32466" spans="1:141" s="116" customFormat="1">
      <c r="A32466" s="136"/>
      <c r="CM32466" s="111"/>
      <c r="CQ32466" s="111"/>
      <c r="EF32466"/>
      <c r="EG32466"/>
      <c r="EH32466"/>
      <c r="EI32466"/>
      <c r="EJ32466"/>
      <c r="EK32466"/>
    </row>
    <row r="32467" spans="1:141" s="116" customFormat="1">
      <c r="A32467" s="136"/>
      <c r="CM32467" s="111"/>
      <c r="CQ32467" s="111"/>
      <c r="EF32467"/>
      <c r="EG32467"/>
      <c r="EH32467"/>
      <c r="EI32467"/>
      <c r="EJ32467"/>
      <c r="EK32467"/>
    </row>
    <row r="32468" spans="1:141" s="116" customFormat="1">
      <c r="A32468" s="136"/>
      <c r="CM32468" s="111"/>
      <c r="CQ32468" s="111"/>
      <c r="EF32468"/>
      <c r="EG32468"/>
      <c r="EH32468"/>
      <c r="EI32468"/>
      <c r="EJ32468"/>
      <c r="EK32468"/>
    </row>
    <row r="32469" spans="1:141" s="116" customFormat="1">
      <c r="A32469" s="136"/>
      <c r="CM32469" s="111"/>
      <c r="CQ32469" s="111"/>
      <c r="EF32469"/>
      <c r="EG32469"/>
      <c r="EH32469"/>
      <c r="EI32469"/>
      <c r="EJ32469"/>
      <c r="EK32469"/>
    </row>
    <row r="32470" spans="1:141" s="116" customFormat="1">
      <c r="A32470" s="136"/>
      <c r="CM32470" s="111"/>
      <c r="CQ32470" s="111"/>
      <c r="EF32470"/>
      <c r="EG32470"/>
      <c r="EH32470"/>
      <c r="EI32470"/>
      <c r="EJ32470"/>
      <c r="EK32470"/>
    </row>
    <row r="32471" spans="1:141" s="116" customFormat="1">
      <c r="A32471" s="136"/>
      <c r="CM32471" s="111"/>
      <c r="CQ32471" s="111"/>
      <c r="EF32471"/>
      <c r="EG32471"/>
      <c r="EH32471"/>
      <c r="EI32471"/>
      <c r="EJ32471"/>
      <c r="EK32471"/>
    </row>
    <row r="32472" spans="1:141" s="116" customFormat="1">
      <c r="A32472" s="136"/>
      <c r="CM32472" s="111"/>
      <c r="CQ32472" s="111"/>
      <c r="EF32472"/>
      <c r="EG32472"/>
      <c r="EH32472"/>
      <c r="EI32472"/>
      <c r="EJ32472"/>
      <c r="EK32472"/>
    </row>
    <row r="32473" spans="1:141" s="116" customFormat="1">
      <c r="A32473" s="136"/>
      <c r="CM32473" s="111"/>
      <c r="CQ32473" s="111"/>
      <c r="EF32473"/>
      <c r="EG32473"/>
      <c r="EH32473"/>
      <c r="EI32473"/>
      <c r="EJ32473"/>
      <c r="EK32473"/>
    </row>
    <row r="32474" spans="1:141" s="116" customFormat="1">
      <c r="A32474" s="136"/>
      <c r="CM32474" s="111"/>
      <c r="CQ32474" s="111"/>
      <c r="EF32474"/>
      <c r="EG32474"/>
      <c r="EH32474"/>
      <c r="EI32474"/>
      <c r="EJ32474"/>
      <c r="EK32474"/>
    </row>
    <row r="32475" spans="1:141" s="116" customFormat="1">
      <c r="A32475" s="136"/>
      <c r="CM32475" s="111"/>
      <c r="CQ32475" s="111"/>
      <c r="EF32475"/>
      <c r="EG32475"/>
      <c r="EH32475"/>
      <c r="EI32475"/>
      <c r="EJ32475"/>
      <c r="EK32475"/>
    </row>
    <row r="32476" spans="1:141" s="116" customFormat="1">
      <c r="A32476" s="136"/>
      <c r="CM32476" s="111"/>
      <c r="CQ32476" s="111"/>
      <c r="EF32476"/>
      <c r="EG32476"/>
      <c r="EH32476"/>
      <c r="EI32476"/>
      <c r="EJ32476"/>
      <c r="EK32476"/>
    </row>
    <row r="32477" spans="1:141" s="116" customFormat="1">
      <c r="A32477" s="136"/>
      <c r="CM32477" s="111"/>
      <c r="CQ32477" s="111"/>
      <c r="EF32477"/>
      <c r="EG32477"/>
      <c r="EH32477"/>
      <c r="EI32477"/>
      <c r="EJ32477"/>
      <c r="EK32477"/>
    </row>
    <row r="32478" spans="1:141" s="116" customFormat="1">
      <c r="A32478" s="136"/>
      <c r="CM32478" s="111"/>
      <c r="CQ32478" s="111"/>
      <c r="EF32478"/>
      <c r="EG32478"/>
      <c r="EH32478"/>
      <c r="EI32478"/>
      <c r="EJ32478"/>
      <c r="EK32478"/>
    </row>
    <row r="32479" spans="1:141" s="116" customFormat="1">
      <c r="A32479" s="136"/>
      <c r="CM32479" s="111"/>
      <c r="CQ32479" s="111"/>
      <c r="EF32479"/>
      <c r="EG32479"/>
      <c r="EH32479"/>
      <c r="EI32479"/>
      <c r="EJ32479"/>
      <c r="EK32479"/>
    </row>
    <row r="32480" spans="1:141" s="116" customFormat="1">
      <c r="A32480" s="136"/>
      <c r="CM32480" s="111"/>
      <c r="CQ32480" s="111"/>
      <c r="EF32480"/>
      <c r="EG32480"/>
      <c r="EH32480"/>
      <c r="EI32480"/>
      <c r="EJ32480"/>
      <c r="EK32480"/>
    </row>
    <row r="32481" spans="1:141" s="116" customFormat="1">
      <c r="A32481" s="136"/>
      <c r="CM32481" s="111"/>
      <c r="CQ32481" s="111"/>
      <c r="EF32481"/>
      <c r="EG32481"/>
      <c r="EH32481"/>
      <c r="EI32481"/>
      <c r="EJ32481"/>
      <c r="EK32481"/>
    </row>
    <row r="32482" spans="1:141" s="116" customFormat="1">
      <c r="A32482" s="136"/>
      <c r="CM32482" s="111"/>
      <c r="CQ32482" s="111"/>
      <c r="EF32482"/>
      <c r="EG32482"/>
      <c r="EH32482"/>
      <c r="EI32482"/>
      <c r="EJ32482"/>
      <c r="EK32482"/>
    </row>
    <row r="32483" spans="1:141" s="116" customFormat="1">
      <c r="A32483" s="136"/>
      <c r="CM32483" s="111"/>
      <c r="CQ32483" s="111"/>
      <c r="EF32483"/>
      <c r="EG32483"/>
      <c r="EH32483"/>
      <c r="EI32483"/>
      <c r="EJ32483"/>
      <c r="EK32483"/>
    </row>
    <row r="32484" spans="1:141" s="116" customFormat="1">
      <c r="A32484" s="136"/>
      <c r="CM32484" s="111"/>
      <c r="CQ32484" s="111"/>
      <c r="EF32484"/>
      <c r="EG32484"/>
      <c r="EH32484"/>
      <c r="EI32484"/>
      <c r="EJ32484"/>
      <c r="EK32484"/>
    </row>
    <row r="32485" spans="1:141" s="116" customFormat="1">
      <c r="A32485" s="136"/>
      <c r="CM32485" s="111"/>
      <c r="CQ32485" s="111"/>
      <c r="EF32485"/>
      <c r="EG32485"/>
      <c r="EH32485"/>
      <c r="EI32485"/>
      <c r="EJ32485"/>
      <c r="EK32485"/>
    </row>
    <row r="32486" spans="1:141" s="116" customFormat="1">
      <c r="A32486" s="136"/>
      <c r="CM32486" s="111"/>
      <c r="CQ32486" s="111"/>
      <c r="EF32486"/>
      <c r="EG32486"/>
      <c r="EH32486"/>
      <c r="EI32486"/>
      <c r="EJ32486"/>
      <c r="EK32486"/>
    </row>
    <row r="32487" spans="1:141" s="116" customFormat="1">
      <c r="A32487" s="136"/>
      <c r="CM32487" s="111"/>
      <c r="CQ32487" s="111"/>
      <c r="EF32487"/>
      <c r="EG32487"/>
      <c r="EH32487"/>
      <c r="EI32487"/>
      <c r="EJ32487"/>
      <c r="EK32487"/>
    </row>
    <row r="32488" spans="1:141" s="116" customFormat="1">
      <c r="A32488" s="136"/>
      <c r="CM32488" s="111"/>
      <c r="CQ32488" s="111"/>
      <c r="EF32488"/>
      <c r="EG32488"/>
      <c r="EH32488"/>
      <c r="EI32488"/>
      <c r="EJ32488"/>
      <c r="EK32488"/>
    </row>
    <row r="32489" spans="1:141" s="116" customFormat="1">
      <c r="A32489" s="136"/>
      <c r="CM32489" s="111"/>
      <c r="CQ32489" s="111"/>
      <c r="EF32489"/>
      <c r="EG32489"/>
      <c r="EH32489"/>
      <c r="EI32489"/>
      <c r="EJ32489"/>
      <c r="EK32489"/>
    </row>
    <row r="32490" spans="1:141" s="116" customFormat="1">
      <c r="A32490" s="136"/>
      <c r="CM32490" s="111"/>
      <c r="CQ32490" s="111"/>
      <c r="EF32490"/>
      <c r="EG32490"/>
      <c r="EH32490"/>
      <c r="EI32490"/>
      <c r="EJ32490"/>
      <c r="EK32490"/>
    </row>
    <row r="32491" spans="1:141" s="116" customFormat="1">
      <c r="A32491" s="136"/>
      <c r="CM32491" s="111"/>
      <c r="CQ32491" s="111"/>
      <c r="EF32491"/>
      <c r="EG32491"/>
      <c r="EH32491"/>
      <c r="EI32491"/>
      <c r="EJ32491"/>
      <c r="EK32491"/>
    </row>
    <row r="32492" spans="1:141" s="116" customFormat="1">
      <c r="A32492" s="136"/>
      <c r="CM32492" s="111"/>
      <c r="CQ32492" s="111"/>
      <c r="EF32492"/>
      <c r="EG32492"/>
      <c r="EH32492"/>
      <c r="EI32492"/>
      <c r="EJ32492"/>
      <c r="EK32492"/>
    </row>
    <row r="32493" spans="1:141" s="116" customFormat="1">
      <c r="A32493" s="136"/>
      <c r="CM32493" s="111"/>
      <c r="CQ32493" s="111"/>
      <c r="EF32493"/>
      <c r="EG32493"/>
      <c r="EH32493"/>
      <c r="EI32493"/>
      <c r="EJ32493"/>
      <c r="EK32493"/>
    </row>
    <row r="32494" spans="1:141" s="116" customFormat="1">
      <c r="A32494" s="136"/>
      <c r="CM32494" s="111"/>
      <c r="CQ32494" s="111"/>
      <c r="EF32494"/>
      <c r="EG32494"/>
      <c r="EH32494"/>
      <c r="EI32494"/>
      <c r="EJ32494"/>
      <c r="EK32494"/>
    </row>
    <row r="32495" spans="1:141" s="116" customFormat="1">
      <c r="A32495" s="136"/>
      <c r="CM32495" s="111"/>
      <c r="CQ32495" s="111"/>
      <c r="EF32495"/>
      <c r="EG32495"/>
      <c r="EH32495"/>
      <c r="EI32495"/>
      <c r="EJ32495"/>
      <c r="EK32495"/>
    </row>
    <row r="32496" spans="1:141" s="116" customFormat="1">
      <c r="A32496" s="136"/>
      <c r="CM32496" s="111"/>
      <c r="CQ32496" s="111"/>
      <c r="EF32496"/>
      <c r="EG32496"/>
      <c r="EH32496"/>
      <c r="EI32496"/>
      <c r="EJ32496"/>
      <c r="EK32496"/>
    </row>
    <row r="32497" spans="1:141" s="116" customFormat="1">
      <c r="A32497" s="136"/>
      <c r="CM32497" s="111"/>
      <c r="CQ32497" s="111"/>
      <c r="EF32497"/>
      <c r="EG32497"/>
      <c r="EH32497"/>
      <c r="EI32497"/>
      <c r="EJ32497"/>
      <c r="EK32497"/>
    </row>
    <row r="32498" spans="1:141" s="116" customFormat="1">
      <c r="A32498" s="136"/>
      <c r="CM32498" s="111"/>
      <c r="CQ32498" s="111"/>
      <c r="EF32498"/>
      <c r="EG32498"/>
      <c r="EH32498"/>
      <c r="EI32498"/>
      <c r="EJ32498"/>
      <c r="EK32498"/>
    </row>
    <row r="32499" spans="1:141" s="116" customFormat="1">
      <c r="A32499" s="136"/>
      <c r="CM32499" s="111"/>
      <c r="CQ32499" s="111"/>
      <c r="EF32499"/>
      <c r="EG32499"/>
      <c r="EH32499"/>
      <c r="EI32499"/>
      <c r="EJ32499"/>
      <c r="EK32499"/>
    </row>
    <row r="32500" spans="1:141" s="116" customFormat="1">
      <c r="A32500" s="136"/>
      <c r="CM32500" s="111"/>
      <c r="CQ32500" s="111"/>
      <c r="EF32500"/>
      <c r="EG32500"/>
      <c r="EH32500"/>
      <c r="EI32500"/>
      <c r="EJ32500"/>
      <c r="EK32500"/>
    </row>
    <row r="32501" spans="1:141" s="116" customFormat="1">
      <c r="A32501" s="136"/>
      <c r="CM32501" s="111"/>
      <c r="CQ32501" s="111"/>
      <c r="EF32501"/>
      <c r="EG32501"/>
      <c r="EH32501"/>
      <c r="EI32501"/>
      <c r="EJ32501"/>
      <c r="EK32501"/>
    </row>
    <row r="32502" spans="1:141" s="116" customFormat="1">
      <c r="A32502" s="136"/>
      <c r="CM32502" s="111"/>
      <c r="CQ32502" s="111"/>
      <c r="EF32502"/>
      <c r="EG32502"/>
      <c r="EH32502"/>
      <c r="EI32502"/>
      <c r="EJ32502"/>
      <c r="EK32502"/>
    </row>
    <row r="32503" spans="1:141" s="116" customFormat="1">
      <c r="A32503" s="136"/>
      <c r="CM32503" s="111"/>
      <c r="CQ32503" s="111"/>
      <c r="EF32503"/>
      <c r="EG32503"/>
      <c r="EH32503"/>
      <c r="EI32503"/>
      <c r="EJ32503"/>
      <c r="EK32503"/>
    </row>
    <row r="32504" spans="1:141" s="116" customFormat="1">
      <c r="A32504" s="136"/>
      <c r="CM32504" s="111"/>
      <c r="CQ32504" s="111"/>
      <c r="EF32504"/>
      <c r="EG32504"/>
      <c r="EH32504"/>
      <c r="EI32504"/>
      <c r="EJ32504"/>
      <c r="EK32504"/>
    </row>
    <row r="32505" spans="1:141" s="116" customFormat="1">
      <c r="A32505" s="136"/>
      <c r="CM32505" s="111"/>
      <c r="CQ32505" s="111"/>
      <c r="EF32505"/>
      <c r="EG32505"/>
      <c r="EH32505"/>
      <c r="EI32505"/>
      <c r="EJ32505"/>
      <c r="EK32505"/>
    </row>
    <row r="32506" spans="1:141" s="116" customFormat="1">
      <c r="A32506" s="136"/>
      <c r="CM32506" s="111"/>
      <c r="CQ32506" s="111"/>
      <c r="EF32506"/>
      <c r="EG32506"/>
      <c r="EH32506"/>
      <c r="EI32506"/>
      <c r="EJ32506"/>
      <c r="EK32506"/>
    </row>
    <row r="32507" spans="1:141" s="116" customFormat="1">
      <c r="A32507" s="136"/>
      <c r="CM32507" s="111"/>
      <c r="CQ32507" s="111"/>
      <c r="EF32507"/>
      <c r="EG32507"/>
      <c r="EH32507"/>
      <c r="EI32507"/>
      <c r="EJ32507"/>
      <c r="EK32507"/>
    </row>
    <row r="32508" spans="1:141" s="116" customFormat="1">
      <c r="A32508" s="136"/>
      <c r="CM32508" s="111"/>
      <c r="CQ32508" s="111"/>
      <c r="EF32508"/>
      <c r="EG32508"/>
      <c r="EH32508"/>
      <c r="EI32508"/>
      <c r="EJ32508"/>
      <c r="EK32508"/>
    </row>
    <row r="32509" spans="1:141" s="116" customFormat="1">
      <c r="A32509" s="136"/>
      <c r="CM32509" s="111"/>
      <c r="CQ32509" s="111"/>
      <c r="EF32509"/>
      <c r="EG32509"/>
      <c r="EH32509"/>
      <c r="EI32509"/>
      <c r="EJ32509"/>
      <c r="EK32509"/>
    </row>
    <row r="32510" spans="1:141" s="116" customFormat="1">
      <c r="A32510" s="136"/>
      <c r="CM32510" s="111"/>
      <c r="CQ32510" s="111"/>
      <c r="EF32510"/>
      <c r="EG32510"/>
      <c r="EH32510"/>
      <c r="EI32510"/>
      <c r="EJ32510"/>
      <c r="EK32510"/>
    </row>
    <row r="32511" spans="1:141" s="116" customFormat="1">
      <c r="A32511" s="136"/>
      <c r="CM32511" s="111"/>
      <c r="CQ32511" s="111"/>
      <c r="EF32511"/>
      <c r="EG32511"/>
      <c r="EH32511"/>
      <c r="EI32511"/>
      <c r="EJ32511"/>
      <c r="EK32511"/>
    </row>
    <row r="32512" spans="1:141" s="116" customFormat="1">
      <c r="A32512" s="136"/>
      <c r="CM32512" s="111"/>
      <c r="CQ32512" s="111"/>
      <c r="EF32512"/>
      <c r="EG32512"/>
      <c r="EH32512"/>
      <c r="EI32512"/>
      <c r="EJ32512"/>
      <c r="EK32512"/>
    </row>
    <row r="32513" spans="1:141" s="116" customFormat="1">
      <c r="A32513" s="136"/>
      <c r="CM32513" s="111"/>
      <c r="CQ32513" s="111"/>
      <c r="EF32513"/>
      <c r="EG32513"/>
      <c r="EH32513"/>
      <c r="EI32513"/>
      <c r="EJ32513"/>
      <c r="EK32513"/>
    </row>
    <row r="32514" spans="1:141" s="116" customFormat="1">
      <c r="A32514" s="136"/>
      <c r="CM32514" s="111"/>
      <c r="CQ32514" s="111"/>
      <c r="EF32514"/>
      <c r="EG32514"/>
      <c r="EH32514"/>
      <c r="EI32514"/>
      <c r="EJ32514"/>
      <c r="EK32514"/>
    </row>
    <row r="32515" spans="1:141" s="116" customFormat="1">
      <c r="A32515" s="136"/>
      <c r="CM32515" s="111"/>
      <c r="CQ32515" s="111"/>
      <c r="EF32515"/>
      <c r="EG32515"/>
      <c r="EH32515"/>
      <c r="EI32515"/>
      <c r="EJ32515"/>
      <c r="EK32515"/>
    </row>
    <row r="32516" spans="1:141" s="116" customFormat="1">
      <c r="A32516" s="136"/>
      <c r="CM32516" s="111"/>
      <c r="CQ32516" s="111"/>
      <c r="EF32516"/>
      <c r="EG32516"/>
      <c r="EH32516"/>
      <c r="EI32516"/>
      <c r="EJ32516"/>
      <c r="EK32516"/>
    </row>
    <row r="32517" spans="1:141" s="116" customFormat="1">
      <c r="A32517" s="136"/>
      <c r="CM32517" s="111"/>
      <c r="CQ32517" s="111"/>
      <c r="EF32517"/>
      <c r="EG32517"/>
      <c r="EH32517"/>
      <c r="EI32517"/>
      <c r="EJ32517"/>
      <c r="EK32517"/>
    </row>
    <row r="32518" spans="1:141" s="116" customFormat="1">
      <c r="A32518" s="136"/>
      <c r="CM32518" s="111"/>
      <c r="CQ32518" s="111"/>
      <c r="EF32518"/>
      <c r="EG32518"/>
      <c r="EH32518"/>
      <c r="EI32518"/>
      <c r="EJ32518"/>
      <c r="EK32518"/>
    </row>
    <row r="32519" spans="1:141" s="116" customFormat="1">
      <c r="A32519" s="136"/>
      <c r="CM32519" s="111"/>
      <c r="CQ32519" s="111"/>
      <c r="EF32519"/>
      <c r="EG32519"/>
      <c r="EH32519"/>
      <c r="EI32519"/>
      <c r="EJ32519"/>
      <c r="EK32519"/>
    </row>
    <row r="32520" spans="1:141" s="116" customFormat="1">
      <c r="A32520" s="136"/>
      <c r="CM32520" s="111"/>
      <c r="CQ32520" s="111"/>
      <c r="EF32520"/>
      <c r="EG32520"/>
      <c r="EH32520"/>
      <c r="EI32520"/>
      <c r="EJ32520"/>
      <c r="EK32520"/>
    </row>
    <row r="32521" spans="1:141" s="116" customFormat="1">
      <c r="A32521" s="136"/>
      <c r="CM32521" s="111"/>
      <c r="CQ32521" s="111"/>
      <c r="EF32521"/>
      <c r="EG32521"/>
      <c r="EH32521"/>
      <c r="EI32521"/>
      <c r="EJ32521"/>
      <c r="EK32521"/>
    </row>
    <row r="32522" spans="1:141" s="116" customFormat="1">
      <c r="A32522" s="136"/>
      <c r="CM32522" s="111"/>
      <c r="CQ32522" s="111"/>
      <c r="EF32522"/>
      <c r="EG32522"/>
      <c r="EH32522"/>
      <c r="EI32522"/>
      <c r="EJ32522"/>
      <c r="EK32522"/>
    </row>
    <row r="32523" spans="1:141" s="116" customFormat="1">
      <c r="A32523" s="136"/>
      <c r="CM32523" s="111"/>
      <c r="CQ32523" s="111"/>
      <c r="EF32523"/>
      <c r="EG32523"/>
      <c r="EH32523"/>
      <c r="EI32523"/>
      <c r="EJ32523"/>
      <c r="EK32523"/>
    </row>
    <row r="32524" spans="1:141" s="116" customFormat="1">
      <c r="A32524" s="136"/>
      <c r="CM32524" s="111"/>
      <c r="CQ32524" s="111"/>
      <c r="EF32524"/>
      <c r="EG32524"/>
      <c r="EH32524"/>
      <c r="EI32524"/>
      <c r="EJ32524"/>
      <c r="EK32524"/>
    </row>
    <row r="32525" spans="1:141" s="116" customFormat="1">
      <c r="A32525" s="136"/>
      <c r="CM32525" s="111"/>
      <c r="CQ32525" s="111"/>
      <c r="EF32525"/>
      <c r="EG32525"/>
      <c r="EH32525"/>
      <c r="EI32525"/>
      <c r="EJ32525"/>
      <c r="EK32525"/>
    </row>
    <row r="32526" spans="1:141" s="116" customFormat="1">
      <c r="A32526" s="136"/>
      <c r="CM32526" s="111"/>
      <c r="CQ32526" s="111"/>
      <c r="EF32526"/>
      <c r="EG32526"/>
      <c r="EH32526"/>
      <c r="EI32526"/>
      <c r="EJ32526"/>
      <c r="EK32526"/>
    </row>
    <row r="32527" spans="1:141" s="116" customFormat="1">
      <c r="A32527" s="136"/>
      <c r="CM32527" s="111"/>
      <c r="CQ32527" s="111"/>
      <c r="EF32527"/>
      <c r="EG32527"/>
      <c r="EH32527"/>
      <c r="EI32527"/>
      <c r="EJ32527"/>
      <c r="EK32527"/>
    </row>
    <row r="32528" spans="1:141" s="116" customFormat="1">
      <c r="A32528" s="136"/>
      <c r="CM32528" s="111"/>
      <c r="CQ32528" s="111"/>
      <c r="EF32528"/>
      <c r="EG32528"/>
      <c r="EH32528"/>
      <c r="EI32528"/>
      <c r="EJ32528"/>
      <c r="EK32528"/>
    </row>
    <row r="32529" spans="1:141" s="116" customFormat="1">
      <c r="A32529" s="136"/>
      <c r="CM32529" s="111"/>
      <c r="CQ32529" s="111"/>
      <c r="EF32529"/>
      <c r="EG32529"/>
      <c r="EH32529"/>
      <c r="EI32529"/>
      <c r="EJ32529"/>
      <c r="EK32529"/>
    </row>
    <row r="32530" spans="1:141" s="116" customFormat="1">
      <c r="A32530" s="136"/>
      <c r="CM32530" s="111"/>
      <c r="CQ32530" s="111"/>
      <c r="EF32530"/>
      <c r="EG32530"/>
      <c r="EH32530"/>
      <c r="EI32530"/>
      <c r="EJ32530"/>
      <c r="EK32530"/>
    </row>
    <row r="32531" spans="1:141" s="116" customFormat="1">
      <c r="A32531" s="136"/>
      <c r="CM32531" s="111"/>
      <c r="CQ32531" s="111"/>
      <c r="EF32531"/>
      <c r="EG32531"/>
      <c r="EH32531"/>
      <c r="EI32531"/>
      <c r="EJ32531"/>
      <c r="EK32531"/>
    </row>
    <row r="32532" spans="1:141" s="116" customFormat="1">
      <c r="A32532" s="136"/>
      <c r="CM32532" s="111"/>
      <c r="CQ32532" s="111"/>
      <c r="EF32532"/>
      <c r="EG32532"/>
      <c r="EH32532"/>
      <c r="EI32532"/>
      <c r="EJ32532"/>
      <c r="EK32532"/>
    </row>
    <row r="32533" spans="1:141" s="116" customFormat="1">
      <c r="A32533" s="136"/>
      <c r="CM32533" s="111"/>
      <c r="CQ32533" s="111"/>
      <c r="EF32533"/>
      <c r="EG32533"/>
      <c r="EH32533"/>
      <c r="EI32533"/>
      <c r="EJ32533"/>
      <c r="EK32533"/>
    </row>
    <row r="32534" spans="1:141" s="116" customFormat="1">
      <c r="A32534" s="136"/>
      <c r="CM32534" s="111"/>
      <c r="CQ32534" s="111"/>
      <c r="EF32534"/>
      <c r="EG32534"/>
      <c r="EH32534"/>
      <c r="EI32534"/>
      <c r="EJ32534"/>
      <c r="EK32534"/>
    </row>
    <row r="32535" spans="1:141" s="116" customFormat="1">
      <c r="A32535" s="136"/>
      <c r="CM32535" s="111"/>
      <c r="CQ32535" s="111"/>
      <c r="EF32535"/>
      <c r="EG32535"/>
      <c r="EH32535"/>
      <c r="EI32535"/>
      <c r="EJ32535"/>
      <c r="EK32535"/>
    </row>
    <row r="32536" spans="1:141" s="116" customFormat="1">
      <c r="A32536" s="136"/>
      <c r="CM32536" s="111"/>
      <c r="CQ32536" s="111"/>
      <c r="EF32536"/>
      <c r="EG32536"/>
      <c r="EH32536"/>
      <c r="EI32536"/>
      <c r="EJ32536"/>
      <c r="EK32536"/>
    </row>
    <row r="32537" spans="1:141" s="116" customFormat="1">
      <c r="A32537" s="136"/>
      <c r="CM32537" s="111"/>
      <c r="CQ32537" s="111"/>
      <c r="EF32537"/>
      <c r="EG32537"/>
      <c r="EH32537"/>
      <c r="EI32537"/>
      <c r="EJ32537"/>
      <c r="EK32537"/>
    </row>
    <row r="32538" spans="1:141" s="116" customFormat="1">
      <c r="A32538" s="136"/>
      <c r="CM32538" s="111"/>
      <c r="CQ32538" s="111"/>
      <c r="EF32538"/>
      <c r="EG32538"/>
      <c r="EH32538"/>
      <c r="EI32538"/>
      <c r="EJ32538"/>
      <c r="EK32538"/>
    </row>
    <row r="32539" spans="1:141" s="116" customFormat="1">
      <c r="A32539" s="136"/>
      <c r="CM32539" s="111"/>
      <c r="CQ32539" s="111"/>
      <c r="EF32539"/>
      <c r="EG32539"/>
      <c r="EH32539"/>
      <c r="EI32539"/>
      <c r="EJ32539"/>
      <c r="EK32539"/>
    </row>
    <row r="32540" spans="1:141" s="116" customFormat="1">
      <c r="A32540" s="136"/>
      <c r="CM32540" s="111"/>
      <c r="CQ32540" s="111"/>
      <c r="EF32540"/>
      <c r="EG32540"/>
      <c r="EH32540"/>
      <c r="EI32540"/>
      <c r="EJ32540"/>
      <c r="EK32540"/>
    </row>
    <row r="32541" spans="1:141" s="116" customFormat="1">
      <c r="A32541" s="136"/>
      <c r="CM32541" s="111"/>
      <c r="CQ32541" s="111"/>
      <c r="EF32541"/>
      <c r="EG32541"/>
      <c r="EH32541"/>
      <c r="EI32541"/>
      <c r="EJ32541"/>
      <c r="EK32541"/>
    </row>
    <row r="32542" spans="1:141" s="116" customFormat="1">
      <c r="A32542" s="136"/>
      <c r="CM32542" s="111"/>
      <c r="CQ32542" s="111"/>
      <c r="EF32542"/>
      <c r="EG32542"/>
      <c r="EH32542"/>
      <c r="EI32542"/>
      <c r="EJ32542"/>
      <c r="EK32542"/>
    </row>
    <row r="32543" spans="1:141" s="116" customFormat="1">
      <c r="A32543" s="136"/>
      <c r="CM32543" s="111"/>
      <c r="CQ32543" s="111"/>
      <c r="EF32543"/>
      <c r="EG32543"/>
      <c r="EH32543"/>
      <c r="EI32543"/>
      <c r="EJ32543"/>
      <c r="EK32543"/>
    </row>
    <row r="32544" spans="1:141" s="116" customFormat="1">
      <c r="A32544" s="136"/>
      <c r="CM32544" s="111"/>
      <c r="CQ32544" s="111"/>
      <c r="EF32544"/>
      <c r="EG32544"/>
      <c r="EH32544"/>
      <c r="EI32544"/>
      <c r="EJ32544"/>
      <c r="EK32544"/>
    </row>
    <row r="32545" spans="1:141" s="116" customFormat="1">
      <c r="A32545" s="136"/>
      <c r="CM32545" s="111"/>
      <c r="CQ32545" s="111"/>
      <c r="EF32545"/>
      <c r="EG32545"/>
      <c r="EH32545"/>
      <c r="EI32545"/>
      <c r="EJ32545"/>
      <c r="EK32545"/>
    </row>
    <row r="32546" spans="1:141" s="116" customFormat="1">
      <c r="A32546" s="136"/>
      <c r="CM32546" s="111"/>
      <c r="CQ32546" s="111"/>
      <c r="EF32546"/>
      <c r="EG32546"/>
      <c r="EH32546"/>
      <c r="EI32546"/>
      <c r="EJ32546"/>
      <c r="EK32546"/>
    </row>
    <row r="32547" spans="1:141" s="116" customFormat="1">
      <c r="A32547" s="136"/>
      <c r="CM32547" s="111"/>
      <c r="CQ32547" s="111"/>
      <c r="EF32547"/>
      <c r="EG32547"/>
      <c r="EH32547"/>
      <c r="EI32547"/>
      <c r="EJ32547"/>
      <c r="EK32547"/>
    </row>
    <row r="32548" spans="1:141" s="116" customFormat="1">
      <c r="A32548" s="136"/>
      <c r="CM32548" s="111"/>
      <c r="CQ32548" s="111"/>
      <c r="EF32548"/>
      <c r="EG32548"/>
      <c r="EH32548"/>
      <c r="EI32548"/>
      <c r="EJ32548"/>
      <c r="EK32548"/>
    </row>
    <row r="32549" spans="1:141" s="116" customFormat="1">
      <c r="A32549" s="136"/>
      <c r="CM32549" s="111"/>
      <c r="CQ32549" s="111"/>
      <c r="EF32549"/>
      <c r="EG32549"/>
      <c r="EH32549"/>
      <c r="EI32549"/>
      <c r="EJ32549"/>
      <c r="EK32549"/>
    </row>
    <row r="32550" spans="1:141" s="116" customFormat="1">
      <c r="A32550" s="136"/>
      <c r="CM32550" s="111"/>
      <c r="CQ32550" s="111"/>
      <c r="EF32550"/>
      <c r="EG32550"/>
      <c r="EH32550"/>
      <c r="EI32550"/>
      <c r="EJ32550"/>
      <c r="EK32550"/>
    </row>
    <row r="32551" spans="1:141" s="116" customFormat="1">
      <c r="A32551" s="136"/>
      <c r="CM32551" s="111"/>
      <c r="CQ32551" s="111"/>
      <c r="EF32551"/>
      <c r="EG32551"/>
      <c r="EH32551"/>
      <c r="EI32551"/>
      <c r="EJ32551"/>
      <c r="EK32551"/>
    </row>
    <row r="32552" spans="1:141" s="116" customFormat="1">
      <c r="A32552" s="136"/>
      <c r="CM32552" s="111"/>
      <c r="CQ32552" s="111"/>
      <c r="EF32552"/>
      <c r="EG32552"/>
      <c r="EH32552"/>
      <c r="EI32552"/>
      <c r="EJ32552"/>
      <c r="EK32552"/>
    </row>
    <row r="32553" spans="1:141" s="116" customFormat="1">
      <c r="A32553" s="136"/>
      <c r="CM32553" s="111"/>
      <c r="CQ32553" s="111"/>
      <c r="EF32553"/>
      <c r="EG32553"/>
      <c r="EH32553"/>
      <c r="EI32553"/>
      <c r="EJ32553"/>
      <c r="EK32553"/>
    </row>
    <row r="32554" spans="1:141" s="116" customFormat="1">
      <c r="A32554" s="136"/>
      <c r="CM32554" s="111"/>
      <c r="CQ32554" s="111"/>
      <c r="EF32554"/>
      <c r="EG32554"/>
      <c r="EH32554"/>
      <c r="EI32554"/>
      <c r="EJ32554"/>
      <c r="EK32554"/>
    </row>
    <row r="32555" spans="1:141" s="116" customFormat="1">
      <c r="A32555" s="136"/>
      <c r="CM32555" s="111"/>
      <c r="CQ32555" s="111"/>
      <c r="EF32555"/>
      <c r="EG32555"/>
      <c r="EH32555"/>
      <c r="EI32555"/>
      <c r="EJ32555"/>
      <c r="EK32555"/>
    </row>
    <row r="32556" spans="1:141" s="116" customFormat="1">
      <c r="A32556" s="136"/>
      <c r="CM32556" s="111"/>
      <c r="CQ32556" s="111"/>
      <c r="EF32556"/>
      <c r="EG32556"/>
      <c r="EH32556"/>
      <c r="EI32556"/>
      <c r="EJ32556"/>
      <c r="EK32556"/>
    </row>
    <row r="32557" spans="1:141" s="116" customFormat="1">
      <c r="A32557" s="136"/>
      <c r="CM32557" s="111"/>
      <c r="CQ32557" s="111"/>
      <c r="EF32557"/>
      <c r="EG32557"/>
      <c r="EH32557"/>
      <c r="EI32557"/>
      <c r="EJ32557"/>
      <c r="EK32557"/>
    </row>
    <row r="32558" spans="1:141" s="116" customFormat="1">
      <c r="A32558" s="136"/>
      <c r="CM32558" s="111"/>
      <c r="CQ32558" s="111"/>
      <c r="EF32558"/>
      <c r="EG32558"/>
      <c r="EH32558"/>
      <c r="EI32558"/>
      <c r="EJ32558"/>
      <c r="EK32558"/>
    </row>
    <row r="32559" spans="1:141" s="116" customFormat="1">
      <c r="A32559" s="136"/>
      <c r="CM32559" s="111"/>
      <c r="CQ32559" s="111"/>
      <c r="EF32559"/>
      <c r="EG32559"/>
      <c r="EH32559"/>
      <c r="EI32559"/>
      <c r="EJ32559"/>
      <c r="EK32559"/>
    </row>
    <row r="32560" spans="1:141" s="116" customFormat="1">
      <c r="A32560" s="136"/>
      <c r="CM32560" s="111"/>
      <c r="CQ32560" s="111"/>
      <c r="EF32560"/>
      <c r="EG32560"/>
      <c r="EH32560"/>
      <c r="EI32560"/>
      <c r="EJ32560"/>
      <c r="EK32560"/>
    </row>
    <row r="32561" spans="1:141" s="116" customFormat="1">
      <c r="A32561" s="136"/>
      <c r="CM32561" s="111"/>
      <c r="CQ32561" s="111"/>
      <c r="EF32561"/>
      <c r="EG32561"/>
      <c r="EH32561"/>
      <c r="EI32561"/>
      <c r="EJ32561"/>
      <c r="EK32561"/>
    </row>
    <row r="32562" spans="1:141" s="116" customFormat="1">
      <c r="A32562" s="136"/>
      <c r="CM32562" s="111"/>
      <c r="CQ32562" s="111"/>
      <c r="EF32562"/>
      <c r="EG32562"/>
      <c r="EH32562"/>
      <c r="EI32562"/>
      <c r="EJ32562"/>
      <c r="EK32562"/>
    </row>
    <row r="32563" spans="1:141" s="116" customFormat="1">
      <c r="A32563" s="136"/>
      <c r="CM32563" s="111"/>
      <c r="CQ32563" s="111"/>
      <c r="EF32563"/>
      <c r="EG32563"/>
      <c r="EH32563"/>
      <c r="EI32563"/>
      <c r="EJ32563"/>
      <c r="EK32563"/>
    </row>
    <row r="32564" spans="1:141" s="116" customFormat="1">
      <c r="A32564" s="136"/>
      <c r="CM32564" s="111"/>
      <c r="CQ32564" s="111"/>
      <c r="EF32564"/>
      <c r="EG32564"/>
      <c r="EH32564"/>
      <c r="EI32564"/>
      <c r="EJ32564"/>
      <c r="EK32564"/>
    </row>
    <row r="32565" spans="1:141" s="116" customFormat="1">
      <c r="A32565" s="136"/>
      <c r="CM32565" s="111"/>
      <c r="CQ32565" s="111"/>
      <c r="EF32565"/>
      <c r="EG32565"/>
      <c r="EH32565"/>
      <c r="EI32565"/>
      <c r="EJ32565"/>
      <c r="EK32565"/>
    </row>
    <row r="32566" spans="1:141" s="116" customFormat="1">
      <c r="A32566" s="136"/>
      <c r="CM32566" s="111"/>
      <c r="CQ32566" s="111"/>
      <c r="EF32566"/>
      <c r="EG32566"/>
      <c r="EH32566"/>
      <c r="EI32566"/>
      <c r="EJ32566"/>
      <c r="EK32566"/>
    </row>
    <row r="32567" spans="1:141" s="116" customFormat="1">
      <c r="A32567" s="136"/>
      <c r="CM32567" s="111"/>
      <c r="CQ32567" s="111"/>
      <c r="EF32567"/>
      <c r="EG32567"/>
      <c r="EH32567"/>
      <c r="EI32567"/>
      <c r="EJ32567"/>
      <c r="EK32567"/>
    </row>
    <row r="32568" spans="1:141" s="116" customFormat="1">
      <c r="A32568" s="136"/>
      <c r="CM32568" s="111"/>
      <c r="CQ32568" s="111"/>
      <c r="EF32568"/>
      <c r="EG32568"/>
      <c r="EH32568"/>
      <c r="EI32568"/>
      <c r="EJ32568"/>
      <c r="EK32568"/>
    </row>
    <row r="32569" spans="1:141" s="116" customFormat="1">
      <c r="A32569" s="136"/>
      <c r="CM32569" s="111"/>
      <c r="CQ32569" s="111"/>
      <c r="EF32569"/>
      <c r="EG32569"/>
      <c r="EH32569"/>
      <c r="EI32569"/>
      <c r="EJ32569"/>
      <c r="EK32569"/>
    </row>
    <row r="32570" spans="1:141" s="116" customFormat="1">
      <c r="A32570" s="136"/>
      <c r="CM32570" s="111"/>
      <c r="CQ32570" s="111"/>
      <c r="EF32570"/>
      <c r="EG32570"/>
      <c r="EH32570"/>
      <c r="EI32570"/>
      <c r="EJ32570"/>
      <c r="EK32570"/>
    </row>
    <row r="32571" spans="1:141" s="116" customFormat="1">
      <c r="A32571" s="136"/>
      <c r="CM32571" s="111"/>
      <c r="CQ32571" s="111"/>
      <c r="EF32571"/>
      <c r="EG32571"/>
      <c r="EH32571"/>
      <c r="EI32571"/>
      <c r="EJ32571"/>
      <c r="EK32571"/>
    </row>
    <row r="32572" spans="1:141" s="116" customFormat="1">
      <c r="A32572" s="136"/>
      <c r="CM32572" s="111"/>
      <c r="CQ32572" s="111"/>
      <c r="EF32572"/>
      <c r="EG32572"/>
      <c r="EH32572"/>
      <c r="EI32572"/>
      <c r="EJ32572"/>
      <c r="EK32572"/>
    </row>
    <row r="32573" spans="1:141" s="116" customFormat="1">
      <c r="A32573" s="136"/>
      <c r="CM32573" s="111"/>
      <c r="CQ32573" s="111"/>
      <c r="EF32573"/>
      <c r="EG32573"/>
      <c r="EH32573"/>
      <c r="EI32573"/>
      <c r="EJ32573"/>
      <c r="EK32573"/>
    </row>
    <row r="32574" spans="1:141" s="116" customFormat="1">
      <c r="A32574" s="136"/>
      <c r="CM32574" s="111"/>
      <c r="CQ32574" s="111"/>
      <c r="EF32574"/>
      <c r="EG32574"/>
      <c r="EH32574"/>
      <c r="EI32574"/>
      <c r="EJ32574"/>
      <c r="EK32574"/>
    </row>
    <row r="32575" spans="1:141" s="116" customFormat="1">
      <c r="A32575" s="136"/>
      <c r="CM32575" s="111"/>
      <c r="CQ32575" s="111"/>
      <c r="EF32575"/>
      <c r="EG32575"/>
      <c r="EH32575"/>
      <c r="EI32575"/>
      <c r="EJ32575"/>
      <c r="EK32575"/>
    </row>
    <row r="32576" spans="1:141" s="116" customFormat="1">
      <c r="A32576" s="136"/>
      <c r="CM32576" s="111"/>
      <c r="CQ32576" s="111"/>
      <c r="EF32576"/>
      <c r="EG32576"/>
      <c r="EH32576"/>
      <c r="EI32576"/>
      <c r="EJ32576"/>
      <c r="EK32576"/>
    </row>
    <row r="32577" spans="1:141" s="116" customFormat="1">
      <c r="A32577" s="136"/>
      <c r="CM32577" s="111"/>
      <c r="CQ32577" s="111"/>
      <c r="EF32577"/>
      <c r="EG32577"/>
      <c r="EH32577"/>
      <c r="EI32577"/>
      <c r="EJ32577"/>
      <c r="EK32577"/>
    </row>
    <row r="32578" spans="1:141" s="116" customFormat="1">
      <c r="A32578" s="136"/>
      <c r="CM32578" s="111"/>
      <c r="CQ32578" s="111"/>
      <c r="EF32578"/>
      <c r="EG32578"/>
      <c r="EH32578"/>
      <c r="EI32578"/>
      <c r="EJ32578"/>
      <c r="EK32578"/>
    </row>
    <row r="32579" spans="1:141" s="116" customFormat="1">
      <c r="A32579" s="136"/>
      <c r="CM32579" s="111"/>
      <c r="CQ32579" s="111"/>
      <c r="EF32579"/>
      <c r="EG32579"/>
      <c r="EH32579"/>
      <c r="EI32579"/>
      <c r="EJ32579"/>
      <c r="EK32579"/>
    </row>
    <row r="32580" spans="1:141" s="116" customFormat="1">
      <c r="A32580" s="136"/>
      <c r="CM32580" s="111"/>
      <c r="CQ32580" s="111"/>
      <c r="EF32580"/>
      <c r="EG32580"/>
      <c r="EH32580"/>
      <c r="EI32580"/>
      <c r="EJ32580"/>
      <c r="EK32580"/>
    </row>
    <row r="32581" spans="1:141" s="116" customFormat="1">
      <c r="A32581" s="136"/>
      <c r="CM32581" s="111"/>
      <c r="CQ32581" s="111"/>
      <c r="EF32581"/>
      <c r="EG32581"/>
      <c r="EH32581"/>
      <c r="EI32581"/>
      <c r="EJ32581"/>
      <c r="EK32581"/>
    </row>
    <row r="32582" spans="1:141" s="116" customFormat="1">
      <c r="A32582" s="136"/>
      <c r="CM32582" s="111"/>
      <c r="CQ32582" s="111"/>
      <c r="EF32582"/>
      <c r="EG32582"/>
      <c r="EH32582"/>
      <c r="EI32582"/>
      <c r="EJ32582"/>
      <c r="EK32582"/>
    </row>
    <row r="32583" spans="1:141" s="116" customFormat="1">
      <c r="A32583" s="136"/>
      <c r="CM32583" s="111"/>
      <c r="CQ32583" s="111"/>
      <c r="EF32583"/>
      <c r="EG32583"/>
      <c r="EH32583"/>
      <c r="EI32583"/>
      <c r="EJ32583"/>
      <c r="EK32583"/>
    </row>
    <row r="32584" spans="1:141" s="116" customFormat="1">
      <c r="A32584" s="136"/>
      <c r="CM32584" s="111"/>
      <c r="CQ32584" s="111"/>
      <c r="EF32584"/>
      <c r="EG32584"/>
      <c r="EH32584"/>
      <c r="EI32584"/>
      <c r="EJ32584"/>
      <c r="EK32584"/>
    </row>
    <row r="32585" spans="1:141" s="116" customFormat="1">
      <c r="A32585" s="136"/>
      <c r="CM32585" s="111"/>
      <c r="CQ32585" s="111"/>
      <c r="EF32585"/>
      <c r="EG32585"/>
      <c r="EH32585"/>
      <c r="EI32585"/>
      <c r="EJ32585"/>
      <c r="EK32585"/>
    </row>
    <row r="32586" spans="1:141" s="116" customFormat="1">
      <c r="A32586" s="136"/>
      <c r="CM32586" s="111"/>
      <c r="CQ32586" s="111"/>
      <c r="EF32586"/>
      <c r="EG32586"/>
      <c r="EH32586"/>
      <c r="EI32586"/>
      <c r="EJ32586"/>
      <c r="EK32586"/>
    </row>
    <row r="32587" spans="1:141" s="116" customFormat="1">
      <c r="A32587" s="136"/>
      <c r="CM32587" s="111"/>
      <c r="CQ32587" s="111"/>
      <c r="EF32587"/>
      <c r="EG32587"/>
      <c r="EH32587"/>
      <c r="EI32587"/>
      <c r="EJ32587"/>
      <c r="EK32587"/>
    </row>
    <row r="32588" spans="1:141" s="116" customFormat="1">
      <c r="A32588" s="136"/>
      <c r="CM32588" s="111"/>
      <c r="CQ32588" s="111"/>
      <c r="EF32588"/>
      <c r="EG32588"/>
      <c r="EH32588"/>
      <c r="EI32588"/>
      <c r="EJ32588"/>
      <c r="EK32588"/>
    </row>
    <row r="32589" spans="1:141" s="116" customFormat="1">
      <c r="A32589" s="136"/>
      <c r="CM32589" s="111"/>
      <c r="CQ32589" s="111"/>
      <c r="EF32589"/>
      <c r="EG32589"/>
      <c r="EH32589"/>
      <c r="EI32589"/>
      <c r="EJ32589"/>
      <c r="EK32589"/>
    </row>
    <row r="32590" spans="1:141" s="116" customFormat="1">
      <c r="A32590" s="136"/>
      <c r="CM32590" s="111"/>
      <c r="CQ32590" s="111"/>
      <c r="EF32590"/>
      <c r="EG32590"/>
      <c r="EH32590"/>
      <c r="EI32590"/>
      <c r="EJ32590"/>
      <c r="EK32590"/>
    </row>
    <row r="32591" spans="1:141" s="116" customFormat="1">
      <c r="A32591" s="136"/>
      <c r="CM32591" s="111"/>
      <c r="CQ32591" s="111"/>
      <c r="EF32591"/>
      <c r="EG32591"/>
      <c r="EH32591"/>
      <c r="EI32591"/>
      <c r="EJ32591"/>
      <c r="EK32591"/>
    </row>
    <row r="32592" spans="1:141" s="116" customFormat="1">
      <c r="A32592" s="136"/>
      <c r="CM32592" s="111"/>
      <c r="CQ32592" s="111"/>
      <c r="EF32592"/>
      <c r="EG32592"/>
      <c r="EH32592"/>
      <c r="EI32592"/>
      <c r="EJ32592"/>
      <c r="EK32592"/>
    </row>
    <row r="32593" spans="1:141" s="116" customFormat="1">
      <c r="A32593" s="136"/>
      <c r="CM32593" s="111"/>
      <c r="CQ32593" s="111"/>
      <c r="EF32593"/>
      <c r="EG32593"/>
      <c r="EH32593"/>
      <c r="EI32593"/>
      <c r="EJ32593"/>
      <c r="EK32593"/>
    </row>
    <row r="32594" spans="1:141" s="116" customFormat="1">
      <c r="A32594" s="136"/>
      <c r="CM32594" s="111"/>
      <c r="CQ32594" s="111"/>
      <c r="EF32594"/>
      <c r="EG32594"/>
      <c r="EH32594"/>
      <c r="EI32594"/>
      <c r="EJ32594"/>
      <c r="EK32594"/>
    </row>
    <row r="32595" spans="1:141" s="116" customFormat="1">
      <c r="A32595" s="136"/>
      <c r="CM32595" s="111"/>
      <c r="CQ32595" s="111"/>
      <c r="EF32595"/>
      <c r="EG32595"/>
      <c r="EH32595"/>
      <c r="EI32595"/>
      <c r="EJ32595"/>
      <c r="EK32595"/>
    </row>
    <row r="32596" spans="1:141" s="116" customFormat="1">
      <c r="A32596" s="136"/>
      <c r="CM32596" s="111"/>
      <c r="CQ32596" s="111"/>
      <c r="EF32596"/>
      <c r="EG32596"/>
      <c r="EH32596"/>
      <c r="EI32596"/>
      <c r="EJ32596"/>
      <c r="EK32596"/>
    </row>
    <row r="32597" spans="1:141" s="116" customFormat="1">
      <c r="A32597" s="136"/>
      <c r="CM32597" s="111"/>
      <c r="CQ32597" s="111"/>
      <c r="EF32597"/>
      <c r="EG32597"/>
      <c r="EH32597"/>
      <c r="EI32597"/>
      <c r="EJ32597"/>
      <c r="EK32597"/>
    </row>
    <row r="32598" spans="1:141" s="116" customFormat="1">
      <c r="A32598" s="136"/>
      <c r="CM32598" s="111"/>
      <c r="CQ32598" s="111"/>
      <c r="EF32598"/>
      <c r="EG32598"/>
      <c r="EH32598"/>
      <c r="EI32598"/>
      <c r="EJ32598"/>
      <c r="EK32598"/>
    </row>
    <row r="32599" spans="1:141" s="116" customFormat="1">
      <c r="A32599" s="136"/>
      <c r="CM32599" s="111"/>
      <c r="CQ32599" s="111"/>
      <c r="EF32599"/>
      <c r="EG32599"/>
      <c r="EH32599"/>
      <c r="EI32599"/>
      <c r="EJ32599"/>
      <c r="EK32599"/>
    </row>
    <row r="32600" spans="1:141" s="116" customFormat="1">
      <c r="A32600" s="136"/>
      <c r="CM32600" s="111"/>
      <c r="CQ32600" s="111"/>
      <c r="EF32600"/>
      <c r="EG32600"/>
      <c r="EH32600"/>
      <c r="EI32600"/>
      <c r="EJ32600"/>
      <c r="EK32600"/>
    </row>
    <row r="32601" spans="1:141" s="116" customFormat="1">
      <c r="A32601" s="136"/>
      <c r="CM32601" s="111"/>
      <c r="CQ32601" s="111"/>
      <c r="EF32601"/>
      <c r="EG32601"/>
      <c r="EH32601"/>
      <c r="EI32601"/>
      <c r="EJ32601"/>
      <c r="EK32601"/>
    </row>
    <row r="32602" spans="1:141" s="116" customFormat="1">
      <c r="A32602" s="136"/>
      <c r="CM32602" s="111"/>
      <c r="CQ32602" s="111"/>
      <c r="EF32602"/>
      <c r="EG32602"/>
      <c r="EH32602"/>
      <c r="EI32602"/>
      <c r="EJ32602"/>
      <c r="EK32602"/>
    </row>
    <row r="32603" spans="1:141" s="116" customFormat="1">
      <c r="A32603" s="136"/>
      <c r="CM32603" s="111"/>
      <c r="CQ32603" s="111"/>
      <c r="EF32603"/>
      <c r="EG32603"/>
      <c r="EH32603"/>
      <c r="EI32603"/>
      <c r="EJ32603"/>
      <c r="EK32603"/>
    </row>
    <row r="32604" spans="1:141" s="116" customFormat="1">
      <c r="A32604" s="136"/>
      <c r="CM32604" s="111"/>
      <c r="CQ32604" s="111"/>
      <c r="EF32604"/>
      <c r="EG32604"/>
      <c r="EH32604"/>
      <c r="EI32604"/>
      <c r="EJ32604"/>
      <c r="EK32604"/>
    </row>
    <row r="32605" spans="1:141" s="116" customFormat="1">
      <c r="A32605" s="136"/>
      <c r="CM32605" s="111"/>
      <c r="CQ32605" s="111"/>
      <c r="EF32605"/>
      <c r="EG32605"/>
      <c r="EH32605"/>
      <c r="EI32605"/>
      <c r="EJ32605"/>
      <c r="EK32605"/>
    </row>
    <row r="32606" spans="1:141" s="116" customFormat="1">
      <c r="A32606" s="136"/>
      <c r="CM32606" s="111"/>
      <c r="CQ32606" s="111"/>
      <c r="EF32606"/>
      <c r="EG32606"/>
      <c r="EH32606"/>
      <c r="EI32606"/>
      <c r="EJ32606"/>
      <c r="EK32606"/>
    </row>
    <row r="32607" spans="1:141" s="116" customFormat="1">
      <c r="A32607" s="136"/>
      <c r="CM32607" s="111"/>
      <c r="CQ32607" s="111"/>
      <c r="EF32607"/>
      <c r="EG32607"/>
      <c r="EH32607"/>
      <c r="EI32607"/>
      <c r="EJ32607"/>
      <c r="EK32607"/>
    </row>
    <row r="32608" spans="1:141" s="116" customFormat="1">
      <c r="A32608" s="136"/>
      <c r="CM32608" s="111"/>
      <c r="CQ32608" s="111"/>
      <c r="EF32608"/>
      <c r="EG32608"/>
      <c r="EH32608"/>
      <c r="EI32608"/>
      <c r="EJ32608"/>
      <c r="EK32608"/>
    </row>
    <row r="32609" spans="1:141" s="116" customFormat="1">
      <c r="A32609" s="136"/>
      <c r="CM32609" s="111"/>
      <c r="CQ32609" s="111"/>
      <c r="EF32609"/>
      <c r="EG32609"/>
      <c r="EH32609"/>
      <c r="EI32609"/>
      <c r="EJ32609"/>
      <c r="EK32609"/>
    </row>
    <row r="32610" spans="1:141" s="116" customFormat="1">
      <c r="A32610" s="136"/>
      <c r="CM32610" s="111"/>
      <c r="CQ32610" s="111"/>
      <c r="EF32610"/>
      <c r="EG32610"/>
      <c r="EH32610"/>
      <c r="EI32610"/>
      <c r="EJ32610"/>
      <c r="EK32610"/>
    </row>
    <row r="32611" spans="1:141" s="116" customFormat="1">
      <c r="A32611" s="136"/>
      <c r="CM32611" s="111"/>
      <c r="CQ32611" s="111"/>
      <c r="EF32611"/>
      <c r="EG32611"/>
      <c r="EH32611"/>
      <c r="EI32611"/>
      <c r="EJ32611"/>
      <c r="EK32611"/>
    </row>
    <row r="32612" spans="1:141" s="116" customFormat="1">
      <c r="A32612" s="136"/>
      <c r="CM32612" s="111"/>
      <c r="CQ32612" s="111"/>
      <c r="EF32612"/>
      <c r="EG32612"/>
      <c r="EH32612"/>
      <c r="EI32612"/>
      <c r="EJ32612"/>
      <c r="EK32612"/>
    </row>
    <row r="32613" spans="1:141" s="116" customFormat="1">
      <c r="A32613" s="136"/>
      <c r="CM32613" s="111"/>
      <c r="CQ32613" s="111"/>
      <c r="EF32613"/>
      <c r="EG32613"/>
      <c r="EH32613"/>
      <c r="EI32613"/>
      <c r="EJ32613"/>
      <c r="EK32613"/>
    </row>
    <row r="32614" spans="1:141" s="116" customFormat="1">
      <c r="A32614" s="136"/>
      <c r="CM32614" s="111"/>
      <c r="CQ32614" s="111"/>
      <c r="EF32614"/>
      <c r="EG32614"/>
      <c r="EH32614"/>
      <c r="EI32614"/>
      <c r="EJ32614"/>
      <c r="EK32614"/>
    </row>
    <row r="32615" spans="1:141" s="116" customFormat="1">
      <c r="A32615" s="136"/>
      <c r="CM32615" s="111"/>
      <c r="CQ32615" s="111"/>
      <c r="EF32615"/>
      <c r="EG32615"/>
      <c r="EH32615"/>
      <c r="EI32615"/>
      <c r="EJ32615"/>
      <c r="EK32615"/>
    </row>
    <row r="32616" spans="1:141" s="116" customFormat="1">
      <c r="A32616" s="136"/>
      <c r="CM32616" s="111"/>
      <c r="CQ32616" s="111"/>
      <c r="EF32616"/>
      <c r="EG32616"/>
      <c r="EH32616"/>
      <c r="EI32616"/>
      <c r="EJ32616"/>
      <c r="EK32616"/>
    </row>
    <row r="32617" spans="1:141" s="116" customFormat="1">
      <c r="A32617" s="136"/>
      <c r="CM32617" s="111"/>
      <c r="CQ32617" s="111"/>
      <c r="EF32617"/>
      <c r="EG32617"/>
      <c r="EH32617"/>
      <c r="EI32617"/>
      <c r="EJ32617"/>
      <c r="EK32617"/>
    </row>
    <row r="32618" spans="1:141" s="116" customFormat="1">
      <c r="A32618" s="136"/>
      <c r="CM32618" s="111"/>
      <c r="CQ32618" s="111"/>
      <c r="EF32618"/>
      <c r="EG32618"/>
      <c r="EH32618"/>
      <c r="EI32618"/>
      <c r="EJ32618"/>
      <c r="EK32618"/>
    </row>
    <row r="32619" spans="1:141" s="116" customFormat="1">
      <c r="A32619" s="136"/>
      <c r="CM32619" s="111"/>
      <c r="CQ32619" s="111"/>
      <c r="EF32619"/>
      <c r="EG32619"/>
      <c r="EH32619"/>
      <c r="EI32619"/>
      <c r="EJ32619"/>
      <c r="EK32619"/>
    </row>
    <row r="32620" spans="1:141" s="116" customFormat="1">
      <c r="A32620" s="136"/>
      <c r="CM32620" s="111"/>
      <c r="CQ32620" s="111"/>
      <c r="EF32620"/>
      <c r="EG32620"/>
      <c r="EH32620"/>
      <c r="EI32620"/>
      <c r="EJ32620"/>
      <c r="EK32620"/>
    </row>
    <row r="32621" spans="1:141" s="116" customFormat="1">
      <c r="A32621" s="136"/>
      <c r="CM32621" s="111"/>
      <c r="CQ32621" s="111"/>
      <c r="EF32621"/>
      <c r="EG32621"/>
      <c r="EH32621"/>
      <c r="EI32621"/>
      <c r="EJ32621"/>
      <c r="EK32621"/>
    </row>
    <row r="32622" spans="1:141" s="116" customFormat="1">
      <c r="A32622" s="136"/>
      <c r="CM32622" s="111"/>
      <c r="CQ32622" s="111"/>
      <c r="EF32622"/>
      <c r="EG32622"/>
      <c r="EH32622"/>
      <c r="EI32622"/>
      <c r="EJ32622"/>
      <c r="EK32622"/>
    </row>
    <row r="32623" spans="1:141" s="116" customFormat="1">
      <c r="A32623" s="136"/>
      <c r="CM32623" s="111"/>
      <c r="CQ32623" s="111"/>
      <c r="EF32623"/>
      <c r="EG32623"/>
      <c r="EH32623"/>
      <c r="EI32623"/>
      <c r="EJ32623"/>
      <c r="EK32623"/>
    </row>
    <row r="32624" spans="1:141" s="116" customFormat="1">
      <c r="A32624" s="136"/>
      <c r="CM32624" s="111"/>
      <c r="CQ32624" s="111"/>
      <c r="EF32624"/>
      <c r="EG32624"/>
      <c r="EH32624"/>
      <c r="EI32624"/>
      <c r="EJ32624"/>
      <c r="EK32624"/>
    </row>
    <row r="32625" spans="1:141" s="116" customFormat="1">
      <c r="A32625" s="136"/>
      <c r="CM32625" s="111"/>
      <c r="CQ32625" s="111"/>
      <c r="EF32625"/>
      <c r="EG32625"/>
      <c r="EH32625"/>
      <c r="EI32625"/>
      <c r="EJ32625"/>
      <c r="EK32625"/>
    </row>
    <row r="32626" spans="1:141" s="116" customFormat="1">
      <c r="A32626" s="136"/>
      <c r="CM32626" s="111"/>
      <c r="CQ32626" s="111"/>
      <c r="EF32626"/>
      <c r="EG32626"/>
      <c r="EH32626"/>
      <c r="EI32626"/>
      <c r="EJ32626"/>
      <c r="EK32626"/>
    </row>
    <row r="32627" spans="1:141" s="116" customFormat="1">
      <c r="A32627" s="136"/>
      <c r="CM32627" s="111"/>
      <c r="CQ32627" s="111"/>
      <c r="EF32627"/>
      <c r="EG32627"/>
      <c r="EH32627"/>
      <c r="EI32627"/>
      <c r="EJ32627"/>
      <c r="EK32627"/>
    </row>
    <row r="32628" spans="1:141" s="116" customFormat="1">
      <c r="A32628" s="136"/>
      <c r="CM32628" s="111"/>
      <c r="CQ32628" s="111"/>
      <c r="EF32628"/>
      <c r="EG32628"/>
      <c r="EH32628"/>
      <c r="EI32628"/>
      <c r="EJ32628"/>
      <c r="EK32628"/>
    </row>
    <row r="32629" spans="1:141" s="116" customFormat="1">
      <c r="A32629" s="136"/>
      <c r="CM32629" s="111"/>
      <c r="CQ32629" s="111"/>
      <c r="EF32629"/>
      <c r="EG32629"/>
      <c r="EH32629"/>
      <c r="EI32629"/>
      <c r="EJ32629"/>
      <c r="EK32629"/>
    </row>
    <row r="32630" spans="1:141" s="116" customFormat="1">
      <c r="A32630" s="136"/>
      <c r="CM32630" s="111"/>
      <c r="CQ32630" s="111"/>
      <c r="EF32630"/>
      <c r="EG32630"/>
      <c r="EH32630"/>
      <c r="EI32630"/>
      <c r="EJ32630"/>
      <c r="EK32630"/>
    </row>
    <row r="32631" spans="1:141" s="116" customFormat="1">
      <c r="A32631" s="136"/>
      <c r="CM32631" s="111"/>
      <c r="CQ32631" s="111"/>
      <c r="EF32631"/>
      <c r="EG32631"/>
      <c r="EH32631"/>
      <c r="EI32631"/>
      <c r="EJ32631"/>
      <c r="EK32631"/>
    </row>
    <row r="32632" spans="1:141" s="116" customFormat="1">
      <c r="A32632" s="136"/>
      <c r="CM32632" s="111"/>
      <c r="CQ32632" s="111"/>
      <c r="EF32632"/>
      <c r="EG32632"/>
      <c r="EH32632"/>
      <c r="EI32632"/>
      <c r="EJ32632"/>
      <c r="EK32632"/>
    </row>
    <row r="32633" spans="1:141" s="116" customFormat="1">
      <c r="A32633" s="136"/>
      <c r="CM32633" s="111"/>
      <c r="CQ32633" s="111"/>
      <c r="EF32633"/>
      <c r="EG32633"/>
      <c r="EH32633"/>
      <c r="EI32633"/>
      <c r="EJ32633"/>
      <c r="EK32633"/>
    </row>
    <row r="32634" spans="1:141" s="116" customFormat="1">
      <c r="A32634" s="136"/>
      <c r="CM32634" s="111"/>
      <c r="CQ32634" s="111"/>
      <c r="EF32634"/>
      <c r="EG32634"/>
      <c r="EH32634"/>
      <c r="EI32634"/>
      <c r="EJ32634"/>
      <c r="EK32634"/>
    </row>
    <row r="32635" spans="1:141" s="116" customFormat="1">
      <c r="A32635" s="136"/>
      <c r="CM32635" s="111"/>
      <c r="CQ32635" s="111"/>
      <c r="EF32635"/>
      <c r="EG32635"/>
      <c r="EH32635"/>
      <c r="EI32635"/>
      <c r="EJ32635"/>
      <c r="EK32635"/>
    </row>
    <row r="32636" spans="1:141" s="116" customFormat="1">
      <c r="A32636" s="136"/>
      <c r="CM32636" s="111"/>
      <c r="CQ32636" s="111"/>
      <c r="EF32636"/>
      <c r="EG32636"/>
      <c r="EH32636"/>
      <c r="EI32636"/>
      <c r="EJ32636"/>
      <c r="EK32636"/>
    </row>
    <row r="32637" spans="1:141" s="116" customFormat="1">
      <c r="A32637" s="136"/>
      <c r="CM32637" s="111"/>
      <c r="CQ32637" s="111"/>
      <c r="EF32637"/>
      <c r="EG32637"/>
      <c r="EH32637"/>
      <c r="EI32637"/>
      <c r="EJ32637"/>
      <c r="EK32637"/>
    </row>
    <row r="32638" spans="1:141" s="116" customFormat="1">
      <c r="A32638" s="136"/>
      <c r="CM32638" s="111"/>
      <c r="CQ32638" s="111"/>
      <c r="EF32638"/>
      <c r="EG32638"/>
      <c r="EH32638"/>
      <c r="EI32638"/>
      <c r="EJ32638"/>
      <c r="EK32638"/>
    </row>
    <row r="32639" spans="1:141" s="116" customFormat="1">
      <c r="A32639" s="136"/>
      <c r="CM32639" s="111"/>
      <c r="CQ32639" s="111"/>
      <c r="EF32639"/>
      <c r="EG32639"/>
      <c r="EH32639"/>
      <c r="EI32639"/>
      <c r="EJ32639"/>
      <c r="EK32639"/>
    </row>
    <row r="32640" spans="1:141" s="116" customFormat="1">
      <c r="A32640" s="136"/>
      <c r="CM32640" s="111"/>
      <c r="CQ32640" s="111"/>
      <c r="EF32640"/>
      <c r="EG32640"/>
      <c r="EH32640"/>
      <c r="EI32640"/>
      <c r="EJ32640"/>
      <c r="EK32640"/>
    </row>
    <row r="32641" spans="1:141" s="116" customFormat="1">
      <c r="A32641" s="136"/>
      <c r="CM32641" s="111"/>
      <c r="CQ32641" s="111"/>
      <c r="EF32641"/>
      <c r="EG32641"/>
      <c r="EH32641"/>
      <c r="EI32641"/>
      <c r="EJ32641"/>
      <c r="EK32641"/>
    </row>
    <row r="32642" spans="1:141" s="116" customFormat="1">
      <c r="A32642" s="136"/>
      <c r="CM32642" s="111"/>
      <c r="CQ32642" s="111"/>
      <c r="EF32642"/>
      <c r="EG32642"/>
      <c r="EH32642"/>
      <c r="EI32642"/>
      <c r="EJ32642"/>
      <c r="EK32642"/>
    </row>
    <row r="32643" spans="1:141" s="116" customFormat="1">
      <c r="A32643" s="136"/>
      <c r="CM32643" s="111"/>
      <c r="CQ32643" s="111"/>
      <c r="EF32643"/>
      <c r="EG32643"/>
      <c r="EH32643"/>
      <c r="EI32643"/>
      <c r="EJ32643"/>
      <c r="EK32643"/>
    </row>
    <row r="32644" spans="1:141" s="116" customFormat="1">
      <c r="A32644" s="136"/>
      <c r="CM32644" s="111"/>
      <c r="CQ32644" s="111"/>
      <c r="EF32644"/>
      <c r="EG32644"/>
      <c r="EH32644"/>
      <c r="EI32644"/>
      <c r="EJ32644"/>
      <c r="EK32644"/>
    </row>
    <row r="32645" spans="1:141" s="116" customFormat="1">
      <c r="A32645" s="136"/>
      <c r="CM32645" s="111"/>
      <c r="CQ32645" s="111"/>
      <c r="EF32645"/>
      <c r="EG32645"/>
      <c r="EH32645"/>
      <c r="EI32645"/>
      <c r="EJ32645"/>
      <c r="EK32645"/>
    </row>
    <row r="32646" spans="1:141" s="116" customFormat="1">
      <c r="A32646" s="136"/>
      <c r="CM32646" s="111"/>
      <c r="CQ32646" s="111"/>
      <c r="EF32646"/>
      <c r="EG32646"/>
      <c r="EH32646"/>
      <c r="EI32646"/>
      <c r="EJ32646"/>
      <c r="EK32646"/>
    </row>
    <row r="32647" spans="1:141" s="116" customFormat="1">
      <c r="A32647" s="136"/>
      <c r="CM32647" s="111"/>
      <c r="CQ32647" s="111"/>
      <c r="EF32647"/>
      <c r="EG32647"/>
      <c r="EH32647"/>
      <c r="EI32647"/>
      <c r="EJ32647"/>
      <c r="EK32647"/>
    </row>
    <row r="32648" spans="1:141" s="116" customFormat="1">
      <c r="A32648" s="136"/>
      <c r="CM32648" s="111"/>
      <c r="CQ32648" s="111"/>
      <c r="EF32648"/>
      <c r="EG32648"/>
      <c r="EH32648"/>
      <c r="EI32648"/>
      <c r="EJ32648"/>
      <c r="EK32648"/>
    </row>
    <row r="32649" spans="1:141" s="116" customFormat="1">
      <c r="A32649" s="136"/>
      <c r="CM32649" s="111"/>
      <c r="CQ32649" s="111"/>
      <c r="EF32649"/>
      <c r="EG32649"/>
      <c r="EH32649"/>
      <c r="EI32649"/>
      <c r="EJ32649"/>
      <c r="EK32649"/>
    </row>
    <row r="32650" spans="1:141" s="116" customFormat="1">
      <c r="A32650" s="136"/>
      <c r="CM32650" s="111"/>
      <c r="CQ32650" s="111"/>
      <c r="EF32650"/>
      <c r="EG32650"/>
      <c r="EH32650"/>
      <c r="EI32650"/>
      <c r="EJ32650"/>
      <c r="EK32650"/>
    </row>
    <row r="32651" spans="1:141" s="116" customFormat="1">
      <c r="A32651" s="136"/>
      <c r="CM32651" s="111"/>
      <c r="CQ32651" s="111"/>
      <c r="EF32651"/>
      <c r="EG32651"/>
      <c r="EH32651"/>
      <c r="EI32651"/>
      <c r="EJ32651"/>
      <c r="EK32651"/>
    </row>
    <row r="32652" spans="1:141" s="116" customFormat="1">
      <c r="A32652" s="136"/>
      <c r="CM32652" s="111"/>
      <c r="CQ32652" s="111"/>
      <c r="EF32652"/>
      <c r="EG32652"/>
      <c r="EH32652"/>
      <c r="EI32652"/>
      <c r="EJ32652"/>
      <c r="EK32652"/>
    </row>
    <row r="32653" spans="1:141" s="116" customFormat="1">
      <c r="A32653" s="136"/>
      <c r="CM32653" s="111"/>
      <c r="CQ32653" s="111"/>
      <c r="EF32653"/>
      <c r="EG32653"/>
      <c r="EH32653"/>
      <c r="EI32653"/>
      <c r="EJ32653"/>
      <c r="EK32653"/>
    </row>
    <row r="32654" spans="1:141" s="116" customFormat="1">
      <c r="A32654" s="136"/>
      <c r="CM32654" s="111"/>
      <c r="CQ32654" s="111"/>
      <c r="EF32654"/>
      <c r="EG32654"/>
      <c r="EH32654"/>
      <c r="EI32654"/>
      <c r="EJ32654"/>
      <c r="EK32654"/>
    </row>
    <row r="32655" spans="1:141" s="116" customFormat="1">
      <c r="A32655" s="136"/>
      <c r="CM32655" s="111"/>
      <c r="CQ32655" s="111"/>
      <c r="EF32655"/>
      <c r="EG32655"/>
      <c r="EH32655"/>
      <c r="EI32655"/>
      <c r="EJ32655"/>
      <c r="EK32655"/>
    </row>
    <row r="32656" spans="1:141" s="116" customFormat="1">
      <c r="A32656" s="136"/>
      <c r="CM32656" s="111"/>
      <c r="CQ32656" s="111"/>
      <c r="EF32656"/>
      <c r="EG32656"/>
      <c r="EH32656"/>
      <c r="EI32656"/>
      <c r="EJ32656"/>
      <c r="EK32656"/>
    </row>
    <row r="32657" spans="1:141" s="116" customFormat="1">
      <c r="A32657" s="136"/>
      <c r="CM32657" s="111"/>
      <c r="CQ32657" s="111"/>
      <c r="EF32657"/>
      <c r="EG32657"/>
      <c r="EH32657"/>
      <c r="EI32657"/>
      <c r="EJ32657"/>
      <c r="EK32657"/>
    </row>
    <row r="32658" spans="1:141" s="116" customFormat="1">
      <c r="A32658" s="136"/>
      <c r="CM32658" s="111"/>
      <c r="CQ32658" s="111"/>
      <c r="EF32658"/>
      <c r="EG32658"/>
      <c r="EH32658"/>
      <c r="EI32658"/>
      <c r="EJ32658"/>
      <c r="EK32658"/>
    </row>
    <row r="32659" spans="1:141" s="116" customFormat="1">
      <c r="A32659" s="136"/>
      <c r="CM32659" s="111"/>
      <c r="CQ32659" s="111"/>
      <c r="EF32659"/>
      <c r="EG32659"/>
      <c r="EH32659"/>
      <c r="EI32659"/>
      <c r="EJ32659"/>
      <c r="EK32659"/>
    </row>
    <row r="32660" spans="1:141" s="116" customFormat="1">
      <c r="A32660" s="136"/>
      <c r="CM32660" s="111"/>
      <c r="CQ32660" s="111"/>
      <c r="EF32660"/>
      <c r="EG32660"/>
      <c r="EH32660"/>
      <c r="EI32660"/>
      <c r="EJ32660"/>
      <c r="EK32660"/>
    </row>
    <row r="32661" spans="1:141" s="116" customFormat="1">
      <c r="A32661" s="136"/>
      <c r="CM32661" s="111"/>
      <c r="CQ32661" s="111"/>
      <c r="EF32661"/>
      <c r="EG32661"/>
      <c r="EH32661"/>
      <c r="EI32661"/>
      <c r="EJ32661"/>
      <c r="EK32661"/>
    </row>
    <row r="32662" spans="1:141" s="116" customFormat="1">
      <c r="A32662" s="136"/>
      <c r="CM32662" s="111"/>
      <c r="CQ32662" s="111"/>
      <c r="EF32662"/>
      <c r="EG32662"/>
      <c r="EH32662"/>
      <c r="EI32662"/>
      <c r="EJ32662"/>
      <c r="EK32662"/>
    </row>
    <row r="32663" spans="1:141" s="116" customFormat="1">
      <c r="A32663" s="136"/>
      <c r="CM32663" s="111"/>
      <c r="CQ32663" s="111"/>
      <c r="EF32663"/>
      <c r="EG32663"/>
      <c r="EH32663"/>
      <c r="EI32663"/>
      <c r="EJ32663"/>
      <c r="EK32663"/>
    </row>
    <row r="32664" spans="1:141" s="116" customFormat="1">
      <c r="A32664" s="136"/>
      <c r="CM32664" s="111"/>
      <c r="CQ32664" s="111"/>
      <c r="EF32664"/>
      <c r="EG32664"/>
      <c r="EH32664"/>
      <c r="EI32664"/>
      <c r="EJ32664"/>
      <c r="EK32664"/>
    </row>
    <row r="32665" spans="1:141" s="116" customFormat="1">
      <c r="A32665" s="136"/>
      <c r="CM32665" s="111"/>
      <c r="CQ32665" s="111"/>
      <c r="EF32665"/>
      <c r="EG32665"/>
      <c r="EH32665"/>
      <c r="EI32665"/>
      <c r="EJ32665"/>
      <c r="EK32665"/>
    </row>
    <row r="32666" spans="1:141" s="116" customFormat="1">
      <c r="A32666" s="136"/>
      <c r="CM32666" s="111"/>
      <c r="CQ32666" s="111"/>
      <c r="EF32666"/>
      <c r="EG32666"/>
      <c r="EH32666"/>
      <c r="EI32666"/>
      <c r="EJ32666"/>
      <c r="EK32666"/>
    </row>
    <row r="32667" spans="1:141" s="116" customFormat="1">
      <c r="A32667" s="136"/>
      <c r="CM32667" s="111"/>
      <c r="CQ32667" s="111"/>
      <c r="EF32667"/>
      <c r="EG32667"/>
      <c r="EH32667"/>
      <c r="EI32667"/>
      <c r="EJ32667"/>
      <c r="EK32667"/>
    </row>
    <row r="32668" spans="1:141" s="116" customFormat="1">
      <c r="A32668" s="136"/>
      <c r="CM32668" s="111"/>
      <c r="CQ32668" s="111"/>
      <c r="EF32668"/>
      <c r="EG32668"/>
      <c r="EH32668"/>
      <c r="EI32668"/>
      <c r="EJ32668"/>
      <c r="EK32668"/>
    </row>
    <row r="32669" spans="1:141" s="116" customFormat="1">
      <c r="A32669" s="136"/>
      <c r="CM32669" s="111"/>
      <c r="CQ32669" s="111"/>
      <c r="EF32669"/>
      <c r="EG32669"/>
      <c r="EH32669"/>
      <c r="EI32669"/>
      <c r="EJ32669"/>
      <c r="EK32669"/>
    </row>
    <row r="32670" spans="1:141" s="116" customFormat="1">
      <c r="A32670" s="136"/>
      <c r="CM32670" s="111"/>
      <c r="CQ32670" s="111"/>
      <c r="EF32670"/>
      <c r="EG32670"/>
      <c r="EH32670"/>
      <c r="EI32670"/>
      <c r="EJ32670"/>
      <c r="EK32670"/>
    </row>
    <row r="32671" spans="1:141" s="116" customFormat="1">
      <c r="A32671" s="136"/>
      <c r="CM32671" s="111"/>
      <c r="CQ32671" s="111"/>
      <c r="EF32671"/>
      <c r="EG32671"/>
      <c r="EH32671"/>
      <c r="EI32671"/>
      <c r="EJ32671"/>
      <c r="EK32671"/>
    </row>
    <row r="32672" spans="1:141" s="116" customFormat="1">
      <c r="A32672" s="136"/>
      <c r="CM32672" s="111"/>
      <c r="CQ32672" s="111"/>
      <c r="EF32672"/>
      <c r="EG32672"/>
      <c r="EH32672"/>
      <c r="EI32672"/>
      <c r="EJ32672"/>
      <c r="EK32672"/>
    </row>
    <row r="32673" spans="1:141" s="116" customFormat="1">
      <c r="A32673" s="136"/>
      <c r="CM32673" s="111"/>
      <c r="CQ32673" s="111"/>
      <c r="EF32673"/>
      <c r="EG32673"/>
      <c r="EH32673"/>
      <c r="EI32673"/>
      <c r="EJ32673"/>
      <c r="EK32673"/>
    </row>
    <row r="32674" spans="1:141" s="116" customFormat="1">
      <c r="A32674" s="136"/>
      <c r="CM32674" s="111"/>
      <c r="CQ32674" s="111"/>
      <c r="EF32674"/>
      <c r="EG32674"/>
      <c r="EH32674"/>
      <c r="EI32674"/>
      <c r="EJ32674"/>
      <c r="EK32674"/>
    </row>
    <row r="32675" spans="1:141" s="116" customFormat="1">
      <c r="A32675" s="136"/>
      <c r="CM32675" s="111"/>
      <c r="CQ32675" s="111"/>
      <c r="EF32675"/>
      <c r="EG32675"/>
      <c r="EH32675"/>
      <c r="EI32675"/>
      <c r="EJ32675"/>
      <c r="EK32675"/>
    </row>
    <row r="32676" spans="1:141" s="116" customFormat="1">
      <c r="A32676" s="136"/>
      <c r="CM32676" s="111"/>
      <c r="CQ32676" s="111"/>
      <c r="EF32676"/>
      <c r="EG32676"/>
      <c r="EH32676"/>
      <c r="EI32676"/>
      <c r="EJ32676"/>
      <c r="EK32676"/>
    </row>
    <row r="32677" spans="1:141" s="116" customFormat="1">
      <c r="A32677" s="136"/>
      <c r="CM32677" s="111"/>
      <c r="CQ32677" s="111"/>
      <c r="EF32677"/>
      <c r="EG32677"/>
      <c r="EH32677"/>
      <c r="EI32677"/>
      <c r="EJ32677"/>
      <c r="EK32677"/>
    </row>
    <row r="32678" spans="1:141" s="116" customFormat="1">
      <c r="A32678" s="136"/>
      <c r="CM32678" s="111"/>
      <c r="CQ32678" s="111"/>
      <c r="EF32678"/>
      <c r="EG32678"/>
      <c r="EH32678"/>
      <c r="EI32678"/>
      <c r="EJ32678"/>
      <c r="EK32678"/>
    </row>
    <row r="32679" spans="1:141" s="116" customFormat="1">
      <c r="A32679" s="136"/>
      <c r="CM32679" s="111"/>
      <c r="CQ32679" s="111"/>
      <c r="EF32679"/>
      <c r="EG32679"/>
      <c r="EH32679"/>
      <c r="EI32679"/>
      <c r="EJ32679"/>
      <c r="EK32679"/>
    </row>
    <row r="32680" spans="1:141" s="116" customFormat="1">
      <c r="A32680" s="136"/>
      <c r="CM32680" s="111"/>
      <c r="CQ32680" s="111"/>
      <c r="EF32680"/>
      <c r="EG32680"/>
      <c r="EH32680"/>
      <c r="EI32680"/>
      <c r="EJ32680"/>
      <c r="EK32680"/>
    </row>
    <row r="32681" spans="1:141" s="116" customFormat="1">
      <c r="A32681" s="136"/>
      <c r="CM32681" s="111"/>
      <c r="CQ32681" s="111"/>
      <c r="EF32681"/>
      <c r="EG32681"/>
      <c r="EH32681"/>
      <c r="EI32681"/>
      <c r="EJ32681"/>
      <c r="EK32681"/>
    </row>
    <row r="32682" spans="1:141" s="116" customFormat="1">
      <c r="A32682" s="136"/>
      <c r="CM32682" s="111"/>
      <c r="CQ32682" s="111"/>
      <c r="EF32682"/>
      <c r="EG32682"/>
      <c r="EH32682"/>
      <c r="EI32682"/>
      <c r="EJ32682"/>
      <c r="EK32682"/>
    </row>
    <row r="32683" spans="1:141" s="116" customFormat="1">
      <c r="A32683" s="136"/>
      <c r="CM32683" s="111"/>
      <c r="CQ32683" s="111"/>
      <c r="EF32683"/>
      <c r="EG32683"/>
      <c r="EH32683"/>
      <c r="EI32683"/>
      <c r="EJ32683"/>
      <c r="EK32683"/>
    </row>
    <row r="32684" spans="1:141" s="116" customFormat="1">
      <c r="A32684" s="136"/>
      <c r="CM32684" s="111"/>
      <c r="CQ32684" s="111"/>
      <c r="EF32684"/>
      <c r="EG32684"/>
      <c r="EH32684"/>
      <c r="EI32684"/>
      <c r="EJ32684"/>
      <c r="EK32684"/>
    </row>
    <row r="32685" spans="1:141" s="116" customFormat="1">
      <c r="A32685" s="136"/>
      <c r="CM32685" s="111"/>
      <c r="CQ32685" s="111"/>
      <c r="EF32685"/>
      <c r="EG32685"/>
      <c r="EH32685"/>
      <c r="EI32685"/>
      <c r="EJ32685"/>
      <c r="EK32685"/>
    </row>
    <row r="32686" spans="1:141" s="116" customFormat="1">
      <c r="A32686" s="136"/>
      <c r="CM32686" s="111"/>
      <c r="CQ32686" s="111"/>
      <c r="EF32686"/>
      <c r="EG32686"/>
      <c r="EH32686"/>
      <c r="EI32686"/>
      <c r="EJ32686"/>
      <c r="EK32686"/>
    </row>
    <row r="32687" spans="1:141" s="116" customFormat="1">
      <c r="A32687" s="136"/>
      <c r="CM32687" s="111"/>
      <c r="CQ32687" s="111"/>
      <c r="EF32687"/>
      <c r="EG32687"/>
      <c r="EH32687"/>
      <c r="EI32687"/>
      <c r="EJ32687"/>
      <c r="EK32687"/>
    </row>
    <row r="32688" spans="1:141" s="116" customFormat="1">
      <c r="A32688" s="136"/>
      <c r="CM32688" s="111"/>
      <c r="CQ32688" s="111"/>
      <c r="EF32688"/>
      <c r="EG32688"/>
      <c r="EH32688"/>
      <c r="EI32688"/>
      <c r="EJ32688"/>
      <c r="EK32688"/>
    </row>
    <row r="32689" spans="1:141" s="116" customFormat="1">
      <c r="A32689" s="136"/>
      <c r="CM32689" s="111"/>
      <c r="CQ32689" s="111"/>
      <c r="EF32689"/>
      <c r="EG32689"/>
      <c r="EH32689"/>
      <c r="EI32689"/>
      <c r="EJ32689"/>
      <c r="EK32689"/>
    </row>
    <row r="32690" spans="1:141" s="116" customFormat="1">
      <c r="A32690" s="136"/>
      <c r="CM32690" s="111"/>
      <c r="CQ32690" s="111"/>
      <c r="EF32690"/>
      <c r="EG32690"/>
      <c r="EH32690"/>
      <c r="EI32690"/>
      <c r="EJ32690"/>
      <c r="EK32690"/>
    </row>
    <row r="32691" spans="1:141" s="116" customFormat="1">
      <c r="A32691" s="136"/>
      <c r="CM32691" s="111"/>
      <c r="CQ32691" s="111"/>
      <c r="EF32691"/>
      <c r="EG32691"/>
      <c r="EH32691"/>
      <c r="EI32691"/>
      <c r="EJ32691"/>
      <c r="EK32691"/>
    </row>
    <row r="32692" spans="1:141" s="116" customFormat="1">
      <c r="A32692" s="136"/>
      <c r="CM32692" s="111"/>
      <c r="CQ32692" s="111"/>
      <c r="EF32692"/>
      <c r="EG32692"/>
      <c r="EH32692"/>
      <c r="EI32692"/>
      <c r="EJ32692"/>
      <c r="EK32692"/>
    </row>
    <row r="32693" spans="1:141" s="116" customFormat="1">
      <c r="A32693" s="136"/>
      <c r="CM32693" s="111"/>
      <c r="CQ32693" s="111"/>
      <c r="EF32693"/>
      <c r="EG32693"/>
      <c r="EH32693"/>
      <c r="EI32693"/>
      <c r="EJ32693"/>
      <c r="EK32693"/>
    </row>
    <row r="32694" spans="1:141" s="116" customFormat="1">
      <c r="A32694" s="136"/>
      <c r="CM32694" s="111"/>
      <c r="CQ32694" s="111"/>
      <c r="EF32694"/>
      <c r="EG32694"/>
      <c r="EH32694"/>
      <c r="EI32694"/>
      <c r="EJ32694"/>
      <c r="EK32694"/>
    </row>
    <row r="32695" spans="1:141" s="116" customFormat="1">
      <c r="A32695" s="136"/>
      <c r="CM32695" s="111"/>
      <c r="CQ32695" s="111"/>
      <c r="EF32695"/>
      <c r="EG32695"/>
      <c r="EH32695"/>
      <c r="EI32695"/>
      <c r="EJ32695"/>
      <c r="EK32695"/>
    </row>
    <row r="32696" spans="1:141" s="116" customFormat="1">
      <c r="A32696" s="136"/>
      <c r="CM32696" s="111"/>
      <c r="CQ32696" s="111"/>
      <c r="EF32696"/>
      <c r="EG32696"/>
      <c r="EH32696"/>
      <c r="EI32696"/>
      <c r="EJ32696"/>
      <c r="EK32696"/>
    </row>
    <row r="32697" spans="1:141" s="116" customFormat="1">
      <c r="A32697" s="136"/>
      <c r="CM32697" s="111"/>
      <c r="CQ32697" s="111"/>
      <c r="EF32697"/>
      <c r="EG32697"/>
      <c r="EH32697"/>
      <c r="EI32697"/>
      <c r="EJ32697"/>
      <c r="EK32697"/>
    </row>
    <row r="32698" spans="1:141" s="116" customFormat="1">
      <c r="A32698" s="136"/>
      <c r="CM32698" s="111"/>
      <c r="CQ32698" s="111"/>
      <c r="EF32698"/>
      <c r="EG32698"/>
      <c r="EH32698"/>
      <c r="EI32698"/>
      <c r="EJ32698"/>
      <c r="EK32698"/>
    </row>
    <row r="32699" spans="1:141" s="116" customFormat="1">
      <c r="A32699" s="136"/>
      <c r="CM32699" s="111"/>
      <c r="CQ32699" s="111"/>
      <c r="EF32699"/>
      <c r="EG32699"/>
      <c r="EH32699"/>
      <c r="EI32699"/>
      <c r="EJ32699"/>
      <c r="EK32699"/>
    </row>
    <row r="32700" spans="1:141" s="116" customFormat="1">
      <c r="A32700" s="136"/>
      <c r="CM32700" s="111"/>
      <c r="CQ32700" s="111"/>
      <c r="EF32700"/>
      <c r="EG32700"/>
      <c r="EH32700"/>
      <c r="EI32700"/>
      <c r="EJ32700"/>
      <c r="EK32700"/>
    </row>
    <row r="32701" spans="1:141" s="116" customFormat="1">
      <c r="A32701" s="136"/>
      <c r="CM32701" s="111"/>
      <c r="CQ32701" s="111"/>
      <c r="EF32701"/>
      <c r="EG32701"/>
      <c r="EH32701"/>
      <c r="EI32701"/>
      <c r="EJ32701"/>
      <c r="EK32701"/>
    </row>
    <row r="32702" spans="1:141" s="116" customFormat="1">
      <c r="A32702" s="136"/>
      <c r="CM32702" s="111"/>
      <c r="CQ32702" s="111"/>
      <c r="EF32702"/>
      <c r="EG32702"/>
      <c r="EH32702"/>
      <c r="EI32702"/>
      <c r="EJ32702"/>
      <c r="EK32702"/>
    </row>
    <row r="32703" spans="1:141" s="116" customFormat="1">
      <c r="A32703" s="136"/>
      <c r="CM32703" s="111"/>
      <c r="CQ32703" s="111"/>
      <c r="EF32703"/>
      <c r="EG32703"/>
      <c r="EH32703"/>
      <c r="EI32703"/>
      <c r="EJ32703"/>
      <c r="EK32703"/>
    </row>
    <row r="32704" spans="1:141" s="116" customFormat="1">
      <c r="A32704" s="136"/>
      <c r="CM32704" s="111"/>
      <c r="CQ32704" s="111"/>
      <c r="EF32704"/>
      <c r="EG32704"/>
      <c r="EH32704"/>
      <c r="EI32704"/>
      <c r="EJ32704"/>
      <c r="EK32704"/>
    </row>
    <row r="32705" spans="1:141" s="116" customFormat="1">
      <c r="A32705" s="136"/>
      <c r="CM32705" s="111"/>
      <c r="CQ32705" s="111"/>
      <c r="EF32705"/>
      <c r="EG32705"/>
      <c r="EH32705"/>
      <c r="EI32705"/>
      <c r="EJ32705"/>
      <c r="EK32705"/>
    </row>
    <row r="32706" spans="1:141" s="116" customFormat="1">
      <c r="A32706" s="136"/>
      <c r="CM32706" s="111"/>
      <c r="CQ32706" s="111"/>
      <c r="EF32706"/>
      <c r="EG32706"/>
      <c r="EH32706"/>
      <c r="EI32706"/>
      <c r="EJ32706"/>
      <c r="EK32706"/>
    </row>
    <row r="32707" spans="1:141" s="116" customFormat="1">
      <c r="A32707" s="136"/>
      <c r="CM32707" s="111"/>
      <c r="CQ32707" s="111"/>
      <c r="EF32707"/>
      <c r="EG32707"/>
      <c r="EH32707"/>
      <c r="EI32707"/>
      <c r="EJ32707"/>
      <c r="EK32707"/>
    </row>
    <row r="32708" spans="1:141" s="116" customFormat="1">
      <c r="A32708" s="136"/>
      <c r="CM32708" s="111"/>
      <c r="CQ32708" s="111"/>
      <c r="EF32708"/>
      <c r="EG32708"/>
      <c r="EH32708"/>
      <c r="EI32708"/>
      <c r="EJ32708"/>
      <c r="EK32708"/>
    </row>
    <row r="32709" spans="1:141" s="116" customFormat="1">
      <c r="A32709" s="136"/>
      <c r="CM32709" s="111"/>
      <c r="CQ32709" s="111"/>
      <c r="EF32709"/>
      <c r="EG32709"/>
      <c r="EH32709"/>
      <c r="EI32709"/>
      <c r="EJ32709"/>
      <c r="EK32709"/>
    </row>
    <row r="32710" spans="1:141" s="116" customFormat="1">
      <c r="A32710" s="136"/>
      <c r="CM32710" s="111"/>
      <c r="CQ32710" s="111"/>
      <c r="EF32710"/>
      <c r="EG32710"/>
      <c r="EH32710"/>
      <c r="EI32710"/>
      <c r="EJ32710"/>
      <c r="EK32710"/>
    </row>
    <row r="32711" spans="1:141" s="116" customFormat="1">
      <c r="A32711" s="136"/>
      <c r="CM32711" s="111"/>
      <c r="CQ32711" s="111"/>
      <c r="EF32711"/>
      <c r="EG32711"/>
      <c r="EH32711"/>
      <c r="EI32711"/>
      <c r="EJ32711"/>
      <c r="EK32711"/>
    </row>
    <row r="32712" spans="1:141" s="116" customFormat="1">
      <c r="A32712" s="136"/>
      <c r="CM32712" s="111"/>
      <c r="CQ32712" s="111"/>
      <c r="EF32712"/>
      <c r="EG32712"/>
      <c r="EH32712"/>
      <c r="EI32712"/>
      <c r="EJ32712"/>
      <c r="EK32712"/>
    </row>
    <row r="32713" spans="1:141" s="116" customFormat="1">
      <c r="A32713" s="136"/>
      <c r="CM32713" s="111"/>
      <c r="CQ32713" s="111"/>
      <c r="EF32713"/>
      <c r="EG32713"/>
      <c r="EH32713"/>
      <c r="EI32713"/>
      <c r="EJ32713"/>
      <c r="EK32713"/>
    </row>
    <row r="32714" spans="1:141" s="116" customFormat="1">
      <c r="A32714" s="136"/>
      <c r="CM32714" s="111"/>
      <c r="CQ32714" s="111"/>
      <c r="EF32714"/>
      <c r="EG32714"/>
      <c r="EH32714"/>
      <c r="EI32714"/>
      <c r="EJ32714"/>
      <c r="EK32714"/>
    </row>
    <row r="32715" spans="1:141" s="116" customFormat="1">
      <c r="A32715" s="136"/>
      <c r="CM32715" s="111"/>
      <c r="CQ32715" s="111"/>
      <c r="EF32715"/>
      <c r="EG32715"/>
      <c r="EH32715"/>
      <c r="EI32715"/>
      <c r="EJ32715"/>
      <c r="EK32715"/>
    </row>
    <row r="32716" spans="1:141" s="116" customFormat="1">
      <c r="A32716" s="136"/>
      <c r="CM32716" s="111"/>
      <c r="CQ32716" s="111"/>
      <c r="EF32716"/>
      <c r="EG32716"/>
      <c r="EH32716"/>
      <c r="EI32716"/>
      <c r="EJ32716"/>
      <c r="EK32716"/>
    </row>
    <row r="32717" spans="1:141" s="116" customFormat="1">
      <c r="A32717" s="136"/>
      <c r="CM32717" s="111"/>
      <c r="CQ32717" s="111"/>
      <c r="EF32717"/>
      <c r="EG32717"/>
      <c r="EH32717"/>
      <c r="EI32717"/>
      <c r="EJ32717"/>
      <c r="EK32717"/>
    </row>
    <row r="32718" spans="1:141" s="116" customFormat="1">
      <c r="A32718" s="136"/>
      <c r="CM32718" s="111"/>
      <c r="CQ32718" s="111"/>
      <c r="EF32718"/>
      <c r="EG32718"/>
      <c r="EH32718"/>
      <c r="EI32718"/>
      <c r="EJ32718"/>
      <c r="EK32718"/>
    </row>
    <row r="32719" spans="1:141" s="116" customFormat="1">
      <c r="A32719" s="136"/>
      <c r="CM32719" s="111"/>
      <c r="CQ32719" s="111"/>
      <c r="EF32719"/>
      <c r="EG32719"/>
      <c r="EH32719"/>
      <c r="EI32719"/>
      <c r="EJ32719"/>
      <c r="EK32719"/>
    </row>
    <row r="32720" spans="1:141" s="116" customFormat="1">
      <c r="A32720" s="136"/>
      <c r="CM32720" s="111"/>
      <c r="CQ32720" s="111"/>
      <c r="EF32720"/>
      <c r="EG32720"/>
      <c r="EH32720"/>
      <c r="EI32720"/>
      <c r="EJ32720"/>
      <c r="EK32720"/>
    </row>
    <row r="32721" spans="1:141" s="116" customFormat="1">
      <c r="A32721" s="136"/>
      <c r="CM32721" s="111"/>
      <c r="CQ32721" s="111"/>
      <c r="EF32721"/>
      <c r="EG32721"/>
      <c r="EH32721"/>
      <c r="EI32721"/>
      <c r="EJ32721"/>
      <c r="EK32721"/>
    </row>
    <row r="32722" spans="1:141" s="116" customFormat="1">
      <c r="A32722" s="136"/>
      <c r="CM32722" s="111"/>
      <c r="CQ32722" s="111"/>
      <c r="EF32722"/>
      <c r="EG32722"/>
      <c r="EH32722"/>
      <c r="EI32722"/>
      <c r="EJ32722"/>
      <c r="EK32722"/>
    </row>
    <row r="32723" spans="1:141" s="116" customFormat="1">
      <c r="A32723" s="136"/>
      <c r="CM32723" s="111"/>
      <c r="CQ32723" s="111"/>
      <c r="EF32723"/>
      <c r="EG32723"/>
      <c r="EH32723"/>
      <c r="EI32723"/>
      <c r="EJ32723"/>
      <c r="EK32723"/>
    </row>
    <row r="32724" spans="1:141" s="116" customFormat="1">
      <c r="A32724" s="136"/>
      <c r="CM32724" s="111"/>
      <c r="CQ32724" s="111"/>
      <c r="EF32724"/>
      <c r="EG32724"/>
      <c r="EH32724"/>
      <c r="EI32724"/>
      <c r="EJ32724"/>
      <c r="EK32724"/>
    </row>
    <row r="32725" spans="1:141" s="116" customFormat="1">
      <c r="A32725" s="136"/>
      <c r="CM32725" s="111"/>
      <c r="CQ32725" s="111"/>
      <c r="EF32725"/>
      <c r="EG32725"/>
      <c r="EH32725"/>
      <c r="EI32725"/>
      <c r="EJ32725"/>
      <c r="EK32725"/>
    </row>
    <row r="32726" spans="1:141" s="116" customFormat="1">
      <c r="A32726" s="136"/>
      <c r="CM32726" s="111"/>
      <c r="CQ32726" s="111"/>
      <c r="EF32726"/>
      <c r="EG32726"/>
      <c r="EH32726"/>
      <c r="EI32726"/>
      <c r="EJ32726"/>
      <c r="EK32726"/>
    </row>
    <row r="32727" spans="1:141" s="116" customFormat="1">
      <c r="A32727" s="136"/>
      <c r="CM32727" s="111"/>
      <c r="CQ32727" s="111"/>
      <c r="EF32727"/>
      <c r="EG32727"/>
      <c r="EH32727"/>
      <c r="EI32727"/>
      <c r="EJ32727"/>
      <c r="EK32727"/>
    </row>
    <row r="32728" spans="1:141" s="116" customFormat="1">
      <c r="A32728" s="136"/>
      <c r="CM32728" s="111"/>
      <c r="CQ32728" s="111"/>
      <c r="EF32728"/>
      <c r="EG32728"/>
      <c r="EH32728"/>
      <c r="EI32728"/>
      <c r="EJ32728"/>
      <c r="EK32728"/>
    </row>
    <row r="32729" spans="1:141" s="116" customFormat="1">
      <c r="A32729" s="136"/>
      <c r="CM32729" s="111"/>
      <c r="CQ32729" s="111"/>
      <c r="EF32729"/>
      <c r="EG32729"/>
      <c r="EH32729"/>
      <c r="EI32729"/>
      <c r="EJ32729"/>
      <c r="EK32729"/>
    </row>
    <row r="32730" spans="1:141" s="116" customFormat="1">
      <c r="A32730" s="136"/>
      <c r="CM32730" s="111"/>
      <c r="CQ32730" s="111"/>
      <c r="EF32730"/>
      <c r="EG32730"/>
      <c r="EH32730"/>
      <c r="EI32730"/>
      <c r="EJ32730"/>
      <c r="EK32730"/>
    </row>
    <row r="32731" spans="1:141" s="116" customFormat="1">
      <c r="A32731" s="136"/>
      <c r="CM32731" s="111"/>
      <c r="CQ32731" s="111"/>
      <c r="EF32731"/>
      <c r="EG32731"/>
      <c r="EH32731"/>
      <c r="EI32731"/>
      <c r="EJ32731"/>
      <c r="EK32731"/>
    </row>
    <row r="32732" spans="1:141" s="116" customFormat="1">
      <c r="A32732" s="136"/>
      <c r="CM32732" s="111"/>
      <c r="CQ32732" s="111"/>
      <c r="EF32732"/>
      <c r="EG32732"/>
      <c r="EH32732"/>
      <c r="EI32732"/>
      <c r="EJ32732"/>
      <c r="EK32732"/>
    </row>
    <row r="32733" spans="1:141" s="116" customFormat="1">
      <c r="A32733" s="136"/>
      <c r="CM32733" s="111"/>
      <c r="CQ32733" s="111"/>
      <c r="EF32733"/>
      <c r="EG32733"/>
      <c r="EH32733"/>
      <c r="EI32733"/>
      <c r="EJ32733"/>
      <c r="EK32733"/>
    </row>
    <row r="32734" spans="1:141" s="116" customFormat="1">
      <c r="A32734" s="136"/>
      <c r="CM32734" s="111"/>
      <c r="CQ32734" s="111"/>
      <c r="EF32734"/>
      <c r="EG32734"/>
      <c r="EH32734"/>
      <c r="EI32734"/>
      <c r="EJ32734"/>
      <c r="EK32734"/>
    </row>
    <row r="32735" spans="1:141" s="116" customFormat="1">
      <c r="A32735" s="136"/>
      <c r="CM32735" s="111"/>
      <c r="CQ32735" s="111"/>
      <c r="EF32735"/>
      <c r="EG32735"/>
      <c r="EH32735"/>
      <c r="EI32735"/>
      <c r="EJ32735"/>
      <c r="EK32735"/>
    </row>
    <row r="32736" spans="1:141" s="116" customFormat="1">
      <c r="A32736" s="136"/>
      <c r="CM32736" s="111"/>
      <c r="CQ32736" s="111"/>
      <c r="EF32736"/>
      <c r="EG32736"/>
      <c r="EH32736"/>
      <c r="EI32736"/>
      <c r="EJ32736"/>
      <c r="EK32736"/>
    </row>
    <row r="32737" spans="1:141" s="116" customFormat="1">
      <c r="A32737" s="136"/>
      <c r="CM32737" s="111"/>
      <c r="CQ32737" s="111"/>
      <c r="EF32737"/>
      <c r="EG32737"/>
      <c r="EH32737"/>
      <c r="EI32737"/>
      <c r="EJ32737"/>
      <c r="EK32737"/>
    </row>
    <row r="32738" spans="1:141" s="116" customFormat="1">
      <c r="A32738" s="136"/>
      <c r="CM32738" s="111"/>
      <c r="CQ32738" s="111"/>
      <c r="EF32738"/>
      <c r="EG32738"/>
      <c r="EH32738"/>
      <c r="EI32738"/>
      <c r="EJ32738"/>
      <c r="EK32738"/>
    </row>
    <row r="32739" spans="1:141" s="116" customFormat="1">
      <c r="A32739" s="136"/>
      <c r="CM32739" s="111"/>
      <c r="CQ32739" s="111"/>
      <c r="EF32739"/>
      <c r="EG32739"/>
      <c r="EH32739"/>
      <c r="EI32739"/>
      <c r="EJ32739"/>
      <c r="EK32739"/>
    </row>
    <row r="32740" spans="1:141" s="116" customFormat="1">
      <c r="A32740" s="136"/>
      <c r="CM32740" s="111"/>
      <c r="CQ32740" s="111"/>
      <c r="EF32740"/>
      <c r="EG32740"/>
      <c r="EH32740"/>
      <c r="EI32740"/>
      <c r="EJ32740"/>
      <c r="EK32740"/>
    </row>
    <row r="32741" spans="1:141" s="116" customFormat="1">
      <c r="A32741" s="136"/>
      <c r="CM32741" s="111"/>
      <c r="CQ32741" s="111"/>
      <c r="EF32741"/>
      <c r="EG32741"/>
      <c r="EH32741"/>
      <c r="EI32741"/>
      <c r="EJ32741"/>
      <c r="EK32741"/>
    </row>
    <row r="32742" spans="1:141" s="116" customFormat="1">
      <c r="A32742" s="136"/>
      <c r="CM32742" s="111"/>
      <c r="CQ32742" s="111"/>
      <c r="EF32742"/>
      <c r="EG32742"/>
      <c r="EH32742"/>
      <c r="EI32742"/>
      <c r="EJ32742"/>
      <c r="EK32742"/>
    </row>
    <row r="32743" spans="1:141" s="116" customFormat="1">
      <c r="A32743" s="136"/>
      <c r="CM32743" s="111"/>
      <c r="CQ32743" s="111"/>
      <c r="EF32743"/>
      <c r="EG32743"/>
      <c r="EH32743"/>
      <c r="EI32743"/>
      <c r="EJ32743"/>
      <c r="EK32743"/>
    </row>
    <row r="32744" spans="1:141" s="116" customFormat="1">
      <c r="A32744" s="136"/>
      <c r="CM32744" s="111"/>
      <c r="CQ32744" s="111"/>
      <c r="EF32744"/>
      <c r="EG32744"/>
      <c r="EH32744"/>
      <c r="EI32744"/>
      <c r="EJ32744"/>
      <c r="EK32744"/>
    </row>
    <row r="32745" spans="1:141" s="116" customFormat="1">
      <c r="A32745" s="136"/>
      <c r="CM32745" s="111"/>
      <c r="CQ32745" s="111"/>
      <c r="EF32745"/>
      <c r="EG32745"/>
      <c r="EH32745"/>
      <c r="EI32745"/>
      <c r="EJ32745"/>
      <c r="EK32745"/>
    </row>
    <row r="32746" spans="1:141" s="116" customFormat="1">
      <c r="A32746" s="136"/>
      <c r="CM32746" s="111"/>
      <c r="CQ32746" s="111"/>
      <c r="EF32746"/>
      <c r="EG32746"/>
      <c r="EH32746"/>
      <c r="EI32746"/>
      <c r="EJ32746"/>
      <c r="EK32746"/>
    </row>
    <row r="32747" spans="1:141" s="116" customFormat="1">
      <c r="A32747" s="136"/>
      <c r="CM32747" s="111"/>
      <c r="CQ32747" s="111"/>
      <c r="EF32747"/>
      <c r="EG32747"/>
      <c r="EH32747"/>
      <c r="EI32747"/>
      <c r="EJ32747"/>
      <c r="EK32747"/>
    </row>
    <row r="32748" spans="1:141" s="116" customFormat="1">
      <c r="A32748" s="136"/>
      <c r="CM32748" s="111"/>
      <c r="CQ32748" s="111"/>
      <c r="EF32748"/>
      <c r="EG32748"/>
      <c r="EH32748"/>
      <c r="EI32748"/>
      <c r="EJ32748"/>
      <c r="EK32748"/>
    </row>
    <row r="32749" spans="1:141" s="116" customFormat="1">
      <c r="A32749" s="136"/>
      <c r="CM32749" s="111"/>
      <c r="CQ32749" s="111"/>
      <c r="EF32749"/>
      <c r="EG32749"/>
      <c r="EH32749"/>
      <c r="EI32749"/>
      <c r="EJ32749"/>
      <c r="EK32749"/>
    </row>
    <row r="32750" spans="1:141" s="116" customFormat="1">
      <c r="A32750" s="136"/>
      <c r="CM32750" s="111"/>
      <c r="CQ32750" s="111"/>
      <c r="EF32750"/>
      <c r="EG32750"/>
      <c r="EH32750"/>
      <c r="EI32750"/>
      <c r="EJ32750"/>
      <c r="EK32750"/>
    </row>
    <row r="32751" spans="1:141" s="116" customFormat="1">
      <c r="A32751" s="136"/>
      <c r="CM32751" s="111"/>
      <c r="CQ32751" s="111"/>
      <c r="EF32751"/>
      <c r="EG32751"/>
      <c r="EH32751"/>
      <c r="EI32751"/>
      <c r="EJ32751"/>
      <c r="EK32751"/>
    </row>
    <row r="32752" spans="1:141" s="116" customFormat="1">
      <c r="A32752" s="136"/>
      <c r="CM32752" s="111"/>
      <c r="CQ32752" s="111"/>
      <c r="EF32752"/>
      <c r="EG32752"/>
      <c r="EH32752"/>
      <c r="EI32752"/>
      <c r="EJ32752"/>
      <c r="EK32752"/>
    </row>
    <row r="32753" spans="1:141" s="116" customFormat="1">
      <c r="A32753" s="136"/>
      <c r="CM32753" s="111"/>
      <c r="CQ32753" s="111"/>
      <c r="EF32753"/>
      <c r="EG32753"/>
      <c r="EH32753"/>
      <c r="EI32753"/>
      <c r="EJ32753"/>
      <c r="EK32753"/>
    </row>
    <row r="32754" spans="1:141" s="116" customFormat="1">
      <c r="A32754" s="136"/>
      <c r="CM32754" s="111"/>
      <c r="CQ32754" s="111"/>
      <c r="EF32754"/>
      <c r="EG32754"/>
      <c r="EH32754"/>
      <c r="EI32754"/>
      <c r="EJ32754"/>
      <c r="EK32754"/>
    </row>
    <row r="32755" spans="1:141" s="116" customFormat="1">
      <c r="A32755" s="136"/>
      <c r="CM32755" s="111"/>
      <c r="CQ32755" s="111"/>
      <c r="EF32755"/>
      <c r="EG32755"/>
      <c r="EH32755"/>
      <c r="EI32755"/>
      <c r="EJ32755"/>
      <c r="EK32755"/>
    </row>
    <row r="32756" spans="1:141" s="116" customFormat="1">
      <c r="A32756" s="136"/>
      <c r="CM32756" s="111"/>
      <c r="CQ32756" s="111"/>
      <c r="EF32756"/>
      <c r="EG32756"/>
      <c r="EH32756"/>
      <c r="EI32756"/>
      <c r="EJ32756"/>
      <c r="EK32756"/>
    </row>
    <row r="32757" spans="1:141" s="116" customFormat="1">
      <c r="A32757" s="136"/>
      <c r="CM32757" s="111"/>
      <c r="CQ32757" s="111"/>
      <c r="EF32757"/>
      <c r="EG32757"/>
      <c r="EH32757"/>
      <c r="EI32757"/>
      <c r="EJ32757"/>
      <c r="EK32757"/>
    </row>
    <row r="32758" spans="1:141" s="116" customFormat="1">
      <c r="A32758" s="136"/>
      <c r="CM32758" s="111"/>
      <c r="CQ32758" s="111"/>
      <c r="EF32758"/>
      <c r="EG32758"/>
      <c r="EH32758"/>
      <c r="EI32758"/>
      <c r="EJ32758"/>
      <c r="EK32758"/>
    </row>
    <row r="32759" spans="1:141" s="116" customFormat="1">
      <c r="A32759" s="136"/>
      <c r="CM32759" s="111"/>
      <c r="CQ32759" s="111"/>
      <c r="EF32759"/>
      <c r="EG32759"/>
      <c r="EH32759"/>
      <c r="EI32759"/>
      <c r="EJ32759"/>
      <c r="EK32759"/>
    </row>
    <row r="32760" spans="1:141" s="116" customFormat="1">
      <c r="A32760" s="136"/>
      <c r="CM32760" s="111"/>
      <c r="CQ32760" s="111"/>
      <c r="EF32760"/>
      <c r="EG32760"/>
      <c r="EH32760"/>
      <c r="EI32760"/>
      <c r="EJ32760"/>
      <c r="EK32760"/>
    </row>
    <row r="32761" spans="1:141" s="116" customFormat="1">
      <c r="A32761" s="136"/>
      <c r="CM32761" s="111"/>
      <c r="CQ32761" s="111"/>
      <c r="EF32761"/>
      <c r="EG32761"/>
      <c r="EH32761"/>
      <c r="EI32761"/>
      <c r="EJ32761"/>
      <c r="EK32761"/>
    </row>
    <row r="32762" spans="1:141" s="116" customFormat="1">
      <c r="A32762" s="136"/>
      <c r="CM32762" s="111"/>
      <c r="CQ32762" s="111"/>
      <c r="EF32762"/>
      <c r="EG32762"/>
      <c r="EH32762"/>
      <c r="EI32762"/>
      <c r="EJ32762"/>
      <c r="EK32762"/>
    </row>
    <row r="32763" spans="1:141" s="116" customFormat="1">
      <c r="A32763" s="136"/>
      <c r="CM32763" s="111"/>
      <c r="CQ32763" s="111"/>
      <c r="EF32763"/>
      <c r="EG32763"/>
      <c r="EH32763"/>
      <c r="EI32763"/>
      <c r="EJ32763"/>
      <c r="EK32763"/>
    </row>
    <row r="32764" spans="1:141" s="116" customFormat="1">
      <c r="A32764" s="136"/>
      <c r="CM32764" s="111"/>
      <c r="CQ32764" s="111"/>
      <c r="EF32764"/>
      <c r="EG32764"/>
      <c r="EH32764"/>
      <c r="EI32764"/>
      <c r="EJ32764"/>
      <c r="EK32764"/>
    </row>
    <row r="32765" spans="1:141" s="116" customFormat="1">
      <c r="A32765" s="136"/>
      <c r="CM32765" s="111"/>
      <c r="CQ32765" s="111"/>
      <c r="EF32765"/>
      <c r="EG32765"/>
      <c r="EH32765"/>
      <c r="EI32765"/>
      <c r="EJ32765"/>
      <c r="EK32765"/>
    </row>
    <row r="32766" spans="1:141" s="116" customFormat="1">
      <c r="A32766" s="136"/>
      <c r="CM32766" s="111"/>
      <c r="CQ32766" s="111"/>
      <c r="EF32766"/>
      <c r="EG32766"/>
      <c r="EH32766"/>
      <c r="EI32766"/>
      <c r="EJ32766"/>
      <c r="EK32766"/>
    </row>
    <row r="32767" spans="1:141" s="116" customFormat="1">
      <c r="A32767" s="136"/>
      <c r="CM32767" s="111"/>
      <c r="CQ32767" s="111"/>
      <c r="EF32767"/>
      <c r="EG32767"/>
      <c r="EH32767"/>
      <c r="EI32767"/>
      <c r="EJ32767"/>
      <c r="EK32767"/>
    </row>
    <row r="32768" spans="1:141" s="116" customFormat="1">
      <c r="A32768" s="136"/>
      <c r="CM32768" s="111"/>
      <c r="CQ32768" s="111"/>
      <c r="EF32768"/>
      <c r="EG32768"/>
      <c r="EH32768"/>
      <c r="EI32768"/>
      <c r="EJ32768"/>
      <c r="EK32768"/>
    </row>
    <row r="32769" spans="1:141" s="116" customFormat="1">
      <c r="A32769" s="136"/>
      <c r="CM32769" s="111"/>
      <c r="CQ32769" s="111"/>
      <c r="EF32769"/>
      <c r="EG32769"/>
      <c r="EH32769"/>
      <c r="EI32769"/>
      <c r="EJ32769"/>
      <c r="EK32769"/>
    </row>
    <row r="32770" spans="1:141" s="116" customFormat="1">
      <c r="A32770" s="136"/>
      <c r="CM32770" s="111"/>
      <c r="CQ32770" s="111"/>
      <c r="EF32770"/>
      <c r="EG32770"/>
      <c r="EH32770"/>
      <c r="EI32770"/>
      <c r="EJ32770"/>
      <c r="EK32770"/>
    </row>
    <row r="32771" spans="1:141" s="116" customFormat="1">
      <c r="A32771" s="136"/>
      <c r="CM32771" s="111"/>
      <c r="CQ32771" s="111"/>
      <c r="EF32771"/>
      <c r="EG32771"/>
      <c r="EH32771"/>
      <c r="EI32771"/>
      <c r="EJ32771"/>
      <c r="EK32771"/>
    </row>
    <row r="32772" spans="1:141" s="116" customFormat="1">
      <c r="A32772" s="136"/>
      <c r="CM32772" s="111"/>
      <c r="CQ32772" s="111"/>
      <c r="EF32772"/>
      <c r="EG32772"/>
      <c r="EH32772"/>
      <c r="EI32772"/>
      <c r="EJ32772"/>
      <c r="EK32772"/>
    </row>
    <row r="32773" spans="1:141" s="116" customFormat="1">
      <c r="A32773" s="136"/>
      <c r="CM32773" s="111"/>
      <c r="CQ32773" s="111"/>
      <c r="EF32773"/>
      <c r="EG32773"/>
      <c r="EH32773"/>
      <c r="EI32773"/>
      <c r="EJ32773"/>
      <c r="EK32773"/>
    </row>
    <row r="32774" spans="1:141" s="116" customFormat="1">
      <c r="A32774" s="136"/>
      <c r="CM32774" s="111"/>
      <c r="CQ32774" s="111"/>
      <c r="EF32774"/>
      <c r="EG32774"/>
      <c r="EH32774"/>
      <c r="EI32774"/>
      <c r="EJ32774"/>
      <c r="EK32774"/>
    </row>
    <row r="32775" spans="1:141" s="116" customFormat="1">
      <c r="A32775" s="136"/>
      <c r="CM32775" s="111"/>
      <c r="CQ32775" s="111"/>
      <c r="EF32775"/>
      <c r="EG32775"/>
      <c r="EH32775"/>
      <c r="EI32775"/>
      <c r="EJ32775"/>
      <c r="EK32775"/>
    </row>
    <row r="32776" spans="1:141" s="116" customFormat="1">
      <c r="A32776" s="136"/>
      <c r="CM32776" s="111"/>
      <c r="CQ32776" s="111"/>
      <c r="EF32776"/>
      <c r="EG32776"/>
      <c r="EH32776"/>
      <c r="EI32776"/>
      <c r="EJ32776"/>
      <c r="EK32776"/>
    </row>
    <row r="32777" spans="1:141" s="116" customFormat="1">
      <c r="A32777" s="136"/>
      <c r="CM32777" s="111"/>
      <c r="CQ32777" s="111"/>
      <c r="EF32777"/>
      <c r="EG32777"/>
      <c r="EH32777"/>
      <c r="EI32777"/>
      <c r="EJ32777"/>
      <c r="EK32777"/>
    </row>
    <row r="32778" spans="1:141" s="116" customFormat="1">
      <c r="A32778" s="136"/>
      <c r="CM32778" s="111"/>
      <c r="CQ32778" s="111"/>
      <c r="EF32778"/>
      <c r="EG32778"/>
      <c r="EH32778"/>
      <c r="EI32778"/>
      <c r="EJ32778"/>
      <c r="EK32778"/>
    </row>
    <row r="32779" spans="1:141" s="116" customFormat="1">
      <c r="A32779" s="136"/>
      <c r="CM32779" s="111"/>
      <c r="CQ32779" s="111"/>
      <c r="EF32779"/>
      <c r="EG32779"/>
      <c r="EH32779"/>
      <c r="EI32779"/>
      <c r="EJ32779"/>
      <c r="EK32779"/>
    </row>
    <row r="32780" spans="1:141" s="116" customFormat="1">
      <c r="A32780" s="136"/>
      <c r="CM32780" s="111"/>
      <c r="CQ32780" s="111"/>
      <c r="EF32780"/>
      <c r="EG32780"/>
      <c r="EH32780"/>
      <c r="EI32780"/>
      <c r="EJ32780"/>
      <c r="EK32780"/>
    </row>
    <row r="32781" spans="1:141" s="116" customFormat="1">
      <c r="A32781" s="136"/>
      <c r="CM32781" s="111"/>
      <c r="CQ32781" s="111"/>
      <c r="EF32781"/>
      <c r="EG32781"/>
      <c r="EH32781"/>
      <c r="EI32781"/>
      <c r="EJ32781"/>
      <c r="EK32781"/>
    </row>
    <row r="32782" spans="1:141" s="116" customFormat="1">
      <c r="A32782" s="136"/>
      <c r="CM32782" s="111"/>
      <c r="CQ32782" s="111"/>
      <c r="EF32782"/>
      <c r="EG32782"/>
      <c r="EH32782"/>
      <c r="EI32782"/>
      <c r="EJ32782"/>
      <c r="EK32782"/>
    </row>
    <row r="32783" spans="1:141" s="116" customFormat="1">
      <c r="A32783" s="136"/>
      <c r="CM32783" s="111"/>
      <c r="CQ32783" s="111"/>
      <c r="EF32783"/>
      <c r="EG32783"/>
      <c r="EH32783"/>
      <c r="EI32783"/>
      <c r="EJ32783"/>
      <c r="EK32783"/>
    </row>
    <row r="32784" spans="1:141" s="116" customFormat="1">
      <c r="A32784" s="136"/>
      <c r="CM32784" s="111"/>
      <c r="CQ32784" s="111"/>
      <c r="EF32784"/>
      <c r="EG32784"/>
      <c r="EH32784"/>
      <c r="EI32784"/>
      <c r="EJ32784"/>
      <c r="EK32784"/>
    </row>
    <row r="32785" spans="1:141" s="116" customFormat="1">
      <c r="A32785" s="136"/>
      <c r="CM32785" s="111"/>
      <c r="CQ32785" s="111"/>
      <c r="EF32785"/>
      <c r="EG32785"/>
      <c r="EH32785"/>
      <c r="EI32785"/>
      <c r="EJ32785"/>
      <c r="EK32785"/>
    </row>
    <row r="32786" spans="1:141" s="116" customFormat="1">
      <c r="A32786" s="136"/>
      <c r="CM32786" s="111"/>
      <c r="CQ32786" s="111"/>
      <c r="EF32786"/>
      <c r="EG32786"/>
      <c r="EH32786"/>
      <c r="EI32786"/>
      <c r="EJ32786"/>
      <c r="EK32786"/>
    </row>
    <row r="32787" spans="1:141" s="116" customFormat="1">
      <c r="A32787" s="136"/>
      <c r="CM32787" s="111"/>
      <c r="CQ32787" s="111"/>
      <c r="EF32787"/>
      <c r="EG32787"/>
      <c r="EH32787"/>
      <c r="EI32787"/>
      <c r="EJ32787"/>
      <c r="EK32787"/>
    </row>
    <row r="32788" spans="1:141" s="116" customFormat="1">
      <c r="A32788" s="136"/>
      <c r="CM32788" s="111"/>
      <c r="CQ32788" s="111"/>
      <c r="EF32788"/>
      <c r="EG32788"/>
      <c r="EH32788"/>
      <c r="EI32788"/>
      <c r="EJ32788"/>
      <c r="EK32788"/>
    </row>
    <row r="32789" spans="1:141" s="116" customFormat="1">
      <c r="A32789" s="136"/>
      <c r="CM32789" s="111"/>
      <c r="CQ32789" s="111"/>
      <c r="EF32789"/>
      <c r="EG32789"/>
      <c r="EH32789"/>
      <c r="EI32789"/>
      <c r="EJ32789"/>
      <c r="EK32789"/>
    </row>
    <row r="32790" spans="1:141" s="116" customFormat="1">
      <c r="A32790" s="136"/>
      <c r="CM32790" s="111"/>
      <c r="CQ32790" s="111"/>
      <c r="EF32790"/>
      <c r="EG32790"/>
      <c r="EH32790"/>
      <c r="EI32790"/>
      <c r="EJ32790"/>
      <c r="EK32790"/>
    </row>
    <row r="32791" spans="1:141" s="116" customFormat="1">
      <c r="A32791" s="136"/>
      <c r="CM32791" s="111"/>
      <c r="CQ32791" s="111"/>
      <c r="EF32791"/>
      <c r="EG32791"/>
      <c r="EH32791"/>
      <c r="EI32791"/>
      <c r="EJ32791"/>
      <c r="EK32791"/>
    </row>
    <row r="32792" spans="1:141" s="116" customFormat="1">
      <c r="A32792" s="136"/>
      <c r="CM32792" s="111"/>
      <c r="CQ32792" s="111"/>
      <c r="EF32792"/>
      <c r="EG32792"/>
      <c r="EH32792"/>
      <c r="EI32792"/>
      <c r="EJ32792"/>
      <c r="EK32792"/>
    </row>
    <row r="32793" spans="1:141" s="116" customFormat="1">
      <c r="A32793" s="136"/>
      <c r="CM32793" s="111"/>
      <c r="CQ32793" s="111"/>
      <c r="EF32793"/>
      <c r="EG32793"/>
      <c r="EH32793"/>
      <c r="EI32793"/>
      <c r="EJ32793"/>
      <c r="EK32793"/>
    </row>
    <row r="32794" spans="1:141" s="116" customFormat="1">
      <c r="A32794" s="136"/>
      <c r="CM32794" s="111"/>
      <c r="CQ32794" s="111"/>
      <c r="EF32794"/>
      <c r="EG32794"/>
      <c r="EH32794"/>
      <c r="EI32794"/>
      <c r="EJ32794"/>
      <c r="EK32794"/>
    </row>
    <row r="32795" spans="1:141" s="116" customFormat="1">
      <c r="A32795" s="136"/>
      <c r="CM32795" s="111"/>
      <c r="CQ32795" s="111"/>
      <c r="EF32795"/>
      <c r="EG32795"/>
      <c r="EH32795"/>
      <c r="EI32795"/>
      <c r="EJ32795"/>
      <c r="EK32795"/>
    </row>
    <row r="32796" spans="1:141" s="116" customFormat="1">
      <c r="A32796" s="136"/>
      <c r="CM32796" s="111"/>
      <c r="CQ32796" s="111"/>
      <c r="EF32796"/>
      <c r="EG32796"/>
      <c r="EH32796"/>
      <c r="EI32796"/>
      <c r="EJ32796"/>
      <c r="EK32796"/>
    </row>
    <row r="32797" spans="1:141" s="116" customFormat="1">
      <c r="A32797" s="136"/>
      <c r="CM32797" s="111"/>
      <c r="CQ32797" s="111"/>
      <c r="EF32797"/>
      <c r="EG32797"/>
      <c r="EH32797"/>
      <c r="EI32797"/>
      <c r="EJ32797"/>
      <c r="EK32797"/>
    </row>
    <row r="32798" spans="1:141" s="116" customFormat="1">
      <c r="A32798" s="136"/>
      <c r="CM32798" s="111"/>
      <c r="CQ32798" s="111"/>
      <c r="EF32798"/>
      <c r="EG32798"/>
      <c r="EH32798"/>
      <c r="EI32798"/>
      <c r="EJ32798"/>
      <c r="EK32798"/>
    </row>
    <row r="32799" spans="1:141" s="116" customFormat="1">
      <c r="A32799" s="136"/>
      <c r="CM32799" s="111"/>
      <c r="CQ32799" s="111"/>
      <c r="EF32799"/>
      <c r="EG32799"/>
      <c r="EH32799"/>
      <c r="EI32799"/>
      <c r="EJ32799"/>
      <c r="EK32799"/>
    </row>
    <row r="32800" spans="1:141" s="116" customFormat="1">
      <c r="A32800" s="136"/>
      <c r="CM32800" s="111"/>
      <c r="CQ32800" s="111"/>
      <c r="EF32800"/>
      <c r="EG32800"/>
      <c r="EH32800"/>
      <c r="EI32800"/>
      <c r="EJ32800"/>
      <c r="EK32800"/>
    </row>
    <row r="32801" spans="1:141" s="116" customFormat="1">
      <c r="A32801" s="136"/>
      <c r="CM32801" s="111"/>
      <c r="CQ32801" s="111"/>
      <c r="EF32801"/>
      <c r="EG32801"/>
      <c r="EH32801"/>
      <c r="EI32801"/>
      <c r="EJ32801"/>
      <c r="EK32801"/>
    </row>
    <row r="32802" spans="1:141" s="116" customFormat="1">
      <c r="A32802" s="136"/>
      <c r="CM32802" s="111"/>
      <c r="CQ32802" s="111"/>
      <c r="EF32802"/>
      <c r="EG32802"/>
      <c r="EH32802"/>
      <c r="EI32802"/>
      <c r="EJ32802"/>
      <c r="EK32802"/>
    </row>
    <row r="32803" spans="1:141" s="116" customFormat="1">
      <c r="A32803" s="136"/>
      <c r="CM32803" s="111"/>
      <c r="CQ32803" s="111"/>
      <c r="EF32803"/>
      <c r="EG32803"/>
      <c r="EH32803"/>
      <c r="EI32803"/>
      <c r="EJ32803"/>
      <c r="EK32803"/>
    </row>
    <row r="32804" spans="1:141" s="116" customFormat="1">
      <c r="A32804" s="136"/>
      <c r="CM32804" s="111"/>
      <c r="CQ32804" s="111"/>
      <c r="EF32804"/>
      <c r="EG32804"/>
      <c r="EH32804"/>
      <c r="EI32804"/>
      <c r="EJ32804"/>
      <c r="EK32804"/>
    </row>
    <row r="32805" spans="1:141" s="116" customFormat="1">
      <c r="A32805" s="136"/>
      <c r="CM32805" s="111"/>
      <c r="CQ32805" s="111"/>
      <c r="EF32805"/>
      <c r="EG32805"/>
      <c r="EH32805"/>
      <c r="EI32805"/>
      <c r="EJ32805"/>
      <c r="EK32805"/>
    </row>
    <row r="32806" spans="1:141" s="116" customFormat="1">
      <c r="A32806" s="136"/>
      <c r="CM32806" s="111"/>
      <c r="CQ32806" s="111"/>
      <c r="EF32806"/>
      <c r="EG32806"/>
      <c r="EH32806"/>
      <c r="EI32806"/>
      <c r="EJ32806"/>
      <c r="EK32806"/>
    </row>
    <row r="32807" spans="1:141" s="116" customFormat="1">
      <c r="A32807" s="136"/>
      <c r="CM32807" s="111"/>
      <c r="CQ32807" s="111"/>
      <c r="EF32807"/>
      <c r="EG32807"/>
      <c r="EH32807"/>
      <c r="EI32807"/>
      <c r="EJ32807"/>
      <c r="EK32807"/>
    </row>
    <row r="32808" spans="1:141" s="116" customFormat="1">
      <c r="A32808" s="136"/>
      <c r="CM32808" s="111"/>
      <c r="CQ32808" s="111"/>
      <c r="EF32808"/>
      <c r="EG32808"/>
      <c r="EH32808"/>
      <c r="EI32808"/>
      <c r="EJ32808"/>
      <c r="EK32808"/>
    </row>
    <row r="32809" spans="1:141" s="116" customFormat="1">
      <c r="A32809" s="136"/>
      <c r="CM32809" s="111"/>
      <c r="CQ32809" s="111"/>
      <c r="EF32809"/>
      <c r="EG32809"/>
      <c r="EH32809"/>
      <c r="EI32809"/>
      <c r="EJ32809"/>
      <c r="EK32809"/>
    </row>
    <row r="32810" spans="1:141" s="116" customFormat="1">
      <c r="A32810" s="136"/>
      <c r="CM32810" s="111"/>
      <c r="CQ32810" s="111"/>
      <c r="EF32810"/>
      <c r="EG32810"/>
      <c r="EH32810"/>
      <c r="EI32810"/>
      <c r="EJ32810"/>
      <c r="EK32810"/>
    </row>
    <row r="32811" spans="1:141" s="116" customFormat="1">
      <c r="A32811" s="136"/>
      <c r="CM32811" s="111"/>
      <c r="CQ32811" s="111"/>
      <c r="EF32811"/>
      <c r="EG32811"/>
      <c r="EH32811"/>
      <c r="EI32811"/>
      <c r="EJ32811"/>
      <c r="EK32811"/>
    </row>
    <row r="32812" spans="1:141" s="116" customFormat="1">
      <c r="A32812" s="136"/>
      <c r="CM32812" s="111"/>
      <c r="CQ32812" s="111"/>
      <c r="EF32812"/>
      <c r="EG32812"/>
      <c r="EH32812"/>
      <c r="EI32812"/>
      <c r="EJ32812"/>
      <c r="EK32812"/>
    </row>
    <row r="32813" spans="1:141" s="116" customFormat="1">
      <c r="A32813" s="136"/>
      <c r="CM32813" s="111"/>
      <c r="CQ32813" s="111"/>
      <c r="EF32813"/>
      <c r="EG32813"/>
      <c r="EH32813"/>
      <c r="EI32813"/>
      <c r="EJ32813"/>
      <c r="EK32813"/>
    </row>
    <row r="32814" spans="1:141" s="116" customFormat="1">
      <c r="A32814" s="136"/>
      <c r="CM32814" s="111"/>
      <c r="CQ32814" s="111"/>
      <c r="EF32814"/>
      <c r="EG32814"/>
      <c r="EH32814"/>
      <c r="EI32814"/>
      <c r="EJ32814"/>
      <c r="EK32814"/>
    </row>
    <row r="32815" spans="1:141" s="116" customFormat="1">
      <c r="A32815" s="136"/>
      <c r="CM32815" s="111"/>
      <c r="CQ32815" s="111"/>
      <c r="EF32815"/>
      <c r="EG32815"/>
      <c r="EH32815"/>
      <c r="EI32815"/>
      <c r="EJ32815"/>
      <c r="EK32815"/>
    </row>
    <row r="32816" spans="1:141" s="116" customFormat="1">
      <c r="A32816" s="136"/>
      <c r="CM32816" s="111"/>
      <c r="CQ32816" s="111"/>
      <c r="EF32816"/>
      <c r="EG32816"/>
      <c r="EH32816"/>
      <c r="EI32816"/>
      <c r="EJ32816"/>
      <c r="EK32816"/>
    </row>
    <row r="32817" spans="1:141" s="116" customFormat="1">
      <c r="A32817" s="136"/>
      <c r="CM32817" s="111"/>
      <c r="CQ32817" s="111"/>
      <c r="EF32817"/>
      <c r="EG32817"/>
      <c r="EH32817"/>
      <c r="EI32817"/>
      <c r="EJ32817"/>
      <c r="EK32817"/>
    </row>
    <row r="32818" spans="1:141" s="116" customFormat="1">
      <c r="A32818" s="136"/>
      <c r="CM32818" s="111"/>
      <c r="CQ32818" s="111"/>
      <c r="EF32818"/>
      <c r="EG32818"/>
      <c r="EH32818"/>
      <c r="EI32818"/>
      <c r="EJ32818"/>
      <c r="EK32818"/>
    </row>
    <row r="32819" spans="1:141" s="116" customFormat="1">
      <c r="A32819" s="136"/>
      <c r="CM32819" s="111"/>
      <c r="CQ32819" s="111"/>
      <c r="EF32819"/>
      <c r="EG32819"/>
      <c r="EH32819"/>
      <c r="EI32819"/>
      <c r="EJ32819"/>
      <c r="EK32819"/>
    </row>
    <row r="32820" spans="1:141" s="116" customFormat="1">
      <c r="A32820" s="136"/>
      <c r="CM32820" s="111"/>
      <c r="CQ32820" s="111"/>
      <c r="EF32820"/>
      <c r="EG32820"/>
      <c r="EH32820"/>
      <c r="EI32820"/>
      <c r="EJ32820"/>
      <c r="EK32820"/>
    </row>
    <row r="32821" spans="1:141" s="116" customFormat="1">
      <c r="A32821" s="136"/>
      <c r="CM32821" s="111"/>
      <c r="CQ32821" s="111"/>
      <c r="EF32821"/>
      <c r="EG32821"/>
      <c r="EH32821"/>
      <c r="EI32821"/>
      <c r="EJ32821"/>
      <c r="EK32821"/>
    </row>
    <row r="32822" spans="1:141" s="116" customFormat="1">
      <c r="A32822" s="136"/>
      <c r="CM32822" s="111"/>
      <c r="CQ32822" s="111"/>
      <c r="EF32822"/>
      <c r="EG32822"/>
      <c r="EH32822"/>
      <c r="EI32822"/>
      <c r="EJ32822"/>
      <c r="EK32822"/>
    </row>
    <row r="32823" spans="1:141" s="116" customFormat="1">
      <c r="A32823" s="136"/>
      <c r="CM32823" s="111"/>
      <c r="CQ32823" s="111"/>
      <c r="EF32823"/>
      <c r="EG32823"/>
      <c r="EH32823"/>
      <c r="EI32823"/>
      <c r="EJ32823"/>
      <c r="EK32823"/>
    </row>
    <row r="32824" spans="1:141" s="116" customFormat="1">
      <c r="A32824" s="136"/>
      <c r="CM32824" s="111"/>
      <c r="CQ32824" s="111"/>
      <c r="EF32824"/>
      <c r="EG32824"/>
      <c r="EH32824"/>
      <c r="EI32824"/>
      <c r="EJ32824"/>
      <c r="EK32824"/>
    </row>
    <row r="32825" spans="1:141" s="116" customFormat="1">
      <c r="A32825" s="136"/>
      <c r="CM32825" s="111"/>
      <c r="CQ32825" s="111"/>
      <c r="EF32825"/>
      <c r="EG32825"/>
      <c r="EH32825"/>
      <c r="EI32825"/>
      <c r="EJ32825"/>
      <c r="EK32825"/>
    </row>
    <row r="32826" spans="1:141" s="116" customFormat="1">
      <c r="A32826" s="136"/>
      <c r="CM32826" s="111"/>
      <c r="CQ32826" s="111"/>
      <c r="EF32826"/>
      <c r="EG32826"/>
      <c r="EH32826"/>
      <c r="EI32826"/>
      <c r="EJ32826"/>
      <c r="EK32826"/>
    </row>
    <row r="32827" spans="1:141" s="116" customFormat="1">
      <c r="A32827" s="136"/>
      <c r="CM32827" s="111"/>
      <c r="CQ32827" s="111"/>
      <c r="EF32827"/>
      <c r="EG32827"/>
      <c r="EH32827"/>
      <c r="EI32827"/>
      <c r="EJ32827"/>
      <c r="EK32827"/>
    </row>
    <row r="32828" spans="1:141" s="116" customFormat="1">
      <c r="A32828" s="136"/>
      <c r="CM32828" s="111"/>
      <c r="CQ32828" s="111"/>
      <c r="EF32828"/>
      <c r="EG32828"/>
      <c r="EH32828"/>
      <c r="EI32828"/>
      <c r="EJ32828"/>
      <c r="EK32828"/>
    </row>
    <row r="32829" spans="1:141" s="116" customFormat="1">
      <c r="A32829" s="136"/>
      <c r="CM32829" s="111"/>
      <c r="CQ32829" s="111"/>
      <c r="EF32829"/>
      <c r="EG32829"/>
      <c r="EH32829"/>
      <c r="EI32829"/>
      <c r="EJ32829"/>
      <c r="EK32829"/>
    </row>
    <row r="32830" spans="1:141" s="116" customFormat="1">
      <c r="A32830" s="136"/>
      <c r="CM32830" s="111"/>
      <c r="CQ32830" s="111"/>
      <c r="EF32830"/>
      <c r="EG32830"/>
      <c r="EH32830"/>
      <c r="EI32830"/>
      <c r="EJ32830"/>
      <c r="EK32830"/>
    </row>
    <row r="32831" spans="1:141" s="116" customFormat="1">
      <c r="A32831" s="136"/>
      <c r="CM32831" s="111"/>
      <c r="CQ32831" s="111"/>
      <c r="EF32831"/>
      <c r="EG32831"/>
      <c r="EH32831"/>
      <c r="EI32831"/>
      <c r="EJ32831"/>
      <c r="EK32831"/>
    </row>
    <row r="32832" spans="1:141" s="116" customFormat="1">
      <c r="A32832" s="136"/>
      <c r="CM32832" s="111"/>
      <c r="CQ32832" s="111"/>
      <c r="EF32832"/>
      <c r="EG32832"/>
      <c r="EH32832"/>
      <c r="EI32832"/>
      <c r="EJ32832"/>
      <c r="EK32832"/>
    </row>
    <row r="32833" spans="1:141" s="116" customFormat="1">
      <c r="A32833" s="136"/>
      <c r="CM32833" s="111"/>
      <c r="CQ32833" s="111"/>
      <c r="EF32833"/>
      <c r="EG32833"/>
      <c r="EH32833"/>
      <c r="EI32833"/>
      <c r="EJ32833"/>
      <c r="EK32833"/>
    </row>
    <row r="32834" spans="1:141" s="116" customFormat="1">
      <c r="A32834" s="136"/>
      <c r="CM32834" s="111"/>
      <c r="CQ32834" s="111"/>
      <c r="EF32834"/>
      <c r="EG32834"/>
      <c r="EH32834"/>
      <c r="EI32834"/>
      <c r="EJ32834"/>
      <c r="EK32834"/>
    </row>
    <row r="32835" spans="1:141" s="116" customFormat="1">
      <c r="A32835" s="136"/>
      <c r="CM32835" s="111"/>
      <c r="CQ32835" s="111"/>
      <c r="EF32835"/>
      <c r="EG32835"/>
      <c r="EH32835"/>
      <c r="EI32835"/>
      <c r="EJ32835"/>
      <c r="EK32835"/>
    </row>
    <row r="32836" spans="1:141" s="116" customFormat="1">
      <c r="A32836" s="136"/>
      <c r="CM32836" s="111"/>
      <c r="CQ32836" s="111"/>
      <c r="EF32836"/>
      <c r="EG32836"/>
      <c r="EH32836"/>
      <c r="EI32836"/>
      <c r="EJ32836"/>
      <c r="EK32836"/>
    </row>
    <row r="32837" spans="1:141" s="116" customFormat="1">
      <c r="A32837" s="136"/>
      <c r="CM32837" s="111"/>
      <c r="CQ32837" s="111"/>
      <c r="EF32837"/>
      <c r="EG32837"/>
      <c r="EH32837"/>
      <c r="EI32837"/>
      <c r="EJ32837"/>
      <c r="EK32837"/>
    </row>
    <row r="32838" spans="1:141" s="116" customFormat="1">
      <c r="A32838" s="136"/>
      <c r="CM32838" s="111"/>
      <c r="CQ32838" s="111"/>
      <c r="EF32838"/>
      <c r="EG32838"/>
      <c r="EH32838"/>
      <c r="EI32838"/>
      <c r="EJ32838"/>
      <c r="EK32838"/>
    </row>
    <row r="32839" spans="1:141" s="116" customFormat="1">
      <c r="A32839" s="136"/>
      <c r="CM32839" s="111"/>
      <c r="CQ32839" s="111"/>
      <c r="EF32839"/>
      <c r="EG32839"/>
      <c r="EH32839"/>
      <c r="EI32839"/>
      <c r="EJ32839"/>
      <c r="EK32839"/>
    </row>
    <row r="32840" spans="1:141" s="116" customFormat="1">
      <c r="A32840" s="136"/>
      <c r="CM32840" s="111"/>
      <c r="CQ32840" s="111"/>
      <c r="EF32840"/>
      <c r="EG32840"/>
      <c r="EH32840"/>
      <c r="EI32840"/>
      <c r="EJ32840"/>
      <c r="EK32840"/>
    </row>
    <row r="32841" spans="1:141" s="116" customFormat="1">
      <c r="A32841" s="136"/>
      <c r="CM32841" s="111"/>
      <c r="CQ32841" s="111"/>
      <c r="EF32841"/>
      <c r="EG32841"/>
      <c r="EH32841"/>
      <c r="EI32841"/>
      <c r="EJ32841"/>
      <c r="EK32841"/>
    </row>
    <row r="32842" spans="1:141" s="116" customFormat="1">
      <c r="A32842" s="136"/>
      <c r="CM32842" s="111"/>
      <c r="CQ32842" s="111"/>
      <c r="EF32842"/>
      <c r="EG32842"/>
      <c r="EH32842"/>
      <c r="EI32842"/>
      <c r="EJ32842"/>
      <c r="EK32842"/>
    </row>
    <row r="32843" spans="1:141" s="116" customFormat="1">
      <c r="A32843" s="136"/>
      <c r="CM32843" s="111"/>
      <c r="CQ32843" s="111"/>
      <c r="EF32843"/>
      <c r="EG32843"/>
      <c r="EH32843"/>
      <c r="EI32843"/>
      <c r="EJ32843"/>
      <c r="EK32843"/>
    </row>
    <row r="32844" spans="1:141" s="116" customFormat="1">
      <c r="A32844" s="136"/>
      <c r="CM32844" s="111"/>
      <c r="CQ32844" s="111"/>
      <c r="EF32844"/>
      <c r="EG32844"/>
      <c r="EH32844"/>
      <c r="EI32844"/>
      <c r="EJ32844"/>
      <c r="EK32844"/>
    </row>
    <row r="32845" spans="1:141" s="116" customFormat="1">
      <c r="A32845" s="136"/>
      <c r="CM32845" s="111"/>
      <c r="CQ32845" s="111"/>
      <c r="EF32845"/>
      <c r="EG32845"/>
      <c r="EH32845"/>
      <c r="EI32845"/>
      <c r="EJ32845"/>
      <c r="EK32845"/>
    </row>
    <row r="32846" spans="1:141" s="116" customFormat="1">
      <c r="A32846" s="136"/>
      <c r="CM32846" s="111"/>
      <c r="CQ32846" s="111"/>
      <c r="EF32846"/>
      <c r="EG32846"/>
      <c r="EH32846"/>
      <c r="EI32846"/>
      <c r="EJ32846"/>
      <c r="EK32846"/>
    </row>
    <row r="32847" spans="1:141" s="116" customFormat="1">
      <c r="A32847" s="136"/>
      <c r="CM32847" s="111"/>
      <c r="CQ32847" s="111"/>
      <c r="EF32847"/>
      <c r="EG32847"/>
      <c r="EH32847"/>
      <c r="EI32847"/>
      <c r="EJ32847"/>
      <c r="EK32847"/>
    </row>
    <row r="32848" spans="1:141" s="116" customFormat="1">
      <c r="A32848" s="136"/>
      <c r="CM32848" s="111"/>
      <c r="CQ32848" s="111"/>
      <c r="EF32848"/>
      <c r="EG32848"/>
      <c r="EH32848"/>
      <c r="EI32848"/>
      <c r="EJ32848"/>
      <c r="EK32848"/>
    </row>
    <row r="32849" spans="1:141" s="116" customFormat="1">
      <c r="A32849" s="136"/>
      <c r="CM32849" s="111"/>
      <c r="CQ32849" s="111"/>
      <c r="EF32849"/>
      <c r="EG32849"/>
      <c r="EH32849"/>
      <c r="EI32849"/>
      <c r="EJ32849"/>
      <c r="EK32849"/>
    </row>
    <row r="32850" spans="1:141" s="116" customFormat="1">
      <c r="A32850" s="136"/>
      <c r="CM32850" s="111"/>
      <c r="CQ32850" s="111"/>
      <c r="EF32850"/>
      <c r="EG32850"/>
      <c r="EH32850"/>
      <c r="EI32850"/>
      <c r="EJ32850"/>
      <c r="EK32850"/>
    </row>
    <row r="32851" spans="1:141" s="116" customFormat="1">
      <c r="A32851" s="136"/>
      <c r="CM32851" s="111"/>
      <c r="CQ32851" s="111"/>
      <c r="EF32851"/>
      <c r="EG32851"/>
      <c r="EH32851"/>
      <c r="EI32851"/>
      <c r="EJ32851"/>
      <c r="EK32851"/>
    </row>
    <row r="32852" spans="1:141" s="116" customFormat="1">
      <c r="A32852" s="136"/>
      <c r="CM32852" s="111"/>
      <c r="CQ32852" s="111"/>
      <c r="EF32852"/>
      <c r="EG32852"/>
      <c r="EH32852"/>
      <c r="EI32852"/>
      <c r="EJ32852"/>
      <c r="EK32852"/>
    </row>
    <row r="32853" spans="1:141" s="116" customFormat="1">
      <c r="A32853" s="136"/>
      <c r="CM32853" s="111"/>
      <c r="CQ32853" s="111"/>
      <c r="EF32853"/>
      <c r="EG32853"/>
      <c r="EH32853"/>
      <c r="EI32853"/>
      <c r="EJ32853"/>
      <c r="EK32853"/>
    </row>
    <row r="32854" spans="1:141" s="116" customFormat="1">
      <c r="A32854" s="136"/>
      <c r="CM32854" s="111"/>
      <c r="CQ32854" s="111"/>
      <c r="EF32854"/>
      <c r="EG32854"/>
      <c r="EH32854"/>
      <c r="EI32854"/>
      <c r="EJ32854"/>
      <c r="EK32854"/>
    </row>
    <row r="32855" spans="1:141" s="116" customFormat="1">
      <c r="A32855" s="136"/>
      <c r="CM32855" s="111"/>
      <c r="CQ32855" s="111"/>
      <c r="EF32855"/>
      <c r="EG32855"/>
      <c r="EH32855"/>
      <c r="EI32855"/>
      <c r="EJ32855"/>
      <c r="EK32855"/>
    </row>
    <row r="32856" spans="1:141" s="116" customFormat="1">
      <c r="A32856" s="136"/>
      <c r="CM32856" s="111"/>
      <c r="CQ32856" s="111"/>
      <c r="EF32856"/>
      <c r="EG32856"/>
      <c r="EH32856"/>
      <c r="EI32856"/>
      <c r="EJ32856"/>
      <c r="EK32856"/>
    </row>
    <row r="32857" spans="1:141" s="116" customFormat="1">
      <c r="A32857" s="136"/>
      <c r="CM32857" s="111"/>
      <c r="CQ32857" s="111"/>
      <c r="EF32857"/>
      <c r="EG32857"/>
      <c r="EH32857"/>
      <c r="EI32857"/>
      <c r="EJ32857"/>
      <c r="EK32857"/>
    </row>
    <row r="32858" spans="1:141" s="116" customFormat="1">
      <c r="A32858" s="136"/>
      <c r="CM32858" s="111"/>
      <c r="CQ32858" s="111"/>
      <c r="EF32858"/>
      <c r="EG32858"/>
      <c r="EH32858"/>
      <c r="EI32858"/>
      <c r="EJ32858"/>
      <c r="EK32858"/>
    </row>
    <row r="32859" spans="1:141" s="116" customFormat="1">
      <c r="A32859" s="136"/>
      <c r="CM32859" s="111"/>
      <c r="CQ32859" s="111"/>
      <c r="EF32859"/>
      <c r="EG32859"/>
      <c r="EH32859"/>
      <c r="EI32859"/>
      <c r="EJ32859"/>
      <c r="EK32859"/>
    </row>
    <row r="32860" spans="1:141" s="116" customFormat="1">
      <c r="A32860" s="136"/>
      <c r="CM32860" s="111"/>
      <c r="CQ32860" s="111"/>
      <c r="EF32860"/>
      <c r="EG32860"/>
      <c r="EH32860"/>
      <c r="EI32860"/>
      <c r="EJ32860"/>
      <c r="EK32860"/>
    </row>
    <row r="32861" spans="1:141" s="116" customFormat="1">
      <c r="A32861" s="136"/>
      <c r="CM32861" s="111"/>
      <c r="CQ32861" s="111"/>
      <c r="EF32861"/>
      <c r="EG32861"/>
      <c r="EH32861"/>
      <c r="EI32861"/>
      <c r="EJ32861"/>
      <c r="EK32861"/>
    </row>
    <row r="32862" spans="1:141" s="116" customFormat="1">
      <c r="A32862" s="136"/>
      <c r="CM32862" s="111"/>
      <c r="CQ32862" s="111"/>
      <c r="EF32862"/>
      <c r="EG32862"/>
      <c r="EH32862"/>
      <c r="EI32862"/>
      <c r="EJ32862"/>
      <c r="EK32862"/>
    </row>
    <row r="32863" spans="1:141" s="116" customFormat="1">
      <c r="A32863" s="136"/>
      <c r="CM32863" s="111"/>
      <c r="CQ32863" s="111"/>
      <c r="EF32863"/>
      <c r="EG32863"/>
      <c r="EH32863"/>
      <c r="EI32863"/>
      <c r="EJ32863"/>
      <c r="EK32863"/>
    </row>
    <row r="32864" spans="1:141" s="116" customFormat="1">
      <c r="A32864" s="136"/>
      <c r="CM32864" s="111"/>
      <c r="CQ32864" s="111"/>
      <c r="EF32864"/>
      <c r="EG32864"/>
      <c r="EH32864"/>
      <c r="EI32864"/>
      <c r="EJ32864"/>
      <c r="EK32864"/>
    </row>
    <row r="32865" spans="1:141" s="116" customFormat="1">
      <c r="A32865" s="136"/>
      <c r="CM32865" s="111"/>
      <c r="CQ32865" s="111"/>
      <c r="EF32865"/>
      <c r="EG32865"/>
      <c r="EH32865"/>
      <c r="EI32865"/>
      <c r="EJ32865"/>
      <c r="EK32865"/>
    </row>
    <row r="32866" spans="1:141" s="116" customFormat="1">
      <c r="A32866" s="136"/>
      <c r="CM32866" s="111"/>
      <c r="CQ32866" s="111"/>
      <c r="EF32866"/>
      <c r="EG32866"/>
      <c r="EH32866"/>
      <c r="EI32866"/>
      <c r="EJ32866"/>
      <c r="EK32866"/>
    </row>
    <row r="32867" spans="1:141" s="116" customFormat="1">
      <c r="A32867" s="136"/>
      <c r="CM32867" s="111"/>
      <c r="CQ32867" s="111"/>
      <c r="EF32867"/>
      <c r="EG32867"/>
      <c r="EH32867"/>
      <c r="EI32867"/>
      <c r="EJ32867"/>
      <c r="EK32867"/>
    </row>
    <row r="32868" spans="1:141" s="116" customFormat="1">
      <c r="A32868" s="136"/>
      <c r="CM32868" s="111"/>
      <c r="CQ32868" s="111"/>
      <c r="EF32868"/>
      <c r="EG32868"/>
      <c r="EH32868"/>
      <c r="EI32868"/>
      <c r="EJ32868"/>
      <c r="EK32868"/>
    </row>
    <row r="32869" spans="1:141" s="116" customFormat="1">
      <c r="A32869" s="136"/>
      <c r="CM32869" s="111"/>
      <c r="CQ32869" s="111"/>
      <c r="EF32869"/>
      <c r="EG32869"/>
      <c r="EH32869"/>
      <c r="EI32869"/>
      <c r="EJ32869"/>
      <c r="EK32869"/>
    </row>
    <row r="32870" spans="1:141" s="116" customFormat="1">
      <c r="A32870" s="136"/>
      <c r="CM32870" s="111"/>
      <c r="CQ32870" s="111"/>
      <c r="EF32870"/>
      <c r="EG32870"/>
      <c r="EH32870"/>
      <c r="EI32870"/>
      <c r="EJ32870"/>
      <c r="EK32870"/>
    </row>
    <row r="32871" spans="1:141" s="116" customFormat="1">
      <c r="A32871" s="136"/>
      <c r="CM32871" s="111"/>
      <c r="CQ32871" s="111"/>
      <c r="EF32871"/>
      <c r="EG32871"/>
      <c r="EH32871"/>
      <c r="EI32871"/>
      <c r="EJ32871"/>
      <c r="EK32871"/>
    </row>
    <row r="32872" spans="1:141" s="116" customFormat="1">
      <c r="A32872" s="136"/>
      <c r="CM32872" s="111"/>
      <c r="CQ32872" s="111"/>
      <c r="EF32872"/>
      <c r="EG32872"/>
      <c r="EH32872"/>
      <c r="EI32872"/>
      <c r="EJ32872"/>
      <c r="EK32872"/>
    </row>
    <row r="32873" spans="1:141" s="116" customFormat="1">
      <c r="A32873" s="136"/>
      <c r="CM32873" s="111"/>
      <c r="CQ32873" s="111"/>
      <c r="EF32873"/>
      <c r="EG32873"/>
      <c r="EH32873"/>
      <c r="EI32873"/>
      <c r="EJ32873"/>
      <c r="EK32873"/>
    </row>
    <row r="32874" spans="1:141" s="116" customFormat="1">
      <c r="A32874" s="136"/>
      <c r="CM32874" s="111"/>
      <c r="CQ32874" s="111"/>
      <c r="EF32874"/>
      <c r="EG32874"/>
      <c r="EH32874"/>
      <c r="EI32874"/>
      <c r="EJ32874"/>
      <c r="EK32874"/>
    </row>
    <row r="32875" spans="1:141" s="116" customFormat="1">
      <c r="A32875" s="136"/>
      <c r="CM32875" s="111"/>
      <c r="CQ32875" s="111"/>
      <c r="EF32875"/>
      <c r="EG32875"/>
      <c r="EH32875"/>
      <c r="EI32875"/>
      <c r="EJ32875"/>
      <c r="EK32875"/>
    </row>
    <row r="32876" spans="1:141" s="116" customFormat="1">
      <c r="A32876" s="136"/>
      <c r="CM32876" s="111"/>
      <c r="CQ32876" s="111"/>
      <c r="EF32876"/>
      <c r="EG32876"/>
      <c r="EH32876"/>
      <c r="EI32876"/>
      <c r="EJ32876"/>
      <c r="EK32876"/>
    </row>
    <row r="32877" spans="1:141" s="116" customFormat="1">
      <c r="A32877" s="136"/>
      <c r="CM32877" s="111"/>
      <c r="CQ32877" s="111"/>
      <c r="EF32877"/>
      <c r="EG32877"/>
      <c r="EH32877"/>
      <c r="EI32877"/>
      <c r="EJ32877"/>
      <c r="EK32877"/>
    </row>
    <row r="32878" spans="1:141" s="116" customFormat="1">
      <c r="A32878" s="136"/>
      <c r="CM32878" s="111"/>
      <c r="CQ32878" s="111"/>
      <c r="EF32878"/>
      <c r="EG32878"/>
      <c r="EH32878"/>
      <c r="EI32878"/>
      <c r="EJ32878"/>
      <c r="EK32878"/>
    </row>
    <row r="32879" spans="1:141" s="116" customFormat="1">
      <c r="A32879" s="136"/>
      <c r="CM32879" s="111"/>
      <c r="CQ32879" s="111"/>
      <c r="EF32879"/>
      <c r="EG32879"/>
      <c r="EH32879"/>
      <c r="EI32879"/>
      <c r="EJ32879"/>
      <c r="EK32879"/>
    </row>
    <row r="32880" spans="1:141" s="116" customFormat="1">
      <c r="A32880" s="136"/>
      <c r="CM32880" s="111"/>
      <c r="CQ32880" s="111"/>
      <c r="EF32880"/>
      <c r="EG32880"/>
      <c r="EH32880"/>
      <c r="EI32880"/>
      <c r="EJ32880"/>
      <c r="EK32880"/>
    </row>
    <row r="32881" spans="1:141" s="116" customFormat="1">
      <c r="A32881" s="136"/>
      <c r="CM32881" s="111"/>
      <c r="CQ32881" s="111"/>
      <c r="EF32881"/>
      <c r="EG32881"/>
      <c r="EH32881"/>
      <c r="EI32881"/>
      <c r="EJ32881"/>
      <c r="EK32881"/>
    </row>
    <row r="32882" spans="1:141" s="116" customFormat="1">
      <c r="A32882" s="136"/>
      <c r="CM32882" s="111"/>
      <c r="CQ32882" s="111"/>
      <c r="EF32882"/>
      <c r="EG32882"/>
      <c r="EH32882"/>
      <c r="EI32882"/>
      <c r="EJ32882"/>
      <c r="EK32882"/>
    </row>
    <row r="32883" spans="1:141" s="116" customFormat="1">
      <c r="A32883" s="136"/>
      <c r="CM32883" s="111"/>
      <c r="CQ32883" s="111"/>
      <c r="EF32883"/>
      <c r="EG32883"/>
      <c r="EH32883"/>
      <c r="EI32883"/>
      <c r="EJ32883"/>
      <c r="EK32883"/>
    </row>
    <row r="32884" spans="1:141" s="116" customFormat="1">
      <c r="A32884" s="136"/>
      <c r="CM32884" s="111"/>
      <c r="CQ32884" s="111"/>
      <c r="EF32884"/>
      <c r="EG32884"/>
      <c r="EH32884"/>
      <c r="EI32884"/>
      <c r="EJ32884"/>
      <c r="EK32884"/>
    </row>
    <row r="32885" spans="1:141" s="116" customFormat="1">
      <c r="A32885" s="136"/>
      <c r="CM32885" s="111"/>
      <c r="CQ32885" s="111"/>
      <c r="EF32885"/>
      <c r="EG32885"/>
      <c r="EH32885"/>
      <c r="EI32885"/>
      <c r="EJ32885"/>
      <c r="EK32885"/>
    </row>
    <row r="32886" spans="1:141" s="116" customFormat="1">
      <c r="A32886" s="136"/>
      <c r="CM32886" s="111"/>
      <c r="CQ32886" s="111"/>
      <c r="EF32886"/>
      <c r="EG32886"/>
      <c r="EH32886"/>
      <c r="EI32886"/>
      <c r="EJ32886"/>
      <c r="EK32886"/>
    </row>
    <row r="32887" spans="1:141" s="116" customFormat="1">
      <c r="A32887" s="136"/>
      <c r="CM32887" s="111"/>
      <c r="CQ32887" s="111"/>
      <c r="EF32887"/>
      <c r="EG32887"/>
      <c r="EH32887"/>
      <c r="EI32887"/>
      <c r="EJ32887"/>
      <c r="EK32887"/>
    </row>
    <row r="32888" spans="1:141" s="116" customFormat="1">
      <c r="A32888" s="136"/>
      <c r="CM32888" s="111"/>
      <c r="CQ32888" s="111"/>
      <c r="EF32888"/>
      <c r="EG32888"/>
      <c r="EH32888"/>
      <c r="EI32888"/>
      <c r="EJ32888"/>
      <c r="EK32888"/>
    </row>
    <row r="32889" spans="1:141" s="116" customFormat="1">
      <c r="A32889" s="136"/>
      <c r="CM32889" s="111"/>
      <c r="CQ32889" s="111"/>
      <c r="EF32889"/>
      <c r="EG32889"/>
      <c r="EH32889"/>
      <c r="EI32889"/>
      <c r="EJ32889"/>
      <c r="EK32889"/>
    </row>
    <row r="32890" spans="1:141" s="116" customFormat="1">
      <c r="A32890" s="136"/>
      <c r="CM32890" s="111"/>
      <c r="CQ32890" s="111"/>
      <c r="EF32890"/>
      <c r="EG32890"/>
      <c r="EH32890"/>
      <c r="EI32890"/>
      <c r="EJ32890"/>
      <c r="EK32890"/>
    </row>
    <row r="32891" spans="1:141" s="116" customFormat="1">
      <c r="A32891" s="136"/>
      <c r="CM32891" s="111"/>
      <c r="CQ32891" s="111"/>
      <c r="EF32891"/>
      <c r="EG32891"/>
      <c r="EH32891"/>
      <c r="EI32891"/>
      <c r="EJ32891"/>
      <c r="EK32891"/>
    </row>
    <row r="32892" spans="1:141" s="116" customFormat="1">
      <c r="A32892" s="136"/>
      <c r="CM32892" s="111"/>
      <c r="CQ32892" s="111"/>
      <c r="EF32892"/>
      <c r="EG32892"/>
      <c r="EH32892"/>
      <c r="EI32892"/>
      <c r="EJ32892"/>
      <c r="EK32892"/>
    </row>
    <row r="32893" spans="1:141" s="116" customFormat="1">
      <c r="A32893" s="136"/>
      <c r="CM32893" s="111"/>
      <c r="CQ32893" s="111"/>
      <c r="EF32893"/>
      <c r="EG32893"/>
      <c r="EH32893"/>
      <c r="EI32893"/>
      <c r="EJ32893"/>
      <c r="EK32893"/>
    </row>
    <row r="32894" spans="1:141" s="116" customFormat="1">
      <c r="A32894" s="136"/>
      <c r="CM32894" s="111"/>
      <c r="CQ32894" s="111"/>
      <c r="EF32894"/>
      <c r="EG32894"/>
      <c r="EH32894"/>
      <c r="EI32894"/>
      <c r="EJ32894"/>
      <c r="EK32894"/>
    </row>
    <row r="32895" spans="1:141" s="116" customFormat="1">
      <c r="A32895" s="136"/>
      <c r="CM32895" s="111"/>
      <c r="CQ32895" s="111"/>
      <c r="EF32895"/>
      <c r="EG32895"/>
      <c r="EH32895"/>
      <c r="EI32895"/>
      <c r="EJ32895"/>
      <c r="EK32895"/>
    </row>
    <row r="32896" spans="1:141" s="116" customFormat="1">
      <c r="A32896" s="136"/>
      <c r="CM32896" s="111"/>
      <c r="CQ32896" s="111"/>
      <c r="EF32896"/>
      <c r="EG32896"/>
      <c r="EH32896"/>
      <c r="EI32896"/>
      <c r="EJ32896"/>
      <c r="EK32896"/>
    </row>
    <row r="32897" spans="1:141" s="116" customFormat="1">
      <c r="A32897" s="136"/>
      <c r="CM32897" s="111"/>
      <c r="CQ32897" s="111"/>
      <c r="EF32897"/>
      <c r="EG32897"/>
      <c r="EH32897"/>
      <c r="EI32897"/>
      <c r="EJ32897"/>
      <c r="EK32897"/>
    </row>
    <row r="32898" spans="1:141" s="116" customFormat="1">
      <c r="A32898" s="136"/>
      <c r="CM32898" s="111"/>
      <c r="CQ32898" s="111"/>
      <c r="EF32898"/>
      <c r="EG32898"/>
      <c r="EH32898"/>
      <c r="EI32898"/>
      <c r="EJ32898"/>
      <c r="EK32898"/>
    </row>
    <row r="32899" spans="1:141" s="116" customFormat="1">
      <c r="A32899" s="136"/>
      <c r="CM32899" s="111"/>
      <c r="CQ32899" s="111"/>
      <c r="EF32899"/>
      <c r="EG32899"/>
      <c r="EH32899"/>
      <c r="EI32899"/>
      <c r="EJ32899"/>
      <c r="EK32899"/>
    </row>
    <row r="32900" spans="1:141" s="116" customFormat="1">
      <c r="A32900" s="136"/>
      <c r="CM32900" s="111"/>
      <c r="CQ32900" s="111"/>
      <c r="EF32900"/>
      <c r="EG32900"/>
      <c r="EH32900"/>
      <c r="EI32900"/>
      <c r="EJ32900"/>
      <c r="EK32900"/>
    </row>
    <row r="32901" spans="1:141" s="116" customFormat="1">
      <c r="A32901" s="136"/>
      <c r="CM32901" s="111"/>
      <c r="CQ32901" s="111"/>
      <c r="EF32901"/>
      <c r="EG32901"/>
      <c r="EH32901"/>
      <c r="EI32901"/>
      <c r="EJ32901"/>
      <c r="EK32901"/>
    </row>
    <row r="32902" spans="1:141" s="116" customFormat="1">
      <c r="A32902" s="136"/>
      <c r="CM32902" s="111"/>
      <c r="CQ32902" s="111"/>
      <c r="EF32902"/>
      <c r="EG32902"/>
      <c r="EH32902"/>
      <c r="EI32902"/>
      <c r="EJ32902"/>
      <c r="EK32902"/>
    </row>
    <row r="32903" spans="1:141" s="116" customFormat="1">
      <c r="A32903" s="136"/>
      <c r="CM32903" s="111"/>
      <c r="CQ32903" s="111"/>
      <c r="EF32903"/>
      <c r="EG32903"/>
      <c r="EH32903"/>
      <c r="EI32903"/>
      <c r="EJ32903"/>
      <c r="EK32903"/>
    </row>
    <row r="32904" spans="1:141" s="116" customFormat="1">
      <c r="A32904" s="136"/>
      <c r="CM32904" s="111"/>
      <c r="CQ32904" s="111"/>
      <c r="EF32904"/>
      <c r="EG32904"/>
      <c r="EH32904"/>
      <c r="EI32904"/>
      <c r="EJ32904"/>
      <c r="EK32904"/>
    </row>
    <row r="32905" spans="1:141" s="116" customFormat="1">
      <c r="A32905" s="136"/>
      <c r="CM32905" s="111"/>
      <c r="CQ32905" s="111"/>
      <c r="EF32905"/>
      <c r="EG32905"/>
      <c r="EH32905"/>
      <c r="EI32905"/>
      <c r="EJ32905"/>
      <c r="EK32905"/>
    </row>
    <row r="32906" spans="1:141" s="116" customFormat="1">
      <c r="A32906" s="136"/>
      <c r="CM32906" s="111"/>
      <c r="CQ32906" s="111"/>
      <c r="EF32906"/>
      <c r="EG32906"/>
      <c r="EH32906"/>
      <c r="EI32906"/>
      <c r="EJ32906"/>
      <c r="EK32906"/>
    </row>
    <row r="32907" spans="1:141" s="116" customFormat="1">
      <c r="A32907" s="136"/>
      <c r="CM32907" s="111"/>
      <c r="CQ32907" s="111"/>
      <c r="EF32907"/>
      <c r="EG32907"/>
      <c r="EH32907"/>
      <c r="EI32907"/>
      <c r="EJ32907"/>
      <c r="EK32907"/>
    </row>
    <row r="32908" spans="1:141" s="116" customFormat="1">
      <c r="A32908" s="136"/>
      <c r="CM32908" s="111"/>
      <c r="CQ32908" s="111"/>
      <c r="EF32908"/>
      <c r="EG32908"/>
      <c r="EH32908"/>
      <c r="EI32908"/>
      <c r="EJ32908"/>
      <c r="EK32908"/>
    </row>
    <row r="32909" spans="1:141" s="116" customFormat="1">
      <c r="A32909" s="136"/>
      <c r="CM32909" s="111"/>
      <c r="CQ32909" s="111"/>
      <c r="EF32909"/>
      <c r="EG32909"/>
      <c r="EH32909"/>
      <c r="EI32909"/>
      <c r="EJ32909"/>
      <c r="EK32909"/>
    </row>
    <row r="32910" spans="1:141" s="116" customFormat="1">
      <c r="A32910" s="136"/>
      <c r="CM32910" s="111"/>
      <c r="CQ32910" s="111"/>
      <c r="EF32910"/>
      <c r="EG32910"/>
      <c r="EH32910"/>
      <c r="EI32910"/>
      <c r="EJ32910"/>
      <c r="EK32910"/>
    </row>
    <row r="32911" spans="1:141" s="116" customFormat="1">
      <c r="A32911" s="136"/>
      <c r="CM32911" s="111"/>
      <c r="CQ32911" s="111"/>
      <c r="EF32911"/>
      <c r="EG32911"/>
      <c r="EH32911"/>
      <c r="EI32911"/>
      <c r="EJ32911"/>
      <c r="EK32911"/>
    </row>
    <row r="32912" spans="1:141" s="116" customFormat="1">
      <c r="A32912" s="136"/>
      <c r="CM32912" s="111"/>
      <c r="CQ32912" s="111"/>
      <c r="EF32912"/>
      <c r="EG32912"/>
      <c r="EH32912"/>
      <c r="EI32912"/>
      <c r="EJ32912"/>
      <c r="EK32912"/>
    </row>
    <row r="32913" spans="1:141" s="116" customFormat="1">
      <c r="A32913" s="136"/>
      <c r="CM32913" s="111"/>
      <c r="CQ32913" s="111"/>
      <c r="EF32913"/>
      <c r="EG32913"/>
      <c r="EH32913"/>
      <c r="EI32913"/>
      <c r="EJ32913"/>
      <c r="EK32913"/>
    </row>
    <row r="32914" spans="1:141" s="116" customFormat="1">
      <c r="A32914" s="136"/>
      <c r="CM32914" s="111"/>
      <c r="CQ32914" s="111"/>
      <c r="EF32914"/>
      <c r="EG32914"/>
      <c r="EH32914"/>
      <c r="EI32914"/>
      <c r="EJ32914"/>
      <c r="EK32914"/>
    </row>
    <row r="32915" spans="1:141" s="116" customFormat="1">
      <c r="A32915" s="136"/>
      <c r="CM32915" s="111"/>
      <c r="CQ32915" s="111"/>
      <c r="EF32915"/>
      <c r="EG32915"/>
      <c r="EH32915"/>
      <c r="EI32915"/>
      <c r="EJ32915"/>
      <c r="EK32915"/>
    </row>
    <row r="32916" spans="1:141" s="116" customFormat="1">
      <c r="A32916" s="136"/>
      <c r="CM32916" s="111"/>
      <c r="CQ32916" s="111"/>
      <c r="EF32916"/>
      <c r="EG32916"/>
      <c r="EH32916"/>
      <c r="EI32916"/>
      <c r="EJ32916"/>
      <c r="EK32916"/>
    </row>
    <row r="32917" spans="1:141" s="116" customFormat="1">
      <c r="A32917" s="136"/>
      <c r="CM32917" s="111"/>
      <c r="CQ32917" s="111"/>
      <c r="EF32917"/>
      <c r="EG32917"/>
      <c r="EH32917"/>
      <c r="EI32917"/>
      <c r="EJ32917"/>
      <c r="EK32917"/>
    </row>
    <row r="32918" spans="1:141" s="116" customFormat="1">
      <c r="A32918" s="136"/>
      <c r="CM32918" s="111"/>
      <c r="CQ32918" s="111"/>
      <c r="EF32918"/>
      <c r="EG32918"/>
      <c r="EH32918"/>
      <c r="EI32918"/>
      <c r="EJ32918"/>
      <c r="EK32918"/>
    </row>
    <row r="32919" spans="1:141" s="116" customFormat="1">
      <c r="A32919" s="136"/>
      <c r="CM32919" s="111"/>
      <c r="CQ32919" s="111"/>
      <c r="EF32919"/>
      <c r="EG32919"/>
      <c r="EH32919"/>
      <c r="EI32919"/>
      <c r="EJ32919"/>
      <c r="EK32919"/>
    </row>
    <row r="32920" spans="1:141" s="116" customFormat="1">
      <c r="A32920" s="136"/>
      <c r="CM32920" s="111"/>
      <c r="CQ32920" s="111"/>
      <c r="EF32920"/>
      <c r="EG32920"/>
      <c r="EH32920"/>
      <c r="EI32920"/>
      <c r="EJ32920"/>
      <c r="EK32920"/>
    </row>
    <row r="32921" spans="1:141" s="116" customFormat="1">
      <c r="A32921" s="136"/>
      <c r="CM32921" s="111"/>
      <c r="CQ32921" s="111"/>
      <c r="EF32921"/>
      <c r="EG32921"/>
      <c r="EH32921"/>
      <c r="EI32921"/>
      <c r="EJ32921"/>
      <c r="EK32921"/>
    </row>
    <row r="32922" spans="1:141" s="116" customFormat="1">
      <c r="A32922" s="136"/>
      <c r="CM32922" s="111"/>
      <c r="CQ32922" s="111"/>
      <c r="EF32922"/>
      <c r="EG32922"/>
      <c r="EH32922"/>
      <c r="EI32922"/>
      <c r="EJ32922"/>
      <c r="EK32922"/>
    </row>
    <row r="32923" spans="1:141" s="116" customFormat="1">
      <c r="A32923" s="136"/>
      <c r="CM32923" s="111"/>
      <c r="CQ32923" s="111"/>
      <c r="EF32923"/>
      <c r="EG32923"/>
      <c r="EH32923"/>
      <c r="EI32923"/>
      <c r="EJ32923"/>
      <c r="EK32923"/>
    </row>
    <row r="32924" spans="1:141" s="116" customFormat="1">
      <c r="A32924" s="136"/>
      <c r="CM32924" s="111"/>
      <c r="CQ32924" s="111"/>
      <c r="EF32924"/>
      <c r="EG32924"/>
      <c r="EH32924"/>
      <c r="EI32924"/>
      <c r="EJ32924"/>
      <c r="EK32924"/>
    </row>
    <row r="32925" spans="1:141" s="116" customFormat="1">
      <c r="A32925" s="136"/>
      <c r="CM32925" s="111"/>
      <c r="CQ32925" s="111"/>
      <c r="EF32925"/>
      <c r="EG32925"/>
      <c r="EH32925"/>
      <c r="EI32925"/>
      <c r="EJ32925"/>
      <c r="EK32925"/>
    </row>
    <row r="32926" spans="1:141" s="116" customFormat="1">
      <c r="A32926" s="136"/>
      <c r="CM32926" s="111"/>
      <c r="CQ32926" s="111"/>
      <c r="EF32926"/>
      <c r="EG32926"/>
      <c r="EH32926"/>
      <c r="EI32926"/>
      <c r="EJ32926"/>
      <c r="EK32926"/>
    </row>
    <row r="32927" spans="1:141" s="116" customFormat="1">
      <c r="A32927" s="136"/>
      <c r="CM32927" s="111"/>
      <c r="CQ32927" s="111"/>
      <c r="EF32927"/>
      <c r="EG32927"/>
      <c r="EH32927"/>
      <c r="EI32927"/>
      <c r="EJ32927"/>
      <c r="EK32927"/>
    </row>
    <row r="32928" spans="1:141" s="116" customFormat="1">
      <c r="A32928" s="136"/>
      <c r="CM32928" s="111"/>
      <c r="CQ32928" s="111"/>
      <c r="EF32928"/>
      <c r="EG32928"/>
      <c r="EH32928"/>
      <c r="EI32928"/>
      <c r="EJ32928"/>
      <c r="EK32928"/>
    </row>
    <row r="32929" spans="1:141" s="116" customFormat="1">
      <c r="A32929" s="136"/>
      <c r="CM32929" s="111"/>
      <c r="CQ32929" s="111"/>
      <c r="EF32929"/>
      <c r="EG32929"/>
      <c r="EH32929"/>
      <c r="EI32929"/>
      <c r="EJ32929"/>
      <c r="EK32929"/>
    </row>
    <row r="32930" spans="1:141" s="116" customFormat="1">
      <c r="A32930" s="136"/>
      <c r="CM32930" s="111"/>
      <c r="CQ32930" s="111"/>
      <c r="EF32930"/>
      <c r="EG32930"/>
      <c r="EH32930"/>
      <c r="EI32930"/>
      <c r="EJ32930"/>
      <c r="EK32930"/>
    </row>
    <row r="32931" spans="1:141" s="116" customFormat="1">
      <c r="A32931" s="136"/>
      <c r="CM32931" s="111"/>
      <c r="CQ32931" s="111"/>
      <c r="EF32931"/>
      <c r="EG32931"/>
      <c r="EH32931"/>
      <c r="EI32931"/>
      <c r="EJ32931"/>
      <c r="EK32931"/>
    </row>
    <row r="32932" spans="1:141" s="116" customFormat="1">
      <c r="A32932" s="136"/>
      <c r="CM32932" s="111"/>
      <c r="CQ32932" s="111"/>
      <c r="EF32932"/>
      <c r="EG32932"/>
      <c r="EH32932"/>
      <c r="EI32932"/>
      <c r="EJ32932"/>
      <c r="EK32932"/>
    </row>
    <row r="32933" spans="1:141" s="116" customFormat="1">
      <c r="A32933" s="136"/>
      <c r="CM32933" s="111"/>
      <c r="CQ32933" s="111"/>
      <c r="EF32933"/>
      <c r="EG32933"/>
      <c r="EH32933"/>
      <c r="EI32933"/>
      <c r="EJ32933"/>
      <c r="EK32933"/>
    </row>
    <row r="32934" spans="1:141" s="116" customFormat="1">
      <c r="A32934" s="136"/>
      <c r="CM32934" s="111"/>
      <c r="CQ32934" s="111"/>
      <c r="EF32934"/>
      <c r="EG32934"/>
      <c r="EH32934"/>
      <c r="EI32934"/>
      <c r="EJ32934"/>
      <c r="EK32934"/>
    </row>
    <row r="32935" spans="1:141" s="116" customFormat="1">
      <c r="A32935" s="136"/>
      <c r="CM32935" s="111"/>
      <c r="CQ32935" s="111"/>
      <c r="EF32935"/>
      <c r="EG32935"/>
      <c r="EH32935"/>
      <c r="EI32935"/>
      <c r="EJ32935"/>
      <c r="EK32935"/>
    </row>
    <row r="32936" spans="1:141" s="116" customFormat="1">
      <c r="A32936" s="136"/>
      <c r="CM32936" s="111"/>
      <c r="CQ32936" s="111"/>
      <c r="EF32936"/>
      <c r="EG32936"/>
      <c r="EH32936"/>
      <c r="EI32936"/>
      <c r="EJ32936"/>
      <c r="EK32936"/>
    </row>
    <row r="32937" spans="1:141" s="116" customFormat="1">
      <c r="A32937" s="136"/>
      <c r="CM32937" s="111"/>
      <c r="CQ32937" s="111"/>
      <c r="EF32937"/>
      <c r="EG32937"/>
      <c r="EH32937"/>
      <c r="EI32937"/>
      <c r="EJ32937"/>
      <c r="EK32937"/>
    </row>
    <row r="32938" spans="1:141" s="116" customFormat="1">
      <c r="A32938" s="136"/>
      <c r="CM32938" s="111"/>
      <c r="CQ32938" s="111"/>
      <c r="EF32938"/>
      <c r="EG32938"/>
      <c r="EH32938"/>
      <c r="EI32938"/>
      <c r="EJ32938"/>
      <c r="EK32938"/>
    </row>
    <row r="32939" spans="1:141" s="116" customFormat="1">
      <c r="A32939" s="136"/>
      <c r="CM32939" s="111"/>
      <c r="CQ32939" s="111"/>
      <c r="EF32939"/>
      <c r="EG32939"/>
      <c r="EH32939"/>
      <c r="EI32939"/>
      <c r="EJ32939"/>
      <c r="EK32939"/>
    </row>
    <row r="32940" spans="1:141" s="116" customFormat="1">
      <c r="A32940" s="136"/>
      <c r="CM32940" s="111"/>
      <c r="CQ32940" s="111"/>
      <c r="EF32940"/>
      <c r="EG32940"/>
      <c r="EH32940"/>
      <c r="EI32940"/>
      <c r="EJ32940"/>
      <c r="EK32940"/>
    </row>
    <row r="32941" spans="1:141" s="116" customFormat="1">
      <c r="A32941" s="136"/>
      <c r="CM32941" s="111"/>
      <c r="CQ32941" s="111"/>
      <c r="EF32941"/>
      <c r="EG32941"/>
      <c r="EH32941"/>
      <c r="EI32941"/>
      <c r="EJ32941"/>
      <c r="EK32941"/>
    </row>
    <row r="32942" spans="1:141" s="116" customFormat="1">
      <c r="A32942" s="136"/>
      <c r="CM32942" s="111"/>
      <c r="CQ32942" s="111"/>
      <c r="EF32942"/>
      <c r="EG32942"/>
      <c r="EH32942"/>
      <c r="EI32942"/>
      <c r="EJ32942"/>
      <c r="EK32942"/>
    </row>
    <row r="32943" spans="1:141" s="116" customFormat="1">
      <c r="A32943" s="136"/>
      <c r="CM32943" s="111"/>
      <c r="CQ32943" s="111"/>
      <c r="EF32943"/>
      <c r="EG32943"/>
      <c r="EH32943"/>
      <c r="EI32943"/>
      <c r="EJ32943"/>
      <c r="EK32943"/>
    </row>
    <row r="32944" spans="1:141" s="116" customFormat="1">
      <c r="A32944" s="136"/>
      <c r="CM32944" s="111"/>
      <c r="CQ32944" s="111"/>
      <c r="EF32944"/>
      <c r="EG32944"/>
      <c r="EH32944"/>
      <c r="EI32944"/>
      <c r="EJ32944"/>
      <c r="EK32944"/>
    </row>
    <row r="32945" spans="1:141" s="116" customFormat="1">
      <c r="A32945" s="136"/>
      <c r="CM32945" s="111"/>
      <c r="CQ32945" s="111"/>
      <c r="EF32945"/>
      <c r="EG32945"/>
      <c r="EH32945"/>
      <c r="EI32945"/>
      <c r="EJ32945"/>
      <c r="EK32945"/>
    </row>
    <row r="32946" spans="1:141" s="116" customFormat="1">
      <c r="A32946" s="136"/>
      <c r="CM32946" s="111"/>
      <c r="CQ32946" s="111"/>
      <c r="EF32946"/>
      <c r="EG32946"/>
      <c r="EH32946"/>
      <c r="EI32946"/>
      <c r="EJ32946"/>
      <c r="EK32946"/>
    </row>
    <row r="32947" spans="1:141" s="116" customFormat="1">
      <c r="A32947" s="136"/>
      <c r="CM32947" s="111"/>
      <c r="CQ32947" s="111"/>
      <c r="EF32947"/>
      <c r="EG32947"/>
      <c r="EH32947"/>
      <c r="EI32947"/>
      <c r="EJ32947"/>
      <c r="EK32947"/>
    </row>
    <row r="32948" spans="1:141" s="116" customFormat="1">
      <c r="A32948" s="136"/>
      <c r="CM32948" s="111"/>
      <c r="CQ32948" s="111"/>
      <c r="EF32948"/>
      <c r="EG32948"/>
      <c r="EH32948"/>
      <c r="EI32948"/>
      <c r="EJ32948"/>
      <c r="EK32948"/>
    </row>
    <row r="32949" spans="1:141" s="116" customFormat="1">
      <c r="A32949" s="136"/>
      <c r="CM32949" s="111"/>
      <c r="CQ32949" s="111"/>
      <c r="EF32949"/>
      <c r="EG32949"/>
      <c r="EH32949"/>
      <c r="EI32949"/>
      <c r="EJ32949"/>
      <c r="EK32949"/>
    </row>
    <row r="32950" spans="1:141" s="116" customFormat="1">
      <c r="A32950" s="136"/>
      <c r="CM32950" s="111"/>
      <c r="CQ32950" s="111"/>
      <c r="EF32950"/>
      <c r="EG32950"/>
      <c r="EH32950"/>
      <c r="EI32950"/>
      <c r="EJ32950"/>
      <c r="EK32950"/>
    </row>
    <row r="32951" spans="1:141" s="116" customFormat="1">
      <c r="A32951" s="136"/>
      <c r="CM32951" s="111"/>
      <c r="CQ32951" s="111"/>
      <c r="EF32951"/>
      <c r="EG32951"/>
      <c r="EH32951"/>
      <c r="EI32951"/>
      <c r="EJ32951"/>
      <c r="EK32951"/>
    </row>
    <row r="32952" spans="1:141" s="116" customFormat="1">
      <c r="A32952" s="136"/>
      <c r="CM32952" s="111"/>
      <c r="CQ32952" s="111"/>
      <c r="EF32952"/>
      <c r="EG32952"/>
      <c r="EH32952"/>
      <c r="EI32952"/>
      <c r="EJ32952"/>
      <c r="EK32952"/>
    </row>
    <row r="32953" spans="1:141" s="116" customFormat="1">
      <c r="A32953" s="136"/>
      <c r="CM32953" s="111"/>
      <c r="CQ32953" s="111"/>
      <c r="EF32953"/>
      <c r="EG32953"/>
      <c r="EH32953"/>
      <c r="EI32953"/>
      <c r="EJ32953"/>
      <c r="EK32953"/>
    </row>
    <row r="32954" spans="1:141" s="116" customFormat="1">
      <c r="A32954" s="136"/>
      <c r="CM32954" s="111"/>
      <c r="CQ32954" s="111"/>
      <c r="EF32954"/>
      <c r="EG32954"/>
      <c r="EH32954"/>
      <c r="EI32954"/>
      <c r="EJ32954"/>
      <c r="EK32954"/>
    </row>
    <row r="32955" spans="1:141" s="116" customFormat="1">
      <c r="A32955" s="136"/>
      <c r="CM32955" s="111"/>
      <c r="CQ32955" s="111"/>
      <c r="EF32955"/>
      <c r="EG32955"/>
      <c r="EH32955"/>
      <c r="EI32955"/>
      <c r="EJ32955"/>
      <c r="EK32955"/>
    </row>
    <row r="32956" spans="1:141" s="116" customFormat="1">
      <c r="A32956" s="136"/>
      <c r="CM32956" s="111"/>
      <c r="CQ32956" s="111"/>
      <c r="EF32956"/>
      <c r="EG32956"/>
      <c r="EH32956"/>
      <c r="EI32956"/>
      <c r="EJ32956"/>
      <c r="EK32956"/>
    </row>
    <row r="32957" spans="1:141" s="116" customFormat="1">
      <c r="A32957" s="136"/>
      <c r="CM32957" s="111"/>
      <c r="CQ32957" s="111"/>
      <c r="EF32957"/>
      <c r="EG32957"/>
      <c r="EH32957"/>
      <c r="EI32957"/>
      <c r="EJ32957"/>
      <c r="EK32957"/>
    </row>
    <row r="32958" spans="1:141" s="116" customFormat="1">
      <c r="A32958" s="136"/>
      <c r="CM32958" s="111"/>
      <c r="CQ32958" s="111"/>
      <c r="EF32958"/>
      <c r="EG32958"/>
      <c r="EH32958"/>
      <c r="EI32958"/>
      <c r="EJ32958"/>
      <c r="EK32958"/>
    </row>
    <row r="32959" spans="1:141" s="116" customFormat="1">
      <c r="A32959" s="136"/>
      <c r="CM32959" s="111"/>
      <c r="CQ32959" s="111"/>
      <c r="EF32959"/>
      <c r="EG32959"/>
      <c r="EH32959"/>
      <c r="EI32959"/>
      <c r="EJ32959"/>
      <c r="EK32959"/>
    </row>
    <row r="32960" spans="1:141" s="116" customFormat="1">
      <c r="A32960" s="136"/>
      <c r="CM32960" s="111"/>
      <c r="CQ32960" s="111"/>
      <c r="EF32960"/>
      <c r="EG32960"/>
      <c r="EH32960"/>
      <c r="EI32960"/>
      <c r="EJ32960"/>
      <c r="EK32960"/>
    </row>
    <row r="32961" spans="1:141" s="116" customFormat="1">
      <c r="A32961" s="136"/>
      <c r="CM32961" s="111"/>
      <c r="CQ32961" s="111"/>
      <c r="EF32961"/>
      <c r="EG32961"/>
      <c r="EH32961"/>
      <c r="EI32961"/>
      <c r="EJ32961"/>
      <c r="EK32961"/>
    </row>
    <row r="32962" spans="1:141" s="116" customFormat="1">
      <c r="A32962" s="136"/>
      <c r="CM32962" s="111"/>
      <c r="CQ32962" s="111"/>
      <c r="EF32962"/>
      <c r="EG32962"/>
      <c r="EH32962"/>
      <c r="EI32962"/>
      <c r="EJ32962"/>
      <c r="EK32962"/>
    </row>
    <row r="32963" spans="1:141" s="116" customFormat="1">
      <c r="A32963" s="136"/>
      <c r="CM32963" s="111"/>
      <c r="CQ32963" s="111"/>
      <c r="EF32963"/>
      <c r="EG32963"/>
      <c r="EH32963"/>
      <c r="EI32963"/>
      <c r="EJ32963"/>
      <c r="EK32963"/>
    </row>
    <row r="32964" spans="1:141" s="116" customFormat="1">
      <c r="A32964" s="136"/>
      <c r="CM32964" s="111"/>
      <c r="CQ32964" s="111"/>
      <c r="EF32964"/>
      <c r="EG32964"/>
      <c r="EH32964"/>
      <c r="EI32964"/>
      <c r="EJ32964"/>
      <c r="EK32964"/>
    </row>
    <row r="32965" spans="1:141" s="116" customFormat="1">
      <c r="A32965" s="136"/>
      <c r="CM32965" s="111"/>
      <c r="CQ32965" s="111"/>
      <c r="EF32965"/>
      <c r="EG32965"/>
      <c r="EH32965"/>
      <c r="EI32965"/>
      <c r="EJ32965"/>
      <c r="EK32965"/>
    </row>
    <row r="32966" spans="1:141" s="116" customFormat="1">
      <c r="A32966" s="136"/>
      <c r="CM32966" s="111"/>
      <c r="CQ32966" s="111"/>
      <c r="EF32966"/>
      <c r="EG32966"/>
      <c r="EH32966"/>
      <c r="EI32966"/>
      <c r="EJ32966"/>
      <c r="EK32966"/>
    </row>
    <row r="32967" spans="1:141" s="116" customFormat="1">
      <c r="A32967" s="136"/>
      <c r="CM32967" s="111"/>
      <c r="CQ32967" s="111"/>
      <c r="EF32967"/>
      <c r="EG32967"/>
      <c r="EH32967"/>
      <c r="EI32967"/>
      <c r="EJ32967"/>
      <c r="EK32967"/>
    </row>
    <row r="32968" spans="1:141" s="116" customFormat="1">
      <c r="A32968" s="136"/>
      <c r="CM32968" s="111"/>
      <c r="CQ32968" s="111"/>
      <c r="EF32968"/>
      <c r="EG32968"/>
      <c r="EH32968"/>
      <c r="EI32968"/>
      <c r="EJ32968"/>
      <c r="EK32968"/>
    </row>
    <row r="32969" spans="1:141" s="116" customFormat="1">
      <c r="A32969" s="136"/>
      <c r="CM32969" s="111"/>
      <c r="CQ32969" s="111"/>
      <c r="EF32969"/>
      <c r="EG32969"/>
      <c r="EH32969"/>
      <c r="EI32969"/>
      <c r="EJ32969"/>
      <c r="EK32969"/>
    </row>
    <row r="32970" spans="1:141" s="116" customFormat="1">
      <c r="A32970" s="136"/>
      <c r="CM32970" s="111"/>
      <c r="CQ32970" s="111"/>
      <c r="EF32970"/>
      <c r="EG32970"/>
      <c r="EH32970"/>
      <c r="EI32970"/>
      <c r="EJ32970"/>
      <c r="EK32970"/>
    </row>
    <row r="32971" spans="1:141" s="116" customFormat="1">
      <c r="A32971" s="136"/>
      <c r="CM32971" s="111"/>
      <c r="CQ32971" s="111"/>
      <c r="EF32971"/>
      <c r="EG32971"/>
      <c r="EH32971"/>
      <c r="EI32971"/>
      <c r="EJ32971"/>
      <c r="EK32971"/>
    </row>
    <row r="32972" spans="1:141" s="116" customFormat="1">
      <c r="A32972" s="136"/>
      <c r="CM32972" s="111"/>
      <c r="CQ32972" s="111"/>
      <c r="EF32972"/>
      <c r="EG32972"/>
      <c r="EH32972"/>
      <c r="EI32972"/>
      <c r="EJ32972"/>
      <c r="EK32972"/>
    </row>
    <row r="32973" spans="1:141" s="116" customFormat="1">
      <c r="A32973" s="136"/>
      <c r="CM32973" s="111"/>
      <c r="CQ32973" s="111"/>
      <c r="EF32973"/>
      <c r="EG32973"/>
      <c r="EH32973"/>
      <c r="EI32973"/>
      <c r="EJ32973"/>
      <c r="EK32973"/>
    </row>
    <row r="32974" spans="1:141" s="116" customFormat="1">
      <c r="A32974" s="136"/>
      <c r="CM32974" s="111"/>
      <c r="CQ32974" s="111"/>
      <c r="EF32974"/>
      <c r="EG32974"/>
      <c r="EH32974"/>
      <c r="EI32974"/>
      <c r="EJ32974"/>
      <c r="EK32974"/>
    </row>
    <row r="32975" spans="1:141" s="116" customFormat="1">
      <c r="A32975" s="136"/>
      <c r="CM32975" s="111"/>
      <c r="CQ32975" s="111"/>
      <c r="EF32975"/>
      <c r="EG32975"/>
      <c r="EH32975"/>
      <c r="EI32975"/>
      <c r="EJ32975"/>
      <c r="EK32975"/>
    </row>
    <row r="32976" spans="1:141" s="116" customFormat="1">
      <c r="A32976" s="136"/>
      <c r="CM32976" s="111"/>
      <c r="CQ32976" s="111"/>
      <c r="EF32976"/>
      <c r="EG32976"/>
      <c r="EH32976"/>
      <c r="EI32976"/>
      <c r="EJ32976"/>
      <c r="EK32976"/>
    </row>
    <row r="32977" spans="1:141" s="116" customFormat="1">
      <c r="A32977" s="136"/>
      <c r="CM32977" s="111"/>
      <c r="CQ32977" s="111"/>
      <c r="EF32977"/>
      <c r="EG32977"/>
      <c r="EH32977"/>
      <c r="EI32977"/>
      <c r="EJ32977"/>
      <c r="EK32977"/>
    </row>
    <row r="32978" spans="1:141" s="116" customFormat="1">
      <c r="A32978" s="136"/>
      <c r="CM32978" s="111"/>
      <c r="CQ32978" s="111"/>
      <c r="EF32978"/>
      <c r="EG32978"/>
      <c r="EH32978"/>
      <c r="EI32978"/>
      <c r="EJ32978"/>
      <c r="EK32978"/>
    </row>
    <row r="32979" spans="1:141" s="116" customFormat="1">
      <c r="A32979" s="136"/>
      <c r="CM32979" s="111"/>
      <c r="CQ32979" s="111"/>
      <c r="EF32979"/>
      <c r="EG32979"/>
      <c r="EH32979"/>
      <c r="EI32979"/>
      <c r="EJ32979"/>
      <c r="EK32979"/>
    </row>
    <row r="32980" spans="1:141" s="116" customFormat="1">
      <c r="A32980" s="136"/>
      <c r="CM32980" s="111"/>
      <c r="CQ32980" s="111"/>
      <c r="EF32980"/>
      <c r="EG32980"/>
      <c r="EH32980"/>
      <c r="EI32980"/>
      <c r="EJ32980"/>
      <c r="EK32980"/>
    </row>
    <row r="32981" spans="1:141" s="116" customFormat="1">
      <c r="A32981" s="136"/>
      <c r="CM32981" s="111"/>
      <c r="CQ32981" s="111"/>
      <c r="EF32981"/>
      <c r="EG32981"/>
      <c r="EH32981"/>
      <c r="EI32981"/>
      <c r="EJ32981"/>
      <c r="EK32981"/>
    </row>
    <row r="32982" spans="1:141" s="116" customFormat="1">
      <c r="A32982" s="136"/>
      <c r="CM32982" s="111"/>
      <c r="CQ32982" s="111"/>
      <c r="EF32982"/>
      <c r="EG32982"/>
      <c r="EH32982"/>
      <c r="EI32982"/>
      <c r="EJ32982"/>
      <c r="EK32982"/>
    </row>
    <row r="32983" spans="1:141" s="116" customFormat="1">
      <c r="A32983" s="136"/>
      <c r="CM32983" s="111"/>
      <c r="CQ32983" s="111"/>
      <c r="EF32983"/>
      <c r="EG32983"/>
      <c r="EH32983"/>
      <c r="EI32983"/>
      <c r="EJ32983"/>
      <c r="EK32983"/>
    </row>
    <row r="32984" spans="1:141" s="116" customFormat="1">
      <c r="A32984" s="136"/>
      <c r="CM32984" s="111"/>
      <c r="CQ32984" s="111"/>
      <c r="EF32984"/>
      <c r="EG32984"/>
      <c r="EH32984"/>
      <c r="EI32984"/>
      <c r="EJ32984"/>
      <c r="EK32984"/>
    </row>
    <row r="32985" spans="1:141" s="116" customFormat="1">
      <c r="A32985" s="136"/>
      <c r="CM32985" s="111"/>
      <c r="CQ32985" s="111"/>
      <c r="EF32985"/>
      <c r="EG32985"/>
      <c r="EH32985"/>
      <c r="EI32985"/>
      <c r="EJ32985"/>
      <c r="EK32985"/>
    </row>
    <row r="32986" spans="1:141" s="116" customFormat="1">
      <c r="A32986" s="136"/>
      <c r="CM32986" s="111"/>
      <c r="CQ32986" s="111"/>
      <c r="EF32986"/>
      <c r="EG32986"/>
      <c r="EH32986"/>
      <c r="EI32986"/>
      <c r="EJ32986"/>
      <c r="EK32986"/>
    </row>
    <row r="32987" spans="1:141" s="116" customFormat="1">
      <c r="A32987" s="136"/>
      <c r="CM32987" s="111"/>
      <c r="CQ32987" s="111"/>
      <c r="EF32987"/>
      <c r="EG32987"/>
      <c r="EH32987"/>
      <c r="EI32987"/>
      <c r="EJ32987"/>
      <c r="EK32987"/>
    </row>
    <row r="32988" spans="1:141" s="116" customFormat="1">
      <c r="A32988" s="136"/>
      <c r="CM32988" s="111"/>
      <c r="CQ32988" s="111"/>
      <c r="EF32988"/>
      <c r="EG32988"/>
      <c r="EH32988"/>
      <c r="EI32988"/>
      <c r="EJ32988"/>
      <c r="EK32988"/>
    </row>
    <row r="32989" spans="1:141" s="116" customFormat="1">
      <c r="A32989" s="136"/>
      <c r="CM32989" s="111"/>
      <c r="CQ32989" s="111"/>
      <c r="EF32989"/>
      <c r="EG32989"/>
      <c r="EH32989"/>
      <c r="EI32989"/>
      <c r="EJ32989"/>
      <c r="EK32989"/>
    </row>
    <row r="32990" spans="1:141" s="116" customFormat="1">
      <c r="A32990" s="136"/>
      <c r="CM32990" s="111"/>
      <c r="CQ32990" s="111"/>
      <c r="EF32990"/>
      <c r="EG32990"/>
      <c r="EH32990"/>
      <c r="EI32990"/>
      <c r="EJ32990"/>
      <c r="EK32990"/>
    </row>
    <row r="32991" spans="1:141" s="116" customFormat="1">
      <c r="A32991" s="136"/>
      <c r="CM32991" s="111"/>
      <c r="CQ32991" s="111"/>
      <c r="EF32991"/>
      <c r="EG32991"/>
      <c r="EH32991"/>
      <c r="EI32991"/>
      <c r="EJ32991"/>
      <c r="EK32991"/>
    </row>
    <row r="32992" spans="1:141" s="116" customFormat="1">
      <c r="A32992" s="136"/>
      <c r="CM32992" s="111"/>
      <c r="CQ32992" s="111"/>
      <c r="EF32992"/>
      <c r="EG32992"/>
      <c r="EH32992"/>
      <c r="EI32992"/>
      <c r="EJ32992"/>
      <c r="EK32992"/>
    </row>
    <row r="32993" spans="1:141" s="116" customFormat="1">
      <c r="A32993" s="136"/>
      <c r="CM32993" s="111"/>
      <c r="CQ32993" s="111"/>
      <c r="EF32993"/>
      <c r="EG32993"/>
      <c r="EH32993"/>
      <c r="EI32993"/>
      <c r="EJ32993"/>
      <c r="EK32993"/>
    </row>
    <row r="32994" spans="1:141" s="116" customFormat="1">
      <c r="A32994" s="136"/>
      <c r="CM32994" s="111"/>
      <c r="CQ32994" s="111"/>
      <c r="EF32994"/>
      <c r="EG32994"/>
      <c r="EH32994"/>
      <c r="EI32994"/>
      <c r="EJ32994"/>
      <c r="EK32994"/>
    </row>
    <row r="32995" spans="1:141" s="116" customFormat="1">
      <c r="A32995" s="136"/>
      <c r="CM32995" s="111"/>
      <c r="CQ32995" s="111"/>
      <c r="EF32995"/>
      <c r="EG32995"/>
      <c r="EH32995"/>
      <c r="EI32995"/>
      <c r="EJ32995"/>
      <c r="EK32995"/>
    </row>
    <row r="32996" spans="1:141" s="116" customFormat="1">
      <c r="A32996" s="136"/>
      <c r="CM32996" s="111"/>
      <c r="CQ32996" s="111"/>
      <c r="EF32996"/>
      <c r="EG32996"/>
      <c r="EH32996"/>
      <c r="EI32996"/>
      <c r="EJ32996"/>
      <c r="EK32996"/>
    </row>
    <row r="32997" spans="1:141" s="116" customFormat="1">
      <c r="A32997" s="136"/>
      <c r="CM32997" s="111"/>
      <c r="CQ32997" s="111"/>
      <c r="EF32997"/>
      <c r="EG32997"/>
      <c r="EH32997"/>
      <c r="EI32997"/>
      <c r="EJ32997"/>
      <c r="EK32997"/>
    </row>
    <row r="32998" spans="1:141" s="116" customFormat="1">
      <c r="A32998" s="136"/>
      <c r="CM32998" s="111"/>
      <c r="CQ32998" s="111"/>
      <c r="EF32998"/>
      <c r="EG32998"/>
      <c r="EH32998"/>
      <c r="EI32998"/>
      <c r="EJ32998"/>
      <c r="EK32998"/>
    </row>
    <row r="32999" spans="1:141" s="116" customFormat="1">
      <c r="A32999" s="136"/>
      <c r="CM32999" s="111"/>
      <c r="CQ32999" s="111"/>
      <c r="EF32999"/>
      <c r="EG32999"/>
      <c r="EH32999"/>
      <c r="EI32999"/>
      <c r="EJ32999"/>
      <c r="EK32999"/>
    </row>
    <row r="33000" spans="1:141" s="116" customFormat="1">
      <c r="A33000" s="136"/>
      <c r="CM33000" s="111"/>
      <c r="CQ33000" s="111"/>
      <c r="EF33000"/>
      <c r="EG33000"/>
      <c r="EH33000"/>
      <c r="EI33000"/>
      <c r="EJ33000"/>
      <c r="EK33000"/>
    </row>
    <row r="33001" spans="1:141" s="116" customFormat="1">
      <c r="A33001" s="136"/>
      <c r="CM33001" s="111"/>
      <c r="CQ33001" s="111"/>
      <c r="EF33001"/>
      <c r="EG33001"/>
      <c r="EH33001"/>
      <c r="EI33001"/>
      <c r="EJ33001"/>
      <c r="EK33001"/>
    </row>
    <row r="33002" spans="1:141" s="116" customFormat="1">
      <c r="A33002" s="136"/>
      <c r="CM33002" s="111"/>
      <c r="CQ33002" s="111"/>
      <c r="EF33002"/>
      <c r="EG33002"/>
      <c r="EH33002"/>
      <c r="EI33002"/>
      <c r="EJ33002"/>
      <c r="EK33002"/>
    </row>
    <row r="33003" spans="1:141" s="116" customFormat="1">
      <c r="A33003" s="136"/>
      <c r="CM33003" s="111"/>
      <c r="CQ33003" s="111"/>
      <c r="EF33003"/>
      <c r="EG33003"/>
      <c r="EH33003"/>
      <c r="EI33003"/>
      <c r="EJ33003"/>
      <c r="EK33003"/>
    </row>
    <row r="33004" spans="1:141" s="116" customFormat="1">
      <c r="A33004" s="136"/>
      <c r="CM33004" s="111"/>
      <c r="CQ33004" s="111"/>
      <c r="EF33004"/>
      <c r="EG33004"/>
      <c r="EH33004"/>
      <c r="EI33004"/>
      <c r="EJ33004"/>
      <c r="EK33004"/>
    </row>
    <row r="33005" spans="1:141" s="116" customFormat="1">
      <c r="A33005" s="136"/>
      <c r="CM33005" s="111"/>
      <c r="CQ33005" s="111"/>
      <c r="EF33005"/>
      <c r="EG33005"/>
      <c r="EH33005"/>
      <c r="EI33005"/>
      <c r="EJ33005"/>
      <c r="EK33005"/>
    </row>
    <row r="33006" spans="1:141" s="116" customFormat="1">
      <c r="A33006" s="136"/>
      <c r="CM33006" s="111"/>
      <c r="CQ33006" s="111"/>
      <c r="EF33006"/>
      <c r="EG33006"/>
      <c r="EH33006"/>
      <c r="EI33006"/>
      <c r="EJ33006"/>
      <c r="EK33006"/>
    </row>
    <row r="33007" spans="1:141" s="116" customFormat="1">
      <c r="A33007" s="136"/>
      <c r="CM33007" s="111"/>
      <c r="CQ33007" s="111"/>
      <c r="EF33007"/>
      <c r="EG33007"/>
      <c r="EH33007"/>
      <c r="EI33007"/>
      <c r="EJ33007"/>
      <c r="EK33007"/>
    </row>
    <row r="33008" spans="1:141" s="116" customFormat="1">
      <c r="A33008" s="136"/>
      <c r="CM33008" s="111"/>
      <c r="CQ33008" s="111"/>
      <c r="EF33008"/>
      <c r="EG33008"/>
      <c r="EH33008"/>
      <c r="EI33008"/>
      <c r="EJ33008"/>
      <c r="EK33008"/>
    </row>
    <row r="33009" spans="1:141" s="116" customFormat="1">
      <c r="A33009" s="136"/>
      <c r="CM33009" s="111"/>
      <c r="CQ33009" s="111"/>
      <c r="EF33009"/>
      <c r="EG33009"/>
      <c r="EH33009"/>
      <c r="EI33009"/>
      <c r="EJ33009"/>
      <c r="EK33009"/>
    </row>
    <row r="33010" spans="1:141" s="116" customFormat="1">
      <c r="A33010" s="136"/>
      <c r="CM33010" s="111"/>
      <c r="CQ33010" s="111"/>
      <c r="EF33010"/>
      <c r="EG33010"/>
      <c r="EH33010"/>
      <c r="EI33010"/>
      <c r="EJ33010"/>
      <c r="EK33010"/>
    </row>
    <row r="33011" spans="1:141" s="116" customFormat="1">
      <c r="A33011" s="136"/>
      <c r="CM33011" s="111"/>
      <c r="CQ33011" s="111"/>
      <c r="EF33011"/>
      <c r="EG33011"/>
      <c r="EH33011"/>
      <c r="EI33011"/>
      <c r="EJ33011"/>
      <c r="EK33011"/>
    </row>
    <row r="33012" spans="1:141" s="116" customFormat="1">
      <c r="A33012" s="136"/>
      <c r="CM33012" s="111"/>
      <c r="CQ33012" s="111"/>
      <c r="EF33012"/>
      <c r="EG33012"/>
      <c r="EH33012"/>
      <c r="EI33012"/>
      <c r="EJ33012"/>
      <c r="EK33012"/>
    </row>
    <row r="33013" spans="1:141" s="116" customFormat="1">
      <c r="A33013" s="136"/>
      <c r="CM33013" s="111"/>
      <c r="CQ33013" s="111"/>
      <c r="EF33013"/>
      <c r="EG33013"/>
      <c r="EH33013"/>
      <c r="EI33013"/>
      <c r="EJ33013"/>
      <c r="EK33013"/>
    </row>
    <row r="33014" spans="1:141" s="116" customFormat="1">
      <c r="A33014" s="136"/>
      <c r="CM33014" s="111"/>
      <c r="CQ33014" s="111"/>
      <c r="EF33014"/>
      <c r="EG33014"/>
      <c r="EH33014"/>
      <c r="EI33014"/>
      <c r="EJ33014"/>
      <c r="EK33014"/>
    </row>
    <row r="33015" spans="1:141" s="116" customFormat="1">
      <c r="A33015" s="136"/>
      <c r="CM33015" s="111"/>
      <c r="CQ33015" s="111"/>
      <c r="EF33015"/>
      <c r="EG33015"/>
      <c r="EH33015"/>
      <c r="EI33015"/>
      <c r="EJ33015"/>
      <c r="EK33015"/>
    </row>
    <row r="33016" spans="1:141" s="116" customFormat="1">
      <c r="A33016" s="136"/>
      <c r="CM33016" s="111"/>
      <c r="CQ33016" s="111"/>
      <c r="EF33016"/>
      <c r="EG33016"/>
      <c r="EH33016"/>
      <c r="EI33016"/>
      <c r="EJ33016"/>
      <c r="EK33016"/>
    </row>
    <row r="33017" spans="1:141" s="116" customFormat="1">
      <c r="A33017" s="136"/>
      <c r="CM33017" s="111"/>
      <c r="CQ33017" s="111"/>
      <c r="EF33017"/>
      <c r="EG33017"/>
      <c r="EH33017"/>
      <c r="EI33017"/>
      <c r="EJ33017"/>
      <c r="EK33017"/>
    </row>
    <row r="33018" spans="1:141" s="116" customFormat="1">
      <c r="A33018" s="136"/>
      <c r="CM33018" s="111"/>
      <c r="CQ33018" s="111"/>
      <c r="EF33018"/>
      <c r="EG33018"/>
      <c r="EH33018"/>
      <c r="EI33018"/>
      <c r="EJ33018"/>
      <c r="EK33018"/>
    </row>
    <row r="33019" spans="1:141" s="116" customFormat="1">
      <c r="A33019" s="136"/>
      <c r="CM33019" s="111"/>
      <c r="CQ33019" s="111"/>
      <c r="EF33019"/>
      <c r="EG33019"/>
      <c r="EH33019"/>
      <c r="EI33019"/>
      <c r="EJ33019"/>
      <c r="EK33019"/>
    </row>
    <row r="33020" spans="1:141" s="116" customFormat="1">
      <c r="A33020" s="136"/>
      <c r="CM33020" s="111"/>
      <c r="CQ33020" s="111"/>
      <c r="EF33020"/>
      <c r="EG33020"/>
      <c r="EH33020"/>
      <c r="EI33020"/>
      <c r="EJ33020"/>
      <c r="EK33020"/>
    </row>
    <row r="33021" spans="1:141" s="116" customFormat="1">
      <c r="A33021" s="136"/>
      <c r="CM33021" s="111"/>
      <c r="CQ33021" s="111"/>
      <c r="EF33021"/>
      <c r="EG33021"/>
      <c r="EH33021"/>
      <c r="EI33021"/>
      <c r="EJ33021"/>
      <c r="EK33021"/>
    </row>
    <row r="33022" spans="1:141" s="116" customFormat="1">
      <c r="A33022" s="136"/>
      <c r="CM33022" s="111"/>
      <c r="CQ33022" s="111"/>
      <c r="EF33022"/>
      <c r="EG33022"/>
      <c r="EH33022"/>
      <c r="EI33022"/>
      <c r="EJ33022"/>
      <c r="EK33022"/>
    </row>
    <row r="33023" spans="1:141" s="116" customFormat="1">
      <c r="A33023" s="136"/>
      <c r="CM33023" s="111"/>
      <c r="CQ33023" s="111"/>
      <c r="EF33023"/>
      <c r="EG33023"/>
      <c r="EH33023"/>
      <c r="EI33023"/>
      <c r="EJ33023"/>
      <c r="EK33023"/>
    </row>
    <row r="33024" spans="1:141" s="116" customFormat="1">
      <c r="A33024" s="136"/>
      <c r="CM33024" s="111"/>
      <c r="CQ33024" s="111"/>
      <c r="EF33024"/>
      <c r="EG33024"/>
      <c r="EH33024"/>
      <c r="EI33024"/>
      <c r="EJ33024"/>
      <c r="EK33024"/>
    </row>
    <row r="33025" spans="1:141" s="116" customFormat="1">
      <c r="A33025" s="136"/>
      <c r="CM33025" s="111"/>
      <c r="CQ33025" s="111"/>
      <c r="EF33025"/>
      <c r="EG33025"/>
      <c r="EH33025"/>
      <c r="EI33025"/>
      <c r="EJ33025"/>
      <c r="EK33025"/>
    </row>
    <row r="33026" spans="1:141" s="116" customFormat="1">
      <c r="A33026" s="136"/>
      <c r="CM33026" s="111"/>
      <c r="CQ33026" s="111"/>
      <c r="EF33026"/>
      <c r="EG33026"/>
      <c r="EH33026"/>
      <c r="EI33026"/>
      <c r="EJ33026"/>
      <c r="EK33026"/>
    </row>
    <row r="33027" spans="1:141" s="116" customFormat="1">
      <c r="A33027" s="136"/>
      <c r="CM33027" s="111"/>
      <c r="CQ33027" s="111"/>
      <c r="EF33027"/>
      <c r="EG33027"/>
      <c r="EH33027"/>
      <c r="EI33027"/>
      <c r="EJ33027"/>
      <c r="EK33027"/>
    </row>
    <row r="33028" spans="1:141" s="116" customFormat="1">
      <c r="A33028" s="136"/>
      <c r="CM33028" s="111"/>
      <c r="CQ33028" s="111"/>
      <c r="EF33028"/>
      <c r="EG33028"/>
      <c r="EH33028"/>
      <c r="EI33028"/>
      <c r="EJ33028"/>
      <c r="EK33028"/>
    </row>
    <row r="33029" spans="1:141" s="116" customFormat="1">
      <c r="A33029" s="136"/>
      <c r="CM33029" s="111"/>
      <c r="CQ33029" s="111"/>
      <c r="EF33029"/>
      <c r="EG33029"/>
      <c r="EH33029"/>
      <c r="EI33029"/>
      <c r="EJ33029"/>
      <c r="EK33029"/>
    </row>
    <row r="33030" spans="1:141" s="116" customFormat="1">
      <c r="A33030" s="136"/>
      <c r="CM33030" s="111"/>
      <c r="CQ33030" s="111"/>
      <c r="EF33030"/>
      <c r="EG33030"/>
      <c r="EH33030"/>
      <c r="EI33030"/>
      <c r="EJ33030"/>
      <c r="EK33030"/>
    </row>
    <row r="33031" spans="1:141" s="116" customFormat="1">
      <c r="A33031" s="136"/>
      <c r="CM33031" s="111"/>
      <c r="CQ33031" s="111"/>
      <c r="EF33031"/>
      <c r="EG33031"/>
      <c r="EH33031"/>
      <c r="EI33031"/>
      <c r="EJ33031"/>
      <c r="EK33031"/>
    </row>
    <row r="33032" spans="1:141" s="116" customFormat="1">
      <c r="A33032" s="136"/>
      <c r="CM33032" s="111"/>
      <c r="CQ33032" s="111"/>
      <c r="EF33032"/>
      <c r="EG33032"/>
      <c r="EH33032"/>
      <c r="EI33032"/>
      <c r="EJ33032"/>
      <c r="EK33032"/>
    </row>
    <row r="33033" spans="1:141" s="116" customFormat="1">
      <c r="A33033" s="136"/>
      <c r="CM33033" s="111"/>
      <c r="CQ33033" s="111"/>
      <c r="EF33033"/>
      <c r="EG33033"/>
      <c r="EH33033"/>
      <c r="EI33033"/>
      <c r="EJ33033"/>
      <c r="EK33033"/>
    </row>
    <row r="33034" spans="1:141" s="116" customFormat="1">
      <c r="A33034" s="136"/>
      <c r="CM33034" s="111"/>
      <c r="CQ33034" s="111"/>
      <c r="EF33034"/>
      <c r="EG33034"/>
      <c r="EH33034"/>
      <c r="EI33034"/>
      <c r="EJ33034"/>
      <c r="EK33034"/>
    </row>
    <row r="33035" spans="1:141" s="116" customFormat="1">
      <c r="A33035" s="136"/>
      <c r="CM33035" s="111"/>
      <c r="CQ33035" s="111"/>
      <c r="EF33035"/>
      <c r="EG33035"/>
      <c r="EH33035"/>
      <c r="EI33035"/>
      <c r="EJ33035"/>
      <c r="EK33035"/>
    </row>
    <row r="33036" spans="1:141" s="116" customFormat="1">
      <c r="A33036" s="136"/>
      <c r="CM33036" s="111"/>
      <c r="CQ33036" s="111"/>
      <c r="EF33036"/>
      <c r="EG33036"/>
      <c r="EH33036"/>
      <c r="EI33036"/>
      <c r="EJ33036"/>
      <c r="EK33036"/>
    </row>
    <row r="33037" spans="1:141" s="116" customFormat="1">
      <c r="A33037" s="136"/>
      <c r="CM33037" s="111"/>
      <c r="CQ33037" s="111"/>
      <c r="EF33037"/>
      <c r="EG33037"/>
      <c r="EH33037"/>
      <c r="EI33037"/>
      <c r="EJ33037"/>
      <c r="EK33037"/>
    </row>
    <row r="33038" spans="1:141" s="116" customFormat="1">
      <c r="A33038" s="136"/>
      <c r="CM33038" s="111"/>
      <c r="CQ33038" s="111"/>
      <c r="EF33038"/>
      <c r="EG33038"/>
      <c r="EH33038"/>
      <c r="EI33038"/>
      <c r="EJ33038"/>
      <c r="EK33038"/>
    </row>
    <row r="33039" spans="1:141" s="116" customFormat="1">
      <c r="A33039" s="136"/>
      <c r="CM33039" s="111"/>
      <c r="CQ33039" s="111"/>
      <c r="EF33039"/>
      <c r="EG33039"/>
      <c r="EH33039"/>
      <c r="EI33039"/>
      <c r="EJ33039"/>
      <c r="EK33039"/>
    </row>
    <row r="33040" spans="1:141" s="116" customFormat="1">
      <c r="A33040" s="136"/>
      <c r="CM33040" s="111"/>
      <c r="CQ33040" s="111"/>
      <c r="EF33040"/>
      <c r="EG33040"/>
      <c r="EH33040"/>
      <c r="EI33040"/>
      <c r="EJ33040"/>
      <c r="EK33040"/>
    </row>
    <row r="33041" spans="1:141" s="116" customFormat="1">
      <c r="A33041" s="136"/>
      <c r="CM33041" s="111"/>
      <c r="CQ33041" s="111"/>
      <c r="EF33041"/>
      <c r="EG33041"/>
      <c r="EH33041"/>
      <c r="EI33041"/>
      <c r="EJ33041"/>
      <c r="EK33041"/>
    </row>
    <row r="33042" spans="1:141" s="116" customFormat="1">
      <c r="A33042" s="136"/>
      <c r="CM33042" s="111"/>
      <c r="CQ33042" s="111"/>
      <c r="EF33042"/>
      <c r="EG33042"/>
      <c r="EH33042"/>
      <c r="EI33042"/>
      <c r="EJ33042"/>
      <c r="EK33042"/>
    </row>
    <row r="33043" spans="1:141" s="116" customFormat="1">
      <c r="A33043" s="136"/>
      <c r="CM33043" s="111"/>
      <c r="CQ33043" s="111"/>
      <c r="EF33043"/>
      <c r="EG33043"/>
      <c r="EH33043"/>
      <c r="EI33043"/>
      <c r="EJ33043"/>
      <c r="EK33043"/>
    </row>
    <row r="33044" spans="1:141" s="116" customFormat="1">
      <c r="A33044" s="136"/>
      <c r="CM33044" s="111"/>
      <c r="CQ33044" s="111"/>
      <c r="EF33044"/>
      <c r="EG33044"/>
      <c r="EH33044"/>
      <c r="EI33044"/>
      <c r="EJ33044"/>
      <c r="EK33044"/>
    </row>
    <row r="33045" spans="1:141" s="116" customFormat="1">
      <c r="A33045" s="136"/>
      <c r="CM33045" s="111"/>
      <c r="CQ33045" s="111"/>
      <c r="EF33045"/>
      <c r="EG33045"/>
      <c r="EH33045"/>
      <c r="EI33045"/>
      <c r="EJ33045"/>
      <c r="EK33045"/>
    </row>
    <row r="33046" spans="1:141" s="116" customFormat="1">
      <c r="A33046" s="136"/>
      <c r="CM33046" s="111"/>
      <c r="CQ33046" s="111"/>
      <c r="EF33046"/>
      <c r="EG33046"/>
      <c r="EH33046"/>
      <c r="EI33046"/>
      <c r="EJ33046"/>
      <c r="EK33046"/>
    </row>
    <row r="33047" spans="1:141" s="116" customFormat="1">
      <c r="A33047" s="136"/>
      <c r="CM33047" s="111"/>
      <c r="CQ33047" s="111"/>
      <c r="EF33047"/>
      <c r="EG33047"/>
      <c r="EH33047"/>
      <c r="EI33047"/>
      <c r="EJ33047"/>
      <c r="EK33047"/>
    </row>
    <row r="33048" spans="1:141" s="116" customFormat="1">
      <c r="A33048" s="136"/>
      <c r="CM33048" s="111"/>
      <c r="CQ33048" s="111"/>
      <c r="EF33048"/>
      <c r="EG33048"/>
      <c r="EH33048"/>
      <c r="EI33048"/>
      <c r="EJ33048"/>
      <c r="EK33048"/>
    </row>
    <row r="33049" spans="1:141" s="116" customFormat="1">
      <c r="A33049" s="136"/>
      <c r="CM33049" s="111"/>
      <c r="CQ33049" s="111"/>
      <c r="EF33049"/>
      <c r="EG33049"/>
      <c r="EH33049"/>
      <c r="EI33049"/>
      <c r="EJ33049"/>
      <c r="EK33049"/>
    </row>
    <row r="33050" spans="1:141" s="116" customFormat="1">
      <c r="A33050" s="136"/>
      <c r="CM33050" s="111"/>
      <c r="CQ33050" s="111"/>
      <c r="EF33050"/>
      <c r="EG33050"/>
      <c r="EH33050"/>
      <c r="EI33050"/>
      <c r="EJ33050"/>
      <c r="EK33050"/>
    </row>
    <row r="33051" spans="1:141" s="116" customFormat="1">
      <c r="A33051" s="136"/>
      <c r="CM33051" s="111"/>
      <c r="CQ33051" s="111"/>
      <c r="EF33051"/>
      <c r="EG33051"/>
      <c r="EH33051"/>
      <c r="EI33051"/>
      <c r="EJ33051"/>
      <c r="EK33051"/>
    </row>
    <row r="33052" spans="1:141" s="116" customFormat="1">
      <c r="A33052" s="136"/>
      <c r="CM33052" s="111"/>
      <c r="CQ33052" s="111"/>
      <c r="EF33052"/>
      <c r="EG33052"/>
      <c r="EH33052"/>
      <c r="EI33052"/>
      <c r="EJ33052"/>
      <c r="EK33052"/>
    </row>
    <row r="33053" spans="1:141" s="116" customFormat="1">
      <c r="A33053" s="136"/>
      <c r="CM33053" s="111"/>
      <c r="CQ33053" s="111"/>
      <c r="EF33053"/>
      <c r="EG33053"/>
      <c r="EH33053"/>
      <c r="EI33053"/>
      <c r="EJ33053"/>
      <c r="EK33053"/>
    </row>
    <row r="33054" spans="1:141" s="116" customFormat="1">
      <c r="A33054" s="136"/>
      <c r="CM33054" s="111"/>
      <c r="CQ33054" s="111"/>
      <c r="EF33054"/>
      <c r="EG33054"/>
      <c r="EH33054"/>
      <c r="EI33054"/>
      <c r="EJ33054"/>
      <c r="EK33054"/>
    </row>
    <row r="33055" spans="1:141" s="116" customFormat="1">
      <c r="A33055" s="136"/>
      <c r="CM33055" s="111"/>
      <c r="CQ33055" s="111"/>
      <c r="EF33055"/>
      <c r="EG33055"/>
      <c r="EH33055"/>
      <c r="EI33055"/>
      <c r="EJ33055"/>
      <c r="EK33055"/>
    </row>
    <row r="33056" spans="1:141" s="116" customFormat="1">
      <c r="A33056" s="136"/>
      <c r="CM33056" s="111"/>
      <c r="CQ33056" s="111"/>
      <c r="EF33056"/>
      <c r="EG33056"/>
      <c r="EH33056"/>
      <c r="EI33056"/>
      <c r="EJ33056"/>
      <c r="EK33056"/>
    </row>
    <row r="33057" spans="1:141" s="116" customFormat="1">
      <c r="A33057" s="136"/>
      <c r="CM33057" s="111"/>
      <c r="CQ33057" s="111"/>
      <c r="EF33057"/>
      <c r="EG33057"/>
      <c r="EH33057"/>
      <c r="EI33057"/>
      <c r="EJ33057"/>
      <c r="EK33057"/>
    </row>
    <row r="33058" spans="1:141" s="116" customFormat="1">
      <c r="A33058" s="136"/>
      <c r="CM33058" s="111"/>
      <c r="CQ33058" s="111"/>
      <c r="EF33058"/>
      <c r="EG33058"/>
      <c r="EH33058"/>
      <c r="EI33058"/>
      <c r="EJ33058"/>
      <c r="EK33058"/>
    </row>
    <row r="33059" spans="1:141" s="116" customFormat="1">
      <c r="A33059" s="136"/>
      <c r="CM33059" s="111"/>
      <c r="CQ33059" s="111"/>
      <c r="EF33059"/>
      <c r="EG33059"/>
      <c r="EH33059"/>
      <c r="EI33059"/>
      <c r="EJ33059"/>
      <c r="EK33059"/>
    </row>
    <row r="33060" spans="1:141" s="116" customFormat="1">
      <c r="A33060" s="136"/>
      <c r="CM33060" s="111"/>
      <c r="CQ33060" s="111"/>
      <c r="EF33060"/>
      <c r="EG33060"/>
      <c r="EH33060"/>
      <c r="EI33060"/>
      <c r="EJ33060"/>
      <c r="EK33060"/>
    </row>
    <row r="33061" spans="1:141" s="116" customFormat="1">
      <c r="A33061" s="136"/>
      <c r="CM33061" s="111"/>
      <c r="CQ33061" s="111"/>
      <c r="EF33061"/>
      <c r="EG33061"/>
      <c r="EH33061"/>
      <c r="EI33061"/>
      <c r="EJ33061"/>
      <c r="EK33061"/>
    </row>
    <row r="33062" spans="1:141" s="116" customFormat="1">
      <c r="A33062" s="136"/>
      <c r="CM33062" s="111"/>
      <c r="CQ33062" s="111"/>
      <c r="EF33062"/>
      <c r="EG33062"/>
      <c r="EH33062"/>
      <c r="EI33062"/>
      <c r="EJ33062"/>
      <c r="EK33062"/>
    </row>
    <row r="33063" spans="1:141" s="116" customFormat="1">
      <c r="A33063" s="136"/>
      <c r="CM33063" s="111"/>
      <c r="CQ33063" s="111"/>
      <c r="EF33063"/>
      <c r="EG33063"/>
      <c r="EH33063"/>
      <c r="EI33063"/>
      <c r="EJ33063"/>
      <c r="EK33063"/>
    </row>
    <row r="33064" spans="1:141" s="116" customFormat="1">
      <c r="A33064" s="136"/>
      <c r="CM33064" s="111"/>
      <c r="CQ33064" s="111"/>
      <c r="EF33064"/>
      <c r="EG33064"/>
      <c r="EH33064"/>
      <c r="EI33064"/>
      <c r="EJ33064"/>
      <c r="EK33064"/>
    </row>
    <row r="33065" spans="1:141" s="116" customFormat="1">
      <c r="A33065" s="136"/>
      <c r="CM33065" s="111"/>
      <c r="CQ33065" s="111"/>
      <c r="EF33065"/>
      <c r="EG33065"/>
      <c r="EH33065"/>
      <c r="EI33065"/>
      <c r="EJ33065"/>
      <c r="EK33065"/>
    </row>
    <row r="33066" spans="1:141" s="116" customFormat="1">
      <c r="A33066" s="136"/>
      <c r="CM33066" s="111"/>
      <c r="CQ33066" s="111"/>
      <c r="EF33066"/>
      <c r="EG33066"/>
      <c r="EH33066"/>
      <c r="EI33066"/>
      <c r="EJ33066"/>
      <c r="EK33066"/>
    </row>
    <row r="33067" spans="1:141" s="116" customFormat="1">
      <c r="A33067" s="136"/>
      <c r="CM33067" s="111"/>
      <c r="CQ33067" s="111"/>
      <c r="EF33067"/>
      <c r="EG33067"/>
      <c r="EH33067"/>
      <c r="EI33067"/>
      <c r="EJ33067"/>
      <c r="EK33067"/>
    </row>
    <row r="33068" spans="1:141" s="116" customFormat="1">
      <c r="A33068" s="136"/>
      <c r="CM33068" s="111"/>
      <c r="CQ33068" s="111"/>
      <c r="EF33068"/>
      <c r="EG33068"/>
      <c r="EH33068"/>
      <c r="EI33068"/>
      <c r="EJ33068"/>
      <c r="EK33068"/>
    </row>
    <row r="33069" spans="1:141" s="116" customFormat="1">
      <c r="A33069" s="136"/>
      <c r="CM33069" s="111"/>
      <c r="CQ33069" s="111"/>
      <c r="EF33069"/>
      <c r="EG33069"/>
      <c r="EH33069"/>
      <c r="EI33069"/>
      <c r="EJ33069"/>
      <c r="EK33069"/>
    </row>
    <row r="33070" spans="1:141" s="116" customFormat="1">
      <c r="A33070" s="136"/>
      <c r="CM33070" s="111"/>
      <c r="CQ33070" s="111"/>
      <c r="EF33070"/>
      <c r="EG33070"/>
      <c r="EH33070"/>
      <c r="EI33070"/>
      <c r="EJ33070"/>
      <c r="EK33070"/>
    </row>
    <row r="33071" spans="1:141" s="116" customFormat="1">
      <c r="A33071" s="136"/>
      <c r="CM33071" s="111"/>
      <c r="CQ33071" s="111"/>
      <c r="EF33071"/>
      <c r="EG33071"/>
      <c r="EH33071"/>
      <c r="EI33071"/>
      <c r="EJ33071"/>
      <c r="EK33071"/>
    </row>
    <row r="33072" spans="1:141" s="116" customFormat="1">
      <c r="A33072" s="136"/>
      <c r="CM33072" s="111"/>
      <c r="CQ33072" s="111"/>
      <c r="EF33072"/>
      <c r="EG33072"/>
      <c r="EH33072"/>
      <c r="EI33072"/>
      <c r="EJ33072"/>
      <c r="EK33072"/>
    </row>
    <row r="33073" spans="1:141" s="116" customFormat="1">
      <c r="A33073" s="136"/>
      <c r="CM33073" s="111"/>
      <c r="CQ33073" s="111"/>
      <c r="EF33073"/>
      <c r="EG33073"/>
      <c r="EH33073"/>
      <c r="EI33073"/>
      <c r="EJ33073"/>
      <c r="EK33073"/>
    </row>
    <row r="33074" spans="1:141" s="116" customFormat="1">
      <c r="A33074" s="136"/>
      <c r="CM33074" s="111"/>
      <c r="CQ33074" s="111"/>
      <c r="EF33074"/>
      <c r="EG33074"/>
      <c r="EH33074"/>
      <c r="EI33074"/>
      <c r="EJ33074"/>
      <c r="EK33074"/>
    </row>
    <row r="33075" spans="1:141" s="116" customFormat="1">
      <c r="A33075" s="136"/>
      <c r="CM33075" s="111"/>
      <c r="CQ33075" s="111"/>
      <c r="EF33075"/>
      <c r="EG33075"/>
      <c r="EH33075"/>
      <c r="EI33075"/>
      <c r="EJ33075"/>
      <c r="EK33075"/>
    </row>
    <row r="33076" spans="1:141" s="116" customFormat="1">
      <c r="A33076" s="136"/>
      <c r="CM33076" s="111"/>
      <c r="CQ33076" s="111"/>
      <c r="EF33076"/>
      <c r="EG33076"/>
      <c r="EH33076"/>
      <c r="EI33076"/>
      <c r="EJ33076"/>
      <c r="EK33076"/>
    </row>
    <row r="33077" spans="1:141" s="116" customFormat="1">
      <c r="A33077" s="136"/>
      <c r="CM33077" s="111"/>
      <c r="CQ33077" s="111"/>
      <c r="EF33077"/>
      <c r="EG33077"/>
      <c r="EH33077"/>
      <c r="EI33077"/>
      <c r="EJ33077"/>
      <c r="EK33077"/>
    </row>
    <row r="33078" spans="1:141" s="116" customFormat="1">
      <c r="A33078" s="136"/>
      <c r="CM33078" s="111"/>
      <c r="CQ33078" s="111"/>
      <c r="EF33078"/>
      <c r="EG33078"/>
      <c r="EH33078"/>
      <c r="EI33078"/>
      <c r="EJ33078"/>
      <c r="EK33078"/>
    </row>
    <row r="33079" spans="1:141" s="116" customFormat="1">
      <c r="A33079" s="136"/>
      <c r="CM33079" s="111"/>
      <c r="CQ33079" s="111"/>
      <c r="EF33079"/>
      <c r="EG33079"/>
      <c r="EH33079"/>
      <c r="EI33079"/>
      <c r="EJ33079"/>
      <c r="EK33079"/>
    </row>
    <row r="33080" spans="1:141" s="116" customFormat="1">
      <c r="A33080" s="136"/>
      <c r="CM33080" s="111"/>
      <c r="CQ33080" s="111"/>
      <c r="EF33080"/>
      <c r="EG33080"/>
      <c r="EH33080"/>
      <c r="EI33080"/>
      <c r="EJ33080"/>
      <c r="EK33080"/>
    </row>
    <row r="33081" spans="1:141" s="116" customFormat="1">
      <c r="A33081" s="136"/>
      <c r="CM33081" s="111"/>
      <c r="CQ33081" s="111"/>
      <c r="EF33081"/>
      <c r="EG33081"/>
      <c r="EH33081"/>
      <c r="EI33081"/>
      <c r="EJ33081"/>
      <c r="EK33081"/>
    </row>
    <row r="33082" spans="1:141" s="116" customFormat="1">
      <c r="A33082" s="136"/>
      <c r="CM33082" s="111"/>
      <c r="CQ33082" s="111"/>
      <c r="EF33082"/>
      <c r="EG33082"/>
      <c r="EH33082"/>
      <c r="EI33082"/>
      <c r="EJ33082"/>
      <c r="EK33082"/>
    </row>
    <row r="33083" spans="1:141" s="116" customFormat="1">
      <c r="A33083" s="136"/>
      <c r="CM33083" s="111"/>
      <c r="CQ33083" s="111"/>
      <c r="EF33083"/>
      <c r="EG33083"/>
      <c r="EH33083"/>
      <c r="EI33083"/>
      <c r="EJ33083"/>
      <c r="EK33083"/>
    </row>
    <row r="33084" spans="1:141" s="116" customFormat="1">
      <c r="A33084" s="136"/>
      <c r="CM33084" s="111"/>
      <c r="CQ33084" s="111"/>
      <c r="EF33084"/>
      <c r="EG33084"/>
      <c r="EH33084"/>
      <c r="EI33084"/>
      <c r="EJ33084"/>
      <c r="EK33084"/>
    </row>
    <row r="33085" spans="1:141" s="116" customFormat="1">
      <c r="A33085" s="136"/>
      <c r="CM33085" s="111"/>
      <c r="CQ33085" s="111"/>
      <c r="EF33085"/>
      <c r="EG33085"/>
      <c r="EH33085"/>
      <c r="EI33085"/>
      <c r="EJ33085"/>
      <c r="EK33085"/>
    </row>
    <row r="33086" spans="1:141" s="116" customFormat="1">
      <c r="A33086" s="136"/>
      <c r="CM33086" s="111"/>
      <c r="CQ33086" s="111"/>
      <c r="EF33086"/>
      <c r="EG33086"/>
      <c r="EH33086"/>
      <c r="EI33086"/>
      <c r="EJ33086"/>
      <c r="EK33086"/>
    </row>
    <row r="33087" spans="1:141" s="116" customFormat="1">
      <c r="A33087" s="136"/>
      <c r="CM33087" s="111"/>
      <c r="CQ33087" s="111"/>
      <c r="EF33087"/>
      <c r="EG33087"/>
      <c r="EH33087"/>
      <c r="EI33087"/>
      <c r="EJ33087"/>
      <c r="EK33087"/>
    </row>
    <row r="33088" spans="1:141" s="116" customFormat="1">
      <c r="A33088" s="136"/>
      <c r="CM33088" s="111"/>
      <c r="CQ33088" s="111"/>
      <c r="EF33088"/>
      <c r="EG33088"/>
      <c r="EH33088"/>
      <c r="EI33088"/>
      <c r="EJ33088"/>
      <c r="EK33088"/>
    </row>
    <row r="33089" spans="1:141" s="116" customFormat="1">
      <c r="A33089" s="136"/>
      <c r="CM33089" s="111"/>
      <c r="CQ33089" s="111"/>
      <c r="EF33089"/>
      <c r="EG33089"/>
      <c r="EH33089"/>
      <c r="EI33089"/>
      <c r="EJ33089"/>
      <c r="EK33089"/>
    </row>
    <row r="33090" spans="1:141" s="116" customFormat="1">
      <c r="A33090" s="136"/>
      <c r="CM33090" s="111"/>
      <c r="CQ33090" s="111"/>
      <c r="EF33090"/>
      <c r="EG33090"/>
      <c r="EH33090"/>
      <c r="EI33090"/>
      <c r="EJ33090"/>
      <c r="EK33090"/>
    </row>
    <row r="33091" spans="1:141" s="116" customFormat="1">
      <c r="A33091" s="136"/>
      <c r="CM33091" s="111"/>
      <c r="CQ33091" s="111"/>
      <c r="EF33091"/>
      <c r="EG33091"/>
      <c r="EH33091"/>
      <c r="EI33091"/>
      <c r="EJ33091"/>
      <c r="EK33091"/>
    </row>
    <row r="33092" spans="1:141" s="116" customFormat="1">
      <c r="A33092" s="136"/>
      <c r="CM33092" s="111"/>
      <c r="CQ33092" s="111"/>
      <c r="EF33092"/>
      <c r="EG33092"/>
      <c r="EH33092"/>
      <c r="EI33092"/>
      <c r="EJ33092"/>
      <c r="EK33092"/>
    </row>
    <row r="33093" spans="1:141" s="116" customFormat="1">
      <c r="A33093" s="136"/>
      <c r="CM33093" s="111"/>
      <c r="CQ33093" s="111"/>
      <c r="EF33093"/>
      <c r="EG33093"/>
      <c r="EH33093"/>
      <c r="EI33093"/>
      <c r="EJ33093"/>
      <c r="EK33093"/>
    </row>
    <row r="33094" spans="1:141" s="116" customFormat="1">
      <c r="A33094" s="136"/>
      <c r="CM33094" s="111"/>
      <c r="CQ33094" s="111"/>
      <c r="EF33094"/>
      <c r="EG33094"/>
      <c r="EH33094"/>
      <c r="EI33094"/>
      <c r="EJ33094"/>
      <c r="EK33094"/>
    </row>
    <row r="33095" spans="1:141" s="116" customFormat="1">
      <c r="A33095" s="136"/>
      <c r="CM33095" s="111"/>
      <c r="CQ33095" s="111"/>
      <c r="EF33095"/>
      <c r="EG33095"/>
      <c r="EH33095"/>
      <c r="EI33095"/>
      <c r="EJ33095"/>
      <c r="EK33095"/>
    </row>
    <row r="33096" spans="1:141" s="116" customFormat="1">
      <c r="A33096" s="136"/>
      <c r="CM33096" s="111"/>
      <c r="CQ33096" s="111"/>
      <c r="EF33096"/>
      <c r="EG33096"/>
      <c r="EH33096"/>
      <c r="EI33096"/>
      <c r="EJ33096"/>
      <c r="EK33096"/>
    </row>
    <row r="33097" spans="1:141" s="116" customFormat="1">
      <c r="A33097" s="136"/>
      <c r="CM33097" s="111"/>
      <c r="CQ33097" s="111"/>
      <c r="EF33097"/>
      <c r="EG33097"/>
      <c r="EH33097"/>
      <c r="EI33097"/>
      <c r="EJ33097"/>
      <c r="EK33097"/>
    </row>
    <row r="33098" spans="1:141" s="116" customFormat="1">
      <c r="A33098" s="136"/>
      <c r="CM33098" s="111"/>
      <c r="CQ33098" s="111"/>
      <c r="EF33098"/>
      <c r="EG33098"/>
      <c r="EH33098"/>
      <c r="EI33098"/>
      <c r="EJ33098"/>
      <c r="EK33098"/>
    </row>
    <row r="33099" spans="1:141" s="116" customFormat="1">
      <c r="A33099" s="136"/>
      <c r="CM33099" s="111"/>
      <c r="CQ33099" s="111"/>
      <c r="EF33099"/>
      <c r="EG33099"/>
      <c r="EH33099"/>
      <c r="EI33099"/>
      <c r="EJ33099"/>
      <c r="EK33099"/>
    </row>
    <row r="33100" spans="1:141" s="116" customFormat="1">
      <c r="A33100" s="136"/>
      <c r="CM33100" s="111"/>
      <c r="CQ33100" s="111"/>
      <c r="EF33100"/>
      <c r="EG33100"/>
      <c r="EH33100"/>
      <c r="EI33100"/>
      <c r="EJ33100"/>
      <c r="EK33100"/>
    </row>
    <row r="33101" spans="1:141" s="116" customFormat="1">
      <c r="A33101" s="136"/>
      <c r="CM33101" s="111"/>
      <c r="CQ33101" s="111"/>
      <c r="EF33101"/>
      <c r="EG33101"/>
      <c r="EH33101"/>
      <c r="EI33101"/>
      <c r="EJ33101"/>
      <c r="EK33101"/>
    </row>
    <row r="33102" spans="1:141" s="116" customFormat="1">
      <c r="A33102" s="136"/>
      <c r="CM33102" s="111"/>
      <c r="CQ33102" s="111"/>
      <c r="EF33102"/>
      <c r="EG33102"/>
      <c r="EH33102"/>
      <c r="EI33102"/>
      <c r="EJ33102"/>
      <c r="EK33102"/>
    </row>
    <row r="33103" spans="1:141" s="116" customFormat="1">
      <c r="A33103" s="136"/>
      <c r="CM33103" s="111"/>
      <c r="CQ33103" s="111"/>
      <c r="EF33103"/>
      <c r="EG33103"/>
      <c r="EH33103"/>
      <c r="EI33103"/>
      <c r="EJ33103"/>
      <c r="EK33103"/>
    </row>
    <row r="33104" spans="1:141" s="116" customFormat="1">
      <c r="A33104" s="136"/>
      <c r="CM33104" s="111"/>
      <c r="CQ33104" s="111"/>
      <c r="EF33104"/>
      <c r="EG33104"/>
      <c r="EH33104"/>
      <c r="EI33104"/>
      <c r="EJ33104"/>
      <c r="EK33104"/>
    </row>
    <row r="33105" spans="1:141" s="116" customFormat="1">
      <c r="A33105" s="136"/>
      <c r="CM33105" s="111"/>
      <c r="CQ33105" s="111"/>
      <c r="EF33105"/>
      <c r="EG33105"/>
      <c r="EH33105"/>
      <c r="EI33105"/>
      <c r="EJ33105"/>
      <c r="EK33105"/>
    </row>
    <row r="33106" spans="1:141" s="116" customFormat="1">
      <c r="A33106" s="136"/>
      <c r="CM33106" s="111"/>
      <c r="CQ33106" s="111"/>
      <c r="EF33106"/>
      <c r="EG33106"/>
      <c r="EH33106"/>
      <c r="EI33106"/>
      <c r="EJ33106"/>
      <c r="EK33106"/>
    </row>
    <row r="33107" spans="1:141" s="116" customFormat="1">
      <c r="A33107" s="136"/>
      <c r="CM33107" s="111"/>
      <c r="CQ33107" s="111"/>
      <c r="EF33107"/>
      <c r="EG33107"/>
      <c r="EH33107"/>
      <c r="EI33107"/>
      <c r="EJ33107"/>
      <c r="EK33107"/>
    </row>
    <row r="33108" spans="1:141" s="116" customFormat="1">
      <c r="A33108" s="136"/>
      <c r="CM33108" s="111"/>
      <c r="CQ33108" s="111"/>
      <c r="EF33108"/>
      <c r="EG33108"/>
      <c r="EH33108"/>
      <c r="EI33108"/>
      <c r="EJ33108"/>
      <c r="EK33108"/>
    </row>
    <row r="33109" spans="1:141" s="116" customFormat="1">
      <c r="A33109" s="136"/>
      <c r="CM33109" s="111"/>
      <c r="CQ33109" s="111"/>
      <c r="EF33109"/>
      <c r="EG33109"/>
      <c r="EH33109"/>
      <c r="EI33109"/>
      <c r="EJ33109"/>
      <c r="EK33109"/>
    </row>
    <row r="33110" spans="1:141" s="116" customFormat="1">
      <c r="A33110" s="136"/>
      <c r="CM33110" s="111"/>
      <c r="CQ33110" s="111"/>
      <c r="EF33110"/>
      <c r="EG33110"/>
      <c r="EH33110"/>
      <c r="EI33110"/>
      <c r="EJ33110"/>
      <c r="EK33110"/>
    </row>
    <row r="33111" spans="1:141" s="116" customFormat="1">
      <c r="A33111" s="136"/>
      <c r="CM33111" s="111"/>
      <c r="CQ33111" s="111"/>
      <c r="EF33111"/>
      <c r="EG33111"/>
      <c r="EH33111"/>
      <c r="EI33111"/>
      <c r="EJ33111"/>
      <c r="EK33111"/>
    </row>
    <row r="33112" spans="1:141" s="116" customFormat="1">
      <c r="A33112" s="136"/>
      <c r="CM33112" s="111"/>
      <c r="CQ33112" s="111"/>
      <c r="EF33112"/>
      <c r="EG33112"/>
      <c r="EH33112"/>
      <c r="EI33112"/>
      <c r="EJ33112"/>
      <c r="EK33112"/>
    </row>
    <row r="33113" spans="1:141" s="116" customFormat="1">
      <c r="A33113" s="136"/>
      <c r="CM33113" s="111"/>
      <c r="CQ33113" s="111"/>
      <c r="EF33113"/>
      <c r="EG33113"/>
      <c r="EH33113"/>
      <c r="EI33113"/>
      <c r="EJ33113"/>
      <c r="EK33113"/>
    </row>
    <row r="33114" spans="1:141" s="116" customFormat="1">
      <c r="A33114" s="136"/>
      <c r="CM33114" s="111"/>
      <c r="CQ33114" s="111"/>
      <c r="EF33114"/>
      <c r="EG33114"/>
      <c r="EH33114"/>
      <c r="EI33114"/>
      <c r="EJ33114"/>
      <c r="EK33114"/>
    </row>
    <row r="33115" spans="1:141" s="116" customFormat="1">
      <c r="A33115" s="136"/>
      <c r="CM33115" s="111"/>
      <c r="CQ33115" s="111"/>
      <c r="EF33115"/>
      <c r="EG33115"/>
      <c r="EH33115"/>
      <c r="EI33115"/>
      <c r="EJ33115"/>
      <c r="EK33115"/>
    </row>
    <row r="33116" spans="1:141" s="116" customFormat="1">
      <c r="A33116" s="136"/>
      <c r="CM33116" s="111"/>
      <c r="CQ33116" s="111"/>
      <c r="EF33116"/>
      <c r="EG33116"/>
      <c r="EH33116"/>
      <c r="EI33116"/>
      <c r="EJ33116"/>
      <c r="EK33116"/>
    </row>
    <row r="33117" spans="1:141" s="116" customFormat="1">
      <c r="A33117" s="136"/>
      <c r="CM33117" s="111"/>
      <c r="CQ33117" s="111"/>
      <c r="EF33117"/>
      <c r="EG33117"/>
      <c r="EH33117"/>
      <c r="EI33117"/>
      <c r="EJ33117"/>
      <c r="EK33117"/>
    </row>
    <row r="33118" spans="1:141" s="116" customFormat="1">
      <c r="A33118" s="136"/>
      <c r="CM33118" s="111"/>
      <c r="CQ33118" s="111"/>
      <c r="EF33118"/>
      <c r="EG33118"/>
      <c r="EH33118"/>
      <c r="EI33118"/>
      <c r="EJ33118"/>
      <c r="EK33118"/>
    </row>
    <row r="33119" spans="1:141" s="116" customFormat="1">
      <c r="A33119" s="136"/>
      <c r="CM33119" s="111"/>
      <c r="CQ33119" s="111"/>
      <c r="EF33119"/>
      <c r="EG33119"/>
      <c r="EH33119"/>
      <c r="EI33119"/>
      <c r="EJ33119"/>
      <c r="EK33119"/>
    </row>
    <row r="33120" spans="1:141" s="116" customFormat="1">
      <c r="A33120" s="136"/>
      <c r="CM33120" s="111"/>
      <c r="CQ33120" s="111"/>
      <c r="EF33120"/>
      <c r="EG33120"/>
      <c r="EH33120"/>
      <c r="EI33120"/>
      <c r="EJ33120"/>
      <c r="EK33120"/>
    </row>
    <row r="33121" spans="1:141" s="116" customFormat="1">
      <c r="A33121" s="136"/>
      <c r="CM33121" s="111"/>
      <c r="CQ33121" s="111"/>
      <c r="EF33121"/>
      <c r="EG33121"/>
      <c r="EH33121"/>
      <c r="EI33121"/>
      <c r="EJ33121"/>
      <c r="EK33121"/>
    </row>
    <row r="33122" spans="1:141" s="116" customFormat="1">
      <c r="A33122" s="136"/>
      <c r="CM33122" s="111"/>
      <c r="CQ33122" s="111"/>
      <c r="EF33122"/>
      <c r="EG33122"/>
      <c r="EH33122"/>
      <c r="EI33122"/>
      <c r="EJ33122"/>
      <c r="EK33122"/>
    </row>
    <row r="33123" spans="1:141" s="116" customFormat="1">
      <c r="A33123" s="136"/>
      <c r="CM33123" s="111"/>
      <c r="CQ33123" s="111"/>
      <c r="EF33123"/>
      <c r="EG33123"/>
      <c r="EH33123"/>
      <c r="EI33123"/>
      <c r="EJ33123"/>
      <c r="EK33123"/>
    </row>
    <row r="33124" spans="1:141" s="116" customFormat="1">
      <c r="A33124" s="136"/>
      <c r="CM33124" s="111"/>
      <c r="CQ33124" s="111"/>
      <c r="EF33124"/>
      <c r="EG33124"/>
      <c r="EH33124"/>
      <c r="EI33124"/>
      <c r="EJ33124"/>
      <c r="EK33124"/>
    </row>
    <row r="33125" spans="1:141" s="116" customFormat="1">
      <c r="A33125" s="136"/>
      <c r="CM33125" s="111"/>
      <c r="CQ33125" s="111"/>
      <c r="EF33125"/>
      <c r="EG33125"/>
      <c r="EH33125"/>
      <c r="EI33125"/>
      <c r="EJ33125"/>
      <c r="EK33125"/>
    </row>
    <row r="33126" spans="1:141" s="116" customFormat="1">
      <c r="A33126" s="136"/>
      <c r="CM33126" s="111"/>
      <c r="CQ33126" s="111"/>
      <c r="EF33126"/>
      <c r="EG33126"/>
      <c r="EH33126"/>
      <c r="EI33126"/>
      <c r="EJ33126"/>
      <c r="EK33126"/>
    </row>
    <row r="33127" spans="1:141" s="116" customFormat="1">
      <c r="A33127" s="136"/>
      <c r="CM33127" s="111"/>
      <c r="CQ33127" s="111"/>
      <c r="EF33127"/>
      <c r="EG33127"/>
      <c r="EH33127"/>
      <c r="EI33127"/>
      <c r="EJ33127"/>
      <c r="EK33127"/>
    </row>
    <row r="33128" spans="1:141" s="116" customFormat="1">
      <c r="A33128" s="136"/>
      <c r="CM33128" s="111"/>
      <c r="CQ33128" s="111"/>
      <c r="EF33128"/>
      <c r="EG33128"/>
      <c r="EH33128"/>
      <c r="EI33128"/>
      <c r="EJ33128"/>
      <c r="EK33128"/>
    </row>
    <row r="33129" spans="1:141" s="116" customFormat="1">
      <c r="A33129" s="136"/>
      <c r="CM33129" s="111"/>
      <c r="CQ33129" s="111"/>
      <c r="EF33129"/>
      <c r="EG33129"/>
      <c r="EH33129"/>
      <c r="EI33129"/>
      <c r="EJ33129"/>
      <c r="EK33129"/>
    </row>
    <row r="33130" spans="1:141" s="116" customFormat="1">
      <c r="A33130" s="136"/>
      <c r="CM33130" s="111"/>
      <c r="CQ33130" s="111"/>
      <c r="EF33130"/>
      <c r="EG33130"/>
      <c r="EH33130"/>
      <c r="EI33130"/>
      <c r="EJ33130"/>
      <c r="EK33130"/>
    </row>
    <row r="33131" spans="1:141" s="116" customFormat="1">
      <c r="A33131" s="136"/>
      <c r="CM33131" s="111"/>
      <c r="CQ33131" s="111"/>
      <c r="EF33131"/>
      <c r="EG33131"/>
      <c r="EH33131"/>
      <c r="EI33131"/>
      <c r="EJ33131"/>
      <c r="EK33131"/>
    </row>
    <row r="33132" spans="1:141" s="116" customFormat="1">
      <c r="A33132" s="136"/>
      <c r="CM33132" s="111"/>
      <c r="CQ33132" s="111"/>
      <c r="EF33132"/>
      <c r="EG33132"/>
      <c r="EH33132"/>
      <c r="EI33132"/>
      <c r="EJ33132"/>
      <c r="EK33132"/>
    </row>
    <row r="33133" spans="1:141" s="116" customFormat="1">
      <c r="A33133" s="136"/>
      <c r="CM33133" s="111"/>
      <c r="CQ33133" s="111"/>
      <c r="EF33133"/>
      <c r="EG33133"/>
      <c r="EH33133"/>
      <c r="EI33133"/>
      <c r="EJ33133"/>
      <c r="EK33133"/>
    </row>
    <row r="33134" spans="1:141" s="116" customFormat="1">
      <c r="A33134" s="136"/>
      <c r="CM33134" s="111"/>
      <c r="CQ33134" s="111"/>
      <c r="EF33134"/>
      <c r="EG33134"/>
      <c r="EH33134"/>
      <c r="EI33134"/>
      <c r="EJ33134"/>
      <c r="EK33134"/>
    </row>
    <row r="33135" spans="1:141" s="116" customFormat="1">
      <c r="A33135" s="136"/>
      <c r="CM33135" s="111"/>
      <c r="CQ33135" s="111"/>
      <c r="EF33135"/>
      <c r="EG33135"/>
      <c r="EH33135"/>
      <c r="EI33135"/>
      <c r="EJ33135"/>
      <c r="EK33135"/>
    </row>
    <row r="33136" spans="1:141" s="116" customFormat="1">
      <c r="A33136" s="136"/>
      <c r="CM33136" s="111"/>
      <c r="CQ33136" s="111"/>
      <c r="EF33136"/>
      <c r="EG33136"/>
      <c r="EH33136"/>
      <c r="EI33136"/>
      <c r="EJ33136"/>
      <c r="EK33136"/>
    </row>
    <row r="33137" spans="1:141" s="116" customFormat="1">
      <c r="A33137" s="136"/>
      <c r="CM33137" s="111"/>
      <c r="CQ33137" s="111"/>
      <c r="EF33137"/>
      <c r="EG33137"/>
      <c r="EH33137"/>
      <c r="EI33137"/>
      <c r="EJ33137"/>
      <c r="EK33137"/>
    </row>
    <row r="33138" spans="1:141" s="116" customFormat="1">
      <c r="A33138" s="136"/>
      <c r="CM33138" s="111"/>
      <c r="CQ33138" s="111"/>
      <c r="EF33138"/>
      <c r="EG33138"/>
      <c r="EH33138"/>
      <c r="EI33138"/>
      <c r="EJ33138"/>
      <c r="EK33138"/>
    </row>
    <row r="33139" spans="1:141" s="116" customFormat="1">
      <c r="A33139" s="136"/>
      <c r="CM33139" s="111"/>
      <c r="CQ33139" s="111"/>
      <c r="EF33139"/>
      <c r="EG33139"/>
      <c r="EH33139"/>
      <c r="EI33139"/>
      <c r="EJ33139"/>
      <c r="EK33139"/>
    </row>
    <row r="33140" spans="1:141" s="116" customFormat="1">
      <c r="A33140" s="136"/>
      <c r="CM33140" s="111"/>
      <c r="CQ33140" s="111"/>
      <c r="EF33140"/>
      <c r="EG33140"/>
      <c r="EH33140"/>
      <c r="EI33140"/>
      <c r="EJ33140"/>
      <c r="EK33140"/>
    </row>
    <row r="33141" spans="1:141" s="116" customFormat="1">
      <c r="A33141" s="136"/>
      <c r="CM33141" s="111"/>
      <c r="CQ33141" s="111"/>
      <c r="EF33141"/>
      <c r="EG33141"/>
      <c r="EH33141"/>
      <c r="EI33141"/>
      <c r="EJ33141"/>
      <c r="EK33141"/>
    </row>
    <row r="33142" spans="1:141" s="116" customFormat="1">
      <c r="A33142" s="136"/>
      <c r="CM33142" s="111"/>
      <c r="CQ33142" s="111"/>
      <c r="EF33142"/>
      <c r="EG33142"/>
      <c r="EH33142"/>
      <c r="EI33142"/>
      <c r="EJ33142"/>
      <c r="EK33142"/>
    </row>
    <row r="33143" spans="1:141" s="116" customFormat="1">
      <c r="A33143" s="136"/>
      <c r="CM33143" s="111"/>
      <c r="CQ33143" s="111"/>
      <c r="EF33143"/>
      <c r="EG33143"/>
      <c r="EH33143"/>
      <c r="EI33143"/>
      <c r="EJ33143"/>
      <c r="EK33143"/>
    </row>
    <row r="33144" spans="1:141" s="116" customFormat="1">
      <c r="A33144" s="136"/>
      <c r="CM33144" s="111"/>
      <c r="CQ33144" s="111"/>
      <c r="EF33144"/>
      <c r="EG33144"/>
      <c r="EH33144"/>
      <c r="EI33144"/>
      <c r="EJ33144"/>
      <c r="EK33144"/>
    </row>
    <row r="33145" spans="1:141" s="116" customFormat="1">
      <c r="A33145" s="136"/>
      <c r="CM33145" s="111"/>
      <c r="CQ33145" s="111"/>
      <c r="EF33145"/>
      <c r="EG33145"/>
      <c r="EH33145"/>
      <c r="EI33145"/>
      <c r="EJ33145"/>
      <c r="EK33145"/>
    </row>
    <row r="33146" spans="1:141" s="116" customFormat="1">
      <c r="A33146" s="136"/>
      <c r="CM33146" s="111"/>
      <c r="CQ33146" s="111"/>
      <c r="EF33146"/>
      <c r="EG33146"/>
      <c r="EH33146"/>
      <c r="EI33146"/>
      <c r="EJ33146"/>
      <c r="EK33146"/>
    </row>
    <row r="33147" spans="1:141" s="116" customFormat="1">
      <c r="A33147" s="136"/>
      <c r="CM33147" s="111"/>
      <c r="CQ33147" s="111"/>
      <c r="EF33147"/>
      <c r="EG33147"/>
      <c r="EH33147"/>
      <c r="EI33147"/>
      <c r="EJ33147"/>
      <c r="EK33147"/>
    </row>
    <row r="33148" spans="1:141" s="116" customFormat="1">
      <c r="A33148" s="136"/>
      <c r="CM33148" s="111"/>
      <c r="CQ33148" s="111"/>
      <c r="EF33148"/>
      <c r="EG33148"/>
      <c r="EH33148"/>
      <c r="EI33148"/>
      <c r="EJ33148"/>
      <c r="EK33148"/>
    </row>
    <row r="33149" spans="1:141" s="116" customFormat="1">
      <c r="A33149" s="136"/>
      <c r="CM33149" s="111"/>
      <c r="CQ33149" s="111"/>
      <c r="EF33149"/>
      <c r="EG33149"/>
      <c r="EH33149"/>
      <c r="EI33149"/>
      <c r="EJ33149"/>
      <c r="EK33149"/>
    </row>
    <row r="33150" spans="1:141" s="116" customFormat="1">
      <c r="A33150" s="136"/>
      <c r="CM33150" s="111"/>
      <c r="CQ33150" s="111"/>
      <c r="EF33150"/>
      <c r="EG33150"/>
      <c r="EH33150"/>
      <c r="EI33150"/>
      <c r="EJ33150"/>
      <c r="EK33150"/>
    </row>
    <row r="33151" spans="1:141" s="116" customFormat="1">
      <c r="A33151" s="136"/>
      <c r="CM33151" s="111"/>
      <c r="CQ33151" s="111"/>
      <c r="EF33151"/>
      <c r="EG33151"/>
      <c r="EH33151"/>
      <c r="EI33151"/>
      <c r="EJ33151"/>
      <c r="EK33151"/>
    </row>
    <row r="33152" spans="1:141" s="116" customFormat="1">
      <c r="A33152" s="136"/>
      <c r="CM33152" s="111"/>
      <c r="CQ33152" s="111"/>
      <c r="EF33152"/>
      <c r="EG33152"/>
      <c r="EH33152"/>
      <c r="EI33152"/>
      <c r="EJ33152"/>
      <c r="EK33152"/>
    </row>
    <row r="33153" spans="1:141" s="116" customFormat="1">
      <c r="A33153" s="136"/>
      <c r="CM33153" s="111"/>
      <c r="CQ33153" s="111"/>
      <c r="EF33153"/>
      <c r="EG33153"/>
      <c r="EH33153"/>
      <c r="EI33153"/>
      <c r="EJ33153"/>
      <c r="EK33153"/>
    </row>
    <row r="33154" spans="1:141" s="116" customFormat="1">
      <c r="A33154" s="136"/>
      <c r="CM33154" s="111"/>
      <c r="CQ33154" s="111"/>
      <c r="EF33154"/>
      <c r="EG33154"/>
      <c r="EH33154"/>
      <c r="EI33154"/>
      <c r="EJ33154"/>
      <c r="EK33154"/>
    </row>
    <row r="33155" spans="1:141" s="116" customFormat="1">
      <c r="A33155" s="136"/>
      <c r="CM33155" s="111"/>
      <c r="CQ33155" s="111"/>
      <c r="EF33155"/>
      <c r="EG33155"/>
      <c r="EH33155"/>
      <c r="EI33155"/>
      <c r="EJ33155"/>
      <c r="EK33155"/>
    </row>
    <row r="33156" spans="1:141" s="116" customFormat="1">
      <c r="A33156" s="136"/>
      <c r="CM33156" s="111"/>
      <c r="CQ33156" s="111"/>
      <c r="EF33156"/>
      <c r="EG33156"/>
      <c r="EH33156"/>
      <c r="EI33156"/>
      <c r="EJ33156"/>
      <c r="EK33156"/>
    </row>
    <row r="33157" spans="1:141" s="116" customFormat="1">
      <c r="A33157" s="136"/>
      <c r="CM33157" s="111"/>
      <c r="CQ33157" s="111"/>
      <c r="EF33157"/>
      <c r="EG33157"/>
      <c r="EH33157"/>
      <c r="EI33157"/>
      <c r="EJ33157"/>
      <c r="EK33157"/>
    </row>
    <row r="33158" spans="1:141" s="116" customFormat="1">
      <c r="A33158" s="136"/>
      <c r="CM33158" s="111"/>
      <c r="CQ33158" s="111"/>
      <c r="EF33158"/>
      <c r="EG33158"/>
      <c r="EH33158"/>
      <c r="EI33158"/>
      <c r="EJ33158"/>
      <c r="EK33158"/>
    </row>
    <row r="33159" spans="1:141" s="116" customFormat="1">
      <c r="A33159" s="136"/>
      <c r="CM33159" s="111"/>
      <c r="CQ33159" s="111"/>
      <c r="EF33159"/>
      <c r="EG33159"/>
      <c r="EH33159"/>
      <c r="EI33159"/>
      <c r="EJ33159"/>
      <c r="EK33159"/>
    </row>
    <row r="33160" spans="1:141" s="116" customFormat="1">
      <c r="A33160" s="136"/>
      <c r="CM33160" s="111"/>
      <c r="CQ33160" s="111"/>
      <c r="EF33160"/>
      <c r="EG33160"/>
      <c r="EH33160"/>
      <c r="EI33160"/>
      <c r="EJ33160"/>
      <c r="EK33160"/>
    </row>
    <row r="33161" spans="1:141" s="116" customFormat="1">
      <c r="A33161" s="136"/>
      <c r="CM33161" s="111"/>
      <c r="CQ33161" s="111"/>
      <c r="EF33161"/>
      <c r="EG33161"/>
      <c r="EH33161"/>
      <c r="EI33161"/>
      <c r="EJ33161"/>
      <c r="EK33161"/>
    </row>
    <row r="33162" spans="1:141" s="116" customFormat="1">
      <c r="A33162" s="136"/>
      <c r="CM33162" s="111"/>
      <c r="CQ33162" s="111"/>
      <c r="EF33162"/>
      <c r="EG33162"/>
      <c r="EH33162"/>
      <c r="EI33162"/>
      <c r="EJ33162"/>
      <c r="EK33162"/>
    </row>
    <row r="33163" spans="1:141" s="116" customFormat="1">
      <c r="A33163" s="136"/>
      <c r="CM33163" s="111"/>
      <c r="CQ33163" s="111"/>
      <c r="EF33163"/>
      <c r="EG33163"/>
      <c r="EH33163"/>
      <c r="EI33163"/>
      <c r="EJ33163"/>
      <c r="EK33163"/>
    </row>
    <row r="33164" spans="1:141" s="116" customFormat="1">
      <c r="A33164" s="136"/>
      <c r="CM33164" s="111"/>
      <c r="CQ33164" s="111"/>
      <c r="EF33164"/>
      <c r="EG33164"/>
      <c r="EH33164"/>
      <c r="EI33164"/>
      <c r="EJ33164"/>
      <c r="EK33164"/>
    </row>
    <row r="33165" spans="1:141" s="116" customFormat="1">
      <c r="A33165" s="136"/>
      <c r="CM33165" s="111"/>
      <c r="CQ33165" s="111"/>
      <c r="EF33165"/>
      <c r="EG33165"/>
      <c r="EH33165"/>
      <c r="EI33165"/>
      <c r="EJ33165"/>
      <c r="EK33165"/>
    </row>
    <row r="33166" spans="1:141" s="116" customFormat="1">
      <c r="A33166" s="136"/>
      <c r="CM33166" s="111"/>
      <c r="CQ33166" s="111"/>
      <c r="EF33166"/>
      <c r="EG33166"/>
      <c r="EH33166"/>
      <c r="EI33166"/>
      <c r="EJ33166"/>
      <c r="EK33166"/>
    </row>
    <row r="33167" spans="1:141" s="116" customFormat="1">
      <c r="A33167" s="136"/>
      <c r="CM33167" s="111"/>
      <c r="CQ33167" s="111"/>
      <c r="EF33167"/>
      <c r="EG33167"/>
      <c r="EH33167"/>
      <c r="EI33167"/>
      <c r="EJ33167"/>
      <c r="EK33167"/>
    </row>
    <row r="33168" spans="1:141" s="116" customFormat="1">
      <c r="A33168" s="136"/>
      <c r="CM33168" s="111"/>
      <c r="CQ33168" s="111"/>
      <c r="EF33168"/>
      <c r="EG33168"/>
      <c r="EH33168"/>
      <c r="EI33168"/>
      <c r="EJ33168"/>
      <c r="EK33168"/>
    </row>
    <row r="33169" spans="1:141" s="116" customFormat="1">
      <c r="A33169" s="136"/>
      <c r="CM33169" s="111"/>
      <c r="CQ33169" s="111"/>
      <c r="EF33169"/>
      <c r="EG33169"/>
      <c r="EH33169"/>
      <c r="EI33169"/>
      <c r="EJ33169"/>
      <c r="EK33169"/>
    </row>
    <row r="33170" spans="1:141" s="116" customFormat="1">
      <c r="A33170" s="136"/>
      <c r="CM33170" s="111"/>
      <c r="CQ33170" s="111"/>
      <c r="EF33170"/>
      <c r="EG33170"/>
      <c r="EH33170"/>
      <c r="EI33170"/>
      <c r="EJ33170"/>
      <c r="EK33170"/>
    </row>
    <row r="33171" spans="1:141" s="116" customFormat="1">
      <c r="A33171" s="136"/>
      <c r="CM33171" s="111"/>
      <c r="CQ33171" s="111"/>
      <c r="EF33171"/>
      <c r="EG33171"/>
      <c r="EH33171"/>
      <c r="EI33171"/>
      <c r="EJ33171"/>
      <c r="EK33171"/>
    </row>
    <row r="33172" spans="1:141" s="116" customFormat="1">
      <c r="A33172" s="136"/>
      <c r="CM33172" s="111"/>
      <c r="CQ33172" s="111"/>
      <c r="EF33172"/>
      <c r="EG33172"/>
      <c r="EH33172"/>
      <c r="EI33172"/>
      <c r="EJ33172"/>
      <c r="EK33172"/>
    </row>
    <row r="33173" spans="1:141" s="116" customFormat="1">
      <c r="A33173" s="136"/>
      <c r="CM33173" s="111"/>
      <c r="CQ33173" s="111"/>
      <c r="EF33173"/>
      <c r="EG33173"/>
      <c r="EH33173"/>
      <c r="EI33173"/>
      <c r="EJ33173"/>
      <c r="EK33173"/>
    </row>
    <row r="33174" spans="1:141" s="116" customFormat="1">
      <c r="A33174" s="136"/>
      <c r="CM33174" s="111"/>
      <c r="CQ33174" s="111"/>
      <c r="EF33174"/>
      <c r="EG33174"/>
      <c r="EH33174"/>
      <c r="EI33174"/>
      <c r="EJ33174"/>
      <c r="EK33174"/>
    </row>
    <row r="33175" spans="1:141" s="116" customFormat="1">
      <c r="A33175" s="136"/>
      <c r="CM33175" s="111"/>
      <c r="CQ33175" s="111"/>
      <c r="EF33175"/>
      <c r="EG33175"/>
      <c r="EH33175"/>
      <c r="EI33175"/>
      <c r="EJ33175"/>
      <c r="EK33175"/>
    </row>
    <row r="33176" spans="1:141" s="116" customFormat="1">
      <c r="A33176" s="136"/>
      <c r="CM33176" s="111"/>
      <c r="CQ33176" s="111"/>
      <c r="EF33176"/>
      <c r="EG33176"/>
      <c r="EH33176"/>
      <c r="EI33176"/>
      <c r="EJ33176"/>
      <c r="EK33176"/>
    </row>
    <row r="33177" spans="1:141" s="116" customFormat="1">
      <c r="A33177" s="136"/>
      <c r="CM33177" s="111"/>
      <c r="CQ33177" s="111"/>
      <c r="EF33177"/>
      <c r="EG33177"/>
      <c r="EH33177"/>
      <c r="EI33177"/>
      <c r="EJ33177"/>
      <c r="EK33177"/>
    </row>
    <row r="33178" spans="1:141" s="116" customFormat="1">
      <c r="A33178" s="136"/>
      <c r="CM33178" s="111"/>
      <c r="CQ33178" s="111"/>
      <c r="EF33178"/>
      <c r="EG33178"/>
      <c r="EH33178"/>
      <c r="EI33178"/>
      <c r="EJ33178"/>
      <c r="EK33178"/>
    </row>
    <row r="33179" spans="1:141" s="116" customFormat="1">
      <c r="A33179" s="136"/>
      <c r="CM33179" s="111"/>
      <c r="CQ33179" s="111"/>
      <c r="EF33179"/>
      <c r="EG33179"/>
      <c r="EH33179"/>
      <c r="EI33179"/>
      <c r="EJ33179"/>
      <c r="EK33179"/>
    </row>
    <row r="33180" spans="1:141" s="116" customFormat="1">
      <c r="A33180" s="136"/>
      <c r="CM33180" s="111"/>
      <c r="CQ33180" s="111"/>
      <c r="EF33180"/>
      <c r="EG33180"/>
      <c r="EH33180"/>
      <c r="EI33180"/>
      <c r="EJ33180"/>
      <c r="EK33180"/>
    </row>
    <row r="33181" spans="1:141" s="116" customFormat="1">
      <c r="A33181" s="136"/>
      <c r="CM33181" s="111"/>
      <c r="CQ33181" s="111"/>
      <c r="EF33181"/>
      <c r="EG33181"/>
      <c r="EH33181"/>
      <c r="EI33181"/>
      <c r="EJ33181"/>
      <c r="EK33181"/>
    </row>
    <row r="33182" spans="1:141" s="116" customFormat="1">
      <c r="A33182" s="136"/>
      <c r="CM33182" s="111"/>
      <c r="CQ33182" s="111"/>
      <c r="EF33182"/>
      <c r="EG33182"/>
      <c r="EH33182"/>
      <c r="EI33182"/>
      <c r="EJ33182"/>
      <c r="EK33182"/>
    </row>
    <row r="33183" spans="1:141" s="116" customFormat="1">
      <c r="A33183" s="136"/>
      <c r="CM33183" s="111"/>
      <c r="CQ33183" s="111"/>
      <c r="EF33183"/>
      <c r="EG33183"/>
      <c r="EH33183"/>
      <c r="EI33183"/>
      <c r="EJ33183"/>
      <c r="EK33183"/>
    </row>
    <row r="33184" spans="1:141" s="116" customFormat="1">
      <c r="A33184" s="136"/>
      <c r="CM33184" s="111"/>
      <c r="CQ33184" s="111"/>
      <c r="EF33184"/>
      <c r="EG33184"/>
      <c r="EH33184"/>
      <c r="EI33184"/>
      <c r="EJ33184"/>
      <c r="EK33184"/>
    </row>
    <row r="33185" spans="1:141" s="116" customFormat="1">
      <c r="A33185" s="136"/>
      <c r="CM33185" s="111"/>
      <c r="CQ33185" s="111"/>
      <c r="EF33185"/>
      <c r="EG33185"/>
      <c r="EH33185"/>
      <c r="EI33185"/>
      <c r="EJ33185"/>
      <c r="EK33185"/>
    </row>
    <row r="33186" spans="1:141" s="116" customFormat="1">
      <c r="A33186" s="136"/>
      <c r="CM33186" s="111"/>
      <c r="CQ33186" s="111"/>
      <c r="EF33186"/>
      <c r="EG33186"/>
      <c r="EH33186"/>
      <c r="EI33186"/>
      <c r="EJ33186"/>
      <c r="EK33186"/>
    </row>
    <row r="33187" spans="1:141" s="116" customFormat="1">
      <c r="A33187" s="136"/>
      <c r="CM33187" s="111"/>
      <c r="CQ33187" s="111"/>
      <c r="EF33187"/>
      <c r="EG33187"/>
      <c r="EH33187"/>
      <c r="EI33187"/>
      <c r="EJ33187"/>
      <c r="EK33187"/>
    </row>
    <row r="33188" spans="1:141" s="116" customFormat="1">
      <c r="A33188" s="136"/>
      <c r="CM33188" s="111"/>
      <c r="CQ33188" s="111"/>
      <c r="EF33188"/>
      <c r="EG33188"/>
      <c r="EH33188"/>
      <c r="EI33188"/>
      <c r="EJ33188"/>
      <c r="EK33188"/>
    </row>
    <row r="33189" spans="1:141" s="116" customFormat="1">
      <c r="A33189" s="136"/>
      <c r="CM33189" s="111"/>
      <c r="CQ33189" s="111"/>
      <c r="EF33189"/>
      <c r="EG33189"/>
      <c r="EH33189"/>
      <c r="EI33189"/>
      <c r="EJ33189"/>
      <c r="EK33189"/>
    </row>
    <row r="33190" spans="1:141" s="116" customFormat="1">
      <c r="A33190" s="136"/>
      <c r="CM33190" s="111"/>
      <c r="CQ33190" s="111"/>
      <c r="EF33190"/>
      <c r="EG33190"/>
      <c r="EH33190"/>
      <c r="EI33190"/>
      <c r="EJ33190"/>
      <c r="EK33190"/>
    </row>
    <row r="33191" spans="1:141" s="116" customFormat="1">
      <c r="A33191" s="136"/>
      <c r="CM33191" s="111"/>
      <c r="CQ33191" s="111"/>
      <c r="EF33191"/>
      <c r="EG33191"/>
      <c r="EH33191"/>
      <c r="EI33191"/>
      <c r="EJ33191"/>
      <c r="EK33191"/>
    </row>
    <row r="33192" spans="1:141" s="116" customFormat="1">
      <c r="A33192" s="136"/>
      <c r="CM33192" s="111"/>
      <c r="CQ33192" s="111"/>
      <c r="EF33192"/>
      <c r="EG33192"/>
      <c r="EH33192"/>
      <c r="EI33192"/>
      <c r="EJ33192"/>
      <c r="EK33192"/>
    </row>
    <row r="33193" spans="1:141" s="116" customFormat="1">
      <c r="A33193" s="136"/>
      <c r="CM33193" s="111"/>
      <c r="CQ33193" s="111"/>
      <c r="EF33193"/>
      <c r="EG33193"/>
      <c r="EH33193"/>
      <c r="EI33193"/>
      <c r="EJ33193"/>
      <c r="EK33193"/>
    </row>
    <row r="33194" spans="1:141" s="116" customFormat="1">
      <c r="A33194" s="136"/>
      <c r="CM33194" s="111"/>
      <c r="CQ33194" s="111"/>
      <c r="EF33194"/>
      <c r="EG33194"/>
      <c r="EH33194"/>
      <c r="EI33194"/>
      <c r="EJ33194"/>
      <c r="EK33194"/>
    </row>
    <row r="33195" spans="1:141" s="116" customFormat="1">
      <c r="A33195" s="136"/>
      <c r="CM33195" s="111"/>
      <c r="CQ33195" s="111"/>
      <c r="EF33195"/>
      <c r="EG33195"/>
      <c r="EH33195"/>
      <c r="EI33195"/>
      <c r="EJ33195"/>
      <c r="EK33195"/>
    </row>
    <row r="33196" spans="1:141" s="116" customFormat="1">
      <c r="A33196" s="136"/>
      <c r="CM33196" s="111"/>
      <c r="CQ33196" s="111"/>
      <c r="EF33196"/>
      <c r="EG33196"/>
      <c r="EH33196"/>
      <c r="EI33196"/>
      <c r="EJ33196"/>
      <c r="EK33196"/>
    </row>
    <row r="33197" spans="1:141" s="116" customFormat="1">
      <c r="A33197" s="136"/>
      <c r="CM33197" s="111"/>
      <c r="CQ33197" s="111"/>
      <c r="EF33197"/>
      <c r="EG33197"/>
      <c r="EH33197"/>
      <c r="EI33197"/>
      <c r="EJ33197"/>
      <c r="EK33197"/>
    </row>
    <row r="33198" spans="1:141" s="116" customFormat="1">
      <c r="A33198" s="136"/>
      <c r="CM33198" s="111"/>
      <c r="CQ33198" s="111"/>
      <c r="EF33198"/>
      <c r="EG33198"/>
      <c r="EH33198"/>
      <c r="EI33198"/>
      <c r="EJ33198"/>
      <c r="EK33198"/>
    </row>
    <row r="33199" spans="1:141" s="116" customFormat="1">
      <c r="A33199" s="136"/>
      <c r="CM33199" s="111"/>
      <c r="CQ33199" s="111"/>
      <c r="EF33199"/>
      <c r="EG33199"/>
      <c r="EH33199"/>
      <c r="EI33199"/>
      <c r="EJ33199"/>
      <c r="EK33199"/>
    </row>
    <row r="33200" spans="1:141" s="116" customFormat="1">
      <c r="A33200" s="136"/>
      <c r="CM33200" s="111"/>
      <c r="CQ33200" s="111"/>
      <c r="EF33200"/>
      <c r="EG33200"/>
      <c r="EH33200"/>
      <c r="EI33200"/>
      <c r="EJ33200"/>
      <c r="EK33200"/>
    </row>
    <row r="33201" spans="1:141" s="116" customFormat="1">
      <c r="A33201" s="136"/>
      <c r="CM33201" s="111"/>
      <c r="CQ33201" s="111"/>
      <c r="EF33201"/>
      <c r="EG33201"/>
      <c r="EH33201"/>
      <c r="EI33201"/>
      <c r="EJ33201"/>
      <c r="EK33201"/>
    </row>
    <row r="33202" spans="1:141" s="116" customFormat="1">
      <c r="A33202" s="136"/>
      <c r="CM33202" s="111"/>
      <c r="CQ33202" s="111"/>
      <c r="EF33202"/>
      <c r="EG33202"/>
      <c r="EH33202"/>
      <c r="EI33202"/>
      <c r="EJ33202"/>
      <c r="EK33202"/>
    </row>
    <row r="33203" spans="1:141" s="116" customFormat="1">
      <c r="A33203" s="136"/>
      <c r="CM33203" s="111"/>
      <c r="CQ33203" s="111"/>
      <c r="EF33203"/>
      <c r="EG33203"/>
      <c r="EH33203"/>
      <c r="EI33203"/>
      <c r="EJ33203"/>
      <c r="EK33203"/>
    </row>
    <row r="33204" spans="1:141" s="116" customFormat="1">
      <c r="A33204" s="136"/>
      <c r="CM33204" s="111"/>
      <c r="CQ33204" s="111"/>
      <c r="EF33204"/>
      <c r="EG33204"/>
      <c r="EH33204"/>
      <c r="EI33204"/>
      <c r="EJ33204"/>
      <c r="EK33204"/>
    </row>
    <row r="33205" spans="1:141" s="116" customFormat="1">
      <c r="A33205" s="136"/>
      <c r="CM33205" s="111"/>
      <c r="CQ33205" s="111"/>
      <c r="EF33205"/>
      <c r="EG33205"/>
      <c r="EH33205"/>
      <c r="EI33205"/>
      <c r="EJ33205"/>
      <c r="EK33205"/>
    </row>
    <row r="33206" spans="1:141" s="116" customFormat="1">
      <c r="A33206" s="136"/>
      <c r="CM33206" s="111"/>
      <c r="CQ33206" s="111"/>
      <c r="EF33206"/>
      <c r="EG33206"/>
      <c r="EH33206"/>
      <c r="EI33206"/>
      <c r="EJ33206"/>
      <c r="EK33206"/>
    </row>
    <row r="33207" spans="1:141" s="116" customFormat="1">
      <c r="A33207" s="136"/>
      <c r="CM33207" s="111"/>
      <c r="CQ33207" s="111"/>
      <c r="EF33207"/>
      <c r="EG33207"/>
      <c r="EH33207"/>
      <c r="EI33207"/>
      <c r="EJ33207"/>
      <c r="EK33207"/>
    </row>
    <row r="33208" spans="1:141" s="116" customFormat="1">
      <c r="A33208" s="136"/>
      <c r="CM33208" s="111"/>
      <c r="CQ33208" s="111"/>
      <c r="EF33208"/>
      <c r="EG33208"/>
      <c r="EH33208"/>
      <c r="EI33208"/>
      <c r="EJ33208"/>
      <c r="EK33208"/>
    </row>
    <row r="33209" spans="1:141" s="116" customFormat="1">
      <c r="A33209" s="136"/>
      <c r="CM33209" s="111"/>
      <c r="CQ33209" s="111"/>
      <c r="EF33209"/>
      <c r="EG33209"/>
      <c r="EH33209"/>
      <c r="EI33209"/>
      <c r="EJ33209"/>
      <c r="EK33209"/>
    </row>
    <row r="33210" spans="1:141" s="116" customFormat="1">
      <c r="A33210" s="136"/>
      <c r="CM33210" s="111"/>
      <c r="CQ33210" s="111"/>
      <c r="EF33210"/>
      <c r="EG33210"/>
      <c r="EH33210"/>
      <c r="EI33210"/>
      <c r="EJ33210"/>
      <c r="EK33210"/>
    </row>
    <row r="33211" spans="1:141" s="116" customFormat="1">
      <c r="A33211" s="136"/>
      <c r="CM33211" s="111"/>
      <c r="CQ33211" s="111"/>
      <c r="EF33211"/>
      <c r="EG33211"/>
      <c r="EH33211"/>
      <c r="EI33211"/>
      <c r="EJ33211"/>
      <c r="EK33211"/>
    </row>
    <row r="33212" spans="1:141" s="116" customFormat="1">
      <c r="A33212" s="136"/>
      <c r="CM33212" s="111"/>
      <c r="CQ33212" s="111"/>
      <c r="EF33212"/>
      <c r="EG33212"/>
      <c r="EH33212"/>
      <c r="EI33212"/>
      <c r="EJ33212"/>
      <c r="EK33212"/>
    </row>
    <row r="33213" spans="1:141" s="116" customFormat="1">
      <c r="A33213" s="136"/>
      <c r="CM33213" s="111"/>
      <c r="CQ33213" s="111"/>
      <c r="EF33213"/>
      <c r="EG33213"/>
      <c r="EH33213"/>
      <c r="EI33213"/>
      <c r="EJ33213"/>
      <c r="EK33213"/>
    </row>
    <row r="33214" spans="1:141" s="116" customFormat="1">
      <c r="A33214" s="136"/>
      <c r="CM33214" s="111"/>
      <c r="CQ33214" s="111"/>
      <c r="EF33214"/>
      <c r="EG33214"/>
      <c r="EH33214"/>
      <c r="EI33214"/>
      <c r="EJ33214"/>
      <c r="EK33214"/>
    </row>
    <row r="33215" spans="1:141" s="116" customFormat="1">
      <c r="A33215" s="136"/>
      <c r="CM33215" s="111"/>
      <c r="CQ33215" s="111"/>
      <c r="EF33215"/>
      <c r="EG33215"/>
      <c r="EH33215"/>
      <c r="EI33215"/>
      <c r="EJ33215"/>
      <c r="EK33215"/>
    </row>
    <row r="33216" spans="1:141" s="116" customFormat="1">
      <c r="A33216" s="136"/>
      <c r="CM33216" s="111"/>
      <c r="CQ33216" s="111"/>
      <c r="EF33216"/>
      <c r="EG33216"/>
      <c r="EH33216"/>
      <c r="EI33216"/>
      <c r="EJ33216"/>
      <c r="EK33216"/>
    </row>
    <row r="33217" spans="1:141" s="116" customFormat="1">
      <c r="A33217" s="136"/>
      <c r="CM33217" s="111"/>
      <c r="CQ33217" s="111"/>
      <c r="EF33217"/>
      <c r="EG33217"/>
      <c r="EH33217"/>
      <c r="EI33217"/>
      <c r="EJ33217"/>
      <c r="EK33217"/>
    </row>
    <row r="33218" spans="1:141" s="116" customFormat="1">
      <c r="A33218" s="136"/>
      <c r="CM33218" s="111"/>
      <c r="CQ33218" s="111"/>
      <c r="EF33218"/>
      <c r="EG33218"/>
      <c r="EH33218"/>
      <c r="EI33218"/>
      <c r="EJ33218"/>
      <c r="EK33218"/>
    </row>
    <row r="33219" spans="1:141" s="116" customFormat="1">
      <c r="A33219" s="136"/>
      <c r="CM33219" s="111"/>
      <c r="CQ33219" s="111"/>
      <c r="EF33219"/>
      <c r="EG33219"/>
      <c r="EH33219"/>
      <c r="EI33219"/>
      <c r="EJ33219"/>
      <c r="EK33219"/>
    </row>
    <row r="33220" spans="1:141" s="116" customFormat="1">
      <c r="A33220" s="136"/>
      <c r="CM33220" s="111"/>
      <c r="CQ33220" s="111"/>
      <c r="EF33220"/>
      <c r="EG33220"/>
      <c r="EH33220"/>
      <c r="EI33220"/>
      <c r="EJ33220"/>
      <c r="EK33220"/>
    </row>
    <row r="33221" spans="1:141" s="116" customFormat="1">
      <c r="A33221" s="136"/>
      <c r="CM33221" s="111"/>
      <c r="CQ33221" s="111"/>
      <c r="EF33221"/>
      <c r="EG33221"/>
      <c r="EH33221"/>
      <c r="EI33221"/>
      <c r="EJ33221"/>
      <c r="EK33221"/>
    </row>
    <row r="33222" spans="1:141" s="116" customFormat="1">
      <c r="A33222" s="136"/>
      <c r="CM33222" s="111"/>
      <c r="CQ33222" s="111"/>
      <c r="EF33222"/>
      <c r="EG33222"/>
      <c r="EH33222"/>
      <c r="EI33222"/>
      <c r="EJ33222"/>
      <c r="EK33222"/>
    </row>
    <row r="33223" spans="1:141" s="116" customFormat="1">
      <c r="A33223" s="136"/>
      <c r="CM33223" s="111"/>
      <c r="CQ33223" s="111"/>
      <c r="EF33223"/>
      <c r="EG33223"/>
      <c r="EH33223"/>
      <c r="EI33223"/>
      <c r="EJ33223"/>
      <c r="EK33223"/>
    </row>
    <row r="33224" spans="1:141" s="116" customFormat="1">
      <c r="A33224" s="136"/>
      <c r="CM33224" s="111"/>
      <c r="CQ33224" s="111"/>
      <c r="EF33224"/>
      <c r="EG33224"/>
      <c r="EH33224"/>
      <c r="EI33224"/>
      <c r="EJ33224"/>
      <c r="EK33224"/>
    </row>
    <row r="33225" spans="1:141" s="116" customFormat="1">
      <c r="A33225" s="136"/>
      <c r="CM33225" s="111"/>
      <c r="CQ33225" s="111"/>
      <c r="EF33225"/>
      <c r="EG33225"/>
      <c r="EH33225"/>
      <c r="EI33225"/>
      <c r="EJ33225"/>
      <c r="EK33225"/>
    </row>
    <row r="33226" spans="1:141" s="116" customFormat="1">
      <c r="A33226" s="136"/>
      <c r="CM33226" s="111"/>
      <c r="CQ33226" s="111"/>
      <c r="EF33226"/>
      <c r="EG33226"/>
      <c r="EH33226"/>
      <c r="EI33226"/>
      <c r="EJ33226"/>
      <c r="EK33226"/>
    </row>
    <row r="33227" spans="1:141" s="116" customFormat="1">
      <c r="A33227" s="136"/>
      <c r="CM33227" s="111"/>
      <c r="CQ33227" s="111"/>
      <c r="EF33227"/>
      <c r="EG33227"/>
      <c r="EH33227"/>
      <c r="EI33227"/>
      <c r="EJ33227"/>
      <c r="EK33227"/>
    </row>
    <row r="33228" spans="1:141" s="116" customFormat="1">
      <c r="A33228" s="136"/>
      <c r="CM33228" s="111"/>
      <c r="CQ33228" s="111"/>
      <c r="EF33228"/>
      <c r="EG33228"/>
      <c r="EH33228"/>
      <c r="EI33228"/>
      <c r="EJ33228"/>
      <c r="EK33228"/>
    </row>
    <row r="33229" spans="1:141" s="116" customFormat="1">
      <c r="A33229" s="136"/>
      <c r="CM33229" s="111"/>
      <c r="CQ33229" s="111"/>
      <c r="EF33229"/>
      <c r="EG33229"/>
      <c r="EH33229"/>
      <c r="EI33229"/>
      <c r="EJ33229"/>
      <c r="EK33229"/>
    </row>
    <row r="33230" spans="1:141" s="116" customFormat="1">
      <c r="A33230" s="136"/>
      <c r="CM33230" s="111"/>
      <c r="CQ33230" s="111"/>
      <c r="EF33230"/>
      <c r="EG33230"/>
      <c r="EH33230"/>
      <c r="EI33230"/>
      <c r="EJ33230"/>
      <c r="EK33230"/>
    </row>
    <row r="33231" spans="1:141" s="116" customFormat="1">
      <c r="A33231" s="136"/>
      <c r="CM33231" s="111"/>
      <c r="CQ33231" s="111"/>
      <c r="EF33231"/>
      <c r="EG33231"/>
      <c r="EH33231"/>
      <c r="EI33231"/>
      <c r="EJ33231"/>
      <c r="EK33231"/>
    </row>
    <row r="33232" spans="1:141" s="116" customFormat="1">
      <c r="A33232" s="136"/>
      <c r="CM33232" s="111"/>
      <c r="CQ33232" s="111"/>
      <c r="EF33232"/>
      <c r="EG33232"/>
      <c r="EH33232"/>
      <c r="EI33232"/>
      <c r="EJ33232"/>
      <c r="EK33232"/>
    </row>
    <row r="33233" spans="1:141" s="116" customFormat="1">
      <c r="A33233" s="136"/>
      <c r="CM33233" s="111"/>
      <c r="CQ33233" s="111"/>
      <c r="EF33233"/>
      <c r="EG33233"/>
      <c r="EH33233"/>
      <c r="EI33233"/>
      <c r="EJ33233"/>
      <c r="EK33233"/>
    </row>
    <row r="33234" spans="1:141" s="116" customFormat="1">
      <c r="A33234" s="136"/>
      <c r="CM33234" s="111"/>
      <c r="CQ33234" s="111"/>
      <c r="EF33234"/>
      <c r="EG33234"/>
      <c r="EH33234"/>
      <c r="EI33234"/>
      <c r="EJ33234"/>
      <c r="EK33234"/>
    </row>
    <row r="33235" spans="1:141" s="116" customFormat="1">
      <c r="A33235" s="136"/>
      <c r="CM33235" s="111"/>
      <c r="CQ33235" s="111"/>
      <c r="EF33235"/>
      <c r="EG33235"/>
      <c r="EH33235"/>
      <c r="EI33235"/>
      <c r="EJ33235"/>
      <c r="EK33235"/>
    </row>
    <row r="33236" spans="1:141" s="116" customFormat="1">
      <c r="A33236" s="136"/>
      <c r="CM33236" s="111"/>
      <c r="CQ33236" s="111"/>
      <c r="EF33236"/>
      <c r="EG33236"/>
      <c r="EH33236"/>
      <c r="EI33236"/>
      <c r="EJ33236"/>
      <c r="EK33236"/>
    </row>
    <row r="33237" spans="1:141" s="116" customFormat="1">
      <c r="A33237" s="136"/>
      <c r="CM33237" s="111"/>
      <c r="CQ33237" s="111"/>
      <c r="EF33237"/>
      <c r="EG33237"/>
      <c r="EH33237"/>
      <c r="EI33237"/>
      <c r="EJ33237"/>
      <c r="EK33237"/>
    </row>
    <row r="33238" spans="1:141" s="116" customFormat="1">
      <c r="A33238" s="136"/>
      <c r="CM33238" s="111"/>
      <c r="CQ33238" s="111"/>
      <c r="EF33238"/>
      <c r="EG33238"/>
      <c r="EH33238"/>
      <c r="EI33238"/>
      <c r="EJ33238"/>
      <c r="EK33238"/>
    </row>
    <row r="33239" spans="1:141" s="116" customFormat="1">
      <c r="A33239" s="136"/>
      <c r="CM33239" s="111"/>
      <c r="CQ33239" s="111"/>
      <c r="EF33239"/>
      <c r="EG33239"/>
      <c r="EH33239"/>
      <c r="EI33239"/>
      <c r="EJ33239"/>
      <c r="EK33239"/>
    </row>
    <row r="33240" spans="1:141" s="116" customFormat="1">
      <c r="A33240" s="136"/>
      <c r="CM33240" s="111"/>
      <c r="CQ33240" s="111"/>
      <c r="EF33240"/>
      <c r="EG33240"/>
      <c r="EH33240"/>
      <c r="EI33240"/>
      <c r="EJ33240"/>
      <c r="EK33240"/>
    </row>
    <row r="33241" spans="1:141" s="116" customFormat="1">
      <c r="A33241" s="136"/>
      <c r="CM33241" s="111"/>
      <c r="CQ33241" s="111"/>
      <c r="EF33241"/>
      <c r="EG33241"/>
      <c r="EH33241"/>
      <c r="EI33241"/>
      <c r="EJ33241"/>
      <c r="EK33241"/>
    </row>
    <row r="33242" spans="1:141" s="116" customFormat="1">
      <c r="A33242" s="136"/>
      <c r="CM33242" s="111"/>
      <c r="CQ33242" s="111"/>
      <c r="EF33242"/>
      <c r="EG33242"/>
      <c r="EH33242"/>
      <c r="EI33242"/>
      <c r="EJ33242"/>
      <c r="EK33242"/>
    </row>
    <row r="33243" spans="1:141" s="116" customFormat="1">
      <c r="A33243" s="136"/>
      <c r="CM33243" s="111"/>
      <c r="CQ33243" s="111"/>
      <c r="EF33243"/>
      <c r="EG33243"/>
      <c r="EH33243"/>
      <c r="EI33243"/>
      <c r="EJ33243"/>
      <c r="EK33243"/>
    </row>
    <row r="33244" spans="1:141" s="116" customFormat="1">
      <c r="A33244" s="136"/>
      <c r="CM33244" s="111"/>
      <c r="CQ33244" s="111"/>
      <c r="EF33244"/>
      <c r="EG33244"/>
      <c r="EH33244"/>
      <c r="EI33244"/>
      <c r="EJ33244"/>
      <c r="EK33244"/>
    </row>
    <row r="33245" spans="1:141" s="116" customFormat="1">
      <c r="A33245" s="136"/>
      <c r="CM33245" s="111"/>
      <c r="CQ33245" s="111"/>
      <c r="EF33245"/>
      <c r="EG33245"/>
      <c r="EH33245"/>
      <c r="EI33245"/>
      <c r="EJ33245"/>
      <c r="EK33245"/>
    </row>
    <row r="33246" spans="1:141" s="116" customFormat="1">
      <c r="A33246" s="136"/>
      <c r="CM33246" s="111"/>
      <c r="CQ33246" s="111"/>
      <c r="EF33246"/>
      <c r="EG33246"/>
      <c r="EH33246"/>
      <c r="EI33246"/>
      <c r="EJ33246"/>
      <c r="EK33246"/>
    </row>
    <row r="33247" spans="1:141" s="116" customFormat="1">
      <c r="A33247" s="136"/>
      <c r="CM33247" s="111"/>
      <c r="CQ33247" s="111"/>
      <c r="EF33247"/>
      <c r="EG33247"/>
      <c r="EH33247"/>
      <c r="EI33247"/>
      <c r="EJ33247"/>
      <c r="EK33247"/>
    </row>
    <row r="33248" spans="1:141" s="116" customFormat="1">
      <c r="A33248" s="136"/>
      <c r="CM33248" s="111"/>
      <c r="CQ33248" s="111"/>
      <c r="EF33248"/>
      <c r="EG33248"/>
      <c r="EH33248"/>
      <c r="EI33248"/>
      <c r="EJ33248"/>
      <c r="EK33248"/>
    </row>
    <row r="33249" spans="1:141" s="116" customFormat="1">
      <c r="A33249" s="136"/>
      <c r="CM33249" s="111"/>
      <c r="CQ33249" s="111"/>
      <c r="EF33249"/>
      <c r="EG33249"/>
      <c r="EH33249"/>
      <c r="EI33249"/>
      <c r="EJ33249"/>
      <c r="EK33249"/>
    </row>
    <row r="33250" spans="1:141" s="116" customFormat="1">
      <c r="A33250" s="136"/>
      <c r="CM33250" s="111"/>
      <c r="CQ33250" s="111"/>
      <c r="EF33250"/>
      <c r="EG33250"/>
      <c r="EH33250"/>
      <c r="EI33250"/>
      <c r="EJ33250"/>
      <c r="EK33250"/>
    </row>
    <row r="33251" spans="1:141" s="116" customFormat="1">
      <c r="A33251" s="136"/>
      <c r="CM33251" s="111"/>
      <c r="CQ33251" s="111"/>
      <c r="EF33251"/>
      <c r="EG33251"/>
      <c r="EH33251"/>
      <c r="EI33251"/>
      <c r="EJ33251"/>
      <c r="EK33251"/>
    </row>
    <row r="33252" spans="1:141" s="116" customFormat="1">
      <c r="A33252" s="136"/>
      <c r="CM33252" s="111"/>
      <c r="CQ33252" s="111"/>
      <c r="EF33252"/>
      <c r="EG33252"/>
      <c r="EH33252"/>
      <c r="EI33252"/>
      <c r="EJ33252"/>
      <c r="EK33252"/>
    </row>
    <row r="33253" spans="1:141" s="116" customFormat="1">
      <c r="A33253" s="136"/>
      <c r="CM33253" s="111"/>
      <c r="CQ33253" s="111"/>
      <c r="EF33253"/>
      <c r="EG33253"/>
      <c r="EH33253"/>
      <c r="EI33253"/>
      <c r="EJ33253"/>
      <c r="EK33253"/>
    </row>
    <row r="33254" spans="1:141" s="116" customFormat="1">
      <c r="A33254" s="136"/>
      <c r="CM33254" s="111"/>
      <c r="CQ33254" s="111"/>
      <c r="EF33254"/>
      <c r="EG33254"/>
      <c r="EH33254"/>
      <c r="EI33254"/>
      <c r="EJ33254"/>
      <c r="EK33254"/>
    </row>
    <row r="33255" spans="1:141" s="116" customFormat="1">
      <c r="A33255" s="136"/>
      <c r="CM33255" s="111"/>
      <c r="CQ33255" s="111"/>
      <c r="EF33255"/>
      <c r="EG33255"/>
      <c r="EH33255"/>
      <c r="EI33255"/>
      <c r="EJ33255"/>
      <c r="EK33255"/>
    </row>
    <row r="33256" spans="1:141" s="116" customFormat="1">
      <c r="A33256" s="136"/>
      <c r="CM33256" s="111"/>
      <c r="CQ33256" s="111"/>
      <c r="EF33256"/>
      <c r="EG33256"/>
      <c r="EH33256"/>
      <c r="EI33256"/>
      <c r="EJ33256"/>
      <c r="EK33256"/>
    </row>
    <row r="33257" spans="1:141" s="116" customFormat="1">
      <c r="A33257" s="136"/>
      <c r="CM33257" s="111"/>
      <c r="CQ33257" s="111"/>
      <c r="EF33257"/>
      <c r="EG33257"/>
      <c r="EH33257"/>
      <c r="EI33257"/>
      <c r="EJ33257"/>
      <c r="EK33257"/>
    </row>
    <row r="33258" spans="1:141" s="116" customFormat="1">
      <c r="A33258" s="136"/>
      <c r="CM33258" s="111"/>
      <c r="CQ33258" s="111"/>
      <c r="EF33258"/>
      <c r="EG33258"/>
      <c r="EH33258"/>
      <c r="EI33258"/>
      <c r="EJ33258"/>
      <c r="EK33258"/>
    </row>
    <row r="33259" spans="1:141" s="116" customFormat="1">
      <c r="A33259" s="136"/>
      <c r="CM33259" s="111"/>
      <c r="CQ33259" s="111"/>
      <c r="EF33259"/>
      <c r="EG33259"/>
      <c r="EH33259"/>
      <c r="EI33259"/>
      <c r="EJ33259"/>
      <c r="EK33259"/>
    </row>
    <row r="33260" spans="1:141" s="116" customFormat="1">
      <c r="A33260" s="136"/>
      <c r="CM33260" s="111"/>
      <c r="CQ33260" s="111"/>
      <c r="EF33260"/>
      <c r="EG33260"/>
      <c r="EH33260"/>
      <c r="EI33260"/>
      <c r="EJ33260"/>
      <c r="EK33260"/>
    </row>
    <row r="33261" spans="1:141" s="116" customFormat="1">
      <c r="A33261" s="136"/>
      <c r="CM33261" s="111"/>
      <c r="CQ33261" s="111"/>
      <c r="EF33261"/>
      <c r="EG33261"/>
      <c r="EH33261"/>
      <c r="EI33261"/>
      <c r="EJ33261"/>
      <c r="EK33261"/>
    </row>
    <row r="33262" spans="1:141" s="116" customFormat="1">
      <c r="A33262" s="136"/>
      <c r="CM33262" s="111"/>
      <c r="CQ33262" s="111"/>
      <c r="EF33262"/>
      <c r="EG33262"/>
      <c r="EH33262"/>
      <c r="EI33262"/>
      <c r="EJ33262"/>
      <c r="EK33262"/>
    </row>
    <row r="33263" spans="1:141" s="116" customFormat="1">
      <c r="A33263" s="136"/>
      <c r="CM33263" s="111"/>
      <c r="CQ33263" s="111"/>
      <c r="EF33263"/>
      <c r="EG33263"/>
      <c r="EH33263"/>
      <c r="EI33263"/>
      <c r="EJ33263"/>
      <c r="EK33263"/>
    </row>
    <row r="33264" spans="1:141" s="116" customFormat="1">
      <c r="A33264" s="136"/>
      <c r="CM33264" s="111"/>
      <c r="CQ33264" s="111"/>
      <c r="EF33264"/>
      <c r="EG33264"/>
      <c r="EH33264"/>
      <c r="EI33264"/>
      <c r="EJ33264"/>
      <c r="EK33264"/>
    </row>
    <row r="33265" spans="1:141" s="116" customFormat="1">
      <c r="A33265" s="136"/>
      <c r="CM33265" s="111"/>
      <c r="CQ33265" s="111"/>
      <c r="EF33265"/>
      <c r="EG33265"/>
      <c r="EH33265"/>
      <c r="EI33265"/>
      <c r="EJ33265"/>
      <c r="EK33265"/>
    </row>
    <row r="33266" spans="1:141" s="116" customFormat="1">
      <c r="A33266" s="136"/>
      <c r="CM33266" s="111"/>
      <c r="CQ33266" s="111"/>
      <c r="EF33266"/>
      <c r="EG33266"/>
      <c r="EH33266"/>
      <c r="EI33266"/>
      <c r="EJ33266"/>
      <c r="EK33266"/>
    </row>
    <row r="33267" spans="1:141" s="116" customFormat="1">
      <c r="A33267" s="136"/>
      <c r="CM33267" s="111"/>
      <c r="CQ33267" s="111"/>
      <c r="EF33267"/>
      <c r="EG33267"/>
      <c r="EH33267"/>
      <c r="EI33267"/>
      <c r="EJ33267"/>
      <c r="EK33267"/>
    </row>
    <row r="33268" spans="1:141" s="116" customFormat="1">
      <c r="A33268" s="136"/>
      <c r="CM33268" s="111"/>
      <c r="CQ33268" s="111"/>
      <c r="EF33268"/>
      <c r="EG33268"/>
      <c r="EH33268"/>
      <c r="EI33268"/>
      <c r="EJ33268"/>
      <c r="EK33268"/>
    </row>
    <row r="33269" spans="1:141" s="116" customFormat="1">
      <c r="A33269" s="136"/>
      <c r="CM33269" s="111"/>
      <c r="CQ33269" s="111"/>
      <c r="EF33269"/>
      <c r="EG33269"/>
      <c r="EH33269"/>
      <c r="EI33269"/>
      <c r="EJ33269"/>
      <c r="EK33269"/>
    </row>
    <row r="33270" spans="1:141" s="116" customFormat="1">
      <c r="A33270" s="136"/>
      <c r="CM33270" s="111"/>
      <c r="CQ33270" s="111"/>
      <c r="EF33270"/>
      <c r="EG33270"/>
      <c r="EH33270"/>
      <c r="EI33270"/>
      <c r="EJ33270"/>
      <c r="EK33270"/>
    </row>
    <row r="33271" spans="1:141" s="116" customFormat="1">
      <c r="A33271" s="136"/>
      <c r="CM33271" s="111"/>
      <c r="CQ33271" s="111"/>
      <c r="EF33271"/>
      <c r="EG33271"/>
      <c r="EH33271"/>
      <c r="EI33271"/>
      <c r="EJ33271"/>
      <c r="EK33271"/>
    </row>
    <row r="33272" spans="1:141" s="116" customFormat="1">
      <c r="A33272" s="136"/>
      <c r="CM33272" s="111"/>
      <c r="CQ33272" s="111"/>
      <c r="EF33272"/>
      <c r="EG33272"/>
      <c r="EH33272"/>
      <c r="EI33272"/>
      <c r="EJ33272"/>
      <c r="EK33272"/>
    </row>
    <row r="33273" spans="1:141" s="116" customFormat="1">
      <c r="A33273" s="136"/>
      <c r="CM33273" s="111"/>
      <c r="CQ33273" s="111"/>
      <c r="EF33273"/>
      <c r="EG33273"/>
      <c r="EH33273"/>
      <c r="EI33273"/>
      <c r="EJ33273"/>
      <c r="EK33273"/>
    </row>
    <row r="33274" spans="1:141" s="116" customFormat="1">
      <c r="A33274" s="136"/>
      <c r="CM33274" s="111"/>
      <c r="CQ33274" s="111"/>
      <c r="EF33274"/>
      <c r="EG33274"/>
      <c r="EH33274"/>
      <c r="EI33274"/>
      <c r="EJ33274"/>
      <c r="EK33274"/>
    </row>
    <row r="33275" spans="1:141" s="116" customFormat="1">
      <c r="A33275" s="136"/>
      <c r="CM33275" s="111"/>
      <c r="CQ33275" s="111"/>
      <c r="EF33275"/>
      <c r="EG33275"/>
      <c r="EH33275"/>
      <c r="EI33275"/>
      <c r="EJ33275"/>
      <c r="EK33275"/>
    </row>
    <row r="33276" spans="1:141" s="116" customFormat="1">
      <c r="A33276" s="136"/>
      <c r="CM33276" s="111"/>
      <c r="CQ33276" s="111"/>
      <c r="EF33276"/>
      <c r="EG33276"/>
      <c r="EH33276"/>
      <c r="EI33276"/>
      <c r="EJ33276"/>
      <c r="EK33276"/>
    </row>
    <row r="33277" spans="1:141" s="116" customFormat="1">
      <c r="A33277" s="136"/>
      <c r="CM33277" s="111"/>
      <c r="CQ33277" s="111"/>
      <c r="EF33277"/>
      <c r="EG33277"/>
      <c r="EH33277"/>
      <c r="EI33277"/>
      <c r="EJ33277"/>
      <c r="EK33277"/>
    </row>
    <row r="33278" spans="1:141" s="116" customFormat="1">
      <c r="A33278" s="136"/>
      <c r="CM33278" s="111"/>
      <c r="CQ33278" s="111"/>
      <c r="EF33278"/>
      <c r="EG33278"/>
      <c r="EH33278"/>
      <c r="EI33278"/>
      <c r="EJ33278"/>
      <c r="EK33278"/>
    </row>
    <row r="33279" spans="1:141" s="116" customFormat="1">
      <c r="A33279" s="136"/>
      <c r="CM33279" s="111"/>
      <c r="CQ33279" s="111"/>
      <c r="EF33279"/>
      <c r="EG33279"/>
      <c r="EH33279"/>
      <c r="EI33279"/>
      <c r="EJ33279"/>
      <c r="EK33279"/>
    </row>
    <row r="33280" spans="1:141" s="116" customFormat="1">
      <c r="A33280" s="136"/>
      <c r="CM33280" s="111"/>
      <c r="CQ33280" s="111"/>
      <c r="EF33280"/>
      <c r="EG33280"/>
      <c r="EH33280"/>
      <c r="EI33280"/>
      <c r="EJ33280"/>
      <c r="EK33280"/>
    </row>
    <row r="33281" spans="1:141" s="116" customFormat="1">
      <c r="A33281" s="136"/>
      <c r="CM33281" s="111"/>
      <c r="CQ33281" s="111"/>
      <c r="EF33281"/>
      <c r="EG33281"/>
      <c r="EH33281"/>
      <c r="EI33281"/>
      <c r="EJ33281"/>
      <c r="EK33281"/>
    </row>
    <row r="33282" spans="1:141" s="116" customFormat="1">
      <c r="A33282" s="136"/>
      <c r="CM33282" s="111"/>
      <c r="CQ33282" s="111"/>
      <c r="EF33282"/>
      <c r="EG33282"/>
      <c r="EH33282"/>
      <c r="EI33282"/>
      <c r="EJ33282"/>
      <c r="EK33282"/>
    </row>
    <row r="33283" spans="1:141" s="116" customFormat="1">
      <c r="A33283" s="136"/>
      <c r="CM33283" s="111"/>
      <c r="CQ33283" s="111"/>
      <c r="EF33283"/>
      <c r="EG33283"/>
      <c r="EH33283"/>
      <c r="EI33283"/>
      <c r="EJ33283"/>
      <c r="EK33283"/>
    </row>
    <row r="33284" spans="1:141" s="116" customFormat="1">
      <c r="A33284" s="136"/>
      <c r="CM33284" s="111"/>
      <c r="CQ33284" s="111"/>
      <c r="EF33284"/>
      <c r="EG33284"/>
      <c r="EH33284"/>
      <c r="EI33284"/>
      <c r="EJ33284"/>
      <c r="EK33284"/>
    </row>
    <row r="33285" spans="1:141" s="116" customFormat="1">
      <c r="A33285" s="136"/>
      <c r="CM33285" s="111"/>
      <c r="CQ33285" s="111"/>
      <c r="EF33285"/>
      <c r="EG33285"/>
      <c r="EH33285"/>
      <c r="EI33285"/>
      <c r="EJ33285"/>
      <c r="EK33285"/>
    </row>
    <row r="33286" spans="1:141" s="116" customFormat="1">
      <c r="A33286" s="136"/>
      <c r="CM33286" s="111"/>
      <c r="CQ33286" s="111"/>
      <c r="EF33286"/>
      <c r="EG33286"/>
      <c r="EH33286"/>
      <c r="EI33286"/>
      <c r="EJ33286"/>
      <c r="EK33286"/>
    </row>
    <row r="33287" spans="1:141" s="116" customFormat="1">
      <c r="A33287" s="136"/>
      <c r="CM33287" s="111"/>
      <c r="CQ33287" s="111"/>
      <c r="EF33287"/>
      <c r="EG33287"/>
      <c r="EH33287"/>
      <c r="EI33287"/>
      <c r="EJ33287"/>
      <c r="EK33287"/>
    </row>
    <row r="33288" spans="1:141" s="116" customFormat="1">
      <c r="A33288" s="136"/>
      <c r="CM33288" s="111"/>
      <c r="CQ33288" s="111"/>
      <c r="EF33288"/>
      <c r="EG33288"/>
      <c r="EH33288"/>
      <c r="EI33288"/>
      <c r="EJ33288"/>
      <c r="EK33288"/>
    </row>
    <row r="33289" spans="1:141" s="116" customFormat="1">
      <c r="A33289" s="136"/>
      <c r="CM33289" s="111"/>
      <c r="CQ33289" s="111"/>
      <c r="EF33289"/>
      <c r="EG33289"/>
      <c r="EH33289"/>
      <c r="EI33289"/>
      <c r="EJ33289"/>
      <c r="EK33289"/>
    </row>
    <row r="33290" spans="1:141" s="116" customFormat="1">
      <c r="A33290" s="136"/>
      <c r="CM33290" s="111"/>
      <c r="CQ33290" s="111"/>
      <c r="EF33290"/>
      <c r="EG33290"/>
      <c r="EH33290"/>
      <c r="EI33290"/>
      <c r="EJ33290"/>
      <c r="EK33290"/>
    </row>
    <row r="33291" spans="1:141" s="116" customFormat="1">
      <c r="A33291" s="136"/>
      <c r="CM33291" s="111"/>
      <c r="CQ33291" s="111"/>
      <c r="EF33291"/>
      <c r="EG33291"/>
      <c r="EH33291"/>
      <c r="EI33291"/>
      <c r="EJ33291"/>
      <c r="EK33291"/>
    </row>
    <row r="33292" spans="1:141" s="116" customFormat="1">
      <c r="A33292" s="136"/>
      <c r="CM33292" s="111"/>
      <c r="CQ33292" s="111"/>
      <c r="EF33292"/>
      <c r="EG33292"/>
      <c r="EH33292"/>
      <c r="EI33292"/>
      <c r="EJ33292"/>
      <c r="EK33292"/>
    </row>
    <row r="33293" spans="1:141" s="116" customFormat="1">
      <c r="A33293" s="136"/>
      <c r="CM33293" s="111"/>
      <c r="CQ33293" s="111"/>
      <c r="EF33293"/>
      <c r="EG33293"/>
      <c r="EH33293"/>
      <c r="EI33293"/>
      <c r="EJ33293"/>
      <c r="EK33293"/>
    </row>
    <row r="33294" spans="1:141" s="116" customFormat="1">
      <c r="A33294" s="136"/>
      <c r="CM33294" s="111"/>
      <c r="CQ33294" s="111"/>
      <c r="EF33294"/>
      <c r="EG33294"/>
      <c r="EH33294"/>
      <c r="EI33294"/>
      <c r="EJ33294"/>
      <c r="EK33294"/>
    </row>
    <row r="33295" spans="1:141" s="116" customFormat="1">
      <c r="A33295" s="136"/>
      <c r="CM33295" s="111"/>
      <c r="CQ33295" s="111"/>
      <c r="EF33295"/>
      <c r="EG33295"/>
      <c r="EH33295"/>
      <c r="EI33295"/>
      <c r="EJ33295"/>
      <c r="EK33295"/>
    </row>
    <row r="33296" spans="1:141" s="116" customFormat="1">
      <c r="A33296" s="136"/>
      <c r="CM33296" s="111"/>
      <c r="CQ33296" s="111"/>
      <c r="EF33296"/>
      <c r="EG33296"/>
      <c r="EH33296"/>
      <c r="EI33296"/>
      <c r="EJ33296"/>
      <c r="EK33296"/>
    </row>
    <row r="33297" spans="1:141" s="116" customFormat="1">
      <c r="A33297" s="136"/>
      <c r="CM33297" s="111"/>
      <c r="CQ33297" s="111"/>
      <c r="EF33297"/>
      <c r="EG33297"/>
      <c r="EH33297"/>
      <c r="EI33297"/>
      <c r="EJ33297"/>
      <c r="EK33297"/>
    </row>
    <row r="33298" spans="1:141" s="116" customFormat="1">
      <c r="A33298" s="136"/>
      <c r="CM33298" s="111"/>
      <c r="CQ33298" s="111"/>
      <c r="EF33298"/>
      <c r="EG33298"/>
      <c r="EH33298"/>
      <c r="EI33298"/>
      <c r="EJ33298"/>
      <c r="EK33298"/>
    </row>
    <row r="33299" spans="1:141" s="116" customFormat="1">
      <c r="A33299" s="136"/>
      <c r="CM33299" s="111"/>
      <c r="CQ33299" s="111"/>
      <c r="EF33299"/>
      <c r="EG33299"/>
      <c r="EH33299"/>
      <c r="EI33299"/>
      <c r="EJ33299"/>
      <c r="EK33299"/>
    </row>
    <row r="33300" spans="1:141" s="116" customFormat="1">
      <c r="A33300" s="136"/>
      <c r="CM33300" s="111"/>
      <c r="CQ33300" s="111"/>
      <c r="EF33300"/>
      <c r="EG33300"/>
      <c r="EH33300"/>
      <c r="EI33300"/>
      <c r="EJ33300"/>
      <c r="EK33300"/>
    </row>
    <row r="33301" spans="1:141" s="116" customFormat="1">
      <c r="A33301" s="136"/>
      <c r="CM33301" s="111"/>
      <c r="CQ33301" s="111"/>
      <c r="EF33301"/>
      <c r="EG33301"/>
      <c r="EH33301"/>
      <c r="EI33301"/>
      <c r="EJ33301"/>
      <c r="EK33301"/>
    </row>
    <row r="33302" spans="1:141" s="116" customFormat="1">
      <c r="A33302" s="136"/>
      <c r="CM33302" s="111"/>
      <c r="CQ33302" s="111"/>
      <c r="EF33302"/>
      <c r="EG33302"/>
      <c r="EH33302"/>
      <c r="EI33302"/>
      <c r="EJ33302"/>
      <c r="EK33302"/>
    </row>
    <row r="33303" spans="1:141" s="116" customFormat="1">
      <c r="A33303" s="136"/>
      <c r="CM33303" s="111"/>
      <c r="CQ33303" s="111"/>
      <c r="EF33303"/>
      <c r="EG33303"/>
      <c r="EH33303"/>
      <c r="EI33303"/>
      <c r="EJ33303"/>
      <c r="EK33303"/>
    </row>
    <row r="33304" spans="1:141" s="116" customFormat="1">
      <c r="A33304" s="136"/>
      <c r="CM33304" s="111"/>
      <c r="CQ33304" s="111"/>
      <c r="EF33304"/>
      <c r="EG33304"/>
      <c r="EH33304"/>
      <c r="EI33304"/>
      <c r="EJ33304"/>
      <c r="EK33304"/>
    </row>
    <row r="33305" spans="1:141" s="116" customFormat="1">
      <c r="A33305" s="136"/>
      <c r="CM33305" s="111"/>
      <c r="CQ33305" s="111"/>
      <c r="EF33305"/>
      <c r="EG33305"/>
      <c r="EH33305"/>
      <c r="EI33305"/>
      <c r="EJ33305"/>
      <c r="EK33305"/>
    </row>
    <row r="33306" spans="1:141" s="116" customFormat="1">
      <c r="A33306" s="136"/>
      <c r="CM33306" s="111"/>
      <c r="CQ33306" s="111"/>
      <c r="EF33306"/>
      <c r="EG33306"/>
      <c r="EH33306"/>
      <c r="EI33306"/>
      <c r="EJ33306"/>
      <c r="EK33306"/>
    </row>
    <row r="33307" spans="1:141" s="116" customFormat="1">
      <c r="A33307" s="136"/>
      <c r="CM33307" s="111"/>
      <c r="CQ33307" s="111"/>
      <c r="EF33307"/>
      <c r="EG33307"/>
      <c r="EH33307"/>
      <c r="EI33307"/>
      <c r="EJ33307"/>
      <c r="EK33307"/>
    </row>
    <row r="33308" spans="1:141" s="116" customFormat="1">
      <c r="A33308" s="136"/>
      <c r="CM33308" s="111"/>
      <c r="CQ33308" s="111"/>
      <c r="EF33308"/>
      <c r="EG33308"/>
      <c r="EH33308"/>
      <c r="EI33308"/>
      <c r="EJ33308"/>
      <c r="EK33308"/>
    </row>
    <row r="33309" spans="1:141" s="116" customFormat="1">
      <c r="A33309" s="136"/>
      <c r="CM33309" s="111"/>
      <c r="CQ33309" s="111"/>
      <c r="EF33309"/>
      <c r="EG33309"/>
      <c r="EH33309"/>
      <c r="EI33309"/>
      <c r="EJ33309"/>
      <c r="EK33309"/>
    </row>
    <row r="33310" spans="1:141" s="116" customFormat="1">
      <c r="A33310" s="136"/>
      <c r="CM33310" s="111"/>
      <c r="CQ33310" s="111"/>
      <c r="EF33310"/>
      <c r="EG33310"/>
      <c r="EH33310"/>
      <c r="EI33310"/>
      <c r="EJ33310"/>
      <c r="EK33310"/>
    </row>
    <row r="33311" spans="1:141" s="116" customFormat="1">
      <c r="A33311" s="136"/>
      <c r="CM33311" s="111"/>
      <c r="CQ33311" s="111"/>
      <c r="EF33311"/>
      <c r="EG33311"/>
      <c r="EH33311"/>
      <c r="EI33311"/>
      <c r="EJ33311"/>
      <c r="EK33311"/>
    </row>
    <row r="33312" spans="1:141" s="116" customFormat="1">
      <c r="A33312" s="136"/>
      <c r="CM33312" s="111"/>
      <c r="CQ33312" s="111"/>
      <c r="EF33312"/>
      <c r="EG33312"/>
      <c r="EH33312"/>
      <c r="EI33312"/>
      <c r="EJ33312"/>
      <c r="EK33312"/>
    </row>
    <row r="33313" spans="1:141" s="116" customFormat="1">
      <c r="A33313" s="136"/>
      <c r="CM33313" s="111"/>
      <c r="CQ33313" s="111"/>
      <c r="EF33313"/>
      <c r="EG33313"/>
      <c r="EH33313"/>
      <c r="EI33313"/>
      <c r="EJ33313"/>
      <c r="EK33313"/>
    </row>
    <row r="33314" spans="1:141" s="116" customFormat="1">
      <c r="A33314" s="136"/>
      <c r="CM33314" s="111"/>
      <c r="CQ33314" s="111"/>
      <c r="EF33314"/>
      <c r="EG33314"/>
      <c r="EH33314"/>
      <c r="EI33314"/>
      <c r="EJ33314"/>
      <c r="EK33314"/>
    </row>
    <row r="33315" spans="1:141" s="116" customFormat="1">
      <c r="A33315" s="136"/>
      <c r="CM33315" s="111"/>
      <c r="CQ33315" s="111"/>
      <c r="EF33315"/>
      <c r="EG33315"/>
      <c r="EH33315"/>
      <c r="EI33315"/>
      <c r="EJ33315"/>
      <c r="EK33315"/>
    </row>
    <row r="33316" spans="1:141" s="116" customFormat="1">
      <c r="A33316" s="136"/>
      <c r="CM33316" s="111"/>
      <c r="CQ33316" s="111"/>
      <c r="EF33316"/>
      <c r="EG33316"/>
      <c r="EH33316"/>
      <c r="EI33316"/>
      <c r="EJ33316"/>
      <c r="EK33316"/>
    </row>
    <row r="33317" spans="1:141" s="116" customFormat="1">
      <c r="A33317" s="136"/>
      <c r="CM33317" s="111"/>
      <c r="CQ33317" s="111"/>
      <c r="EF33317"/>
      <c r="EG33317"/>
      <c r="EH33317"/>
      <c r="EI33317"/>
      <c r="EJ33317"/>
      <c r="EK33317"/>
    </row>
    <row r="33318" spans="1:141" s="116" customFormat="1">
      <c r="A33318" s="136"/>
      <c r="CM33318" s="111"/>
      <c r="CQ33318" s="111"/>
      <c r="EF33318"/>
      <c r="EG33318"/>
      <c r="EH33318"/>
      <c r="EI33318"/>
      <c r="EJ33318"/>
      <c r="EK33318"/>
    </row>
    <row r="33319" spans="1:141" s="116" customFormat="1">
      <c r="A33319" s="136"/>
      <c r="CM33319" s="111"/>
      <c r="CQ33319" s="111"/>
      <c r="EF33319"/>
      <c r="EG33319"/>
      <c r="EH33319"/>
      <c r="EI33319"/>
      <c r="EJ33319"/>
      <c r="EK33319"/>
    </row>
    <row r="33320" spans="1:141" s="116" customFormat="1">
      <c r="A33320" s="136"/>
      <c r="CM33320" s="111"/>
      <c r="CQ33320" s="111"/>
      <c r="EF33320"/>
      <c r="EG33320"/>
      <c r="EH33320"/>
      <c r="EI33320"/>
      <c r="EJ33320"/>
      <c r="EK33320"/>
    </row>
    <row r="33321" spans="1:141" s="116" customFormat="1">
      <c r="A33321" s="136"/>
      <c r="CM33321" s="111"/>
      <c r="CQ33321" s="111"/>
      <c r="EF33321"/>
      <c r="EG33321"/>
      <c r="EH33321"/>
      <c r="EI33321"/>
      <c r="EJ33321"/>
      <c r="EK33321"/>
    </row>
    <row r="33322" spans="1:141" s="116" customFormat="1">
      <c r="A33322" s="136"/>
      <c r="CM33322" s="111"/>
      <c r="CQ33322" s="111"/>
      <c r="EF33322"/>
      <c r="EG33322"/>
      <c r="EH33322"/>
      <c r="EI33322"/>
      <c r="EJ33322"/>
      <c r="EK33322"/>
    </row>
    <row r="33323" spans="1:141" s="116" customFormat="1">
      <c r="A33323" s="136"/>
      <c r="CM33323" s="111"/>
      <c r="CQ33323" s="111"/>
      <c r="EF33323"/>
      <c r="EG33323"/>
      <c r="EH33323"/>
      <c r="EI33323"/>
      <c r="EJ33323"/>
      <c r="EK33323"/>
    </row>
    <row r="33324" spans="1:141" s="116" customFormat="1">
      <c r="A33324" s="136"/>
      <c r="CM33324" s="111"/>
      <c r="CQ33324" s="111"/>
      <c r="EF33324"/>
      <c r="EG33324"/>
      <c r="EH33324"/>
      <c r="EI33324"/>
      <c r="EJ33324"/>
      <c r="EK33324"/>
    </row>
    <row r="33325" spans="1:141" s="116" customFormat="1">
      <c r="A33325" s="136"/>
      <c r="CM33325" s="111"/>
      <c r="CQ33325" s="111"/>
      <c r="EF33325"/>
      <c r="EG33325"/>
      <c r="EH33325"/>
      <c r="EI33325"/>
      <c r="EJ33325"/>
      <c r="EK33325"/>
    </row>
    <row r="33326" spans="1:141" s="116" customFormat="1">
      <c r="A33326" s="136"/>
      <c r="CM33326" s="111"/>
      <c r="CQ33326" s="111"/>
      <c r="EF33326"/>
      <c r="EG33326"/>
      <c r="EH33326"/>
      <c r="EI33326"/>
      <c r="EJ33326"/>
      <c r="EK33326"/>
    </row>
    <row r="33327" spans="1:141" s="116" customFormat="1">
      <c r="A33327" s="136"/>
      <c r="CM33327" s="111"/>
      <c r="CQ33327" s="111"/>
      <c r="EF33327"/>
      <c r="EG33327"/>
      <c r="EH33327"/>
      <c r="EI33327"/>
      <c r="EJ33327"/>
      <c r="EK33327"/>
    </row>
    <row r="33328" spans="1:141" s="116" customFormat="1">
      <c r="A33328" s="136"/>
      <c r="CM33328" s="111"/>
      <c r="CQ33328" s="111"/>
      <c r="EF33328"/>
      <c r="EG33328"/>
      <c r="EH33328"/>
      <c r="EI33328"/>
      <c r="EJ33328"/>
      <c r="EK33328"/>
    </row>
    <row r="33329" spans="1:141" s="116" customFormat="1">
      <c r="A33329" s="136"/>
      <c r="CM33329" s="111"/>
      <c r="CQ33329" s="111"/>
      <c r="EF33329"/>
      <c r="EG33329"/>
      <c r="EH33329"/>
      <c r="EI33329"/>
      <c r="EJ33329"/>
      <c r="EK33329"/>
    </row>
    <row r="33330" spans="1:141" s="116" customFormat="1">
      <c r="A33330" s="136"/>
      <c r="CM33330" s="111"/>
      <c r="CQ33330" s="111"/>
      <c r="EF33330"/>
      <c r="EG33330"/>
      <c r="EH33330"/>
      <c r="EI33330"/>
      <c r="EJ33330"/>
      <c r="EK33330"/>
    </row>
    <row r="33331" spans="1:141" s="116" customFormat="1">
      <c r="A33331" s="136"/>
      <c r="CM33331" s="111"/>
      <c r="CQ33331" s="111"/>
      <c r="EF33331"/>
      <c r="EG33331"/>
      <c r="EH33331"/>
      <c r="EI33331"/>
      <c r="EJ33331"/>
      <c r="EK33331"/>
    </row>
    <row r="33332" spans="1:141" s="116" customFormat="1">
      <c r="A33332" s="136"/>
      <c r="CM33332" s="111"/>
      <c r="CQ33332" s="111"/>
      <c r="EF33332"/>
      <c r="EG33332"/>
      <c r="EH33332"/>
      <c r="EI33332"/>
      <c r="EJ33332"/>
      <c r="EK33332"/>
    </row>
    <row r="33333" spans="1:141" s="116" customFormat="1">
      <c r="A33333" s="136"/>
      <c r="CM33333" s="111"/>
      <c r="CQ33333" s="111"/>
      <c r="EF33333"/>
      <c r="EG33333"/>
      <c r="EH33333"/>
      <c r="EI33333"/>
      <c r="EJ33333"/>
      <c r="EK33333"/>
    </row>
    <row r="33334" spans="1:141" s="116" customFormat="1">
      <c r="A33334" s="136"/>
      <c r="CM33334" s="111"/>
      <c r="CQ33334" s="111"/>
      <c r="EF33334"/>
      <c r="EG33334"/>
      <c r="EH33334"/>
      <c r="EI33334"/>
      <c r="EJ33334"/>
      <c r="EK33334"/>
    </row>
    <row r="33335" spans="1:141" s="116" customFormat="1">
      <c r="A33335" s="136"/>
      <c r="CM33335" s="111"/>
      <c r="CQ33335" s="111"/>
      <c r="EF33335"/>
      <c r="EG33335"/>
      <c r="EH33335"/>
      <c r="EI33335"/>
      <c r="EJ33335"/>
      <c r="EK33335"/>
    </row>
    <row r="33336" spans="1:141" s="116" customFormat="1">
      <c r="A33336" s="136"/>
      <c r="CM33336" s="111"/>
      <c r="CQ33336" s="111"/>
      <c r="EF33336"/>
      <c r="EG33336"/>
      <c r="EH33336"/>
      <c r="EI33336"/>
      <c r="EJ33336"/>
      <c r="EK33336"/>
    </row>
    <row r="33337" spans="1:141" s="116" customFormat="1">
      <c r="A33337" s="136"/>
      <c r="CM33337" s="111"/>
      <c r="CQ33337" s="111"/>
      <c r="EF33337"/>
      <c r="EG33337"/>
      <c r="EH33337"/>
      <c r="EI33337"/>
      <c r="EJ33337"/>
      <c r="EK33337"/>
    </row>
    <row r="33338" spans="1:141" s="116" customFormat="1">
      <c r="A33338" s="136"/>
      <c r="CM33338" s="111"/>
      <c r="CQ33338" s="111"/>
      <c r="EF33338"/>
      <c r="EG33338"/>
      <c r="EH33338"/>
      <c r="EI33338"/>
      <c r="EJ33338"/>
      <c r="EK33338"/>
    </row>
    <row r="33339" spans="1:141" s="116" customFormat="1">
      <c r="A33339" s="136"/>
      <c r="CM33339" s="111"/>
      <c r="CQ33339" s="111"/>
      <c r="EF33339"/>
      <c r="EG33339"/>
      <c r="EH33339"/>
      <c r="EI33339"/>
      <c r="EJ33339"/>
      <c r="EK33339"/>
    </row>
    <row r="33340" spans="1:141" s="116" customFormat="1">
      <c r="A33340" s="136"/>
      <c r="CM33340" s="111"/>
      <c r="CQ33340" s="111"/>
      <c r="EF33340"/>
      <c r="EG33340"/>
      <c r="EH33340"/>
      <c r="EI33340"/>
      <c r="EJ33340"/>
      <c r="EK33340"/>
    </row>
    <row r="33341" spans="1:141" s="116" customFormat="1">
      <c r="A33341" s="136"/>
      <c r="CM33341" s="111"/>
      <c r="CQ33341" s="111"/>
      <c r="EF33341"/>
      <c r="EG33341"/>
      <c r="EH33341"/>
      <c r="EI33341"/>
      <c r="EJ33341"/>
      <c r="EK33341"/>
    </row>
    <row r="33342" spans="1:141" s="116" customFormat="1">
      <c r="A33342" s="136"/>
      <c r="CM33342" s="111"/>
      <c r="CQ33342" s="111"/>
      <c r="EF33342"/>
      <c r="EG33342"/>
      <c r="EH33342"/>
      <c r="EI33342"/>
      <c r="EJ33342"/>
      <c r="EK33342"/>
    </row>
    <row r="33343" spans="1:141" s="116" customFormat="1">
      <c r="A33343" s="136"/>
      <c r="CM33343" s="111"/>
      <c r="CQ33343" s="111"/>
      <c r="EF33343"/>
      <c r="EG33343"/>
      <c r="EH33343"/>
      <c r="EI33343"/>
      <c r="EJ33343"/>
      <c r="EK33343"/>
    </row>
    <row r="33344" spans="1:141" s="116" customFormat="1">
      <c r="A33344" s="136"/>
      <c r="CM33344" s="111"/>
      <c r="CQ33344" s="111"/>
      <c r="EF33344"/>
      <c r="EG33344"/>
      <c r="EH33344"/>
      <c r="EI33344"/>
      <c r="EJ33344"/>
      <c r="EK33344"/>
    </row>
    <row r="33345" spans="1:141" s="116" customFormat="1">
      <c r="A33345" s="136"/>
      <c r="CM33345" s="111"/>
      <c r="CQ33345" s="111"/>
      <c r="EF33345"/>
      <c r="EG33345"/>
      <c r="EH33345"/>
      <c r="EI33345"/>
      <c r="EJ33345"/>
      <c r="EK33345"/>
    </row>
    <row r="33346" spans="1:141" s="116" customFormat="1">
      <c r="A33346" s="136"/>
      <c r="CM33346" s="111"/>
      <c r="CQ33346" s="111"/>
      <c r="EF33346"/>
      <c r="EG33346"/>
      <c r="EH33346"/>
      <c r="EI33346"/>
      <c r="EJ33346"/>
      <c r="EK33346"/>
    </row>
    <row r="33347" spans="1:141" s="116" customFormat="1">
      <c r="A33347" s="136"/>
      <c r="CM33347" s="111"/>
      <c r="CQ33347" s="111"/>
      <c r="EF33347"/>
      <c r="EG33347"/>
      <c r="EH33347"/>
      <c r="EI33347"/>
      <c r="EJ33347"/>
      <c r="EK33347"/>
    </row>
    <row r="33348" spans="1:141" s="116" customFormat="1">
      <c r="A33348" s="136"/>
      <c r="CM33348" s="111"/>
      <c r="CQ33348" s="111"/>
      <c r="EF33348"/>
      <c r="EG33348"/>
      <c r="EH33348"/>
      <c r="EI33348"/>
      <c r="EJ33348"/>
      <c r="EK33348"/>
    </row>
    <row r="33349" spans="1:141" s="116" customFormat="1">
      <c r="A33349" s="136"/>
      <c r="CM33349" s="111"/>
      <c r="CQ33349" s="111"/>
      <c r="EF33349"/>
      <c r="EG33349"/>
      <c r="EH33349"/>
      <c r="EI33349"/>
      <c r="EJ33349"/>
      <c r="EK33349"/>
    </row>
    <row r="33350" spans="1:141" s="116" customFormat="1">
      <c r="A33350" s="136"/>
      <c r="CM33350" s="111"/>
      <c r="CQ33350" s="111"/>
      <c r="EF33350"/>
      <c r="EG33350"/>
      <c r="EH33350"/>
      <c r="EI33350"/>
      <c r="EJ33350"/>
      <c r="EK33350"/>
    </row>
    <row r="33351" spans="1:141" s="116" customFormat="1">
      <c r="A33351" s="136"/>
      <c r="CM33351" s="111"/>
      <c r="CQ33351" s="111"/>
      <c r="EF33351"/>
      <c r="EG33351"/>
      <c r="EH33351"/>
      <c r="EI33351"/>
      <c r="EJ33351"/>
      <c r="EK33351"/>
    </row>
    <row r="33352" spans="1:141" s="116" customFormat="1">
      <c r="A33352" s="136"/>
      <c r="CM33352" s="111"/>
      <c r="CQ33352" s="111"/>
      <c r="EF33352"/>
      <c r="EG33352"/>
      <c r="EH33352"/>
      <c r="EI33352"/>
      <c r="EJ33352"/>
      <c r="EK33352"/>
    </row>
    <row r="33353" spans="1:141" s="116" customFormat="1">
      <c r="A33353" s="136"/>
      <c r="CM33353" s="111"/>
      <c r="CQ33353" s="111"/>
      <c r="EF33353"/>
      <c r="EG33353"/>
      <c r="EH33353"/>
      <c r="EI33353"/>
      <c r="EJ33353"/>
      <c r="EK33353"/>
    </row>
    <row r="33354" spans="1:141" s="116" customFormat="1">
      <c r="A33354" s="136"/>
      <c r="CM33354" s="111"/>
      <c r="CQ33354" s="111"/>
      <c r="EF33354"/>
      <c r="EG33354"/>
      <c r="EH33354"/>
      <c r="EI33354"/>
      <c r="EJ33354"/>
      <c r="EK33354"/>
    </row>
    <row r="33355" spans="1:141" s="116" customFormat="1">
      <c r="A33355" s="136"/>
      <c r="CM33355" s="111"/>
      <c r="CQ33355" s="111"/>
      <c r="EF33355"/>
      <c r="EG33355"/>
      <c r="EH33355"/>
      <c r="EI33355"/>
      <c r="EJ33355"/>
      <c r="EK33355"/>
    </row>
    <row r="33356" spans="1:141" s="116" customFormat="1">
      <c r="A33356" s="136"/>
      <c r="CM33356" s="111"/>
      <c r="CQ33356" s="111"/>
      <c r="EF33356"/>
      <c r="EG33356"/>
      <c r="EH33356"/>
      <c r="EI33356"/>
      <c r="EJ33356"/>
      <c r="EK33356"/>
    </row>
    <row r="33357" spans="1:141" s="116" customFormat="1">
      <c r="A33357" s="136"/>
      <c r="CM33357" s="111"/>
      <c r="CQ33357" s="111"/>
      <c r="EF33357"/>
      <c r="EG33357"/>
      <c r="EH33357"/>
      <c r="EI33357"/>
      <c r="EJ33357"/>
      <c r="EK33357"/>
    </row>
    <row r="33358" spans="1:141" s="116" customFormat="1">
      <c r="A33358" s="136"/>
      <c r="CM33358" s="111"/>
      <c r="CQ33358" s="111"/>
      <c r="EF33358"/>
      <c r="EG33358"/>
      <c r="EH33358"/>
      <c r="EI33358"/>
      <c r="EJ33358"/>
      <c r="EK33358"/>
    </row>
    <row r="33359" spans="1:141" s="116" customFormat="1">
      <c r="A33359" s="136"/>
      <c r="CM33359" s="111"/>
      <c r="CQ33359" s="111"/>
      <c r="EF33359"/>
      <c r="EG33359"/>
      <c r="EH33359"/>
      <c r="EI33359"/>
      <c r="EJ33359"/>
      <c r="EK33359"/>
    </row>
    <row r="33360" spans="1:141" s="116" customFormat="1">
      <c r="A33360" s="136"/>
      <c r="CM33360" s="111"/>
      <c r="CQ33360" s="111"/>
      <c r="EF33360"/>
      <c r="EG33360"/>
      <c r="EH33360"/>
      <c r="EI33360"/>
      <c r="EJ33360"/>
      <c r="EK33360"/>
    </row>
    <row r="33361" spans="1:141" s="116" customFormat="1">
      <c r="A33361" s="136"/>
      <c r="CM33361" s="111"/>
      <c r="CQ33361" s="111"/>
      <c r="EF33361"/>
      <c r="EG33361"/>
      <c r="EH33361"/>
      <c r="EI33361"/>
      <c r="EJ33361"/>
      <c r="EK33361"/>
    </row>
    <row r="33362" spans="1:141" s="116" customFormat="1">
      <c r="A33362" s="136"/>
      <c r="CM33362" s="111"/>
      <c r="CQ33362" s="111"/>
      <c r="EF33362"/>
      <c r="EG33362"/>
      <c r="EH33362"/>
      <c r="EI33362"/>
      <c r="EJ33362"/>
      <c r="EK33362"/>
    </row>
    <row r="33363" spans="1:141" s="116" customFormat="1">
      <c r="A33363" s="136"/>
      <c r="CM33363" s="111"/>
      <c r="CQ33363" s="111"/>
      <c r="EF33363"/>
      <c r="EG33363"/>
      <c r="EH33363"/>
      <c r="EI33363"/>
      <c r="EJ33363"/>
      <c r="EK33363"/>
    </row>
    <row r="33364" spans="1:141" s="116" customFormat="1">
      <c r="A33364" s="136"/>
      <c r="CM33364" s="111"/>
      <c r="CQ33364" s="111"/>
      <c r="EF33364"/>
      <c r="EG33364"/>
      <c r="EH33364"/>
      <c r="EI33364"/>
      <c r="EJ33364"/>
      <c r="EK33364"/>
    </row>
    <row r="33365" spans="1:141" s="116" customFormat="1">
      <c r="A33365" s="136"/>
      <c r="CM33365" s="111"/>
      <c r="CQ33365" s="111"/>
      <c r="EF33365"/>
      <c r="EG33365"/>
      <c r="EH33365"/>
      <c r="EI33365"/>
      <c r="EJ33365"/>
      <c r="EK33365"/>
    </row>
    <row r="33366" spans="1:141" s="116" customFormat="1">
      <c r="A33366" s="136"/>
      <c r="CM33366" s="111"/>
      <c r="CQ33366" s="111"/>
      <c r="EF33366"/>
      <c r="EG33366"/>
      <c r="EH33366"/>
      <c r="EI33366"/>
      <c r="EJ33366"/>
      <c r="EK33366"/>
    </row>
    <row r="33367" spans="1:141" s="116" customFormat="1">
      <c r="A33367" s="136"/>
      <c r="CM33367" s="111"/>
      <c r="CQ33367" s="111"/>
      <c r="EF33367"/>
      <c r="EG33367"/>
      <c r="EH33367"/>
      <c r="EI33367"/>
      <c r="EJ33367"/>
      <c r="EK33367"/>
    </row>
    <row r="33368" spans="1:141" s="116" customFormat="1">
      <c r="A33368" s="136"/>
      <c r="CM33368" s="111"/>
      <c r="CQ33368" s="111"/>
      <c r="EF33368"/>
      <c r="EG33368"/>
      <c r="EH33368"/>
      <c r="EI33368"/>
      <c r="EJ33368"/>
      <c r="EK33368"/>
    </row>
    <row r="33369" spans="1:141" s="116" customFormat="1">
      <c r="A33369" s="136"/>
      <c r="CM33369" s="111"/>
      <c r="CQ33369" s="111"/>
      <c r="EF33369"/>
      <c r="EG33369"/>
      <c r="EH33369"/>
      <c r="EI33369"/>
      <c r="EJ33369"/>
      <c r="EK33369"/>
    </row>
    <row r="33370" spans="1:141" s="116" customFormat="1">
      <c r="A33370" s="136"/>
      <c r="CM33370" s="111"/>
      <c r="CQ33370" s="111"/>
      <c r="EF33370"/>
      <c r="EG33370"/>
      <c r="EH33370"/>
      <c r="EI33370"/>
      <c r="EJ33370"/>
      <c r="EK33370"/>
    </row>
    <row r="33371" spans="1:141" s="116" customFormat="1">
      <c r="A33371" s="136"/>
      <c r="CM33371" s="111"/>
      <c r="CQ33371" s="111"/>
      <c r="EF33371"/>
      <c r="EG33371"/>
      <c r="EH33371"/>
      <c r="EI33371"/>
      <c r="EJ33371"/>
      <c r="EK33371"/>
    </row>
    <row r="33372" spans="1:141" s="116" customFormat="1">
      <c r="A33372" s="136"/>
      <c r="CM33372" s="111"/>
      <c r="CQ33372" s="111"/>
      <c r="EF33372"/>
      <c r="EG33372"/>
      <c r="EH33372"/>
      <c r="EI33372"/>
      <c r="EJ33372"/>
      <c r="EK33372"/>
    </row>
    <row r="33373" spans="1:141" s="116" customFormat="1">
      <c r="A33373" s="136"/>
      <c r="CM33373" s="111"/>
      <c r="CQ33373" s="111"/>
      <c r="EF33373"/>
      <c r="EG33373"/>
      <c r="EH33373"/>
      <c r="EI33373"/>
      <c r="EJ33373"/>
      <c r="EK33373"/>
    </row>
    <row r="33374" spans="1:141" s="116" customFormat="1">
      <c r="A33374" s="136"/>
      <c r="CM33374" s="111"/>
      <c r="CQ33374" s="111"/>
      <c r="EF33374"/>
      <c r="EG33374"/>
      <c r="EH33374"/>
      <c r="EI33374"/>
      <c r="EJ33374"/>
      <c r="EK33374"/>
    </row>
    <row r="33375" spans="1:141" s="116" customFormat="1">
      <c r="A33375" s="136"/>
      <c r="CM33375" s="111"/>
      <c r="CQ33375" s="111"/>
      <c r="EF33375"/>
      <c r="EG33375"/>
      <c r="EH33375"/>
      <c r="EI33375"/>
      <c r="EJ33375"/>
      <c r="EK33375"/>
    </row>
    <row r="33376" spans="1:141" s="116" customFormat="1">
      <c r="A33376" s="136"/>
      <c r="CM33376" s="111"/>
      <c r="CQ33376" s="111"/>
      <c r="EF33376"/>
      <c r="EG33376"/>
      <c r="EH33376"/>
      <c r="EI33376"/>
      <c r="EJ33376"/>
      <c r="EK33376"/>
    </row>
    <row r="33377" spans="1:141" s="116" customFormat="1">
      <c r="A33377" s="136"/>
      <c r="CM33377" s="111"/>
      <c r="CQ33377" s="111"/>
      <c r="EF33377"/>
      <c r="EG33377"/>
      <c r="EH33377"/>
      <c r="EI33377"/>
      <c r="EJ33377"/>
      <c r="EK33377"/>
    </row>
    <row r="33378" spans="1:141" s="116" customFormat="1">
      <c r="A33378" s="136"/>
      <c r="CM33378" s="111"/>
      <c r="CQ33378" s="111"/>
      <c r="EF33378"/>
      <c r="EG33378"/>
      <c r="EH33378"/>
      <c r="EI33378"/>
      <c r="EJ33378"/>
      <c r="EK33378"/>
    </row>
    <row r="33379" spans="1:141" s="116" customFormat="1">
      <c r="A33379" s="136"/>
      <c r="CM33379" s="111"/>
      <c r="CQ33379" s="111"/>
      <c r="EF33379"/>
      <c r="EG33379"/>
      <c r="EH33379"/>
      <c r="EI33379"/>
      <c r="EJ33379"/>
      <c r="EK33379"/>
    </row>
    <row r="33380" spans="1:141" s="116" customFormat="1">
      <c r="A33380" s="136"/>
      <c r="CM33380" s="111"/>
      <c r="CQ33380" s="111"/>
      <c r="EF33380"/>
      <c r="EG33380"/>
      <c r="EH33380"/>
      <c r="EI33380"/>
      <c r="EJ33380"/>
      <c r="EK33380"/>
    </row>
    <row r="33381" spans="1:141" s="116" customFormat="1">
      <c r="A33381" s="136"/>
      <c r="CM33381" s="111"/>
      <c r="CQ33381" s="111"/>
      <c r="EF33381"/>
      <c r="EG33381"/>
      <c r="EH33381"/>
      <c r="EI33381"/>
      <c r="EJ33381"/>
      <c r="EK33381"/>
    </row>
    <row r="33382" spans="1:141" s="116" customFormat="1">
      <c r="A33382" s="136"/>
      <c r="CM33382" s="111"/>
      <c r="CQ33382" s="111"/>
      <c r="EF33382"/>
      <c r="EG33382"/>
      <c r="EH33382"/>
      <c r="EI33382"/>
      <c r="EJ33382"/>
      <c r="EK33382"/>
    </row>
    <row r="33383" spans="1:141" s="116" customFormat="1">
      <c r="A33383" s="136"/>
      <c r="CM33383" s="111"/>
      <c r="CQ33383" s="111"/>
      <c r="EF33383"/>
      <c r="EG33383"/>
      <c r="EH33383"/>
      <c r="EI33383"/>
      <c r="EJ33383"/>
      <c r="EK33383"/>
    </row>
    <row r="33384" spans="1:141" s="116" customFormat="1">
      <c r="A33384" s="136"/>
      <c r="CM33384" s="111"/>
      <c r="CQ33384" s="111"/>
      <c r="EF33384"/>
      <c r="EG33384"/>
      <c r="EH33384"/>
      <c r="EI33384"/>
      <c r="EJ33384"/>
      <c r="EK33384"/>
    </row>
    <row r="33385" spans="1:141" s="116" customFormat="1">
      <c r="A33385" s="136"/>
      <c r="CM33385" s="111"/>
      <c r="CQ33385" s="111"/>
      <c r="EF33385"/>
      <c r="EG33385"/>
      <c r="EH33385"/>
      <c r="EI33385"/>
      <c r="EJ33385"/>
      <c r="EK33385"/>
    </row>
    <row r="33386" spans="1:141" s="116" customFormat="1">
      <c r="A33386" s="136"/>
      <c r="CM33386" s="111"/>
      <c r="CQ33386" s="111"/>
      <c r="EF33386"/>
      <c r="EG33386"/>
      <c r="EH33386"/>
      <c r="EI33386"/>
      <c r="EJ33386"/>
      <c r="EK33386"/>
    </row>
    <row r="33387" spans="1:141" s="116" customFormat="1">
      <c r="A33387" s="136"/>
      <c r="CM33387" s="111"/>
      <c r="CQ33387" s="111"/>
      <c r="EF33387"/>
      <c r="EG33387"/>
      <c r="EH33387"/>
      <c r="EI33387"/>
      <c r="EJ33387"/>
      <c r="EK33387"/>
    </row>
    <row r="33388" spans="1:141" s="116" customFormat="1">
      <c r="A33388" s="136"/>
      <c r="CM33388" s="111"/>
      <c r="CQ33388" s="111"/>
      <c r="EF33388"/>
      <c r="EG33388"/>
      <c r="EH33388"/>
      <c r="EI33388"/>
      <c r="EJ33388"/>
      <c r="EK33388"/>
    </row>
    <row r="33389" spans="1:141" s="116" customFormat="1">
      <c r="A33389" s="136"/>
      <c r="CM33389" s="111"/>
      <c r="CQ33389" s="111"/>
      <c r="EF33389"/>
      <c r="EG33389"/>
      <c r="EH33389"/>
      <c r="EI33389"/>
      <c r="EJ33389"/>
      <c r="EK33389"/>
    </row>
    <row r="33390" spans="1:141" s="116" customFormat="1">
      <c r="A33390" s="136"/>
      <c r="CM33390" s="111"/>
      <c r="CQ33390" s="111"/>
      <c r="EF33390"/>
      <c r="EG33390"/>
      <c r="EH33390"/>
      <c r="EI33390"/>
      <c r="EJ33390"/>
      <c r="EK33390"/>
    </row>
    <row r="33391" spans="1:141" s="116" customFormat="1">
      <c r="A33391" s="136"/>
      <c r="CM33391" s="111"/>
      <c r="CQ33391" s="111"/>
      <c r="EF33391"/>
      <c r="EG33391"/>
      <c r="EH33391"/>
      <c r="EI33391"/>
      <c r="EJ33391"/>
      <c r="EK33391"/>
    </row>
    <row r="33392" spans="1:141" s="116" customFormat="1">
      <c r="A33392" s="136"/>
      <c r="CM33392" s="111"/>
      <c r="CQ33392" s="111"/>
      <c r="EF33392"/>
      <c r="EG33392"/>
      <c r="EH33392"/>
      <c r="EI33392"/>
      <c r="EJ33392"/>
      <c r="EK33392"/>
    </row>
    <row r="33393" spans="1:141" s="116" customFormat="1">
      <c r="A33393" s="136"/>
      <c r="CM33393" s="111"/>
      <c r="CQ33393" s="111"/>
      <c r="EF33393"/>
      <c r="EG33393"/>
      <c r="EH33393"/>
      <c r="EI33393"/>
      <c r="EJ33393"/>
      <c r="EK33393"/>
    </row>
    <row r="33394" spans="1:141" s="116" customFormat="1">
      <c r="A33394" s="136"/>
      <c r="CM33394" s="111"/>
      <c r="CQ33394" s="111"/>
      <c r="EF33394"/>
      <c r="EG33394"/>
      <c r="EH33394"/>
      <c r="EI33394"/>
      <c r="EJ33394"/>
      <c r="EK33394"/>
    </row>
    <row r="33395" spans="1:141" s="116" customFormat="1">
      <c r="A33395" s="136"/>
      <c r="CM33395" s="111"/>
      <c r="CQ33395" s="111"/>
      <c r="EF33395"/>
      <c r="EG33395"/>
      <c r="EH33395"/>
      <c r="EI33395"/>
      <c r="EJ33395"/>
      <c r="EK33395"/>
    </row>
    <row r="33396" spans="1:141" s="116" customFormat="1">
      <c r="A33396" s="136"/>
      <c r="CM33396" s="111"/>
      <c r="CQ33396" s="111"/>
      <c r="EF33396"/>
      <c r="EG33396"/>
      <c r="EH33396"/>
      <c r="EI33396"/>
      <c r="EJ33396"/>
      <c r="EK33396"/>
    </row>
    <row r="33397" spans="1:141" s="116" customFormat="1">
      <c r="A33397" s="136"/>
      <c r="CM33397" s="111"/>
      <c r="CQ33397" s="111"/>
      <c r="EF33397"/>
      <c r="EG33397"/>
      <c r="EH33397"/>
      <c r="EI33397"/>
      <c r="EJ33397"/>
      <c r="EK33397"/>
    </row>
    <row r="33398" spans="1:141" s="116" customFormat="1">
      <c r="A33398" s="136"/>
      <c r="CM33398" s="111"/>
      <c r="CQ33398" s="111"/>
      <c r="EF33398"/>
      <c r="EG33398"/>
      <c r="EH33398"/>
      <c r="EI33398"/>
      <c r="EJ33398"/>
      <c r="EK33398"/>
    </row>
    <row r="33399" spans="1:141" s="116" customFormat="1">
      <c r="A33399" s="136"/>
      <c r="CM33399" s="111"/>
      <c r="CQ33399" s="111"/>
      <c r="EF33399"/>
      <c r="EG33399"/>
      <c r="EH33399"/>
      <c r="EI33399"/>
      <c r="EJ33399"/>
      <c r="EK33399"/>
    </row>
    <row r="33400" spans="1:141" s="116" customFormat="1">
      <c r="A33400" s="136"/>
      <c r="CM33400" s="111"/>
      <c r="CQ33400" s="111"/>
      <c r="EF33400"/>
      <c r="EG33400"/>
      <c r="EH33400"/>
      <c r="EI33400"/>
      <c r="EJ33400"/>
      <c r="EK33400"/>
    </row>
    <row r="33401" spans="1:141" s="116" customFormat="1">
      <c r="A33401" s="136"/>
      <c r="CM33401" s="111"/>
      <c r="CQ33401" s="111"/>
      <c r="EF33401"/>
      <c r="EG33401"/>
      <c r="EH33401"/>
      <c r="EI33401"/>
      <c r="EJ33401"/>
      <c r="EK33401"/>
    </row>
    <row r="33402" spans="1:141" s="116" customFormat="1">
      <c r="A33402" s="136"/>
      <c r="CM33402" s="111"/>
      <c r="CQ33402" s="111"/>
      <c r="EF33402"/>
      <c r="EG33402"/>
      <c r="EH33402"/>
      <c r="EI33402"/>
      <c r="EJ33402"/>
      <c r="EK33402"/>
    </row>
    <row r="33403" spans="1:141" s="116" customFormat="1">
      <c r="A33403" s="136"/>
      <c r="CM33403" s="111"/>
      <c r="CQ33403" s="111"/>
      <c r="EF33403"/>
      <c r="EG33403"/>
      <c r="EH33403"/>
      <c r="EI33403"/>
      <c r="EJ33403"/>
      <c r="EK33403"/>
    </row>
    <row r="33404" spans="1:141" s="116" customFormat="1">
      <c r="A33404" s="136"/>
      <c r="CM33404" s="111"/>
      <c r="CQ33404" s="111"/>
      <c r="EF33404"/>
      <c r="EG33404"/>
      <c r="EH33404"/>
      <c r="EI33404"/>
      <c r="EJ33404"/>
      <c r="EK33404"/>
    </row>
    <row r="33405" spans="1:141" s="116" customFormat="1">
      <c r="A33405" s="136"/>
      <c r="CM33405" s="111"/>
      <c r="CQ33405" s="111"/>
      <c r="EF33405"/>
      <c r="EG33405"/>
      <c r="EH33405"/>
      <c r="EI33405"/>
      <c r="EJ33405"/>
      <c r="EK33405"/>
    </row>
    <row r="33406" spans="1:141" s="116" customFormat="1">
      <c r="A33406" s="136"/>
      <c r="CM33406" s="111"/>
      <c r="CQ33406" s="111"/>
      <c r="EF33406"/>
      <c r="EG33406"/>
      <c r="EH33406"/>
      <c r="EI33406"/>
      <c r="EJ33406"/>
      <c r="EK33406"/>
    </row>
    <row r="33407" spans="1:141" s="116" customFormat="1">
      <c r="A33407" s="136"/>
      <c r="CM33407" s="111"/>
      <c r="CQ33407" s="111"/>
      <c r="EF33407"/>
      <c r="EG33407"/>
      <c r="EH33407"/>
      <c r="EI33407"/>
      <c r="EJ33407"/>
      <c r="EK33407"/>
    </row>
    <row r="33408" spans="1:141" s="116" customFormat="1">
      <c r="A33408" s="136"/>
      <c r="CM33408" s="111"/>
      <c r="CQ33408" s="111"/>
      <c r="EF33408"/>
      <c r="EG33408"/>
      <c r="EH33408"/>
      <c r="EI33408"/>
      <c r="EJ33408"/>
      <c r="EK33408"/>
    </row>
    <row r="33409" spans="1:141" s="116" customFormat="1">
      <c r="A33409" s="136"/>
      <c r="CM33409" s="111"/>
      <c r="CQ33409" s="111"/>
      <c r="EF33409"/>
      <c r="EG33409"/>
      <c r="EH33409"/>
      <c r="EI33409"/>
      <c r="EJ33409"/>
      <c r="EK33409"/>
    </row>
    <row r="33410" spans="1:141" s="116" customFormat="1">
      <c r="A33410" s="136"/>
      <c r="CM33410" s="111"/>
      <c r="CQ33410" s="111"/>
      <c r="EF33410"/>
      <c r="EG33410"/>
      <c r="EH33410"/>
      <c r="EI33410"/>
      <c r="EJ33410"/>
      <c r="EK33410"/>
    </row>
    <row r="33411" spans="1:141" s="116" customFormat="1">
      <c r="A33411" s="136"/>
      <c r="CM33411" s="111"/>
      <c r="CQ33411" s="111"/>
      <c r="EF33411"/>
      <c r="EG33411"/>
      <c r="EH33411"/>
      <c r="EI33411"/>
      <c r="EJ33411"/>
      <c r="EK33411"/>
    </row>
    <row r="33412" spans="1:141" s="116" customFormat="1">
      <c r="A33412" s="136"/>
      <c r="CM33412" s="111"/>
      <c r="CQ33412" s="111"/>
      <c r="EF33412"/>
      <c r="EG33412"/>
      <c r="EH33412"/>
      <c r="EI33412"/>
      <c r="EJ33412"/>
      <c r="EK33412"/>
    </row>
    <row r="33413" spans="1:141" s="116" customFormat="1">
      <c r="A33413" s="136"/>
      <c r="CM33413" s="111"/>
      <c r="CQ33413" s="111"/>
      <c r="EF33413"/>
      <c r="EG33413"/>
      <c r="EH33413"/>
      <c r="EI33413"/>
      <c r="EJ33413"/>
      <c r="EK33413"/>
    </row>
    <row r="33414" spans="1:141" s="116" customFormat="1">
      <c r="A33414" s="136"/>
      <c r="CM33414" s="111"/>
      <c r="CQ33414" s="111"/>
      <c r="EF33414"/>
      <c r="EG33414"/>
      <c r="EH33414"/>
      <c r="EI33414"/>
      <c r="EJ33414"/>
      <c r="EK33414"/>
    </row>
    <row r="33415" spans="1:141" s="116" customFormat="1">
      <c r="A33415" s="136"/>
      <c r="CM33415" s="111"/>
      <c r="CQ33415" s="111"/>
      <c r="EF33415"/>
      <c r="EG33415"/>
      <c r="EH33415"/>
      <c r="EI33415"/>
      <c r="EJ33415"/>
      <c r="EK33415"/>
    </row>
    <row r="33416" spans="1:141" s="116" customFormat="1">
      <c r="A33416" s="136"/>
      <c r="CM33416" s="111"/>
      <c r="CQ33416" s="111"/>
      <c r="EF33416"/>
      <c r="EG33416"/>
      <c r="EH33416"/>
      <c r="EI33416"/>
      <c r="EJ33416"/>
      <c r="EK33416"/>
    </row>
    <row r="33417" spans="1:141" s="116" customFormat="1">
      <c r="A33417" s="136"/>
      <c r="CM33417" s="111"/>
      <c r="CQ33417" s="111"/>
      <c r="EF33417"/>
      <c r="EG33417"/>
      <c r="EH33417"/>
      <c r="EI33417"/>
      <c r="EJ33417"/>
      <c r="EK33417"/>
    </row>
    <row r="33418" spans="1:141" s="116" customFormat="1">
      <c r="A33418" s="136"/>
      <c r="CM33418" s="111"/>
      <c r="CQ33418" s="111"/>
      <c r="EF33418"/>
      <c r="EG33418"/>
      <c r="EH33418"/>
      <c r="EI33418"/>
      <c r="EJ33418"/>
      <c r="EK33418"/>
    </row>
    <row r="33419" spans="1:141" s="116" customFormat="1">
      <c r="A33419" s="136"/>
      <c r="CM33419" s="111"/>
      <c r="CQ33419" s="111"/>
      <c r="EF33419"/>
      <c r="EG33419"/>
      <c r="EH33419"/>
      <c r="EI33419"/>
      <c r="EJ33419"/>
      <c r="EK33419"/>
    </row>
    <row r="33420" spans="1:141" s="116" customFormat="1">
      <c r="A33420" s="136"/>
      <c r="CM33420" s="111"/>
      <c r="CQ33420" s="111"/>
      <c r="EF33420"/>
      <c r="EG33420"/>
      <c r="EH33420"/>
      <c r="EI33420"/>
      <c r="EJ33420"/>
      <c r="EK33420"/>
    </row>
    <row r="33421" spans="1:141" s="116" customFormat="1">
      <c r="A33421" s="136"/>
      <c r="CM33421" s="111"/>
      <c r="CQ33421" s="111"/>
      <c r="EF33421"/>
      <c r="EG33421"/>
      <c r="EH33421"/>
      <c r="EI33421"/>
      <c r="EJ33421"/>
      <c r="EK33421"/>
    </row>
    <row r="33422" spans="1:141" s="116" customFormat="1">
      <c r="A33422" s="136"/>
      <c r="CM33422" s="111"/>
      <c r="CQ33422" s="111"/>
      <c r="EF33422"/>
      <c r="EG33422"/>
      <c r="EH33422"/>
      <c r="EI33422"/>
      <c r="EJ33422"/>
      <c r="EK33422"/>
    </row>
    <row r="33423" spans="1:141" s="116" customFormat="1">
      <c r="A33423" s="136"/>
      <c r="CM33423" s="111"/>
      <c r="CQ33423" s="111"/>
      <c r="EF33423"/>
      <c r="EG33423"/>
      <c r="EH33423"/>
      <c r="EI33423"/>
      <c r="EJ33423"/>
      <c r="EK33423"/>
    </row>
    <row r="33424" spans="1:141" s="116" customFormat="1">
      <c r="A33424" s="136"/>
      <c r="CM33424" s="111"/>
      <c r="CQ33424" s="111"/>
      <c r="EF33424"/>
      <c r="EG33424"/>
      <c r="EH33424"/>
      <c r="EI33424"/>
      <c r="EJ33424"/>
      <c r="EK33424"/>
    </row>
    <row r="33425" spans="1:141" s="116" customFormat="1">
      <c r="A33425" s="136"/>
      <c r="CM33425" s="111"/>
      <c r="CQ33425" s="111"/>
      <c r="EF33425"/>
      <c r="EG33425"/>
      <c r="EH33425"/>
      <c r="EI33425"/>
      <c r="EJ33425"/>
      <c r="EK33425"/>
    </row>
    <row r="33426" spans="1:141" s="116" customFormat="1">
      <c r="A33426" s="136"/>
      <c r="CM33426" s="111"/>
      <c r="CQ33426" s="111"/>
      <c r="EF33426"/>
      <c r="EG33426"/>
      <c r="EH33426"/>
      <c r="EI33426"/>
      <c r="EJ33426"/>
      <c r="EK33426"/>
    </row>
    <row r="33427" spans="1:141" s="116" customFormat="1">
      <c r="A33427" s="136"/>
      <c r="CM33427" s="111"/>
      <c r="CQ33427" s="111"/>
      <c r="EF33427"/>
      <c r="EG33427"/>
      <c r="EH33427"/>
      <c r="EI33427"/>
      <c r="EJ33427"/>
      <c r="EK33427"/>
    </row>
    <row r="33428" spans="1:141" s="116" customFormat="1">
      <c r="A33428" s="136"/>
      <c r="CM33428" s="111"/>
      <c r="CQ33428" s="111"/>
      <c r="EF33428"/>
      <c r="EG33428"/>
      <c r="EH33428"/>
      <c r="EI33428"/>
      <c r="EJ33428"/>
      <c r="EK33428"/>
    </row>
    <row r="33429" spans="1:141" s="116" customFormat="1">
      <c r="A33429" s="136"/>
      <c r="CM33429" s="111"/>
      <c r="CQ33429" s="111"/>
      <c r="EF33429"/>
      <c r="EG33429"/>
      <c r="EH33429"/>
      <c r="EI33429"/>
      <c r="EJ33429"/>
      <c r="EK33429"/>
    </row>
    <row r="33430" spans="1:141" s="116" customFormat="1">
      <c r="A33430" s="136"/>
      <c r="CM33430" s="111"/>
      <c r="CQ33430" s="111"/>
      <c r="EF33430"/>
      <c r="EG33430"/>
      <c r="EH33430"/>
      <c r="EI33430"/>
      <c r="EJ33430"/>
      <c r="EK33430"/>
    </row>
    <row r="33431" spans="1:141" s="116" customFormat="1">
      <c r="A33431" s="136"/>
      <c r="CM33431" s="111"/>
      <c r="CQ33431" s="111"/>
      <c r="EF33431"/>
      <c r="EG33431"/>
      <c r="EH33431"/>
      <c r="EI33431"/>
      <c r="EJ33431"/>
      <c r="EK33431"/>
    </row>
    <row r="33432" spans="1:141" s="116" customFormat="1">
      <c r="A33432" s="136"/>
      <c r="CM33432" s="111"/>
      <c r="CQ33432" s="111"/>
      <c r="EF33432"/>
      <c r="EG33432"/>
      <c r="EH33432"/>
      <c r="EI33432"/>
      <c r="EJ33432"/>
      <c r="EK33432"/>
    </row>
    <row r="33433" spans="1:141" s="116" customFormat="1">
      <c r="A33433" s="136"/>
      <c r="CM33433" s="111"/>
      <c r="CQ33433" s="111"/>
      <c r="EF33433"/>
      <c r="EG33433"/>
      <c r="EH33433"/>
      <c r="EI33433"/>
      <c r="EJ33433"/>
      <c r="EK33433"/>
    </row>
    <row r="33434" spans="1:141" s="116" customFormat="1">
      <c r="A33434" s="136"/>
      <c r="CM33434" s="111"/>
      <c r="CQ33434" s="111"/>
      <c r="EF33434"/>
      <c r="EG33434"/>
      <c r="EH33434"/>
      <c r="EI33434"/>
      <c r="EJ33434"/>
      <c r="EK33434"/>
    </row>
    <row r="33435" spans="1:141" s="116" customFormat="1">
      <c r="A33435" s="136"/>
      <c r="CM33435" s="111"/>
      <c r="CQ33435" s="111"/>
      <c r="EF33435"/>
      <c r="EG33435"/>
      <c r="EH33435"/>
      <c r="EI33435"/>
      <c r="EJ33435"/>
      <c r="EK33435"/>
    </row>
    <row r="33436" spans="1:141" s="116" customFormat="1">
      <c r="A33436" s="136"/>
      <c r="CM33436" s="111"/>
      <c r="CQ33436" s="111"/>
      <c r="EF33436"/>
      <c r="EG33436"/>
      <c r="EH33436"/>
      <c r="EI33436"/>
      <c r="EJ33436"/>
      <c r="EK33436"/>
    </row>
    <row r="33437" spans="1:141" s="116" customFormat="1">
      <c r="A33437" s="136"/>
      <c r="CM33437" s="111"/>
      <c r="CQ33437" s="111"/>
      <c r="EF33437"/>
      <c r="EG33437"/>
      <c r="EH33437"/>
      <c r="EI33437"/>
      <c r="EJ33437"/>
      <c r="EK33437"/>
    </row>
    <row r="33438" spans="1:141" s="116" customFormat="1">
      <c r="A33438" s="136"/>
      <c r="CM33438" s="111"/>
      <c r="CQ33438" s="111"/>
      <c r="EF33438"/>
      <c r="EG33438"/>
      <c r="EH33438"/>
      <c r="EI33438"/>
      <c r="EJ33438"/>
      <c r="EK33438"/>
    </row>
    <row r="33439" spans="1:141" s="116" customFormat="1">
      <c r="A33439" s="136"/>
      <c r="CM33439" s="111"/>
      <c r="CQ33439" s="111"/>
      <c r="EF33439"/>
      <c r="EG33439"/>
      <c r="EH33439"/>
      <c r="EI33439"/>
      <c r="EJ33439"/>
      <c r="EK33439"/>
    </row>
    <row r="33440" spans="1:141" s="116" customFormat="1">
      <c r="A33440" s="136"/>
      <c r="CM33440" s="111"/>
      <c r="CQ33440" s="111"/>
      <c r="EF33440"/>
      <c r="EG33440"/>
      <c r="EH33440"/>
      <c r="EI33440"/>
      <c r="EJ33440"/>
      <c r="EK33440"/>
    </row>
    <row r="33441" spans="1:141" s="116" customFormat="1">
      <c r="A33441" s="136"/>
      <c r="CM33441" s="111"/>
      <c r="CQ33441" s="111"/>
      <c r="EF33441"/>
      <c r="EG33441"/>
      <c r="EH33441"/>
      <c r="EI33441"/>
      <c r="EJ33441"/>
      <c r="EK33441"/>
    </row>
    <row r="33442" spans="1:141" s="116" customFormat="1">
      <c r="A33442" s="136"/>
      <c r="CM33442" s="111"/>
      <c r="CQ33442" s="111"/>
      <c r="EF33442"/>
      <c r="EG33442"/>
      <c r="EH33442"/>
      <c r="EI33442"/>
      <c r="EJ33442"/>
      <c r="EK33442"/>
    </row>
    <row r="33443" spans="1:141" s="116" customFormat="1">
      <c r="A33443" s="136"/>
      <c r="CM33443" s="111"/>
      <c r="CQ33443" s="111"/>
      <c r="EF33443"/>
      <c r="EG33443"/>
      <c r="EH33443"/>
      <c r="EI33443"/>
      <c r="EJ33443"/>
      <c r="EK33443"/>
    </row>
    <row r="33444" spans="1:141" s="116" customFormat="1">
      <c r="A33444" s="136"/>
      <c r="CM33444" s="111"/>
      <c r="CQ33444" s="111"/>
      <c r="EF33444"/>
      <c r="EG33444"/>
      <c r="EH33444"/>
      <c r="EI33444"/>
      <c r="EJ33444"/>
      <c r="EK33444"/>
    </row>
    <row r="33445" spans="1:141" s="116" customFormat="1">
      <c r="A33445" s="136"/>
      <c r="CM33445" s="111"/>
      <c r="CQ33445" s="111"/>
      <c r="EF33445"/>
      <c r="EG33445"/>
      <c r="EH33445"/>
      <c r="EI33445"/>
      <c r="EJ33445"/>
      <c r="EK33445"/>
    </row>
    <row r="33446" spans="1:141" s="116" customFormat="1">
      <c r="A33446" s="136"/>
      <c r="CM33446" s="111"/>
      <c r="CQ33446" s="111"/>
      <c r="EF33446"/>
      <c r="EG33446"/>
      <c r="EH33446"/>
      <c r="EI33446"/>
      <c r="EJ33446"/>
      <c r="EK33446"/>
    </row>
    <row r="33447" spans="1:141" s="116" customFormat="1">
      <c r="A33447" s="136"/>
      <c r="CM33447" s="111"/>
      <c r="CQ33447" s="111"/>
      <c r="EF33447"/>
      <c r="EG33447"/>
      <c r="EH33447"/>
      <c r="EI33447"/>
      <c r="EJ33447"/>
      <c r="EK33447"/>
    </row>
    <row r="33448" spans="1:141" s="116" customFormat="1">
      <c r="A33448" s="136"/>
      <c r="CM33448" s="111"/>
      <c r="CQ33448" s="111"/>
      <c r="EF33448"/>
      <c r="EG33448"/>
      <c r="EH33448"/>
      <c r="EI33448"/>
      <c r="EJ33448"/>
      <c r="EK33448"/>
    </row>
    <row r="33449" spans="1:141" s="116" customFormat="1">
      <c r="A33449" s="136"/>
      <c r="CM33449" s="111"/>
      <c r="CQ33449" s="111"/>
      <c r="EF33449"/>
      <c r="EG33449"/>
      <c r="EH33449"/>
      <c r="EI33449"/>
      <c r="EJ33449"/>
      <c r="EK33449"/>
    </row>
    <row r="33450" spans="1:141" s="116" customFormat="1">
      <c r="A33450" s="136"/>
      <c r="CM33450" s="111"/>
      <c r="CQ33450" s="111"/>
      <c r="EF33450"/>
      <c r="EG33450"/>
      <c r="EH33450"/>
      <c r="EI33450"/>
      <c r="EJ33450"/>
      <c r="EK33450"/>
    </row>
    <row r="33451" spans="1:141" s="116" customFormat="1">
      <c r="A33451" s="136"/>
      <c r="CM33451" s="111"/>
      <c r="CQ33451" s="111"/>
      <c r="EF33451"/>
      <c r="EG33451"/>
      <c r="EH33451"/>
      <c r="EI33451"/>
      <c r="EJ33451"/>
      <c r="EK33451"/>
    </row>
    <row r="33452" spans="1:141" s="116" customFormat="1">
      <c r="A33452" s="136"/>
      <c r="CM33452" s="111"/>
      <c r="CQ33452" s="111"/>
      <c r="EF33452"/>
      <c r="EG33452"/>
      <c r="EH33452"/>
      <c r="EI33452"/>
      <c r="EJ33452"/>
      <c r="EK33452"/>
    </row>
    <row r="33453" spans="1:141" s="116" customFormat="1">
      <c r="A33453" s="136"/>
      <c r="CM33453" s="111"/>
      <c r="CQ33453" s="111"/>
      <c r="EF33453"/>
      <c r="EG33453"/>
      <c r="EH33453"/>
      <c r="EI33453"/>
      <c r="EJ33453"/>
      <c r="EK33453"/>
    </row>
    <row r="33454" spans="1:141" s="116" customFormat="1">
      <c r="A33454" s="136"/>
      <c r="CM33454" s="111"/>
      <c r="CQ33454" s="111"/>
      <c r="EF33454"/>
      <c r="EG33454"/>
      <c r="EH33454"/>
      <c r="EI33454"/>
      <c r="EJ33454"/>
      <c r="EK33454"/>
    </row>
    <row r="33455" spans="1:141" s="116" customFormat="1">
      <c r="A33455" s="136"/>
      <c r="CM33455" s="111"/>
      <c r="CQ33455" s="111"/>
      <c r="EF33455"/>
      <c r="EG33455"/>
      <c r="EH33455"/>
      <c r="EI33455"/>
      <c r="EJ33455"/>
      <c r="EK33455"/>
    </row>
    <row r="33456" spans="1:141" s="116" customFormat="1">
      <c r="A33456" s="136"/>
      <c r="CM33456" s="111"/>
      <c r="CQ33456" s="111"/>
      <c r="EF33456"/>
      <c r="EG33456"/>
      <c r="EH33456"/>
      <c r="EI33456"/>
      <c r="EJ33456"/>
      <c r="EK33456"/>
    </row>
    <row r="33457" spans="1:141" s="116" customFormat="1">
      <c r="A33457" s="136"/>
      <c r="CM33457" s="111"/>
      <c r="CQ33457" s="111"/>
      <c r="EF33457"/>
      <c r="EG33457"/>
      <c r="EH33457"/>
      <c r="EI33457"/>
      <c r="EJ33457"/>
      <c r="EK33457"/>
    </row>
    <row r="33458" spans="1:141" s="116" customFormat="1">
      <c r="A33458" s="136"/>
      <c r="CM33458" s="111"/>
      <c r="CQ33458" s="111"/>
      <c r="EF33458"/>
      <c r="EG33458"/>
      <c r="EH33458"/>
      <c r="EI33458"/>
      <c r="EJ33458"/>
      <c r="EK33458"/>
    </row>
    <row r="33459" spans="1:141" s="116" customFormat="1">
      <c r="A33459" s="136"/>
      <c r="CM33459" s="111"/>
      <c r="CQ33459" s="111"/>
      <c r="EF33459"/>
      <c r="EG33459"/>
      <c r="EH33459"/>
      <c r="EI33459"/>
      <c r="EJ33459"/>
      <c r="EK33459"/>
    </row>
    <row r="33460" spans="1:141" s="116" customFormat="1">
      <c r="A33460" s="136"/>
      <c r="CM33460" s="111"/>
      <c r="CQ33460" s="111"/>
      <c r="EF33460"/>
      <c r="EG33460"/>
      <c r="EH33460"/>
      <c r="EI33460"/>
      <c r="EJ33460"/>
      <c r="EK33460"/>
    </row>
    <row r="33461" spans="1:141" s="116" customFormat="1">
      <c r="A33461" s="136"/>
      <c r="CM33461" s="111"/>
      <c r="CQ33461" s="111"/>
      <c r="EF33461"/>
      <c r="EG33461"/>
      <c r="EH33461"/>
      <c r="EI33461"/>
      <c r="EJ33461"/>
      <c r="EK33461"/>
    </row>
    <row r="33462" spans="1:141" s="116" customFormat="1">
      <c r="A33462" s="136"/>
      <c r="CM33462" s="111"/>
      <c r="CQ33462" s="111"/>
      <c r="EF33462"/>
      <c r="EG33462"/>
      <c r="EH33462"/>
      <c r="EI33462"/>
      <c r="EJ33462"/>
      <c r="EK33462"/>
    </row>
    <row r="33463" spans="1:141" s="116" customFormat="1">
      <c r="A33463" s="136"/>
      <c r="CM33463" s="111"/>
      <c r="CQ33463" s="111"/>
      <c r="EF33463"/>
      <c r="EG33463"/>
      <c r="EH33463"/>
      <c r="EI33463"/>
      <c r="EJ33463"/>
      <c r="EK33463"/>
    </row>
    <row r="33464" spans="1:141" s="116" customFormat="1">
      <c r="A33464" s="136"/>
      <c r="CM33464" s="111"/>
      <c r="CQ33464" s="111"/>
      <c r="EF33464"/>
      <c r="EG33464"/>
      <c r="EH33464"/>
      <c r="EI33464"/>
      <c r="EJ33464"/>
      <c r="EK33464"/>
    </row>
    <row r="33465" spans="1:141" s="116" customFormat="1">
      <c r="A33465" s="136"/>
      <c r="CM33465" s="111"/>
      <c r="CQ33465" s="111"/>
      <c r="EF33465"/>
      <c r="EG33465"/>
      <c r="EH33465"/>
      <c r="EI33465"/>
      <c r="EJ33465"/>
      <c r="EK33465"/>
    </row>
    <row r="33466" spans="1:141" s="116" customFormat="1">
      <c r="A33466" s="136"/>
      <c r="CM33466" s="111"/>
      <c r="CQ33466" s="111"/>
      <c r="EF33466"/>
      <c r="EG33466"/>
      <c r="EH33466"/>
      <c r="EI33466"/>
      <c r="EJ33466"/>
      <c r="EK33466"/>
    </row>
    <row r="33467" spans="1:141" s="116" customFormat="1">
      <c r="A33467" s="136"/>
      <c r="CM33467" s="111"/>
      <c r="CQ33467" s="111"/>
      <c r="EF33467"/>
      <c r="EG33467"/>
      <c r="EH33467"/>
      <c r="EI33467"/>
      <c r="EJ33467"/>
      <c r="EK33467"/>
    </row>
    <row r="33468" spans="1:141" s="116" customFormat="1">
      <c r="A33468" s="136"/>
      <c r="CM33468" s="111"/>
      <c r="CQ33468" s="111"/>
      <c r="EF33468"/>
      <c r="EG33468"/>
      <c r="EH33468"/>
      <c r="EI33468"/>
      <c r="EJ33468"/>
      <c r="EK33468"/>
    </row>
    <row r="33469" spans="1:141" s="116" customFormat="1">
      <c r="A33469" s="136"/>
      <c r="CM33469" s="111"/>
      <c r="CQ33469" s="111"/>
      <c r="EF33469"/>
      <c r="EG33469"/>
      <c r="EH33469"/>
      <c r="EI33469"/>
      <c r="EJ33469"/>
      <c r="EK33469"/>
    </row>
    <row r="33470" spans="1:141" s="116" customFormat="1">
      <c r="A33470" s="136"/>
      <c r="CM33470" s="111"/>
      <c r="CQ33470" s="111"/>
      <c r="EF33470"/>
      <c r="EG33470"/>
      <c r="EH33470"/>
      <c r="EI33470"/>
      <c r="EJ33470"/>
      <c r="EK33470"/>
    </row>
    <row r="33471" spans="1:141" s="116" customFormat="1">
      <c r="A33471" s="136"/>
      <c r="CM33471" s="111"/>
      <c r="CQ33471" s="111"/>
      <c r="EF33471"/>
      <c r="EG33471"/>
      <c r="EH33471"/>
      <c r="EI33471"/>
      <c r="EJ33471"/>
      <c r="EK33471"/>
    </row>
    <row r="33472" spans="1:141" s="116" customFormat="1">
      <c r="A33472" s="136"/>
      <c r="CM33472" s="111"/>
      <c r="CQ33472" s="111"/>
      <c r="EF33472"/>
      <c r="EG33472"/>
      <c r="EH33472"/>
      <c r="EI33472"/>
      <c r="EJ33472"/>
      <c r="EK33472"/>
    </row>
    <row r="33473" spans="1:141" s="116" customFormat="1">
      <c r="A33473" s="136"/>
      <c r="CM33473" s="111"/>
      <c r="CQ33473" s="111"/>
      <c r="EF33473"/>
      <c r="EG33473"/>
      <c r="EH33473"/>
      <c r="EI33473"/>
      <c r="EJ33473"/>
      <c r="EK33473"/>
    </row>
    <row r="33474" spans="1:141" s="116" customFormat="1">
      <c r="A33474" s="136"/>
      <c r="CM33474" s="111"/>
      <c r="CQ33474" s="111"/>
      <c r="EF33474"/>
      <c r="EG33474"/>
      <c r="EH33474"/>
      <c r="EI33474"/>
      <c r="EJ33474"/>
      <c r="EK33474"/>
    </row>
    <row r="33475" spans="1:141" s="116" customFormat="1">
      <c r="A33475" s="136"/>
      <c r="CM33475" s="111"/>
      <c r="CQ33475" s="111"/>
      <c r="EF33475"/>
      <c r="EG33475"/>
      <c r="EH33475"/>
      <c r="EI33475"/>
      <c r="EJ33475"/>
      <c r="EK33475"/>
    </row>
    <row r="33476" spans="1:141" s="116" customFormat="1">
      <c r="A33476" s="136"/>
      <c r="CM33476" s="111"/>
      <c r="CQ33476" s="111"/>
      <c r="EF33476"/>
      <c r="EG33476"/>
      <c r="EH33476"/>
      <c r="EI33476"/>
      <c r="EJ33476"/>
      <c r="EK33476"/>
    </row>
    <row r="33477" spans="1:141" s="116" customFormat="1">
      <c r="A33477" s="136"/>
      <c r="CM33477" s="111"/>
      <c r="CQ33477" s="111"/>
      <c r="EF33477"/>
      <c r="EG33477"/>
      <c r="EH33477"/>
      <c r="EI33477"/>
      <c r="EJ33477"/>
      <c r="EK33477"/>
    </row>
    <row r="33478" spans="1:141" s="116" customFormat="1">
      <c r="A33478" s="136"/>
      <c r="CM33478" s="111"/>
      <c r="CQ33478" s="111"/>
      <c r="EF33478"/>
      <c r="EG33478"/>
      <c r="EH33478"/>
      <c r="EI33478"/>
      <c r="EJ33478"/>
      <c r="EK33478"/>
    </row>
    <row r="33479" spans="1:141" s="116" customFormat="1">
      <c r="A33479" s="136"/>
      <c r="CM33479" s="111"/>
      <c r="CQ33479" s="111"/>
      <c r="EF33479"/>
      <c r="EG33479"/>
      <c r="EH33479"/>
      <c r="EI33479"/>
      <c r="EJ33479"/>
      <c r="EK33479"/>
    </row>
    <row r="33480" spans="1:141" s="116" customFormat="1">
      <c r="A33480" s="136"/>
      <c r="CM33480" s="111"/>
      <c r="CQ33480" s="111"/>
      <c r="EF33480"/>
      <c r="EG33480"/>
      <c r="EH33480"/>
      <c r="EI33480"/>
      <c r="EJ33480"/>
      <c r="EK33480"/>
    </row>
    <row r="33481" spans="1:141" s="116" customFormat="1">
      <c r="A33481" s="136"/>
      <c r="CM33481" s="111"/>
      <c r="CQ33481" s="111"/>
      <c r="EF33481"/>
      <c r="EG33481"/>
      <c r="EH33481"/>
      <c r="EI33481"/>
      <c r="EJ33481"/>
      <c r="EK33481"/>
    </row>
    <row r="33482" spans="1:141" s="116" customFormat="1">
      <c r="A33482" s="136"/>
      <c r="CM33482" s="111"/>
      <c r="CQ33482" s="111"/>
      <c r="EF33482"/>
      <c r="EG33482"/>
      <c r="EH33482"/>
      <c r="EI33482"/>
      <c r="EJ33482"/>
      <c r="EK33482"/>
    </row>
    <row r="33483" spans="1:141" s="116" customFormat="1">
      <c r="A33483" s="136"/>
      <c r="CM33483" s="111"/>
      <c r="CQ33483" s="111"/>
      <c r="EF33483"/>
      <c r="EG33483"/>
      <c r="EH33483"/>
      <c r="EI33483"/>
      <c r="EJ33483"/>
      <c r="EK33483"/>
    </row>
    <row r="33484" spans="1:141" s="116" customFormat="1">
      <c r="A33484" s="136"/>
      <c r="CM33484" s="111"/>
      <c r="CQ33484" s="111"/>
      <c r="EF33484"/>
      <c r="EG33484"/>
      <c r="EH33484"/>
      <c r="EI33484"/>
      <c r="EJ33484"/>
      <c r="EK33484"/>
    </row>
    <row r="33485" spans="1:141" s="116" customFormat="1">
      <c r="A33485" s="136"/>
      <c r="CM33485" s="111"/>
      <c r="CQ33485" s="111"/>
      <c r="EF33485"/>
      <c r="EG33485"/>
      <c r="EH33485"/>
      <c r="EI33485"/>
      <c r="EJ33485"/>
      <c r="EK33485"/>
    </row>
    <row r="33486" spans="1:141" s="116" customFormat="1">
      <c r="A33486" s="136"/>
      <c r="CM33486" s="111"/>
      <c r="CQ33486" s="111"/>
      <c r="EF33486"/>
      <c r="EG33486"/>
      <c r="EH33486"/>
      <c r="EI33486"/>
      <c r="EJ33486"/>
      <c r="EK33486"/>
    </row>
    <row r="33487" spans="1:141" s="116" customFormat="1">
      <c r="A33487" s="136"/>
      <c r="CM33487" s="111"/>
      <c r="CQ33487" s="111"/>
      <c r="EF33487"/>
      <c r="EG33487"/>
      <c r="EH33487"/>
      <c r="EI33487"/>
      <c r="EJ33487"/>
      <c r="EK33487"/>
    </row>
    <row r="33488" spans="1:141" s="116" customFormat="1">
      <c r="A33488" s="136"/>
      <c r="CM33488" s="111"/>
      <c r="CQ33488" s="111"/>
      <c r="EF33488"/>
      <c r="EG33488"/>
      <c r="EH33488"/>
      <c r="EI33488"/>
      <c r="EJ33488"/>
      <c r="EK33488"/>
    </row>
    <row r="33489" spans="1:141" s="116" customFormat="1">
      <c r="A33489" s="136"/>
      <c r="CM33489" s="111"/>
      <c r="CQ33489" s="111"/>
      <c r="EF33489"/>
      <c r="EG33489"/>
      <c r="EH33489"/>
      <c r="EI33489"/>
      <c r="EJ33489"/>
      <c r="EK33489"/>
    </row>
    <row r="33490" spans="1:141" s="116" customFormat="1">
      <c r="A33490" s="136"/>
      <c r="CM33490" s="111"/>
      <c r="CQ33490" s="111"/>
      <c r="EF33490"/>
      <c r="EG33490"/>
      <c r="EH33490"/>
      <c r="EI33490"/>
      <c r="EJ33490"/>
      <c r="EK33490"/>
    </row>
    <row r="33491" spans="1:141" s="116" customFormat="1">
      <c r="A33491" s="136"/>
      <c r="CM33491" s="111"/>
      <c r="CQ33491" s="111"/>
      <c r="EF33491"/>
      <c r="EG33491"/>
      <c r="EH33491"/>
      <c r="EI33491"/>
      <c r="EJ33491"/>
      <c r="EK33491"/>
    </row>
    <row r="33492" spans="1:141" s="116" customFormat="1">
      <c r="A33492" s="136"/>
      <c r="CM33492" s="111"/>
      <c r="CQ33492" s="111"/>
      <c r="EF33492"/>
      <c r="EG33492"/>
      <c r="EH33492"/>
      <c r="EI33492"/>
      <c r="EJ33492"/>
      <c r="EK33492"/>
    </row>
    <row r="33493" spans="1:141" s="116" customFormat="1">
      <c r="A33493" s="136"/>
      <c r="CM33493" s="111"/>
      <c r="CQ33493" s="111"/>
      <c r="EF33493"/>
      <c r="EG33493"/>
      <c r="EH33493"/>
      <c r="EI33493"/>
      <c r="EJ33493"/>
      <c r="EK33493"/>
    </row>
    <row r="33494" spans="1:141" s="116" customFormat="1">
      <c r="A33494" s="136"/>
      <c r="CM33494" s="111"/>
      <c r="CQ33494" s="111"/>
      <c r="EF33494"/>
      <c r="EG33494"/>
      <c r="EH33494"/>
      <c r="EI33494"/>
      <c r="EJ33494"/>
      <c r="EK33494"/>
    </row>
    <row r="33495" spans="1:141" s="116" customFormat="1">
      <c r="A33495" s="136"/>
      <c r="CM33495" s="111"/>
      <c r="CQ33495" s="111"/>
      <c r="EF33495"/>
      <c r="EG33495"/>
      <c r="EH33495"/>
      <c r="EI33495"/>
      <c r="EJ33495"/>
      <c r="EK33495"/>
    </row>
    <row r="33496" spans="1:141" s="116" customFormat="1">
      <c r="A33496" s="136"/>
      <c r="CM33496" s="111"/>
      <c r="CQ33496" s="111"/>
      <c r="EF33496"/>
      <c r="EG33496"/>
      <c r="EH33496"/>
      <c r="EI33496"/>
      <c r="EJ33496"/>
      <c r="EK33496"/>
    </row>
    <row r="33497" spans="1:141" s="116" customFormat="1">
      <c r="A33497" s="136"/>
      <c r="CM33497" s="111"/>
      <c r="CQ33497" s="111"/>
      <c r="EF33497"/>
      <c r="EG33497"/>
      <c r="EH33497"/>
      <c r="EI33497"/>
      <c r="EJ33497"/>
      <c r="EK33497"/>
    </row>
    <row r="33498" spans="1:141" s="116" customFormat="1">
      <c r="A33498" s="136"/>
      <c r="CM33498" s="111"/>
      <c r="CQ33498" s="111"/>
      <c r="EF33498"/>
      <c r="EG33498"/>
      <c r="EH33498"/>
      <c r="EI33498"/>
      <c r="EJ33498"/>
      <c r="EK33498"/>
    </row>
    <row r="33499" spans="1:141" s="116" customFormat="1">
      <c r="A33499" s="136"/>
      <c r="CM33499" s="111"/>
      <c r="CQ33499" s="111"/>
      <c r="EF33499"/>
      <c r="EG33499"/>
      <c r="EH33499"/>
      <c r="EI33499"/>
      <c r="EJ33499"/>
      <c r="EK33499"/>
    </row>
    <row r="33500" spans="1:141" s="116" customFormat="1">
      <c r="A33500" s="136"/>
      <c r="CM33500" s="111"/>
      <c r="CQ33500" s="111"/>
      <c r="EF33500"/>
      <c r="EG33500"/>
      <c r="EH33500"/>
      <c r="EI33500"/>
      <c r="EJ33500"/>
      <c r="EK33500"/>
    </row>
    <row r="33501" spans="1:141" s="116" customFormat="1">
      <c r="A33501" s="136"/>
      <c r="CM33501" s="111"/>
      <c r="CQ33501" s="111"/>
      <c r="EF33501"/>
      <c r="EG33501"/>
      <c r="EH33501"/>
      <c r="EI33501"/>
      <c r="EJ33501"/>
      <c r="EK33501"/>
    </row>
    <row r="33502" spans="1:141" s="116" customFormat="1">
      <c r="A33502" s="136"/>
      <c r="CM33502" s="111"/>
      <c r="CQ33502" s="111"/>
      <c r="EF33502"/>
      <c r="EG33502"/>
      <c r="EH33502"/>
      <c r="EI33502"/>
      <c r="EJ33502"/>
      <c r="EK33502"/>
    </row>
    <row r="33503" spans="1:141" s="116" customFormat="1">
      <c r="A33503" s="136"/>
      <c r="CM33503" s="111"/>
      <c r="CQ33503" s="111"/>
      <c r="EF33503"/>
      <c r="EG33503"/>
      <c r="EH33503"/>
      <c r="EI33503"/>
      <c r="EJ33503"/>
      <c r="EK33503"/>
    </row>
    <row r="33504" spans="1:141" s="116" customFormat="1">
      <c r="A33504" s="136"/>
      <c r="CM33504" s="111"/>
      <c r="CQ33504" s="111"/>
      <c r="EF33504"/>
      <c r="EG33504"/>
      <c r="EH33504"/>
      <c r="EI33504"/>
      <c r="EJ33504"/>
      <c r="EK33504"/>
    </row>
    <row r="33505" spans="1:141" s="116" customFormat="1">
      <c r="A33505" s="136"/>
      <c r="CM33505" s="111"/>
      <c r="CQ33505" s="111"/>
      <c r="EF33505"/>
      <c r="EG33505"/>
      <c r="EH33505"/>
      <c r="EI33505"/>
      <c r="EJ33505"/>
      <c r="EK33505"/>
    </row>
    <row r="33506" spans="1:141" s="116" customFormat="1">
      <c r="A33506" s="136"/>
      <c r="CM33506" s="111"/>
      <c r="CQ33506" s="111"/>
      <c r="EF33506"/>
      <c r="EG33506"/>
      <c r="EH33506"/>
      <c r="EI33506"/>
      <c r="EJ33506"/>
      <c r="EK33506"/>
    </row>
    <row r="33507" spans="1:141" s="116" customFormat="1">
      <c r="A33507" s="136"/>
      <c r="CM33507" s="111"/>
      <c r="CQ33507" s="111"/>
      <c r="EF33507"/>
      <c r="EG33507"/>
      <c r="EH33507"/>
      <c r="EI33507"/>
      <c r="EJ33507"/>
      <c r="EK33507"/>
    </row>
    <row r="33508" spans="1:141" s="116" customFormat="1">
      <c r="A33508" s="136"/>
      <c r="CM33508" s="111"/>
      <c r="CQ33508" s="111"/>
      <c r="EF33508"/>
      <c r="EG33508"/>
      <c r="EH33508"/>
      <c r="EI33508"/>
      <c r="EJ33508"/>
      <c r="EK33508"/>
    </row>
    <row r="33509" spans="1:141" s="116" customFormat="1">
      <c r="A33509" s="136"/>
      <c r="CM33509" s="111"/>
      <c r="CQ33509" s="111"/>
      <c r="EF33509"/>
      <c r="EG33509"/>
      <c r="EH33509"/>
      <c r="EI33509"/>
      <c r="EJ33509"/>
      <c r="EK33509"/>
    </row>
    <row r="33510" spans="1:141" s="116" customFormat="1">
      <c r="A33510" s="136"/>
      <c r="CM33510" s="111"/>
      <c r="CQ33510" s="111"/>
      <c r="EF33510"/>
      <c r="EG33510"/>
      <c r="EH33510"/>
      <c r="EI33510"/>
      <c r="EJ33510"/>
      <c r="EK33510"/>
    </row>
    <row r="33511" spans="1:141" s="116" customFormat="1">
      <c r="A33511" s="136"/>
      <c r="CM33511" s="111"/>
      <c r="CQ33511" s="111"/>
      <c r="EF33511"/>
      <c r="EG33511"/>
      <c r="EH33511"/>
      <c r="EI33511"/>
      <c r="EJ33511"/>
      <c r="EK33511"/>
    </row>
    <row r="33512" spans="1:141" s="116" customFormat="1">
      <c r="A33512" s="136"/>
      <c r="CM33512" s="111"/>
      <c r="CQ33512" s="111"/>
      <c r="EF33512"/>
      <c r="EG33512"/>
      <c r="EH33512"/>
      <c r="EI33512"/>
      <c r="EJ33512"/>
      <c r="EK33512"/>
    </row>
    <row r="33513" spans="1:141" s="116" customFormat="1">
      <c r="A33513" s="136"/>
      <c r="CM33513" s="111"/>
      <c r="CQ33513" s="111"/>
      <c r="EF33513"/>
      <c r="EG33513"/>
      <c r="EH33513"/>
      <c r="EI33513"/>
      <c r="EJ33513"/>
      <c r="EK33513"/>
    </row>
    <row r="33514" spans="1:141" s="116" customFormat="1">
      <c r="A33514" s="136"/>
      <c r="CM33514" s="111"/>
      <c r="CQ33514" s="111"/>
      <c r="EF33514"/>
      <c r="EG33514"/>
      <c r="EH33514"/>
      <c r="EI33514"/>
      <c r="EJ33514"/>
      <c r="EK33514"/>
    </row>
    <row r="33515" spans="1:141" s="116" customFormat="1">
      <c r="A33515" s="136"/>
      <c r="CM33515" s="111"/>
      <c r="CQ33515" s="111"/>
      <c r="EF33515"/>
      <c r="EG33515"/>
      <c r="EH33515"/>
      <c r="EI33515"/>
      <c r="EJ33515"/>
      <c r="EK33515"/>
    </row>
    <row r="33516" spans="1:141" s="116" customFormat="1">
      <c r="A33516" s="136"/>
      <c r="CM33516" s="111"/>
      <c r="CQ33516" s="111"/>
      <c r="EF33516"/>
      <c r="EG33516"/>
      <c r="EH33516"/>
      <c r="EI33516"/>
      <c r="EJ33516"/>
      <c r="EK33516"/>
    </row>
    <row r="33517" spans="1:141" s="116" customFormat="1">
      <c r="A33517" s="136"/>
      <c r="CM33517" s="111"/>
      <c r="CQ33517" s="111"/>
      <c r="EF33517"/>
      <c r="EG33517"/>
      <c r="EH33517"/>
      <c r="EI33517"/>
      <c r="EJ33517"/>
      <c r="EK33517"/>
    </row>
    <row r="33518" spans="1:141" s="116" customFormat="1">
      <c r="A33518" s="136"/>
      <c r="CM33518" s="111"/>
      <c r="CQ33518" s="111"/>
      <c r="EF33518"/>
      <c r="EG33518"/>
      <c r="EH33518"/>
      <c r="EI33518"/>
      <c r="EJ33518"/>
      <c r="EK33518"/>
    </row>
    <row r="33519" spans="1:141" s="116" customFormat="1">
      <c r="A33519" s="136"/>
      <c r="CM33519" s="111"/>
      <c r="CQ33519" s="111"/>
      <c r="EF33519"/>
      <c r="EG33519"/>
      <c r="EH33519"/>
      <c r="EI33519"/>
      <c r="EJ33519"/>
      <c r="EK33519"/>
    </row>
    <row r="33520" spans="1:141" s="116" customFormat="1">
      <c r="A33520" s="136"/>
      <c r="CM33520" s="111"/>
      <c r="CQ33520" s="111"/>
      <c r="EF33520"/>
      <c r="EG33520"/>
      <c r="EH33520"/>
      <c r="EI33520"/>
      <c r="EJ33520"/>
      <c r="EK33520"/>
    </row>
    <row r="33521" spans="1:141" s="116" customFormat="1">
      <c r="A33521" s="136"/>
      <c r="CM33521" s="111"/>
      <c r="CQ33521" s="111"/>
      <c r="EF33521"/>
      <c r="EG33521"/>
      <c r="EH33521"/>
      <c r="EI33521"/>
      <c r="EJ33521"/>
      <c r="EK33521"/>
    </row>
    <row r="33522" spans="1:141" s="116" customFormat="1">
      <c r="A33522" s="136"/>
      <c r="CM33522" s="111"/>
      <c r="CQ33522" s="111"/>
      <c r="EF33522"/>
      <c r="EG33522"/>
      <c r="EH33522"/>
      <c r="EI33522"/>
      <c r="EJ33522"/>
      <c r="EK33522"/>
    </row>
    <row r="33523" spans="1:141" s="116" customFormat="1">
      <c r="A33523" s="136"/>
      <c r="CM33523" s="111"/>
      <c r="CQ33523" s="111"/>
      <c r="EF33523"/>
      <c r="EG33523"/>
      <c r="EH33523"/>
      <c r="EI33523"/>
      <c r="EJ33523"/>
      <c r="EK33523"/>
    </row>
    <row r="33524" spans="1:141" s="116" customFormat="1">
      <c r="A33524" s="136"/>
      <c r="CM33524" s="111"/>
      <c r="CQ33524" s="111"/>
      <c r="EF33524"/>
      <c r="EG33524"/>
      <c r="EH33524"/>
      <c r="EI33524"/>
      <c r="EJ33524"/>
      <c r="EK33524"/>
    </row>
    <row r="33525" spans="1:141" s="116" customFormat="1">
      <c r="A33525" s="136"/>
      <c r="CM33525" s="111"/>
      <c r="CQ33525" s="111"/>
      <c r="EF33525"/>
      <c r="EG33525"/>
      <c r="EH33525"/>
      <c r="EI33525"/>
      <c r="EJ33525"/>
      <c r="EK33525"/>
    </row>
    <row r="33526" spans="1:141" s="116" customFormat="1">
      <c r="A33526" s="136"/>
      <c r="CM33526" s="111"/>
      <c r="CQ33526" s="111"/>
      <c r="EF33526"/>
      <c r="EG33526"/>
      <c r="EH33526"/>
      <c r="EI33526"/>
      <c r="EJ33526"/>
      <c r="EK33526"/>
    </row>
    <row r="33527" spans="1:141" s="116" customFormat="1">
      <c r="A33527" s="136"/>
      <c r="CM33527" s="111"/>
      <c r="CQ33527" s="111"/>
      <c r="EF33527"/>
      <c r="EG33527"/>
      <c r="EH33527"/>
      <c r="EI33527"/>
      <c r="EJ33527"/>
      <c r="EK33527"/>
    </row>
    <row r="33528" spans="1:141" s="116" customFormat="1">
      <c r="A33528" s="136"/>
      <c r="CM33528" s="111"/>
      <c r="CQ33528" s="111"/>
      <c r="EF33528"/>
      <c r="EG33528"/>
      <c r="EH33528"/>
      <c r="EI33528"/>
      <c r="EJ33528"/>
      <c r="EK33528"/>
    </row>
    <row r="33529" spans="1:141" s="116" customFormat="1">
      <c r="A33529" s="136"/>
      <c r="CM33529" s="111"/>
      <c r="CQ33529" s="111"/>
      <c r="EF33529"/>
      <c r="EG33529"/>
      <c r="EH33529"/>
      <c r="EI33529"/>
      <c r="EJ33529"/>
      <c r="EK33529"/>
    </row>
    <row r="33530" spans="1:141" s="116" customFormat="1">
      <c r="A33530" s="136"/>
      <c r="CM33530" s="111"/>
      <c r="CQ33530" s="111"/>
      <c r="EF33530"/>
      <c r="EG33530"/>
      <c r="EH33530"/>
      <c r="EI33530"/>
      <c r="EJ33530"/>
      <c r="EK33530"/>
    </row>
    <row r="33531" spans="1:141" s="116" customFormat="1">
      <c r="A33531" s="136"/>
      <c r="CM33531" s="111"/>
      <c r="CQ33531" s="111"/>
      <c r="EF33531"/>
      <c r="EG33531"/>
      <c r="EH33531"/>
      <c r="EI33531"/>
      <c r="EJ33531"/>
      <c r="EK33531"/>
    </row>
    <row r="33532" spans="1:141" s="116" customFormat="1">
      <c r="A33532" s="136"/>
      <c r="CM33532" s="111"/>
      <c r="CQ33532" s="111"/>
      <c r="EF33532"/>
      <c r="EG33532"/>
      <c r="EH33532"/>
      <c r="EI33532"/>
      <c r="EJ33532"/>
      <c r="EK33532"/>
    </row>
    <row r="33533" spans="1:141" s="116" customFormat="1">
      <c r="A33533" s="136"/>
      <c r="CM33533" s="111"/>
      <c r="CQ33533" s="111"/>
      <c r="EF33533"/>
      <c r="EG33533"/>
      <c r="EH33533"/>
      <c r="EI33533"/>
      <c r="EJ33533"/>
      <c r="EK33533"/>
    </row>
    <row r="33534" spans="1:141" s="116" customFormat="1">
      <c r="A33534" s="136"/>
      <c r="CM33534" s="111"/>
      <c r="CQ33534" s="111"/>
      <c r="EF33534"/>
      <c r="EG33534"/>
      <c r="EH33534"/>
      <c r="EI33534"/>
      <c r="EJ33534"/>
      <c r="EK33534"/>
    </row>
    <row r="33535" spans="1:141" s="116" customFormat="1">
      <c r="A33535" s="136"/>
      <c r="CM33535" s="111"/>
      <c r="CQ33535" s="111"/>
      <c r="EF33535"/>
      <c r="EG33535"/>
      <c r="EH33535"/>
      <c r="EI33535"/>
      <c r="EJ33535"/>
      <c r="EK33535"/>
    </row>
    <row r="33536" spans="1:141" s="116" customFormat="1">
      <c r="A33536" s="136"/>
      <c r="CM33536" s="111"/>
      <c r="CQ33536" s="111"/>
      <c r="EF33536"/>
      <c r="EG33536"/>
      <c r="EH33536"/>
      <c r="EI33536"/>
      <c r="EJ33536"/>
      <c r="EK33536"/>
    </row>
    <row r="33537" spans="1:141" s="116" customFormat="1">
      <c r="A33537" s="136"/>
      <c r="CM33537" s="111"/>
      <c r="CQ33537" s="111"/>
      <c r="EF33537"/>
      <c r="EG33537"/>
      <c r="EH33537"/>
      <c r="EI33537"/>
      <c r="EJ33537"/>
      <c r="EK33537"/>
    </row>
    <row r="33538" spans="1:141" s="116" customFormat="1">
      <c r="A33538" s="136"/>
      <c r="CM33538" s="111"/>
      <c r="CQ33538" s="111"/>
      <c r="EF33538"/>
      <c r="EG33538"/>
      <c r="EH33538"/>
      <c r="EI33538"/>
      <c r="EJ33538"/>
      <c r="EK33538"/>
    </row>
    <row r="33539" spans="1:141" s="116" customFormat="1">
      <c r="A33539" s="136"/>
      <c r="CM33539" s="111"/>
      <c r="CQ33539" s="111"/>
      <c r="EF33539"/>
      <c r="EG33539"/>
      <c r="EH33539"/>
      <c r="EI33539"/>
      <c r="EJ33539"/>
      <c r="EK33539"/>
    </row>
    <row r="33540" spans="1:141" s="116" customFormat="1">
      <c r="A33540" s="136"/>
      <c r="CM33540" s="111"/>
      <c r="CQ33540" s="111"/>
      <c r="EF33540"/>
      <c r="EG33540"/>
      <c r="EH33540"/>
      <c r="EI33540"/>
      <c r="EJ33540"/>
      <c r="EK33540"/>
    </row>
    <row r="33541" spans="1:141" s="116" customFormat="1">
      <c r="A33541" s="136"/>
      <c r="CM33541" s="111"/>
      <c r="CQ33541" s="111"/>
      <c r="EF33541"/>
      <c r="EG33541"/>
      <c r="EH33541"/>
      <c r="EI33541"/>
      <c r="EJ33541"/>
      <c r="EK33541"/>
    </row>
    <row r="33542" spans="1:141" s="116" customFormat="1">
      <c r="A33542" s="136"/>
      <c r="CM33542" s="111"/>
      <c r="CQ33542" s="111"/>
      <c r="EF33542"/>
      <c r="EG33542"/>
      <c r="EH33542"/>
      <c r="EI33542"/>
      <c r="EJ33542"/>
      <c r="EK33542"/>
    </row>
    <row r="33543" spans="1:141" s="116" customFormat="1">
      <c r="A33543" s="136"/>
      <c r="CM33543" s="111"/>
      <c r="CQ33543" s="111"/>
      <c r="EF33543"/>
      <c r="EG33543"/>
      <c r="EH33543"/>
      <c r="EI33543"/>
      <c r="EJ33543"/>
      <c r="EK33543"/>
    </row>
    <row r="33544" spans="1:141" s="116" customFormat="1">
      <c r="A33544" s="136"/>
      <c r="CM33544" s="111"/>
      <c r="CQ33544" s="111"/>
      <c r="EF33544"/>
      <c r="EG33544"/>
      <c r="EH33544"/>
      <c r="EI33544"/>
      <c r="EJ33544"/>
      <c r="EK33544"/>
    </row>
    <row r="33545" spans="1:141" s="116" customFormat="1">
      <c r="A33545" s="136"/>
      <c r="CM33545" s="111"/>
      <c r="CQ33545" s="111"/>
      <c r="EF33545"/>
      <c r="EG33545"/>
      <c r="EH33545"/>
      <c r="EI33545"/>
      <c r="EJ33545"/>
      <c r="EK33545"/>
    </row>
    <row r="33546" spans="1:141" s="116" customFormat="1">
      <c r="A33546" s="136"/>
      <c r="CM33546" s="111"/>
      <c r="CQ33546" s="111"/>
      <c r="EF33546"/>
      <c r="EG33546"/>
      <c r="EH33546"/>
      <c r="EI33546"/>
      <c r="EJ33546"/>
      <c r="EK33546"/>
    </row>
    <row r="33547" spans="1:141" s="116" customFormat="1">
      <c r="A33547" s="136"/>
      <c r="CM33547" s="111"/>
      <c r="CQ33547" s="111"/>
      <c r="EF33547"/>
      <c r="EG33547"/>
      <c r="EH33547"/>
      <c r="EI33547"/>
      <c r="EJ33547"/>
      <c r="EK33547"/>
    </row>
    <row r="33548" spans="1:141" s="116" customFormat="1">
      <c r="A33548" s="136"/>
      <c r="CM33548" s="111"/>
      <c r="CQ33548" s="111"/>
      <c r="EF33548"/>
      <c r="EG33548"/>
      <c r="EH33548"/>
      <c r="EI33548"/>
      <c r="EJ33548"/>
      <c r="EK33548"/>
    </row>
    <row r="33549" spans="1:141" s="116" customFormat="1">
      <c r="A33549" s="136"/>
      <c r="CM33549" s="111"/>
      <c r="CQ33549" s="111"/>
      <c r="EF33549"/>
      <c r="EG33549"/>
      <c r="EH33549"/>
      <c r="EI33549"/>
      <c r="EJ33549"/>
      <c r="EK33549"/>
    </row>
    <row r="33550" spans="1:141" s="116" customFormat="1">
      <c r="A33550" s="136"/>
      <c r="CM33550" s="111"/>
      <c r="CQ33550" s="111"/>
      <c r="EF33550"/>
      <c r="EG33550"/>
      <c r="EH33550"/>
      <c r="EI33550"/>
      <c r="EJ33550"/>
      <c r="EK33550"/>
    </row>
    <row r="33551" spans="1:141" s="116" customFormat="1">
      <c r="A33551" s="136"/>
      <c r="CM33551" s="111"/>
      <c r="CQ33551" s="111"/>
      <c r="EF33551"/>
      <c r="EG33551"/>
      <c r="EH33551"/>
      <c r="EI33551"/>
      <c r="EJ33551"/>
      <c r="EK33551"/>
    </row>
    <row r="33552" spans="1:141" s="116" customFormat="1">
      <c r="A33552" s="136"/>
      <c r="CM33552" s="111"/>
      <c r="CQ33552" s="111"/>
      <c r="EF33552"/>
      <c r="EG33552"/>
      <c r="EH33552"/>
      <c r="EI33552"/>
      <c r="EJ33552"/>
      <c r="EK33552"/>
    </row>
    <row r="33553" spans="1:141" s="116" customFormat="1">
      <c r="A33553" s="136"/>
      <c r="CM33553" s="111"/>
      <c r="CQ33553" s="111"/>
      <c r="EF33553"/>
      <c r="EG33553"/>
      <c r="EH33553"/>
      <c r="EI33553"/>
      <c r="EJ33553"/>
      <c r="EK33553"/>
    </row>
    <row r="33554" spans="1:141" s="116" customFormat="1">
      <c r="A33554" s="136"/>
      <c r="CM33554" s="111"/>
      <c r="CQ33554" s="111"/>
      <c r="EF33554"/>
      <c r="EG33554"/>
      <c r="EH33554"/>
      <c r="EI33554"/>
      <c r="EJ33554"/>
      <c r="EK33554"/>
    </row>
    <row r="33555" spans="1:141" s="116" customFormat="1">
      <c r="A33555" s="136"/>
      <c r="CM33555" s="111"/>
      <c r="CQ33555" s="111"/>
      <c r="EF33555"/>
      <c r="EG33555"/>
      <c r="EH33555"/>
      <c r="EI33555"/>
      <c r="EJ33555"/>
      <c r="EK33555"/>
    </row>
    <row r="33556" spans="1:141" s="116" customFormat="1">
      <c r="A33556" s="136"/>
      <c r="CM33556" s="111"/>
      <c r="CQ33556" s="111"/>
      <c r="EF33556"/>
      <c r="EG33556"/>
      <c r="EH33556"/>
      <c r="EI33556"/>
      <c r="EJ33556"/>
      <c r="EK33556"/>
    </row>
    <row r="33557" spans="1:141" s="116" customFormat="1">
      <c r="A33557" s="136"/>
      <c r="CM33557" s="111"/>
      <c r="CQ33557" s="111"/>
      <c r="EF33557"/>
      <c r="EG33557"/>
      <c r="EH33557"/>
      <c r="EI33557"/>
      <c r="EJ33557"/>
      <c r="EK33557"/>
    </row>
    <row r="33558" spans="1:141" s="116" customFormat="1">
      <c r="A33558" s="136"/>
      <c r="CM33558" s="111"/>
      <c r="CQ33558" s="111"/>
      <c r="EF33558"/>
      <c r="EG33558"/>
      <c r="EH33558"/>
      <c r="EI33558"/>
      <c r="EJ33558"/>
      <c r="EK33558"/>
    </row>
    <row r="33559" spans="1:141" s="116" customFormat="1">
      <c r="A33559" s="136"/>
      <c r="CM33559" s="111"/>
      <c r="CQ33559" s="111"/>
      <c r="EF33559"/>
      <c r="EG33559"/>
      <c r="EH33559"/>
      <c r="EI33559"/>
      <c r="EJ33559"/>
      <c r="EK33559"/>
    </row>
    <row r="33560" spans="1:141" s="116" customFormat="1">
      <c r="A33560" s="136"/>
      <c r="CM33560" s="111"/>
      <c r="CQ33560" s="111"/>
      <c r="EF33560"/>
      <c r="EG33560"/>
      <c r="EH33560"/>
      <c r="EI33560"/>
      <c r="EJ33560"/>
      <c r="EK33560"/>
    </row>
    <row r="33561" spans="1:141" s="116" customFormat="1">
      <c r="A33561" s="136"/>
      <c r="CM33561" s="111"/>
      <c r="CQ33561" s="111"/>
      <c r="EF33561"/>
      <c r="EG33561"/>
      <c r="EH33561"/>
      <c r="EI33561"/>
      <c r="EJ33561"/>
      <c r="EK33561"/>
    </row>
    <row r="33562" spans="1:141" s="116" customFormat="1">
      <c r="A33562" s="136"/>
      <c r="CM33562" s="111"/>
      <c r="CQ33562" s="111"/>
      <c r="EF33562"/>
      <c r="EG33562"/>
      <c r="EH33562"/>
      <c r="EI33562"/>
      <c r="EJ33562"/>
      <c r="EK33562"/>
    </row>
    <row r="33563" spans="1:141" s="116" customFormat="1">
      <c r="A33563" s="136"/>
      <c r="CM33563" s="111"/>
      <c r="CQ33563" s="111"/>
      <c r="EF33563"/>
      <c r="EG33563"/>
      <c r="EH33563"/>
      <c r="EI33563"/>
      <c r="EJ33563"/>
      <c r="EK33563"/>
    </row>
    <row r="33564" spans="1:141" s="116" customFormat="1">
      <c r="A33564" s="136"/>
      <c r="CM33564" s="111"/>
      <c r="CQ33564" s="111"/>
      <c r="EF33564"/>
      <c r="EG33564"/>
      <c r="EH33564"/>
      <c r="EI33564"/>
      <c r="EJ33564"/>
      <c r="EK33564"/>
    </row>
    <row r="33565" spans="1:141" s="116" customFormat="1">
      <c r="A33565" s="136"/>
      <c r="CM33565" s="111"/>
      <c r="CQ33565" s="111"/>
      <c r="EF33565"/>
      <c r="EG33565"/>
      <c r="EH33565"/>
      <c r="EI33565"/>
      <c r="EJ33565"/>
      <c r="EK33565"/>
    </row>
    <row r="33566" spans="1:141" s="116" customFormat="1">
      <c r="A33566" s="136"/>
      <c r="CM33566" s="111"/>
      <c r="CQ33566" s="111"/>
      <c r="EF33566"/>
      <c r="EG33566"/>
      <c r="EH33566"/>
      <c r="EI33566"/>
      <c r="EJ33566"/>
      <c r="EK33566"/>
    </row>
    <row r="33567" spans="1:141" s="116" customFormat="1">
      <c r="A33567" s="136"/>
      <c r="CM33567" s="111"/>
      <c r="CQ33567" s="111"/>
      <c r="EF33567"/>
      <c r="EG33567"/>
      <c r="EH33567"/>
      <c r="EI33567"/>
      <c r="EJ33567"/>
      <c r="EK33567"/>
    </row>
    <row r="33568" spans="1:141" s="116" customFormat="1">
      <c r="A33568" s="136"/>
      <c r="CM33568" s="111"/>
      <c r="CQ33568" s="111"/>
      <c r="EF33568"/>
      <c r="EG33568"/>
      <c r="EH33568"/>
      <c r="EI33568"/>
      <c r="EJ33568"/>
      <c r="EK33568"/>
    </row>
    <row r="33569" spans="1:141" s="116" customFormat="1">
      <c r="A33569" s="136"/>
      <c r="CM33569" s="111"/>
      <c r="CQ33569" s="111"/>
      <c r="EF33569"/>
      <c r="EG33569"/>
      <c r="EH33569"/>
      <c r="EI33569"/>
      <c r="EJ33569"/>
      <c r="EK33569"/>
    </row>
    <row r="33570" spans="1:141" s="116" customFormat="1">
      <c r="A33570" s="136"/>
      <c r="CM33570" s="111"/>
      <c r="CQ33570" s="111"/>
      <c r="EF33570"/>
      <c r="EG33570"/>
      <c r="EH33570"/>
      <c r="EI33570"/>
      <c r="EJ33570"/>
      <c r="EK33570"/>
    </row>
    <row r="33571" spans="1:141" s="116" customFormat="1">
      <c r="A33571" s="136"/>
      <c r="CM33571" s="111"/>
      <c r="CQ33571" s="111"/>
      <c r="EF33571"/>
      <c r="EG33571"/>
      <c r="EH33571"/>
      <c r="EI33571"/>
      <c r="EJ33571"/>
      <c r="EK33571"/>
    </row>
    <row r="33572" spans="1:141" s="116" customFormat="1">
      <c r="A33572" s="136"/>
      <c r="CM33572" s="111"/>
      <c r="CQ33572" s="111"/>
      <c r="EF33572"/>
      <c r="EG33572"/>
      <c r="EH33572"/>
      <c r="EI33572"/>
      <c r="EJ33572"/>
      <c r="EK33572"/>
    </row>
    <row r="33573" spans="1:141" s="116" customFormat="1">
      <c r="A33573" s="136"/>
      <c r="CM33573" s="111"/>
      <c r="CQ33573" s="111"/>
      <c r="EF33573"/>
      <c r="EG33573"/>
      <c r="EH33573"/>
      <c r="EI33573"/>
      <c r="EJ33573"/>
      <c r="EK33573"/>
    </row>
    <row r="33574" spans="1:141" s="116" customFormat="1">
      <c r="A33574" s="136"/>
      <c r="CM33574" s="111"/>
      <c r="CQ33574" s="111"/>
      <c r="EF33574"/>
      <c r="EG33574"/>
      <c r="EH33574"/>
      <c r="EI33574"/>
      <c r="EJ33574"/>
      <c r="EK33574"/>
    </row>
    <row r="33575" spans="1:141" s="116" customFormat="1">
      <c r="A33575" s="136"/>
      <c r="CM33575" s="111"/>
      <c r="CQ33575" s="111"/>
      <c r="EF33575"/>
      <c r="EG33575"/>
      <c r="EH33575"/>
      <c r="EI33575"/>
      <c r="EJ33575"/>
      <c r="EK33575"/>
    </row>
    <row r="33576" spans="1:141" s="116" customFormat="1">
      <c r="A33576" s="136"/>
      <c r="CM33576" s="111"/>
      <c r="CQ33576" s="111"/>
      <c r="EF33576"/>
      <c r="EG33576"/>
      <c r="EH33576"/>
      <c r="EI33576"/>
      <c r="EJ33576"/>
      <c r="EK33576"/>
    </row>
    <row r="33577" spans="1:141" s="116" customFormat="1">
      <c r="A33577" s="136"/>
      <c r="CM33577" s="111"/>
      <c r="CQ33577" s="111"/>
      <c r="EF33577"/>
      <c r="EG33577"/>
      <c r="EH33577"/>
      <c r="EI33577"/>
      <c r="EJ33577"/>
      <c r="EK33577"/>
    </row>
    <row r="33578" spans="1:141" s="116" customFormat="1">
      <c r="A33578" s="136"/>
      <c r="CM33578" s="111"/>
      <c r="CQ33578" s="111"/>
      <c r="EF33578"/>
      <c r="EG33578"/>
      <c r="EH33578"/>
      <c r="EI33578"/>
      <c r="EJ33578"/>
      <c r="EK33578"/>
    </row>
    <row r="33579" spans="1:141" s="116" customFormat="1">
      <c r="A33579" s="136"/>
      <c r="CM33579" s="111"/>
      <c r="CQ33579" s="111"/>
      <c r="EF33579"/>
      <c r="EG33579"/>
      <c r="EH33579"/>
      <c r="EI33579"/>
      <c r="EJ33579"/>
      <c r="EK33579"/>
    </row>
    <row r="33580" spans="1:141" s="116" customFormat="1">
      <c r="A33580" s="136"/>
      <c r="CM33580" s="111"/>
      <c r="CQ33580" s="111"/>
      <c r="EF33580"/>
      <c r="EG33580"/>
      <c r="EH33580"/>
      <c r="EI33580"/>
      <c r="EJ33580"/>
      <c r="EK33580"/>
    </row>
    <row r="33581" spans="1:141" s="116" customFormat="1">
      <c r="A33581" s="136"/>
      <c r="CM33581" s="111"/>
      <c r="CQ33581" s="111"/>
      <c r="EF33581"/>
      <c r="EG33581"/>
      <c r="EH33581"/>
      <c r="EI33581"/>
      <c r="EJ33581"/>
      <c r="EK33581"/>
    </row>
    <row r="33582" spans="1:141" s="116" customFormat="1">
      <c r="A33582" s="136"/>
      <c r="CM33582" s="111"/>
      <c r="CQ33582" s="111"/>
      <c r="EF33582"/>
      <c r="EG33582"/>
      <c r="EH33582"/>
      <c r="EI33582"/>
      <c r="EJ33582"/>
      <c r="EK33582"/>
    </row>
    <row r="33583" spans="1:141" s="116" customFormat="1">
      <c r="A33583" s="136"/>
      <c r="CM33583" s="111"/>
      <c r="CQ33583" s="111"/>
      <c r="EF33583"/>
      <c r="EG33583"/>
      <c r="EH33583"/>
      <c r="EI33583"/>
      <c r="EJ33583"/>
      <c r="EK33583"/>
    </row>
    <row r="33584" spans="1:141" s="116" customFormat="1">
      <c r="A33584" s="136"/>
      <c r="CM33584" s="111"/>
      <c r="CQ33584" s="111"/>
      <c r="EF33584"/>
      <c r="EG33584"/>
      <c r="EH33584"/>
      <c r="EI33584"/>
      <c r="EJ33584"/>
      <c r="EK33584"/>
    </row>
    <row r="33585" spans="1:141" s="116" customFormat="1">
      <c r="A33585" s="136"/>
      <c r="CM33585" s="111"/>
      <c r="CQ33585" s="111"/>
      <c r="EF33585"/>
      <c r="EG33585"/>
      <c r="EH33585"/>
      <c r="EI33585"/>
      <c r="EJ33585"/>
      <c r="EK33585"/>
    </row>
    <row r="33586" spans="1:141" s="116" customFormat="1">
      <c r="A33586" s="136"/>
      <c r="CM33586" s="111"/>
      <c r="CQ33586" s="111"/>
      <c r="EF33586"/>
      <c r="EG33586"/>
      <c r="EH33586"/>
      <c r="EI33586"/>
      <c r="EJ33586"/>
      <c r="EK33586"/>
    </row>
    <row r="33587" spans="1:141" s="116" customFormat="1">
      <c r="A33587" s="136"/>
      <c r="CM33587" s="111"/>
      <c r="CQ33587" s="111"/>
      <c r="EF33587"/>
      <c r="EG33587"/>
      <c r="EH33587"/>
      <c r="EI33587"/>
      <c r="EJ33587"/>
      <c r="EK33587"/>
    </row>
    <row r="33588" spans="1:141" s="116" customFormat="1">
      <c r="A33588" s="136"/>
      <c r="CM33588" s="111"/>
      <c r="CQ33588" s="111"/>
      <c r="EF33588"/>
      <c r="EG33588"/>
      <c r="EH33588"/>
      <c r="EI33588"/>
      <c r="EJ33588"/>
      <c r="EK33588"/>
    </row>
    <row r="33589" spans="1:141" s="116" customFormat="1">
      <c r="A33589" s="136"/>
      <c r="CM33589" s="111"/>
      <c r="CQ33589" s="111"/>
      <c r="EF33589"/>
      <c r="EG33589"/>
      <c r="EH33589"/>
      <c r="EI33589"/>
      <c r="EJ33589"/>
      <c r="EK33589"/>
    </row>
    <row r="33590" spans="1:141" s="116" customFormat="1">
      <c r="A33590" s="136"/>
      <c r="CM33590" s="111"/>
      <c r="CQ33590" s="111"/>
      <c r="EF33590"/>
      <c r="EG33590"/>
      <c r="EH33590"/>
      <c r="EI33590"/>
      <c r="EJ33590"/>
      <c r="EK33590"/>
    </row>
    <row r="33591" spans="1:141" s="116" customFormat="1">
      <c r="A33591" s="136"/>
      <c r="CM33591" s="111"/>
      <c r="CQ33591" s="111"/>
      <c r="EF33591"/>
      <c r="EG33591"/>
      <c r="EH33591"/>
      <c r="EI33591"/>
      <c r="EJ33591"/>
      <c r="EK33591"/>
    </row>
    <row r="33592" spans="1:141" s="116" customFormat="1">
      <c r="A33592" s="136"/>
      <c r="CM33592" s="111"/>
      <c r="CQ33592" s="111"/>
      <c r="EF33592"/>
      <c r="EG33592"/>
      <c r="EH33592"/>
      <c r="EI33592"/>
      <c r="EJ33592"/>
      <c r="EK33592"/>
    </row>
    <row r="33593" spans="1:141" s="116" customFormat="1">
      <c r="A33593" s="136"/>
      <c r="CM33593" s="111"/>
      <c r="CQ33593" s="111"/>
      <c r="EF33593"/>
      <c r="EG33593"/>
      <c r="EH33593"/>
      <c r="EI33593"/>
      <c r="EJ33593"/>
      <c r="EK33593"/>
    </row>
    <row r="33594" spans="1:141" s="116" customFormat="1">
      <c r="A33594" s="136"/>
      <c r="CM33594" s="111"/>
      <c r="CQ33594" s="111"/>
      <c r="EF33594"/>
      <c r="EG33594"/>
      <c r="EH33594"/>
      <c r="EI33594"/>
      <c r="EJ33594"/>
      <c r="EK33594"/>
    </row>
    <row r="33595" spans="1:141" s="116" customFormat="1">
      <c r="A33595" s="136"/>
      <c r="CM33595" s="111"/>
      <c r="CQ33595" s="111"/>
      <c r="EF33595"/>
      <c r="EG33595"/>
      <c r="EH33595"/>
      <c r="EI33595"/>
      <c r="EJ33595"/>
      <c r="EK33595"/>
    </row>
    <row r="33596" spans="1:141" s="116" customFormat="1">
      <c r="A33596" s="136"/>
      <c r="CM33596" s="111"/>
      <c r="CQ33596" s="111"/>
      <c r="EF33596"/>
      <c r="EG33596"/>
      <c r="EH33596"/>
      <c r="EI33596"/>
      <c r="EJ33596"/>
      <c r="EK33596"/>
    </row>
    <row r="33597" spans="1:141" s="116" customFormat="1">
      <c r="A33597" s="136"/>
      <c r="CM33597" s="111"/>
      <c r="CQ33597" s="111"/>
      <c r="EF33597"/>
      <c r="EG33597"/>
      <c r="EH33597"/>
      <c r="EI33597"/>
      <c r="EJ33597"/>
      <c r="EK33597"/>
    </row>
    <row r="33598" spans="1:141" s="116" customFormat="1">
      <c r="A33598" s="136"/>
      <c r="CM33598" s="111"/>
      <c r="CQ33598" s="111"/>
      <c r="EF33598"/>
      <c r="EG33598"/>
      <c r="EH33598"/>
      <c r="EI33598"/>
      <c r="EJ33598"/>
      <c r="EK33598"/>
    </row>
    <row r="33599" spans="1:141" s="116" customFormat="1">
      <c r="A33599" s="136"/>
      <c r="CM33599" s="111"/>
      <c r="CQ33599" s="111"/>
      <c r="EF33599"/>
      <c r="EG33599"/>
      <c r="EH33599"/>
      <c r="EI33599"/>
      <c r="EJ33599"/>
      <c r="EK33599"/>
    </row>
    <row r="33600" spans="1:141" s="116" customFormat="1">
      <c r="A33600" s="136"/>
      <c r="CM33600" s="111"/>
      <c r="CQ33600" s="111"/>
      <c r="EF33600"/>
      <c r="EG33600"/>
      <c r="EH33600"/>
      <c r="EI33600"/>
      <c r="EJ33600"/>
      <c r="EK33600"/>
    </row>
    <row r="33601" spans="1:141" s="116" customFormat="1">
      <c r="A33601" s="136"/>
      <c r="CM33601" s="111"/>
      <c r="CQ33601" s="111"/>
      <c r="EF33601"/>
      <c r="EG33601"/>
      <c r="EH33601"/>
      <c r="EI33601"/>
      <c r="EJ33601"/>
      <c r="EK33601"/>
    </row>
    <row r="33602" spans="1:141" s="116" customFormat="1">
      <c r="A33602" s="136"/>
      <c r="CM33602" s="111"/>
      <c r="CQ33602" s="111"/>
      <c r="EF33602"/>
      <c r="EG33602"/>
      <c r="EH33602"/>
      <c r="EI33602"/>
      <c r="EJ33602"/>
      <c r="EK33602"/>
    </row>
    <row r="33603" spans="1:141" s="116" customFormat="1">
      <c r="A33603" s="136"/>
      <c r="CM33603" s="111"/>
      <c r="CQ33603" s="111"/>
      <c r="EF33603"/>
      <c r="EG33603"/>
      <c r="EH33603"/>
      <c r="EI33603"/>
      <c r="EJ33603"/>
      <c r="EK33603"/>
    </row>
    <row r="33604" spans="1:141" s="116" customFormat="1">
      <c r="A33604" s="136"/>
      <c r="CM33604" s="111"/>
      <c r="CQ33604" s="111"/>
      <c r="EF33604"/>
      <c r="EG33604"/>
      <c r="EH33604"/>
      <c r="EI33604"/>
      <c r="EJ33604"/>
      <c r="EK33604"/>
    </row>
    <row r="33605" spans="1:141" s="116" customFormat="1">
      <c r="A33605" s="136"/>
      <c r="CM33605" s="111"/>
      <c r="CQ33605" s="111"/>
      <c r="EF33605"/>
      <c r="EG33605"/>
      <c r="EH33605"/>
      <c r="EI33605"/>
      <c r="EJ33605"/>
      <c r="EK33605"/>
    </row>
    <row r="33606" spans="1:141" s="116" customFormat="1">
      <c r="A33606" s="136"/>
      <c r="CM33606" s="111"/>
      <c r="CQ33606" s="111"/>
      <c r="EF33606"/>
      <c r="EG33606"/>
      <c r="EH33606"/>
      <c r="EI33606"/>
      <c r="EJ33606"/>
      <c r="EK33606"/>
    </row>
    <row r="33607" spans="1:141" s="116" customFormat="1">
      <c r="A33607" s="136"/>
      <c r="CM33607" s="111"/>
      <c r="CQ33607" s="111"/>
      <c r="EF33607"/>
      <c r="EG33607"/>
      <c r="EH33607"/>
      <c r="EI33607"/>
      <c r="EJ33607"/>
      <c r="EK33607"/>
    </row>
    <row r="33608" spans="1:141" s="116" customFormat="1">
      <c r="A33608" s="136"/>
      <c r="CM33608" s="111"/>
      <c r="CQ33608" s="111"/>
      <c r="EF33608"/>
      <c r="EG33608"/>
      <c r="EH33608"/>
      <c r="EI33608"/>
      <c r="EJ33608"/>
      <c r="EK33608"/>
    </row>
    <row r="33609" spans="1:141" s="116" customFormat="1">
      <c r="A33609" s="136"/>
      <c r="CM33609" s="111"/>
      <c r="CQ33609" s="111"/>
      <c r="EF33609"/>
      <c r="EG33609"/>
      <c r="EH33609"/>
      <c r="EI33609"/>
      <c r="EJ33609"/>
      <c r="EK33609"/>
    </row>
    <row r="33610" spans="1:141" s="116" customFormat="1">
      <c r="A33610" s="136"/>
      <c r="CM33610" s="111"/>
      <c r="CQ33610" s="111"/>
      <c r="EF33610"/>
      <c r="EG33610"/>
      <c r="EH33610"/>
      <c r="EI33610"/>
      <c r="EJ33610"/>
      <c r="EK33610"/>
    </row>
    <row r="33611" spans="1:141" s="116" customFormat="1">
      <c r="A33611" s="136"/>
      <c r="CM33611" s="111"/>
      <c r="CQ33611" s="111"/>
      <c r="EF33611"/>
      <c r="EG33611"/>
      <c r="EH33611"/>
      <c r="EI33611"/>
      <c r="EJ33611"/>
      <c r="EK33611"/>
    </row>
    <row r="33612" spans="1:141" s="116" customFormat="1">
      <c r="A33612" s="136"/>
      <c r="CM33612" s="111"/>
      <c r="CQ33612" s="111"/>
      <c r="EF33612"/>
      <c r="EG33612"/>
      <c r="EH33612"/>
      <c r="EI33612"/>
      <c r="EJ33612"/>
      <c r="EK33612"/>
    </row>
    <row r="33613" spans="1:141" s="116" customFormat="1">
      <c r="A33613" s="136"/>
      <c r="CM33613" s="111"/>
      <c r="CQ33613" s="111"/>
      <c r="EF33613"/>
      <c r="EG33613"/>
      <c r="EH33613"/>
      <c r="EI33613"/>
      <c r="EJ33613"/>
      <c r="EK33613"/>
    </row>
    <row r="33614" spans="1:141" s="116" customFormat="1">
      <c r="A33614" s="136"/>
      <c r="CM33614" s="111"/>
      <c r="CQ33614" s="111"/>
      <c r="EF33614"/>
      <c r="EG33614"/>
      <c r="EH33614"/>
      <c r="EI33614"/>
      <c r="EJ33614"/>
      <c r="EK33614"/>
    </row>
    <row r="33615" spans="1:141" s="116" customFormat="1">
      <c r="A33615" s="136"/>
      <c r="CM33615" s="111"/>
      <c r="CQ33615" s="111"/>
      <c r="EF33615"/>
      <c r="EG33615"/>
      <c r="EH33615"/>
      <c r="EI33615"/>
      <c r="EJ33615"/>
      <c r="EK33615"/>
    </row>
    <row r="33616" spans="1:141" s="116" customFormat="1">
      <c r="A33616" s="136"/>
      <c r="CM33616" s="111"/>
      <c r="CQ33616" s="111"/>
      <c r="EF33616"/>
      <c r="EG33616"/>
      <c r="EH33616"/>
      <c r="EI33616"/>
      <c r="EJ33616"/>
      <c r="EK33616"/>
    </row>
    <row r="33617" spans="1:141" s="116" customFormat="1">
      <c r="A33617" s="136"/>
      <c r="CM33617" s="111"/>
      <c r="CQ33617" s="111"/>
      <c r="EF33617"/>
      <c r="EG33617"/>
      <c r="EH33617"/>
      <c r="EI33617"/>
      <c r="EJ33617"/>
      <c r="EK33617"/>
    </row>
    <row r="33618" spans="1:141" s="116" customFormat="1">
      <c r="A33618" s="136"/>
      <c r="CM33618" s="111"/>
      <c r="CQ33618" s="111"/>
      <c r="EF33618"/>
      <c r="EG33618"/>
      <c r="EH33618"/>
      <c r="EI33618"/>
      <c r="EJ33618"/>
      <c r="EK33618"/>
    </row>
    <row r="33619" spans="1:141" s="116" customFormat="1">
      <c r="A33619" s="136"/>
      <c r="CM33619" s="111"/>
      <c r="CQ33619" s="111"/>
      <c r="EF33619"/>
      <c r="EG33619"/>
      <c r="EH33619"/>
      <c r="EI33619"/>
      <c r="EJ33619"/>
      <c r="EK33619"/>
    </row>
    <row r="33620" spans="1:141" s="116" customFormat="1">
      <c r="A33620" s="136"/>
      <c r="CM33620" s="111"/>
      <c r="CQ33620" s="111"/>
      <c r="EF33620"/>
      <c r="EG33620"/>
      <c r="EH33620"/>
      <c r="EI33620"/>
      <c r="EJ33620"/>
      <c r="EK33620"/>
    </row>
    <row r="33621" spans="1:141" s="116" customFormat="1">
      <c r="A33621" s="136"/>
      <c r="CM33621" s="111"/>
      <c r="CQ33621" s="111"/>
      <c r="EF33621"/>
      <c r="EG33621"/>
      <c r="EH33621"/>
      <c r="EI33621"/>
      <c r="EJ33621"/>
      <c r="EK33621"/>
    </row>
    <row r="33622" spans="1:141" s="116" customFormat="1">
      <c r="A33622" s="136"/>
      <c r="CM33622" s="111"/>
      <c r="CQ33622" s="111"/>
      <c r="EF33622"/>
      <c r="EG33622"/>
      <c r="EH33622"/>
      <c r="EI33622"/>
      <c r="EJ33622"/>
      <c r="EK33622"/>
    </row>
    <row r="33623" spans="1:141" s="116" customFormat="1">
      <c r="A33623" s="136"/>
      <c r="CM33623" s="111"/>
      <c r="CQ33623" s="111"/>
      <c r="EF33623"/>
      <c r="EG33623"/>
      <c r="EH33623"/>
      <c r="EI33623"/>
      <c r="EJ33623"/>
      <c r="EK33623"/>
    </row>
    <row r="33624" spans="1:141" s="116" customFormat="1">
      <c r="A33624" s="136"/>
      <c r="CM33624" s="111"/>
      <c r="CQ33624" s="111"/>
      <c r="EF33624"/>
      <c r="EG33624"/>
      <c r="EH33624"/>
      <c r="EI33624"/>
      <c r="EJ33624"/>
      <c r="EK33624"/>
    </row>
    <row r="33625" spans="1:141" s="116" customFormat="1">
      <c r="A33625" s="136"/>
      <c r="CM33625" s="111"/>
      <c r="CQ33625" s="111"/>
      <c r="EF33625"/>
      <c r="EG33625"/>
      <c r="EH33625"/>
      <c r="EI33625"/>
      <c r="EJ33625"/>
      <c r="EK33625"/>
    </row>
    <row r="33626" spans="1:141" s="116" customFormat="1">
      <c r="A33626" s="136"/>
      <c r="CM33626" s="111"/>
      <c r="CQ33626" s="111"/>
      <c r="EF33626"/>
      <c r="EG33626"/>
      <c r="EH33626"/>
      <c r="EI33626"/>
      <c r="EJ33626"/>
      <c r="EK33626"/>
    </row>
    <row r="33627" spans="1:141" s="116" customFormat="1">
      <c r="A33627" s="136"/>
      <c r="CM33627" s="111"/>
      <c r="CQ33627" s="111"/>
      <c r="EF33627"/>
      <c r="EG33627"/>
      <c r="EH33627"/>
      <c r="EI33627"/>
      <c r="EJ33627"/>
      <c r="EK33627"/>
    </row>
    <row r="33628" spans="1:141" s="116" customFormat="1">
      <c r="A33628" s="136"/>
      <c r="CM33628" s="111"/>
      <c r="CQ33628" s="111"/>
      <c r="EF33628"/>
      <c r="EG33628"/>
      <c r="EH33628"/>
      <c r="EI33628"/>
      <c r="EJ33628"/>
      <c r="EK33628"/>
    </row>
    <row r="33629" spans="1:141" s="116" customFormat="1">
      <c r="A33629" s="136"/>
      <c r="CM33629" s="111"/>
      <c r="CQ33629" s="111"/>
      <c r="EF33629"/>
      <c r="EG33629"/>
      <c r="EH33629"/>
      <c r="EI33629"/>
      <c r="EJ33629"/>
      <c r="EK33629"/>
    </row>
    <row r="33630" spans="1:141" s="116" customFormat="1">
      <c r="A33630" s="136"/>
      <c r="CM33630" s="111"/>
      <c r="CQ33630" s="111"/>
      <c r="EF33630"/>
      <c r="EG33630"/>
      <c r="EH33630"/>
      <c r="EI33630"/>
      <c r="EJ33630"/>
      <c r="EK33630"/>
    </row>
    <row r="33631" spans="1:141" s="116" customFormat="1">
      <c r="A33631" s="136"/>
      <c r="CM33631" s="111"/>
      <c r="CQ33631" s="111"/>
      <c r="EF33631"/>
      <c r="EG33631"/>
      <c r="EH33631"/>
      <c r="EI33631"/>
      <c r="EJ33631"/>
      <c r="EK33631"/>
    </row>
    <row r="33632" spans="1:141" s="116" customFormat="1">
      <c r="A33632" s="136"/>
      <c r="CM33632" s="111"/>
      <c r="CQ33632" s="111"/>
      <c r="EF33632"/>
      <c r="EG33632"/>
      <c r="EH33632"/>
      <c r="EI33632"/>
      <c r="EJ33632"/>
      <c r="EK33632"/>
    </row>
    <row r="33633" spans="1:141" s="116" customFormat="1">
      <c r="A33633" s="136"/>
      <c r="CM33633" s="111"/>
      <c r="CQ33633" s="111"/>
      <c r="EF33633"/>
      <c r="EG33633"/>
      <c r="EH33633"/>
      <c r="EI33633"/>
      <c r="EJ33633"/>
      <c r="EK33633"/>
    </row>
    <row r="33634" spans="1:141" s="116" customFormat="1">
      <c r="A33634" s="136"/>
      <c r="CM33634" s="111"/>
      <c r="CQ33634" s="111"/>
      <c r="EF33634"/>
      <c r="EG33634"/>
      <c r="EH33634"/>
      <c r="EI33634"/>
      <c r="EJ33634"/>
      <c r="EK33634"/>
    </row>
    <row r="33635" spans="1:141" s="116" customFormat="1">
      <c r="A33635" s="136"/>
      <c r="CM33635" s="111"/>
      <c r="CQ33635" s="111"/>
      <c r="EF33635"/>
      <c r="EG33635"/>
      <c r="EH33635"/>
      <c r="EI33635"/>
      <c r="EJ33635"/>
      <c r="EK33635"/>
    </row>
    <row r="33636" spans="1:141" s="116" customFormat="1">
      <c r="A33636" s="136"/>
      <c r="CM33636" s="111"/>
      <c r="CQ33636" s="111"/>
      <c r="EF33636"/>
      <c r="EG33636"/>
      <c r="EH33636"/>
      <c r="EI33636"/>
      <c r="EJ33636"/>
      <c r="EK33636"/>
    </row>
    <row r="33637" spans="1:141" s="116" customFormat="1">
      <c r="A33637" s="136"/>
      <c r="CM33637" s="111"/>
      <c r="CQ33637" s="111"/>
      <c r="EF33637"/>
      <c r="EG33637"/>
      <c r="EH33637"/>
      <c r="EI33637"/>
      <c r="EJ33637"/>
      <c r="EK33637"/>
    </row>
    <row r="33638" spans="1:141" s="116" customFormat="1">
      <c r="A33638" s="136"/>
      <c r="CM33638" s="111"/>
      <c r="CQ33638" s="111"/>
      <c r="EF33638"/>
      <c r="EG33638"/>
      <c r="EH33638"/>
      <c r="EI33638"/>
      <c r="EJ33638"/>
      <c r="EK33638"/>
    </row>
    <row r="33639" spans="1:141" s="116" customFormat="1">
      <c r="A33639" s="136"/>
      <c r="CM33639" s="111"/>
      <c r="CQ33639" s="111"/>
      <c r="EF33639"/>
      <c r="EG33639"/>
      <c r="EH33639"/>
      <c r="EI33639"/>
      <c r="EJ33639"/>
      <c r="EK33639"/>
    </row>
    <row r="33640" spans="1:141" s="116" customFormat="1">
      <c r="A33640" s="136"/>
      <c r="CM33640" s="111"/>
      <c r="CQ33640" s="111"/>
      <c r="EF33640"/>
      <c r="EG33640"/>
      <c r="EH33640"/>
      <c r="EI33640"/>
      <c r="EJ33640"/>
      <c r="EK33640"/>
    </row>
    <row r="33641" spans="1:141" s="116" customFormat="1">
      <c r="A33641" s="136"/>
      <c r="CM33641" s="111"/>
      <c r="CQ33641" s="111"/>
      <c r="EF33641"/>
      <c r="EG33641"/>
      <c r="EH33641"/>
      <c r="EI33641"/>
      <c r="EJ33641"/>
      <c r="EK33641"/>
    </row>
    <row r="33642" spans="1:141" s="116" customFormat="1">
      <c r="A33642" s="136"/>
      <c r="CM33642" s="111"/>
      <c r="CQ33642" s="111"/>
      <c r="EF33642"/>
      <c r="EG33642"/>
      <c r="EH33642"/>
      <c r="EI33642"/>
      <c r="EJ33642"/>
      <c r="EK33642"/>
    </row>
    <row r="33643" spans="1:141" s="116" customFormat="1">
      <c r="A33643" s="136"/>
      <c r="CM33643" s="111"/>
      <c r="CQ33643" s="111"/>
      <c r="EF33643"/>
      <c r="EG33643"/>
      <c r="EH33643"/>
      <c r="EI33643"/>
      <c r="EJ33643"/>
      <c r="EK33643"/>
    </row>
    <row r="33644" spans="1:141" s="116" customFormat="1">
      <c r="A33644" s="136"/>
      <c r="CM33644" s="111"/>
      <c r="CQ33644" s="111"/>
      <c r="EF33644"/>
      <c r="EG33644"/>
      <c r="EH33644"/>
      <c r="EI33644"/>
      <c r="EJ33644"/>
      <c r="EK33644"/>
    </row>
    <row r="33645" spans="1:141" s="116" customFormat="1">
      <c r="A33645" s="136"/>
      <c r="CM33645" s="111"/>
      <c r="CQ33645" s="111"/>
      <c r="EF33645"/>
      <c r="EG33645"/>
      <c r="EH33645"/>
      <c r="EI33645"/>
      <c r="EJ33645"/>
      <c r="EK33645"/>
    </row>
    <row r="33646" spans="1:141" s="116" customFormat="1">
      <c r="A33646" s="136"/>
      <c r="CM33646" s="111"/>
      <c r="CQ33646" s="111"/>
      <c r="EF33646"/>
      <c r="EG33646"/>
      <c r="EH33646"/>
      <c r="EI33646"/>
      <c r="EJ33646"/>
      <c r="EK33646"/>
    </row>
    <row r="33647" spans="1:141" s="116" customFormat="1">
      <c r="A33647" s="136"/>
      <c r="CM33647" s="111"/>
      <c r="CQ33647" s="111"/>
      <c r="EF33647"/>
      <c r="EG33647"/>
      <c r="EH33647"/>
      <c r="EI33647"/>
      <c r="EJ33647"/>
      <c r="EK33647"/>
    </row>
    <row r="33648" spans="1:141" s="116" customFormat="1">
      <c r="A33648" s="136"/>
      <c r="CM33648" s="111"/>
      <c r="CQ33648" s="111"/>
      <c r="EF33648"/>
      <c r="EG33648"/>
      <c r="EH33648"/>
      <c r="EI33648"/>
      <c r="EJ33648"/>
      <c r="EK33648"/>
    </row>
    <row r="33649" spans="1:141" s="116" customFormat="1">
      <c r="A33649" s="136"/>
      <c r="CM33649" s="111"/>
      <c r="CQ33649" s="111"/>
      <c r="EF33649"/>
      <c r="EG33649"/>
      <c r="EH33649"/>
      <c r="EI33649"/>
      <c r="EJ33649"/>
      <c r="EK33649"/>
    </row>
    <row r="33650" spans="1:141" s="116" customFormat="1">
      <c r="A33650" s="136"/>
      <c r="CM33650" s="111"/>
      <c r="CQ33650" s="111"/>
      <c r="EF33650"/>
      <c r="EG33650"/>
      <c r="EH33650"/>
      <c r="EI33650"/>
      <c r="EJ33650"/>
      <c r="EK33650"/>
    </row>
    <row r="33651" spans="1:141" s="116" customFormat="1">
      <c r="A33651" s="136"/>
      <c r="CM33651" s="111"/>
      <c r="CQ33651" s="111"/>
      <c r="EF33651"/>
      <c r="EG33651"/>
      <c r="EH33651"/>
      <c r="EI33651"/>
      <c r="EJ33651"/>
      <c r="EK33651"/>
    </row>
    <row r="33652" spans="1:141" s="116" customFormat="1">
      <c r="A33652" s="136"/>
      <c r="CM33652" s="111"/>
      <c r="CQ33652" s="111"/>
      <c r="EF33652"/>
      <c r="EG33652"/>
      <c r="EH33652"/>
      <c r="EI33652"/>
      <c r="EJ33652"/>
      <c r="EK33652"/>
    </row>
    <row r="33653" spans="1:141" s="116" customFormat="1">
      <c r="A33653" s="136"/>
      <c r="CM33653" s="111"/>
      <c r="CQ33653" s="111"/>
      <c r="EF33653"/>
      <c r="EG33653"/>
      <c r="EH33653"/>
      <c r="EI33653"/>
      <c r="EJ33653"/>
      <c r="EK33653"/>
    </row>
    <row r="33654" spans="1:141" s="116" customFormat="1">
      <c r="A33654" s="136"/>
      <c r="CM33654" s="111"/>
      <c r="CQ33654" s="111"/>
      <c r="EF33654"/>
      <c r="EG33654"/>
      <c r="EH33654"/>
      <c r="EI33654"/>
      <c r="EJ33654"/>
      <c r="EK33654"/>
    </row>
    <row r="33655" spans="1:141" s="116" customFormat="1">
      <c r="A33655" s="136"/>
      <c r="CM33655" s="111"/>
      <c r="CQ33655" s="111"/>
      <c r="EF33655"/>
      <c r="EG33655"/>
      <c r="EH33655"/>
      <c r="EI33655"/>
      <c r="EJ33655"/>
      <c r="EK33655"/>
    </row>
    <row r="33656" spans="1:141" s="116" customFormat="1">
      <c r="A33656" s="136"/>
      <c r="CM33656" s="111"/>
      <c r="CQ33656" s="111"/>
      <c r="EF33656"/>
      <c r="EG33656"/>
      <c r="EH33656"/>
      <c r="EI33656"/>
      <c r="EJ33656"/>
      <c r="EK33656"/>
    </row>
    <row r="33657" spans="1:141" s="116" customFormat="1">
      <c r="A33657" s="136"/>
      <c r="CM33657" s="111"/>
      <c r="CQ33657" s="111"/>
      <c r="EF33657"/>
      <c r="EG33657"/>
      <c r="EH33657"/>
      <c r="EI33657"/>
      <c r="EJ33657"/>
      <c r="EK33657"/>
    </row>
    <row r="33658" spans="1:141" s="116" customFormat="1">
      <c r="A33658" s="136"/>
      <c r="CM33658" s="111"/>
      <c r="CQ33658" s="111"/>
      <c r="EF33658"/>
      <c r="EG33658"/>
      <c r="EH33658"/>
      <c r="EI33658"/>
      <c r="EJ33658"/>
      <c r="EK33658"/>
    </row>
    <row r="33659" spans="1:141" s="116" customFormat="1">
      <c r="A33659" s="136"/>
      <c r="CM33659" s="111"/>
      <c r="CQ33659" s="111"/>
      <c r="EF33659"/>
      <c r="EG33659"/>
      <c r="EH33659"/>
      <c r="EI33659"/>
      <c r="EJ33659"/>
      <c r="EK33659"/>
    </row>
    <row r="33660" spans="1:141" s="116" customFormat="1">
      <c r="A33660" s="136"/>
      <c r="CM33660" s="111"/>
      <c r="CQ33660" s="111"/>
      <c r="EF33660"/>
      <c r="EG33660"/>
      <c r="EH33660"/>
      <c r="EI33660"/>
      <c r="EJ33660"/>
      <c r="EK33660"/>
    </row>
    <row r="33661" spans="1:141" s="116" customFormat="1">
      <c r="A33661" s="136"/>
      <c r="CM33661" s="111"/>
      <c r="CQ33661" s="111"/>
      <c r="EF33661"/>
      <c r="EG33661"/>
      <c r="EH33661"/>
      <c r="EI33661"/>
      <c r="EJ33661"/>
      <c r="EK33661"/>
    </row>
    <row r="33662" spans="1:141" s="116" customFormat="1">
      <c r="A33662" s="136"/>
      <c r="CM33662" s="111"/>
      <c r="CQ33662" s="111"/>
      <c r="EF33662"/>
      <c r="EG33662"/>
      <c r="EH33662"/>
      <c r="EI33662"/>
      <c r="EJ33662"/>
      <c r="EK33662"/>
    </row>
    <row r="33663" spans="1:141" s="116" customFormat="1">
      <c r="A33663" s="136"/>
      <c r="CM33663" s="111"/>
      <c r="CQ33663" s="111"/>
      <c r="EF33663"/>
      <c r="EG33663"/>
      <c r="EH33663"/>
      <c r="EI33663"/>
      <c r="EJ33663"/>
      <c r="EK33663"/>
    </row>
    <row r="33664" spans="1:141" s="116" customFormat="1">
      <c r="A33664" s="136"/>
      <c r="CM33664" s="111"/>
      <c r="CQ33664" s="111"/>
      <c r="EF33664"/>
      <c r="EG33664"/>
      <c r="EH33664"/>
      <c r="EI33664"/>
      <c r="EJ33664"/>
      <c r="EK33664"/>
    </row>
    <row r="33665" spans="1:141" s="116" customFormat="1">
      <c r="A33665" s="136"/>
      <c r="CM33665" s="111"/>
      <c r="CQ33665" s="111"/>
      <c r="EF33665"/>
      <c r="EG33665"/>
      <c r="EH33665"/>
      <c r="EI33665"/>
      <c r="EJ33665"/>
      <c r="EK33665"/>
    </row>
    <row r="33666" spans="1:141" s="116" customFormat="1">
      <c r="A33666" s="136"/>
      <c r="CM33666" s="111"/>
      <c r="CQ33666" s="111"/>
      <c r="EF33666"/>
      <c r="EG33666"/>
      <c r="EH33666"/>
      <c r="EI33666"/>
      <c r="EJ33666"/>
      <c r="EK33666"/>
    </row>
    <row r="33667" spans="1:141" s="116" customFormat="1">
      <c r="A33667" s="136"/>
      <c r="CM33667" s="111"/>
      <c r="CQ33667" s="111"/>
      <c r="EF33667"/>
      <c r="EG33667"/>
      <c r="EH33667"/>
      <c r="EI33667"/>
      <c r="EJ33667"/>
      <c r="EK33667"/>
    </row>
    <row r="33668" spans="1:141" s="116" customFormat="1">
      <c r="A33668" s="136"/>
      <c r="CM33668" s="111"/>
      <c r="CQ33668" s="111"/>
      <c r="EF33668"/>
      <c r="EG33668"/>
      <c r="EH33668"/>
      <c r="EI33668"/>
      <c r="EJ33668"/>
      <c r="EK33668"/>
    </row>
    <row r="33669" spans="1:141" s="116" customFormat="1">
      <c r="A33669" s="136"/>
      <c r="CM33669" s="111"/>
      <c r="CQ33669" s="111"/>
      <c r="EF33669"/>
      <c r="EG33669"/>
      <c r="EH33669"/>
      <c r="EI33669"/>
      <c r="EJ33669"/>
      <c r="EK33669"/>
    </row>
    <row r="33670" spans="1:141" s="116" customFormat="1">
      <c r="A33670" s="136"/>
      <c r="CM33670" s="111"/>
      <c r="CQ33670" s="111"/>
      <c r="EF33670"/>
      <c r="EG33670"/>
      <c r="EH33670"/>
      <c r="EI33670"/>
      <c r="EJ33670"/>
      <c r="EK33670"/>
    </row>
    <row r="33671" spans="1:141" s="116" customFormat="1">
      <c r="A33671" s="136"/>
      <c r="CM33671" s="111"/>
      <c r="CQ33671" s="111"/>
      <c r="EF33671"/>
      <c r="EG33671"/>
      <c r="EH33671"/>
      <c r="EI33671"/>
      <c r="EJ33671"/>
      <c r="EK33671"/>
    </row>
    <row r="33672" spans="1:141" s="116" customFormat="1">
      <c r="A33672" s="136"/>
      <c r="CM33672" s="111"/>
      <c r="CQ33672" s="111"/>
      <c r="EF33672"/>
      <c r="EG33672"/>
      <c r="EH33672"/>
      <c r="EI33672"/>
      <c r="EJ33672"/>
      <c r="EK33672"/>
    </row>
    <row r="33673" spans="1:141" s="116" customFormat="1">
      <c r="A33673" s="136"/>
      <c r="CM33673" s="111"/>
      <c r="CQ33673" s="111"/>
      <c r="EF33673"/>
      <c r="EG33673"/>
      <c r="EH33673"/>
      <c r="EI33673"/>
      <c r="EJ33673"/>
      <c r="EK33673"/>
    </row>
    <row r="33674" spans="1:141" s="116" customFormat="1">
      <c r="A33674" s="136"/>
      <c r="CM33674" s="111"/>
      <c r="CQ33674" s="111"/>
      <c r="EF33674"/>
      <c r="EG33674"/>
      <c r="EH33674"/>
      <c r="EI33674"/>
      <c r="EJ33674"/>
      <c r="EK33674"/>
    </row>
    <row r="33675" spans="1:141" s="116" customFormat="1">
      <c r="A33675" s="136"/>
      <c r="CM33675" s="111"/>
      <c r="CQ33675" s="111"/>
      <c r="EF33675"/>
      <c r="EG33675"/>
      <c r="EH33675"/>
      <c r="EI33675"/>
      <c r="EJ33675"/>
      <c r="EK33675"/>
    </row>
    <row r="33676" spans="1:141" s="116" customFormat="1">
      <c r="A33676" s="136"/>
      <c r="CM33676" s="111"/>
      <c r="CQ33676" s="111"/>
      <c r="EF33676"/>
      <c r="EG33676"/>
      <c r="EH33676"/>
      <c r="EI33676"/>
      <c r="EJ33676"/>
      <c r="EK33676"/>
    </row>
    <row r="33677" spans="1:141" s="116" customFormat="1">
      <c r="A33677" s="136"/>
      <c r="CM33677" s="111"/>
      <c r="CQ33677" s="111"/>
      <c r="EF33677"/>
      <c r="EG33677"/>
      <c r="EH33677"/>
      <c r="EI33677"/>
      <c r="EJ33677"/>
      <c r="EK33677"/>
    </row>
    <row r="33678" spans="1:141" s="116" customFormat="1">
      <c r="A33678" s="136"/>
      <c r="CM33678" s="111"/>
      <c r="CQ33678" s="111"/>
      <c r="EF33678"/>
      <c r="EG33678"/>
      <c r="EH33678"/>
      <c r="EI33678"/>
      <c r="EJ33678"/>
      <c r="EK33678"/>
    </row>
    <row r="33679" spans="1:141" s="116" customFormat="1">
      <c r="A33679" s="136"/>
      <c r="CM33679" s="111"/>
      <c r="CQ33679" s="111"/>
      <c r="EF33679"/>
      <c r="EG33679"/>
      <c r="EH33679"/>
      <c r="EI33679"/>
      <c r="EJ33679"/>
      <c r="EK33679"/>
    </row>
    <row r="33680" spans="1:141" s="116" customFormat="1">
      <c r="A33680" s="136"/>
      <c r="CM33680" s="111"/>
      <c r="CQ33680" s="111"/>
      <c r="EF33680"/>
      <c r="EG33680"/>
      <c r="EH33680"/>
      <c r="EI33680"/>
      <c r="EJ33680"/>
      <c r="EK33680"/>
    </row>
    <row r="33681" spans="1:141" s="116" customFormat="1">
      <c r="A33681" s="136"/>
      <c r="CM33681" s="111"/>
      <c r="CQ33681" s="111"/>
      <c r="EF33681"/>
      <c r="EG33681"/>
      <c r="EH33681"/>
      <c r="EI33681"/>
      <c r="EJ33681"/>
      <c r="EK33681"/>
    </row>
    <row r="33682" spans="1:141" s="116" customFormat="1">
      <c r="A33682" s="136"/>
      <c r="CM33682" s="111"/>
      <c r="CQ33682" s="111"/>
      <c r="EF33682"/>
      <c r="EG33682"/>
      <c r="EH33682"/>
      <c r="EI33682"/>
      <c r="EJ33682"/>
      <c r="EK33682"/>
    </row>
    <row r="33683" spans="1:141" s="116" customFormat="1">
      <c r="A33683" s="136"/>
      <c r="CM33683" s="111"/>
      <c r="CQ33683" s="111"/>
      <c r="EF33683"/>
      <c r="EG33683"/>
      <c r="EH33683"/>
      <c r="EI33683"/>
      <c r="EJ33683"/>
      <c r="EK33683"/>
    </row>
    <row r="33684" spans="1:141" s="116" customFormat="1">
      <c r="A33684" s="136"/>
      <c r="CM33684" s="111"/>
      <c r="CQ33684" s="111"/>
      <c r="EF33684"/>
      <c r="EG33684"/>
      <c r="EH33684"/>
      <c r="EI33684"/>
      <c r="EJ33684"/>
      <c r="EK33684"/>
    </row>
    <row r="33685" spans="1:141" s="116" customFormat="1">
      <c r="A33685" s="136"/>
      <c r="CM33685" s="111"/>
      <c r="CQ33685" s="111"/>
      <c r="EF33685"/>
      <c r="EG33685"/>
      <c r="EH33685"/>
      <c r="EI33685"/>
      <c r="EJ33685"/>
      <c r="EK33685"/>
    </row>
    <row r="33686" spans="1:141" s="116" customFormat="1">
      <c r="A33686" s="136"/>
      <c r="CM33686" s="111"/>
      <c r="CQ33686" s="111"/>
      <c r="EF33686"/>
      <c r="EG33686"/>
      <c r="EH33686"/>
      <c r="EI33686"/>
      <c r="EJ33686"/>
      <c r="EK33686"/>
    </row>
    <row r="33687" spans="1:141" s="116" customFormat="1">
      <c r="A33687" s="136"/>
      <c r="CM33687" s="111"/>
      <c r="CQ33687" s="111"/>
      <c r="EF33687"/>
      <c r="EG33687"/>
      <c r="EH33687"/>
      <c r="EI33687"/>
      <c r="EJ33687"/>
      <c r="EK33687"/>
    </row>
    <row r="33688" spans="1:141" s="116" customFormat="1">
      <c r="A33688" s="136"/>
      <c r="CM33688" s="111"/>
      <c r="CQ33688" s="111"/>
      <c r="EF33688"/>
      <c r="EG33688"/>
      <c r="EH33688"/>
      <c r="EI33688"/>
      <c r="EJ33688"/>
      <c r="EK33688"/>
    </row>
    <row r="33689" spans="1:141" s="116" customFormat="1">
      <c r="A33689" s="136"/>
      <c r="CM33689" s="111"/>
      <c r="CQ33689" s="111"/>
      <c r="EF33689"/>
      <c r="EG33689"/>
      <c r="EH33689"/>
      <c r="EI33689"/>
      <c r="EJ33689"/>
      <c r="EK33689"/>
    </row>
    <row r="33690" spans="1:141" s="116" customFormat="1">
      <c r="A33690" s="136"/>
      <c r="CM33690" s="111"/>
      <c r="CQ33690" s="111"/>
      <c r="EF33690"/>
      <c r="EG33690"/>
      <c r="EH33690"/>
      <c r="EI33690"/>
      <c r="EJ33690"/>
      <c r="EK33690"/>
    </row>
    <row r="33691" spans="1:141" s="116" customFormat="1">
      <c r="A33691" s="136"/>
      <c r="CM33691" s="111"/>
      <c r="CQ33691" s="111"/>
      <c r="EF33691"/>
      <c r="EG33691"/>
      <c r="EH33691"/>
      <c r="EI33691"/>
      <c r="EJ33691"/>
      <c r="EK33691"/>
    </row>
    <row r="33692" spans="1:141" s="116" customFormat="1">
      <c r="A33692" s="136"/>
      <c r="CM33692" s="111"/>
      <c r="CQ33692" s="111"/>
      <c r="EF33692"/>
      <c r="EG33692"/>
      <c r="EH33692"/>
      <c r="EI33692"/>
      <c r="EJ33692"/>
      <c r="EK33692"/>
    </row>
    <row r="33693" spans="1:141" s="116" customFormat="1">
      <c r="A33693" s="136"/>
      <c r="CM33693" s="111"/>
      <c r="CQ33693" s="111"/>
      <c r="EF33693"/>
      <c r="EG33693"/>
      <c r="EH33693"/>
      <c r="EI33693"/>
      <c r="EJ33693"/>
      <c r="EK33693"/>
    </row>
    <row r="33694" spans="1:141" s="116" customFormat="1">
      <c r="A33694" s="136"/>
      <c r="CM33694" s="111"/>
      <c r="CQ33694" s="111"/>
      <c r="EF33694"/>
      <c r="EG33694"/>
      <c r="EH33694"/>
      <c r="EI33694"/>
      <c r="EJ33694"/>
      <c r="EK33694"/>
    </row>
    <row r="33695" spans="1:141" s="116" customFormat="1">
      <c r="A33695" s="136"/>
      <c r="CM33695" s="111"/>
      <c r="CQ33695" s="111"/>
      <c r="EF33695"/>
      <c r="EG33695"/>
      <c r="EH33695"/>
      <c r="EI33695"/>
      <c r="EJ33695"/>
      <c r="EK33695"/>
    </row>
    <row r="33696" spans="1:141" s="116" customFormat="1">
      <c r="A33696" s="136"/>
      <c r="CM33696" s="111"/>
      <c r="CQ33696" s="111"/>
      <c r="EF33696"/>
      <c r="EG33696"/>
      <c r="EH33696"/>
      <c r="EI33696"/>
      <c r="EJ33696"/>
      <c r="EK33696"/>
    </row>
    <row r="33697" spans="1:141" s="116" customFormat="1">
      <c r="A33697" s="136"/>
      <c r="CM33697" s="111"/>
      <c r="CQ33697" s="111"/>
      <c r="EF33697"/>
      <c r="EG33697"/>
      <c r="EH33697"/>
      <c r="EI33697"/>
      <c r="EJ33697"/>
      <c r="EK33697"/>
    </row>
    <row r="33698" spans="1:141" s="116" customFormat="1">
      <c r="A33698" s="136"/>
      <c r="CM33698" s="111"/>
      <c r="CQ33698" s="111"/>
      <c r="EF33698"/>
      <c r="EG33698"/>
      <c r="EH33698"/>
      <c r="EI33698"/>
      <c r="EJ33698"/>
      <c r="EK33698"/>
    </row>
    <row r="33699" spans="1:141" s="116" customFormat="1">
      <c r="A33699" s="136"/>
      <c r="CM33699" s="111"/>
      <c r="CQ33699" s="111"/>
      <c r="EF33699"/>
      <c r="EG33699"/>
      <c r="EH33699"/>
      <c r="EI33699"/>
      <c r="EJ33699"/>
      <c r="EK33699"/>
    </row>
    <row r="33700" spans="1:141" s="116" customFormat="1">
      <c r="A33700" s="136"/>
      <c r="CM33700" s="111"/>
      <c r="CQ33700" s="111"/>
      <c r="EF33700"/>
      <c r="EG33700"/>
      <c r="EH33700"/>
      <c r="EI33700"/>
      <c r="EJ33700"/>
      <c r="EK33700"/>
    </row>
    <row r="33701" spans="1:141" s="116" customFormat="1">
      <c r="A33701" s="136"/>
      <c r="CM33701" s="111"/>
      <c r="CQ33701" s="111"/>
      <c r="EF33701"/>
      <c r="EG33701"/>
      <c r="EH33701"/>
      <c r="EI33701"/>
      <c r="EJ33701"/>
      <c r="EK33701"/>
    </row>
    <row r="33702" spans="1:141" s="116" customFormat="1">
      <c r="A33702" s="136"/>
      <c r="CM33702" s="111"/>
      <c r="CQ33702" s="111"/>
      <c r="EF33702"/>
      <c r="EG33702"/>
      <c r="EH33702"/>
      <c r="EI33702"/>
      <c r="EJ33702"/>
      <c r="EK33702"/>
    </row>
    <row r="33703" spans="1:141" s="116" customFormat="1">
      <c r="A33703" s="136"/>
      <c r="CM33703" s="111"/>
      <c r="CQ33703" s="111"/>
      <c r="EF33703"/>
      <c r="EG33703"/>
      <c r="EH33703"/>
      <c r="EI33703"/>
      <c r="EJ33703"/>
      <c r="EK33703"/>
    </row>
    <row r="33704" spans="1:141" s="116" customFormat="1">
      <c r="A33704" s="136"/>
      <c r="CM33704" s="111"/>
      <c r="CQ33704" s="111"/>
      <c r="EF33704"/>
      <c r="EG33704"/>
      <c r="EH33704"/>
      <c r="EI33704"/>
      <c r="EJ33704"/>
      <c r="EK33704"/>
    </row>
    <row r="33705" spans="1:141" s="116" customFormat="1">
      <c r="A33705" s="136"/>
      <c r="CM33705" s="111"/>
      <c r="CQ33705" s="111"/>
      <c r="EF33705"/>
      <c r="EG33705"/>
      <c r="EH33705"/>
      <c r="EI33705"/>
      <c r="EJ33705"/>
      <c r="EK33705"/>
    </row>
    <row r="33706" spans="1:141" s="116" customFormat="1">
      <c r="A33706" s="136"/>
      <c r="CM33706" s="111"/>
      <c r="CQ33706" s="111"/>
      <c r="EF33706"/>
      <c r="EG33706"/>
      <c r="EH33706"/>
      <c r="EI33706"/>
      <c r="EJ33706"/>
      <c r="EK33706"/>
    </row>
    <row r="33707" spans="1:141" s="116" customFormat="1">
      <c r="A33707" s="136"/>
      <c r="CM33707" s="111"/>
      <c r="CQ33707" s="111"/>
      <c r="EF33707"/>
      <c r="EG33707"/>
      <c r="EH33707"/>
      <c r="EI33707"/>
      <c r="EJ33707"/>
      <c r="EK33707"/>
    </row>
    <row r="33708" spans="1:141" s="116" customFormat="1">
      <c r="A33708" s="136"/>
      <c r="CM33708" s="111"/>
      <c r="CQ33708" s="111"/>
      <c r="EF33708"/>
      <c r="EG33708"/>
      <c r="EH33708"/>
      <c r="EI33708"/>
      <c r="EJ33708"/>
      <c r="EK33708"/>
    </row>
    <row r="33709" spans="1:141" s="116" customFormat="1">
      <c r="A33709" s="136"/>
      <c r="CM33709" s="111"/>
      <c r="CQ33709" s="111"/>
      <c r="EF33709"/>
      <c r="EG33709"/>
      <c r="EH33709"/>
      <c r="EI33709"/>
      <c r="EJ33709"/>
      <c r="EK33709"/>
    </row>
    <row r="33710" spans="1:141" s="116" customFormat="1">
      <c r="A33710" s="136"/>
      <c r="CM33710" s="111"/>
      <c r="CQ33710" s="111"/>
      <c r="EF33710"/>
      <c r="EG33710"/>
      <c r="EH33710"/>
      <c r="EI33710"/>
      <c r="EJ33710"/>
      <c r="EK33710"/>
    </row>
    <row r="33711" spans="1:141" s="116" customFormat="1">
      <c r="A33711" s="136"/>
      <c r="CM33711" s="111"/>
      <c r="CQ33711" s="111"/>
      <c r="EF33711"/>
      <c r="EG33711"/>
      <c r="EH33711"/>
      <c r="EI33711"/>
      <c r="EJ33711"/>
      <c r="EK33711"/>
    </row>
    <row r="33712" spans="1:141" s="116" customFormat="1">
      <c r="A33712" s="136"/>
      <c r="CM33712" s="111"/>
      <c r="CQ33712" s="111"/>
      <c r="EF33712"/>
      <c r="EG33712"/>
      <c r="EH33712"/>
      <c r="EI33712"/>
      <c r="EJ33712"/>
      <c r="EK33712"/>
    </row>
    <row r="33713" spans="1:141" s="116" customFormat="1">
      <c r="A33713" s="136"/>
      <c r="CM33713" s="111"/>
      <c r="CQ33713" s="111"/>
      <c r="EF33713"/>
      <c r="EG33713"/>
      <c r="EH33713"/>
      <c r="EI33713"/>
      <c r="EJ33713"/>
      <c r="EK33713"/>
    </row>
    <row r="33714" spans="1:141" s="116" customFormat="1">
      <c r="A33714" s="136"/>
      <c r="CM33714" s="111"/>
      <c r="CQ33714" s="111"/>
      <c r="EF33714"/>
      <c r="EG33714"/>
      <c r="EH33714"/>
      <c r="EI33714"/>
      <c r="EJ33714"/>
      <c r="EK33714"/>
    </row>
    <row r="33715" spans="1:141" s="116" customFormat="1">
      <c r="A33715" s="136"/>
      <c r="CM33715" s="111"/>
      <c r="CQ33715" s="111"/>
      <c r="EF33715"/>
      <c r="EG33715"/>
      <c r="EH33715"/>
      <c r="EI33715"/>
      <c r="EJ33715"/>
      <c r="EK33715"/>
    </row>
    <row r="33716" spans="1:141" s="116" customFormat="1">
      <c r="A33716" s="136"/>
      <c r="CM33716" s="111"/>
      <c r="CQ33716" s="111"/>
      <c r="EF33716"/>
      <c r="EG33716"/>
      <c r="EH33716"/>
      <c r="EI33716"/>
      <c r="EJ33716"/>
      <c r="EK33716"/>
    </row>
    <row r="33717" spans="1:141" s="116" customFormat="1">
      <c r="A33717" s="136"/>
      <c r="CM33717" s="111"/>
      <c r="CQ33717" s="111"/>
      <c r="EF33717"/>
      <c r="EG33717"/>
      <c r="EH33717"/>
      <c r="EI33717"/>
      <c r="EJ33717"/>
      <c r="EK33717"/>
    </row>
    <row r="33718" spans="1:141" s="116" customFormat="1">
      <c r="A33718" s="136"/>
      <c r="CM33718" s="111"/>
      <c r="CQ33718" s="111"/>
      <c r="EF33718"/>
      <c r="EG33718"/>
      <c r="EH33718"/>
      <c r="EI33718"/>
      <c r="EJ33718"/>
      <c r="EK33718"/>
    </row>
    <row r="33719" spans="1:141" s="116" customFormat="1">
      <c r="A33719" s="136"/>
      <c r="CM33719" s="111"/>
      <c r="CQ33719" s="111"/>
      <c r="EF33719"/>
      <c r="EG33719"/>
      <c r="EH33719"/>
      <c r="EI33719"/>
      <c r="EJ33719"/>
      <c r="EK33719"/>
    </row>
    <row r="33720" spans="1:141" s="116" customFormat="1">
      <c r="A33720" s="136"/>
      <c r="CM33720" s="111"/>
      <c r="CQ33720" s="111"/>
      <c r="EF33720"/>
      <c r="EG33720"/>
      <c r="EH33720"/>
      <c r="EI33720"/>
      <c r="EJ33720"/>
      <c r="EK33720"/>
    </row>
    <row r="33721" spans="1:141" s="116" customFormat="1">
      <c r="A33721" s="136"/>
      <c r="CM33721" s="111"/>
      <c r="CQ33721" s="111"/>
      <c r="EF33721"/>
      <c r="EG33721"/>
      <c r="EH33721"/>
      <c r="EI33721"/>
      <c r="EJ33721"/>
      <c r="EK33721"/>
    </row>
    <row r="33722" spans="1:141" s="116" customFormat="1">
      <c r="A33722" s="136"/>
      <c r="CM33722" s="111"/>
      <c r="CQ33722" s="111"/>
      <c r="EF33722"/>
      <c r="EG33722"/>
      <c r="EH33722"/>
      <c r="EI33722"/>
      <c r="EJ33722"/>
      <c r="EK33722"/>
    </row>
    <row r="33723" spans="1:141" s="116" customFormat="1">
      <c r="A33723" s="136"/>
      <c r="CM33723" s="111"/>
      <c r="CQ33723" s="111"/>
      <c r="EF33723"/>
      <c r="EG33723"/>
      <c r="EH33723"/>
      <c r="EI33723"/>
      <c r="EJ33723"/>
      <c r="EK33723"/>
    </row>
    <row r="33724" spans="1:141" s="116" customFormat="1">
      <c r="A33724" s="136"/>
      <c r="CM33724" s="111"/>
      <c r="CQ33724" s="111"/>
      <c r="EF33724"/>
      <c r="EG33724"/>
      <c r="EH33724"/>
      <c r="EI33724"/>
      <c r="EJ33724"/>
      <c r="EK33724"/>
    </row>
    <row r="33725" spans="1:141" s="116" customFormat="1">
      <c r="A33725" s="136"/>
      <c r="CM33725" s="111"/>
      <c r="CQ33725" s="111"/>
      <c r="EF33725"/>
      <c r="EG33725"/>
      <c r="EH33725"/>
      <c r="EI33725"/>
      <c r="EJ33725"/>
      <c r="EK33725"/>
    </row>
    <row r="33726" spans="1:141" s="116" customFormat="1">
      <c r="A33726" s="136"/>
      <c r="CM33726" s="111"/>
      <c r="CQ33726" s="111"/>
      <c r="EF33726"/>
      <c r="EG33726"/>
      <c r="EH33726"/>
      <c r="EI33726"/>
      <c r="EJ33726"/>
      <c r="EK33726"/>
    </row>
    <row r="33727" spans="1:141" s="116" customFormat="1">
      <c r="A33727" s="136"/>
      <c r="CM33727" s="111"/>
      <c r="CQ33727" s="111"/>
      <c r="EF33727"/>
      <c r="EG33727"/>
      <c r="EH33727"/>
      <c r="EI33727"/>
      <c r="EJ33727"/>
      <c r="EK33727"/>
    </row>
    <row r="33728" spans="1:141" s="116" customFormat="1">
      <c r="A33728" s="136"/>
      <c r="CM33728" s="111"/>
      <c r="CQ33728" s="111"/>
      <c r="EF33728"/>
      <c r="EG33728"/>
      <c r="EH33728"/>
      <c r="EI33728"/>
      <c r="EJ33728"/>
      <c r="EK33728"/>
    </row>
    <row r="33729" spans="1:141" s="116" customFormat="1">
      <c r="A33729" s="136"/>
      <c r="CM33729" s="111"/>
      <c r="CQ33729" s="111"/>
      <c r="EF33729"/>
      <c r="EG33729"/>
      <c r="EH33729"/>
      <c r="EI33729"/>
      <c r="EJ33729"/>
      <c r="EK33729"/>
    </row>
    <row r="33730" spans="1:141" s="116" customFormat="1">
      <c r="A33730" s="136"/>
      <c r="CM33730" s="111"/>
      <c r="CQ33730" s="111"/>
      <c r="EF33730"/>
      <c r="EG33730"/>
      <c r="EH33730"/>
      <c r="EI33730"/>
      <c r="EJ33730"/>
      <c r="EK33730"/>
    </row>
    <row r="33731" spans="1:141" s="116" customFormat="1">
      <c r="A33731" s="136"/>
      <c r="CM33731" s="111"/>
      <c r="CQ33731" s="111"/>
      <c r="EF33731"/>
      <c r="EG33731"/>
      <c r="EH33731"/>
      <c r="EI33731"/>
      <c r="EJ33731"/>
      <c r="EK33731"/>
    </row>
    <row r="33732" spans="1:141" s="116" customFormat="1">
      <c r="A33732" s="136"/>
      <c r="CM33732" s="111"/>
      <c r="CQ33732" s="111"/>
      <c r="EF33732"/>
      <c r="EG33732"/>
      <c r="EH33732"/>
      <c r="EI33732"/>
      <c r="EJ33732"/>
      <c r="EK33732"/>
    </row>
    <row r="33733" spans="1:141" s="116" customFormat="1">
      <c r="A33733" s="136"/>
      <c r="CM33733" s="111"/>
      <c r="CQ33733" s="111"/>
      <c r="EF33733"/>
      <c r="EG33733"/>
      <c r="EH33733"/>
      <c r="EI33733"/>
      <c r="EJ33733"/>
      <c r="EK33733"/>
    </row>
    <row r="33734" spans="1:141" s="116" customFormat="1">
      <c r="A33734" s="136"/>
      <c r="CM33734" s="111"/>
      <c r="CQ33734" s="111"/>
      <c r="EF33734"/>
      <c r="EG33734"/>
      <c r="EH33734"/>
      <c r="EI33734"/>
      <c r="EJ33734"/>
      <c r="EK33734"/>
    </row>
    <row r="33735" spans="1:141" s="116" customFormat="1">
      <c r="A33735" s="136"/>
      <c r="CM33735" s="111"/>
      <c r="CQ33735" s="111"/>
      <c r="EF33735"/>
      <c r="EG33735"/>
      <c r="EH33735"/>
      <c r="EI33735"/>
      <c r="EJ33735"/>
      <c r="EK33735"/>
    </row>
    <row r="33736" spans="1:141" s="116" customFormat="1">
      <c r="A33736" s="136"/>
      <c r="CM33736" s="111"/>
      <c r="CQ33736" s="111"/>
      <c r="EF33736"/>
      <c r="EG33736"/>
      <c r="EH33736"/>
      <c r="EI33736"/>
      <c r="EJ33736"/>
      <c r="EK33736"/>
    </row>
    <row r="33737" spans="1:141" s="116" customFormat="1">
      <c r="A33737" s="136"/>
      <c r="CM33737" s="111"/>
      <c r="CQ33737" s="111"/>
      <c r="EF33737"/>
      <c r="EG33737"/>
      <c r="EH33737"/>
      <c r="EI33737"/>
      <c r="EJ33737"/>
      <c r="EK33737"/>
    </row>
    <row r="33738" spans="1:141" s="116" customFormat="1">
      <c r="A33738" s="136"/>
      <c r="CM33738" s="111"/>
      <c r="CQ33738" s="111"/>
      <c r="EF33738"/>
      <c r="EG33738"/>
      <c r="EH33738"/>
      <c r="EI33738"/>
      <c r="EJ33738"/>
      <c r="EK33738"/>
    </row>
    <row r="33739" spans="1:141" s="116" customFormat="1">
      <c r="A33739" s="136"/>
      <c r="CM33739" s="111"/>
      <c r="CQ33739" s="111"/>
      <c r="EF33739"/>
      <c r="EG33739"/>
      <c r="EH33739"/>
      <c r="EI33739"/>
      <c r="EJ33739"/>
      <c r="EK33739"/>
    </row>
    <row r="33740" spans="1:141" s="116" customFormat="1">
      <c r="A33740" s="136"/>
      <c r="CM33740" s="111"/>
      <c r="CQ33740" s="111"/>
      <c r="EF33740"/>
      <c r="EG33740"/>
      <c r="EH33740"/>
      <c r="EI33740"/>
      <c r="EJ33740"/>
      <c r="EK33740"/>
    </row>
    <row r="33741" spans="1:141" s="116" customFormat="1">
      <c r="A33741" s="136"/>
      <c r="CM33741" s="111"/>
      <c r="CQ33741" s="111"/>
      <c r="EF33741"/>
      <c r="EG33741"/>
      <c r="EH33741"/>
      <c r="EI33741"/>
      <c r="EJ33741"/>
      <c r="EK33741"/>
    </row>
    <row r="33742" spans="1:141" s="116" customFormat="1">
      <c r="A33742" s="136"/>
      <c r="CM33742" s="111"/>
      <c r="CQ33742" s="111"/>
      <c r="EF33742"/>
      <c r="EG33742"/>
      <c r="EH33742"/>
      <c r="EI33742"/>
      <c r="EJ33742"/>
      <c r="EK33742"/>
    </row>
    <row r="33743" spans="1:141" s="116" customFormat="1">
      <c r="A33743" s="136"/>
      <c r="CM33743" s="111"/>
      <c r="CQ33743" s="111"/>
      <c r="EF33743"/>
      <c r="EG33743"/>
      <c r="EH33743"/>
      <c r="EI33743"/>
      <c r="EJ33743"/>
      <c r="EK33743"/>
    </row>
    <row r="33744" spans="1:141" s="116" customFormat="1">
      <c r="A33744" s="136"/>
      <c r="CM33744" s="111"/>
      <c r="CQ33744" s="111"/>
      <c r="EF33744"/>
      <c r="EG33744"/>
      <c r="EH33744"/>
      <c r="EI33744"/>
      <c r="EJ33744"/>
      <c r="EK33744"/>
    </row>
    <row r="33745" spans="1:141" s="116" customFormat="1">
      <c r="A33745" s="136"/>
      <c r="CM33745" s="111"/>
      <c r="CQ33745" s="111"/>
      <c r="EF33745"/>
      <c r="EG33745"/>
      <c r="EH33745"/>
      <c r="EI33745"/>
      <c r="EJ33745"/>
      <c r="EK33745"/>
    </row>
    <row r="33746" spans="1:141" s="116" customFormat="1">
      <c r="A33746" s="136"/>
      <c r="CM33746" s="111"/>
      <c r="CQ33746" s="111"/>
      <c r="EF33746"/>
      <c r="EG33746"/>
      <c r="EH33746"/>
      <c r="EI33746"/>
      <c r="EJ33746"/>
      <c r="EK33746"/>
    </row>
    <row r="33747" spans="1:141" s="116" customFormat="1">
      <c r="A33747" s="136"/>
      <c r="CM33747" s="111"/>
      <c r="CQ33747" s="111"/>
      <c r="EF33747"/>
      <c r="EG33747"/>
      <c r="EH33747"/>
      <c r="EI33747"/>
      <c r="EJ33747"/>
      <c r="EK33747"/>
    </row>
    <row r="33748" spans="1:141" s="116" customFormat="1">
      <c r="A33748" s="136"/>
      <c r="CM33748" s="111"/>
      <c r="CQ33748" s="111"/>
      <c r="EF33748"/>
      <c r="EG33748"/>
      <c r="EH33748"/>
      <c r="EI33748"/>
      <c r="EJ33748"/>
      <c r="EK33748"/>
    </row>
    <row r="33749" spans="1:141" s="116" customFormat="1">
      <c r="A33749" s="136"/>
      <c r="CM33749" s="111"/>
      <c r="CQ33749" s="111"/>
      <c r="EF33749"/>
      <c r="EG33749"/>
      <c r="EH33749"/>
      <c r="EI33749"/>
      <c r="EJ33749"/>
      <c r="EK33749"/>
    </row>
    <row r="33750" spans="1:141" s="116" customFormat="1">
      <c r="A33750" s="136"/>
      <c r="CM33750" s="111"/>
      <c r="CQ33750" s="111"/>
      <c r="EF33750"/>
      <c r="EG33750"/>
      <c r="EH33750"/>
      <c r="EI33750"/>
      <c r="EJ33750"/>
      <c r="EK33750"/>
    </row>
    <row r="33751" spans="1:141" s="116" customFormat="1">
      <c r="A33751" s="136"/>
      <c r="CM33751" s="111"/>
      <c r="CQ33751" s="111"/>
      <c r="EF33751"/>
      <c r="EG33751"/>
      <c r="EH33751"/>
      <c r="EI33751"/>
      <c r="EJ33751"/>
      <c r="EK33751"/>
    </row>
    <row r="33752" spans="1:141" s="116" customFormat="1">
      <c r="A33752" s="136"/>
      <c r="CM33752" s="111"/>
      <c r="CQ33752" s="111"/>
      <c r="EF33752"/>
      <c r="EG33752"/>
      <c r="EH33752"/>
      <c r="EI33752"/>
      <c r="EJ33752"/>
      <c r="EK33752"/>
    </row>
    <row r="33753" spans="1:141" s="116" customFormat="1">
      <c r="A33753" s="136"/>
      <c r="CM33753" s="111"/>
      <c r="CQ33753" s="111"/>
      <c r="EF33753"/>
      <c r="EG33753"/>
      <c r="EH33753"/>
      <c r="EI33753"/>
      <c r="EJ33753"/>
      <c r="EK33753"/>
    </row>
    <row r="33754" spans="1:141" s="116" customFormat="1">
      <c r="A33754" s="136"/>
      <c r="CM33754" s="111"/>
      <c r="CQ33754" s="111"/>
      <c r="EF33754"/>
      <c r="EG33754"/>
      <c r="EH33754"/>
      <c r="EI33754"/>
      <c r="EJ33754"/>
      <c r="EK33754"/>
    </row>
    <row r="33755" spans="1:141" s="116" customFormat="1">
      <c r="A33755" s="136"/>
      <c r="CM33755" s="111"/>
      <c r="CQ33755" s="111"/>
      <c r="EF33755"/>
      <c r="EG33755"/>
      <c r="EH33755"/>
      <c r="EI33755"/>
      <c r="EJ33755"/>
      <c r="EK33755"/>
    </row>
    <row r="33756" spans="1:141" s="116" customFormat="1">
      <c r="A33756" s="136"/>
      <c r="CM33756" s="111"/>
      <c r="CQ33756" s="111"/>
      <c r="EF33756"/>
      <c r="EG33756"/>
      <c r="EH33756"/>
      <c r="EI33756"/>
      <c r="EJ33756"/>
      <c r="EK33756"/>
    </row>
    <row r="33757" spans="1:141" s="116" customFormat="1">
      <c r="A33757" s="136"/>
      <c r="CM33757" s="111"/>
      <c r="CQ33757" s="111"/>
      <c r="EF33757"/>
      <c r="EG33757"/>
      <c r="EH33757"/>
      <c r="EI33757"/>
      <c r="EJ33757"/>
      <c r="EK33757"/>
    </row>
    <row r="33758" spans="1:141" s="116" customFormat="1">
      <c r="A33758" s="136"/>
      <c r="CM33758" s="111"/>
      <c r="CQ33758" s="111"/>
      <c r="EF33758"/>
      <c r="EG33758"/>
      <c r="EH33758"/>
      <c r="EI33758"/>
      <c r="EJ33758"/>
      <c r="EK33758"/>
    </row>
    <row r="33759" spans="1:141" s="116" customFormat="1">
      <c r="A33759" s="136"/>
      <c r="CM33759" s="111"/>
      <c r="CQ33759" s="111"/>
      <c r="EF33759"/>
      <c r="EG33759"/>
      <c r="EH33759"/>
      <c r="EI33759"/>
      <c r="EJ33759"/>
      <c r="EK33759"/>
    </row>
    <row r="33760" spans="1:141" s="116" customFormat="1">
      <c r="A33760" s="136"/>
      <c r="CM33760" s="111"/>
      <c r="CQ33760" s="111"/>
      <c r="EF33760"/>
      <c r="EG33760"/>
      <c r="EH33760"/>
      <c r="EI33760"/>
      <c r="EJ33760"/>
      <c r="EK33760"/>
    </row>
    <row r="33761" spans="1:141" s="116" customFormat="1">
      <c r="A33761" s="136"/>
      <c r="CM33761" s="111"/>
      <c r="CQ33761" s="111"/>
      <c r="EF33761"/>
      <c r="EG33761"/>
      <c r="EH33761"/>
      <c r="EI33761"/>
      <c r="EJ33761"/>
      <c r="EK33761"/>
    </row>
    <row r="33762" spans="1:141" s="116" customFormat="1">
      <c r="A33762" s="136"/>
      <c r="CM33762" s="111"/>
      <c r="CQ33762" s="111"/>
      <c r="EF33762"/>
      <c r="EG33762"/>
      <c r="EH33762"/>
      <c r="EI33762"/>
      <c r="EJ33762"/>
      <c r="EK33762"/>
    </row>
    <row r="33763" spans="1:141" s="116" customFormat="1">
      <c r="A33763" s="136"/>
      <c r="CM33763" s="111"/>
      <c r="CQ33763" s="111"/>
      <c r="EF33763"/>
      <c r="EG33763"/>
      <c r="EH33763"/>
      <c r="EI33763"/>
      <c r="EJ33763"/>
      <c r="EK33763"/>
    </row>
    <row r="33764" spans="1:141" s="116" customFormat="1">
      <c r="A33764" s="136"/>
      <c r="CM33764" s="111"/>
      <c r="CQ33764" s="111"/>
      <c r="EF33764"/>
      <c r="EG33764"/>
      <c r="EH33764"/>
      <c r="EI33764"/>
      <c r="EJ33764"/>
      <c r="EK33764"/>
    </row>
    <row r="33765" spans="1:141" s="116" customFormat="1">
      <c r="A33765" s="136"/>
      <c r="CM33765" s="111"/>
      <c r="CQ33765" s="111"/>
      <c r="EF33765"/>
      <c r="EG33765"/>
      <c r="EH33765"/>
      <c r="EI33765"/>
      <c r="EJ33765"/>
      <c r="EK33765"/>
    </row>
    <row r="33766" spans="1:141" s="116" customFormat="1">
      <c r="A33766" s="136"/>
      <c r="CM33766" s="111"/>
      <c r="CQ33766" s="111"/>
      <c r="EF33766"/>
      <c r="EG33766"/>
      <c r="EH33766"/>
      <c r="EI33766"/>
      <c r="EJ33766"/>
      <c r="EK33766"/>
    </row>
    <row r="33767" spans="1:141" s="116" customFormat="1">
      <c r="A33767" s="136"/>
      <c r="CM33767" s="111"/>
      <c r="CQ33767" s="111"/>
      <c r="EF33767"/>
      <c r="EG33767"/>
      <c r="EH33767"/>
      <c r="EI33767"/>
      <c r="EJ33767"/>
      <c r="EK33767"/>
    </row>
    <row r="33768" spans="1:141" s="116" customFormat="1">
      <c r="A33768" s="136"/>
      <c r="CM33768" s="111"/>
      <c r="CQ33768" s="111"/>
      <c r="EF33768"/>
      <c r="EG33768"/>
      <c r="EH33768"/>
      <c r="EI33768"/>
      <c r="EJ33768"/>
      <c r="EK33768"/>
    </row>
    <row r="33769" spans="1:141" s="116" customFormat="1">
      <c r="A33769" s="136"/>
      <c r="CM33769" s="111"/>
      <c r="CQ33769" s="111"/>
      <c r="EF33769"/>
      <c r="EG33769"/>
      <c r="EH33769"/>
      <c r="EI33769"/>
      <c r="EJ33769"/>
      <c r="EK33769"/>
    </row>
    <row r="33770" spans="1:141" s="116" customFormat="1">
      <c r="A33770" s="136"/>
      <c r="CM33770" s="111"/>
      <c r="CQ33770" s="111"/>
      <c r="EF33770"/>
      <c r="EG33770"/>
      <c r="EH33770"/>
      <c r="EI33770"/>
      <c r="EJ33770"/>
      <c r="EK33770"/>
    </row>
    <row r="33771" spans="1:141" s="116" customFormat="1">
      <c r="A33771" s="136"/>
      <c r="CM33771" s="111"/>
      <c r="CQ33771" s="111"/>
      <c r="EF33771"/>
      <c r="EG33771"/>
      <c r="EH33771"/>
      <c r="EI33771"/>
      <c r="EJ33771"/>
      <c r="EK33771"/>
    </row>
    <row r="33772" spans="1:141" s="116" customFormat="1">
      <c r="A33772" s="136"/>
      <c r="CM33772" s="111"/>
      <c r="CQ33772" s="111"/>
      <c r="EF33772"/>
      <c r="EG33772"/>
      <c r="EH33772"/>
      <c r="EI33772"/>
      <c r="EJ33772"/>
      <c r="EK33772"/>
    </row>
    <row r="33773" spans="1:141" s="116" customFormat="1">
      <c r="A33773" s="136"/>
      <c r="CM33773" s="111"/>
      <c r="CQ33773" s="111"/>
      <c r="EF33773"/>
      <c r="EG33773"/>
      <c r="EH33773"/>
      <c r="EI33773"/>
      <c r="EJ33773"/>
      <c r="EK33773"/>
    </row>
    <row r="33774" spans="1:141" s="116" customFormat="1">
      <c r="A33774" s="136"/>
      <c r="CM33774" s="111"/>
      <c r="CQ33774" s="111"/>
      <c r="EF33774"/>
      <c r="EG33774"/>
      <c r="EH33774"/>
      <c r="EI33774"/>
      <c r="EJ33774"/>
      <c r="EK33774"/>
    </row>
    <row r="33775" spans="1:141" s="116" customFormat="1">
      <c r="A33775" s="136"/>
      <c r="CM33775" s="111"/>
      <c r="CQ33775" s="111"/>
      <c r="EF33775"/>
      <c r="EG33775"/>
      <c r="EH33775"/>
      <c r="EI33775"/>
      <c r="EJ33775"/>
      <c r="EK33775"/>
    </row>
    <row r="33776" spans="1:141" s="116" customFormat="1">
      <c r="A33776" s="136"/>
      <c r="CM33776" s="111"/>
      <c r="CQ33776" s="111"/>
      <c r="EF33776"/>
      <c r="EG33776"/>
      <c r="EH33776"/>
      <c r="EI33776"/>
      <c r="EJ33776"/>
      <c r="EK33776"/>
    </row>
    <row r="33777" spans="1:141" s="116" customFormat="1">
      <c r="A33777" s="136"/>
      <c r="CM33777" s="111"/>
      <c r="CQ33777" s="111"/>
      <c r="EF33777"/>
      <c r="EG33777"/>
      <c r="EH33777"/>
      <c r="EI33777"/>
      <c r="EJ33777"/>
      <c r="EK33777"/>
    </row>
    <row r="33778" spans="1:141" s="116" customFormat="1">
      <c r="A33778" s="136"/>
      <c r="CM33778" s="111"/>
      <c r="CQ33778" s="111"/>
      <c r="EF33778"/>
      <c r="EG33778"/>
      <c r="EH33778"/>
      <c r="EI33778"/>
      <c r="EJ33778"/>
      <c r="EK33778"/>
    </row>
    <row r="33779" spans="1:141" s="116" customFormat="1">
      <c r="A33779" s="136"/>
      <c r="CM33779" s="111"/>
      <c r="CQ33779" s="111"/>
      <c r="EF33779"/>
      <c r="EG33779"/>
      <c r="EH33779"/>
      <c r="EI33779"/>
      <c r="EJ33779"/>
      <c r="EK33779"/>
    </row>
    <row r="33780" spans="1:141" s="116" customFormat="1">
      <c r="A33780" s="136"/>
      <c r="CM33780" s="111"/>
      <c r="CQ33780" s="111"/>
      <c r="EF33780"/>
      <c r="EG33780"/>
      <c r="EH33780"/>
      <c r="EI33780"/>
      <c r="EJ33780"/>
      <c r="EK33780"/>
    </row>
    <row r="33781" spans="1:141" s="116" customFormat="1">
      <c r="A33781" s="136"/>
      <c r="CM33781" s="111"/>
      <c r="CQ33781" s="111"/>
      <c r="EF33781"/>
      <c r="EG33781"/>
      <c r="EH33781"/>
      <c r="EI33781"/>
      <c r="EJ33781"/>
      <c r="EK33781"/>
    </row>
    <row r="33782" spans="1:141" s="116" customFormat="1">
      <c r="A33782" s="136"/>
      <c r="CM33782" s="111"/>
      <c r="CQ33782" s="111"/>
      <c r="EF33782"/>
      <c r="EG33782"/>
      <c r="EH33782"/>
      <c r="EI33782"/>
      <c r="EJ33782"/>
      <c r="EK33782"/>
    </row>
    <row r="33783" spans="1:141" s="116" customFormat="1">
      <c r="A33783" s="136"/>
      <c r="CM33783" s="111"/>
      <c r="CQ33783" s="111"/>
      <c r="EF33783"/>
      <c r="EG33783"/>
      <c r="EH33783"/>
      <c r="EI33783"/>
      <c r="EJ33783"/>
      <c r="EK33783"/>
    </row>
    <row r="33784" spans="1:141" s="116" customFormat="1">
      <c r="A33784" s="136"/>
      <c r="CM33784" s="111"/>
      <c r="CQ33784" s="111"/>
      <c r="EF33784"/>
      <c r="EG33784"/>
      <c r="EH33784"/>
      <c r="EI33784"/>
      <c r="EJ33784"/>
      <c r="EK33784"/>
    </row>
    <row r="33785" spans="1:141" s="116" customFormat="1">
      <c r="A33785" s="136"/>
      <c r="CM33785" s="111"/>
      <c r="CQ33785" s="111"/>
      <c r="EF33785"/>
      <c r="EG33785"/>
      <c r="EH33785"/>
      <c r="EI33785"/>
      <c r="EJ33785"/>
      <c r="EK33785"/>
    </row>
    <row r="33786" spans="1:141" s="116" customFormat="1">
      <c r="A33786" s="136"/>
      <c r="CM33786" s="111"/>
      <c r="CQ33786" s="111"/>
      <c r="EF33786"/>
      <c r="EG33786"/>
      <c r="EH33786"/>
      <c r="EI33786"/>
      <c r="EJ33786"/>
      <c r="EK33786"/>
    </row>
    <row r="33787" spans="1:141" s="116" customFormat="1">
      <c r="A33787" s="136"/>
      <c r="CM33787" s="111"/>
      <c r="CQ33787" s="111"/>
      <c r="EF33787"/>
      <c r="EG33787"/>
      <c r="EH33787"/>
      <c r="EI33787"/>
      <c r="EJ33787"/>
      <c r="EK33787"/>
    </row>
    <row r="33788" spans="1:141" s="116" customFormat="1">
      <c r="A33788" s="136"/>
      <c r="CM33788" s="111"/>
      <c r="CQ33788" s="111"/>
      <c r="EF33788"/>
      <c r="EG33788"/>
      <c r="EH33788"/>
      <c r="EI33788"/>
      <c r="EJ33788"/>
      <c r="EK33788"/>
    </row>
    <row r="33789" spans="1:141" s="116" customFormat="1">
      <c r="A33789" s="136"/>
      <c r="CM33789" s="111"/>
      <c r="CQ33789" s="111"/>
      <c r="EF33789"/>
      <c r="EG33789"/>
      <c r="EH33789"/>
      <c r="EI33789"/>
      <c r="EJ33789"/>
      <c r="EK33789"/>
    </row>
    <row r="33790" spans="1:141" s="116" customFormat="1">
      <c r="A33790" s="136"/>
      <c r="CM33790" s="111"/>
      <c r="CQ33790" s="111"/>
      <c r="EF33790"/>
      <c r="EG33790"/>
      <c r="EH33790"/>
      <c r="EI33790"/>
      <c r="EJ33790"/>
      <c r="EK33790"/>
    </row>
    <row r="33791" spans="1:141" s="116" customFormat="1">
      <c r="A33791" s="136"/>
      <c r="CM33791" s="111"/>
      <c r="CQ33791" s="111"/>
      <c r="EF33791"/>
      <c r="EG33791"/>
      <c r="EH33791"/>
      <c r="EI33791"/>
      <c r="EJ33791"/>
      <c r="EK33791"/>
    </row>
    <row r="33792" spans="1:141" s="116" customFormat="1">
      <c r="A33792" s="136"/>
      <c r="CM33792" s="111"/>
      <c r="CQ33792" s="111"/>
      <c r="EF33792"/>
      <c r="EG33792"/>
      <c r="EH33792"/>
      <c r="EI33792"/>
      <c r="EJ33792"/>
      <c r="EK33792"/>
    </row>
    <row r="33793" spans="1:141" s="116" customFormat="1">
      <c r="A33793" s="136"/>
      <c r="CM33793" s="111"/>
      <c r="CQ33793" s="111"/>
      <c r="EF33793"/>
      <c r="EG33793"/>
      <c r="EH33793"/>
      <c r="EI33793"/>
      <c r="EJ33793"/>
      <c r="EK33793"/>
    </row>
    <row r="33794" spans="1:141" s="116" customFormat="1">
      <c r="A33794" s="136"/>
      <c r="CM33794" s="111"/>
      <c r="CQ33794" s="111"/>
      <c r="EF33794"/>
      <c r="EG33794"/>
      <c r="EH33794"/>
      <c r="EI33794"/>
      <c r="EJ33794"/>
      <c r="EK33794"/>
    </row>
    <row r="33795" spans="1:141" s="116" customFormat="1">
      <c r="A33795" s="136"/>
      <c r="CM33795" s="111"/>
      <c r="CQ33795" s="111"/>
      <c r="EF33795"/>
      <c r="EG33795"/>
      <c r="EH33795"/>
      <c r="EI33795"/>
      <c r="EJ33795"/>
      <c r="EK33795"/>
    </row>
    <row r="33796" spans="1:141" s="116" customFormat="1">
      <c r="A33796" s="136"/>
      <c r="CM33796" s="111"/>
      <c r="CQ33796" s="111"/>
      <c r="EF33796"/>
      <c r="EG33796"/>
      <c r="EH33796"/>
      <c r="EI33796"/>
      <c r="EJ33796"/>
      <c r="EK33796"/>
    </row>
    <row r="33797" spans="1:141" s="116" customFormat="1">
      <c r="A33797" s="136"/>
      <c r="CM33797" s="111"/>
      <c r="CQ33797" s="111"/>
      <c r="EF33797"/>
      <c r="EG33797"/>
      <c r="EH33797"/>
      <c r="EI33797"/>
      <c r="EJ33797"/>
      <c r="EK33797"/>
    </row>
    <row r="33798" spans="1:141" s="116" customFormat="1">
      <c r="A33798" s="136"/>
      <c r="CM33798" s="111"/>
      <c r="CQ33798" s="111"/>
      <c r="EF33798"/>
      <c r="EG33798"/>
      <c r="EH33798"/>
      <c r="EI33798"/>
      <c r="EJ33798"/>
      <c r="EK33798"/>
    </row>
    <row r="33799" spans="1:141" s="116" customFormat="1">
      <c r="A33799" s="136"/>
      <c r="CM33799" s="111"/>
      <c r="CQ33799" s="111"/>
      <c r="EF33799"/>
      <c r="EG33799"/>
      <c r="EH33799"/>
      <c r="EI33799"/>
      <c r="EJ33799"/>
      <c r="EK33799"/>
    </row>
    <row r="33800" spans="1:141" s="116" customFormat="1">
      <c r="A33800" s="136"/>
      <c r="CM33800" s="111"/>
      <c r="CQ33800" s="111"/>
      <c r="EF33800"/>
      <c r="EG33800"/>
      <c r="EH33800"/>
      <c r="EI33800"/>
      <c r="EJ33800"/>
      <c r="EK33800"/>
    </row>
    <row r="33801" spans="1:141" s="116" customFormat="1">
      <c r="A33801" s="136"/>
      <c r="CM33801" s="111"/>
      <c r="CQ33801" s="111"/>
      <c r="EF33801"/>
      <c r="EG33801"/>
      <c r="EH33801"/>
      <c r="EI33801"/>
      <c r="EJ33801"/>
      <c r="EK33801"/>
    </row>
    <row r="33802" spans="1:141" s="116" customFormat="1">
      <c r="A33802" s="136"/>
      <c r="CM33802" s="111"/>
      <c r="CQ33802" s="111"/>
      <c r="EF33802"/>
      <c r="EG33802"/>
      <c r="EH33802"/>
      <c r="EI33802"/>
      <c r="EJ33802"/>
      <c r="EK33802"/>
    </row>
    <row r="33803" spans="1:141" s="116" customFormat="1">
      <c r="A33803" s="136"/>
      <c r="CM33803" s="111"/>
      <c r="CQ33803" s="111"/>
      <c r="EF33803"/>
      <c r="EG33803"/>
      <c r="EH33803"/>
      <c r="EI33803"/>
      <c r="EJ33803"/>
      <c r="EK33803"/>
    </row>
    <row r="33804" spans="1:141" s="116" customFormat="1">
      <c r="A33804" s="136"/>
      <c r="CM33804" s="111"/>
      <c r="CQ33804" s="111"/>
      <c r="EF33804"/>
      <c r="EG33804"/>
      <c r="EH33804"/>
      <c r="EI33804"/>
      <c r="EJ33804"/>
      <c r="EK33804"/>
    </row>
    <row r="33805" spans="1:141" s="116" customFormat="1">
      <c r="A33805" s="136"/>
      <c r="CM33805" s="111"/>
      <c r="CQ33805" s="111"/>
      <c r="EF33805"/>
      <c r="EG33805"/>
      <c r="EH33805"/>
      <c r="EI33805"/>
      <c r="EJ33805"/>
      <c r="EK33805"/>
    </row>
    <row r="33806" spans="1:141" s="116" customFormat="1">
      <c r="A33806" s="136"/>
      <c r="CM33806" s="111"/>
      <c r="CQ33806" s="111"/>
      <c r="EF33806"/>
      <c r="EG33806"/>
      <c r="EH33806"/>
      <c r="EI33806"/>
      <c r="EJ33806"/>
      <c r="EK33806"/>
    </row>
    <row r="33807" spans="1:141" s="116" customFormat="1">
      <c r="A33807" s="136"/>
      <c r="CM33807" s="111"/>
      <c r="CQ33807" s="111"/>
      <c r="EF33807"/>
      <c r="EG33807"/>
      <c r="EH33807"/>
      <c r="EI33807"/>
      <c r="EJ33807"/>
      <c r="EK33807"/>
    </row>
    <row r="33808" spans="1:141" s="116" customFormat="1">
      <c r="A33808" s="136"/>
      <c r="CM33808" s="111"/>
      <c r="CQ33808" s="111"/>
      <c r="EF33808"/>
      <c r="EG33808"/>
      <c r="EH33808"/>
      <c r="EI33808"/>
      <c r="EJ33808"/>
      <c r="EK33808"/>
    </row>
    <row r="33809" spans="1:141" s="116" customFormat="1">
      <c r="A33809" s="136"/>
      <c r="CM33809" s="111"/>
      <c r="CQ33809" s="111"/>
      <c r="EF33809"/>
      <c r="EG33809"/>
      <c r="EH33809"/>
      <c r="EI33809"/>
      <c r="EJ33809"/>
      <c r="EK33809"/>
    </row>
    <row r="33810" spans="1:141" s="116" customFormat="1">
      <c r="A33810" s="136"/>
      <c r="CM33810" s="111"/>
      <c r="CQ33810" s="111"/>
      <c r="EF33810"/>
      <c r="EG33810"/>
      <c r="EH33810"/>
      <c r="EI33810"/>
      <c r="EJ33810"/>
      <c r="EK33810"/>
    </row>
    <row r="33811" spans="1:141" s="116" customFormat="1">
      <c r="A33811" s="136"/>
      <c r="CM33811" s="111"/>
      <c r="CQ33811" s="111"/>
      <c r="EF33811"/>
      <c r="EG33811"/>
      <c r="EH33811"/>
      <c r="EI33811"/>
      <c r="EJ33811"/>
      <c r="EK33811"/>
    </row>
    <row r="33812" spans="1:141" s="116" customFormat="1">
      <c r="A33812" s="136"/>
      <c r="CM33812" s="111"/>
      <c r="CQ33812" s="111"/>
      <c r="EF33812"/>
      <c r="EG33812"/>
      <c r="EH33812"/>
      <c r="EI33812"/>
      <c r="EJ33812"/>
      <c r="EK33812"/>
    </row>
    <row r="33813" spans="1:141" s="116" customFormat="1">
      <c r="A33813" s="136"/>
      <c r="CM33813" s="111"/>
      <c r="CQ33813" s="111"/>
      <c r="EF33813"/>
      <c r="EG33813"/>
      <c r="EH33813"/>
      <c r="EI33813"/>
      <c r="EJ33813"/>
      <c r="EK33813"/>
    </row>
    <row r="33814" spans="1:141" s="116" customFormat="1">
      <c r="A33814" s="136"/>
      <c r="CM33814" s="111"/>
      <c r="CQ33814" s="111"/>
      <c r="EF33814"/>
      <c r="EG33814"/>
      <c r="EH33814"/>
      <c r="EI33814"/>
      <c r="EJ33814"/>
      <c r="EK33814"/>
    </row>
    <row r="33815" spans="1:141" s="116" customFormat="1">
      <c r="A33815" s="136"/>
      <c r="CM33815" s="111"/>
      <c r="CQ33815" s="111"/>
      <c r="EF33815"/>
      <c r="EG33815"/>
      <c r="EH33815"/>
      <c r="EI33815"/>
      <c r="EJ33815"/>
      <c r="EK33815"/>
    </row>
    <row r="33816" spans="1:141" s="116" customFormat="1">
      <c r="A33816" s="136"/>
      <c r="CM33816" s="111"/>
      <c r="CQ33816" s="111"/>
      <c r="EF33816"/>
      <c r="EG33816"/>
      <c r="EH33816"/>
      <c r="EI33816"/>
      <c r="EJ33816"/>
      <c r="EK33816"/>
    </row>
    <row r="33817" spans="1:141" s="116" customFormat="1">
      <c r="A33817" s="136"/>
      <c r="CM33817" s="111"/>
      <c r="CQ33817" s="111"/>
      <c r="EF33817"/>
      <c r="EG33817"/>
      <c r="EH33817"/>
      <c r="EI33817"/>
      <c r="EJ33817"/>
      <c r="EK33817"/>
    </row>
    <row r="33818" spans="1:141" s="116" customFormat="1">
      <c r="A33818" s="136"/>
      <c r="CM33818" s="111"/>
      <c r="CQ33818" s="111"/>
      <c r="EF33818"/>
      <c r="EG33818"/>
      <c r="EH33818"/>
      <c r="EI33818"/>
      <c r="EJ33818"/>
      <c r="EK33818"/>
    </row>
    <row r="33819" spans="1:141" s="116" customFormat="1">
      <c r="A33819" s="136"/>
      <c r="CM33819" s="111"/>
      <c r="CQ33819" s="111"/>
      <c r="EF33819"/>
      <c r="EG33819"/>
      <c r="EH33819"/>
      <c r="EI33819"/>
      <c r="EJ33819"/>
      <c r="EK33819"/>
    </row>
    <row r="33820" spans="1:141" s="116" customFormat="1">
      <c r="A33820" s="136"/>
      <c r="CM33820" s="111"/>
      <c r="CQ33820" s="111"/>
      <c r="EF33820"/>
      <c r="EG33820"/>
      <c r="EH33820"/>
      <c r="EI33820"/>
      <c r="EJ33820"/>
      <c r="EK33820"/>
    </row>
    <row r="33821" spans="1:141" s="116" customFormat="1">
      <c r="A33821" s="136"/>
      <c r="CM33821" s="111"/>
      <c r="CQ33821" s="111"/>
      <c r="EF33821"/>
      <c r="EG33821"/>
      <c r="EH33821"/>
      <c r="EI33821"/>
      <c r="EJ33821"/>
      <c r="EK33821"/>
    </row>
    <row r="33822" spans="1:141" s="116" customFormat="1">
      <c r="A33822" s="136"/>
      <c r="CM33822" s="111"/>
      <c r="CQ33822" s="111"/>
      <c r="EF33822"/>
      <c r="EG33822"/>
      <c r="EH33822"/>
      <c r="EI33822"/>
      <c r="EJ33822"/>
      <c r="EK33822"/>
    </row>
    <row r="33823" spans="1:141" s="116" customFormat="1">
      <c r="A33823" s="136"/>
      <c r="CM33823" s="111"/>
      <c r="CQ33823" s="111"/>
      <c r="EF33823"/>
      <c r="EG33823"/>
      <c r="EH33823"/>
      <c r="EI33823"/>
      <c r="EJ33823"/>
      <c r="EK33823"/>
    </row>
    <row r="33824" spans="1:141" s="116" customFormat="1">
      <c r="A33824" s="136"/>
      <c r="CM33824" s="111"/>
      <c r="CQ33824" s="111"/>
      <c r="EF33824"/>
      <c r="EG33824"/>
      <c r="EH33824"/>
      <c r="EI33824"/>
      <c r="EJ33824"/>
      <c r="EK33824"/>
    </row>
    <row r="33825" spans="1:141" s="116" customFormat="1">
      <c r="A33825" s="136"/>
      <c r="CM33825" s="111"/>
      <c r="CQ33825" s="111"/>
      <c r="EF33825"/>
      <c r="EG33825"/>
      <c r="EH33825"/>
      <c r="EI33825"/>
      <c r="EJ33825"/>
      <c r="EK33825"/>
    </row>
    <row r="33826" spans="1:141" s="116" customFormat="1">
      <c r="A33826" s="136"/>
      <c r="CM33826" s="111"/>
      <c r="CQ33826" s="111"/>
      <c r="EF33826"/>
      <c r="EG33826"/>
      <c r="EH33826"/>
      <c r="EI33826"/>
      <c r="EJ33826"/>
      <c r="EK33826"/>
    </row>
    <row r="33827" spans="1:141" s="116" customFormat="1">
      <c r="A33827" s="136"/>
      <c r="CM33827" s="111"/>
      <c r="CQ33827" s="111"/>
      <c r="EF33827"/>
      <c r="EG33827"/>
      <c r="EH33827"/>
      <c r="EI33827"/>
      <c r="EJ33827"/>
      <c r="EK33827"/>
    </row>
    <row r="33828" spans="1:141" s="116" customFormat="1">
      <c r="A33828" s="136"/>
      <c r="CM33828" s="111"/>
      <c r="CQ33828" s="111"/>
      <c r="EF33828"/>
      <c r="EG33828"/>
      <c r="EH33828"/>
      <c r="EI33828"/>
      <c r="EJ33828"/>
      <c r="EK33828"/>
    </row>
    <row r="33829" spans="1:141" s="116" customFormat="1">
      <c r="A33829" s="136"/>
      <c r="CM33829" s="111"/>
      <c r="CQ33829" s="111"/>
      <c r="EF33829"/>
      <c r="EG33829"/>
      <c r="EH33829"/>
      <c r="EI33829"/>
      <c r="EJ33829"/>
      <c r="EK33829"/>
    </row>
    <row r="33830" spans="1:141" s="116" customFormat="1">
      <c r="A33830" s="136"/>
      <c r="CM33830" s="111"/>
      <c r="CQ33830" s="111"/>
      <c r="EF33830"/>
      <c r="EG33830"/>
      <c r="EH33830"/>
      <c r="EI33830"/>
      <c r="EJ33830"/>
      <c r="EK33830"/>
    </row>
    <row r="33831" spans="1:141" s="116" customFormat="1">
      <c r="A33831" s="136"/>
      <c r="CM33831" s="111"/>
      <c r="CQ33831" s="111"/>
      <c r="EF33831"/>
      <c r="EG33831"/>
      <c r="EH33831"/>
      <c r="EI33831"/>
      <c r="EJ33831"/>
      <c r="EK33831"/>
    </row>
    <row r="33832" spans="1:141" s="116" customFormat="1">
      <c r="A33832" s="136"/>
      <c r="CM33832" s="111"/>
      <c r="CQ33832" s="111"/>
      <c r="EF33832"/>
      <c r="EG33832"/>
      <c r="EH33832"/>
      <c r="EI33832"/>
      <c r="EJ33832"/>
      <c r="EK33832"/>
    </row>
    <row r="33833" spans="1:141" s="116" customFormat="1">
      <c r="A33833" s="136"/>
      <c r="CM33833" s="111"/>
      <c r="CQ33833" s="111"/>
      <c r="EF33833"/>
      <c r="EG33833"/>
      <c r="EH33833"/>
      <c r="EI33833"/>
      <c r="EJ33833"/>
      <c r="EK33833"/>
    </row>
    <row r="33834" spans="1:141" s="116" customFormat="1">
      <c r="A33834" s="136"/>
      <c r="CM33834" s="111"/>
      <c r="CQ33834" s="111"/>
      <c r="EF33834"/>
      <c r="EG33834"/>
      <c r="EH33834"/>
      <c r="EI33834"/>
      <c r="EJ33834"/>
      <c r="EK33834"/>
    </row>
    <row r="33835" spans="1:141" s="116" customFormat="1">
      <c r="A33835" s="136"/>
      <c r="CM33835" s="111"/>
      <c r="CQ33835" s="111"/>
      <c r="EF33835"/>
      <c r="EG33835"/>
      <c r="EH33835"/>
      <c r="EI33835"/>
      <c r="EJ33835"/>
      <c r="EK33835"/>
    </row>
    <row r="33836" spans="1:141" s="116" customFormat="1">
      <c r="A33836" s="136"/>
      <c r="CM33836" s="111"/>
      <c r="CQ33836" s="111"/>
      <c r="EF33836"/>
      <c r="EG33836"/>
      <c r="EH33836"/>
      <c r="EI33836"/>
      <c r="EJ33836"/>
      <c r="EK33836"/>
    </row>
    <row r="33837" spans="1:141" s="116" customFormat="1">
      <c r="A33837" s="136"/>
      <c r="CM33837" s="111"/>
      <c r="CQ33837" s="111"/>
      <c r="EF33837"/>
      <c r="EG33837"/>
      <c r="EH33837"/>
      <c r="EI33837"/>
      <c r="EJ33837"/>
      <c r="EK33837"/>
    </row>
    <row r="33838" spans="1:141" s="116" customFormat="1">
      <c r="A33838" s="136"/>
      <c r="CM33838" s="111"/>
      <c r="CQ33838" s="111"/>
      <c r="EF33838"/>
      <c r="EG33838"/>
      <c r="EH33838"/>
      <c r="EI33838"/>
      <c r="EJ33838"/>
      <c r="EK33838"/>
    </row>
    <row r="33839" spans="1:141" s="116" customFormat="1">
      <c r="A33839" s="136"/>
      <c r="CM33839" s="111"/>
      <c r="CQ33839" s="111"/>
      <c r="EF33839"/>
      <c r="EG33839"/>
      <c r="EH33839"/>
      <c r="EI33839"/>
      <c r="EJ33839"/>
      <c r="EK33839"/>
    </row>
    <row r="33840" spans="1:141" s="116" customFormat="1">
      <c r="A33840" s="136"/>
      <c r="CM33840" s="111"/>
      <c r="CQ33840" s="111"/>
      <c r="EF33840"/>
      <c r="EG33840"/>
      <c r="EH33840"/>
      <c r="EI33840"/>
      <c r="EJ33840"/>
      <c r="EK33840"/>
    </row>
    <row r="33841" spans="1:141" s="116" customFormat="1">
      <c r="A33841" s="136"/>
      <c r="CM33841" s="111"/>
      <c r="CQ33841" s="111"/>
      <c r="EF33841"/>
      <c r="EG33841"/>
      <c r="EH33841"/>
      <c r="EI33841"/>
      <c r="EJ33841"/>
      <c r="EK33841"/>
    </row>
    <row r="33842" spans="1:141" s="116" customFormat="1">
      <c r="A33842" s="136"/>
      <c r="CM33842" s="111"/>
      <c r="CQ33842" s="111"/>
      <c r="EF33842"/>
      <c r="EG33842"/>
      <c r="EH33842"/>
      <c r="EI33842"/>
      <c r="EJ33842"/>
      <c r="EK33842"/>
    </row>
    <row r="33843" spans="1:141" s="116" customFormat="1">
      <c r="A33843" s="136"/>
      <c r="CM33843" s="111"/>
      <c r="CQ33843" s="111"/>
      <c r="EF33843"/>
      <c r="EG33843"/>
      <c r="EH33843"/>
      <c r="EI33843"/>
      <c r="EJ33843"/>
      <c r="EK33843"/>
    </row>
    <row r="33844" spans="1:141" s="116" customFormat="1">
      <c r="A33844" s="136"/>
      <c r="CM33844" s="111"/>
      <c r="CQ33844" s="111"/>
      <c r="EF33844"/>
      <c r="EG33844"/>
      <c r="EH33844"/>
      <c r="EI33844"/>
      <c r="EJ33844"/>
      <c r="EK33844"/>
    </row>
    <row r="33845" spans="1:141" s="116" customFormat="1">
      <c r="A33845" s="136"/>
      <c r="CM33845" s="111"/>
      <c r="CQ33845" s="111"/>
      <c r="EF33845"/>
      <c r="EG33845"/>
      <c r="EH33845"/>
      <c r="EI33845"/>
      <c r="EJ33845"/>
      <c r="EK33845"/>
    </row>
    <row r="33846" spans="1:141" s="116" customFormat="1">
      <c r="A33846" s="136"/>
      <c r="CM33846" s="111"/>
      <c r="CQ33846" s="111"/>
      <c r="EF33846"/>
      <c r="EG33846"/>
      <c r="EH33846"/>
      <c r="EI33846"/>
      <c r="EJ33846"/>
      <c r="EK33846"/>
    </row>
    <row r="33847" spans="1:141" s="116" customFormat="1">
      <c r="A33847" s="136"/>
      <c r="CM33847" s="111"/>
      <c r="CQ33847" s="111"/>
      <c r="EF33847"/>
      <c r="EG33847"/>
      <c r="EH33847"/>
      <c r="EI33847"/>
      <c r="EJ33847"/>
      <c r="EK33847"/>
    </row>
    <row r="33848" spans="1:141" s="116" customFormat="1">
      <c r="A33848" s="136"/>
      <c r="CM33848" s="111"/>
      <c r="CQ33848" s="111"/>
      <c r="EF33848"/>
      <c r="EG33848"/>
      <c r="EH33848"/>
      <c r="EI33848"/>
      <c r="EJ33848"/>
      <c r="EK33848"/>
    </row>
    <row r="33849" spans="1:141" s="116" customFormat="1">
      <c r="A33849" s="136"/>
      <c r="CM33849" s="111"/>
      <c r="CQ33849" s="111"/>
      <c r="EF33849"/>
      <c r="EG33849"/>
      <c r="EH33849"/>
      <c r="EI33849"/>
      <c r="EJ33849"/>
      <c r="EK33849"/>
    </row>
    <row r="33850" spans="1:141" s="116" customFormat="1">
      <c r="A33850" s="136"/>
      <c r="CM33850" s="111"/>
      <c r="CQ33850" s="111"/>
      <c r="EF33850"/>
      <c r="EG33850"/>
      <c r="EH33850"/>
      <c r="EI33850"/>
      <c r="EJ33850"/>
      <c r="EK33850"/>
    </row>
    <row r="33851" spans="1:141" s="116" customFormat="1">
      <c r="A33851" s="136"/>
      <c r="CM33851" s="111"/>
      <c r="CQ33851" s="111"/>
      <c r="EF33851"/>
      <c r="EG33851"/>
      <c r="EH33851"/>
      <c r="EI33851"/>
      <c r="EJ33851"/>
      <c r="EK33851"/>
    </row>
    <row r="33852" spans="1:141" s="116" customFormat="1">
      <c r="A33852" s="136"/>
      <c r="CM33852" s="111"/>
      <c r="CQ33852" s="111"/>
      <c r="EF33852"/>
      <c r="EG33852"/>
      <c r="EH33852"/>
      <c r="EI33852"/>
      <c r="EJ33852"/>
      <c r="EK33852"/>
    </row>
    <row r="33853" spans="1:141" s="116" customFormat="1">
      <c r="A33853" s="136"/>
      <c r="CM33853" s="111"/>
      <c r="CQ33853" s="111"/>
      <c r="EF33853"/>
      <c r="EG33853"/>
      <c r="EH33853"/>
      <c r="EI33853"/>
      <c r="EJ33853"/>
      <c r="EK33853"/>
    </row>
    <row r="33854" spans="1:141" s="116" customFormat="1">
      <c r="A33854" s="136"/>
      <c r="CM33854" s="111"/>
      <c r="CQ33854" s="111"/>
      <c r="EF33854"/>
      <c r="EG33854"/>
      <c r="EH33854"/>
      <c r="EI33854"/>
      <c r="EJ33854"/>
      <c r="EK33854"/>
    </row>
    <row r="33855" spans="1:141" s="116" customFormat="1">
      <c r="A33855" s="136"/>
      <c r="CM33855" s="111"/>
      <c r="CQ33855" s="111"/>
      <c r="EF33855"/>
      <c r="EG33855"/>
      <c r="EH33855"/>
      <c r="EI33855"/>
      <c r="EJ33855"/>
      <c r="EK33855"/>
    </row>
    <row r="33856" spans="1:141" s="116" customFormat="1">
      <c r="A33856" s="136"/>
      <c r="CM33856" s="111"/>
      <c r="CQ33856" s="111"/>
      <c r="EF33856"/>
      <c r="EG33856"/>
      <c r="EH33856"/>
      <c r="EI33856"/>
      <c r="EJ33856"/>
      <c r="EK33856"/>
    </row>
    <row r="33857" spans="1:141" s="116" customFormat="1">
      <c r="A33857" s="136"/>
      <c r="CM33857" s="111"/>
      <c r="CQ33857" s="111"/>
      <c r="EF33857"/>
      <c r="EG33857"/>
      <c r="EH33857"/>
      <c r="EI33857"/>
      <c r="EJ33857"/>
      <c r="EK33857"/>
    </row>
    <row r="33858" spans="1:141" s="116" customFormat="1">
      <c r="A33858" s="136"/>
      <c r="CM33858" s="111"/>
      <c r="CQ33858" s="111"/>
      <c r="EF33858"/>
      <c r="EG33858"/>
      <c r="EH33858"/>
      <c r="EI33858"/>
      <c r="EJ33858"/>
      <c r="EK33858"/>
    </row>
    <row r="33859" spans="1:141" s="116" customFormat="1">
      <c r="A33859" s="136"/>
      <c r="CM33859" s="111"/>
      <c r="CQ33859" s="111"/>
      <c r="EF33859"/>
      <c r="EG33859"/>
      <c r="EH33859"/>
      <c r="EI33859"/>
      <c r="EJ33859"/>
      <c r="EK33859"/>
    </row>
    <row r="33860" spans="1:141" s="116" customFormat="1">
      <c r="A33860" s="136"/>
      <c r="CM33860" s="111"/>
      <c r="CQ33860" s="111"/>
      <c r="EF33860"/>
      <c r="EG33860"/>
      <c r="EH33860"/>
      <c r="EI33860"/>
      <c r="EJ33860"/>
      <c r="EK33860"/>
    </row>
    <row r="33861" spans="1:141" s="116" customFormat="1">
      <c r="A33861" s="136"/>
      <c r="CM33861" s="111"/>
      <c r="CQ33861" s="111"/>
      <c r="EF33861"/>
      <c r="EG33861"/>
      <c r="EH33861"/>
      <c r="EI33861"/>
      <c r="EJ33861"/>
      <c r="EK33861"/>
    </row>
    <row r="33862" spans="1:141" s="116" customFormat="1">
      <c r="A33862" s="136"/>
      <c r="CM33862" s="111"/>
      <c r="CQ33862" s="111"/>
      <c r="EF33862"/>
      <c r="EG33862"/>
      <c r="EH33862"/>
      <c r="EI33862"/>
      <c r="EJ33862"/>
      <c r="EK33862"/>
    </row>
    <row r="33863" spans="1:141" s="116" customFormat="1">
      <c r="A33863" s="136"/>
      <c r="CM33863" s="111"/>
      <c r="CQ33863" s="111"/>
      <c r="EF33863"/>
      <c r="EG33863"/>
      <c r="EH33863"/>
      <c r="EI33863"/>
      <c r="EJ33863"/>
      <c r="EK33863"/>
    </row>
    <row r="33864" spans="1:141" s="116" customFormat="1">
      <c r="A33864" s="136"/>
      <c r="CM33864" s="111"/>
      <c r="CQ33864" s="111"/>
      <c r="EF33864"/>
      <c r="EG33864"/>
      <c r="EH33864"/>
      <c r="EI33864"/>
      <c r="EJ33864"/>
      <c r="EK33864"/>
    </row>
    <row r="33865" spans="1:141" s="116" customFormat="1">
      <c r="A33865" s="136"/>
      <c r="CM33865" s="111"/>
      <c r="CQ33865" s="111"/>
      <c r="EF33865"/>
      <c r="EG33865"/>
      <c r="EH33865"/>
      <c r="EI33865"/>
      <c r="EJ33865"/>
      <c r="EK33865"/>
    </row>
    <row r="33866" spans="1:141" s="116" customFormat="1">
      <c r="A33866" s="136"/>
      <c r="CM33866" s="111"/>
      <c r="CQ33866" s="111"/>
      <c r="EF33866"/>
      <c r="EG33866"/>
      <c r="EH33866"/>
      <c r="EI33866"/>
      <c r="EJ33866"/>
      <c r="EK33866"/>
    </row>
    <row r="33867" spans="1:141" s="116" customFormat="1">
      <c r="A33867" s="136"/>
      <c r="CM33867" s="111"/>
      <c r="CQ33867" s="111"/>
      <c r="EF33867"/>
      <c r="EG33867"/>
      <c r="EH33867"/>
      <c r="EI33867"/>
      <c r="EJ33867"/>
      <c r="EK33867"/>
    </row>
    <row r="33868" spans="1:141" s="116" customFormat="1">
      <c r="A33868" s="136"/>
      <c r="CM33868" s="111"/>
      <c r="CQ33868" s="111"/>
      <c r="EF33868"/>
      <c r="EG33868"/>
      <c r="EH33868"/>
      <c r="EI33868"/>
      <c r="EJ33868"/>
      <c r="EK33868"/>
    </row>
    <row r="33869" spans="1:141" s="116" customFormat="1">
      <c r="A33869" s="136"/>
      <c r="CM33869" s="111"/>
      <c r="CQ33869" s="111"/>
      <c r="EF33869"/>
      <c r="EG33869"/>
      <c r="EH33869"/>
      <c r="EI33869"/>
      <c r="EJ33869"/>
      <c r="EK33869"/>
    </row>
    <row r="33870" spans="1:141" s="116" customFormat="1">
      <c r="A33870" s="136"/>
      <c r="CM33870" s="111"/>
      <c r="CQ33870" s="111"/>
      <c r="EF33870"/>
      <c r="EG33870"/>
      <c r="EH33870"/>
      <c r="EI33870"/>
      <c r="EJ33870"/>
      <c r="EK33870"/>
    </row>
    <row r="33871" spans="1:141" s="116" customFormat="1">
      <c r="A33871" s="136"/>
      <c r="CM33871" s="111"/>
      <c r="CQ33871" s="111"/>
      <c r="EF33871"/>
      <c r="EG33871"/>
      <c r="EH33871"/>
      <c r="EI33871"/>
      <c r="EJ33871"/>
      <c r="EK33871"/>
    </row>
    <row r="33872" spans="1:141" s="116" customFormat="1">
      <c r="A33872" s="136"/>
      <c r="CM33872" s="111"/>
      <c r="CQ33872" s="111"/>
      <c r="EF33872"/>
      <c r="EG33872"/>
      <c r="EH33872"/>
      <c r="EI33872"/>
      <c r="EJ33872"/>
      <c r="EK33872"/>
    </row>
    <row r="33873" spans="1:141" s="116" customFormat="1">
      <c r="A33873" s="136"/>
      <c r="CM33873" s="111"/>
      <c r="CQ33873" s="111"/>
      <c r="EF33873"/>
      <c r="EG33873"/>
      <c r="EH33873"/>
      <c r="EI33873"/>
      <c r="EJ33873"/>
      <c r="EK33873"/>
    </row>
    <row r="33874" spans="1:141" s="116" customFormat="1">
      <c r="A33874" s="136"/>
      <c r="CM33874" s="111"/>
      <c r="CQ33874" s="111"/>
      <c r="EF33874"/>
      <c r="EG33874"/>
      <c r="EH33874"/>
      <c r="EI33874"/>
      <c r="EJ33874"/>
      <c r="EK33874"/>
    </row>
    <row r="33875" spans="1:141" s="116" customFormat="1">
      <c r="A33875" s="136"/>
      <c r="CM33875" s="111"/>
      <c r="CQ33875" s="111"/>
      <c r="EF33875"/>
      <c r="EG33875"/>
      <c r="EH33875"/>
      <c r="EI33875"/>
      <c r="EJ33875"/>
      <c r="EK33875"/>
    </row>
    <row r="33876" spans="1:141" s="116" customFormat="1">
      <c r="A33876" s="136"/>
      <c r="CM33876" s="111"/>
      <c r="CQ33876" s="111"/>
      <c r="EF33876"/>
      <c r="EG33876"/>
      <c r="EH33876"/>
      <c r="EI33876"/>
      <c r="EJ33876"/>
      <c r="EK33876"/>
    </row>
    <row r="33877" spans="1:141" s="116" customFormat="1">
      <c r="A33877" s="136"/>
      <c r="CM33877" s="111"/>
      <c r="CQ33877" s="111"/>
      <c r="EF33877"/>
      <c r="EG33877"/>
      <c r="EH33877"/>
      <c r="EI33877"/>
      <c r="EJ33877"/>
      <c r="EK33877"/>
    </row>
    <row r="33878" spans="1:141" s="116" customFormat="1">
      <c r="A33878" s="136"/>
      <c r="CM33878" s="111"/>
      <c r="CQ33878" s="111"/>
      <c r="EF33878"/>
      <c r="EG33878"/>
      <c r="EH33878"/>
      <c r="EI33878"/>
      <c r="EJ33878"/>
      <c r="EK33878"/>
    </row>
    <row r="33879" spans="1:141" s="116" customFormat="1">
      <c r="A33879" s="136"/>
      <c r="CM33879" s="111"/>
      <c r="CQ33879" s="111"/>
      <c r="EF33879"/>
      <c r="EG33879"/>
      <c r="EH33879"/>
      <c r="EI33879"/>
      <c r="EJ33879"/>
      <c r="EK33879"/>
    </row>
    <row r="33880" spans="1:141" s="116" customFormat="1">
      <c r="A33880" s="136"/>
      <c r="CM33880" s="111"/>
      <c r="CQ33880" s="111"/>
      <c r="EF33880"/>
      <c r="EG33880"/>
      <c r="EH33880"/>
      <c r="EI33880"/>
      <c r="EJ33880"/>
      <c r="EK33880"/>
    </row>
    <row r="33881" spans="1:141" s="116" customFormat="1">
      <c r="A33881" s="136"/>
      <c r="CM33881" s="111"/>
      <c r="CQ33881" s="111"/>
      <c r="EF33881"/>
      <c r="EG33881"/>
      <c r="EH33881"/>
      <c r="EI33881"/>
      <c r="EJ33881"/>
      <c r="EK33881"/>
    </row>
    <row r="33882" spans="1:141" s="116" customFormat="1">
      <c r="A33882" s="136"/>
      <c r="CM33882" s="111"/>
      <c r="CQ33882" s="111"/>
      <c r="EF33882"/>
      <c r="EG33882"/>
      <c r="EH33882"/>
      <c r="EI33882"/>
      <c r="EJ33882"/>
      <c r="EK33882"/>
    </row>
    <row r="33883" spans="1:141" s="116" customFormat="1">
      <c r="A33883" s="136"/>
      <c r="CM33883" s="111"/>
      <c r="CQ33883" s="111"/>
      <c r="EF33883"/>
      <c r="EG33883"/>
      <c r="EH33883"/>
      <c r="EI33883"/>
      <c r="EJ33883"/>
      <c r="EK33883"/>
    </row>
    <row r="33884" spans="1:141" s="116" customFormat="1">
      <c r="A33884" s="136"/>
      <c r="CM33884" s="111"/>
      <c r="CQ33884" s="111"/>
      <c r="EF33884"/>
      <c r="EG33884"/>
      <c r="EH33884"/>
      <c r="EI33884"/>
      <c r="EJ33884"/>
      <c r="EK33884"/>
    </row>
    <row r="33885" spans="1:141" s="116" customFormat="1">
      <c r="A33885" s="136"/>
      <c r="CM33885" s="111"/>
      <c r="CQ33885" s="111"/>
      <c r="EF33885"/>
      <c r="EG33885"/>
      <c r="EH33885"/>
      <c r="EI33885"/>
      <c r="EJ33885"/>
      <c r="EK33885"/>
    </row>
    <row r="33886" spans="1:141" s="116" customFormat="1">
      <c r="A33886" s="136"/>
      <c r="CM33886" s="111"/>
      <c r="CQ33886" s="111"/>
      <c r="EF33886"/>
      <c r="EG33886"/>
      <c r="EH33886"/>
      <c r="EI33886"/>
      <c r="EJ33886"/>
      <c r="EK33886"/>
    </row>
    <row r="33887" spans="1:141" s="116" customFormat="1">
      <c r="A33887" s="136"/>
      <c r="CM33887" s="111"/>
      <c r="CQ33887" s="111"/>
      <c r="EF33887"/>
      <c r="EG33887"/>
      <c r="EH33887"/>
      <c r="EI33887"/>
      <c r="EJ33887"/>
      <c r="EK33887"/>
    </row>
    <row r="33888" spans="1:141" s="116" customFormat="1">
      <c r="A33888" s="136"/>
      <c r="CM33888" s="111"/>
      <c r="CQ33888" s="111"/>
      <c r="EF33888"/>
      <c r="EG33888"/>
      <c r="EH33888"/>
      <c r="EI33888"/>
      <c r="EJ33888"/>
      <c r="EK33888"/>
    </row>
    <row r="33889" spans="1:141" s="116" customFormat="1">
      <c r="A33889" s="136"/>
      <c r="CM33889" s="111"/>
      <c r="CQ33889" s="111"/>
      <c r="EF33889"/>
      <c r="EG33889"/>
      <c r="EH33889"/>
      <c r="EI33889"/>
      <c r="EJ33889"/>
      <c r="EK33889"/>
    </row>
    <row r="33890" spans="1:141" s="116" customFormat="1">
      <c r="A33890" s="136"/>
      <c r="CM33890" s="111"/>
      <c r="CQ33890" s="111"/>
      <c r="EF33890"/>
      <c r="EG33890"/>
      <c r="EH33890"/>
      <c r="EI33890"/>
      <c r="EJ33890"/>
      <c r="EK33890"/>
    </row>
    <row r="33891" spans="1:141" s="116" customFormat="1">
      <c r="A33891" s="136"/>
      <c r="CM33891" s="111"/>
      <c r="CQ33891" s="111"/>
      <c r="EF33891"/>
      <c r="EG33891"/>
      <c r="EH33891"/>
      <c r="EI33891"/>
      <c r="EJ33891"/>
      <c r="EK33891"/>
    </row>
    <row r="33892" spans="1:141" s="116" customFormat="1">
      <c r="A33892" s="136"/>
      <c r="CM33892" s="111"/>
      <c r="CQ33892" s="111"/>
      <c r="EF33892"/>
      <c r="EG33892"/>
      <c r="EH33892"/>
      <c r="EI33892"/>
      <c r="EJ33892"/>
      <c r="EK33892"/>
    </row>
    <row r="33893" spans="1:141" s="116" customFormat="1">
      <c r="A33893" s="136"/>
      <c r="CM33893" s="111"/>
      <c r="CQ33893" s="111"/>
      <c r="EF33893"/>
      <c r="EG33893"/>
      <c r="EH33893"/>
      <c r="EI33893"/>
      <c r="EJ33893"/>
      <c r="EK33893"/>
    </row>
    <row r="33894" spans="1:141" s="116" customFormat="1">
      <c r="A33894" s="136"/>
      <c r="CM33894" s="111"/>
      <c r="CQ33894" s="111"/>
      <c r="EF33894"/>
      <c r="EG33894"/>
      <c r="EH33894"/>
      <c r="EI33894"/>
      <c r="EJ33894"/>
      <c r="EK33894"/>
    </row>
    <row r="33895" spans="1:141" s="116" customFormat="1">
      <c r="A33895" s="136"/>
      <c r="CM33895" s="111"/>
      <c r="CQ33895" s="111"/>
      <c r="EF33895"/>
      <c r="EG33895"/>
      <c r="EH33895"/>
      <c r="EI33895"/>
      <c r="EJ33895"/>
      <c r="EK33895"/>
    </row>
    <row r="33896" spans="1:141" s="116" customFormat="1">
      <c r="A33896" s="136"/>
      <c r="CM33896" s="111"/>
      <c r="CQ33896" s="111"/>
      <c r="EF33896"/>
      <c r="EG33896"/>
      <c r="EH33896"/>
      <c r="EI33896"/>
      <c r="EJ33896"/>
      <c r="EK33896"/>
    </row>
    <row r="33897" spans="1:141" s="116" customFormat="1">
      <c r="A33897" s="136"/>
      <c r="CM33897" s="111"/>
      <c r="CQ33897" s="111"/>
      <c r="EF33897"/>
      <c r="EG33897"/>
      <c r="EH33897"/>
      <c r="EI33897"/>
      <c r="EJ33897"/>
      <c r="EK33897"/>
    </row>
    <row r="33898" spans="1:141" s="116" customFormat="1">
      <c r="A33898" s="136"/>
      <c r="CM33898" s="111"/>
      <c r="CQ33898" s="111"/>
      <c r="EF33898"/>
      <c r="EG33898"/>
      <c r="EH33898"/>
      <c r="EI33898"/>
      <c r="EJ33898"/>
      <c r="EK33898"/>
    </row>
    <row r="33899" spans="1:141" s="116" customFormat="1">
      <c r="A33899" s="136"/>
      <c r="CM33899" s="111"/>
      <c r="CQ33899" s="111"/>
      <c r="EF33899"/>
      <c r="EG33899"/>
      <c r="EH33899"/>
      <c r="EI33899"/>
      <c r="EJ33899"/>
      <c r="EK33899"/>
    </row>
    <row r="33900" spans="1:141" s="116" customFormat="1">
      <c r="A33900" s="136"/>
      <c r="CM33900" s="111"/>
      <c r="CQ33900" s="111"/>
      <c r="EF33900"/>
      <c r="EG33900"/>
      <c r="EH33900"/>
      <c r="EI33900"/>
      <c r="EJ33900"/>
      <c r="EK33900"/>
    </row>
    <row r="33901" spans="1:141" s="116" customFormat="1">
      <c r="A33901" s="136"/>
      <c r="CM33901" s="111"/>
      <c r="CQ33901" s="111"/>
      <c r="EF33901"/>
      <c r="EG33901"/>
      <c r="EH33901"/>
      <c r="EI33901"/>
      <c r="EJ33901"/>
      <c r="EK33901"/>
    </row>
    <row r="33902" spans="1:141" s="116" customFormat="1">
      <c r="A33902" s="136"/>
      <c r="CM33902" s="111"/>
      <c r="CQ33902" s="111"/>
      <c r="EF33902"/>
      <c r="EG33902"/>
      <c r="EH33902"/>
      <c r="EI33902"/>
      <c r="EJ33902"/>
      <c r="EK33902"/>
    </row>
    <row r="33903" spans="1:141" s="116" customFormat="1">
      <c r="A33903" s="136"/>
      <c r="CM33903" s="111"/>
      <c r="CQ33903" s="111"/>
      <c r="EF33903"/>
      <c r="EG33903"/>
      <c r="EH33903"/>
      <c r="EI33903"/>
      <c r="EJ33903"/>
      <c r="EK33903"/>
    </row>
    <row r="33904" spans="1:141" s="116" customFormat="1">
      <c r="A33904" s="136"/>
      <c r="CM33904" s="111"/>
      <c r="CQ33904" s="111"/>
      <c r="EF33904"/>
      <c r="EG33904"/>
      <c r="EH33904"/>
      <c r="EI33904"/>
      <c r="EJ33904"/>
      <c r="EK33904"/>
    </row>
    <row r="33905" spans="1:141" s="116" customFormat="1">
      <c r="A33905" s="136"/>
      <c r="CM33905" s="111"/>
      <c r="CQ33905" s="111"/>
      <c r="EF33905"/>
      <c r="EG33905"/>
      <c r="EH33905"/>
      <c r="EI33905"/>
      <c r="EJ33905"/>
      <c r="EK33905"/>
    </row>
    <row r="33906" spans="1:141" s="116" customFormat="1">
      <c r="A33906" s="136"/>
      <c r="CM33906" s="111"/>
      <c r="CQ33906" s="111"/>
      <c r="EF33906"/>
      <c r="EG33906"/>
      <c r="EH33906"/>
      <c r="EI33906"/>
      <c r="EJ33906"/>
      <c r="EK33906"/>
    </row>
    <row r="33907" spans="1:141" s="116" customFormat="1">
      <c r="A33907" s="136"/>
      <c r="CM33907" s="111"/>
      <c r="CQ33907" s="111"/>
      <c r="EF33907"/>
      <c r="EG33907"/>
      <c r="EH33907"/>
      <c r="EI33907"/>
      <c r="EJ33907"/>
      <c r="EK33907"/>
    </row>
    <row r="33908" spans="1:141" s="116" customFormat="1">
      <c r="A33908" s="136"/>
      <c r="CM33908" s="111"/>
      <c r="CQ33908" s="111"/>
      <c r="EF33908"/>
      <c r="EG33908"/>
      <c r="EH33908"/>
      <c r="EI33908"/>
      <c r="EJ33908"/>
      <c r="EK33908"/>
    </row>
    <row r="33909" spans="1:141" s="116" customFormat="1">
      <c r="A33909" s="136"/>
      <c r="CM33909" s="111"/>
      <c r="CQ33909" s="111"/>
      <c r="EF33909"/>
      <c r="EG33909"/>
      <c r="EH33909"/>
      <c r="EI33909"/>
      <c r="EJ33909"/>
      <c r="EK33909"/>
    </row>
    <row r="33910" spans="1:141" s="116" customFormat="1">
      <c r="A33910" s="136"/>
      <c r="CM33910" s="111"/>
      <c r="CQ33910" s="111"/>
      <c r="EF33910"/>
      <c r="EG33910"/>
      <c r="EH33910"/>
      <c r="EI33910"/>
      <c r="EJ33910"/>
      <c r="EK33910"/>
    </row>
    <row r="33911" spans="1:141" s="116" customFormat="1">
      <c r="A33911" s="136"/>
      <c r="CM33911" s="111"/>
      <c r="CQ33911" s="111"/>
      <c r="EF33911"/>
      <c r="EG33911"/>
      <c r="EH33911"/>
      <c r="EI33911"/>
      <c r="EJ33911"/>
      <c r="EK33911"/>
    </row>
    <row r="33912" spans="1:141" s="116" customFormat="1">
      <c r="A33912" s="136"/>
      <c r="CM33912" s="111"/>
      <c r="CQ33912" s="111"/>
      <c r="EF33912"/>
      <c r="EG33912"/>
      <c r="EH33912"/>
      <c r="EI33912"/>
      <c r="EJ33912"/>
      <c r="EK33912"/>
    </row>
    <row r="33913" spans="1:141" s="116" customFormat="1">
      <c r="A33913" s="136"/>
      <c r="CM33913" s="111"/>
      <c r="CQ33913" s="111"/>
      <c r="EF33913"/>
      <c r="EG33913"/>
      <c r="EH33913"/>
      <c r="EI33913"/>
      <c r="EJ33913"/>
      <c r="EK33913"/>
    </row>
    <row r="33914" spans="1:141" s="116" customFormat="1">
      <c r="A33914" s="136"/>
      <c r="CM33914" s="111"/>
      <c r="CQ33914" s="111"/>
      <c r="EF33914"/>
      <c r="EG33914"/>
      <c r="EH33914"/>
      <c r="EI33914"/>
      <c r="EJ33914"/>
      <c r="EK33914"/>
    </row>
    <row r="33915" spans="1:141" s="116" customFormat="1">
      <c r="A33915" s="136"/>
      <c r="CM33915" s="111"/>
      <c r="CQ33915" s="111"/>
      <c r="EF33915"/>
      <c r="EG33915"/>
      <c r="EH33915"/>
      <c r="EI33915"/>
      <c r="EJ33915"/>
      <c r="EK33915"/>
    </row>
    <row r="33916" spans="1:141" s="116" customFormat="1">
      <c r="A33916" s="136"/>
      <c r="CM33916" s="111"/>
      <c r="CQ33916" s="111"/>
      <c r="EF33916"/>
      <c r="EG33916"/>
      <c r="EH33916"/>
      <c r="EI33916"/>
      <c r="EJ33916"/>
      <c r="EK33916"/>
    </row>
    <row r="33917" spans="1:141" s="116" customFormat="1">
      <c r="A33917" s="136"/>
      <c r="CM33917" s="111"/>
      <c r="CQ33917" s="111"/>
      <c r="EF33917"/>
      <c r="EG33917"/>
      <c r="EH33917"/>
      <c r="EI33917"/>
      <c r="EJ33917"/>
      <c r="EK33917"/>
    </row>
    <row r="33918" spans="1:141" s="116" customFormat="1">
      <c r="A33918" s="136"/>
      <c r="CM33918" s="111"/>
      <c r="CQ33918" s="111"/>
      <c r="EF33918"/>
      <c r="EG33918"/>
      <c r="EH33918"/>
      <c r="EI33918"/>
      <c r="EJ33918"/>
      <c r="EK33918"/>
    </row>
    <row r="33919" spans="1:141" s="116" customFormat="1">
      <c r="A33919" s="136"/>
      <c r="CM33919" s="111"/>
      <c r="CQ33919" s="111"/>
      <c r="EF33919"/>
      <c r="EG33919"/>
      <c r="EH33919"/>
      <c r="EI33919"/>
      <c r="EJ33919"/>
      <c r="EK33919"/>
    </row>
    <row r="33920" spans="1:141" s="116" customFormat="1">
      <c r="A33920" s="136"/>
      <c r="CM33920" s="111"/>
      <c r="CQ33920" s="111"/>
      <c r="EF33920"/>
      <c r="EG33920"/>
      <c r="EH33920"/>
      <c r="EI33920"/>
      <c r="EJ33920"/>
      <c r="EK33920"/>
    </row>
    <row r="33921" spans="1:141" s="116" customFormat="1">
      <c r="A33921" s="136"/>
      <c r="CM33921" s="111"/>
      <c r="CQ33921" s="111"/>
      <c r="EF33921"/>
      <c r="EG33921"/>
      <c r="EH33921"/>
      <c r="EI33921"/>
      <c r="EJ33921"/>
      <c r="EK33921"/>
    </row>
    <row r="33922" spans="1:141" s="116" customFormat="1">
      <c r="A33922" s="136"/>
      <c r="CM33922" s="111"/>
      <c r="CQ33922" s="111"/>
      <c r="EF33922"/>
      <c r="EG33922"/>
      <c r="EH33922"/>
      <c r="EI33922"/>
      <c r="EJ33922"/>
      <c r="EK33922"/>
    </row>
    <row r="33923" spans="1:141" s="116" customFormat="1">
      <c r="A33923" s="136"/>
      <c r="CM33923" s="111"/>
      <c r="CQ33923" s="111"/>
      <c r="EF33923"/>
      <c r="EG33923"/>
      <c r="EH33923"/>
      <c r="EI33923"/>
      <c r="EJ33923"/>
      <c r="EK33923"/>
    </row>
    <row r="33924" spans="1:141" s="116" customFormat="1">
      <c r="A33924" s="136"/>
      <c r="CM33924" s="111"/>
      <c r="CQ33924" s="111"/>
      <c r="EF33924"/>
      <c r="EG33924"/>
      <c r="EH33924"/>
      <c r="EI33924"/>
      <c r="EJ33924"/>
      <c r="EK33924"/>
    </row>
    <row r="33925" spans="1:141" s="116" customFormat="1">
      <c r="A33925" s="136"/>
      <c r="CM33925" s="111"/>
      <c r="CQ33925" s="111"/>
      <c r="EF33925"/>
      <c r="EG33925"/>
      <c r="EH33925"/>
      <c r="EI33925"/>
      <c r="EJ33925"/>
      <c r="EK33925"/>
    </row>
    <row r="33926" spans="1:141" s="116" customFormat="1">
      <c r="A33926" s="136"/>
      <c r="CM33926" s="111"/>
      <c r="CQ33926" s="111"/>
      <c r="EF33926"/>
      <c r="EG33926"/>
      <c r="EH33926"/>
      <c r="EI33926"/>
      <c r="EJ33926"/>
      <c r="EK33926"/>
    </row>
    <row r="33927" spans="1:141" s="116" customFormat="1">
      <c r="A33927" s="136"/>
      <c r="CM33927" s="111"/>
      <c r="CQ33927" s="111"/>
      <c r="EF33927"/>
      <c r="EG33927"/>
      <c r="EH33927"/>
      <c r="EI33927"/>
      <c r="EJ33927"/>
      <c r="EK33927"/>
    </row>
    <row r="33928" spans="1:141" s="116" customFormat="1">
      <c r="A33928" s="136"/>
      <c r="CM33928" s="111"/>
      <c r="CQ33928" s="111"/>
      <c r="EF33928"/>
      <c r="EG33928"/>
      <c r="EH33928"/>
      <c r="EI33928"/>
      <c r="EJ33928"/>
      <c r="EK33928"/>
    </row>
    <row r="33929" spans="1:141" s="116" customFormat="1">
      <c r="A33929" s="136"/>
      <c r="CM33929" s="111"/>
      <c r="CQ33929" s="111"/>
      <c r="EF33929"/>
      <c r="EG33929"/>
      <c r="EH33929"/>
      <c r="EI33929"/>
      <c r="EJ33929"/>
      <c r="EK33929"/>
    </row>
    <row r="33930" spans="1:141" s="116" customFormat="1">
      <c r="A33930" s="136"/>
      <c r="CM33930" s="111"/>
      <c r="CQ33930" s="111"/>
      <c r="EF33930"/>
      <c r="EG33930"/>
      <c r="EH33930"/>
      <c r="EI33930"/>
      <c r="EJ33930"/>
      <c r="EK33930"/>
    </row>
    <row r="33931" spans="1:141" s="116" customFormat="1">
      <c r="A33931" s="136"/>
      <c r="CM33931" s="111"/>
      <c r="CQ33931" s="111"/>
      <c r="EF33931"/>
      <c r="EG33931"/>
      <c r="EH33931"/>
      <c r="EI33931"/>
      <c r="EJ33931"/>
      <c r="EK33931"/>
    </row>
    <row r="33932" spans="1:141" s="116" customFormat="1">
      <c r="A33932" s="136"/>
      <c r="CM33932" s="111"/>
      <c r="CQ33932" s="111"/>
      <c r="EF33932"/>
      <c r="EG33932"/>
      <c r="EH33932"/>
      <c r="EI33932"/>
      <c r="EJ33932"/>
      <c r="EK33932"/>
    </row>
    <row r="33933" spans="1:141" s="116" customFormat="1">
      <c r="A33933" s="136"/>
      <c r="CM33933" s="111"/>
      <c r="CQ33933" s="111"/>
      <c r="EF33933"/>
      <c r="EG33933"/>
      <c r="EH33933"/>
      <c r="EI33933"/>
      <c r="EJ33933"/>
      <c r="EK33933"/>
    </row>
    <row r="33934" spans="1:141" s="116" customFormat="1">
      <c r="A33934" s="136"/>
      <c r="CM33934" s="111"/>
      <c r="CQ33934" s="111"/>
      <c r="EF33934"/>
      <c r="EG33934"/>
      <c r="EH33934"/>
      <c r="EI33934"/>
      <c r="EJ33934"/>
      <c r="EK33934"/>
    </row>
    <row r="33935" spans="1:141" s="116" customFormat="1">
      <c r="A33935" s="136"/>
      <c r="CM33935" s="111"/>
      <c r="CQ33935" s="111"/>
      <c r="EF33935"/>
      <c r="EG33935"/>
      <c r="EH33935"/>
      <c r="EI33935"/>
      <c r="EJ33935"/>
      <c r="EK33935"/>
    </row>
    <row r="33936" spans="1:141" s="116" customFormat="1">
      <c r="A33936" s="136"/>
      <c r="CM33936" s="111"/>
      <c r="CQ33936" s="111"/>
      <c r="EF33936"/>
      <c r="EG33936"/>
      <c r="EH33936"/>
      <c r="EI33936"/>
      <c r="EJ33936"/>
      <c r="EK33936"/>
    </row>
    <row r="33937" spans="1:141" s="116" customFormat="1">
      <c r="A33937" s="136"/>
      <c r="CM33937" s="111"/>
      <c r="CQ33937" s="111"/>
      <c r="EF33937"/>
      <c r="EG33937"/>
      <c r="EH33937"/>
      <c r="EI33937"/>
      <c r="EJ33937"/>
      <c r="EK33937"/>
    </row>
    <row r="33938" spans="1:141" s="116" customFormat="1">
      <c r="A33938" s="136"/>
      <c r="CM33938" s="111"/>
      <c r="CQ33938" s="111"/>
      <c r="EF33938"/>
      <c r="EG33938"/>
      <c r="EH33938"/>
      <c r="EI33938"/>
      <c r="EJ33938"/>
      <c r="EK33938"/>
    </row>
    <row r="33939" spans="1:141" s="116" customFormat="1">
      <c r="A33939" s="136"/>
      <c r="CM33939" s="111"/>
      <c r="CQ33939" s="111"/>
      <c r="EF33939"/>
      <c r="EG33939"/>
      <c r="EH33939"/>
      <c r="EI33939"/>
      <c r="EJ33939"/>
      <c r="EK33939"/>
    </row>
    <row r="33940" spans="1:141" s="116" customFormat="1">
      <c r="A33940" s="136"/>
      <c r="CM33940" s="111"/>
      <c r="CQ33940" s="111"/>
      <c r="EF33940"/>
      <c r="EG33940"/>
      <c r="EH33940"/>
      <c r="EI33940"/>
      <c r="EJ33940"/>
      <c r="EK33940"/>
    </row>
    <row r="33941" spans="1:141" s="116" customFormat="1">
      <c r="A33941" s="136"/>
      <c r="CM33941" s="111"/>
      <c r="CQ33941" s="111"/>
      <c r="EF33941"/>
      <c r="EG33941"/>
      <c r="EH33941"/>
      <c r="EI33941"/>
      <c r="EJ33941"/>
      <c r="EK33941"/>
    </row>
    <row r="33942" spans="1:141" s="116" customFormat="1">
      <c r="A33942" s="136"/>
      <c r="CM33942" s="111"/>
      <c r="CQ33942" s="111"/>
      <c r="EF33942"/>
      <c r="EG33942"/>
      <c r="EH33942"/>
      <c r="EI33942"/>
      <c r="EJ33942"/>
      <c r="EK33942"/>
    </row>
    <row r="33943" spans="1:141" s="116" customFormat="1">
      <c r="A33943" s="136"/>
      <c r="CM33943" s="111"/>
      <c r="CQ33943" s="111"/>
      <c r="EF33943"/>
      <c r="EG33943"/>
      <c r="EH33943"/>
      <c r="EI33943"/>
      <c r="EJ33943"/>
      <c r="EK33943"/>
    </row>
    <row r="33944" spans="1:141" s="116" customFormat="1">
      <c r="A33944" s="136"/>
      <c r="CM33944" s="111"/>
      <c r="CQ33944" s="111"/>
      <c r="EF33944"/>
      <c r="EG33944"/>
      <c r="EH33944"/>
      <c r="EI33944"/>
      <c r="EJ33944"/>
      <c r="EK33944"/>
    </row>
    <row r="33945" spans="1:141" s="116" customFormat="1">
      <c r="A33945" s="136"/>
      <c r="CM33945" s="111"/>
      <c r="CQ33945" s="111"/>
      <c r="EF33945"/>
      <c r="EG33945"/>
      <c r="EH33945"/>
      <c r="EI33945"/>
      <c r="EJ33945"/>
      <c r="EK33945"/>
    </row>
    <row r="33946" spans="1:141" s="116" customFormat="1">
      <c r="A33946" s="136"/>
      <c r="CM33946" s="111"/>
      <c r="CQ33946" s="111"/>
      <c r="EF33946"/>
      <c r="EG33946"/>
      <c r="EH33946"/>
      <c r="EI33946"/>
      <c r="EJ33946"/>
      <c r="EK33946"/>
    </row>
    <row r="33947" spans="1:141" s="116" customFormat="1">
      <c r="A33947" s="136"/>
      <c r="CM33947" s="111"/>
      <c r="CQ33947" s="111"/>
      <c r="EF33947"/>
      <c r="EG33947"/>
      <c r="EH33947"/>
      <c r="EI33947"/>
      <c r="EJ33947"/>
      <c r="EK33947"/>
    </row>
    <row r="33948" spans="1:141" s="116" customFormat="1">
      <c r="A33948" s="136"/>
      <c r="CM33948" s="111"/>
      <c r="CQ33948" s="111"/>
      <c r="EF33948"/>
      <c r="EG33948"/>
      <c r="EH33948"/>
      <c r="EI33948"/>
      <c r="EJ33948"/>
      <c r="EK33948"/>
    </row>
    <row r="33949" spans="1:141" s="116" customFormat="1">
      <c r="A33949" s="136"/>
      <c r="CM33949" s="111"/>
      <c r="CQ33949" s="111"/>
      <c r="EF33949"/>
      <c r="EG33949"/>
      <c r="EH33949"/>
      <c r="EI33949"/>
      <c r="EJ33949"/>
      <c r="EK33949"/>
    </row>
    <row r="33950" spans="1:141" s="116" customFormat="1">
      <c r="A33950" s="136"/>
      <c r="CM33950" s="111"/>
      <c r="CQ33950" s="111"/>
      <c r="EF33950"/>
      <c r="EG33950"/>
      <c r="EH33950"/>
      <c r="EI33950"/>
      <c r="EJ33950"/>
      <c r="EK33950"/>
    </row>
    <row r="33951" spans="1:141" s="116" customFormat="1">
      <c r="A33951" s="136"/>
      <c r="CM33951" s="111"/>
      <c r="CQ33951" s="111"/>
      <c r="EF33951"/>
      <c r="EG33951"/>
      <c r="EH33951"/>
      <c r="EI33951"/>
      <c r="EJ33951"/>
      <c r="EK33951"/>
    </row>
    <row r="33952" spans="1:141" s="116" customFormat="1">
      <c r="A33952" s="136"/>
      <c r="CM33952" s="111"/>
      <c r="CQ33952" s="111"/>
      <c r="EF33952"/>
      <c r="EG33952"/>
      <c r="EH33952"/>
      <c r="EI33952"/>
      <c r="EJ33952"/>
      <c r="EK33952"/>
    </row>
    <row r="33953" spans="1:141" s="116" customFormat="1">
      <c r="A33953" s="136"/>
      <c r="CM33953" s="111"/>
      <c r="CQ33953" s="111"/>
      <c r="EF33953"/>
      <c r="EG33953"/>
      <c r="EH33953"/>
      <c r="EI33953"/>
      <c r="EJ33953"/>
      <c r="EK33953"/>
    </row>
    <row r="33954" spans="1:141" s="116" customFormat="1">
      <c r="A33954" s="136"/>
      <c r="CM33954" s="111"/>
      <c r="CQ33954" s="111"/>
      <c r="EF33954"/>
      <c r="EG33954"/>
      <c r="EH33954"/>
      <c r="EI33954"/>
      <c r="EJ33954"/>
      <c r="EK33954"/>
    </row>
    <row r="33955" spans="1:141" s="116" customFormat="1">
      <c r="A33955" s="136"/>
      <c r="CM33955" s="111"/>
      <c r="CQ33955" s="111"/>
      <c r="EF33955"/>
      <c r="EG33955"/>
      <c r="EH33955"/>
      <c r="EI33955"/>
      <c r="EJ33955"/>
      <c r="EK33955"/>
    </row>
    <row r="33956" spans="1:141" s="116" customFormat="1">
      <c r="A33956" s="136"/>
      <c r="CM33956" s="111"/>
      <c r="CQ33956" s="111"/>
      <c r="EF33956"/>
      <c r="EG33956"/>
      <c r="EH33956"/>
      <c r="EI33956"/>
      <c r="EJ33956"/>
      <c r="EK33956"/>
    </row>
    <row r="33957" spans="1:141" s="116" customFormat="1">
      <c r="A33957" s="136"/>
      <c r="CM33957" s="111"/>
      <c r="CQ33957" s="111"/>
      <c r="EF33957"/>
      <c r="EG33957"/>
      <c r="EH33957"/>
      <c r="EI33957"/>
      <c r="EJ33957"/>
      <c r="EK33957"/>
    </row>
    <row r="33958" spans="1:141" s="116" customFormat="1">
      <c r="A33958" s="136"/>
      <c r="CM33958" s="111"/>
      <c r="CQ33958" s="111"/>
      <c r="EF33958"/>
      <c r="EG33958"/>
      <c r="EH33958"/>
      <c r="EI33958"/>
      <c r="EJ33958"/>
      <c r="EK33958"/>
    </row>
    <row r="33959" spans="1:141" s="116" customFormat="1">
      <c r="A33959" s="136"/>
      <c r="CM33959" s="111"/>
      <c r="CQ33959" s="111"/>
      <c r="EF33959"/>
      <c r="EG33959"/>
      <c r="EH33959"/>
      <c r="EI33959"/>
      <c r="EJ33959"/>
      <c r="EK33959"/>
    </row>
    <row r="33960" spans="1:141" s="116" customFormat="1">
      <c r="A33960" s="136"/>
      <c r="CM33960" s="111"/>
      <c r="CQ33960" s="111"/>
      <c r="EF33960"/>
      <c r="EG33960"/>
      <c r="EH33960"/>
      <c r="EI33960"/>
      <c r="EJ33960"/>
      <c r="EK33960"/>
    </row>
    <row r="33961" spans="1:141" s="116" customFormat="1">
      <c r="A33961" s="136"/>
      <c r="CM33961" s="111"/>
      <c r="CQ33961" s="111"/>
      <c r="EF33961"/>
      <c r="EG33961"/>
      <c r="EH33961"/>
      <c r="EI33961"/>
      <c r="EJ33961"/>
      <c r="EK33961"/>
    </row>
    <row r="33962" spans="1:141" s="116" customFormat="1">
      <c r="A33962" s="136"/>
      <c r="CM33962" s="111"/>
      <c r="CQ33962" s="111"/>
      <c r="EF33962"/>
      <c r="EG33962"/>
      <c r="EH33962"/>
      <c r="EI33962"/>
      <c r="EJ33962"/>
      <c r="EK33962"/>
    </row>
    <row r="33963" spans="1:141" s="116" customFormat="1">
      <c r="A33963" s="136"/>
      <c r="CM33963" s="111"/>
      <c r="CQ33963" s="111"/>
      <c r="EF33963"/>
      <c r="EG33963"/>
      <c r="EH33963"/>
      <c r="EI33963"/>
      <c r="EJ33963"/>
      <c r="EK33963"/>
    </row>
    <row r="33964" spans="1:141" s="116" customFormat="1">
      <c r="A33964" s="136"/>
      <c r="CM33964" s="111"/>
      <c r="CQ33964" s="111"/>
      <c r="EF33964"/>
      <c r="EG33964"/>
      <c r="EH33964"/>
      <c r="EI33964"/>
      <c r="EJ33964"/>
      <c r="EK33964"/>
    </row>
    <row r="33965" spans="1:141" s="116" customFormat="1">
      <c r="A33965" s="136"/>
      <c r="CM33965" s="111"/>
      <c r="CQ33965" s="111"/>
      <c r="EF33965"/>
      <c r="EG33965"/>
      <c r="EH33965"/>
      <c r="EI33965"/>
      <c r="EJ33965"/>
      <c r="EK33965"/>
    </row>
    <row r="33966" spans="1:141" s="116" customFormat="1">
      <c r="A33966" s="136"/>
      <c r="CM33966" s="111"/>
      <c r="CQ33966" s="111"/>
      <c r="EF33966"/>
      <c r="EG33966"/>
      <c r="EH33966"/>
      <c r="EI33966"/>
      <c r="EJ33966"/>
      <c r="EK33966"/>
    </row>
    <row r="33967" spans="1:141" s="116" customFormat="1">
      <c r="A33967" s="136"/>
      <c r="CM33967" s="111"/>
      <c r="CQ33967" s="111"/>
      <c r="EF33967"/>
      <c r="EG33967"/>
      <c r="EH33967"/>
      <c r="EI33967"/>
      <c r="EJ33967"/>
      <c r="EK33967"/>
    </row>
    <row r="33968" spans="1:141" s="116" customFormat="1">
      <c r="A33968" s="136"/>
      <c r="CM33968" s="111"/>
      <c r="CQ33968" s="111"/>
      <c r="EF33968"/>
      <c r="EG33968"/>
      <c r="EH33968"/>
      <c r="EI33968"/>
      <c r="EJ33968"/>
      <c r="EK33968"/>
    </row>
    <row r="33969" spans="1:141" s="116" customFormat="1">
      <c r="A33969" s="136"/>
      <c r="CM33969" s="111"/>
      <c r="CQ33969" s="111"/>
      <c r="EF33969"/>
      <c r="EG33969"/>
      <c r="EH33969"/>
      <c r="EI33969"/>
      <c r="EJ33969"/>
      <c r="EK33969"/>
    </row>
    <row r="33970" spans="1:141" s="116" customFormat="1">
      <c r="A33970" s="136"/>
      <c r="CM33970" s="111"/>
      <c r="CQ33970" s="111"/>
      <c r="EF33970"/>
      <c r="EG33970"/>
      <c r="EH33970"/>
      <c r="EI33970"/>
      <c r="EJ33970"/>
      <c r="EK33970"/>
    </row>
    <row r="33971" spans="1:141" s="116" customFormat="1">
      <c r="A33971" s="136"/>
      <c r="CM33971" s="111"/>
      <c r="CQ33971" s="111"/>
      <c r="EF33971"/>
      <c r="EG33971"/>
      <c r="EH33971"/>
      <c r="EI33971"/>
      <c r="EJ33971"/>
      <c r="EK33971"/>
    </row>
    <row r="33972" spans="1:141" s="116" customFormat="1">
      <c r="A33972" s="136"/>
      <c r="CM33972" s="111"/>
      <c r="CQ33972" s="111"/>
      <c r="EF33972"/>
      <c r="EG33972"/>
      <c r="EH33972"/>
      <c r="EI33972"/>
      <c r="EJ33972"/>
      <c r="EK33972"/>
    </row>
    <row r="33973" spans="1:141" s="116" customFormat="1">
      <c r="A33973" s="136"/>
      <c r="CM33973" s="111"/>
      <c r="CQ33973" s="111"/>
      <c r="EF33973"/>
      <c r="EG33973"/>
      <c r="EH33973"/>
      <c r="EI33973"/>
      <c r="EJ33973"/>
      <c r="EK33973"/>
    </row>
    <row r="33974" spans="1:141" s="116" customFormat="1">
      <c r="A33974" s="136"/>
      <c r="CM33974" s="111"/>
      <c r="CQ33974" s="111"/>
      <c r="EF33974"/>
      <c r="EG33974"/>
      <c r="EH33974"/>
      <c r="EI33974"/>
      <c r="EJ33974"/>
      <c r="EK33974"/>
    </row>
    <row r="33975" spans="1:141" s="116" customFormat="1">
      <c r="A33975" s="136"/>
      <c r="CM33975" s="111"/>
      <c r="CQ33975" s="111"/>
      <c r="EF33975"/>
      <c r="EG33975"/>
      <c r="EH33975"/>
      <c r="EI33975"/>
      <c r="EJ33975"/>
      <c r="EK33975"/>
    </row>
    <row r="33976" spans="1:141" s="116" customFormat="1">
      <c r="A33976" s="136"/>
      <c r="CM33976" s="111"/>
      <c r="CQ33976" s="111"/>
      <c r="EF33976"/>
      <c r="EG33976"/>
      <c r="EH33976"/>
      <c r="EI33976"/>
      <c r="EJ33976"/>
      <c r="EK33976"/>
    </row>
    <row r="33977" spans="1:141" s="116" customFormat="1">
      <c r="A33977" s="136"/>
      <c r="CM33977" s="111"/>
      <c r="CQ33977" s="111"/>
      <c r="EF33977"/>
      <c r="EG33977"/>
      <c r="EH33977"/>
      <c r="EI33977"/>
      <c r="EJ33977"/>
      <c r="EK33977"/>
    </row>
    <row r="33978" spans="1:141" s="116" customFormat="1">
      <c r="A33978" s="136"/>
      <c r="CM33978" s="111"/>
      <c r="CQ33978" s="111"/>
      <c r="EF33978"/>
      <c r="EG33978"/>
      <c r="EH33978"/>
      <c r="EI33978"/>
      <c r="EJ33978"/>
      <c r="EK33978"/>
    </row>
    <row r="33979" spans="1:141" s="116" customFormat="1">
      <c r="A33979" s="136"/>
      <c r="CM33979" s="111"/>
      <c r="CQ33979" s="111"/>
      <c r="EF33979"/>
      <c r="EG33979"/>
      <c r="EH33979"/>
      <c r="EI33979"/>
      <c r="EJ33979"/>
      <c r="EK33979"/>
    </row>
    <row r="33980" spans="1:141" s="116" customFormat="1">
      <c r="A33980" s="136"/>
      <c r="CM33980" s="111"/>
      <c r="CQ33980" s="111"/>
      <c r="EF33980"/>
      <c r="EG33980"/>
      <c r="EH33980"/>
      <c r="EI33980"/>
      <c r="EJ33980"/>
      <c r="EK33980"/>
    </row>
    <row r="33981" spans="1:141" s="116" customFormat="1">
      <c r="A33981" s="136"/>
      <c r="CM33981" s="111"/>
      <c r="CQ33981" s="111"/>
      <c r="EF33981"/>
      <c r="EG33981"/>
      <c r="EH33981"/>
      <c r="EI33981"/>
      <c r="EJ33981"/>
      <c r="EK33981"/>
    </row>
    <row r="33982" spans="1:141" s="116" customFormat="1">
      <c r="A33982" s="136"/>
      <c r="CM33982" s="111"/>
      <c r="CQ33982" s="111"/>
      <c r="EF33982"/>
      <c r="EG33982"/>
      <c r="EH33982"/>
      <c r="EI33982"/>
      <c r="EJ33982"/>
      <c r="EK33982"/>
    </row>
    <row r="33983" spans="1:141" s="116" customFormat="1">
      <c r="A33983" s="136"/>
      <c r="CM33983" s="111"/>
      <c r="CQ33983" s="111"/>
      <c r="EF33983"/>
      <c r="EG33983"/>
      <c r="EH33983"/>
      <c r="EI33983"/>
      <c r="EJ33983"/>
      <c r="EK33983"/>
    </row>
    <row r="33984" spans="1:141" s="116" customFormat="1">
      <c r="A33984" s="136"/>
      <c r="CM33984" s="111"/>
      <c r="CQ33984" s="111"/>
      <c r="EF33984"/>
      <c r="EG33984"/>
      <c r="EH33984"/>
      <c r="EI33984"/>
      <c r="EJ33984"/>
      <c r="EK33984"/>
    </row>
    <row r="33985" spans="1:141" s="116" customFormat="1">
      <c r="A33985" s="136"/>
      <c r="CM33985" s="111"/>
      <c r="CQ33985" s="111"/>
      <c r="EF33985"/>
      <c r="EG33985"/>
      <c r="EH33985"/>
      <c r="EI33985"/>
      <c r="EJ33985"/>
      <c r="EK33985"/>
    </row>
    <row r="33986" spans="1:141" s="116" customFormat="1">
      <c r="A33986" s="136"/>
      <c r="CM33986" s="111"/>
      <c r="CQ33986" s="111"/>
      <c r="EF33986"/>
      <c r="EG33986"/>
      <c r="EH33986"/>
      <c r="EI33986"/>
      <c r="EJ33986"/>
      <c r="EK33986"/>
    </row>
    <row r="33987" spans="1:141" s="116" customFormat="1">
      <c r="A33987" s="136"/>
      <c r="CM33987" s="111"/>
      <c r="CQ33987" s="111"/>
      <c r="EF33987"/>
      <c r="EG33987"/>
      <c r="EH33987"/>
      <c r="EI33987"/>
      <c r="EJ33987"/>
      <c r="EK33987"/>
    </row>
    <row r="33988" spans="1:141" s="116" customFormat="1">
      <c r="A33988" s="136"/>
      <c r="CM33988" s="111"/>
      <c r="CQ33988" s="111"/>
      <c r="EF33988"/>
      <c r="EG33988"/>
      <c r="EH33988"/>
      <c r="EI33988"/>
      <c r="EJ33988"/>
      <c r="EK33988"/>
    </row>
    <row r="33989" spans="1:141" s="116" customFormat="1">
      <c r="A33989" s="136"/>
      <c r="CM33989" s="111"/>
      <c r="CQ33989" s="111"/>
      <c r="EF33989"/>
      <c r="EG33989"/>
      <c r="EH33989"/>
      <c r="EI33989"/>
      <c r="EJ33989"/>
      <c r="EK33989"/>
    </row>
    <row r="33990" spans="1:141" s="116" customFormat="1">
      <c r="A33990" s="136"/>
      <c r="CM33990" s="111"/>
      <c r="CQ33990" s="111"/>
      <c r="EF33990"/>
      <c r="EG33990"/>
      <c r="EH33990"/>
      <c r="EI33990"/>
      <c r="EJ33990"/>
      <c r="EK33990"/>
    </row>
    <row r="33991" spans="1:141" s="116" customFormat="1">
      <c r="A33991" s="136"/>
      <c r="CM33991" s="111"/>
      <c r="CQ33991" s="111"/>
      <c r="EF33991"/>
      <c r="EG33991"/>
      <c r="EH33991"/>
      <c r="EI33991"/>
      <c r="EJ33991"/>
      <c r="EK33991"/>
    </row>
    <row r="33992" spans="1:141" s="116" customFormat="1">
      <c r="A33992" s="136"/>
      <c r="CM33992" s="111"/>
      <c r="CQ33992" s="111"/>
      <c r="EF33992"/>
      <c r="EG33992"/>
      <c r="EH33992"/>
      <c r="EI33992"/>
      <c r="EJ33992"/>
      <c r="EK33992"/>
    </row>
    <row r="33993" spans="1:141" s="116" customFormat="1">
      <c r="A33993" s="136"/>
      <c r="CM33993" s="111"/>
      <c r="CQ33993" s="111"/>
      <c r="EF33993"/>
      <c r="EG33993"/>
      <c r="EH33993"/>
      <c r="EI33993"/>
      <c r="EJ33993"/>
      <c r="EK33993"/>
    </row>
    <row r="33994" spans="1:141" s="116" customFormat="1">
      <c r="A33994" s="136"/>
      <c r="CM33994" s="111"/>
      <c r="CQ33994" s="111"/>
      <c r="EF33994"/>
      <c r="EG33994"/>
      <c r="EH33994"/>
      <c r="EI33994"/>
      <c r="EJ33994"/>
      <c r="EK33994"/>
    </row>
    <row r="33995" spans="1:141" s="116" customFormat="1">
      <c r="A33995" s="136"/>
      <c r="CM33995" s="111"/>
      <c r="CQ33995" s="111"/>
      <c r="EF33995"/>
      <c r="EG33995"/>
      <c r="EH33995"/>
      <c r="EI33995"/>
      <c r="EJ33995"/>
      <c r="EK33995"/>
    </row>
    <row r="33996" spans="1:141" s="116" customFormat="1">
      <c r="A33996" s="136"/>
      <c r="CM33996" s="111"/>
      <c r="CQ33996" s="111"/>
      <c r="EF33996"/>
      <c r="EG33996"/>
      <c r="EH33996"/>
      <c r="EI33996"/>
      <c r="EJ33996"/>
      <c r="EK33996"/>
    </row>
    <row r="33997" spans="1:141" s="116" customFormat="1">
      <c r="A33997" s="136"/>
      <c r="CM33997" s="111"/>
      <c r="CQ33997" s="111"/>
      <c r="EF33997"/>
      <c r="EG33997"/>
      <c r="EH33997"/>
      <c r="EI33997"/>
      <c r="EJ33997"/>
      <c r="EK33997"/>
    </row>
    <row r="33998" spans="1:141" s="116" customFormat="1">
      <c r="A33998" s="136"/>
      <c r="CM33998" s="111"/>
      <c r="CQ33998" s="111"/>
      <c r="EF33998"/>
      <c r="EG33998"/>
      <c r="EH33998"/>
      <c r="EI33998"/>
      <c r="EJ33998"/>
      <c r="EK33998"/>
    </row>
    <row r="33999" spans="1:141" s="116" customFormat="1">
      <c r="A33999" s="136"/>
      <c r="CM33999" s="111"/>
      <c r="CQ33999" s="111"/>
      <c r="EF33999"/>
      <c r="EG33999"/>
      <c r="EH33999"/>
      <c r="EI33999"/>
      <c r="EJ33999"/>
      <c r="EK33999"/>
    </row>
    <row r="34000" spans="1:141" s="116" customFormat="1">
      <c r="A34000" s="136"/>
      <c r="CM34000" s="111"/>
      <c r="CQ34000" s="111"/>
      <c r="EF34000"/>
      <c r="EG34000"/>
      <c r="EH34000"/>
      <c r="EI34000"/>
      <c r="EJ34000"/>
      <c r="EK34000"/>
    </row>
    <row r="34001" spans="1:141" s="116" customFormat="1">
      <c r="A34001" s="136"/>
      <c r="CM34001" s="111"/>
      <c r="CQ34001" s="111"/>
      <c r="EF34001"/>
      <c r="EG34001"/>
      <c r="EH34001"/>
      <c r="EI34001"/>
      <c r="EJ34001"/>
      <c r="EK34001"/>
    </row>
    <row r="34002" spans="1:141" s="116" customFormat="1">
      <c r="A34002" s="136"/>
      <c r="CM34002" s="111"/>
      <c r="CQ34002" s="111"/>
      <c r="EF34002"/>
      <c r="EG34002"/>
      <c r="EH34002"/>
      <c r="EI34002"/>
      <c r="EJ34002"/>
      <c r="EK34002"/>
    </row>
    <row r="34003" spans="1:141" s="116" customFormat="1">
      <c r="A34003" s="136"/>
      <c r="CM34003" s="111"/>
      <c r="CQ34003" s="111"/>
      <c r="EF34003"/>
      <c r="EG34003"/>
      <c r="EH34003"/>
      <c r="EI34003"/>
      <c r="EJ34003"/>
      <c r="EK34003"/>
    </row>
    <row r="34004" spans="1:141" s="116" customFormat="1">
      <c r="A34004" s="136"/>
      <c r="CM34004" s="111"/>
      <c r="CQ34004" s="111"/>
      <c r="EF34004"/>
      <c r="EG34004"/>
      <c r="EH34004"/>
      <c r="EI34004"/>
      <c r="EJ34004"/>
      <c r="EK34004"/>
    </row>
    <row r="34005" spans="1:141" s="116" customFormat="1">
      <c r="A34005" s="136"/>
      <c r="CM34005" s="111"/>
      <c r="CQ34005" s="111"/>
      <c r="EF34005"/>
      <c r="EG34005"/>
      <c r="EH34005"/>
      <c r="EI34005"/>
      <c r="EJ34005"/>
      <c r="EK34005"/>
    </row>
    <row r="34006" spans="1:141" s="116" customFormat="1">
      <c r="A34006" s="136"/>
      <c r="CM34006" s="111"/>
      <c r="CQ34006" s="111"/>
      <c r="EF34006"/>
      <c r="EG34006"/>
      <c r="EH34006"/>
      <c r="EI34006"/>
      <c r="EJ34006"/>
      <c r="EK34006"/>
    </row>
    <row r="34007" spans="1:141" s="116" customFormat="1">
      <c r="A34007" s="136"/>
      <c r="CM34007" s="111"/>
      <c r="CQ34007" s="111"/>
      <c r="EF34007"/>
      <c r="EG34007"/>
      <c r="EH34007"/>
      <c r="EI34007"/>
      <c r="EJ34007"/>
      <c r="EK34007"/>
    </row>
    <row r="34008" spans="1:141" s="116" customFormat="1">
      <c r="A34008" s="136"/>
      <c r="CM34008" s="111"/>
      <c r="CQ34008" s="111"/>
      <c r="EF34008"/>
      <c r="EG34008"/>
      <c r="EH34008"/>
      <c r="EI34008"/>
      <c r="EJ34008"/>
      <c r="EK34008"/>
    </row>
    <row r="34009" spans="1:141" s="116" customFormat="1">
      <c r="A34009" s="136"/>
      <c r="CM34009" s="111"/>
      <c r="CQ34009" s="111"/>
      <c r="EF34009"/>
      <c r="EG34009"/>
      <c r="EH34009"/>
      <c r="EI34009"/>
      <c r="EJ34009"/>
      <c r="EK34009"/>
    </row>
    <row r="34010" spans="1:141" s="116" customFormat="1">
      <c r="A34010" s="136"/>
      <c r="CM34010" s="111"/>
      <c r="CQ34010" s="111"/>
      <c r="EF34010"/>
      <c r="EG34010"/>
      <c r="EH34010"/>
      <c r="EI34010"/>
      <c r="EJ34010"/>
      <c r="EK34010"/>
    </row>
    <row r="34011" spans="1:141" s="116" customFormat="1">
      <c r="A34011" s="136"/>
      <c r="CM34011" s="111"/>
      <c r="CQ34011" s="111"/>
      <c r="EF34011"/>
      <c r="EG34011"/>
      <c r="EH34011"/>
      <c r="EI34011"/>
      <c r="EJ34011"/>
      <c r="EK34011"/>
    </row>
    <row r="34012" spans="1:141" s="116" customFormat="1">
      <c r="A34012" s="136"/>
      <c r="CM34012" s="111"/>
      <c r="CQ34012" s="111"/>
      <c r="EF34012"/>
      <c r="EG34012"/>
      <c r="EH34012"/>
      <c r="EI34012"/>
      <c r="EJ34012"/>
      <c r="EK34012"/>
    </row>
    <row r="34013" spans="1:141" s="116" customFormat="1">
      <c r="A34013" s="136"/>
      <c r="CM34013" s="111"/>
      <c r="CQ34013" s="111"/>
      <c r="EF34013"/>
      <c r="EG34013"/>
      <c r="EH34013"/>
      <c r="EI34013"/>
      <c r="EJ34013"/>
      <c r="EK34013"/>
    </row>
    <row r="34014" spans="1:141" s="116" customFormat="1">
      <c r="A34014" s="136"/>
      <c r="CM34014" s="111"/>
      <c r="CQ34014" s="111"/>
      <c r="EF34014"/>
      <c r="EG34014"/>
      <c r="EH34014"/>
      <c r="EI34014"/>
      <c r="EJ34014"/>
      <c r="EK34014"/>
    </row>
    <row r="34015" spans="1:141" s="116" customFormat="1">
      <c r="A34015" s="136"/>
      <c r="CM34015" s="111"/>
      <c r="CQ34015" s="111"/>
      <c r="EF34015"/>
      <c r="EG34015"/>
      <c r="EH34015"/>
      <c r="EI34015"/>
      <c r="EJ34015"/>
      <c r="EK34015"/>
    </row>
    <row r="34016" spans="1:141" s="116" customFormat="1">
      <c r="A34016" s="136"/>
      <c r="CM34016" s="111"/>
      <c r="CQ34016" s="111"/>
      <c r="EF34016"/>
      <c r="EG34016"/>
      <c r="EH34016"/>
      <c r="EI34016"/>
      <c r="EJ34016"/>
      <c r="EK34016"/>
    </row>
    <row r="34017" spans="1:141" s="116" customFormat="1">
      <c r="A34017" s="136"/>
      <c r="CM34017" s="111"/>
      <c r="CQ34017" s="111"/>
      <c r="EF34017"/>
      <c r="EG34017"/>
      <c r="EH34017"/>
      <c r="EI34017"/>
      <c r="EJ34017"/>
      <c r="EK34017"/>
    </row>
    <row r="34018" spans="1:141" s="116" customFormat="1">
      <c r="A34018" s="136"/>
      <c r="CM34018" s="111"/>
      <c r="CQ34018" s="111"/>
      <c r="EF34018"/>
      <c r="EG34018"/>
      <c r="EH34018"/>
      <c r="EI34018"/>
      <c r="EJ34018"/>
      <c r="EK34018"/>
    </row>
    <row r="34019" spans="1:141" s="116" customFormat="1">
      <c r="A34019" s="136"/>
      <c r="CM34019" s="111"/>
      <c r="CQ34019" s="111"/>
      <c r="EF34019"/>
      <c r="EG34019"/>
      <c r="EH34019"/>
      <c r="EI34019"/>
      <c r="EJ34019"/>
      <c r="EK34019"/>
    </row>
    <row r="34020" spans="1:141" s="116" customFormat="1">
      <c r="A34020" s="136"/>
      <c r="CM34020" s="111"/>
      <c r="CQ34020" s="111"/>
      <c r="EF34020"/>
      <c r="EG34020"/>
      <c r="EH34020"/>
      <c r="EI34020"/>
      <c r="EJ34020"/>
      <c r="EK34020"/>
    </row>
    <row r="34021" spans="1:141" s="116" customFormat="1">
      <c r="A34021" s="136"/>
      <c r="CM34021" s="111"/>
      <c r="CQ34021" s="111"/>
      <c r="EF34021"/>
      <c r="EG34021"/>
      <c r="EH34021"/>
      <c r="EI34021"/>
      <c r="EJ34021"/>
      <c r="EK34021"/>
    </row>
    <row r="34022" spans="1:141" s="116" customFormat="1">
      <c r="A34022" s="136"/>
      <c r="CM34022" s="111"/>
      <c r="CQ34022" s="111"/>
      <c r="EF34022"/>
      <c r="EG34022"/>
      <c r="EH34022"/>
      <c r="EI34022"/>
      <c r="EJ34022"/>
      <c r="EK34022"/>
    </row>
    <row r="34023" spans="1:141" s="116" customFormat="1">
      <c r="A34023" s="136"/>
      <c r="CM34023" s="111"/>
      <c r="CQ34023" s="111"/>
      <c r="EF34023"/>
      <c r="EG34023"/>
      <c r="EH34023"/>
      <c r="EI34023"/>
      <c r="EJ34023"/>
      <c r="EK34023"/>
    </row>
    <row r="34024" spans="1:141" s="116" customFormat="1">
      <c r="A34024" s="136"/>
      <c r="CM34024" s="111"/>
      <c r="CQ34024" s="111"/>
      <c r="EF34024"/>
      <c r="EG34024"/>
      <c r="EH34024"/>
      <c r="EI34024"/>
      <c r="EJ34024"/>
      <c r="EK34024"/>
    </row>
    <row r="34025" spans="1:141" s="116" customFormat="1">
      <c r="A34025" s="136"/>
      <c r="CM34025" s="111"/>
      <c r="CQ34025" s="111"/>
      <c r="EF34025"/>
      <c r="EG34025"/>
      <c r="EH34025"/>
      <c r="EI34025"/>
      <c r="EJ34025"/>
      <c r="EK34025"/>
    </row>
    <row r="34026" spans="1:141" s="116" customFormat="1">
      <c r="A34026" s="136"/>
      <c r="CM34026" s="111"/>
      <c r="CQ34026" s="111"/>
      <c r="EF34026"/>
      <c r="EG34026"/>
      <c r="EH34026"/>
      <c r="EI34026"/>
      <c r="EJ34026"/>
      <c r="EK34026"/>
    </row>
    <row r="34027" spans="1:141" s="116" customFormat="1">
      <c r="A34027" s="136"/>
      <c r="CM34027" s="111"/>
      <c r="CQ34027" s="111"/>
      <c r="EF34027"/>
      <c r="EG34027"/>
      <c r="EH34027"/>
      <c r="EI34027"/>
      <c r="EJ34027"/>
      <c r="EK34027"/>
    </row>
    <row r="34028" spans="1:141" s="116" customFormat="1">
      <c r="A34028" s="136"/>
      <c r="CM34028" s="111"/>
      <c r="CQ34028" s="111"/>
      <c r="EF34028"/>
      <c r="EG34028"/>
      <c r="EH34028"/>
      <c r="EI34028"/>
      <c r="EJ34028"/>
      <c r="EK34028"/>
    </row>
    <row r="34029" spans="1:141" s="116" customFormat="1">
      <c r="A34029" s="136"/>
      <c r="CM34029" s="111"/>
      <c r="CQ34029" s="111"/>
      <c r="EF34029"/>
      <c r="EG34029"/>
      <c r="EH34029"/>
      <c r="EI34029"/>
      <c r="EJ34029"/>
      <c r="EK34029"/>
    </row>
    <row r="34030" spans="1:141" s="116" customFormat="1">
      <c r="A34030" s="136"/>
      <c r="CM34030" s="111"/>
      <c r="CQ34030" s="111"/>
      <c r="EF34030"/>
      <c r="EG34030"/>
      <c r="EH34030"/>
      <c r="EI34030"/>
      <c r="EJ34030"/>
      <c r="EK34030"/>
    </row>
    <row r="34031" spans="1:141" s="116" customFormat="1">
      <c r="A34031" s="136"/>
      <c r="CM34031" s="111"/>
      <c r="CQ34031" s="111"/>
      <c r="EF34031"/>
      <c r="EG34031"/>
      <c r="EH34031"/>
      <c r="EI34031"/>
      <c r="EJ34031"/>
      <c r="EK34031"/>
    </row>
    <row r="34032" spans="1:141" s="116" customFormat="1">
      <c r="A34032" s="136"/>
      <c r="CM34032" s="111"/>
      <c r="CQ34032" s="111"/>
      <c r="EF34032"/>
      <c r="EG34032"/>
      <c r="EH34032"/>
      <c r="EI34032"/>
      <c r="EJ34032"/>
      <c r="EK34032"/>
    </row>
    <row r="34033" spans="1:141" s="116" customFormat="1">
      <c r="A34033" s="136"/>
      <c r="CM34033" s="111"/>
      <c r="CQ34033" s="111"/>
      <c r="EF34033"/>
      <c r="EG34033"/>
      <c r="EH34033"/>
      <c r="EI34033"/>
      <c r="EJ34033"/>
      <c r="EK34033"/>
    </row>
    <row r="34034" spans="1:141" s="116" customFormat="1">
      <c r="A34034" s="136"/>
      <c r="CM34034" s="111"/>
      <c r="CQ34034" s="111"/>
      <c r="EF34034"/>
      <c r="EG34034"/>
      <c r="EH34034"/>
      <c r="EI34034"/>
      <c r="EJ34034"/>
      <c r="EK34034"/>
    </row>
    <row r="34035" spans="1:141" s="116" customFormat="1">
      <c r="A34035" s="136"/>
      <c r="CM34035" s="111"/>
      <c r="CQ34035" s="111"/>
      <c r="EF34035"/>
      <c r="EG34035"/>
      <c r="EH34035"/>
      <c r="EI34035"/>
      <c r="EJ34035"/>
      <c r="EK34035"/>
    </row>
    <row r="34036" spans="1:141" s="116" customFormat="1">
      <c r="A34036" s="136"/>
      <c r="CM34036" s="111"/>
      <c r="CQ34036" s="111"/>
      <c r="EF34036"/>
      <c r="EG34036"/>
      <c r="EH34036"/>
      <c r="EI34036"/>
      <c r="EJ34036"/>
      <c r="EK34036"/>
    </row>
    <row r="34037" spans="1:141" s="116" customFormat="1">
      <c r="A34037" s="136"/>
      <c r="CM34037" s="111"/>
      <c r="CQ34037" s="111"/>
      <c r="EF34037"/>
      <c r="EG34037"/>
      <c r="EH34037"/>
      <c r="EI34037"/>
      <c r="EJ34037"/>
      <c r="EK34037"/>
    </row>
    <row r="34038" spans="1:141" s="116" customFormat="1">
      <c r="A34038" s="136"/>
      <c r="CM34038" s="111"/>
      <c r="CQ34038" s="111"/>
      <c r="EF34038"/>
      <c r="EG34038"/>
      <c r="EH34038"/>
      <c r="EI34038"/>
      <c r="EJ34038"/>
      <c r="EK34038"/>
    </row>
    <row r="34039" spans="1:141" s="116" customFormat="1">
      <c r="A34039" s="136"/>
      <c r="CM34039" s="111"/>
      <c r="CQ34039" s="111"/>
      <c r="EF34039"/>
      <c r="EG34039"/>
      <c r="EH34039"/>
      <c r="EI34039"/>
      <c r="EJ34039"/>
      <c r="EK34039"/>
    </row>
    <row r="34040" spans="1:141" s="116" customFormat="1">
      <c r="A34040" s="136"/>
      <c r="CM34040" s="111"/>
      <c r="CQ34040" s="111"/>
      <c r="EF34040"/>
      <c r="EG34040"/>
      <c r="EH34040"/>
      <c r="EI34040"/>
      <c r="EJ34040"/>
      <c r="EK34040"/>
    </row>
    <row r="34041" spans="1:141" s="116" customFormat="1">
      <c r="A34041" s="136"/>
      <c r="CM34041" s="111"/>
      <c r="CQ34041" s="111"/>
      <c r="EF34041"/>
      <c r="EG34041"/>
      <c r="EH34041"/>
      <c r="EI34041"/>
      <c r="EJ34041"/>
      <c r="EK34041"/>
    </row>
    <row r="34042" spans="1:141" s="116" customFormat="1">
      <c r="A34042" s="136"/>
      <c r="CM34042" s="111"/>
      <c r="CQ34042" s="111"/>
      <c r="EF34042"/>
      <c r="EG34042"/>
      <c r="EH34042"/>
      <c r="EI34042"/>
      <c r="EJ34042"/>
      <c r="EK34042"/>
    </row>
    <row r="34043" spans="1:141" s="116" customFormat="1">
      <c r="A34043" s="136"/>
      <c r="CM34043" s="111"/>
      <c r="CQ34043" s="111"/>
      <c r="EF34043"/>
      <c r="EG34043"/>
      <c r="EH34043"/>
      <c r="EI34043"/>
      <c r="EJ34043"/>
      <c r="EK34043"/>
    </row>
    <row r="34044" spans="1:141" s="116" customFormat="1">
      <c r="A34044" s="136"/>
      <c r="CM34044" s="111"/>
      <c r="CQ34044" s="111"/>
      <c r="EF34044"/>
      <c r="EG34044"/>
      <c r="EH34044"/>
      <c r="EI34044"/>
      <c r="EJ34044"/>
      <c r="EK34044"/>
    </row>
    <row r="34045" spans="1:141" s="116" customFormat="1">
      <c r="A34045" s="136"/>
      <c r="CM34045" s="111"/>
      <c r="CQ34045" s="111"/>
      <c r="EF34045"/>
      <c r="EG34045"/>
      <c r="EH34045"/>
      <c r="EI34045"/>
      <c r="EJ34045"/>
      <c r="EK34045"/>
    </row>
    <row r="34046" spans="1:141" s="116" customFormat="1">
      <c r="A34046" s="136"/>
      <c r="CM34046" s="111"/>
      <c r="CQ34046" s="111"/>
      <c r="EF34046"/>
      <c r="EG34046"/>
      <c r="EH34046"/>
      <c r="EI34046"/>
      <c r="EJ34046"/>
      <c r="EK34046"/>
    </row>
    <row r="34047" spans="1:141" s="116" customFormat="1">
      <c r="A34047" s="136"/>
      <c r="CM34047" s="111"/>
      <c r="CQ34047" s="111"/>
      <c r="EF34047"/>
      <c r="EG34047"/>
      <c r="EH34047"/>
      <c r="EI34047"/>
      <c r="EJ34047"/>
      <c r="EK34047"/>
    </row>
    <row r="34048" spans="1:141" s="116" customFormat="1">
      <c r="A34048" s="136"/>
      <c r="CM34048" s="111"/>
      <c r="CQ34048" s="111"/>
      <c r="EF34048"/>
      <c r="EG34048"/>
      <c r="EH34048"/>
      <c r="EI34048"/>
      <c r="EJ34048"/>
      <c r="EK34048"/>
    </row>
    <row r="34049" spans="1:141" s="116" customFormat="1">
      <c r="A34049" s="136"/>
      <c r="CM34049" s="111"/>
      <c r="CQ34049" s="111"/>
      <c r="EF34049"/>
      <c r="EG34049"/>
      <c r="EH34049"/>
      <c r="EI34049"/>
      <c r="EJ34049"/>
      <c r="EK34049"/>
    </row>
    <row r="34050" spans="1:141" s="116" customFormat="1">
      <c r="A34050" s="136"/>
      <c r="CM34050" s="111"/>
      <c r="CQ34050" s="111"/>
      <c r="EF34050"/>
      <c r="EG34050"/>
      <c r="EH34050"/>
      <c r="EI34050"/>
      <c r="EJ34050"/>
      <c r="EK34050"/>
    </row>
    <row r="34051" spans="1:141" s="116" customFormat="1">
      <c r="A34051" s="136"/>
      <c r="CM34051" s="111"/>
      <c r="CQ34051" s="111"/>
      <c r="EF34051"/>
      <c r="EG34051"/>
      <c r="EH34051"/>
      <c r="EI34051"/>
      <c r="EJ34051"/>
      <c r="EK34051"/>
    </row>
    <row r="34052" spans="1:141" s="116" customFormat="1">
      <c r="A34052" s="136"/>
      <c r="CM34052" s="111"/>
      <c r="CQ34052" s="111"/>
      <c r="EF34052"/>
      <c r="EG34052"/>
      <c r="EH34052"/>
      <c r="EI34052"/>
      <c r="EJ34052"/>
      <c r="EK34052"/>
    </row>
    <row r="34053" spans="1:141" s="116" customFormat="1">
      <c r="A34053" s="136"/>
      <c r="CM34053" s="111"/>
      <c r="CQ34053" s="111"/>
      <c r="EF34053"/>
      <c r="EG34053"/>
      <c r="EH34053"/>
      <c r="EI34053"/>
      <c r="EJ34053"/>
      <c r="EK34053"/>
    </row>
    <row r="34054" spans="1:141" s="116" customFormat="1">
      <c r="A34054" s="136"/>
      <c r="CM34054" s="111"/>
      <c r="CQ34054" s="111"/>
      <c r="EF34054"/>
      <c r="EG34054"/>
      <c r="EH34054"/>
      <c r="EI34054"/>
      <c r="EJ34054"/>
      <c r="EK34054"/>
    </row>
    <row r="34055" spans="1:141" s="116" customFormat="1">
      <c r="A34055" s="136"/>
      <c r="CM34055" s="111"/>
      <c r="CQ34055" s="111"/>
      <c r="EF34055"/>
      <c r="EG34055"/>
      <c r="EH34055"/>
      <c r="EI34055"/>
      <c r="EJ34055"/>
      <c r="EK34055"/>
    </row>
    <row r="34056" spans="1:141" s="116" customFormat="1">
      <c r="A34056" s="136"/>
      <c r="CM34056" s="111"/>
      <c r="CQ34056" s="111"/>
      <c r="EF34056"/>
      <c r="EG34056"/>
      <c r="EH34056"/>
      <c r="EI34056"/>
      <c r="EJ34056"/>
      <c r="EK34056"/>
    </row>
    <row r="34057" spans="1:141" s="116" customFormat="1">
      <c r="A34057" s="136"/>
      <c r="CM34057" s="111"/>
      <c r="CQ34057" s="111"/>
      <c r="EF34057"/>
      <c r="EG34057"/>
      <c r="EH34057"/>
      <c r="EI34057"/>
      <c r="EJ34057"/>
      <c r="EK34057"/>
    </row>
    <row r="34058" spans="1:141" s="116" customFormat="1">
      <c r="A34058" s="136"/>
      <c r="CM34058" s="111"/>
      <c r="CQ34058" s="111"/>
      <c r="EF34058"/>
      <c r="EG34058"/>
      <c r="EH34058"/>
      <c r="EI34058"/>
      <c r="EJ34058"/>
      <c r="EK34058"/>
    </row>
    <row r="34059" spans="1:141" s="116" customFormat="1">
      <c r="A34059" s="136"/>
      <c r="CM34059" s="111"/>
      <c r="CQ34059" s="111"/>
      <c r="EF34059"/>
      <c r="EG34059"/>
      <c r="EH34059"/>
      <c r="EI34059"/>
      <c r="EJ34059"/>
      <c r="EK34059"/>
    </row>
    <row r="34060" spans="1:141" s="116" customFormat="1">
      <c r="A34060" s="136"/>
      <c r="CM34060" s="111"/>
      <c r="CQ34060" s="111"/>
      <c r="EF34060"/>
      <c r="EG34060"/>
      <c r="EH34060"/>
      <c r="EI34060"/>
      <c r="EJ34060"/>
      <c r="EK34060"/>
    </row>
    <row r="34061" spans="1:141" s="116" customFormat="1">
      <c r="A34061" s="136"/>
      <c r="CM34061" s="111"/>
      <c r="CQ34061" s="111"/>
      <c r="EF34061"/>
      <c r="EG34061"/>
      <c r="EH34061"/>
      <c r="EI34061"/>
      <c r="EJ34061"/>
      <c r="EK34061"/>
    </row>
    <row r="34062" spans="1:141" s="116" customFormat="1">
      <c r="A34062" s="136"/>
      <c r="CM34062" s="111"/>
      <c r="CQ34062" s="111"/>
      <c r="EF34062"/>
      <c r="EG34062"/>
      <c r="EH34062"/>
      <c r="EI34062"/>
      <c r="EJ34062"/>
      <c r="EK34062"/>
    </row>
    <row r="34063" spans="1:141" s="116" customFormat="1">
      <c r="A34063" s="136"/>
      <c r="CM34063" s="111"/>
      <c r="CQ34063" s="111"/>
      <c r="EF34063"/>
      <c r="EG34063"/>
      <c r="EH34063"/>
      <c r="EI34063"/>
      <c r="EJ34063"/>
      <c r="EK34063"/>
    </row>
    <row r="34064" spans="1:141" s="116" customFormat="1">
      <c r="A34064" s="136"/>
      <c r="CM34064" s="111"/>
      <c r="CQ34064" s="111"/>
      <c r="EF34064"/>
      <c r="EG34064"/>
      <c r="EH34064"/>
      <c r="EI34064"/>
      <c r="EJ34064"/>
      <c r="EK34064"/>
    </row>
    <row r="34065" spans="1:141" s="116" customFormat="1">
      <c r="A34065" s="136"/>
      <c r="CM34065" s="111"/>
      <c r="CQ34065" s="111"/>
      <c r="EF34065"/>
      <c r="EG34065"/>
      <c r="EH34065"/>
      <c r="EI34065"/>
      <c r="EJ34065"/>
      <c r="EK34065"/>
    </row>
    <row r="34066" spans="1:141" s="116" customFormat="1">
      <c r="A34066" s="136"/>
      <c r="CM34066" s="111"/>
      <c r="CQ34066" s="111"/>
      <c r="EF34066"/>
      <c r="EG34066"/>
      <c r="EH34066"/>
      <c r="EI34066"/>
      <c r="EJ34066"/>
      <c r="EK34066"/>
    </row>
    <row r="34067" spans="1:141" s="116" customFormat="1">
      <c r="A34067" s="136"/>
      <c r="CM34067" s="111"/>
      <c r="CQ34067" s="111"/>
      <c r="EF34067"/>
      <c r="EG34067"/>
      <c r="EH34067"/>
      <c r="EI34067"/>
      <c r="EJ34067"/>
      <c r="EK34067"/>
    </row>
    <row r="34068" spans="1:141" s="116" customFormat="1">
      <c r="A34068" s="136"/>
      <c r="CM34068" s="111"/>
      <c r="CQ34068" s="111"/>
      <c r="EF34068"/>
      <c r="EG34068"/>
      <c r="EH34068"/>
      <c r="EI34068"/>
      <c r="EJ34068"/>
      <c r="EK34068"/>
    </row>
    <row r="34069" spans="1:141" s="116" customFormat="1">
      <c r="A34069" s="136"/>
      <c r="CM34069" s="111"/>
      <c r="CQ34069" s="111"/>
      <c r="EF34069"/>
      <c r="EG34069"/>
      <c r="EH34069"/>
      <c r="EI34069"/>
      <c r="EJ34069"/>
      <c r="EK34069"/>
    </row>
    <row r="34070" spans="1:141" s="116" customFormat="1">
      <c r="A34070" s="136"/>
      <c r="CM34070" s="111"/>
      <c r="CQ34070" s="111"/>
      <c r="EF34070"/>
      <c r="EG34070"/>
      <c r="EH34070"/>
      <c r="EI34070"/>
      <c r="EJ34070"/>
      <c r="EK34070"/>
    </row>
    <row r="34071" spans="1:141" s="116" customFormat="1">
      <c r="A34071" s="136"/>
      <c r="CM34071" s="111"/>
      <c r="CQ34071" s="111"/>
      <c r="EF34071"/>
      <c r="EG34071"/>
      <c r="EH34071"/>
      <c r="EI34071"/>
      <c r="EJ34071"/>
      <c r="EK34071"/>
    </row>
    <row r="34072" spans="1:141" s="116" customFormat="1">
      <c r="A34072" s="136"/>
      <c r="CM34072" s="111"/>
      <c r="CQ34072" s="111"/>
      <c r="EF34072"/>
      <c r="EG34072"/>
      <c r="EH34072"/>
      <c r="EI34072"/>
      <c r="EJ34072"/>
      <c r="EK34072"/>
    </row>
    <row r="34073" spans="1:141" s="116" customFormat="1">
      <c r="A34073" s="136"/>
      <c r="CM34073" s="111"/>
      <c r="CQ34073" s="111"/>
      <c r="EF34073"/>
      <c r="EG34073"/>
      <c r="EH34073"/>
      <c r="EI34073"/>
      <c r="EJ34073"/>
      <c r="EK34073"/>
    </row>
    <row r="34074" spans="1:141" s="116" customFormat="1">
      <c r="A34074" s="136"/>
      <c r="CM34074" s="111"/>
      <c r="CQ34074" s="111"/>
      <c r="EF34074"/>
      <c r="EG34074"/>
      <c r="EH34074"/>
      <c r="EI34074"/>
      <c r="EJ34074"/>
      <c r="EK34074"/>
    </row>
    <row r="34075" spans="1:141" s="116" customFormat="1">
      <c r="A34075" s="136"/>
      <c r="CM34075" s="111"/>
      <c r="CQ34075" s="111"/>
      <c r="EF34075"/>
      <c r="EG34075"/>
      <c r="EH34075"/>
      <c r="EI34075"/>
      <c r="EJ34075"/>
      <c r="EK34075"/>
    </row>
    <row r="34076" spans="1:141" s="116" customFormat="1">
      <c r="A34076" s="136"/>
      <c r="CM34076" s="111"/>
      <c r="CQ34076" s="111"/>
      <c r="EF34076"/>
      <c r="EG34076"/>
      <c r="EH34076"/>
      <c r="EI34076"/>
      <c r="EJ34076"/>
      <c r="EK34076"/>
    </row>
    <row r="34077" spans="1:141" s="116" customFormat="1">
      <c r="A34077" s="136"/>
      <c r="CM34077" s="111"/>
      <c r="CQ34077" s="111"/>
      <c r="EF34077"/>
      <c r="EG34077"/>
      <c r="EH34077"/>
      <c r="EI34077"/>
      <c r="EJ34077"/>
      <c r="EK34077"/>
    </row>
    <row r="34078" spans="1:141" s="116" customFormat="1">
      <c r="A34078" s="136"/>
      <c r="CM34078" s="111"/>
      <c r="CQ34078" s="111"/>
      <c r="EF34078"/>
      <c r="EG34078"/>
      <c r="EH34078"/>
      <c r="EI34078"/>
      <c r="EJ34078"/>
      <c r="EK34078"/>
    </row>
    <row r="34079" spans="1:141" s="116" customFormat="1">
      <c r="A34079" s="136"/>
      <c r="CM34079" s="111"/>
      <c r="CQ34079" s="111"/>
      <c r="EF34079"/>
      <c r="EG34079"/>
      <c r="EH34079"/>
      <c r="EI34079"/>
      <c r="EJ34079"/>
      <c r="EK34079"/>
    </row>
    <row r="34080" spans="1:141" s="116" customFormat="1">
      <c r="A34080" s="136"/>
      <c r="CM34080" s="111"/>
      <c r="CQ34080" s="111"/>
      <c r="EF34080"/>
      <c r="EG34080"/>
      <c r="EH34080"/>
      <c r="EI34080"/>
      <c r="EJ34080"/>
      <c r="EK34080"/>
    </row>
    <row r="34081" spans="1:141" s="116" customFormat="1">
      <c r="A34081" s="136"/>
      <c r="CM34081" s="111"/>
      <c r="CQ34081" s="111"/>
      <c r="EF34081"/>
      <c r="EG34081"/>
      <c r="EH34081"/>
      <c r="EI34081"/>
      <c r="EJ34081"/>
      <c r="EK34081"/>
    </row>
    <row r="34082" spans="1:141" s="116" customFormat="1">
      <c r="A34082" s="136"/>
      <c r="CM34082" s="111"/>
      <c r="CQ34082" s="111"/>
      <c r="EF34082"/>
      <c r="EG34082"/>
      <c r="EH34082"/>
      <c r="EI34082"/>
      <c r="EJ34082"/>
      <c r="EK34082"/>
    </row>
    <row r="34083" spans="1:141" s="116" customFormat="1">
      <c r="A34083" s="136"/>
      <c r="CM34083" s="111"/>
      <c r="CQ34083" s="111"/>
      <c r="EF34083"/>
      <c r="EG34083"/>
      <c r="EH34083"/>
      <c r="EI34083"/>
      <c r="EJ34083"/>
      <c r="EK34083"/>
    </row>
    <row r="34084" spans="1:141" s="116" customFormat="1">
      <c r="A34084" s="136"/>
      <c r="CM34084" s="111"/>
      <c r="CQ34084" s="111"/>
      <c r="EF34084"/>
      <c r="EG34084"/>
      <c r="EH34084"/>
      <c r="EI34084"/>
      <c r="EJ34084"/>
      <c r="EK34084"/>
    </row>
    <row r="34085" spans="1:141" s="116" customFormat="1">
      <c r="A34085" s="136"/>
      <c r="CM34085" s="111"/>
      <c r="CQ34085" s="111"/>
      <c r="EF34085"/>
      <c r="EG34085"/>
      <c r="EH34085"/>
      <c r="EI34085"/>
      <c r="EJ34085"/>
      <c r="EK34085"/>
    </row>
    <row r="34086" spans="1:141" s="116" customFormat="1">
      <c r="A34086" s="136"/>
      <c r="CM34086" s="111"/>
      <c r="CQ34086" s="111"/>
      <c r="EF34086"/>
      <c r="EG34086"/>
      <c r="EH34086"/>
      <c r="EI34086"/>
      <c r="EJ34086"/>
      <c r="EK34086"/>
    </row>
    <row r="34087" spans="1:141" s="116" customFormat="1">
      <c r="A34087" s="136"/>
      <c r="CM34087" s="111"/>
      <c r="CQ34087" s="111"/>
      <c r="EF34087"/>
      <c r="EG34087"/>
      <c r="EH34087"/>
      <c r="EI34087"/>
      <c r="EJ34087"/>
      <c r="EK34087"/>
    </row>
    <row r="34088" spans="1:141" s="116" customFormat="1">
      <c r="A34088" s="136"/>
      <c r="CM34088" s="111"/>
      <c r="CQ34088" s="111"/>
      <c r="EF34088"/>
      <c r="EG34088"/>
      <c r="EH34088"/>
      <c r="EI34088"/>
      <c r="EJ34088"/>
      <c r="EK34088"/>
    </row>
    <row r="34089" spans="1:141" s="116" customFormat="1">
      <c r="A34089" s="136"/>
      <c r="CM34089" s="111"/>
      <c r="CQ34089" s="111"/>
      <c r="EF34089"/>
      <c r="EG34089"/>
      <c r="EH34089"/>
      <c r="EI34089"/>
      <c r="EJ34089"/>
      <c r="EK34089"/>
    </row>
    <row r="34090" spans="1:141" s="116" customFormat="1">
      <c r="A34090" s="136"/>
      <c r="CM34090" s="111"/>
      <c r="CQ34090" s="111"/>
      <c r="EF34090"/>
      <c r="EG34090"/>
      <c r="EH34090"/>
      <c r="EI34090"/>
      <c r="EJ34090"/>
      <c r="EK34090"/>
    </row>
    <row r="34091" spans="1:141" s="116" customFormat="1">
      <c r="A34091" s="136"/>
      <c r="CM34091" s="111"/>
      <c r="CQ34091" s="111"/>
      <c r="EF34091"/>
      <c r="EG34091"/>
      <c r="EH34091"/>
      <c r="EI34091"/>
      <c r="EJ34091"/>
      <c r="EK34091"/>
    </row>
    <row r="34092" spans="1:141" s="116" customFormat="1">
      <c r="A34092" s="136"/>
      <c r="CM34092" s="111"/>
      <c r="CQ34092" s="111"/>
      <c r="EF34092"/>
      <c r="EG34092"/>
      <c r="EH34092"/>
      <c r="EI34092"/>
      <c r="EJ34092"/>
      <c r="EK34092"/>
    </row>
    <row r="34093" spans="1:141" s="116" customFormat="1">
      <c r="A34093" s="136"/>
      <c r="CM34093" s="111"/>
      <c r="CQ34093" s="111"/>
      <c r="EF34093"/>
      <c r="EG34093"/>
      <c r="EH34093"/>
      <c r="EI34093"/>
      <c r="EJ34093"/>
      <c r="EK34093"/>
    </row>
    <row r="34094" spans="1:141" s="116" customFormat="1">
      <c r="A34094" s="136"/>
      <c r="CM34094" s="111"/>
      <c r="CQ34094" s="111"/>
      <c r="EF34094"/>
      <c r="EG34094"/>
      <c r="EH34094"/>
      <c r="EI34094"/>
      <c r="EJ34094"/>
      <c r="EK34094"/>
    </row>
    <row r="34095" spans="1:141" s="116" customFormat="1">
      <c r="A34095" s="136"/>
      <c r="CM34095" s="111"/>
      <c r="CQ34095" s="111"/>
      <c r="EF34095"/>
      <c r="EG34095"/>
      <c r="EH34095"/>
      <c r="EI34095"/>
      <c r="EJ34095"/>
      <c r="EK34095"/>
    </row>
    <row r="34096" spans="1:141" s="116" customFormat="1">
      <c r="A34096" s="136"/>
      <c r="CM34096" s="111"/>
      <c r="CQ34096" s="111"/>
      <c r="EF34096"/>
      <c r="EG34096"/>
      <c r="EH34096"/>
      <c r="EI34096"/>
      <c r="EJ34096"/>
      <c r="EK34096"/>
    </row>
    <row r="34097" spans="1:141" s="116" customFormat="1">
      <c r="A34097" s="136"/>
      <c r="CM34097" s="111"/>
      <c r="CQ34097" s="111"/>
      <c r="EF34097"/>
      <c r="EG34097"/>
      <c r="EH34097"/>
      <c r="EI34097"/>
      <c r="EJ34097"/>
      <c r="EK34097"/>
    </row>
    <row r="34098" spans="1:141" s="116" customFormat="1">
      <c r="A34098" s="136"/>
      <c r="CM34098" s="111"/>
      <c r="CQ34098" s="111"/>
      <c r="EF34098"/>
      <c r="EG34098"/>
      <c r="EH34098"/>
      <c r="EI34098"/>
      <c r="EJ34098"/>
      <c r="EK34098"/>
    </row>
    <row r="34099" spans="1:141" s="116" customFormat="1">
      <c r="A34099" s="136"/>
      <c r="CM34099" s="111"/>
      <c r="CQ34099" s="111"/>
      <c r="EF34099"/>
      <c r="EG34099"/>
      <c r="EH34099"/>
      <c r="EI34099"/>
      <c r="EJ34099"/>
      <c r="EK34099"/>
    </row>
    <row r="34100" spans="1:141" s="116" customFormat="1">
      <c r="A34100" s="136"/>
      <c r="CM34100" s="111"/>
      <c r="CQ34100" s="111"/>
      <c r="EF34100"/>
      <c r="EG34100"/>
      <c r="EH34100"/>
      <c r="EI34100"/>
      <c r="EJ34100"/>
      <c r="EK34100"/>
    </row>
    <row r="34101" spans="1:141" s="116" customFormat="1">
      <c r="A34101" s="136"/>
      <c r="CM34101" s="111"/>
      <c r="CQ34101" s="111"/>
      <c r="EF34101"/>
      <c r="EG34101"/>
      <c r="EH34101"/>
      <c r="EI34101"/>
      <c r="EJ34101"/>
      <c r="EK34101"/>
    </row>
    <row r="34102" spans="1:141" s="116" customFormat="1">
      <c r="A34102" s="136"/>
      <c r="CM34102" s="111"/>
      <c r="CQ34102" s="111"/>
      <c r="EF34102"/>
      <c r="EG34102"/>
      <c r="EH34102"/>
      <c r="EI34102"/>
      <c r="EJ34102"/>
      <c r="EK34102"/>
    </row>
    <row r="34103" spans="1:141" s="116" customFormat="1">
      <c r="A34103" s="136"/>
      <c r="CM34103" s="111"/>
      <c r="CQ34103" s="111"/>
      <c r="EF34103"/>
      <c r="EG34103"/>
      <c r="EH34103"/>
      <c r="EI34103"/>
      <c r="EJ34103"/>
      <c r="EK34103"/>
    </row>
    <row r="34104" spans="1:141" s="116" customFormat="1">
      <c r="A34104" s="136"/>
      <c r="CM34104" s="111"/>
      <c r="CQ34104" s="111"/>
      <c r="EF34104"/>
      <c r="EG34104"/>
      <c r="EH34104"/>
      <c r="EI34104"/>
      <c r="EJ34104"/>
      <c r="EK34104"/>
    </row>
    <row r="34105" spans="1:141" s="116" customFormat="1">
      <c r="A34105" s="136"/>
      <c r="CM34105" s="111"/>
      <c r="CQ34105" s="111"/>
      <c r="EF34105"/>
      <c r="EG34105"/>
      <c r="EH34105"/>
      <c r="EI34105"/>
      <c r="EJ34105"/>
      <c r="EK34105"/>
    </row>
    <row r="34106" spans="1:141" s="116" customFormat="1">
      <c r="A34106" s="136"/>
      <c r="CM34106" s="111"/>
      <c r="CQ34106" s="111"/>
      <c r="EF34106"/>
      <c r="EG34106"/>
      <c r="EH34106"/>
      <c r="EI34106"/>
      <c r="EJ34106"/>
      <c r="EK34106"/>
    </row>
    <row r="34107" spans="1:141" s="116" customFormat="1">
      <c r="A34107" s="136"/>
      <c r="CM34107" s="111"/>
      <c r="CQ34107" s="111"/>
      <c r="EF34107"/>
      <c r="EG34107"/>
      <c r="EH34107"/>
      <c r="EI34107"/>
      <c r="EJ34107"/>
      <c r="EK34107"/>
    </row>
    <row r="34108" spans="1:141" s="116" customFormat="1">
      <c r="A34108" s="136"/>
      <c r="CM34108" s="111"/>
      <c r="CQ34108" s="111"/>
      <c r="EF34108"/>
      <c r="EG34108"/>
      <c r="EH34108"/>
      <c r="EI34108"/>
      <c r="EJ34108"/>
      <c r="EK34108"/>
    </row>
    <row r="34109" spans="1:141" s="116" customFormat="1">
      <c r="A34109" s="136"/>
      <c r="CM34109" s="111"/>
      <c r="CQ34109" s="111"/>
      <c r="EF34109"/>
      <c r="EG34109"/>
      <c r="EH34109"/>
      <c r="EI34109"/>
      <c r="EJ34109"/>
      <c r="EK34109"/>
    </row>
    <row r="34110" spans="1:141" s="116" customFormat="1">
      <c r="A34110" s="136"/>
      <c r="CM34110" s="111"/>
      <c r="CQ34110" s="111"/>
      <c r="EF34110"/>
      <c r="EG34110"/>
      <c r="EH34110"/>
      <c r="EI34110"/>
      <c r="EJ34110"/>
      <c r="EK34110"/>
    </row>
    <row r="34111" spans="1:141" s="116" customFormat="1">
      <c r="A34111" s="136"/>
      <c r="CM34111" s="111"/>
      <c r="CQ34111" s="111"/>
      <c r="EF34111"/>
      <c r="EG34111"/>
      <c r="EH34111"/>
      <c r="EI34111"/>
      <c r="EJ34111"/>
      <c r="EK34111"/>
    </row>
    <row r="34112" spans="1:141" s="116" customFormat="1">
      <c r="A34112" s="136"/>
      <c r="CM34112" s="111"/>
      <c r="CQ34112" s="111"/>
      <c r="EF34112"/>
      <c r="EG34112"/>
      <c r="EH34112"/>
      <c r="EI34112"/>
      <c r="EJ34112"/>
      <c r="EK34112"/>
    </row>
    <row r="34113" spans="1:141" s="116" customFormat="1">
      <c r="A34113" s="136"/>
      <c r="CM34113" s="111"/>
      <c r="CQ34113" s="111"/>
      <c r="EF34113"/>
      <c r="EG34113"/>
      <c r="EH34113"/>
      <c r="EI34113"/>
      <c r="EJ34113"/>
      <c r="EK34113"/>
    </row>
    <row r="34114" spans="1:141" s="116" customFormat="1">
      <c r="A34114" s="136"/>
      <c r="CM34114" s="111"/>
      <c r="CQ34114" s="111"/>
      <c r="EF34114"/>
      <c r="EG34114"/>
      <c r="EH34114"/>
      <c r="EI34114"/>
      <c r="EJ34114"/>
      <c r="EK34114"/>
    </row>
    <row r="34115" spans="1:141" s="116" customFormat="1">
      <c r="A34115" s="136"/>
      <c r="CM34115" s="111"/>
      <c r="CQ34115" s="111"/>
      <c r="EF34115"/>
      <c r="EG34115"/>
      <c r="EH34115"/>
      <c r="EI34115"/>
      <c r="EJ34115"/>
      <c r="EK34115"/>
    </row>
    <row r="34116" spans="1:141" s="116" customFormat="1">
      <c r="A34116" s="136"/>
      <c r="CM34116" s="111"/>
      <c r="CQ34116" s="111"/>
      <c r="EF34116"/>
      <c r="EG34116"/>
      <c r="EH34116"/>
      <c r="EI34116"/>
      <c r="EJ34116"/>
      <c r="EK34116"/>
    </row>
    <row r="34117" spans="1:141" s="116" customFormat="1">
      <c r="A34117" s="136"/>
      <c r="CM34117" s="111"/>
      <c r="CQ34117" s="111"/>
      <c r="EF34117"/>
      <c r="EG34117"/>
      <c r="EH34117"/>
      <c r="EI34117"/>
      <c r="EJ34117"/>
      <c r="EK34117"/>
    </row>
    <row r="34118" spans="1:141" s="116" customFormat="1">
      <c r="A34118" s="136"/>
      <c r="CM34118" s="111"/>
      <c r="CQ34118" s="111"/>
      <c r="EF34118"/>
      <c r="EG34118"/>
      <c r="EH34118"/>
      <c r="EI34118"/>
      <c r="EJ34118"/>
      <c r="EK34118"/>
    </row>
    <row r="34119" spans="1:141" s="116" customFormat="1">
      <c r="A34119" s="136"/>
      <c r="CM34119" s="111"/>
      <c r="CQ34119" s="111"/>
      <c r="EF34119"/>
      <c r="EG34119"/>
      <c r="EH34119"/>
      <c r="EI34119"/>
      <c r="EJ34119"/>
      <c r="EK34119"/>
    </row>
    <row r="34120" spans="1:141" s="116" customFormat="1">
      <c r="A34120" s="136"/>
      <c r="CM34120" s="111"/>
      <c r="CQ34120" s="111"/>
      <c r="EF34120"/>
      <c r="EG34120"/>
      <c r="EH34120"/>
      <c r="EI34120"/>
      <c r="EJ34120"/>
      <c r="EK34120"/>
    </row>
    <row r="34121" spans="1:141" s="116" customFormat="1">
      <c r="A34121" s="136"/>
      <c r="CM34121" s="111"/>
      <c r="CQ34121" s="111"/>
      <c r="EF34121"/>
      <c r="EG34121"/>
      <c r="EH34121"/>
      <c r="EI34121"/>
      <c r="EJ34121"/>
      <c r="EK34121"/>
    </row>
    <row r="34122" spans="1:141" s="116" customFormat="1">
      <c r="A34122" s="136"/>
      <c r="CM34122" s="111"/>
      <c r="CQ34122" s="111"/>
      <c r="EF34122"/>
      <c r="EG34122"/>
      <c r="EH34122"/>
      <c r="EI34122"/>
      <c r="EJ34122"/>
      <c r="EK34122"/>
    </row>
    <row r="34123" spans="1:141" s="116" customFormat="1">
      <c r="A34123" s="136"/>
      <c r="CM34123" s="111"/>
      <c r="CQ34123" s="111"/>
      <c r="EF34123"/>
      <c r="EG34123"/>
      <c r="EH34123"/>
      <c r="EI34123"/>
      <c r="EJ34123"/>
      <c r="EK34123"/>
    </row>
    <row r="34124" spans="1:141" s="116" customFormat="1">
      <c r="A34124" s="136"/>
      <c r="CM34124" s="111"/>
      <c r="CQ34124" s="111"/>
      <c r="EF34124"/>
      <c r="EG34124"/>
      <c r="EH34124"/>
      <c r="EI34124"/>
      <c r="EJ34124"/>
      <c r="EK34124"/>
    </row>
    <row r="34125" spans="1:141" s="116" customFormat="1">
      <c r="A34125" s="136"/>
      <c r="CM34125" s="111"/>
      <c r="CQ34125" s="111"/>
      <c r="EF34125"/>
      <c r="EG34125"/>
      <c r="EH34125"/>
      <c r="EI34125"/>
      <c r="EJ34125"/>
      <c r="EK34125"/>
    </row>
    <row r="34126" spans="1:141" s="116" customFormat="1">
      <c r="A34126" s="136"/>
      <c r="CM34126" s="111"/>
      <c r="CQ34126" s="111"/>
      <c r="EF34126"/>
      <c r="EG34126"/>
      <c r="EH34126"/>
      <c r="EI34126"/>
      <c r="EJ34126"/>
      <c r="EK34126"/>
    </row>
    <row r="34127" spans="1:141" s="116" customFormat="1">
      <c r="A34127" s="136"/>
      <c r="CM34127" s="111"/>
      <c r="CQ34127" s="111"/>
      <c r="EF34127"/>
      <c r="EG34127"/>
      <c r="EH34127"/>
      <c r="EI34127"/>
      <c r="EJ34127"/>
      <c r="EK34127"/>
    </row>
    <row r="34128" spans="1:141" s="116" customFormat="1">
      <c r="A34128" s="136"/>
      <c r="CM34128" s="111"/>
      <c r="CQ34128" s="111"/>
      <c r="EF34128"/>
      <c r="EG34128"/>
      <c r="EH34128"/>
      <c r="EI34128"/>
      <c r="EJ34128"/>
      <c r="EK34128"/>
    </row>
    <row r="34129" spans="1:141" s="116" customFormat="1">
      <c r="A34129" s="136"/>
      <c r="CM34129" s="111"/>
      <c r="CQ34129" s="111"/>
      <c r="EF34129"/>
      <c r="EG34129"/>
      <c r="EH34129"/>
      <c r="EI34129"/>
      <c r="EJ34129"/>
      <c r="EK34129"/>
    </row>
    <row r="34130" spans="1:141" s="116" customFormat="1">
      <c r="A34130" s="136"/>
      <c r="CM34130" s="111"/>
      <c r="CQ34130" s="111"/>
      <c r="EF34130"/>
      <c r="EG34130"/>
      <c r="EH34130"/>
      <c r="EI34130"/>
      <c r="EJ34130"/>
      <c r="EK34130"/>
    </row>
    <row r="34131" spans="1:141" s="116" customFormat="1">
      <c r="A34131" s="136"/>
      <c r="CM34131" s="111"/>
      <c r="CQ34131" s="111"/>
      <c r="EF34131"/>
      <c r="EG34131"/>
      <c r="EH34131"/>
      <c r="EI34131"/>
      <c r="EJ34131"/>
      <c r="EK34131"/>
    </row>
    <row r="34132" spans="1:141" s="116" customFormat="1">
      <c r="A34132" s="136"/>
      <c r="CM34132" s="111"/>
      <c r="CQ34132" s="111"/>
      <c r="EF34132"/>
      <c r="EG34132"/>
      <c r="EH34132"/>
      <c r="EI34132"/>
      <c r="EJ34132"/>
      <c r="EK34132"/>
    </row>
    <row r="34133" spans="1:141" s="116" customFormat="1">
      <c r="A34133" s="136"/>
      <c r="CM34133" s="111"/>
      <c r="CQ34133" s="111"/>
      <c r="EF34133"/>
      <c r="EG34133"/>
      <c r="EH34133"/>
      <c r="EI34133"/>
      <c r="EJ34133"/>
      <c r="EK34133"/>
    </row>
    <row r="34134" spans="1:141" s="116" customFormat="1">
      <c r="A34134" s="136"/>
      <c r="CM34134" s="111"/>
      <c r="CQ34134" s="111"/>
      <c r="EF34134"/>
      <c r="EG34134"/>
      <c r="EH34134"/>
      <c r="EI34134"/>
      <c r="EJ34134"/>
      <c r="EK34134"/>
    </row>
    <row r="34135" spans="1:141" s="116" customFormat="1">
      <c r="A34135" s="136"/>
      <c r="CM34135" s="111"/>
      <c r="CQ34135" s="111"/>
      <c r="EF34135"/>
      <c r="EG34135"/>
      <c r="EH34135"/>
      <c r="EI34135"/>
      <c r="EJ34135"/>
      <c r="EK34135"/>
    </row>
    <row r="34136" spans="1:141" s="116" customFormat="1">
      <c r="A34136" s="136"/>
      <c r="CM34136" s="111"/>
      <c r="CQ34136" s="111"/>
      <c r="EF34136"/>
      <c r="EG34136"/>
      <c r="EH34136"/>
      <c r="EI34136"/>
      <c r="EJ34136"/>
      <c r="EK34136"/>
    </row>
    <row r="34137" spans="1:141" s="116" customFormat="1">
      <c r="A34137" s="136"/>
      <c r="CM34137" s="111"/>
      <c r="CQ34137" s="111"/>
      <c r="EF34137"/>
      <c r="EG34137"/>
      <c r="EH34137"/>
      <c r="EI34137"/>
      <c r="EJ34137"/>
      <c r="EK34137"/>
    </row>
    <row r="34138" spans="1:141" s="116" customFormat="1">
      <c r="A34138" s="136"/>
      <c r="CM34138" s="111"/>
      <c r="CQ34138" s="111"/>
      <c r="EF34138"/>
      <c r="EG34138"/>
      <c r="EH34138"/>
      <c r="EI34138"/>
      <c r="EJ34138"/>
      <c r="EK34138"/>
    </row>
    <row r="34139" spans="1:141" s="116" customFormat="1">
      <c r="A34139" s="136"/>
      <c r="CM34139" s="111"/>
      <c r="CQ34139" s="111"/>
      <c r="EF34139"/>
      <c r="EG34139"/>
      <c r="EH34139"/>
      <c r="EI34139"/>
      <c r="EJ34139"/>
      <c r="EK34139"/>
    </row>
    <row r="34140" spans="1:141" s="116" customFormat="1">
      <c r="A34140" s="136"/>
      <c r="CM34140" s="111"/>
      <c r="CQ34140" s="111"/>
      <c r="EF34140"/>
      <c r="EG34140"/>
      <c r="EH34140"/>
      <c r="EI34140"/>
      <c r="EJ34140"/>
      <c r="EK34140"/>
    </row>
    <row r="34141" spans="1:141" s="116" customFormat="1">
      <c r="A34141" s="136"/>
      <c r="CM34141" s="111"/>
      <c r="CQ34141" s="111"/>
      <c r="EF34141"/>
      <c r="EG34141"/>
      <c r="EH34141"/>
      <c r="EI34141"/>
      <c r="EJ34141"/>
      <c r="EK34141"/>
    </row>
    <row r="34142" spans="1:141" s="116" customFormat="1">
      <c r="A34142" s="136"/>
      <c r="CM34142" s="111"/>
      <c r="CQ34142" s="111"/>
      <c r="EF34142"/>
      <c r="EG34142"/>
      <c r="EH34142"/>
      <c r="EI34142"/>
      <c r="EJ34142"/>
      <c r="EK34142"/>
    </row>
    <row r="34143" spans="1:141" s="116" customFormat="1">
      <c r="A34143" s="136"/>
      <c r="CM34143" s="111"/>
      <c r="CQ34143" s="111"/>
      <c r="EF34143"/>
      <c r="EG34143"/>
      <c r="EH34143"/>
      <c r="EI34143"/>
      <c r="EJ34143"/>
      <c r="EK34143"/>
    </row>
    <row r="34144" spans="1:141" s="116" customFormat="1">
      <c r="A34144" s="136"/>
      <c r="CM34144" s="111"/>
      <c r="CQ34144" s="111"/>
      <c r="EF34144"/>
      <c r="EG34144"/>
      <c r="EH34144"/>
      <c r="EI34144"/>
      <c r="EJ34144"/>
      <c r="EK34144"/>
    </row>
    <row r="34145" spans="1:141" s="116" customFormat="1">
      <c r="A34145" s="136"/>
      <c r="CM34145" s="111"/>
      <c r="CQ34145" s="111"/>
      <c r="EF34145"/>
      <c r="EG34145"/>
      <c r="EH34145"/>
      <c r="EI34145"/>
      <c r="EJ34145"/>
      <c r="EK34145"/>
    </row>
    <row r="34146" spans="1:141" s="116" customFormat="1">
      <c r="A34146" s="136"/>
      <c r="CM34146" s="111"/>
      <c r="CQ34146" s="111"/>
      <c r="EF34146"/>
      <c r="EG34146"/>
      <c r="EH34146"/>
      <c r="EI34146"/>
      <c r="EJ34146"/>
      <c r="EK34146"/>
    </row>
    <row r="34147" spans="1:141" s="116" customFormat="1">
      <c r="A34147" s="136"/>
      <c r="CM34147" s="111"/>
      <c r="CQ34147" s="111"/>
      <c r="EF34147"/>
      <c r="EG34147"/>
      <c r="EH34147"/>
      <c r="EI34147"/>
      <c r="EJ34147"/>
      <c r="EK34147"/>
    </row>
    <row r="34148" spans="1:141" s="116" customFormat="1">
      <c r="A34148" s="136"/>
      <c r="CM34148" s="111"/>
      <c r="CQ34148" s="111"/>
      <c r="EF34148"/>
      <c r="EG34148"/>
      <c r="EH34148"/>
      <c r="EI34148"/>
      <c r="EJ34148"/>
      <c r="EK34148"/>
    </row>
    <row r="34149" spans="1:141" s="116" customFormat="1">
      <c r="A34149" s="136"/>
      <c r="CM34149" s="111"/>
      <c r="CQ34149" s="111"/>
      <c r="EF34149"/>
      <c r="EG34149"/>
      <c r="EH34149"/>
      <c r="EI34149"/>
      <c r="EJ34149"/>
      <c r="EK34149"/>
    </row>
    <row r="34150" spans="1:141" s="116" customFormat="1">
      <c r="A34150" s="136"/>
      <c r="CM34150" s="111"/>
      <c r="CQ34150" s="111"/>
      <c r="EF34150"/>
      <c r="EG34150"/>
      <c r="EH34150"/>
      <c r="EI34150"/>
      <c r="EJ34150"/>
      <c r="EK34150"/>
    </row>
    <row r="34151" spans="1:141" s="116" customFormat="1">
      <c r="A34151" s="136"/>
      <c r="CM34151" s="111"/>
      <c r="CQ34151" s="111"/>
      <c r="EF34151"/>
      <c r="EG34151"/>
      <c r="EH34151"/>
      <c r="EI34151"/>
      <c r="EJ34151"/>
      <c r="EK34151"/>
    </row>
    <row r="34152" spans="1:141" s="116" customFormat="1">
      <c r="A34152" s="136"/>
      <c r="CM34152" s="111"/>
      <c r="CQ34152" s="111"/>
      <c r="EF34152"/>
      <c r="EG34152"/>
      <c r="EH34152"/>
      <c r="EI34152"/>
      <c r="EJ34152"/>
      <c r="EK34152"/>
    </row>
    <row r="34153" spans="1:141" s="116" customFormat="1">
      <c r="A34153" s="136"/>
      <c r="CM34153" s="111"/>
      <c r="CQ34153" s="111"/>
      <c r="EF34153"/>
      <c r="EG34153"/>
      <c r="EH34153"/>
      <c r="EI34153"/>
      <c r="EJ34153"/>
      <c r="EK34153"/>
    </row>
    <row r="34154" spans="1:141" s="116" customFormat="1">
      <c r="A34154" s="136"/>
      <c r="CM34154" s="111"/>
      <c r="CQ34154" s="111"/>
      <c r="EF34154"/>
      <c r="EG34154"/>
      <c r="EH34154"/>
      <c r="EI34154"/>
      <c r="EJ34154"/>
      <c r="EK34154"/>
    </row>
    <row r="34155" spans="1:141" s="116" customFormat="1">
      <c r="A34155" s="136"/>
      <c r="CM34155" s="111"/>
      <c r="CQ34155" s="111"/>
      <c r="EF34155"/>
      <c r="EG34155"/>
      <c r="EH34155"/>
      <c r="EI34155"/>
      <c r="EJ34155"/>
      <c r="EK34155"/>
    </row>
    <row r="34156" spans="1:141" s="116" customFormat="1">
      <c r="A34156" s="136"/>
      <c r="CM34156" s="111"/>
      <c r="CQ34156" s="111"/>
      <c r="EF34156"/>
      <c r="EG34156"/>
      <c r="EH34156"/>
      <c r="EI34156"/>
      <c r="EJ34156"/>
      <c r="EK34156"/>
    </row>
    <row r="34157" spans="1:141" s="116" customFormat="1">
      <c r="A34157" s="136"/>
      <c r="CM34157" s="111"/>
      <c r="CQ34157" s="111"/>
      <c r="EF34157"/>
      <c r="EG34157"/>
      <c r="EH34157"/>
      <c r="EI34157"/>
      <c r="EJ34157"/>
      <c r="EK34157"/>
    </row>
    <row r="34158" spans="1:141" s="116" customFormat="1">
      <c r="A34158" s="136"/>
      <c r="CM34158" s="111"/>
      <c r="CQ34158" s="111"/>
      <c r="EF34158"/>
      <c r="EG34158"/>
      <c r="EH34158"/>
      <c r="EI34158"/>
      <c r="EJ34158"/>
      <c r="EK34158"/>
    </row>
    <row r="34159" spans="1:141" s="116" customFormat="1">
      <c r="A34159" s="136"/>
      <c r="CM34159" s="111"/>
      <c r="CQ34159" s="111"/>
      <c r="EF34159"/>
      <c r="EG34159"/>
      <c r="EH34159"/>
      <c r="EI34159"/>
      <c r="EJ34159"/>
      <c r="EK34159"/>
    </row>
    <row r="34160" spans="1:141" s="116" customFormat="1">
      <c r="A34160" s="136"/>
      <c r="CM34160" s="111"/>
      <c r="CQ34160" s="111"/>
      <c r="EF34160"/>
      <c r="EG34160"/>
      <c r="EH34160"/>
      <c r="EI34160"/>
      <c r="EJ34160"/>
      <c r="EK34160"/>
    </row>
    <row r="34161" spans="1:141" s="116" customFormat="1">
      <c r="A34161" s="136"/>
      <c r="CM34161" s="111"/>
      <c r="CQ34161" s="111"/>
      <c r="EF34161"/>
      <c r="EG34161"/>
      <c r="EH34161"/>
      <c r="EI34161"/>
      <c r="EJ34161"/>
      <c r="EK34161"/>
    </row>
    <row r="34162" spans="1:141" s="116" customFormat="1">
      <c r="A34162" s="136"/>
      <c r="CM34162" s="111"/>
      <c r="CQ34162" s="111"/>
      <c r="EF34162"/>
      <c r="EG34162"/>
      <c r="EH34162"/>
      <c r="EI34162"/>
      <c r="EJ34162"/>
      <c r="EK34162"/>
    </row>
    <row r="34163" spans="1:141" s="116" customFormat="1">
      <c r="A34163" s="136"/>
      <c r="CM34163" s="111"/>
      <c r="CQ34163" s="111"/>
      <c r="EF34163"/>
      <c r="EG34163"/>
      <c r="EH34163"/>
      <c r="EI34163"/>
      <c r="EJ34163"/>
      <c r="EK34163"/>
    </row>
    <row r="34164" spans="1:141" s="116" customFormat="1">
      <c r="A34164" s="136"/>
      <c r="CM34164" s="111"/>
      <c r="CQ34164" s="111"/>
      <c r="EF34164"/>
      <c r="EG34164"/>
      <c r="EH34164"/>
      <c r="EI34164"/>
      <c r="EJ34164"/>
      <c r="EK34164"/>
    </row>
    <row r="34165" spans="1:141" s="116" customFormat="1">
      <c r="A34165" s="136"/>
      <c r="CM34165" s="111"/>
      <c r="CQ34165" s="111"/>
      <c r="EF34165"/>
      <c r="EG34165"/>
      <c r="EH34165"/>
      <c r="EI34165"/>
      <c r="EJ34165"/>
      <c r="EK34165"/>
    </row>
    <row r="34166" spans="1:141" s="116" customFormat="1">
      <c r="A34166" s="136"/>
      <c r="CM34166" s="111"/>
      <c r="CQ34166" s="111"/>
      <c r="EF34166"/>
      <c r="EG34166"/>
      <c r="EH34166"/>
      <c r="EI34166"/>
      <c r="EJ34166"/>
      <c r="EK34166"/>
    </row>
    <row r="34167" spans="1:141" s="116" customFormat="1">
      <c r="A34167" s="136"/>
      <c r="CM34167" s="111"/>
      <c r="CQ34167" s="111"/>
      <c r="EF34167"/>
      <c r="EG34167"/>
      <c r="EH34167"/>
      <c r="EI34167"/>
      <c r="EJ34167"/>
      <c r="EK34167"/>
    </row>
    <row r="34168" spans="1:141" s="116" customFormat="1">
      <c r="A34168" s="136"/>
      <c r="CM34168" s="111"/>
      <c r="CQ34168" s="111"/>
      <c r="EF34168"/>
      <c r="EG34168"/>
      <c r="EH34168"/>
      <c r="EI34168"/>
      <c r="EJ34168"/>
      <c r="EK34168"/>
    </row>
    <row r="34169" spans="1:141" s="116" customFormat="1">
      <c r="A34169" s="136"/>
      <c r="CM34169" s="111"/>
      <c r="CQ34169" s="111"/>
      <c r="EF34169"/>
      <c r="EG34169"/>
      <c r="EH34169"/>
      <c r="EI34169"/>
      <c r="EJ34169"/>
      <c r="EK34169"/>
    </row>
    <row r="34170" spans="1:141" s="116" customFormat="1">
      <c r="A34170" s="136"/>
      <c r="CM34170" s="111"/>
      <c r="CQ34170" s="111"/>
      <c r="EF34170"/>
      <c r="EG34170"/>
      <c r="EH34170"/>
      <c r="EI34170"/>
      <c r="EJ34170"/>
      <c r="EK34170"/>
    </row>
    <row r="34171" spans="1:141" s="116" customFormat="1">
      <c r="A34171" s="136"/>
      <c r="CM34171" s="111"/>
      <c r="CQ34171" s="111"/>
      <c r="EF34171"/>
      <c r="EG34171"/>
      <c r="EH34171"/>
      <c r="EI34171"/>
      <c r="EJ34171"/>
      <c r="EK34171"/>
    </row>
    <row r="34172" spans="1:141" s="116" customFormat="1">
      <c r="A34172" s="136"/>
      <c r="CM34172" s="111"/>
      <c r="CQ34172" s="111"/>
      <c r="EF34172"/>
      <c r="EG34172"/>
      <c r="EH34172"/>
      <c r="EI34172"/>
      <c r="EJ34172"/>
      <c r="EK34172"/>
    </row>
    <row r="34173" spans="1:141" s="116" customFormat="1">
      <c r="A34173" s="136"/>
      <c r="CM34173" s="111"/>
      <c r="CQ34173" s="111"/>
      <c r="EF34173"/>
      <c r="EG34173"/>
      <c r="EH34173"/>
      <c r="EI34173"/>
      <c r="EJ34173"/>
      <c r="EK34173"/>
    </row>
    <row r="34174" spans="1:141" s="116" customFormat="1">
      <c r="A34174" s="136"/>
      <c r="CM34174" s="111"/>
      <c r="CQ34174" s="111"/>
      <c r="EF34174"/>
      <c r="EG34174"/>
      <c r="EH34174"/>
      <c r="EI34174"/>
      <c r="EJ34174"/>
      <c r="EK34174"/>
    </row>
    <row r="34175" spans="1:141" s="116" customFormat="1">
      <c r="A34175" s="136"/>
      <c r="CM34175" s="111"/>
      <c r="CQ34175" s="111"/>
      <c r="EF34175"/>
      <c r="EG34175"/>
      <c r="EH34175"/>
      <c r="EI34175"/>
      <c r="EJ34175"/>
      <c r="EK34175"/>
    </row>
    <row r="34176" spans="1:141" s="116" customFormat="1">
      <c r="A34176" s="136"/>
      <c r="CM34176" s="111"/>
      <c r="CQ34176" s="111"/>
      <c r="EF34176"/>
      <c r="EG34176"/>
      <c r="EH34176"/>
      <c r="EI34176"/>
      <c r="EJ34176"/>
      <c r="EK34176"/>
    </row>
    <row r="34177" spans="1:141" s="116" customFormat="1">
      <c r="A34177" s="136"/>
      <c r="CM34177" s="111"/>
      <c r="CQ34177" s="111"/>
      <c r="EF34177"/>
      <c r="EG34177"/>
      <c r="EH34177"/>
      <c r="EI34177"/>
      <c r="EJ34177"/>
      <c r="EK34177"/>
    </row>
    <row r="34178" spans="1:141" s="116" customFormat="1">
      <c r="A34178" s="136"/>
      <c r="CM34178" s="111"/>
      <c r="CQ34178" s="111"/>
      <c r="EF34178"/>
      <c r="EG34178"/>
      <c r="EH34178"/>
      <c r="EI34178"/>
      <c r="EJ34178"/>
      <c r="EK34178"/>
    </row>
    <row r="34179" spans="1:141" s="116" customFormat="1">
      <c r="A34179" s="136"/>
      <c r="CM34179" s="111"/>
      <c r="CQ34179" s="111"/>
      <c r="EF34179"/>
      <c r="EG34179"/>
      <c r="EH34179"/>
      <c r="EI34179"/>
      <c r="EJ34179"/>
      <c r="EK34179"/>
    </row>
    <row r="34180" spans="1:141" s="116" customFormat="1">
      <c r="A34180" s="136"/>
      <c r="CM34180" s="111"/>
      <c r="CQ34180" s="111"/>
      <c r="EF34180"/>
      <c r="EG34180"/>
      <c r="EH34180"/>
      <c r="EI34180"/>
      <c r="EJ34180"/>
      <c r="EK34180"/>
    </row>
    <row r="34181" spans="1:141" s="116" customFormat="1">
      <c r="A34181" s="136"/>
      <c r="CM34181" s="111"/>
      <c r="CQ34181" s="111"/>
      <c r="EF34181"/>
      <c r="EG34181"/>
      <c r="EH34181"/>
      <c r="EI34181"/>
      <c r="EJ34181"/>
      <c r="EK34181"/>
    </row>
    <row r="34182" spans="1:141" s="116" customFormat="1">
      <c r="A34182" s="136"/>
      <c r="CM34182" s="111"/>
      <c r="CQ34182" s="111"/>
      <c r="EF34182"/>
      <c r="EG34182"/>
      <c r="EH34182"/>
      <c r="EI34182"/>
      <c r="EJ34182"/>
      <c r="EK34182"/>
    </row>
    <row r="34183" spans="1:141" s="116" customFormat="1">
      <c r="A34183" s="136"/>
      <c r="CM34183" s="111"/>
      <c r="CQ34183" s="111"/>
      <c r="EF34183"/>
      <c r="EG34183"/>
      <c r="EH34183"/>
      <c r="EI34183"/>
      <c r="EJ34183"/>
      <c r="EK34183"/>
    </row>
    <row r="34184" spans="1:141" s="116" customFormat="1">
      <c r="A34184" s="136"/>
      <c r="CM34184" s="111"/>
      <c r="CQ34184" s="111"/>
      <c r="EF34184"/>
      <c r="EG34184"/>
      <c r="EH34184"/>
      <c r="EI34184"/>
      <c r="EJ34184"/>
      <c r="EK34184"/>
    </row>
    <row r="34185" spans="1:141" s="116" customFormat="1">
      <c r="A34185" s="136"/>
      <c r="CM34185" s="111"/>
      <c r="CQ34185" s="111"/>
      <c r="EF34185"/>
      <c r="EG34185"/>
      <c r="EH34185"/>
      <c r="EI34185"/>
      <c r="EJ34185"/>
      <c r="EK34185"/>
    </row>
    <row r="34186" spans="1:141" s="116" customFormat="1">
      <c r="A34186" s="136"/>
      <c r="CM34186" s="111"/>
      <c r="CQ34186" s="111"/>
      <c r="EF34186"/>
      <c r="EG34186"/>
      <c r="EH34186"/>
      <c r="EI34186"/>
      <c r="EJ34186"/>
      <c r="EK34186"/>
    </row>
    <row r="34187" spans="1:141" s="116" customFormat="1">
      <c r="A34187" s="136"/>
      <c r="CM34187" s="111"/>
      <c r="CQ34187" s="111"/>
      <c r="EF34187"/>
      <c r="EG34187"/>
      <c r="EH34187"/>
      <c r="EI34187"/>
      <c r="EJ34187"/>
      <c r="EK34187"/>
    </row>
    <row r="34188" spans="1:141" s="116" customFormat="1">
      <c r="A34188" s="136"/>
      <c r="CM34188" s="111"/>
      <c r="CQ34188" s="111"/>
      <c r="EF34188"/>
      <c r="EG34188"/>
      <c r="EH34188"/>
      <c r="EI34188"/>
      <c r="EJ34188"/>
      <c r="EK34188"/>
    </row>
    <row r="34189" spans="1:141" s="116" customFormat="1">
      <c r="A34189" s="136"/>
      <c r="CM34189" s="111"/>
      <c r="CQ34189" s="111"/>
      <c r="EF34189"/>
      <c r="EG34189"/>
      <c r="EH34189"/>
      <c r="EI34189"/>
      <c r="EJ34189"/>
      <c r="EK34189"/>
    </row>
    <row r="34190" spans="1:141" s="116" customFormat="1">
      <c r="A34190" s="136"/>
      <c r="CM34190" s="111"/>
      <c r="CQ34190" s="111"/>
      <c r="EF34190"/>
      <c r="EG34190"/>
      <c r="EH34190"/>
      <c r="EI34190"/>
      <c r="EJ34190"/>
      <c r="EK34190"/>
    </row>
    <row r="34191" spans="1:141" s="116" customFormat="1">
      <c r="A34191" s="136"/>
      <c r="CM34191" s="111"/>
      <c r="CQ34191" s="111"/>
      <c r="EF34191"/>
      <c r="EG34191"/>
      <c r="EH34191"/>
      <c r="EI34191"/>
      <c r="EJ34191"/>
      <c r="EK34191"/>
    </row>
    <row r="34192" spans="1:141" s="116" customFormat="1">
      <c r="A34192" s="136"/>
      <c r="CM34192" s="111"/>
      <c r="CQ34192" s="111"/>
      <c r="EF34192"/>
      <c r="EG34192"/>
      <c r="EH34192"/>
      <c r="EI34192"/>
      <c r="EJ34192"/>
      <c r="EK34192"/>
    </row>
    <row r="34193" spans="1:141" s="116" customFormat="1">
      <c r="A34193" s="136"/>
      <c r="CM34193" s="111"/>
      <c r="CQ34193" s="111"/>
      <c r="EF34193"/>
      <c r="EG34193"/>
      <c r="EH34193"/>
      <c r="EI34193"/>
      <c r="EJ34193"/>
      <c r="EK34193"/>
    </row>
    <row r="34194" spans="1:141" s="116" customFormat="1">
      <c r="A34194" s="136"/>
      <c r="CM34194" s="111"/>
      <c r="CQ34194" s="111"/>
      <c r="EF34194"/>
      <c r="EG34194"/>
      <c r="EH34194"/>
      <c r="EI34194"/>
      <c r="EJ34194"/>
      <c r="EK34194"/>
    </row>
    <row r="34195" spans="1:141" s="116" customFormat="1">
      <c r="A34195" s="136"/>
      <c r="CM34195" s="111"/>
      <c r="CQ34195" s="111"/>
      <c r="EF34195"/>
      <c r="EG34195"/>
      <c r="EH34195"/>
      <c r="EI34195"/>
      <c r="EJ34195"/>
      <c r="EK34195"/>
    </row>
    <row r="34196" spans="1:141" s="116" customFormat="1">
      <c r="A34196" s="136"/>
      <c r="CM34196" s="111"/>
      <c r="CQ34196" s="111"/>
      <c r="EF34196"/>
      <c r="EG34196"/>
      <c r="EH34196"/>
      <c r="EI34196"/>
      <c r="EJ34196"/>
      <c r="EK34196"/>
    </row>
    <row r="34197" spans="1:141" s="116" customFormat="1">
      <c r="A34197" s="136"/>
      <c r="CM34197" s="111"/>
      <c r="CQ34197" s="111"/>
      <c r="EF34197"/>
      <c r="EG34197"/>
      <c r="EH34197"/>
      <c r="EI34197"/>
      <c r="EJ34197"/>
      <c r="EK34197"/>
    </row>
    <row r="34198" spans="1:141" s="116" customFormat="1">
      <c r="A34198" s="136"/>
      <c r="CM34198" s="111"/>
      <c r="CQ34198" s="111"/>
      <c r="EF34198"/>
      <c r="EG34198"/>
      <c r="EH34198"/>
      <c r="EI34198"/>
      <c r="EJ34198"/>
      <c r="EK34198"/>
    </row>
    <row r="34199" spans="1:141" s="116" customFormat="1">
      <c r="A34199" s="136"/>
      <c r="CM34199" s="111"/>
      <c r="CQ34199" s="111"/>
      <c r="EF34199"/>
      <c r="EG34199"/>
      <c r="EH34199"/>
      <c r="EI34199"/>
      <c r="EJ34199"/>
      <c r="EK34199"/>
    </row>
    <row r="34200" spans="1:141" s="116" customFormat="1">
      <c r="A34200" s="136"/>
      <c r="CM34200" s="111"/>
      <c r="CQ34200" s="111"/>
      <c r="EF34200"/>
      <c r="EG34200"/>
      <c r="EH34200"/>
      <c r="EI34200"/>
      <c r="EJ34200"/>
      <c r="EK34200"/>
    </row>
    <row r="34201" spans="1:141" s="116" customFormat="1">
      <c r="A34201" s="136"/>
      <c r="CM34201" s="111"/>
      <c r="CQ34201" s="111"/>
      <c r="EF34201"/>
      <c r="EG34201"/>
      <c r="EH34201"/>
      <c r="EI34201"/>
      <c r="EJ34201"/>
      <c r="EK34201"/>
    </row>
    <row r="34202" spans="1:141" s="116" customFormat="1">
      <c r="A34202" s="136"/>
      <c r="CM34202" s="111"/>
      <c r="CQ34202" s="111"/>
      <c r="EF34202"/>
      <c r="EG34202"/>
      <c r="EH34202"/>
      <c r="EI34202"/>
      <c r="EJ34202"/>
      <c r="EK34202"/>
    </row>
    <row r="34203" spans="1:141" s="116" customFormat="1">
      <c r="A34203" s="136"/>
      <c r="CM34203" s="111"/>
      <c r="CQ34203" s="111"/>
      <c r="EF34203"/>
      <c r="EG34203"/>
      <c r="EH34203"/>
      <c r="EI34203"/>
      <c r="EJ34203"/>
      <c r="EK34203"/>
    </row>
    <row r="34204" spans="1:141" s="116" customFormat="1">
      <c r="A34204" s="136"/>
      <c r="CM34204" s="111"/>
      <c r="CQ34204" s="111"/>
      <c r="EF34204"/>
      <c r="EG34204"/>
      <c r="EH34204"/>
      <c r="EI34204"/>
      <c r="EJ34204"/>
      <c r="EK34204"/>
    </row>
    <row r="34205" spans="1:141" s="116" customFormat="1">
      <c r="A34205" s="136"/>
      <c r="CM34205" s="111"/>
      <c r="CQ34205" s="111"/>
      <c r="EF34205"/>
      <c r="EG34205"/>
      <c r="EH34205"/>
      <c r="EI34205"/>
      <c r="EJ34205"/>
      <c r="EK34205"/>
    </row>
    <row r="34206" spans="1:141" s="116" customFormat="1">
      <c r="A34206" s="136"/>
      <c r="CM34206" s="111"/>
      <c r="CQ34206" s="111"/>
      <c r="EF34206"/>
      <c r="EG34206"/>
      <c r="EH34206"/>
      <c r="EI34206"/>
      <c r="EJ34206"/>
      <c r="EK34206"/>
    </row>
    <row r="34207" spans="1:141" s="116" customFormat="1">
      <c r="A34207" s="136"/>
      <c r="CM34207" s="111"/>
      <c r="CQ34207" s="111"/>
      <c r="EF34207"/>
      <c r="EG34207"/>
      <c r="EH34207"/>
      <c r="EI34207"/>
      <c r="EJ34207"/>
      <c r="EK34207"/>
    </row>
    <row r="34208" spans="1:141" s="116" customFormat="1">
      <c r="A34208" s="136"/>
      <c r="CM34208" s="111"/>
      <c r="CQ34208" s="111"/>
      <c r="EF34208"/>
      <c r="EG34208"/>
      <c r="EH34208"/>
      <c r="EI34208"/>
      <c r="EJ34208"/>
      <c r="EK34208"/>
    </row>
    <row r="34209" spans="1:141" s="116" customFormat="1">
      <c r="A34209" s="136"/>
      <c r="CM34209" s="111"/>
      <c r="CQ34209" s="111"/>
      <c r="EF34209"/>
      <c r="EG34209"/>
      <c r="EH34209"/>
      <c r="EI34209"/>
      <c r="EJ34209"/>
      <c r="EK34209"/>
    </row>
    <row r="34210" spans="1:141" s="116" customFormat="1">
      <c r="A34210" s="136"/>
      <c r="CM34210" s="111"/>
      <c r="CQ34210" s="111"/>
      <c r="EF34210"/>
      <c r="EG34210"/>
      <c r="EH34210"/>
      <c r="EI34210"/>
      <c r="EJ34210"/>
      <c r="EK34210"/>
    </row>
    <row r="34211" spans="1:141" s="116" customFormat="1">
      <c r="A34211" s="136"/>
      <c r="CM34211" s="111"/>
      <c r="CQ34211" s="111"/>
      <c r="EF34211"/>
      <c r="EG34211"/>
      <c r="EH34211"/>
      <c r="EI34211"/>
      <c r="EJ34211"/>
      <c r="EK34211"/>
    </row>
    <row r="34212" spans="1:141" s="116" customFormat="1">
      <c r="A34212" s="136"/>
      <c r="CM34212" s="111"/>
      <c r="CQ34212" s="111"/>
      <c r="EF34212"/>
      <c r="EG34212"/>
      <c r="EH34212"/>
      <c r="EI34212"/>
      <c r="EJ34212"/>
      <c r="EK34212"/>
    </row>
    <row r="34213" spans="1:141" s="116" customFormat="1">
      <c r="A34213" s="136"/>
      <c r="CM34213" s="111"/>
      <c r="CQ34213" s="111"/>
      <c r="EF34213"/>
      <c r="EG34213"/>
      <c r="EH34213"/>
      <c r="EI34213"/>
      <c r="EJ34213"/>
      <c r="EK34213"/>
    </row>
    <row r="34214" spans="1:141" s="116" customFormat="1">
      <c r="A34214" s="136"/>
      <c r="CM34214" s="111"/>
      <c r="CQ34214" s="111"/>
      <c r="EF34214"/>
      <c r="EG34214"/>
      <c r="EH34214"/>
      <c r="EI34214"/>
      <c r="EJ34214"/>
      <c r="EK34214"/>
    </row>
    <row r="34215" spans="1:141" s="116" customFormat="1">
      <c r="A34215" s="136"/>
      <c r="CM34215" s="111"/>
      <c r="CQ34215" s="111"/>
      <c r="EF34215"/>
      <c r="EG34215"/>
      <c r="EH34215"/>
      <c r="EI34215"/>
      <c r="EJ34215"/>
      <c r="EK34215"/>
    </row>
    <row r="34216" spans="1:141" s="116" customFormat="1">
      <c r="A34216" s="136"/>
      <c r="CM34216" s="111"/>
      <c r="CQ34216" s="111"/>
      <c r="EF34216"/>
      <c r="EG34216"/>
      <c r="EH34216"/>
      <c r="EI34216"/>
      <c r="EJ34216"/>
      <c r="EK34216"/>
    </row>
    <row r="34217" spans="1:141" s="116" customFormat="1">
      <c r="A34217" s="136"/>
      <c r="CM34217" s="111"/>
      <c r="CQ34217" s="111"/>
      <c r="EF34217"/>
      <c r="EG34217"/>
      <c r="EH34217"/>
      <c r="EI34217"/>
      <c r="EJ34217"/>
      <c r="EK34217"/>
    </row>
    <row r="34218" spans="1:141" s="116" customFormat="1">
      <c r="A34218" s="136"/>
      <c r="CM34218" s="111"/>
      <c r="CQ34218" s="111"/>
      <c r="EF34218"/>
      <c r="EG34218"/>
      <c r="EH34218"/>
      <c r="EI34218"/>
      <c r="EJ34218"/>
      <c r="EK34218"/>
    </row>
    <row r="34219" spans="1:141" s="116" customFormat="1">
      <c r="A34219" s="136"/>
      <c r="CM34219" s="111"/>
      <c r="CQ34219" s="111"/>
      <c r="EF34219"/>
      <c r="EG34219"/>
      <c r="EH34219"/>
      <c r="EI34219"/>
      <c r="EJ34219"/>
      <c r="EK34219"/>
    </row>
    <row r="34220" spans="1:141" s="116" customFormat="1">
      <c r="A34220" s="136"/>
      <c r="CM34220" s="111"/>
      <c r="CQ34220" s="111"/>
      <c r="EF34220"/>
      <c r="EG34220"/>
      <c r="EH34220"/>
      <c r="EI34220"/>
      <c r="EJ34220"/>
      <c r="EK34220"/>
    </row>
    <row r="34221" spans="1:141" s="116" customFormat="1">
      <c r="A34221" s="136"/>
      <c r="CM34221" s="111"/>
      <c r="CQ34221" s="111"/>
      <c r="EF34221"/>
      <c r="EG34221"/>
      <c r="EH34221"/>
      <c r="EI34221"/>
      <c r="EJ34221"/>
      <c r="EK34221"/>
    </row>
    <row r="34222" spans="1:141" s="116" customFormat="1">
      <c r="A34222" s="136"/>
      <c r="CM34222" s="111"/>
      <c r="CQ34222" s="111"/>
      <c r="EF34222"/>
      <c r="EG34222"/>
      <c r="EH34222"/>
      <c r="EI34222"/>
      <c r="EJ34222"/>
      <c r="EK34222"/>
    </row>
    <row r="34223" spans="1:141" s="116" customFormat="1">
      <c r="A34223" s="136"/>
      <c r="CM34223" s="111"/>
      <c r="CQ34223" s="111"/>
      <c r="EF34223"/>
      <c r="EG34223"/>
      <c r="EH34223"/>
      <c r="EI34223"/>
      <c r="EJ34223"/>
      <c r="EK34223"/>
    </row>
    <row r="34224" spans="1:141" s="116" customFormat="1">
      <c r="A34224" s="136"/>
      <c r="CM34224" s="111"/>
      <c r="CQ34224" s="111"/>
      <c r="EF34224"/>
      <c r="EG34224"/>
      <c r="EH34224"/>
      <c r="EI34224"/>
      <c r="EJ34224"/>
      <c r="EK34224"/>
    </row>
    <row r="34225" spans="1:141" s="116" customFormat="1">
      <c r="A34225" s="136"/>
      <c r="CM34225" s="111"/>
      <c r="CQ34225" s="111"/>
      <c r="EF34225"/>
      <c r="EG34225"/>
      <c r="EH34225"/>
      <c r="EI34225"/>
      <c r="EJ34225"/>
      <c r="EK34225"/>
    </row>
    <row r="34226" spans="1:141" s="116" customFormat="1">
      <c r="A34226" s="136"/>
      <c r="CM34226" s="111"/>
      <c r="CQ34226" s="111"/>
      <c r="EF34226"/>
      <c r="EG34226"/>
      <c r="EH34226"/>
      <c r="EI34226"/>
      <c r="EJ34226"/>
      <c r="EK34226"/>
    </row>
    <row r="34227" spans="1:141" s="116" customFormat="1">
      <c r="A34227" s="136"/>
      <c r="CM34227" s="111"/>
      <c r="CQ34227" s="111"/>
      <c r="EF34227"/>
      <c r="EG34227"/>
      <c r="EH34227"/>
      <c r="EI34227"/>
      <c r="EJ34227"/>
      <c r="EK34227"/>
    </row>
    <row r="34228" spans="1:141" s="116" customFormat="1">
      <c r="A34228" s="136"/>
      <c r="CM34228" s="111"/>
      <c r="CQ34228" s="111"/>
      <c r="EF34228"/>
      <c r="EG34228"/>
      <c r="EH34228"/>
      <c r="EI34228"/>
      <c r="EJ34228"/>
      <c r="EK34228"/>
    </row>
    <row r="34229" spans="1:141" s="116" customFormat="1">
      <c r="A34229" s="136"/>
      <c r="CM34229" s="111"/>
      <c r="CQ34229" s="111"/>
      <c r="EF34229"/>
      <c r="EG34229"/>
      <c r="EH34229"/>
      <c r="EI34229"/>
      <c r="EJ34229"/>
      <c r="EK34229"/>
    </row>
    <row r="34230" spans="1:141" s="116" customFormat="1">
      <c r="A34230" s="136"/>
      <c r="CM34230" s="111"/>
      <c r="CQ34230" s="111"/>
      <c r="EF34230"/>
      <c r="EG34230"/>
      <c r="EH34230"/>
      <c r="EI34230"/>
      <c r="EJ34230"/>
      <c r="EK34230"/>
    </row>
    <row r="34231" spans="1:141" s="116" customFormat="1">
      <c r="A34231" s="136"/>
      <c r="CM34231" s="111"/>
      <c r="CQ34231" s="111"/>
      <c r="EF34231"/>
      <c r="EG34231"/>
      <c r="EH34231"/>
      <c r="EI34231"/>
      <c r="EJ34231"/>
      <c r="EK34231"/>
    </row>
    <row r="34232" spans="1:141" s="116" customFormat="1">
      <c r="A34232" s="136"/>
      <c r="CM34232" s="111"/>
      <c r="CQ34232" s="111"/>
      <c r="EF34232"/>
      <c r="EG34232"/>
      <c r="EH34232"/>
      <c r="EI34232"/>
      <c r="EJ34232"/>
      <c r="EK34232"/>
    </row>
    <row r="34233" spans="1:141" s="116" customFormat="1">
      <c r="A34233" s="136"/>
      <c r="CM34233" s="111"/>
      <c r="CQ34233" s="111"/>
      <c r="EF34233"/>
      <c r="EG34233"/>
      <c r="EH34233"/>
      <c r="EI34233"/>
      <c r="EJ34233"/>
      <c r="EK34233"/>
    </row>
    <row r="34234" spans="1:141" s="116" customFormat="1">
      <c r="A34234" s="136"/>
      <c r="CM34234" s="111"/>
      <c r="CQ34234" s="111"/>
      <c r="EF34234"/>
      <c r="EG34234"/>
      <c r="EH34234"/>
      <c r="EI34234"/>
      <c r="EJ34234"/>
      <c r="EK34234"/>
    </row>
    <row r="34235" spans="1:141" s="116" customFormat="1">
      <c r="A34235" s="136"/>
      <c r="CM34235" s="111"/>
      <c r="CQ34235" s="111"/>
      <c r="EF34235"/>
      <c r="EG34235"/>
      <c r="EH34235"/>
      <c r="EI34235"/>
      <c r="EJ34235"/>
      <c r="EK34235"/>
    </row>
    <row r="34236" spans="1:141" s="116" customFormat="1">
      <c r="A34236" s="136"/>
      <c r="CM34236" s="111"/>
      <c r="CQ34236" s="111"/>
      <c r="EF34236"/>
      <c r="EG34236"/>
      <c r="EH34236"/>
      <c r="EI34236"/>
      <c r="EJ34236"/>
      <c r="EK34236"/>
    </row>
    <row r="34237" spans="1:141" s="116" customFormat="1">
      <c r="A34237" s="136"/>
      <c r="CM34237" s="111"/>
      <c r="CQ34237" s="111"/>
      <c r="EF34237"/>
      <c r="EG34237"/>
      <c r="EH34237"/>
      <c r="EI34237"/>
      <c r="EJ34237"/>
      <c r="EK34237"/>
    </row>
    <row r="34238" spans="1:141" s="116" customFormat="1">
      <c r="A34238" s="136"/>
      <c r="CM34238" s="111"/>
      <c r="CQ34238" s="111"/>
      <c r="EF34238"/>
      <c r="EG34238"/>
      <c r="EH34238"/>
      <c r="EI34238"/>
      <c r="EJ34238"/>
      <c r="EK34238"/>
    </row>
    <row r="34239" spans="1:141" s="116" customFormat="1">
      <c r="A34239" s="136"/>
      <c r="CM34239" s="111"/>
      <c r="CQ34239" s="111"/>
      <c r="EF34239"/>
      <c r="EG34239"/>
      <c r="EH34239"/>
      <c r="EI34239"/>
      <c r="EJ34239"/>
      <c r="EK34239"/>
    </row>
    <row r="34240" spans="1:141" s="116" customFormat="1">
      <c r="A34240" s="136"/>
      <c r="CM34240" s="111"/>
      <c r="CQ34240" s="111"/>
      <c r="EF34240"/>
      <c r="EG34240"/>
      <c r="EH34240"/>
      <c r="EI34240"/>
      <c r="EJ34240"/>
      <c r="EK34240"/>
    </row>
    <row r="34241" spans="1:141" s="116" customFormat="1">
      <c r="A34241" s="136"/>
      <c r="CM34241" s="111"/>
      <c r="CQ34241" s="111"/>
      <c r="EF34241"/>
      <c r="EG34241"/>
      <c r="EH34241"/>
      <c r="EI34241"/>
      <c r="EJ34241"/>
      <c r="EK34241"/>
    </row>
    <row r="34242" spans="1:141" s="116" customFormat="1">
      <c r="A34242" s="136"/>
      <c r="CM34242" s="111"/>
      <c r="CQ34242" s="111"/>
      <c r="EF34242"/>
      <c r="EG34242"/>
      <c r="EH34242"/>
      <c r="EI34242"/>
      <c r="EJ34242"/>
      <c r="EK34242"/>
    </row>
    <row r="34243" spans="1:141" s="116" customFormat="1">
      <c r="A34243" s="136"/>
      <c r="CM34243" s="111"/>
      <c r="CQ34243" s="111"/>
      <c r="EF34243"/>
      <c r="EG34243"/>
      <c r="EH34243"/>
      <c r="EI34243"/>
      <c r="EJ34243"/>
      <c r="EK34243"/>
    </row>
    <row r="34244" spans="1:141" s="116" customFormat="1">
      <c r="A34244" s="136"/>
      <c r="CM34244" s="111"/>
      <c r="CQ34244" s="111"/>
      <c r="EF34244"/>
      <c r="EG34244"/>
      <c r="EH34244"/>
      <c r="EI34244"/>
      <c r="EJ34244"/>
      <c r="EK34244"/>
    </row>
    <row r="34245" spans="1:141" s="116" customFormat="1">
      <c r="A34245" s="136"/>
      <c r="CM34245" s="111"/>
      <c r="CQ34245" s="111"/>
      <c r="EF34245"/>
      <c r="EG34245"/>
      <c r="EH34245"/>
      <c r="EI34245"/>
      <c r="EJ34245"/>
      <c r="EK34245"/>
    </row>
    <row r="34246" spans="1:141" s="116" customFormat="1">
      <c r="A34246" s="136"/>
      <c r="CM34246" s="111"/>
      <c r="CQ34246" s="111"/>
      <c r="EF34246"/>
      <c r="EG34246"/>
      <c r="EH34246"/>
      <c r="EI34246"/>
      <c r="EJ34246"/>
      <c r="EK34246"/>
    </row>
    <row r="34247" spans="1:141" s="116" customFormat="1">
      <c r="A34247" s="136"/>
      <c r="CM34247" s="111"/>
      <c r="CQ34247" s="111"/>
      <c r="EF34247"/>
      <c r="EG34247"/>
      <c r="EH34247"/>
      <c r="EI34247"/>
      <c r="EJ34247"/>
      <c r="EK34247"/>
    </row>
    <row r="34248" spans="1:141" s="116" customFormat="1">
      <c r="A34248" s="136"/>
      <c r="CM34248" s="111"/>
      <c r="CQ34248" s="111"/>
      <c r="EF34248"/>
      <c r="EG34248"/>
      <c r="EH34248"/>
      <c r="EI34248"/>
      <c r="EJ34248"/>
      <c r="EK34248"/>
    </row>
    <row r="34249" spans="1:141" s="116" customFormat="1">
      <c r="A34249" s="136"/>
      <c r="CM34249" s="111"/>
      <c r="CQ34249" s="111"/>
      <c r="EF34249"/>
      <c r="EG34249"/>
      <c r="EH34249"/>
      <c r="EI34249"/>
      <c r="EJ34249"/>
      <c r="EK34249"/>
    </row>
    <row r="34250" spans="1:141" s="116" customFormat="1">
      <c r="A34250" s="136"/>
      <c r="CM34250" s="111"/>
      <c r="CQ34250" s="111"/>
      <c r="EF34250"/>
      <c r="EG34250"/>
      <c r="EH34250"/>
      <c r="EI34250"/>
      <c r="EJ34250"/>
      <c r="EK34250"/>
    </row>
    <row r="34251" spans="1:141" s="116" customFormat="1">
      <c r="A34251" s="136"/>
      <c r="CM34251" s="111"/>
      <c r="CQ34251" s="111"/>
      <c r="EF34251"/>
      <c r="EG34251"/>
      <c r="EH34251"/>
      <c r="EI34251"/>
      <c r="EJ34251"/>
      <c r="EK34251"/>
    </row>
    <row r="34252" spans="1:141" s="116" customFormat="1">
      <c r="A34252" s="136"/>
      <c r="CM34252" s="111"/>
      <c r="CQ34252" s="111"/>
      <c r="EF34252"/>
      <c r="EG34252"/>
      <c r="EH34252"/>
      <c r="EI34252"/>
      <c r="EJ34252"/>
      <c r="EK34252"/>
    </row>
    <row r="34253" spans="1:141" s="116" customFormat="1">
      <c r="A34253" s="136"/>
      <c r="CM34253" s="111"/>
      <c r="CQ34253" s="111"/>
      <c r="EF34253"/>
      <c r="EG34253"/>
      <c r="EH34253"/>
      <c r="EI34253"/>
      <c r="EJ34253"/>
      <c r="EK34253"/>
    </row>
    <row r="34254" spans="1:141" s="116" customFormat="1">
      <c r="A34254" s="136"/>
      <c r="CM34254" s="111"/>
      <c r="CQ34254" s="111"/>
      <c r="EF34254"/>
      <c r="EG34254"/>
      <c r="EH34254"/>
      <c r="EI34254"/>
      <c r="EJ34254"/>
      <c r="EK34254"/>
    </row>
    <row r="34255" spans="1:141" s="116" customFormat="1">
      <c r="A34255" s="136"/>
      <c r="CM34255" s="111"/>
      <c r="CQ34255" s="111"/>
      <c r="EF34255"/>
      <c r="EG34255"/>
      <c r="EH34255"/>
      <c r="EI34255"/>
      <c r="EJ34255"/>
      <c r="EK34255"/>
    </row>
    <row r="34256" spans="1:141" s="116" customFormat="1">
      <c r="A34256" s="136"/>
      <c r="CM34256" s="111"/>
      <c r="CQ34256" s="111"/>
      <c r="EF34256"/>
      <c r="EG34256"/>
      <c r="EH34256"/>
      <c r="EI34256"/>
      <c r="EJ34256"/>
      <c r="EK34256"/>
    </row>
    <row r="34257" spans="1:141" s="116" customFormat="1">
      <c r="A34257" s="136"/>
      <c r="CM34257" s="111"/>
      <c r="CQ34257" s="111"/>
      <c r="EF34257"/>
      <c r="EG34257"/>
      <c r="EH34257"/>
      <c r="EI34257"/>
      <c r="EJ34257"/>
      <c r="EK34257"/>
    </row>
    <row r="34258" spans="1:141" s="116" customFormat="1">
      <c r="A34258" s="136"/>
      <c r="CM34258" s="111"/>
      <c r="CQ34258" s="111"/>
      <c r="EF34258"/>
      <c r="EG34258"/>
      <c r="EH34258"/>
      <c r="EI34258"/>
      <c r="EJ34258"/>
      <c r="EK34258"/>
    </row>
    <row r="34259" spans="1:141" s="116" customFormat="1">
      <c r="A34259" s="136"/>
      <c r="CM34259" s="111"/>
      <c r="CQ34259" s="111"/>
      <c r="EF34259"/>
      <c r="EG34259"/>
      <c r="EH34259"/>
      <c r="EI34259"/>
      <c r="EJ34259"/>
      <c r="EK34259"/>
    </row>
    <row r="34260" spans="1:141" s="116" customFormat="1">
      <c r="A34260" s="136"/>
      <c r="CM34260" s="111"/>
      <c r="CQ34260" s="111"/>
      <c r="EF34260"/>
      <c r="EG34260"/>
      <c r="EH34260"/>
      <c r="EI34260"/>
      <c r="EJ34260"/>
      <c r="EK34260"/>
    </row>
    <row r="34261" spans="1:141" s="116" customFormat="1">
      <c r="A34261" s="136"/>
      <c r="CM34261" s="111"/>
      <c r="CQ34261" s="111"/>
      <c r="EF34261"/>
      <c r="EG34261"/>
      <c r="EH34261"/>
      <c r="EI34261"/>
      <c r="EJ34261"/>
      <c r="EK34261"/>
    </row>
    <row r="34262" spans="1:141" s="116" customFormat="1">
      <c r="A34262" s="136"/>
      <c r="CM34262" s="111"/>
      <c r="CQ34262" s="111"/>
      <c r="EF34262"/>
      <c r="EG34262"/>
      <c r="EH34262"/>
      <c r="EI34262"/>
      <c r="EJ34262"/>
      <c r="EK34262"/>
    </row>
    <row r="34263" spans="1:141" s="116" customFormat="1">
      <c r="A34263" s="136"/>
      <c r="CM34263" s="111"/>
      <c r="CQ34263" s="111"/>
      <c r="EF34263"/>
      <c r="EG34263"/>
      <c r="EH34263"/>
      <c r="EI34263"/>
      <c r="EJ34263"/>
      <c r="EK34263"/>
    </row>
    <row r="34264" spans="1:141" s="116" customFormat="1">
      <c r="A34264" s="136"/>
      <c r="CM34264" s="111"/>
      <c r="CQ34264" s="111"/>
      <c r="EF34264"/>
      <c r="EG34264"/>
      <c r="EH34264"/>
      <c r="EI34264"/>
      <c r="EJ34264"/>
      <c r="EK34264"/>
    </row>
    <row r="34265" spans="1:141" s="116" customFormat="1">
      <c r="A34265" s="136"/>
      <c r="CM34265" s="111"/>
      <c r="CQ34265" s="111"/>
      <c r="EF34265"/>
      <c r="EG34265"/>
      <c r="EH34265"/>
      <c r="EI34265"/>
      <c r="EJ34265"/>
      <c r="EK34265"/>
    </row>
    <row r="34266" spans="1:141" s="116" customFormat="1">
      <c r="A34266" s="136"/>
      <c r="CM34266" s="111"/>
      <c r="CQ34266" s="111"/>
      <c r="EF34266"/>
      <c r="EG34266"/>
      <c r="EH34266"/>
      <c r="EI34266"/>
      <c r="EJ34266"/>
      <c r="EK34266"/>
    </row>
    <row r="34267" spans="1:141" s="116" customFormat="1">
      <c r="A34267" s="136"/>
      <c r="CM34267" s="111"/>
      <c r="CQ34267" s="111"/>
      <c r="EF34267"/>
      <c r="EG34267"/>
      <c r="EH34267"/>
      <c r="EI34267"/>
      <c r="EJ34267"/>
      <c r="EK34267"/>
    </row>
    <row r="34268" spans="1:141" s="116" customFormat="1">
      <c r="A34268" s="136"/>
      <c r="CM34268" s="111"/>
      <c r="CQ34268" s="111"/>
      <c r="EF34268"/>
      <c r="EG34268"/>
      <c r="EH34268"/>
      <c r="EI34268"/>
      <c r="EJ34268"/>
      <c r="EK34268"/>
    </row>
    <row r="34269" spans="1:141" s="116" customFormat="1">
      <c r="A34269" s="136"/>
      <c r="CM34269" s="111"/>
      <c r="CQ34269" s="111"/>
      <c r="EF34269"/>
      <c r="EG34269"/>
      <c r="EH34269"/>
      <c r="EI34269"/>
      <c r="EJ34269"/>
      <c r="EK34269"/>
    </row>
    <row r="34270" spans="1:141" s="116" customFormat="1">
      <c r="A34270" s="136"/>
      <c r="CM34270" s="111"/>
      <c r="CQ34270" s="111"/>
      <c r="EF34270"/>
      <c r="EG34270"/>
      <c r="EH34270"/>
      <c r="EI34270"/>
      <c r="EJ34270"/>
      <c r="EK34270"/>
    </row>
    <row r="34271" spans="1:141" s="116" customFormat="1">
      <c r="A34271" s="136"/>
      <c r="CM34271" s="111"/>
      <c r="CQ34271" s="111"/>
      <c r="EF34271"/>
      <c r="EG34271"/>
      <c r="EH34271"/>
      <c r="EI34271"/>
      <c r="EJ34271"/>
      <c r="EK34271"/>
    </row>
    <row r="34272" spans="1:141" s="116" customFormat="1">
      <c r="A34272" s="136"/>
      <c r="CM34272" s="111"/>
      <c r="CQ34272" s="111"/>
      <c r="EF34272"/>
      <c r="EG34272"/>
      <c r="EH34272"/>
      <c r="EI34272"/>
      <c r="EJ34272"/>
      <c r="EK34272"/>
    </row>
    <row r="34273" spans="1:141" s="116" customFormat="1">
      <c r="A34273" s="136"/>
      <c r="CM34273" s="111"/>
      <c r="CQ34273" s="111"/>
      <c r="EF34273"/>
      <c r="EG34273"/>
      <c r="EH34273"/>
      <c r="EI34273"/>
      <c r="EJ34273"/>
      <c r="EK34273"/>
    </row>
    <row r="34274" spans="1:141" s="116" customFormat="1">
      <c r="A34274" s="136"/>
      <c r="CM34274" s="111"/>
      <c r="CQ34274" s="111"/>
      <c r="EF34274"/>
      <c r="EG34274"/>
      <c r="EH34274"/>
      <c r="EI34274"/>
      <c r="EJ34274"/>
      <c r="EK34274"/>
    </row>
    <row r="34275" spans="1:141" s="116" customFormat="1">
      <c r="A34275" s="136"/>
      <c r="CM34275" s="111"/>
      <c r="CQ34275" s="111"/>
      <c r="EF34275"/>
      <c r="EG34275"/>
      <c r="EH34275"/>
      <c r="EI34275"/>
      <c r="EJ34275"/>
      <c r="EK34275"/>
    </row>
    <row r="34276" spans="1:141" s="116" customFormat="1">
      <c r="A34276" s="136"/>
      <c r="CM34276" s="111"/>
      <c r="CQ34276" s="111"/>
      <c r="EF34276"/>
      <c r="EG34276"/>
      <c r="EH34276"/>
      <c r="EI34276"/>
      <c r="EJ34276"/>
      <c r="EK34276"/>
    </row>
    <row r="34277" spans="1:141" s="116" customFormat="1">
      <c r="A34277" s="136"/>
      <c r="CM34277" s="111"/>
      <c r="CQ34277" s="111"/>
      <c r="EF34277"/>
      <c r="EG34277"/>
      <c r="EH34277"/>
      <c r="EI34277"/>
      <c r="EJ34277"/>
      <c r="EK34277"/>
    </row>
    <row r="34278" spans="1:141" s="116" customFormat="1">
      <c r="A34278" s="136"/>
      <c r="CM34278" s="111"/>
      <c r="CQ34278" s="111"/>
      <c r="EF34278"/>
      <c r="EG34278"/>
      <c r="EH34278"/>
      <c r="EI34278"/>
      <c r="EJ34278"/>
      <c r="EK34278"/>
    </row>
    <row r="34279" spans="1:141" s="116" customFormat="1">
      <c r="A34279" s="136"/>
      <c r="CM34279" s="111"/>
      <c r="CQ34279" s="111"/>
      <c r="EF34279"/>
      <c r="EG34279"/>
      <c r="EH34279"/>
      <c r="EI34279"/>
      <c r="EJ34279"/>
      <c r="EK34279"/>
    </row>
    <row r="34280" spans="1:141" s="116" customFormat="1">
      <c r="A34280" s="136"/>
      <c r="CM34280" s="111"/>
      <c r="CQ34280" s="111"/>
      <c r="EF34280"/>
      <c r="EG34280"/>
      <c r="EH34280"/>
      <c r="EI34280"/>
      <c r="EJ34280"/>
      <c r="EK34280"/>
    </row>
    <row r="34281" spans="1:141" s="116" customFormat="1">
      <c r="A34281" s="136"/>
      <c r="CM34281" s="111"/>
      <c r="CQ34281" s="111"/>
      <c r="EF34281"/>
      <c r="EG34281"/>
      <c r="EH34281"/>
      <c r="EI34281"/>
      <c r="EJ34281"/>
      <c r="EK34281"/>
    </row>
    <row r="34282" spans="1:141" s="116" customFormat="1">
      <c r="A34282" s="136"/>
      <c r="CM34282" s="111"/>
      <c r="CQ34282" s="111"/>
      <c r="EF34282"/>
      <c r="EG34282"/>
      <c r="EH34282"/>
      <c r="EI34282"/>
      <c r="EJ34282"/>
      <c r="EK34282"/>
    </row>
    <row r="34283" spans="1:141" s="116" customFormat="1">
      <c r="A34283" s="136"/>
      <c r="CM34283" s="111"/>
      <c r="CQ34283" s="111"/>
      <c r="EF34283"/>
      <c r="EG34283"/>
      <c r="EH34283"/>
      <c r="EI34283"/>
      <c r="EJ34283"/>
      <c r="EK34283"/>
    </row>
    <row r="34284" spans="1:141" s="116" customFormat="1">
      <c r="A34284" s="136"/>
      <c r="CM34284" s="111"/>
      <c r="CQ34284" s="111"/>
      <c r="EF34284"/>
      <c r="EG34284"/>
      <c r="EH34284"/>
      <c r="EI34284"/>
      <c r="EJ34284"/>
      <c r="EK34284"/>
    </row>
    <row r="34285" spans="1:141" s="116" customFormat="1">
      <c r="A34285" s="136"/>
      <c r="CM34285" s="111"/>
      <c r="CQ34285" s="111"/>
      <c r="EF34285"/>
      <c r="EG34285"/>
      <c r="EH34285"/>
      <c r="EI34285"/>
      <c r="EJ34285"/>
      <c r="EK34285"/>
    </row>
    <row r="34286" spans="1:141" s="116" customFormat="1">
      <c r="A34286" s="136"/>
      <c r="CM34286" s="111"/>
      <c r="CQ34286" s="111"/>
      <c r="EF34286"/>
      <c r="EG34286"/>
      <c r="EH34286"/>
      <c r="EI34286"/>
      <c r="EJ34286"/>
      <c r="EK34286"/>
    </row>
    <row r="34287" spans="1:141" s="116" customFormat="1">
      <c r="A34287" s="136"/>
      <c r="CM34287" s="111"/>
      <c r="CQ34287" s="111"/>
      <c r="EF34287"/>
      <c r="EG34287"/>
      <c r="EH34287"/>
      <c r="EI34287"/>
      <c r="EJ34287"/>
      <c r="EK34287"/>
    </row>
    <row r="34288" spans="1:141" s="116" customFormat="1">
      <c r="A34288" s="136"/>
      <c r="CM34288" s="111"/>
      <c r="CQ34288" s="111"/>
      <c r="EF34288"/>
      <c r="EG34288"/>
      <c r="EH34288"/>
      <c r="EI34288"/>
      <c r="EJ34288"/>
      <c r="EK34288"/>
    </row>
    <row r="34289" spans="1:141" s="116" customFormat="1">
      <c r="A34289" s="136"/>
      <c r="CM34289" s="111"/>
      <c r="CQ34289" s="111"/>
      <c r="EF34289"/>
      <c r="EG34289"/>
      <c r="EH34289"/>
      <c r="EI34289"/>
      <c r="EJ34289"/>
      <c r="EK34289"/>
    </row>
    <row r="34290" spans="1:141" s="116" customFormat="1">
      <c r="A34290" s="136"/>
      <c r="CM34290" s="111"/>
      <c r="CQ34290" s="111"/>
      <c r="EF34290"/>
      <c r="EG34290"/>
      <c r="EH34290"/>
      <c r="EI34290"/>
      <c r="EJ34290"/>
      <c r="EK34290"/>
    </row>
    <row r="34291" spans="1:141" s="116" customFormat="1">
      <c r="A34291" s="136"/>
      <c r="CM34291" s="111"/>
      <c r="CQ34291" s="111"/>
      <c r="EF34291"/>
      <c r="EG34291"/>
      <c r="EH34291"/>
      <c r="EI34291"/>
      <c r="EJ34291"/>
      <c r="EK34291"/>
    </row>
    <row r="34292" spans="1:141" s="116" customFormat="1">
      <c r="A34292" s="136"/>
      <c r="CM34292" s="111"/>
      <c r="CQ34292" s="111"/>
      <c r="EF34292"/>
      <c r="EG34292"/>
      <c r="EH34292"/>
      <c r="EI34292"/>
      <c r="EJ34292"/>
      <c r="EK34292"/>
    </row>
    <row r="34293" spans="1:141" s="116" customFormat="1">
      <c r="A34293" s="136"/>
      <c r="CM34293" s="111"/>
      <c r="CQ34293" s="111"/>
      <c r="EF34293"/>
      <c r="EG34293"/>
      <c r="EH34293"/>
      <c r="EI34293"/>
      <c r="EJ34293"/>
      <c r="EK34293"/>
    </row>
    <row r="34294" spans="1:141" s="116" customFormat="1">
      <c r="A34294" s="136"/>
      <c r="CM34294" s="111"/>
      <c r="CQ34294" s="111"/>
      <c r="EF34294"/>
      <c r="EG34294"/>
      <c r="EH34294"/>
      <c r="EI34294"/>
      <c r="EJ34294"/>
      <c r="EK34294"/>
    </row>
    <row r="34295" spans="1:141" s="116" customFormat="1">
      <c r="A34295" s="136"/>
      <c r="CM34295" s="111"/>
      <c r="CQ34295" s="111"/>
      <c r="EF34295"/>
      <c r="EG34295"/>
      <c r="EH34295"/>
      <c r="EI34295"/>
      <c r="EJ34295"/>
      <c r="EK34295"/>
    </row>
    <row r="34296" spans="1:141" s="116" customFormat="1">
      <c r="A34296" s="136"/>
      <c r="CM34296" s="111"/>
      <c r="CQ34296" s="111"/>
      <c r="EF34296"/>
      <c r="EG34296"/>
      <c r="EH34296"/>
      <c r="EI34296"/>
      <c r="EJ34296"/>
      <c r="EK34296"/>
    </row>
    <row r="34297" spans="1:141" s="116" customFormat="1">
      <c r="A34297" s="136"/>
      <c r="CM34297" s="111"/>
      <c r="CQ34297" s="111"/>
      <c r="EF34297"/>
      <c r="EG34297"/>
      <c r="EH34297"/>
      <c r="EI34297"/>
      <c r="EJ34297"/>
      <c r="EK34297"/>
    </row>
    <row r="34298" spans="1:141" s="116" customFormat="1">
      <c r="A34298" s="136"/>
      <c r="CM34298" s="111"/>
      <c r="CQ34298" s="111"/>
      <c r="EF34298"/>
      <c r="EG34298"/>
      <c r="EH34298"/>
      <c r="EI34298"/>
      <c r="EJ34298"/>
      <c r="EK34298"/>
    </row>
    <row r="34299" spans="1:141" s="116" customFormat="1">
      <c r="A34299" s="136"/>
      <c r="CM34299" s="111"/>
      <c r="CQ34299" s="111"/>
      <c r="EF34299"/>
      <c r="EG34299"/>
      <c r="EH34299"/>
      <c r="EI34299"/>
      <c r="EJ34299"/>
      <c r="EK34299"/>
    </row>
    <row r="34300" spans="1:141" s="116" customFormat="1">
      <c r="A34300" s="136"/>
      <c r="CM34300" s="111"/>
      <c r="CQ34300" s="111"/>
      <c r="EF34300"/>
      <c r="EG34300"/>
      <c r="EH34300"/>
      <c r="EI34300"/>
      <c r="EJ34300"/>
      <c r="EK34300"/>
    </row>
    <row r="34301" spans="1:141" s="116" customFormat="1">
      <c r="A34301" s="136"/>
      <c r="CM34301" s="111"/>
      <c r="CQ34301" s="111"/>
      <c r="EF34301"/>
      <c r="EG34301"/>
      <c r="EH34301"/>
      <c r="EI34301"/>
      <c r="EJ34301"/>
      <c r="EK34301"/>
    </row>
    <row r="34302" spans="1:141" s="116" customFormat="1">
      <c r="A34302" s="136"/>
      <c r="CM34302" s="111"/>
      <c r="CQ34302" s="111"/>
      <c r="EF34302"/>
      <c r="EG34302"/>
      <c r="EH34302"/>
      <c r="EI34302"/>
      <c r="EJ34302"/>
      <c r="EK34302"/>
    </row>
    <row r="34303" spans="1:141" s="116" customFormat="1">
      <c r="A34303" s="136"/>
      <c r="CM34303" s="111"/>
      <c r="CQ34303" s="111"/>
      <c r="EF34303"/>
      <c r="EG34303"/>
      <c r="EH34303"/>
      <c r="EI34303"/>
      <c r="EJ34303"/>
      <c r="EK34303"/>
    </row>
    <row r="34304" spans="1:141" s="116" customFormat="1">
      <c r="A34304" s="136"/>
      <c r="CM34304" s="111"/>
      <c r="CQ34304" s="111"/>
      <c r="EF34304"/>
      <c r="EG34304"/>
      <c r="EH34304"/>
      <c r="EI34304"/>
      <c r="EJ34304"/>
      <c r="EK34304"/>
    </row>
    <row r="34305" spans="1:141" s="116" customFormat="1">
      <c r="A34305" s="136"/>
      <c r="CM34305" s="111"/>
      <c r="CQ34305" s="111"/>
      <c r="EF34305"/>
      <c r="EG34305"/>
      <c r="EH34305"/>
      <c r="EI34305"/>
      <c r="EJ34305"/>
      <c r="EK34305"/>
    </row>
    <row r="34306" spans="1:141" s="116" customFormat="1">
      <c r="A34306" s="136"/>
      <c r="CM34306" s="111"/>
      <c r="CQ34306" s="111"/>
      <c r="EF34306"/>
      <c r="EG34306"/>
      <c r="EH34306"/>
      <c r="EI34306"/>
      <c r="EJ34306"/>
      <c r="EK34306"/>
    </row>
    <row r="34307" spans="1:141" s="116" customFormat="1">
      <c r="A34307" s="136"/>
      <c r="CM34307" s="111"/>
      <c r="CQ34307" s="111"/>
      <c r="EF34307"/>
      <c r="EG34307"/>
      <c r="EH34307"/>
      <c r="EI34307"/>
      <c r="EJ34307"/>
      <c r="EK34307"/>
    </row>
    <row r="34308" spans="1:141" s="116" customFormat="1">
      <c r="A34308" s="136"/>
      <c r="CM34308" s="111"/>
      <c r="CQ34308" s="111"/>
      <c r="EF34308"/>
      <c r="EG34308"/>
      <c r="EH34308"/>
      <c r="EI34308"/>
      <c r="EJ34308"/>
      <c r="EK34308"/>
    </row>
    <row r="34309" spans="1:141" s="116" customFormat="1">
      <c r="A34309" s="136"/>
      <c r="CM34309" s="111"/>
      <c r="CQ34309" s="111"/>
      <c r="EF34309"/>
      <c r="EG34309"/>
      <c r="EH34309"/>
      <c r="EI34309"/>
      <c r="EJ34309"/>
      <c r="EK34309"/>
    </row>
    <row r="34310" spans="1:141" s="116" customFormat="1">
      <c r="A34310" s="136"/>
      <c r="CM34310" s="111"/>
      <c r="CQ34310" s="111"/>
      <c r="EF34310"/>
      <c r="EG34310"/>
      <c r="EH34310"/>
      <c r="EI34310"/>
      <c r="EJ34310"/>
      <c r="EK34310"/>
    </row>
    <row r="34311" spans="1:141" s="116" customFormat="1">
      <c r="A34311" s="136"/>
      <c r="CM34311" s="111"/>
      <c r="CQ34311" s="111"/>
      <c r="EF34311"/>
      <c r="EG34311"/>
      <c r="EH34311"/>
      <c r="EI34311"/>
      <c r="EJ34311"/>
      <c r="EK34311"/>
    </row>
    <row r="34312" spans="1:141" s="116" customFormat="1">
      <c r="A34312" s="136"/>
      <c r="CM34312" s="111"/>
      <c r="CQ34312" s="111"/>
      <c r="EF34312"/>
      <c r="EG34312"/>
      <c r="EH34312"/>
      <c r="EI34312"/>
      <c r="EJ34312"/>
      <c r="EK34312"/>
    </row>
    <row r="34313" spans="1:141" s="116" customFormat="1">
      <c r="A34313" s="136"/>
      <c r="CM34313" s="111"/>
      <c r="CQ34313" s="111"/>
      <c r="EF34313"/>
      <c r="EG34313"/>
      <c r="EH34313"/>
      <c r="EI34313"/>
      <c r="EJ34313"/>
      <c r="EK34313"/>
    </row>
    <row r="34314" spans="1:141" s="116" customFormat="1">
      <c r="A34314" s="136"/>
      <c r="CM34314" s="111"/>
      <c r="CQ34314" s="111"/>
      <c r="EF34314"/>
      <c r="EG34314"/>
      <c r="EH34314"/>
      <c r="EI34314"/>
      <c r="EJ34314"/>
      <c r="EK34314"/>
    </row>
    <row r="34315" spans="1:141" s="116" customFormat="1">
      <c r="A34315" s="136"/>
      <c r="CM34315" s="111"/>
      <c r="CQ34315" s="111"/>
      <c r="EF34315"/>
      <c r="EG34315"/>
      <c r="EH34315"/>
      <c r="EI34315"/>
      <c r="EJ34315"/>
      <c r="EK34315"/>
    </row>
    <row r="34316" spans="1:141" s="116" customFormat="1">
      <c r="A34316" s="136"/>
      <c r="CM34316" s="111"/>
      <c r="CQ34316" s="111"/>
      <c r="EF34316"/>
      <c r="EG34316"/>
      <c r="EH34316"/>
      <c r="EI34316"/>
      <c r="EJ34316"/>
      <c r="EK34316"/>
    </row>
    <row r="34317" spans="1:141" s="116" customFormat="1">
      <c r="A34317" s="136"/>
      <c r="CM34317" s="111"/>
      <c r="CQ34317" s="111"/>
      <c r="EF34317"/>
      <c r="EG34317"/>
      <c r="EH34317"/>
      <c r="EI34317"/>
      <c r="EJ34317"/>
      <c r="EK34317"/>
    </row>
    <row r="34318" spans="1:141" s="116" customFormat="1">
      <c r="A34318" s="136"/>
      <c r="CM34318" s="111"/>
      <c r="CQ34318" s="111"/>
      <c r="EF34318"/>
      <c r="EG34318"/>
      <c r="EH34318"/>
      <c r="EI34318"/>
      <c r="EJ34318"/>
      <c r="EK34318"/>
    </row>
    <row r="34319" spans="1:141" s="116" customFormat="1">
      <c r="A34319" s="136"/>
      <c r="CM34319" s="111"/>
      <c r="CQ34319" s="111"/>
      <c r="EF34319"/>
      <c r="EG34319"/>
      <c r="EH34319"/>
      <c r="EI34319"/>
      <c r="EJ34319"/>
      <c r="EK34319"/>
    </row>
    <row r="34320" spans="1:141" s="116" customFormat="1">
      <c r="A34320" s="136"/>
      <c r="CM34320" s="111"/>
      <c r="CQ34320" s="111"/>
      <c r="EF34320"/>
      <c r="EG34320"/>
      <c r="EH34320"/>
      <c r="EI34320"/>
      <c r="EJ34320"/>
      <c r="EK34320"/>
    </row>
    <row r="34321" spans="1:141" s="116" customFormat="1">
      <c r="A34321" s="136"/>
      <c r="CM34321" s="111"/>
      <c r="CQ34321" s="111"/>
      <c r="EF34321"/>
      <c r="EG34321"/>
      <c r="EH34321"/>
      <c r="EI34321"/>
      <c r="EJ34321"/>
      <c r="EK34321"/>
    </row>
    <row r="34322" spans="1:141" s="116" customFormat="1">
      <c r="A34322" s="136"/>
      <c r="CM34322" s="111"/>
      <c r="CQ34322" s="111"/>
      <c r="EF34322"/>
      <c r="EG34322"/>
      <c r="EH34322"/>
      <c r="EI34322"/>
      <c r="EJ34322"/>
      <c r="EK34322"/>
    </row>
    <row r="34323" spans="1:141" s="116" customFormat="1">
      <c r="A34323" s="136"/>
      <c r="CM34323" s="111"/>
      <c r="CQ34323" s="111"/>
      <c r="EF34323"/>
      <c r="EG34323"/>
      <c r="EH34323"/>
      <c r="EI34323"/>
      <c r="EJ34323"/>
      <c r="EK34323"/>
    </row>
    <row r="34324" spans="1:141" s="116" customFormat="1">
      <c r="A34324" s="136"/>
      <c r="CM34324" s="111"/>
      <c r="CQ34324" s="111"/>
      <c r="EF34324"/>
      <c r="EG34324"/>
      <c r="EH34324"/>
      <c r="EI34324"/>
      <c r="EJ34324"/>
      <c r="EK34324"/>
    </row>
    <row r="34325" spans="1:141" s="116" customFormat="1">
      <c r="A34325" s="136"/>
      <c r="CM34325" s="111"/>
      <c r="CQ34325" s="111"/>
      <c r="EF34325"/>
      <c r="EG34325"/>
      <c r="EH34325"/>
      <c r="EI34325"/>
      <c r="EJ34325"/>
      <c r="EK34325"/>
    </row>
    <row r="34326" spans="1:141" s="116" customFormat="1">
      <c r="A34326" s="136"/>
      <c r="CM34326" s="111"/>
      <c r="CQ34326" s="111"/>
      <c r="EF34326"/>
      <c r="EG34326"/>
      <c r="EH34326"/>
      <c r="EI34326"/>
      <c r="EJ34326"/>
      <c r="EK34326"/>
    </row>
    <row r="34327" spans="1:141" s="116" customFormat="1">
      <c r="A34327" s="136"/>
      <c r="CM34327" s="111"/>
      <c r="CQ34327" s="111"/>
      <c r="EF34327"/>
      <c r="EG34327"/>
      <c r="EH34327"/>
      <c r="EI34327"/>
      <c r="EJ34327"/>
      <c r="EK34327"/>
    </row>
    <row r="34328" spans="1:141" s="116" customFormat="1">
      <c r="A34328" s="136"/>
      <c r="CM34328" s="111"/>
      <c r="CQ34328" s="111"/>
      <c r="EF34328"/>
      <c r="EG34328"/>
      <c r="EH34328"/>
      <c r="EI34328"/>
      <c r="EJ34328"/>
      <c r="EK34328"/>
    </row>
    <row r="34329" spans="1:141" s="116" customFormat="1">
      <c r="A34329" s="136"/>
      <c r="CM34329" s="111"/>
      <c r="CQ34329" s="111"/>
      <c r="EF34329"/>
      <c r="EG34329"/>
      <c r="EH34329"/>
      <c r="EI34329"/>
      <c r="EJ34329"/>
      <c r="EK34329"/>
    </row>
    <row r="34330" spans="1:141" s="116" customFormat="1">
      <c r="A34330" s="136"/>
      <c r="CM34330" s="111"/>
      <c r="CQ34330" s="111"/>
      <c r="EF34330"/>
      <c r="EG34330"/>
      <c r="EH34330"/>
      <c r="EI34330"/>
      <c r="EJ34330"/>
      <c r="EK34330"/>
    </row>
    <row r="34331" spans="1:141" s="116" customFormat="1">
      <c r="A34331" s="136"/>
      <c r="CM34331" s="111"/>
      <c r="CQ34331" s="111"/>
      <c r="EF34331"/>
      <c r="EG34331"/>
      <c r="EH34331"/>
      <c r="EI34331"/>
      <c r="EJ34331"/>
      <c r="EK34331"/>
    </row>
    <row r="34332" spans="1:141" s="116" customFormat="1">
      <c r="A34332" s="136"/>
      <c r="CM34332" s="111"/>
      <c r="CQ34332" s="111"/>
      <c r="EF34332"/>
      <c r="EG34332"/>
      <c r="EH34332"/>
      <c r="EI34332"/>
      <c r="EJ34332"/>
      <c r="EK34332"/>
    </row>
    <row r="34333" spans="1:141" s="116" customFormat="1">
      <c r="A34333" s="136"/>
      <c r="CM34333" s="111"/>
      <c r="CQ34333" s="111"/>
      <c r="EF34333"/>
      <c r="EG34333"/>
      <c r="EH34333"/>
      <c r="EI34333"/>
      <c r="EJ34333"/>
      <c r="EK34333"/>
    </row>
    <row r="34334" spans="1:141" s="116" customFormat="1">
      <c r="A34334" s="136"/>
      <c r="CM34334" s="111"/>
      <c r="CQ34334" s="111"/>
      <c r="EF34334"/>
      <c r="EG34334"/>
      <c r="EH34334"/>
      <c r="EI34334"/>
      <c r="EJ34334"/>
      <c r="EK34334"/>
    </row>
    <row r="34335" spans="1:141" s="116" customFormat="1">
      <c r="A34335" s="136"/>
      <c r="CM34335" s="111"/>
      <c r="CQ34335" s="111"/>
      <c r="EF34335"/>
      <c r="EG34335"/>
      <c r="EH34335"/>
      <c r="EI34335"/>
      <c r="EJ34335"/>
      <c r="EK34335"/>
    </row>
    <row r="34336" spans="1:141" s="116" customFormat="1">
      <c r="A34336" s="136"/>
      <c r="CM34336" s="111"/>
      <c r="CQ34336" s="111"/>
      <c r="EF34336"/>
      <c r="EG34336"/>
      <c r="EH34336"/>
      <c r="EI34336"/>
      <c r="EJ34336"/>
      <c r="EK34336"/>
    </row>
    <row r="34337" spans="1:141" s="116" customFormat="1">
      <c r="A34337" s="136"/>
      <c r="CM34337" s="111"/>
      <c r="CQ34337" s="111"/>
      <c r="EF34337"/>
      <c r="EG34337"/>
      <c r="EH34337"/>
      <c r="EI34337"/>
      <c r="EJ34337"/>
      <c r="EK34337"/>
    </row>
    <row r="34338" spans="1:141" s="116" customFormat="1">
      <c r="A34338" s="136"/>
      <c r="CM34338" s="111"/>
      <c r="CQ34338" s="111"/>
      <c r="EF34338"/>
      <c r="EG34338"/>
      <c r="EH34338"/>
      <c r="EI34338"/>
      <c r="EJ34338"/>
      <c r="EK34338"/>
    </row>
    <row r="34339" spans="1:141" s="116" customFormat="1">
      <c r="A34339" s="136"/>
      <c r="CM34339" s="111"/>
      <c r="CQ34339" s="111"/>
      <c r="EF34339"/>
      <c r="EG34339"/>
      <c r="EH34339"/>
      <c r="EI34339"/>
      <c r="EJ34339"/>
      <c r="EK34339"/>
    </row>
    <row r="34340" spans="1:141" s="116" customFormat="1">
      <c r="A34340" s="136"/>
      <c r="CM34340" s="111"/>
      <c r="CQ34340" s="111"/>
      <c r="EF34340"/>
      <c r="EG34340"/>
      <c r="EH34340"/>
      <c r="EI34340"/>
      <c r="EJ34340"/>
      <c r="EK34340"/>
    </row>
    <row r="34341" spans="1:141" s="116" customFormat="1">
      <c r="A34341" s="136"/>
      <c r="CM34341" s="111"/>
      <c r="CQ34341" s="111"/>
      <c r="EF34341"/>
      <c r="EG34341"/>
      <c r="EH34341"/>
      <c r="EI34341"/>
      <c r="EJ34341"/>
      <c r="EK34341"/>
    </row>
    <row r="34342" spans="1:141" s="116" customFormat="1">
      <c r="A34342" s="136"/>
      <c r="CM34342" s="111"/>
      <c r="CQ34342" s="111"/>
      <c r="EF34342"/>
      <c r="EG34342"/>
      <c r="EH34342"/>
      <c r="EI34342"/>
      <c r="EJ34342"/>
      <c r="EK34342"/>
    </row>
    <row r="34343" spans="1:141" s="116" customFormat="1">
      <c r="A34343" s="136"/>
      <c r="CM34343" s="111"/>
      <c r="CQ34343" s="111"/>
      <c r="EF34343"/>
      <c r="EG34343"/>
      <c r="EH34343"/>
      <c r="EI34343"/>
      <c r="EJ34343"/>
      <c r="EK34343"/>
    </row>
    <row r="34344" spans="1:141" s="116" customFormat="1">
      <c r="A34344" s="136"/>
      <c r="CM34344" s="111"/>
      <c r="CQ34344" s="111"/>
      <c r="EF34344"/>
      <c r="EG34344"/>
      <c r="EH34344"/>
      <c r="EI34344"/>
      <c r="EJ34344"/>
      <c r="EK34344"/>
    </row>
    <row r="34345" spans="1:141" s="116" customFormat="1">
      <c r="A34345" s="136"/>
      <c r="CM34345" s="111"/>
      <c r="CQ34345" s="111"/>
      <c r="EF34345"/>
      <c r="EG34345"/>
      <c r="EH34345"/>
      <c r="EI34345"/>
      <c r="EJ34345"/>
      <c r="EK34345"/>
    </row>
    <row r="34346" spans="1:141" s="116" customFormat="1">
      <c r="A34346" s="136"/>
      <c r="CM34346" s="111"/>
      <c r="CQ34346" s="111"/>
      <c r="EF34346"/>
      <c r="EG34346"/>
      <c r="EH34346"/>
      <c r="EI34346"/>
      <c r="EJ34346"/>
      <c r="EK34346"/>
    </row>
    <row r="34347" spans="1:141" s="116" customFormat="1">
      <c r="A34347" s="136"/>
      <c r="CM34347" s="111"/>
      <c r="CQ34347" s="111"/>
      <c r="EF34347"/>
      <c r="EG34347"/>
      <c r="EH34347"/>
      <c r="EI34347"/>
      <c r="EJ34347"/>
      <c r="EK34347"/>
    </row>
    <row r="34348" spans="1:141" s="116" customFormat="1">
      <c r="A34348" s="136"/>
      <c r="CM34348" s="111"/>
      <c r="CQ34348" s="111"/>
      <c r="EF34348"/>
      <c r="EG34348"/>
      <c r="EH34348"/>
      <c r="EI34348"/>
      <c r="EJ34348"/>
      <c r="EK34348"/>
    </row>
    <row r="34349" spans="1:141" s="116" customFormat="1">
      <c r="A34349" s="136"/>
      <c r="CM34349" s="111"/>
      <c r="CQ34349" s="111"/>
      <c r="EF34349"/>
      <c r="EG34349"/>
      <c r="EH34349"/>
      <c r="EI34349"/>
      <c r="EJ34349"/>
      <c r="EK34349"/>
    </row>
    <row r="34350" spans="1:141" s="116" customFormat="1">
      <c r="A34350" s="136"/>
      <c r="CM34350" s="111"/>
      <c r="CQ34350" s="111"/>
      <c r="EF34350"/>
      <c r="EG34350"/>
      <c r="EH34350"/>
      <c r="EI34350"/>
      <c r="EJ34350"/>
      <c r="EK34350"/>
    </row>
    <row r="34351" spans="1:141" s="116" customFormat="1">
      <c r="A34351" s="136"/>
      <c r="CM34351" s="111"/>
      <c r="CQ34351" s="111"/>
      <c r="EF34351"/>
      <c r="EG34351"/>
      <c r="EH34351"/>
      <c r="EI34351"/>
      <c r="EJ34351"/>
      <c r="EK34351"/>
    </row>
    <row r="34352" spans="1:141" s="116" customFormat="1">
      <c r="A34352" s="136"/>
      <c r="CM34352" s="111"/>
      <c r="CQ34352" s="111"/>
      <c r="EF34352"/>
      <c r="EG34352"/>
      <c r="EH34352"/>
      <c r="EI34352"/>
      <c r="EJ34352"/>
      <c r="EK34352"/>
    </row>
    <row r="34353" spans="1:141" s="116" customFormat="1">
      <c r="A34353" s="136"/>
      <c r="CM34353" s="111"/>
      <c r="CQ34353" s="111"/>
      <c r="EF34353"/>
      <c r="EG34353"/>
      <c r="EH34353"/>
      <c r="EI34353"/>
      <c r="EJ34353"/>
      <c r="EK34353"/>
    </row>
    <row r="34354" spans="1:141" s="116" customFormat="1">
      <c r="A34354" s="136"/>
      <c r="CM34354" s="111"/>
      <c r="CQ34354" s="111"/>
      <c r="EF34354"/>
      <c r="EG34354"/>
      <c r="EH34354"/>
      <c r="EI34354"/>
      <c r="EJ34354"/>
      <c r="EK34354"/>
    </row>
    <row r="34355" spans="1:141" s="116" customFormat="1">
      <c r="A34355" s="136"/>
      <c r="CM34355" s="111"/>
      <c r="CQ34355" s="111"/>
      <c r="EF34355"/>
      <c r="EG34355"/>
      <c r="EH34355"/>
      <c r="EI34355"/>
      <c r="EJ34355"/>
      <c r="EK34355"/>
    </row>
    <row r="34356" spans="1:141" s="116" customFormat="1">
      <c r="A34356" s="136"/>
      <c r="CM34356" s="111"/>
      <c r="CQ34356" s="111"/>
      <c r="EF34356"/>
      <c r="EG34356"/>
      <c r="EH34356"/>
      <c r="EI34356"/>
      <c r="EJ34356"/>
      <c r="EK34356"/>
    </row>
    <row r="34357" spans="1:141" s="116" customFormat="1">
      <c r="A34357" s="136"/>
      <c r="CM34357" s="111"/>
      <c r="CQ34357" s="111"/>
      <c r="EF34357"/>
      <c r="EG34357"/>
      <c r="EH34357"/>
      <c r="EI34357"/>
      <c r="EJ34357"/>
      <c r="EK34357"/>
    </row>
    <row r="34358" spans="1:141" s="116" customFormat="1">
      <c r="A34358" s="136"/>
      <c r="CM34358" s="111"/>
      <c r="CQ34358" s="111"/>
      <c r="EF34358"/>
      <c r="EG34358"/>
      <c r="EH34358"/>
      <c r="EI34358"/>
      <c r="EJ34358"/>
      <c r="EK34358"/>
    </row>
    <row r="34359" spans="1:141" s="116" customFormat="1">
      <c r="A34359" s="136"/>
      <c r="CM34359" s="111"/>
      <c r="CQ34359" s="111"/>
      <c r="EF34359"/>
      <c r="EG34359"/>
      <c r="EH34359"/>
      <c r="EI34359"/>
      <c r="EJ34359"/>
      <c r="EK34359"/>
    </row>
    <row r="34360" spans="1:141" s="116" customFormat="1">
      <c r="A34360" s="136"/>
      <c r="CM34360" s="111"/>
      <c r="CQ34360" s="111"/>
      <c r="EF34360"/>
      <c r="EG34360"/>
      <c r="EH34360"/>
      <c r="EI34360"/>
      <c r="EJ34360"/>
      <c r="EK34360"/>
    </row>
    <row r="34361" spans="1:141" s="116" customFormat="1">
      <c r="A34361" s="136"/>
      <c r="CM34361" s="111"/>
      <c r="CQ34361" s="111"/>
      <c r="EF34361"/>
      <c r="EG34361"/>
      <c r="EH34361"/>
      <c r="EI34361"/>
      <c r="EJ34361"/>
      <c r="EK34361"/>
    </row>
    <row r="34362" spans="1:141" s="116" customFormat="1">
      <c r="A34362" s="136"/>
      <c r="CM34362" s="111"/>
      <c r="CQ34362" s="111"/>
      <c r="EF34362"/>
      <c r="EG34362"/>
      <c r="EH34362"/>
      <c r="EI34362"/>
      <c r="EJ34362"/>
      <c r="EK34362"/>
    </row>
    <row r="34363" spans="1:141" s="116" customFormat="1">
      <c r="A34363" s="136"/>
      <c r="CM34363" s="111"/>
      <c r="CQ34363" s="111"/>
      <c r="EF34363"/>
      <c r="EG34363"/>
      <c r="EH34363"/>
      <c r="EI34363"/>
      <c r="EJ34363"/>
      <c r="EK34363"/>
    </row>
    <row r="34364" spans="1:141" s="116" customFormat="1">
      <c r="A34364" s="136"/>
      <c r="CM34364" s="111"/>
      <c r="CQ34364" s="111"/>
      <c r="EF34364"/>
      <c r="EG34364"/>
      <c r="EH34364"/>
      <c r="EI34364"/>
      <c r="EJ34364"/>
      <c r="EK34364"/>
    </row>
    <row r="34365" spans="1:141" s="116" customFormat="1">
      <c r="A34365" s="136"/>
      <c r="CM34365" s="111"/>
      <c r="CQ34365" s="111"/>
      <c r="EF34365"/>
      <c r="EG34365"/>
      <c r="EH34365"/>
      <c r="EI34365"/>
      <c r="EJ34365"/>
      <c r="EK34365"/>
    </row>
    <row r="34366" spans="1:141" s="116" customFormat="1">
      <c r="A34366" s="136"/>
      <c r="CM34366" s="111"/>
      <c r="CQ34366" s="111"/>
      <c r="EF34366"/>
      <c r="EG34366"/>
      <c r="EH34366"/>
      <c r="EI34366"/>
      <c r="EJ34366"/>
      <c r="EK34366"/>
    </row>
    <row r="34367" spans="1:141" s="116" customFormat="1">
      <c r="A34367" s="136"/>
      <c r="CM34367" s="111"/>
      <c r="CQ34367" s="111"/>
      <c r="EF34367"/>
      <c r="EG34367"/>
      <c r="EH34367"/>
      <c r="EI34367"/>
      <c r="EJ34367"/>
      <c r="EK34367"/>
    </row>
    <row r="34368" spans="1:141" s="116" customFormat="1">
      <c r="A34368" s="136"/>
      <c r="CM34368" s="111"/>
      <c r="CQ34368" s="111"/>
      <c r="EF34368"/>
      <c r="EG34368"/>
      <c r="EH34368"/>
      <c r="EI34368"/>
      <c r="EJ34368"/>
      <c r="EK34368"/>
    </row>
    <row r="34369" spans="1:141" s="116" customFormat="1">
      <c r="A34369" s="136"/>
      <c r="CM34369" s="111"/>
      <c r="CQ34369" s="111"/>
      <c r="EF34369"/>
      <c r="EG34369"/>
      <c r="EH34369"/>
      <c r="EI34369"/>
      <c r="EJ34369"/>
      <c r="EK34369"/>
    </row>
    <row r="34370" spans="1:141" s="116" customFormat="1">
      <c r="A34370" s="136"/>
      <c r="CM34370" s="111"/>
      <c r="CQ34370" s="111"/>
      <c r="EF34370"/>
      <c r="EG34370"/>
      <c r="EH34370"/>
      <c r="EI34370"/>
      <c r="EJ34370"/>
      <c r="EK34370"/>
    </row>
    <row r="34371" spans="1:141" s="116" customFormat="1">
      <c r="A34371" s="136"/>
      <c r="CM34371" s="111"/>
      <c r="CQ34371" s="111"/>
      <c r="EF34371"/>
      <c r="EG34371"/>
      <c r="EH34371"/>
      <c r="EI34371"/>
      <c r="EJ34371"/>
      <c r="EK34371"/>
    </row>
    <row r="34372" spans="1:141" s="116" customFormat="1">
      <c r="A34372" s="136"/>
      <c r="CM34372" s="111"/>
      <c r="CQ34372" s="111"/>
      <c r="EF34372"/>
      <c r="EG34372"/>
      <c r="EH34372"/>
      <c r="EI34372"/>
      <c r="EJ34372"/>
      <c r="EK34372"/>
    </row>
    <row r="34373" spans="1:141" s="116" customFormat="1">
      <c r="A34373" s="136"/>
      <c r="CM34373" s="111"/>
      <c r="CQ34373" s="111"/>
      <c r="EF34373"/>
      <c r="EG34373"/>
      <c r="EH34373"/>
      <c r="EI34373"/>
      <c r="EJ34373"/>
      <c r="EK34373"/>
    </row>
    <row r="34374" spans="1:141" s="116" customFormat="1">
      <c r="A34374" s="136"/>
      <c r="CM34374" s="111"/>
      <c r="CQ34374" s="111"/>
      <c r="EF34374"/>
      <c r="EG34374"/>
      <c r="EH34374"/>
      <c r="EI34374"/>
      <c r="EJ34374"/>
      <c r="EK34374"/>
    </row>
    <row r="34375" spans="1:141" s="116" customFormat="1">
      <c r="A34375" s="136"/>
      <c r="CM34375" s="111"/>
      <c r="CQ34375" s="111"/>
      <c r="EF34375"/>
      <c r="EG34375"/>
      <c r="EH34375"/>
      <c r="EI34375"/>
      <c r="EJ34375"/>
      <c r="EK34375"/>
    </row>
    <row r="34376" spans="1:141" s="116" customFormat="1">
      <c r="A34376" s="136"/>
      <c r="CM34376" s="111"/>
      <c r="CQ34376" s="111"/>
      <c r="EF34376"/>
      <c r="EG34376"/>
      <c r="EH34376"/>
      <c r="EI34376"/>
      <c r="EJ34376"/>
      <c r="EK34376"/>
    </row>
    <row r="34377" spans="1:141" s="116" customFormat="1">
      <c r="A34377" s="136"/>
      <c r="CM34377" s="111"/>
      <c r="CQ34377" s="111"/>
      <c r="EF34377"/>
      <c r="EG34377"/>
      <c r="EH34377"/>
      <c r="EI34377"/>
      <c r="EJ34377"/>
      <c r="EK34377"/>
    </row>
    <row r="34378" spans="1:141" s="116" customFormat="1">
      <c r="A34378" s="136"/>
      <c r="CM34378" s="111"/>
      <c r="CQ34378" s="111"/>
      <c r="EF34378"/>
      <c r="EG34378"/>
      <c r="EH34378"/>
      <c r="EI34378"/>
      <c r="EJ34378"/>
      <c r="EK34378"/>
    </row>
    <row r="34379" spans="1:141" s="116" customFormat="1">
      <c r="A34379" s="136"/>
      <c r="CM34379" s="111"/>
      <c r="CQ34379" s="111"/>
      <c r="EF34379"/>
      <c r="EG34379"/>
      <c r="EH34379"/>
      <c r="EI34379"/>
      <c r="EJ34379"/>
      <c r="EK34379"/>
    </row>
    <row r="34380" spans="1:141" s="116" customFormat="1">
      <c r="A34380" s="136"/>
      <c r="CM34380" s="111"/>
      <c r="CQ34380" s="111"/>
      <c r="EF34380"/>
      <c r="EG34380"/>
      <c r="EH34380"/>
      <c r="EI34380"/>
      <c r="EJ34380"/>
      <c r="EK34380"/>
    </row>
    <row r="34381" spans="1:141" s="116" customFormat="1">
      <c r="A34381" s="136"/>
      <c r="CM34381" s="111"/>
      <c r="CQ34381" s="111"/>
      <c r="EF34381"/>
      <c r="EG34381"/>
      <c r="EH34381"/>
      <c r="EI34381"/>
      <c r="EJ34381"/>
      <c r="EK34381"/>
    </row>
    <row r="34382" spans="1:141" s="116" customFormat="1">
      <c r="A34382" s="136"/>
      <c r="CM34382" s="111"/>
      <c r="CQ34382" s="111"/>
      <c r="EF34382"/>
      <c r="EG34382"/>
      <c r="EH34382"/>
      <c r="EI34382"/>
      <c r="EJ34382"/>
      <c r="EK34382"/>
    </row>
    <row r="34383" spans="1:141" s="116" customFormat="1">
      <c r="A34383" s="136"/>
      <c r="CM34383" s="111"/>
      <c r="CQ34383" s="111"/>
      <c r="EF34383"/>
      <c r="EG34383"/>
      <c r="EH34383"/>
      <c r="EI34383"/>
      <c r="EJ34383"/>
      <c r="EK34383"/>
    </row>
    <row r="34384" spans="1:141" s="116" customFormat="1">
      <c r="A34384" s="136"/>
      <c r="CM34384" s="111"/>
      <c r="CQ34384" s="111"/>
      <c r="EF34384"/>
      <c r="EG34384"/>
      <c r="EH34384"/>
      <c r="EI34384"/>
      <c r="EJ34384"/>
      <c r="EK34384"/>
    </row>
    <row r="34385" spans="1:141" s="116" customFormat="1">
      <c r="A34385" s="136"/>
      <c r="CM34385" s="111"/>
      <c r="CQ34385" s="111"/>
      <c r="EF34385"/>
      <c r="EG34385"/>
      <c r="EH34385"/>
      <c r="EI34385"/>
      <c r="EJ34385"/>
      <c r="EK34385"/>
    </row>
    <row r="34386" spans="1:141" s="116" customFormat="1">
      <c r="A34386" s="136"/>
      <c r="CM34386" s="111"/>
      <c r="CQ34386" s="111"/>
      <c r="EF34386"/>
      <c r="EG34386"/>
      <c r="EH34386"/>
      <c r="EI34386"/>
      <c r="EJ34386"/>
      <c r="EK34386"/>
    </row>
    <row r="34387" spans="1:141" s="116" customFormat="1">
      <c r="A34387" s="136"/>
      <c r="CM34387" s="111"/>
      <c r="CQ34387" s="111"/>
      <c r="EF34387"/>
      <c r="EG34387"/>
      <c r="EH34387"/>
      <c r="EI34387"/>
      <c r="EJ34387"/>
      <c r="EK34387"/>
    </row>
    <row r="34388" spans="1:141" s="116" customFormat="1">
      <c r="A34388" s="136"/>
      <c r="CM34388" s="111"/>
      <c r="CQ34388" s="111"/>
      <c r="EF34388"/>
      <c r="EG34388"/>
      <c r="EH34388"/>
      <c r="EI34388"/>
      <c r="EJ34388"/>
      <c r="EK34388"/>
    </row>
    <row r="34389" spans="1:141" s="116" customFormat="1">
      <c r="A34389" s="136"/>
      <c r="CM34389" s="111"/>
      <c r="CQ34389" s="111"/>
      <c r="EF34389"/>
      <c r="EG34389"/>
      <c r="EH34389"/>
      <c r="EI34389"/>
      <c r="EJ34389"/>
      <c r="EK34389"/>
    </row>
    <row r="34390" spans="1:141" s="116" customFormat="1">
      <c r="A34390" s="136"/>
      <c r="CM34390" s="111"/>
      <c r="CQ34390" s="111"/>
      <c r="EF34390"/>
      <c r="EG34390"/>
      <c r="EH34390"/>
      <c r="EI34390"/>
      <c r="EJ34390"/>
      <c r="EK34390"/>
    </row>
    <row r="34391" spans="1:141" s="116" customFormat="1">
      <c r="A34391" s="136"/>
      <c r="CM34391" s="111"/>
      <c r="CQ34391" s="111"/>
      <c r="EF34391"/>
      <c r="EG34391"/>
      <c r="EH34391"/>
      <c r="EI34391"/>
      <c r="EJ34391"/>
      <c r="EK34391"/>
    </row>
    <row r="34392" spans="1:141" s="116" customFormat="1">
      <c r="A34392" s="136"/>
      <c r="CM34392" s="111"/>
      <c r="CQ34392" s="111"/>
      <c r="EF34392"/>
      <c r="EG34392"/>
      <c r="EH34392"/>
      <c r="EI34392"/>
      <c r="EJ34392"/>
      <c r="EK34392"/>
    </row>
    <row r="34393" spans="1:141" s="116" customFormat="1">
      <c r="A34393" s="136"/>
      <c r="CM34393" s="111"/>
      <c r="CQ34393" s="111"/>
      <c r="EF34393"/>
      <c r="EG34393"/>
      <c r="EH34393"/>
      <c r="EI34393"/>
      <c r="EJ34393"/>
      <c r="EK34393"/>
    </row>
    <row r="34394" spans="1:141" s="116" customFormat="1">
      <c r="A34394" s="136"/>
      <c r="CM34394" s="111"/>
      <c r="CQ34394" s="111"/>
      <c r="EF34394"/>
      <c r="EG34394"/>
      <c r="EH34394"/>
      <c r="EI34394"/>
      <c r="EJ34394"/>
      <c r="EK34394"/>
    </row>
    <row r="34395" spans="1:141" s="116" customFormat="1">
      <c r="A34395" s="136"/>
      <c r="CM34395" s="111"/>
      <c r="CQ34395" s="111"/>
      <c r="EF34395"/>
      <c r="EG34395"/>
      <c r="EH34395"/>
      <c r="EI34395"/>
      <c r="EJ34395"/>
      <c r="EK34395"/>
    </row>
    <row r="34396" spans="1:141" s="116" customFormat="1">
      <c r="A34396" s="136"/>
      <c r="CM34396" s="111"/>
      <c r="CQ34396" s="111"/>
      <c r="EF34396"/>
      <c r="EG34396"/>
      <c r="EH34396"/>
      <c r="EI34396"/>
      <c r="EJ34396"/>
      <c r="EK34396"/>
    </row>
    <row r="34397" spans="1:141" s="116" customFormat="1">
      <c r="A34397" s="136"/>
      <c r="CM34397" s="111"/>
      <c r="CQ34397" s="111"/>
      <c r="EF34397"/>
      <c r="EG34397"/>
      <c r="EH34397"/>
      <c r="EI34397"/>
      <c r="EJ34397"/>
      <c r="EK34397"/>
    </row>
    <row r="34398" spans="1:141" s="116" customFormat="1">
      <c r="A34398" s="136"/>
      <c r="CM34398" s="111"/>
      <c r="CQ34398" s="111"/>
      <c r="EF34398"/>
      <c r="EG34398"/>
      <c r="EH34398"/>
      <c r="EI34398"/>
      <c r="EJ34398"/>
      <c r="EK34398"/>
    </row>
    <row r="34399" spans="1:141" s="116" customFormat="1">
      <c r="A34399" s="136"/>
      <c r="CM34399" s="111"/>
      <c r="CQ34399" s="111"/>
      <c r="EF34399"/>
      <c r="EG34399"/>
      <c r="EH34399"/>
      <c r="EI34399"/>
      <c r="EJ34399"/>
      <c r="EK34399"/>
    </row>
    <row r="34400" spans="1:141" s="116" customFormat="1">
      <c r="A34400" s="136"/>
      <c r="CM34400" s="111"/>
      <c r="CQ34400" s="111"/>
      <c r="EF34400"/>
      <c r="EG34400"/>
      <c r="EH34400"/>
      <c r="EI34400"/>
      <c r="EJ34400"/>
      <c r="EK34400"/>
    </row>
    <row r="34401" spans="1:141" s="116" customFormat="1">
      <c r="A34401" s="136"/>
      <c r="CM34401" s="111"/>
      <c r="CQ34401" s="111"/>
      <c r="EF34401"/>
      <c r="EG34401"/>
      <c r="EH34401"/>
      <c r="EI34401"/>
      <c r="EJ34401"/>
      <c r="EK34401"/>
    </row>
    <row r="34402" spans="1:141" s="116" customFormat="1">
      <c r="A34402" s="136"/>
      <c r="CM34402" s="111"/>
      <c r="CQ34402" s="111"/>
      <c r="EF34402"/>
      <c r="EG34402"/>
      <c r="EH34402"/>
      <c r="EI34402"/>
      <c r="EJ34402"/>
      <c r="EK34402"/>
    </row>
    <row r="34403" spans="1:141" s="116" customFormat="1">
      <c r="A34403" s="136"/>
      <c r="CM34403" s="111"/>
      <c r="CQ34403" s="111"/>
      <c r="EF34403"/>
      <c r="EG34403"/>
      <c r="EH34403"/>
      <c r="EI34403"/>
      <c r="EJ34403"/>
      <c r="EK34403"/>
    </row>
    <row r="34404" spans="1:141" s="116" customFormat="1">
      <c r="A34404" s="136"/>
      <c r="CM34404" s="111"/>
      <c r="CQ34404" s="111"/>
      <c r="EF34404"/>
      <c r="EG34404"/>
      <c r="EH34404"/>
      <c r="EI34404"/>
      <c r="EJ34404"/>
      <c r="EK34404"/>
    </row>
    <row r="34405" spans="1:141" s="116" customFormat="1">
      <c r="A34405" s="136"/>
      <c r="CM34405" s="111"/>
      <c r="CQ34405" s="111"/>
      <c r="EF34405"/>
      <c r="EG34405"/>
      <c r="EH34405"/>
      <c r="EI34405"/>
      <c r="EJ34405"/>
      <c r="EK34405"/>
    </row>
    <row r="34406" spans="1:141" s="116" customFormat="1">
      <c r="A34406" s="136"/>
      <c r="CM34406" s="111"/>
      <c r="CQ34406" s="111"/>
      <c r="EF34406"/>
      <c r="EG34406"/>
      <c r="EH34406"/>
      <c r="EI34406"/>
      <c r="EJ34406"/>
      <c r="EK34406"/>
    </row>
    <row r="34407" spans="1:141" s="116" customFormat="1">
      <c r="A34407" s="136"/>
      <c r="CM34407" s="111"/>
      <c r="CQ34407" s="111"/>
      <c r="EF34407"/>
      <c r="EG34407"/>
      <c r="EH34407"/>
      <c r="EI34407"/>
      <c r="EJ34407"/>
      <c r="EK34407"/>
    </row>
    <row r="34408" spans="1:141" s="116" customFormat="1">
      <c r="A34408" s="136"/>
      <c r="CM34408" s="111"/>
      <c r="CQ34408" s="111"/>
      <c r="EF34408"/>
      <c r="EG34408"/>
      <c r="EH34408"/>
      <c r="EI34408"/>
      <c r="EJ34408"/>
      <c r="EK34408"/>
    </row>
    <row r="34409" spans="1:141" s="116" customFormat="1">
      <c r="A34409" s="136"/>
      <c r="CM34409" s="111"/>
      <c r="CQ34409" s="111"/>
      <c r="EF34409"/>
      <c r="EG34409"/>
      <c r="EH34409"/>
      <c r="EI34409"/>
      <c r="EJ34409"/>
      <c r="EK34409"/>
    </row>
    <row r="34410" spans="1:141" s="116" customFormat="1">
      <c r="A34410" s="136"/>
      <c r="CM34410" s="111"/>
      <c r="CQ34410" s="111"/>
      <c r="EF34410"/>
      <c r="EG34410"/>
      <c r="EH34410"/>
      <c r="EI34410"/>
      <c r="EJ34410"/>
      <c r="EK34410"/>
    </row>
    <row r="34411" spans="1:141" s="116" customFormat="1">
      <c r="A34411" s="136"/>
      <c r="CM34411" s="111"/>
      <c r="CQ34411" s="111"/>
      <c r="EF34411"/>
      <c r="EG34411"/>
      <c r="EH34411"/>
      <c r="EI34411"/>
      <c r="EJ34411"/>
      <c r="EK34411"/>
    </row>
    <row r="34412" spans="1:141" s="116" customFormat="1">
      <c r="A34412" s="136"/>
      <c r="CM34412" s="111"/>
      <c r="CQ34412" s="111"/>
      <c r="EF34412"/>
      <c r="EG34412"/>
      <c r="EH34412"/>
      <c r="EI34412"/>
      <c r="EJ34412"/>
      <c r="EK34412"/>
    </row>
    <row r="34413" spans="1:141" s="116" customFormat="1">
      <c r="A34413" s="136"/>
      <c r="CM34413" s="111"/>
      <c r="CQ34413" s="111"/>
      <c r="EF34413"/>
      <c r="EG34413"/>
      <c r="EH34413"/>
      <c r="EI34413"/>
      <c r="EJ34413"/>
      <c r="EK34413"/>
    </row>
    <row r="34414" spans="1:141" s="116" customFormat="1">
      <c r="A34414" s="136"/>
      <c r="CM34414" s="111"/>
      <c r="CQ34414" s="111"/>
      <c r="EF34414"/>
      <c r="EG34414"/>
      <c r="EH34414"/>
      <c r="EI34414"/>
      <c r="EJ34414"/>
      <c r="EK34414"/>
    </row>
    <row r="34415" spans="1:141" s="116" customFormat="1">
      <c r="A34415" s="136"/>
      <c r="CM34415" s="111"/>
      <c r="CQ34415" s="111"/>
      <c r="EF34415"/>
      <c r="EG34415"/>
      <c r="EH34415"/>
      <c r="EI34415"/>
      <c r="EJ34415"/>
      <c r="EK34415"/>
    </row>
    <row r="34416" spans="1:141" s="116" customFormat="1">
      <c r="A34416" s="136"/>
      <c r="CM34416" s="111"/>
      <c r="CQ34416" s="111"/>
      <c r="EF34416"/>
      <c r="EG34416"/>
      <c r="EH34416"/>
      <c r="EI34416"/>
      <c r="EJ34416"/>
      <c r="EK34416"/>
    </row>
    <row r="34417" spans="1:141" s="116" customFormat="1">
      <c r="A34417" s="136"/>
      <c r="CM34417" s="111"/>
      <c r="CQ34417" s="111"/>
      <c r="EF34417"/>
      <c r="EG34417"/>
      <c r="EH34417"/>
      <c r="EI34417"/>
      <c r="EJ34417"/>
      <c r="EK34417"/>
    </row>
    <row r="34418" spans="1:141" s="116" customFormat="1">
      <c r="A34418" s="136"/>
      <c r="CM34418" s="111"/>
      <c r="CQ34418" s="111"/>
      <c r="EF34418"/>
      <c r="EG34418"/>
      <c r="EH34418"/>
      <c r="EI34418"/>
      <c r="EJ34418"/>
      <c r="EK34418"/>
    </row>
    <row r="34419" spans="1:141" s="116" customFormat="1">
      <c r="A34419" s="136"/>
      <c r="CM34419" s="111"/>
      <c r="CQ34419" s="111"/>
      <c r="EF34419"/>
      <c r="EG34419"/>
      <c r="EH34419"/>
      <c r="EI34419"/>
      <c r="EJ34419"/>
      <c r="EK34419"/>
    </row>
    <row r="34420" spans="1:141" s="116" customFormat="1">
      <c r="A34420" s="136"/>
      <c r="CM34420" s="111"/>
      <c r="CQ34420" s="111"/>
      <c r="EF34420"/>
      <c r="EG34420"/>
      <c r="EH34420"/>
      <c r="EI34420"/>
      <c r="EJ34420"/>
      <c r="EK34420"/>
    </row>
    <row r="34421" spans="1:141" s="116" customFormat="1">
      <c r="A34421" s="136"/>
      <c r="CM34421" s="111"/>
      <c r="CQ34421" s="111"/>
      <c r="EF34421"/>
      <c r="EG34421"/>
      <c r="EH34421"/>
      <c r="EI34421"/>
      <c r="EJ34421"/>
      <c r="EK34421"/>
    </row>
    <row r="34422" spans="1:141" s="116" customFormat="1">
      <c r="A34422" s="136"/>
      <c r="CM34422" s="111"/>
      <c r="CQ34422" s="111"/>
      <c r="EF34422"/>
      <c r="EG34422"/>
      <c r="EH34422"/>
      <c r="EI34422"/>
      <c r="EJ34422"/>
      <c r="EK34422"/>
    </row>
    <row r="34423" spans="1:141" s="116" customFormat="1">
      <c r="A34423" s="136"/>
      <c r="CM34423" s="111"/>
      <c r="CQ34423" s="111"/>
      <c r="EF34423"/>
      <c r="EG34423"/>
      <c r="EH34423"/>
      <c r="EI34423"/>
      <c r="EJ34423"/>
      <c r="EK34423"/>
    </row>
    <row r="34424" spans="1:141" s="116" customFormat="1">
      <c r="A34424" s="136"/>
      <c r="CM34424" s="111"/>
      <c r="CQ34424" s="111"/>
      <c r="EF34424"/>
      <c r="EG34424"/>
      <c r="EH34424"/>
      <c r="EI34424"/>
      <c r="EJ34424"/>
      <c r="EK34424"/>
    </row>
    <row r="34425" spans="1:141" s="116" customFormat="1">
      <c r="A34425" s="136"/>
      <c r="CM34425" s="111"/>
      <c r="CQ34425" s="111"/>
      <c r="EF34425"/>
      <c r="EG34425"/>
      <c r="EH34425"/>
      <c r="EI34425"/>
      <c r="EJ34425"/>
      <c r="EK34425"/>
    </row>
    <row r="34426" spans="1:141" s="116" customFormat="1">
      <c r="A34426" s="136"/>
      <c r="CM34426" s="111"/>
      <c r="CQ34426" s="111"/>
      <c r="EF34426"/>
      <c r="EG34426"/>
      <c r="EH34426"/>
      <c r="EI34426"/>
      <c r="EJ34426"/>
      <c r="EK34426"/>
    </row>
    <row r="34427" spans="1:141" s="116" customFormat="1">
      <c r="A34427" s="136"/>
      <c r="CM34427" s="111"/>
      <c r="CQ34427" s="111"/>
      <c r="EF34427"/>
      <c r="EG34427"/>
      <c r="EH34427"/>
      <c r="EI34427"/>
      <c r="EJ34427"/>
      <c r="EK34427"/>
    </row>
    <row r="34428" spans="1:141" s="116" customFormat="1">
      <c r="A34428" s="136"/>
      <c r="CM34428" s="111"/>
      <c r="CQ34428" s="111"/>
      <c r="EF34428"/>
      <c r="EG34428"/>
      <c r="EH34428"/>
      <c r="EI34428"/>
      <c r="EJ34428"/>
      <c r="EK34428"/>
    </row>
    <row r="34429" spans="1:141" s="116" customFormat="1">
      <c r="A34429" s="136"/>
      <c r="CM34429" s="111"/>
      <c r="CQ34429" s="111"/>
      <c r="EF34429"/>
      <c r="EG34429"/>
      <c r="EH34429"/>
      <c r="EI34429"/>
      <c r="EJ34429"/>
      <c r="EK34429"/>
    </row>
    <row r="34430" spans="1:141" s="116" customFormat="1">
      <c r="A34430" s="136"/>
      <c r="CM34430" s="111"/>
      <c r="CQ34430" s="111"/>
      <c r="EF34430"/>
      <c r="EG34430"/>
      <c r="EH34430"/>
      <c r="EI34430"/>
      <c r="EJ34430"/>
      <c r="EK34430"/>
    </row>
    <row r="34431" spans="1:141" s="116" customFormat="1">
      <c r="A34431" s="136"/>
      <c r="CM34431" s="111"/>
      <c r="CQ34431" s="111"/>
      <c r="EF34431"/>
      <c r="EG34431"/>
      <c r="EH34431"/>
      <c r="EI34431"/>
      <c r="EJ34431"/>
      <c r="EK34431"/>
    </row>
    <row r="34432" spans="1:141" s="116" customFormat="1">
      <c r="A34432" s="136"/>
      <c r="CM34432" s="111"/>
      <c r="CQ34432" s="111"/>
      <c r="EF34432"/>
      <c r="EG34432"/>
      <c r="EH34432"/>
      <c r="EI34432"/>
      <c r="EJ34432"/>
      <c r="EK34432"/>
    </row>
    <row r="34433" spans="1:141" s="116" customFormat="1">
      <c r="A34433" s="136"/>
      <c r="CM34433" s="111"/>
      <c r="CQ34433" s="111"/>
      <c r="EF34433"/>
      <c r="EG34433"/>
      <c r="EH34433"/>
      <c r="EI34433"/>
      <c r="EJ34433"/>
      <c r="EK34433"/>
    </row>
    <row r="34434" spans="1:141" s="116" customFormat="1">
      <c r="A34434" s="136"/>
      <c r="CM34434" s="111"/>
      <c r="CQ34434" s="111"/>
      <c r="EF34434"/>
      <c r="EG34434"/>
      <c r="EH34434"/>
      <c r="EI34434"/>
      <c r="EJ34434"/>
      <c r="EK34434"/>
    </row>
    <row r="34435" spans="1:141" s="116" customFormat="1">
      <c r="A34435" s="136"/>
      <c r="CM34435" s="111"/>
      <c r="CQ34435" s="111"/>
      <c r="EF34435"/>
      <c r="EG34435"/>
      <c r="EH34435"/>
      <c r="EI34435"/>
      <c r="EJ34435"/>
      <c r="EK34435"/>
    </row>
    <row r="34436" spans="1:141" s="116" customFormat="1">
      <c r="A34436" s="136"/>
      <c r="CM34436" s="111"/>
      <c r="CQ34436" s="111"/>
      <c r="EF34436"/>
      <c r="EG34436"/>
      <c r="EH34436"/>
      <c r="EI34436"/>
      <c r="EJ34436"/>
      <c r="EK34436"/>
    </row>
    <row r="34437" spans="1:141" s="116" customFormat="1">
      <c r="A34437" s="136"/>
      <c r="CM34437" s="111"/>
      <c r="CQ34437" s="111"/>
      <c r="EF34437"/>
      <c r="EG34437"/>
      <c r="EH34437"/>
      <c r="EI34437"/>
      <c r="EJ34437"/>
      <c r="EK34437"/>
    </row>
    <row r="34438" spans="1:141" s="116" customFormat="1">
      <c r="A34438" s="136"/>
      <c r="CM34438" s="111"/>
      <c r="CQ34438" s="111"/>
      <c r="EF34438"/>
      <c r="EG34438"/>
      <c r="EH34438"/>
      <c r="EI34438"/>
      <c r="EJ34438"/>
      <c r="EK34438"/>
    </row>
    <row r="34439" spans="1:141" s="116" customFormat="1">
      <c r="A34439" s="136"/>
      <c r="CM34439" s="111"/>
      <c r="CQ34439" s="111"/>
      <c r="EF34439"/>
      <c r="EG34439"/>
      <c r="EH34439"/>
      <c r="EI34439"/>
      <c r="EJ34439"/>
      <c r="EK34439"/>
    </row>
    <row r="34440" spans="1:141" s="116" customFormat="1">
      <c r="A34440" s="136"/>
      <c r="CM34440" s="111"/>
      <c r="CQ34440" s="111"/>
      <c r="EF34440"/>
      <c r="EG34440"/>
      <c r="EH34440"/>
      <c r="EI34440"/>
      <c r="EJ34440"/>
      <c r="EK34440"/>
    </row>
    <row r="34441" spans="1:141" s="116" customFormat="1">
      <c r="A34441" s="136"/>
      <c r="CM34441" s="111"/>
      <c r="CQ34441" s="111"/>
      <c r="EF34441"/>
      <c r="EG34441"/>
      <c r="EH34441"/>
      <c r="EI34441"/>
      <c r="EJ34441"/>
      <c r="EK34441"/>
    </row>
    <row r="34442" spans="1:141" s="116" customFormat="1">
      <c r="A34442" s="136"/>
      <c r="CM34442" s="111"/>
      <c r="CQ34442" s="111"/>
      <c r="EF34442"/>
      <c r="EG34442"/>
      <c r="EH34442"/>
      <c r="EI34442"/>
      <c r="EJ34442"/>
      <c r="EK34442"/>
    </row>
    <row r="34443" spans="1:141" s="116" customFormat="1">
      <c r="A34443" s="136"/>
      <c r="CM34443" s="111"/>
      <c r="CQ34443" s="111"/>
      <c r="EF34443"/>
      <c r="EG34443"/>
      <c r="EH34443"/>
      <c r="EI34443"/>
      <c r="EJ34443"/>
      <c r="EK34443"/>
    </row>
    <row r="34444" spans="1:141" s="116" customFormat="1">
      <c r="A34444" s="136"/>
      <c r="CM34444" s="111"/>
      <c r="CQ34444" s="111"/>
      <c r="EF34444"/>
      <c r="EG34444"/>
      <c r="EH34444"/>
      <c r="EI34444"/>
      <c r="EJ34444"/>
      <c r="EK34444"/>
    </row>
    <row r="34445" spans="1:141" s="116" customFormat="1">
      <c r="A34445" s="136"/>
      <c r="CM34445" s="111"/>
      <c r="CQ34445" s="111"/>
      <c r="EF34445"/>
      <c r="EG34445"/>
      <c r="EH34445"/>
      <c r="EI34445"/>
      <c r="EJ34445"/>
      <c r="EK34445"/>
    </row>
    <row r="34446" spans="1:141" s="116" customFormat="1">
      <c r="A34446" s="136"/>
      <c r="CM34446" s="111"/>
      <c r="CQ34446" s="111"/>
      <c r="EF34446"/>
      <c r="EG34446"/>
      <c r="EH34446"/>
      <c r="EI34446"/>
      <c r="EJ34446"/>
      <c r="EK34446"/>
    </row>
    <row r="34447" spans="1:141" s="116" customFormat="1">
      <c r="A34447" s="136"/>
      <c r="CM34447" s="111"/>
      <c r="CQ34447" s="111"/>
      <c r="EF34447"/>
      <c r="EG34447"/>
      <c r="EH34447"/>
      <c r="EI34447"/>
      <c r="EJ34447"/>
      <c r="EK34447"/>
    </row>
    <row r="34448" spans="1:141" s="116" customFormat="1">
      <c r="A34448" s="136"/>
      <c r="CM34448" s="111"/>
      <c r="CQ34448" s="111"/>
      <c r="EF34448"/>
      <c r="EG34448"/>
      <c r="EH34448"/>
      <c r="EI34448"/>
      <c r="EJ34448"/>
      <c r="EK34448"/>
    </row>
    <row r="34449" spans="1:141" s="116" customFormat="1">
      <c r="A34449" s="136"/>
      <c r="CM34449" s="111"/>
      <c r="CQ34449" s="111"/>
      <c r="EF34449"/>
      <c r="EG34449"/>
      <c r="EH34449"/>
      <c r="EI34449"/>
      <c r="EJ34449"/>
      <c r="EK34449"/>
    </row>
    <row r="34450" spans="1:141" s="116" customFormat="1">
      <c r="A34450" s="136"/>
      <c r="CM34450" s="111"/>
      <c r="CQ34450" s="111"/>
      <c r="EF34450"/>
      <c r="EG34450"/>
      <c r="EH34450"/>
      <c r="EI34450"/>
      <c r="EJ34450"/>
      <c r="EK34450"/>
    </row>
    <row r="34451" spans="1:141" s="116" customFormat="1">
      <c r="A34451" s="136"/>
      <c r="CM34451" s="111"/>
      <c r="CQ34451" s="111"/>
      <c r="EF34451"/>
      <c r="EG34451"/>
      <c r="EH34451"/>
      <c r="EI34451"/>
      <c r="EJ34451"/>
      <c r="EK34451"/>
    </row>
    <row r="34452" spans="1:141" s="116" customFormat="1">
      <c r="A34452" s="136"/>
      <c r="CM34452" s="111"/>
      <c r="CQ34452" s="111"/>
      <c r="EF34452"/>
      <c r="EG34452"/>
      <c r="EH34452"/>
      <c r="EI34452"/>
      <c r="EJ34452"/>
      <c r="EK34452"/>
    </row>
    <row r="34453" spans="1:141" s="116" customFormat="1">
      <c r="A34453" s="136"/>
      <c r="CM34453" s="111"/>
      <c r="CQ34453" s="111"/>
      <c r="EF34453"/>
      <c r="EG34453"/>
      <c r="EH34453"/>
      <c r="EI34453"/>
      <c r="EJ34453"/>
      <c r="EK34453"/>
    </row>
    <row r="34454" spans="1:141" s="116" customFormat="1">
      <c r="A34454" s="136"/>
      <c r="CM34454" s="111"/>
      <c r="CQ34454" s="111"/>
      <c r="EF34454"/>
      <c r="EG34454"/>
      <c r="EH34454"/>
      <c r="EI34454"/>
      <c r="EJ34454"/>
      <c r="EK34454"/>
    </row>
    <row r="34455" spans="1:141" s="116" customFormat="1">
      <c r="A34455" s="136"/>
      <c r="CM34455" s="111"/>
      <c r="CQ34455" s="111"/>
      <c r="EF34455"/>
      <c r="EG34455"/>
      <c r="EH34455"/>
      <c r="EI34455"/>
      <c r="EJ34455"/>
      <c r="EK34455"/>
    </row>
    <row r="34456" spans="1:141" s="116" customFormat="1">
      <c r="A34456" s="136"/>
      <c r="CM34456" s="111"/>
      <c r="CQ34456" s="111"/>
      <c r="EF34456"/>
      <c r="EG34456"/>
      <c r="EH34456"/>
      <c r="EI34456"/>
      <c r="EJ34456"/>
      <c r="EK34456"/>
    </row>
    <row r="34457" spans="1:141" s="116" customFormat="1">
      <c r="A34457" s="136"/>
      <c r="CM34457" s="111"/>
      <c r="CQ34457" s="111"/>
      <c r="EF34457"/>
      <c r="EG34457"/>
      <c r="EH34457"/>
      <c r="EI34457"/>
      <c r="EJ34457"/>
      <c r="EK34457"/>
    </row>
    <row r="34458" spans="1:141" s="116" customFormat="1">
      <c r="A34458" s="136"/>
      <c r="CM34458" s="111"/>
      <c r="CQ34458" s="111"/>
      <c r="EF34458"/>
      <c r="EG34458"/>
      <c r="EH34458"/>
      <c r="EI34458"/>
      <c r="EJ34458"/>
      <c r="EK34458"/>
    </row>
    <row r="34459" spans="1:141" s="116" customFormat="1">
      <c r="A34459" s="136"/>
      <c r="CM34459" s="111"/>
      <c r="CQ34459" s="111"/>
      <c r="EF34459"/>
      <c r="EG34459"/>
      <c r="EH34459"/>
      <c r="EI34459"/>
      <c r="EJ34459"/>
      <c r="EK34459"/>
    </row>
    <row r="34460" spans="1:141" s="116" customFormat="1">
      <c r="A34460" s="136"/>
      <c r="CM34460" s="111"/>
      <c r="CQ34460" s="111"/>
      <c r="EF34460"/>
      <c r="EG34460"/>
      <c r="EH34460"/>
      <c r="EI34460"/>
      <c r="EJ34460"/>
      <c r="EK34460"/>
    </row>
    <row r="34461" spans="1:141" s="116" customFormat="1">
      <c r="A34461" s="136"/>
      <c r="CM34461" s="111"/>
      <c r="CQ34461" s="111"/>
      <c r="EF34461"/>
      <c r="EG34461"/>
      <c r="EH34461"/>
      <c r="EI34461"/>
      <c r="EJ34461"/>
      <c r="EK34461"/>
    </row>
    <row r="34462" spans="1:141" s="116" customFormat="1">
      <c r="A34462" s="136"/>
      <c r="CM34462" s="111"/>
      <c r="CQ34462" s="111"/>
      <c r="EF34462"/>
      <c r="EG34462"/>
      <c r="EH34462"/>
      <c r="EI34462"/>
      <c r="EJ34462"/>
      <c r="EK34462"/>
    </row>
    <row r="34463" spans="1:141" s="116" customFormat="1">
      <c r="A34463" s="136"/>
      <c r="CM34463" s="111"/>
      <c r="CQ34463" s="111"/>
      <c r="EF34463"/>
      <c r="EG34463"/>
      <c r="EH34463"/>
      <c r="EI34463"/>
      <c r="EJ34463"/>
      <c r="EK34463"/>
    </row>
    <row r="34464" spans="1:141" s="116" customFormat="1">
      <c r="A34464" s="136"/>
      <c r="CM34464" s="111"/>
      <c r="CQ34464" s="111"/>
      <c r="EF34464"/>
      <c r="EG34464"/>
      <c r="EH34464"/>
      <c r="EI34464"/>
      <c r="EJ34464"/>
      <c r="EK34464"/>
    </row>
    <row r="34465" spans="1:141" s="116" customFormat="1">
      <c r="A34465" s="136"/>
      <c r="CM34465" s="111"/>
      <c r="CQ34465" s="111"/>
      <c r="EF34465"/>
      <c r="EG34465"/>
      <c r="EH34465"/>
      <c r="EI34465"/>
      <c r="EJ34465"/>
      <c r="EK34465"/>
    </row>
    <row r="34466" spans="1:141" s="116" customFormat="1">
      <c r="A34466" s="136"/>
      <c r="CM34466" s="111"/>
      <c r="CQ34466" s="111"/>
      <c r="EF34466"/>
      <c r="EG34466"/>
      <c r="EH34466"/>
      <c r="EI34466"/>
      <c r="EJ34466"/>
      <c r="EK34466"/>
    </row>
    <row r="34467" spans="1:141" s="116" customFormat="1">
      <c r="A34467" s="136"/>
      <c r="CM34467" s="111"/>
      <c r="CQ34467" s="111"/>
      <c r="EF34467"/>
      <c r="EG34467"/>
      <c r="EH34467"/>
      <c r="EI34467"/>
      <c r="EJ34467"/>
      <c r="EK34467"/>
    </row>
    <row r="34468" spans="1:141" s="116" customFormat="1">
      <c r="A34468" s="136"/>
      <c r="CM34468" s="111"/>
      <c r="CQ34468" s="111"/>
      <c r="EF34468"/>
      <c r="EG34468"/>
      <c r="EH34468"/>
      <c r="EI34468"/>
      <c r="EJ34468"/>
      <c r="EK34468"/>
    </row>
    <row r="34469" spans="1:141" s="116" customFormat="1">
      <c r="A34469" s="136"/>
      <c r="CM34469" s="111"/>
      <c r="CQ34469" s="111"/>
      <c r="EF34469"/>
      <c r="EG34469"/>
      <c r="EH34469"/>
      <c r="EI34469"/>
      <c r="EJ34469"/>
      <c r="EK34469"/>
    </row>
    <row r="34470" spans="1:141" s="116" customFormat="1">
      <c r="A34470" s="136"/>
      <c r="CM34470" s="111"/>
      <c r="CQ34470" s="111"/>
      <c r="EF34470"/>
      <c r="EG34470"/>
      <c r="EH34470"/>
      <c r="EI34470"/>
      <c r="EJ34470"/>
      <c r="EK34470"/>
    </row>
    <row r="34471" spans="1:141" s="116" customFormat="1">
      <c r="A34471" s="136"/>
      <c r="CM34471" s="111"/>
      <c r="CQ34471" s="111"/>
      <c r="EF34471"/>
      <c r="EG34471"/>
      <c r="EH34471"/>
      <c r="EI34471"/>
      <c r="EJ34471"/>
      <c r="EK34471"/>
    </row>
    <row r="34472" spans="1:141" s="116" customFormat="1">
      <c r="A34472" s="136"/>
      <c r="CM34472" s="111"/>
      <c r="CQ34472" s="111"/>
      <c r="EF34472"/>
      <c r="EG34472"/>
      <c r="EH34472"/>
      <c r="EI34472"/>
      <c r="EJ34472"/>
      <c r="EK34472"/>
    </row>
    <row r="34473" spans="1:141" s="116" customFormat="1">
      <c r="A34473" s="136"/>
      <c r="CM34473" s="111"/>
      <c r="CQ34473" s="111"/>
      <c r="EF34473"/>
      <c r="EG34473"/>
      <c r="EH34473"/>
      <c r="EI34473"/>
      <c r="EJ34473"/>
      <c r="EK34473"/>
    </row>
    <row r="34474" spans="1:141" s="116" customFormat="1">
      <c r="A34474" s="136"/>
      <c r="CM34474" s="111"/>
      <c r="CQ34474" s="111"/>
      <c r="EF34474"/>
      <c r="EG34474"/>
      <c r="EH34474"/>
      <c r="EI34474"/>
      <c r="EJ34474"/>
      <c r="EK34474"/>
    </row>
    <row r="34475" spans="1:141" s="116" customFormat="1">
      <c r="A34475" s="136"/>
      <c r="CM34475" s="111"/>
      <c r="CQ34475" s="111"/>
      <c r="EF34475"/>
      <c r="EG34475"/>
      <c r="EH34475"/>
      <c r="EI34475"/>
      <c r="EJ34475"/>
      <c r="EK34475"/>
    </row>
    <row r="34476" spans="1:141" s="116" customFormat="1">
      <c r="A34476" s="136"/>
      <c r="CM34476" s="111"/>
      <c r="CQ34476" s="111"/>
      <c r="EF34476"/>
      <c r="EG34476"/>
      <c r="EH34476"/>
      <c r="EI34476"/>
      <c r="EJ34476"/>
      <c r="EK34476"/>
    </row>
    <row r="34477" spans="1:141" s="116" customFormat="1">
      <c r="A34477" s="136"/>
      <c r="CM34477" s="111"/>
      <c r="CQ34477" s="111"/>
      <c r="EF34477"/>
      <c r="EG34477"/>
      <c r="EH34477"/>
      <c r="EI34477"/>
      <c r="EJ34477"/>
      <c r="EK34477"/>
    </row>
    <row r="34478" spans="1:141" s="116" customFormat="1">
      <c r="A34478" s="136"/>
      <c r="CM34478" s="111"/>
      <c r="CQ34478" s="111"/>
      <c r="EF34478"/>
      <c r="EG34478"/>
      <c r="EH34478"/>
      <c r="EI34478"/>
      <c r="EJ34478"/>
      <c r="EK34478"/>
    </row>
    <row r="34479" spans="1:141" s="116" customFormat="1">
      <c r="A34479" s="136"/>
      <c r="CM34479" s="111"/>
      <c r="CQ34479" s="111"/>
      <c r="EF34479"/>
      <c r="EG34479"/>
      <c r="EH34479"/>
      <c r="EI34479"/>
      <c r="EJ34479"/>
      <c r="EK34479"/>
    </row>
    <row r="34480" spans="1:141" s="116" customFormat="1">
      <c r="A34480" s="136"/>
      <c r="CM34480" s="111"/>
      <c r="CQ34480" s="111"/>
      <c r="EF34480"/>
      <c r="EG34480"/>
      <c r="EH34480"/>
      <c r="EI34480"/>
      <c r="EJ34480"/>
      <c r="EK34480"/>
    </row>
    <row r="34481" spans="1:141" s="116" customFormat="1">
      <c r="A34481" s="136"/>
      <c r="CM34481" s="111"/>
      <c r="CQ34481" s="111"/>
      <c r="EF34481"/>
      <c r="EG34481"/>
      <c r="EH34481"/>
      <c r="EI34481"/>
      <c r="EJ34481"/>
      <c r="EK34481"/>
    </row>
    <row r="34482" spans="1:141" s="116" customFormat="1">
      <c r="A34482" s="136"/>
      <c r="CM34482" s="111"/>
      <c r="CQ34482" s="111"/>
      <c r="EF34482"/>
      <c r="EG34482"/>
      <c r="EH34482"/>
      <c r="EI34482"/>
      <c r="EJ34482"/>
      <c r="EK34482"/>
    </row>
    <row r="34483" spans="1:141" s="116" customFormat="1">
      <c r="A34483" s="136"/>
      <c r="CM34483" s="111"/>
      <c r="CQ34483" s="111"/>
      <c r="EF34483"/>
      <c r="EG34483"/>
      <c r="EH34483"/>
      <c r="EI34483"/>
      <c r="EJ34483"/>
      <c r="EK34483"/>
    </row>
    <row r="34484" spans="1:141" s="116" customFormat="1">
      <c r="A34484" s="136"/>
      <c r="CM34484" s="111"/>
      <c r="CQ34484" s="111"/>
      <c r="EF34484"/>
      <c r="EG34484"/>
      <c r="EH34484"/>
      <c r="EI34484"/>
      <c r="EJ34484"/>
      <c r="EK34484"/>
    </row>
    <row r="34485" spans="1:141" s="116" customFormat="1">
      <c r="A34485" s="136"/>
      <c r="CM34485" s="111"/>
      <c r="CQ34485" s="111"/>
      <c r="EF34485"/>
      <c r="EG34485"/>
      <c r="EH34485"/>
      <c r="EI34485"/>
      <c r="EJ34485"/>
      <c r="EK34485"/>
    </row>
    <row r="34486" spans="1:141" s="116" customFormat="1">
      <c r="A34486" s="136"/>
      <c r="CM34486" s="111"/>
      <c r="CQ34486" s="111"/>
      <c r="EF34486"/>
      <c r="EG34486"/>
      <c r="EH34486"/>
      <c r="EI34486"/>
      <c r="EJ34486"/>
      <c r="EK34486"/>
    </row>
    <row r="34487" spans="1:141" s="116" customFormat="1">
      <c r="A34487" s="136"/>
      <c r="CM34487" s="111"/>
      <c r="CQ34487" s="111"/>
      <c r="EF34487"/>
      <c r="EG34487"/>
      <c r="EH34487"/>
      <c r="EI34487"/>
      <c r="EJ34487"/>
      <c r="EK34487"/>
    </row>
    <row r="34488" spans="1:141" s="116" customFormat="1">
      <c r="A34488" s="136"/>
      <c r="CM34488" s="111"/>
      <c r="CQ34488" s="111"/>
      <c r="EF34488"/>
      <c r="EG34488"/>
      <c r="EH34488"/>
      <c r="EI34488"/>
      <c r="EJ34488"/>
      <c r="EK34488"/>
    </row>
    <row r="34489" spans="1:141" s="116" customFormat="1">
      <c r="A34489" s="136"/>
      <c r="CM34489" s="111"/>
      <c r="CQ34489" s="111"/>
      <c r="EF34489"/>
      <c r="EG34489"/>
      <c r="EH34489"/>
      <c r="EI34489"/>
      <c r="EJ34489"/>
      <c r="EK34489"/>
    </row>
    <row r="34490" spans="1:141" s="116" customFormat="1">
      <c r="A34490" s="136"/>
      <c r="CM34490" s="111"/>
      <c r="CQ34490" s="111"/>
      <c r="EF34490"/>
      <c r="EG34490"/>
      <c r="EH34490"/>
      <c r="EI34490"/>
      <c r="EJ34490"/>
      <c r="EK34490"/>
    </row>
    <row r="34491" spans="1:141" s="116" customFormat="1">
      <c r="A34491" s="136"/>
      <c r="CM34491" s="111"/>
      <c r="CQ34491" s="111"/>
      <c r="EF34491"/>
      <c r="EG34491"/>
      <c r="EH34491"/>
      <c r="EI34491"/>
      <c r="EJ34491"/>
      <c r="EK34491"/>
    </row>
    <row r="34492" spans="1:141" s="116" customFormat="1">
      <c r="A34492" s="136"/>
      <c r="CM34492" s="111"/>
      <c r="CQ34492" s="111"/>
      <c r="EF34492"/>
      <c r="EG34492"/>
      <c r="EH34492"/>
      <c r="EI34492"/>
      <c r="EJ34492"/>
      <c r="EK34492"/>
    </row>
    <row r="34493" spans="1:141" s="116" customFormat="1">
      <c r="A34493" s="136"/>
      <c r="CM34493" s="111"/>
      <c r="CQ34493" s="111"/>
      <c r="EF34493"/>
      <c r="EG34493"/>
      <c r="EH34493"/>
      <c r="EI34493"/>
      <c r="EJ34493"/>
      <c r="EK34493"/>
    </row>
    <row r="34494" spans="1:141" s="116" customFormat="1">
      <c r="A34494" s="136"/>
      <c r="CM34494" s="111"/>
      <c r="CQ34494" s="111"/>
      <c r="EF34494"/>
      <c r="EG34494"/>
      <c r="EH34494"/>
      <c r="EI34494"/>
      <c r="EJ34494"/>
      <c r="EK34494"/>
    </row>
    <row r="34495" spans="1:141" s="116" customFormat="1">
      <c r="A34495" s="136"/>
      <c r="CM34495" s="111"/>
      <c r="CQ34495" s="111"/>
      <c r="EF34495"/>
      <c r="EG34495"/>
      <c r="EH34495"/>
      <c r="EI34495"/>
      <c r="EJ34495"/>
      <c r="EK34495"/>
    </row>
    <row r="34496" spans="1:141" s="116" customFormat="1">
      <c r="A34496" s="136"/>
      <c r="CM34496" s="111"/>
      <c r="CQ34496" s="111"/>
      <c r="EF34496"/>
      <c r="EG34496"/>
      <c r="EH34496"/>
      <c r="EI34496"/>
      <c r="EJ34496"/>
      <c r="EK34496"/>
    </row>
    <row r="34497" spans="1:141" s="116" customFormat="1">
      <c r="A34497" s="136"/>
      <c r="CM34497" s="111"/>
      <c r="CQ34497" s="111"/>
      <c r="EF34497"/>
      <c r="EG34497"/>
      <c r="EH34497"/>
      <c r="EI34497"/>
      <c r="EJ34497"/>
      <c r="EK34497"/>
    </row>
    <row r="34498" spans="1:141" s="116" customFormat="1">
      <c r="A34498" s="136"/>
      <c r="CM34498" s="111"/>
      <c r="CQ34498" s="111"/>
      <c r="EF34498"/>
      <c r="EG34498"/>
      <c r="EH34498"/>
      <c r="EI34498"/>
      <c r="EJ34498"/>
      <c r="EK34498"/>
    </row>
    <row r="34499" spans="1:141" s="116" customFormat="1">
      <c r="A34499" s="136"/>
      <c r="CM34499" s="111"/>
      <c r="CQ34499" s="111"/>
      <c r="EF34499"/>
      <c r="EG34499"/>
      <c r="EH34499"/>
      <c r="EI34499"/>
      <c r="EJ34499"/>
      <c r="EK34499"/>
    </row>
    <row r="34500" spans="1:141" s="116" customFormat="1">
      <c r="A34500" s="136"/>
      <c r="CM34500" s="111"/>
      <c r="CQ34500" s="111"/>
      <c r="EF34500"/>
      <c r="EG34500"/>
      <c r="EH34500"/>
      <c r="EI34500"/>
      <c r="EJ34500"/>
      <c r="EK34500"/>
    </row>
    <row r="34501" spans="1:141" s="116" customFormat="1">
      <c r="A34501" s="136"/>
      <c r="CM34501" s="111"/>
      <c r="CQ34501" s="111"/>
      <c r="EF34501"/>
      <c r="EG34501"/>
      <c r="EH34501"/>
      <c r="EI34501"/>
      <c r="EJ34501"/>
      <c r="EK34501"/>
    </row>
    <row r="34502" spans="1:141" s="116" customFormat="1">
      <c r="A34502" s="136"/>
      <c r="CM34502" s="111"/>
      <c r="CQ34502" s="111"/>
      <c r="EF34502"/>
      <c r="EG34502"/>
      <c r="EH34502"/>
      <c r="EI34502"/>
      <c r="EJ34502"/>
      <c r="EK34502"/>
    </row>
    <row r="34503" spans="1:141" s="116" customFormat="1">
      <c r="A34503" s="136"/>
      <c r="CM34503" s="111"/>
      <c r="CQ34503" s="111"/>
      <c r="EF34503"/>
      <c r="EG34503"/>
      <c r="EH34503"/>
      <c r="EI34503"/>
      <c r="EJ34503"/>
      <c r="EK34503"/>
    </row>
    <row r="34504" spans="1:141" s="116" customFormat="1">
      <c r="A34504" s="136"/>
      <c r="CM34504" s="111"/>
      <c r="CQ34504" s="111"/>
      <c r="EF34504"/>
      <c r="EG34504"/>
      <c r="EH34504"/>
      <c r="EI34504"/>
      <c r="EJ34504"/>
      <c r="EK34504"/>
    </row>
    <row r="34505" spans="1:141" s="116" customFormat="1">
      <c r="A34505" s="136"/>
      <c r="CM34505" s="111"/>
      <c r="CQ34505" s="111"/>
      <c r="EF34505"/>
      <c r="EG34505"/>
      <c r="EH34505"/>
      <c r="EI34505"/>
      <c r="EJ34505"/>
      <c r="EK34505"/>
    </row>
    <row r="34506" spans="1:141" s="116" customFormat="1">
      <c r="A34506" s="136"/>
      <c r="CM34506" s="111"/>
      <c r="CQ34506" s="111"/>
      <c r="EF34506"/>
      <c r="EG34506"/>
      <c r="EH34506"/>
      <c r="EI34506"/>
      <c r="EJ34506"/>
      <c r="EK34506"/>
    </row>
    <row r="34507" spans="1:141" s="116" customFormat="1">
      <c r="A34507" s="136"/>
      <c r="CM34507" s="111"/>
      <c r="CQ34507" s="111"/>
      <c r="EF34507"/>
      <c r="EG34507"/>
      <c r="EH34507"/>
      <c r="EI34507"/>
      <c r="EJ34507"/>
      <c r="EK34507"/>
    </row>
    <row r="34508" spans="1:141" s="116" customFormat="1">
      <c r="A34508" s="136"/>
      <c r="CM34508" s="111"/>
      <c r="CQ34508" s="111"/>
      <c r="EF34508"/>
      <c r="EG34508"/>
      <c r="EH34508"/>
      <c r="EI34508"/>
      <c r="EJ34508"/>
      <c r="EK34508"/>
    </row>
    <row r="34509" spans="1:141" s="116" customFormat="1">
      <c r="A34509" s="136"/>
      <c r="CM34509" s="111"/>
      <c r="CQ34509" s="111"/>
      <c r="EF34509"/>
      <c r="EG34509"/>
      <c r="EH34509"/>
      <c r="EI34509"/>
      <c r="EJ34509"/>
      <c r="EK34509"/>
    </row>
    <row r="34510" spans="1:141" s="116" customFormat="1">
      <c r="A34510" s="136"/>
      <c r="CM34510" s="111"/>
      <c r="CQ34510" s="111"/>
      <c r="EF34510"/>
      <c r="EG34510"/>
      <c r="EH34510"/>
      <c r="EI34510"/>
      <c r="EJ34510"/>
      <c r="EK34510"/>
    </row>
    <row r="34511" spans="1:141" s="116" customFormat="1">
      <c r="A34511" s="136"/>
      <c r="CM34511" s="111"/>
      <c r="CQ34511" s="111"/>
      <c r="EF34511"/>
      <c r="EG34511"/>
      <c r="EH34511"/>
      <c r="EI34511"/>
      <c r="EJ34511"/>
      <c r="EK34511"/>
    </row>
    <row r="34512" spans="1:141" s="116" customFormat="1">
      <c r="A34512" s="136"/>
      <c r="CM34512" s="111"/>
      <c r="CQ34512" s="111"/>
      <c r="EF34512"/>
      <c r="EG34512"/>
      <c r="EH34512"/>
      <c r="EI34512"/>
      <c r="EJ34512"/>
      <c r="EK34512"/>
    </row>
    <row r="34513" spans="1:141" s="116" customFormat="1">
      <c r="A34513" s="136"/>
      <c r="CM34513" s="111"/>
      <c r="CQ34513" s="111"/>
      <c r="EF34513"/>
      <c r="EG34513"/>
      <c r="EH34513"/>
      <c r="EI34513"/>
      <c r="EJ34513"/>
      <c r="EK34513"/>
    </row>
    <row r="34514" spans="1:141" s="116" customFormat="1">
      <c r="A34514" s="136"/>
      <c r="CM34514" s="111"/>
      <c r="CQ34514" s="111"/>
      <c r="EF34514"/>
      <c r="EG34514"/>
      <c r="EH34514"/>
      <c r="EI34514"/>
      <c r="EJ34514"/>
      <c r="EK34514"/>
    </row>
    <row r="34515" spans="1:141" s="116" customFormat="1">
      <c r="A34515" s="136"/>
      <c r="CM34515" s="111"/>
      <c r="CQ34515" s="111"/>
      <c r="EF34515"/>
      <c r="EG34515"/>
      <c r="EH34515"/>
      <c r="EI34515"/>
      <c r="EJ34515"/>
      <c r="EK34515"/>
    </row>
    <row r="34516" spans="1:141" s="116" customFormat="1">
      <c r="A34516" s="136"/>
      <c r="CM34516" s="111"/>
      <c r="CQ34516" s="111"/>
      <c r="EF34516"/>
      <c r="EG34516"/>
      <c r="EH34516"/>
      <c r="EI34516"/>
      <c r="EJ34516"/>
      <c r="EK34516"/>
    </row>
    <row r="34517" spans="1:141" s="116" customFormat="1">
      <c r="A34517" s="136"/>
      <c r="CM34517" s="111"/>
      <c r="CQ34517" s="111"/>
      <c r="EF34517"/>
      <c r="EG34517"/>
      <c r="EH34517"/>
      <c r="EI34517"/>
      <c r="EJ34517"/>
      <c r="EK34517"/>
    </row>
    <row r="34518" spans="1:141" s="116" customFormat="1">
      <c r="A34518" s="136"/>
      <c r="CM34518" s="111"/>
      <c r="CQ34518" s="111"/>
      <c r="EF34518"/>
      <c r="EG34518"/>
      <c r="EH34518"/>
      <c r="EI34518"/>
      <c r="EJ34518"/>
      <c r="EK34518"/>
    </row>
    <row r="34519" spans="1:141" s="116" customFormat="1">
      <c r="A34519" s="136"/>
      <c r="CM34519" s="111"/>
      <c r="CQ34519" s="111"/>
      <c r="EF34519"/>
      <c r="EG34519"/>
      <c r="EH34519"/>
      <c r="EI34519"/>
      <c r="EJ34519"/>
      <c r="EK34519"/>
    </row>
    <row r="34520" spans="1:141" s="116" customFormat="1">
      <c r="A34520" s="136"/>
      <c r="CM34520" s="111"/>
      <c r="CQ34520" s="111"/>
      <c r="EF34520"/>
      <c r="EG34520"/>
      <c r="EH34520"/>
      <c r="EI34520"/>
      <c r="EJ34520"/>
      <c r="EK34520"/>
    </row>
    <row r="34521" spans="1:141" s="116" customFormat="1">
      <c r="A34521" s="136"/>
      <c r="CM34521" s="111"/>
      <c r="CQ34521" s="111"/>
      <c r="EF34521"/>
      <c r="EG34521"/>
      <c r="EH34521"/>
      <c r="EI34521"/>
      <c r="EJ34521"/>
      <c r="EK34521"/>
    </row>
    <row r="34522" spans="1:141" s="116" customFormat="1">
      <c r="A34522" s="136"/>
      <c r="CM34522" s="111"/>
      <c r="CQ34522" s="111"/>
      <c r="EF34522"/>
      <c r="EG34522"/>
      <c r="EH34522"/>
      <c r="EI34522"/>
      <c r="EJ34522"/>
      <c r="EK34522"/>
    </row>
    <row r="34523" spans="1:141" s="116" customFormat="1">
      <c r="A34523" s="136"/>
      <c r="CM34523" s="111"/>
      <c r="CQ34523" s="111"/>
      <c r="EF34523"/>
      <c r="EG34523"/>
      <c r="EH34523"/>
      <c r="EI34523"/>
      <c r="EJ34523"/>
      <c r="EK34523"/>
    </row>
    <row r="34524" spans="1:141" s="116" customFormat="1">
      <c r="A34524" s="136"/>
      <c r="CM34524" s="111"/>
      <c r="CQ34524" s="111"/>
      <c r="EF34524"/>
      <c r="EG34524"/>
      <c r="EH34524"/>
      <c r="EI34524"/>
      <c r="EJ34524"/>
      <c r="EK34524"/>
    </row>
    <row r="34525" spans="1:141" s="116" customFormat="1">
      <c r="A34525" s="136"/>
      <c r="CM34525" s="111"/>
      <c r="CQ34525" s="111"/>
      <c r="EF34525"/>
      <c r="EG34525"/>
      <c r="EH34525"/>
      <c r="EI34525"/>
      <c r="EJ34525"/>
      <c r="EK34525"/>
    </row>
    <row r="34526" spans="1:141" s="116" customFormat="1">
      <c r="A34526" s="136"/>
      <c r="CM34526" s="111"/>
      <c r="CQ34526" s="111"/>
      <c r="EF34526"/>
      <c r="EG34526"/>
      <c r="EH34526"/>
      <c r="EI34526"/>
      <c r="EJ34526"/>
      <c r="EK34526"/>
    </row>
    <row r="34527" spans="1:141" s="116" customFormat="1">
      <c r="A34527" s="136"/>
      <c r="CM34527" s="111"/>
      <c r="CQ34527" s="111"/>
      <c r="EF34527"/>
      <c r="EG34527"/>
      <c r="EH34527"/>
      <c r="EI34527"/>
      <c r="EJ34527"/>
      <c r="EK34527"/>
    </row>
    <row r="34528" spans="1:141" s="116" customFormat="1">
      <c r="A34528" s="136"/>
      <c r="CM34528" s="111"/>
      <c r="CQ34528" s="111"/>
      <c r="EF34528"/>
      <c r="EG34528"/>
      <c r="EH34528"/>
      <c r="EI34528"/>
      <c r="EJ34528"/>
      <c r="EK34528"/>
    </row>
    <row r="34529" spans="1:141" s="116" customFormat="1">
      <c r="A34529" s="136"/>
      <c r="CM34529" s="111"/>
      <c r="CQ34529" s="111"/>
      <c r="EF34529"/>
      <c r="EG34529"/>
      <c r="EH34529"/>
      <c r="EI34529"/>
      <c r="EJ34529"/>
      <c r="EK34529"/>
    </row>
    <row r="34530" spans="1:141" s="116" customFormat="1">
      <c r="A34530" s="136"/>
      <c r="CM34530" s="111"/>
      <c r="CQ34530" s="111"/>
      <c r="EF34530"/>
      <c r="EG34530"/>
      <c r="EH34530"/>
      <c r="EI34530"/>
      <c r="EJ34530"/>
      <c r="EK34530"/>
    </row>
    <row r="34531" spans="1:141" s="116" customFormat="1">
      <c r="A34531" s="136"/>
      <c r="CM34531" s="111"/>
      <c r="CQ34531" s="111"/>
      <c r="EF34531"/>
      <c r="EG34531"/>
      <c r="EH34531"/>
      <c r="EI34531"/>
      <c r="EJ34531"/>
      <c r="EK34531"/>
    </row>
    <row r="34532" spans="1:141" s="116" customFormat="1">
      <c r="A34532" s="136"/>
      <c r="CM34532" s="111"/>
      <c r="CQ34532" s="111"/>
      <c r="EF34532"/>
      <c r="EG34532"/>
      <c r="EH34532"/>
      <c r="EI34532"/>
      <c r="EJ34532"/>
      <c r="EK34532"/>
    </row>
    <row r="34533" spans="1:141" s="116" customFormat="1">
      <c r="A34533" s="136"/>
      <c r="CM34533" s="111"/>
      <c r="CQ34533" s="111"/>
      <c r="EF34533"/>
      <c r="EG34533"/>
      <c r="EH34533"/>
      <c r="EI34533"/>
      <c r="EJ34533"/>
      <c r="EK34533"/>
    </row>
    <row r="34534" spans="1:141" s="116" customFormat="1">
      <c r="A34534" s="136"/>
      <c r="CM34534" s="111"/>
      <c r="CQ34534" s="111"/>
      <c r="EF34534"/>
      <c r="EG34534"/>
      <c r="EH34534"/>
      <c r="EI34534"/>
      <c r="EJ34534"/>
      <c r="EK34534"/>
    </row>
    <row r="34535" spans="1:141" s="116" customFormat="1">
      <c r="A34535" s="136"/>
      <c r="CM34535" s="111"/>
      <c r="CQ34535" s="111"/>
      <c r="EF34535"/>
      <c r="EG34535"/>
      <c r="EH34535"/>
      <c r="EI34535"/>
      <c r="EJ34535"/>
      <c r="EK34535"/>
    </row>
    <row r="34536" spans="1:141" s="116" customFormat="1">
      <c r="A34536" s="136"/>
      <c r="CM34536" s="111"/>
      <c r="CQ34536" s="111"/>
      <c r="EF34536"/>
      <c r="EG34536"/>
      <c r="EH34536"/>
      <c r="EI34536"/>
      <c r="EJ34536"/>
      <c r="EK34536"/>
    </row>
    <row r="34537" spans="1:141" s="116" customFormat="1">
      <c r="A34537" s="136"/>
      <c r="CM34537" s="111"/>
      <c r="CQ34537" s="111"/>
      <c r="EF34537"/>
      <c r="EG34537"/>
      <c r="EH34537"/>
      <c r="EI34537"/>
      <c r="EJ34537"/>
      <c r="EK34537"/>
    </row>
    <row r="34538" spans="1:141" s="116" customFormat="1">
      <c r="A34538" s="136"/>
      <c r="CM34538" s="111"/>
      <c r="CQ34538" s="111"/>
      <c r="EF34538"/>
      <c r="EG34538"/>
      <c r="EH34538"/>
      <c r="EI34538"/>
      <c r="EJ34538"/>
      <c r="EK34538"/>
    </row>
    <row r="34539" spans="1:141" s="116" customFormat="1">
      <c r="A34539" s="136"/>
      <c r="CM34539" s="111"/>
      <c r="CQ34539" s="111"/>
      <c r="EF34539"/>
      <c r="EG34539"/>
      <c r="EH34539"/>
      <c r="EI34539"/>
      <c r="EJ34539"/>
      <c r="EK34539"/>
    </row>
    <row r="34540" spans="1:141" s="116" customFormat="1">
      <c r="A34540" s="136"/>
      <c r="CM34540" s="111"/>
      <c r="CQ34540" s="111"/>
      <c r="EF34540"/>
      <c r="EG34540"/>
      <c r="EH34540"/>
      <c r="EI34540"/>
      <c r="EJ34540"/>
      <c r="EK34540"/>
    </row>
    <row r="34541" spans="1:141" s="116" customFormat="1">
      <c r="A34541" s="136"/>
      <c r="CM34541" s="111"/>
      <c r="CQ34541" s="111"/>
      <c r="EF34541"/>
      <c r="EG34541"/>
      <c r="EH34541"/>
      <c r="EI34541"/>
      <c r="EJ34541"/>
      <c r="EK34541"/>
    </row>
    <row r="34542" spans="1:141" s="116" customFormat="1">
      <c r="A34542" s="136"/>
      <c r="CM34542" s="111"/>
      <c r="CQ34542" s="111"/>
      <c r="EF34542"/>
      <c r="EG34542"/>
      <c r="EH34542"/>
      <c r="EI34542"/>
      <c r="EJ34542"/>
      <c r="EK34542"/>
    </row>
    <row r="34543" spans="1:141" s="116" customFormat="1">
      <c r="A34543" s="136"/>
      <c r="CM34543" s="111"/>
      <c r="CQ34543" s="111"/>
      <c r="EF34543"/>
      <c r="EG34543"/>
      <c r="EH34543"/>
      <c r="EI34543"/>
      <c r="EJ34543"/>
      <c r="EK34543"/>
    </row>
    <row r="34544" spans="1:141" s="116" customFormat="1">
      <c r="A34544" s="136"/>
      <c r="CM34544" s="111"/>
      <c r="CQ34544" s="111"/>
      <c r="EF34544"/>
      <c r="EG34544"/>
      <c r="EH34544"/>
      <c r="EI34544"/>
      <c r="EJ34544"/>
      <c r="EK34544"/>
    </row>
    <row r="34545" spans="1:141" s="116" customFormat="1">
      <c r="A34545" s="136"/>
      <c r="CM34545" s="111"/>
      <c r="CQ34545" s="111"/>
      <c r="EF34545"/>
      <c r="EG34545"/>
      <c r="EH34545"/>
      <c r="EI34545"/>
      <c r="EJ34545"/>
      <c r="EK34545"/>
    </row>
    <row r="34546" spans="1:141" s="116" customFormat="1">
      <c r="A34546" s="136"/>
      <c r="CM34546" s="111"/>
      <c r="CQ34546" s="111"/>
      <c r="EF34546"/>
      <c r="EG34546"/>
      <c r="EH34546"/>
      <c r="EI34546"/>
      <c r="EJ34546"/>
      <c r="EK34546"/>
    </row>
    <row r="34547" spans="1:141" s="116" customFormat="1">
      <c r="A34547" s="136"/>
      <c r="CM34547" s="111"/>
      <c r="CQ34547" s="111"/>
      <c r="EF34547"/>
      <c r="EG34547"/>
      <c r="EH34547"/>
      <c r="EI34547"/>
      <c r="EJ34547"/>
      <c r="EK34547"/>
    </row>
    <row r="34548" spans="1:141" s="116" customFormat="1">
      <c r="A34548" s="136"/>
      <c r="CM34548" s="111"/>
      <c r="CQ34548" s="111"/>
      <c r="EF34548"/>
      <c r="EG34548"/>
      <c r="EH34548"/>
      <c r="EI34548"/>
      <c r="EJ34548"/>
      <c r="EK34548"/>
    </row>
    <row r="34549" spans="1:141" s="116" customFormat="1">
      <c r="A34549" s="136"/>
      <c r="CM34549" s="111"/>
      <c r="CQ34549" s="111"/>
      <c r="EF34549"/>
      <c r="EG34549"/>
      <c r="EH34549"/>
      <c r="EI34549"/>
      <c r="EJ34549"/>
      <c r="EK34549"/>
    </row>
    <row r="34550" spans="1:141" s="116" customFormat="1">
      <c r="A34550" s="136"/>
      <c r="CM34550" s="111"/>
      <c r="CQ34550" s="111"/>
      <c r="EF34550"/>
      <c r="EG34550"/>
      <c r="EH34550"/>
      <c r="EI34550"/>
      <c r="EJ34550"/>
      <c r="EK34550"/>
    </row>
    <row r="34551" spans="1:141" s="116" customFormat="1">
      <c r="A34551" s="136"/>
      <c r="CM34551" s="111"/>
      <c r="CQ34551" s="111"/>
      <c r="EF34551"/>
      <c r="EG34551"/>
      <c r="EH34551"/>
      <c r="EI34551"/>
      <c r="EJ34551"/>
      <c r="EK34551"/>
    </row>
    <row r="34552" spans="1:141" s="116" customFormat="1">
      <c r="A34552" s="136"/>
      <c r="CM34552" s="111"/>
      <c r="CQ34552" s="111"/>
      <c r="EF34552"/>
      <c r="EG34552"/>
      <c r="EH34552"/>
      <c r="EI34552"/>
      <c r="EJ34552"/>
      <c r="EK34552"/>
    </row>
    <row r="34553" spans="1:141" s="116" customFormat="1">
      <c r="A34553" s="136"/>
      <c r="CM34553" s="111"/>
      <c r="CQ34553" s="111"/>
      <c r="EF34553"/>
      <c r="EG34553"/>
      <c r="EH34553"/>
      <c r="EI34553"/>
      <c r="EJ34553"/>
      <c r="EK34553"/>
    </row>
    <row r="34554" spans="1:141" s="116" customFormat="1">
      <c r="A34554" s="136"/>
      <c r="CM34554" s="111"/>
      <c r="CQ34554" s="111"/>
      <c r="EF34554"/>
      <c r="EG34554"/>
      <c r="EH34554"/>
      <c r="EI34554"/>
      <c r="EJ34554"/>
      <c r="EK34554"/>
    </row>
    <row r="34555" spans="1:141" s="116" customFormat="1">
      <c r="A34555" s="136"/>
      <c r="CM34555" s="111"/>
      <c r="CQ34555" s="111"/>
      <c r="EF34555"/>
      <c r="EG34555"/>
      <c r="EH34555"/>
      <c r="EI34555"/>
      <c r="EJ34555"/>
      <c r="EK34555"/>
    </row>
    <row r="34556" spans="1:141" s="116" customFormat="1">
      <c r="A34556" s="136"/>
      <c r="CM34556" s="111"/>
      <c r="CQ34556" s="111"/>
      <c r="EF34556"/>
      <c r="EG34556"/>
      <c r="EH34556"/>
      <c r="EI34556"/>
      <c r="EJ34556"/>
      <c r="EK34556"/>
    </row>
    <row r="34557" spans="1:141" s="116" customFormat="1">
      <c r="A34557" s="136"/>
      <c r="CM34557" s="111"/>
      <c r="CQ34557" s="111"/>
      <c r="EF34557"/>
      <c r="EG34557"/>
      <c r="EH34557"/>
      <c r="EI34557"/>
      <c r="EJ34557"/>
      <c r="EK34557"/>
    </row>
    <row r="34558" spans="1:141" s="116" customFormat="1">
      <c r="A34558" s="136"/>
      <c r="CM34558" s="111"/>
      <c r="CQ34558" s="111"/>
      <c r="EF34558"/>
      <c r="EG34558"/>
      <c r="EH34558"/>
      <c r="EI34558"/>
      <c r="EJ34558"/>
      <c r="EK34558"/>
    </row>
    <row r="34559" spans="1:141" s="116" customFormat="1">
      <c r="A34559" s="136"/>
      <c r="CM34559" s="111"/>
      <c r="CQ34559" s="111"/>
      <c r="EF34559"/>
      <c r="EG34559"/>
      <c r="EH34559"/>
      <c r="EI34559"/>
      <c r="EJ34559"/>
      <c r="EK34559"/>
    </row>
    <row r="34560" spans="1:141" s="116" customFormat="1">
      <c r="A34560" s="136"/>
      <c r="CM34560" s="111"/>
      <c r="CQ34560" s="111"/>
      <c r="EF34560"/>
      <c r="EG34560"/>
      <c r="EH34560"/>
      <c r="EI34560"/>
      <c r="EJ34560"/>
      <c r="EK34560"/>
    </row>
    <row r="34561" spans="1:141" s="116" customFormat="1">
      <c r="A34561" s="136"/>
      <c r="CM34561" s="111"/>
      <c r="CQ34561" s="111"/>
      <c r="EF34561"/>
      <c r="EG34561"/>
      <c r="EH34561"/>
      <c r="EI34561"/>
      <c r="EJ34561"/>
      <c r="EK34561"/>
    </row>
    <row r="34562" spans="1:141" s="116" customFormat="1">
      <c r="A34562" s="136"/>
      <c r="CM34562" s="111"/>
      <c r="CQ34562" s="111"/>
      <c r="EF34562"/>
      <c r="EG34562"/>
      <c r="EH34562"/>
      <c r="EI34562"/>
      <c r="EJ34562"/>
      <c r="EK34562"/>
    </row>
    <row r="34563" spans="1:141" s="116" customFormat="1">
      <c r="A34563" s="136"/>
      <c r="CM34563" s="111"/>
      <c r="CQ34563" s="111"/>
      <c r="EF34563"/>
      <c r="EG34563"/>
      <c r="EH34563"/>
      <c r="EI34563"/>
      <c r="EJ34563"/>
      <c r="EK34563"/>
    </row>
    <row r="34564" spans="1:141" s="116" customFormat="1">
      <c r="A34564" s="136"/>
      <c r="CM34564" s="111"/>
      <c r="CQ34564" s="111"/>
      <c r="EF34564"/>
      <c r="EG34564"/>
      <c r="EH34564"/>
      <c r="EI34564"/>
      <c r="EJ34564"/>
      <c r="EK34564"/>
    </row>
    <row r="34565" spans="1:141" s="116" customFormat="1">
      <c r="A34565" s="136"/>
      <c r="CM34565" s="111"/>
      <c r="CQ34565" s="111"/>
      <c r="EF34565"/>
      <c r="EG34565"/>
      <c r="EH34565"/>
      <c r="EI34565"/>
      <c r="EJ34565"/>
      <c r="EK34565"/>
    </row>
    <row r="34566" spans="1:141" s="116" customFormat="1">
      <c r="A34566" s="136"/>
      <c r="CM34566" s="111"/>
      <c r="CQ34566" s="111"/>
      <c r="EF34566"/>
      <c r="EG34566"/>
      <c r="EH34566"/>
      <c r="EI34566"/>
      <c r="EJ34566"/>
      <c r="EK34566"/>
    </row>
    <row r="34567" spans="1:141" s="116" customFormat="1">
      <c r="A34567" s="136"/>
      <c r="CM34567" s="111"/>
      <c r="CQ34567" s="111"/>
      <c r="EF34567"/>
      <c r="EG34567"/>
      <c r="EH34567"/>
      <c r="EI34567"/>
      <c r="EJ34567"/>
      <c r="EK34567"/>
    </row>
    <row r="34568" spans="1:141" s="116" customFormat="1">
      <c r="A34568" s="136"/>
      <c r="CM34568" s="111"/>
      <c r="CQ34568" s="111"/>
      <c r="EF34568"/>
      <c r="EG34568"/>
      <c r="EH34568"/>
      <c r="EI34568"/>
      <c r="EJ34568"/>
      <c r="EK34568"/>
    </row>
    <row r="34569" spans="1:141" s="116" customFormat="1">
      <c r="A34569" s="136"/>
      <c r="CM34569" s="111"/>
      <c r="CQ34569" s="111"/>
      <c r="EF34569"/>
      <c r="EG34569"/>
      <c r="EH34569"/>
      <c r="EI34569"/>
      <c r="EJ34569"/>
      <c r="EK34569"/>
    </row>
    <row r="34570" spans="1:141" s="116" customFormat="1">
      <c r="A34570" s="136"/>
      <c r="CM34570" s="111"/>
      <c r="CQ34570" s="111"/>
      <c r="EF34570"/>
      <c r="EG34570"/>
      <c r="EH34570"/>
      <c r="EI34570"/>
      <c r="EJ34570"/>
      <c r="EK34570"/>
    </row>
    <row r="34571" spans="1:141" s="116" customFormat="1">
      <c r="A34571" s="136"/>
      <c r="CM34571" s="111"/>
      <c r="CQ34571" s="111"/>
      <c r="EF34571"/>
      <c r="EG34571"/>
      <c r="EH34571"/>
      <c r="EI34571"/>
      <c r="EJ34571"/>
      <c r="EK34571"/>
    </row>
    <row r="34572" spans="1:141" s="116" customFormat="1">
      <c r="A34572" s="136"/>
      <c r="CM34572" s="111"/>
      <c r="CQ34572" s="111"/>
      <c r="EF34572"/>
      <c r="EG34572"/>
      <c r="EH34572"/>
      <c r="EI34572"/>
      <c r="EJ34572"/>
      <c r="EK34572"/>
    </row>
    <row r="34573" spans="1:141" s="116" customFormat="1">
      <c r="A34573" s="136"/>
      <c r="CM34573" s="111"/>
      <c r="CQ34573" s="111"/>
      <c r="EF34573"/>
      <c r="EG34573"/>
      <c r="EH34573"/>
      <c r="EI34573"/>
      <c r="EJ34573"/>
      <c r="EK34573"/>
    </row>
    <row r="34574" spans="1:141" s="116" customFormat="1">
      <c r="A34574" s="136"/>
      <c r="CM34574" s="111"/>
      <c r="CQ34574" s="111"/>
      <c r="EF34574"/>
      <c r="EG34574"/>
      <c r="EH34574"/>
      <c r="EI34574"/>
      <c r="EJ34574"/>
      <c r="EK34574"/>
    </row>
    <row r="34575" spans="1:141" s="116" customFormat="1">
      <c r="A34575" s="136"/>
      <c r="CM34575" s="111"/>
      <c r="CQ34575" s="111"/>
      <c r="EF34575"/>
      <c r="EG34575"/>
      <c r="EH34575"/>
      <c r="EI34575"/>
      <c r="EJ34575"/>
      <c r="EK34575"/>
    </row>
    <row r="34576" spans="1:141" s="116" customFormat="1">
      <c r="A34576" s="136"/>
      <c r="CM34576" s="111"/>
      <c r="CQ34576" s="111"/>
      <c r="EF34576"/>
      <c r="EG34576"/>
      <c r="EH34576"/>
      <c r="EI34576"/>
      <c r="EJ34576"/>
      <c r="EK34576"/>
    </row>
    <row r="34577" spans="1:141" s="116" customFormat="1">
      <c r="A34577" s="136"/>
      <c r="CM34577" s="111"/>
      <c r="CQ34577" s="111"/>
      <c r="EF34577"/>
      <c r="EG34577"/>
      <c r="EH34577"/>
      <c r="EI34577"/>
      <c r="EJ34577"/>
      <c r="EK34577"/>
    </row>
    <row r="34578" spans="1:141" s="116" customFormat="1">
      <c r="A34578" s="136"/>
      <c r="CM34578" s="111"/>
      <c r="CQ34578" s="111"/>
      <c r="EF34578"/>
      <c r="EG34578"/>
      <c r="EH34578"/>
      <c r="EI34578"/>
      <c r="EJ34578"/>
      <c r="EK34578"/>
    </row>
    <row r="34579" spans="1:141" s="116" customFormat="1">
      <c r="A34579" s="136"/>
      <c r="CM34579" s="111"/>
      <c r="CQ34579" s="111"/>
      <c r="EF34579"/>
      <c r="EG34579"/>
      <c r="EH34579"/>
      <c r="EI34579"/>
      <c r="EJ34579"/>
      <c r="EK34579"/>
    </row>
    <row r="34580" spans="1:141" s="116" customFormat="1">
      <c r="A34580" s="136"/>
      <c r="CM34580" s="111"/>
      <c r="CQ34580" s="111"/>
      <c r="EF34580"/>
      <c r="EG34580"/>
      <c r="EH34580"/>
      <c r="EI34580"/>
      <c r="EJ34580"/>
      <c r="EK34580"/>
    </row>
    <row r="34581" spans="1:141" s="116" customFormat="1">
      <c r="A34581" s="136"/>
      <c r="CM34581" s="111"/>
      <c r="CQ34581" s="111"/>
      <c r="EF34581"/>
      <c r="EG34581"/>
      <c r="EH34581"/>
      <c r="EI34581"/>
      <c r="EJ34581"/>
      <c r="EK34581"/>
    </row>
    <row r="34582" spans="1:141" s="116" customFormat="1">
      <c r="A34582" s="136"/>
      <c r="CM34582" s="111"/>
      <c r="CQ34582" s="111"/>
      <c r="EF34582"/>
      <c r="EG34582"/>
      <c r="EH34582"/>
      <c r="EI34582"/>
      <c r="EJ34582"/>
      <c r="EK34582"/>
    </row>
    <row r="34583" spans="1:141" s="116" customFormat="1">
      <c r="A34583" s="136"/>
      <c r="CM34583" s="111"/>
      <c r="CQ34583" s="111"/>
      <c r="EF34583"/>
      <c r="EG34583"/>
      <c r="EH34583"/>
      <c r="EI34583"/>
      <c r="EJ34583"/>
      <c r="EK34583"/>
    </row>
    <row r="34584" spans="1:141" s="116" customFormat="1">
      <c r="A34584" s="136"/>
      <c r="CM34584" s="111"/>
      <c r="CQ34584" s="111"/>
      <c r="EF34584"/>
      <c r="EG34584"/>
      <c r="EH34584"/>
      <c r="EI34584"/>
      <c r="EJ34584"/>
      <c r="EK34584"/>
    </row>
    <row r="34585" spans="1:141" s="116" customFormat="1">
      <c r="A34585" s="136"/>
      <c r="CM34585" s="111"/>
      <c r="CQ34585" s="111"/>
      <c r="EF34585"/>
      <c r="EG34585"/>
      <c r="EH34585"/>
      <c r="EI34585"/>
      <c r="EJ34585"/>
      <c r="EK34585"/>
    </row>
    <row r="34586" spans="1:141" s="116" customFormat="1">
      <c r="A34586" s="136"/>
      <c r="CM34586" s="111"/>
      <c r="CQ34586" s="111"/>
      <c r="EF34586"/>
      <c r="EG34586"/>
      <c r="EH34586"/>
      <c r="EI34586"/>
      <c r="EJ34586"/>
      <c r="EK34586"/>
    </row>
    <row r="34587" spans="1:141" s="116" customFormat="1">
      <c r="A34587" s="136"/>
      <c r="CM34587" s="111"/>
      <c r="CQ34587" s="111"/>
      <c r="EF34587"/>
      <c r="EG34587"/>
      <c r="EH34587"/>
      <c r="EI34587"/>
      <c r="EJ34587"/>
      <c r="EK34587"/>
    </row>
    <row r="34588" spans="1:141" s="116" customFormat="1">
      <c r="A34588" s="136"/>
      <c r="CM34588" s="111"/>
      <c r="CQ34588" s="111"/>
      <c r="EF34588"/>
      <c r="EG34588"/>
      <c r="EH34588"/>
      <c r="EI34588"/>
      <c r="EJ34588"/>
      <c r="EK34588"/>
    </row>
    <row r="34589" spans="1:141" s="116" customFormat="1">
      <c r="A34589" s="136"/>
      <c r="CM34589" s="111"/>
      <c r="CQ34589" s="111"/>
      <c r="EF34589"/>
      <c r="EG34589"/>
      <c r="EH34589"/>
      <c r="EI34589"/>
      <c r="EJ34589"/>
      <c r="EK34589"/>
    </row>
    <row r="34590" spans="1:141" s="116" customFormat="1">
      <c r="A34590" s="136"/>
      <c r="CM34590" s="111"/>
      <c r="CQ34590" s="111"/>
      <c r="EF34590"/>
      <c r="EG34590"/>
      <c r="EH34590"/>
      <c r="EI34590"/>
      <c r="EJ34590"/>
      <c r="EK34590"/>
    </row>
    <row r="34591" spans="1:141" s="116" customFormat="1">
      <c r="A34591" s="136"/>
      <c r="CM34591" s="111"/>
      <c r="CQ34591" s="111"/>
      <c r="EF34591"/>
      <c r="EG34591"/>
      <c r="EH34591"/>
      <c r="EI34591"/>
      <c r="EJ34591"/>
      <c r="EK34591"/>
    </row>
    <row r="34592" spans="1:141" s="116" customFormat="1">
      <c r="A34592" s="136"/>
      <c r="CM34592" s="111"/>
      <c r="CQ34592" s="111"/>
      <c r="EF34592"/>
      <c r="EG34592"/>
      <c r="EH34592"/>
      <c r="EI34592"/>
      <c r="EJ34592"/>
      <c r="EK34592"/>
    </row>
    <row r="34593" spans="1:141" s="116" customFormat="1">
      <c r="A34593" s="136"/>
      <c r="CM34593" s="111"/>
      <c r="CQ34593" s="111"/>
      <c r="EF34593"/>
      <c r="EG34593"/>
      <c r="EH34593"/>
      <c r="EI34593"/>
      <c r="EJ34593"/>
      <c r="EK34593"/>
    </row>
    <row r="34594" spans="1:141" s="116" customFormat="1">
      <c r="A34594" s="136"/>
      <c r="CM34594" s="111"/>
      <c r="CQ34594" s="111"/>
      <c r="EF34594"/>
      <c r="EG34594"/>
      <c r="EH34594"/>
      <c r="EI34594"/>
      <c r="EJ34594"/>
      <c r="EK34594"/>
    </row>
    <row r="34595" spans="1:141" s="116" customFormat="1">
      <c r="A34595" s="136"/>
      <c r="CM34595" s="111"/>
      <c r="CQ34595" s="111"/>
      <c r="EF34595"/>
      <c r="EG34595"/>
      <c r="EH34595"/>
      <c r="EI34595"/>
      <c r="EJ34595"/>
      <c r="EK34595"/>
    </row>
    <row r="34596" spans="1:141" s="116" customFormat="1">
      <c r="A34596" s="136"/>
      <c r="CM34596" s="111"/>
      <c r="CQ34596" s="111"/>
      <c r="EF34596"/>
      <c r="EG34596"/>
      <c r="EH34596"/>
      <c r="EI34596"/>
      <c r="EJ34596"/>
      <c r="EK34596"/>
    </row>
    <row r="34597" spans="1:141" s="116" customFormat="1">
      <c r="A34597" s="136"/>
      <c r="CM34597" s="111"/>
      <c r="CQ34597" s="111"/>
      <c r="EF34597"/>
      <c r="EG34597"/>
      <c r="EH34597"/>
      <c r="EI34597"/>
      <c r="EJ34597"/>
      <c r="EK34597"/>
    </row>
    <row r="34598" spans="1:141" s="116" customFormat="1">
      <c r="A34598" s="136"/>
      <c r="CM34598" s="111"/>
      <c r="CQ34598" s="111"/>
      <c r="EF34598"/>
      <c r="EG34598"/>
      <c r="EH34598"/>
      <c r="EI34598"/>
      <c r="EJ34598"/>
      <c r="EK34598"/>
    </row>
    <row r="34599" spans="1:141" s="116" customFormat="1">
      <c r="A34599" s="136"/>
      <c r="CM34599" s="111"/>
      <c r="CQ34599" s="111"/>
      <c r="EF34599"/>
      <c r="EG34599"/>
      <c r="EH34599"/>
      <c r="EI34599"/>
      <c r="EJ34599"/>
      <c r="EK34599"/>
    </row>
    <row r="34600" spans="1:141" s="116" customFormat="1">
      <c r="A34600" s="136"/>
      <c r="CM34600" s="111"/>
      <c r="CQ34600" s="111"/>
      <c r="EF34600"/>
      <c r="EG34600"/>
      <c r="EH34600"/>
      <c r="EI34600"/>
      <c r="EJ34600"/>
      <c r="EK34600"/>
    </row>
    <row r="34601" spans="1:141" s="116" customFormat="1">
      <c r="A34601" s="136"/>
      <c r="CM34601" s="111"/>
      <c r="CQ34601" s="111"/>
      <c r="EF34601"/>
      <c r="EG34601"/>
      <c r="EH34601"/>
      <c r="EI34601"/>
      <c r="EJ34601"/>
      <c r="EK34601"/>
    </row>
    <row r="34602" spans="1:141" s="116" customFormat="1">
      <c r="A34602" s="136"/>
      <c r="CM34602" s="111"/>
      <c r="CQ34602" s="111"/>
      <c r="EF34602"/>
      <c r="EG34602"/>
      <c r="EH34602"/>
      <c r="EI34602"/>
      <c r="EJ34602"/>
      <c r="EK34602"/>
    </row>
    <row r="34603" spans="1:141" s="116" customFormat="1">
      <c r="A34603" s="136"/>
      <c r="CM34603" s="111"/>
      <c r="CQ34603" s="111"/>
      <c r="EF34603"/>
      <c r="EG34603"/>
      <c r="EH34603"/>
      <c r="EI34603"/>
      <c r="EJ34603"/>
      <c r="EK34603"/>
    </row>
    <row r="34604" spans="1:141" s="116" customFormat="1">
      <c r="A34604" s="136"/>
      <c r="CM34604" s="111"/>
      <c r="CQ34604" s="111"/>
      <c r="EF34604"/>
      <c r="EG34604"/>
      <c r="EH34604"/>
      <c r="EI34604"/>
      <c r="EJ34604"/>
      <c r="EK34604"/>
    </row>
    <row r="34605" spans="1:141" s="116" customFormat="1">
      <c r="A34605" s="136"/>
      <c r="CM34605" s="111"/>
      <c r="CQ34605" s="111"/>
      <c r="EF34605"/>
      <c r="EG34605"/>
      <c r="EH34605"/>
      <c r="EI34605"/>
      <c r="EJ34605"/>
      <c r="EK34605"/>
    </row>
    <row r="34606" spans="1:141" s="116" customFormat="1">
      <c r="A34606" s="136"/>
      <c r="CM34606" s="111"/>
      <c r="CQ34606" s="111"/>
      <c r="EF34606"/>
      <c r="EG34606"/>
      <c r="EH34606"/>
      <c r="EI34606"/>
      <c r="EJ34606"/>
      <c r="EK34606"/>
    </row>
    <row r="34607" spans="1:141" s="116" customFormat="1">
      <c r="A34607" s="136"/>
      <c r="CM34607" s="111"/>
      <c r="CQ34607" s="111"/>
      <c r="EF34607"/>
      <c r="EG34607"/>
      <c r="EH34607"/>
      <c r="EI34607"/>
      <c r="EJ34607"/>
      <c r="EK34607"/>
    </row>
    <row r="34608" spans="1:141" s="116" customFormat="1">
      <c r="A34608" s="136"/>
      <c r="CM34608" s="111"/>
      <c r="CQ34608" s="111"/>
      <c r="EF34608"/>
      <c r="EG34608"/>
      <c r="EH34608"/>
      <c r="EI34608"/>
      <c r="EJ34608"/>
      <c r="EK34608"/>
    </row>
    <row r="34609" spans="1:141" s="116" customFormat="1">
      <c r="A34609" s="136"/>
      <c r="CM34609" s="111"/>
      <c r="CQ34609" s="111"/>
      <c r="EF34609"/>
      <c r="EG34609"/>
      <c r="EH34609"/>
      <c r="EI34609"/>
      <c r="EJ34609"/>
      <c r="EK34609"/>
    </row>
    <row r="34610" spans="1:141" s="116" customFormat="1">
      <c r="A34610" s="136"/>
      <c r="CM34610" s="111"/>
      <c r="CQ34610" s="111"/>
      <c r="EF34610"/>
      <c r="EG34610"/>
      <c r="EH34610"/>
      <c r="EI34610"/>
      <c r="EJ34610"/>
      <c r="EK34610"/>
    </row>
    <row r="34611" spans="1:141" s="116" customFormat="1">
      <c r="A34611" s="136"/>
      <c r="CM34611" s="111"/>
      <c r="CQ34611" s="111"/>
      <c r="EF34611"/>
      <c r="EG34611"/>
      <c r="EH34611"/>
      <c r="EI34611"/>
      <c r="EJ34611"/>
      <c r="EK34611"/>
    </row>
    <row r="34612" spans="1:141" s="116" customFormat="1">
      <c r="A34612" s="136"/>
      <c r="CM34612" s="111"/>
      <c r="CQ34612" s="111"/>
      <c r="EF34612"/>
      <c r="EG34612"/>
      <c r="EH34612"/>
      <c r="EI34612"/>
      <c r="EJ34612"/>
      <c r="EK34612"/>
    </row>
    <row r="34613" spans="1:141" s="116" customFormat="1">
      <c r="A34613" s="136"/>
      <c r="CM34613" s="111"/>
      <c r="CQ34613" s="111"/>
      <c r="EF34613"/>
      <c r="EG34613"/>
      <c r="EH34613"/>
      <c r="EI34613"/>
      <c r="EJ34613"/>
      <c r="EK34613"/>
    </row>
    <row r="34614" spans="1:141" s="116" customFormat="1">
      <c r="A34614" s="136"/>
      <c r="CM34614" s="111"/>
      <c r="CQ34614" s="111"/>
      <c r="EF34614"/>
      <c r="EG34614"/>
      <c r="EH34614"/>
      <c r="EI34614"/>
      <c r="EJ34614"/>
      <c r="EK34614"/>
    </row>
    <row r="34615" spans="1:141" s="116" customFormat="1">
      <c r="A34615" s="136"/>
      <c r="CM34615" s="111"/>
      <c r="CQ34615" s="111"/>
      <c r="EF34615"/>
      <c r="EG34615"/>
      <c r="EH34615"/>
      <c r="EI34615"/>
      <c r="EJ34615"/>
      <c r="EK34615"/>
    </row>
    <row r="34616" spans="1:141" s="116" customFormat="1">
      <c r="A34616" s="136"/>
      <c r="CM34616" s="111"/>
      <c r="CQ34616" s="111"/>
      <c r="EF34616"/>
      <c r="EG34616"/>
      <c r="EH34616"/>
      <c r="EI34616"/>
      <c r="EJ34616"/>
      <c r="EK34616"/>
    </row>
    <row r="34617" spans="1:141" s="116" customFormat="1">
      <c r="A34617" s="136"/>
      <c r="CM34617" s="111"/>
      <c r="CQ34617" s="111"/>
      <c r="EF34617"/>
      <c r="EG34617"/>
      <c r="EH34617"/>
      <c r="EI34617"/>
      <c r="EJ34617"/>
      <c r="EK34617"/>
    </row>
    <row r="34618" spans="1:141" s="116" customFormat="1">
      <c r="A34618" s="136"/>
      <c r="CM34618" s="111"/>
      <c r="CQ34618" s="111"/>
      <c r="EF34618"/>
      <c r="EG34618"/>
      <c r="EH34618"/>
      <c r="EI34618"/>
      <c r="EJ34618"/>
      <c r="EK34618"/>
    </row>
    <row r="34619" spans="1:141" s="116" customFormat="1">
      <c r="A34619" s="136"/>
      <c r="CM34619" s="111"/>
      <c r="CQ34619" s="111"/>
      <c r="EF34619"/>
      <c r="EG34619"/>
      <c r="EH34619"/>
      <c r="EI34619"/>
      <c r="EJ34619"/>
      <c r="EK34619"/>
    </row>
    <row r="34620" spans="1:141" s="116" customFormat="1">
      <c r="A34620" s="136"/>
      <c r="CM34620" s="111"/>
      <c r="CQ34620" s="111"/>
      <c r="EF34620"/>
      <c r="EG34620"/>
      <c r="EH34620"/>
      <c r="EI34620"/>
      <c r="EJ34620"/>
      <c r="EK34620"/>
    </row>
    <row r="34621" spans="1:141" s="116" customFormat="1">
      <c r="A34621" s="136"/>
      <c r="CM34621" s="111"/>
      <c r="CQ34621" s="111"/>
      <c r="EF34621"/>
      <c r="EG34621"/>
      <c r="EH34621"/>
      <c r="EI34621"/>
      <c r="EJ34621"/>
      <c r="EK34621"/>
    </row>
    <row r="34622" spans="1:141" s="116" customFormat="1">
      <c r="A34622" s="136"/>
      <c r="CM34622" s="111"/>
      <c r="CQ34622" s="111"/>
      <c r="EF34622"/>
      <c r="EG34622"/>
      <c r="EH34622"/>
      <c r="EI34622"/>
      <c r="EJ34622"/>
      <c r="EK34622"/>
    </row>
    <row r="34623" spans="1:141" s="116" customFormat="1">
      <c r="A34623" s="136"/>
      <c r="CM34623" s="111"/>
      <c r="CQ34623" s="111"/>
      <c r="EF34623"/>
      <c r="EG34623"/>
      <c r="EH34623"/>
      <c r="EI34623"/>
      <c r="EJ34623"/>
      <c r="EK34623"/>
    </row>
    <row r="34624" spans="1:141" s="116" customFormat="1">
      <c r="A34624" s="136"/>
      <c r="CM34624" s="111"/>
      <c r="CQ34624" s="111"/>
      <c r="EF34624"/>
      <c r="EG34624"/>
      <c r="EH34624"/>
      <c r="EI34624"/>
      <c r="EJ34624"/>
      <c r="EK34624"/>
    </row>
    <row r="34625" spans="1:141" s="116" customFormat="1">
      <c r="A34625" s="136"/>
      <c r="CM34625" s="111"/>
      <c r="CQ34625" s="111"/>
      <c r="EF34625"/>
      <c r="EG34625"/>
      <c r="EH34625"/>
      <c r="EI34625"/>
      <c r="EJ34625"/>
      <c r="EK34625"/>
    </row>
    <row r="34626" spans="1:141" s="116" customFormat="1">
      <c r="A34626" s="136"/>
      <c r="CM34626" s="111"/>
      <c r="CQ34626" s="111"/>
      <c r="EF34626"/>
      <c r="EG34626"/>
      <c r="EH34626"/>
      <c r="EI34626"/>
      <c r="EJ34626"/>
      <c r="EK34626"/>
    </row>
    <row r="34627" spans="1:141" s="116" customFormat="1">
      <c r="A34627" s="136"/>
      <c r="CM34627" s="111"/>
      <c r="CQ34627" s="111"/>
      <c r="EF34627"/>
      <c r="EG34627"/>
      <c r="EH34627"/>
      <c r="EI34627"/>
      <c r="EJ34627"/>
      <c r="EK34627"/>
    </row>
    <row r="34628" spans="1:141" s="116" customFormat="1">
      <c r="A34628" s="136"/>
      <c r="CM34628" s="111"/>
      <c r="CQ34628" s="111"/>
      <c r="EF34628"/>
      <c r="EG34628"/>
      <c r="EH34628"/>
      <c r="EI34628"/>
      <c r="EJ34628"/>
      <c r="EK34628"/>
    </row>
    <row r="34629" spans="1:141" s="116" customFormat="1">
      <c r="A34629" s="136"/>
      <c r="CM34629" s="111"/>
      <c r="CQ34629" s="111"/>
      <c r="EF34629"/>
      <c r="EG34629"/>
      <c r="EH34629"/>
      <c r="EI34629"/>
      <c r="EJ34629"/>
      <c r="EK34629"/>
    </row>
    <row r="34630" spans="1:141" s="116" customFormat="1">
      <c r="A34630" s="136"/>
      <c r="CM34630" s="111"/>
      <c r="CQ34630" s="111"/>
      <c r="EF34630"/>
      <c r="EG34630"/>
      <c r="EH34630"/>
      <c r="EI34630"/>
      <c r="EJ34630"/>
      <c r="EK34630"/>
    </row>
    <row r="34631" spans="1:141" s="116" customFormat="1">
      <c r="A34631" s="136"/>
      <c r="CM34631" s="111"/>
      <c r="CQ34631" s="111"/>
      <c r="EF34631"/>
      <c r="EG34631"/>
      <c r="EH34631"/>
      <c r="EI34631"/>
      <c r="EJ34631"/>
      <c r="EK34631"/>
    </row>
    <row r="34632" spans="1:141" s="116" customFormat="1">
      <c r="A34632" s="136"/>
      <c r="CM34632" s="111"/>
      <c r="CQ34632" s="111"/>
      <c r="EF34632"/>
      <c r="EG34632"/>
      <c r="EH34632"/>
      <c r="EI34632"/>
      <c r="EJ34632"/>
      <c r="EK34632"/>
    </row>
    <row r="34633" spans="1:141" s="116" customFormat="1">
      <c r="A34633" s="136"/>
      <c r="CM34633" s="111"/>
      <c r="CQ34633" s="111"/>
      <c r="EF34633"/>
      <c r="EG34633"/>
      <c r="EH34633"/>
      <c r="EI34633"/>
      <c r="EJ34633"/>
      <c r="EK34633"/>
    </row>
    <row r="34634" spans="1:141" s="116" customFormat="1">
      <c r="A34634" s="136"/>
      <c r="CM34634" s="111"/>
      <c r="CQ34634" s="111"/>
      <c r="EF34634"/>
      <c r="EG34634"/>
      <c r="EH34634"/>
      <c r="EI34634"/>
      <c r="EJ34634"/>
      <c r="EK34634"/>
    </row>
    <row r="34635" spans="1:141" s="116" customFormat="1">
      <c r="A34635" s="136"/>
      <c r="CM34635" s="111"/>
      <c r="CQ34635" s="111"/>
      <c r="EF34635"/>
      <c r="EG34635"/>
      <c r="EH34635"/>
      <c r="EI34635"/>
      <c r="EJ34635"/>
      <c r="EK34635"/>
    </row>
    <row r="34636" spans="1:141" s="116" customFormat="1">
      <c r="A34636" s="136"/>
      <c r="CM34636" s="111"/>
      <c r="CQ34636" s="111"/>
      <c r="EF34636"/>
      <c r="EG34636"/>
      <c r="EH34636"/>
      <c r="EI34636"/>
      <c r="EJ34636"/>
      <c r="EK34636"/>
    </row>
    <row r="34637" spans="1:141" s="116" customFormat="1">
      <c r="A34637" s="136"/>
      <c r="CM34637" s="111"/>
      <c r="CQ34637" s="111"/>
      <c r="EF34637"/>
      <c r="EG34637"/>
      <c r="EH34637"/>
      <c r="EI34637"/>
      <c r="EJ34637"/>
      <c r="EK34637"/>
    </row>
    <row r="34638" spans="1:141" s="116" customFormat="1">
      <c r="A34638" s="136"/>
      <c r="CM34638" s="111"/>
      <c r="CQ34638" s="111"/>
      <c r="EF34638"/>
      <c r="EG34638"/>
      <c r="EH34638"/>
      <c r="EI34638"/>
      <c r="EJ34638"/>
      <c r="EK34638"/>
    </row>
    <row r="34639" spans="1:141" s="116" customFormat="1">
      <c r="A34639" s="136"/>
      <c r="CM34639" s="111"/>
      <c r="CQ34639" s="111"/>
      <c r="EF34639"/>
      <c r="EG34639"/>
      <c r="EH34639"/>
      <c r="EI34639"/>
      <c r="EJ34639"/>
      <c r="EK34639"/>
    </row>
    <row r="34640" spans="1:141" s="116" customFormat="1">
      <c r="A34640" s="136"/>
      <c r="CM34640" s="111"/>
      <c r="CQ34640" s="111"/>
      <c r="EF34640"/>
      <c r="EG34640"/>
      <c r="EH34640"/>
      <c r="EI34640"/>
      <c r="EJ34640"/>
      <c r="EK34640"/>
    </row>
    <row r="34641" spans="1:141" s="116" customFormat="1">
      <c r="A34641" s="136"/>
      <c r="CM34641" s="111"/>
      <c r="CQ34641" s="111"/>
      <c r="EF34641"/>
      <c r="EG34641"/>
      <c r="EH34641"/>
      <c r="EI34641"/>
      <c r="EJ34641"/>
      <c r="EK34641"/>
    </row>
    <row r="34642" spans="1:141" s="116" customFormat="1">
      <c r="A34642" s="136"/>
      <c r="CM34642" s="111"/>
      <c r="CQ34642" s="111"/>
      <c r="EF34642"/>
      <c r="EG34642"/>
      <c r="EH34642"/>
      <c r="EI34642"/>
      <c r="EJ34642"/>
      <c r="EK34642"/>
    </row>
    <row r="34643" spans="1:141" s="116" customFormat="1">
      <c r="A34643" s="136"/>
      <c r="CM34643" s="111"/>
      <c r="CQ34643" s="111"/>
      <c r="EF34643"/>
      <c r="EG34643"/>
      <c r="EH34643"/>
      <c r="EI34643"/>
      <c r="EJ34643"/>
      <c r="EK34643"/>
    </row>
    <row r="34644" spans="1:141" s="116" customFormat="1">
      <c r="A34644" s="136"/>
      <c r="CM34644" s="111"/>
      <c r="CQ34644" s="111"/>
      <c r="EF34644"/>
      <c r="EG34644"/>
      <c r="EH34644"/>
      <c r="EI34644"/>
      <c r="EJ34644"/>
      <c r="EK34644"/>
    </row>
    <row r="34645" spans="1:141" s="116" customFormat="1">
      <c r="A34645" s="136"/>
      <c r="CM34645" s="111"/>
      <c r="CQ34645" s="111"/>
      <c r="EF34645"/>
      <c r="EG34645"/>
      <c r="EH34645"/>
      <c r="EI34645"/>
      <c r="EJ34645"/>
      <c r="EK34645"/>
    </row>
    <row r="34646" spans="1:141" s="116" customFormat="1">
      <c r="A34646" s="136"/>
      <c r="CM34646" s="111"/>
      <c r="CQ34646" s="111"/>
      <c r="EF34646"/>
      <c r="EG34646"/>
      <c r="EH34646"/>
      <c r="EI34646"/>
      <c r="EJ34646"/>
      <c r="EK34646"/>
    </row>
    <row r="34647" spans="1:141" s="116" customFormat="1">
      <c r="A34647" s="136"/>
      <c r="CM34647" s="111"/>
      <c r="CQ34647" s="111"/>
      <c r="EF34647"/>
      <c r="EG34647"/>
      <c r="EH34647"/>
      <c r="EI34647"/>
      <c r="EJ34647"/>
      <c r="EK34647"/>
    </row>
    <row r="34648" spans="1:141" s="116" customFormat="1">
      <c r="A34648" s="136"/>
      <c r="CM34648" s="111"/>
      <c r="CQ34648" s="111"/>
      <c r="EF34648"/>
      <c r="EG34648"/>
      <c r="EH34648"/>
      <c r="EI34648"/>
      <c r="EJ34648"/>
      <c r="EK34648"/>
    </row>
    <row r="34649" spans="1:141" s="116" customFormat="1">
      <c r="A34649" s="136"/>
      <c r="CM34649" s="111"/>
      <c r="CQ34649" s="111"/>
      <c r="EF34649"/>
      <c r="EG34649"/>
      <c r="EH34649"/>
      <c r="EI34649"/>
      <c r="EJ34649"/>
      <c r="EK34649"/>
    </row>
    <row r="34650" spans="1:141" s="116" customFormat="1">
      <c r="A34650" s="136"/>
      <c r="CM34650" s="111"/>
      <c r="CQ34650" s="111"/>
      <c r="EF34650"/>
      <c r="EG34650"/>
      <c r="EH34650"/>
      <c r="EI34650"/>
      <c r="EJ34650"/>
      <c r="EK34650"/>
    </row>
    <row r="34651" spans="1:141" s="116" customFormat="1">
      <c r="A34651" s="136"/>
      <c r="CM34651" s="111"/>
      <c r="CQ34651" s="111"/>
      <c r="EF34651"/>
      <c r="EG34651"/>
      <c r="EH34651"/>
      <c r="EI34651"/>
      <c r="EJ34651"/>
      <c r="EK34651"/>
    </row>
    <row r="34652" spans="1:141" s="116" customFormat="1">
      <c r="A34652" s="136"/>
      <c r="CM34652" s="111"/>
      <c r="CQ34652" s="111"/>
      <c r="EF34652"/>
      <c r="EG34652"/>
      <c r="EH34652"/>
      <c r="EI34652"/>
      <c r="EJ34652"/>
      <c r="EK34652"/>
    </row>
    <row r="34653" spans="1:141" s="116" customFormat="1">
      <c r="A34653" s="136"/>
      <c r="CM34653" s="111"/>
      <c r="CQ34653" s="111"/>
      <c r="EF34653"/>
      <c r="EG34653"/>
      <c r="EH34653"/>
      <c r="EI34653"/>
      <c r="EJ34653"/>
      <c r="EK34653"/>
    </row>
    <row r="34654" spans="1:141" s="116" customFormat="1">
      <c r="A34654" s="136"/>
      <c r="CM34654" s="111"/>
      <c r="CQ34654" s="111"/>
      <c r="EF34654"/>
      <c r="EG34654"/>
      <c r="EH34654"/>
      <c r="EI34654"/>
      <c r="EJ34654"/>
      <c r="EK34654"/>
    </row>
    <row r="34655" spans="1:141" s="116" customFormat="1">
      <c r="A34655" s="136"/>
      <c r="CM34655" s="111"/>
      <c r="CQ34655" s="111"/>
      <c r="EF34655"/>
      <c r="EG34655"/>
      <c r="EH34655"/>
      <c r="EI34655"/>
      <c r="EJ34655"/>
      <c r="EK34655"/>
    </row>
    <row r="34656" spans="1:141" s="116" customFormat="1">
      <c r="A34656" s="136"/>
      <c r="CM34656" s="111"/>
      <c r="CQ34656" s="111"/>
      <c r="EF34656"/>
      <c r="EG34656"/>
      <c r="EH34656"/>
      <c r="EI34656"/>
      <c r="EJ34656"/>
      <c r="EK34656"/>
    </row>
    <row r="34657" spans="1:141" s="116" customFormat="1">
      <c r="A34657" s="136"/>
      <c r="CM34657" s="111"/>
      <c r="CQ34657" s="111"/>
      <c r="EF34657"/>
      <c r="EG34657"/>
      <c r="EH34657"/>
      <c r="EI34657"/>
      <c r="EJ34657"/>
      <c r="EK34657"/>
    </row>
    <row r="34658" spans="1:141" s="116" customFormat="1">
      <c r="A34658" s="136"/>
      <c r="CM34658" s="111"/>
      <c r="CQ34658" s="111"/>
      <c r="EF34658"/>
      <c r="EG34658"/>
      <c r="EH34658"/>
      <c r="EI34658"/>
      <c r="EJ34658"/>
      <c r="EK34658"/>
    </row>
    <row r="34659" spans="1:141" s="116" customFormat="1">
      <c r="A34659" s="136"/>
      <c r="CM34659" s="111"/>
      <c r="CQ34659" s="111"/>
      <c r="EF34659"/>
      <c r="EG34659"/>
      <c r="EH34659"/>
      <c r="EI34659"/>
      <c r="EJ34659"/>
      <c r="EK34659"/>
    </row>
    <row r="34660" spans="1:141" s="116" customFormat="1">
      <c r="A34660" s="136"/>
      <c r="CM34660" s="111"/>
      <c r="CQ34660" s="111"/>
      <c r="EF34660"/>
      <c r="EG34660"/>
      <c r="EH34660"/>
      <c r="EI34660"/>
      <c r="EJ34660"/>
      <c r="EK34660"/>
    </row>
    <row r="34661" spans="1:141" s="116" customFormat="1">
      <c r="A34661" s="136"/>
      <c r="CM34661" s="111"/>
      <c r="CQ34661" s="111"/>
      <c r="EF34661"/>
      <c r="EG34661"/>
      <c r="EH34661"/>
      <c r="EI34661"/>
      <c r="EJ34661"/>
      <c r="EK34661"/>
    </row>
    <row r="34662" spans="1:141" s="116" customFormat="1">
      <c r="A34662" s="136"/>
      <c r="CM34662" s="111"/>
      <c r="CQ34662" s="111"/>
      <c r="EF34662"/>
      <c r="EG34662"/>
      <c r="EH34662"/>
      <c r="EI34662"/>
      <c r="EJ34662"/>
      <c r="EK34662"/>
    </row>
    <row r="34663" spans="1:141" s="116" customFormat="1">
      <c r="A34663" s="136"/>
      <c r="CM34663" s="111"/>
      <c r="CQ34663" s="111"/>
      <c r="EF34663"/>
      <c r="EG34663"/>
      <c r="EH34663"/>
      <c r="EI34663"/>
      <c r="EJ34663"/>
      <c r="EK34663"/>
    </row>
    <row r="34664" spans="1:141" s="116" customFormat="1">
      <c r="A34664" s="136"/>
      <c r="CM34664" s="111"/>
      <c r="CQ34664" s="111"/>
      <c r="EF34664"/>
      <c r="EG34664"/>
      <c r="EH34664"/>
      <c r="EI34664"/>
      <c r="EJ34664"/>
      <c r="EK34664"/>
    </row>
    <row r="34665" spans="1:141" s="116" customFormat="1">
      <c r="A34665" s="136"/>
      <c r="CM34665" s="111"/>
      <c r="CQ34665" s="111"/>
      <c r="EF34665"/>
      <c r="EG34665"/>
      <c r="EH34665"/>
      <c r="EI34665"/>
      <c r="EJ34665"/>
      <c r="EK34665"/>
    </row>
    <row r="34666" spans="1:141" s="116" customFormat="1">
      <c r="A34666" s="136"/>
      <c r="CM34666" s="111"/>
      <c r="CQ34666" s="111"/>
      <c r="EF34666"/>
      <c r="EG34666"/>
      <c r="EH34666"/>
      <c r="EI34666"/>
      <c r="EJ34666"/>
      <c r="EK34666"/>
    </row>
    <row r="34667" spans="1:141" s="116" customFormat="1">
      <c r="A34667" s="136"/>
      <c r="CM34667" s="111"/>
      <c r="CQ34667" s="111"/>
      <c r="EF34667"/>
      <c r="EG34667"/>
      <c r="EH34667"/>
      <c r="EI34667"/>
      <c r="EJ34667"/>
      <c r="EK34667"/>
    </row>
    <row r="34668" spans="1:141" s="116" customFormat="1">
      <c r="A34668" s="136"/>
      <c r="CM34668" s="111"/>
      <c r="CQ34668" s="111"/>
      <c r="EF34668"/>
      <c r="EG34668"/>
      <c r="EH34668"/>
      <c r="EI34668"/>
      <c r="EJ34668"/>
      <c r="EK34668"/>
    </row>
    <row r="34669" spans="1:141" s="116" customFormat="1">
      <c r="A34669" s="136"/>
      <c r="CM34669" s="111"/>
      <c r="CQ34669" s="111"/>
      <c r="EF34669"/>
      <c r="EG34669"/>
      <c r="EH34669"/>
      <c r="EI34669"/>
      <c r="EJ34669"/>
      <c r="EK34669"/>
    </row>
    <row r="34670" spans="1:141" s="116" customFormat="1">
      <c r="A34670" s="136"/>
      <c r="CM34670" s="111"/>
      <c r="CQ34670" s="111"/>
      <c r="EF34670"/>
      <c r="EG34670"/>
      <c r="EH34670"/>
      <c r="EI34670"/>
      <c r="EJ34670"/>
      <c r="EK34670"/>
    </row>
    <row r="34671" spans="1:141" s="116" customFormat="1">
      <c r="A34671" s="136"/>
      <c r="CM34671" s="111"/>
      <c r="CQ34671" s="111"/>
      <c r="EF34671"/>
      <c r="EG34671"/>
      <c r="EH34671"/>
      <c r="EI34671"/>
      <c r="EJ34671"/>
      <c r="EK34671"/>
    </row>
    <row r="34672" spans="1:141" s="116" customFormat="1">
      <c r="A34672" s="136"/>
      <c r="CM34672" s="111"/>
      <c r="CQ34672" s="111"/>
      <c r="EF34672"/>
      <c r="EG34672"/>
      <c r="EH34672"/>
      <c r="EI34672"/>
      <c r="EJ34672"/>
      <c r="EK34672"/>
    </row>
    <row r="34673" spans="1:141" s="116" customFormat="1">
      <c r="A34673" s="136"/>
      <c r="CM34673" s="111"/>
      <c r="CQ34673" s="111"/>
      <c r="EF34673"/>
      <c r="EG34673"/>
      <c r="EH34673"/>
      <c r="EI34673"/>
      <c r="EJ34673"/>
      <c r="EK34673"/>
    </row>
    <row r="34674" spans="1:141" s="116" customFormat="1">
      <c r="A34674" s="136"/>
      <c r="CM34674" s="111"/>
      <c r="CQ34674" s="111"/>
      <c r="EF34674"/>
      <c r="EG34674"/>
      <c r="EH34674"/>
      <c r="EI34674"/>
      <c r="EJ34674"/>
      <c r="EK34674"/>
    </row>
    <row r="34675" spans="1:141" s="116" customFormat="1">
      <c r="A34675" s="136"/>
      <c r="CM34675" s="111"/>
      <c r="CQ34675" s="111"/>
      <c r="EF34675"/>
      <c r="EG34675"/>
      <c r="EH34675"/>
      <c r="EI34675"/>
      <c r="EJ34675"/>
      <c r="EK34675"/>
    </row>
    <row r="34676" spans="1:141" s="116" customFormat="1">
      <c r="A34676" s="136"/>
      <c r="CM34676" s="111"/>
      <c r="CQ34676" s="111"/>
      <c r="EF34676"/>
      <c r="EG34676"/>
      <c r="EH34676"/>
      <c r="EI34676"/>
      <c r="EJ34676"/>
      <c r="EK34676"/>
    </row>
    <row r="34677" spans="1:141" s="116" customFormat="1">
      <c r="A34677" s="136"/>
      <c r="CM34677" s="111"/>
      <c r="CQ34677" s="111"/>
      <c r="EF34677"/>
      <c r="EG34677"/>
      <c r="EH34677"/>
      <c r="EI34677"/>
      <c r="EJ34677"/>
      <c r="EK34677"/>
    </row>
    <row r="34678" spans="1:141" s="116" customFormat="1">
      <c r="A34678" s="136"/>
      <c r="CM34678" s="111"/>
      <c r="CQ34678" s="111"/>
      <c r="EF34678"/>
      <c r="EG34678"/>
      <c r="EH34678"/>
      <c r="EI34678"/>
      <c r="EJ34678"/>
      <c r="EK34678"/>
    </row>
    <row r="34679" spans="1:141" s="116" customFormat="1">
      <c r="A34679" s="136"/>
      <c r="CM34679" s="111"/>
      <c r="CQ34679" s="111"/>
      <c r="EF34679"/>
      <c r="EG34679"/>
      <c r="EH34679"/>
      <c r="EI34679"/>
      <c r="EJ34679"/>
      <c r="EK34679"/>
    </row>
    <row r="34680" spans="1:141" s="116" customFormat="1">
      <c r="A34680" s="136"/>
      <c r="CM34680" s="111"/>
      <c r="CQ34680" s="111"/>
      <c r="EF34680"/>
      <c r="EG34680"/>
      <c r="EH34680"/>
      <c r="EI34680"/>
      <c r="EJ34680"/>
      <c r="EK34680"/>
    </row>
    <row r="34681" spans="1:141" s="116" customFormat="1">
      <c r="A34681" s="136"/>
      <c r="CM34681" s="111"/>
      <c r="CQ34681" s="111"/>
      <c r="EF34681"/>
      <c r="EG34681"/>
      <c r="EH34681"/>
      <c r="EI34681"/>
      <c r="EJ34681"/>
      <c r="EK34681"/>
    </row>
    <row r="34682" spans="1:141" s="116" customFormat="1">
      <c r="A34682" s="136"/>
      <c r="CM34682" s="111"/>
      <c r="CQ34682" s="111"/>
      <c r="EF34682"/>
      <c r="EG34682"/>
      <c r="EH34682"/>
      <c r="EI34682"/>
      <c r="EJ34682"/>
      <c r="EK34682"/>
    </row>
    <row r="34683" spans="1:141" s="116" customFormat="1">
      <c r="A34683" s="136"/>
      <c r="CM34683" s="111"/>
      <c r="CQ34683" s="111"/>
      <c r="EF34683"/>
      <c r="EG34683"/>
      <c r="EH34683"/>
      <c r="EI34683"/>
      <c r="EJ34683"/>
      <c r="EK34683"/>
    </row>
    <row r="34684" spans="1:141" s="116" customFormat="1">
      <c r="A34684" s="136"/>
      <c r="CM34684" s="111"/>
      <c r="CQ34684" s="111"/>
      <c r="EF34684"/>
      <c r="EG34684"/>
      <c r="EH34684"/>
      <c r="EI34684"/>
      <c r="EJ34684"/>
      <c r="EK34684"/>
    </row>
    <row r="34685" spans="1:141" s="116" customFormat="1">
      <c r="A34685" s="136"/>
      <c r="CM34685" s="111"/>
      <c r="CQ34685" s="111"/>
      <c r="EF34685"/>
      <c r="EG34685"/>
      <c r="EH34685"/>
      <c r="EI34685"/>
      <c r="EJ34685"/>
      <c r="EK34685"/>
    </row>
    <row r="34686" spans="1:141" s="116" customFormat="1">
      <c r="A34686" s="136"/>
      <c r="CM34686" s="111"/>
      <c r="CQ34686" s="111"/>
      <c r="EF34686"/>
      <c r="EG34686"/>
      <c r="EH34686"/>
      <c r="EI34686"/>
      <c r="EJ34686"/>
      <c r="EK34686"/>
    </row>
    <row r="34687" spans="1:141" s="116" customFormat="1">
      <c r="A34687" s="136"/>
      <c r="CM34687" s="111"/>
      <c r="CQ34687" s="111"/>
      <c r="EF34687"/>
      <c r="EG34687"/>
      <c r="EH34687"/>
      <c r="EI34687"/>
      <c r="EJ34687"/>
      <c r="EK34687"/>
    </row>
    <row r="34688" spans="1:141" s="116" customFormat="1">
      <c r="A34688" s="136"/>
      <c r="CM34688" s="111"/>
      <c r="CQ34688" s="111"/>
      <c r="EF34688"/>
      <c r="EG34688"/>
      <c r="EH34688"/>
      <c r="EI34688"/>
      <c r="EJ34688"/>
      <c r="EK34688"/>
    </row>
    <row r="34689" spans="1:141" s="116" customFormat="1">
      <c r="A34689" s="136"/>
      <c r="CM34689" s="111"/>
      <c r="CQ34689" s="111"/>
      <c r="EF34689"/>
      <c r="EG34689"/>
      <c r="EH34689"/>
      <c r="EI34689"/>
      <c r="EJ34689"/>
      <c r="EK34689"/>
    </row>
    <row r="34690" spans="1:141" s="116" customFormat="1">
      <c r="A34690" s="136"/>
      <c r="CM34690" s="111"/>
      <c r="CQ34690" s="111"/>
      <c r="EF34690"/>
      <c r="EG34690"/>
      <c r="EH34690"/>
      <c r="EI34690"/>
      <c r="EJ34690"/>
      <c r="EK34690"/>
    </row>
    <row r="34691" spans="1:141" s="116" customFormat="1">
      <c r="A34691" s="136"/>
      <c r="CM34691" s="111"/>
      <c r="CQ34691" s="111"/>
      <c r="EF34691"/>
      <c r="EG34691"/>
      <c r="EH34691"/>
      <c r="EI34691"/>
      <c r="EJ34691"/>
      <c r="EK34691"/>
    </row>
    <row r="34692" spans="1:141" s="116" customFormat="1">
      <c r="A34692" s="136"/>
      <c r="CM34692" s="111"/>
      <c r="CQ34692" s="111"/>
      <c r="EF34692"/>
      <c r="EG34692"/>
      <c r="EH34692"/>
      <c r="EI34692"/>
      <c r="EJ34692"/>
      <c r="EK34692"/>
    </row>
    <row r="34693" spans="1:141" s="116" customFormat="1">
      <c r="A34693" s="136"/>
      <c r="CM34693" s="111"/>
      <c r="CQ34693" s="111"/>
      <c r="EF34693"/>
      <c r="EG34693"/>
      <c r="EH34693"/>
      <c r="EI34693"/>
      <c r="EJ34693"/>
      <c r="EK34693"/>
    </row>
    <row r="34694" spans="1:141" s="116" customFormat="1">
      <c r="A34694" s="136"/>
      <c r="CM34694" s="111"/>
      <c r="CQ34694" s="111"/>
      <c r="EF34694"/>
      <c r="EG34694"/>
      <c r="EH34694"/>
      <c r="EI34694"/>
      <c r="EJ34694"/>
      <c r="EK34694"/>
    </row>
    <row r="34695" spans="1:141" s="116" customFormat="1">
      <c r="A34695" s="136"/>
      <c r="CM34695" s="111"/>
      <c r="CQ34695" s="111"/>
      <c r="EF34695"/>
      <c r="EG34695"/>
      <c r="EH34695"/>
      <c r="EI34695"/>
      <c r="EJ34695"/>
      <c r="EK34695"/>
    </row>
    <row r="34696" spans="1:141" s="116" customFormat="1">
      <c r="A34696" s="136"/>
      <c r="CM34696" s="111"/>
      <c r="CQ34696" s="111"/>
      <c r="EF34696"/>
      <c r="EG34696"/>
      <c r="EH34696"/>
      <c r="EI34696"/>
      <c r="EJ34696"/>
      <c r="EK34696"/>
    </row>
    <row r="34697" spans="1:141" s="116" customFormat="1">
      <c r="A34697" s="136"/>
      <c r="CM34697" s="111"/>
      <c r="CQ34697" s="111"/>
      <c r="EF34697"/>
      <c r="EG34697"/>
      <c r="EH34697"/>
      <c r="EI34697"/>
      <c r="EJ34697"/>
      <c r="EK34697"/>
    </row>
    <row r="34698" spans="1:141" s="116" customFormat="1">
      <c r="A34698" s="136"/>
      <c r="CM34698" s="111"/>
      <c r="CQ34698" s="111"/>
      <c r="EF34698"/>
      <c r="EG34698"/>
      <c r="EH34698"/>
      <c r="EI34698"/>
      <c r="EJ34698"/>
      <c r="EK34698"/>
    </row>
    <row r="34699" spans="1:141" s="116" customFormat="1">
      <c r="A34699" s="136"/>
      <c r="CM34699" s="111"/>
      <c r="CQ34699" s="111"/>
      <c r="EF34699"/>
      <c r="EG34699"/>
      <c r="EH34699"/>
      <c r="EI34699"/>
      <c r="EJ34699"/>
      <c r="EK34699"/>
    </row>
    <row r="34700" spans="1:141" s="116" customFormat="1">
      <c r="A34700" s="136"/>
      <c r="CM34700" s="111"/>
      <c r="CQ34700" s="111"/>
      <c r="EF34700"/>
      <c r="EG34700"/>
      <c r="EH34700"/>
      <c r="EI34700"/>
      <c r="EJ34700"/>
      <c r="EK34700"/>
    </row>
    <row r="34701" spans="1:141" s="116" customFormat="1">
      <c r="A34701" s="136"/>
      <c r="CM34701" s="111"/>
      <c r="CQ34701" s="111"/>
      <c r="EF34701"/>
      <c r="EG34701"/>
      <c r="EH34701"/>
      <c r="EI34701"/>
      <c r="EJ34701"/>
      <c r="EK34701"/>
    </row>
    <row r="34702" spans="1:141" s="116" customFormat="1">
      <c r="A34702" s="136"/>
      <c r="CM34702" s="111"/>
      <c r="CQ34702" s="111"/>
      <c r="EF34702"/>
      <c r="EG34702"/>
      <c r="EH34702"/>
      <c r="EI34702"/>
      <c r="EJ34702"/>
      <c r="EK34702"/>
    </row>
    <row r="34703" spans="1:141" s="116" customFormat="1">
      <c r="A34703" s="136"/>
      <c r="CM34703" s="111"/>
      <c r="CQ34703" s="111"/>
      <c r="EF34703"/>
      <c r="EG34703"/>
      <c r="EH34703"/>
      <c r="EI34703"/>
      <c r="EJ34703"/>
      <c r="EK34703"/>
    </row>
    <row r="34704" spans="1:141" s="116" customFormat="1">
      <c r="A34704" s="136"/>
      <c r="CM34704" s="111"/>
      <c r="CQ34704" s="111"/>
      <c r="EF34704"/>
      <c r="EG34704"/>
      <c r="EH34704"/>
      <c r="EI34704"/>
      <c r="EJ34704"/>
      <c r="EK34704"/>
    </row>
    <row r="34705" spans="1:141" s="116" customFormat="1">
      <c r="A34705" s="136"/>
      <c r="CM34705" s="111"/>
      <c r="CQ34705" s="111"/>
      <c r="EF34705"/>
      <c r="EG34705"/>
      <c r="EH34705"/>
      <c r="EI34705"/>
      <c r="EJ34705"/>
      <c r="EK34705"/>
    </row>
    <row r="34706" spans="1:141" s="116" customFormat="1">
      <c r="A34706" s="136"/>
      <c r="CM34706" s="111"/>
      <c r="CQ34706" s="111"/>
      <c r="EF34706"/>
      <c r="EG34706"/>
      <c r="EH34706"/>
      <c r="EI34706"/>
      <c r="EJ34706"/>
      <c r="EK34706"/>
    </row>
    <row r="34707" spans="1:141" s="116" customFormat="1">
      <c r="A34707" s="136"/>
      <c r="CM34707" s="111"/>
      <c r="CQ34707" s="111"/>
      <c r="EF34707"/>
      <c r="EG34707"/>
      <c r="EH34707"/>
      <c r="EI34707"/>
      <c r="EJ34707"/>
      <c r="EK34707"/>
    </row>
    <row r="34708" spans="1:141" s="116" customFormat="1">
      <c r="A34708" s="136"/>
      <c r="CM34708" s="111"/>
      <c r="CQ34708" s="111"/>
      <c r="EF34708"/>
      <c r="EG34708"/>
      <c r="EH34708"/>
      <c r="EI34708"/>
      <c r="EJ34708"/>
      <c r="EK34708"/>
    </row>
    <row r="34709" spans="1:141" s="116" customFormat="1">
      <c r="A34709" s="136"/>
      <c r="CM34709" s="111"/>
      <c r="CQ34709" s="111"/>
      <c r="EF34709"/>
      <c r="EG34709"/>
      <c r="EH34709"/>
      <c r="EI34709"/>
      <c r="EJ34709"/>
      <c r="EK34709"/>
    </row>
    <row r="34710" spans="1:141" s="116" customFormat="1">
      <c r="A34710" s="136"/>
      <c r="CM34710" s="111"/>
      <c r="CQ34710" s="111"/>
      <c r="EF34710"/>
      <c r="EG34710"/>
      <c r="EH34710"/>
      <c r="EI34710"/>
      <c r="EJ34710"/>
      <c r="EK34710"/>
    </row>
    <row r="34711" spans="1:141" s="116" customFormat="1">
      <c r="A34711" s="136"/>
      <c r="CM34711" s="111"/>
      <c r="CQ34711" s="111"/>
      <c r="EF34711"/>
      <c r="EG34711"/>
      <c r="EH34711"/>
      <c r="EI34711"/>
      <c r="EJ34711"/>
      <c r="EK34711"/>
    </row>
    <row r="34712" spans="1:141" s="116" customFormat="1">
      <c r="A34712" s="136"/>
      <c r="CM34712" s="111"/>
      <c r="CQ34712" s="111"/>
      <c r="EF34712"/>
      <c r="EG34712"/>
      <c r="EH34712"/>
      <c r="EI34712"/>
      <c r="EJ34712"/>
      <c r="EK34712"/>
    </row>
    <row r="34713" spans="1:141" s="116" customFormat="1">
      <c r="A34713" s="136"/>
      <c r="CM34713" s="111"/>
      <c r="CQ34713" s="111"/>
      <c r="EF34713"/>
      <c r="EG34713"/>
      <c r="EH34713"/>
      <c r="EI34713"/>
      <c r="EJ34713"/>
      <c r="EK34713"/>
    </row>
    <row r="34714" spans="1:141" s="116" customFormat="1">
      <c r="A34714" s="136"/>
      <c r="CM34714" s="111"/>
      <c r="CQ34714" s="111"/>
      <c r="EF34714"/>
      <c r="EG34714"/>
      <c r="EH34714"/>
      <c r="EI34714"/>
      <c r="EJ34714"/>
      <c r="EK34714"/>
    </row>
    <row r="34715" spans="1:141" s="116" customFormat="1">
      <c r="A34715" s="136"/>
      <c r="CM34715" s="111"/>
      <c r="CQ34715" s="111"/>
      <c r="EF34715"/>
      <c r="EG34715"/>
      <c r="EH34715"/>
      <c r="EI34715"/>
      <c r="EJ34715"/>
      <c r="EK34715"/>
    </row>
    <row r="34716" spans="1:141" s="116" customFormat="1">
      <c r="A34716" s="136"/>
      <c r="CM34716" s="111"/>
      <c r="CQ34716" s="111"/>
      <c r="EF34716"/>
      <c r="EG34716"/>
      <c r="EH34716"/>
      <c r="EI34716"/>
      <c r="EJ34716"/>
      <c r="EK34716"/>
    </row>
    <row r="34717" spans="1:141" s="116" customFormat="1">
      <c r="A34717" s="136"/>
      <c r="CM34717" s="111"/>
      <c r="CQ34717" s="111"/>
      <c r="EF34717"/>
      <c r="EG34717"/>
      <c r="EH34717"/>
      <c r="EI34717"/>
      <c r="EJ34717"/>
      <c r="EK34717"/>
    </row>
    <row r="34718" spans="1:141" s="116" customFormat="1">
      <c r="A34718" s="136"/>
      <c r="CM34718" s="111"/>
      <c r="CQ34718" s="111"/>
      <c r="EF34718"/>
      <c r="EG34718"/>
      <c r="EH34718"/>
      <c r="EI34718"/>
      <c r="EJ34718"/>
      <c r="EK34718"/>
    </row>
    <row r="34719" spans="1:141" s="116" customFormat="1">
      <c r="A34719" s="136"/>
      <c r="CM34719" s="111"/>
      <c r="CQ34719" s="111"/>
      <c r="EF34719"/>
      <c r="EG34719"/>
      <c r="EH34719"/>
      <c r="EI34719"/>
      <c r="EJ34719"/>
      <c r="EK34719"/>
    </row>
    <row r="34720" spans="1:141" s="116" customFormat="1">
      <c r="A34720" s="136"/>
      <c r="CM34720" s="111"/>
      <c r="CQ34720" s="111"/>
      <c r="EF34720"/>
      <c r="EG34720"/>
      <c r="EH34720"/>
      <c r="EI34720"/>
      <c r="EJ34720"/>
      <c r="EK34720"/>
    </row>
    <row r="34721" spans="1:141" s="116" customFormat="1">
      <c r="A34721" s="136"/>
      <c r="CM34721" s="111"/>
      <c r="CQ34721" s="111"/>
      <c r="EF34721"/>
      <c r="EG34721"/>
      <c r="EH34721"/>
      <c r="EI34721"/>
      <c r="EJ34721"/>
      <c r="EK34721"/>
    </row>
    <row r="34722" spans="1:141" s="116" customFormat="1">
      <c r="A34722" s="136"/>
      <c r="CM34722" s="111"/>
      <c r="CQ34722" s="111"/>
      <c r="EF34722"/>
      <c r="EG34722"/>
      <c r="EH34722"/>
      <c r="EI34722"/>
      <c r="EJ34722"/>
      <c r="EK34722"/>
    </row>
    <row r="34723" spans="1:141" s="116" customFormat="1">
      <c r="A34723" s="136"/>
      <c r="CM34723" s="111"/>
      <c r="CQ34723" s="111"/>
      <c r="EF34723"/>
      <c r="EG34723"/>
      <c r="EH34723"/>
      <c r="EI34723"/>
      <c r="EJ34723"/>
      <c r="EK34723"/>
    </row>
    <row r="34724" spans="1:141" s="116" customFormat="1">
      <c r="A34724" s="136"/>
      <c r="CM34724" s="111"/>
      <c r="CQ34724" s="111"/>
      <c r="EF34724"/>
      <c r="EG34724"/>
      <c r="EH34724"/>
      <c r="EI34724"/>
      <c r="EJ34724"/>
      <c r="EK34724"/>
    </row>
    <row r="34725" spans="1:141" s="116" customFormat="1">
      <c r="A34725" s="136"/>
      <c r="CM34725" s="111"/>
      <c r="CQ34725" s="111"/>
      <c r="EF34725"/>
      <c r="EG34725"/>
      <c r="EH34725"/>
      <c r="EI34725"/>
      <c r="EJ34725"/>
      <c r="EK34725"/>
    </row>
    <row r="34726" spans="1:141" s="116" customFormat="1">
      <c r="A34726" s="136"/>
      <c r="CM34726" s="111"/>
      <c r="CQ34726" s="111"/>
      <c r="EF34726"/>
      <c r="EG34726"/>
      <c r="EH34726"/>
      <c r="EI34726"/>
      <c r="EJ34726"/>
      <c r="EK34726"/>
    </row>
    <row r="34727" spans="1:141" s="116" customFormat="1">
      <c r="A34727" s="136"/>
      <c r="CM34727" s="111"/>
      <c r="CQ34727" s="111"/>
      <c r="EF34727"/>
      <c r="EG34727"/>
      <c r="EH34727"/>
      <c r="EI34727"/>
      <c r="EJ34727"/>
      <c r="EK34727"/>
    </row>
    <row r="34728" spans="1:141" s="116" customFormat="1">
      <c r="A34728" s="136"/>
      <c r="CM34728" s="111"/>
      <c r="CQ34728" s="111"/>
      <c r="EF34728"/>
      <c r="EG34728"/>
      <c r="EH34728"/>
      <c r="EI34728"/>
      <c r="EJ34728"/>
      <c r="EK34728"/>
    </row>
    <row r="34729" spans="1:141" s="116" customFormat="1">
      <c r="A34729" s="136"/>
      <c r="CM34729" s="111"/>
      <c r="CQ34729" s="111"/>
      <c r="EF34729"/>
      <c r="EG34729"/>
      <c r="EH34729"/>
      <c r="EI34729"/>
      <c r="EJ34729"/>
      <c r="EK34729"/>
    </row>
    <row r="34730" spans="1:141" s="116" customFormat="1">
      <c r="A34730" s="136"/>
      <c r="CM34730" s="111"/>
      <c r="CQ34730" s="111"/>
      <c r="EF34730"/>
      <c r="EG34730"/>
      <c r="EH34730"/>
      <c r="EI34730"/>
      <c r="EJ34730"/>
      <c r="EK34730"/>
    </row>
    <row r="34731" spans="1:141" s="116" customFormat="1">
      <c r="A34731" s="136"/>
      <c r="CM34731" s="111"/>
      <c r="CQ34731" s="111"/>
      <c r="EF34731"/>
      <c r="EG34731"/>
      <c r="EH34731"/>
      <c r="EI34731"/>
      <c r="EJ34731"/>
      <c r="EK34731"/>
    </row>
    <row r="34732" spans="1:141" s="116" customFormat="1">
      <c r="A34732" s="136"/>
      <c r="CM34732" s="111"/>
      <c r="CQ34732" s="111"/>
      <c r="EF34732"/>
      <c r="EG34732"/>
      <c r="EH34732"/>
      <c r="EI34732"/>
      <c r="EJ34732"/>
      <c r="EK34732"/>
    </row>
    <row r="34733" spans="1:141" s="116" customFormat="1">
      <c r="A34733" s="136"/>
      <c r="CM34733" s="111"/>
      <c r="CQ34733" s="111"/>
      <c r="EF34733"/>
      <c r="EG34733"/>
      <c r="EH34733"/>
      <c r="EI34733"/>
      <c r="EJ34733"/>
      <c r="EK34733"/>
    </row>
    <row r="34734" spans="1:141" s="116" customFormat="1">
      <c r="A34734" s="136"/>
      <c r="CM34734" s="111"/>
      <c r="CQ34734" s="111"/>
      <c r="EF34734"/>
      <c r="EG34734"/>
      <c r="EH34734"/>
      <c r="EI34734"/>
      <c r="EJ34734"/>
      <c r="EK34734"/>
    </row>
    <row r="34735" spans="1:141" s="116" customFormat="1">
      <c r="A34735" s="136"/>
      <c r="CM34735" s="111"/>
      <c r="CQ34735" s="111"/>
      <c r="EF34735"/>
      <c r="EG34735"/>
      <c r="EH34735"/>
      <c r="EI34735"/>
      <c r="EJ34735"/>
      <c r="EK34735"/>
    </row>
    <row r="34736" spans="1:141" s="116" customFormat="1">
      <c r="A34736" s="136"/>
      <c r="CM34736" s="111"/>
      <c r="CQ34736" s="111"/>
      <c r="EF34736"/>
      <c r="EG34736"/>
      <c r="EH34736"/>
      <c r="EI34736"/>
      <c r="EJ34736"/>
      <c r="EK34736"/>
    </row>
    <row r="34737" spans="1:141" s="116" customFormat="1">
      <c r="A34737" s="136"/>
      <c r="CM34737" s="111"/>
      <c r="CQ34737" s="111"/>
      <c r="EF34737"/>
      <c r="EG34737"/>
      <c r="EH34737"/>
      <c r="EI34737"/>
      <c r="EJ34737"/>
      <c r="EK34737"/>
    </row>
    <row r="34738" spans="1:141" s="116" customFormat="1">
      <c r="A34738" s="136"/>
      <c r="CM34738" s="111"/>
      <c r="CQ34738" s="111"/>
      <c r="EF34738"/>
      <c r="EG34738"/>
      <c r="EH34738"/>
      <c r="EI34738"/>
      <c r="EJ34738"/>
      <c r="EK34738"/>
    </row>
    <row r="34739" spans="1:141" s="116" customFormat="1">
      <c r="A34739" s="136"/>
      <c r="CM34739" s="111"/>
      <c r="CQ34739" s="111"/>
      <c r="EF34739"/>
      <c r="EG34739"/>
      <c r="EH34739"/>
      <c r="EI34739"/>
      <c r="EJ34739"/>
      <c r="EK34739"/>
    </row>
    <row r="34740" spans="1:141" s="116" customFormat="1">
      <c r="A34740" s="136"/>
      <c r="CM34740" s="111"/>
      <c r="CQ34740" s="111"/>
      <c r="EF34740"/>
      <c r="EG34740"/>
      <c r="EH34740"/>
      <c r="EI34740"/>
      <c r="EJ34740"/>
      <c r="EK34740"/>
    </row>
    <row r="34741" spans="1:141" s="116" customFormat="1">
      <c r="A34741" s="136"/>
      <c r="CM34741" s="111"/>
      <c r="CQ34741" s="111"/>
      <c r="EF34741"/>
      <c r="EG34741"/>
      <c r="EH34741"/>
      <c r="EI34741"/>
      <c r="EJ34741"/>
      <c r="EK34741"/>
    </row>
    <row r="34742" spans="1:141" s="116" customFormat="1">
      <c r="A34742" s="136"/>
      <c r="CM34742" s="111"/>
      <c r="CQ34742" s="111"/>
      <c r="EF34742"/>
      <c r="EG34742"/>
      <c r="EH34742"/>
      <c r="EI34742"/>
      <c r="EJ34742"/>
      <c r="EK34742"/>
    </row>
    <row r="34743" spans="1:141" s="116" customFormat="1">
      <c r="A34743" s="136"/>
      <c r="CM34743" s="111"/>
      <c r="CQ34743" s="111"/>
      <c r="EF34743"/>
      <c r="EG34743"/>
      <c r="EH34743"/>
      <c r="EI34743"/>
      <c r="EJ34743"/>
      <c r="EK34743"/>
    </row>
    <row r="34744" spans="1:141" s="116" customFormat="1">
      <c r="A34744" s="136"/>
      <c r="CM34744" s="111"/>
      <c r="CQ34744" s="111"/>
      <c r="EF34744"/>
      <c r="EG34744"/>
      <c r="EH34744"/>
      <c r="EI34744"/>
      <c r="EJ34744"/>
      <c r="EK34744"/>
    </row>
    <row r="34745" spans="1:141" s="116" customFormat="1">
      <c r="A34745" s="136"/>
      <c r="CM34745" s="111"/>
      <c r="CQ34745" s="111"/>
      <c r="EF34745"/>
      <c r="EG34745"/>
      <c r="EH34745"/>
      <c r="EI34745"/>
      <c r="EJ34745"/>
      <c r="EK34745"/>
    </row>
    <row r="34746" spans="1:141" s="116" customFormat="1">
      <c r="A34746" s="136"/>
      <c r="CM34746" s="111"/>
      <c r="CQ34746" s="111"/>
      <c r="EF34746"/>
      <c r="EG34746"/>
      <c r="EH34746"/>
      <c r="EI34746"/>
      <c r="EJ34746"/>
      <c r="EK34746"/>
    </row>
    <row r="34747" spans="1:141" s="116" customFormat="1">
      <c r="A34747" s="136"/>
      <c r="CM34747" s="111"/>
      <c r="CQ34747" s="111"/>
      <c r="EF34747"/>
      <c r="EG34747"/>
      <c r="EH34747"/>
      <c r="EI34747"/>
      <c r="EJ34747"/>
      <c r="EK34747"/>
    </row>
    <row r="34748" spans="1:141" s="116" customFormat="1">
      <c r="A34748" s="136"/>
      <c r="CM34748" s="111"/>
      <c r="CQ34748" s="111"/>
      <c r="EF34748"/>
      <c r="EG34748"/>
      <c r="EH34748"/>
      <c r="EI34748"/>
      <c r="EJ34748"/>
      <c r="EK34748"/>
    </row>
    <row r="34749" spans="1:141" s="116" customFormat="1">
      <c r="A34749" s="136"/>
      <c r="CM34749" s="111"/>
      <c r="CQ34749" s="111"/>
      <c r="EF34749"/>
      <c r="EG34749"/>
      <c r="EH34749"/>
      <c r="EI34749"/>
      <c r="EJ34749"/>
      <c r="EK34749"/>
    </row>
    <row r="34750" spans="1:141" s="116" customFormat="1">
      <c r="A34750" s="136"/>
      <c r="CM34750" s="111"/>
      <c r="CQ34750" s="111"/>
      <c r="EF34750"/>
      <c r="EG34750"/>
      <c r="EH34750"/>
      <c r="EI34750"/>
      <c r="EJ34750"/>
      <c r="EK34750"/>
    </row>
    <row r="34751" spans="1:141" s="116" customFormat="1">
      <c r="A34751" s="136"/>
      <c r="CM34751" s="111"/>
      <c r="CQ34751" s="111"/>
      <c r="EF34751"/>
      <c r="EG34751"/>
      <c r="EH34751"/>
      <c r="EI34751"/>
      <c r="EJ34751"/>
      <c r="EK34751"/>
    </row>
    <row r="34752" spans="1:141" s="116" customFormat="1">
      <c r="A34752" s="136"/>
      <c r="CM34752" s="111"/>
      <c r="CQ34752" s="111"/>
      <c r="EF34752"/>
      <c r="EG34752"/>
      <c r="EH34752"/>
      <c r="EI34752"/>
      <c r="EJ34752"/>
      <c r="EK34752"/>
    </row>
    <row r="34753" spans="1:141" s="116" customFormat="1">
      <c r="A34753" s="136"/>
      <c r="CM34753" s="111"/>
      <c r="CQ34753" s="111"/>
      <c r="EF34753"/>
      <c r="EG34753"/>
      <c r="EH34753"/>
      <c r="EI34753"/>
      <c r="EJ34753"/>
      <c r="EK34753"/>
    </row>
    <row r="34754" spans="1:141" s="116" customFormat="1">
      <c r="A34754" s="136"/>
      <c r="CM34754" s="111"/>
      <c r="CQ34754" s="111"/>
      <c r="EF34754"/>
      <c r="EG34754"/>
      <c r="EH34754"/>
      <c r="EI34754"/>
      <c r="EJ34754"/>
      <c r="EK34754"/>
    </row>
    <row r="34755" spans="1:141" s="116" customFormat="1">
      <c r="A34755" s="136"/>
      <c r="CM34755" s="111"/>
      <c r="CQ34755" s="111"/>
      <c r="EF34755"/>
      <c r="EG34755"/>
      <c r="EH34755"/>
      <c r="EI34755"/>
      <c r="EJ34755"/>
      <c r="EK34755"/>
    </row>
    <row r="34756" spans="1:141" s="116" customFormat="1">
      <c r="A34756" s="136"/>
      <c r="CM34756" s="111"/>
      <c r="CQ34756" s="111"/>
      <c r="EF34756"/>
      <c r="EG34756"/>
      <c r="EH34756"/>
      <c r="EI34756"/>
      <c r="EJ34756"/>
      <c r="EK34756"/>
    </row>
    <row r="34757" spans="1:141" s="116" customFormat="1">
      <c r="A34757" s="136"/>
      <c r="CM34757" s="111"/>
      <c r="CQ34757" s="111"/>
      <c r="EF34757"/>
      <c r="EG34757"/>
      <c r="EH34757"/>
      <c r="EI34757"/>
      <c r="EJ34757"/>
      <c r="EK34757"/>
    </row>
    <row r="34758" spans="1:141" s="116" customFormat="1">
      <c r="A34758" s="136"/>
      <c r="CM34758" s="111"/>
      <c r="CQ34758" s="111"/>
      <c r="EF34758"/>
      <c r="EG34758"/>
      <c r="EH34758"/>
      <c r="EI34758"/>
      <c r="EJ34758"/>
      <c r="EK34758"/>
    </row>
    <row r="34759" spans="1:141" s="116" customFormat="1">
      <c r="A34759" s="136"/>
      <c r="CM34759" s="111"/>
      <c r="CQ34759" s="111"/>
      <c r="EF34759"/>
      <c r="EG34759"/>
      <c r="EH34759"/>
      <c r="EI34759"/>
      <c r="EJ34759"/>
      <c r="EK34759"/>
    </row>
    <row r="34760" spans="1:141" s="116" customFormat="1">
      <c r="A34760" s="136"/>
      <c r="CM34760" s="111"/>
      <c r="CQ34760" s="111"/>
      <c r="EF34760"/>
      <c r="EG34760"/>
      <c r="EH34760"/>
      <c r="EI34760"/>
      <c r="EJ34760"/>
      <c r="EK34760"/>
    </row>
    <row r="34761" spans="1:141" s="116" customFormat="1">
      <c r="A34761" s="136"/>
      <c r="CM34761" s="111"/>
      <c r="CQ34761" s="111"/>
      <c r="EF34761"/>
      <c r="EG34761"/>
      <c r="EH34761"/>
      <c r="EI34761"/>
      <c r="EJ34761"/>
      <c r="EK34761"/>
    </row>
    <row r="34762" spans="1:141" s="116" customFormat="1">
      <c r="A34762" s="136"/>
      <c r="CM34762" s="111"/>
      <c r="CQ34762" s="111"/>
      <c r="EF34762"/>
      <c r="EG34762"/>
      <c r="EH34762"/>
      <c r="EI34762"/>
      <c r="EJ34762"/>
      <c r="EK34762"/>
    </row>
    <row r="34763" spans="1:141" s="116" customFormat="1">
      <c r="A34763" s="136"/>
      <c r="CM34763" s="111"/>
      <c r="CQ34763" s="111"/>
      <c r="EF34763"/>
      <c r="EG34763"/>
      <c r="EH34763"/>
      <c r="EI34763"/>
      <c r="EJ34763"/>
      <c r="EK34763"/>
    </row>
    <row r="34764" spans="1:141" s="116" customFormat="1">
      <c r="A34764" s="136"/>
      <c r="CM34764" s="111"/>
      <c r="CQ34764" s="111"/>
      <c r="EF34764"/>
      <c r="EG34764"/>
      <c r="EH34764"/>
      <c r="EI34764"/>
      <c r="EJ34764"/>
      <c r="EK34764"/>
    </row>
    <row r="34765" spans="1:141" s="116" customFormat="1">
      <c r="A34765" s="136"/>
      <c r="CM34765" s="111"/>
      <c r="CQ34765" s="111"/>
      <c r="EF34765"/>
      <c r="EG34765"/>
      <c r="EH34765"/>
      <c r="EI34765"/>
      <c r="EJ34765"/>
      <c r="EK34765"/>
    </row>
    <row r="34766" spans="1:141" s="116" customFormat="1">
      <c r="A34766" s="136"/>
      <c r="CM34766" s="111"/>
      <c r="CQ34766" s="111"/>
      <c r="EF34766"/>
      <c r="EG34766"/>
      <c r="EH34766"/>
      <c r="EI34766"/>
      <c r="EJ34766"/>
      <c r="EK34766"/>
    </row>
    <row r="34767" spans="1:141" s="116" customFormat="1">
      <c r="A34767" s="136"/>
      <c r="CM34767" s="111"/>
      <c r="CQ34767" s="111"/>
      <c r="EF34767"/>
      <c r="EG34767"/>
      <c r="EH34767"/>
      <c r="EI34767"/>
      <c r="EJ34767"/>
      <c r="EK34767"/>
    </row>
    <row r="34768" spans="1:141" s="116" customFormat="1">
      <c r="A34768" s="136"/>
      <c r="CM34768" s="111"/>
      <c r="CQ34768" s="111"/>
      <c r="EF34768"/>
      <c r="EG34768"/>
      <c r="EH34768"/>
      <c r="EI34768"/>
      <c r="EJ34768"/>
      <c r="EK34768"/>
    </row>
    <row r="34769" spans="1:141" s="116" customFormat="1">
      <c r="A34769" s="136"/>
      <c r="CM34769" s="111"/>
      <c r="CQ34769" s="111"/>
      <c r="EF34769"/>
      <c r="EG34769"/>
      <c r="EH34769"/>
      <c r="EI34769"/>
      <c r="EJ34769"/>
      <c r="EK34769"/>
    </row>
    <row r="34770" spans="1:141" s="116" customFormat="1">
      <c r="A34770" s="136"/>
      <c r="CM34770" s="111"/>
      <c r="CQ34770" s="111"/>
      <c r="EF34770"/>
      <c r="EG34770"/>
      <c r="EH34770"/>
      <c r="EI34770"/>
      <c r="EJ34770"/>
      <c r="EK34770"/>
    </row>
    <row r="34771" spans="1:141" s="116" customFormat="1">
      <c r="A34771" s="136"/>
      <c r="CM34771" s="111"/>
      <c r="CQ34771" s="111"/>
      <c r="EF34771"/>
      <c r="EG34771"/>
      <c r="EH34771"/>
      <c r="EI34771"/>
      <c r="EJ34771"/>
      <c r="EK34771"/>
    </row>
    <row r="34772" spans="1:141" s="116" customFormat="1">
      <c r="A34772" s="136"/>
      <c r="CM34772" s="111"/>
      <c r="CQ34772" s="111"/>
      <c r="EF34772"/>
      <c r="EG34772"/>
      <c r="EH34772"/>
      <c r="EI34772"/>
      <c r="EJ34772"/>
      <c r="EK34772"/>
    </row>
    <row r="34773" spans="1:141" s="116" customFormat="1">
      <c r="A34773" s="136"/>
      <c r="CM34773" s="111"/>
      <c r="CQ34773" s="111"/>
      <c r="EF34773"/>
      <c r="EG34773"/>
      <c r="EH34773"/>
      <c r="EI34773"/>
      <c r="EJ34773"/>
      <c r="EK34773"/>
    </row>
    <row r="34774" spans="1:141" s="116" customFormat="1">
      <c r="A34774" s="136"/>
      <c r="CM34774" s="111"/>
      <c r="CQ34774" s="111"/>
      <c r="EF34774"/>
      <c r="EG34774"/>
      <c r="EH34774"/>
      <c r="EI34774"/>
      <c r="EJ34774"/>
      <c r="EK34774"/>
    </row>
    <row r="34775" spans="1:141" s="116" customFormat="1">
      <c r="A34775" s="136"/>
      <c r="CM34775" s="111"/>
      <c r="CQ34775" s="111"/>
      <c r="EF34775"/>
      <c r="EG34775"/>
      <c r="EH34775"/>
      <c r="EI34775"/>
      <c r="EJ34775"/>
      <c r="EK34775"/>
    </row>
    <row r="34776" spans="1:141" s="116" customFormat="1">
      <c r="A34776" s="136"/>
      <c r="CM34776" s="111"/>
      <c r="CQ34776" s="111"/>
      <c r="EF34776"/>
      <c r="EG34776"/>
      <c r="EH34776"/>
      <c r="EI34776"/>
      <c r="EJ34776"/>
      <c r="EK34776"/>
    </row>
    <row r="34777" spans="1:141" s="116" customFormat="1">
      <c r="A34777" s="136"/>
      <c r="CM34777" s="111"/>
      <c r="CQ34777" s="111"/>
      <c r="EF34777"/>
      <c r="EG34777"/>
      <c r="EH34777"/>
      <c r="EI34777"/>
      <c r="EJ34777"/>
      <c r="EK34777"/>
    </row>
    <row r="34778" spans="1:141" s="116" customFormat="1">
      <c r="A34778" s="136"/>
      <c r="CM34778" s="111"/>
      <c r="CQ34778" s="111"/>
      <c r="EF34778"/>
      <c r="EG34778"/>
      <c r="EH34778"/>
      <c r="EI34778"/>
      <c r="EJ34778"/>
      <c r="EK34778"/>
    </row>
    <row r="34779" spans="1:141" s="116" customFormat="1">
      <c r="A34779" s="136"/>
      <c r="CM34779" s="111"/>
      <c r="CQ34779" s="111"/>
      <c r="EF34779"/>
      <c r="EG34779"/>
      <c r="EH34779"/>
      <c r="EI34779"/>
      <c r="EJ34779"/>
      <c r="EK34779"/>
    </row>
    <row r="34780" spans="1:141" s="116" customFormat="1">
      <c r="A34780" s="136"/>
      <c r="CM34780" s="111"/>
      <c r="CQ34780" s="111"/>
      <c r="EF34780"/>
      <c r="EG34780"/>
      <c r="EH34780"/>
      <c r="EI34780"/>
      <c r="EJ34780"/>
      <c r="EK34780"/>
    </row>
    <row r="34781" spans="1:141" s="116" customFormat="1">
      <c r="A34781" s="136"/>
      <c r="CM34781" s="111"/>
      <c r="CQ34781" s="111"/>
      <c r="EF34781"/>
      <c r="EG34781"/>
      <c r="EH34781"/>
      <c r="EI34781"/>
      <c r="EJ34781"/>
      <c r="EK34781"/>
    </row>
    <row r="34782" spans="1:141" s="116" customFormat="1">
      <c r="A34782" s="136"/>
      <c r="CM34782" s="111"/>
      <c r="CQ34782" s="111"/>
      <c r="EF34782"/>
      <c r="EG34782"/>
      <c r="EH34782"/>
      <c r="EI34782"/>
      <c r="EJ34782"/>
      <c r="EK34782"/>
    </row>
    <row r="34783" spans="1:141" s="116" customFormat="1">
      <c r="A34783" s="136"/>
      <c r="CM34783" s="111"/>
      <c r="CQ34783" s="111"/>
      <c r="EF34783"/>
      <c r="EG34783"/>
      <c r="EH34783"/>
      <c r="EI34783"/>
      <c r="EJ34783"/>
      <c r="EK34783"/>
    </row>
    <row r="34784" spans="1:141" s="116" customFormat="1">
      <c r="A34784" s="136"/>
      <c r="CM34784" s="111"/>
      <c r="CQ34784" s="111"/>
      <c r="EF34784"/>
      <c r="EG34784"/>
      <c r="EH34784"/>
      <c r="EI34784"/>
      <c r="EJ34784"/>
      <c r="EK34784"/>
    </row>
    <row r="34785" spans="1:141" s="116" customFormat="1">
      <c r="A34785" s="136"/>
      <c r="CM34785" s="111"/>
      <c r="CQ34785" s="111"/>
      <c r="EF34785"/>
      <c r="EG34785"/>
      <c r="EH34785"/>
      <c r="EI34785"/>
      <c r="EJ34785"/>
      <c r="EK34785"/>
    </row>
    <row r="34786" spans="1:141" s="116" customFormat="1">
      <c r="A34786" s="136"/>
      <c r="CM34786" s="111"/>
      <c r="CQ34786" s="111"/>
      <c r="EF34786"/>
      <c r="EG34786"/>
      <c r="EH34786"/>
      <c r="EI34786"/>
      <c r="EJ34786"/>
      <c r="EK34786"/>
    </row>
    <row r="34787" spans="1:141" s="116" customFormat="1">
      <c r="A34787" s="136"/>
      <c r="CM34787" s="111"/>
      <c r="CQ34787" s="111"/>
      <c r="EF34787"/>
      <c r="EG34787"/>
      <c r="EH34787"/>
      <c r="EI34787"/>
      <c r="EJ34787"/>
      <c r="EK34787"/>
    </row>
    <row r="34788" spans="1:141" s="116" customFormat="1">
      <c r="A34788" s="136"/>
      <c r="CM34788" s="111"/>
      <c r="CQ34788" s="111"/>
      <c r="EF34788"/>
      <c r="EG34788"/>
      <c r="EH34788"/>
      <c r="EI34788"/>
      <c r="EJ34788"/>
      <c r="EK34788"/>
    </row>
    <row r="34789" spans="1:141" s="116" customFormat="1">
      <c r="A34789" s="136"/>
      <c r="CM34789" s="111"/>
      <c r="CQ34789" s="111"/>
      <c r="EF34789"/>
      <c r="EG34789"/>
      <c r="EH34789"/>
      <c r="EI34789"/>
      <c r="EJ34789"/>
      <c r="EK34789"/>
    </row>
    <row r="34790" spans="1:141" s="116" customFormat="1">
      <c r="A34790" s="136"/>
      <c r="CM34790" s="111"/>
      <c r="CQ34790" s="111"/>
      <c r="EF34790"/>
      <c r="EG34790"/>
      <c r="EH34790"/>
      <c r="EI34790"/>
      <c r="EJ34790"/>
      <c r="EK34790"/>
    </row>
    <row r="34791" spans="1:141" s="116" customFormat="1">
      <c r="A34791" s="136"/>
      <c r="CM34791" s="111"/>
      <c r="CQ34791" s="111"/>
      <c r="EF34791"/>
      <c r="EG34791"/>
      <c r="EH34791"/>
      <c r="EI34791"/>
      <c r="EJ34791"/>
      <c r="EK34791"/>
    </row>
    <row r="34792" spans="1:141" s="116" customFormat="1">
      <c r="A34792" s="136"/>
      <c r="CM34792" s="111"/>
      <c r="CQ34792" s="111"/>
      <c r="EF34792"/>
      <c r="EG34792"/>
      <c r="EH34792"/>
      <c r="EI34792"/>
      <c r="EJ34792"/>
      <c r="EK34792"/>
    </row>
    <row r="34793" spans="1:141" s="116" customFormat="1">
      <c r="A34793" s="136"/>
      <c r="CM34793" s="111"/>
      <c r="CQ34793" s="111"/>
      <c r="EF34793"/>
      <c r="EG34793"/>
      <c r="EH34793"/>
      <c r="EI34793"/>
      <c r="EJ34793"/>
      <c r="EK34793"/>
    </row>
    <row r="34794" spans="1:141" s="116" customFormat="1">
      <c r="A34794" s="136"/>
      <c r="CM34794" s="111"/>
      <c r="CQ34794" s="111"/>
      <c r="EF34794"/>
      <c r="EG34794"/>
      <c r="EH34794"/>
      <c r="EI34794"/>
      <c r="EJ34794"/>
      <c r="EK34794"/>
    </row>
    <row r="34795" spans="1:141" s="116" customFormat="1">
      <c r="A34795" s="136"/>
      <c r="CM34795" s="111"/>
      <c r="CQ34795" s="111"/>
      <c r="EF34795"/>
      <c r="EG34795"/>
      <c r="EH34795"/>
      <c r="EI34795"/>
      <c r="EJ34795"/>
      <c r="EK34795"/>
    </row>
    <row r="34796" spans="1:141" s="116" customFormat="1">
      <c r="A34796" s="136"/>
      <c r="CM34796" s="111"/>
      <c r="CQ34796" s="111"/>
      <c r="EF34796"/>
      <c r="EG34796"/>
      <c r="EH34796"/>
      <c r="EI34796"/>
      <c r="EJ34796"/>
      <c r="EK34796"/>
    </row>
    <row r="34797" spans="1:141" s="116" customFormat="1">
      <c r="A34797" s="136"/>
      <c r="CM34797" s="111"/>
      <c r="CQ34797" s="111"/>
      <c r="EF34797"/>
      <c r="EG34797"/>
      <c r="EH34797"/>
      <c r="EI34797"/>
      <c r="EJ34797"/>
      <c r="EK34797"/>
    </row>
    <row r="34798" spans="1:141" s="116" customFormat="1">
      <c r="A34798" s="136"/>
      <c r="CM34798" s="111"/>
      <c r="CQ34798" s="111"/>
      <c r="EF34798"/>
      <c r="EG34798"/>
      <c r="EH34798"/>
      <c r="EI34798"/>
      <c r="EJ34798"/>
      <c r="EK34798"/>
    </row>
    <row r="34799" spans="1:141" s="116" customFormat="1">
      <c r="A34799" s="136"/>
      <c r="CM34799" s="111"/>
      <c r="CQ34799" s="111"/>
      <c r="EF34799"/>
      <c r="EG34799"/>
      <c r="EH34799"/>
      <c r="EI34799"/>
      <c r="EJ34799"/>
      <c r="EK34799"/>
    </row>
    <row r="34800" spans="1:141" s="116" customFormat="1">
      <c r="A34800" s="136"/>
      <c r="CM34800" s="111"/>
      <c r="CQ34800" s="111"/>
      <c r="EF34800"/>
      <c r="EG34800"/>
      <c r="EH34800"/>
      <c r="EI34800"/>
      <c r="EJ34800"/>
      <c r="EK34800"/>
    </row>
    <row r="34801" spans="1:141" s="116" customFormat="1">
      <c r="A34801" s="136"/>
      <c r="CM34801" s="111"/>
      <c r="CQ34801" s="111"/>
      <c r="EF34801"/>
      <c r="EG34801"/>
      <c r="EH34801"/>
      <c r="EI34801"/>
      <c r="EJ34801"/>
      <c r="EK34801"/>
    </row>
    <row r="34802" spans="1:141" s="116" customFormat="1">
      <c r="A34802" s="136"/>
      <c r="CM34802" s="111"/>
      <c r="CQ34802" s="111"/>
      <c r="EF34802"/>
      <c r="EG34802"/>
      <c r="EH34802"/>
      <c r="EI34802"/>
      <c r="EJ34802"/>
      <c r="EK34802"/>
    </row>
    <row r="34803" spans="1:141" s="116" customFormat="1">
      <c r="A34803" s="136"/>
      <c r="CM34803" s="111"/>
      <c r="CQ34803" s="111"/>
      <c r="EF34803"/>
      <c r="EG34803"/>
      <c r="EH34803"/>
      <c r="EI34803"/>
      <c r="EJ34803"/>
      <c r="EK34803"/>
    </row>
    <row r="34804" spans="1:141" s="116" customFormat="1">
      <c r="A34804" s="136"/>
      <c r="CM34804" s="111"/>
      <c r="CQ34804" s="111"/>
      <c r="EF34804"/>
      <c r="EG34804"/>
      <c r="EH34804"/>
      <c r="EI34804"/>
      <c r="EJ34804"/>
      <c r="EK34804"/>
    </row>
    <row r="34805" spans="1:141" s="116" customFormat="1">
      <c r="A34805" s="136"/>
      <c r="CM34805" s="111"/>
      <c r="CQ34805" s="111"/>
      <c r="EF34805"/>
      <c r="EG34805"/>
      <c r="EH34805"/>
      <c r="EI34805"/>
      <c r="EJ34805"/>
      <c r="EK34805"/>
    </row>
    <row r="34806" spans="1:141" s="116" customFormat="1">
      <c r="A34806" s="136"/>
      <c r="CM34806" s="111"/>
      <c r="CQ34806" s="111"/>
      <c r="EF34806"/>
      <c r="EG34806"/>
      <c r="EH34806"/>
      <c r="EI34806"/>
      <c r="EJ34806"/>
      <c r="EK34806"/>
    </row>
    <row r="34807" spans="1:141" s="116" customFormat="1">
      <c r="A34807" s="136"/>
      <c r="CM34807" s="111"/>
      <c r="CQ34807" s="111"/>
      <c r="EF34807"/>
      <c r="EG34807"/>
      <c r="EH34807"/>
      <c r="EI34807"/>
      <c r="EJ34807"/>
      <c r="EK34807"/>
    </row>
    <row r="34808" spans="1:141" s="116" customFormat="1">
      <c r="A34808" s="136"/>
      <c r="CM34808" s="111"/>
      <c r="CQ34808" s="111"/>
      <c r="EF34808"/>
      <c r="EG34808"/>
      <c r="EH34808"/>
      <c r="EI34808"/>
      <c r="EJ34808"/>
      <c r="EK34808"/>
    </row>
    <row r="34809" spans="1:141" s="116" customFormat="1">
      <c r="A34809" s="136"/>
      <c r="CM34809" s="111"/>
      <c r="CQ34809" s="111"/>
      <c r="EF34809"/>
      <c r="EG34809"/>
      <c r="EH34809"/>
      <c r="EI34809"/>
      <c r="EJ34809"/>
      <c r="EK34809"/>
    </row>
    <row r="34810" spans="1:141" s="116" customFormat="1">
      <c r="A34810" s="136"/>
      <c r="CM34810" s="111"/>
      <c r="CQ34810" s="111"/>
      <c r="EF34810"/>
      <c r="EG34810"/>
      <c r="EH34810"/>
      <c r="EI34810"/>
      <c r="EJ34810"/>
      <c r="EK34810"/>
    </row>
    <row r="34811" spans="1:141" s="116" customFormat="1">
      <c r="A34811" s="136"/>
      <c r="CM34811" s="111"/>
      <c r="CQ34811" s="111"/>
      <c r="EF34811"/>
      <c r="EG34811"/>
      <c r="EH34811"/>
      <c r="EI34811"/>
      <c r="EJ34811"/>
      <c r="EK34811"/>
    </row>
    <row r="34812" spans="1:141" s="116" customFormat="1">
      <c r="A34812" s="136"/>
      <c r="CM34812" s="111"/>
      <c r="CQ34812" s="111"/>
      <c r="EF34812"/>
      <c r="EG34812"/>
      <c r="EH34812"/>
      <c r="EI34812"/>
      <c r="EJ34812"/>
      <c r="EK34812"/>
    </row>
    <row r="34813" spans="1:141" s="116" customFormat="1">
      <c r="A34813" s="136"/>
      <c r="CM34813" s="111"/>
      <c r="CQ34813" s="111"/>
      <c r="EF34813"/>
      <c r="EG34813"/>
      <c r="EH34813"/>
      <c r="EI34813"/>
      <c r="EJ34813"/>
      <c r="EK34813"/>
    </row>
    <row r="34814" spans="1:141" s="116" customFormat="1">
      <c r="A34814" s="136"/>
      <c r="CM34814" s="111"/>
      <c r="CQ34814" s="111"/>
      <c r="EF34814"/>
      <c r="EG34814"/>
      <c r="EH34814"/>
      <c r="EI34814"/>
      <c r="EJ34814"/>
      <c r="EK34814"/>
    </row>
    <row r="34815" spans="1:141" s="116" customFormat="1">
      <c r="A34815" s="136"/>
      <c r="CM34815" s="111"/>
      <c r="CQ34815" s="111"/>
      <c r="EF34815"/>
      <c r="EG34815"/>
      <c r="EH34815"/>
      <c r="EI34815"/>
      <c r="EJ34815"/>
      <c r="EK34815"/>
    </row>
    <row r="34816" spans="1:141" s="116" customFormat="1">
      <c r="A34816" s="136"/>
      <c r="CM34816" s="111"/>
      <c r="CQ34816" s="111"/>
      <c r="EF34816"/>
      <c r="EG34816"/>
      <c r="EH34816"/>
      <c r="EI34816"/>
      <c r="EJ34816"/>
      <c r="EK34816"/>
    </row>
    <row r="34817" spans="1:141" s="116" customFormat="1">
      <c r="A34817" s="136"/>
      <c r="CM34817" s="111"/>
      <c r="CQ34817" s="111"/>
      <c r="EF34817"/>
      <c r="EG34817"/>
      <c r="EH34817"/>
      <c r="EI34817"/>
      <c r="EJ34817"/>
      <c r="EK34817"/>
    </row>
    <row r="34818" spans="1:141" s="116" customFormat="1">
      <c r="A34818" s="136"/>
      <c r="CM34818" s="111"/>
      <c r="CQ34818" s="111"/>
      <c r="EF34818"/>
      <c r="EG34818"/>
      <c r="EH34818"/>
      <c r="EI34818"/>
      <c r="EJ34818"/>
      <c r="EK34818"/>
    </row>
    <row r="34819" spans="1:141" s="116" customFormat="1">
      <c r="A34819" s="136"/>
      <c r="CM34819" s="111"/>
      <c r="CQ34819" s="111"/>
      <c r="EF34819"/>
      <c r="EG34819"/>
      <c r="EH34819"/>
      <c r="EI34819"/>
      <c r="EJ34819"/>
      <c r="EK34819"/>
    </row>
    <row r="34820" spans="1:141" s="116" customFormat="1">
      <c r="A34820" s="136"/>
      <c r="CM34820" s="111"/>
      <c r="CQ34820" s="111"/>
      <c r="EF34820"/>
      <c r="EG34820"/>
      <c r="EH34820"/>
      <c r="EI34820"/>
      <c r="EJ34820"/>
      <c r="EK34820"/>
    </row>
    <row r="34821" spans="1:141" s="116" customFormat="1">
      <c r="A34821" s="136"/>
      <c r="CM34821" s="111"/>
      <c r="CQ34821" s="111"/>
      <c r="EF34821"/>
      <c r="EG34821"/>
      <c r="EH34821"/>
      <c r="EI34821"/>
      <c r="EJ34821"/>
      <c r="EK34821"/>
    </row>
    <row r="34822" spans="1:141" s="116" customFormat="1">
      <c r="A34822" s="136"/>
      <c r="CM34822" s="111"/>
      <c r="CQ34822" s="111"/>
      <c r="EF34822"/>
      <c r="EG34822"/>
      <c r="EH34822"/>
      <c r="EI34822"/>
      <c r="EJ34822"/>
      <c r="EK34822"/>
    </row>
    <row r="34823" spans="1:141" s="116" customFormat="1">
      <c r="A34823" s="136"/>
      <c r="CM34823" s="111"/>
      <c r="CQ34823" s="111"/>
      <c r="EF34823"/>
      <c r="EG34823"/>
      <c r="EH34823"/>
      <c r="EI34823"/>
      <c r="EJ34823"/>
      <c r="EK34823"/>
    </row>
    <row r="34824" spans="1:141" s="116" customFormat="1">
      <c r="A34824" s="136"/>
      <c r="CM34824" s="111"/>
      <c r="CQ34824" s="111"/>
      <c r="EF34824"/>
      <c r="EG34824"/>
      <c r="EH34824"/>
      <c r="EI34824"/>
      <c r="EJ34824"/>
      <c r="EK34824"/>
    </row>
    <row r="34825" spans="1:141" s="116" customFormat="1">
      <c r="A34825" s="136"/>
      <c r="CM34825" s="111"/>
      <c r="CQ34825" s="111"/>
      <c r="EF34825"/>
      <c r="EG34825"/>
      <c r="EH34825"/>
      <c r="EI34825"/>
      <c r="EJ34825"/>
      <c r="EK34825"/>
    </row>
    <row r="34826" spans="1:141" s="116" customFormat="1">
      <c r="A34826" s="136"/>
      <c r="CM34826" s="111"/>
      <c r="CQ34826" s="111"/>
      <c r="EF34826"/>
      <c r="EG34826"/>
      <c r="EH34826"/>
      <c r="EI34826"/>
      <c r="EJ34826"/>
      <c r="EK34826"/>
    </row>
    <row r="34827" spans="1:141" s="116" customFormat="1">
      <c r="A34827" s="136"/>
      <c r="CM34827" s="111"/>
      <c r="CQ34827" s="111"/>
      <c r="EF34827"/>
      <c r="EG34827"/>
      <c r="EH34827"/>
      <c r="EI34827"/>
      <c r="EJ34827"/>
      <c r="EK34827"/>
    </row>
    <row r="34828" spans="1:141" s="116" customFormat="1">
      <c r="A34828" s="136"/>
      <c r="CM34828" s="111"/>
      <c r="CQ34828" s="111"/>
      <c r="EF34828"/>
      <c r="EG34828"/>
      <c r="EH34828"/>
      <c r="EI34828"/>
      <c r="EJ34828"/>
      <c r="EK34828"/>
    </row>
    <row r="34829" spans="1:141" s="116" customFormat="1">
      <c r="A34829" s="136"/>
      <c r="CM34829" s="111"/>
      <c r="CQ34829" s="111"/>
      <c r="EF34829"/>
      <c r="EG34829"/>
      <c r="EH34829"/>
      <c r="EI34829"/>
      <c r="EJ34829"/>
      <c r="EK34829"/>
    </row>
    <row r="34830" spans="1:141" s="116" customFormat="1">
      <c r="A34830" s="136"/>
      <c r="CM34830" s="111"/>
      <c r="CQ34830" s="111"/>
      <c r="EF34830"/>
      <c r="EG34830"/>
      <c r="EH34830"/>
      <c r="EI34830"/>
      <c r="EJ34830"/>
      <c r="EK34830"/>
    </row>
    <row r="34831" spans="1:141" s="116" customFormat="1">
      <c r="A34831" s="136"/>
      <c r="CM34831" s="111"/>
      <c r="CQ34831" s="111"/>
      <c r="EF34831"/>
      <c r="EG34831"/>
      <c r="EH34831"/>
      <c r="EI34831"/>
      <c r="EJ34831"/>
      <c r="EK34831"/>
    </row>
    <row r="34832" spans="1:141" s="116" customFormat="1">
      <c r="A34832" s="136"/>
      <c r="CM34832" s="111"/>
      <c r="CQ34832" s="111"/>
      <c r="EF34832"/>
      <c r="EG34832"/>
      <c r="EH34832"/>
      <c r="EI34832"/>
      <c r="EJ34832"/>
      <c r="EK34832"/>
    </row>
    <row r="34833" spans="1:141" s="116" customFormat="1">
      <c r="A34833" s="136"/>
      <c r="CM34833" s="111"/>
      <c r="CQ34833" s="111"/>
      <c r="EF34833"/>
      <c r="EG34833"/>
      <c r="EH34833"/>
      <c r="EI34833"/>
      <c r="EJ34833"/>
      <c r="EK34833"/>
    </row>
    <row r="34834" spans="1:141" s="116" customFormat="1">
      <c r="A34834" s="136"/>
      <c r="CM34834" s="111"/>
      <c r="CQ34834" s="111"/>
      <c r="EF34834"/>
      <c r="EG34834"/>
      <c r="EH34834"/>
      <c r="EI34834"/>
      <c r="EJ34834"/>
      <c r="EK34834"/>
    </row>
    <row r="34835" spans="1:141" s="116" customFormat="1">
      <c r="A34835" s="136"/>
      <c r="CM34835" s="111"/>
      <c r="CQ34835" s="111"/>
      <c r="EF34835"/>
      <c r="EG34835"/>
      <c r="EH34835"/>
      <c r="EI34835"/>
      <c r="EJ34835"/>
      <c r="EK34835"/>
    </row>
    <row r="34836" spans="1:141" s="116" customFormat="1">
      <c r="A34836" s="136"/>
      <c r="CM34836" s="111"/>
      <c r="CQ34836" s="111"/>
      <c r="EF34836"/>
      <c r="EG34836"/>
      <c r="EH34836"/>
      <c r="EI34836"/>
      <c r="EJ34836"/>
      <c r="EK34836"/>
    </row>
    <row r="34837" spans="1:141" s="116" customFormat="1">
      <c r="A34837" s="136"/>
      <c r="CM34837" s="111"/>
      <c r="CQ34837" s="111"/>
      <c r="EF34837"/>
      <c r="EG34837"/>
      <c r="EH34837"/>
      <c r="EI34837"/>
      <c r="EJ34837"/>
      <c r="EK34837"/>
    </row>
    <row r="34838" spans="1:141" s="116" customFormat="1">
      <c r="A34838" s="136"/>
      <c r="CM34838" s="111"/>
      <c r="CQ34838" s="111"/>
      <c r="EF34838"/>
      <c r="EG34838"/>
      <c r="EH34838"/>
      <c r="EI34838"/>
      <c r="EJ34838"/>
      <c r="EK34838"/>
    </row>
    <row r="34839" spans="1:141" s="116" customFormat="1">
      <c r="A34839" s="136"/>
      <c r="CM34839" s="111"/>
      <c r="CQ34839" s="111"/>
      <c r="EF34839"/>
      <c r="EG34839"/>
      <c r="EH34839"/>
      <c r="EI34839"/>
      <c r="EJ34839"/>
      <c r="EK34839"/>
    </row>
    <row r="34840" spans="1:141" s="116" customFormat="1">
      <c r="A34840" s="136"/>
      <c r="CM34840" s="111"/>
      <c r="CQ34840" s="111"/>
      <c r="EF34840"/>
      <c r="EG34840"/>
      <c r="EH34840"/>
      <c r="EI34840"/>
      <c r="EJ34840"/>
      <c r="EK34840"/>
    </row>
    <row r="34841" spans="1:141" s="116" customFormat="1">
      <c r="A34841" s="136"/>
      <c r="CM34841" s="111"/>
      <c r="CQ34841" s="111"/>
      <c r="EF34841"/>
      <c r="EG34841"/>
      <c r="EH34841"/>
      <c r="EI34841"/>
      <c r="EJ34841"/>
      <c r="EK34841"/>
    </row>
    <row r="34842" spans="1:141" s="116" customFormat="1">
      <c r="A34842" s="136"/>
      <c r="CM34842" s="111"/>
      <c r="CQ34842" s="111"/>
      <c r="EF34842"/>
      <c r="EG34842"/>
      <c r="EH34842"/>
      <c r="EI34842"/>
      <c r="EJ34842"/>
      <c r="EK34842"/>
    </row>
    <row r="34843" spans="1:141" s="116" customFormat="1">
      <c r="A34843" s="136"/>
      <c r="CM34843" s="111"/>
      <c r="CQ34843" s="111"/>
      <c r="EF34843"/>
      <c r="EG34843"/>
      <c r="EH34843"/>
      <c r="EI34843"/>
      <c r="EJ34843"/>
      <c r="EK34843"/>
    </row>
    <row r="34844" spans="1:141" s="116" customFormat="1">
      <c r="A34844" s="136"/>
      <c r="CM34844" s="111"/>
      <c r="CQ34844" s="111"/>
      <c r="EF34844"/>
      <c r="EG34844"/>
      <c r="EH34844"/>
      <c r="EI34844"/>
      <c r="EJ34844"/>
      <c r="EK34844"/>
    </row>
    <row r="34845" spans="1:141" s="116" customFormat="1">
      <c r="A34845" s="136"/>
      <c r="CM34845" s="111"/>
      <c r="CQ34845" s="111"/>
      <c r="EF34845"/>
      <c r="EG34845"/>
      <c r="EH34845"/>
      <c r="EI34845"/>
      <c r="EJ34845"/>
      <c r="EK34845"/>
    </row>
    <row r="34846" spans="1:141" s="116" customFormat="1">
      <c r="A34846" s="136"/>
      <c r="CM34846" s="111"/>
      <c r="CQ34846" s="111"/>
      <c r="EF34846"/>
      <c r="EG34846"/>
      <c r="EH34846"/>
      <c r="EI34846"/>
      <c r="EJ34846"/>
      <c r="EK34846"/>
    </row>
    <row r="34847" spans="1:141" s="116" customFormat="1">
      <c r="A34847" s="136"/>
      <c r="CM34847" s="111"/>
      <c r="CQ34847" s="111"/>
      <c r="EF34847"/>
      <c r="EG34847"/>
      <c r="EH34847"/>
      <c r="EI34847"/>
      <c r="EJ34847"/>
      <c r="EK34847"/>
    </row>
    <row r="34848" spans="1:141" s="116" customFormat="1">
      <c r="A34848" s="136"/>
      <c r="CM34848" s="111"/>
      <c r="CQ34848" s="111"/>
      <c r="EF34848"/>
      <c r="EG34848"/>
      <c r="EH34848"/>
      <c r="EI34848"/>
      <c r="EJ34848"/>
      <c r="EK34848"/>
    </row>
    <row r="34849" spans="1:141" s="116" customFormat="1">
      <c r="A34849" s="136"/>
      <c r="CM34849" s="111"/>
      <c r="CQ34849" s="111"/>
      <c r="EF34849"/>
      <c r="EG34849"/>
      <c r="EH34849"/>
      <c r="EI34849"/>
      <c r="EJ34849"/>
      <c r="EK34849"/>
    </row>
    <row r="34850" spans="1:141" s="116" customFormat="1">
      <c r="A34850" s="136"/>
      <c r="CM34850" s="111"/>
      <c r="CQ34850" s="111"/>
      <c r="EF34850"/>
      <c r="EG34850"/>
      <c r="EH34850"/>
      <c r="EI34850"/>
      <c r="EJ34850"/>
      <c r="EK34850"/>
    </row>
    <row r="34851" spans="1:141" s="116" customFormat="1">
      <c r="A34851" s="136"/>
      <c r="CM34851" s="111"/>
      <c r="CQ34851" s="111"/>
      <c r="EF34851"/>
      <c r="EG34851"/>
      <c r="EH34851"/>
      <c r="EI34851"/>
      <c r="EJ34851"/>
      <c r="EK34851"/>
    </row>
    <row r="34852" spans="1:141" s="116" customFormat="1">
      <c r="A34852" s="136"/>
      <c r="CM34852" s="111"/>
      <c r="CQ34852" s="111"/>
      <c r="EF34852"/>
      <c r="EG34852"/>
      <c r="EH34852"/>
      <c r="EI34852"/>
      <c r="EJ34852"/>
      <c r="EK34852"/>
    </row>
    <row r="34853" spans="1:141" s="116" customFormat="1">
      <c r="A34853" s="136"/>
      <c r="CM34853" s="111"/>
      <c r="CQ34853" s="111"/>
      <c r="EF34853"/>
      <c r="EG34853"/>
      <c r="EH34853"/>
      <c r="EI34853"/>
      <c r="EJ34853"/>
      <c r="EK34853"/>
    </row>
    <row r="34854" spans="1:141" s="116" customFormat="1">
      <c r="A34854" s="136"/>
      <c r="CM34854" s="111"/>
      <c r="CQ34854" s="111"/>
      <c r="EF34854"/>
      <c r="EG34854"/>
      <c r="EH34854"/>
      <c r="EI34854"/>
      <c r="EJ34854"/>
      <c r="EK34854"/>
    </row>
    <row r="34855" spans="1:141" s="116" customFormat="1">
      <c r="A34855" s="136"/>
      <c r="CM34855" s="111"/>
      <c r="CQ34855" s="111"/>
      <c r="EF34855"/>
      <c r="EG34855"/>
      <c r="EH34855"/>
      <c r="EI34855"/>
      <c r="EJ34855"/>
      <c r="EK34855"/>
    </row>
    <row r="34856" spans="1:141" s="116" customFormat="1">
      <c r="A34856" s="136"/>
      <c r="CM34856" s="111"/>
      <c r="CQ34856" s="111"/>
      <c r="EF34856"/>
      <c r="EG34856"/>
      <c r="EH34856"/>
      <c r="EI34856"/>
      <c r="EJ34856"/>
      <c r="EK34856"/>
    </row>
    <row r="34857" spans="1:141" s="116" customFormat="1">
      <c r="A34857" s="136"/>
      <c r="CM34857" s="111"/>
      <c r="CQ34857" s="111"/>
      <c r="EF34857"/>
      <c r="EG34857"/>
      <c r="EH34857"/>
      <c r="EI34857"/>
      <c r="EJ34857"/>
      <c r="EK34857"/>
    </row>
    <row r="34858" spans="1:141" s="116" customFormat="1">
      <c r="A34858" s="136"/>
      <c r="CM34858" s="111"/>
      <c r="CQ34858" s="111"/>
      <c r="EF34858"/>
      <c r="EG34858"/>
      <c r="EH34858"/>
      <c r="EI34858"/>
      <c r="EJ34858"/>
      <c r="EK34858"/>
    </row>
    <row r="34859" spans="1:141" s="116" customFormat="1">
      <c r="A34859" s="136"/>
      <c r="CM34859" s="111"/>
      <c r="CQ34859" s="111"/>
      <c r="EF34859"/>
      <c r="EG34859"/>
      <c r="EH34859"/>
      <c r="EI34859"/>
      <c r="EJ34859"/>
      <c r="EK34859"/>
    </row>
    <row r="34860" spans="1:141" s="116" customFormat="1">
      <c r="A34860" s="136"/>
      <c r="CM34860" s="111"/>
      <c r="CQ34860" s="111"/>
      <c r="EF34860"/>
      <c r="EG34860"/>
      <c r="EH34860"/>
      <c r="EI34860"/>
      <c r="EJ34860"/>
      <c r="EK34860"/>
    </row>
    <row r="34861" spans="1:141" s="116" customFormat="1">
      <c r="A34861" s="136"/>
      <c r="CM34861" s="111"/>
      <c r="CQ34861" s="111"/>
      <c r="EF34861"/>
      <c r="EG34861"/>
      <c r="EH34861"/>
      <c r="EI34861"/>
      <c r="EJ34861"/>
      <c r="EK34861"/>
    </row>
    <row r="34862" spans="1:141" s="116" customFormat="1">
      <c r="A34862" s="136"/>
      <c r="CM34862" s="111"/>
      <c r="CQ34862" s="111"/>
      <c r="EF34862"/>
      <c r="EG34862"/>
      <c r="EH34862"/>
      <c r="EI34862"/>
      <c r="EJ34862"/>
      <c r="EK34862"/>
    </row>
    <row r="34863" spans="1:141" s="116" customFormat="1">
      <c r="A34863" s="136"/>
      <c r="CM34863" s="111"/>
      <c r="CQ34863" s="111"/>
      <c r="EF34863"/>
      <c r="EG34863"/>
      <c r="EH34863"/>
      <c r="EI34863"/>
      <c r="EJ34863"/>
      <c r="EK34863"/>
    </row>
    <row r="34864" spans="1:141" s="116" customFormat="1">
      <c r="A34864" s="136"/>
      <c r="CM34864" s="111"/>
      <c r="CQ34864" s="111"/>
      <c r="EF34864"/>
      <c r="EG34864"/>
      <c r="EH34864"/>
      <c r="EI34864"/>
      <c r="EJ34864"/>
      <c r="EK34864"/>
    </row>
    <row r="34865" spans="1:141" s="116" customFormat="1">
      <c r="A34865" s="136"/>
      <c r="CM34865" s="111"/>
      <c r="CQ34865" s="111"/>
      <c r="EF34865"/>
      <c r="EG34865"/>
      <c r="EH34865"/>
      <c r="EI34865"/>
      <c r="EJ34865"/>
      <c r="EK34865"/>
    </row>
    <row r="34866" spans="1:141" s="116" customFormat="1">
      <c r="A34866" s="136"/>
      <c r="CM34866" s="111"/>
      <c r="CQ34866" s="111"/>
      <c r="EF34866"/>
      <c r="EG34866"/>
      <c r="EH34866"/>
      <c r="EI34866"/>
      <c r="EJ34866"/>
      <c r="EK34866"/>
    </row>
    <row r="34867" spans="1:141" s="116" customFormat="1">
      <c r="A34867" s="136"/>
      <c r="CM34867" s="111"/>
      <c r="CQ34867" s="111"/>
      <c r="EF34867"/>
      <c r="EG34867"/>
      <c r="EH34867"/>
      <c r="EI34867"/>
      <c r="EJ34867"/>
      <c r="EK34867"/>
    </row>
    <row r="34868" spans="1:141" s="116" customFormat="1">
      <c r="A34868" s="136"/>
      <c r="CM34868" s="111"/>
      <c r="CQ34868" s="111"/>
      <c r="EF34868"/>
      <c r="EG34868"/>
      <c r="EH34868"/>
      <c r="EI34868"/>
      <c r="EJ34868"/>
      <c r="EK34868"/>
    </row>
    <row r="34869" spans="1:141" s="116" customFormat="1">
      <c r="A34869" s="136"/>
      <c r="CM34869" s="111"/>
      <c r="CQ34869" s="111"/>
      <c r="EF34869"/>
      <c r="EG34869"/>
      <c r="EH34869"/>
      <c r="EI34869"/>
      <c r="EJ34869"/>
      <c r="EK34869"/>
    </row>
    <row r="34870" spans="1:141" s="116" customFormat="1">
      <c r="A34870" s="136"/>
      <c r="CM34870" s="111"/>
      <c r="CQ34870" s="111"/>
      <c r="EF34870"/>
      <c r="EG34870"/>
      <c r="EH34870"/>
      <c r="EI34870"/>
      <c r="EJ34870"/>
      <c r="EK34870"/>
    </row>
    <row r="34871" spans="1:141" s="116" customFormat="1">
      <c r="A34871" s="136"/>
      <c r="CM34871" s="111"/>
      <c r="CQ34871" s="111"/>
      <c r="EF34871"/>
      <c r="EG34871"/>
      <c r="EH34871"/>
      <c r="EI34871"/>
      <c r="EJ34871"/>
      <c r="EK34871"/>
    </row>
    <row r="34872" spans="1:141" s="116" customFormat="1">
      <c r="A34872" s="136"/>
      <c r="CM34872" s="111"/>
      <c r="CQ34872" s="111"/>
      <c r="EF34872"/>
      <c r="EG34872"/>
      <c r="EH34872"/>
      <c r="EI34872"/>
      <c r="EJ34872"/>
      <c r="EK34872"/>
    </row>
    <row r="34873" spans="1:141" s="116" customFormat="1">
      <c r="A34873" s="136"/>
      <c r="CM34873" s="111"/>
      <c r="CQ34873" s="111"/>
      <c r="EF34873"/>
      <c r="EG34873"/>
      <c r="EH34873"/>
      <c r="EI34873"/>
      <c r="EJ34873"/>
      <c r="EK34873"/>
    </row>
    <row r="34874" spans="1:141" s="116" customFormat="1">
      <c r="A34874" s="136"/>
      <c r="CM34874" s="111"/>
      <c r="CQ34874" s="111"/>
      <c r="EF34874"/>
      <c r="EG34874"/>
      <c r="EH34874"/>
      <c r="EI34874"/>
      <c r="EJ34874"/>
      <c r="EK34874"/>
    </row>
    <row r="34875" spans="1:141" s="116" customFormat="1">
      <c r="A34875" s="136"/>
      <c r="CM34875" s="111"/>
      <c r="CQ34875" s="111"/>
      <c r="EF34875"/>
      <c r="EG34875"/>
      <c r="EH34875"/>
      <c r="EI34875"/>
      <c r="EJ34875"/>
      <c r="EK34875"/>
    </row>
    <row r="34876" spans="1:141" s="116" customFormat="1">
      <c r="A34876" s="136"/>
      <c r="CM34876" s="111"/>
      <c r="CQ34876" s="111"/>
      <c r="EF34876"/>
      <c r="EG34876"/>
      <c r="EH34876"/>
      <c r="EI34876"/>
      <c r="EJ34876"/>
      <c r="EK34876"/>
    </row>
    <row r="34877" spans="1:141" s="116" customFormat="1">
      <c r="A34877" s="136"/>
      <c r="CM34877" s="111"/>
      <c r="CQ34877" s="111"/>
      <c r="EF34877"/>
      <c r="EG34877"/>
      <c r="EH34877"/>
      <c r="EI34877"/>
      <c r="EJ34877"/>
      <c r="EK34877"/>
    </row>
    <row r="34878" spans="1:141" s="116" customFormat="1">
      <c r="A34878" s="136"/>
      <c r="CM34878" s="111"/>
      <c r="CQ34878" s="111"/>
      <c r="EF34878"/>
      <c r="EG34878"/>
      <c r="EH34878"/>
      <c r="EI34878"/>
      <c r="EJ34878"/>
      <c r="EK34878"/>
    </row>
    <row r="34879" spans="1:141" s="116" customFormat="1">
      <c r="A34879" s="136"/>
      <c r="CM34879" s="111"/>
      <c r="CQ34879" s="111"/>
      <c r="EF34879"/>
      <c r="EG34879"/>
      <c r="EH34879"/>
      <c r="EI34879"/>
      <c r="EJ34879"/>
      <c r="EK34879"/>
    </row>
    <row r="34880" spans="1:141" s="116" customFormat="1">
      <c r="A34880" s="136"/>
      <c r="CM34880" s="111"/>
      <c r="CQ34880" s="111"/>
      <c r="EF34880"/>
      <c r="EG34880"/>
      <c r="EH34880"/>
      <c r="EI34880"/>
      <c r="EJ34880"/>
      <c r="EK34880"/>
    </row>
    <row r="34881" spans="1:141" s="116" customFormat="1">
      <c r="A34881" s="136"/>
      <c r="CM34881" s="111"/>
      <c r="CQ34881" s="111"/>
      <c r="EF34881"/>
      <c r="EG34881"/>
      <c r="EH34881"/>
      <c r="EI34881"/>
      <c r="EJ34881"/>
      <c r="EK34881"/>
    </row>
    <row r="34882" spans="1:141" s="116" customFormat="1">
      <c r="A34882" s="136"/>
      <c r="CM34882" s="111"/>
      <c r="CQ34882" s="111"/>
      <c r="EF34882"/>
      <c r="EG34882"/>
      <c r="EH34882"/>
      <c r="EI34882"/>
      <c r="EJ34882"/>
      <c r="EK34882"/>
    </row>
    <row r="34883" spans="1:141" s="116" customFormat="1">
      <c r="A34883" s="136"/>
      <c r="CM34883" s="111"/>
      <c r="CQ34883" s="111"/>
      <c r="EF34883"/>
      <c r="EG34883"/>
      <c r="EH34883"/>
      <c r="EI34883"/>
      <c r="EJ34883"/>
      <c r="EK34883"/>
    </row>
    <row r="34884" spans="1:141" s="116" customFormat="1">
      <c r="A34884" s="136"/>
      <c r="CM34884" s="111"/>
      <c r="CQ34884" s="111"/>
      <c r="EF34884"/>
      <c r="EG34884"/>
      <c r="EH34884"/>
      <c r="EI34884"/>
      <c r="EJ34884"/>
      <c r="EK34884"/>
    </row>
    <row r="34885" spans="1:141" s="116" customFormat="1">
      <c r="A34885" s="136"/>
      <c r="CM34885" s="111"/>
      <c r="CQ34885" s="111"/>
      <c r="EF34885"/>
      <c r="EG34885"/>
      <c r="EH34885"/>
      <c r="EI34885"/>
      <c r="EJ34885"/>
      <c r="EK34885"/>
    </row>
    <row r="34886" spans="1:141" s="116" customFormat="1">
      <c r="A34886" s="136"/>
      <c r="CM34886" s="111"/>
      <c r="CQ34886" s="111"/>
      <c r="EF34886"/>
      <c r="EG34886"/>
      <c r="EH34886"/>
      <c r="EI34886"/>
      <c r="EJ34886"/>
      <c r="EK34886"/>
    </row>
    <row r="34887" spans="1:141" s="116" customFormat="1">
      <c r="A34887" s="136"/>
      <c r="CM34887" s="111"/>
      <c r="CQ34887" s="111"/>
      <c r="EF34887"/>
      <c r="EG34887"/>
      <c r="EH34887"/>
      <c r="EI34887"/>
      <c r="EJ34887"/>
      <c r="EK34887"/>
    </row>
    <row r="34888" spans="1:141" s="116" customFormat="1">
      <c r="A34888" s="136"/>
      <c r="CM34888" s="111"/>
      <c r="CQ34888" s="111"/>
      <c r="EF34888"/>
      <c r="EG34888"/>
      <c r="EH34888"/>
      <c r="EI34888"/>
      <c r="EJ34888"/>
      <c r="EK34888"/>
    </row>
    <row r="34889" spans="1:141" s="116" customFormat="1">
      <c r="A34889" s="136"/>
      <c r="CM34889" s="111"/>
      <c r="CQ34889" s="111"/>
      <c r="EF34889"/>
      <c r="EG34889"/>
      <c r="EH34889"/>
      <c r="EI34889"/>
      <c r="EJ34889"/>
      <c r="EK34889"/>
    </row>
    <row r="34890" spans="1:141" s="116" customFormat="1">
      <c r="A34890" s="136"/>
      <c r="CM34890" s="111"/>
      <c r="CQ34890" s="111"/>
      <c r="EF34890"/>
      <c r="EG34890"/>
      <c r="EH34890"/>
      <c r="EI34890"/>
      <c r="EJ34890"/>
      <c r="EK34890"/>
    </row>
    <row r="34891" spans="1:141" s="116" customFormat="1">
      <c r="A34891" s="136"/>
      <c r="CM34891" s="111"/>
      <c r="CQ34891" s="111"/>
      <c r="EF34891"/>
      <c r="EG34891"/>
      <c r="EH34891"/>
      <c r="EI34891"/>
      <c r="EJ34891"/>
      <c r="EK34891"/>
    </row>
    <row r="34892" spans="1:141" s="116" customFormat="1">
      <c r="A34892" s="136"/>
      <c r="CM34892" s="111"/>
      <c r="CQ34892" s="111"/>
      <c r="EF34892"/>
      <c r="EG34892"/>
      <c r="EH34892"/>
      <c r="EI34892"/>
      <c r="EJ34892"/>
      <c r="EK34892"/>
    </row>
    <row r="34893" spans="1:141" s="116" customFormat="1">
      <c r="A34893" s="136"/>
      <c r="CM34893" s="111"/>
      <c r="CQ34893" s="111"/>
      <c r="EF34893"/>
      <c r="EG34893"/>
      <c r="EH34893"/>
      <c r="EI34893"/>
      <c r="EJ34893"/>
      <c r="EK34893"/>
    </row>
    <row r="34894" spans="1:141" s="116" customFormat="1">
      <c r="A34894" s="136"/>
      <c r="CM34894" s="111"/>
      <c r="CQ34894" s="111"/>
      <c r="EF34894"/>
      <c r="EG34894"/>
      <c r="EH34894"/>
      <c r="EI34894"/>
      <c r="EJ34894"/>
      <c r="EK34894"/>
    </row>
    <row r="34895" spans="1:141" s="116" customFormat="1">
      <c r="A34895" s="136"/>
      <c r="CM34895" s="111"/>
      <c r="CQ34895" s="111"/>
      <c r="EF34895"/>
      <c r="EG34895"/>
      <c r="EH34895"/>
      <c r="EI34895"/>
      <c r="EJ34895"/>
      <c r="EK34895"/>
    </row>
    <row r="34896" spans="1:141" s="116" customFormat="1">
      <c r="A34896" s="136"/>
      <c r="CM34896" s="111"/>
      <c r="CQ34896" s="111"/>
      <c r="EF34896"/>
      <c r="EG34896"/>
      <c r="EH34896"/>
      <c r="EI34896"/>
      <c r="EJ34896"/>
      <c r="EK34896"/>
    </row>
    <row r="34897" spans="1:141" s="116" customFormat="1">
      <c r="A34897" s="136"/>
      <c r="CM34897" s="111"/>
      <c r="CQ34897" s="111"/>
      <c r="EF34897"/>
      <c r="EG34897"/>
      <c r="EH34897"/>
      <c r="EI34897"/>
      <c r="EJ34897"/>
      <c r="EK34897"/>
    </row>
    <row r="34898" spans="1:141" s="116" customFormat="1">
      <c r="A34898" s="136"/>
      <c r="CM34898" s="111"/>
      <c r="CQ34898" s="111"/>
      <c r="EF34898"/>
      <c r="EG34898"/>
      <c r="EH34898"/>
      <c r="EI34898"/>
      <c r="EJ34898"/>
      <c r="EK34898"/>
    </row>
    <row r="34899" spans="1:141" s="116" customFormat="1">
      <c r="A34899" s="136"/>
      <c r="CM34899" s="111"/>
      <c r="CQ34899" s="111"/>
      <c r="EF34899"/>
      <c r="EG34899"/>
      <c r="EH34899"/>
      <c r="EI34899"/>
      <c r="EJ34899"/>
      <c r="EK34899"/>
    </row>
    <row r="34900" spans="1:141" s="116" customFormat="1">
      <c r="A34900" s="136"/>
      <c r="CM34900" s="111"/>
      <c r="CQ34900" s="111"/>
      <c r="EF34900"/>
      <c r="EG34900"/>
      <c r="EH34900"/>
      <c r="EI34900"/>
      <c r="EJ34900"/>
      <c r="EK34900"/>
    </row>
    <row r="34901" spans="1:141" s="116" customFormat="1">
      <c r="A34901" s="136"/>
      <c r="CM34901" s="111"/>
      <c r="CQ34901" s="111"/>
      <c r="EF34901"/>
      <c r="EG34901"/>
      <c r="EH34901"/>
      <c r="EI34901"/>
      <c r="EJ34901"/>
      <c r="EK34901"/>
    </row>
    <row r="34902" spans="1:141" s="116" customFormat="1">
      <c r="A34902" s="136"/>
      <c r="CM34902" s="111"/>
      <c r="CQ34902" s="111"/>
      <c r="EF34902"/>
      <c r="EG34902"/>
      <c r="EH34902"/>
      <c r="EI34902"/>
      <c r="EJ34902"/>
      <c r="EK34902"/>
    </row>
    <row r="34903" spans="1:141" s="116" customFormat="1">
      <c r="A34903" s="136"/>
      <c r="CM34903" s="111"/>
      <c r="CQ34903" s="111"/>
      <c r="EF34903"/>
      <c r="EG34903"/>
      <c r="EH34903"/>
      <c r="EI34903"/>
      <c r="EJ34903"/>
      <c r="EK34903"/>
    </row>
    <row r="34904" spans="1:141" s="116" customFormat="1">
      <c r="A34904" s="136"/>
      <c r="CM34904" s="111"/>
      <c r="CQ34904" s="111"/>
      <c r="EF34904"/>
      <c r="EG34904"/>
      <c r="EH34904"/>
      <c r="EI34904"/>
      <c r="EJ34904"/>
      <c r="EK34904"/>
    </row>
    <row r="34905" spans="1:141" s="116" customFormat="1">
      <c r="A34905" s="136"/>
      <c r="CM34905" s="111"/>
      <c r="CQ34905" s="111"/>
      <c r="EF34905"/>
      <c r="EG34905"/>
      <c r="EH34905"/>
      <c r="EI34905"/>
      <c r="EJ34905"/>
      <c r="EK34905"/>
    </row>
    <row r="34906" spans="1:141" s="116" customFormat="1">
      <c r="A34906" s="136"/>
      <c r="CM34906" s="111"/>
      <c r="CQ34906" s="111"/>
      <c r="EF34906"/>
      <c r="EG34906"/>
      <c r="EH34906"/>
      <c r="EI34906"/>
      <c r="EJ34906"/>
      <c r="EK34906"/>
    </row>
    <row r="34907" spans="1:141" s="116" customFormat="1">
      <c r="A34907" s="136"/>
      <c r="CM34907" s="111"/>
      <c r="CQ34907" s="111"/>
      <c r="EF34907"/>
      <c r="EG34907"/>
      <c r="EH34907"/>
      <c r="EI34907"/>
      <c r="EJ34907"/>
      <c r="EK34907"/>
    </row>
    <row r="34908" spans="1:141" s="116" customFormat="1">
      <c r="A34908" s="136"/>
      <c r="CM34908" s="111"/>
      <c r="CQ34908" s="111"/>
      <c r="EF34908"/>
      <c r="EG34908"/>
      <c r="EH34908"/>
      <c r="EI34908"/>
      <c r="EJ34908"/>
      <c r="EK34908"/>
    </row>
    <row r="34909" spans="1:141" s="116" customFormat="1">
      <c r="A34909" s="136"/>
      <c r="CM34909" s="111"/>
      <c r="CQ34909" s="111"/>
      <c r="EF34909"/>
      <c r="EG34909"/>
      <c r="EH34909"/>
      <c r="EI34909"/>
      <c r="EJ34909"/>
      <c r="EK34909"/>
    </row>
    <row r="34910" spans="1:141" s="116" customFormat="1">
      <c r="A34910" s="136"/>
      <c r="CM34910" s="111"/>
      <c r="CQ34910" s="111"/>
      <c r="EF34910"/>
      <c r="EG34910"/>
      <c r="EH34910"/>
      <c r="EI34910"/>
      <c r="EJ34910"/>
      <c r="EK34910"/>
    </row>
    <row r="34911" spans="1:141" s="116" customFormat="1">
      <c r="A34911" s="136"/>
      <c r="CM34911" s="111"/>
      <c r="CQ34911" s="111"/>
      <c r="EF34911"/>
      <c r="EG34911"/>
      <c r="EH34911"/>
      <c r="EI34911"/>
      <c r="EJ34911"/>
      <c r="EK34911"/>
    </row>
    <row r="34912" spans="1:141" s="116" customFormat="1">
      <c r="A34912" s="136"/>
      <c r="CM34912" s="111"/>
      <c r="CQ34912" s="111"/>
      <c r="EF34912"/>
      <c r="EG34912"/>
      <c r="EH34912"/>
      <c r="EI34912"/>
      <c r="EJ34912"/>
      <c r="EK34912"/>
    </row>
    <row r="34913" spans="1:141" s="116" customFormat="1">
      <c r="A34913" s="136"/>
      <c r="CM34913" s="111"/>
      <c r="CQ34913" s="111"/>
      <c r="EF34913"/>
      <c r="EG34913"/>
      <c r="EH34913"/>
      <c r="EI34913"/>
      <c r="EJ34913"/>
      <c r="EK34913"/>
    </row>
    <row r="34914" spans="1:141" s="116" customFormat="1">
      <c r="A34914" s="136"/>
      <c r="CM34914" s="111"/>
      <c r="CQ34914" s="111"/>
      <c r="EF34914"/>
      <c r="EG34914"/>
      <c r="EH34914"/>
      <c r="EI34914"/>
      <c r="EJ34914"/>
      <c r="EK34914"/>
    </row>
    <row r="34915" spans="1:141" s="116" customFormat="1">
      <c r="A34915" s="136"/>
      <c r="CM34915" s="111"/>
      <c r="CQ34915" s="111"/>
      <c r="EF34915"/>
      <c r="EG34915"/>
      <c r="EH34915"/>
      <c r="EI34915"/>
      <c r="EJ34915"/>
      <c r="EK34915"/>
    </row>
    <row r="34916" spans="1:141" s="116" customFormat="1">
      <c r="A34916" s="136"/>
      <c r="CM34916" s="111"/>
      <c r="CQ34916" s="111"/>
      <c r="EF34916"/>
      <c r="EG34916"/>
      <c r="EH34916"/>
      <c r="EI34916"/>
      <c r="EJ34916"/>
      <c r="EK34916"/>
    </row>
    <row r="34917" spans="1:141" s="116" customFormat="1">
      <c r="A34917" s="136"/>
      <c r="CM34917" s="111"/>
      <c r="CQ34917" s="111"/>
      <c r="EF34917"/>
      <c r="EG34917"/>
      <c r="EH34917"/>
      <c r="EI34917"/>
      <c r="EJ34917"/>
      <c r="EK34917"/>
    </row>
    <row r="34918" spans="1:141" s="116" customFormat="1">
      <c r="A34918" s="136"/>
      <c r="CM34918" s="111"/>
      <c r="CQ34918" s="111"/>
      <c r="EF34918"/>
      <c r="EG34918"/>
      <c r="EH34918"/>
      <c r="EI34918"/>
      <c r="EJ34918"/>
      <c r="EK34918"/>
    </row>
    <row r="34919" spans="1:141" s="116" customFormat="1">
      <c r="A34919" s="136"/>
      <c r="CM34919" s="111"/>
      <c r="CQ34919" s="111"/>
      <c r="EF34919"/>
      <c r="EG34919"/>
      <c r="EH34919"/>
      <c r="EI34919"/>
      <c r="EJ34919"/>
      <c r="EK34919"/>
    </row>
    <row r="34920" spans="1:141" s="116" customFormat="1">
      <c r="A34920" s="136"/>
      <c r="CM34920" s="111"/>
      <c r="CQ34920" s="111"/>
      <c r="EF34920"/>
      <c r="EG34920"/>
      <c r="EH34920"/>
      <c r="EI34920"/>
      <c r="EJ34920"/>
      <c r="EK34920"/>
    </row>
    <row r="34921" spans="1:141" s="116" customFormat="1">
      <c r="A34921" s="136"/>
      <c r="CM34921" s="111"/>
      <c r="CQ34921" s="111"/>
      <c r="EF34921"/>
      <c r="EG34921"/>
      <c r="EH34921"/>
      <c r="EI34921"/>
      <c r="EJ34921"/>
      <c r="EK34921"/>
    </row>
    <row r="34922" spans="1:141" s="116" customFormat="1">
      <c r="A34922" s="136"/>
      <c r="CM34922" s="111"/>
      <c r="CQ34922" s="111"/>
      <c r="EF34922"/>
      <c r="EG34922"/>
      <c r="EH34922"/>
      <c r="EI34922"/>
      <c r="EJ34922"/>
      <c r="EK34922"/>
    </row>
    <row r="34923" spans="1:141" s="116" customFormat="1">
      <c r="A34923" s="136"/>
      <c r="CM34923" s="111"/>
      <c r="CQ34923" s="111"/>
      <c r="EF34923"/>
      <c r="EG34923"/>
      <c r="EH34923"/>
      <c r="EI34923"/>
      <c r="EJ34923"/>
      <c r="EK34923"/>
    </row>
    <row r="34924" spans="1:141" s="116" customFormat="1">
      <c r="A34924" s="136"/>
      <c r="CM34924" s="111"/>
      <c r="CQ34924" s="111"/>
      <c r="EF34924"/>
      <c r="EG34924"/>
      <c r="EH34924"/>
      <c r="EI34924"/>
      <c r="EJ34924"/>
      <c r="EK34924"/>
    </row>
    <row r="34925" spans="1:141" s="116" customFormat="1">
      <c r="A34925" s="136"/>
      <c r="CM34925" s="111"/>
      <c r="CQ34925" s="111"/>
      <c r="EF34925"/>
      <c r="EG34925"/>
      <c r="EH34925"/>
      <c r="EI34925"/>
      <c r="EJ34925"/>
      <c r="EK34925"/>
    </row>
    <row r="34926" spans="1:141" s="116" customFormat="1">
      <c r="A34926" s="136"/>
      <c r="CM34926" s="111"/>
      <c r="CQ34926" s="111"/>
      <c r="EF34926"/>
      <c r="EG34926"/>
      <c r="EH34926"/>
      <c r="EI34926"/>
      <c r="EJ34926"/>
      <c r="EK34926"/>
    </row>
    <row r="34927" spans="1:141" s="116" customFormat="1">
      <c r="A34927" s="136"/>
      <c r="CM34927" s="111"/>
      <c r="CQ34927" s="111"/>
      <c r="EF34927"/>
      <c r="EG34927"/>
      <c r="EH34927"/>
      <c r="EI34927"/>
      <c r="EJ34927"/>
      <c r="EK34927"/>
    </row>
    <row r="34928" spans="1:141" s="116" customFormat="1">
      <c r="A34928" s="136"/>
      <c r="CM34928" s="111"/>
      <c r="CQ34928" s="111"/>
      <c r="EF34928"/>
      <c r="EG34928"/>
      <c r="EH34928"/>
      <c r="EI34928"/>
      <c r="EJ34928"/>
      <c r="EK34928"/>
    </row>
    <row r="34929" spans="1:141" s="116" customFormat="1">
      <c r="A34929" s="136"/>
      <c r="CM34929" s="111"/>
      <c r="CQ34929" s="111"/>
      <c r="EF34929"/>
      <c r="EG34929"/>
      <c r="EH34929"/>
      <c r="EI34929"/>
      <c r="EJ34929"/>
      <c r="EK34929"/>
    </row>
    <row r="34930" spans="1:141" s="116" customFormat="1">
      <c r="A34930" s="136"/>
      <c r="CM34930" s="111"/>
      <c r="CQ34930" s="111"/>
      <c r="EF34930"/>
      <c r="EG34930"/>
      <c r="EH34930"/>
      <c r="EI34930"/>
      <c r="EJ34930"/>
      <c r="EK34930"/>
    </row>
    <row r="34931" spans="1:141" s="116" customFormat="1">
      <c r="A34931" s="136"/>
      <c r="CM34931" s="111"/>
      <c r="CQ34931" s="111"/>
      <c r="EF34931"/>
      <c r="EG34931"/>
      <c r="EH34931"/>
      <c r="EI34931"/>
      <c r="EJ34931"/>
      <c r="EK34931"/>
    </row>
    <row r="34932" spans="1:141" s="116" customFormat="1">
      <c r="A34932" s="136"/>
      <c r="CM34932" s="111"/>
      <c r="CQ34932" s="111"/>
      <c r="EF34932"/>
      <c r="EG34932"/>
      <c r="EH34932"/>
      <c r="EI34932"/>
      <c r="EJ34932"/>
      <c r="EK34932"/>
    </row>
    <row r="34933" spans="1:141" s="116" customFormat="1">
      <c r="A34933" s="136"/>
      <c r="CM34933" s="111"/>
      <c r="CQ34933" s="111"/>
      <c r="EF34933"/>
      <c r="EG34933"/>
      <c r="EH34933"/>
      <c r="EI34933"/>
      <c r="EJ34933"/>
      <c r="EK34933"/>
    </row>
    <row r="34934" spans="1:141" s="116" customFormat="1">
      <c r="A34934" s="136"/>
      <c r="CM34934" s="111"/>
      <c r="CQ34934" s="111"/>
      <c r="EF34934"/>
      <c r="EG34934"/>
      <c r="EH34934"/>
      <c r="EI34934"/>
      <c r="EJ34934"/>
      <c r="EK34934"/>
    </row>
    <row r="34935" spans="1:141" s="116" customFormat="1">
      <c r="A34935" s="136"/>
      <c r="CM34935" s="111"/>
      <c r="CQ34935" s="111"/>
      <c r="EF34935"/>
      <c r="EG34935"/>
      <c r="EH34935"/>
      <c r="EI34935"/>
      <c r="EJ34935"/>
      <c r="EK34935"/>
    </row>
    <row r="34936" spans="1:141" s="116" customFormat="1">
      <c r="A34936" s="136"/>
      <c r="CM34936" s="111"/>
      <c r="CQ34936" s="111"/>
      <c r="EF34936"/>
      <c r="EG34936"/>
      <c r="EH34936"/>
      <c r="EI34936"/>
      <c r="EJ34936"/>
      <c r="EK34936"/>
    </row>
    <row r="34937" spans="1:141" s="116" customFormat="1">
      <c r="A34937" s="136"/>
      <c r="CM34937" s="111"/>
      <c r="CQ34937" s="111"/>
      <c r="EF34937"/>
      <c r="EG34937"/>
      <c r="EH34937"/>
      <c r="EI34937"/>
      <c r="EJ34937"/>
      <c r="EK34937"/>
    </row>
    <row r="34938" spans="1:141" s="116" customFormat="1">
      <c r="A34938" s="136"/>
      <c r="CM34938" s="111"/>
      <c r="CQ34938" s="111"/>
      <c r="EF34938"/>
      <c r="EG34938"/>
      <c r="EH34938"/>
      <c r="EI34938"/>
      <c r="EJ34938"/>
      <c r="EK34938"/>
    </row>
    <row r="34939" spans="1:141" s="116" customFormat="1">
      <c r="A34939" s="136"/>
      <c r="CM34939" s="111"/>
      <c r="CQ34939" s="111"/>
      <c r="EF34939"/>
      <c r="EG34939"/>
      <c r="EH34939"/>
      <c r="EI34939"/>
      <c r="EJ34939"/>
      <c r="EK34939"/>
    </row>
    <row r="34940" spans="1:141" s="116" customFormat="1">
      <c r="A34940" s="136"/>
      <c r="CM34940" s="111"/>
      <c r="CQ34940" s="111"/>
      <c r="EF34940"/>
      <c r="EG34940"/>
      <c r="EH34940"/>
      <c r="EI34940"/>
      <c r="EJ34940"/>
      <c r="EK34940"/>
    </row>
    <row r="34941" spans="1:141" s="116" customFormat="1">
      <c r="A34941" s="136"/>
      <c r="CM34941" s="111"/>
      <c r="CQ34941" s="111"/>
      <c r="EF34941"/>
      <c r="EG34941"/>
      <c r="EH34941"/>
      <c r="EI34941"/>
      <c r="EJ34941"/>
      <c r="EK34941"/>
    </row>
    <row r="34942" spans="1:141" s="116" customFormat="1">
      <c r="A34942" s="136"/>
      <c r="CM34942" s="111"/>
      <c r="CQ34942" s="111"/>
      <c r="EF34942"/>
      <c r="EG34942"/>
      <c r="EH34942"/>
      <c r="EI34942"/>
      <c r="EJ34942"/>
      <c r="EK34942"/>
    </row>
    <row r="34943" spans="1:141" s="116" customFormat="1">
      <c r="A34943" s="136"/>
      <c r="CM34943" s="111"/>
      <c r="CQ34943" s="111"/>
      <c r="EF34943"/>
      <c r="EG34943"/>
      <c r="EH34943"/>
      <c r="EI34943"/>
      <c r="EJ34943"/>
      <c r="EK34943"/>
    </row>
    <row r="34944" spans="1:141" s="116" customFormat="1">
      <c r="A34944" s="136"/>
      <c r="CM34944" s="111"/>
      <c r="CQ34944" s="111"/>
      <c r="EF34944"/>
      <c r="EG34944"/>
      <c r="EH34944"/>
      <c r="EI34944"/>
      <c r="EJ34944"/>
      <c r="EK34944"/>
    </row>
    <row r="34945" spans="1:141" s="116" customFormat="1">
      <c r="A34945" s="136"/>
      <c r="CM34945" s="111"/>
      <c r="CQ34945" s="111"/>
      <c r="EF34945"/>
      <c r="EG34945"/>
      <c r="EH34945"/>
      <c r="EI34945"/>
      <c r="EJ34945"/>
      <c r="EK34945"/>
    </row>
    <row r="34946" spans="1:141" s="116" customFormat="1">
      <c r="A34946" s="136"/>
      <c r="CM34946" s="111"/>
      <c r="CQ34946" s="111"/>
      <c r="EF34946"/>
      <c r="EG34946"/>
      <c r="EH34946"/>
      <c r="EI34946"/>
      <c r="EJ34946"/>
      <c r="EK34946"/>
    </row>
    <row r="34947" spans="1:141" s="116" customFormat="1">
      <c r="A34947" s="136"/>
      <c r="CM34947" s="111"/>
      <c r="CQ34947" s="111"/>
      <c r="EF34947"/>
      <c r="EG34947"/>
      <c r="EH34947"/>
      <c r="EI34947"/>
      <c r="EJ34947"/>
      <c r="EK34947"/>
    </row>
    <row r="34948" spans="1:141" s="116" customFormat="1">
      <c r="A34948" s="136"/>
      <c r="CM34948" s="111"/>
      <c r="CQ34948" s="111"/>
      <c r="EF34948"/>
      <c r="EG34948"/>
      <c r="EH34948"/>
      <c r="EI34948"/>
      <c r="EJ34948"/>
      <c r="EK34948"/>
    </row>
    <row r="34949" spans="1:141" s="116" customFormat="1">
      <c r="A34949" s="136"/>
      <c r="CM34949" s="111"/>
      <c r="CQ34949" s="111"/>
      <c r="EF34949"/>
      <c r="EG34949"/>
      <c r="EH34949"/>
      <c r="EI34949"/>
      <c r="EJ34949"/>
      <c r="EK34949"/>
    </row>
    <row r="34950" spans="1:141" s="116" customFormat="1">
      <c r="A34950" s="136"/>
      <c r="CM34950" s="111"/>
      <c r="CQ34950" s="111"/>
      <c r="EF34950"/>
      <c r="EG34950"/>
      <c r="EH34950"/>
      <c r="EI34950"/>
      <c r="EJ34950"/>
      <c r="EK34950"/>
    </row>
    <row r="34951" spans="1:141" s="116" customFormat="1">
      <c r="A34951" s="136"/>
      <c r="CM34951" s="111"/>
      <c r="CQ34951" s="111"/>
      <c r="EF34951"/>
      <c r="EG34951"/>
      <c r="EH34951"/>
      <c r="EI34951"/>
      <c r="EJ34951"/>
      <c r="EK34951"/>
    </row>
    <row r="34952" spans="1:141" s="116" customFormat="1">
      <c r="A34952" s="136"/>
      <c r="CM34952" s="111"/>
      <c r="CQ34952" s="111"/>
      <c r="EF34952"/>
      <c r="EG34952"/>
      <c r="EH34952"/>
      <c r="EI34952"/>
      <c r="EJ34952"/>
      <c r="EK34952"/>
    </row>
    <row r="34953" spans="1:141" s="116" customFormat="1">
      <c r="A34953" s="136"/>
      <c r="CM34953" s="111"/>
      <c r="CQ34953" s="111"/>
      <c r="EF34953"/>
      <c r="EG34953"/>
      <c r="EH34953"/>
      <c r="EI34953"/>
      <c r="EJ34953"/>
      <c r="EK34953"/>
    </row>
    <row r="34954" spans="1:141" s="116" customFormat="1">
      <c r="A34954" s="136"/>
      <c r="CM34954" s="111"/>
      <c r="CQ34954" s="111"/>
      <c r="EF34954"/>
      <c r="EG34954"/>
      <c r="EH34954"/>
      <c r="EI34954"/>
      <c r="EJ34954"/>
      <c r="EK34954"/>
    </row>
    <row r="34955" spans="1:141" s="116" customFormat="1">
      <c r="A34955" s="136"/>
      <c r="CM34955" s="111"/>
      <c r="CQ34955" s="111"/>
      <c r="EF34955"/>
      <c r="EG34955"/>
      <c r="EH34955"/>
      <c r="EI34955"/>
      <c r="EJ34955"/>
      <c r="EK34955"/>
    </row>
    <row r="34956" spans="1:141" s="116" customFormat="1">
      <c r="A34956" s="136"/>
      <c r="CM34956" s="111"/>
      <c r="CQ34956" s="111"/>
      <c r="EF34956"/>
      <c r="EG34956"/>
      <c r="EH34956"/>
      <c r="EI34956"/>
      <c r="EJ34956"/>
      <c r="EK34956"/>
    </row>
    <row r="34957" spans="1:141" s="116" customFormat="1">
      <c r="A34957" s="136"/>
      <c r="CM34957" s="111"/>
      <c r="CQ34957" s="111"/>
      <c r="EF34957"/>
      <c r="EG34957"/>
      <c r="EH34957"/>
      <c r="EI34957"/>
      <c r="EJ34957"/>
      <c r="EK34957"/>
    </row>
    <row r="34958" spans="1:141" s="116" customFormat="1">
      <c r="A34958" s="136"/>
      <c r="CM34958" s="111"/>
      <c r="CQ34958" s="111"/>
      <c r="EF34958"/>
      <c r="EG34958"/>
      <c r="EH34958"/>
      <c r="EI34958"/>
      <c r="EJ34958"/>
      <c r="EK34958"/>
    </row>
    <row r="34959" spans="1:141" s="116" customFormat="1">
      <c r="A34959" s="136"/>
      <c r="CM34959" s="111"/>
      <c r="CQ34959" s="111"/>
      <c r="EF34959"/>
      <c r="EG34959"/>
      <c r="EH34959"/>
      <c r="EI34959"/>
      <c r="EJ34959"/>
      <c r="EK34959"/>
    </row>
    <row r="34960" spans="1:141" s="116" customFormat="1">
      <c r="A34960" s="136"/>
      <c r="CM34960" s="111"/>
      <c r="CQ34960" s="111"/>
      <c r="EF34960"/>
      <c r="EG34960"/>
      <c r="EH34960"/>
      <c r="EI34960"/>
      <c r="EJ34960"/>
      <c r="EK34960"/>
    </row>
    <row r="34961" spans="1:141" s="116" customFormat="1">
      <c r="A34961" s="136"/>
      <c r="CM34961" s="111"/>
      <c r="CQ34961" s="111"/>
      <c r="EF34961"/>
      <c r="EG34961"/>
      <c r="EH34961"/>
      <c r="EI34961"/>
      <c r="EJ34961"/>
      <c r="EK34961"/>
    </row>
    <row r="34962" spans="1:141" s="116" customFormat="1">
      <c r="A34962" s="136"/>
      <c r="CM34962" s="111"/>
      <c r="CQ34962" s="111"/>
      <c r="EF34962"/>
      <c r="EG34962"/>
      <c r="EH34962"/>
      <c r="EI34962"/>
      <c r="EJ34962"/>
      <c r="EK34962"/>
    </row>
    <row r="34963" spans="1:141" s="116" customFormat="1">
      <c r="A34963" s="136"/>
      <c r="CM34963" s="111"/>
      <c r="CQ34963" s="111"/>
      <c r="EF34963"/>
      <c r="EG34963"/>
      <c r="EH34963"/>
      <c r="EI34963"/>
      <c r="EJ34963"/>
      <c r="EK34963"/>
    </row>
    <row r="34964" spans="1:141" s="116" customFormat="1">
      <c r="A34964" s="136"/>
      <c r="CM34964" s="111"/>
      <c r="CQ34964" s="111"/>
      <c r="EF34964"/>
      <c r="EG34964"/>
      <c r="EH34964"/>
      <c r="EI34964"/>
      <c r="EJ34964"/>
      <c r="EK34964"/>
    </row>
    <row r="34965" spans="1:141" s="116" customFormat="1">
      <c r="A34965" s="136"/>
      <c r="CM34965" s="111"/>
      <c r="CQ34965" s="111"/>
      <c r="EF34965"/>
      <c r="EG34965"/>
      <c r="EH34965"/>
      <c r="EI34965"/>
      <c r="EJ34965"/>
      <c r="EK34965"/>
    </row>
    <row r="34966" spans="1:141" s="116" customFormat="1">
      <c r="A34966" s="136"/>
      <c r="CM34966" s="111"/>
      <c r="CQ34966" s="111"/>
      <c r="EF34966"/>
      <c r="EG34966"/>
      <c r="EH34966"/>
      <c r="EI34966"/>
      <c r="EJ34966"/>
      <c r="EK34966"/>
    </row>
    <row r="34967" spans="1:141" s="116" customFormat="1">
      <c r="A34967" s="136"/>
      <c r="CM34967" s="111"/>
      <c r="CQ34967" s="111"/>
      <c r="EF34967"/>
      <c r="EG34967"/>
      <c r="EH34967"/>
      <c r="EI34967"/>
      <c r="EJ34967"/>
      <c r="EK34967"/>
    </row>
    <row r="34968" spans="1:141" s="116" customFormat="1">
      <c r="A34968" s="136"/>
      <c r="CM34968" s="111"/>
      <c r="CQ34968" s="111"/>
      <c r="EF34968"/>
      <c r="EG34968"/>
      <c r="EH34968"/>
      <c r="EI34968"/>
      <c r="EJ34968"/>
      <c r="EK34968"/>
    </row>
    <row r="34969" spans="1:141" s="116" customFormat="1">
      <c r="A34969" s="136"/>
      <c r="CM34969" s="111"/>
      <c r="CQ34969" s="111"/>
      <c r="EF34969"/>
      <c r="EG34969"/>
      <c r="EH34969"/>
      <c r="EI34969"/>
      <c r="EJ34969"/>
      <c r="EK34969"/>
    </row>
    <row r="34970" spans="1:141" s="116" customFormat="1">
      <c r="A34970" s="136"/>
      <c r="CM34970" s="111"/>
      <c r="CQ34970" s="111"/>
      <c r="EF34970"/>
      <c r="EG34970"/>
      <c r="EH34970"/>
      <c r="EI34970"/>
      <c r="EJ34970"/>
      <c r="EK34970"/>
    </row>
    <row r="34971" spans="1:141" s="116" customFormat="1">
      <c r="A34971" s="136"/>
      <c r="CM34971" s="111"/>
      <c r="CQ34971" s="111"/>
      <c r="EF34971"/>
      <c r="EG34971"/>
      <c r="EH34971"/>
      <c r="EI34971"/>
      <c r="EJ34971"/>
      <c r="EK34971"/>
    </row>
    <row r="34972" spans="1:141" s="116" customFormat="1">
      <c r="A34972" s="136"/>
      <c r="CM34972" s="111"/>
      <c r="CQ34972" s="111"/>
      <c r="EF34972"/>
      <c r="EG34972"/>
      <c r="EH34972"/>
      <c r="EI34972"/>
      <c r="EJ34972"/>
      <c r="EK34972"/>
    </row>
    <row r="34973" spans="1:141" s="116" customFormat="1">
      <c r="A34973" s="136"/>
      <c r="CM34973" s="111"/>
      <c r="CQ34973" s="111"/>
      <c r="EF34973"/>
      <c r="EG34973"/>
      <c r="EH34973"/>
      <c r="EI34973"/>
      <c r="EJ34973"/>
      <c r="EK34973"/>
    </row>
    <row r="34974" spans="1:141" s="116" customFormat="1">
      <c r="A34974" s="136"/>
      <c r="CM34974" s="111"/>
      <c r="CQ34974" s="111"/>
      <c r="EF34974"/>
      <c r="EG34974"/>
      <c r="EH34974"/>
      <c r="EI34974"/>
      <c r="EJ34974"/>
      <c r="EK34974"/>
    </row>
    <row r="34975" spans="1:141" s="116" customFormat="1">
      <c r="A34975" s="136"/>
      <c r="CM34975" s="111"/>
      <c r="CQ34975" s="111"/>
      <c r="EF34975"/>
      <c r="EG34975"/>
      <c r="EH34975"/>
      <c r="EI34975"/>
      <c r="EJ34975"/>
      <c r="EK34975"/>
    </row>
    <row r="34976" spans="1:141" s="116" customFormat="1">
      <c r="A34976" s="136"/>
      <c r="CM34976" s="111"/>
      <c r="CQ34976" s="111"/>
      <c r="EF34976"/>
      <c r="EG34976"/>
      <c r="EH34976"/>
      <c r="EI34976"/>
      <c r="EJ34976"/>
      <c r="EK34976"/>
    </row>
    <row r="34977" spans="1:141" s="116" customFormat="1">
      <c r="A34977" s="136"/>
      <c r="CM34977" s="111"/>
      <c r="CQ34977" s="111"/>
      <c r="EF34977"/>
      <c r="EG34977"/>
      <c r="EH34977"/>
      <c r="EI34977"/>
      <c r="EJ34977"/>
      <c r="EK34977"/>
    </row>
    <row r="34978" spans="1:141" s="116" customFormat="1">
      <c r="A34978" s="136"/>
      <c r="CM34978" s="111"/>
      <c r="CQ34978" s="111"/>
      <c r="EF34978"/>
      <c r="EG34978"/>
      <c r="EH34978"/>
      <c r="EI34978"/>
      <c r="EJ34978"/>
      <c r="EK34978"/>
    </row>
    <row r="34979" spans="1:141" s="116" customFormat="1">
      <c r="A34979" s="136"/>
      <c r="CM34979" s="111"/>
      <c r="CQ34979" s="111"/>
      <c r="EF34979"/>
      <c r="EG34979"/>
      <c r="EH34979"/>
      <c r="EI34979"/>
      <c r="EJ34979"/>
      <c r="EK34979"/>
    </row>
    <row r="34980" spans="1:141" s="116" customFormat="1">
      <c r="A34980" s="136"/>
      <c r="CM34980" s="111"/>
      <c r="CQ34980" s="111"/>
      <c r="EF34980"/>
      <c r="EG34980"/>
      <c r="EH34980"/>
      <c r="EI34980"/>
      <c r="EJ34980"/>
      <c r="EK34980"/>
    </row>
    <row r="34981" spans="1:141" s="116" customFormat="1">
      <c r="A34981" s="136"/>
      <c r="CM34981" s="111"/>
      <c r="CQ34981" s="111"/>
      <c r="EF34981"/>
      <c r="EG34981"/>
      <c r="EH34981"/>
      <c r="EI34981"/>
      <c r="EJ34981"/>
      <c r="EK34981"/>
    </row>
    <row r="34982" spans="1:141" s="116" customFormat="1">
      <c r="A34982" s="136"/>
      <c r="CM34982" s="111"/>
      <c r="CQ34982" s="111"/>
      <c r="EF34982"/>
      <c r="EG34982"/>
      <c r="EH34982"/>
      <c r="EI34982"/>
      <c r="EJ34982"/>
      <c r="EK34982"/>
    </row>
    <row r="34983" spans="1:141" s="116" customFormat="1">
      <c r="A34983" s="136"/>
      <c r="CM34983" s="111"/>
      <c r="CQ34983" s="111"/>
      <c r="EF34983"/>
      <c r="EG34983"/>
      <c r="EH34983"/>
      <c r="EI34983"/>
      <c r="EJ34983"/>
      <c r="EK34983"/>
    </row>
    <row r="34984" spans="1:141" s="116" customFormat="1">
      <c r="A34984" s="136"/>
      <c r="CM34984" s="111"/>
      <c r="CQ34984" s="111"/>
      <c r="EF34984"/>
      <c r="EG34984"/>
      <c r="EH34984"/>
      <c r="EI34984"/>
      <c r="EJ34984"/>
      <c r="EK34984"/>
    </row>
    <row r="34985" spans="1:141" s="116" customFormat="1">
      <c r="A34985" s="136"/>
      <c r="CM34985" s="111"/>
      <c r="CQ34985" s="111"/>
      <c r="EF34985"/>
      <c r="EG34985"/>
      <c r="EH34985"/>
      <c r="EI34985"/>
      <c r="EJ34985"/>
      <c r="EK34985"/>
    </row>
    <row r="34986" spans="1:141" s="116" customFormat="1">
      <c r="A34986" s="136"/>
      <c r="CM34986" s="111"/>
      <c r="CQ34986" s="111"/>
      <c r="EF34986"/>
      <c r="EG34986"/>
      <c r="EH34986"/>
      <c r="EI34986"/>
      <c r="EJ34986"/>
      <c r="EK34986"/>
    </row>
    <row r="34987" spans="1:141" s="116" customFormat="1">
      <c r="A34987" s="136"/>
      <c r="CM34987" s="111"/>
      <c r="CQ34987" s="111"/>
      <c r="EF34987"/>
      <c r="EG34987"/>
      <c r="EH34987"/>
      <c r="EI34987"/>
      <c r="EJ34987"/>
      <c r="EK34987"/>
    </row>
    <row r="34988" spans="1:141" s="116" customFormat="1">
      <c r="A34988" s="136"/>
      <c r="CM34988" s="111"/>
      <c r="CQ34988" s="111"/>
      <c r="EF34988"/>
      <c r="EG34988"/>
      <c r="EH34988"/>
      <c r="EI34988"/>
      <c r="EJ34988"/>
      <c r="EK34988"/>
    </row>
    <row r="34989" spans="1:141" s="116" customFormat="1">
      <c r="A34989" s="136"/>
      <c r="CM34989" s="111"/>
      <c r="CQ34989" s="111"/>
      <c r="EF34989"/>
      <c r="EG34989"/>
      <c r="EH34989"/>
      <c r="EI34989"/>
      <c r="EJ34989"/>
      <c r="EK34989"/>
    </row>
    <row r="34990" spans="1:141" s="116" customFormat="1">
      <c r="A34990" s="136"/>
      <c r="CM34990" s="111"/>
      <c r="CQ34990" s="111"/>
      <c r="EF34990"/>
      <c r="EG34990"/>
      <c r="EH34990"/>
      <c r="EI34990"/>
      <c r="EJ34990"/>
      <c r="EK34990"/>
    </row>
    <row r="34991" spans="1:141" s="116" customFormat="1">
      <c r="A34991" s="136"/>
      <c r="CM34991" s="111"/>
      <c r="CQ34991" s="111"/>
      <c r="EF34991"/>
      <c r="EG34991"/>
      <c r="EH34991"/>
      <c r="EI34991"/>
      <c r="EJ34991"/>
      <c r="EK34991"/>
    </row>
    <row r="34992" spans="1:141" s="116" customFormat="1">
      <c r="A34992" s="136"/>
      <c r="CM34992" s="111"/>
      <c r="CQ34992" s="111"/>
      <c r="EF34992"/>
      <c r="EG34992"/>
      <c r="EH34992"/>
      <c r="EI34992"/>
      <c r="EJ34992"/>
      <c r="EK34992"/>
    </row>
    <row r="34993" spans="1:141" s="116" customFormat="1">
      <c r="A34993" s="136"/>
      <c r="CM34993" s="111"/>
      <c r="CQ34993" s="111"/>
      <c r="EF34993"/>
      <c r="EG34993"/>
      <c r="EH34993"/>
      <c r="EI34993"/>
      <c r="EJ34993"/>
      <c r="EK34993"/>
    </row>
    <row r="34994" spans="1:141" s="116" customFormat="1">
      <c r="A34994" s="136"/>
      <c r="CM34994" s="111"/>
      <c r="CQ34994" s="111"/>
      <c r="EF34994"/>
      <c r="EG34994"/>
      <c r="EH34994"/>
      <c r="EI34994"/>
      <c r="EJ34994"/>
      <c r="EK34994"/>
    </row>
    <row r="34995" spans="1:141" s="116" customFormat="1">
      <c r="A34995" s="136"/>
      <c r="CM34995" s="111"/>
      <c r="CQ34995" s="111"/>
      <c r="EF34995"/>
      <c r="EG34995"/>
      <c r="EH34995"/>
      <c r="EI34995"/>
      <c r="EJ34995"/>
      <c r="EK34995"/>
    </row>
    <row r="34996" spans="1:141" s="116" customFormat="1">
      <c r="A34996" s="136"/>
      <c r="CM34996" s="111"/>
      <c r="CQ34996" s="111"/>
      <c r="EF34996"/>
      <c r="EG34996"/>
      <c r="EH34996"/>
      <c r="EI34996"/>
      <c r="EJ34996"/>
      <c r="EK34996"/>
    </row>
    <row r="34997" spans="1:141" s="116" customFormat="1">
      <c r="A34997" s="136"/>
      <c r="CM34997" s="111"/>
      <c r="CQ34997" s="111"/>
      <c r="EF34997"/>
      <c r="EG34997"/>
      <c r="EH34997"/>
      <c r="EI34997"/>
      <c r="EJ34997"/>
      <c r="EK34997"/>
    </row>
    <row r="34998" spans="1:141" s="116" customFormat="1">
      <c r="A34998" s="136"/>
      <c r="CM34998" s="111"/>
      <c r="CQ34998" s="111"/>
      <c r="EF34998"/>
      <c r="EG34998"/>
      <c r="EH34998"/>
      <c r="EI34998"/>
      <c r="EJ34998"/>
      <c r="EK34998"/>
    </row>
    <row r="34999" spans="1:141" s="116" customFormat="1">
      <c r="A34999" s="136"/>
      <c r="CM34999" s="111"/>
      <c r="CQ34999" s="111"/>
      <c r="EF34999"/>
      <c r="EG34999"/>
      <c r="EH34999"/>
      <c r="EI34999"/>
      <c r="EJ34999"/>
      <c r="EK34999"/>
    </row>
    <row r="35000" spans="1:141" s="116" customFormat="1">
      <c r="A35000" s="136"/>
      <c r="CM35000" s="111"/>
      <c r="CQ35000" s="111"/>
      <c r="EF35000"/>
      <c r="EG35000"/>
      <c r="EH35000"/>
      <c r="EI35000"/>
      <c r="EJ35000"/>
      <c r="EK35000"/>
    </row>
    <row r="35001" spans="1:141" s="116" customFormat="1">
      <c r="A35001" s="136"/>
      <c r="CM35001" s="111"/>
      <c r="CQ35001" s="111"/>
      <c r="EF35001"/>
      <c r="EG35001"/>
      <c r="EH35001"/>
      <c r="EI35001"/>
      <c r="EJ35001"/>
      <c r="EK35001"/>
    </row>
    <row r="35002" spans="1:141" s="116" customFormat="1">
      <c r="A35002" s="136"/>
      <c r="CM35002" s="111"/>
      <c r="CQ35002" s="111"/>
      <c r="EF35002"/>
      <c r="EG35002"/>
      <c r="EH35002"/>
      <c r="EI35002"/>
      <c r="EJ35002"/>
      <c r="EK35002"/>
    </row>
    <row r="35003" spans="1:141" s="116" customFormat="1">
      <c r="A35003" s="136"/>
      <c r="CM35003" s="111"/>
      <c r="CQ35003" s="111"/>
      <c r="EF35003"/>
      <c r="EG35003"/>
      <c r="EH35003"/>
      <c r="EI35003"/>
      <c r="EJ35003"/>
      <c r="EK35003"/>
    </row>
    <row r="35004" spans="1:141" s="116" customFormat="1">
      <c r="A35004" s="136"/>
      <c r="CM35004" s="111"/>
      <c r="CQ35004" s="111"/>
      <c r="EF35004"/>
      <c r="EG35004"/>
      <c r="EH35004"/>
      <c r="EI35004"/>
      <c r="EJ35004"/>
      <c r="EK35004"/>
    </row>
    <row r="35005" spans="1:141" s="116" customFormat="1">
      <c r="A35005" s="136"/>
      <c r="CM35005" s="111"/>
      <c r="CQ35005" s="111"/>
      <c r="EF35005"/>
      <c r="EG35005"/>
      <c r="EH35005"/>
      <c r="EI35005"/>
      <c r="EJ35005"/>
      <c r="EK35005"/>
    </row>
    <row r="35006" spans="1:141" s="116" customFormat="1">
      <c r="A35006" s="136"/>
      <c r="CM35006" s="111"/>
      <c r="CQ35006" s="111"/>
      <c r="EF35006"/>
      <c r="EG35006"/>
      <c r="EH35006"/>
      <c r="EI35006"/>
      <c r="EJ35006"/>
      <c r="EK35006"/>
    </row>
    <row r="35007" spans="1:141" s="116" customFormat="1">
      <c r="A35007" s="136"/>
      <c r="CM35007" s="111"/>
      <c r="CQ35007" s="111"/>
      <c r="EF35007"/>
      <c r="EG35007"/>
      <c r="EH35007"/>
      <c r="EI35007"/>
      <c r="EJ35007"/>
      <c r="EK35007"/>
    </row>
    <row r="35008" spans="1:141" s="116" customFormat="1">
      <c r="A35008" s="136"/>
      <c r="CM35008" s="111"/>
      <c r="CQ35008" s="111"/>
      <c r="EF35008"/>
      <c r="EG35008"/>
      <c r="EH35008"/>
      <c r="EI35008"/>
      <c r="EJ35008"/>
      <c r="EK35008"/>
    </row>
    <row r="35009" spans="1:141" s="116" customFormat="1">
      <c r="A35009" s="136"/>
      <c r="CM35009" s="111"/>
      <c r="CQ35009" s="111"/>
      <c r="EF35009"/>
      <c r="EG35009"/>
      <c r="EH35009"/>
      <c r="EI35009"/>
      <c r="EJ35009"/>
      <c r="EK35009"/>
    </row>
    <row r="35010" spans="1:141" s="116" customFormat="1">
      <c r="A35010" s="136"/>
      <c r="CM35010" s="111"/>
      <c r="CQ35010" s="111"/>
      <c r="EF35010"/>
      <c r="EG35010"/>
      <c r="EH35010"/>
      <c r="EI35010"/>
      <c r="EJ35010"/>
      <c r="EK35010"/>
    </row>
    <row r="35011" spans="1:141" s="116" customFormat="1">
      <c r="A35011" s="136"/>
      <c r="CM35011" s="111"/>
      <c r="CQ35011" s="111"/>
      <c r="EF35011"/>
      <c r="EG35011"/>
      <c r="EH35011"/>
      <c r="EI35011"/>
      <c r="EJ35011"/>
      <c r="EK35011"/>
    </row>
    <row r="35012" spans="1:141" s="116" customFormat="1">
      <c r="A35012" s="136"/>
      <c r="CM35012" s="111"/>
      <c r="CQ35012" s="111"/>
      <c r="EF35012"/>
      <c r="EG35012"/>
      <c r="EH35012"/>
      <c r="EI35012"/>
      <c r="EJ35012"/>
      <c r="EK35012"/>
    </row>
    <row r="35013" spans="1:141" s="116" customFormat="1">
      <c r="A35013" s="136"/>
      <c r="CM35013" s="111"/>
      <c r="CQ35013" s="111"/>
      <c r="EF35013"/>
      <c r="EG35013"/>
      <c r="EH35013"/>
      <c r="EI35013"/>
      <c r="EJ35013"/>
      <c r="EK35013"/>
    </row>
    <row r="35014" spans="1:141" s="116" customFormat="1">
      <c r="A35014" s="136"/>
      <c r="CM35014" s="111"/>
      <c r="CQ35014" s="111"/>
      <c r="EF35014"/>
      <c r="EG35014"/>
      <c r="EH35014"/>
      <c r="EI35014"/>
      <c r="EJ35014"/>
      <c r="EK35014"/>
    </row>
    <row r="35015" spans="1:141" s="116" customFormat="1">
      <c r="A35015" s="136"/>
      <c r="CM35015" s="111"/>
      <c r="CQ35015" s="111"/>
      <c r="EF35015"/>
      <c r="EG35015"/>
      <c r="EH35015"/>
      <c r="EI35015"/>
      <c r="EJ35015"/>
      <c r="EK35015"/>
    </row>
    <row r="35016" spans="1:141" s="116" customFormat="1">
      <c r="A35016" s="136"/>
      <c r="CM35016" s="111"/>
      <c r="CQ35016" s="111"/>
      <c r="EF35016"/>
      <c r="EG35016"/>
      <c r="EH35016"/>
      <c r="EI35016"/>
      <c r="EJ35016"/>
      <c r="EK35016"/>
    </row>
    <row r="35017" spans="1:141" s="116" customFormat="1">
      <c r="A35017" s="136"/>
      <c r="CM35017" s="111"/>
      <c r="CQ35017" s="111"/>
      <c r="EF35017"/>
      <c r="EG35017"/>
      <c r="EH35017"/>
      <c r="EI35017"/>
      <c r="EJ35017"/>
      <c r="EK35017"/>
    </row>
    <row r="35018" spans="1:141" s="116" customFormat="1">
      <c r="A35018" s="136"/>
      <c r="CM35018" s="111"/>
      <c r="CQ35018" s="111"/>
      <c r="EF35018"/>
      <c r="EG35018"/>
      <c r="EH35018"/>
      <c r="EI35018"/>
      <c r="EJ35018"/>
      <c r="EK35018"/>
    </row>
    <row r="35019" spans="1:141" s="116" customFormat="1">
      <c r="A35019" s="136"/>
      <c r="CM35019" s="111"/>
      <c r="CQ35019" s="111"/>
      <c r="EF35019"/>
      <c r="EG35019"/>
      <c r="EH35019"/>
      <c r="EI35019"/>
      <c r="EJ35019"/>
      <c r="EK35019"/>
    </row>
    <row r="35020" spans="1:141" s="116" customFormat="1">
      <c r="A35020" s="136"/>
      <c r="CM35020" s="111"/>
      <c r="CQ35020" s="111"/>
      <c r="EF35020"/>
      <c r="EG35020"/>
      <c r="EH35020"/>
      <c r="EI35020"/>
      <c r="EJ35020"/>
      <c r="EK35020"/>
    </row>
    <row r="35021" spans="1:141" s="116" customFormat="1">
      <c r="A35021" s="136"/>
      <c r="CM35021" s="111"/>
      <c r="CQ35021" s="111"/>
      <c r="EF35021"/>
      <c r="EG35021"/>
      <c r="EH35021"/>
      <c r="EI35021"/>
      <c r="EJ35021"/>
      <c r="EK35021"/>
    </row>
    <row r="35022" spans="1:141" s="116" customFormat="1">
      <c r="A35022" s="136"/>
      <c r="CM35022" s="111"/>
      <c r="CQ35022" s="111"/>
      <c r="EF35022"/>
      <c r="EG35022"/>
      <c r="EH35022"/>
      <c r="EI35022"/>
      <c r="EJ35022"/>
      <c r="EK35022"/>
    </row>
    <row r="35023" spans="1:141" s="116" customFormat="1">
      <c r="A35023" s="136"/>
      <c r="CM35023" s="111"/>
      <c r="CQ35023" s="111"/>
      <c r="EF35023"/>
      <c r="EG35023"/>
      <c r="EH35023"/>
      <c r="EI35023"/>
      <c r="EJ35023"/>
      <c r="EK35023"/>
    </row>
    <row r="35024" spans="1:141" s="116" customFormat="1">
      <c r="A35024" s="136"/>
      <c r="CM35024" s="111"/>
      <c r="CQ35024" s="111"/>
      <c r="EF35024"/>
      <c r="EG35024"/>
      <c r="EH35024"/>
      <c r="EI35024"/>
      <c r="EJ35024"/>
      <c r="EK35024"/>
    </row>
    <row r="35025" spans="1:141" s="116" customFormat="1">
      <c r="A35025" s="136"/>
      <c r="CM35025" s="111"/>
      <c r="CQ35025" s="111"/>
      <c r="EF35025"/>
      <c r="EG35025"/>
      <c r="EH35025"/>
      <c r="EI35025"/>
      <c r="EJ35025"/>
      <c r="EK35025"/>
    </row>
    <row r="35026" spans="1:141" s="116" customFormat="1">
      <c r="A35026" s="136"/>
      <c r="CM35026" s="111"/>
      <c r="CQ35026" s="111"/>
      <c r="EF35026"/>
      <c r="EG35026"/>
      <c r="EH35026"/>
      <c r="EI35026"/>
      <c r="EJ35026"/>
      <c r="EK35026"/>
    </row>
    <row r="35027" spans="1:141" s="116" customFormat="1">
      <c r="A35027" s="136"/>
      <c r="CM35027" s="111"/>
      <c r="CQ35027" s="111"/>
      <c r="EF35027"/>
      <c r="EG35027"/>
      <c r="EH35027"/>
      <c r="EI35027"/>
      <c r="EJ35027"/>
      <c r="EK35027"/>
    </row>
    <row r="35028" spans="1:141" s="116" customFormat="1">
      <c r="A35028" s="136"/>
      <c r="CM35028" s="111"/>
      <c r="CQ35028" s="111"/>
      <c r="EF35028"/>
      <c r="EG35028"/>
      <c r="EH35028"/>
      <c r="EI35028"/>
      <c r="EJ35028"/>
      <c r="EK35028"/>
    </row>
    <row r="35029" spans="1:141" s="116" customFormat="1">
      <c r="A35029" s="136"/>
      <c r="CM35029" s="111"/>
      <c r="CQ35029" s="111"/>
      <c r="EF35029"/>
      <c r="EG35029"/>
      <c r="EH35029"/>
      <c r="EI35029"/>
      <c r="EJ35029"/>
      <c r="EK35029"/>
    </row>
    <row r="35030" spans="1:141" s="116" customFormat="1">
      <c r="A35030" s="136"/>
      <c r="CM35030" s="111"/>
      <c r="CQ35030" s="111"/>
      <c r="EF35030"/>
      <c r="EG35030"/>
      <c r="EH35030"/>
      <c r="EI35030"/>
      <c r="EJ35030"/>
      <c r="EK35030"/>
    </row>
    <row r="35031" spans="1:141" s="116" customFormat="1">
      <c r="A35031" s="136"/>
      <c r="CM35031" s="111"/>
      <c r="CQ35031" s="111"/>
      <c r="EF35031"/>
      <c r="EG35031"/>
      <c r="EH35031"/>
      <c r="EI35031"/>
      <c r="EJ35031"/>
      <c r="EK35031"/>
    </row>
    <row r="35032" spans="1:141" s="116" customFormat="1">
      <c r="A35032" s="136"/>
      <c r="CM35032" s="111"/>
      <c r="CQ35032" s="111"/>
      <c r="EF35032"/>
      <c r="EG35032"/>
      <c r="EH35032"/>
      <c r="EI35032"/>
      <c r="EJ35032"/>
      <c r="EK35032"/>
    </row>
    <row r="35033" spans="1:141" s="116" customFormat="1">
      <c r="A35033" s="136"/>
      <c r="CM35033" s="111"/>
      <c r="CQ35033" s="111"/>
      <c r="EF35033"/>
      <c r="EG35033"/>
      <c r="EH35033"/>
      <c r="EI35033"/>
      <c r="EJ35033"/>
      <c r="EK35033"/>
    </row>
    <row r="35034" spans="1:141" s="116" customFormat="1">
      <c r="A35034" s="136"/>
      <c r="CM35034" s="111"/>
      <c r="CQ35034" s="111"/>
      <c r="EF35034"/>
      <c r="EG35034"/>
      <c r="EH35034"/>
      <c r="EI35034"/>
      <c r="EJ35034"/>
      <c r="EK35034"/>
    </row>
    <row r="35035" spans="1:141" s="116" customFormat="1">
      <c r="A35035" s="136"/>
      <c r="CM35035" s="111"/>
      <c r="CQ35035" s="111"/>
      <c r="EF35035"/>
      <c r="EG35035"/>
      <c r="EH35035"/>
      <c r="EI35035"/>
      <c r="EJ35035"/>
      <c r="EK35035"/>
    </row>
    <row r="35036" spans="1:141" s="116" customFormat="1">
      <c r="A35036" s="136"/>
      <c r="CM35036" s="111"/>
      <c r="CQ35036" s="111"/>
      <c r="EF35036"/>
      <c r="EG35036"/>
      <c r="EH35036"/>
      <c r="EI35036"/>
      <c r="EJ35036"/>
      <c r="EK35036"/>
    </row>
    <row r="35037" spans="1:141" s="116" customFormat="1">
      <c r="A35037" s="136"/>
      <c r="CM35037" s="111"/>
      <c r="CQ35037" s="111"/>
      <c r="EF35037"/>
      <c r="EG35037"/>
      <c r="EH35037"/>
      <c r="EI35037"/>
      <c r="EJ35037"/>
      <c r="EK35037"/>
    </row>
    <row r="35038" spans="1:141" s="116" customFormat="1">
      <c r="A35038" s="136"/>
      <c r="CM35038" s="111"/>
      <c r="CQ35038" s="111"/>
      <c r="EF35038"/>
      <c r="EG35038"/>
      <c r="EH35038"/>
      <c r="EI35038"/>
      <c r="EJ35038"/>
      <c r="EK35038"/>
    </row>
    <row r="35039" spans="1:141" s="116" customFormat="1">
      <c r="A35039" s="136"/>
      <c r="CM35039" s="111"/>
      <c r="CQ35039" s="111"/>
      <c r="EF35039"/>
      <c r="EG35039"/>
      <c r="EH35039"/>
      <c r="EI35039"/>
      <c r="EJ35039"/>
      <c r="EK35039"/>
    </row>
    <row r="35040" spans="1:141" s="116" customFormat="1">
      <c r="A35040" s="136"/>
      <c r="CM35040" s="111"/>
      <c r="CQ35040" s="111"/>
      <c r="EF35040"/>
      <c r="EG35040"/>
      <c r="EH35040"/>
      <c r="EI35040"/>
      <c r="EJ35040"/>
      <c r="EK35040"/>
    </row>
    <row r="35041" spans="1:141" s="116" customFormat="1">
      <c r="A35041" s="136"/>
      <c r="CM35041" s="111"/>
      <c r="CQ35041" s="111"/>
      <c r="EF35041"/>
      <c r="EG35041"/>
      <c r="EH35041"/>
      <c r="EI35041"/>
      <c r="EJ35041"/>
      <c r="EK35041"/>
    </row>
    <row r="35042" spans="1:141" s="116" customFormat="1">
      <c r="A35042" s="136"/>
      <c r="CM35042" s="111"/>
      <c r="CQ35042" s="111"/>
      <c r="EF35042"/>
      <c r="EG35042"/>
      <c r="EH35042"/>
      <c r="EI35042"/>
      <c r="EJ35042"/>
      <c r="EK35042"/>
    </row>
    <row r="35043" spans="1:141" s="116" customFormat="1">
      <c r="A35043" s="136"/>
      <c r="CM35043" s="111"/>
      <c r="CQ35043" s="111"/>
      <c r="EF35043"/>
      <c r="EG35043"/>
      <c r="EH35043"/>
      <c r="EI35043"/>
      <c r="EJ35043"/>
      <c r="EK35043"/>
    </row>
    <row r="35044" spans="1:141" s="116" customFormat="1">
      <c r="A35044" s="136"/>
      <c r="CM35044" s="111"/>
      <c r="CQ35044" s="111"/>
      <c r="EF35044"/>
      <c r="EG35044"/>
      <c r="EH35044"/>
      <c r="EI35044"/>
      <c r="EJ35044"/>
      <c r="EK35044"/>
    </row>
    <row r="35045" spans="1:141" s="116" customFormat="1">
      <c r="A35045" s="136"/>
      <c r="CM35045" s="111"/>
      <c r="CQ35045" s="111"/>
      <c r="EF35045"/>
      <c r="EG35045"/>
      <c r="EH35045"/>
      <c r="EI35045"/>
      <c r="EJ35045"/>
      <c r="EK35045"/>
    </row>
    <row r="35046" spans="1:141" s="116" customFormat="1">
      <c r="A35046" s="136"/>
      <c r="CM35046" s="111"/>
      <c r="CQ35046" s="111"/>
      <c r="EF35046"/>
      <c r="EG35046"/>
      <c r="EH35046"/>
      <c r="EI35046"/>
      <c r="EJ35046"/>
      <c r="EK35046"/>
    </row>
    <row r="35047" spans="1:141" s="116" customFormat="1">
      <c r="A35047" s="136"/>
      <c r="CM35047" s="111"/>
      <c r="CQ35047" s="111"/>
      <c r="EF35047"/>
      <c r="EG35047"/>
      <c r="EH35047"/>
      <c r="EI35047"/>
      <c r="EJ35047"/>
      <c r="EK35047"/>
    </row>
    <row r="35048" spans="1:141" s="116" customFormat="1">
      <c r="A35048" s="136"/>
      <c r="CM35048" s="111"/>
      <c r="CQ35048" s="111"/>
      <c r="EF35048"/>
      <c r="EG35048"/>
      <c r="EH35048"/>
      <c r="EI35048"/>
      <c r="EJ35048"/>
      <c r="EK35048"/>
    </row>
    <row r="35049" spans="1:141" s="116" customFormat="1">
      <c r="A35049" s="136"/>
      <c r="CM35049" s="111"/>
      <c r="CQ35049" s="111"/>
      <c r="EF35049"/>
      <c r="EG35049"/>
      <c r="EH35049"/>
      <c r="EI35049"/>
      <c r="EJ35049"/>
      <c r="EK35049"/>
    </row>
    <row r="35050" spans="1:141" s="116" customFormat="1">
      <c r="A35050" s="136"/>
      <c r="CM35050" s="111"/>
      <c r="CQ35050" s="111"/>
      <c r="EF35050"/>
      <c r="EG35050"/>
      <c r="EH35050"/>
      <c r="EI35050"/>
      <c r="EJ35050"/>
      <c r="EK35050"/>
    </row>
    <row r="35051" spans="1:141" s="116" customFormat="1">
      <c r="A35051" s="136"/>
      <c r="CM35051" s="111"/>
      <c r="CQ35051" s="111"/>
      <c r="EF35051"/>
      <c r="EG35051"/>
      <c r="EH35051"/>
      <c r="EI35051"/>
      <c r="EJ35051"/>
      <c r="EK35051"/>
    </row>
    <row r="35052" spans="1:141" s="116" customFormat="1">
      <c r="A35052" s="136"/>
      <c r="CM35052" s="111"/>
      <c r="CQ35052" s="111"/>
      <c r="EF35052"/>
      <c r="EG35052"/>
      <c r="EH35052"/>
      <c r="EI35052"/>
      <c r="EJ35052"/>
      <c r="EK35052"/>
    </row>
    <row r="35053" spans="1:141" s="116" customFormat="1">
      <c r="A35053" s="136"/>
      <c r="CM35053" s="111"/>
      <c r="CQ35053" s="111"/>
      <c r="EF35053"/>
      <c r="EG35053"/>
      <c r="EH35053"/>
      <c r="EI35053"/>
      <c r="EJ35053"/>
      <c r="EK35053"/>
    </row>
    <row r="35054" spans="1:141" s="116" customFormat="1">
      <c r="A35054" s="136"/>
      <c r="CM35054" s="111"/>
      <c r="CQ35054" s="111"/>
      <c r="EF35054"/>
      <c r="EG35054"/>
      <c r="EH35054"/>
      <c r="EI35054"/>
      <c r="EJ35054"/>
      <c r="EK35054"/>
    </row>
    <row r="35055" spans="1:141" s="116" customFormat="1">
      <c r="A35055" s="136"/>
      <c r="CM35055" s="111"/>
      <c r="CQ35055" s="111"/>
      <c r="EF35055"/>
      <c r="EG35055"/>
      <c r="EH35055"/>
      <c r="EI35055"/>
      <c r="EJ35055"/>
      <c r="EK35055"/>
    </row>
    <row r="35056" spans="1:141" s="116" customFormat="1">
      <c r="A35056" s="136"/>
      <c r="CM35056" s="111"/>
      <c r="CQ35056" s="111"/>
      <c r="EF35056"/>
      <c r="EG35056"/>
      <c r="EH35056"/>
      <c r="EI35056"/>
      <c r="EJ35056"/>
      <c r="EK35056"/>
    </row>
    <row r="35057" spans="1:141" s="116" customFormat="1">
      <c r="A35057" s="136"/>
      <c r="CM35057" s="111"/>
      <c r="CQ35057" s="111"/>
      <c r="EF35057"/>
      <c r="EG35057"/>
      <c r="EH35057"/>
      <c r="EI35057"/>
      <c r="EJ35057"/>
      <c r="EK35057"/>
    </row>
    <row r="35058" spans="1:141" s="116" customFormat="1">
      <c r="A35058" s="136"/>
      <c r="CM35058" s="111"/>
      <c r="CQ35058" s="111"/>
      <c r="EF35058"/>
      <c r="EG35058"/>
      <c r="EH35058"/>
      <c r="EI35058"/>
      <c r="EJ35058"/>
      <c r="EK35058"/>
    </row>
    <row r="35059" spans="1:141" s="116" customFormat="1">
      <c r="A35059" s="136"/>
      <c r="CM35059" s="111"/>
      <c r="CQ35059" s="111"/>
      <c r="EF35059"/>
      <c r="EG35059"/>
      <c r="EH35059"/>
      <c r="EI35059"/>
      <c r="EJ35059"/>
      <c r="EK35059"/>
    </row>
    <row r="35060" spans="1:141" s="116" customFormat="1">
      <c r="A35060" s="136"/>
      <c r="CM35060" s="111"/>
      <c r="CQ35060" s="111"/>
      <c r="EF35060"/>
      <c r="EG35060"/>
      <c r="EH35060"/>
      <c r="EI35060"/>
      <c r="EJ35060"/>
      <c r="EK35060"/>
    </row>
    <row r="35061" spans="1:141" s="116" customFormat="1">
      <c r="A35061" s="136"/>
      <c r="CM35061" s="111"/>
      <c r="CQ35061" s="111"/>
      <c r="EF35061"/>
      <c r="EG35061"/>
      <c r="EH35061"/>
      <c r="EI35061"/>
      <c r="EJ35061"/>
      <c r="EK35061"/>
    </row>
    <row r="35062" spans="1:141" s="116" customFormat="1">
      <c r="A35062" s="136"/>
      <c r="CM35062" s="111"/>
      <c r="CQ35062" s="111"/>
      <c r="EF35062"/>
      <c r="EG35062"/>
      <c r="EH35062"/>
      <c r="EI35062"/>
      <c r="EJ35062"/>
      <c r="EK35062"/>
    </row>
    <row r="35063" spans="1:141" s="116" customFormat="1">
      <c r="A35063" s="136"/>
      <c r="CM35063" s="111"/>
      <c r="CQ35063" s="111"/>
      <c r="EF35063"/>
      <c r="EG35063"/>
      <c r="EH35063"/>
      <c r="EI35063"/>
      <c r="EJ35063"/>
      <c r="EK35063"/>
    </row>
    <row r="35064" spans="1:141" s="116" customFormat="1">
      <c r="A35064" s="136"/>
      <c r="CM35064" s="111"/>
      <c r="CQ35064" s="111"/>
      <c r="EF35064"/>
      <c r="EG35064"/>
      <c r="EH35064"/>
      <c r="EI35064"/>
      <c r="EJ35064"/>
      <c r="EK35064"/>
    </row>
    <row r="35065" spans="1:141" s="116" customFormat="1">
      <c r="A35065" s="136"/>
      <c r="CM35065" s="111"/>
      <c r="CQ35065" s="111"/>
      <c r="EF35065"/>
      <c r="EG35065"/>
      <c r="EH35065"/>
      <c r="EI35065"/>
      <c r="EJ35065"/>
      <c r="EK35065"/>
    </row>
    <row r="35066" spans="1:141" s="116" customFormat="1">
      <c r="A35066" s="136"/>
      <c r="CM35066" s="111"/>
      <c r="CQ35066" s="111"/>
      <c r="EF35066"/>
      <c r="EG35066"/>
      <c r="EH35066"/>
      <c r="EI35066"/>
      <c r="EJ35066"/>
      <c r="EK35066"/>
    </row>
    <row r="35067" spans="1:141" s="116" customFormat="1">
      <c r="A35067" s="136"/>
      <c r="CM35067" s="111"/>
      <c r="CQ35067" s="111"/>
      <c r="EF35067"/>
      <c r="EG35067"/>
      <c r="EH35067"/>
      <c r="EI35067"/>
      <c r="EJ35067"/>
      <c r="EK35067"/>
    </row>
    <row r="35068" spans="1:141" s="116" customFormat="1">
      <c r="A35068" s="136"/>
      <c r="CM35068" s="111"/>
      <c r="CQ35068" s="111"/>
      <c r="EF35068"/>
      <c r="EG35068"/>
      <c r="EH35068"/>
      <c r="EI35068"/>
      <c r="EJ35068"/>
      <c r="EK35068"/>
    </row>
    <row r="35069" spans="1:141" s="116" customFormat="1">
      <c r="A35069" s="136"/>
      <c r="CM35069" s="111"/>
      <c r="CQ35069" s="111"/>
      <c r="EF35069"/>
      <c r="EG35069"/>
      <c r="EH35069"/>
      <c r="EI35069"/>
      <c r="EJ35069"/>
      <c r="EK35069"/>
    </row>
    <row r="35070" spans="1:141" s="116" customFormat="1">
      <c r="A35070" s="136"/>
      <c r="CM35070" s="111"/>
      <c r="CQ35070" s="111"/>
      <c r="EF35070"/>
      <c r="EG35070"/>
      <c r="EH35070"/>
      <c r="EI35070"/>
      <c r="EJ35070"/>
      <c r="EK35070"/>
    </row>
    <row r="35071" spans="1:141" s="116" customFormat="1">
      <c r="A35071" s="136"/>
      <c r="CM35071" s="111"/>
      <c r="CQ35071" s="111"/>
      <c r="EF35071"/>
      <c r="EG35071"/>
      <c r="EH35071"/>
      <c r="EI35071"/>
      <c r="EJ35071"/>
      <c r="EK35071"/>
    </row>
    <row r="35072" spans="1:141" s="116" customFormat="1">
      <c r="A35072" s="136"/>
      <c r="CM35072" s="111"/>
      <c r="CQ35072" s="111"/>
      <c r="EF35072"/>
      <c r="EG35072"/>
      <c r="EH35072"/>
      <c r="EI35072"/>
      <c r="EJ35072"/>
      <c r="EK35072"/>
    </row>
    <row r="35073" spans="1:141" s="116" customFormat="1">
      <c r="A35073" s="136"/>
      <c r="CM35073" s="111"/>
      <c r="CQ35073" s="111"/>
      <c r="EF35073"/>
      <c r="EG35073"/>
      <c r="EH35073"/>
      <c r="EI35073"/>
      <c r="EJ35073"/>
      <c r="EK35073"/>
    </row>
    <row r="35074" spans="1:141" s="116" customFormat="1">
      <c r="A35074" s="136"/>
      <c r="CM35074" s="111"/>
      <c r="CQ35074" s="111"/>
      <c r="EF35074"/>
      <c r="EG35074"/>
      <c r="EH35074"/>
      <c r="EI35074"/>
      <c r="EJ35074"/>
      <c r="EK35074"/>
    </row>
    <row r="35075" spans="1:141" s="116" customFormat="1">
      <c r="A35075" s="136"/>
      <c r="CM35075" s="111"/>
      <c r="CQ35075" s="111"/>
      <c r="EF35075"/>
      <c r="EG35075"/>
      <c r="EH35075"/>
      <c r="EI35075"/>
      <c r="EJ35075"/>
      <c r="EK35075"/>
    </row>
    <row r="35076" spans="1:141" s="116" customFormat="1">
      <c r="A35076" s="136"/>
      <c r="CM35076" s="111"/>
      <c r="CQ35076" s="111"/>
      <c r="EF35076"/>
      <c r="EG35076"/>
      <c r="EH35076"/>
      <c r="EI35076"/>
      <c r="EJ35076"/>
      <c r="EK35076"/>
    </row>
    <row r="35077" spans="1:141" s="116" customFormat="1">
      <c r="A35077" s="136"/>
      <c r="CM35077" s="111"/>
      <c r="CQ35077" s="111"/>
      <c r="EF35077"/>
      <c r="EG35077"/>
      <c r="EH35077"/>
      <c r="EI35077"/>
      <c r="EJ35077"/>
      <c r="EK35077"/>
    </row>
    <row r="35078" spans="1:141" s="116" customFormat="1">
      <c r="A35078" s="136"/>
      <c r="CM35078" s="111"/>
      <c r="CQ35078" s="111"/>
      <c r="EF35078"/>
      <c r="EG35078"/>
      <c r="EH35078"/>
      <c r="EI35078"/>
      <c r="EJ35078"/>
      <c r="EK35078"/>
    </row>
    <row r="35079" spans="1:141" s="116" customFormat="1">
      <c r="A35079" s="136"/>
      <c r="CM35079" s="111"/>
      <c r="CQ35079" s="111"/>
      <c r="EF35079"/>
      <c r="EG35079"/>
      <c r="EH35079"/>
      <c r="EI35079"/>
      <c r="EJ35079"/>
      <c r="EK35079"/>
    </row>
    <row r="35080" spans="1:141" s="116" customFormat="1">
      <c r="A35080" s="136"/>
      <c r="CM35080" s="111"/>
      <c r="CQ35080" s="111"/>
      <c r="EF35080"/>
      <c r="EG35080"/>
      <c r="EH35080"/>
      <c r="EI35080"/>
      <c r="EJ35080"/>
      <c r="EK35080"/>
    </row>
    <row r="35081" spans="1:141" s="116" customFormat="1">
      <c r="A35081" s="136"/>
      <c r="CM35081" s="111"/>
      <c r="CQ35081" s="111"/>
      <c r="EF35081"/>
      <c r="EG35081"/>
      <c r="EH35081"/>
      <c r="EI35081"/>
      <c r="EJ35081"/>
      <c r="EK35081"/>
    </row>
    <row r="35082" spans="1:141" s="116" customFormat="1">
      <c r="A35082" s="136"/>
      <c r="CM35082" s="111"/>
      <c r="CQ35082" s="111"/>
      <c r="EF35082"/>
      <c r="EG35082"/>
      <c r="EH35082"/>
      <c r="EI35082"/>
      <c r="EJ35082"/>
      <c r="EK35082"/>
    </row>
    <row r="35083" spans="1:141" s="116" customFormat="1">
      <c r="A35083" s="136"/>
      <c r="CM35083" s="111"/>
      <c r="CQ35083" s="111"/>
      <c r="EF35083"/>
      <c r="EG35083"/>
      <c r="EH35083"/>
      <c r="EI35083"/>
      <c r="EJ35083"/>
      <c r="EK35083"/>
    </row>
    <row r="35084" spans="1:141" s="116" customFormat="1">
      <c r="A35084" s="136"/>
      <c r="CM35084" s="111"/>
      <c r="CQ35084" s="111"/>
      <c r="EF35084"/>
      <c r="EG35084"/>
      <c r="EH35084"/>
      <c r="EI35084"/>
      <c r="EJ35084"/>
      <c r="EK35084"/>
    </row>
    <row r="35085" spans="1:141" s="116" customFormat="1">
      <c r="A35085" s="136"/>
      <c r="CM35085" s="111"/>
      <c r="CQ35085" s="111"/>
      <c r="EF35085"/>
      <c r="EG35085"/>
      <c r="EH35085"/>
      <c r="EI35085"/>
      <c r="EJ35085"/>
      <c r="EK35085"/>
    </row>
    <row r="35086" spans="1:141" s="116" customFormat="1">
      <c r="A35086" s="136"/>
      <c r="CM35086" s="111"/>
      <c r="CQ35086" s="111"/>
      <c r="EF35086"/>
      <c r="EG35086"/>
      <c r="EH35086"/>
      <c r="EI35086"/>
      <c r="EJ35086"/>
      <c r="EK35086"/>
    </row>
    <row r="35087" spans="1:141" s="116" customFormat="1">
      <c r="A35087" s="136"/>
      <c r="CM35087" s="111"/>
      <c r="CQ35087" s="111"/>
      <c r="EF35087"/>
      <c r="EG35087"/>
      <c r="EH35087"/>
      <c r="EI35087"/>
      <c r="EJ35087"/>
      <c r="EK35087"/>
    </row>
    <row r="35088" spans="1:141" s="116" customFormat="1">
      <c r="A35088" s="136"/>
      <c r="CM35088" s="111"/>
      <c r="CQ35088" s="111"/>
      <c r="EF35088"/>
      <c r="EG35088"/>
      <c r="EH35088"/>
      <c r="EI35088"/>
      <c r="EJ35088"/>
      <c r="EK35088"/>
    </row>
    <row r="35089" spans="1:141" s="116" customFormat="1">
      <c r="A35089" s="136"/>
      <c r="CM35089" s="111"/>
      <c r="CQ35089" s="111"/>
      <c r="EF35089"/>
      <c r="EG35089"/>
      <c r="EH35089"/>
      <c r="EI35089"/>
      <c r="EJ35089"/>
      <c r="EK35089"/>
    </row>
    <row r="35090" spans="1:141" s="116" customFormat="1">
      <c r="A35090" s="136"/>
      <c r="CM35090" s="111"/>
      <c r="CQ35090" s="111"/>
      <c r="EF35090"/>
      <c r="EG35090"/>
      <c r="EH35090"/>
      <c r="EI35090"/>
      <c r="EJ35090"/>
      <c r="EK35090"/>
    </row>
    <row r="35091" spans="1:141" s="116" customFormat="1">
      <c r="A35091" s="136"/>
      <c r="CM35091" s="111"/>
      <c r="CQ35091" s="111"/>
      <c r="EF35091"/>
      <c r="EG35091"/>
      <c r="EH35091"/>
      <c r="EI35091"/>
      <c r="EJ35091"/>
      <c r="EK35091"/>
    </row>
    <row r="35092" spans="1:141" s="116" customFormat="1">
      <c r="A35092" s="136"/>
      <c r="CM35092" s="111"/>
      <c r="CQ35092" s="111"/>
      <c r="EF35092"/>
      <c r="EG35092"/>
      <c r="EH35092"/>
      <c r="EI35092"/>
      <c r="EJ35092"/>
      <c r="EK35092"/>
    </row>
    <row r="35093" spans="1:141" s="116" customFormat="1">
      <c r="A35093" s="136"/>
      <c r="CM35093" s="111"/>
      <c r="CQ35093" s="111"/>
      <c r="EF35093"/>
      <c r="EG35093"/>
      <c r="EH35093"/>
      <c r="EI35093"/>
      <c r="EJ35093"/>
      <c r="EK35093"/>
    </row>
    <row r="35094" spans="1:141" s="116" customFormat="1">
      <c r="A35094" s="136"/>
      <c r="CM35094" s="111"/>
      <c r="CQ35094" s="111"/>
      <c r="EF35094"/>
      <c r="EG35094"/>
      <c r="EH35094"/>
      <c r="EI35094"/>
      <c r="EJ35094"/>
      <c r="EK35094"/>
    </row>
    <row r="35095" spans="1:141" s="116" customFormat="1">
      <c r="A35095" s="136"/>
      <c r="CM35095" s="111"/>
      <c r="CQ35095" s="111"/>
      <c r="EF35095"/>
      <c r="EG35095"/>
      <c r="EH35095"/>
      <c r="EI35095"/>
      <c r="EJ35095"/>
      <c r="EK35095"/>
    </row>
    <row r="35096" spans="1:141" s="116" customFormat="1">
      <c r="A35096" s="136"/>
      <c r="CM35096" s="111"/>
      <c r="CQ35096" s="111"/>
      <c r="EF35096"/>
      <c r="EG35096"/>
      <c r="EH35096"/>
      <c r="EI35096"/>
      <c r="EJ35096"/>
      <c r="EK35096"/>
    </row>
    <row r="35097" spans="1:141" s="116" customFormat="1">
      <c r="A35097" s="136"/>
      <c r="CM35097" s="111"/>
      <c r="CQ35097" s="111"/>
      <c r="EF35097"/>
      <c r="EG35097"/>
      <c r="EH35097"/>
      <c r="EI35097"/>
      <c r="EJ35097"/>
      <c r="EK35097"/>
    </row>
    <row r="35098" spans="1:141" s="116" customFormat="1">
      <c r="A35098" s="136"/>
      <c r="CM35098" s="111"/>
      <c r="CQ35098" s="111"/>
      <c r="EF35098"/>
      <c r="EG35098"/>
      <c r="EH35098"/>
      <c r="EI35098"/>
      <c r="EJ35098"/>
      <c r="EK35098"/>
    </row>
    <row r="35099" spans="1:141" s="116" customFormat="1">
      <c r="A35099" s="136"/>
      <c r="CM35099" s="111"/>
      <c r="CQ35099" s="111"/>
      <c r="EF35099"/>
      <c r="EG35099"/>
      <c r="EH35099"/>
      <c r="EI35099"/>
      <c r="EJ35099"/>
      <c r="EK35099"/>
    </row>
    <row r="35100" spans="1:141" s="116" customFormat="1">
      <c r="A35100" s="136"/>
      <c r="CM35100" s="111"/>
      <c r="CQ35100" s="111"/>
      <c r="EF35100"/>
      <c r="EG35100"/>
      <c r="EH35100"/>
      <c r="EI35100"/>
      <c r="EJ35100"/>
      <c r="EK35100"/>
    </row>
    <row r="35101" spans="1:141" s="116" customFormat="1">
      <c r="A35101" s="136"/>
      <c r="CM35101" s="111"/>
      <c r="CQ35101" s="111"/>
      <c r="EF35101"/>
      <c r="EG35101"/>
      <c r="EH35101"/>
      <c r="EI35101"/>
      <c r="EJ35101"/>
      <c r="EK35101"/>
    </row>
    <row r="35102" spans="1:141" s="116" customFormat="1">
      <c r="A35102" s="136"/>
      <c r="CM35102" s="111"/>
      <c r="CQ35102" s="111"/>
      <c r="EF35102"/>
      <c r="EG35102"/>
      <c r="EH35102"/>
      <c r="EI35102"/>
      <c r="EJ35102"/>
      <c r="EK35102"/>
    </row>
    <row r="35103" spans="1:141" s="116" customFormat="1">
      <c r="A35103" s="136"/>
      <c r="CM35103" s="111"/>
      <c r="CQ35103" s="111"/>
      <c r="EF35103"/>
      <c r="EG35103"/>
      <c r="EH35103"/>
      <c r="EI35103"/>
      <c r="EJ35103"/>
      <c r="EK35103"/>
    </row>
    <row r="35104" spans="1:141" s="116" customFormat="1">
      <c r="A35104" s="136"/>
      <c r="CM35104" s="111"/>
      <c r="CQ35104" s="111"/>
      <c r="EF35104"/>
      <c r="EG35104"/>
      <c r="EH35104"/>
      <c r="EI35104"/>
      <c r="EJ35104"/>
      <c r="EK35104"/>
    </row>
    <row r="35105" spans="1:141" s="116" customFormat="1">
      <c r="A35105" s="136"/>
      <c r="CM35105" s="111"/>
      <c r="CQ35105" s="111"/>
      <c r="EF35105"/>
      <c r="EG35105"/>
      <c r="EH35105"/>
      <c r="EI35105"/>
      <c r="EJ35105"/>
      <c r="EK35105"/>
    </row>
    <row r="35106" spans="1:141" s="116" customFormat="1">
      <c r="A35106" s="136"/>
      <c r="CM35106" s="111"/>
      <c r="CQ35106" s="111"/>
      <c r="EF35106"/>
      <c r="EG35106"/>
      <c r="EH35106"/>
      <c r="EI35106"/>
      <c r="EJ35106"/>
      <c r="EK35106"/>
    </row>
    <row r="35107" spans="1:141" s="116" customFormat="1">
      <c r="A35107" s="136"/>
      <c r="CM35107" s="111"/>
      <c r="CQ35107" s="111"/>
      <c r="EF35107"/>
      <c r="EG35107"/>
      <c r="EH35107"/>
      <c r="EI35107"/>
      <c r="EJ35107"/>
      <c r="EK35107"/>
    </row>
    <row r="35108" spans="1:141" s="116" customFormat="1">
      <c r="A35108" s="136"/>
      <c r="CM35108" s="111"/>
      <c r="CQ35108" s="111"/>
      <c r="EF35108"/>
      <c r="EG35108"/>
      <c r="EH35108"/>
      <c r="EI35108"/>
      <c r="EJ35108"/>
      <c r="EK35108"/>
    </row>
    <row r="35109" spans="1:141" s="116" customFormat="1">
      <c r="A35109" s="136"/>
      <c r="CM35109" s="111"/>
      <c r="CQ35109" s="111"/>
      <c r="EF35109"/>
      <c r="EG35109"/>
      <c r="EH35109"/>
      <c r="EI35109"/>
      <c r="EJ35109"/>
      <c r="EK35109"/>
    </row>
    <row r="35110" spans="1:141" s="116" customFormat="1">
      <c r="A35110" s="136"/>
      <c r="CM35110" s="111"/>
      <c r="CQ35110" s="111"/>
      <c r="EF35110"/>
      <c r="EG35110"/>
      <c r="EH35110"/>
      <c r="EI35110"/>
      <c r="EJ35110"/>
      <c r="EK35110"/>
    </row>
    <row r="35111" spans="1:141" s="116" customFormat="1">
      <c r="A35111" s="136"/>
      <c r="CM35111" s="111"/>
      <c r="CQ35111" s="111"/>
      <c r="EF35111"/>
      <c r="EG35111"/>
      <c r="EH35111"/>
      <c r="EI35111"/>
      <c r="EJ35111"/>
      <c r="EK35111"/>
    </row>
    <row r="35112" spans="1:141" s="116" customFormat="1">
      <c r="A35112" s="136"/>
      <c r="CM35112" s="111"/>
      <c r="CQ35112" s="111"/>
      <c r="EF35112"/>
      <c r="EG35112"/>
      <c r="EH35112"/>
      <c r="EI35112"/>
      <c r="EJ35112"/>
      <c r="EK35112"/>
    </row>
    <row r="35113" spans="1:141" s="116" customFormat="1">
      <c r="A35113" s="136"/>
      <c r="CM35113" s="111"/>
      <c r="CQ35113" s="111"/>
      <c r="EF35113"/>
      <c r="EG35113"/>
      <c r="EH35113"/>
      <c r="EI35113"/>
      <c r="EJ35113"/>
      <c r="EK35113"/>
    </row>
    <row r="35114" spans="1:141" s="116" customFormat="1">
      <c r="A35114" s="136"/>
      <c r="CM35114" s="111"/>
      <c r="CQ35114" s="111"/>
      <c r="EF35114"/>
      <c r="EG35114"/>
      <c r="EH35114"/>
      <c r="EI35114"/>
      <c r="EJ35114"/>
      <c r="EK35114"/>
    </row>
    <row r="35115" spans="1:141" s="116" customFormat="1">
      <c r="A35115" s="136"/>
      <c r="CM35115" s="111"/>
      <c r="CQ35115" s="111"/>
      <c r="EF35115"/>
      <c r="EG35115"/>
      <c r="EH35115"/>
      <c r="EI35115"/>
      <c r="EJ35115"/>
      <c r="EK35115"/>
    </row>
    <row r="35116" spans="1:141" s="116" customFormat="1">
      <c r="A35116" s="136"/>
      <c r="CM35116" s="111"/>
      <c r="CQ35116" s="111"/>
      <c r="EF35116"/>
      <c r="EG35116"/>
      <c r="EH35116"/>
      <c r="EI35116"/>
      <c r="EJ35116"/>
      <c r="EK35116"/>
    </row>
    <row r="35117" spans="1:141" s="116" customFormat="1">
      <c r="A35117" s="136"/>
      <c r="CM35117" s="111"/>
      <c r="CQ35117" s="111"/>
      <c r="EF35117"/>
      <c r="EG35117"/>
      <c r="EH35117"/>
      <c r="EI35117"/>
      <c r="EJ35117"/>
      <c r="EK35117"/>
    </row>
    <row r="35118" spans="1:141" s="116" customFormat="1">
      <c r="A35118" s="136"/>
      <c r="CM35118" s="111"/>
      <c r="CQ35118" s="111"/>
      <c r="EF35118"/>
      <c r="EG35118"/>
      <c r="EH35118"/>
      <c r="EI35118"/>
      <c r="EJ35118"/>
      <c r="EK35118"/>
    </row>
    <row r="35119" spans="1:141" s="116" customFormat="1">
      <c r="A35119" s="136"/>
      <c r="CM35119" s="111"/>
      <c r="CQ35119" s="111"/>
      <c r="EF35119"/>
      <c r="EG35119"/>
      <c r="EH35119"/>
      <c r="EI35119"/>
      <c r="EJ35119"/>
      <c r="EK35119"/>
    </row>
    <row r="35120" spans="1:141" s="116" customFormat="1">
      <c r="A35120" s="136"/>
      <c r="CM35120" s="111"/>
      <c r="CQ35120" s="111"/>
      <c r="EF35120"/>
      <c r="EG35120"/>
      <c r="EH35120"/>
      <c r="EI35120"/>
      <c r="EJ35120"/>
      <c r="EK35120"/>
    </row>
    <row r="35121" spans="1:141" s="116" customFormat="1">
      <c r="A35121" s="136"/>
      <c r="CM35121" s="111"/>
      <c r="CQ35121" s="111"/>
      <c r="EF35121"/>
      <c r="EG35121"/>
      <c r="EH35121"/>
      <c r="EI35121"/>
      <c r="EJ35121"/>
      <c r="EK35121"/>
    </row>
    <row r="35122" spans="1:141" s="116" customFormat="1">
      <c r="A35122" s="136"/>
      <c r="CM35122" s="111"/>
      <c r="CQ35122" s="111"/>
      <c r="EF35122"/>
      <c r="EG35122"/>
      <c r="EH35122"/>
      <c r="EI35122"/>
      <c r="EJ35122"/>
      <c r="EK35122"/>
    </row>
    <row r="35123" spans="1:141" s="116" customFormat="1">
      <c r="A35123" s="136"/>
      <c r="CM35123" s="111"/>
      <c r="CQ35123" s="111"/>
      <c r="EF35123"/>
      <c r="EG35123"/>
      <c r="EH35123"/>
      <c r="EI35123"/>
      <c r="EJ35123"/>
      <c r="EK35123"/>
    </row>
    <row r="35124" spans="1:141" s="116" customFormat="1">
      <c r="A35124" s="136"/>
      <c r="CM35124" s="111"/>
      <c r="CQ35124" s="111"/>
      <c r="EF35124"/>
      <c r="EG35124"/>
      <c r="EH35124"/>
      <c r="EI35124"/>
      <c r="EJ35124"/>
      <c r="EK35124"/>
    </row>
    <row r="35125" spans="1:141" s="116" customFormat="1">
      <c r="A35125" s="136"/>
      <c r="CM35125" s="111"/>
      <c r="CQ35125" s="111"/>
      <c r="EF35125"/>
      <c r="EG35125"/>
      <c r="EH35125"/>
      <c r="EI35125"/>
      <c r="EJ35125"/>
      <c r="EK35125"/>
    </row>
    <row r="35126" spans="1:141" s="116" customFormat="1">
      <c r="A35126" s="136"/>
      <c r="CM35126" s="111"/>
      <c r="CQ35126" s="111"/>
      <c r="EF35126"/>
      <c r="EG35126"/>
      <c r="EH35126"/>
      <c r="EI35126"/>
      <c r="EJ35126"/>
      <c r="EK35126"/>
    </row>
    <row r="35127" spans="1:141" s="116" customFormat="1">
      <c r="A35127" s="136"/>
      <c r="CM35127" s="111"/>
      <c r="CQ35127" s="111"/>
      <c r="EF35127"/>
      <c r="EG35127"/>
      <c r="EH35127"/>
      <c r="EI35127"/>
      <c r="EJ35127"/>
      <c r="EK35127"/>
    </row>
    <row r="35128" spans="1:141" s="116" customFormat="1">
      <c r="A35128" s="136"/>
      <c r="CM35128" s="111"/>
      <c r="CQ35128" s="111"/>
      <c r="EF35128"/>
      <c r="EG35128"/>
      <c r="EH35128"/>
      <c r="EI35128"/>
      <c r="EJ35128"/>
      <c r="EK35128"/>
    </row>
    <row r="35129" spans="1:141" s="116" customFormat="1">
      <c r="A35129" s="136"/>
      <c r="CM35129" s="111"/>
      <c r="CQ35129" s="111"/>
      <c r="EF35129"/>
      <c r="EG35129"/>
      <c r="EH35129"/>
      <c r="EI35129"/>
      <c r="EJ35129"/>
      <c r="EK35129"/>
    </row>
    <row r="35130" spans="1:141" s="116" customFormat="1">
      <c r="A35130" s="136"/>
      <c r="CM35130" s="111"/>
      <c r="CQ35130" s="111"/>
      <c r="EF35130"/>
      <c r="EG35130"/>
      <c r="EH35130"/>
      <c r="EI35130"/>
      <c r="EJ35130"/>
      <c r="EK35130"/>
    </row>
    <row r="35131" spans="1:141" s="116" customFormat="1">
      <c r="A35131" s="136"/>
      <c r="CM35131" s="111"/>
      <c r="CQ35131" s="111"/>
      <c r="EF35131"/>
      <c r="EG35131"/>
      <c r="EH35131"/>
      <c r="EI35131"/>
      <c r="EJ35131"/>
      <c r="EK35131"/>
    </row>
    <row r="35132" spans="1:141" s="116" customFormat="1">
      <c r="A35132" s="136"/>
      <c r="CM35132" s="111"/>
      <c r="CQ35132" s="111"/>
      <c r="EF35132"/>
      <c r="EG35132"/>
      <c r="EH35132"/>
      <c r="EI35132"/>
      <c r="EJ35132"/>
      <c r="EK35132"/>
    </row>
    <row r="35133" spans="1:141" s="116" customFormat="1">
      <c r="A35133" s="136"/>
      <c r="CM35133" s="111"/>
      <c r="CQ35133" s="111"/>
      <c r="EF35133"/>
      <c r="EG35133"/>
      <c r="EH35133"/>
      <c r="EI35133"/>
      <c r="EJ35133"/>
      <c r="EK35133"/>
    </row>
    <row r="35134" spans="1:141" s="116" customFormat="1">
      <c r="A35134" s="136"/>
      <c r="CM35134" s="111"/>
      <c r="CQ35134" s="111"/>
      <c r="EF35134"/>
      <c r="EG35134"/>
      <c r="EH35134"/>
      <c r="EI35134"/>
      <c r="EJ35134"/>
      <c r="EK35134"/>
    </row>
    <row r="35135" spans="1:141" s="116" customFormat="1">
      <c r="A35135" s="136"/>
      <c r="CM35135" s="111"/>
      <c r="CQ35135" s="111"/>
      <c r="EF35135"/>
      <c r="EG35135"/>
      <c r="EH35135"/>
      <c r="EI35135"/>
      <c r="EJ35135"/>
      <c r="EK35135"/>
    </row>
    <row r="35136" spans="1:141" s="116" customFormat="1">
      <c r="A35136" s="136"/>
      <c r="CM35136" s="111"/>
      <c r="CQ35136" s="111"/>
      <c r="EF35136"/>
      <c r="EG35136"/>
      <c r="EH35136"/>
      <c r="EI35136"/>
      <c r="EJ35136"/>
      <c r="EK35136"/>
    </row>
    <row r="35137" spans="1:141" s="116" customFormat="1">
      <c r="A35137" s="136"/>
      <c r="CM35137" s="111"/>
      <c r="CQ35137" s="111"/>
      <c r="EF35137"/>
      <c r="EG35137"/>
      <c r="EH35137"/>
      <c r="EI35137"/>
      <c r="EJ35137"/>
      <c r="EK35137"/>
    </row>
    <row r="35138" spans="1:141" s="116" customFormat="1">
      <c r="A35138" s="136"/>
      <c r="CM35138" s="111"/>
      <c r="CQ35138" s="111"/>
      <c r="EF35138"/>
      <c r="EG35138"/>
      <c r="EH35138"/>
      <c r="EI35138"/>
      <c r="EJ35138"/>
      <c r="EK35138"/>
    </row>
    <row r="35139" spans="1:141" s="116" customFormat="1">
      <c r="A35139" s="136"/>
      <c r="CM35139" s="111"/>
      <c r="CQ35139" s="111"/>
      <c r="EF35139"/>
      <c r="EG35139"/>
      <c r="EH35139"/>
      <c r="EI35139"/>
      <c r="EJ35139"/>
      <c r="EK35139"/>
    </row>
    <row r="35140" spans="1:141" s="116" customFormat="1">
      <c r="A35140" s="136"/>
      <c r="CM35140" s="111"/>
      <c r="CQ35140" s="111"/>
      <c r="EF35140"/>
      <c r="EG35140"/>
      <c r="EH35140"/>
      <c r="EI35140"/>
      <c r="EJ35140"/>
      <c r="EK35140"/>
    </row>
    <row r="35141" spans="1:141" s="116" customFormat="1">
      <c r="A35141" s="136"/>
      <c r="CM35141" s="111"/>
      <c r="CQ35141" s="111"/>
      <c r="EF35141"/>
      <c r="EG35141"/>
      <c r="EH35141"/>
      <c r="EI35141"/>
      <c r="EJ35141"/>
      <c r="EK35141"/>
    </row>
    <row r="35142" spans="1:141" s="116" customFormat="1">
      <c r="A35142" s="136"/>
      <c r="CM35142" s="111"/>
      <c r="CQ35142" s="111"/>
      <c r="EF35142"/>
      <c r="EG35142"/>
      <c r="EH35142"/>
      <c r="EI35142"/>
      <c r="EJ35142"/>
      <c r="EK35142"/>
    </row>
    <row r="35143" spans="1:141" s="116" customFormat="1">
      <c r="A35143" s="136"/>
      <c r="CM35143" s="111"/>
      <c r="CQ35143" s="111"/>
      <c r="EF35143"/>
      <c r="EG35143"/>
      <c r="EH35143"/>
      <c r="EI35143"/>
      <c r="EJ35143"/>
      <c r="EK35143"/>
    </row>
    <row r="35144" spans="1:141" s="116" customFormat="1">
      <c r="A35144" s="136"/>
      <c r="CM35144" s="111"/>
      <c r="CQ35144" s="111"/>
      <c r="EF35144"/>
      <c r="EG35144"/>
      <c r="EH35144"/>
      <c r="EI35144"/>
      <c r="EJ35144"/>
      <c r="EK35144"/>
    </row>
    <row r="35145" spans="1:141" s="116" customFormat="1">
      <c r="A35145" s="136"/>
      <c r="CM35145" s="111"/>
      <c r="CQ35145" s="111"/>
      <c r="EF35145"/>
      <c r="EG35145"/>
      <c r="EH35145"/>
      <c r="EI35145"/>
      <c r="EJ35145"/>
      <c r="EK35145"/>
    </row>
    <row r="35146" spans="1:141" s="116" customFormat="1">
      <c r="A35146" s="136"/>
      <c r="CM35146" s="111"/>
      <c r="CQ35146" s="111"/>
      <c r="EF35146"/>
      <c r="EG35146"/>
      <c r="EH35146"/>
      <c r="EI35146"/>
      <c r="EJ35146"/>
      <c r="EK35146"/>
    </row>
    <row r="35147" spans="1:141" s="116" customFormat="1">
      <c r="A35147" s="136"/>
      <c r="CM35147" s="111"/>
      <c r="CQ35147" s="111"/>
      <c r="EF35147"/>
      <c r="EG35147"/>
      <c r="EH35147"/>
      <c r="EI35147"/>
      <c r="EJ35147"/>
      <c r="EK35147"/>
    </row>
    <row r="35148" spans="1:141" s="116" customFormat="1">
      <c r="A35148" s="136"/>
      <c r="CM35148" s="111"/>
      <c r="CQ35148" s="111"/>
      <c r="EF35148"/>
      <c r="EG35148"/>
      <c r="EH35148"/>
      <c r="EI35148"/>
      <c r="EJ35148"/>
      <c r="EK35148"/>
    </row>
    <row r="35149" spans="1:141" s="116" customFormat="1">
      <c r="A35149" s="136"/>
      <c r="CM35149" s="111"/>
      <c r="CQ35149" s="111"/>
      <c r="EF35149"/>
      <c r="EG35149"/>
      <c r="EH35149"/>
      <c r="EI35149"/>
      <c r="EJ35149"/>
      <c r="EK35149"/>
    </row>
    <row r="35150" spans="1:141" s="116" customFormat="1">
      <c r="A35150" s="136"/>
      <c r="CM35150" s="111"/>
      <c r="CQ35150" s="111"/>
      <c r="EF35150"/>
      <c r="EG35150"/>
      <c r="EH35150"/>
      <c r="EI35150"/>
      <c r="EJ35150"/>
      <c r="EK35150"/>
    </row>
    <row r="35151" spans="1:141" s="116" customFormat="1">
      <c r="A35151" s="136"/>
      <c r="CM35151" s="111"/>
      <c r="CQ35151" s="111"/>
      <c r="EF35151"/>
      <c r="EG35151"/>
      <c r="EH35151"/>
      <c r="EI35151"/>
      <c r="EJ35151"/>
      <c r="EK35151"/>
    </row>
    <row r="35152" spans="1:141" s="116" customFormat="1">
      <c r="A35152" s="136"/>
      <c r="CM35152" s="111"/>
      <c r="CQ35152" s="111"/>
      <c r="EF35152"/>
      <c r="EG35152"/>
      <c r="EH35152"/>
      <c r="EI35152"/>
      <c r="EJ35152"/>
      <c r="EK35152"/>
    </row>
    <row r="35153" spans="1:141" s="116" customFormat="1">
      <c r="A35153" s="136"/>
      <c r="CM35153" s="111"/>
      <c r="CQ35153" s="111"/>
      <c r="EF35153"/>
      <c r="EG35153"/>
      <c r="EH35153"/>
      <c r="EI35153"/>
      <c r="EJ35153"/>
      <c r="EK35153"/>
    </row>
    <row r="35154" spans="1:141" s="116" customFormat="1">
      <c r="A35154" s="136"/>
      <c r="CM35154" s="111"/>
      <c r="CQ35154" s="111"/>
      <c r="EF35154"/>
      <c r="EG35154"/>
      <c r="EH35154"/>
      <c r="EI35154"/>
      <c r="EJ35154"/>
      <c r="EK35154"/>
    </row>
    <row r="35155" spans="1:141" s="116" customFormat="1">
      <c r="A35155" s="136"/>
      <c r="CM35155" s="111"/>
      <c r="CQ35155" s="111"/>
      <c r="EF35155"/>
      <c r="EG35155"/>
      <c r="EH35155"/>
      <c r="EI35155"/>
      <c r="EJ35155"/>
      <c r="EK35155"/>
    </row>
    <row r="35156" spans="1:141" s="116" customFormat="1">
      <c r="A35156" s="136"/>
      <c r="CM35156" s="111"/>
      <c r="CQ35156" s="111"/>
      <c r="EF35156"/>
      <c r="EG35156"/>
      <c r="EH35156"/>
      <c r="EI35156"/>
      <c r="EJ35156"/>
      <c r="EK35156"/>
    </row>
    <row r="35157" spans="1:141" s="116" customFormat="1">
      <c r="A35157" s="136"/>
      <c r="CM35157" s="111"/>
      <c r="CQ35157" s="111"/>
      <c r="EF35157"/>
      <c r="EG35157"/>
      <c r="EH35157"/>
      <c r="EI35157"/>
      <c r="EJ35157"/>
      <c r="EK35157"/>
    </row>
    <row r="35158" spans="1:141" s="116" customFormat="1">
      <c r="A35158" s="136"/>
      <c r="CM35158" s="111"/>
      <c r="CQ35158" s="111"/>
      <c r="EF35158"/>
      <c r="EG35158"/>
      <c r="EH35158"/>
      <c r="EI35158"/>
      <c r="EJ35158"/>
      <c r="EK35158"/>
    </row>
    <row r="35159" spans="1:141" s="116" customFormat="1">
      <c r="A35159" s="136"/>
      <c r="CM35159" s="111"/>
      <c r="CQ35159" s="111"/>
      <c r="EF35159"/>
      <c r="EG35159"/>
      <c r="EH35159"/>
      <c r="EI35159"/>
      <c r="EJ35159"/>
      <c r="EK35159"/>
    </row>
    <row r="35160" spans="1:141" s="116" customFormat="1">
      <c r="A35160" s="136"/>
      <c r="CM35160" s="111"/>
      <c r="CQ35160" s="111"/>
      <c r="EF35160"/>
      <c r="EG35160"/>
      <c r="EH35160"/>
      <c r="EI35160"/>
      <c r="EJ35160"/>
      <c r="EK35160"/>
    </row>
    <row r="35161" spans="1:141" s="116" customFormat="1">
      <c r="A35161" s="136"/>
      <c r="CM35161" s="111"/>
      <c r="CQ35161" s="111"/>
      <c r="EF35161"/>
      <c r="EG35161"/>
      <c r="EH35161"/>
      <c r="EI35161"/>
      <c r="EJ35161"/>
      <c r="EK35161"/>
    </row>
    <row r="35162" spans="1:141" s="116" customFormat="1">
      <c r="A35162" s="136"/>
      <c r="CM35162" s="111"/>
      <c r="CQ35162" s="111"/>
      <c r="EF35162"/>
      <c r="EG35162"/>
      <c r="EH35162"/>
      <c r="EI35162"/>
      <c r="EJ35162"/>
      <c r="EK35162"/>
    </row>
    <row r="35163" spans="1:141" s="116" customFormat="1">
      <c r="A35163" s="136"/>
      <c r="CM35163" s="111"/>
      <c r="CQ35163" s="111"/>
      <c r="EF35163"/>
      <c r="EG35163"/>
      <c r="EH35163"/>
      <c r="EI35163"/>
      <c r="EJ35163"/>
      <c r="EK35163"/>
    </row>
    <row r="35164" spans="1:141" s="116" customFormat="1">
      <c r="A35164" s="136"/>
      <c r="CM35164" s="111"/>
      <c r="CQ35164" s="111"/>
      <c r="EF35164"/>
      <c r="EG35164"/>
      <c r="EH35164"/>
      <c r="EI35164"/>
      <c r="EJ35164"/>
      <c r="EK35164"/>
    </row>
    <row r="35165" spans="1:141" s="116" customFormat="1">
      <c r="A35165" s="136"/>
      <c r="CM35165" s="111"/>
      <c r="CQ35165" s="111"/>
      <c r="EF35165"/>
      <c r="EG35165"/>
      <c r="EH35165"/>
      <c r="EI35165"/>
      <c r="EJ35165"/>
      <c r="EK35165"/>
    </row>
    <row r="35166" spans="1:141" s="116" customFormat="1">
      <c r="A35166" s="136"/>
      <c r="CM35166" s="111"/>
      <c r="CQ35166" s="111"/>
      <c r="EF35166"/>
      <c r="EG35166"/>
      <c r="EH35166"/>
      <c r="EI35166"/>
      <c r="EJ35166"/>
      <c r="EK35166"/>
    </row>
    <row r="35167" spans="1:141" s="116" customFormat="1">
      <c r="A35167" s="136"/>
      <c r="CM35167" s="111"/>
      <c r="CQ35167" s="111"/>
      <c r="EF35167"/>
      <c r="EG35167"/>
      <c r="EH35167"/>
      <c r="EI35167"/>
      <c r="EJ35167"/>
      <c r="EK35167"/>
    </row>
    <row r="35168" spans="1:141" s="116" customFormat="1">
      <c r="A35168" s="136"/>
      <c r="CM35168" s="111"/>
      <c r="CQ35168" s="111"/>
      <c r="EF35168"/>
      <c r="EG35168"/>
      <c r="EH35168"/>
      <c r="EI35168"/>
      <c r="EJ35168"/>
      <c r="EK35168"/>
    </row>
    <row r="35169" spans="1:141" s="116" customFormat="1">
      <c r="A35169" s="136"/>
      <c r="CM35169" s="111"/>
      <c r="CQ35169" s="111"/>
      <c r="EF35169"/>
      <c r="EG35169"/>
      <c r="EH35169"/>
      <c r="EI35169"/>
      <c r="EJ35169"/>
      <c r="EK35169"/>
    </row>
    <row r="35170" spans="1:141" s="116" customFormat="1">
      <c r="A35170" s="136"/>
      <c r="CM35170" s="111"/>
      <c r="CQ35170" s="111"/>
      <c r="EF35170"/>
      <c r="EG35170"/>
      <c r="EH35170"/>
      <c r="EI35170"/>
      <c r="EJ35170"/>
      <c r="EK35170"/>
    </row>
    <row r="35171" spans="1:141" s="116" customFormat="1">
      <c r="A35171" s="136"/>
      <c r="CM35171" s="111"/>
      <c r="CQ35171" s="111"/>
      <c r="EF35171"/>
      <c r="EG35171"/>
      <c r="EH35171"/>
      <c r="EI35171"/>
      <c r="EJ35171"/>
      <c r="EK35171"/>
    </row>
    <row r="35172" spans="1:141" s="116" customFormat="1">
      <c r="A35172" s="136"/>
      <c r="CM35172" s="111"/>
      <c r="CQ35172" s="111"/>
      <c r="EF35172"/>
      <c r="EG35172"/>
      <c r="EH35172"/>
      <c r="EI35172"/>
      <c r="EJ35172"/>
      <c r="EK35172"/>
    </row>
    <row r="35173" spans="1:141" s="116" customFormat="1">
      <c r="A35173" s="136"/>
      <c r="CM35173" s="111"/>
      <c r="CQ35173" s="111"/>
      <c r="EF35173"/>
      <c r="EG35173"/>
      <c r="EH35173"/>
      <c r="EI35173"/>
      <c r="EJ35173"/>
      <c r="EK35173"/>
    </row>
    <row r="35174" spans="1:141" s="116" customFormat="1">
      <c r="A35174" s="136"/>
      <c r="CM35174" s="111"/>
      <c r="CQ35174" s="111"/>
      <c r="EF35174"/>
      <c r="EG35174"/>
      <c r="EH35174"/>
      <c r="EI35174"/>
      <c r="EJ35174"/>
      <c r="EK35174"/>
    </row>
    <row r="35175" spans="1:141" s="116" customFormat="1">
      <c r="A35175" s="136"/>
      <c r="CM35175" s="111"/>
      <c r="CQ35175" s="111"/>
      <c r="EF35175"/>
      <c r="EG35175"/>
      <c r="EH35175"/>
      <c r="EI35175"/>
      <c r="EJ35175"/>
      <c r="EK35175"/>
    </row>
    <row r="35176" spans="1:141" s="116" customFormat="1">
      <c r="A35176" s="136"/>
      <c r="CM35176" s="111"/>
      <c r="CQ35176" s="111"/>
      <c r="EF35176"/>
      <c r="EG35176"/>
      <c r="EH35176"/>
      <c r="EI35176"/>
      <c r="EJ35176"/>
      <c r="EK35176"/>
    </row>
    <row r="35177" spans="1:141" s="116" customFormat="1">
      <c r="A35177" s="136"/>
      <c r="CM35177" s="111"/>
      <c r="CQ35177" s="111"/>
      <c r="EF35177"/>
      <c r="EG35177"/>
      <c r="EH35177"/>
      <c r="EI35177"/>
      <c r="EJ35177"/>
      <c r="EK35177"/>
    </row>
    <row r="35178" spans="1:141" s="116" customFormat="1">
      <c r="A35178" s="136"/>
      <c r="CM35178" s="111"/>
      <c r="CQ35178" s="111"/>
      <c r="EF35178"/>
      <c r="EG35178"/>
      <c r="EH35178"/>
      <c r="EI35178"/>
      <c r="EJ35178"/>
      <c r="EK35178"/>
    </row>
    <row r="35179" spans="1:141" s="116" customFormat="1">
      <c r="A35179" s="136"/>
      <c r="CM35179" s="111"/>
      <c r="CQ35179" s="111"/>
      <c r="EF35179"/>
      <c r="EG35179"/>
      <c r="EH35179"/>
      <c r="EI35179"/>
      <c r="EJ35179"/>
      <c r="EK35179"/>
    </row>
    <row r="35180" spans="1:141" s="116" customFormat="1">
      <c r="A35180" s="136"/>
      <c r="CM35180" s="111"/>
      <c r="CQ35180" s="111"/>
      <c r="EF35180"/>
      <c r="EG35180"/>
      <c r="EH35180"/>
      <c r="EI35180"/>
      <c r="EJ35180"/>
      <c r="EK35180"/>
    </row>
    <row r="35181" spans="1:141" s="116" customFormat="1">
      <c r="A35181" s="136"/>
      <c r="CM35181" s="111"/>
      <c r="CQ35181" s="111"/>
      <c r="EF35181"/>
      <c r="EG35181"/>
      <c r="EH35181"/>
      <c r="EI35181"/>
      <c r="EJ35181"/>
      <c r="EK35181"/>
    </row>
    <row r="35182" spans="1:141" s="116" customFormat="1">
      <c r="A35182" s="136"/>
      <c r="CM35182" s="111"/>
      <c r="CQ35182" s="111"/>
      <c r="EF35182"/>
      <c r="EG35182"/>
      <c r="EH35182"/>
      <c r="EI35182"/>
      <c r="EJ35182"/>
      <c r="EK35182"/>
    </row>
    <row r="35183" spans="1:141" s="116" customFormat="1">
      <c r="A35183" s="136"/>
      <c r="CM35183" s="111"/>
      <c r="CQ35183" s="111"/>
      <c r="EF35183"/>
      <c r="EG35183"/>
      <c r="EH35183"/>
      <c r="EI35183"/>
      <c r="EJ35183"/>
      <c r="EK35183"/>
    </row>
    <row r="35184" spans="1:141" s="116" customFormat="1">
      <c r="A35184" s="136"/>
      <c r="CM35184" s="111"/>
      <c r="CQ35184" s="111"/>
      <c r="EF35184"/>
      <c r="EG35184"/>
      <c r="EH35184"/>
      <c r="EI35184"/>
      <c r="EJ35184"/>
      <c r="EK35184"/>
    </row>
    <row r="35185" spans="1:141" s="116" customFormat="1">
      <c r="A35185" s="136"/>
      <c r="CM35185" s="111"/>
      <c r="CQ35185" s="111"/>
      <c r="EF35185"/>
      <c r="EG35185"/>
      <c r="EH35185"/>
      <c r="EI35185"/>
      <c r="EJ35185"/>
      <c r="EK35185"/>
    </row>
    <row r="35186" spans="1:141" s="116" customFormat="1">
      <c r="A35186" s="136"/>
      <c r="CM35186" s="111"/>
      <c r="CQ35186" s="111"/>
      <c r="EF35186"/>
      <c r="EG35186"/>
      <c r="EH35186"/>
      <c r="EI35186"/>
      <c r="EJ35186"/>
      <c r="EK35186"/>
    </row>
    <row r="35187" spans="1:141" s="116" customFormat="1">
      <c r="A35187" s="136"/>
      <c r="CM35187" s="111"/>
      <c r="CQ35187" s="111"/>
      <c r="EF35187"/>
      <c r="EG35187"/>
      <c r="EH35187"/>
      <c r="EI35187"/>
      <c r="EJ35187"/>
      <c r="EK35187"/>
    </row>
    <row r="35188" spans="1:141" s="116" customFormat="1">
      <c r="A35188" s="136"/>
      <c r="CM35188" s="111"/>
      <c r="CQ35188" s="111"/>
      <c r="EF35188"/>
      <c r="EG35188"/>
      <c r="EH35188"/>
      <c r="EI35188"/>
      <c r="EJ35188"/>
      <c r="EK35188"/>
    </row>
    <row r="35189" spans="1:141" s="116" customFormat="1">
      <c r="A35189" s="136"/>
      <c r="CM35189" s="111"/>
      <c r="CQ35189" s="111"/>
      <c r="EF35189"/>
      <c r="EG35189"/>
      <c r="EH35189"/>
      <c r="EI35189"/>
      <c r="EJ35189"/>
      <c r="EK35189"/>
    </row>
    <row r="35190" spans="1:141" s="116" customFormat="1">
      <c r="A35190" s="136"/>
      <c r="CM35190" s="111"/>
      <c r="CQ35190" s="111"/>
      <c r="EF35190"/>
      <c r="EG35190"/>
      <c r="EH35190"/>
      <c r="EI35190"/>
      <c r="EJ35190"/>
      <c r="EK35190"/>
    </row>
    <row r="35191" spans="1:141" s="116" customFormat="1">
      <c r="A35191" s="136"/>
      <c r="CM35191" s="111"/>
      <c r="CQ35191" s="111"/>
      <c r="EF35191"/>
      <c r="EG35191"/>
      <c r="EH35191"/>
      <c r="EI35191"/>
      <c r="EJ35191"/>
      <c r="EK35191"/>
    </row>
    <row r="35192" spans="1:141" s="116" customFormat="1">
      <c r="A35192" s="136"/>
      <c r="CM35192" s="111"/>
      <c r="CQ35192" s="111"/>
      <c r="EF35192"/>
      <c r="EG35192"/>
      <c r="EH35192"/>
      <c r="EI35192"/>
      <c r="EJ35192"/>
      <c r="EK35192"/>
    </row>
    <row r="35193" spans="1:141" s="116" customFormat="1">
      <c r="A35193" s="136"/>
      <c r="CM35193" s="111"/>
      <c r="CQ35193" s="111"/>
      <c r="EF35193"/>
      <c r="EG35193"/>
      <c r="EH35193"/>
      <c r="EI35193"/>
      <c r="EJ35193"/>
      <c r="EK35193"/>
    </row>
    <row r="35194" spans="1:141" s="116" customFormat="1">
      <c r="A35194" s="136"/>
      <c r="CM35194" s="111"/>
      <c r="CQ35194" s="111"/>
      <c r="EF35194"/>
      <c r="EG35194"/>
      <c r="EH35194"/>
      <c r="EI35194"/>
      <c r="EJ35194"/>
      <c r="EK35194"/>
    </row>
    <row r="35195" spans="1:141" s="116" customFormat="1">
      <c r="A35195" s="136"/>
      <c r="CM35195" s="111"/>
      <c r="CQ35195" s="111"/>
      <c r="EF35195"/>
      <c r="EG35195"/>
      <c r="EH35195"/>
      <c r="EI35195"/>
      <c r="EJ35195"/>
      <c r="EK35195"/>
    </row>
    <row r="35196" spans="1:141" s="116" customFormat="1">
      <c r="A35196" s="136"/>
      <c r="CM35196" s="111"/>
      <c r="CQ35196" s="111"/>
      <c r="EF35196"/>
      <c r="EG35196"/>
      <c r="EH35196"/>
      <c r="EI35196"/>
      <c r="EJ35196"/>
      <c r="EK35196"/>
    </row>
    <row r="35197" spans="1:141" s="116" customFormat="1">
      <c r="A35197" s="136"/>
      <c r="CM35197" s="111"/>
      <c r="CQ35197" s="111"/>
      <c r="EF35197"/>
      <c r="EG35197"/>
      <c r="EH35197"/>
      <c r="EI35197"/>
      <c r="EJ35197"/>
      <c r="EK35197"/>
    </row>
    <row r="35198" spans="1:141" s="116" customFormat="1">
      <c r="A35198" s="136"/>
      <c r="CM35198" s="111"/>
      <c r="CQ35198" s="111"/>
      <c r="EF35198"/>
      <c r="EG35198"/>
      <c r="EH35198"/>
      <c r="EI35198"/>
      <c r="EJ35198"/>
      <c r="EK35198"/>
    </row>
    <row r="35199" spans="1:141" s="116" customFormat="1">
      <c r="A35199" s="136"/>
      <c r="CM35199" s="111"/>
      <c r="CQ35199" s="111"/>
      <c r="EF35199"/>
      <c r="EG35199"/>
      <c r="EH35199"/>
      <c r="EI35199"/>
      <c r="EJ35199"/>
      <c r="EK35199"/>
    </row>
    <row r="35200" spans="1:141" s="116" customFormat="1">
      <c r="A35200" s="136"/>
      <c r="CM35200" s="111"/>
      <c r="CQ35200" s="111"/>
      <c r="EF35200"/>
      <c r="EG35200"/>
      <c r="EH35200"/>
      <c r="EI35200"/>
      <c r="EJ35200"/>
      <c r="EK35200"/>
    </row>
    <row r="35201" spans="1:141" s="116" customFormat="1">
      <c r="A35201" s="136"/>
      <c r="CM35201" s="111"/>
      <c r="CQ35201" s="111"/>
      <c r="EF35201"/>
      <c r="EG35201"/>
      <c r="EH35201"/>
      <c r="EI35201"/>
      <c r="EJ35201"/>
      <c r="EK35201"/>
    </row>
    <row r="35202" spans="1:141" s="116" customFormat="1">
      <c r="A35202" s="136"/>
      <c r="CM35202" s="111"/>
      <c r="CQ35202" s="111"/>
      <c r="EF35202"/>
      <c r="EG35202"/>
      <c r="EH35202"/>
      <c r="EI35202"/>
      <c r="EJ35202"/>
      <c r="EK35202"/>
    </row>
    <row r="35203" spans="1:141" s="116" customFormat="1">
      <c r="A35203" s="136"/>
      <c r="CM35203" s="111"/>
      <c r="CQ35203" s="111"/>
      <c r="EF35203"/>
      <c r="EG35203"/>
      <c r="EH35203"/>
      <c r="EI35203"/>
      <c r="EJ35203"/>
      <c r="EK35203"/>
    </row>
    <row r="35204" spans="1:141" s="116" customFormat="1">
      <c r="A35204" s="136"/>
      <c r="CM35204" s="111"/>
      <c r="CQ35204" s="111"/>
      <c r="EF35204"/>
      <c r="EG35204"/>
      <c r="EH35204"/>
      <c r="EI35204"/>
      <c r="EJ35204"/>
      <c r="EK35204"/>
    </row>
    <row r="35205" spans="1:141" s="116" customFormat="1">
      <c r="A35205" s="136"/>
      <c r="CM35205" s="111"/>
      <c r="CQ35205" s="111"/>
      <c r="EF35205"/>
      <c r="EG35205"/>
      <c r="EH35205"/>
      <c r="EI35205"/>
      <c r="EJ35205"/>
      <c r="EK35205"/>
    </row>
    <row r="35206" spans="1:141" s="116" customFormat="1">
      <c r="A35206" s="136"/>
      <c r="CM35206" s="111"/>
      <c r="CQ35206" s="111"/>
      <c r="EF35206"/>
      <c r="EG35206"/>
      <c r="EH35206"/>
      <c r="EI35206"/>
      <c r="EJ35206"/>
      <c r="EK35206"/>
    </row>
    <row r="35207" spans="1:141" s="116" customFormat="1">
      <c r="A35207" s="136"/>
      <c r="CM35207" s="111"/>
      <c r="CQ35207" s="111"/>
      <c r="EF35207"/>
      <c r="EG35207"/>
      <c r="EH35207"/>
      <c r="EI35207"/>
      <c r="EJ35207"/>
      <c r="EK35207"/>
    </row>
    <row r="35208" spans="1:141" s="116" customFormat="1">
      <c r="A35208" s="136"/>
      <c r="CM35208" s="111"/>
      <c r="CQ35208" s="111"/>
      <c r="EF35208"/>
      <c r="EG35208"/>
      <c r="EH35208"/>
      <c r="EI35208"/>
      <c r="EJ35208"/>
      <c r="EK35208"/>
    </row>
    <row r="35209" spans="1:141" s="116" customFormat="1">
      <c r="A35209" s="136"/>
      <c r="CM35209" s="111"/>
      <c r="CQ35209" s="111"/>
      <c r="EF35209"/>
      <c r="EG35209"/>
      <c r="EH35209"/>
      <c r="EI35209"/>
      <c r="EJ35209"/>
      <c r="EK35209"/>
    </row>
    <row r="35210" spans="1:141" s="116" customFormat="1">
      <c r="A35210" s="136"/>
      <c r="CM35210" s="111"/>
      <c r="CQ35210" s="111"/>
      <c r="EF35210"/>
      <c r="EG35210"/>
      <c r="EH35210"/>
      <c r="EI35210"/>
      <c r="EJ35210"/>
      <c r="EK35210"/>
    </row>
    <row r="35211" spans="1:141" s="116" customFormat="1">
      <c r="A35211" s="136"/>
      <c r="CM35211" s="111"/>
      <c r="CQ35211" s="111"/>
      <c r="EF35211"/>
      <c r="EG35211"/>
      <c r="EH35211"/>
      <c r="EI35211"/>
      <c r="EJ35211"/>
      <c r="EK35211"/>
    </row>
    <row r="35212" spans="1:141" s="116" customFormat="1">
      <c r="A35212" s="136"/>
      <c r="CM35212" s="111"/>
      <c r="CQ35212" s="111"/>
      <c r="EF35212"/>
      <c r="EG35212"/>
      <c r="EH35212"/>
      <c r="EI35212"/>
      <c r="EJ35212"/>
      <c r="EK35212"/>
    </row>
    <row r="35213" spans="1:141" s="116" customFormat="1">
      <c r="A35213" s="136"/>
      <c r="CM35213" s="111"/>
      <c r="CQ35213" s="111"/>
      <c r="EF35213"/>
      <c r="EG35213"/>
      <c r="EH35213"/>
      <c r="EI35213"/>
      <c r="EJ35213"/>
      <c r="EK35213"/>
    </row>
    <row r="35214" spans="1:141" s="116" customFormat="1">
      <c r="A35214" s="136"/>
      <c r="CM35214" s="111"/>
      <c r="CQ35214" s="111"/>
      <c r="EF35214"/>
      <c r="EG35214"/>
      <c r="EH35214"/>
      <c r="EI35214"/>
      <c r="EJ35214"/>
      <c r="EK35214"/>
    </row>
    <row r="35215" spans="1:141" s="116" customFormat="1">
      <c r="A35215" s="136"/>
      <c r="CM35215" s="111"/>
      <c r="CQ35215" s="111"/>
      <c r="EF35215"/>
      <c r="EG35215"/>
      <c r="EH35215"/>
      <c r="EI35215"/>
      <c r="EJ35215"/>
      <c r="EK35215"/>
    </row>
    <row r="35216" spans="1:141" s="116" customFormat="1">
      <c r="A35216" s="136"/>
      <c r="CM35216" s="111"/>
      <c r="CQ35216" s="111"/>
      <c r="EF35216"/>
      <c r="EG35216"/>
      <c r="EH35216"/>
      <c r="EI35216"/>
      <c r="EJ35216"/>
      <c r="EK35216"/>
    </row>
    <row r="35217" spans="1:141" s="116" customFormat="1">
      <c r="A35217" s="136"/>
      <c r="CM35217" s="111"/>
      <c r="CQ35217" s="111"/>
      <c r="EF35217"/>
      <c r="EG35217"/>
      <c r="EH35217"/>
      <c r="EI35217"/>
      <c r="EJ35217"/>
      <c r="EK35217"/>
    </row>
    <row r="35218" spans="1:141" s="116" customFormat="1">
      <c r="A35218" s="136"/>
      <c r="CM35218" s="111"/>
      <c r="CQ35218" s="111"/>
      <c r="EF35218"/>
      <c r="EG35218"/>
      <c r="EH35218"/>
      <c r="EI35218"/>
      <c r="EJ35218"/>
      <c r="EK35218"/>
    </row>
    <row r="35219" spans="1:141" s="116" customFormat="1">
      <c r="A35219" s="136"/>
      <c r="CM35219" s="111"/>
      <c r="CQ35219" s="111"/>
      <c r="EF35219"/>
      <c r="EG35219"/>
      <c r="EH35219"/>
      <c r="EI35219"/>
      <c r="EJ35219"/>
      <c r="EK35219"/>
    </row>
    <row r="35220" spans="1:141" s="116" customFormat="1">
      <c r="A35220" s="136"/>
      <c r="CM35220" s="111"/>
      <c r="CQ35220" s="111"/>
      <c r="EF35220"/>
      <c r="EG35220"/>
      <c r="EH35220"/>
      <c r="EI35220"/>
      <c r="EJ35220"/>
      <c r="EK35220"/>
    </row>
    <row r="35221" spans="1:141" s="116" customFormat="1">
      <c r="A35221" s="136"/>
      <c r="CM35221" s="111"/>
      <c r="CQ35221" s="111"/>
      <c r="EF35221"/>
      <c r="EG35221"/>
      <c r="EH35221"/>
      <c r="EI35221"/>
      <c r="EJ35221"/>
      <c r="EK35221"/>
    </row>
    <row r="35222" spans="1:141" s="116" customFormat="1">
      <c r="A35222" s="136"/>
      <c r="CM35222" s="111"/>
      <c r="CQ35222" s="111"/>
      <c r="EF35222"/>
      <c r="EG35222"/>
      <c r="EH35222"/>
      <c r="EI35222"/>
      <c r="EJ35222"/>
      <c r="EK35222"/>
    </row>
    <row r="35223" spans="1:141" s="116" customFormat="1">
      <c r="A35223" s="136"/>
      <c r="CM35223" s="111"/>
      <c r="CQ35223" s="111"/>
      <c r="EF35223"/>
      <c r="EG35223"/>
      <c r="EH35223"/>
      <c r="EI35223"/>
      <c r="EJ35223"/>
      <c r="EK35223"/>
    </row>
    <row r="35224" spans="1:141" s="116" customFormat="1">
      <c r="A35224" s="136"/>
      <c r="CM35224" s="111"/>
      <c r="CQ35224" s="111"/>
      <c r="EF35224"/>
      <c r="EG35224"/>
      <c r="EH35224"/>
      <c r="EI35224"/>
      <c r="EJ35224"/>
      <c r="EK35224"/>
    </row>
    <row r="35225" spans="1:141" s="116" customFormat="1">
      <c r="A35225" s="136"/>
      <c r="CM35225" s="111"/>
      <c r="CQ35225" s="111"/>
      <c r="EF35225"/>
      <c r="EG35225"/>
      <c r="EH35225"/>
      <c r="EI35225"/>
      <c r="EJ35225"/>
      <c r="EK35225"/>
    </row>
    <row r="35226" spans="1:141" s="116" customFormat="1">
      <c r="A35226" s="136"/>
      <c r="CM35226" s="111"/>
      <c r="CQ35226" s="111"/>
      <c r="EF35226"/>
      <c r="EG35226"/>
      <c r="EH35226"/>
      <c r="EI35226"/>
      <c r="EJ35226"/>
      <c r="EK35226"/>
    </row>
    <row r="35227" spans="1:141" s="116" customFormat="1">
      <c r="A35227" s="136"/>
      <c r="CM35227" s="111"/>
      <c r="CQ35227" s="111"/>
      <c r="EF35227"/>
      <c r="EG35227"/>
      <c r="EH35227"/>
      <c r="EI35227"/>
      <c r="EJ35227"/>
      <c r="EK35227"/>
    </row>
    <row r="35228" spans="1:141" s="116" customFormat="1">
      <c r="A35228" s="136"/>
      <c r="CM35228" s="111"/>
      <c r="CQ35228" s="111"/>
      <c r="EF35228"/>
      <c r="EG35228"/>
      <c r="EH35228"/>
      <c r="EI35228"/>
      <c r="EJ35228"/>
      <c r="EK35228"/>
    </row>
    <row r="35229" spans="1:141" s="116" customFormat="1">
      <c r="A35229" s="136"/>
      <c r="CM35229" s="111"/>
      <c r="CQ35229" s="111"/>
      <c r="EF35229"/>
      <c r="EG35229"/>
      <c r="EH35229"/>
      <c r="EI35229"/>
      <c r="EJ35229"/>
      <c r="EK35229"/>
    </row>
    <row r="35230" spans="1:141" s="116" customFormat="1">
      <c r="A35230" s="136"/>
      <c r="CM35230" s="111"/>
      <c r="CQ35230" s="111"/>
      <c r="EF35230"/>
      <c r="EG35230"/>
      <c r="EH35230"/>
      <c r="EI35230"/>
      <c r="EJ35230"/>
      <c r="EK35230"/>
    </row>
    <row r="35231" spans="1:141" s="116" customFormat="1">
      <c r="A35231" s="136"/>
      <c r="CM35231" s="111"/>
      <c r="CQ35231" s="111"/>
      <c r="EF35231"/>
      <c r="EG35231"/>
      <c r="EH35231"/>
      <c r="EI35231"/>
      <c r="EJ35231"/>
      <c r="EK35231"/>
    </row>
    <row r="35232" spans="1:141" s="116" customFormat="1">
      <c r="A35232" s="136"/>
      <c r="CM35232" s="111"/>
      <c r="CQ35232" s="111"/>
      <c r="EF35232"/>
      <c r="EG35232"/>
      <c r="EH35232"/>
      <c r="EI35232"/>
      <c r="EJ35232"/>
      <c r="EK35232"/>
    </row>
    <row r="35233" spans="1:141" s="116" customFormat="1">
      <c r="A35233" s="136"/>
      <c r="CM35233" s="111"/>
      <c r="CQ35233" s="111"/>
      <c r="EF35233"/>
      <c r="EG35233"/>
      <c r="EH35233"/>
      <c r="EI35233"/>
      <c r="EJ35233"/>
      <c r="EK35233"/>
    </row>
    <row r="35234" spans="1:141" s="116" customFormat="1">
      <c r="A35234" s="136"/>
      <c r="CM35234" s="111"/>
      <c r="CQ35234" s="111"/>
      <c r="EF35234"/>
      <c r="EG35234"/>
      <c r="EH35234"/>
      <c r="EI35234"/>
      <c r="EJ35234"/>
      <c r="EK35234"/>
    </row>
    <row r="35235" spans="1:141" s="116" customFormat="1">
      <c r="A35235" s="136"/>
      <c r="CM35235" s="111"/>
      <c r="CQ35235" s="111"/>
      <c r="EF35235"/>
      <c r="EG35235"/>
      <c r="EH35235"/>
      <c r="EI35235"/>
      <c r="EJ35235"/>
      <c r="EK35235"/>
    </row>
    <row r="35236" spans="1:141" s="116" customFormat="1">
      <c r="A35236" s="136"/>
      <c r="CM35236" s="111"/>
      <c r="CQ35236" s="111"/>
      <c r="EF35236"/>
      <c r="EG35236"/>
      <c r="EH35236"/>
      <c r="EI35236"/>
      <c r="EJ35236"/>
      <c r="EK35236"/>
    </row>
    <row r="35237" spans="1:141" s="116" customFormat="1">
      <c r="A35237" s="136"/>
      <c r="CM35237" s="111"/>
      <c r="CQ35237" s="111"/>
      <c r="EF35237"/>
      <c r="EG35237"/>
      <c r="EH35237"/>
      <c r="EI35237"/>
      <c r="EJ35237"/>
      <c r="EK35237"/>
    </row>
    <row r="35238" spans="1:141" s="116" customFormat="1">
      <c r="A35238" s="136"/>
      <c r="CM35238" s="111"/>
      <c r="CQ35238" s="111"/>
      <c r="EF35238"/>
      <c r="EG35238"/>
      <c r="EH35238"/>
      <c r="EI35238"/>
      <c r="EJ35238"/>
      <c r="EK35238"/>
    </row>
    <row r="35239" spans="1:141" s="116" customFormat="1">
      <c r="A35239" s="136"/>
      <c r="CM35239" s="111"/>
      <c r="CQ35239" s="111"/>
      <c r="EF35239"/>
      <c r="EG35239"/>
      <c r="EH35239"/>
      <c r="EI35239"/>
      <c r="EJ35239"/>
      <c r="EK35239"/>
    </row>
    <row r="35240" spans="1:141" s="116" customFormat="1">
      <c r="A35240" s="136"/>
      <c r="CM35240" s="111"/>
      <c r="CQ35240" s="111"/>
      <c r="EF35240"/>
      <c r="EG35240"/>
      <c r="EH35240"/>
      <c r="EI35240"/>
      <c r="EJ35240"/>
      <c r="EK35240"/>
    </row>
    <row r="35241" spans="1:141" s="116" customFormat="1">
      <c r="A35241" s="136"/>
      <c r="CM35241" s="111"/>
      <c r="CQ35241" s="111"/>
      <c r="EF35241"/>
      <c r="EG35241"/>
      <c r="EH35241"/>
      <c r="EI35241"/>
      <c r="EJ35241"/>
      <c r="EK35241"/>
    </row>
    <row r="35242" spans="1:141" s="116" customFormat="1">
      <c r="A35242" s="136"/>
      <c r="CM35242" s="111"/>
      <c r="CQ35242" s="111"/>
      <c r="EF35242"/>
      <c r="EG35242"/>
      <c r="EH35242"/>
      <c r="EI35242"/>
      <c r="EJ35242"/>
      <c r="EK35242"/>
    </row>
    <row r="35243" spans="1:141" s="116" customFormat="1">
      <c r="A35243" s="136"/>
      <c r="CM35243" s="111"/>
      <c r="CQ35243" s="111"/>
      <c r="EF35243"/>
      <c r="EG35243"/>
      <c r="EH35243"/>
      <c r="EI35243"/>
      <c r="EJ35243"/>
      <c r="EK35243"/>
    </row>
    <row r="35244" spans="1:141" s="116" customFormat="1">
      <c r="A35244" s="136"/>
      <c r="CM35244" s="111"/>
      <c r="CQ35244" s="111"/>
      <c r="EF35244"/>
      <c r="EG35244"/>
      <c r="EH35244"/>
      <c r="EI35244"/>
      <c r="EJ35244"/>
      <c r="EK35244"/>
    </row>
    <row r="35245" spans="1:141" s="116" customFormat="1">
      <c r="A35245" s="136"/>
      <c r="CM35245" s="111"/>
      <c r="CQ35245" s="111"/>
      <c r="EF35245"/>
      <c r="EG35245"/>
      <c r="EH35245"/>
      <c r="EI35245"/>
      <c r="EJ35245"/>
      <c r="EK35245"/>
    </row>
    <row r="35246" spans="1:141" s="116" customFormat="1">
      <c r="A35246" s="136"/>
      <c r="CM35246" s="111"/>
      <c r="CQ35246" s="111"/>
      <c r="EF35246"/>
      <c r="EG35246"/>
      <c r="EH35246"/>
      <c r="EI35246"/>
      <c r="EJ35246"/>
      <c r="EK35246"/>
    </row>
    <row r="35247" spans="1:141" s="116" customFormat="1">
      <c r="A35247" s="136"/>
      <c r="CM35247" s="111"/>
      <c r="CQ35247" s="111"/>
      <c r="EF35247"/>
      <c r="EG35247"/>
      <c r="EH35247"/>
      <c r="EI35247"/>
      <c r="EJ35247"/>
      <c r="EK35247"/>
    </row>
    <row r="35248" spans="1:141" s="116" customFormat="1">
      <c r="A35248" s="136"/>
      <c r="CM35248" s="111"/>
      <c r="CQ35248" s="111"/>
      <c r="EF35248"/>
      <c r="EG35248"/>
      <c r="EH35248"/>
      <c r="EI35248"/>
      <c r="EJ35248"/>
      <c r="EK35248"/>
    </row>
    <row r="35249" spans="1:141" s="116" customFormat="1">
      <c r="A35249" s="136"/>
      <c r="CM35249" s="111"/>
      <c r="CQ35249" s="111"/>
      <c r="EF35249"/>
      <c r="EG35249"/>
      <c r="EH35249"/>
      <c r="EI35249"/>
      <c r="EJ35249"/>
      <c r="EK35249"/>
    </row>
    <row r="35250" spans="1:141" s="116" customFormat="1">
      <c r="A35250" s="136"/>
      <c r="CM35250" s="111"/>
      <c r="CQ35250" s="111"/>
      <c r="EF35250"/>
      <c r="EG35250"/>
      <c r="EH35250"/>
      <c r="EI35250"/>
      <c r="EJ35250"/>
      <c r="EK35250"/>
    </row>
    <row r="35251" spans="1:141" s="116" customFormat="1">
      <c r="A35251" s="136"/>
      <c r="CM35251" s="111"/>
      <c r="CQ35251" s="111"/>
      <c r="EF35251"/>
      <c r="EG35251"/>
      <c r="EH35251"/>
      <c r="EI35251"/>
      <c r="EJ35251"/>
      <c r="EK35251"/>
    </row>
    <row r="35252" spans="1:141" s="116" customFormat="1">
      <c r="A35252" s="136"/>
      <c r="CM35252" s="111"/>
      <c r="CQ35252" s="111"/>
      <c r="EF35252"/>
      <c r="EG35252"/>
      <c r="EH35252"/>
      <c r="EI35252"/>
      <c r="EJ35252"/>
      <c r="EK35252"/>
    </row>
    <row r="35253" spans="1:141" s="116" customFormat="1">
      <c r="A35253" s="136"/>
      <c r="CM35253" s="111"/>
      <c r="CQ35253" s="111"/>
      <c r="EF35253"/>
      <c r="EG35253"/>
      <c r="EH35253"/>
      <c r="EI35253"/>
      <c r="EJ35253"/>
      <c r="EK35253"/>
    </row>
    <row r="35254" spans="1:141" s="116" customFormat="1">
      <c r="A35254" s="136"/>
      <c r="CM35254" s="111"/>
      <c r="CQ35254" s="111"/>
      <c r="EF35254"/>
      <c r="EG35254"/>
      <c r="EH35254"/>
      <c r="EI35254"/>
      <c r="EJ35254"/>
      <c r="EK35254"/>
    </row>
    <row r="35255" spans="1:141" s="116" customFormat="1">
      <c r="A35255" s="136"/>
      <c r="CM35255" s="111"/>
      <c r="CQ35255" s="111"/>
      <c r="EF35255"/>
      <c r="EG35255"/>
      <c r="EH35255"/>
      <c r="EI35255"/>
      <c r="EJ35255"/>
      <c r="EK35255"/>
    </row>
    <row r="35256" spans="1:141" s="116" customFormat="1">
      <c r="A35256" s="136"/>
      <c r="CM35256" s="111"/>
      <c r="CQ35256" s="111"/>
      <c r="EF35256"/>
      <c r="EG35256"/>
      <c r="EH35256"/>
      <c r="EI35256"/>
      <c r="EJ35256"/>
      <c r="EK35256"/>
    </row>
    <row r="35257" spans="1:141" s="116" customFormat="1">
      <c r="A35257" s="136"/>
      <c r="CM35257" s="111"/>
      <c r="CQ35257" s="111"/>
      <c r="EF35257"/>
      <c r="EG35257"/>
      <c r="EH35257"/>
      <c r="EI35257"/>
      <c r="EJ35257"/>
      <c r="EK35257"/>
    </row>
    <row r="35258" spans="1:141" s="116" customFormat="1">
      <c r="A35258" s="136"/>
      <c r="CM35258" s="111"/>
      <c r="CQ35258" s="111"/>
      <c r="EF35258"/>
      <c r="EG35258"/>
      <c r="EH35258"/>
      <c r="EI35258"/>
      <c r="EJ35258"/>
      <c r="EK35258"/>
    </row>
    <row r="35259" spans="1:141" s="116" customFormat="1">
      <c r="A35259" s="136"/>
      <c r="CM35259" s="111"/>
      <c r="CQ35259" s="111"/>
      <c r="EF35259"/>
      <c r="EG35259"/>
      <c r="EH35259"/>
      <c r="EI35259"/>
      <c r="EJ35259"/>
      <c r="EK35259"/>
    </row>
    <row r="35260" spans="1:141" s="116" customFormat="1">
      <c r="A35260" s="136"/>
      <c r="CM35260" s="111"/>
      <c r="CQ35260" s="111"/>
      <c r="EF35260"/>
      <c r="EG35260"/>
      <c r="EH35260"/>
      <c r="EI35260"/>
      <c r="EJ35260"/>
      <c r="EK35260"/>
    </row>
    <row r="35261" spans="1:141" s="116" customFormat="1">
      <c r="A35261" s="136"/>
      <c r="CM35261" s="111"/>
      <c r="CQ35261" s="111"/>
      <c r="EF35261"/>
      <c r="EG35261"/>
      <c r="EH35261"/>
      <c r="EI35261"/>
      <c r="EJ35261"/>
      <c r="EK35261"/>
    </row>
    <row r="35262" spans="1:141" s="116" customFormat="1">
      <c r="A35262" s="136"/>
      <c r="CM35262" s="111"/>
      <c r="CQ35262" s="111"/>
      <c r="EF35262"/>
      <c r="EG35262"/>
      <c r="EH35262"/>
      <c r="EI35262"/>
      <c r="EJ35262"/>
      <c r="EK35262"/>
    </row>
    <row r="35263" spans="1:141" s="116" customFormat="1">
      <c r="A35263" s="136"/>
      <c r="CM35263" s="111"/>
      <c r="CQ35263" s="111"/>
      <c r="EF35263"/>
      <c r="EG35263"/>
      <c r="EH35263"/>
      <c r="EI35263"/>
      <c r="EJ35263"/>
      <c r="EK35263"/>
    </row>
    <row r="35264" spans="1:141" s="116" customFormat="1">
      <c r="A35264" s="136"/>
      <c r="CM35264" s="111"/>
      <c r="CQ35264" s="111"/>
      <c r="EF35264"/>
      <c r="EG35264"/>
      <c r="EH35264"/>
      <c r="EI35264"/>
      <c r="EJ35264"/>
      <c r="EK35264"/>
    </row>
    <row r="35265" spans="1:141" s="116" customFormat="1">
      <c r="A35265" s="136"/>
      <c r="CM35265" s="111"/>
      <c r="CQ35265" s="111"/>
      <c r="EF35265"/>
      <c r="EG35265"/>
      <c r="EH35265"/>
      <c r="EI35265"/>
      <c r="EJ35265"/>
      <c r="EK35265"/>
    </row>
    <row r="35266" spans="1:141" s="116" customFormat="1">
      <c r="A35266" s="136"/>
      <c r="CM35266" s="111"/>
      <c r="CQ35266" s="111"/>
      <c r="EF35266"/>
      <c r="EG35266"/>
      <c r="EH35266"/>
      <c r="EI35266"/>
      <c r="EJ35266"/>
      <c r="EK35266"/>
    </row>
    <row r="35267" spans="1:141" s="116" customFormat="1">
      <c r="A35267" s="136"/>
      <c r="CM35267" s="111"/>
      <c r="CQ35267" s="111"/>
      <c r="EF35267"/>
      <c r="EG35267"/>
      <c r="EH35267"/>
      <c r="EI35267"/>
      <c r="EJ35267"/>
      <c r="EK35267"/>
    </row>
    <row r="35268" spans="1:141" s="116" customFormat="1">
      <c r="A35268" s="136"/>
      <c r="CM35268" s="111"/>
      <c r="CQ35268" s="111"/>
      <c r="EF35268"/>
      <c r="EG35268"/>
      <c r="EH35268"/>
      <c r="EI35268"/>
      <c r="EJ35268"/>
      <c r="EK35268"/>
    </row>
    <row r="35269" spans="1:141" s="116" customFormat="1">
      <c r="A35269" s="136"/>
      <c r="CM35269" s="111"/>
      <c r="CQ35269" s="111"/>
      <c r="EF35269"/>
      <c r="EG35269"/>
      <c r="EH35269"/>
      <c r="EI35269"/>
      <c r="EJ35269"/>
      <c r="EK35269"/>
    </row>
    <row r="35270" spans="1:141" s="116" customFormat="1">
      <c r="A35270" s="136"/>
      <c r="CM35270" s="111"/>
      <c r="CQ35270" s="111"/>
      <c r="EF35270"/>
      <c r="EG35270"/>
      <c r="EH35270"/>
      <c r="EI35270"/>
      <c r="EJ35270"/>
      <c r="EK35270"/>
    </row>
    <row r="35271" spans="1:141" s="116" customFormat="1">
      <c r="A35271" s="136"/>
      <c r="CM35271" s="111"/>
      <c r="CQ35271" s="111"/>
      <c r="EF35271"/>
      <c r="EG35271"/>
      <c r="EH35271"/>
      <c r="EI35271"/>
      <c r="EJ35271"/>
      <c r="EK35271"/>
    </row>
    <row r="35272" spans="1:141" s="116" customFormat="1">
      <c r="A35272" s="136"/>
      <c r="CM35272" s="111"/>
      <c r="CQ35272" s="111"/>
      <c r="EF35272"/>
      <c r="EG35272"/>
      <c r="EH35272"/>
      <c r="EI35272"/>
      <c r="EJ35272"/>
      <c r="EK35272"/>
    </row>
    <row r="35273" spans="1:141" s="116" customFormat="1">
      <c r="A35273" s="136"/>
      <c r="CM35273" s="111"/>
      <c r="CQ35273" s="111"/>
      <c r="EF35273"/>
      <c r="EG35273"/>
      <c r="EH35273"/>
      <c r="EI35273"/>
      <c r="EJ35273"/>
      <c r="EK35273"/>
    </row>
    <row r="35274" spans="1:141" s="116" customFormat="1">
      <c r="A35274" s="136"/>
      <c r="CM35274" s="111"/>
      <c r="CQ35274" s="111"/>
      <c r="EF35274"/>
      <c r="EG35274"/>
      <c r="EH35274"/>
      <c r="EI35274"/>
      <c r="EJ35274"/>
      <c r="EK35274"/>
    </row>
    <row r="35275" spans="1:141" s="116" customFormat="1">
      <c r="A35275" s="136"/>
      <c r="CM35275" s="111"/>
      <c r="CQ35275" s="111"/>
      <c r="EF35275"/>
      <c r="EG35275"/>
      <c r="EH35275"/>
      <c r="EI35275"/>
      <c r="EJ35275"/>
      <c r="EK35275"/>
    </row>
    <row r="35276" spans="1:141" s="116" customFormat="1">
      <c r="A35276" s="136"/>
      <c r="CM35276" s="111"/>
      <c r="CQ35276" s="111"/>
      <c r="EF35276"/>
      <c r="EG35276"/>
      <c r="EH35276"/>
      <c r="EI35276"/>
      <c r="EJ35276"/>
      <c r="EK35276"/>
    </row>
    <row r="35277" spans="1:141" s="116" customFormat="1">
      <c r="A35277" s="136"/>
      <c r="CM35277" s="111"/>
      <c r="CQ35277" s="111"/>
      <c r="EF35277"/>
      <c r="EG35277"/>
      <c r="EH35277"/>
      <c r="EI35277"/>
      <c r="EJ35277"/>
      <c r="EK35277"/>
    </row>
    <row r="35278" spans="1:141" s="116" customFormat="1">
      <c r="A35278" s="136"/>
      <c r="CM35278" s="111"/>
      <c r="CQ35278" s="111"/>
      <c r="EF35278"/>
      <c r="EG35278"/>
      <c r="EH35278"/>
      <c r="EI35278"/>
      <c r="EJ35278"/>
      <c r="EK35278"/>
    </row>
    <row r="35279" spans="1:141" s="116" customFormat="1">
      <c r="A35279" s="136"/>
      <c r="CM35279" s="111"/>
      <c r="CQ35279" s="111"/>
      <c r="EF35279"/>
      <c r="EG35279"/>
      <c r="EH35279"/>
      <c r="EI35279"/>
      <c r="EJ35279"/>
      <c r="EK35279"/>
    </row>
    <row r="35280" spans="1:141" s="116" customFormat="1">
      <c r="A35280" s="136"/>
      <c r="CM35280" s="111"/>
      <c r="CQ35280" s="111"/>
      <c r="EF35280"/>
      <c r="EG35280"/>
      <c r="EH35280"/>
      <c r="EI35280"/>
      <c r="EJ35280"/>
      <c r="EK35280"/>
    </row>
    <row r="35281" spans="1:141" s="116" customFormat="1">
      <c r="A35281" s="136"/>
      <c r="CM35281" s="111"/>
      <c r="CQ35281" s="111"/>
      <c r="EF35281"/>
      <c r="EG35281"/>
      <c r="EH35281"/>
      <c r="EI35281"/>
      <c r="EJ35281"/>
      <c r="EK35281"/>
    </row>
    <row r="35282" spans="1:141" s="116" customFormat="1">
      <c r="A35282" s="136"/>
      <c r="CM35282" s="111"/>
      <c r="CQ35282" s="111"/>
      <c r="EF35282"/>
      <c r="EG35282"/>
      <c r="EH35282"/>
      <c r="EI35282"/>
      <c r="EJ35282"/>
      <c r="EK35282"/>
    </row>
    <row r="35283" spans="1:141" s="116" customFormat="1">
      <c r="A35283" s="136"/>
      <c r="CM35283" s="111"/>
      <c r="CQ35283" s="111"/>
      <c r="EF35283"/>
      <c r="EG35283"/>
      <c r="EH35283"/>
      <c r="EI35283"/>
      <c r="EJ35283"/>
      <c r="EK35283"/>
    </row>
    <row r="35284" spans="1:141" s="116" customFormat="1">
      <c r="A35284" s="136"/>
      <c r="CM35284" s="111"/>
      <c r="CQ35284" s="111"/>
      <c r="EF35284"/>
      <c r="EG35284"/>
      <c r="EH35284"/>
      <c r="EI35284"/>
      <c r="EJ35284"/>
      <c r="EK35284"/>
    </row>
    <row r="35285" spans="1:141" s="116" customFormat="1">
      <c r="A35285" s="136"/>
      <c r="CM35285" s="111"/>
      <c r="CQ35285" s="111"/>
      <c r="EF35285"/>
      <c r="EG35285"/>
      <c r="EH35285"/>
      <c r="EI35285"/>
      <c r="EJ35285"/>
      <c r="EK35285"/>
    </row>
    <row r="35286" spans="1:141" s="116" customFormat="1">
      <c r="A35286" s="136"/>
      <c r="CM35286" s="111"/>
      <c r="CQ35286" s="111"/>
      <c r="EF35286"/>
      <c r="EG35286"/>
      <c r="EH35286"/>
      <c r="EI35286"/>
      <c r="EJ35286"/>
      <c r="EK35286"/>
    </row>
    <row r="35287" spans="1:141" s="116" customFormat="1">
      <c r="A35287" s="136"/>
      <c r="CM35287" s="111"/>
      <c r="CQ35287" s="111"/>
      <c r="EF35287"/>
      <c r="EG35287"/>
      <c r="EH35287"/>
      <c r="EI35287"/>
      <c r="EJ35287"/>
      <c r="EK35287"/>
    </row>
    <row r="35288" spans="1:141" s="116" customFormat="1">
      <c r="A35288" s="136"/>
      <c r="CM35288" s="111"/>
      <c r="CQ35288" s="111"/>
      <c r="EF35288"/>
      <c r="EG35288"/>
      <c r="EH35288"/>
      <c r="EI35288"/>
      <c r="EJ35288"/>
      <c r="EK35288"/>
    </row>
    <row r="35289" spans="1:141" s="116" customFormat="1">
      <c r="A35289" s="136"/>
      <c r="CM35289" s="111"/>
      <c r="CQ35289" s="111"/>
      <c r="EF35289"/>
      <c r="EG35289"/>
      <c r="EH35289"/>
      <c r="EI35289"/>
      <c r="EJ35289"/>
      <c r="EK35289"/>
    </row>
    <row r="35290" spans="1:141" s="116" customFormat="1">
      <c r="A35290" s="136"/>
      <c r="CM35290" s="111"/>
      <c r="CQ35290" s="111"/>
      <c r="EF35290"/>
      <c r="EG35290"/>
      <c r="EH35290"/>
      <c r="EI35290"/>
      <c r="EJ35290"/>
      <c r="EK35290"/>
    </row>
    <row r="35291" spans="1:141" s="116" customFormat="1">
      <c r="A35291" s="136"/>
      <c r="CM35291" s="111"/>
      <c r="CQ35291" s="111"/>
      <c r="EF35291"/>
      <c r="EG35291"/>
      <c r="EH35291"/>
      <c r="EI35291"/>
      <c r="EJ35291"/>
      <c r="EK35291"/>
    </row>
    <row r="35292" spans="1:141" s="116" customFormat="1">
      <c r="A35292" s="136"/>
      <c r="CM35292" s="111"/>
      <c r="CQ35292" s="111"/>
      <c r="EF35292"/>
      <c r="EG35292"/>
      <c r="EH35292"/>
      <c r="EI35292"/>
      <c r="EJ35292"/>
      <c r="EK35292"/>
    </row>
    <row r="35293" spans="1:141" s="116" customFormat="1">
      <c r="A35293" s="136"/>
      <c r="CM35293" s="111"/>
      <c r="CQ35293" s="111"/>
      <c r="EF35293"/>
      <c r="EG35293"/>
      <c r="EH35293"/>
      <c r="EI35293"/>
      <c r="EJ35293"/>
      <c r="EK35293"/>
    </row>
    <row r="35294" spans="1:141" s="116" customFormat="1">
      <c r="A35294" s="136"/>
      <c r="CM35294" s="111"/>
      <c r="CQ35294" s="111"/>
      <c r="EF35294"/>
      <c r="EG35294"/>
      <c r="EH35294"/>
      <c r="EI35294"/>
      <c r="EJ35294"/>
      <c r="EK35294"/>
    </row>
    <row r="35295" spans="1:141" s="116" customFormat="1">
      <c r="A35295" s="136"/>
      <c r="CM35295" s="111"/>
      <c r="CQ35295" s="111"/>
      <c r="EF35295"/>
      <c r="EG35295"/>
      <c r="EH35295"/>
      <c r="EI35295"/>
      <c r="EJ35295"/>
      <c r="EK35295"/>
    </row>
    <row r="35296" spans="1:141" s="116" customFormat="1">
      <c r="A35296" s="136"/>
      <c r="CM35296" s="111"/>
      <c r="CQ35296" s="111"/>
      <c r="EF35296"/>
      <c r="EG35296"/>
      <c r="EH35296"/>
      <c r="EI35296"/>
      <c r="EJ35296"/>
      <c r="EK35296"/>
    </row>
    <row r="35297" spans="1:141" s="116" customFormat="1">
      <c r="A35297" s="136"/>
      <c r="CM35297" s="111"/>
      <c r="CQ35297" s="111"/>
      <c r="EF35297"/>
      <c r="EG35297"/>
      <c r="EH35297"/>
      <c r="EI35297"/>
      <c r="EJ35297"/>
      <c r="EK35297"/>
    </row>
    <row r="35298" spans="1:141" s="116" customFormat="1">
      <c r="A35298" s="136"/>
      <c r="CM35298" s="111"/>
      <c r="CQ35298" s="111"/>
      <c r="EF35298"/>
      <c r="EG35298"/>
      <c r="EH35298"/>
      <c r="EI35298"/>
      <c r="EJ35298"/>
      <c r="EK35298"/>
    </row>
    <row r="35299" spans="1:141" s="116" customFormat="1">
      <c r="A35299" s="136"/>
      <c r="CM35299" s="111"/>
      <c r="CQ35299" s="111"/>
      <c r="EF35299"/>
      <c r="EG35299"/>
      <c r="EH35299"/>
      <c r="EI35299"/>
      <c r="EJ35299"/>
      <c r="EK35299"/>
    </row>
    <row r="35300" spans="1:141" s="116" customFormat="1">
      <c r="A35300" s="136"/>
      <c r="CM35300" s="111"/>
      <c r="CQ35300" s="111"/>
      <c r="EF35300"/>
      <c r="EG35300"/>
      <c r="EH35300"/>
      <c r="EI35300"/>
      <c r="EJ35300"/>
      <c r="EK35300"/>
    </row>
    <row r="35301" spans="1:141" s="116" customFormat="1">
      <c r="A35301" s="136"/>
      <c r="CM35301" s="111"/>
      <c r="CQ35301" s="111"/>
      <c r="EF35301"/>
      <c r="EG35301"/>
      <c r="EH35301"/>
      <c r="EI35301"/>
      <c r="EJ35301"/>
      <c r="EK35301"/>
    </row>
    <row r="35302" spans="1:141" s="116" customFormat="1">
      <c r="A35302" s="136"/>
      <c r="CM35302" s="111"/>
      <c r="CQ35302" s="111"/>
      <c r="EF35302"/>
      <c r="EG35302"/>
      <c r="EH35302"/>
      <c r="EI35302"/>
      <c r="EJ35302"/>
      <c r="EK35302"/>
    </row>
    <row r="35303" spans="1:141" s="116" customFormat="1">
      <c r="A35303" s="136"/>
      <c r="CM35303" s="111"/>
      <c r="CQ35303" s="111"/>
      <c r="EF35303"/>
      <c r="EG35303"/>
      <c r="EH35303"/>
      <c r="EI35303"/>
      <c r="EJ35303"/>
      <c r="EK35303"/>
    </row>
    <row r="35304" spans="1:141" s="116" customFormat="1">
      <c r="A35304" s="136"/>
      <c r="CM35304" s="111"/>
      <c r="CQ35304" s="111"/>
      <c r="EF35304"/>
      <c r="EG35304"/>
      <c r="EH35304"/>
      <c r="EI35304"/>
      <c r="EJ35304"/>
      <c r="EK35304"/>
    </row>
    <row r="35305" spans="1:141" s="116" customFormat="1">
      <c r="A35305" s="136"/>
      <c r="CM35305" s="111"/>
      <c r="CQ35305" s="111"/>
      <c r="EF35305"/>
      <c r="EG35305"/>
      <c r="EH35305"/>
      <c r="EI35305"/>
      <c r="EJ35305"/>
      <c r="EK35305"/>
    </row>
    <row r="35306" spans="1:141" s="116" customFormat="1">
      <c r="A35306" s="136"/>
      <c r="CM35306" s="111"/>
      <c r="CQ35306" s="111"/>
      <c r="EF35306"/>
      <c r="EG35306"/>
      <c r="EH35306"/>
      <c r="EI35306"/>
      <c r="EJ35306"/>
      <c r="EK35306"/>
    </row>
    <row r="35307" spans="1:141" s="116" customFormat="1">
      <c r="A35307" s="136"/>
      <c r="CM35307" s="111"/>
      <c r="CQ35307" s="111"/>
      <c r="EF35307"/>
      <c r="EG35307"/>
      <c r="EH35307"/>
      <c r="EI35307"/>
      <c r="EJ35307"/>
      <c r="EK35307"/>
    </row>
    <row r="35308" spans="1:141" s="116" customFormat="1">
      <c r="A35308" s="136"/>
      <c r="CM35308" s="111"/>
      <c r="CQ35308" s="111"/>
      <c r="EF35308"/>
      <c r="EG35308"/>
      <c r="EH35308"/>
      <c r="EI35308"/>
      <c r="EJ35308"/>
      <c r="EK35308"/>
    </row>
    <row r="35309" spans="1:141" s="116" customFormat="1">
      <c r="A35309" s="136"/>
      <c r="CM35309" s="111"/>
      <c r="CQ35309" s="111"/>
      <c r="EF35309"/>
      <c r="EG35309"/>
      <c r="EH35309"/>
      <c r="EI35309"/>
      <c r="EJ35309"/>
      <c r="EK35309"/>
    </row>
    <row r="35310" spans="1:141" s="116" customFormat="1">
      <c r="A35310" s="136"/>
      <c r="CM35310" s="111"/>
      <c r="CQ35310" s="111"/>
      <c r="EF35310"/>
      <c r="EG35310"/>
      <c r="EH35310"/>
      <c r="EI35310"/>
      <c r="EJ35310"/>
      <c r="EK35310"/>
    </row>
    <row r="35311" spans="1:141" s="116" customFormat="1">
      <c r="A35311" s="136"/>
      <c r="CM35311" s="111"/>
      <c r="CQ35311" s="111"/>
      <c r="EF35311"/>
      <c r="EG35311"/>
      <c r="EH35311"/>
      <c r="EI35311"/>
      <c r="EJ35311"/>
      <c r="EK35311"/>
    </row>
    <row r="35312" spans="1:141" s="116" customFormat="1">
      <c r="A35312" s="136"/>
      <c r="CM35312" s="111"/>
      <c r="CQ35312" s="111"/>
      <c r="EF35312"/>
      <c r="EG35312"/>
      <c r="EH35312"/>
      <c r="EI35312"/>
      <c r="EJ35312"/>
      <c r="EK35312"/>
    </row>
    <row r="35313" spans="1:141" s="116" customFormat="1">
      <c r="A35313" s="136"/>
      <c r="CM35313" s="111"/>
      <c r="CQ35313" s="111"/>
      <c r="EF35313"/>
      <c r="EG35313"/>
      <c r="EH35313"/>
      <c r="EI35313"/>
      <c r="EJ35313"/>
      <c r="EK35313"/>
    </row>
    <row r="35314" spans="1:141" s="116" customFormat="1">
      <c r="A35314" s="136"/>
      <c r="CM35314" s="111"/>
      <c r="CQ35314" s="111"/>
      <c r="EF35314"/>
      <c r="EG35314"/>
      <c r="EH35314"/>
      <c r="EI35314"/>
      <c r="EJ35314"/>
      <c r="EK35314"/>
    </row>
    <row r="35315" spans="1:141" s="116" customFormat="1">
      <c r="A35315" s="136"/>
      <c r="CM35315" s="111"/>
      <c r="CQ35315" s="111"/>
      <c r="EF35315"/>
      <c r="EG35315"/>
      <c r="EH35315"/>
      <c r="EI35315"/>
      <c r="EJ35315"/>
      <c r="EK35315"/>
    </row>
    <row r="35316" spans="1:141" s="116" customFormat="1">
      <c r="A35316" s="136"/>
      <c r="CM35316" s="111"/>
      <c r="CQ35316" s="111"/>
      <c r="EF35316"/>
      <c r="EG35316"/>
      <c r="EH35316"/>
      <c r="EI35316"/>
      <c r="EJ35316"/>
      <c r="EK35316"/>
    </row>
    <row r="35317" spans="1:141" s="116" customFormat="1">
      <c r="A35317" s="136"/>
      <c r="CM35317" s="111"/>
      <c r="CQ35317" s="111"/>
      <c r="EF35317"/>
      <c r="EG35317"/>
      <c r="EH35317"/>
      <c r="EI35317"/>
      <c r="EJ35317"/>
      <c r="EK35317"/>
    </row>
    <row r="35318" spans="1:141" s="116" customFormat="1">
      <c r="A35318" s="136"/>
      <c r="CM35318" s="111"/>
      <c r="CQ35318" s="111"/>
      <c r="EF35318"/>
      <c r="EG35318"/>
      <c r="EH35318"/>
      <c r="EI35318"/>
      <c r="EJ35318"/>
      <c r="EK35318"/>
    </row>
    <row r="35319" spans="1:141" s="116" customFormat="1">
      <c r="A35319" s="136"/>
      <c r="CM35319" s="111"/>
      <c r="CQ35319" s="111"/>
      <c r="EF35319"/>
      <c r="EG35319"/>
      <c r="EH35319"/>
      <c r="EI35319"/>
      <c r="EJ35319"/>
      <c r="EK35319"/>
    </row>
    <row r="35320" spans="1:141" s="116" customFormat="1">
      <c r="A35320" s="136"/>
      <c r="CM35320" s="111"/>
      <c r="CQ35320" s="111"/>
      <c r="EF35320"/>
      <c r="EG35320"/>
      <c r="EH35320"/>
      <c r="EI35320"/>
      <c r="EJ35320"/>
      <c r="EK35320"/>
    </row>
    <row r="35321" spans="1:141" s="116" customFormat="1">
      <c r="A35321" s="136"/>
      <c r="CM35321" s="111"/>
      <c r="CQ35321" s="111"/>
      <c r="EF35321"/>
      <c r="EG35321"/>
      <c r="EH35321"/>
      <c r="EI35321"/>
      <c r="EJ35321"/>
      <c r="EK35321"/>
    </row>
    <row r="35322" spans="1:141" s="116" customFormat="1">
      <c r="A35322" s="136"/>
      <c r="CM35322" s="111"/>
      <c r="CQ35322" s="111"/>
      <c r="EF35322"/>
      <c r="EG35322"/>
      <c r="EH35322"/>
      <c r="EI35322"/>
      <c r="EJ35322"/>
      <c r="EK35322"/>
    </row>
    <row r="35323" spans="1:141" s="116" customFormat="1">
      <c r="A35323" s="136"/>
      <c r="CM35323" s="111"/>
      <c r="CQ35323" s="111"/>
      <c r="EF35323"/>
      <c r="EG35323"/>
      <c r="EH35323"/>
      <c r="EI35323"/>
      <c r="EJ35323"/>
      <c r="EK35323"/>
    </row>
    <row r="35324" spans="1:141" s="116" customFormat="1">
      <c r="A35324" s="136"/>
      <c r="CM35324" s="111"/>
      <c r="CQ35324" s="111"/>
      <c r="EF35324"/>
      <c r="EG35324"/>
      <c r="EH35324"/>
      <c r="EI35324"/>
      <c r="EJ35324"/>
      <c r="EK35324"/>
    </row>
    <row r="35325" spans="1:141" s="116" customFormat="1">
      <c r="A35325" s="136"/>
      <c r="CM35325" s="111"/>
      <c r="CQ35325" s="111"/>
      <c r="EF35325"/>
      <c r="EG35325"/>
      <c r="EH35325"/>
      <c r="EI35325"/>
      <c r="EJ35325"/>
      <c r="EK35325"/>
    </row>
    <row r="35326" spans="1:141" s="116" customFormat="1">
      <c r="A35326" s="136"/>
      <c r="CM35326" s="111"/>
      <c r="CQ35326" s="111"/>
      <c r="EF35326"/>
      <c r="EG35326"/>
      <c r="EH35326"/>
      <c r="EI35326"/>
      <c r="EJ35326"/>
      <c r="EK35326"/>
    </row>
    <row r="35327" spans="1:141" s="116" customFormat="1">
      <c r="A35327" s="136"/>
      <c r="CM35327" s="111"/>
      <c r="CQ35327" s="111"/>
      <c r="EF35327"/>
      <c r="EG35327"/>
      <c r="EH35327"/>
      <c r="EI35327"/>
      <c r="EJ35327"/>
      <c r="EK35327"/>
    </row>
    <row r="35328" spans="1:141" s="116" customFormat="1">
      <c r="A35328" s="136"/>
      <c r="CM35328" s="111"/>
      <c r="CQ35328" s="111"/>
      <c r="EF35328"/>
      <c r="EG35328"/>
      <c r="EH35328"/>
      <c r="EI35328"/>
      <c r="EJ35328"/>
      <c r="EK35328"/>
    </row>
    <row r="35329" spans="1:141" s="116" customFormat="1">
      <c r="A35329" s="136"/>
      <c r="CM35329" s="111"/>
      <c r="CQ35329" s="111"/>
      <c r="EF35329"/>
      <c r="EG35329"/>
      <c r="EH35329"/>
      <c r="EI35329"/>
      <c r="EJ35329"/>
      <c r="EK35329"/>
    </row>
    <row r="35330" spans="1:141" s="116" customFormat="1">
      <c r="A35330" s="136"/>
      <c r="CM35330" s="111"/>
      <c r="CQ35330" s="111"/>
      <c r="EF35330"/>
      <c r="EG35330"/>
      <c r="EH35330"/>
      <c r="EI35330"/>
      <c r="EJ35330"/>
      <c r="EK35330"/>
    </row>
    <row r="35331" spans="1:141" s="116" customFormat="1">
      <c r="A35331" s="136"/>
      <c r="CM35331" s="111"/>
      <c r="CQ35331" s="111"/>
      <c r="EF35331"/>
      <c r="EG35331"/>
      <c r="EH35331"/>
      <c r="EI35331"/>
      <c r="EJ35331"/>
      <c r="EK35331"/>
    </row>
    <row r="35332" spans="1:141" s="116" customFormat="1">
      <c r="A35332" s="136"/>
      <c r="CM35332" s="111"/>
      <c r="CQ35332" s="111"/>
      <c r="EF35332"/>
      <c r="EG35332"/>
      <c r="EH35332"/>
      <c r="EI35332"/>
      <c r="EJ35332"/>
      <c r="EK35332"/>
    </row>
    <row r="35333" spans="1:141" s="116" customFormat="1">
      <c r="A35333" s="136"/>
      <c r="CM35333" s="111"/>
      <c r="CQ35333" s="111"/>
      <c r="EF35333"/>
      <c r="EG35333"/>
      <c r="EH35333"/>
      <c r="EI35333"/>
      <c r="EJ35333"/>
      <c r="EK35333"/>
    </row>
    <row r="35334" spans="1:141" s="116" customFormat="1">
      <c r="A35334" s="136"/>
      <c r="CM35334" s="111"/>
      <c r="CQ35334" s="111"/>
      <c r="EF35334"/>
      <c r="EG35334"/>
      <c r="EH35334"/>
      <c r="EI35334"/>
      <c r="EJ35334"/>
      <c r="EK35334"/>
    </row>
    <row r="35335" spans="1:141" s="116" customFormat="1">
      <c r="A35335" s="136"/>
      <c r="CM35335" s="111"/>
      <c r="CQ35335" s="111"/>
      <c r="EF35335"/>
      <c r="EG35335"/>
      <c r="EH35335"/>
      <c r="EI35335"/>
      <c r="EJ35335"/>
      <c r="EK35335"/>
    </row>
    <row r="35336" spans="1:141" s="116" customFormat="1">
      <c r="A35336" s="136"/>
      <c r="CM35336" s="111"/>
      <c r="CQ35336" s="111"/>
      <c r="EF35336"/>
      <c r="EG35336"/>
      <c r="EH35336"/>
      <c r="EI35336"/>
      <c r="EJ35336"/>
      <c r="EK35336"/>
    </row>
    <row r="35337" spans="1:141" s="116" customFormat="1">
      <c r="A35337" s="136"/>
      <c r="CM35337" s="111"/>
      <c r="CQ35337" s="111"/>
      <c r="EF35337"/>
      <c r="EG35337"/>
      <c r="EH35337"/>
      <c r="EI35337"/>
      <c r="EJ35337"/>
      <c r="EK35337"/>
    </row>
    <row r="35338" spans="1:141" s="116" customFormat="1">
      <c r="A35338" s="136"/>
      <c r="CM35338" s="111"/>
      <c r="CQ35338" s="111"/>
      <c r="EF35338"/>
      <c r="EG35338"/>
      <c r="EH35338"/>
      <c r="EI35338"/>
      <c r="EJ35338"/>
      <c r="EK35338"/>
    </row>
    <row r="35339" spans="1:141" s="116" customFormat="1">
      <c r="A35339" s="136"/>
      <c r="CM35339" s="111"/>
      <c r="CQ35339" s="111"/>
      <c r="EF35339"/>
      <c r="EG35339"/>
      <c r="EH35339"/>
      <c r="EI35339"/>
      <c r="EJ35339"/>
      <c r="EK35339"/>
    </row>
    <row r="35340" spans="1:141" s="116" customFormat="1">
      <c r="A35340" s="136"/>
      <c r="CM35340" s="111"/>
      <c r="CQ35340" s="111"/>
      <c r="EF35340"/>
      <c r="EG35340"/>
      <c r="EH35340"/>
      <c r="EI35340"/>
      <c r="EJ35340"/>
      <c r="EK35340"/>
    </row>
    <row r="35341" spans="1:141" s="116" customFormat="1">
      <c r="A35341" s="136"/>
      <c r="CM35341" s="111"/>
      <c r="CQ35341" s="111"/>
      <c r="EF35341"/>
      <c r="EG35341"/>
      <c r="EH35341"/>
      <c r="EI35341"/>
      <c r="EJ35341"/>
      <c r="EK35341"/>
    </row>
    <row r="35342" spans="1:141" s="116" customFormat="1">
      <c r="A35342" s="136"/>
      <c r="CM35342" s="111"/>
      <c r="CQ35342" s="111"/>
      <c r="EF35342"/>
      <c r="EG35342"/>
      <c r="EH35342"/>
      <c r="EI35342"/>
      <c r="EJ35342"/>
      <c r="EK35342"/>
    </row>
    <row r="35343" spans="1:141" s="116" customFormat="1">
      <c r="A35343" s="136"/>
      <c r="CM35343" s="111"/>
      <c r="CQ35343" s="111"/>
      <c r="EF35343"/>
      <c r="EG35343"/>
      <c r="EH35343"/>
      <c r="EI35343"/>
      <c r="EJ35343"/>
      <c r="EK35343"/>
    </row>
    <row r="35344" spans="1:141" s="116" customFormat="1">
      <c r="A35344" s="136"/>
      <c r="CM35344" s="111"/>
      <c r="CQ35344" s="111"/>
      <c r="EF35344"/>
      <c r="EG35344"/>
      <c r="EH35344"/>
      <c r="EI35344"/>
      <c r="EJ35344"/>
      <c r="EK35344"/>
    </row>
    <row r="35345" spans="1:141" s="116" customFormat="1">
      <c r="A35345" s="136"/>
      <c r="CM35345" s="111"/>
      <c r="CQ35345" s="111"/>
      <c r="EF35345"/>
      <c r="EG35345"/>
      <c r="EH35345"/>
      <c r="EI35345"/>
      <c r="EJ35345"/>
      <c r="EK35345"/>
    </row>
    <row r="35346" spans="1:141" s="116" customFormat="1">
      <c r="A35346" s="136"/>
      <c r="CM35346" s="111"/>
      <c r="CQ35346" s="111"/>
      <c r="EF35346"/>
      <c r="EG35346"/>
      <c r="EH35346"/>
      <c r="EI35346"/>
      <c r="EJ35346"/>
      <c r="EK35346"/>
    </row>
    <row r="35347" spans="1:141" s="116" customFormat="1">
      <c r="A35347" s="136"/>
      <c r="CM35347" s="111"/>
      <c r="CQ35347" s="111"/>
      <c r="EF35347"/>
      <c r="EG35347"/>
      <c r="EH35347"/>
      <c r="EI35347"/>
      <c r="EJ35347"/>
      <c r="EK35347"/>
    </row>
    <row r="35348" spans="1:141" s="116" customFormat="1">
      <c r="A35348" s="136"/>
      <c r="CM35348" s="111"/>
      <c r="CQ35348" s="111"/>
      <c r="EF35348"/>
      <c r="EG35348"/>
      <c r="EH35348"/>
      <c r="EI35348"/>
      <c r="EJ35348"/>
      <c r="EK35348"/>
    </row>
    <row r="35349" spans="1:141" s="116" customFormat="1">
      <c r="A35349" s="136"/>
      <c r="CM35349" s="111"/>
      <c r="CQ35349" s="111"/>
      <c r="EF35349"/>
      <c r="EG35349"/>
      <c r="EH35349"/>
      <c r="EI35349"/>
      <c r="EJ35349"/>
      <c r="EK35349"/>
    </row>
    <row r="35350" spans="1:141" s="116" customFormat="1">
      <c r="A35350" s="136"/>
      <c r="CM35350" s="111"/>
      <c r="CQ35350" s="111"/>
      <c r="EF35350"/>
      <c r="EG35350"/>
      <c r="EH35350"/>
      <c r="EI35350"/>
      <c r="EJ35350"/>
      <c r="EK35350"/>
    </row>
    <row r="35351" spans="1:141" s="116" customFormat="1">
      <c r="A35351" s="136"/>
      <c r="CM35351" s="111"/>
      <c r="CQ35351" s="111"/>
      <c r="EF35351"/>
      <c r="EG35351"/>
      <c r="EH35351"/>
      <c r="EI35351"/>
      <c r="EJ35351"/>
      <c r="EK35351"/>
    </row>
    <row r="35352" spans="1:141" s="116" customFormat="1">
      <c r="A35352" s="136"/>
      <c r="CM35352" s="111"/>
      <c r="CQ35352" s="111"/>
      <c r="EF35352"/>
      <c r="EG35352"/>
      <c r="EH35352"/>
      <c r="EI35352"/>
      <c r="EJ35352"/>
      <c r="EK35352"/>
    </row>
    <row r="35353" spans="1:141" s="116" customFormat="1">
      <c r="A35353" s="136"/>
      <c r="CM35353" s="111"/>
      <c r="CQ35353" s="111"/>
      <c r="EF35353"/>
      <c r="EG35353"/>
      <c r="EH35353"/>
      <c r="EI35353"/>
      <c r="EJ35353"/>
      <c r="EK35353"/>
    </row>
    <row r="35354" spans="1:141" s="116" customFormat="1">
      <c r="A35354" s="136"/>
      <c r="CM35354" s="111"/>
      <c r="CQ35354" s="111"/>
      <c r="EF35354"/>
      <c r="EG35354"/>
      <c r="EH35354"/>
      <c r="EI35354"/>
      <c r="EJ35354"/>
      <c r="EK35354"/>
    </row>
    <row r="35355" spans="1:141" s="116" customFormat="1">
      <c r="A35355" s="136"/>
      <c r="CM35355" s="111"/>
      <c r="CQ35355" s="111"/>
      <c r="EF35355"/>
      <c r="EG35355"/>
      <c r="EH35355"/>
      <c r="EI35355"/>
      <c r="EJ35355"/>
      <c r="EK35355"/>
    </row>
    <row r="35356" spans="1:141" s="116" customFormat="1">
      <c r="A35356" s="136"/>
      <c r="CM35356" s="111"/>
      <c r="CQ35356" s="111"/>
      <c r="EF35356"/>
      <c r="EG35356"/>
      <c r="EH35356"/>
      <c r="EI35356"/>
      <c r="EJ35356"/>
      <c r="EK35356"/>
    </row>
    <row r="35357" spans="1:141" s="116" customFormat="1">
      <c r="A35357" s="136"/>
      <c r="CM35357" s="111"/>
      <c r="CQ35357" s="111"/>
      <c r="EF35357"/>
      <c r="EG35357"/>
      <c r="EH35357"/>
      <c r="EI35357"/>
      <c r="EJ35357"/>
      <c r="EK35357"/>
    </row>
    <row r="35358" spans="1:141" s="116" customFormat="1">
      <c r="A35358" s="136"/>
      <c r="CM35358" s="111"/>
      <c r="CQ35358" s="111"/>
      <c r="EF35358"/>
      <c r="EG35358"/>
      <c r="EH35358"/>
      <c r="EI35358"/>
      <c r="EJ35358"/>
      <c r="EK35358"/>
    </row>
    <row r="35359" spans="1:141" s="116" customFormat="1">
      <c r="A35359" s="136"/>
      <c r="CM35359" s="111"/>
      <c r="CQ35359" s="111"/>
      <c r="EF35359"/>
      <c r="EG35359"/>
      <c r="EH35359"/>
      <c r="EI35359"/>
      <c r="EJ35359"/>
      <c r="EK35359"/>
    </row>
    <row r="35360" spans="1:141" s="116" customFormat="1">
      <c r="A35360" s="136"/>
      <c r="CM35360" s="111"/>
      <c r="CQ35360" s="111"/>
      <c r="EF35360"/>
      <c r="EG35360"/>
      <c r="EH35360"/>
      <c r="EI35360"/>
      <c r="EJ35360"/>
      <c r="EK35360"/>
    </row>
    <row r="35361" spans="1:141" s="116" customFormat="1">
      <c r="A35361" s="136"/>
      <c r="CM35361" s="111"/>
      <c r="CQ35361" s="111"/>
      <c r="EF35361"/>
      <c r="EG35361"/>
      <c r="EH35361"/>
      <c r="EI35361"/>
      <c r="EJ35361"/>
      <c r="EK35361"/>
    </row>
    <row r="35362" spans="1:141" s="116" customFormat="1">
      <c r="A35362" s="136"/>
      <c r="CM35362" s="111"/>
      <c r="CQ35362" s="111"/>
      <c r="EF35362"/>
      <c r="EG35362"/>
      <c r="EH35362"/>
      <c r="EI35362"/>
      <c r="EJ35362"/>
      <c r="EK35362"/>
    </row>
    <row r="35363" spans="1:141" s="116" customFormat="1">
      <c r="A35363" s="136"/>
      <c r="CM35363" s="111"/>
      <c r="CQ35363" s="111"/>
      <c r="EF35363"/>
      <c r="EG35363"/>
      <c r="EH35363"/>
      <c r="EI35363"/>
      <c r="EJ35363"/>
      <c r="EK35363"/>
    </row>
    <row r="35364" spans="1:141" s="116" customFormat="1">
      <c r="A35364" s="136"/>
      <c r="CM35364" s="111"/>
      <c r="CQ35364" s="111"/>
      <c r="EF35364"/>
      <c r="EG35364"/>
      <c r="EH35364"/>
      <c r="EI35364"/>
      <c r="EJ35364"/>
      <c r="EK35364"/>
    </row>
    <row r="35365" spans="1:141" s="116" customFormat="1">
      <c r="A35365" s="136"/>
      <c r="CM35365" s="111"/>
      <c r="CQ35365" s="111"/>
      <c r="EF35365"/>
      <c r="EG35365"/>
      <c r="EH35365"/>
      <c r="EI35365"/>
      <c r="EJ35365"/>
      <c r="EK35365"/>
    </row>
    <row r="35366" spans="1:141" s="116" customFormat="1">
      <c r="A35366" s="136"/>
      <c r="CM35366" s="111"/>
      <c r="CQ35366" s="111"/>
      <c r="EF35366"/>
      <c r="EG35366"/>
      <c r="EH35366"/>
      <c r="EI35366"/>
      <c r="EJ35366"/>
      <c r="EK35366"/>
    </row>
    <row r="35367" spans="1:141" s="116" customFormat="1">
      <c r="A35367" s="136"/>
      <c r="CM35367" s="111"/>
      <c r="CQ35367" s="111"/>
      <c r="EF35367"/>
      <c r="EG35367"/>
      <c r="EH35367"/>
      <c r="EI35367"/>
      <c r="EJ35367"/>
      <c r="EK35367"/>
    </row>
    <row r="35368" spans="1:141" s="116" customFormat="1">
      <c r="A35368" s="136"/>
      <c r="CM35368" s="111"/>
      <c r="CQ35368" s="111"/>
      <c r="EF35368"/>
      <c r="EG35368"/>
      <c r="EH35368"/>
      <c r="EI35368"/>
      <c r="EJ35368"/>
      <c r="EK35368"/>
    </row>
    <row r="35369" spans="1:141" s="116" customFormat="1">
      <c r="A35369" s="136"/>
      <c r="CM35369" s="111"/>
      <c r="CQ35369" s="111"/>
      <c r="EF35369"/>
      <c r="EG35369"/>
      <c r="EH35369"/>
      <c r="EI35369"/>
      <c r="EJ35369"/>
      <c r="EK35369"/>
    </row>
    <row r="35370" spans="1:141" s="116" customFormat="1">
      <c r="A35370" s="136"/>
      <c r="CM35370" s="111"/>
      <c r="CQ35370" s="111"/>
      <c r="EF35370"/>
      <c r="EG35370"/>
      <c r="EH35370"/>
      <c r="EI35370"/>
      <c r="EJ35370"/>
      <c r="EK35370"/>
    </row>
    <row r="35371" spans="1:141" s="116" customFormat="1">
      <c r="A35371" s="136"/>
      <c r="CM35371" s="111"/>
      <c r="CQ35371" s="111"/>
      <c r="EF35371"/>
      <c r="EG35371"/>
      <c r="EH35371"/>
      <c r="EI35371"/>
      <c r="EJ35371"/>
      <c r="EK35371"/>
    </row>
    <row r="35372" spans="1:141" s="116" customFormat="1">
      <c r="A35372" s="136"/>
      <c r="CM35372" s="111"/>
      <c r="CQ35372" s="111"/>
      <c r="EF35372"/>
      <c r="EG35372"/>
      <c r="EH35372"/>
      <c r="EI35372"/>
      <c r="EJ35372"/>
      <c r="EK35372"/>
    </row>
    <row r="35373" spans="1:141" s="116" customFormat="1">
      <c r="A35373" s="136"/>
      <c r="CM35373" s="111"/>
      <c r="CQ35373" s="111"/>
      <c r="EF35373"/>
      <c r="EG35373"/>
      <c r="EH35373"/>
      <c r="EI35373"/>
      <c r="EJ35373"/>
      <c r="EK35373"/>
    </row>
    <row r="35374" spans="1:141" s="116" customFormat="1">
      <c r="A35374" s="136"/>
      <c r="CM35374" s="111"/>
      <c r="CQ35374" s="111"/>
      <c r="EF35374"/>
      <c r="EG35374"/>
      <c r="EH35374"/>
      <c r="EI35374"/>
      <c r="EJ35374"/>
      <c r="EK35374"/>
    </row>
    <row r="35375" spans="1:141" s="116" customFormat="1">
      <c r="A35375" s="136"/>
      <c r="CM35375" s="111"/>
      <c r="CQ35375" s="111"/>
      <c r="EF35375"/>
      <c r="EG35375"/>
      <c r="EH35375"/>
      <c r="EI35375"/>
      <c r="EJ35375"/>
      <c r="EK35375"/>
    </row>
    <row r="35376" spans="1:141" s="116" customFormat="1">
      <c r="A35376" s="136"/>
      <c r="CM35376" s="111"/>
      <c r="CQ35376" s="111"/>
      <c r="EF35376"/>
      <c r="EG35376"/>
      <c r="EH35376"/>
      <c r="EI35376"/>
      <c r="EJ35376"/>
      <c r="EK35376"/>
    </row>
    <row r="35377" spans="1:141" s="116" customFormat="1">
      <c r="A35377" s="136"/>
      <c r="CM35377" s="111"/>
      <c r="CQ35377" s="111"/>
      <c r="EF35377"/>
      <c r="EG35377"/>
      <c r="EH35377"/>
      <c r="EI35377"/>
      <c r="EJ35377"/>
      <c r="EK35377"/>
    </row>
    <row r="35378" spans="1:141" s="116" customFormat="1">
      <c r="A35378" s="136"/>
      <c r="CM35378" s="111"/>
      <c r="CQ35378" s="111"/>
      <c r="EF35378"/>
      <c r="EG35378"/>
      <c r="EH35378"/>
      <c r="EI35378"/>
      <c r="EJ35378"/>
      <c r="EK35378"/>
    </row>
    <row r="35379" spans="1:141" s="116" customFormat="1">
      <c r="A35379" s="136"/>
      <c r="CM35379" s="111"/>
      <c r="CQ35379" s="111"/>
      <c r="EF35379"/>
      <c r="EG35379"/>
      <c r="EH35379"/>
      <c r="EI35379"/>
      <c r="EJ35379"/>
      <c r="EK35379"/>
    </row>
    <row r="35380" spans="1:141" s="116" customFormat="1">
      <c r="A35380" s="136"/>
      <c r="CM35380" s="111"/>
      <c r="CQ35380" s="111"/>
      <c r="EF35380"/>
      <c r="EG35380"/>
      <c r="EH35380"/>
      <c r="EI35380"/>
      <c r="EJ35380"/>
      <c r="EK35380"/>
    </row>
    <row r="35381" spans="1:141" s="116" customFormat="1">
      <c r="A35381" s="136"/>
      <c r="CM35381" s="111"/>
      <c r="CQ35381" s="111"/>
      <c r="EF35381"/>
      <c r="EG35381"/>
      <c r="EH35381"/>
      <c r="EI35381"/>
      <c r="EJ35381"/>
      <c r="EK35381"/>
    </row>
    <row r="35382" spans="1:141" s="116" customFormat="1">
      <c r="A35382" s="136"/>
      <c r="CM35382" s="111"/>
      <c r="CQ35382" s="111"/>
      <c r="EF35382"/>
      <c r="EG35382"/>
      <c r="EH35382"/>
      <c r="EI35382"/>
      <c r="EJ35382"/>
      <c r="EK35382"/>
    </row>
    <row r="35383" spans="1:141" s="116" customFormat="1">
      <c r="A35383" s="136"/>
      <c r="CM35383" s="111"/>
      <c r="CQ35383" s="111"/>
      <c r="EF35383"/>
      <c r="EG35383"/>
      <c r="EH35383"/>
      <c r="EI35383"/>
      <c r="EJ35383"/>
      <c r="EK35383"/>
    </row>
    <row r="35384" spans="1:141" s="116" customFormat="1">
      <c r="A35384" s="136"/>
      <c r="CM35384" s="111"/>
      <c r="CQ35384" s="111"/>
      <c r="EF35384"/>
      <c r="EG35384"/>
      <c r="EH35384"/>
      <c r="EI35384"/>
      <c r="EJ35384"/>
      <c r="EK35384"/>
    </row>
    <row r="35385" spans="1:141" s="116" customFormat="1">
      <c r="A35385" s="136"/>
      <c r="CM35385" s="111"/>
      <c r="CQ35385" s="111"/>
      <c r="EF35385"/>
      <c r="EG35385"/>
      <c r="EH35385"/>
      <c r="EI35385"/>
      <c r="EJ35385"/>
      <c r="EK35385"/>
    </row>
    <row r="35386" spans="1:141" s="116" customFormat="1">
      <c r="A35386" s="136"/>
      <c r="CM35386" s="111"/>
      <c r="CQ35386" s="111"/>
      <c r="EF35386"/>
      <c r="EG35386"/>
      <c r="EH35386"/>
      <c r="EI35386"/>
      <c r="EJ35386"/>
      <c r="EK35386"/>
    </row>
    <row r="35387" spans="1:141" s="116" customFormat="1">
      <c r="A35387" s="136"/>
      <c r="CM35387" s="111"/>
      <c r="CQ35387" s="111"/>
      <c r="EF35387"/>
      <c r="EG35387"/>
      <c r="EH35387"/>
      <c r="EI35387"/>
      <c r="EJ35387"/>
      <c r="EK35387"/>
    </row>
    <row r="35388" spans="1:141" s="116" customFormat="1">
      <c r="A35388" s="136"/>
      <c r="CM35388" s="111"/>
      <c r="CQ35388" s="111"/>
      <c r="EF35388"/>
      <c r="EG35388"/>
      <c r="EH35388"/>
      <c r="EI35388"/>
      <c r="EJ35388"/>
      <c r="EK35388"/>
    </row>
    <row r="35389" spans="1:141" s="116" customFormat="1">
      <c r="A35389" s="136"/>
      <c r="CM35389" s="111"/>
      <c r="CQ35389" s="111"/>
      <c r="EF35389"/>
      <c r="EG35389"/>
      <c r="EH35389"/>
      <c r="EI35389"/>
      <c r="EJ35389"/>
      <c r="EK35389"/>
    </row>
    <row r="35390" spans="1:141" s="116" customFormat="1">
      <c r="A35390" s="136"/>
      <c r="CM35390" s="111"/>
      <c r="CQ35390" s="111"/>
      <c r="EF35390"/>
      <c r="EG35390"/>
      <c r="EH35390"/>
      <c r="EI35390"/>
      <c r="EJ35390"/>
      <c r="EK35390"/>
    </row>
    <row r="35391" spans="1:141" s="116" customFormat="1">
      <c r="A35391" s="136"/>
      <c r="CM35391" s="111"/>
      <c r="CQ35391" s="111"/>
      <c r="EF35391"/>
      <c r="EG35391"/>
      <c r="EH35391"/>
      <c r="EI35391"/>
      <c r="EJ35391"/>
      <c r="EK35391"/>
    </row>
    <row r="35392" spans="1:141" s="116" customFormat="1">
      <c r="A35392" s="136"/>
      <c r="CM35392" s="111"/>
      <c r="CQ35392" s="111"/>
      <c r="EF35392"/>
      <c r="EG35392"/>
      <c r="EH35392"/>
      <c r="EI35392"/>
      <c r="EJ35392"/>
      <c r="EK35392"/>
    </row>
    <row r="35393" spans="1:141" s="116" customFormat="1">
      <c r="A35393" s="136"/>
      <c r="CM35393" s="111"/>
      <c r="CQ35393" s="111"/>
      <c r="EF35393"/>
      <c r="EG35393"/>
      <c r="EH35393"/>
      <c r="EI35393"/>
      <c r="EJ35393"/>
      <c r="EK35393"/>
    </row>
    <row r="35394" spans="1:141" s="116" customFormat="1">
      <c r="A35394" s="136"/>
      <c r="CM35394" s="111"/>
      <c r="CQ35394" s="111"/>
      <c r="EF35394"/>
      <c r="EG35394"/>
      <c r="EH35394"/>
      <c r="EI35394"/>
      <c r="EJ35394"/>
      <c r="EK35394"/>
    </row>
    <row r="35395" spans="1:141" s="116" customFormat="1">
      <c r="A35395" s="136"/>
      <c r="CM35395" s="111"/>
      <c r="CQ35395" s="111"/>
      <c r="EF35395"/>
      <c r="EG35395"/>
      <c r="EH35395"/>
      <c r="EI35395"/>
      <c r="EJ35395"/>
      <c r="EK35395"/>
    </row>
    <row r="35396" spans="1:141" s="116" customFormat="1">
      <c r="A35396" s="136"/>
      <c r="CM35396" s="111"/>
      <c r="CQ35396" s="111"/>
      <c r="EF35396"/>
      <c r="EG35396"/>
      <c r="EH35396"/>
      <c r="EI35396"/>
      <c r="EJ35396"/>
      <c r="EK35396"/>
    </row>
    <row r="35397" spans="1:141" s="116" customFormat="1">
      <c r="A35397" s="136"/>
      <c r="CM35397" s="111"/>
      <c r="CQ35397" s="111"/>
      <c r="EF35397"/>
      <c r="EG35397"/>
      <c r="EH35397"/>
      <c r="EI35397"/>
      <c r="EJ35397"/>
      <c r="EK35397"/>
    </row>
    <row r="35398" spans="1:141" s="116" customFormat="1">
      <c r="A35398" s="136"/>
      <c r="CM35398" s="111"/>
      <c r="CQ35398" s="111"/>
      <c r="EF35398"/>
      <c r="EG35398"/>
      <c r="EH35398"/>
      <c r="EI35398"/>
      <c r="EJ35398"/>
      <c r="EK35398"/>
    </row>
    <row r="35399" spans="1:141" s="116" customFormat="1">
      <c r="A35399" s="136"/>
      <c r="CM35399" s="111"/>
      <c r="CQ35399" s="111"/>
      <c r="EF35399"/>
      <c r="EG35399"/>
      <c r="EH35399"/>
      <c r="EI35399"/>
      <c r="EJ35399"/>
      <c r="EK35399"/>
    </row>
    <row r="35400" spans="1:141" s="116" customFormat="1">
      <c r="A35400" s="136"/>
      <c r="CM35400" s="111"/>
      <c r="CQ35400" s="111"/>
      <c r="EF35400"/>
      <c r="EG35400"/>
      <c r="EH35400"/>
      <c r="EI35400"/>
      <c r="EJ35400"/>
      <c r="EK35400"/>
    </row>
    <row r="35401" spans="1:141" s="116" customFormat="1">
      <c r="A35401" s="136"/>
      <c r="CM35401" s="111"/>
      <c r="CQ35401" s="111"/>
      <c r="EF35401"/>
      <c r="EG35401"/>
      <c r="EH35401"/>
      <c r="EI35401"/>
      <c r="EJ35401"/>
      <c r="EK35401"/>
    </row>
    <row r="35402" spans="1:141" s="116" customFormat="1">
      <c r="A35402" s="136"/>
      <c r="CM35402" s="111"/>
      <c r="CQ35402" s="111"/>
      <c r="EF35402"/>
      <c r="EG35402"/>
      <c r="EH35402"/>
      <c r="EI35402"/>
      <c r="EJ35402"/>
      <c r="EK35402"/>
    </row>
    <row r="35403" spans="1:141" s="116" customFormat="1">
      <c r="A35403" s="136"/>
      <c r="CM35403" s="111"/>
      <c r="CQ35403" s="111"/>
      <c r="EF35403"/>
      <c r="EG35403"/>
      <c r="EH35403"/>
      <c r="EI35403"/>
      <c r="EJ35403"/>
      <c r="EK35403"/>
    </row>
    <row r="35404" spans="1:141" s="116" customFormat="1">
      <c r="A35404" s="136"/>
      <c r="CM35404" s="111"/>
      <c r="CQ35404" s="111"/>
      <c r="EF35404"/>
      <c r="EG35404"/>
      <c r="EH35404"/>
      <c r="EI35404"/>
      <c r="EJ35404"/>
      <c r="EK35404"/>
    </row>
    <row r="35405" spans="1:141" s="116" customFormat="1">
      <c r="A35405" s="136"/>
      <c r="CM35405" s="111"/>
      <c r="CQ35405" s="111"/>
      <c r="EF35405"/>
      <c r="EG35405"/>
      <c r="EH35405"/>
      <c r="EI35405"/>
      <c r="EJ35405"/>
      <c r="EK35405"/>
    </row>
    <row r="35406" spans="1:141" s="116" customFormat="1">
      <c r="A35406" s="136"/>
      <c r="CM35406" s="111"/>
      <c r="CQ35406" s="111"/>
      <c r="EF35406"/>
      <c r="EG35406"/>
      <c r="EH35406"/>
      <c r="EI35406"/>
      <c r="EJ35406"/>
      <c r="EK35406"/>
    </row>
    <row r="35407" spans="1:141" s="116" customFormat="1">
      <c r="A35407" s="136"/>
      <c r="CM35407" s="111"/>
      <c r="CQ35407" s="111"/>
      <c r="EF35407"/>
      <c r="EG35407"/>
      <c r="EH35407"/>
      <c r="EI35407"/>
      <c r="EJ35407"/>
      <c r="EK35407"/>
    </row>
    <row r="35408" spans="1:141" s="116" customFormat="1">
      <c r="A35408" s="136"/>
      <c r="CM35408" s="111"/>
      <c r="CQ35408" s="111"/>
      <c r="EF35408"/>
      <c r="EG35408"/>
      <c r="EH35408"/>
      <c r="EI35408"/>
      <c r="EJ35408"/>
      <c r="EK35408"/>
    </row>
    <row r="35409" spans="1:141" s="116" customFormat="1">
      <c r="A35409" s="136"/>
      <c r="CM35409" s="111"/>
      <c r="CQ35409" s="111"/>
      <c r="EF35409"/>
      <c r="EG35409"/>
      <c r="EH35409"/>
      <c r="EI35409"/>
      <c r="EJ35409"/>
      <c r="EK35409"/>
    </row>
    <row r="35410" spans="1:141" s="116" customFormat="1">
      <c r="A35410" s="136"/>
      <c r="CM35410" s="111"/>
      <c r="CQ35410" s="111"/>
      <c r="EF35410"/>
      <c r="EG35410"/>
      <c r="EH35410"/>
      <c r="EI35410"/>
      <c r="EJ35410"/>
      <c r="EK35410"/>
    </row>
    <row r="35411" spans="1:141" s="116" customFormat="1">
      <c r="A35411" s="136"/>
      <c r="CM35411" s="111"/>
      <c r="CQ35411" s="111"/>
      <c r="EF35411"/>
      <c r="EG35411"/>
      <c r="EH35411"/>
      <c r="EI35411"/>
      <c r="EJ35411"/>
      <c r="EK35411"/>
    </row>
    <row r="35412" spans="1:141" s="116" customFormat="1">
      <c r="A35412" s="136"/>
      <c r="CM35412" s="111"/>
      <c r="CQ35412" s="111"/>
      <c r="EF35412"/>
      <c r="EG35412"/>
      <c r="EH35412"/>
      <c r="EI35412"/>
      <c r="EJ35412"/>
      <c r="EK35412"/>
    </row>
    <row r="35413" spans="1:141" s="116" customFormat="1">
      <c r="A35413" s="136"/>
      <c r="CM35413" s="111"/>
      <c r="CQ35413" s="111"/>
      <c r="EF35413"/>
      <c r="EG35413"/>
      <c r="EH35413"/>
      <c r="EI35413"/>
      <c r="EJ35413"/>
      <c r="EK35413"/>
    </row>
    <row r="35414" spans="1:141" s="116" customFormat="1">
      <c r="A35414" s="136"/>
      <c r="CM35414" s="111"/>
      <c r="CQ35414" s="111"/>
      <c r="EF35414"/>
      <c r="EG35414"/>
      <c r="EH35414"/>
      <c r="EI35414"/>
      <c r="EJ35414"/>
      <c r="EK35414"/>
    </row>
    <row r="35415" spans="1:141" s="116" customFormat="1">
      <c r="A35415" s="136"/>
      <c r="CM35415" s="111"/>
      <c r="CQ35415" s="111"/>
      <c r="EF35415"/>
      <c r="EG35415"/>
      <c r="EH35415"/>
      <c r="EI35415"/>
      <c r="EJ35415"/>
      <c r="EK35415"/>
    </row>
    <row r="35416" spans="1:141" s="116" customFormat="1">
      <c r="A35416" s="136"/>
      <c r="CM35416" s="111"/>
      <c r="CQ35416" s="111"/>
      <c r="EF35416"/>
      <c r="EG35416"/>
      <c r="EH35416"/>
      <c r="EI35416"/>
      <c r="EJ35416"/>
      <c r="EK35416"/>
    </row>
    <row r="35417" spans="1:141" s="116" customFormat="1">
      <c r="A35417" s="136"/>
      <c r="CM35417" s="111"/>
      <c r="CQ35417" s="111"/>
      <c r="EF35417"/>
      <c r="EG35417"/>
      <c r="EH35417"/>
      <c r="EI35417"/>
      <c r="EJ35417"/>
      <c r="EK35417"/>
    </row>
    <row r="35418" spans="1:141" s="116" customFormat="1">
      <c r="A35418" s="136"/>
      <c r="CM35418" s="111"/>
      <c r="CQ35418" s="111"/>
      <c r="EF35418"/>
      <c r="EG35418"/>
      <c r="EH35418"/>
      <c r="EI35418"/>
      <c r="EJ35418"/>
      <c r="EK35418"/>
    </row>
    <row r="35419" spans="1:141" s="116" customFormat="1">
      <c r="A35419" s="136"/>
      <c r="CM35419" s="111"/>
      <c r="CQ35419" s="111"/>
      <c r="EF35419"/>
      <c r="EG35419"/>
      <c r="EH35419"/>
      <c r="EI35419"/>
      <c r="EJ35419"/>
      <c r="EK35419"/>
    </row>
    <row r="35420" spans="1:141" s="116" customFormat="1">
      <c r="A35420" s="136"/>
      <c r="CM35420" s="111"/>
      <c r="CQ35420" s="111"/>
      <c r="EF35420"/>
      <c r="EG35420"/>
      <c r="EH35420"/>
      <c r="EI35420"/>
      <c r="EJ35420"/>
      <c r="EK35420"/>
    </row>
    <row r="35421" spans="1:141" s="116" customFormat="1">
      <c r="A35421" s="136"/>
      <c r="CM35421" s="111"/>
      <c r="CQ35421" s="111"/>
      <c r="EF35421"/>
      <c r="EG35421"/>
      <c r="EH35421"/>
      <c r="EI35421"/>
      <c r="EJ35421"/>
      <c r="EK35421"/>
    </row>
    <row r="35422" spans="1:141" s="116" customFormat="1">
      <c r="A35422" s="136"/>
      <c r="CM35422" s="111"/>
      <c r="CQ35422" s="111"/>
      <c r="EF35422"/>
      <c r="EG35422"/>
      <c r="EH35422"/>
      <c r="EI35422"/>
      <c r="EJ35422"/>
      <c r="EK35422"/>
    </row>
    <row r="35423" spans="1:141" s="116" customFormat="1">
      <c r="A35423" s="136"/>
      <c r="CM35423" s="111"/>
      <c r="CQ35423" s="111"/>
      <c r="EF35423"/>
      <c r="EG35423"/>
      <c r="EH35423"/>
      <c r="EI35423"/>
      <c r="EJ35423"/>
      <c r="EK35423"/>
    </row>
    <row r="35424" spans="1:141" s="116" customFormat="1">
      <c r="A35424" s="136"/>
      <c r="CM35424" s="111"/>
      <c r="CQ35424" s="111"/>
      <c r="EF35424"/>
      <c r="EG35424"/>
      <c r="EH35424"/>
      <c r="EI35424"/>
      <c r="EJ35424"/>
      <c r="EK35424"/>
    </row>
    <row r="35425" spans="1:141" s="116" customFormat="1">
      <c r="A35425" s="136"/>
      <c r="CM35425" s="111"/>
      <c r="CQ35425" s="111"/>
      <c r="EF35425"/>
      <c r="EG35425"/>
      <c r="EH35425"/>
      <c r="EI35425"/>
      <c r="EJ35425"/>
      <c r="EK35425"/>
    </row>
    <row r="35426" spans="1:141" s="116" customFormat="1">
      <c r="A35426" s="136"/>
      <c r="CM35426" s="111"/>
      <c r="CQ35426" s="111"/>
      <c r="EF35426"/>
      <c r="EG35426"/>
      <c r="EH35426"/>
      <c r="EI35426"/>
      <c r="EJ35426"/>
      <c r="EK35426"/>
    </row>
    <row r="35427" spans="1:141" s="116" customFormat="1">
      <c r="A35427" s="136"/>
      <c r="CM35427" s="111"/>
      <c r="CQ35427" s="111"/>
      <c r="EF35427"/>
      <c r="EG35427"/>
      <c r="EH35427"/>
      <c r="EI35427"/>
      <c r="EJ35427"/>
      <c r="EK35427"/>
    </row>
    <row r="35428" spans="1:141" s="116" customFormat="1">
      <c r="A35428" s="136"/>
      <c r="CM35428" s="111"/>
      <c r="CQ35428" s="111"/>
      <c r="EF35428"/>
      <c r="EG35428"/>
      <c r="EH35428"/>
      <c r="EI35428"/>
      <c r="EJ35428"/>
      <c r="EK35428"/>
    </row>
    <row r="35429" spans="1:141" s="116" customFormat="1">
      <c r="A35429" s="136"/>
      <c r="CM35429" s="111"/>
      <c r="CQ35429" s="111"/>
      <c r="EF35429"/>
      <c r="EG35429"/>
      <c r="EH35429"/>
      <c r="EI35429"/>
      <c r="EJ35429"/>
      <c r="EK35429"/>
    </row>
    <row r="35430" spans="1:141" s="116" customFormat="1">
      <c r="A35430" s="136"/>
      <c r="CM35430" s="111"/>
      <c r="CQ35430" s="111"/>
      <c r="EF35430"/>
      <c r="EG35430"/>
      <c r="EH35430"/>
      <c r="EI35430"/>
      <c r="EJ35430"/>
      <c r="EK35430"/>
    </row>
    <row r="35431" spans="1:141" s="116" customFormat="1">
      <c r="A35431" s="136"/>
      <c r="CM35431" s="111"/>
      <c r="CQ35431" s="111"/>
      <c r="EF35431"/>
      <c r="EG35431"/>
      <c r="EH35431"/>
      <c r="EI35431"/>
      <c r="EJ35431"/>
      <c r="EK35431"/>
    </row>
    <row r="35432" spans="1:141" s="116" customFormat="1">
      <c r="A35432" s="136"/>
      <c r="CM35432" s="111"/>
      <c r="CQ35432" s="111"/>
      <c r="EF35432"/>
      <c r="EG35432"/>
      <c r="EH35432"/>
      <c r="EI35432"/>
      <c r="EJ35432"/>
      <c r="EK35432"/>
    </row>
    <row r="35433" spans="1:141" s="116" customFormat="1">
      <c r="A35433" s="136"/>
      <c r="CM35433" s="111"/>
      <c r="CQ35433" s="111"/>
      <c r="EF35433"/>
      <c r="EG35433"/>
      <c r="EH35433"/>
      <c r="EI35433"/>
      <c r="EJ35433"/>
      <c r="EK35433"/>
    </row>
    <row r="35434" spans="1:141" s="116" customFormat="1">
      <c r="A35434" s="136"/>
      <c r="CM35434" s="111"/>
      <c r="CQ35434" s="111"/>
      <c r="EF35434"/>
      <c r="EG35434"/>
      <c r="EH35434"/>
      <c r="EI35434"/>
      <c r="EJ35434"/>
      <c r="EK35434"/>
    </row>
    <row r="35435" spans="1:141" s="116" customFormat="1">
      <c r="A35435" s="136"/>
      <c r="CM35435" s="111"/>
      <c r="CQ35435" s="111"/>
      <c r="EF35435"/>
      <c r="EG35435"/>
      <c r="EH35435"/>
      <c r="EI35435"/>
      <c r="EJ35435"/>
      <c r="EK35435"/>
    </row>
    <row r="35436" spans="1:141" s="116" customFormat="1">
      <c r="A35436" s="136"/>
      <c r="CM35436" s="111"/>
      <c r="CQ35436" s="111"/>
      <c r="EF35436"/>
      <c r="EG35436"/>
      <c r="EH35436"/>
      <c r="EI35436"/>
      <c r="EJ35436"/>
      <c r="EK35436"/>
    </row>
    <row r="35437" spans="1:141" s="116" customFormat="1">
      <c r="A35437" s="136"/>
      <c r="CM35437" s="111"/>
      <c r="CQ35437" s="111"/>
      <c r="EF35437"/>
      <c r="EG35437"/>
      <c r="EH35437"/>
      <c r="EI35437"/>
      <c r="EJ35437"/>
      <c r="EK35437"/>
    </row>
    <row r="35438" spans="1:141" s="116" customFormat="1">
      <c r="A35438" s="136"/>
      <c r="CM35438" s="111"/>
      <c r="CQ35438" s="111"/>
      <c r="EF35438"/>
      <c r="EG35438"/>
      <c r="EH35438"/>
      <c r="EI35438"/>
      <c r="EJ35438"/>
      <c r="EK35438"/>
    </row>
    <row r="35439" spans="1:141" s="116" customFormat="1">
      <c r="A35439" s="136"/>
      <c r="CM35439" s="111"/>
      <c r="CQ35439" s="111"/>
      <c r="EF35439"/>
      <c r="EG35439"/>
      <c r="EH35439"/>
      <c r="EI35439"/>
      <c r="EJ35439"/>
      <c r="EK35439"/>
    </row>
    <row r="35440" spans="1:141" s="116" customFormat="1">
      <c r="A35440" s="136"/>
      <c r="CM35440" s="111"/>
      <c r="CQ35440" s="111"/>
      <c r="EF35440"/>
      <c r="EG35440"/>
      <c r="EH35440"/>
      <c r="EI35440"/>
      <c r="EJ35440"/>
      <c r="EK35440"/>
    </row>
    <row r="35441" spans="1:141" s="116" customFormat="1">
      <c r="A35441" s="136"/>
      <c r="CM35441" s="111"/>
      <c r="CQ35441" s="111"/>
      <c r="EF35441"/>
      <c r="EG35441"/>
      <c r="EH35441"/>
      <c r="EI35441"/>
      <c r="EJ35441"/>
      <c r="EK35441"/>
    </row>
    <row r="35442" spans="1:141" s="116" customFormat="1">
      <c r="A35442" s="136"/>
      <c r="CM35442" s="111"/>
      <c r="CQ35442" s="111"/>
      <c r="EF35442"/>
      <c r="EG35442"/>
      <c r="EH35442"/>
      <c r="EI35442"/>
      <c r="EJ35442"/>
      <c r="EK35442"/>
    </row>
    <row r="35443" spans="1:141" s="116" customFormat="1">
      <c r="A35443" s="136"/>
      <c r="CM35443" s="111"/>
      <c r="CQ35443" s="111"/>
      <c r="EF35443"/>
      <c r="EG35443"/>
      <c r="EH35443"/>
      <c r="EI35443"/>
      <c r="EJ35443"/>
      <c r="EK35443"/>
    </row>
    <row r="35444" spans="1:141" s="116" customFormat="1">
      <c r="A35444" s="136"/>
      <c r="CM35444" s="111"/>
      <c r="CQ35444" s="111"/>
      <c r="EF35444"/>
      <c r="EG35444"/>
      <c r="EH35444"/>
      <c r="EI35444"/>
      <c r="EJ35444"/>
      <c r="EK35444"/>
    </row>
    <row r="35445" spans="1:141" s="116" customFormat="1">
      <c r="A35445" s="136"/>
      <c r="CM35445" s="111"/>
      <c r="CQ35445" s="111"/>
      <c r="EF35445"/>
      <c r="EG35445"/>
      <c r="EH35445"/>
      <c r="EI35445"/>
      <c r="EJ35445"/>
      <c r="EK35445"/>
    </row>
    <row r="35446" spans="1:141" s="116" customFormat="1">
      <c r="A35446" s="136"/>
      <c r="CM35446" s="111"/>
      <c r="CQ35446" s="111"/>
      <c r="EF35446"/>
      <c r="EG35446"/>
      <c r="EH35446"/>
      <c r="EI35446"/>
      <c r="EJ35446"/>
      <c r="EK35446"/>
    </row>
    <row r="35447" spans="1:141" s="116" customFormat="1">
      <c r="A35447" s="136"/>
      <c r="CM35447" s="111"/>
      <c r="CQ35447" s="111"/>
      <c r="EF35447"/>
      <c r="EG35447"/>
      <c r="EH35447"/>
      <c r="EI35447"/>
      <c r="EJ35447"/>
      <c r="EK35447"/>
    </row>
    <row r="35448" spans="1:141" s="116" customFormat="1">
      <c r="A35448" s="136"/>
      <c r="CM35448" s="111"/>
      <c r="CQ35448" s="111"/>
      <c r="EF35448"/>
      <c r="EG35448"/>
      <c r="EH35448"/>
      <c r="EI35448"/>
      <c r="EJ35448"/>
      <c r="EK35448"/>
    </row>
    <row r="35449" spans="1:141" s="116" customFormat="1">
      <c r="A35449" s="136"/>
      <c r="CM35449" s="111"/>
      <c r="CQ35449" s="111"/>
      <c r="EF35449"/>
      <c r="EG35449"/>
      <c r="EH35449"/>
      <c r="EI35449"/>
      <c r="EJ35449"/>
      <c r="EK35449"/>
    </row>
    <row r="35450" spans="1:141" s="116" customFormat="1">
      <c r="A35450" s="136"/>
      <c r="CM35450" s="111"/>
      <c r="CQ35450" s="111"/>
      <c r="EF35450"/>
      <c r="EG35450"/>
      <c r="EH35450"/>
      <c r="EI35450"/>
      <c r="EJ35450"/>
      <c r="EK35450"/>
    </row>
    <row r="35451" spans="1:141" s="116" customFormat="1">
      <c r="A35451" s="136"/>
      <c r="CM35451" s="111"/>
      <c r="CQ35451" s="111"/>
      <c r="EF35451"/>
      <c r="EG35451"/>
      <c r="EH35451"/>
      <c r="EI35451"/>
      <c r="EJ35451"/>
      <c r="EK35451"/>
    </row>
    <row r="35452" spans="1:141" s="116" customFormat="1">
      <c r="A35452" s="136"/>
      <c r="CM35452" s="111"/>
      <c r="CQ35452" s="111"/>
      <c r="EF35452"/>
      <c r="EG35452"/>
      <c r="EH35452"/>
      <c r="EI35452"/>
      <c r="EJ35452"/>
      <c r="EK35452"/>
    </row>
    <row r="35453" spans="1:141" s="116" customFormat="1">
      <c r="A35453" s="136"/>
      <c r="CM35453" s="111"/>
      <c r="CQ35453" s="111"/>
      <c r="EF35453"/>
      <c r="EG35453"/>
      <c r="EH35453"/>
      <c r="EI35453"/>
      <c r="EJ35453"/>
      <c r="EK35453"/>
    </row>
    <row r="35454" spans="1:141" s="116" customFormat="1">
      <c r="A35454" s="136"/>
      <c r="CM35454" s="111"/>
      <c r="CQ35454" s="111"/>
      <c r="EF35454"/>
      <c r="EG35454"/>
      <c r="EH35454"/>
      <c r="EI35454"/>
      <c r="EJ35454"/>
      <c r="EK35454"/>
    </row>
    <row r="35455" spans="1:141" s="116" customFormat="1">
      <c r="A35455" s="136"/>
      <c r="CM35455" s="111"/>
      <c r="CQ35455" s="111"/>
      <c r="EF35455"/>
      <c r="EG35455"/>
      <c r="EH35455"/>
      <c r="EI35455"/>
      <c r="EJ35455"/>
      <c r="EK35455"/>
    </row>
    <row r="35456" spans="1:141" s="116" customFormat="1">
      <c r="A35456" s="136"/>
      <c r="CM35456" s="111"/>
      <c r="CQ35456" s="111"/>
      <c r="EF35456"/>
      <c r="EG35456"/>
      <c r="EH35456"/>
      <c r="EI35456"/>
      <c r="EJ35456"/>
      <c r="EK35456"/>
    </row>
    <row r="35457" spans="1:141" s="116" customFormat="1">
      <c r="A35457" s="136"/>
      <c r="CM35457" s="111"/>
      <c r="CQ35457" s="111"/>
      <c r="EF35457"/>
      <c r="EG35457"/>
      <c r="EH35457"/>
      <c r="EI35457"/>
      <c r="EJ35457"/>
      <c r="EK35457"/>
    </row>
    <row r="35458" spans="1:141" s="116" customFormat="1">
      <c r="A35458" s="136"/>
      <c r="CM35458" s="111"/>
      <c r="CQ35458" s="111"/>
      <c r="EF35458"/>
      <c r="EG35458"/>
      <c r="EH35458"/>
      <c r="EI35458"/>
      <c r="EJ35458"/>
      <c r="EK35458"/>
    </row>
    <row r="35459" spans="1:141" s="116" customFormat="1">
      <c r="A35459" s="136"/>
      <c r="CM35459" s="111"/>
      <c r="CQ35459" s="111"/>
      <c r="EF35459"/>
      <c r="EG35459"/>
      <c r="EH35459"/>
      <c r="EI35459"/>
      <c r="EJ35459"/>
      <c r="EK35459"/>
    </row>
    <row r="35460" spans="1:141" s="116" customFormat="1">
      <c r="A35460" s="136"/>
      <c r="CM35460" s="111"/>
      <c r="CQ35460" s="111"/>
      <c r="EF35460"/>
      <c r="EG35460"/>
      <c r="EH35460"/>
      <c r="EI35460"/>
      <c r="EJ35460"/>
      <c r="EK35460"/>
    </row>
    <row r="35461" spans="1:141" s="116" customFormat="1">
      <c r="A35461" s="136"/>
      <c r="CM35461" s="111"/>
      <c r="CQ35461" s="111"/>
      <c r="EF35461"/>
      <c r="EG35461"/>
      <c r="EH35461"/>
      <c r="EI35461"/>
      <c r="EJ35461"/>
      <c r="EK35461"/>
    </row>
    <row r="35462" spans="1:141" s="116" customFormat="1">
      <c r="A35462" s="136"/>
      <c r="CM35462" s="111"/>
      <c r="CQ35462" s="111"/>
      <c r="EF35462"/>
      <c r="EG35462"/>
      <c r="EH35462"/>
      <c r="EI35462"/>
      <c r="EJ35462"/>
      <c r="EK35462"/>
    </row>
    <row r="35463" spans="1:141" s="116" customFormat="1">
      <c r="A35463" s="136"/>
      <c r="CM35463" s="111"/>
      <c r="CQ35463" s="111"/>
      <c r="EF35463"/>
      <c r="EG35463"/>
      <c r="EH35463"/>
      <c r="EI35463"/>
      <c r="EJ35463"/>
      <c r="EK35463"/>
    </row>
    <row r="35464" spans="1:141" s="116" customFormat="1">
      <c r="A35464" s="136"/>
      <c r="CM35464" s="111"/>
      <c r="CQ35464" s="111"/>
      <c r="EF35464"/>
      <c r="EG35464"/>
      <c r="EH35464"/>
      <c r="EI35464"/>
      <c r="EJ35464"/>
      <c r="EK35464"/>
    </row>
    <row r="35465" spans="1:141" s="116" customFormat="1">
      <c r="A35465" s="136"/>
      <c r="CM35465" s="111"/>
      <c r="CQ35465" s="111"/>
      <c r="EF35465"/>
      <c r="EG35465"/>
      <c r="EH35465"/>
      <c r="EI35465"/>
      <c r="EJ35465"/>
      <c r="EK35465"/>
    </row>
    <row r="35466" spans="1:141" s="116" customFormat="1">
      <c r="A35466" s="136"/>
      <c r="CM35466" s="111"/>
      <c r="CQ35466" s="111"/>
      <c r="EF35466"/>
      <c r="EG35466"/>
      <c r="EH35466"/>
      <c r="EI35466"/>
      <c r="EJ35466"/>
      <c r="EK35466"/>
    </row>
    <row r="35467" spans="1:141" s="116" customFormat="1">
      <c r="A35467" s="136"/>
      <c r="CM35467" s="111"/>
      <c r="CQ35467" s="111"/>
      <c r="EF35467"/>
      <c r="EG35467"/>
      <c r="EH35467"/>
      <c r="EI35467"/>
      <c r="EJ35467"/>
      <c r="EK35467"/>
    </row>
    <row r="35468" spans="1:141" s="116" customFormat="1">
      <c r="A35468" s="136"/>
      <c r="CM35468" s="111"/>
      <c r="CQ35468" s="111"/>
      <c r="EF35468"/>
      <c r="EG35468"/>
      <c r="EH35468"/>
      <c r="EI35468"/>
      <c r="EJ35468"/>
      <c r="EK35468"/>
    </row>
    <row r="35469" spans="1:141" s="116" customFormat="1">
      <c r="A35469" s="136"/>
      <c r="CM35469" s="111"/>
      <c r="CQ35469" s="111"/>
      <c r="EF35469"/>
      <c r="EG35469"/>
      <c r="EH35469"/>
      <c r="EI35469"/>
      <c r="EJ35469"/>
      <c r="EK35469"/>
    </row>
    <row r="35470" spans="1:141" s="116" customFormat="1">
      <c r="A35470" s="136"/>
      <c r="CM35470" s="111"/>
      <c r="CQ35470" s="111"/>
      <c r="EF35470"/>
      <c r="EG35470"/>
      <c r="EH35470"/>
      <c r="EI35470"/>
      <c r="EJ35470"/>
      <c r="EK35470"/>
    </row>
    <row r="35471" spans="1:141" s="116" customFormat="1">
      <c r="A35471" s="136"/>
      <c r="CM35471" s="111"/>
      <c r="CQ35471" s="111"/>
      <c r="EF35471"/>
      <c r="EG35471"/>
      <c r="EH35471"/>
      <c r="EI35471"/>
      <c r="EJ35471"/>
      <c r="EK35471"/>
    </row>
    <row r="35472" spans="1:141" s="116" customFormat="1">
      <c r="A35472" s="136"/>
      <c r="CM35472" s="111"/>
      <c r="CQ35472" s="111"/>
      <c r="EF35472"/>
      <c r="EG35472"/>
      <c r="EH35472"/>
      <c r="EI35472"/>
      <c r="EJ35472"/>
      <c r="EK35472"/>
    </row>
    <row r="35473" spans="1:141" s="116" customFormat="1">
      <c r="A35473" s="136"/>
      <c r="CM35473" s="111"/>
      <c r="CQ35473" s="111"/>
      <c r="EF35473"/>
      <c r="EG35473"/>
      <c r="EH35473"/>
      <c r="EI35473"/>
      <c r="EJ35473"/>
      <c r="EK35473"/>
    </row>
    <row r="35474" spans="1:141" s="116" customFormat="1">
      <c r="A35474" s="136"/>
      <c r="CM35474" s="111"/>
      <c r="CQ35474" s="111"/>
      <c r="EF35474"/>
      <c r="EG35474"/>
      <c r="EH35474"/>
      <c r="EI35474"/>
      <c r="EJ35474"/>
      <c r="EK35474"/>
    </row>
    <row r="35475" spans="1:141" s="116" customFormat="1">
      <c r="A35475" s="136"/>
      <c r="CM35475" s="111"/>
      <c r="CQ35475" s="111"/>
      <c r="EF35475"/>
      <c r="EG35475"/>
      <c r="EH35475"/>
      <c r="EI35475"/>
      <c r="EJ35475"/>
      <c r="EK35475"/>
    </row>
    <row r="35476" spans="1:141" s="116" customFormat="1">
      <c r="A35476" s="136"/>
      <c r="CM35476" s="111"/>
      <c r="CQ35476" s="111"/>
      <c r="EF35476"/>
      <c r="EG35476"/>
      <c r="EH35476"/>
      <c r="EI35476"/>
      <c r="EJ35476"/>
      <c r="EK35476"/>
    </row>
    <row r="35477" spans="1:141" s="116" customFormat="1">
      <c r="A35477" s="136"/>
      <c r="CM35477" s="111"/>
      <c r="CQ35477" s="111"/>
      <c r="EF35477"/>
      <c r="EG35477"/>
      <c r="EH35477"/>
      <c r="EI35477"/>
      <c r="EJ35477"/>
      <c r="EK35477"/>
    </row>
    <row r="35478" spans="1:141" s="116" customFormat="1">
      <c r="A35478" s="136"/>
      <c r="CM35478" s="111"/>
      <c r="CQ35478" s="111"/>
      <c r="EF35478"/>
      <c r="EG35478"/>
      <c r="EH35478"/>
      <c r="EI35478"/>
      <c r="EJ35478"/>
      <c r="EK35478"/>
    </row>
    <row r="35479" spans="1:141" s="116" customFormat="1">
      <c r="A35479" s="136"/>
      <c r="CM35479" s="111"/>
      <c r="CQ35479" s="111"/>
      <c r="EF35479"/>
      <c r="EG35479"/>
      <c r="EH35479"/>
      <c r="EI35479"/>
      <c r="EJ35479"/>
      <c r="EK35479"/>
    </row>
    <row r="35480" spans="1:141" s="116" customFormat="1">
      <c r="A35480" s="136"/>
      <c r="CM35480" s="111"/>
      <c r="CQ35480" s="111"/>
      <c r="EF35480"/>
      <c r="EG35480"/>
      <c r="EH35480"/>
      <c r="EI35480"/>
      <c r="EJ35480"/>
      <c r="EK35480"/>
    </row>
    <row r="35481" spans="1:141" s="116" customFormat="1">
      <c r="A35481" s="136"/>
      <c r="CM35481" s="111"/>
      <c r="CQ35481" s="111"/>
      <c r="EF35481"/>
      <c r="EG35481"/>
      <c r="EH35481"/>
      <c r="EI35481"/>
      <c r="EJ35481"/>
      <c r="EK35481"/>
    </row>
    <row r="35482" spans="1:141" s="116" customFormat="1">
      <c r="A35482" s="136"/>
      <c r="CM35482" s="111"/>
      <c r="CQ35482" s="111"/>
      <c r="EF35482"/>
      <c r="EG35482"/>
      <c r="EH35482"/>
      <c r="EI35482"/>
      <c r="EJ35482"/>
      <c r="EK35482"/>
    </row>
    <row r="35483" spans="1:141" s="116" customFormat="1">
      <c r="A35483" s="136"/>
      <c r="CM35483" s="111"/>
      <c r="CQ35483" s="111"/>
      <c r="EF35483"/>
      <c r="EG35483"/>
      <c r="EH35483"/>
      <c r="EI35483"/>
      <c r="EJ35483"/>
      <c r="EK35483"/>
    </row>
    <row r="35484" spans="1:141" s="116" customFormat="1">
      <c r="A35484" s="136"/>
      <c r="CM35484" s="111"/>
      <c r="CQ35484" s="111"/>
      <c r="EF35484"/>
      <c r="EG35484"/>
      <c r="EH35484"/>
      <c r="EI35484"/>
      <c r="EJ35484"/>
      <c r="EK35484"/>
    </row>
    <row r="35485" spans="1:141" s="116" customFormat="1">
      <c r="A35485" s="136"/>
      <c r="CM35485" s="111"/>
      <c r="CQ35485" s="111"/>
      <c r="EF35485"/>
      <c r="EG35485"/>
      <c r="EH35485"/>
      <c r="EI35485"/>
      <c r="EJ35485"/>
      <c r="EK35485"/>
    </row>
    <row r="35486" spans="1:141" s="116" customFormat="1">
      <c r="A35486" s="136"/>
      <c r="CM35486" s="111"/>
      <c r="CQ35486" s="111"/>
      <c r="EF35486"/>
      <c r="EG35486"/>
      <c r="EH35486"/>
      <c r="EI35486"/>
      <c r="EJ35486"/>
      <c r="EK35486"/>
    </row>
    <row r="35487" spans="1:141" s="116" customFormat="1">
      <c r="A35487" s="136"/>
      <c r="CM35487" s="111"/>
      <c r="CQ35487" s="111"/>
      <c r="EF35487"/>
      <c r="EG35487"/>
      <c r="EH35487"/>
      <c r="EI35487"/>
      <c r="EJ35487"/>
      <c r="EK35487"/>
    </row>
    <row r="35488" spans="1:141" s="116" customFormat="1">
      <c r="A35488" s="136"/>
      <c r="CM35488" s="111"/>
      <c r="CQ35488" s="111"/>
      <c r="EF35488"/>
      <c r="EG35488"/>
      <c r="EH35488"/>
      <c r="EI35488"/>
      <c r="EJ35488"/>
      <c r="EK35488"/>
    </row>
    <row r="35489" spans="1:141" s="116" customFormat="1">
      <c r="A35489" s="136"/>
      <c r="CM35489" s="111"/>
      <c r="CQ35489" s="111"/>
      <c r="EF35489"/>
      <c r="EG35489"/>
      <c r="EH35489"/>
      <c r="EI35489"/>
      <c r="EJ35489"/>
      <c r="EK35489"/>
    </row>
    <row r="35490" spans="1:141" s="116" customFormat="1">
      <c r="A35490" s="136"/>
      <c r="CM35490" s="111"/>
      <c r="CQ35490" s="111"/>
      <c r="EF35490"/>
      <c r="EG35490"/>
      <c r="EH35490"/>
      <c r="EI35490"/>
      <c r="EJ35490"/>
      <c r="EK35490"/>
    </row>
    <row r="35491" spans="1:141" s="116" customFormat="1">
      <c r="A35491" s="136"/>
      <c r="CM35491" s="111"/>
      <c r="CQ35491" s="111"/>
      <c r="EF35491"/>
      <c r="EG35491"/>
      <c r="EH35491"/>
      <c r="EI35491"/>
      <c r="EJ35491"/>
      <c r="EK35491"/>
    </row>
    <row r="35492" spans="1:141" s="116" customFormat="1">
      <c r="A35492" s="136"/>
      <c r="CM35492" s="111"/>
      <c r="CQ35492" s="111"/>
      <c r="EF35492"/>
      <c r="EG35492"/>
      <c r="EH35492"/>
      <c r="EI35492"/>
      <c r="EJ35492"/>
      <c r="EK35492"/>
    </row>
    <row r="35493" spans="1:141" s="116" customFormat="1">
      <c r="A35493" s="136"/>
      <c r="CM35493" s="111"/>
      <c r="CQ35493" s="111"/>
      <c r="EF35493"/>
      <c r="EG35493"/>
      <c r="EH35493"/>
      <c r="EI35493"/>
      <c r="EJ35493"/>
      <c r="EK35493"/>
    </row>
    <row r="35494" spans="1:141" s="116" customFormat="1">
      <c r="A35494" s="136"/>
      <c r="CM35494" s="111"/>
      <c r="CQ35494" s="111"/>
      <c r="EF35494"/>
      <c r="EG35494"/>
      <c r="EH35494"/>
      <c r="EI35494"/>
      <c r="EJ35494"/>
      <c r="EK35494"/>
    </row>
    <row r="35495" spans="1:141" s="116" customFormat="1">
      <c r="A35495" s="136"/>
      <c r="CM35495" s="111"/>
      <c r="CQ35495" s="111"/>
      <c r="EF35495"/>
      <c r="EG35495"/>
      <c r="EH35495"/>
      <c r="EI35495"/>
      <c r="EJ35495"/>
      <c r="EK35495"/>
    </row>
    <row r="35496" spans="1:141" s="116" customFormat="1">
      <c r="A35496" s="136"/>
      <c r="CM35496" s="111"/>
      <c r="CQ35496" s="111"/>
      <c r="EF35496"/>
      <c r="EG35496"/>
      <c r="EH35496"/>
      <c r="EI35496"/>
      <c r="EJ35496"/>
      <c r="EK35496"/>
    </row>
    <row r="35497" spans="1:141" s="116" customFormat="1">
      <c r="A35497" s="136"/>
      <c r="CM35497" s="111"/>
      <c r="CQ35497" s="111"/>
      <c r="EF35497"/>
      <c r="EG35497"/>
      <c r="EH35497"/>
      <c r="EI35497"/>
      <c r="EJ35497"/>
      <c r="EK35497"/>
    </row>
    <row r="35498" spans="1:141" s="116" customFormat="1">
      <c r="A35498" s="136"/>
      <c r="CM35498" s="111"/>
      <c r="CQ35498" s="111"/>
      <c r="EF35498"/>
      <c r="EG35498"/>
      <c r="EH35498"/>
      <c r="EI35498"/>
      <c r="EJ35498"/>
      <c r="EK35498"/>
    </row>
    <row r="35499" spans="1:141" s="116" customFormat="1">
      <c r="A35499" s="136"/>
      <c r="CM35499" s="111"/>
      <c r="CQ35499" s="111"/>
      <c r="EF35499"/>
      <c r="EG35499"/>
      <c r="EH35499"/>
      <c r="EI35499"/>
      <c r="EJ35499"/>
      <c r="EK35499"/>
    </row>
    <row r="35500" spans="1:141" s="116" customFormat="1">
      <c r="A35500" s="136"/>
      <c r="CM35500" s="111"/>
      <c r="CQ35500" s="111"/>
      <c r="EF35500"/>
      <c r="EG35500"/>
      <c r="EH35500"/>
      <c r="EI35500"/>
      <c r="EJ35500"/>
      <c r="EK35500"/>
    </row>
    <row r="35501" spans="1:141" s="116" customFormat="1">
      <c r="A35501" s="136"/>
      <c r="CM35501" s="111"/>
      <c r="CQ35501" s="111"/>
      <c r="EF35501"/>
      <c r="EG35501"/>
      <c r="EH35501"/>
      <c r="EI35501"/>
      <c r="EJ35501"/>
      <c r="EK35501"/>
    </row>
    <row r="35502" spans="1:141" s="116" customFormat="1">
      <c r="A35502" s="136"/>
      <c r="CM35502" s="111"/>
      <c r="CQ35502" s="111"/>
      <c r="EF35502"/>
      <c r="EG35502"/>
      <c r="EH35502"/>
      <c r="EI35502"/>
      <c r="EJ35502"/>
      <c r="EK35502"/>
    </row>
    <row r="35503" spans="1:141" s="116" customFormat="1">
      <c r="A35503" s="136"/>
      <c r="CM35503" s="111"/>
      <c r="CQ35503" s="111"/>
      <c r="EF35503"/>
      <c r="EG35503"/>
      <c r="EH35503"/>
      <c r="EI35503"/>
      <c r="EJ35503"/>
      <c r="EK35503"/>
    </row>
    <row r="35504" spans="1:141" s="116" customFormat="1">
      <c r="A35504" s="136"/>
      <c r="CM35504" s="111"/>
      <c r="CQ35504" s="111"/>
      <c r="EF35504"/>
      <c r="EG35504"/>
      <c r="EH35504"/>
      <c r="EI35504"/>
      <c r="EJ35504"/>
      <c r="EK35504"/>
    </row>
    <row r="35505" spans="1:141" s="116" customFormat="1">
      <c r="A35505" s="136"/>
      <c r="CM35505" s="111"/>
      <c r="CQ35505" s="111"/>
      <c r="EF35505"/>
      <c r="EG35505"/>
      <c r="EH35505"/>
      <c r="EI35505"/>
      <c r="EJ35505"/>
      <c r="EK35505"/>
    </row>
    <row r="35506" spans="1:141" s="116" customFormat="1">
      <c r="A35506" s="136"/>
      <c r="CM35506" s="111"/>
      <c r="CQ35506" s="111"/>
      <c r="EF35506"/>
      <c r="EG35506"/>
      <c r="EH35506"/>
      <c r="EI35506"/>
      <c r="EJ35506"/>
      <c r="EK35506"/>
    </row>
    <row r="35507" spans="1:141" s="116" customFormat="1">
      <c r="A35507" s="136"/>
      <c r="CM35507" s="111"/>
      <c r="CQ35507" s="111"/>
      <c r="EF35507"/>
      <c r="EG35507"/>
      <c r="EH35507"/>
      <c r="EI35507"/>
      <c r="EJ35507"/>
      <c r="EK35507"/>
    </row>
    <row r="35508" spans="1:141" s="116" customFormat="1">
      <c r="A35508" s="136"/>
      <c r="CM35508" s="111"/>
      <c r="CQ35508" s="111"/>
      <c r="EF35508"/>
      <c r="EG35508"/>
      <c r="EH35508"/>
      <c r="EI35508"/>
      <c r="EJ35508"/>
      <c r="EK35508"/>
    </row>
    <row r="35509" spans="1:141" s="116" customFormat="1">
      <c r="A35509" s="136"/>
      <c r="CM35509" s="111"/>
      <c r="CQ35509" s="111"/>
      <c r="EF35509"/>
      <c r="EG35509"/>
      <c r="EH35509"/>
      <c r="EI35509"/>
      <c r="EJ35509"/>
      <c r="EK35509"/>
    </row>
    <row r="35510" spans="1:141" s="116" customFormat="1">
      <c r="A35510" s="136"/>
      <c r="CM35510" s="111"/>
      <c r="CQ35510" s="111"/>
      <c r="EF35510"/>
      <c r="EG35510"/>
      <c r="EH35510"/>
      <c r="EI35510"/>
      <c r="EJ35510"/>
      <c r="EK35510"/>
    </row>
    <row r="35511" spans="1:141" s="116" customFormat="1">
      <c r="A35511" s="136"/>
      <c r="CM35511" s="111"/>
      <c r="CQ35511" s="111"/>
      <c r="EF35511"/>
      <c r="EG35511"/>
      <c r="EH35511"/>
      <c r="EI35511"/>
      <c r="EJ35511"/>
      <c r="EK35511"/>
    </row>
    <row r="35512" spans="1:141" s="116" customFormat="1">
      <c r="A35512" s="136"/>
      <c r="CM35512" s="111"/>
      <c r="CQ35512" s="111"/>
      <c r="EF35512"/>
      <c r="EG35512"/>
      <c r="EH35512"/>
      <c r="EI35512"/>
      <c r="EJ35512"/>
      <c r="EK35512"/>
    </row>
    <row r="35513" spans="1:141" s="116" customFormat="1">
      <c r="A35513" s="136"/>
      <c r="CM35513" s="111"/>
      <c r="CQ35513" s="111"/>
      <c r="EF35513"/>
      <c r="EG35513"/>
      <c r="EH35513"/>
      <c r="EI35513"/>
      <c r="EJ35513"/>
      <c r="EK35513"/>
    </row>
    <row r="35514" spans="1:141" s="116" customFormat="1">
      <c r="A35514" s="136"/>
      <c r="CM35514" s="111"/>
      <c r="CQ35514" s="111"/>
      <c r="EF35514"/>
      <c r="EG35514"/>
      <c r="EH35514"/>
      <c r="EI35514"/>
      <c r="EJ35514"/>
      <c r="EK35514"/>
    </row>
    <row r="35515" spans="1:141" s="116" customFormat="1">
      <c r="A35515" s="136"/>
      <c r="CM35515" s="111"/>
      <c r="CQ35515" s="111"/>
      <c r="EF35515"/>
      <c r="EG35515"/>
      <c r="EH35515"/>
      <c r="EI35515"/>
      <c r="EJ35515"/>
      <c r="EK35515"/>
    </row>
    <row r="35516" spans="1:141" s="116" customFormat="1">
      <c r="A35516" s="136"/>
      <c r="CM35516" s="111"/>
      <c r="CQ35516" s="111"/>
      <c r="EF35516"/>
      <c r="EG35516"/>
      <c r="EH35516"/>
      <c r="EI35516"/>
      <c r="EJ35516"/>
      <c r="EK35516"/>
    </row>
    <row r="35517" spans="1:141" s="116" customFormat="1">
      <c r="A35517" s="136"/>
      <c r="CM35517" s="111"/>
      <c r="CQ35517" s="111"/>
      <c r="EF35517"/>
      <c r="EG35517"/>
      <c r="EH35517"/>
      <c r="EI35517"/>
      <c r="EJ35517"/>
      <c r="EK35517"/>
    </row>
    <row r="35518" spans="1:141" s="116" customFormat="1">
      <c r="A35518" s="136"/>
      <c r="CM35518" s="111"/>
      <c r="CQ35518" s="111"/>
      <c r="EF35518"/>
      <c r="EG35518"/>
      <c r="EH35518"/>
      <c r="EI35518"/>
      <c r="EJ35518"/>
      <c r="EK35518"/>
    </row>
    <row r="35519" spans="1:141" s="116" customFormat="1">
      <c r="A35519" s="136"/>
      <c r="CM35519" s="111"/>
      <c r="CQ35519" s="111"/>
      <c r="EF35519"/>
      <c r="EG35519"/>
      <c r="EH35519"/>
      <c r="EI35519"/>
      <c r="EJ35519"/>
      <c r="EK35519"/>
    </row>
    <row r="35520" spans="1:141" s="116" customFormat="1">
      <c r="A35520" s="136"/>
      <c r="CM35520" s="111"/>
      <c r="CQ35520" s="111"/>
      <c r="EF35520"/>
      <c r="EG35520"/>
      <c r="EH35520"/>
      <c r="EI35520"/>
      <c r="EJ35520"/>
      <c r="EK35520"/>
    </row>
    <row r="35521" spans="1:141" s="116" customFormat="1">
      <c r="A35521" s="136"/>
      <c r="CM35521" s="111"/>
      <c r="CQ35521" s="111"/>
      <c r="EF35521"/>
      <c r="EG35521"/>
      <c r="EH35521"/>
      <c r="EI35521"/>
      <c r="EJ35521"/>
      <c r="EK35521"/>
    </row>
    <row r="35522" spans="1:141" s="116" customFormat="1">
      <c r="A35522" s="136"/>
      <c r="CM35522" s="111"/>
      <c r="CQ35522" s="111"/>
      <c r="EF35522"/>
      <c r="EG35522"/>
      <c r="EH35522"/>
      <c r="EI35522"/>
      <c r="EJ35522"/>
      <c r="EK35522"/>
    </row>
    <row r="35523" spans="1:141" s="116" customFormat="1">
      <c r="A35523" s="136"/>
      <c r="CM35523" s="111"/>
      <c r="CQ35523" s="111"/>
      <c r="EF35523"/>
      <c r="EG35523"/>
      <c r="EH35523"/>
      <c r="EI35523"/>
      <c r="EJ35523"/>
      <c r="EK35523"/>
    </row>
    <row r="35524" spans="1:141" s="116" customFormat="1">
      <c r="A35524" s="136"/>
      <c r="CM35524" s="111"/>
      <c r="CQ35524" s="111"/>
      <c r="EF35524"/>
      <c r="EG35524"/>
      <c r="EH35524"/>
      <c r="EI35524"/>
      <c r="EJ35524"/>
      <c r="EK35524"/>
    </row>
    <row r="35525" spans="1:141" s="116" customFormat="1">
      <c r="A35525" s="136"/>
      <c r="CM35525" s="111"/>
      <c r="CQ35525" s="111"/>
      <c r="EF35525"/>
      <c r="EG35525"/>
      <c r="EH35525"/>
      <c r="EI35525"/>
      <c r="EJ35525"/>
      <c r="EK35525"/>
    </row>
    <row r="35526" spans="1:141" s="116" customFormat="1">
      <c r="A35526" s="136"/>
      <c r="CM35526" s="111"/>
      <c r="CQ35526" s="111"/>
      <c r="EF35526"/>
      <c r="EG35526"/>
      <c r="EH35526"/>
      <c r="EI35526"/>
      <c r="EJ35526"/>
      <c r="EK35526"/>
    </row>
    <row r="35527" spans="1:141" s="116" customFormat="1">
      <c r="A35527" s="136"/>
      <c r="CM35527" s="111"/>
      <c r="CQ35527" s="111"/>
      <c r="EF35527"/>
      <c r="EG35527"/>
      <c r="EH35527"/>
      <c r="EI35527"/>
      <c r="EJ35527"/>
      <c r="EK35527"/>
    </row>
    <row r="35528" spans="1:141" s="116" customFormat="1">
      <c r="A35528" s="136"/>
      <c r="CM35528" s="111"/>
      <c r="CQ35528" s="111"/>
      <c r="EF35528"/>
      <c r="EG35528"/>
      <c r="EH35528"/>
      <c r="EI35528"/>
      <c r="EJ35528"/>
      <c r="EK35528"/>
    </row>
    <row r="35529" spans="1:141" s="116" customFormat="1">
      <c r="A35529" s="136"/>
      <c r="CM35529" s="111"/>
      <c r="CQ35529" s="111"/>
      <c r="EF35529"/>
      <c r="EG35529"/>
      <c r="EH35529"/>
      <c r="EI35529"/>
      <c r="EJ35529"/>
      <c r="EK35529"/>
    </row>
    <row r="35530" spans="1:141" s="116" customFormat="1">
      <c r="A35530" s="136"/>
      <c r="CM35530" s="111"/>
      <c r="CQ35530" s="111"/>
      <c r="EF35530"/>
      <c r="EG35530"/>
      <c r="EH35530"/>
      <c r="EI35530"/>
      <c r="EJ35530"/>
      <c r="EK35530"/>
    </row>
    <row r="35531" spans="1:141" s="116" customFormat="1">
      <c r="A35531" s="136"/>
      <c r="CM35531" s="111"/>
      <c r="CQ35531" s="111"/>
      <c r="EF35531"/>
      <c r="EG35531"/>
      <c r="EH35531"/>
      <c r="EI35531"/>
      <c r="EJ35531"/>
      <c r="EK35531"/>
    </row>
    <row r="35532" spans="1:141" s="116" customFormat="1">
      <c r="A35532" s="136"/>
      <c r="CM35532" s="111"/>
      <c r="CQ35532" s="111"/>
      <c r="EF35532"/>
      <c r="EG35532"/>
      <c r="EH35532"/>
      <c r="EI35532"/>
      <c r="EJ35532"/>
      <c r="EK35532"/>
    </row>
    <row r="35533" spans="1:141" s="116" customFormat="1">
      <c r="A35533" s="136"/>
      <c r="CM35533" s="111"/>
      <c r="CQ35533" s="111"/>
      <c r="EF35533"/>
      <c r="EG35533"/>
      <c r="EH35533"/>
      <c r="EI35533"/>
      <c r="EJ35533"/>
      <c r="EK35533"/>
    </row>
    <row r="35534" spans="1:141" s="116" customFormat="1">
      <c r="A35534" s="136"/>
      <c r="CM35534" s="111"/>
      <c r="CQ35534" s="111"/>
      <c r="EF35534"/>
      <c r="EG35534"/>
      <c r="EH35534"/>
      <c r="EI35534"/>
      <c r="EJ35534"/>
      <c r="EK35534"/>
    </row>
    <row r="35535" spans="1:141" s="116" customFormat="1">
      <c r="A35535" s="136"/>
      <c r="CM35535" s="111"/>
      <c r="CQ35535" s="111"/>
      <c r="EF35535"/>
      <c r="EG35535"/>
      <c r="EH35535"/>
      <c r="EI35535"/>
      <c r="EJ35535"/>
      <c r="EK35535"/>
    </row>
    <row r="35536" spans="1:141" s="116" customFormat="1">
      <c r="A35536" s="136"/>
      <c r="CM35536" s="111"/>
      <c r="CQ35536" s="111"/>
      <c r="EF35536"/>
      <c r="EG35536"/>
      <c r="EH35536"/>
      <c r="EI35536"/>
      <c r="EJ35536"/>
      <c r="EK35536"/>
    </row>
    <row r="35537" spans="1:141" s="116" customFormat="1">
      <c r="A35537" s="136"/>
      <c r="CM35537" s="111"/>
      <c r="CQ35537" s="111"/>
      <c r="EF35537"/>
      <c r="EG35537"/>
      <c r="EH35537"/>
      <c r="EI35537"/>
      <c r="EJ35537"/>
      <c r="EK35537"/>
    </row>
    <row r="35538" spans="1:141" s="116" customFormat="1">
      <c r="A35538" s="136"/>
      <c r="CM35538" s="111"/>
      <c r="CQ35538" s="111"/>
      <c r="EF35538"/>
      <c r="EG35538"/>
      <c r="EH35538"/>
      <c r="EI35538"/>
      <c r="EJ35538"/>
      <c r="EK35538"/>
    </row>
    <row r="35539" spans="1:141" s="116" customFormat="1">
      <c r="A35539" s="136"/>
      <c r="CM35539" s="111"/>
      <c r="CQ35539" s="111"/>
      <c r="EF35539"/>
      <c r="EG35539"/>
      <c r="EH35539"/>
      <c r="EI35539"/>
      <c r="EJ35539"/>
      <c r="EK35539"/>
    </row>
    <row r="35540" spans="1:141" s="116" customFormat="1">
      <c r="A35540" s="136"/>
      <c r="CM35540" s="111"/>
      <c r="CQ35540" s="111"/>
      <c r="EF35540"/>
      <c r="EG35540"/>
      <c r="EH35540"/>
      <c r="EI35540"/>
      <c r="EJ35540"/>
      <c r="EK35540"/>
    </row>
    <row r="35541" spans="1:141" s="116" customFormat="1">
      <c r="A35541" s="136"/>
      <c r="CM35541" s="111"/>
      <c r="CQ35541" s="111"/>
      <c r="EF35541"/>
      <c r="EG35541"/>
      <c r="EH35541"/>
      <c r="EI35541"/>
      <c r="EJ35541"/>
      <c r="EK35541"/>
    </row>
    <row r="35542" spans="1:141" s="116" customFormat="1">
      <c r="A35542" s="136"/>
      <c r="CM35542" s="111"/>
      <c r="CQ35542" s="111"/>
      <c r="EF35542"/>
      <c r="EG35542"/>
      <c r="EH35542"/>
      <c r="EI35542"/>
      <c r="EJ35542"/>
      <c r="EK35542"/>
    </row>
    <row r="35543" spans="1:141" s="116" customFormat="1">
      <c r="A35543" s="136"/>
      <c r="CM35543" s="111"/>
      <c r="CQ35543" s="111"/>
      <c r="EF35543"/>
      <c r="EG35543"/>
      <c r="EH35543"/>
      <c r="EI35543"/>
      <c r="EJ35543"/>
      <c r="EK35543"/>
    </row>
    <row r="35544" spans="1:141" s="116" customFormat="1">
      <c r="A35544" s="136"/>
      <c r="CM35544" s="111"/>
      <c r="CQ35544" s="111"/>
      <c r="EF35544"/>
      <c r="EG35544"/>
      <c r="EH35544"/>
      <c r="EI35544"/>
      <c r="EJ35544"/>
      <c r="EK35544"/>
    </row>
    <row r="35545" spans="1:141" s="116" customFormat="1">
      <c r="A35545" s="136"/>
      <c r="CM35545" s="111"/>
      <c r="CQ35545" s="111"/>
      <c r="EF35545"/>
      <c r="EG35545"/>
      <c r="EH35545"/>
      <c r="EI35545"/>
      <c r="EJ35545"/>
      <c r="EK35545"/>
    </row>
    <row r="35546" spans="1:141" s="116" customFormat="1">
      <c r="A35546" s="136"/>
      <c r="CM35546" s="111"/>
      <c r="CQ35546" s="111"/>
      <c r="EF35546"/>
      <c r="EG35546"/>
      <c r="EH35546"/>
      <c r="EI35546"/>
      <c r="EJ35546"/>
      <c r="EK35546"/>
    </row>
    <row r="35547" spans="1:141" s="116" customFormat="1">
      <c r="A35547" s="136"/>
      <c r="CM35547" s="111"/>
      <c r="CQ35547" s="111"/>
      <c r="EF35547"/>
      <c r="EG35547"/>
      <c r="EH35547"/>
      <c r="EI35547"/>
      <c r="EJ35547"/>
      <c r="EK35547"/>
    </row>
    <row r="35548" spans="1:141" s="116" customFormat="1">
      <c r="A35548" s="136"/>
      <c r="CM35548" s="111"/>
      <c r="CQ35548" s="111"/>
      <c r="EF35548"/>
      <c r="EG35548"/>
      <c r="EH35548"/>
      <c r="EI35548"/>
      <c r="EJ35548"/>
      <c r="EK35548"/>
    </row>
    <row r="35549" spans="1:141" s="116" customFormat="1">
      <c r="A35549" s="136"/>
      <c r="CM35549" s="111"/>
      <c r="CQ35549" s="111"/>
      <c r="EF35549"/>
      <c r="EG35549"/>
      <c r="EH35549"/>
      <c r="EI35549"/>
      <c r="EJ35549"/>
      <c r="EK35549"/>
    </row>
    <row r="35550" spans="1:141" s="116" customFormat="1">
      <c r="A35550" s="136"/>
      <c r="CM35550" s="111"/>
      <c r="CQ35550" s="111"/>
      <c r="EF35550"/>
      <c r="EG35550"/>
      <c r="EH35550"/>
      <c r="EI35550"/>
      <c r="EJ35550"/>
      <c r="EK35550"/>
    </row>
    <row r="35551" spans="1:141" s="116" customFormat="1">
      <c r="A35551" s="136"/>
      <c r="CM35551" s="111"/>
      <c r="CQ35551" s="111"/>
      <c r="EF35551"/>
      <c r="EG35551"/>
      <c r="EH35551"/>
      <c r="EI35551"/>
      <c r="EJ35551"/>
      <c r="EK35551"/>
    </row>
    <row r="35552" spans="1:141" s="116" customFormat="1">
      <c r="A35552" s="136"/>
      <c r="CM35552" s="111"/>
      <c r="CQ35552" s="111"/>
      <c r="EF35552"/>
      <c r="EG35552"/>
      <c r="EH35552"/>
      <c r="EI35552"/>
      <c r="EJ35552"/>
      <c r="EK35552"/>
    </row>
    <row r="35553" spans="1:141" s="116" customFormat="1">
      <c r="A35553" s="136"/>
      <c r="CM35553" s="111"/>
      <c r="CQ35553" s="111"/>
      <c r="EF35553"/>
      <c r="EG35553"/>
      <c r="EH35553"/>
      <c r="EI35553"/>
      <c r="EJ35553"/>
      <c r="EK35553"/>
    </row>
    <row r="35554" spans="1:141" s="116" customFormat="1">
      <c r="A35554" s="136"/>
      <c r="CM35554" s="111"/>
      <c r="CQ35554" s="111"/>
      <c r="EF35554"/>
      <c r="EG35554"/>
      <c r="EH35554"/>
      <c r="EI35554"/>
      <c r="EJ35554"/>
      <c r="EK35554"/>
    </row>
    <row r="35555" spans="1:141" s="116" customFormat="1">
      <c r="A35555" s="136"/>
      <c r="CM35555" s="111"/>
      <c r="CQ35555" s="111"/>
      <c r="EF35555"/>
      <c r="EG35555"/>
      <c r="EH35555"/>
      <c r="EI35555"/>
      <c r="EJ35555"/>
      <c r="EK35555"/>
    </row>
    <row r="35556" spans="1:141" s="116" customFormat="1">
      <c r="A35556" s="136"/>
      <c r="CM35556" s="111"/>
      <c r="CQ35556" s="111"/>
      <c r="EF35556"/>
      <c r="EG35556"/>
      <c r="EH35556"/>
      <c r="EI35556"/>
      <c r="EJ35556"/>
      <c r="EK35556"/>
    </row>
    <row r="35557" spans="1:141" s="116" customFormat="1">
      <c r="A35557" s="136"/>
      <c r="CM35557" s="111"/>
      <c r="CQ35557" s="111"/>
      <c r="EF35557"/>
      <c r="EG35557"/>
      <c r="EH35557"/>
      <c r="EI35557"/>
      <c r="EJ35557"/>
      <c r="EK35557"/>
    </row>
    <row r="35558" spans="1:141" s="116" customFormat="1">
      <c r="A35558" s="136"/>
      <c r="CM35558" s="111"/>
      <c r="CQ35558" s="111"/>
      <c r="EF35558"/>
      <c r="EG35558"/>
      <c r="EH35558"/>
      <c r="EI35558"/>
      <c r="EJ35558"/>
      <c r="EK35558"/>
    </row>
    <row r="35559" spans="1:141" s="116" customFormat="1">
      <c r="A35559" s="136"/>
      <c r="CM35559" s="111"/>
      <c r="CQ35559" s="111"/>
      <c r="EF35559"/>
      <c r="EG35559"/>
      <c r="EH35559"/>
      <c r="EI35559"/>
      <c r="EJ35559"/>
      <c r="EK35559"/>
    </row>
    <row r="35560" spans="1:141" s="116" customFormat="1">
      <c r="A35560" s="136"/>
      <c r="CM35560" s="111"/>
      <c r="CQ35560" s="111"/>
      <c r="EF35560"/>
      <c r="EG35560"/>
      <c r="EH35560"/>
      <c r="EI35560"/>
      <c r="EJ35560"/>
      <c r="EK35560"/>
    </row>
    <row r="35561" spans="1:141" s="116" customFormat="1">
      <c r="A35561" s="136"/>
      <c r="CM35561" s="111"/>
      <c r="CQ35561" s="111"/>
      <c r="EF35561"/>
      <c r="EG35561"/>
      <c r="EH35561"/>
      <c r="EI35561"/>
      <c r="EJ35561"/>
      <c r="EK35561"/>
    </row>
    <row r="35562" spans="1:141" s="116" customFormat="1">
      <c r="A35562" s="136"/>
      <c r="CM35562" s="111"/>
      <c r="CQ35562" s="111"/>
      <c r="EF35562"/>
      <c r="EG35562"/>
      <c r="EH35562"/>
      <c r="EI35562"/>
      <c r="EJ35562"/>
      <c r="EK35562"/>
    </row>
    <row r="35563" spans="1:141" s="116" customFormat="1">
      <c r="A35563" s="136"/>
      <c r="CM35563" s="111"/>
      <c r="CQ35563" s="111"/>
      <c r="EF35563"/>
      <c r="EG35563"/>
      <c r="EH35563"/>
      <c r="EI35563"/>
      <c r="EJ35563"/>
      <c r="EK35563"/>
    </row>
    <row r="35564" spans="1:141" s="116" customFormat="1">
      <c r="A35564" s="136"/>
      <c r="CM35564" s="111"/>
      <c r="CQ35564" s="111"/>
      <c r="EF35564"/>
      <c r="EG35564"/>
      <c r="EH35564"/>
      <c r="EI35564"/>
      <c r="EJ35564"/>
      <c r="EK35564"/>
    </row>
    <row r="35565" spans="1:141" s="116" customFormat="1">
      <c r="A35565" s="136"/>
      <c r="CM35565" s="111"/>
      <c r="CQ35565" s="111"/>
      <c r="EF35565"/>
      <c r="EG35565"/>
      <c r="EH35565"/>
      <c r="EI35565"/>
      <c r="EJ35565"/>
      <c r="EK35565"/>
    </row>
    <row r="35566" spans="1:141" s="116" customFormat="1">
      <c r="A35566" s="136"/>
      <c r="CM35566" s="111"/>
      <c r="CQ35566" s="111"/>
      <c r="EF35566"/>
      <c r="EG35566"/>
      <c r="EH35566"/>
      <c r="EI35566"/>
      <c r="EJ35566"/>
      <c r="EK35566"/>
    </row>
    <row r="35567" spans="1:141" s="116" customFormat="1">
      <c r="A35567" s="136"/>
      <c r="CM35567" s="111"/>
      <c r="CQ35567" s="111"/>
      <c r="EF35567"/>
      <c r="EG35567"/>
      <c r="EH35567"/>
      <c r="EI35567"/>
      <c r="EJ35567"/>
      <c r="EK35567"/>
    </row>
    <row r="35568" spans="1:141" s="116" customFormat="1">
      <c r="A35568" s="136"/>
      <c r="CM35568" s="111"/>
      <c r="CQ35568" s="111"/>
      <c r="EF35568"/>
      <c r="EG35568"/>
      <c r="EH35568"/>
      <c r="EI35568"/>
      <c r="EJ35568"/>
      <c r="EK35568"/>
    </row>
    <row r="35569" spans="1:141" s="116" customFormat="1">
      <c r="A35569" s="136"/>
      <c r="CM35569" s="111"/>
      <c r="CQ35569" s="111"/>
      <c r="EF35569"/>
      <c r="EG35569"/>
      <c r="EH35569"/>
      <c r="EI35569"/>
      <c r="EJ35569"/>
      <c r="EK35569"/>
    </row>
    <row r="35570" spans="1:141" s="116" customFormat="1">
      <c r="A35570" s="136"/>
      <c r="CM35570" s="111"/>
      <c r="CQ35570" s="111"/>
      <c r="EF35570"/>
      <c r="EG35570"/>
      <c r="EH35570"/>
      <c r="EI35570"/>
      <c r="EJ35570"/>
      <c r="EK35570"/>
    </row>
    <row r="35571" spans="1:141" s="116" customFormat="1">
      <c r="A35571" s="136"/>
      <c r="CM35571" s="111"/>
      <c r="CQ35571" s="111"/>
      <c r="EF35571"/>
      <c r="EG35571"/>
      <c r="EH35571"/>
      <c r="EI35571"/>
      <c r="EJ35571"/>
      <c r="EK35571"/>
    </row>
    <row r="35572" spans="1:141" s="116" customFormat="1">
      <c r="A35572" s="136"/>
      <c r="CM35572" s="111"/>
      <c r="CQ35572" s="111"/>
      <c r="EF35572"/>
      <c r="EG35572"/>
      <c r="EH35572"/>
      <c r="EI35572"/>
      <c r="EJ35572"/>
      <c r="EK35572"/>
    </row>
    <row r="35573" spans="1:141" s="116" customFormat="1">
      <c r="A35573" s="136"/>
      <c r="CM35573" s="111"/>
      <c r="CQ35573" s="111"/>
      <c r="EF35573"/>
      <c r="EG35573"/>
      <c r="EH35573"/>
      <c r="EI35573"/>
      <c r="EJ35573"/>
      <c r="EK35573"/>
    </row>
    <row r="35574" spans="1:141" s="116" customFormat="1">
      <c r="A35574" s="136"/>
      <c r="CM35574" s="111"/>
      <c r="CQ35574" s="111"/>
      <c r="EF35574"/>
      <c r="EG35574"/>
      <c r="EH35574"/>
      <c r="EI35574"/>
      <c r="EJ35574"/>
      <c r="EK35574"/>
    </row>
    <row r="35575" spans="1:141" s="116" customFormat="1">
      <c r="A35575" s="136"/>
      <c r="CM35575" s="111"/>
      <c r="CQ35575" s="111"/>
      <c r="EF35575"/>
      <c r="EG35575"/>
      <c r="EH35575"/>
      <c r="EI35575"/>
      <c r="EJ35575"/>
      <c r="EK35575"/>
    </row>
    <row r="35576" spans="1:141" s="116" customFormat="1">
      <c r="A35576" s="136"/>
      <c r="CM35576" s="111"/>
      <c r="CQ35576" s="111"/>
      <c r="EF35576"/>
      <c r="EG35576"/>
      <c r="EH35576"/>
      <c r="EI35576"/>
      <c r="EJ35576"/>
      <c r="EK35576"/>
    </row>
    <row r="35577" spans="1:141" s="116" customFormat="1">
      <c r="A35577" s="136"/>
      <c r="CM35577" s="111"/>
      <c r="CQ35577" s="111"/>
      <c r="EF35577"/>
      <c r="EG35577"/>
      <c r="EH35577"/>
      <c r="EI35577"/>
      <c r="EJ35577"/>
      <c r="EK35577"/>
    </row>
    <row r="35578" spans="1:141" s="116" customFormat="1">
      <c r="A35578" s="136"/>
      <c r="CM35578" s="111"/>
      <c r="CQ35578" s="111"/>
      <c r="EF35578"/>
      <c r="EG35578"/>
      <c r="EH35578"/>
      <c r="EI35578"/>
      <c r="EJ35578"/>
      <c r="EK35578"/>
    </row>
    <row r="35579" spans="1:141" s="116" customFormat="1">
      <c r="A35579" s="136"/>
      <c r="CM35579" s="111"/>
      <c r="CQ35579" s="111"/>
      <c r="EF35579"/>
      <c r="EG35579"/>
      <c r="EH35579"/>
      <c r="EI35579"/>
      <c r="EJ35579"/>
      <c r="EK35579"/>
    </row>
    <row r="35580" spans="1:141" s="116" customFormat="1">
      <c r="A35580" s="136"/>
      <c r="CM35580" s="111"/>
      <c r="CQ35580" s="111"/>
      <c r="EF35580"/>
      <c r="EG35580"/>
      <c r="EH35580"/>
      <c r="EI35580"/>
      <c r="EJ35580"/>
      <c r="EK35580"/>
    </row>
    <row r="35581" spans="1:141" s="116" customFormat="1">
      <c r="A35581" s="136"/>
      <c r="CM35581" s="111"/>
      <c r="CQ35581" s="111"/>
      <c r="EF35581"/>
      <c r="EG35581"/>
      <c r="EH35581"/>
      <c r="EI35581"/>
      <c r="EJ35581"/>
      <c r="EK35581"/>
    </row>
    <row r="35582" spans="1:141" s="116" customFormat="1">
      <c r="A35582" s="136"/>
      <c r="CM35582" s="111"/>
      <c r="CQ35582" s="111"/>
      <c r="EF35582"/>
      <c r="EG35582"/>
      <c r="EH35582"/>
      <c r="EI35582"/>
      <c r="EJ35582"/>
      <c r="EK35582"/>
    </row>
    <row r="35583" spans="1:141" s="116" customFormat="1">
      <c r="A35583" s="136"/>
      <c r="CM35583" s="111"/>
      <c r="CQ35583" s="111"/>
      <c r="EF35583"/>
      <c r="EG35583"/>
      <c r="EH35583"/>
      <c r="EI35583"/>
      <c r="EJ35583"/>
      <c r="EK35583"/>
    </row>
    <row r="35584" spans="1:141" s="116" customFormat="1">
      <c r="A35584" s="136"/>
      <c r="CM35584" s="111"/>
      <c r="CQ35584" s="111"/>
      <c r="EF35584"/>
      <c r="EG35584"/>
      <c r="EH35584"/>
      <c r="EI35584"/>
      <c r="EJ35584"/>
      <c r="EK35584"/>
    </row>
    <row r="35585" spans="1:141" s="116" customFormat="1">
      <c r="A35585" s="136"/>
      <c r="CM35585" s="111"/>
      <c r="CQ35585" s="111"/>
      <c r="EF35585"/>
      <c r="EG35585"/>
      <c r="EH35585"/>
      <c r="EI35585"/>
      <c r="EJ35585"/>
      <c r="EK35585"/>
    </row>
    <row r="35586" spans="1:141" s="116" customFormat="1">
      <c r="A35586" s="136"/>
      <c r="CM35586" s="111"/>
      <c r="CQ35586" s="111"/>
      <c r="EF35586"/>
      <c r="EG35586"/>
      <c r="EH35586"/>
      <c r="EI35586"/>
      <c r="EJ35586"/>
      <c r="EK35586"/>
    </row>
    <row r="35587" spans="1:141" s="116" customFormat="1">
      <c r="A35587" s="136"/>
      <c r="CM35587" s="111"/>
      <c r="CQ35587" s="111"/>
      <c r="EF35587"/>
      <c r="EG35587"/>
      <c r="EH35587"/>
      <c r="EI35587"/>
      <c r="EJ35587"/>
      <c r="EK35587"/>
    </row>
    <row r="35588" spans="1:141" s="116" customFormat="1">
      <c r="A35588" s="136"/>
      <c r="CM35588" s="111"/>
      <c r="CQ35588" s="111"/>
      <c r="EF35588"/>
      <c r="EG35588"/>
      <c r="EH35588"/>
      <c r="EI35588"/>
      <c r="EJ35588"/>
      <c r="EK35588"/>
    </row>
    <row r="35589" spans="1:141" s="116" customFormat="1">
      <c r="A35589" s="136"/>
      <c r="CM35589" s="111"/>
      <c r="CQ35589" s="111"/>
      <c r="EF35589"/>
      <c r="EG35589"/>
      <c r="EH35589"/>
      <c r="EI35589"/>
      <c r="EJ35589"/>
      <c r="EK35589"/>
    </row>
    <row r="35590" spans="1:141" s="116" customFormat="1">
      <c r="A35590" s="136"/>
      <c r="CM35590" s="111"/>
      <c r="CQ35590" s="111"/>
      <c r="EF35590"/>
      <c r="EG35590"/>
      <c r="EH35590"/>
      <c r="EI35590"/>
      <c r="EJ35590"/>
      <c r="EK35590"/>
    </row>
    <row r="35591" spans="1:141" s="116" customFormat="1">
      <c r="A35591" s="136"/>
      <c r="CM35591" s="111"/>
      <c r="CQ35591" s="111"/>
      <c r="EF35591"/>
      <c r="EG35591"/>
      <c r="EH35591"/>
      <c r="EI35591"/>
      <c r="EJ35591"/>
      <c r="EK35591"/>
    </row>
    <row r="35592" spans="1:141" s="116" customFormat="1">
      <c r="A35592" s="136"/>
      <c r="CM35592" s="111"/>
      <c r="CQ35592" s="111"/>
      <c r="EF35592"/>
      <c r="EG35592"/>
      <c r="EH35592"/>
      <c r="EI35592"/>
      <c r="EJ35592"/>
      <c r="EK35592"/>
    </row>
    <row r="35593" spans="1:141" s="116" customFormat="1">
      <c r="A35593" s="136"/>
      <c r="CM35593" s="111"/>
      <c r="CQ35593" s="111"/>
      <c r="EF35593"/>
      <c r="EG35593"/>
      <c r="EH35593"/>
      <c r="EI35593"/>
      <c r="EJ35593"/>
      <c r="EK35593"/>
    </row>
    <row r="35594" spans="1:141" s="116" customFormat="1">
      <c r="A35594" s="136"/>
      <c r="CM35594" s="111"/>
      <c r="CQ35594" s="111"/>
      <c r="EF35594"/>
      <c r="EG35594"/>
      <c r="EH35594"/>
      <c r="EI35594"/>
      <c r="EJ35594"/>
      <c r="EK35594"/>
    </row>
    <row r="35595" spans="1:141" s="116" customFormat="1">
      <c r="A35595" s="136"/>
      <c r="CM35595" s="111"/>
      <c r="CQ35595" s="111"/>
      <c r="EF35595"/>
      <c r="EG35595"/>
      <c r="EH35595"/>
      <c r="EI35595"/>
      <c r="EJ35595"/>
      <c r="EK35595"/>
    </row>
    <row r="35596" spans="1:141" s="116" customFormat="1">
      <c r="A35596" s="136"/>
      <c r="CM35596" s="111"/>
      <c r="CQ35596" s="111"/>
      <c r="EF35596"/>
      <c r="EG35596"/>
      <c r="EH35596"/>
      <c r="EI35596"/>
      <c r="EJ35596"/>
      <c r="EK35596"/>
    </row>
    <row r="35597" spans="1:141" s="116" customFormat="1">
      <c r="A35597" s="136"/>
      <c r="CM35597" s="111"/>
      <c r="CQ35597" s="111"/>
      <c r="EF35597"/>
      <c r="EG35597"/>
      <c r="EH35597"/>
      <c r="EI35597"/>
      <c r="EJ35597"/>
      <c r="EK35597"/>
    </row>
    <row r="35598" spans="1:141" s="116" customFormat="1">
      <c r="A35598" s="136"/>
      <c r="CM35598" s="111"/>
      <c r="CQ35598" s="111"/>
      <c r="EF35598"/>
      <c r="EG35598"/>
      <c r="EH35598"/>
      <c r="EI35598"/>
      <c r="EJ35598"/>
      <c r="EK35598"/>
    </row>
    <row r="35599" spans="1:141" s="116" customFormat="1">
      <c r="A35599" s="136"/>
      <c r="CM35599" s="111"/>
      <c r="CQ35599" s="111"/>
      <c r="EF35599"/>
      <c r="EG35599"/>
      <c r="EH35599"/>
      <c r="EI35599"/>
      <c r="EJ35599"/>
      <c r="EK35599"/>
    </row>
    <row r="35600" spans="1:141" s="116" customFormat="1">
      <c r="A35600" s="136"/>
      <c r="CM35600" s="111"/>
      <c r="CQ35600" s="111"/>
      <c r="EF35600"/>
      <c r="EG35600"/>
      <c r="EH35600"/>
      <c r="EI35600"/>
      <c r="EJ35600"/>
      <c r="EK35600"/>
    </row>
    <row r="35601" spans="1:141" s="116" customFormat="1">
      <c r="A35601" s="136"/>
      <c r="CM35601" s="111"/>
      <c r="CQ35601" s="111"/>
      <c r="EF35601"/>
      <c r="EG35601"/>
      <c r="EH35601"/>
      <c r="EI35601"/>
      <c r="EJ35601"/>
      <c r="EK35601"/>
    </row>
    <row r="35602" spans="1:141" s="116" customFormat="1">
      <c r="A35602" s="136"/>
      <c r="CM35602" s="111"/>
      <c r="CQ35602" s="111"/>
      <c r="EF35602"/>
      <c r="EG35602"/>
      <c r="EH35602"/>
      <c r="EI35602"/>
      <c r="EJ35602"/>
      <c r="EK35602"/>
    </row>
    <row r="35603" spans="1:141" s="116" customFormat="1">
      <c r="A35603" s="136"/>
      <c r="CM35603" s="111"/>
      <c r="CQ35603" s="111"/>
      <c r="EF35603"/>
      <c r="EG35603"/>
      <c r="EH35603"/>
      <c r="EI35603"/>
      <c r="EJ35603"/>
      <c r="EK35603"/>
    </row>
    <row r="35604" spans="1:141" s="116" customFormat="1">
      <c r="A35604" s="136"/>
      <c r="CM35604" s="111"/>
      <c r="CQ35604" s="111"/>
      <c r="EF35604"/>
      <c r="EG35604"/>
      <c r="EH35604"/>
      <c r="EI35604"/>
      <c r="EJ35604"/>
      <c r="EK35604"/>
    </row>
    <row r="35605" spans="1:141" s="116" customFormat="1">
      <c r="A35605" s="136"/>
      <c r="CM35605" s="111"/>
      <c r="CQ35605" s="111"/>
      <c r="EF35605"/>
      <c r="EG35605"/>
      <c r="EH35605"/>
      <c r="EI35605"/>
      <c r="EJ35605"/>
      <c r="EK35605"/>
    </row>
    <row r="35606" spans="1:141" s="116" customFormat="1">
      <c r="A35606" s="136"/>
      <c r="CM35606" s="111"/>
      <c r="CQ35606" s="111"/>
      <c r="EF35606"/>
      <c r="EG35606"/>
      <c r="EH35606"/>
      <c r="EI35606"/>
      <c r="EJ35606"/>
      <c r="EK35606"/>
    </row>
    <row r="35607" spans="1:141" s="116" customFormat="1">
      <c r="A35607" s="136"/>
      <c r="CM35607" s="111"/>
      <c r="CQ35607" s="111"/>
      <c r="EF35607"/>
      <c r="EG35607"/>
      <c r="EH35607"/>
      <c r="EI35607"/>
      <c r="EJ35607"/>
      <c r="EK35607"/>
    </row>
    <row r="35608" spans="1:141" s="116" customFormat="1">
      <c r="A35608" s="136"/>
      <c r="CM35608" s="111"/>
      <c r="CQ35608" s="111"/>
      <c r="EF35608"/>
      <c r="EG35608"/>
      <c r="EH35608"/>
      <c r="EI35608"/>
      <c r="EJ35608"/>
      <c r="EK35608"/>
    </row>
    <row r="35609" spans="1:141" s="116" customFormat="1">
      <c r="A35609" s="136"/>
      <c r="CM35609" s="111"/>
      <c r="CQ35609" s="111"/>
      <c r="EF35609"/>
      <c r="EG35609"/>
      <c r="EH35609"/>
      <c r="EI35609"/>
      <c r="EJ35609"/>
      <c r="EK35609"/>
    </row>
    <row r="35610" spans="1:141" s="116" customFormat="1">
      <c r="A35610" s="136"/>
      <c r="CM35610" s="111"/>
      <c r="CQ35610" s="111"/>
      <c r="EF35610"/>
      <c r="EG35610"/>
      <c r="EH35610"/>
      <c r="EI35610"/>
      <c r="EJ35610"/>
      <c r="EK35610"/>
    </row>
    <row r="35611" spans="1:141" s="116" customFormat="1">
      <c r="A35611" s="136"/>
      <c r="CM35611" s="111"/>
      <c r="CQ35611" s="111"/>
      <c r="EF35611"/>
      <c r="EG35611"/>
      <c r="EH35611"/>
      <c r="EI35611"/>
      <c r="EJ35611"/>
      <c r="EK35611"/>
    </row>
    <row r="35612" spans="1:141" s="116" customFormat="1">
      <c r="A35612" s="136"/>
      <c r="CM35612" s="111"/>
      <c r="CQ35612" s="111"/>
      <c r="EF35612"/>
      <c r="EG35612"/>
      <c r="EH35612"/>
      <c r="EI35612"/>
      <c r="EJ35612"/>
      <c r="EK35612"/>
    </row>
    <row r="35613" spans="1:141" s="116" customFormat="1">
      <c r="A35613" s="136"/>
      <c r="CM35613" s="111"/>
      <c r="CQ35613" s="111"/>
      <c r="EF35613"/>
      <c r="EG35613"/>
      <c r="EH35613"/>
      <c r="EI35613"/>
      <c r="EJ35613"/>
      <c r="EK35613"/>
    </row>
    <row r="35614" spans="1:141" s="116" customFormat="1">
      <c r="A35614" s="136"/>
      <c r="CM35614" s="111"/>
      <c r="CQ35614" s="111"/>
      <c r="EF35614"/>
      <c r="EG35614"/>
      <c r="EH35614"/>
      <c r="EI35614"/>
      <c r="EJ35614"/>
      <c r="EK35614"/>
    </row>
    <row r="35615" spans="1:141" s="116" customFormat="1">
      <c r="A35615" s="136"/>
      <c r="CM35615" s="111"/>
      <c r="CQ35615" s="111"/>
      <c r="EF35615"/>
      <c r="EG35615"/>
      <c r="EH35615"/>
      <c r="EI35615"/>
      <c r="EJ35615"/>
      <c r="EK35615"/>
    </row>
    <row r="35616" spans="1:141" s="116" customFormat="1">
      <c r="A35616" s="136"/>
      <c r="CM35616" s="111"/>
      <c r="CQ35616" s="111"/>
      <c r="EF35616"/>
      <c r="EG35616"/>
      <c r="EH35616"/>
      <c r="EI35616"/>
      <c r="EJ35616"/>
      <c r="EK35616"/>
    </row>
    <row r="35617" spans="1:141" s="116" customFormat="1">
      <c r="A35617" s="136"/>
      <c r="CM35617" s="111"/>
      <c r="CQ35617" s="111"/>
      <c r="EF35617"/>
      <c r="EG35617"/>
      <c r="EH35617"/>
      <c r="EI35617"/>
      <c r="EJ35617"/>
      <c r="EK35617"/>
    </row>
    <row r="35618" spans="1:141" s="116" customFormat="1">
      <c r="A35618" s="136"/>
      <c r="CM35618" s="111"/>
      <c r="CQ35618" s="111"/>
      <c r="EF35618"/>
      <c r="EG35618"/>
      <c r="EH35618"/>
      <c r="EI35618"/>
      <c r="EJ35618"/>
      <c r="EK35618"/>
    </row>
    <row r="35619" spans="1:141" s="116" customFormat="1">
      <c r="A35619" s="136"/>
      <c r="CM35619" s="111"/>
      <c r="CQ35619" s="111"/>
      <c r="EF35619"/>
      <c r="EG35619"/>
      <c r="EH35619"/>
      <c r="EI35619"/>
      <c r="EJ35619"/>
      <c r="EK35619"/>
    </row>
    <row r="35620" spans="1:141" s="116" customFormat="1">
      <c r="A35620" s="136"/>
      <c r="CM35620" s="111"/>
      <c r="CQ35620" s="111"/>
      <c r="EF35620"/>
      <c r="EG35620"/>
      <c r="EH35620"/>
      <c r="EI35620"/>
      <c r="EJ35620"/>
      <c r="EK35620"/>
    </row>
    <row r="35621" spans="1:141" s="116" customFormat="1">
      <c r="A35621" s="136"/>
      <c r="CM35621" s="111"/>
      <c r="CQ35621" s="111"/>
      <c r="EF35621"/>
      <c r="EG35621"/>
      <c r="EH35621"/>
      <c r="EI35621"/>
      <c r="EJ35621"/>
      <c r="EK35621"/>
    </row>
    <row r="35622" spans="1:141" s="116" customFormat="1">
      <c r="A35622" s="136"/>
      <c r="CM35622" s="111"/>
      <c r="CQ35622" s="111"/>
      <c r="EF35622"/>
      <c r="EG35622"/>
      <c r="EH35622"/>
      <c r="EI35622"/>
      <c r="EJ35622"/>
      <c r="EK35622"/>
    </row>
    <row r="35623" spans="1:141" s="116" customFormat="1">
      <c r="A35623" s="136"/>
      <c r="CM35623" s="111"/>
      <c r="CQ35623" s="111"/>
      <c r="EF35623"/>
      <c r="EG35623"/>
      <c r="EH35623"/>
      <c r="EI35623"/>
      <c r="EJ35623"/>
      <c r="EK35623"/>
    </row>
    <row r="35624" spans="1:141" s="116" customFormat="1">
      <c r="A35624" s="136"/>
      <c r="CM35624" s="111"/>
      <c r="CQ35624" s="111"/>
      <c r="EF35624"/>
      <c r="EG35624"/>
      <c r="EH35624"/>
      <c r="EI35624"/>
      <c r="EJ35624"/>
      <c r="EK35624"/>
    </row>
    <row r="35625" spans="1:141" s="116" customFormat="1">
      <c r="A35625" s="136"/>
      <c r="CM35625" s="111"/>
      <c r="CQ35625" s="111"/>
      <c r="EF35625"/>
      <c r="EG35625"/>
      <c r="EH35625"/>
      <c r="EI35625"/>
      <c r="EJ35625"/>
      <c r="EK35625"/>
    </row>
    <row r="35626" spans="1:141" s="116" customFormat="1">
      <c r="A35626" s="136"/>
      <c r="CM35626" s="111"/>
      <c r="CQ35626" s="111"/>
      <c r="EF35626"/>
      <c r="EG35626"/>
      <c r="EH35626"/>
      <c r="EI35626"/>
      <c r="EJ35626"/>
      <c r="EK35626"/>
    </row>
    <row r="35627" spans="1:141" s="116" customFormat="1">
      <c r="A35627" s="136"/>
      <c r="CM35627" s="111"/>
      <c r="CQ35627" s="111"/>
      <c r="EF35627"/>
      <c r="EG35627"/>
      <c r="EH35627"/>
      <c r="EI35627"/>
      <c r="EJ35627"/>
      <c r="EK35627"/>
    </row>
    <row r="35628" spans="1:141" s="116" customFormat="1">
      <c r="A35628" s="136"/>
      <c r="CM35628" s="111"/>
      <c r="CQ35628" s="111"/>
      <c r="EF35628"/>
      <c r="EG35628"/>
      <c r="EH35628"/>
      <c r="EI35628"/>
      <c r="EJ35628"/>
      <c r="EK35628"/>
    </row>
    <row r="35629" spans="1:141" s="116" customFormat="1">
      <c r="A35629" s="136"/>
      <c r="CM35629" s="111"/>
      <c r="CQ35629" s="111"/>
      <c r="EF35629"/>
      <c r="EG35629"/>
      <c r="EH35629"/>
      <c r="EI35629"/>
      <c r="EJ35629"/>
      <c r="EK35629"/>
    </row>
    <row r="35630" spans="1:141" s="116" customFormat="1">
      <c r="A35630" s="136"/>
      <c r="CM35630" s="111"/>
      <c r="CQ35630" s="111"/>
      <c r="EF35630"/>
      <c r="EG35630"/>
      <c r="EH35630"/>
      <c r="EI35630"/>
      <c r="EJ35630"/>
      <c r="EK35630"/>
    </row>
    <row r="35631" spans="1:141" s="116" customFormat="1">
      <c r="A35631" s="136"/>
      <c r="CM35631" s="111"/>
      <c r="CQ35631" s="111"/>
      <c r="EF35631"/>
      <c r="EG35631"/>
      <c r="EH35631"/>
      <c r="EI35631"/>
      <c r="EJ35631"/>
      <c r="EK35631"/>
    </row>
    <row r="35632" spans="1:141" s="116" customFormat="1">
      <c r="A35632" s="136"/>
      <c r="CM35632" s="111"/>
      <c r="CQ35632" s="111"/>
      <c r="EF35632"/>
      <c r="EG35632"/>
      <c r="EH35632"/>
      <c r="EI35632"/>
      <c r="EJ35632"/>
      <c r="EK35632"/>
    </row>
    <row r="35633" spans="1:141" s="116" customFormat="1">
      <c r="A35633" s="136"/>
      <c r="CM35633" s="111"/>
      <c r="CQ35633" s="111"/>
      <c r="EF35633"/>
      <c r="EG35633"/>
      <c r="EH35633"/>
      <c r="EI35633"/>
      <c r="EJ35633"/>
      <c r="EK35633"/>
    </row>
    <row r="35634" spans="1:141" s="116" customFormat="1">
      <c r="A35634" s="136"/>
      <c r="CM35634" s="111"/>
      <c r="CQ35634" s="111"/>
      <c r="EF35634"/>
      <c r="EG35634"/>
      <c r="EH35634"/>
      <c r="EI35634"/>
      <c r="EJ35634"/>
      <c r="EK35634"/>
    </row>
    <row r="35635" spans="1:141" s="116" customFormat="1">
      <c r="A35635" s="136"/>
      <c r="CM35635" s="111"/>
      <c r="CQ35635" s="111"/>
      <c r="EF35635"/>
      <c r="EG35635"/>
      <c r="EH35635"/>
      <c r="EI35635"/>
      <c r="EJ35635"/>
      <c r="EK35635"/>
    </row>
    <row r="35636" spans="1:141" s="116" customFormat="1">
      <c r="A35636" s="136"/>
      <c r="CM35636" s="111"/>
      <c r="CQ35636" s="111"/>
      <c r="EF35636"/>
      <c r="EG35636"/>
      <c r="EH35636"/>
      <c r="EI35636"/>
      <c r="EJ35636"/>
      <c r="EK35636"/>
    </row>
    <row r="35637" spans="1:141" s="116" customFormat="1">
      <c r="A35637" s="136"/>
      <c r="CM35637" s="111"/>
      <c r="CQ35637" s="111"/>
      <c r="EF35637"/>
      <c r="EG35637"/>
      <c r="EH35637"/>
      <c r="EI35637"/>
      <c r="EJ35637"/>
      <c r="EK35637"/>
    </row>
    <row r="35638" spans="1:141" s="116" customFormat="1">
      <c r="A35638" s="136"/>
      <c r="CM35638" s="111"/>
      <c r="CQ35638" s="111"/>
      <c r="EF35638"/>
      <c r="EG35638"/>
      <c r="EH35638"/>
      <c r="EI35638"/>
      <c r="EJ35638"/>
      <c r="EK35638"/>
    </row>
    <row r="35639" spans="1:141" s="116" customFormat="1">
      <c r="A35639" s="136"/>
      <c r="CM35639" s="111"/>
      <c r="CQ35639" s="111"/>
      <c r="EF35639"/>
      <c r="EG35639"/>
      <c r="EH35639"/>
      <c r="EI35639"/>
      <c r="EJ35639"/>
      <c r="EK35639"/>
    </row>
    <row r="35640" spans="1:141" s="116" customFormat="1">
      <c r="A35640" s="136"/>
      <c r="CM35640" s="111"/>
      <c r="CQ35640" s="111"/>
      <c r="EF35640"/>
      <c r="EG35640"/>
      <c r="EH35640"/>
      <c r="EI35640"/>
      <c r="EJ35640"/>
      <c r="EK35640"/>
    </row>
    <row r="35641" spans="1:141" s="116" customFormat="1">
      <c r="A35641" s="136"/>
      <c r="CM35641" s="111"/>
      <c r="CQ35641" s="111"/>
      <c r="EF35641"/>
      <c r="EG35641"/>
      <c r="EH35641"/>
      <c r="EI35641"/>
      <c r="EJ35641"/>
      <c r="EK35641"/>
    </row>
    <row r="35642" spans="1:141" s="116" customFormat="1">
      <c r="A35642" s="136"/>
      <c r="CM35642" s="111"/>
      <c r="CQ35642" s="111"/>
      <c r="EF35642"/>
      <c r="EG35642"/>
      <c r="EH35642"/>
      <c r="EI35642"/>
      <c r="EJ35642"/>
      <c r="EK35642"/>
    </row>
    <row r="35643" spans="1:141" s="116" customFormat="1">
      <c r="A35643" s="136"/>
      <c r="CM35643" s="111"/>
      <c r="CQ35643" s="111"/>
      <c r="EF35643"/>
      <c r="EG35643"/>
      <c r="EH35643"/>
      <c r="EI35643"/>
      <c r="EJ35643"/>
      <c r="EK35643"/>
    </row>
    <row r="35644" spans="1:141" s="116" customFormat="1">
      <c r="A35644" s="136"/>
      <c r="CM35644" s="111"/>
      <c r="CQ35644" s="111"/>
      <c r="EF35644"/>
      <c r="EG35644"/>
      <c r="EH35644"/>
      <c r="EI35644"/>
      <c r="EJ35644"/>
      <c r="EK35644"/>
    </row>
    <row r="35645" spans="1:141" s="116" customFormat="1">
      <c r="A35645" s="136"/>
      <c r="CM35645" s="111"/>
      <c r="CQ35645" s="111"/>
      <c r="EF35645"/>
      <c r="EG35645"/>
      <c r="EH35645"/>
      <c r="EI35645"/>
      <c r="EJ35645"/>
      <c r="EK35645"/>
    </row>
    <row r="35646" spans="1:141" s="116" customFormat="1">
      <c r="A35646" s="136"/>
      <c r="CM35646" s="111"/>
      <c r="CQ35646" s="111"/>
      <c r="EF35646"/>
      <c r="EG35646"/>
      <c r="EH35646"/>
      <c r="EI35646"/>
      <c r="EJ35646"/>
      <c r="EK35646"/>
    </row>
    <row r="35647" spans="1:141" s="116" customFormat="1">
      <c r="A35647" s="136"/>
      <c r="CM35647" s="111"/>
      <c r="CQ35647" s="111"/>
      <c r="EF35647"/>
      <c r="EG35647"/>
      <c r="EH35647"/>
      <c r="EI35647"/>
      <c r="EJ35647"/>
      <c r="EK35647"/>
    </row>
    <row r="35648" spans="1:141" s="116" customFormat="1">
      <c r="A35648" s="136"/>
      <c r="CM35648" s="111"/>
      <c r="CQ35648" s="111"/>
      <c r="EF35648"/>
      <c r="EG35648"/>
      <c r="EH35648"/>
      <c r="EI35648"/>
      <c r="EJ35648"/>
      <c r="EK35648"/>
    </row>
    <row r="35649" spans="1:141" s="116" customFormat="1">
      <c r="A35649" s="136"/>
      <c r="CM35649" s="111"/>
      <c r="CQ35649" s="111"/>
      <c r="EF35649"/>
      <c r="EG35649"/>
      <c r="EH35649"/>
      <c r="EI35649"/>
      <c r="EJ35649"/>
      <c r="EK35649"/>
    </row>
    <row r="35650" spans="1:141" s="116" customFormat="1">
      <c r="A35650" s="136"/>
      <c r="CM35650" s="111"/>
      <c r="CQ35650" s="111"/>
      <c r="EF35650"/>
      <c r="EG35650"/>
      <c r="EH35650"/>
      <c r="EI35650"/>
      <c r="EJ35650"/>
      <c r="EK35650"/>
    </row>
    <row r="35651" spans="1:141" s="116" customFormat="1">
      <c r="A35651" s="136"/>
      <c r="CM35651" s="111"/>
      <c r="CQ35651" s="111"/>
      <c r="EF35651"/>
      <c r="EG35651"/>
      <c r="EH35651"/>
      <c r="EI35651"/>
      <c r="EJ35651"/>
      <c r="EK35651"/>
    </row>
    <row r="35652" spans="1:141" s="116" customFormat="1">
      <c r="A35652" s="136"/>
      <c r="CM35652" s="111"/>
      <c r="CQ35652" s="111"/>
      <c r="EF35652"/>
      <c r="EG35652"/>
      <c r="EH35652"/>
      <c r="EI35652"/>
      <c r="EJ35652"/>
      <c r="EK35652"/>
    </row>
    <row r="35653" spans="1:141" s="116" customFormat="1">
      <c r="A35653" s="136"/>
      <c r="CM35653" s="111"/>
      <c r="CQ35653" s="111"/>
      <c r="EF35653"/>
      <c r="EG35653"/>
      <c r="EH35653"/>
      <c r="EI35653"/>
      <c r="EJ35653"/>
      <c r="EK35653"/>
    </row>
    <row r="35654" spans="1:141" s="116" customFormat="1">
      <c r="A35654" s="136"/>
      <c r="CM35654" s="111"/>
      <c r="CQ35654" s="111"/>
      <c r="EF35654"/>
      <c r="EG35654"/>
      <c r="EH35654"/>
      <c r="EI35654"/>
      <c r="EJ35654"/>
      <c r="EK35654"/>
    </row>
    <row r="35655" spans="1:141" s="116" customFormat="1">
      <c r="A35655" s="136"/>
      <c r="CM35655" s="111"/>
      <c r="CQ35655" s="111"/>
      <c r="EF35655"/>
      <c r="EG35655"/>
      <c r="EH35655"/>
      <c r="EI35655"/>
      <c r="EJ35655"/>
      <c r="EK35655"/>
    </row>
    <row r="35656" spans="1:141" s="116" customFormat="1">
      <c r="A35656" s="136"/>
      <c r="CM35656" s="111"/>
      <c r="CQ35656" s="111"/>
      <c r="EF35656"/>
      <c r="EG35656"/>
      <c r="EH35656"/>
      <c r="EI35656"/>
      <c r="EJ35656"/>
      <c r="EK35656"/>
    </row>
    <row r="35657" spans="1:141" s="116" customFormat="1">
      <c r="A35657" s="136"/>
      <c r="CM35657" s="111"/>
      <c r="CQ35657" s="111"/>
      <c r="EF35657"/>
      <c r="EG35657"/>
      <c r="EH35657"/>
      <c r="EI35657"/>
      <c r="EJ35657"/>
      <c r="EK35657"/>
    </row>
    <row r="35658" spans="1:141" s="116" customFormat="1">
      <c r="A35658" s="136"/>
      <c r="CM35658" s="111"/>
      <c r="CQ35658" s="111"/>
      <c r="EF35658"/>
      <c r="EG35658"/>
      <c r="EH35658"/>
      <c r="EI35658"/>
      <c r="EJ35658"/>
      <c r="EK35658"/>
    </row>
    <row r="35659" spans="1:141" s="116" customFormat="1">
      <c r="A35659" s="136"/>
      <c r="CM35659" s="111"/>
      <c r="CQ35659" s="111"/>
      <c r="EF35659"/>
      <c r="EG35659"/>
      <c r="EH35659"/>
      <c r="EI35659"/>
      <c r="EJ35659"/>
      <c r="EK35659"/>
    </row>
    <row r="35660" spans="1:141" s="116" customFormat="1">
      <c r="A35660" s="136"/>
      <c r="CM35660" s="111"/>
      <c r="CQ35660" s="111"/>
      <c r="EF35660"/>
      <c r="EG35660"/>
      <c r="EH35660"/>
      <c r="EI35660"/>
      <c r="EJ35660"/>
      <c r="EK35660"/>
    </row>
    <row r="35661" spans="1:141" s="116" customFormat="1">
      <c r="A35661" s="136"/>
      <c r="CM35661" s="111"/>
      <c r="CQ35661" s="111"/>
      <c r="EF35661"/>
      <c r="EG35661"/>
      <c r="EH35661"/>
      <c r="EI35661"/>
      <c r="EJ35661"/>
      <c r="EK35661"/>
    </row>
    <row r="35662" spans="1:141" s="116" customFormat="1">
      <c r="A35662" s="136"/>
      <c r="CM35662" s="111"/>
      <c r="CQ35662" s="111"/>
      <c r="EF35662"/>
      <c r="EG35662"/>
      <c r="EH35662"/>
      <c r="EI35662"/>
      <c r="EJ35662"/>
      <c r="EK35662"/>
    </row>
    <row r="35663" spans="1:141" s="116" customFormat="1">
      <c r="A35663" s="136"/>
      <c r="CM35663" s="111"/>
      <c r="CQ35663" s="111"/>
      <c r="EF35663"/>
      <c r="EG35663"/>
      <c r="EH35663"/>
      <c r="EI35663"/>
      <c r="EJ35663"/>
      <c r="EK35663"/>
    </row>
    <row r="35664" spans="1:141" s="116" customFormat="1">
      <c r="A35664" s="136"/>
      <c r="CM35664" s="111"/>
      <c r="CQ35664" s="111"/>
      <c r="EF35664"/>
      <c r="EG35664"/>
      <c r="EH35664"/>
      <c r="EI35664"/>
      <c r="EJ35664"/>
      <c r="EK35664"/>
    </row>
    <row r="35665" spans="1:141" s="116" customFormat="1">
      <c r="A35665" s="136"/>
      <c r="CM35665" s="111"/>
      <c r="CQ35665" s="111"/>
      <c r="EF35665"/>
      <c r="EG35665"/>
      <c r="EH35665"/>
      <c r="EI35665"/>
      <c r="EJ35665"/>
      <c r="EK35665"/>
    </row>
    <row r="35666" spans="1:141" s="116" customFormat="1">
      <c r="A35666" s="136"/>
      <c r="CM35666" s="111"/>
      <c r="CQ35666" s="111"/>
      <c r="EF35666"/>
      <c r="EG35666"/>
      <c r="EH35666"/>
      <c r="EI35666"/>
      <c r="EJ35666"/>
      <c r="EK35666"/>
    </row>
    <row r="35667" spans="1:141" s="116" customFormat="1">
      <c r="A35667" s="136"/>
      <c r="CM35667" s="111"/>
      <c r="CQ35667" s="111"/>
      <c r="EF35667"/>
      <c r="EG35667"/>
      <c r="EH35667"/>
      <c r="EI35667"/>
      <c r="EJ35667"/>
      <c r="EK35667"/>
    </row>
    <row r="35668" spans="1:141" s="116" customFormat="1">
      <c r="A35668" s="136"/>
      <c r="CM35668" s="111"/>
      <c r="CQ35668" s="111"/>
      <c r="EF35668"/>
      <c r="EG35668"/>
      <c r="EH35668"/>
      <c r="EI35668"/>
      <c r="EJ35668"/>
      <c r="EK35668"/>
    </row>
    <row r="35669" spans="1:141" s="116" customFormat="1">
      <c r="A35669" s="136"/>
      <c r="CM35669" s="111"/>
      <c r="CQ35669" s="111"/>
      <c r="EF35669"/>
      <c r="EG35669"/>
      <c r="EH35669"/>
      <c r="EI35669"/>
      <c r="EJ35669"/>
      <c r="EK35669"/>
    </row>
    <row r="35670" spans="1:141" s="116" customFormat="1">
      <c r="A35670" s="136"/>
      <c r="CM35670" s="111"/>
      <c r="CQ35670" s="111"/>
      <c r="EF35670"/>
      <c r="EG35670"/>
      <c r="EH35670"/>
      <c r="EI35670"/>
      <c r="EJ35670"/>
      <c r="EK35670"/>
    </row>
    <row r="35671" spans="1:141" s="116" customFormat="1">
      <c r="A35671" s="136"/>
      <c r="CM35671" s="111"/>
      <c r="CQ35671" s="111"/>
      <c r="EF35671"/>
      <c r="EG35671"/>
      <c r="EH35671"/>
      <c r="EI35671"/>
      <c r="EJ35671"/>
      <c r="EK35671"/>
    </row>
    <row r="35672" spans="1:141" s="116" customFormat="1">
      <c r="A35672" s="136"/>
      <c r="CM35672" s="111"/>
      <c r="CQ35672" s="111"/>
      <c r="EF35672"/>
      <c r="EG35672"/>
      <c r="EH35672"/>
      <c r="EI35672"/>
      <c r="EJ35672"/>
      <c r="EK35672"/>
    </row>
    <row r="35673" spans="1:141" s="116" customFormat="1">
      <c r="A35673" s="136"/>
      <c r="CM35673" s="111"/>
      <c r="CQ35673" s="111"/>
      <c r="EF35673"/>
      <c r="EG35673"/>
      <c r="EH35673"/>
      <c r="EI35673"/>
      <c r="EJ35673"/>
      <c r="EK35673"/>
    </row>
    <row r="35674" spans="1:141" s="116" customFormat="1">
      <c r="A35674" s="136"/>
      <c r="CM35674" s="111"/>
      <c r="CQ35674" s="111"/>
      <c r="EF35674"/>
      <c r="EG35674"/>
      <c r="EH35674"/>
      <c r="EI35674"/>
      <c r="EJ35674"/>
      <c r="EK35674"/>
    </row>
    <row r="35675" spans="1:141" s="116" customFormat="1">
      <c r="A35675" s="136"/>
      <c r="CM35675" s="111"/>
      <c r="CQ35675" s="111"/>
      <c r="EF35675"/>
      <c r="EG35675"/>
      <c r="EH35675"/>
      <c r="EI35675"/>
      <c r="EJ35675"/>
      <c r="EK35675"/>
    </row>
    <row r="35676" spans="1:141" s="116" customFormat="1">
      <c r="A35676" s="136"/>
      <c r="CM35676" s="111"/>
      <c r="CQ35676" s="111"/>
      <c r="EF35676"/>
      <c r="EG35676"/>
      <c r="EH35676"/>
      <c r="EI35676"/>
      <c r="EJ35676"/>
      <c r="EK35676"/>
    </row>
    <row r="35677" spans="1:141" s="116" customFormat="1">
      <c r="A35677" s="136"/>
      <c r="CM35677" s="111"/>
      <c r="CQ35677" s="111"/>
      <c r="EF35677"/>
      <c r="EG35677"/>
      <c r="EH35677"/>
      <c r="EI35677"/>
      <c r="EJ35677"/>
      <c r="EK35677"/>
    </row>
    <row r="35678" spans="1:141" s="116" customFormat="1">
      <c r="A35678" s="136"/>
      <c r="CM35678" s="111"/>
      <c r="CQ35678" s="111"/>
      <c r="EF35678"/>
      <c r="EG35678"/>
      <c r="EH35678"/>
      <c r="EI35678"/>
      <c r="EJ35678"/>
      <c r="EK35678"/>
    </row>
    <row r="35679" spans="1:141" s="116" customFormat="1">
      <c r="A35679" s="136"/>
      <c r="CM35679" s="111"/>
      <c r="CQ35679" s="111"/>
      <c r="EF35679"/>
      <c r="EG35679"/>
      <c r="EH35679"/>
      <c r="EI35679"/>
      <c r="EJ35679"/>
      <c r="EK35679"/>
    </row>
    <row r="35680" spans="1:141" s="116" customFormat="1">
      <c r="A35680" s="136"/>
      <c r="CM35680" s="111"/>
      <c r="CQ35680" s="111"/>
      <c r="EF35680"/>
      <c r="EG35680"/>
      <c r="EH35680"/>
      <c r="EI35680"/>
      <c r="EJ35680"/>
      <c r="EK35680"/>
    </row>
    <row r="35681" spans="1:141" s="116" customFormat="1">
      <c r="A35681" s="136"/>
      <c r="CM35681" s="111"/>
      <c r="CQ35681" s="111"/>
      <c r="EF35681"/>
      <c r="EG35681"/>
      <c r="EH35681"/>
      <c r="EI35681"/>
      <c r="EJ35681"/>
      <c r="EK35681"/>
    </row>
    <row r="35682" spans="1:141" s="116" customFormat="1">
      <c r="A35682" s="136"/>
      <c r="CM35682" s="111"/>
      <c r="CQ35682" s="111"/>
      <c r="EF35682"/>
      <c r="EG35682"/>
      <c r="EH35682"/>
      <c r="EI35682"/>
      <c r="EJ35682"/>
      <c r="EK35682"/>
    </row>
    <row r="35683" spans="1:141" s="116" customFormat="1">
      <c r="A35683" s="136"/>
      <c r="CM35683" s="111"/>
      <c r="CQ35683" s="111"/>
      <c r="EF35683"/>
      <c r="EG35683"/>
      <c r="EH35683"/>
      <c r="EI35683"/>
      <c r="EJ35683"/>
      <c r="EK35683"/>
    </row>
    <row r="35684" spans="1:141" s="116" customFormat="1">
      <c r="A35684" s="136"/>
      <c r="CM35684" s="111"/>
      <c r="CQ35684" s="111"/>
      <c r="EF35684"/>
      <c r="EG35684"/>
      <c r="EH35684"/>
      <c r="EI35684"/>
      <c r="EJ35684"/>
      <c r="EK35684"/>
    </row>
    <row r="35685" spans="1:141" s="116" customFormat="1">
      <c r="A35685" s="136"/>
      <c r="CM35685" s="111"/>
      <c r="CQ35685" s="111"/>
      <c r="EF35685"/>
      <c r="EG35685"/>
      <c r="EH35685"/>
      <c r="EI35685"/>
      <c r="EJ35685"/>
      <c r="EK35685"/>
    </row>
    <row r="35686" spans="1:141" s="116" customFormat="1">
      <c r="A35686" s="136"/>
      <c r="CM35686" s="111"/>
      <c r="CQ35686" s="111"/>
      <c r="EF35686"/>
      <c r="EG35686"/>
      <c r="EH35686"/>
      <c r="EI35686"/>
      <c r="EJ35686"/>
      <c r="EK35686"/>
    </row>
    <row r="35687" spans="1:141" s="116" customFormat="1">
      <c r="A35687" s="136"/>
      <c r="CM35687" s="111"/>
      <c r="CQ35687" s="111"/>
      <c r="EF35687"/>
      <c r="EG35687"/>
      <c r="EH35687"/>
      <c r="EI35687"/>
      <c r="EJ35687"/>
      <c r="EK35687"/>
    </row>
    <row r="35688" spans="1:141" s="116" customFormat="1">
      <c r="A35688" s="136"/>
      <c r="CM35688" s="111"/>
      <c r="CQ35688" s="111"/>
      <c r="EF35688"/>
      <c r="EG35688"/>
      <c r="EH35688"/>
      <c r="EI35688"/>
      <c r="EJ35688"/>
      <c r="EK35688"/>
    </row>
    <row r="35689" spans="1:141" s="116" customFormat="1">
      <c r="A35689" s="136"/>
      <c r="CM35689" s="111"/>
      <c r="CQ35689" s="111"/>
      <c r="EF35689"/>
      <c r="EG35689"/>
      <c r="EH35689"/>
      <c r="EI35689"/>
      <c r="EJ35689"/>
      <c r="EK35689"/>
    </row>
    <row r="35690" spans="1:141" s="116" customFormat="1">
      <c r="A35690" s="136"/>
      <c r="CM35690" s="111"/>
      <c r="CQ35690" s="111"/>
      <c r="EF35690"/>
      <c r="EG35690"/>
      <c r="EH35690"/>
      <c r="EI35690"/>
      <c r="EJ35690"/>
      <c r="EK35690"/>
    </row>
    <row r="35691" spans="1:141" s="116" customFormat="1">
      <c r="A35691" s="136"/>
      <c r="CM35691" s="111"/>
      <c r="CQ35691" s="111"/>
      <c r="EF35691"/>
      <c r="EG35691"/>
      <c r="EH35691"/>
      <c r="EI35691"/>
      <c r="EJ35691"/>
      <c r="EK35691"/>
    </row>
    <row r="35692" spans="1:141" s="116" customFormat="1">
      <c r="A35692" s="136"/>
      <c r="CM35692" s="111"/>
      <c r="CQ35692" s="111"/>
      <c r="EF35692"/>
      <c r="EG35692"/>
      <c r="EH35692"/>
      <c r="EI35692"/>
      <c r="EJ35692"/>
      <c r="EK35692"/>
    </row>
    <row r="35693" spans="1:141" s="116" customFormat="1">
      <c r="A35693" s="136"/>
      <c r="CM35693" s="111"/>
      <c r="CQ35693" s="111"/>
      <c r="EF35693"/>
      <c r="EG35693"/>
      <c r="EH35693"/>
      <c r="EI35693"/>
      <c r="EJ35693"/>
      <c r="EK35693"/>
    </row>
    <row r="35694" spans="1:141" s="116" customFormat="1">
      <c r="A35694" s="136"/>
      <c r="CM35694" s="111"/>
      <c r="CQ35694" s="111"/>
      <c r="EF35694"/>
      <c r="EG35694"/>
      <c r="EH35694"/>
      <c r="EI35694"/>
      <c r="EJ35694"/>
      <c r="EK35694"/>
    </row>
    <row r="35695" spans="1:141" s="116" customFormat="1">
      <c r="A35695" s="136"/>
      <c r="CM35695" s="111"/>
      <c r="CQ35695" s="111"/>
      <c r="EF35695"/>
      <c r="EG35695"/>
      <c r="EH35695"/>
      <c r="EI35695"/>
      <c r="EJ35695"/>
      <c r="EK35695"/>
    </row>
    <row r="35696" spans="1:141" s="116" customFormat="1">
      <c r="A35696" s="136"/>
      <c r="CM35696" s="111"/>
      <c r="CQ35696" s="111"/>
      <c r="EF35696"/>
      <c r="EG35696"/>
      <c r="EH35696"/>
      <c r="EI35696"/>
      <c r="EJ35696"/>
      <c r="EK35696"/>
    </row>
    <row r="35697" spans="1:141" s="116" customFormat="1">
      <c r="A35697" s="136"/>
      <c r="CM35697" s="111"/>
      <c r="CQ35697" s="111"/>
      <c r="EF35697"/>
      <c r="EG35697"/>
      <c r="EH35697"/>
      <c r="EI35697"/>
      <c r="EJ35697"/>
      <c r="EK35697"/>
    </row>
    <row r="35698" spans="1:141" s="116" customFormat="1">
      <c r="A35698" s="136"/>
      <c r="CM35698" s="111"/>
      <c r="CQ35698" s="111"/>
      <c r="EF35698"/>
      <c r="EG35698"/>
      <c r="EH35698"/>
      <c r="EI35698"/>
      <c r="EJ35698"/>
      <c r="EK35698"/>
    </row>
    <row r="35699" spans="1:141" s="116" customFormat="1">
      <c r="A35699" s="136"/>
      <c r="CM35699" s="111"/>
      <c r="CQ35699" s="111"/>
      <c r="EF35699"/>
      <c r="EG35699"/>
      <c r="EH35699"/>
      <c r="EI35699"/>
      <c r="EJ35699"/>
      <c r="EK35699"/>
    </row>
    <row r="35700" spans="1:141" s="116" customFormat="1">
      <c r="A35700" s="136"/>
      <c r="CM35700" s="111"/>
      <c r="CQ35700" s="111"/>
      <c r="EF35700"/>
      <c r="EG35700"/>
      <c r="EH35700"/>
      <c r="EI35700"/>
      <c r="EJ35700"/>
      <c r="EK35700"/>
    </row>
    <row r="35701" spans="1:141" s="116" customFormat="1">
      <c r="A35701" s="136"/>
      <c r="CM35701" s="111"/>
      <c r="CQ35701" s="111"/>
      <c r="EF35701"/>
      <c r="EG35701"/>
      <c r="EH35701"/>
      <c r="EI35701"/>
      <c r="EJ35701"/>
      <c r="EK35701"/>
    </row>
    <row r="35702" spans="1:141" s="116" customFormat="1">
      <c r="A35702" s="136"/>
      <c r="CM35702" s="111"/>
      <c r="CQ35702" s="111"/>
      <c r="EF35702"/>
      <c r="EG35702"/>
      <c r="EH35702"/>
      <c r="EI35702"/>
      <c r="EJ35702"/>
      <c r="EK35702"/>
    </row>
    <row r="35703" spans="1:141" s="116" customFormat="1">
      <c r="A35703" s="136"/>
      <c r="CM35703" s="111"/>
      <c r="CQ35703" s="111"/>
      <c r="EF35703"/>
      <c r="EG35703"/>
      <c r="EH35703"/>
      <c r="EI35703"/>
      <c r="EJ35703"/>
      <c r="EK35703"/>
    </row>
    <row r="35704" spans="1:141" s="116" customFormat="1">
      <c r="A35704" s="136"/>
      <c r="CM35704" s="111"/>
      <c r="CQ35704" s="111"/>
      <c r="EF35704"/>
      <c r="EG35704"/>
      <c r="EH35704"/>
      <c r="EI35704"/>
      <c r="EJ35704"/>
      <c r="EK35704"/>
    </row>
    <row r="35705" spans="1:141" s="116" customFormat="1">
      <c r="A35705" s="136"/>
      <c r="CM35705" s="111"/>
      <c r="CQ35705" s="111"/>
      <c r="EF35705"/>
      <c r="EG35705"/>
      <c r="EH35705"/>
      <c r="EI35705"/>
      <c r="EJ35705"/>
      <c r="EK35705"/>
    </row>
    <row r="35706" spans="1:141" s="116" customFormat="1">
      <c r="A35706" s="136"/>
      <c r="CM35706" s="111"/>
      <c r="CQ35706" s="111"/>
      <c r="EF35706"/>
      <c r="EG35706"/>
      <c r="EH35706"/>
      <c r="EI35706"/>
      <c r="EJ35706"/>
      <c r="EK35706"/>
    </row>
    <row r="35707" spans="1:141" s="116" customFormat="1">
      <c r="A35707" s="136"/>
      <c r="CM35707" s="111"/>
      <c r="CQ35707" s="111"/>
      <c r="EF35707"/>
      <c r="EG35707"/>
      <c r="EH35707"/>
      <c r="EI35707"/>
      <c r="EJ35707"/>
      <c r="EK35707"/>
    </row>
    <row r="35708" spans="1:141" s="116" customFormat="1">
      <c r="A35708" s="136"/>
      <c r="CM35708" s="111"/>
      <c r="CQ35708" s="111"/>
      <c r="EF35708"/>
      <c r="EG35708"/>
      <c r="EH35708"/>
      <c r="EI35708"/>
      <c r="EJ35708"/>
      <c r="EK35708"/>
    </row>
    <row r="35709" spans="1:141" s="116" customFormat="1">
      <c r="A35709" s="136"/>
      <c r="CM35709" s="111"/>
      <c r="CQ35709" s="111"/>
      <c r="EF35709"/>
      <c r="EG35709"/>
      <c r="EH35709"/>
      <c r="EI35709"/>
      <c r="EJ35709"/>
      <c r="EK35709"/>
    </row>
    <row r="35710" spans="1:141" s="116" customFormat="1">
      <c r="A35710" s="136"/>
      <c r="CM35710" s="111"/>
      <c r="CQ35710" s="111"/>
      <c r="EF35710"/>
      <c r="EG35710"/>
      <c r="EH35710"/>
      <c r="EI35710"/>
      <c r="EJ35710"/>
      <c r="EK35710"/>
    </row>
    <row r="35711" spans="1:141" s="116" customFormat="1">
      <c r="A35711" s="136"/>
      <c r="CM35711" s="111"/>
      <c r="CQ35711" s="111"/>
      <c r="EF35711"/>
      <c r="EG35711"/>
      <c r="EH35711"/>
      <c r="EI35711"/>
      <c r="EJ35711"/>
      <c r="EK35711"/>
    </row>
    <row r="35712" spans="1:141" s="116" customFormat="1">
      <c r="A35712" s="136"/>
      <c r="CM35712" s="111"/>
      <c r="CQ35712" s="111"/>
      <c r="EF35712"/>
      <c r="EG35712"/>
      <c r="EH35712"/>
      <c r="EI35712"/>
      <c r="EJ35712"/>
      <c r="EK35712"/>
    </row>
    <row r="35713" spans="1:141" s="116" customFormat="1">
      <c r="A35713" s="136"/>
      <c r="CM35713" s="111"/>
      <c r="CQ35713" s="111"/>
      <c r="EF35713"/>
      <c r="EG35713"/>
      <c r="EH35713"/>
      <c r="EI35713"/>
      <c r="EJ35713"/>
      <c r="EK35713"/>
    </row>
    <row r="35714" spans="1:141" s="116" customFormat="1">
      <c r="A35714" s="136"/>
      <c r="CM35714" s="111"/>
      <c r="CQ35714" s="111"/>
      <c r="EF35714"/>
      <c r="EG35714"/>
      <c r="EH35714"/>
      <c r="EI35714"/>
      <c r="EJ35714"/>
      <c r="EK35714"/>
    </row>
    <row r="35715" spans="1:141" s="116" customFormat="1">
      <c r="A35715" s="136"/>
      <c r="CM35715" s="111"/>
      <c r="CQ35715" s="111"/>
      <c r="EF35715"/>
      <c r="EG35715"/>
      <c r="EH35715"/>
      <c r="EI35715"/>
      <c r="EJ35715"/>
      <c r="EK35715"/>
    </row>
    <row r="35716" spans="1:141" s="116" customFormat="1">
      <c r="A35716" s="136"/>
      <c r="CM35716" s="111"/>
      <c r="CQ35716" s="111"/>
      <c r="EF35716"/>
      <c r="EG35716"/>
      <c r="EH35716"/>
      <c r="EI35716"/>
      <c r="EJ35716"/>
      <c r="EK35716"/>
    </row>
    <row r="35717" spans="1:141" s="116" customFormat="1">
      <c r="A35717" s="136"/>
      <c r="CM35717" s="111"/>
      <c r="CQ35717" s="111"/>
      <c r="EF35717"/>
      <c r="EG35717"/>
      <c r="EH35717"/>
      <c r="EI35717"/>
      <c r="EJ35717"/>
      <c r="EK35717"/>
    </row>
    <row r="35718" spans="1:141" s="116" customFormat="1">
      <c r="A35718" s="136"/>
      <c r="CM35718" s="111"/>
      <c r="CQ35718" s="111"/>
      <c r="EF35718"/>
      <c r="EG35718"/>
      <c r="EH35718"/>
      <c r="EI35718"/>
      <c r="EJ35718"/>
      <c r="EK35718"/>
    </row>
    <row r="35719" spans="1:141" s="116" customFormat="1">
      <c r="A35719" s="136"/>
      <c r="CM35719" s="111"/>
      <c r="CQ35719" s="111"/>
      <c r="EF35719"/>
      <c r="EG35719"/>
      <c r="EH35719"/>
      <c r="EI35719"/>
      <c r="EJ35719"/>
      <c r="EK35719"/>
    </row>
    <row r="35720" spans="1:141" s="116" customFormat="1">
      <c r="A35720" s="136"/>
      <c r="CM35720" s="111"/>
      <c r="CQ35720" s="111"/>
      <c r="EF35720"/>
      <c r="EG35720"/>
      <c r="EH35720"/>
      <c r="EI35720"/>
      <c r="EJ35720"/>
      <c r="EK35720"/>
    </row>
    <row r="35721" spans="1:141" s="116" customFormat="1">
      <c r="A35721" s="136"/>
      <c r="CM35721" s="111"/>
      <c r="CQ35721" s="111"/>
      <c r="EF35721"/>
      <c r="EG35721"/>
      <c r="EH35721"/>
      <c r="EI35721"/>
      <c r="EJ35721"/>
      <c r="EK35721"/>
    </row>
    <row r="35722" spans="1:141" s="116" customFormat="1">
      <c r="A35722" s="136"/>
      <c r="CM35722" s="111"/>
      <c r="CQ35722" s="111"/>
      <c r="EF35722"/>
      <c r="EG35722"/>
      <c r="EH35722"/>
      <c r="EI35722"/>
      <c r="EJ35722"/>
      <c r="EK35722"/>
    </row>
    <row r="35723" spans="1:141" s="116" customFormat="1">
      <c r="A35723" s="136"/>
      <c r="CM35723" s="111"/>
      <c r="CQ35723" s="111"/>
      <c r="EF35723"/>
      <c r="EG35723"/>
      <c r="EH35723"/>
      <c r="EI35723"/>
      <c r="EJ35723"/>
      <c r="EK35723"/>
    </row>
    <row r="35724" spans="1:141" s="116" customFormat="1">
      <c r="A35724" s="136"/>
      <c r="CM35724" s="111"/>
      <c r="CQ35724" s="111"/>
      <c r="EF35724"/>
      <c r="EG35724"/>
      <c r="EH35724"/>
      <c r="EI35724"/>
      <c r="EJ35724"/>
      <c r="EK35724"/>
    </row>
    <row r="35725" spans="1:141" s="116" customFormat="1">
      <c r="A35725" s="136"/>
      <c r="CM35725" s="111"/>
      <c r="CQ35725" s="111"/>
      <c r="EF35725"/>
      <c r="EG35725"/>
      <c r="EH35725"/>
      <c r="EI35725"/>
      <c r="EJ35725"/>
      <c r="EK35725"/>
    </row>
    <row r="35726" spans="1:141" s="116" customFormat="1">
      <c r="A35726" s="136"/>
      <c r="CM35726" s="111"/>
      <c r="CQ35726" s="111"/>
      <c r="EF35726"/>
      <c r="EG35726"/>
      <c r="EH35726"/>
      <c r="EI35726"/>
      <c r="EJ35726"/>
      <c r="EK35726"/>
    </row>
    <row r="35727" spans="1:141" s="116" customFormat="1">
      <c r="A35727" s="136"/>
      <c r="CM35727" s="111"/>
      <c r="CQ35727" s="111"/>
      <c r="EF35727"/>
      <c r="EG35727"/>
      <c r="EH35727"/>
      <c r="EI35727"/>
      <c r="EJ35727"/>
      <c r="EK35727"/>
    </row>
    <row r="35728" spans="1:141" s="116" customFormat="1">
      <c r="A35728" s="136"/>
      <c r="CM35728" s="111"/>
      <c r="CQ35728" s="111"/>
      <c r="EF35728"/>
      <c r="EG35728"/>
      <c r="EH35728"/>
      <c r="EI35728"/>
      <c r="EJ35728"/>
      <c r="EK35728"/>
    </row>
    <row r="35729" spans="1:141" s="116" customFormat="1">
      <c r="A35729" s="136"/>
      <c r="CM35729" s="111"/>
      <c r="CQ35729" s="111"/>
      <c r="EF35729"/>
      <c r="EG35729"/>
      <c r="EH35729"/>
      <c r="EI35729"/>
      <c r="EJ35729"/>
      <c r="EK35729"/>
    </row>
    <row r="35730" spans="1:141" s="116" customFormat="1">
      <c r="A35730" s="136"/>
      <c r="CM35730" s="111"/>
      <c r="CQ35730" s="111"/>
      <c r="EF35730"/>
      <c r="EG35730"/>
      <c r="EH35730"/>
      <c r="EI35730"/>
      <c r="EJ35730"/>
      <c r="EK35730"/>
    </row>
    <row r="35731" spans="1:141" s="116" customFormat="1">
      <c r="A35731" s="136"/>
      <c r="CM35731" s="111"/>
      <c r="CQ35731" s="111"/>
      <c r="EF35731"/>
      <c r="EG35731"/>
      <c r="EH35731"/>
      <c r="EI35731"/>
      <c r="EJ35731"/>
      <c r="EK35731"/>
    </row>
    <row r="35732" spans="1:141" s="116" customFormat="1">
      <c r="A35732" s="136"/>
      <c r="CM35732" s="111"/>
      <c r="CQ35732" s="111"/>
      <c r="EF35732"/>
      <c r="EG35732"/>
      <c r="EH35732"/>
      <c r="EI35732"/>
      <c r="EJ35732"/>
      <c r="EK35732"/>
    </row>
    <row r="35733" spans="1:141" s="116" customFormat="1">
      <c r="A35733" s="136"/>
      <c r="CM35733" s="111"/>
      <c r="CQ35733" s="111"/>
      <c r="EF35733"/>
      <c r="EG35733"/>
      <c r="EH35733"/>
      <c r="EI35733"/>
      <c r="EJ35733"/>
      <c r="EK35733"/>
    </row>
    <row r="35734" spans="1:141" s="116" customFormat="1">
      <c r="A35734" s="136"/>
      <c r="CM35734" s="111"/>
      <c r="CQ35734" s="111"/>
      <c r="EF35734"/>
      <c r="EG35734"/>
      <c r="EH35734"/>
      <c r="EI35734"/>
      <c r="EJ35734"/>
      <c r="EK35734"/>
    </row>
    <row r="35735" spans="1:141" s="116" customFormat="1">
      <c r="A35735" s="136"/>
      <c r="CM35735" s="111"/>
      <c r="CQ35735" s="111"/>
      <c r="EF35735"/>
      <c r="EG35735"/>
      <c r="EH35735"/>
      <c r="EI35735"/>
      <c r="EJ35735"/>
      <c r="EK35735"/>
    </row>
    <row r="35736" spans="1:141" s="116" customFormat="1">
      <c r="A35736" s="136"/>
      <c r="CM35736" s="111"/>
      <c r="CQ35736" s="111"/>
      <c r="EF35736"/>
      <c r="EG35736"/>
      <c r="EH35736"/>
      <c r="EI35736"/>
      <c r="EJ35736"/>
      <c r="EK35736"/>
    </row>
    <row r="35737" spans="1:141" s="116" customFormat="1">
      <c r="A35737" s="136"/>
      <c r="CM35737" s="111"/>
      <c r="CQ35737" s="111"/>
      <c r="EF35737"/>
      <c r="EG35737"/>
      <c r="EH35737"/>
      <c r="EI35737"/>
      <c r="EJ35737"/>
      <c r="EK35737"/>
    </row>
    <row r="35738" spans="1:141" s="116" customFormat="1">
      <c r="A35738" s="136"/>
      <c r="CM35738" s="111"/>
      <c r="CQ35738" s="111"/>
      <c r="EF35738"/>
      <c r="EG35738"/>
      <c r="EH35738"/>
      <c r="EI35738"/>
      <c r="EJ35738"/>
      <c r="EK35738"/>
    </row>
    <row r="35739" spans="1:141" s="116" customFormat="1">
      <c r="A35739" s="136"/>
      <c r="CM35739" s="111"/>
      <c r="CQ35739" s="111"/>
      <c r="EF35739"/>
      <c r="EG35739"/>
      <c r="EH35739"/>
      <c r="EI35739"/>
      <c r="EJ35739"/>
      <c r="EK35739"/>
    </row>
    <row r="35740" spans="1:141" s="116" customFormat="1">
      <c r="A35740" s="136"/>
      <c r="CM35740" s="111"/>
      <c r="CQ35740" s="111"/>
      <c r="EF35740"/>
      <c r="EG35740"/>
      <c r="EH35740"/>
      <c r="EI35740"/>
      <c r="EJ35740"/>
      <c r="EK35740"/>
    </row>
    <row r="35741" spans="1:141" s="116" customFormat="1">
      <c r="A35741" s="136"/>
      <c r="CM35741" s="111"/>
      <c r="CQ35741" s="111"/>
      <c r="EF35741"/>
      <c r="EG35741"/>
      <c r="EH35741"/>
      <c r="EI35741"/>
      <c r="EJ35741"/>
      <c r="EK35741"/>
    </row>
    <row r="35742" spans="1:141" s="116" customFormat="1">
      <c r="A35742" s="136"/>
      <c r="CM35742" s="111"/>
      <c r="CQ35742" s="111"/>
      <c r="EF35742"/>
      <c r="EG35742"/>
      <c r="EH35742"/>
      <c r="EI35742"/>
      <c r="EJ35742"/>
      <c r="EK35742"/>
    </row>
    <row r="35743" spans="1:141" s="116" customFormat="1">
      <c r="A35743" s="136"/>
      <c r="CM35743" s="111"/>
      <c r="CQ35743" s="111"/>
      <c r="EF35743"/>
      <c r="EG35743"/>
      <c r="EH35743"/>
      <c r="EI35743"/>
      <c r="EJ35743"/>
      <c r="EK35743"/>
    </row>
    <row r="35744" spans="1:141" s="116" customFormat="1">
      <c r="A35744" s="136"/>
      <c r="CM35744" s="111"/>
      <c r="CQ35744" s="111"/>
      <c r="EF35744"/>
      <c r="EG35744"/>
      <c r="EH35744"/>
      <c r="EI35744"/>
      <c r="EJ35744"/>
      <c r="EK35744"/>
    </row>
    <row r="35745" spans="1:141" s="116" customFormat="1">
      <c r="A35745" s="136"/>
      <c r="CM35745" s="111"/>
      <c r="CQ35745" s="111"/>
      <c r="EF35745"/>
      <c r="EG35745"/>
      <c r="EH35745"/>
      <c r="EI35745"/>
      <c r="EJ35745"/>
      <c r="EK35745"/>
    </row>
    <row r="35746" spans="1:141" s="116" customFormat="1">
      <c r="A35746" s="136"/>
      <c r="CM35746" s="111"/>
      <c r="CQ35746" s="111"/>
      <c r="EF35746"/>
      <c r="EG35746"/>
      <c r="EH35746"/>
      <c r="EI35746"/>
      <c r="EJ35746"/>
      <c r="EK35746"/>
    </row>
    <row r="35747" spans="1:141" s="116" customFormat="1">
      <c r="A35747" s="136"/>
      <c r="CM35747" s="111"/>
      <c r="CQ35747" s="111"/>
      <c r="EF35747"/>
      <c r="EG35747"/>
      <c r="EH35747"/>
      <c r="EI35747"/>
      <c r="EJ35747"/>
      <c r="EK35747"/>
    </row>
    <row r="35748" spans="1:141" s="116" customFormat="1">
      <c r="A35748" s="136"/>
      <c r="CM35748" s="111"/>
      <c r="CQ35748" s="111"/>
      <c r="EF35748"/>
      <c r="EG35748"/>
      <c r="EH35748"/>
      <c r="EI35748"/>
      <c r="EJ35748"/>
      <c r="EK35748"/>
    </row>
    <row r="35749" spans="1:141" s="116" customFormat="1">
      <c r="A35749" s="136"/>
      <c r="CM35749" s="111"/>
      <c r="CQ35749" s="111"/>
      <c r="EF35749"/>
      <c r="EG35749"/>
      <c r="EH35749"/>
      <c r="EI35749"/>
      <c r="EJ35749"/>
      <c r="EK35749"/>
    </row>
    <row r="35750" spans="1:141" s="116" customFormat="1">
      <c r="A35750" s="136"/>
      <c r="CM35750" s="111"/>
      <c r="CQ35750" s="111"/>
      <c r="EF35750"/>
      <c r="EG35750"/>
      <c r="EH35750"/>
      <c r="EI35750"/>
      <c r="EJ35750"/>
      <c r="EK35750"/>
    </row>
    <row r="35751" spans="1:141" s="116" customFormat="1">
      <c r="A35751" s="136"/>
      <c r="CM35751" s="111"/>
      <c r="CQ35751" s="111"/>
      <c r="EF35751"/>
      <c r="EG35751"/>
      <c r="EH35751"/>
      <c r="EI35751"/>
      <c r="EJ35751"/>
      <c r="EK35751"/>
    </row>
    <row r="35752" spans="1:141" s="116" customFormat="1">
      <c r="A35752" s="136"/>
      <c r="CM35752" s="111"/>
      <c r="CQ35752" s="111"/>
      <c r="EF35752"/>
      <c r="EG35752"/>
      <c r="EH35752"/>
      <c r="EI35752"/>
      <c r="EJ35752"/>
      <c r="EK35752"/>
    </row>
    <row r="35753" spans="1:141" s="116" customFormat="1">
      <c r="A35753" s="136"/>
      <c r="CM35753" s="111"/>
      <c r="CQ35753" s="111"/>
      <c r="EF35753"/>
      <c r="EG35753"/>
      <c r="EH35753"/>
      <c r="EI35753"/>
      <c r="EJ35753"/>
      <c r="EK35753"/>
    </row>
    <row r="35754" spans="1:141" s="116" customFormat="1">
      <c r="A35754" s="136"/>
      <c r="CM35754" s="111"/>
      <c r="CQ35754" s="111"/>
      <c r="EF35754"/>
      <c r="EG35754"/>
      <c r="EH35754"/>
      <c r="EI35754"/>
      <c r="EJ35754"/>
      <c r="EK35754"/>
    </row>
    <row r="35755" spans="1:141" s="116" customFormat="1">
      <c r="A35755" s="136"/>
      <c r="CM35755" s="111"/>
      <c r="CQ35755" s="111"/>
      <c r="EF35755"/>
      <c r="EG35755"/>
      <c r="EH35755"/>
      <c r="EI35755"/>
      <c r="EJ35755"/>
      <c r="EK35755"/>
    </row>
    <row r="35756" spans="1:141" s="116" customFormat="1">
      <c r="A35756" s="136"/>
      <c r="CM35756" s="111"/>
      <c r="CQ35756" s="111"/>
      <c r="EF35756"/>
      <c r="EG35756"/>
      <c r="EH35756"/>
      <c r="EI35756"/>
      <c r="EJ35756"/>
      <c r="EK35756"/>
    </row>
    <row r="35757" spans="1:141" s="116" customFormat="1">
      <c r="A35757" s="136"/>
      <c r="CM35757" s="111"/>
      <c r="CQ35757" s="111"/>
      <c r="EF35757"/>
      <c r="EG35757"/>
      <c r="EH35757"/>
      <c r="EI35757"/>
      <c r="EJ35757"/>
      <c r="EK35757"/>
    </row>
    <row r="35758" spans="1:141" s="116" customFormat="1">
      <c r="A35758" s="136"/>
      <c r="CM35758" s="111"/>
      <c r="CQ35758" s="111"/>
      <c r="EF35758"/>
      <c r="EG35758"/>
      <c r="EH35758"/>
      <c r="EI35758"/>
      <c r="EJ35758"/>
      <c r="EK35758"/>
    </row>
    <row r="35759" spans="1:141" s="116" customFormat="1">
      <c r="A35759" s="136"/>
      <c r="CM35759" s="111"/>
      <c r="CQ35759" s="111"/>
      <c r="EF35759"/>
      <c r="EG35759"/>
      <c r="EH35759"/>
      <c r="EI35759"/>
      <c r="EJ35759"/>
      <c r="EK35759"/>
    </row>
    <row r="35760" spans="1:141" s="116" customFormat="1">
      <c r="A35760" s="136"/>
      <c r="CM35760" s="111"/>
      <c r="CQ35760" s="111"/>
      <c r="EF35760"/>
      <c r="EG35760"/>
      <c r="EH35760"/>
      <c r="EI35760"/>
      <c r="EJ35760"/>
      <c r="EK35760"/>
    </row>
    <row r="35761" spans="1:141" s="116" customFormat="1">
      <c r="A35761" s="136"/>
      <c r="CM35761" s="111"/>
      <c r="CQ35761" s="111"/>
      <c r="EF35761"/>
      <c r="EG35761"/>
      <c r="EH35761"/>
      <c r="EI35761"/>
      <c r="EJ35761"/>
      <c r="EK35761"/>
    </row>
    <row r="35762" spans="1:141" s="116" customFormat="1">
      <c r="A35762" s="136"/>
      <c r="CM35762" s="111"/>
      <c r="CQ35762" s="111"/>
      <c r="EF35762"/>
      <c r="EG35762"/>
      <c r="EH35762"/>
      <c r="EI35762"/>
      <c r="EJ35762"/>
      <c r="EK35762"/>
    </row>
    <row r="35763" spans="1:141" s="116" customFormat="1">
      <c r="A35763" s="136"/>
      <c r="CM35763" s="111"/>
      <c r="CQ35763" s="111"/>
      <c r="EF35763"/>
      <c r="EG35763"/>
      <c r="EH35763"/>
      <c r="EI35763"/>
      <c r="EJ35763"/>
      <c r="EK35763"/>
    </row>
    <row r="35764" spans="1:141" s="116" customFormat="1">
      <c r="A35764" s="136"/>
      <c r="CM35764" s="111"/>
      <c r="CQ35764" s="111"/>
      <c r="EF35764"/>
      <c r="EG35764"/>
      <c r="EH35764"/>
      <c r="EI35764"/>
      <c r="EJ35764"/>
      <c r="EK35764"/>
    </row>
    <row r="35765" spans="1:141" s="116" customFormat="1">
      <c r="A35765" s="136"/>
      <c r="CM35765" s="111"/>
      <c r="CQ35765" s="111"/>
      <c r="EF35765"/>
      <c r="EG35765"/>
      <c r="EH35765"/>
      <c r="EI35765"/>
      <c r="EJ35765"/>
      <c r="EK35765"/>
    </row>
    <row r="35766" spans="1:141" s="116" customFormat="1">
      <c r="A35766" s="136"/>
      <c r="CM35766" s="111"/>
      <c r="CQ35766" s="111"/>
      <c r="EF35766"/>
      <c r="EG35766"/>
      <c r="EH35766"/>
      <c r="EI35766"/>
      <c r="EJ35766"/>
      <c r="EK35766"/>
    </row>
    <row r="35767" spans="1:141" s="116" customFormat="1">
      <c r="A35767" s="136"/>
      <c r="CM35767" s="111"/>
      <c r="CQ35767" s="111"/>
      <c r="EF35767"/>
      <c r="EG35767"/>
      <c r="EH35767"/>
      <c r="EI35767"/>
      <c r="EJ35767"/>
      <c r="EK35767"/>
    </row>
    <row r="35768" spans="1:141" s="116" customFormat="1">
      <c r="A35768" s="136"/>
      <c r="CM35768" s="111"/>
      <c r="CQ35768" s="111"/>
      <c r="EF35768"/>
      <c r="EG35768"/>
      <c r="EH35768"/>
      <c r="EI35768"/>
      <c r="EJ35768"/>
      <c r="EK35768"/>
    </row>
    <row r="35769" spans="1:141" s="116" customFormat="1">
      <c r="A35769" s="136"/>
      <c r="CM35769" s="111"/>
      <c r="CQ35769" s="111"/>
      <c r="EF35769"/>
      <c r="EG35769"/>
      <c r="EH35769"/>
      <c r="EI35769"/>
      <c r="EJ35769"/>
      <c r="EK35769"/>
    </row>
    <row r="35770" spans="1:141" s="116" customFormat="1">
      <c r="A35770" s="136"/>
      <c r="CM35770" s="111"/>
      <c r="CQ35770" s="111"/>
      <c r="EF35770"/>
      <c r="EG35770"/>
      <c r="EH35770"/>
      <c r="EI35770"/>
      <c r="EJ35770"/>
      <c r="EK35770"/>
    </row>
    <row r="35771" spans="1:141" s="116" customFormat="1">
      <c r="A35771" s="136"/>
      <c r="CM35771" s="111"/>
      <c r="CQ35771" s="111"/>
      <c r="EF35771"/>
      <c r="EG35771"/>
      <c r="EH35771"/>
      <c r="EI35771"/>
      <c r="EJ35771"/>
      <c r="EK35771"/>
    </row>
    <row r="35772" spans="1:141" s="116" customFormat="1">
      <c r="A35772" s="136"/>
      <c r="CM35772" s="111"/>
      <c r="CQ35772" s="111"/>
      <c r="EF35772"/>
      <c r="EG35772"/>
      <c r="EH35772"/>
      <c r="EI35772"/>
      <c r="EJ35772"/>
      <c r="EK35772"/>
    </row>
    <row r="35773" spans="1:141" s="116" customFormat="1">
      <c r="A35773" s="136"/>
      <c r="CM35773" s="111"/>
      <c r="CQ35773" s="111"/>
      <c r="EF35773"/>
      <c r="EG35773"/>
      <c r="EH35773"/>
      <c r="EI35773"/>
      <c r="EJ35773"/>
      <c r="EK35773"/>
    </row>
    <row r="35774" spans="1:141" s="116" customFormat="1">
      <c r="A35774" s="136"/>
      <c r="CM35774" s="111"/>
      <c r="CQ35774" s="111"/>
      <c r="EF35774"/>
      <c r="EG35774"/>
      <c r="EH35774"/>
      <c r="EI35774"/>
      <c r="EJ35774"/>
      <c r="EK35774"/>
    </row>
    <row r="35775" spans="1:141" s="116" customFormat="1">
      <c r="A35775" s="136"/>
      <c r="CM35775" s="111"/>
      <c r="CQ35775" s="111"/>
      <c r="EF35775"/>
      <c r="EG35775"/>
      <c r="EH35775"/>
      <c r="EI35775"/>
      <c r="EJ35775"/>
      <c r="EK35775"/>
    </row>
    <row r="35776" spans="1:141" s="116" customFormat="1">
      <c r="A35776" s="136"/>
      <c r="CM35776" s="111"/>
      <c r="CQ35776" s="111"/>
      <c r="EF35776"/>
      <c r="EG35776"/>
      <c r="EH35776"/>
      <c r="EI35776"/>
      <c r="EJ35776"/>
      <c r="EK35776"/>
    </row>
    <row r="35777" spans="1:141" s="116" customFormat="1">
      <c r="A35777" s="136"/>
      <c r="CM35777" s="111"/>
      <c r="CQ35777" s="111"/>
      <c r="EF35777"/>
      <c r="EG35777"/>
      <c r="EH35777"/>
      <c r="EI35777"/>
      <c r="EJ35777"/>
      <c r="EK35777"/>
    </row>
    <row r="35778" spans="1:141" s="116" customFormat="1">
      <c r="A35778" s="136"/>
      <c r="CM35778" s="111"/>
      <c r="CQ35778" s="111"/>
      <c r="EF35778"/>
      <c r="EG35778"/>
      <c r="EH35778"/>
      <c r="EI35778"/>
      <c r="EJ35778"/>
      <c r="EK35778"/>
    </row>
    <row r="35779" spans="1:141" s="116" customFormat="1">
      <c r="A35779" s="136"/>
      <c r="CM35779" s="111"/>
      <c r="CQ35779" s="111"/>
      <c r="EF35779"/>
      <c r="EG35779"/>
      <c r="EH35779"/>
      <c r="EI35779"/>
      <c r="EJ35779"/>
      <c r="EK35779"/>
    </row>
    <row r="35780" spans="1:141" s="116" customFormat="1">
      <c r="A35780" s="136"/>
      <c r="CM35780" s="111"/>
      <c r="CQ35780" s="111"/>
      <c r="EF35780"/>
      <c r="EG35780"/>
      <c r="EH35780"/>
      <c r="EI35780"/>
      <c r="EJ35780"/>
      <c r="EK35780"/>
    </row>
    <row r="35781" spans="1:141" s="116" customFormat="1">
      <c r="A35781" s="136"/>
      <c r="CM35781" s="111"/>
      <c r="CQ35781" s="111"/>
      <c r="EF35781"/>
      <c r="EG35781"/>
      <c r="EH35781"/>
      <c r="EI35781"/>
      <c r="EJ35781"/>
      <c r="EK35781"/>
    </row>
    <row r="35782" spans="1:141" s="116" customFormat="1">
      <c r="A35782" s="136"/>
      <c r="CM35782" s="111"/>
      <c r="CQ35782" s="111"/>
      <c r="EF35782"/>
      <c r="EG35782"/>
      <c r="EH35782"/>
      <c r="EI35782"/>
      <c r="EJ35782"/>
      <c r="EK35782"/>
    </row>
    <row r="35783" spans="1:141" s="116" customFormat="1">
      <c r="A35783" s="136"/>
      <c r="CM35783" s="111"/>
      <c r="CQ35783" s="111"/>
      <c r="EF35783"/>
      <c r="EG35783"/>
      <c r="EH35783"/>
      <c r="EI35783"/>
      <c r="EJ35783"/>
      <c r="EK35783"/>
    </row>
    <row r="35784" spans="1:141" s="116" customFormat="1">
      <c r="A35784" s="136"/>
      <c r="CM35784" s="111"/>
      <c r="CQ35784" s="111"/>
      <c r="EF35784"/>
      <c r="EG35784"/>
      <c r="EH35784"/>
      <c r="EI35784"/>
      <c r="EJ35784"/>
      <c r="EK35784"/>
    </row>
    <row r="35785" spans="1:141" s="116" customFormat="1">
      <c r="A35785" s="136"/>
      <c r="CM35785" s="111"/>
      <c r="CQ35785" s="111"/>
      <c r="EF35785"/>
      <c r="EG35785"/>
      <c r="EH35785"/>
      <c r="EI35785"/>
      <c r="EJ35785"/>
      <c r="EK35785"/>
    </row>
    <row r="35786" spans="1:141" s="116" customFormat="1">
      <c r="A35786" s="136"/>
      <c r="CM35786" s="111"/>
      <c r="CQ35786" s="111"/>
      <c r="EF35786"/>
      <c r="EG35786"/>
      <c r="EH35786"/>
      <c r="EI35786"/>
      <c r="EJ35786"/>
      <c r="EK35786"/>
    </row>
    <row r="35787" spans="1:141" s="116" customFormat="1">
      <c r="A35787" s="136"/>
      <c r="CM35787" s="111"/>
      <c r="CQ35787" s="111"/>
      <c r="EF35787"/>
      <c r="EG35787"/>
      <c r="EH35787"/>
      <c r="EI35787"/>
      <c r="EJ35787"/>
      <c r="EK35787"/>
    </row>
    <row r="35788" spans="1:141" s="116" customFormat="1">
      <c r="A35788" s="136"/>
      <c r="CM35788" s="111"/>
      <c r="CQ35788" s="111"/>
      <c r="EF35788"/>
      <c r="EG35788"/>
      <c r="EH35788"/>
      <c r="EI35788"/>
      <c r="EJ35788"/>
      <c r="EK35788"/>
    </row>
    <row r="35789" spans="1:141" s="116" customFormat="1">
      <c r="A35789" s="136"/>
      <c r="CM35789" s="111"/>
      <c r="CQ35789" s="111"/>
      <c r="EF35789"/>
      <c r="EG35789"/>
      <c r="EH35789"/>
      <c r="EI35789"/>
      <c r="EJ35789"/>
      <c r="EK35789"/>
    </row>
    <row r="35790" spans="1:141" s="116" customFormat="1">
      <c r="A35790" s="136"/>
      <c r="CM35790" s="111"/>
      <c r="CQ35790" s="111"/>
      <c r="EF35790"/>
      <c r="EG35790"/>
      <c r="EH35790"/>
      <c r="EI35790"/>
      <c r="EJ35790"/>
      <c r="EK35790"/>
    </row>
    <row r="35791" spans="1:141" s="116" customFormat="1">
      <c r="A35791" s="136"/>
      <c r="CM35791" s="111"/>
      <c r="CQ35791" s="111"/>
      <c r="EF35791"/>
      <c r="EG35791"/>
      <c r="EH35791"/>
      <c r="EI35791"/>
      <c r="EJ35791"/>
      <c r="EK35791"/>
    </row>
    <row r="35792" spans="1:141" s="116" customFormat="1">
      <c r="A35792" s="136"/>
      <c r="CM35792" s="111"/>
      <c r="CQ35792" s="111"/>
      <c r="EF35792"/>
      <c r="EG35792"/>
      <c r="EH35792"/>
      <c r="EI35792"/>
      <c r="EJ35792"/>
      <c r="EK35792"/>
    </row>
    <row r="35793" spans="1:141" s="116" customFormat="1">
      <c r="A35793" s="136"/>
      <c r="CM35793" s="111"/>
      <c r="CQ35793" s="111"/>
      <c r="EF35793"/>
      <c r="EG35793"/>
      <c r="EH35793"/>
      <c r="EI35793"/>
      <c r="EJ35793"/>
      <c r="EK35793"/>
    </row>
    <row r="35794" spans="1:141" s="116" customFormat="1">
      <c r="A35794" s="136"/>
      <c r="CM35794" s="111"/>
      <c r="CQ35794" s="111"/>
      <c r="EF35794"/>
      <c r="EG35794"/>
      <c r="EH35794"/>
      <c r="EI35794"/>
      <c r="EJ35794"/>
      <c r="EK35794"/>
    </row>
    <row r="35795" spans="1:141" s="116" customFormat="1">
      <c r="A35795" s="136"/>
      <c r="CM35795" s="111"/>
      <c r="CQ35795" s="111"/>
      <c r="EF35795"/>
      <c r="EG35795"/>
      <c r="EH35795"/>
      <c r="EI35795"/>
      <c r="EJ35795"/>
      <c r="EK35795"/>
    </row>
    <row r="35796" spans="1:141" s="116" customFormat="1">
      <c r="A35796" s="136"/>
      <c r="CM35796" s="111"/>
      <c r="CQ35796" s="111"/>
      <c r="EF35796"/>
      <c r="EG35796"/>
      <c r="EH35796"/>
      <c r="EI35796"/>
      <c r="EJ35796"/>
      <c r="EK35796"/>
    </row>
    <row r="35797" spans="1:141" s="116" customFormat="1">
      <c r="A35797" s="136"/>
      <c r="CM35797" s="111"/>
      <c r="CQ35797" s="111"/>
      <c r="EF35797"/>
      <c r="EG35797"/>
      <c r="EH35797"/>
      <c r="EI35797"/>
      <c r="EJ35797"/>
      <c r="EK35797"/>
    </row>
    <row r="35798" spans="1:141" s="116" customFormat="1">
      <c r="A35798" s="136"/>
      <c r="CM35798" s="111"/>
      <c r="CQ35798" s="111"/>
      <c r="EF35798"/>
      <c r="EG35798"/>
      <c r="EH35798"/>
      <c r="EI35798"/>
      <c r="EJ35798"/>
      <c r="EK35798"/>
    </row>
    <row r="35799" spans="1:141" s="116" customFormat="1">
      <c r="A35799" s="136"/>
      <c r="CM35799" s="111"/>
      <c r="CQ35799" s="111"/>
      <c r="EF35799"/>
      <c r="EG35799"/>
      <c r="EH35799"/>
      <c r="EI35799"/>
      <c r="EJ35799"/>
      <c r="EK35799"/>
    </row>
    <row r="35800" spans="1:141" s="116" customFormat="1">
      <c r="A35800" s="136"/>
      <c r="CM35800" s="111"/>
      <c r="CQ35800" s="111"/>
      <c r="EF35800"/>
      <c r="EG35800"/>
      <c r="EH35800"/>
      <c r="EI35800"/>
      <c r="EJ35800"/>
      <c r="EK35800"/>
    </row>
    <row r="35801" spans="1:141" s="116" customFormat="1">
      <c r="A35801" s="136"/>
      <c r="CM35801" s="111"/>
      <c r="CQ35801" s="111"/>
      <c r="EF35801"/>
      <c r="EG35801"/>
      <c r="EH35801"/>
      <c r="EI35801"/>
      <c r="EJ35801"/>
      <c r="EK35801"/>
    </row>
    <row r="35802" spans="1:141" s="116" customFormat="1">
      <c r="A35802" s="136"/>
      <c r="CM35802" s="111"/>
      <c r="CQ35802" s="111"/>
      <c r="EF35802"/>
      <c r="EG35802"/>
      <c r="EH35802"/>
      <c r="EI35802"/>
      <c r="EJ35802"/>
      <c r="EK35802"/>
    </row>
    <row r="35803" spans="1:141" s="116" customFormat="1">
      <c r="A35803" s="136"/>
      <c r="CM35803" s="111"/>
      <c r="CQ35803" s="111"/>
      <c r="EF35803"/>
      <c r="EG35803"/>
      <c r="EH35803"/>
      <c r="EI35803"/>
      <c r="EJ35803"/>
      <c r="EK35803"/>
    </row>
    <row r="35804" spans="1:141" s="116" customFormat="1">
      <c r="A35804" s="136"/>
      <c r="CM35804" s="111"/>
      <c r="CQ35804" s="111"/>
      <c r="EF35804"/>
      <c r="EG35804"/>
      <c r="EH35804"/>
      <c r="EI35804"/>
      <c r="EJ35804"/>
      <c r="EK35804"/>
    </row>
    <row r="35805" spans="1:141" s="116" customFormat="1">
      <c r="A35805" s="136"/>
      <c r="CM35805" s="111"/>
      <c r="CQ35805" s="111"/>
      <c r="EF35805"/>
      <c r="EG35805"/>
      <c r="EH35805"/>
      <c r="EI35805"/>
      <c r="EJ35805"/>
      <c r="EK35805"/>
    </row>
    <row r="35806" spans="1:141" s="116" customFormat="1">
      <c r="A35806" s="136"/>
      <c r="CM35806" s="111"/>
      <c r="CQ35806" s="111"/>
      <c r="EF35806"/>
      <c r="EG35806"/>
      <c r="EH35806"/>
      <c r="EI35806"/>
      <c r="EJ35806"/>
      <c r="EK35806"/>
    </row>
    <row r="35807" spans="1:141" s="116" customFormat="1">
      <c r="A35807" s="136"/>
      <c r="CM35807" s="111"/>
      <c r="CQ35807" s="111"/>
      <c r="EF35807"/>
      <c r="EG35807"/>
      <c r="EH35807"/>
      <c r="EI35807"/>
      <c r="EJ35807"/>
      <c r="EK35807"/>
    </row>
    <row r="35808" spans="1:141" s="116" customFormat="1">
      <c r="A35808" s="136"/>
      <c r="CM35808" s="111"/>
      <c r="CQ35808" s="111"/>
      <c r="EF35808"/>
      <c r="EG35808"/>
      <c r="EH35808"/>
      <c r="EI35808"/>
      <c r="EJ35808"/>
      <c r="EK35808"/>
    </row>
    <row r="35809" spans="1:141" s="116" customFormat="1">
      <c r="A35809" s="136"/>
      <c r="CM35809" s="111"/>
      <c r="CQ35809" s="111"/>
      <c r="EF35809"/>
      <c r="EG35809"/>
      <c r="EH35809"/>
      <c r="EI35809"/>
      <c r="EJ35809"/>
      <c r="EK35809"/>
    </row>
    <row r="35810" spans="1:141" s="116" customFormat="1">
      <c r="A35810" s="136"/>
      <c r="CM35810" s="111"/>
      <c r="CQ35810" s="111"/>
      <c r="EF35810"/>
      <c r="EG35810"/>
      <c r="EH35810"/>
      <c r="EI35810"/>
      <c r="EJ35810"/>
      <c r="EK35810"/>
    </row>
    <row r="35811" spans="1:141" s="116" customFormat="1">
      <c r="A35811" s="136"/>
      <c r="CM35811" s="111"/>
      <c r="CQ35811" s="111"/>
      <c r="EF35811"/>
      <c r="EG35811"/>
      <c r="EH35811"/>
      <c r="EI35811"/>
      <c r="EJ35811"/>
      <c r="EK35811"/>
    </row>
    <row r="35812" spans="1:141" s="116" customFormat="1">
      <c r="A35812" s="136"/>
      <c r="CM35812" s="111"/>
      <c r="CQ35812" s="111"/>
      <c r="EF35812"/>
      <c r="EG35812"/>
      <c r="EH35812"/>
      <c r="EI35812"/>
      <c r="EJ35812"/>
      <c r="EK35812"/>
    </row>
    <row r="35813" spans="1:141" s="116" customFormat="1">
      <c r="A35813" s="136"/>
      <c r="CM35813" s="111"/>
      <c r="CQ35813" s="111"/>
      <c r="EF35813"/>
      <c r="EG35813"/>
      <c r="EH35813"/>
      <c r="EI35813"/>
      <c r="EJ35813"/>
      <c r="EK35813"/>
    </row>
    <row r="35814" spans="1:141" s="116" customFormat="1">
      <c r="A35814" s="136"/>
      <c r="CM35814" s="111"/>
      <c r="CQ35814" s="111"/>
      <c r="EF35814"/>
      <c r="EG35814"/>
      <c r="EH35814"/>
      <c r="EI35814"/>
      <c r="EJ35814"/>
      <c r="EK35814"/>
    </row>
    <row r="35815" spans="1:141" s="116" customFormat="1">
      <c r="A35815" s="136"/>
      <c r="CM35815" s="111"/>
      <c r="CQ35815" s="111"/>
      <c r="EF35815"/>
      <c r="EG35815"/>
      <c r="EH35815"/>
      <c r="EI35815"/>
      <c r="EJ35815"/>
      <c r="EK35815"/>
    </row>
    <row r="35816" spans="1:141" s="116" customFormat="1">
      <c r="A35816" s="136"/>
      <c r="CM35816" s="111"/>
      <c r="CQ35816" s="111"/>
      <c r="EF35816"/>
      <c r="EG35816"/>
      <c r="EH35816"/>
      <c r="EI35816"/>
      <c r="EJ35816"/>
      <c r="EK35816"/>
    </row>
    <row r="35817" spans="1:141" s="116" customFormat="1">
      <c r="A35817" s="136"/>
      <c r="CM35817" s="111"/>
      <c r="CQ35817" s="111"/>
      <c r="EF35817"/>
      <c r="EG35817"/>
      <c r="EH35817"/>
      <c r="EI35817"/>
      <c r="EJ35817"/>
      <c r="EK35817"/>
    </row>
    <row r="35818" spans="1:141" s="116" customFormat="1">
      <c r="A35818" s="136"/>
      <c r="CM35818" s="111"/>
      <c r="CQ35818" s="111"/>
      <c r="EF35818"/>
      <c r="EG35818"/>
      <c r="EH35818"/>
      <c r="EI35818"/>
      <c r="EJ35818"/>
      <c r="EK35818"/>
    </row>
    <row r="35819" spans="1:141" s="116" customFormat="1">
      <c r="A35819" s="136"/>
      <c r="CM35819" s="111"/>
      <c r="CQ35819" s="111"/>
      <c r="EF35819"/>
      <c r="EG35819"/>
      <c r="EH35819"/>
      <c r="EI35819"/>
      <c r="EJ35819"/>
      <c r="EK35819"/>
    </row>
    <row r="35820" spans="1:141" s="116" customFormat="1">
      <c r="A35820" s="136"/>
      <c r="CM35820" s="111"/>
      <c r="CQ35820" s="111"/>
      <c r="EF35820"/>
      <c r="EG35820"/>
      <c r="EH35820"/>
      <c r="EI35820"/>
      <c r="EJ35820"/>
      <c r="EK35820"/>
    </row>
    <row r="35821" spans="1:141" s="116" customFormat="1">
      <c r="A35821" s="136"/>
      <c r="CM35821" s="111"/>
      <c r="CQ35821" s="111"/>
      <c r="EF35821"/>
      <c r="EG35821"/>
      <c r="EH35821"/>
      <c r="EI35821"/>
      <c r="EJ35821"/>
      <c r="EK35821"/>
    </row>
    <row r="35822" spans="1:141" s="116" customFormat="1">
      <c r="A35822" s="136"/>
      <c r="CM35822" s="111"/>
      <c r="CQ35822" s="111"/>
      <c r="EF35822"/>
      <c r="EG35822"/>
      <c r="EH35822"/>
      <c r="EI35822"/>
      <c r="EJ35822"/>
      <c r="EK35822"/>
    </row>
    <row r="35823" spans="1:141" s="116" customFormat="1">
      <c r="A35823" s="136"/>
      <c r="CM35823" s="111"/>
      <c r="CQ35823" s="111"/>
      <c r="EF35823"/>
      <c r="EG35823"/>
      <c r="EH35823"/>
      <c r="EI35823"/>
      <c r="EJ35823"/>
      <c r="EK35823"/>
    </row>
    <row r="35824" spans="1:141" s="116" customFormat="1">
      <c r="A35824" s="136"/>
      <c r="CM35824" s="111"/>
      <c r="CQ35824" s="111"/>
      <c r="EF35824"/>
      <c r="EG35824"/>
      <c r="EH35824"/>
      <c r="EI35824"/>
      <c r="EJ35824"/>
      <c r="EK35824"/>
    </row>
    <row r="35825" spans="1:141" s="116" customFormat="1">
      <c r="A35825" s="136"/>
      <c r="CM35825" s="111"/>
      <c r="CQ35825" s="111"/>
      <c r="EF35825"/>
      <c r="EG35825"/>
      <c r="EH35825"/>
      <c r="EI35825"/>
      <c r="EJ35825"/>
      <c r="EK35825"/>
    </row>
    <row r="35826" spans="1:141" s="116" customFormat="1">
      <c r="A35826" s="136"/>
      <c r="CM35826" s="111"/>
      <c r="CQ35826" s="111"/>
      <c r="EF35826"/>
      <c r="EG35826"/>
      <c r="EH35826"/>
      <c r="EI35826"/>
      <c r="EJ35826"/>
      <c r="EK35826"/>
    </row>
    <row r="35827" spans="1:141" s="116" customFormat="1">
      <c r="A35827" s="136"/>
      <c r="CM35827" s="111"/>
      <c r="CQ35827" s="111"/>
      <c r="EF35827"/>
      <c r="EG35827"/>
      <c r="EH35827"/>
      <c r="EI35827"/>
      <c r="EJ35827"/>
      <c r="EK35827"/>
    </row>
    <row r="35828" spans="1:141" s="116" customFormat="1">
      <c r="A35828" s="136"/>
      <c r="CM35828" s="111"/>
      <c r="CQ35828" s="111"/>
      <c r="EF35828"/>
      <c r="EG35828"/>
      <c r="EH35828"/>
      <c r="EI35828"/>
      <c r="EJ35828"/>
      <c r="EK35828"/>
    </row>
    <row r="35829" spans="1:141" s="116" customFormat="1">
      <c r="A35829" s="136"/>
      <c r="CM35829" s="111"/>
      <c r="CQ35829" s="111"/>
      <c r="EF35829"/>
      <c r="EG35829"/>
      <c r="EH35829"/>
      <c r="EI35829"/>
      <c r="EJ35829"/>
      <c r="EK35829"/>
    </row>
    <row r="35830" spans="1:141" s="116" customFormat="1">
      <c r="A35830" s="136"/>
      <c r="CM35830" s="111"/>
      <c r="CQ35830" s="111"/>
      <c r="EF35830"/>
      <c r="EG35830"/>
      <c r="EH35830"/>
      <c r="EI35830"/>
      <c r="EJ35830"/>
      <c r="EK35830"/>
    </row>
    <row r="35831" spans="1:141" s="116" customFormat="1">
      <c r="A35831" s="136"/>
      <c r="CM35831" s="111"/>
      <c r="CQ35831" s="111"/>
      <c r="EF35831"/>
      <c r="EG35831"/>
      <c r="EH35831"/>
      <c r="EI35831"/>
      <c r="EJ35831"/>
      <c r="EK35831"/>
    </row>
    <row r="35832" spans="1:141" s="116" customFormat="1">
      <c r="A35832" s="136"/>
      <c r="CM35832" s="111"/>
      <c r="CQ35832" s="111"/>
      <c r="EF35832"/>
      <c r="EG35832"/>
      <c r="EH35832"/>
      <c r="EI35832"/>
      <c r="EJ35832"/>
      <c r="EK35832"/>
    </row>
    <row r="35833" spans="1:141" s="116" customFormat="1">
      <c r="A35833" s="136"/>
      <c r="CM35833" s="111"/>
      <c r="CQ35833" s="111"/>
      <c r="EF35833"/>
      <c r="EG35833"/>
      <c r="EH35833"/>
      <c r="EI35833"/>
      <c r="EJ35833"/>
      <c r="EK35833"/>
    </row>
    <row r="35834" spans="1:141" s="116" customFormat="1">
      <c r="A35834" s="136"/>
      <c r="CM35834" s="111"/>
      <c r="CQ35834" s="111"/>
      <c r="EF35834"/>
      <c r="EG35834"/>
      <c r="EH35834"/>
      <c r="EI35834"/>
      <c r="EJ35834"/>
      <c r="EK35834"/>
    </row>
    <row r="35835" spans="1:141" s="116" customFormat="1">
      <c r="A35835" s="136"/>
      <c r="CM35835" s="111"/>
      <c r="CQ35835" s="111"/>
      <c r="EF35835"/>
      <c r="EG35835"/>
      <c r="EH35835"/>
      <c r="EI35835"/>
      <c r="EJ35835"/>
      <c r="EK35835"/>
    </row>
    <row r="35836" spans="1:141" s="116" customFormat="1">
      <c r="A35836" s="136"/>
      <c r="CM35836" s="111"/>
      <c r="CQ35836" s="111"/>
      <c r="EF35836"/>
      <c r="EG35836"/>
      <c r="EH35836"/>
      <c r="EI35836"/>
      <c r="EJ35836"/>
      <c r="EK35836"/>
    </row>
    <row r="35837" spans="1:141" s="116" customFormat="1">
      <c r="A35837" s="136"/>
      <c r="CM35837" s="111"/>
      <c r="CQ35837" s="111"/>
      <c r="EF35837"/>
      <c r="EG35837"/>
      <c r="EH35837"/>
      <c r="EI35837"/>
      <c r="EJ35837"/>
      <c r="EK35837"/>
    </row>
    <row r="35838" spans="1:141" s="116" customFormat="1">
      <c r="A35838" s="136"/>
      <c r="CM35838" s="111"/>
      <c r="CQ35838" s="111"/>
      <c r="EF35838"/>
      <c r="EG35838"/>
      <c r="EH35838"/>
      <c r="EI35838"/>
      <c r="EJ35838"/>
      <c r="EK35838"/>
    </row>
    <row r="35839" spans="1:141" s="116" customFormat="1">
      <c r="A35839" s="136"/>
      <c r="CM35839" s="111"/>
      <c r="CQ35839" s="111"/>
      <c r="EF35839"/>
      <c r="EG35839"/>
      <c r="EH35839"/>
      <c r="EI35839"/>
      <c r="EJ35839"/>
      <c r="EK35839"/>
    </row>
    <row r="35840" spans="1:141" s="116" customFormat="1">
      <c r="A35840" s="136"/>
      <c r="CM35840" s="111"/>
      <c r="CQ35840" s="111"/>
      <c r="EF35840"/>
      <c r="EG35840"/>
      <c r="EH35840"/>
      <c r="EI35840"/>
      <c r="EJ35840"/>
      <c r="EK35840"/>
    </row>
    <row r="35841" spans="1:141" s="116" customFormat="1">
      <c r="A35841" s="136"/>
      <c r="CM35841" s="111"/>
      <c r="CQ35841" s="111"/>
      <c r="EF35841"/>
      <c r="EG35841"/>
      <c r="EH35841"/>
      <c r="EI35841"/>
      <c r="EJ35841"/>
      <c r="EK35841"/>
    </row>
    <row r="35842" spans="1:141" s="116" customFormat="1">
      <c r="A35842" s="136"/>
      <c r="CM35842" s="111"/>
      <c r="CQ35842" s="111"/>
      <c r="EF35842"/>
      <c r="EG35842"/>
      <c r="EH35842"/>
      <c r="EI35842"/>
      <c r="EJ35842"/>
      <c r="EK35842"/>
    </row>
    <row r="35843" spans="1:141" s="116" customFormat="1">
      <c r="A35843" s="136"/>
      <c r="CM35843" s="111"/>
      <c r="CQ35843" s="111"/>
      <c r="EF35843"/>
      <c r="EG35843"/>
      <c r="EH35843"/>
      <c r="EI35843"/>
      <c r="EJ35843"/>
      <c r="EK35843"/>
    </row>
    <row r="35844" spans="1:141" s="116" customFormat="1">
      <c r="A35844" s="136"/>
      <c r="CM35844" s="111"/>
      <c r="CQ35844" s="111"/>
      <c r="EF35844"/>
      <c r="EG35844"/>
      <c r="EH35844"/>
      <c r="EI35844"/>
      <c r="EJ35844"/>
      <c r="EK35844"/>
    </row>
    <row r="35845" spans="1:141" s="116" customFormat="1">
      <c r="A35845" s="136"/>
      <c r="CM35845" s="111"/>
      <c r="CQ35845" s="111"/>
      <c r="EF35845"/>
      <c r="EG35845"/>
      <c r="EH35845"/>
      <c r="EI35845"/>
      <c r="EJ35845"/>
      <c r="EK35845"/>
    </row>
    <row r="35846" spans="1:141" s="116" customFormat="1">
      <c r="A35846" s="136"/>
      <c r="CM35846" s="111"/>
      <c r="CQ35846" s="111"/>
      <c r="EF35846"/>
      <c r="EG35846"/>
      <c r="EH35846"/>
      <c r="EI35846"/>
      <c r="EJ35846"/>
      <c r="EK35846"/>
    </row>
    <row r="35847" spans="1:141" s="116" customFormat="1">
      <c r="A35847" s="136"/>
      <c r="CM35847" s="111"/>
      <c r="CQ35847" s="111"/>
      <c r="EF35847"/>
      <c r="EG35847"/>
      <c r="EH35847"/>
      <c r="EI35847"/>
      <c r="EJ35847"/>
      <c r="EK35847"/>
    </row>
    <row r="35848" spans="1:141" s="116" customFormat="1">
      <c r="A35848" s="136"/>
      <c r="CM35848" s="111"/>
      <c r="CQ35848" s="111"/>
      <c r="EF35848"/>
      <c r="EG35848"/>
      <c r="EH35848"/>
      <c r="EI35848"/>
      <c r="EJ35848"/>
      <c r="EK35848"/>
    </row>
    <row r="35849" spans="1:141" s="116" customFormat="1">
      <c r="A35849" s="136"/>
      <c r="CM35849" s="111"/>
      <c r="CQ35849" s="111"/>
      <c r="EF35849"/>
      <c r="EG35849"/>
      <c r="EH35849"/>
      <c r="EI35849"/>
      <c r="EJ35849"/>
      <c r="EK35849"/>
    </row>
    <row r="35850" spans="1:141" s="116" customFormat="1">
      <c r="A35850" s="136"/>
      <c r="CM35850" s="111"/>
      <c r="CQ35850" s="111"/>
      <c r="EF35850"/>
      <c r="EG35850"/>
      <c r="EH35850"/>
      <c r="EI35850"/>
      <c r="EJ35850"/>
      <c r="EK35850"/>
    </row>
    <row r="35851" spans="1:141" s="116" customFormat="1">
      <c r="A35851" s="136"/>
      <c r="CM35851" s="111"/>
      <c r="CQ35851" s="111"/>
      <c r="EF35851"/>
      <c r="EG35851"/>
      <c r="EH35851"/>
      <c r="EI35851"/>
      <c r="EJ35851"/>
      <c r="EK35851"/>
    </row>
    <row r="35852" spans="1:141" s="116" customFormat="1">
      <c r="A35852" s="136"/>
      <c r="CM35852" s="111"/>
      <c r="CQ35852" s="111"/>
      <c r="EF35852"/>
      <c r="EG35852"/>
      <c r="EH35852"/>
      <c r="EI35852"/>
      <c r="EJ35852"/>
      <c r="EK35852"/>
    </row>
    <row r="35853" spans="1:141" s="116" customFormat="1">
      <c r="A35853" s="136"/>
      <c r="CM35853" s="111"/>
      <c r="CQ35853" s="111"/>
      <c r="EF35853"/>
      <c r="EG35853"/>
      <c r="EH35853"/>
      <c r="EI35853"/>
      <c r="EJ35853"/>
      <c r="EK35853"/>
    </row>
    <row r="35854" spans="1:141" s="116" customFormat="1">
      <c r="A35854" s="136"/>
      <c r="CM35854" s="111"/>
      <c r="CQ35854" s="111"/>
      <c r="EF35854"/>
      <c r="EG35854"/>
      <c r="EH35854"/>
      <c r="EI35854"/>
      <c r="EJ35854"/>
      <c r="EK35854"/>
    </row>
    <row r="35855" spans="1:141" s="116" customFormat="1">
      <c r="A35855" s="136"/>
      <c r="CM35855" s="111"/>
      <c r="CQ35855" s="111"/>
      <c r="EF35855"/>
      <c r="EG35855"/>
      <c r="EH35855"/>
      <c r="EI35855"/>
      <c r="EJ35855"/>
      <c r="EK35855"/>
    </row>
    <row r="35856" spans="1:141" s="116" customFormat="1">
      <c r="A35856" s="136"/>
      <c r="CM35856" s="111"/>
      <c r="CQ35856" s="111"/>
      <c r="EF35856"/>
      <c r="EG35856"/>
      <c r="EH35856"/>
      <c r="EI35856"/>
      <c r="EJ35856"/>
      <c r="EK35856"/>
    </row>
    <row r="35857" spans="1:141" s="116" customFormat="1">
      <c r="A35857" s="136"/>
      <c r="CM35857" s="111"/>
      <c r="CQ35857" s="111"/>
      <c r="EF35857"/>
      <c r="EG35857"/>
      <c r="EH35857"/>
      <c r="EI35857"/>
      <c r="EJ35857"/>
      <c r="EK35857"/>
    </row>
    <row r="35858" spans="1:141" s="116" customFormat="1">
      <c r="A35858" s="136"/>
      <c r="CM35858" s="111"/>
      <c r="CQ35858" s="111"/>
      <c r="EF35858"/>
      <c r="EG35858"/>
      <c r="EH35858"/>
      <c r="EI35858"/>
      <c r="EJ35858"/>
      <c r="EK35858"/>
    </row>
    <row r="35859" spans="1:141" s="116" customFormat="1">
      <c r="A35859" s="136"/>
      <c r="CM35859" s="111"/>
      <c r="CQ35859" s="111"/>
      <c r="EF35859"/>
      <c r="EG35859"/>
      <c r="EH35859"/>
      <c r="EI35859"/>
      <c r="EJ35859"/>
      <c r="EK35859"/>
    </row>
    <row r="35860" spans="1:141" s="116" customFormat="1">
      <c r="A35860" s="136"/>
      <c r="CM35860" s="111"/>
      <c r="CQ35860" s="111"/>
      <c r="EF35860"/>
      <c r="EG35860"/>
      <c r="EH35860"/>
      <c r="EI35860"/>
      <c r="EJ35860"/>
      <c r="EK35860"/>
    </row>
    <row r="35861" spans="1:141" s="116" customFormat="1">
      <c r="A35861" s="136"/>
      <c r="CM35861" s="111"/>
      <c r="CQ35861" s="111"/>
      <c r="EF35861"/>
      <c r="EG35861"/>
      <c r="EH35861"/>
      <c r="EI35861"/>
      <c r="EJ35861"/>
      <c r="EK35861"/>
    </row>
    <row r="35862" spans="1:141" s="116" customFormat="1">
      <c r="A35862" s="136"/>
      <c r="CM35862" s="111"/>
      <c r="CQ35862" s="111"/>
      <c r="EF35862"/>
      <c r="EG35862"/>
      <c r="EH35862"/>
      <c r="EI35862"/>
      <c r="EJ35862"/>
      <c r="EK35862"/>
    </row>
    <row r="35863" spans="1:141" s="116" customFormat="1">
      <c r="A35863" s="136"/>
      <c r="CM35863" s="111"/>
      <c r="CQ35863" s="111"/>
      <c r="EF35863"/>
      <c r="EG35863"/>
      <c r="EH35863"/>
      <c r="EI35863"/>
      <c r="EJ35863"/>
      <c r="EK35863"/>
    </row>
    <row r="35864" spans="1:141" s="116" customFormat="1">
      <c r="A35864" s="136"/>
      <c r="CM35864" s="111"/>
      <c r="CQ35864" s="111"/>
      <c r="EF35864"/>
      <c r="EG35864"/>
      <c r="EH35864"/>
      <c r="EI35864"/>
      <c r="EJ35864"/>
      <c r="EK35864"/>
    </row>
    <row r="35865" spans="1:141" s="116" customFormat="1">
      <c r="A35865" s="136"/>
      <c r="CM35865" s="111"/>
      <c r="CQ35865" s="111"/>
      <c r="EF35865"/>
      <c r="EG35865"/>
      <c r="EH35865"/>
      <c r="EI35865"/>
      <c r="EJ35865"/>
      <c r="EK35865"/>
    </row>
    <row r="35866" spans="1:141" s="116" customFormat="1">
      <c r="A35866" s="136"/>
      <c r="CM35866" s="111"/>
      <c r="CQ35866" s="111"/>
      <c r="EF35866"/>
      <c r="EG35866"/>
      <c r="EH35866"/>
      <c r="EI35866"/>
      <c r="EJ35866"/>
      <c r="EK35866"/>
    </row>
    <row r="35867" spans="1:141" s="116" customFormat="1">
      <c r="A35867" s="136"/>
      <c r="CM35867" s="111"/>
      <c r="CQ35867" s="111"/>
      <c r="EF35867"/>
      <c r="EG35867"/>
      <c r="EH35867"/>
      <c r="EI35867"/>
      <c r="EJ35867"/>
      <c r="EK35867"/>
    </row>
    <row r="35868" spans="1:141" s="116" customFormat="1">
      <c r="A35868" s="136"/>
      <c r="CM35868" s="111"/>
      <c r="CQ35868" s="111"/>
      <c r="EF35868"/>
      <c r="EG35868"/>
      <c r="EH35868"/>
      <c r="EI35868"/>
      <c r="EJ35868"/>
      <c r="EK35868"/>
    </row>
    <row r="35869" spans="1:141" s="116" customFormat="1">
      <c r="A35869" s="136"/>
      <c r="CM35869" s="111"/>
      <c r="CQ35869" s="111"/>
      <c r="EF35869"/>
      <c r="EG35869"/>
      <c r="EH35869"/>
      <c r="EI35869"/>
      <c r="EJ35869"/>
      <c r="EK35869"/>
    </row>
    <row r="35870" spans="1:141" s="116" customFormat="1">
      <c r="A35870" s="136"/>
      <c r="CM35870" s="111"/>
      <c r="CQ35870" s="111"/>
      <c r="EF35870"/>
      <c r="EG35870"/>
      <c r="EH35870"/>
      <c r="EI35870"/>
      <c r="EJ35870"/>
      <c r="EK35870"/>
    </row>
    <row r="35871" spans="1:141" s="116" customFormat="1">
      <c r="A35871" s="136"/>
      <c r="CM35871" s="111"/>
      <c r="CQ35871" s="111"/>
      <c r="EF35871"/>
      <c r="EG35871"/>
      <c r="EH35871"/>
      <c r="EI35871"/>
      <c r="EJ35871"/>
      <c r="EK35871"/>
    </row>
    <row r="35872" spans="1:141" s="116" customFormat="1">
      <c r="A35872" s="136"/>
      <c r="CM35872" s="111"/>
      <c r="CQ35872" s="111"/>
      <c r="EF35872"/>
      <c r="EG35872"/>
      <c r="EH35872"/>
      <c r="EI35872"/>
      <c r="EJ35872"/>
      <c r="EK35872"/>
    </row>
    <row r="35873" spans="1:141" s="116" customFormat="1">
      <c r="A35873" s="136"/>
      <c r="CM35873" s="111"/>
      <c r="CQ35873" s="111"/>
      <c r="EF35873"/>
      <c r="EG35873"/>
      <c r="EH35873"/>
      <c r="EI35873"/>
      <c r="EJ35873"/>
      <c r="EK35873"/>
    </row>
    <row r="35874" spans="1:141" s="116" customFormat="1">
      <c r="A35874" s="136"/>
      <c r="CM35874" s="111"/>
      <c r="CQ35874" s="111"/>
      <c r="EF35874"/>
      <c r="EG35874"/>
      <c r="EH35874"/>
      <c r="EI35874"/>
      <c r="EJ35874"/>
      <c r="EK35874"/>
    </row>
    <row r="35875" spans="1:141" s="116" customFormat="1">
      <c r="A35875" s="136"/>
      <c r="CM35875" s="111"/>
      <c r="CQ35875" s="111"/>
      <c r="EF35875"/>
      <c r="EG35875"/>
      <c r="EH35875"/>
      <c r="EI35875"/>
      <c r="EJ35875"/>
      <c r="EK35875"/>
    </row>
    <row r="35876" spans="1:141" s="116" customFormat="1">
      <c r="A35876" s="136"/>
      <c r="CM35876" s="111"/>
      <c r="CQ35876" s="111"/>
      <c r="EF35876"/>
      <c r="EG35876"/>
      <c r="EH35876"/>
      <c r="EI35876"/>
      <c r="EJ35876"/>
      <c r="EK35876"/>
    </row>
    <row r="35877" spans="1:141" s="116" customFormat="1">
      <c r="A35877" s="136"/>
      <c r="CM35877" s="111"/>
      <c r="CQ35877" s="111"/>
      <c r="EF35877"/>
      <c r="EG35877"/>
      <c r="EH35877"/>
      <c r="EI35877"/>
      <c r="EJ35877"/>
      <c r="EK35877"/>
    </row>
    <row r="35878" spans="1:141" s="116" customFormat="1">
      <c r="A35878" s="136"/>
      <c r="CM35878" s="111"/>
      <c r="CQ35878" s="111"/>
      <c r="EF35878"/>
      <c r="EG35878"/>
      <c r="EH35878"/>
      <c r="EI35878"/>
      <c r="EJ35878"/>
      <c r="EK35878"/>
    </row>
    <row r="35879" spans="1:141" s="116" customFormat="1">
      <c r="A35879" s="136"/>
      <c r="CM35879" s="111"/>
      <c r="CQ35879" s="111"/>
      <c r="EF35879"/>
      <c r="EG35879"/>
      <c r="EH35879"/>
      <c r="EI35879"/>
      <c r="EJ35879"/>
      <c r="EK35879"/>
    </row>
    <row r="35880" spans="1:141" s="116" customFormat="1">
      <c r="A35880" s="136"/>
      <c r="CM35880" s="111"/>
      <c r="CQ35880" s="111"/>
      <c r="EF35880"/>
      <c r="EG35880"/>
      <c r="EH35880"/>
      <c r="EI35880"/>
      <c r="EJ35880"/>
      <c r="EK35880"/>
    </row>
    <row r="35881" spans="1:141" s="116" customFormat="1">
      <c r="A35881" s="136"/>
      <c r="CM35881" s="111"/>
      <c r="CQ35881" s="111"/>
      <c r="EF35881"/>
      <c r="EG35881"/>
      <c r="EH35881"/>
      <c r="EI35881"/>
      <c r="EJ35881"/>
      <c r="EK35881"/>
    </row>
    <row r="35882" spans="1:141" s="116" customFormat="1">
      <c r="A35882" s="136"/>
      <c r="CM35882" s="111"/>
      <c r="CQ35882" s="111"/>
      <c r="EF35882"/>
      <c r="EG35882"/>
      <c r="EH35882"/>
      <c r="EI35882"/>
      <c r="EJ35882"/>
      <c r="EK35882"/>
    </row>
    <row r="35883" spans="1:141" s="116" customFormat="1">
      <c r="A35883" s="136"/>
      <c r="CM35883" s="111"/>
      <c r="CQ35883" s="111"/>
      <c r="EF35883"/>
      <c r="EG35883"/>
      <c r="EH35883"/>
      <c r="EI35883"/>
      <c r="EJ35883"/>
      <c r="EK35883"/>
    </row>
    <row r="35884" spans="1:141" s="116" customFormat="1">
      <c r="A35884" s="136"/>
      <c r="CM35884" s="111"/>
      <c r="CQ35884" s="111"/>
      <c r="EF35884"/>
      <c r="EG35884"/>
      <c r="EH35884"/>
      <c r="EI35884"/>
      <c r="EJ35884"/>
      <c r="EK35884"/>
    </row>
    <row r="35885" spans="1:141" s="116" customFormat="1">
      <c r="A35885" s="136"/>
      <c r="CM35885" s="111"/>
      <c r="CQ35885" s="111"/>
      <c r="EF35885"/>
      <c r="EG35885"/>
      <c r="EH35885"/>
      <c r="EI35885"/>
      <c r="EJ35885"/>
      <c r="EK35885"/>
    </row>
    <row r="35886" spans="1:141" s="116" customFormat="1">
      <c r="A35886" s="136"/>
      <c r="CM35886" s="111"/>
      <c r="CQ35886" s="111"/>
      <c r="EF35886"/>
      <c r="EG35886"/>
      <c r="EH35886"/>
      <c r="EI35886"/>
      <c r="EJ35886"/>
      <c r="EK35886"/>
    </row>
    <row r="35887" spans="1:141" s="116" customFormat="1">
      <c r="A35887" s="136"/>
      <c r="CM35887" s="111"/>
      <c r="CQ35887" s="111"/>
      <c r="EF35887"/>
      <c r="EG35887"/>
      <c r="EH35887"/>
      <c r="EI35887"/>
      <c r="EJ35887"/>
      <c r="EK35887"/>
    </row>
    <row r="35888" spans="1:141" s="116" customFormat="1">
      <c r="A35888" s="136"/>
      <c r="CM35888" s="111"/>
      <c r="CQ35888" s="111"/>
      <c r="EF35888"/>
      <c r="EG35888"/>
      <c r="EH35888"/>
      <c r="EI35888"/>
      <c r="EJ35888"/>
      <c r="EK35888"/>
    </row>
    <row r="35889" spans="1:141" s="116" customFormat="1">
      <c r="A35889" s="136"/>
      <c r="CM35889" s="111"/>
      <c r="CQ35889" s="111"/>
      <c r="EF35889"/>
      <c r="EG35889"/>
      <c r="EH35889"/>
      <c r="EI35889"/>
      <c r="EJ35889"/>
      <c r="EK35889"/>
    </row>
    <row r="35890" spans="1:141" s="116" customFormat="1">
      <c r="A35890" s="136"/>
      <c r="CM35890" s="111"/>
      <c r="CQ35890" s="111"/>
      <c r="EF35890"/>
      <c r="EG35890"/>
      <c r="EH35890"/>
      <c r="EI35890"/>
      <c r="EJ35890"/>
      <c r="EK35890"/>
    </row>
    <row r="35891" spans="1:141" s="116" customFormat="1">
      <c r="A35891" s="136"/>
      <c r="CM35891" s="111"/>
      <c r="CQ35891" s="111"/>
      <c r="EF35891"/>
      <c r="EG35891"/>
      <c r="EH35891"/>
      <c r="EI35891"/>
      <c r="EJ35891"/>
      <c r="EK35891"/>
    </row>
    <row r="35892" spans="1:141" s="116" customFormat="1">
      <c r="A35892" s="136"/>
      <c r="CM35892" s="111"/>
      <c r="CQ35892" s="111"/>
      <c r="EF35892"/>
      <c r="EG35892"/>
      <c r="EH35892"/>
      <c r="EI35892"/>
      <c r="EJ35892"/>
      <c r="EK35892"/>
    </row>
    <row r="35893" spans="1:141" s="116" customFormat="1">
      <c r="A35893" s="136"/>
      <c r="CM35893" s="111"/>
      <c r="CQ35893" s="111"/>
      <c r="EF35893"/>
      <c r="EG35893"/>
      <c r="EH35893"/>
      <c r="EI35893"/>
      <c r="EJ35893"/>
      <c r="EK35893"/>
    </row>
    <row r="35894" spans="1:141" s="116" customFormat="1">
      <c r="A35894" s="136"/>
      <c r="CM35894" s="111"/>
      <c r="CQ35894" s="111"/>
      <c r="EF35894"/>
      <c r="EG35894"/>
      <c r="EH35894"/>
      <c r="EI35894"/>
      <c r="EJ35894"/>
      <c r="EK35894"/>
    </row>
    <row r="35895" spans="1:141" s="116" customFormat="1">
      <c r="A35895" s="136"/>
      <c r="CM35895" s="111"/>
      <c r="CQ35895" s="111"/>
      <c r="EF35895"/>
      <c r="EG35895"/>
      <c r="EH35895"/>
      <c r="EI35895"/>
      <c r="EJ35895"/>
      <c r="EK35895"/>
    </row>
    <row r="35896" spans="1:141" s="116" customFormat="1">
      <c r="A35896" s="136"/>
      <c r="CM35896" s="111"/>
      <c r="CQ35896" s="111"/>
      <c r="EF35896"/>
      <c r="EG35896"/>
      <c r="EH35896"/>
      <c r="EI35896"/>
      <c r="EJ35896"/>
      <c r="EK35896"/>
    </row>
    <row r="35897" spans="1:141" s="116" customFormat="1">
      <c r="A35897" s="136"/>
      <c r="CM35897" s="111"/>
      <c r="CQ35897" s="111"/>
      <c r="EF35897"/>
      <c r="EG35897"/>
      <c r="EH35897"/>
      <c r="EI35897"/>
      <c r="EJ35897"/>
      <c r="EK35897"/>
    </row>
    <row r="35898" spans="1:141" s="116" customFormat="1">
      <c r="A35898" s="136"/>
      <c r="CM35898" s="111"/>
      <c r="CQ35898" s="111"/>
      <c r="EF35898"/>
      <c r="EG35898"/>
      <c r="EH35898"/>
      <c r="EI35898"/>
      <c r="EJ35898"/>
      <c r="EK35898"/>
    </row>
    <row r="35899" spans="1:141" s="116" customFormat="1">
      <c r="A35899" s="136"/>
      <c r="CM35899" s="111"/>
      <c r="CQ35899" s="111"/>
      <c r="EF35899"/>
      <c r="EG35899"/>
      <c r="EH35899"/>
      <c r="EI35899"/>
      <c r="EJ35899"/>
      <c r="EK35899"/>
    </row>
    <row r="35900" spans="1:141" s="116" customFormat="1">
      <c r="A35900" s="136"/>
      <c r="CM35900" s="111"/>
      <c r="CQ35900" s="111"/>
      <c r="EF35900"/>
      <c r="EG35900"/>
      <c r="EH35900"/>
      <c r="EI35900"/>
      <c r="EJ35900"/>
      <c r="EK35900"/>
    </row>
    <row r="35901" spans="1:141" s="116" customFormat="1">
      <c r="A35901" s="136"/>
      <c r="CM35901" s="111"/>
      <c r="CQ35901" s="111"/>
      <c r="EF35901"/>
      <c r="EG35901"/>
      <c r="EH35901"/>
      <c r="EI35901"/>
      <c r="EJ35901"/>
      <c r="EK35901"/>
    </row>
    <row r="35902" spans="1:141" s="116" customFormat="1">
      <c r="A35902" s="136"/>
      <c r="CM35902" s="111"/>
      <c r="CQ35902" s="111"/>
      <c r="EF35902"/>
      <c r="EG35902"/>
      <c r="EH35902"/>
      <c r="EI35902"/>
      <c r="EJ35902"/>
      <c r="EK35902"/>
    </row>
    <row r="35903" spans="1:141" s="116" customFormat="1">
      <c r="A35903" s="136"/>
      <c r="CM35903" s="111"/>
      <c r="CQ35903" s="111"/>
      <c r="EF35903"/>
      <c r="EG35903"/>
      <c r="EH35903"/>
      <c r="EI35903"/>
      <c r="EJ35903"/>
      <c r="EK35903"/>
    </row>
    <row r="35904" spans="1:141" s="116" customFormat="1">
      <c r="A35904" s="136"/>
      <c r="CM35904" s="111"/>
      <c r="CQ35904" s="111"/>
      <c r="EF35904"/>
      <c r="EG35904"/>
      <c r="EH35904"/>
      <c r="EI35904"/>
      <c r="EJ35904"/>
      <c r="EK35904"/>
    </row>
    <row r="35905" spans="1:141" s="116" customFormat="1">
      <c r="A35905" s="136"/>
      <c r="CM35905" s="111"/>
      <c r="CQ35905" s="111"/>
      <c r="EF35905"/>
      <c r="EG35905"/>
      <c r="EH35905"/>
      <c r="EI35905"/>
      <c r="EJ35905"/>
      <c r="EK35905"/>
    </row>
    <row r="35906" spans="1:141" s="116" customFormat="1">
      <c r="A35906" s="136"/>
      <c r="CM35906" s="111"/>
      <c r="CQ35906" s="111"/>
      <c r="EF35906"/>
      <c r="EG35906"/>
      <c r="EH35906"/>
      <c r="EI35906"/>
      <c r="EJ35906"/>
      <c r="EK35906"/>
    </row>
    <row r="35907" spans="1:141" s="116" customFormat="1">
      <c r="A35907" s="136"/>
      <c r="CM35907" s="111"/>
      <c r="CQ35907" s="111"/>
      <c r="EF35907"/>
      <c r="EG35907"/>
      <c r="EH35907"/>
      <c r="EI35907"/>
      <c r="EJ35907"/>
      <c r="EK35907"/>
    </row>
    <row r="35908" spans="1:141" s="116" customFormat="1">
      <c r="A35908" s="136"/>
      <c r="CM35908" s="111"/>
      <c r="CQ35908" s="111"/>
      <c r="EF35908"/>
      <c r="EG35908"/>
      <c r="EH35908"/>
      <c r="EI35908"/>
      <c r="EJ35908"/>
      <c r="EK35908"/>
    </row>
    <row r="35909" spans="1:141" s="116" customFormat="1">
      <c r="A35909" s="136"/>
      <c r="CM35909" s="111"/>
      <c r="CQ35909" s="111"/>
      <c r="EF35909"/>
      <c r="EG35909"/>
      <c r="EH35909"/>
      <c r="EI35909"/>
      <c r="EJ35909"/>
      <c r="EK35909"/>
    </row>
    <row r="35910" spans="1:141" s="116" customFormat="1">
      <c r="A35910" s="136"/>
      <c r="CM35910" s="111"/>
      <c r="CQ35910" s="111"/>
      <c r="EF35910"/>
      <c r="EG35910"/>
      <c r="EH35910"/>
      <c r="EI35910"/>
      <c r="EJ35910"/>
      <c r="EK35910"/>
    </row>
    <row r="35911" spans="1:141" s="116" customFormat="1">
      <c r="A35911" s="136"/>
      <c r="CM35911" s="111"/>
      <c r="CQ35911" s="111"/>
      <c r="EF35911"/>
      <c r="EG35911"/>
      <c r="EH35911"/>
      <c r="EI35911"/>
      <c r="EJ35911"/>
      <c r="EK35911"/>
    </row>
    <row r="35912" spans="1:141" s="116" customFormat="1">
      <c r="A35912" s="136"/>
      <c r="CM35912" s="111"/>
      <c r="CQ35912" s="111"/>
      <c r="EF35912"/>
      <c r="EG35912"/>
      <c r="EH35912"/>
      <c r="EI35912"/>
      <c r="EJ35912"/>
      <c r="EK35912"/>
    </row>
    <row r="35913" spans="1:141" s="116" customFormat="1">
      <c r="A35913" s="136"/>
      <c r="CM35913" s="111"/>
      <c r="CQ35913" s="111"/>
      <c r="EF35913"/>
      <c r="EG35913"/>
      <c r="EH35913"/>
      <c r="EI35913"/>
      <c r="EJ35913"/>
      <c r="EK35913"/>
    </row>
    <row r="35914" spans="1:141" s="116" customFormat="1">
      <c r="A35914" s="136"/>
      <c r="CM35914" s="111"/>
      <c r="CQ35914" s="111"/>
      <c r="EF35914"/>
      <c r="EG35914"/>
      <c r="EH35914"/>
      <c r="EI35914"/>
      <c r="EJ35914"/>
      <c r="EK35914"/>
    </row>
    <row r="35915" spans="1:141" s="116" customFormat="1">
      <c r="A35915" s="136"/>
      <c r="CM35915" s="111"/>
      <c r="CQ35915" s="111"/>
      <c r="EF35915"/>
      <c r="EG35915"/>
      <c r="EH35915"/>
      <c r="EI35915"/>
      <c r="EJ35915"/>
      <c r="EK35915"/>
    </row>
    <row r="35916" spans="1:141" s="116" customFormat="1">
      <c r="A35916" s="136"/>
      <c r="CM35916" s="111"/>
      <c r="CQ35916" s="111"/>
      <c r="EF35916"/>
      <c r="EG35916"/>
      <c r="EH35916"/>
      <c r="EI35916"/>
      <c r="EJ35916"/>
      <c r="EK35916"/>
    </row>
    <row r="35917" spans="1:141" s="116" customFormat="1">
      <c r="A35917" s="136"/>
      <c r="CM35917" s="111"/>
      <c r="CQ35917" s="111"/>
      <c r="EF35917"/>
      <c r="EG35917"/>
      <c r="EH35917"/>
      <c r="EI35917"/>
      <c r="EJ35917"/>
      <c r="EK35917"/>
    </row>
    <row r="35918" spans="1:141" s="116" customFormat="1">
      <c r="A35918" s="136"/>
      <c r="CM35918" s="111"/>
      <c r="CQ35918" s="111"/>
      <c r="EF35918"/>
      <c r="EG35918"/>
      <c r="EH35918"/>
      <c r="EI35918"/>
      <c r="EJ35918"/>
      <c r="EK35918"/>
    </row>
    <row r="35919" spans="1:141" s="116" customFormat="1">
      <c r="A35919" s="136"/>
      <c r="CM35919" s="111"/>
      <c r="CQ35919" s="111"/>
      <c r="EF35919"/>
      <c r="EG35919"/>
      <c r="EH35919"/>
      <c r="EI35919"/>
      <c r="EJ35919"/>
      <c r="EK35919"/>
    </row>
    <row r="35920" spans="1:141" s="116" customFormat="1">
      <c r="A35920" s="136"/>
      <c r="CM35920" s="111"/>
      <c r="CQ35920" s="111"/>
      <c r="EF35920"/>
      <c r="EG35920"/>
      <c r="EH35920"/>
      <c r="EI35920"/>
      <c r="EJ35920"/>
      <c r="EK35920"/>
    </row>
    <row r="35921" spans="1:141" s="116" customFormat="1">
      <c r="A35921" s="136"/>
      <c r="CM35921" s="111"/>
      <c r="CQ35921" s="111"/>
      <c r="EF35921"/>
      <c r="EG35921"/>
      <c r="EH35921"/>
      <c r="EI35921"/>
      <c r="EJ35921"/>
      <c r="EK35921"/>
    </row>
    <row r="35922" spans="1:141" s="116" customFormat="1">
      <c r="A35922" s="136"/>
      <c r="CM35922" s="111"/>
      <c r="CQ35922" s="111"/>
      <c r="EF35922"/>
      <c r="EG35922"/>
      <c r="EH35922"/>
      <c r="EI35922"/>
      <c r="EJ35922"/>
      <c r="EK35922"/>
    </row>
    <row r="35923" spans="1:141" s="116" customFormat="1">
      <c r="A35923" s="136"/>
      <c r="CM35923" s="111"/>
      <c r="CQ35923" s="111"/>
      <c r="EF35923"/>
      <c r="EG35923"/>
      <c r="EH35923"/>
      <c r="EI35923"/>
      <c r="EJ35923"/>
      <c r="EK35923"/>
    </row>
    <row r="35924" spans="1:141" s="116" customFormat="1">
      <c r="A35924" s="136"/>
      <c r="CM35924" s="111"/>
      <c r="CQ35924" s="111"/>
      <c r="EF35924"/>
      <c r="EG35924"/>
      <c r="EH35924"/>
      <c r="EI35924"/>
      <c r="EJ35924"/>
      <c r="EK35924"/>
    </row>
    <row r="35925" spans="1:141" s="116" customFormat="1">
      <c r="A35925" s="136"/>
      <c r="CM35925" s="111"/>
      <c r="CQ35925" s="111"/>
      <c r="EF35925"/>
      <c r="EG35925"/>
      <c r="EH35925"/>
      <c r="EI35925"/>
      <c r="EJ35925"/>
      <c r="EK35925"/>
    </row>
    <row r="35926" spans="1:141" s="116" customFormat="1">
      <c r="A35926" s="136"/>
      <c r="CM35926" s="111"/>
      <c r="CQ35926" s="111"/>
      <c r="EF35926"/>
      <c r="EG35926"/>
      <c r="EH35926"/>
      <c r="EI35926"/>
      <c r="EJ35926"/>
      <c r="EK35926"/>
    </row>
    <row r="35927" spans="1:141" s="116" customFormat="1">
      <c r="A35927" s="136"/>
      <c r="CM35927" s="111"/>
      <c r="CQ35927" s="111"/>
      <c r="EF35927"/>
      <c r="EG35927"/>
      <c r="EH35927"/>
      <c r="EI35927"/>
      <c r="EJ35927"/>
      <c r="EK35927"/>
    </row>
    <row r="35928" spans="1:141" s="116" customFormat="1">
      <c r="A35928" s="136"/>
      <c r="CM35928" s="111"/>
      <c r="CQ35928" s="111"/>
      <c r="EF35928"/>
      <c r="EG35928"/>
      <c r="EH35928"/>
      <c r="EI35928"/>
      <c r="EJ35928"/>
      <c r="EK35928"/>
    </row>
    <row r="35929" spans="1:141" s="116" customFormat="1">
      <c r="A35929" s="136"/>
      <c r="CM35929" s="111"/>
      <c r="CQ35929" s="111"/>
      <c r="EF35929"/>
      <c r="EG35929"/>
      <c r="EH35929"/>
      <c r="EI35929"/>
      <c r="EJ35929"/>
      <c r="EK35929"/>
    </row>
    <row r="35930" spans="1:141" s="116" customFormat="1">
      <c r="A35930" s="136"/>
      <c r="CM35930" s="111"/>
      <c r="CQ35930" s="111"/>
      <c r="EF35930"/>
      <c r="EG35930"/>
      <c r="EH35930"/>
      <c r="EI35930"/>
      <c r="EJ35930"/>
      <c r="EK35930"/>
    </row>
    <row r="35931" spans="1:141" s="116" customFormat="1">
      <c r="A35931" s="136"/>
      <c r="CM35931" s="111"/>
      <c r="CQ35931" s="111"/>
      <c r="EF35931"/>
      <c r="EG35931"/>
      <c r="EH35931"/>
      <c r="EI35931"/>
      <c r="EJ35931"/>
      <c r="EK35931"/>
    </row>
    <row r="35932" spans="1:141" s="116" customFormat="1">
      <c r="A35932" s="136"/>
      <c r="CM35932" s="111"/>
      <c r="CQ35932" s="111"/>
      <c r="EF35932"/>
      <c r="EG35932"/>
      <c r="EH35932"/>
      <c r="EI35932"/>
      <c r="EJ35932"/>
      <c r="EK35932"/>
    </row>
    <row r="35933" spans="1:141" s="116" customFormat="1">
      <c r="A35933" s="136"/>
      <c r="CM35933" s="111"/>
      <c r="CQ35933" s="111"/>
      <c r="EF35933"/>
      <c r="EG35933"/>
      <c r="EH35933"/>
      <c r="EI35933"/>
      <c r="EJ35933"/>
      <c r="EK35933"/>
    </row>
    <row r="35934" spans="1:141" s="116" customFormat="1">
      <c r="A35934" s="136"/>
      <c r="CM35934" s="111"/>
      <c r="CQ35934" s="111"/>
      <c r="EF35934"/>
      <c r="EG35934"/>
      <c r="EH35934"/>
      <c r="EI35934"/>
      <c r="EJ35934"/>
      <c r="EK35934"/>
    </row>
    <row r="35935" spans="1:141" s="116" customFormat="1">
      <c r="A35935" s="136"/>
      <c r="CM35935" s="111"/>
      <c r="CQ35935" s="111"/>
      <c r="EF35935"/>
      <c r="EG35935"/>
      <c r="EH35935"/>
      <c r="EI35935"/>
      <c r="EJ35935"/>
      <c r="EK35935"/>
    </row>
    <row r="35936" spans="1:141" s="116" customFormat="1">
      <c r="A35936" s="136"/>
      <c r="CM35936" s="111"/>
      <c r="CQ35936" s="111"/>
      <c r="EF35936"/>
      <c r="EG35936"/>
      <c r="EH35936"/>
      <c r="EI35936"/>
      <c r="EJ35936"/>
      <c r="EK35936"/>
    </row>
    <row r="35937" spans="1:141" s="116" customFormat="1">
      <c r="A35937" s="136"/>
      <c r="CM35937" s="111"/>
      <c r="CQ35937" s="111"/>
      <c r="EF35937"/>
      <c r="EG35937"/>
      <c r="EH35937"/>
      <c r="EI35937"/>
      <c r="EJ35937"/>
      <c r="EK35937"/>
    </row>
    <row r="35938" spans="1:141" s="116" customFormat="1">
      <c r="A35938" s="136"/>
      <c r="CM35938" s="111"/>
      <c r="CQ35938" s="111"/>
      <c r="EF35938"/>
      <c r="EG35938"/>
      <c r="EH35938"/>
      <c r="EI35938"/>
      <c r="EJ35938"/>
      <c r="EK35938"/>
    </row>
    <row r="35939" spans="1:141" s="116" customFormat="1">
      <c r="A35939" s="136"/>
      <c r="CM35939" s="111"/>
      <c r="CQ35939" s="111"/>
      <c r="EF35939"/>
      <c r="EG35939"/>
      <c r="EH35939"/>
      <c r="EI35939"/>
      <c r="EJ35939"/>
      <c r="EK35939"/>
    </row>
    <row r="35940" spans="1:141" s="116" customFormat="1">
      <c r="A35940" s="136"/>
      <c r="CM35940" s="111"/>
      <c r="CQ35940" s="111"/>
      <c r="EF35940"/>
      <c r="EG35940"/>
      <c r="EH35940"/>
      <c r="EI35940"/>
      <c r="EJ35940"/>
      <c r="EK35940"/>
    </row>
    <row r="35941" spans="1:141" s="116" customFormat="1">
      <c r="A35941" s="136"/>
      <c r="CM35941" s="111"/>
      <c r="CQ35941" s="111"/>
      <c r="EF35941"/>
      <c r="EG35941"/>
      <c r="EH35941"/>
      <c r="EI35941"/>
      <c r="EJ35941"/>
      <c r="EK35941"/>
    </row>
    <row r="35942" spans="1:141" s="116" customFormat="1">
      <c r="A35942" s="136"/>
      <c r="CM35942" s="111"/>
      <c r="CQ35942" s="111"/>
      <c r="EF35942"/>
      <c r="EG35942"/>
      <c r="EH35942"/>
      <c r="EI35942"/>
      <c r="EJ35942"/>
      <c r="EK35942"/>
    </row>
    <row r="35943" spans="1:141" s="116" customFormat="1">
      <c r="A35943" s="136"/>
      <c r="CM35943" s="111"/>
      <c r="CQ35943" s="111"/>
      <c r="EF35943"/>
      <c r="EG35943"/>
      <c r="EH35943"/>
      <c r="EI35943"/>
      <c r="EJ35943"/>
      <c r="EK35943"/>
    </row>
    <row r="35944" spans="1:141" s="116" customFormat="1">
      <c r="A35944" s="136"/>
      <c r="CM35944" s="111"/>
      <c r="CQ35944" s="111"/>
      <c r="EF35944"/>
      <c r="EG35944"/>
      <c r="EH35944"/>
      <c r="EI35944"/>
      <c r="EJ35944"/>
      <c r="EK35944"/>
    </row>
    <row r="35945" spans="1:141" s="116" customFormat="1">
      <c r="A35945" s="136"/>
      <c r="CM35945" s="111"/>
      <c r="CQ35945" s="111"/>
      <c r="EF35945"/>
      <c r="EG35945"/>
      <c r="EH35945"/>
      <c r="EI35945"/>
      <c r="EJ35945"/>
      <c r="EK35945"/>
    </row>
    <row r="35946" spans="1:141" s="116" customFormat="1">
      <c r="A35946" s="136"/>
      <c r="CM35946" s="111"/>
      <c r="CQ35946" s="111"/>
      <c r="EF35946"/>
      <c r="EG35946"/>
      <c r="EH35946"/>
      <c r="EI35946"/>
      <c r="EJ35946"/>
      <c r="EK35946"/>
    </row>
    <row r="35947" spans="1:141" s="116" customFormat="1">
      <c r="A35947" s="136"/>
      <c r="CM35947" s="111"/>
      <c r="CQ35947" s="111"/>
      <c r="EF35947"/>
      <c r="EG35947"/>
      <c r="EH35947"/>
      <c r="EI35947"/>
      <c r="EJ35947"/>
      <c r="EK35947"/>
    </row>
    <row r="35948" spans="1:141" s="116" customFormat="1">
      <c r="A35948" s="136"/>
      <c r="CM35948" s="111"/>
      <c r="CQ35948" s="111"/>
      <c r="EF35948"/>
      <c r="EG35948"/>
      <c r="EH35948"/>
      <c r="EI35948"/>
      <c r="EJ35948"/>
      <c r="EK35948"/>
    </row>
    <row r="35949" spans="1:141" s="116" customFormat="1">
      <c r="A35949" s="136"/>
      <c r="CM35949" s="111"/>
      <c r="CQ35949" s="111"/>
      <c r="EF35949"/>
      <c r="EG35949"/>
      <c r="EH35949"/>
      <c r="EI35949"/>
      <c r="EJ35949"/>
      <c r="EK35949"/>
    </row>
    <row r="35950" spans="1:141" s="116" customFormat="1">
      <c r="A35950" s="136"/>
      <c r="CM35950" s="111"/>
      <c r="CQ35950" s="111"/>
      <c r="EF35950"/>
      <c r="EG35950"/>
      <c r="EH35950"/>
      <c r="EI35950"/>
      <c r="EJ35950"/>
      <c r="EK35950"/>
    </row>
    <row r="35951" spans="1:141" s="116" customFormat="1">
      <c r="A35951" s="136"/>
      <c r="CM35951" s="111"/>
      <c r="CQ35951" s="111"/>
      <c r="EF35951"/>
      <c r="EG35951"/>
      <c r="EH35951"/>
      <c r="EI35951"/>
      <c r="EJ35951"/>
      <c r="EK35951"/>
    </row>
    <row r="35952" spans="1:141" s="116" customFormat="1">
      <c r="A35952" s="136"/>
      <c r="CM35952" s="111"/>
      <c r="CQ35952" s="111"/>
      <c r="EF35952"/>
      <c r="EG35952"/>
      <c r="EH35952"/>
      <c r="EI35952"/>
      <c r="EJ35952"/>
      <c r="EK35952"/>
    </row>
    <row r="35953" spans="1:141" s="116" customFormat="1">
      <c r="A35953" s="136"/>
      <c r="CM35953" s="111"/>
      <c r="CQ35953" s="111"/>
      <c r="EF35953"/>
      <c r="EG35953"/>
      <c r="EH35953"/>
      <c r="EI35953"/>
      <c r="EJ35953"/>
      <c r="EK35953"/>
    </row>
    <row r="35954" spans="1:141" s="116" customFormat="1">
      <c r="A35954" s="136"/>
      <c r="CM35954" s="111"/>
      <c r="CQ35954" s="111"/>
      <c r="EF35954"/>
      <c r="EG35954"/>
      <c r="EH35954"/>
      <c r="EI35954"/>
      <c r="EJ35954"/>
      <c r="EK35954"/>
    </row>
    <row r="35955" spans="1:141" s="116" customFormat="1">
      <c r="A35955" s="136"/>
      <c r="CM35955" s="111"/>
      <c r="CQ35955" s="111"/>
      <c r="EF35955"/>
      <c r="EG35955"/>
      <c r="EH35955"/>
      <c r="EI35955"/>
      <c r="EJ35955"/>
      <c r="EK35955"/>
    </row>
    <row r="35956" spans="1:141" s="116" customFormat="1">
      <c r="A35956" s="136"/>
      <c r="CM35956" s="111"/>
      <c r="CQ35956" s="111"/>
      <c r="EF35956"/>
      <c r="EG35956"/>
      <c r="EH35956"/>
      <c r="EI35956"/>
      <c r="EJ35956"/>
      <c r="EK35956"/>
    </row>
    <row r="35957" spans="1:141" s="116" customFormat="1">
      <c r="A35957" s="136"/>
      <c r="CM35957" s="111"/>
      <c r="CQ35957" s="111"/>
      <c r="EF35957"/>
      <c r="EG35957"/>
      <c r="EH35957"/>
      <c r="EI35957"/>
      <c r="EJ35957"/>
      <c r="EK35957"/>
    </row>
    <row r="35958" spans="1:141" s="116" customFormat="1">
      <c r="A35958" s="136"/>
      <c r="CM35958" s="111"/>
      <c r="CQ35958" s="111"/>
      <c r="EF35958"/>
      <c r="EG35958"/>
      <c r="EH35958"/>
      <c r="EI35958"/>
      <c r="EJ35958"/>
      <c r="EK35958"/>
    </row>
    <row r="35959" spans="1:141" s="116" customFormat="1">
      <c r="A35959" s="136"/>
      <c r="CM35959" s="111"/>
      <c r="CQ35959" s="111"/>
      <c r="EF35959"/>
      <c r="EG35959"/>
      <c r="EH35959"/>
      <c r="EI35959"/>
      <c r="EJ35959"/>
      <c r="EK35959"/>
    </row>
    <row r="35960" spans="1:141" s="116" customFormat="1">
      <c r="A35960" s="136"/>
      <c r="CM35960" s="111"/>
      <c r="CQ35960" s="111"/>
      <c r="EF35960"/>
      <c r="EG35960"/>
      <c r="EH35960"/>
      <c r="EI35960"/>
      <c r="EJ35960"/>
      <c r="EK35960"/>
    </row>
    <row r="35961" spans="1:141" s="116" customFormat="1">
      <c r="A35961" s="136"/>
      <c r="CM35961" s="111"/>
      <c r="CQ35961" s="111"/>
      <c r="EF35961"/>
      <c r="EG35961"/>
      <c r="EH35961"/>
      <c r="EI35961"/>
      <c r="EJ35961"/>
      <c r="EK35961"/>
    </row>
    <row r="35962" spans="1:141" s="116" customFormat="1">
      <c r="A35962" s="136"/>
      <c r="CM35962" s="111"/>
      <c r="CQ35962" s="111"/>
      <c r="EF35962"/>
      <c r="EG35962"/>
      <c r="EH35962"/>
      <c r="EI35962"/>
      <c r="EJ35962"/>
      <c r="EK35962"/>
    </row>
    <row r="35963" spans="1:141" s="116" customFormat="1">
      <c r="A35963" s="136"/>
      <c r="CM35963" s="111"/>
      <c r="CQ35963" s="111"/>
      <c r="EF35963"/>
      <c r="EG35963"/>
      <c r="EH35963"/>
      <c r="EI35963"/>
      <c r="EJ35963"/>
      <c r="EK35963"/>
    </row>
    <row r="35964" spans="1:141" s="116" customFormat="1">
      <c r="A35964" s="136"/>
      <c r="CM35964" s="111"/>
      <c r="CQ35964" s="111"/>
      <c r="EF35964"/>
      <c r="EG35964"/>
      <c r="EH35964"/>
      <c r="EI35964"/>
      <c r="EJ35964"/>
      <c r="EK35964"/>
    </row>
    <row r="35965" spans="1:141" s="116" customFormat="1">
      <c r="A35965" s="136"/>
      <c r="CM35965" s="111"/>
      <c r="CQ35965" s="111"/>
      <c r="EF35965"/>
      <c r="EG35965"/>
      <c r="EH35965"/>
      <c r="EI35965"/>
      <c r="EJ35965"/>
      <c r="EK35965"/>
    </row>
    <row r="35966" spans="1:141" s="116" customFormat="1">
      <c r="A35966" s="136"/>
      <c r="CM35966" s="111"/>
      <c r="CQ35966" s="111"/>
      <c r="EF35966"/>
      <c r="EG35966"/>
      <c r="EH35966"/>
      <c r="EI35966"/>
      <c r="EJ35966"/>
      <c r="EK35966"/>
    </row>
    <row r="35967" spans="1:141" s="116" customFormat="1">
      <c r="A35967" s="136"/>
      <c r="CM35967" s="111"/>
      <c r="CQ35967" s="111"/>
      <c r="EF35967"/>
      <c r="EG35967"/>
      <c r="EH35967"/>
      <c r="EI35967"/>
      <c r="EJ35967"/>
      <c r="EK35967"/>
    </row>
    <row r="35968" spans="1:141" s="116" customFormat="1">
      <c r="A35968" s="136"/>
      <c r="CM35968" s="111"/>
      <c r="CQ35968" s="111"/>
      <c r="EF35968"/>
      <c r="EG35968"/>
      <c r="EH35968"/>
      <c r="EI35968"/>
      <c r="EJ35968"/>
      <c r="EK35968"/>
    </row>
    <row r="35969" spans="1:141" s="116" customFormat="1">
      <c r="A35969" s="136"/>
      <c r="CM35969" s="111"/>
      <c r="CQ35969" s="111"/>
      <c r="EF35969"/>
      <c r="EG35969"/>
      <c r="EH35969"/>
      <c r="EI35969"/>
      <c r="EJ35969"/>
      <c r="EK35969"/>
    </row>
    <row r="35970" spans="1:141" s="116" customFormat="1">
      <c r="A35970" s="136"/>
      <c r="CM35970" s="111"/>
      <c r="CQ35970" s="111"/>
      <c r="EF35970"/>
      <c r="EG35970"/>
      <c r="EH35970"/>
      <c r="EI35970"/>
      <c r="EJ35970"/>
      <c r="EK35970"/>
    </row>
    <row r="35971" spans="1:141" s="116" customFormat="1">
      <c r="A35971" s="136"/>
      <c r="CM35971" s="111"/>
      <c r="CQ35971" s="111"/>
      <c r="EF35971"/>
      <c r="EG35971"/>
      <c r="EH35971"/>
      <c r="EI35971"/>
      <c r="EJ35971"/>
      <c r="EK35971"/>
    </row>
    <row r="35972" spans="1:141" s="116" customFormat="1">
      <c r="A35972" s="136"/>
      <c r="CM35972" s="111"/>
      <c r="CQ35972" s="111"/>
      <c r="EF35972"/>
      <c r="EG35972"/>
      <c r="EH35972"/>
      <c r="EI35972"/>
      <c r="EJ35972"/>
      <c r="EK35972"/>
    </row>
    <row r="35973" spans="1:141" s="116" customFormat="1">
      <c r="A35973" s="136"/>
      <c r="CM35973" s="111"/>
      <c r="CQ35973" s="111"/>
      <c r="EF35973"/>
      <c r="EG35973"/>
      <c r="EH35973"/>
      <c r="EI35973"/>
      <c r="EJ35973"/>
      <c r="EK35973"/>
    </row>
    <row r="35974" spans="1:141" s="116" customFormat="1">
      <c r="A35974" s="136"/>
      <c r="CM35974" s="111"/>
      <c r="CQ35974" s="111"/>
      <c r="EF35974"/>
      <c r="EG35974"/>
      <c r="EH35974"/>
      <c r="EI35974"/>
      <c r="EJ35974"/>
      <c r="EK35974"/>
    </row>
    <row r="35975" spans="1:141" s="116" customFormat="1">
      <c r="A35975" s="136"/>
      <c r="CM35975" s="111"/>
      <c r="CQ35975" s="111"/>
      <c r="EF35975"/>
      <c r="EG35975"/>
      <c r="EH35975"/>
      <c r="EI35975"/>
      <c r="EJ35975"/>
      <c r="EK35975"/>
    </row>
    <row r="35976" spans="1:141" s="116" customFormat="1">
      <c r="A35976" s="136"/>
      <c r="CM35976" s="111"/>
      <c r="CQ35976" s="111"/>
      <c r="EF35976"/>
      <c r="EG35976"/>
      <c r="EH35976"/>
      <c r="EI35976"/>
      <c r="EJ35976"/>
      <c r="EK35976"/>
    </row>
    <row r="35977" spans="1:141" s="116" customFormat="1">
      <c r="A35977" s="136"/>
      <c r="CM35977" s="111"/>
      <c r="CQ35977" s="111"/>
      <c r="EF35977"/>
      <c r="EG35977"/>
      <c r="EH35977"/>
      <c r="EI35977"/>
      <c r="EJ35977"/>
      <c r="EK35977"/>
    </row>
    <row r="35978" spans="1:141" s="116" customFormat="1">
      <c r="A35978" s="136"/>
      <c r="CM35978" s="111"/>
      <c r="CQ35978" s="111"/>
      <c r="EF35978"/>
      <c r="EG35978"/>
      <c r="EH35978"/>
      <c r="EI35978"/>
      <c r="EJ35978"/>
      <c r="EK35978"/>
    </row>
    <row r="35979" spans="1:141" s="116" customFormat="1">
      <c r="A35979" s="136"/>
      <c r="CM35979" s="111"/>
      <c r="CQ35979" s="111"/>
      <c r="EF35979"/>
      <c r="EG35979"/>
      <c r="EH35979"/>
      <c r="EI35979"/>
      <c r="EJ35979"/>
      <c r="EK35979"/>
    </row>
    <row r="35980" spans="1:141" s="116" customFormat="1">
      <c r="A35980" s="136"/>
      <c r="CM35980" s="111"/>
      <c r="CQ35980" s="111"/>
      <c r="EF35980"/>
      <c r="EG35980"/>
      <c r="EH35980"/>
      <c r="EI35980"/>
      <c r="EJ35980"/>
      <c r="EK35980"/>
    </row>
    <row r="35981" spans="1:141" s="116" customFormat="1">
      <c r="A35981" s="136"/>
      <c r="CM35981" s="111"/>
      <c r="CQ35981" s="111"/>
      <c r="EF35981"/>
      <c r="EG35981"/>
      <c r="EH35981"/>
      <c r="EI35981"/>
      <c r="EJ35981"/>
      <c r="EK35981"/>
    </row>
    <row r="35982" spans="1:141" s="116" customFormat="1">
      <c r="A35982" s="136"/>
      <c r="CM35982" s="111"/>
      <c r="CQ35982" s="111"/>
      <c r="EF35982"/>
      <c r="EG35982"/>
      <c r="EH35982"/>
      <c r="EI35982"/>
      <c r="EJ35982"/>
      <c r="EK35982"/>
    </row>
    <row r="35983" spans="1:141" s="116" customFormat="1">
      <c r="A35983" s="136"/>
      <c r="CM35983" s="111"/>
      <c r="CQ35983" s="111"/>
      <c r="EF35983"/>
      <c r="EG35983"/>
      <c r="EH35983"/>
      <c r="EI35983"/>
      <c r="EJ35983"/>
      <c r="EK35983"/>
    </row>
    <row r="35984" spans="1:141" s="116" customFormat="1">
      <c r="A35984" s="136"/>
      <c r="CM35984" s="111"/>
      <c r="CQ35984" s="111"/>
      <c r="EF35984"/>
      <c r="EG35984"/>
      <c r="EH35984"/>
      <c r="EI35984"/>
      <c r="EJ35984"/>
      <c r="EK35984"/>
    </row>
    <row r="35985" spans="1:141" s="116" customFormat="1">
      <c r="A35985" s="136"/>
      <c r="CM35985" s="111"/>
      <c r="CQ35985" s="111"/>
      <c r="EF35985"/>
      <c r="EG35985"/>
      <c r="EH35985"/>
      <c r="EI35985"/>
      <c r="EJ35985"/>
      <c r="EK35985"/>
    </row>
    <row r="35986" spans="1:141" s="116" customFormat="1">
      <c r="A35986" s="136"/>
      <c r="CM35986" s="111"/>
      <c r="CQ35986" s="111"/>
      <c r="EF35986"/>
      <c r="EG35986"/>
      <c r="EH35986"/>
      <c r="EI35986"/>
      <c r="EJ35986"/>
      <c r="EK35986"/>
    </row>
    <row r="35987" spans="1:141" s="116" customFormat="1">
      <c r="A35987" s="136"/>
      <c r="CM35987" s="111"/>
      <c r="CQ35987" s="111"/>
      <c r="EF35987"/>
      <c r="EG35987"/>
      <c r="EH35987"/>
      <c r="EI35987"/>
      <c r="EJ35987"/>
      <c r="EK35987"/>
    </row>
    <row r="35988" spans="1:141" s="116" customFormat="1">
      <c r="A35988" s="136"/>
      <c r="CM35988" s="111"/>
      <c r="CQ35988" s="111"/>
      <c r="EF35988"/>
      <c r="EG35988"/>
      <c r="EH35988"/>
      <c r="EI35988"/>
      <c r="EJ35988"/>
      <c r="EK35988"/>
    </row>
    <row r="35989" spans="1:141" s="116" customFormat="1">
      <c r="A35989" s="136"/>
      <c r="CM35989" s="111"/>
      <c r="CQ35989" s="111"/>
      <c r="EF35989"/>
      <c r="EG35989"/>
      <c r="EH35989"/>
      <c r="EI35989"/>
      <c r="EJ35989"/>
      <c r="EK35989"/>
    </row>
    <row r="35990" spans="1:141" s="116" customFormat="1">
      <c r="A35990" s="136"/>
      <c r="CM35990" s="111"/>
      <c r="CQ35990" s="111"/>
      <c r="EF35990"/>
      <c r="EG35990"/>
      <c r="EH35990"/>
      <c r="EI35990"/>
      <c r="EJ35990"/>
      <c r="EK35990"/>
    </row>
    <row r="35991" spans="1:141" s="116" customFormat="1">
      <c r="A35991" s="136"/>
      <c r="CM35991" s="111"/>
      <c r="CQ35991" s="111"/>
      <c r="EF35991"/>
      <c r="EG35991"/>
      <c r="EH35991"/>
      <c r="EI35991"/>
      <c r="EJ35991"/>
      <c r="EK35991"/>
    </row>
    <row r="35992" spans="1:141" s="116" customFormat="1">
      <c r="A35992" s="136"/>
      <c r="CM35992" s="111"/>
      <c r="CQ35992" s="111"/>
      <c r="EF35992"/>
      <c r="EG35992"/>
      <c r="EH35992"/>
      <c r="EI35992"/>
      <c r="EJ35992"/>
      <c r="EK35992"/>
    </row>
    <row r="35993" spans="1:141" s="116" customFormat="1">
      <c r="A35993" s="136"/>
      <c r="CM35993" s="111"/>
      <c r="CQ35993" s="111"/>
      <c r="EF35993"/>
      <c r="EG35993"/>
      <c r="EH35993"/>
      <c r="EI35993"/>
      <c r="EJ35993"/>
      <c r="EK35993"/>
    </row>
    <row r="35994" spans="1:141" s="116" customFormat="1">
      <c r="A35994" s="136"/>
      <c r="CM35994" s="111"/>
      <c r="CQ35994" s="111"/>
      <c r="EF35994"/>
      <c r="EG35994"/>
      <c r="EH35994"/>
      <c r="EI35994"/>
      <c r="EJ35994"/>
      <c r="EK35994"/>
    </row>
    <row r="35995" spans="1:141" s="116" customFormat="1">
      <c r="A35995" s="136"/>
      <c r="CM35995" s="111"/>
      <c r="CQ35995" s="111"/>
      <c r="EF35995"/>
      <c r="EG35995"/>
      <c r="EH35995"/>
      <c r="EI35995"/>
      <c r="EJ35995"/>
      <c r="EK35995"/>
    </row>
    <row r="35996" spans="1:141" s="116" customFormat="1">
      <c r="A35996" s="136"/>
      <c r="CM35996" s="111"/>
      <c r="CQ35996" s="111"/>
      <c r="EF35996"/>
      <c r="EG35996"/>
      <c r="EH35996"/>
      <c r="EI35996"/>
      <c r="EJ35996"/>
      <c r="EK35996"/>
    </row>
    <row r="35997" spans="1:141" s="116" customFormat="1">
      <c r="A35997" s="136"/>
      <c r="CM35997" s="111"/>
      <c r="CQ35997" s="111"/>
      <c r="EF35997"/>
      <c r="EG35997"/>
      <c r="EH35997"/>
      <c r="EI35997"/>
      <c r="EJ35997"/>
      <c r="EK35997"/>
    </row>
    <row r="35998" spans="1:141" s="116" customFormat="1">
      <c r="A35998" s="136"/>
      <c r="CM35998" s="111"/>
      <c r="CQ35998" s="111"/>
      <c r="EF35998"/>
      <c r="EG35998"/>
      <c r="EH35998"/>
      <c r="EI35998"/>
      <c r="EJ35998"/>
      <c r="EK35998"/>
    </row>
    <row r="35999" spans="1:141" s="116" customFormat="1">
      <c r="A35999" s="136"/>
      <c r="CM35999" s="111"/>
      <c r="CQ35999" s="111"/>
      <c r="EF35999"/>
      <c r="EG35999"/>
      <c r="EH35999"/>
      <c r="EI35999"/>
      <c r="EJ35999"/>
      <c r="EK35999"/>
    </row>
    <row r="36000" spans="1:141" s="116" customFormat="1">
      <c r="A36000" s="136"/>
      <c r="CM36000" s="111"/>
      <c r="CQ36000" s="111"/>
      <c r="EF36000"/>
      <c r="EG36000"/>
      <c r="EH36000"/>
      <c r="EI36000"/>
      <c r="EJ36000"/>
      <c r="EK36000"/>
    </row>
    <row r="36001" spans="1:141" s="116" customFormat="1">
      <c r="A36001" s="136"/>
      <c r="CM36001" s="111"/>
      <c r="CQ36001" s="111"/>
      <c r="EF36001"/>
      <c r="EG36001"/>
      <c r="EH36001"/>
      <c r="EI36001"/>
      <c r="EJ36001"/>
      <c r="EK36001"/>
    </row>
    <row r="36002" spans="1:141" s="116" customFormat="1">
      <c r="A36002" s="136"/>
      <c r="CM36002" s="111"/>
      <c r="CQ36002" s="111"/>
      <c r="EF36002"/>
      <c r="EG36002"/>
      <c r="EH36002"/>
      <c r="EI36002"/>
      <c r="EJ36002"/>
      <c r="EK36002"/>
    </row>
    <row r="36003" spans="1:141" s="116" customFormat="1">
      <c r="A36003" s="136"/>
      <c r="CM36003" s="111"/>
      <c r="CQ36003" s="111"/>
      <c r="EF36003"/>
      <c r="EG36003"/>
      <c r="EH36003"/>
      <c r="EI36003"/>
      <c r="EJ36003"/>
      <c r="EK36003"/>
    </row>
    <row r="36004" spans="1:141" s="116" customFormat="1">
      <c r="A36004" s="136"/>
      <c r="CM36004" s="111"/>
      <c r="CQ36004" s="111"/>
      <c r="EF36004"/>
      <c r="EG36004"/>
      <c r="EH36004"/>
      <c r="EI36004"/>
      <c r="EJ36004"/>
      <c r="EK36004"/>
    </row>
    <row r="36005" spans="1:141" s="116" customFormat="1">
      <c r="A36005" s="136"/>
      <c r="CM36005" s="111"/>
      <c r="CQ36005" s="111"/>
      <c r="EF36005"/>
      <c r="EG36005"/>
      <c r="EH36005"/>
      <c r="EI36005"/>
      <c r="EJ36005"/>
      <c r="EK36005"/>
    </row>
    <row r="36006" spans="1:141" s="116" customFormat="1">
      <c r="A36006" s="136"/>
      <c r="CM36006" s="111"/>
      <c r="CQ36006" s="111"/>
      <c r="EF36006"/>
      <c r="EG36006"/>
      <c r="EH36006"/>
      <c r="EI36006"/>
      <c r="EJ36006"/>
      <c r="EK36006"/>
    </row>
    <row r="36007" spans="1:141" s="116" customFormat="1">
      <c r="A36007" s="136"/>
      <c r="CM36007" s="111"/>
      <c r="CQ36007" s="111"/>
      <c r="EF36007"/>
      <c r="EG36007"/>
      <c r="EH36007"/>
      <c r="EI36007"/>
      <c r="EJ36007"/>
      <c r="EK36007"/>
    </row>
    <row r="36008" spans="1:141" s="116" customFormat="1">
      <c r="A36008" s="136"/>
      <c r="CM36008" s="111"/>
      <c r="CQ36008" s="111"/>
      <c r="EF36008"/>
      <c r="EG36008"/>
      <c r="EH36008"/>
      <c r="EI36008"/>
      <c r="EJ36008"/>
      <c r="EK36008"/>
    </row>
    <row r="36009" spans="1:141" s="116" customFormat="1">
      <c r="A36009" s="136"/>
      <c r="CM36009" s="111"/>
      <c r="CQ36009" s="111"/>
      <c r="EF36009"/>
      <c r="EG36009"/>
      <c r="EH36009"/>
      <c r="EI36009"/>
      <c r="EJ36009"/>
      <c r="EK36009"/>
    </row>
    <row r="36010" spans="1:141" s="116" customFormat="1">
      <c r="A36010" s="136"/>
      <c r="CM36010" s="111"/>
      <c r="CQ36010" s="111"/>
      <c r="EF36010"/>
      <c r="EG36010"/>
      <c r="EH36010"/>
      <c r="EI36010"/>
      <c r="EJ36010"/>
      <c r="EK36010"/>
    </row>
    <row r="36011" spans="1:141" s="116" customFormat="1">
      <c r="A36011" s="136"/>
      <c r="CM36011" s="111"/>
      <c r="CQ36011" s="111"/>
      <c r="EF36011"/>
      <c r="EG36011"/>
      <c r="EH36011"/>
      <c r="EI36011"/>
      <c r="EJ36011"/>
      <c r="EK36011"/>
    </row>
    <row r="36012" spans="1:141" s="116" customFormat="1">
      <c r="A36012" s="136"/>
      <c r="CM36012" s="111"/>
      <c r="CQ36012" s="111"/>
      <c r="EF36012"/>
      <c r="EG36012"/>
      <c r="EH36012"/>
      <c r="EI36012"/>
      <c r="EJ36012"/>
      <c r="EK36012"/>
    </row>
    <row r="36013" spans="1:141" s="116" customFormat="1">
      <c r="A36013" s="136"/>
      <c r="CM36013" s="111"/>
      <c r="CQ36013" s="111"/>
      <c r="EF36013"/>
      <c r="EG36013"/>
      <c r="EH36013"/>
      <c r="EI36013"/>
      <c r="EJ36013"/>
      <c r="EK36013"/>
    </row>
    <row r="36014" spans="1:141" s="116" customFormat="1">
      <c r="A36014" s="136"/>
      <c r="CM36014" s="111"/>
      <c r="CQ36014" s="111"/>
      <c r="EF36014"/>
      <c r="EG36014"/>
      <c r="EH36014"/>
      <c r="EI36014"/>
      <c r="EJ36014"/>
      <c r="EK36014"/>
    </row>
    <row r="36015" spans="1:141" s="116" customFormat="1">
      <c r="A36015" s="136"/>
      <c r="CM36015" s="111"/>
      <c r="CQ36015" s="111"/>
      <c r="EF36015"/>
      <c r="EG36015"/>
      <c r="EH36015"/>
      <c r="EI36015"/>
      <c r="EJ36015"/>
      <c r="EK36015"/>
    </row>
    <row r="36016" spans="1:141" s="116" customFormat="1">
      <c r="A36016" s="136"/>
      <c r="CM36016" s="111"/>
      <c r="CQ36016" s="111"/>
      <c r="EF36016"/>
      <c r="EG36016"/>
      <c r="EH36016"/>
      <c r="EI36016"/>
      <c r="EJ36016"/>
      <c r="EK36016"/>
    </row>
    <row r="36017" spans="1:141" s="116" customFormat="1">
      <c r="A36017" s="136"/>
      <c r="CM36017" s="111"/>
      <c r="CQ36017" s="111"/>
      <c r="EF36017"/>
      <c r="EG36017"/>
      <c r="EH36017"/>
      <c r="EI36017"/>
      <c r="EJ36017"/>
      <c r="EK36017"/>
    </row>
    <row r="36018" spans="1:141" s="116" customFormat="1">
      <c r="A36018" s="136"/>
      <c r="CM36018" s="111"/>
      <c r="CQ36018" s="111"/>
      <c r="EF36018"/>
      <c r="EG36018"/>
      <c r="EH36018"/>
      <c r="EI36018"/>
      <c r="EJ36018"/>
      <c r="EK36018"/>
    </row>
    <row r="36019" spans="1:141" s="116" customFormat="1">
      <c r="A36019" s="136"/>
      <c r="CM36019" s="111"/>
      <c r="CQ36019" s="111"/>
      <c r="EF36019"/>
      <c r="EG36019"/>
      <c r="EH36019"/>
      <c r="EI36019"/>
      <c r="EJ36019"/>
      <c r="EK36019"/>
    </row>
    <row r="36020" spans="1:141" s="116" customFormat="1">
      <c r="A36020" s="136"/>
      <c r="CM36020" s="111"/>
      <c r="CQ36020" s="111"/>
      <c r="EF36020"/>
      <c r="EG36020"/>
      <c r="EH36020"/>
      <c r="EI36020"/>
      <c r="EJ36020"/>
      <c r="EK36020"/>
    </row>
    <row r="36021" spans="1:141" s="116" customFormat="1">
      <c r="A36021" s="136"/>
      <c r="CM36021" s="111"/>
      <c r="CQ36021" s="111"/>
      <c r="EF36021"/>
      <c r="EG36021"/>
      <c r="EH36021"/>
      <c r="EI36021"/>
      <c r="EJ36021"/>
      <c r="EK36021"/>
    </row>
    <row r="36022" spans="1:141" s="116" customFormat="1">
      <c r="A36022" s="136"/>
      <c r="CM36022" s="111"/>
      <c r="CQ36022" s="111"/>
      <c r="EF36022"/>
      <c r="EG36022"/>
      <c r="EH36022"/>
      <c r="EI36022"/>
      <c r="EJ36022"/>
      <c r="EK36022"/>
    </row>
    <row r="36023" spans="1:141" s="116" customFormat="1">
      <c r="A36023" s="136"/>
      <c r="CM36023" s="111"/>
      <c r="CQ36023" s="111"/>
      <c r="EF36023"/>
      <c r="EG36023"/>
      <c r="EH36023"/>
      <c r="EI36023"/>
      <c r="EJ36023"/>
      <c r="EK36023"/>
    </row>
    <row r="36024" spans="1:141" s="116" customFormat="1">
      <c r="A36024" s="136"/>
      <c r="CM36024" s="111"/>
      <c r="CQ36024" s="111"/>
      <c r="EF36024"/>
      <c r="EG36024"/>
      <c r="EH36024"/>
      <c r="EI36024"/>
      <c r="EJ36024"/>
      <c r="EK36024"/>
    </row>
    <row r="36025" spans="1:141" s="116" customFormat="1">
      <c r="A36025" s="136"/>
      <c r="CM36025" s="111"/>
      <c r="CQ36025" s="111"/>
      <c r="EF36025"/>
      <c r="EG36025"/>
      <c r="EH36025"/>
      <c r="EI36025"/>
      <c r="EJ36025"/>
      <c r="EK36025"/>
    </row>
    <row r="36026" spans="1:141" s="116" customFormat="1">
      <c r="A36026" s="136"/>
      <c r="CM36026" s="111"/>
      <c r="CQ36026" s="111"/>
      <c r="EF36026"/>
      <c r="EG36026"/>
      <c r="EH36026"/>
      <c r="EI36026"/>
      <c r="EJ36026"/>
      <c r="EK36026"/>
    </row>
    <row r="36027" spans="1:141" s="116" customFormat="1">
      <c r="A36027" s="136"/>
      <c r="CM36027" s="111"/>
      <c r="CQ36027" s="111"/>
      <c r="EF36027"/>
      <c r="EG36027"/>
      <c r="EH36027"/>
      <c r="EI36027"/>
      <c r="EJ36027"/>
      <c r="EK36027"/>
    </row>
    <row r="36028" spans="1:141" s="116" customFormat="1">
      <c r="A36028" s="136"/>
      <c r="CM36028" s="111"/>
      <c r="CQ36028" s="111"/>
      <c r="EF36028"/>
      <c r="EG36028"/>
      <c r="EH36028"/>
      <c r="EI36028"/>
      <c r="EJ36028"/>
      <c r="EK36028"/>
    </row>
    <row r="36029" spans="1:141" s="116" customFormat="1">
      <c r="A36029" s="136"/>
      <c r="CM36029" s="111"/>
      <c r="CQ36029" s="111"/>
      <c r="EF36029"/>
      <c r="EG36029"/>
      <c r="EH36029"/>
      <c r="EI36029"/>
      <c r="EJ36029"/>
      <c r="EK36029"/>
    </row>
    <row r="36030" spans="1:141" s="116" customFormat="1">
      <c r="A36030" s="136"/>
      <c r="CM36030" s="111"/>
      <c r="CQ36030" s="111"/>
      <c r="EF36030"/>
      <c r="EG36030"/>
      <c r="EH36030"/>
      <c r="EI36030"/>
      <c r="EJ36030"/>
      <c r="EK36030"/>
    </row>
    <row r="36031" spans="1:141" s="116" customFormat="1">
      <c r="A36031" s="136"/>
      <c r="CM36031" s="111"/>
      <c r="CQ36031" s="111"/>
      <c r="EF36031"/>
      <c r="EG36031"/>
      <c r="EH36031"/>
      <c r="EI36031"/>
      <c r="EJ36031"/>
      <c r="EK36031"/>
    </row>
    <row r="36032" spans="1:141" s="116" customFormat="1">
      <c r="A36032" s="136"/>
      <c r="CM36032" s="111"/>
      <c r="CQ36032" s="111"/>
      <c r="EF36032"/>
      <c r="EG36032"/>
      <c r="EH36032"/>
      <c r="EI36032"/>
      <c r="EJ36032"/>
      <c r="EK36032"/>
    </row>
    <row r="36033" spans="1:141" s="116" customFormat="1">
      <c r="A36033" s="136"/>
      <c r="CM36033" s="111"/>
      <c r="CQ36033" s="111"/>
      <c r="EF36033"/>
      <c r="EG36033"/>
      <c r="EH36033"/>
      <c r="EI36033"/>
      <c r="EJ36033"/>
      <c r="EK36033"/>
    </row>
    <row r="36034" spans="1:141" s="116" customFormat="1">
      <c r="A36034" s="136"/>
      <c r="CM36034" s="111"/>
      <c r="CQ36034" s="111"/>
      <c r="EF36034"/>
      <c r="EG36034"/>
      <c r="EH36034"/>
      <c r="EI36034"/>
      <c r="EJ36034"/>
      <c r="EK36034"/>
    </row>
    <row r="36035" spans="1:141" s="116" customFormat="1">
      <c r="A36035" s="136"/>
      <c r="CM36035" s="111"/>
      <c r="CQ36035" s="111"/>
      <c r="EF36035"/>
      <c r="EG36035"/>
      <c r="EH36035"/>
      <c r="EI36035"/>
      <c r="EJ36035"/>
      <c r="EK36035"/>
    </row>
    <row r="36036" spans="1:141" s="116" customFormat="1">
      <c r="A36036" s="136"/>
      <c r="CM36036" s="111"/>
      <c r="CQ36036" s="111"/>
      <c r="EF36036"/>
      <c r="EG36036"/>
      <c r="EH36036"/>
      <c r="EI36036"/>
      <c r="EJ36036"/>
      <c r="EK36036"/>
    </row>
    <row r="36037" spans="1:141" s="116" customFormat="1">
      <c r="A36037" s="136"/>
      <c r="CM36037" s="111"/>
      <c r="CQ36037" s="111"/>
      <c r="EF36037"/>
      <c r="EG36037"/>
      <c r="EH36037"/>
      <c r="EI36037"/>
      <c r="EJ36037"/>
      <c r="EK36037"/>
    </row>
    <row r="36038" spans="1:141" s="116" customFormat="1">
      <c r="A36038" s="136"/>
      <c r="CM36038" s="111"/>
      <c r="CQ36038" s="111"/>
      <c r="EF36038"/>
      <c r="EG36038"/>
      <c r="EH36038"/>
      <c r="EI36038"/>
      <c r="EJ36038"/>
      <c r="EK36038"/>
    </row>
    <row r="36039" spans="1:141" s="116" customFormat="1">
      <c r="A36039" s="136"/>
      <c r="CM36039" s="111"/>
      <c r="CQ36039" s="111"/>
      <c r="EF36039"/>
      <c r="EG36039"/>
      <c r="EH36039"/>
      <c r="EI36039"/>
      <c r="EJ36039"/>
      <c r="EK36039"/>
    </row>
    <row r="36040" spans="1:141" s="116" customFormat="1">
      <c r="A36040" s="136"/>
      <c r="CM36040" s="111"/>
      <c r="CQ36040" s="111"/>
      <c r="EF36040"/>
      <c r="EG36040"/>
      <c r="EH36040"/>
      <c r="EI36040"/>
      <c r="EJ36040"/>
      <c r="EK36040"/>
    </row>
    <row r="36041" spans="1:141" s="116" customFormat="1">
      <c r="A36041" s="136"/>
      <c r="CM36041" s="111"/>
      <c r="CQ36041" s="111"/>
      <c r="EF36041"/>
      <c r="EG36041"/>
      <c r="EH36041"/>
      <c r="EI36041"/>
      <c r="EJ36041"/>
      <c r="EK36041"/>
    </row>
    <row r="36042" spans="1:141" s="116" customFormat="1">
      <c r="A36042" s="136"/>
      <c r="CM36042" s="111"/>
      <c r="CQ36042" s="111"/>
      <c r="EF36042"/>
      <c r="EG36042"/>
      <c r="EH36042"/>
      <c r="EI36042"/>
      <c r="EJ36042"/>
      <c r="EK36042"/>
    </row>
    <row r="36043" spans="1:141" s="116" customFormat="1">
      <c r="A36043" s="136"/>
      <c r="CM36043" s="111"/>
      <c r="CQ36043" s="111"/>
      <c r="EF36043"/>
      <c r="EG36043"/>
      <c r="EH36043"/>
      <c r="EI36043"/>
      <c r="EJ36043"/>
      <c r="EK36043"/>
    </row>
    <row r="36044" spans="1:141" s="116" customFormat="1">
      <c r="A36044" s="136"/>
      <c r="CM36044" s="111"/>
      <c r="CQ36044" s="111"/>
      <c r="EF36044"/>
      <c r="EG36044"/>
      <c r="EH36044"/>
      <c r="EI36044"/>
      <c r="EJ36044"/>
      <c r="EK36044"/>
    </row>
    <row r="36045" spans="1:141" s="116" customFormat="1">
      <c r="A36045" s="136"/>
      <c r="CM36045" s="111"/>
      <c r="CQ36045" s="111"/>
      <c r="EF36045"/>
      <c r="EG36045"/>
      <c r="EH36045"/>
      <c r="EI36045"/>
      <c r="EJ36045"/>
      <c r="EK36045"/>
    </row>
    <row r="36046" spans="1:141" s="116" customFormat="1">
      <c r="A36046" s="136"/>
      <c r="CM36046" s="111"/>
      <c r="CQ36046" s="111"/>
      <c r="EF36046"/>
      <c r="EG36046"/>
      <c r="EH36046"/>
      <c r="EI36046"/>
      <c r="EJ36046"/>
      <c r="EK36046"/>
    </row>
    <row r="36047" spans="1:141" s="116" customFormat="1">
      <c r="A36047" s="136"/>
      <c r="CM36047" s="111"/>
      <c r="CQ36047" s="111"/>
      <c r="EF36047"/>
      <c r="EG36047"/>
      <c r="EH36047"/>
      <c r="EI36047"/>
      <c r="EJ36047"/>
      <c r="EK36047"/>
    </row>
    <row r="36048" spans="1:141" s="116" customFormat="1">
      <c r="A36048" s="136"/>
      <c r="CM36048" s="111"/>
      <c r="CQ36048" s="111"/>
      <c r="EF36048"/>
      <c r="EG36048"/>
      <c r="EH36048"/>
      <c r="EI36048"/>
      <c r="EJ36048"/>
      <c r="EK36048"/>
    </row>
    <row r="36049" spans="1:141" s="116" customFormat="1">
      <c r="A36049" s="136"/>
      <c r="CM36049" s="111"/>
      <c r="CQ36049" s="111"/>
      <c r="EF36049"/>
      <c r="EG36049"/>
      <c r="EH36049"/>
      <c r="EI36049"/>
      <c r="EJ36049"/>
      <c r="EK36049"/>
    </row>
    <row r="36050" spans="1:141" s="116" customFormat="1">
      <c r="A36050" s="136"/>
      <c r="CM36050" s="111"/>
      <c r="CQ36050" s="111"/>
      <c r="EF36050"/>
      <c r="EG36050"/>
      <c r="EH36050"/>
      <c r="EI36050"/>
      <c r="EJ36050"/>
      <c r="EK36050"/>
    </row>
    <row r="36051" spans="1:141" s="116" customFormat="1">
      <c r="A36051" s="136"/>
      <c r="CM36051" s="111"/>
      <c r="CQ36051" s="111"/>
      <c r="EF36051"/>
      <c r="EG36051"/>
      <c r="EH36051"/>
      <c r="EI36051"/>
      <c r="EJ36051"/>
      <c r="EK36051"/>
    </row>
    <row r="36052" spans="1:141" s="116" customFormat="1">
      <c r="A36052" s="136"/>
      <c r="CM36052" s="111"/>
      <c r="CQ36052" s="111"/>
      <c r="EF36052"/>
      <c r="EG36052"/>
      <c r="EH36052"/>
      <c r="EI36052"/>
      <c r="EJ36052"/>
      <c r="EK36052"/>
    </row>
    <row r="36053" spans="1:141" s="116" customFormat="1">
      <c r="A36053" s="136"/>
      <c r="CM36053" s="111"/>
      <c r="CQ36053" s="111"/>
      <c r="EF36053"/>
      <c r="EG36053"/>
      <c r="EH36053"/>
      <c r="EI36053"/>
      <c r="EJ36053"/>
      <c r="EK36053"/>
    </row>
    <row r="36054" spans="1:141" s="116" customFormat="1">
      <c r="A36054" s="136"/>
      <c r="CM36054" s="111"/>
      <c r="CQ36054" s="111"/>
      <c r="EF36054"/>
      <c r="EG36054"/>
      <c r="EH36054"/>
      <c r="EI36054"/>
      <c r="EJ36054"/>
      <c r="EK36054"/>
    </row>
    <row r="36055" spans="1:141" s="116" customFormat="1">
      <c r="A36055" s="136"/>
      <c r="CM36055" s="111"/>
      <c r="CQ36055" s="111"/>
      <c r="EF36055"/>
      <c r="EG36055"/>
      <c r="EH36055"/>
      <c r="EI36055"/>
      <c r="EJ36055"/>
      <c r="EK36055"/>
    </row>
    <row r="36056" spans="1:141" s="116" customFormat="1">
      <c r="A36056" s="136"/>
      <c r="CM36056" s="111"/>
      <c r="CQ36056" s="111"/>
      <c r="EF36056"/>
      <c r="EG36056"/>
      <c r="EH36056"/>
      <c r="EI36056"/>
      <c r="EJ36056"/>
      <c r="EK36056"/>
    </row>
    <row r="36057" spans="1:141" s="116" customFormat="1">
      <c r="A36057" s="136"/>
      <c r="CM36057" s="111"/>
      <c r="CQ36057" s="111"/>
      <c r="EF36057"/>
      <c r="EG36057"/>
      <c r="EH36057"/>
      <c r="EI36057"/>
      <c r="EJ36057"/>
      <c r="EK36057"/>
    </row>
    <row r="36058" spans="1:141" s="116" customFormat="1">
      <c r="A36058" s="136"/>
      <c r="CM36058" s="111"/>
      <c r="CQ36058" s="111"/>
      <c r="EF36058"/>
      <c r="EG36058"/>
      <c r="EH36058"/>
      <c r="EI36058"/>
      <c r="EJ36058"/>
      <c r="EK36058"/>
    </row>
    <row r="36059" spans="1:141" s="116" customFormat="1">
      <c r="A36059" s="136"/>
      <c r="CM36059" s="111"/>
      <c r="CQ36059" s="111"/>
      <c r="EF36059"/>
      <c r="EG36059"/>
      <c r="EH36059"/>
      <c r="EI36059"/>
      <c r="EJ36059"/>
      <c r="EK36059"/>
    </row>
    <row r="36060" spans="1:141" s="116" customFormat="1">
      <c r="A36060" s="136"/>
      <c r="CM36060" s="111"/>
      <c r="CQ36060" s="111"/>
      <c r="EF36060"/>
      <c r="EG36060"/>
      <c r="EH36060"/>
      <c r="EI36060"/>
      <c r="EJ36060"/>
      <c r="EK36060"/>
    </row>
    <row r="36061" spans="1:141" s="116" customFormat="1">
      <c r="A36061" s="136"/>
      <c r="CM36061" s="111"/>
      <c r="CQ36061" s="111"/>
      <c r="EF36061"/>
      <c r="EG36061"/>
      <c r="EH36061"/>
      <c r="EI36061"/>
      <c r="EJ36061"/>
      <c r="EK36061"/>
    </row>
    <row r="36062" spans="1:141" s="116" customFormat="1">
      <c r="A36062" s="136"/>
      <c r="CM36062" s="111"/>
      <c r="CQ36062" s="111"/>
      <c r="EF36062"/>
      <c r="EG36062"/>
      <c r="EH36062"/>
      <c r="EI36062"/>
      <c r="EJ36062"/>
      <c r="EK36062"/>
    </row>
    <row r="36063" spans="1:141" s="116" customFormat="1">
      <c r="A36063" s="136"/>
      <c r="CM36063" s="111"/>
      <c r="CQ36063" s="111"/>
      <c r="EF36063"/>
      <c r="EG36063"/>
      <c r="EH36063"/>
      <c r="EI36063"/>
      <c r="EJ36063"/>
      <c r="EK36063"/>
    </row>
    <row r="36064" spans="1:141" s="116" customFormat="1">
      <c r="A36064" s="136"/>
      <c r="CM36064" s="111"/>
      <c r="CQ36064" s="111"/>
      <c r="EF36064"/>
      <c r="EG36064"/>
      <c r="EH36064"/>
      <c r="EI36064"/>
      <c r="EJ36064"/>
      <c r="EK36064"/>
    </row>
    <row r="36065" spans="1:141" s="116" customFormat="1">
      <c r="A36065" s="136"/>
      <c r="CM36065" s="111"/>
      <c r="CQ36065" s="111"/>
      <c r="EF36065"/>
      <c r="EG36065"/>
      <c r="EH36065"/>
      <c r="EI36065"/>
      <c r="EJ36065"/>
      <c r="EK36065"/>
    </row>
    <row r="36066" spans="1:141" s="116" customFormat="1">
      <c r="A36066" s="136"/>
      <c r="CM36066" s="111"/>
      <c r="CQ36066" s="111"/>
      <c r="EF36066"/>
      <c r="EG36066"/>
      <c r="EH36066"/>
      <c r="EI36066"/>
      <c r="EJ36066"/>
      <c r="EK36066"/>
    </row>
    <row r="36067" spans="1:141" s="116" customFormat="1">
      <c r="A36067" s="136"/>
      <c r="CM36067" s="111"/>
      <c r="CQ36067" s="111"/>
      <c r="EF36067"/>
      <c r="EG36067"/>
      <c r="EH36067"/>
      <c r="EI36067"/>
      <c r="EJ36067"/>
      <c r="EK36067"/>
    </row>
    <row r="36068" spans="1:141" s="116" customFormat="1">
      <c r="A36068" s="136"/>
      <c r="CM36068" s="111"/>
      <c r="CQ36068" s="111"/>
      <c r="EF36068"/>
      <c r="EG36068"/>
      <c r="EH36068"/>
      <c r="EI36068"/>
      <c r="EJ36068"/>
      <c r="EK36068"/>
    </row>
    <row r="36069" spans="1:141" s="116" customFormat="1">
      <c r="A36069" s="136"/>
      <c r="CM36069" s="111"/>
      <c r="CQ36069" s="111"/>
      <c r="EF36069"/>
      <c r="EG36069"/>
      <c r="EH36069"/>
      <c r="EI36069"/>
      <c r="EJ36069"/>
      <c r="EK36069"/>
    </row>
    <row r="36070" spans="1:141" s="116" customFormat="1">
      <c r="A36070" s="136"/>
      <c r="CM36070" s="111"/>
      <c r="CQ36070" s="111"/>
      <c r="EF36070"/>
      <c r="EG36070"/>
      <c r="EH36070"/>
      <c r="EI36070"/>
      <c r="EJ36070"/>
      <c r="EK36070"/>
    </row>
    <row r="36071" spans="1:141" s="116" customFormat="1">
      <c r="A36071" s="136"/>
      <c r="CM36071" s="111"/>
      <c r="CQ36071" s="111"/>
      <c r="EF36071"/>
      <c r="EG36071"/>
      <c r="EH36071"/>
      <c r="EI36071"/>
      <c r="EJ36071"/>
      <c r="EK36071"/>
    </row>
    <row r="36072" spans="1:141" s="116" customFormat="1">
      <c r="A36072" s="136"/>
      <c r="CM36072" s="111"/>
      <c r="CQ36072" s="111"/>
      <c r="EF36072"/>
      <c r="EG36072"/>
      <c r="EH36072"/>
      <c r="EI36072"/>
      <c r="EJ36072"/>
      <c r="EK36072"/>
    </row>
    <row r="36073" spans="1:141" s="116" customFormat="1">
      <c r="A36073" s="136"/>
      <c r="CM36073" s="111"/>
      <c r="CQ36073" s="111"/>
      <c r="EF36073"/>
      <c r="EG36073"/>
      <c r="EH36073"/>
      <c r="EI36073"/>
      <c r="EJ36073"/>
      <c r="EK36073"/>
    </row>
    <row r="36074" spans="1:141" s="116" customFormat="1">
      <c r="A36074" s="136"/>
      <c r="CM36074" s="111"/>
      <c r="CQ36074" s="111"/>
      <c r="EF36074"/>
      <c r="EG36074"/>
      <c r="EH36074"/>
      <c r="EI36074"/>
      <c r="EJ36074"/>
      <c r="EK36074"/>
    </row>
    <row r="36075" spans="1:141" s="116" customFormat="1">
      <c r="A36075" s="136"/>
      <c r="CM36075" s="111"/>
      <c r="CQ36075" s="111"/>
      <c r="EF36075"/>
      <c r="EG36075"/>
      <c r="EH36075"/>
      <c r="EI36075"/>
      <c r="EJ36075"/>
      <c r="EK36075"/>
    </row>
    <row r="36076" spans="1:141" s="116" customFormat="1">
      <c r="A36076" s="136"/>
      <c r="CM36076" s="111"/>
      <c r="CQ36076" s="111"/>
      <c r="EF36076"/>
      <c r="EG36076"/>
      <c r="EH36076"/>
      <c r="EI36076"/>
      <c r="EJ36076"/>
      <c r="EK36076"/>
    </row>
    <row r="36077" spans="1:141" s="116" customFormat="1">
      <c r="A36077" s="136"/>
      <c r="CM36077" s="111"/>
      <c r="CQ36077" s="111"/>
      <c r="EF36077"/>
      <c r="EG36077"/>
      <c r="EH36077"/>
      <c r="EI36077"/>
      <c r="EJ36077"/>
      <c r="EK36077"/>
    </row>
    <row r="36078" spans="1:141" s="116" customFormat="1">
      <c r="A36078" s="136"/>
      <c r="CM36078" s="111"/>
      <c r="CQ36078" s="111"/>
      <c r="EF36078"/>
      <c r="EG36078"/>
      <c r="EH36078"/>
      <c r="EI36078"/>
      <c r="EJ36078"/>
      <c r="EK36078"/>
    </row>
    <row r="36079" spans="1:141" s="116" customFormat="1">
      <c r="A36079" s="136"/>
      <c r="CM36079" s="111"/>
      <c r="CQ36079" s="111"/>
      <c r="EF36079"/>
      <c r="EG36079"/>
      <c r="EH36079"/>
      <c r="EI36079"/>
      <c r="EJ36079"/>
      <c r="EK36079"/>
    </row>
    <row r="36080" spans="1:141" s="116" customFormat="1">
      <c r="A36080" s="136"/>
      <c r="CM36080" s="111"/>
      <c r="CQ36080" s="111"/>
      <c r="EF36080"/>
      <c r="EG36080"/>
      <c r="EH36080"/>
      <c r="EI36080"/>
      <c r="EJ36080"/>
      <c r="EK36080"/>
    </row>
    <row r="36081" spans="1:141" s="116" customFormat="1">
      <c r="A36081" s="136"/>
      <c r="CM36081" s="111"/>
      <c r="CQ36081" s="111"/>
      <c r="EF36081"/>
      <c r="EG36081"/>
      <c r="EH36081"/>
      <c r="EI36081"/>
      <c r="EJ36081"/>
      <c r="EK36081"/>
    </row>
    <row r="36082" spans="1:141" s="116" customFormat="1">
      <c r="A36082" s="136"/>
      <c r="CM36082" s="111"/>
      <c r="CQ36082" s="111"/>
      <c r="EF36082"/>
      <c r="EG36082"/>
      <c r="EH36082"/>
      <c r="EI36082"/>
      <c r="EJ36082"/>
      <c r="EK36082"/>
    </row>
    <row r="36083" spans="1:141" s="116" customFormat="1">
      <c r="A36083" s="136"/>
      <c r="CM36083" s="111"/>
      <c r="CQ36083" s="111"/>
      <c r="EF36083"/>
      <c r="EG36083"/>
      <c r="EH36083"/>
      <c r="EI36083"/>
      <c r="EJ36083"/>
      <c r="EK36083"/>
    </row>
    <row r="36084" spans="1:141" s="116" customFormat="1">
      <c r="A36084" s="136"/>
      <c r="CM36084" s="111"/>
      <c r="CQ36084" s="111"/>
      <c r="EF36084"/>
      <c r="EG36084"/>
      <c r="EH36084"/>
      <c r="EI36084"/>
      <c r="EJ36084"/>
      <c r="EK36084"/>
    </row>
    <row r="36085" spans="1:141" s="116" customFormat="1">
      <c r="A36085" s="136"/>
      <c r="CM36085" s="111"/>
      <c r="CQ36085" s="111"/>
      <c r="EF36085"/>
      <c r="EG36085"/>
      <c r="EH36085"/>
      <c r="EI36085"/>
      <c r="EJ36085"/>
      <c r="EK36085"/>
    </row>
    <row r="36086" spans="1:141" s="116" customFormat="1">
      <c r="A36086" s="136"/>
      <c r="CM36086" s="111"/>
      <c r="CQ36086" s="111"/>
      <c r="EF36086"/>
      <c r="EG36086"/>
      <c r="EH36086"/>
      <c r="EI36086"/>
      <c r="EJ36086"/>
      <c r="EK36086"/>
    </row>
    <row r="36087" spans="1:141" s="116" customFormat="1">
      <c r="A36087" s="136"/>
      <c r="CM36087" s="111"/>
      <c r="CQ36087" s="111"/>
      <c r="EF36087"/>
      <c r="EG36087"/>
      <c r="EH36087"/>
      <c r="EI36087"/>
      <c r="EJ36087"/>
      <c r="EK36087"/>
    </row>
    <row r="36088" spans="1:141" s="116" customFormat="1">
      <c r="A36088" s="136"/>
      <c r="CM36088" s="111"/>
      <c r="CQ36088" s="111"/>
      <c r="EF36088"/>
      <c r="EG36088"/>
      <c r="EH36088"/>
      <c r="EI36088"/>
      <c r="EJ36088"/>
      <c r="EK36088"/>
    </row>
    <row r="36089" spans="1:141" s="116" customFormat="1">
      <c r="A36089" s="136"/>
      <c r="CM36089" s="111"/>
      <c r="CQ36089" s="111"/>
      <c r="EF36089"/>
      <c r="EG36089"/>
      <c r="EH36089"/>
      <c r="EI36089"/>
      <c r="EJ36089"/>
      <c r="EK36089"/>
    </row>
    <row r="36090" spans="1:141" s="116" customFormat="1">
      <c r="A36090" s="136"/>
      <c r="CM36090" s="111"/>
      <c r="CQ36090" s="111"/>
      <c r="EF36090"/>
      <c r="EG36090"/>
      <c r="EH36090"/>
      <c r="EI36090"/>
      <c r="EJ36090"/>
      <c r="EK36090"/>
    </row>
    <row r="36091" spans="1:141" s="116" customFormat="1">
      <c r="A36091" s="136"/>
      <c r="CM36091" s="111"/>
      <c r="CQ36091" s="111"/>
      <c r="EF36091"/>
      <c r="EG36091"/>
      <c r="EH36091"/>
      <c r="EI36091"/>
      <c r="EJ36091"/>
      <c r="EK36091"/>
    </row>
    <row r="36092" spans="1:141" s="116" customFormat="1">
      <c r="A36092" s="136"/>
      <c r="CM36092" s="111"/>
      <c r="CQ36092" s="111"/>
      <c r="EF36092"/>
      <c r="EG36092"/>
      <c r="EH36092"/>
      <c r="EI36092"/>
      <c r="EJ36092"/>
      <c r="EK36092"/>
    </row>
    <row r="36093" spans="1:141" s="116" customFormat="1">
      <c r="A36093" s="136"/>
      <c r="CM36093" s="111"/>
      <c r="CQ36093" s="111"/>
      <c r="EF36093"/>
      <c r="EG36093"/>
      <c r="EH36093"/>
      <c r="EI36093"/>
      <c r="EJ36093"/>
      <c r="EK36093"/>
    </row>
    <row r="36094" spans="1:141" s="116" customFormat="1">
      <c r="A36094" s="136"/>
      <c r="CM36094" s="111"/>
      <c r="CQ36094" s="111"/>
      <c r="EF36094"/>
      <c r="EG36094"/>
      <c r="EH36094"/>
      <c r="EI36094"/>
      <c r="EJ36094"/>
      <c r="EK36094"/>
    </row>
    <row r="36095" spans="1:141" s="116" customFormat="1">
      <c r="A36095" s="136"/>
      <c r="CM36095" s="111"/>
      <c r="CQ36095" s="111"/>
      <c r="EF36095"/>
      <c r="EG36095"/>
      <c r="EH36095"/>
      <c r="EI36095"/>
      <c r="EJ36095"/>
      <c r="EK36095"/>
    </row>
    <row r="36096" spans="1:141" s="116" customFormat="1">
      <c r="A36096" s="136"/>
      <c r="CM36096" s="111"/>
      <c r="CQ36096" s="111"/>
      <c r="EF36096"/>
      <c r="EG36096"/>
      <c r="EH36096"/>
      <c r="EI36096"/>
      <c r="EJ36096"/>
      <c r="EK36096"/>
    </row>
    <row r="36097" spans="1:141" s="116" customFormat="1">
      <c r="A36097" s="136"/>
      <c r="CM36097" s="111"/>
      <c r="CQ36097" s="111"/>
      <c r="EF36097"/>
      <c r="EG36097"/>
      <c r="EH36097"/>
      <c r="EI36097"/>
      <c r="EJ36097"/>
      <c r="EK36097"/>
    </row>
    <row r="36098" spans="1:141" s="116" customFormat="1">
      <c r="A36098" s="136"/>
      <c r="CM36098" s="111"/>
      <c r="CQ36098" s="111"/>
      <c r="EF36098"/>
      <c r="EG36098"/>
      <c r="EH36098"/>
      <c r="EI36098"/>
      <c r="EJ36098"/>
      <c r="EK36098"/>
    </row>
    <row r="36099" spans="1:141" s="116" customFormat="1">
      <c r="A36099" s="136"/>
      <c r="CM36099" s="111"/>
      <c r="CQ36099" s="111"/>
      <c r="EF36099"/>
      <c r="EG36099"/>
      <c r="EH36099"/>
      <c r="EI36099"/>
      <c r="EJ36099"/>
      <c r="EK36099"/>
    </row>
    <row r="36100" spans="1:141" s="116" customFormat="1">
      <c r="A36100" s="136"/>
      <c r="CM36100" s="111"/>
      <c r="CQ36100" s="111"/>
      <c r="EF36100"/>
      <c r="EG36100"/>
      <c r="EH36100"/>
      <c r="EI36100"/>
      <c r="EJ36100"/>
      <c r="EK36100"/>
    </row>
    <row r="36101" spans="1:141" s="116" customFormat="1">
      <c r="A36101" s="136"/>
      <c r="CM36101" s="111"/>
      <c r="CQ36101" s="111"/>
      <c r="EF36101"/>
      <c r="EG36101"/>
      <c r="EH36101"/>
      <c r="EI36101"/>
      <c r="EJ36101"/>
      <c r="EK36101"/>
    </row>
    <row r="36102" spans="1:141" s="116" customFormat="1">
      <c r="A36102" s="136"/>
      <c r="CM36102" s="111"/>
      <c r="CQ36102" s="111"/>
      <c r="EF36102"/>
      <c r="EG36102"/>
      <c r="EH36102"/>
      <c r="EI36102"/>
      <c r="EJ36102"/>
      <c r="EK36102"/>
    </row>
    <row r="36103" spans="1:141" s="116" customFormat="1">
      <c r="A36103" s="136"/>
      <c r="CM36103" s="111"/>
      <c r="CQ36103" s="111"/>
      <c r="EF36103"/>
      <c r="EG36103"/>
      <c r="EH36103"/>
      <c r="EI36103"/>
      <c r="EJ36103"/>
      <c r="EK36103"/>
    </row>
    <row r="36104" spans="1:141" s="116" customFormat="1">
      <c r="A36104" s="136"/>
      <c r="CM36104" s="111"/>
      <c r="CQ36104" s="111"/>
      <c r="EF36104"/>
      <c r="EG36104"/>
      <c r="EH36104"/>
      <c r="EI36104"/>
      <c r="EJ36104"/>
      <c r="EK36104"/>
    </row>
    <row r="36105" spans="1:141" s="116" customFormat="1">
      <c r="A36105" s="136"/>
      <c r="CM36105" s="111"/>
      <c r="CQ36105" s="111"/>
      <c r="EF36105"/>
      <c r="EG36105"/>
      <c r="EH36105"/>
      <c r="EI36105"/>
      <c r="EJ36105"/>
      <c r="EK36105"/>
    </row>
    <row r="36106" spans="1:141" s="116" customFormat="1">
      <c r="A36106" s="136"/>
      <c r="CM36106" s="111"/>
      <c r="CQ36106" s="111"/>
      <c r="EF36106"/>
      <c r="EG36106"/>
      <c r="EH36106"/>
      <c r="EI36106"/>
      <c r="EJ36106"/>
      <c r="EK36106"/>
    </row>
    <row r="36107" spans="1:141" s="116" customFormat="1">
      <c r="A36107" s="136"/>
      <c r="CM36107" s="111"/>
      <c r="CQ36107" s="111"/>
      <c r="EF36107"/>
      <c r="EG36107"/>
      <c r="EH36107"/>
      <c r="EI36107"/>
      <c r="EJ36107"/>
      <c r="EK36107"/>
    </row>
    <row r="36108" spans="1:141" s="116" customFormat="1">
      <c r="A36108" s="136"/>
      <c r="CM36108" s="111"/>
      <c r="CQ36108" s="111"/>
      <c r="EF36108"/>
      <c r="EG36108"/>
      <c r="EH36108"/>
      <c r="EI36108"/>
      <c r="EJ36108"/>
      <c r="EK36108"/>
    </row>
    <row r="36109" spans="1:141" s="116" customFormat="1">
      <c r="A36109" s="136"/>
      <c r="CM36109" s="111"/>
      <c r="CQ36109" s="111"/>
      <c r="EF36109"/>
      <c r="EG36109"/>
      <c r="EH36109"/>
      <c r="EI36109"/>
      <c r="EJ36109"/>
      <c r="EK36109"/>
    </row>
    <row r="36110" spans="1:141" s="116" customFormat="1">
      <c r="A36110" s="136"/>
      <c r="CM36110" s="111"/>
      <c r="CQ36110" s="111"/>
      <c r="EF36110"/>
      <c r="EG36110"/>
      <c r="EH36110"/>
      <c r="EI36110"/>
      <c r="EJ36110"/>
      <c r="EK36110"/>
    </row>
    <row r="36111" spans="1:141" s="116" customFormat="1">
      <c r="A36111" s="136"/>
      <c r="CM36111" s="111"/>
      <c r="CQ36111" s="111"/>
      <c r="EF36111"/>
      <c r="EG36111"/>
      <c r="EH36111"/>
      <c r="EI36111"/>
      <c r="EJ36111"/>
      <c r="EK36111"/>
    </row>
    <row r="36112" spans="1:141" s="116" customFormat="1">
      <c r="A36112" s="136"/>
      <c r="CM36112" s="111"/>
      <c r="CQ36112" s="111"/>
      <c r="EF36112"/>
      <c r="EG36112"/>
      <c r="EH36112"/>
      <c r="EI36112"/>
      <c r="EJ36112"/>
      <c r="EK36112"/>
    </row>
    <row r="36113" spans="1:141" s="116" customFormat="1">
      <c r="A36113" s="136"/>
      <c r="CM36113" s="111"/>
      <c r="CQ36113" s="111"/>
      <c r="EF36113"/>
      <c r="EG36113"/>
      <c r="EH36113"/>
      <c r="EI36113"/>
      <c r="EJ36113"/>
      <c r="EK36113"/>
    </row>
    <row r="36114" spans="1:141" s="116" customFormat="1">
      <c r="A36114" s="136"/>
      <c r="CM36114" s="111"/>
      <c r="CQ36114" s="111"/>
      <c r="EF36114"/>
      <c r="EG36114"/>
      <c r="EH36114"/>
      <c r="EI36114"/>
      <c r="EJ36114"/>
      <c r="EK36114"/>
    </row>
    <row r="36115" spans="1:141" s="116" customFormat="1">
      <c r="A36115" s="136"/>
      <c r="CM36115" s="111"/>
      <c r="CQ36115" s="111"/>
      <c r="EF36115"/>
      <c r="EG36115"/>
      <c r="EH36115"/>
      <c r="EI36115"/>
      <c r="EJ36115"/>
      <c r="EK36115"/>
    </row>
    <row r="36116" spans="1:141" s="116" customFormat="1">
      <c r="A36116" s="136"/>
      <c r="CM36116" s="111"/>
      <c r="CQ36116" s="111"/>
      <c r="EF36116"/>
      <c r="EG36116"/>
      <c r="EH36116"/>
      <c r="EI36116"/>
      <c r="EJ36116"/>
      <c r="EK36116"/>
    </row>
    <row r="36117" spans="1:141" s="116" customFormat="1">
      <c r="A36117" s="136"/>
      <c r="CM36117" s="111"/>
      <c r="CQ36117" s="111"/>
      <c r="EF36117"/>
      <c r="EG36117"/>
      <c r="EH36117"/>
      <c r="EI36117"/>
      <c r="EJ36117"/>
      <c r="EK36117"/>
    </row>
    <row r="36118" spans="1:141" s="116" customFormat="1">
      <c r="A36118" s="136"/>
      <c r="CM36118" s="111"/>
      <c r="CQ36118" s="111"/>
      <c r="EF36118"/>
      <c r="EG36118"/>
      <c r="EH36118"/>
      <c r="EI36118"/>
      <c r="EJ36118"/>
      <c r="EK36118"/>
    </row>
    <row r="36119" spans="1:141" s="116" customFormat="1">
      <c r="A36119" s="136"/>
      <c r="CM36119" s="111"/>
      <c r="CQ36119" s="111"/>
      <c r="EF36119"/>
      <c r="EG36119"/>
      <c r="EH36119"/>
      <c r="EI36119"/>
      <c r="EJ36119"/>
      <c r="EK36119"/>
    </row>
    <row r="36120" spans="1:141" s="116" customFormat="1">
      <c r="A36120" s="136"/>
      <c r="CM36120" s="111"/>
      <c r="CQ36120" s="111"/>
      <c r="EF36120"/>
      <c r="EG36120"/>
      <c r="EH36120"/>
      <c r="EI36120"/>
      <c r="EJ36120"/>
      <c r="EK36120"/>
    </row>
    <row r="36121" spans="1:141" s="116" customFormat="1">
      <c r="A36121" s="136"/>
      <c r="CM36121" s="111"/>
      <c r="CQ36121" s="111"/>
      <c r="EF36121"/>
      <c r="EG36121"/>
      <c r="EH36121"/>
      <c r="EI36121"/>
      <c r="EJ36121"/>
      <c r="EK36121"/>
    </row>
    <row r="36122" spans="1:141" s="116" customFormat="1">
      <c r="A36122" s="136"/>
      <c r="CM36122" s="111"/>
      <c r="CQ36122" s="111"/>
      <c r="EF36122"/>
      <c r="EG36122"/>
      <c r="EH36122"/>
      <c r="EI36122"/>
      <c r="EJ36122"/>
      <c r="EK36122"/>
    </row>
    <row r="36123" spans="1:141" s="116" customFormat="1">
      <c r="A36123" s="136"/>
      <c r="CM36123" s="111"/>
      <c r="CQ36123" s="111"/>
      <c r="EF36123"/>
      <c r="EG36123"/>
      <c r="EH36123"/>
      <c r="EI36123"/>
      <c r="EJ36123"/>
      <c r="EK36123"/>
    </row>
    <row r="36124" spans="1:141" s="116" customFormat="1">
      <c r="A36124" s="136"/>
      <c r="CM36124" s="111"/>
      <c r="CQ36124" s="111"/>
      <c r="EF36124"/>
      <c r="EG36124"/>
      <c r="EH36124"/>
      <c r="EI36124"/>
      <c r="EJ36124"/>
      <c r="EK36124"/>
    </row>
    <row r="36125" spans="1:141" s="116" customFormat="1">
      <c r="A36125" s="136"/>
      <c r="CM36125" s="111"/>
      <c r="CQ36125" s="111"/>
      <c r="EF36125"/>
      <c r="EG36125"/>
      <c r="EH36125"/>
      <c r="EI36125"/>
      <c r="EJ36125"/>
      <c r="EK36125"/>
    </row>
    <row r="36126" spans="1:141" s="116" customFormat="1">
      <c r="A36126" s="136"/>
      <c r="CM36126" s="111"/>
      <c r="CQ36126" s="111"/>
      <c r="EF36126"/>
      <c r="EG36126"/>
      <c r="EH36126"/>
      <c r="EI36126"/>
      <c r="EJ36126"/>
      <c r="EK36126"/>
    </row>
    <row r="36127" spans="1:141" s="116" customFormat="1">
      <c r="A36127" s="136"/>
      <c r="CM36127" s="111"/>
      <c r="CQ36127" s="111"/>
      <c r="EF36127"/>
      <c r="EG36127"/>
      <c r="EH36127"/>
      <c r="EI36127"/>
      <c r="EJ36127"/>
      <c r="EK36127"/>
    </row>
    <row r="36128" spans="1:141" s="116" customFormat="1">
      <c r="A36128" s="136"/>
      <c r="CM36128" s="111"/>
      <c r="CQ36128" s="111"/>
      <c r="EF36128"/>
      <c r="EG36128"/>
      <c r="EH36128"/>
      <c r="EI36128"/>
      <c r="EJ36128"/>
      <c r="EK36128"/>
    </row>
    <row r="36129" spans="1:141" s="116" customFormat="1">
      <c r="A36129" s="136"/>
      <c r="CM36129" s="111"/>
      <c r="CQ36129" s="111"/>
      <c r="EF36129"/>
      <c r="EG36129"/>
      <c r="EH36129"/>
      <c r="EI36129"/>
      <c r="EJ36129"/>
      <c r="EK36129"/>
    </row>
    <row r="36130" spans="1:141" s="116" customFormat="1">
      <c r="A36130" s="136"/>
      <c r="CM36130" s="111"/>
      <c r="CQ36130" s="111"/>
      <c r="EF36130"/>
      <c r="EG36130"/>
      <c r="EH36130"/>
      <c r="EI36130"/>
      <c r="EJ36130"/>
      <c r="EK36130"/>
    </row>
    <row r="36131" spans="1:141" s="116" customFormat="1">
      <c r="A36131" s="136"/>
      <c r="CM36131" s="111"/>
      <c r="CQ36131" s="111"/>
      <c r="EF36131"/>
      <c r="EG36131"/>
      <c r="EH36131"/>
      <c r="EI36131"/>
      <c r="EJ36131"/>
      <c r="EK36131"/>
    </row>
    <row r="36132" spans="1:141" s="116" customFormat="1">
      <c r="A36132" s="136"/>
      <c r="CM36132" s="111"/>
      <c r="CQ36132" s="111"/>
      <c r="EF36132"/>
      <c r="EG36132"/>
      <c r="EH36132"/>
      <c r="EI36132"/>
      <c r="EJ36132"/>
      <c r="EK36132"/>
    </row>
    <row r="36133" spans="1:141" s="116" customFormat="1">
      <c r="A36133" s="136"/>
      <c r="CM36133" s="111"/>
      <c r="CQ36133" s="111"/>
      <c r="EF36133"/>
      <c r="EG36133"/>
      <c r="EH36133"/>
      <c r="EI36133"/>
      <c r="EJ36133"/>
      <c r="EK36133"/>
    </row>
    <row r="36134" spans="1:141" s="116" customFormat="1">
      <c r="A36134" s="136"/>
      <c r="CM36134" s="111"/>
      <c r="CQ36134" s="111"/>
      <c r="EF36134"/>
      <c r="EG36134"/>
      <c r="EH36134"/>
      <c r="EI36134"/>
      <c r="EJ36134"/>
      <c r="EK36134"/>
    </row>
    <row r="36135" spans="1:141" s="116" customFormat="1">
      <c r="A36135" s="136"/>
      <c r="CM36135" s="111"/>
      <c r="CQ36135" s="111"/>
      <c r="EF36135"/>
      <c r="EG36135"/>
      <c r="EH36135"/>
      <c r="EI36135"/>
      <c r="EJ36135"/>
      <c r="EK36135"/>
    </row>
    <row r="36136" spans="1:141" s="116" customFormat="1">
      <c r="A36136" s="136"/>
      <c r="CM36136" s="111"/>
      <c r="CQ36136" s="111"/>
      <c r="EF36136"/>
      <c r="EG36136"/>
      <c r="EH36136"/>
      <c r="EI36136"/>
      <c r="EJ36136"/>
      <c r="EK36136"/>
    </row>
    <row r="36137" spans="1:141" s="116" customFormat="1">
      <c r="A36137" s="136"/>
      <c r="CM36137" s="111"/>
      <c r="CQ36137" s="111"/>
      <c r="EF36137"/>
      <c r="EG36137"/>
      <c r="EH36137"/>
      <c r="EI36137"/>
      <c r="EJ36137"/>
      <c r="EK36137"/>
    </row>
    <row r="36138" spans="1:141" s="116" customFormat="1">
      <c r="A36138" s="136"/>
      <c r="CM36138" s="111"/>
      <c r="CQ36138" s="111"/>
      <c r="EF36138"/>
      <c r="EG36138"/>
      <c r="EH36138"/>
      <c r="EI36138"/>
      <c r="EJ36138"/>
      <c r="EK36138"/>
    </row>
    <row r="36139" spans="1:141" s="116" customFormat="1">
      <c r="A36139" s="136"/>
      <c r="CM36139" s="111"/>
      <c r="CQ36139" s="111"/>
      <c r="EF36139"/>
      <c r="EG36139"/>
      <c r="EH36139"/>
      <c r="EI36139"/>
      <c r="EJ36139"/>
      <c r="EK36139"/>
    </row>
    <row r="36140" spans="1:141" s="116" customFormat="1">
      <c r="A36140" s="136"/>
      <c r="CM36140" s="111"/>
      <c r="CQ36140" s="111"/>
      <c r="EF36140"/>
      <c r="EG36140"/>
      <c r="EH36140"/>
      <c r="EI36140"/>
      <c r="EJ36140"/>
      <c r="EK36140"/>
    </row>
    <row r="36141" spans="1:141" s="116" customFormat="1">
      <c r="A36141" s="136"/>
      <c r="CM36141" s="111"/>
      <c r="CQ36141" s="111"/>
      <c r="EF36141"/>
      <c r="EG36141"/>
      <c r="EH36141"/>
      <c r="EI36141"/>
      <c r="EJ36141"/>
      <c r="EK36141"/>
    </row>
    <row r="36142" spans="1:141" s="116" customFormat="1">
      <c r="A36142" s="136"/>
      <c r="CM36142" s="111"/>
      <c r="CQ36142" s="111"/>
      <c r="EF36142"/>
      <c r="EG36142"/>
      <c r="EH36142"/>
      <c r="EI36142"/>
      <c r="EJ36142"/>
      <c r="EK36142"/>
    </row>
    <row r="36143" spans="1:141" s="116" customFormat="1">
      <c r="A36143" s="136"/>
      <c r="CM36143" s="111"/>
      <c r="CQ36143" s="111"/>
      <c r="EF36143"/>
      <c r="EG36143"/>
      <c r="EH36143"/>
      <c r="EI36143"/>
      <c r="EJ36143"/>
      <c r="EK36143"/>
    </row>
    <row r="36144" spans="1:141" s="116" customFormat="1">
      <c r="A36144" s="136"/>
      <c r="CM36144" s="111"/>
      <c r="CQ36144" s="111"/>
      <c r="EF36144"/>
      <c r="EG36144"/>
      <c r="EH36144"/>
      <c r="EI36144"/>
      <c r="EJ36144"/>
      <c r="EK36144"/>
    </row>
    <row r="36145" spans="1:141" s="116" customFormat="1">
      <c r="A36145" s="136"/>
      <c r="CM36145" s="111"/>
      <c r="CQ36145" s="111"/>
      <c r="EF36145"/>
      <c r="EG36145"/>
      <c r="EH36145"/>
      <c r="EI36145"/>
      <c r="EJ36145"/>
      <c r="EK36145"/>
    </row>
    <row r="36146" spans="1:141" s="116" customFormat="1">
      <c r="A36146" s="136"/>
      <c r="CM36146" s="111"/>
      <c r="CQ36146" s="111"/>
      <c r="EF36146"/>
      <c r="EG36146"/>
      <c r="EH36146"/>
      <c r="EI36146"/>
      <c r="EJ36146"/>
      <c r="EK36146"/>
    </row>
    <row r="36147" spans="1:141" s="116" customFormat="1">
      <c r="A36147" s="136"/>
      <c r="CM36147" s="111"/>
      <c r="CQ36147" s="111"/>
      <c r="EF36147"/>
      <c r="EG36147"/>
      <c r="EH36147"/>
      <c r="EI36147"/>
      <c r="EJ36147"/>
      <c r="EK36147"/>
    </row>
    <row r="36148" spans="1:141" s="116" customFormat="1">
      <c r="A36148" s="136"/>
      <c r="CM36148" s="111"/>
      <c r="CQ36148" s="111"/>
      <c r="EF36148"/>
      <c r="EG36148"/>
      <c r="EH36148"/>
      <c r="EI36148"/>
      <c r="EJ36148"/>
      <c r="EK36148"/>
    </row>
    <row r="36149" spans="1:141" s="116" customFormat="1">
      <c r="A36149" s="136"/>
      <c r="CM36149" s="111"/>
      <c r="CQ36149" s="111"/>
      <c r="EF36149"/>
      <c r="EG36149"/>
      <c r="EH36149"/>
      <c r="EI36149"/>
      <c r="EJ36149"/>
      <c r="EK36149"/>
    </row>
    <row r="36150" spans="1:141" s="116" customFormat="1">
      <c r="A36150" s="136"/>
      <c r="CM36150" s="111"/>
      <c r="CQ36150" s="111"/>
      <c r="EF36150"/>
      <c r="EG36150"/>
      <c r="EH36150"/>
      <c r="EI36150"/>
      <c r="EJ36150"/>
      <c r="EK36150"/>
    </row>
    <row r="36151" spans="1:141" s="116" customFormat="1">
      <c r="A36151" s="136"/>
      <c r="CM36151" s="111"/>
      <c r="CQ36151" s="111"/>
      <c r="EF36151"/>
      <c r="EG36151"/>
      <c r="EH36151"/>
      <c r="EI36151"/>
      <c r="EJ36151"/>
      <c r="EK36151"/>
    </row>
    <row r="36152" spans="1:141" s="116" customFormat="1">
      <c r="A36152" s="136"/>
      <c r="CM36152" s="111"/>
      <c r="CQ36152" s="111"/>
      <c r="EF36152"/>
      <c r="EG36152"/>
      <c r="EH36152"/>
      <c r="EI36152"/>
      <c r="EJ36152"/>
      <c r="EK36152"/>
    </row>
    <row r="36153" spans="1:141" s="116" customFormat="1">
      <c r="A36153" s="136"/>
      <c r="CM36153" s="111"/>
      <c r="CQ36153" s="111"/>
      <c r="EF36153"/>
      <c r="EG36153"/>
      <c r="EH36153"/>
      <c r="EI36153"/>
      <c r="EJ36153"/>
      <c r="EK36153"/>
    </row>
    <row r="36154" spans="1:141" s="116" customFormat="1">
      <c r="A36154" s="136"/>
      <c r="CM36154" s="111"/>
      <c r="CQ36154" s="111"/>
      <c r="EF36154"/>
      <c r="EG36154"/>
      <c r="EH36154"/>
      <c r="EI36154"/>
      <c r="EJ36154"/>
      <c r="EK36154"/>
    </row>
    <row r="36155" spans="1:141" s="116" customFormat="1">
      <c r="A36155" s="136"/>
      <c r="CM36155" s="111"/>
      <c r="CQ36155" s="111"/>
      <c r="EF36155"/>
      <c r="EG36155"/>
      <c r="EH36155"/>
      <c r="EI36155"/>
      <c r="EJ36155"/>
      <c r="EK36155"/>
    </row>
    <row r="36156" spans="1:141" s="116" customFormat="1">
      <c r="A36156" s="136"/>
      <c r="CM36156" s="111"/>
      <c r="CQ36156" s="111"/>
      <c r="EF36156"/>
      <c r="EG36156"/>
      <c r="EH36156"/>
      <c r="EI36156"/>
      <c r="EJ36156"/>
      <c r="EK36156"/>
    </row>
    <row r="36157" spans="1:141" s="116" customFormat="1">
      <c r="A36157" s="136"/>
      <c r="CM36157" s="111"/>
      <c r="CQ36157" s="111"/>
      <c r="EF36157"/>
      <c r="EG36157"/>
      <c r="EH36157"/>
      <c r="EI36157"/>
      <c r="EJ36157"/>
      <c r="EK36157"/>
    </row>
    <row r="36158" spans="1:141" s="116" customFormat="1">
      <c r="A36158" s="136"/>
      <c r="CM36158" s="111"/>
      <c r="CQ36158" s="111"/>
      <c r="EF36158"/>
      <c r="EG36158"/>
      <c r="EH36158"/>
      <c r="EI36158"/>
      <c r="EJ36158"/>
      <c r="EK36158"/>
    </row>
    <row r="36159" spans="1:141" s="116" customFormat="1">
      <c r="A36159" s="136"/>
      <c r="CM36159" s="111"/>
      <c r="CQ36159" s="111"/>
      <c r="EF36159"/>
      <c r="EG36159"/>
      <c r="EH36159"/>
      <c r="EI36159"/>
      <c r="EJ36159"/>
      <c r="EK36159"/>
    </row>
    <row r="36160" spans="1:141" s="116" customFormat="1">
      <c r="A36160" s="136"/>
      <c r="CM36160" s="111"/>
      <c r="CQ36160" s="111"/>
      <c r="EF36160"/>
      <c r="EG36160"/>
      <c r="EH36160"/>
      <c r="EI36160"/>
      <c r="EJ36160"/>
      <c r="EK36160"/>
    </row>
    <row r="36161" spans="1:141" s="116" customFormat="1">
      <c r="A36161" s="136"/>
      <c r="CM36161" s="111"/>
      <c r="CQ36161" s="111"/>
      <c r="EF36161"/>
      <c r="EG36161"/>
      <c r="EH36161"/>
      <c r="EI36161"/>
      <c r="EJ36161"/>
      <c r="EK36161"/>
    </row>
    <row r="36162" spans="1:141" s="116" customFormat="1">
      <c r="A36162" s="136"/>
      <c r="CM36162" s="111"/>
      <c r="CQ36162" s="111"/>
      <c r="EF36162"/>
      <c r="EG36162"/>
      <c r="EH36162"/>
      <c r="EI36162"/>
      <c r="EJ36162"/>
      <c r="EK36162"/>
    </row>
    <row r="36163" spans="1:141" s="116" customFormat="1">
      <c r="A36163" s="136"/>
      <c r="CM36163" s="111"/>
      <c r="CQ36163" s="111"/>
      <c r="EF36163"/>
      <c r="EG36163"/>
      <c r="EH36163"/>
      <c r="EI36163"/>
      <c r="EJ36163"/>
      <c r="EK36163"/>
    </row>
    <row r="36164" spans="1:141" s="116" customFormat="1">
      <c r="A36164" s="136"/>
      <c r="CM36164" s="111"/>
      <c r="CQ36164" s="111"/>
      <c r="EF36164"/>
      <c r="EG36164"/>
      <c r="EH36164"/>
      <c r="EI36164"/>
      <c r="EJ36164"/>
      <c r="EK36164"/>
    </row>
    <row r="36165" spans="1:141" s="116" customFormat="1">
      <c r="A36165" s="136"/>
      <c r="CM36165" s="111"/>
      <c r="CQ36165" s="111"/>
      <c r="EF36165"/>
      <c r="EG36165"/>
      <c r="EH36165"/>
      <c r="EI36165"/>
      <c r="EJ36165"/>
      <c r="EK36165"/>
    </row>
    <row r="36166" spans="1:141" s="116" customFormat="1">
      <c r="A36166" s="136"/>
      <c r="CM36166" s="111"/>
      <c r="CQ36166" s="111"/>
      <c r="EF36166"/>
      <c r="EG36166"/>
      <c r="EH36166"/>
      <c r="EI36166"/>
      <c r="EJ36166"/>
      <c r="EK36166"/>
    </row>
    <row r="36167" spans="1:141" s="116" customFormat="1">
      <c r="A36167" s="136"/>
      <c r="CM36167" s="111"/>
      <c r="CQ36167" s="111"/>
      <c r="EF36167"/>
      <c r="EG36167"/>
      <c r="EH36167"/>
      <c r="EI36167"/>
      <c r="EJ36167"/>
      <c r="EK36167"/>
    </row>
    <row r="36168" spans="1:141" s="116" customFormat="1">
      <c r="A36168" s="136"/>
      <c r="CM36168" s="111"/>
      <c r="CQ36168" s="111"/>
      <c r="EF36168"/>
      <c r="EG36168"/>
      <c r="EH36168"/>
      <c r="EI36168"/>
      <c r="EJ36168"/>
      <c r="EK36168"/>
    </row>
    <row r="36169" spans="1:141" s="116" customFormat="1">
      <c r="A36169" s="136"/>
      <c r="CM36169" s="111"/>
      <c r="CQ36169" s="111"/>
      <c r="EF36169"/>
      <c r="EG36169"/>
      <c r="EH36169"/>
      <c r="EI36169"/>
      <c r="EJ36169"/>
      <c r="EK36169"/>
    </row>
    <row r="36170" spans="1:141" s="116" customFormat="1">
      <c r="A36170" s="136"/>
      <c r="CM36170" s="111"/>
      <c r="CQ36170" s="111"/>
      <c r="EF36170"/>
      <c r="EG36170"/>
      <c r="EH36170"/>
      <c r="EI36170"/>
      <c r="EJ36170"/>
      <c r="EK36170"/>
    </row>
    <row r="36171" spans="1:141" s="116" customFormat="1">
      <c r="A36171" s="136"/>
      <c r="CM36171" s="111"/>
      <c r="CQ36171" s="111"/>
      <c r="EF36171"/>
      <c r="EG36171"/>
      <c r="EH36171"/>
      <c r="EI36171"/>
      <c r="EJ36171"/>
      <c r="EK36171"/>
    </row>
    <row r="36172" spans="1:141" s="116" customFormat="1">
      <c r="A36172" s="136"/>
      <c r="CM36172" s="111"/>
      <c r="CQ36172" s="111"/>
      <c r="EF36172"/>
      <c r="EG36172"/>
      <c r="EH36172"/>
      <c r="EI36172"/>
      <c r="EJ36172"/>
      <c r="EK36172"/>
    </row>
    <row r="36173" spans="1:141" s="116" customFormat="1">
      <c r="A36173" s="136"/>
      <c r="CM36173" s="111"/>
      <c r="CQ36173" s="111"/>
      <c r="EF36173"/>
      <c r="EG36173"/>
      <c r="EH36173"/>
      <c r="EI36173"/>
      <c r="EJ36173"/>
      <c r="EK36173"/>
    </row>
    <row r="36174" spans="1:141" s="116" customFormat="1">
      <c r="A36174" s="136"/>
      <c r="CM36174" s="111"/>
      <c r="CQ36174" s="111"/>
      <c r="EF36174"/>
      <c r="EG36174"/>
      <c r="EH36174"/>
      <c r="EI36174"/>
      <c r="EJ36174"/>
      <c r="EK36174"/>
    </row>
    <row r="36175" spans="1:141" s="116" customFormat="1">
      <c r="A36175" s="136"/>
      <c r="CM36175" s="111"/>
      <c r="CQ36175" s="111"/>
      <c r="EF36175"/>
      <c r="EG36175"/>
      <c r="EH36175"/>
      <c r="EI36175"/>
      <c r="EJ36175"/>
      <c r="EK36175"/>
    </row>
    <row r="36176" spans="1:141" s="116" customFormat="1">
      <c r="A36176" s="136"/>
      <c r="CM36176" s="111"/>
      <c r="CQ36176" s="111"/>
      <c r="EF36176"/>
      <c r="EG36176"/>
      <c r="EH36176"/>
      <c r="EI36176"/>
      <c r="EJ36176"/>
      <c r="EK36176"/>
    </row>
    <row r="36177" spans="1:141" s="116" customFormat="1">
      <c r="A36177" s="136"/>
      <c r="CM36177" s="111"/>
      <c r="CQ36177" s="111"/>
      <c r="EF36177"/>
      <c r="EG36177"/>
      <c r="EH36177"/>
      <c r="EI36177"/>
      <c r="EJ36177"/>
      <c r="EK36177"/>
    </row>
    <row r="36178" spans="1:141" s="116" customFormat="1">
      <c r="A36178" s="136"/>
      <c r="CM36178" s="111"/>
      <c r="CQ36178" s="111"/>
      <c r="EF36178"/>
      <c r="EG36178"/>
      <c r="EH36178"/>
      <c r="EI36178"/>
      <c r="EJ36178"/>
      <c r="EK36178"/>
    </row>
    <row r="36179" spans="1:141" s="116" customFormat="1">
      <c r="A36179" s="136"/>
      <c r="CM36179" s="111"/>
      <c r="CQ36179" s="111"/>
      <c r="EF36179"/>
      <c r="EG36179"/>
      <c r="EH36179"/>
      <c r="EI36179"/>
      <c r="EJ36179"/>
      <c r="EK36179"/>
    </row>
    <row r="36180" spans="1:141" s="116" customFormat="1">
      <c r="A36180" s="136"/>
      <c r="CM36180" s="111"/>
      <c r="CQ36180" s="111"/>
      <c r="EF36180"/>
      <c r="EG36180"/>
      <c r="EH36180"/>
      <c r="EI36180"/>
      <c r="EJ36180"/>
      <c r="EK36180"/>
    </row>
    <row r="36181" spans="1:141" s="116" customFormat="1">
      <c r="A36181" s="136"/>
      <c r="CM36181" s="111"/>
      <c r="CQ36181" s="111"/>
      <c r="EF36181"/>
      <c r="EG36181"/>
      <c r="EH36181"/>
      <c r="EI36181"/>
      <c r="EJ36181"/>
      <c r="EK36181"/>
    </row>
    <row r="36182" spans="1:141" s="116" customFormat="1">
      <c r="A36182" s="136"/>
      <c r="CM36182" s="111"/>
      <c r="CQ36182" s="111"/>
      <c r="EF36182"/>
      <c r="EG36182"/>
      <c r="EH36182"/>
      <c r="EI36182"/>
      <c r="EJ36182"/>
      <c r="EK36182"/>
    </row>
    <row r="36183" spans="1:141" s="116" customFormat="1">
      <c r="A36183" s="136"/>
      <c r="CM36183" s="111"/>
      <c r="CQ36183" s="111"/>
      <c r="EF36183"/>
      <c r="EG36183"/>
      <c r="EH36183"/>
      <c r="EI36183"/>
      <c r="EJ36183"/>
      <c r="EK36183"/>
    </row>
    <row r="36184" spans="1:141" s="116" customFormat="1">
      <c r="A36184" s="136"/>
      <c r="CM36184" s="111"/>
      <c r="CQ36184" s="111"/>
      <c r="EF36184"/>
      <c r="EG36184"/>
      <c r="EH36184"/>
      <c r="EI36184"/>
      <c r="EJ36184"/>
      <c r="EK36184"/>
    </row>
    <row r="36185" spans="1:141" s="116" customFormat="1">
      <c r="A36185" s="136"/>
      <c r="CM36185" s="111"/>
      <c r="CQ36185" s="111"/>
      <c r="EF36185"/>
      <c r="EG36185"/>
      <c r="EH36185"/>
      <c r="EI36185"/>
      <c r="EJ36185"/>
      <c r="EK36185"/>
    </row>
    <row r="36186" spans="1:141" s="116" customFormat="1">
      <c r="A36186" s="136"/>
      <c r="CM36186" s="111"/>
      <c r="CQ36186" s="111"/>
      <c r="EF36186"/>
      <c r="EG36186"/>
      <c r="EH36186"/>
      <c r="EI36186"/>
      <c r="EJ36186"/>
      <c r="EK36186"/>
    </row>
    <row r="36187" spans="1:141" s="116" customFormat="1">
      <c r="A36187" s="136"/>
      <c r="CM36187" s="111"/>
      <c r="CQ36187" s="111"/>
      <c r="EF36187"/>
      <c r="EG36187"/>
      <c r="EH36187"/>
      <c r="EI36187"/>
      <c r="EJ36187"/>
      <c r="EK36187"/>
    </row>
    <row r="36188" spans="1:141" s="116" customFormat="1">
      <c r="A36188" s="136"/>
      <c r="CM36188" s="111"/>
      <c r="CQ36188" s="111"/>
      <c r="EF36188"/>
      <c r="EG36188"/>
      <c r="EH36188"/>
      <c r="EI36188"/>
      <c r="EJ36188"/>
      <c r="EK36188"/>
    </row>
    <row r="36189" spans="1:141" s="116" customFormat="1">
      <c r="A36189" s="136"/>
      <c r="CM36189" s="111"/>
      <c r="CQ36189" s="111"/>
      <c r="EF36189"/>
      <c r="EG36189"/>
      <c r="EH36189"/>
      <c r="EI36189"/>
      <c r="EJ36189"/>
      <c r="EK36189"/>
    </row>
    <row r="36190" spans="1:141" s="116" customFormat="1">
      <c r="A36190" s="136"/>
      <c r="CM36190" s="111"/>
      <c r="CQ36190" s="111"/>
      <c r="EF36190"/>
      <c r="EG36190"/>
      <c r="EH36190"/>
      <c r="EI36190"/>
      <c r="EJ36190"/>
      <c r="EK36190"/>
    </row>
    <row r="36191" spans="1:141" s="116" customFormat="1">
      <c r="A36191" s="136"/>
      <c r="CM36191" s="111"/>
      <c r="CQ36191" s="111"/>
      <c r="EF36191"/>
      <c r="EG36191"/>
      <c r="EH36191"/>
      <c r="EI36191"/>
      <c r="EJ36191"/>
      <c r="EK36191"/>
    </row>
    <row r="36192" spans="1:141" s="116" customFormat="1">
      <c r="A36192" s="136"/>
      <c r="CM36192" s="111"/>
      <c r="CQ36192" s="111"/>
      <c r="EF36192"/>
      <c r="EG36192"/>
      <c r="EH36192"/>
      <c r="EI36192"/>
      <c r="EJ36192"/>
      <c r="EK36192"/>
    </row>
    <row r="36193" spans="1:141" s="116" customFormat="1">
      <c r="A36193" s="136"/>
      <c r="CM36193" s="111"/>
      <c r="CQ36193" s="111"/>
      <c r="EF36193"/>
      <c r="EG36193"/>
      <c r="EH36193"/>
      <c r="EI36193"/>
      <c r="EJ36193"/>
      <c r="EK36193"/>
    </row>
    <row r="36194" spans="1:141" s="116" customFormat="1">
      <c r="A36194" s="136"/>
      <c r="CM36194" s="111"/>
      <c r="CQ36194" s="111"/>
      <c r="EF36194"/>
      <c r="EG36194"/>
      <c r="EH36194"/>
      <c r="EI36194"/>
      <c r="EJ36194"/>
      <c r="EK36194"/>
    </row>
    <row r="36195" spans="1:141" s="116" customFormat="1">
      <c r="A36195" s="136"/>
      <c r="CM36195" s="111"/>
      <c r="CQ36195" s="111"/>
      <c r="EF36195"/>
      <c r="EG36195"/>
      <c r="EH36195"/>
      <c r="EI36195"/>
      <c r="EJ36195"/>
      <c r="EK36195"/>
    </row>
    <row r="36196" spans="1:141" s="116" customFormat="1">
      <c r="A36196" s="136"/>
      <c r="CM36196" s="111"/>
      <c r="CQ36196" s="111"/>
      <c r="EF36196"/>
      <c r="EG36196"/>
      <c r="EH36196"/>
      <c r="EI36196"/>
      <c r="EJ36196"/>
      <c r="EK36196"/>
    </row>
    <row r="36197" spans="1:141" s="116" customFormat="1">
      <c r="A36197" s="136"/>
      <c r="CM36197" s="111"/>
      <c r="CQ36197" s="111"/>
      <c r="EF36197"/>
      <c r="EG36197"/>
      <c r="EH36197"/>
      <c r="EI36197"/>
      <c r="EJ36197"/>
      <c r="EK36197"/>
    </row>
    <row r="36198" spans="1:141" s="116" customFormat="1">
      <c r="A36198" s="136"/>
      <c r="CM36198" s="111"/>
      <c r="CQ36198" s="111"/>
      <c r="EF36198"/>
      <c r="EG36198"/>
      <c r="EH36198"/>
      <c r="EI36198"/>
      <c r="EJ36198"/>
      <c r="EK36198"/>
    </row>
    <row r="36199" spans="1:141" s="116" customFormat="1">
      <c r="A36199" s="136"/>
      <c r="CM36199" s="111"/>
      <c r="CQ36199" s="111"/>
      <c r="EF36199"/>
      <c r="EG36199"/>
      <c r="EH36199"/>
      <c r="EI36199"/>
      <c r="EJ36199"/>
      <c r="EK36199"/>
    </row>
    <row r="36200" spans="1:141" s="116" customFormat="1">
      <c r="A36200" s="136"/>
      <c r="CM36200" s="111"/>
      <c r="CQ36200" s="111"/>
      <c r="EF36200"/>
      <c r="EG36200"/>
      <c r="EH36200"/>
      <c r="EI36200"/>
      <c r="EJ36200"/>
      <c r="EK36200"/>
    </row>
    <row r="36201" spans="1:141" s="116" customFormat="1">
      <c r="A36201" s="136"/>
      <c r="CM36201" s="111"/>
      <c r="CQ36201" s="111"/>
      <c r="EF36201"/>
      <c r="EG36201"/>
      <c r="EH36201"/>
      <c r="EI36201"/>
      <c r="EJ36201"/>
      <c r="EK36201"/>
    </row>
    <row r="36202" spans="1:141" s="116" customFormat="1">
      <c r="A36202" s="136"/>
      <c r="CM36202" s="111"/>
      <c r="CQ36202" s="111"/>
      <c r="EF36202"/>
      <c r="EG36202"/>
      <c r="EH36202"/>
      <c r="EI36202"/>
      <c r="EJ36202"/>
      <c r="EK36202"/>
    </row>
    <row r="36203" spans="1:141" s="116" customFormat="1">
      <c r="A36203" s="136"/>
      <c r="CM36203" s="111"/>
      <c r="CQ36203" s="111"/>
      <c r="EF36203"/>
      <c r="EG36203"/>
      <c r="EH36203"/>
      <c r="EI36203"/>
      <c r="EJ36203"/>
      <c r="EK36203"/>
    </row>
    <row r="36204" spans="1:141" s="116" customFormat="1">
      <c r="A36204" s="136"/>
      <c r="CM36204" s="111"/>
      <c r="CQ36204" s="111"/>
      <c r="EF36204"/>
      <c r="EG36204"/>
      <c r="EH36204"/>
      <c r="EI36204"/>
      <c r="EJ36204"/>
      <c r="EK36204"/>
    </row>
    <row r="36205" spans="1:141" s="116" customFormat="1">
      <c r="A36205" s="136"/>
      <c r="CM36205" s="111"/>
      <c r="CQ36205" s="111"/>
      <c r="EF36205"/>
      <c r="EG36205"/>
      <c r="EH36205"/>
      <c r="EI36205"/>
      <c r="EJ36205"/>
      <c r="EK36205"/>
    </row>
    <row r="36206" spans="1:141" s="116" customFormat="1">
      <c r="A36206" s="136"/>
      <c r="CM36206" s="111"/>
      <c r="CQ36206" s="111"/>
      <c r="EF36206"/>
      <c r="EG36206"/>
      <c r="EH36206"/>
      <c r="EI36206"/>
      <c r="EJ36206"/>
      <c r="EK36206"/>
    </row>
    <row r="36207" spans="1:141" s="116" customFormat="1">
      <c r="A36207" s="136"/>
      <c r="CM36207" s="111"/>
      <c r="CQ36207" s="111"/>
      <c r="EF36207"/>
      <c r="EG36207"/>
      <c r="EH36207"/>
      <c r="EI36207"/>
      <c r="EJ36207"/>
      <c r="EK36207"/>
    </row>
    <row r="36208" spans="1:141" s="116" customFormat="1">
      <c r="A36208" s="136"/>
      <c r="CM36208" s="111"/>
      <c r="CQ36208" s="111"/>
      <c r="EF36208"/>
      <c r="EG36208"/>
      <c r="EH36208"/>
      <c r="EI36208"/>
      <c r="EJ36208"/>
      <c r="EK36208"/>
    </row>
    <row r="36209" spans="1:141" s="116" customFormat="1">
      <c r="A36209" s="136"/>
      <c r="CM36209" s="111"/>
      <c r="CQ36209" s="111"/>
      <c r="EF36209"/>
      <c r="EG36209"/>
      <c r="EH36209"/>
      <c r="EI36209"/>
      <c r="EJ36209"/>
      <c r="EK36209"/>
    </row>
    <row r="36210" spans="1:141" s="116" customFormat="1">
      <c r="A36210" s="136"/>
      <c r="CM36210" s="111"/>
      <c r="CQ36210" s="111"/>
      <c r="EF36210"/>
      <c r="EG36210"/>
      <c r="EH36210"/>
      <c r="EI36210"/>
      <c r="EJ36210"/>
      <c r="EK36210"/>
    </row>
    <row r="36211" spans="1:141" s="116" customFormat="1">
      <c r="A36211" s="136"/>
      <c r="CM36211" s="111"/>
      <c r="CQ36211" s="111"/>
      <c r="EF36211"/>
      <c r="EG36211"/>
      <c r="EH36211"/>
      <c r="EI36211"/>
      <c r="EJ36211"/>
      <c r="EK36211"/>
    </row>
    <row r="36212" spans="1:141" s="116" customFormat="1">
      <c r="A36212" s="136"/>
      <c r="CM36212" s="111"/>
      <c r="CQ36212" s="111"/>
      <c r="EF36212"/>
      <c r="EG36212"/>
      <c r="EH36212"/>
      <c r="EI36212"/>
      <c r="EJ36212"/>
      <c r="EK36212"/>
    </row>
    <row r="36213" spans="1:141" s="116" customFormat="1">
      <c r="A36213" s="136"/>
      <c r="CM36213" s="111"/>
      <c r="CQ36213" s="111"/>
      <c r="EF36213"/>
      <c r="EG36213"/>
      <c r="EH36213"/>
      <c r="EI36213"/>
      <c r="EJ36213"/>
      <c r="EK36213"/>
    </row>
    <row r="36214" spans="1:141" s="116" customFormat="1">
      <c r="A36214" s="136"/>
      <c r="CM36214" s="111"/>
      <c r="CQ36214" s="111"/>
      <c r="EF36214"/>
      <c r="EG36214"/>
      <c r="EH36214"/>
      <c r="EI36214"/>
      <c r="EJ36214"/>
      <c r="EK36214"/>
    </row>
    <row r="36215" spans="1:141" s="116" customFormat="1">
      <c r="A36215" s="136"/>
      <c r="CM36215" s="111"/>
      <c r="CQ36215" s="111"/>
      <c r="EF36215"/>
      <c r="EG36215"/>
      <c r="EH36215"/>
      <c r="EI36215"/>
      <c r="EJ36215"/>
      <c r="EK36215"/>
    </row>
    <row r="36216" spans="1:141" s="116" customFormat="1">
      <c r="A36216" s="136"/>
      <c r="CM36216" s="111"/>
      <c r="CQ36216" s="111"/>
      <c r="EF36216"/>
      <c r="EG36216"/>
      <c r="EH36216"/>
      <c r="EI36216"/>
      <c r="EJ36216"/>
      <c r="EK36216"/>
    </row>
    <row r="36217" spans="1:141" s="116" customFormat="1">
      <c r="A36217" s="136"/>
      <c r="CM36217" s="111"/>
      <c r="CQ36217" s="111"/>
      <c r="EF36217"/>
      <c r="EG36217"/>
      <c r="EH36217"/>
      <c r="EI36217"/>
      <c r="EJ36217"/>
      <c r="EK36217"/>
    </row>
    <row r="36218" spans="1:141" s="116" customFormat="1">
      <c r="A36218" s="136"/>
      <c r="CM36218" s="111"/>
      <c r="CQ36218" s="111"/>
      <c r="EF36218"/>
      <c r="EG36218"/>
      <c r="EH36218"/>
      <c r="EI36218"/>
      <c r="EJ36218"/>
      <c r="EK36218"/>
    </row>
    <row r="36219" spans="1:141" s="116" customFormat="1">
      <c r="A36219" s="136"/>
      <c r="CM36219" s="111"/>
      <c r="CQ36219" s="111"/>
      <c r="EF36219"/>
      <c r="EG36219"/>
      <c r="EH36219"/>
      <c r="EI36219"/>
      <c r="EJ36219"/>
      <c r="EK36219"/>
    </row>
    <row r="36220" spans="1:141" s="116" customFormat="1">
      <c r="A36220" s="136"/>
      <c r="CM36220" s="111"/>
      <c r="CQ36220" s="111"/>
      <c r="EF36220"/>
      <c r="EG36220"/>
      <c r="EH36220"/>
      <c r="EI36220"/>
      <c r="EJ36220"/>
      <c r="EK36220"/>
    </row>
    <row r="36221" spans="1:141" s="116" customFormat="1">
      <c r="A36221" s="136"/>
      <c r="CM36221" s="111"/>
      <c r="CQ36221" s="111"/>
      <c r="EF36221"/>
      <c r="EG36221"/>
      <c r="EH36221"/>
      <c r="EI36221"/>
      <c r="EJ36221"/>
      <c r="EK36221"/>
    </row>
    <row r="36222" spans="1:141" s="116" customFormat="1">
      <c r="A36222" s="136"/>
      <c r="CM36222" s="111"/>
      <c r="CQ36222" s="111"/>
      <c r="EF36222"/>
      <c r="EG36222"/>
      <c r="EH36222"/>
      <c r="EI36222"/>
      <c r="EJ36222"/>
      <c r="EK36222"/>
    </row>
    <row r="36223" spans="1:141" s="116" customFormat="1">
      <c r="A36223" s="136"/>
      <c r="CM36223" s="111"/>
      <c r="CQ36223" s="111"/>
      <c r="EF36223"/>
      <c r="EG36223"/>
      <c r="EH36223"/>
      <c r="EI36223"/>
      <c r="EJ36223"/>
      <c r="EK36223"/>
    </row>
    <row r="36224" spans="1:141" s="116" customFormat="1">
      <c r="A36224" s="136"/>
      <c r="CM36224" s="111"/>
      <c r="CQ36224" s="111"/>
      <c r="EF36224"/>
      <c r="EG36224"/>
      <c r="EH36224"/>
      <c r="EI36224"/>
      <c r="EJ36224"/>
      <c r="EK36224"/>
    </row>
    <row r="36225" spans="1:141" s="116" customFormat="1">
      <c r="A36225" s="136"/>
      <c r="CM36225" s="111"/>
      <c r="CQ36225" s="111"/>
      <c r="EF36225"/>
      <c r="EG36225"/>
      <c r="EH36225"/>
      <c r="EI36225"/>
      <c r="EJ36225"/>
      <c r="EK36225"/>
    </row>
    <row r="36226" spans="1:141" s="116" customFormat="1">
      <c r="A36226" s="136"/>
      <c r="CM36226" s="111"/>
      <c r="CQ36226" s="111"/>
      <c r="EF36226"/>
      <c r="EG36226"/>
      <c r="EH36226"/>
      <c r="EI36226"/>
      <c r="EJ36226"/>
      <c r="EK36226"/>
    </row>
    <row r="36227" spans="1:141" s="116" customFormat="1">
      <c r="A36227" s="136"/>
      <c r="CM36227" s="111"/>
      <c r="CQ36227" s="111"/>
      <c r="EF36227"/>
      <c r="EG36227"/>
      <c r="EH36227"/>
      <c r="EI36227"/>
      <c r="EJ36227"/>
      <c r="EK36227"/>
    </row>
    <row r="36228" spans="1:141" s="116" customFormat="1">
      <c r="A36228" s="136"/>
      <c r="CM36228" s="111"/>
      <c r="CQ36228" s="111"/>
      <c r="EF36228"/>
      <c r="EG36228"/>
      <c r="EH36228"/>
      <c r="EI36228"/>
      <c r="EJ36228"/>
      <c r="EK36228"/>
    </row>
    <row r="36229" spans="1:141" s="116" customFormat="1">
      <c r="A36229" s="136"/>
      <c r="CM36229" s="111"/>
      <c r="CQ36229" s="111"/>
      <c r="EF36229"/>
      <c r="EG36229"/>
      <c r="EH36229"/>
      <c r="EI36229"/>
      <c r="EJ36229"/>
      <c r="EK36229"/>
    </row>
    <row r="36230" spans="1:141" s="116" customFormat="1">
      <c r="A36230" s="136"/>
      <c r="CM36230" s="111"/>
      <c r="CQ36230" s="111"/>
      <c r="EF36230"/>
      <c r="EG36230"/>
      <c r="EH36230"/>
      <c r="EI36230"/>
      <c r="EJ36230"/>
      <c r="EK36230"/>
    </row>
    <row r="36231" spans="1:141" s="116" customFormat="1">
      <c r="A36231" s="136"/>
      <c r="CM36231" s="111"/>
      <c r="CQ36231" s="111"/>
      <c r="EF36231"/>
      <c r="EG36231"/>
      <c r="EH36231"/>
      <c r="EI36231"/>
      <c r="EJ36231"/>
      <c r="EK36231"/>
    </row>
    <row r="36232" spans="1:141" s="116" customFormat="1">
      <c r="A36232" s="136"/>
      <c r="CM36232" s="111"/>
      <c r="CQ36232" s="111"/>
      <c r="EF36232"/>
      <c r="EG36232"/>
      <c r="EH36232"/>
      <c r="EI36232"/>
      <c r="EJ36232"/>
      <c r="EK36232"/>
    </row>
    <row r="36233" spans="1:141" s="116" customFormat="1">
      <c r="A36233" s="136"/>
      <c r="CM36233" s="111"/>
      <c r="CQ36233" s="111"/>
      <c r="EF36233"/>
      <c r="EG36233"/>
      <c r="EH36233"/>
      <c r="EI36233"/>
      <c r="EJ36233"/>
      <c r="EK36233"/>
    </row>
    <row r="36234" spans="1:141" s="116" customFormat="1">
      <c r="A36234" s="136"/>
      <c r="CM36234" s="111"/>
      <c r="CQ36234" s="111"/>
      <c r="EF36234"/>
      <c r="EG36234"/>
      <c r="EH36234"/>
      <c r="EI36234"/>
      <c r="EJ36234"/>
      <c r="EK36234"/>
    </row>
    <row r="36235" spans="1:141" s="116" customFormat="1">
      <c r="A36235" s="136"/>
      <c r="CM36235" s="111"/>
      <c r="CQ36235" s="111"/>
      <c r="EF36235"/>
      <c r="EG36235"/>
      <c r="EH36235"/>
      <c r="EI36235"/>
      <c r="EJ36235"/>
      <c r="EK36235"/>
    </row>
    <row r="36236" spans="1:141" s="116" customFormat="1">
      <c r="A36236" s="136"/>
      <c r="CM36236" s="111"/>
      <c r="CQ36236" s="111"/>
      <c r="EF36236"/>
      <c r="EG36236"/>
      <c r="EH36236"/>
      <c r="EI36236"/>
      <c r="EJ36236"/>
      <c r="EK36236"/>
    </row>
    <row r="36237" spans="1:141" s="116" customFormat="1">
      <c r="A36237" s="136"/>
      <c r="CM36237" s="111"/>
      <c r="CQ36237" s="111"/>
      <c r="EF36237"/>
      <c r="EG36237"/>
      <c r="EH36237"/>
      <c r="EI36237"/>
      <c r="EJ36237"/>
      <c r="EK36237"/>
    </row>
    <row r="36238" spans="1:141" s="116" customFormat="1">
      <c r="A36238" s="136"/>
      <c r="CM36238" s="111"/>
      <c r="CQ36238" s="111"/>
      <c r="EF36238"/>
      <c r="EG36238"/>
      <c r="EH36238"/>
      <c r="EI36238"/>
      <c r="EJ36238"/>
      <c r="EK36238"/>
    </row>
    <row r="36239" spans="1:141" s="116" customFormat="1">
      <c r="A36239" s="136"/>
      <c r="CM36239" s="111"/>
      <c r="CQ36239" s="111"/>
      <c r="EF36239"/>
      <c r="EG36239"/>
      <c r="EH36239"/>
      <c r="EI36239"/>
      <c r="EJ36239"/>
      <c r="EK36239"/>
    </row>
    <row r="36240" spans="1:141" s="116" customFormat="1">
      <c r="A36240" s="136"/>
      <c r="CM36240" s="111"/>
      <c r="CQ36240" s="111"/>
      <c r="EF36240"/>
      <c r="EG36240"/>
      <c r="EH36240"/>
      <c r="EI36240"/>
      <c r="EJ36240"/>
      <c r="EK36240"/>
    </row>
    <row r="36241" spans="1:141" s="116" customFormat="1">
      <c r="A36241" s="136"/>
      <c r="CM36241" s="111"/>
      <c r="CQ36241" s="111"/>
      <c r="EF36241"/>
      <c r="EG36241"/>
      <c r="EH36241"/>
      <c r="EI36241"/>
      <c r="EJ36241"/>
      <c r="EK36241"/>
    </row>
    <row r="36242" spans="1:141" s="116" customFormat="1">
      <c r="A36242" s="136"/>
      <c r="CM36242" s="111"/>
      <c r="CQ36242" s="111"/>
      <c r="EF36242"/>
      <c r="EG36242"/>
      <c r="EH36242"/>
      <c r="EI36242"/>
      <c r="EJ36242"/>
      <c r="EK36242"/>
    </row>
    <row r="36243" spans="1:141" s="116" customFormat="1">
      <c r="A36243" s="136"/>
      <c r="CM36243" s="111"/>
      <c r="CQ36243" s="111"/>
      <c r="EF36243"/>
      <c r="EG36243"/>
      <c r="EH36243"/>
      <c r="EI36243"/>
      <c r="EJ36243"/>
      <c r="EK36243"/>
    </row>
    <row r="36244" spans="1:141" s="116" customFormat="1">
      <c r="A36244" s="136"/>
      <c r="CM36244" s="111"/>
      <c r="CQ36244" s="111"/>
      <c r="EF36244"/>
      <c r="EG36244"/>
      <c r="EH36244"/>
      <c r="EI36244"/>
      <c r="EJ36244"/>
      <c r="EK36244"/>
    </row>
    <row r="36245" spans="1:141" s="116" customFormat="1">
      <c r="A36245" s="136"/>
      <c r="CM36245" s="111"/>
      <c r="CQ36245" s="111"/>
      <c r="EF36245"/>
      <c r="EG36245"/>
      <c r="EH36245"/>
      <c r="EI36245"/>
      <c r="EJ36245"/>
      <c r="EK36245"/>
    </row>
    <row r="36246" spans="1:141" s="116" customFormat="1">
      <c r="A36246" s="136"/>
      <c r="CM36246" s="111"/>
      <c r="CQ36246" s="111"/>
      <c r="EF36246"/>
      <c r="EG36246"/>
      <c r="EH36246"/>
      <c r="EI36246"/>
      <c r="EJ36246"/>
      <c r="EK36246"/>
    </row>
    <row r="36247" spans="1:141" s="116" customFormat="1">
      <c r="A36247" s="136"/>
      <c r="CM36247" s="111"/>
      <c r="CQ36247" s="111"/>
      <c r="EF36247"/>
      <c r="EG36247"/>
      <c r="EH36247"/>
      <c r="EI36247"/>
      <c r="EJ36247"/>
      <c r="EK36247"/>
    </row>
    <row r="36248" spans="1:141" s="116" customFormat="1">
      <c r="A36248" s="136"/>
      <c r="CM36248" s="111"/>
      <c r="CQ36248" s="111"/>
      <c r="EF36248"/>
      <c r="EG36248"/>
      <c r="EH36248"/>
      <c r="EI36248"/>
      <c r="EJ36248"/>
      <c r="EK36248"/>
    </row>
    <row r="36249" spans="1:141" s="116" customFormat="1">
      <c r="A36249" s="136"/>
      <c r="CM36249" s="111"/>
      <c r="CQ36249" s="111"/>
      <c r="EF36249"/>
      <c r="EG36249"/>
      <c r="EH36249"/>
      <c r="EI36249"/>
      <c r="EJ36249"/>
      <c r="EK36249"/>
    </row>
    <row r="36250" spans="1:141" s="116" customFormat="1">
      <c r="A36250" s="136"/>
      <c r="CM36250" s="111"/>
      <c r="CQ36250" s="111"/>
      <c r="EF36250"/>
      <c r="EG36250"/>
      <c r="EH36250"/>
      <c r="EI36250"/>
      <c r="EJ36250"/>
      <c r="EK36250"/>
    </row>
    <row r="36251" spans="1:141" s="116" customFormat="1">
      <c r="A36251" s="136"/>
      <c r="CM36251" s="111"/>
      <c r="CQ36251" s="111"/>
      <c r="EF36251"/>
      <c r="EG36251"/>
      <c r="EH36251"/>
      <c r="EI36251"/>
      <c r="EJ36251"/>
      <c r="EK36251"/>
    </row>
    <row r="36252" spans="1:141" s="116" customFormat="1">
      <c r="A36252" s="136"/>
      <c r="CM36252" s="111"/>
      <c r="CQ36252" s="111"/>
      <c r="EF36252"/>
      <c r="EG36252"/>
      <c r="EH36252"/>
      <c r="EI36252"/>
      <c r="EJ36252"/>
      <c r="EK36252"/>
    </row>
    <row r="36253" spans="1:141" s="116" customFormat="1">
      <c r="A36253" s="136"/>
      <c r="CM36253" s="111"/>
      <c r="CQ36253" s="111"/>
      <c r="EF36253"/>
      <c r="EG36253"/>
      <c r="EH36253"/>
      <c r="EI36253"/>
      <c r="EJ36253"/>
      <c r="EK36253"/>
    </row>
    <row r="36254" spans="1:141" s="116" customFormat="1">
      <c r="A36254" s="136"/>
      <c r="CM36254" s="111"/>
      <c r="CQ36254" s="111"/>
      <c r="EF36254"/>
      <c r="EG36254"/>
      <c r="EH36254"/>
      <c r="EI36254"/>
      <c r="EJ36254"/>
      <c r="EK36254"/>
    </row>
    <row r="36255" spans="1:141" s="116" customFormat="1">
      <c r="A36255" s="136"/>
      <c r="CM36255" s="111"/>
      <c r="CQ36255" s="111"/>
      <c r="EF36255"/>
      <c r="EG36255"/>
      <c r="EH36255"/>
      <c r="EI36255"/>
      <c r="EJ36255"/>
      <c r="EK36255"/>
    </row>
    <row r="36256" spans="1:141" s="116" customFormat="1">
      <c r="A36256" s="136"/>
      <c r="CM36256" s="111"/>
      <c r="CQ36256" s="111"/>
      <c r="EF36256"/>
      <c r="EG36256"/>
      <c r="EH36256"/>
      <c r="EI36256"/>
      <c r="EJ36256"/>
      <c r="EK36256"/>
    </row>
    <row r="36257" spans="1:141" s="116" customFormat="1">
      <c r="A36257" s="136"/>
      <c r="CM36257" s="111"/>
      <c r="CQ36257" s="111"/>
      <c r="EF36257"/>
      <c r="EG36257"/>
      <c r="EH36257"/>
      <c r="EI36257"/>
      <c r="EJ36257"/>
      <c r="EK36257"/>
    </row>
    <row r="36258" spans="1:141" s="116" customFormat="1">
      <c r="A36258" s="136"/>
      <c r="CM36258" s="111"/>
      <c r="CQ36258" s="111"/>
      <c r="EF36258"/>
      <c r="EG36258"/>
      <c r="EH36258"/>
      <c r="EI36258"/>
      <c r="EJ36258"/>
      <c r="EK36258"/>
    </row>
    <row r="36259" spans="1:141" s="116" customFormat="1">
      <c r="A36259" s="136"/>
      <c r="CM36259" s="111"/>
      <c r="CQ36259" s="111"/>
      <c r="EF36259"/>
      <c r="EG36259"/>
      <c r="EH36259"/>
      <c r="EI36259"/>
      <c r="EJ36259"/>
      <c r="EK36259"/>
    </row>
    <row r="36260" spans="1:141" s="116" customFormat="1">
      <c r="A36260" s="136"/>
      <c r="CM36260" s="111"/>
      <c r="CQ36260" s="111"/>
      <c r="EF36260"/>
      <c r="EG36260"/>
      <c r="EH36260"/>
      <c r="EI36260"/>
      <c r="EJ36260"/>
      <c r="EK36260"/>
    </row>
    <row r="36261" spans="1:141" s="116" customFormat="1">
      <c r="A36261" s="136"/>
      <c r="CM36261" s="111"/>
      <c r="CQ36261" s="111"/>
      <c r="EF36261"/>
      <c r="EG36261"/>
      <c r="EH36261"/>
      <c r="EI36261"/>
      <c r="EJ36261"/>
      <c r="EK36261"/>
    </row>
    <row r="36262" spans="1:141" s="116" customFormat="1">
      <c r="A36262" s="136"/>
      <c r="CM36262" s="111"/>
      <c r="CQ36262" s="111"/>
      <c r="EF36262"/>
      <c r="EG36262"/>
      <c r="EH36262"/>
      <c r="EI36262"/>
      <c r="EJ36262"/>
      <c r="EK36262"/>
    </row>
    <row r="36263" spans="1:141" s="116" customFormat="1">
      <c r="A36263" s="136"/>
      <c r="CM36263" s="111"/>
      <c r="CQ36263" s="111"/>
      <c r="EF36263"/>
      <c r="EG36263"/>
      <c r="EH36263"/>
      <c r="EI36263"/>
      <c r="EJ36263"/>
      <c r="EK36263"/>
    </row>
    <row r="36264" spans="1:141" s="116" customFormat="1">
      <c r="A36264" s="136"/>
      <c r="CM36264" s="111"/>
      <c r="CQ36264" s="111"/>
      <c r="EF36264"/>
      <c r="EG36264"/>
      <c r="EH36264"/>
      <c r="EI36264"/>
      <c r="EJ36264"/>
      <c r="EK36264"/>
    </row>
    <row r="36265" spans="1:141" s="116" customFormat="1">
      <c r="A36265" s="136"/>
      <c r="CM36265" s="111"/>
      <c r="CQ36265" s="111"/>
      <c r="EF36265"/>
      <c r="EG36265"/>
      <c r="EH36265"/>
      <c r="EI36265"/>
      <c r="EJ36265"/>
      <c r="EK36265"/>
    </row>
    <row r="36266" spans="1:141" s="116" customFormat="1">
      <c r="A36266" s="136"/>
      <c r="CM36266" s="111"/>
      <c r="CQ36266" s="111"/>
      <c r="EF36266"/>
      <c r="EG36266"/>
      <c r="EH36266"/>
      <c r="EI36266"/>
      <c r="EJ36266"/>
      <c r="EK36266"/>
    </row>
    <row r="36267" spans="1:141" s="116" customFormat="1">
      <c r="A36267" s="136"/>
      <c r="CM36267" s="111"/>
      <c r="CQ36267" s="111"/>
      <c r="EF36267"/>
      <c r="EG36267"/>
      <c r="EH36267"/>
      <c r="EI36267"/>
      <c r="EJ36267"/>
      <c r="EK36267"/>
    </row>
    <row r="36268" spans="1:141" s="116" customFormat="1">
      <c r="A36268" s="136"/>
      <c r="CM36268" s="111"/>
      <c r="CQ36268" s="111"/>
      <c r="EF36268"/>
      <c r="EG36268"/>
      <c r="EH36268"/>
      <c r="EI36268"/>
      <c r="EJ36268"/>
      <c r="EK36268"/>
    </row>
    <row r="36269" spans="1:141" s="116" customFormat="1">
      <c r="A36269" s="136"/>
      <c r="CM36269" s="111"/>
      <c r="CQ36269" s="111"/>
      <c r="EF36269"/>
      <c r="EG36269"/>
      <c r="EH36269"/>
      <c r="EI36269"/>
      <c r="EJ36269"/>
      <c r="EK36269"/>
    </row>
    <row r="36270" spans="1:141" s="116" customFormat="1">
      <c r="A36270" s="136"/>
      <c r="CM36270" s="111"/>
      <c r="CQ36270" s="111"/>
      <c r="EF36270"/>
      <c r="EG36270"/>
      <c r="EH36270"/>
      <c r="EI36270"/>
      <c r="EJ36270"/>
      <c r="EK36270"/>
    </row>
    <row r="36271" spans="1:141" s="116" customFormat="1">
      <c r="A36271" s="136"/>
      <c r="CM36271" s="111"/>
      <c r="CQ36271" s="111"/>
      <c r="EF36271"/>
      <c r="EG36271"/>
      <c r="EH36271"/>
      <c r="EI36271"/>
      <c r="EJ36271"/>
      <c r="EK36271"/>
    </row>
    <row r="36272" spans="1:141" s="116" customFormat="1">
      <c r="A36272" s="136"/>
      <c r="CM36272" s="111"/>
      <c r="CQ36272" s="111"/>
      <c r="EF36272"/>
      <c r="EG36272"/>
      <c r="EH36272"/>
      <c r="EI36272"/>
      <c r="EJ36272"/>
      <c r="EK36272"/>
    </row>
    <row r="36273" spans="1:141" s="116" customFormat="1">
      <c r="A36273" s="136"/>
      <c r="CM36273" s="111"/>
      <c r="CQ36273" s="111"/>
      <c r="EF36273"/>
      <c r="EG36273"/>
      <c r="EH36273"/>
      <c r="EI36273"/>
      <c r="EJ36273"/>
      <c r="EK36273"/>
    </row>
    <row r="36274" spans="1:141" s="116" customFormat="1">
      <c r="A36274" s="136"/>
      <c r="CM36274" s="111"/>
      <c r="CQ36274" s="111"/>
      <c r="EF36274"/>
      <c r="EG36274"/>
      <c r="EH36274"/>
      <c r="EI36274"/>
      <c r="EJ36274"/>
      <c r="EK36274"/>
    </row>
    <row r="36275" spans="1:141" s="116" customFormat="1">
      <c r="A36275" s="136"/>
      <c r="CM36275" s="111"/>
      <c r="CQ36275" s="111"/>
      <c r="EF36275"/>
      <c r="EG36275"/>
      <c r="EH36275"/>
      <c r="EI36275"/>
      <c r="EJ36275"/>
      <c r="EK36275"/>
    </row>
    <row r="36276" spans="1:141" s="116" customFormat="1">
      <c r="A36276" s="136"/>
      <c r="CM36276" s="111"/>
      <c r="CQ36276" s="111"/>
      <c r="EF36276"/>
      <c r="EG36276"/>
      <c r="EH36276"/>
      <c r="EI36276"/>
      <c r="EJ36276"/>
      <c r="EK36276"/>
    </row>
    <row r="36277" spans="1:141" s="116" customFormat="1">
      <c r="A36277" s="136"/>
      <c r="CM36277" s="111"/>
      <c r="CQ36277" s="111"/>
      <c r="EF36277"/>
      <c r="EG36277"/>
      <c r="EH36277"/>
      <c r="EI36277"/>
      <c r="EJ36277"/>
      <c r="EK36277"/>
    </row>
    <row r="36278" spans="1:141" s="116" customFormat="1">
      <c r="A36278" s="136"/>
      <c r="CM36278" s="111"/>
      <c r="CQ36278" s="111"/>
      <c r="EF36278"/>
      <c r="EG36278"/>
      <c r="EH36278"/>
      <c r="EI36278"/>
      <c r="EJ36278"/>
      <c r="EK36278"/>
    </row>
    <row r="36279" spans="1:141" s="116" customFormat="1">
      <c r="A36279" s="136"/>
      <c r="CM36279" s="111"/>
      <c r="CQ36279" s="111"/>
      <c r="EF36279"/>
      <c r="EG36279"/>
      <c r="EH36279"/>
      <c r="EI36279"/>
      <c r="EJ36279"/>
      <c r="EK36279"/>
    </row>
    <row r="36280" spans="1:141" s="116" customFormat="1">
      <c r="A36280" s="136"/>
      <c r="CM36280" s="111"/>
      <c r="CQ36280" s="111"/>
      <c r="EF36280"/>
      <c r="EG36280"/>
      <c r="EH36280"/>
      <c r="EI36280"/>
      <c r="EJ36280"/>
      <c r="EK36280"/>
    </row>
    <row r="36281" spans="1:141" s="116" customFormat="1">
      <c r="A36281" s="136"/>
      <c r="CM36281" s="111"/>
      <c r="CQ36281" s="111"/>
      <c r="EF36281"/>
      <c r="EG36281"/>
      <c r="EH36281"/>
      <c r="EI36281"/>
      <c r="EJ36281"/>
      <c r="EK36281"/>
    </row>
    <row r="36282" spans="1:141" s="116" customFormat="1">
      <c r="A36282" s="136"/>
      <c r="CM36282" s="111"/>
      <c r="CQ36282" s="111"/>
      <c r="EF36282"/>
      <c r="EG36282"/>
      <c r="EH36282"/>
      <c r="EI36282"/>
      <c r="EJ36282"/>
      <c r="EK36282"/>
    </row>
    <row r="36283" spans="1:141" s="116" customFormat="1">
      <c r="A36283" s="136"/>
      <c r="CM36283" s="111"/>
      <c r="CQ36283" s="111"/>
      <c r="EF36283"/>
      <c r="EG36283"/>
      <c r="EH36283"/>
      <c r="EI36283"/>
      <c r="EJ36283"/>
      <c r="EK36283"/>
    </row>
    <row r="36284" spans="1:141" s="116" customFormat="1">
      <c r="A36284" s="136"/>
      <c r="CM36284" s="111"/>
      <c r="CQ36284" s="111"/>
      <c r="EF36284"/>
      <c r="EG36284"/>
      <c r="EH36284"/>
      <c r="EI36284"/>
      <c r="EJ36284"/>
      <c r="EK36284"/>
    </row>
    <row r="36285" spans="1:141" s="116" customFormat="1">
      <c r="A36285" s="136"/>
      <c r="CM36285" s="111"/>
      <c r="CQ36285" s="111"/>
      <c r="EF36285"/>
      <c r="EG36285"/>
      <c r="EH36285"/>
      <c r="EI36285"/>
      <c r="EJ36285"/>
      <c r="EK36285"/>
    </row>
    <row r="36286" spans="1:141" s="116" customFormat="1">
      <c r="A36286" s="136"/>
      <c r="CM36286" s="111"/>
      <c r="CQ36286" s="111"/>
      <c r="EF36286"/>
      <c r="EG36286"/>
      <c r="EH36286"/>
      <c r="EI36286"/>
      <c r="EJ36286"/>
      <c r="EK36286"/>
    </row>
    <row r="36287" spans="1:141" s="116" customFormat="1">
      <c r="A36287" s="136"/>
      <c r="CM36287" s="111"/>
      <c r="CQ36287" s="111"/>
      <c r="EF36287"/>
      <c r="EG36287"/>
      <c r="EH36287"/>
      <c r="EI36287"/>
      <c r="EJ36287"/>
      <c r="EK36287"/>
    </row>
    <row r="36288" spans="1:141" s="116" customFormat="1">
      <c r="A36288" s="136"/>
      <c r="CM36288" s="111"/>
      <c r="CQ36288" s="111"/>
      <c r="EF36288"/>
      <c r="EG36288"/>
      <c r="EH36288"/>
      <c r="EI36288"/>
      <c r="EJ36288"/>
      <c r="EK36288"/>
    </row>
    <row r="36289" spans="1:141" s="116" customFormat="1">
      <c r="A36289" s="136"/>
      <c r="CM36289" s="111"/>
      <c r="CQ36289" s="111"/>
      <c r="EF36289"/>
      <c r="EG36289"/>
      <c r="EH36289"/>
      <c r="EI36289"/>
      <c r="EJ36289"/>
      <c r="EK36289"/>
    </row>
    <row r="36290" spans="1:141" s="116" customFormat="1">
      <c r="A36290" s="136"/>
      <c r="CM36290" s="111"/>
      <c r="CQ36290" s="111"/>
      <c r="EF36290"/>
      <c r="EG36290"/>
      <c r="EH36290"/>
      <c r="EI36290"/>
      <c r="EJ36290"/>
      <c r="EK36290"/>
    </row>
    <row r="36291" spans="1:141" s="116" customFormat="1">
      <c r="A36291" s="136"/>
      <c r="CM36291" s="111"/>
      <c r="CQ36291" s="111"/>
      <c r="EF36291"/>
      <c r="EG36291"/>
      <c r="EH36291"/>
      <c r="EI36291"/>
      <c r="EJ36291"/>
      <c r="EK36291"/>
    </row>
    <row r="36292" spans="1:141" s="116" customFormat="1">
      <c r="A36292" s="136"/>
      <c r="CM36292" s="111"/>
      <c r="CQ36292" s="111"/>
      <c r="EF36292"/>
      <c r="EG36292"/>
      <c r="EH36292"/>
      <c r="EI36292"/>
      <c r="EJ36292"/>
      <c r="EK36292"/>
    </row>
    <row r="36293" spans="1:141" s="116" customFormat="1">
      <c r="A36293" s="136"/>
      <c r="CM36293" s="111"/>
      <c r="CQ36293" s="111"/>
      <c r="EF36293"/>
      <c r="EG36293"/>
      <c r="EH36293"/>
      <c r="EI36293"/>
      <c r="EJ36293"/>
      <c r="EK36293"/>
    </row>
    <row r="36294" spans="1:141" s="116" customFormat="1">
      <c r="A36294" s="136"/>
      <c r="CM36294" s="111"/>
      <c r="CQ36294" s="111"/>
      <c r="EF36294"/>
      <c r="EG36294"/>
      <c r="EH36294"/>
      <c r="EI36294"/>
      <c r="EJ36294"/>
      <c r="EK36294"/>
    </row>
    <row r="36295" spans="1:141" s="116" customFormat="1">
      <c r="A36295" s="136"/>
      <c r="CM36295" s="111"/>
      <c r="CQ36295" s="111"/>
      <c r="EF36295"/>
      <c r="EG36295"/>
      <c r="EH36295"/>
      <c r="EI36295"/>
      <c r="EJ36295"/>
      <c r="EK36295"/>
    </row>
    <row r="36296" spans="1:141" s="116" customFormat="1">
      <c r="A36296" s="136"/>
      <c r="CM36296" s="111"/>
      <c r="CQ36296" s="111"/>
      <c r="EF36296"/>
      <c r="EG36296"/>
      <c r="EH36296"/>
      <c r="EI36296"/>
      <c r="EJ36296"/>
      <c r="EK36296"/>
    </row>
    <row r="36297" spans="1:141" s="116" customFormat="1">
      <c r="A36297" s="136"/>
      <c r="CM36297" s="111"/>
      <c r="CQ36297" s="111"/>
      <c r="EF36297"/>
      <c r="EG36297"/>
      <c r="EH36297"/>
      <c r="EI36297"/>
      <c r="EJ36297"/>
      <c r="EK36297"/>
    </row>
    <row r="36298" spans="1:141" s="116" customFormat="1">
      <c r="A36298" s="136"/>
      <c r="CM36298" s="111"/>
      <c r="CQ36298" s="111"/>
      <c r="EF36298"/>
      <c r="EG36298"/>
      <c r="EH36298"/>
      <c r="EI36298"/>
      <c r="EJ36298"/>
      <c r="EK36298"/>
    </row>
    <row r="36299" spans="1:141" s="116" customFormat="1">
      <c r="A36299" s="136"/>
      <c r="CM36299" s="111"/>
      <c r="CQ36299" s="111"/>
      <c r="EF36299"/>
      <c r="EG36299"/>
      <c r="EH36299"/>
      <c r="EI36299"/>
      <c r="EJ36299"/>
      <c r="EK36299"/>
    </row>
    <row r="36300" spans="1:141" s="116" customFormat="1">
      <c r="A36300" s="136"/>
      <c r="CM36300" s="111"/>
      <c r="CQ36300" s="111"/>
      <c r="EF36300"/>
      <c r="EG36300"/>
      <c r="EH36300"/>
      <c r="EI36300"/>
      <c r="EJ36300"/>
      <c r="EK36300"/>
    </row>
    <row r="36301" spans="1:141" s="116" customFormat="1">
      <c r="A36301" s="136"/>
      <c r="CM36301" s="111"/>
      <c r="CQ36301" s="111"/>
      <c r="EF36301"/>
      <c r="EG36301"/>
      <c r="EH36301"/>
      <c r="EI36301"/>
      <c r="EJ36301"/>
      <c r="EK36301"/>
    </row>
    <row r="36302" spans="1:141" s="116" customFormat="1">
      <c r="A36302" s="136"/>
      <c r="CM36302" s="111"/>
      <c r="CQ36302" s="111"/>
      <c r="EF36302"/>
      <c r="EG36302"/>
      <c r="EH36302"/>
      <c r="EI36302"/>
      <c r="EJ36302"/>
      <c r="EK36302"/>
    </row>
    <row r="36303" spans="1:141" s="116" customFormat="1">
      <c r="A36303" s="136"/>
      <c r="CM36303" s="111"/>
      <c r="CQ36303" s="111"/>
      <c r="EF36303"/>
      <c r="EG36303"/>
      <c r="EH36303"/>
      <c r="EI36303"/>
      <c r="EJ36303"/>
      <c r="EK36303"/>
    </row>
    <row r="36304" spans="1:141" s="116" customFormat="1">
      <c r="A36304" s="136"/>
      <c r="CM36304" s="111"/>
      <c r="CQ36304" s="111"/>
      <c r="EF36304"/>
      <c r="EG36304"/>
      <c r="EH36304"/>
      <c r="EI36304"/>
      <c r="EJ36304"/>
      <c r="EK36304"/>
    </row>
    <row r="36305" spans="1:141" s="116" customFormat="1">
      <c r="A36305" s="136"/>
      <c r="CM36305" s="111"/>
      <c r="CQ36305" s="111"/>
      <c r="EF36305"/>
      <c r="EG36305"/>
      <c r="EH36305"/>
      <c r="EI36305"/>
      <c r="EJ36305"/>
      <c r="EK36305"/>
    </row>
    <row r="36306" spans="1:141" s="116" customFormat="1">
      <c r="A36306" s="136"/>
      <c r="CM36306" s="111"/>
      <c r="CQ36306" s="111"/>
      <c r="EF36306"/>
      <c r="EG36306"/>
      <c r="EH36306"/>
      <c r="EI36306"/>
      <c r="EJ36306"/>
      <c r="EK36306"/>
    </row>
    <row r="36307" spans="1:141" s="116" customFormat="1">
      <c r="A36307" s="136"/>
      <c r="CM36307" s="111"/>
      <c r="CQ36307" s="111"/>
      <c r="EF36307"/>
      <c r="EG36307"/>
      <c r="EH36307"/>
      <c r="EI36307"/>
      <c r="EJ36307"/>
      <c r="EK36307"/>
    </row>
    <row r="36308" spans="1:141" s="116" customFormat="1">
      <c r="A36308" s="136"/>
      <c r="CM36308" s="111"/>
      <c r="CQ36308" s="111"/>
      <c r="EF36308"/>
      <c r="EG36308"/>
      <c r="EH36308"/>
      <c r="EI36308"/>
      <c r="EJ36308"/>
      <c r="EK36308"/>
    </row>
    <row r="36309" spans="1:141" s="116" customFormat="1">
      <c r="A36309" s="136"/>
      <c r="CM36309" s="111"/>
      <c r="CQ36309" s="111"/>
      <c r="EF36309"/>
      <c r="EG36309"/>
      <c r="EH36309"/>
      <c r="EI36309"/>
      <c r="EJ36309"/>
      <c r="EK36309"/>
    </row>
    <row r="36310" spans="1:141" s="116" customFormat="1">
      <c r="A36310" s="136"/>
      <c r="CM36310" s="111"/>
      <c r="CQ36310" s="111"/>
      <c r="EF36310"/>
      <c r="EG36310"/>
      <c r="EH36310"/>
      <c r="EI36310"/>
      <c r="EJ36310"/>
      <c r="EK36310"/>
    </row>
    <row r="36311" spans="1:141" s="116" customFormat="1">
      <c r="A36311" s="136"/>
      <c r="CM36311" s="111"/>
      <c r="CQ36311" s="111"/>
      <c r="EF36311"/>
      <c r="EG36311"/>
      <c r="EH36311"/>
      <c r="EI36311"/>
      <c r="EJ36311"/>
      <c r="EK36311"/>
    </row>
    <row r="36312" spans="1:141" s="116" customFormat="1">
      <c r="A36312" s="136"/>
      <c r="CM36312" s="111"/>
      <c r="CQ36312" s="111"/>
      <c r="EF36312"/>
      <c r="EG36312"/>
      <c r="EH36312"/>
      <c r="EI36312"/>
      <c r="EJ36312"/>
      <c r="EK36312"/>
    </row>
    <row r="36313" spans="1:141" s="116" customFormat="1">
      <c r="A36313" s="136"/>
      <c r="CM36313" s="111"/>
      <c r="CQ36313" s="111"/>
      <c r="EF36313"/>
      <c r="EG36313"/>
      <c r="EH36313"/>
      <c r="EI36313"/>
      <c r="EJ36313"/>
      <c r="EK36313"/>
    </row>
    <row r="36314" spans="1:141" s="116" customFormat="1">
      <c r="A36314" s="136"/>
      <c r="CM36314" s="111"/>
      <c r="CQ36314" s="111"/>
      <c r="EF36314"/>
      <c r="EG36314"/>
      <c r="EH36314"/>
      <c r="EI36314"/>
      <c r="EJ36314"/>
      <c r="EK36314"/>
    </row>
    <row r="36315" spans="1:141" s="116" customFormat="1">
      <c r="A36315" s="136"/>
      <c r="CM36315" s="111"/>
      <c r="CQ36315" s="111"/>
      <c r="EF36315"/>
      <c r="EG36315"/>
      <c r="EH36315"/>
      <c r="EI36315"/>
      <c r="EJ36315"/>
      <c r="EK36315"/>
    </row>
    <row r="36316" spans="1:141" s="116" customFormat="1">
      <c r="A36316" s="136"/>
      <c r="CM36316" s="111"/>
      <c r="CQ36316" s="111"/>
      <c r="EF36316"/>
      <c r="EG36316"/>
      <c r="EH36316"/>
      <c r="EI36316"/>
      <c r="EJ36316"/>
      <c r="EK36316"/>
    </row>
    <row r="36317" spans="1:141" s="116" customFormat="1">
      <c r="A36317" s="136"/>
      <c r="CM36317" s="111"/>
      <c r="CQ36317" s="111"/>
      <c r="EF36317"/>
      <c r="EG36317"/>
      <c r="EH36317"/>
      <c r="EI36317"/>
      <c r="EJ36317"/>
      <c r="EK36317"/>
    </row>
    <row r="36318" spans="1:141" s="116" customFormat="1">
      <c r="A36318" s="136"/>
      <c r="CM36318" s="111"/>
      <c r="CQ36318" s="111"/>
      <c r="EF36318"/>
      <c r="EG36318"/>
      <c r="EH36318"/>
      <c r="EI36318"/>
      <c r="EJ36318"/>
      <c r="EK36318"/>
    </row>
    <row r="36319" spans="1:141" s="116" customFormat="1">
      <c r="A36319" s="136"/>
      <c r="CM36319" s="111"/>
      <c r="CQ36319" s="111"/>
      <c r="EF36319"/>
      <c r="EG36319"/>
      <c r="EH36319"/>
      <c r="EI36319"/>
      <c r="EJ36319"/>
      <c r="EK36319"/>
    </row>
    <row r="36320" spans="1:141" s="116" customFormat="1">
      <c r="A36320" s="136"/>
      <c r="CM36320" s="111"/>
      <c r="CQ36320" s="111"/>
      <c r="EF36320"/>
      <c r="EG36320"/>
      <c r="EH36320"/>
      <c r="EI36320"/>
      <c r="EJ36320"/>
      <c r="EK36320"/>
    </row>
    <row r="36321" spans="1:141" s="116" customFormat="1">
      <c r="A36321" s="136"/>
      <c r="CM36321" s="111"/>
      <c r="CQ36321" s="111"/>
      <c r="EF36321"/>
      <c r="EG36321"/>
      <c r="EH36321"/>
      <c r="EI36321"/>
      <c r="EJ36321"/>
      <c r="EK36321"/>
    </row>
    <row r="36322" spans="1:141" s="116" customFormat="1">
      <c r="A36322" s="136"/>
      <c r="CM36322" s="111"/>
      <c r="CQ36322" s="111"/>
      <c r="EF36322"/>
      <c r="EG36322"/>
      <c r="EH36322"/>
      <c r="EI36322"/>
      <c r="EJ36322"/>
      <c r="EK36322"/>
    </row>
    <row r="36323" spans="1:141" s="116" customFormat="1">
      <c r="A36323" s="136"/>
      <c r="CM36323" s="111"/>
      <c r="CQ36323" s="111"/>
      <c r="EF36323"/>
      <c r="EG36323"/>
      <c r="EH36323"/>
      <c r="EI36323"/>
      <c r="EJ36323"/>
      <c r="EK36323"/>
    </row>
    <row r="36324" spans="1:141" s="116" customFormat="1">
      <c r="A36324" s="136"/>
      <c r="CM36324" s="111"/>
      <c r="CQ36324" s="111"/>
      <c r="EF36324"/>
      <c r="EG36324"/>
      <c r="EH36324"/>
      <c r="EI36324"/>
      <c r="EJ36324"/>
      <c r="EK36324"/>
    </row>
    <row r="36325" spans="1:141" s="116" customFormat="1">
      <c r="A36325" s="136"/>
      <c r="CM36325" s="111"/>
      <c r="CQ36325" s="111"/>
      <c r="EF36325"/>
      <c r="EG36325"/>
      <c r="EH36325"/>
      <c r="EI36325"/>
      <c r="EJ36325"/>
      <c r="EK36325"/>
    </row>
    <row r="36326" spans="1:141" s="116" customFormat="1">
      <c r="A36326" s="136"/>
      <c r="CM36326" s="111"/>
      <c r="CQ36326" s="111"/>
      <c r="EF36326"/>
      <c r="EG36326"/>
      <c r="EH36326"/>
      <c r="EI36326"/>
      <c r="EJ36326"/>
      <c r="EK36326"/>
    </row>
    <row r="36327" spans="1:141" s="116" customFormat="1">
      <c r="A36327" s="136"/>
      <c r="CM36327" s="111"/>
      <c r="CQ36327" s="111"/>
      <c r="EF36327"/>
      <c r="EG36327"/>
      <c r="EH36327"/>
      <c r="EI36327"/>
      <c r="EJ36327"/>
      <c r="EK36327"/>
    </row>
    <row r="36328" spans="1:141" s="116" customFormat="1">
      <c r="A36328" s="136"/>
      <c r="CM36328" s="111"/>
      <c r="CQ36328" s="111"/>
      <c r="EF36328"/>
      <c r="EG36328"/>
      <c r="EH36328"/>
      <c r="EI36328"/>
      <c r="EJ36328"/>
      <c r="EK36328"/>
    </row>
    <row r="36329" spans="1:141" s="116" customFormat="1">
      <c r="A36329" s="136"/>
      <c r="CM36329" s="111"/>
      <c r="CQ36329" s="111"/>
      <c r="EF36329"/>
      <c r="EG36329"/>
      <c r="EH36329"/>
      <c r="EI36329"/>
      <c r="EJ36329"/>
      <c r="EK36329"/>
    </row>
    <row r="36330" spans="1:141" s="116" customFormat="1">
      <c r="A36330" s="136"/>
      <c r="CM36330" s="111"/>
      <c r="CQ36330" s="111"/>
      <c r="EF36330"/>
      <c r="EG36330"/>
      <c r="EH36330"/>
      <c r="EI36330"/>
      <c r="EJ36330"/>
      <c r="EK36330"/>
    </row>
    <row r="36331" spans="1:141" s="116" customFormat="1">
      <c r="A36331" s="136"/>
      <c r="CM36331" s="111"/>
      <c r="CQ36331" s="111"/>
      <c r="EF36331"/>
      <c r="EG36331"/>
      <c r="EH36331"/>
      <c r="EI36331"/>
      <c r="EJ36331"/>
      <c r="EK36331"/>
    </row>
    <row r="36332" spans="1:141" s="116" customFormat="1">
      <c r="A36332" s="136"/>
      <c r="CM36332" s="111"/>
      <c r="CQ36332" s="111"/>
      <c r="EF36332"/>
      <c r="EG36332"/>
      <c r="EH36332"/>
      <c r="EI36332"/>
      <c r="EJ36332"/>
      <c r="EK36332"/>
    </row>
    <row r="36333" spans="1:141" s="116" customFormat="1">
      <c r="A36333" s="136"/>
      <c r="CM36333" s="111"/>
      <c r="CQ36333" s="111"/>
      <c r="EF36333"/>
      <c r="EG36333"/>
      <c r="EH36333"/>
      <c r="EI36333"/>
      <c r="EJ36333"/>
      <c r="EK36333"/>
    </row>
    <row r="36334" spans="1:141" s="116" customFormat="1">
      <c r="A36334" s="136"/>
      <c r="CM36334" s="111"/>
      <c r="CQ36334" s="111"/>
      <c r="EF36334"/>
      <c r="EG36334"/>
      <c r="EH36334"/>
      <c r="EI36334"/>
      <c r="EJ36334"/>
      <c r="EK36334"/>
    </row>
    <row r="36335" spans="1:141" s="116" customFormat="1">
      <c r="A36335" s="136"/>
      <c r="CM36335" s="111"/>
      <c r="CQ36335" s="111"/>
      <c r="EF36335"/>
      <c r="EG36335"/>
      <c r="EH36335"/>
      <c r="EI36335"/>
      <c r="EJ36335"/>
      <c r="EK36335"/>
    </row>
    <row r="36336" spans="1:141" s="116" customFormat="1">
      <c r="A36336" s="136"/>
      <c r="CM36336" s="111"/>
      <c r="CQ36336" s="111"/>
      <c r="EF36336"/>
      <c r="EG36336"/>
      <c r="EH36336"/>
      <c r="EI36336"/>
      <c r="EJ36336"/>
      <c r="EK36336"/>
    </row>
    <row r="36337" spans="1:141" s="116" customFormat="1">
      <c r="A36337" s="136"/>
      <c r="CM36337" s="111"/>
      <c r="CQ36337" s="111"/>
      <c r="EF36337"/>
      <c r="EG36337"/>
      <c r="EH36337"/>
      <c r="EI36337"/>
      <c r="EJ36337"/>
      <c r="EK36337"/>
    </row>
    <row r="36338" spans="1:141" s="116" customFormat="1">
      <c r="A36338" s="136"/>
      <c r="CM36338" s="111"/>
      <c r="CQ36338" s="111"/>
      <c r="EF36338"/>
      <c r="EG36338"/>
      <c r="EH36338"/>
      <c r="EI36338"/>
      <c r="EJ36338"/>
      <c r="EK36338"/>
    </row>
    <row r="36339" spans="1:141" s="116" customFormat="1">
      <c r="A36339" s="136"/>
      <c r="CM36339" s="111"/>
      <c r="CQ36339" s="111"/>
      <c r="EF36339"/>
      <c r="EG36339"/>
      <c r="EH36339"/>
      <c r="EI36339"/>
      <c r="EJ36339"/>
      <c r="EK36339"/>
    </row>
    <row r="36340" spans="1:141" s="116" customFormat="1">
      <c r="A36340" s="136"/>
      <c r="CM36340" s="111"/>
      <c r="CQ36340" s="111"/>
      <c r="EF36340"/>
      <c r="EG36340"/>
      <c r="EH36340"/>
      <c r="EI36340"/>
      <c r="EJ36340"/>
      <c r="EK36340"/>
    </row>
    <row r="36341" spans="1:141" s="116" customFormat="1">
      <c r="A36341" s="136"/>
      <c r="CM36341" s="111"/>
      <c r="CQ36341" s="111"/>
      <c r="EF36341"/>
      <c r="EG36341"/>
      <c r="EH36341"/>
      <c r="EI36341"/>
      <c r="EJ36341"/>
      <c r="EK36341"/>
    </row>
    <row r="36342" spans="1:141" s="116" customFormat="1">
      <c r="A36342" s="136"/>
      <c r="CM36342" s="111"/>
      <c r="CQ36342" s="111"/>
      <c r="EF36342"/>
      <c r="EG36342"/>
      <c r="EH36342"/>
      <c r="EI36342"/>
      <c r="EJ36342"/>
      <c r="EK36342"/>
    </row>
    <row r="36343" spans="1:141" s="116" customFormat="1">
      <c r="A36343" s="136"/>
      <c r="CM36343" s="111"/>
      <c r="CQ36343" s="111"/>
      <c r="EF36343"/>
      <c r="EG36343"/>
      <c r="EH36343"/>
      <c r="EI36343"/>
      <c r="EJ36343"/>
      <c r="EK36343"/>
    </row>
    <row r="36344" spans="1:141" s="116" customFormat="1">
      <c r="A36344" s="136"/>
      <c r="CM36344" s="111"/>
      <c r="CQ36344" s="111"/>
      <c r="EF36344"/>
      <c r="EG36344"/>
      <c r="EH36344"/>
      <c r="EI36344"/>
      <c r="EJ36344"/>
      <c r="EK36344"/>
    </row>
    <row r="36345" spans="1:141" s="116" customFormat="1">
      <c r="A36345" s="136"/>
      <c r="CM36345" s="111"/>
      <c r="CQ36345" s="111"/>
      <c r="EF36345"/>
      <c r="EG36345"/>
      <c r="EH36345"/>
      <c r="EI36345"/>
      <c r="EJ36345"/>
      <c r="EK36345"/>
    </row>
    <row r="36346" spans="1:141" s="116" customFormat="1">
      <c r="A36346" s="136"/>
      <c r="CM36346" s="111"/>
      <c r="CQ36346" s="111"/>
      <c r="EF36346"/>
      <c r="EG36346"/>
      <c r="EH36346"/>
      <c r="EI36346"/>
      <c r="EJ36346"/>
      <c r="EK36346"/>
    </row>
    <row r="36347" spans="1:141" s="116" customFormat="1">
      <c r="A36347" s="136"/>
      <c r="CM36347" s="111"/>
      <c r="CQ36347" s="111"/>
      <c r="EF36347"/>
      <c r="EG36347"/>
      <c r="EH36347"/>
      <c r="EI36347"/>
      <c r="EJ36347"/>
      <c r="EK36347"/>
    </row>
    <row r="36348" spans="1:141" s="116" customFormat="1">
      <c r="A36348" s="136"/>
      <c r="CM36348" s="111"/>
      <c r="CQ36348" s="111"/>
      <c r="EF36348"/>
      <c r="EG36348"/>
      <c r="EH36348"/>
      <c r="EI36348"/>
      <c r="EJ36348"/>
      <c r="EK36348"/>
    </row>
    <row r="36349" spans="1:141" s="116" customFormat="1">
      <c r="A36349" s="136"/>
      <c r="CM36349" s="111"/>
      <c r="CQ36349" s="111"/>
      <c r="EF36349"/>
      <c r="EG36349"/>
      <c r="EH36349"/>
      <c r="EI36349"/>
      <c r="EJ36349"/>
      <c r="EK36349"/>
    </row>
    <row r="36350" spans="1:141" s="116" customFormat="1">
      <c r="A36350" s="136"/>
      <c r="CM36350" s="111"/>
      <c r="CQ36350" s="111"/>
      <c r="EF36350"/>
      <c r="EG36350"/>
      <c r="EH36350"/>
      <c r="EI36350"/>
      <c r="EJ36350"/>
      <c r="EK36350"/>
    </row>
    <row r="36351" spans="1:141" s="116" customFormat="1">
      <c r="A36351" s="136"/>
      <c r="CM36351" s="111"/>
      <c r="CQ36351" s="111"/>
      <c r="EF36351"/>
      <c r="EG36351"/>
      <c r="EH36351"/>
      <c r="EI36351"/>
      <c r="EJ36351"/>
      <c r="EK36351"/>
    </row>
    <row r="36352" spans="1:141" s="116" customFormat="1">
      <c r="A36352" s="136"/>
      <c r="CM36352" s="111"/>
      <c r="CQ36352" s="111"/>
      <c r="EF36352"/>
      <c r="EG36352"/>
      <c r="EH36352"/>
      <c r="EI36352"/>
      <c r="EJ36352"/>
      <c r="EK36352"/>
    </row>
    <row r="36353" spans="1:141" s="116" customFormat="1">
      <c r="A36353" s="136"/>
      <c r="CM36353" s="111"/>
      <c r="CQ36353" s="111"/>
      <c r="EF36353"/>
      <c r="EG36353"/>
      <c r="EH36353"/>
      <c r="EI36353"/>
      <c r="EJ36353"/>
      <c r="EK36353"/>
    </row>
    <row r="36354" spans="1:141" s="116" customFormat="1">
      <c r="A36354" s="136"/>
      <c r="CM36354" s="111"/>
      <c r="CQ36354" s="111"/>
      <c r="EF36354"/>
      <c r="EG36354"/>
      <c r="EH36354"/>
      <c r="EI36354"/>
      <c r="EJ36354"/>
      <c r="EK36354"/>
    </row>
    <row r="36355" spans="1:141" s="116" customFormat="1">
      <c r="A36355" s="136"/>
      <c r="CM36355" s="111"/>
      <c r="CQ36355" s="111"/>
      <c r="EF36355"/>
      <c r="EG36355"/>
      <c r="EH36355"/>
      <c r="EI36355"/>
      <c r="EJ36355"/>
      <c r="EK36355"/>
    </row>
    <row r="36356" spans="1:141" s="116" customFormat="1">
      <c r="A36356" s="136"/>
      <c r="CM36356" s="111"/>
      <c r="CQ36356" s="111"/>
      <c r="EF36356"/>
      <c r="EG36356"/>
      <c r="EH36356"/>
      <c r="EI36356"/>
      <c r="EJ36356"/>
      <c r="EK36356"/>
    </row>
    <row r="36357" spans="1:141" s="116" customFormat="1">
      <c r="A36357" s="136"/>
      <c r="CM36357" s="111"/>
      <c r="CQ36357" s="111"/>
      <c r="EF36357"/>
      <c r="EG36357"/>
      <c r="EH36357"/>
      <c r="EI36357"/>
      <c r="EJ36357"/>
      <c r="EK36357"/>
    </row>
    <row r="36358" spans="1:141" s="116" customFormat="1">
      <c r="A36358" s="136"/>
      <c r="CM36358" s="111"/>
      <c r="CQ36358" s="111"/>
      <c r="EF36358"/>
      <c r="EG36358"/>
      <c r="EH36358"/>
      <c r="EI36358"/>
      <c r="EJ36358"/>
      <c r="EK36358"/>
    </row>
    <row r="36359" spans="1:141" s="116" customFormat="1">
      <c r="A36359" s="136"/>
      <c r="CM36359" s="111"/>
      <c r="CQ36359" s="111"/>
      <c r="EF36359"/>
      <c r="EG36359"/>
      <c r="EH36359"/>
      <c r="EI36359"/>
      <c r="EJ36359"/>
      <c r="EK36359"/>
    </row>
    <row r="36360" spans="1:141" s="116" customFormat="1">
      <c r="A36360" s="136"/>
      <c r="CM36360" s="111"/>
      <c r="CQ36360" s="111"/>
      <c r="EF36360"/>
      <c r="EG36360"/>
      <c r="EH36360"/>
      <c r="EI36360"/>
      <c r="EJ36360"/>
      <c r="EK36360"/>
    </row>
    <row r="36361" spans="1:141" s="116" customFormat="1">
      <c r="A36361" s="136"/>
      <c r="CM36361" s="111"/>
      <c r="CQ36361" s="111"/>
      <c r="EF36361"/>
      <c r="EG36361"/>
      <c r="EH36361"/>
      <c r="EI36361"/>
      <c r="EJ36361"/>
      <c r="EK36361"/>
    </row>
    <row r="36362" spans="1:141" s="116" customFormat="1">
      <c r="A36362" s="136"/>
      <c r="CM36362" s="111"/>
      <c r="CQ36362" s="111"/>
      <c r="EF36362"/>
      <c r="EG36362"/>
      <c r="EH36362"/>
      <c r="EI36362"/>
      <c r="EJ36362"/>
      <c r="EK36362"/>
    </row>
    <row r="36363" spans="1:141" s="116" customFormat="1">
      <c r="A36363" s="136"/>
      <c r="CM36363" s="111"/>
      <c r="CQ36363" s="111"/>
      <c r="EF36363"/>
      <c r="EG36363"/>
      <c r="EH36363"/>
      <c r="EI36363"/>
      <c r="EJ36363"/>
      <c r="EK36363"/>
    </row>
    <row r="36364" spans="1:141" s="116" customFormat="1">
      <c r="A36364" s="136"/>
      <c r="CM36364" s="111"/>
      <c r="CQ36364" s="111"/>
      <c r="EF36364"/>
      <c r="EG36364"/>
      <c r="EH36364"/>
      <c r="EI36364"/>
      <c r="EJ36364"/>
      <c r="EK36364"/>
    </row>
    <row r="36365" spans="1:141" s="116" customFormat="1">
      <c r="A36365" s="136"/>
      <c r="CM36365" s="111"/>
      <c r="CQ36365" s="111"/>
      <c r="EF36365"/>
      <c r="EG36365"/>
      <c r="EH36365"/>
      <c r="EI36365"/>
      <c r="EJ36365"/>
      <c r="EK36365"/>
    </row>
    <row r="36366" spans="1:141" s="116" customFormat="1">
      <c r="A36366" s="136"/>
      <c r="CM36366" s="111"/>
      <c r="CQ36366" s="111"/>
      <c r="EF36366"/>
      <c r="EG36366"/>
      <c r="EH36366"/>
      <c r="EI36366"/>
      <c r="EJ36366"/>
      <c r="EK36366"/>
    </row>
    <row r="36367" spans="1:141" s="116" customFormat="1">
      <c r="A36367" s="136"/>
      <c r="CM36367" s="111"/>
      <c r="CQ36367" s="111"/>
      <c r="EF36367"/>
      <c r="EG36367"/>
      <c r="EH36367"/>
      <c r="EI36367"/>
      <c r="EJ36367"/>
      <c r="EK36367"/>
    </row>
    <row r="36368" spans="1:141" s="116" customFormat="1">
      <c r="A36368" s="136"/>
      <c r="CM36368" s="111"/>
      <c r="CQ36368" s="111"/>
      <c r="EF36368"/>
      <c r="EG36368"/>
      <c r="EH36368"/>
      <c r="EI36368"/>
      <c r="EJ36368"/>
      <c r="EK36368"/>
    </row>
    <row r="36369" spans="1:141" s="116" customFormat="1">
      <c r="A36369" s="136"/>
      <c r="CM36369" s="111"/>
      <c r="CQ36369" s="111"/>
      <c r="EF36369"/>
      <c r="EG36369"/>
      <c r="EH36369"/>
      <c r="EI36369"/>
      <c r="EJ36369"/>
      <c r="EK36369"/>
    </row>
    <row r="36370" spans="1:141" s="116" customFormat="1">
      <c r="A36370" s="136"/>
      <c r="CM36370" s="111"/>
      <c r="CQ36370" s="111"/>
      <c r="EF36370"/>
      <c r="EG36370"/>
      <c r="EH36370"/>
      <c r="EI36370"/>
      <c r="EJ36370"/>
      <c r="EK36370"/>
    </row>
    <row r="36371" spans="1:141" s="116" customFormat="1">
      <c r="A36371" s="136"/>
      <c r="CM36371" s="111"/>
      <c r="CQ36371" s="111"/>
      <c r="EF36371"/>
      <c r="EG36371"/>
      <c r="EH36371"/>
      <c r="EI36371"/>
      <c r="EJ36371"/>
      <c r="EK36371"/>
    </row>
    <row r="36372" spans="1:141" s="116" customFormat="1">
      <c r="A36372" s="136"/>
      <c r="CM36372" s="111"/>
      <c r="CQ36372" s="111"/>
      <c r="EF36372"/>
      <c r="EG36372"/>
      <c r="EH36372"/>
      <c r="EI36372"/>
      <c r="EJ36372"/>
      <c r="EK36372"/>
    </row>
    <row r="36373" spans="1:141" s="116" customFormat="1">
      <c r="A36373" s="136"/>
      <c r="CM36373" s="111"/>
      <c r="CQ36373" s="111"/>
      <c r="EF36373"/>
      <c r="EG36373"/>
      <c r="EH36373"/>
      <c r="EI36373"/>
      <c r="EJ36373"/>
      <c r="EK36373"/>
    </row>
    <row r="36374" spans="1:141" s="116" customFormat="1">
      <c r="A36374" s="136"/>
      <c r="CM36374" s="111"/>
      <c r="CQ36374" s="111"/>
      <c r="EF36374"/>
      <c r="EG36374"/>
      <c r="EH36374"/>
      <c r="EI36374"/>
      <c r="EJ36374"/>
      <c r="EK36374"/>
    </row>
    <row r="36375" spans="1:141" s="116" customFormat="1">
      <c r="A36375" s="136"/>
      <c r="CM36375" s="111"/>
      <c r="CQ36375" s="111"/>
      <c r="EF36375"/>
      <c r="EG36375"/>
      <c r="EH36375"/>
      <c r="EI36375"/>
      <c r="EJ36375"/>
      <c r="EK36375"/>
    </row>
    <row r="36376" spans="1:141" s="116" customFormat="1">
      <c r="A36376" s="136"/>
      <c r="CM36376" s="111"/>
      <c r="CQ36376" s="111"/>
      <c r="EF36376"/>
      <c r="EG36376"/>
      <c r="EH36376"/>
      <c r="EI36376"/>
      <c r="EJ36376"/>
      <c r="EK36376"/>
    </row>
    <row r="36377" spans="1:141" s="116" customFormat="1">
      <c r="A36377" s="136"/>
      <c r="CM36377" s="111"/>
      <c r="CQ36377" s="111"/>
      <c r="EF36377"/>
      <c r="EG36377"/>
      <c r="EH36377"/>
      <c r="EI36377"/>
      <c r="EJ36377"/>
      <c r="EK36377"/>
    </row>
    <row r="36378" spans="1:141" s="116" customFormat="1">
      <c r="A36378" s="136"/>
      <c r="CM36378" s="111"/>
      <c r="CQ36378" s="111"/>
      <c r="EF36378"/>
      <c r="EG36378"/>
      <c r="EH36378"/>
      <c r="EI36378"/>
      <c r="EJ36378"/>
      <c r="EK36378"/>
    </row>
    <row r="36379" spans="1:141" s="116" customFormat="1">
      <c r="A36379" s="136"/>
      <c r="CM36379" s="111"/>
      <c r="CQ36379" s="111"/>
      <c r="EF36379"/>
      <c r="EG36379"/>
      <c r="EH36379"/>
      <c r="EI36379"/>
      <c r="EJ36379"/>
      <c r="EK36379"/>
    </row>
    <row r="36380" spans="1:141" s="116" customFormat="1">
      <c r="A36380" s="136"/>
      <c r="CM36380" s="111"/>
      <c r="CQ36380" s="111"/>
      <c r="EF36380"/>
      <c r="EG36380"/>
      <c r="EH36380"/>
      <c r="EI36380"/>
      <c r="EJ36380"/>
      <c r="EK36380"/>
    </row>
    <row r="36381" spans="1:141" s="116" customFormat="1">
      <c r="A36381" s="136"/>
      <c r="CM36381" s="111"/>
      <c r="CQ36381" s="111"/>
      <c r="EF36381"/>
      <c r="EG36381"/>
      <c r="EH36381"/>
      <c r="EI36381"/>
      <c r="EJ36381"/>
      <c r="EK36381"/>
    </row>
    <row r="36382" spans="1:141" s="116" customFormat="1">
      <c r="A36382" s="136"/>
      <c r="CM36382" s="111"/>
      <c r="CQ36382" s="111"/>
      <c r="EF36382"/>
      <c r="EG36382"/>
      <c r="EH36382"/>
      <c r="EI36382"/>
      <c r="EJ36382"/>
      <c r="EK36382"/>
    </row>
    <row r="36383" spans="1:141" s="116" customFormat="1">
      <c r="A36383" s="136"/>
      <c r="CM36383" s="111"/>
      <c r="CQ36383" s="111"/>
      <c r="EF36383"/>
      <c r="EG36383"/>
      <c r="EH36383"/>
      <c r="EI36383"/>
      <c r="EJ36383"/>
      <c r="EK36383"/>
    </row>
    <row r="36384" spans="1:141" s="116" customFormat="1">
      <c r="A36384" s="136"/>
      <c r="CM36384" s="111"/>
      <c r="CQ36384" s="111"/>
      <c r="EF36384"/>
      <c r="EG36384"/>
      <c r="EH36384"/>
      <c r="EI36384"/>
      <c r="EJ36384"/>
      <c r="EK36384"/>
    </row>
    <row r="36385" spans="1:141" s="116" customFormat="1">
      <c r="A36385" s="136"/>
      <c r="CM36385" s="111"/>
      <c r="CQ36385" s="111"/>
      <c r="EF36385"/>
      <c r="EG36385"/>
      <c r="EH36385"/>
      <c r="EI36385"/>
      <c r="EJ36385"/>
      <c r="EK36385"/>
    </row>
    <row r="36386" spans="1:141" s="116" customFormat="1">
      <c r="A36386" s="136"/>
      <c r="CM36386" s="111"/>
      <c r="CQ36386" s="111"/>
      <c r="EF36386"/>
      <c r="EG36386"/>
      <c r="EH36386"/>
      <c r="EI36386"/>
      <c r="EJ36386"/>
      <c r="EK36386"/>
    </row>
    <row r="36387" spans="1:141" s="116" customFormat="1">
      <c r="A36387" s="136"/>
      <c r="CM36387" s="111"/>
      <c r="CQ36387" s="111"/>
      <c r="EF36387"/>
      <c r="EG36387"/>
      <c r="EH36387"/>
      <c r="EI36387"/>
      <c r="EJ36387"/>
      <c r="EK36387"/>
    </row>
    <row r="36388" spans="1:141" s="116" customFormat="1">
      <c r="A36388" s="136"/>
      <c r="CM36388" s="111"/>
      <c r="CQ36388" s="111"/>
      <c r="EF36388"/>
      <c r="EG36388"/>
      <c r="EH36388"/>
      <c r="EI36388"/>
      <c r="EJ36388"/>
      <c r="EK36388"/>
    </row>
    <row r="36389" spans="1:141" s="116" customFormat="1">
      <c r="A36389" s="136"/>
      <c r="CM36389" s="111"/>
      <c r="CQ36389" s="111"/>
      <c r="EF36389"/>
      <c r="EG36389"/>
      <c r="EH36389"/>
      <c r="EI36389"/>
      <c r="EJ36389"/>
      <c r="EK36389"/>
    </row>
    <row r="36390" spans="1:141" s="116" customFormat="1">
      <c r="A36390" s="136"/>
      <c r="CM36390" s="111"/>
      <c r="CQ36390" s="111"/>
      <c r="EF36390"/>
      <c r="EG36390"/>
      <c r="EH36390"/>
      <c r="EI36390"/>
      <c r="EJ36390"/>
      <c r="EK36390"/>
    </row>
    <row r="36391" spans="1:141" s="116" customFormat="1">
      <c r="A36391" s="136"/>
      <c r="CM36391" s="111"/>
      <c r="CQ36391" s="111"/>
      <c r="EF36391"/>
      <c r="EG36391"/>
      <c r="EH36391"/>
      <c r="EI36391"/>
      <c r="EJ36391"/>
      <c r="EK36391"/>
    </row>
    <row r="36392" spans="1:141" s="116" customFormat="1">
      <c r="A36392" s="136"/>
      <c r="CM36392" s="111"/>
      <c r="CQ36392" s="111"/>
      <c r="EF36392"/>
      <c r="EG36392"/>
      <c r="EH36392"/>
      <c r="EI36392"/>
      <c r="EJ36392"/>
      <c r="EK36392"/>
    </row>
    <row r="36393" spans="1:141" s="116" customFormat="1">
      <c r="A36393" s="136"/>
      <c r="CM36393" s="111"/>
      <c r="CQ36393" s="111"/>
      <c r="EF36393"/>
      <c r="EG36393"/>
      <c r="EH36393"/>
      <c r="EI36393"/>
      <c r="EJ36393"/>
      <c r="EK36393"/>
    </row>
    <row r="36394" spans="1:141" s="116" customFormat="1">
      <c r="A36394" s="136"/>
      <c r="CM36394" s="111"/>
      <c r="CQ36394" s="111"/>
      <c r="EF36394"/>
      <c r="EG36394"/>
      <c r="EH36394"/>
      <c r="EI36394"/>
      <c r="EJ36394"/>
      <c r="EK36394"/>
    </row>
    <row r="36395" spans="1:141" s="116" customFormat="1">
      <c r="A36395" s="136"/>
      <c r="CM36395" s="111"/>
      <c r="CQ36395" s="111"/>
      <c r="EF36395"/>
      <c r="EG36395"/>
      <c r="EH36395"/>
      <c r="EI36395"/>
      <c r="EJ36395"/>
      <c r="EK36395"/>
    </row>
    <row r="36396" spans="1:141" s="116" customFormat="1">
      <c r="A36396" s="136"/>
      <c r="CM36396" s="111"/>
      <c r="CQ36396" s="111"/>
      <c r="EF36396"/>
      <c r="EG36396"/>
      <c r="EH36396"/>
      <c r="EI36396"/>
      <c r="EJ36396"/>
      <c r="EK36396"/>
    </row>
    <row r="36397" spans="1:141" s="116" customFormat="1">
      <c r="A36397" s="136"/>
      <c r="CM36397" s="111"/>
      <c r="CQ36397" s="111"/>
      <c r="EF36397"/>
      <c r="EG36397"/>
      <c r="EH36397"/>
      <c r="EI36397"/>
      <c r="EJ36397"/>
      <c r="EK36397"/>
    </row>
    <row r="36398" spans="1:141" s="116" customFormat="1">
      <c r="A36398" s="136"/>
      <c r="CM36398" s="111"/>
      <c r="CQ36398" s="111"/>
      <c r="EF36398"/>
      <c r="EG36398"/>
      <c r="EH36398"/>
      <c r="EI36398"/>
      <c r="EJ36398"/>
      <c r="EK36398"/>
    </row>
    <row r="36399" spans="1:141" s="116" customFormat="1">
      <c r="A36399" s="136"/>
      <c r="CM36399" s="111"/>
      <c r="CQ36399" s="111"/>
      <c r="EF36399"/>
      <c r="EG36399"/>
      <c r="EH36399"/>
      <c r="EI36399"/>
      <c r="EJ36399"/>
      <c r="EK36399"/>
    </row>
    <row r="36400" spans="1:141" s="116" customFormat="1">
      <c r="A36400" s="136"/>
      <c r="CM36400" s="111"/>
      <c r="CQ36400" s="111"/>
      <c r="EF36400"/>
      <c r="EG36400"/>
      <c r="EH36400"/>
      <c r="EI36400"/>
      <c r="EJ36400"/>
      <c r="EK36400"/>
    </row>
    <row r="36401" spans="1:141" s="116" customFormat="1">
      <c r="A36401" s="136"/>
      <c r="CM36401" s="111"/>
      <c r="CQ36401" s="111"/>
      <c r="EF36401"/>
      <c r="EG36401"/>
      <c r="EH36401"/>
      <c r="EI36401"/>
      <c r="EJ36401"/>
      <c r="EK36401"/>
    </row>
    <row r="36402" spans="1:141" s="116" customFormat="1">
      <c r="A36402" s="136"/>
      <c r="CM36402" s="111"/>
      <c r="CQ36402" s="111"/>
      <c r="EF36402"/>
      <c r="EG36402"/>
      <c r="EH36402"/>
      <c r="EI36402"/>
      <c r="EJ36402"/>
      <c r="EK36402"/>
    </row>
    <row r="36403" spans="1:141" s="116" customFormat="1">
      <c r="A36403" s="136"/>
      <c r="CM36403" s="111"/>
      <c r="CQ36403" s="111"/>
      <c r="EF36403"/>
      <c r="EG36403"/>
      <c r="EH36403"/>
      <c r="EI36403"/>
      <c r="EJ36403"/>
      <c r="EK36403"/>
    </row>
    <row r="36404" spans="1:141" s="116" customFormat="1">
      <c r="A36404" s="136"/>
      <c r="CM36404" s="111"/>
      <c r="CQ36404" s="111"/>
      <c r="EF36404"/>
      <c r="EG36404"/>
      <c r="EH36404"/>
      <c r="EI36404"/>
      <c r="EJ36404"/>
      <c r="EK36404"/>
    </row>
    <row r="36405" spans="1:141" s="116" customFormat="1">
      <c r="A36405" s="136"/>
      <c r="CM36405" s="111"/>
      <c r="CQ36405" s="111"/>
      <c r="EF36405"/>
      <c r="EG36405"/>
      <c r="EH36405"/>
      <c r="EI36405"/>
      <c r="EJ36405"/>
      <c r="EK36405"/>
    </row>
    <row r="36406" spans="1:141" s="116" customFormat="1">
      <c r="A36406" s="136"/>
      <c r="CM36406" s="111"/>
      <c r="CQ36406" s="111"/>
      <c r="EF36406"/>
      <c r="EG36406"/>
      <c r="EH36406"/>
      <c r="EI36406"/>
      <c r="EJ36406"/>
      <c r="EK36406"/>
    </row>
    <row r="36407" spans="1:141" s="116" customFormat="1">
      <c r="A36407" s="136"/>
      <c r="CM36407" s="111"/>
      <c r="CQ36407" s="111"/>
      <c r="EF36407"/>
      <c r="EG36407"/>
      <c r="EH36407"/>
      <c r="EI36407"/>
      <c r="EJ36407"/>
      <c r="EK36407"/>
    </row>
    <row r="36408" spans="1:141" s="116" customFormat="1">
      <c r="A36408" s="136"/>
      <c r="CM36408" s="111"/>
      <c r="CQ36408" s="111"/>
      <c r="EF36408"/>
      <c r="EG36408"/>
      <c r="EH36408"/>
      <c r="EI36408"/>
      <c r="EJ36408"/>
      <c r="EK36408"/>
    </row>
    <row r="36409" spans="1:141" s="116" customFormat="1">
      <c r="A36409" s="136"/>
      <c r="CM36409" s="111"/>
      <c r="CQ36409" s="111"/>
      <c r="EF36409"/>
      <c r="EG36409"/>
      <c r="EH36409"/>
      <c r="EI36409"/>
      <c r="EJ36409"/>
      <c r="EK36409"/>
    </row>
    <row r="36410" spans="1:141" s="116" customFormat="1">
      <c r="A36410" s="136"/>
      <c r="CM36410" s="111"/>
      <c r="CQ36410" s="111"/>
      <c r="EF36410"/>
      <c r="EG36410"/>
      <c r="EH36410"/>
      <c r="EI36410"/>
      <c r="EJ36410"/>
      <c r="EK36410"/>
    </row>
    <row r="36411" spans="1:141" s="116" customFormat="1">
      <c r="A36411" s="136"/>
      <c r="CM36411" s="111"/>
      <c r="CQ36411" s="111"/>
      <c r="EF36411"/>
      <c r="EG36411"/>
      <c r="EH36411"/>
      <c r="EI36411"/>
      <c r="EJ36411"/>
      <c r="EK36411"/>
    </row>
    <row r="36412" spans="1:141" s="116" customFormat="1">
      <c r="A36412" s="136"/>
      <c r="CM36412" s="111"/>
      <c r="CQ36412" s="111"/>
      <c r="EF36412"/>
      <c r="EG36412"/>
      <c r="EH36412"/>
      <c r="EI36412"/>
      <c r="EJ36412"/>
      <c r="EK36412"/>
    </row>
    <row r="36413" spans="1:141" s="116" customFormat="1">
      <c r="A36413" s="136"/>
      <c r="CM36413" s="111"/>
      <c r="CQ36413" s="111"/>
      <c r="EF36413"/>
      <c r="EG36413"/>
      <c r="EH36413"/>
      <c r="EI36413"/>
      <c r="EJ36413"/>
      <c r="EK36413"/>
    </row>
    <row r="36414" spans="1:141" s="116" customFormat="1">
      <c r="A36414" s="136"/>
      <c r="CM36414" s="111"/>
      <c r="CQ36414" s="111"/>
      <c r="EF36414"/>
      <c r="EG36414"/>
      <c r="EH36414"/>
      <c r="EI36414"/>
      <c r="EJ36414"/>
      <c r="EK36414"/>
    </row>
    <row r="36415" spans="1:141" s="116" customFormat="1">
      <c r="A36415" s="136"/>
      <c r="CM36415" s="111"/>
      <c r="CQ36415" s="111"/>
      <c r="EF36415"/>
      <c r="EG36415"/>
      <c r="EH36415"/>
      <c r="EI36415"/>
      <c r="EJ36415"/>
      <c r="EK36415"/>
    </row>
    <row r="36416" spans="1:141" s="116" customFormat="1">
      <c r="A36416" s="136"/>
      <c r="CM36416" s="111"/>
      <c r="CQ36416" s="111"/>
      <c r="EF36416"/>
      <c r="EG36416"/>
      <c r="EH36416"/>
      <c r="EI36416"/>
      <c r="EJ36416"/>
      <c r="EK36416"/>
    </row>
    <row r="36417" spans="1:141" s="116" customFormat="1">
      <c r="A36417" s="136"/>
      <c r="CM36417" s="111"/>
      <c r="CQ36417" s="111"/>
      <c r="EF36417"/>
      <c r="EG36417"/>
      <c r="EH36417"/>
      <c r="EI36417"/>
      <c r="EJ36417"/>
      <c r="EK36417"/>
    </row>
    <row r="36418" spans="1:141" s="116" customFormat="1">
      <c r="A36418" s="136"/>
      <c r="CM36418" s="111"/>
      <c r="CQ36418" s="111"/>
      <c r="EF36418"/>
      <c r="EG36418"/>
      <c r="EH36418"/>
      <c r="EI36418"/>
      <c r="EJ36418"/>
      <c r="EK36418"/>
    </row>
    <row r="36419" spans="1:141" s="116" customFormat="1">
      <c r="A36419" s="136"/>
      <c r="CM36419" s="111"/>
      <c r="CQ36419" s="111"/>
      <c r="EF36419"/>
      <c r="EG36419"/>
      <c r="EH36419"/>
      <c r="EI36419"/>
      <c r="EJ36419"/>
      <c r="EK36419"/>
    </row>
    <row r="36420" spans="1:141" s="116" customFormat="1">
      <c r="A36420" s="136"/>
      <c r="CM36420" s="111"/>
      <c r="CQ36420" s="111"/>
      <c r="EF36420"/>
      <c r="EG36420"/>
      <c r="EH36420"/>
      <c r="EI36420"/>
      <c r="EJ36420"/>
      <c r="EK36420"/>
    </row>
    <row r="36421" spans="1:141" s="116" customFormat="1">
      <c r="A36421" s="136"/>
      <c r="CM36421" s="111"/>
      <c r="CQ36421" s="111"/>
      <c r="EF36421"/>
      <c r="EG36421"/>
      <c r="EH36421"/>
      <c r="EI36421"/>
      <c r="EJ36421"/>
      <c r="EK36421"/>
    </row>
    <row r="36422" spans="1:141" s="116" customFormat="1">
      <c r="A36422" s="136"/>
      <c r="CM36422" s="111"/>
      <c r="CQ36422" s="111"/>
      <c r="EF36422"/>
      <c r="EG36422"/>
      <c r="EH36422"/>
      <c r="EI36422"/>
      <c r="EJ36422"/>
      <c r="EK36422"/>
    </row>
    <row r="36423" spans="1:141" s="116" customFormat="1">
      <c r="A36423" s="136"/>
      <c r="CM36423" s="111"/>
      <c r="CQ36423" s="111"/>
      <c r="EF36423"/>
      <c r="EG36423"/>
      <c r="EH36423"/>
      <c r="EI36423"/>
      <c r="EJ36423"/>
      <c r="EK36423"/>
    </row>
    <row r="36424" spans="1:141" s="116" customFormat="1">
      <c r="A36424" s="136"/>
      <c r="CM36424" s="111"/>
      <c r="CQ36424" s="111"/>
      <c r="EF36424"/>
      <c r="EG36424"/>
      <c r="EH36424"/>
      <c r="EI36424"/>
      <c r="EJ36424"/>
      <c r="EK36424"/>
    </row>
    <row r="36425" spans="1:141" s="116" customFormat="1">
      <c r="A36425" s="136"/>
      <c r="CM36425" s="111"/>
      <c r="CQ36425" s="111"/>
      <c r="EF36425"/>
      <c r="EG36425"/>
      <c r="EH36425"/>
      <c r="EI36425"/>
      <c r="EJ36425"/>
      <c r="EK36425"/>
    </row>
    <row r="36426" spans="1:141" s="116" customFormat="1">
      <c r="A36426" s="136"/>
      <c r="CM36426" s="111"/>
      <c r="CQ36426" s="111"/>
      <c r="EF36426"/>
      <c r="EG36426"/>
      <c r="EH36426"/>
      <c r="EI36426"/>
      <c r="EJ36426"/>
      <c r="EK36426"/>
    </row>
    <row r="36427" spans="1:141" s="116" customFormat="1">
      <c r="A36427" s="136"/>
      <c r="CM36427" s="111"/>
      <c r="CQ36427" s="111"/>
      <c r="EF36427"/>
      <c r="EG36427"/>
      <c r="EH36427"/>
      <c r="EI36427"/>
      <c r="EJ36427"/>
      <c r="EK36427"/>
    </row>
    <row r="36428" spans="1:141" s="116" customFormat="1">
      <c r="A36428" s="136"/>
      <c r="CM36428" s="111"/>
      <c r="CQ36428" s="111"/>
      <c r="EF36428"/>
      <c r="EG36428"/>
      <c r="EH36428"/>
      <c r="EI36428"/>
      <c r="EJ36428"/>
      <c r="EK36428"/>
    </row>
    <row r="36429" spans="1:141" s="116" customFormat="1">
      <c r="A36429" s="136"/>
      <c r="CM36429" s="111"/>
      <c r="CQ36429" s="111"/>
      <c r="EF36429"/>
      <c r="EG36429"/>
      <c r="EH36429"/>
      <c r="EI36429"/>
      <c r="EJ36429"/>
      <c r="EK36429"/>
    </row>
    <row r="36430" spans="1:141" s="116" customFormat="1">
      <c r="A36430" s="136"/>
      <c r="CM36430" s="111"/>
      <c r="CQ36430" s="111"/>
      <c r="EF36430"/>
      <c r="EG36430"/>
      <c r="EH36430"/>
      <c r="EI36430"/>
      <c r="EJ36430"/>
      <c r="EK36430"/>
    </row>
    <row r="36431" spans="1:141" s="116" customFormat="1">
      <c r="A36431" s="136"/>
      <c r="CM36431" s="111"/>
      <c r="CQ36431" s="111"/>
      <c r="EF36431"/>
      <c r="EG36431"/>
      <c r="EH36431"/>
      <c r="EI36431"/>
      <c r="EJ36431"/>
      <c r="EK36431"/>
    </row>
    <row r="36432" spans="1:141" s="116" customFormat="1">
      <c r="A36432" s="136"/>
      <c r="CM36432" s="111"/>
      <c r="CQ36432" s="111"/>
      <c r="EF36432"/>
      <c r="EG36432"/>
      <c r="EH36432"/>
      <c r="EI36432"/>
      <c r="EJ36432"/>
      <c r="EK36432"/>
    </row>
    <row r="36433" spans="1:141" s="116" customFormat="1">
      <c r="A36433" s="136"/>
      <c r="CM36433" s="111"/>
      <c r="CQ36433" s="111"/>
      <c r="EF36433"/>
      <c r="EG36433"/>
      <c r="EH36433"/>
      <c r="EI36433"/>
      <c r="EJ36433"/>
      <c r="EK36433"/>
    </row>
    <row r="36434" spans="1:141" s="116" customFormat="1">
      <c r="A36434" s="136"/>
      <c r="CM36434" s="111"/>
      <c r="CQ36434" s="111"/>
      <c r="EF36434"/>
      <c r="EG36434"/>
      <c r="EH36434"/>
      <c r="EI36434"/>
      <c r="EJ36434"/>
      <c r="EK36434"/>
    </row>
    <row r="36435" spans="1:141" s="116" customFormat="1">
      <c r="A36435" s="136"/>
      <c r="CM36435" s="111"/>
      <c r="CQ36435" s="111"/>
      <c r="EF36435"/>
      <c r="EG36435"/>
      <c r="EH36435"/>
      <c r="EI36435"/>
      <c r="EJ36435"/>
      <c r="EK36435"/>
    </row>
    <row r="36436" spans="1:141" s="116" customFormat="1">
      <c r="A36436" s="136"/>
      <c r="CM36436" s="111"/>
      <c r="CQ36436" s="111"/>
      <c r="EF36436"/>
      <c r="EG36436"/>
      <c r="EH36436"/>
      <c r="EI36436"/>
      <c r="EJ36436"/>
      <c r="EK36436"/>
    </row>
    <row r="36437" spans="1:141" s="116" customFormat="1">
      <c r="A36437" s="136"/>
      <c r="CM36437" s="111"/>
      <c r="CQ36437" s="111"/>
      <c r="EF36437"/>
      <c r="EG36437"/>
      <c r="EH36437"/>
      <c r="EI36437"/>
      <c r="EJ36437"/>
      <c r="EK36437"/>
    </row>
    <row r="36438" spans="1:141" s="116" customFormat="1">
      <c r="A36438" s="136"/>
      <c r="CM36438" s="111"/>
      <c r="CQ36438" s="111"/>
      <c r="EF36438"/>
      <c r="EG36438"/>
      <c r="EH36438"/>
      <c r="EI36438"/>
      <c r="EJ36438"/>
      <c r="EK36438"/>
    </row>
    <row r="36439" spans="1:141" s="116" customFormat="1">
      <c r="A36439" s="136"/>
      <c r="CM36439" s="111"/>
      <c r="CQ36439" s="111"/>
      <c r="EF36439"/>
      <c r="EG36439"/>
      <c r="EH36439"/>
      <c r="EI36439"/>
      <c r="EJ36439"/>
      <c r="EK36439"/>
    </row>
    <row r="36440" spans="1:141" s="116" customFormat="1">
      <c r="A36440" s="136"/>
      <c r="CM36440" s="111"/>
      <c r="CQ36440" s="111"/>
      <c r="EF36440"/>
      <c r="EG36440"/>
      <c r="EH36440"/>
      <c r="EI36440"/>
      <c r="EJ36440"/>
      <c r="EK36440"/>
    </row>
    <row r="36441" spans="1:141" s="116" customFormat="1">
      <c r="A36441" s="136"/>
      <c r="CM36441" s="111"/>
      <c r="CQ36441" s="111"/>
      <c r="EF36441"/>
      <c r="EG36441"/>
      <c r="EH36441"/>
      <c r="EI36441"/>
      <c r="EJ36441"/>
      <c r="EK36441"/>
    </row>
    <row r="36442" spans="1:141" s="116" customFormat="1">
      <c r="A36442" s="136"/>
      <c r="CM36442" s="111"/>
      <c r="CQ36442" s="111"/>
      <c r="EF36442"/>
      <c r="EG36442"/>
      <c r="EH36442"/>
      <c r="EI36442"/>
      <c r="EJ36442"/>
      <c r="EK36442"/>
    </row>
    <row r="36443" spans="1:141" s="116" customFormat="1">
      <c r="A36443" s="136"/>
      <c r="CM36443" s="111"/>
      <c r="CQ36443" s="111"/>
      <c r="EF36443"/>
      <c r="EG36443"/>
      <c r="EH36443"/>
      <c r="EI36443"/>
      <c r="EJ36443"/>
      <c r="EK36443"/>
    </row>
    <row r="36444" spans="1:141" s="116" customFormat="1">
      <c r="A36444" s="136"/>
      <c r="CM36444" s="111"/>
      <c r="CQ36444" s="111"/>
      <c r="EF36444"/>
      <c r="EG36444"/>
      <c r="EH36444"/>
      <c r="EI36444"/>
      <c r="EJ36444"/>
      <c r="EK36444"/>
    </row>
    <row r="36445" spans="1:141" s="116" customFormat="1">
      <c r="A36445" s="136"/>
      <c r="CM36445" s="111"/>
      <c r="CQ36445" s="111"/>
      <c r="EF36445"/>
      <c r="EG36445"/>
      <c r="EH36445"/>
      <c r="EI36445"/>
      <c r="EJ36445"/>
      <c r="EK36445"/>
    </row>
    <row r="36446" spans="1:141" s="116" customFormat="1">
      <c r="A36446" s="136"/>
      <c r="CM36446" s="111"/>
      <c r="CQ36446" s="111"/>
      <c r="EF36446"/>
      <c r="EG36446"/>
      <c r="EH36446"/>
      <c r="EI36446"/>
      <c r="EJ36446"/>
      <c r="EK36446"/>
    </row>
    <row r="36447" spans="1:141" s="116" customFormat="1">
      <c r="A36447" s="136"/>
      <c r="CM36447" s="111"/>
      <c r="CQ36447" s="111"/>
      <c r="EF36447"/>
      <c r="EG36447"/>
      <c r="EH36447"/>
      <c r="EI36447"/>
      <c r="EJ36447"/>
      <c r="EK36447"/>
    </row>
    <row r="36448" spans="1:141" s="116" customFormat="1">
      <c r="A36448" s="136"/>
      <c r="CM36448" s="111"/>
      <c r="CQ36448" s="111"/>
      <c r="EF36448"/>
      <c r="EG36448"/>
      <c r="EH36448"/>
      <c r="EI36448"/>
      <c r="EJ36448"/>
      <c r="EK36448"/>
    </row>
    <row r="36449" spans="1:141" s="116" customFormat="1">
      <c r="A36449" s="136"/>
      <c r="CM36449" s="111"/>
      <c r="CQ36449" s="111"/>
      <c r="EF36449"/>
      <c r="EG36449"/>
      <c r="EH36449"/>
      <c r="EI36449"/>
      <c r="EJ36449"/>
      <c r="EK36449"/>
    </row>
    <row r="36450" spans="1:141" s="116" customFormat="1">
      <c r="A36450" s="136"/>
      <c r="CM36450" s="111"/>
      <c r="CQ36450" s="111"/>
      <c r="EF36450"/>
      <c r="EG36450"/>
      <c r="EH36450"/>
      <c r="EI36450"/>
      <c r="EJ36450"/>
      <c r="EK36450"/>
    </row>
    <row r="36451" spans="1:141" s="116" customFormat="1">
      <c r="A36451" s="136"/>
      <c r="CM36451" s="111"/>
      <c r="CQ36451" s="111"/>
      <c r="EF36451"/>
      <c r="EG36451"/>
      <c r="EH36451"/>
      <c r="EI36451"/>
      <c r="EJ36451"/>
      <c r="EK36451"/>
    </row>
    <row r="36452" spans="1:141" s="116" customFormat="1">
      <c r="A36452" s="136"/>
      <c r="CM36452" s="111"/>
      <c r="CQ36452" s="111"/>
      <c r="EF36452"/>
      <c r="EG36452"/>
      <c r="EH36452"/>
      <c r="EI36452"/>
      <c r="EJ36452"/>
      <c r="EK36452"/>
    </row>
    <row r="36453" spans="1:141" s="116" customFormat="1">
      <c r="A36453" s="136"/>
      <c r="CM36453" s="111"/>
      <c r="CQ36453" s="111"/>
      <c r="EF36453"/>
      <c r="EG36453"/>
      <c r="EH36453"/>
      <c r="EI36453"/>
      <c r="EJ36453"/>
      <c r="EK36453"/>
    </row>
    <row r="36454" spans="1:141" s="116" customFormat="1">
      <c r="A36454" s="136"/>
      <c r="CM36454" s="111"/>
      <c r="CQ36454" s="111"/>
      <c r="EF36454"/>
      <c r="EG36454"/>
      <c r="EH36454"/>
      <c r="EI36454"/>
      <c r="EJ36454"/>
      <c r="EK36454"/>
    </row>
    <row r="36455" spans="1:141" s="116" customFormat="1">
      <c r="A36455" s="136"/>
      <c r="CM36455" s="111"/>
      <c r="CQ36455" s="111"/>
      <c r="EF36455"/>
      <c r="EG36455"/>
      <c r="EH36455"/>
      <c r="EI36455"/>
      <c r="EJ36455"/>
      <c r="EK36455"/>
    </row>
    <row r="36456" spans="1:141" s="116" customFormat="1">
      <c r="A36456" s="136"/>
      <c r="CM36456" s="111"/>
      <c r="CQ36456" s="111"/>
      <c r="EF36456"/>
      <c r="EG36456"/>
      <c r="EH36456"/>
      <c r="EI36456"/>
      <c r="EJ36456"/>
      <c r="EK36456"/>
    </row>
    <row r="36457" spans="1:141" s="116" customFormat="1">
      <c r="A36457" s="136"/>
      <c r="CM36457" s="111"/>
      <c r="CQ36457" s="111"/>
      <c r="EF36457"/>
      <c r="EG36457"/>
      <c r="EH36457"/>
      <c r="EI36457"/>
      <c r="EJ36457"/>
      <c r="EK36457"/>
    </row>
    <row r="36458" spans="1:141" s="116" customFormat="1">
      <c r="A36458" s="136"/>
      <c r="CM36458" s="111"/>
      <c r="CQ36458" s="111"/>
      <c r="EF36458"/>
      <c r="EG36458"/>
      <c r="EH36458"/>
      <c r="EI36458"/>
      <c r="EJ36458"/>
      <c r="EK36458"/>
    </row>
    <row r="36459" spans="1:141" s="116" customFormat="1">
      <c r="A36459" s="136"/>
      <c r="CM36459" s="111"/>
      <c r="CQ36459" s="111"/>
      <c r="EF36459"/>
      <c r="EG36459"/>
      <c r="EH36459"/>
      <c r="EI36459"/>
      <c r="EJ36459"/>
      <c r="EK36459"/>
    </row>
    <row r="36460" spans="1:141" s="116" customFormat="1">
      <c r="A36460" s="136"/>
      <c r="CM36460" s="111"/>
      <c r="CQ36460" s="111"/>
      <c r="EF36460"/>
      <c r="EG36460"/>
      <c r="EH36460"/>
      <c r="EI36460"/>
      <c r="EJ36460"/>
      <c r="EK36460"/>
    </row>
    <row r="36461" spans="1:141" s="116" customFormat="1">
      <c r="A36461" s="136"/>
      <c r="CM36461" s="111"/>
      <c r="CQ36461" s="111"/>
      <c r="EF36461"/>
      <c r="EG36461"/>
      <c r="EH36461"/>
      <c r="EI36461"/>
      <c r="EJ36461"/>
      <c r="EK36461"/>
    </row>
    <row r="36462" spans="1:141" s="116" customFormat="1">
      <c r="A36462" s="136"/>
      <c r="CM36462" s="111"/>
      <c r="CQ36462" s="111"/>
      <c r="EF36462"/>
      <c r="EG36462"/>
      <c r="EH36462"/>
      <c r="EI36462"/>
      <c r="EJ36462"/>
      <c r="EK36462"/>
    </row>
    <row r="36463" spans="1:141" s="116" customFormat="1">
      <c r="A36463" s="136"/>
      <c r="CM36463" s="111"/>
      <c r="CQ36463" s="111"/>
      <c r="EF36463"/>
      <c r="EG36463"/>
      <c r="EH36463"/>
      <c r="EI36463"/>
      <c r="EJ36463"/>
      <c r="EK36463"/>
    </row>
    <row r="36464" spans="1:141" s="116" customFormat="1">
      <c r="A36464" s="136"/>
      <c r="CM36464" s="111"/>
      <c r="CQ36464" s="111"/>
      <c r="EF36464"/>
      <c r="EG36464"/>
      <c r="EH36464"/>
      <c r="EI36464"/>
      <c r="EJ36464"/>
      <c r="EK36464"/>
    </row>
    <row r="36465" spans="1:141" s="116" customFormat="1">
      <c r="A36465" s="136"/>
      <c r="CM36465" s="111"/>
      <c r="CQ36465" s="111"/>
      <c r="EF36465"/>
      <c r="EG36465"/>
      <c r="EH36465"/>
      <c r="EI36465"/>
      <c r="EJ36465"/>
      <c r="EK36465"/>
    </row>
    <row r="36466" spans="1:141" s="116" customFormat="1">
      <c r="A36466" s="136"/>
      <c r="CM36466" s="111"/>
      <c r="CQ36466" s="111"/>
      <c r="EF36466"/>
      <c r="EG36466"/>
      <c r="EH36466"/>
      <c r="EI36466"/>
      <c r="EJ36466"/>
      <c r="EK36466"/>
    </row>
    <row r="36467" spans="1:141" s="116" customFormat="1">
      <c r="A36467" s="136"/>
      <c r="CM36467" s="111"/>
      <c r="CQ36467" s="111"/>
      <c r="EF36467"/>
      <c r="EG36467"/>
      <c r="EH36467"/>
      <c r="EI36467"/>
      <c r="EJ36467"/>
      <c r="EK36467"/>
    </row>
    <row r="36468" spans="1:141" s="116" customFormat="1">
      <c r="A36468" s="136"/>
      <c r="CM36468" s="111"/>
      <c r="CQ36468" s="111"/>
      <c r="EF36468"/>
      <c r="EG36468"/>
      <c r="EH36468"/>
      <c r="EI36468"/>
      <c r="EJ36468"/>
      <c r="EK36468"/>
    </row>
    <row r="36469" spans="1:141" s="116" customFormat="1">
      <c r="A36469" s="136"/>
      <c r="CM36469" s="111"/>
      <c r="CQ36469" s="111"/>
      <c r="EF36469"/>
      <c r="EG36469"/>
      <c r="EH36469"/>
      <c r="EI36469"/>
      <c r="EJ36469"/>
      <c r="EK36469"/>
    </row>
    <row r="36470" spans="1:141" s="116" customFormat="1">
      <c r="A36470" s="136"/>
      <c r="CM36470" s="111"/>
      <c r="CQ36470" s="111"/>
      <c r="EF36470"/>
      <c r="EG36470"/>
      <c r="EH36470"/>
      <c r="EI36470"/>
      <c r="EJ36470"/>
      <c r="EK36470"/>
    </row>
    <row r="36471" spans="1:141" s="116" customFormat="1">
      <c r="A36471" s="136"/>
      <c r="CM36471" s="111"/>
      <c r="CQ36471" s="111"/>
      <c r="EF36471"/>
      <c r="EG36471"/>
      <c r="EH36471"/>
      <c r="EI36471"/>
      <c r="EJ36471"/>
      <c r="EK36471"/>
    </row>
    <row r="36472" spans="1:141" s="116" customFormat="1">
      <c r="A36472" s="136"/>
      <c r="CM36472" s="111"/>
      <c r="CQ36472" s="111"/>
      <c r="EF36472"/>
      <c r="EG36472"/>
      <c r="EH36472"/>
      <c r="EI36472"/>
      <c r="EJ36472"/>
      <c r="EK36472"/>
    </row>
    <row r="36473" spans="1:141" s="116" customFormat="1">
      <c r="A36473" s="136"/>
      <c r="CM36473" s="111"/>
      <c r="CQ36473" s="111"/>
      <c r="EF36473"/>
      <c r="EG36473"/>
      <c r="EH36473"/>
      <c r="EI36473"/>
      <c r="EJ36473"/>
      <c r="EK36473"/>
    </row>
    <row r="36474" spans="1:141" s="116" customFormat="1">
      <c r="A36474" s="136"/>
      <c r="CM36474" s="111"/>
      <c r="CQ36474" s="111"/>
      <c r="EF36474"/>
      <c r="EG36474"/>
      <c r="EH36474"/>
      <c r="EI36474"/>
      <c r="EJ36474"/>
      <c r="EK36474"/>
    </row>
    <row r="36475" spans="1:141" s="116" customFormat="1">
      <c r="A36475" s="136"/>
      <c r="CM36475" s="111"/>
      <c r="CQ36475" s="111"/>
      <c r="EF36475"/>
      <c r="EG36475"/>
      <c r="EH36475"/>
      <c r="EI36475"/>
      <c r="EJ36475"/>
      <c r="EK36475"/>
    </row>
    <row r="36476" spans="1:141" s="116" customFormat="1">
      <c r="A36476" s="136"/>
      <c r="CM36476" s="111"/>
      <c r="CQ36476" s="111"/>
      <c r="EF36476"/>
      <c r="EG36476"/>
      <c r="EH36476"/>
      <c r="EI36476"/>
      <c r="EJ36476"/>
      <c r="EK36476"/>
    </row>
    <row r="36477" spans="1:141" s="116" customFormat="1">
      <c r="A36477" s="136"/>
      <c r="CM36477" s="111"/>
      <c r="CQ36477" s="111"/>
      <c r="EF36477"/>
      <c r="EG36477"/>
      <c r="EH36477"/>
      <c r="EI36477"/>
      <c r="EJ36477"/>
      <c r="EK36477"/>
    </row>
    <row r="36478" spans="1:141" s="116" customFormat="1">
      <c r="A36478" s="136"/>
      <c r="CM36478" s="111"/>
      <c r="CQ36478" s="111"/>
      <c r="EF36478"/>
      <c r="EG36478"/>
      <c r="EH36478"/>
      <c r="EI36478"/>
      <c r="EJ36478"/>
      <c r="EK36478"/>
    </row>
    <row r="36479" spans="1:141" s="116" customFormat="1">
      <c r="A36479" s="136"/>
      <c r="CM36479" s="111"/>
      <c r="CQ36479" s="111"/>
      <c r="EF36479"/>
      <c r="EG36479"/>
      <c r="EH36479"/>
      <c r="EI36479"/>
      <c r="EJ36479"/>
      <c r="EK36479"/>
    </row>
    <row r="36480" spans="1:141" s="116" customFormat="1">
      <c r="A36480" s="136"/>
      <c r="CM36480" s="111"/>
      <c r="CQ36480" s="111"/>
      <c r="EF36480"/>
      <c r="EG36480"/>
      <c r="EH36480"/>
      <c r="EI36480"/>
      <c r="EJ36480"/>
      <c r="EK36480"/>
    </row>
    <row r="36481" spans="1:141" s="116" customFormat="1">
      <c r="A36481" s="136"/>
      <c r="CM36481" s="111"/>
      <c r="CQ36481" s="111"/>
      <c r="EF36481"/>
      <c r="EG36481"/>
      <c r="EH36481"/>
      <c r="EI36481"/>
      <c r="EJ36481"/>
      <c r="EK36481"/>
    </row>
    <row r="36482" spans="1:141" s="116" customFormat="1">
      <c r="A36482" s="136"/>
      <c r="CM36482" s="111"/>
      <c r="CQ36482" s="111"/>
      <c r="EF36482"/>
      <c r="EG36482"/>
      <c r="EH36482"/>
      <c r="EI36482"/>
      <c r="EJ36482"/>
      <c r="EK36482"/>
    </row>
    <row r="36483" spans="1:141" s="116" customFormat="1">
      <c r="A36483" s="136"/>
      <c r="CM36483" s="111"/>
      <c r="CQ36483" s="111"/>
      <c r="EF36483"/>
      <c r="EG36483"/>
      <c r="EH36483"/>
      <c r="EI36483"/>
      <c r="EJ36483"/>
      <c r="EK36483"/>
    </row>
    <row r="36484" spans="1:141" s="116" customFormat="1">
      <c r="A36484" s="136"/>
      <c r="CM36484" s="111"/>
      <c r="CQ36484" s="111"/>
      <c r="EF36484"/>
      <c r="EG36484"/>
      <c r="EH36484"/>
      <c r="EI36484"/>
      <c r="EJ36484"/>
      <c r="EK36484"/>
    </row>
    <row r="36485" spans="1:141" s="116" customFormat="1">
      <c r="A36485" s="136"/>
      <c r="CM36485" s="111"/>
      <c r="CQ36485" s="111"/>
      <c r="EF36485"/>
      <c r="EG36485"/>
      <c r="EH36485"/>
      <c r="EI36485"/>
      <c r="EJ36485"/>
      <c r="EK36485"/>
    </row>
    <row r="36486" spans="1:141" s="116" customFormat="1">
      <c r="A36486" s="136"/>
      <c r="CM36486" s="111"/>
      <c r="CQ36486" s="111"/>
      <c r="EF36486"/>
      <c r="EG36486"/>
      <c r="EH36486"/>
      <c r="EI36486"/>
      <c r="EJ36486"/>
      <c r="EK36486"/>
    </row>
    <row r="36487" spans="1:141" s="116" customFormat="1">
      <c r="A36487" s="136"/>
      <c r="CM36487" s="111"/>
      <c r="CQ36487" s="111"/>
      <c r="EF36487"/>
      <c r="EG36487"/>
      <c r="EH36487"/>
      <c r="EI36487"/>
      <c r="EJ36487"/>
      <c r="EK36487"/>
    </row>
    <row r="36488" spans="1:141" s="116" customFormat="1">
      <c r="A36488" s="136"/>
      <c r="CM36488" s="111"/>
      <c r="CQ36488" s="111"/>
      <c r="EF36488"/>
      <c r="EG36488"/>
      <c r="EH36488"/>
      <c r="EI36488"/>
      <c r="EJ36488"/>
      <c r="EK36488"/>
    </row>
    <row r="36489" spans="1:141" s="116" customFormat="1">
      <c r="A36489" s="136"/>
      <c r="CM36489" s="111"/>
      <c r="CQ36489" s="111"/>
      <c r="EF36489"/>
      <c r="EG36489"/>
      <c r="EH36489"/>
      <c r="EI36489"/>
      <c r="EJ36489"/>
      <c r="EK36489"/>
    </row>
    <row r="36490" spans="1:141" s="116" customFormat="1">
      <c r="A36490" s="136"/>
      <c r="CM36490" s="111"/>
      <c r="CQ36490" s="111"/>
      <c r="EF36490"/>
      <c r="EG36490"/>
      <c r="EH36490"/>
      <c r="EI36490"/>
      <c r="EJ36490"/>
      <c r="EK36490"/>
    </row>
    <row r="36491" spans="1:141" s="116" customFormat="1">
      <c r="A36491" s="136"/>
      <c r="CM36491" s="111"/>
      <c r="CQ36491" s="111"/>
      <c r="EF36491"/>
      <c r="EG36491"/>
      <c r="EH36491"/>
      <c r="EI36491"/>
      <c r="EJ36491"/>
      <c r="EK36491"/>
    </row>
    <row r="36492" spans="1:141" s="116" customFormat="1">
      <c r="A36492" s="136"/>
      <c r="CM36492" s="111"/>
      <c r="CQ36492" s="111"/>
      <c r="EF36492"/>
      <c r="EG36492"/>
      <c r="EH36492"/>
      <c r="EI36492"/>
      <c r="EJ36492"/>
      <c r="EK36492"/>
    </row>
    <row r="36493" spans="1:141" s="116" customFormat="1">
      <c r="A36493" s="136"/>
      <c r="CM36493" s="111"/>
      <c r="CQ36493" s="111"/>
      <c r="EF36493"/>
      <c r="EG36493"/>
      <c r="EH36493"/>
      <c r="EI36493"/>
      <c r="EJ36493"/>
      <c r="EK36493"/>
    </row>
    <row r="36494" spans="1:141" s="116" customFormat="1">
      <c r="A36494" s="136"/>
      <c r="CM36494" s="111"/>
      <c r="CQ36494" s="111"/>
      <c r="EF36494"/>
      <c r="EG36494"/>
      <c r="EH36494"/>
      <c r="EI36494"/>
      <c r="EJ36494"/>
      <c r="EK36494"/>
    </row>
    <row r="36495" spans="1:141" s="116" customFormat="1">
      <c r="A36495" s="136"/>
      <c r="CM36495" s="111"/>
      <c r="CQ36495" s="111"/>
      <c r="EF36495"/>
      <c r="EG36495"/>
      <c r="EH36495"/>
      <c r="EI36495"/>
      <c r="EJ36495"/>
      <c r="EK36495"/>
    </row>
    <row r="36496" spans="1:141" s="116" customFormat="1">
      <c r="A36496" s="136"/>
      <c r="CM36496" s="111"/>
      <c r="CQ36496" s="111"/>
      <c r="EF36496"/>
      <c r="EG36496"/>
      <c r="EH36496"/>
      <c r="EI36496"/>
      <c r="EJ36496"/>
      <c r="EK36496"/>
    </row>
    <row r="36497" spans="1:141" s="116" customFormat="1">
      <c r="A36497" s="136"/>
      <c r="CM36497" s="111"/>
      <c r="CQ36497" s="111"/>
      <c r="EF36497"/>
      <c r="EG36497"/>
      <c r="EH36497"/>
      <c r="EI36497"/>
      <c r="EJ36497"/>
      <c r="EK36497"/>
    </row>
    <row r="36498" spans="1:141" s="116" customFormat="1">
      <c r="A36498" s="136"/>
      <c r="CM36498" s="111"/>
      <c r="CQ36498" s="111"/>
      <c r="EF36498"/>
      <c r="EG36498"/>
      <c r="EH36498"/>
      <c r="EI36498"/>
      <c r="EJ36498"/>
      <c r="EK36498"/>
    </row>
    <row r="36499" spans="1:141" s="116" customFormat="1">
      <c r="A36499" s="136"/>
      <c r="CM36499" s="111"/>
      <c r="CQ36499" s="111"/>
      <c r="EF36499"/>
      <c r="EG36499"/>
      <c r="EH36499"/>
      <c r="EI36499"/>
      <c r="EJ36499"/>
      <c r="EK36499"/>
    </row>
    <row r="36500" spans="1:141" s="116" customFormat="1">
      <c r="A36500" s="136"/>
      <c r="CM36500" s="111"/>
      <c r="CQ36500" s="111"/>
      <c r="EF36500"/>
      <c r="EG36500"/>
      <c r="EH36500"/>
      <c r="EI36500"/>
      <c r="EJ36500"/>
      <c r="EK36500"/>
    </row>
    <row r="36501" spans="1:141" s="116" customFormat="1">
      <c r="A36501" s="136"/>
      <c r="CM36501" s="111"/>
      <c r="CQ36501" s="111"/>
      <c r="EF36501"/>
      <c r="EG36501"/>
      <c r="EH36501"/>
      <c r="EI36501"/>
      <c r="EJ36501"/>
      <c r="EK36501"/>
    </row>
    <row r="36502" spans="1:141" s="116" customFormat="1">
      <c r="A36502" s="136"/>
      <c r="CM36502" s="111"/>
      <c r="CQ36502" s="111"/>
      <c r="EF36502"/>
      <c r="EG36502"/>
      <c r="EH36502"/>
      <c r="EI36502"/>
      <c r="EJ36502"/>
      <c r="EK36502"/>
    </row>
    <row r="36503" spans="1:141" s="116" customFormat="1">
      <c r="A36503" s="136"/>
      <c r="CM36503" s="111"/>
      <c r="CQ36503" s="111"/>
      <c r="EF36503"/>
      <c r="EG36503"/>
      <c r="EH36503"/>
      <c r="EI36503"/>
      <c r="EJ36503"/>
      <c r="EK36503"/>
    </row>
    <row r="36504" spans="1:141" s="116" customFormat="1">
      <c r="A36504" s="136"/>
      <c r="CM36504" s="111"/>
      <c r="CQ36504" s="111"/>
      <c r="EF36504"/>
      <c r="EG36504"/>
      <c r="EH36504"/>
      <c r="EI36504"/>
      <c r="EJ36504"/>
      <c r="EK36504"/>
    </row>
    <row r="36505" spans="1:141" s="116" customFormat="1">
      <c r="A36505" s="136"/>
      <c r="CM36505" s="111"/>
      <c r="CQ36505" s="111"/>
      <c r="EF36505"/>
      <c r="EG36505"/>
      <c r="EH36505"/>
      <c r="EI36505"/>
      <c r="EJ36505"/>
      <c r="EK36505"/>
    </row>
    <row r="36506" spans="1:141" s="116" customFormat="1">
      <c r="A36506" s="136"/>
      <c r="CM36506" s="111"/>
      <c r="CQ36506" s="111"/>
      <c r="EF36506"/>
      <c r="EG36506"/>
      <c r="EH36506"/>
      <c r="EI36506"/>
      <c r="EJ36506"/>
      <c r="EK36506"/>
    </row>
    <row r="36507" spans="1:141" s="116" customFormat="1">
      <c r="A36507" s="136"/>
      <c r="CM36507" s="111"/>
      <c r="CQ36507" s="111"/>
      <c r="EF36507"/>
      <c r="EG36507"/>
      <c r="EH36507"/>
      <c r="EI36507"/>
      <c r="EJ36507"/>
      <c r="EK36507"/>
    </row>
    <row r="36508" spans="1:141" s="116" customFormat="1">
      <c r="A36508" s="136"/>
      <c r="CM36508" s="111"/>
      <c r="CQ36508" s="111"/>
      <c r="EF36508"/>
      <c r="EG36508"/>
      <c r="EH36508"/>
      <c r="EI36508"/>
      <c r="EJ36508"/>
      <c r="EK36508"/>
    </row>
    <row r="36509" spans="1:141" s="116" customFormat="1">
      <c r="A36509" s="136"/>
      <c r="CM36509" s="111"/>
      <c r="CQ36509" s="111"/>
      <c r="EF36509"/>
      <c r="EG36509"/>
      <c r="EH36509"/>
      <c r="EI36509"/>
      <c r="EJ36509"/>
      <c r="EK36509"/>
    </row>
    <row r="36510" spans="1:141" s="116" customFormat="1">
      <c r="A36510" s="136"/>
      <c r="CM36510" s="111"/>
      <c r="CQ36510" s="111"/>
      <c r="EF36510"/>
      <c r="EG36510"/>
      <c r="EH36510"/>
      <c r="EI36510"/>
      <c r="EJ36510"/>
      <c r="EK36510"/>
    </row>
    <row r="36511" spans="1:141" s="116" customFormat="1">
      <c r="A36511" s="136"/>
      <c r="CM36511" s="111"/>
      <c r="CQ36511" s="111"/>
      <c r="EF36511"/>
      <c r="EG36511"/>
      <c r="EH36511"/>
      <c r="EI36511"/>
      <c r="EJ36511"/>
      <c r="EK36511"/>
    </row>
    <row r="36512" spans="1:141" s="116" customFormat="1">
      <c r="A36512" s="136"/>
      <c r="CM36512" s="111"/>
      <c r="CQ36512" s="111"/>
      <c r="EF36512"/>
      <c r="EG36512"/>
      <c r="EH36512"/>
      <c r="EI36512"/>
      <c r="EJ36512"/>
      <c r="EK36512"/>
    </row>
    <row r="36513" spans="1:141" s="116" customFormat="1">
      <c r="A36513" s="136"/>
      <c r="CM36513" s="111"/>
      <c r="CQ36513" s="111"/>
      <c r="EF36513"/>
      <c r="EG36513"/>
      <c r="EH36513"/>
      <c r="EI36513"/>
      <c r="EJ36513"/>
      <c r="EK36513"/>
    </row>
    <row r="36514" spans="1:141" s="116" customFormat="1">
      <c r="A36514" s="136"/>
      <c r="CM36514" s="111"/>
      <c r="CQ36514" s="111"/>
      <c r="EF36514"/>
      <c r="EG36514"/>
      <c r="EH36514"/>
      <c r="EI36514"/>
      <c r="EJ36514"/>
      <c r="EK36514"/>
    </row>
    <row r="36515" spans="1:141" s="116" customFormat="1">
      <c r="A36515" s="136"/>
      <c r="CM36515" s="111"/>
      <c r="CQ36515" s="111"/>
      <c r="EF36515"/>
      <c r="EG36515"/>
      <c r="EH36515"/>
      <c r="EI36515"/>
      <c r="EJ36515"/>
      <c r="EK36515"/>
    </row>
    <row r="36516" spans="1:141" s="116" customFormat="1">
      <c r="A36516" s="136"/>
      <c r="CM36516" s="111"/>
      <c r="CQ36516" s="111"/>
      <c r="EF36516"/>
      <c r="EG36516"/>
      <c r="EH36516"/>
      <c r="EI36516"/>
      <c r="EJ36516"/>
      <c r="EK36516"/>
    </row>
    <row r="36517" spans="1:141" s="116" customFormat="1">
      <c r="A36517" s="136"/>
      <c r="CM36517" s="111"/>
      <c r="CQ36517" s="111"/>
      <c r="EF36517"/>
      <c r="EG36517"/>
      <c r="EH36517"/>
      <c r="EI36517"/>
      <c r="EJ36517"/>
      <c r="EK36517"/>
    </row>
    <row r="36518" spans="1:141" s="116" customFormat="1">
      <c r="A36518" s="136"/>
      <c r="CM36518" s="111"/>
      <c r="CQ36518" s="111"/>
      <c r="EF36518"/>
      <c r="EG36518"/>
      <c r="EH36518"/>
      <c r="EI36518"/>
      <c r="EJ36518"/>
      <c r="EK36518"/>
    </row>
    <row r="36519" spans="1:141" s="116" customFormat="1">
      <c r="A36519" s="136"/>
      <c r="CM36519" s="111"/>
      <c r="CQ36519" s="111"/>
      <c r="EF36519"/>
      <c r="EG36519"/>
      <c r="EH36519"/>
      <c r="EI36519"/>
      <c r="EJ36519"/>
      <c r="EK36519"/>
    </row>
    <row r="36520" spans="1:141" s="116" customFormat="1">
      <c r="A36520" s="136"/>
      <c r="CM36520" s="111"/>
      <c r="CQ36520" s="111"/>
      <c r="EF36520"/>
      <c r="EG36520"/>
      <c r="EH36520"/>
      <c r="EI36520"/>
      <c r="EJ36520"/>
      <c r="EK36520"/>
    </row>
    <row r="36521" spans="1:141" s="116" customFormat="1">
      <c r="A36521" s="136"/>
      <c r="CM36521" s="111"/>
      <c r="CQ36521" s="111"/>
      <c r="EF36521"/>
      <c r="EG36521"/>
      <c r="EH36521"/>
      <c r="EI36521"/>
      <c r="EJ36521"/>
      <c r="EK36521"/>
    </row>
    <row r="36522" spans="1:141" s="116" customFormat="1">
      <c r="A36522" s="136"/>
      <c r="CM36522" s="111"/>
      <c r="CQ36522" s="111"/>
      <c r="EF36522"/>
      <c r="EG36522"/>
      <c r="EH36522"/>
      <c r="EI36522"/>
      <c r="EJ36522"/>
      <c r="EK36522"/>
    </row>
    <row r="36523" spans="1:141" s="116" customFormat="1">
      <c r="A36523" s="136"/>
      <c r="CM36523" s="111"/>
      <c r="CQ36523" s="111"/>
      <c r="EF36523"/>
      <c r="EG36523"/>
      <c r="EH36523"/>
      <c r="EI36523"/>
      <c r="EJ36523"/>
      <c r="EK36523"/>
    </row>
    <row r="36524" spans="1:141" s="116" customFormat="1">
      <c r="A36524" s="136"/>
      <c r="CM36524" s="111"/>
      <c r="CQ36524" s="111"/>
      <c r="EF36524"/>
      <c r="EG36524"/>
      <c r="EH36524"/>
      <c r="EI36524"/>
      <c r="EJ36524"/>
      <c r="EK36524"/>
    </row>
    <row r="36525" spans="1:141" s="116" customFormat="1">
      <c r="A36525" s="136"/>
      <c r="CM36525" s="111"/>
      <c r="CQ36525" s="111"/>
      <c r="EF36525"/>
      <c r="EG36525"/>
      <c r="EH36525"/>
      <c r="EI36525"/>
      <c r="EJ36525"/>
      <c r="EK36525"/>
    </row>
    <row r="36526" spans="1:141" s="116" customFormat="1">
      <c r="A36526" s="136"/>
      <c r="CM36526" s="111"/>
      <c r="CQ36526" s="111"/>
      <c r="EF36526"/>
      <c r="EG36526"/>
      <c r="EH36526"/>
      <c r="EI36526"/>
      <c r="EJ36526"/>
      <c r="EK36526"/>
    </row>
    <row r="36527" spans="1:141" s="116" customFormat="1">
      <c r="A36527" s="136"/>
      <c r="CM36527" s="111"/>
      <c r="CQ36527" s="111"/>
      <c r="EF36527"/>
      <c r="EG36527"/>
      <c r="EH36527"/>
      <c r="EI36527"/>
      <c r="EJ36527"/>
      <c r="EK36527"/>
    </row>
    <row r="36528" spans="1:141" s="116" customFormat="1">
      <c r="A36528" s="136"/>
      <c r="CM36528" s="111"/>
      <c r="CQ36528" s="111"/>
      <c r="EF36528"/>
      <c r="EG36528"/>
      <c r="EH36528"/>
      <c r="EI36528"/>
      <c r="EJ36528"/>
      <c r="EK36528"/>
    </row>
    <row r="36529" spans="1:141" s="116" customFormat="1">
      <c r="A36529" s="136"/>
      <c r="CM36529" s="111"/>
      <c r="CQ36529" s="111"/>
      <c r="EF36529"/>
      <c r="EG36529"/>
      <c r="EH36529"/>
      <c r="EI36529"/>
      <c r="EJ36529"/>
      <c r="EK36529"/>
    </row>
    <row r="36530" spans="1:141" s="116" customFormat="1">
      <c r="A36530" s="136"/>
      <c r="CM36530" s="111"/>
      <c r="CQ36530" s="111"/>
      <c r="EF36530"/>
      <c r="EG36530"/>
      <c r="EH36530"/>
      <c r="EI36530"/>
      <c r="EJ36530"/>
      <c r="EK36530"/>
    </row>
    <row r="36531" spans="1:141" s="116" customFormat="1">
      <c r="A36531" s="136"/>
      <c r="CM36531" s="111"/>
      <c r="CQ36531" s="111"/>
      <c r="EF36531"/>
      <c r="EG36531"/>
      <c r="EH36531"/>
      <c r="EI36531"/>
      <c r="EJ36531"/>
      <c r="EK36531"/>
    </row>
    <row r="36532" spans="1:141" s="116" customFormat="1">
      <c r="A36532" s="136"/>
      <c r="CM36532" s="111"/>
      <c r="CQ36532" s="111"/>
      <c r="EF36532"/>
      <c r="EG36532"/>
      <c r="EH36532"/>
      <c r="EI36532"/>
      <c r="EJ36532"/>
      <c r="EK36532"/>
    </row>
    <row r="36533" spans="1:141" s="116" customFormat="1">
      <c r="A36533" s="136"/>
      <c r="CM36533" s="111"/>
      <c r="CQ36533" s="111"/>
      <c r="EF36533"/>
      <c r="EG36533"/>
      <c r="EH36533"/>
      <c r="EI36533"/>
      <c r="EJ36533"/>
      <c r="EK36533"/>
    </row>
    <row r="36534" spans="1:141" s="116" customFormat="1">
      <c r="A36534" s="136"/>
      <c r="CM36534" s="111"/>
      <c r="CQ36534" s="111"/>
      <c r="EF36534"/>
      <c r="EG36534"/>
      <c r="EH36534"/>
      <c r="EI36534"/>
      <c r="EJ36534"/>
      <c r="EK36534"/>
    </row>
    <row r="36535" spans="1:141" s="116" customFormat="1">
      <c r="A36535" s="136"/>
      <c r="CM36535" s="111"/>
      <c r="CQ36535" s="111"/>
      <c r="EF36535"/>
      <c r="EG36535"/>
      <c r="EH36535"/>
      <c r="EI36535"/>
      <c r="EJ36535"/>
      <c r="EK36535"/>
    </row>
    <row r="36536" spans="1:141" s="116" customFormat="1">
      <c r="A36536" s="136"/>
      <c r="CM36536" s="111"/>
      <c r="CQ36536" s="111"/>
      <c r="EF36536"/>
      <c r="EG36536"/>
      <c r="EH36536"/>
      <c r="EI36536"/>
      <c r="EJ36536"/>
      <c r="EK36536"/>
    </row>
    <row r="36537" spans="1:141" s="116" customFormat="1">
      <c r="A36537" s="136"/>
      <c r="CM36537" s="111"/>
      <c r="CQ36537" s="111"/>
      <c r="EF36537"/>
      <c r="EG36537"/>
      <c r="EH36537"/>
      <c r="EI36537"/>
      <c r="EJ36537"/>
      <c r="EK36537"/>
    </row>
    <row r="36538" spans="1:141" s="116" customFormat="1">
      <c r="A36538" s="136"/>
      <c r="CM36538" s="111"/>
      <c r="CQ36538" s="111"/>
      <c r="EF36538"/>
      <c r="EG36538"/>
      <c r="EH36538"/>
      <c r="EI36538"/>
      <c r="EJ36538"/>
      <c r="EK36538"/>
    </row>
    <row r="36539" spans="1:141" s="116" customFormat="1">
      <c r="A36539" s="136"/>
      <c r="CM36539" s="111"/>
      <c r="CQ36539" s="111"/>
      <c r="EF36539"/>
      <c r="EG36539"/>
      <c r="EH36539"/>
      <c r="EI36539"/>
      <c r="EJ36539"/>
      <c r="EK36539"/>
    </row>
    <row r="36540" spans="1:141" s="116" customFormat="1">
      <c r="A36540" s="136"/>
      <c r="CM36540" s="111"/>
      <c r="CQ36540" s="111"/>
      <c r="EF36540"/>
      <c r="EG36540"/>
      <c r="EH36540"/>
      <c r="EI36540"/>
      <c r="EJ36540"/>
      <c r="EK36540"/>
    </row>
    <row r="36541" spans="1:141" s="116" customFormat="1">
      <c r="A36541" s="136"/>
      <c r="CM36541" s="111"/>
      <c r="CQ36541" s="111"/>
      <c r="EF36541"/>
      <c r="EG36541"/>
      <c r="EH36541"/>
      <c r="EI36541"/>
      <c r="EJ36541"/>
      <c r="EK36541"/>
    </row>
    <row r="36542" spans="1:141" s="116" customFormat="1">
      <c r="A36542" s="136"/>
      <c r="CM36542" s="111"/>
      <c r="CQ36542" s="111"/>
      <c r="EF36542"/>
      <c r="EG36542"/>
      <c r="EH36542"/>
      <c r="EI36542"/>
      <c r="EJ36542"/>
      <c r="EK36542"/>
    </row>
    <row r="36543" spans="1:141" s="116" customFormat="1">
      <c r="A36543" s="136"/>
      <c r="CM36543" s="111"/>
      <c r="CQ36543" s="111"/>
      <c r="EF36543"/>
      <c r="EG36543"/>
      <c r="EH36543"/>
      <c r="EI36543"/>
      <c r="EJ36543"/>
      <c r="EK36543"/>
    </row>
    <row r="36544" spans="1:141" s="116" customFormat="1">
      <c r="A36544" s="136"/>
      <c r="CM36544" s="111"/>
      <c r="CQ36544" s="111"/>
      <c r="EF36544"/>
      <c r="EG36544"/>
      <c r="EH36544"/>
      <c r="EI36544"/>
      <c r="EJ36544"/>
      <c r="EK36544"/>
    </row>
    <row r="36545" spans="1:141" s="116" customFormat="1">
      <c r="A36545" s="136"/>
      <c r="CM36545" s="111"/>
      <c r="CQ36545" s="111"/>
      <c r="EF36545"/>
      <c r="EG36545"/>
      <c r="EH36545"/>
      <c r="EI36545"/>
      <c r="EJ36545"/>
      <c r="EK36545"/>
    </row>
    <row r="36546" spans="1:141" s="116" customFormat="1">
      <c r="A36546" s="136"/>
      <c r="CM36546" s="111"/>
      <c r="CQ36546" s="111"/>
      <c r="EF36546"/>
      <c r="EG36546"/>
      <c r="EH36546"/>
      <c r="EI36546"/>
      <c r="EJ36546"/>
      <c r="EK36546"/>
    </row>
    <row r="36547" spans="1:141" s="116" customFormat="1">
      <c r="A36547" s="136"/>
      <c r="CM36547" s="111"/>
      <c r="CQ36547" s="111"/>
      <c r="EF36547"/>
      <c r="EG36547"/>
      <c r="EH36547"/>
      <c r="EI36547"/>
      <c r="EJ36547"/>
      <c r="EK36547"/>
    </row>
    <row r="36548" spans="1:141" s="116" customFormat="1">
      <c r="A36548" s="136"/>
      <c r="CM36548" s="111"/>
      <c r="CQ36548" s="111"/>
      <c r="EF36548"/>
      <c r="EG36548"/>
      <c r="EH36548"/>
      <c r="EI36548"/>
      <c r="EJ36548"/>
      <c r="EK36548"/>
    </row>
    <row r="36549" spans="1:141" s="116" customFormat="1">
      <c r="A36549" s="136"/>
      <c r="CM36549" s="111"/>
      <c r="CQ36549" s="111"/>
      <c r="EF36549"/>
      <c r="EG36549"/>
      <c r="EH36549"/>
      <c r="EI36549"/>
      <c r="EJ36549"/>
      <c r="EK36549"/>
    </row>
    <row r="36550" spans="1:141" s="116" customFormat="1">
      <c r="A36550" s="136"/>
      <c r="CM36550" s="111"/>
      <c r="CQ36550" s="111"/>
      <c r="EF36550"/>
      <c r="EG36550"/>
      <c r="EH36550"/>
      <c r="EI36550"/>
      <c r="EJ36550"/>
      <c r="EK36550"/>
    </row>
    <row r="36551" spans="1:141" s="116" customFormat="1">
      <c r="A36551" s="136"/>
      <c r="CM36551" s="111"/>
      <c r="CQ36551" s="111"/>
      <c r="EF36551"/>
      <c r="EG36551"/>
      <c r="EH36551"/>
      <c r="EI36551"/>
      <c r="EJ36551"/>
      <c r="EK36551"/>
    </row>
    <row r="36552" spans="1:141" s="116" customFormat="1">
      <c r="A36552" s="136"/>
      <c r="CM36552" s="111"/>
      <c r="CQ36552" s="111"/>
      <c r="EF36552"/>
      <c r="EG36552"/>
      <c r="EH36552"/>
      <c r="EI36552"/>
      <c r="EJ36552"/>
      <c r="EK36552"/>
    </row>
    <row r="36553" spans="1:141" s="116" customFormat="1">
      <c r="A36553" s="136"/>
      <c r="CM36553" s="111"/>
      <c r="CQ36553" s="111"/>
      <c r="EF36553"/>
      <c r="EG36553"/>
      <c r="EH36553"/>
      <c r="EI36553"/>
      <c r="EJ36553"/>
      <c r="EK36553"/>
    </row>
    <row r="36554" spans="1:141" s="116" customFormat="1">
      <c r="A36554" s="136"/>
      <c r="CM36554" s="111"/>
      <c r="CQ36554" s="111"/>
      <c r="EF36554"/>
      <c r="EG36554"/>
      <c r="EH36554"/>
      <c r="EI36554"/>
      <c r="EJ36554"/>
      <c r="EK36554"/>
    </row>
    <row r="36555" spans="1:141" s="116" customFormat="1">
      <c r="A36555" s="136"/>
      <c r="CM36555" s="111"/>
      <c r="CQ36555" s="111"/>
      <c r="EF36555"/>
      <c r="EG36555"/>
      <c r="EH36555"/>
      <c r="EI36555"/>
      <c r="EJ36555"/>
      <c r="EK36555"/>
    </row>
    <row r="36556" spans="1:141" s="116" customFormat="1">
      <c r="A36556" s="136"/>
      <c r="CM36556" s="111"/>
      <c r="CQ36556" s="111"/>
      <c r="EF36556"/>
      <c r="EG36556"/>
      <c r="EH36556"/>
      <c r="EI36556"/>
      <c r="EJ36556"/>
      <c r="EK36556"/>
    </row>
    <row r="36557" spans="1:141" s="116" customFormat="1">
      <c r="A36557" s="136"/>
      <c r="CM36557" s="111"/>
      <c r="CQ36557" s="111"/>
      <c r="EF36557"/>
      <c r="EG36557"/>
      <c r="EH36557"/>
      <c r="EI36557"/>
      <c r="EJ36557"/>
      <c r="EK36557"/>
    </row>
    <row r="36558" spans="1:141" s="116" customFormat="1">
      <c r="A36558" s="136"/>
      <c r="CM36558" s="111"/>
      <c r="CQ36558" s="111"/>
      <c r="EF36558"/>
      <c r="EG36558"/>
      <c r="EH36558"/>
      <c r="EI36558"/>
      <c r="EJ36558"/>
      <c r="EK36558"/>
    </row>
    <row r="36559" spans="1:141" s="116" customFormat="1">
      <c r="A36559" s="136"/>
      <c r="CM36559" s="111"/>
      <c r="CQ36559" s="111"/>
      <c r="EF36559"/>
      <c r="EG36559"/>
      <c r="EH36559"/>
      <c r="EI36559"/>
      <c r="EJ36559"/>
      <c r="EK36559"/>
    </row>
    <row r="36560" spans="1:141" s="116" customFormat="1">
      <c r="A36560" s="136"/>
      <c r="CM36560" s="111"/>
      <c r="CQ36560" s="111"/>
      <c r="EF36560"/>
      <c r="EG36560"/>
      <c r="EH36560"/>
      <c r="EI36560"/>
      <c r="EJ36560"/>
      <c r="EK36560"/>
    </row>
    <row r="36561" spans="1:141" s="116" customFormat="1">
      <c r="A36561" s="136"/>
      <c r="CM36561" s="111"/>
      <c r="CQ36561" s="111"/>
      <c r="EF36561"/>
      <c r="EG36561"/>
      <c r="EH36561"/>
      <c r="EI36561"/>
      <c r="EJ36561"/>
      <c r="EK36561"/>
    </row>
    <row r="36562" spans="1:141" s="116" customFormat="1">
      <c r="A36562" s="136"/>
      <c r="CM36562" s="111"/>
      <c r="CQ36562" s="111"/>
      <c r="EF36562"/>
      <c r="EG36562"/>
      <c r="EH36562"/>
      <c r="EI36562"/>
      <c r="EJ36562"/>
      <c r="EK36562"/>
    </row>
    <row r="36563" spans="1:141" s="116" customFormat="1">
      <c r="A36563" s="136"/>
      <c r="CM36563" s="111"/>
      <c r="CQ36563" s="111"/>
      <c r="EF36563"/>
      <c r="EG36563"/>
      <c r="EH36563"/>
      <c r="EI36563"/>
      <c r="EJ36563"/>
      <c r="EK36563"/>
    </row>
    <row r="36564" spans="1:141" s="116" customFormat="1">
      <c r="A36564" s="136"/>
      <c r="CM36564" s="111"/>
      <c r="CQ36564" s="111"/>
      <c r="EF36564"/>
      <c r="EG36564"/>
      <c r="EH36564"/>
      <c r="EI36564"/>
      <c r="EJ36564"/>
      <c r="EK36564"/>
    </row>
    <row r="36565" spans="1:141" s="116" customFormat="1">
      <c r="A36565" s="136"/>
      <c r="CM36565" s="111"/>
      <c r="CQ36565" s="111"/>
      <c r="EF36565"/>
      <c r="EG36565"/>
      <c r="EH36565"/>
      <c r="EI36565"/>
      <c r="EJ36565"/>
      <c r="EK36565"/>
    </row>
    <row r="36566" spans="1:141" s="116" customFormat="1">
      <c r="A36566" s="136"/>
      <c r="CM36566" s="111"/>
      <c r="CQ36566" s="111"/>
      <c r="EF36566"/>
      <c r="EG36566"/>
      <c r="EH36566"/>
      <c r="EI36566"/>
      <c r="EJ36566"/>
      <c r="EK36566"/>
    </row>
    <row r="36567" spans="1:141" s="116" customFormat="1">
      <c r="A36567" s="136"/>
      <c r="CM36567" s="111"/>
      <c r="CQ36567" s="111"/>
      <c r="EF36567"/>
      <c r="EG36567"/>
      <c r="EH36567"/>
      <c r="EI36567"/>
      <c r="EJ36567"/>
      <c r="EK36567"/>
    </row>
    <row r="36568" spans="1:141" s="116" customFormat="1">
      <c r="A36568" s="136"/>
      <c r="CM36568" s="111"/>
      <c r="CQ36568" s="111"/>
      <c r="EF36568"/>
      <c r="EG36568"/>
      <c r="EH36568"/>
      <c r="EI36568"/>
      <c r="EJ36568"/>
      <c r="EK36568"/>
    </row>
    <row r="36569" spans="1:141" s="116" customFormat="1">
      <c r="A36569" s="136"/>
      <c r="CM36569" s="111"/>
      <c r="CQ36569" s="111"/>
      <c r="EF36569"/>
      <c r="EG36569"/>
      <c r="EH36569"/>
      <c r="EI36569"/>
      <c r="EJ36569"/>
      <c r="EK36569"/>
    </row>
    <row r="36570" spans="1:141" s="116" customFormat="1">
      <c r="A36570" s="136"/>
      <c r="CM36570" s="111"/>
      <c r="CQ36570" s="111"/>
      <c r="EF36570"/>
      <c r="EG36570"/>
      <c r="EH36570"/>
      <c r="EI36570"/>
      <c r="EJ36570"/>
      <c r="EK36570"/>
    </row>
    <row r="36571" spans="1:141" s="116" customFormat="1">
      <c r="A36571" s="136"/>
      <c r="CM36571" s="111"/>
      <c r="CQ36571" s="111"/>
      <c r="EF36571"/>
      <c r="EG36571"/>
      <c r="EH36571"/>
      <c r="EI36571"/>
      <c r="EJ36571"/>
      <c r="EK36571"/>
    </row>
    <row r="36572" spans="1:141" s="116" customFormat="1">
      <c r="A36572" s="136"/>
      <c r="CM36572" s="111"/>
      <c r="CQ36572" s="111"/>
      <c r="EF36572"/>
      <c r="EG36572"/>
      <c r="EH36572"/>
      <c r="EI36572"/>
      <c r="EJ36572"/>
      <c r="EK36572"/>
    </row>
    <row r="36573" spans="1:141" s="116" customFormat="1">
      <c r="A36573" s="136"/>
      <c r="CM36573" s="111"/>
      <c r="CQ36573" s="111"/>
      <c r="EF36573"/>
      <c r="EG36573"/>
      <c r="EH36573"/>
      <c r="EI36573"/>
      <c r="EJ36573"/>
      <c r="EK36573"/>
    </row>
    <row r="36574" spans="1:141" s="116" customFormat="1">
      <c r="A36574" s="136"/>
      <c r="CM36574" s="111"/>
      <c r="CQ36574" s="111"/>
      <c r="EF36574"/>
      <c r="EG36574"/>
      <c r="EH36574"/>
      <c r="EI36574"/>
      <c r="EJ36574"/>
      <c r="EK36574"/>
    </row>
    <row r="36575" spans="1:141" s="116" customFormat="1">
      <c r="A36575" s="136"/>
      <c r="CM36575" s="111"/>
      <c r="CQ36575" s="111"/>
      <c r="EF36575"/>
      <c r="EG36575"/>
      <c r="EH36575"/>
      <c r="EI36575"/>
      <c r="EJ36575"/>
      <c r="EK36575"/>
    </row>
    <row r="36576" spans="1:141" s="116" customFormat="1">
      <c r="A36576" s="136"/>
      <c r="CM36576" s="111"/>
      <c r="CQ36576" s="111"/>
      <c r="EF36576"/>
      <c r="EG36576"/>
      <c r="EH36576"/>
      <c r="EI36576"/>
      <c r="EJ36576"/>
      <c r="EK36576"/>
    </row>
    <row r="36577" spans="1:141" s="116" customFormat="1">
      <c r="A36577" s="136"/>
      <c r="CM36577" s="111"/>
      <c r="CQ36577" s="111"/>
      <c r="EF36577"/>
      <c r="EG36577"/>
      <c r="EH36577"/>
      <c r="EI36577"/>
      <c r="EJ36577"/>
      <c r="EK36577"/>
    </row>
    <row r="36578" spans="1:141" s="116" customFormat="1">
      <c r="A36578" s="136"/>
      <c r="CM36578" s="111"/>
      <c r="CQ36578" s="111"/>
      <c r="EF36578"/>
      <c r="EG36578"/>
      <c r="EH36578"/>
      <c r="EI36578"/>
      <c r="EJ36578"/>
      <c r="EK36578"/>
    </row>
    <row r="36579" spans="1:141" s="116" customFormat="1">
      <c r="A36579" s="136"/>
      <c r="CM36579" s="111"/>
      <c r="CQ36579" s="111"/>
      <c r="EF36579"/>
      <c r="EG36579"/>
      <c r="EH36579"/>
      <c r="EI36579"/>
      <c r="EJ36579"/>
      <c r="EK36579"/>
    </row>
    <row r="36580" spans="1:141" s="116" customFormat="1">
      <c r="A36580" s="136"/>
      <c r="CM36580" s="111"/>
      <c r="CQ36580" s="111"/>
      <c r="EF36580"/>
      <c r="EG36580"/>
      <c r="EH36580"/>
      <c r="EI36580"/>
      <c r="EJ36580"/>
      <c r="EK36580"/>
    </row>
    <row r="36581" spans="1:141" s="116" customFormat="1">
      <c r="A36581" s="136"/>
      <c r="CM36581" s="111"/>
      <c r="CQ36581" s="111"/>
      <c r="EF36581"/>
      <c r="EG36581"/>
      <c r="EH36581"/>
      <c r="EI36581"/>
      <c r="EJ36581"/>
      <c r="EK36581"/>
    </row>
    <row r="36582" spans="1:141" s="116" customFormat="1">
      <c r="A36582" s="136"/>
      <c r="CM36582" s="111"/>
      <c r="CQ36582" s="111"/>
      <c r="EF36582"/>
      <c r="EG36582"/>
      <c r="EH36582"/>
      <c r="EI36582"/>
      <c r="EJ36582"/>
      <c r="EK36582"/>
    </row>
    <row r="36583" spans="1:141" s="116" customFormat="1">
      <c r="A36583" s="136"/>
      <c r="CM36583" s="111"/>
      <c r="CQ36583" s="111"/>
      <c r="EF36583"/>
      <c r="EG36583"/>
      <c r="EH36583"/>
      <c r="EI36583"/>
      <c r="EJ36583"/>
      <c r="EK36583"/>
    </row>
    <row r="36584" spans="1:141" s="116" customFormat="1">
      <c r="A36584" s="136"/>
      <c r="CM36584" s="111"/>
      <c r="CQ36584" s="111"/>
      <c r="EF36584"/>
      <c r="EG36584"/>
      <c r="EH36584"/>
      <c r="EI36584"/>
      <c r="EJ36584"/>
      <c r="EK36584"/>
    </row>
    <row r="36585" spans="1:141" s="116" customFormat="1">
      <c r="A36585" s="136"/>
      <c r="CM36585" s="111"/>
      <c r="CQ36585" s="111"/>
      <c r="EF36585"/>
      <c r="EG36585"/>
      <c r="EH36585"/>
      <c r="EI36585"/>
      <c r="EJ36585"/>
      <c r="EK36585"/>
    </row>
    <row r="36586" spans="1:141" s="116" customFormat="1">
      <c r="A36586" s="136"/>
      <c r="CM36586" s="111"/>
      <c r="CQ36586" s="111"/>
      <c r="EF36586"/>
      <c r="EG36586"/>
      <c r="EH36586"/>
      <c r="EI36586"/>
      <c r="EJ36586"/>
      <c r="EK36586"/>
    </row>
    <row r="36587" spans="1:141" s="116" customFormat="1">
      <c r="A36587" s="136"/>
      <c r="CM36587" s="111"/>
      <c r="CQ36587" s="111"/>
      <c r="EF36587"/>
      <c r="EG36587"/>
      <c r="EH36587"/>
      <c r="EI36587"/>
      <c r="EJ36587"/>
      <c r="EK36587"/>
    </row>
    <row r="36588" spans="1:141" s="116" customFormat="1">
      <c r="A36588" s="136"/>
      <c r="CM36588" s="111"/>
      <c r="CQ36588" s="111"/>
      <c r="EF36588"/>
      <c r="EG36588"/>
      <c r="EH36588"/>
      <c r="EI36588"/>
      <c r="EJ36588"/>
      <c r="EK36588"/>
    </row>
    <row r="36589" spans="1:141" s="116" customFormat="1">
      <c r="A36589" s="136"/>
      <c r="CM36589" s="111"/>
      <c r="CQ36589" s="111"/>
      <c r="EF36589"/>
      <c r="EG36589"/>
      <c r="EH36589"/>
      <c r="EI36589"/>
      <c r="EJ36589"/>
      <c r="EK36589"/>
    </row>
    <row r="36590" spans="1:141" s="116" customFormat="1">
      <c r="A36590" s="136"/>
      <c r="CM36590" s="111"/>
      <c r="CQ36590" s="111"/>
      <c r="EF36590"/>
      <c r="EG36590"/>
      <c r="EH36590"/>
      <c r="EI36590"/>
      <c r="EJ36590"/>
      <c r="EK36590"/>
    </row>
    <row r="36591" spans="1:141" s="116" customFormat="1">
      <c r="A36591" s="136"/>
      <c r="CM36591" s="111"/>
      <c r="CQ36591" s="111"/>
      <c r="EF36591"/>
      <c r="EG36591"/>
      <c r="EH36591"/>
      <c r="EI36591"/>
      <c r="EJ36591"/>
      <c r="EK36591"/>
    </row>
    <row r="36592" spans="1:141" s="116" customFormat="1">
      <c r="A36592" s="136"/>
      <c r="CM36592" s="111"/>
      <c r="CQ36592" s="111"/>
      <c r="EF36592"/>
      <c r="EG36592"/>
      <c r="EH36592"/>
      <c r="EI36592"/>
      <c r="EJ36592"/>
      <c r="EK36592"/>
    </row>
    <row r="36593" spans="1:141" s="116" customFormat="1">
      <c r="A36593" s="136"/>
      <c r="CM36593" s="111"/>
      <c r="CQ36593" s="111"/>
      <c r="EF36593"/>
      <c r="EG36593"/>
      <c r="EH36593"/>
      <c r="EI36593"/>
      <c r="EJ36593"/>
      <c r="EK36593"/>
    </row>
    <row r="36594" spans="1:141" s="116" customFormat="1">
      <c r="A36594" s="136"/>
      <c r="CM36594" s="111"/>
      <c r="CQ36594" s="111"/>
      <c r="EF36594"/>
      <c r="EG36594"/>
      <c r="EH36594"/>
      <c r="EI36594"/>
      <c r="EJ36594"/>
      <c r="EK36594"/>
    </row>
    <row r="36595" spans="1:141" s="116" customFormat="1">
      <c r="A36595" s="136"/>
      <c r="CM36595" s="111"/>
      <c r="CQ36595" s="111"/>
      <c r="EF36595"/>
      <c r="EG36595"/>
      <c r="EH36595"/>
      <c r="EI36595"/>
      <c r="EJ36595"/>
      <c r="EK36595"/>
    </row>
    <row r="36596" spans="1:141" s="116" customFormat="1">
      <c r="A36596" s="136"/>
      <c r="CM36596" s="111"/>
      <c r="CQ36596" s="111"/>
      <c r="EF36596"/>
      <c r="EG36596"/>
      <c r="EH36596"/>
      <c r="EI36596"/>
      <c r="EJ36596"/>
      <c r="EK36596"/>
    </row>
    <row r="36597" spans="1:141" s="116" customFormat="1">
      <c r="A36597" s="136"/>
      <c r="CM36597" s="111"/>
      <c r="CQ36597" s="111"/>
      <c r="EF36597"/>
      <c r="EG36597"/>
      <c r="EH36597"/>
      <c r="EI36597"/>
      <c r="EJ36597"/>
      <c r="EK36597"/>
    </row>
    <row r="36598" spans="1:141" s="116" customFormat="1">
      <c r="A36598" s="136"/>
      <c r="CM36598" s="111"/>
      <c r="CQ36598" s="111"/>
      <c r="EF36598"/>
      <c r="EG36598"/>
      <c r="EH36598"/>
      <c r="EI36598"/>
      <c r="EJ36598"/>
      <c r="EK36598"/>
    </row>
    <row r="36599" spans="1:141" s="116" customFormat="1">
      <c r="A36599" s="136"/>
      <c r="CM36599" s="111"/>
      <c r="CQ36599" s="111"/>
      <c r="EF36599"/>
      <c r="EG36599"/>
      <c r="EH36599"/>
      <c r="EI36599"/>
      <c r="EJ36599"/>
      <c r="EK36599"/>
    </row>
    <row r="36600" spans="1:141" s="116" customFormat="1">
      <c r="A36600" s="136"/>
      <c r="CM36600" s="111"/>
      <c r="CQ36600" s="111"/>
      <c r="EF36600"/>
      <c r="EG36600"/>
      <c r="EH36600"/>
      <c r="EI36600"/>
      <c r="EJ36600"/>
      <c r="EK36600"/>
    </row>
    <row r="36601" spans="1:141" s="116" customFormat="1">
      <c r="A36601" s="136"/>
      <c r="CM36601" s="111"/>
      <c r="CQ36601" s="111"/>
      <c r="EF36601"/>
      <c r="EG36601"/>
      <c r="EH36601"/>
      <c r="EI36601"/>
      <c r="EJ36601"/>
      <c r="EK36601"/>
    </row>
    <row r="36602" spans="1:141" s="116" customFormat="1">
      <c r="A36602" s="136"/>
      <c r="CM36602" s="111"/>
      <c r="CQ36602" s="111"/>
      <c r="EF36602"/>
      <c r="EG36602"/>
      <c r="EH36602"/>
      <c r="EI36602"/>
      <c r="EJ36602"/>
      <c r="EK36602"/>
    </row>
    <row r="36603" spans="1:141" s="116" customFormat="1">
      <c r="A36603" s="136"/>
      <c r="CM36603" s="111"/>
      <c r="CQ36603" s="111"/>
      <c r="EF36603"/>
      <c r="EG36603"/>
      <c r="EH36603"/>
      <c r="EI36603"/>
      <c r="EJ36603"/>
      <c r="EK36603"/>
    </row>
    <row r="36604" spans="1:141" s="116" customFormat="1">
      <c r="A36604" s="136"/>
      <c r="CM36604" s="111"/>
      <c r="CQ36604" s="111"/>
      <c r="EF36604"/>
      <c r="EG36604"/>
      <c r="EH36604"/>
      <c r="EI36604"/>
      <c r="EJ36604"/>
      <c r="EK36604"/>
    </row>
    <row r="36605" spans="1:141" s="116" customFormat="1">
      <c r="A36605" s="136"/>
      <c r="CM36605" s="111"/>
      <c r="CQ36605" s="111"/>
      <c r="EF36605"/>
      <c r="EG36605"/>
      <c r="EH36605"/>
      <c r="EI36605"/>
      <c r="EJ36605"/>
      <c r="EK36605"/>
    </row>
    <row r="36606" spans="1:141" s="116" customFormat="1">
      <c r="A36606" s="136"/>
      <c r="CM36606" s="111"/>
      <c r="CQ36606" s="111"/>
      <c r="EF36606"/>
      <c r="EG36606"/>
      <c r="EH36606"/>
      <c r="EI36606"/>
      <c r="EJ36606"/>
      <c r="EK36606"/>
    </row>
    <row r="36607" spans="1:141" s="116" customFormat="1">
      <c r="A36607" s="136"/>
      <c r="CM36607" s="111"/>
      <c r="CQ36607" s="111"/>
      <c r="EF36607"/>
      <c r="EG36607"/>
      <c r="EH36607"/>
      <c r="EI36607"/>
      <c r="EJ36607"/>
      <c r="EK36607"/>
    </row>
    <row r="36608" spans="1:141" s="116" customFormat="1">
      <c r="A36608" s="136"/>
      <c r="CM36608" s="111"/>
      <c r="CQ36608" s="111"/>
      <c r="EF36608"/>
      <c r="EG36608"/>
      <c r="EH36608"/>
      <c r="EI36608"/>
      <c r="EJ36608"/>
      <c r="EK36608"/>
    </row>
    <row r="36609" spans="1:141" s="116" customFormat="1">
      <c r="A36609" s="136"/>
      <c r="CM36609" s="111"/>
      <c r="CQ36609" s="111"/>
      <c r="EF36609"/>
      <c r="EG36609"/>
      <c r="EH36609"/>
      <c r="EI36609"/>
      <c r="EJ36609"/>
      <c r="EK36609"/>
    </row>
    <row r="36610" spans="1:141" s="116" customFormat="1">
      <c r="A36610" s="136"/>
      <c r="CM36610" s="111"/>
      <c r="CQ36610" s="111"/>
      <c r="EF36610"/>
      <c r="EG36610"/>
      <c r="EH36610"/>
      <c r="EI36610"/>
      <c r="EJ36610"/>
      <c r="EK36610"/>
    </row>
    <row r="36611" spans="1:141" s="116" customFormat="1">
      <c r="A36611" s="136"/>
      <c r="CM36611" s="111"/>
      <c r="CQ36611" s="111"/>
      <c r="EF36611"/>
      <c r="EG36611"/>
      <c r="EH36611"/>
      <c r="EI36611"/>
      <c r="EJ36611"/>
      <c r="EK36611"/>
    </row>
    <row r="36612" spans="1:141" s="116" customFormat="1">
      <c r="A36612" s="136"/>
      <c r="CM36612" s="111"/>
      <c r="CQ36612" s="111"/>
      <c r="EF36612"/>
      <c r="EG36612"/>
      <c r="EH36612"/>
      <c r="EI36612"/>
      <c r="EJ36612"/>
      <c r="EK36612"/>
    </row>
    <row r="36613" spans="1:141" s="116" customFormat="1">
      <c r="A36613" s="136"/>
      <c r="CM36613" s="111"/>
      <c r="CQ36613" s="111"/>
      <c r="EF36613"/>
      <c r="EG36613"/>
      <c r="EH36613"/>
      <c r="EI36613"/>
      <c r="EJ36613"/>
      <c r="EK36613"/>
    </row>
    <row r="36614" spans="1:141" s="116" customFormat="1">
      <c r="A36614" s="136"/>
      <c r="CM36614" s="111"/>
      <c r="CQ36614" s="111"/>
      <c r="EF36614"/>
      <c r="EG36614"/>
      <c r="EH36614"/>
      <c r="EI36614"/>
      <c r="EJ36614"/>
      <c r="EK36614"/>
    </row>
    <row r="36615" spans="1:141" s="116" customFormat="1">
      <c r="A36615" s="136"/>
      <c r="CM36615" s="111"/>
      <c r="CQ36615" s="111"/>
      <c r="EF36615"/>
      <c r="EG36615"/>
      <c r="EH36615"/>
      <c r="EI36615"/>
      <c r="EJ36615"/>
      <c r="EK36615"/>
    </row>
    <row r="36616" spans="1:141" s="116" customFormat="1">
      <c r="A36616" s="136"/>
      <c r="CM36616" s="111"/>
      <c r="CQ36616" s="111"/>
      <c r="EF36616"/>
      <c r="EG36616"/>
      <c r="EH36616"/>
      <c r="EI36616"/>
      <c r="EJ36616"/>
      <c r="EK36616"/>
    </row>
    <row r="36617" spans="1:141" s="116" customFormat="1">
      <c r="A36617" s="136"/>
      <c r="CM36617" s="111"/>
      <c r="CQ36617" s="111"/>
      <c r="EF36617"/>
      <c r="EG36617"/>
      <c r="EH36617"/>
      <c r="EI36617"/>
      <c r="EJ36617"/>
      <c r="EK36617"/>
    </row>
    <row r="36618" spans="1:141" s="116" customFormat="1">
      <c r="A36618" s="136"/>
      <c r="CM36618" s="111"/>
      <c r="CQ36618" s="111"/>
      <c r="EF36618"/>
      <c r="EG36618"/>
      <c r="EH36618"/>
      <c r="EI36618"/>
      <c r="EJ36618"/>
      <c r="EK36618"/>
    </row>
    <row r="36619" spans="1:141" s="116" customFormat="1">
      <c r="A36619" s="136"/>
      <c r="CM36619" s="111"/>
      <c r="CQ36619" s="111"/>
      <c r="EF36619"/>
      <c r="EG36619"/>
      <c r="EH36619"/>
      <c r="EI36619"/>
      <c r="EJ36619"/>
      <c r="EK36619"/>
    </row>
    <row r="36620" spans="1:141" s="116" customFormat="1">
      <c r="A36620" s="136"/>
      <c r="CM36620" s="111"/>
      <c r="CQ36620" s="111"/>
      <c r="EF36620"/>
      <c r="EG36620"/>
      <c r="EH36620"/>
      <c r="EI36620"/>
      <c r="EJ36620"/>
      <c r="EK36620"/>
    </row>
    <row r="36621" spans="1:141" s="116" customFormat="1">
      <c r="A36621" s="136"/>
      <c r="CM36621" s="111"/>
      <c r="CQ36621" s="111"/>
      <c r="EF36621"/>
      <c r="EG36621"/>
      <c r="EH36621"/>
      <c r="EI36621"/>
      <c r="EJ36621"/>
      <c r="EK36621"/>
    </row>
    <row r="36622" spans="1:141" s="116" customFormat="1">
      <c r="A36622" s="136"/>
      <c r="CM36622" s="111"/>
      <c r="CQ36622" s="111"/>
      <c r="EF36622"/>
      <c r="EG36622"/>
      <c r="EH36622"/>
      <c r="EI36622"/>
      <c r="EJ36622"/>
      <c r="EK36622"/>
    </row>
    <row r="36623" spans="1:141" s="116" customFormat="1">
      <c r="A36623" s="136"/>
      <c r="CM36623" s="111"/>
      <c r="CQ36623" s="111"/>
      <c r="EF36623"/>
      <c r="EG36623"/>
      <c r="EH36623"/>
      <c r="EI36623"/>
      <c r="EJ36623"/>
      <c r="EK36623"/>
    </row>
    <row r="36624" spans="1:141" s="116" customFormat="1">
      <c r="A36624" s="136"/>
      <c r="CM36624" s="111"/>
      <c r="CQ36624" s="111"/>
      <c r="EF36624"/>
      <c r="EG36624"/>
      <c r="EH36624"/>
      <c r="EI36624"/>
      <c r="EJ36624"/>
      <c r="EK36624"/>
    </row>
    <row r="36625" spans="1:141" s="116" customFormat="1">
      <c r="A36625" s="136"/>
      <c r="CM36625" s="111"/>
      <c r="CQ36625" s="111"/>
      <c r="EF36625"/>
      <c r="EG36625"/>
      <c r="EH36625"/>
      <c r="EI36625"/>
      <c r="EJ36625"/>
      <c r="EK36625"/>
    </row>
    <row r="36626" spans="1:141" s="116" customFormat="1">
      <c r="A36626" s="136"/>
      <c r="CM36626" s="111"/>
      <c r="CQ36626" s="111"/>
      <c r="EF36626"/>
      <c r="EG36626"/>
      <c r="EH36626"/>
      <c r="EI36626"/>
      <c r="EJ36626"/>
      <c r="EK36626"/>
    </row>
    <row r="36627" spans="1:141" s="116" customFormat="1">
      <c r="A36627" s="136"/>
      <c r="CM36627" s="111"/>
      <c r="CQ36627" s="111"/>
      <c r="EF36627"/>
      <c r="EG36627"/>
      <c r="EH36627"/>
      <c r="EI36627"/>
      <c r="EJ36627"/>
      <c r="EK36627"/>
    </row>
    <row r="36628" spans="1:141" s="116" customFormat="1">
      <c r="A36628" s="136"/>
      <c r="CM36628" s="111"/>
      <c r="CQ36628" s="111"/>
      <c r="EF36628"/>
      <c r="EG36628"/>
      <c r="EH36628"/>
      <c r="EI36628"/>
      <c r="EJ36628"/>
      <c r="EK36628"/>
    </row>
    <row r="36629" spans="1:141" s="116" customFormat="1">
      <c r="A36629" s="136"/>
      <c r="CM36629" s="111"/>
      <c r="CQ36629" s="111"/>
      <c r="EF36629"/>
      <c r="EG36629"/>
      <c r="EH36629"/>
      <c r="EI36629"/>
      <c r="EJ36629"/>
      <c r="EK36629"/>
    </row>
    <row r="36630" spans="1:141" s="116" customFormat="1">
      <c r="A36630" s="136"/>
      <c r="CM36630" s="111"/>
      <c r="CQ36630" s="111"/>
      <c r="EF36630"/>
      <c r="EG36630"/>
      <c r="EH36630"/>
      <c r="EI36630"/>
      <c r="EJ36630"/>
      <c r="EK36630"/>
    </row>
    <row r="36631" spans="1:141" s="116" customFormat="1">
      <c r="A36631" s="136"/>
      <c r="CM36631" s="111"/>
      <c r="CQ36631" s="111"/>
      <c r="EF36631"/>
      <c r="EG36631"/>
      <c r="EH36631"/>
      <c r="EI36631"/>
      <c r="EJ36631"/>
      <c r="EK36631"/>
    </row>
    <row r="36632" spans="1:141" s="116" customFormat="1">
      <c r="A36632" s="136"/>
      <c r="CM36632" s="111"/>
      <c r="CQ36632" s="111"/>
      <c r="EF36632"/>
      <c r="EG36632"/>
      <c r="EH36632"/>
      <c r="EI36632"/>
      <c r="EJ36632"/>
      <c r="EK36632"/>
    </row>
    <row r="36633" spans="1:141" s="116" customFormat="1">
      <c r="A36633" s="136"/>
      <c r="CM36633" s="111"/>
      <c r="CQ36633" s="111"/>
      <c r="EF36633"/>
      <c r="EG36633"/>
      <c r="EH36633"/>
      <c r="EI36633"/>
      <c r="EJ36633"/>
      <c r="EK36633"/>
    </row>
    <row r="36634" spans="1:141" s="116" customFormat="1">
      <c r="A36634" s="136"/>
      <c r="CM36634" s="111"/>
      <c r="CQ36634" s="111"/>
      <c r="EF36634"/>
      <c r="EG36634"/>
      <c r="EH36634"/>
      <c r="EI36634"/>
      <c r="EJ36634"/>
      <c r="EK36634"/>
    </row>
    <row r="36635" spans="1:141" s="116" customFormat="1">
      <c r="A36635" s="136"/>
      <c r="CM36635" s="111"/>
      <c r="CQ36635" s="111"/>
      <c r="EF36635"/>
      <c r="EG36635"/>
      <c r="EH36635"/>
      <c r="EI36635"/>
      <c r="EJ36635"/>
      <c r="EK36635"/>
    </row>
    <row r="36636" spans="1:141" s="116" customFormat="1">
      <c r="A36636" s="136"/>
      <c r="CM36636" s="111"/>
      <c r="CQ36636" s="111"/>
      <c r="EF36636"/>
      <c r="EG36636"/>
      <c r="EH36636"/>
      <c r="EI36636"/>
      <c r="EJ36636"/>
      <c r="EK36636"/>
    </row>
    <row r="36637" spans="1:141" s="116" customFormat="1">
      <c r="A36637" s="136"/>
      <c r="CM36637" s="111"/>
      <c r="CQ36637" s="111"/>
      <c r="EF36637"/>
      <c r="EG36637"/>
      <c r="EH36637"/>
      <c r="EI36637"/>
      <c r="EJ36637"/>
      <c r="EK36637"/>
    </row>
    <row r="36638" spans="1:141" s="116" customFormat="1">
      <c r="A36638" s="136"/>
      <c r="CM36638" s="111"/>
      <c r="CQ36638" s="111"/>
      <c r="EF36638"/>
      <c r="EG36638"/>
      <c r="EH36638"/>
      <c r="EI36638"/>
      <c r="EJ36638"/>
      <c r="EK36638"/>
    </row>
    <row r="36639" spans="1:141" s="116" customFormat="1">
      <c r="A36639" s="136"/>
      <c r="CM36639" s="111"/>
      <c r="CQ36639" s="111"/>
      <c r="EF36639"/>
      <c r="EG36639"/>
      <c r="EH36639"/>
      <c r="EI36639"/>
      <c r="EJ36639"/>
      <c r="EK36639"/>
    </row>
    <row r="36640" spans="1:141" s="116" customFormat="1">
      <c r="A36640" s="136"/>
      <c r="CM36640" s="111"/>
      <c r="CQ36640" s="111"/>
      <c r="EF36640"/>
      <c r="EG36640"/>
      <c r="EH36640"/>
      <c r="EI36640"/>
      <c r="EJ36640"/>
      <c r="EK36640"/>
    </row>
    <row r="36641" spans="1:141" s="116" customFormat="1">
      <c r="A36641" s="136"/>
      <c r="CM36641" s="111"/>
      <c r="CQ36641" s="111"/>
      <c r="EF36641"/>
      <c r="EG36641"/>
      <c r="EH36641"/>
      <c r="EI36641"/>
      <c r="EJ36641"/>
      <c r="EK36641"/>
    </row>
    <row r="36642" spans="1:141" s="116" customFormat="1">
      <c r="A36642" s="136"/>
      <c r="CM36642" s="111"/>
      <c r="CQ36642" s="111"/>
      <c r="EF36642"/>
      <c r="EG36642"/>
      <c r="EH36642"/>
      <c r="EI36642"/>
      <c r="EJ36642"/>
      <c r="EK36642"/>
    </row>
    <row r="36643" spans="1:141" s="116" customFormat="1">
      <c r="A36643" s="136"/>
      <c r="CM36643" s="111"/>
      <c r="CQ36643" s="111"/>
      <c r="EF36643"/>
      <c r="EG36643"/>
      <c r="EH36643"/>
      <c r="EI36643"/>
      <c r="EJ36643"/>
      <c r="EK36643"/>
    </row>
    <row r="36644" spans="1:141" s="116" customFormat="1">
      <c r="A36644" s="136"/>
      <c r="CM36644" s="111"/>
      <c r="CQ36644" s="111"/>
      <c r="EF36644"/>
      <c r="EG36644"/>
      <c r="EH36644"/>
      <c r="EI36644"/>
      <c r="EJ36644"/>
      <c r="EK36644"/>
    </row>
    <row r="36645" spans="1:141" s="116" customFormat="1">
      <c r="A36645" s="136"/>
      <c r="CM36645" s="111"/>
      <c r="CQ36645" s="111"/>
      <c r="EF36645"/>
      <c r="EG36645"/>
      <c r="EH36645"/>
      <c r="EI36645"/>
      <c r="EJ36645"/>
      <c r="EK36645"/>
    </row>
    <row r="36646" spans="1:141" s="116" customFormat="1">
      <c r="A36646" s="136"/>
      <c r="CM36646" s="111"/>
      <c r="CQ36646" s="111"/>
      <c r="EF36646"/>
      <c r="EG36646"/>
      <c r="EH36646"/>
      <c r="EI36646"/>
      <c r="EJ36646"/>
      <c r="EK36646"/>
    </row>
    <row r="36647" spans="1:141" s="116" customFormat="1">
      <c r="A36647" s="136"/>
      <c r="CM36647" s="111"/>
      <c r="CQ36647" s="111"/>
      <c r="EF36647"/>
      <c r="EG36647"/>
      <c r="EH36647"/>
      <c r="EI36647"/>
      <c r="EJ36647"/>
      <c r="EK36647"/>
    </row>
    <row r="36648" spans="1:141" s="116" customFormat="1">
      <c r="A36648" s="136"/>
      <c r="CM36648" s="111"/>
      <c r="CQ36648" s="111"/>
      <c r="EF36648"/>
      <c r="EG36648"/>
      <c r="EH36648"/>
      <c r="EI36648"/>
      <c r="EJ36648"/>
      <c r="EK36648"/>
    </row>
    <row r="36649" spans="1:141" s="116" customFormat="1">
      <c r="A36649" s="136"/>
      <c r="CM36649" s="111"/>
      <c r="CQ36649" s="111"/>
      <c r="EF36649"/>
      <c r="EG36649"/>
      <c r="EH36649"/>
      <c r="EI36649"/>
      <c r="EJ36649"/>
      <c r="EK36649"/>
    </row>
    <row r="36650" spans="1:141" s="116" customFormat="1">
      <c r="A36650" s="136"/>
      <c r="CM36650" s="111"/>
      <c r="CQ36650" s="111"/>
      <c r="EF36650"/>
      <c r="EG36650"/>
      <c r="EH36650"/>
      <c r="EI36650"/>
      <c r="EJ36650"/>
      <c r="EK36650"/>
    </row>
    <row r="36651" spans="1:141" s="116" customFormat="1">
      <c r="A36651" s="136"/>
      <c r="CM36651" s="111"/>
      <c r="CQ36651" s="111"/>
      <c r="EF36651"/>
      <c r="EG36651"/>
      <c r="EH36651"/>
      <c r="EI36651"/>
      <c r="EJ36651"/>
      <c r="EK36651"/>
    </row>
    <row r="36652" spans="1:141" s="116" customFormat="1">
      <c r="A36652" s="136"/>
      <c r="CM36652" s="111"/>
      <c r="CQ36652" s="111"/>
      <c r="EF36652"/>
      <c r="EG36652"/>
      <c r="EH36652"/>
      <c r="EI36652"/>
      <c r="EJ36652"/>
      <c r="EK36652"/>
    </row>
    <row r="36653" spans="1:141" s="116" customFormat="1">
      <c r="A36653" s="136"/>
      <c r="CM36653" s="111"/>
      <c r="CQ36653" s="111"/>
      <c r="EF36653"/>
      <c r="EG36653"/>
      <c r="EH36653"/>
      <c r="EI36653"/>
      <c r="EJ36653"/>
      <c r="EK36653"/>
    </row>
    <row r="36654" spans="1:141" s="116" customFormat="1">
      <c r="A36654" s="136"/>
      <c r="CM36654" s="111"/>
      <c r="CQ36654" s="111"/>
      <c r="EF36654"/>
      <c r="EG36654"/>
      <c r="EH36654"/>
      <c r="EI36654"/>
      <c r="EJ36654"/>
      <c r="EK36654"/>
    </row>
    <row r="36655" spans="1:141" s="116" customFormat="1">
      <c r="A36655" s="136"/>
      <c r="CM36655" s="111"/>
      <c r="CQ36655" s="111"/>
      <c r="EF36655"/>
      <c r="EG36655"/>
      <c r="EH36655"/>
      <c r="EI36655"/>
      <c r="EJ36655"/>
      <c r="EK36655"/>
    </row>
    <row r="36656" spans="1:141" s="116" customFormat="1">
      <c r="A36656" s="136"/>
      <c r="CM36656" s="111"/>
      <c r="CQ36656" s="111"/>
      <c r="EF36656"/>
      <c r="EG36656"/>
      <c r="EH36656"/>
      <c r="EI36656"/>
      <c r="EJ36656"/>
      <c r="EK36656"/>
    </row>
    <row r="36657" spans="1:141" s="116" customFormat="1">
      <c r="A36657" s="136"/>
      <c r="CM36657" s="111"/>
      <c r="CQ36657" s="111"/>
      <c r="EF36657"/>
      <c r="EG36657"/>
      <c r="EH36657"/>
      <c r="EI36657"/>
      <c r="EJ36657"/>
      <c r="EK36657"/>
    </row>
    <row r="36658" spans="1:141" s="116" customFormat="1">
      <c r="A36658" s="136"/>
      <c r="CM36658" s="111"/>
      <c r="CQ36658" s="111"/>
      <c r="EF36658"/>
      <c r="EG36658"/>
      <c r="EH36658"/>
      <c r="EI36658"/>
      <c r="EJ36658"/>
      <c r="EK36658"/>
    </row>
    <row r="36659" spans="1:141" s="116" customFormat="1">
      <c r="A36659" s="136"/>
      <c r="CM36659" s="111"/>
      <c r="CQ36659" s="111"/>
      <c r="EF36659"/>
      <c r="EG36659"/>
      <c r="EH36659"/>
      <c r="EI36659"/>
      <c r="EJ36659"/>
      <c r="EK36659"/>
    </row>
    <row r="36660" spans="1:141" s="116" customFormat="1">
      <c r="A36660" s="136"/>
      <c r="CM36660" s="111"/>
      <c r="CQ36660" s="111"/>
      <c r="EF36660"/>
      <c r="EG36660"/>
      <c r="EH36660"/>
      <c r="EI36660"/>
      <c r="EJ36660"/>
      <c r="EK36660"/>
    </row>
    <row r="36661" spans="1:141" s="116" customFormat="1">
      <c r="A36661" s="136"/>
      <c r="CM36661" s="111"/>
      <c r="CQ36661" s="111"/>
      <c r="EF36661"/>
      <c r="EG36661"/>
      <c r="EH36661"/>
      <c r="EI36661"/>
      <c r="EJ36661"/>
      <c r="EK36661"/>
    </row>
    <row r="36662" spans="1:141" s="116" customFormat="1">
      <c r="A36662" s="136"/>
      <c r="CM36662" s="111"/>
      <c r="CQ36662" s="111"/>
      <c r="EF36662"/>
      <c r="EG36662"/>
      <c r="EH36662"/>
      <c r="EI36662"/>
      <c r="EJ36662"/>
      <c r="EK36662"/>
    </row>
    <row r="36663" spans="1:141" s="116" customFormat="1">
      <c r="A36663" s="136"/>
      <c r="CM36663" s="111"/>
      <c r="CQ36663" s="111"/>
      <c r="EF36663"/>
      <c r="EG36663"/>
      <c r="EH36663"/>
      <c r="EI36663"/>
      <c r="EJ36663"/>
      <c r="EK36663"/>
    </row>
    <row r="36664" spans="1:141" s="116" customFormat="1">
      <c r="A36664" s="136"/>
      <c r="CM36664" s="111"/>
      <c r="CQ36664" s="111"/>
      <c r="EF36664"/>
      <c r="EG36664"/>
      <c r="EH36664"/>
      <c r="EI36664"/>
      <c r="EJ36664"/>
      <c r="EK36664"/>
    </row>
    <row r="36665" spans="1:141" s="116" customFormat="1">
      <c r="A36665" s="136"/>
      <c r="CM36665" s="111"/>
      <c r="CQ36665" s="111"/>
      <c r="EF36665"/>
      <c r="EG36665"/>
      <c r="EH36665"/>
      <c r="EI36665"/>
      <c r="EJ36665"/>
      <c r="EK36665"/>
    </row>
    <row r="36666" spans="1:141" s="116" customFormat="1">
      <c r="A36666" s="136"/>
      <c r="CM36666" s="111"/>
      <c r="CQ36666" s="111"/>
      <c r="EF36666"/>
      <c r="EG36666"/>
      <c r="EH36666"/>
      <c r="EI36666"/>
      <c r="EJ36666"/>
      <c r="EK36666"/>
    </row>
    <row r="36667" spans="1:141" s="116" customFormat="1">
      <c r="A36667" s="136"/>
      <c r="CM36667" s="111"/>
      <c r="CQ36667" s="111"/>
      <c r="EF36667"/>
      <c r="EG36667"/>
      <c r="EH36667"/>
      <c r="EI36667"/>
      <c r="EJ36667"/>
      <c r="EK36667"/>
    </row>
    <row r="36668" spans="1:141" s="116" customFormat="1">
      <c r="A36668" s="136"/>
      <c r="CM36668" s="111"/>
      <c r="CQ36668" s="111"/>
      <c r="EF36668"/>
      <c r="EG36668"/>
      <c r="EH36668"/>
      <c r="EI36668"/>
      <c r="EJ36668"/>
      <c r="EK36668"/>
    </row>
    <row r="36669" spans="1:141" s="116" customFormat="1">
      <c r="A36669" s="136"/>
      <c r="CM36669" s="111"/>
      <c r="CQ36669" s="111"/>
      <c r="EF36669"/>
      <c r="EG36669"/>
      <c r="EH36669"/>
      <c r="EI36669"/>
      <c r="EJ36669"/>
      <c r="EK36669"/>
    </row>
    <row r="36670" spans="1:141" s="116" customFormat="1">
      <c r="A36670" s="136"/>
      <c r="CM36670" s="111"/>
      <c r="CQ36670" s="111"/>
      <c r="EF36670"/>
      <c r="EG36670"/>
      <c r="EH36670"/>
      <c r="EI36670"/>
      <c r="EJ36670"/>
      <c r="EK36670"/>
    </row>
    <row r="36671" spans="1:141" s="116" customFormat="1">
      <c r="A36671" s="136"/>
      <c r="CM36671" s="111"/>
      <c r="CQ36671" s="111"/>
      <c r="EF36671"/>
      <c r="EG36671"/>
      <c r="EH36671"/>
      <c r="EI36671"/>
      <c r="EJ36671"/>
      <c r="EK36671"/>
    </row>
    <row r="36672" spans="1:141" s="116" customFormat="1">
      <c r="A36672" s="136"/>
      <c r="CM36672" s="111"/>
      <c r="CQ36672" s="111"/>
      <c r="EF36672"/>
      <c r="EG36672"/>
      <c r="EH36672"/>
      <c r="EI36672"/>
      <c r="EJ36672"/>
      <c r="EK36672"/>
    </row>
    <row r="36673" spans="1:141" s="116" customFormat="1">
      <c r="A36673" s="136"/>
      <c r="CM36673" s="111"/>
      <c r="CQ36673" s="111"/>
      <c r="EF36673"/>
      <c r="EG36673"/>
      <c r="EH36673"/>
      <c r="EI36673"/>
      <c r="EJ36673"/>
      <c r="EK36673"/>
    </row>
    <row r="36674" spans="1:141" s="116" customFormat="1">
      <c r="A36674" s="136"/>
      <c r="CM36674" s="111"/>
      <c r="CQ36674" s="111"/>
      <c r="EF36674"/>
      <c r="EG36674"/>
      <c r="EH36674"/>
      <c r="EI36674"/>
      <c r="EJ36674"/>
      <c r="EK36674"/>
    </row>
    <row r="36675" spans="1:141" s="116" customFormat="1">
      <c r="A36675" s="136"/>
      <c r="CM36675" s="111"/>
      <c r="CQ36675" s="111"/>
      <c r="EF36675"/>
      <c r="EG36675"/>
      <c r="EH36675"/>
      <c r="EI36675"/>
      <c r="EJ36675"/>
      <c r="EK36675"/>
    </row>
    <row r="36676" spans="1:141" s="116" customFormat="1">
      <c r="A36676" s="136"/>
      <c r="CM36676" s="111"/>
      <c r="CQ36676" s="111"/>
      <c r="EF36676"/>
      <c r="EG36676"/>
      <c r="EH36676"/>
      <c r="EI36676"/>
      <c r="EJ36676"/>
      <c r="EK36676"/>
    </row>
    <row r="36677" spans="1:141" s="116" customFormat="1">
      <c r="A36677" s="136"/>
      <c r="CM36677" s="111"/>
      <c r="CQ36677" s="111"/>
      <c r="EF36677"/>
      <c r="EG36677"/>
      <c r="EH36677"/>
      <c r="EI36677"/>
      <c r="EJ36677"/>
      <c r="EK36677"/>
    </row>
    <row r="36678" spans="1:141" s="116" customFormat="1">
      <c r="A36678" s="136"/>
      <c r="CM36678" s="111"/>
      <c r="CQ36678" s="111"/>
      <c r="EF36678"/>
      <c r="EG36678"/>
      <c r="EH36678"/>
      <c r="EI36678"/>
      <c r="EJ36678"/>
      <c r="EK36678"/>
    </row>
    <row r="36679" spans="1:141" s="116" customFormat="1">
      <c r="A36679" s="136"/>
      <c r="CM36679" s="111"/>
      <c r="CQ36679" s="111"/>
      <c r="EF36679"/>
      <c r="EG36679"/>
      <c r="EH36679"/>
      <c r="EI36679"/>
      <c r="EJ36679"/>
      <c r="EK36679"/>
    </row>
    <row r="36680" spans="1:141" s="116" customFormat="1">
      <c r="A36680" s="136"/>
      <c r="CM36680" s="111"/>
      <c r="CQ36680" s="111"/>
      <c r="EF36680"/>
      <c r="EG36680"/>
      <c r="EH36680"/>
      <c r="EI36680"/>
      <c r="EJ36680"/>
      <c r="EK36680"/>
    </row>
    <row r="36681" spans="1:141" s="116" customFormat="1">
      <c r="A36681" s="136"/>
      <c r="CM36681" s="111"/>
      <c r="CQ36681" s="111"/>
      <c r="EF36681"/>
      <c r="EG36681"/>
      <c r="EH36681"/>
      <c r="EI36681"/>
      <c r="EJ36681"/>
      <c r="EK36681"/>
    </row>
    <row r="36682" spans="1:141" s="116" customFormat="1">
      <c r="A36682" s="136"/>
      <c r="CM36682" s="111"/>
      <c r="CQ36682" s="111"/>
      <c r="EF36682"/>
      <c r="EG36682"/>
      <c r="EH36682"/>
      <c r="EI36682"/>
      <c r="EJ36682"/>
      <c r="EK36682"/>
    </row>
    <row r="36683" spans="1:141" s="116" customFormat="1">
      <c r="A36683" s="136"/>
      <c r="CM36683" s="111"/>
      <c r="CQ36683" s="111"/>
      <c r="EF36683"/>
      <c r="EG36683"/>
      <c r="EH36683"/>
      <c r="EI36683"/>
      <c r="EJ36683"/>
      <c r="EK36683"/>
    </row>
    <row r="36684" spans="1:141" s="116" customFormat="1">
      <c r="A36684" s="136"/>
      <c r="CM36684" s="111"/>
      <c r="CQ36684" s="111"/>
      <c r="EF36684"/>
      <c r="EG36684"/>
      <c r="EH36684"/>
      <c r="EI36684"/>
      <c r="EJ36684"/>
      <c r="EK36684"/>
    </row>
    <row r="36685" spans="1:141" s="116" customFormat="1">
      <c r="A36685" s="136"/>
      <c r="CM36685" s="111"/>
      <c r="CQ36685" s="111"/>
      <c r="EF36685"/>
      <c r="EG36685"/>
      <c r="EH36685"/>
      <c r="EI36685"/>
      <c r="EJ36685"/>
      <c r="EK36685"/>
    </row>
    <row r="36686" spans="1:141" s="116" customFormat="1">
      <c r="A36686" s="136"/>
      <c r="CM36686" s="111"/>
      <c r="CQ36686" s="111"/>
      <c r="EF36686"/>
      <c r="EG36686"/>
      <c r="EH36686"/>
      <c r="EI36686"/>
      <c r="EJ36686"/>
      <c r="EK36686"/>
    </row>
    <row r="36687" spans="1:141" s="116" customFormat="1">
      <c r="A36687" s="136"/>
      <c r="CM36687" s="111"/>
      <c r="CQ36687" s="111"/>
      <c r="EF36687"/>
      <c r="EG36687"/>
      <c r="EH36687"/>
      <c r="EI36687"/>
      <c r="EJ36687"/>
      <c r="EK36687"/>
    </row>
    <row r="36688" spans="1:141" s="116" customFormat="1">
      <c r="A36688" s="136"/>
      <c r="CM36688" s="111"/>
      <c r="CQ36688" s="111"/>
      <c r="EF36688"/>
      <c r="EG36688"/>
      <c r="EH36688"/>
      <c r="EI36688"/>
      <c r="EJ36688"/>
      <c r="EK36688"/>
    </row>
    <row r="36689" spans="1:141" s="116" customFormat="1">
      <c r="A36689" s="136"/>
      <c r="CM36689" s="111"/>
      <c r="CQ36689" s="111"/>
      <c r="EF36689"/>
      <c r="EG36689"/>
      <c r="EH36689"/>
      <c r="EI36689"/>
      <c r="EJ36689"/>
      <c r="EK36689"/>
    </row>
    <row r="36690" spans="1:141" s="116" customFormat="1">
      <c r="A36690" s="136"/>
      <c r="CM36690" s="111"/>
      <c r="CQ36690" s="111"/>
      <c r="EF36690"/>
      <c r="EG36690"/>
      <c r="EH36690"/>
      <c r="EI36690"/>
      <c r="EJ36690"/>
      <c r="EK36690"/>
    </row>
    <row r="36691" spans="1:141" s="116" customFormat="1">
      <c r="A36691" s="136"/>
      <c r="CM36691" s="111"/>
      <c r="CQ36691" s="111"/>
      <c r="EF36691"/>
      <c r="EG36691"/>
      <c r="EH36691"/>
      <c r="EI36691"/>
      <c r="EJ36691"/>
      <c r="EK36691"/>
    </row>
    <row r="36692" spans="1:141" s="116" customFormat="1">
      <c r="A36692" s="136"/>
      <c r="CM36692" s="111"/>
      <c r="CQ36692" s="111"/>
      <c r="EF36692"/>
      <c r="EG36692"/>
      <c r="EH36692"/>
      <c r="EI36692"/>
      <c r="EJ36692"/>
      <c r="EK36692"/>
    </row>
    <row r="36693" spans="1:141" s="116" customFormat="1">
      <c r="A36693" s="136"/>
      <c r="CM36693" s="111"/>
      <c r="CQ36693" s="111"/>
      <c r="EF36693"/>
      <c r="EG36693"/>
      <c r="EH36693"/>
      <c r="EI36693"/>
      <c r="EJ36693"/>
      <c r="EK36693"/>
    </row>
    <row r="36694" spans="1:141" s="116" customFormat="1">
      <c r="A36694" s="136"/>
      <c r="CM36694" s="111"/>
      <c r="CQ36694" s="111"/>
      <c r="EF36694"/>
      <c r="EG36694"/>
      <c r="EH36694"/>
      <c r="EI36694"/>
      <c r="EJ36694"/>
      <c r="EK36694"/>
    </row>
    <row r="36695" spans="1:141" s="116" customFormat="1">
      <c r="A36695" s="136"/>
      <c r="CM36695" s="111"/>
      <c r="CQ36695" s="111"/>
      <c r="EF36695"/>
      <c r="EG36695"/>
      <c r="EH36695"/>
      <c r="EI36695"/>
      <c r="EJ36695"/>
      <c r="EK36695"/>
    </row>
    <row r="36696" spans="1:141" s="116" customFormat="1">
      <c r="A36696" s="136"/>
      <c r="CM36696" s="111"/>
      <c r="CQ36696" s="111"/>
      <c r="EF36696"/>
      <c r="EG36696"/>
      <c r="EH36696"/>
      <c r="EI36696"/>
      <c r="EJ36696"/>
      <c r="EK36696"/>
    </row>
    <row r="36697" spans="1:141" s="116" customFormat="1">
      <c r="A36697" s="136"/>
      <c r="CM36697" s="111"/>
      <c r="CQ36697" s="111"/>
      <c r="EF36697"/>
      <c r="EG36697"/>
      <c r="EH36697"/>
      <c r="EI36697"/>
      <c r="EJ36697"/>
      <c r="EK36697"/>
    </row>
    <row r="36698" spans="1:141" s="116" customFormat="1">
      <c r="A36698" s="136"/>
      <c r="CM36698" s="111"/>
      <c r="CQ36698" s="111"/>
      <c r="EF36698"/>
      <c r="EG36698"/>
      <c r="EH36698"/>
      <c r="EI36698"/>
      <c r="EJ36698"/>
      <c r="EK36698"/>
    </row>
    <row r="36699" spans="1:141" s="116" customFormat="1">
      <c r="A36699" s="136"/>
      <c r="CM36699" s="111"/>
      <c r="CQ36699" s="111"/>
      <c r="EF36699"/>
      <c r="EG36699"/>
      <c r="EH36699"/>
      <c r="EI36699"/>
      <c r="EJ36699"/>
      <c r="EK36699"/>
    </row>
    <row r="36700" spans="1:141" s="116" customFormat="1">
      <c r="A36700" s="136"/>
      <c r="CM36700" s="111"/>
      <c r="CQ36700" s="111"/>
      <c r="EF36700"/>
      <c r="EG36700"/>
      <c r="EH36700"/>
      <c r="EI36700"/>
      <c r="EJ36700"/>
      <c r="EK36700"/>
    </row>
    <row r="36701" spans="1:141" s="116" customFormat="1">
      <c r="A36701" s="136"/>
      <c r="CM36701" s="111"/>
      <c r="CQ36701" s="111"/>
      <c r="EF36701"/>
      <c r="EG36701"/>
      <c r="EH36701"/>
      <c r="EI36701"/>
      <c r="EJ36701"/>
      <c r="EK36701"/>
    </row>
    <row r="36702" spans="1:141" s="116" customFormat="1">
      <c r="A36702" s="136"/>
      <c r="CM36702" s="111"/>
      <c r="CQ36702" s="111"/>
      <c r="EF36702"/>
      <c r="EG36702"/>
      <c r="EH36702"/>
      <c r="EI36702"/>
      <c r="EJ36702"/>
      <c r="EK36702"/>
    </row>
    <row r="36703" spans="1:141" s="116" customFormat="1">
      <c r="A36703" s="136"/>
      <c r="CM36703" s="111"/>
      <c r="CQ36703" s="111"/>
      <c r="EF36703"/>
      <c r="EG36703"/>
      <c r="EH36703"/>
      <c r="EI36703"/>
      <c r="EJ36703"/>
      <c r="EK36703"/>
    </row>
    <row r="36704" spans="1:141" s="116" customFormat="1">
      <c r="A36704" s="136"/>
      <c r="CM36704" s="111"/>
      <c r="CQ36704" s="111"/>
      <c r="EF36704"/>
      <c r="EG36704"/>
      <c r="EH36704"/>
      <c r="EI36704"/>
      <c r="EJ36704"/>
      <c r="EK36704"/>
    </row>
    <row r="36705" spans="1:141" s="116" customFormat="1">
      <c r="A36705" s="136"/>
      <c r="CM36705" s="111"/>
      <c r="CQ36705" s="111"/>
      <c r="EF36705"/>
      <c r="EG36705"/>
      <c r="EH36705"/>
      <c r="EI36705"/>
      <c r="EJ36705"/>
      <c r="EK36705"/>
    </row>
    <row r="36706" spans="1:141" s="116" customFormat="1">
      <c r="A36706" s="136"/>
      <c r="CM36706" s="111"/>
      <c r="CQ36706" s="111"/>
      <c r="EF36706"/>
      <c r="EG36706"/>
      <c r="EH36706"/>
      <c r="EI36706"/>
      <c r="EJ36706"/>
      <c r="EK36706"/>
    </row>
    <row r="36707" spans="1:141" s="116" customFormat="1">
      <c r="A36707" s="136"/>
      <c r="CM36707" s="111"/>
      <c r="CQ36707" s="111"/>
      <c r="EF36707"/>
      <c r="EG36707"/>
      <c r="EH36707"/>
      <c r="EI36707"/>
      <c r="EJ36707"/>
      <c r="EK36707"/>
    </row>
    <row r="36708" spans="1:141" s="116" customFormat="1">
      <c r="A36708" s="136"/>
      <c r="CM36708" s="111"/>
      <c r="CQ36708" s="111"/>
      <c r="EF36708"/>
      <c r="EG36708"/>
      <c r="EH36708"/>
      <c r="EI36708"/>
      <c r="EJ36708"/>
      <c r="EK36708"/>
    </row>
    <row r="36709" spans="1:141" s="116" customFormat="1">
      <c r="A36709" s="136"/>
      <c r="CM36709" s="111"/>
      <c r="CQ36709" s="111"/>
      <c r="EF36709"/>
      <c r="EG36709"/>
      <c r="EH36709"/>
      <c r="EI36709"/>
      <c r="EJ36709"/>
      <c r="EK36709"/>
    </row>
    <row r="36710" spans="1:141" s="116" customFormat="1">
      <c r="A36710" s="136"/>
      <c r="CM36710" s="111"/>
      <c r="CQ36710" s="111"/>
      <c r="EF36710"/>
      <c r="EG36710"/>
      <c r="EH36710"/>
      <c r="EI36710"/>
      <c r="EJ36710"/>
      <c r="EK36710"/>
    </row>
    <row r="36711" spans="1:141" s="116" customFormat="1">
      <c r="A36711" s="136"/>
      <c r="CM36711" s="111"/>
      <c r="CQ36711" s="111"/>
      <c r="EF36711"/>
      <c r="EG36711"/>
      <c r="EH36711"/>
      <c r="EI36711"/>
      <c r="EJ36711"/>
      <c r="EK36711"/>
    </row>
    <row r="36712" spans="1:141" s="116" customFormat="1">
      <c r="A36712" s="136"/>
      <c r="CM36712" s="111"/>
      <c r="CQ36712" s="111"/>
      <c r="EF36712"/>
      <c r="EG36712"/>
      <c r="EH36712"/>
      <c r="EI36712"/>
      <c r="EJ36712"/>
      <c r="EK36712"/>
    </row>
    <row r="36713" spans="1:141" s="116" customFormat="1">
      <c r="A36713" s="136"/>
      <c r="CM36713" s="111"/>
      <c r="CQ36713" s="111"/>
      <c r="EF36713"/>
      <c r="EG36713"/>
      <c r="EH36713"/>
      <c r="EI36713"/>
      <c r="EJ36713"/>
      <c r="EK36713"/>
    </row>
    <row r="36714" spans="1:141" s="116" customFormat="1">
      <c r="A36714" s="136"/>
      <c r="CM36714" s="111"/>
      <c r="CQ36714" s="111"/>
      <c r="EF36714"/>
      <c r="EG36714"/>
      <c r="EH36714"/>
      <c r="EI36714"/>
      <c r="EJ36714"/>
      <c r="EK36714"/>
    </row>
    <row r="36715" spans="1:141" s="116" customFormat="1">
      <c r="A36715" s="136"/>
      <c r="CM36715" s="111"/>
      <c r="CQ36715" s="111"/>
      <c r="EF36715"/>
      <c r="EG36715"/>
      <c r="EH36715"/>
      <c r="EI36715"/>
      <c r="EJ36715"/>
      <c r="EK36715"/>
    </row>
    <row r="36716" spans="1:141" s="116" customFormat="1">
      <c r="A36716" s="136"/>
      <c r="CM36716" s="111"/>
      <c r="CQ36716" s="111"/>
      <c r="EF36716"/>
      <c r="EG36716"/>
      <c r="EH36716"/>
      <c r="EI36716"/>
      <c r="EJ36716"/>
      <c r="EK36716"/>
    </row>
    <row r="36717" spans="1:141" s="116" customFormat="1">
      <c r="A36717" s="136"/>
      <c r="CM36717" s="111"/>
      <c r="CQ36717" s="111"/>
      <c r="EF36717"/>
      <c r="EG36717"/>
      <c r="EH36717"/>
      <c r="EI36717"/>
      <c r="EJ36717"/>
      <c r="EK36717"/>
    </row>
    <row r="36718" spans="1:141" s="116" customFormat="1">
      <c r="A36718" s="136"/>
      <c r="CM36718" s="111"/>
      <c r="CQ36718" s="111"/>
      <c r="EF36718"/>
      <c r="EG36718"/>
      <c r="EH36718"/>
      <c r="EI36718"/>
      <c r="EJ36718"/>
      <c r="EK36718"/>
    </row>
    <row r="36719" spans="1:141" s="116" customFormat="1">
      <c r="A36719" s="136"/>
      <c r="CM36719" s="111"/>
      <c r="CQ36719" s="111"/>
      <c r="EF36719"/>
      <c r="EG36719"/>
      <c r="EH36719"/>
      <c r="EI36719"/>
      <c r="EJ36719"/>
      <c r="EK36719"/>
    </row>
    <row r="36720" spans="1:141" s="116" customFormat="1">
      <c r="A36720" s="136"/>
      <c r="CM36720" s="111"/>
      <c r="CQ36720" s="111"/>
      <c r="EF36720"/>
      <c r="EG36720"/>
      <c r="EH36720"/>
      <c r="EI36720"/>
      <c r="EJ36720"/>
      <c r="EK36720"/>
    </row>
    <row r="36721" spans="1:141" s="116" customFormat="1">
      <c r="A36721" s="136"/>
      <c r="CM36721" s="111"/>
      <c r="CQ36721" s="111"/>
      <c r="EF36721"/>
      <c r="EG36721"/>
      <c r="EH36721"/>
      <c r="EI36721"/>
      <c r="EJ36721"/>
      <c r="EK36721"/>
    </row>
    <row r="36722" spans="1:141" s="116" customFormat="1">
      <c r="A36722" s="136"/>
      <c r="CM36722" s="111"/>
      <c r="CQ36722" s="111"/>
      <c r="EF36722"/>
      <c r="EG36722"/>
      <c r="EH36722"/>
      <c r="EI36722"/>
      <c r="EJ36722"/>
      <c r="EK36722"/>
    </row>
    <row r="36723" spans="1:141" s="116" customFormat="1">
      <c r="A36723" s="136"/>
      <c r="CM36723" s="111"/>
      <c r="CQ36723" s="111"/>
      <c r="EF36723"/>
      <c r="EG36723"/>
      <c r="EH36723"/>
      <c r="EI36723"/>
      <c r="EJ36723"/>
      <c r="EK36723"/>
    </row>
    <row r="36724" spans="1:141" s="116" customFormat="1">
      <c r="A36724" s="136"/>
      <c r="CM36724" s="111"/>
      <c r="CQ36724" s="111"/>
      <c r="EF36724"/>
      <c r="EG36724"/>
      <c r="EH36724"/>
      <c r="EI36724"/>
      <c r="EJ36724"/>
      <c r="EK36724"/>
    </row>
    <row r="36725" spans="1:141" s="116" customFormat="1">
      <c r="A36725" s="136"/>
      <c r="CM36725" s="111"/>
      <c r="CQ36725" s="111"/>
      <c r="EF36725"/>
      <c r="EG36725"/>
      <c r="EH36725"/>
      <c r="EI36725"/>
      <c r="EJ36725"/>
      <c r="EK36725"/>
    </row>
    <row r="36726" spans="1:141" s="116" customFormat="1">
      <c r="A36726" s="136"/>
      <c r="CM36726" s="111"/>
      <c r="CQ36726" s="111"/>
      <c r="EF36726"/>
      <c r="EG36726"/>
      <c r="EH36726"/>
      <c r="EI36726"/>
      <c r="EJ36726"/>
      <c r="EK36726"/>
    </row>
    <row r="36727" spans="1:141" s="116" customFormat="1">
      <c r="A36727" s="136"/>
      <c r="CM36727" s="111"/>
      <c r="CQ36727" s="111"/>
      <c r="EF36727"/>
      <c r="EG36727"/>
      <c r="EH36727"/>
      <c r="EI36727"/>
      <c r="EJ36727"/>
      <c r="EK36727"/>
    </row>
    <row r="36728" spans="1:141" s="116" customFormat="1">
      <c r="A36728" s="136"/>
      <c r="CM36728" s="111"/>
      <c r="CQ36728" s="111"/>
      <c r="EF36728"/>
      <c r="EG36728"/>
      <c r="EH36728"/>
      <c r="EI36728"/>
      <c r="EJ36728"/>
      <c r="EK36728"/>
    </row>
    <row r="36729" spans="1:141" s="116" customFormat="1">
      <c r="A36729" s="136"/>
      <c r="CM36729" s="111"/>
      <c r="CQ36729" s="111"/>
      <c r="EF36729"/>
      <c r="EG36729"/>
      <c r="EH36729"/>
      <c r="EI36729"/>
      <c r="EJ36729"/>
      <c r="EK36729"/>
    </row>
    <row r="36730" spans="1:141" s="116" customFormat="1">
      <c r="A36730" s="136"/>
      <c r="CM36730" s="111"/>
      <c r="CQ36730" s="111"/>
      <c r="EF36730"/>
      <c r="EG36730"/>
      <c r="EH36730"/>
      <c r="EI36730"/>
      <c r="EJ36730"/>
      <c r="EK36730"/>
    </row>
    <row r="36731" spans="1:141" s="116" customFormat="1">
      <c r="A36731" s="136"/>
      <c r="CM36731" s="111"/>
      <c r="CQ36731" s="111"/>
      <c r="EF36731"/>
      <c r="EG36731"/>
      <c r="EH36731"/>
      <c r="EI36731"/>
      <c r="EJ36731"/>
      <c r="EK36731"/>
    </row>
    <row r="36732" spans="1:141" s="116" customFormat="1">
      <c r="A36732" s="136"/>
      <c r="CM36732" s="111"/>
      <c r="CQ36732" s="111"/>
      <c r="EF36732"/>
      <c r="EG36732"/>
      <c r="EH36732"/>
      <c r="EI36732"/>
      <c r="EJ36732"/>
      <c r="EK36732"/>
    </row>
    <row r="36733" spans="1:141" s="116" customFormat="1">
      <c r="A36733" s="136"/>
      <c r="CM36733" s="111"/>
      <c r="CQ36733" s="111"/>
      <c r="EF36733"/>
      <c r="EG36733"/>
      <c r="EH36733"/>
      <c r="EI36733"/>
      <c r="EJ36733"/>
      <c r="EK36733"/>
    </row>
    <row r="36734" spans="1:141" s="116" customFormat="1">
      <c r="A36734" s="136"/>
      <c r="CM36734" s="111"/>
      <c r="CQ36734" s="111"/>
      <c r="EF36734"/>
      <c r="EG36734"/>
      <c r="EH36734"/>
      <c r="EI36734"/>
      <c r="EJ36734"/>
      <c r="EK36734"/>
    </row>
    <row r="36735" spans="1:141" s="116" customFormat="1">
      <c r="A36735" s="136"/>
      <c r="CM36735" s="111"/>
      <c r="CQ36735" s="111"/>
      <c r="EF36735"/>
      <c r="EG36735"/>
      <c r="EH36735"/>
      <c r="EI36735"/>
      <c r="EJ36735"/>
      <c r="EK36735"/>
    </row>
    <row r="36736" spans="1:141" s="116" customFormat="1">
      <c r="A36736" s="136"/>
      <c r="CM36736" s="111"/>
      <c r="CQ36736" s="111"/>
      <c r="EF36736"/>
      <c r="EG36736"/>
      <c r="EH36736"/>
      <c r="EI36736"/>
      <c r="EJ36736"/>
      <c r="EK36736"/>
    </row>
    <row r="36737" spans="1:141" s="116" customFormat="1">
      <c r="A36737" s="136"/>
      <c r="CM36737" s="111"/>
      <c r="CQ36737" s="111"/>
      <c r="EF36737"/>
      <c r="EG36737"/>
      <c r="EH36737"/>
      <c r="EI36737"/>
      <c r="EJ36737"/>
      <c r="EK36737"/>
    </row>
    <row r="36738" spans="1:141" s="116" customFormat="1">
      <c r="A36738" s="136"/>
      <c r="CM36738" s="111"/>
      <c r="CQ36738" s="111"/>
      <c r="EF36738"/>
      <c r="EG36738"/>
      <c r="EH36738"/>
      <c r="EI36738"/>
      <c r="EJ36738"/>
      <c r="EK36738"/>
    </row>
    <row r="36739" spans="1:141" s="116" customFormat="1">
      <c r="A36739" s="136"/>
      <c r="CM36739" s="111"/>
      <c r="CQ36739" s="111"/>
      <c r="EF36739"/>
      <c r="EG36739"/>
      <c r="EH36739"/>
      <c r="EI36739"/>
      <c r="EJ36739"/>
      <c r="EK36739"/>
    </row>
    <row r="36740" spans="1:141" s="116" customFormat="1">
      <c r="A36740" s="136"/>
      <c r="CM36740" s="111"/>
      <c r="CQ36740" s="111"/>
      <c r="EF36740"/>
      <c r="EG36740"/>
      <c r="EH36740"/>
      <c r="EI36740"/>
      <c r="EJ36740"/>
      <c r="EK36740"/>
    </row>
    <row r="36741" spans="1:141" s="116" customFormat="1">
      <c r="A36741" s="136"/>
      <c r="CM36741" s="111"/>
      <c r="CQ36741" s="111"/>
      <c r="EF36741"/>
      <c r="EG36741"/>
      <c r="EH36741"/>
      <c r="EI36741"/>
      <c r="EJ36741"/>
      <c r="EK36741"/>
    </row>
    <row r="36742" spans="1:141" s="116" customFormat="1">
      <c r="A36742" s="136"/>
      <c r="CM36742" s="111"/>
      <c r="CQ36742" s="111"/>
      <c r="EF36742"/>
      <c r="EG36742"/>
      <c r="EH36742"/>
      <c r="EI36742"/>
      <c r="EJ36742"/>
      <c r="EK36742"/>
    </row>
    <row r="36743" spans="1:141" s="116" customFormat="1">
      <c r="A36743" s="136"/>
      <c r="CM36743" s="111"/>
      <c r="CQ36743" s="111"/>
      <c r="EF36743"/>
      <c r="EG36743"/>
      <c r="EH36743"/>
      <c r="EI36743"/>
      <c r="EJ36743"/>
      <c r="EK36743"/>
    </row>
    <row r="36744" spans="1:141" s="116" customFormat="1">
      <c r="A36744" s="136"/>
      <c r="CM36744" s="111"/>
      <c r="CQ36744" s="111"/>
      <c r="EF36744"/>
      <c r="EG36744"/>
      <c r="EH36744"/>
      <c r="EI36744"/>
      <c r="EJ36744"/>
      <c r="EK36744"/>
    </row>
    <row r="36745" spans="1:141" s="116" customFormat="1">
      <c r="A36745" s="136"/>
      <c r="CM36745" s="111"/>
      <c r="CQ36745" s="111"/>
      <c r="EF36745"/>
      <c r="EG36745"/>
      <c r="EH36745"/>
      <c r="EI36745"/>
      <c r="EJ36745"/>
      <c r="EK36745"/>
    </row>
    <row r="36746" spans="1:141" s="116" customFormat="1">
      <c r="A36746" s="136"/>
      <c r="CM36746" s="111"/>
      <c r="CQ36746" s="111"/>
      <c r="EF36746"/>
      <c r="EG36746"/>
      <c r="EH36746"/>
      <c r="EI36746"/>
      <c r="EJ36746"/>
      <c r="EK36746"/>
    </row>
    <row r="36747" spans="1:141" s="116" customFormat="1">
      <c r="A36747" s="136"/>
      <c r="CM36747" s="111"/>
      <c r="CQ36747" s="111"/>
      <c r="EF36747"/>
      <c r="EG36747"/>
      <c r="EH36747"/>
      <c r="EI36747"/>
      <c r="EJ36747"/>
      <c r="EK36747"/>
    </row>
    <row r="36748" spans="1:141" s="116" customFormat="1">
      <c r="A36748" s="136"/>
      <c r="CM36748" s="111"/>
      <c r="CQ36748" s="111"/>
      <c r="EF36748"/>
      <c r="EG36748"/>
      <c r="EH36748"/>
      <c r="EI36748"/>
      <c r="EJ36748"/>
      <c r="EK36748"/>
    </row>
    <row r="36749" spans="1:141" s="116" customFormat="1">
      <c r="A36749" s="136"/>
      <c r="CM36749" s="111"/>
      <c r="CQ36749" s="111"/>
      <c r="EF36749"/>
      <c r="EG36749"/>
      <c r="EH36749"/>
      <c r="EI36749"/>
      <c r="EJ36749"/>
      <c r="EK36749"/>
    </row>
    <row r="36750" spans="1:141" s="116" customFormat="1">
      <c r="A36750" s="136"/>
      <c r="CM36750" s="111"/>
      <c r="CQ36750" s="111"/>
      <c r="EF36750"/>
      <c r="EG36750"/>
      <c r="EH36750"/>
      <c r="EI36750"/>
      <c r="EJ36750"/>
      <c r="EK36750"/>
    </row>
    <row r="36751" spans="1:141" s="116" customFormat="1">
      <c r="A36751" s="136"/>
      <c r="CM36751" s="111"/>
      <c r="CQ36751" s="111"/>
      <c r="EF36751"/>
      <c r="EG36751"/>
      <c r="EH36751"/>
      <c r="EI36751"/>
      <c r="EJ36751"/>
      <c r="EK36751"/>
    </row>
    <row r="36752" spans="1:141" s="116" customFormat="1">
      <c r="A36752" s="136"/>
      <c r="CM36752" s="111"/>
      <c r="CQ36752" s="111"/>
      <c r="EF36752"/>
      <c r="EG36752"/>
      <c r="EH36752"/>
      <c r="EI36752"/>
      <c r="EJ36752"/>
      <c r="EK36752"/>
    </row>
    <row r="36753" spans="1:141" s="116" customFormat="1">
      <c r="A36753" s="136"/>
      <c r="CM36753" s="111"/>
      <c r="CQ36753" s="111"/>
      <c r="EF36753"/>
      <c r="EG36753"/>
      <c r="EH36753"/>
      <c r="EI36753"/>
      <c r="EJ36753"/>
      <c r="EK36753"/>
    </row>
    <row r="36754" spans="1:141" s="116" customFormat="1">
      <c r="A36754" s="136"/>
      <c r="CM36754" s="111"/>
      <c r="CQ36754" s="111"/>
      <c r="EF36754"/>
      <c r="EG36754"/>
      <c r="EH36754"/>
      <c r="EI36754"/>
      <c r="EJ36754"/>
      <c r="EK36754"/>
    </row>
    <row r="36755" spans="1:141" s="116" customFormat="1">
      <c r="A36755" s="136"/>
      <c r="CM36755" s="111"/>
      <c r="CQ36755" s="111"/>
      <c r="EF36755"/>
      <c r="EG36755"/>
      <c r="EH36755"/>
      <c r="EI36755"/>
      <c r="EJ36755"/>
      <c r="EK36755"/>
    </row>
    <row r="36756" spans="1:141" s="116" customFormat="1">
      <c r="A36756" s="136"/>
      <c r="CM36756" s="111"/>
      <c r="CQ36756" s="111"/>
      <c r="EF36756"/>
      <c r="EG36756"/>
      <c r="EH36756"/>
      <c r="EI36756"/>
      <c r="EJ36756"/>
      <c r="EK36756"/>
    </row>
    <row r="36757" spans="1:141" s="116" customFormat="1">
      <c r="A36757" s="136"/>
      <c r="CM36757" s="111"/>
      <c r="CQ36757" s="111"/>
      <c r="EF36757"/>
      <c r="EG36757"/>
      <c r="EH36757"/>
      <c r="EI36757"/>
      <c r="EJ36757"/>
      <c r="EK36757"/>
    </row>
    <row r="36758" spans="1:141" s="116" customFormat="1">
      <c r="A36758" s="136"/>
      <c r="CM36758" s="111"/>
      <c r="CQ36758" s="111"/>
      <c r="EF36758"/>
      <c r="EG36758"/>
      <c r="EH36758"/>
      <c r="EI36758"/>
      <c r="EJ36758"/>
      <c r="EK36758"/>
    </row>
    <row r="36759" spans="1:141" s="116" customFormat="1">
      <c r="A36759" s="136"/>
      <c r="CM36759" s="111"/>
      <c r="CQ36759" s="111"/>
      <c r="EF36759"/>
      <c r="EG36759"/>
      <c r="EH36759"/>
      <c r="EI36759"/>
      <c r="EJ36759"/>
      <c r="EK36759"/>
    </row>
    <row r="36760" spans="1:141" s="116" customFormat="1">
      <c r="A36760" s="136"/>
      <c r="CM36760" s="111"/>
      <c r="CQ36760" s="111"/>
      <c r="EF36760"/>
      <c r="EG36760"/>
      <c r="EH36760"/>
      <c r="EI36760"/>
      <c r="EJ36760"/>
      <c r="EK36760"/>
    </row>
    <row r="36761" spans="1:141" s="116" customFormat="1">
      <c r="A36761" s="136"/>
      <c r="CM36761" s="111"/>
      <c r="CQ36761" s="111"/>
      <c r="EF36761"/>
      <c r="EG36761"/>
      <c r="EH36761"/>
      <c r="EI36761"/>
      <c r="EJ36761"/>
      <c r="EK36761"/>
    </row>
    <row r="36762" spans="1:141" s="116" customFormat="1">
      <c r="A36762" s="136"/>
      <c r="CM36762" s="111"/>
      <c r="CQ36762" s="111"/>
      <c r="EF36762"/>
      <c r="EG36762"/>
      <c r="EH36762"/>
      <c r="EI36762"/>
      <c r="EJ36762"/>
      <c r="EK36762"/>
    </row>
    <row r="36763" spans="1:141" s="116" customFormat="1">
      <c r="A36763" s="136"/>
      <c r="CM36763" s="111"/>
      <c r="CQ36763" s="111"/>
      <c r="EF36763"/>
      <c r="EG36763"/>
      <c r="EH36763"/>
      <c r="EI36763"/>
      <c r="EJ36763"/>
      <c r="EK36763"/>
    </row>
    <row r="36764" spans="1:141" s="116" customFormat="1">
      <c r="A36764" s="136"/>
      <c r="CM36764" s="111"/>
      <c r="CQ36764" s="111"/>
      <c r="EF36764"/>
      <c r="EG36764"/>
      <c r="EH36764"/>
      <c r="EI36764"/>
      <c r="EJ36764"/>
      <c r="EK36764"/>
    </row>
    <row r="36765" spans="1:141" s="116" customFormat="1">
      <c r="A36765" s="136"/>
      <c r="CM36765" s="111"/>
      <c r="CQ36765" s="111"/>
      <c r="EF36765"/>
      <c r="EG36765"/>
      <c r="EH36765"/>
      <c r="EI36765"/>
      <c r="EJ36765"/>
      <c r="EK36765"/>
    </row>
    <row r="36766" spans="1:141" s="116" customFormat="1">
      <c r="A36766" s="136"/>
      <c r="CM36766" s="111"/>
      <c r="CQ36766" s="111"/>
      <c r="EF36766"/>
      <c r="EG36766"/>
      <c r="EH36766"/>
      <c r="EI36766"/>
      <c r="EJ36766"/>
      <c r="EK36766"/>
    </row>
    <row r="36767" spans="1:141" s="116" customFormat="1">
      <c r="A36767" s="136"/>
      <c r="CM36767" s="111"/>
      <c r="CQ36767" s="111"/>
      <c r="EF36767"/>
      <c r="EG36767"/>
      <c r="EH36767"/>
      <c r="EI36767"/>
      <c r="EJ36767"/>
      <c r="EK36767"/>
    </row>
    <row r="36768" spans="1:141" s="116" customFormat="1">
      <c r="A36768" s="136"/>
      <c r="CM36768" s="111"/>
      <c r="CQ36768" s="111"/>
      <c r="EF36768"/>
      <c r="EG36768"/>
      <c r="EH36768"/>
      <c r="EI36768"/>
      <c r="EJ36768"/>
      <c r="EK36768"/>
    </row>
    <row r="36769" spans="1:141" s="116" customFormat="1">
      <c r="A36769" s="136"/>
      <c r="CM36769" s="111"/>
      <c r="CQ36769" s="111"/>
      <c r="EF36769"/>
      <c r="EG36769"/>
      <c r="EH36769"/>
      <c r="EI36769"/>
      <c r="EJ36769"/>
      <c r="EK36769"/>
    </row>
    <row r="36770" spans="1:141" s="116" customFormat="1">
      <c r="A36770" s="136"/>
      <c r="CM36770" s="111"/>
      <c r="CQ36770" s="111"/>
      <c r="EF36770"/>
      <c r="EG36770"/>
      <c r="EH36770"/>
      <c r="EI36770"/>
      <c r="EJ36770"/>
      <c r="EK36770"/>
    </row>
    <row r="36771" spans="1:141" s="116" customFormat="1">
      <c r="A36771" s="136"/>
      <c r="CM36771" s="111"/>
      <c r="CQ36771" s="111"/>
      <c r="EF36771"/>
      <c r="EG36771"/>
      <c r="EH36771"/>
      <c r="EI36771"/>
      <c r="EJ36771"/>
      <c r="EK36771"/>
    </row>
    <row r="36772" spans="1:141" s="116" customFormat="1">
      <c r="A36772" s="136"/>
      <c r="CM36772" s="111"/>
      <c r="CQ36772" s="111"/>
      <c r="EF36772"/>
      <c r="EG36772"/>
      <c r="EH36772"/>
      <c r="EI36772"/>
      <c r="EJ36772"/>
      <c r="EK36772"/>
    </row>
    <row r="36773" spans="1:141" s="116" customFormat="1">
      <c r="A36773" s="136"/>
      <c r="CM36773" s="111"/>
      <c r="CQ36773" s="111"/>
      <c r="EF36773"/>
      <c r="EG36773"/>
      <c r="EH36773"/>
      <c r="EI36773"/>
      <c r="EJ36773"/>
      <c r="EK36773"/>
    </row>
    <row r="36774" spans="1:141" s="116" customFormat="1">
      <c r="A36774" s="136"/>
      <c r="CM36774" s="111"/>
      <c r="CQ36774" s="111"/>
      <c r="EF36774"/>
      <c r="EG36774"/>
      <c r="EH36774"/>
      <c r="EI36774"/>
      <c r="EJ36774"/>
      <c r="EK36774"/>
    </row>
    <row r="36775" spans="1:141" s="116" customFormat="1">
      <c r="A36775" s="136"/>
      <c r="CM36775" s="111"/>
      <c r="CQ36775" s="111"/>
      <c r="EF36775"/>
      <c r="EG36775"/>
      <c r="EH36775"/>
      <c r="EI36775"/>
      <c r="EJ36775"/>
      <c r="EK36775"/>
    </row>
    <row r="36776" spans="1:141" s="116" customFormat="1">
      <c r="A36776" s="136"/>
      <c r="CM36776" s="111"/>
      <c r="CQ36776" s="111"/>
      <c r="EF36776"/>
      <c r="EG36776"/>
      <c r="EH36776"/>
      <c r="EI36776"/>
      <c r="EJ36776"/>
      <c r="EK36776"/>
    </row>
    <row r="36777" spans="1:141" s="116" customFormat="1">
      <c r="A36777" s="136"/>
      <c r="CM36777" s="111"/>
      <c r="CQ36777" s="111"/>
      <c r="EF36777"/>
      <c r="EG36777"/>
      <c r="EH36777"/>
      <c r="EI36777"/>
      <c r="EJ36777"/>
      <c r="EK36777"/>
    </row>
    <row r="36778" spans="1:141" s="116" customFormat="1">
      <c r="A36778" s="136"/>
      <c r="CM36778" s="111"/>
      <c r="CQ36778" s="111"/>
      <c r="EF36778"/>
      <c r="EG36778"/>
      <c r="EH36778"/>
      <c r="EI36778"/>
      <c r="EJ36778"/>
      <c r="EK36778"/>
    </row>
    <row r="36779" spans="1:141" s="116" customFormat="1">
      <c r="A36779" s="136"/>
      <c r="CM36779" s="111"/>
      <c r="CQ36779" s="111"/>
      <c r="EF36779"/>
      <c r="EG36779"/>
      <c r="EH36779"/>
      <c r="EI36779"/>
      <c r="EJ36779"/>
      <c r="EK36779"/>
    </row>
    <row r="36780" spans="1:141" s="116" customFormat="1">
      <c r="A36780" s="136"/>
      <c r="CM36780" s="111"/>
      <c r="CQ36780" s="111"/>
      <c r="EF36780"/>
      <c r="EG36780"/>
      <c r="EH36780"/>
      <c r="EI36780"/>
      <c r="EJ36780"/>
      <c r="EK36780"/>
    </row>
    <row r="36781" spans="1:141" s="116" customFormat="1">
      <c r="A36781" s="136"/>
      <c r="CM36781" s="111"/>
      <c r="CQ36781" s="111"/>
      <c r="EF36781"/>
      <c r="EG36781"/>
      <c r="EH36781"/>
      <c r="EI36781"/>
      <c r="EJ36781"/>
      <c r="EK36781"/>
    </row>
    <row r="36782" spans="1:141" s="116" customFormat="1">
      <c r="A36782" s="136"/>
      <c r="CM36782" s="111"/>
      <c r="CQ36782" s="111"/>
      <c r="EF36782"/>
      <c r="EG36782"/>
      <c r="EH36782"/>
      <c r="EI36782"/>
      <c r="EJ36782"/>
      <c r="EK36782"/>
    </row>
    <row r="36783" spans="1:141" s="116" customFormat="1">
      <c r="A36783" s="136"/>
      <c r="CM36783" s="111"/>
      <c r="CQ36783" s="111"/>
      <c r="EF36783"/>
      <c r="EG36783"/>
      <c r="EH36783"/>
      <c r="EI36783"/>
      <c r="EJ36783"/>
      <c r="EK36783"/>
    </row>
    <row r="36784" spans="1:141" s="116" customFormat="1">
      <c r="A36784" s="136"/>
      <c r="CM36784" s="111"/>
      <c r="CQ36784" s="111"/>
      <c r="EF36784"/>
      <c r="EG36784"/>
      <c r="EH36784"/>
      <c r="EI36784"/>
      <c r="EJ36784"/>
      <c r="EK36784"/>
    </row>
    <row r="36785" spans="1:141" s="116" customFormat="1">
      <c r="A36785" s="136"/>
      <c r="CM36785" s="111"/>
      <c r="CQ36785" s="111"/>
      <c r="EF36785"/>
      <c r="EG36785"/>
      <c r="EH36785"/>
      <c r="EI36785"/>
      <c r="EJ36785"/>
      <c r="EK36785"/>
    </row>
    <row r="36786" spans="1:141" s="116" customFormat="1">
      <c r="A36786" s="136"/>
      <c r="CM36786" s="111"/>
      <c r="CQ36786" s="111"/>
      <c r="EF36786"/>
      <c r="EG36786"/>
      <c r="EH36786"/>
      <c r="EI36786"/>
      <c r="EJ36786"/>
      <c r="EK36786"/>
    </row>
    <row r="36787" spans="1:141" s="116" customFormat="1">
      <c r="A36787" s="136"/>
      <c r="CM36787" s="111"/>
      <c r="CQ36787" s="111"/>
      <c r="EF36787"/>
      <c r="EG36787"/>
      <c r="EH36787"/>
      <c r="EI36787"/>
      <c r="EJ36787"/>
      <c r="EK36787"/>
    </row>
    <row r="36788" spans="1:141" s="116" customFormat="1">
      <c r="A36788" s="136"/>
      <c r="CM36788" s="111"/>
      <c r="CQ36788" s="111"/>
      <c r="EF36788"/>
      <c r="EG36788"/>
      <c r="EH36788"/>
      <c r="EI36788"/>
      <c r="EJ36788"/>
      <c r="EK36788"/>
    </row>
    <row r="36789" spans="1:141" s="116" customFormat="1">
      <c r="A36789" s="136"/>
      <c r="CM36789" s="111"/>
      <c r="CQ36789" s="111"/>
      <c r="EF36789"/>
      <c r="EG36789"/>
      <c r="EH36789"/>
      <c r="EI36789"/>
      <c r="EJ36789"/>
      <c r="EK36789"/>
    </row>
    <row r="36790" spans="1:141" s="116" customFormat="1">
      <c r="A36790" s="136"/>
      <c r="CM36790" s="111"/>
      <c r="CQ36790" s="111"/>
      <c r="EF36790"/>
      <c r="EG36790"/>
      <c r="EH36790"/>
      <c r="EI36790"/>
      <c r="EJ36790"/>
      <c r="EK36790"/>
    </row>
    <row r="36791" spans="1:141" s="116" customFormat="1">
      <c r="A36791" s="136"/>
      <c r="CM36791" s="111"/>
      <c r="CQ36791" s="111"/>
      <c r="EF36791"/>
      <c r="EG36791"/>
      <c r="EH36791"/>
      <c r="EI36791"/>
      <c r="EJ36791"/>
      <c r="EK36791"/>
    </row>
    <row r="36792" spans="1:141" s="116" customFormat="1">
      <c r="A36792" s="136"/>
      <c r="CM36792" s="111"/>
      <c r="CQ36792" s="111"/>
      <c r="EF36792"/>
      <c r="EG36792"/>
      <c r="EH36792"/>
      <c r="EI36792"/>
      <c r="EJ36792"/>
      <c r="EK36792"/>
    </row>
    <row r="36793" spans="1:141" s="116" customFormat="1">
      <c r="A36793" s="136"/>
      <c r="CM36793" s="111"/>
      <c r="CQ36793" s="111"/>
      <c r="EF36793"/>
      <c r="EG36793"/>
      <c r="EH36793"/>
      <c r="EI36793"/>
      <c r="EJ36793"/>
      <c r="EK36793"/>
    </row>
    <row r="36794" spans="1:141" s="116" customFormat="1">
      <c r="A36794" s="136"/>
      <c r="CM36794" s="111"/>
      <c r="CQ36794" s="111"/>
      <c r="EF36794"/>
      <c r="EG36794"/>
      <c r="EH36794"/>
      <c r="EI36794"/>
      <c r="EJ36794"/>
      <c r="EK36794"/>
    </row>
    <row r="36795" spans="1:141" s="116" customFormat="1">
      <c r="A36795" s="136"/>
      <c r="CM36795" s="111"/>
      <c r="CQ36795" s="111"/>
      <c r="EF36795"/>
      <c r="EG36795"/>
      <c r="EH36795"/>
      <c r="EI36795"/>
      <c r="EJ36795"/>
      <c r="EK36795"/>
    </row>
    <row r="36796" spans="1:141" s="116" customFormat="1">
      <c r="A36796" s="136"/>
      <c r="CM36796" s="111"/>
      <c r="CQ36796" s="111"/>
      <c r="EF36796"/>
      <c r="EG36796"/>
      <c r="EH36796"/>
      <c r="EI36796"/>
      <c r="EJ36796"/>
      <c r="EK36796"/>
    </row>
    <row r="36797" spans="1:141" s="116" customFormat="1">
      <c r="A36797" s="136"/>
      <c r="CM36797" s="111"/>
      <c r="CQ36797" s="111"/>
      <c r="EF36797"/>
      <c r="EG36797"/>
      <c r="EH36797"/>
      <c r="EI36797"/>
      <c r="EJ36797"/>
      <c r="EK36797"/>
    </row>
    <row r="36798" spans="1:141" s="116" customFormat="1">
      <c r="A36798" s="136"/>
      <c r="CM36798" s="111"/>
      <c r="CQ36798" s="111"/>
      <c r="EF36798"/>
      <c r="EG36798"/>
      <c r="EH36798"/>
      <c r="EI36798"/>
      <c r="EJ36798"/>
      <c r="EK36798"/>
    </row>
    <row r="36799" spans="1:141" s="116" customFormat="1">
      <c r="A36799" s="136"/>
      <c r="CM36799" s="111"/>
      <c r="CQ36799" s="111"/>
      <c r="EF36799"/>
      <c r="EG36799"/>
      <c r="EH36799"/>
      <c r="EI36799"/>
      <c r="EJ36799"/>
      <c r="EK36799"/>
    </row>
    <row r="36800" spans="1:141" s="116" customFormat="1">
      <c r="A36800" s="136"/>
      <c r="CM36800" s="111"/>
      <c r="CQ36800" s="111"/>
      <c r="EF36800"/>
      <c r="EG36800"/>
      <c r="EH36800"/>
      <c r="EI36800"/>
      <c r="EJ36800"/>
      <c r="EK36800"/>
    </row>
    <row r="36801" spans="1:141" s="116" customFormat="1">
      <c r="A36801" s="136"/>
      <c r="CM36801" s="111"/>
      <c r="CQ36801" s="111"/>
      <c r="EF36801"/>
      <c r="EG36801"/>
      <c r="EH36801"/>
      <c r="EI36801"/>
      <c r="EJ36801"/>
      <c r="EK36801"/>
    </row>
    <row r="36802" spans="1:141" s="116" customFormat="1">
      <c r="A36802" s="136"/>
      <c r="CM36802" s="111"/>
      <c r="CQ36802" s="111"/>
      <c r="EF36802"/>
      <c r="EG36802"/>
      <c r="EH36802"/>
      <c r="EI36802"/>
      <c r="EJ36802"/>
      <c r="EK36802"/>
    </row>
    <row r="36803" spans="1:141" s="116" customFormat="1">
      <c r="A36803" s="136"/>
      <c r="CM36803" s="111"/>
      <c r="CQ36803" s="111"/>
      <c r="EF36803"/>
      <c r="EG36803"/>
      <c r="EH36803"/>
      <c r="EI36803"/>
      <c r="EJ36803"/>
      <c r="EK36803"/>
    </row>
    <row r="36804" spans="1:141" s="116" customFormat="1">
      <c r="A36804" s="136"/>
      <c r="CM36804" s="111"/>
      <c r="CQ36804" s="111"/>
      <c r="EF36804"/>
      <c r="EG36804"/>
      <c r="EH36804"/>
      <c r="EI36804"/>
      <c r="EJ36804"/>
      <c r="EK36804"/>
    </row>
    <row r="36805" spans="1:141" s="116" customFormat="1">
      <c r="A36805" s="136"/>
      <c r="CM36805" s="111"/>
      <c r="CQ36805" s="111"/>
      <c r="EF36805"/>
      <c r="EG36805"/>
      <c r="EH36805"/>
      <c r="EI36805"/>
      <c r="EJ36805"/>
      <c r="EK36805"/>
    </row>
    <row r="36806" spans="1:141" s="116" customFormat="1">
      <c r="A36806" s="136"/>
      <c r="CM36806" s="111"/>
      <c r="CQ36806" s="111"/>
      <c r="EF36806"/>
      <c r="EG36806"/>
      <c r="EH36806"/>
      <c r="EI36806"/>
      <c r="EJ36806"/>
      <c r="EK36806"/>
    </row>
    <row r="36807" spans="1:141" s="116" customFormat="1">
      <c r="A36807" s="136"/>
      <c r="CM36807" s="111"/>
      <c r="CQ36807" s="111"/>
      <c r="EF36807"/>
      <c r="EG36807"/>
      <c r="EH36807"/>
      <c r="EI36807"/>
      <c r="EJ36807"/>
      <c r="EK36807"/>
    </row>
    <row r="36808" spans="1:141" s="116" customFormat="1">
      <c r="A36808" s="136"/>
      <c r="CM36808" s="111"/>
      <c r="CQ36808" s="111"/>
      <c r="EF36808"/>
      <c r="EG36808"/>
      <c r="EH36808"/>
      <c r="EI36808"/>
      <c r="EJ36808"/>
      <c r="EK36808"/>
    </row>
    <row r="36809" spans="1:141" s="116" customFormat="1">
      <c r="A36809" s="136"/>
      <c r="CM36809" s="111"/>
      <c r="CQ36809" s="111"/>
      <c r="EF36809"/>
      <c r="EG36809"/>
      <c r="EH36809"/>
      <c r="EI36809"/>
      <c r="EJ36809"/>
      <c r="EK36809"/>
    </row>
    <row r="36810" spans="1:141" s="116" customFormat="1">
      <c r="A36810" s="136"/>
      <c r="CM36810" s="111"/>
      <c r="CQ36810" s="111"/>
      <c r="EF36810"/>
      <c r="EG36810"/>
      <c r="EH36810"/>
      <c r="EI36810"/>
      <c r="EJ36810"/>
      <c r="EK36810"/>
    </row>
    <row r="36811" spans="1:141" s="116" customFormat="1">
      <c r="A36811" s="136"/>
      <c r="CM36811" s="111"/>
      <c r="CQ36811" s="111"/>
      <c r="EF36811"/>
      <c r="EG36811"/>
      <c r="EH36811"/>
      <c r="EI36811"/>
      <c r="EJ36811"/>
      <c r="EK36811"/>
    </row>
    <row r="36812" spans="1:141" s="116" customFormat="1">
      <c r="A36812" s="136"/>
      <c r="CM36812" s="111"/>
      <c r="CQ36812" s="111"/>
      <c r="EF36812"/>
      <c r="EG36812"/>
      <c r="EH36812"/>
      <c r="EI36812"/>
      <c r="EJ36812"/>
      <c r="EK36812"/>
    </row>
    <row r="36813" spans="1:141" s="116" customFormat="1">
      <c r="A36813" s="136"/>
      <c r="CM36813" s="111"/>
      <c r="CQ36813" s="111"/>
      <c r="EF36813"/>
      <c r="EG36813"/>
      <c r="EH36813"/>
      <c r="EI36813"/>
      <c r="EJ36813"/>
      <c r="EK36813"/>
    </row>
    <row r="36814" spans="1:141" s="116" customFormat="1">
      <c r="A36814" s="136"/>
      <c r="CM36814" s="111"/>
      <c r="CQ36814" s="111"/>
      <c r="EF36814"/>
      <c r="EG36814"/>
      <c r="EH36814"/>
      <c r="EI36814"/>
      <c r="EJ36814"/>
      <c r="EK36814"/>
    </row>
    <row r="36815" spans="1:141" s="116" customFormat="1">
      <c r="A36815" s="136"/>
      <c r="CM36815" s="111"/>
      <c r="CQ36815" s="111"/>
      <c r="EF36815"/>
      <c r="EG36815"/>
      <c r="EH36815"/>
      <c r="EI36815"/>
      <c r="EJ36815"/>
      <c r="EK36815"/>
    </row>
    <row r="36816" spans="1:141" s="116" customFormat="1">
      <c r="A36816" s="136"/>
      <c r="CM36816" s="111"/>
      <c r="CQ36816" s="111"/>
      <c r="EF36816"/>
      <c r="EG36816"/>
      <c r="EH36816"/>
      <c r="EI36816"/>
      <c r="EJ36816"/>
      <c r="EK36816"/>
    </row>
    <row r="36817" spans="1:141" s="116" customFormat="1">
      <c r="A36817" s="136"/>
      <c r="CM36817" s="111"/>
      <c r="CQ36817" s="111"/>
      <c r="EF36817"/>
      <c r="EG36817"/>
      <c r="EH36817"/>
      <c r="EI36817"/>
      <c r="EJ36817"/>
      <c r="EK36817"/>
    </row>
    <row r="36818" spans="1:141" s="116" customFormat="1">
      <c r="A36818" s="136"/>
      <c r="CM36818" s="111"/>
      <c r="CQ36818" s="111"/>
      <c r="EF36818"/>
      <c r="EG36818"/>
      <c r="EH36818"/>
      <c r="EI36818"/>
      <c r="EJ36818"/>
      <c r="EK36818"/>
    </row>
    <row r="36819" spans="1:141" s="116" customFormat="1">
      <c r="A36819" s="136"/>
      <c r="CM36819" s="111"/>
      <c r="CQ36819" s="111"/>
      <c r="EF36819"/>
      <c r="EG36819"/>
      <c r="EH36819"/>
      <c r="EI36819"/>
      <c r="EJ36819"/>
      <c r="EK36819"/>
    </row>
    <row r="36820" spans="1:141" s="116" customFormat="1">
      <c r="A36820" s="136"/>
      <c r="CM36820" s="111"/>
      <c r="CQ36820" s="111"/>
      <c r="EF36820"/>
      <c r="EG36820"/>
      <c r="EH36820"/>
      <c r="EI36820"/>
      <c r="EJ36820"/>
      <c r="EK36820"/>
    </row>
    <row r="36821" spans="1:141" s="116" customFormat="1">
      <c r="A36821" s="136"/>
      <c r="CM36821" s="111"/>
      <c r="CQ36821" s="111"/>
      <c r="EF36821"/>
      <c r="EG36821"/>
      <c r="EH36821"/>
      <c r="EI36821"/>
      <c r="EJ36821"/>
      <c r="EK36821"/>
    </row>
    <row r="36822" spans="1:141" s="116" customFormat="1">
      <c r="A36822" s="136"/>
      <c r="CM36822" s="111"/>
      <c r="CQ36822" s="111"/>
      <c r="EF36822"/>
      <c r="EG36822"/>
      <c r="EH36822"/>
      <c r="EI36822"/>
      <c r="EJ36822"/>
      <c r="EK36822"/>
    </row>
    <row r="36823" spans="1:141" s="116" customFormat="1">
      <c r="A36823" s="136"/>
      <c r="CM36823" s="111"/>
      <c r="CQ36823" s="111"/>
      <c r="EF36823"/>
      <c r="EG36823"/>
      <c r="EH36823"/>
      <c r="EI36823"/>
      <c r="EJ36823"/>
      <c r="EK36823"/>
    </row>
    <row r="36824" spans="1:141" s="116" customFormat="1">
      <c r="A36824" s="136"/>
      <c r="CM36824" s="111"/>
      <c r="CQ36824" s="111"/>
      <c r="EF36824"/>
      <c r="EG36824"/>
      <c r="EH36824"/>
      <c r="EI36824"/>
      <c r="EJ36824"/>
      <c r="EK36824"/>
    </row>
    <row r="36825" spans="1:141" s="116" customFormat="1">
      <c r="A36825" s="136"/>
      <c r="CM36825" s="111"/>
      <c r="CQ36825" s="111"/>
      <c r="EF36825"/>
      <c r="EG36825"/>
      <c r="EH36825"/>
      <c r="EI36825"/>
      <c r="EJ36825"/>
      <c r="EK36825"/>
    </row>
    <row r="36826" spans="1:141" s="116" customFormat="1">
      <c r="A36826" s="136"/>
      <c r="CM36826" s="111"/>
      <c r="CQ36826" s="111"/>
      <c r="EF36826"/>
      <c r="EG36826"/>
      <c r="EH36826"/>
      <c r="EI36826"/>
      <c r="EJ36826"/>
      <c r="EK36826"/>
    </row>
    <row r="36827" spans="1:141" s="116" customFormat="1">
      <c r="A36827" s="136"/>
      <c r="CM36827" s="111"/>
      <c r="CQ36827" s="111"/>
      <c r="EF36827"/>
      <c r="EG36827"/>
      <c r="EH36827"/>
      <c r="EI36827"/>
      <c r="EJ36827"/>
      <c r="EK36827"/>
    </row>
    <row r="36828" spans="1:141" s="116" customFormat="1">
      <c r="A36828" s="136"/>
      <c r="CM36828" s="111"/>
      <c r="CQ36828" s="111"/>
      <c r="EF36828"/>
      <c r="EG36828"/>
      <c r="EH36828"/>
      <c r="EI36828"/>
      <c r="EJ36828"/>
      <c r="EK36828"/>
    </row>
    <row r="36829" spans="1:141" s="116" customFormat="1">
      <c r="A36829" s="136"/>
      <c r="CM36829" s="111"/>
      <c r="CQ36829" s="111"/>
      <c r="EF36829"/>
      <c r="EG36829"/>
      <c r="EH36829"/>
      <c r="EI36829"/>
      <c r="EJ36829"/>
      <c r="EK36829"/>
    </row>
    <row r="36830" spans="1:141" s="116" customFormat="1">
      <c r="A36830" s="136"/>
      <c r="CM36830" s="111"/>
      <c r="CQ36830" s="111"/>
      <c r="EF36830"/>
      <c r="EG36830"/>
      <c r="EH36830"/>
      <c r="EI36830"/>
      <c r="EJ36830"/>
      <c r="EK36830"/>
    </row>
    <row r="36831" spans="1:141" s="116" customFormat="1">
      <c r="A36831" s="136"/>
      <c r="CM36831" s="111"/>
      <c r="CQ36831" s="111"/>
      <c r="EF36831"/>
      <c r="EG36831"/>
      <c r="EH36831"/>
      <c r="EI36831"/>
      <c r="EJ36831"/>
      <c r="EK36831"/>
    </row>
    <row r="36832" spans="1:141" s="116" customFormat="1">
      <c r="A36832" s="136"/>
      <c r="CM36832" s="111"/>
      <c r="CQ36832" s="111"/>
      <c r="EF36832"/>
      <c r="EG36832"/>
      <c r="EH36832"/>
      <c r="EI36832"/>
      <c r="EJ36832"/>
      <c r="EK36832"/>
    </row>
    <row r="36833" spans="1:141" s="116" customFormat="1">
      <c r="A36833" s="136"/>
      <c r="CM36833" s="111"/>
      <c r="CQ36833" s="111"/>
      <c r="EF36833"/>
      <c r="EG36833"/>
      <c r="EH36833"/>
      <c r="EI36833"/>
      <c r="EJ36833"/>
      <c r="EK36833"/>
    </row>
    <row r="36834" spans="1:141" s="116" customFormat="1">
      <c r="A36834" s="136"/>
      <c r="CM36834" s="111"/>
      <c r="CQ36834" s="111"/>
      <c r="EF36834"/>
      <c r="EG36834"/>
      <c r="EH36834"/>
      <c r="EI36834"/>
      <c r="EJ36834"/>
      <c r="EK36834"/>
    </row>
    <row r="36835" spans="1:141" s="116" customFormat="1">
      <c r="A36835" s="136"/>
      <c r="CM36835" s="111"/>
      <c r="CQ36835" s="111"/>
      <c r="EF36835"/>
      <c r="EG36835"/>
      <c r="EH36835"/>
      <c r="EI36835"/>
      <c r="EJ36835"/>
      <c r="EK36835"/>
    </row>
    <row r="36836" spans="1:141" s="116" customFormat="1">
      <c r="A36836" s="136"/>
      <c r="CM36836" s="111"/>
      <c r="CQ36836" s="111"/>
      <c r="EF36836"/>
      <c r="EG36836"/>
      <c r="EH36836"/>
      <c r="EI36836"/>
      <c r="EJ36836"/>
      <c r="EK36836"/>
    </row>
    <row r="36837" spans="1:141" s="116" customFormat="1">
      <c r="A36837" s="136"/>
      <c r="CM36837" s="111"/>
      <c r="CQ36837" s="111"/>
      <c r="EF36837"/>
      <c r="EG36837"/>
      <c r="EH36837"/>
      <c r="EI36837"/>
      <c r="EJ36837"/>
      <c r="EK36837"/>
    </row>
    <row r="36838" spans="1:141" s="116" customFormat="1">
      <c r="A36838" s="136"/>
      <c r="CM36838" s="111"/>
      <c r="CQ36838" s="111"/>
      <c r="EF36838"/>
      <c r="EG36838"/>
      <c r="EH36838"/>
      <c r="EI36838"/>
      <c r="EJ36838"/>
      <c r="EK36838"/>
    </row>
    <row r="36839" spans="1:141" s="116" customFormat="1">
      <c r="A36839" s="136"/>
      <c r="CM36839" s="111"/>
      <c r="CQ36839" s="111"/>
      <c r="EF36839"/>
      <c r="EG36839"/>
      <c r="EH36839"/>
      <c r="EI36839"/>
      <c r="EJ36839"/>
      <c r="EK36839"/>
    </row>
    <row r="36840" spans="1:141" s="116" customFormat="1">
      <c r="A36840" s="136"/>
      <c r="CM36840" s="111"/>
      <c r="CQ36840" s="111"/>
      <c r="EF36840"/>
      <c r="EG36840"/>
      <c r="EH36840"/>
      <c r="EI36840"/>
      <c r="EJ36840"/>
      <c r="EK36840"/>
    </row>
    <row r="36841" spans="1:141" s="116" customFormat="1">
      <c r="A36841" s="136"/>
      <c r="CM36841" s="111"/>
      <c r="CQ36841" s="111"/>
      <c r="EF36841"/>
      <c r="EG36841"/>
      <c r="EH36841"/>
      <c r="EI36841"/>
      <c r="EJ36841"/>
      <c r="EK36841"/>
    </row>
    <row r="36842" spans="1:141" s="116" customFormat="1">
      <c r="A36842" s="136"/>
      <c r="CM36842" s="111"/>
      <c r="CQ36842" s="111"/>
      <c r="EF36842"/>
      <c r="EG36842"/>
      <c r="EH36842"/>
      <c r="EI36842"/>
      <c r="EJ36842"/>
      <c r="EK36842"/>
    </row>
    <row r="36843" spans="1:141" s="116" customFormat="1">
      <c r="A36843" s="136"/>
      <c r="CM36843" s="111"/>
      <c r="CQ36843" s="111"/>
      <c r="EF36843"/>
      <c r="EG36843"/>
      <c r="EH36843"/>
      <c r="EI36843"/>
      <c r="EJ36843"/>
      <c r="EK36843"/>
    </row>
    <row r="36844" spans="1:141" s="116" customFormat="1">
      <c r="A36844" s="136"/>
      <c r="CM36844" s="111"/>
      <c r="CQ36844" s="111"/>
      <c r="EF36844"/>
      <c r="EG36844"/>
      <c r="EH36844"/>
      <c r="EI36844"/>
      <c r="EJ36844"/>
      <c r="EK36844"/>
    </row>
    <row r="36845" spans="1:141" s="116" customFormat="1">
      <c r="A36845" s="136"/>
      <c r="CM36845" s="111"/>
      <c r="CQ36845" s="111"/>
      <c r="EF36845"/>
      <c r="EG36845"/>
      <c r="EH36845"/>
      <c r="EI36845"/>
      <c r="EJ36845"/>
      <c r="EK36845"/>
    </row>
    <row r="36846" spans="1:141" s="116" customFormat="1">
      <c r="A36846" s="136"/>
      <c r="CM36846" s="111"/>
      <c r="CQ36846" s="111"/>
      <c r="EF36846"/>
      <c r="EG36846"/>
      <c r="EH36846"/>
      <c r="EI36846"/>
      <c r="EJ36846"/>
      <c r="EK36846"/>
    </row>
    <row r="36847" spans="1:141" s="116" customFormat="1">
      <c r="A36847" s="136"/>
      <c r="CM36847" s="111"/>
      <c r="CQ36847" s="111"/>
      <c r="EF36847"/>
      <c r="EG36847"/>
      <c r="EH36847"/>
      <c r="EI36847"/>
      <c r="EJ36847"/>
      <c r="EK36847"/>
    </row>
    <row r="36848" spans="1:141" s="116" customFormat="1">
      <c r="A36848" s="136"/>
      <c r="CM36848" s="111"/>
      <c r="CQ36848" s="111"/>
      <c r="EF36848"/>
      <c r="EG36848"/>
      <c r="EH36848"/>
      <c r="EI36848"/>
      <c r="EJ36848"/>
      <c r="EK36848"/>
    </row>
    <row r="36849" spans="1:141" s="116" customFormat="1">
      <c r="A36849" s="136"/>
      <c r="CM36849" s="111"/>
      <c r="CQ36849" s="111"/>
      <c r="EF36849"/>
      <c r="EG36849"/>
      <c r="EH36849"/>
      <c r="EI36849"/>
      <c r="EJ36849"/>
      <c r="EK36849"/>
    </row>
    <row r="36850" spans="1:141" s="116" customFormat="1">
      <c r="A36850" s="136"/>
      <c r="CM36850" s="111"/>
      <c r="CQ36850" s="111"/>
      <c r="EF36850"/>
      <c r="EG36850"/>
      <c r="EH36850"/>
      <c r="EI36850"/>
      <c r="EJ36850"/>
      <c r="EK36850"/>
    </row>
    <row r="36851" spans="1:141" s="116" customFormat="1">
      <c r="A36851" s="136"/>
      <c r="CM36851" s="111"/>
      <c r="CQ36851" s="111"/>
      <c r="EF36851"/>
      <c r="EG36851"/>
      <c r="EH36851"/>
      <c r="EI36851"/>
      <c r="EJ36851"/>
      <c r="EK36851"/>
    </row>
    <row r="36852" spans="1:141" s="116" customFormat="1">
      <c r="A36852" s="136"/>
      <c r="CM36852" s="111"/>
      <c r="CQ36852" s="111"/>
      <c r="EF36852"/>
      <c r="EG36852"/>
      <c r="EH36852"/>
      <c r="EI36852"/>
      <c r="EJ36852"/>
      <c r="EK36852"/>
    </row>
    <row r="36853" spans="1:141" s="116" customFormat="1">
      <c r="A36853" s="136"/>
      <c r="CM36853" s="111"/>
      <c r="CQ36853" s="111"/>
      <c r="EF36853"/>
      <c r="EG36853"/>
      <c r="EH36853"/>
      <c r="EI36853"/>
      <c r="EJ36853"/>
      <c r="EK36853"/>
    </row>
    <row r="36854" spans="1:141" s="116" customFormat="1">
      <c r="A36854" s="136"/>
      <c r="CM36854" s="111"/>
      <c r="CQ36854" s="111"/>
      <c r="EF36854"/>
      <c r="EG36854"/>
      <c r="EH36854"/>
      <c r="EI36854"/>
      <c r="EJ36854"/>
      <c r="EK36854"/>
    </row>
    <row r="36855" spans="1:141" s="116" customFormat="1">
      <c r="A36855" s="136"/>
      <c r="CM36855" s="111"/>
      <c r="CQ36855" s="111"/>
      <c r="EF36855"/>
      <c r="EG36855"/>
      <c r="EH36855"/>
      <c r="EI36855"/>
      <c r="EJ36855"/>
      <c r="EK36855"/>
    </row>
    <row r="36856" spans="1:141" s="116" customFormat="1">
      <c r="A36856" s="136"/>
      <c r="CM36856" s="111"/>
      <c r="CQ36856" s="111"/>
      <c r="EF36856"/>
      <c r="EG36856"/>
      <c r="EH36856"/>
      <c r="EI36856"/>
      <c r="EJ36856"/>
      <c r="EK36856"/>
    </row>
    <row r="36857" spans="1:141" s="116" customFormat="1">
      <c r="A36857" s="136"/>
      <c r="CM36857" s="111"/>
      <c r="CQ36857" s="111"/>
      <c r="EF36857"/>
      <c r="EG36857"/>
      <c r="EH36857"/>
      <c r="EI36857"/>
      <c r="EJ36857"/>
      <c r="EK36857"/>
    </row>
    <row r="36858" spans="1:141" s="116" customFormat="1">
      <c r="A36858" s="136"/>
      <c r="CM36858" s="111"/>
      <c r="CQ36858" s="111"/>
      <c r="EF36858"/>
      <c r="EG36858"/>
      <c r="EH36858"/>
      <c r="EI36858"/>
      <c r="EJ36858"/>
      <c r="EK36858"/>
    </row>
    <row r="36859" spans="1:141" s="116" customFormat="1">
      <c r="A36859" s="136"/>
      <c r="CM36859" s="111"/>
      <c r="CQ36859" s="111"/>
      <c r="EF36859"/>
      <c r="EG36859"/>
      <c r="EH36859"/>
      <c r="EI36859"/>
      <c r="EJ36859"/>
      <c r="EK36859"/>
    </row>
    <row r="36860" spans="1:141" s="116" customFormat="1">
      <c r="A36860" s="136"/>
      <c r="CM36860" s="111"/>
      <c r="CQ36860" s="111"/>
      <c r="EF36860"/>
      <c r="EG36860"/>
      <c r="EH36860"/>
      <c r="EI36860"/>
      <c r="EJ36860"/>
      <c r="EK36860"/>
    </row>
    <row r="36861" spans="1:141" s="116" customFormat="1">
      <c r="A36861" s="136"/>
      <c r="CM36861" s="111"/>
      <c r="CQ36861" s="111"/>
      <c r="EF36861"/>
      <c r="EG36861"/>
      <c r="EH36861"/>
      <c r="EI36861"/>
      <c r="EJ36861"/>
      <c r="EK36861"/>
    </row>
    <row r="36862" spans="1:141" s="116" customFormat="1">
      <c r="A36862" s="136"/>
      <c r="CM36862" s="111"/>
      <c r="CQ36862" s="111"/>
      <c r="EF36862"/>
      <c r="EG36862"/>
      <c r="EH36862"/>
      <c r="EI36862"/>
      <c r="EJ36862"/>
      <c r="EK36862"/>
    </row>
    <row r="36863" spans="1:141" s="116" customFormat="1">
      <c r="A36863" s="136"/>
      <c r="CM36863" s="111"/>
      <c r="CQ36863" s="111"/>
      <c r="EF36863"/>
      <c r="EG36863"/>
      <c r="EH36863"/>
      <c r="EI36863"/>
      <c r="EJ36863"/>
      <c r="EK36863"/>
    </row>
    <row r="36864" spans="1:141" s="116" customFormat="1">
      <c r="A36864" s="136"/>
      <c r="CM36864" s="111"/>
      <c r="CQ36864" s="111"/>
      <c r="EF36864"/>
      <c r="EG36864"/>
      <c r="EH36864"/>
      <c r="EI36864"/>
      <c r="EJ36864"/>
      <c r="EK36864"/>
    </row>
    <row r="36865" spans="1:141" s="116" customFormat="1">
      <c r="A36865" s="136"/>
      <c r="CM36865" s="111"/>
      <c r="CQ36865" s="111"/>
      <c r="EF36865"/>
      <c r="EG36865"/>
      <c r="EH36865"/>
      <c r="EI36865"/>
      <c r="EJ36865"/>
      <c r="EK36865"/>
    </row>
    <row r="36866" spans="1:141" s="116" customFormat="1">
      <c r="A36866" s="136"/>
      <c r="CM36866" s="111"/>
      <c r="CQ36866" s="111"/>
      <c r="EF36866"/>
      <c r="EG36866"/>
      <c r="EH36866"/>
      <c r="EI36866"/>
      <c r="EJ36866"/>
      <c r="EK36866"/>
    </row>
    <row r="36867" spans="1:141" s="116" customFormat="1">
      <c r="A36867" s="136"/>
      <c r="CM36867" s="111"/>
      <c r="CQ36867" s="111"/>
      <c r="EF36867"/>
      <c r="EG36867"/>
      <c r="EH36867"/>
      <c r="EI36867"/>
      <c r="EJ36867"/>
      <c r="EK36867"/>
    </row>
    <row r="36868" spans="1:141" s="116" customFormat="1">
      <c r="A36868" s="136"/>
      <c r="CM36868" s="111"/>
      <c r="CQ36868" s="111"/>
      <c r="EF36868"/>
      <c r="EG36868"/>
      <c r="EH36868"/>
      <c r="EI36868"/>
      <c r="EJ36868"/>
      <c r="EK36868"/>
    </row>
    <row r="36869" spans="1:141" s="116" customFormat="1">
      <c r="A36869" s="136"/>
      <c r="CM36869" s="111"/>
      <c r="CQ36869" s="111"/>
      <c r="EF36869"/>
      <c r="EG36869"/>
      <c r="EH36869"/>
      <c r="EI36869"/>
      <c r="EJ36869"/>
      <c r="EK36869"/>
    </row>
    <row r="36870" spans="1:141" s="116" customFormat="1">
      <c r="A36870" s="136"/>
      <c r="CM36870" s="111"/>
      <c r="CQ36870" s="111"/>
      <c r="EF36870"/>
      <c r="EG36870"/>
      <c r="EH36870"/>
      <c r="EI36870"/>
      <c r="EJ36870"/>
      <c r="EK36870"/>
    </row>
    <row r="36871" spans="1:141" s="116" customFormat="1">
      <c r="A36871" s="136"/>
      <c r="CM36871" s="111"/>
      <c r="CQ36871" s="111"/>
      <c r="EF36871"/>
      <c r="EG36871"/>
      <c r="EH36871"/>
      <c r="EI36871"/>
      <c r="EJ36871"/>
      <c r="EK36871"/>
    </row>
    <row r="36872" spans="1:141" s="116" customFormat="1">
      <c r="A36872" s="136"/>
      <c r="CM36872" s="111"/>
      <c r="CQ36872" s="111"/>
      <c r="EF36872"/>
      <c r="EG36872"/>
      <c r="EH36872"/>
      <c r="EI36872"/>
      <c r="EJ36872"/>
      <c r="EK36872"/>
    </row>
    <row r="36873" spans="1:141" s="116" customFormat="1">
      <c r="A36873" s="136"/>
      <c r="CM36873" s="111"/>
      <c r="CQ36873" s="111"/>
      <c r="EF36873"/>
      <c r="EG36873"/>
      <c r="EH36873"/>
      <c r="EI36873"/>
      <c r="EJ36873"/>
      <c r="EK36873"/>
    </row>
    <row r="36874" spans="1:141" s="116" customFormat="1">
      <c r="A36874" s="136"/>
      <c r="CM36874" s="111"/>
      <c r="CQ36874" s="111"/>
      <c r="EF36874"/>
      <c r="EG36874"/>
      <c r="EH36874"/>
      <c r="EI36874"/>
      <c r="EJ36874"/>
      <c r="EK36874"/>
    </row>
    <row r="36875" spans="1:141" s="116" customFormat="1">
      <c r="A36875" s="136"/>
      <c r="CM36875" s="111"/>
      <c r="CQ36875" s="111"/>
      <c r="EF36875"/>
      <c r="EG36875"/>
      <c r="EH36875"/>
      <c r="EI36875"/>
      <c r="EJ36875"/>
      <c r="EK36875"/>
    </row>
    <row r="36876" spans="1:141" s="116" customFormat="1">
      <c r="A36876" s="136"/>
      <c r="CM36876" s="111"/>
      <c r="CQ36876" s="111"/>
      <c r="EF36876"/>
      <c r="EG36876"/>
      <c r="EH36876"/>
      <c r="EI36876"/>
      <c r="EJ36876"/>
      <c r="EK36876"/>
    </row>
    <row r="36877" spans="1:141" s="116" customFormat="1">
      <c r="A36877" s="136"/>
      <c r="CM36877" s="111"/>
      <c r="CQ36877" s="111"/>
      <c r="EF36877"/>
      <c r="EG36877"/>
      <c r="EH36877"/>
      <c r="EI36877"/>
      <c r="EJ36877"/>
      <c r="EK36877"/>
    </row>
    <row r="36878" spans="1:141" s="116" customFormat="1">
      <c r="A36878" s="136"/>
      <c r="CM36878" s="111"/>
      <c r="CQ36878" s="111"/>
      <c r="EF36878"/>
      <c r="EG36878"/>
      <c r="EH36878"/>
      <c r="EI36878"/>
      <c r="EJ36878"/>
      <c r="EK36878"/>
    </row>
    <row r="36879" spans="1:141" s="116" customFormat="1">
      <c r="A36879" s="136"/>
      <c r="CM36879" s="111"/>
      <c r="CQ36879" s="111"/>
      <c r="EF36879"/>
      <c r="EG36879"/>
      <c r="EH36879"/>
      <c r="EI36879"/>
      <c r="EJ36879"/>
      <c r="EK36879"/>
    </row>
    <row r="36880" spans="1:141" s="116" customFormat="1">
      <c r="A36880" s="136"/>
      <c r="CM36880" s="111"/>
      <c r="CQ36880" s="111"/>
      <c r="EF36880"/>
      <c r="EG36880"/>
      <c r="EH36880"/>
      <c r="EI36880"/>
      <c r="EJ36880"/>
      <c r="EK36880"/>
    </row>
    <row r="36881" spans="1:141" s="116" customFormat="1">
      <c r="A36881" s="136"/>
      <c r="CM36881" s="111"/>
      <c r="CQ36881" s="111"/>
      <c r="EF36881"/>
      <c r="EG36881"/>
      <c r="EH36881"/>
      <c r="EI36881"/>
      <c r="EJ36881"/>
      <c r="EK36881"/>
    </row>
    <row r="36882" spans="1:141" s="116" customFormat="1">
      <c r="A36882" s="136"/>
      <c r="CM36882" s="111"/>
      <c r="CQ36882" s="111"/>
      <c r="EF36882"/>
      <c r="EG36882"/>
      <c r="EH36882"/>
      <c r="EI36882"/>
      <c r="EJ36882"/>
      <c r="EK36882"/>
    </row>
    <row r="36883" spans="1:141" s="116" customFormat="1">
      <c r="A36883" s="136"/>
      <c r="CM36883" s="111"/>
      <c r="CQ36883" s="111"/>
      <c r="EF36883"/>
      <c r="EG36883"/>
      <c r="EH36883"/>
      <c r="EI36883"/>
      <c r="EJ36883"/>
      <c r="EK36883"/>
    </row>
    <row r="36884" spans="1:141" s="116" customFormat="1">
      <c r="A36884" s="136"/>
      <c r="CM36884" s="111"/>
      <c r="CQ36884" s="111"/>
      <c r="EF36884"/>
      <c r="EG36884"/>
      <c r="EH36884"/>
      <c r="EI36884"/>
      <c r="EJ36884"/>
      <c r="EK36884"/>
    </row>
    <row r="36885" spans="1:141" s="116" customFormat="1">
      <c r="A36885" s="136"/>
      <c r="CM36885" s="111"/>
      <c r="CQ36885" s="111"/>
      <c r="EF36885"/>
      <c r="EG36885"/>
      <c r="EH36885"/>
      <c r="EI36885"/>
      <c r="EJ36885"/>
      <c r="EK36885"/>
    </row>
    <row r="36886" spans="1:141" s="116" customFormat="1">
      <c r="A36886" s="136"/>
      <c r="CM36886" s="111"/>
      <c r="CQ36886" s="111"/>
      <c r="EF36886"/>
      <c r="EG36886"/>
      <c r="EH36886"/>
      <c r="EI36886"/>
      <c r="EJ36886"/>
      <c r="EK36886"/>
    </row>
    <row r="36887" spans="1:141" s="116" customFormat="1">
      <c r="A36887" s="136"/>
      <c r="CM36887" s="111"/>
      <c r="CQ36887" s="111"/>
      <c r="EF36887"/>
      <c r="EG36887"/>
      <c r="EH36887"/>
      <c r="EI36887"/>
      <c r="EJ36887"/>
      <c r="EK36887"/>
    </row>
    <row r="36888" spans="1:141" s="116" customFormat="1">
      <c r="A36888" s="136"/>
      <c r="CM36888" s="111"/>
      <c r="CQ36888" s="111"/>
      <c r="EF36888"/>
      <c r="EG36888"/>
      <c r="EH36888"/>
      <c r="EI36888"/>
      <c r="EJ36888"/>
      <c r="EK36888"/>
    </row>
    <row r="36889" spans="1:141" s="116" customFormat="1">
      <c r="A36889" s="136"/>
      <c r="CM36889" s="111"/>
      <c r="CQ36889" s="111"/>
      <c r="EF36889"/>
      <c r="EG36889"/>
      <c r="EH36889"/>
      <c r="EI36889"/>
      <c r="EJ36889"/>
      <c r="EK36889"/>
    </row>
    <row r="36890" spans="1:141" s="116" customFormat="1">
      <c r="A36890" s="136"/>
      <c r="CM36890" s="111"/>
      <c r="CQ36890" s="111"/>
      <c r="EF36890"/>
      <c r="EG36890"/>
      <c r="EH36890"/>
      <c r="EI36890"/>
      <c r="EJ36890"/>
      <c r="EK36890"/>
    </row>
    <row r="36891" spans="1:141" s="116" customFormat="1">
      <c r="A36891" s="136"/>
      <c r="CM36891" s="111"/>
      <c r="CQ36891" s="111"/>
      <c r="EF36891"/>
      <c r="EG36891"/>
      <c r="EH36891"/>
      <c r="EI36891"/>
      <c r="EJ36891"/>
      <c r="EK36891"/>
    </row>
    <row r="36892" spans="1:141" s="116" customFormat="1">
      <c r="A36892" s="136"/>
      <c r="CM36892" s="111"/>
      <c r="CQ36892" s="111"/>
      <c r="EF36892"/>
      <c r="EG36892"/>
      <c r="EH36892"/>
      <c r="EI36892"/>
      <c r="EJ36892"/>
      <c r="EK36892"/>
    </row>
    <row r="36893" spans="1:141" s="116" customFormat="1">
      <c r="A36893" s="136"/>
      <c r="CM36893" s="111"/>
      <c r="CQ36893" s="111"/>
      <c r="EF36893"/>
      <c r="EG36893"/>
      <c r="EH36893"/>
      <c r="EI36893"/>
      <c r="EJ36893"/>
      <c r="EK36893"/>
    </row>
    <row r="36894" spans="1:141" s="116" customFormat="1">
      <c r="A36894" s="136"/>
      <c r="CM36894" s="111"/>
      <c r="CQ36894" s="111"/>
      <c r="EF36894"/>
      <c r="EG36894"/>
      <c r="EH36894"/>
      <c r="EI36894"/>
      <c r="EJ36894"/>
      <c r="EK36894"/>
    </row>
    <row r="36895" spans="1:141" s="116" customFormat="1">
      <c r="A36895" s="136"/>
      <c r="CM36895" s="111"/>
      <c r="CQ36895" s="111"/>
      <c r="EF36895"/>
      <c r="EG36895"/>
      <c r="EH36895"/>
      <c r="EI36895"/>
      <c r="EJ36895"/>
      <c r="EK36895"/>
    </row>
    <row r="36896" spans="1:141" s="116" customFormat="1">
      <c r="A36896" s="136"/>
      <c r="CM36896" s="111"/>
      <c r="CQ36896" s="111"/>
      <c r="EF36896"/>
      <c r="EG36896"/>
      <c r="EH36896"/>
      <c r="EI36896"/>
      <c r="EJ36896"/>
      <c r="EK36896"/>
    </row>
    <row r="36897" spans="1:141" s="116" customFormat="1">
      <c r="A36897" s="136"/>
      <c r="CM36897" s="111"/>
      <c r="CQ36897" s="111"/>
      <c r="EF36897"/>
      <c r="EG36897"/>
      <c r="EH36897"/>
      <c r="EI36897"/>
      <c r="EJ36897"/>
      <c r="EK36897"/>
    </row>
    <row r="36898" spans="1:141" s="116" customFormat="1">
      <c r="A36898" s="136"/>
      <c r="CM36898" s="111"/>
      <c r="CQ36898" s="111"/>
      <c r="EF36898"/>
      <c r="EG36898"/>
      <c r="EH36898"/>
      <c r="EI36898"/>
      <c r="EJ36898"/>
      <c r="EK36898"/>
    </row>
    <row r="36899" spans="1:141" s="116" customFormat="1">
      <c r="A36899" s="136"/>
      <c r="CM36899" s="111"/>
      <c r="CQ36899" s="111"/>
      <c r="EF36899"/>
      <c r="EG36899"/>
      <c r="EH36899"/>
      <c r="EI36899"/>
      <c r="EJ36899"/>
      <c r="EK36899"/>
    </row>
    <row r="36900" spans="1:141" s="116" customFormat="1">
      <c r="A36900" s="136"/>
      <c r="CM36900" s="111"/>
      <c r="CQ36900" s="111"/>
      <c r="EF36900"/>
      <c r="EG36900"/>
      <c r="EH36900"/>
      <c r="EI36900"/>
      <c r="EJ36900"/>
      <c r="EK36900"/>
    </row>
    <row r="36901" spans="1:141" s="116" customFormat="1">
      <c r="A36901" s="136"/>
      <c r="CM36901" s="111"/>
      <c r="CQ36901" s="111"/>
      <c r="EF36901"/>
      <c r="EG36901"/>
      <c r="EH36901"/>
      <c r="EI36901"/>
      <c r="EJ36901"/>
      <c r="EK36901"/>
    </row>
    <row r="36902" spans="1:141" s="116" customFormat="1">
      <c r="A36902" s="136"/>
      <c r="CM36902" s="111"/>
      <c r="CQ36902" s="111"/>
      <c r="EF36902"/>
      <c r="EG36902"/>
      <c r="EH36902"/>
      <c r="EI36902"/>
      <c r="EJ36902"/>
      <c r="EK36902"/>
    </row>
    <row r="36903" spans="1:141" s="116" customFormat="1">
      <c r="A36903" s="136"/>
      <c r="CM36903" s="111"/>
      <c r="CQ36903" s="111"/>
      <c r="EF36903"/>
      <c r="EG36903"/>
      <c r="EH36903"/>
      <c r="EI36903"/>
      <c r="EJ36903"/>
      <c r="EK36903"/>
    </row>
    <row r="36904" spans="1:141" s="116" customFormat="1">
      <c r="A36904" s="136"/>
      <c r="CM36904" s="111"/>
      <c r="CQ36904" s="111"/>
      <c r="EF36904"/>
      <c r="EG36904"/>
      <c r="EH36904"/>
      <c r="EI36904"/>
      <c r="EJ36904"/>
      <c r="EK36904"/>
    </row>
    <row r="36905" spans="1:141" s="116" customFormat="1">
      <c r="A36905" s="136"/>
      <c r="CM36905" s="111"/>
      <c r="CQ36905" s="111"/>
      <c r="EF36905"/>
      <c r="EG36905"/>
      <c r="EH36905"/>
      <c r="EI36905"/>
      <c r="EJ36905"/>
      <c r="EK36905"/>
    </row>
    <row r="36906" spans="1:141" s="116" customFormat="1">
      <c r="A36906" s="136"/>
      <c r="CM36906" s="111"/>
      <c r="CQ36906" s="111"/>
      <c r="EF36906"/>
      <c r="EG36906"/>
      <c r="EH36906"/>
      <c r="EI36906"/>
      <c r="EJ36906"/>
      <c r="EK36906"/>
    </row>
    <row r="36907" spans="1:141" s="116" customFormat="1">
      <c r="A36907" s="136"/>
      <c r="CM36907" s="111"/>
      <c r="CQ36907" s="111"/>
      <c r="EF36907"/>
      <c r="EG36907"/>
      <c r="EH36907"/>
      <c r="EI36907"/>
      <c r="EJ36907"/>
      <c r="EK36907"/>
    </row>
    <row r="36908" spans="1:141" s="116" customFormat="1">
      <c r="A36908" s="136"/>
      <c r="CM36908" s="111"/>
      <c r="CQ36908" s="111"/>
      <c r="EF36908"/>
      <c r="EG36908"/>
      <c r="EH36908"/>
      <c r="EI36908"/>
      <c r="EJ36908"/>
      <c r="EK36908"/>
    </row>
    <row r="36909" spans="1:141" s="116" customFormat="1">
      <c r="A36909" s="136"/>
      <c r="CM36909" s="111"/>
      <c r="CQ36909" s="111"/>
      <c r="EF36909"/>
      <c r="EG36909"/>
      <c r="EH36909"/>
      <c r="EI36909"/>
      <c r="EJ36909"/>
      <c r="EK36909"/>
    </row>
    <row r="36910" spans="1:141" s="116" customFormat="1">
      <c r="A36910" s="136"/>
      <c r="CM36910" s="111"/>
      <c r="CQ36910" s="111"/>
      <c r="EF36910"/>
      <c r="EG36910"/>
      <c r="EH36910"/>
      <c r="EI36910"/>
      <c r="EJ36910"/>
      <c r="EK36910"/>
    </row>
    <row r="36911" spans="1:141" s="116" customFormat="1">
      <c r="A36911" s="136"/>
      <c r="CM36911" s="111"/>
      <c r="CQ36911" s="111"/>
      <c r="EF36911"/>
      <c r="EG36911"/>
      <c r="EH36911"/>
      <c r="EI36911"/>
      <c r="EJ36911"/>
      <c r="EK36911"/>
    </row>
    <row r="36912" spans="1:141" s="116" customFormat="1">
      <c r="A36912" s="136"/>
      <c r="CM36912" s="111"/>
      <c r="CQ36912" s="111"/>
      <c r="EF36912"/>
      <c r="EG36912"/>
      <c r="EH36912"/>
      <c r="EI36912"/>
      <c r="EJ36912"/>
      <c r="EK36912"/>
    </row>
    <row r="36913" spans="1:141" s="116" customFormat="1">
      <c r="A36913" s="136"/>
      <c r="CM36913" s="111"/>
      <c r="CQ36913" s="111"/>
      <c r="EF36913"/>
      <c r="EG36913"/>
      <c r="EH36913"/>
      <c r="EI36913"/>
      <c r="EJ36913"/>
      <c r="EK36913"/>
    </row>
    <row r="36914" spans="1:141" s="116" customFormat="1">
      <c r="A36914" s="136"/>
      <c r="CM36914" s="111"/>
      <c r="CQ36914" s="111"/>
      <c r="EF36914"/>
      <c r="EG36914"/>
      <c r="EH36914"/>
      <c r="EI36914"/>
      <c r="EJ36914"/>
      <c r="EK36914"/>
    </row>
    <row r="36915" spans="1:141" s="116" customFormat="1">
      <c r="A36915" s="136"/>
      <c r="CM36915" s="111"/>
      <c r="CQ36915" s="111"/>
      <c r="EF36915"/>
      <c r="EG36915"/>
      <c r="EH36915"/>
      <c r="EI36915"/>
      <c r="EJ36915"/>
      <c r="EK36915"/>
    </row>
    <row r="36916" spans="1:141" s="116" customFormat="1">
      <c r="A36916" s="136"/>
      <c r="CM36916" s="111"/>
      <c r="CQ36916" s="111"/>
      <c r="EF36916"/>
      <c r="EG36916"/>
      <c r="EH36916"/>
      <c r="EI36916"/>
      <c r="EJ36916"/>
      <c r="EK36916"/>
    </row>
    <row r="36917" spans="1:141" s="116" customFormat="1">
      <c r="A36917" s="136"/>
      <c r="CM36917" s="111"/>
      <c r="CQ36917" s="111"/>
      <c r="EF36917"/>
      <c r="EG36917"/>
      <c r="EH36917"/>
      <c r="EI36917"/>
      <c r="EJ36917"/>
      <c r="EK36917"/>
    </row>
    <row r="36918" spans="1:141" s="116" customFormat="1">
      <c r="A36918" s="136"/>
      <c r="CM36918" s="111"/>
      <c r="CQ36918" s="111"/>
      <c r="EF36918"/>
      <c r="EG36918"/>
      <c r="EH36918"/>
      <c r="EI36918"/>
      <c r="EJ36918"/>
      <c r="EK36918"/>
    </row>
    <row r="36919" spans="1:141" s="116" customFormat="1">
      <c r="A36919" s="136"/>
      <c r="CM36919" s="111"/>
      <c r="CQ36919" s="111"/>
      <c r="EF36919"/>
      <c r="EG36919"/>
      <c r="EH36919"/>
      <c r="EI36919"/>
      <c r="EJ36919"/>
      <c r="EK36919"/>
    </row>
    <row r="36920" spans="1:141" s="116" customFormat="1">
      <c r="A36920" s="136"/>
      <c r="CM36920" s="111"/>
      <c r="CQ36920" s="111"/>
      <c r="EF36920"/>
      <c r="EG36920"/>
      <c r="EH36920"/>
      <c r="EI36920"/>
      <c r="EJ36920"/>
      <c r="EK36920"/>
    </row>
    <row r="36921" spans="1:141" s="116" customFormat="1">
      <c r="A36921" s="136"/>
      <c r="CM36921" s="111"/>
      <c r="CQ36921" s="111"/>
      <c r="EF36921"/>
      <c r="EG36921"/>
      <c r="EH36921"/>
      <c r="EI36921"/>
      <c r="EJ36921"/>
      <c r="EK36921"/>
    </row>
    <row r="36922" spans="1:141" s="116" customFormat="1">
      <c r="A36922" s="136"/>
      <c r="CM36922" s="111"/>
      <c r="CQ36922" s="111"/>
      <c r="EF36922"/>
      <c r="EG36922"/>
      <c r="EH36922"/>
      <c r="EI36922"/>
      <c r="EJ36922"/>
      <c r="EK36922"/>
    </row>
    <row r="36923" spans="1:141" s="116" customFormat="1">
      <c r="A36923" s="136"/>
      <c r="CM36923" s="111"/>
      <c r="CQ36923" s="111"/>
      <c r="EF36923"/>
      <c r="EG36923"/>
      <c r="EH36923"/>
      <c r="EI36923"/>
      <c r="EJ36923"/>
      <c r="EK36923"/>
    </row>
    <row r="36924" spans="1:141" s="116" customFormat="1">
      <c r="A36924" s="136"/>
      <c r="CM36924" s="111"/>
      <c r="CQ36924" s="111"/>
      <c r="EF36924"/>
      <c r="EG36924"/>
      <c r="EH36924"/>
      <c r="EI36924"/>
      <c r="EJ36924"/>
      <c r="EK36924"/>
    </row>
    <row r="36925" spans="1:141" s="116" customFormat="1">
      <c r="A36925" s="136"/>
      <c r="CM36925" s="111"/>
      <c r="CQ36925" s="111"/>
      <c r="EF36925"/>
      <c r="EG36925"/>
      <c r="EH36925"/>
      <c r="EI36925"/>
      <c r="EJ36925"/>
      <c r="EK36925"/>
    </row>
    <row r="36926" spans="1:141" s="116" customFormat="1">
      <c r="A36926" s="136"/>
      <c r="CM36926" s="111"/>
      <c r="CQ36926" s="111"/>
      <c r="EF36926"/>
      <c r="EG36926"/>
      <c r="EH36926"/>
      <c r="EI36926"/>
      <c r="EJ36926"/>
      <c r="EK36926"/>
    </row>
    <row r="36927" spans="1:141" s="116" customFormat="1">
      <c r="A36927" s="136"/>
      <c r="CM36927" s="111"/>
      <c r="CQ36927" s="111"/>
      <c r="EF36927"/>
      <c r="EG36927"/>
      <c r="EH36927"/>
      <c r="EI36927"/>
      <c r="EJ36927"/>
      <c r="EK36927"/>
    </row>
    <row r="36928" spans="1:141" s="116" customFormat="1">
      <c r="A36928" s="136"/>
      <c r="CM36928" s="111"/>
      <c r="CQ36928" s="111"/>
      <c r="EF36928"/>
      <c r="EG36928"/>
      <c r="EH36928"/>
      <c r="EI36928"/>
      <c r="EJ36928"/>
      <c r="EK36928"/>
    </row>
    <row r="36929" spans="1:141" s="116" customFormat="1">
      <c r="A36929" s="136"/>
      <c r="CM36929" s="111"/>
      <c r="CQ36929" s="111"/>
      <c r="EF36929"/>
      <c r="EG36929"/>
      <c r="EH36929"/>
      <c r="EI36929"/>
      <c r="EJ36929"/>
      <c r="EK36929"/>
    </row>
    <row r="36930" spans="1:141" s="116" customFormat="1">
      <c r="A36930" s="136"/>
      <c r="CM36930" s="111"/>
      <c r="CQ36930" s="111"/>
      <c r="EF36930"/>
      <c r="EG36930"/>
      <c r="EH36930"/>
      <c r="EI36930"/>
      <c r="EJ36930"/>
      <c r="EK36930"/>
    </row>
    <row r="36931" spans="1:141" s="116" customFormat="1">
      <c r="A36931" s="136"/>
      <c r="CM36931" s="111"/>
      <c r="CQ36931" s="111"/>
      <c r="EF36931"/>
      <c r="EG36931"/>
      <c r="EH36931"/>
      <c r="EI36931"/>
      <c r="EJ36931"/>
      <c r="EK36931"/>
    </row>
    <row r="36932" spans="1:141" s="116" customFormat="1">
      <c r="A36932" s="136"/>
      <c r="CM36932" s="111"/>
      <c r="CQ36932" s="111"/>
      <c r="EF36932"/>
      <c r="EG36932"/>
      <c r="EH36932"/>
      <c r="EI36932"/>
      <c r="EJ36932"/>
      <c r="EK36932"/>
    </row>
    <row r="36933" spans="1:141" s="116" customFormat="1">
      <c r="A36933" s="136"/>
      <c r="CM36933" s="111"/>
      <c r="CQ36933" s="111"/>
      <c r="EF36933"/>
      <c r="EG36933"/>
      <c r="EH36933"/>
      <c r="EI36933"/>
      <c r="EJ36933"/>
      <c r="EK36933"/>
    </row>
    <row r="36934" spans="1:141" s="116" customFormat="1">
      <c r="A36934" s="136"/>
      <c r="CM36934" s="111"/>
      <c r="CQ36934" s="111"/>
      <c r="EF36934"/>
      <c r="EG36934"/>
      <c r="EH36934"/>
      <c r="EI36934"/>
      <c r="EJ36934"/>
      <c r="EK36934"/>
    </row>
    <row r="36935" spans="1:141" s="116" customFormat="1">
      <c r="A36935" s="136"/>
      <c r="CM36935" s="111"/>
      <c r="CQ36935" s="111"/>
      <c r="EF36935"/>
      <c r="EG36935"/>
      <c r="EH36935"/>
      <c r="EI36935"/>
      <c r="EJ36935"/>
      <c r="EK36935"/>
    </row>
    <row r="36936" spans="1:141" s="116" customFormat="1">
      <c r="A36936" s="136"/>
      <c r="CM36936" s="111"/>
      <c r="CQ36936" s="111"/>
      <c r="EF36936"/>
      <c r="EG36936"/>
      <c r="EH36936"/>
      <c r="EI36936"/>
      <c r="EJ36936"/>
      <c r="EK36936"/>
    </row>
    <row r="36937" spans="1:141" s="116" customFormat="1">
      <c r="A36937" s="136"/>
      <c r="CM36937" s="111"/>
      <c r="CQ36937" s="111"/>
      <c r="EF36937"/>
      <c r="EG36937"/>
      <c r="EH36937"/>
      <c r="EI36937"/>
      <c r="EJ36937"/>
      <c r="EK36937"/>
    </row>
    <row r="36938" spans="1:141" s="116" customFormat="1">
      <c r="A36938" s="136"/>
      <c r="CM36938" s="111"/>
      <c r="CQ36938" s="111"/>
      <c r="EF36938"/>
      <c r="EG36938"/>
      <c r="EH36938"/>
      <c r="EI36938"/>
      <c r="EJ36938"/>
      <c r="EK36938"/>
    </row>
    <row r="36939" spans="1:141" s="116" customFormat="1">
      <c r="A36939" s="136"/>
      <c r="CM36939" s="111"/>
      <c r="CQ36939" s="111"/>
      <c r="EF36939"/>
      <c r="EG36939"/>
      <c r="EH36939"/>
      <c r="EI36939"/>
      <c r="EJ36939"/>
      <c r="EK36939"/>
    </row>
    <row r="36940" spans="1:141" s="116" customFormat="1">
      <c r="A36940" s="136"/>
      <c r="CM36940" s="111"/>
      <c r="CQ36940" s="111"/>
      <c r="EF36940"/>
      <c r="EG36940"/>
      <c r="EH36940"/>
      <c r="EI36940"/>
      <c r="EJ36940"/>
      <c r="EK36940"/>
    </row>
    <row r="36941" spans="1:141" s="116" customFormat="1">
      <c r="A36941" s="136"/>
      <c r="CM36941" s="111"/>
      <c r="CQ36941" s="111"/>
      <c r="EF36941"/>
      <c r="EG36941"/>
      <c r="EH36941"/>
      <c r="EI36941"/>
      <c r="EJ36941"/>
      <c r="EK36941"/>
    </row>
    <row r="36942" spans="1:141" s="116" customFormat="1">
      <c r="A36942" s="136"/>
      <c r="CM36942" s="111"/>
      <c r="CQ36942" s="111"/>
      <c r="EF36942"/>
      <c r="EG36942"/>
      <c r="EH36942"/>
      <c r="EI36942"/>
      <c r="EJ36942"/>
      <c r="EK36942"/>
    </row>
    <row r="36943" spans="1:141" s="116" customFormat="1">
      <c r="A36943" s="136"/>
      <c r="CM36943" s="111"/>
      <c r="CQ36943" s="111"/>
      <c r="EF36943"/>
      <c r="EG36943"/>
      <c r="EH36943"/>
      <c r="EI36943"/>
      <c r="EJ36943"/>
      <c r="EK36943"/>
    </row>
    <row r="36944" spans="1:141" s="116" customFormat="1">
      <c r="A36944" s="136"/>
      <c r="CM36944" s="111"/>
      <c r="CQ36944" s="111"/>
      <c r="EF36944"/>
      <c r="EG36944"/>
      <c r="EH36944"/>
      <c r="EI36944"/>
      <c r="EJ36944"/>
      <c r="EK36944"/>
    </row>
    <row r="36945" spans="1:141" s="116" customFormat="1">
      <c r="A36945" s="136"/>
      <c r="CM36945" s="111"/>
      <c r="CQ36945" s="111"/>
      <c r="EF36945"/>
      <c r="EG36945"/>
      <c r="EH36945"/>
      <c r="EI36945"/>
      <c r="EJ36945"/>
      <c r="EK36945"/>
    </row>
    <row r="36946" spans="1:141" s="116" customFormat="1">
      <c r="A36946" s="136"/>
      <c r="CM36946" s="111"/>
      <c r="CQ36946" s="111"/>
      <c r="EF36946"/>
      <c r="EG36946"/>
      <c r="EH36946"/>
      <c r="EI36946"/>
      <c r="EJ36946"/>
      <c r="EK36946"/>
    </row>
    <row r="36947" spans="1:141" s="116" customFormat="1">
      <c r="A36947" s="136"/>
      <c r="CM36947" s="111"/>
      <c r="CQ36947" s="111"/>
      <c r="EF36947"/>
      <c r="EG36947"/>
      <c r="EH36947"/>
      <c r="EI36947"/>
      <c r="EJ36947"/>
      <c r="EK36947"/>
    </row>
    <row r="36948" spans="1:141" s="116" customFormat="1">
      <c r="A36948" s="136"/>
      <c r="CM36948" s="111"/>
      <c r="CQ36948" s="111"/>
      <c r="EF36948"/>
      <c r="EG36948"/>
      <c r="EH36948"/>
      <c r="EI36948"/>
      <c r="EJ36948"/>
      <c r="EK36948"/>
    </row>
    <row r="36949" spans="1:141" s="116" customFormat="1">
      <c r="A36949" s="136"/>
      <c r="CM36949" s="111"/>
      <c r="CQ36949" s="111"/>
      <c r="EF36949"/>
      <c r="EG36949"/>
      <c r="EH36949"/>
      <c r="EI36949"/>
      <c r="EJ36949"/>
      <c r="EK36949"/>
    </row>
    <row r="36950" spans="1:141" s="116" customFormat="1">
      <c r="A36950" s="136"/>
      <c r="CM36950" s="111"/>
      <c r="CQ36950" s="111"/>
      <c r="EF36950"/>
      <c r="EG36950"/>
      <c r="EH36950"/>
      <c r="EI36950"/>
      <c r="EJ36950"/>
      <c r="EK36950"/>
    </row>
    <row r="36951" spans="1:141" s="116" customFormat="1">
      <c r="A36951" s="136"/>
      <c r="CM36951" s="111"/>
      <c r="CQ36951" s="111"/>
      <c r="EF36951"/>
      <c r="EG36951"/>
      <c r="EH36951"/>
      <c r="EI36951"/>
      <c r="EJ36951"/>
      <c r="EK36951"/>
    </row>
    <row r="36952" spans="1:141" s="116" customFormat="1">
      <c r="A36952" s="136"/>
      <c r="CM36952" s="111"/>
      <c r="CQ36952" s="111"/>
      <c r="EF36952"/>
      <c r="EG36952"/>
      <c r="EH36952"/>
      <c r="EI36952"/>
      <c r="EJ36952"/>
      <c r="EK36952"/>
    </row>
    <row r="36953" spans="1:141" s="116" customFormat="1">
      <c r="A36953" s="136"/>
      <c r="CM36953" s="111"/>
      <c r="CQ36953" s="111"/>
      <c r="EF36953"/>
      <c r="EG36953"/>
      <c r="EH36953"/>
      <c r="EI36953"/>
      <c r="EJ36953"/>
      <c r="EK36953"/>
    </row>
    <row r="36954" spans="1:141" s="116" customFormat="1">
      <c r="A36954" s="136"/>
      <c r="CM36954" s="111"/>
      <c r="CQ36954" s="111"/>
      <c r="EF36954"/>
      <c r="EG36954"/>
      <c r="EH36954"/>
      <c r="EI36954"/>
      <c r="EJ36954"/>
      <c r="EK36954"/>
    </row>
    <row r="36955" spans="1:141" s="116" customFormat="1">
      <c r="A36955" s="136"/>
      <c r="CM36955" s="111"/>
      <c r="CQ36955" s="111"/>
      <c r="EF36955"/>
      <c r="EG36955"/>
      <c r="EH36955"/>
      <c r="EI36955"/>
      <c r="EJ36955"/>
      <c r="EK36955"/>
    </row>
    <row r="36956" spans="1:141" s="116" customFormat="1">
      <c r="A36956" s="136"/>
      <c r="CM36956" s="111"/>
      <c r="CQ36956" s="111"/>
      <c r="EF36956"/>
      <c r="EG36956"/>
      <c r="EH36956"/>
      <c r="EI36956"/>
      <c r="EJ36956"/>
      <c r="EK36956"/>
    </row>
    <row r="36957" spans="1:141" s="116" customFormat="1">
      <c r="A36957" s="136"/>
      <c r="CM36957" s="111"/>
      <c r="CQ36957" s="111"/>
      <c r="EF36957"/>
      <c r="EG36957"/>
      <c r="EH36957"/>
      <c r="EI36957"/>
      <c r="EJ36957"/>
      <c r="EK36957"/>
    </row>
    <row r="36958" spans="1:141" s="116" customFormat="1">
      <c r="A36958" s="136"/>
      <c r="CM36958" s="111"/>
      <c r="CQ36958" s="111"/>
      <c r="EF36958"/>
      <c r="EG36958"/>
      <c r="EH36958"/>
      <c r="EI36958"/>
      <c r="EJ36958"/>
      <c r="EK36958"/>
    </row>
    <row r="36959" spans="1:141" s="116" customFormat="1">
      <c r="A36959" s="136"/>
      <c r="CM36959" s="111"/>
      <c r="CQ36959" s="111"/>
      <c r="EF36959"/>
      <c r="EG36959"/>
      <c r="EH36959"/>
      <c r="EI36959"/>
      <c r="EJ36959"/>
      <c r="EK36959"/>
    </row>
    <row r="36960" spans="1:141" s="116" customFormat="1">
      <c r="A36960" s="136"/>
      <c r="CM36960" s="111"/>
      <c r="CQ36960" s="111"/>
      <c r="EF36960"/>
      <c r="EG36960"/>
      <c r="EH36960"/>
      <c r="EI36960"/>
      <c r="EJ36960"/>
      <c r="EK36960"/>
    </row>
    <row r="36961" spans="1:141" s="116" customFormat="1">
      <c r="A36961" s="136"/>
      <c r="CM36961" s="111"/>
      <c r="CQ36961" s="111"/>
      <c r="EF36961"/>
      <c r="EG36961"/>
      <c r="EH36961"/>
      <c r="EI36961"/>
      <c r="EJ36961"/>
      <c r="EK36961"/>
    </row>
    <row r="36962" spans="1:141" s="116" customFormat="1">
      <c r="A36962" s="136"/>
      <c r="CM36962" s="111"/>
      <c r="CQ36962" s="111"/>
      <c r="EF36962"/>
      <c r="EG36962"/>
      <c r="EH36962"/>
      <c r="EI36962"/>
      <c r="EJ36962"/>
      <c r="EK36962"/>
    </row>
    <row r="36963" spans="1:141" s="116" customFormat="1">
      <c r="A36963" s="136"/>
      <c r="CM36963" s="111"/>
      <c r="CQ36963" s="111"/>
      <c r="EF36963"/>
      <c r="EG36963"/>
      <c r="EH36963"/>
      <c r="EI36963"/>
      <c r="EJ36963"/>
      <c r="EK36963"/>
    </row>
    <row r="36964" spans="1:141" s="116" customFormat="1">
      <c r="A36964" s="136"/>
      <c r="CM36964" s="111"/>
      <c r="CQ36964" s="111"/>
      <c r="EF36964"/>
      <c r="EG36964"/>
      <c r="EH36964"/>
      <c r="EI36964"/>
      <c r="EJ36964"/>
      <c r="EK36964"/>
    </row>
    <row r="36965" spans="1:141" s="116" customFormat="1">
      <c r="A36965" s="136"/>
      <c r="CM36965" s="111"/>
      <c r="CQ36965" s="111"/>
      <c r="EF36965"/>
      <c r="EG36965"/>
      <c r="EH36965"/>
      <c r="EI36965"/>
      <c r="EJ36965"/>
      <c r="EK36965"/>
    </row>
    <row r="36966" spans="1:141" s="116" customFormat="1">
      <c r="A36966" s="136"/>
      <c r="CM36966" s="111"/>
      <c r="CQ36966" s="111"/>
      <c r="EF36966"/>
      <c r="EG36966"/>
      <c r="EH36966"/>
      <c r="EI36966"/>
      <c r="EJ36966"/>
      <c r="EK36966"/>
    </row>
    <row r="36967" spans="1:141" s="116" customFormat="1">
      <c r="A36967" s="136"/>
      <c r="CM36967" s="111"/>
      <c r="CQ36967" s="111"/>
      <c r="EF36967"/>
      <c r="EG36967"/>
      <c r="EH36967"/>
      <c r="EI36967"/>
      <c r="EJ36967"/>
      <c r="EK36967"/>
    </row>
    <row r="36968" spans="1:141" s="116" customFormat="1">
      <c r="A36968" s="136"/>
      <c r="CM36968" s="111"/>
      <c r="CQ36968" s="111"/>
      <c r="EF36968"/>
      <c r="EG36968"/>
      <c r="EH36968"/>
      <c r="EI36968"/>
      <c r="EJ36968"/>
      <c r="EK36968"/>
    </row>
    <row r="36969" spans="1:141" s="116" customFormat="1">
      <c r="A36969" s="136"/>
      <c r="CM36969" s="111"/>
      <c r="CQ36969" s="111"/>
      <c r="EF36969"/>
      <c r="EG36969"/>
      <c r="EH36969"/>
      <c r="EI36969"/>
      <c r="EJ36969"/>
      <c r="EK36969"/>
    </row>
    <row r="36970" spans="1:141" s="116" customFormat="1">
      <c r="A36970" s="136"/>
      <c r="CM36970" s="111"/>
      <c r="CQ36970" s="111"/>
      <c r="EF36970"/>
      <c r="EG36970"/>
      <c r="EH36970"/>
      <c r="EI36970"/>
      <c r="EJ36970"/>
      <c r="EK36970"/>
    </row>
    <row r="36971" spans="1:141" s="116" customFormat="1">
      <c r="A36971" s="136"/>
      <c r="CM36971" s="111"/>
      <c r="CQ36971" s="111"/>
      <c r="EF36971"/>
      <c r="EG36971"/>
      <c r="EH36971"/>
      <c r="EI36971"/>
      <c r="EJ36971"/>
      <c r="EK36971"/>
    </row>
    <row r="36972" spans="1:141" s="116" customFormat="1">
      <c r="A36972" s="136"/>
      <c r="CM36972" s="111"/>
      <c r="CQ36972" s="111"/>
      <c r="EF36972"/>
      <c r="EG36972"/>
      <c r="EH36972"/>
      <c r="EI36972"/>
      <c r="EJ36972"/>
      <c r="EK36972"/>
    </row>
    <row r="36973" spans="1:141" s="116" customFormat="1">
      <c r="A36973" s="136"/>
      <c r="CM36973" s="111"/>
      <c r="CQ36973" s="111"/>
      <c r="EF36973"/>
      <c r="EG36973"/>
      <c r="EH36973"/>
      <c r="EI36973"/>
      <c r="EJ36973"/>
      <c r="EK36973"/>
    </row>
    <row r="36974" spans="1:141" s="116" customFormat="1">
      <c r="A36974" s="136"/>
      <c r="CM36974" s="111"/>
      <c r="CQ36974" s="111"/>
      <c r="EF36974"/>
      <c r="EG36974"/>
      <c r="EH36974"/>
      <c r="EI36974"/>
      <c r="EJ36974"/>
      <c r="EK36974"/>
    </row>
    <row r="36975" spans="1:141" s="116" customFormat="1">
      <c r="A36975" s="136"/>
      <c r="CM36975" s="111"/>
      <c r="CQ36975" s="111"/>
      <c r="EF36975"/>
      <c r="EG36975"/>
      <c r="EH36975"/>
      <c r="EI36975"/>
      <c r="EJ36975"/>
      <c r="EK36975"/>
    </row>
    <row r="36976" spans="1:141" s="116" customFormat="1">
      <c r="A36976" s="136"/>
      <c r="CM36976" s="111"/>
      <c r="CQ36976" s="111"/>
      <c r="EF36976"/>
      <c r="EG36976"/>
      <c r="EH36976"/>
      <c r="EI36976"/>
      <c r="EJ36976"/>
      <c r="EK36976"/>
    </row>
    <row r="36977" spans="1:141" s="116" customFormat="1">
      <c r="A36977" s="136"/>
      <c r="CM36977" s="111"/>
      <c r="CQ36977" s="111"/>
      <c r="EF36977"/>
      <c r="EG36977"/>
      <c r="EH36977"/>
      <c r="EI36977"/>
      <c r="EJ36977"/>
      <c r="EK36977"/>
    </row>
    <row r="36978" spans="1:141" s="116" customFormat="1">
      <c r="A36978" s="136"/>
      <c r="CM36978" s="111"/>
      <c r="CQ36978" s="111"/>
      <c r="EF36978"/>
      <c r="EG36978"/>
      <c r="EH36978"/>
      <c r="EI36978"/>
      <c r="EJ36978"/>
      <c r="EK36978"/>
    </row>
    <row r="36979" spans="1:141" s="116" customFormat="1">
      <c r="A36979" s="136"/>
      <c r="CM36979" s="111"/>
      <c r="CQ36979" s="111"/>
      <c r="EF36979"/>
      <c r="EG36979"/>
      <c r="EH36979"/>
      <c r="EI36979"/>
      <c r="EJ36979"/>
      <c r="EK36979"/>
    </row>
    <row r="36980" spans="1:141" s="116" customFormat="1">
      <c r="A36980" s="136"/>
      <c r="CM36980" s="111"/>
      <c r="CQ36980" s="111"/>
      <c r="EF36980"/>
      <c r="EG36980"/>
      <c r="EH36980"/>
      <c r="EI36980"/>
      <c r="EJ36980"/>
      <c r="EK36980"/>
    </row>
    <row r="36981" spans="1:141" s="116" customFormat="1">
      <c r="A36981" s="136"/>
      <c r="CM36981" s="111"/>
      <c r="CQ36981" s="111"/>
      <c r="EF36981"/>
      <c r="EG36981"/>
      <c r="EH36981"/>
      <c r="EI36981"/>
      <c r="EJ36981"/>
      <c r="EK36981"/>
    </row>
    <row r="36982" spans="1:141" s="116" customFormat="1">
      <c r="A36982" s="136"/>
      <c r="CM36982" s="111"/>
      <c r="CQ36982" s="111"/>
      <c r="EF36982"/>
      <c r="EG36982"/>
      <c r="EH36982"/>
      <c r="EI36982"/>
      <c r="EJ36982"/>
      <c r="EK36982"/>
    </row>
    <row r="36983" spans="1:141" s="116" customFormat="1">
      <c r="A36983" s="136"/>
      <c r="CM36983" s="111"/>
      <c r="CQ36983" s="111"/>
      <c r="EF36983"/>
      <c r="EG36983"/>
      <c r="EH36983"/>
      <c r="EI36983"/>
      <c r="EJ36983"/>
      <c r="EK36983"/>
    </row>
    <row r="36984" spans="1:141" s="116" customFormat="1">
      <c r="A36984" s="136"/>
      <c r="CM36984" s="111"/>
      <c r="CQ36984" s="111"/>
      <c r="EF36984"/>
      <c r="EG36984"/>
      <c r="EH36984"/>
      <c r="EI36984"/>
      <c r="EJ36984"/>
      <c r="EK36984"/>
    </row>
    <row r="36985" spans="1:141" s="116" customFormat="1">
      <c r="A36985" s="136"/>
      <c r="CM36985" s="111"/>
      <c r="CQ36985" s="111"/>
      <c r="EF36985"/>
      <c r="EG36985"/>
      <c r="EH36985"/>
      <c r="EI36985"/>
      <c r="EJ36985"/>
      <c r="EK36985"/>
    </row>
    <row r="36986" spans="1:141" s="116" customFormat="1">
      <c r="A36986" s="136"/>
      <c r="CM36986" s="111"/>
      <c r="CQ36986" s="111"/>
      <c r="EF36986"/>
      <c r="EG36986"/>
      <c r="EH36986"/>
      <c r="EI36986"/>
      <c r="EJ36986"/>
      <c r="EK36986"/>
    </row>
    <row r="36987" spans="1:141" s="116" customFormat="1">
      <c r="A36987" s="136"/>
      <c r="CM36987" s="111"/>
      <c r="CQ36987" s="111"/>
      <c r="EF36987"/>
      <c r="EG36987"/>
      <c r="EH36987"/>
      <c r="EI36987"/>
      <c r="EJ36987"/>
      <c r="EK36987"/>
    </row>
    <row r="36988" spans="1:141" s="116" customFormat="1">
      <c r="A36988" s="136"/>
      <c r="CM36988" s="111"/>
      <c r="CQ36988" s="111"/>
      <c r="EF36988"/>
      <c r="EG36988"/>
      <c r="EH36988"/>
      <c r="EI36988"/>
      <c r="EJ36988"/>
      <c r="EK36988"/>
    </row>
    <row r="36989" spans="1:141" s="116" customFormat="1">
      <c r="A36989" s="136"/>
      <c r="CM36989" s="111"/>
      <c r="CQ36989" s="111"/>
      <c r="EF36989"/>
      <c r="EG36989"/>
      <c r="EH36989"/>
      <c r="EI36989"/>
      <c r="EJ36989"/>
      <c r="EK36989"/>
    </row>
    <row r="36990" spans="1:141" s="116" customFormat="1">
      <c r="A36990" s="136"/>
      <c r="CM36990" s="111"/>
      <c r="CQ36990" s="111"/>
      <c r="EF36990"/>
      <c r="EG36990"/>
      <c r="EH36990"/>
      <c r="EI36990"/>
      <c r="EJ36990"/>
      <c r="EK36990"/>
    </row>
    <row r="36991" spans="1:141" s="116" customFormat="1">
      <c r="A36991" s="136"/>
      <c r="CM36991" s="111"/>
      <c r="CQ36991" s="111"/>
      <c r="EF36991"/>
      <c r="EG36991"/>
      <c r="EH36991"/>
      <c r="EI36991"/>
      <c r="EJ36991"/>
      <c r="EK36991"/>
    </row>
    <row r="36992" spans="1:141" s="116" customFormat="1">
      <c r="A36992" s="136"/>
      <c r="CM36992" s="111"/>
      <c r="CQ36992" s="111"/>
      <c r="EF36992"/>
      <c r="EG36992"/>
      <c r="EH36992"/>
      <c r="EI36992"/>
      <c r="EJ36992"/>
      <c r="EK36992"/>
    </row>
    <row r="36993" spans="1:141" s="116" customFormat="1">
      <c r="A36993" s="136"/>
      <c r="CM36993" s="111"/>
      <c r="CQ36993" s="111"/>
      <c r="EF36993"/>
      <c r="EG36993"/>
      <c r="EH36993"/>
      <c r="EI36993"/>
      <c r="EJ36993"/>
      <c r="EK36993"/>
    </row>
    <row r="36994" spans="1:141" s="116" customFormat="1">
      <c r="A36994" s="136"/>
      <c r="CM36994" s="111"/>
      <c r="CQ36994" s="111"/>
      <c r="EF36994"/>
      <c r="EG36994"/>
      <c r="EH36994"/>
      <c r="EI36994"/>
      <c r="EJ36994"/>
      <c r="EK36994"/>
    </row>
    <row r="36995" spans="1:141" s="116" customFormat="1">
      <c r="A36995" s="136"/>
      <c r="CM36995" s="111"/>
      <c r="CQ36995" s="111"/>
      <c r="EF36995"/>
      <c r="EG36995"/>
      <c r="EH36995"/>
      <c r="EI36995"/>
      <c r="EJ36995"/>
      <c r="EK36995"/>
    </row>
    <row r="36996" spans="1:141" s="116" customFormat="1">
      <c r="A36996" s="136"/>
      <c r="CM36996" s="111"/>
      <c r="CQ36996" s="111"/>
      <c r="EF36996"/>
      <c r="EG36996"/>
      <c r="EH36996"/>
      <c r="EI36996"/>
      <c r="EJ36996"/>
      <c r="EK36996"/>
    </row>
    <row r="36997" spans="1:141" s="116" customFormat="1">
      <c r="A36997" s="136"/>
      <c r="CM36997" s="111"/>
      <c r="CQ36997" s="111"/>
      <c r="EF36997"/>
      <c r="EG36997"/>
      <c r="EH36997"/>
      <c r="EI36997"/>
      <c r="EJ36997"/>
      <c r="EK36997"/>
    </row>
    <row r="36998" spans="1:141" s="116" customFormat="1">
      <c r="A36998" s="136"/>
      <c r="CM36998" s="111"/>
      <c r="CQ36998" s="111"/>
      <c r="EF36998"/>
      <c r="EG36998"/>
      <c r="EH36998"/>
      <c r="EI36998"/>
      <c r="EJ36998"/>
      <c r="EK36998"/>
    </row>
    <row r="36999" spans="1:141" s="116" customFormat="1">
      <c r="A36999" s="136"/>
      <c r="CM36999" s="111"/>
      <c r="CQ36999" s="111"/>
      <c r="EF36999"/>
      <c r="EG36999"/>
      <c r="EH36999"/>
      <c r="EI36999"/>
      <c r="EJ36999"/>
      <c r="EK36999"/>
    </row>
    <row r="37000" spans="1:141" s="116" customFormat="1">
      <c r="A37000" s="136"/>
      <c r="CM37000" s="111"/>
      <c r="CQ37000" s="111"/>
      <c r="EF37000"/>
      <c r="EG37000"/>
      <c r="EH37000"/>
      <c r="EI37000"/>
      <c r="EJ37000"/>
      <c r="EK37000"/>
    </row>
    <row r="37001" spans="1:141" s="116" customFormat="1">
      <c r="A37001" s="136"/>
      <c r="CM37001" s="111"/>
      <c r="CQ37001" s="111"/>
      <c r="EF37001"/>
      <c r="EG37001"/>
      <c r="EH37001"/>
      <c r="EI37001"/>
      <c r="EJ37001"/>
      <c r="EK37001"/>
    </row>
    <row r="37002" spans="1:141" s="116" customFormat="1">
      <c r="A37002" s="136"/>
      <c r="CM37002" s="111"/>
      <c r="CQ37002" s="111"/>
      <c r="EF37002"/>
      <c r="EG37002"/>
      <c r="EH37002"/>
      <c r="EI37002"/>
      <c r="EJ37002"/>
      <c r="EK37002"/>
    </row>
    <row r="37003" spans="1:141" s="116" customFormat="1">
      <c r="A37003" s="136"/>
      <c r="CM37003" s="111"/>
      <c r="CQ37003" s="111"/>
      <c r="EF37003"/>
      <c r="EG37003"/>
      <c r="EH37003"/>
      <c r="EI37003"/>
      <c r="EJ37003"/>
      <c r="EK37003"/>
    </row>
    <row r="37004" spans="1:141" s="116" customFormat="1">
      <c r="A37004" s="136"/>
      <c r="CM37004" s="111"/>
      <c r="CQ37004" s="111"/>
      <c r="EF37004"/>
      <c r="EG37004"/>
      <c r="EH37004"/>
      <c r="EI37004"/>
      <c r="EJ37004"/>
      <c r="EK37004"/>
    </row>
    <row r="37005" spans="1:141" s="116" customFormat="1">
      <c r="A37005" s="136"/>
      <c r="CM37005" s="111"/>
      <c r="CQ37005" s="111"/>
      <c r="EF37005"/>
      <c r="EG37005"/>
      <c r="EH37005"/>
      <c r="EI37005"/>
      <c r="EJ37005"/>
      <c r="EK37005"/>
    </row>
    <row r="37006" spans="1:141" s="116" customFormat="1">
      <c r="A37006" s="136"/>
      <c r="CM37006" s="111"/>
      <c r="CQ37006" s="111"/>
      <c r="EF37006"/>
      <c r="EG37006"/>
      <c r="EH37006"/>
      <c r="EI37006"/>
      <c r="EJ37006"/>
      <c r="EK37006"/>
    </row>
    <row r="37007" spans="1:141" s="116" customFormat="1">
      <c r="A37007" s="136"/>
      <c r="CM37007" s="111"/>
      <c r="CQ37007" s="111"/>
      <c r="EF37007"/>
      <c r="EG37007"/>
      <c r="EH37007"/>
      <c r="EI37007"/>
      <c r="EJ37007"/>
      <c r="EK37007"/>
    </row>
    <row r="37008" spans="1:141" s="116" customFormat="1">
      <c r="A37008" s="136"/>
      <c r="CM37008" s="111"/>
      <c r="CQ37008" s="111"/>
      <c r="EF37008"/>
      <c r="EG37008"/>
      <c r="EH37008"/>
      <c r="EI37008"/>
      <c r="EJ37008"/>
      <c r="EK37008"/>
    </row>
    <row r="37009" spans="1:141" s="116" customFormat="1">
      <c r="A37009" s="136"/>
      <c r="CM37009" s="111"/>
      <c r="CQ37009" s="111"/>
      <c r="EF37009"/>
      <c r="EG37009"/>
      <c r="EH37009"/>
      <c r="EI37009"/>
      <c r="EJ37009"/>
      <c r="EK37009"/>
    </row>
    <row r="37010" spans="1:141" s="116" customFormat="1">
      <c r="A37010" s="136"/>
      <c r="CM37010" s="111"/>
      <c r="CQ37010" s="111"/>
      <c r="EF37010"/>
      <c r="EG37010"/>
      <c r="EH37010"/>
      <c r="EI37010"/>
      <c r="EJ37010"/>
      <c r="EK37010"/>
    </row>
    <row r="37011" spans="1:141" s="116" customFormat="1">
      <c r="A37011" s="136"/>
      <c r="CM37011" s="111"/>
      <c r="CQ37011" s="111"/>
      <c r="EF37011"/>
      <c r="EG37011"/>
      <c r="EH37011"/>
      <c r="EI37011"/>
      <c r="EJ37011"/>
      <c r="EK37011"/>
    </row>
    <row r="37012" spans="1:141" s="116" customFormat="1">
      <c r="A37012" s="136"/>
      <c r="CM37012" s="111"/>
      <c r="CQ37012" s="111"/>
      <c r="EF37012"/>
      <c r="EG37012"/>
      <c r="EH37012"/>
      <c r="EI37012"/>
      <c r="EJ37012"/>
      <c r="EK37012"/>
    </row>
    <row r="37013" spans="1:141" s="116" customFormat="1">
      <c r="A37013" s="136"/>
      <c r="CM37013" s="111"/>
      <c r="CQ37013" s="111"/>
      <c r="EF37013"/>
      <c r="EG37013"/>
      <c r="EH37013"/>
      <c r="EI37013"/>
      <c r="EJ37013"/>
      <c r="EK37013"/>
    </row>
    <row r="37014" spans="1:141" s="116" customFormat="1">
      <c r="A37014" s="136"/>
      <c r="CM37014" s="111"/>
      <c r="CQ37014" s="111"/>
      <c r="EF37014"/>
      <c r="EG37014"/>
      <c r="EH37014"/>
      <c r="EI37014"/>
      <c r="EJ37014"/>
      <c r="EK37014"/>
    </row>
    <row r="37015" spans="1:141" s="116" customFormat="1">
      <c r="A37015" s="136"/>
      <c r="CM37015" s="111"/>
      <c r="CQ37015" s="111"/>
      <c r="EF37015"/>
      <c r="EG37015"/>
      <c r="EH37015"/>
      <c r="EI37015"/>
      <c r="EJ37015"/>
      <c r="EK37015"/>
    </row>
    <row r="37016" spans="1:141" s="116" customFormat="1">
      <c r="A37016" s="136"/>
      <c r="CM37016" s="111"/>
      <c r="CQ37016" s="111"/>
      <c r="EF37016"/>
      <c r="EG37016"/>
      <c r="EH37016"/>
      <c r="EI37016"/>
      <c r="EJ37016"/>
      <c r="EK37016"/>
    </row>
    <row r="37017" spans="1:141" s="116" customFormat="1">
      <c r="A37017" s="136"/>
      <c r="CM37017" s="111"/>
      <c r="CQ37017" s="111"/>
      <c r="EF37017"/>
      <c r="EG37017"/>
      <c r="EH37017"/>
      <c r="EI37017"/>
      <c r="EJ37017"/>
      <c r="EK37017"/>
    </row>
    <row r="37018" spans="1:141" s="116" customFormat="1">
      <c r="A37018" s="136"/>
      <c r="CM37018" s="111"/>
      <c r="CQ37018" s="111"/>
      <c r="EF37018"/>
      <c r="EG37018"/>
      <c r="EH37018"/>
      <c r="EI37018"/>
      <c r="EJ37018"/>
      <c r="EK37018"/>
    </row>
    <row r="37019" spans="1:141" s="116" customFormat="1">
      <c r="A37019" s="136"/>
      <c r="CM37019" s="111"/>
      <c r="CQ37019" s="111"/>
      <c r="EF37019"/>
      <c r="EG37019"/>
      <c r="EH37019"/>
      <c r="EI37019"/>
      <c r="EJ37019"/>
      <c r="EK37019"/>
    </row>
    <row r="37020" spans="1:141" s="116" customFormat="1">
      <c r="A37020" s="136"/>
      <c r="CM37020" s="111"/>
      <c r="CQ37020" s="111"/>
      <c r="EF37020"/>
      <c r="EG37020"/>
      <c r="EH37020"/>
      <c r="EI37020"/>
      <c r="EJ37020"/>
      <c r="EK37020"/>
    </row>
    <row r="37021" spans="1:141" s="116" customFormat="1">
      <c r="A37021" s="136"/>
      <c r="CM37021" s="111"/>
      <c r="CQ37021" s="111"/>
      <c r="EF37021"/>
      <c r="EG37021"/>
      <c r="EH37021"/>
      <c r="EI37021"/>
      <c r="EJ37021"/>
      <c r="EK37021"/>
    </row>
    <row r="37022" spans="1:141" s="116" customFormat="1">
      <c r="A37022" s="136"/>
      <c r="CM37022" s="111"/>
      <c r="CQ37022" s="111"/>
      <c r="EF37022"/>
      <c r="EG37022"/>
      <c r="EH37022"/>
      <c r="EI37022"/>
      <c r="EJ37022"/>
      <c r="EK37022"/>
    </row>
    <row r="37023" spans="1:141" s="116" customFormat="1">
      <c r="A37023" s="136"/>
      <c r="CM37023" s="111"/>
      <c r="CQ37023" s="111"/>
      <c r="EF37023"/>
      <c r="EG37023"/>
      <c r="EH37023"/>
      <c r="EI37023"/>
      <c r="EJ37023"/>
      <c r="EK37023"/>
    </row>
    <row r="37024" spans="1:141" s="116" customFormat="1">
      <c r="A37024" s="136"/>
      <c r="CM37024" s="111"/>
      <c r="CQ37024" s="111"/>
      <c r="EF37024"/>
      <c r="EG37024"/>
      <c r="EH37024"/>
      <c r="EI37024"/>
      <c r="EJ37024"/>
      <c r="EK37024"/>
    </row>
    <row r="37025" spans="1:141" s="116" customFormat="1">
      <c r="A37025" s="136"/>
      <c r="CM37025" s="111"/>
      <c r="CQ37025" s="111"/>
      <c r="EF37025"/>
      <c r="EG37025"/>
      <c r="EH37025"/>
      <c r="EI37025"/>
      <c r="EJ37025"/>
      <c r="EK37025"/>
    </row>
    <row r="37026" spans="1:141" s="116" customFormat="1">
      <c r="A37026" s="136"/>
      <c r="CM37026" s="111"/>
      <c r="CQ37026" s="111"/>
      <c r="EF37026"/>
      <c r="EG37026"/>
      <c r="EH37026"/>
      <c r="EI37026"/>
      <c r="EJ37026"/>
      <c r="EK37026"/>
    </row>
    <row r="37027" spans="1:141" s="116" customFormat="1">
      <c r="A37027" s="136"/>
      <c r="CM37027" s="111"/>
      <c r="CQ37027" s="111"/>
      <c r="EF37027"/>
      <c r="EG37027"/>
      <c r="EH37027"/>
      <c r="EI37027"/>
      <c r="EJ37027"/>
      <c r="EK37027"/>
    </row>
    <row r="37028" spans="1:141" s="116" customFormat="1">
      <c r="A37028" s="136"/>
      <c r="CM37028" s="111"/>
      <c r="CQ37028" s="111"/>
      <c r="EF37028"/>
      <c r="EG37028"/>
      <c r="EH37028"/>
      <c r="EI37028"/>
      <c r="EJ37028"/>
      <c r="EK37028"/>
    </row>
    <row r="37029" spans="1:141" s="116" customFormat="1">
      <c r="A37029" s="136"/>
      <c r="CM37029" s="111"/>
      <c r="CQ37029" s="111"/>
      <c r="EF37029"/>
      <c r="EG37029"/>
      <c r="EH37029"/>
      <c r="EI37029"/>
      <c r="EJ37029"/>
      <c r="EK37029"/>
    </row>
    <row r="37030" spans="1:141" s="116" customFormat="1">
      <c r="A37030" s="136"/>
      <c r="CM37030" s="111"/>
      <c r="CQ37030" s="111"/>
      <c r="EF37030"/>
      <c r="EG37030"/>
      <c r="EH37030"/>
      <c r="EI37030"/>
      <c r="EJ37030"/>
      <c r="EK37030"/>
    </row>
    <row r="37031" spans="1:141" s="116" customFormat="1">
      <c r="A37031" s="136"/>
      <c r="CM37031" s="111"/>
      <c r="CQ37031" s="111"/>
      <c r="EF37031"/>
      <c r="EG37031"/>
      <c r="EH37031"/>
      <c r="EI37031"/>
      <c r="EJ37031"/>
      <c r="EK37031"/>
    </row>
    <row r="37032" spans="1:141" s="116" customFormat="1">
      <c r="A37032" s="136"/>
      <c r="CM37032" s="111"/>
      <c r="CQ37032" s="111"/>
      <c r="EF37032"/>
      <c r="EG37032"/>
      <c r="EH37032"/>
      <c r="EI37032"/>
      <c r="EJ37032"/>
      <c r="EK37032"/>
    </row>
    <row r="37033" spans="1:141" s="116" customFormat="1">
      <c r="A37033" s="136"/>
      <c r="CM37033" s="111"/>
      <c r="CQ37033" s="111"/>
      <c r="EF37033"/>
      <c r="EG37033"/>
      <c r="EH37033"/>
      <c r="EI37033"/>
      <c r="EJ37033"/>
      <c r="EK37033"/>
    </row>
    <row r="37034" spans="1:141" s="116" customFormat="1">
      <c r="A37034" s="136"/>
      <c r="CM37034" s="111"/>
      <c r="CQ37034" s="111"/>
      <c r="EF37034"/>
      <c r="EG37034"/>
      <c r="EH37034"/>
      <c r="EI37034"/>
      <c r="EJ37034"/>
      <c r="EK37034"/>
    </row>
    <row r="37035" spans="1:141" s="116" customFormat="1">
      <c r="A37035" s="136"/>
      <c r="CM37035" s="111"/>
      <c r="CQ37035" s="111"/>
      <c r="EF37035"/>
      <c r="EG37035"/>
      <c r="EH37035"/>
      <c r="EI37035"/>
      <c r="EJ37035"/>
      <c r="EK37035"/>
    </row>
    <row r="37036" spans="1:141" s="116" customFormat="1">
      <c r="A37036" s="136"/>
      <c r="CM37036" s="111"/>
      <c r="CQ37036" s="111"/>
      <c r="EF37036"/>
      <c r="EG37036"/>
      <c r="EH37036"/>
      <c r="EI37036"/>
      <c r="EJ37036"/>
      <c r="EK37036"/>
    </row>
    <row r="37037" spans="1:141" s="116" customFormat="1">
      <c r="A37037" s="136"/>
      <c r="CM37037" s="111"/>
      <c r="CQ37037" s="111"/>
      <c r="EF37037"/>
      <c r="EG37037"/>
      <c r="EH37037"/>
      <c r="EI37037"/>
      <c r="EJ37037"/>
      <c r="EK37037"/>
    </row>
    <row r="37038" spans="1:141" s="116" customFormat="1">
      <c r="A37038" s="136"/>
      <c r="CM37038" s="111"/>
      <c r="CQ37038" s="111"/>
      <c r="EF37038"/>
      <c r="EG37038"/>
      <c r="EH37038"/>
      <c r="EI37038"/>
      <c r="EJ37038"/>
      <c r="EK37038"/>
    </row>
    <row r="37039" spans="1:141" s="116" customFormat="1">
      <c r="A37039" s="136"/>
      <c r="CM37039" s="111"/>
      <c r="CQ37039" s="111"/>
      <c r="EF37039"/>
      <c r="EG37039"/>
      <c r="EH37039"/>
      <c r="EI37039"/>
      <c r="EJ37039"/>
      <c r="EK37039"/>
    </row>
    <row r="37040" spans="1:141" s="116" customFormat="1">
      <c r="A37040" s="136"/>
      <c r="CM37040" s="111"/>
      <c r="CQ37040" s="111"/>
      <c r="EF37040"/>
      <c r="EG37040"/>
      <c r="EH37040"/>
      <c r="EI37040"/>
      <c r="EJ37040"/>
      <c r="EK37040"/>
    </row>
    <row r="37041" spans="1:141" s="116" customFormat="1">
      <c r="A37041" s="136"/>
      <c r="CM37041" s="111"/>
      <c r="CQ37041" s="111"/>
      <c r="EF37041"/>
      <c r="EG37041"/>
      <c r="EH37041"/>
      <c r="EI37041"/>
      <c r="EJ37041"/>
      <c r="EK37041"/>
    </row>
    <row r="37042" spans="1:141" s="116" customFormat="1">
      <c r="A37042" s="136"/>
      <c r="CM37042" s="111"/>
      <c r="CQ37042" s="111"/>
      <c r="EF37042"/>
      <c r="EG37042"/>
      <c r="EH37042"/>
      <c r="EI37042"/>
      <c r="EJ37042"/>
      <c r="EK37042"/>
    </row>
    <row r="37043" spans="1:141" s="116" customFormat="1">
      <c r="A37043" s="136"/>
      <c r="CM37043" s="111"/>
      <c r="CQ37043" s="111"/>
      <c r="EF37043"/>
      <c r="EG37043"/>
      <c r="EH37043"/>
      <c r="EI37043"/>
      <c r="EJ37043"/>
      <c r="EK37043"/>
    </row>
    <row r="37044" spans="1:141" s="116" customFormat="1">
      <c r="A37044" s="136"/>
      <c r="CM37044" s="111"/>
      <c r="CQ37044" s="111"/>
      <c r="EF37044"/>
      <c r="EG37044"/>
      <c r="EH37044"/>
      <c r="EI37044"/>
      <c r="EJ37044"/>
      <c r="EK37044"/>
    </row>
    <row r="37045" spans="1:141" s="116" customFormat="1">
      <c r="A37045" s="136"/>
      <c r="CM37045" s="111"/>
      <c r="CQ37045" s="111"/>
      <c r="EF37045"/>
      <c r="EG37045"/>
      <c r="EH37045"/>
      <c r="EI37045"/>
      <c r="EJ37045"/>
      <c r="EK37045"/>
    </row>
    <row r="37046" spans="1:141" s="116" customFormat="1">
      <c r="A37046" s="136"/>
      <c r="CM37046" s="111"/>
      <c r="CQ37046" s="111"/>
      <c r="EF37046"/>
      <c r="EG37046"/>
      <c r="EH37046"/>
      <c r="EI37046"/>
      <c r="EJ37046"/>
      <c r="EK37046"/>
    </row>
    <row r="37047" spans="1:141" s="116" customFormat="1">
      <c r="A37047" s="136"/>
      <c r="CM37047" s="111"/>
      <c r="CQ37047" s="111"/>
      <c r="EF37047"/>
      <c r="EG37047"/>
      <c r="EH37047"/>
      <c r="EI37047"/>
      <c r="EJ37047"/>
      <c r="EK37047"/>
    </row>
    <row r="37048" spans="1:141" s="116" customFormat="1">
      <c r="A37048" s="136"/>
      <c r="CM37048" s="111"/>
      <c r="CQ37048" s="111"/>
      <c r="EF37048"/>
      <c r="EG37048"/>
      <c r="EH37048"/>
      <c r="EI37048"/>
      <c r="EJ37048"/>
      <c r="EK37048"/>
    </row>
    <row r="37049" spans="1:141" s="116" customFormat="1">
      <c r="A37049" s="136"/>
      <c r="CM37049" s="111"/>
      <c r="CQ37049" s="111"/>
      <c r="EF37049"/>
      <c r="EG37049"/>
      <c r="EH37049"/>
      <c r="EI37049"/>
      <c r="EJ37049"/>
      <c r="EK37049"/>
    </row>
    <row r="37050" spans="1:141" s="116" customFormat="1">
      <c r="A37050" s="136"/>
      <c r="CM37050" s="111"/>
      <c r="CQ37050" s="111"/>
      <c r="EF37050"/>
      <c r="EG37050"/>
      <c r="EH37050"/>
      <c r="EI37050"/>
      <c r="EJ37050"/>
      <c r="EK37050"/>
    </row>
    <row r="37051" spans="1:141" s="116" customFormat="1">
      <c r="A37051" s="136"/>
      <c r="CM37051" s="111"/>
      <c r="CQ37051" s="111"/>
      <c r="EF37051"/>
      <c r="EG37051"/>
      <c r="EH37051"/>
      <c r="EI37051"/>
      <c r="EJ37051"/>
      <c r="EK37051"/>
    </row>
    <row r="37052" spans="1:141" s="116" customFormat="1">
      <c r="A37052" s="136"/>
      <c r="CM37052" s="111"/>
      <c r="CQ37052" s="111"/>
      <c r="EF37052"/>
      <c r="EG37052"/>
      <c r="EH37052"/>
      <c r="EI37052"/>
      <c r="EJ37052"/>
      <c r="EK37052"/>
    </row>
    <row r="37053" spans="1:141" s="116" customFormat="1">
      <c r="A37053" s="136"/>
      <c r="CM37053" s="111"/>
      <c r="CQ37053" s="111"/>
      <c r="EF37053"/>
      <c r="EG37053"/>
      <c r="EH37053"/>
      <c r="EI37053"/>
      <c r="EJ37053"/>
      <c r="EK37053"/>
    </row>
    <row r="37054" spans="1:141" s="116" customFormat="1">
      <c r="A37054" s="136"/>
      <c r="CM37054" s="111"/>
      <c r="CQ37054" s="111"/>
      <c r="EF37054"/>
      <c r="EG37054"/>
      <c r="EH37054"/>
      <c r="EI37054"/>
      <c r="EJ37054"/>
      <c r="EK37054"/>
    </row>
    <row r="37055" spans="1:141" s="116" customFormat="1">
      <c r="A37055" s="136"/>
      <c r="CM37055" s="111"/>
      <c r="CQ37055" s="111"/>
      <c r="EF37055"/>
      <c r="EG37055"/>
      <c r="EH37055"/>
      <c r="EI37055"/>
      <c r="EJ37055"/>
      <c r="EK37055"/>
    </row>
    <row r="37056" spans="1:141" s="116" customFormat="1">
      <c r="A37056" s="136"/>
      <c r="CM37056" s="111"/>
      <c r="CQ37056" s="111"/>
      <c r="EF37056"/>
      <c r="EG37056"/>
      <c r="EH37056"/>
      <c r="EI37056"/>
      <c r="EJ37056"/>
      <c r="EK37056"/>
    </row>
    <row r="37057" spans="1:141" s="116" customFormat="1">
      <c r="A37057" s="136"/>
      <c r="CM37057" s="111"/>
      <c r="CQ37057" s="111"/>
      <c r="EF37057"/>
      <c r="EG37057"/>
      <c r="EH37057"/>
      <c r="EI37057"/>
      <c r="EJ37057"/>
      <c r="EK37057"/>
    </row>
    <row r="37058" spans="1:141" s="116" customFormat="1">
      <c r="A37058" s="136"/>
      <c r="CM37058" s="111"/>
      <c r="CQ37058" s="111"/>
      <c r="EF37058"/>
      <c r="EG37058"/>
      <c r="EH37058"/>
      <c r="EI37058"/>
      <c r="EJ37058"/>
      <c r="EK37058"/>
    </row>
    <row r="37059" spans="1:141" s="116" customFormat="1">
      <c r="A37059" s="136"/>
      <c r="CM37059" s="111"/>
      <c r="CQ37059" s="111"/>
      <c r="EF37059"/>
      <c r="EG37059"/>
      <c r="EH37059"/>
      <c r="EI37059"/>
      <c r="EJ37059"/>
      <c r="EK37059"/>
    </row>
    <row r="37060" spans="1:141" s="116" customFormat="1">
      <c r="A37060" s="136"/>
      <c r="CM37060" s="111"/>
      <c r="CQ37060" s="111"/>
      <c r="EF37060"/>
      <c r="EG37060"/>
      <c r="EH37060"/>
      <c r="EI37060"/>
      <c r="EJ37060"/>
      <c r="EK37060"/>
    </row>
    <row r="37061" spans="1:141" s="116" customFormat="1">
      <c r="A37061" s="136"/>
      <c r="CM37061" s="111"/>
      <c r="CQ37061" s="111"/>
      <c r="EF37061"/>
      <c r="EG37061"/>
      <c r="EH37061"/>
      <c r="EI37061"/>
      <c r="EJ37061"/>
      <c r="EK37061"/>
    </row>
    <row r="37062" spans="1:141" s="116" customFormat="1">
      <c r="A37062" s="136"/>
      <c r="CM37062" s="111"/>
      <c r="CQ37062" s="111"/>
      <c r="EF37062"/>
      <c r="EG37062"/>
      <c r="EH37062"/>
      <c r="EI37062"/>
      <c r="EJ37062"/>
      <c r="EK37062"/>
    </row>
    <row r="37063" spans="1:141" s="116" customFormat="1">
      <c r="A37063" s="136"/>
      <c r="CM37063" s="111"/>
      <c r="CQ37063" s="111"/>
      <c r="EF37063"/>
      <c r="EG37063"/>
      <c r="EH37063"/>
      <c r="EI37063"/>
      <c r="EJ37063"/>
      <c r="EK37063"/>
    </row>
    <row r="37064" spans="1:141" s="116" customFormat="1">
      <c r="A37064" s="136"/>
      <c r="CM37064" s="111"/>
      <c r="CQ37064" s="111"/>
      <c r="EF37064"/>
      <c r="EG37064"/>
      <c r="EH37064"/>
      <c r="EI37064"/>
      <c r="EJ37064"/>
      <c r="EK37064"/>
    </row>
    <row r="37065" spans="1:141" s="116" customFormat="1">
      <c r="A37065" s="136"/>
      <c r="CM37065" s="111"/>
      <c r="CQ37065" s="111"/>
      <c r="EF37065"/>
      <c r="EG37065"/>
      <c r="EH37065"/>
      <c r="EI37065"/>
      <c r="EJ37065"/>
      <c r="EK37065"/>
    </row>
    <row r="37066" spans="1:141" s="116" customFormat="1">
      <c r="A37066" s="136"/>
      <c r="CM37066" s="111"/>
      <c r="CQ37066" s="111"/>
      <c r="EF37066"/>
      <c r="EG37066"/>
      <c r="EH37066"/>
      <c r="EI37066"/>
      <c r="EJ37066"/>
      <c r="EK37066"/>
    </row>
    <row r="37067" spans="1:141" s="116" customFormat="1">
      <c r="A37067" s="136"/>
      <c r="CM37067" s="111"/>
      <c r="CQ37067" s="111"/>
      <c r="EF37067"/>
      <c r="EG37067"/>
      <c r="EH37067"/>
      <c r="EI37067"/>
      <c r="EJ37067"/>
      <c r="EK37067"/>
    </row>
    <row r="37068" spans="1:141" s="116" customFormat="1">
      <c r="A37068" s="136"/>
      <c r="CM37068" s="111"/>
      <c r="CQ37068" s="111"/>
      <c r="EF37068"/>
      <c r="EG37068"/>
      <c r="EH37068"/>
      <c r="EI37068"/>
      <c r="EJ37068"/>
      <c r="EK37068"/>
    </row>
    <row r="37069" spans="1:141" s="116" customFormat="1">
      <c r="A37069" s="136"/>
      <c r="CM37069" s="111"/>
      <c r="CQ37069" s="111"/>
      <c r="EF37069"/>
      <c r="EG37069"/>
      <c r="EH37069"/>
      <c r="EI37069"/>
      <c r="EJ37069"/>
      <c r="EK37069"/>
    </row>
    <row r="37070" spans="1:141" s="116" customFormat="1">
      <c r="A37070" s="136"/>
      <c r="CM37070" s="111"/>
      <c r="CQ37070" s="111"/>
      <c r="EF37070"/>
      <c r="EG37070"/>
      <c r="EH37070"/>
      <c r="EI37070"/>
      <c r="EJ37070"/>
      <c r="EK37070"/>
    </row>
    <row r="37071" spans="1:141" s="116" customFormat="1">
      <c r="A37071" s="136"/>
      <c r="CM37071" s="111"/>
      <c r="CQ37071" s="111"/>
      <c r="EF37071"/>
      <c r="EG37071"/>
      <c r="EH37071"/>
      <c r="EI37071"/>
      <c r="EJ37071"/>
      <c r="EK37071"/>
    </row>
    <row r="37072" spans="1:141" s="116" customFormat="1">
      <c r="A37072" s="136"/>
      <c r="CM37072" s="111"/>
      <c r="CQ37072" s="111"/>
      <c r="EF37072"/>
      <c r="EG37072"/>
      <c r="EH37072"/>
      <c r="EI37072"/>
      <c r="EJ37072"/>
      <c r="EK37072"/>
    </row>
    <row r="37073" spans="1:141" s="116" customFormat="1">
      <c r="A37073" s="136"/>
      <c r="CM37073" s="111"/>
      <c r="CQ37073" s="111"/>
      <c r="EF37073"/>
      <c r="EG37073"/>
      <c r="EH37073"/>
      <c r="EI37073"/>
      <c r="EJ37073"/>
      <c r="EK37073"/>
    </row>
    <row r="37074" spans="1:141" s="116" customFormat="1">
      <c r="A37074" s="136"/>
      <c r="CM37074" s="111"/>
      <c r="CQ37074" s="111"/>
      <c r="EF37074"/>
      <c r="EG37074"/>
      <c r="EH37074"/>
      <c r="EI37074"/>
      <c r="EJ37074"/>
      <c r="EK37074"/>
    </row>
    <row r="37075" spans="1:141" s="116" customFormat="1">
      <c r="A37075" s="136"/>
      <c r="CM37075" s="111"/>
      <c r="CQ37075" s="111"/>
      <c r="EF37075"/>
      <c r="EG37075"/>
      <c r="EH37075"/>
      <c r="EI37075"/>
      <c r="EJ37075"/>
      <c r="EK37075"/>
    </row>
    <row r="37076" spans="1:141" s="116" customFormat="1">
      <c r="A37076" s="136"/>
      <c r="CM37076" s="111"/>
      <c r="CQ37076" s="111"/>
      <c r="EF37076"/>
      <c r="EG37076"/>
      <c r="EH37076"/>
      <c r="EI37076"/>
      <c r="EJ37076"/>
      <c r="EK37076"/>
    </row>
    <row r="37077" spans="1:141" s="116" customFormat="1">
      <c r="A37077" s="136"/>
      <c r="CM37077" s="111"/>
      <c r="CQ37077" s="111"/>
      <c r="EF37077"/>
      <c r="EG37077"/>
      <c r="EH37077"/>
      <c r="EI37077"/>
      <c r="EJ37077"/>
      <c r="EK37077"/>
    </row>
    <row r="37078" spans="1:141" s="116" customFormat="1">
      <c r="A37078" s="136"/>
      <c r="CM37078" s="111"/>
      <c r="CQ37078" s="111"/>
      <c r="EF37078"/>
      <c r="EG37078"/>
      <c r="EH37078"/>
      <c r="EI37078"/>
      <c r="EJ37078"/>
      <c r="EK37078"/>
    </row>
    <row r="37079" spans="1:141" s="116" customFormat="1">
      <c r="A37079" s="136"/>
      <c r="CM37079" s="111"/>
      <c r="CQ37079" s="111"/>
      <c r="EF37079"/>
      <c r="EG37079"/>
      <c r="EH37079"/>
      <c r="EI37079"/>
      <c r="EJ37079"/>
      <c r="EK37079"/>
    </row>
    <row r="37080" spans="1:141" s="116" customFormat="1">
      <c r="A37080" s="136"/>
      <c r="CM37080" s="111"/>
      <c r="CQ37080" s="111"/>
      <c r="EF37080"/>
      <c r="EG37080"/>
      <c r="EH37080"/>
      <c r="EI37080"/>
      <c r="EJ37080"/>
      <c r="EK37080"/>
    </row>
    <row r="37081" spans="1:141" s="116" customFormat="1">
      <c r="A37081" s="136"/>
      <c r="CM37081" s="111"/>
      <c r="CQ37081" s="111"/>
      <c r="EF37081"/>
      <c r="EG37081"/>
      <c r="EH37081"/>
      <c r="EI37081"/>
      <c r="EJ37081"/>
      <c r="EK37081"/>
    </row>
    <row r="37082" spans="1:141" s="116" customFormat="1">
      <c r="A37082" s="136"/>
      <c r="CM37082" s="111"/>
      <c r="CQ37082" s="111"/>
      <c r="EF37082"/>
      <c r="EG37082"/>
      <c r="EH37082"/>
      <c r="EI37082"/>
      <c r="EJ37082"/>
      <c r="EK37082"/>
    </row>
    <row r="37083" spans="1:141" s="116" customFormat="1">
      <c r="A37083" s="136"/>
      <c r="CM37083" s="111"/>
      <c r="CQ37083" s="111"/>
      <c r="EF37083"/>
      <c r="EG37083"/>
      <c r="EH37083"/>
      <c r="EI37083"/>
      <c r="EJ37083"/>
      <c r="EK37083"/>
    </row>
    <row r="37084" spans="1:141" s="116" customFormat="1">
      <c r="A37084" s="136"/>
      <c r="CM37084" s="111"/>
      <c r="CQ37084" s="111"/>
      <c r="EF37084"/>
      <c r="EG37084"/>
      <c r="EH37084"/>
      <c r="EI37084"/>
      <c r="EJ37084"/>
      <c r="EK37084"/>
    </row>
    <row r="37085" spans="1:141" s="116" customFormat="1">
      <c r="A37085" s="136"/>
      <c r="CM37085" s="111"/>
      <c r="CQ37085" s="111"/>
      <c r="EF37085"/>
      <c r="EG37085"/>
      <c r="EH37085"/>
      <c r="EI37085"/>
      <c r="EJ37085"/>
      <c r="EK37085"/>
    </row>
    <row r="37086" spans="1:141" s="116" customFormat="1">
      <c r="A37086" s="136"/>
      <c r="CM37086" s="111"/>
      <c r="CQ37086" s="111"/>
      <c r="EF37086"/>
      <c r="EG37086"/>
      <c r="EH37086"/>
      <c r="EI37086"/>
      <c r="EJ37086"/>
      <c r="EK37086"/>
    </row>
    <row r="37087" spans="1:141" s="116" customFormat="1">
      <c r="A37087" s="136"/>
      <c r="CM37087" s="111"/>
      <c r="CQ37087" s="111"/>
      <c r="EF37087"/>
      <c r="EG37087"/>
      <c r="EH37087"/>
      <c r="EI37087"/>
      <c r="EJ37087"/>
      <c r="EK37087"/>
    </row>
    <row r="37088" spans="1:141" s="116" customFormat="1">
      <c r="A37088" s="136"/>
      <c r="CM37088" s="111"/>
      <c r="CQ37088" s="111"/>
      <c r="EF37088"/>
      <c r="EG37088"/>
      <c r="EH37088"/>
      <c r="EI37088"/>
      <c r="EJ37088"/>
      <c r="EK37088"/>
    </row>
    <row r="37089" spans="1:141" s="116" customFormat="1">
      <c r="A37089" s="136"/>
      <c r="CM37089" s="111"/>
      <c r="CQ37089" s="111"/>
      <c r="EF37089"/>
      <c r="EG37089"/>
      <c r="EH37089"/>
      <c r="EI37089"/>
      <c r="EJ37089"/>
      <c r="EK37089"/>
    </row>
    <row r="37090" spans="1:141" s="116" customFormat="1">
      <c r="A37090" s="136"/>
      <c r="CM37090" s="111"/>
      <c r="CQ37090" s="111"/>
      <c r="EF37090"/>
      <c r="EG37090"/>
      <c r="EH37090"/>
      <c r="EI37090"/>
      <c r="EJ37090"/>
      <c r="EK37090"/>
    </row>
    <row r="37091" spans="1:141" s="116" customFormat="1">
      <c r="A37091" s="136"/>
      <c r="CM37091" s="111"/>
      <c r="CQ37091" s="111"/>
      <c r="EF37091"/>
      <c r="EG37091"/>
      <c r="EH37091"/>
      <c r="EI37091"/>
      <c r="EJ37091"/>
      <c r="EK37091"/>
    </row>
    <row r="37092" spans="1:141" s="116" customFormat="1">
      <c r="A37092" s="136"/>
      <c r="CM37092" s="111"/>
      <c r="CQ37092" s="111"/>
      <c r="EF37092"/>
      <c r="EG37092"/>
      <c r="EH37092"/>
      <c r="EI37092"/>
      <c r="EJ37092"/>
      <c r="EK37092"/>
    </row>
    <row r="37093" spans="1:141" s="116" customFormat="1">
      <c r="A37093" s="136"/>
      <c r="CM37093" s="111"/>
      <c r="CQ37093" s="111"/>
      <c r="EF37093"/>
      <c r="EG37093"/>
      <c r="EH37093"/>
      <c r="EI37093"/>
      <c r="EJ37093"/>
      <c r="EK37093"/>
    </row>
    <row r="37094" spans="1:141" s="116" customFormat="1">
      <c r="A37094" s="136"/>
      <c r="CM37094" s="111"/>
      <c r="CQ37094" s="111"/>
      <c r="EF37094"/>
      <c r="EG37094"/>
      <c r="EH37094"/>
      <c r="EI37094"/>
      <c r="EJ37094"/>
      <c r="EK37094"/>
    </row>
    <row r="37095" spans="1:141" s="116" customFormat="1">
      <c r="A37095" s="136"/>
      <c r="CM37095" s="111"/>
      <c r="CQ37095" s="111"/>
      <c r="EF37095"/>
      <c r="EG37095"/>
      <c r="EH37095"/>
      <c r="EI37095"/>
      <c r="EJ37095"/>
      <c r="EK37095"/>
    </row>
    <row r="37096" spans="1:141" s="116" customFormat="1">
      <c r="A37096" s="136"/>
      <c r="CM37096" s="111"/>
      <c r="CQ37096" s="111"/>
      <c r="EF37096"/>
      <c r="EG37096"/>
      <c r="EH37096"/>
      <c r="EI37096"/>
      <c r="EJ37096"/>
      <c r="EK37096"/>
    </row>
    <row r="37097" spans="1:141" s="116" customFormat="1">
      <c r="A37097" s="136"/>
      <c r="CM37097" s="111"/>
      <c r="CQ37097" s="111"/>
      <c r="EF37097"/>
      <c r="EG37097"/>
      <c r="EH37097"/>
      <c r="EI37097"/>
      <c r="EJ37097"/>
      <c r="EK37097"/>
    </row>
    <row r="37098" spans="1:141" s="116" customFormat="1">
      <c r="A37098" s="136"/>
      <c r="CM37098" s="111"/>
      <c r="CQ37098" s="111"/>
      <c r="EF37098"/>
      <c r="EG37098"/>
      <c r="EH37098"/>
      <c r="EI37098"/>
      <c r="EJ37098"/>
      <c r="EK37098"/>
    </row>
    <row r="37099" spans="1:141" s="116" customFormat="1">
      <c r="A37099" s="136"/>
      <c r="CM37099" s="111"/>
      <c r="CQ37099" s="111"/>
      <c r="EF37099"/>
      <c r="EG37099"/>
      <c r="EH37099"/>
      <c r="EI37099"/>
      <c r="EJ37099"/>
      <c r="EK37099"/>
    </row>
    <row r="37100" spans="1:141" s="116" customFormat="1">
      <c r="A37100" s="136"/>
      <c r="CM37100" s="111"/>
      <c r="CQ37100" s="111"/>
      <c r="EF37100"/>
      <c r="EG37100"/>
      <c r="EH37100"/>
      <c r="EI37100"/>
      <c r="EJ37100"/>
      <c r="EK37100"/>
    </row>
    <row r="37101" spans="1:141" s="116" customFormat="1">
      <c r="A37101" s="136"/>
      <c r="CM37101" s="111"/>
      <c r="CQ37101" s="111"/>
      <c r="EF37101"/>
      <c r="EG37101"/>
      <c r="EH37101"/>
      <c r="EI37101"/>
      <c r="EJ37101"/>
      <c r="EK37101"/>
    </row>
    <row r="37102" spans="1:141" s="116" customFormat="1">
      <c r="A37102" s="136"/>
      <c r="CM37102" s="111"/>
      <c r="CQ37102" s="111"/>
      <c r="EF37102"/>
      <c r="EG37102"/>
      <c r="EH37102"/>
      <c r="EI37102"/>
      <c r="EJ37102"/>
      <c r="EK37102"/>
    </row>
    <row r="37103" spans="1:141" s="116" customFormat="1">
      <c r="A37103" s="136"/>
      <c r="CM37103" s="111"/>
      <c r="CQ37103" s="111"/>
      <c r="EF37103"/>
      <c r="EG37103"/>
      <c r="EH37103"/>
      <c r="EI37103"/>
      <c r="EJ37103"/>
      <c r="EK37103"/>
    </row>
    <row r="37104" spans="1:141" s="116" customFormat="1">
      <c r="A37104" s="136"/>
      <c r="CM37104" s="111"/>
      <c r="CQ37104" s="111"/>
      <c r="EF37104"/>
      <c r="EG37104"/>
      <c r="EH37104"/>
      <c r="EI37104"/>
      <c r="EJ37104"/>
      <c r="EK37104"/>
    </row>
    <row r="37105" spans="1:141" s="116" customFormat="1">
      <c r="A37105" s="136"/>
      <c r="CM37105" s="111"/>
      <c r="CQ37105" s="111"/>
      <c r="EF37105"/>
      <c r="EG37105"/>
      <c r="EH37105"/>
      <c r="EI37105"/>
      <c r="EJ37105"/>
      <c r="EK37105"/>
    </row>
    <row r="37106" spans="1:141" s="116" customFormat="1">
      <c r="A37106" s="136"/>
      <c r="CM37106" s="111"/>
      <c r="CQ37106" s="111"/>
      <c r="EF37106"/>
      <c r="EG37106"/>
      <c r="EH37106"/>
      <c r="EI37106"/>
      <c r="EJ37106"/>
      <c r="EK37106"/>
    </row>
    <row r="37107" spans="1:141" s="116" customFormat="1">
      <c r="A37107" s="136"/>
      <c r="CM37107" s="111"/>
      <c r="CQ37107" s="111"/>
      <c r="EF37107"/>
      <c r="EG37107"/>
      <c r="EH37107"/>
      <c r="EI37107"/>
      <c r="EJ37107"/>
      <c r="EK37107"/>
    </row>
    <row r="37108" spans="1:141" s="116" customFormat="1">
      <c r="A37108" s="136"/>
      <c r="CM37108" s="111"/>
      <c r="CQ37108" s="111"/>
      <c r="EF37108"/>
      <c r="EG37108"/>
      <c r="EH37108"/>
      <c r="EI37108"/>
      <c r="EJ37108"/>
      <c r="EK37108"/>
    </row>
    <row r="37109" spans="1:141" s="116" customFormat="1">
      <c r="A37109" s="136"/>
      <c r="CM37109" s="111"/>
      <c r="CQ37109" s="111"/>
      <c r="EF37109"/>
      <c r="EG37109"/>
      <c r="EH37109"/>
      <c r="EI37109"/>
      <c r="EJ37109"/>
      <c r="EK37109"/>
    </row>
    <row r="37110" spans="1:141" s="116" customFormat="1">
      <c r="A37110" s="136"/>
      <c r="CM37110" s="111"/>
      <c r="CQ37110" s="111"/>
      <c r="EF37110"/>
      <c r="EG37110"/>
      <c r="EH37110"/>
      <c r="EI37110"/>
      <c r="EJ37110"/>
      <c r="EK37110"/>
    </row>
    <row r="37111" spans="1:141" s="116" customFormat="1">
      <c r="A37111" s="136"/>
      <c r="CM37111" s="111"/>
      <c r="CQ37111" s="111"/>
      <c r="EF37111"/>
      <c r="EG37111"/>
      <c r="EH37111"/>
      <c r="EI37111"/>
      <c r="EJ37111"/>
      <c r="EK37111"/>
    </row>
    <row r="37112" spans="1:141" s="116" customFormat="1">
      <c r="A37112" s="136"/>
      <c r="CM37112" s="111"/>
      <c r="CQ37112" s="111"/>
      <c r="EF37112"/>
      <c r="EG37112"/>
      <c r="EH37112"/>
      <c r="EI37112"/>
      <c r="EJ37112"/>
      <c r="EK37112"/>
    </row>
    <row r="37113" spans="1:141" s="116" customFormat="1">
      <c r="A37113" s="136"/>
      <c r="CM37113" s="111"/>
      <c r="CQ37113" s="111"/>
      <c r="EF37113"/>
      <c r="EG37113"/>
      <c r="EH37113"/>
      <c r="EI37113"/>
      <c r="EJ37113"/>
      <c r="EK37113"/>
    </row>
    <row r="37114" spans="1:141" s="116" customFormat="1">
      <c r="A37114" s="136"/>
      <c r="CM37114" s="111"/>
      <c r="CQ37114" s="111"/>
      <c r="EF37114"/>
      <c r="EG37114"/>
      <c r="EH37114"/>
      <c r="EI37114"/>
      <c r="EJ37114"/>
      <c r="EK37114"/>
    </row>
    <row r="37115" spans="1:141" s="116" customFormat="1">
      <c r="A37115" s="136"/>
      <c r="CM37115" s="111"/>
      <c r="CQ37115" s="111"/>
      <c r="EF37115"/>
      <c r="EG37115"/>
      <c r="EH37115"/>
      <c r="EI37115"/>
      <c r="EJ37115"/>
      <c r="EK37115"/>
    </row>
    <row r="37116" spans="1:141" s="116" customFormat="1">
      <c r="A37116" s="136"/>
      <c r="CM37116" s="111"/>
      <c r="CQ37116" s="111"/>
      <c r="EF37116"/>
      <c r="EG37116"/>
      <c r="EH37116"/>
      <c r="EI37116"/>
      <c r="EJ37116"/>
      <c r="EK37116"/>
    </row>
    <row r="37117" spans="1:141" s="116" customFormat="1">
      <c r="A37117" s="136"/>
      <c r="CM37117" s="111"/>
      <c r="CQ37117" s="111"/>
      <c r="EF37117"/>
      <c r="EG37117"/>
      <c r="EH37117"/>
      <c r="EI37117"/>
      <c r="EJ37117"/>
      <c r="EK37117"/>
    </row>
    <row r="37118" spans="1:141" s="116" customFormat="1">
      <c r="A37118" s="136"/>
      <c r="CM37118" s="111"/>
      <c r="CQ37118" s="111"/>
      <c r="EF37118"/>
      <c r="EG37118"/>
      <c r="EH37118"/>
      <c r="EI37118"/>
      <c r="EJ37118"/>
      <c r="EK37118"/>
    </row>
    <row r="37119" spans="1:141" s="116" customFormat="1">
      <c r="A37119" s="136"/>
      <c r="CM37119" s="111"/>
      <c r="CQ37119" s="111"/>
      <c r="EF37119"/>
      <c r="EG37119"/>
      <c r="EH37119"/>
      <c r="EI37119"/>
      <c r="EJ37119"/>
      <c r="EK37119"/>
    </row>
    <row r="37120" spans="1:141" s="116" customFormat="1">
      <c r="A37120" s="136"/>
      <c r="CM37120" s="111"/>
      <c r="CQ37120" s="111"/>
      <c r="EF37120"/>
      <c r="EG37120"/>
      <c r="EH37120"/>
      <c r="EI37120"/>
      <c r="EJ37120"/>
      <c r="EK37120"/>
    </row>
    <row r="37121" spans="1:141" s="116" customFormat="1">
      <c r="A37121" s="136"/>
      <c r="CM37121" s="111"/>
      <c r="CQ37121" s="111"/>
      <c r="EF37121"/>
      <c r="EG37121"/>
      <c r="EH37121"/>
      <c r="EI37121"/>
      <c r="EJ37121"/>
      <c r="EK37121"/>
    </row>
    <row r="37122" spans="1:141" s="116" customFormat="1">
      <c r="A37122" s="136"/>
      <c r="CM37122" s="111"/>
      <c r="CQ37122" s="111"/>
      <c r="EF37122"/>
      <c r="EG37122"/>
      <c r="EH37122"/>
      <c r="EI37122"/>
      <c r="EJ37122"/>
      <c r="EK37122"/>
    </row>
    <row r="37123" spans="1:141" s="116" customFormat="1">
      <c r="A37123" s="136"/>
      <c r="CM37123" s="111"/>
      <c r="CQ37123" s="111"/>
      <c r="EF37123"/>
      <c r="EG37123"/>
      <c r="EH37123"/>
      <c r="EI37123"/>
      <c r="EJ37123"/>
      <c r="EK37123"/>
    </row>
    <row r="37124" spans="1:141" s="116" customFormat="1">
      <c r="A37124" s="136"/>
      <c r="CM37124" s="111"/>
      <c r="CQ37124" s="111"/>
      <c r="EF37124"/>
      <c r="EG37124"/>
      <c r="EH37124"/>
      <c r="EI37124"/>
      <c r="EJ37124"/>
      <c r="EK37124"/>
    </row>
    <row r="37125" spans="1:141" s="116" customFormat="1">
      <c r="A37125" s="136"/>
      <c r="CM37125" s="111"/>
      <c r="CQ37125" s="111"/>
      <c r="EF37125"/>
      <c r="EG37125"/>
      <c r="EH37125"/>
      <c r="EI37125"/>
      <c r="EJ37125"/>
      <c r="EK37125"/>
    </row>
    <row r="37126" spans="1:141" s="116" customFormat="1">
      <c r="A37126" s="136"/>
      <c r="CM37126" s="111"/>
      <c r="CQ37126" s="111"/>
      <c r="EF37126"/>
      <c r="EG37126"/>
      <c r="EH37126"/>
      <c r="EI37126"/>
      <c r="EJ37126"/>
      <c r="EK37126"/>
    </row>
    <row r="37127" spans="1:141" s="116" customFormat="1">
      <c r="A37127" s="136"/>
      <c r="CM37127" s="111"/>
      <c r="CQ37127" s="111"/>
      <c r="EF37127"/>
      <c r="EG37127"/>
      <c r="EH37127"/>
      <c r="EI37127"/>
      <c r="EJ37127"/>
      <c r="EK37127"/>
    </row>
    <row r="37128" spans="1:141" s="116" customFormat="1">
      <c r="A37128" s="136"/>
      <c r="CM37128" s="111"/>
      <c r="CQ37128" s="111"/>
      <c r="EF37128"/>
      <c r="EG37128"/>
      <c r="EH37128"/>
      <c r="EI37128"/>
      <c r="EJ37128"/>
      <c r="EK37128"/>
    </row>
    <row r="37129" spans="1:141" s="116" customFormat="1">
      <c r="A37129" s="136"/>
      <c r="CM37129" s="111"/>
      <c r="CQ37129" s="111"/>
      <c r="EF37129"/>
      <c r="EG37129"/>
      <c r="EH37129"/>
      <c r="EI37129"/>
      <c r="EJ37129"/>
      <c r="EK37129"/>
    </row>
    <row r="37130" spans="1:141" s="116" customFormat="1">
      <c r="A37130" s="136"/>
      <c r="CM37130" s="111"/>
      <c r="CQ37130" s="111"/>
      <c r="EF37130"/>
      <c r="EG37130"/>
      <c r="EH37130"/>
      <c r="EI37130"/>
      <c r="EJ37130"/>
      <c r="EK37130"/>
    </row>
    <row r="37131" spans="1:141" s="116" customFormat="1">
      <c r="A37131" s="136"/>
      <c r="CM37131" s="111"/>
      <c r="CQ37131" s="111"/>
      <c r="EF37131"/>
      <c r="EG37131"/>
      <c r="EH37131"/>
      <c r="EI37131"/>
      <c r="EJ37131"/>
      <c r="EK37131"/>
    </row>
    <row r="37132" spans="1:141" s="116" customFormat="1">
      <c r="A37132" s="136"/>
      <c r="CM37132" s="111"/>
      <c r="CQ37132" s="111"/>
      <c r="EF37132"/>
      <c r="EG37132"/>
      <c r="EH37132"/>
      <c r="EI37132"/>
      <c r="EJ37132"/>
      <c r="EK37132"/>
    </row>
    <row r="37133" spans="1:141" s="116" customFormat="1">
      <c r="A37133" s="136"/>
      <c r="CM37133" s="111"/>
      <c r="CQ37133" s="111"/>
      <c r="EF37133"/>
      <c r="EG37133"/>
      <c r="EH37133"/>
      <c r="EI37133"/>
      <c r="EJ37133"/>
      <c r="EK37133"/>
    </row>
    <row r="37134" spans="1:141" s="116" customFormat="1">
      <c r="A37134" s="136"/>
      <c r="CM37134" s="111"/>
      <c r="CQ37134" s="111"/>
      <c r="EF37134"/>
      <c r="EG37134"/>
      <c r="EH37134"/>
      <c r="EI37134"/>
      <c r="EJ37134"/>
      <c r="EK37134"/>
    </row>
    <row r="37135" spans="1:141" s="116" customFormat="1">
      <c r="A37135" s="136"/>
      <c r="CM37135" s="111"/>
      <c r="CQ37135" s="111"/>
      <c r="EF37135"/>
      <c r="EG37135"/>
      <c r="EH37135"/>
      <c r="EI37135"/>
      <c r="EJ37135"/>
      <c r="EK37135"/>
    </row>
    <row r="37136" spans="1:141" s="116" customFormat="1">
      <c r="A37136" s="136"/>
      <c r="CM37136" s="111"/>
      <c r="CQ37136" s="111"/>
      <c r="EF37136"/>
      <c r="EG37136"/>
      <c r="EH37136"/>
      <c r="EI37136"/>
      <c r="EJ37136"/>
      <c r="EK37136"/>
    </row>
    <row r="37137" spans="1:141" s="116" customFormat="1">
      <c r="A37137" s="136"/>
      <c r="CM37137" s="111"/>
      <c r="CQ37137" s="111"/>
      <c r="EF37137"/>
      <c r="EG37137"/>
      <c r="EH37137"/>
      <c r="EI37137"/>
      <c r="EJ37137"/>
      <c r="EK37137"/>
    </row>
    <row r="37138" spans="1:141" s="116" customFormat="1">
      <c r="A37138" s="136"/>
      <c r="CM37138" s="111"/>
      <c r="CQ37138" s="111"/>
      <c r="EF37138"/>
      <c r="EG37138"/>
      <c r="EH37138"/>
      <c r="EI37138"/>
      <c r="EJ37138"/>
      <c r="EK37138"/>
    </row>
    <row r="37139" spans="1:141" s="116" customFormat="1">
      <c r="A37139" s="136"/>
      <c r="CM37139" s="111"/>
      <c r="CQ37139" s="111"/>
      <c r="EF37139"/>
      <c r="EG37139"/>
      <c r="EH37139"/>
      <c r="EI37139"/>
      <c r="EJ37139"/>
      <c r="EK37139"/>
    </row>
    <row r="37140" spans="1:141" s="116" customFormat="1">
      <c r="A37140" s="136"/>
      <c r="CM37140" s="111"/>
      <c r="CQ37140" s="111"/>
      <c r="EF37140"/>
      <c r="EG37140"/>
      <c r="EH37140"/>
      <c r="EI37140"/>
      <c r="EJ37140"/>
      <c r="EK37140"/>
    </row>
    <row r="37141" spans="1:141" s="116" customFormat="1">
      <c r="A37141" s="136"/>
      <c r="CM37141" s="111"/>
      <c r="CQ37141" s="111"/>
      <c r="EF37141"/>
      <c r="EG37141"/>
      <c r="EH37141"/>
      <c r="EI37141"/>
      <c r="EJ37141"/>
      <c r="EK37141"/>
    </row>
    <row r="37142" spans="1:141" s="116" customFormat="1">
      <c r="A37142" s="136"/>
      <c r="CM37142" s="111"/>
      <c r="CQ37142" s="111"/>
      <c r="EF37142"/>
      <c r="EG37142"/>
      <c r="EH37142"/>
      <c r="EI37142"/>
      <c r="EJ37142"/>
      <c r="EK37142"/>
    </row>
    <row r="37143" spans="1:141" s="116" customFormat="1">
      <c r="A37143" s="136"/>
      <c r="CM37143" s="111"/>
      <c r="CQ37143" s="111"/>
      <c r="EF37143"/>
      <c r="EG37143"/>
      <c r="EH37143"/>
      <c r="EI37143"/>
      <c r="EJ37143"/>
      <c r="EK37143"/>
    </row>
    <row r="37144" spans="1:141" s="116" customFormat="1">
      <c r="A37144" s="136"/>
      <c r="CM37144" s="111"/>
      <c r="CQ37144" s="111"/>
      <c r="EF37144"/>
      <c r="EG37144"/>
      <c r="EH37144"/>
      <c r="EI37144"/>
      <c r="EJ37144"/>
      <c r="EK37144"/>
    </row>
    <row r="37145" spans="1:141" s="116" customFormat="1">
      <c r="A37145" s="136"/>
      <c r="CM37145" s="111"/>
      <c r="CQ37145" s="111"/>
      <c r="EF37145"/>
      <c r="EG37145"/>
      <c r="EH37145"/>
      <c r="EI37145"/>
      <c r="EJ37145"/>
      <c r="EK37145"/>
    </row>
    <row r="37146" spans="1:141" s="116" customFormat="1">
      <c r="A37146" s="136"/>
      <c r="CM37146" s="111"/>
      <c r="CQ37146" s="111"/>
      <c r="EF37146"/>
      <c r="EG37146"/>
      <c r="EH37146"/>
      <c r="EI37146"/>
      <c r="EJ37146"/>
      <c r="EK37146"/>
    </row>
    <row r="37147" spans="1:141" s="116" customFormat="1">
      <c r="A37147" s="136"/>
      <c r="CM37147" s="111"/>
      <c r="CQ37147" s="111"/>
      <c r="EF37147"/>
      <c r="EG37147"/>
      <c r="EH37147"/>
      <c r="EI37147"/>
      <c r="EJ37147"/>
      <c r="EK37147"/>
    </row>
    <row r="37148" spans="1:141" s="116" customFormat="1">
      <c r="A37148" s="136"/>
      <c r="CM37148" s="111"/>
      <c r="CQ37148" s="111"/>
      <c r="EF37148"/>
      <c r="EG37148"/>
      <c r="EH37148"/>
      <c r="EI37148"/>
      <c r="EJ37148"/>
      <c r="EK37148"/>
    </row>
    <row r="37149" spans="1:141" s="116" customFormat="1">
      <c r="A37149" s="136"/>
      <c r="CM37149" s="111"/>
      <c r="CQ37149" s="111"/>
      <c r="EF37149"/>
      <c r="EG37149"/>
      <c r="EH37149"/>
      <c r="EI37149"/>
      <c r="EJ37149"/>
      <c r="EK37149"/>
    </row>
    <row r="37150" spans="1:141" s="116" customFormat="1">
      <c r="A37150" s="136"/>
      <c r="CM37150" s="111"/>
      <c r="CQ37150" s="111"/>
      <c r="EF37150"/>
      <c r="EG37150"/>
      <c r="EH37150"/>
      <c r="EI37150"/>
      <c r="EJ37150"/>
      <c r="EK37150"/>
    </row>
    <row r="37151" spans="1:141" s="116" customFormat="1">
      <c r="A37151" s="136"/>
      <c r="CM37151" s="111"/>
      <c r="CQ37151" s="111"/>
      <c r="EF37151"/>
      <c r="EG37151"/>
      <c r="EH37151"/>
      <c r="EI37151"/>
      <c r="EJ37151"/>
      <c r="EK37151"/>
    </row>
    <row r="37152" spans="1:141" s="116" customFormat="1">
      <c r="A37152" s="136"/>
      <c r="CM37152" s="111"/>
      <c r="CQ37152" s="111"/>
      <c r="EF37152"/>
      <c r="EG37152"/>
      <c r="EH37152"/>
      <c r="EI37152"/>
      <c r="EJ37152"/>
      <c r="EK37152"/>
    </row>
    <row r="37153" spans="1:141" s="116" customFormat="1">
      <c r="A37153" s="136"/>
      <c r="CM37153" s="111"/>
      <c r="CQ37153" s="111"/>
      <c r="EF37153"/>
      <c r="EG37153"/>
      <c r="EH37153"/>
      <c r="EI37153"/>
      <c r="EJ37153"/>
      <c r="EK37153"/>
    </row>
    <row r="37154" spans="1:141" s="116" customFormat="1">
      <c r="A37154" s="136"/>
      <c r="CM37154" s="111"/>
      <c r="CQ37154" s="111"/>
      <c r="EF37154"/>
      <c r="EG37154"/>
      <c r="EH37154"/>
      <c r="EI37154"/>
      <c r="EJ37154"/>
      <c r="EK37154"/>
    </row>
    <row r="37155" spans="1:141" s="116" customFormat="1">
      <c r="A37155" s="136"/>
      <c r="CM37155" s="111"/>
      <c r="CQ37155" s="111"/>
      <c r="EF37155"/>
      <c r="EG37155"/>
      <c r="EH37155"/>
      <c r="EI37155"/>
      <c r="EJ37155"/>
      <c r="EK37155"/>
    </row>
    <row r="37156" spans="1:141" s="116" customFormat="1">
      <c r="A37156" s="136"/>
      <c r="CM37156" s="111"/>
      <c r="CQ37156" s="111"/>
      <c r="EF37156"/>
      <c r="EG37156"/>
      <c r="EH37156"/>
      <c r="EI37156"/>
      <c r="EJ37156"/>
      <c r="EK37156"/>
    </row>
    <row r="37157" spans="1:141" s="116" customFormat="1">
      <c r="A37157" s="136"/>
      <c r="CM37157" s="111"/>
      <c r="CQ37157" s="111"/>
      <c r="EF37157"/>
      <c r="EG37157"/>
      <c r="EH37157"/>
      <c r="EI37157"/>
      <c r="EJ37157"/>
      <c r="EK37157"/>
    </row>
    <row r="37158" spans="1:141" s="116" customFormat="1">
      <c r="A37158" s="136"/>
      <c r="CM37158" s="111"/>
      <c r="CQ37158" s="111"/>
      <c r="EF37158"/>
      <c r="EG37158"/>
      <c r="EH37158"/>
      <c r="EI37158"/>
      <c r="EJ37158"/>
      <c r="EK37158"/>
    </row>
    <row r="37159" spans="1:141" s="116" customFormat="1">
      <c r="A37159" s="136"/>
      <c r="CM37159" s="111"/>
      <c r="CQ37159" s="111"/>
      <c r="EF37159"/>
      <c r="EG37159"/>
      <c r="EH37159"/>
      <c r="EI37159"/>
      <c r="EJ37159"/>
      <c r="EK37159"/>
    </row>
    <row r="37160" spans="1:141" s="116" customFormat="1">
      <c r="A37160" s="136"/>
      <c r="CM37160" s="111"/>
      <c r="CQ37160" s="111"/>
      <c r="EF37160"/>
      <c r="EG37160"/>
      <c r="EH37160"/>
      <c r="EI37160"/>
      <c r="EJ37160"/>
      <c r="EK37160"/>
    </row>
    <row r="37161" spans="1:141" s="116" customFormat="1">
      <c r="A37161" s="136"/>
      <c r="CM37161" s="111"/>
      <c r="CQ37161" s="111"/>
      <c r="EF37161"/>
      <c r="EG37161"/>
      <c r="EH37161"/>
      <c r="EI37161"/>
      <c r="EJ37161"/>
      <c r="EK37161"/>
    </row>
    <row r="37162" spans="1:141" s="116" customFormat="1">
      <c r="A37162" s="136"/>
      <c r="CM37162" s="111"/>
      <c r="CQ37162" s="111"/>
      <c r="EF37162"/>
      <c r="EG37162"/>
      <c r="EH37162"/>
      <c r="EI37162"/>
      <c r="EJ37162"/>
      <c r="EK37162"/>
    </row>
    <row r="37163" spans="1:141" s="116" customFormat="1">
      <c r="A37163" s="136"/>
      <c r="CM37163" s="111"/>
      <c r="CQ37163" s="111"/>
      <c r="EF37163"/>
      <c r="EG37163"/>
      <c r="EH37163"/>
      <c r="EI37163"/>
      <c r="EJ37163"/>
      <c r="EK37163"/>
    </row>
    <row r="37164" spans="1:141" s="116" customFormat="1">
      <c r="A37164" s="136"/>
      <c r="CM37164" s="111"/>
      <c r="CQ37164" s="111"/>
      <c r="EF37164"/>
      <c r="EG37164"/>
      <c r="EH37164"/>
      <c r="EI37164"/>
      <c r="EJ37164"/>
      <c r="EK37164"/>
    </row>
    <row r="37165" spans="1:141" s="116" customFormat="1">
      <c r="A37165" s="136"/>
      <c r="CM37165" s="111"/>
      <c r="CQ37165" s="111"/>
      <c r="EF37165"/>
      <c r="EG37165"/>
      <c r="EH37165"/>
      <c r="EI37165"/>
      <c r="EJ37165"/>
      <c r="EK37165"/>
    </row>
    <row r="37166" spans="1:141" s="116" customFormat="1">
      <c r="A37166" s="136"/>
      <c r="CM37166" s="111"/>
      <c r="CQ37166" s="111"/>
      <c r="EF37166"/>
      <c r="EG37166"/>
      <c r="EH37166"/>
      <c r="EI37166"/>
      <c r="EJ37166"/>
      <c r="EK37166"/>
    </row>
    <row r="37167" spans="1:141" s="116" customFormat="1">
      <c r="A37167" s="136"/>
      <c r="CM37167" s="111"/>
      <c r="CQ37167" s="111"/>
      <c r="EF37167"/>
      <c r="EG37167"/>
      <c r="EH37167"/>
      <c r="EI37167"/>
      <c r="EJ37167"/>
      <c r="EK37167"/>
    </row>
    <row r="37168" spans="1:141" s="116" customFormat="1">
      <c r="A37168" s="136"/>
      <c r="CM37168" s="111"/>
      <c r="CQ37168" s="111"/>
      <c r="EF37168"/>
      <c r="EG37168"/>
      <c r="EH37168"/>
      <c r="EI37168"/>
      <c r="EJ37168"/>
      <c r="EK37168"/>
    </row>
    <row r="37169" spans="1:141" s="116" customFormat="1">
      <c r="A37169" s="136"/>
      <c r="CM37169" s="111"/>
      <c r="CQ37169" s="111"/>
      <c r="EF37169"/>
      <c r="EG37169"/>
      <c r="EH37169"/>
      <c r="EI37169"/>
      <c r="EJ37169"/>
      <c r="EK37169"/>
    </row>
    <row r="37170" spans="1:141" s="116" customFormat="1">
      <c r="A37170" s="136"/>
      <c r="CM37170" s="111"/>
      <c r="CQ37170" s="111"/>
      <c r="EF37170"/>
      <c r="EG37170"/>
      <c r="EH37170"/>
      <c r="EI37170"/>
      <c r="EJ37170"/>
      <c r="EK37170"/>
    </row>
    <row r="37171" spans="1:141" s="116" customFormat="1">
      <c r="A37171" s="136"/>
      <c r="CM37171" s="111"/>
      <c r="CQ37171" s="111"/>
      <c r="EF37171"/>
      <c r="EG37171"/>
      <c r="EH37171"/>
      <c r="EI37171"/>
      <c r="EJ37171"/>
      <c r="EK37171"/>
    </row>
    <row r="37172" spans="1:141" s="116" customFormat="1">
      <c r="A37172" s="136"/>
      <c r="CM37172" s="111"/>
      <c r="CQ37172" s="111"/>
      <c r="EF37172"/>
      <c r="EG37172"/>
      <c r="EH37172"/>
      <c r="EI37172"/>
      <c r="EJ37172"/>
      <c r="EK37172"/>
    </row>
    <row r="37173" spans="1:141" s="116" customFormat="1">
      <c r="A37173" s="136"/>
      <c r="CM37173" s="111"/>
      <c r="CQ37173" s="111"/>
      <c r="EF37173"/>
      <c r="EG37173"/>
      <c r="EH37173"/>
      <c r="EI37173"/>
      <c r="EJ37173"/>
      <c r="EK37173"/>
    </row>
    <row r="37174" spans="1:141" s="116" customFormat="1">
      <c r="A37174" s="136"/>
      <c r="CM37174" s="111"/>
      <c r="CQ37174" s="111"/>
      <c r="EF37174"/>
      <c r="EG37174"/>
      <c r="EH37174"/>
      <c r="EI37174"/>
      <c r="EJ37174"/>
      <c r="EK37174"/>
    </row>
    <row r="37175" spans="1:141" s="116" customFormat="1">
      <c r="A37175" s="136"/>
      <c r="CM37175" s="111"/>
      <c r="CQ37175" s="111"/>
      <c r="EF37175"/>
      <c r="EG37175"/>
      <c r="EH37175"/>
      <c r="EI37175"/>
      <c r="EJ37175"/>
      <c r="EK37175"/>
    </row>
    <row r="37176" spans="1:141" s="116" customFormat="1">
      <c r="A37176" s="136"/>
      <c r="CM37176" s="111"/>
      <c r="CQ37176" s="111"/>
      <c r="EF37176"/>
      <c r="EG37176"/>
      <c r="EH37176"/>
      <c r="EI37176"/>
      <c r="EJ37176"/>
      <c r="EK37176"/>
    </row>
    <row r="37177" spans="1:141" s="116" customFormat="1">
      <c r="A37177" s="136"/>
      <c r="CM37177" s="111"/>
      <c r="CQ37177" s="111"/>
      <c r="EF37177"/>
      <c r="EG37177"/>
      <c r="EH37177"/>
      <c r="EI37177"/>
      <c r="EJ37177"/>
      <c r="EK37177"/>
    </row>
    <row r="37178" spans="1:141" s="116" customFormat="1">
      <c r="A37178" s="136"/>
      <c r="CM37178" s="111"/>
      <c r="CQ37178" s="111"/>
      <c r="EF37178"/>
      <c r="EG37178"/>
      <c r="EH37178"/>
      <c r="EI37178"/>
      <c r="EJ37178"/>
      <c r="EK37178"/>
    </row>
    <row r="37179" spans="1:141" s="116" customFormat="1">
      <c r="A37179" s="136"/>
      <c r="CM37179" s="111"/>
      <c r="CQ37179" s="111"/>
      <c r="EF37179"/>
      <c r="EG37179"/>
      <c r="EH37179"/>
      <c r="EI37179"/>
      <c r="EJ37179"/>
      <c r="EK37179"/>
    </row>
    <row r="37180" spans="1:141" s="116" customFormat="1">
      <c r="A37180" s="136"/>
      <c r="CM37180" s="111"/>
      <c r="CQ37180" s="111"/>
      <c r="EF37180"/>
      <c r="EG37180"/>
      <c r="EH37180"/>
      <c r="EI37180"/>
      <c r="EJ37180"/>
      <c r="EK37180"/>
    </row>
    <row r="37181" spans="1:141" s="116" customFormat="1">
      <c r="A37181" s="136"/>
      <c r="CM37181" s="111"/>
      <c r="CQ37181" s="111"/>
      <c r="EF37181"/>
      <c r="EG37181"/>
      <c r="EH37181"/>
      <c r="EI37181"/>
      <c r="EJ37181"/>
      <c r="EK37181"/>
    </row>
    <row r="37182" spans="1:141" s="116" customFormat="1">
      <c r="A37182" s="136"/>
      <c r="CM37182" s="111"/>
      <c r="CQ37182" s="111"/>
      <c r="EF37182"/>
      <c r="EG37182"/>
      <c r="EH37182"/>
      <c r="EI37182"/>
      <c r="EJ37182"/>
      <c r="EK37182"/>
    </row>
    <row r="37183" spans="1:141" s="116" customFormat="1">
      <c r="A37183" s="136"/>
      <c r="CM37183" s="111"/>
      <c r="CQ37183" s="111"/>
      <c r="EF37183"/>
      <c r="EG37183"/>
      <c r="EH37183"/>
      <c r="EI37183"/>
      <c r="EJ37183"/>
      <c r="EK37183"/>
    </row>
    <row r="37184" spans="1:141" s="116" customFormat="1">
      <c r="A37184" s="136"/>
      <c r="CM37184" s="111"/>
      <c r="CQ37184" s="111"/>
      <c r="EF37184"/>
      <c r="EG37184"/>
      <c r="EH37184"/>
      <c r="EI37184"/>
      <c r="EJ37184"/>
      <c r="EK37184"/>
    </row>
    <row r="37185" spans="1:141" s="116" customFormat="1">
      <c r="A37185" s="136"/>
      <c r="CM37185" s="111"/>
      <c r="CQ37185" s="111"/>
      <c r="EF37185"/>
      <c r="EG37185"/>
      <c r="EH37185"/>
      <c r="EI37185"/>
      <c r="EJ37185"/>
      <c r="EK37185"/>
    </row>
    <row r="37186" spans="1:141" s="116" customFormat="1">
      <c r="A37186" s="136"/>
      <c r="CM37186" s="111"/>
      <c r="CQ37186" s="111"/>
      <c r="EF37186"/>
      <c r="EG37186"/>
      <c r="EH37186"/>
      <c r="EI37186"/>
      <c r="EJ37186"/>
      <c r="EK37186"/>
    </row>
    <row r="37187" spans="1:141" s="116" customFormat="1">
      <c r="A37187" s="136"/>
      <c r="CM37187" s="111"/>
      <c r="CQ37187" s="111"/>
      <c r="EF37187"/>
      <c r="EG37187"/>
      <c r="EH37187"/>
      <c r="EI37187"/>
      <c r="EJ37187"/>
      <c r="EK37187"/>
    </row>
    <row r="37188" spans="1:141" s="116" customFormat="1">
      <c r="A37188" s="136"/>
      <c r="CM37188" s="111"/>
      <c r="CQ37188" s="111"/>
      <c r="EF37188"/>
      <c r="EG37188"/>
      <c r="EH37188"/>
      <c r="EI37188"/>
      <c r="EJ37188"/>
      <c r="EK37188"/>
    </row>
    <row r="37189" spans="1:141" s="116" customFormat="1">
      <c r="A37189" s="136"/>
      <c r="CM37189" s="111"/>
      <c r="CQ37189" s="111"/>
      <c r="EF37189"/>
      <c r="EG37189"/>
      <c r="EH37189"/>
      <c r="EI37189"/>
      <c r="EJ37189"/>
      <c r="EK37189"/>
    </row>
    <row r="37190" spans="1:141" s="116" customFormat="1">
      <c r="A37190" s="136"/>
      <c r="CM37190" s="111"/>
      <c r="CQ37190" s="111"/>
      <c r="EF37190"/>
      <c r="EG37190"/>
      <c r="EH37190"/>
      <c r="EI37190"/>
      <c r="EJ37190"/>
      <c r="EK37190"/>
    </row>
    <row r="37191" spans="1:141" s="116" customFormat="1">
      <c r="A37191" s="136"/>
      <c r="CM37191" s="111"/>
      <c r="CQ37191" s="111"/>
      <c r="EF37191"/>
      <c r="EG37191"/>
      <c r="EH37191"/>
      <c r="EI37191"/>
      <c r="EJ37191"/>
      <c r="EK37191"/>
    </row>
    <row r="37192" spans="1:141" s="116" customFormat="1">
      <c r="A37192" s="136"/>
      <c r="CM37192" s="111"/>
      <c r="CQ37192" s="111"/>
      <c r="EF37192"/>
      <c r="EG37192"/>
      <c r="EH37192"/>
      <c r="EI37192"/>
      <c r="EJ37192"/>
      <c r="EK37192"/>
    </row>
    <row r="37193" spans="1:141" s="116" customFormat="1">
      <c r="A37193" s="136"/>
      <c r="CM37193" s="111"/>
      <c r="CQ37193" s="111"/>
      <c r="EF37193"/>
      <c r="EG37193"/>
      <c r="EH37193"/>
      <c r="EI37193"/>
      <c r="EJ37193"/>
      <c r="EK37193"/>
    </row>
    <row r="37194" spans="1:141" s="116" customFormat="1">
      <c r="A37194" s="136"/>
      <c r="CM37194" s="111"/>
      <c r="CQ37194" s="111"/>
      <c r="EF37194"/>
      <c r="EG37194"/>
      <c r="EH37194"/>
      <c r="EI37194"/>
      <c r="EJ37194"/>
      <c r="EK37194"/>
    </row>
    <row r="37195" spans="1:141" s="116" customFormat="1">
      <c r="A37195" s="136"/>
      <c r="CM37195" s="111"/>
      <c r="CQ37195" s="111"/>
      <c r="EF37195"/>
      <c r="EG37195"/>
      <c r="EH37195"/>
      <c r="EI37195"/>
      <c r="EJ37195"/>
      <c r="EK37195"/>
    </row>
    <row r="37196" spans="1:141" s="116" customFormat="1">
      <c r="A37196" s="136"/>
      <c r="CM37196" s="111"/>
      <c r="CQ37196" s="111"/>
      <c r="EF37196"/>
      <c r="EG37196"/>
      <c r="EH37196"/>
      <c r="EI37196"/>
      <c r="EJ37196"/>
      <c r="EK37196"/>
    </row>
    <row r="37197" spans="1:141" s="116" customFormat="1">
      <c r="A37197" s="136"/>
      <c r="CM37197" s="111"/>
      <c r="CQ37197" s="111"/>
      <c r="EF37197"/>
      <c r="EG37197"/>
      <c r="EH37197"/>
      <c r="EI37197"/>
      <c r="EJ37197"/>
      <c r="EK37197"/>
    </row>
    <row r="37198" spans="1:141" s="116" customFormat="1">
      <c r="A37198" s="136"/>
      <c r="CM37198" s="111"/>
      <c r="CQ37198" s="111"/>
      <c r="EF37198"/>
      <c r="EG37198"/>
      <c r="EH37198"/>
      <c r="EI37198"/>
      <c r="EJ37198"/>
      <c r="EK37198"/>
    </row>
    <row r="37199" spans="1:141" s="116" customFormat="1">
      <c r="A37199" s="136"/>
      <c r="CM37199" s="111"/>
      <c r="CQ37199" s="111"/>
      <c r="EF37199"/>
      <c r="EG37199"/>
      <c r="EH37199"/>
      <c r="EI37199"/>
      <c r="EJ37199"/>
      <c r="EK37199"/>
    </row>
    <row r="37200" spans="1:141" s="116" customFormat="1">
      <c r="A37200" s="136"/>
      <c r="CM37200" s="111"/>
      <c r="CQ37200" s="111"/>
      <c r="EF37200"/>
      <c r="EG37200"/>
      <c r="EH37200"/>
      <c r="EI37200"/>
      <c r="EJ37200"/>
      <c r="EK37200"/>
    </row>
    <row r="37201" spans="1:141" s="116" customFormat="1">
      <c r="A37201" s="136"/>
      <c r="CM37201" s="111"/>
      <c r="CQ37201" s="111"/>
      <c r="EF37201"/>
      <c r="EG37201"/>
      <c r="EH37201"/>
      <c r="EI37201"/>
      <c r="EJ37201"/>
      <c r="EK37201"/>
    </row>
    <row r="37202" spans="1:141" s="116" customFormat="1">
      <c r="A37202" s="136"/>
      <c r="CM37202" s="111"/>
      <c r="CQ37202" s="111"/>
      <c r="EF37202"/>
      <c r="EG37202"/>
      <c r="EH37202"/>
      <c r="EI37202"/>
      <c r="EJ37202"/>
      <c r="EK37202"/>
    </row>
    <row r="37203" spans="1:141" s="116" customFormat="1">
      <c r="A37203" s="136"/>
      <c r="CM37203" s="111"/>
      <c r="CQ37203" s="111"/>
      <c r="EF37203"/>
      <c r="EG37203"/>
      <c r="EH37203"/>
      <c r="EI37203"/>
      <c r="EJ37203"/>
      <c r="EK37203"/>
    </row>
    <row r="37204" spans="1:141" s="116" customFormat="1">
      <c r="A37204" s="136"/>
      <c r="CM37204" s="111"/>
      <c r="CQ37204" s="111"/>
      <c r="EF37204"/>
      <c r="EG37204"/>
      <c r="EH37204"/>
      <c r="EI37204"/>
      <c r="EJ37204"/>
      <c r="EK37204"/>
    </row>
    <row r="37205" spans="1:141" s="116" customFormat="1">
      <c r="A37205" s="136"/>
      <c r="CM37205" s="111"/>
      <c r="CQ37205" s="111"/>
      <c r="EF37205"/>
      <c r="EG37205"/>
      <c r="EH37205"/>
      <c r="EI37205"/>
      <c r="EJ37205"/>
      <c r="EK37205"/>
    </row>
    <row r="37206" spans="1:141" s="116" customFormat="1">
      <c r="A37206" s="136"/>
      <c r="CM37206" s="111"/>
      <c r="CQ37206" s="111"/>
      <c r="EF37206"/>
      <c r="EG37206"/>
      <c r="EH37206"/>
      <c r="EI37206"/>
      <c r="EJ37206"/>
      <c r="EK37206"/>
    </row>
    <row r="37207" spans="1:141" s="116" customFormat="1">
      <c r="A37207" s="136"/>
      <c r="CM37207" s="111"/>
      <c r="CQ37207" s="111"/>
      <c r="EF37207"/>
      <c r="EG37207"/>
      <c r="EH37207"/>
      <c r="EI37207"/>
      <c r="EJ37207"/>
      <c r="EK37207"/>
    </row>
    <row r="37208" spans="1:141" s="116" customFormat="1">
      <c r="A37208" s="136"/>
      <c r="CM37208" s="111"/>
      <c r="CQ37208" s="111"/>
      <c r="EF37208"/>
      <c r="EG37208"/>
      <c r="EH37208"/>
      <c r="EI37208"/>
      <c r="EJ37208"/>
      <c r="EK37208"/>
    </row>
    <row r="37209" spans="1:141" s="116" customFormat="1">
      <c r="A37209" s="136"/>
      <c r="CM37209" s="111"/>
      <c r="CQ37209" s="111"/>
      <c r="EF37209"/>
      <c r="EG37209"/>
      <c r="EH37209"/>
      <c r="EI37209"/>
      <c r="EJ37209"/>
      <c r="EK37209"/>
    </row>
    <row r="37210" spans="1:141" s="116" customFormat="1">
      <c r="A37210" s="136"/>
      <c r="CM37210" s="111"/>
      <c r="CQ37210" s="111"/>
      <c r="EF37210"/>
      <c r="EG37210"/>
      <c r="EH37210"/>
      <c r="EI37210"/>
      <c r="EJ37210"/>
      <c r="EK37210"/>
    </row>
    <row r="37211" spans="1:141" s="116" customFormat="1">
      <c r="A37211" s="136"/>
      <c r="CM37211" s="111"/>
      <c r="CQ37211" s="111"/>
      <c r="EF37211"/>
      <c r="EG37211"/>
      <c r="EH37211"/>
      <c r="EI37211"/>
      <c r="EJ37211"/>
      <c r="EK37211"/>
    </row>
    <row r="37212" spans="1:141" s="116" customFormat="1">
      <c r="A37212" s="136"/>
      <c r="CM37212" s="111"/>
      <c r="CQ37212" s="111"/>
      <c r="EF37212"/>
      <c r="EG37212"/>
      <c r="EH37212"/>
      <c r="EI37212"/>
      <c r="EJ37212"/>
      <c r="EK37212"/>
    </row>
    <row r="37213" spans="1:141" s="116" customFormat="1">
      <c r="A37213" s="136"/>
      <c r="CM37213" s="111"/>
      <c r="CQ37213" s="111"/>
      <c r="EF37213"/>
      <c r="EG37213"/>
      <c r="EH37213"/>
      <c r="EI37213"/>
      <c r="EJ37213"/>
      <c r="EK37213"/>
    </row>
    <row r="37214" spans="1:141" s="116" customFormat="1">
      <c r="A37214" s="136"/>
      <c r="CM37214" s="111"/>
      <c r="CQ37214" s="111"/>
      <c r="EF37214"/>
      <c r="EG37214"/>
      <c r="EH37214"/>
      <c r="EI37214"/>
      <c r="EJ37214"/>
      <c r="EK37214"/>
    </row>
    <row r="37215" spans="1:141" s="116" customFormat="1">
      <c r="A37215" s="136"/>
      <c r="CM37215" s="111"/>
      <c r="CQ37215" s="111"/>
      <c r="EF37215"/>
      <c r="EG37215"/>
      <c r="EH37215"/>
      <c r="EI37215"/>
      <c r="EJ37215"/>
      <c r="EK37215"/>
    </row>
    <row r="37216" spans="1:141" s="116" customFormat="1">
      <c r="A37216" s="136"/>
      <c r="CM37216" s="111"/>
      <c r="CQ37216" s="111"/>
      <c r="EF37216"/>
      <c r="EG37216"/>
      <c r="EH37216"/>
      <c r="EI37216"/>
      <c r="EJ37216"/>
      <c r="EK37216"/>
    </row>
    <row r="37217" spans="1:141" s="116" customFormat="1">
      <c r="A37217" s="136"/>
      <c r="CM37217" s="111"/>
      <c r="CQ37217" s="111"/>
      <c r="EF37217"/>
      <c r="EG37217"/>
      <c r="EH37217"/>
      <c r="EI37217"/>
      <c r="EJ37217"/>
      <c r="EK37217"/>
    </row>
    <row r="37218" spans="1:141" s="116" customFormat="1">
      <c r="A37218" s="136"/>
      <c r="CM37218" s="111"/>
      <c r="CQ37218" s="111"/>
      <c r="EF37218"/>
      <c r="EG37218"/>
      <c r="EH37218"/>
      <c r="EI37218"/>
      <c r="EJ37218"/>
      <c r="EK37218"/>
    </row>
    <row r="37219" spans="1:141" s="116" customFormat="1">
      <c r="A37219" s="136"/>
      <c r="CM37219" s="111"/>
      <c r="CQ37219" s="111"/>
      <c r="EF37219"/>
      <c r="EG37219"/>
      <c r="EH37219"/>
      <c r="EI37219"/>
      <c r="EJ37219"/>
      <c r="EK37219"/>
    </row>
    <row r="37220" spans="1:141" s="116" customFormat="1">
      <c r="A37220" s="136"/>
      <c r="CM37220" s="111"/>
      <c r="CQ37220" s="111"/>
      <c r="EF37220"/>
      <c r="EG37220"/>
      <c r="EH37220"/>
      <c r="EI37220"/>
      <c r="EJ37220"/>
      <c r="EK37220"/>
    </row>
    <row r="37221" spans="1:141" s="116" customFormat="1">
      <c r="A37221" s="136"/>
      <c r="CM37221" s="111"/>
      <c r="CQ37221" s="111"/>
      <c r="EF37221"/>
      <c r="EG37221"/>
      <c r="EH37221"/>
      <c r="EI37221"/>
      <c r="EJ37221"/>
      <c r="EK37221"/>
    </row>
    <row r="37222" spans="1:141" s="116" customFormat="1">
      <c r="A37222" s="136"/>
      <c r="CM37222" s="111"/>
      <c r="CQ37222" s="111"/>
      <c r="EF37222"/>
      <c r="EG37222"/>
      <c r="EH37222"/>
      <c r="EI37222"/>
      <c r="EJ37222"/>
      <c r="EK37222"/>
    </row>
    <row r="37223" spans="1:141" s="116" customFormat="1">
      <c r="A37223" s="136"/>
      <c r="CM37223" s="111"/>
      <c r="CQ37223" s="111"/>
      <c r="EF37223"/>
      <c r="EG37223"/>
      <c r="EH37223"/>
      <c r="EI37223"/>
      <c r="EJ37223"/>
      <c r="EK37223"/>
    </row>
    <row r="37224" spans="1:141" s="116" customFormat="1">
      <c r="A37224" s="136"/>
      <c r="CM37224" s="111"/>
      <c r="CQ37224" s="111"/>
      <c r="EF37224"/>
      <c r="EG37224"/>
      <c r="EH37224"/>
      <c r="EI37224"/>
      <c r="EJ37224"/>
      <c r="EK37224"/>
    </row>
    <row r="37225" spans="1:141" s="116" customFormat="1">
      <c r="A37225" s="136"/>
      <c r="CM37225" s="111"/>
      <c r="CQ37225" s="111"/>
      <c r="EF37225"/>
      <c r="EG37225"/>
      <c r="EH37225"/>
      <c r="EI37225"/>
      <c r="EJ37225"/>
      <c r="EK37225"/>
    </row>
    <row r="37226" spans="1:141" s="116" customFormat="1">
      <c r="A37226" s="136"/>
      <c r="CM37226" s="111"/>
      <c r="CQ37226" s="111"/>
      <c r="EF37226"/>
      <c r="EG37226"/>
      <c r="EH37226"/>
      <c r="EI37226"/>
      <c r="EJ37226"/>
      <c r="EK37226"/>
    </row>
    <row r="37227" spans="1:141" s="116" customFormat="1">
      <c r="A37227" s="136"/>
      <c r="CM37227" s="111"/>
      <c r="CQ37227" s="111"/>
      <c r="EF37227"/>
      <c r="EG37227"/>
      <c r="EH37227"/>
      <c r="EI37227"/>
      <c r="EJ37227"/>
      <c r="EK37227"/>
    </row>
    <row r="37228" spans="1:141" s="116" customFormat="1">
      <c r="A37228" s="136"/>
      <c r="CM37228" s="111"/>
      <c r="CQ37228" s="111"/>
      <c r="EF37228"/>
      <c r="EG37228"/>
      <c r="EH37228"/>
      <c r="EI37228"/>
      <c r="EJ37228"/>
      <c r="EK37228"/>
    </row>
    <row r="37229" spans="1:141" s="116" customFormat="1">
      <c r="A37229" s="136"/>
      <c r="CM37229" s="111"/>
      <c r="CQ37229" s="111"/>
      <c r="EF37229"/>
      <c r="EG37229"/>
      <c r="EH37229"/>
      <c r="EI37229"/>
      <c r="EJ37229"/>
      <c r="EK37229"/>
    </row>
    <row r="37230" spans="1:141" s="116" customFormat="1">
      <c r="A37230" s="136"/>
      <c r="CM37230" s="111"/>
      <c r="CQ37230" s="111"/>
      <c r="EF37230"/>
      <c r="EG37230"/>
      <c r="EH37230"/>
      <c r="EI37230"/>
      <c r="EJ37230"/>
      <c r="EK37230"/>
    </row>
    <row r="37231" spans="1:141" s="116" customFormat="1">
      <c r="A37231" s="136"/>
      <c r="CM37231" s="111"/>
      <c r="CQ37231" s="111"/>
      <c r="EF37231"/>
      <c r="EG37231"/>
      <c r="EH37231"/>
      <c r="EI37231"/>
      <c r="EJ37231"/>
      <c r="EK37231"/>
    </row>
    <row r="37232" spans="1:141" s="116" customFormat="1">
      <c r="A37232" s="136"/>
      <c r="CM37232" s="111"/>
      <c r="CQ37232" s="111"/>
      <c r="EF37232"/>
      <c r="EG37232"/>
      <c r="EH37232"/>
      <c r="EI37232"/>
      <c r="EJ37232"/>
      <c r="EK37232"/>
    </row>
    <row r="37233" spans="1:141" s="116" customFormat="1">
      <c r="A37233" s="136"/>
      <c r="CM37233" s="111"/>
      <c r="CQ37233" s="111"/>
      <c r="EF37233"/>
      <c r="EG37233"/>
      <c r="EH37233"/>
      <c r="EI37233"/>
      <c r="EJ37233"/>
      <c r="EK37233"/>
    </row>
    <row r="37234" spans="1:141" s="116" customFormat="1">
      <c r="A37234" s="136"/>
      <c r="CM37234" s="111"/>
      <c r="CQ37234" s="111"/>
      <c r="EF37234"/>
      <c r="EG37234"/>
      <c r="EH37234"/>
      <c r="EI37234"/>
      <c r="EJ37234"/>
      <c r="EK37234"/>
    </row>
    <row r="37235" spans="1:141" s="116" customFormat="1">
      <c r="A37235" s="136"/>
      <c r="CM37235" s="111"/>
      <c r="CQ37235" s="111"/>
      <c r="EF37235"/>
      <c r="EG37235"/>
      <c r="EH37235"/>
      <c r="EI37235"/>
      <c r="EJ37235"/>
      <c r="EK37235"/>
    </row>
    <row r="37236" spans="1:141" s="116" customFormat="1">
      <c r="A37236" s="136"/>
      <c r="CM37236" s="111"/>
      <c r="CQ37236" s="111"/>
      <c r="EF37236"/>
      <c r="EG37236"/>
      <c r="EH37236"/>
      <c r="EI37236"/>
      <c r="EJ37236"/>
      <c r="EK37236"/>
    </row>
    <row r="37237" spans="1:141" s="116" customFormat="1">
      <c r="A37237" s="136"/>
      <c r="CM37237" s="111"/>
      <c r="CQ37237" s="111"/>
      <c r="EF37237"/>
      <c r="EG37237"/>
      <c r="EH37237"/>
      <c r="EI37237"/>
      <c r="EJ37237"/>
      <c r="EK37237"/>
    </row>
    <row r="37238" spans="1:141" s="116" customFormat="1">
      <c r="A37238" s="136"/>
      <c r="CM37238" s="111"/>
      <c r="CQ37238" s="111"/>
      <c r="EF37238"/>
      <c r="EG37238"/>
      <c r="EH37238"/>
      <c r="EI37238"/>
      <c r="EJ37238"/>
      <c r="EK37238"/>
    </row>
    <row r="37239" spans="1:141" s="116" customFormat="1">
      <c r="A37239" s="136"/>
      <c r="CM37239" s="111"/>
      <c r="CQ37239" s="111"/>
      <c r="EF37239"/>
      <c r="EG37239"/>
      <c r="EH37239"/>
      <c r="EI37239"/>
      <c r="EJ37239"/>
      <c r="EK37239"/>
    </row>
    <row r="37240" spans="1:141" s="116" customFormat="1">
      <c r="A37240" s="136"/>
      <c r="CM37240" s="111"/>
      <c r="CQ37240" s="111"/>
      <c r="EF37240"/>
      <c r="EG37240"/>
      <c r="EH37240"/>
      <c r="EI37240"/>
      <c r="EJ37240"/>
      <c r="EK37240"/>
    </row>
    <row r="37241" spans="1:141" s="116" customFormat="1">
      <c r="A37241" s="136"/>
      <c r="CM37241" s="111"/>
      <c r="CQ37241" s="111"/>
      <c r="EF37241"/>
      <c r="EG37241"/>
      <c r="EH37241"/>
      <c r="EI37241"/>
      <c r="EJ37241"/>
      <c r="EK37241"/>
    </row>
    <row r="37242" spans="1:141" s="116" customFormat="1">
      <c r="A37242" s="136"/>
      <c r="CM37242" s="111"/>
      <c r="CQ37242" s="111"/>
      <c r="EF37242"/>
      <c r="EG37242"/>
      <c r="EH37242"/>
      <c r="EI37242"/>
      <c r="EJ37242"/>
      <c r="EK37242"/>
    </row>
    <row r="37243" spans="1:141" s="116" customFormat="1">
      <c r="A37243" s="136"/>
      <c r="CM37243" s="111"/>
      <c r="CQ37243" s="111"/>
      <c r="EF37243"/>
      <c r="EG37243"/>
      <c r="EH37243"/>
      <c r="EI37243"/>
      <c r="EJ37243"/>
      <c r="EK37243"/>
    </row>
    <row r="37244" spans="1:141" s="116" customFormat="1">
      <c r="A37244" s="136"/>
      <c r="CM37244" s="111"/>
      <c r="CQ37244" s="111"/>
      <c r="EF37244"/>
      <c r="EG37244"/>
      <c r="EH37244"/>
      <c r="EI37244"/>
      <c r="EJ37244"/>
      <c r="EK37244"/>
    </row>
    <row r="37245" spans="1:141" s="116" customFormat="1">
      <c r="A37245" s="136"/>
      <c r="CM37245" s="111"/>
      <c r="CQ37245" s="111"/>
      <c r="EF37245"/>
      <c r="EG37245"/>
      <c r="EH37245"/>
      <c r="EI37245"/>
      <c r="EJ37245"/>
      <c r="EK37245"/>
    </row>
    <row r="37246" spans="1:141" s="116" customFormat="1">
      <c r="A37246" s="136"/>
      <c r="CM37246" s="111"/>
      <c r="CQ37246" s="111"/>
      <c r="EF37246"/>
      <c r="EG37246"/>
      <c r="EH37246"/>
      <c r="EI37246"/>
      <c r="EJ37246"/>
      <c r="EK37246"/>
    </row>
    <row r="37247" spans="1:141" s="116" customFormat="1">
      <c r="A37247" s="136"/>
      <c r="CM37247" s="111"/>
      <c r="CQ37247" s="111"/>
      <c r="EF37247"/>
      <c r="EG37247"/>
      <c r="EH37247"/>
      <c r="EI37247"/>
      <c r="EJ37247"/>
      <c r="EK37247"/>
    </row>
    <row r="37248" spans="1:141" s="116" customFormat="1">
      <c r="A37248" s="136"/>
      <c r="CM37248" s="111"/>
      <c r="CQ37248" s="111"/>
      <c r="EF37248"/>
      <c r="EG37248"/>
      <c r="EH37248"/>
      <c r="EI37248"/>
      <c r="EJ37248"/>
      <c r="EK37248"/>
    </row>
    <row r="37249" spans="1:141" s="116" customFormat="1">
      <c r="A37249" s="136"/>
      <c r="CM37249" s="111"/>
      <c r="CQ37249" s="111"/>
      <c r="EF37249"/>
      <c r="EG37249"/>
      <c r="EH37249"/>
      <c r="EI37249"/>
      <c r="EJ37249"/>
      <c r="EK37249"/>
    </row>
    <row r="37250" spans="1:141" s="116" customFormat="1">
      <c r="A37250" s="136"/>
      <c r="CM37250" s="111"/>
      <c r="CQ37250" s="111"/>
      <c r="EF37250"/>
      <c r="EG37250"/>
      <c r="EH37250"/>
      <c r="EI37250"/>
      <c r="EJ37250"/>
      <c r="EK37250"/>
    </row>
    <row r="37251" spans="1:141" s="116" customFormat="1">
      <c r="A37251" s="136"/>
      <c r="CM37251" s="111"/>
      <c r="CQ37251" s="111"/>
      <c r="EF37251"/>
      <c r="EG37251"/>
      <c r="EH37251"/>
      <c r="EI37251"/>
      <c r="EJ37251"/>
      <c r="EK37251"/>
    </row>
    <row r="37252" spans="1:141" s="116" customFormat="1">
      <c r="A37252" s="136"/>
      <c r="CM37252" s="111"/>
      <c r="CQ37252" s="111"/>
      <c r="EF37252"/>
      <c r="EG37252"/>
      <c r="EH37252"/>
      <c r="EI37252"/>
      <c r="EJ37252"/>
      <c r="EK37252"/>
    </row>
    <row r="37253" spans="1:141" s="116" customFormat="1">
      <c r="A37253" s="136"/>
      <c r="CM37253" s="111"/>
      <c r="CQ37253" s="111"/>
      <c r="EF37253"/>
      <c r="EG37253"/>
      <c r="EH37253"/>
      <c r="EI37253"/>
      <c r="EJ37253"/>
      <c r="EK37253"/>
    </row>
    <row r="37254" spans="1:141" s="116" customFormat="1">
      <c r="A37254" s="136"/>
      <c r="CM37254" s="111"/>
      <c r="CQ37254" s="111"/>
      <c r="EF37254"/>
      <c r="EG37254"/>
      <c r="EH37254"/>
      <c r="EI37254"/>
      <c r="EJ37254"/>
      <c r="EK37254"/>
    </row>
    <row r="37255" spans="1:141" s="116" customFormat="1">
      <c r="A37255" s="136"/>
      <c r="CM37255" s="111"/>
      <c r="CQ37255" s="111"/>
      <c r="EF37255"/>
      <c r="EG37255"/>
      <c r="EH37255"/>
      <c r="EI37255"/>
      <c r="EJ37255"/>
      <c r="EK37255"/>
    </row>
    <row r="37256" spans="1:141" s="116" customFormat="1">
      <c r="A37256" s="136"/>
      <c r="CM37256" s="111"/>
      <c r="CQ37256" s="111"/>
      <c r="EF37256"/>
      <c r="EG37256"/>
      <c r="EH37256"/>
      <c r="EI37256"/>
      <c r="EJ37256"/>
      <c r="EK37256"/>
    </row>
    <row r="37257" spans="1:141" s="116" customFormat="1">
      <c r="A37257" s="136"/>
      <c r="CM37257" s="111"/>
      <c r="CQ37257" s="111"/>
      <c r="EF37257"/>
      <c r="EG37257"/>
      <c r="EH37257"/>
      <c r="EI37257"/>
      <c r="EJ37257"/>
      <c r="EK37257"/>
    </row>
    <row r="37258" spans="1:141" s="116" customFormat="1">
      <c r="A37258" s="136"/>
      <c r="CM37258" s="111"/>
      <c r="CQ37258" s="111"/>
      <c r="EF37258"/>
      <c r="EG37258"/>
      <c r="EH37258"/>
      <c r="EI37258"/>
      <c r="EJ37258"/>
      <c r="EK37258"/>
    </row>
    <row r="37259" spans="1:141" s="116" customFormat="1">
      <c r="A37259" s="136"/>
      <c r="CM37259" s="111"/>
      <c r="CQ37259" s="111"/>
      <c r="EF37259"/>
      <c r="EG37259"/>
      <c r="EH37259"/>
      <c r="EI37259"/>
      <c r="EJ37259"/>
      <c r="EK37259"/>
    </row>
    <row r="37260" spans="1:141" s="116" customFormat="1">
      <c r="A37260" s="136"/>
      <c r="CM37260" s="111"/>
      <c r="CQ37260" s="111"/>
      <c r="EF37260"/>
      <c r="EG37260"/>
      <c r="EH37260"/>
      <c r="EI37260"/>
      <c r="EJ37260"/>
      <c r="EK37260"/>
    </row>
    <row r="37261" spans="1:141" s="116" customFormat="1">
      <c r="A37261" s="136"/>
      <c r="CM37261" s="111"/>
      <c r="CQ37261" s="111"/>
      <c r="EF37261"/>
      <c r="EG37261"/>
      <c r="EH37261"/>
      <c r="EI37261"/>
      <c r="EJ37261"/>
      <c r="EK37261"/>
    </row>
    <row r="37262" spans="1:141" s="116" customFormat="1">
      <c r="A37262" s="136"/>
      <c r="CM37262" s="111"/>
      <c r="CQ37262" s="111"/>
      <c r="EF37262"/>
      <c r="EG37262"/>
      <c r="EH37262"/>
      <c r="EI37262"/>
      <c r="EJ37262"/>
      <c r="EK37262"/>
    </row>
    <row r="37263" spans="1:141" s="116" customFormat="1">
      <c r="A37263" s="136"/>
      <c r="CM37263" s="111"/>
      <c r="CQ37263" s="111"/>
      <c r="EF37263"/>
      <c r="EG37263"/>
      <c r="EH37263"/>
      <c r="EI37263"/>
      <c r="EJ37263"/>
      <c r="EK37263"/>
    </row>
    <row r="37264" spans="1:141" s="116" customFormat="1">
      <c r="A37264" s="136"/>
      <c r="CM37264" s="111"/>
      <c r="CQ37264" s="111"/>
      <c r="EF37264"/>
      <c r="EG37264"/>
      <c r="EH37264"/>
      <c r="EI37264"/>
      <c r="EJ37264"/>
      <c r="EK37264"/>
    </row>
    <row r="37265" spans="1:141" s="116" customFormat="1">
      <c r="A37265" s="136"/>
      <c r="CM37265" s="111"/>
      <c r="CQ37265" s="111"/>
      <c r="EF37265"/>
      <c r="EG37265"/>
      <c r="EH37265"/>
      <c r="EI37265"/>
      <c r="EJ37265"/>
      <c r="EK37265"/>
    </row>
    <row r="37266" spans="1:141" s="116" customFormat="1">
      <c r="A37266" s="136"/>
      <c r="CM37266" s="111"/>
      <c r="CQ37266" s="111"/>
      <c r="EF37266"/>
      <c r="EG37266"/>
      <c r="EH37266"/>
      <c r="EI37266"/>
      <c r="EJ37266"/>
      <c r="EK37266"/>
    </row>
    <row r="37267" spans="1:141" s="116" customFormat="1">
      <c r="A37267" s="136"/>
      <c r="CM37267" s="111"/>
      <c r="CQ37267" s="111"/>
      <c r="EF37267"/>
      <c r="EG37267"/>
      <c r="EH37267"/>
      <c r="EI37267"/>
      <c r="EJ37267"/>
      <c r="EK37267"/>
    </row>
    <row r="37268" spans="1:141" s="116" customFormat="1">
      <c r="A37268" s="136"/>
      <c r="CM37268" s="111"/>
      <c r="CQ37268" s="111"/>
      <c r="EF37268"/>
      <c r="EG37268"/>
      <c r="EH37268"/>
      <c r="EI37268"/>
      <c r="EJ37268"/>
      <c r="EK37268"/>
    </row>
    <row r="37269" spans="1:141" s="116" customFormat="1">
      <c r="A37269" s="136"/>
      <c r="CM37269" s="111"/>
      <c r="CQ37269" s="111"/>
      <c r="EF37269"/>
      <c r="EG37269"/>
      <c r="EH37269"/>
      <c r="EI37269"/>
      <c r="EJ37269"/>
      <c r="EK37269"/>
    </row>
    <row r="37270" spans="1:141" s="116" customFormat="1">
      <c r="A37270" s="136"/>
      <c r="CM37270" s="111"/>
      <c r="CQ37270" s="111"/>
      <c r="EF37270"/>
      <c r="EG37270"/>
      <c r="EH37270"/>
      <c r="EI37270"/>
      <c r="EJ37270"/>
      <c r="EK37270"/>
    </row>
    <row r="37271" spans="1:141" s="116" customFormat="1">
      <c r="A37271" s="136"/>
      <c r="CM37271" s="111"/>
      <c r="CQ37271" s="111"/>
      <c r="EF37271"/>
      <c r="EG37271"/>
      <c r="EH37271"/>
      <c r="EI37271"/>
      <c r="EJ37271"/>
      <c r="EK37271"/>
    </row>
    <row r="37272" spans="1:141" s="116" customFormat="1">
      <c r="A37272" s="136"/>
      <c r="CM37272" s="111"/>
      <c r="CQ37272" s="111"/>
      <c r="EF37272"/>
      <c r="EG37272"/>
      <c r="EH37272"/>
      <c r="EI37272"/>
      <c r="EJ37272"/>
      <c r="EK37272"/>
    </row>
    <row r="37273" spans="1:141" s="116" customFormat="1">
      <c r="A37273" s="136"/>
      <c r="CM37273" s="111"/>
      <c r="CQ37273" s="111"/>
      <c r="EF37273"/>
      <c r="EG37273"/>
      <c r="EH37273"/>
      <c r="EI37273"/>
      <c r="EJ37273"/>
      <c r="EK37273"/>
    </row>
    <row r="37274" spans="1:141" s="116" customFormat="1">
      <c r="A37274" s="136"/>
      <c r="CM37274" s="111"/>
      <c r="CQ37274" s="111"/>
      <c r="EF37274"/>
      <c r="EG37274"/>
      <c r="EH37274"/>
      <c r="EI37274"/>
      <c r="EJ37274"/>
      <c r="EK37274"/>
    </row>
    <row r="37275" spans="1:141" s="116" customFormat="1">
      <c r="A37275" s="136"/>
      <c r="CM37275" s="111"/>
      <c r="CQ37275" s="111"/>
      <c r="EF37275"/>
      <c r="EG37275"/>
      <c r="EH37275"/>
      <c r="EI37275"/>
      <c r="EJ37275"/>
      <c r="EK37275"/>
    </row>
    <row r="37276" spans="1:141" s="116" customFormat="1">
      <c r="A37276" s="136"/>
      <c r="CM37276" s="111"/>
      <c r="CQ37276" s="111"/>
      <c r="EF37276"/>
      <c r="EG37276"/>
      <c r="EH37276"/>
      <c r="EI37276"/>
      <c r="EJ37276"/>
      <c r="EK37276"/>
    </row>
    <row r="37277" spans="1:141" s="116" customFormat="1">
      <c r="A37277" s="136"/>
      <c r="CM37277" s="111"/>
      <c r="CQ37277" s="111"/>
      <c r="EF37277"/>
      <c r="EG37277"/>
      <c r="EH37277"/>
      <c r="EI37277"/>
      <c r="EJ37277"/>
      <c r="EK37277"/>
    </row>
    <row r="37278" spans="1:141" s="116" customFormat="1">
      <c r="A37278" s="136"/>
      <c r="CM37278" s="111"/>
      <c r="CQ37278" s="111"/>
      <c r="EF37278"/>
      <c r="EG37278"/>
      <c r="EH37278"/>
      <c r="EI37278"/>
      <c r="EJ37278"/>
      <c r="EK37278"/>
    </row>
    <row r="37279" spans="1:141" s="116" customFormat="1">
      <c r="A37279" s="136"/>
      <c r="CM37279" s="111"/>
      <c r="CQ37279" s="111"/>
      <c r="EF37279"/>
      <c r="EG37279"/>
      <c r="EH37279"/>
      <c r="EI37279"/>
      <c r="EJ37279"/>
      <c r="EK37279"/>
    </row>
    <row r="37280" spans="1:141" s="116" customFormat="1">
      <c r="A37280" s="136"/>
      <c r="CM37280" s="111"/>
      <c r="CQ37280" s="111"/>
      <c r="EF37280"/>
      <c r="EG37280"/>
      <c r="EH37280"/>
      <c r="EI37280"/>
      <c r="EJ37280"/>
      <c r="EK37280"/>
    </row>
    <row r="37281" spans="1:141" s="116" customFormat="1">
      <c r="A37281" s="136"/>
      <c r="CM37281" s="111"/>
      <c r="CQ37281" s="111"/>
      <c r="EF37281"/>
      <c r="EG37281"/>
      <c r="EH37281"/>
      <c r="EI37281"/>
      <c r="EJ37281"/>
      <c r="EK37281"/>
    </row>
    <row r="37282" spans="1:141" s="116" customFormat="1">
      <c r="A37282" s="136"/>
      <c r="CM37282" s="111"/>
      <c r="CQ37282" s="111"/>
      <c r="EF37282"/>
      <c r="EG37282"/>
      <c r="EH37282"/>
      <c r="EI37282"/>
      <c r="EJ37282"/>
      <c r="EK37282"/>
    </row>
    <row r="37283" spans="1:141" s="116" customFormat="1">
      <c r="A37283" s="136"/>
      <c r="CM37283" s="111"/>
      <c r="CQ37283" s="111"/>
      <c r="EF37283"/>
      <c r="EG37283"/>
      <c r="EH37283"/>
      <c r="EI37283"/>
      <c r="EJ37283"/>
      <c r="EK37283"/>
    </row>
    <row r="37284" spans="1:141" s="116" customFormat="1">
      <c r="A37284" s="136"/>
      <c r="CM37284" s="111"/>
      <c r="CQ37284" s="111"/>
      <c r="EF37284"/>
      <c r="EG37284"/>
      <c r="EH37284"/>
      <c r="EI37284"/>
      <c r="EJ37284"/>
      <c r="EK37284"/>
    </row>
    <row r="37285" spans="1:141" s="116" customFormat="1">
      <c r="A37285" s="136"/>
      <c r="CM37285" s="111"/>
      <c r="CQ37285" s="111"/>
      <c r="EF37285"/>
      <c r="EG37285"/>
      <c r="EH37285"/>
      <c r="EI37285"/>
      <c r="EJ37285"/>
      <c r="EK37285"/>
    </row>
    <row r="37286" spans="1:141" s="116" customFormat="1">
      <c r="A37286" s="136"/>
      <c r="CM37286" s="111"/>
      <c r="CQ37286" s="111"/>
      <c r="EF37286"/>
      <c r="EG37286"/>
      <c r="EH37286"/>
      <c r="EI37286"/>
      <c r="EJ37286"/>
      <c r="EK37286"/>
    </row>
    <row r="37287" spans="1:141" s="116" customFormat="1">
      <c r="A37287" s="136"/>
      <c r="CM37287" s="111"/>
      <c r="CQ37287" s="111"/>
      <c r="EF37287"/>
      <c r="EG37287"/>
      <c r="EH37287"/>
      <c r="EI37287"/>
      <c r="EJ37287"/>
      <c r="EK37287"/>
    </row>
    <row r="37288" spans="1:141" s="116" customFormat="1">
      <c r="A37288" s="136"/>
      <c r="CM37288" s="111"/>
      <c r="CQ37288" s="111"/>
      <c r="EF37288"/>
      <c r="EG37288"/>
      <c r="EH37288"/>
      <c r="EI37288"/>
      <c r="EJ37288"/>
      <c r="EK37288"/>
    </row>
    <row r="37289" spans="1:141" s="116" customFormat="1">
      <c r="A37289" s="136"/>
      <c r="CM37289" s="111"/>
      <c r="CQ37289" s="111"/>
      <c r="EF37289"/>
      <c r="EG37289"/>
      <c r="EH37289"/>
      <c r="EI37289"/>
      <c r="EJ37289"/>
      <c r="EK37289"/>
    </row>
    <row r="37290" spans="1:141" s="116" customFormat="1">
      <c r="A37290" s="136"/>
      <c r="CM37290" s="111"/>
      <c r="CQ37290" s="111"/>
      <c r="EF37290"/>
      <c r="EG37290"/>
      <c r="EH37290"/>
      <c r="EI37290"/>
      <c r="EJ37290"/>
      <c r="EK37290"/>
    </row>
    <row r="37291" spans="1:141" s="116" customFormat="1">
      <c r="A37291" s="136"/>
      <c r="CM37291" s="111"/>
      <c r="CQ37291" s="111"/>
      <c r="EF37291"/>
      <c r="EG37291"/>
      <c r="EH37291"/>
      <c r="EI37291"/>
      <c r="EJ37291"/>
      <c r="EK37291"/>
    </row>
    <row r="37292" spans="1:141" s="116" customFormat="1">
      <c r="A37292" s="136"/>
      <c r="CM37292" s="111"/>
      <c r="CQ37292" s="111"/>
      <c r="EF37292"/>
      <c r="EG37292"/>
      <c r="EH37292"/>
      <c r="EI37292"/>
      <c r="EJ37292"/>
      <c r="EK37292"/>
    </row>
    <row r="37293" spans="1:141" s="116" customFormat="1">
      <c r="A37293" s="136"/>
      <c r="CM37293" s="111"/>
      <c r="CQ37293" s="111"/>
      <c r="EF37293"/>
      <c r="EG37293"/>
      <c r="EH37293"/>
      <c r="EI37293"/>
      <c r="EJ37293"/>
      <c r="EK37293"/>
    </row>
    <row r="37294" spans="1:141" s="116" customFormat="1">
      <c r="A37294" s="136"/>
      <c r="CM37294" s="111"/>
      <c r="CQ37294" s="111"/>
      <c r="EF37294"/>
      <c r="EG37294"/>
      <c r="EH37294"/>
      <c r="EI37294"/>
      <c r="EJ37294"/>
      <c r="EK37294"/>
    </row>
    <row r="37295" spans="1:141" s="116" customFormat="1">
      <c r="A37295" s="136"/>
      <c r="CM37295" s="111"/>
      <c r="CQ37295" s="111"/>
      <c r="EF37295"/>
      <c r="EG37295"/>
      <c r="EH37295"/>
      <c r="EI37295"/>
      <c r="EJ37295"/>
      <c r="EK37295"/>
    </row>
    <row r="37296" spans="1:141" s="116" customFormat="1">
      <c r="A37296" s="136"/>
      <c r="CM37296" s="111"/>
      <c r="CQ37296" s="111"/>
      <c r="EF37296"/>
      <c r="EG37296"/>
      <c r="EH37296"/>
      <c r="EI37296"/>
      <c r="EJ37296"/>
      <c r="EK37296"/>
    </row>
    <row r="37297" spans="1:141" s="116" customFormat="1">
      <c r="A37297" s="136"/>
      <c r="CM37297" s="111"/>
      <c r="CQ37297" s="111"/>
      <c r="EF37297"/>
      <c r="EG37297"/>
      <c r="EH37297"/>
      <c r="EI37297"/>
      <c r="EJ37297"/>
      <c r="EK37297"/>
    </row>
    <row r="37298" spans="1:141" s="116" customFormat="1">
      <c r="A37298" s="136"/>
      <c r="CM37298" s="111"/>
      <c r="CQ37298" s="111"/>
      <c r="EF37298"/>
      <c r="EG37298"/>
      <c r="EH37298"/>
      <c r="EI37298"/>
      <c r="EJ37298"/>
      <c r="EK37298"/>
    </row>
    <row r="37299" spans="1:141" s="116" customFormat="1">
      <c r="A37299" s="136"/>
      <c r="CM37299" s="111"/>
      <c r="CQ37299" s="111"/>
      <c r="EF37299"/>
      <c r="EG37299"/>
      <c r="EH37299"/>
      <c r="EI37299"/>
      <c r="EJ37299"/>
      <c r="EK37299"/>
    </row>
    <row r="37300" spans="1:141" s="116" customFormat="1">
      <c r="A37300" s="136"/>
      <c r="CM37300" s="111"/>
      <c r="CQ37300" s="111"/>
      <c r="EF37300"/>
      <c r="EG37300"/>
      <c r="EH37300"/>
      <c r="EI37300"/>
      <c r="EJ37300"/>
      <c r="EK37300"/>
    </row>
    <row r="37301" spans="1:141" s="116" customFormat="1">
      <c r="A37301" s="136"/>
      <c r="CM37301" s="111"/>
      <c r="CQ37301" s="111"/>
      <c r="EF37301"/>
      <c r="EG37301"/>
      <c r="EH37301"/>
      <c r="EI37301"/>
      <c r="EJ37301"/>
      <c r="EK37301"/>
    </row>
    <row r="37302" spans="1:141" s="116" customFormat="1">
      <c r="A37302" s="136"/>
      <c r="CM37302" s="111"/>
      <c r="CQ37302" s="111"/>
      <c r="EF37302"/>
      <c r="EG37302"/>
      <c r="EH37302"/>
      <c r="EI37302"/>
      <c r="EJ37302"/>
      <c r="EK37302"/>
    </row>
    <row r="37303" spans="1:141" s="116" customFormat="1">
      <c r="A37303" s="136"/>
      <c r="CM37303" s="111"/>
      <c r="CQ37303" s="111"/>
      <c r="EF37303"/>
      <c r="EG37303"/>
      <c r="EH37303"/>
      <c r="EI37303"/>
      <c r="EJ37303"/>
      <c r="EK37303"/>
    </row>
    <row r="37304" spans="1:141" s="116" customFormat="1">
      <c r="A37304" s="136"/>
      <c r="CM37304" s="111"/>
      <c r="CQ37304" s="111"/>
      <c r="EF37304"/>
      <c r="EG37304"/>
      <c r="EH37304"/>
      <c r="EI37304"/>
      <c r="EJ37304"/>
      <c r="EK37304"/>
    </row>
    <row r="37305" spans="1:141" s="116" customFormat="1">
      <c r="A37305" s="136"/>
      <c r="CM37305" s="111"/>
      <c r="CQ37305" s="111"/>
      <c r="EF37305"/>
      <c r="EG37305"/>
      <c r="EH37305"/>
      <c r="EI37305"/>
      <c r="EJ37305"/>
      <c r="EK37305"/>
    </row>
    <row r="37306" spans="1:141" s="116" customFormat="1">
      <c r="A37306" s="136"/>
      <c r="CM37306" s="111"/>
      <c r="CQ37306" s="111"/>
      <c r="EF37306"/>
      <c r="EG37306"/>
      <c r="EH37306"/>
      <c r="EI37306"/>
      <c r="EJ37306"/>
      <c r="EK37306"/>
    </row>
    <row r="37307" spans="1:141" s="116" customFormat="1">
      <c r="A37307" s="136"/>
      <c r="CM37307" s="111"/>
      <c r="CQ37307" s="111"/>
      <c r="EF37307"/>
      <c r="EG37307"/>
      <c r="EH37307"/>
      <c r="EI37307"/>
      <c r="EJ37307"/>
      <c r="EK37307"/>
    </row>
    <row r="37308" spans="1:141" s="116" customFormat="1">
      <c r="A37308" s="136"/>
      <c r="CM37308" s="111"/>
      <c r="CQ37308" s="111"/>
      <c r="EF37308"/>
      <c r="EG37308"/>
      <c r="EH37308"/>
      <c r="EI37308"/>
      <c r="EJ37308"/>
      <c r="EK37308"/>
    </row>
    <row r="37309" spans="1:141" s="116" customFormat="1">
      <c r="A37309" s="136"/>
      <c r="CM37309" s="111"/>
      <c r="CQ37309" s="111"/>
      <c r="EF37309"/>
      <c r="EG37309"/>
      <c r="EH37309"/>
      <c r="EI37309"/>
      <c r="EJ37309"/>
      <c r="EK37309"/>
    </row>
    <row r="37310" spans="1:141" s="116" customFormat="1">
      <c r="A37310" s="136"/>
      <c r="CM37310" s="111"/>
      <c r="CQ37310" s="111"/>
      <c r="EF37310"/>
      <c r="EG37310"/>
      <c r="EH37310"/>
      <c r="EI37310"/>
      <c r="EJ37310"/>
      <c r="EK37310"/>
    </row>
    <row r="37311" spans="1:141" s="116" customFormat="1">
      <c r="A37311" s="136"/>
      <c r="CM37311" s="111"/>
      <c r="CQ37311" s="111"/>
      <c r="EF37311"/>
      <c r="EG37311"/>
      <c r="EH37311"/>
      <c r="EI37311"/>
      <c r="EJ37311"/>
      <c r="EK37311"/>
    </row>
    <row r="37312" spans="1:141" s="116" customFormat="1">
      <c r="A37312" s="136"/>
      <c r="CM37312" s="111"/>
      <c r="CQ37312" s="111"/>
      <c r="EF37312"/>
      <c r="EG37312"/>
      <c r="EH37312"/>
      <c r="EI37312"/>
      <c r="EJ37312"/>
      <c r="EK37312"/>
    </row>
    <row r="37313" spans="1:141" s="116" customFormat="1">
      <c r="A37313" s="136"/>
      <c r="CM37313" s="111"/>
      <c r="CQ37313" s="111"/>
      <c r="EF37313"/>
      <c r="EG37313"/>
      <c r="EH37313"/>
      <c r="EI37313"/>
      <c r="EJ37313"/>
      <c r="EK37313"/>
    </row>
    <row r="37314" spans="1:141" s="116" customFormat="1">
      <c r="A37314" s="136"/>
      <c r="CM37314" s="111"/>
      <c r="CQ37314" s="111"/>
      <c r="EF37314"/>
      <c r="EG37314"/>
      <c r="EH37314"/>
      <c r="EI37314"/>
      <c r="EJ37314"/>
      <c r="EK37314"/>
    </row>
    <row r="37315" spans="1:141" s="116" customFormat="1">
      <c r="A37315" s="136"/>
      <c r="CM37315" s="111"/>
      <c r="CQ37315" s="111"/>
      <c r="EF37315"/>
      <c r="EG37315"/>
      <c r="EH37315"/>
      <c r="EI37315"/>
      <c r="EJ37315"/>
      <c r="EK37315"/>
    </row>
    <row r="37316" spans="1:141" s="116" customFormat="1">
      <c r="A37316" s="136"/>
      <c r="CM37316" s="111"/>
      <c r="CQ37316" s="111"/>
      <c r="EF37316"/>
      <c r="EG37316"/>
      <c r="EH37316"/>
      <c r="EI37316"/>
      <c r="EJ37316"/>
      <c r="EK37316"/>
    </row>
    <row r="37317" spans="1:141" s="116" customFormat="1">
      <c r="A37317" s="136"/>
      <c r="CM37317" s="111"/>
      <c r="CQ37317" s="111"/>
      <c r="EF37317"/>
      <c r="EG37317"/>
      <c r="EH37317"/>
      <c r="EI37317"/>
      <c r="EJ37317"/>
      <c r="EK37317"/>
    </row>
    <row r="37318" spans="1:141" s="116" customFormat="1">
      <c r="A37318" s="136"/>
      <c r="CM37318" s="111"/>
      <c r="CQ37318" s="111"/>
      <c r="EF37318"/>
      <c r="EG37318"/>
      <c r="EH37318"/>
      <c r="EI37318"/>
      <c r="EJ37318"/>
      <c r="EK37318"/>
    </row>
    <row r="37319" spans="1:141" s="116" customFormat="1">
      <c r="A37319" s="136"/>
      <c r="CM37319" s="111"/>
      <c r="CQ37319" s="111"/>
      <c r="EF37319"/>
      <c r="EG37319"/>
      <c r="EH37319"/>
      <c r="EI37319"/>
      <c r="EJ37319"/>
      <c r="EK37319"/>
    </row>
    <row r="37320" spans="1:141" s="116" customFormat="1">
      <c r="A37320" s="136"/>
      <c r="CM37320" s="111"/>
      <c r="CQ37320" s="111"/>
      <c r="EF37320"/>
      <c r="EG37320"/>
      <c r="EH37320"/>
      <c r="EI37320"/>
      <c r="EJ37320"/>
      <c r="EK37320"/>
    </row>
    <row r="37321" spans="1:141" s="116" customFormat="1">
      <c r="A37321" s="136"/>
      <c r="CM37321" s="111"/>
      <c r="CQ37321" s="111"/>
      <c r="EF37321"/>
      <c r="EG37321"/>
      <c r="EH37321"/>
      <c r="EI37321"/>
      <c r="EJ37321"/>
      <c r="EK37321"/>
    </row>
    <row r="37322" spans="1:141" s="116" customFormat="1">
      <c r="A37322" s="136"/>
      <c r="CM37322" s="111"/>
      <c r="CQ37322" s="111"/>
      <c r="EF37322"/>
      <c r="EG37322"/>
      <c r="EH37322"/>
      <c r="EI37322"/>
      <c r="EJ37322"/>
      <c r="EK37322"/>
    </row>
    <row r="37323" spans="1:141" s="116" customFormat="1">
      <c r="A37323" s="136"/>
      <c r="CM37323" s="111"/>
      <c r="CQ37323" s="111"/>
      <c r="EF37323"/>
      <c r="EG37323"/>
      <c r="EH37323"/>
      <c r="EI37323"/>
      <c r="EJ37323"/>
      <c r="EK37323"/>
    </row>
    <row r="37324" spans="1:141" s="116" customFormat="1">
      <c r="A37324" s="136"/>
      <c r="CM37324" s="111"/>
      <c r="CQ37324" s="111"/>
      <c r="EF37324"/>
      <c r="EG37324"/>
      <c r="EH37324"/>
      <c r="EI37324"/>
      <c r="EJ37324"/>
      <c r="EK37324"/>
    </row>
    <row r="37325" spans="1:141" s="116" customFormat="1">
      <c r="A37325" s="136"/>
      <c r="CM37325" s="111"/>
      <c r="CQ37325" s="111"/>
      <c r="EF37325"/>
      <c r="EG37325"/>
      <c r="EH37325"/>
      <c r="EI37325"/>
      <c r="EJ37325"/>
      <c r="EK37325"/>
    </row>
    <row r="37326" spans="1:141" s="116" customFormat="1">
      <c r="A37326" s="136"/>
      <c r="CM37326" s="111"/>
      <c r="CQ37326" s="111"/>
      <c r="EF37326"/>
      <c r="EG37326"/>
      <c r="EH37326"/>
      <c r="EI37326"/>
      <c r="EJ37326"/>
      <c r="EK37326"/>
    </row>
    <row r="37327" spans="1:141" s="116" customFormat="1">
      <c r="A37327" s="136"/>
      <c r="CM37327" s="111"/>
      <c r="CQ37327" s="111"/>
      <c r="EF37327"/>
      <c r="EG37327"/>
      <c r="EH37327"/>
      <c r="EI37327"/>
      <c r="EJ37327"/>
      <c r="EK37327"/>
    </row>
    <row r="37328" spans="1:141" s="116" customFormat="1">
      <c r="A37328" s="136"/>
      <c r="CM37328" s="111"/>
      <c r="CQ37328" s="111"/>
      <c r="EF37328"/>
      <c r="EG37328"/>
      <c r="EH37328"/>
      <c r="EI37328"/>
      <c r="EJ37328"/>
      <c r="EK37328"/>
    </row>
    <row r="37329" spans="1:141" s="116" customFormat="1">
      <c r="A37329" s="136"/>
      <c r="CM37329" s="111"/>
      <c r="CQ37329" s="111"/>
      <c r="EF37329"/>
      <c r="EG37329"/>
      <c r="EH37329"/>
      <c r="EI37329"/>
      <c r="EJ37329"/>
      <c r="EK37329"/>
    </row>
    <row r="37330" spans="1:141" s="116" customFormat="1">
      <c r="A37330" s="136"/>
      <c r="CM37330" s="111"/>
      <c r="CQ37330" s="111"/>
      <c r="EF37330"/>
      <c r="EG37330"/>
      <c r="EH37330"/>
      <c r="EI37330"/>
      <c r="EJ37330"/>
      <c r="EK37330"/>
    </row>
    <row r="37331" spans="1:141" s="116" customFormat="1">
      <c r="A37331" s="136"/>
      <c r="CM37331" s="111"/>
      <c r="CQ37331" s="111"/>
      <c r="EF37331"/>
      <c r="EG37331"/>
      <c r="EH37331"/>
      <c r="EI37331"/>
      <c r="EJ37331"/>
      <c r="EK37331"/>
    </row>
    <row r="37332" spans="1:141" s="116" customFormat="1">
      <c r="A37332" s="136"/>
      <c r="CM37332" s="111"/>
      <c r="CQ37332" s="111"/>
      <c r="EF37332"/>
      <c r="EG37332"/>
      <c r="EH37332"/>
      <c r="EI37332"/>
      <c r="EJ37332"/>
      <c r="EK37332"/>
    </row>
    <row r="37333" spans="1:141" s="116" customFormat="1">
      <c r="A37333" s="136"/>
      <c r="CM37333" s="111"/>
      <c r="CQ37333" s="111"/>
      <c r="EF37333"/>
      <c r="EG37333"/>
      <c r="EH37333"/>
      <c r="EI37333"/>
      <c r="EJ37333"/>
      <c r="EK37333"/>
    </row>
    <row r="37334" spans="1:141" s="116" customFormat="1">
      <c r="A37334" s="136"/>
      <c r="CM37334" s="111"/>
      <c r="CQ37334" s="111"/>
      <c r="EF37334"/>
      <c r="EG37334"/>
      <c r="EH37334"/>
      <c r="EI37334"/>
      <c r="EJ37334"/>
      <c r="EK37334"/>
    </row>
    <row r="37335" spans="1:141" s="116" customFormat="1">
      <c r="A37335" s="136"/>
      <c r="CM37335" s="111"/>
      <c r="CQ37335" s="111"/>
      <c r="EF37335"/>
      <c r="EG37335"/>
      <c r="EH37335"/>
      <c r="EI37335"/>
      <c r="EJ37335"/>
      <c r="EK37335"/>
    </row>
    <row r="37336" spans="1:141" s="116" customFormat="1">
      <c r="A37336" s="136"/>
      <c r="CM37336" s="111"/>
      <c r="CQ37336" s="111"/>
      <c r="EF37336"/>
      <c r="EG37336"/>
      <c r="EH37336"/>
      <c r="EI37336"/>
      <c r="EJ37336"/>
      <c r="EK37336"/>
    </row>
    <row r="37337" spans="1:141" s="116" customFormat="1">
      <c r="A37337" s="136"/>
      <c r="CM37337" s="111"/>
      <c r="CQ37337" s="111"/>
      <c r="EF37337"/>
      <c r="EG37337"/>
      <c r="EH37337"/>
      <c r="EI37337"/>
      <c r="EJ37337"/>
      <c r="EK37337"/>
    </row>
    <row r="37338" spans="1:141" s="116" customFormat="1">
      <c r="A37338" s="136"/>
      <c r="CM37338" s="111"/>
      <c r="CQ37338" s="111"/>
      <c r="EF37338"/>
      <c r="EG37338"/>
      <c r="EH37338"/>
      <c r="EI37338"/>
      <c r="EJ37338"/>
      <c r="EK37338"/>
    </row>
    <row r="37339" spans="1:141" s="116" customFormat="1">
      <c r="A37339" s="136"/>
      <c r="CM37339" s="111"/>
      <c r="CQ37339" s="111"/>
      <c r="EF37339"/>
      <c r="EG37339"/>
      <c r="EH37339"/>
      <c r="EI37339"/>
      <c r="EJ37339"/>
      <c r="EK37339"/>
    </row>
    <row r="37340" spans="1:141" s="116" customFormat="1">
      <c r="A37340" s="136"/>
      <c r="CM37340" s="111"/>
      <c r="CQ37340" s="111"/>
      <c r="EF37340"/>
      <c r="EG37340"/>
      <c r="EH37340"/>
      <c r="EI37340"/>
      <c r="EJ37340"/>
      <c r="EK37340"/>
    </row>
    <row r="37341" spans="1:141" s="116" customFormat="1">
      <c r="A37341" s="136"/>
      <c r="CM37341" s="111"/>
      <c r="CQ37341" s="111"/>
      <c r="EF37341"/>
      <c r="EG37341"/>
      <c r="EH37341"/>
      <c r="EI37341"/>
      <c r="EJ37341"/>
      <c r="EK37341"/>
    </row>
    <row r="37342" spans="1:141" s="116" customFormat="1">
      <c r="A37342" s="136"/>
      <c r="CM37342" s="111"/>
      <c r="CQ37342" s="111"/>
      <c r="EF37342"/>
      <c r="EG37342"/>
      <c r="EH37342"/>
      <c r="EI37342"/>
      <c r="EJ37342"/>
      <c r="EK37342"/>
    </row>
    <row r="37343" spans="1:141" s="116" customFormat="1">
      <c r="A37343" s="136"/>
      <c r="CM37343" s="111"/>
      <c r="CQ37343" s="111"/>
      <c r="EF37343"/>
      <c r="EG37343"/>
      <c r="EH37343"/>
      <c r="EI37343"/>
      <c r="EJ37343"/>
      <c r="EK37343"/>
    </row>
    <row r="37344" spans="1:141" s="116" customFormat="1">
      <c r="A37344" s="136"/>
      <c r="CM37344" s="111"/>
      <c r="CQ37344" s="111"/>
      <c r="EF37344"/>
      <c r="EG37344"/>
      <c r="EH37344"/>
      <c r="EI37344"/>
      <c r="EJ37344"/>
      <c r="EK37344"/>
    </row>
    <row r="37345" spans="1:141" s="116" customFormat="1">
      <c r="A37345" s="136"/>
      <c r="CM37345" s="111"/>
      <c r="CQ37345" s="111"/>
      <c r="EF37345"/>
      <c r="EG37345"/>
      <c r="EH37345"/>
      <c r="EI37345"/>
      <c r="EJ37345"/>
      <c r="EK37345"/>
    </row>
    <row r="37346" spans="1:141" s="116" customFormat="1">
      <c r="A37346" s="136"/>
      <c r="CM37346" s="111"/>
      <c r="CQ37346" s="111"/>
      <c r="EF37346"/>
      <c r="EG37346"/>
      <c r="EH37346"/>
      <c r="EI37346"/>
      <c r="EJ37346"/>
      <c r="EK37346"/>
    </row>
    <row r="37347" spans="1:141" s="116" customFormat="1">
      <c r="A37347" s="136"/>
      <c r="CM37347" s="111"/>
      <c r="CQ37347" s="111"/>
      <c r="EF37347"/>
      <c r="EG37347"/>
      <c r="EH37347"/>
      <c r="EI37347"/>
      <c r="EJ37347"/>
      <c r="EK37347"/>
    </row>
    <row r="37348" spans="1:141" s="116" customFormat="1">
      <c r="A37348" s="136"/>
      <c r="CM37348" s="111"/>
      <c r="CQ37348" s="111"/>
      <c r="EF37348"/>
      <c r="EG37348"/>
      <c r="EH37348"/>
      <c r="EI37348"/>
      <c r="EJ37348"/>
      <c r="EK37348"/>
    </row>
    <row r="37349" spans="1:141" s="116" customFormat="1">
      <c r="A37349" s="136"/>
      <c r="CM37349" s="111"/>
      <c r="CQ37349" s="111"/>
      <c r="EF37349"/>
      <c r="EG37349"/>
      <c r="EH37349"/>
      <c r="EI37349"/>
      <c r="EJ37349"/>
      <c r="EK37349"/>
    </row>
    <row r="37350" spans="1:141" s="116" customFormat="1">
      <c r="A37350" s="136"/>
      <c r="CM37350" s="111"/>
      <c r="CQ37350" s="111"/>
      <c r="EF37350"/>
      <c r="EG37350"/>
      <c r="EH37350"/>
      <c r="EI37350"/>
      <c r="EJ37350"/>
      <c r="EK37350"/>
    </row>
    <row r="37351" spans="1:141" s="116" customFormat="1">
      <c r="A37351" s="136"/>
      <c r="CM37351" s="111"/>
      <c r="CQ37351" s="111"/>
      <c r="EF37351"/>
      <c r="EG37351"/>
      <c r="EH37351"/>
      <c r="EI37351"/>
      <c r="EJ37351"/>
      <c r="EK37351"/>
    </row>
    <row r="37352" spans="1:141" s="116" customFormat="1">
      <c r="A37352" s="136"/>
      <c r="CM37352" s="111"/>
      <c r="CQ37352" s="111"/>
      <c r="EF37352"/>
      <c r="EG37352"/>
      <c r="EH37352"/>
      <c r="EI37352"/>
      <c r="EJ37352"/>
      <c r="EK37352"/>
    </row>
    <row r="37353" spans="1:141" s="116" customFormat="1">
      <c r="A37353" s="136"/>
      <c r="CM37353" s="111"/>
      <c r="CQ37353" s="111"/>
      <c r="EF37353"/>
      <c r="EG37353"/>
      <c r="EH37353"/>
      <c r="EI37353"/>
      <c r="EJ37353"/>
      <c r="EK37353"/>
    </row>
    <row r="37354" spans="1:141" s="116" customFormat="1">
      <c r="A37354" s="136"/>
      <c r="CM37354" s="111"/>
      <c r="CQ37354" s="111"/>
      <c r="EF37354"/>
      <c r="EG37354"/>
      <c r="EH37354"/>
      <c r="EI37354"/>
      <c r="EJ37354"/>
      <c r="EK37354"/>
    </row>
    <row r="37355" spans="1:141" s="116" customFormat="1">
      <c r="A37355" s="136"/>
      <c r="CM37355" s="111"/>
      <c r="CQ37355" s="111"/>
      <c r="EF37355"/>
      <c r="EG37355"/>
      <c r="EH37355"/>
      <c r="EI37355"/>
      <c r="EJ37355"/>
      <c r="EK37355"/>
    </row>
    <row r="37356" spans="1:141" s="116" customFormat="1">
      <c r="A37356" s="136"/>
      <c r="CM37356" s="111"/>
      <c r="CQ37356" s="111"/>
      <c r="EF37356"/>
      <c r="EG37356"/>
      <c r="EH37356"/>
      <c r="EI37356"/>
      <c r="EJ37356"/>
      <c r="EK37356"/>
    </row>
    <row r="37357" spans="1:141" s="116" customFormat="1">
      <c r="A37357" s="136"/>
      <c r="CM37357" s="111"/>
      <c r="CQ37357" s="111"/>
      <c r="EF37357"/>
      <c r="EG37357"/>
      <c r="EH37357"/>
      <c r="EI37357"/>
      <c r="EJ37357"/>
      <c r="EK37357"/>
    </row>
    <row r="37358" spans="1:141" s="116" customFormat="1">
      <c r="A37358" s="136"/>
      <c r="CM37358" s="111"/>
      <c r="CQ37358" s="111"/>
      <c r="EF37358"/>
      <c r="EG37358"/>
      <c r="EH37358"/>
      <c r="EI37358"/>
      <c r="EJ37358"/>
      <c r="EK37358"/>
    </row>
    <row r="37359" spans="1:141" s="116" customFormat="1">
      <c r="A37359" s="136"/>
      <c r="CM37359" s="111"/>
      <c r="CQ37359" s="111"/>
      <c r="EF37359"/>
      <c r="EG37359"/>
      <c r="EH37359"/>
      <c r="EI37359"/>
      <c r="EJ37359"/>
      <c r="EK37359"/>
    </row>
    <row r="37360" spans="1:141" s="116" customFormat="1">
      <c r="A37360" s="136"/>
      <c r="CM37360" s="111"/>
      <c r="CQ37360" s="111"/>
      <c r="EF37360"/>
      <c r="EG37360"/>
      <c r="EH37360"/>
      <c r="EI37360"/>
      <c r="EJ37360"/>
      <c r="EK37360"/>
    </row>
    <row r="37361" spans="1:141" s="116" customFormat="1">
      <c r="A37361" s="136"/>
      <c r="CM37361" s="111"/>
      <c r="CQ37361" s="111"/>
      <c r="EF37361"/>
      <c r="EG37361"/>
      <c r="EH37361"/>
      <c r="EI37361"/>
      <c r="EJ37361"/>
      <c r="EK37361"/>
    </row>
    <row r="37362" spans="1:141" s="116" customFormat="1">
      <c r="A37362" s="136"/>
      <c r="CM37362" s="111"/>
      <c r="CQ37362" s="111"/>
      <c r="EF37362"/>
      <c r="EG37362"/>
      <c r="EH37362"/>
      <c r="EI37362"/>
      <c r="EJ37362"/>
      <c r="EK37362"/>
    </row>
    <row r="37363" spans="1:141" s="116" customFormat="1">
      <c r="A37363" s="136"/>
      <c r="CM37363" s="111"/>
      <c r="CQ37363" s="111"/>
      <c r="EF37363"/>
      <c r="EG37363"/>
      <c r="EH37363"/>
      <c r="EI37363"/>
      <c r="EJ37363"/>
      <c r="EK37363"/>
    </row>
    <row r="37364" spans="1:141" s="116" customFormat="1">
      <c r="A37364" s="136"/>
      <c r="CM37364" s="111"/>
      <c r="CQ37364" s="111"/>
      <c r="EF37364"/>
      <c r="EG37364"/>
      <c r="EH37364"/>
      <c r="EI37364"/>
      <c r="EJ37364"/>
      <c r="EK37364"/>
    </row>
    <row r="37365" spans="1:141" s="116" customFormat="1">
      <c r="A37365" s="136"/>
      <c r="CM37365" s="111"/>
      <c r="CQ37365" s="111"/>
      <c r="EF37365"/>
      <c r="EG37365"/>
      <c r="EH37365"/>
      <c r="EI37365"/>
      <c r="EJ37365"/>
      <c r="EK37365"/>
    </row>
    <row r="37366" spans="1:141" s="116" customFormat="1">
      <c r="A37366" s="136"/>
      <c r="CM37366" s="111"/>
      <c r="CQ37366" s="111"/>
      <c r="EF37366"/>
      <c r="EG37366"/>
      <c r="EH37366"/>
      <c r="EI37366"/>
      <c r="EJ37366"/>
      <c r="EK37366"/>
    </row>
    <row r="37367" spans="1:141" s="116" customFormat="1">
      <c r="A37367" s="136"/>
      <c r="CM37367" s="111"/>
      <c r="CQ37367" s="111"/>
      <c r="EF37367"/>
      <c r="EG37367"/>
      <c r="EH37367"/>
      <c r="EI37367"/>
      <c r="EJ37367"/>
      <c r="EK37367"/>
    </row>
    <row r="37368" spans="1:141" s="116" customFormat="1">
      <c r="A37368" s="136"/>
      <c r="CM37368" s="111"/>
      <c r="CQ37368" s="111"/>
      <c r="EF37368"/>
      <c r="EG37368"/>
      <c r="EH37368"/>
      <c r="EI37368"/>
      <c r="EJ37368"/>
      <c r="EK37368"/>
    </row>
    <row r="37369" spans="1:141" s="116" customFormat="1">
      <c r="A37369" s="136"/>
      <c r="CM37369" s="111"/>
      <c r="CQ37369" s="111"/>
      <c r="EF37369"/>
      <c r="EG37369"/>
      <c r="EH37369"/>
      <c r="EI37369"/>
      <c r="EJ37369"/>
      <c r="EK37369"/>
    </row>
    <row r="37370" spans="1:141" s="116" customFormat="1">
      <c r="A37370" s="136"/>
      <c r="CM37370" s="111"/>
      <c r="CQ37370" s="111"/>
      <c r="EF37370"/>
      <c r="EG37370"/>
      <c r="EH37370"/>
      <c r="EI37370"/>
      <c r="EJ37370"/>
      <c r="EK37370"/>
    </row>
    <row r="37371" spans="1:141" s="116" customFormat="1">
      <c r="A37371" s="136"/>
      <c r="CM37371" s="111"/>
      <c r="CQ37371" s="111"/>
      <c r="EF37371"/>
      <c r="EG37371"/>
      <c r="EH37371"/>
      <c r="EI37371"/>
      <c r="EJ37371"/>
      <c r="EK37371"/>
    </row>
    <row r="37372" spans="1:141" s="116" customFormat="1">
      <c r="A37372" s="136"/>
      <c r="CM37372" s="111"/>
      <c r="CQ37372" s="111"/>
      <c r="EF37372"/>
      <c r="EG37372"/>
      <c r="EH37372"/>
      <c r="EI37372"/>
      <c r="EJ37372"/>
      <c r="EK37372"/>
    </row>
    <row r="37373" spans="1:141" s="116" customFormat="1">
      <c r="A37373" s="136"/>
      <c r="CM37373" s="111"/>
      <c r="CQ37373" s="111"/>
      <c r="EF37373"/>
      <c r="EG37373"/>
      <c r="EH37373"/>
      <c r="EI37373"/>
      <c r="EJ37373"/>
      <c r="EK37373"/>
    </row>
    <row r="37374" spans="1:141" s="116" customFormat="1">
      <c r="A37374" s="136"/>
      <c r="CM37374" s="111"/>
      <c r="CQ37374" s="111"/>
      <c r="EF37374"/>
      <c r="EG37374"/>
      <c r="EH37374"/>
      <c r="EI37374"/>
      <c r="EJ37374"/>
      <c r="EK37374"/>
    </row>
    <row r="37375" spans="1:141" s="116" customFormat="1">
      <c r="A37375" s="136"/>
      <c r="CM37375" s="111"/>
      <c r="CQ37375" s="111"/>
      <c r="EF37375"/>
      <c r="EG37375"/>
      <c r="EH37375"/>
      <c r="EI37375"/>
      <c r="EJ37375"/>
      <c r="EK37375"/>
    </row>
    <row r="37376" spans="1:141" s="116" customFormat="1">
      <c r="A37376" s="136"/>
      <c r="CM37376" s="111"/>
      <c r="CQ37376" s="111"/>
      <c r="EF37376"/>
      <c r="EG37376"/>
      <c r="EH37376"/>
      <c r="EI37376"/>
      <c r="EJ37376"/>
      <c r="EK37376"/>
    </row>
    <row r="37377" spans="1:141" s="116" customFormat="1">
      <c r="A37377" s="136"/>
      <c r="CM37377" s="111"/>
      <c r="CQ37377" s="111"/>
      <c r="EF37377"/>
      <c r="EG37377"/>
      <c r="EH37377"/>
      <c r="EI37377"/>
      <c r="EJ37377"/>
      <c r="EK37377"/>
    </row>
    <row r="37378" spans="1:141" s="116" customFormat="1">
      <c r="A37378" s="136"/>
      <c r="CM37378" s="111"/>
      <c r="CQ37378" s="111"/>
      <c r="EF37378"/>
      <c r="EG37378"/>
      <c r="EH37378"/>
      <c r="EI37378"/>
      <c r="EJ37378"/>
      <c r="EK37378"/>
    </row>
    <row r="37379" spans="1:141" s="116" customFormat="1">
      <c r="A37379" s="136"/>
      <c r="CM37379" s="111"/>
      <c r="CQ37379" s="111"/>
      <c r="EF37379"/>
      <c r="EG37379"/>
      <c r="EH37379"/>
      <c r="EI37379"/>
      <c r="EJ37379"/>
      <c r="EK37379"/>
    </row>
    <row r="37380" spans="1:141" s="116" customFormat="1">
      <c r="A37380" s="136"/>
      <c r="CM37380" s="111"/>
      <c r="CQ37380" s="111"/>
      <c r="EF37380"/>
      <c r="EG37380"/>
      <c r="EH37380"/>
      <c r="EI37380"/>
      <c r="EJ37380"/>
      <c r="EK37380"/>
    </row>
    <row r="37381" spans="1:141" s="116" customFormat="1">
      <c r="A37381" s="136"/>
      <c r="CM37381" s="111"/>
      <c r="CQ37381" s="111"/>
      <c r="EF37381"/>
      <c r="EG37381"/>
      <c r="EH37381"/>
      <c r="EI37381"/>
      <c r="EJ37381"/>
      <c r="EK37381"/>
    </row>
    <row r="37382" spans="1:141" s="116" customFormat="1">
      <c r="A37382" s="136"/>
      <c r="CM37382" s="111"/>
      <c r="CQ37382" s="111"/>
      <c r="EF37382"/>
      <c r="EG37382"/>
      <c r="EH37382"/>
      <c r="EI37382"/>
      <c r="EJ37382"/>
      <c r="EK37382"/>
    </row>
    <row r="37383" spans="1:141" s="116" customFormat="1">
      <c r="A37383" s="136"/>
      <c r="CM37383" s="111"/>
      <c r="CQ37383" s="111"/>
      <c r="EF37383"/>
      <c r="EG37383"/>
      <c r="EH37383"/>
      <c r="EI37383"/>
      <c r="EJ37383"/>
      <c r="EK37383"/>
    </row>
    <row r="37384" spans="1:141" s="116" customFormat="1">
      <c r="A37384" s="136"/>
      <c r="CM37384" s="111"/>
      <c r="CQ37384" s="111"/>
      <c r="EF37384"/>
      <c r="EG37384"/>
      <c r="EH37384"/>
      <c r="EI37384"/>
      <c r="EJ37384"/>
      <c r="EK37384"/>
    </row>
    <row r="37385" spans="1:141" s="116" customFormat="1">
      <c r="A37385" s="136"/>
      <c r="CM37385" s="111"/>
      <c r="CQ37385" s="111"/>
      <c r="EF37385"/>
      <c r="EG37385"/>
      <c r="EH37385"/>
      <c r="EI37385"/>
      <c r="EJ37385"/>
      <c r="EK37385"/>
    </row>
    <row r="37386" spans="1:141" s="116" customFormat="1">
      <c r="A37386" s="136"/>
      <c r="CM37386" s="111"/>
      <c r="CQ37386" s="111"/>
      <c r="EF37386"/>
      <c r="EG37386"/>
      <c r="EH37386"/>
      <c r="EI37386"/>
      <c r="EJ37386"/>
      <c r="EK37386"/>
    </row>
    <row r="37387" spans="1:141" s="116" customFormat="1">
      <c r="A37387" s="136"/>
      <c r="CM37387" s="111"/>
      <c r="CQ37387" s="111"/>
      <c r="EF37387"/>
      <c r="EG37387"/>
      <c r="EH37387"/>
      <c r="EI37387"/>
      <c r="EJ37387"/>
      <c r="EK37387"/>
    </row>
    <row r="37388" spans="1:141" s="116" customFormat="1">
      <c r="A37388" s="136"/>
      <c r="CM37388" s="111"/>
      <c r="CQ37388" s="111"/>
      <c r="EF37388"/>
      <c r="EG37388"/>
      <c r="EH37388"/>
      <c r="EI37388"/>
      <c r="EJ37388"/>
      <c r="EK37388"/>
    </row>
    <row r="37389" spans="1:141" s="116" customFormat="1">
      <c r="A37389" s="136"/>
      <c r="CM37389" s="111"/>
      <c r="CQ37389" s="111"/>
      <c r="EF37389"/>
      <c r="EG37389"/>
      <c r="EH37389"/>
      <c r="EI37389"/>
      <c r="EJ37389"/>
      <c r="EK37389"/>
    </row>
    <row r="37390" spans="1:141" s="116" customFormat="1">
      <c r="A37390" s="136"/>
      <c r="CM37390" s="111"/>
      <c r="CQ37390" s="111"/>
      <c r="EF37390"/>
      <c r="EG37390"/>
      <c r="EH37390"/>
      <c r="EI37390"/>
      <c r="EJ37390"/>
      <c r="EK37390"/>
    </row>
    <row r="37391" spans="1:141" s="116" customFormat="1">
      <c r="A37391" s="136"/>
      <c r="CM37391" s="111"/>
      <c r="CQ37391" s="111"/>
      <c r="EF37391"/>
      <c r="EG37391"/>
      <c r="EH37391"/>
      <c r="EI37391"/>
      <c r="EJ37391"/>
      <c r="EK37391"/>
    </row>
    <row r="37392" spans="1:141" s="116" customFormat="1">
      <c r="A37392" s="136"/>
      <c r="CM37392" s="111"/>
      <c r="CQ37392" s="111"/>
      <c r="EF37392"/>
      <c r="EG37392"/>
      <c r="EH37392"/>
      <c r="EI37392"/>
      <c r="EJ37392"/>
      <c r="EK37392"/>
    </row>
    <row r="37393" spans="1:141" s="116" customFormat="1">
      <c r="A37393" s="136"/>
      <c r="CM37393" s="111"/>
      <c r="CQ37393" s="111"/>
      <c r="EF37393"/>
      <c r="EG37393"/>
      <c r="EH37393"/>
      <c r="EI37393"/>
      <c r="EJ37393"/>
      <c r="EK37393"/>
    </row>
    <row r="37394" spans="1:141" s="116" customFormat="1">
      <c r="A37394" s="136"/>
      <c r="CM37394" s="111"/>
      <c r="CQ37394" s="111"/>
      <c r="EF37394"/>
      <c r="EG37394"/>
      <c r="EH37394"/>
      <c r="EI37394"/>
      <c r="EJ37394"/>
      <c r="EK37394"/>
    </row>
    <row r="37395" spans="1:141" s="116" customFormat="1">
      <c r="A37395" s="136"/>
      <c r="CM37395" s="111"/>
      <c r="CQ37395" s="111"/>
      <c r="EF37395"/>
      <c r="EG37395"/>
      <c r="EH37395"/>
      <c r="EI37395"/>
      <c r="EJ37395"/>
      <c r="EK37395"/>
    </row>
    <row r="37396" spans="1:141" s="116" customFormat="1">
      <c r="A37396" s="136"/>
      <c r="CM37396" s="111"/>
      <c r="CQ37396" s="111"/>
      <c r="EF37396"/>
      <c r="EG37396"/>
      <c r="EH37396"/>
      <c r="EI37396"/>
      <c r="EJ37396"/>
      <c r="EK37396"/>
    </row>
    <row r="37397" spans="1:141" s="116" customFormat="1">
      <c r="A37397" s="136"/>
      <c r="CM37397" s="111"/>
      <c r="CQ37397" s="111"/>
      <c r="EF37397"/>
      <c r="EG37397"/>
      <c r="EH37397"/>
      <c r="EI37397"/>
      <c r="EJ37397"/>
      <c r="EK37397"/>
    </row>
    <row r="37398" spans="1:141" s="116" customFormat="1">
      <c r="A37398" s="136"/>
      <c r="CM37398" s="111"/>
      <c r="CQ37398" s="111"/>
      <c r="EF37398"/>
      <c r="EG37398"/>
      <c r="EH37398"/>
      <c r="EI37398"/>
      <c r="EJ37398"/>
      <c r="EK37398"/>
    </row>
    <row r="37399" spans="1:141" s="116" customFormat="1">
      <c r="A37399" s="136"/>
      <c r="CM37399" s="111"/>
      <c r="CQ37399" s="111"/>
      <c r="EF37399"/>
      <c r="EG37399"/>
      <c r="EH37399"/>
      <c r="EI37399"/>
      <c r="EJ37399"/>
      <c r="EK37399"/>
    </row>
    <row r="37400" spans="1:141" s="116" customFormat="1">
      <c r="A37400" s="136"/>
      <c r="CM37400" s="111"/>
      <c r="CQ37400" s="111"/>
      <c r="EF37400"/>
      <c r="EG37400"/>
      <c r="EH37400"/>
      <c r="EI37400"/>
      <c r="EJ37400"/>
      <c r="EK37400"/>
    </row>
    <row r="37401" spans="1:141" s="116" customFormat="1">
      <c r="A37401" s="136"/>
      <c r="CM37401" s="111"/>
      <c r="CQ37401" s="111"/>
      <c r="EF37401"/>
      <c r="EG37401"/>
      <c r="EH37401"/>
      <c r="EI37401"/>
      <c r="EJ37401"/>
      <c r="EK37401"/>
    </row>
    <row r="37402" spans="1:141" s="116" customFormat="1">
      <c r="A37402" s="136"/>
      <c r="CM37402" s="111"/>
      <c r="CQ37402" s="111"/>
      <c r="EF37402"/>
      <c r="EG37402"/>
      <c r="EH37402"/>
      <c r="EI37402"/>
      <c r="EJ37402"/>
      <c r="EK37402"/>
    </row>
    <row r="37403" spans="1:141" s="116" customFormat="1">
      <c r="A37403" s="136"/>
      <c r="CM37403" s="111"/>
      <c r="CQ37403" s="111"/>
      <c r="EF37403"/>
      <c r="EG37403"/>
      <c r="EH37403"/>
      <c r="EI37403"/>
      <c r="EJ37403"/>
      <c r="EK37403"/>
    </row>
    <row r="37404" spans="1:141" s="116" customFormat="1">
      <c r="A37404" s="136"/>
      <c r="CM37404" s="111"/>
      <c r="CQ37404" s="111"/>
      <c r="EF37404"/>
      <c r="EG37404"/>
      <c r="EH37404"/>
      <c r="EI37404"/>
      <c r="EJ37404"/>
      <c r="EK37404"/>
    </row>
    <row r="37405" spans="1:141" s="116" customFormat="1">
      <c r="A37405" s="136"/>
      <c r="CM37405" s="111"/>
      <c r="CQ37405" s="111"/>
      <c r="EF37405"/>
      <c r="EG37405"/>
      <c r="EH37405"/>
      <c r="EI37405"/>
      <c r="EJ37405"/>
      <c r="EK37405"/>
    </row>
    <row r="37406" spans="1:141" s="116" customFormat="1">
      <c r="A37406" s="136"/>
      <c r="CM37406" s="111"/>
      <c r="CQ37406" s="111"/>
      <c r="EF37406"/>
      <c r="EG37406"/>
      <c r="EH37406"/>
      <c r="EI37406"/>
      <c r="EJ37406"/>
      <c r="EK37406"/>
    </row>
    <row r="37407" spans="1:141" s="116" customFormat="1">
      <c r="A37407" s="136"/>
      <c r="CM37407" s="111"/>
      <c r="CQ37407" s="111"/>
      <c r="EF37407"/>
      <c r="EG37407"/>
      <c r="EH37407"/>
      <c r="EI37407"/>
      <c r="EJ37407"/>
      <c r="EK37407"/>
    </row>
    <row r="37408" spans="1:141" s="116" customFormat="1">
      <c r="A37408" s="136"/>
      <c r="CM37408" s="111"/>
      <c r="CQ37408" s="111"/>
      <c r="EF37408"/>
      <c r="EG37408"/>
      <c r="EH37408"/>
      <c r="EI37408"/>
      <c r="EJ37408"/>
      <c r="EK37408"/>
    </row>
    <row r="37409" spans="1:141" s="116" customFormat="1">
      <c r="A37409" s="136"/>
      <c r="CM37409" s="111"/>
      <c r="CQ37409" s="111"/>
      <c r="EF37409"/>
      <c r="EG37409"/>
      <c r="EH37409"/>
      <c r="EI37409"/>
      <c r="EJ37409"/>
      <c r="EK37409"/>
    </row>
    <row r="37410" spans="1:141" s="116" customFormat="1">
      <c r="A37410" s="136"/>
      <c r="CM37410" s="111"/>
      <c r="CQ37410" s="111"/>
      <c r="EF37410"/>
      <c r="EG37410"/>
      <c r="EH37410"/>
      <c r="EI37410"/>
      <c r="EJ37410"/>
      <c r="EK37410"/>
    </row>
    <row r="37411" spans="1:141" s="116" customFormat="1">
      <c r="A37411" s="136"/>
      <c r="CM37411" s="111"/>
      <c r="CQ37411" s="111"/>
      <c r="EF37411"/>
      <c r="EG37411"/>
      <c r="EH37411"/>
      <c r="EI37411"/>
      <c r="EJ37411"/>
      <c r="EK37411"/>
    </row>
    <row r="37412" spans="1:141" s="116" customFormat="1">
      <c r="A37412" s="136"/>
      <c r="CM37412" s="111"/>
      <c r="CQ37412" s="111"/>
      <c r="EF37412"/>
      <c r="EG37412"/>
      <c r="EH37412"/>
      <c r="EI37412"/>
      <c r="EJ37412"/>
      <c r="EK37412"/>
    </row>
    <row r="37413" spans="1:141" s="116" customFormat="1">
      <c r="A37413" s="136"/>
      <c r="CM37413" s="111"/>
      <c r="CQ37413" s="111"/>
      <c r="EF37413"/>
      <c r="EG37413"/>
      <c r="EH37413"/>
      <c r="EI37413"/>
      <c r="EJ37413"/>
      <c r="EK37413"/>
    </row>
    <row r="37414" spans="1:141" s="116" customFormat="1">
      <c r="A37414" s="136"/>
      <c r="CM37414" s="111"/>
      <c r="CQ37414" s="111"/>
      <c r="EF37414"/>
      <c r="EG37414"/>
      <c r="EH37414"/>
      <c r="EI37414"/>
      <c r="EJ37414"/>
      <c r="EK37414"/>
    </row>
    <row r="37415" spans="1:141" s="116" customFormat="1">
      <c r="A37415" s="136"/>
      <c r="CM37415" s="111"/>
      <c r="CQ37415" s="111"/>
      <c r="EF37415"/>
      <c r="EG37415"/>
      <c r="EH37415"/>
      <c r="EI37415"/>
      <c r="EJ37415"/>
      <c r="EK37415"/>
    </row>
    <row r="37416" spans="1:141" s="116" customFormat="1">
      <c r="A37416" s="136"/>
      <c r="CM37416" s="111"/>
      <c r="CQ37416" s="111"/>
      <c r="EF37416"/>
      <c r="EG37416"/>
      <c r="EH37416"/>
      <c r="EI37416"/>
      <c r="EJ37416"/>
      <c r="EK37416"/>
    </row>
    <row r="37417" spans="1:141" s="116" customFormat="1">
      <c r="A37417" s="136"/>
      <c r="CM37417" s="111"/>
      <c r="CQ37417" s="111"/>
      <c r="EF37417"/>
      <c r="EG37417"/>
      <c r="EH37417"/>
      <c r="EI37417"/>
      <c r="EJ37417"/>
      <c r="EK37417"/>
    </row>
    <row r="37418" spans="1:141" s="116" customFormat="1">
      <c r="A37418" s="136"/>
      <c r="CM37418" s="111"/>
      <c r="CQ37418" s="111"/>
      <c r="EF37418"/>
      <c r="EG37418"/>
      <c r="EH37418"/>
      <c r="EI37418"/>
      <c r="EJ37418"/>
      <c r="EK37418"/>
    </row>
    <row r="37419" spans="1:141" s="116" customFormat="1">
      <c r="A37419" s="136"/>
      <c r="CM37419" s="111"/>
      <c r="CQ37419" s="111"/>
      <c r="EF37419"/>
      <c r="EG37419"/>
      <c r="EH37419"/>
      <c r="EI37419"/>
      <c r="EJ37419"/>
      <c r="EK37419"/>
    </row>
    <row r="37420" spans="1:141" s="116" customFormat="1">
      <c r="A37420" s="136"/>
      <c r="CM37420" s="111"/>
      <c r="CQ37420" s="111"/>
      <c r="EF37420"/>
      <c r="EG37420"/>
      <c r="EH37420"/>
      <c r="EI37420"/>
      <c r="EJ37420"/>
      <c r="EK37420"/>
    </row>
    <row r="37421" spans="1:141" s="116" customFormat="1">
      <c r="A37421" s="136"/>
      <c r="CM37421" s="111"/>
      <c r="CQ37421" s="111"/>
      <c r="EF37421"/>
      <c r="EG37421"/>
      <c r="EH37421"/>
      <c r="EI37421"/>
      <c r="EJ37421"/>
      <c r="EK37421"/>
    </row>
    <row r="37422" spans="1:141" s="116" customFormat="1">
      <c r="A37422" s="136"/>
      <c r="CM37422" s="111"/>
      <c r="CQ37422" s="111"/>
      <c r="EF37422"/>
      <c r="EG37422"/>
      <c r="EH37422"/>
      <c r="EI37422"/>
      <c r="EJ37422"/>
      <c r="EK37422"/>
    </row>
    <row r="37423" spans="1:141" s="116" customFormat="1">
      <c r="A37423" s="136"/>
      <c r="CM37423" s="111"/>
      <c r="CQ37423" s="111"/>
      <c r="EF37423"/>
      <c r="EG37423"/>
      <c r="EH37423"/>
      <c r="EI37423"/>
      <c r="EJ37423"/>
      <c r="EK37423"/>
    </row>
    <row r="37424" spans="1:141" s="116" customFormat="1">
      <c r="A37424" s="136"/>
      <c r="CM37424" s="111"/>
      <c r="CQ37424" s="111"/>
      <c r="EF37424"/>
      <c r="EG37424"/>
      <c r="EH37424"/>
      <c r="EI37424"/>
      <c r="EJ37424"/>
      <c r="EK37424"/>
    </row>
    <row r="37425" spans="1:141" s="116" customFormat="1">
      <c r="A37425" s="136"/>
      <c r="CM37425" s="111"/>
      <c r="CQ37425" s="111"/>
      <c r="EF37425"/>
      <c r="EG37425"/>
      <c r="EH37425"/>
      <c r="EI37425"/>
      <c r="EJ37425"/>
      <c r="EK37425"/>
    </row>
    <row r="37426" spans="1:141" s="116" customFormat="1">
      <c r="A37426" s="136"/>
      <c r="CM37426" s="111"/>
      <c r="CQ37426" s="111"/>
      <c r="EF37426"/>
      <c r="EG37426"/>
      <c r="EH37426"/>
      <c r="EI37426"/>
      <c r="EJ37426"/>
      <c r="EK37426"/>
    </row>
    <row r="37427" spans="1:141" s="116" customFormat="1">
      <c r="A37427" s="136"/>
      <c r="CM37427" s="111"/>
      <c r="CQ37427" s="111"/>
      <c r="EF37427"/>
      <c r="EG37427"/>
      <c r="EH37427"/>
      <c r="EI37427"/>
      <c r="EJ37427"/>
      <c r="EK37427"/>
    </row>
    <row r="37428" spans="1:141" s="116" customFormat="1">
      <c r="A37428" s="136"/>
      <c r="CM37428" s="111"/>
      <c r="CQ37428" s="111"/>
      <c r="EF37428"/>
      <c r="EG37428"/>
      <c r="EH37428"/>
      <c r="EI37428"/>
      <c r="EJ37428"/>
      <c r="EK37428"/>
    </row>
    <row r="37429" spans="1:141" s="116" customFormat="1">
      <c r="A37429" s="136"/>
      <c r="CM37429" s="111"/>
      <c r="CQ37429" s="111"/>
      <c r="EF37429"/>
      <c r="EG37429"/>
      <c r="EH37429"/>
      <c r="EI37429"/>
      <c r="EJ37429"/>
      <c r="EK37429"/>
    </row>
    <row r="37430" spans="1:141" s="116" customFormat="1">
      <c r="A37430" s="136"/>
      <c r="CM37430" s="111"/>
      <c r="CQ37430" s="111"/>
      <c r="EF37430"/>
      <c r="EG37430"/>
      <c r="EH37430"/>
      <c r="EI37430"/>
      <c r="EJ37430"/>
      <c r="EK37430"/>
    </row>
    <row r="37431" spans="1:141" s="116" customFormat="1">
      <c r="A37431" s="136"/>
      <c r="CM37431" s="111"/>
      <c r="CQ37431" s="111"/>
      <c r="EF37431"/>
      <c r="EG37431"/>
      <c r="EH37431"/>
      <c r="EI37431"/>
      <c r="EJ37431"/>
      <c r="EK37431"/>
    </row>
    <row r="37432" spans="1:141" s="116" customFormat="1">
      <c r="A37432" s="136"/>
      <c r="CM37432" s="111"/>
      <c r="CQ37432" s="111"/>
      <c r="EF37432"/>
      <c r="EG37432"/>
      <c r="EH37432"/>
      <c r="EI37432"/>
      <c r="EJ37432"/>
      <c r="EK37432"/>
    </row>
    <row r="37433" spans="1:141" s="116" customFormat="1">
      <c r="A37433" s="136"/>
      <c r="CM37433" s="111"/>
      <c r="CQ37433" s="111"/>
      <c r="EF37433"/>
      <c r="EG37433"/>
      <c r="EH37433"/>
      <c r="EI37433"/>
      <c r="EJ37433"/>
      <c r="EK37433"/>
    </row>
    <row r="37434" spans="1:141" s="116" customFormat="1">
      <c r="A37434" s="136"/>
      <c r="CM37434" s="111"/>
      <c r="CQ37434" s="111"/>
      <c r="EF37434"/>
      <c r="EG37434"/>
      <c r="EH37434"/>
      <c r="EI37434"/>
      <c r="EJ37434"/>
      <c r="EK37434"/>
    </row>
    <row r="37435" spans="1:141" s="116" customFormat="1">
      <c r="A37435" s="136"/>
      <c r="CM37435" s="111"/>
      <c r="CQ37435" s="111"/>
      <c r="EF37435"/>
      <c r="EG37435"/>
      <c r="EH37435"/>
      <c r="EI37435"/>
      <c r="EJ37435"/>
      <c r="EK37435"/>
    </row>
    <row r="37436" spans="1:141" s="116" customFormat="1">
      <c r="A37436" s="136"/>
      <c r="CM37436" s="111"/>
      <c r="CQ37436" s="111"/>
      <c r="EF37436"/>
      <c r="EG37436"/>
      <c r="EH37436"/>
      <c r="EI37436"/>
      <c r="EJ37436"/>
      <c r="EK37436"/>
    </row>
    <row r="37437" spans="1:141" s="116" customFormat="1">
      <c r="A37437" s="136"/>
      <c r="CM37437" s="111"/>
      <c r="CQ37437" s="111"/>
      <c r="EF37437"/>
      <c r="EG37437"/>
      <c r="EH37437"/>
      <c r="EI37437"/>
      <c r="EJ37437"/>
      <c r="EK37437"/>
    </row>
    <row r="37438" spans="1:141" s="116" customFormat="1">
      <c r="A37438" s="136"/>
      <c r="CM37438" s="111"/>
      <c r="CQ37438" s="111"/>
      <c r="EF37438"/>
      <c r="EG37438"/>
      <c r="EH37438"/>
      <c r="EI37438"/>
      <c r="EJ37438"/>
      <c r="EK37438"/>
    </row>
    <row r="37439" spans="1:141" s="116" customFormat="1">
      <c r="A37439" s="136"/>
      <c r="CM37439" s="111"/>
      <c r="CQ37439" s="111"/>
      <c r="EF37439"/>
      <c r="EG37439"/>
      <c r="EH37439"/>
      <c r="EI37439"/>
      <c r="EJ37439"/>
      <c r="EK37439"/>
    </row>
    <row r="37440" spans="1:141" s="116" customFormat="1">
      <c r="A37440" s="136"/>
      <c r="CM37440" s="111"/>
      <c r="CQ37440" s="111"/>
      <c r="EF37440"/>
      <c r="EG37440"/>
      <c r="EH37440"/>
      <c r="EI37440"/>
      <c r="EJ37440"/>
      <c r="EK37440"/>
    </row>
    <row r="37441" spans="1:141" s="116" customFormat="1">
      <c r="A37441" s="136"/>
      <c r="CM37441" s="111"/>
      <c r="CQ37441" s="111"/>
      <c r="EF37441"/>
      <c r="EG37441"/>
      <c r="EH37441"/>
      <c r="EI37441"/>
      <c r="EJ37441"/>
      <c r="EK37441"/>
    </row>
    <row r="37442" spans="1:141" s="116" customFormat="1">
      <c r="A37442" s="136"/>
      <c r="CM37442" s="111"/>
      <c r="CQ37442" s="111"/>
      <c r="EF37442"/>
      <c r="EG37442"/>
      <c r="EH37442"/>
      <c r="EI37442"/>
      <c r="EJ37442"/>
      <c r="EK37442"/>
    </row>
    <row r="37443" spans="1:141" s="116" customFormat="1">
      <c r="A37443" s="136"/>
      <c r="CM37443" s="111"/>
      <c r="CQ37443" s="111"/>
      <c r="EF37443"/>
      <c r="EG37443"/>
      <c r="EH37443"/>
      <c r="EI37443"/>
      <c r="EJ37443"/>
      <c r="EK37443"/>
    </row>
    <row r="37444" spans="1:141" s="116" customFormat="1">
      <c r="A37444" s="136"/>
      <c r="CM37444" s="111"/>
      <c r="CQ37444" s="111"/>
      <c r="EF37444"/>
      <c r="EG37444"/>
      <c r="EH37444"/>
      <c r="EI37444"/>
      <c r="EJ37444"/>
      <c r="EK37444"/>
    </row>
    <row r="37445" spans="1:141" s="116" customFormat="1">
      <c r="A37445" s="136"/>
      <c r="CM37445" s="111"/>
      <c r="CQ37445" s="111"/>
      <c r="EF37445"/>
      <c r="EG37445"/>
      <c r="EH37445"/>
      <c r="EI37445"/>
      <c r="EJ37445"/>
      <c r="EK37445"/>
    </row>
    <row r="37446" spans="1:141" s="116" customFormat="1">
      <c r="A37446" s="136"/>
      <c r="CM37446" s="111"/>
      <c r="CQ37446" s="111"/>
      <c r="EF37446"/>
      <c r="EG37446"/>
      <c r="EH37446"/>
      <c r="EI37446"/>
      <c r="EJ37446"/>
      <c r="EK37446"/>
    </row>
    <row r="37447" spans="1:141" s="116" customFormat="1">
      <c r="A37447" s="136"/>
      <c r="CM37447" s="111"/>
      <c r="CQ37447" s="111"/>
      <c r="EF37447"/>
      <c r="EG37447"/>
      <c r="EH37447"/>
      <c r="EI37447"/>
      <c r="EJ37447"/>
      <c r="EK37447"/>
    </row>
    <row r="37448" spans="1:141" s="116" customFormat="1">
      <c r="A37448" s="136"/>
      <c r="CM37448" s="111"/>
      <c r="CQ37448" s="111"/>
      <c r="EF37448"/>
      <c r="EG37448"/>
      <c r="EH37448"/>
      <c r="EI37448"/>
      <c r="EJ37448"/>
      <c r="EK37448"/>
    </row>
    <row r="37449" spans="1:141" s="116" customFormat="1">
      <c r="A37449" s="136"/>
      <c r="CM37449" s="111"/>
      <c r="CQ37449" s="111"/>
      <c r="EF37449"/>
      <c r="EG37449"/>
      <c r="EH37449"/>
      <c r="EI37449"/>
      <c r="EJ37449"/>
      <c r="EK37449"/>
    </row>
    <row r="37450" spans="1:141" s="116" customFormat="1">
      <c r="A37450" s="136"/>
      <c r="CM37450" s="111"/>
      <c r="CQ37450" s="111"/>
      <c r="EF37450"/>
      <c r="EG37450"/>
      <c r="EH37450"/>
      <c r="EI37450"/>
      <c r="EJ37450"/>
      <c r="EK37450"/>
    </row>
    <row r="37451" spans="1:141" s="116" customFormat="1">
      <c r="A37451" s="136"/>
      <c r="CM37451" s="111"/>
      <c r="CQ37451" s="111"/>
      <c r="EF37451"/>
      <c r="EG37451"/>
      <c r="EH37451"/>
      <c r="EI37451"/>
      <c r="EJ37451"/>
      <c r="EK37451"/>
    </row>
    <row r="37452" spans="1:141" s="116" customFormat="1">
      <c r="A37452" s="136"/>
      <c r="CM37452" s="111"/>
      <c r="CQ37452" s="111"/>
      <c r="EF37452"/>
      <c r="EG37452"/>
      <c r="EH37452"/>
      <c r="EI37452"/>
      <c r="EJ37452"/>
      <c r="EK37452"/>
    </row>
    <row r="37453" spans="1:141" s="116" customFormat="1">
      <c r="A37453" s="136"/>
      <c r="CM37453" s="111"/>
      <c r="CQ37453" s="111"/>
      <c r="EF37453"/>
      <c r="EG37453"/>
      <c r="EH37453"/>
      <c r="EI37453"/>
      <c r="EJ37453"/>
      <c r="EK37453"/>
    </row>
    <row r="37454" spans="1:141" s="116" customFormat="1">
      <c r="A37454" s="136"/>
      <c r="CM37454" s="111"/>
      <c r="CQ37454" s="111"/>
      <c r="EF37454"/>
      <c r="EG37454"/>
      <c r="EH37454"/>
      <c r="EI37454"/>
      <c r="EJ37454"/>
      <c r="EK37454"/>
    </row>
    <row r="37455" spans="1:141" s="116" customFormat="1">
      <c r="A37455" s="136"/>
      <c r="CM37455" s="111"/>
      <c r="CQ37455" s="111"/>
      <c r="EF37455"/>
      <c r="EG37455"/>
      <c r="EH37455"/>
      <c r="EI37455"/>
      <c r="EJ37455"/>
      <c r="EK37455"/>
    </row>
    <row r="37456" spans="1:141" s="116" customFormat="1">
      <c r="A37456" s="136"/>
      <c r="CM37456" s="111"/>
      <c r="CQ37456" s="111"/>
      <c r="EF37456"/>
      <c r="EG37456"/>
      <c r="EH37456"/>
      <c r="EI37456"/>
      <c r="EJ37456"/>
      <c r="EK37456"/>
    </row>
    <row r="37457" spans="1:141" s="116" customFormat="1">
      <c r="A37457" s="136"/>
      <c r="CM37457" s="111"/>
      <c r="CQ37457" s="111"/>
      <c r="EF37457"/>
      <c r="EG37457"/>
      <c r="EH37457"/>
      <c r="EI37457"/>
      <c r="EJ37457"/>
      <c r="EK37457"/>
    </row>
    <row r="37458" spans="1:141" s="116" customFormat="1">
      <c r="A37458" s="136"/>
      <c r="CM37458" s="111"/>
      <c r="CQ37458" s="111"/>
      <c r="EF37458"/>
      <c r="EG37458"/>
      <c r="EH37458"/>
      <c r="EI37458"/>
      <c r="EJ37458"/>
      <c r="EK37458"/>
    </row>
    <row r="37459" spans="1:141" s="116" customFormat="1">
      <c r="A37459" s="136"/>
      <c r="CM37459" s="111"/>
      <c r="CQ37459" s="111"/>
      <c r="EF37459"/>
      <c r="EG37459"/>
      <c r="EH37459"/>
      <c r="EI37459"/>
      <c r="EJ37459"/>
      <c r="EK37459"/>
    </row>
    <row r="37460" spans="1:141" s="116" customFormat="1">
      <c r="A37460" s="136"/>
      <c r="CM37460" s="111"/>
      <c r="CQ37460" s="111"/>
      <c r="EF37460"/>
      <c r="EG37460"/>
      <c r="EH37460"/>
      <c r="EI37460"/>
      <c r="EJ37460"/>
      <c r="EK37460"/>
    </row>
    <row r="37461" spans="1:141" s="116" customFormat="1">
      <c r="A37461" s="136"/>
      <c r="CM37461" s="111"/>
      <c r="CQ37461" s="111"/>
      <c r="EF37461"/>
      <c r="EG37461"/>
      <c r="EH37461"/>
      <c r="EI37461"/>
      <c r="EJ37461"/>
      <c r="EK37461"/>
    </row>
    <row r="37462" spans="1:141" s="116" customFormat="1">
      <c r="A37462" s="136"/>
      <c r="CM37462" s="111"/>
      <c r="CQ37462" s="111"/>
      <c r="EF37462"/>
      <c r="EG37462"/>
      <c r="EH37462"/>
      <c r="EI37462"/>
      <c r="EJ37462"/>
      <c r="EK37462"/>
    </row>
    <row r="37463" spans="1:141" s="116" customFormat="1">
      <c r="A37463" s="136"/>
      <c r="CM37463" s="111"/>
      <c r="CQ37463" s="111"/>
      <c r="EF37463"/>
      <c r="EG37463"/>
      <c r="EH37463"/>
      <c r="EI37463"/>
      <c r="EJ37463"/>
      <c r="EK37463"/>
    </row>
    <row r="37464" spans="1:141" s="116" customFormat="1">
      <c r="A37464" s="136"/>
      <c r="CM37464" s="111"/>
      <c r="CQ37464" s="111"/>
      <c r="EF37464"/>
      <c r="EG37464"/>
      <c r="EH37464"/>
      <c r="EI37464"/>
      <c r="EJ37464"/>
      <c r="EK37464"/>
    </row>
    <row r="37465" spans="1:141" s="116" customFormat="1">
      <c r="A37465" s="136"/>
      <c r="CM37465" s="111"/>
      <c r="CQ37465" s="111"/>
      <c r="EF37465"/>
      <c r="EG37465"/>
      <c r="EH37465"/>
      <c r="EI37465"/>
      <c r="EJ37465"/>
      <c r="EK37465"/>
    </row>
    <row r="37466" spans="1:141" s="116" customFormat="1">
      <c r="A37466" s="136"/>
      <c r="CM37466" s="111"/>
      <c r="CQ37466" s="111"/>
      <c r="EF37466"/>
      <c r="EG37466"/>
      <c r="EH37466"/>
      <c r="EI37466"/>
      <c r="EJ37466"/>
      <c r="EK37466"/>
    </row>
    <row r="37467" spans="1:141" s="116" customFormat="1">
      <c r="A37467" s="136"/>
      <c r="CM37467" s="111"/>
      <c r="CQ37467" s="111"/>
      <c r="EF37467"/>
      <c r="EG37467"/>
      <c r="EH37467"/>
      <c r="EI37467"/>
      <c r="EJ37467"/>
      <c r="EK37467"/>
    </row>
    <row r="37468" spans="1:141" s="116" customFormat="1">
      <c r="A37468" s="136"/>
      <c r="CM37468" s="111"/>
      <c r="CQ37468" s="111"/>
      <c r="EF37468"/>
      <c r="EG37468"/>
      <c r="EH37468"/>
      <c r="EI37468"/>
      <c r="EJ37468"/>
      <c r="EK37468"/>
    </row>
    <row r="37469" spans="1:141" s="116" customFormat="1">
      <c r="A37469" s="136"/>
      <c r="CM37469" s="111"/>
      <c r="CQ37469" s="111"/>
      <c r="EF37469"/>
      <c r="EG37469"/>
      <c r="EH37469"/>
      <c r="EI37469"/>
      <c r="EJ37469"/>
      <c r="EK37469"/>
    </row>
    <row r="37470" spans="1:141" s="116" customFormat="1">
      <c r="A37470" s="136"/>
      <c r="CM37470" s="111"/>
      <c r="CQ37470" s="111"/>
      <c r="EF37470"/>
      <c r="EG37470"/>
      <c r="EH37470"/>
      <c r="EI37470"/>
      <c r="EJ37470"/>
      <c r="EK37470"/>
    </row>
    <row r="37471" spans="1:141" s="116" customFormat="1">
      <c r="A37471" s="136"/>
      <c r="CM37471" s="111"/>
      <c r="CQ37471" s="111"/>
      <c r="EF37471"/>
      <c r="EG37471"/>
      <c r="EH37471"/>
      <c r="EI37471"/>
      <c r="EJ37471"/>
      <c r="EK37471"/>
    </row>
    <row r="37472" spans="1:141" s="116" customFormat="1">
      <c r="A37472" s="136"/>
      <c r="CM37472" s="111"/>
      <c r="CQ37472" s="111"/>
      <c r="EF37472"/>
      <c r="EG37472"/>
      <c r="EH37472"/>
      <c r="EI37472"/>
      <c r="EJ37472"/>
      <c r="EK37472"/>
    </row>
    <row r="37473" spans="1:141" s="116" customFormat="1">
      <c r="A37473" s="136"/>
      <c r="CM37473" s="111"/>
      <c r="CQ37473" s="111"/>
      <c r="EF37473"/>
      <c r="EG37473"/>
      <c r="EH37473"/>
      <c r="EI37473"/>
      <c r="EJ37473"/>
      <c r="EK37473"/>
    </row>
    <row r="37474" spans="1:141" s="116" customFormat="1">
      <c r="A37474" s="136"/>
      <c r="CM37474" s="111"/>
      <c r="CQ37474" s="111"/>
      <c r="EF37474"/>
      <c r="EG37474"/>
      <c r="EH37474"/>
      <c r="EI37474"/>
      <c r="EJ37474"/>
      <c r="EK37474"/>
    </row>
    <row r="37475" spans="1:141" s="116" customFormat="1">
      <c r="A37475" s="136"/>
      <c r="CM37475" s="111"/>
      <c r="CQ37475" s="111"/>
      <c r="EF37475"/>
      <c r="EG37475"/>
      <c r="EH37475"/>
      <c r="EI37475"/>
      <c r="EJ37475"/>
      <c r="EK37475"/>
    </row>
    <row r="37476" spans="1:141" s="116" customFormat="1">
      <c r="A37476" s="136"/>
      <c r="CM37476" s="111"/>
      <c r="CQ37476" s="111"/>
      <c r="EF37476"/>
      <c r="EG37476"/>
      <c r="EH37476"/>
      <c r="EI37476"/>
      <c r="EJ37476"/>
      <c r="EK37476"/>
    </row>
    <row r="37477" spans="1:141" s="116" customFormat="1">
      <c r="A37477" s="136"/>
      <c r="CM37477" s="111"/>
      <c r="CQ37477" s="111"/>
      <c r="EF37477"/>
      <c r="EG37477"/>
      <c r="EH37477"/>
      <c r="EI37477"/>
      <c r="EJ37477"/>
      <c r="EK37477"/>
    </row>
    <row r="37478" spans="1:141" s="116" customFormat="1">
      <c r="A37478" s="136"/>
      <c r="CM37478" s="111"/>
      <c r="CQ37478" s="111"/>
      <c r="EF37478"/>
      <c r="EG37478"/>
      <c r="EH37478"/>
      <c r="EI37478"/>
      <c r="EJ37478"/>
      <c r="EK37478"/>
    </row>
    <row r="37479" spans="1:141" s="116" customFormat="1">
      <c r="A37479" s="136"/>
      <c r="CM37479" s="111"/>
      <c r="CQ37479" s="111"/>
      <c r="EF37479"/>
      <c r="EG37479"/>
      <c r="EH37479"/>
      <c r="EI37479"/>
      <c r="EJ37479"/>
      <c r="EK37479"/>
    </row>
    <row r="37480" spans="1:141" s="116" customFormat="1">
      <c r="A37480" s="136"/>
      <c r="CM37480" s="111"/>
      <c r="CQ37480" s="111"/>
      <c r="EF37480"/>
      <c r="EG37480"/>
      <c r="EH37480"/>
      <c r="EI37480"/>
      <c r="EJ37480"/>
      <c r="EK37480"/>
    </row>
    <row r="37481" spans="1:141" s="116" customFormat="1">
      <c r="A37481" s="136"/>
      <c r="CM37481" s="111"/>
      <c r="CQ37481" s="111"/>
      <c r="EF37481"/>
      <c r="EG37481"/>
      <c r="EH37481"/>
      <c r="EI37481"/>
      <c r="EJ37481"/>
      <c r="EK37481"/>
    </row>
    <row r="37482" spans="1:141" s="116" customFormat="1">
      <c r="A37482" s="136"/>
      <c r="CM37482" s="111"/>
      <c r="CQ37482" s="111"/>
      <c r="EF37482"/>
      <c r="EG37482"/>
      <c r="EH37482"/>
      <c r="EI37482"/>
      <c r="EJ37482"/>
      <c r="EK37482"/>
    </row>
    <row r="37483" spans="1:141" s="116" customFormat="1">
      <c r="A37483" s="136"/>
      <c r="CM37483" s="111"/>
      <c r="CQ37483" s="111"/>
      <c r="EF37483"/>
      <c r="EG37483"/>
      <c r="EH37483"/>
      <c r="EI37483"/>
      <c r="EJ37483"/>
      <c r="EK37483"/>
    </row>
    <row r="37484" spans="1:141" s="116" customFormat="1">
      <c r="A37484" s="136"/>
      <c r="CM37484" s="111"/>
      <c r="CQ37484" s="111"/>
      <c r="EF37484"/>
      <c r="EG37484"/>
      <c r="EH37484"/>
      <c r="EI37484"/>
      <c r="EJ37484"/>
      <c r="EK37484"/>
    </row>
    <row r="37485" spans="1:141" s="116" customFormat="1">
      <c r="A37485" s="136"/>
      <c r="CM37485" s="111"/>
      <c r="CQ37485" s="111"/>
      <c r="EF37485"/>
      <c r="EG37485"/>
      <c r="EH37485"/>
      <c r="EI37485"/>
      <c r="EJ37485"/>
      <c r="EK37485"/>
    </row>
    <row r="37486" spans="1:141" s="116" customFormat="1">
      <c r="A37486" s="136"/>
      <c r="CM37486" s="111"/>
      <c r="CQ37486" s="111"/>
      <c r="EF37486"/>
      <c r="EG37486"/>
      <c r="EH37486"/>
      <c r="EI37486"/>
      <c r="EJ37486"/>
      <c r="EK37486"/>
    </row>
    <row r="37487" spans="1:141" s="116" customFormat="1">
      <c r="A37487" s="136"/>
      <c r="CM37487" s="111"/>
      <c r="CQ37487" s="111"/>
      <c r="EF37487"/>
      <c r="EG37487"/>
      <c r="EH37487"/>
      <c r="EI37487"/>
      <c r="EJ37487"/>
      <c r="EK37487"/>
    </row>
    <row r="37488" spans="1:141" s="116" customFormat="1">
      <c r="A37488" s="136"/>
      <c r="CM37488" s="111"/>
      <c r="CQ37488" s="111"/>
      <c r="EF37488"/>
      <c r="EG37488"/>
      <c r="EH37488"/>
      <c r="EI37488"/>
      <c r="EJ37488"/>
      <c r="EK37488"/>
    </row>
    <row r="37489" spans="1:141" s="116" customFormat="1">
      <c r="A37489" s="136"/>
      <c r="CM37489" s="111"/>
      <c r="CQ37489" s="111"/>
      <c r="EF37489"/>
      <c r="EG37489"/>
      <c r="EH37489"/>
      <c r="EI37489"/>
      <c r="EJ37489"/>
      <c r="EK37489"/>
    </row>
    <row r="37490" spans="1:141" s="116" customFormat="1">
      <c r="A37490" s="136"/>
      <c r="CM37490" s="111"/>
      <c r="CQ37490" s="111"/>
      <c r="EF37490"/>
      <c r="EG37490"/>
      <c r="EH37490"/>
      <c r="EI37490"/>
      <c r="EJ37490"/>
      <c r="EK37490"/>
    </row>
    <row r="37491" spans="1:141" s="116" customFormat="1">
      <c r="A37491" s="136"/>
      <c r="CM37491" s="111"/>
      <c r="CQ37491" s="111"/>
      <c r="EF37491"/>
      <c r="EG37491"/>
      <c r="EH37491"/>
      <c r="EI37491"/>
      <c r="EJ37491"/>
      <c r="EK37491"/>
    </row>
    <row r="37492" spans="1:141" s="116" customFormat="1">
      <c r="A37492" s="136"/>
      <c r="CM37492" s="111"/>
      <c r="CQ37492" s="111"/>
      <c r="EF37492"/>
      <c r="EG37492"/>
      <c r="EH37492"/>
      <c r="EI37492"/>
      <c r="EJ37492"/>
      <c r="EK37492"/>
    </row>
    <row r="37493" spans="1:141" s="116" customFormat="1">
      <c r="A37493" s="136"/>
      <c r="CM37493" s="111"/>
      <c r="CQ37493" s="111"/>
      <c r="EF37493"/>
      <c r="EG37493"/>
      <c r="EH37493"/>
      <c r="EI37493"/>
      <c r="EJ37493"/>
      <c r="EK37493"/>
    </row>
    <row r="37494" spans="1:141" s="116" customFormat="1">
      <c r="A37494" s="136"/>
      <c r="CM37494" s="111"/>
      <c r="CQ37494" s="111"/>
      <c r="EF37494"/>
      <c r="EG37494"/>
      <c r="EH37494"/>
      <c r="EI37494"/>
      <c r="EJ37494"/>
      <c r="EK37494"/>
    </row>
    <row r="37495" spans="1:141" s="116" customFormat="1">
      <c r="A37495" s="136"/>
      <c r="CM37495" s="111"/>
      <c r="CQ37495" s="111"/>
      <c r="EF37495"/>
      <c r="EG37495"/>
      <c r="EH37495"/>
      <c r="EI37495"/>
      <c r="EJ37495"/>
      <c r="EK37495"/>
    </row>
    <row r="37496" spans="1:141" s="116" customFormat="1">
      <c r="A37496" s="136"/>
      <c r="CM37496" s="111"/>
      <c r="CQ37496" s="111"/>
      <c r="EF37496"/>
      <c r="EG37496"/>
      <c r="EH37496"/>
      <c r="EI37496"/>
      <c r="EJ37496"/>
      <c r="EK37496"/>
    </row>
    <row r="37497" spans="1:141" s="116" customFormat="1">
      <c r="A37497" s="136"/>
      <c r="CM37497" s="111"/>
      <c r="CQ37497" s="111"/>
      <c r="EF37497"/>
      <c r="EG37497"/>
      <c r="EH37497"/>
      <c r="EI37497"/>
      <c r="EJ37497"/>
      <c r="EK37497"/>
    </row>
    <row r="37498" spans="1:141" s="116" customFormat="1">
      <c r="A37498" s="136"/>
      <c r="CM37498" s="111"/>
      <c r="CQ37498" s="111"/>
      <c r="EF37498"/>
      <c r="EG37498"/>
      <c r="EH37498"/>
      <c r="EI37498"/>
      <c r="EJ37498"/>
      <c r="EK37498"/>
    </row>
    <row r="37499" spans="1:141" s="116" customFormat="1">
      <c r="A37499" s="136"/>
      <c r="CM37499" s="111"/>
      <c r="CQ37499" s="111"/>
      <c r="EF37499"/>
      <c r="EG37499"/>
      <c r="EH37499"/>
      <c r="EI37499"/>
      <c r="EJ37499"/>
      <c r="EK37499"/>
    </row>
    <row r="37500" spans="1:141" s="116" customFormat="1">
      <c r="A37500" s="136"/>
      <c r="CM37500" s="111"/>
      <c r="CQ37500" s="111"/>
      <c r="EF37500"/>
      <c r="EG37500"/>
      <c r="EH37500"/>
      <c r="EI37500"/>
      <c r="EJ37500"/>
      <c r="EK37500"/>
    </row>
    <row r="37501" spans="1:141" s="116" customFormat="1">
      <c r="A37501" s="136"/>
      <c r="CM37501" s="111"/>
      <c r="CQ37501" s="111"/>
      <c r="EF37501"/>
      <c r="EG37501"/>
      <c r="EH37501"/>
      <c r="EI37501"/>
      <c r="EJ37501"/>
      <c r="EK37501"/>
    </row>
    <row r="37502" spans="1:141" s="116" customFormat="1">
      <c r="A37502" s="136"/>
      <c r="CM37502" s="111"/>
      <c r="CQ37502" s="111"/>
      <c r="EF37502"/>
      <c r="EG37502"/>
      <c r="EH37502"/>
      <c r="EI37502"/>
      <c r="EJ37502"/>
      <c r="EK37502"/>
    </row>
    <row r="37503" spans="1:141" s="116" customFormat="1">
      <c r="A37503" s="136"/>
      <c r="CM37503" s="111"/>
      <c r="CQ37503" s="111"/>
      <c r="EF37503"/>
      <c r="EG37503"/>
      <c r="EH37503"/>
      <c r="EI37503"/>
      <c r="EJ37503"/>
      <c r="EK37503"/>
    </row>
    <row r="37504" spans="1:141" s="116" customFormat="1">
      <c r="A37504" s="136"/>
      <c r="CM37504" s="111"/>
      <c r="CQ37504" s="111"/>
      <c r="EF37504"/>
      <c r="EG37504"/>
      <c r="EH37504"/>
      <c r="EI37504"/>
      <c r="EJ37504"/>
      <c r="EK37504"/>
    </row>
    <row r="37505" spans="1:141" s="116" customFormat="1">
      <c r="A37505" s="136"/>
      <c r="CM37505" s="111"/>
      <c r="CQ37505" s="111"/>
      <c r="EF37505"/>
      <c r="EG37505"/>
      <c r="EH37505"/>
      <c r="EI37505"/>
      <c r="EJ37505"/>
      <c r="EK37505"/>
    </row>
    <row r="37506" spans="1:141" s="116" customFormat="1">
      <c r="A37506" s="136"/>
      <c r="CM37506" s="111"/>
      <c r="CQ37506" s="111"/>
      <c r="EF37506"/>
      <c r="EG37506"/>
      <c r="EH37506"/>
      <c r="EI37506"/>
      <c r="EJ37506"/>
      <c r="EK37506"/>
    </row>
    <row r="37507" spans="1:141" s="116" customFormat="1">
      <c r="A37507" s="136"/>
      <c r="CM37507" s="111"/>
      <c r="CQ37507" s="111"/>
      <c r="EF37507"/>
      <c r="EG37507"/>
      <c r="EH37507"/>
      <c r="EI37507"/>
      <c r="EJ37507"/>
      <c r="EK37507"/>
    </row>
    <row r="37508" spans="1:141" s="116" customFormat="1">
      <c r="A37508" s="136"/>
      <c r="CM37508" s="111"/>
      <c r="CQ37508" s="111"/>
      <c r="EF37508"/>
      <c r="EG37508"/>
      <c r="EH37508"/>
      <c r="EI37508"/>
      <c r="EJ37508"/>
      <c r="EK37508"/>
    </row>
    <row r="37509" spans="1:141" s="116" customFormat="1">
      <c r="A37509" s="136"/>
      <c r="CM37509" s="111"/>
      <c r="CQ37509" s="111"/>
      <c r="EF37509"/>
      <c r="EG37509"/>
      <c r="EH37509"/>
      <c r="EI37509"/>
      <c r="EJ37509"/>
      <c r="EK37509"/>
    </row>
    <row r="37510" spans="1:141" s="116" customFormat="1">
      <c r="A37510" s="136"/>
      <c r="CM37510" s="111"/>
      <c r="CQ37510" s="111"/>
      <c r="EF37510"/>
      <c r="EG37510"/>
      <c r="EH37510"/>
      <c r="EI37510"/>
      <c r="EJ37510"/>
      <c r="EK37510"/>
    </row>
    <row r="37511" spans="1:141" s="116" customFormat="1">
      <c r="A37511" s="136"/>
      <c r="CM37511" s="111"/>
      <c r="CQ37511" s="111"/>
      <c r="EF37511"/>
      <c r="EG37511"/>
      <c r="EH37511"/>
      <c r="EI37511"/>
      <c r="EJ37511"/>
      <c r="EK37511"/>
    </row>
    <row r="37512" spans="1:141" s="116" customFormat="1">
      <c r="A37512" s="136"/>
      <c r="CM37512" s="111"/>
      <c r="CQ37512" s="111"/>
      <c r="EF37512"/>
      <c r="EG37512"/>
      <c r="EH37512"/>
      <c r="EI37512"/>
      <c r="EJ37512"/>
      <c r="EK37512"/>
    </row>
    <row r="37513" spans="1:141" s="116" customFormat="1">
      <c r="A37513" s="136"/>
      <c r="CM37513" s="111"/>
      <c r="CQ37513" s="111"/>
      <c r="EF37513"/>
      <c r="EG37513"/>
      <c r="EH37513"/>
      <c r="EI37513"/>
      <c r="EJ37513"/>
      <c r="EK37513"/>
    </row>
    <row r="37514" spans="1:141" s="116" customFormat="1">
      <c r="A37514" s="136"/>
      <c r="CM37514" s="111"/>
      <c r="CQ37514" s="111"/>
      <c r="EF37514"/>
      <c r="EG37514"/>
      <c r="EH37514"/>
      <c r="EI37514"/>
      <c r="EJ37514"/>
      <c r="EK37514"/>
    </row>
    <row r="37515" spans="1:141" s="116" customFormat="1">
      <c r="A37515" s="136"/>
      <c r="CM37515" s="111"/>
      <c r="CQ37515" s="111"/>
      <c r="EF37515"/>
      <c r="EG37515"/>
      <c r="EH37515"/>
      <c r="EI37515"/>
      <c r="EJ37515"/>
      <c r="EK37515"/>
    </row>
    <row r="37516" spans="1:141" s="116" customFormat="1">
      <c r="A37516" s="136"/>
      <c r="CM37516" s="111"/>
      <c r="CQ37516" s="111"/>
      <c r="EF37516"/>
      <c r="EG37516"/>
      <c r="EH37516"/>
      <c r="EI37516"/>
      <c r="EJ37516"/>
      <c r="EK37516"/>
    </row>
    <row r="37517" spans="1:141" s="116" customFormat="1">
      <c r="A37517" s="136"/>
      <c r="CM37517" s="111"/>
      <c r="CQ37517" s="111"/>
      <c r="EF37517"/>
      <c r="EG37517"/>
      <c r="EH37517"/>
      <c r="EI37517"/>
      <c r="EJ37517"/>
      <c r="EK37517"/>
    </row>
    <row r="37518" spans="1:141" s="116" customFormat="1">
      <c r="A37518" s="136"/>
      <c r="CM37518" s="111"/>
      <c r="CQ37518" s="111"/>
      <c r="EF37518"/>
      <c r="EG37518"/>
      <c r="EH37518"/>
      <c r="EI37518"/>
      <c r="EJ37518"/>
      <c r="EK37518"/>
    </row>
    <row r="37519" spans="1:141" s="116" customFormat="1">
      <c r="A37519" s="136"/>
      <c r="CM37519" s="111"/>
      <c r="CQ37519" s="111"/>
      <c r="EF37519"/>
      <c r="EG37519"/>
      <c r="EH37519"/>
      <c r="EI37519"/>
      <c r="EJ37519"/>
      <c r="EK37519"/>
    </row>
    <row r="37520" spans="1:141" s="116" customFormat="1">
      <c r="A37520" s="136"/>
      <c r="CM37520" s="111"/>
      <c r="CQ37520" s="111"/>
      <c r="EF37520"/>
      <c r="EG37520"/>
      <c r="EH37520"/>
      <c r="EI37520"/>
      <c r="EJ37520"/>
      <c r="EK37520"/>
    </row>
    <row r="37521" spans="1:141" s="116" customFormat="1">
      <c r="A37521" s="136"/>
      <c r="CM37521" s="111"/>
      <c r="CQ37521" s="111"/>
      <c r="EF37521"/>
      <c r="EG37521"/>
      <c r="EH37521"/>
      <c r="EI37521"/>
      <c r="EJ37521"/>
      <c r="EK37521"/>
    </row>
    <row r="37522" spans="1:141" s="116" customFormat="1">
      <c r="A37522" s="136"/>
      <c r="CM37522" s="111"/>
      <c r="CQ37522" s="111"/>
      <c r="EF37522"/>
      <c r="EG37522"/>
      <c r="EH37522"/>
      <c r="EI37522"/>
      <c r="EJ37522"/>
      <c r="EK37522"/>
    </row>
    <row r="37523" spans="1:141" s="116" customFormat="1">
      <c r="A37523" s="136"/>
      <c r="CM37523" s="111"/>
      <c r="CQ37523" s="111"/>
      <c r="EF37523"/>
      <c r="EG37523"/>
      <c r="EH37523"/>
      <c r="EI37523"/>
      <c r="EJ37523"/>
      <c r="EK37523"/>
    </row>
    <row r="37524" spans="1:141" s="116" customFormat="1">
      <c r="A37524" s="136"/>
      <c r="CM37524" s="111"/>
      <c r="CQ37524" s="111"/>
      <c r="EF37524"/>
      <c r="EG37524"/>
      <c r="EH37524"/>
      <c r="EI37524"/>
      <c r="EJ37524"/>
      <c r="EK37524"/>
    </row>
    <row r="37525" spans="1:141" s="116" customFormat="1">
      <c r="A37525" s="136"/>
      <c r="CM37525" s="111"/>
      <c r="CQ37525" s="111"/>
      <c r="EF37525"/>
      <c r="EG37525"/>
      <c r="EH37525"/>
      <c r="EI37525"/>
      <c r="EJ37525"/>
      <c r="EK37525"/>
    </row>
    <row r="37526" spans="1:141" s="116" customFormat="1">
      <c r="A37526" s="136"/>
      <c r="CM37526" s="111"/>
      <c r="CQ37526" s="111"/>
      <c r="EF37526"/>
      <c r="EG37526"/>
      <c r="EH37526"/>
      <c r="EI37526"/>
      <c r="EJ37526"/>
      <c r="EK37526"/>
    </row>
    <row r="37527" spans="1:141" s="116" customFormat="1">
      <c r="A37527" s="136"/>
      <c r="CM37527" s="111"/>
      <c r="CQ37527" s="111"/>
      <c r="EF37527"/>
      <c r="EG37527"/>
      <c r="EH37527"/>
      <c r="EI37527"/>
      <c r="EJ37527"/>
      <c r="EK37527"/>
    </row>
    <row r="37528" spans="1:141" s="116" customFormat="1">
      <c r="A37528" s="136"/>
      <c r="CM37528" s="111"/>
      <c r="CQ37528" s="111"/>
      <c r="EF37528"/>
      <c r="EG37528"/>
      <c r="EH37528"/>
      <c r="EI37528"/>
      <c r="EJ37528"/>
      <c r="EK37528"/>
    </row>
    <row r="37529" spans="1:141" s="116" customFormat="1">
      <c r="A37529" s="136"/>
      <c r="CM37529" s="111"/>
      <c r="CQ37529" s="111"/>
      <c r="EF37529"/>
      <c r="EG37529"/>
      <c r="EH37529"/>
      <c r="EI37529"/>
      <c r="EJ37529"/>
      <c r="EK37529"/>
    </row>
    <row r="37530" spans="1:141" s="116" customFormat="1">
      <c r="A37530" s="136"/>
      <c r="CM37530" s="111"/>
      <c r="CQ37530" s="111"/>
      <c r="EF37530"/>
      <c r="EG37530"/>
      <c r="EH37530"/>
      <c r="EI37530"/>
      <c r="EJ37530"/>
      <c r="EK37530"/>
    </row>
    <row r="37531" spans="1:141" s="116" customFormat="1">
      <c r="A37531" s="136"/>
      <c r="CM37531" s="111"/>
      <c r="CQ37531" s="111"/>
      <c r="EF37531"/>
      <c r="EG37531"/>
      <c r="EH37531"/>
      <c r="EI37531"/>
      <c r="EJ37531"/>
      <c r="EK37531"/>
    </row>
    <row r="37532" spans="1:141" s="116" customFormat="1">
      <c r="A37532" s="136"/>
      <c r="CM37532" s="111"/>
      <c r="CQ37532" s="111"/>
      <c r="EF37532"/>
      <c r="EG37532"/>
      <c r="EH37532"/>
      <c r="EI37532"/>
      <c r="EJ37532"/>
      <c r="EK37532"/>
    </row>
    <row r="37533" spans="1:141" s="116" customFormat="1">
      <c r="A37533" s="136"/>
      <c r="CM37533" s="111"/>
      <c r="CQ37533" s="111"/>
      <c r="EF37533"/>
      <c r="EG37533"/>
      <c r="EH37533"/>
      <c r="EI37533"/>
      <c r="EJ37533"/>
      <c r="EK37533"/>
    </row>
    <row r="37534" spans="1:141" s="116" customFormat="1">
      <c r="A37534" s="136"/>
      <c r="CM37534" s="111"/>
      <c r="CQ37534" s="111"/>
      <c r="EF37534"/>
      <c r="EG37534"/>
      <c r="EH37534"/>
      <c r="EI37534"/>
      <c r="EJ37534"/>
      <c r="EK37534"/>
    </row>
    <row r="37535" spans="1:141" s="116" customFormat="1">
      <c r="A37535" s="136"/>
      <c r="CM37535" s="111"/>
      <c r="CQ37535" s="111"/>
      <c r="EF37535"/>
      <c r="EG37535"/>
      <c r="EH37535"/>
      <c r="EI37535"/>
      <c r="EJ37535"/>
      <c r="EK37535"/>
    </row>
    <row r="37536" spans="1:141" s="116" customFormat="1">
      <c r="A37536" s="136"/>
      <c r="CM37536" s="111"/>
      <c r="CQ37536" s="111"/>
      <c r="EF37536"/>
      <c r="EG37536"/>
      <c r="EH37536"/>
      <c r="EI37536"/>
      <c r="EJ37536"/>
      <c r="EK37536"/>
    </row>
    <row r="37537" spans="1:141" s="116" customFormat="1">
      <c r="A37537" s="136"/>
      <c r="CM37537" s="111"/>
      <c r="CQ37537" s="111"/>
      <c r="EF37537"/>
      <c r="EG37537"/>
      <c r="EH37537"/>
      <c r="EI37537"/>
      <c r="EJ37537"/>
      <c r="EK37537"/>
    </row>
    <row r="37538" spans="1:141" s="116" customFormat="1">
      <c r="A37538" s="136"/>
      <c r="CM37538" s="111"/>
      <c r="CQ37538" s="111"/>
      <c r="EF37538"/>
      <c r="EG37538"/>
      <c r="EH37538"/>
      <c r="EI37538"/>
      <c r="EJ37538"/>
      <c r="EK37538"/>
    </row>
    <row r="37539" spans="1:141" s="116" customFormat="1">
      <c r="A37539" s="136"/>
      <c r="CM37539" s="111"/>
      <c r="CQ37539" s="111"/>
      <c r="EF37539"/>
      <c r="EG37539"/>
      <c r="EH37539"/>
      <c r="EI37539"/>
      <c r="EJ37539"/>
      <c r="EK37539"/>
    </row>
    <row r="37540" spans="1:141" s="116" customFormat="1">
      <c r="A37540" s="136"/>
      <c r="CM37540" s="111"/>
      <c r="CQ37540" s="111"/>
      <c r="EF37540"/>
      <c r="EG37540"/>
      <c r="EH37540"/>
      <c r="EI37540"/>
      <c r="EJ37540"/>
      <c r="EK37540"/>
    </row>
    <row r="37541" spans="1:141" s="116" customFormat="1">
      <c r="A37541" s="136"/>
      <c r="CM37541" s="111"/>
      <c r="CQ37541" s="111"/>
      <c r="EF37541"/>
      <c r="EG37541"/>
      <c r="EH37541"/>
      <c r="EI37541"/>
      <c r="EJ37541"/>
      <c r="EK37541"/>
    </row>
    <row r="37542" spans="1:141" s="116" customFormat="1">
      <c r="A37542" s="136"/>
      <c r="CM37542" s="111"/>
      <c r="CQ37542" s="111"/>
      <c r="EF37542"/>
      <c r="EG37542"/>
      <c r="EH37542"/>
      <c r="EI37542"/>
      <c r="EJ37542"/>
      <c r="EK37542"/>
    </row>
    <row r="37543" spans="1:141" s="116" customFormat="1">
      <c r="A37543" s="136"/>
      <c r="CM37543" s="111"/>
      <c r="CQ37543" s="111"/>
      <c r="EF37543"/>
      <c r="EG37543"/>
      <c r="EH37543"/>
      <c r="EI37543"/>
      <c r="EJ37543"/>
      <c r="EK37543"/>
    </row>
    <row r="37544" spans="1:141" s="116" customFormat="1">
      <c r="A37544" s="136"/>
      <c r="CM37544" s="111"/>
      <c r="CQ37544" s="111"/>
      <c r="EF37544"/>
      <c r="EG37544"/>
      <c r="EH37544"/>
      <c r="EI37544"/>
      <c r="EJ37544"/>
      <c r="EK37544"/>
    </row>
    <row r="37545" spans="1:141" s="116" customFormat="1">
      <c r="A37545" s="136"/>
      <c r="CM37545" s="111"/>
      <c r="CQ37545" s="111"/>
      <c r="EF37545"/>
      <c r="EG37545"/>
      <c r="EH37545"/>
      <c r="EI37545"/>
      <c r="EJ37545"/>
      <c r="EK37545"/>
    </row>
    <row r="37546" spans="1:141" s="116" customFormat="1">
      <c r="A37546" s="136"/>
      <c r="CM37546" s="111"/>
      <c r="CQ37546" s="111"/>
      <c r="EF37546"/>
      <c r="EG37546"/>
      <c r="EH37546"/>
      <c r="EI37546"/>
      <c r="EJ37546"/>
      <c r="EK37546"/>
    </row>
    <row r="37547" spans="1:141" s="116" customFormat="1">
      <c r="A37547" s="136"/>
      <c r="CM37547" s="111"/>
      <c r="CQ37547" s="111"/>
      <c r="EF37547"/>
      <c r="EG37547"/>
      <c r="EH37547"/>
      <c r="EI37547"/>
      <c r="EJ37547"/>
      <c r="EK37547"/>
    </row>
    <row r="37548" spans="1:141" s="116" customFormat="1">
      <c r="A37548" s="136"/>
      <c r="CM37548" s="111"/>
      <c r="CQ37548" s="111"/>
      <c r="EF37548"/>
      <c r="EG37548"/>
      <c r="EH37548"/>
      <c r="EI37548"/>
      <c r="EJ37548"/>
      <c r="EK37548"/>
    </row>
    <row r="37549" spans="1:141" s="116" customFormat="1">
      <c r="A37549" s="136"/>
      <c r="CM37549" s="111"/>
      <c r="CQ37549" s="111"/>
      <c r="EF37549"/>
      <c r="EG37549"/>
      <c r="EH37549"/>
      <c r="EI37549"/>
      <c r="EJ37549"/>
      <c r="EK37549"/>
    </row>
    <row r="37550" spans="1:141" s="116" customFormat="1">
      <c r="A37550" s="136"/>
      <c r="CM37550" s="111"/>
      <c r="CQ37550" s="111"/>
      <c r="EF37550"/>
      <c r="EG37550"/>
      <c r="EH37550"/>
      <c r="EI37550"/>
      <c r="EJ37550"/>
      <c r="EK37550"/>
    </row>
    <row r="37551" spans="1:141" s="116" customFormat="1">
      <c r="A37551" s="136"/>
      <c r="CM37551" s="111"/>
      <c r="CQ37551" s="111"/>
      <c r="EF37551"/>
      <c r="EG37551"/>
      <c r="EH37551"/>
      <c r="EI37551"/>
      <c r="EJ37551"/>
      <c r="EK37551"/>
    </row>
    <row r="37552" spans="1:141" s="116" customFormat="1">
      <c r="A37552" s="136"/>
      <c r="CM37552" s="111"/>
      <c r="CQ37552" s="111"/>
      <c r="EF37552"/>
      <c r="EG37552"/>
      <c r="EH37552"/>
      <c r="EI37552"/>
      <c r="EJ37552"/>
      <c r="EK37552"/>
    </row>
    <row r="37553" spans="1:141" s="116" customFormat="1">
      <c r="A37553" s="136"/>
      <c r="CM37553" s="111"/>
      <c r="CQ37553" s="111"/>
      <c r="EF37553"/>
      <c r="EG37553"/>
      <c r="EH37553"/>
      <c r="EI37553"/>
      <c r="EJ37553"/>
      <c r="EK37553"/>
    </row>
    <row r="37554" spans="1:141" s="116" customFormat="1">
      <c r="A37554" s="136"/>
      <c r="CM37554" s="111"/>
      <c r="CQ37554" s="111"/>
      <c r="EF37554"/>
      <c r="EG37554"/>
      <c r="EH37554"/>
      <c r="EI37554"/>
      <c r="EJ37554"/>
      <c r="EK37554"/>
    </row>
    <row r="37555" spans="1:141" s="116" customFormat="1">
      <c r="A37555" s="136"/>
      <c r="CM37555" s="111"/>
      <c r="CQ37555" s="111"/>
      <c r="EF37555"/>
      <c r="EG37555"/>
      <c r="EH37555"/>
      <c r="EI37555"/>
      <c r="EJ37555"/>
      <c r="EK37555"/>
    </row>
    <row r="37556" spans="1:141" s="116" customFormat="1">
      <c r="A37556" s="136"/>
      <c r="CM37556" s="111"/>
      <c r="CQ37556" s="111"/>
      <c r="EF37556"/>
      <c r="EG37556"/>
      <c r="EH37556"/>
      <c r="EI37556"/>
      <c r="EJ37556"/>
      <c r="EK37556"/>
    </row>
    <row r="37557" spans="1:141" s="116" customFormat="1">
      <c r="A37557" s="136"/>
      <c r="CM37557" s="111"/>
      <c r="CQ37557" s="111"/>
      <c r="EF37557"/>
      <c r="EG37557"/>
      <c r="EH37557"/>
      <c r="EI37557"/>
      <c r="EJ37557"/>
      <c r="EK37557"/>
    </row>
    <row r="37558" spans="1:141" s="116" customFormat="1">
      <c r="A37558" s="136"/>
      <c r="CM37558" s="111"/>
      <c r="CQ37558" s="111"/>
      <c r="EF37558"/>
      <c r="EG37558"/>
      <c r="EH37558"/>
      <c r="EI37558"/>
      <c r="EJ37558"/>
      <c r="EK37558"/>
    </row>
    <row r="37559" spans="1:141" s="116" customFormat="1">
      <c r="A37559" s="136"/>
      <c r="CM37559" s="111"/>
      <c r="CQ37559" s="111"/>
      <c r="EF37559"/>
      <c r="EG37559"/>
      <c r="EH37559"/>
      <c r="EI37559"/>
      <c r="EJ37559"/>
      <c r="EK37559"/>
    </row>
    <row r="37560" spans="1:141" s="116" customFormat="1">
      <c r="A37560" s="136"/>
      <c r="CM37560" s="111"/>
      <c r="CQ37560" s="111"/>
      <c r="EF37560"/>
      <c r="EG37560"/>
      <c r="EH37560"/>
      <c r="EI37560"/>
      <c r="EJ37560"/>
      <c r="EK37560"/>
    </row>
    <row r="37561" spans="1:141" s="116" customFormat="1">
      <c r="A37561" s="136"/>
      <c r="CM37561" s="111"/>
      <c r="CQ37561" s="111"/>
      <c r="EF37561"/>
      <c r="EG37561"/>
      <c r="EH37561"/>
      <c r="EI37561"/>
      <c r="EJ37561"/>
      <c r="EK37561"/>
    </row>
    <row r="37562" spans="1:141" s="116" customFormat="1">
      <c r="A37562" s="136"/>
      <c r="CM37562" s="111"/>
      <c r="CQ37562" s="111"/>
      <c r="EF37562"/>
      <c r="EG37562"/>
      <c r="EH37562"/>
      <c r="EI37562"/>
      <c r="EJ37562"/>
      <c r="EK37562"/>
    </row>
    <row r="37563" spans="1:141" s="116" customFormat="1">
      <c r="A37563" s="136"/>
      <c r="CM37563" s="111"/>
      <c r="CQ37563" s="111"/>
      <c r="EF37563"/>
      <c r="EG37563"/>
      <c r="EH37563"/>
      <c r="EI37563"/>
      <c r="EJ37563"/>
      <c r="EK37563"/>
    </row>
    <row r="37564" spans="1:141" s="116" customFormat="1">
      <c r="A37564" s="136"/>
      <c r="CM37564" s="111"/>
      <c r="CQ37564" s="111"/>
      <c r="EF37564"/>
      <c r="EG37564"/>
      <c r="EH37564"/>
      <c r="EI37564"/>
      <c r="EJ37564"/>
      <c r="EK37564"/>
    </row>
    <row r="37565" spans="1:141" s="116" customFormat="1">
      <c r="A37565" s="136"/>
      <c r="CM37565" s="111"/>
      <c r="CQ37565" s="111"/>
      <c r="EF37565"/>
      <c r="EG37565"/>
      <c r="EH37565"/>
      <c r="EI37565"/>
      <c r="EJ37565"/>
      <c r="EK37565"/>
    </row>
    <row r="37566" spans="1:141" s="116" customFormat="1">
      <c r="A37566" s="136"/>
      <c r="CM37566" s="111"/>
      <c r="CQ37566" s="111"/>
      <c r="EF37566"/>
      <c r="EG37566"/>
      <c r="EH37566"/>
      <c r="EI37566"/>
      <c r="EJ37566"/>
      <c r="EK37566"/>
    </row>
    <row r="37567" spans="1:141" s="116" customFormat="1">
      <c r="A37567" s="136"/>
      <c r="CM37567" s="111"/>
      <c r="CQ37567" s="111"/>
      <c r="EF37567"/>
      <c r="EG37567"/>
      <c r="EH37567"/>
      <c r="EI37567"/>
      <c r="EJ37567"/>
      <c r="EK37567"/>
    </row>
    <row r="37568" spans="1:141" s="116" customFormat="1">
      <c r="A37568" s="136"/>
      <c r="CM37568" s="111"/>
      <c r="CQ37568" s="111"/>
      <c r="EF37568"/>
      <c r="EG37568"/>
      <c r="EH37568"/>
      <c r="EI37568"/>
      <c r="EJ37568"/>
      <c r="EK37568"/>
    </row>
    <row r="37569" spans="1:141" s="116" customFormat="1">
      <c r="A37569" s="136"/>
      <c r="CM37569" s="111"/>
      <c r="CQ37569" s="111"/>
      <c r="EF37569"/>
      <c r="EG37569"/>
      <c r="EH37569"/>
      <c r="EI37569"/>
      <c r="EJ37569"/>
      <c r="EK37569"/>
    </row>
    <row r="37570" spans="1:141" s="116" customFormat="1">
      <c r="A37570" s="136"/>
      <c r="CM37570" s="111"/>
      <c r="CQ37570" s="111"/>
      <c r="EF37570"/>
      <c r="EG37570"/>
      <c r="EH37570"/>
      <c r="EI37570"/>
      <c r="EJ37570"/>
      <c r="EK37570"/>
    </row>
    <row r="37571" spans="1:141" s="116" customFormat="1">
      <c r="A37571" s="136"/>
      <c r="CM37571" s="111"/>
      <c r="CQ37571" s="111"/>
      <c r="EF37571"/>
      <c r="EG37571"/>
      <c r="EH37571"/>
      <c r="EI37571"/>
      <c r="EJ37571"/>
      <c r="EK37571"/>
    </row>
    <row r="37572" spans="1:141" s="116" customFormat="1">
      <c r="A37572" s="136"/>
      <c r="CM37572" s="111"/>
      <c r="CQ37572" s="111"/>
      <c r="EF37572"/>
      <c r="EG37572"/>
      <c r="EH37572"/>
      <c r="EI37572"/>
      <c r="EJ37572"/>
      <c r="EK37572"/>
    </row>
    <row r="37573" spans="1:141" s="116" customFormat="1">
      <c r="A37573" s="136"/>
      <c r="CM37573" s="111"/>
      <c r="CQ37573" s="111"/>
      <c r="EF37573"/>
      <c r="EG37573"/>
      <c r="EH37573"/>
      <c r="EI37573"/>
      <c r="EJ37573"/>
      <c r="EK37573"/>
    </row>
    <row r="37574" spans="1:141" s="116" customFormat="1">
      <c r="A37574" s="136"/>
      <c r="CM37574" s="111"/>
      <c r="CQ37574" s="111"/>
      <c r="EF37574"/>
      <c r="EG37574"/>
      <c r="EH37574"/>
      <c r="EI37574"/>
      <c r="EJ37574"/>
      <c r="EK37574"/>
    </row>
    <row r="37575" spans="1:141" s="116" customFormat="1">
      <c r="A37575" s="136"/>
      <c r="CM37575" s="111"/>
      <c r="CQ37575" s="111"/>
      <c r="EF37575"/>
      <c r="EG37575"/>
      <c r="EH37575"/>
      <c r="EI37575"/>
      <c r="EJ37575"/>
      <c r="EK37575"/>
    </row>
    <row r="37576" spans="1:141" s="116" customFormat="1">
      <c r="A37576" s="136"/>
      <c r="CM37576" s="111"/>
      <c r="CQ37576" s="111"/>
      <c r="EF37576"/>
      <c r="EG37576"/>
      <c r="EH37576"/>
      <c r="EI37576"/>
      <c r="EJ37576"/>
      <c r="EK37576"/>
    </row>
    <row r="37577" spans="1:141" s="116" customFormat="1">
      <c r="A37577" s="136"/>
      <c r="CM37577" s="111"/>
      <c r="CQ37577" s="111"/>
      <c r="EF37577"/>
      <c r="EG37577"/>
      <c r="EH37577"/>
      <c r="EI37577"/>
      <c r="EJ37577"/>
      <c r="EK37577"/>
    </row>
    <row r="37578" spans="1:141" s="116" customFormat="1">
      <c r="A37578" s="136"/>
      <c r="CM37578" s="111"/>
      <c r="CQ37578" s="111"/>
      <c r="EF37578"/>
      <c r="EG37578"/>
      <c r="EH37578"/>
      <c r="EI37578"/>
      <c r="EJ37578"/>
      <c r="EK37578"/>
    </row>
    <row r="37579" spans="1:141" s="116" customFormat="1">
      <c r="A37579" s="136"/>
      <c r="CM37579" s="111"/>
      <c r="CQ37579" s="111"/>
      <c r="EF37579"/>
      <c r="EG37579"/>
      <c r="EH37579"/>
      <c r="EI37579"/>
      <c r="EJ37579"/>
      <c r="EK37579"/>
    </row>
    <row r="37580" spans="1:141" s="116" customFormat="1">
      <c r="A37580" s="136"/>
      <c r="CM37580" s="111"/>
      <c r="CQ37580" s="111"/>
      <c r="EF37580"/>
      <c r="EG37580"/>
      <c r="EH37580"/>
      <c r="EI37580"/>
      <c r="EJ37580"/>
      <c r="EK37580"/>
    </row>
    <row r="37581" spans="1:141" s="116" customFormat="1">
      <c r="A37581" s="136"/>
      <c r="CM37581" s="111"/>
      <c r="CQ37581" s="111"/>
      <c r="EF37581"/>
      <c r="EG37581"/>
      <c r="EH37581"/>
      <c r="EI37581"/>
      <c r="EJ37581"/>
      <c r="EK37581"/>
    </row>
    <row r="37582" spans="1:141" s="116" customFormat="1">
      <c r="A37582" s="136"/>
      <c r="CM37582" s="111"/>
      <c r="CQ37582" s="111"/>
      <c r="EF37582"/>
      <c r="EG37582"/>
      <c r="EH37582"/>
      <c r="EI37582"/>
      <c r="EJ37582"/>
      <c r="EK37582"/>
    </row>
    <row r="37583" spans="1:141" s="116" customFormat="1">
      <c r="A37583" s="136"/>
      <c r="CM37583" s="111"/>
      <c r="CQ37583" s="111"/>
      <c r="EF37583"/>
      <c r="EG37583"/>
      <c r="EH37583"/>
      <c r="EI37583"/>
      <c r="EJ37583"/>
      <c r="EK37583"/>
    </row>
    <row r="37584" spans="1:141" s="116" customFormat="1">
      <c r="A37584" s="136"/>
      <c r="CM37584" s="111"/>
      <c r="CQ37584" s="111"/>
      <c r="EF37584"/>
      <c r="EG37584"/>
      <c r="EH37584"/>
      <c r="EI37584"/>
      <c r="EJ37584"/>
      <c r="EK37584"/>
    </row>
    <row r="37585" spans="1:141" s="116" customFormat="1">
      <c r="A37585" s="136"/>
      <c r="CM37585" s="111"/>
      <c r="CQ37585" s="111"/>
      <c r="EF37585"/>
      <c r="EG37585"/>
      <c r="EH37585"/>
      <c r="EI37585"/>
      <c r="EJ37585"/>
      <c r="EK37585"/>
    </row>
    <row r="37586" spans="1:141" s="116" customFormat="1">
      <c r="A37586" s="136"/>
      <c r="CM37586" s="111"/>
      <c r="CQ37586" s="111"/>
      <c r="EF37586"/>
      <c r="EG37586"/>
      <c r="EH37586"/>
      <c r="EI37586"/>
      <c r="EJ37586"/>
      <c r="EK37586"/>
    </row>
    <row r="37587" spans="1:141" s="116" customFormat="1">
      <c r="A37587" s="136"/>
      <c r="CM37587" s="111"/>
      <c r="CQ37587" s="111"/>
      <c r="EF37587"/>
      <c r="EG37587"/>
      <c r="EH37587"/>
      <c r="EI37587"/>
      <c r="EJ37587"/>
      <c r="EK37587"/>
    </row>
    <row r="37588" spans="1:141" s="116" customFormat="1">
      <c r="A37588" s="136"/>
      <c r="CM37588" s="111"/>
      <c r="CQ37588" s="111"/>
      <c r="EF37588"/>
      <c r="EG37588"/>
      <c r="EH37588"/>
      <c r="EI37588"/>
      <c r="EJ37588"/>
      <c r="EK37588"/>
    </row>
    <row r="37589" spans="1:141" s="116" customFormat="1">
      <c r="A37589" s="136"/>
      <c r="CM37589" s="111"/>
      <c r="CQ37589" s="111"/>
      <c r="EF37589"/>
      <c r="EG37589"/>
      <c r="EH37589"/>
      <c r="EI37589"/>
      <c r="EJ37589"/>
      <c r="EK37589"/>
    </row>
    <row r="37590" spans="1:141" s="116" customFormat="1">
      <c r="A37590" s="136"/>
      <c r="CM37590" s="111"/>
      <c r="CQ37590" s="111"/>
      <c r="EF37590"/>
      <c r="EG37590"/>
      <c r="EH37590"/>
      <c r="EI37590"/>
      <c r="EJ37590"/>
      <c r="EK37590"/>
    </row>
    <row r="37591" spans="1:141" s="116" customFormat="1">
      <c r="A37591" s="136"/>
      <c r="CM37591" s="111"/>
      <c r="CQ37591" s="111"/>
      <c r="EF37591"/>
      <c r="EG37591"/>
      <c r="EH37591"/>
      <c r="EI37591"/>
      <c r="EJ37591"/>
      <c r="EK37591"/>
    </row>
    <row r="37592" spans="1:141" s="116" customFormat="1">
      <c r="A37592" s="136"/>
      <c r="CM37592" s="111"/>
      <c r="CQ37592" s="111"/>
      <c r="EF37592"/>
      <c r="EG37592"/>
      <c r="EH37592"/>
      <c r="EI37592"/>
      <c r="EJ37592"/>
      <c r="EK37592"/>
    </row>
    <row r="37593" spans="1:141" s="116" customFormat="1">
      <c r="A37593" s="136"/>
      <c r="CM37593" s="111"/>
      <c r="CQ37593" s="111"/>
      <c r="EF37593"/>
      <c r="EG37593"/>
      <c r="EH37593"/>
      <c r="EI37593"/>
      <c r="EJ37593"/>
      <c r="EK37593"/>
    </row>
    <row r="37594" spans="1:141" s="116" customFormat="1">
      <c r="A37594" s="136"/>
      <c r="CM37594" s="111"/>
      <c r="CQ37594" s="111"/>
      <c r="EF37594"/>
      <c r="EG37594"/>
      <c r="EH37594"/>
      <c r="EI37594"/>
      <c r="EJ37594"/>
      <c r="EK37594"/>
    </row>
    <row r="37595" spans="1:141" s="116" customFormat="1">
      <c r="A37595" s="136"/>
      <c r="CM37595" s="111"/>
      <c r="CQ37595" s="111"/>
      <c r="EF37595"/>
      <c r="EG37595"/>
      <c r="EH37595"/>
      <c r="EI37595"/>
      <c r="EJ37595"/>
      <c r="EK37595"/>
    </row>
    <row r="37596" spans="1:141" s="116" customFormat="1">
      <c r="A37596" s="136"/>
      <c r="CM37596" s="111"/>
      <c r="CQ37596" s="111"/>
      <c r="EF37596"/>
      <c r="EG37596"/>
      <c r="EH37596"/>
      <c r="EI37596"/>
      <c r="EJ37596"/>
      <c r="EK37596"/>
    </row>
    <row r="37597" spans="1:141" s="116" customFormat="1">
      <c r="A37597" s="136"/>
      <c r="CM37597" s="111"/>
      <c r="CQ37597" s="111"/>
      <c r="EF37597"/>
      <c r="EG37597"/>
      <c r="EH37597"/>
      <c r="EI37597"/>
      <c r="EJ37597"/>
      <c r="EK37597"/>
    </row>
    <row r="37598" spans="1:141" s="116" customFormat="1">
      <c r="A37598" s="136"/>
      <c r="CM37598" s="111"/>
      <c r="CQ37598" s="111"/>
      <c r="EF37598"/>
      <c r="EG37598"/>
      <c r="EH37598"/>
      <c r="EI37598"/>
      <c r="EJ37598"/>
      <c r="EK37598"/>
    </row>
    <row r="37599" spans="1:141" s="116" customFormat="1">
      <c r="A37599" s="136"/>
      <c r="CM37599" s="111"/>
      <c r="CQ37599" s="111"/>
      <c r="EF37599"/>
      <c r="EG37599"/>
      <c r="EH37599"/>
      <c r="EI37599"/>
      <c r="EJ37599"/>
      <c r="EK37599"/>
    </row>
    <row r="37600" spans="1:141" s="116" customFormat="1">
      <c r="A37600" s="136"/>
      <c r="CM37600" s="111"/>
      <c r="CQ37600" s="111"/>
      <c r="EF37600"/>
      <c r="EG37600"/>
      <c r="EH37600"/>
      <c r="EI37600"/>
      <c r="EJ37600"/>
      <c r="EK37600"/>
    </row>
    <row r="37601" spans="1:141" s="116" customFormat="1">
      <c r="A37601" s="136"/>
      <c r="CM37601" s="111"/>
      <c r="CQ37601" s="111"/>
      <c r="EF37601"/>
      <c r="EG37601"/>
      <c r="EH37601"/>
      <c r="EI37601"/>
      <c r="EJ37601"/>
      <c r="EK37601"/>
    </row>
    <row r="37602" spans="1:141" s="116" customFormat="1">
      <c r="A37602" s="136"/>
      <c r="CM37602" s="111"/>
      <c r="CQ37602" s="111"/>
      <c r="EF37602"/>
      <c r="EG37602"/>
      <c r="EH37602"/>
      <c r="EI37602"/>
      <c r="EJ37602"/>
      <c r="EK37602"/>
    </row>
    <row r="37603" spans="1:141" s="116" customFormat="1">
      <c r="A37603" s="136"/>
      <c r="CM37603" s="111"/>
      <c r="CQ37603" s="111"/>
      <c r="EF37603"/>
      <c r="EG37603"/>
      <c r="EH37603"/>
      <c r="EI37603"/>
      <c r="EJ37603"/>
      <c r="EK37603"/>
    </row>
    <row r="37604" spans="1:141" s="116" customFormat="1">
      <c r="A37604" s="136"/>
      <c r="CM37604" s="111"/>
      <c r="CQ37604" s="111"/>
      <c r="EF37604"/>
      <c r="EG37604"/>
      <c r="EH37604"/>
      <c r="EI37604"/>
      <c r="EJ37604"/>
      <c r="EK37604"/>
    </row>
    <row r="37605" spans="1:141" s="116" customFormat="1">
      <c r="A37605" s="136"/>
      <c r="CM37605" s="111"/>
      <c r="CQ37605" s="111"/>
      <c r="EF37605"/>
      <c r="EG37605"/>
      <c r="EH37605"/>
      <c r="EI37605"/>
      <c r="EJ37605"/>
      <c r="EK37605"/>
    </row>
    <row r="37606" spans="1:141" s="116" customFormat="1">
      <c r="A37606" s="136"/>
      <c r="CM37606" s="111"/>
      <c r="CQ37606" s="111"/>
      <c r="EF37606"/>
      <c r="EG37606"/>
      <c r="EH37606"/>
      <c r="EI37606"/>
      <c r="EJ37606"/>
      <c r="EK37606"/>
    </row>
    <row r="37607" spans="1:141" s="116" customFormat="1">
      <c r="A37607" s="136"/>
      <c r="CM37607" s="111"/>
      <c r="CQ37607" s="111"/>
      <c r="EF37607"/>
      <c r="EG37607"/>
      <c r="EH37607"/>
      <c r="EI37607"/>
      <c r="EJ37607"/>
      <c r="EK37607"/>
    </row>
    <row r="37608" spans="1:141" s="116" customFormat="1">
      <c r="A37608" s="136"/>
      <c r="CM37608" s="111"/>
      <c r="CQ37608" s="111"/>
      <c r="EF37608"/>
      <c r="EG37608"/>
      <c r="EH37608"/>
      <c r="EI37608"/>
      <c r="EJ37608"/>
      <c r="EK37608"/>
    </row>
    <row r="37609" spans="1:141" s="116" customFormat="1">
      <c r="A37609" s="136"/>
      <c r="CM37609" s="111"/>
      <c r="CQ37609" s="111"/>
      <c r="EF37609"/>
      <c r="EG37609"/>
      <c r="EH37609"/>
      <c r="EI37609"/>
      <c r="EJ37609"/>
      <c r="EK37609"/>
    </row>
    <row r="37610" spans="1:141" s="116" customFormat="1">
      <c r="A37610" s="136"/>
      <c r="CM37610" s="111"/>
      <c r="CQ37610" s="111"/>
      <c r="EF37610"/>
      <c r="EG37610"/>
      <c r="EH37610"/>
      <c r="EI37610"/>
      <c r="EJ37610"/>
      <c r="EK37610"/>
    </row>
    <row r="37611" spans="1:141" s="116" customFormat="1">
      <c r="A37611" s="136"/>
      <c r="CM37611" s="111"/>
      <c r="CQ37611" s="111"/>
      <c r="EF37611"/>
      <c r="EG37611"/>
      <c r="EH37611"/>
      <c r="EI37611"/>
      <c r="EJ37611"/>
      <c r="EK37611"/>
    </row>
    <row r="37612" spans="1:141" s="116" customFormat="1">
      <c r="A37612" s="136"/>
      <c r="CM37612" s="111"/>
      <c r="CQ37612" s="111"/>
      <c r="EF37612"/>
      <c r="EG37612"/>
      <c r="EH37612"/>
      <c r="EI37612"/>
      <c r="EJ37612"/>
      <c r="EK37612"/>
    </row>
    <row r="37613" spans="1:141" s="116" customFormat="1">
      <c r="A37613" s="136"/>
      <c r="CM37613" s="111"/>
      <c r="CQ37613" s="111"/>
      <c r="EF37613"/>
      <c r="EG37613"/>
      <c r="EH37613"/>
      <c r="EI37613"/>
      <c r="EJ37613"/>
      <c r="EK37613"/>
    </row>
    <row r="37614" spans="1:141" s="116" customFormat="1">
      <c r="A37614" s="136"/>
      <c r="CM37614" s="111"/>
      <c r="CQ37614" s="111"/>
      <c r="EF37614"/>
      <c r="EG37614"/>
      <c r="EH37614"/>
      <c r="EI37614"/>
      <c r="EJ37614"/>
      <c r="EK37614"/>
    </row>
    <row r="37615" spans="1:141" s="116" customFormat="1">
      <c r="A37615" s="136"/>
      <c r="CM37615" s="111"/>
      <c r="CQ37615" s="111"/>
      <c r="EF37615"/>
      <c r="EG37615"/>
      <c r="EH37615"/>
      <c r="EI37615"/>
      <c r="EJ37615"/>
      <c r="EK37615"/>
    </row>
    <row r="37616" spans="1:141" s="116" customFormat="1">
      <c r="A37616" s="136"/>
      <c r="CM37616" s="111"/>
      <c r="CQ37616" s="111"/>
      <c r="EF37616"/>
      <c r="EG37616"/>
      <c r="EH37616"/>
      <c r="EI37616"/>
      <c r="EJ37616"/>
      <c r="EK37616"/>
    </row>
    <row r="37617" spans="1:141" s="116" customFormat="1">
      <c r="A37617" s="136"/>
      <c r="CM37617" s="111"/>
      <c r="CQ37617" s="111"/>
      <c r="EF37617"/>
      <c r="EG37617"/>
      <c r="EH37617"/>
      <c r="EI37617"/>
      <c r="EJ37617"/>
      <c r="EK37617"/>
    </row>
    <row r="37618" spans="1:141" s="116" customFormat="1">
      <c r="A37618" s="136"/>
      <c r="CM37618" s="111"/>
      <c r="CQ37618" s="111"/>
      <c r="EF37618"/>
      <c r="EG37618"/>
      <c r="EH37618"/>
      <c r="EI37618"/>
      <c r="EJ37618"/>
      <c r="EK37618"/>
    </row>
    <row r="37619" spans="1:141" s="116" customFormat="1">
      <c r="A37619" s="136"/>
      <c r="CM37619" s="111"/>
      <c r="CQ37619" s="111"/>
      <c r="EF37619"/>
      <c r="EG37619"/>
      <c r="EH37619"/>
      <c r="EI37619"/>
      <c r="EJ37619"/>
      <c r="EK37619"/>
    </row>
    <row r="37620" spans="1:141" s="116" customFormat="1">
      <c r="A37620" s="136"/>
      <c r="CM37620" s="111"/>
      <c r="CQ37620" s="111"/>
      <c r="EF37620"/>
      <c r="EG37620"/>
      <c r="EH37620"/>
      <c r="EI37620"/>
      <c r="EJ37620"/>
      <c r="EK37620"/>
    </row>
    <row r="37621" spans="1:141" s="116" customFormat="1">
      <c r="A37621" s="136"/>
      <c r="CM37621" s="111"/>
      <c r="CQ37621" s="111"/>
      <c r="EF37621"/>
      <c r="EG37621"/>
      <c r="EH37621"/>
      <c r="EI37621"/>
      <c r="EJ37621"/>
      <c r="EK37621"/>
    </row>
    <row r="37622" spans="1:141" s="116" customFormat="1">
      <c r="A37622" s="136"/>
      <c r="CM37622" s="111"/>
      <c r="CQ37622" s="111"/>
      <c r="EF37622"/>
      <c r="EG37622"/>
      <c r="EH37622"/>
      <c r="EI37622"/>
      <c r="EJ37622"/>
      <c r="EK37622"/>
    </row>
    <row r="37623" spans="1:141" s="116" customFormat="1">
      <c r="A37623" s="136"/>
      <c r="CM37623" s="111"/>
      <c r="CQ37623" s="111"/>
      <c r="EF37623"/>
      <c r="EG37623"/>
      <c r="EH37623"/>
      <c r="EI37623"/>
      <c r="EJ37623"/>
      <c r="EK37623"/>
    </row>
    <row r="37624" spans="1:141" s="116" customFormat="1">
      <c r="A37624" s="136"/>
      <c r="CM37624" s="111"/>
      <c r="CQ37624" s="111"/>
      <c r="EF37624"/>
      <c r="EG37624"/>
      <c r="EH37624"/>
      <c r="EI37624"/>
      <c r="EJ37624"/>
      <c r="EK37624"/>
    </row>
    <row r="37625" spans="1:141" s="116" customFormat="1">
      <c r="A37625" s="136"/>
      <c r="CM37625" s="111"/>
      <c r="CQ37625" s="111"/>
      <c r="EF37625"/>
      <c r="EG37625"/>
      <c r="EH37625"/>
      <c r="EI37625"/>
      <c r="EJ37625"/>
      <c r="EK37625"/>
    </row>
    <row r="37626" spans="1:141" s="116" customFormat="1">
      <c r="A37626" s="136"/>
      <c r="CM37626" s="111"/>
      <c r="CQ37626" s="111"/>
      <c r="EF37626"/>
      <c r="EG37626"/>
      <c r="EH37626"/>
      <c r="EI37626"/>
      <c r="EJ37626"/>
      <c r="EK37626"/>
    </row>
    <row r="37627" spans="1:141" s="116" customFormat="1">
      <c r="A37627" s="136"/>
      <c r="CM37627" s="111"/>
      <c r="CQ37627" s="111"/>
      <c r="EF37627"/>
      <c r="EG37627"/>
      <c r="EH37627"/>
      <c r="EI37627"/>
      <c r="EJ37627"/>
      <c r="EK37627"/>
    </row>
    <row r="37628" spans="1:141" s="116" customFormat="1">
      <c r="A37628" s="136"/>
      <c r="CM37628" s="111"/>
      <c r="CQ37628" s="111"/>
      <c r="EF37628"/>
      <c r="EG37628"/>
      <c r="EH37628"/>
      <c r="EI37628"/>
      <c r="EJ37628"/>
      <c r="EK37628"/>
    </row>
    <row r="37629" spans="1:141" s="116" customFormat="1">
      <c r="A37629" s="136"/>
      <c r="CM37629" s="111"/>
      <c r="CQ37629" s="111"/>
      <c r="EF37629"/>
      <c r="EG37629"/>
      <c r="EH37629"/>
      <c r="EI37629"/>
      <c r="EJ37629"/>
      <c r="EK37629"/>
    </row>
    <row r="37630" spans="1:141" s="116" customFormat="1">
      <c r="A37630" s="136"/>
      <c r="CM37630" s="111"/>
      <c r="CQ37630" s="111"/>
      <c r="EF37630"/>
      <c r="EG37630"/>
      <c r="EH37630"/>
      <c r="EI37630"/>
      <c r="EJ37630"/>
      <c r="EK37630"/>
    </row>
    <row r="37631" spans="1:141" s="116" customFormat="1">
      <c r="A37631" s="136"/>
      <c r="CM37631" s="111"/>
      <c r="CQ37631" s="111"/>
      <c r="EF37631"/>
      <c r="EG37631"/>
      <c r="EH37631"/>
      <c r="EI37631"/>
      <c r="EJ37631"/>
      <c r="EK37631"/>
    </row>
    <row r="37632" spans="1:141" s="116" customFormat="1">
      <c r="A37632" s="136"/>
      <c r="CM37632" s="111"/>
      <c r="CQ37632" s="111"/>
      <c r="EF37632"/>
      <c r="EG37632"/>
      <c r="EH37632"/>
      <c r="EI37632"/>
      <c r="EJ37632"/>
      <c r="EK37632"/>
    </row>
    <row r="37633" spans="1:141" s="116" customFormat="1">
      <c r="A37633" s="136"/>
      <c r="CM37633" s="111"/>
      <c r="CQ37633" s="111"/>
      <c r="EF37633"/>
      <c r="EG37633"/>
      <c r="EH37633"/>
      <c r="EI37633"/>
      <c r="EJ37633"/>
      <c r="EK37633"/>
    </row>
    <row r="37634" spans="1:141" s="116" customFormat="1">
      <c r="A37634" s="136"/>
      <c r="CM37634" s="111"/>
      <c r="CQ37634" s="111"/>
      <c r="EF37634"/>
      <c r="EG37634"/>
      <c r="EH37634"/>
      <c r="EI37634"/>
      <c r="EJ37634"/>
      <c r="EK37634"/>
    </row>
    <row r="37635" spans="1:141" s="116" customFormat="1">
      <c r="A37635" s="136"/>
      <c r="CM37635" s="111"/>
      <c r="CQ37635" s="111"/>
      <c r="EF37635"/>
      <c r="EG37635"/>
      <c r="EH37635"/>
      <c r="EI37635"/>
      <c r="EJ37635"/>
      <c r="EK37635"/>
    </row>
    <row r="37636" spans="1:141" s="116" customFormat="1">
      <c r="A37636" s="136"/>
      <c r="CM37636" s="111"/>
      <c r="CQ37636" s="111"/>
      <c r="EF37636"/>
      <c r="EG37636"/>
      <c r="EH37636"/>
      <c r="EI37636"/>
      <c r="EJ37636"/>
      <c r="EK37636"/>
    </row>
    <row r="37637" spans="1:141" s="116" customFormat="1">
      <c r="A37637" s="136"/>
      <c r="CM37637" s="111"/>
      <c r="CQ37637" s="111"/>
      <c r="EF37637"/>
      <c r="EG37637"/>
      <c r="EH37637"/>
      <c r="EI37637"/>
      <c r="EJ37637"/>
      <c r="EK37637"/>
    </row>
    <row r="37638" spans="1:141" s="116" customFormat="1">
      <c r="A37638" s="136"/>
      <c r="CM37638" s="111"/>
      <c r="CQ37638" s="111"/>
      <c r="EF37638"/>
      <c r="EG37638"/>
      <c r="EH37638"/>
      <c r="EI37638"/>
      <c r="EJ37638"/>
      <c r="EK37638"/>
    </row>
    <row r="37639" spans="1:141" s="116" customFormat="1">
      <c r="A37639" s="136"/>
      <c r="CM37639" s="111"/>
      <c r="CQ37639" s="111"/>
      <c r="EF37639"/>
      <c r="EG37639"/>
      <c r="EH37639"/>
      <c r="EI37639"/>
      <c r="EJ37639"/>
      <c r="EK37639"/>
    </row>
    <row r="37640" spans="1:141" s="116" customFormat="1">
      <c r="A37640" s="136"/>
      <c r="CM37640" s="111"/>
      <c r="CQ37640" s="111"/>
      <c r="EF37640"/>
      <c r="EG37640"/>
      <c r="EH37640"/>
      <c r="EI37640"/>
      <c r="EJ37640"/>
      <c r="EK37640"/>
    </row>
    <row r="37641" spans="1:141" s="116" customFormat="1">
      <c r="A37641" s="136"/>
      <c r="CM37641" s="111"/>
      <c r="CQ37641" s="111"/>
      <c r="EF37641"/>
      <c r="EG37641"/>
      <c r="EH37641"/>
      <c r="EI37641"/>
      <c r="EJ37641"/>
      <c r="EK37641"/>
    </row>
    <row r="37642" spans="1:141" s="116" customFormat="1">
      <c r="A37642" s="136"/>
      <c r="CM37642" s="111"/>
      <c r="CQ37642" s="111"/>
      <c r="EF37642"/>
      <c r="EG37642"/>
      <c r="EH37642"/>
      <c r="EI37642"/>
      <c r="EJ37642"/>
      <c r="EK37642"/>
    </row>
    <row r="37643" spans="1:141" s="116" customFormat="1">
      <c r="A37643" s="136"/>
      <c r="CM37643" s="111"/>
      <c r="CQ37643" s="111"/>
      <c r="EF37643"/>
      <c r="EG37643"/>
      <c r="EH37643"/>
      <c r="EI37643"/>
      <c r="EJ37643"/>
      <c r="EK37643"/>
    </row>
    <row r="37644" spans="1:141" s="116" customFormat="1">
      <c r="A37644" s="136"/>
      <c r="CM37644" s="111"/>
      <c r="CQ37644" s="111"/>
      <c r="EF37644"/>
      <c r="EG37644"/>
      <c r="EH37644"/>
      <c r="EI37644"/>
      <c r="EJ37644"/>
      <c r="EK37644"/>
    </row>
    <row r="37645" spans="1:141" s="116" customFormat="1">
      <c r="A37645" s="136"/>
      <c r="CM37645" s="111"/>
      <c r="CQ37645" s="111"/>
      <c r="EF37645"/>
      <c r="EG37645"/>
      <c r="EH37645"/>
      <c r="EI37645"/>
      <c r="EJ37645"/>
      <c r="EK37645"/>
    </row>
    <row r="37646" spans="1:141" s="116" customFormat="1">
      <c r="A37646" s="136"/>
      <c r="CM37646" s="111"/>
      <c r="CQ37646" s="111"/>
      <c r="EF37646"/>
      <c r="EG37646"/>
      <c r="EH37646"/>
      <c r="EI37646"/>
      <c r="EJ37646"/>
      <c r="EK37646"/>
    </row>
    <row r="37647" spans="1:141" s="116" customFormat="1">
      <c r="A37647" s="136"/>
      <c r="CM37647" s="111"/>
      <c r="CQ37647" s="111"/>
      <c r="EF37647"/>
      <c r="EG37647"/>
      <c r="EH37647"/>
      <c r="EI37647"/>
      <c r="EJ37647"/>
      <c r="EK37647"/>
    </row>
    <row r="37648" spans="1:141" s="116" customFormat="1">
      <c r="A37648" s="136"/>
      <c r="CM37648" s="111"/>
      <c r="CQ37648" s="111"/>
      <c r="EF37648"/>
      <c r="EG37648"/>
      <c r="EH37648"/>
      <c r="EI37648"/>
      <c r="EJ37648"/>
      <c r="EK37648"/>
    </row>
    <row r="37649" spans="1:141" s="116" customFormat="1">
      <c r="A37649" s="136"/>
      <c r="CM37649" s="111"/>
      <c r="CQ37649" s="111"/>
      <c r="EF37649"/>
      <c r="EG37649"/>
      <c r="EH37649"/>
      <c r="EI37649"/>
      <c r="EJ37649"/>
      <c r="EK37649"/>
    </row>
    <row r="37650" spans="1:141" s="116" customFormat="1">
      <c r="A37650" s="136"/>
      <c r="CM37650" s="111"/>
      <c r="CQ37650" s="111"/>
      <c r="EF37650"/>
      <c r="EG37650"/>
      <c r="EH37650"/>
      <c r="EI37650"/>
      <c r="EJ37650"/>
      <c r="EK37650"/>
    </row>
    <row r="37651" spans="1:141" s="116" customFormat="1">
      <c r="A37651" s="136"/>
      <c r="CM37651" s="111"/>
      <c r="CQ37651" s="111"/>
      <c r="EF37651"/>
      <c r="EG37651"/>
      <c r="EH37651"/>
      <c r="EI37651"/>
      <c r="EJ37651"/>
      <c r="EK37651"/>
    </row>
    <row r="37652" spans="1:141" s="116" customFormat="1">
      <c r="A37652" s="136"/>
      <c r="CM37652" s="111"/>
      <c r="CQ37652" s="111"/>
      <c r="EF37652"/>
      <c r="EG37652"/>
      <c r="EH37652"/>
      <c r="EI37652"/>
      <c r="EJ37652"/>
      <c r="EK37652"/>
    </row>
    <row r="37653" spans="1:141" s="116" customFormat="1">
      <c r="A37653" s="136"/>
      <c r="CM37653" s="111"/>
      <c r="CQ37653" s="111"/>
      <c r="EF37653"/>
      <c r="EG37653"/>
      <c r="EH37653"/>
      <c r="EI37653"/>
      <c r="EJ37653"/>
      <c r="EK37653"/>
    </row>
    <row r="37654" spans="1:141" s="116" customFormat="1">
      <c r="A37654" s="136"/>
      <c r="CM37654" s="111"/>
      <c r="CQ37654" s="111"/>
      <c r="EF37654"/>
      <c r="EG37654"/>
      <c r="EH37654"/>
      <c r="EI37654"/>
      <c r="EJ37654"/>
      <c r="EK37654"/>
    </row>
    <row r="37655" spans="1:141" s="116" customFormat="1">
      <c r="A37655" s="136"/>
      <c r="CM37655" s="111"/>
      <c r="CQ37655" s="111"/>
      <c r="EF37655"/>
      <c r="EG37655"/>
      <c r="EH37655"/>
      <c r="EI37655"/>
      <c r="EJ37655"/>
      <c r="EK37655"/>
    </row>
    <row r="37656" spans="1:141" s="116" customFormat="1">
      <c r="A37656" s="136"/>
      <c r="CM37656" s="111"/>
      <c r="CQ37656" s="111"/>
      <c r="EF37656"/>
      <c r="EG37656"/>
      <c r="EH37656"/>
      <c r="EI37656"/>
      <c r="EJ37656"/>
      <c r="EK37656"/>
    </row>
    <row r="37657" spans="1:141" s="116" customFormat="1">
      <c r="A37657" s="136"/>
      <c r="CM37657" s="111"/>
      <c r="CQ37657" s="111"/>
      <c r="EF37657"/>
      <c r="EG37657"/>
      <c r="EH37657"/>
      <c r="EI37657"/>
      <c r="EJ37657"/>
      <c r="EK37657"/>
    </row>
    <row r="37658" spans="1:141" s="116" customFormat="1">
      <c r="A37658" s="136"/>
      <c r="CM37658" s="111"/>
      <c r="CQ37658" s="111"/>
      <c r="EF37658"/>
      <c r="EG37658"/>
      <c r="EH37658"/>
      <c r="EI37658"/>
      <c r="EJ37658"/>
      <c r="EK37658"/>
    </row>
    <row r="37659" spans="1:141" s="116" customFormat="1">
      <c r="A37659" s="136"/>
      <c r="CM37659" s="111"/>
      <c r="CQ37659" s="111"/>
      <c r="EF37659"/>
      <c r="EG37659"/>
      <c r="EH37659"/>
      <c r="EI37659"/>
      <c r="EJ37659"/>
      <c r="EK37659"/>
    </row>
    <row r="37660" spans="1:141" s="116" customFormat="1">
      <c r="A37660" s="136"/>
      <c r="CM37660" s="111"/>
      <c r="CQ37660" s="111"/>
      <c r="EF37660"/>
      <c r="EG37660"/>
      <c r="EH37660"/>
      <c r="EI37660"/>
      <c r="EJ37660"/>
      <c r="EK37660"/>
    </row>
    <row r="37661" spans="1:141" s="116" customFormat="1">
      <c r="A37661" s="136"/>
      <c r="CM37661" s="111"/>
      <c r="CQ37661" s="111"/>
      <c r="EF37661"/>
      <c r="EG37661"/>
      <c r="EH37661"/>
      <c r="EI37661"/>
      <c r="EJ37661"/>
      <c r="EK37661"/>
    </row>
    <row r="37662" spans="1:141" s="116" customFormat="1">
      <c r="A37662" s="136"/>
      <c r="CM37662" s="111"/>
      <c r="CQ37662" s="111"/>
      <c r="EF37662"/>
      <c r="EG37662"/>
      <c r="EH37662"/>
      <c r="EI37662"/>
      <c r="EJ37662"/>
      <c r="EK37662"/>
    </row>
    <row r="37663" spans="1:141" s="116" customFormat="1">
      <c r="A37663" s="136"/>
      <c r="CM37663" s="111"/>
      <c r="CQ37663" s="111"/>
      <c r="EF37663"/>
      <c r="EG37663"/>
      <c r="EH37663"/>
      <c r="EI37663"/>
      <c r="EJ37663"/>
      <c r="EK37663"/>
    </row>
    <row r="37664" spans="1:141" s="116" customFormat="1">
      <c r="A37664" s="136"/>
      <c r="CM37664" s="111"/>
      <c r="CQ37664" s="111"/>
      <c r="EF37664"/>
      <c r="EG37664"/>
      <c r="EH37664"/>
      <c r="EI37664"/>
      <c r="EJ37664"/>
      <c r="EK37664"/>
    </row>
    <row r="37665" spans="1:141" s="116" customFormat="1">
      <c r="A37665" s="136"/>
      <c r="CM37665" s="111"/>
      <c r="CQ37665" s="111"/>
      <c r="EF37665"/>
      <c r="EG37665"/>
      <c r="EH37665"/>
      <c r="EI37665"/>
      <c r="EJ37665"/>
      <c r="EK37665"/>
    </row>
    <row r="37666" spans="1:141" s="116" customFormat="1">
      <c r="A37666" s="136"/>
      <c r="CM37666" s="111"/>
      <c r="CQ37666" s="111"/>
      <c r="EF37666"/>
      <c r="EG37666"/>
      <c r="EH37666"/>
      <c r="EI37666"/>
      <c r="EJ37666"/>
      <c r="EK37666"/>
    </row>
    <row r="37667" spans="1:141" s="116" customFormat="1">
      <c r="A37667" s="136"/>
      <c r="CM37667" s="111"/>
      <c r="CQ37667" s="111"/>
      <c r="EF37667"/>
      <c r="EG37667"/>
      <c r="EH37667"/>
      <c r="EI37667"/>
      <c r="EJ37667"/>
      <c r="EK37667"/>
    </row>
    <row r="37668" spans="1:141" s="116" customFormat="1">
      <c r="A37668" s="136"/>
      <c r="CM37668" s="111"/>
      <c r="CQ37668" s="111"/>
      <c r="EF37668"/>
      <c r="EG37668"/>
      <c r="EH37668"/>
      <c r="EI37668"/>
      <c r="EJ37668"/>
      <c r="EK37668"/>
    </row>
    <row r="37669" spans="1:141" s="116" customFormat="1">
      <c r="A37669" s="136"/>
      <c r="CM37669" s="111"/>
      <c r="CQ37669" s="111"/>
      <c r="EF37669"/>
      <c r="EG37669"/>
      <c r="EH37669"/>
      <c r="EI37669"/>
      <c r="EJ37669"/>
      <c r="EK37669"/>
    </row>
    <row r="37670" spans="1:141" s="116" customFormat="1">
      <c r="A37670" s="136"/>
      <c r="CM37670" s="111"/>
      <c r="CQ37670" s="111"/>
      <c r="EF37670"/>
      <c r="EG37670"/>
      <c r="EH37670"/>
      <c r="EI37670"/>
      <c r="EJ37670"/>
      <c r="EK37670"/>
    </row>
    <row r="37671" spans="1:141" s="116" customFormat="1">
      <c r="A37671" s="136"/>
      <c r="CM37671" s="111"/>
      <c r="CQ37671" s="111"/>
      <c r="EF37671"/>
      <c r="EG37671"/>
      <c r="EH37671"/>
      <c r="EI37671"/>
      <c r="EJ37671"/>
      <c r="EK37671"/>
    </row>
    <row r="37672" spans="1:141" s="116" customFormat="1">
      <c r="A37672" s="136"/>
      <c r="CM37672" s="111"/>
      <c r="CQ37672" s="111"/>
      <c r="EF37672"/>
      <c r="EG37672"/>
      <c r="EH37672"/>
      <c r="EI37672"/>
      <c r="EJ37672"/>
      <c r="EK37672"/>
    </row>
    <row r="37673" spans="1:141" s="116" customFormat="1">
      <c r="A37673" s="136"/>
      <c r="CM37673" s="111"/>
      <c r="CQ37673" s="111"/>
      <c r="EF37673"/>
      <c r="EG37673"/>
      <c r="EH37673"/>
      <c r="EI37673"/>
      <c r="EJ37673"/>
      <c r="EK37673"/>
    </row>
    <row r="37674" spans="1:141" s="116" customFormat="1">
      <c r="A37674" s="136"/>
      <c r="CM37674" s="111"/>
      <c r="CQ37674" s="111"/>
      <c r="EF37674"/>
      <c r="EG37674"/>
      <c r="EH37674"/>
      <c r="EI37674"/>
      <c r="EJ37674"/>
      <c r="EK37674"/>
    </row>
    <row r="37675" spans="1:141" s="116" customFormat="1">
      <c r="A37675" s="136"/>
      <c r="CM37675" s="111"/>
      <c r="CQ37675" s="111"/>
      <c r="EF37675"/>
      <c r="EG37675"/>
      <c r="EH37675"/>
      <c r="EI37675"/>
      <c r="EJ37675"/>
      <c r="EK37675"/>
    </row>
    <row r="37676" spans="1:141" s="116" customFormat="1">
      <c r="A37676" s="136"/>
      <c r="CM37676" s="111"/>
      <c r="CQ37676" s="111"/>
      <c r="EF37676"/>
      <c r="EG37676"/>
      <c r="EH37676"/>
      <c r="EI37676"/>
      <c r="EJ37676"/>
      <c r="EK37676"/>
    </row>
    <row r="37677" spans="1:141" s="116" customFormat="1">
      <c r="A37677" s="136"/>
      <c r="CM37677" s="111"/>
      <c r="CQ37677" s="111"/>
      <c r="EF37677"/>
      <c r="EG37677"/>
      <c r="EH37677"/>
      <c r="EI37677"/>
      <c r="EJ37677"/>
      <c r="EK37677"/>
    </row>
    <row r="37678" spans="1:141" s="116" customFormat="1">
      <c r="A37678" s="136"/>
      <c r="CM37678" s="111"/>
      <c r="CQ37678" s="111"/>
      <c r="EF37678"/>
      <c r="EG37678"/>
      <c r="EH37678"/>
      <c r="EI37678"/>
      <c r="EJ37678"/>
      <c r="EK37678"/>
    </row>
    <row r="37679" spans="1:141" s="116" customFormat="1">
      <c r="A37679" s="136"/>
      <c r="CM37679" s="111"/>
      <c r="CQ37679" s="111"/>
      <c r="EF37679"/>
      <c r="EG37679"/>
      <c r="EH37679"/>
      <c r="EI37679"/>
      <c r="EJ37679"/>
      <c r="EK37679"/>
    </row>
    <row r="37680" spans="1:141" s="116" customFormat="1">
      <c r="A37680" s="136"/>
      <c r="CM37680" s="111"/>
      <c r="CQ37680" s="111"/>
      <c r="EF37680"/>
      <c r="EG37680"/>
      <c r="EH37680"/>
      <c r="EI37680"/>
      <c r="EJ37680"/>
      <c r="EK37680"/>
    </row>
    <row r="37681" spans="1:141" s="116" customFormat="1">
      <c r="A37681" s="136"/>
      <c r="CM37681" s="111"/>
      <c r="CQ37681" s="111"/>
      <c r="EF37681"/>
      <c r="EG37681"/>
      <c r="EH37681"/>
      <c r="EI37681"/>
      <c r="EJ37681"/>
      <c r="EK37681"/>
    </row>
    <row r="37682" spans="1:141" s="116" customFormat="1">
      <c r="A37682" s="136"/>
      <c r="CM37682" s="111"/>
      <c r="CQ37682" s="111"/>
      <c r="EF37682"/>
      <c r="EG37682"/>
      <c r="EH37682"/>
      <c r="EI37682"/>
      <c r="EJ37682"/>
      <c r="EK37682"/>
    </row>
    <row r="37683" spans="1:141" s="116" customFormat="1">
      <c r="A37683" s="136"/>
      <c r="CM37683" s="111"/>
      <c r="CQ37683" s="111"/>
      <c r="EF37683"/>
      <c r="EG37683"/>
      <c r="EH37683"/>
      <c r="EI37683"/>
      <c r="EJ37683"/>
      <c r="EK37683"/>
    </row>
    <row r="37684" spans="1:141" s="116" customFormat="1">
      <c r="A37684" s="136"/>
      <c r="CM37684" s="111"/>
      <c r="CQ37684" s="111"/>
      <c r="EF37684"/>
      <c r="EG37684"/>
      <c r="EH37684"/>
      <c r="EI37684"/>
      <c r="EJ37684"/>
      <c r="EK37684"/>
    </row>
    <row r="37685" spans="1:141" s="116" customFormat="1">
      <c r="A37685" s="136"/>
      <c r="CM37685" s="111"/>
      <c r="CQ37685" s="111"/>
      <c r="EF37685"/>
      <c r="EG37685"/>
      <c r="EH37685"/>
      <c r="EI37685"/>
      <c r="EJ37685"/>
      <c r="EK37685"/>
    </row>
    <row r="37686" spans="1:141" s="116" customFormat="1">
      <c r="A37686" s="136"/>
      <c r="CM37686" s="111"/>
      <c r="CQ37686" s="111"/>
      <c r="EF37686"/>
      <c r="EG37686"/>
      <c r="EH37686"/>
      <c r="EI37686"/>
      <c r="EJ37686"/>
      <c r="EK37686"/>
    </row>
    <row r="37687" spans="1:141" s="116" customFormat="1">
      <c r="A37687" s="136"/>
      <c r="CM37687" s="111"/>
      <c r="CQ37687" s="111"/>
      <c r="EF37687"/>
      <c r="EG37687"/>
      <c r="EH37687"/>
      <c r="EI37687"/>
      <c r="EJ37687"/>
      <c r="EK37687"/>
    </row>
    <row r="37688" spans="1:141" s="116" customFormat="1">
      <c r="A37688" s="136"/>
      <c r="CM37688" s="111"/>
      <c r="CQ37688" s="111"/>
      <c r="EF37688"/>
      <c r="EG37688"/>
      <c r="EH37688"/>
      <c r="EI37688"/>
      <c r="EJ37688"/>
      <c r="EK37688"/>
    </row>
    <row r="37689" spans="1:141" s="116" customFormat="1">
      <c r="A37689" s="136"/>
      <c r="CM37689" s="111"/>
      <c r="CQ37689" s="111"/>
      <c r="EF37689"/>
      <c r="EG37689"/>
      <c r="EH37689"/>
      <c r="EI37689"/>
      <c r="EJ37689"/>
      <c r="EK37689"/>
    </row>
    <row r="37690" spans="1:141" s="116" customFormat="1">
      <c r="A37690" s="136"/>
      <c r="CM37690" s="111"/>
      <c r="CQ37690" s="111"/>
      <c r="EF37690"/>
      <c r="EG37690"/>
      <c r="EH37690"/>
      <c r="EI37690"/>
      <c r="EJ37690"/>
      <c r="EK37690"/>
    </row>
    <row r="37691" spans="1:141" s="116" customFormat="1">
      <c r="A37691" s="136"/>
      <c r="CM37691" s="111"/>
      <c r="CQ37691" s="111"/>
      <c r="EF37691"/>
      <c r="EG37691"/>
      <c r="EH37691"/>
      <c r="EI37691"/>
      <c r="EJ37691"/>
      <c r="EK37691"/>
    </row>
    <row r="37692" spans="1:141" s="116" customFormat="1">
      <c r="A37692" s="136"/>
      <c r="CM37692" s="111"/>
      <c r="CQ37692" s="111"/>
      <c r="EF37692"/>
      <c r="EG37692"/>
      <c r="EH37692"/>
      <c r="EI37692"/>
      <c r="EJ37692"/>
      <c r="EK37692"/>
    </row>
    <row r="37693" spans="1:141" s="116" customFormat="1">
      <c r="A37693" s="136"/>
      <c r="CM37693" s="111"/>
      <c r="CQ37693" s="111"/>
      <c r="EF37693"/>
      <c r="EG37693"/>
      <c r="EH37693"/>
      <c r="EI37693"/>
      <c r="EJ37693"/>
      <c r="EK37693"/>
    </row>
    <row r="37694" spans="1:141" s="116" customFormat="1">
      <c r="A37694" s="136"/>
      <c r="CM37694" s="111"/>
      <c r="CQ37694" s="111"/>
      <c r="EF37694"/>
      <c r="EG37694"/>
      <c r="EH37694"/>
      <c r="EI37694"/>
      <c r="EJ37694"/>
      <c r="EK37694"/>
    </row>
    <row r="37695" spans="1:141" s="116" customFormat="1">
      <c r="A37695" s="136"/>
      <c r="CM37695" s="111"/>
      <c r="CQ37695" s="111"/>
      <c r="EF37695"/>
      <c r="EG37695"/>
      <c r="EH37695"/>
      <c r="EI37695"/>
      <c r="EJ37695"/>
      <c r="EK37695"/>
    </row>
    <row r="37696" spans="1:141" s="116" customFormat="1">
      <c r="A37696" s="136"/>
      <c r="CM37696" s="111"/>
      <c r="CQ37696" s="111"/>
      <c r="EF37696"/>
      <c r="EG37696"/>
      <c r="EH37696"/>
      <c r="EI37696"/>
      <c r="EJ37696"/>
      <c r="EK37696"/>
    </row>
    <row r="37697" spans="1:141" s="116" customFormat="1">
      <c r="A37697" s="136"/>
      <c r="CM37697" s="111"/>
      <c r="CQ37697" s="111"/>
      <c r="EF37697"/>
      <c r="EG37697"/>
      <c r="EH37697"/>
      <c r="EI37697"/>
      <c r="EJ37697"/>
      <c r="EK37697"/>
    </row>
    <row r="37698" spans="1:141" s="116" customFormat="1">
      <c r="A37698" s="136"/>
      <c r="CM37698" s="111"/>
      <c r="CQ37698" s="111"/>
      <c r="EF37698"/>
      <c r="EG37698"/>
      <c r="EH37698"/>
      <c r="EI37698"/>
      <c r="EJ37698"/>
      <c r="EK37698"/>
    </row>
    <row r="37699" spans="1:141" s="116" customFormat="1">
      <c r="A37699" s="136"/>
      <c r="CM37699" s="111"/>
      <c r="CQ37699" s="111"/>
      <c r="EF37699"/>
      <c r="EG37699"/>
      <c r="EH37699"/>
      <c r="EI37699"/>
      <c r="EJ37699"/>
      <c r="EK37699"/>
    </row>
    <row r="37700" spans="1:141" s="116" customFormat="1">
      <c r="A37700" s="136"/>
      <c r="CM37700" s="111"/>
      <c r="CQ37700" s="111"/>
      <c r="EF37700"/>
      <c r="EG37700"/>
      <c r="EH37700"/>
      <c r="EI37700"/>
      <c r="EJ37700"/>
      <c r="EK37700"/>
    </row>
    <row r="37701" spans="1:141" s="116" customFormat="1">
      <c r="A37701" s="136"/>
      <c r="CM37701" s="111"/>
      <c r="CQ37701" s="111"/>
      <c r="EF37701"/>
      <c r="EG37701"/>
      <c r="EH37701"/>
      <c r="EI37701"/>
      <c r="EJ37701"/>
      <c r="EK37701"/>
    </row>
    <row r="37702" spans="1:141" s="116" customFormat="1">
      <c r="A37702" s="136"/>
      <c r="CM37702" s="111"/>
      <c r="CQ37702" s="111"/>
      <c r="EF37702"/>
      <c r="EG37702"/>
      <c r="EH37702"/>
      <c r="EI37702"/>
      <c r="EJ37702"/>
      <c r="EK37702"/>
    </row>
    <row r="37703" spans="1:141" s="116" customFormat="1">
      <c r="A37703" s="136"/>
      <c r="CM37703" s="111"/>
      <c r="CQ37703" s="111"/>
      <c r="EF37703"/>
      <c r="EG37703"/>
      <c r="EH37703"/>
      <c r="EI37703"/>
      <c r="EJ37703"/>
      <c r="EK37703"/>
    </row>
    <row r="37704" spans="1:141" s="116" customFormat="1">
      <c r="A37704" s="136"/>
      <c r="CM37704" s="111"/>
      <c r="CQ37704" s="111"/>
      <c r="EF37704"/>
      <c r="EG37704"/>
      <c r="EH37704"/>
      <c r="EI37704"/>
      <c r="EJ37704"/>
      <c r="EK37704"/>
    </row>
    <row r="37705" spans="1:141" s="116" customFormat="1">
      <c r="A37705" s="136"/>
      <c r="CM37705" s="111"/>
      <c r="CQ37705" s="111"/>
      <c r="EF37705"/>
      <c r="EG37705"/>
      <c r="EH37705"/>
      <c r="EI37705"/>
      <c r="EJ37705"/>
      <c r="EK37705"/>
    </row>
    <row r="37706" spans="1:141" s="116" customFormat="1">
      <c r="A37706" s="136"/>
      <c r="CM37706" s="111"/>
      <c r="CQ37706" s="111"/>
      <c r="EF37706"/>
      <c r="EG37706"/>
      <c r="EH37706"/>
      <c r="EI37706"/>
      <c r="EJ37706"/>
      <c r="EK37706"/>
    </row>
    <row r="37707" spans="1:141" s="116" customFormat="1">
      <c r="A37707" s="136"/>
      <c r="CM37707" s="111"/>
      <c r="CQ37707" s="111"/>
      <c r="EF37707"/>
      <c r="EG37707"/>
      <c r="EH37707"/>
      <c r="EI37707"/>
      <c r="EJ37707"/>
      <c r="EK37707"/>
    </row>
    <row r="37708" spans="1:141" s="116" customFormat="1">
      <c r="A37708" s="136"/>
      <c r="CM37708" s="111"/>
      <c r="CQ37708" s="111"/>
      <c r="EF37708"/>
      <c r="EG37708"/>
      <c r="EH37708"/>
      <c r="EI37708"/>
      <c r="EJ37708"/>
      <c r="EK37708"/>
    </row>
    <row r="37709" spans="1:141" s="116" customFormat="1">
      <c r="A37709" s="136"/>
      <c r="CM37709" s="111"/>
      <c r="CQ37709" s="111"/>
      <c r="EF37709"/>
      <c r="EG37709"/>
      <c r="EH37709"/>
      <c r="EI37709"/>
      <c r="EJ37709"/>
      <c r="EK37709"/>
    </row>
    <row r="37710" spans="1:141" s="116" customFormat="1">
      <c r="A37710" s="136"/>
      <c r="CM37710" s="111"/>
      <c r="CQ37710" s="111"/>
      <c r="EF37710"/>
      <c r="EG37710"/>
      <c r="EH37710"/>
      <c r="EI37710"/>
      <c r="EJ37710"/>
      <c r="EK37710"/>
    </row>
    <row r="37711" spans="1:141" s="116" customFormat="1">
      <c r="A37711" s="136"/>
      <c r="CM37711" s="111"/>
      <c r="CQ37711" s="111"/>
      <c r="EF37711"/>
      <c r="EG37711"/>
      <c r="EH37711"/>
      <c r="EI37711"/>
      <c r="EJ37711"/>
      <c r="EK37711"/>
    </row>
    <row r="37712" spans="1:141" s="116" customFormat="1">
      <c r="A37712" s="136"/>
      <c r="CM37712" s="111"/>
      <c r="CQ37712" s="111"/>
      <c r="EF37712"/>
      <c r="EG37712"/>
      <c r="EH37712"/>
      <c r="EI37712"/>
      <c r="EJ37712"/>
      <c r="EK37712"/>
    </row>
    <row r="37713" spans="1:141" s="116" customFormat="1">
      <c r="A37713" s="136"/>
      <c r="CM37713" s="111"/>
      <c r="CQ37713" s="111"/>
      <c r="EF37713"/>
      <c r="EG37713"/>
      <c r="EH37713"/>
      <c r="EI37713"/>
      <c r="EJ37713"/>
      <c r="EK37713"/>
    </row>
    <row r="37714" spans="1:141" s="116" customFormat="1">
      <c r="A37714" s="136"/>
      <c r="CM37714" s="111"/>
      <c r="CQ37714" s="111"/>
      <c r="EF37714"/>
      <c r="EG37714"/>
      <c r="EH37714"/>
      <c r="EI37714"/>
      <c r="EJ37714"/>
      <c r="EK37714"/>
    </row>
    <row r="37715" spans="1:141" s="116" customFormat="1">
      <c r="A37715" s="136"/>
      <c r="CM37715" s="111"/>
      <c r="CQ37715" s="111"/>
      <c r="EF37715"/>
      <c r="EG37715"/>
      <c r="EH37715"/>
      <c r="EI37715"/>
      <c r="EJ37715"/>
      <c r="EK37715"/>
    </row>
    <row r="37716" spans="1:141" s="116" customFormat="1">
      <c r="A37716" s="136"/>
      <c r="CM37716" s="111"/>
      <c r="CQ37716" s="111"/>
      <c r="EF37716"/>
      <c r="EG37716"/>
      <c r="EH37716"/>
      <c r="EI37716"/>
      <c r="EJ37716"/>
      <c r="EK37716"/>
    </row>
    <row r="37717" spans="1:141" s="116" customFormat="1">
      <c r="A37717" s="136"/>
      <c r="CM37717" s="111"/>
      <c r="CQ37717" s="111"/>
      <c r="EF37717"/>
      <c r="EG37717"/>
      <c r="EH37717"/>
      <c r="EI37717"/>
      <c r="EJ37717"/>
      <c r="EK37717"/>
    </row>
    <row r="37718" spans="1:141" s="116" customFormat="1">
      <c r="A37718" s="136"/>
      <c r="CM37718" s="111"/>
      <c r="CQ37718" s="111"/>
      <c r="EF37718"/>
      <c r="EG37718"/>
      <c r="EH37718"/>
      <c r="EI37718"/>
      <c r="EJ37718"/>
      <c r="EK37718"/>
    </row>
    <row r="37719" spans="1:141" s="116" customFormat="1">
      <c r="A37719" s="136"/>
      <c r="CM37719" s="111"/>
      <c r="CQ37719" s="111"/>
      <c r="EF37719"/>
      <c r="EG37719"/>
      <c r="EH37719"/>
      <c r="EI37719"/>
      <c r="EJ37719"/>
      <c r="EK37719"/>
    </row>
    <row r="37720" spans="1:141" s="116" customFormat="1">
      <c r="A37720" s="136"/>
      <c r="CM37720" s="111"/>
      <c r="CQ37720" s="111"/>
      <c r="EF37720"/>
      <c r="EG37720"/>
      <c r="EH37720"/>
      <c r="EI37720"/>
      <c r="EJ37720"/>
      <c r="EK37720"/>
    </row>
    <row r="37721" spans="1:141" s="116" customFormat="1">
      <c r="A37721" s="136"/>
      <c r="CM37721" s="111"/>
      <c r="CQ37721" s="111"/>
      <c r="EF37721"/>
      <c r="EG37721"/>
      <c r="EH37721"/>
      <c r="EI37721"/>
      <c r="EJ37721"/>
      <c r="EK37721"/>
    </row>
    <row r="37722" spans="1:141" s="116" customFormat="1">
      <c r="A37722" s="136"/>
      <c r="CM37722" s="111"/>
      <c r="CQ37722" s="111"/>
      <c r="EF37722"/>
      <c r="EG37722"/>
      <c r="EH37722"/>
      <c r="EI37722"/>
      <c r="EJ37722"/>
      <c r="EK37722"/>
    </row>
    <row r="37723" spans="1:141" s="116" customFormat="1">
      <c r="A37723" s="136"/>
      <c r="CM37723" s="111"/>
      <c r="CQ37723" s="111"/>
      <c r="EF37723"/>
      <c r="EG37723"/>
      <c r="EH37723"/>
      <c r="EI37723"/>
      <c r="EJ37723"/>
      <c r="EK37723"/>
    </row>
    <row r="37724" spans="1:141" s="116" customFormat="1">
      <c r="A37724" s="136"/>
      <c r="CM37724" s="111"/>
      <c r="CQ37724" s="111"/>
      <c r="EF37724"/>
      <c r="EG37724"/>
      <c r="EH37724"/>
      <c r="EI37724"/>
      <c r="EJ37724"/>
      <c r="EK37724"/>
    </row>
    <row r="37725" spans="1:141" s="116" customFormat="1">
      <c r="A37725" s="136"/>
      <c r="CM37725" s="111"/>
      <c r="CQ37725" s="111"/>
      <c r="EF37725"/>
      <c r="EG37725"/>
      <c r="EH37725"/>
      <c r="EI37725"/>
      <c r="EJ37725"/>
      <c r="EK37725"/>
    </row>
    <row r="37726" spans="1:141" s="116" customFormat="1">
      <c r="A37726" s="136"/>
      <c r="CM37726" s="111"/>
      <c r="CQ37726" s="111"/>
      <c r="EF37726"/>
      <c r="EG37726"/>
      <c r="EH37726"/>
      <c r="EI37726"/>
      <c r="EJ37726"/>
      <c r="EK37726"/>
    </row>
    <row r="37727" spans="1:141" s="116" customFormat="1">
      <c r="A37727" s="136"/>
      <c r="CM37727" s="111"/>
      <c r="CQ37727" s="111"/>
      <c r="EF37727"/>
      <c r="EG37727"/>
      <c r="EH37727"/>
      <c r="EI37727"/>
      <c r="EJ37727"/>
      <c r="EK37727"/>
    </row>
    <row r="37728" spans="1:141" s="116" customFormat="1">
      <c r="A37728" s="136"/>
      <c r="CM37728" s="111"/>
      <c r="CQ37728" s="111"/>
      <c r="EF37728"/>
      <c r="EG37728"/>
      <c r="EH37728"/>
      <c r="EI37728"/>
      <c r="EJ37728"/>
      <c r="EK37728"/>
    </row>
    <row r="37729" spans="1:141" s="116" customFormat="1">
      <c r="A37729" s="136"/>
      <c r="CM37729" s="111"/>
      <c r="CQ37729" s="111"/>
      <c r="EF37729"/>
      <c r="EG37729"/>
      <c r="EH37729"/>
      <c r="EI37729"/>
      <c r="EJ37729"/>
      <c r="EK37729"/>
    </row>
    <row r="37730" spans="1:141" s="116" customFormat="1">
      <c r="A37730" s="136"/>
      <c r="CM37730" s="111"/>
      <c r="CQ37730" s="111"/>
      <c r="EF37730"/>
      <c r="EG37730"/>
      <c r="EH37730"/>
      <c r="EI37730"/>
      <c r="EJ37730"/>
      <c r="EK37730"/>
    </row>
    <row r="37731" spans="1:141" s="116" customFormat="1">
      <c r="A37731" s="136"/>
      <c r="CM37731" s="111"/>
      <c r="CQ37731" s="111"/>
      <c r="EF37731"/>
      <c r="EG37731"/>
      <c r="EH37731"/>
      <c r="EI37731"/>
      <c r="EJ37731"/>
      <c r="EK37731"/>
    </row>
    <row r="37732" spans="1:141" s="116" customFormat="1">
      <c r="A37732" s="136"/>
      <c r="CM37732" s="111"/>
      <c r="CQ37732" s="111"/>
      <c r="EF37732"/>
      <c r="EG37732"/>
      <c r="EH37732"/>
      <c r="EI37732"/>
      <c r="EJ37732"/>
      <c r="EK37732"/>
    </row>
    <row r="37733" spans="1:141" s="116" customFormat="1">
      <c r="A37733" s="136"/>
      <c r="CM37733" s="111"/>
      <c r="CQ37733" s="111"/>
      <c r="EF37733"/>
      <c r="EG37733"/>
      <c r="EH37733"/>
      <c r="EI37733"/>
      <c r="EJ37733"/>
      <c r="EK37733"/>
    </row>
    <row r="37734" spans="1:141" s="116" customFormat="1">
      <c r="A37734" s="136"/>
      <c r="CM37734" s="111"/>
      <c r="CQ37734" s="111"/>
      <c r="EF37734"/>
      <c r="EG37734"/>
      <c r="EH37734"/>
      <c r="EI37734"/>
      <c r="EJ37734"/>
      <c r="EK37734"/>
    </row>
    <row r="37735" spans="1:141" s="116" customFormat="1">
      <c r="A37735" s="136"/>
      <c r="CM37735" s="111"/>
      <c r="CQ37735" s="111"/>
      <c r="EF37735"/>
      <c r="EG37735"/>
      <c r="EH37735"/>
      <c r="EI37735"/>
      <c r="EJ37735"/>
      <c r="EK37735"/>
    </row>
    <row r="37736" spans="1:141" s="116" customFormat="1">
      <c r="A37736" s="136"/>
      <c r="CM37736" s="111"/>
      <c r="CQ37736" s="111"/>
      <c r="EF37736"/>
      <c r="EG37736"/>
      <c r="EH37736"/>
      <c r="EI37736"/>
      <c r="EJ37736"/>
      <c r="EK37736"/>
    </row>
    <row r="37737" spans="1:141" s="116" customFormat="1">
      <c r="A37737" s="136"/>
      <c r="CM37737" s="111"/>
      <c r="CQ37737" s="111"/>
      <c r="EF37737"/>
      <c r="EG37737"/>
      <c r="EH37737"/>
      <c r="EI37737"/>
      <c r="EJ37737"/>
      <c r="EK37737"/>
    </row>
    <row r="37738" spans="1:141" s="116" customFormat="1">
      <c r="A37738" s="136"/>
      <c r="CM37738" s="111"/>
      <c r="CQ37738" s="111"/>
      <c r="EF37738"/>
      <c r="EG37738"/>
      <c r="EH37738"/>
      <c r="EI37738"/>
      <c r="EJ37738"/>
      <c r="EK37738"/>
    </row>
    <row r="37739" spans="1:141" s="116" customFormat="1">
      <c r="A37739" s="136"/>
      <c r="CM37739" s="111"/>
      <c r="CQ37739" s="111"/>
      <c r="EF37739"/>
      <c r="EG37739"/>
      <c r="EH37739"/>
      <c r="EI37739"/>
      <c r="EJ37739"/>
      <c r="EK37739"/>
    </row>
    <row r="37740" spans="1:141" s="116" customFormat="1">
      <c r="A37740" s="136"/>
      <c r="CM37740" s="111"/>
      <c r="CQ37740" s="111"/>
      <c r="EF37740"/>
      <c r="EG37740"/>
      <c r="EH37740"/>
      <c r="EI37740"/>
      <c r="EJ37740"/>
      <c r="EK37740"/>
    </row>
    <row r="37741" spans="1:141" s="116" customFormat="1">
      <c r="A37741" s="136"/>
      <c r="CM37741" s="111"/>
      <c r="CQ37741" s="111"/>
      <c r="EF37741"/>
      <c r="EG37741"/>
      <c r="EH37741"/>
      <c r="EI37741"/>
      <c r="EJ37741"/>
      <c r="EK37741"/>
    </row>
    <row r="37742" spans="1:141" s="116" customFormat="1">
      <c r="A37742" s="136"/>
      <c r="CM37742" s="111"/>
      <c r="CQ37742" s="111"/>
      <c r="EF37742"/>
      <c r="EG37742"/>
      <c r="EH37742"/>
      <c r="EI37742"/>
      <c r="EJ37742"/>
      <c r="EK37742"/>
    </row>
    <row r="37743" spans="1:141" s="116" customFormat="1">
      <c r="A37743" s="136"/>
      <c r="CM37743" s="111"/>
      <c r="CQ37743" s="111"/>
      <c r="EF37743"/>
      <c r="EG37743"/>
      <c r="EH37743"/>
      <c r="EI37743"/>
      <c r="EJ37743"/>
      <c r="EK37743"/>
    </row>
    <row r="37744" spans="1:141" s="116" customFormat="1">
      <c r="A37744" s="136"/>
      <c r="CM37744" s="111"/>
      <c r="CQ37744" s="111"/>
      <c r="EF37744"/>
      <c r="EG37744"/>
      <c r="EH37744"/>
      <c r="EI37744"/>
      <c r="EJ37744"/>
      <c r="EK37744"/>
    </row>
    <row r="37745" spans="1:141" s="116" customFormat="1">
      <c r="A37745" s="136"/>
      <c r="CM37745" s="111"/>
      <c r="CQ37745" s="111"/>
      <c r="EF37745"/>
      <c r="EG37745"/>
      <c r="EH37745"/>
      <c r="EI37745"/>
      <c r="EJ37745"/>
      <c r="EK37745"/>
    </row>
    <row r="37746" spans="1:141" s="116" customFormat="1">
      <c r="A37746" s="136"/>
      <c r="CM37746" s="111"/>
      <c r="CQ37746" s="111"/>
      <c r="EF37746"/>
      <c r="EG37746"/>
      <c r="EH37746"/>
      <c r="EI37746"/>
      <c r="EJ37746"/>
      <c r="EK37746"/>
    </row>
    <row r="37747" spans="1:141" s="116" customFormat="1">
      <c r="A37747" s="136"/>
      <c r="CM37747" s="111"/>
      <c r="CQ37747" s="111"/>
      <c r="EF37747"/>
      <c r="EG37747"/>
      <c r="EH37747"/>
      <c r="EI37747"/>
      <c r="EJ37747"/>
      <c r="EK37747"/>
    </row>
    <row r="37748" spans="1:141" s="116" customFormat="1">
      <c r="A37748" s="136"/>
      <c r="CM37748" s="111"/>
      <c r="CQ37748" s="111"/>
      <c r="EF37748"/>
      <c r="EG37748"/>
      <c r="EH37748"/>
      <c r="EI37748"/>
      <c r="EJ37748"/>
      <c r="EK37748"/>
    </row>
    <row r="37749" spans="1:141" s="116" customFormat="1">
      <c r="A37749" s="136"/>
      <c r="CM37749" s="111"/>
      <c r="CQ37749" s="111"/>
      <c r="EF37749"/>
      <c r="EG37749"/>
      <c r="EH37749"/>
      <c r="EI37749"/>
      <c r="EJ37749"/>
      <c r="EK37749"/>
    </row>
    <row r="37750" spans="1:141" s="116" customFormat="1">
      <c r="A37750" s="136"/>
      <c r="CM37750" s="111"/>
      <c r="CQ37750" s="111"/>
      <c r="EF37750"/>
      <c r="EG37750"/>
      <c r="EH37750"/>
      <c r="EI37750"/>
      <c r="EJ37750"/>
      <c r="EK37750"/>
    </row>
    <row r="37751" spans="1:141" s="116" customFormat="1">
      <c r="A37751" s="136"/>
      <c r="CM37751" s="111"/>
      <c r="CQ37751" s="111"/>
      <c r="EF37751"/>
      <c r="EG37751"/>
      <c r="EH37751"/>
      <c r="EI37751"/>
      <c r="EJ37751"/>
      <c r="EK37751"/>
    </row>
    <row r="37752" spans="1:141" s="116" customFormat="1">
      <c r="A37752" s="136"/>
      <c r="CM37752" s="111"/>
      <c r="CQ37752" s="111"/>
      <c r="EF37752"/>
      <c r="EG37752"/>
      <c r="EH37752"/>
      <c r="EI37752"/>
      <c r="EJ37752"/>
      <c r="EK37752"/>
    </row>
    <row r="37753" spans="1:141" s="116" customFormat="1">
      <c r="A37753" s="136"/>
      <c r="CM37753" s="111"/>
      <c r="CQ37753" s="111"/>
      <c r="EF37753"/>
      <c r="EG37753"/>
      <c r="EH37753"/>
      <c r="EI37753"/>
      <c r="EJ37753"/>
      <c r="EK37753"/>
    </row>
    <row r="37754" spans="1:141" s="116" customFormat="1">
      <c r="A37754" s="136"/>
      <c r="CM37754" s="111"/>
      <c r="CQ37754" s="111"/>
      <c r="EF37754"/>
      <c r="EG37754"/>
      <c r="EH37754"/>
      <c r="EI37754"/>
      <c r="EJ37754"/>
      <c r="EK37754"/>
    </row>
    <row r="37755" spans="1:141" s="116" customFormat="1">
      <c r="A37755" s="136"/>
      <c r="CM37755" s="111"/>
      <c r="CQ37755" s="111"/>
      <c r="EF37755"/>
      <c r="EG37755"/>
      <c r="EH37755"/>
      <c r="EI37755"/>
      <c r="EJ37755"/>
      <c r="EK37755"/>
    </row>
    <row r="37756" spans="1:141" s="116" customFormat="1">
      <c r="A37756" s="136"/>
      <c r="CM37756" s="111"/>
      <c r="CQ37756" s="111"/>
      <c r="EF37756"/>
      <c r="EG37756"/>
      <c r="EH37756"/>
      <c r="EI37756"/>
      <c r="EJ37756"/>
      <c r="EK37756"/>
    </row>
    <row r="37757" spans="1:141" s="116" customFormat="1">
      <c r="A37757" s="136"/>
      <c r="CM37757" s="111"/>
      <c r="CQ37757" s="111"/>
      <c r="EF37757"/>
      <c r="EG37757"/>
      <c r="EH37757"/>
      <c r="EI37757"/>
      <c r="EJ37757"/>
      <c r="EK37757"/>
    </row>
    <row r="37758" spans="1:141" s="116" customFormat="1">
      <c r="A37758" s="136"/>
      <c r="CM37758" s="111"/>
      <c r="CQ37758" s="111"/>
      <c r="EF37758"/>
      <c r="EG37758"/>
      <c r="EH37758"/>
      <c r="EI37758"/>
      <c r="EJ37758"/>
      <c r="EK37758"/>
    </row>
    <row r="37759" spans="1:141" s="116" customFormat="1">
      <c r="A37759" s="136"/>
      <c r="CM37759" s="111"/>
      <c r="CQ37759" s="111"/>
      <c r="EF37759"/>
      <c r="EG37759"/>
      <c r="EH37759"/>
      <c r="EI37759"/>
      <c r="EJ37759"/>
      <c r="EK37759"/>
    </row>
    <row r="37760" spans="1:141" s="116" customFormat="1">
      <c r="A37760" s="136"/>
      <c r="CM37760" s="111"/>
      <c r="CQ37760" s="111"/>
      <c r="EF37760"/>
      <c r="EG37760"/>
      <c r="EH37760"/>
      <c r="EI37760"/>
      <c r="EJ37760"/>
      <c r="EK37760"/>
    </row>
    <row r="37761" spans="1:141" s="116" customFormat="1">
      <c r="A37761" s="136"/>
      <c r="CM37761" s="111"/>
      <c r="CQ37761" s="111"/>
      <c r="EF37761"/>
      <c r="EG37761"/>
      <c r="EH37761"/>
      <c r="EI37761"/>
      <c r="EJ37761"/>
      <c r="EK37761"/>
    </row>
    <row r="37762" spans="1:141" s="116" customFormat="1">
      <c r="A37762" s="136"/>
      <c r="CM37762" s="111"/>
      <c r="CQ37762" s="111"/>
      <c r="EF37762"/>
      <c r="EG37762"/>
      <c r="EH37762"/>
      <c r="EI37762"/>
      <c r="EJ37762"/>
      <c r="EK37762"/>
    </row>
    <row r="37763" spans="1:141" s="116" customFormat="1">
      <c r="A37763" s="136"/>
      <c r="CM37763" s="111"/>
      <c r="CQ37763" s="111"/>
      <c r="EF37763"/>
      <c r="EG37763"/>
      <c r="EH37763"/>
      <c r="EI37763"/>
      <c r="EJ37763"/>
      <c r="EK37763"/>
    </row>
    <row r="37764" spans="1:141" s="116" customFormat="1">
      <c r="A37764" s="136"/>
      <c r="CM37764" s="111"/>
      <c r="CQ37764" s="111"/>
      <c r="EF37764"/>
      <c r="EG37764"/>
      <c r="EH37764"/>
      <c r="EI37764"/>
      <c r="EJ37764"/>
      <c r="EK37764"/>
    </row>
    <row r="37765" spans="1:141" s="116" customFormat="1">
      <c r="A37765" s="136"/>
      <c r="CM37765" s="111"/>
      <c r="CQ37765" s="111"/>
      <c r="EF37765"/>
      <c r="EG37765"/>
      <c r="EH37765"/>
      <c r="EI37765"/>
      <c r="EJ37765"/>
      <c r="EK37765"/>
    </row>
    <row r="37766" spans="1:141" s="116" customFormat="1">
      <c r="A37766" s="136"/>
      <c r="CM37766" s="111"/>
      <c r="CQ37766" s="111"/>
      <c r="EF37766"/>
      <c r="EG37766"/>
      <c r="EH37766"/>
      <c r="EI37766"/>
      <c r="EJ37766"/>
      <c r="EK37766"/>
    </row>
    <row r="37767" spans="1:141" s="116" customFormat="1">
      <c r="A37767" s="136"/>
      <c r="CM37767" s="111"/>
      <c r="CQ37767" s="111"/>
      <c r="EF37767"/>
      <c r="EG37767"/>
      <c r="EH37767"/>
      <c r="EI37767"/>
      <c r="EJ37767"/>
      <c r="EK37767"/>
    </row>
    <row r="37768" spans="1:141" s="116" customFormat="1">
      <c r="A37768" s="136"/>
      <c r="CM37768" s="111"/>
      <c r="CQ37768" s="111"/>
      <c r="EF37768"/>
      <c r="EG37768"/>
      <c r="EH37768"/>
      <c r="EI37768"/>
      <c r="EJ37768"/>
      <c r="EK37768"/>
    </row>
    <row r="37769" spans="1:141" s="116" customFormat="1">
      <c r="A37769" s="136"/>
      <c r="CM37769" s="111"/>
      <c r="CQ37769" s="111"/>
      <c r="EF37769"/>
      <c r="EG37769"/>
      <c r="EH37769"/>
      <c r="EI37769"/>
      <c r="EJ37769"/>
      <c r="EK37769"/>
    </row>
    <row r="37770" spans="1:141" s="116" customFormat="1">
      <c r="A37770" s="136"/>
      <c r="CM37770" s="111"/>
      <c r="CQ37770" s="111"/>
      <c r="EF37770"/>
      <c r="EG37770"/>
      <c r="EH37770"/>
      <c r="EI37770"/>
      <c r="EJ37770"/>
      <c r="EK37770"/>
    </row>
    <row r="37771" spans="1:141" s="116" customFormat="1">
      <c r="A37771" s="136"/>
      <c r="CM37771" s="111"/>
      <c r="CQ37771" s="111"/>
      <c r="EF37771"/>
      <c r="EG37771"/>
      <c r="EH37771"/>
      <c r="EI37771"/>
      <c r="EJ37771"/>
      <c r="EK37771"/>
    </row>
    <row r="37772" spans="1:141" s="116" customFormat="1">
      <c r="A37772" s="136"/>
      <c r="CM37772" s="111"/>
      <c r="CQ37772" s="111"/>
      <c r="EF37772"/>
      <c r="EG37772"/>
      <c r="EH37772"/>
      <c r="EI37772"/>
      <c r="EJ37772"/>
      <c r="EK37772"/>
    </row>
    <row r="37773" spans="1:141" s="116" customFormat="1">
      <c r="A37773" s="136"/>
      <c r="CM37773" s="111"/>
      <c r="CQ37773" s="111"/>
      <c r="EF37773"/>
      <c r="EG37773"/>
      <c r="EH37773"/>
      <c r="EI37773"/>
      <c r="EJ37773"/>
      <c r="EK37773"/>
    </row>
    <row r="37774" spans="1:141" s="116" customFormat="1">
      <c r="A37774" s="136"/>
      <c r="CM37774" s="111"/>
      <c r="CQ37774" s="111"/>
      <c r="EF37774"/>
      <c r="EG37774"/>
      <c r="EH37774"/>
      <c r="EI37774"/>
      <c r="EJ37774"/>
      <c r="EK37774"/>
    </row>
    <row r="37775" spans="1:141" s="116" customFormat="1">
      <c r="A37775" s="136"/>
      <c r="CM37775" s="111"/>
      <c r="CQ37775" s="111"/>
      <c r="EF37775"/>
      <c r="EG37775"/>
      <c r="EH37775"/>
      <c r="EI37775"/>
      <c r="EJ37775"/>
      <c r="EK37775"/>
    </row>
    <row r="37776" spans="1:141" s="116" customFormat="1">
      <c r="A37776" s="136"/>
      <c r="CM37776" s="111"/>
      <c r="CQ37776" s="111"/>
      <c r="EF37776"/>
      <c r="EG37776"/>
      <c r="EH37776"/>
      <c r="EI37776"/>
      <c r="EJ37776"/>
      <c r="EK37776"/>
    </row>
    <row r="37777" spans="1:141" s="116" customFormat="1">
      <c r="A37777" s="136"/>
      <c r="CM37777" s="111"/>
      <c r="CQ37777" s="111"/>
      <c r="EF37777"/>
      <c r="EG37777"/>
      <c r="EH37777"/>
      <c r="EI37777"/>
      <c r="EJ37777"/>
      <c r="EK37777"/>
    </row>
    <row r="37778" spans="1:141" s="116" customFormat="1">
      <c r="A37778" s="136"/>
      <c r="CM37778" s="111"/>
      <c r="CQ37778" s="111"/>
      <c r="EF37778"/>
      <c r="EG37778"/>
      <c r="EH37778"/>
      <c r="EI37778"/>
      <c r="EJ37778"/>
      <c r="EK37778"/>
    </row>
    <row r="37779" spans="1:141" s="116" customFormat="1">
      <c r="A37779" s="136"/>
      <c r="CM37779" s="111"/>
      <c r="CQ37779" s="111"/>
      <c r="EF37779"/>
      <c r="EG37779"/>
      <c r="EH37779"/>
      <c r="EI37779"/>
      <c r="EJ37779"/>
      <c r="EK37779"/>
    </row>
    <row r="37780" spans="1:141" s="116" customFormat="1">
      <c r="A37780" s="136"/>
      <c r="CM37780" s="111"/>
      <c r="CQ37780" s="111"/>
      <c r="EF37780"/>
      <c r="EG37780"/>
      <c r="EH37780"/>
      <c r="EI37780"/>
      <c r="EJ37780"/>
      <c r="EK37780"/>
    </row>
    <row r="37781" spans="1:141" s="116" customFormat="1">
      <c r="A37781" s="136"/>
      <c r="CM37781" s="111"/>
      <c r="CQ37781" s="111"/>
      <c r="EF37781"/>
      <c r="EG37781"/>
      <c r="EH37781"/>
      <c r="EI37781"/>
      <c r="EJ37781"/>
      <c r="EK37781"/>
    </row>
    <row r="37782" spans="1:141" s="116" customFormat="1">
      <c r="A37782" s="136"/>
      <c r="CM37782" s="111"/>
      <c r="CQ37782" s="111"/>
      <c r="EF37782"/>
      <c r="EG37782"/>
      <c r="EH37782"/>
      <c r="EI37782"/>
      <c r="EJ37782"/>
      <c r="EK37782"/>
    </row>
    <row r="37783" spans="1:141" s="116" customFormat="1">
      <c r="A37783" s="136"/>
      <c r="CM37783" s="111"/>
      <c r="CQ37783" s="111"/>
      <c r="EF37783"/>
      <c r="EG37783"/>
      <c r="EH37783"/>
      <c r="EI37783"/>
      <c r="EJ37783"/>
      <c r="EK37783"/>
    </row>
    <row r="37784" spans="1:141" s="116" customFormat="1">
      <c r="A37784" s="136"/>
      <c r="CM37784" s="111"/>
      <c r="CQ37784" s="111"/>
      <c r="EF37784"/>
      <c r="EG37784"/>
      <c r="EH37784"/>
      <c r="EI37784"/>
      <c r="EJ37784"/>
      <c r="EK37784"/>
    </row>
    <row r="37785" spans="1:141" s="116" customFormat="1">
      <c r="A37785" s="136"/>
      <c r="CM37785" s="111"/>
      <c r="CQ37785" s="111"/>
      <c r="EF37785"/>
      <c r="EG37785"/>
      <c r="EH37785"/>
      <c r="EI37785"/>
      <c r="EJ37785"/>
      <c r="EK37785"/>
    </row>
    <row r="37786" spans="1:141" s="116" customFormat="1">
      <c r="A37786" s="136"/>
      <c r="CM37786" s="111"/>
      <c r="CQ37786" s="111"/>
      <c r="EF37786"/>
      <c r="EG37786"/>
      <c r="EH37786"/>
      <c r="EI37786"/>
      <c r="EJ37786"/>
      <c r="EK37786"/>
    </row>
    <row r="37787" spans="1:141" s="116" customFormat="1">
      <c r="A37787" s="136"/>
      <c r="CM37787" s="111"/>
      <c r="CQ37787" s="111"/>
      <c r="EF37787"/>
      <c r="EG37787"/>
      <c r="EH37787"/>
      <c r="EI37787"/>
      <c r="EJ37787"/>
      <c r="EK37787"/>
    </row>
    <row r="37788" spans="1:141" s="116" customFormat="1">
      <c r="A37788" s="136"/>
      <c r="CM37788" s="111"/>
      <c r="CQ37788" s="111"/>
      <c r="EF37788"/>
      <c r="EG37788"/>
      <c r="EH37788"/>
      <c r="EI37788"/>
      <c r="EJ37788"/>
      <c r="EK37788"/>
    </row>
    <row r="37789" spans="1:141" s="116" customFormat="1">
      <c r="A37789" s="136"/>
      <c r="CM37789" s="111"/>
      <c r="CQ37789" s="111"/>
      <c r="EF37789"/>
      <c r="EG37789"/>
      <c r="EH37789"/>
      <c r="EI37789"/>
      <c r="EJ37789"/>
      <c r="EK37789"/>
    </row>
    <row r="37790" spans="1:141" s="116" customFormat="1">
      <c r="A37790" s="136"/>
      <c r="CM37790" s="111"/>
      <c r="CQ37790" s="111"/>
      <c r="EF37790"/>
      <c r="EG37790"/>
      <c r="EH37790"/>
      <c r="EI37790"/>
      <c r="EJ37790"/>
      <c r="EK37790"/>
    </row>
    <row r="37791" spans="1:141" s="116" customFormat="1">
      <c r="A37791" s="136"/>
      <c r="CM37791" s="111"/>
      <c r="CQ37791" s="111"/>
      <c r="EF37791"/>
      <c r="EG37791"/>
      <c r="EH37791"/>
      <c r="EI37791"/>
      <c r="EJ37791"/>
      <c r="EK37791"/>
    </row>
    <row r="37792" spans="1:141" s="116" customFormat="1">
      <c r="A37792" s="136"/>
      <c r="CM37792" s="111"/>
      <c r="CQ37792" s="111"/>
      <c r="EF37792"/>
      <c r="EG37792"/>
      <c r="EH37792"/>
      <c r="EI37792"/>
      <c r="EJ37792"/>
      <c r="EK37792"/>
    </row>
    <row r="37793" spans="1:141" s="116" customFormat="1">
      <c r="A37793" s="136"/>
      <c r="CM37793" s="111"/>
      <c r="CQ37793" s="111"/>
      <c r="EF37793"/>
      <c r="EG37793"/>
      <c r="EH37793"/>
      <c r="EI37793"/>
      <c r="EJ37793"/>
      <c r="EK37793"/>
    </row>
    <row r="37794" spans="1:141" s="116" customFormat="1">
      <c r="A37794" s="136"/>
      <c r="CM37794" s="111"/>
      <c r="CQ37794" s="111"/>
      <c r="EF37794"/>
      <c r="EG37794"/>
      <c r="EH37794"/>
      <c r="EI37794"/>
      <c r="EJ37794"/>
      <c r="EK37794"/>
    </row>
    <row r="37795" spans="1:141" s="116" customFormat="1">
      <c r="A37795" s="136"/>
      <c r="CM37795" s="111"/>
      <c r="CQ37795" s="111"/>
      <c r="EF37795"/>
      <c r="EG37795"/>
      <c r="EH37795"/>
      <c r="EI37795"/>
      <c r="EJ37795"/>
      <c r="EK37795"/>
    </row>
    <row r="37796" spans="1:141" s="116" customFormat="1">
      <c r="A37796" s="136"/>
      <c r="CM37796" s="111"/>
      <c r="CQ37796" s="111"/>
      <c r="EF37796"/>
      <c r="EG37796"/>
      <c r="EH37796"/>
      <c r="EI37796"/>
      <c r="EJ37796"/>
      <c r="EK37796"/>
    </row>
    <row r="37797" spans="1:141" s="116" customFormat="1">
      <c r="A37797" s="136"/>
      <c r="CM37797" s="111"/>
      <c r="CQ37797" s="111"/>
      <c r="EF37797"/>
      <c r="EG37797"/>
      <c r="EH37797"/>
      <c r="EI37797"/>
      <c r="EJ37797"/>
      <c r="EK37797"/>
    </row>
    <row r="37798" spans="1:141" s="116" customFormat="1">
      <c r="A37798" s="136"/>
      <c r="CM37798" s="111"/>
      <c r="CQ37798" s="111"/>
      <c r="EF37798"/>
      <c r="EG37798"/>
      <c r="EH37798"/>
      <c r="EI37798"/>
      <c r="EJ37798"/>
      <c r="EK37798"/>
    </row>
    <row r="37799" spans="1:141" s="116" customFormat="1">
      <c r="A37799" s="136"/>
      <c r="CM37799" s="111"/>
      <c r="CQ37799" s="111"/>
      <c r="EF37799"/>
      <c r="EG37799"/>
      <c r="EH37799"/>
      <c r="EI37799"/>
      <c r="EJ37799"/>
      <c r="EK37799"/>
    </row>
    <row r="37800" spans="1:141" s="116" customFormat="1">
      <c r="A37800" s="136"/>
      <c r="CM37800" s="111"/>
      <c r="CQ37800" s="111"/>
      <c r="EF37800"/>
      <c r="EG37800"/>
      <c r="EH37800"/>
      <c r="EI37800"/>
      <c r="EJ37800"/>
      <c r="EK37800"/>
    </row>
    <row r="37801" spans="1:141" s="116" customFormat="1">
      <c r="A37801" s="136"/>
      <c r="CM37801" s="111"/>
      <c r="CQ37801" s="111"/>
      <c r="EF37801"/>
      <c r="EG37801"/>
      <c r="EH37801"/>
      <c r="EI37801"/>
      <c r="EJ37801"/>
      <c r="EK37801"/>
    </row>
    <row r="37802" spans="1:141" s="116" customFormat="1">
      <c r="A37802" s="136"/>
      <c r="CM37802" s="111"/>
      <c r="CQ37802" s="111"/>
      <c r="EF37802"/>
      <c r="EG37802"/>
      <c r="EH37802"/>
      <c r="EI37802"/>
      <c r="EJ37802"/>
      <c r="EK37802"/>
    </row>
    <row r="37803" spans="1:141" s="116" customFormat="1">
      <c r="A37803" s="136"/>
      <c r="CM37803" s="111"/>
      <c r="CQ37803" s="111"/>
      <c r="EF37803"/>
      <c r="EG37803"/>
      <c r="EH37803"/>
      <c r="EI37803"/>
      <c r="EJ37803"/>
      <c r="EK37803"/>
    </row>
    <row r="37804" spans="1:141" s="116" customFormat="1">
      <c r="A37804" s="136"/>
      <c r="CM37804" s="111"/>
      <c r="CQ37804" s="111"/>
      <c r="EF37804"/>
      <c r="EG37804"/>
      <c r="EH37804"/>
      <c r="EI37804"/>
      <c r="EJ37804"/>
      <c r="EK37804"/>
    </row>
    <row r="37805" spans="1:141" s="116" customFormat="1">
      <c r="A37805" s="136"/>
      <c r="CM37805" s="111"/>
      <c r="CQ37805" s="111"/>
      <c r="EF37805"/>
      <c r="EG37805"/>
      <c r="EH37805"/>
      <c r="EI37805"/>
      <c r="EJ37805"/>
      <c r="EK37805"/>
    </row>
    <row r="37806" spans="1:141" s="116" customFormat="1">
      <c r="A37806" s="136"/>
      <c r="CM37806" s="111"/>
      <c r="CQ37806" s="111"/>
      <c r="EF37806"/>
      <c r="EG37806"/>
      <c r="EH37806"/>
      <c r="EI37806"/>
      <c r="EJ37806"/>
      <c r="EK37806"/>
    </row>
    <row r="37807" spans="1:141" s="116" customFormat="1">
      <c r="A37807" s="136"/>
      <c r="CM37807" s="111"/>
      <c r="CQ37807" s="111"/>
      <c r="EF37807"/>
      <c r="EG37807"/>
      <c r="EH37807"/>
      <c r="EI37807"/>
      <c r="EJ37807"/>
      <c r="EK37807"/>
    </row>
    <row r="37808" spans="1:141" s="116" customFormat="1">
      <c r="A37808" s="136"/>
      <c r="CM37808" s="111"/>
      <c r="CQ37808" s="111"/>
      <c r="EF37808"/>
      <c r="EG37808"/>
      <c r="EH37808"/>
      <c r="EI37808"/>
      <c r="EJ37808"/>
      <c r="EK37808"/>
    </row>
    <row r="37809" spans="1:141" s="116" customFormat="1">
      <c r="A37809" s="136"/>
      <c r="CM37809" s="111"/>
      <c r="CQ37809" s="111"/>
      <c r="EF37809"/>
      <c r="EG37809"/>
      <c r="EH37809"/>
      <c r="EI37809"/>
      <c r="EJ37809"/>
      <c r="EK37809"/>
    </row>
    <row r="37810" spans="1:141" s="116" customFormat="1">
      <c r="A37810" s="136"/>
      <c r="CM37810" s="111"/>
      <c r="CQ37810" s="111"/>
      <c r="EF37810"/>
      <c r="EG37810"/>
      <c r="EH37810"/>
      <c r="EI37810"/>
      <c r="EJ37810"/>
      <c r="EK37810"/>
    </row>
    <row r="37811" spans="1:141" s="116" customFormat="1">
      <c r="A37811" s="136"/>
      <c r="CM37811" s="111"/>
      <c r="CQ37811" s="111"/>
      <c r="EF37811"/>
      <c r="EG37811"/>
      <c r="EH37811"/>
      <c r="EI37811"/>
      <c r="EJ37811"/>
      <c r="EK37811"/>
    </row>
    <row r="37812" spans="1:141" s="116" customFormat="1">
      <c r="A37812" s="136"/>
      <c r="CM37812" s="111"/>
      <c r="CQ37812" s="111"/>
      <c r="EF37812"/>
      <c r="EG37812"/>
      <c r="EH37812"/>
      <c r="EI37812"/>
      <c r="EJ37812"/>
      <c r="EK37812"/>
    </row>
    <row r="37813" spans="1:141" s="116" customFormat="1">
      <c r="A37813" s="136"/>
      <c r="CM37813" s="111"/>
      <c r="CQ37813" s="111"/>
      <c r="EF37813"/>
      <c r="EG37813"/>
      <c r="EH37813"/>
      <c r="EI37813"/>
      <c r="EJ37813"/>
      <c r="EK37813"/>
    </row>
    <row r="37814" spans="1:141" s="116" customFormat="1">
      <c r="A37814" s="136"/>
      <c r="CM37814" s="111"/>
      <c r="CQ37814" s="111"/>
      <c r="EF37814"/>
      <c r="EG37814"/>
      <c r="EH37814"/>
      <c r="EI37814"/>
      <c r="EJ37814"/>
      <c r="EK37814"/>
    </row>
    <row r="37815" spans="1:141" s="116" customFormat="1">
      <c r="A37815" s="136"/>
      <c r="CM37815" s="111"/>
      <c r="CQ37815" s="111"/>
      <c r="EF37815"/>
      <c r="EG37815"/>
      <c r="EH37815"/>
      <c r="EI37815"/>
      <c r="EJ37815"/>
      <c r="EK37815"/>
    </row>
    <row r="37816" spans="1:141" s="116" customFormat="1">
      <c r="A37816" s="136"/>
      <c r="CM37816" s="111"/>
      <c r="CQ37816" s="111"/>
      <c r="EF37816"/>
      <c r="EG37816"/>
      <c r="EH37816"/>
      <c r="EI37816"/>
      <c r="EJ37816"/>
      <c r="EK37816"/>
    </row>
    <row r="37817" spans="1:141" s="116" customFormat="1">
      <c r="A37817" s="136"/>
      <c r="CM37817" s="111"/>
      <c r="CQ37817" s="111"/>
      <c r="EF37817"/>
      <c r="EG37817"/>
      <c r="EH37817"/>
      <c r="EI37817"/>
      <c r="EJ37817"/>
      <c r="EK37817"/>
    </row>
    <row r="37818" spans="1:141" s="116" customFormat="1">
      <c r="A37818" s="136"/>
      <c r="CM37818" s="111"/>
      <c r="CQ37818" s="111"/>
      <c r="EF37818"/>
      <c r="EG37818"/>
      <c r="EH37818"/>
      <c r="EI37818"/>
      <c r="EJ37818"/>
      <c r="EK37818"/>
    </row>
    <row r="37819" spans="1:141" s="116" customFormat="1">
      <c r="A37819" s="136"/>
      <c r="CM37819" s="111"/>
      <c r="CQ37819" s="111"/>
      <c r="EF37819"/>
      <c r="EG37819"/>
      <c r="EH37819"/>
      <c r="EI37819"/>
      <c r="EJ37819"/>
      <c r="EK37819"/>
    </row>
    <row r="37820" spans="1:141" s="116" customFormat="1">
      <c r="A37820" s="136"/>
      <c r="CM37820" s="111"/>
      <c r="CQ37820" s="111"/>
      <c r="EF37820"/>
      <c r="EG37820"/>
      <c r="EH37820"/>
      <c r="EI37820"/>
      <c r="EJ37820"/>
      <c r="EK37820"/>
    </row>
    <row r="37821" spans="1:141" s="116" customFormat="1">
      <c r="A37821" s="136"/>
      <c r="CM37821" s="111"/>
      <c r="CQ37821" s="111"/>
      <c r="EF37821"/>
      <c r="EG37821"/>
      <c r="EH37821"/>
      <c r="EI37821"/>
      <c r="EJ37821"/>
      <c r="EK37821"/>
    </row>
    <row r="37822" spans="1:141" s="116" customFormat="1">
      <c r="A37822" s="136"/>
      <c r="CM37822" s="111"/>
      <c r="CQ37822" s="111"/>
      <c r="EF37822"/>
      <c r="EG37822"/>
      <c r="EH37822"/>
      <c r="EI37822"/>
      <c r="EJ37822"/>
      <c r="EK37822"/>
    </row>
    <row r="37823" spans="1:141" s="116" customFormat="1">
      <c r="A37823" s="136"/>
      <c r="CM37823" s="111"/>
      <c r="CQ37823" s="111"/>
      <c r="EF37823"/>
      <c r="EG37823"/>
      <c r="EH37823"/>
      <c r="EI37823"/>
      <c r="EJ37823"/>
      <c r="EK37823"/>
    </row>
    <row r="37824" spans="1:141" s="116" customFormat="1">
      <c r="A37824" s="136"/>
      <c r="CM37824" s="111"/>
      <c r="CQ37824" s="111"/>
      <c r="EF37824"/>
      <c r="EG37824"/>
      <c r="EH37824"/>
      <c r="EI37824"/>
      <c r="EJ37824"/>
      <c r="EK37824"/>
    </row>
    <row r="37825" spans="1:141" s="116" customFormat="1">
      <c r="A37825" s="136"/>
      <c r="CM37825" s="111"/>
      <c r="CQ37825" s="111"/>
      <c r="EF37825"/>
      <c r="EG37825"/>
      <c r="EH37825"/>
      <c r="EI37825"/>
      <c r="EJ37825"/>
      <c r="EK37825"/>
    </row>
    <row r="37826" spans="1:141" s="116" customFormat="1">
      <c r="A37826" s="136"/>
      <c r="CM37826" s="111"/>
      <c r="CQ37826" s="111"/>
      <c r="EF37826"/>
      <c r="EG37826"/>
      <c r="EH37826"/>
      <c r="EI37826"/>
      <c r="EJ37826"/>
      <c r="EK37826"/>
    </row>
    <row r="37827" spans="1:141" s="116" customFormat="1">
      <c r="A37827" s="136"/>
      <c r="CM37827" s="111"/>
      <c r="CQ37827" s="111"/>
      <c r="EF37827"/>
      <c r="EG37827"/>
      <c r="EH37827"/>
      <c r="EI37827"/>
      <c r="EJ37827"/>
      <c r="EK37827"/>
    </row>
    <row r="37828" spans="1:141" s="116" customFormat="1">
      <c r="A37828" s="136"/>
      <c r="CM37828" s="111"/>
      <c r="CQ37828" s="111"/>
      <c r="EF37828"/>
      <c r="EG37828"/>
      <c r="EH37828"/>
      <c r="EI37828"/>
      <c r="EJ37828"/>
      <c r="EK37828"/>
    </row>
    <row r="37829" spans="1:141" s="116" customFormat="1">
      <c r="A37829" s="136"/>
      <c r="CM37829" s="111"/>
      <c r="CQ37829" s="111"/>
      <c r="EF37829"/>
      <c r="EG37829"/>
      <c r="EH37829"/>
      <c r="EI37829"/>
      <c r="EJ37829"/>
      <c r="EK37829"/>
    </row>
    <row r="37830" spans="1:141" s="116" customFormat="1">
      <c r="A37830" s="136"/>
      <c r="CM37830" s="111"/>
      <c r="CQ37830" s="111"/>
      <c r="EF37830"/>
      <c r="EG37830"/>
      <c r="EH37830"/>
      <c r="EI37830"/>
      <c r="EJ37830"/>
      <c r="EK37830"/>
    </row>
    <row r="37831" spans="1:141" s="116" customFormat="1">
      <c r="A37831" s="136"/>
      <c r="CM37831" s="111"/>
      <c r="CQ37831" s="111"/>
      <c r="EF37831"/>
      <c r="EG37831"/>
      <c r="EH37831"/>
      <c r="EI37831"/>
      <c r="EJ37831"/>
      <c r="EK37831"/>
    </row>
    <row r="37832" spans="1:141" s="116" customFormat="1">
      <c r="A37832" s="136"/>
      <c r="CM37832" s="111"/>
      <c r="CQ37832" s="111"/>
      <c r="EF37832"/>
      <c r="EG37832"/>
      <c r="EH37832"/>
      <c r="EI37832"/>
      <c r="EJ37832"/>
      <c r="EK37832"/>
    </row>
    <row r="37833" spans="1:141" s="116" customFormat="1">
      <c r="A37833" s="136"/>
      <c r="CM37833" s="111"/>
      <c r="CQ37833" s="111"/>
      <c r="EF37833"/>
      <c r="EG37833"/>
      <c r="EH37833"/>
      <c r="EI37833"/>
      <c r="EJ37833"/>
      <c r="EK37833"/>
    </row>
    <row r="37834" spans="1:141" s="116" customFormat="1">
      <c r="A37834" s="136"/>
      <c r="CM37834" s="111"/>
      <c r="CQ37834" s="111"/>
      <c r="EF37834"/>
      <c r="EG37834"/>
      <c r="EH37834"/>
      <c r="EI37834"/>
      <c r="EJ37834"/>
      <c r="EK37834"/>
    </row>
    <row r="37835" spans="1:141" s="116" customFormat="1">
      <c r="A37835" s="136"/>
      <c r="CM37835" s="111"/>
      <c r="CQ37835" s="111"/>
      <c r="EF37835"/>
      <c r="EG37835"/>
      <c r="EH37835"/>
      <c r="EI37835"/>
      <c r="EJ37835"/>
      <c r="EK37835"/>
    </row>
    <row r="37836" spans="1:141" s="116" customFormat="1">
      <c r="A37836" s="136"/>
      <c r="CM37836" s="111"/>
      <c r="CQ37836" s="111"/>
      <c r="EF37836"/>
      <c r="EG37836"/>
      <c r="EH37836"/>
      <c r="EI37836"/>
      <c r="EJ37836"/>
      <c r="EK37836"/>
    </row>
    <row r="37837" spans="1:141" s="116" customFormat="1">
      <c r="A37837" s="136"/>
      <c r="CM37837" s="111"/>
      <c r="CQ37837" s="111"/>
      <c r="EF37837"/>
      <c r="EG37837"/>
      <c r="EH37837"/>
      <c r="EI37837"/>
      <c r="EJ37837"/>
      <c r="EK37837"/>
    </row>
    <row r="37838" spans="1:141" s="116" customFormat="1">
      <c r="A37838" s="136"/>
      <c r="CM37838" s="111"/>
      <c r="CQ37838" s="111"/>
      <c r="EF37838"/>
      <c r="EG37838"/>
      <c r="EH37838"/>
      <c r="EI37838"/>
      <c r="EJ37838"/>
      <c r="EK37838"/>
    </row>
    <row r="37839" spans="1:141" s="116" customFormat="1">
      <c r="A37839" s="136"/>
      <c r="CM37839" s="111"/>
      <c r="CQ37839" s="111"/>
      <c r="EF37839"/>
      <c r="EG37839"/>
      <c r="EH37839"/>
      <c r="EI37839"/>
      <c r="EJ37839"/>
      <c r="EK37839"/>
    </row>
    <row r="37840" spans="1:141" s="116" customFormat="1">
      <c r="A37840" s="136"/>
      <c r="CM37840" s="111"/>
      <c r="CQ37840" s="111"/>
      <c r="EF37840"/>
      <c r="EG37840"/>
      <c r="EH37840"/>
      <c r="EI37840"/>
      <c r="EJ37840"/>
      <c r="EK37840"/>
    </row>
    <row r="37841" spans="1:141" s="116" customFormat="1">
      <c r="A37841" s="136"/>
      <c r="CM37841" s="111"/>
      <c r="CQ37841" s="111"/>
      <c r="EF37841"/>
      <c r="EG37841"/>
      <c r="EH37841"/>
      <c r="EI37841"/>
      <c r="EJ37841"/>
      <c r="EK37841"/>
    </row>
    <row r="37842" spans="1:141" s="116" customFormat="1">
      <c r="A37842" s="136"/>
      <c r="CM37842" s="111"/>
      <c r="CQ37842" s="111"/>
      <c r="EF37842"/>
      <c r="EG37842"/>
      <c r="EH37842"/>
      <c r="EI37842"/>
      <c r="EJ37842"/>
      <c r="EK37842"/>
    </row>
    <row r="37843" spans="1:141" s="116" customFormat="1">
      <c r="A37843" s="136"/>
      <c r="CM37843" s="111"/>
      <c r="CQ37843" s="111"/>
      <c r="EF37843"/>
      <c r="EG37843"/>
      <c r="EH37843"/>
      <c r="EI37843"/>
      <c r="EJ37843"/>
      <c r="EK37843"/>
    </row>
    <row r="37844" spans="1:141" s="116" customFormat="1">
      <c r="A37844" s="136"/>
      <c r="CM37844" s="111"/>
      <c r="CQ37844" s="111"/>
      <c r="EF37844"/>
      <c r="EG37844"/>
      <c r="EH37844"/>
      <c r="EI37844"/>
      <c r="EJ37844"/>
      <c r="EK37844"/>
    </row>
    <row r="37845" spans="1:141" s="116" customFormat="1">
      <c r="A37845" s="136"/>
      <c r="CM37845" s="111"/>
      <c r="CQ37845" s="111"/>
      <c r="EF37845"/>
      <c r="EG37845"/>
      <c r="EH37845"/>
      <c r="EI37845"/>
      <c r="EJ37845"/>
      <c r="EK37845"/>
    </row>
    <row r="37846" spans="1:141" s="116" customFormat="1">
      <c r="A37846" s="136"/>
      <c r="CM37846" s="111"/>
      <c r="CQ37846" s="111"/>
      <c r="EF37846"/>
      <c r="EG37846"/>
      <c r="EH37846"/>
      <c r="EI37846"/>
      <c r="EJ37846"/>
      <c r="EK37846"/>
    </row>
    <row r="37847" spans="1:141" s="116" customFormat="1">
      <c r="A37847" s="136"/>
      <c r="CM37847" s="111"/>
      <c r="CQ37847" s="111"/>
      <c r="EF37847"/>
      <c r="EG37847"/>
      <c r="EH37847"/>
      <c r="EI37847"/>
      <c r="EJ37847"/>
      <c r="EK37847"/>
    </row>
    <row r="37848" spans="1:141" s="116" customFormat="1">
      <c r="A37848" s="136"/>
      <c r="CM37848" s="111"/>
      <c r="CQ37848" s="111"/>
      <c r="EF37848"/>
      <c r="EG37848"/>
      <c r="EH37848"/>
      <c r="EI37848"/>
      <c r="EJ37848"/>
      <c r="EK37848"/>
    </row>
    <row r="37849" spans="1:141" s="116" customFormat="1">
      <c r="A37849" s="136"/>
      <c r="CM37849" s="111"/>
      <c r="CQ37849" s="111"/>
      <c r="EF37849"/>
      <c r="EG37849"/>
      <c r="EH37849"/>
      <c r="EI37849"/>
      <c r="EJ37849"/>
      <c r="EK37849"/>
    </row>
    <row r="37850" spans="1:141" s="116" customFormat="1">
      <c r="A37850" s="136"/>
      <c r="CM37850" s="111"/>
      <c r="CQ37850" s="111"/>
      <c r="EF37850"/>
      <c r="EG37850"/>
      <c r="EH37850"/>
      <c r="EI37850"/>
      <c r="EJ37850"/>
      <c r="EK37850"/>
    </row>
    <row r="37851" spans="1:141" s="116" customFormat="1">
      <c r="A37851" s="136"/>
      <c r="CM37851" s="111"/>
      <c r="CQ37851" s="111"/>
      <c r="EF37851"/>
      <c r="EG37851"/>
      <c r="EH37851"/>
      <c r="EI37851"/>
      <c r="EJ37851"/>
      <c r="EK37851"/>
    </row>
    <row r="37852" spans="1:141" s="116" customFormat="1">
      <c r="A37852" s="136"/>
      <c r="CM37852" s="111"/>
      <c r="CQ37852" s="111"/>
      <c r="EF37852"/>
      <c r="EG37852"/>
      <c r="EH37852"/>
      <c r="EI37852"/>
      <c r="EJ37852"/>
      <c r="EK37852"/>
    </row>
    <row r="37853" spans="1:141" s="116" customFormat="1">
      <c r="A37853" s="136"/>
      <c r="CM37853" s="111"/>
      <c r="CQ37853" s="111"/>
      <c r="EF37853"/>
      <c r="EG37853"/>
      <c r="EH37853"/>
      <c r="EI37853"/>
      <c r="EJ37853"/>
      <c r="EK37853"/>
    </row>
    <row r="37854" spans="1:141" s="116" customFormat="1">
      <c r="A37854" s="136"/>
      <c r="CM37854" s="111"/>
      <c r="CQ37854" s="111"/>
      <c r="EF37854"/>
      <c r="EG37854"/>
      <c r="EH37854"/>
      <c r="EI37854"/>
      <c r="EJ37854"/>
      <c r="EK37854"/>
    </row>
    <row r="37855" spans="1:141" s="116" customFormat="1">
      <c r="A37855" s="136"/>
      <c r="CM37855" s="111"/>
      <c r="CQ37855" s="111"/>
      <c r="EF37855"/>
      <c r="EG37855"/>
      <c r="EH37855"/>
      <c r="EI37855"/>
      <c r="EJ37855"/>
      <c r="EK37855"/>
    </row>
    <row r="37856" spans="1:141" s="116" customFormat="1">
      <c r="A37856" s="136"/>
      <c r="CM37856" s="111"/>
      <c r="CQ37856" s="111"/>
      <c r="EF37856"/>
      <c r="EG37856"/>
      <c r="EH37856"/>
      <c r="EI37856"/>
      <c r="EJ37856"/>
      <c r="EK37856"/>
    </row>
    <row r="37857" spans="1:141" s="116" customFormat="1">
      <c r="A37857" s="136"/>
      <c r="CM37857" s="111"/>
      <c r="CQ37857" s="111"/>
      <c r="EF37857"/>
      <c r="EG37857"/>
      <c r="EH37857"/>
      <c r="EI37857"/>
      <c r="EJ37857"/>
      <c r="EK37857"/>
    </row>
    <row r="37858" spans="1:141" s="116" customFormat="1">
      <c r="A37858" s="136"/>
      <c r="CM37858" s="111"/>
      <c r="CQ37858" s="111"/>
      <c r="EF37858"/>
      <c r="EG37858"/>
      <c r="EH37858"/>
      <c r="EI37858"/>
      <c r="EJ37858"/>
      <c r="EK37858"/>
    </row>
    <row r="37859" spans="1:141" s="116" customFormat="1">
      <c r="A37859" s="136"/>
      <c r="CM37859" s="111"/>
      <c r="CQ37859" s="111"/>
      <c r="EF37859"/>
      <c r="EG37859"/>
      <c r="EH37859"/>
      <c r="EI37859"/>
      <c r="EJ37859"/>
      <c r="EK37859"/>
    </row>
    <row r="37860" spans="1:141" s="116" customFormat="1">
      <c r="A37860" s="136"/>
      <c r="CM37860" s="111"/>
      <c r="CQ37860" s="111"/>
      <c r="EF37860"/>
      <c r="EG37860"/>
      <c r="EH37860"/>
      <c r="EI37860"/>
      <c r="EJ37860"/>
      <c r="EK37860"/>
    </row>
    <row r="37861" spans="1:141" s="116" customFormat="1">
      <c r="A37861" s="136"/>
      <c r="CM37861" s="111"/>
      <c r="CQ37861" s="111"/>
      <c r="EF37861"/>
      <c r="EG37861"/>
      <c r="EH37861"/>
      <c r="EI37861"/>
      <c r="EJ37861"/>
      <c r="EK37861"/>
    </row>
    <row r="37862" spans="1:141" s="116" customFormat="1">
      <c r="A37862" s="136"/>
      <c r="CM37862" s="111"/>
      <c r="CQ37862" s="111"/>
      <c r="EF37862"/>
      <c r="EG37862"/>
      <c r="EH37862"/>
      <c r="EI37862"/>
      <c r="EJ37862"/>
      <c r="EK37862"/>
    </row>
    <row r="37863" spans="1:141" s="116" customFormat="1">
      <c r="A37863" s="136"/>
      <c r="CM37863" s="111"/>
      <c r="CQ37863" s="111"/>
      <c r="EF37863"/>
      <c r="EG37863"/>
      <c r="EH37863"/>
      <c r="EI37863"/>
      <c r="EJ37863"/>
      <c r="EK37863"/>
    </row>
    <row r="37864" spans="1:141" s="116" customFormat="1">
      <c r="A37864" s="136"/>
      <c r="CM37864" s="111"/>
      <c r="CQ37864" s="111"/>
      <c r="EF37864"/>
      <c r="EG37864"/>
      <c r="EH37864"/>
      <c r="EI37864"/>
      <c r="EJ37864"/>
      <c r="EK37864"/>
    </row>
    <row r="37865" spans="1:141" s="116" customFormat="1">
      <c r="A37865" s="136"/>
      <c r="CM37865" s="111"/>
      <c r="CQ37865" s="111"/>
      <c r="EF37865"/>
      <c r="EG37865"/>
      <c r="EH37865"/>
      <c r="EI37865"/>
      <c r="EJ37865"/>
      <c r="EK37865"/>
    </row>
    <row r="37866" spans="1:141" s="116" customFormat="1">
      <c r="A37866" s="136"/>
      <c r="CM37866" s="111"/>
      <c r="CQ37866" s="111"/>
      <c r="EF37866"/>
      <c r="EG37866"/>
      <c r="EH37866"/>
      <c r="EI37866"/>
      <c r="EJ37866"/>
      <c r="EK37866"/>
    </row>
    <row r="37867" spans="1:141" s="116" customFormat="1">
      <c r="A37867" s="136"/>
      <c r="CM37867" s="111"/>
      <c r="CQ37867" s="111"/>
      <c r="EF37867"/>
      <c r="EG37867"/>
      <c r="EH37867"/>
      <c r="EI37867"/>
      <c r="EJ37867"/>
      <c r="EK37867"/>
    </row>
    <row r="37868" spans="1:141" s="116" customFormat="1">
      <c r="A37868" s="136"/>
      <c r="CM37868" s="111"/>
      <c r="CQ37868" s="111"/>
      <c r="EF37868"/>
      <c r="EG37868"/>
      <c r="EH37868"/>
      <c r="EI37868"/>
      <c r="EJ37868"/>
      <c r="EK37868"/>
    </row>
    <row r="37869" spans="1:141" s="116" customFormat="1">
      <c r="A37869" s="136"/>
      <c r="CM37869" s="111"/>
      <c r="CQ37869" s="111"/>
      <c r="EF37869"/>
      <c r="EG37869"/>
      <c r="EH37869"/>
      <c r="EI37869"/>
      <c r="EJ37869"/>
      <c r="EK37869"/>
    </row>
    <row r="37870" spans="1:141" s="116" customFormat="1">
      <c r="A37870" s="136"/>
      <c r="CM37870" s="111"/>
      <c r="CQ37870" s="111"/>
      <c r="EF37870"/>
      <c r="EG37870"/>
      <c r="EH37870"/>
      <c r="EI37870"/>
      <c r="EJ37870"/>
      <c r="EK37870"/>
    </row>
    <row r="37871" spans="1:141" s="116" customFormat="1">
      <c r="A37871" s="136"/>
      <c r="CM37871" s="111"/>
      <c r="CQ37871" s="111"/>
      <c r="EF37871"/>
      <c r="EG37871"/>
      <c r="EH37871"/>
      <c r="EI37871"/>
      <c r="EJ37871"/>
      <c r="EK37871"/>
    </row>
    <row r="37872" spans="1:141" s="116" customFormat="1">
      <c r="A37872" s="136"/>
      <c r="CM37872" s="111"/>
      <c r="CQ37872" s="111"/>
      <c r="EF37872"/>
      <c r="EG37872"/>
      <c r="EH37872"/>
      <c r="EI37872"/>
      <c r="EJ37872"/>
      <c r="EK37872"/>
    </row>
    <row r="37873" spans="1:141" s="116" customFormat="1">
      <c r="A37873" s="136"/>
      <c r="CM37873" s="111"/>
      <c r="CQ37873" s="111"/>
      <c r="EF37873"/>
      <c r="EG37873"/>
      <c r="EH37873"/>
      <c r="EI37873"/>
      <c r="EJ37873"/>
      <c r="EK37873"/>
    </row>
    <row r="37874" spans="1:141" s="116" customFormat="1">
      <c r="A37874" s="136"/>
      <c r="CM37874" s="111"/>
      <c r="CQ37874" s="111"/>
      <c r="EF37874"/>
      <c r="EG37874"/>
      <c r="EH37874"/>
      <c r="EI37874"/>
      <c r="EJ37874"/>
      <c r="EK37874"/>
    </row>
    <row r="37875" spans="1:141" s="116" customFormat="1">
      <c r="A37875" s="136"/>
      <c r="CM37875" s="111"/>
      <c r="CQ37875" s="111"/>
      <c r="EF37875"/>
      <c r="EG37875"/>
      <c r="EH37875"/>
      <c r="EI37875"/>
      <c r="EJ37875"/>
      <c r="EK37875"/>
    </row>
    <row r="37876" spans="1:141" s="116" customFormat="1">
      <c r="A37876" s="136"/>
      <c r="CM37876" s="111"/>
      <c r="CQ37876" s="111"/>
      <c r="EF37876"/>
      <c r="EG37876"/>
      <c r="EH37876"/>
      <c r="EI37876"/>
      <c r="EJ37876"/>
      <c r="EK37876"/>
    </row>
    <row r="37877" spans="1:141" s="116" customFormat="1">
      <c r="A37877" s="136"/>
      <c r="CM37877" s="111"/>
      <c r="CQ37877" s="111"/>
      <c r="EF37877"/>
      <c r="EG37877"/>
      <c r="EH37877"/>
      <c r="EI37877"/>
      <c r="EJ37877"/>
      <c r="EK37877"/>
    </row>
    <row r="37878" spans="1:141" s="116" customFormat="1">
      <c r="A37878" s="136"/>
      <c r="CM37878" s="111"/>
      <c r="CQ37878" s="111"/>
      <c r="EF37878"/>
      <c r="EG37878"/>
      <c r="EH37878"/>
      <c r="EI37878"/>
      <c r="EJ37878"/>
      <c r="EK37878"/>
    </row>
    <row r="37879" spans="1:141" s="116" customFormat="1">
      <c r="A37879" s="136"/>
      <c r="CM37879" s="111"/>
      <c r="CQ37879" s="111"/>
      <c r="EF37879"/>
      <c r="EG37879"/>
      <c r="EH37879"/>
      <c r="EI37879"/>
      <c r="EJ37879"/>
      <c r="EK37879"/>
    </row>
    <row r="37880" spans="1:141" s="116" customFormat="1">
      <c r="A37880" s="136"/>
      <c r="CM37880" s="111"/>
      <c r="CQ37880" s="111"/>
      <c r="EF37880"/>
      <c r="EG37880"/>
      <c r="EH37880"/>
      <c r="EI37880"/>
      <c r="EJ37880"/>
      <c r="EK37880"/>
    </row>
    <row r="37881" spans="1:141" s="116" customFormat="1">
      <c r="A37881" s="136"/>
      <c r="CM37881" s="111"/>
      <c r="CQ37881" s="111"/>
      <c r="EF37881"/>
      <c r="EG37881"/>
      <c r="EH37881"/>
      <c r="EI37881"/>
      <c r="EJ37881"/>
      <c r="EK37881"/>
    </row>
    <row r="37882" spans="1:141" s="116" customFormat="1">
      <c r="A37882" s="136"/>
      <c r="CM37882" s="111"/>
      <c r="CQ37882" s="111"/>
      <c r="EF37882"/>
      <c r="EG37882"/>
      <c r="EH37882"/>
      <c r="EI37882"/>
      <c r="EJ37882"/>
      <c r="EK37882"/>
    </row>
    <row r="37883" spans="1:141" s="116" customFormat="1">
      <c r="A37883" s="136"/>
      <c r="CM37883" s="111"/>
      <c r="CQ37883" s="111"/>
      <c r="EF37883"/>
      <c r="EG37883"/>
      <c r="EH37883"/>
      <c r="EI37883"/>
      <c r="EJ37883"/>
      <c r="EK37883"/>
    </row>
    <row r="37884" spans="1:141" s="116" customFormat="1">
      <c r="A37884" s="136"/>
      <c r="CM37884" s="111"/>
      <c r="CQ37884" s="111"/>
      <c r="EF37884"/>
      <c r="EG37884"/>
      <c r="EH37884"/>
      <c r="EI37884"/>
      <c r="EJ37884"/>
      <c r="EK37884"/>
    </row>
    <row r="37885" spans="1:141" s="116" customFormat="1">
      <c r="A37885" s="136"/>
      <c r="CM37885" s="111"/>
      <c r="CQ37885" s="111"/>
      <c r="EF37885"/>
      <c r="EG37885"/>
      <c r="EH37885"/>
      <c r="EI37885"/>
      <c r="EJ37885"/>
      <c r="EK37885"/>
    </row>
    <row r="37886" spans="1:141" s="116" customFormat="1">
      <c r="A37886" s="136"/>
      <c r="CM37886" s="111"/>
      <c r="CQ37886" s="111"/>
      <c r="EF37886"/>
      <c r="EG37886"/>
      <c r="EH37886"/>
      <c r="EI37886"/>
      <c r="EJ37886"/>
      <c r="EK37886"/>
    </row>
    <row r="37887" spans="1:141" s="116" customFormat="1">
      <c r="A37887" s="136"/>
      <c r="CM37887" s="111"/>
      <c r="CQ37887" s="111"/>
      <c r="EF37887"/>
      <c r="EG37887"/>
      <c r="EH37887"/>
      <c r="EI37887"/>
      <c r="EJ37887"/>
      <c r="EK37887"/>
    </row>
    <row r="37888" spans="1:141" s="116" customFormat="1">
      <c r="A37888" s="136"/>
      <c r="CM37888" s="111"/>
      <c r="CQ37888" s="111"/>
      <c r="EF37888"/>
      <c r="EG37888"/>
      <c r="EH37888"/>
      <c r="EI37888"/>
      <c r="EJ37888"/>
      <c r="EK37888"/>
    </row>
    <row r="37889" spans="1:141" s="116" customFormat="1">
      <c r="A37889" s="136"/>
      <c r="CM37889" s="111"/>
      <c r="CQ37889" s="111"/>
      <c r="EF37889"/>
      <c r="EG37889"/>
      <c r="EH37889"/>
      <c r="EI37889"/>
      <c r="EJ37889"/>
      <c r="EK37889"/>
    </row>
    <row r="37890" spans="1:141" s="116" customFormat="1">
      <c r="A37890" s="136"/>
      <c r="CM37890" s="111"/>
      <c r="CQ37890" s="111"/>
      <c r="EF37890"/>
      <c r="EG37890"/>
      <c r="EH37890"/>
      <c r="EI37890"/>
      <c r="EJ37890"/>
      <c r="EK37890"/>
    </row>
    <row r="37891" spans="1:141" s="116" customFormat="1">
      <c r="A37891" s="136"/>
      <c r="CM37891" s="111"/>
      <c r="CQ37891" s="111"/>
      <c r="EF37891"/>
      <c r="EG37891"/>
      <c r="EH37891"/>
      <c r="EI37891"/>
      <c r="EJ37891"/>
      <c r="EK37891"/>
    </row>
    <row r="37892" spans="1:141" s="116" customFormat="1">
      <c r="A37892" s="136"/>
      <c r="CM37892" s="111"/>
      <c r="CQ37892" s="111"/>
      <c r="EF37892"/>
      <c r="EG37892"/>
      <c r="EH37892"/>
      <c r="EI37892"/>
      <c r="EJ37892"/>
      <c r="EK37892"/>
    </row>
    <row r="37893" spans="1:141" s="116" customFormat="1">
      <c r="A37893" s="136"/>
      <c r="CM37893" s="111"/>
      <c r="CQ37893" s="111"/>
      <c r="EF37893"/>
      <c r="EG37893"/>
      <c r="EH37893"/>
      <c r="EI37893"/>
      <c r="EJ37893"/>
      <c r="EK37893"/>
    </row>
    <row r="37894" spans="1:141" s="116" customFormat="1">
      <c r="A37894" s="136"/>
      <c r="CM37894" s="111"/>
      <c r="CQ37894" s="111"/>
      <c r="EF37894"/>
      <c r="EG37894"/>
      <c r="EH37894"/>
      <c r="EI37894"/>
      <c r="EJ37894"/>
      <c r="EK37894"/>
    </row>
    <row r="37895" spans="1:141" s="116" customFormat="1">
      <c r="A37895" s="136"/>
      <c r="CM37895" s="111"/>
      <c r="CQ37895" s="111"/>
      <c r="EF37895"/>
      <c r="EG37895"/>
      <c r="EH37895"/>
      <c r="EI37895"/>
      <c r="EJ37895"/>
      <c r="EK37895"/>
    </row>
    <row r="37896" spans="1:141" s="116" customFormat="1">
      <c r="A37896" s="136"/>
      <c r="CM37896" s="111"/>
      <c r="CQ37896" s="111"/>
      <c r="EF37896"/>
      <c r="EG37896"/>
      <c r="EH37896"/>
      <c r="EI37896"/>
      <c r="EJ37896"/>
      <c r="EK37896"/>
    </row>
    <row r="37897" spans="1:141" s="116" customFormat="1">
      <c r="A37897" s="136"/>
      <c r="CM37897" s="111"/>
      <c r="CQ37897" s="111"/>
      <c r="EF37897"/>
      <c r="EG37897"/>
      <c r="EH37897"/>
      <c r="EI37897"/>
      <c r="EJ37897"/>
      <c r="EK37897"/>
    </row>
    <row r="37898" spans="1:141" s="116" customFormat="1">
      <c r="A37898" s="136"/>
      <c r="CM37898" s="111"/>
      <c r="CQ37898" s="111"/>
      <c r="EF37898"/>
      <c r="EG37898"/>
      <c r="EH37898"/>
      <c r="EI37898"/>
      <c r="EJ37898"/>
      <c r="EK37898"/>
    </row>
    <row r="37899" spans="1:141" s="116" customFormat="1">
      <c r="A37899" s="136"/>
      <c r="CM37899" s="111"/>
      <c r="CQ37899" s="111"/>
      <c r="EF37899"/>
      <c r="EG37899"/>
      <c r="EH37899"/>
      <c r="EI37899"/>
      <c r="EJ37899"/>
      <c r="EK37899"/>
    </row>
    <row r="37900" spans="1:141" s="116" customFormat="1">
      <c r="A37900" s="136"/>
      <c r="CM37900" s="111"/>
      <c r="CQ37900" s="111"/>
      <c r="EF37900"/>
      <c r="EG37900"/>
      <c r="EH37900"/>
      <c r="EI37900"/>
      <c r="EJ37900"/>
      <c r="EK37900"/>
    </row>
    <row r="37901" spans="1:141" s="116" customFormat="1">
      <c r="A37901" s="136"/>
      <c r="CM37901" s="111"/>
      <c r="CQ37901" s="111"/>
      <c r="EF37901"/>
      <c r="EG37901"/>
      <c r="EH37901"/>
      <c r="EI37901"/>
      <c r="EJ37901"/>
      <c r="EK37901"/>
    </row>
    <row r="37902" spans="1:141" s="116" customFormat="1">
      <c r="A37902" s="136"/>
      <c r="CM37902" s="111"/>
      <c r="CQ37902" s="111"/>
      <c r="EF37902"/>
      <c r="EG37902"/>
      <c r="EH37902"/>
      <c r="EI37902"/>
      <c r="EJ37902"/>
      <c r="EK37902"/>
    </row>
    <row r="37903" spans="1:141" s="116" customFormat="1">
      <c r="A37903" s="136"/>
      <c r="CM37903" s="111"/>
      <c r="CQ37903" s="111"/>
      <c r="EF37903"/>
      <c r="EG37903"/>
      <c r="EH37903"/>
      <c r="EI37903"/>
      <c r="EJ37903"/>
      <c r="EK37903"/>
    </row>
    <row r="37904" spans="1:141" s="116" customFormat="1">
      <c r="A37904" s="136"/>
      <c r="CM37904" s="111"/>
      <c r="CQ37904" s="111"/>
      <c r="EF37904"/>
      <c r="EG37904"/>
      <c r="EH37904"/>
      <c r="EI37904"/>
      <c r="EJ37904"/>
      <c r="EK37904"/>
    </row>
    <row r="37905" spans="1:141" s="116" customFormat="1">
      <c r="A37905" s="136"/>
      <c r="CM37905" s="111"/>
      <c r="CQ37905" s="111"/>
      <c r="EF37905"/>
      <c r="EG37905"/>
      <c r="EH37905"/>
      <c r="EI37905"/>
      <c r="EJ37905"/>
      <c r="EK37905"/>
    </row>
    <row r="37906" spans="1:141" s="116" customFormat="1">
      <c r="A37906" s="136"/>
      <c r="CM37906" s="111"/>
      <c r="CQ37906" s="111"/>
      <c r="EF37906"/>
      <c r="EG37906"/>
      <c r="EH37906"/>
      <c r="EI37906"/>
      <c r="EJ37906"/>
      <c r="EK37906"/>
    </row>
    <row r="37907" spans="1:141" s="116" customFormat="1">
      <c r="A37907" s="136"/>
      <c r="CM37907" s="111"/>
      <c r="CQ37907" s="111"/>
      <c r="EF37907"/>
      <c r="EG37907"/>
      <c r="EH37907"/>
      <c r="EI37907"/>
      <c r="EJ37907"/>
      <c r="EK37907"/>
    </row>
    <row r="37908" spans="1:141" s="116" customFormat="1">
      <c r="A37908" s="136"/>
      <c r="CM37908" s="111"/>
      <c r="CQ37908" s="111"/>
      <c r="EF37908"/>
      <c r="EG37908"/>
      <c r="EH37908"/>
      <c r="EI37908"/>
      <c r="EJ37908"/>
      <c r="EK37908"/>
    </row>
    <row r="37909" spans="1:141" s="116" customFormat="1">
      <c r="A37909" s="136"/>
      <c r="CM37909" s="111"/>
      <c r="CQ37909" s="111"/>
      <c r="EF37909"/>
      <c r="EG37909"/>
      <c r="EH37909"/>
      <c r="EI37909"/>
      <c r="EJ37909"/>
      <c r="EK37909"/>
    </row>
    <row r="37910" spans="1:141" s="116" customFormat="1">
      <c r="A37910" s="136"/>
      <c r="CM37910" s="111"/>
      <c r="CQ37910" s="111"/>
      <c r="EF37910"/>
      <c r="EG37910"/>
      <c r="EH37910"/>
      <c r="EI37910"/>
      <c r="EJ37910"/>
      <c r="EK37910"/>
    </row>
    <row r="37911" spans="1:141" s="116" customFormat="1">
      <c r="A37911" s="136"/>
      <c r="CM37911" s="111"/>
      <c r="CQ37911" s="111"/>
      <c r="EF37911"/>
      <c r="EG37911"/>
      <c r="EH37911"/>
      <c r="EI37911"/>
      <c r="EJ37911"/>
      <c r="EK37911"/>
    </row>
    <row r="37912" spans="1:141" s="116" customFormat="1">
      <c r="A37912" s="136"/>
      <c r="CM37912" s="111"/>
      <c r="CQ37912" s="111"/>
      <c r="EF37912"/>
      <c r="EG37912"/>
      <c r="EH37912"/>
      <c r="EI37912"/>
      <c r="EJ37912"/>
      <c r="EK37912"/>
    </row>
    <row r="37913" spans="1:141" s="116" customFormat="1">
      <c r="A37913" s="136"/>
      <c r="CM37913" s="111"/>
      <c r="CQ37913" s="111"/>
      <c r="EF37913"/>
      <c r="EG37913"/>
      <c r="EH37913"/>
      <c r="EI37913"/>
      <c r="EJ37913"/>
      <c r="EK37913"/>
    </row>
    <row r="37914" spans="1:141" s="116" customFormat="1">
      <c r="A37914" s="136"/>
      <c r="CM37914" s="111"/>
      <c r="CQ37914" s="111"/>
      <c r="EF37914"/>
      <c r="EG37914"/>
      <c r="EH37914"/>
      <c r="EI37914"/>
      <c r="EJ37914"/>
      <c r="EK37914"/>
    </row>
    <row r="37915" spans="1:141" s="116" customFormat="1">
      <c r="A37915" s="136"/>
      <c r="CM37915" s="111"/>
      <c r="CQ37915" s="111"/>
      <c r="EF37915"/>
      <c r="EG37915"/>
      <c r="EH37915"/>
      <c r="EI37915"/>
      <c r="EJ37915"/>
      <c r="EK37915"/>
    </row>
    <row r="37916" spans="1:141" s="116" customFormat="1">
      <c r="A37916" s="136"/>
      <c r="CM37916" s="111"/>
      <c r="CQ37916" s="111"/>
      <c r="EF37916"/>
      <c r="EG37916"/>
      <c r="EH37916"/>
      <c r="EI37916"/>
      <c r="EJ37916"/>
      <c r="EK37916"/>
    </row>
    <row r="37917" spans="1:141" s="116" customFormat="1">
      <c r="A37917" s="136"/>
      <c r="CM37917" s="111"/>
      <c r="CQ37917" s="111"/>
      <c r="EF37917"/>
      <c r="EG37917"/>
      <c r="EH37917"/>
      <c r="EI37917"/>
      <c r="EJ37917"/>
      <c r="EK37917"/>
    </row>
    <row r="37918" spans="1:141" s="116" customFormat="1">
      <c r="A37918" s="136"/>
      <c r="CM37918" s="111"/>
      <c r="CQ37918" s="111"/>
      <c r="EF37918"/>
      <c r="EG37918"/>
      <c r="EH37918"/>
      <c r="EI37918"/>
      <c r="EJ37918"/>
      <c r="EK37918"/>
    </row>
    <row r="37919" spans="1:141" s="116" customFormat="1">
      <c r="A37919" s="136"/>
      <c r="CM37919" s="111"/>
      <c r="CQ37919" s="111"/>
      <c r="EF37919"/>
      <c r="EG37919"/>
      <c r="EH37919"/>
      <c r="EI37919"/>
      <c r="EJ37919"/>
      <c r="EK37919"/>
    </row>
    <row r="37920" spans="1:141" s="116" customFormat="1">
      <c r="A37920" s="136"/>
      <c r="CM37920" s="111"/>
      <c r="CQ37920" s="111"/>
      <c r="EF37920"/>
      <c r="EG37920"/>
      <c r="EH37920"/>
      <c r="EI37920"/>
      <c r="EJ37920"/>
      <c r="EK37920"/>
    </row>
    <row r="37921" spans="1:141" s="116" customFormat="1">
      <c r="A37921" s="136"/>
      <c r="CM37921" s="111"/>
      <c r="CQ37921" s="111"/>
      <c r="EF37921"/>
      <c r="EG37921"/>
      <c r="EH37921"/>
      <c r="EI37921"/>
      <c r="EJ37921"/>
      <c r="EK37921"/>
    </row>
    <row r="37922" spans="1:141" s="116" customFormat="1">
      <c r="A37922" s="136"/>
      <c r="CM37922" s="111"/>
      <c r="CQ37922" s="111"/>
      <c r="EF37922"/>
      <c r="EG37922"/>
      <c r="EH37922"/>
      <c r="EI37922"/>
      <c r="EJ37922"/>
      <c r="EK37922"/>
    </row>
    <row r="37923" spans="1:141" s="116" customFormat="1">
      <c r="A37923" s="136"/>
      <c r="CM37923" s="111"/>
      <c r="CQ37923" s="111"/>
      <c r="EF37923"/>
      <c r="EG37923"/>
      <c r="EH37923"/>
      <c r="EI37923"/>
      <c r="EJ37923"/>
      <c r="EK37923"/>
    </row>
    <row r="37924" spans="1:141" s="116" customFormat="1">
      <c r="A37924" s="136"/>
      <c r="CM37924" s="111"/>
      <c r="CQ37924" s="111"/>
      <c r="EF37924"/>
      <c r="EG37924"/>
      <c r="EH37924"/>
      <c r="EI37924"/>
      <c r="EJ37924"/>
      <c r="EK37924"/>
    </row>
    <row r="37925" spans="1:141" s="116" customFormat="1">
      <c r="A37925" s="136"/>
      <c r="CM37925" s="111"/>
      <c r="CQ37925" s="111"/>
      <c r="EF37925"/>
      <c r="EG37925"/>
      <c r="EH37925"/>
      <c r="EI37925"/>
      <c r="EJ37925"/>
      <c r="EK37925"/>
    </row>
    <row r="37926" spans="1:141" s="116" customFormat="1">
      <c r="A37926" s="136"/>
      <c r="CM37926" s="111"/>
      <c r="CQ37926" s="111"/>
      <c r="EF37926"/>
      <c r="EG37926"/>
      <c r="EH37926"/>
      <c r="EI37926"/>
      <c r="EJ37926"/>
      <c r="EK37926"/>
    </row>
    <row r="37927" spans="1:141" s="116" customFormat="1">
      <c r="A37927" s="136"/>
      <c r="CM37927" s="111"/>
      <c r="CQ37927" s="111"/>
      <c r="EF37927"/>
      <c r="EG37927"/>
      <c r="EH37927"/>
      <c r="EI37927"/>
      <c r="EJ37927"/>
      <c r="EK37927"/>
    </row>
    <row r="37928" spans="1:141" s="116" customFormat="1">
      <c r="A37928" s="136"/>
      <c r="CM37928" s="111"/>
      <c r="CQ37928" s="111"/>
      <c r="EF37928"/>
      <c r="EG37928"/>
      <c r="EH37928"/>
      <c r="EI37928"/>
      <c r="EJ37928"/>
      <c r="EK37928"/>
    </row>
    <row r="37929" spans="1:141" s="116" customFormat="1">
      <c r="A37929" s="136"/>
      <c r="CM37929" s="111"/>
      <c r="CQ37929" s="111"/>
      <c r="EF37929"/>
      <c r="EG37929"/>
      <c r="EH37929"/>
      <c r="EI37929"/>
      <c r="EJ37929"/>
      <c r="EK37929"/>
    </row>
    <row r="37930" spans="1:141" s="116" customFormat="1">
      <c r="A37930" s="136"/>
      <c r="CM37930" s="111"/>
      <c r="CQ37930" s="111"/>
      <c r="EF37930"/>
      <c r="EG37930"/>
      <c r="EH37930"/>
      <c r="EI37930"/>
      <c r="EJ37930"/>
      <c r="EK37930"/>
    </row>
    <row r="37931" spans="1:141" s="116" customFormat="1">
      <c r="A37931" s="136"/>
      <c r="CM37931" s="111"/>
      <c r="CQ37931" s="111"/>
      <c r="EF37931"/>
      <c r="EG37931"/>
      <c r="EH37931"/>
      <c r="EI37931"/>
      <c r="EJ37931"/>
      <c r="EK37931"/>
    </row>
    <row r="37932" spans="1:141" s="116" customFormat="1">
      <c r="A37932" s="136"/>
      <c r="CM37932" s="111"/>
      <c r="CQ37932" s="111"/>
      <c r="EF37932"/>
      <c r="EG37932"/>
      <c r="EH37932"/>
      <c r="EI37932"/>
      <c r="EJ37932"/>
      <c r="EK37932"/>
    </row>
    <row r="37933" spans="1:141" s="116" customFormat="1">
      <c r="A37933" s="136"/>
      <c r="CM37933" s="111"/>
      <c r="CQ37933" s="111"/>
      <c r="EF37933"/>
      <c r="EG37933"/>
      <c r="EH37933"/>
      <c r="EI37933"/>
      <c r="EJ37933"/>
      <c r="EK37933"/>
    </row>
    <row r="37934" spans="1:141" s="116" customFormat="1">
      <c r="A37934" s="136"/>
      <c r="CM37934" s="111"/>
      <c r="CQ37934" s="111"/>
      <c r="EF37934"/>
      <c r="EG37934"/>
      <c r="EH37934"/>
      <c r="EI37934"/>
      <c r="EJ37934"/>
      <c r="EK37934"/>
    </row>
    <row r="37935" spans="1:141" s="116" customFormat="1">
      <c r="A37935" s="136"/>
      <c r="CM37935" s="111"/>
      <c r="CQ37935" s="111"/>
      <c r="EF37935"/>
      <c r="EG37935"/>
      <c r="EH37935"/>
      <c r="EI37935"/>
      <c r="EJ37935"/>
      <c r="EK37935"/>
    </row>
    <row r="37936" spans="1:141" s="116" customFormat="1">
      <c r="A37936" s="136"/>
      <c r="CM37936" s="111"/>
      <c r="CQ37936" s="111"/>
      <c r="EF37936"/>
      <c r="EG37936"/>
      <c r="EH37936"/>
      <c r="EI37936"/>
      <c r="EJ37936"/>
      <c r="EK37936"/>
    </row>
    <row r="37937" spans="1:141" s="116" customFormat="1">
      <c r="A37937" s="136"/>
      <c r="CM37937" s="111"/>
      <c r="CQ37937" s="111"/>
      <c r="EF37937"/>
      <c r="EG37937"/>
      <c r="EH37937"/>
      <c r="EI37937"/>
      <c r="EJ37937"/>
      <c r="EK37937"/>
    </row>
    <row r="37938" spans="1:141" s="116" customFormat="1">
      <c r="A37938" s="136"/>
      <c r="CM37938" s="111"/>
      <c r="CQ37938" s="111"/>
      <c r="EF37938"/>
      <c r="EG37938"/>
      <c r="EH37938"/>
      <c r="EI37938"/>
      <c r="EJ37938"/>
      <c r="EK37938"/>
    </row>
    <row r="37939" spans="1:141" s="116" customFormat="1">
      <c r="A37939" s="136"/>
      <c r="CM37939" s="111"/>
      <c r="CQ37939" s="111"/>
      <c r="EF37939"/>
      <c r="EG37939"/>
      <c r="EH37939"/>
      <c r="EI37939"/>
      <c r="EJ37939"/>
      <c r="EK37939"/>
    </row>
    <row r="37940" spans="1:141" s="116" customFormat="1">
      <c r="A37940" s="136"/>
      <c r="CM37940" s="111"/>
      <c r="CQ37940" s="111"/>
      <c r="EF37940"/>
      <c r="EG37940"/>
      <c r="EH37940"/>
      <c r="EI37940"/>
      <c r="EJ37940"/>
      <c r="EK37940"/>
    </row>
    <row r="37941" spans="1:141" s="116" customFormat="1">
      <c r="A37941" s="136"/>
      <c r="CM37941" s="111"/>
      <c r="CQ37941" s="111"/>
      <c r="EF37941"/>
      <c r="EG37941"/>
      <c r="EH37941"/>
      <c r="EI37941"/>
      <c r="EJ37941"/>
      <c r="EK37941"/>
    </row>
    <row r="37942" spans="1:141" s="116" customFormat="1">
      <c r="A37942" s="136"/>
      <c r="CM37942" s="111"/>
      <c r="CQ37942" s="111"/>
      <c r="EF37942"/>
      <c r="EG37942"/>
      <c r="EH37942"/>
      <c r="EI37942"/>
      <c r="EJ37942"/>
      <c r="EK37942"/>
    </row>
    <row r="37943" spans="1:141" s="116" customFormat="1">
      <c r="A37943" s="136"/>
      <c r="CM37943" s="111"/>
      <c r="CQ37943" s="111"/>
      <c r="EF37943"/>
      <c r="EG37943"/>
      <c r="EH37943"/>
      <c r="EI37943"/>
      <c r="EJ37943"/>
      <c r="EK37943"/>
    </row>
    <row r="37944" spans="1:141" s="116" customFormat="1">
      <c r="A37944" s="136"/>
      <c r="CM37944" s="111"/>
      <c r="CQ37944" s="111"/>
      <c r="EF37944"/>
      <c r="EG37944"/>
      <c r="EH37944"/>
      <c r="EI37944"/>
      <c r="EJ37944"/>
      <c r="EK37944"/>
    </row>
    <row r="37945" spans="1:141" s="116" customFormat="1">
      <c r="A37945" s="136"/>
      <c r="CM37945" s="111"/>
      <c r="CQ37945" s="111"/>
      <c r="EF37945"/>
      <c r="EG37945"/>
      <c r="EH37945"/>
      <c r="EI37945"/>
      <c r="EJ37945"/>
      <c r="EK37945"/>
    </row>
    <row r="37946" spans="1:141" s="116" customFormat="1">
      <c r="A37946" s="136"/>
      <c r="CM37946" s="111"/>
      <c r="CQ37946" s="111"/>
      <c r="EF37946"/>
      <c r="EG37946"/>
      <c r="EH37946"/>
      <c r="EI37946"/>
      <c r="EJ37946"/>
      <c r="EK37946"/>
    </row>
    <row r="37947" spans="1:141" s="116" customFormat="1">
      <c r="A37947" s="136"/>
      <c r="CM37947" s="111"/>
      <c r="CQ37947" s="111"/>
      <c r="EF37947"/>
      <c r="EG37947"/>
      <c r="EH37947"/>
      <c r="EI37947"/>
      <c r="EJ37947"/>
      <c r="EK37947"/>
    </row>
    <row r="37948" spans="1:141" s="116" customFormat="1">
      <c r="A37948" s="136"/>
      <c r="CM37948" s="111"/>
      <c r="CQ37948" s="111"/>
      <c r="EF37948"/>
      <c r="EG37948"/>
      <c r="EH37948"/>
      <c r="EI37948"/>
      <c r="EJ37948"/>
      <c r="EK37948"/>
    </row>
    <row r="37949" spans="1:141" s="116" customFormat="1">
      <c r="A37949" s="136"/>
      <c r="CM37949" s="111"/>
      <c r="CQ37949" s="111"/>
      <c r="EF37949"/>
      <c r="EG37949"/>
      <c r="EH37949"/>
      <c r="EI37949"/>
      <c r="EJ37949"/>
      <c r="EK37949"/>
    </row>
    <row r="37950" spans="1:141" s="116" customFormat="1">
      <c r="A37950" s="136"/>
      <c r="CM37950" s="111"/>
      <c r="CQ37950" s="111"/>
      <c r="EF37950"/>
      <c r="EG37950"/>
      <c r="EH37950"/>
      <c r="EI37950"/>
      <c r="EJ37950"/>
      <c r="EK37950"/>
    </row>
    <row r="37951" spans="1:141" s="116" customFormat="1">
      <c r="A37951" s="136"/>
      <c r="CM37951" s="111"/>
      <c r="CQ37951" s="111"/>
      <c r="EF37951"/>
      <c r="EG37951"/>
      <c r="EH37951"/>
      <c r="EI37951"/>
      <c r="EJ37951"/>
      <c r="EK37951"/>
    </row>
    <row r="37952" spans="1:141" s="116" customFormat="1">
      <c r="A37952" s="136"/>
      <c r="CM37952" s="111"/>
      <c r="CQ37952" s="111"/>
      <c r="EF37952"/>
      <c r="EG37952"/>
      <c r="EH37952"/>
      <c r="EI37952"/>
      <c r="EJ37952"/>
      <c r="EK37952"/>
    </row>
    <row r="37953" spans="1:141" s="116" customFormat="1">
      <c r="A37953" s="136"/>
      <c r="CM37953" s="111"/>
      <c r="CQ37953" s="111"/>
      <c r="EF37953"/>
      <c r="EG37953"/>
      <c r="EH37953"/>
      <c r="EI37953"/>
      <c r="EJ37953"/>
      <c r="EK37953"/>
    </row>
    <row r="37954" spans="1:141" s="116" customFormat="1">
      <c r="A37954" s="136"/>
      <c r="CM37954" s="111"/>
      <c r="CQ37954" s="111"/>
      <c r="EF37954"/>
      <c r="EG37954"/>
      <c r="EH37954"/>
      <c r="EI37954"/>
      <c r="EJ37954"/>
      <c r="EK37954"/>
    </row>
    <row r="37955" spans="1:141" s="116" customFormat="1">
      <c r="A37955" s="136"/>
      <c r="CM37955" s="111"/>
      <c r="CQ37955" s="111"/>
      <c r="EF37955"/>
      <c r="EG37955"/>
      <c r="EH37955"/>
      <c r="EI37955"/>
      <c r="EJ37955"/>
      <c r="EK37955"/>
    </row>
    <row r="37956" spans="1:141" s="116" customFormat="1">
      <c r="A37956" s="136"/>
      <c r="CM37956" s="111"/>
      <c r="CQ37956" s="111"/>
      <c r="EF37956"/>
      <c r="EG37956"/>
      <c r="EH37956"/>
      <c r="EI37956"/>
      <c r="EJ37956"/>
      <c r="EK37956"/>
    </row>
    <row r="37957" spans="1:141" s="116" customFormat="1">
      <c r="A37957" s="136"/>
      <c r="CM37957" s="111"/>
      <c r="CQ37957" s="111"/>
      <c r="EF37957"/>
      <c r="EG37957"/>
      <c r="EH37957"/>
      <c r="EI37957"/>
      <c r="EJ37957"/>
      <c r="EK37957"/>
    </row>
    <row r="37958" spans="1:141" s="116" customFormat="1">
      <c r="A37958" s="136"/>
      <c r="CM37958" s="111"/>
      <c r="CQ37958" s="111"/>
      <c r="EF37958"/>
      <c r="EG37958"/>
      <c r="EH37958"/>
      <c r="EI37958"/>
      <c r="EJ37958"/>
      <c r="EK37958"/>
    </row>
    <row r="37959" spans="1:141" s="116" customFormat="1">
      <c r="A37959" s="136"/>
      <c r="CM37959" s="111"/>
      <c r="CQ37959" s="111"/>
      <c r="EF37959"/>
      <c r="EG37959"/>
      <c r="EH37959"/>
      <c r="EI37959"/>
      <c r="EJ37959"/>
      <c r="EK37959"/>
    </row>
    <row r="37960" spans="1:141" s="116" customFormat="1">
      <c r="A37960" s="136"/>
      <c r="CM37960" s="111"/>
      <c r="CQ37960" s="111"/>
      <c r="EF37960"/>
      <c r="EG37960"/>
      <c r="EH37960"/>
      <c r="EI37960"/>
      <c r="EJ37960"/>
      <c r="EK37960"/>
    </row>
    <row r="37961" spans="1:141" s="116" customFormat="1">
      <c r="A37961" s="136"/>
      <c r="CM37961" s="111"/>
      <c r="CQ37961" s="111"/>
      <c r="EF37961"/>
      <c r="EG37961"/>
      <c r="EH37961"/>
      <c r="EI37961"/>
      <c r="EJ37961"/>
      <c r="EK37961"/>
    </row>
    <row r="37962" spans="1:141" s="116" customFormat="1">
      <c r="A37962" s="136"/>
      <c r="CM37962" s="111"/>
      <c r="CQ37962" s="111"/>
      <c r="EF37962"/>
      <c r="EG37962"/>
      <c r="EH37962"/>
      <c r="EI37962"/>
      <c r="EJ37962"/>
      <c r="EK37962"/>
    </row>
    <row r="37963" spans="1:141" s="116" customFormat="1">
      <c r="A37963" s="136"/>
      <c r="CM37963" s="111"/>
      <c r="CQ37963" s="111"/>
      <c r="EF37963"/>
      <c r="EG37963"/>
      <c r="EH37963"/>
      <c r="EI37963"/>
      <c r="EJ37963"/>
      <c r="EK37963"/>
    </row>
    <row r="37964" spans="1:141" s="116" customFormat="1">
      <c r="A37964" s="136"/>
      <c r="CM37964" s="111"/>
      <c r="CQ37964" s="111"/>
      <c r="EF37964"/>
      <c r="EG37964"/>
      <c r="EH37964"/>
      <c r="EI37964"/>
      <c r="EJ37964"/>
      <c r="EK37964"/>
    </row>
    <row r="37965" spans="1:141" s="116" customFormat="1">
      <c r="A37965" s="136"/>
      <c r="CM37965" s="111"/>
      <c r="CQ37965" s="111"/>
      <c r="EF37965"/>
      <c r="EG37965"/>
      <c r="EH37965"/>
      <c r="EI37965"/>
      <c r="EJ37965"/>
      <c r="EK37965"/>
    </row>
    <row r="37966" spans="1:141" s="116" customFormat="1">
      <c r="A37966" s="136"/>
      <c r="CM37966" s="111"/>
      <c r="CQ37966" s="111"/>
      <c r="EF37966"/>
      <c r="EG37966"/>
      <c r="EH37966"/>
      <c r="EI37966"/>
      <c r="EJ37966"/>
      <c r="EK37966"/>
    </row>
    <row r="37967" spans="1:141" s="116" customFormat="1">
      <c r="A37967" s="136"/>
      <c r="CM37967" s="111"/>
      <c r="CQ37967" s="111"/>
      <c r="EF37967"/>
      <c r="EG37967"/>
      <c r="EH37967"/>
      <c r="EI37967"/>
      <c r="EJ37967"/>
      <c r="EK37967"/>
    </row>
    <row r="37968" spans="1:141" s="116" customFormat="1">
      <c r="A37968" s="136"/>
      <c r="CM37968" s="111"/>
      <c r="CQ37968" s="111"/>
      <c r="EF37968"/>
      <c r="EG37968"/>
      <c r="EH37968"/>
      <c r="EI37968"/>
      <c r="EJ37968"/>
      <c r="EK37968"/>
    </row>
    <row r="37969" spans="1:141" s="116" customFormat="1">
      <c r="A37969" s="136"/>
      <c r="CM37969" s="111"/>
      <c r="CQ37969" s="111"/>
      <c r="EF37969"/>
      <c r="EG37969"/>
      <c r="EH37969"/>
      <c r="EI37969"/>
      <c r="EJ37969"/>
      <c r="EK37969"/>
    </row>
    <row r="37970" spans="1:141" s="116" customFormat="1">
      <c r="A37970" s="136"/>
      <c r="CM37970" s="111"/>
      <c r="CQ37970" s="111"/>
      <c r="EF37970"/>
      <c r="EG37970"/>
      <c r="EH37970"/>
      <c r="EI37970"/>
      <c r="EJ37970"/>
      <c r="EK37970"/>
    </row>
    <row r="37971" spans="1:141" s="116" customFormat="1">
      <c r="A37971" s="136"/>
      <c r="CM37971" s="111"/>
      <c r="CQ37971" s="111"/>
      <c r="EF37971"/>
      <c r="EG37971"/>
      <c r="EH37971"/>
      <c r="EI37971"/>
      <c r="EJ37971"/>
      <c r="EK37971"/>
    </row>
    <row r="37972" spans="1:141" s="116" customFormat="1">
      <c r="A37972" s="136"/>
      <c r="CM37972" s="111"/>
      <c r="CQ37972" s="111"/>
      <c r="EF37972"/>
      <c r="EG37972"/>
      <c r="EH37972"/>
      <c r="EI37972"/>
      <c r="EJ37972"/>
      <c r="EK37972"/>
    </row>
    <row r="37973" spans="1:141" s="116" customFormat="1">
      <c r="A37973" s="136"/>
      <c r="CM37973" s="111"/>
      <c r="CQ37973" s="111"/>
      <c r="EF37973"/>
      <c r="EG37973"/>
      <c r="EH37973"/>
      <c r="EI37973"/>
      <c r="EJ37973"/>
      <c r="EK37973"/>
    </row>
    <row r="37974" spans="1:141" s="116" customFormat="1">
      <c r="A37974" s="136"/>
      <c r="CM37974" s="111"/>
      <c r="CQ37974" s="111"/>
      <c r="EF37974"/>
      <c r="EG37974"/>
      <c r="EH37974"/>
      <c r="EI37974"/>
      <c r="EJ37974"/>
      <c r="EK37974"/>
    </row>
    <row r="37975" spans="1:141" s="116" customFormat="1">
      <c r="A37975" s="136"/>
      <c r="CM37975" s="111"/>
      <c r="CQ37975" s="111"/>
      <c r="EF37975"/>
      <c r="EG37975"/>
      <c r="EH37975"/>
      <c r="EI37975"/>
      <c r="EJ37975"/>
      <c r="EK37975"/>
    </row>
    <row r="37976" spans="1:141" s="116" customFormat="1">
      <c r="A37976" s="136"/>
      <c r="CM37976" s="111"/>
      <c r="CQ37976" s="111"/>
      <c r="EF37976"/>
      <c r="EG37976"/>
      <c r="EH37976"/>
      <c r="EI37976"/>
      <c r="EJ37976"/>
      <c r="EK37976"/>
    </row>
    <row r="37977" spans="1:141" s="116" customFormat="1">
      <c r="A37977" s="136"/>
      <c r="CM37977" s="111"/>
      <c r="CQ37977" s="111"/>
      <c r="EF37977"/>
      <c r="EG37977"/>
      <c r="EH37977"/>
      <c r="EI37977"/>
      <c r="EJ37977"/>
      <c r="EK37977"/>
    </row>
    <row r="37978" spans="1:141" s="116" customFormat="1">
      <c r="A37978" s="136"/>
      <c r="CM37978" s="111"/>
      <c r="CQ37978" s="111"/>
      <c r="EF37978"/>
      <c r="EG37978"/>
      <c r="EH37978"/>
      <c r="EI37978"/>
      <c r="EJ37978"/>
      <c r="EK37978"/>
    </row>
    <row r="37979" spans="1:141" s="116" customFormat="1">
      <c r="A37979" s="136"/>
      <c r="CM37979" s="111"/>
      <c r="CQ37979" s="111"/>
      <c r="EF37979"/>
      <c r="EG37979"/>
      <c r="EH37979"/>
      <c r="EI37979"/>
      <c r="EJ37979"/>
      <c r="EK37979"/>
    </row>
    <row r="37980" spans="1:141" s="116" customFormat="1">
      <c r="A37980" s="136"/>
      <c r="CM37980" s="111"/>
      <c r="CQ37980" s="111"/>
      <c r="EF37980"/>
      <c r="EG37980"/>
      <c r="EH37980"/>
      <c r="EI37980"/>
      <c r="EJ37980"/>
      <c r="EK37980"/>
    </row>
    <row r="37981" spans="1:141" s="116" customFormat="1">
      <c r="A37981" s="136"/>
      <c r="CM37981" s="111"/>
      <c r="CQ37981" s="111"/>
      <c r="EF37981"/>
      <c r="EG37981"/>
      <c r="EH37981"/>
      <c r="EI37981"/>
      <c r="EJ37981"/>
      <c r="EK37981"/>
    </row>
    <row r="37982" spans="1:141" s="116" customFormat="1">
      <c r="A37982" s="136"/>
      <c r="CM37982" s="111"/>
      <c r="CQ37982" s="111"/>
      <c r="EF37982"/>
      <c r="EG37982"/>
      <c r="EH37982"/>
      <c r="EI37982"/>
      <c r="EJ37982"/>
      <c r="EK37982"/>
    </row>
    <row r="37983" spans="1:141" s="116" customFormat="1">
      <c r="A37983" s="136"/>
      <c r="CM37983" s="111"/>
      <c r="CQ37983" s="111"/>
      <c r="EF37983"/>
      <c r="EG37983"/>
      <c r="EH37983"/>
      <c r="EI37983"/>
      <c r="EJ37983"/>
      <c r="EK37983"/>
    </row>
    <row r="37984" spans="1:141" s="116" customFormat="1">
      <c r="A37984" s="136"/>
      <c r="CM37984" s="111"/>
      <c r="CQ37984" s="111"/>
      <c r="EF37984"/>
      <c r="EG37984"/>
      <c r="EH37984"/>
      <c r="EI37984"/>
      <c r="EJ37984"/>
      <c r="EK37984"/>
    </row>
    <row r="37985" spans="1:141" s="116" customFormat="1">
      <c r="A37985" s="136"/>
      <c r="CM37985" s="111"/>
      <c r="CQ37985" s="111"/>
      <c r="EF37985"/>
      <c r="EG37985"/>
      <c r="EH37985"/>
      <c r="EI37985"/>
      <c r="EJ37985"/>
      <c r="EK37985"/>
    </row>
    <row r="37986" spans="1:141" s="116" customFormat="1">
      <c r="A37986" s="136"/>
      <c r="CM37986" s="111"/>
      <c r="CQ37986" s="111"/>
      <c r="EF37986"/>
      <c r="EG37986"/>
      <c r="EH37986"/>
      <c r="EI37986"/>
      <c r="EJ37986"/>
      <c r="EK37986"/>
    </row>
    <row r="37987" spans="1:141" s="116" customFormat="1">
      <c r="A37987" s="136"/>
      <c r="CM37987" s="111"/>
      <c r="CQ37987" s="111"/>
      <c r="EF37987"/>
      <c r="EG37987"/>
      <c r="EH37987"/>
      <c r="EI37987"/>
      <c r="EJ37987"/>
      <c r="EK37987"/>
    </row>
    <row r="37988" spans="1:141" s="116" customFormat="1">
      <c r="A37988" s="136"/>
      <c r="CM37988" s="111"/>
      <c r="CQ37988" s="111"/>
      <c r="EF37988"/>
      <c r="EG37988"/>
      <c r="EH37988"/>
      <c r="EI37988"/>
      <c r="EJ37988"/>
      <c r="EK37988"/>
    </row>
    <row r="37989" spans="1:141" s="116" customFormat="1">
      <c r="A37989" s="136"/>
      <c r="CM37989" s="111"/>
      <c r="CQ37989" s="111"/>
      <c r="EF37989"/>
      <c r="EG37989"/>
      <c r="EH37989"/>
      <c r="EI37989"/>
      <c r="EJ37989"/>
      <c r="EK37989"/>
    </row>
    <row r="37990" spans="1:141" s="116" customFormat="1">
      <c r="A37990" s="136"/>
      <c r="CM37990" s="111"/>
      <c r="CQ37990" s="111"/>
      <c r="EF37990"/>
      <c r="EG37990"/>
      <c r="EH37990"/>
      <c r="EI37990"/>
      <c r="EJ37990"/>
      <c r="EK37990"/>
    </row>
    <row r="37991" spans="1:141" s="116" customFormat="1">
      <c r="A37991" s="136"/>
      <c r="CM37991" s="111"/>
      <c r="CQ37991" s="111"/>
      <c r="EF37991"/>
      <c r="EG37991"/>
      <c r="EH37991"/>
      <c r="EI37991"/>
      <c r="EJ37991"/>
      <c r="EK37991"/>
    </row>
    <row r="37992" spans="1:141" s="116" customFormat="1">
      <c r="A37992" s="136"/>
      <c r="CM37992" s="111"/>
      <c r="CQ37992" s="111"/>
      <c r="EF37992"/>
      <c r="EG37992"/>
      <c r="EH37992"/>
      <c r="EI37992"/>
      <c r="EJ37992"/>
      <c r="EK37992"/>
    </row>
    <row r="37993" spans="1:141" s="116" customFormat="1">
      <c r="A37993" s="136"/>
      <c r="CM37993" s="111"/>
      <c r="CQ37993" s="111"/>
      <c r="EF37993"/>
      <c r="EG37993"/>
      <c r="EH37993"/>
      <c r="EI37993"/>
      <c r="EJ37993"/>
      <c r="EK37993"/>
    </row>
    <row r="37994" spans="1:141" s="116" customFormat="1">
      <c r="A37994" s="136"/>
      <c r="CM37994" s="111"/>
      <c r="CQ37994" s="111"/>
      <c r="EF37994"/>
      <c r="EG37994"/>
      <c r="EH37994"/>
      <c r="EI37994"/>
      <c r="EJ37994"/>
      <c r="EK37994"/>
    </row>
    <row r="37995" spans="1:141" s="116" customFormat="1">
      <c r="A37995" s="136"/>
      <c r="CM37995" s="111"/>
      <c r="CQ37995" s="111"/>
      <c r="EF37995"/>
      <c r="EG37995"/>
      <c r="EH37995"/>
      <c r="EI37995"/>
      <c r="EJ37995"/>
      <c r="EK37995"/>
    </row>
    <row r="37996" spans="1:141" s="116" customFormat="1">
      <c r="A37996" s="136"/>
      <c r="CM37996" s="111"/>
      <c r="CQ37996" s="111"/>
      <c r="EF37996"/>
      <c r="EG37996"/>
      <c r="EH37996"/>
      <c r="EI37996"/>
      <c r="EJ37996"/>
      <c r="EK37996"/>
    </row>
    <row r="37997" spans="1:141" s="116" customFormat="1">
      <c r="A37997" s="136"/>
      <c r="CM37997" s="111"/>
      <c r="CQ37997" s="111"/>
      <c r="EF37997"/>
      <c r="EG37997"/>
      <c r="EH37997"/>
      <c r="EI37997"/>
      <c r="EJ37997"/>
      <c r="EK37997"/>
    </row>
    <row r="37998" spans="1:141" s="116" customFormat="1">
      <c r="A37998" s="136"/>
      <c r="CM37998" s="111"/>
      <c r="CQ37998" s="111"/>
      <c r="EF37998"/>
      <c r="EG37998"/>
      <c r="EH37998"/>
      <c r="EI37998"/>
      <c r="EJ37998"/>
      <c r="EK37998"/>
    </row>
    <row r="37999" spans="1:141" s="116" customFormat="1">
      <c r="A37999" s="136"/>
      <c r="CM37999" s="111"/>
      <c r="CQ37999" s="111"/>
      <c r="EF37999"/>
      <c r="EG37999"/>
      <c r="EH37999"/>
      <c r="EI37999"/>
      <c r="EJ37999"/>
      <c r="EK37999"/>
    </row>
    <row r="38000" spans="1:141" s="116" customFormat="1">
      <c r="A38000" s="136"/>
      <c r="CM38000" s="111"/>
      <c r="CQ38000" s="111"/>
      <c r="EF38000"/>
      <c r="EG38000"/>
      <c r="EH38000"/>
      <c r="EI38000"/>
      <c r="EJ38000"/>
      <c r="EK38000"/>
    </row>
    <row r="38001" spans="1:141" s="116" customFormat="1">
      <c r="A38001" s="136"/>
      <c r="CM38001" s="111"/>
      <c r="CQ38001" s="111"/>
      <c r="EF38001"/>
      <c r="EG38001"/>
      <c r="EH38001"/>
      <c r="EI38001"/>
      <c r="EJ38001"/>
      <c r="EK38001"/>
    </row>
    <row r="38002" spans="1:141" s="116" customFormat="1">
      <c r="A38002" s="136"/>
      <c r="CM38002" s="111"/>
      <c r="CQ38002" s="111"/>
      <c r="EF38002"/>
      <c r="EG38002"/>
      <c r="EH38002"/>
      <c r="EI38002"/>
      <c r="EJ38002"/>
      <c r="EK38002"/>
    </row>
    <row r="38003" spans="1:141" s="116" customFormat="1">
      <c r="A38003" s="136"/>
      <c r="CM38003" s="111"/>
      <c r="CQ38003" s="111"/>
      <c r="EF38003"/>
      <c r="EG38003"/>
      <c r="EH38003"/>
      <c r="EI38003"/>
      <c r="EJ38003"/>
      <c r="EK38003"/>
    </row>
    <row r="38004" spans="1:141" s="116" customFormat="1">
      <c r="A38004" s="136"/>
      <c r="CM38004" s="111"/>
      <c r="CQ38004" s="111"/>
      <c r="EF38004"/>
      <c r="EG38004"/>
      <c r="EH38004"/>
      <c r="EI38004"/>
      <c r="EJ38004"/>
      <c r="EK38004"/>
    </row>
    <row r="38005" spans="1:141" s="116" customFormat="1">
      <c r="A38005" s="136"/>
      <c r="CM38005" s="111"/>
      <c r="CQ38005" s="111"/>
      <c r="EF38005"/>
      <c r="EG38005"/>
      <c r="EH38005"/>
      <c r="EI38005"/>
      <c r="EJ38005"/>
      <c r="EK38005"/>
    </row>
    <row r="38006" spans="1:141" s="116" customFormat="1">
      <c r="A38006" s="136"/>
      <c r="CM38006" s="111"/>
      <c r="CQ38006" s="111"/>
      <c r="EF38006"/>
      <c r="EG38006"/>
      <c r="EH38006"/>
      <c r="EI38006"/>
      <c r="EJ38006"/>
      <c r="EK38006"/>
    </row>
    <row r="38007" spans="1:141" s="116" customFormat="1">
      <c r="A38007" s="136"/>
      <c r="CM38007" s="111"/>
      <c r="CQ38007" s="111"/>
      <c r="EF38007"/>
      <c r="EG38007"/>
      <c r="EH38007"/>
      <c r="EI38007"/>
      <c r="EJ38007"/>
      <c r="EK38007"/>
    </row>
    <row r="38008" spans="1:141" s="116" customFormat="1">
      <c r="A38008" s="136"/>
      <c r="CM38008" s="111"/>
      <c r="CQ38008" s="111"/>
      <c r="EF38008"/>
      <c r="EG38008"/>
      <c r="EH38008"/>
      <c r="EI38008"/>
      <c r="EJ38008"/>
      <c r="EK38008"/>
    </row>
    <row r="38009" spans="1:141" s="116" customFormat="1">
      <c r="A38009" s="136"/>
      <c r="CM38009" s="111"/>
      <c r="CQ38009" s="111"/>
      <c r="EF38009"/>
      <c r="EG38009"/>
      <c r="EH38009"/>
      <c r="EI38009"/>
      <c r="EJ38009"/>
      <c r="EK38009"/>
    </row>
    <row r="38010" spans="1:141" s="116" customFormat="1">
      <c r="A38010" s="136"/>
      <c r="CM38010" s="111"/>
      <c r="CQ38010" s="111"/>
      <c r="EF38010"/>
      <c r="EG38010"/>
      <c r="EH38010"/>
      <c r="EI38010"/>
      <c r="EJ38010"/>
      <c r="EK38010"/>
    </row>
    <row r="38011" spans="1:141" s="116" customFormat="1">
      <c r="A38011" s="136"/>
      <c r="CM38011" s="111"/>
      <c r="CQ38011" s="111"/>
      <c r="EF38011"/>
      <c r="EG38011"/>
      <c r="EH38011"/>
      <c r="EI38011"/>
      <c r="EJ38011"/>
      <c r="EK38011"/>
    </row>
    <row r="38012" spans="1:141" s="116" customFormat="1">
      <c r="A38012" s="136"/>
      <c r="CM38012" s="111"/>
      <c r="CQ38012" s="111"/>
      <c r="EF38012"/>
      <c r="EG38012"/>
      <c r="EH38012"/>
      <c r="EI38012"/>
      <c r="EJ38012"/>
      <c r="EK38012"/>
    </row>
    <row r="38013" spans="1:141" s="116" customFormat="1">
      <c r="A38013" s="136"/>
      <c r="CM38013" s="111"/>
      <c r="CQ38013" s="111"/>
      <c r="EF38013"/>
      <c r="EG38013"/>
      <c r="EH38013"/>
      <c r="EI38013"/>
      <c r="EJ38013"/>
      <c r="EK38013"/>
    </row>
    <row r="38014" spans="1:141" s="116" customFormat="1">
      <c r="A38014" s="136"/>
      <c r="CM38014" s="111"/>
      <c r="CQ38014" s="111"/>
      <c r="EF38014"/>
      <c r="EG38014"/>
      <c r="EH38014"/>
      <c r="EI38014"/>
      <c r="EJ38014"/>
      <c r="EK38014"/>
    </row>
    <row r="38015" spans="1:141" s="116" customFormat="1">
      <c r="A38015" s="136"/>
      <c r="CM38015" s="111"/>
      <c r="CQ38015" s="111"/>
      <c r="EF38015"/>
      <c r="EG38015"/>
      <c r="EH38015"/>
      <c r="EI38015"/>
      <c r="EJ38015"/>
      <c r="EK38015"/>
    </row>
    <row r="38016" spans="1:141" s="116" customFormat="1">
      <c r="A38016" s="136"/>
      <c r="CM38016" s="111"/>
      <c r="CQ38016" s="111"/>
      <c r="EF38016"/>
      <c r="EG38016"/>
      <c r="EH38016"/>
      <c r="EI38016"/>
      <c r="EJ38016"/>
      <c r="EK38016"/>
    </row>
    <row r="38017" spans="1:141" s="116" customFormat="1">
      <c r="A38017" s="136"/>
      <c r="CM38017" s="111"/>
      <c r="CQ38017" s="111"/>
      <c r="EF38017"/>
      <c r="EG38017"/>
      <c r="EH38017"/>
      <c r="EI38017"/>
      <c r="EJ38017"/>
      <c r="EK38017"/>
    </row>
    <row r="38018" spans="1:141" s="116" customFormat="1">
      <c r="A38018" s="136"/>
      <c r="CM38018" s="111"/>
      <c r="CQ38018" s="111"/>
      <c r="EF38018"/>
      <c r="EG38018"/>
      <c r="EH38018"/>
      <c r="EI38018"/>
      <c r="EJ38018"/>
      <c r="EK38018"/>
    </row>
    <row r="38019" spans="1:141" s="116" customFormat="1">
      <c r="A38019" s="136"/>
      <c r="CM38019" s="111"/>
      <c r="CQ38019" s="111"/>
      <c r="EF38019"/>
      <c r="EG38019"/>
      <c r="EH38019"/>
      <c r="EI38019"/>
      <c r="EJ38019"/>
      <c r="EK38019"/>
    </row>
    <row r="38020" spans="1:141" s="116" customFormat="1">
      <c r="A38020" s="136"/>
      <c r="CM38020" s="111"/>
      <c r="CQ38020" s="111"/>
      <c r="EF38020"/>
      <c r="EG38020"/>
      <c r="EH38020"/>
      <c r="EI38020"/>
      <c r="EJ38020"/>
      <c r="EK38020"/>
    </row>
    <row r="38021" spans="1:141" s="116" customFormat="1">
      <c r="A38021" s="136"/>
      <c r="CM38021" s="111"/>
      <c r="CQ38021" s="111"/>
      <c r="EF38021"/>
      <c r="EG38021"/>
      <c r="EH38021"/>
      <c r="EI38021"/>
      <c r="EJ38021"/>
      <c r="EK38021"/>
    </row>
    <row r="38022" spans="1:141" s="116" customFormat="1">
      <c r="A38022" s="136"/>
      <c r="CM38022" s="111"/>
      <c r="CQ38022" s="111"/>
      <c r="EF38022"/>
      <c r="EG38022"/>
      <c r="EH38022"/>
      <c r="EI38022"/>
      <c r="EJ38022"/>
      <c r="EK38022"/>
    </row>
    <row r="38023" spans="1:141" s="116" customFormat="1">
      <c r="A38023" s="136"/>
      <c r="CM38023" s="111"/>
      <c r="CQ38023" s="111"/>
      <c r="EF38023"/>
      <c r="EG38023"/>
      <c r="EH38023"/>
      <c r="EI38023"/>
      <c r="EJ38023"/>
      <c r="EK38023"/>
    </row>
    <row r="38024" spans="1:141" s="116" customFormat="1">
      <c r="A38024" s="136"/>
      <c r="CM38024" s="111"/>
      <c r="CQ38024" s="111"/>
      <c r="EF38024"/>
      <c r="EG38024"/>
      <c r="EH38024"/>
      <c r="EI38024"/>
      <c r="EJ38024"/>
      <c r="EK38024"/>
    </row>
    <row r="38025" spans="1:141" s="116" customFormat="1">
      <c r="A38025" s="136"/>
      <c r="CM38025" s="111"/>
      <c r="CQ38025" s="111"/>
      <c r="EF38025"/>
      <c r="EG38025"/>
      <c r="EH38025"/>
      <c r="EI38025"/>
      <c r="EJ38025"/>
      <c r="EK38025"/>
    </row>
    <row r="38026" spans="1:141" s="116" customFormat="1">
      <c r="A38026" s="136"/>
      <c r="CM38026" s="111"/>
      <c r="CQ38026" s="111"/>
      <c r="EF38026"/>
      <c r="EG38026"/>
      <c r="EH38026"/>
      <c r="EI38026"/>
      <c r="EJ38026"/>
      <c r="EK38026"/>
    </row>
    <row r="38027" spans="1:141" s="116" customFormat="1">
      <c r="A38027" s="136"/>
      <c r="CM38027" s="111"/>
      <c r="CQ38027" s="111"/>
      <c r="EF38027"/>
      <c r="EG38027"/>
      <c r="EH38027"/>
      <c r="EI38027"/>
      <c r="EJ38027"/>
      <c r="EK38027"/>
    </row>
    <row r="38028" spans="1:141" s="116" customFormat="1">
      <c r="A38028" s="136"/>
      <c r="CM38028" s="111"/>
      <c r="CQ38028" s="111"/>
      <c r="EF38028"/>
      <c r="EG38028"/>
      <c r="EH38028"/>
      <c r="EI38028"/>
      <c r="EJ38028"/>
      <c r="EK38028"/>
    </row>
    <row r="38029" spans="1:141" s="116" customFormat="1">
      <c r="A38029" s="136"/>
      <c r="CM38029" s="111"/>
      <c r="CQ38029" s="111"/>
      <c r="EF38029"/>
      <c r="EG38029"/>
      <c r="EH38029"/>
      <c r="EI38029"/>
      <c r="EJ38029"/>
      <c r="EK38029"/>
    </row>
    <row r="38030" spans="1:141" s="116" customFormat="1">
      <c r="A38030" s="136"/>
      <c r="CM38030" s="111"/>
      <c r="CQ38030" s="111"/>
      <c r="EF38030"/>
      <c r="EG38030"/>
      <c r="EH38030"/>
      <c r="EI38030"/>
      <c r="EJ38030"/>
      <c r="EK38030"/>
    </row>
    <row r="38031" spans="1:141" s="116" customFormat="1">
      <c r="A38031" s="136"/>
      <c r="CM38031" s="111"/>
      <c r="CQ38031" s="111"/>
      <c r="EF38031"/>
      <c r="EG38031"/>
      <c r="EH38031"/>
      <c r="EI38031"/>
      <c r="EJ38031"/>
      <c r="EK38031"/>
    </row>
    <row r="38032" spans="1:141" s="116" customFormat="1">
      <c r="A38032" s="136"/>
      <c r="CM38032" s="111"/>
      <c r="CQ38032" s="111"/>
      <c r="EF38032"/>
      <c r="EG38032"/>
      <c r="EH38032"/>
      <c r="EI38032"/>
      <c r="EJ38032"/>
      <c r="EK38032"/>
    </row>
    <row r="38033" spans="1:141" s="116" customFormat="1">
      <c r="A38033" s="136"/>
      <c r="CM38033" s="111"/>
      <c r="CQ38033" s="111"/>
      <c r="EF38033"/>
      <c r="EG38033"/>
      <c r="EH38033"/>
      <c r="EI38033"/>
      <c r="EJ38033"/>
      <c r="EK38033"/>
    </row>
    <row r="38034" spans="1:141" s="116" customFormat="1">
      <c r="A38034" s="136"/>
      <c r="CM38034" s="111"/>
      <c r="CQ38034" s="111"/>
      <c r="EF38034"/>
      <c r="EG38034"/>
      <c r="EH38034"/>
      <c r="EI38034"/>
      <c r="EJ38034"/>
      <c r="EK38034"/>
    </row>
    <row r="38035" spans="1:141" s="116" customFormat="1">
      <c r="A38035" s="136"/>
      <c r="CM38035" s="111"/>
      <c r="CQ38035" s="111"/>
      <c r="EF38035"/>
      <c r="EG38035"/>
      <c r="EH38035"/>
      <c r="EI38035"/>
      <c r="EJ38035"/>
      <c r="EK38035"/>
    </row>
    <row r="38036" spans="1:141" s="116" customFormat="1">
      <c r="A38036" s="136"/>
      <c r="CM38036" s="111"/>
      <c r="CQ38036" s="111"/>
      <c r="EF38036"/>
      <c r="EG38036"/>
      <c r="EH38036"/>
      <c r="EI38036"/>
      <c r="EJ38036"/>
      <c r="EK38036"/>
    </row>
    <row r="38037" spans="1:141" s="116" customFormat="1">
      <c r="A38037" s="136"/>
      <c r="CM38037" s="111"/>
      <c r="CQ38037" s="111"/>
      <c r="EF38037"/>
      <c r="EG38037"/>
      <c r="EH38037"/>
      <c r="EI38037"/>
      <c r="EJ38037"/>
      <c r="EK38037"/>
    </row>
    <row r="38038" spans="1:141" s="116" customFormat="1">
      <c r="A38038" s="136"/>
      <c r="CM38038" s="111"/>
      <c r="CQ38038" s="111"/>
      <c r="EF38038"/>
      <c r="EG38038"/>
      <c r="EH38038"/>
      <c r="EI38038"/>
      <c r="EJ38038"/>
      <c r="EK38038"/>
    </row>
    <row r="38039" spans="1:141" s="116" customFormat="1">
      <c r="A38039" s="136"/>
      <c r="CM38039" s="111"/>
      <c r="CQ38039" s="111"/>
      <c r="EF38039"/>
      <c r="EG38039"/>
      <c r="EH38039"/>
      <c r="EI38039"/>
      <c r="EJ38039"/>
      <c r="EK38039"/>
    </row>
    <row r="38040" spans="1:141" s="116" customFormat="1">
      <c r="A38040" s="136"/>
      <c r="CM38040" s="111"/>
      <c r="CQ38040" s="111"/>
      <c r="EF38040"/>
      <c r="EG38040"/>
      <c r="EH38040"/>
      <c r="EI38040"/>
      <c r="EJ38040"/>
      <c r="EK38040"/>
    </row>
    <row r="38041" spans="1:141" s="116" customFormat="1">
      <c r="A38041" s="136"/>
      <c r="CM38041" s="111"/>
      <c r="CQ38041" s="111"/>
      <c r="EF38041"/>
      <c r="EG38041"/>
      <c r="EH38041"/>
      <c r="EI38041"/>
      <c r="EJ38041"/>
      <c r="EK38041"/>
    </row>
    <row r="38042" spans="1:141" s="116" customFormat="1">
      <c r="A38042" s="136"/>
      <c r="CM38042" s="111"/>
      <c r="CQ38042" s="111"/>
      <c r="EF38042"/>
      <c r="EG38042"/>
      <c r="EH38042"/>
      <c r="EI38042"/>
      <c r="EJ38042"/>
      <c r="EK38042"/>
    </row>
    <row r="38043" spans="1:141" s="116" customFormat="1">
      <c r="A38043" s="136"/>
      <c r="CM38043" s="111"/>
      <c r="CQ38043" s="111"/>
      <c r="EF38043"/>
      <c r="EG38043"/>
      <c r="EH38043"/>
      <c r="EI38043"/>
      <c r="EJ38043"/>
      <c r="EK38043"/>
    </row>
    <row r="38044" spans="1:141" s="116" customFormat="1">
      <c r="A38044" s="136"/>
      <c r="CM38044" s="111"/>
      <c r="CQ38044" s="111"/>
      <c r="EF38044"/>
      <c r="EG38044"/>
      <c r="EH38044"/>
      <c r="EI38044"/>
      <c r="EJ38044"/>
      <c r="EK38044"/>
    </row>
    <row r="38045" spans="1:141" s="116" customFormat="1">
      <c r="A38045" s="136"/>
      <c r="CM38045" s="111"/>
      <c r="CQ38045" s="111"/>
      <c r="EF38045"/>
      <c r="EG38045"/>
      <c r="EH38045"/>
      <c r="EI38045"/>
      <c r="EJ38045"/>
      <c r="EK38045"/>
    </row>
    <row r="38046" spans="1:141" s="116" customFormat="1">
      <c r="A38046" s="136"/>
      <c r="CM38046" s="111"/>
      <c r="CQ38046" s="111"/>
      <c r="EF38046"/>
      <c r="EG38046"/>
      <c r="EH38046"/>
      <c r="EI38046"/>
      <c r="EJ38046"/>
      <c r="EK38046"/>
    </row>
    <row r="38047" spans="1:141" s="116" customFormat="1">
      <c r="A38047" s="136"/>
      <c r="CM38047" s="111"/>
      <c r="CQ38047" s="111"/>
      <c r="EF38047"/>
      <c r="EG38047"/>
      <c r="EH38047"/>
      <c r="EI38047"/>
      <c r="EJ38047"/>
      <c r="EK38047"/>
    </row>
    <row r="38048" spans="1:141" s="116" customFormat="1">
      <c r="A38048" s="136"/>
      <c r="CM38048" s="111"/>
      <c r="CQ38048" s="111"/>
      <c r="EF38048"/>
      <c r="EG38048"/>
      <c r="EH38048"/>
      <c r="EI38048"/>
      <c r="EJ38048"/>
      <c r="EK38048"/>
    </row>
    <row r="38049" spans="1:141" s="116" customFormat="1">
      <c r="A38049" s="136"/>
      <c r="CM38049" s="111"/>
      <c r="CQ38049" s="111"/>
      <c r="EF38049"/>
      <c r="EG38049"/>
      <c r="EH38049"/>
      <c r="EI38049"/>
      <c r="EJ38049"/>
      <c r="EK38049"/>
    </row>
    <row r="38050" spans="1:141" s="116" customFormat="1">
      <c r="A38050" s="136"/>
      <c r="CM38050" s="111"/>
      <c r="CQ38050" s="111"/>
      <c r="EF38050"/>
      <c r="EG38050"/>
      <c r="EH38050"/>
      <c r="EI38050"/>
      <c r="EJ38050"/>
      <c r="EK38050"/>
    </row>
    <row r="38051" spans="1:141" s="116" customFormat="1">
      <c r="A38051" s="136"/>
      <c r="CM38051" s="111"/>
      <c r="CQ38051" s="111"/>
      <c r="EF38051"/>
      <c r="EG38051"/>
      <c r="EH38051"/>
      <c r="EI38051"/>
      <c r="EJ38051"/>
      <c r="EK38051"/>
    </row>
    <row r="38052" spans="1:141" s="116" customFormat="1">
      <c r="A38052" s="136"/>
      <c r="CM38052" s="111"/>
      <c r="CQ38052" s="111"/>
      <c r="EF38052"/>
      <c r="EG38052"/>
      <c r="EH38052"/>
      <c r="EI38052"/>
      <c r="EJ38052"/>
      <c r="EK38052"/>
    </row>
    <row r="38053" spans="1:141" s="116" customFormat="1">
      <c r="A38053" s="136"/>
      <c r="CM38053" s="111"/>
      <c r="CQ38053" s="111"/>
      <c r="EF38053"/>
      <c r="EG38053"/>
      <c r="EH38053"/>
      <c r="EI38053"/>
      <c r="EJ38053"/>
      <c r="EK38053"/>
    </row>
    <row r="38054" spans="1:141" s="116" customFormat="1">
      <c r="A38054" s="136"/>
      <c r="CM38054" s="111"/>
      <c r="CQ38054" s="111"/>
      <c r="EF38054"/>
      <c r="EG38054"/>
      <c r="EH38054"/>
      <c r="EI38054"/>
      <c r="EJ38054"/>
      <c r="EK38054"/>
    </row>
    <row r="38055" spans="1:141" s="116" customFormat="1">
      <c r="A38055" s="136"/>
      <c r="CM38055" s="111"/>
      <c r="CQ38055" s="111"/>
      <c r="EF38055"/>
      <c r="EG38055"/>
      <c r="EH38055"/>
      <c r="EI38055"/>
      <c r="EJ38055"/>
      <c r="EK38055"/>
    </row>
    <row r="38056" spans="1:141" s="116" customFormat="1">
      <c r="A38056" s="136"/>
      <c r="CM38056" s="111"/>
      <c r="CQ38056" s="111"/>
      <c r="EF38056"/>
      <c r="EG38056"/>
      <c r="EH38056"/>
      <c r="EI38056"/>
      <c r="EJ38056"/>
      <c r="EK38056"/>
    </row>
    <row r="38057" spans="1:141" s="116" customFormat="1">
      <c r="A38057" s="136"/>
      <c r="CM38057" s="111"/>
      <c r="CQ38057" s="111"/>
      <c r="EF38057"/>
      <c r="EG38057"/>
      <c r="EH38057"/>
      <c r="EI38057"/>
      <c r="EJ38057"/>
      <c r="EK38057"/>
    </row>
    <row r="38058" spans="1:141" s="116" customFormat="1">
      <c r="A38058" s="136"/>
      <c r="CM38058" s="111"/>
      <c r="CQ38058" s="111"/>
      <c r="EF38058"/>
      <c r="EG38058"/>
      <c r="EH38058"/>
      <c r="EI38058"/>
      <c r="EJ38058"/>
      <c r="EK38058"/>
    </row>
    <row r="38059" spans="1:141" s="116" customFormat="1">
      <c r="A38059" s="136"/>
      <c r="CM38059" s="111"/>
      <c r="CQ38059" s="111"/>
      <c r="EF38059"/>
      <c r="EG38059"/>
      <c r="EH38059"/>
      <c r="EI38059"/>
      <c r="EJ38059"/>
      <c r="EK38059"/>
    </row>
    <row r="38060" spans="1:141" s="116" customFormat="1">
      <c r="A38060" s="136"/>
      <c r="CM38060" s="111"/>
      <c r="CQ38060" s="111"/>
      <c r="EF38060"/>
      <c r="EG38060"/>
      <c r="EH38060"/>
      <c r="EI38060"/>
      <c r="EJ38060"/>
      <c r="EK38060"/>
    </row>
    <row r="38061" spans="1:141" s="116" customFormat="1">
      <c r="A38061" s="136"/>
      <c r="CM38061" s="111"/>
      <c r="CQ38061" s="111"/>
      <c r="EF38061"/>
      <c r="EG38061"/>
      <c r="EH38061"/>
      <c r="EI38061"/>
      <c r="EJ38061"/>
      <c r="EK38061"/>
    </row>
    <row r="38062" spans="1:141" s="116" customFormat="1">
      <c r="A38062" s="136"/>
      <c r="CM38062" s="111"/>
      <c r="CQ38062" s="111"/>
      <c r="EF38062"/>
      <c r="EG38062"/>
      <c r="EH38062"/>
      <c r="EI38062"/>
      <c r="EJ38062"/>
      <c r="EK38062"/>
    </row>
    <row r="38063" spans="1:141" s="116" customFormat="1">
      <c r="A38063" s="136"/>
      <c r="CM38063" s="111"/>
      <c r="CQ38063" s="111"/>
      <c r="EF38063"/>
      <c r="EG38063"/>
      <c r="EH38063"/>
      <c r="EI38063"/>
      <c r="EJ38063"/>
      <c r="EK38063"/>
    </row>
    <row r="38064" spans="1:141" s="116" customFormat="1">
      <c r="A38064" s="136"/>
      <c r="CM38064" s="111"/>
      <c r="CQ38064" s="111"/>
      <c r="EF38064"/>
      <c r="EG38064"/>
      <c r="EH38064"/>
      <c r="EI38064"/>
      <c r="EJ38064"/>
      <c r="EK38064"/>
    </row>
    <row r="38065" spans="1:141" s="116" customFormat="1">
      <c r="A38065" s="136"/>
      <c r="CM38065" s="111"/>
      <c r="CQ38065" s="111"/>
      <c r="EF38065"/>
      <c r="EG38065"/>
      <c r="EH38065"/>
      <c r="EI38065"/>
      <c r="EJ38065"/>
      <c r="EK38065"/>
    </row>
    <row r="38066" spans="1:141" s="116" customFormat="1">
      <c r="A38066" s="136"/>
      <c r="CM38066" s="111"/>
      <c r="CQ38066" s="111"/>
      <c r="EF38066"/>
      <c r="EG38066"/>
      <c r="EH38066"/>
      <c r="EI38066"/>
      <c r="EJ38066"/>
      <c r="EK38066"/>
    </row>
    <row r="38067" spans="1:141" s="116" customFormat="1">
      <c r="A38067" s="136"/>
      <c r="CM38067" s="111"/>
      <c r="CQ38067" s="111"/>
      <c r="EF38067"/>
      <c r="EG38067"/>
      <c r="EH38067"/>
      <c r="EI38067"/>
      <c r="EJ38067"/>
      <c r="EK38067"/>
    </row>
    <row r="38068" spans="1:141" s="116" customFormat="1">
      <c r="A38068" s="136"/>
      <c r="CM38068" s="111"/>
      <c r="CQ38068" s="111"/>
      <c r="EF38068"/>
      <c r="EG38068"/>
      <c r="EH38068"/>
      <c r="EI38068"/>
      <c r="EJ38068"/>
      <c r="EK38068"/>
    </row>
    <row r="38069" spans="1:141" s="116" customFormat="1">
      <c r="A38069" s="136"/>
      <c r="CM38069" s="111"/>
      <c r="CQ38069" s="111"/>
      <c r="EF38069"/>
      <c r="EG38069"/>
      <c r="EH38069"/>
      <c r="EI38069"/>
      <c r="EJ38069"/>
      <c r="EK38069"/>
    </row>
    <row r="38070" spans="1:141" s="116" customFormat="1">
      <c r="A38070" s="136"/>
      <c r="CM38070" s="111"/>
      <c r="CQ38070" s="111"/>
      <c r="EF38070"/>
      <c r="EG38070"/>
      <c r="EH38070"/>
      <c r="EI38070"/>
      <c r="EJ38070"/>
      <c r="EK38070"/>
    </row>
    <row r="38071" spans="1:141" s="116" customFormat="1">
      <c r="A38071" s="136"/>
      <c r="CM38071" s="111"/>
      <c r="CQ38071" s="111"/>
      <c r="EF38071"/>
      <c r="EG38071"/>
      <c r="EH38071"/>
      <c r="EI38071"/>
      <c r="EJ38071"/>
      <c r="EK38071"/>
    </row>
    <row r="38072" spans="1:141" s="116" customFormat="1">
      <c r="A38072" s="136"/>
      <c r="CM38072" s="111"/>
      <c r="CQ38072" s="111"/>
      <c r="EF38072"/>
      <c r="EG38072"/>
      <c r="EH38072"/>
      <c r="EI38072"/>
      <c r="EJ38072"/>
      <c r="EK38072"/>
    </row>
    <row r="38073" spans="1:141" s="116" customFormat="1">
      <c r="A38073" s="136"/>
      <c r="CM38073" s="111"/>
      <c r="CQ38073" s="111"/>
      <c r="EF38073"/>
      <c r="EG38073"/>
      <c r="EH38073"/>
      <c r="EI38073"/>
      <c r="EJ38073"/>
      <c r="EK38073"/>
    </row>
    <row r="38074" spans="1:141" s="116" customFormat="1">
      <c r="A38074" s="136"/>
      <c r="CM38074" s="111"/>
      <c r="CQ38074" s="111"/>
      <c r="EF38074"/>
      <c r="EG38074"/>
      <c r="EH38074"/>
      <c r="EI38074"/>
      <c r="EJ38074"/>
      <c r="EK38074"/>
    </row>
    <row r="38075" spans="1:141" s="116" customFormat="1">
      <c r="A38075" s="136"/>
      <c r="CM38075" s="111"/>
      <c r="CQ38075" s="111"/>
      <c r="EF38075"/>
      <c r="EG38075"/>
      <c r="EH38075"/>
      <c r="EI38075"/>
      <c r="EJ38075"/>
      <c r="EK38075"/>
    </row>
    <row r="38076" spans="1:141" s="116" customFormat="1">
      <c r="A38076" s="136"/>
      <c r="CM38076" s="111"/>
      <c r="CQ38076" s="111"/>
      <c r="EF38076"/>
      <c r="EG38076"/>
      <c r="EH38076"/>
      <c r="EI38076"/>
      <c r="EJ38076"/>
      <c r="EK38076"/>
    </row>
    <row r="38077" spans="1:141" s="116" customFormat="1">
      <c r="A38077" s="136"/>
      <c r="CM38077" s="111"/>
      <c r="CQ38077" s="111"/>
      <c r="EF38077"/>
      <c r="EG38077"/>
      <c r="EH38077"/>
      <c r="EI38077"/>
      <c r="EJ38077"/>
      <c r="EK38077"/>
    </row>
    <row r="38078" spans="1:141" s="116" customFormat="1">
      <c r="A38078" s="136"/>
      <c r="CM38078" s="111"/>
      <c r="CQ38078" s="111"/>
      <c r="EF38078"/>
      <c r="EG38078"/>
      <c r="EH38078"/>
      <c r="EI38078"/>
      <c r="EJ38078"/>
      <c r="EK38078"/>
    </row>
    <row r="38079" spans="1:141" s="116" customFormat="1">
      <c r="A38079" s="136"/>
      <c r="CM38079" s="111"/>
      <c r="CQ38079" s="111"/>
      <c r="EF38079"/>
      <c r="EG38079"/>
      <c r="EH38079"/>
      <c r="EI38079"/>
      <c r="EJ38079"/>
      <c r="EK38079"/>
    </row>
    <row r="38080" spans="1:141" s="116" customFormat="1">
      <c r="A38080" s="136"/>
      <c r="CM38080" s="111"/>
      <c r="CQ38080" s="111"/>
      <c r="EF38080"/>
      <c r="EG38080"/>
      <c r="EH38080"/>
      <c r="EI38080"/>
      <c r="EJ38080"/>
      <c r="EK38080"/>
    </row>
    <row r="38081" spans="1:141" s="116" customFormat="1">
      <c r="A38081" s="136"/>
      <c r="CM38081" s="111"/>
      <c r="CQ38081" s="111"/>
      <c r="EF38081"/>
      <c r="EG38081"/>
      <c r="EH38081"/>
      <c r="EI38081"/>
      <c r="EJ38081"/>
      <c r="EK38081"/>
    </row>
    <row r="38082" spans="1:141" s="116" customFormat="1">
      <c r="A38082" s="136"/>
      <c r="CM38082" s="111"/>
      <c r="CQ38082" s="111"/>
      <c r="EF38082"/>
      <c r="EG38082"/>
      <c r="EH38082"/>
      <c r="EI38082"/>
      <c r="EJ38082"/>
      <c r="EK38082"/>
    </row>
    <row r="38083" spans="1:141" s="116" customFormat="1">
      <c r="A38083" s="136"/>
      <c r="CM38083" s="111"/>
      <c r="CQ38083" s="111"/>
      <c r="EF38083"/>
      <c r="EG38083"/>
      <c r="EH38083"/>
      <c r="EI38083"/>
      <c r="EJ38083"/>
      <c r="EK38083"/>
    </row>
    <row r="38084" spans="1:141" s="116" customFormat="1">
      <c r="A38084" s="136"/>
      <c r="CM38084" s="111"/>
      <c r="CQ38084" s="111"/>
      <c r="EF38084"/>
      <c r="EG38084"/>
      <c r="EH38084"/>
      <c r="EI38084"/>
      <c r="EJ38084"/>
      <c r="EK38084"/>
    </row>
    <row r="38085" spans="1:141" s="116" customFormat="1">
      <c r="A38085" s="136"/>
      <c r="CM38085" s="111"/>
      <c r="CQ38085" s="111"/>
      <c r="EF38085"/>
      <c r="EG38085"/>
      <c r="EH38085"/>
      <c r="EI38085"/>
      <c r="EJ38085"/>
      <c r="EK38085"/>
    </row>
    <row r="38086" spans="1:141" s="116" customFormat="1">
      <c r="A38086" s="136"/>
      <c r="CM38086" s="111"/>
      <c r="CQ38086" s="111"/>
      <c r="EF38086"/>
      <c r="EG38086"/>
      <c r="EH38086"/>
      <c r="EI38086"/>
      <c r="EJ38086"/>
      <c r="EK38086"/>
    </row>
    <row r="38087" spans="1:141" s="116" customFormat="1">
      <c r="A38087" s="136"/>
      <c r="CM38087" s="111"/>
      <c r="CQ38087" s="111"/>
      <c r="EF38087"/>
      <c r="EG38087"/>
      <c r="EH38087"/>
      <c r="EI38087"/>
      <c r="EJ38087"/>
      <c r="EK38087"/>
    </row>
    <row r="38088" spans="1:141" s="116" customFormat="1">
      <c r="A38088" s="136"/>
      <c r="CM38088" s="111"/>
      <c r="CQ38088" s="111"/>
      <c r="EF38088"/>
      <c r="EG38088"/>
      <c r="EH38088"/>
      <c r="EI38088"/>
      <c r="EJ38088"/>
      <c r="EK38088"/>
    </row>
    <row r="38089" spans="1:141" s="116" customFormat="1">
      <c r="A38089" s="136"/>
      <c r="CM38089" s="111"/>
      <c r="CQ38089" s="111"/>
      <c r="EF38089"/>
      <c r="EG38089"/>
      <c r="EH38089"/>
      <c r="EI38089"/>
      <c r="EJ38089"/>
      <c r="EK38089"/>
    </row>
    <row r="38090" spans="1:141" s="116" customFormat="1">
      <c r="A38090" s="136"/>
      <c r="CM38090" s="111"/>
      <c r="CQ38090" s="111"/>
      <c r="EF38090"/>
      <c r="EG38090"/>
      <c r="EH38090"/>
      <c r="EI38090"/>
      <c r="EJ38090"/>
      <c r="EK38090"/>
    </row>
    <row r="38091" spans="1:141" s="116" customFormat="1">
      <c r="A38091" s="136"/>
      <c r="CM38091" s="111"/>
      <c r="CQ38091" s="111"/>
      <c r="EF38091"/>
      <c r="EG38091"/>
      <c r="EH38091"/>
      <c r="EI38091"/>
      <c r="EJ38091"/>
      <c r="EK38091"/>
    </row>
    <row r="38092" spans="1:141" s="116" customFormat="1">
      <c r="A38092" s="136"/>
      <c r="CM38092" s="111"/>
      <c r="CQ38092" s="111"/>
      <c r="EF38092"/>
      <c r="EG38092"/>
      <c r="EH38092"/>
      <c r="EI38092"/>
      <c r="EJ38092"/>
      <c r="EK38092"/>
    </row>
    <row r="38093" spans="1:141" s="116" customFormat="1">
      <c r="A38093" s="136"/>
      <c r="CM38093" s="111"/>
      <c r="CQ38093" s="111"/>
      <c r="EF38093"/>
      <c r="EG38093"/>
      <c r="EH38093"/>
      <c r="EI38093"/>
      <c r="EJ38093"/>
      <c r="EK38093"/>
    </row>
    <row r="38094" spans="1:141" s="116" customFormat="1">
      <c r="A38094" s="136"/>
      <c r="CM38094" s="111"/>
      <c r="CQ38094" s="111"/>
      <c r="EF38094"/>
      <c r="EG38094"/>
      <c r="EH38094"/>
      <c r="EI38094"/>
      <c r="EJ38094"/>
      <c r="EK38094"/>
    </row>
    <row r="38095" spans="1:141" s="116" customFormat="1">
      <c r="A38095" s="136"/>
      <c r="CM38095" s="111"/>
      <c r="CQ38095" s="111"/>
      <c r="EF38095"/>
      <c r="EG38095"/>
      <c r="EH38095"/>
      <c r="EI38095"/>
      <c r="EJ38095"/>
      <c r="EK38095"/>
    </row>
    <row r="38096" spans="1:141" s="116" customFormat="1">
      <c r="A38096" s="136"/>
      <c r="CM38096" s="111"/>
      <c r="CQ38096" s="111"/>
      <c r="EF38096"/>
      <c r="EG38096"/>
      <c r="EH38096"/>
      <c r="EI38096"/>
      <c r="EJ38096"/>
      <c r="EK38096"/>
    </row>
    <row r="38097" spans="1:141" s="116" customFormat="1">
      <c r="A38097" s="136"/>
      <c r="CM38097" s="111"/>
      <c r="CQ38097" s="111"/>
      <c r="EF38097"/>
      <c r="EG38097"/>
      <c r="EH38097"/>
      <c r="EI38097"/>
      <c r="EJ38097"/>
      <c r="EK38097"/>
    </row>
    <row r="38098" spans="1:141" s="116" customFormat="1">
      <c r="A38098" s="136"/>
      <c r="CM38098" s="111"/>
      <c r="CQ38098" s="111"/>
      <c r="EF38098"/>
      <c r="EG38098"/>
      <c r="EH38098"/>
      <c r="EI38098"/>
      <c r="EJ38098"/>
      <c r="EK38098"/>
    </row>
    <row r="38099" spans="1:141" s="116" customFormat="1">
      <c r="A38099" s="136"/>
      <c r="CM38099" s="111"/>
      <c r="CQ38099" s="111"/>
      <c r="EF38099"/>
      <c r="EG38099"/>
      <c r="EH38099"/>
      <c r="EI38099"/>
      <c r="EJ38099"/>
      <c r="EK38099"/>
    </row>
    <row r="38100" spans="1:141" s="116" customFormat="1">
      <c r="A38100" s="136"/>
      <c r="CM38100" s="111"/>
      <c r="CQ38100" s="111"/>
      <c r="EF38100"/>
      <c r="EG38100"/>
      <c r="EH38100"/>
      <c r="EI38100"/>
      <c r="EJ38100"/>
      <c r="EK38100"/>
    </row>
    <row r="38101" spans="1:141" s="116" customFormat="1">
      <c r="A38101" s="136"/>
      <c r="CM38101" s="111"/>
      <c r="CQ38101" s="111"/>
      <c r="EF38101"/>
      <c r="EG38101"/>
      <c r="EH38101"/>
      <c r="EI38101"/>
      <c r="EJ38101"/>
      <c r="EK38101"/>
    </row>
    <row r="38102" spans="1:141" s="116" customFormat="1">
      <c r="A38102" s="136"/>
      <c r="CM38102" s="111"/>
      <c r="CQ38102" s="111"/>
      <c r="EF38102"/>
      <c r="EG38102"/>
      <c r="EH38102"/>
      <c r="EI38102"/>
      <c r="EJ38102"/>
      <c r="EK38102"/>
    </row>
    <row r="38103" spans="1:141" s="116" customFormat="1">
      <c r="A38103" s="136"/>
      <c r="CM38103" s="111"/>
      <c r="CQ38103" s="111"/>
      <c r="EF38103"/>
      <c r="EG38103"/>
      <c r="EH38103"/>
      <c r="EI38103"/>
      <c r="EJ38103"/>
      <c r="EK38103"/>
    </row>
    <row r="38104" spans="1:141" s="116" customFormat="1">
      <c r="A38104" s="136"/>
      <c r="CM38104" s="111"/>
      <c r="CQ38104" s="111"/>
      <c r="EF38104"/>
      <c r="EG38104"/>
      <c r="EH38104"/>
      <c r="EI38104"/>
      <c r="EJ38104"/>
      <c r="EK38104"/>
    </row>
    <row r="38105" spans="1:141" s="116" customFormat="1">
      <c r="A38105" s="136"/>
      <c r="CM38105" s="111"/>
      <c r="CQ38105" s="111"/>
      <c r="EF38105"/>
      <c r="EG38105"/>
      <c r="EH38105"/>
      <c r="EI38105"/>
      <c r="EJ38105"/>
      <c r="EK38105"/>
    </row>
    <row r="38106" spans="1:141" s="116" customFormat="1">
      <c r="A38106" s="136"/>
      <c r="CM38106" s="111"/>
      <c r="CQ38106" s="111"/>
      <c r="EF38106"/>
      <c r="EG38106"/>
      <c r="EH38106"/>
      <c r="EI38106"/>
      <c r="EJ38106"/>
      <c r="EK38106"/>
    </row>
    <row r="38107" spans="1:141" s="116" customFormat="1">
      <c r="A38107" s="136"/>
      <c r="CM38107" s="111"/>
      <c r="CQ38107" s="111"/>
      <c r="EF38107"/>
      <c r="EG38107"/>
      <c r="EH38107"/>
      <c r="EI38107"/>
      <c r="EJ38107"/>
      <c r="EK38107"/>
    </row>
    <row r="38108" spans="1:141" s="116" customFormat="1">
      <c r="A38108" s="136"/>
      <c r="CM38108" s="111"/>
      <c r="CQ38108" s="111"/>
      <c r="EF38108"/>
      <c r="EG38108"/>
      <c r="EH38108"/>
      <c r="EI38108"/>
      <c r="EJ38108"/>
      <c r="EK38108"/>
    </row>
    <row r="38109" spans="1:141" s="116" customFormat="1">
      <c r="A38109" s="136"/>
      <c r="CM38109" s="111"/>
      <c r="CQ38109" s="111"/>
      <c r="EF38109"/>
      <c r="EG38109"/>
      <c r="EH38109"/>
      <c r="EI38109"/>
      <c r="EJ38109"/>
      <c r="EK38109"/>
    </row>
    <row r="38110" spans="1:141" s="116" customFormat="1">
      <c r="A38110" s="136"/>
      <c r="CM38110" s="111"/>
      <c r="CQ38110" s="111"/>
      <c r="EF38110"/>
      <c r="EG38110"/>
      <c r="EH38110"/>
      <c r="EI38110"/>
      <c r="EJ38110"/>
      <c r="EK38110"/>
    </row>
    <row r="38111" spans="1:141" s="116" customFormat="1">
      <c r="A38111" s="136"/>
      <c r="CM38111" s="111"/>
      <c r="CQ38111" s="111"/>
      <c r="EF38111"/>
      <c r="EG38111"/>
      <c r="EH38111"/>
      <c r="EI38111"/>
      <c r="EJ38111"/>
      <c r="EK38111"/>
    </row>
    <row r="38112" spans="1:141" s="116" customFormat="1">
      <c r="A38112" s="136"/>
      <c r="CM38112" s="111"/>
      <c r="CQ38112" s="111"/>
      <c r="EF38112"/>
      <c r="EG38112"/>
      <c r="EH38112"/>
      <c r="EI38112"/>
      <c r="EJ38112"/>
      <c r="EK38112"/>
    </row>
    <row r="38113" spans="1:141" s="116" customFormat="1">
      <c r="A38113" s="136"/>
      <c r="CM38113" s="111"/>
      <c r="CQ38113" s="111"/>
      <c r="EF38113"/>
      <c r="EG38113"/>
      <c r="EH38113"/>
      <c r="EI38113"/>
      <c r="EJ38113"/>
      <c r="EK38113"/>
    </row>
    <row r="38114" spans="1:141" s="116" customFormat="1">
      <c r="A38114" s="136"/>
      <c r="CM38114" s="111"/>
      <c r="CQ38114" s="111"/>
      <c r="EF38114"/>
      <c r="EG38114"/>
      <c r="EH38114"/>
      <c r="EI38114"/>
      <c r="EJ38114"/>
      <c r="EK38114"/>
    </row>
    <row r="38115" spans="1:141" s="116" customFormat="1">
      <c r="A38115" s="136"/>
      <c r="CM38115" s="111"/>
      <c r="CQ38115" s="111"/>
      <c r="EF38115"/>
      <c r="EG38115"/>
      <c r="EH38115"/>
      <c r="EI38115"/>
      <c r="EJ38115"/>
      <c r="EK38115"/>
    </row>
    <row r="38116" spans="1:141" s="116" customFormat="1">
      <c r="A38116" s="136"/>
      <c r="CM38116" s="111"/>
      <c r="CQ38116" s="111"/>
      <c r="EF38116"/>
      <c r="EG38116"/>
      <c r="EH38116"/>
      <c r="EI38116"/>
      <c r="EJ38116"/>
      <c r="EK38116"/>
    </row>
    <row r="38117" spans="1:141" s="116" customFormat="1">
      <c r="A38117" s="136"/>
      <c r="CM38117" s="111"/>
      <c r="CQ38117" s="111"/>
      <c r="EF38117"/>
      <c r="EG38117"/>
      <c r="EH38117"/>
      <c r="EI38117"/>
      <c r="EJ38117"/>
      <c r="EK38117"/>
    </row>
    <row r="38118" spans="1:141" s="116" customFormat="1">
      <c r="A38118" s="136"/>
      <c r="CM38118" s="111"/>
      <c r="CQ38118" s="111"/>
      <c r="EF38118"/>
      <c r="EG38118"/>
      <c r="EH38118"/>
      <c r="EI38118"/>
      <c r="EJ38118"/>
      <c r="EK38118"/>
    </row>
    <row r="38119" spans="1:141" s="116" customFormat="1">
      <c r="A38119" s="136"/>
      <c r="CM38119" s="111"/>
      <c r="CQ38119" s="111"/>
      <c r="EF38119"/>
      <c r="EG38119"/>
      <c r="EH38119"/>
      <c r="EI38119"/>
      <c r="EJ38119"/>
      <c r="EK38119"/>
    </row>
    <row r="38120" spans="1:141" s="116" customFormat="1">
      <c r="A38120" s="136"/>
      <c r="CM38120" s="111"/>
      <c r="CQ38120" s="111"/>
      <c r="EF38120"/>
      <c r="EG38120"/>
      <c r="EH38120"/>
      <c r="EI38120"/>
      <c r="EJ38120"/>
      <c r="EK38120"/>
    </row>
    <row r="38121" spans="1:141" s="116" customFormat="1">
      <c r="A38121" s="136"/>
      <c r="CM38121" s="111"/>
      <c r="CQ38121" s="111"/>
      <c r="EF38121"/>
      <c r="EG38121"/>
      <c r="EH38121"/>
      <c r="EI38121"/>
      <c r="EJ38121"/>
      <c r="EK38121"/>
    </row>
    <row r="38122" spans="1:141" s="116" customFormat="1">
      <c r="A38122" s="136"/>
      <c r="CM38122" s="111"/>
      <c r="CQ38122" s="111"/>
      <c r="EF38122"/>
      <c r="EG38122"/>
      <c r="EH38122"/>
      <c r="EI38122"/>
      <c r="EJ38122"/>
      <c r="EK38122"/>
    </row>
    <row r="38123" spans="1:141" s="116" customFormat="1">
      <c r="A38123" s="136"/>
      <c r="CM38123" s="111"/>
      <c r="CQ38123" s="111"/>
      <c r="EF38123"/>
      <c r="EG38123"/>
      <c r="EH38123"/>
      <c r="EI38123"/>
      <c r="EJ38123"/>
      <c r="EK38123"/>
    </row>
    <row r="38124" spans="1:141" s="116" customFormat="1">
      <c r="A38124" s="136"/>
      <c r="CM38124" s="111"/>
      <c r="CQ38124" s="111"/>
      <c r="EF38124"/>
      <c r="EG38124"/>
      <c r="EH38124"/>
      <c r="EI38124"/>
      <c r="EJ38124"/>
      <c r="EK38124"/>
    </row>
    <row r="38125" spans="1:141" s="116" customFormat="1">
      <c r="A38125" s="136"/>
      <c r="CM38125" s="111"/>
      <c r="CQ38125" s="111"/>
      <c r="EF38125"/>
      <c r="EG38125"/>
      <c r="EH38125"/>
      <c r="EI38125"/>
      <c r="EJ38125"/>
      <c r="EK38125"/>
    </row>
    <row r="38126" spans="1:141" s="116" customFormat="1">
      <c r="A38126" s="136"/>
      <c r="CM38126" s="111"/>
      <c r="CQ38126" s="111"/>
      <c r="EF38126"/>
      <c r="EG38126"/>
      <c r="EH38126"/>
      <c r="EI38126"/>
      <c r="EJ38126"/>
      <c r="EK38126"/>
    </row>
    <row r="38127" spans="1:141" s="116" customFormat="1">
      <c r="A38127" s="136"/>
      <c r="CM38127" s="111"/>
      <c r="CQ38127" s="111"/>
      <c r="EF38127"/>
      <c r="EG38127"/>
      <c r="EH38127"/>
      <c r="EI38127"/>
      <c r="EJ38127"/>
      <c r="EK38127"/>
    </row>
    <row r="38128" spans="1:141" s="116" customFormat="1">
      <c r="A38128" s="136"/>
      <c r="CM38128" s="111"/>
      <c r="CQ38128" s="111"/>
      <c r="EF38128"/>
      <c r="EG38128"/>
      <c r="EH38128"/>
      <c r="EI38128"/>
      <c r="EJ38128"/>
      <c r="EK38128"/>
    </row>
    <row r="38129" spans="1:141" s="116" customFormat="1">
      <c r="A38129" s="136"/>
      <c r="CM38129" s="111"/>
      <c r="CQ38129" s="111"/>
      <c r="EF38129"/>
      <c r="EG38129"/>
      <c r="EH38129"/>
      <c r="EI38129"/>
      <c r="EJ38129"/>
      <c r="EK38129"/>
    </row>
    <row r="38130" spans="1:141" s="116" customFormat="1">
      <c r="A38130" s="136"/>
      <c r="CM38130" s="111"/>
      <c r="CQ38130" s="111"/>
      <c r="EF38130"/>
      <c r="EG38130"/>
      <c r="EH38130"/>
      <c r="EI38130"/>
      <c r="EJ38130"/>
      <c r="EK38130"/>
    </row>
    <row r="38131" spans="1:141" s="116" customFormat="1">
      <c r="A38131" s="136"/>
      <c r="CM38131" s="111"/>
      <c r="CQ38131" s="111"/>
      <c r="EF38131"/>
      <c r="EG38131"/>
      <c r="EH38131"/>
      <c r="EI38131"/>
      <c r="EJ38131"/>
      <c r="EK38131"/>
    </row>
    <row r="38132" spans="1:141" s="116" customFormat="1">
      <c r="A38132" s="136"/>
      <c r="CM38132" s="111"/>
      <c r="CQ38132" s="111"/>
      <c r="EF38132"/>
      <c r="EG38132"/>
      <c r="EH38132"/>
      <c r="EI38132"/>
      <c r="EJ38132"/>
      <c r="EK38132"/>
    </row>
    <row r="38133" spans="1:141" s="116" customFormat="1">
      <c r="A38133" s="136"/>
      <c r="CM38133" s="111"/>
      <c r="CQ38133" s="111"/>
      <c r="EF38133"/>
      <c r="EG38133"/>
      <c r="EH38133"/>
      <c r="EI38133"/>
      <c r="EJ38133"/>
      <c r="EK38133"/>
    </row>
    <row r="38134" spans="1:141" s="116" customFormat="1">
      <c r="A38134" s="136"/>
      <c r="CM38134" s="111"/>
      <c r="CQ38134" s="111"/>
      <c r="EF38134"/>
      <c r="EG38134"/>
      <c r="EH38134"/>
      <c r="EI38134"/>
      <c r="EJ38134"/>
      <c r="EK38134"/>
    </row>
    <row r="38135" spans="1:141" s="116" customFormat="1">
      <c r="A38135" s="136"/>
      <c r="CM38135" s="111"/>
      <c r="CQ38135" s="111"/>
      <c r="EF38135"/>
      <c r="EG38135"/>
      <c r="EH38135"/>
      <c r="EI38135"/>
      <c r="EJ38135"/>
      <c r="EK38135"/>
    </row>
    <row r="38136" spans="1:141" s="116" customFormat="1">
      <c r="A38136" s="136"/>
      <c r="CM38136" s="111"/>
      <c r="CQ38136" s="111"/>
      <c r="EF38136"/>
      <c r="EG38136"/>
      <c r="EH38136"/>
      <c r="EI38136"/>
      <c r="EJ38136"/>
      <c r="EK38136"/>
    </row>
    <row r="38137" spans="1:141" s="116" customFormat="1">
      <c r="A38137" s="136"/>
      <c r="CM38137" s="111"/>
      <c r="CQ38137" s="111"/>
      <c r="EF38137"/>
      <c r="EG38137"/>
      <c r="EH38137"/>
      <c r="EI38137"/>
      <c r="EJ38137"/>
      <c r="EK38137"/>
    </row>
    <row r="38138" spans="1:141" s="116" customFormat="1">
      <c r="A38138" s="136"/>
      <c r="CM38138" s="111"/>
      <c r="CQ38138" s="111"/>
      <c r="EF38138"/>
      <c r="EG38138"/>
      <c r="EH38138"/>
      <c r="EI38138"/>
      <c r="EJ38138"/>
      <c r="EK38138"/>
    </row>
    <row r="38139" spans="1:141" s="116" customFormat="1">
      <c r="A38139" s="136"/>
      <c r="CM38139" s="111"/>
      <c r="CQ38139" s="111"/>
      <c r="EF38139"/>
      <c r="EG38139"/>
      <c r="EH38139"/>
      <c r="EI38139"/>
      <c r="EJ38139"/>
      <c r="EK38139"/>
    </row>
    <row r="38140" spans="1:141" s="116" customFormat="1">
      <c r="A38140" s="136"/>
      <c r="CM38140" s="111"/>
      <c r="CQ38140" s="111"/>
      <c r="EF38140"/>
      <c r="EG38140"/>
      <c r="EH38140"/>
      <c r="EI38140"/>
      <c r="EJ38140"/>
      <c r="EK38140"/>
    </row>
    <row r="38141" spans="1:141" s="116" customFormat="1">
      <c r="A38141" s="136"/>
      <c r="CM38141" s="111"/>
      <c r="CQ38141" s="111"/>
      <c r="EF38141"/>
      <c r="EG38141"/>
      <c r="EH38141"/>
      <c r="EI38141"/>
      <c r="EJ38141"/>
      <c r="EK38141"/>
    </row>
    <row r="38142" spans="1:141" s="116" customFormat="1">
      <c r="A38142" s="136"/>
      <c r="CM38142" s="111"/>
      <c r="CQ38142" s="111"/>
      <c r="EF38142"/>
      <c r="EG38142"/>
      <c r="EH38142"/>
      <c r="EI38142"/>
      <c r="EJ38142"/>
      <c r="EK38142"/>
    </row>
    <row r="38143" spans="1:141" s="116" customFormat="1">
      <c r="A38143" s="136"/>
      <c r="CM38143" s="111"/>
      <c r="CQ38143" s="111"/>
      <c r="EF38143"/>
      <c r="EG38143"/>
      <c r="EH38143"/>
      <c r="EI38143"/>
      <c r="EJ38143"/>
      <c r="EK38143"/>
    </row>
    <row r="38144" spans="1:141" s="116" customFormat="1">
      <c r="A38144" s="136"/>
      <c r="CM38144" s="111"/>
      <c r="CQ38144" s="111"/>
      <c r="EF38144"/>
      <c r="EG38144"/>
      <c r="EH38144"/>
      <c r="EI38144"/>
      <c r="EJ38144"/>
      <c r="EK38144"/>
    </row>
    <row r="38145" spans="1:141" s="116" customFormat="1">
      <c r="A38145" s="136"/>
      <c r="CM38145" s="111"/>
      <c r="CQ38145" s="111"/>
      <c r="EF38145"/>
      <c r="EG38145"/>
      <c r="EH38145"/>
      <c r="EI38145"/>
      <c r="EJ38145"/>
      <c r="EK38145"/>
    </row>
    <row r="38146" spans="1:141" s="116" customFormat="1">
      <c r="A38146" s="136"/>
      <c r="CM38146" s="111"/>
      <c r="CQ38146" s="111"/>
      <c r="EF38146"/>
      <c r="EG38146"/>
      <c r="EH38146"/>
      <c r="EI38146"/>
      <c r="EJ38146"/>
      <c r="EK38146"/>
    </row>
    <row r="38147" spans="1:141" s="116" customFormat="1">
      <c r="A38147" s="136"/>
      <c r="CM38147" s="111"/>
      <c r="CQ38147" s="111"/>
      <c r="EF38147"/>
      <c r="EG38147"/>
      <c r="EH38147"/>
      <c r="EI38147"/>
      <c r="EJ38147"/>
      <c r="EK38147"/>
    </row>
    <row r="38148" spans="1:141" s="116" customFormat="1">
      <c r="A38148" s="136"/>
      <c r="CM38148" s="111"/>
      <c r="CQ38148" s="111"/>
      <c r="EF38148"/>
      <c r="EG38148"/>
      <c r="EH38148"/>
      <c r="EI38148"/>
      <c r="EJ38148"/>
      <c r="EK38148"/>
    </row>
    <row r="38149" spans="1:141" s="116" customFormat="1">
      <c r="A38149" s="136"/>
      <c r="CM38149" s="111"/>
      <c r="CQ38149" s="111"/>
      <c r="EF38149"/>
      <c r="EG38149"/>
      <c r="EH38149"/>
      <c r="EI38149"/>
      <c r="EJ38149"/>
      <c r="EK38149"/>
    </row>
    <row r="38150" spans="1:141" s="116" customFormat="1">
      <c r="A38150" s="136"/>
      <c r="CM38150" s="111"/>
      <c r="CQ38150" s="111"/>
      <c r="EF38150"/>
      <c r="EG38150"/>
      <c r="EH38150"/>
      <c r="EI38150"/>
      <c r="EJ38150"/>
      <c r="EK38150"/>
    </row>
    <row r="38151" spans="1:141" s="116" customFormat="1">
      <c r="A38151" s="136"/>
      <c r="CM38151" s="111"/>
      <c r="CQ38151" s="111"/>
      <c r="EF38151"/>
      <c r="EG38151"/>
      <c r="EH38151"/>
      <c r="EI38151"/>
      <c r="EJ38151"/>
      <c r="EK38151"/>
    </row>
    <row r="38152" spans="1:141" s="116" customFormat="1">
      <c r="A38152" s="136"/>
      <c r="CM38152" s="111"/>
      <c r="CQ38152" s="111"/>
      <c r="EF38152"/>
      <c r="EG38152"/>
      <c r="EH38152"/>
      <c r="EI38152"/>
      <c r="EJ38152"/>
      <c r="EK38152"/>
    </row>
    <row r="38153" spans="1:141" s="116" customFormat="1">
      <c r="A38153" s="136"/>
      <c r="CM38153" s="111"/>
      <c r="CQ38153" s="111"/>
      <c r="EF38153"/>
      <c r="EG38153"/>
      <c r="EH38153"/>
      <c r="EI38153"/>
      <c r="EJ38153"/>
      <c r="EK38153"/>
    </row>
    <row r="38154" spans="1:141" s="116" customFormat="1">
      <c r="A38154" s="136"/>
      <c r="CM38154" s="111"/>
      <c r="CQ38154" s="111"/>
      <c r="EF38154"/>
      <c r="EG38154"/>
      <c r="EH38154"/>
      <c r="EI38154"/>
      <c r="EJ38154"/>
      <c r="EK38154"/>
    </row>
    <row r="38155" spans="1:141" s="116" customFormat="1">
      <c r="A38155" s="136"/>
      <c r="CM38155" s="111"/>
      <c r="CQ38155" s="111"/>
      <c r="EF38155"/>
      <c r="EG38155"/>
      <c r="EH38155"/>
      <c r="EI38155"/>
      <c r="EJ38155"/>
      <c r="EK38155"/>
    </row>
    <row r="38156" spans="1:141" s="116" customFormat="1">
      <c r="A38156" s="136"/>
      <c r="CM38156" s="111"/>
      <c r="CQ38156" s="111"/>
      <c r="EF38156"/>
      <c r="EG38156"/>
      <c r="EH38156"/>
      <c r="EI38156"/>
      <c r="EJ38156"/>
      <c r="EK38156"/>
    </row>
    <row r="38157" spans="1:141" s="116" customFormat="1">
      <c r="A38157" s="136"/>
      <c r="CM38157" s="111"/>
      <c r="CQ38157" s="111"/>
      <c r="EF38157"/>
      <c r="EG38157"/>
      <c r="EH38157"/>
      <c r="EI38157"/>
      <c r="EJ38157"/>
      <c r="EK38157"/>
    </row>
    <row r="38158" spans="1:141" s="116" customFormat="1">
      <c r="A38158" s="136"/>
      <c r="CM38158" s="111"/>
      <c r="CQ38158" s="111"/>
      <c r="EF38158"/>
      <c r="EG38158"/>
      <c r="EH38158"/>
      <c r="EI38158"/>
      <c r="EJ38158"/>
      <c r="EK38158"/>
    </row>
    <row r="38159" spans="1:141" s="116" customFormat="1">
      <c r="A38159" s="136"/>
      <c r="CM38159" s="111"/>
      <c r="CQ38159" s="111"/>
      <c r="EF38159"/>
      <c r="EG38159"/>
      <c r="EH38159"/>
      <c r="EI38159"/>
      <c r="EJ38159"/>
      <c r="EK38159"/>
    </row>
    <row r="38160" spans="1:141" s="116" customFormat="1">
      <c r="A38160" s="136"/>
      <c r="CM38160" s="111"/>
      <c r="CQ38160" s="111"/>
      <c r="EF38160"/>
      <c r="EG38160"/>
      <c r="EH38160"/>
      <c r="EI38160"/>
      <c r="EJ38160"/>
      <c r="EK38160"/>
    </row>
    <row r="38161" spans="1:141" s="116" customFormat="1">
      <c r="A38161" s="136"/>
      <c r="CM38161" s="111"/>
      <c r="CQ38161" s="111"/>
      <c r="EF38161"/>
      <c r="EG38161"/>
      <c r="EH38161"/>
      <c r="EI38161"/>
      <c r="EJ38161"/>
      <c r="EK38161"/>
    </row>
    <row r="38162" spans="1:141" s="116" customFormat="1">
      <c r="A38162" s="136"/>
      <c r="CM38162" s="111"/>
      <c r="CQ38162" s="111"/>
      <c r="EF38162"/>
      <c r="EG38162"/>
      <c r="EH38162"/>
      <c r="EI38162"/>
      <c r="EJ38162"/>
      <c r="EK38162"/>
    </row>
    <row r="38163" spans="1:141" s="116" customFormat="1">
      <c r="A38163" s="136"/>
      <c r="CM38163" s="111"/>
      <c r="CQ38163" s="111"/>
      <c r="EF38163"/>
      <c r="EG38163"/>
      <c r="EH38163"/>
      <c r="EI38163"/>
      <c r="EJ38163"/>
      <c r="EK38163"/>
    </row>
    <row r="38164" spans="1:141" s="116" customFormat="1">
      <c r="A38164" s="136"/>
      <c r="CM38164" s="111"/>
      <c r="CQ38164" s="111"/>
      <c r="EF38164"/>
      <c r="EG38164"/>
      <c r="EH38164"/>
      <c r="EI38164"/>
      <c r="EJ38164"/>
      <c r="EK38164"/>
    </row>
    <row r="38165" spans="1:141" s="116" customFormat="1">
      <c r="A38165" s="136"/>
      <c r="CM38165" s="111"/>
      <c r="CQ38165" s="111"/>
      <c r="EF38165"/>
      <c r="EG38165"/>
      <c r="EH38165"/>
      <c r="EI38165"/>
      <c r="EJ38165"/>
      <c r="EK38165"/>
    </row>
    <row r="38166" spans="1:141" s="116" customFormat="1">
      <c r="A38166" s="136"/>
      <c r="CM38166" s="111"/>
      <c r="CQ38166" s="111"/>
      <c r="EF38166"/>
      <c r="EG38166"/>
      <c r="EH38166"/>
      <c r="EI38166"/>
      <c r="EJ38166"/>
      <c r="EK38166"/>
    </row>
    <row r="38167" spans="1:141" s="116" customFormat="1">
      <c r="A38167" s="136"/>
      <c r="CM38167" s="111"/>
      <c r="CQ38167" s="111"/>
      <c r="EF38167"/>
      <c r="EG38167"/>
      <c r="EH38167"/>
      <c r="EI38167"/>
      <c r="EJ38167"/>
      <c r="EK38167"/>
    </row>
    <row r="38168" spans="1:141" s="116" customFormat="1">
      <c r="A38168" s="136"/>
      <c r="CM38168" s="111"/>
      <c r="CQ38168" s="111"/>
      <c r="EF38168"/>
      <c r="EG38168"/>
      <c r="EH38168"/>
      <c r="EI38168"/>
      <c r="EJ38168"/>
      <c r="EK38168"/>
    </row>
    <row r="38169" spans="1:141" s="116" customFormat="1">
      <c r="A38169" s="136"/>
      <c r="CM38169" s="111"/>
      <c r="CQ38169" s="111"/>
      <c r="EF38169"/>
      <c r="EG38169"/>
      <c r="EH38169"/>
      <c r="EI38169"/>
      <c r="EJ38169"/>
      <c r="EK38169"/>
    </row>
    <row r="38170" spans="1:141" s="116" customFormat="1">
      <c r="A38170" s="136"/>
      <c r="CM38170" s="111"/>
      <c r="CQ38170" s="111"/>
      <c r="EF38170"/>
      <c r="EG38170"/>
      <c r="EH38170"/>
      <c r="EI38170"/>
      <c r="EJ38170"/>
      <c r="EK38170"/>
    </row>
    <row r="38171" spans="1:141" s="116" customFormat="1">
      <c r="A38171" s="136"/>
      <c r="CM38171" s="111"/>
      <c r="CQ38171" s="111"/>
      <c r="EF38171"/>
      <c r="EG38171"/>
      <c r="EH38171"/>
      <c r="EI38171"/>
      <c r="EJ38171"/>
      <c r="EK38171"/>
    </row>
    <row r="38172" spans="1:141" s="116" customFormat="1">
      <c r="A38172" s="136"/>
      <c r="CM38172" s="111"/>
      <c r="CQ38172" s="111"/>
      <c r="EF38172"/>
      <c r="EG38172"/>
      <c r="EH38172"/>
      <c r="EI38172"/>
      <c r="EJ38172"/>
      <c r="EK38172"/>
    </row>
    <row r="38173" spans="1:141" s="116" customFormat="1">
      <c r="A38173" s="136"/>
      <c r="CM38173" s="111"/>
      <c r="CQ38173" s="111"/>
      <c r="EF38173"/>
      <c r="EG38173"/>
      <c r="EH38173"/>
      <c r="EI38173"/>
      <c r="EJ38173"/>
      <c r="EK38173"/>
    </row>
    <row r="38174" spans="1:141" s="116" customFormat="1">
      <c r="A38174" s="136"/>
      <c r="CM38174" s="111"/>
      <c r="CQ38174" s="111"/>
      <c r="EF38174"/>
      <c r="EG38174"/>
      <c r="EH38174"/>
      <c r="EI38174"/>
      <c r="EJ38174"/>
      <c r="EK38174"/>
    </row>
    <row r="38175" spans="1:141" s="116" customFormat="1">
      <c r="A38175" s="136"/>
      <c r="CM38175" s="111"/>
      <c r="CQ38175" s="111"/>
      <c r="EF38175"/>
      <c r="EG38175"/>
      <c r="EH38175"/>
      <c r="EI38175"/>
      <c r="EJ38175"/>
      <c r="EK38175"/>
    </row>
    <row r="38176" spans="1:141" s="116" customFormat="1">
      <c r="A38176" s="136"/>
      <c r="CM38176" s="111"/>
      <c r="CQ38176" s="111"/>
      <c r="EF38176"/>
      <c r="EG38176"/>
      <c r="EH38176"/>
      <c r="EI38176"/>
      <c r="EJ38176"/>
      <c r="EK38176"/>
    </row>
    <row r="38177" spans="1:141" s="116" customFormat="1">
      <c r="A38177" s="136"/>
      <c r="CM38177" s="111"/>
      <c r="CQ38177" s="111"/>
      <c r="EF38177"/>
      <c r="EG38177"/>
      <c r="EH38177"/>
      <c r="EI38177"/>
      <c r="EJ38177"/>
      <c r="EK38177"/>
    </row>
    <row r="38178" spans="1:141" s="116" customFormat="1">
      <c r="A38178" s="136"/>
      <c r="CM38178" s="111"/>
      <c r="CQ38178" s="111"/>
      <c r="EF38178"/>
      <c r="EG38178"/>
      <c r="EH38178"/>
      <c r="EI38178"/>
      <c r="EJ38178"/>
      <c r="EK38178"/>
    </row>
    <row r="38179" spans="1:141" s="116" customFormat="1">
      <c r="A38179" s="136"/>
      <c r="CM38179" s="111"/>
      <c r="CQ38179" s="111"/>
      <c r="EF38179"/>
      <c r="EG38179"/>
      <c r="EH38179"/>
      <c r="EI38179"/>
      <c r="EJ38179"/>
      <c r="EK38179"/>
    </row>
    <row r="38180" spans="1:141" s="116" customFormat="1">
      <c r="A38180" s="136"/>
      <c r="CM38180" s="111"/>
      <c r="CQ38180" s="111"/>
      <c r="EF38180"/>
      <c r="EG38180"/>
      <c r="EH38180"/>
      <c r="EI38180"/>
      <c r="EJ38180"/>
      <c r="EK38180"/>
    </row>
    <row r="38181" spans="1:141" s="116" customFormat="1">
      <c r="A38181" s="136"/>
      <c r="CM38181" s="111"/>
      <c r="CQ38181" s="111"/>
      <c r="EF38181"/>
      <c r="EG38181"/>
      <c r="EH38181"/>
      <c r="EI38181"/>
      <c r="EJ38181"/>
      <c r="EK38181"/>
    </row>
    <row r="38182" spans="1:141" s="116" customFormat="1">
      <c r="A38182" s="136"/>
      <c r="CM38182" s="111"/>
      <c r="CQ38182" s="111"/>
      <c r="EF38182"/>
      <c r="EG38182"/>
      <c r="EH38182"/>
      <c r="EI38182"/>
      <c r="EJ38182"/>
      <c r="EK38182"/>
    </row>
    <row r="38183" spans="1:141" s="116" customFormat="1">
      <c r="A38183" s="136"/>
      <c r="CM38183" s="111"/>
      <c r="CQ38183" s="111"/>
      <c r="EF38183"/>
      <c r="EG38183"/>
      <c r="EH38183"/>
      <c r="EI38183"/>
      <c r="EJ38183"/>
      <c r="EK38183"/>
    </row>
    <row r="38184" spans="1:141" s="116" customFormat="1">
      <c r="A38184" s="136"/>
      <c r="CM38184" s="111"/>
      <c r="CQ38184" s="111"/>
      <c r="EF38184"/>
      <c r="EG38184"/>
      <c r="EH38184"/>
      <c r="EI38184"/>
      <c r="EJ38184"/>
      <c r="EK38184"/>
    </row>
    <row r="38185" spans="1:141" s="116" customFormat="1">
      <c r="A38185" s="136"/>
      <c r="CM38185" s="111"/>
      <c r="CQ38185" s="111"/>
      <c r="EF38185"/>
      <c r="EG38185"/>
      <c r="EH38185"/>
      <c r="EI38185"/>
      <c r="EJ38185"/>
      <c r="EK38185"/>
    </row>
    <row r="38186" spans="1:141" s="116" customFormat="1">
      <c r="A38186" s="136"/>
      <c r="CM38186" s="111"/>
      <c r="CQ38186" s="111"/>
      <c r="EF38186"/>
      <c r="EG38186"/>
      <c r="EH38186"/>
      <c r="EI38186"/>
      <c r="EJ38186"/>
      <c r="EK38186"/>
    </row>
    <row r="38187" spans="1:141" s="116" customFormat="1">
      <c r="A38187" s="136"/>
      <c r="CM38187" s="111"/>
      <c r="CQ38187" s="111"/>
      <c r="EF38187"/>
      <c r="EG38187"/>
      <c r="EH38187"/>
      <c r="EI38187"/>
      <c r="EJ38187"/>
      <c r="EK38187"/>
    </row>
    <row r="38188" spans="1:141" s="116" customFormat="1">
      <c r="A38188" s="136"/>
      <c r="CM38188" s="111"/>
      <c r="CQ38188" s="111"/>
      <c r="EF38188"/>
      <c r="EG38188"/>
      <c r="EH38188"/>
      <c r="EI38188"/>
      <c r="EJ38188"/>
      <c r="EK38188"/>
    </row>
    <row r="38189" spans="1:141" s="116" customFormat="1">
      <c r="A38189" s="136"/>
      <c r="CM38189" s="111"/>
      <c r="CQ38189" s="111"/>
      <c r="EF38189"/>
      <c r="EG38189"/>
      <c r="EH38189"/>
      <c r="EI38189"/>
      <c r="EJ38189"/>
      <c r="EK38189"/>
    </row>
    <row r="38190" spans="1:141" s="116" customFormat="1">
      <c r="A38190" s="136"/>
      <c r="CM38190" s="111"/>
      <c r="CQ38190" s="111"/>
      <c r="EF38190"/>
      <c r="EG38190"/>
      <c r="EH38190"/>
      <c r="EI38190"/>
      <c r="EJ38190"/>
      <c r="EK38190"/>
    </row>
    <row r="38191" spans="1:141" s="116" customFormat="1">
      <c r="A38191" s="136"/>
      <c r="CM38191" s="111"/>
      <c r="CQ38191" s="111"/>
      <c r="EF38191"/>
      <c r="EG38191"/>
      <c r="EH38191"/>
      <c r="EI38191"/>
      <c r="EJ38191"/>
      <c r="EK38191"/>
    </row>
    <row r="38192" spans="1:141" s="116" customFormat="1">
      <c r="A38192" s="136"/>
      <c r="CM38192" s="111"/>
      <c r="CQ38192" s="111"/>
      <c r="EF38192"/>
      <c r="EG38192"/>
      <c r="EH38192"/>
      <c r="EI38192"/>
      <c r="EJ38192"/>
      <c r="EK38192"/>
    </row>
    <row r="38193" spans="1:141" s="116" customFormat="1">
      <c r="A38193" s="136"/>
      <c r="CM38193" s="111"/>
      <c r="CQ38193" s="111"/>
      <c r="EF38193"/>
      <c r="EG38193"/>
      <c r="EH38193"/>
      <c r="EI38193"/>
      <c r="EJ38193"/>
      <c r="EK38193"/>
    </row>
    <row r="38194" spans="1:141" s="116" customFormat="1">
      <c r="A38194" s="136"/>
      <c r="CM38194" s="111"/>
      <c r="CQ38194" s="111"/>
      <c r="EF38194"/>
      <c r="EG38194"/>
      <c r="EH38194"/>
      <c r="EI38194"/>
      <c r="EJ38194"/>
      <c r="EK38194"/>
    </row>
    <row r="38195" spans="1:141" s="116" customFormat="1">
      <c r="A38195" s="136"/>
      <c r="CM38195" s="111"/>
      <c r="CQ38195" s="111"/>
      <c r="EF38195"/>
      <c r="EG38195"/>
      <c r="EH38195"/>
      <c r="EI38195"/>
      <c r="EJ38195"/>
      <c r="EK38195"/>
    </row>
    <row r="38196" spans="1:141" s="116" customFormat="1">
      <c r="A38196" s="136"/>
      <c r="CM38196" s="111"/>
      <c r="CQ38196" s="111"/>
      <c r="EF38196"/>
      <c r="EG38196"/>
      <c r="EH38196"/>
      <c r="EI38196"/>
      <c r="EJ38196"/>
      <c r="EK38196"/>
    </row>
    <row r="38197" spans="1:141" s="116" customFormat="1">
      <c r="A38197" s="136"/>
      <c r="CM38197" s="111"/>
      <c r="CQ38197" s="111"/>
      <c r="EF38197"/>
      <c r="EG38197"/>
      <c r="EH38197"/>
      <c r="EI38197"/>
      <c r="EJ38197"/>
      <c r="EK38197"/>
    </row>
    <row r="38198" spans="1:141" s="116" customFormat="1">
      <c r="A38198" s="136"/>
      <c r="CM38198" s="111"/>
      <c r="CQ38198" s="111"/>
      <c r="EF38198"/>
      <c r="EG38198"/>
      <c r="EH38198"/>
      <c r="EI38198"/>
      <c r="EJ38198"/>
      <c r="EK38198"/>
    </row>
    <row r="38199" spans="1:141" s="116" customFormat="1">
      <c r="A38199" s="136"/>
      <c r="CM38199" s="111"/>
      <c r="CQ38199" s="111"/>
      <c r="EF38199"/>
      <c r="EG38199"/>
      <c r="EH38199"/>
      <c r="EI38199"/>
      <c r="EJ38199"/>
      <c r="EK38199"/>
    </row>
    <row r="38200" spans="1:141" s="116" customFormat="1">
      <c r="A38200" s="136"/>
      <c r="CM38200" s="111"/>
      <c r="CQ38200" s="111"/>
      <c r="EF38200"/>
      <c r="EG38200"/>
      <c r="EH38200"/>
      <c r="EI38200"/>
      <c r="EJ38200"/>
      <c r="EK38200"/>
    </row>
    <row r="38201" spans="1:141" s="116" customFormat="1">
      <c r="A38201" s="136"/>
      <c r="CM38201" s="111"/>
      <c r="CQ38201" s="111"/>
      <c r="EF38201"/>
      <c r="EG38201"/>
      <c r="EH38201"/>
      <c r="EI38201"/>
      <c r="EJ38201"/>
      <c r="EK38201"/>
    </row>
    <row r="38202" spans="1:141" s="116" customFormat="1">
      <c r="A38202" s="136"/>
      <c r="CM38202" s="111"/>
      <c r="CQ38202" s="111"/>
      <c r="EF38202"/>
      <c r="EG38202"/>
      <c r="EH38202"/>
      <c r="EI38202"/>
      <c r="EJ38202"/>
      <c r="EK38202"/>
    </row>
    <row r="38203" spans="1:141" s="116" customFormat="1">
      <c r="A38203" s="136"/>
      <c r="CM38203" s="111"/>
      <c r="CQ38203" s="111"/>
      <c r="EF38203"/>
      <c r="EG38203"/>
      <c r="EH38203"/>
      <c r="EI38203"/>
      <c r="EJ38203"/>
      <c r="EK38203"/>
    </row>
    <row r="38204" spans="1:141" s="116" customFormat="1">
      <c r="A38204" s="136"/>
      <c r="CM38204" s="111"/>
      <c r="CQ38204" s="111"/>
      <c r="EF38204"/>
      <c r="EG38204"/>
      <c r="EH38204"/>
      <c r="EI38204"/>
      <c r="EJ38204"/>
      <c r="EK38204"/>
    </row>
    <row r="38205" spans="1:141" s="116" customFormat="1">
      <c r="A38205" s="136"/>
      <c r="CM38205" s="111"/>
      <c r="CQ38205" s="111"/>
      <c r="EF38205"/>
      <c r="EG38205"/>
      <c r="EH38205"/>
      <c r="EI38205"/>
      <c r="EJ38205"/>
      <c r="EK38205"/>
    </row>
    <row r="38206" spans="1:141" s="116" customFormat="1">
      <c r="A38206" s="136"/>
      <c r="CM38206" s="111"/>
      <c r="CQ38206" s="111"/>
      <c r="EF38206"/>
      <c r="EG38206"/>
      <c r="EH38206"/>
      <c r="EI38206"/>
      <c r="EJ38206"/>
      <c r="EK38206"/>
    </row>
    <row r="38207" spans="1:141" s="116" customFormat="1">
      <c r="A38207" s="136"/>
      <c r="CM38207" s="111"/>
      <c r="CQ38207" s="111"/>
      <c r="EF38207"/>
      <c r="EG38207"/>
      <c r="EH38207"/>
      <c r="EI38207"/>
      <c r="EJ38207"/>
      <c r="EK38207"/>
    </row>
    <row r="38208" spans="1:141" s="116" customFormat="1">
      <c r="A38208" s="136"/>
      <c r="CM38208" s="111"/>
      <c r="CQ38208" s="111"/>
      <c r="EF38208"/>
      <c r="EG38208"/>
      <c r="EH38208"/>
      <c r="EI38208"/>
      <c r="EJ38208"/>
      <c r="EK38208"/>
    </row>
    <row r="38209" spans="1:141" s="116" customFormat="1">
      <c r="A38209" s="136"/>
      <c r="CM38209" s="111"/>
      <c r="CQ38209" s="111"/>
      <c r="EF38209"/>
      <c r="EG38209"/>
      <c r="EH38209"/>
      <c r="EI38209"/>
      <c r="EJ38209"/>
      <c r="EK38209"/>
    </row>
    <row r="38210" spans="1:141" s="116" customFormat="1">
      <c r="A38210" s="136"/>
      <c r="CM38210" s="111"/>
      <c r="CQ38210" s="111"/>
      <c r="EF38210"/>
      <c r="EG38210"/>
      <c r="EH38210"/>
      <c r="EI38210"/>
      <c r="EJ38210"/>
      <c r="EK38210"/>
    </row>
    <row r="38211" spans="1:141" s="116" customFormat="1">
      <c r="A38211" s="136"/>
      <c r="CM38211" s="111"/>
      <c r="CQ38211" s="111"/>
      <c r="EF38211"/>
      <c r="EG38211"/>
      <c r="EH38211"/>
      <c r="EI38211"/>
      <c r="EJ38211"/>
      <c r="EK38211"/>
    </row>
    <row r="38212" spans="1:141" s="116" customFormat="1">
      <c r="A38212" s="136"/>
      <c r="CM38212" s="111"/>
      <c r="CQ38212" s="111"/>
      <c r="EF38212"/>
      <c r="EG38212"/>
      <c r="EH38212"/>
      <c r="EI38212"/>
      <c r="EJ38212"/>
      <c r="EK38212"/>
    </row>
    <row r="38213" spans="1:141" s="116" customFormat="1">
      <c r="A38213" s="136"/>
      <c r="CM38213" s="111"/>
      <c r="CQ38213" s="111"/>
      <c r="EF38213"/>
      <c r="EG38213"/>
      <c r="EH38213"/>
      <c r="EI38213"/>
      <c r="EJ38213"/>
      <c r="EK38213"/>
    </row>
    <row r="38214" spans="1:141" s="116" customFormat="1">
      <c r="A38214" s="136"/>
      <c r="CM38214" s="111"/>
      <c r="CQ38214" s="111"/>
      <c r="EF38214"/>
      <c r="EG38214"/>
      <c r="EH38214"/>
      <c r="EI38214"/>
      <c r="EJ38214"/>
      <c r="EK38214"/>
    </row>
    <row r="38215" spans="1:141" s="116" customFormat="1">
      <c r="A38215" s="136"/>
      <c r="CM38215" s="111"/>
      <c r="CQ38215" s="111"/>
      <c r="EF38215"/>
      <c r="EG38215"/>
      <c r="EH38215"/>
      <c r="EI38215"/>
      <c r="EJ38215"/>
      <c r="EK38215"/>
    </row>
    <row r="38216" spans="1:141" s="116" customFormat="1">
      <c r="A38216" s="136"/>
      <c r="CM38216" s="111"/>
      <c r="CQ38216" s="111"/>
      <c r="EF38216"/>
      <c r="EG38216"/>
      <c r="EH38216"/>
      <c r="EI38216"/>
      <c r="EJ38216"/>
      <c r="EK38216"/>
    </row>
    <row r="38217" spans="1:141" s="116" customFormat="1">
      <c r="A38217" s="136"/>
      <c r="CM38217" s="111"/>
      <c r="CQ38217" s="111"/>
      <c r="EF38217"/>
      <c r="EG38217"/>
      <c r="EH38217"/>
      <c r="EI38217"/>
      <c r="EJ38217"/>
      <c r="EK38217"/>
    </row>
    <row r="38218" spans="1:141" s="116" customFormat="1">
      <c r="A38218" s="136"/>
      <c r="CM38218" s="111"/>
      <c r="CQ38218" s="111"/>
      <c r="EF38218"/>
      <c r="EG38218"/>
      <c r="EH38218"/>
      <c r="EI38218"/>
      <c r="EJ38218"/>
      <c r="EK38218"/>
    </row>
    <row r="38219" spans="1:141" s="116" customFormat="1">
      <c r="A38219" s="136"/>
      <c r="CM38219" s="111"/>
      <c r="CQ38219" s="111"/>
      <c r="EF38219"/>
      <c r="EG38219"/>
      <c r="EH38219"/>
      <c r="EI38219"/>
      <c r="EJ38219"/>
      <c r="EK38219"/>
    </row>
    <row r="38220" spans="1:141" s="116" customFormat="1">
      <c r="A38220" s="136"/>
      <c r="CM38220" s="111"/>
      <c r="CQ38220" s="111"/>
      <c r="EF38220"/>
      <c r="EG38220"/>
      <c r="EH38220"/>
      <c r="EI38220"/>
      <c r="EJ38220"/>
      <c r="EK38220"/>
    </row>
    <row r="38221" spans="1:141" s="116" customFormat="1">
      <c r="A38221" s="136"/>
      <c r="CM38221" s="111"/>
      <c r="CQ38221" s="111"/>
      <c r="EF38221"/>
      <c r="EG38221"/>
      <c r="EH38221"/>
      <c r="EI38221"/>
      <c r="EJ38221"/>
      <c r="EK38221"/>
    </row>
    <row r="38222" spans="1:141" s="116" customFormat="1">
      <c r="A38222" s="136"/>
      <c r="CM38222" s="111"/>
      <c r="CQ38222" s="111"/>
      <c r="EF38222"/>
      <c r="EG38222"/>
      <c r="EH38222"/>
      <c r="EI38222"/>
      <c r="EJ38222"/>
      <c r="EK38222"/>
    </row>
    <row r="38223" spans="1:141" s="116" customFormat="1">
      <c r="A38223" s="136"/>
      <c r="CM38223" s="111"/>
      <c r="CQ38223" s="111"/>
      <c r="EF38223"/>
      <c r="EG38223"/>
      <c r="EH38223"/>
      <c r="EI38223"/>
      <c r="EJ38223"/>
      <c r="EK38223"/>
    </row>
    <row r="38224" spans="1:141" s="116" customFormat="1">
      <c r="A38224" s="136"/>
      <c r="CM38224" s="111"/>
      <c r="CQ38224" s="111"/>
      <c r="EF38224"/>
      <c r="EG38224"/>
      <c r="EH38224"/>
      <c r="EI38224"/>
      <c r="EJ38224"/>
      <c r="EK38224"/>
    </row>
    <row r="38225" spans="1:141" s="116" customFormat="1">
      <c r="A38225" s="136"/>
      <c r="CM38225" s="111"/>
      <c r="CQ38225" s="111"/>
      <c r="EF38225"/>
      <c r="EG38225"/>
      <c r="EH38225"/>
      <c r="EI38225"/>
      <c r="EJ38225"/>
      <c r="EK38225"/>
    </row>
    <row r="38226" spans="1:141" s="116" customFormat="1">
      <c r="A38226" s="136"/>
      <c r="CM38226" s="111"/>
      <c r="CQ38226" s="111"/>
      <c r="EF38226"/>
      <c r="EG38226"/>
      <c r="EH38226"/>
      <c r="EI38226"/>
      <c r="EJ38226"/>
      <c r="EK38226"/>
    </row>
    <row r="38227" spans="1:141" s="116" customFormat="1">
      <c r="A38227" s="136"/>
      <c r="CM38227" s="111"/>
      <c r="CQ38227" s="111"/>
      <c r="EF38227"/>
      <c r="EG38227"/>
      <c r="EH38227"/>
      <c r="EI38227"/>
      <c r="EJ38227"/>
      <c r="EK38227"/>
    </row>
    <row r="38228" spans="1:141" s="116" customFormat="1">
      <c r="A38228" s="136"/>
      <c r="CM38228" s="111"/>
      <c r="CQ38228" s="111"/>
      <c r="EF38228"/>
      <c r="EG38228"/>
      <c r="EH38228"/>
      <c r="EI38228"/>
      <c r="EJ38228"/>
      <c r="EK38228"/>
    </row>
    <row r="38229" spans="1:141" s="116" customFormat="1">
      <c r="A38229" s="136"/>
      <c r="CM38229" s="111"/>
      <c r="CQ38229" s="111"/>
      <c r="EF38229"/>
      <c r="EG38229"/>
      <c r="EH38229"/>
      <c r="EI38229"/>
      <c r="EJ38229"/>
      <c r="EK38229"/>
    </row>
    <row r="38230" spans="1:141" s="116" customFormat="1">
      <c r="A38230" s="136"/>
      <c r="CM38230" s="111"/>
      <c r="CQ38230" s="111"/>
      <c r="EF38230"/>
      <c r="EG38230"/>
      <c r="EH38230"/>
      <c r="EI38230"/>
      <c r="EJ38230"/>
      <c r="EK38230"/>
    </row>
    <row r="38231" spans="1:141" s="116" customFormat="1">
      <c r="A38231" s="136"/>
      <c r="CM38231" s="111"/>
      <c r="CQ38231" s="111"/>
      <c r="EF38231"/>
      <c r="EG38231"/>
      <c r="EH38231"/>
      <c r="EI38231"/>
      <c r="EJ38231"/>
      <c r="EK38231"/>
    </row>
    <row r="38232" spans="1:141" s="116" customFormat="1">
      <c r="A38232" s="136"/>
      <c r="CM38232" s="111"/>
      <c r="CQ38232" s="111"/>
      <c r="EF38232"/>
      <c r="EG38232"/>
      <c r="EH38232"/>
      <c r="EI38232"/>
      <c r="EJ38232"/>
      <c r="EK38232"/>
    </row>
    <row r="38233" spans="1:141" s="116" customFormat="1">
      <c r="A38233" s="136"/>
      <c r="CM38233" s="111"/>
      <c r="CQ38233" s="111"/>
      <c r="EF38233"/>
      <c r="EG38233"/>
      <c r="EH38233"/>
      <c r="EI38233"/>
      <c r="EJ38233"/>
      <c r="EK38233"/>
    </row>
    <row r="38234" spans="1:141" s="116" customFormat="1">
      <c r="A38234" s="136"/>
      <c r="CM38234" s="111"/>
      <c r="CQ38234" s="111"/>
      <c r="EF38234"/>
      <c r="EG38234"/>
      <c r="EH38234"/>
      <c r="EI38234"/>
      <c r="EJ38234"/>
      <c r="EK38234"/>
    </row>
    <row r="38235" spans="1:141" s="116" customFormat="1">
      <c r="A38235" s="136"/>
      <c r="CM38235" s="111"/>
      <c r="CQ38235" s="111"/>
      <c r="EF38235"/>
      <c r="EG38235"/>
      <c r="EH38235"/>
      <c r="EI38235"/>
      <c r="EJ38235"/>
      <c r="EK38235"/>
    </row>
    <row r="38236" spans="1:141" s="116" customFormat="1">
      <c r="A38236" s="136"/>
      <c r="CM38236" s="111"/>
      <c r="CQ38236" s="111"/>
      <c r="EF38236"/>
      <c r="EG38236"/>
      <c r="EH38236"/>
      <c r="EI38236"/>
      <c r="EJ38236"/>
      <c r="EK38236"/>
    </row>
    <row r="38237" spans="1:141" s="116" customFormat="1">
      <c r="A38237" s="136"/>
      <c r="CM38237" s="111"/>
      <c r="CQ38237" s="111"/>
      <c r="EF38237"/>
      <c r="EG38237"/>
      <c r="EH38237"/>
      <c r="EI38237"/>
      <c r="EJ38237"/>
      <c r="EK38237"/>
    </row>
    <row r="38238" spans="1:141" s="116" customFormat="1">
      <c r="A38238" s="136"/>
      <c r="CM38238" s="111"/>
      <c r="CQ38238" s="111"/>
      <c r="EF38238"/>
      <c r="EG38238"/>
      <c r="EH38238"/>
      <c r="EI38238"/>
      <c r="EJ38238"/>
      <c r="EK38238"/>
    </row>
    <row r="38239" spans="1:141" s="116" customFormat="1">
      <c r="A38239" s="136"/>
      <c r="CM38239" s="111"/>
      <c r="CQ38239" s="111"/>
      <c r="EF38239"/>
      <c r="EG38239"/>
      <c r="EH38239"/>
      <c r="EI38239"/>
      <c r="EJ38239"/>
      <c r="EK38239"/>
    </row>
    <row r="38240" spans="1:141" s="116" customFormat="1">
      <c r="A38240" s="136"/>
      <c r="CM38240" s="111"/>
      <c r="CQ38240" s="111"/>
      <c r="EF38240"/>
      <c r="EG38240"/>
      <c r="EH38240"/>
      <c r="EI38240"/>
      <c r="EJ38240"/>
      <c r="EK38240"/>
    </row>
    <row r="38241" spans="1:141" s="116" customFormat="1">
      <c r="A38241" s="136"/>
      <c r="CM38241" s="111"/>
      <c r="CQ38241" s="111"/>
      <c r="EF38241"/>
      <c r="EG38241"/>
      <c r="EH38241"/>
      <c r="EI38241"/>
      <c r="EJ38241"/>
      <c r="EK38241"/>
    </row>
    <row r="38242" spans="1:141" s="116" customFormat="1">
      <c r="A38242" s="136"/>
      <c r="CM38242" s="111"/>
      <c r="CQ38242" s="111"/>
      <c r="EF38242"/>
      <c r="EG38242"/>
      <c r="EH38242"/>
      <c r="EI38242"/>
      <c r="EJ38242"/>
      <c r="EK38242"/>
    </row>
    <row r="38243" spans="1:141" s="116" customFormat="1">
      <c r="A38243" s="136"/>
      <c r="CM38243" s="111"/>
      <c r="CQ38243" s="111"/>
      <c r="EF38243"/>
      <c r="EG38243"/>
      <c r="EH38243"/>
      <c r="EI38243"/>
      <c r="EJ38243"/>
      <c r="EK38243"/>
    </row>
    <row r="38244" spans="1:141" s="116" customFormat="1">
      <c r="A38244" s="136"/>
      <c r="CM38244" s="111"/>
      <c r="CQ38244" s="111"/>
      <c r="EF38244"/>
      <c r="EG38244"/>
      <c r="EH38244"/>
      <c r="EI38244"/>
      <c r="EJ38244"/>
      <c r="EK38244"/>
    </row>
    <row r="38245" spans="1:141" s="116" customFormat="1">
      <c r="A38245" s="136"/>
      <c r="CM38245" s="111"/>
      <c r="CQ38245" s="111"/>
      <c r="EF38245"/>
      <c r="EG38245"/>
      <c r="EH38245"/>
      <c r="EI38245"/>
      <c r="EJ38245"/>
      <c r="EK38245"/>
    </row>
    <row r="38246" spans="1:141" s="116" customFormat="1">
      <c r="A38246" s="136"/>
      <c r="CM38246" s="111"/>
      <c r="CQ38246" s="111"/>
      <c r="EF38246"/>
      <c r="EG38246"/>
      <c r="EH38246"/>
      <c r="EI38246"/>
      <c r="EJ38246"/>
      <c r="EK38246"/>
    </row>
    <row r="38247" spans="1:141" s="116" customFormat="1">
      <c r="A38247" s="136"/>
      <c r="CM38247" s="111"/>
      <c r="CQ38247" s="111"/>
      <c r="EF38247"/>
      <c r="EG38247"/>
      <c r="EH38247"/>
      <c r="EI38247"/>
      <c r="EJ38247"/>
      <c r="EK38247"/>
    </row>
    <row r="38248" spans="1:141" s="116" customFormat="1">
      <c r="A38248" s="136"/>
      <c r="CM38248" s="111"/>
      <c r="CQ38248" s="111"/>
      <c r="EF38248"/>
      <c r="EG38248"/>
      <c r="EH38248"/>
      <c r="EI38248"/>
      <c r="EJ38248"/>
      <c r="EK38248"/>
    </row>
    <row r="38249" spans="1:141" s="116" customFormat="1">
      <c r="A38249" s="136"/>
      <c r="CM38249" s="111"/>
      <c r="CQ38249" s="111"/>
      <c r="EF38249"/>
      <c r="EG38249"/>
      <c r="EH38249"/>
      <c r="EI38249"/>
      <c r="EJ38249"/>
      <c r="EK38249"/>
    </row>
    <row r="38250" spans="1:141" s="116" customFormat="1">
      <c r="A38250" s="136"/>
      <c r="CM38250" s="111"/>
      <c r="CQ38250" s="111"/>
      <c r="EF38250"/>
      <c r="EG38250"/>
      <c r="EH38250"/>
      <c r="EI38250"/>
      <c r="EJ38250"/>
      <c r="EK38250"/>
    </row>
    <row r="38251" spans="1:141" s="116" customFormat="1">
      <c r="A38251" s="136"/>
      <c r="CM38251" s="111"/>
      <c r="CQ38251" s="111"/>
      <c r="EF38251"/>
      <c r="EG38251"/>
      <c r="EH38251"/>
      <c r="EI38251"/>
      <c r="EJ38251"/>
      <c r="EK38251"/>
    </row>
    <row r="38252" spans="1:141" s="116" customFormat="1">
      <c r="A38252" s="136"/>
      <c r="CM38252" s="111"/>
      <c r="CQ38252" s="111"/>
      <c r="EF38252"/>
      <c r="EG38252"/>
      <c r="EH38252"/>
      <c r="EI38252"/>
      <c r="EJ38252"/>
      <c r="EK38252"/>
    </row>
    <row r="38253" spans="1:141" s="116" customFormat="1">
      <c r="A38253" s="136"/>
      <c r="CM38253" s="111"/>
      <c r="CQ38253" s="111"/>
      <c r="EF38253"/>
      <c r="EG38253"/>
      <c r="EH38253"/>
      <c r="EI38253"/>
      <c r="EJ38253"/>
      <c r="EK38253"/>
    </row>
    <row r="38254" spans="1:141" s="116" customFormat="1">
      <c r="A38254" s="136"/>
      <c r="CM38254" s="111"/>
      <c r="CQ38254" s="111"/>
      <c r="EF38254"/>
      <c r="EG38254"/>
      <c r="EH38254"/>
      <c r="EI38254"/>
      <c r="EJ38254"/>
      <c r="EK38254"/>
    </row>
    <row r="38255" spans="1:141" s="116" customFormat="1">
      <c r="A38255" s="136"/>
      <c r="CM38255" s="111"/>
      <c r="CQ38255" s="111"/>
      <c r="EF38255"/>
      <c r="EG38255"/>
      <c r="EH38255"/>
      <c r="EI38255"/>
      <c r="EJ38255"/>
      <c r="EK38255"/>
    </row>
    <row r="38256" spans="1:141" s="116" customFormat="1">
      <c r="A38256" s="136"/>
      <c r="CM38256" s="111"/>
      <c r="CQ38256" s="111"/>
      <c r="EF38256"/>
      <c r="EG38256"/>
      <c r="EH38256"/>
      <c r="EI38256"/>
      <c r="EJ38256"/>
      <c r="EK38256"/>
    </row>
    <row r="38257" spans="1:141" s="116" customFormat="1">
      <c r="A38257" s="136"/>
      <c r="CM38257" s="111"/>
      <c r="CQ38257" s="111"/>
      <c r="EF38257"/>
      <c r="EG38257"/>
      <c r="EH38257"/>
      <c r="EI38257"/>
      <c r="EJ38257"/>
      <c r="EK38257"/>
    </row>
    <row r="38258" spans="1:141" s="116" customFormat="1">
      <c r="A38258" s="136"/>
      <c r="CM38258" s="111"/>
      <c r="CQ38258" s="111"/>
      <c r="EF38258"/>
      <c r="EG38258"/>
      <c r="EH38258"/>
      <c r="EI38258"/>
      <c r="EJ38258"/>
      <c r="EK38258"/>
    </row>
    <row r="38259" spans="1:141" s="116" customFormat="1">
      <c r="A38259" s="136"/>
      <c r="CM38259" s="111"/>
      <c r="CQ38259" s="111"/>
      <c r="EF38259"/>
      <c r="EG38259"/>
      <c r="EH38259"/>
      <c r="EI38259"/>
      <c r="EJ38259"/>
      <c r="EK38259"/>
    </row>
    <row r="38260" spans="1:141" s="116" customFormat="1">
      <c r="A38260" s="136"/>
      <c r="CM38260" s="111"/>
      <c r="CQ38260" s="111"/>
      <c r="EF38260"/>
      <c r="EG38260"/>
      <c r="EH38260"/>
      <c r="EI38260"/>
      <c r="EJ38260"/>
      <c r="EK38260"/>
    </row>
    <row r="38261" spans="1:141" s="116" customFormat="1">
      <c r="A38261" s="136"/>
      <c r="CM38261" s="111"/>
      <c r="CQ38261" s="111"/>
      <c r="EF38261"/>
      <c r="EG38261"/>
      <c r="EH38261"/>
      <c r="EI38261"/>
      <c r="EJ38261"/>
      <c r="EK38261"/>
    </row>
    <row r="38262" spans="1:141" s="116" customFormat="1">
      <c r="A38262" s="136"/>
      <c r="CM38262" s="111"/>
      <c r="CQ38262" s="111"/>
      <c r="EF38262"/>
      <c r="EG38262"/>
      <c r="EH38262"/>
      <c r="EI38262"/>
      <c r="EJ38262"/>
      <c r="EK38262"/>
    </row>
    <row r="38263" spans="1:141" s="116" customFormat="1">
      <c r="A38263" s="136"/>
      <c r="CM38263" s="111"/>
      <c r="CQ38263" s="111"/>
      <c r="EF38263"/>
      <c r="EG38263"/>
      <c r="EH38263"/>
      <c r="EI38263"/>
      <c r="EJ38263"/>
      <c r="EK38263"/>
    </row>
    <row r="38264" spans="1:141" s="116" customFormat="1">
      <c r="A38264" s="136"/>
      <c r="CM38264" s="111"/>
      <c r="CQ38264" s="111"/>
      <c r="EF38264"/>
      <c r="EG38264"/>
      <c r="EH38264"/>
      <c r="EI38264"/>
      <c r="EJ38264"/>
      <c r="EK38264"/>
    </row>
    <row r="38265" spans="1:141" s="116" customFormat="1">
      <c r="A38265" s="136"/>
      <c r="CM38265" s="111"/>
      <c r="CQ38265" s="111"/>
      <c r="EF38265"/>
      <c r="EG38265"/>
      <c r="EH38265"/>
      <c r="EI38265"/>
      <c r="EJ38265"/>
      <c r="EK38265"/>
    </row>
    <row r="38266" spans="1:141" s="116" customFormat="1">
      <c r="A38266" s="136"/>
      <c r="CM38266" s="111"/>
      <c r="CQ38266" s="111"/>
      <c r="EF38266"/>
      <c r="EG38266"/>
      <c r="EH38266"/>
      <c r="EI38266"/>
      <c r="EJ38266"/>
      <c r="EK38266"/>
    </row>
    <row r="38267" spans="1:141" s="116" customFormat="1">
      <c r="A38267" s="136"/>
      <c r="CM38267" s="111"/>
      <c r="CQ38267" s="111"/>
      <c r="EF38267"/>
      <c r="EG38267"/>
      <c r="EH38267"/>
      <c r="EI38267"/>
      <c r="EJ38267"/>
      <c r="EK38267"/>
    </row>
    <row r="38268" spans="1:141" s="116" customFormat="1">
      <c r="A38268" s="136"/>
      <c r="CM38268" s="111"/>
      <c r="CQ38268" s="111"/>
      <c r="EF38268"/>
      <c r="EG38268"/>
      <c r="EH38268"/>
      <c r="EI38268"/>
      <c r="EJ38268"/>
      <c r="EK38268"/>
    </row>
    <row r="38269" spans="1:141" s="116" customFormat="1">
      <c r="A38269" s="136"/>
      <c r="CM38269" s="111"/>
      <c r="CQ38269" s="111"/>
      <c r="EF38269"/>
      <c r="EG38269"/>
      <c r="EH38269"/>
      <c r="EI38269"/>
      <c r="EJ38269"/>
      <c r="EK38269"/>
    </row>
    <row r="38270" spans="1:141" s="116" customFormat="1">
      <c r="A38270" s="136"/>
      <c r="CM38270" s="111"/>
      <c r="CQ38270" s="111"/>
      <c r="EF38270"/>
      <c r="EG38270"/>
      <c r="EH38270"/>
      <c r="EI38270"/>
      <c r="EJ38270"/>
      <c r="EK38270"/>
    </row>
    <row r="38271" spans="1:141" s="116" customFormat="1">
      <c r="A38271" s="136"/>
      <c r="CM38271" s="111"/>
      <c r="CQ38271" s="111"/>
      <c r="EF38271"/>
      <c r="EG38271"/>
      <c r="EH38271"/>
      <c r="EI38271"/>
      <c r="EJ38271"/>
      <c r="EK38271"/>
    </row>
    <row r="38272" spans="1:141" s="116" customFormat="1">
      <c r="A38272" s="136"/>
      <c r="CM38272" s="111"/>
      <c r="CQ38272" s="111"/>
      <c r="EF38272"/>
      <c r="EG38272"/>
      <c r="EH38272"/>
      <c r="EI38272"/>
      <c r="EJ38272"/>
      <c r="EK38272"/>
    </row>
    <row r="38273" spans="1:141" s="116" customFormat="1">
      <c r="A38273" s="136"/>
      <c r="CM38273" s="111"/>
      <c r="CQ38273" s="111"/>
      <c r="EF38273"/>
      <c r="EG38273"/>
      <c r="EH38273"/>
      <c r="EI38273"/>
      <c r="EJ38273"/>
      <c r="EK38273"/>
    </row>
    <row r="38274" spans="1:141" s="116" customFormat="1">
      <c r="A38274" s="136"/>
      <c r="CM38274" s="111"/>
      <c r="CQ38274" s="111"/>
      <c r="EF38274"/>
      <c r="EG38274"/>
      <c r="EH38274"/>
      <c r="EI38274"/>
      <c r="EJ38274"/>
      <c r="EK38274"/>
    </row>
    <row r="38275" spans="1:141" s="116" customFormat="1">
      <c r="A38275" s="136"/>
      <c r="CM38275" s="111"/>
      <c r="CQ38275" s="111"/>
      <c r="EF38275"/>
      <c r="EG38275"/>
      <c r="EH38275"/>
      <c r="EI38275"/>
      <c r="EJ38275"/>
      <c r="EK38275"/>
    </row>
    <row r="38276" spans="1:141" s="116" customFormat="1">
      <c r="A38276" s="136"/>
      <c r="CM38276" s="111"/>
      <c r="CQ38276" s="111"/>
      <c r="EF38276"/>
      <c r="EG38276"/>
      <c r="EH38276"/>
      <c r="EI38276"/>
      <c r="EJ38276"/>
      <c r="EK38276"/>
    </row>
    <row r="38277" spans="1:141" s="116" customFormat="1">
      <c r="A38277" s="136"/>
      <c r="CM38277" s="111"/>
      <c r="CQ38277" s="111"/>
      <c r="EF38277"/>
      <c r="EG38277"/>
      <c r="EH38277"/>
      <c r="EI38277"/>
      <c r="EJ38277"/>
      <c r="EK38277"/>
    </row>
    <row r="38278" spans="1:141" s="116" customFormat="1">
      <c r="A38278" s="136"/>
      <c r="CM38278" s="111"/>
      <c r="CQ38278" s="111"/>
      <c r="EF38278"/>
      <c r="EG38278"/>
      <c r="EH38278"/>
      <c r="EI38278"/>
      <c r="EJ38278"/>
      <c r="EK38278"/>
    </row>
    <row r="38279" spans="1:141" s="116" customFormat="1">
      <c r="A38279" s="136"/>
      <c r="CM38279" s="111"/>
      <c r="CQ38279" s="111"/>
      <c r="EF38279"/>
      <c r="EG38279"/>
      <c r="EH38279"/>
      <c r="EI38279"/>
      <c r="EJ38279"/>
      <c r="EK38279"/>
    </row>
    <row r="38280" spans="1:141" s="116" customFormat="1">
      <c r="A38280" s="136"/>
      <c r="CM38280" s="111"/>
      <c r="CQ38280" s="111"/>
      <c r="EF38280"/>
      <c r="EG38280"/>
      <c r="EH38280"/>
      <c r="EI38280"/>
      <c r="EJ38280"/>
      <c r="EK38280"/>
    </row>
    <row r="38281" spans="1:141" s="116" customFormat="1">
      <c r="A38281" s="136"/>
      <c r="CM38281" s="111"/>
      <c r="CQ38281" s="111"/>
      <c r="EF38281"/>
      <c r="EG38281"/>
      <c r="EH38281"/>
      <c r="EI38281"/>
      <c r="EJ38281"/>
      <c r="EK38281"/>
    </row>
    <row r="38282" spans="1:141" s="116" customFormat="1">
      <c r="A38282" s="136"/>
      <c r="CM38282" s="111"/>
      <c r="CQ38282" s="111"/>
      <c r="EF38282"/>
      <c r="EG38282"/>
      <c r="EH38282"/>
      <c r="EI38282"/>
      <c r="EJ38282"/>
      <c r="EK38282"/>
    </row>
    <row r="38283" spans="1:141" s="116" customFormat="1">
      <c r="A38283" s="136"/>
      <c r="CM38283" s="111"/>
      <c r="CQ38283" s="111"/>
      <c r="EF38283"/>
      <c r="EG38283"/>
      <c r="EH38283"/>
      <c r="EI38283"/>
      <c r="EJ38283"/>
      <c r="EK38283"/>
    </row>
    <row r="38284" spans="1:141" s="116" customFormat="1">
      <c r="A38284" s="136"/>
      <c r="CM38284" s="111"/>
      <c r="CQ38284" s="111"/>
      <c r="EF38284"/>
      <c r="EG38284"/>
      <c r="EH38284"/>
      <c r="EI38284"/>
      <c r="EJ38284"/>
      <c r="EK38284"/>
    </row>
    <row r="38285" spans="1:141" s="116" customFormat="1">
      <c r="A38285" s="136"/>
      <c r="CM38285" s="111"/>
      <c r="CQ38285" s="111"/>
      <c r="EF38285"/>
      <c r="EG38285"/>
      <c r="EH38285"/>
      <c r="EI38285"/>
      <c r="EJ38285"/>
      <c r="EK38285"/>
    </row>
    <row r="38286" spans="1:141" s="116" customFormat="1">
      <c r="A38286" s="136"/>
      <c r="CM38286" s="111"/>
      <c r="CQ38286" s="111"/>
      <c r="EF38286"/>
      <c r="EG38286"/>
      <c r="EH38286"/>
      <c r="EI38286"/>
      <c r="EJ38286"/>
      <c r="EK38286"/>
    </row>
    <row r="38287" spans="1:141" s="116" customFormat="1">
      <c r="A38287" s="136"/>
      <c r="CM38287" s="111"/>
      <c r="CQ38287" s="111"/>
      <c r="EF38287"/>
      <c r="EG38287"/>
      <c r="EH38287"/>
      <c r="EI38287"/>
      <c r="EJ38287"/>
      <c r="EK38287"/>
    </row>
    <row r="38288" spans="1:141" s="116" customFormat="1">
      <c r="A38288" s="136"/>
      <c r="CM38288" s="111"/>
      <c r="CQ38288" s="111"/>
      <c r="EF38288"/>
      <c r="EG38288"/>
      <c r="EH38288"/>
      <c r="EI38288"/>
      <c r="EJ38288"/>
      <c r="EK38288"/>
    </row>
    <row r="38289" spans="1:141" s="116" customFormat="1">
      <c r="A38289" s="136"/>
      <c r="CM38289" s="111"/>
      <c r="CQ38289" s="111"/>
      <c r="EF38289"/>
      <c r="EG38289"/>
      <c r="EH38289"/>
      <c r="EI38289"/>
      <c r="EJ38289"/>
      <c r="EK38289"/>
    </row>
    <row r="38290" spans="1:141" s="116" customFormat="1">
      <c r="A38290" s="136"/>
      <c r="CM38290" s="111"/>
      <c r="CQ38290" s="111"/>
      <c r="EF38290"/>
      <c r="EG38290"/>
      <c r="EH38290"/>
      <c r="EI38290"/>
      <c r="EJ38290"/>
      <c r="EK38290"/>
    </row>
    <row r="38291" spans="1:141" s="116" customFormat="1">
      <c r="A38291" s="136"/>
      <c r="CM38291" s="111"/>
      <c r="CQ38291" s="111"/>
      <c r="EF38291"/>
      <c r="EG38291"/>
      <c r="EH38291"/>
      <c r="EI38291"/>
      <c r="EJ38291"/>
      <c r="EK38291"/>
    </row>
    <row r="38292" spans="1:141" s="116" customFormat="1">
      <c r="A38292" s="136"/>
      <c r="CM38292" s="111"/>
      <c r="CQ38292" s="111"/>
      <c r="EF38292"/>
      <c r="EG38292"/>
      <c r="EH38292"/>
      <c r="EI38292"/>
      <c r="EJ38292"/>
      <c r="EK38292"/>
    </row>
    <row r="38293" spans="1:141" s="116" customFormat="1">
      <c r="A38293" s="136"/>
      <c r="CM38293" s="111"/>
      <c r="CQ38293" s="111"/>
      <c r="EF38293"/>
      <c r="EG38293"/>
      <c r="EH38293"/>
      <c r="EI38293"/>
      <c r="EJ38293"/>
      <c r="EK38293"/>
    </row>
    <row r="38294" spans="1:141" s="116" customFormat="1">
      <c r="A38294" s="136"/>
      <c r="CM38294" s="111"/>
      <c r="CQ38294" s="111"/>
      <c r="EF38294"/>
      <c r="EG38294"/>
      <c r="EH38294"/>
      <c r="EI38294"/>
      <c r="EJ38294"/>
      <c r="EK38294"/>
    </row>
    <row r="38295" spans="1:141" s="116" customFormat="1">
      <c r="A38295" s="136"/>
      <c r="CM38295" s="111"/>
      <c r="CQ38295" s="111"/>
      <c r="EF38295"/>
      <c r="EG38295"/>
      <c r="EH38295"/>
      <c r="EI38295"/>
      <c r="EJ38295"/>
      <c r="EK38295"/>
    </row>
    <row r="38296" spans="1:141" s="116" customFormat="1">
      <c r="A38296" s="136"/>
      <c r="CM38296" s="111"/>
      <c r="CQ38296" s="111"/>
      <c r="EF38296"/>
      <c r="EG38296"/>
      <c r="EH38296"/>
      <c r="EI38296"/>
      <c r="EJ38296"/>
      <c r="EK38296"/>
    </row>
    <row r="38297" spans="1:141" s="116" customFormat="1">
      <c r="A38297" s="136"/>
      <c r="CM38297" s="111"/>
      <c r="CQ38297" s="111"/>
      <c r="EF38297"/>
      <c r="EG38297"/>
      <c r="EH38297"/>
      <c r="EI38297"/>
      <c r="EJ38297"/>
      <c r="EK38297"/>
    </row>
    <row r="38298" spans="1:141" s="116" customFormat="1">
      <c r="A38298" s="136"/>
      <c r="CM38298" s="111"/>
      <c r="CQ38298" s="111"/>
      <c r="EF38298"/>
      <c r="EG38298"/>
      <c r="EH38298"/>
      <c r="EI38298"/>
      <c r="EJ38298"/>
      <c r="EK38298"/>
    </row>
    <row r="38299" spans="1:141" s="116" customFormat="1">
      <c r="A38299" s="136"/>
      <c r="CM38299" s="111"/>
      <c r="CQ38299" s="111"/>
      <c r="EF38299"/>
      <c r="EG38299"/>
      <c r="EH38299"/>
      <c r="EI38299"/>
      <c r="EJ38299"/>
      <c r="EK38299"/>
    </row>
    <row r="38300" spans="1:141" s="116" customFormat="1">
      <c r="A38300" s="136"/>
      <c r="CM38300" s="111"/>
      <c r="CQ38300" s="111"/>
      <c r="EF38300"/>
      <c r="EG38300"/>
      <c r="EH38300"/>
      <c r="EI38300"/>
      <c r="EJ38300"/>
      <c r="EK38300"/>
    </row>
    <row r="38301" spans="1:141" s="116" customFormat="1">
      <c r="A38301" s="136"/>
      <c r="CM38301" s="111"/>
      <c r="CQ38301" s="111"/>
      <c r="EF38301"/>
      <c r="EG38301"/>
      <c r="EH38301"/>
      <c r="EI38301"/>
      <c r="EJ38301"/>
      <c r="EK38301"/>
    </row>
    <row r="38302" spans="1:141" s="116" customFormat="1">
      <c r="A38302" s="136"/>
      <c r="CM38302" s="111"/>
      <c r="CQ38302" s="111"/>
      <c r="EF38302"/>
      <c r="EG38302"/>
      <c r="EH38302"/>
      <c r="EI38302"/>
      <c r="EJ38302"/>
      <c r="EK38302"/>
    </row>
    <row r="38303" spans="1:141" s="116" customFormat="1">
      <c r="A38303" s="136"/>
      <c r="CM38303" s="111"/>
      <c r="CQ38303" s="111"/>
      <c r="EF38303"/>
      <c r="EG38303"/>
      <c r="EH38303"/>
      <c r="EI38303"/>
      <c r="EJ38303"/>
      <c r="EK38303"/>
    </row>
    <row r="38304" spans="1:141" s="116" customFormat="1">
      <c r="A38304" s="136"/>
      <c r="CM38304" s="111"/>
      <c r="CQ38304" s="111"/>
      <c r="EF38304"/>
      <c r="EG38304"/>
      <c r="EH38304"/>
      <c r="EI38304"/>
      <c r="EJ38304"/>
      <c r="EK38304"/>
    </row>
    <row r="38305" spans="1:141" s="116" customFormat="1">
      <c r="A38305" s="136"/>
      <c r="CM38305" s="111"/>
      <c r="CQ38305" s="111"/>
      <c r="EF38305"/>
      <c r="EG38305"/>
      <c r="EH38305"/>
      <c r="EI38305"/>
      <c r="EJ38305"/>
      <c r="EK38305"/>
    </row>
    <row r="38306" spans="1:141" s="116" customFormat="1">
      <c r="A38306" s="136"/>
      <c r="CM38306" s="111"/>
      <c r="CQ38306" s="111"/>
      <c r="EF38306"/>
      <c r="EG38306"/>
      <c r="EH38306"/>
      <c r="EI38306"/>
      <c r="EJ38306"/>
      <c r="EK38306"/>
    </row>
    <row r="38307" spans="1:141" s="116" customFormat="1">
      <c r="A38307" s="136"/>
      <c r="CM38307" s="111"/>
      <c r="CQ38307" s="111"/>
      <c r="EF38307"/>
      <c r="EG38307"/>
      <c r="EH38307"/>
      <c r="EI38307"/>
      <c r="EJ38307"/>
      <c r="EK38307"/>
    </row>
    <row r="38308" spans="1:141" s="116" customFormat="1">
      <c r="A38308" s="136"/>
      <c r="CM38308" s="111"/>
      <c r="CQ38308" s="111"/>
      <c r="EF38308"/>
      <c r="EG38308"/>
      <c r="EH38308"/>
      <c r="EI38308"/>
      <c r="EJ38308"/>
      <c r="EK38308"/>
    </row>
    <row r="38309" spans="1:141" s="116" customFormat="1">
      <c r="A38309" s="136"/>
      <c r="CM38309" s="111"/>
      <c r="CQ38309" s="111"/>
      <c r="EF38309"/>
      <c r="EG38309"/>
      <c r="EH38309"/>
      <c r="EI38309"/>
      <c r="EJ38309"/>
      <c r="EK38309"/>
    </row>
    <row r="38310" spans="1:141" s="116" customFormat="1">
      <c r="A38310" s="136"/>
      <c r="CM38310" s="111"/>
      <c r="CQ38310" s="111"/>
      <c r="EF38310"/>
      <c r="EG38310"/>
      <c r="EH38310"/>
      <c r="EI38310"/>
      <c r="EJ38310"/>
      <c r="EK38310"/>
    </row>
    <row r="38311" spans="1:141" s="116" customFormat="1">
      <c r="A38311" s="136"/>
      <c r="CM38311" s="111"/>
      <c r="CQ38311" s="111"/>
      <c r="EF38311"/>
      <c r="EG38311"/>
      <c r="EH38311"/>
      <c r="EI38311"/>
      <c r="EJ38311"/>
      <c r="EK38311"/>
    </row>
    <row r="38312" spans="1:141" s="116" customFormat="1">
      <c r="A38312" s="136"/>
      <c r="CM38312" s="111"/>
      <c r="CQ38312" s="111"/>
      <c r="EF38312"/>
      <c r="EG38312"/>
      <c r="EH38312"/>
      <c r="EI38312"/>
      <c r="EJ38312"/>
      <c r="EK38312"/>
    </row>
    <row r="38313" spans="1:141" s="116" customFormat="1">
      <c r="A38313" s="136"/>
      <c r="CM38313" s="111"/>
      <c r="CQ38313" s="111"/>
      <c r="EF38313"/>
      <c r="EG38313"/>
      <c r="EH38313"/>
      <c r="EI38313"/>
      <c r="EJ38313"/>
      <c r="EK38313"/>
    </row>
    <row r="38314" spans="1:141" s="116" customFormat="1">
      <c r="A38314" s="136"/>
      <c r="CM38314" s="111"/>
      <c r="CQ38314" s="111"/>
      <c r="EF38314"/>
      <c r="EG38314"/>
      <c r="EH38314"/>
      <c r="EI38314"/>
      <c r="EJ38314"/>
      <c r="EK38314"/>
    </row>
    <row r="38315" spans="1:141" s="116" customFormat="1">
      <c r="A38315" s="136"/>
      <c r="CM38315" s="111"/>
      <c r="CQ38315" s="111"/>
      <c r="EF38315"/>
      <c r="EG38315"/>
      <c r="EH38315"/>
      <c r="EI38315"/>
      <c r="EJ38315"/>
      <c r="EK38315"/>
    </row>
    <row r="38316" spans="1:141" s="116" customFormat="1">
      <c r="A38316" s="136"/>
      <c r="CM38316" s="111"/>
      <c r="CQ38316" s="111"/>
      <c r="EF38316"/>
      <c r="EG38316"/>
      <c r="EH38316"/>
      <c r="EI38316"/>
      <c r="EJ38316"/>
      <c r="EK38316"/>
    </row>
    <row r="38317" spans="1:141" s="116" customFormat="1">
      <c r="A38317" s="136"/>
      <c r="CM38317" s="111"/>
      <c r="CQ38317" s="111"/>
      <c r="EF38317"/>
      <c r="EG38317"/>
      <c r="EH38317"/>
      <c r="EI38317"/>
      <c r="EJ38317"/>
      <c r="EK38317"/>
    </row>
    <row r="38318" spans="1:141" s="116" customFormat="1">
      <c r="A38318" s="136"/>
      <c r="CM38318" s="111"/>
      <c r="CQ38318" s="111"/>
      <c r="EF38318"/>
      <c r="EG38318"/>
      <c r="EH38318"/>
      <c r="EI38318"/>
      <c r="EJ38318"/>
      <c r="EK38318"/>
    </row>
    <row r="38319" spans="1:141" s="116" customFormat="1">
      <c r="A38319" s="136"/>
      <c r="CM38319" s="111"/>
      <c r="CQ38319" s="111"/>
      <c r="EF38319"/>
      <c r="EG38319"/>
      <c r="EH38319"/>
      <c r="EI38319"/>
      <c r="EJ38319"/>
      <c r="EK38319"/>
    </row>
    <row r="38320" spans="1:141" s="116" customFormat="1">
      <c r="A38320" s="136"/>
      <c r="CM38320" s="111"/>
      <c r="CQ38320" s="111"/>
      <c r="EF38320"/>
      <c r="EG38320"/>
      <c r="EH38320"/>
      <c r="EI38320"/>
      <c r="EJ38320"/>
      <c r="EK38320"/>
    </row>
    <row r="38321" spans="1:141" s="116" customFormat="1">
      <c r="A38321" s="136"/>
      <c r="CM38321" s="111"/>
      <c r="CQ38321" s="111"/>
      <c r="EF38321"/>
      <c r="EG38321"/>
      <c r="EH38321"/>
      <c r="EI38321"/>
      <c r="EJ38321"/>
      <c r="EK38321"/>
    </row>
    <row r="38322" spans="1:141" s="116" customFormat="1">
      <c r="A38322" s="136"/>
      <c r="CM38322" s="111"/>
      <c r="CQ38322" s="111"/>
      <c r="EF38322"/>
      <c r="EG38322"/>
      <c r="EH38322"/>
      <c r="EI38322"/>
      <c r="EJ38322"/>
      <c r="EK38322"/>
    </row>
    <row r="38323" spans="1:141" s="116" customFormat="1">
      <c r="A38323" s="136"/>
      <c r="CM38323" s="111"/>
      <c r="CQ38323" s="111"/>
      <c r="EF38323"/>
      <c r="EG38323"/>
      <c r="EH38323"/>
      <c r="EI38323"/>
      <c r="EJ38323"/>
      <c r="EK38323"/>
    </row>
    <row r="38324" spans="1:141" s="116" customFormat="1">
      <c r="A38324" s="136"/>
      <c r="CM38324" s="111"/>
      <c r="CQ38324" s="111"/>
      <c r="EF38324"/>
      <c r="EG38324"/>
      <c r="EH38324"/>
      <c r="EI38324"/>
      <c r="EJ38324"/>
      <c r="EK38324"/>
    </row>
    <row r="38325" spans="1:141" s="116" customFormat="1">
      <c r="A38325" s="136"/>
      <c r="CM38325" s="111"/>
      <c r="CQ38325" s="111"/>
      <c r="EF38325"/>
      <c r="EG38325"/>
      <c r="EH38325"/>
      <c r="EI38325"/>
      <c r="EJ38325"/>
      <c r="EK38325"/>
    </row>
    <row r="38326" spans="1:141" s="116" customFormat="1">
      <c r="A38326" s="136"/>
      <c r="CM38326" s="111"/>
      <c r="CQ38326" s="111"/>
      <c r="EF38326"/>
      <c r="EG38326"/>
      <c r="EH38326"/>
      <c r="EI38326"/>
      <c r="EJ38326"/>
      <c r="EK38326"/>
    </row>
    <row r="38327" spans="1:141" s="116" customFormat="1">
      <c r="A38327" s="136"/>
      <c r="CM38327" s="111"/>
      <c r="CQ38327" s="111"/>
      <c r="EF38327"/>
      <c r="EG38327"/>
      <c r="EH38327"/>
      <c r="EI38327"/>
      <c r="EJ38327"/>
      <c r="EK38327"/>
    </row>
    <row r="38328" spans="1:141" s="116" customFormat="1">
      <c r="A38328" s="136"/>
      <c r="CM38328" s="111"/>
      <c r="CQ38328" s="111"/>
      <c r="EF38328"/>
      <c r="EG38328"/>
      <c r="EH38328"/>
      <c r="EI38328"/>
      <c r="EJ38328"/>
      <c r="EK38328"/>
    </row>
    <row r="38329" spans="1:141" s="116" customFormat="1">
      <c r="A38329" s="136"/>
      <c r="CM38329" s="111"/>
      <c r="CQ38329" s="111"/>
      <c r="EF38329"/>
      <c r="EG38329"/>
      <c r="EH38329"/>
      <c r="EI38329"/>
      <c r="EJ38329"/>
      <c r="EK38329"/>
    </row>
    <row r="38330" spans="1:141" s="116" customFormat="1">
      <c r="A38330" s="136"/>
      <c r="CM38330" s="111"/>
      <c r="CQ38330" s="111"/>
      <c r="EF38330"/>
      <c r="EG38330"/>
      <c r="EH38330"/>
      <c r="EI38330"/>
      <c r="EJ38330"/>
      <c r="EK38330"/>
    </row>
    <row r="38331" spans="1:141" s="116" customFormat="1">
      <c r="A38331" s="136"/>
      <c r="CM38331" s="111"/>
      <c r="CQ38331" s="111"/>
      <c r="EF38331"/>
      <c r="EG38331"/>
      <c r="EH38331"/>
      <c r="EI38331"/>
      <c r="EJ38331"/>
      <c r="EK38331"/>
    </row>
    <row r="38332" spans="1:141" s="116" customFormat="1">
      <c r="A38332" s="136"/>
      <c r="CM38332" s="111"/>
      <c r="CQ38332" s="111"/>
      <c r="EF38332"/>
      <c r="EG38332"/>
      <c r="EH38332"/>
      <c r="EI38332"/>
      <c r="EJ38332"/>
      <c r="EK38332"/>
    </row>
    <row r="38333" spans="1:141" s="116" customFormat="1">
      <c r="A38333" s="136"/>
      <c r="CM38333" s="111"/>
      <c r="CQ38333" s="111"/>
      <c r="EF38333"/>
      <c r="EG38333"/>
      <c r="EH38333"/>
      <c r="EI38333"/>
      <c r="EJ38333"/>
      <c r="EK38333"/>
    </row>
    <row r="38334" spans="1:141" s="116" customFormat="1">
      <c r="A38334" s="136"/>
      <c r="CM38334" s="111"/>
      <c r="CQ38334" s="111"/>
      <c r="EF38334"/>
      <c r="EG38334"/>
      <c r="EH38334"/>
      <c r="EI38334"/>
      <c r="EJ38334"/>
      <c r="EK38334"/>
    </row>
    <row r="38335" spans="1:141" s="116" customFormat="1">
      <c r="A38335" s="136"/>
      <c r="CM38335" s="111"/>
      <c r="CQ38335" s="111"/>
      <c r="EF38335"/>
      <c r="EG38335"/>
      <c r="EH38335"/>
      <c r="EI38335"/>
      <c r="EJ38335"/>
      <c r="EK38335"/>
    </row>
    <row r="38336" spans="1:141" s="116" customFormat="1">
      <c r="A38336" s="136"/>
      <c r="CM38336" s="111"/>
      <c r="CQ38336" s="111"/>
      <c r="EF38336"/>
      <c r="EG38336"/>
      <c r="EH38336"/>
      <c r="EI38336"/>
      <c r="EJ38336"/>
      <c r="EK38336"/>
    </row>
    <row r="38337" spans="1:141" s="116" customFormat="1">
      <c r="A38337" s="136"/>
      <c r="CM38337" s="111"/>
      <c r="CQ38337" s="111"/>
      <c r="EF38337"/>
      <c r="EG38337"/>
      <c r="EH38337"/>
      <c r="EI38337"/>
      <c r="EJ38337"/>
      <c r="EK38337"/>
    </row>
    <row r="38338" spans="1:141" s="116" customFormat="1">
      <c r="A38338" s="136"/>
      <c r="CM38338" s="111"/>
      <c r="CQ38338" s="111"/>
      <c r="EF38338"/>
      <c r="EG38338"/>
      <c r="EH38338"/>
      <c r="EI38338"/>
      <c r="EJ38338"/>
      <c r="EK38338"/>
    </row>
    <row r="38339" spans="1:141" s="116" customFormat="1">
      <c r="A38339" s="136"/>
      <c r="CM38339" s="111"/>
      <c r="CQ38339" s="111"/>
      <c r="EF38339"/>
      <c r="EG38339"/>
      <c r="EH38339"/>
      <c r="EI38339"/>
      <c r="EJ38339"/>
      <c r="EK38339"/>
    </row>
    <row r="38340" spans="1:141" s="116" customFormat="1">
      <c r="A38340" s="136"/>
      <c r="CM38340" s="111"/>
      <c r="CQ38340" s="111"/>
      <c r="EF38340"/>
      <c r="EG38340"/>
      <c r="EH38340"/>
      <c r="EI38340"/>
      <c r="EJ38340"/>
      <c r="EK38340"/>
    </row>
    <row r="38341" spans="1:141" s="116" customFormat="1">
      <c r="A38341" s="136"/>
      <c r="CM38341" s="111"/>
      <c r="CQ38341" s="111"/>
      <c r="EF38341"/>
      <c r="EG38341"/>
      <c r="EH38341"/>
      <c r="EI38341"/>
      <c r="EJ38341"/>
      <c r="EK38341"/>
    </row>
    <row r="38342" spans="1:141" s="116" customFormat="1">
      <c r="A38342" s="136"/>
      <c r="CM38342" s="111"/>
      <c r="CQ38342" s="111"/>
      <c r="EF38342"/>
      <c r="EG38342"/>
      <c r="EH38342"/>
      <c r="EI38342"/>
      <c r="EJ38342"/>
      <c r="EK38342"/>
    </row>
    <row r="38343" spans="1:141" s="116" customFormat="1">
      <c r="A38343" s="136"/>
      <c r="CM38343" s="111"/>
      <c r="CQ38343" s="111"/>
      <c r="EF38343"/>
      <c r="EG38343"/>
      <c r="EH38343"/>
      <c r="EI38343"/>
      <c r="EJ38343"/>
      <c r="EK38343"/>
    </row>
    <row r="38344" spans="1:141" s="116" customFormat="1">
      <c r="A38344" s="136"/>
      <c r="CM38344" s="111"/>
      <c r="CQ38344" s="111"/>
      <c r="EF38344"/>
      <c r="EG38344"/>
      <c r="EH38344"/>
      <c r="EI38344"/>
      <c r="EJ38344"/>
      <c r="EK38344"/>
    </row>
    <row r="38345" spans="1:141" s="116" customFormat="1">
      <c r="A38345" s="136"/>
      <c r="CM38345" s="111"/>
      <c r="CQ38345" s="111"/>
      <c r="EF38345"/>
      <c r="EG38345"/>
      <c r="EH38345"/>
      <c r="EI38345"/>
      <c r="EJ38345"/>
      <c r="EK38345"/>
    </row>
    <row r="38346" spans="1:141" s="116" customFormat="1">
      <c r="A38346" s="136"/>
      <c r="CM38346" s="111"/>
      <c r="CQ38346" s="111"/>
      <c r="EF38346"/>
      <c r="EG38346"/>
      <c r="EH38346"/>
      <c r="EI38346"/>
      <c r="EJ38346"/>
      <c r="EK38346"/>
    </row>
    <row r="38347" spans="1:141" s="116" customFormat="1">
      <c r="A38347" s="136"/>
      <c r="CM38347" s="111"/>
      <c r="CQ38347" s="111"/>
      <c r="EF38347"/>
      <c r="EG38347"/>
      <c r="EH38347"/>
      <c r="EI38347"/>
      <c r="EJ38347"/>
      <c r="EK38347"/>
    </row>
    <row r="38348" spans="1:141" s="116" customFormat="1">
      <c r="A38348" s="136"/>
      <c r="CM38348" s="111"/>
      <c r="CQ38348" s="111"/>
      <c r="EF38348"/>
      <c r="EG38348"/>
      <c r="EH38348"/>
      <c r="EI38348"/>
      <c r="EJ38348"/>
      <c r="EK38348"/>
    </row>
    <row r="38349" spans="1:141" s="116" customFormat="1">
      <c r="A38349" s="136"/>
      <c r="CM38349" s="111"/>
      <c r="CQ38349" s="111"/>
      <c r="EF38349"/>
      <c r="EG38349"/>
      <c r="EH38349"/>
      <c r="EI38349"/>
      <c r="EJ38349"/>
      <c r="EK38349"/>
    </row>
    <row r="38350" spans="1:141" s="116" customFormat="1">
      <c r="A38350" s="136"/>
      <c r="CM38350" s="111"/>
      <c r="CQ38350" s="111"/>
      <c r="EF38350"/>
      <c r="EG38350"/>
      <c r="EH38350"/>
      <c r="EI38350"/>
      <c r="EJ38350"/>
      <c r="EK38350"/>
    </row>
    <row r="38351" spans="1:141" s="116" customFormat="1">
      <c r="A38351" s="136"/>
      <c r="CM38351" s="111"/>
      <c r="CQ38351" s="111"/>
      <c r="EF38351"/>
      <c r="EG38351"/>
      <c r="EH38351"/>
      <c r="EI38351"/>
      <c r="EJ38351"/>
      <c r="EK38351"/>
    </row>
    <row r="38352" spans="1:141" s="116" customFormat="1">
      <c r="A38352" s="136"/>
      <c r="CM38352" s="111"/>
      <c r="CQ38352" s="111"/>
      <c r="EF38352"/>
      <c r="EG38352"/>
      <c r="EH38352"/>
      <c r="EI38352"/>
      <c r="EJ38352"/>
      <c r="EK38352"/>
    </row>
    <row r="38353" spans="1:141" s="116" customFormat="1">
      <c r="A38353" s="136"/>
      <c r="CM38353" s="111"/>
      <c r="CQ38353" s="111"/>
      <c r="EF38353"/>
      <c r="EG38353"/>
      <c r="EH38353"/>
      <c r="EI38353"/>
      <c r="EJ38353"/>
      <c r="EK38353"/>
    </row>
    <row r="38354" spans="1:141" s="116" customFormat="1">
      <c r="A38354" s="136"/>
      <c r="CM38354" s="111"/>
      <c r="CQ38354" s="111"/>
      <c r="EF38354"/>
      <c r="EG38354"/>
      <c r="EH38354"/>
      <c r="EI38354"/>
      <c r="EJ38354"/>
      <c r="EK38354"/>
    </row>
    <row r="38355" spans="1:141" s="116" customFormat="1">
      <c r="A38355" s="136"/>
      <c r="CM38355" s="111"/>
      <c r="CQ38355" s="111"/>
      <c r="EF38355"/>
      <c r="EG38355"/>
      <c r="EH38355"/>
      <c r="EI38355"/>
      <c r="EJ38355"/>
      <c r="EK38355"/>
    </row>
    <row r="38356" spans="1:141" s="116" customFormat="1">
      <c r="A38356" s="136"/>
      <c r="CM38356" s="111"/>
      <c r="CQ38356" s="111"/>
      <c r="EF38356"/>
      <c r="EG38356"/>
      <c r="EH38356"/>
      <c r="EI38356"/>
      <c r="EJ38356"/>
      <c r="EK38356"/>
    </row>
    <row r="38357" spans="1:141" s="116" customFormat="1">
      <c r="A38357" s="136"/>
      <c r="CM38357" s="111"/>
      <c r="CQ38357" s="111"/>
      <c r="EF38357"/>
      <c r="EG38357"/>
      <c r="EH38357"/>
      <c r="EI38357"/>
      <c r="EJ38357"/>
      <c r="EK38357"/>
    </row>
    <row r="38358" spans="1:141" s="116" customFormat="1">
      <c r="A38358" s="136"/>
      <c r="CM38358" s="111"/>
      <c r="CQ38358" s="111"/>
      <c r="EF38358"/>
      <c r="EG38358"/>
      <c r="EH38358"/>
      <c r="EI38358"/>
      <c r="EJ38358"/>
      <c r="EK38358"/>
    </row>
    <row r="38359" spans="1:141" s="116" customFormat="1">
      <c r="A38359" s="136"/>
      <c r="CM38359" s="111"/>
      <c r="CQ38359" s="111"/>
      <c r="EF38359"/>
      <c r="EG38359"/>
      <c r="EH38359"/>
      <c r="EI38359"/>
      <c r="EJ38359"/>
      <c r="EK38359"/>
    </row>
    <row r="38360" spans="1:141" s="116" customFormat="1">
      <c r="A38360" s="136"/>
      <c r="CM38360" s="111"/>
      <c r="CQ38360" s="111"/>
      <c r="EF38360"/>
      <c r="EG38360"/>
      <c r="EH38360"/>
      <c r="EI38360"/>
      <c r="EJ38360"/>
      <c r="EK38360"/>
    </row>
    <row r="38361" spans="1:141" s="116" customFormat="1">
      <c r="A38361" s="136"/>
      <c r="CM38361" s="111"/>
      <c r="CQ38361" s="111"/>
      <c r="EF38361"/>
      <c r="EG38361"/>
      <c r="EH38361"/>
      <c r="EI38361"/>
      <c r="EJ38361"/>
      <c r="EK38361"/>
    </row>
    <row r="38362" spans="1:141" s="116" customFormat="1">
      <c r="A38362" s="136"/>
      <c r="CM38362" s="111"/>
      <c r="CQ38362" s="111"/>
      <c r="EF38362"/>
      <c r="EG38362"/>
      <c r="EH38362"/>
      <c r="EI38362"/>
      <c r="EJ38362"/>
      <c r="EK38362"/>
    </row>
    <row r="38363" spans="1:141" s="116" customFormat="1">
      <c r="A38363" s="136"/>
      <c r="CM38363" s="111"/>
      <c r="CQ38363" s="111"/>
      <c r="EF38363"/>
      <c r="EG38363"/>
      <c r="EH38363"/>
      <c r="EI38363"/>
      <c r="EJ38363"/>
      <c r="EK38363"/>
    </row>
    <row r="38364" spans="1:141" s="116" customFormat="1">
      <c r="A38364" s="136"/>
      <c r="CM38364" s="111"/>
      <c r="CQ38364" s="111"/>
      <c r="EF38364"/>
      <c r="EG38364"/>
      <c r="EH38364"/>
      <c r="EI38364"/>
      <c r="EJ38364"/>
      <c r="EK38364"/>
    </row>
    <row r="38365" spans="1:141" s="116" customFormat="1">
      <c r="A38365" s="136"/>
      <c r="CM38365" s="111"/>
      <c r="CQ38365" s="111"/>
      <c r="EF38365"/>
      <c r="EG38365"/>
      <c r="EH38365"/>
      <c r="EI38365"/>
      <c r="EJ38365"/>
      <c r="EK38365"/>
    </row>
    <row r="38366" spans="1:141" s="116" customFormat="1">
      <c r="A38366" s="136"/>
      <c r="CM38366" s="111"/>
      <c r="CQ38366" s="111"/>
      <c r="EF38366"/>
      <c r="EG38366"/>
      <c r="EH38366"/>
      <c r="EI38366"/>
      <c r="EJ38366"/>
      <c r="EK38366"/>
    </row>
    <row r="38367" spans="1:141" s="116" customFormat="1">
      <c r="A38367" s="136"/>
      <c r="CM38367" s="111"/>
      <c r="CQ38367" s="111"/>
      <c r="EF38367"/>
      <c r="EG38367"/>
      <c r="EH38367"/>
      <c r="EI38367"/>
      <c r="EJ38367"/>
      <c r="EK38367"/>
    </row>
    <row r="38368" spans="1:141" s="116" customFormat="1">
      <c r="A38368" s="136"/>
      <c r="CM38368" s="111"/>
      <c r="CQ38368" s="111"/>
      <c r="EF38368"/>
      <c r="EG38368"/>
      <c r="EH38368"/>
      <c r="EI38368"/>
      <c r="EJ38368"/>
      <c r="EK38368"/>
    </row>
    <row r="38369" spans="1:141" s="116" customFormat="1">
      <c r="A38369" s="136"/>
      <c r="CM38369" s="111"/>
      <c r="CQ38369" s="111"/>
      <c r="EF38369"/>
      <c r="EG38369"/>
      <c r="EH38369"/>
      <c r="EI38369"/>
      <c r="EJ38369"/>
      <c r="EK38369"/>
    </row>
    <row r="38370" spans="1:141" s="116" customFormat="1">
      <c r="A38370" s="136"/>
      <c r="CM38370" s="111"/>
      <c r="CQ38370" s="111"/>
      <c r="EF38370"/>
      <c r="EG38370"/>
      <c r="EH38370"/>
      <c r="EI38370"/>
      <c r="EJ38370"/>
      <c r="EK38370"/>
    </row>
    <row r="38371" spans="1:141" s="116" customFormat="1">
      <c r="A38371" s="136"/>
      <c r="CM38371" s="111"/>
      <c r="CQ38371" s="111"/>
      <c r="EF38371"/>
      <c r="EG38371"/>
      <c r="EH38371"/>
      <c r="EI38371"/>
      <c r="EJ38371"/>
      <c r="EK38371"/>
    </row>
    <row r="38372" spans="1:141" s="116" customFormat="1">
      <c r="A38372" s="136"/>
      <c r="CM38372" s="111"/>
      <c r="CQ38372" s="111"/>
      <c r="EF38372"/>
      <c r="EG38372"/>
      <c r="EH38372"/>
      <c r="EI38372"/>
      <c r="EJ38372"/>
      <c r="EK38372"/>
    </row>
    <row r="38373" spans="1:141" s="116" customFormat="1">
      <c r="A38373" s="136"/>
      <c r="CM38373" s="111"/>
      <c r="CQ38373" s="111"/>
      <c r="EF38373"/>
      <c r="EG38373"/>
      <c r="EH38373"/>
      <c r="EI38373"/>
      <c r="EJ38373"/>
      <c r="EK38373"/>
    </row>
    <row r="38374" spans="1:141" s="116" customFormat="1">
      <c r="A38374" s="136"/>
      <c r="CM38374" s="111"/>
      <c r="CQ38374" s="111"/>
      <c r="EF38374"/>
      <c r="EG38374"/>
      <c r="EH38374"/>
      <c r="EI38374"/>
      <c r="EJ38374"/>
      <c r="EK38374"/>
    </row>
    <row r="38375" spans="1:141" s="116" customFormat="1">
      <c r="A38375" s="136"/>
      <c r="CM38375" s="111"/>
      <c r="CQ38375" s="111"/>
      <c r="EF38375"/>
      <c r="EG38375"/>
      <c r="EH38375"/>
      <c r="EI38375"/>
      <c r="EJ38375"/>
      <c r="EK38375"/>
    </row>
    <row r="38376" spans="1:141" s="116" customFormat="1">
      <c r="A38376" s="136"/>
      <c r="CM38376" s="111"/>
      <c r="CQ38376" s="111"/>
      <c r="EF38376"/>
      <c r="EG38376"/>
      <c r="EH38376"/>
      <c r="EI38376"/>
      <c r="EJ38376"/>
      <c r="EK38376"/>
    </row>
    <row r="38377" spans="1:141" s="116" customFormat="1">
      <c r="A38377" s="136"/>
      <c r="CM38377" s="111"/>
      <c r="CQ38377" s="111"/>
      <c r="EF38377"/>
      <c r="EG38377"/>
      <c r="EH38377"/>
      <c r="EI38377"/>
      <c r="EJ38377"/>
      <c r="EK38377"/>
    </row>
    <row r="38378" spans="1:141" s="116" customFormat="1">
      <c r="A38378" s="136"/>
      <c r="CM38378" s="111"/>
      <c r="CQ38378" s="111"/>
      <c r="EF38378"/>
      <c r="EG38378"/>
      <c r="EH38378"/>
      <c r="EI38378"/>
      <c r="EJ38378"/>
      <c r="EK38378"/>
    </row>
    <row r="38379" spans="1:141" s="116" customFormat="1">
      <c r="A38379" s="136"/>
      <c r="CM38379" s="111"/>
      <c r="CQ38379" s="111"/>
      <c r="EF38379"/>
      <c r="EG38379"/>
      <c r="EH38379"/>
      <c r="EI38379"/>
      <c r="EJ38379"/>
      <c r="EK38379"/>
    </row>
    <row r="38380" spans="1:141" s="116" customFormat="1">
      <c r="A38380" s="136"/>
      <c r="CM38380" s="111"/>
      <c r="CQ38380" s="111"/>
      <c r="EF38380"/>
      <c r="EG38380"/>
      <c r="EH38380"/>
      <c r="EI38380"/>
      <c r="EJ38380"/>
      <c r="EK38380"/>
    </row>
    <row r="38381" spans="1:141" s="116" customFormat="1">
      <c r="A38381" s="136"/>
      <c r="CM38381" s="111"/>
      <c r="CQ38381" s="111"/>
      <c r="EF38381"/>
      <c r="EG38381"/>
      <c r="EH38381"/>
      <c r="EI38381"/>
      <c r="EJ38381"/>
      <c r="EK38381"/>
    </row>
    <row r="38382" spans="1:141" s="116" customFormat="1">
      <c r="A38382" s="136"/>
      <c r="CM38382" s="111"/>
      <c r="CQ38382" s="111"/>
      <c r="EF38382"/>
      <c r="EG38382"/>
      <c r="EH38382"/>
      <c r="EI38382"/>
      <c r="EJ38382"/>
      <c r="EK38382"/>
    </row>
    <row r="38383" spans="1:141" s="116" customFormat="1">
      <c r="A38383" s="136"/>
      <c r="CM38383" s="111"/>
      <c r="CQ38383" s="111"/>
      <c r="EF38383"/>
      <c r="EG38383"/>
      <c r="EH38383"/>
      <c r="EI38383"/>
      <c r="EJ38383"/>
      <c r="EK38383"/>
    </row>
    <row r="38384" spans="1:141" s="116" customFormat="1">
      <c r="A38384" s="136"/>
      <c r="CM38384" s="111"/>
      <c r="CQ38384" s="111"/>
      <c r="EF38384"/>
      <c r="EG38384"/>
      <c r="EH38384"/>
      <c r="EI38384"/>
      <c r="EJ38384"/>
      <c r="EK38384"/>
    </row>
    <row r="38385" spans="1:141" s="116" customFormat="1">
      <c r="A38385" s="136"/>
      <c r="CM38385" s="111"/>
      <c r="CQ38385" s="111"/>
      <c r="EF38385"/>
      <c r="EG38385"/>
      <c r="EH38385"/>
      <c r="EI38385"/>
      <c r="EJ38385"/>
      <c r="EK38385"/>
    </row>
    <row r="38386" spans="1:141" s="116" customFormat="1">
      <c r="A38386" s="136"/>
      <c r="CM38386" s="111"/>
      <c r="CQ38386" s="111"/>
      <c r="EF38386"/>
      <c r="EG38386"/>
      <c r="EH38386"/>
      <c r="EI38386"/>
      <c r="EJ38386"/>
      <c r="EK38386"/>
    </row>
    <row r="38387" spans="1:141" s="116" customFormat="1">
      <c r="A38387" s="136"/>
      <c r="CM38387" s="111"/>
      <c r="CQ38387" s="111"/>
      <c r="EF38387"/>
      <c r="EG38387"/>
      <c r="EH38387"/>
      <c r="EI38387"/>
      <c r="EJ38387"/>
      <c r="EK38387"/>
    </row>
    <row r="38388" spans="1:141" s="116" customFormat="1">
      <c r="A38388" s="136"/>
      <c r="CM38388" s="111"/>
      <c r="CQ38388" s="111"/>
      <c r="EF38388"/>
      <c r="EG38388"/>
      <c r="EH38388"/>
      <c r="EI38388"/>
      <c r="EJ38388"/>
      <c r="EK38388"/>
    </row>
    <row r="38389" spans="1:141" s="116" customFormat="1">
      <c r="A38389" s="136"/>
      <c r="CM38389" s="111"/>
      <c r="CQ38389" s="111"/>
      <c r="EF38389"/>
      <c r="EG38389"/>
      <c r="EH38389"/>
      <c r="EI38389"/>
      <c r="EJ38389"/>
      <c r="EK38389"/>
    </row>
    <row r="38390" spans="1:141" s="116" customFormat="1">
      <c r="A38390" s="136"/>
      <c r="CM38390" s="111"/>
      <c r="CQ38390" s="111"/>
      <c r="EF38390"/>
      <c r="EG38390"/>
      <c r="EH38390"/>
      <c r="EI38390"/>
      <c r="EJ38390"/>
      <c r="EK38390"/>
    </row>
    <row r="38391" spans="1:141" s="116" customFormat="1">
      <c r="A38391" s="136"/>
      <c r="CM38391" s="111"/>
      <c r="CQ38391" s="111"/>
      <c r="EF38391"/>
      <c r="EG38391"/>
      <c r="EH38391"/>
      <c r="EI38391"/>
      <c r="EJ38391"/>
      <c r="EK38391"/>
    </row>
    <row r="38392" spans="1:141" s="116" customFormat="1">
      <c r="A38392" s="136"/>
      <c r="CM38392" s="111"/>
      <c r="CQ38392" s="111"/>
      <c r="EF38392"/>
      <c r="EG38392"/>
      <c r="EH38392"/>
      <c r="EI38392"/>
      <c r="EJ38392"/>
      <c r="EK38392"/>
    </row>
    <row r="38393" spans="1:141" s="116" customFormat="1">
      <c r="A38393" s="136"/>
      <c r="CM38393" s="111"/>
      <c r="CQ38393" s="111"/>
      <c r="EF38393"/>
      <c r="EG38393"/>
      <c r="EH38393"/>
      <c r="EI38393"/>
      <c r="EJ38393"/>
      <c r="EK38393"/>
    </row>
    <row r="38394" spans="1:141" s="116" customFormat="1">
      <c r="A38394" s="136"/>
      <c r="CM38394" s="111"/>
      <c r="CQ38394" s="111"/>
      <c r="EF38394"/>
      <c r="EG38394"/>
      <c r="EH38394"/>
      <c r="EI38394"/>
      <c r="EJ38394"/>
      <c r="EK38394"/>
    </row>
    <row r="38395" spans="1:141" s="116" customFormat="1">
      <c r="A38395" s="136"/>
      <c r="CM38395" s="111"/>
      <c r="CQ38395" s="111"/>
      <c r="EF38395"/>
      <c r="EG38395"/>
      <c r="EH38395"/>
      <c r="EI38395"/>
      <c r="EJ38395"/>
      <c r="EK38395"/>
    </row>
    <row r="38396" spans="1:141" s="116" customFormat="1">
      <c r="A38396" s="136"/>
      <c r="CM38396" s="111"/>
      <c r="CQ38396" s="111"/>
      <c r="EF38396"/>
      <c r="EG38396"/>
      <c r="EH38396"/>
      <c r="EI38396"/>
      <c r="EJ38396"/>
      <c r="EK38396"/>
    </row>
    <row r="38397" spans="1:141" s="116" customFormat="1">
      <c r="A38397" s="136"/>
      <c r="CM38397" s="111"/>
      <c r="CQ38397" s="111"/>
      <c r="EF38397"/>
      <c r="EG38397"/>
      <c r="EH38397"/>
      <c r="EI38397"/>
      <c r="EJ38397"/>
      <c r="EK38397"/>
    </row>
    <row r="38398" spans="1:141" s="116" customFormat="1">
      <c r="A38398" s="136"/>
      <c r="CM38398" s="111"/>
      <c r="CQ38398" s="111"/>
      <c r="EF38398"/>
      <c r="EG38398"/>
      <c r="EH38398"/>
      <c r="EI38398"/>
      <c r="EJ38398"/>
      <c r="EK38398"/>
    </row>
    <row r="38399" spans="1:141" s="116" customFormat="1">
      <c r="A38399" s="136"/>
      <c r="CM38399" s="111"/>
      <c r="CQ38399" s="111"/>
      <c r="EF38399"/>
      <c r="EG38399"/>
      <c r="EH38399"/>
      <c r="EI38399"/>
      <c r="EJ38399"/>
      <c r="EK38399"/>
    </row>
    <row r="38400" spans="1:141" s="116" customFormat="1">
      <c r="A38400" s="136"/>
      <c r="CM38400" s="111"/>
      <c r="CQ38400" s="111"/>
      <c r="EF38400"/>
      <c r="EG38400"/>
      <c r="EH38400"/>
      <c r="EI38400"/>
      <c r="EJ38400"/>
      <c r="EK38400"/>
    </row>
    <row r="38401" spans="1:141" s="116" customFormat="1">
      <c r="A38401" s="136"/>
      <c r="CM38401" s="111"/>
      <c r="CQ38401" s="111"/>
      <c r="EF38401"/>
      <c r="EG38401"/>
      <c r="EH38401"/>
      <c r="EI38401"/>
      <c r="EJ38401"/>
      <c r="EK38401"/>
    </row>
    <row r="38402" spans="1:141" s="116" customFormat="1">
      <c r="A38402" s="136"/>
      <c r="CM38402" s="111"/>
      <c r="CQ38402" s="111"/>
      <c r="EF38402"/>
      <c r="EG38402"/>
      <c r="EH38402"/>
      <c r="EI38402"/>
      <c r="EJ38402"/>
      <c r="EK38402"/>
    </row>
    <row r="38403" spans="1:141" s="116" customFormat="1">
      <c r="A38403" s="136"/>
      <c r="CM38403" s="111"/>
      <c r="CQ38403" s="111"/>
      <c r="EF38403"/>
      <c r="EG38403"/>
      <c r="EH38403"/>
      <c r="EI38403"/>
      <c r="EJ38403"/>
      <c r="EK38403"/>
    </row>
    <row r="38404" spans="1:141" s="116" customFormat="1">
      <c r="A38404" s="136"/>
      <c r="CM38404" s="111"/>
      <c r="CQ38404" s="111"/>
      <c r="EF38404"/>
      <c r="EG38404"/>
      <c r="EH38404"/>
      <c r="EI38404"/>
      <c r="EJ38404"/>
      <c r="EK38404"/>
    </row>
    <row r="38405" spans="1:141" s="116" customFormat="1">
      <c r="A38405" s="136"/>
      <c r="CM38405" s="111"/>
      <c r="CQ38405" s="111"/>
      <c r="EF38405"/>
      <c r="EG38405"/>
      <c r="EH38405"/>
      <c r="EI38405"/>
      <c r="EJ38405"/>
      <c r="EK38405"/>
    </row>
    <row r="38406" spans="1:141" s="116" customFormat="1">
      <c r="A38406" s="136"/>
      <c r="CM38406" s="111"/>
      <c r="CQ38406" s="111"/>
      <c r="EF38406"/>
      <c r="EG38406"/>
      <c r="EH38406"/>
      <c r="EI38406"/>
      <c r="EJ38406"/>
      <c r="EK38406"/>
    </row>
    <row r="38407" spans="1:141" s="116" customFormat="1">
      <c r="A38407" s="136"/>
      <c r="CM38407" s="111"/>
      <c r="CQ38407" s="111"/>
      <c r="EF38407"/>
      <c r="EG38407"/>
      <c r="EH38407"/>
      <c r="EI38407"/>
      <c r="EJ38407"/>
      <c r="EK38407"/>
    </row>
    <row r="38408" spans="1:141" s="116" customFormat="1">
      <c r="A38408" s="136"/>
      <c r="CM38408" s="111"/>
      <c r="CQ38408" s="111"/>
      <c r="EF38408"/>
      <c r="EG38408"/>
      <c r="EH38408"/>
      <c r="EI38408"/>
      <c r="EJ38408"/>
      <c r="EK38408"/>
    </row>
    <row r="38409" spans="1:141" s="116" customFormat="1">
      <c r="A38409" s="136"/>
      <c r="CM38409" s="111"/>
      <c r="CQ38409" s="111"/>
      <c r="EF38409"/>
      <c r="EG38409"/>
      <c r="EH38409"/>
      <c r="EI38409"/>
      <c r="EJ38409"/>
      <c r="EK38409"/>
    </row>
    <row r="38410" spans="1:141" s="116" customFormat="1">
      <c r="A38410" s="136"/>
      <c r="CM38410" s="111"/>
      <c r="CQ38410" s="111"/>
      <c r="EF38410"/>
      <c r="EG38410"/>
      <c r="EH38410"/>
      <c r="EI38410"/>
      <c r="EJ38410"/>
      <c r="EK38410"/>
    </row>
    <row r="38411" spans="1:141" s="116" customFormat="1">
      <c r="A38411" s="136"/>
      <c r="CM38411" s="111"/>
      <c r="CQ38411" s="111"/>
      <c r="EF38411"/>
      <c r="EG38411"/>
      <c r="EH38411"/>
      <c r="EI38411"/>
      <c r="EJ38411"/>
      <c r="EK38411"/>
    </row>
    <row r="38412" spans="1:141" s="116" customFormat="1">
      <c r="A38412" s="136"/>
      <c r="CM38412" s="111"/>
      <c r="CQ38412" s="111"/>
      <c r="EF38412"/>
      <c r="EG38412"/>
      <c r="EH38412"/>
      <c r="EI38412"/>
      <c r="EJ38412"/>
      <c r="EK38412"/>
    </row>
    <row r="38413" spans="1:141" s="116" customFormat="1">
      <c r="A38413" s="136"/>
      <c r="CM38413" s="111"/>
      <c r="CQ38413" s="111"/>
      <c r="EF38413"/>
      <c r="EG38413"/>
      <c r="EH38413"/>
      <c r="EI38413"/>
      <c r="EJ38413"/>
      <c r="EK38413"/>
    </row>
    <row r="38414" spans="1:141" s="116" customFormat="1">
      <c r="A38414" s="136"/>
      <c r="CM38414" s="111"/>
      <c r="CQ38414" s="111"/>
      <c r="EF38414"/>
      <c r="EG38414"/>
      <c r="EH38414"/>
      <c r="EI38414"/>
      <c r="EJ38414"/>
      <c r="EK38414"/>
    </row>
    <row r="38415" spans="1:141" s="116" customFormat="1">
      <c r="A38415" s="136"/>
      <c r="CM38415" s="111"/>
      <c r="CQ38415" s="111"/>
      <c r="EF38415"/>
      <c r="EG38415"/>
      <c r="EH38415"/>
      <c r="EI38415"/>
      <c r="EJ38415"/>
      <c r="EK38415"/>
    </row>
    <row r="38416" spans="1:141" s="116" customFormat="1">
      <c r="A38416" s="136"/>
      <c r="CM38416" s="111"/>
      <c r="CQ38416" s="111"/>
      <c r="EF38416"/>
      <c r="EG38416"/>
      <c r="EH38416"/>
      <c r="EI38416"/>
      <c r="EJ38416"/>
      <c r="EK38416"/>
    </row>
    <row r="38417" spans="1:141" s="116" customFormat="1">
      <c r="A38417" s="136"/>
      <c r="CM38417" s="111"/>
      <c r="CQ38417" s="111"/>
      <c r="EF38417"/>
      <c r="EG38417"/>
      <c r="EH38417"/>
      <c r="EI38417"/>
      <c r="EJ38417"/>
      <c r="EK38417"/>
    </row>
    <row r="38418" spans="1:141" s="116" customFormat="1">
      <c r="A38418" s="136"/>
      <c r="CM38418" s="111"/>
      <c r="CQ38418" s="111"/>
      <c r="EF38418"/>
      <c r="EG38418"/>
      <c r="EH38418"/>
      <c r="EI38418"/>
      <c r="EJ38418"/>
      <c r="EK38418"/>
    </row>
    <row r="38419" spans="1:141" s="116" customFormat="1">
      <c r="A38419" s="136"/>
      <c r="CM38419" s="111"/>
      <c r="CQ38419" s="111"/>
      <c r="EF38419"/>
      <c r="EG38419"/>
      <c r="EH38419"/>
      <c r="EI38419"/>
      <c r="EJ38419"/>
      <c r="EK38419"/>
    </row>
    <row r="38420" spans="1:141" s="116" customFormat="1">
      <c r="A38420" s="136"/>
      <c r="CM38420" s="111"/>
      <c r="CQ38420" s="111"/>
      <c r="EF38420"/>
      <c r="EG38420"/>
      <c r="EH38420"/>
      <c r="EI38420"/>
      <c r="EJ38420"/>
      <c r="EK38420"/>
    </row>
    <row r="38421" spans="1:141" s="116" customFormat="1">
      <c r="A38421" s="136"/>
      <c r="CM38421" s="111"/>
      <c r="CQ38421" s="111"/>
      <c r="EF38421"/>
      <c r="EG38421"/>
      <c r="EH38421"/>
      <c r="EI38421"/>
      <c r="EJ38421"/>
      <c r="EK38421"/>
    </row>
    <row r="38422" spans="1:141" s="116" customFormat="1">
      <c r="A38422" s="136"/>
      <c r="CM38422" s="111"/>
      <c r="CQ38422" s="111"/>
      <c r="EF38422"/>
      <c r="EG38422"/>
      <c r="EH38422"/>
      <c r="EI38422"/>
      <c r="EJ38422"/>
      <c r="EK38422"/>
    </row>
    <row r="38423" spans="1:141" s="116" customFormat="1">
      <c r="A38423" s="136"/>
      <c r="CM38423" s="111"/>
      <c r="CQ38423" s="111"/>
      <c r="EF38423"/>
      <c r="EG38423"/>
      <c r="EH38423"/>
      <c r="EI38423"/>
      <c r="EJ38423"/>
      <c r="EK38423"/>
    </row>
    <row r="38424" spans="1:141" s="116" customFormat="1">
      <c r="A38424" s="136"/>
      <c r="CM38424" s="111"/>
      <c r="CQ38424" s="111"/>
      <c r="EF38424"/>
      <c r="EG38424"/>
      <c r="EH38424"/>
      <c r="EI38424"/>
      <c r="EJ38424"/>
      <c r="EK38424"/>
    </row>
    <row r="38425" spans="1:141" s="116" customFormat="1">
      <c r="A38425" s="136"/>
      <c r="CM38425" s="111"/>
      <c r="CQ38425" s="111"/>
      <c r="EF38425"/>
      <c r="EG38425"/>
      <c r="EH38425"/>
      <c r="EI38425"/>
      <c r="EJ38425"/>
      <c r="EK38425"/>
    </row>
    <row r="38426" spans="1:141" s="116" customFormat="1">
      <c r="A38426" s="136"/>
      <c r="CM38426" s="111"/>
      <c r="CQ38426" s="111"/>
      <c r="EF38426"/>
      <c r="EG38426"/>
      <c r="EH38426"/>
      <c r="EI38426"/>
      <c r="EJ38426"/>
      <c r="EK38426"/>
    </row>
    <row r="38427" spans="1:141" s="116" customFormat="1">
      <c r="A38427" s="136"/>
      <c r="CM38427" s="111"/>
      <c r="CQ38427" s="111"/>
      <c r="EF38427"/>
      <c r="EG38427"/>
      <c r="EH38427"/>
      <c r="EI38427"/>
      <c r="EJ38427"/>
      <c r="EK38427"/>
    </row>
    <row r="38428" spans="1:141" s="116" customFormat="1">
      <c r="A38428" s="136"/>
      <c r="CM38428" s="111"/>
      <c r="CQ38428" s="111"/>
      <c r="EF38428"/>
      <c r="EG38428"/>
      <c r="EH38428"/>
      <c r="EI38428"/>
      <c r="EJ38428"/>
      <c r="EK38428"/>
    </row>
    <row r="38429" spans="1:141" s="116" customFormat="1">
      <c r="A38429" s="136"/>
      <c r="CM38429" s="111"/>
      <c r="CQ38429" s="111"/>
      <c r="EF38429"/>
      <c r="EG38429"/>
      <c r="EH38429"/>
      <c r="EI38429"/>
      <c r="EJ38429"/>
      <c r="EK38429"/>
    </row>
    <row r="38430" spans="1:141" s="116" customFormat="1">
      <c r="A38430" s="136"/>
      <c r="CM38430" s="111"/>
      <c r="CQ38430" s="111"/>
      <c r="EF38430"/>
      <c r="EG38430"/>
      <c r="EH38430"/>
      <c r="EI38430"/>
      <c r="EJ38430"/>
      <c r="EK38430"/>
    </row>
    <row r="38431" spans="1:141" s="116" customFormat="1">
      <c r="A38431" s="136"/>
      <c r="CM38431" s="111"/>
      <c r="CQ38431" s="111"/>
      <c r="EF38431"/>
      <c r="EG38431"/>
      <c r="EH38431"/>
      <c r="EI38431"/>
      <c r="EJ38431"/>
      <c r="EK38431"/>
    </row>
    <row r="38432" spans="1:141" s="116" customFormat="1">
      <c r="A38432" s="136"/>
      <c r="CM38432" s="111"/>
      <c r="CQ38432" s="111"/>
      <c r="EF38432"/>
      <c r="EG38432"/>
      <c r="EH38432"/>
      <c r="EI38432"/>
      <c r="EJ38432"/>
      <c r="EK38432"/>
    </row>
    <row r="38433" spans="1:141" s="116" customFormat="1">
      <c r="A38433" s="136"/>
      <c r="CM38433" s="111"/>
      <c r="CQ38433" s="111"/>
      <c r="EF38433"/>
      <c r="EG38433"/>
      <c r="EH38433"/>
      <c r="EI38433"/>
      <c r="EJ38433"/>
      <c r="EK38433"/>
    </row>
    <row r="38434" spans="1:141" s="116" customFormat="1">
      <c r="A38434" s="136"/>
      <c r="CM38434" s="111"/>
      <c r="CQ38434" s="111"/>
      <c r="EF38434"/>
      <c r="EG38434"/>
      <c r="EH38434"/>
      <c r="EI38434"/>
      <c r="EJ38434"/>
      <c r="EK38434"/>
    </row>
    <row r="38435" spans="1:141" s="116" customFormat="1">
      <c r="A38435" s="136"/>
      <c r="CM38435" s="111"/>
      <c r="CQ38435" s="111"/>
      <c r="EF38435"/>
      <c r="EG38435"/>
      <c r="EH38435"/>
      <c r="EI38435"/>
      <c r="EJ38435"/>
      <c r="EK38435"/>
    </row>
    <row r="38436" spans="1:141" s="116" customFormat="1">
      <c r="A38436" s="136"/>
      <c r="CM38436" s="111"/>
      <c r="CQ38436" s="111"/>
      <c r="EF38436"/>
      <c r="EG38436"/>
      <c r="EH38436"/>
      <c r="EI38436"/>
      <c r="EJ38436"/>
      <c r="EK38436"/>
    </row>
    <row r="38437" spans="1:141" s="116" customFormat="1">
      <c r="A38437" s="136"/>
      <c r="CM38437" s="111"/>
      <c r="CQ38437" s="111"/>
      <c r="EF38437"/>
      <c r="EG38437"/>
      <c r="EH38437"/>
      <c r="EI38437"/>
      <c r="EJ38437"/>
      <c r="EK38437"/>
    </row>
    <row r="38438" spans="1:141" s="116" customFormat="1">
      <c r="A38438" s="136"/>
      <c r="CM38438" s="111"/>
      <c r="CQ38438" s="111"/>
      <c r="EF38438"/>
      <c r="EG38438"/>
      <c r="EH38438"/>
      <c r="EI38438"/>
      <c r="EJ38438"/>
      <c r="EK38438"/>
    </row>
    <row r="38439" spans="1:141" s="116" customFormat="1">
      <c r="A38439" s="136"/>
      <c r="CM38439" s="111"/>
      <c r="CQ38439" s="111"/>
      <c r="EF38439"/>
      <c r="EG38439"/>
      <c r="EH38439"/>
      <c r="EI38439"/>
      <c r="EJ38439"/>
      <c r="EK38439"/>
    </row>
    <row r="38440" spans="1:141" s="116" customFormat="1">
      <c r="A38440" s="136"/>
      <c r="CM38440" s="111"/>
      <c r="CQ38440" s="111"/>
      <c r="EF38440"/>
      <c r="EG38440"/>
      <c r="EH38440"/>
      <c r="EI38440"/>
      <c r="EJ38440"/>
      <c r="EK38440"/>
    </row>
    <row r="38441" spans="1:141" s="116" customFormat="1">
      <c r="A38441" s="136"/>
      <c r="CM38441" s="111"/>
      <c r="CQ38441" s="111"/>
      <c r="EF38441"/>
      <c r="EG38441"/>
      <c r="EH38441"/>
      <c r="EI38441"/>
      <c r="EJ38441"/>
      <c r="EK38441"/>
    </row>
    <row r="38442" spans="1:141" s="116" customFormat="1">
      <c r="A38442" s="136"/>
      <c r="CM38442" s="111"/>
      <c r="CQ38442" s="111"/>
      <c r="EF38442"/>
      <c r="EG38442"/>
      <c r="EH38442"/>
      <c r="EI38442"/>
      <c r="EJ38442"/>
      <c r="EK38442"/>
    </row>
    <row r="38443" spans="1:141" s="116" customFormat="1">
      <c r="A38443" s="136"/>
      <c r="CM38443" s="111"/>
      <c r="CQ38443" s="111"/>
      <c r="EF38443"/>
      <c r="EG38443"/>
      <c r="EH38443"/>
      <c r="EI38443"/>
      <c r="EJ38443"/>
      <c r="EK38443"/>
    </row>
    <row r="38444" spans="1:141" s="116" customFormat="1">
      <c r="A38444" s="136"/>
      <c r="CM38444" s="111"/>
      <c r="CQ38444" s="111"/>
      <c r="EF38444"/>
      <c r="EG38444"/>
      <c r="EH38444"/>
      <c r="EI38444"/>
      <c r="EJ38444"/>
      <c r="EK38444"/>
    </row>
    <row r="38445" spans="1:141" s="116" customFormat="1">
      <c r="A38445" s="136"/>
      <c r="CM38445" s="111"/>
      <c r="CQ38445" s="111"/>
      <c r="EF38445"/>
      <c r="EG38445"/>
      <c r="EH38445"/>
      <c r="EI38445"/>
      <c r="EJ38445"/>
      <c r="EK38445"/>
    </row>
    <row r="38446" spans="1:141" s="116" customFormat="1">
      <c r="A38446" s="136"/>
      <c r="CM38446" s="111"/>
      <c r="CQ38446" s="111"/>
      <c r="EF38446"/>
      <c r="EG38446"/>
      <c r="EH38446"/>
      <c r="EI38446"/>
      <c r="EJ38446"/>
      <c r="EK38446"/>
    </row>
    <row r="38447" spans="1:141" s="116" customFormat="1">
      <c r="A38447" s="136"/>
      <c r="CM38447" s="111"/>
      <c r="CQ38447" s="111"/>
      <c r="EF38447"/>
      <c r="EG38447"/>
      <c r="EH38447"/>
      <c r="EI38447"/>
      <c r="EJ38447"/>
      <c r="EK38447"/>
    </row>
    <row r="38448" spans="1:141" s="116" customFormat="1">
      <c r="A38448" s="136"/>
      <c r="CM38448" s="111"/>
      <c r="CQ38448" s="111"/>
      <c r="EF38448"/>
      <c r="EG38448"/>
      <c r="EH38448"/>
      <c r="EI38448"/>
      <c r="EJ38448"/>
      <c r="EK38448"/>
    </row>
    <row r="38449" spans="1:141" s="116" customFormat="1">
      <c r="A38449" s="136"/>
      <c r="CM38449" s="111"/>
      <c r="CQ38449" s="111"/>
      <c r="EF38449"/>
      <c r="EG38449"/>
      <c r="EH38449"/>
      <c r="EI38449"/>
      <c r="EJ38449"/>
      <c r="EK38449"/>
    </row>
    <row r="38450" spans="1:141" s="116" customFormat="1">
      <c r="A38450" s="136"/>
      <c r="CM38450" s="111"/>
      <c r="CQ38450" s="111"/>
      <c r="EF38450"/>
      <c r="EG38450"/>
      <c r="EH38450"/>
      <c r="EI38450"/>
      <c r="EJ38450"/>
      <c r="EK38450"/>
    </row>
    <row r="38451" spans="1:141" s="116" customFormat="1">
      <c r="A38451" s="136"/>
      <c r="CM38451" s="111"/>
      <c r="CQ38451" s="111"/>
      <c r="EF38451"/>
      <c r="EG38451"/>
      <c r="EH38451"/>
      <c r="EI38451"/>
      <c r="EJ38451"/>
      <c r="EK38451"/>
    </row>
    <row r="38452" spans="1:141" s="116" customFormat="1">
      <c r="A38452" s="136"/>
      <c r="CM38452" s="111"/>
      <c r="CQ38452" s="111"/>
      <c r="EF38452"/>
      <c r="EG38452"/>
      <c r="EH38452"/>
      <c r="EI38452"/>
      <c r="EJ38452"/>
      <c r="EK38452"/>
    </row>
    <row r="38453" spans="1:141" s="116" customFormat="1">
      <c r="A38453" s="136"/>
      <c r="CM38453" s="111"/>
      <c r="CQ38453" s="111"/>
      <c r="EF38453"/>
      <c r="EG38453"/>
      <c r="EH38453"/>
      <c r="EI38453"/>
      <c r="EJ38453"/>
      <c r="EK38453"/>
    </row>
    <row r="38454" spans="1:141" s="116" customFormat="1">
      <c r="A38454" s="136"/>
      <c r="CM38454" s="111"/>
      <c r="CQ38454" s="111"/>
      <c r="EF38454"/>
      <c r="EG38454"/>
      <c r="EH38454"/>
      <c r="EI38454"/>
      <c r="EJ38454"/>
      <c r="EK38454"/>
    </row>
    <row r="38455" spans="1:141" s="116" customFormat="1">
      <c r="A38455" s="136"/>
      <c r="CM38455" s="111"/>
      <c r="CQ38455" s="111"/>
      <c r="EF38455"/>
      <c r="EG38455"/>
      <c r="EH38455"/>
      <c r="EI38455"/>
      <c r="EJ38455"/>
      <c r="EK38455"/>
    </row>
    <row r="38456" spans="1:141" s="116" customFormat="1">
      <c r="A38456" s="136"/>
      <c r="CM38456" s="111"/>
      <c r="CQ38456" s="111"/>
      <c r="EF38456"/>
      <c r="EG38456"/>
      <c r="EH38456"/>
      <c r="EI38456"/>
      <c r="EJ38456"/>
      <c r="EK38456"/>
    </row>
    <row r="38457" spans="1:141" s="116" customFormat="1">
      <c r="A38457" s="136"/>
      <c r="CM38457" s="111"/>
      <c r="CQ38457" s="111"/>
      <c r="EF38457"/>
      <c r="EG38457"/>
      <c r="EH38457"/>
      <c r="EI38457"/>
      <c r="EJ38457"/>
      <c r="EK38457"/>
    </row>
    <row r="38458" spans="1:141" s="116" customFormat="1">
      <c r="A38458" s="136"/>
      <c r="CM38458" s="111"/>
      <c r="CQ38458" s="111"/>
      <c r="EF38458"/>
      <c r="EG38458"/>
      <c r="EH38458"/>
      <c r="EI38458"/>
      <c r="EJ38458"/>
      <c r="EK38458"/>
    </row>
    <row r="38459" spans="1:141" s="116" customFormat="1">
      <c r="A38459" s="136"/>
      <c r="CM38459" s="111"/>
      <c r="CQ38459" s="111"/>
      <c r="EF38459"/>
      <c r="EG38459"/>
      <c r="EH38459"/>
      <c r="EI38459"/>
      <c r="EJ38459"/>
      <c r="EK38459"/>
    </row>
    <row r="38460" spans="1:141" s="116" customFormat="1">
      <c r="A38460" s="136"/>
      <c r="CM38460" s="111"/>
      <c r="CQ38460" s="111"/>
      <c r="EF38460"/>
      <c r="EG38460"/>
      <c r="EH38460"/>
      <c r="EI38460"/>
      <c r="EJ38460"/>
      <c r="EK38460"/>
    </row>
    <row r="38461" spans="1:141" s="116" customFormat="1">
      <c r="A38461" s="136"/>
      <c r="CM38461" s="111"/>
      <c r="CQ38461" s="111"/>
      <c r="EF38461"/>
      <c r="EG38461"/>
      <c r="EH38461"/>
      <c r="EI38461"/>
      <c r="EJ38461"/>
      <c r="EK38461"/>
    </row>
    <row r="38462" spans="1:141" s="116" customFormat="1">
      <c r="A38462" s="136"/>
      <c r="CM38462" s="111"/>
      <c r="CQ38462" s="111"/>
      <c r="EF38462"/>
      <c r="EG38462"/>
      <c r="EH38462"/>
      <c r="EI38462"/>
      <c r="EJ38462"/>
      <c r="EK38462"/>
    </row>
    <row r="38463" spans="1:141" s="116" customFormat="1">
      <c r="A38463" s="136"/>
      <c r="CM38463" s="111"/>
      <c r="CQ38463" s="111"/>
      <c r="EF38463"/>
      <c r="EG38463"/>
      <c r="EH38463"/>
      <c r="EI38463"/>
      <c r="EJ38463"/>
      <c r="EK38463"/>
    </row>
    <row r="38464" spans="1:141" s="116" customFormat="1">
      <c r="A38464" s="136"/>
      <c r="CM38464" s="111"/>
      <c r="CQ38464" s="111"/>
      <c r="EF38464"/>
      <c r="EG38464"/>
      <c r="EH38464"/>
      <c r="EI38464"/>
      <c r="EJ38464"/>
      <c r="EK38464"/>
    </row>
    <row r="38465" spans="1:141" s="116" customFormat="1">
      <c r="A38465" s="136"/>
      <c r="CM38465" s="111"/>
      <c r="CQ38465" s="111"/>
      <c r="EF38465"/>
      <c r="EG38465"/>
      <c r="EH38465"/>
      <c r="EI38465"/>
      <c r="EJ38465"/>
      <c r="EK38465"/>
    </row>
    <row r="38466" spans="1:141" s="116" customFormat="1">
      <c r="A38466" s="136"/>
      <c r="CM38466" s="111"/>
      <c r="CQ38466" s="111"/>
      <c r="EF38466"/>
      <c r="EG38466"/>
      <c r="EH38466"/>
      <c r="EI38466"/>
      <c r="EJ38466"/>
      <c r="EK38466"/>
    </row>
    <row r="38467" spans="1:141" s="116" customFormat="1">
      <c r="A38467" s="136"/>
      <c r="CM38467" s="111"/>
      <c r="CQ38467" s="111"/>
      <c r="EF38467"/>
      <c r="EG38467"/>
      <c r="EH38467"/>
      <c r="EI38467"/>
      <c r="EJ38467"/>
      <c r="EK38467"/>
    </row>
    <row r="38468" spans="1:141" s="116" customFormat="1">
      <c r="A38468" s="136"/>
      <c r="CM38468" s="111"/>
      <c r="CQ38468" s="111"/>
      <c r="EF38468"/>
      <c r="EG38468"/>
      <c r="EH38468"/>
      <c r="EI38468"/>
      <c r="EJ38468"/>
      <c r="EK38468"/>
    </row>
    <row r="38469" spans="1:141" s="116" customFormat="1">
      <c r="A38469" s="136"/>
      <c r="CM38469" s="111"/>
      <c r="CQ38469" s="111"/>
      <c r="EF38469"/>
      <c r="EG38469"/>
      <c r="EH38469"/>
      <c r="EI38469"/>
      <c r="EJ38469"/>
      <c r="EK38469"/>
    </row>
    <row r="38470" spans="1:141" s="116" customFormat="1">
      <c r="A38470" s="136"/>
      <c r="CM38470" s="111"/>
      <c r="CQ38470" s="111"/>
      <c r="EF38470"/>
      <c r="EG38470"/>
      <c r="EH38470"/>
      <c r="EI38470"/>
      <c r="EJ38470"/>
      <c r="EK38470"/>
    </row>
    <row r="38471" spans="1:141" s="116" customFormat="1">
      <c r="A38471" s="136"/>
      <c r="CM38471" s="111"/>
      <c r="CQ38471" s="111"/>
      <c r="EF38471"/>
      <c r="EG38471"/>
      <c r="EH38471"/>
      <c r="EI38471"/>
      <c r="EJ38471"/>
      <c r="EK38471"/>
    </row>
    <row r="38472" spans="1:141" s="116" customFormat="1">
      <c r="A38472" s="136"/>
      <c r="CM38472" s="111"/>
      <c r="CQ38472" s="111"/>
      <c r="EF38472"/>
      <c r="EG38472"/>
      <c r="EH38472"/>
      <c r="EI38472"/>
      <c r="EJ38472"/>
      <c r="EK38472"/>
    </row>
    <row r="38473" spans="1:141" s="116" customFormat="1">
      <c r="A38473" s="136"/>
      <c r="CM38473" s="111"/>
      <c r="CQ38473" s="111"/>
      <c r="EF38473"/>
      <c r="EG38473"/>
      <c r="EH38473"/>
      <c r="EI38473"/>
      <c r="EJ38473"/>
      <c r="EK38473"/>
    </row>
    <row r="38474" spans="1:141" s="116" customFormat="1">
      <c r="A38474" s="136"/>
      <c r="CM38474" s="111"/>
      <c r="CQ38474" s="111"/>
      <c r="EF38474"/>
      <c r="EG38474"/>
      <c r="EH38474"/>
      <c r="EI38474"/>
      <c r="EJ38474"/>
      <c r="EK38474"/>
    </row>
    <row r="38475" spans="1:141" s="116" customFormat="1">
      <c r="A38475" s="136"/>
      <c r="CM38475" s="111"/>
      <c r="CQ38475" s="111"/>
      <c r="EF38475"/>
      <c r="EG38475"/>
      <c r="EH38475"/>
      <c r="EI38475"/>
      <c r="EJ38475"/>
      <c r="EK38475"/>
    </row>
    <row r="38476" spans="1:141" s="116" customFormat="1">
      <c r="A38476" s="136"/>
      <c r="CM38476" s="111"/>
      <c r="CQ38476" s="111"/>
      <c r="EF38476"/>
      <c r="EG38476"/>
      <c r="EH38476"/>
      <c r="EI38476"/>
      <c r="EJ38476"/>
      <c r="EK38476"/>
    </row>
    <row r="38477" spans="1:141" s="116" customFormat="1">
      <c r="A38477" s="136"/>
      <c r="CM38477" s="111"/>
      <c r="CQ38477" s="111"/>
      <c r="EF38477"/>
      <c r="EG38477"/>
      <c r="EH38477"/>
      <c r="EI38477"/>
      <c r="EJ38477"/>
      <c r="EK38477"/>
    </row>
    <row r="38478" spans="1:141" s="116" customFormat="1">
      <c r="A38478" s="136"/>
      <c r="CM38478" s="111"/>
      <c r="CQ38478" s="111"/>
      <c r="EF38478"/>
      <c r="EG38478"/>
      <c r="EH38478"/>
      <c r="EI38478"/>
      <c r="EJ38478"/>
      <c r="EK38478"/>
    </row>
    <row r="38479" spans="1:141" s="116" customFormat="1">
      <c r="A38479" s="136"/>
      <c r="CM38479" s="111"/>
      <c r="CQ38479" s="111"/>
      <c r="EF38479"/>
      <c r="EG38479"/>
      <c r="EH38479"/>
      <c r="EI38479"/>
      <c r="EJ38479"/>
      <c r="EK38479"/>
    </row>
    <row r="38480" spans="1:141" s="116" customFormat="1">
      <c r="A38480" s="136"/>
      <c r="CM38480" s="111"/>
      <c r="CQ38480" s="111"/>
      <c r="EF38480"/>
      <c r="EG38480"/>
      <c r="EH38480"/>
      <c r="EI38480"/>
      <c r="EJ38480"/>
      <c r="EK38480"/>
    </row>
    <row r="38481" spans="1:141" s="116" customFormat="1">
      <c r="A38481" s="136"/>
      <c r="CM38481" s="111"/>
      <c r="CQ38481" s="111"/>
      <c r="EF38481"/>
      <c r="EG38481"/>
      <c r="EH38481"/>
      <c r="EI38481"/>
      <c r="EJ38481"/>
      <c r="EK38481"/>
    </row>
    <row r="38482" spans="1:141" s="116" customFormat="1">
      <c r="A38482" s="136"/>
      <c r="CM38482" s="111"/>
      <c r="CQ38482" s="111"/>
      <c r="EF38482"/>
      <c r="EG38482"/>
      <c r="EH38482"/>
      <c r="EI38482"/>
      <c r="EJ38482"/>
      <c r="EK38482"/>
    </row>
    <row r="38483" spans="1:141" s="116" customFormat="1">
      <c r="A38483" s="136"/>
      <c r="CM38483" s="111"/>
      <c r="CQ38483" s="111"/>
      <c r="EF38483"/>
      <c r="EG38483"/>
      <c r="EH38483"/>
      <c r="EI38483"/>
      <c r="EJ38483"/>
      <c r="EK38483"/>
    </row>
    <row r="38484" spans="1:141" s="116" customFormat="1">
      <c r="A38484" s="136"/>
      <c r="CM38484" s="111"/>
      <c r="CQ38484" s="111"/>
      <c r="EF38484"/>
      <c r="EG38484"/>
      <c r="EH38484"/>
      <c r="EI38484"/>
      <c r="EJ38484"/>
      <c r="EK38484"/>
    </row>
    <row r="38485" spans="1:141" s="116" customFormat="1">
      <c r="A38485" s="136"/>
      <c r="CM38485" s="111"/>
      <c r="CQ38485" s="111"/>
      <c r="EF38485"/>
      <c r="EG38485"/>
      <c r="EH38485"/>
      <c r="EI38485"/>
      <c r="EJ38485"/>
      <c r="EK38485"/>
    </row>
    <row r="38486" spans="1:141" s="116" customFormat="1">
      <c r="A38486" s="136"/>
      <c r="CM38486" s="111"/>
      <c r="CQ38486" s="111"/>
      <c r="EF38486"/>
      <c r="EG38486"/>
      <c r="EH38486"/>
      <c r="EI38486"/>
      <c r="EJ38486"/>
      <c r="EK38486"/>
    </row>
    <row r="38487" spans="1:141" s="116" customFormat="1">
      <c r="A38487" s="136"/>
      <c r="CM38487" s="111"/>
      <c r="CQ38487" s="111"/>
      <c r="EF38487"/>
      <c r="EG38487"/>
      <c r="EH38487"/>
      <c r="EI38487"/>
      <c r="EJ38487"/>
      <c r="EK38487"/>
    </row>
    <row r="38488" spans="1:141" s="116" customFormat="1">
      <c r="A38488" s="136"/>
      <c r="CM38488" s="111"/>
      <c r="CQ38488" s="111"/>
      <c r="EF38488"/>
      <c r="EG38488"/>
      <c r="EH38488"/>
      <c r="EI38488"/>
      <c r="EJ38488"/>
      <c r="EK38488"/>
    </row>
    <row r="38489" spans="1:141" s="116" customFormat="1">
      <c r="A38489" s="136"/>
      <c r="CM38489" s="111"/>
      <c r="CQ38489" s="111"/>
      <c r="EF38489"/>
      <c r="EG38489"/>
      <c r="EH38489"/>
      <c r="EI38489"/>
      <c r="EJ38489"/>
      <c r="EK38489"/>
    </row>
    <row r="38490" spans="1:141" s="116" customFormat="1">
      <c r="A38490" s="136"/>
      <c r="CM38490" s="111"/>
      <c r="CQ38490" s="111"/>
      <c r="EF38490"/>
      <c r="EG38490"/>
      <c r="EH38490"/>
      <c r="EI38490"/>
      <c r="EJ38490"/>
      <c r="EK38490"/>
    </row>
    <row r="38491" spans="1:141" s="116" customFormat="1">
      <c r="A38491" s="136"/>
      <c r="CM38491" s="111"/>
      <c r="CQ38491" s="111"/>
      <c r="EF38491"/>
      <c r="EG38491"/>
      <c r="EH38491"/>
      <c r="EI38491"/>
      <c r="EJ38491"/>
      <c r="EK38491"/>
    </row>
    <row r="38492" spans="1:141" s="116" customFormat="1">
      <c r="A38492" s="136"/>
      <c r="CM38492" s="111"/>
      <c r="CQ38492" s="111"/>
      <c r="EF38492"/>
      <c r="EG38492"/>
      <c r="EH38492"/>
      <c r="EI38492"/>
      <c r="EJ38492"/>
      <c r="EK38492"/>
    </row>
    <row r="38493" spans="1:141" s="116" customFormat="1">
      <c r="A38493" s="136"/>
      <c r="CM38493" s="111"/>
      <c r="CQ38493" s="111"/>
      <c r="EF38493"/>
      <c r="EG38493"/>
      <c r="EH38493"/>
      <c r="EI38493"/>
      <c r="EJ38493"/>
      <c r="EK38493"/>
    </row>
    <row r="38494" spans="1:141" s="116" customFormat="1">
      <c r="A38494" s="136"/>
      <c r="CM38494" s="111"/>
      <c r="CQ38494" s="111"/>
      <c r="EF38494"/>
      <c r="EG38494"/>
      <c r="EH38494"/>
      <c r="EI38494"/>
      <c r="EJ38494"/>
      <c r="EK38494"/>
    </row>
    <row r="38495" spans="1:141" s="116" customFormat="1">
      <c r="A38495" s="136"/>
      <c r="CM38495" s="111"/>
      <c r="CQ38495" s="111"/>
      <c r="EF38495"/>
      <c r="EG38495"/>
      <c r="EH38495"/>
      <c r="EI38495"/>
      <c r="EJ38495"/>
      <c r="EK38495"/>
    </row>
    <row r="38496" spans="1:141" s="116" customFormat="1">
      <c r="A38496" s="136"/>
      <c r="CM38496" s="111"/>
      <c r="CQ38496" s="111"/>
      <c r="EF38496"/>
      <c r="EG38496"/>
      <c r="EH38496"/>
      <c r="EI38496"/>
      <c r="EJ38496"/>
      <c r="EK38496"/>
    </row>
    <row r="38497" spans="1:141" s="116" customFormat="1">
      <c r="A38497" s="136"/>
      <c r="CM38497" s="111"/>
      <c r="CQ38497" s="111"/>
      <c r="EF38497"/>
      <c r="EG38497"/>
      <c r="EH38497"/>
      <c r="EI38497"/>
      <c r="EJ38497"/>
      <c r="EK38497"/>
    </row>
    <row r="38498" spans="1:141" s="116" customFormat="1">
      <c r="A38498" s="136"/>
      <c r="CM38498" s="111"/>
      <c r="CQ38498" s="111"/>
      <c r="EF38498"/>
      <c r="EG38498"/>
      <c r="EH38498"/>
      <c r="EI38498"/>
      <c r="EJ38498"/>
      <c r="EK38498"/>
    </row>
    <row r="38499" spans="1:141" s="116" customFormat="1">
      <c r="A38499" s="136"/>
      <c r="CM38499" s="111"/>
      <c r="CQ38499" s="111"/>
      <c r="EF38499"/>
      <c r="EG38499"/>
      <c r="EH38499"/>
      <c r="EI38499"/>
      <c r="EJ38499"/>
      <c r="EK38499"/>
    </row>
    <row r="38500" spans="1:141" s="116" customFormat="1">
      <c r="A38500" s="136"/>
      <c r="CM38500" s="111"/>
      <c r="CQ38500" s="111"/>
      <c r="EF38500"/>
      <c r="EG38500"/>
      <c r="EH38500"/>
      <c r="EI38500"/>
      <c r="EJ38500"/>
      <c r="EK38500"/>
    </row>
    <row r="38501" spans="1:141" s="116" customFormat="1">
      <c r="A38501" s="136"/>
      <c r="CM38501" s="111"/>
      <c r="CQ38501" s="111"/>
      <c r="EF38501"/>
      <c r="EG38501"/>
      <c r="EH38501"/>
      <c r="EI38501"/>
      <c r="EJ38501"/>
      <c r="EK38501"/>
    </row>
    <row r="38502" spans="1:141" s="116" customFormat="1">
      <c r="A38502" s="136"/>
      <c r="CM38502" s="111"/>
      <c r="CQ38502" s="111"/>
      <c r="EF38502"/>
      <c r="EG38502"/>
      <c r="EH38502"/>
      <c r="EI38502"/>
      <c r="EJ38502"/>
      <c r="EK38502"/>
    </row>
    <row r="38503" spans="1:141" s="116" customFormat="1">
      <c r="A38503" s="136"/>
      <c r="CM38503" s="111"/>
      <c r="CQ38503" s="111"/>
      <c r="EF38503"/>
      <c r="EG38503"/>
      <c r="EH38503"/>
      <c r="EI38503"/>
      <c r="EJ38503"/>
      <c r="EK38503"/>
    </row>
    <row r="38504" spans="1:141" s="116" customFormat="1">
      <c r="A38504" s="136"/>
      <c r="CM38504" s="111"/>
      <c r="CQ38504" s="111"/>
      <c r="EF38504"/>
      <c r="EG38504"/>
      <c r="EH38504"/>
      <c r="EI38504"/>
      <c r="EJ38504"/>
      <c r="EK38504"/>
    </row>
    <row r="38505" spans="1:141" s="116" customFormat="1">
      <c r="A38505" s="136"/>
      <c r="CM38505" s="111"/>
      <c r="CQ38505" s="111"/>
      <c r="EF38505"/>
      <c r="EG38505"/>
      <c r="EH38505"/>
      <c r="EI38505"/>
      <c r="EJ38505"/>
      <c r="EK38505"/>
    </row>
    <row r="38506" spans="1:141" s="116" customFormat="1">
      <c r="A38506" s="136"/>
      <c r="CM38506" s="111"/>
      <c r="CQ38506" s="111"/>
      <c r="EF38506"/>
      <c r="EG38506"/>
      <c r="EH38506"/>
      <c r="EI38506"/>
      <c r="EJ38506"/>
      <c r="EK38506"/>
    </row>
    <row r="38507" spans="1:141" s="116" customFormat="1">
      <c r="A38507" s="136"/>
      <c r="CM38507" s="111"/>
      <c r="CQ38507" s="111"/>
      <c r="EF38507"/>
      <c r="EG38507"/>
      <c r="EH38507"/>
      <c r="EI38507"/>
      <c r="EJ38507"/>
      <c r="EK38507"/>
    </row>
    <row r="38508" spans="1:141" s="116" customFormat="1">
      <c r="A38508" s="136"/>
      <c r="CM38508" s="111"/>
      <c r="CQ38508" s="111"/>
      <c r="EF38508"/>
      <c r="EG38508"/>
      <c r="EH38508"/>
      <c r="EI38508"/>
      <c r="EJ38508"/>
      <c r="EK38508"/>
    </row>
    <row r="38509" spans="1:141" s="116" customFormat="1">
      <c r="A38509" s="136"/>
      <c r="CM38509" s="111"/>
      <c r="CQ38509" s="111"/>
      <c r="EF38509"/>
      <c r="EG38509"/>
      <c r="EH38509"/>
      <c r="EI38509"/>
      <c r="EJ38509"/>
      <c r="EK38509"/>
    </row>
    <row r="38510" spans="1:141" s="116" customFormat="1">
      <c r="A38510" s="136"/>
      <c r="CM38510" s="111"/>
      <c r="CQ38510" s="111"/>
      <c r="EF38510"/>
      <c r="EG38510"/>
      <c r="EH38510"/>
      <c r="EI38510"/>
      <c r="EJ38510"/>
      <c r="EK38510"/>
    </row>
    <row r="38511" spans="1:141" s="116" customFormat="1">
      <c r="A38511" s="136"/>
      <c r="CM38511" s="111"/>
      <c r="CQ38511" s="111"/>
      <c r="EF38511"/>
      <c r="EG38511"/>
      <c r="EH38511"/>
      <c r="EI38511"/>
      <c r="EJ38511"/>
      <c r="EK38511"/>
    </row>
    <row r="38512" spans="1:141" s="116" customFormat="1">
      <c r="A38512" s="136"/>
      <c r="CM38512" s="111"/>
      <c r="CQ38512" s="111"/>
      <c r="EF38512"/>
      <c r="EG38512"/>
      <c r="EH38512"/>
      <c r="EI38512"/>
      <c r="EJ38512"/>
      <c r="EK38512"/>
    </row>
    <row r="38513" spans="1:141" s="116" customFormat="1">
      <c r="A38513" s="136"/>
      <c r="CM38513" s="111"/>
      <c r="CQ38513" s="111"/>
      <c r="EF38513"/>
      <c r="EG38513"/>
      <c r="EH38513"/>
      <c r="EI38513"/>
      <c r="EJ38513"/>
      <c r="EK38513"/>
    </row>
    <row r="38514" spans="1:141" s="116" customFormat="1">
      <c r="A38514" s="136"/>
      <c r="CM38514" s="111"/>
      <c r="CQ38514" s="111"/>
      <c r="EF38514"/>
      <c r="EG38514"/>
      <c r="EH38514"/>
      <c r="EI38514"/>
      <c r="EJ38514"/>
      <c r="EK38514"/>
    </row>
    <row r="38515" spans="1:141" s="116" customFormat="1">
      <c r="A38515" s="136"/>
      <c r="CM38515" s="111"/>
      <c r="CQ38515" s="111"/>
      <c r="EF38515"/>
      <c r="EG38515"/>
      <c r="EH38515"/>
      <c r="EI38515"/>
      <c r="EJ38515"/>
      <c r="EK38515"/>
    </row>
    <row r="38516" spans="1:141" s="116" customFormat="1">
      <c r="A38516" s="136"/>
      <c r="CM38516" s="111"/>
      <c r="CQ38516" s="111"/>
      <c r="EF38516"/>
      <c r="EG38516"/>
      <c r="EH38516"/>
      <c r="EI38516"/>
      <c r="EJ38516"/>
      <c r="EK38516"/>
    </row>
    <row r="38517" spans="1:141" s="116" customFormat="1">
      <c r="A38517" s="136"/>
      <c r="CM38517" s="111"/>
      <c r="CQ38517" s="111"/>
      <c r="EF38517"/>
      <c r="EG38517"/>
      <c r="EH38517"/>
      <c r="EI38517"/>
      <c r="EJ38517"/>
      <c r="EK38517"/>
    </row>
    <row r="38518" spans="1:141" s="116" customFormat="1">
      <c r="A38518" s="136"/>
      <c r="CM38518" s="111"/>
      <c r="CQ38518" s="111"/>
      <c r="EF38518"/>
      <c r="EG38518"/>
      <c r="EH38518"/>
      <c r="EI38518"/>
      <c r="EJ38518"/>
      <c r="EK38518"/>
    </row>
    <row r="38519" spans="1:141" s="116" customFormat="1">
      <c r="A38519" s="136"/>
      <c r="CM38519" s="111"/>
      <c r="CQ38519" s="111"/>
      <c r="EF38519"/>
      <c r="EG38519"/>
      <c r="EH38519"/>
      <c r="EI38519"/>
      <c r="EJ38519"/>
      <c r="EK38519"/>
    </row>
    <row r="38520" spans="1:141" s="116" customFormat="1">
      <c r="A38520" s="136"/>
      <c r="CM38520" s="111"/>
      <c r="CQ38520" s="111"/>
      <c r="EF38520"/>
      <c r="EG38520"/>
      <c r="EH38520"/>
      <c r="EI38520"/>
      <c r="EJ38520"/>
      <c r="EK38520"/>
    </row>
    <row r="38521" spans="1:141" s="116" customFormat="1">
      <c r="A38521" s="136"/>
      <c r="CM38521" s="111"/>
      <c r="CQ38521" s="111"/>
      <c r="EF38521"/>
      <c r="EG38521"/>
      <c r="EH38521"/>
      <c r="EI38521"/>
      <c r="EJ38521"/>
      <c r="EK38521"/>
    </row>
    <row r="38522" spans="1:141" s="116" customFormat="1">
      <c r="A38522" s="136"/>
      <c r="CM38522" s="111"/>
      <c r="CQ38522" s="111"/>
      <c r="EF38522"/>
      <c r="EG38522"/>
      <c r="EH38522"/>
      <c r="EI38522"/>
      <c r="EJ38522"/>
      <c r="EK38522"/>
    </row>
    <row r="38523" spans="1:141" s="116" customFormat="1">
      <c r="A38523" s="136"/>
      <c r="CM38523" s="111"/>
      <c r="CQ38523" s="111"/>
      <c r="EF38523"/>
      <c r="EG38523"/>
      <c r="EH38523"/>
      <c r="EI38523"/>
      <c r="EJ38523"/>
      <c r="EK38523"/>
    </row>
    <row r="38524" spans="1:141" s="116" customFormat="1">
      <c r="A38524" s="136"/>
      <c r="CM38524" s="111"/>
      <c r="CQ38524" s="111"/>
      <c r="EF38524"/>
      <c r="EG38524"/>
      <c r="EH38524"/>
      <c r="EI38524"/>
      <c r="EJ38524"/>
      <c r="EK38524"/>
    </row>
    <row r="38525" spans="1:141" s="116" customFormat="1">
      <c r="A38525" s="136"/>
      <c r="CM38525" s="111"/>
      <c r="CQ38525" s="111"/>
      <c r="EF38525"/>
      <c r="EG38525"/>
      <c r="EH38525"/>
      <c r="EI38525"/>
      <c r="EJ38525"/>
      <c r="EK38525"/>
    </row>
    <row r="38526" spans="1:141" s="116" customFormat="1">
      <c r="A38526" s="136"/>
      <c r="CM38526" s="111"/>
      <c r="CQ38526" s="111"/>
      <c r="EF38526"/>
      <c r="EG38526"/>
      <c r="EH38526"/>
      <c r="EI38526"/>
      <c r="EJ38526"/>
      <c r="EK38526"/>
    </row>
    <row r="38527" spans="1:141" s="116" customFormat="1">
      <c r="A38527" s="136"/>
      <c r="CM38527" s="111"/>
      <c r="CQ38527" s="111"/>
      <c r="EF38527"/>
      <c r="EG38527"/>
      <c r="EH38527"/>
      <c r="EI38527"/>
      <c r="EJ38527"/>
      <c r="EK38527"/>
    </row>
    <row r="38528" spans="1:141" s="116" customFormat="1">
      <c r="A38528" s="136"/>
      <c r="CM38528" s="111"/>
      <c r="CQ38528" s="111"/>
      <c r="EF38528"/>
      <c r="EG38528"/>
      <c r="EH38528"/>
      <c r="EI38528"/>
      <c r="EJ38528"/>
      <c r="EK38528"/>
    </row>
    <row r="38529" spans="1:141" s="116" customFormat="1">
      <c r="A38529" s="136"/>
      <c r="CM38529" s="111"/>
      <c r="CQ38529" s="111"/>
      <c r="EF38529"/>
      <c r="EG38529"/>
      <c r="EH38529"/>
      <c r="EI38529"/>
      <c r="EJ38529"/>
      <c r="EK38529"/>
    </row>
    <row r="38530" spans="1:141" s="116" customFormat="1">
      <c r="A38530" s="136"/>
      <c r="CM38530" s="111"/>
      <c r="CQ38530" s="111"/>
      <c r="EF38530"/>
      <c r="EG38530"/>
      <c r="EH38530"/>
      <c r="EI38530"/>
      <c r="EJ38530"/>
      <c r="EK38530"/>
    </row>
    <row r="38531" spans="1:141" s="116" customFormat="1">
      <c r="A38531" s="136"/>
      <c r="CM38531" s="111"/>
      <c r="CQ38531" s="111"/>
      <c r="EF38531"/>
      <c r="EG38531"/>
      <c r="EH38531"/>
      <c r="EI38531"/>
      <c r="EJ38531"/>
      <c r="EK38531"/>
    </row>
    <row r="38532" spans="1:141" s="116" customFormat="1">
      <c r="A38532" s="136"/>
      <c r="CM38532" s="111"/>
      <c r="CQ38532" s="111"/>
      <c r="EF38532"/>
      <c r="EG38532"/>
      <c r="EH38532"/>
      <c r="EI38532"/>
      <c r="EJ38532"/>
      <c r="EK38532"/>
    </row>
    <row r="38533" spans="1:141" s="116" customFormat="1">
      <c r="A38533" s="136"/>
      <c r="CM38533" s="111"/>
      <c r="CQ38533" s="111"/>
      <c r="EF38533"/>
      <c r="EG38533"/>
      <c r="EH38533"/>
      <c r="EI38533"/>
      <c r="EJ38533"/>
      <c r="EK38533"/>
    </row>
    <row r="38534" spans="1:141" s="116" customFormat="1">
      <c r="A38534" s="136"/>
      <c r="CM38534" s="111"/>
      <c r="CQ38534" s="111"/>
      <c r="EF38534"/>
      <c r="EG38534"/>
      <c r="EH38534"/>
      <c r="EI38534"/>
      <c r="EJ38534"/>
      <c r="EK38534"/>
    </row>
    <row r="38535" spans="1:141" s="116" customFormat="1">
      <c r="A38535" s="136"/>
      <c r="CM38535" s="111"/>
      <c r="CQ38535" s="111"/>
      <c r="EF38535"/>
      <c r="EG38535"/>
      <c r="EH38535"/>
      <c r="EI38535"/>
      <c r="EJ38535"/>
      <c r="EK38535"/>
    </row>
    <row r="38536" spans="1:141" s="116" customFormat="1">
      <c r="A38536" s="136"/>
      <c r="CM38536" s="111"/>
      <c r="CQ38536" s="111"/>
      <c r="EF38536"/>
      <c r="EG38536"/>
      <c r="EH38536"/>
      <c r="EI38536"/>
      <c r="EJ38536"/>
      <c r="EK38536"/>
    </row>
    <row r="38537" spans="1:141" s="116" customFormat="1">
      <c r="A38537" s="136"/>
      <c r="CM38537" s="111"/>
      <c r="CQ38537" s="111"/>
      <c r="EF38537"/>
      <c r="EG38537"/>
      <c r="EH38537"/>
      <c r="EI38537"/>
      <c r="EJ38537"/>
      <c r="EK38537"/>
    </row>
    <row r="38538" spans="1:141" s="116" customFormat="1">
      <c r="A38538" s="136"/>
      <c r="CM38538" s="111"/>
      <c r="CQ38538" s="111"/>
      <c r="EF38538"/>
      <c r="EG38538"/>
      <c r="EH38538"/>
      <c r="EI38538"/>
      <c r="EJ38538"/>
      <c r="EK38538"/>
    </row>
    <row r="38539" spans="1:141" s="116" customFormat="1">
      <c r="A38539" s="136"/>
      <c r="CM38539" s="111"/>
      <c r="CQ38539" s="111"/>
      <c r="EF38539"/>
      <c r="EG38539"/>
      <c r="EH38539"/>
      <c r="EI38539"/>
      <c r="EJ38539"/>
      <c r="EK38539"/>
    </row>
    <row r="38540" spans="1:141" s="116" customFormat="1">
      <c r="A38540" s="136"/>
      <c r="CM38540" s="111"/>
      <c r="CQ38540" s="111"/>
      <c r="EF38540"/>
      <c r="EG38540"/>
      <c r="EH38540"/>
      <c r="EI38540"/>
      <c r="EJ38540"/>
      <c r="EK38540"/>
    </row>
    <row r="38541" spans="1:141" s="116" customFormat="1">
      <c r="A38541" s="136"/>
      <c r="CM38541" s="111"/>
      <c r="CQ38541" s="111"/>
      <c r="EF38541"/>
      <c r="EG38541"/>
      <c r="EH38541"/>
      <c r="EI38541"/>
      <c r="EJ38541"/>
      <c r="EK38541"/>
    </row>
    <row r="38542" spans="1:141" s="116" customFormat="1">
      <c r="A38542" s="136"/>
      <c r="CM38542" s="111"/>
      <c r="CQ38542" s="111"/>
      <c r="EF38542"/>
      <c r="EG38542"/>
      <c r="EH38542"/>
      <c r="EI38542"/>
      <c r="EJ38542"/>
      <c r="EK38542"/>
    </row>
    <row r="38543" spans="1:141" s="116" customFormat="1">
      <c r="A38543" s="136"/>
      <c r="CM38543" s="111"/>
      <c r="CQ38543" s="111"/>
      <c r="EF38543"/>
      <c r="EG38543"/>
      <c r="EH38543"/>
      <c r="EI38543"/>
      <c r="EJ38543"/>
      <c r="EK38543"/>
    </row>
    <row r="38544" spans="1:141" s="116" customFormat="1">
      <c r="A38544" s="136"/>
      <c r="CM38544" s="111"/>
      <c r="CQ38544" s="111"/>
      <c r="EF38544"/>
      <c r="EG38544"/>
      <c r="EH38544"/>
      <c r="EI38544"/>
      <c r="EJ38544"/>
      <c r="EK38544"/>
    </row>
    <row r="38545" spans="1:141" s="116" customFormat="1">
      <c r="A38545" s="136"/>
      <c r="CM38545" s="111"/>
      <c r="CQ38545" s="111"/>
      <c r="EF38545"/>
      <c r="EG38545"/>
      <c r="EH38545"/>
      <c r="EI38545"/>
      <c r="EJ38545"/>
      <c r="EK38545"/>
    </row>
    <row r="38546" spans="1:141" s="116" customFormat="1">
      <c r="A38546" s="136"/>
      <c r="CM38546" s="111"/>
      <c r="CQ38546" s="111"/>
      <c r="EF38546"/>
      <c r="EG38546"/>
      <c r="EH38546"/>
      <c r="EI38546"/>
      <c r="EJ38546"/>
      <c r="EK38546"/>
    </row>
    <row r="38547" spans="1:141" s="116" customFormat="1">
      <c r="A38547" s="136"/>
      <c r="CM38547" s="111"/>
      <c r="CQ38547" s="111"/>
      <c r="EF38547"/>
      <c r="EG38547"/>
      <c r="EH38547"/>
      <c r="EI38547"/>
      <c r="EJ38547"/>
      <c r="EK38547"/>
    </row>
    <row r="38548" spans="1:141" s="116" customFormat="1">
      <c r="A38548" s="136"/>
      <c r="CM38548" s="111"/>
      <c r="CQ38548" s="111"/>
      <c r="EF38548"/>
      <c r="EG38548"/>
      <c r="EH38548"/>
      <c r="EI38548"/>
      <c r="EJ38548"/>
      <c r="EK38548"/>
    </row>
    <row r="38549" spans="1:141" s="116" customFormat="1">
      <c r="A38549" s="136"/>
      <c r="CM38549" s="111"/>
      <c r="CQ38549" s="111"/>
      <c r="EF38549"/>
      <c r="EG38549"/>
      <c r="EH38549"/>
      <c r="EI38549"/>
      <c r="EJ38549"/>
      <c r="EK38549"/>
    </row>
    <row r="38550" spans="1:141" s="116" customFormat="1">
      <c r="A38550" s="136"/>
      <c r="CM38550" s="111"/>
      <c r="CQ38550" s="111"/>
      <c r="EF38550"/>
      <c r="EG38550"/>
      <c r="EH38550"/>
      <c r="EI38550"/>
      <c r="EJ38550"/>
      <c r="EK38550"/>
    </row>
    <row r="38551" spans="1:141" s="116" customFormat="1">
      <c r="A38551" s="136"/>
      <c r="CM38551" s="111"/>
      <c r="CQ38551" s="111"/>
      <c r="EF38551"/>
      <c r="EG38551"/>
      <c r="EH38551"/>
      <c r="EI38551"/>
      <c r="EJ38551"/>
      <c r="EK38551"/>
    </row>
    <row r="38552" spans="1:141" s="116" customFormat="1">
      <c r="A38552" s="136"/>
      <c r="CM38552" s="111"/>
      <c r="CQ38552" s="111"/>
      <c r="EF38552"/>
      <c r="EG38552"/>
      <c r="EH38552"/>
      <c r="EI38552"/>
      <c r="EJ38552"/>
      <c r="EK38552"/>
    </row>
    <row r="38553" spans="1:141" s="116" customFormat="1">
      <c r="A38553" s="136"/>
      <c r="CM38553" s="111"/>
      <c r="CQ38553" s="111"/>
      <c r="EF38553"/>
      <c r="EG38553"/>
      <c r="EH38553"/>
      <c r="EI38553"/>
      <c r="EJ38553"/>
      <c r="EK38553"/>
    </row>
    <row r="38554" spans="1:141" s="116" customFormat="1">
      <c r="A38554" s="136"/>
      <c r="CM38554" s="111"/>
      <c r="CQ38554" s="111"/>
      <c r="EF38554"/>
      <c r="EG38554"/>
      <c r="EH38554"/>
      <c r="EI38554"/>
      <c r="EJ38554"/>
      <c r="EK38554"/>
    </row>
    <row r="38555" spans="1:141" s="116" customFormat="1">
      <c r="A38555" s="136"/>
      <c r="CM38555" s="111"/>
      <c r="CQ38555" s="111"/>
      <c r="EF38555"/>
      <c r="EG38555"/>
      <c r="EH38555"/>
      <c r="EI38555"/>
      <c r="EJ38555"/>
      <c r="EK38555"/>
    </row>
    <row r="38556" spans="1:141" s="116" customFormat="1">
      <c r="A38556" s="136"/>
      <c r="CM38556" s="111"/>
      <c r="CQ38556" s="111"/>
      <c r="EF38556"/>
      <c r="EG38556"/>
      <c r="EH38556"/>
      <c r="EI38556"/>
      <c r="EJ38556"/>
      <c r="EK38556"/>
    </row>
    <row r="38557" spans="1:141" s="116" customFormat="1">
      <c r="A38557" s="136"/>
      <c r="CM38557" s="111"/>
      <c r="CQ38557" s="111"/>
      <c r="EF38557"/>
      <c r="EG38557"/>
      <c r="EH38557"/>
      <c r="EI38557"/>
      <c r="EJ38557"/>
      <c r="EK38557"/>
    </row>
    <row r="38558" spans="1:141" s="116" customFormat="1">
      <c r="A38558" s="136"/>
      <c r="CM38558" s="111"/>
      <c r="CQ38558" s="111"/>
      <c r="EF38558"/>
      <c r="EG38558"/>
      <c r="EH38558"/>
      <c r="EI38558"/>
      <c r="EJ38558"/>
      <c r="EK38558"/>
    </row>
    <row r="38559" spans="1:141" s="116" customFormat="1">
      <c r="A38559" s="136"/>
      <c r="CM38559" s="111"/>
      <c r="CQ38559" s="111"/>
      <c r="EF38559"/>
      <c r="EG38559"/>
      <c r="EH38559"/>
      <c r="EI38559"/>
      <c r="EJ38559"/>
      <c r="EK38559"/>
    </row>
    <row r="38560" spans="1:141" s="116" customFormat="1">
      <c r="A38560" s="136"/>
      <c r="CM38560" s="111"/>
      <c r="CQ38560" s="111"/>
      <c r="EF38560"/>
      <c r="EG38560"/>
      <c r="EH38560"/>
      <c r="EI38560"/>
      <c r="EJ38560"/>
      <c r="EK38560"/>
    </row>
    <row r="38561" spans="1:141" s="116" customFormat="1">
      <c r="A38561" s="136"/>
      <c r="CM38561" s="111"/>
      <c r="CQ38561" s="111"/>
      <c r="EF38561"/>
      <c r="EG38561"/>
      <c r="EH38561"/>
      <c r="EI38561"/>
      <c r="EJ38561"/>
      <c r="EK38561"/>
    </row>
    <row r="38562" spans="1:141" s="116" customFormat="1">
      <c r="A38562" s="136"/>
      <c r="CM38562" s="111"/>
      <c r="CQ38562" s="111"/>
      <c r="EF38562"/>
      <c r="EG38562"/>
      <c r="EH38562"/>
      <c r="EI38562"/>
      <c r="EJ38562"/>
      <c r="EK38562"/>
    </row>
    <row r="38563" spans="1:141" s="116" customFormat="1">
      <c r="A38563" s="136"/>
      <c r="CM38563" s="111"/>
      <c r="CQ38563" s="111"/>
      <c r="EF38563"/>
      <c r="EG38563"/>
      <c r="EH38563"/>
      <c r="EI38563"/>
      <c r="EJ38563"/>
      <c r="EK38563"/>
    </row>
    <row r="38564" spans="1:141" s="116" customFormat="1">
      <c r="A38564" s="136"/>
      <c r="CM38564" s="111"/>
      <c r="CQ38564" s="111"/>
      <c r="EF38564"/>
      <c r="EG38564"/>
      <c r="EH38564"/>
      <c r="EI38564"/>
      <c r="EJ38564"/>
      <c r="EK38564"/>
    </row>
    <row r="38565" spans="1:141" s="116" customFormat="1">
      <c r="A38565" s="136"/>
      <c r="CM38565" s="111"/>
      <c r="CQ38565" s="111"/>
      <c r="EF38565"/>
      <c r="EG38565"/>
      <c r="EH38565"/>
      <c r="EI38565"/>
      <c r="EJ38565"/>
      <c r="EK38565"/>
    </row>
    <row r="38566" spans="1:141" s="116" customFormat="1">
      <c r="A38566" s="136"/>
      <c r="CM38566" s="111"/>
      <c r="CQ38566" s="111"/>
      <c r="EF38566"/>
      <c r="EG38566"/>
      <c r="EH38566"/>
      <c r="EI38566"/>
      <c r="EJ38566"/>
      <c r="EK38566"/>
    </row>
    <row r="38567" spans="1:141" s="116" customFormat="1">
      <c r="A38567" s="136"/>
      <c r="CM38567" s="111"/>
      <c r="CQ38567" s="111"/>
      <c r="EF38567"/>
      <c r="EG38567"/>
      <c r="EH38567"/>
      <c r="EI38567"/>
      <c r="EJ38567"/>
      <c r="EK38567"/>
    </row>
    <row r="38568" spans="1:141" s="116" customFormat="1">
      <c r="A38568" s="136"/>
      <c r="CM38568" s="111"/>
      <c r="CQ38568" s="111"/>
      <c r="EF38568"/>
      <c r="EG38568"/>
      <c r="EH38568"/>
      <c r="EI38568"/>
      <c r="EJ38568"/>
      <c r="EK38568"/>
    </row>
    <row r="38569" spans="1:141" s="116" customFormat="1">
      <c r="A38569" s="136"/>
      <c r="CM38569" s="111"/>
      <c r="CQ38569" s="111"/>
      <c r="EF38569"/>
      <c r="EG38569"/>
      <c r="EH38569"/>
      <c r="EI38569"/>
      <c r="EJ38569"/>
      <c r="EK38569"/>
    </row>
    <row r="38570" spans="1:141" s="116" customFormat="1">
      <c r="A38570" s="136"/>
      <c r="CM38570" s="111"/>
      <c r="CQ38570" s="111"/>
      <c r="EF38570"/>
      <c r="EG38570"/>
      <c r="EH38570"/>
      <c r="EI38570"/>
      <c r="EJ38570"/>
      <c r="EK38570"/>
    </row>
    <row r="38571" spans="1:141" s="116" customFormat="1">
      <c r="A38571" s="136"/>
      <c r="CM38571" s="111"/>
      <c r="CQ38571" s="111"/>
      <c r="EF38571"/>
      <c r="EG38571"/>
      <c r="EH38571"/>
      <c r="EI38571"/>
      <c r="EJ38571"/>
      <c r="EK38571"/>
    </row>
    <row r="38572" spans="1:141" s="116" customFormat="1">
      <c r="A38572" s="136"/>
      <c r="CM38572" s="111"/>
      <c r="CQ38572" s="111"/>
      <c r="EF38572"/>
      <c r="EG38572"/>
      <c r="EH38572"/>
      <c r="EI38572"/>
      <c r="EJ38572"/>
      <c r="EK38572"/>
    </row>
    <row r="38573" spans="1:141" s="116" customFormat="1">
      <c r="A38573" s="136"/>
      <c r="CM38573" s="111"/>
      <c r="CQ38573" s="111"/>
      <c r="EF38573"/>
      <c r="EG38573"/>
      <c r="EH38573"/>
      <c r="EI38573"/>
      <c r="EJ38573"/>
      <c r="EK38573"/>
    </row>
    <row r="38574" spans="1:141" s="116" customFormat="1">
      <c r="A38574" s="136"/>
      <c r="CM38574" s="111"/>
      <c r="CQ38574" s="111"/>
      <c r="EF38574"/>
      <c r="EG38574"/>
      <c r="EH38574"/>
      <c r="EI38574"/>
      <c r="EJ38574"/>
      <c r="EK38574"/>
    </row>
    <row r="38575" spans="1:141" s="116" customFormat="1">
      <c r="A38575" s="136"/>
      <c r="CM38575" s="111"/>
      <c r="CQ38575" s="111"/>
      <c r="EF38575"/>
      <c r="EG38575"/>
      <c r="EH38575"/>
      <c r="EI38575"/>
      <c r="EJ38575"/>
      <c r="EK38575"/>
    </row>
    <row r="38576" spans="1:141" s="116" customFormat="1">
      <c r="A38576" s="136"/>
      <c r="CM38576" s="111"/>
      <c r="CQ38576" s="111"/>
      <c r="EF38576"/>
      <c r="EG38576"/>
      <c r="EH38576"/>
      <c r="EI38576"/>
      <c r="EJ38576"/>
      <c r="EK38576"/>
    </row>
    <row r="38577" spans="1:141" s="116" customFormat="1">
      <c r="A38577" s="136"/>
      <c r="CM38577" s="111"/>
      <c r="CQ38577" s="111"/>
      <c r="EF38577"/>
      <c r="EG38577"/>
      <c r="EH38577"/>
      <c r="EI38577"/>
      <c r="EJ38577"/>
      <c r="EK38577"/>
    </row>
    <row r="38578" spans="1:141" s="116" customFormat="1">
      <c r="A38578" s="136"/>
      <c r="CM38578" s="111"/>
      <c r="CQ38578" s="111"/>
      <c r="EF38578"/>
      <c r="EG38578"/>
      <c r="EH38578"/>
      <c r="EI38578"/>
      <c r="EJ38578"/>
      <c r="EK38578"/>
    </row>
    <row r="38579" spans="1:141" s="116" customFormat="1">
      <c r="A38579" s="136"/>
      <c r="CM38579" s="111"/>
      <c r="CQ38579" s="111"/>
      <c r="EF38579"/>
      <c r="EG38579"/>
      <c r="EH38579"/>
      <c r="EI38579"/>
      <c r="EJ38579"/>
      <c r="EK38579"/>
    </row>
    <row r="38580" spans="1:141" s="116" customFormat="1">
      <c r="A38580" s="136"/>
      <c r="CM38580" s="111"/>
      <c r="CQ38580" s="111"/>
      <c r="EF38580"/>
      <c r="EG38580"/>
      <c r="EH38580"/>
      <c r="EI38580"/>
      <c r="EJ38580"/>
      <c r="EK38580"/>
    </row>
    <row r="38581" spans="1:141" s="116" customFormat="1">
      <c r="A38581" s="136"/>
      <c r="CM38581" s="111"/>
      <c r="CQ38581" s="111"/>
      <c r="EF38581"/>
      <c r="EG38581"/>
      <c r="EH38581"/>
      <c r="EI38581"/>
      <c r="EJ38581"/>
      <c r="EK38581"/>
    </row>
    <row r="38582" spans="1:141" s="116" customFormat="1">
      <c r="A38582" s="136"/>
      <c r="CM38582" s="111"/>
      <c r="CQ38582" s="111"/>
      <c r="EF38582"/>
      <c r="EG38582"/>
      <c r="EH38582"/>
      <c r="EI38582"/>
      <c r="EJ38582"/>
      <c r="EK38582"/>
    </row>
    <row r="38583" spans="1:141" s="116" customFormat="1">
      <c r="A38583" s="136"/>
      <c r="CM38583" s="111"/>
      <c r="CQ38583" s="111"/>
      <c r="EF38583"/>
      <c r="EG38583"/>
      <c r="EH38583"/>
      <c r="EI38583"/>
      <c r="EJ38583"/>
      <c r="EK38583"/>
    </row>
    <row r="38584" spans="1:141" s="116" customFormat="1">
      <c r="A38584" s="136"/>
      <c r="CM38584" s="111"/>
      <c r="CQ38584" s="111"/>
      <c r="EF38584"/>
      <c r="EG38584"/>
      <c r="EH38584"/>
      <c r="EI38584"/>
      <c r="EJ38584"/>
      <c r="EK38584"/>
    </row>
    <row r="38585" spans="1:141" s="116" customFormat="1">
      <c r="A38585" s="136"/>
      <c r="CM38585" s="111"/>
      <c r="CQ38585" s="111"/>
      <c r="EF38585"/>
      <c r="EG38585"/>
      <c r="EH38585"/>
      <c r="EI38585"/>
      <c r="EJ38585"/>
      <c r="EK38585"/>
    </row>
    <row r="38586" spans="1:141" s="116" customFormat="1">
      <c r="A38586" s="136"/>
      <c r="CM38586" s="111"/>
      <c r="CQ38586" s="111"/>
      <c r="EF38586"/>
      <c r="EG38586"/>
      <c r="EH38586"/>
      <c r="EI38586"/>
      <c r="EJ38586"/>
      <c r="EK38586"/>
    </row>
    <row r="38587" spans="1:141" s="116" customFormat="1">
      <c r="A38587" s="136"/>
      <c r="CM38587" s="111"/>
      <c r="CQ38587" s="111"/>
      <c r="EF38587"/>
      <c r="EG38587"/>
      <c r="EH38587"/>
      <c r="EI38587"/>
      <c r="EJ38587"/>
      <c r="EK38587"/>
    </row>
    <row r="38588" spans="1:141" s="116" customFormat="1">
      <c r="A38588" s="136"/>
      <c r="CM38588" s="111"/>
      <c r="CQ38588" s="111"/>
      <c r="EF38588"/>
      <c r="EG38588"/>
      <c r="EH38588"/>
      <c r="EI38588"/>
      <c r="EJ38588"/>
      <c r="EK38588"/>
    </row>
    <row r="38589" spans="1:141" s="116" customFormat="1">
      <c r="A38589" s="136"/>
      <c r="CM38589" s="111"/>
      <c r="CQ38589" s="111"/>
      <c r="EF38589"/>
      <c r="EG38589"/>
      <c r="EH38589"/>
      <c r="EI38589"/>
      <c r="EJ38589"/>
      <c r="EK38589"/>
    </row>
    <row r="38590" spans="1:141" s="116" customFormat="1">
      <c r="A38590" s="136"/>
      <c r="CM38590" s="111"/>
      <c r="CQ38590" s="111"/>
      <c r="EF38590"/>
      <c r="EG38590"/>
      <c r="EH38590"/>
      <c r="EI38590"/>
      <c r="EJ38590"/>
      <c r="EK38590"/>
    </row>
    <row r="38591" spans="1:141" s="116" customFormat="1">
      <c r="A38591" s="136"/>
      <c r="CM38591" s="111"/>
      <c r="CQ38591" s="111"/>
      <c r="EF38591"/>
      <c r="EG38591"/>
      <c r="EH38591"/>
      <c r="EI38591"/>
      <c r="EJ38591"/>
      <c r="EK38591"/>
    </row>
    <row r="38592" spans="1:141" s="116" customFormat="1">
      <c r="A38592" s="136"/>
      <c r="CM38592" s="111"/>
      <c r="CQ38592" s="111"/>
      <c r="EF38592"/>
      <c r="EG38592"/>
      <c r="EH38592"/>
      <c r="EI38592"/>
      <c r="EJ38592"/>
      <c r="EK38592"/>
    </row>
    <row r="38593" spans="1:141" s="116" customFormat="1">
      <c r="A38593" s="136"/>
      <c r="CM38593" s="111"/>
      <c r="CQ38593" s="111"/>
      <c r="EF38593"/>
      <c r="EG38593"/>
      <c r="EH38593"/>
      <c r="EI38593"/>
      <c r="EJ38593"/>
      <c r="EK38593"/>
    </row>
    <row r="38594" spans="1:141" s="116" customFormat="1">
      <c r="A38594" s="136"/>
      <c r="CM38594" s="111"/>
      <c r="CQ38594" s="111"/>
      <c r="EF38594"/>
      <c r="EG38594"/>
      <c r="EH38594"/>
      <c r="EI38594"/>
      <c r="EJ38594"/>
      <c r="EK38594"/>
    </row>
    <row r="38595" spans="1:141" s="116" customFormat="1">
      <c r="A38595" s="136"/>
      <c r="CM38595" s="111"/>
      <c r="CQ38595" s="111"/>
      <c r="EF38595"/>
      <c r="EG38595"/>
      <c r="EH38595"/>
      <c r="EI38595"/>
      <c r="EJ38595"/>
      <c r="EK38595"/>
    </row>
    <row r="38596" spans="1:141" s="116" customFormat="1">
      <c r="A38596" s="136"/>
      <c r="CM38596" s="111"/>
      <c r="CQ38596" s="111"/>
      <c r="EF38596"/>
      <c r="EG38596"/>
      <c r="EH38596"/>
      <c r="EI38596"/>
      <c r="EJ38596"/>
      <c r="EK38596"/>
    </row>
    <row r="38597" spans="1:141" s="116" customFormat="1">
      <c r="A38597" s="136"/>
      <c r="CM38597" s="111"/>
      <c r="CQ38597" s="111"/>
      <c r="EF38597"/>
      <c r="EG38597"/>
      <c r="EH38597"/>
      <c r="EI38597"/>
      <c r="EJ38597"/>
      <c r="EK38597"/>
    </row>
    <row r="38598" spans="1:141" s="116" customFormat="1">
      <c r="A38598" s="136"/>
      <c r="CM38598" s="111"/>
      <c r="CQ38598" s="111"/>
      <c r="EF38598"/>
      <c r="EG38598"/>
      <c r="EH38598"/>
      <c r="EI38598"/>
      <c r="EJ38598"/>
      <c r="EK38598"/>
    </row>
    <row r="38599" spans="1:141" s="116" customFormat="1">
      <c r="A38599" s="136"/>
      <c r="CM38599" s="111"/>
      <c r="CQ38599" s="111"/>
      <c r="EF38599"/>
      <c r="EG38599"/>
      <c r="EH38599"/>
      <c r="EI38599"/>
      <c r="EJ38599"/>
      <c r="EK38599"/>
    </row>
    <row r="38600" spans="1:141" s="116" customFormat="1">
      <c r="A38600" s="136"/>
      <c r="CM38600" s="111"/>
      <c r="CQ38600" s="111"/>
      <c r="EF38600"/>
      <c r="EG38600"/>
      <c r="EH38600"/>
      <c r="EI38600"/>
      <c r="EJ38600"/>
      <c r="EK38600"/>
    </row>
    <row r="38601" spans="1:141" s="116" customFormat="1">
      <c r="A38601" s="136"/>
      <c r="CM38601" s="111"/>
      <c r="CQ38601" s="111"/>
      <c r="EF38601"/>
      <c r="EG38601"/>
      <c r="EH38601"/>
      <c r="EI38601"/>
      <c r="EJ38601"/>
      <c r="EK38601"/>
    </row>
    <row r="38602" spans="1:141" s="116" customFormat="1">
      <c r="A38602" s="136"/>
      <c r="CM38602" s="111"/>
      <c r="CQ38602" s="111"/>
      <c r="EF38602"/>
      <c r="EG38602"/>
      <c r="EH38602"/>
      <c r="EI38602"/>
      <c r="EJ38602"/>
      <c r="EK38602"/>
    </row>
    <row r="38603" spans="1:141" s="116" customFormat="1">
      <c r="A38603" s="136"/>
      <c r="CM38603" s="111"/>
      <c r="CQ38603" s="111"/>
      <c r="EF38603"/>
      <c r="EG38603"/>
      <c r="EH38603"/>
      <c r="EI38603"/>
      <c r="EJ38603"/>
      <c r="EK38603"/>
    </row>
    <row r="38604" spans="1:141" s="116" customFormat="1">
      <c r="A38604" s="136"/>
      <c r="CM38604" s="111"/>
      <c r="CQ38604" s="111"/>
      <c r="EF38604"/>
      <c r="EG38604"/>
      <c r="EH38604"/>
      <c r="EI38604"/>
      <c r="EJ38604"/>
      <c r="EK38604"/>
    </row>
    <row r="38605" spans="1:141" s="116" customFormat="1">
      <c r="A38605" s="136"/>
      <c r="CM38605" s="111"/>
      <c r="CQ38605" s="111"/>
      <c r="EF38605"/>
      <c r="EG38605"/>
      <c r="EH38605"/>
      <c r="EI38605"/>
      <c r="EJ38605"/>
      <c r="EK38605"/>
    </row>
    <row r="38606" spans="1:141" s="116" customFormat="1">
      <c r="A38606" s="136"/>
      <c r="CM38606" s="111"/>
      <c r="CQ38606" s="111"/>
      <c r="EF38606"/>
      <c r="EG38606"/>
      <c r="EH38606"/>
      <c r="EI38606"/>
      <c r="EJ38606"/>
      <c r="EK38606"/>
    </row>
    <row r="38607" spans="1:141" s="116" customFormat="1">
      <c r="A38607" s="136"/>
      <c r="CM38607" s="111"/>
      <c r="CQ38607" s="111"/>
      <c r="EF38607"/>
      <c r="EG38607"/>
      <c r="EH38607"/>
      <c r="EI38607"/>
      <c r="EJ38607"/>
      <c r="EK38607"/>
    </row>
    <row r="38608" spans="1:141" s="116" customFormat="1">
      <c r="A38608" s="136"/>
      <c r="CM38608" s="111"/>
      <c r="CQ38608" s="111"/>
      <c r="EF38608"/>
      <c r="EG38608"/>
      <c r="EH38608"/>
      <c r="EI38608"/>
      <c r="EJ38608"/>
      <c r="EK38608"/>
    </row>
    <row r="38609" spans="1:141" s="116" customFormat="1">
      <c r="A38609" s="136"/>
      <c r="CM38609" s="111"/>
      <c r="CQ38609" s="111"/>
      <c r="EF38609"/>
      <c r="EG38609"/>
      <c r="EH38609"/>
      <c r="EI38609"/>
      <c r="EJ38609"/>
      <c r="EK38609"/>
    </row>
    <row r="38610" spans="1:141" s="116" customFormat="1">
      <c r="A38610" s="136"/>
      <c r="CM38610" s="111"/>
      <c r="CQ38610" s="111"/>
      <c r="EF38610"/>
      <c r="EG38610"/>
      <c r="EH38610"/>
      <c r="EI38610"/>
      <c r="EJ38610"/>
      <c r="EK38610"/>
    </row>
    <row r="38611" spans="1:141" s="116" customFormat="1">
      <c r="A38611" s="136"/>
      <c r="CM38611" s="111"/>
      <c r="CQ38611" s="111"/>
      <c r="EF38611"/>
      <c r="EG38611"/>
      <c r="EH38611"/>
      <c r="EI38611"/>
      <c r="EJ38611"/>
      <c r="EK38611"/>
    </row>
    <row r="38612" spans="1:141" s="116" customFormat="1">
      <c r="A38612" s="136"/>
      <c r="CM38612" s="111"/>
      <c r="CQ38612" s="111"/>
      <c r="EF38612"/>
      <c r="EG38612"/>
      <c r="EH38612"/>
      <c r="EI38612"/>
      <c r="EJ38612"/>
      <c r="EK38612"/>
    </row>
    <row r="38613" spans="1:141" s="116" customFormat="1">
      <c r="A38613" s="136"/>
      <c r="CM38613" s="111"/>
      <c r="CQ38613" s="111"/>
      <c r="EF38613"/>
      <c r="EG38613"/>
      <c r="EH38613"/>
      <c r="EI38613"/>
      <c r="EJ38613"/>
      <c r="EK38613"/>
    </row>
    <row r="38614" spans="1:141" s="116" customFormat="1">
      <c r="A38614" s="136"/>
      <c r="CM38614" s="111"/>
      <c r="CQ38614" s="111"/>
      <c r="EF38614"/>
      <c r="EG38614"/>
      <c r="EH38614"/>
      <c r="EI38614"/>
      <c r="EJ38614"/>
      <c r="EK38614"/>
    </row>
    <row r="38615" spans="1:141" s="116" customFormat="1">
      <c r="A38615" s="136"/>
      <c r="CM38615" s="111"/>
      <c r="CQ38615" s="111"/>
      <c r="EF38615"/>
      <c r="EG38615"/>
      <c r="EH38615"/>
      <c r="EI38615"/>
      <c r="EJ38615"/>
      <c r="EK38615"/>
    </row>
    <row r="38616" spans="1:141" s="116" customFormat="1">
      <c r="A38616" s="136"/>
      <c r="CM38616" s="111"/>
      <c r="CQ38616" s="111"/>
      <c r="EF38616"/>
      <c r="EG38616"/>
      <c r="EH38616"/>
      <c r="EI38616"/>
      <c r="EJ38616"/>
      <c r="EK38616"/>
    </row>
    <row r="38617" spans="1:141" s="116" customFormat="1">
      <c r="A38617" s="136"/>
      <c r="CM38617" s="111"/>
      <c r="CQ38617" s="111"/>
      <c r="EF38617"/>
      <c r="EG38617"/>
      <c r="EH38617"/>
      <c r="EI38617"/>
      <c r="EJ38617"/>
      <c r="EK38617"/>
    </row>
    <row r="38618" spans="1:141" s="116" customFormat="1">
      <c r="A38618" s="136"/>
      <c r="CM38618" s="111"/>
      <c r="CQ38618" s="111"/>
      <c r="EF38618"/>
      <c r="EG38618"/>
      <c r="EH38618"/>
      <c r="EI38618"/>
      <c r="EJ38618"/>
      <c r="EK38618"/>
    </row>
    <row r="38619" spans="1:141" s="116" customFormat="1">
      <c r="A38619" s="136"/>
      <c r="CM38619" s="111"/>
      <c r="CQ38619" s="111"/>
      <c r="EF38619"/>
      <c r="EG38619"/>
      <c r="EH38619"/>
      <c r="EI38619"/>
      <c r="EJ38619"/>
      <c r="EK38619"/>
    </row>
    <row r="38620" spans="1:141" s="116" customFormat="1">
      <c r="A38620" s="136"/>
      <c r="CM38620" s="111"/>
      <c r="CQ38620" s="111"/>
      <c r="EF38620"/>
      <c r="EG38620"/>
      <c r="EH38620"/>
      <c r="EI38620"/>
      <c r="EJ38620"/>
      <c r="EK38620"/>
    </row>
    <row r="38621" spans="1:141" s="116" customFormat="1">
      <c r="A38621" s="136"/>
      <c r="CM38621" s="111"/>
      <c r="CQ38621" s="111"/>
      <c r="EF38621"/>
      <c r="EG38621"/>
      <c r="EH38621"/>
      <c r="EI38621"/>
      <c r="EJ38621"/>
      <c r="EK38621"/>
    </row>
    <row r="38622" spans="1:141" s="116" customFormat="1">
      <c r="A38622" s="136"/>
      <c r="CM38622" s="111"/>
      <c r="CQ38622" s="111"/>
      <c r="EF38622"/>
      <c r="EG38622"/>
      <c r="EH38622"/>
      <c r="EI38622"/>
      <c r="EJ38622"/>
      <c r="EK38622"/>
    </row>
    <row r="38623" spans="1:141" s="116" customFormat="1">
      <c r="A38623" s="136"/>
      <c r="CM38623" s="111"/>
      <c r="CQ38623" s="111"/>
      <c r="EF38623"/>
      <c r="EG38623"/>
      <c r="EH38623"/>
      <c r="EI38623"/>
      <c r="EJ38623"/>
      <c r="EK38623"/>
    </row>
    <row r="38624" spans="1:141" s="116" customFormat="1">
      <c r="A38624" s="136"/>
      <c r="CM38624" s="111"/>
      <c r="CQ38624" s="111"/>
      <c r="EF38624"/>
      <c r="EG38624"/>
      <c r="EH38624"/>
      <c r="EI38624"/>
      <c r="EJ38624"/>
      <c r="EK38624"/>
    </row>
    <row r="38625" spans="1:141" s="116" customFormat="1">
      <c r="A38625" s="136"/>
      <c r="CM38625" s="111"/>
      <c r="CQ38625" s="111"/>
      <c r="EF38625"/>
      <c r="EG38625"/>
      <c r="EH38625"/>
      <c r="EI38625"/>
      <c r="EJ38625"/>
      <c r="EK38625"/>
    </row>
    <row r="38626" spans="1:141" s="116" customFormat="1">
      <c r="A38626" s="136"/>
      <c r="CM38626" s="111"/>
      <c r="CQ38626" s="111"/>
      <c r="EF38626"/>
      <c r="EG38626"/>
      <c r="EH38626"/>
      <c r="EI38626"/>
      <c r="EJ38626"/>
      <c r="EK38626"/>
    </row>
    <row r="38627" spans="1:141" s="116" customFormat="1">
      <c r="A38627" s="136"/>
      <c r="CM38627" s="111"/>
      <c r="CQ38627" s="111"/>
      <c r="EF38627"/>
      <c r="EG38627"/>
      <c r="EH38627"/>
      <c r="EI38627"/>
      <c r="EJ38627"/>
      <c r="EK38627"/>
    </row>
    <row r="38628" spans="1:141" s="116" customFormat="1">
      <c r="A38628" s="136"/>
      <c r="CM38628" s="111"/>
      <c r="CQ38628" s="111"/>
      <c r="EF38628"/>
      <c r="EG38628"/>
      <c r="EH38628"/>
      <c r="EI38628"/>
      <c r="EJ38628"/>
      <c r="EK38628"/>
    </row>
    <row r="38629" spans="1:141" s="116" customFormat="1">
      <c r="A38629" s="136"/>
      <c r="CM38629" s="111"/>
      <c r="CQ38629" s="111"/>
      <c r="EF38629"/>
      <c r="EG38629"/>
      <c r="EH38629"/>
      <c r="EI38629"/>
      <c r="EJ38629"/>
      <c r="EK38629"/>
    </row>
    <row r="38630" spans="1:141" s="116" customFormat="1">
      <c r="A38630" s="136"/>
      <c r="CM38630" s="111"/>
      <c r="CQ38630" s="111"/>
      <c r="EF38630"/>
      <c r="EG38630"/>
      <c r="EH38630"/>
      <c r="EI38630"/>
      <c r="EJ38630"/>
      <c r="EK38630"/>
    </row>
    <row r="38631" spans="1:141" s="116" customFormat="1">
      <c r="A38631" s="136"/>
      <c r="CM38631" s="111"/>
      <c r="CQ38631" s="111"/>
      <c r="EF38631"/>
      <c r="EG38631"/>
      <c r="EH38631"/>
      <c r="EI38631"/>
      <c r="EJ38631"/>
      <c r="EK38631"/>
    </row>
    <row r="38632" spans="1:141" s="116" customFormat="1">
      <c r="A38632" s="136"/>
      <c r="CM38632" s="111"/>
      <c r="CQ38632" s="111"/>
      <c r="EF38632"/>
      <c r="EG38632"/>
      <c r="EH38632"/>
      <c r="EI38632"/>
      <c r="EJ38632"/>
      <c r="EK38632"/>
    </row>
    <row r="38633" spans="1:141" s="116" customFormat="1">
      <c r="A38633" s="136"/>
      <c r="CM38633" s="111"/>
      <c r="CQ38633" s="111"/>
      <c r="EF38633"/>
      <c r="EG38633"/>
      <c r="EH38633"/>
      <c r="EI38633"/>
      <c r="EJ38633"/>
      <c r="EK38633"/>
    </row>
    <row r="38634" spans="1:141" s="116" customFormat="1">
      <c r="A38634" s="136"/>
      <c r="CM38634" s="111"/>
      <c r="CQ38634" s="111"/>
      <c r="EF38634"/>
      <c r="EG38634"/>
      <c r="EH38634"/>
      <c r="EI38634"/>
      <c r="EJ38634"/>
      <c r="EK38634"/>
    </row>
    <row r="38635" spans="1:141" s="116" customFormat="1">
      <c r="A38635" s="136"/>
      <c r="CM38635" s="111"/>
      <c r="CQ38635" s="111"/>
      <c r="EF38635"/>
      <c r="EG38635"/>
      <c r="EH38635"/>
      <c r="EI38635"/>
      <c r="EJ38635"/>
      <c r="EK38635"/>
    </row>
    <row r="38636" spans="1:141" s="116" customFormat="1">
      <c r="A38636" s="136"/>
      <c r="CM38636" s="111"/>
      <c r="CQ38636" s="111"/>
      <c r="EF38636"/>
      <c r="EG38636"/>
      <c r="EH38636"/>
      <c r="EI38636"/>
      <c r="EJ38636"/>
      <c r="EK38636"/>
    </row>
    <row r="38637" spans="1:141" s="116" customFormat="1">
      <c r="A38637" s="136"/>
      <c r="CM38637" s="111"/>
      <c r="CQ38637" s="111"/>
      <c r="EF38637"/>
      <c r="EG38637"/>
      <c r="EH38637"/>
      <c r="EI38637"/>
      <c r="EJ38637"/>
      <c r="EK38637"/>
    </row>
    <row r="38638" spans="1:141" s="116" customFormat="1">
      <c r="A38638" s="136"/>
      <c r="CM38638" s="111"/>
      <c r="CQ38638" s="111"/>
      <c r="EF38638"/>
      <c r="EG38638"/>
      <c r="EH38638"/>
      <c r="EI38638"/>
      <c r="EJ38638"/>
      <c r="EK38638"/>
    </row>
    <row r="38639" spans="1:141" s="116" customFormat="1">
      <c r="A38639" s="136"/>
      <c r="CM38639" s="111"/>
      <c r="CQ38639" s="111"/>
      <c r="EF38639"/>
      <c r="EG38639"/>
      <c r="EH38639"/>
      <c r="EI38639"/>
      <c r="EJ38639"/>
      <c r="EK38639"/>
    </row>
    <row r="38640" spans="1:141" s="116" customFormat="1">
      <c r="A38640" s="136"/>
      <c r="CM38640" s="111"/>
      <c r="CQ38640" s="111"/>
      <c r="EF38640"/>
      <c r="EG38640"/>
      <c r="EH38640"/>
      <c r="EI38640"/>
      <c r="EJ38640"/>
      <c r="EK38640"/>
    </row>
    <row r="38641" spans="1:141" s="116" customFormat="1">
      <c r="A38641" s="136"/>
      <c r="CM38641" s="111"/>
      <c r="CQ38641" s="111"/>
      <c r="EF38641"/>
      <c r="EG38641"/>
      <c r="EH38641"/>
      <c r="EI38641"/>
      <c r="EJ38641"/>
      <c r="EK38641"/>
    </row>
    <row r="38642" spans="1:141" s="116" customFormat="1">
      <c r="A38642" s="136"/>
      <c r="CM38642" s="111"/>
      <c r="CQ38642" s="111"/>
      <c r="EF38642"/>
      <c r="EG38642"/>
      <c r="EH38642"/>
      <c r="EI38642"/>
      <c r="EJ38642"/>
      <c r="EK38642"/>
    </row>
    <row r="38643" spans="1:141" s="116" customFormat="1">
      <c r="A38643" s="136"/>
      <c r="CM38643" s="111"/>
      <c r="CQ38643" s="111"/>
      <c r="EF38643"/>
      <c r="EG38643"/>
      <c r="EH38643"/>
      <c r="EI38643"/>
      <c r="EJ38643"/>
      <c r="EK38643"/>
    </row>
    <row r="38644" spans="1:141" s="116" customFormat="1">
      <c r="A38644" s="136"/>
      <c r="CM38644" s="111"/>
      <c r="CQ38644" s="111"/>
      <c r="EF38644"/>
      <c r="EG38644"/>
      <c r="EH38644"/>
      <c r="EI38644"/>
      <c r="EJ38644"/>
      <c r="EK38644"/>
    </row>
    <row r="38645" spans="1:141" s="116" customFormat="1">
      <c r="A38645" s="136"/>
      <c r="CM38645" s="111"/>
      <c r="CQ38645" s="111"/>
      <c r="EF38645"/>
      <c r="EG38645"/>
      <c r="EH38645"/>
      <c r="EI38645"/>
      <c r="EJ38645"/>
      <c r="EK38645"/>
    </row>
    <row r="38646" spans="1:141" s="116" customFormat="1">
      <c r="A38646" s="136"/>
      <c r="CM38646" s="111"/>
      <c r="CQ38646" s="111"/>
      <c r="EF38646"/>
      <c r="EG38646"/>
      <c r="EH38646"/>
      <c r="EI38646"/>
      <c r="EJ38646"/>
      <c r="EK38646"/>
    </row>
    <row r="38647" spans="1:141" s="116" customFormat="1">
      <c r="A38647" s="136"/>
      <c r="CM38647" s="111"/>
      <c r="CQ38647" s="111"/>
      <c r="EF38647"/>
      <c r="EG38647"/>
      <c r="EH38647"/>
      <c r="EI38647"/>
      <c r="EJ38647"/>
      <c r="EK38647"/>
    </row>
    <row r="38648" spans="1:141" s="116" customFormat="1">
      <c r="A38648" s="136"/>
      <c r="CM38648" s="111"/>
      <c r="CQ38648" s="111"/>
      <c r="EF38648"/>
      <c r="EG38648"/>
      <c r="EH38648"/>
      <c r="EI38648"/>
      <c r="EJ38648"/>
      <c r="EK38648"/>
    </row>
    <row r="38649" spans="1:141" s="116" customFormat="1">
      <c r="A38649" s="136"/>
      <c r="CM38649" s="111"/>
      <c r="CQ38649" s="111"/>
      <c r="EF38649"/>
      <c r="EG38649"/>
      <c r="EH38649"/>
      <c r="EI38649"/>
      <c r="EJ38649"/>
      <c r="EK38649"/>
    </row>
    <row r="38650" spans="1:141" s="116" customFormat="1">
      <c r="A38650" s="136"/>
      <c r="CM38650" s="111"/>
      <c r="CQ38650" s="111"/>
      <c r="EF38650"/>
      <c r="EG38650"/>
      <c r="EH38650"/>
      <c r="EI38650"/>
      <c r="EJ38650"/>
      <c r="EK38650"/>
    </row>
    <row r="38651" spans="1:141" s="116" customFormat="1">
      <c r="A38651" s="136"/>
      <c r="CM38651" s="111"/>
      <c r="CQ38651" s="111"/>
      <c r="EF38651"/>
      <c r="EG38651"/>
      <c r="EH38651"/>
      <c r="EI38651"/>
      <c r="EJ38651"/>
      <c r="EK38651"/>
    </row>
    <row r="38652" spans="1:141" s="116" customFormat="1">
      <c r="A38652" s="136"/>
      <c r="CM38652" s="111"/>
      <c r="CQ38652" s="111"/>
      <c r="EF38652"/>
      <c r="EG38652"/>
      <c r="EH38652"/>
      <c r="EI38652"/>
      <c r="EJ38652"/>
      <c r="EK38652"/>
    </row>
    <row r="38653" spans="1:141" s="116" customFormat="1">
      <c r="A38653" s="136"/>
      <c r="CM38653" s="111"/>
      <c r="CQ38653" s="111"/>
      <c r="EF38653"/>
      <c r="EG38653"/>
      <c r="EH38653"/>
      <c r="EI38653"/>
      <c r="EJ38653"/>
      <c r="EK38653"/>
    </row>
    <row r="38654" spans="1:141" s="116" customFormat="1">
      <c r="A38654" s="136"/>
      <c r="CM38654" s="111"/>
      <c r="CQ38654" s="111"/>
      <c r="EF38654"/>
      <c r="EG38654"/>
      <c r="EH38654"/>
      <c r="EI38654"/>
      <c r="EJ38654"/>
      <c r="EK38654"/>
    </row>
    <row r="38655" spans="1:141" s="116" customFormat="1">
      <c r="A38655" s="136"/>
      <c r="CM38655" s="111"/>
      <c r="CQ38655" s="111"/>
      <c r="EF38655"/>
      <c r="EG38655"/>
      <c r="EH38655"/>
      <c r="EI38655"/>
      <c r="EJ38655"/>
      <c r="EK38655"/>
    </row>
    <row r="38656" spans="1:141" s="116" customFormat="1">
      <c r="A38656" s="136"/>
      <c r="CM38656" s="111"/>
      <c r="CQ38656" s="111"/>
      <c r="EF38656"/>
      <c r="EG38656"/>
      <c r="EH38656"/>
      <c r="EI38656"/>
      <c r="EJ38656"/>
      <c r="EK38656"/>
    </row>
    <row r="38657" spans="1:141" s="116" customFormat="1">
      <c r="A38657" s="136"/>
      <c r="CM38657" s="111"/>
      <c r="CQ38657" s="111"/>
      <c r="EF38657"/>
      <c r="EG38657"/>
      <c r="EH38657"/>
      <c r="EI38657"/>
      <c r="EJ38657"/>
      <c r="EK38657"/>
    </row>
    <row r="38658" spans="1:141" s="116" customFormat="1">
      <c r="A38658" s="136"/>
      <c r="CM38658" s="111"/>
      <c r="CQ38658" s="111"/>
      <c r="EF38658"/>
      <c r="EG38658"/>
      <c r="EH38658"/>
      <c r="EI38658"/>
      <c r="EJ38658"/>
      <c r="EK38658"/>
    </row>
    <row r="38659" spans="1:141" s="116" customFormat="1">
      <c r="A38659" s="136"/>
      <c r="CM38659" s="111"/>
      <c r="CQ38659" s="111"/>
      <c r="EF38659"/>
      <c r="EG38659"/>
      <c r="EH38659"/>
      <c r="EI38659"/>
      <c r="EJ38659"/>
      <c r="EK38659"/>
    </row>
    <row r="38660" spans="1:141" s="116" customFormat="1">
      <c r="A38660" s="136"/>
      <c r="CM38660" s="111"/>
      <c r="CQ38660" s="111"/>
      <c r="EF38660"/>
      <c r="EG38660"/>
      <c r="EH38660"/>
      <c r="EI38660"/>
      <c r="EJ38660"/>
      <c r="EK38660"/>
    </row>
    <row r="38661" spans="1:141" s="116" customFormat="1">
      <c r="A38661" s="136"/>
      <c r="CM38661" s="111"/>
      <c r="CQ38661" s="111"/>
      <c r="EF38661"/>
      <c r="EG38661"/>
      <c r="EH38661"/>
      <c r="EI38661"/>
      <c r="EJ38661"/>
      <c r="EK38661"/>
    </row>
    <row r="38662" spans="1:141" s="116" customFormat="1">
      <c r="A38662" s="136"/>
      <c r="CM38662" s="111"/>
      <c r="CQ38662" s="111"/>
      <c r="EF38662"/>
      <c r="EG38662"/>
      <c r="EH38662"/>
      <c r="EI38662"/>
      <c r="EJ38662"/>
      <c r="EK38662"/>
    </row>
    <row r="38663" spans="1:141" s="116" customFormat="1">
      <c r="A38663" s="136"/>
      <c r="CM38663" s="111"/>
      <c r="CQ38663" s="111"/>
      <c r="EF38663"/>
      <c r="EG38663"/>
      <c r="EH38663"/>
      <c r="EI38663"/>
      <c r="EJ38663"/>
      <c r="EK38663"/>
    </row>
    <row r="38664" spans="1:141" s="116" customFormat="1">
      <c r="A38664" s="136"/>
      <c r="CM38664" s="111"/>
      <c r="CQ38664" s="111"/>
      <c r="EF38664"/>
      <c r="EG38664"/>
      <c r="EH38664"/>
      <c r="EI38664"/>
      <c r="EJ38664"/>
      <c r="EK38664"/>
    </row>
    <row r="38665" spans="1:141" s="116" customFormat="1">
      <c r="A38665" s="136"/>
      <c r="CM38665" s="111"/>
      <c r="CQ38665" s="111"/>
      <c r="EF38665"/>
      <c r="EG38665"/>
      <c r="EH38665"/>
      <c r="EI38665"/>
      <c r="EJ38665"/>
      <c r="EK38665"/>
    </row>
    <row r="38666" spans="1:141" s="116" customFormat="1">
      <c r="A38666" s="136"/>
      <c r="CM38666" s="111"/>
      <c r="CQ38666" s="111"/>
      <c r="EF38666"/>
      <c r="EG38666"/>
      <c r="EH38666"/>
      <c r="EI38666"/>
      <c r="EJ38666"/>
      <c r="EK38666"/>
    </row>
    <row r="38667" spans="1:141" s="116" customFormat="1">
      <c r="A38667" s="136"/>
      <c r="CM38667" s="111"/>
      <c r="CQ38667" s="111"/>
      <c r="EF38667"/>
      <c r="EG38667"/>
      <c r="EH38667"/>
      <c r="EI38667"/>
      <c r="EJ38667"/>
      <c r="EK38667"/>
    </row>
    <row r="38668" spans="1:141" s="116" customFormat="1">
      <c r="A38668" s="136"/>
      <c r="CM38668" s="111"/>
      <c r="CQ38668" s="111"/>
      <c r="EF38668"/>
      <c r="EG38668"/>
      <c r="EH38668"/>
      <c r="EI38668"/>
      <c r="EJ38668"/>
      <c r="EK38668"/>
    </row>
    <row r="38669" spans="1:141" s="116" customFormat="1">
      <c r="A38669" s="136"/>
      <c r="CM38669" s="111"/>
      <c r="CQ38669" s="111"/>
      <c r="EF38669"/>
      <c r="EG38669"/>
      <c r="EH38669"/>
      <c r="EI38669"/>
      <c r="EJ38669"/>
      <c r="EK38669"/>
    </row>
    <row r="38670" spans="1:141" s="116" customFormat="1">
      <c r="A38670" s="136"/>
      <c r="CM38670" s="111"/>
      <c r="CQ38670" s="111"/>
      <c r="EF38670"/>
      <c r="EG38670"/>
      <c r="EH38670"/>
      <c r="EI38670"/>
      <c r="EJ38670"/>
      <c r="EK38670"/>
    </row>
    <row r="38671" spans="1:141" s="116" customFormat="1">
      <c r="A38671" s="136"/>
      <c r="CM38671" s="111"/>
      <c r="CQ38671" s="111"/>
      <c r="EF38671"/>
      <c r="EG38671"/>
      <c r="EH38671"/>
      <c r="EI38671"/>
      <c r="EJ38671"/>
      <c r="EK38671"/>
    </row>
    <row r="38672" spans="1:141" s="116" customFormat="1">
      <c r="A38672" s="136"/>
      <c r="CM38672" s="111"/>
      <c r="CQ38672" s="111"/>
      <c r="EF38672"/>
      <c r="EG38672"/>
      <c r="EH38672"/>
      <c r="EI38672"/>
      <c r="EJ38672"/>
      <c r="EK38672"/>
    </row>
    <row r="38673" spans="1:141" s="116" customFormat="1">
      <c r="A38673" s="136"/>
      <c r="CM38673" s="111"/>
      <c r="CQ38673" s="111"/>
      <c r="EF38673"/>
      <c r="EG38673"/>
      <c r="EH38673"/>
      <c r="EI38673"/>
      <c r="EJ38673"/>
      <c r="EK38673"/>
    </row>
    <row r="38674" spans="1:141" s="116" customFormat="1">
      <c r="A38674" s="136"/>
      <c r="CM38674" s="111"/>
      <c r="CQ38674" s="111"/>
      <c r="EF38674"/>
      <c r="EG38674"/>
      <c r="EH38674"/>
      <c r="EI38674"/>
      <c r="EJ38674"/>
      <c r="EK38674"/>
    </row>
    <row r="38675" spans="1:141" s="116" customFormat="1">
      <c r="A38675" s="136"/>
      <c r="CM38675" s="111"/>
      <c r="CQ38675" s="111"/>
      <c r="EF38675"/>
      <c r="EG38675"/>
      <c r="EH38675"/>
      <c r="EI38675"/>
      <c r="EJ38675"/>
      <c r="EK38675"/>
    </row>
    <row r="38676" spans="1:141" s="116" customFormat="1">
      <c r="A38676" s="136"/>
      <c r="CM38676" s="111"/>
      <c r="CQ38676" s="111"/>
      <c r="EF38676"/>
      <c r="EG38676"/>
      <c r="EH38676"/>
      <c r="EI38676"/>
      <c r="EJ38676"/>
      <c r="EK38676"/>
    </row>
    <row r="38677" spans="1:141" s="116" customFormat="1">
      <c r="A38677" s="136"/>
      <c r="CM38677" s="111"/>
      <c r="CQ38677" s="111"/>
      <c r="EF38677"/>
      <c r="EG38677"/>
      <c r="EH38677"/>
      <c r="EI38677"/>
      <c r="EJ38677"/>
      <c r="EK38677"/>
    </row>
    <row r="38678" spans="1:141" s="116" customFormat="1">
      <c r="A38678" s="136"/>
      <c r="CM38678" s="111"/>
      <c r="CQ38678" s="111"/>
      <c r="EF38678"/>
      <c r="EG38678"/>
      <c r="EH38678"/>
      <c r="EI38678"/>
      <c r="EJ38678"/>
      <c r="EK38678"/>
    </row>
    <row r="38679" spans="1:141" s="116" customFormat="1">
      <c r="A38679" s="136"/>
      <c r="CM38679" s="111"/>
      <c r="CQ38679" s="111"/>
      <c r="EF38679"/>
      <c r="EG38679"/>
      <c r="EH38679"/>
      <c r="EI38679"/>
      <c r="EJ38679"/>
      <c r="EK38679"/>
    </row>
    <row r="38680" spans="1:141" s="116" customFormat="1">
      <c r="A38680" s="136"/>
      <c r="CM38680" s="111"/>
      <c r="CQ38680" s="111"/>
      <c r="EF38680"/>
      <c r="EG38680"/>
      <c r="EH38680"/>
      <c r="EI38680"/>
      <c r="EJ38680"/>
      <c r="EK38680"/>
    </row>
    <row r="38681" spans="1:141" s="116" customFormat="1">
      <c r="A38681" s="136"/>
      <c r="CM38681" s="111"/>
      <c r="CQ38681" s="111"/>
      <c r="EF38681"/>
      <c r="EG38681"/>
      <c r="EH38681"/>
      <c r="EI38681"/>
      <c r="EJ38681"/>
      <c r="EK38681"/>
    </row>
    <row r="38682" spans="1:141" s="116" customFormat="1">
      <c r="A38682" s="136"/>
      <c r="CM38682" s="111"/>
      <c r="CQ38682" s="111"/>
      <c r="EF38682"/>
      <c r="EG38682"/>
      <c r="EH38682"/>
      <c r="EI38682"/>
      <c r="EJ38682"/>
      <c r="EK38682"/>
    </row>
    <row r="38683" spans="1:141" s="116" customFormat="1">
      <c r="A38683" s="136"/>
      <c r="CM38683" s="111"/>
      <c r="CQ38683" s="111"/>
      <c r="EF38683"/>
      <c r="EG38683"/>
      <c r="EH38683"/>
      <c r="EI38683"/>
      <c r="EJ38683"/>
      <c r="EK38683"/>
    </row>
    <row r="38684" spans="1:141" s="116" customFormat="1">
      <c r="A38684" s="136"/>
      <c r="CM38684" s="111"/>
      <c r="CQ38684" s="111"/>
      <c r="EF38684"/>
      <c r="EG38684"/>
      <c r="EH38684"/>
      <c r="EI38684"/>
      <c r="EJ38684"/>
      <c r="EK38684"/>
    </row>
    <row r="38685" spans="1:141" s="116" customFormat="1">
      <c r="A38685" s="136"/>
      <c r="CM38685" s="111"/>
      <c r="CQ38685" s="111"/>
      <c r="EF38685"/>
      <c r="EG38685"/>
      <c r="EH38685"/>
      <c r="EI38685"/>
      <c r="EJ38685"/>
      <c r="EK38685"/>
    </row>
    <row r="38686" spans="1:141" s="116" customFormat="1">
      <c r="A38686" s="136"/>
      <c r="CM38686" s="111"/>
      <c r="CQ38686" s="111"/>
      <c r="EF38686"/>
      <c r="EG38686"/>
      <c r="EH38686"/>
      <c r="EI38686"/>
      <c r="EJ38686"/>
      <c r="EK38686"/>
    </row>
    <row r="38687" spans="1:141" s="116" customFormat="1">
      <c r="A38687" s="136"/>
      <c r="CM38687" s="111"/>
      <c r="CQ38687" s="111"/>
      <c r="EF38687"/>
      <c r="EG38687"/>
      <c r="EH38687"/>
      <c r="EI38687"/>
      <c r="EJ38687"/>
      <c r="EK38687"/>
    </row>
    <row r="38688" spans="1:141" s="116" customFormat="1">
      <c r="A38688" s="136"/>
      <c r="CM38688" s="111"/>
      <c r="CQ38688" s="111"/>
      <c r="EF38688"/>
      <c r="EG38688"/>
      <c r="EH38688"/>
      <c r="EI38688"/>
      <c r="EJ38688"/>
      <c r="EK38688"/>
    </row>
    <row r="38689" spans="1:141" s="116" customFormat="1">
      <c r="A38689" s="136"/>
      <c r="CM38689" s="111"/>
      <c r="CQ38689" s="111"/>
      <c r="EF38689"/>
      <c r="EG38689"/>
      <c r="EH38689"/>
      <c r="EI38689"/>
      <c r="EJ38689"/>
      <c r="EK38689"/>
    </row>
    <row r="38690" spans="1:141" s="116" customFormat="1">
      <c r="A38690" s="136"/>
      <c r="CM38690" s="111"/>
      <c r="CQ38690" s="111"/>
      <c r="EF38690"/>
      <c r="EG38690"/>
      <c r="EH38690"/>
      <c r="EI38690"/>
      <c r="EJ38690"/>
      <c r="EK38690"/>
    </row>
    <row r="38691" spans="1:141" s="116" customFormat="1">
      <c r="A38691" s="136"/>
      <c r="CM38691" s="111"/>
      <c r="CQ38691" s="111"/>
      <c r="EF38691"/>
      <c r="EG38691"/>
      <c r="EH38691"/>
      <c r="EI38691"/>
      <c r="EJ38691"/>
      <c r="EK38691"/>
    </row>
    <row r="38692" spans="1:141" s="116" customFormat="1">
      <c r="A38692" s="136"/>
      <c r="CM38692" s="111"/>
      <c r="CQ38692" s="111"/>
      <c r="EF38692"/>
      <c r="EG38692"/>
      <c r="EH38692"/>
      <c r="EI38692"/>
      <c r="EJ38692"/>
      <c r="EK38692"/>
    </row>
    <row r="38693" spans="1:141" s="116" customFormat="1">
      <c r="A38693" s="136"/>
      <c r="CM38693" s="111"/>
      <c r="CQ38693" s="111"/>
      <c r="EF38693"/>
      <c r="EG38693"/>
      <c r="EH38693"/>
      <c r="EI38693"/>
      <c r="EJ38693"/>
      <c r="EK38693"/>
    </row>
    <row r="38694" spans="1:141" s="116" customFormat="1">
      <c r="A38694" s="136"/>
      <c r="CM38694" s="111"/>
      <c r="CQ38694" s="111"/>
      <c r="EF38694"/>
      <c r="EG38694"/>
      <c r="EH38694"/>
      <c r="EI38694"/>
      <c r="EJ38694"/>
      <c r="EK38694"/>
    </row>
    <row r="38695" spans="1:141" s="116" customFormat="1">
      <c r="A38695" s="136"/>
      <c r="CM38695" s="111"/>
      <c r="CQ38695" s="111"/>
      <c r="EF38695"/>
      <c r="EG38695"/>
      <c r="EH38695"/>
      <c r="EI38695"/>
      <c r="EJ38695"/>
      <c r="EK38695"/>
    </row>
    <row r="38696" spans="1:141" s="116" customFormat="1">
      <c r="A38696" s="136"/>
      <c r="CM38696" s="111"/>
      <c r="CQ38696" s="111"/>
      <c r="EF38696"/>
      <c r="EG38696"/>
      <c r="EH38696"/>
      <c r="EI38696"/>
      <c r="EJ38696"/>
      <c r="EK38696"/>
    </row>
    <row r="38697" spans="1:141" s="116" customFormat="1">
      <c r="A38697" s="136"/>
      <c r="CM38697" s="111"/>
      <c r="CQ38697" s="111"/>
      <c r="EF38697"/>
      <c r="EG38697"/>
      <c r="EH38697"/>
      <c r="EI38697"/>
      <c r="EJ38697"/>
      <c r="EK38697"/>
    </row>
    <row r="38698" spans="1:141" s="116" customFormat="1">
      <c r="A38698" s="136"/>
      <c r="CM38698" s="111"/>
      <c r="CQ38698" s="111"/>
      <c r="EF38698"/>
      <c r="EG38698"/>
      <c r="EH38698"/>
      <c r="EI38698"/>
      <c r="EJ38698"/>
      <c r="EK38698"/>
    </row>
    <row r="38699" spans="1:141" s="116" customFormat="1">
      <c r="A38699" s="136"/>
      <c r="CM38699" s="111"/>
      <c r="CQ38699" s="111"/>
      <c r="EF38699"/>
      <c r="EG38699"/>
      <c r="EH38699"/>
      <c r="EI38699"/>
      <c r="EJ38699"/>
      <c r="EK38699"/>
    </row>
    <row r="38700" spans="1:141" s="116" customFormat="1">
      <c r="A38700" s="136"/>
      <c r="CM38700" s="111"/>
      <c r="CQ38700" s="111"/>
      <c r="EF38700"/>
      <c r="EG38700"/>
      <c r="EH38700"/>
      <c r="EI38700"/>
      <c r="EJ38700"/>
      <c r="EK38700"/>
    </row>
    <row r="38701" spans="1:141" s="116" customFormat="1">
      <c r="A38701" s="136"/>
      <c r="CM38701" s="111"/>
      <c r="CQ38701" s="111"/>
      <c r="EF38701"/>
      <c r="EG38701"/>
      <c r="EH38701"/>
      <c r="EI38701"/>
      <c r="EJ38701"/>
      <c r="EK38701"/>
    </row>
    <row r="38702" spans="1:141" s="116" customFormat="1">
      <c r="A38702" s="136"/>
      <c r="CM38702" s="111"/>
      <c r="CQ38702" s="111"/>
      <c r="EF38702"/>
      <c r="EG38702"/>
      <c r="EH38702"/>
      <c r="EI38702"/>
      <c r="EJ38702"/>
      <c r="EK38702"/>
    </row>
    <row r="38703" spans="1:141" s="116" customFormat="1">
      <c r="A38703" s="136"/>
      <c r="CM38703" s="111"/>
      <c r="CQ38703" s="111"/>
      <c r="EF38703"/>
      <c r="EG38703"/>
      <c r="EH38703"/>
      <c r="EI38703"/>
      <c r="EJ38703"/>
      <c r="EK38703"/>
    </row>
    <row r="38704" spans="1:141" s="116" customFormat="1">
      <c r="A38704" s="136"/>
      <c r="CM38704" s="111"/>
      <c r="CQ38704" s="111"/>
      <c r="EF38704"/>
      <c r="EG38704"/>
      <c r="EH38704"/>
      <c r="EI38704"/>
      <c r="EJ38704"/>
      <c r="EK38704"/>
    </row>
    <row r="38705" spans="1:141" s="116" customFormat="1">
      <c r="A38705" s="136"/>
      <c r="CM38705" s="111"/>
      <c r="CQ38705" s="111"/>
      <c r="EF38705"/>
      <c r="EG38705"/>
      <c r="EH38705"/>
      <c r="EI38705"/>
      <c r="EJ38705"/>
      <c r="EK38705"/>
    </row>
    <row r="38706" spans="1:141" s="116" customFormat="1">
      <c r="A38706" s="136"/>
      <c r="CM38706" s="111"/>
      <c r="CQ38706" s="111"/>
      <c r="EF38706"/>
      <c r="EG38706"/>
      <c r="EH38706"/>
      <c r="EI38706"/>
      <c r="EJ38706"/>
      <c r="EK38706"/>
    </row>
    <row r="38707" spans="1:141" s="116" customFormat="1">
      <c r="A38707" s="136"/>
      <c r="CM38707" s="111"/>
      <c r="CQ38707" s="111"/>
      <c r="EF38707"/>
      <c r="EG38707"/>
      <c r="EH38707"/>
      <c r="EI38707"/>
      <c r="EJ38707"/>
      <c r="EK38707"/>
    </row>
    <row r="38708" spans="1:141" s="116" customFormat="1">
      <c r="A38708" s="136"/>
      <c r="CM38708" s="111"/>
      <c r="CQ38708" s="111"/>
      <c r="EF38708"/>
      <c r="EG38708"/>
      <c r="EH38708"/>
      <c r="EI38708"/>
      <c r="EJ38708"/>
      <c r="EK38708"/>
    </row>
    <row r="38709" spans="1:141" s="116" customFormat="1">
      <c r="A38709" s="136"/>
      <c r="CM38709" s="111"/>
      <c r="CQ38709" s="111"/>
      <c r="EF38709"/>
      <c r="EG38709"/>
      <c r="EH38709"/>
      <c r="EI38709"/>
      <c r="EJ38709"/>
      <c r="EK38709"/>
    </row>
    <row r="38710" spans="1:141" s="116" customFormat="1">
      <c r="A38710" s="136"/>
      <c r="CM38710" s="111"/>
      <c r="CQ38710" s="111"/>
      <c r="EF38710"/>
      <c r="EG38710"/>
      <c r="EH38710"/>
      <c r="EI38710"/>
      <c r="EJ38710"/>
      <c r="EK38710"/>
    </row>
    <row r="38711" spans="1:141" s="116" customFormat="1">
      <c r="A38711" s="136"/>
      <c r="CM38711" s="111"/>
      <c r="CQ38711" s="111"/>
      <c r="EF38711"/>
      <c r="EG38711"/>
      <c r="EH38711"/>
      <c r="EI38711"/>
      <c r="EJ38711"/>
      <c r="EK38711"/>
    </row>
    <row r="38712" spans="1:141" s="116" customFormat="1">
      <c r="A38712" s="136"/>
      <c r="CM38712" s="111"/>
      <c r="CQ38712" s="111"/>
      <c r="EF38712"/>
      <c r="EG38712"/>
      <c r="EH38712"/>
      <c r="EI38712"/>
      <c r="EJ38712"/>
      <c r="EK38712"/>
    </row>
    <row r="38713" spans="1:141" s="116" customFormat="1">
      <c r="A38713" s="136"/>
      <c r="CM38713" s="111"/>
      <c r="CQ38713" s="111"/>
      <c r="EF38713"/>
      <c r="EG38713"/>
      <c r="EH38713"/>
      <c r="EI38713"/>
      <c r="EJ38713"/>
      <c r="EK38713"/>
    </row>
    <row r="38714" spans="1:141" s="116" customFormat="1">
      <c r="A38714" s="136"/>
      <c r="CM38714" s="111"/>
      <c r="CQ38714" s="111"/>
      <c r="EF38714"/>
      <c r="EG38714"/>
      <c r="EH38714"/>
      <c r="EI38714"/>
      <c r="EJ38714"/>
      <c r="EK38714"/>
    </row>
    <row r="38715" spans="1:141" s="116" customFormat="1">
      <c r="A38715" s="136"/>
      <c r="CM38715" s="111"/>
      <c r="CQ38715" s="111"/>
      <c r="EF38715"/>
      <c r="EG38715"/>
      <c r="EH38715"/>
      <c r="EI38715"/>
      <c r="EJ38715"/>
      <c r="EK38715"/>
    </row>
    <row r="38716" spans="1:141" s="116" customFormat="1">
      <c r="A38716" s="136"/>
      <c r="CM38716" s="111"/>
      <c r="CQ38716" s="111"/>
      <c r="EF38716"/>
      <c r="EG38716"/>
      <c r="EH38716"/>
      <c r="EI38716"/>
      <c r="EJ38716"/>
      <c r="EK38716"/>
    </row>
    <row r="38717" spans="1:141" s="116" customFormat="1">
      <c r="A38717" s="136"/>
      <c r="CM38717" s="111"/>
      <c r="CQ38717" s="111"/>
      <c r="EF38717"/>
      <c r="EG38717"/>
      <c r="EH38717"/>
      <c r="EI38717"/>
      <c r="EJ38717"/>
      <c r="EK38717"/>
    </row>
    <row r="38718" spans="1:141" s="116" customFormat="1">
      <c r="A38718" s="136"/>
      <c r="CM38718" s="111"/>
      <c r="CQ38718" s="111"/>
      <c r="EF38718"/>
      <c r="EG38718"/>
      <c r="EH38718"/>
      <c r="EI38718"/>
      <c r="EJ38718"/>
      <c r="EK38718"/>
    </row>
    <row r="38719" spans="1:141" s="116" customFormat="1">
      <c r="A38719" s="136"/>
      <c r="CM38719" s="111"/>
      <c r="CQ38719" s="111"/>
      <c r="EF38719"/>
      <c r="EG38719"/>
      <c r="EH38719"/>
      <c r="EI38719"/>
      <c r="EJ38719"/>
      <c r="EK38719"/>
    </row>
    <row r="38720" spans="1:141" s="116" customFormat="1">
      <c r="A38720" s="136"/>
      <c r="CM38720" s="111"/>
      <c r="CQ38720" s="111"/>
      <c r="EF38720"/>
      <c r="EG38720"/>
      <c r="EH38720"/>
      <c r="EI38720"/>
      <c r="EJ38720"/>
      <c r="EK38720"/>
    </row>
    <row r="38721" spans="1:141" s="116" customFormat="1">
      <c r="A38721" s="136"/>
      <c r="CM38721" s="111"/>
      <c r="CQ38721" s="111"/>
      <c r="EF38721"/>
      <c r="EG38721"/>
      <c r="EH38721"/>
      <c r="EI38721"/>
      <c r="EJ38721"/>
      <c r="EK38721"/>
    </row>
    <row r="38722" spans="1:141" s="116" customFormat="1">
      <c r="A38722" s="136"/>
      <c r="CM38722" s="111"/>
      <c r="CQ38722" s="111"/>
      <c r="EF38722"/>
      <c r="EG38722"/>
      <c r="EH38722"/>
      <c r="EI38722"/>
      <c r="EJ38722"/>
      <c r="EK38722"/>
    </row>
    <row r="38723" spans="1:141" s="116" customFormat="1">
      <c r="A38723" s="136"/>
      <c r="CM38723" s="111"/>
      <c r="CQ38723" s="111"/>
      <c r="EF38723"/>
      <c r="EG38723"/>
      <c r="EH38723"/>
      <c r="EI38723"/>
      <c r="EJ38723"/>
      <c r="EK38723"/>
    </row>
    <row r="38724" spans="1:141" s="116" customFormat="1">
      <c r="A38724" s="136"/>
      <c r="CM38724" s="111"/>
      <c r="CQ38724" s="111"/>
      <c r="EF38724"/>
      <c r="EG38724"/>
      <c r="EH38724"/>
      <c r="EI38724"/>
      <c r="EJ38724"/>
      <c r="EK38724"/>
    </row>
    <row r="38725" spans="1:141" s="116" customFormat="1">
      <c r="A38725" s="136"/>
      <c r="CM38725" s="111"/>
      <c r="CQ38725" s="111"/>
      <c r="EF38725"/>
      <c r="EG38725"/>
      <c r="EH38725"/>
      <c r="EI38725"/>
      <c r="EJ38725"/>
      <c r="EK38725"/>
    </row>
    <row r="38726" spans="1:141" s="116" customFormat="1">
      <c r="A38726" s="136"/>
      <c r="CM38726" s="111"/>
      <c r="CQ38726" s="111"/>
      <c r="EF38726"/>
      <c r="EG38726"/>
      <c r="EH38726"/>
      <c r="EI38726"/>
      <c r="EJ38726"/>
      <c r="EK38726"/>
    </row>
    <row r="38727" spans="1:141" s="116" customFormat="1">
      <c r="A38727" s="136"/>
      <c r="CM38727" s="111"/>
      <c r="CQ38727" s="111"/>
      <c r="EF38727"/>
      <c r="EG38727"/>
      <c r="EH38727"/>
      <c r="EI38727"/>
      <c r="EJ38727"/>
      <c r="EK38727"/>
    </row>
    <row r="38728" spans="1:141" s="116" customFormat="1">
      <c r="A38728" s="136"/>
      <c r="CM38728" s="111"/>
      <c r="CQ38728" s="111"/>
      <c r="EF38728"/>
      <c r="EG38728"/>
      <c r="EH38728"/>
      <c r="EI38728"/>
      <c r="EJ38728"/>
      <c r="EK38728"/>
    </row>
    <row r="38729" spans="1:141" s="116" customFormat="1">
      <c r="A38729" s="136"/>
      <c r="CM38729" s="111"/>
      <c r="CQ38729" s="111"/>
      <c r="EF38729"/>
      <c r="EG38729"/>
      <c r="EH38729"/>
      <c r="EI38729"/>
      <c r="EJ38729"/>
      <c r="EK38729"/>
    </row>
    <row r="38730" spans="1:141" s="116" customFormat="1">
      <c r="A38730" s="136"/>
      <c r="CM38730" s="111"/>
      <c r="CQ38730" s="111"/>
      <c r="EF38730"/>
      <c r="EG38730"/>
      <c r="EH38730"/>
      <c r="EI38730"/>
      <c r="EJ38730"/>
      <c r="EK38730"/>
    </row>
    <row r="38731" spans="1:141" s="116" customFormat="1">
      <c r="A38731" s="136"/>
      <c r="CM38731" s="111"/>
      <c r="CQ38731" s="111"/>
      <c r="EF38731"/>
      <c r="EG38731"/>
      <c r="EH38731"/>
      <c r="EI38731"/>
      <c r="EJ38731"/>
      <c r="EK38731"/>
    </row>
    <row r="38732" spans="1:141" s="116" customFormat="1">
      <c r="A38732" s="136"/>
      <c r="CM38732" s="111"/>
      <c r="CQ38732" s="111"/>
      <c r="EF38732"/>
      <c r="EG38732"/>
      <c r="EH38732"/>
      <c r="EI38732"/>
      <c r="EJ38732"/>
      <c r="EK38732"/>
    </row>
    <row r="38733" spans="1:141" s="116" customFormat="1">
      <c r="A38733" s="136"/>
      <c r="CM38733" s="111"/>
      <c r="CQ38733" s="111"/>
      <c r="EF38733"/>
      <c r="EG38733"/>
      <c r="EH38733"/>
      <c r="EI38733"/>
      <c r="EJ38733"/>
      <c r="EK38733"/>
    </row>
    <row r="38734" spans="1:141" s="116" customFormat="1">
      <c r="A38734" s="136"/>
      <c r="CM38734" s="111"/>
      <c r="CQ38734" s="111"/>
      <c r="EF38734"/>
      <c r="EG38734"/>
      <c r="EH38734"/>
      <c r="EI38734"/>
      <c r="EJ38734"/>
      <c r="EK38734"/>
    </row>
    <row r="38735" spans="1:141" s="116" customFormat="1">
      <c r="A38735" s="136"/>
      <c r="CM38735" s="111"/>
      <c r="CQ38735" s="111"/>
      <c r="EF38735"/>
      <c r="EG38735"/>
      <c r="EH38735"/>
      <c r="EI38735"/>
      <c r="EJ38735"/>
      <c r="EK38735"/>
    </row>
    <row r="38736" spans="1:141" s="116" customFormat="1">
      <c r="A38736" s="136"/>
      <c r="CM38736" s="111"/>
      <c r="CQ38736" s="111"/>
      <c r="EF38736"/>
      <c r="EG38736"/>
      <c r="EH38736"/>
      <c r="EI38736"/>
      <c r="EJ38736"/>
      <c r="EK38736"/>
    </row>
    <row r="38737" spans="1:141" s="116" customFormat="1">
      <c r="A38737" s="136"/>
      <c r="CM38737" s="111"/>
      <c r="CQ38737" s="111"/>
      <c r="EF38737"/>
      <c r="EG38737"/>
      <c r="EH38737"/>
      <c r="EI38737"/>
      <c r="EJ38737"/>
      <c r="EK38737"/>
    </row>
    <row r="38738" spans="1:141" s="116" customFormat="1">
      <c r="A38738" s="136"/>
      <c r="CM38738" s="111"/>
      <c r="CQ38738" s="111"/>
      <c r="EF38738"/>
      <c r="EG38738"/>
      <c r="EH38738"/>
      <c r="EI38738"/>
      <c r="EJ38738"/>
      <c r="EK38738"/>
    </row>
    <row r="38739" spans="1:141" s="116" customFormat="1">
      <c r="A38739" s="136"/>
      <c r="CM38739" s="111"/>
      <c r="CQ38739" s="111"/>
      <c r="EF38739"/>
      <c r="EG38739"/>
      <c r="EH38739"/>
      <c r="EI38739"/>
      <c r="EJ38739"/>
      <c r="EK38739"/>
    </row>
    <row r="38740" spans="1:141" s="116" customFormat="1">
      <c r="A38740" s="136"/>
      <c r="CM38740" s="111"/>
      <c r="CQ38740" s="111"/>
      <c r="EF38740"/>
      <c r="EG38740"/>
      <c r="EH38740"/>
      <c r="EI38740"/>
      <c r="EJ38740"/>
      <c r="EK38740"/>
    </row>
    <row r="38741" spans="1:141" s="116" customFormat="1">
      <c r="A38741" s="136"/>
      <c r="CM38741" s="111"/>
      <c r="CQ38741" s="111"/>
      <c r="EF38741"/>
      <c r="EG38741"/>
      <c r="EH38741"/>
      <c r="EI38741"/>
      <c r="EJ38741"/>
      <c r="EK38741"/>
    </row>
    <row r="38742" spans="1:141" s="116" customFormat="1">
      <c r="A38742" s="136"/>
      <c r="CM38742" s="111"/>
      <c r="CQ38742" s="111"/>
      <c r="EF38742"/>
      <c r="EG38742"/>
      <c r="EH38742"/>
      <c r="EI38742"/>
      <c r="EJ38742"/>
      <c r="EK38742"/>
    </row>
    <row r="38743" spans="1:141" s="116" customFormat="1">
      <c r="A38743" s="136"/>
      <c r="CM38743" s="111"/>
      <c r="CQ38743" s="111"/>
      <c r="EF38743"/>
      <c r="EG38743"/>
      <c r="EH38743"/>
      <c r="EI38743"/>
      <c r="EJ38743"/>
      <c r="EK38743"/>
    </row>
    <row r="38744" spans="1:141" s="116" customFormat="1">
      <c r="A38744" s="136"/>
      <c r="CM38744" s="111"/>
      <c r="CQ38744" s="111"/>
      <c r="EF38744"/>
      <c r="EG38744"/>
      <c r="EH38744"/>
      <c r="EI38744"/>
      <c r="EJ38744"/>
      <c r="EK38744"/>
    </row>
    <row r="38745" spans="1:141" s="116" customFormat="1">
      <c r="A38745" s="136"/>
      <c r="CM38745" s="111"/>
      <c r="CQ38745" s="111"/>
      <c r="EF38745"/>
      <c r="EG38745"/>
      <c r="EH38745"/>
      <c r="EI38745"/>
      <c r="EJ38745"/>
      <c r="EK38745"/>
    </row>
    <row r="38746" spans="1:141" s="116" customFormat="1">
      <c r="A38746" s="136"/>
      <c r="CM38746" s="111"/>
      <c r="CQ38746" s="111"/>
      <c r="EF38746"/>
      <c r="EG38746"/>
      <c r="EH38746"/>
      <c r="EI38746"/>
      <c r="EJ38746"/>
      <c r="EK38746"/>
    </row>
    <row r="38747" spans="1:141" s="116" customFormat="1">
      <c r="A38747" s="136"/>
      <c r="CM38747" s="111"/>
      <c r="CQ38747" s="111"/>
      <c r="EF38747"/>
      <c r="EG38747"/>
      <c r="EH38747"/>
      <c r="EI38747"/>
      <c r="EJ38747"/>
      <c r="EK38747"/>
    </row>
    <row r="38748" spans="1:141" s="116" customFormat="1">
      <c r="A38748" s="136"/>
      <c r="CM38748" s="111"/>
      <c r="CQ38748" s="111"/>
      <c r="EF38748"/>
      <c r="EG38748"/>
      <c r="EH38748"/>
      <c r="EI38748"/>
      <c r="EJ38748"/>
      <c r="EK38748"/>
    </row>
    <row r="38749" spans="1:141" s="116" customFormat="1">
      <c r="A38749" s="136"/>
      <c r="CM38749" s="111"/>
      <c r="CQ38749" s="111"/>
      <c r="EF38749"/>
      <c r="EG38749"/>
      <c r="EH38749"/>
      <c r="EI38749"/>
      <c r="EJ38749"/>
      <c r="EK38749"/>
    </row>
    <row r="38750" spans="1:141" s="116" customFormat="1">
      <c r="A38750" s="136"/>
      <c r="CM38750" s="111"/>
      <c r="CQ38750" s="111"/>
      <c r="EF38750"/>
      <c r="EG38750"/>
      <c r="EH38750"/>
      <c r="EI38750"/>
      <c r="EJ38750"/>
      <c r="EK38750"/>
    </row>
    <row r="38751" spans="1:141" s="116" customFormat="1">
      <c r="A38751" s="136"/>
      <c r="CM38751" s="111"/>
      <c r="CQ38751" s="111"/>
      <c r="EF38751"/>
      <c r="EG38751"/>
      <c r="EH38751"/>
      <c r="EI38751"/>
      <c r="EJ38751"/>
      <c r="EK38751"/>
    </row>
    <row r="38752" spans="1:141" s="116" customFormat="1">
      <c r="A38752" s="136"/>
      <c r="CM38752" s="111"/>
      <c r="CQ38752" s="111"/>
      <c r="EF38752"/>
      <c r="EG38752"/>
      <c r="EH38752"/>
      <c r="EI38752"/>
      <c r="EJ38752"/>
      <c r="EK38752"/>
    </row>
    <row r="38753" spans="1:141" s="116" customFormat="1">
      <c r="A38753" s="136"/>
      <c r="CM38753" s="111"/>
      <c r="CQ38753" s="111"/>
      <c r="EF38753"/>
      <c r="EG38753"/>
      <c r="EH38753"/>
      <c r="EI38753"/>
      <c r="EJ38753"/>
      <c r="EK38753"/>
    </row>
    <row r="38754" spans="1:141" s="116" customFormat="1">
      <c r="A38754" s="136"/>
      <c r="CM38754" s="111"/>
      <c r="CQ38754" s="111"/>
      <c r="EF38754"/>
      <c r="EG38754"/>
      <c r="EH38754"/>
      <c r="EI38754"/>
      <c r="EJ38754"/>
      <c r="EK38754"/>
    </row>
    <row r="38755" spans="1:141" s="116" customFormat="1">
      <c r="A38755" s="136"/>
      <c r="CM38755" s="111"/>
      <c r="CQ38755" s="111"/>
      <c r="EF38755"/>
      <c r="EG38755"/>
      <c r="EH38755"/>
      <c r="EI38755"/>
      <c r="EJ38755"/>
      <c r="EK38755"/>
    </row>
    <row r="38756" spans="1:141" s="116" customFormat="1">
      <c r="A38756" s="136"/>
      <c r="CM38756" s="111"/>
      <c r="CQ38756" s="111"/>
      <c r="EF38756"/>
      <c r="EG38756"/>
      <c r="EH38756"/>
      <c r="EI38756"/>
      <c r="EJ38756"/>
      <c r="EK38756"/>
    </row>
    <row r="38757" spans="1:141" s="116" customFormat="1">
      <c r="A38757" s="136"/>
      <c r="CM38757" s="111"/>
      <c r="CQ38757" s="111"/>
      <c r="EF38757"/>
      <c r="EG38757"/>
      <c r="EH38757"/>
      <c r="EI38757"/>
      <c r="EJ38757"/>
      <c r="EK38757"/>
    </row>
    <row r="38758" spans="1:141" s="116" customFormat="1">
      <c r="A38758" s="136"/>
      <c r="CM38758" s="111"/>
      <c r="CQ38758" s="111"/>
      <c r="EF38758"/>
      <c r="EG38758"/>
      <c r="EH38758"/>
      <c r="EI38758"/>
      <c r="EJ38758"/>
      <c r="EK38758"/>
    </row>
    <row r="38759" spans="1:141" s="116" customFormat="1">
      <c r="A38759" s="136"/>
      <c r="CM38759" s="111"/>
      <c r="CQ38759" s="111"/>
      <c r="EF38759"/>
      <c r="EG38759"/>
      <c r="EH38759"/>
      <c r="EI38759"/>
      <c r="EJ38759"/>
      <c r="EK38759"/>
    </row>
    <row r="38760" spans="1:141" s="116" customFormat="1">
      <c r="A38760" s="136"/>
      <c r="CM38760" s="111"/>
      <c r="CQ38760" s="111"/>
      <c r="EF38760"/>
      <c r="EG38760"/>
      <c r="EH38760"/>
      <c r="EI38760"/>
      <c r="EJ38760"/>
      <c r="EK38760"/>
    </row>
    <row r="38761" spans="1:141" s="116" customFormat="1">
      <c r="A38761" s="136"/>
      <c r="CM38761" s="111"/>
      <c r="CQ38761" s="111"/>
      <c r="EF38761"/>
      <c r="EG38761"/>
      <c r="EH38761"/>
      <c r="EI38761"/>
      <c r="EJ38761"/>
      <c r="EK38761"/>
    </row>
    <row r="38762" spans="1:141" s="116" customFormat="1">
      <c r="A38762" s="136"/>
      <c r="CM38762" s="111"/>
      <c r="CQ38762" s="111"/>
      <c r="EF38762"/>
      <c r="EG38762"/>
      <c r="EH38762"/>
      <c r="EI38762"/>
      <c r="EJ38762"/>
      <c r="EK38762"/>
    </row>
    <row r="38763" spans="1:141" s="116" customFormat="1">
      <c r="A38763" s="136"/>
      <c r="CM38763" s="111"/>
      <c r="CQ38763" s="111"/>
      <c r="EF38763"/>
      <c r="EG38763"/>
      <c r="EH38763"/>
      <c r="EI38763"/>
      <c r="EJ38763"/>
      <c r="EK38763"/>
    </row>
    <row r="38764" spans="1:141" s="116" customFormat="1">
      <c r="A38764" s="136"/>
      <c r="CM38764" s="111"/>
      <c r="CQ38764" s="111"/>
      <c r="EF38764"/>
      <c r="EG38764"/>
      <c r="EH38764"/>
      <c r="EI38764"/>
      <c r="EJ38764"/>
      <c r="EK38764"/>
    </row>
    <row r="38765" spans="1:141" s="116" customFormat="1">
      <c r="A38765" s="136"/>
      <c r="CM38765" s="111"/>
      <c r="CQ38765" s="111"/>
      <c r="EF38765"/>
      <c r="EG38765"/>
      <c r="EH38765"/>
      <c r="EI38765"/>
      <c r="EJ38765"/>
      <c r="EK38765"/>
    </row>
    <row r="38766" spans="1:141" s="116" customFormat="1">
      <c r="A38766" s="136"/>
      <c r="CM38766" s="111"/>
      <c r="CQ38766" s="111"/>
      <c r="EF38766"/>
      <c r="EG38766"/>
      <c r="EH38766"/>
      <c r="EI38766"/>
      <c r="EJ38766"/>
      <c r="EK38766"/>
    </row>
    <row r="38767" spans="1:141" s="116" customFormat="1">
      <c r="A38767" s="136"/>
      <c r="CM38767" s="111"/>
      <c r="CQ38767" s="111"/>
      <c r="EF38767"/>
      <c r="EG38767"/>
      <c r="EH38767"/>
      <c r="EI38767"/>
      <c r="EJ38767"/>
      <c r="EK38767"/>
    </row>
    <row r="38768" spans="1:141" s="116" customFormat="1">
      <c r="A38768" s="136"/>
      <c r="CM38768" s="111"/>
      <c r="CQ38768" s="111"/>
      <c r="EF38768"/>
      <c r="EG38768"/>
      <c r="EH38768"/>
      <c r="EI38768"/>
      <c r="EJ38768"/>
      <c r="EK38768"/>
    </row>
    <row r="38769" spans="1:141" s="116" customFormat="1">
      <c r="A38769" s="136"/>
      <c r="CM38769" s="111"/>
      <c r="CQ38769" s="111"/>
      <c r="EF38769"/>
      <c r="EG38769"/>
      <c r="EH38769"/>
      <c r="EI38769"/>
      <c r="EJ38769"/>
      <c r="EK38769"/>
    </row>
    <row r="38770" spans="1:141" s="116" customFormat="1">
      <c r="A38770" s="136"/>
      <c r="CM38770" s="111"/>
      <c r="CQ38770" s="111"/>
      <c r="EF38770"/>
      <c r="EG38770"/>
      <c r="EH38770"/>
      <c r="EI38770"/>
      <c r="EJ38770"/>
      <c r="EK38770"/>
    </row>
    <row r="38771" spans="1:141" s="116" customFormat="1">
      <c r="A38771" s="136"/>
      <c r="CM38771" s="111"/>
      <c r="CQ38771" s="111"/>
      <c r="EF38771"/>
      <c r="EG38771"/>
      <c r="EH38771"/>
      <c r="EI38771"/>
      <c r="EJ38771"/>
      <c r="EK38771"/>
    </row>
    <row r="38772" spans="1:141" s="116" customFormat="1">
      <c r="A38772" s="136"/>
      <c r="CM38772" s="111"/>
      <c r="CQ38772" s="111"/>
      <c r="EF38772"/>
      <c r="EG38772"/>
      <c r="EH38772"/>
      <c r="EI38772"/>
      <c r="EJ38772"/>
      <c r="EK38772"/>
    </row>
    <row r="38773" spans="1:141" s="116" customFormat="1">
      <c r="A38773" s="136"/>
      <c r="CM38773" s="111"/>
      <c r="CQ38773" s="111"/>
      <c r="EF38773"/>
      <c r="EG38773"/>
      <c r="EH38773"/>
      <c r="EI38773"/>
      <c r="EJ38773"/>
      <c r="EK38773"/>
    </row>
    <row r="38774" spans="1:141" s="116" customFormat="1">
      <c r="A38774" s="136"/>
      <c r="CM38774" s="111"/>
      <c r="CQ38774" s="111"/>
      <c r="EF38774"/>
      <c r="EG38774"/>
      <c r="EH38774"/>
      <c r="EI38774"/>
      <c r="EJ38774"/>
      <c r="EK38774"/>
    </row>
    <row r="38775" spans="1:141" s="116" customFormat="1">
      <c r="A38775" s="136"/>
      <c r="CM38775" s="111"/>
      <c r="CQ38775" s="111"/>
      <c r="EF38775"/>
      <c r="EG38775"/>
      <c r="EH38775"/>
      <c r="EI38775"/>
      <c r="EJ38775"/>
      <c r="EK38775"/>
    </row>
    <row r="38776" spans="1:141" s="116" customFormat="1">
      <c r="A38776" s="136"/>
      <c r="CM38776" s="111"/>
      <c r="CQ38776" s="111"/>
      <c r="EF38776"/>
      <c r="EG38776"/>
      <c r="EH38776"/>
      <c r="EI38776"/>
      <c r="EJ38776"/>
      <c r="EK38776"/>
    </row>
    <row r="38777" spans="1:141" s="116" customFormat="1">
      <c r="A38777" s="136"/>
      <c r="CM38777" s="111"/>
      <c r="CQ38777" s="111"/>
      <c r="EF38777"/>
      <c r="EG38777"/>
      <c r="EH38777"/>
      <c r="EI38777"/>
      <c r="EJ38777"/>
      <c r="EK38777"/>
    </row>
    <row r="38778" spans="1:141" s="116" customFormat="1">
      <c r="A38778" s="136"/>
      <c r="CM38778" s="111"/>
      <c r="CQ38778" s="111"/>
      <c r="EF38778"/>
      <c r="EG38778"/>
      <c r="EH38778"/>
      <c r="EI38778"/>
      <c r="EJ38778"/>
      <c r="EK38778"/>
    </row>
    <row r="38779" spans="1:141" s="116" customFormat="1">
      <c r="A38779" s="136"/>
      <c r="CM38779" s="111"/>
      <c r="CQ38779" s="111"/>
      <c r="EF38779"/>
      <c r="EG38779"/>
      <c r="EH38779"/>
      <c r="EI38779"/>
      <c r="EJ38779"/>
      <c r="EK38779"/>
    </row>
    <row r="38780" spans="1:141" s="116" customFormat="1">
      <c r="A38780" s="136"/>
      <c r="CM38780" s="111"/>
      <c r="CQ38780" s="111"/>
      <c r="EF38780"/>
      <c r="EG38780"/>
      <c r="EH38780"/>
      <c r="EI38780"/>
      <c r="EJ38780"/>
      <c r="EK38780"/>
    </row>
    <row r="38781" spans="1:141" s="116" customFormat="1">
      <c r="A38781" s="136"/>
      <c r="CM38781" s="111"/>
      <c r="CQ38781" s="111"/>
      <c r="EF38781"/>
      <c r="EG38781"/>
      <c r="EH38781"/>
      <c r="EI38781"/>
      <c r="EJ38781"/>
      <c r="EK38781"/>
    </row>
    <row r="38782" spans="1:141" s="116" customFormat="1">
      <c r="A38782" s="136"/>
      <c r="CM38782" s="111"/>
      <c r="CQ38782" s="111"/>
      <c r="EF38782"/>
      <c r="EG38782"/>
      <c r="EH38782"/>
      <c r="EI38782"/>
      <c r="EJ38782"/>
      <c r="EK38782"/>
    </row>
    <row r="38783" spans="1:141" s="116" customFormat="1">
      <c r="A38783" s="136"/>
      <c r="CM38783" s="111"/>
      <c r="CQ38783" s="111"/>
      <c r="EF38783"/>
      <c r="EG38783"/>
      <c r="EH38783"/>
      <c r="EI38783"/>
      <c r="EJ38783"/>
      <c r="EK38783"/>
    </row>
    <row r="38784" spans="1:141" s="116" customFormat="1">
      <c r="A38784" s="136"/>
      <c r="CM38784" s="111"/>
      <c r="CQ38784" s="111"/>
      <c r="EF38784"/>
      <c r="EG38784"/>
      <c r="EH38784"/>
      <c r="EI38784"/>
      <c r="EJ38784"/>
      <c r="EK38784"/>
    </row>
    <row r="38785" spans="1:141" s="116" customFormat="1">
      <c r="A38785" s="136"/>
      <c r="CM38785" s="111"/>
      <c r="CQ38785" s="111"/>
      <c r="EF38785"/>
      <c r="EG38785"/>
      <c r="EH38785"/>
      <c r="EI38785"/>
      <c r="EJ38785"/>
      <c r="EK38785"/>
    </row>
    <row r="38786" spans="1:141" s="116" customFormat="1">
      <c r="A38786" s="136"/>
      <c r="CM38786" s="111"/>
      <c r="CQ38786" s="111"/>
      <c r="EF38786"/>
      <c r="EG38786"/>
      <c r="EH38786"/>
      <c r="EI38786"/>
      <c r="EJ38786"/>
      <c r="EK38786"/>
    </row>
    <row r="38787" spans="1:141" s="116" customFormat="1">
      <c r="A38787" s="136"/>
      <c r="CM38787" s="111"/>
      <c r="CQ38787" s="111"/>
      <c r="EF38787"/>
      <c r="EG38787"/>
      <c r="EH38787"/>
      <c r="EI38787"/>
      <c r="EJ38787"/>
      <c r="EK38787"/>
    </row>
    <row r="38788" spans="1:141" s="116" customFormat="1">
      <c r="A38788" s="136"/>
      <c r="CM38788" s="111"/>
      <c r="CQ38788" s="111"/>
      <c r="EF38788"/>
      <c r="EG38788"/>
      <c r="EH38788"/>
      <c r="EI38788"/>
      <c r="EJ38788"/>
      <c r="EK38788"/>
    </row>
    <row r="38789" spans="1:141" s="116" customFormat="1">
      <c r="A38789" s="136"/>
      <c r="CM38789" s="111"/>
      <c r="CQ38789" s="111"/>
      <c r="EF38789"/>
      <c r="EG38789"/>
      <c r="EH38789"/>
      <c r="EI38789"/>
      <c r="EJ38789"/>
      <c r="EK38789"/>
    </row>
    <row r="38790" spans="1:141" s="116" customFormat="1">
      <c r="A38790" s="136"/>
      <c r="CM38790" s="111"/>
      <c r="CQ38790" s="111"/>
      <c r="EF38790"/>
      <c r="EG38790"/>
      <c r="EH38790"/>
      <c r="EI38790"/>
      <c r="EJ38790"/>
      <c r="EK38790"/>
    </row>
    <row r="38791" spans="1:141" s="116" customFormat="1">
      <c r="A38791" s="136"/>
      <c r="CM38791" s="111"/>
      <c r="CQ38791" s="111"/>
      <c r="EF38791"/>
      <c r="EG38791"/>
      <c r="EH38791"/>
      <c r="EI38791"/>
      <c r="EJ38791"/>
      <c r="EK38791"/>
    </row>
    <row r="38792" spans="1:141" s="116" customFormat="1">
      <c r="A38792" s="136"/>
      <c r="CM38792" s="111"/>
      <c r="CQ38792" s="111"/>
      <c r="EF38792"/>
      <c r="EG38792"/>
      <c r="EH38792"/>
      <c r="EI38792"/>
      <c r="EJ38792"/>
      <c r="EK38792"/>
    </row>
    <row r="38793" spans="1:141" s="116" customFormat="1">
      <c r="A38793" s="136"/>
      <c r="CM38793" s="111"/>
      <c r="CQ38793" s="111"/>
      <c r="EF38793"/>
      <c r="EG38793"/>
      <c r="EH38793"/>
      <c r="EI38793"/>
      <c r="EJ38793"/>
      <c r="EK38793"/>
    </row>
    <row r="38794" spans="1:141" s="116" customFormat="1">
      <c r="A38794" s="136"/>
      <c r="CM38794" s="111"/>
      <c r="CQ38794" s="111"/>
      <c r="EF38794"/>
      <c r="EG38794"/>
      <c r="EH38794"/>
      <c r="EI38794"/>
      <c r="EJ38794"/>
      <c r="EK38794"/>
    </row>
    <row r="38795" spans="1:141" s="116" customFormat="1">
      <c r="A38795" s="136"/>
      <c r="CM38795" s="111"/>
      <c r="CQ38795" s="111"/>
      <c r="EF38795"/>
      <c r="EG38795"/>
      <c r="EH38795"/>
      <c r="EI38795"/>
      <c r="EJ38795"/>
      <c r="EK38795"/>
    </row>
    <row r="38796" spans="1:141" s="116" customFormat="1">
      <c r="A38796" s="136"/>
      <c r="CM38796" s="111"/>
      <c r="CQ38796" s="111"/>
      <c r="EF38796"/>
      <c r="EG38796"/>
      <c r="EH38796"/>
      <c r="EI38796"/>
      <c r="EJ38796"/>
      <c r="EK38796"/>
    </row>
    <row r="38797" spans="1:141" s="116" customFormat="1">
      <c r="A38797" s="136"/>
      <c r="CM38797" s="111"/>
      <c r="CQ38797" s="111"/>
      <c r="EF38797"/>
      <c r="EG38797"/>
      <c r="EH38797"/>
      <c r="EI38797"/>
      <c r="EJ38797"/>
      <c r="EK38797"/>
    </row>
    <row r="38798" spans="1:141" s="116" customFormat="1">
      <c r="A38798" s="136"/>
      <c r="CM38798" s="111"/>
      <c r="CQ38798" s="111"/>
      <c r="EF38798"/>
      <c r="EG38798"/>
      <c r="EH38798"/>
      <c r="EI38798"/>
      <c r="EJ38798"/>
      <c r="EK38798"/>
    </row>
    <row r="38799" spans="1:141" s="116" customFormat="1">
      <c r="A38799" s="136"/>
      <c r="CM38799" s="111"/>
      <c r="CQ38799" s="111"/>
      <c r="EF38799"/>
      <c r="EG38799"/>
      <c r="EH38799"/>
      <c r="EI38799"/>
      <c r="EJ38799"/>
      <c r="EK38799"/>
    </row>
    <row r="38800" spans="1:141" s="116" customFormat="1">
      <c r="A38800" s="136"/>
      <c r="CM38800" s="111"/>
      <c r="CQ38800" s="111"/>
      <c r="EF38800"/>
      <c r="EG38800"/>
      <c r="EH38800"/>
      <c r="EI38800"/>
      <c r="EJ38800"/>
      <c r="EK38800"/>
    </row>
    <row r="38801" spans="1:141" s="116" customFormat="1">
      <c r="A38801" s="136"/>
      <c r="CM38801" s="111"/>
      <c r="CQ38801" s="111"/>
      <c r="EF38801"/>
      <c r="EG38801"/>
      <c r="EH38801"/>
      <c r="EI38801"/>
      <c r="EJ38801"/>
      <c r="EK38801"/>
    </row>
    <row r="38802" spans="1:141" s="116" customFormat="1">
      <c r="A38802" s="136"/>
      <c r="CM38802" s="111"/>
      <c r="CQ38802" s="111"/>
      <c r="EF38802"/>
      <c r="EG38802"/>
      <c r="EH38802"/>
      <c r="EI38802"/>
      <c r="EJ38802"/>
      <c r="EK38802"/>
    </row>
    <row r="38803" spans="1:141" s="116" customFormat="1">
      <c r="A38803" s="136"/>
      <c r="CM38803" s="111"/>
      <c r="CQ38803" s="111"/>
      <c r="EF38803"/>
      <c r="EG38803"/>
      <c r="EH38803"/>
      <c r="EI38803"/>
      <c r="EJ38803"/>
      <c r="EK38803"/>
    </row>
    <row r="38804" spans="1:141" s="116" customFormat="1">
      <c r="A38804" s="136"/>
      <c r="CM38804" s="111"/>
      <c r="CQ38804" s="111"/>
      <c r="EF38804"/>
      <c r="EG38804"/>
      <c r="EH38804"/>
      <c r="EI38804"/>
      <c r="EJ38804"/>
      <c r="EK38804"/>
    </row>
    <row r="38805" spans="1:141" s="116" customFormat="1">
      <c r="A38805" s="136"/>
      <c r="CM38805" s="111"/>
      <c r="CQ38805" s="111"/>
      <c r="EF38805"/>
      <c r="EG38805"/>
      <c r="EH38805"/>
      <c r="EI38805"/>
      <c r="EJ38805"/>
      <c r="EK38805"/>
    </row>
    <row r="38806" spans="1:141" s="116" customFormat="1">
      <c r="A38806" s="136"/>
      <c r="CM38806" s="111"/>
      <c r="CQ38806" s="111"/>
      <c r="EF38806"/>
      <c r="EG38806"/>
      <c r="EH38806"/>
      <c r="EI38806"/>
      <c r="EJ38806"/>
      <c r="EK38806"/>
    </row>
    <row r="38807" spans="1:141" s="116" customFormat="1">
      <c r="A38807" s="136"/>
      <c r="CM38807" s="111"/>
      <c r="CQ38807" s="111"/>
      <c r="EF38807"/>
      <c r="EG38807"/>
      <c r="EH38807"/>
      <c r="EI38807"/>
      <c r="EJ38807"/>
      <c r="EK38807"/>
    </row>
    <row r="38808" spans="1:141" s="116" customFormat="1">
      <c r="A38808" s="136"/>
      <c r="CM38808" s="111"/>
      <c r="CQ38808" s="111"/>
      <c r="EF38808"/>
      <c r="EG38808"/>
      <c r="EH38808"/>
      <c r="EI38808"/>
      <c r="EJ38808"/>
      <c r="EK38808"/>
    </row>
    <row r="38809" spans="1:141" s="116" customFormat="1">
      <c r="A38809" s="136"/>
      <c r="CM38809" s="111"/>
      <c r="CQ38809" s="111"/>
      <c r="EF38809"/>
      <c r="EG38809"/>
      <c r="EH38809"/>
      <c r="EI38809"/>
      <c r="EJ38809"/>
      <c r="EK38809"/>
    </row>
    <row r="38810" spans="1:141" s="116" customFormat="1">
      <c r="A38810" s="136"/>
      <c r="CM38810" s="111"/>
      <c r="CQ38810" s="111"/>
      <c r="EF38810"/>
      <c r="EG38810"/>
      <c r="EH38810"/>
      <c r="EI38810"/>
      <c r="EJ38810"/>
      <c r="EK38810"/>
    </row>
    <row r="38811" spans="1:141" s="116" customFormat="1">
      <c r="A38811" s="136"/>
      <c r="CM38811" s="111"/>
      <c r="CQ38811" s="111"/>
      <c r="EF38811"/>
      <c r="EG38811"/>
      <c r="EH38811"/>
      <c r="EI38811"/>
      <c r="EJ38811"/>
      <c r="EK38811"/>
    </row>
    <row r="38812" spans="1:141" s="116" customFormat="1">
      <c r="A38812" s="136"/>
      <c r="CM38812" s="111"/>
      <c r="CQ38812" s="111"/>
      <c r="EF38812"/>
      <c r="EG38812"/>
      <c r="EH38812"/>
      <c r="EI38812"/>
      <c r="EJ38812"/>
      <c r="EK38812"/>
    </row>
    <row r="38813" spans="1:141" s="116" customFormat="1">
      <c r="A38813" s="136"/>
      <c r="CM38813" s="111"/>
      <c r="CQ38813" s="111"/>
      <c r="EF38813"/>
      <c r="EG38813"/>
      <c r="EH38813"/>
      <c r="EI38813"/>
      <c r="EJ38813"/>
      <c r="EK38813"/>
    </row>
    <row r="38814" spans="1:141" s="116" customFormat="1">
      <c r="A38814" s="136"/>
      <c r="CM38814" s="111"/>
      <c r="CQ38814" s="111"/>
      <c r="EF38814"/>
      <c r="EG38814"/>
      <c r="EH38814"/>
      <c r="EI38814"/>
      <c r="EJ38814"/>
      <c r="EK38814"/>
    </row>
    <row r="38815" spans="1:141" s="116" customFormat="1">
      <c r="A38815" s="136"/>
      <c r="CM38815" s="111"/>
      <c r="CQ38815" s="111"/>
      <c r="EF38815"/>
      <c r="EG38815"/>
      <c r="EH38815"/>
      <c r="EI38815"/>
      <c r="EJ38815"/>
      <c r="EK38815"/>
    </row>
    <row r="38816" spans="1:141" s="116" customFormat="1">
      <c r="A38816" s="136"/>
      <c r="CM38816" s="111"/>
      <c r="CQ38816" s="111"/>
      <c r="EF38816"/>
      <c r="EG38816"/>
      <c r="EH38816"/>
      <c r="EI38816"/>
      <c r="EJ38816"/>
      <c r="EK38816"/>
    </row>
    <row r="38817" spans="1:141" s="116" customFormat="1">
      <c r="A38817" s="136"/>
      <c r="CM38817" s="111"/>
      <c r="CQ38817" s="111"/>
      <c r="EF38817"/>
      <c r="EG38817"/>
      <c r="EH38817"/>
      <c r="EI38817"/>
      <c r="EJ38817"/>
      <c r="EK38817"/>
    </row>
    <row r="38818" spans="1:141" s="116" customFormat="1">
      <c r="A38818" s="136"/>
      <c r="CM38818" s="111"/>
      <c r="CQ38818" s="111"/>
      <c r="EF38818"/>
      <c r="EG38818"/>
      <c r="EH38818"/>
      <c r="EI38818"/>
      <c r="EJ38818"/>
      <c r="EK38818"/>
    </row>
    <row r="38819" spans="1:141" s="116" customFormat="1">
      <c r="A38819" s="136"/>
      <c r="CM38819" s="111"/>
      <c r="CQ38819" s="111"/>
      <c r="EF38819"/>
      <c r="EG38819"/>
      <c r="EH38819"/>
      <c r="EI38819"/>
      <c r="EJ38819"/>
      <c r="EK38819"/>
    </row>
    <row r="38820" spans="1:141" s="116" customFormat="1">
      <c r="A38820" s="136"/>
      <c r="CM38820" s="111"/>
      <c r="CQ38820" s="111"/>
      <c r="EF38820"/>
      <c r="EG38820"/>
      <c r="EH38820"/>
      <c r="EI38820"/>
      <c r="EJ38820"/>
      <c r="EK38820"/>
    </row>
    <row r="38821" spans="1:141" s="116" customFormat="1">
      <c r="A38821" s="136"/>
      <c r="CM38821" s="111"/>
      <c r="CQ38821" s="111"/>
      <c r="EF38821"/>
      <c r="EG38821"/>
      <c r="EH38821"/>
      <c r="EI38821"/>
      <c r="EJ38821"/>
      <c r="EK38821"/>
    </row>
    <row r="38822" spans="1:141" s="116" customFormat="1">
      <c r="A38822" s="136"/>
      <c r="CM38822" s="111"/>
      <c r="CQ38822" s="111"/>
      <c r="EF38822"/>
      <c r="EG38822"/>
      <c r="EH38822"/>
      <c r="EI38822"/>
      <c r="EJ38822"/>
      <c r="EK38822"/>
    </row>
    <row r="38823" spans="1:141" s="116" customFormat="1">
      <c r="A38823" s="136"/>
      <c r="CM38823" s="111"/>
      <c r="CQ38823" s="111"/>
      <c r="EF38823"/>
      <c r="EG38823"/>
      <c r="EH38823"/>
      <c r="EI38823"/>
      <c r="EJ38823"/>
      <c r="EK38823"/>
    </row>
    <row r="38824" spans="1:141" s="116" customFormat="1">
      <c r="A38824" s="136"/>
      <c r="CM38824" s="111"/>
      <c r="CQ38824" s="111"/>
      <c r="EF38824"/>
      <c r="EG38824"/>
      <c r="EH38824"/>
      <c r="EI38824"/>
      <c r="EJ38824"/>
      <c r="EK38824"/>
    </row>
    <row r="38825" spans="1:141" s="116" customFormat="1">
      <c r="A38825" s="136"/>
      <c r="CM38825" s="111"/>
      <c r="CQ38825" s="111"/>
      <c r="EF38825"/>
      <c r="EG38825"/>
      <c r="EH38825"/>
      <c r="EI38825"/>
      <c r="EJ38825"/>
      <c r="EK38825"/>
    </row>
    <row r="38826" spans="1:141" s="116" customFormat="1">
      <c r="A38826" s="136"/>
      <c r="CM38826" s="111"/>
      <c r="CQ38826" s="111"/>
      <c r="EF38826"/>
      <c r="EG38826"/>
      <c r="EH38826"/>
      <c r="EI38826"/>
      <c r="EJ38826"/>
      <c r="EK38826"/>
    </row>
    <row r="38827" spans="1:141" s="116" customFormat="1">
      <c r="A38827" s="136"/>
      <c r="CM38827" s="111"/>
      <c r="CQ38827" s="111"/>
      <c r="EF38827"/>
      <c r="EG38827"/>
      <c r="EH38827"/>
      <c r="EI38827"/>
      <c r="EJ38827"/>
      <c r="EK38827"/>
    </row>
    <row r="38828" spans="1:141" s="116" customFormat="1">
      <c r="A38828" s="136"/>
      <c r="CM38828" s="111"/>
      <c r="CQ38828" s="111"/>
      <c r="EF38828"/>
      <c r="EG38828"/>
      <c r="EH38828"/>
      <c r="EI38828"/>
      <c r="EJ38828"/>
      <c r="EK38828"/>
    </row>
    <row r="38829" spans="1:141" s="116" customFormat="1">
      <c r="A38829" s="136"/>
      <c r="CM38829" s="111"/>
      <c r="CQ38829" s="111"/>
      <c r="EF38829"/>
      <c r="EG38829"/>
      <c r="EH38829"/>
      <c r="EI38829"/>
      <c r="EJ38829"/>
      <c r="EK38829"/>
    </row>
    <row r="38830" spans="1:141" s="116" customFormat="1">
      <c r="A38830" s="136"/>
      <c r="CM38830" s="111"/>
      <c r="CQ38830" s="111"/>
      <c r="EF38830"/>
      <c r="EG38830"/>
      <c r="EH38830"/>
      <c r="EI38830"/>
      <c r="EJ38830"/>
      <c r="EK38830"/>
    </row>
    <row r="38831" spans="1:141" s="116" customFormat="1">
      <c r="A38831" s="136"/>
      <c r="CM38831" s="111"/>
      <c r="CQ38831" s="111"/>
      <c r="EF38831"/>
      <c r="EG38831"/>
      <c r="EH38831"/>
      <c r="EI38831"/>
      <c r="EJ38831"/>
      <c r="EK38831"/>
    </row>
    <row r="38832" spans="1:141" s="116" customFormat="1">
      <c r="A38832" s="136"/>
      <c r="CM38832" s="111"/>
      <c r="CQ38832" s="111"/>
      <c r="EF38832"/>
      <c r="EG38832"/>
      <c r="EH38832"/>
      <c r="EI38832"/>
      <c r="EJ38832"/>
      <c r="EK38832"/>
    </row>
    <row r="38833" spans="1:141" s="116" customFormat="1">
      <c r="A38833" s="136"/>
      <c r="CM38833" s="111"/>
      <c r="CQ38833" s="111"/>
      <c r="EF38833"/>
      <c r="EG38833"/>
      <c r="EH38833"/>
      <c r="EI38833"/>
      <c r="EJ38833"/>
      <c r="EK38833"/>
    </row>
    <row r="38834" spans="1:141" s="116" customFormat="1">
      <c r="A38834" s="136"/>
      <c r="CM38834" s="111"/>
      <c r="CQ38834" s="111"/>
      <c r="EF38834"/>
      <c r="EG38834"/>
      <c r="EH38834"/>
      <c r="EI38834"/>
      <c r="EJ38834"/>
      <c r="EK38834"/>
    </row>
    <row r="38835" spans="1:141" s="116" customFormat="1">
      <c r="A38835" s="136"/>
      <c r="CM38835" s="111"/>
      <c r="CQ38835" s="111"/>
      <c r="EF38835"/>
      <c r="EG38835"/>
      <c r="EH38835"/>
      <c r="EI38835"/>
      <c r="EJ38835"/>
      <c r="EK38835"/>
    </row>
    <row r="38836" spans="1:141" s="116" customFormat="1">
      <c r="A38836" s="136"/>
      <c r="CM38836" s="111"/>
      <c r="CQ38836" s="111"/>
      <c r="EF38836"/>
      <c r="EG38836"/>
      <c r="EH38836"/>
      <c r="EI38836"/>
      <c r="EJ38836"/>
      <c r="EK38836"/>
    </row>
    <row r="38837" spans="1:141" s="116" customFormat="1">
      <c r="A38837" s="136"/>
      <c r="CM38837" s="111"/>
      <c r="CQ38837" s="111"/>
      <c r="EF38837"/>
      <c r="EG38837"/>
      <c r="EH38837"/>
      <c r="EI38837"/>
      <c r="EJ38837"/>
      <c r="EK38837"/>
    </row>
    <row r="38838" spans="1:141" s="116" customFormat="1">
      <c r="A38838" s="136"/>
      <c r="CM38838" s="111"/>
      <c r="CQ38838" s="111"/>
      <c r="EF38838"/>
      <c r="EG38838"/>
      <c r="EH38838"/>
      <c r="EI38838"/>
      <c r="EJ38838"/>
      <c r="EK38838"/>
    </row>
    <row r="38839" spans="1:141" s="116" customFormat="1">
      <c r="A38839" s="136"/>
      <c r="CM38839" s="111"/>
      <c r="CQ38839" s="111"/>
      <c r="EF38839"/>
      <c r="EG38839"/>
      <c r="EH38839"/>
      <c r="EI38839"/>
      <c r="EJ38839"/>
      <c r="EK38839"/>
    </row>
    <row r="38840" spans="1:141" s="116" customFormat="1">
      <c r="A38840" s="136"/>
      <c r="CM38840" s="111"/>
      <c r="CQ38840" s="111"/>
      <c r="EF38840"/>
      <c r="EG38840"/>
      <c r="EH38840"/>
      <c r="EI38840"/>
      <c r="EJ38840"/>
      <c r="EK38840"/>
    </row>
    <row r="38841" spans="1:141" s="116" customFormat="1">
      <c r="A38841" s="136"/>
      <c r="CM38841" s="111"/>
      <c r="CQ38841" s="111"/>
      <c r="EF38841"/>
      <c r="EG38841"/>
      <c r="EH38841"/>
      <c r="EI38841"/>
      <c r="EJ38841"/>
      <c r="EK38841"/>
    </row>
    <row r="38842" spans="1:141" s="116" customFormat="1">
      <c r="A38842" s="136"/>
      <c r="CM38842" s="111"/>
      <c r="CQ38842" s="111"/>
      <c r="EF38842"/>
      <c r="EG38842"/>
      <c r="EH38842"/>
      <c r="EI38842"/>
      <c r="EJ38842"/>
      <c r="EK38842"/>
    </row>
    <row r="38843" spans="1:141" s="116" customFormat="1">
      <c r="A38843" s="136"/>
      <c r="CM38843" s="111"/>
      <c r="CQ38843" s="111"/>
      <c r="EF38843"/>
      <c r="EG38843"/>
      <c r="EH38843"/>
      <c r="EI38843"/>
      <c r="EJ38843"/>
      <c r="EK38843"/>
    </row>
    <row r="38844" spans="1:141" s="116" customFormat="1">
      <c r="A38844" s="136"/>
      <c r="CM38844" s="111"/>
      <c r="CQ38844" s="111"/>
      <c r="EF38844"/>
      <c r="EG38844"/>
      <c r="EH38844"/>
      <c r="EI38844"/>
      <c r="EJ38844"/>
      <c r="EK38844"/>
    </row>
    <row r="38845" spans="1:141" s="116" customFormat="1">
      <c r="A38845" s="136"/>
      <c r="CM38845" s="111"/>
      <c r="CQ38845" s="111"/>
      <c r="EF38845"/>
      <c r="EG38845"/>
      <c r="EH38845"/>
      <c r="EI38845"/>
      <c r="EJ38845"/>
      <c r="EK38845"/>
    </row>
    <row r="38846" spans="1:141" s="116" customFormat="1">
      <c r="A38846" s="136"/>
      <c r="CM38846" s="111"/>
      <c r="CQ38846" s="111"/>
      <c r="EF38846"/>
      <c r="EG38846"/>
      <c r="EH38846"/>
      <c r="EI38846"/>
      <c r="EJ38846"/>
      <c r="EK38846"/>
    </row>
    <row r="38847" spans="1:141" s="116" customFormat="1">
      <c r="A38847" s="136"/>
      <c r="CM38847" s="111"/>
      <c r="CQ38847" s="111"/>
      <c r="EF38847"/>
      <c r="EG38847"/>
      <c r="EH38847"/>
      <c r="EI38847"/>
      <c r="EJ38847"/>
      <c r="EK38847"/>
    </row>
    <row r="38848" spans="1:141" s="116" customFormat="1">
      <c r="A38848" s="136"/>
      <c r="CM38848" s="111"/>
      <c r="CQ38848" s="111"/>
      <c r="EF38848"/>
      <c r="EG38848"/>
      <c r="EH38848"/>
      <c r="EI38848"/>
      <c r="EJ38848"/>
      <c r="EK38848"/>
    </row>
    <row r="38849" spans="1:141" s="116" customFormat="1">
      <c r="A38849" s="136"/>
      <c r="CM38849" s="111"/>
      <c r="CQ38849" s="111"/>
      <c r="EF38849"/>
      <c r="EG38849"/>
      <c r="EH38849"/>
      <c r="EI38849"/>
      <c r="EJ38849"/>
      <c r="EK38849"/>
    </row>
    <row r="38850" spans="1:141" s="116" customFormat="1">
      <c r="A38850" s="136"/>
      <c r="CM38850" s="111"/>
      <c r="CQ38850" s="111"/>
      <c r="EF38850"/>
      <c r="EG38850"/>
      <c r="EH38850"/>
      <c r="EI38850"/>
      <c r="EJ38850"/>
      <c r="EK38850"/>
    </row>
    <row r="38851" spans="1:141" s="116" customFormat="1">
      <c r="A38851" s="136"/>
      <c r="CM38851" s="111"/>
      <c r="CQ38851" s="111"/>
      <c r="EF38851"/>
      <c r="EG38851"/>
      <c r="EH38851"/>
      <c r="EI38851"/>
      <c r="EJ38851"/>
      <c r="EK38851"/>
    </row>
    <row r="38852" spans="1:141" s="116" customFormat="1">
      <c r="A38852" s="136"/>
      <c r="CM38852" s="111"/>
      <c r="CQ38852" s="111"/>
      <c r="EF38852"/>
      <c r="EG38852"/>
      <c r="EH38852"/>
      <c r="EI38852"/>
      <c r="EJ38852"/>
      <c r="EK38852"/>
    </row>
    <row r="38853" spans="1:141" s="116" customFormat="1">
      <c r="A38853" s="136"/>
      <c r="CM38853" s="111"/>
      <c r="CQ38853" s="111"/>
      <c r="EF38853"/>
      <c r="EG38853"/>
      <c r="EH38853"/>
      <c r="EI38853"/>
      <c r="EJ38853"/>
      <c r="EK38853"/>
    </row>
    <row r="38854" spans="1:141" s="116" customFormat="1">
      <c r="A38854" s="136"/>
      <c r="CM38854" s="111"/>
      <c r="CQ38854" s="111"/>
      <c r="EF38854"/>
      <c r="EG38854"/>
      <c r="EH38854"/>
      <c r="EI38854"/>
      <c r="EJ38854"/>
      <c r="EK38854"/>
    </row>
    <row r="38855" spans="1:141" s="116" customFormat="1">
      <c r="A38855" s="136"/>
      <c r="CM38855" s="111"/>
      <c r="CQ38855" s="111"/>
      <c r="EF38855"/>
      <c r="EG38855"/>
      <c r="EH38855"/>
      <c r="EI38855"/>
      <c r="EJ38855"/>
      <c r="EK38855"/>
    </row>
    <row r="38856" spans="1:141" s="116" customFormat="1">
      <c r="A38856" s="136"/>
      <c r="CM38856" s="111"/>
      <c r="CQ38856" s="111"/>
      <c r="EF38856"/>
      <c r="EG38856"/>
      <c r="EH38856"/>
      <c r="EI38856"/>
      <c r="EJ38856"/>
      <c r="EK38856"/>
    </row>
    <row r="38857" spans="1:141" s="116" customFormat="1">
      <c r="A38857" s="136"/>
      <c r="CM38857" s="111"/>
      <c r="CQ38857" s="111"/>
      <c r="EF38857"/>
      <c r="EG38857"/>
      <c r="EH38857"/>
      <c r="EI38857"/>
      <c r="EJ38857"/>
      <c r="EK38857"/>
    </row>
    <row r="38858" spans="1:141" s="116" customFormat="1">
      <c r="A38858" s="136"/>
      <c r="CM38858" s="111"/>
      <c r="CQ38858" s="111"/>
      <c r="EF38858"/>
      <c r="EG38858"/>
      <c r="EH38858"/>
      <c r="EI38858"/>
      <c r="EJ38858"/>
      <c r="EK38858"/>
    </row>
    <row r="38859" spans="1:141" s="116" customFormat="1">
      <c r="A38859" s="136"/>
      <c r="CM38859" s="111"/>
      <c r="CQ38859" s="111"/>
      <c r="EF38859"/>
      <c r="EG38859"/>
      <c r="EH38859"/>
      <c r="EI38859"/>
      <c r="EJ38859"/>
      <c r="EK38859"/>
    </row>
    <row r="38860" spans="1:141" s="116" customFormat="1">
      <c r="A38860" s="136"/>
      <c r="CM38860" s="111"/>
      <c r="CQ38860" s="111"/>
      <c r="EF38860"/>
      <c r="EG38860"/>
      <c r="EH38860"/>
      <c r="EI38860"/>
      <c r="EJ38860"/>
      <c r="EK38860"/>
    </row>
    <row r="38861" spans="1:141" s="116" customFormat="1">
      <c r="A38861" s="136"/>
      <c r="CM38861" s="111"/>
      <c r="CQ38861" s="111"/>
      <c r="EF38861"/>
      <c r="EG38861"/>
      <c r="EH38861"/>
      <c r="EI38861"/>
      <c r="EJ38861"/>
      <c r="EK38861"/>
    </row>
    <row r="38862" spans="1:141" s="116" customFormat="1">
      <c r="A38862" s="136"/>
      <c r="CM38862" s="111"/>
      <c r="CQ38862" s="111"/>
      <c r="EF38862"/>
      <c r="EG38862"/>
      <c r="EH38862"/>
      <c r="EI38862"/>
      <c r="EJ38862"/>
      <c r="EK38862"/>
    </row>
    <row r="38863" spans="1:141" s="116" customFormat="1">
      <c r="A38863" s="136"/>
      <c r="CM38863" s="111"/>
      <c r="CQ38863" s="111"/>
      <c r="EF38863"/>
      <c r="EG38863"/>
      <c r="EH38863"/>
      <c r="EI38863"/>
      <c r="EJ38863"/>
      <c r="EK38863"/>
    </row>
    <row r="38864" spans="1:141" s="116" customFormat="1">
      <c r="A38864" s="136"/>
      <c r="CM38864" s="111"/>
      <c r="CQ38864" s="111"/>
      <c r="EF38864"/>
      <c r="EG38864"/>
      <c r="EH38864"/>
      <c r="EI38864"/>
      <c r="EJ38864"/>
      <c r="EK38864"/>
    </row>
    <row r="38865" spans="1:141" s="116" customFormat="1">
      <c r="A38865" s="136"/>
      <c r="CM38865" s="111"/>
      <c r="CQ38865" s="111"/>
      <c r="EF38865"/>
      <c r="EG38865"/>
      <c r="EH38865"/>
      <c r="EI38865"/>
      <c r="EJ38865"/>
      <c r="EK38865"/>
    </row>
    <row r="38866" spans="1:141" s="116" customFormat="1">
      <c r="A38866" s="136"/>
      <c r="CM38866" s="111"/>
      <c r="CQ38866" s="111"/>
      <c r="EF38866"/>
      <c r="EG38866"/>
      <c r="EH38866"/>
      <c r="EI38866"/>
      <c r="EJ38866"/>
      <c r="EK38866"/>
    </row>
    <row r="38867" spans="1:141" s="116" customFormat="1">
      <c r="A38867" s="136"/>
      <c r="CM38867" s="111"/>
      <c r="CQ38867" s="111"/>
      <c r="EF38867"/>
      <c r="EG38867"/>
      <c r="EH38867"/>
      <c r="EI38867"/>
      <c r="EJ38867"/>
      <c r="EK38867"/>
    </row>
    <row r="38868" spans="1:141" s="116" customFormat="1">
      <c r="A38868" s="136"/>
      <c r="CM38868" s="111"/>
      <c r="CQ38868" s="111"/>
      <c r="EF38868"/>
      <c r="EG38868"/>
      <c r="EH38868"/>
      <c r="EI38868"/>
      <c r="EJ38868"/>
      <c r="EK38868"/>
    </row>
    <row r="38869" spans="1:141" s="116" customFormat="1">
      <c r="A38869" s="136"/>
      <c r="CM38869" s="111"/>
      <c r="CQ38869" s="111"/>
      <c r="EF38869"/>
      <c r="EG38869"/>
      <c r="EH38869"/>
      <c r="EI38869"/>
      <c r="EJ38869"/>
      <c r="EK38869"/>
    </row>
    <row r="38870" spans="1:141" s="116" customFormat="1">
      <c r="A38870" s="136"/>
      <c r="CM38870" s="111"/>
      <c r="CQ38870" s="111"/>
      <c r="EF38870"/>
      <c r="EG38870"/>
      <c r="EH38870"/>
      <c r="EI38870"/>
      <c r="EJ38870"/>
      <c r="EK38870"/>
    </row>
    <row r="38871" spans="1:141" s="116" customFormat="1">
      <c r="A38871" s="136"/>
      <c r="CM38871" s="111"/>
      <c r="CQ38871" s="111"/>
      <c r="EF38871"/>
      <c r="EG38871"/>
      <c r="EH38871"/>
      <c r="EI38871"/>
      <c r="EJ38871"/>
      <c r="EK38871"/>
    </row>
    <row r="38872" spans="1:141" s="116" customFormat="1">
      <c r="A38872" s="136"/>
      <c r="CM38872" s="111"/>
      <c r="CQ38872" s="111"/>
      <c r="EF38872"/>
      <c r="EG38872"/>
      <c r="EH38872"/>
      <c r="EI38872"/>
      <c r="EJ38872"/>
      <c r="EK38872"/>
    </row>
    <row r="38873" spans="1:141" s="116" customFormat="1">
      <c r="A38873" s="136"/>
      <c r="CM38873" s="111"/>
      <c r="CQ38873" s="111"/>
      <c r="EF38873"/>
      <c r="EG38873"/>
      <c r="EH38873"/>
      <c r="EI38873"/>
      <c r="EJ38873"/>
      <c r="EK38873"/>
    </row>
    <row r="38874" spans="1:141" s="116" customFormat="1">
      <c r="A38874" s="136"/>
      <c r="CM38874" s="111"/>
      <c r="CQ38874" s="111"/>
      <c r="EF38874"/>
      <c r="EG38874"/>
      <c r="EH38874"/>
      <c r="EI38874"/>
      <c r="EJ38874"/>
      <c r="EK38874"/>
    </row>
    <row r="38875" spans="1:141" s="116" customFormat="1">
      <c r="A38875" s="136"/>
      <c r="CM38875" s="111"/>
      <c r="CQ38875" s="111"/>
      <c r="EF38875"/>
      <c r="EG38875"/>
      <c r="EH38875"/>
      <c r="EI38875"/>
      <c r="EJ38875"/>
      <c r="EK38875"/>
    </row>
    <row r="38876" spans="1:141" s="116" customFormat="1">
      <c r="A38876" s="136"/>
      <c r="CM38876" s="111"/>
      <c r="CQ38876" s="111"/>
      <c r="EF38876"/>
      <c r="EG38876"/>
      <c r="EH38876"/>
      <c r="EI38876"/>
      <c r="EJ38876"/>
      <c r="EK38876"/>
    </row>
    <row r="38877" spans="1:141" s="116" customFormat="1">
      <c r="A38877" s="136"/>
      <c r="CM38877" s="111"/>
      <c r="CQ38877" s="111"/>
      <c r="EF38877"/>
      <c r="EG38877"/>
      <c r="EH38877"/>
      <c r="EI38877"/>
      <c r="EJ38877"/>
      <c r="EK38877"/>
    </row>
    <row r="38878" spans="1:141" s="116" customFormat="1">
      <c r="A38878" s="136"/>
      <c r="CM38878" s="111"/>
      <c r="CQ38878" s="111"/>
      <c r="EF38878"/>
      <c r="EG38878"/>
      <c r="EH38878"/>
      <c r="EI38878"/>
      <c r="EJ38878"/>
      <c r="EK38878"/>
    </row>
    <row r="38879" spans="1:141" s="116" customFormat="1">
      <c r="A38879" s="136"/>
      <c r="CM38879" s="111"/>
      <c r="CQ38879" s="111"/>
      <c r="EF38879"/>
      <c r="EG38879"/>
      <c r="EH38879"/>
      <c r="EI38879"/>
      <c r="EJ38879"/>
      <c r="EK38879"/>
    </row>
    <row r="38880" spans="1:141" s="116" customFormat="1">
      <c r="A38880" s="136"/>
      <c r="CM38880" s="111"/>
      <c r="CQ38880" s="111"/>
      <c r="EF38880"/>
      <c r="EG38880"/>
      <c r="EH38880"/>
      <c r="EI38880"/>
      <c r="EJ38880"/>
      <c r="EK38880"/>
    </row>
    <row r="38881" spans="1:141" s="116" customFormat="1">
      <c r="A38881" s="136"/>
      <c r="CM38881" s="111"/>
      <c r="CQ38881" s="111"/>
      <c r="EF38881"/>
      <c r="EG38881"/>
      <c r="EH38881"/>
      <c r="EI38881"/>
      <c r="EJ38881"/>
      <c r="EK38881"/>
    </row>
    <row r="38882" spans="1:141" s="116" customFormat="1">
      <c r="A38882" s="136"/>
      <c r="CM38882" s="111"/>
      <c r="CQ38882" s="111"/>
      <c r="EF38882"/>
      <c r="EG38882"/>
      <c r="EH38882"/>
      <c r="EI38882"/>
      <c r="EJ38882"/>
      <c r="EK38882"/>
    </row>
    <row r="38883" spans="1:141" s="116" customFormat="1">
      <c r="A38883" s="136"/>
      <c r="CM38883" s="111"/>
      <c r="CQ38883" s="111"/>
      <c r="EF38883"/>
      <c r="EG38883"/>
      <c r="EH38883"/>
      <c r="EI38883"/>
      <c r="EJ38883"/>
      <c r="EK38883"/>
    </row>
    <row r="38884" spans="1:141" s="116" customFormat="1">
      <c r="A38884" s="136"/>
      <c r="CM38884" s="111"/>
      <c r="CQ38884" s="111"/>
      <c r="EF38884"/>
      <c r="EG38884"/>
      <c r="EH38884"/>
      <c r="EI38884"/>
      <c r="EJ38884"/>
      <c r="EK38884"/>
    </row>
    <row r="38885" spans="1:141" s="116" customFormat="1">
      <c r="A38885" s="136"/>
      <c r="CM38885" s="111"/>
      <c r="CQ38885" s="111"/>
      <c r="EF38885"/>
      <c r="EG38885"/>
      <c r="EH38885"/>
      <c r="EI38885"/>
      <c r="EJ38885"/>
      <c r="EK38885"/>
    </row>
    <row r="38886" spans="1:141" s="116" customFormat="1">
      <c r="A38886" s="136"/>
      <c r="CM38886" s="111"/>
      <c r="CQ38886" s="111"/>
      <c r="EF38886"/>
      <c r="EG38886"/>
      <c r="EH38886"/>
      <c r="EI38886"/>
      <c r="EJ38886"/>
      <c r="EK38886"/>
    </row>
    <row r="38887" spans="1:141" s="116" customFormat="1">
      <c r="A38887" s="136"/>
      <c r="CM38887" s="111"/>
      <c r="CQ38887" s="111"/>
      <c r="EF38887"/>
      <c r="EG38887"/>
      <c r="EH38887"/>
      <c r="EI38887"/>
      <c r="EJ38887"/>
      <c r="EK38887"/>
    </row>
    <row r="38888" spans="1:141" s="116" customFormat="1">
      <c r="A38888" s="136"/>
      <c r="CM38888" s="111"/>
      <c r="CQ38888" s="111"/>
      <c r="EF38888"/>
      <c r="EG38888"/>
      <c r="EH38888"/>
      <c r="EI38888"/>
      <c r="EJ38888"/>
      <c r="EK38888"/>
    </row>
    <row r="38889" spans="1:141" s="116" customFormat="1">
      <c r="A38889" s="136"/>
      <c r="CM38889" s="111"/>
      <c r="CQ38889" s="111"/>
      <c r="EF38889"/>
      <c r="EG38889"/>
      <c r="EH38889"/>
      <c r="EI38889"/>
      <c r="EJ38889"/>
      <c r="EK38889"/>
    </row>
    <row r="38890" spans="1:141" s="116" customFormat="1">
      <c r="A38890" s="136"/>
      <c r="CM38890" s="111"/>
      <c r="CQ38890" s="111"/>
      <c r="EF38890"/>
      <c r="EG38890"/>
      <c r="EH38890"/>
      <c r="EI38890"/>
      <c r="EJ38890"/>
      <c r="EK38890"/>
    </row>
    <row r="38891" spans="1:141" s="116" customFormat="1">
      <c r="A38891" s="136"/>
      <c r="CM38891" s="111"/>
      <c r="CQ38891" s="111"/>
      <c r="EF38891"/>
      <c r="EG38891"/>
      <c r="EH38891"/>
      <c r="EI38891"/>
      <c r="EJ38891"/>
      <c r="EK38891"/>
    </row>
    <row r="38892" spans="1:141" s="116" customFormat="1">
      <c r="A38892" s="136"/>
      <c r="CM38892" s="111"/>
      <c r="CQ38892" s="111"/>
      <c r="EF38892"/>
      <c r="EG38892"/>
      <c r="EH38892"/>
      <c r="EI38892"/>
      <c r="EJ38892"/>
      <c r="EK38892"/>
    </row>
    <row r="38893" spans="1:141" s="116" customFormat="1">
      <c r="A38893" s="136"/>
      <c r="CM38893" s="111"/>
      <c r="CQ38893" s="111"/>
      <c r="EF38893"/>
      <c r="EG38893"/>
      <c r="EH38893"/>
      <c r="EI38893"/>
      <c r="EJ38893"/>
      <c r="EK38893"/>
    </row>
    <row r="38894" spans="1:141" s="116" customFormat="1">
      <c r="A38894" s="136"/>
      <c r="CM38894" s="111"/>
      <c r="CQ38894" s="111"/>
      <c r="EF38894"/>
      <c r="EG38894"/>
      <c r="EH38894"/>
      <c r="EI38894"/>
      <c r="EJ38894"/>
      <c r="EK38894"/>
    </row>
    <row r="38895" spans="1:141" s="116" customFormat="1">
      <c r="A38895" s="136"/>
      <c r="CM38895" s="111"/>
      <c r="CQ38895" s="111"/>
      <c r="EF38895"/>
      <c r="EG38895"/>
      <c r="EH38895"/>
      <c r="EI38895"/>
      <c r="EJ38895"/>
      <c r="EK38895"/>
    </row>
    <row r="38896" spans="1:141" s="116" customFormat="1">
      <c r="A38896" s="136"/>
      <c r="CM38896" s="111"/>
      <c r="CQ38896" s="111"/>
      <c r="EF38896"/>
      <c r="EG38896"/>
      <c r="EH38896"/>
      <c r="EI38896"/>
      <c r="EJ38896"/>
      <c r="EK38896"/>
    </row>
    <row r="38897" spans="1:141" s="116" customFormat="1">
      <c r="A38897" s="136"/>
      <c r="CM38897" s="111"/>
      <c r="CQ38897" s="111"/>
      <c r="EF38897"/>
      <c r="EG38897"/>
      <c r="EH38897"/>
      <c r="EI38897"/>
      <c r="EJ38897"/>
      <c r="EK38897"/>
    </row>
    <row r="38898" spans="1:141" s="116" customFormat="1">
      <c r="A38898" s="136"/>
      <c r="CM38898" s="111"/>
      <c r="CQ38898" s="111"/>
      <c r="EF38898"/>
      <c r="EG38898"/>
      <c r="EH38898"/>
      <c r="EI38898"/>
      <c r="EJ38898"/>
      <c r="EK38898"/>
    </row>
    <row r="38899" spans="1:141" s="116" customFormat="1">
      <c r="A38899" s="136"/>
      <c r="CM38899" s="111"/>
      <c r="CQ38899" s="111"/>
      <c r="EF38899"/>
      <c r="EG38899"/>
      <c r="EH38899"/>
      <c r="EI38899"/>
      <c r="EJ38899"/>
      <c r="EK38899"/>
    </row>
    <row r="38900" spans="1:141" s="116" customFormat="1">
      <c r="A38900" s="136"/>
      <c r="CM38900" s="111"/>
      <c r="CQ38900" s="111"/>
      <c r="EF38900"/>
      <c r="EG38900"/>
      <c r="EH38900"/>
      <c r="EI38900"/>
      <c r="EJ38900"/>
      <c r="EK38900"/>
    </row>
    <row r="38901" spans="1:141" s="116" customFormat="1">
      <c r="A38901" s="136"/>
      <c r="CM38901" s="111"/>
      <c r="CQ38901" s="111"/>
      <c r="EF38901"/>
      <c r="EG38901"/>
      <c r="EH38901"/>
      <c r="EI38901"/>
      <c r="EJ38901"/>
      <c r="EK38901"/>
    </row>
    <row r="38902" spans="1:141" s="116" customFormat="1">
      <c r="A38902" s="136"/>
      <c r="CM38902" s="111"/>
      <c r="CQ38902" s="111"/>
      <c r="EF38902"/>
      <c r="EG38902"/>
      <c r="EH38902"/>
      <c r="EI38902"/>
      <c r="EJ38902"/>
      <c r="EK38902"/>
    </row>
    <row r="38903" spans="1:141" s="116" customFormat="1">
      <c r="A38903" s="136"/>
      <c r="CM38903" s="111"/>
      <c r="CQ38903" s="111"/>
      <c r="EF38903"/>
      <c r="EG38903"/>
      <c r="EH38903"/>
      <c r="EI38903"/>
      <c r="EJ38903"/>
      <c r="EK38903"/>
    </row>
    <row r="38904" spans="1:141" s="116" customFormat="1">
      <c r="A38904" s="136"/>
      <c r="CM38904" s="111"/>
      <c r="CQ38904" s="111"/>
      <c r="EF38904"/>
      <c r="EG38904"/>
      <c r="EH38904"/>
      <c r="EI38904"/>
      <c r="EJ38904"/>
      <c r="EK38904"/>
    </row>
    <row r="38905" spans="1:141" s="116" customFormat="1">
      <c r="A38905" s="136"/>
      <c r="CM38905" s="111"/>
      <c r="CQ38905" s="111"/>
      <c r="EF38905"/>
      <c r="EG38905"/>
      <c r="EH38905"/>
      <c r="EI38905"/>
      <c r="EJ38905"/>
      <c r="EK38905"/>
    </row>
    <row r="38906" spans="1:141" s="116" customFormat="1">
      <c r="A38906" s="136"/>
      <c r="CM38906" s="111"/>
      <c r="CQ38906" s="111"/>
      <c r="EF38906"/>
      <c r="EG38906"/>
      <c r="EH38906"/>
      <c r="EI38906"/>
      <c r="EJ38906"/>
      <c r="EK38906"/>
    </row>
    <row r="38907" spans="1:141" s="116" customFormat="1">
      <c r="A38907" s="136"/>
      <c r="CM38907" s="111"/>
      <c r="CQ38907" s="111"/>
      <c r="EF38907"/>
      <c r="EG38907"/>
      <c r="EH38907"/>
      <c r="EI38907"/>
      <c r="EJ38907"/>
      <c r="EK38907"/>
    </row>
    <row r="38908" spans="1:141" s="116" customFormat="1">
      <c r="A38908" s="136"/>
      <c r="CM38908" s="111"/>
      <c r="CQ38908" s="111"/>
      <c r="EF38908"/>
      <c r="EG38908"/>
      <c r="EH38908"/>
      <c r="EI38908"/>
      <c r="EJ38908"/>
      <c r="EK38908"/>
    </row>
    <row r="38909" spans="1:141" s="116" customFormat="1">
      <c r="A38909" s="136"/>
      <c r="CM38909" s="111"/>
      <c r="CQ38909" s="111"/>
      <c r="EF38909"/>
      <c r="EG38909"/>
      <c r="EH38909"/>
      <c r="EI38909"/>
      <c r="EJ38909"/>
      <c r="EK38909"/>
    </row>
    <row r="38910" spans="1:141" s="116" customFormat="1">
      <c r="A38910" s="136"/>
      <c r="CM38910" s="111"/>
      <c r="CQ38910" s="111"/>
      <c r="EF38910"/>
      <c r="EG38910"/>
      <c r="EH38910"/>
      <c r="EI38910"/>
      <c r="EJ38910"/>
      <c r="EK38910"/>
    </row>
    <row r="38911" spans="1:141" s="116" customFormat="1">
      <c r="A38911" s="136"/>
      <c r="CM38911" s="111"/>
      <c r="CQ38911" s="111"/>
      <c r="EF38911"/>
      <c r="EG38911"/>
      <c r="EH38911"/>
      <c r="EI38911"/>
      <c r="EJ38911"/>
      <c r="EK38911"/>
    </row>
    <row r="38912" spans="1:141" s="116" customFormat="1">
      <c r="A38912" s="136"/>
      <c r="CM38912" s="111"/>
      <c r="CQ38912" s="111"/>
      <c r="EF38912"/>
      <c r="EG38912"/>
      <c r="EH38912"/>
      <c r="EI38912"/>
      <c r="EJ38912"/>
      <c r="EK38912"/>
    </row>
    <row r="38913" spans="1:141" s="116" customFormat="1">
      <c r="A38913" s="136"/>
      <c r="CM38913" s="111"/>
      <c r="CQ38913" s="111"/>
      <c r="EF38913"/>
      <c r="EG38913"/>
      <c r="EH38913"/>
      <c r="EI38913"/>
      <c r="EJ38913"/>
      <c r="EK38913"/>
    </row>
    <row r="38914" spans="1:141" s="116" customFormat="1">
      <c r="A38914" s="136"/>
      <c r="CM38914" s="111"/>
      <c r="CQ38914" s="111"/>
      <c r="EF38914"/>
      <c r="EG38914"/>
      <c r="EH38914"/>
      <c r="EI38914"/>
      <c r="EJ38914"/>
      <c r="EK38914"/>
    </row>
    <row r="38915" spans="1:141" s="116" customFormat="1">
      <c r="A38915" s="136"/>
      <c r="CM38915" s="111"/>
      <c r="CQ38915" s="111"/>
      <c r="EF38915"/>
      <c r="EG38915"/>
      <c r="EH38915"/>
      <c r="EI38915"/>
      <c r="EJ38915"/>
      <c r="EK38915"/>
    </row>
    <row r="38916" spans="1:141" s="116" customFormat="1">
      <c r="A38916" s="136"/>
      <c r="CM38916" s="111"/>
      <c r="CQ38916" s="111"/>
      <c r="EF38916"/>
      <c r="EG38916"/>
      <c r="EH38916"/>
      <c r="EI38916"/>
      <c r="EJ38916"/>
      <c r="EK38916"/>
    </row>
    <row r="38917" spans="1:141" s="116" customFormat="1">
      <c r="A38917" s="136"/>
      <c r="CM38917" s="111"/>
      <c r="CQ38917" s="111"/>
      <c r="EF38917"/>
      <c r="EG38917"/>
      <c r="EH38917"/>
      <c r="EI38917"/>
      <c r="EJ38917"/>
      <c r="EK38917"/>
    </row>
    <row r="38918" spans="1:141" s="116" customFormat="1">
      <c r="A38918" s="136"/>
      <c r="CM38918" s="111"/>
      <c r="CQ38918" s="111"/>
      <c r="EF38918"/>
      <c r="EG38918"/>
      <c r="EH38918"/>
      <c r="EI38918"/>
      <c r="EJ38918"/>
      <c r="EK38918"/>
    </row>
    <row r="38919" spans="1:141" s="116" customFormat="1">
      <c r="A38919" s="136"/>
      <c r="CM38919" s="111"/>
      <c r="CQ38919" s="111"/>
      <c r="EF38919"/>
      <c r="EG38919"/>
      <c r="EH38919"/>
      <c r="EI38919"/>
      <c r="EJ38919"/>
      <c r="EK38919"/>
    </row>
    <row r="38920" spans="1:141" s="116" customFormat="1">
      <c r="A38920" s="136"/>
      <c r="CM38920" s="111"/>
      <c r="CQ38920" s="111"/>
      <c r="EF38920"/>
      <c r="EG38920"/>
      <c r="EH38920"/>
      <c r="EI38920"/>
      <c r="EJ38920"/>
      <c r="EK38920"/>
    </row>
    <row r="38921" spans="1:141" s="116" customFormat="1">
      <c r="A38921" s="136"/>
      <c r="CM38921" s="111"/>
      <c r="CQ38921" s="111"/>
      <c r="EF38921"/>
      <c r="EG38921"/>
      <c r="EH38921"/>
      <c r="EI38921"/>
      <c r="EJ38921"/>
      <c r="EK38921"/>
    </row>
    <row r="38922" spans="1:141" s="116" customFormat="1">
      <c r="A38922" s="136"/>
      <c r="CM38922" s="111"/>
      <c r="CQ38922" s="111"/>
      <c r="EF38922"/>
      <c r="EG38922"/>
      <c r="EH38922"/>
      <c r="EI38922"/>
      <c r="EJ38922"/>
      <c r="EK38922"/>
    </row>
    <row r="38923" spans="1:141" s="116" customFormat="1">
      <c r="A38923" s="136"/>
      <c r="CM38923" s="111"/>
      <c r="CQ38923" s="111"/>
      <c r="EF38923"/>
      <c r="EG38923"/>
      <c r="EH38923"/>
      <c r="EI38923"/>
      <c r="EJ38923"/>
      <c r="EK38923"/>
    </row>
    <row r="38924" spans="1:141" s="116" customFormat="1">
      <c r="A38924" s="136"/>
      <c r="CM38924" s="111"/>
      <c r="CQ38924" s="111"/>
      <c r="EF38924"/>
      <c r="EG38924"/>
      <c r="EH38924"/>
      <c r="EI38924"/>
      <c r="EJ38924"/>
      <c r="EK38924"/>
    </row>
    <row r="38925" spans="1:141" s="116" customFormat="1">
      <c r="A38925" s="136"/>
      <c r="CM38925" s="111"/>
      <c r="CQ38925" s="111"/>
      <c r="EF38925"/>
      <c r="EG38925"/>
      <c r="EH38925"/>
      <c r="EI38925"/>
      <c r="EJ38925"/>
      <c r="EK38925"/>
    </row>
    <row r="38926" spans="1:141" s="116" customFormat="1">
      <c r="A38926" s="136"/>
      <c r="CM38926" s="111"/>
      <c r="CQ38926" s="111"/>
      <c r="EF38926"/>
      <c r="EG38926"/>
      <c r="EH38926"/>
      <c r="EI38926"/>
      <c r="EJ38926"/>
      <c r="EK38926"/>
    </row>
    <row r="38927" spans="1:141" s="116" customFormat="1">
      <c r="A38927" s="136"/>
      <c r="CM38927" s="111"/>
      <c r="CQ38927" s="111"/>
      <c r="EF38927"/>
      <c r="EG38927"/>
      <c r="EH38927"/>
      <c r="EI38927"/>
      <c r="EJ38927"/>
      <c r="EK38927"/>
    </row>
    <row r="38928" spans="1:141" s="116" customFormat="1">
      <c r="A38928" s="136"/>
      <c r="CM38928" s="111"/>
      <c r="CQ38928" s="111"/>
      <c r="EF38928"/>
      <c r="EG38928"/>
      <c r="EH38928"/>
      <c r="EI38928"/>
      <c r="EJ38928"/>
      <c r="EK38928"/>
    </row>
    <row r="38929" spans="1:141" s="116" customFormat="1">
      <c r="A38929" s="136"/>
      <c r="CM38929" s="111"/>
      <c r="CQ38929" s="111"/>
      <c r="EF38929"/>
      <c r="EG38929"/>
      <c r="EH38929"/>
      <c r="EI38929"/>
      <c r="EJ38929"/>
      <c r="EK38929"/>
    </row>
    <row r="38930" spans="1:141" s="116" customFormat="1">
      <c r="A38930" s="136"/>
      <c r="CM38930" s="111"/>
      <c r="CQ38930" s="111"/>
      <c r="EF38930"/>
      <c r="EG38930"/>
      <c r="EH38930"/>
      <c r="EI38930"/>
      <c r="EJ38930"/>
      <c r="EK38930"/>
    </row>
    <row r="38931" spans="1:141" s="116" customFormat="1">
      <c r="A38931" s="136"/>
      <c r="CM38931" s="111"/>
      <c r="CQ38931" s="111"/>
      <c r="EF38931"/>
      <c r="EG38931"/>
      <c r="EH38931"/>
      <c r="EI38931"/>
      <c r="EJ38931"/>
      <c r="EK38931"/>
    </row>
    <row r="38932" spans="1:141" s="116" customFormat="1">
      <c r="A38932" s="136"/>
      <c r="CM38932" s="111"/>
      <c r="CQ38932" s="111"/>
      <c r="EF38932"/>
      <c r="EG38932"/>
      <c r="EH38932"/>
      <c r="EI38932"/>
      <c r="EJ38932"/>
      <c r="EK38932"/>
    </row>
    <row r="38933" spans="1:141" s="116" customFormat="1">
      <c r="A38933" s="136"/>
      <c r="CM38933" s="111"/>
      <c r="CQ38933" s="111"/>
      <c r="EF38933"/>
      <c r="EG38933"/>
      <c r="EH38933"/>
      <c r="EI38933"/>
      <c r="EJ38933"/>
      <c r="EK38933"/>
    </row>
    <row r="38934" spans="1:141" s="116" customFormat="1">
      <c r="A38934" s="136"/>
      <c r="CM38934" s="111"/>
      <c r="CQ38934" s="111"/>
      <c r="EF38934"/>
      <c r="EG38934"/>
      <c r="EH38934"/>
      <c r="EI38934"/>
      <c r="EJ38934"/>
      <c r="EK38934"/>
    </row>
    <row r="38935" spans="1:141" s="116" customFormat="1">
      <c r="A38935" s="136"/>
      <c r="CM38935" s="111"/>
      <c r="CQ38935" s="111"/>
      <c r="EF38935"/>
      <c r="EG38935"/>
      <c r="EH38935"/>
      <c r="EI38935"/>
      <c r="EJ38935"/>
      <c r="EK38935"/>
    </row>
    <row r="38936" spans="1:141" s="116" customFormat="1">
      <c r="A38936" s="136"/>
      <c r="CM38936" s="111"/>
      <c r="CQ38936" s="111"/>
      <c r="EF38936"/>
      <c r="EG38936"/>
      <c r="EH38936"/>
      <c r="EI38936"/>
      <c r="EJ38936"/>
      <c r="EK38936"/>
    </row>
    <row r="38937" spans="1:141" s="116" customFormat="1">
      <c r="A38937" s="136"/>
      <c r="CM38937" s="111"/>
      <c r="CQ38937" s="111"/>
      <c r="EF38937"/>
      <c r="EG38937"/>
      <c r="EH38937"/>
      <c r="EI38937"/>
      <c r="EJ38937"/>
      <c r="EK38937"/>
    </row>
    <row r="38938" spans="1:141" s="116" customFormat="1">
      <c r="A38938" s="136"/>
      <c r="CM38938" s="111"/>
      <c r="CQ38938" s="111"/>
      <c r="EF38938"/>
      <c r="EG38938"/>
      <c r="EH38938"/>
      <c r="EI38938"/>
      <c r="EJ38938"/>
      <c r="EK38938"/>
    </row>
    <row r="38939" spans="1:141" s="116" customFormat="1">
      <c r="A38939" s="136"/>
      <c r="CM38939" s="111"/>
      <c r="CQ38939" s="111"/>
      <c r="EF38939"/>
      <c r="EG38939"/>
      <c r="EH38939"/>
      <c r="EI38939"/>
      <c r="EJ38939"/>
      <c r="EK38939"/>
    </row>
    <row r="38940" spans="1:141" s="116" customFormat="1">
      <c r="A38940" s="136"/>
      <c r="CM38940" s="111"/>
      <c r="CQ38940" s="111"/>
      <c r="EF38940"/>
      <c r="EG38940"/>
      <c r="EH38940"/>
      <c r="EI38940"/>
      <c r="EJ38940"/>
      <c r="EK38940"/>
    </row>
    <row r="38941" spans="1:141" s="116" customFormat="1">
      <c r="A38941" s="136"/>
      <c r="CM38941" s="111"/>
      <c r="CQ38941" s="111"/>
      <c r="EF38941"/>
      <c r="EG38941"/>
      <c r="EH38941"/>
      <c r="EI38941"/>
      <c r="EJ38941"/>
      <c r="EK38941"/>
    </row>
    <row r="38942" spans="1:141" s="116" customFormat="1">
      <c r="A38942" s="136"/>
      <c r="CM38942" s="111"/>
      <c r="CQ38942" s="111"/>
      <c r="EF38942"/>
      <c r="EG38942"/>
      <c r="EH38942"/>
      <c r="EI38942"/>
      <c r="EJ38942"/>
      <c r="EK38942"/>
    </row>
    <row r="38943" spans="1:141" s="116" customFormat="1">
      <c r="A38943" s="136"/>
      <c r="CM38943" s="111"/>
      <c r="CQ38943" s="111"/>
      <c r="EF38943"/>
      <c r="EG38943"/>
      <c r="EH38943"/>
      <c r="EI38943"/>
      <c r="EJ38943"/>
      <c r="EK38943"/>
    </row>
    <row r="38944" spans="1:141" s="116" customFormat="1">
      <c r="A38944" s="136"/>
      <c r="CM38944" s="111"/>
      <c r="CQ38944" s="111"/>
      <c r="EF38944"/>
      <c r="EG38944"/>
      <c r="EH38944"/>
      <c r="EI38944"/>
      <c r="EJ38944"/>
      <c r="EK38944"/>
    </row>
    <row r="38945" spans="1:141" s="116" customFormat="1">
      <c r="A38945" s="136"/>
      <c r="CM38945" s="111"/>
      <c r="CQ38945" s="111"/>
      <c r="EF38945"/>
      <c r="EG38945"/>
      <c r="EH38945"/>
      <c r="EI38945"/>
      <c r="EJ38945"/>
      <c r="EK38945"/>
    </row>
    <row r="38946" spans="1:141" s="116" customFormat="1">
      <c r="A38946" s="136"/>
      <c r="CM38946" s="111"/>
      <c r="CQ38946" s="111"/>
      <c r="EF38946"/>
      <c r="EG38946"/>
      <c r="EH38946"/>
      <c r="EI38946"/>
      <c r="EJ38946"/>
      <c r="EK38946"/>
    </row>
    <row r="38947" spans="1:141" s="116" customFormat="1">
      <c r="A38947" s="136"/>
      <c r="CM38947" s="111"/>
      <c r="CQ38947" s="111"/>
      <c r="EF38947"/>
      <c r="EG38947"/>
      <c r="EH38947"/>
      <c r="EI38947"/>
      <c r="EJ38947"/>
      <c r="EK38947"/>
    </row>
    <row r="38948" spans="1:141" s="116" customFormat="1">
      <c r="A38948" s="136"/>
      <c r="CM38948" s="111"/>
      <c r="CQ38948" s="111"/>
      <c r="EF38948"/>
      <c r="EG38948"/>
      <c r="EH38948"/>
      <c r="EI38948"/>
      <c r="EJ38948"/>
      <c r="EK38948"/>
    </row>
    <row r="38949" spans="1:141" s="116" customFormat="1">
      <c r="A38949" s="136"/>
      <c r="CM38949" s="111"/>
      <c r="CQ38949" s="111"/>
      <c r="EF38949"/>
      <c r="EG38949"/>
      <c r="EH38949"/>
      <c r="EI38949"/>
      <c r="EJ38949"/>
      <c r="EK38949"/>
    </row>
    <row r="38950" spans="1:141" s="116" customFormat="1">
      <c r="A38950" s="136"/>
      <c r="CM38950" s="111"/>
      <c r="CQ38950" s="111"/>
      <c r="EF38950"/>
      <c r="EG38950"/>
      <c r="EH38950"/>
      <c r="EI38950"/>
      <c r="EJ38950"/>
      <c r="EK38950"/>
    </row>
    <row r="38951" spans="1:141" s="116" customFormat="1">
      <c r="A38951" s="136"/>
      <c r="CM38951" s="111"/>
      <c r="CQ38951" s="111"/>
      <c r="EF38951"/>
      <c r="EG38951"/>
      <c r="EH38951"/>
      <c r="EI38951"/>
      <c r="EJ38951"/>
      <c r="EK38951"/>
    </row>
    <row r="38952" spans="1:141" s="116" customFormat="1">
      <c r="A38952" s="136"/>
      <c r="CM38952" s="111"/>
      <c r="CQ38952" s="111"/>
      <c r="EF38952"/>
      <c r="EG38952"/>
      <c r="EH38952"/>
      <c r="EI38952"/>
      <c r="EJ38952"/>
      <c r="EK38952"/>
    </row>
    <row r="38953" spans="1:141" s="116" customFormat="1">
      <c r="A38953" s="136"/>
      <c r="CM38953" s="111"/>
      <c r="CQ38953" s="111"/>
      <c r="EF38953"/>
      <c r="EG38953"/>
      <c r="EH38953"/>
      <c r="EI38953"/>
      <c r="EJ38953"/>
      <c r="EK38953"/>
    </row>
    <row r="38954" spans="1:141" s="116" customFormat="1">
      <c r="A38954" s="136"/>
      <c r="CM38954" s="111"/>
      <c r="CQ38954" s="111"/>
      <c r="EF38954"/>
      <c r="EG38954"/>
      <c r="EH38954"/>
      <c r="EI38954"/>
      <c r="EJ38954"/>
      <c r="EK38954"/>
    </row>
    <row r="38955" spans="1:141" s="116" customFormat="1">
      <c r="A38955" s="136"/>
      <c r="CM38955" s="111"/>
      <c r="CQ38955" s="111"/>
      <c r="EF38955"/>
      <c r="EG38955"/>
      <c r="EH38955"/>
      <c r="EI38955"/>
      <c r="EJ38955"/>
      <c r="EK38955"/>
    </row>
    <row r="38956" spans="1:141" s="116" customFormat="1">
      <c r="A38956" s="136"/>
      <c r="CM38956" s="111"/>
      <c r="CQ38956" s="111"/>
      <c r="EF38956"/>
      <c r="EG38956"/>
      <c r="EH38956"/>
      <c r="EI38956"/>
      <c r="EJ38956"/>
      <c r="EK38956"/>
    </row>
    <row r="38957" spans="1:141" s="116" customFormat="1">
      <c r="A38957" s="136"/>
      <c r="CM38957" s="111"/>
      <c r="CQ38957" s="111"/>
      <c r="EF38957"/>
      <c r="EG38957"/>
      <c r="EH38957"/>
      <c r="EI38957"/>
      <c r="EJ38957"/>
      <c r="EK38957"/>
    </row>
    <row r="38958" spans="1:141" s="116" customFormat="1">
      <c r="A38958" s="136"/>
      <c r="CM38958" s="111"/>
      <c r="CQ38958" s="111"/>
      <c r="EF38958"/>
      <c r="EG38958"/>
      <c r="EH38958"/>
      <c r="EI38958"/>
      <c r="EJ38958"/>
      <c r="EK38958"/>
    </row>
    <row r="38959" spans="1:141" s="116" customFormat="1">
      <c r="A38959" s="136"/>
      <c r="CM38959" s="111"/>
      <c r="CQ38959" s="111"/>
      <c r="EF38959"/>
      <c r="EG38959"/>
      <c r="EH38959"/>
      <c r="EI38959"/>
      <c r="EJ38959"/>
      <c r="EK38959"/>
    </row>
    <row r="38960" spans="1:141" s="116" customFormat="1">
      <c r="A38960" s="136"/>
      <c r="CM38960" s="111"/>
      <c r="CQ38960" s="111"/>
      <c r="EF38960"/>
      <c r="EG38960"/>
      <c r="EH38960"/>
      <c r="EI38960"/>
      <c r="EJ38960"/>
      <c r="EK38960"/>
    </row>
    <row r="38961" spans="1:141" s="116" customFormat="1">
      <c r="A38961" s="136"/>
      <c r="CM38961" s="111"/>
      <c r="CQ38961" s="111"/>
      <c r="EF38961"/>
      <c r="EG38961"/>
      <c r="EH38961"/>
      <c r="EI38961"/>
      <c r="EJ38961"/>
      <c r="EK38961"/>
    </row>
    <row r="38962" spans="1:141" s="116" customFormat="1">
      <c r="A38962" s="136"/>
      <c r="CM38962" s="111"/>
      <c r="CQ38962" s="111"/>
      <c r="EF38962"/>
      <c r="EG38962"/>
      <c r="EH38962"/>
      <c r="EI38962"/>
      <c r="EJ38962"/>
      <c r="EK38962"/>
    </row>
    <row r="38963" spans="1:141" s="116" customFormat="1">
      <c r="A38963" s="136"/>
      <c r="CM38963" s="111"/>
      <c r="CQ38963" s="111"/>
      <c r="EF38963"/>
      <c r="EG38963"/>
      <c r="EH38963"/>
      <c r="EI38963"/>
      <c r="EJ38963"/>
      <c r="EK38963"/>
    </row>
    <row r="38964" spans="1:141" s="116" customFormat="1">
      <c r="A38964" s="136"/>
      <c r="CM38964" s="111"/>
      <c r="CQ38964" s="111"/>
      <c r="EF38964"/>
      <c r="EG38964"/>
      <c r="EH38964"/>
      <c r="EI38964"/>
      <c r="EJ38964"/>
      <c r="EK38964"/>
    </row>
    <row r="38965" spans="1:141" s="116" customFormat="1">
      <c r="A38965" s="136"/>
      <c r="CM38965" s="111"/>
      <c r="CQ38965" s="111"/>
      <c r="EF38965"/>
      <c r="EG38965"/>
      <c r="EH38965"/>
      <c r="EI38965"/>
      <c r="EJ38965"/>
      <c r="EK38965"/>
    </row>
    <row r="38966" spans="1:141" s="116" customFormat="1">
      <c r="A38966" s="136"/>
      <c r="CM38966" s="111"/>
      <c r="CQ38966" s="111"/>
      <c r="EF38966"/>
      <c r="EG38966"/>
      <c r="EH38966"/>
      <c r="EI38966"/>
      <c r="EJ38966"/>
      <c r="EK38966"/>
    </row>
    <row r="38967" spans="1:141" s="116" customFormat="1">
      <c r="A38967" s="136"/>
      <c r="CM38967" s="111"/>
      <c r="CQ38967" s="111"/>
      <c r="EF38967"/>
      <c r="EG38967"/>
      <c r="EH38967"/>
      <c r="EI38967"/>
      <c r="EJ38967"/>
      <c r="EK38967"/>
    </row>
    <row r="38968" spans="1:141" s="116" customFormat="1">
      <c r="A38968" s="136"/>
      <c r="CM38968" s="111"/>
      <c r="CQ38968" s="111"/>
      <c r="EF38968"/>
      <c r="EG38968"/>
      <c r="EH38968"/>
      <c r="EI38968"/>
      <c r="EJ38968"/>
      <c r="EK38968"/>
    </row>
    <row r="38969" spans="1:141" s="116" customFormat="1">
      <c r="A38969" s="136"/>
      <c r="CM38969" s="111"/>
      <c r="CQ38969" s="111"/>
      <c r="EF38969"/>
      <c r="EG38969"/>
      <c r="EH38969"/>
      <c r="EI38969"/>
      <c r="EJ38969"/>
      <c r="EK38969"/>
    </row>
    <row r="38970" spans="1:141" s="116" customFormat="1">
      <c r="A38970" s="136"/>
      <c r="CM38970" s="111"/>
      <c r="CQ38970" s="111"/>
      <c r="EF38970"/>
      <c r="EG38970"/>
      <c r="EH38970"/>
      <c r="EI38970"/>
      <c r="EJ38970"/>
      <c r="EK38970"/>
    </row>
    <row r="38971" spans="1:141" s="116" customFormat="1">
      <c r="A38971" s="136"/>
      <c r="CM38971" s="111"/>
      <c r="CQ38971" s="111"/>
      <c r="EF38971"/>
      <c r="EG38971"/>
      <c r="EH38971"/>
      <c r="EI38971"/>
      <c r="EJ38971"/>
      <c r="EK38971"/>
    </row>
    <row r="38972" spans="1:141" s="116" customFormat="1">
      <c r="A38972" s="136"/>
      <c r="CM38972" s="111"/>
      <c r="CQ38972" s="111"/>
      <c r="EF38972"/>
      <c r="EG38972"/>
      <c r="EH38972"/>
      <c r="EI38972"/>
      <c r="EJ38972"/>
      <c r="EK38972"/>
    </row>
    <row r="38973" spans="1:141" s="116" customFormat="1">
      <c r="A38973" s="136"/>
      <c r="CM38973" s="111"/>
      <c r="CQ38973" s="111"/>
      <c r="EF38973"/>
      <c r="EG38973"/>
      <c r="EH38973"/>
      <c r="EI38973"/>
      <c r="EJ38973"/>
      <c r="EK38973"/>
    </row>
    <row r="38974" spans="1:141" s="116" customFormat="1">
      <c r="A38974" s="136"/>
      <c r="CM38974" s="111"/>
      <c r="CQ38974" s="111"/>
      <c r="EF38974"/>
      <c r="EG38974"/>
      <c r="EH38974"/>
      <c r="EI38974"/>
      <c r="EJ38974"/>
      <c r="EK38974"/>
    </row>
    <row r="38975" spans="1:141" s="116" customFormat="1">
      <c r="A38975" s="136"/>
      <c r="CM38975" s="111"/>
      <c r="CQ38975" s="111"/>
      <c r="EF38975"/>
      <c r="EG38975"/>
      <c r="EH38975"/>
      <c r="EI38975"/>
      <c r="EJ38975"/>
      <c r="EK38975"/>
    </row>
    <row r="38976" spans="1:141" s="116" customFormat="1">
      <c r="A38976" s="136"/>
      <c r="CM38976" s="111"/>
      <c r="CQ38976" s="111"/>
      <c r="EF38976"/>
      <c r="EG38976"/>
      <c r="EH38976"/>
      <c r="EI38976"/>
      <c r="EJ38976"/>
      <c r="EK38976"/>
    </row>
    <row r="38977" spans="1:141" s="116" customFormat="1">
      <c r="A38977" s="136"/>
      <c r="CM38977" s="111"/>
      <c r="CQ38977" s="111"/>
      <c r="EF38977"/>
      <c r="EG38977"/>
      <c r="EH38977"/>
      <c r="EI38977"/>
      <c r="EJ38977"/>
      <c r="EK38977"/>
    </row>
    <row r="38978" spans="1:141" s="116" customFormat="1">
      <c r="A38978" s="136"/>
      <c r="CM38978" s="111"/>
      <c r="CQ38978" s="111"/>
      <c r="EF38978"/>
      <c r="EG38978"/>
      <c r="EH38978"/>
      <c r="EI38978"/>
      <c r="EJ38978"/>
      <c r="EK38978"/>
    </row>
    <row r="38979" spans="1:141" s="116" customFormat="1">
      <c r="A38979" s="136"/>
      <c r="CM38979" s="111"/>
      <c r="CQ38979" s="111"/>
      <c r="EF38979"/>
      <c r="EG38979"/>
      <c r="EH38979"/>
      <c r="EI38979"/>
      <c r="EJ38979"/>
      <c r="EK38979"/>
    </row>
    <row r="38980" spans="1:141" s="116" customFormat="1">
      <c r="A38980" s="136"/>
      <c r="CM38980" s="111"/>
      <c r="CQ38980" s="111"/>
      <c r="EF38980"/>
      <c r="EG38980"/>
      <c r="EH38980"/>
      <c r="EI38980"/>
      <c r="EJ38980"/>
      <c r="EK38980"/>
    </row>
    <row r="38981" spans="1:141" s="116" customFormat="1">
      <c r="A38981" s="136"/>
      <c r="CM38981" s="111"/>
      <c r="CQ38981" s="111"/>
      <c r="EF38981"/>
      <c r="EG38981"/>
      <c r="EH38981"/>
      <c r="EI38981"/>
      <c r="EJ38981"/>
      <c r="EK38981"/>
    </row>
    <row r="38982" spans="1:141" s="116" customFormat="1">
      <c r="A38982" s="136"/>
      <c r="CM38982" s="111"/>
      <c r="CQ38982" s="111"/>
      <c r="EF38982"/>
      <c r="EG38982"/>
      <c r="EH38982"/>
      <c r="EI38982"/>
      <c r="EJ38982"/>
      <c r="EK38982"/>
    </row>
    <row r="38983" spans="1:141" s="116" customFormat="1">
      <c r="A38983" s="136"/>
      <c r="CM38983" s="111"/>
      <c r="CQ38983" s="111"/>
      <c r="EF38983"/>
      <c r="EG38983"/>
      <c r="EH38983"/>
      <c r="EI38983"/>
      <c r="EJ38983"/>
      <c r="EK38983"/>
    </row>
    <row r="38984" spans="1:141" s="116" customFormat="1">
      <c r="A38984" s="136"/>
      <c r="CM38984" s="111"/>
      <c r="CQ38984" s="111"/>
      <c r="EF38984"/>
      <c r="EG38984"/>
      <c r="EH38984"/>
      <c r="EI38984"/>
      <c r="EJ38984"/>
      <c r="EK38984"/>
    </row>
    <row r="38985" spans="1:141" s="116" customFormat="1">
      <c r="A38985" s="136"/>
      <c r="CM38985" s="111"/>
      <c r="CQ38985" s="111"/>
      <c r="EF38985"/>
      <c r="EG38985"/>
      <c r="EH38985"/>
      <c r="EI38985"/>
      <c r="EJ38985"/>
      <c r="EK38985"/>
    </row>
    <row r="38986" spans="1:141" s="116" customFormat="1">
      <c r="A38986" s="136"/>
      <c r="CM38986" s="111"/>
      <c r="CQ38986" s="111"/>
      <c r="EF38986"/>
      <c r="EG38986"/>
      <c r="EH38986"/>
      <c r="EI38986"/>
      <c r="EJ38986"/>
      <c r="EK38986"/>
    </row>
    <row r="38987" spans="1:141" s="116" customFormat="1">
      <c r="A38987" s="136"/>
      <c r="CM38987" s="111"/>
      <c r="CQ38987" s="111"/>
      <c r="EF38987"/>
      <c r="EG38987"/>
      <c r="EH38987"/>
      <c r="EI38987"/>
      <c r="EJ38987"/>
      <c r="EK38987"/>
    </row>
    <row r="38988" spans="1:141" s="116" customFormat="1">
      <c r="A38988" s="136"/>
      <c r="CM38988" s="111"/>
      <c r="CQ38988" s="111"/>
      <c r="EF38988"/>
      <c r="EG38988"/>
      <c r="EH38988"/>
      <c r="EI38988"/>
      <c r="EJ38988"/>
      <c r="EK38988"/>
    </row>
    <row r="38989" spans="1:141" s="116" customFormat="1">
      <c r="A38989" s="136"/>
      <c r="CM38989" s="111"/>
      <c r="CQ38989" s="111"/>
      <c r="EF38989"/>
      <c r="EG38989"/>
      <c r="EH38989"/>
      <c r="EI38989"/>
      <c r="EJ38989"/>
      <c r="EK38989"/>
    </row>
    <row r="38990" spans="1:141" s="116" customFormat="1">
      <c r="A38990" s="136"/>
      <c r="CM38990" s="111"/>
      <c r="CQ38990" s="111"/>
      <c r="EF38990"/>
      <c r="EG38990"/>
      <c r="EH38990"/>
      <c r="EI38990"/>
      <c r="EJ38990"/>
      <c r="EK38990"/>
    </row>
    <row r="38991" spans="1:141" s="116" customFormat="1">
      <c r="A38991" s="136"/>
      <c r="CM38991" s="111"/>
      <c r="CQ38991" s="111"/>
      <c r="EF38991"/>
      <c r="EG38991"/>
      <c r="EH38991"/>
      <c r="EI38991"/>
      <c r="EJ38991"/>
      <c r="EK38991"/>
    </row>
    <row r="38992" spans="1:141" s="116" customFormat="1">
      <c r="A38992" s="136"/>
      <c r="CM38992" s="111"/>
      <c r="CQ38992" s="111"/>
      <c r="EF38992"/>
      <c r="EG38992"/>
      <c r="EH38992"/>
      <c r="EI38992"/>
      <c r="EJ38992"/>
      <c r="EK38992"/>
    </row>
    <row r="38993" spans="1:141" s="116" customFormat="1">
      <c r="A38993" s="136"/>
      <c r="CM38993" s="111"/>
      <c r="CQ38993" s="111"/>
      <c r="EF38993"/>
      <c r="EG38993"/>
      <c r="EH38993"/>
      <c r="EI38993"/>
      <c r="EJ38993"/>
      <c r="EK38993"/>
    </row>
    <row r="38994" spans="1:141" s="116" customFormat="1">
      <c r="A38994" s="136"/>
      <c r="CM38994" s="111"/>
      <c r="CQ38994" s="111"/>
      <c r="EF38994"/>
      <c r="EG38994"/>
      <c r="EH38994"/>
      <c r="EI38994"/>
      <c r="EJ38994"/>
      <c r="EK38994"/>
    </row>
    <row r="38995" spans="1:141" s="116" customFormat="1">
      <c r="A38995" s="136"/>
      <c r="CM38995" s="111"/>
      <c r="CQ38995" s="111"/>
      <c r="EF38995"/>
      <c r="EG38995"/>
      <c r="EH38995"/>
      <c r="EI38995"/>
      <c r="EJ38995"/>
      <c r="EK38995"/>
    </row>
    <row r="38996" spans="1:141" s="116" customFormat="1">
      <c r="A38996" s="136"/>
      <c r="CM38996" s="111"/>
      <c r="CQ38996" s="111"/>
      <c r="EF38996"/>
      <c r="EG38996"/>
      <c r="EH38996"/>
      <c r="EI38996"/>
      <c r="EJ38996"/>
      <c r="EK38996"/>
    </row>
    <row r="38997" spans="1:141" s="116" customFormat="1">
      <c r="A38997" s="136"/>
      <c r="CM38997" s="111"/>
      <c r="CQ38997" s="111"/>
      <c r="EF38997"/>
      <c r="EG38997"/>
      <c r="EH38997"/>
      <c r="EI38997"/>
      <c r="EJ38997"/>
      <c r="EK38997"/>
    </row>
    <row r="38998" spans="1:141" s="116" customFormat="1">
      <c r="A38998" s="136"/>
      <c r="CM38998" s="111"/>
      <c r="CQ38998" s="111"/>
      <c r="EF38998"/>
      <c r="EG38998"/>
      <c r="EH38998"/>
      <c r="EI38998"/>
      <c r="EJ38998"/>
      <c r="EK38998"/>
    </row>
    <row r="38999" spans="1:141" s="116" customFormat="1">
      <c r="A38999" s="136"/>
      <c r="CM38999" s="111"/>
      <c r="CQ38999" s="111"/>
      <c r="EF38999"/>
      <c r="EG38999"/>
      <c r="EH38999"/>
      <c r="EI38999"/>
      <c r="EJ38999"/>
      <c r="EK38999"/>
    </row>
    <row r="39000" spans="1:141" s="116" customFormat="1">
      <c r="A39000" s="136"/>
      <c r="CM39000" s="111"/>
      <c r="CQ39000" s="111"/>
      <c r="EF39000"/>
      <c r="EG39000"/>
      <c r="EH39000"/>
      <c r="EI39000"/>
      <c r="EJ39000"/>
      <c r="EK39000"/>
    </row>
    <row r="39001" spans="1:141" s="116" customFormat="1">
      <c r="A39001" s="136"/>
      <c r="CM39001" s="111"/>
      <c r="CQ39001" s="111"/>
      <c r="EF39001"/>
      <c r="EG39001"/>
      <c r="EH39001"/>
      <c r="EI39001"/>
      <c r="EJ39001"/>
      <c r="EK39001"/>
    </row>
    <row r="39002" spans="1:141" s="116" customFormat="1">
      <c r="A39002" s="136"/>
      <c r="CM39002" s="111"/>
      <c r="CQ39002" s="111"/>
      <c r="EF39002"/>
      <c r="EG39002"/>
      <c r="EH39002"/>
      <c r="EI39002"/>
      <c r="EJ39002"/>
      <c r="EK39002"/>
    </row>
    <row r="39003" spans="1:141" s="116" customFormat="1">
      <c r="A39003" s="136"/>
      <c r="CM39003" s="111"/>
      <c r="CQ39003" s="111"/>
      <c r="EF39003"/>
      <c r="EG39003"/>
      <c r="EH39003"/>
      <c r="EI39003"/>
      <c r="EJ39003"/>
      <c r="EK39003"/>
    </row>
    <row r="39004" spans="1:141" s="116" customFormat="1">
      <c r="A39004" s="136"/>
      <c r="CM39004" s="111"/>
      <c r="CQ39004" s="111"/>
      <c r="EF39004"/>
      <c r="EG39004"/>
      <c r="EH39004"/>
      <c r="EI39004"/>
      <c r="EJ39004"/>
      <c r="EK39004"/>
    </row>
    <row r="39005" spans="1:141" s="116" customFormat="1">
      <c r="A39005" s="136"/>
      <c r="CM39005" s="111"/>
      <c r="CQ39005" s="111"/>
      <c r="EF39005"/>
      <c r="EG39005"/>
      <c r="EH39005"/>
      <c r="EI39005"/>
      <c r="EJ39005"/>
      <c r="EK39005"/>
    </row>
    <row r="39006" spans="1:141" s="116" customFormat="1">
      <c r="A39006" s="136"/>
      <c r="CM39006" s="111"/>
      <c r="CQ39006" s="111"/>
      <c r="EF39006"/>
      <c r="EG39006"/>
      <c r="EH39006"/>
      <c r="EI39006"/>
      <c r="EJ39006"/>
      <c r="EK39006"/>
    </row>
    <row r="39007" spans="1:141" s="116" customFormat="1">
      <c r="A39007" s="136"/>
      <c r="CM39007" s="111"/>
      <c r="CQ39007" s="111"/>
      <c r="EF39007"/>
      <c r="EG39007"/>
      <c r="EH39007"/>
      <c r="EI39007"/>
      <c r="EJ39007"/>
      <c r="EK39007"/>
    </row>
    <row r="39008" spans="1:141" s="116" customFormat="1">
      <c r="A39008" s="136"/>
      <c r="CM39008" s="111"/>
      <c r="CQ39008" s="111"/>
      <c r="EF39008"/>
      <c r="EG39008"/>
      <c r="EH39008"/>
      <c r="EI39008"/>
      <c r="EJ39008"/>
      <c r="EK39008"/>
    </row>
    <row r="39009" spans="1:141" s="116" customFormat="1">
      <c r="A39009" s="136"/>
      <c r="CM39009" s="111"/>
      <c r="CQ39009" s="111"/>
      <c r="EF39009"/>
      <c r="EG39009"/>
      <c r="EH39009"/>
      <c r="EI39009"/>
      <c r="EJ39009"/>
      <c r="EK39009"/>
    </row>
    <row r="39010" spans="1:141" s="116" customFormat="1">
      <c r="A39010" s="136"/>
      <c r="CM39010" s="111"/>
      <c r="CQ39010" s="111"/>
      <c r="EF39010"/>
      <c r="EG39010"/>
      <c r="EH39010"/>
      <c r="EI39010"/>
      <c r="EJ39010"/>
      <c r="EK39010"/>
    </row>
    <row r="39011" spans="1:141" s="116" customFormat="1">
      <c r="A39011" s="136"/>
      <c r="CM39011" s="111"/>
      <c r="CQ39011" s="111"/>
      <c r="EF39011"/>
      <c r="EG39011"/>
      <c r="EH39011"/>
      <c r="EI39011"/>
      <c r="EJ39011"/>
      <c r="EK39011"/>
    </row>
    <row r="39012" spans="1:141" s="116" customFormat="1">
      <c r="A39012" s="136"/>
      <c r="CM39012" s="111"/>
      <c r="CQ39012" s="111"/>
      <c r="EF39012"/>
      <c r="EG39012"/>
      <c r="EH39012"/>
      <c r="EI39012"/>
      <c r="EJ39012"/>
      <c r="EK39012"/>
    </row>
    <row r="39013" spans="1:141" s="116" customFormat="1">
      <c r="A39013" s="136"/>
      <c r="CM39013" s="111"/>
      <c r="CQ39013" s="111"/>
      <c r="EF39013"/>
      <c r="EG39013"/>
      <c r="EH39013"/>
      <c r="EI39013"/>
      <c r="EJ39013"/>
      <c r="EK39013"/>
    </row>
    <row r="39014" spans="1:141" s="116" customFormat="1">
      <c r="A39014" s="136"/>
      <c r="CM39014" s="111"/>
      <c r="CQ39014" s="111"/>
      <c r="EF39014"/>
      <c r="EG39014"/>
      <c r="EH39014"/>
      <c r="EI39014"/>
      <c r="EJ39014"/>
      <c r="EK39014"/>
    </row>
    <row r="39015" spans="1:141" s="116" customFormat="1">
      <c r="A39015" s="136"/>
      <c r="CM39015" s="111"/>
      <c r="CQ39015" s="111"/>
      <c r="EF39015"/>
      <c r="EG39015"/>
      <c r="EH39015"/>
      <c r="EI39015"/>
      <c r="EJ39015"/>
      <c r="EK39015"/>
    </row>
    <row r="39016" spans="1:141" s="116" customFormat="1">
      <c r="A39016" s="136"/>
      <c r="CM39016" s="111"/>
      <c r="CQ39016" s="111"/>
      <c r="EF39016"/>
      <c r="EG39016"/>
      <c r="EH39016"/>
      <c r="EI39016"/>
      <c r="EJ39016"/>
      <c r="EK39016"/>
    </row>
    <row r="39017" spans="1:141" s="116" customFormat="1">
      <c r="A39017" s="136"/>
      <c r="CM39017" s="111"/>
      <c r="CQ39017" s="111"/>
      <c r="EF39017"/>
      <c r="EG39017"/>
      <c r="EH39017"/>
      <c r="EI39017"/>
      <c r="EJ39017"/>
      <c r="EK39017"/>
    </row>
    <row r="39018" spans="1:141" s="116" customFormat="1">
      <c r="A39018" s="136"/>
      <c r="CM39018" s="111"/>
      <c r="CQ39018" s="111"/>
      <c r="EF39018"/>
      <c r="EG39018"/>
      <c r="EH39018"/>
      <c r="EI39018"/>
      <c r="EJ39018"/>
      <c r="EK39018"/>
    </row>
    <row r="39019" spans="1:141" s="116" customFormat="1">
      <c r="A39019" s="136"/>
      <c r="CM39019" s="111"/>
      <c r="CQ39019" s="111"/>
      <c r="EF39019"/>
      <c r="EG39019"/>
      <c r="EH39019"/>
      <c r="EI39019"/>
      <c r="EJ39019"/>
      <c r="EK39019"/>
    </row>
    <row r="39020" spans="1:141" s="116" customFormat="1">
      <c r="A39020" s="136"/>
      <c r="CM39020" s="111"/>
      <c r="CQ39020" s="111"/>
      <c r="EF39020"/>
      <c r="EG39020"/>
      <c r="EH39020"/>
      <c r="EI39020"/>
      <c r="EJ39020"/>
      <c r="EK39020"/>
    </row>
    <row r="39021" spans="1:141" s="116" customFormat="1">
      <c r="A39021" s="136"/>
      <c r="CM39021" s="111"/>
      <c r="CQ39021" s="111"/>
      <c r="EF39021"/>
      <c r="EG39021"/>
      <c r="EH39021"/>
      <c r="EI39021"/>
      <c r="EJ39021"/>
      <c r="EK39021"/>
    </row>
    <row r="39022" spans="1:141" s="116" customFormat="1">
      <c r="A39022" s="136"/>
      <c r="CM39022" s="111"/>
      <c r="CQ39022" s="111"/>
      <c r="EF39022"/>
      <c r="EG39022"/>
      <c r="EH39022"/>
      <c r="EI39022"/>
      <c r="EJ39022"/>
      <c r="EK39022"/>
    </row>
    <row r="39023" spans="1:141" s="116" customFormat="1">
      <c r="A39023" s="136"/>
      <c r="CM39023" s="111"/>
      <c r="CQ39023" s="111"/>
      <c r="EF39023"/>
      <c r="EG39023"/>
      <c r="EH39023"/>
      <c r="EI39023"/>
      <c r="EJ39023"/>
      <c r="EK39023"/>
    </row>
    <row r="39024" spans="1:141" s="116" customFormat="1">
      <c r="A39024" s="136"/>
      <c r="CM39024" s="111"/>
      <c r="CQ39024" s="111"/>
      <c r="EF39024"/>
      <c r="EG39024"/>
      <c r="EH39024"/>
      <c r="EI39024"/>
      <c r="EJ39024"/>
      <c r="EK39024"/>
    </row>
    <row r="39025" spans="1:141" s="116" customFormat="1">
      <c r="A39025" s="136"/>
      <c r="CM39025" s="111"/>
      <c r="CQ39025" s="111"/>
      <c r="EF39025"/>
      <c r="EG39025"/>
      <c r="EH39025"/>
      <c r="EI39025"/>
      <c r="EJ39025"/>
      <c r="EK39025"/>
    </row>
    <row r="39026" spans="1:141" s="116" customFormat="1">
      <c r="A39026" s="136"/>
      <c r="CM39026" s="111"/>
      <c r="CQ39026" s="111"/>
      <c r="EF39026"/>
      <c r="EG39026"/>
      <c r="EH39026"/>
      <c r="EI39026"/>
      <c r="EJ39026"/>
      <c r="EK39026"/>
    </row>
    <row r="39027" spans="1:141" s="116" customFormat="1">
      <c r="A39027" s="136"/>
      <c r="CM39027" s="111"/>
      <c r="CQ39027" s="111"/>
      <c r="EF39027"/>
      <c r="EG39027"/>
      <c r="EH39027"/>
      <c r="EI39027"/>
      <c r="EJ39027"/>
      <c r="EK39027"/>
    </row>
    <row r="39028" spans="1:141" s="116" customFormat="1">
      <c r="A39028" s="136"/>
      <c r="CM39028" s="111"/>
      <c r="CQ39028" s="111"/>
      <c r="EF39028"/>
      <c r="EG39028"/>
      <c r="EH39028"/>
      <c r="EI39028"/>
      <c r="EJ39028"/>
      <c r="EK39028"/>
    </row>
    <row r="39029" spans="1:141" s="116" customFormat="1">
      <c r="A39029" s="136"/>
      <c r="CM39029" s="111"/>
      <c r="CQ39029" s="111"/>
      <c r="EF39029"/>
      <c r="EG39029"/>
      <c r="EH39029"/>
      <c r="EI39029"/>
      <c r="EJ39029"/>
      <c r="EK39029"/>
    </row>
    <row r="39030" spans="1:141" s="116" customFormat="1">
      <c r="A39030" s="136"/>
      <c r="CM39030" s="111"/>
      <c r="CQ39030" s="111"/>
      <c r="EF39030"/>
      <c r="EG39030"/>
      <c r="EH39030"/>
      <c r="EI39030"/>
      <c r="EJ39030"/>
      <c r="EK39030"/>
    </row>
    <row r="39031" spans="1:141" s="116" customFormat="1">
      <c r="A39031" s="136"/>
      <c r="CM39031" s="111"/>
      <c r="CQ39031" s="111"/>
      <c r="EF39031"/>
      <c r="EG39031"/>
      <c r="EH39031"/>
      <c r="EI39031"/>
      <c r="EJ39031"/>
      <c r="EK39031"/>
    </row>
    <row r="39032" spans="1:141" s="116" customFormat="1">
      <c r="A39032" s="136"/>
      <c r="CM39032" s="111"/>
      <c r="CQ39032" s="111"/>
      <c r="EF39032"/>
      <c r="EG39032"/>
      <c r="EH39032"/>
      <c r="EI39032"/>
      <c r="EJ39032"/>
      <c r="EK39032"/>
    </row>
    <row r="39033" spans="1:141" s="116" customFormat="1">
      <c r="A39033" s="136"/>
      <c r="CM39033" s="111"/>
      <c r="CQ39033" s="111"/>
      <c r="EF39033"/>
      <c r="EG39033"/>
      <c r="EH39033"/>
      <c r="EI39033"/>
      <c r="EJ39033"/>
      <c r="EK39033"/>
    </row>
    <row r="39034" spans="1:141" s="116" customFormat="1">
      <c r="A39034" s="136"/>
      <c r="CM39034" s="111"/>
      <c r="CQ39034" s="111"/>
      <c r="EF39034"/>
      <c r="EG39034"/>
      <c r="EH39034"/>
      <c r="EI39034"/>
      <c r="EJ39034"/>
      <c r="EK39034"/>
    </row>
    <row r="39035" spans="1:141" s="116" customFormat="1">
      <c r="A39035" s="136"/>
      <c r="CM39035" s="111"/>
      <c r="CQ39035" s="111"/>
      <c r="EF39035"/>
      <c r="EG39035"/>
      <c r="EH39035"/>
      <c r="EI39035"/>
      <c r="EJ39035"/>
      <c r="EK39035"/>
    </row>
    <row r="39036" spans="1:141" s="116" customFormat="1">
      <c r="A39036" s="136"/>
      <c r="CM39036" s="111"/>
      <c r="CQ39036" s="111"/>
      <c r="EF39036"/>
      <c r="EG39036"/>
      <c r="EH39036"/>
      <c r="EI39036"/>
      <c r="EJ39036"/>
      <c r="EK39036"/>
    </row>
    <row r="39037" spans="1:141" s="116" customFormat="1">
      <c r="A39037" s="136"/>
      <c r="CM39037" s="111"/>
      <c r="CQ39037" s="111"/>
      <c r="EF39037"/>
      <c r="EG39037"/>
      <c r="EH39037"/>
      <c r="EI39037"/>
      <c r="EJ39037"/>
      <c r="EK39037"/>
    </row>
    <row r="39038" spans="1:141" s="116" customFormat="1">
      <c r="A39038" s="136"/>
      <c r="CM39038" s="111"/>
      <c r="CQ39038" s="111"/>
      <c r="EF39038"/>
      <c r="EG39038"/>
      <c r="EH39038"/>
      <c r="EI39038"/>
      <c r="EJ39038"/>
      <c r="EK39038"/>
    </row>
    <row r="39039" spans="1:141" s="116" customFormat="1">
      <c r="A39039" s="136"/>
      <c r="CM39039" s="111"/>
      <c r="CQ39039" s="111"/>
      <c r="EF39039"/>
      <c r="EG39039"/>
      <c r="EH39039"/>
      <c r="EI39039"/>
      <c r="EJ39039"/>
      <c r="EK39039"/>
    </row>
    <row r="39040" spans="1:141" s="116" customFormat="1">
      <c r="A39040" s="136"/>
      <c r="CM39040" s="111"/>
      <c r="CQ39040" s="111"/>
      <c r="EF39040"/>
      <c r="EG39040"/>
      <c r="EH39040"/>
      <c r="EI39040"/>
      <c r="EJ39040"/>
      <c r="EK39040"/>
    </row>
    <row r="39041" spans="1:141" s="116" customFormat="1">
      <c r="A39041" s="136"/>
      <c r="CM39041" s="111"/>
      <c r="CQ39041" s="111"/>
      <c r="EF39041"/>
      <c r="EG39041"/>
      <c r="EH39041"/>
      <c r="EI39041"/>
      <c r="EJ39041"/>
      <c r="EK39041"/>
    </row>
    <row r="39042" spans="1:141" s="116" customFormat="1">
      <c r="A39042" s="136"/>
      <c r="CM39042" s="111"/>
      <c r="CQ39042" s="111"/>
      <c r="EF39042"/>
      <c r="EG39042"/>
      <c r="EH39042"/>
      <c r="EI39042"/>
      <c r="EJ39042"/>
      <c r="EK39042"/>
    </row>
    <row r="39043" spans="1:141" s="116" customFormat="1">
      <c r="A39043" s="136"/>
      <c r="CM39043" s="111"/>
      <c r="CQ39043" s="111"/>
      <c r="EF39043"/>
      <c r="EG39043"/>
      <c r="EH39043"/>
      <c r="EI39043"/>
      <c r="EJ39043"/>
      <c r="EK39043"/>
    </row>
    <row r="39044" spans="1:141" s="116" customFormat="1">
      <c r="A39044" s="136"/>
      <c r="CM39044" s="111"/>
      <c r="CQ39044" s="111"/>
      <c r="EF39044"/>
      <c r="EG39044"/>
      <c r="EH39044"/>
      <c r="EI39044"/>
      <c r="EJ39044"/>
      <c r="EK39044"/>
    </row>
    <row r="39045" spans="1:141" s="116" customFormat="1">
      <c r="A39045" s="136"/>
      <c r="CM39045" s="111"/>
      <c r="CQ39045" s="111"/>
      <c r="EF39045"/>
      <c r="EG39045"/>
      <c r="EH39045"/>
      <c r="EI39045"/>
      <c r="EJ39045"/>
      <c r="EK39045"/>
    </row>
    <row r="39046" spans="1:141" s="116" customFormat="1">
      <c r="A39046" s="136"/>
      <c r="CM39046" s="111"/>
      <c r="CQ39046" s="111"/>
      <c r="EF39046"/>
      <c r="EG39046"/>
      <c r="EH39046"/>
      <c r="EI39046"/>
      <c r="EJ39046"/>
      <c r="EK39046"/>
    </row>
    <row r="39047" spans="1:141" s="116" customFormat="1">
      <c r="A39047" s="136"/>
      <c r="CM39047" s="111"/>
      <c r="CQ39047" s="111"/>
      <c r="EF39047"/>
      <c r="EG39047"/>
      <c r="EH39047"/>
      <c r="EI39047"/>
      <c r="EJ39047"/>
      <c r="EK39047"/>
    </row>
    <row r="39048" spans="1:141" s="116" customFormat="1">
      <c r="A39048" s="136"/>
      <c r="CM39048" s="111"/>
      <c r="CQ39048" s="111"/>
      <c r="EF39048"/>
      <c r="EG39048"/>
      <c r="EH39048"/>
      <c r="EI39048"/>
      <c r="EJ39048"/>
      <c r="EK39048"/>
    </row>
    <row r="39049" spans="1:141" s="116" customFormat="1">
      <c r="A39049" s="136"/>
      <c r="CM39049" s="111"/>
      <c r="CQ39049" s="111"/>
      <c r="EF39049"/>
      <c r="EG39049"/>
      <c r="EH39049"/>
      <c r="EI39049"/>
      <c r="EJ39049"/>
      <c r="EK39049"/>
    </row>
    <row r="39050" spans="1:141" s="116" customFormat="1">
      <c r="A39050" s="136"/>
      <c r="CM39050" s="111"/>
      <c r="CQ39050" s="111"/>
      <c r="EF39050"/>
      <c r="EG39050"/>
      <c r="EH39050"/>
      <c r="EI39050"/>
      <c r="EJ39050"/>
      <c r="EK39050"/>
    </row>
    <row r="39051" spans="1:141" s="116" customFormat="1">
      <c r="A39051" s="136"/>
      <c r="CM39051" s="111"/>
      <c r="CQ39051" s="111"/>
      <c r="EF39051"/>
      <c r="EG39051"/>
      <c r="EH39051"/>
      <c r="EI39051"/>
      <c r="EJ39051"/>
      <c r="EK39051"/>
    </row>
    <row r="39052" spans="1:141" s="116" customFormat="1">
      <c r="A39052" s="136"/>
      <c r="CM39052" s="111"/>
      <c r="CQ39052" s="111"/>
      <c r="EF39052"/>
      <c r="EG39052"/>
      <c r="EH39052"/>
      <c r="EI39052"/>
      <c r="EJ39052"/>
      <c r="EK39052"/>
    </row>
    <row r="39053" spans="1:141" s="116" customFormat="1">
      <c r="A39053" s="136"/>
      <c r="CM39053" s="111"/>
      <c r="CQ39053" s="111"/>
      <c r="EF39053"/>
      <c r="EG39053"/>
      <c r="EH39053"/>
      <c r="EI39053"/>
      <c r="EJ39053"/>
      <c r="EK39053"/>
    </row>
    <row r="39054" spans="1:141" s="116" customFormat="1">
      <c r="A39054" s="136"/>
      <c r="CM39054" s="111"/>
      <c r="CQ39054" s="111"/>
      <c r="EF39054"/>
      <c r="EG39054"/>
      <c r="EH39054"/>
      <c r="EI39054"/>
      <c r="EJ39054"/>
      <c r="EK39054"/>
    </row>
    <row r="39055" spans="1:141" s="116" customFormat="1">
      <c r="A39055" s="136"/>
      <c r="CM39055" s="111"/>
      <c r="CQ39055" s="111"/>
      <c r="EF39055"/>
      <c r="EG39055"/>
      <c r="EH39055"/>
      <c r="EI39055"/>
      <c r="EJ39055"/>
      <c r="EK39055"/>
    </row>
    <row r="39056" spans="1:141" s="116" customFormat="1">
      <c r="A39056" s="136"/>
      <c r="CM39056" s="111"/>
      <c r="CQ39056" s="111"/>
      <c r="EF39056"/>
      <c r="EG39056"/>
      <c r="EH39056"/>
      <c r="EI39056"/>
      <c r="EJ39056"/>
      <c r="EK39056"/>
    </row>
    <row r="39057" spans="1:141" s="116" customFormat="1">
      <c r="A39057" s="136"/>
      <c r="CM39057" s="111"/>
      <c r="CQ39057" s="111"/>
      <c r="EF39057"/>
      <c r="EG39057"/>
      <c r="EH39057"/>
      <c r="EI39057"/>
      <c r="EJ39057"/>
      <c r="EK39057"/>
    </row>
    <row r="39058" spans="1:141" s="116" customFormat="1">
      <c r="A39058" s="136"/>
      <c r="CM39058" s="111"/>
      <c r="CQ39058" s="111"/>
      <c r="EF39058"/>
      <c r="EG39058"/>
      <c r="EH39058"/>
      <c r="EI39058"/>
      <c r="EJ39058"/>
      <c r="EK39058"/>
    </row>
    <row r="39059" spans="1:141" s="116" customFormat="1">
      <c r="A39059" s="136"/>
      <c r="CM39059" s="111"/>
      <c r="CQ39059" s="111"/>
      <c r="EF39059"/>
      <c r="EG39059"/>
      <c r="EH39059"/>
      <c r="EI39059"/>
      <c r="EJ39059"/>
      <c r="EK39059"/>
    </row>
    <row r="39060" spans="1:141" s="116" customFormat="1">
      <c r="A39060" s="136"/>
      <c r="CM39060" s="111"/>
      <c r="CQ39060" s="111"/>
      <c r="EF39060"/>
      <c r="EG39060"/>
      <c r="EH39060"/>
      <c r="EI39060"/>
      <c r="EJ39060"/>
      <c r="EK39060"/>
    </row>
    <row r="39061" spans="1:141" s="116" customFormat="1">
      <c r="A39061" s="136"/>
      <c r="CM39061" s="111"/>
      <c r="CQ39061" s="111"/>
      <c r="EF39061"/>
      <c r="EG39061"/>
      <c r="EH39061"/>
      <c r="EI39061"/>
      <c r="EJ39061"/>
      <c r="EK39061"/>
    </row>
    <row r="39062" spans="1:141" s="116" customFormat="1">
      <c r="A39062" s="136"/>
      <c r="CM39062" s="111"/>
      <c r="CQ39062" s="111"/>
      <c r="EF39062"/>
      <c r="EG39062"/>
      <c r="EH39062"/>
      <c r="EI39062"/>
      <c r="EJ39062"/>
      <c r="EK39062"/>
    </row>
    <row r="39063" spans="1:141" s="116" customFormat="1">
      <c r="A39063" s="136"/>
      <c r="CM39063" s="111"/>
      <c r="CQ39063" s="111"/>
      <c r="EF39063"/>
      <c r="EG39063"/>
      <c r="EH39063"/>
      <c r="EI39063"/>
      <c r="EJ39063"/>
      <c r="EK39063"/>
    </row>
    <row r="39064" spans="1:141" s="116" customFormat="1">
      <c r="A39064" s="136"/>
      <c r="CM39064" s="111"/>
      <c r="CQ39064" s="111"/>
      <c r="EF39064"/>
      <c r="EG39064"/>
      <c r="EH39064"/>
      <c r="EI39064"/>
      <c r="EJ39064"/>
      <c r="EK39064"/>
    </row>
    <row r="39065" spans="1:141" s="116" customFormat="1">
      <c r="A39065" s="136"/>
      <c r="CM39065" s="111"/>
      <c r="CQ39065" s="111"/>
      <c r="EF39065"/>
      <c r="EG39065"/>
      <c r="EH39065"/>
      <c r="EI39065"/>
      <c r="EJ39065"/>
      <c r="EK39065"/>
    </row>
    <row r="39066" spans="1:141" s="116" customFormat="1">
      <c r="A39066" s="136"/>
      <c r="CM39066" s="111"/>
      <c r="CQ39066" s="111"/>
      <c r="EF39066"/>
      <c r="EG39066"/>
      <c r="EH39066"/>
      <c r="EI39066"/>
      <c r="EJ39066"/>
      <c r="EK39066"/>
    </row>
    <row r="39067" spans="1:141" s="116" customFormat="1">
      <c r="A39067" s="136"/>
      <c r="CM39067" s="111"/>
      <c r="CQ39067" s="111"/>
      <c r="EF39067"/>
      <c r="EG39067"/>
      <c r="EH39067"/>
      <c r="EI39067"/>
      <c r="EJ39067"/>
      <c r="EK39067"/>
    </row>
    <row r="39068" spans="1:141" s="116" customFormat="1">
      <c r="A39068" s="136"/>
      <c r="CM39068" s="111"/>
      <c r="CQ39068" s="111"/>
      <c r="EF39068"/>
      <c r="EG39068"/>
      <c r="EH39068"/>
      <c r="EI39068"/>
      <c r="EJ39068"/>
      <c r="EK39068"/>
    </row>
    <row r="39069" spans="1:141" s="116" customFormat="1">
      <c r="A39069" s="136"/>
      <c r="CM39069" s="111"/>
      <c r="CQ39069" s="111"/>
      <c r="EF39069"/>
      <c r="EG39069"/>
      <c r="EH39069"/>
      <c r="EI39069"/>
      <c r="EJ39069"/>
      <c r="EK39069"/>
    </row>
    <row r="39070" spans="1:141" s="116" customFormat="1">
      <c r="A39070" s="136"/>
      <c r="CM39070" s="111"/>
      <c r="CQ39070" s="111"/>
      <c r="EF39070"/>
      <c r="EG39070"/>
      <c r="EH39070"/>
      <c r="EI39070"/>
      <c r="EJ39070"/>
      <c r="EK39070"/>
    </row>
    <row r="39071" spans="1:141" s="116" customFormat="1">
      <c r="A39071" s="136"/>
      <c r="CM39071" s="111"/>
      <c r="CQ39071" s="111"/>
      <c r="EF39071"/>
      <c r="EG39071"/>
      <c r="EH39071"/>
      <c r="EI39071"/>
      <c r="EJ39071"/>
      <c r="EK39071"/>
    </row>
    <row r="39072" spans="1:141" s="116" customFormat="1">
      <c r="A39072" s="136"/>
      <c r="CM39072" s="111"/>
      <c r="CQ39072" s="111"/>
      <c r="EF39072"/>
      <c r="EG39072"/>
      <c r="EH39072"/>
      <c r="EI39072"/>
      <c r="EJ39072"/>
      <c r="EK39072"/>
    </row>
    <row r="39073" spans="1:141" s="116" customFormat="1">
      <c r="A39073" s="136"/>
      <c r="CM39073" s="111"/>
      <c r="CQ39073" s="111"/>
      <c r="EF39073"/>
      <c r="EG39073"/>
      <c r="EH39073"/>
      <c r="EI39073"/>
      <c r="EJ39073"/>
      <c r="EK39073"/>
    </row>
    <row r="39074" spans="1:141" s="116" customFormat="1">
      <c r="A39074" s="136"/>
      <c r="CM39074" s="111"/>
      <c r="CQ39074" s="111"/>
      <c r="EF39074"/>
      <c r="EG39074"/>
      <c r="EH39074"/>
      <c r="EI39074"/>
      <c r="EJ39074"/>
      <c r="EK39074"/>
    </row>
    <row r="39075" spans="1:141" s="116" customFormat="1">
      <c r="A39075" s="136"/>
      <c r="CM39075" s="111"/>
      <c r="CQ39075" s="111"/>
      <c r="EF39075"/>
      <c r="EG39075"/>
      <c r="EH39075"/>
      <c r="EI39075"/>
      <c r="EJ39075"/>
      <c r="EK39075"/>
    </row>
    <row r="39076" spans="1:141" s="116" customFormat="1">
      <c r="A39076" s="136"/>
      <c r="CM39076" s="111"/>
      <c r="CQ39076" s="111"/>
      <c r="EF39076"/>
      <c r="EG39076"/>
      <c r="EH39076"/>
      <c r="EI39076"/>
      <c r="EJ39076"/>
      <c r="EK39076"/>
    </row>
    <row r="39077" spans="1:141" s="116" customFormat="1">
      <c r="A39077" s="136"/>
      <c r="CM39077" s="111"/>
      <c r="CQ39077" s="111"/>
      <c r="EF39077"/>
      <c r="EG39077"/>
      <c r="EH39077"/>
      <c r="EI39077"/>
      <c r="EJ39077"/>
      <c r="EK39077"/>
    </row>
    <row r="39078" spans="1:141" s="116" customFormat="1">
      <c r="A39078" s="136"/>
      <c r="CM39078" s="111"/>
      <c r="CQ39078" s="111"/>
      <c r="EF39078"/>
      <c r="EG39078"/>
      <c r="EH39078"/>
      <c r="EI39078"/>
      <c r="EJ39078"/>
      <c r="EK39078"/>
    </row>
    <row r="39079" spans="1:141" s="116" customFormat="1">
      <c r="A39079" s="136"/>
      <c r="CM39079" s="111"/>
      <c r="CQ39079" s="111"/>
      <c r="EF39079"/>
      <c r="EG39079"/>
      <c r="EH39079"/>
      <c r="EI39079"/>
      <c r="EJ39079"/>
      <c r="EK39079"/>
    </row>
    <row r="39080" spans="1:141" s="116" customFormat="1">
      <c r="A39080" s="136"/>
      <c r="CM39080" s="111"/>
      <c r="CQ39080" s="111"/>
      <c r="EF39080"/>
      <c r="EG39080"/>
      <c r="EH39080"/>
      <c r="EI39080"/>
      <c r="EJ39080"/>
      <c r="EK39080"/>
    </row>
    <row r="39081" spans="1:141" s="116" customFormat="1">
      <c r="A39081" s="136"/>
      <c r="CM39081" s="111"/>
      <c r="CQ39081" s="111"/>
      <c r="EF39081"/>
      <c r="EG39081"/>
      <c r="EH39081"/>
      <c r="EI39081"/>
      <c r="EJ39081"/>
      <c r="EK39081"/>
    </row>
    <row r="39082" spans="1:141" s="116" customFormat="1">
      <c r="A39082" s="136"/>
      <c r="CM39082" s="111"/>
      <c r="CQ39082" s="111"/>
      <c r="EF39082"/>
      <c r="EG39082"/>
      <c r="EH39082"/>
      <c r="EI39082"/>
      <c r="EJ39082"/>
      <c r="EK39082"/>
    </row>
    <row r="39083" spans="1:141" s="116" customFormat="1">
      <c r="A39083" s="136"/>
      <c r="CM39083" s="111"/>
      <c r="CQ39083" s="111"/>
      <c r="EF39083"/>
      <c r="EG39083"/>
      <c r="EH39083"/>
      <c r="EI39083"/>
      <c r="EJ39083"/>
      <c r="EK39083"/>
    </row>
    <row r="39084" spans="1:141" s="116" customFormat="1">
      <c r="A39084" s="136"/>
      <c r="CM39084" s="111"/>
      <c r="CQ39084" s="111"/>
      <c r="EF39084"/>
      <c r="EG39084"/>
      <c r="EH39084"/>
      <c r="EI39084"/>
      <c r="EJ39084"/>
      <c r="EK39084"/>
    </row>
    <row r="39085" spans="1:141" s="116" customFormat="1">
      <c r="A39085" s="136"/>
      <c r="CM39085" s="111"/>
      <c r="CQ39085" s="111"/>
      <c r="EF39085"/>
      <c r="EG39085"/>
      <c r="EH39085"/>
      <c r="EI39085"/>
      <c r="EJ39085"/>
      <c r="EK39085"/>
    </row>
    <row r="39086" spans="1:141" s="116" customFormat="1">
      <c r="A39086" s="136"/>
      <c r="CM39086" s="111"/>
      <c r="CQ39086" s="111"/>
      <c r="EF39086"/>
      <c r="EG39086"/>
      <c r="EH39086"/>
      <c r="EI39086"/>
      <c r="EJ39086"/>
      <c r="EK39086"/>
    </row>
    <row r="39087" spans="1:141" s="116" customFormat="1">
      <c r="A39087" s="136"/>
      <c r="CM39087" s="111"/>
      <c r="CQ39087" s="111"/>
      <c r="EF39087"/>
      <c r="EG39087"/>
      <c r="EH39087"/>
      <c r="EI39087"/>
      <c r="EJ39087"/>
      <c r="EK39087"/>
    </row>
    <row r="39088" spans="1:141" s="116" customFormat="1">
      <c r="A39088" s="136"/>
      <c r="CM39088" s="111"/>
      <c r="CQ39088" s="111"/>
      <c r="EF39088"/>
      <c r="EG39088"/>
      <c r="EH39088"/>
      <c r="EI39088"/>
      <c r="EJ39088"/>
      <c r="EK39088"/>
    </row>
    <row r="39089" spans="1:141" s="116" customFormat="1">
      <c r="A39089" s="136"/>
      <c r="CM39089" s="111"/>
      <c r="CQ39089" s="111"/>
      <c r="EF39089"/>
      <c r="EG39089"/>
      <c r="EH39089"/>
      <c r="EI39089"/>
      <c r="EJ39089"/>
      <c r="EK39089"/>
    </row>
    <row r="39090" spans="1:141" s="116" customFormat="1">
      <c r="A39090" s="136"/>
      <c r="CM39090" s="111"/>
      <c r="CQ39090" s="111"/>
      <c r="EF39090"/>
      <c r="EG39090"/>
      <c r="EH39090"/>
      <c r="EI39090"/>
      <c r="EJ39090"/>
      <c r="EK39090"/>
    </row>
    <row r="39091" spans="1:141" s="116" customFormat="1">
      <c r="A39091" s="136"/>
      <c r="CM39091" s="111"/>
      <c r="CQ39091" s="111"/>
      <c r="EF39091"/>
      <c r="EG39091"/>
      <c r="EH39091"/>
      <c r="EI39091"/>
      <c r="EJ39091"/>
      <c r="EK39091"/>
    </row>
    <row r="39092" spans="1:141" s="116" customFormat="1">
      <c r="A39092" s="136"/>
      <c r="CM39092" s="111"/>
      <c r="CQ39092" s="111"/>
      <c r="EF39092"/>
      <c r="EG39092"/>
      <c r="EH39092"/>
      <c r="EI39092"/>
      <c r="EJ39092"/>
      <c r="EK39092"/>
    </row>
    <row r="39093" spans="1:141" s="116" customFormat="1">
      <c r="A39093" s="136"/>
      <c r="CM39093" s="111"/>
      <c r="CQ39093" s="111"/>
      <c r="EF39093"/>
      <c r="EG39093"/>
      <c r="EH39093"/>
      <c r="EI39093"/>
      <c r="EJ39093"/>
      <c r="EK39093"/>
    </row>
    <row r="39094" spans="1:141" s="116" customFormat="1">
      <c r="A39094" s="136"/>
      <c r="CM39094" s="111"/>
      <c r="CQ39094" s="111"/>
      <c r="EF39094"/>
      <c r="EG39094"/>
      <c r="EH39094"/>
      <c r="EI39094"/>
      <c r="EJ39094"/>
      <c r="EK39094"/>
    </row>
    <row r="39095" spans="1:141" s="116" customFormat="1">
      <c r="A39095" s="136"/>
      <c r="CM39095" s="111"/>
      <c r="CQ39095" s="111"/>
      <c r="EF39095"/>
      <c r="EG39095"/>
      <c r="EH39095"/>
      <c r="EI39095"/>
      <c r="EJ39095"/>
      <c r="EK39095"/>
    </row>
    <row r="39096" spans="1:141" s="116" customFormat="1">
      <c r="A39096" s="136"/>
      <c r="CM39096" s="111"/>
      <c r="CQ39096" s="111"/>
      <c r="EF39096"/>
      <c r="EG39096"/>
      <c r="EH39096"/>
      <c r="EI39096"/>
      <c r="EJ39096"/>
      <c r="EK39096"/>
    </row>
    <row r="39097" spans="1:141" s="116" customFormat="1">
      <c r="A39097" s="136"/>
      <c r="CM39097" s="111"/>
      <c r="CQ39097" s="111"/>
      <c r="EF39097"/>
      <c r="EG39097"/>
      <c r="EH39097"/>
      <c r="EI39097"/>
      <c r="EJ39097"/>
      <c r="EK39097"/>
    </row>
    <row r="39098" spans="1:141" s="116" customFormat="1">
      <c r="A39098" s="136"/>
      <c r="CM39098" s="111"/>
      <c r="CQ39098" s="111"/>
      <c r="EF39098"/>
      <c r="EG39098"/>
      <c r="EH39098"/>
      <c r="EI39098"/>
      <c r="EJ39098"/>
      <c r="EK39098"/>
    </row>
    <row r="39099" spans="1:141" s="116" customFormat="1">
      <c r="A39099" s="136"/>
      <c r="CM39099" s="111"/>
      <c r="CQ39099" s="111"/>
      <c r="EF39099"/>
      <c r="EG39099"/>
      <c r="EH39099"/>
      <c r="EI39099"/>
      <c r="EJ39099"/>
      <c r="EK39099"/>
    </row>
    <row r="39100" spans="1:141" s="116" customFormat="1">
      <c r="A39100" s="136"/>
      <c r="CM39100" s="111"/>
      <c r="CQ39100" s="111"/>
      <c r="EF39100"/>
      <c r="EG39100"/>
      <c r="EH39100"/>
      <c r="EI39100"/>
      <c r="EJ39100"/>
      <c r="EK39100"/>
    </row>
    <row r="39101" spans="1:141" s="116" customFormat="1">
      <c r="A39101" s="136"/>
      <c r="CM39101" s="111"/>
      <c r="CQ39101" s="111"/>
      <c r="EF39101"/>
      <c r="EG39101"/>
      <c r="EH39101"/>
      <c r="EI39101"/>
      <c r="EJ39101"/>
      <c r="EK39101"/>
    </row>
    <row r="39102" spans="1:141" s="116" customFormat="1">
      <c r="A39102" s="136"/>
      <c r="CM39102" s="111"/>
      <c r="CQ39102" s="111"/>
      <c r="EF39102"/>
      <c r="EG39102"/>
      <c r="EH39102"/>
      <c r="EI39102"/>
      <c r="EJ39102"/>
      <c r="EK39102"/>
    </row>
    <row r="39103" spans="1:141" s="116" customFormat="1">
      <c r="A39103" s="136"/>
      <c r="CM39103" s="111"/>
      <c r="CQ39103" s="111"/>
      <c r="EF39103"/>
      <c r="EG39103"/>
      <c r="EH39103"/>
      <c r="EI39103"/>
      <c r="EJ39103"/>
      <c r="EK39103"/>
    </row>
    <row r="39104" spans="1:141" s="116" customFormat="1">
      <c r="A39104" s="136"/>
      <c r="CM39104" s="111"/>
      <c r="CQ39104" s="111"/>
      <c r="EF39104"/>
      <c r="EG39104"/>
      <c r="EH39104"/>
      <c r="EI39104"/>
      <c r="EJ39104"/>
      <c r="EK39104"/>
    </row>
    <row r="39105" spans="1:141" s="116" customFormat="1">
      <c r="A39105" s="136"/>
      <c r="CM39105" s="111"/>
      <c r="CQ39105" s="111"/>
      <c r="EF39105"/>
      <c r="EG39105"/>
      <c r="EH39105"/>
      <c r="EI39105"/>
      <c r="EJ39105"/>
      <c r="EK39105"/>
    </row>
    <row r="39106" spans="1:141" s="116" customFormat="1">
      <c r="A39106" s="136"/>
      <c r="CM39106" s="111"/>
      <c r="CQ39106" s="111"/>
      <c r="EF39106"/>
      <c r="EG39106"/>
      <c r="EH39106"/>
      <c r="EI39106"/>
      <c r="EJ39106"/>
      <c r="EK39106"/>
    </row>
    <row r="39107" spans="1:141" s="116" customFormat="1">
      <c r="A39107" s="136"/>
      <c r="CM39107" s="111"/>
      <c r="CQ39107" s="111"/>
      <c r="EF39107"/>
      <c r="EG39107"/>
      <c r="EH39107"/>
      <c r="EI39107"/>
      <c r="EJ39107"/>
      <c r="EK39107"/>
    </row>
    <row r="39108" spans="1:141" s="116" customFormat="1">
      <c r="A39108" s="136"/>
      <c r="CM39108" s="111"/>
      <c r="CQ39108" s="111"/>
      <c r="EF39108"/>
      <c r="EG39108"/>
      <c r="EH39108"/>
      <c r="EI39108"/>
      <c r="EJ39108"/>
      <c r="EK39108"/>
    </row>
    <row r="39109" spans="1:141" s="116" customFormat="1">
      <c r="A39109" s="136"/>
      <c r="CM39109" s="111"/>
      <c r="CQ39109" s="111"/>
      <c r="EF39109"/>
      <c r="EG39109"/>
      <c r="EH39109"/>
      <c r="EI39109"/>
      <c r="EJ39109"/>
      <c r="EK39109"/>
    </row>
    <row r="39110" spans="1:141" s="116" customFormat="1">
      <c r="A39110" s="136"/>
      <c r="CM39110" s="111"/>
      <c r="CQ39110" s="111"/>
      <c r="EF39110"/>
      <c r="EG39110"/>
      <c r="EH39110"/>
      <c r="EI39110"/>
      <c r="EJ39110"/>
      <c r="EK39110"/>
    </row>
    <row r="39111" spans="1:141" s="116" customFormat="1">
      <c r="A39111" s="136"/>
      <c r="CM39111" s="111"/>
      <c r="CQ39111" s="111"/>
      <c r="EF39111"/>
      <c r="EG39111"/>
      <c r="EH39111"/>
      <c r="EI39111"/>
      <c r="EJ39111"/>
      <c r="EK39111"/>
    </row>
    <row r="39112" spans="1:141" s="116" customFormat="1">
      <c r="A39112" s="136"/>
      <c r="CM39112" s="111"/>
      <c r="CQ39112" s="111"/>
      <c r="EF39112"/>
      <c r="EG39112"/>
      <c r="EH39112"/>
      <c r="EI39112"/>
      <c r="EJ39112"/>
      <c r="EK39112"/>
    </row>
    <row r="39113" spans="1:141" s="116" customFormat="1">
      <c r="A39113" s="136"/>
      <c r="CM39113" s="111"/>
      <c r="CQ39113" s="111"/>
      <c r="EF39113"/>
      <c r="EG39113"/>
      <c r="EH39113"/>
      <c r="EI39113"/>
      <c r="EJ39113"/>
      <c r="EK39113"/>
    </row>
    <row r="39114" spans="1:141" s="116" customFormat="1">
      <c r="A39114" s="136"/>
      <c r="CM39114" s="111"/>
      <c r="CQ39114" s="111"/>
      <c r="EF39114"/>
      <c r="EG39114"/>
      <c r="EH39114"/>
      <c r="EI39114"/>
      <c r="EJ39114"/>
      <c r="EK39114"/>
    </row>
    <row r="39115" spans="1:141" s="116" customFormat="1">
      <c r="A39115" s="136"/>
      <c r="CM39115" s="111"/>
      <c r="CQ39115" s="111"/>
      <c r="EF39115"/>
      <c r="EG39115"/>
      <c r="EH39115"/>
      <c r="EI39115"/>
      <c r="EJ39115"/>
      <c r="EK39115"/>
    </row>
    <row r="39116" spans="1:141" s="116" customFormat="1">
      <c r="A39116" s="136"/>
      <c r="CM39116" s="111"/>
      <c r="CQ39116" s="111"/>
      <c r="EF39116"/>
      <c r="EG39116"/>
      <c r="EH39116"/>
      <c r="EI39116"/>
      <c r="EJ39116"/>
      <c r="EK39116"/>
    </row>
    <row r="39117" spans="1:141" s="116" customFormat="1">
      <c r="A39117" s="136"/>
      <c r="CM39117" s="111"/>
      <c r="CQ39117" s="111"/>
      <c r="EF39117"/>
      <c r="EG39117"/>
      <c r="EH39117"/>
      <c r="EI39117"/>
      <c r="EJ39117"/>
      <c r="EK39117"/>
    </row>
    <row r="39118" spans="1:141" s="116" customFormat="1">
      <c r="A39118" s="136"/>
      <c r="CM39118" s="111"/>
      <c r="CQ39118" s="111"/>
      <c r="EF39118"/>
      <c r="EG39118"/>
      <c r="EH39118"/>
      <c r="EI39118"/>
      <c r="EJ39118"/>
      <c r="EK39118"/>
    </row>
    <row r="39119" spans="1:141" s="116" customFormat="1">
      <c r="A39119" s="136"/>
      <c r="CM39119" s="111"/>
      <c r="CQ39119" s="111"/>
      <c r="EF39119"/>
      <c r="EG39119"/>
      <c r="EH39119"/>
      <c r="EI39119"/>
      <c r="EJ39119"/>
      <c r="EK39119"/>
    </row>
    <row r="39120" spans="1:141" s="116" customFormat="1">
      <c r="A39120" s="136"/>
      <c r="CM39120" s="111"/>
      <c r="CQ39120" s="111"/>
      <c r="EF39120"/>
      <c r="EG39120"/>
      <c r="EH39120"/>
      <c r="EI39120"/>
      <c r="EJ39120"/>
      <c r="EK39120"/>
    </row>
    <row r="39121" spans="1:141" s="116" customFormat="1">
      <c r="A39121" s="136"/>
      <c r="CM39121" s="111"/>
      <c r="CQ39121" s="111"/>
      <c r="EF39121"/>
      <c r="EG39121"/>
      <c r="EH39121"/>
      <c r="EI39121"/>
      <c r="EJ39121"/>
      <c r="EK39121"/>
    </row>
    <row r="39122" spans="1:141" s="116" customFormat="1">
      <c r="A39122" s="136"/>
      <c r="CM39122" s="111"/>
      <c r="CQ39122" s="111"/>
      <c r="EF39122"/>
      <c r="EG39122"/>
      <c r="EH39122"/>
      <c r="EI39122"/>
      <c r="EJ39122"/>
      <c r="EK39122"/>
    </row>
    <row r="39123" spans="1:141" s="116" customFormat="1">
      <c r="A39123" s="136"/>
      <c r="CM39123" s="111"/>
      <c r="CQ39123" s="111"/>
      <c r="EF39123"/>
      <c r="EG39123"/>
      <c r="EH39123"/>
      <c r="EI39123"/>
      <c r="EJ39123"/>
      <c r="EK39123"/>
    </row>
    <row r="39124" spans="1:141" s="116" customFormat="1">
      <c r="A39124" s="136"/>
      <c r="CM39124" s="111"/>
      <c r="CQ39124" s="111"/>
      <c r="EF39124"/>
      <c r="EG39124"/>
      <c r="EH39124"/>
      <c r="EI39124"/>
      <c r="EJ39124"/>
      <c r="EK39124"/>
    </row>
    <row r="39125" spans="1:141" s="116" customFormat="1">
      <c r="A39125" s="136"/>
      <c r="CM39125" s="111"/>
      <c r="CQ39125" s="111"/>
      <c r="EF39125"/>
      <c r="EG39125"/>
      <c r="EH39125"/>
      <c r="EI39125"/>
      <c r="EJ39125"/>
      <c r="EK39125"/>
    </row>
    <row r="39126" spans="1:141" s="116" customFormat="1">
      <c r="A39126" s="136"/>
      <c r="CM39126" s="111"/>
      <c r="CQ39126" s="111"/>
      <c r="EF39126"/>
      <c r="EG39126"/>
      <c r="EH39126"/>
      <c r="EI39126"/>
      <c r="EJ39126"/>
      <c r="EK39126"/>
    </row>
    <row r="39127" spans="1:141" s="116" customFormat="1">
      <c r="A39127" s="136"/>
      <c r="CM39127" s="111"/>
      <c r="CQ39127" s="111"/>
      <c r="EF39127"/>
      <c r="EG39127"/>
      <c r="EH39127"/>
      <c r="EI39127"/>
      <c r="EJ39127"/>
      <c r="EK39127"/>
    </row>
    <row r="39128" spans="1:141" s="116" customFormat="1">
      <c r="A39128" s="136"/>
      <c r="CM39128" s="111"/>
      <c r="CQ39128" s="111"/>
      <c r="EF39128"/>
      <c r="EG39128"/>
      <c r="EH39128"/>
      <c r="EI39128"/>
      <c r="EJ39128"/>
      <c r="EK39128"/>
    </row>
    <row r="39129" spans="1:141" s="116" customFormat="1">
      <c r="A39129" s="136"/>
      <c r="CM39129" s="111"/>
      <c r="CQ39129" s="111"/>
      <c r="EF39129"/>
      <c r="EG39129"/>
      <c r="EH39129"/>
      <c r="EI39129"/>
      <c r="EJ39129"/>
      <c r="EK39129"/>
    </row>
    <row r="39130" spans="1:141" s="116" customFormat="1">
      <c r="A39130" s="136"/>
      <c r="CM39130" s="111"/>
      <c r="CQ39130" s="111"/>
      <c r="EF39130"/>
      <c r="EG39130"/>
      <c r="EH39130"/>
      <c r="EI39130"/>
      <c r="EJ39130"/>
      <c r="EK39130"/>
    </row>
    <row r="39131" spans="1:141" s="116" customFormat="1">
      <c r="A39131" s="136"/>
      <c r="CM39131" s="111"/>
      <c r="CQ39131" s="111"/>
      <c r="EF39131"/>
      <c r="EG39131"/>
      <c r="EH39131"/>
      <c r="EI39131"/>
      <c r="EJ39131"/>
      <c r="EK39131"/>
    </row>
    <row r="39132" spans="1:141" s="116" customFormat="1">
      <c r="A39132" s="136"/>
      <c r="CM39132" s="111"/>
      <c r="CQ39132" s="111"/>
      <c r="EF39132"/>
      <c r="EG39132"/>
      <c r="EH39132"/>
      <c r="EI39132"/>
      <c r="EJ39132"/>
      <c r="EK39132"/>
    </row>
    <row r="39133" spans="1:141" s="116" customFormat="1">
      <c r="A39133" s="136"/>
      <c r="CM39133" s="111"/>
      <c r="CQ39133" s="111"/>
      <c r="EF39133"/>
      <c r="EG39133"/>
      <c r="EH39133"/>
      <c r="EI39133"/>
      <c r="EJ39133"/>
      <c r="EK39133"/>
    </row>
    <row r="39134" spans="1:141" s="116" customFormat="1">
      <c r="A39134" s="136"/>
      <c r="CM39134" s="111"/>
      <c r="CQ39134" s="111"/>
      <c r="EF39134"/>
      <c r="EG39134"/>
      <c r="EH39134"/>
      <c r="EI39134"/>
      <c r="EJ39134"/>
      <c r="EK39134"/>
    </row>
    <row r="39135" spans="1:141" s="116" customFormat="1">
      <c r="A39135" s="136"/>
      <c r="CM39135" s="111"/>
      <c r="CQ39135" s="111"/>
      <c r="EF39135"/>
      <c r="EG39135"/>
      <c r="EH39135"/>
      <c r="EI39135"/>
      <c r="EJ39135"/>
      <c r="EK39135"/>
    </row>
    <row r="39136" spans="1:141" s="116" customFormat="1">
      <c r="A39136" s="136"/>
      <c r="CM39136" s="111"/>
      <c r="CQ39136" s="111"/>
      <c r="EF39136"/>
      <c r="EG39136"/>
      <c r="EH39136"/>
      <c r="EI39136"/>
      <c r="EJ39136"/>
      <c r="EK39136"/>
    </row>
    <row r="39137" spans="1:141" s="116" customFormat="1">
      <c r="A39137" s="136"/>
      <c r="CM39137" s="111"/>
      <c r="CQ39137" s="111"/>
      <c r="EF39137"/>
      <c r="EG39137"/>
      <c r="EH39137"/>
      <c r="EI39137"/>
      <c r="EJ39137"/>
      <c r="EK39137"/>
    </row>
    <row r="39138" spans="1:141" s="116" customFormat="1">
      <c r="A39138" s="136"/>
      <c r="CM39138" s="111"/>
      <c r="CQ39138" s="111"/>
      <c r="EF39138"/>
      <c r="EG39138"/>
      <c r="EH39138"/>
      <c r="EI39138"/>
      <c r="EJ39138"/>
      <c r="EK39138"/>
    </row>
    <row r="39139" spans="1:141" s="116" customFormat="1">
      <c r="A39139" s="136"/>
      <c r="CM39139" s="111"/>
      <c r="CQ39139" s="111"/>
      <c r="EF39139"/>
      <c r="EG39139"/>
      <c r="EH39139"/>
      <c r="EI39139"/>
      <c r="EJ39139"/>
      <c r="EK39139"/>
    </row>
    <row r="39140" spans="1:141" s="116" customFormat="1">
      <c r="A39140" s="136"/>
      <c r="CM39140" s="111"/>
      <c r="CQ39140" s="111"/>
      <c r="EF39140"/>
      <c r="EG39140"/>
      <c r="EH39140"/>
      <c r="EI39140"/>
      <c r="EJ39140"/>
      <c r="EK39140"/>
    </row>
    <row r="39141" spans="1:141" s="116" customFormat="1">
      <c r="A39141" s="136"/>
      <c r="CM39141" s="111"/>
      <c r="CQ39141" s="111"/>
      <c r="EF39141"/>
      <c r="EG39141"/>
      <c r="EH39141"/>
      <c r="EI39141"/>
      <c r="EJ39141"/>
      <c r="EK39141"/>
    </row>
    <row r="39142" spans="1:141" s="116" customFormat="1">
      <c r="A39142" s="136"/>
      <c r="CM39142" s="111"/>
      <c r="CQ39142" s="111"/>
      <c r="EF39142"/>
      <c r="EG39142"/>
      <c r="EH39142"/>
      <c r="EI39142"/>
      <c r="EJ39142"/>
      <c r="EK39142"/>
    </row>
    <row r="39143" spans="1:141" s="116" customFormat="1">
      <c r="A39143" s="136"/>
      <c r="CM39143" s="111"/>
      <c r="CQ39143" s="111"/>
      <c r="EF39143"/>
      <c r="EG39143"/>
      <c r="EH39143"/>
      <c r="EI39143"/>
      <c r="EJ39143"/>
      <c r="EK39143"/>
    </row>
    <row r="39144" spans="1:141" s="116" customFormat="1">
      <c r="A39144" s="136"/>
      <c r="CM39144" s="111"/>
      <c r="CQ39144" s="111"/>
      <c r="EF39144"/>
      <c r="EG39144"/>
      <c r="EH39144"/>
      <c r="EI39144"/>
      <c r="EJ39144"/>
      <c r="EK39144"/>
    </row>
    <row r="39145" spans="1:141" s="116" customFormat="1">
      <c r="A39145" s="136"/>
      <c r="CM39145" s="111"/>
      <c r="CQ39145" s="111"/>
      <c r="EF39145"/>
      <c r="EG39145"/>
      <c r="EH39145"/>
      <c r="EI39145"/>
      <c r="EJ39145"/>
      <c r="EK39145"/>
    </row>
    <row r="39146" spans="1:141" s="116" customFormat="1">
      <c r="A39146" s="136"/>
      <c r="CM39146" s="111"/>
      <c r="CQ39146" s="111"/>
      <c r="EF39146"/>
      <c r="EG39146"/>
      <c r="EH39146"/>
      <c r="EI39146"/>
      <c r="EJ39146"/>
      <c r="EK39146"/>
    </row>
    <row r="39147" spans="1:141" s="116" customFormat="1">
      <c r="A39147" s="136"/>
      <c r="CM39147" s="111"/>
      <c r="CQ39147" s="111"/>
      <c r="EF39147"/>
      <c r="EG39147"/>
      <c r="EH39147"/>
      <c r="EI39147"/>
      <c r="EJ39147"/>
      <c r="EK39147"/>
    </row>
    <row r="39148" spans="1:141" s="116" customFormat="1">
      <c r="A39148" s="136"/>
      <c r="CM39148" s="111"/>
      <c r="CQ39148" s="111"/>
      <c r="EF39148"/>
      <c r="EG39148"/>
      <c r="EH39148"/>
      <c r="EI39148"/>
      <c r="EJ39148"/>
      <c r="EK39148"/>
    </row>
    <row r="39149" spans="1:141" s="116" customFormat="1">
      <c r="A39149" s="136"/>
      <c r="CM39149" s="111"/>
      <c r="CQ39149" s="111"/>
      <c r="EF39149"/>
      <c r="EG39149"/>
      <c r="EH39149"/>
      <c r="EI39149"/>
      <c r="EJ39149"/>
      <c r="EK39149"/>
    </row>
    <row r="39150" spans="1:141" s="116" customFormat="1">
      <c r="A39150" s="136"/>
      <c r="CM39150" s="111"/>
      <c r="CQ39150" s="111"/>
      <c r="EF39150"/>
      <c r="EG39150"/>
      <c r="EH39150"/>
      <c r="EI39150"/>
      <c r="EJ39150"/>
      <c r="EK39150"/>
    </row>
    <row r="39151" spans="1:141" s="116" customFormat="1">
      <c r="A39151" s="136"/>
      <c r="CM39151" s="111"/>
      <c r="CQ39151" s="111"/>
      <c r="EF39151"/>
      <c r="EG39151"/>
      <c r="EH39151"/>
      <c r="EI39151"/>
      <c r="EJ39151"/>
      <c r="EK39151"/>
    </row>
    <row r="39152" spans="1:141" s="116" customFormat="1">
      <c r="A39152" s="136"/>
      <c r="CM39152" s="111"/>
      <c r="CQ39152" s="111"/>
      <c r="EF39152"/>
      <c r="EG39152"/>
      <c r="EH39152"/>
      <c r="EI39152"/>
      <c r="EJ39152"/>
      <c r="EK39152"/>
    </row>
    <row r="39153" spans="1:141" s="116" customFormat="1">
      <c r="A39153" s="136"/>
      <c r="CM39153" s="111"/>
      <c r="CQ39153" s="111"/>
      <c r="EF39153"/>
      <c r="EG39153"/>
      <c r="EH39153"/>
      <c r="EI39153"/>
      <c r="EJ39153"/>
      <c r="EK39153"/>
    </row>
    <row r="39154" spans="1:141" s="116" customFormat="1">
      <c r="A39154" s="136"/>
      <c r="CM39154" s="111"/>
      <c r="CQ39154" s="111"/>
      <c r="EF39154"/>
      <c r="EG39154"/>
      <c r="EH39154"/>
      <c r="EI39154"/>
      <c r="EJ39154"/>
      <c r="EK39154"/>
    </row>
    <row r="39155" spans="1:141" s="116" customFormat="1">
      <c r="A39155" s="136"/>
      <c r="CM39155" s="111"/>
      <c r="CQ39155" s="111"/>
      <c r="EF39155"/>
      <c r="EG39155"/>
      <c r="EH39155"/>
      <c r="EI39155"/>
      <c r="EJ39155"/>
      <c r="EK39155"/>
    </row>
    <row r="39156" spans="1:141" s="116" customFormat="1">
      <c r="A39156" s="136"/>
      <c r="CM39156" s="111"/>
      <c r="CQ39156" s="111"/>
      <c r="EF39156"/>
      <c r="EG39156"/>
      <c r="EH39156"/>
      <c r="EI39156"/>
      <c r="EJ39156"/>
      <c r="EK39156"/>
    </row>
    <row r="39157" spans="1:141" s="116" customFormat="1">
      <c r="A39157" s="136"/>
      <c r="CM39157" s="111"/>
      <c r="CQ39157" s="111"/>
      <c r="EF39157"/>
      <c r="EG39157"/>
      <c r="EH39157"/>
      <c r="EI39157"/>
      <c r="EJ39157"/>
      <c r="EK39157"/>
    </row>
    <row r="39158" spans="1:141" s="116" customFormat="1">
      <c r="A39158" s="136"/>
      <c r="CM39158" s="111"/>
      <c r="CQ39158" s="111"/>
      <c r="EF39158"/>
      <c r="EG39158"/>
      <c r="EH39158"/>
      <c r="EI39158"/>
      <c r="EJ39158"/>
      <c r="EK39158"/>
    </row>
    <row r="39159" spans="1:141" s="116" customFormat="1">
      <c r="A39159" s="136"/>
      <c r="CM39159" s="111"/>
      <c r="CQ39159" s="111"/>
      <c r="EF39159"/>
      <c r="EG39159"/>
      <c r="EH39159"/>
      <c r="EI39159"/>
      <c r="EJ39159"/>
      <c r="EK39159"/>
    </row>
    <row r="39160" spans="1:141" s="116" customFormat="1">
      <c r="A39160" s="136"/>
      <c r="CM39160" s="111"/>
      <c r="CQ39160" s="111"/>
      <c r="EF39160"/>
      <c r="EG39160"/>
      <c r="EH39160"/>
      <c r="EI39160"/>
      <c r="EJ39160"/>
      <c r="EK39160"/>
    </row>
    <row r="39161" spans="1:141" s="116" customFormat="1">
      <c r="A39161" s="136"/>
      <c r="CM39161" s="111"/>
      <c r="CQ39161" s="111"/>
      <c r="EF39161"/>
      <c r="EG39161"/>
      <c r="EH39161"/>
      <c r="EI39161"/>
      <c r="EJ39161"/>
      <c r="EK39161"/>
    </row>
    <row r="39162" spans="1:141" s="116" customFormat="1">
      <c r="A39162" s="136"/>
      <c r="CM39162" s="111"/>
      <c r="CQ39162" s="111"/>
      <c r="EF39162"/>
      <c r="EG39162"/>
      <c r="EH39162"/>
      <c r="EI39162"/>
      <c r="EJ39162"/>
      <c r="EK39162"/>
    </row>
    <row r="39163" spans="1:141" s="116" customFormat="1">
      <c r="A39163" s="136"/>
      <c r="CM39163" s="111"/>
      <c r="CQ39163" s="111"/>
      <c r="EF39163"/>
      <c r="EG39163"/>
      <c r="EH39163"/>
      <c r="EI39163"/>
      <c r="EJ39163"/>
      <c r="EK39163"/>
    </row>
    <row r="39164" spans="1:141" s="116" customFormat="1">
      <c r="A39164" s="136"/>
      <c r="CM39164" s="111"/>
      <c r="CQ39164" s="111"/>
      <c r="EF39164"/>
      <c r="EG39164"/>
      <c r="EH39164"/>
      <c r="EI39164"/>
      <c r="EJ39164"/>
      <c r="EK39164"/>
    </row>
    <row r="39165" spans="1:141" s="116" customFormat="1">
      <c r="A39165" s="136"/>
      <c r="CM39165" s="111"/>
      <c r="CQ39165" s="111"/>
      <c r="EF39165"/>
      <c r="EG39165"/>
      <c r="EH39165"/>
      <c r="EI39165"/>
      <c r="EJ39165"/>
      <c r="EK39165"/>
    </row>
    <row r="39166" spans="1:141" s="116" customFormat="1">
      <c r="A39166" s="136"/>
      <c r="CM39166" s="111"/>
      <c r="CQ39166" s="111"/>
      <c r="EF39166"/>
      <c r="EG39166"/>
      <c r="EH39166"/>
      <c r="EI39166"/>
      <c r="EJ39166"/>
      <c r="EK39166"/>
    </row>
    <row r="39167" spans="1:141" s="116" customFormat="1">
      <c r="A39167" s="136"/>
      <c r="CM39167" s="111"/>
      <c r="CQ39167" s="111"/>
      <c r="EF39167"/>
      <c r="EG39167"/>
      <c r="EH39167"/>
      <c r="EI39167"/>
      <c r="EJ39167"/>
      <c r="EK39167"/>
    </row>
    <row r="39168" spans="1:141" s="116" customFormat="1">
      <c r="A39168" s="136"/>
      <c r="CM39168" s="111"/>
      <c r="CQ39168" s="111"/>
      <c r="EF39168"/>
      <c r="EG39168"/>
      <c r="EH39168"/>
      <c r="EI39168"/>
      <c r="EJ39168"/>
      <c r="EK39168"/>
    </row>
    <row r="39169" spans="1:141" s="116" customFormat="1">
      <c r="A39169" s="136"/>
      <c r="CM39169" s="111"/>
      <c r="CQ39169" s="111"/>
      <c r="EF39169"/>
      <c r="EG39169"/>
      <c r="EH39169"/>
      <c r="EI39169"/>
      <c r="EJ39169"/>
      <c r="EK39169"/>
    </row>
    <row r="39170" spans="1:141" s="116" customFormat="1">
      <c r="A39170" s="136"/>
      <c r="CM39170" s="111"/>
      <c r="CQ39170" s="111"/>
      <c r="EF39170"/>
      <c r="EG39170"/>
      <c r="EH39170"/>
      <c r="EI39170"/>
      <c r="EJ39170"/>
      <c r="EK39170"/>
    </row>
    <row r="39171" spans="1:141" s="116" customFormat="1">
      <c r="A39171" s="136"/>
      <c r="CM39171" s="111"/>
      <c r="CQ39171" s="111"/>
      <c r="EF39171"/>
      <c r="EG39171"/>
      <c r="EH39171"/>
      <c r="EI39171"/>
      <c r="EJ39171"/>
      <c r="EK39171"/>
    </row>
    <row r="39172" spans="1:141" s="116" customFormat="1">
      <c r="A39172" s="136"/>
      <c r="CM39172" s="111"/>
      <c r="CQ39172" s="111"/>
      <c r="EF39172"/>
      <c r="EG39172"/>
      <c r="EH39172"/>
      <c r="EI39172"/>
      <c r="EJ39172"/>
      <c r="EK39172"/>
    </row>
    <row r="39173" spans="1:141" s="116" customFormat="1">
      <c r="A39173" s="136"/>
      <c r="CM39173" s="111"/>
      <c r="CQ39173" s="111"/>
      <c r="EF39173"/>
      <c r="EG39173"/>
      <c r="EH39173"/>
      <c r="EI39173"/>
      <c r="EJ39173"/>
      <c r="EK39173"/>
    </row>
    <row r="39174" spans="1:141" s="116" customFormat="1">
      <c r="A39174" s="136"/>
      <c r="CM39174" s="111"/>
      <c r="CQ39174" s="111"/>
      <c r="EF39174"/>
      <c r="EG39174"/>
      <c r="EH39174"/>
      <c r="EI39174"/>
      <c r="EJ39174"/>
      <c r="EK39174"/>
    </row>
    <row r="39175" spans="1:141" s="116" customFormat="1">
      <c r="A39175" s="136"/>
      <c r="CM39175" s="111"/>
      <c r="CQ39175" s="111"/>
      <c r="EF39175"/>
      <c r="EG39175"/>
      <c r="EH39175"/>
      <c r="EI39175"/>
      <c r="EJ39175"/>
      <c r="EK39175"/>
    </row>
    <row r="39176" spans="1:141" s="116" customFormat="1">
      <c r="A39176" s="136"/>
      <c r="CM39176" s="111"/>
      <c r="CQ39176" s="111"/>
      <c r="EF39176"/>
      <c r="EG39176"/>
      <c r="EH39176"/>
      <c r="EI39176"/>
      <c r="EJ39176"/>
      <c r="EK39176"/>
    </row>
    <row r="39177" spans="1:141" s="116" customFormat="1">
      <c r="A39177" s="136"/>
      <c r="CM39177" s="111"/>
      <c r="CQ39177" s="111"/>
      <c r="EF39177"/>
      <c r="EG39177"/>
      <c r="EH39177"/>
      <c r="EI39177"/>
      <c r="EJ39177"/>
      <c r="EK39177"/>
    </row>
    <row r="39178" spans="1:141" s="116" customFormat="1">
      <c r="A39178" s="136"/>
      <c r="CM39178" s="111"/>
      <c r="CQ39178" s="111"/>
      <c r="EF39178"/>
      <c r="EG39178"/>
      <c r="EH39178"/>
      <c r="EI39178"/>
      <c r="EJ39178"/>
      <c r="EK39178"/>
    </row>
    <row r="39179" spans="1:141" s="116" customFormat="1">
      <c r="A39179" s="136"/>
      <c r="CM39179" s="111"/>
      <c r="CQ39179" s="111"/>
      <c r="EF39179"/>
      <c r="EG39179"/>
      <c r="EH39179"/>
      <c r="EI39179"/>
      <c r="EJ39179"/>
      <c r="EK39179"/>
    </row>
    <row r="39180" spans="1:141" s="116" customFormat="1">
      <c r="A39180" s="136"/>
      <c r="CM39180" s="111"/>
      <c r="CQ39180" s="111"/>
      <c r="EF39180"/>
      <c r="EG39180"/>
      <c r="EH39180"/>
      <c r="EI39180"/>
      <c r="EJ39180"/>
      <c r="EK39180"/>
    </row>
    <row r="39181" spans="1:141" s="116" customFormat="1">
      <c r="A39181" s="136"/>
      <c r="CM39181" s="111"/>
      <c r="CQ39181" s="111"/>
      <c r="EF39181"/>
      <c r="EG39181"/>
      <c r="EH39181"/>
      <c r="EI39181"/>
      <c r="EJ39181"/>
      <c r="EK39181"/>
    </row>
    <row r="39182" spans="1:141" s="116" customFormat="1">
      <c r="A39182" s="136"/>
      <c r="CM39182" s="111"/>
      <c r="CQ39182" s="111"/>
      <c r="EF39182"/>
      <c r="EG39182"/>
      <c r="EH39182"/>
      <c r="EI39182"/>
      <c r="EJ39182"/>
      <c r="EK39182"/>
    </row>
    <row r="39183" spans="1:141" s="116" customFormat="1">
      <c r="A39183" s="136"/>
      <c r="CM39183" s="111"/>
      <c r="CQ39183" s="111"/>
      <c r="EF39183"/>
      <c r="EG39183"/>
      <c r="EH39183"/>
      <c r="EI39183"/>
      <c r="EJ39183"/>
      <c r="EK39183"/>
    </row>
    <row r="39184" spans="1:141" s="116" customFormat="1">
      <c r="A39184" s="136"/>
      <c r="CM39184" s="111"/>
      <c r="CQ39184" s="111"/>
      <c r="EF39184"/>
      <c r="EG39184"/>
      <c r="EH39184"/>
      <c r="EI39184"/>
      <c r="EJ39184"/>
      <c r="EK39184"/>
    </row>
    <row r="39185" spans="1:141" s="116" customFormat="1">
      <c r="A39185" s="136"/>
      <c r="CM39185" s="111"/>
      <c r="CQ39185" s="111"/>
      <c r="EF39185"/>
      <c r="EG39185"/>
      <c r="EH39185"/>
      <c r="EI39185"/>
      <c r="EJ39185"/>
      <c r="EK39185"/>
    </row>
    <row r="39186" spans="1:141" s="116" customFormat="1">
      <c r="A39186" s="136"/>
      <c r="CM39186" s="111"/>
      <c r="CQ39186" s="111"/>
      <c r="EF39186"/>
      <c r="EG39186"/>
      <c r="EH39186"/>
      <c r="EI39186"/>
      <c r="EJ39186"/>
      <c r="EK39186"/>
    </row>
    <row r="39187" spans="1:141" s="116" customFormat="1">
      <c r="A39187" s="136"/>
      <c r="CM39187" s="111"/>
      <c r="CQ39187" s="111"/>
      <c r="EF39187"/>
      <c r="EG39187"/>
      <c r="EH39187"/>
      <c r="EI39187"/>
      <c r="EJ39187"/>
      <c r="EK39187"/>
    </row>
    <row r="39188" spans="1:141" s="116" customFormat="1">
      <c r="A39188" s="136"/>
      <c r="CM39188" s="111"/>
      <c r="CQ39188" s="111"/>
      <c r="EF39188"/>
      <c r="EG39188"/>
      <c r="EH39188"/>
      <c r="EI39188"/>
      <c r="EJ39188"/>
      <c r="EK39188"/>
    </row>
    <row r="39189" spans="1:141" s="116" customFormat="1">
      <c r="A39189" s="136"/>
      <c r="CM39189" s="111"/>
      <c r="CQ39189" s="111"/>
      <c r="EF39189"/>
      <c r="EG39189"/>
      <c r="EH39189"/>
      <c r="EI39189"/>
      <c r="EJ39189"/>
      <c r="EK39189"/>
    </row>
    <row r="39190" spans="1:141" s="116" customFormat="1">
      <c r="A39190" s="136"/>
      <c r="CM39190" s="111"/>
      <c r="CQ39190" s="111"/>
      <c r="EF39190"/>
      <c r="EG39190"/>
      <c r="EH39190"/>
      <c r="EI39190"/>
      <c r="EJ39190"/>
      <c r="EK39190"/>
    </row>
    <row r="39191" spans="1:141" s="116" customFormat="1">
      <c r="A39191" s="136"/>
      <c r="CM39191" s="111"/>
      <c r="CQ39191" s="111"/>
      <c r="EF39191"/>
      <c r="EG39191"/>
      <c r="EH39191"/>
      <c r="EI39191"/>
      <c r="EJ39191"/>
      <c r="EK39191"/>
    </row>
    <row r="39192" spans="1:141" s="116" customFormat="1">
      <c r="A39192" s="136"/>
      <c r="CM39192" s="111"/>
      <c r="CQ39192" s="111"/>
      <c r="EF39192"/>
      <c r="EG39192"/>
      <c r="EH39192"/>
      <c r="EI39192"/>
      <c r="EJ39192"/>
      <c r="EK39192"/>
    </row>
    <row r="39193" spans="1:141" s="116" customFormat="1">
      <c r="A39193" s="136"/>
      <c r="CM39193" s="111"/>
      <c r="CQ39193" s="111"/>
      <c r="EF39193"/>
      <c r="EG39193"/>
      <c r="EH39193"/>
      <c r="EI39193"/>
      <c r="EJ39193"/>
      <c r="EK39193"/>
    </row>
    <row r="39194" spans="1:141" s="116" customFormat="1">
      <c r="A39194" s="136"/>
      <c r="CM39194" s="111"/>
      <c r="CQ39194" s="111"/>
      <c r="EF39194"/>
      <c r="EG39194"/>
      <c r="EH39194"/>
      <c r="EI39194"/>
      <c r="EJ39194"/>
      <c r="EK39194"/>
    </row>
    <row r="39195" spans="1:141" s="116" customFormat="1">
      <c r="A39195" s="136"/>
      <c r="CM39195" s="111"/>
      <c r="CQ39195" s="111"/>
      <c r="EF39195"/>
      <c r="EG39195"/>
      <c r="EH39195"/>
      <c r="EI39195"/>
      <c r="EJ39195"/>
      <c r="EK39195"/>
    </row>
    <row r="39196" spans="1:141" s="116" customFormat="1">
      <c r="A39196" s="136"/>
      <c r="CM39196" s="111"/>
      <c r="CQ39196" s="111"/>
      <c r="EF39196"/>
      <c r="EG39196"/>
      <c r="EH39196"/>
      <c r="EI39196"/>
      <c r="EJ39196"/>
      <c r="EK39196"/>
    </row>
    <row r="39197" spans="1:141" s="116" customFormat="1">
      <c r="A39197" s="136"/>
      <c r="CM39197" s="111"/>
      <c r="CQ39197" s="111"/>
      <c r="EF39197"/>
      <c r="EG39197"/>
      <c r="EH39197"/>
      <c r="EI39197"/>
      <c r="EJ39197"/>
      <c r="EK39197"/>
    </row>
    <row r="39198" spans="1:141" s="116" customFormat="1">
      <c r="A39198" s="136"/>
      <c r="CM39198" s="111"/>
      <c r="CQ39198" s="111"/>
      <c r="EF39198"/>
      <c r="EG39198"/>
      <c r="EH39198"/>
      <c r="EI39198"/>
      <c r="EJ39198"/>
      <c r="EK39198"/>
    </row>
    <row r="39199" spans="1:141" s="116" customFormat="1">
      <c r="A39199" s="136"/>
      <c r="CM39199" s="111"/>
      <c r="CQ39199" s="111"/>
      <c r="EF39199"/>
      <c r="EG39199"/>
      <c r="EH39199"/>
      <c r="EI39199"/>
      <c r="EJ39199"/>
      <c r="EK39199"/>
    </row>
    <row r="39200" spans="1:141" s="116" customFormat="1">
      <c r="A39200" s="136"/>
      <c r="CM39200" s="111"/>
      <c r="CQ39200" s="111"/>
      <c r="EF39200"/>
      <c r="EG39200"/>
      <c r="EH39200"/>
      <c r="EI39200"/>
      <c r="EJ39200"/>
      <c r="EK39200"/>
    </row>
    <row r="39201" spans="1:141" s="116" customFormat="1">
      <c r="A39201" s="136"/>
      <c r="CM39201" s="111"/>
      <c r="CQ39201" s="111"/>
      <c r="EF39201"/>
      <c r="EG39201"/>
      <c r="EH39201"/>
      <c r="EI39201"/>
      <c r="EJ39201"/>
      <c r="EK39201"/>
    </row>
    <row r="39202" spans="1:141" s="116" customFormat="1">
      <c r="A39202" s="136"/>
      <c r="CM39202" s="111"/>
      <c r="CQ39202" s="111"/>
      <c r="EF39202"/>
      <c r="EG39202"/>
      <c r="EH39202"/>
      <c r="EI39202"/>
      <c r="EJ39202"/>
      <c r="EK39202"/>
    </row>
    <row r="39203" spans="1:141" s="116" customFormat="1">
      <c r="A39203" s="136"/>
      <c r="CM39203" s="111"/>
      <c r="CQ39203" s="111"/>
      <c r="EF39203"/>
      <c r="EG39203"/>
      <c r="EH39203"/>
      <c r="EI39203"/>
      <c r="EJ39203"/>
      <c r="EK39203"/>
    </row>
    <row r="39204" spans="1:141" s="116" customFormat="1">
      <c r="A39204" s="136"/>
      <c r="CM39204" s="111"/>
      <c r="CQ39204" s="111"/>
      <c r="EF39204"/>
      <c r="EG39204"/>
      <c r="EH39204"/>
      <c r="EI39204"/>
      <c r="EJ39204"/>
      <c r="EK39204"/>
    </row>
    <row r="39205" spans="1:141" s="116" customFormat="1">
      <c r="A39205" s="136"/>
      <c r="CM39205" s="111"/>
      <c r="CQ39205" s="111"/>
      <c r="EF39205"/>
      <c r="EG39205"/>
      <c r="EH39205"/>
      <c r="EI39205"/>
      <c r="EJ39205"/>
      <c r="EK39205"/>
    </row>
    <row r="39206" spans="1:141" s="116" customFormat="1">
      <c r="A39206" s="136"/>
      <c r="CM39206" s="111"/>
      <c r="CQ39206" s="111"/>
      <c r="EF39206"/>
      <c r="EG39206"/>
      <c r="EH39206"/>
      <c r="EI39206"/>
      <c r="EJ39206"/>
      <c r="EK39206"/>
    </row>
    <row r="39207" spans="1:141" s="116" customFormat="1">
      <c r="A39207" s="136"/>
      <c r="CM39207" s="111"/>
      <c r="CQ39207" s="111"/>
      <c r="EF39207"/>
      <c r="EG39207"/>
      <c r="EH39207"/>
      <c r="EI39207"/>
      <c r="EJ39207"/>
      <c r="EK39207"/>
    </row>
    <row r="39208" spans="1:141" s="116" customFormat="1">
      <c r="A39208" s="136"/>
      <c r="CM39208" s="111"/>
      <c r="CQ39208" s="111"/>
      <c r="EF39208"/>
      <c r="EG39208"/>
      <c r="EH39208"/>
      <c r="EI39208"/>
      <c r="EJ39208"/>
      <c r="EK39208"/>
    </row>
    <row r="39209" spans="1:141" s="116" customFormat="1">
      <c r="A39209" s="136"/>
      <c r="CM39209" s="111"/>
      <c r="CQ39209" s="111"/>
      <c r="EF39209"/>
      <c r="EG39209"/>
      <c r="EH39209"/>
      <c r="EI39209"/>
      <c r="EJ39209"/>
      <c r="EK39209"/>
    </row>
    <row r="39210" spans="1:141" s="116" customFormat="1">
      <c r="A39210" s="136"/>
      <c r="CM39210" s="111"/>
      <c r="CQ39210" s="111"/>
      <c r="EF39210"/>
      <c r="EG39210"/>
      <c r="EH39210"/>
      <c r="EI39210"/>
      <c r="EJ39210"/>
      <c r="EK39210"/>
    </row>
    <row r="39211" spans="1:141" s="116" customFormat="1">
      <c r="A39211" s="136"/>
      <c r="CM39211" s="111"/>
      <c r="CQ39211" s="111"/>
      <c r="EF39211"/>
      <c r="EG39211"/>
      <c r="EH39211"/>
      <c r="EI39211"/>
      <c r="EJ39211"/>
      <c r="EK39211"/>
    </row>
    <row r="39212" spans="1:141" s="116" customFormat="1">
      <c r="A39212" s="136"/>
      <c r="CM39212" s="111"/>
      <c r="CQ39212" s="111"/>
      <c r="EF39212"/>
      <c r="EG39212"/>
      <c r="EH39212"/>
      <c r="EI39212"/>
      <c r="EJ39212"/>
      <c r="EK39212"/>
    </row>
    <row r="39213" spans="1:141" s="116" customFormat="1">
      <c r="A39213" s="136"/>
      <c r="CM39213" s="111"/>
      <c r="CQ39213" s="111"/>
      <c r="EF39213"/>
      <c r="EG39213"/>
      <c r="EH39213"/>
      <c r="EI39213"/>
      <c r="EJ39213"/>
      <c r="EK39213"/>
    </row>
    <row r="39214" spans="1:141" s="116" customFormat="1">
      <c r="A39214" s="136"/>
      <c r="CM39214" s="111"/>
      <c r="CQ39214" s="111"/>
      <c r="EF39214"/>
      <c r="EG39214"/>
      <c r="EH39214"/>
      <c r="EI39214"/>
      <c r="EJ39214"/>
      <c r="EK39214"/>
    </row>
    <row r="39215" spans="1:141" s="116" customFormat="1">
      <c r="A39215" s="136"/>
      <c r="CM39215" s="111"/>
      <c r="CQ39215" s="111"/>
      <c r="EF39215"/>
      <c r="EG39215"/>
      <c r="EH39215"/>
      <c r="EI39215"/>
      <c r="EJ39215"/>
      <c r="EK39215"/>
    </row>
    <row r="39216" spans="1:141" s="116" customFormat="1">
      <c r="A39216" s="136"/>
      <c r="CM39216" s="111"/>
      <c r="CQ39216" s="111"/>
      <c r="EF39216"/>
      <c r="EG39216"/>
      <c r="EH39216"/>
      <c r="EI39216"/>
      <c r="EJ39216"/>
      <c r="EK39216"/>
    </row>
    <row r="39217" spans="1:141" s="116" customFormat="1">
      <c r="A39217" s="136"/>
      <c r="CM39217" s="111"/>
      <c r="CQ39217" s="111"/>
      <c r="EF39217"/>
      <c r="EG39217"/>
      <c r="EH39217"/>
      <c r="EI39217"/>
      <c r="EJ39217"/>
      <c r="EK39217"/>
    </row>
    <row r="39218" spans="1:141" s="116" customFormat="1">
      <c r="A39218" s="136"/>
      <c r="CM39218" s="111"/>
      <c r="CQ39218" s="111"/>
      <c r="EF39218"/>
      <c r="EG39218"/>
      <c r="EH39218"/>
      <c r="EI39218"/>
      <c r="EJ39218"/>
      <c r="EK39218"/>
    </row>
    <row r="39219" spans="1:141" s="116" customFormat="1">
      <c r="A39219" s="136"/>
      <c r="CM39219" s="111"/>
      <c r="CQ39219" s="111"/>
      <c r="EF39219"/>
      <c r="EG39219"/>
      <c r="EH39219"/>
      <c r="EI39219"/>
      <c r="EJ39219"/>
      <c r="EK39219"/>
    </row>
    <row r="39220" spans="1:141" s="116" customFormat="1">
      <c r="A39220" s="136"/>
      <c r="CM39220" s="111"/>
      <c r="CQ39220" s="111"/>
      <c r="EF39220"/>
      <c r="EG39220"/>
      <c r="EH39220"/>
      <c r="EI39220"/>
      <c r="EJ39220"/>
      <c r="EK39220"/>
    </row>
    <row r="39221" spans="1:141" s="116" customFormat="1">
      <c r="A39221" s="136"/>
      <c r="CM39221" s="111"/>
      <c r="CQ39221" s="111"/>
      <c r="EF39221"/>
      <c r="EG39221"/>
      <c r="EH39221"/>
      <c r="EI39221"/>
      <c r="EJ39221"/>
      <c r="EK39221"/>
    </row>
    <row r="39222" spans="1:141" s="116" customFormat="1">
      <c r="A39222" s="136"/>
      <c r="CM39222" s="111"/>
      <c r="CQ39222" s="111"/>
      <c r="EF39222"/>
      <c r="EG39222"/>
      <c r="EH39222"/>
      <c r="EI39222"/>
      <c r="EJ39222"/>
      <c r="EK39222"/>
    </row>
    <row r="39223" spans="1:141" s="116" customFormat="1">
      <c r="A39223" s="136"/>
      <c r="CM39223" s="111"/>
      <c r="CQ39223" s="111"/>
      <c r="EF39223"/>
      <c r="EG39223"/>
      <c r="EH39223"/>
      <c r="EI39223"/>
      <c r="EJ39223"/>
      <c r="EK39223"/>
    </row>
    <row r="39224" spans="1:141" s="116" customFormat="1">
      <c r="A39224" s="136"/>
      <c r="CM39224" s="111"/>
      <c r="CQ39224" s="111"/>
      <c r="EF39224"/>
      <c r="EG39224"/>
      <c r="EH39224"/>
      <c r="EI39224"/>
      <c r="EJ39224"/>
      <c r="EK39224"/>
    </row>
    <row r="39225" spans="1:141" s="116" customFormat="1">
      <c r="A39225" s="136"/>
      <c r="CM39225" s="111"/>
      <c r="CQ39225" s="111"/>
      <c r="EF39225"/>
      <c r="EG39225"/>
      <c r="EH39225"/>
      <c r="EI39225"/>
      <c r="EJ39225"/>
      <c r="EK39225"/>
    </row>
    <row r="39226" spans="1:141" s="116" customFormat="1">
      <c r="A39226" s="136"/>
      <c r="CM39226" s="111"/>
      <c r="CQ39226" s="111"/>
      <c r="EF39226"/>
      <c r="EG39226"/>
      <c r="EH39226"/>
      <c r="EI39226"/>
      <c r="EJ39226"/>
      <c r="EK39226"/>
    </row>
    <row r="39227" spans="1:141" s="116" customFormat="1">
      <c r="A39227" s="136"/>
      <c r="CM39227" s="111"/>
      <c r="CQ39227" s="111"/>
      <c r="EF39227"/>
      <c r="EG39227"/>
      <c r="EH39227"/>
      <c r="EI39227"/>
      <c r="EJ39227"/>
      <c r="EK39227"/>
    </row>
    <row r="39228" spans="1:141" s="116" customFormat="1">
      <c r="A39228" s="136"/>
      <c r="CM39228" s="111"/>
      <c r="CQ39228" s="111"/>
      <c r="EF39228"/>
      <c r="EG39228"/>
      <c r="EH39228"/>
      <c r="EI39228"/>
      <c r="EJ39228"/>
      <c r="EK39228"/>
    </row>
    <row r="39229" spans="1:141" s="116" customFormat="1">
      <c r="A39229" s="136"/>
      <c r="CM39229" s="111"/>
      <c r="CQ39229" s="111"/>
      <c r="EF39229"/>
      <c r="EG39229"/>
      <c r="EH39229"/>
      <c r="EI39229"/>
      <c r="EJ39229"/>
      <c r="EK39229"/>
    </row>
    <row r="39230" spans="1:141" s="116" customFormat="1">
      <c r="A39230" s="136"/>
      <c r="CM39230" s="111"/>
      <c r="CQ39230" s="111"/>
      <c r="EF39230"/>
      <c r="EG39230"/>
      <c r="EH39230"/>
      <c r="EI39230"/>
      <c r="EJ39230"/>
      <c r="EK39230"/>
    </row>
    <row r="39231" spans="1:141" s="116" customFormat="1">
      <c r="A39231" s="136"/>
      <c r="CM39231" s="111"/>
      <c r="CQ39231" s="111"/>
      <c r="EF39231"/>
      <c r="EG39231"/>
      <c r="EH39231"/>
      <c r="EI39231"/>
      <c r="EJ39231"/>
      <c r="EK39231"/>
    </row>
    <row r="39232" spans="1:141" s="116" customFormat="1">
      <c r="A39232" s="136"/>
      <c r="CM39232" s="111"/>
      <c r="CQ39232" s="111"/>
      <c r="EF39232"/>
      <c r="EG39232"/>
      <c r="EH39232"/>
      <c r="EI39232"/>
      <c r="EJ39232"/>
      <c r="EK39232"/>
    </row>
    <row r="39233" spans="1:141" s="116" customFormat="1">
      <c r="A39233" s="136"/>
      <c r="CM39233" s="111"/>
      <c r="CQ39233" s="111"/>
      <c r="EF39233"/>
      <c r="EG39233"/>
      <c r="EH39233"/>
      <c r="EI39233"/>
      <c r="EJ39233"/>
      <c r="EK39233"/>
    </row>
    <row r="39234" spans="1:141" s="116" customFormat="1">
      <c r="A39234" s="136"/>
      <c r="CM39234" s="111"/>
      <c r="CQ39234" s="111"/>
      <c r="EF39234"/>
      <c r="EG39234"/>
      <c r="EH39234"/>
      <c r="EI39234"/>
      <c r="EJ39234"/>
      <c r="EK39234"/>
    </row>
    <row r="39235" spans="1:141" s="116" customFormat="1">
      <c r="A39235" s="136"/>
      <c r="CM39235" s="111"/>
      <c r="CQ39235" s="111"/>
      <c r="EF39235"/>
      <c r="EG39235"/>
      <c r="EH39235"/>
      <c r="EI39235"/>
      <c r="EJ39235"/>
      <c r="EK39235"/>
    </row>
    <row r="39236" spans="1:141" s="116" customFormat="1">
      <c r="A39236" s="136"/>
      <c r="CM39236" s="111"/>
      <c r="CQ39236" s="111"/>
      <c r="EF39236"/>
      <c r="EG39236"/>
      <c r="EH39236"/>
      <c r="EI39236"/>
      <c r="EJ39236"/>
      <c r="EK39236"/>
    </row>
    <row r="39237" spans="1:141" s="116" customFormat="1">
      <c r="A39237" s="136"/>
      <c r="CM39237" s="111"/>
      <c r="CQ39237" s="111"/>
      <c r="EF39237"/>
      <c r="EG39237"/>
      <c r="EH39237"/>
      <c r="EI39237"/>
      <c r="EJ39237"/>
      <c r="EK39237"/>
    </row>
    <row r="39238" spans="1:141" s="116" customFormat="1">
      <c r="A39238" s="136"/>
      <c r="CM39238" s="111"/>
      <c r="CQ39238" s="111"/>
      <c r="EF39238"/>
      <c r="EG39238"/>
      <c r="EH39238"/>
      <c r="EI39238"/>
      <c r="EJ39238"/>
      <c r="EK39238"/>
    </row>
    <row r="39239" spans="1:141" s="116" customFormat="1">
      <c r="A39239" s="136"/>
      <c r="CM39239" s="111"/>
      <c r="CQ39239" s="111"/>
      <c r="EF39239"/>
      <c r="EG39239"/>
      <c r="EH39239"/>
      <c r="EI39239"/>
      <c r="EJ39239"/>
      <c r="EK39239"/>
    </row>
    <row r="39240" spans="1:141" s="116" customFormat="1">
      <c r="A39240" s="136"/>
      <c r="CM39240" s="111"/>
      <c r="CQ39240" s="111"/>
      <c r="EF39240"/>
      <c r="EG39240"/>
      <c r="EH39240"/>
      <c r="EI39240"/>
      <c r="EJ39240"/>
      <c r="EK39240"/>
    </row>
    <row r="39241" spans="1:141" s="116" customFormat="1">
      <c r="A39241" s="136"/>
      <c r="CM39241" s="111"/>
      <c r="CQ39241" s="111"/>
      <c r="EF39241"/>
      <c r="EG39241"/>
      <c r="EH39241"/>
      <c r="EI39241"/>
      <c r="EJ39241"/>
      <c r="EK39241"/>
    </row>
    <row r="39242" spans="1:141" s="116" customFormat="1">
      <c r="A39242" s="136"/>
      <c r="CM39242" s="111"/>
      <c r="CQ39242" s="111"/>
      <c r="EF39242"/>
      <c r="EG39242"/>
      <c r="EH39242"/>
      <c r="EI39242"/>
      <c r="EJ39242"/>
      <c r="EK39242"/>
    </row>
    <row r="39243" spans="1:141" s="116" customFormat="1">
      <c r="A39243" s="136"/>
      <c r="CM39243" s="111"/>
      <c r="CQ39243" s="111"/>
      <c r="EF39243"/>
      <c r="EG39243"/>
      <c r="EH39243"/>
      <c r="EI39243"/>
      <c r="EJ39243"/>
      <c r="EK39243"/>
    </row>
    <row r="39244" spans="1:141" s="116" customFormat="1">
      <c r="A39244" s="136"/>
      <c r="CM39244" s="111"/>
      <c r="CQ39244" s="111"/>
      <c r="EF39244"/>
      <c r="EG39244"/>
      <c r="EH39244"/>
      <c r="EI39244"/>
      <c r="EJ39244"/>
      <c r="EK39244"/>
    </row>
    <row r="39245" spans="1:141" s="116" customFormat="1">
      <c r="A39245" s="136"/>
      <c r="CM39245" s="111"/>
      <c r="CQ39245" s="111"/>
      <c r="EF39245"/>
      <c r="EG39245"/>
      <c r="EH39245"/>
      <c r="EI39245"/>
      <c r="EJ39245"/>
      <c r="EK39245"/>
    </row>
    <row r="39246" spans="1:141" s="116" customFormat="1">
      <c r="A39246" s="136"/>
      <c r="CM39246" s="111"/>
      <c r="CQ39246" s="111"/>
      <c r="EF39246"/>
      <c r="EG39246"/>
      <c r="EH39246"/>
      <c r="EI39246"/>
      <c r="EJ39246"/>
      <c r="EK39246"/>
    </row>
    <row r="39247" spans="1:141" s="116" customFormat="1">
      <c r="A39247" s="136"/>
      <c r="CM39247" s="111"/>
      <c r="CQ39247" s="111"/>
      <c r="EF39247"/>
      <c r="EG39247"/>
      <c r="EH39247"/>
      <c r="EI39247"/>
      <c r="EJ39247"/>
      <c r="EK39247"/>
    </row>
    <row r="39248" spans="1:141" s="116" customFormat="1">
      <c r="A39248" s="136"/>
      <c r="CM39248" s="111"/>
      <c r="CQ39248" s="111"/>
      <c r="EF39248"/>
      <c r="EG39248"/>
      <c r="EH39248"/>
      <c r="EI39248"/>
      <c r="EJ39248"/>
      <c r="EK39248"/>
    </row>
    <row r="39249" spans="1:141" s="116" customFormat="1">
      <c r="A39249" s="136"/>
      <c r="CM39249" s="111"/>
      <c r="CQ39249" s="111"/>
      <c r="EF39249"/>
      <c r="EG39249"/>
      <c r="EH39249"/>
      <c r="EI39249"/>
      <c r="EJ39249"/>
      <c r="EK39249"/>
    </row>
    <row r="39250" spans="1:141" s="116" customFormat="1">
      <c r="A39250" s="136"/>
      <c r="CM39250" s="111"/>
      <c r="CQ39250" s="111"/>
      <c r="EF39250"/>
      <c r="EG39250"/>
      <c r="EH39250"/>
      <c r="EI39250"/>
      <c r="EJ39250"/>
      <c r="EK39250"/>
    </row>
    <row r="39251" spans="1:141" s="116" customFormat="1">
      <c r="A39251" s="136"/>
      <c r="CM39251" s="111"/>
      <c r="CQ39251" s="111"/>
      <c r="EF39251"/>
      <c r="EG39251"/>
      <c r="EH39251"/>
      <c r="EI39251"/>
      <c r="EJ39251"/>
      <c r="EK39251"/>
    </row>
    <row r="39252" spans="1:141" s="116" customFormat="1">
      <c r="A39252" s="136"/>
      <c r="CM39252" s="111"/>
      <c r="CQ39252" s="111"/>
      <c r="EF39252"/>
      <c r="EG39252"/>
      <c r="EH39252"/>
      <c r="EI39252"/>
      <c r="EJ39252"/>
      <c r="EK39252"/>
    </row>
    <row r="39253" spans="1:141" s="116" customFormat="1">
      <c r="A39253" s="136"/>
      <c r="CM39253" s="111"/>
      <c r="CQ39253" s="111"/>
      <c r="EF39253"/>
      <c r="EG39253"/>
      <c r="EH39253"/>
      <c r="EI39253"/>
      <c r="EJ39253"/>
      <c r="EK39253"/>
    </row>
    <row r="39254" spans="1:141" s="116" customFormat="1">
      <c r="A39254" s="136"/>
      <c r="CM39254" s="111"/>
      <c r="CQ39254" s="111"/>
      <c r="EF39254"/>
      <c r="EG39254"/>
      <c r="EH39254"/>
      <c r="EI39254"/>
      <c r="EJ39254"/>
      <c r="EK39254"/>
    </row>
    <row r="39255" spans="1:141" s="116" customFormat="1">
      <c r="A39255" s="136"/>
      <c r="CM39255" s="111"/>
      <c r="CQ39255" s="111"/>
      <c r="EF39255"/>
      <c r="EG39255"/>
      <c r="EH39255"/>
      <c r="EI39255"/>
      <c r="EJ39255"/>
      <c r="EK39255"/>
    </row>
    <row r="39256" spans="1:141" s="116" customFormat="1">
      <c r="A39256" s="136"/>
      <c r="CM39256" s="111"/>
      <c r="CQ39256" s="111"/>
      <c r="EF39256"/>
      <c r="EG39256"/>
      <c r="EH39256"/>
      <c r="EI39256"/>
      <c r="EJ39256"/>
      <c r="EK39256"/>
    </row>
    <row r="39257" spans="1:141" s="116" customFormat="1">
      <c r="A39257" s="136"/>
      <c r="CM39257" s="111"/>
      <c r="CQ39257" s="111"/>
      <c r="EF39257"/>
      <c r="EG39257"/>
      <c r="EH39257"/>
      <c r="EI39257"/>
      <c r="EJ39257"/>
      <c r="EK39257"/>
    </row>
    <row r="39258" spans="1:141" s="116" customFormat="1">
      <c r="A39258" s="136"/>
      <c r="CM39258" s="111"/>
      <c r="CQ39258" s="111"/>
      <c r="EF39258"/>
      <c r="EG39258"/>
      <c r="EH39258"/>
      <c r="EI39258"/>
      <c r="EJ39258"/>
      <c r="EK39258"/>
    </row>
    <row r="39259" spans="1:141" s="116" customFormat="1">
      <c r="A39259" s="136"/>
      <c r="CM39259" s="111"/>
      <c r="CQ39259" s="111"/>
      <c r="EF39259"/>
      <c r="EG39259"/>
      <c r="EH39259"/>
      <c r="EI39259"/>
      <c r="EJ39259"/>
      <c r="EK39259"/>
    </row>
    <row r="39260" spans="1:141" s="116" customFormat="1">
      <c r="A39260" s="136"/>
      <c r="CM39260" s="111"/>
      <c r="CQ39260" s="111"/>
      <c r="EF39260"/>
      <c r="EG39260"/>
      <c r="EH39260"/>
      <c r="EI39260"/>
      <c r="EJ39260"/>
      <c r="EK39260"/>
    </row>
    <row r="39261" spans="1:141" s="116" customFormat="1">
      <c r="A39261" s="136"/>
      <c r="CM39261" s="111"/>
      <c r="CQ39261" s="111"/>
      <c r="EF39261"/>
      <c r="EG39261"/>
      <c r="EH39261"/>
      <c r="EI39261"/>
      <c r="EJ39261"/>
      <c r="EK39261"/>
    </row>
    <row r="39262" spans="1:141" s="116" customFormat="1">
      <c r="A39262" s="136"/>
      <c r="CM39262" s="111"/>
      <c r="CQ39262" s="111"/>
      <c r="EF39262"/>
      <c r="EG39262"/>
      <c r="EH39262"/>
      <c r="EI39262"/>
      <c r="EJ39262"/>
      <c r="EK39262"/>
    </row>
    <row r="39263" spans="1:141" s="116" customFormat="1">
      <c r="A39263" s="136"/>
      <c r="CM39263" s="111"/>
      <c r="CQ39263" s="111"/>
      <c r="EF39263"/>
      <c r="EG39263"/>
      <c r="EH39263"/>
      <c r="EI39263"/>
      <c r="EJ39263"/>
      <c r="EK39263"/>
    </row>
    <row r="39264" spans="1:141" s="116" customFormat="1">
      <c r="A39264" s="136"/>
      <c r="CM39264" s="111"/>
      <c r="CQ39264" s="111"/>
      <c r="EF39264"/>
      <c r="EG39264"/>
      <c r="EH39264"/>
      <c r="EI39264"/>
      <c r="EJ39264"/>
      <c r="EK39264"/>
    </row>
    <row r="39265" spans="1:141" s="116" customFormat="1">
      <c r="A39265" s="136"/>
      <c r="CM39265" s="111"/>
      <c r="CQ39265" s="111"/>
      <c r="EF39265"/>
      <c r="EG39265"/>
      <c r="EH39265"/>
      <c r="EI39265"/>
      <c r="EJ39265"/>
      <c r="EK39265"/>
    </row>
    <row r="39266" spans="1:141" s="116" customFormat="1">
      <c r="A39266" s="136"/>
      <c r="CM39266" s="111"/>
      <c r="CQ39266" s="111"/>
      <c r="EF39266"/>
      <c r="EG39266"/>
      <c r="EH39266"/>
      <c r="EI39266"/>
      <c r="EJ39266"/>
      <c r="EK39266"/>
    </row>
    <row r="39267" spans="1:141" s="116" customFormat="1">
      <c r="A39267" s="136"/>
      <c r="CM39267" s="111"/>
      <c r="CQ39267" s="111"/>
      <c r="EF39267"/>
      <c r="EG39267"/>
      <c r="EH39267"/>
      <c r="EI39267"/>
      <c r="EJ39267"/>
      <c r="EK39267"/>
    </row>
    <row r="39268" spans="1:141" s="116" customFormat="1">
      <c r="A39268" s="136"/>
      <c r="CM39268" s="111"/>
      <c r="CQ39268" s="111"/>
      <c r="EF39268"/>
      <c r="EG39268"/>
      <c r="EH39268"/>
      <c r="EI39268"/>
      <c r="EJ39268"/>
      <c r="EK39268"/>
    </row>
    <row r="39269" spans="1:141" s="116" customFormat="1">
      <c r="A39269" s="136"/>
      <c r="CM39269" s="111"/>
      <c r="CQ39269" s="111"/>
      <c r="EF39269"/>
      <c r="EG39269"/>
      <c r="EH39269"/>
      <c r="EI39269"/>
      <c r="EJ39269"/>
      <c r="EK39269"/>
    </row>
    <row r="39270" spans="1:141" s="116" customFormat="1">
      <c r="A39270" s="136"/>
      <c r="CM39270" s="111"/>
      <c r="CQ39270" s="111"/>
      <c r="EF39270"/>
      <c r="EG39270"/>
      <c r="EH39270"/>
      <c r="EI39270"/>
      <c r="EJ39270"/>
      <c r="EK39270"/>
    </row>
    <row r="39271" spans="1:141" s="116" customFormat="1">
      <c r="A39271" s="136"/>
      <c r="CM39271" s="111"/>
      <c r="CQ39271" s="111"/>
      <c r="EF39271"/>
      <c r="EG39271"/>
      <c r="EH39271"/>
      <c r="EI39271"/>
      <c r="EJ39271"/>
      <c r="EK39271"/>
    </row>
    <row r="39272" spans="1:141" s="116" customFormat="1">
      <c r="A39272" s="136"/>
      <c r="CM39272" s="111"/>
      <c r="CQ39272" s="111"/>
      <c r="EF39272"/>
      <c r="EG39272"/>
      <c r="EH39272"/>
      <c r="EI39272"/>
      <c r="EJ39272"/>
      <c r="EK39272"/>
    </row>
    <row r="39273" spans="1:141" s="116" customFormat="1">
      <c r="A39273" s="136"/>
      <c r="CM39273" s="111"/>
      <c r="CQ39273" s="111"/>
      <c r="EF39273"/>
      <c r="EG39273"/>
      <c r="EH39273"/>
      <c r="EI39273"/>
      <c r="EJ39273"/>
      <c r="EK39273"/>
    </row>
    <row r="39274" spans="1:141" s="116" customFormat="1">
      <c r="A39274" s="136"/>
      <c r="CM39274" s="111"/>
      <c r="CQ39274" s="111"/>
      <c r="EF39274"/>
      <c r="EG39274"/>
      <c r="EH39274"/>
      <c r="EI39274"/>
      <c r="EJ39274"/>
      <c r="EK39274"/>
    </row>
    <row r="39275" spans="1:141" s="116" customFormat="1">
      <c r="A39275" s="136"/>
      <c r="CM39275" s="111"/>
      <c r="CQ39275" s="111"/>
      <c r="EF39275"/>
      <c r="EG39275"/>
      <c r="EH39275"/>
      <c r="EI39275"/>
      <c r="EJ39275"/>
      <c r="EK39275"/>
    </row>
    <row r="39276" spans="1:141" s="116" customFormat="1">
      <c r="A39276" s="136"/>
      <c r="CM39276" s="111"/>
      <c r="CQ39276" s="111"/>
      <c r="EF39276"/>
      <c r="EG39276"/>
      <c r="EH39276"/>
      <c r="EI39276"/>
      <c r="EJ39276"/>
      <c r="EK39276"/>
    </row>
    <row r="39277" spans="1:141" s="116" customFormat="1">
      <c r="A39277" s="136"/>
      <c r="CM39277" s="111"/>
      <c r="CQ39277" s="111"/>
      <c r="EF39277"/>
      <c r="EG39277"/>
      <c r="EH39277"/>
      <c r="EI39277"/>
      <c r="EJ39277"/>
      <c r="EK39277"/>
    </row>
    <row r="39278" spans="1:141" s="116" customFormat="1">
      <c r="A39278" s="136"/>
      <c r="CM39278" s="111"/>
      <c r="CQ39278" s="111"/>
      <c r="EF39278"/>
      <c r="EG39278"/>
      <c r="EH39278"/>
      <c r="EI39278"/>
      <c r="EJ39278"/>
      <c r="EK39278"/>
    </row>
    <row r="39279" spans="1:141" s="116" customFormat="1">
      <c r="A39279" s="136"/>
      <c r="CM39279" s="111"/>
      <c r="CQ39279" s="111"/>
      <c r="EF39279"/>
      <c r="EG39279"/>
      <c r="EH39279"/>
      <c r="EI39279"/>
      <c r="EJ39279"/>
      <c r="EK39279"/>
    </row>
    <row r="39280" spans="1:141" s="116" customFormat="1">
      <c r="A39280" s="136"/>
      <c r="CM39280" s="111"/>
      <c r="CQ39280" s="111"/>
      <c r="EF39280"/>
      <c r="EG39280"/>
      <c r="EH39280"/>
      <c r="EI39280"/>
      <c r="EJ39280"/>
      <c r="EK39280"/>
    </row>
    <row r="39281" spans="1:141" s="116" customFormat="1">
      <c r="A39281" s="136"/>
      <c r="CM39281" s="111"/>
      <c r="CQ39281" s="111"/>
      <c r="EF39281"/>
      <c r="EG39281"/>
      <c r="EH39281"/>
      <c r="EI39281"/>
      <c r="EJ39281"/>
      <c r="EK39281"/>
    </row>
    <row r="39282" spans="1:141" s="116" customFormat="1">
      <c r="A39282" s="136"/>
      <c r="CM39282" s="111"/>
      <c r="CQ39282" s="111"/>
      <c r="EF39282"/>
      <c r="EG39282"/>
      <c r="EH39282"/>
      <c r="EI39282"/>
      <c r="EJ39282"/>
      <c r="EK39282"/>
    </row>
    <row r="39283" spans="1:141" s="116" customFormat="1">
      <c r="A39283" s="136"/>
      <c r="CM39283" s="111"/>
      <c r="CQ39283" s="111"/>
      <c r="EF39283"/>
      <c r="EG39283"/>
      <c r="EH39283"/>
      <c r="EI39283"/>
      <c r="EJ39283"/>
      <c r="EK39283"/>
    </row>
    <row r="39284" spans="1:141" s="116" customFormat="1">
      <c r="A39284" s="136"/>
      <c r="CM39284" s="111"/>
      <c r="CQ39284" s="111"/>
      <c r="EF39284"/>
      <c r="EG39284"/>
      <c r="EH39284"/>
      <c r="EI39284"/>
      <c r="EJ39284"/>
      <c r="EK39284"/>
    </row>
    <row r="39285" spans="1:141" s="116" customFormat="1">
      <c r="A39285" s="136"/>
      <c r="CM39285" s="111"/>
      <c r="CQ39285" s="111"/>
      <c r="EF39285"/>
      <c r="EG39285"/>
      <c r="EH39285"/>
      <c r="EI39285"/>
      <c r="EJ39285"/>
      <c r="EK39285"/>
    </row>
    <row r="39286" spans="1:141" s="116" customFormat="1">
      <c r="A39286" s="136"/>
      <c r="CM39286" s="111"/>
      <c r="CQ39286" s="111"/>
      <c r="EF39286"/>
      <c r="EG39286"/>
      <c r="EH39286"/>
      <c r="EI39286"/>
      <c r="EJ39286"/>
      <c r="EK39286"/>
    </row>
    <row r="39287" spans="1:141" s="116" customFormat="1">
      <c r="A39287" s="136"/>
      <c r="CM39287" s="111"/>
      <c r="CQ39287" s="111"/>
      <c r="EF39287"/>
      <c r="EG39287"/>
      <c r="EH39287"/>
      <c r="EI39287"/>
      <c r="EJ39287"/>
      <c r="EK39287"/>
    </row>
    <row r="39288" spans="1:141" s="116" customFormat="1">
      <c r="A39288" s="136"/>
      <c r="CM39288" s="111"/>
      <c r="CQ39288" s="111"/>
      <c r="EF39288"/>
      <c r="EG39288"/>
      <c r="EH39288"/>
      <c r="EI39288"/>
      <c r="EJ39288"/>
      <c r="EK39288"/>
    </row>
    <row r="39289" spans="1:141" s="116" customFormat="1">
      <c r="A39289" s="136"/>
      <c r="CM39289" s="111"/>
      <c r="CQ39289" s="111"/>
      <c r="EF39289"/>
      <c r="EG39289"/>
      <c r="EH39289"/>
      <c r="EI39289"/>
      <c r="EJ39289"/>
      <c r="EK39289"/>
    </row>
    <row r="39290" spans="1:141" s="116" customFormat="1">
      <c r="A39290" s="136"/>
      <c r="CM39290" s="111"/>
      <c r="CQ39290" s="111"/>
      <c r="EF39290"/>
      <c r="EG39290"/>
      <c r="EH39290"/>
      <c r="EI39290"/>
      <c r="EJ39290"/>
      <c r="EK39290"/>
    </row>
    <row r="39291" spans="1:141" s="116" customFormat="1">
      <c r="A39291" s="136"/>
      <c r="CM39291" s="111"/>
      <c r="CQ39291" s="111"/>
      <c r="EF39291"/>
      <c r="EG39291"/>
      <c r="EH39291"/>
      <c r="EI39291"/>
      <c r="EJ39291"/>
      <c r="EK39291"/>
    </row>
    <row r="39292" spans="1:141" s="116" customFormat="1">
      <c r="A39292" s="136"/>
      <c r="CM39292" s="111"/>
      <c r="CQ39292" s="111"/>
      <c r="EF39292"/>
      <c r="EG39292"/>
      <c r="EH39292"/>
      <c r="EI39292"/>
      <c r="EJ39292"/>
      <c r="EK39292"/>
    </row>
    <row r="39293" spans="1:141" s="116" customFormat="1">
      <c r="A39293" s="136"/>
      <c r="CM39293" s="111"/>
      <c r="CQ39293" s="111"/>
      <c r="EF39293"/>
      <c r="EG39293"/>
      <c r="EH39293"/>
      <c r="EI39293"/>
      <c r="EJ39293"/>
      <c r="EK39293"/>
    </row>
    <row r="39294" spans="1:141" s="116" customFormat="1">
      <c r="A39294" s="136"/>
      <c r="CM39294" s="111"/>
      <c r="CQ39294" s="111"/>
      <c r="EF39294"/>
      <c r="EG39294"/>
      <c r="EH39294"/>
      <c r="EI39294"/>
      <c r="EJ39294"/>
      <c r="EK39294"/>
    </row>
    <row r="39295" spans="1:141" s="116" customFormat="1">
      <c r="A39295" s="136"/>
      <c r="CM39295" s="111"/>
      <c r="CQ39295" s="111"/>
      <c r="EF39295"/>
      <c r="EG39295"/>
      <c r="EH39295"/>
      <c r="EI39295"/>
      <c r="EJ39295"/>
      <c r="EK39295"/>
    </row>
    <row r="39296" spans="1:141" s="116" customFormat="1">
      <c r="A39296" s="136"/>
      <c r="CM39296" s="111"/>
      <c r="CQ39296" s="111"/>
      <c r="EF39296"/>
      <c r="EG39296"/>
      <c r="EH39296"/>
      <c r="EI39296"/>
      <c r="EJ39296"/>
      <c r="EK39296"/>
    </row>
    <row r="39297" spans="1:141" s="116" customFormat="1">
      <c r="A39297" s="136"/>
      <c r="CM39297" s="111"/>
      <c r="CQ39297" s="111"/>
      <c r="EF39297"/>
      <c r="EG39297"/>
      <c r="EH39297"/>
      <c r="EI39297"/>
      <c r="EJ39297"/>
      <c r="EK39297"/>
    </row>
    <row r="39298" spans="1:141" s="116" customFormat="1">
      <c r="A39298" s="136"/>
      <c r="CM39298" s="111"/>
      <c r="CQ39298" s="111"/>
      <c r="EF39298"/>
      <c r="EG39298"/>
      <c r="EH39298"/>
      <c r="EI39298"/>
      <c r="EJ39298"/>
      <c r="EK39298"/>
    </row>
    <row r="39299" spans="1:141" s="116" customFormat="1">
      <c r="A39299" s="136"/>
      <c r="CM39299" s="111"/>
      <c r="CQ39299" s="111"/>
      <c r="EF39299"/>
      <c r="EG39299"/>
      <c r="EH39299"/>
      <c r="EI39299"/>
      <c r="EJ39299"/>
      <c r="EK39299"/>
    </row>
    <row r="39300" spans="1:141" s="116" customFormat="1">
      <c r="A39300" s="136"/>
      <c r="CM39300" s="111"/>
      <c r="CQ39300" s="111"/>
      <c r="EF39300"/>
      <c r="EG39300"/>
      <c r="EH39300"/>
      <c r="EI39300"/>
      <c r="EJ39300"/>
      <c r="EK39300"/>
    </row>
    <row r="39301" spans="1:141" s="116" customFormat="1">
      <c r="A39301" s="136"/>
      <c r="CM39301" s="111"/>
      <c r="CQ39301" s="111"/>
      <c r="EF39301"/>
      <c r="EG39301"/>
      <c r="EH39301"/>
      <c r="EI39301"/>
      <c r="EJ39301"/>
      <c r="EK39301"/>
    </row>
    <row r="39302" spans="1:141" s="116" customFormat="1">
      <c r="A39302" s="136"/>
      <c r="CM39302" s="111"/>
      <c r="CQ39302" s="111"/>
      <c r="EF39302"/>
      <c r="EG39302"/>
      <c r="EH39302"/>
      <c r="EI39302"/>
      <c r="EJ39302"/>
      <c r="EK39302"/>
    </row>
    <row r="39303" spans="1:141" s="116" customFormat="1">
      <c r="A39303" s="136"/>
      <c r="CM39303" s="111"/>
      <c r="CQ39303" s="111"/>
      <c r="EF39303"/>
      <c r="EG39303"/>
      <c r="EH39303"/>
      <c r="EI39303"/>
      <c r="EJ39303"/>
      <c r="EK39303"/>
    </row>
    <row r="39304" spans="1:141" s="116" customFormat="1">
      <c r="A39304" s="136"/>
      <c r="CM39304" s="111"/>
      <c r="CQ39304" s="111"/>
      <c r="EF39304"/>
      <c r="EG39304"/>
      <c r="EH39304"/>
      <c r="EI39304"/>
      <c r="EJ39304"/>
      <c r="EK39304"/>
    </row>
    <row r="39305" spans="1:141" s="116" customFormat="1">
      <c r="A39305" s="136"/>
      <c r="CM39305" s="111"/>
      <c r="CQ39305" s="111"/>
      <c r="EF39305"/>
      <c r="EG39305"/>
      <c r="EH39305"/>
      <c r="EI39305"/>
      <c r="EJ39305"/>
      <c r="EK39305"/>
    </row>
    <row r="39306" spans="1:141" s="116" customFormat="1">
      <c r="A39306" s="136"/>
      <c r="CM39306" s="111"/>
      <c r="CQ39306" s="111"/>
      <c r="EF39306"/>
      <c r="EG39306"/>
      <c r="EH39306"/>
      <c r="EI39306"/>
      <c r="EJ39306"/>
      <c r="EK39306"/>
    </row>
    <row r="39307" spans="1:141" s="116" customFormat="1">
      <c r="A39307" s="136"/>
      <c r="CM39307" s="111"/>
      <c r="CQ39307" s="111"/>
      <c r="EF39307"/>
      <c r="EG39307"/>
      <c r="EH39307"/>
      <c r="EI39307"/>
      <c r="EJ39307"/>
      <c r="EK39307"/>
    </row>
    <row r="39308" spans="1:141" s="116" customFormat="1">
      <c r="A39308" s="136"/>
      <c r="CM39308" s="111"/>
      <c r="CQ39308" s="111"/>
      <c r="EF39308"/>
      <c r="EG39308"/>
      <c r="EH39308"/>
      <c r="EI39308"/>
      <c r="EJ39308"/>
      <c r="EK39308"/>
    </row>
    <row r="39309" spans="1:141" s="116" customFormat="1">
      <c r="A39309" s="136"/>
      <c r="CM39309" s="111"/>
      <c r="CQ39309" s="111"/>
      <c r="EF39309"/>
      <c r="EG39309"/>
      <c r="EH39309"/>
      <c r="EI39309"/>
      <c r="EJ39309"/>
      <c r="EK39309"/>
    </row>
    <row r="39310" spans="1:141" s="116" customFormat="1">
      <c r="A39310" s="136"/>
      <c r="CM39310" s="111"/>
      <c r="CQ39310" s="111"/>
      <c r="EF39310"/>
      <c r="EG39310"/>
      <c r="EH39310"/>
      <c r="EI39310"/>
      <c r="EJ39310"/>
      <c r="EK39310"/>
    </row>
    <row r="39311" spans="1:141" s="116" customFormat="1">
      <c r="A39311" s="136"/>
      <c r="CM39311" s="111"/>
      <c r="CQ39311" s="111"/>
      <c r="EF39311"/>
      <c r="EG39311"/>
      <c r="EH39311"/>
      <c r="EI39311"/>
      <c r="EJ39311"/>
      <c r="EK39311"/>
    </row>
    <row r="39312" spans="1:141" s="116" customFormat="1">
      <c r="A39312" s="136"/>
      <c r="CM39312" s="111"/>
      <c r="CQ39312" s="111"/>
      <c r="EF39312"/>
      <c r="EG39312"/>
      <c r="EH39312"/>
      <c r="EI39312"/>
      <c r="EJ39312"/>
      <c r="EK39312"/>
    </row>
    <row r="39313" spans="1:141" s="116" customFormat="1">
      <c r="A39313" s="136"/>
      <c r="CM39313" s="111"/>
      <c r="CQ39313" s="111"/>
      <c r="EF39313"/>
      <c r="EG39313"/>
      <c r="EH39313"/>
      <c r="EI39313"/>
      <c r="EJ39313"/>
      <c r="EK39313"/>
    </row>
    <row r="39314" spans="1:141" s="116" customFormat="1">
      <c r="A39314" s="136"/>
      <c r="CM39314" s="111"/>
      <c r="CQ39314" s="111"/>
      <c r="EF39314"/>
      <c r="EG39314"/>
      <c r="EH39314"/>
      <c r="EI39314"/>
      <c r="EJ39314"/>
      <c r="EK39314"/>
    </row>
    <row r="39315" spans="1:141" s="116" customFormat="1">
      <c r="A39315" s="136"/>
      <c r="CM39315" s="111"/>
      <c r="CQ39315" s="111"/>
      <c r="EF39315"/>
      <c r="EG39315"/>
      <c r="EH39315"/>
      <c r="EI39315"/>
      <c r="EJ39315"/>
      <c r="EK39315"/>
    </row>
    <row r="39316" spans="1:141" s="116" customFormat="1">
      <c r="A39316" s="136"/>
      <c r="CM39316" s="111"/>
      <c r="CQ39316" s="111"/>
      <c r="EF39316"/>
      <c r="EG39316"/>
      <c r="EH39316"/>
      <c r="EI39316"/>
      <c r="EJ39316"/>
      <c r="EK39316"/>
    </row>
    <row r="39317" spans="1:141" s="116" customFormat="1">
      <c r="A39317" s="136"/>
      <c r="CM39317" s="111"/>
      <c r="CQ39317" s="111"/>
      <c r="EF39317"/>
      <c r="EG39317"/>
      <c r="EH39317"/>
      <c r="EI39317"/>
      <c r="EJ39317"/>
      <c r="EK39317"/>
    </row>
    <row r="39318" spans="1:141" s="116" customFormat="1">
      <c r="A39318" s="136"/>
      <c r="CM39318" s="111"/>
      <c r="CQ39318" s="111"/>
      <c r="EF39318"/>
      <c r="EG39318"/>
      <c r="EH39318"/>
      <c r="EI39318"/>
      <c r="EJ39318"/>
      <c r="EK39318"/>
    </row>
    <row r="39319" spans="1:141" s="116" customFormat="1">
      <c r="A39319" s="136"/>
      <c r="CM39319" s="111"/>
      <c r="CQ39319" s="111"/>
      <c r="EF39319"/>
      <c r="EG39319"/>
      <c r="EH39319"/>
      <c r="EI39319"/>
      <c r="EJ39319"/>
      <c r="EK39319"/>
    </row>
    <row r="39320" spans="1:141" s="116" customFormat="1">
      <c r="A39320" s="136"/>
      <c r="CM39320" s="111"/>
      <c r="CQ39320" s="111"/>
      <c r="EF39320"/>
      <c r="EG39320"/>
      <c r="EH39320"/>
      <c r="EI39320"/>
      <c r="EJ39320"/>
      <c r="EK39320"/>
    </row>
    <row r="39321" spans="1:141" s="116" customFormat="1">
      <c r="A39321" s="136"/>
      <c r="CM39321" s="111"/>
      <c r="CQ39321" s="111"/>
      <c r="EF39321"/>
      <c r="EG39321"/>
      <c r="EH39321"/>
      <c r="EI39321"/>
      <c r="EJ39321"/>
      <c r="EK39321"/>
    </row>
    <row r="39322" spans="1:141" s="116" customFormat="1">
      <c r="A39322" s="136"/>
      <c r="CM39322" s="111"/>
      <c r="CQ39322" s="111"/>
      <c r="EF39322"/>
      <c r="EG39322"/>
      <c r="EH39322"/>
      <c r="EI39322"/>
      <c r="EJ39322"/>
      <c r="EK39322"/>
    </row>
    <row r="39323" spans="1:141" s="116" customFormat="1">
      <c r="A39323" s="136"/>
      <c r="CM39323" s="111"/>
      <c r="CQ39323" s="111"/>
      <c r="EF39323"/>
      <c r="EG39323"/>
      <c r="EH39323"/>
      <c r="EI39323"/>
      <c r="EJ39323"/>
      <c r="EK39323"/>
    </row>
    <row r="39324" spans="1:141" s="116" customFormat="1">
      <c r="A39324" s="136"/>
      <c r="CM39324" s="111"/>
      <c r="CQ39324" s="111"/>
      <c r="EF39324"/>
      <c r="EG39324"/>
      <c r="EH39324"/>
      <c r="EI39324"/>
      <c r="EJ39324"/>
      <c r="EK39324"/>
    </row>
    <row r="39325" spans="1:141" s="116" customFormat="1">
      <c r="A39325" s="136"/>
      <c r="CM39325" s="111"/>
      <c r="CQ39325" s="111"/>
      <c r="EF39325"/>
      <c r="EG39325"/>
      <c r="EH39325"/>
      <c r="EI39325"/>
      <c r="EJ39325"/>
      <c r="EK39325"/>
    </row>
    <row r="39326" spans="1:141" s="116" customFormat="1">
      <c r="A39326" s="136"/>
      <c r="CM39326" s="111"/>
      <c r="CQ39326" s="111"/>
      <c r="EF39326"/>
      <c r="EG39326"/>
      <c r="EH39326"/>
      <c r="EI39326"/>
      <c r="EJ39326"/>
      <c r="EK39326"/>
    </row>
    <row r="39327" spans="1:141" s="116" customFormat="1">
      <c r="A39327" s="136"/>
      <c r="CM39327" s="111"/>
      <c r="CQ39327" s="111"/>
      <c r="EF39327"/>
      <c r="EG39327"/>
      <c r="EH39327"/>
      <c r="EI39327"/>
      <c r="EJ39327"/>
      <c r="EK39327"/>
    </row>
    <row r="39328" spans="1:141" s="116" customFormat="1">
      <c r="A39328" s="136"/>
      <c r="CM39328" s="111"/>
      <c r="CQ39328" s="111"/>
      <c r="EF39328"/>
      <c r="EG39328"/>
      <c r="EH39328"/>
      <c r="EI39328"/>
      <c r="EJ39328"/>
      <c r="EK39328"/>
    </row>
    <row r="39329" spans="1:141" s="116" customFormat="1">
      <c r="A39329" s="136"/>
      <c r="CM39329" s="111"/>
      <c r="CQ39329" s="111"/>
      <c r="EF39329"/>
      <c r="EG39329"/>
      <c r="EH39329"/>
      <c r="EI39329"/>
      <c r="EJ39329"/>
      <c r="EK39329"/>
    </row>
    <row r="39330" spans="1:141" s="116" customFormat="1">
      <c r="A39330" s="136"/>
      <c r="CM39330" s="111"/>
      <c r="CQ39330" s="111"/>
      <c r="EF39330"/>
      <c r="EG39330"/>
      <c r="EH39330"/>
      <c r="EI39330"/>
      <c r="EJ39330"/>
      <c r="EK39330"/>
    </row>
    <row r="39331" spans="1:141" s="116" customFormat="1">
      <c r="A39331" s="136"/>
      <c r="CM39331" s="111"/>
      <c r="CQ39331" s="111"/>
      <c r="EF39331"/>
      <c r="EG39331"/>
      <c r="EH39331"/>
      <c r="EI39331"/>
      <c r="EJ39331"/>
      <c r="EK39331"/>
    </row>
    <row r="39332" spans="1:141" s="116" customFormat="1">
      <c r="A39332" s="136"/>
      <c r="CM39332" s="111"/>
      <c r="CQ39332" s="111"/>
      <c r="EF39332"/>
      <c r="EG39332"/>
      <c r="EH39332"/>
      <c r="EI39332"/>
      <c r="EJ39332"/>
      <c r="EK39332"/>
    </row>
    <row r="39333" spans="1:141" s="116" customFormat="1">
      <c r="A39333" s="136"/>
      <c r="CM39333" s="111"/>
      <c r="CQ39333" s="111"/>
      <c r="EF39333"/>
      <c r="EG39333"/>
      <c r="EH39333"/>
      <c r="EI39333"/>
      <c r="EJ39333"/>
      <c r="EK39333"/>
    </row>
    <row r="39334" spans="1:141" s="116" customFormat="1">
      <c r="A39334" s="136"/>
      <c r="CM39334" s="111"/>
      <c r="CQ39334" s="111"/>
      <c r="EF39334"/>
      <c r="EG39334"/>
      <c r="EH39334"/>
      <c r="EI39334"/>
      <c r="EJ39334"/>
      <c r="EK39334"/>
    </row>
    <row r="39335" spans="1:141" s="116" customFormat="1">
      <c r="A39335" s="136"/>
      <c r="CM39335" s="111"/>
      <c r="CQ39335" s="111"/>
      <c r="EF39335"/>
      <c r="EG39335"/>
      <c r="EH39335"/>
      <c r="EI39335"/>
      <c r="EJ39335"/>
      <c r="EK39335"/>
    </row>
    <row r="39336" spans="1:141" s="116" customFormat="1">
      <c r="A39336" s="136"/>
      <c r="CM39336" s="111"/>
      <c r="CQ39336" s="111"/>
      <c r="EF39336"/>
      <c r="EG39336"/>
      <c r="EH39336"/>
      <c r="EI39336"/>
      <c r="EJ39336"/>
      <c r="EK39336"/>
    </row>
    <row r="39337" spans="1:141" s="116" customFormat="1">
      <c r="A39337" s="136"/>
      <c r="CM39337" s="111"/>
      <c r="CQ39337" s="111"/>
      <c r="EF39337"/>
      <c r="EG39337"/>
      <c r="EH39337"/>
      <c r="EI39337"/>
      <c r="EJ39337"/>
      <c r="EK39337"/>
    </row>
    <row r="39338" spans="1:141" s="116" customFormat="1">
      <c r="A39338" s="136"/>
      <c r="CM39338" s="111"/>
      <c r="CQ39338" s="111"/>
      <c r="EF39338"/>
      <c r="EG39338"/>
      <c r="EH39338"/>
      <c r="EI39338"/>
      <c r="EJ39338"/>
      <c r="EK39338"/>
    </row>
    <row r="39339" spans="1:141" s="116" customFormat="1">
      <c r="A39339" s="136"/>
      <c r="CM39339" s="111"/>
      <c r="CQ39339" s="111"/>
      <c r="EF39339"/>
      <c r="EG39339"/>
      <c r="EH39339"/>
      <c r="EI39339"/>
      <c r="EJ39339"/>
      <c r="EK39339"/>
    </row>
    <row r="39340" spans="1:141" s="116" customFormat="1">
      <c r="A39340" s="136"/>
      <c r="CM39340" s="111"/>
      <c r="CQ39340" s="111"/>
      <c r="EF39340"/>
      <c r="EG39340"/>
      <c r="EH39340"/>
      <c r="EI39340"/>
      <c r="EJ39340"/>
      <c r="EK39340"/>
    </row>
    <row r="39341" spans="1:141" s="116" customFormat="1">
      <c r="A39341" s="136"/>
      <c r="CM39341" s="111"/>
      <c r="CQ39341" s="111"/>
      <c r="EF39341"/>
      <c r="EG39341"/>
      <c r="EH39341"/>
      <c r="EI39341"/>
      <c r="EJ39341"/>
      <c r="EK39341"/>
    </row>
    <row r="39342" spans="1:141" s="116" customFormat="1">
      <c r="A39342" s="136"/>
      <c r="CM39342" s="111"/>
      <c r="CQ39342" s="111"/>
      <c r="EF39342"/>
      <c r="EG39342"/>
      <c r="EH39342"/>
      <c r="EI39342"/>
      <c r="EJ39342"/>
      <c r="EK39342"/>
    </row>
    <row r="39343" spans="1:141" s="116" customFormat="1">
      <c r="A39343" s="136"/>
      <c r="CM39343" s="111"/>
      <c r="CQ39343" s="111"/>
      <c r="EF39343"/>
      <c r="EG39343"/>
      <c r="EH39343"/>
      <c r="EI39343"/>
      <c r="EJ39343"/>
      <c r="EK39343"/>
    </row>
    <row r="39344" spans="1:141" s="116" customFormat="1">
      <c r="A39344" s="136"/>
      <c r="CM39344" s="111"/>
      <c r="CQ39344" s="111"/>
      <c r="EF39344"/>
      <c r="EG39344"/>
      <c r="EH39344"/>
      <c r="EI39344"/>
      <c r="EJ39344"/>
      <c r="EK39344"/>
    </row>
    <row r="39345" spans="1:141" s="116" customFormat="1">
      <c r="A39345" s="136"/>
      <c r="CM39345" s="111"/>
      <c r="CQ39345" s="111"/>
      <c r="EF39345"/>
      <c r="EG39345"/>
      <c r="EH39345"/>
      <c r="EI39345"/>
      <c r="EJ39345"/>
      <c r="EK39345"/>
    </row>
    <row r="39346" spans="1:141" s="116" customFormat="1">
      <c r="A39346" s="136"/>
      <c r="CM39346" s="111"/>
      <c r="CQ39346" s="111"/>
      <c r="EF39346"/>
      <c r="EG39346"/>
      <c r="EH39346"/>
      <c r="EI39346"/>
      <c r="EJ39346"/>
      <c r="EK39346"/>
    </row>
    <row r="39347" spans="1:141" s="116" customFormat="1">
      <c r="A39347" s="136"/>
      <c r="CM39347" s="111"/>
      <c r="CQ39347" s="111"/>
      <c r="EF39347"/>
      <c r="EG39347"/>
      <c r="EH39347"/>
      <c r="EI39347"/>
      <c r="EJ39347"/>
      <c r="EK39347"/>
    </row>
    <row r="39348" spans="1:141" s="116" customFormat="1">
      <c r="A39348" s="136"/>
      <c r="CM39348" s="111"/>
      <c r="CQ39348" s="111"/>
      <c r="EF39348"/>
      <c r="EG39348"/>
      <c r="EH39348"/>
      <c r="EI39348"/>
      <c r="EJ39348"/>
      <c r="EK39348"/>
    </row>
    <row r="39349" spans="1:141" s="116" customFormat="1">
      <c r="A39349" s="136"/>
      <c r="CM39349" s="111"/>
      <c r="CQ39349" s="111"/>
      <c r="EF39349"/>
      <c r="EG39349"/>
      <c r="EH39349"/>
      <c r="EI39349"/>
      <c r="EJ39349"/>
      <c r="EK39349"/>
    </row>
    <row r="39350" spans="1:141" s="116" customFormat="1">
      <c r="A39350" s="136"/>
      <c r="CM39350" s="111"/>
      <c r="CQ39350" s="111"/>
      <c r="EF39350"/>
      <c r="EG39350"/>
      <c r="EH39350"/>
      <c r="EI39350"/>
      <c r="EJ39350"/>
      <c r="EK39350"/>
    </row>
    <row r="39351" spans="1:141" s="116" customFormat="1">
      <c r="A39351" s="136"/>
      <c r="CM39351" s="111"/>
      <c r="CQ39351" s="111"/>
      <c r="EF39351"/>
      <c r="EG39351"/>
      <c r="EH39351"/>
      <c r="EI39351"/>
      <c r="EJ39351"/>
      <c r="EK39351"/>
    </row>
    <row r="39352" spans="1:141" s="116" customFormat="1">
      <c r="A39352" s="136"/>
      <c r="CM39352" s="111"/>
      <c r="CQ39352" s="111"/>
      <c r="EF39352"/>
      <c r="EG39352"/>
      <c r="EH39352"/>
      <c r="EI39352"/>
      <c r="EJ39352"/>
      <c r="EK39352"/>
    </row>
    <row r="39353" spans="1:141" s="116" customFormat="1">
      <c r="A39353" s="136"/>
      <c r="CM39353" s="111"/>
      <c r="CQ39353" s="111"/>
      <c r="EF39353"/>
      <c r="EG39353"/>
      <c r="EH39353"/>
      <c r="EI39353"/>
      <c r="EJ39353"/>
      <c r="EK39353"/>
    </row>
    <row r="39354" spans="1:141" s="116" customFormat="1">
      <c r="A39354" s="136"/>
      <c r="CM39354" s="111"/>
      <c r="CQ39354" s="111"/>
      <c r="EF39354"/>
      <c r="EG39354"/>
      <c r="EH39354"/>
      <c r="EI39354"/>
      <c r="EJ39354"/>
      <c r="EK39354"/>
    </row>
    <row r="39355" spans="1:141" s="116" customFormat="1">
      <c r="A39355" s="136"/>
      <c r="CM39355" s="111"/>
      <c r="CQ39355" s="111"/>
      <c r="EF39355"/>
      <c r="EG39355"/>
      <c r="EH39355"/>
      <c r="EI39355"/>
      <c r="EJ39355"/>
      <c r="EK39355"/>
    </row>
    <row r="39356" spans="1:141" s="116" customFormat="1">
      <c r="A39356" s="136"/>
      <c r="CM39356" s="111"/>
      <c r="CQ39356" s="111"/>
      <c r="EF39356"/>
      <c r="EG39356"/>
      <c r="EH39356"/>
      <c r="EI39356"/>
      <c r="EJ39356"/>
      <c r="EK39356"/>
    </row>
    <row r="39357" spans="1:141" s="116" customFormat="1">
      <c r="A39357" s="136"/>
      <c r="CM39357" s="111"/>
      <c r="CQ39357" s="111"/>
      <c r="EF39357"/>
      <c r="EG39357"/>
      <c r="EH39357"/>
      <c r="EI39357"/>
      <c r="EJ39357"/>
      <c r="EK39357"/>
    </row>
    <row r="39358" spans="1:141" s="116" customFormat="1">
      <c r="A39358" s="136"/>
      <c r="CM39358" s="111"/>
      <c r="CQ39358" s="111"/>
      <c r="EF39358"/>
      <c r="EG39358"/>
      <c r="EH39358"/>
      <c r="EI39358"/>
      <c r="EJ39358"/>
      <c r="EK39358"/>
    </row>
    <row r="39359" spans="1:141" s="116" customFormat="1">
      <c r="A39359" s="136"/>
      <c r="CM39359" s="111"/>
      <c r="CQ39359" s="111"/>
      <c r="EF39359"/>
      <c r="EG39359"/>
      <c r="EH39359"/>
      <c r="EI39359"/>
      <c r="EJ39359"/>
      <c r="EK39359"/>
    </row>
    <row r="39360" spans="1:141" s="116" customFormat="1">
      <c r="A39360" s="136"/>
      <c r="CM39360" s="111"/>
      <c r="CQ39360" s="111"/>
      <c r="EF39360"/>
      <c r="EG39360"/>
      <c r="EH39360"/>
      <c r="EI39360"/>
      <c r="EJ39360"/>
      <c r="EK39360"/>
    </row>
    <row r="39361" spans="1:141" s="116" customFormat="1">
      <c r="A39361" s="136"/>
      <c r="CM39361" s="111"/>
      <c r="CQ39361" s="111"/>
      <c r="EF39361"/>
      <c r="EG39361"/>
      <c r="EH39361"/>
      <c r="EI39361"/>
      <c r="EJ39361"/>
      <c r="EK39361"/>
    </row>
    <row r="39362" spans="1:141" s="116" customFormat="1">
      <c r="A39362" s="136"/>
      <c r="CM39362" s="111"/>
      <c r="CQ39362" s="111"/>
      <c r="EF39362"/>
      <c r="EG39362"/>
      <c r="EH39362"/>
      <c r="EI39362"/>
      <c r="EJ39362"/>
      <c r="EK39362"/>
    </row>
    <row r="39363" spans="1:141" s="116" customFormat="1">
      <c r="A39363" s="136"/>
      <c r="CM39363" s="111"/>
      <c r="CQ39363" s="111"/>
      <c r="EF39363"/>
      <c r="EG39363"/>
      <c r="EH39363"/>
      <c r="EI39363"/>
      <c r="EJ39363"/>
      <c r="EK39363"/>
    </row>
    <row r="39364" spans="1:141" s="116" customFormat="1">
      <c r="A39364" s="136"/>
      <c r="CM39364" s="111"/>
      <c r="CQ39364" s="111"/>
      <c r="EF39364"/>
      <c r="EG39364"/>
      <c r="EH39364"/>
      <c r="EI39364"/>
      <c r="EJ39364"/>
      <c r="EK39364"/>
    </row>
    <row r="39365" spans="1:141" s="116" customFormat="1">
      <c r="A39365" s="136"/>
      <c r="CM39365" s="111"/>
      <c r="CQ39365" s="111"/>
      <c r="EF39365"/>
      <c r="EG39365"/>
      <c r="EH39365"/>
      <c r="EI39365"/>
      <c r="EJ39365"/>
      <c r="EK39365"/>
    </row>
    <row r="39366" spans="1:141" s="116" customFormat="1">
      <c r="A39366" s="136"/>
      <c r="CM39366" s="111"/>
      <c r="CQ39366" s="111"/>
      <c r="EF39366"/>
      <c r="EG39366"/>
      <c r="EH39366"/>
      <c r="EI39366"/>
      <c r="EJ39366"/>
      <c r="EK39366"/>
    </row>
    <row r="39367" spans="1:141" s="116" customFormat="1">
      <c r="A39367" s="136"/>
      <c r="CM39367" s="111"/>
      <c r="CQ39367" s="111"/>
      <c r="EF39367"/>
      <c r="EG39367"/>
      <c r="EH39367"/>
      <c r="EI39367"/>
      <c r="EJ39367"/>
      <c r="EK39367"/>
    </row>
    <row r="39368" spans="1:141" s="116" customFormat="1">
      <c r="A39368" s="136"/>
      <c r="CM39368" s="111"/>
      <c r="CQ39368" s="111"/>
      <c r="EF39368"/>
      <c r="EG39368"/>
      <c r="EH39368"/>
      <c r="EI39368"/>
      <c r="EJ39368"/>
      <c r="EK39368"/>
    </row>
    <row r="39369" spans="1:141" s="116" customFormat="1">
      <c r="A39369" s="136"/>
      <c r="CM39369" s="111"/>
      <c r="CQ39369" s="111"/>
      <c r="EF39369"/>
      <c r="EG39369"/>
      <c r="EH39369"/>
      <c r="EI39369"/>
      <c r="EJ39369"/>
      <c r="EK39369"/>
    </row>
    <row r="39370" spans="1:141" s="116" customFormat="1">
      <c r="A39370" s="136"/>
      <c r="CM39370" s="111"/>
      <c r="CQ39370" s="111"/>
      <c r="EF39370"/>
      <c r="EG39370"/>
      <c r="EH39370"/>
      <c r="EI39370"/>
      <c r="EJ39370"/>
      <c r="EK39370"/>
    </row>
    <row r="39371" spans="1:141" s="116" customFormat="1">
      <c r="A39371" s="136"/>
      <c r="CM39371" s="111"/>
      <c r="CQ39371" s="111"/>
      <c r="EF39371"/>
      <c r="EG39371"/>
      <c r="EH39371"/>
      <c r="EI39371"/>
      <c r="EJ39371"/>
      <c r="EK39371"/>
    </row>
    <row r="39372" spans="1:141" s="116" customFormat="1">
      <c r="A39372" s="136"/>
      <c r="CM39372" s="111"/>
      <c r="CQ39372" s="111"/>
      <c r="EF39372"/>
      <c r="EG39372"/>
      <c r="EH39372"/>
      <c r="EI39372"/>
      <c r="EJ39372"/>
      <c r="EK39372"/>
    </row>
    <row r="39373" spans="1:141" s="116" customFormat="1">
      <c r="A39373" s="136"/>
      <c r="CM39373" s="111"/>
      <c r="CQ39373" s="111"/>
      <c r="EF39373"/>
      <c r="EG39373"/>
      <c r="EH39373"/>
      <c r="EI39373"/>
      <c r="EJ39373"/>
      <c r="EK39373"/>
    </row>
    <row r="39374" spans="1:141" s="116" customFormat="1">
      <c r="A39374" s="136"/>
      <c r="CM39374" s="111"/>
      <c r="CQ39374" s="111"/>
      <c r="EF39374"/>
      <c r="EG39374"/>
      <c r="EH39374"/>
      <c r="EI39374"/>
      <c r="EJ39374"/>
      <c r="EK39374"/>
    </row>
    <row r="39375" spans="1:141" s="116" customFormat="1">
      <c r="A39375" s="136"/>
      <c r="CM39375" s="111"/>
      <c r="CQ39375" s="111"/>
      <c r="EF39375"/>
      <c r="EG39375"/>
      <c r="EH39375"/>
      <c r="EI39375"/>
      <c r="EJ39375"/>
      <c r="EK39375"/>
    </row>
    <row r="39376" spans="1:141" s="116" customFormat="1">
      <c r="A39376" s="136"/>
      <c r="CM39376" s="111"/>
      <c r="CQ39376" s="111"/>
      <c r="EF39376"/>
      <c r="EG39376"/>
      <c r="EH39376"/>
      <c r="EI39376"/>
      <c r="EJ39376"/>
      <c r="EK39376"/>
    </row>
    <row r="39377" spans="1:141" s="116" customFormat="1">
      <c r="A39377" s="136"/>
      <c r="CM39377" s="111"/>
      <c r="CQ39377" s="111"/>
      <c r="EF39377"/>
      <c r="EG39377"/>
      <c r="EH39377"/>
      <c r="EI39377"/>
      <c r="EJ39377"/>
      <c r="EK39377"/>
    </row>
    <row r="39378" spans="1:141" s="116" customFormat="1">
      <c r="A39378" s="136"/>
      <c r="CM39378" s="111"/>
      <c r="CQ39378" s="111"/>
      <c r="EF39378"/>
      <c r="EG39378"/>
      <c r="EH39378"/>
      <c r="EI39378"/>
      <c r="EJ39378"/>
      <c r="EK39378"/>
    </row>
    <row r="39379" spans="1:141" s="116" customFormat="1">
      <c r="A39379" s="136"/>
      <c r="CM39379" s="111"/>
      <c r="CQ39379" s="111"/>
      <c r="EF39379"/>
      <c r="EG39379"/>
      <c r="EH39379"/>
      <c r="EI39379"/>
      <c r="EJ39379"/>
      <c r="EK39379"/>
    </row>
    <row r="39380" spans="1:141" s="116" customFormat="1">
      <c r="A39380" s="136"/>
      <c r="CM39380" s="111"/>
      <c r="CQ39380" s="111"/>
      <c r="EF39380"/>
      <c r="EG39380"/>
      <c r="EH39380"/>
      <c r="EI39380"/>
      <c r="EJ39380"/>
      <c r="EK39380"/>
    </row>
    <row r="39381" spans="1:141" s="116" customFormat="1">
      <c r="A39381" s="136"/>
      <c r="CM39381" s="111"/>
      <c r="CQ39381" s="111"/>
      <c r="EF39381"/>
      <c r="EG39381"/>
      <c r="EH39381"/>
      <c r="EI39381"/>
      <c r="EJ39381"/>
      <c r="EK39381"/>
    </row>
    <row r="39382" spans="1:141" s="116" customFormat="1">
      <c r="A39382" s="136"/>
      <c r="CM39382" s="111"/>
      <c r="CQ39382" s="111"/>
      <c r="EF39382"/>
      <c r="EG39382"/>
      <c r="EH39382"/>
      <c r="EI39382"/>
      <c r="EJ39382"/>
      <c r="EK39382"/>
    </row>
    <row r="39383" spans="1:141" s="116" customFormat="1">
      <c r="A39383" s="136"/>
      <c r="CM39383" s="111"/>
      <c r="CQ39383" s="111"/>
      <c r="EF39383"/>
      <c r="EG39383"/>
      <c r="EH39383"/>
      <c r="EI39383"/>
      <c r="EJ39383"/>
      <c r="EK39383"/>
    </row>
    <row r="39384" spans="1:141" s="116" customFormat="1">
      <c r="A39384" s="136"/>
      <c r="CM39384" s="111"/>
      <c r="CQ39384" s="111"/>
      <c r="EF39384"/>
      <c r="EG39384"/>
      <c r="EH39384"/>
      <c r="EI39384"/>
      <c r="EJ39384"/>
      <c r="EK39384"/>
    </row>
    <row r="39385" spans="1:141" s="116" customFormat="1">
      <c r="A39385" s="136"/>
      <c r="CM39385" s="111"/>
      <c r="CQ39385" s="111"/>
      <c r="EF39385"/>
      <c r="EG39385"/>
      <c r="EH39385"/>
      <c r="EI39385"/>
      <c r="EJ39385"/>
      <c r="EK39385"/>
    </row>
    <row r="39386" spans="1:141" s="116" customFormat="1">
      <c r="A39386" s="136"/>
      <c r="CM39386" s="111"/>
      <c r="CQ39386" s="111"/>
      <c r="EF39386"/>
      <c r="EG39386"/>
      <c r="EH39386"/>
      <c r="EI39386"/>
      <c r="EJ39386"/>
      <c r="EK39386"/>
    </row>
    <row r="39387" spans="1:141" s="116" customFormat="1">
      <c r="A39387" s="136"/>
      <c r="CM39387" s="111"/>
      <c r="CQ39387" s="111"/>
      <c r="EF39387"/>
      <c r="EG39387"/>
      <c r="EH39387"/>
      <c r="EI39387"/>
      <c r="EJ39387"/>
      <c r="EK39387"/>
    </row>
    <row r="39388" spans="1:141" s="116" customFormat="1">
      <c r="A39388" s="136"/>
      <c r="CM39388" s="111"/>
      <c r="CQ39388" s="111"/>
      <c r="EF39388"/>
      <c r="EG39388"/>
      <c r="EH39388"/>
      <c r="EI39388"/>
      <c r="EJ39388"/>
      <c r="EK39388"/>
    </row>
    <row r="39389" spans="1:141" s="116" customFormat="1">
      <c r="A39389" s="136"/>
      <c r="CM39389" s="111"/>
      <c r="CQ39389" s="111"/>
      <c r="EF39389"/>
      <c r="EG39389"/>
      <c r="EH39389"/>
      <c r="EI39389"/>
      <c r="EJ39389"/>
      <c r="EK39389"/>
    </row>
    <row r="39390" spans="1:141" s="116" customFormat="1">
      <c r="A39390" s="136"/>
      <c r="CM39390" s="111"/>
      <c r="CQ39390" s="111"/>
      <c r="EF39390"/>
      <c r="EG39390"/>
      <c r="EH39390"/>
      <c r="EI39390"/>
      <c r="EJ39390"/>
      <c r="EK39390"/>
    </row>
    <row r="39391" spans="1:141" s="116" customFormat="1">
      <c r="A39391" s="136"/>
      <c r="CM39391" s="111"/>
      <c r="CQ39391" s="111"/>
      <c r="EF39391"/>
      <c r="EG39391"/>
      <c r="EH39391"/>
      <c r="EI39391"/>
      <c r="EJ39391"/>
      <c r="EK39391"/>
    </row>
    <row r="39392" spans="1:141" s="116" customFormat="1">
      <c r="A39392" s="136"/>
      <c r="CM39392" s="111"/>
      <c r="CQ39392" s="111"/>
      <c r="EF39392"/>
      <c r="EG39392"/>
      <c r="EH39392"/>
      <c r="EI39392"/>
      <c r="EJ39392"/>
      <c r="EK39392"/>
    </row>
    <row r="39393" spans="1:141" s="116" customFormat="1">
      <c r="A39393" s="136"/>
      <c r="CM39393" s="111"/>
      <c r="CQ39393" s="111"/>
      <c r="EF39393"/>
      <c r="EG39393"/>
      <c r="EH39393"/>
      <c r="EI39393"/>
      <c r="EJ39393"/>
      <c r="EK39393"/>
    </row>
    <row r="39394" spans="1:141" s="116" customFormat="1">
      <c r="A39394" s="136"/>
      <c r="CM39394" s="111"/>
      <c r="CQ39394" s="111"/>
      <c r="EF39394"/>
      <c r="EG39394"/>
      <c r="EH39394"/>
      <c r="EI39394"/>
      <c r="EJ39394"/>
      <c r="EK39394"/>
    </row>
    <row r="39395" spans="1:141" s="116" customFormat="1">
      <c r="A39395" s="136"/>
      <c r="CM39395" s="111"/>
      <c r="CQ39395" s="111"/>
      <c r="EF39395"/>
      <c r="EG39395"/>
      <c r="EH39395"/>
      <c r="EI39395"/>
      <c r="EJ39395"/>
      <c r="EK39395"/>
    </row>
    <row r="39396" spans="1:141" s="116" customFormat="1">
      <c r="A39396" s="136"/>
      <c r="CM39396" s="111"/>
      <c r="CQ39396" s="111"/>
      <c r="EF39396"/>
      <c r="EG39396"/>
      <c r="EH39396"/>
      <c r="EI39396"/>
      <c r="EJ39396"/>
      <c r="EK39396"/>
    </row>
    <row r="39397" spans="1:141" s="116" customFormat="1">
      <c r="A39397" s="136"/>
      <c r="CM39397" s="111"/>
      <c r="CQ39397" s="111"/>
      <c r="EF39397"/>
      <c r="EG39397"/>
      <c r="EH39397"/>
      <c r="EI39397"/>
      <c r="EJ39397"/>
      <c r="EK39397"/>
    </row>
    <row r="39398" spans="1:141" s="116" customFormat="1">
      <c r="A39398" s="136"/>
      <c r="CM39398" s="111"/>
      <c r="CQ39398" s="111"/>
      <c r="EF39398"/>
      <c r="EG39398"/>
      <c r="EH39398"/>
      <c r="EI39398"/>
      <c r="EJ39398"/>
      <c r="EK39398"/>
    </row>
    <row r="39399" spans="1:141" s="116" customFormat="1">
      <c r="A39399" s="136"/>
      <c r="CM39399" s="111"/>
      <c r="CQ39399" s="111"/>
      <c r="EF39399"/>
      <c r="EG39399"/>
      <c r="EH39399"/>
      <c r="EI39399"/>
      <c r="EJ39399"/>
      <c r="EK39399"/>
    </row>
    <row r="39400" spans="1:141" s="116" customFormat="1">
      <c r="A39400" s="136"/>
      <c r="CM39400" s="111"/>
      <c r="CQ39400" s="111"/>
      <c r="EF39400"/>
      <c r="EG39400"/>
      <c r="EH39400"/>
      <c r="EI39400"/>
      <c r="EJ39400"/>
      <c r="EK39400"/>
    </row>
    <row r="39401" spans="1:141" s="116" customFormat="1">
      <c r="A39401" s="136"/>
      <c r="CM39401" s="111"/>
      <c r="CQ39401" s="111"/>
      <c r="EF39401"/>
      <c r="EG39401"/>
      <c r="EH39401"/>
      <c r="EI39401"/>
      <c r="EJ39401"/>
      <c r="EK39401"/>
    </row>
    <row r="39402" spans="1:141" s="116" customFormat="1">
      <c r="A39402" s="136"/>
      <c r="CM39402" s="111"/>
      <c r="CQ39402" s="111"/>
      <c r="EF39402"/>
      <c r="EG39402"/>
      <c r="EH39402"/>
      <c r="EI39402"/>
      <c r="EJ39402"/>
      <c r="EK39402"/>
    </row>
    <row r="39403" spans="1:141" s="116" customFormat="1">
      <c r="A39403" s="136"/>
      <c r="CM39403" s="111"/>
      <c r="CQ39403" s="111"/>
      <c r="EF39403"/>
      <c r="EG39403"/>
      <c r="EH39403"/>
      <c r="EI39403"/>
      <c r="EJ39403"/>
      <c r="EK39403"/>
    </row>
    <row r="39404" spans="1:141" s="116" customFormat="1">
      <c r="A39404" s="136"/>
      <c r="CM39404" s="111"/>
      <c r="CQ39404" s="111"/>
      <c r="EF39404"/>
      <c r="EG39404"/>
      <c r="EH39404"/>
      <c r="EI39404"/>
      <c r="EJ39404"/>
      <c r="EK39404"/>
    </row>
    <row r="39405" spans="1:141" s="116" customFormat="1">
      <c r="A39405" s="136"/>
      <c r="CM39405" s="111"/>
      <c r="CQ39405" s="111"/>
      <c r="EF39405"/>
      <c r="EG39405"/>
      <c r="EH39405"/>
      <c r="EI39405"/>
      <c r="EJ39405"/>
      <c r="EK39405"/>
    </row>
    <row r="39406" spans="1:141" s="116" customFormat="1">
      <c r="A39406" s="136"/>
      <c r="CM39406" s="111"/>
      <c r="CQ39406" s="111"/>
      <c r="EF39406"/>
      <c r="EG39406"/>
      <c r="EH39406"/>
      <c r="EI39406"/>
      <c r="EJ39406"/>
      <c r="EK39406"/>
    </row>
    <row r="39407" spans="1:141" s="116" customFormat="1">
      <c r="A39407" s="136"/>
      <c r="CM39407" s="111"/>
      <c r="CQ39407" s="111"/>
      <c r="EF39407"/>
      <c r="EG39407"/>
      <c r="EH39407"/>
      <c r="EI39407"/>
      <c r="EJ39407"/>
      <c r="EK39407"/>
    </row>
    <row r="39408" spans="1:141" s="116" customFormat="1">
      <c r="A39408" s="136"/>
      <c r="CM39408" s="111"/>
      <c r="CQ39408" s="111"/>
      <c r="EF39408"/>
      <c r="EG39408"/>
      <c r="EH39408"/>
      <c r="EI39408"/>
      <c r="EJ39408"/>
      <c r="EK39408"/>
    </row>
    <row r="39409" spans="1:141" s="116" customFormat="1">
      <c r="A39409" s="136"/>
      <c r="CM39409" s="111"/>
      <c r="CQ39409" s="111"/>
      <c r="EF39409"/>
      <c r="EG39409"/>
      <c r="EH39409"/>
      <c r="EI39409"/>
      <c r="EJ39409"/>
      <c r="EK39409"/>
    </row>
    <row r="39410" spans="1:141" s="116" customFormat="1">
      <c r="A39410" s="136"/>
      <c r="CM39410" s="111"/>
      <c r="CQ39410" s="111"/>
      <c r="EF39410"/>
      <c r="EG39410"/>
      <c r="EH39410"/>
      <c r="EI39410"/>
      <c r="EJ39410"/>
      <c r="EK39410"/>
    </row>
    <row r="39411" spans="1:141" s="116" customFormat="1">
      <c r="A39411" s="136"/>
      <c r="CM39411" s="111"/>
      <c r="CQ39411" s="111"/>
      <c r="EF39411"/>
      <c r="EG39411"/>
      <c r="EH39411"/>
      <c r="EI39411"/>
      <c r="EJ39411"/>
      <c r="EK39411"/>
    </row>
    <row r="39412" spans="1:141" s="116" customFormat="1">
      <c r="A39412" s="136"/>
      <c r="CM39412" s="111"/>
      <c r="CQ39412" s="111"/>
      <c r="EF39412"/>
      <c r="EG39412"/>
      <c r="EH39412"/>
      <c r="EI39412"/>
      <c r="EJ39412"/>
      <c r="EK39412"/>
    </row>
    <row r="39413" spans="1:141" s="116" customFormat="1">
      <c r="A39413" s="136"/>
      <c r="CM39413" s="111"/>
      <c r="CQ39413" s="111"/>
      <c r="EF39413"/>
      <c r="EG39413"/>
      <c r="EH39413"/>
      <c r="EI39413"/>
      <c r="EJ39413"/>
      <c r="EK39413"/>
    </row>
    <row r="39414" spans="1:141" s="116" customFormat="1">
      <c r="A39414" s="136"/>
      <c r="CM39414" s="111"/>
      <c r="CQ39414" s="111"/>
      <c r="EF39414"/>
      <c r="EG39414"/>
      <c r="EH39414"/>
      <c r="EI39414"/>
      <c r="EJ39414"/>
      <c r="EK39414"/>
    </row>
    <row r="39415" spans="1:141" s="116" customFormat="1">
      <c r="A39415" s="136"/>
      <c r="CM39415" s="111"/>
      <c r="CQ39415" s="111"/>
      <c r="EF39415"/>
      <c r="EG39415"/>
      <c r="EH39415"/>
      <c r="EI39415"/>
      <c r="EJ39415"/>
      <c r="EK39415"/>
    </row>
    <row r="39416" spans="1:141" s="116" customFormat="1">
      <c r="A39416" s="136"/>
      <c r="CM39416" s="111"/>
      <c r="CQ39416" s="111"/>
      <c r="EF39416"/>
      <c r="EG39416"/>
      <c r="EH39416"/>
      <c r="EI39416"/>
      <c r="EJ39416"/>
      <c r="EK39416"/>
    </row>
    <row r="39417" spans="1:141" s="116" customFormat="1">
      <c r="A39417" s="136"/>
      <c r="CM39417" s="111"/>
      <c r="CQ39417" s="111"/>
      <c r="EF39417"/>
      <c r="EG39417"/>
      <c r="EH39417"/>
      <c r="EI39417"/>
      <c r="EJ39417"/>
      <c r="EK39417"/>
    </row>
    <row r="39418" spans="1:141" s="116" customFormat="1">
      <c r="A39418" s="136"/>
      <c r="CM39418" s="111"/>
      <c r="CQ39418" s="111"/>
      <c r="EF39418"/>
      <c r="EG39418"/>
      <c r="EH39418"/>
      <c r="EI39418"/>
      <c r="EJ39418"/>
      <c r="EK39418"/>
    </row>
    <row r="39419" spans="1:141" s="116" customFormat="1">
      <c r="A39419" s="136"/>
      <c r="CM39419" s="111"/>
      <c r="CQ39419" s="111"/>
      <c r="EF39419"/>
      <c r="EG39419"/>
      <c r="EH39419"/>
      <c r="EI39419"/>
      <c r="EJ39419"/>
      <c r="EK39419"/>
    </row>
    <row r="39420" spans="1:141" s="116" customFormat="1">
      <c r="A39420" s="136"/>
      <c r="CM39420" s="111"/>
      <c r="CQ39420" s="111"/>
      <c r="EF39420"/>
      <c r="EG39420"/>
      <c r="EH39420"/>
      <c r="EI39420"/>
      <c r="EJ39420"/>
      <c r="EK39420"/>
    </row>
    <row r="39421" spans="1:141" s="116" customFormat="1">
      <c r="A39421" s="136"/>
      <c r="CM39421" s="111"/>
      <c r="CQ39421" s="111"/>
      <c r="EF39421"/>
      <c r="EG39421"/>
      <c r="EH39421"/>
      <c r="EI39421"/>
      <c r="EJ39421"/>
      <c r="EK39421"/>
    </row>
    <row r="39422" spans="1:141" s="116" customFormat="1">
      <c r="A39422" s="136"/>
      <c r="CM39422" s="111"/>
      <c r="CQ39422" s="111"/>
      <c r="EF39422"/>
      <c r="EG39422"/>
      <c r="EH39422"/>
      <c r="EI39422"/>
      <c r="EJ39422"/>
      <c r="EK39422"/>
    </row>
    <row r="39423" spans="1:141" s="116" customFormat="1">
      <c r="A39423" s="136"/>
      <c r="CM39423" s="111"/>
      <c r="CQ39423" s="111"/>
      <c r="EF39423"/>
      <c r="EG39423"/>
      <c r="EH39423"/>
      <c r="EI39423"/>
      <c r="EJ39423"/>
      <c r="EK39423"/>
    </row>
    <row r="39424" spans="1:141" s="116" customFormat="1">
      <c r="A39424" s="136"/>
      <c r="CM39424" s="111"/>
      <c r="CQ39424" s="111"/>
      <c r="EF39424"/>
      <c r="EG39424"/>
      <c r="EH39424"/>
      <c r="EI39424"/>
      <c r="EJ39424"/>
      <c r="EK39424"/>
    </row>
    <row r="39425" spans="1:141" s="116" customFormat="1">
      <c r="A39425" s="136"/>
      <c r="CM39425" s="111"/>
      <c r="CQ39425" s="111"/>
      <c r="EF39425"/>
      <c r="EG39425"/>
      <c r="EH39425"/>
      <c r="EI39425"/>
      <c r="EJ39425"/>
      <c r="EK39425"/>
    </row>
    <row r="39426" spans="1:141" s="116" customFormat="1">
      <c r="A39426" s="136"/>
      <c r="CM39426" s="111"/>
      <c r="CQ39426" s="111"/>
      <c r="EF39426"/>
      <c r="EG39426"/>
      <c r="EH39426"/>
      <c r="EI39426"/>
      <c r="EJ39426"/>
      <c r="EK39426"/>
    </row>
    <row r="39427" spans="1:141" s="116" customFormat="1">
      <c r="A39427" s="136"/>
      <c r="CM39427" s="111"/>
      <c r="CQ39427" s="111"/>
      <c r="EF39427"/>
      <c r="EG39427"/>
      <c r="EH39427"/>
      <c r="EI39427"/>
      <c r="EJ39427"/>
      <c r="EK39427"/>
    </row>
    <row r="39428" spans="1:141" s="116" customFormat="1">
      <c r="A39428" s="136"/>
      <c r="CM39428" s="111"/>
      <c r="CQ39428" s="111"/>
      <c r="EF39428"/>
      <c r="EG39428"/>
      <c r="EH39428"/>
      <c r="EI39428"/>
      <c r="EJ39428"/>
      <c r="EK39428"/>
    </row>
    <row r="39429" spans="1:141" s="116" customFormat="1">
      <c r="A39429" s="136"/>
      <c r="CM39429" s="111"/>
      <c r="CQ39429" s="111"/>
      <c r="EF39429"/>
      <c r="EG39429"/>
      <c r="EH39429"/>
      <c r="EI39429"/>
      <c r="EJ39429"/>
      <c r="EK39429"/>
    </row>
    <row r="39430" spans="1:141" s="116" customFormat="1">
      <c r="A39430" s="136"/>
      <c r="CM39430" s="111"/>
      <c r="CQ39430" s="111"/>
      <c r="EF39430"/>
      <c r="EG39430"/>
      <c r="EH39430"/>
      <c r="EI39430"/>
      <c r="EJ39430"/>
      <c r="EK39430"/>
    </row>
    <row r="39431" spans="1:141" s="116" customFormat="1">
      <c r="A39431" s="136"/>
      <c r="CM39431" s="111"/>
      <c r="CQ39431" s="111"/>
      <c r="EF39431"/>
      <c r="EG39431"/>
      <c r="EH39431"/>
      <c r="EI39431"/>
      <c r="EJ39431"/>
      <c r="EK39431"/>
    </row>
    <row r="39432" spans="1:141" s="116" customFormat="1">
      <c r="A39432" s="136"/>
      <c r="CM39432" s="111"/>
      <c r="CQ39432" s="111"/>
      <c r="EF39432"/>
      <c r="EG39432"/>
      <c r="EH39432"/>
      <c r="EI39432"/>
      <c r="EJ39432"/>
      <c r="EK39432"/>
    </row>
    <row r="39433" spans="1:141" s="116" customFormat="1">
      <c r="A39433" s="136"/>
      <c r="CM39433" s="111"/>
      <c r="CQ39433" s="111"/>
      <c r="EF39433"/>
      <c r="EG39433"/>
      <c r="EH39433"/>
      <c r="EI39433"/>
      <c r="EJ39433"/>
      <c r="EK39433"/>
    </row>
    <row r="39434" spans="1:141" s="116" customFormat="1">
      <c r="A39434" s="136"/>
      <c r="CM39434" s="111"/>
      <c r="CQ39434" s="111"/>
      <c r="EF39434"/>
      <c r="EG39434"/>
      <c r="EH39434"/>
      <c r="EI39434"/>
      <c r="EJ39434"/>
      <c r="EK39434"/>
    </row>
    <row r="39435" spans="1:141" s="116" customFormat="1">
      <c r="A39435" s="136"/>
      <c r="CM39435" s="111"/>
      <c r="CQ39435" s="111"/>
      <c r="EF39435"/>
      <c r="EG39435"/>
      <c r="EH39435"/>
      <c r="EI39435"/>
      <c r="EJ39435"/>
      <c r="EK39435"/>
    </row>
    <row r="39436" spans="1:141" s="116" customFormat="1">
      <c r="A39436" s="136"/>
      <c r="CM39436" s="111"/>
      <c r="CQ39436" s="111"/>
      <c r="EF39436"/>
      <c r="EG39436"/>
      <c r="EH39436"/>
      <c r="EI39436"/>
      <c r="EJ39436"/>
      <c r="EK39436"/>
    </row>
    <row r="39437" spans="1:141" s="116" customFormat="1">
      <c r="A39437" s="136"/>
      <c r="CM39437" s="111"/>
      <c r="CQ39437" s="111"/>
      <c r="EF39437"/>
      <c r="EG39437"/>
      <c r="EH39437"/>
      <c r="EI39437"/>
      <c r="EJ39437"/>
      <c r="EK39437"/>
    </row>
    <row r="39438" spans="1:141" s="116" customFormat="1">
      <c r="A39438" s="136"/>
      <c r="CM39438" s="111"/>
      <c r="CQ39438" s="111"/>
      <c r="EF39438"/>
      <c r="EG39438"/>
      <c r="EH39438"/>
      <c r="EI39438"/>
      <c r="EJ39438"/>
      <c r="EK39438"/>
    </row>
    <row r="39439" spans="1:141" s="116" customFormat="1">
      <c r="A39439" s="136"/>
      <c r="CM39439" s="111"/>
      <c r="CQ39439" s="111"/>
      <c r="EF39439"/>
      <c r="EG39439"/>
      <c r="EH39439"/>
      <c r="EI39439"/>
      <c r="EJ39439"/>
      <c r="EK39439"/>
    </row>
    <row r="39440" spans="1:141" s="116" customFormat="1">
      <c r="A39440" s="136"/>
      <c r="CM39440" s="111"/>
      <c r="CQ39440" s="111"/>
      <c r="EF39440"/>
      <c r="EG39440"/>
      <c r="EH39440"/>
      <c r="EI39440"/>
      <c r="EJ39440"/>
      <c r="EK39440"/>
    </row>
    <row r="39441" spans="1:141" s="116" customFormat="1">
      <c r="A39441" s="136"/>
      <c r="CM39441" s="111"/>
      <c r="CQ39441" s="111"/>
      <c r="EF39441"/>
      <c r="EG39441"/>
      <c r="EH39441"/>
      <c r="EI39441"/>
      <c r="EJ39441"/>
      <c r="EK39441"/>
    </row>
    <row r="39442" spans="1:141" s="116" customFormat="1">
      <c r="A39442" s="136"/>
      <c r="CM39442" s="111"/>
      <c r="CQ39442" s="111"/>
      <c r="EF39442"/>
      <c r="EG39442"/>
      <c r="EH39442"/>
      <c r="EI39442"/>
      <c r="EJ39442"/>
      <c r="EK39442"/>
    </row>
    <row r="39443" spans="1:141" s="116" customFormat="1">
      <c r="A39443" s="136"/>
      <c r="CM39443" s="111"/>
      <c r="CQ39443" s="111"/>
      <c r="EF39443"/>
      <c r="EG39443"/>
      <c r="EH39443"/>
      <c r="EI39443"/>
      <c r="EJ39443"/>
      <c r="EK39443"/>
    </row>
    <row r="39444" spans="1:141" s="116" customFormat="1">
      <c r="A39444" s="136"/>
      <c r="CM39444" s="111"/>
      <c r="CQ39444" s="111"/>
      <c r="EF39444"/>
      <c r="EG39444"/>
      <c r="EH39444"/>
      <c r="EI39444"/>
      <c r="EJ39444"/>
      <c r="EK39444"/>
    </row>
    <row r="39445" spans="1:141" s="116" customFormat="1">
      <c r="A39445" s="136"/>
      <c r="CM39445" s="111"/>
      <c r="CQ39445" s="111"/>
      <c r="EF39445"/>
      <c r="EG39445"/>
      <c r="EH39445"/>
      <c r="EI39445"/>
      <c r="EJ39445"/>
      <c r="EK39445"/>
    </row>
    <row r="39446" spans="1:141" s="116" customFormat="1">
      <c r="A39446" s="136"/>
      <c r="CM39446" s="111"/>
      <c r="CQ39446" s="111"/>
      <c r="EF39446"/>
      <c r="EG39446"/>
      <c r="EH39446"/>
      <c r="EI39446"/>
      <c r="EJ39446"/>
      <c r="EK39446"/>
    </row>
    <row r="39447" spans="1:141" s="116" customFormat="1">
      <c r="A39447" s="136"/>
      <c r="CM39447" s="111"/>
      <c r="CQ39447" s="111"/>
      <c r="EF39447"/>
      <c r="EG39447"/>
      <c r="EH39447"/>
      <c r="EI39447"/>
      <c r="EJ39447"/>
      <c r="EK39447"/>
    </row>
    <row r="39448" spans="1:141" s="116" customFormat="1">
      <c r="A39448" s="136"/>
      <c r="CM39448" s="111"/>
      <c r="CQ39448" s="111"/>
      <c r="EF39448"/>
      <c r="EG39448"/>
      <c r="EH39448"/>
      <c r="EI39448"/>
      <c r="EJ39448"/>
      <c r="EK39448"/>
    </row>
    <row r="39449" spans="1:141" s="116" customFormat="1">
      <c r="A39449" s="136"/>
      <c r="CM39449" s="111"/>
      <c r="CQ39449" s="111"/>
      <c r="EF39449"/>
      <c r="EG39449"/>
      <c r="EH39449"/>
      <c r="EI39449"/>
      <c r="EJ39449"/>
      <c r="EK39449"/>
    </row>
    <row r="39450" spans="1:141" s="116" customFormat="1">
      <c r="A39450" s="136"/>
      <c r="CM39450" s="111"/>
      <c r="CQ39450" s="111"/>
      <c r="EF39450"/>
      <c r="EG39450"/>
      <c r="EH39450"/>
      <c r="EI39450"/>
      <c r="EJ39450"/>
      <c r="EK39450"/>
    </row>
    <row r="39451" spans="1:141" s="116" customFormat="1">
      <c r="A39451" s="136"/>
      <c r="CM39451" s="111"/>
      <c r="CQ39451" s="111"/>
      <c r="EF39451"/>
      <c r="EG39451"/>
      <c r="EH39451"/>
      <c r="EI39451"/>
      <c r="EJ39451"/>
      <c r="EK39451"/>
    </row>
    <row r="39452" spans="1:141" s="116" customFormat="1">
      <c r="A39452" s="136"/>
      <c r="CM39452" s="111"/>
      <c r="CQ39452" s="111"/>
      <c r="EF39452"/>
      <c r="EG39452"/>
      <c r="EH39452"/>
      <c r="EI39452"/>
      <c r="EJ39452"/>
      <c r="EK39452"/>
    </row>
    <row r="39453" spans="1:141" s="116" customFormat="1">
      <c r="A39453" s="136"/>
      <c r="CM39453" s="111"/>
      <c r="CQ39453" s="111"/>
      <c r="EF39453"/>
      <c r="EG39453"/>
      <c r="EH39453"/>
      <c r="EI39453"/>
      <c r="EJ39453"/>
      <c r="EK39453"/>
    </row>
    <row r="39454" spans="1:141" s="116" customFormat="1">
      <c r="A39454" s="136"/>
      <c r="CM39454" s="111"/>
      <c r="CQ39454" s="111"/>
      <c r="EF39454"/>
      <c r="EG39454"/>
      <c r="EH39454"/>
      <c r="EI39454"/>
      <c r="EJ39454"/>
      <c r="EK39454"/>
    </row>
    <row r="39455" spans="1:141" s="116" customFormat="1">
      <c r="A39455" s="136"/>
      <c r="CM39455" s="111"/>
      <c r="CQ39455" s="111"/>
      <c r="EF39455"/>
      <c r="EG39455"/>
      <c r="EH39455"/>
      <c r="EI39455"/>
      <c r="EJ39455"/>
      <c r="EK39455"/>
    </row>
    <row r="39456" spans="1:141" s="116" customFormat="1">
      <c r="A39456" s="136"/>
      <c r="CM39456" s="111"/>
      <c r="CQ39456" s="111"/>
      <c r="EF39456"/>
      <c r="EG39456"/>
      <c r="EH39456"/>
      <c r="EI39456"/>
      <c r="EJ39456"/>
      <c r="EK39456"/>
    </row>
    <row r="39457" spans="1:141" s="116" customFormat="1">
      <c r="A39457" s="136"/>
      <c r="CM39457" s="111"/>
      <c r="CQ39457" s="111"/>
      <c r="EF39457"/>
      <c r="EG39457"/>
      <c r="EH39457"/>
      <c r="EI39457"/>
      <c r="EJ39457"/>
      <c r="EK39457"/>
    </row>
    <row r="39458" spans="1:141" s="116" customFormat="1">
      <c r="A39458" s="136"/>
      <c r="CM39458" s="111"/>
      <c r="CQ39458" s="111"/>
      <c r="EF39458"/>
      <c r="EG39458"/>
      <c r="EH39458"/>
      <c r="EI39458"/>
      <c r="EJ39458"/>
      <c r="EK39458"/>
    </row>
    <row r="39459" spans="1:141" s="116" customFormat="1">
      <c r="A39459" s="136"/>
      <c r="CM39459" s="111"/>
      <c r="CQ39459" s="111"/>
      <c r="EF39459"/>
      <c r="EG39459"/>
      <c r="EH39459"/>
      <c r="EI39459"/>
      <c r="EJ39459"/>
      <c r="EK39459"/>
    </row>
    <row r="39460" spans="1:141" s="116" customFormat="1">
      <c r="A39460" s="136"/>
      <c r="CM39460" s="111"/>
      <c r="CQ39460" s="111"/>
      <c r="EF39460"/>
      <c r="EG39460"/>
      <c r="EH39460"/>
      <c r="EI39460"/>
      <c r="EJ39460"/>
      <c r="EK39460"/>
    </row>
    <row r="39461" spans="1:141" s="116" customFormat="1">
      <c r="A39461" s="136"/>
      <c r="CM39461" s="111"/>
      <c r="CQ39461" s="111"/>
      <c r="EF39461"/>
      <c r="EG39461"/>
      <c r="EH39461"/>
      <c r="EI39461"/>
      <c r="EJ39461"/>
      <c r="EK39461"/>
    </row>
    <row r="39462" spans="1:141" s="116" customFormat="1">
      <c r="A39462" s="136"/>
      <c r="CM39462" s="111"/>
      <c r="CQ39462" s="111"/>
      <c r="EF39462"/>
      <c r="EG39462"/>
      <c r="EH39462"/>
      <c r="EI39462"/>
      <c r="EJ39462"/>
      <c r="EK39462"/>
    </row>
    <row r="39463" spans="1:141" s="116" customFormat="1">
      <c r="A39463" s="136"/>
      <c r="CM39463" s="111"/>
      <c r="CQ39463" s="111"/>
      <c r="EF39463"/>
      <c r="EG39463"/>
      <c r="EH39463"/>
      <c r="EI39463"/>
      <c r="EJ39463"/>
      <c r="EK39463"/>
    </row>
    <row r="39464" spans="1:141" s="116" customFormat="1">
      <c r="A39464" s="136"/>
      <c r="CM39464" s="111"/>
      <c r="CQ39464" s="111"/>
      <c r="EF39464"/>
      <c r="EG39464"/>
      <c r="EH39464"/>
      <c r="EI39464"/>
      <c r="EJ39464"/>
      <c r="EK39464"/>
    </row>
    <row r="39465" spans="1:141" s="116" customFormat="1">
      <c r="A39465" s="136"/>
      <c r="CM39465" s="111"/>
      <c r="CQ39465" s="111"/>
      <c r="EF39465"/>
      <c r="EG39465"/>
      <c r="EH39465"/>
      <c r="EI39465"/>
      <c r="EJ39465"/>
      <c r="EK39465"/>
    </row>
    <row r="39466" spans="1:141" s="116" customFormat="1">
      <c r="A39466" s="136"/>
      <c r="CM39466" s="111"/>
      <c r="CQ39466" s="111"/>
      <c r="EF39466"/>
      <c r="EG39466"/>
      <c r="EH39466"/>
      <c r="EI39466"/>
      <c r="EJ39466"/>
      <c r="EK39466"/>
    </row>
    <row r="39467" spans="1:141" s="116" customFormat="1">
      <c r="A39467" s="136"/>
      <c r="CM39467" s="111"/>
      <c r="CQ39467" s="111"/>
      <c r="EF39467"/>
      <c r="EG39467"/>
      <c r="EH39467"/>
      <c r="EI39467"/>
      <c r="EJ39467"/>
      <c r="EK39467"/>
    </row>
    <row r="39468" spans="1:141" s="116" customFormat="1">
      <c r="A39468" s="136"/>
      <c r="CM39468" s="111"/>
      <c r="CQ39468" s="111"/>
      <c r="EF39468"/>
      <c r="EG39468"/>
      <c r="EH39468"/>
      <c r="EI39468"/>
      <c r="EJ39468"/>
      <c r="EK39468"/>
    </row>
    <row r="39469" spans="1:141" s="116" customFormat="1">
      <c r="A39469" s="136"/>
      <c r="CM39469" s="111"/>
      <c r="CQ39469" s="111"/>
      <c r="EF39469"/>
      <c r="EG39469"/>
      <c r="EH39469"/>
      <c r="EI39469"/>
      <c r="EJ39469"/>
      <c r="EK39469"/>
    </row>
    <row r="39470" spans="1:141" s="116" customFormat="1">
      <c r="A39470" s="136"/>
      <c r="CM39470" s="111"/>
      <c r="CQ39470" s="111"/>
      <c r="EF39470"/>
      <c r="EG39470"/>
      <c r="EH39470"/>
      <c r="EI39470"/>
      <c r="EJ39470"/>
      <c r="EK39470"/>
    </row>
    <row r="39471" spans="1:141" s="116" customFormat="1">
      <c r="A39471" s="136"/>
      <c r="CM39471" s="111"/>
      <c r="CQ39471" s="111"/>
      <c r="EF39471"/>
      <c r="EG39471"/>
      <c r="EH39471"/>
      <c r="EI39471"/>
      <c r="EJ39471"/>
      <c r="EK39471"/>
    </row>
    <row r="39472" spans="1:141" s="116" customFormat="1">
      <c r="A39472" s="136"/>
      <c r="CM39472" s="111"/>
      <c r="CQ39472" s="111"/>
      <c r="EF39472"/>
      <c r="EG39472"/>
      <c r="EH39472"/>
      <c r="EI39472"/>
      <c r="EJ39472"/>
      <c r="EK39472"/>
    </row>
    <row r="39473" spans="1:141" s="116" customFormat="1">
      <c r="A39473" s="136"/>
      <c r="CM39473" s="111"/>
      <c r="CQ39473" s="111"/>
      <c r="EF39473"/>
      <c r="EG39473"/>
      <c r="EH39473"/>
      <c r="EI39473"/>
      <c r="EJ39473"/>
      <c r="EK39473"/>
    </row>
    <row r="39474" spans="1:141" s="116" customFormat="1">
      <c r="A39474" s="136"/>
      <c r="CM39474" s="111"/>
      <c r="CQ39474" s="111"/>
      <c r="EF39474"/>
      <c r="EG39474"/>
      <c r="EH39474"/>
      <c r="EI39474"/>
      <c r="EJ39474"/>
      <c r="EK39474"/>
    </row>
    <row r="39475" spans="1:141" s="116" customFormat="1">
      <c r="A39475" s="136"/>
      <c r="CM39475" s="111"/>
      <c r="CQ39475" s="111"/>
      <c r="EF39475"/>
      <c r="EG39475"/>
      <c r="EH39475"/>
      <c r="EI39475"/>
      <c r="EJ39475"/>
      <c r="EK39475"/>
    </row>
    <row r="39476" spans="1:141" s="116" customFormat="1">
      <c r="A39476" s="136"/>
      <c r="CM39476" s="111"/>
      <c r="CQ39476" s="111"/>
      <c r="EF39476"/>
      <c r="EG39476"/>
      <c r="EH39476"/>
      <c r="EI39476"/>
      <c r="EJ39476"/>
      <c r="EK39476"/>
    </row>
    <row r="39477" spans="1:141" s="116" customFormat="1">
      <c r="A39477" s="136"/>
      <c r="CM39477" s="111"/>
      <c r="CQ39477" s="111"/>
      <c r="EF39477"/>
      <c r="EG39477"/>
      <c r="EH39477"/>
      <c r="EI39477"/>
      <c r="EJ39477"/>
      <c r="EK39477"/>
    </row>
    <row r="39478" spans="1:141" s="116" customFormat="1">
      <c r="A39478" s="136"/>
      <c r="CM39478" s="111"/>
      <c r="CQ39478" s="111"/>
      <c r="EF39478"/>
      <c r="EG39478"/>
      <c r="EH39478"/>
      <c r="EI39478"/>
      <c r="EJ39478"/>
      <c r="EK39478"/>
    </row>
    <row r="39479" spans="1:141" s="116" customFormat="1">
      <c r="A39479" s="136"/>
      <c r="CM39479" s="111"/>
      <c r="CQ39479" s="111"/>
      <c r="EF39479"/>
      <c r="EG39479"/>
      <c r="EH39479"/>
      <c r="EI39479"/>
      <c r="EJ39479"/>
      <c r="EK39479"/>
    </row>
    <row r="39480" spans="1:141" s="116" customFormat="1">
      <c r="A39480" s="136"/>
      <c r="CM39480" s="111"/>
      <c r="CQ39480" s="111"/>
      <c r="EF39480"/>
      <c r="EG39480"/>
      <c r="EH39480"/>
      <c r="EI39480"/>
      <c r="EJ39480"/>
      <c r="EK39480"/>
    </row>
    <row r="39481" spans="1:141" s="116" customFormat="1">
      <c r="A39481" s="136"/>
      <c r="CM39481" s="111"/>
      <c r="CQ39481" s="111"/>
      <c r="EF39481"/>
      <c r="EG39481"/>
      <c r="EH39481"/>
      <c r="EI39481"/>
      <c r="EJ39481"/>
      <c r="EK39481"/>
    </row>
    <row r="39482" spans="1:141" s="116" customFormat="1">
      <c r="A39482" s="136"/>
      <c r="CM39482" s="111"/>
      <c r="CQ39482" s="111"/>
      <c r="EF39482"/>
      <c r="EG39482"/>
      <c r="EH39482"/>
      <c r="EI39482"/>
      <c r="EJ39482"/>
      <c r="EK39482"/>
    </row>
    <row r="39483" spans="1:141" s="116" customFormat="1">
      <c r="A39483" s="136"/>
      <c r="CM39483" s="111"/>
      <c r="CQ39483" s="111"/>
      <c r="EF39483"/>
      <c r="EG39483"/>
      <c r="EH39483"/>
      <c r="EI39483"/>
      <c r="EJ39483"/>
      <c r="EK39483"/>
    </row>
    <row r="39484" spans="1:141" s="116" customFormat="1">
      <c r="A39484" s="136"/>
      <c r="CM39484" s="111"/>
      <c r="CQ39484" s="111"/>
      <c r="EF39484"/>
      <c r="EG39484"/>
      <c r="EH39484"/>
      <c r="EI39484"/>
      <c r="EJ39484"/>
      <c r="EK39484"/>
    </row>
    <row r="39485" spans="1:141" s="116" customFormat="1">
      <c r="A39485" s="136"/>
      <c r="CM39485" s="111"/>
      <c r="CQ39485" s="111"/>
      <c r="EF39485"/>
      <c r="EG39485"/>
      <c r="EH39485"/>
      <c r="EI39485"/>
      <c r="EJ39485"/>
      <c r="EK39485"/>
    </row>
    <row r="39486" spans="1:141" s="116" customFormat="1">
      <c r="A39486" s="136"/>
      <c r="CM39486" s="111"/>
      <c r="CQ39486" s="111"/>
      <c r="EF39486"/>
      <c r="EG39486"/>
      <c r="EH39486"/>
      <c r="EI39486"/>
      <c r="EJ39486"/>
      <c r="EK39486"/>
    </row>
    <row r="39487" spans="1:141" s="116" customFormat="1">
      <c r="A39487" s="136"/>
      <c r="CM39487" s="111"/>
      <c r="CQ39487" s="111"/>
      <c r="EF39487"/>
      <c r="EG39487"/>
      <c r="EH39487"/>
      <c r="EI39487"/>
      <c r="EJ39487"/>
      <c r="EK39487"/>
    </row>
    <row r="39488" spans="1:141" s="116" customFormat="1">
      <c r="A39488" s="136"/>
      <c r="CM39488" s="111"/>
      <c r="CQ39488" s="111"/>
      <c r="EF39488"/>
      <c r="EG39488"/>
      <c r="EH39488"/>
      <c r="EI39488"/>
      <c r="EJ39488"/>
      <c r="EK39488"/>
    </row>
    <row r="39489" spans="1:141" s="116" customFormat="1">
      <c r="A39489" s="136"/>
      <c r="CM39489" s="111"/>
      <c r="CQ39489" s="111"/>
      <c r="EF39489"/>
      <c r="EG39489"/>
      <c r="EH39489"/>
      <c r="EI39489"/>
      <c r="EJ39489"/>
      <c r="EK39489"/>
    </row>
    <row r="39490" spans="1:141" s="116" customFormat="1">
      <c r="A39490" s="136"/>
      <c r="CM39490" s="111"/>
      <c r="CQ39490" s="111"/>
      <c r="EF39490"/>
      <c r="EG39490"/>
      <c r="EH39490"/>
      <c r="EI39490"/>
      <c r="EJ39490"/>
      <c r="EK39490"/>
    </row>
    <row r="39491" spans="1:141" s="116" customFormat="1">
      <c r="A39491" s="136"/>
      <c r="CM39491" s="111"/>
      <c r="CQ39491" s="111"/>
      <c r="EF39491"/>
      <c r="EG39491"/>
      <c r="EH39491"/>
      <c r="EI39491"/>
      <c r="EJ39491"/>
      <c r="EK39491"/>
    </row>
    <row r="39492" spans="1:141" s="116" customFormat="1">
      <c r="A39492" s="136"/>
      <c r="CM39492" s="111"/>
      <c r="CQ39492" s="111"/>
      <c r="EF39492"/>
      <c r="EG39492"/>
      <c r="EH39492"/>
      <c r="EI39492"/>
      <c r="EJ39492"/>
      <c r="EK39492"/>
    </row>
    <row r="39493" spans="1:141" s="116" customFormat="1">
      <c r="A39493" s="136"/>
      <c r="CM39493" s="111"/>
      <c r="CQ39493" s="111"/>
      <c r="EF39493"/>
      <c r="EG39493"/>
      <c r="EH39493"/>
      <c r="EI39493"/>
      <c r="EJ39493"/>
      <c r="EK39493"/>
    </row>
    <row r="39494" spans="1:141" s="116" customFormat="1">
      <c r="A39494" s="136"/>
      <c r="CM39494" s="111"/>
      <c r="CQ39494" s="111"/>
      <c r="EF39494"/>
      <c r="EG39494"/>
      <c r="EH39494"/>
      <c r="EI39494"/>
      <c r="EJ39494"/>
      <c r="EK39494"/>
    </row>
    <row r="39495" spans="1:141" s="116" customFormat="1">
      <c r="A39495" s="136"/>
      <c r="CM39495" s="111"/>
      <c r="CQ39495" s="111"/>
      <c r="EF39495"/>
      <c r="EG39495"/>
      <c r="EH39495"/>
      <c r="EI39495"/>
      <c r="EJ39495"/>
      <c r="EK39495"/>
    </row>
    <row r="39496" spans="1:141" s="116" customFormat="1">
      <c r="A39496" s="136"/>
      <c r="CM39496" s="111"/>
      <c r="CQ39496" s="111"/>
      <c r="EF39496"/>
      <c r="EG39496"/>
      <c r="EH39496"/>
      <c r="EI39496"/>
      <c r="EJ39496"/>
      <c r="EK39496"/>
    </row>
    <row r="39497" spans="1:141" s="116" customFormat="1">
      <c r="A39497" s="136"/>
      <c r="CM39497" s="111"/>
      <c r="CQ39497" s="111"/>
      <c r="EF39497"/>
      <c r="EG39497"/>
      <c r="EH39497"/>
      <c r="EI39497"/>
      <c r="EJ39497"/>
      <c r="EK39497"/>
    </row>
    <row r="39498" spans="1:141" s="116" customFormat="1">
      <c r="A39498" s="136"/>
      <c r="CM39498" s="111"/>
      <c r="CQ39498" s="111"/>
      <c r="EF39498"/>
      <c r="EG39498"/>
      <c r="EH39498"/>
      <c r="EI39498"/>
      <c r="EJ39498"/>
      <c r="EK39498"/>
    </row>
    <row r="39499" spans="1:141" s="116" customFormat="1">
      <c r="A39499" s="136"/>
      <c r="CM39499" s="111"/>
      <c r="CQ39499" s="111"/>
      <c r="EF39499"/>
      <c r="EG39499"/>
      <c r="EH39499"/>
      <c r="EI39499"/>
      <c r="EJ39499"/>
      <c r="EK39499"/>
    </row>
    <row r="39500" spans="1:141" s="116" customFormat="1">
      <c r="A39500" s="136"/>
      <c r="CM39500" s="111"/>
      <c r="CQ39500" s="111"/>
      <c r="EF39500"/>
      <c r="EG39500"/>
      <c r="EH39500"/>
      <c r="EI39500"/>
      <c r="EJ39500"/>
      <c r="EK39500"/>
    </row>
    <row r="39501" spans="1:141" s="116" customFormat="1">
      <c r="A39501" s="136"/>
      <c r="CM39501" s="111"/>
      <c r="CQ39501" s="111"/>
      <c r="EF39501"/>
      <c r="EG39501"/>
      <c r="EH39501"/>
      <c r="EI39501"/>
      <c r="EJ39501"/>
      <c r="EK39501"/>
    </row>
    <row r="39502" spans="1:141" s="116" customFormat="1">
      <c r="A39502" s="136"/>
      <c r="CM39502" s="111"/>
      <c r="CQ39502" s="111"/>
      <c r="EF39502"/>
      <c r="EG39502"/>
      <c r="EH39502"/>
      <c r="EI39502"/>
      <c r="EJ39502"/>
      <c r="EK39502"/>
    </row>
    <row r="39503" spans="1:141" s="116" customFormat="1">
      <c r="A39503" s="136"/>
      <c r="CM39503" s="111"/>
      <c r="CQ39503" s="111"/>
      <c r="EF39503"/>
      <c r="EG39503"/>
      <c r="EH39503"/>
      <c r="EI39503"/>
      <c r="EJ39503"/>
      <c r="EK39503"/>
    </row>
    <row r="39504" spans="1:141" s="116" customFormat="1">
      <c r="A39504" s="136"/>
      <c r="CM39504" s="111"/>
      <c r="CQ39504" s="111"/>
      <c r="EF39504"/>
      <c r="EG39504"/>
      <c r="EH39504"/>
      <c r="EI39504"/>
      <c r="EJ39504"/>
      <c r="EK39504"/>
    </row>
    <row r="39505" spans="1:141" s="116" customFormat="1">
      <c r="A39505" s="136"/>
      <c r="CM39505" s="111"/>
      <c r="CQ39505" s="111"/>
      <c r="EF39505"/>
      <c r="EG39505"/>
      <c r="EH39505"/>
      <c r="EI39505"/>
      <c r="EJ39505"/>
      <c r="EK39505"/>
    </row>
    <row r="39506" spans="1:141" s="116" customFormat="1">
      <c r="A39506" s="136"/>
      <c r="CM39506" s="111"/>
      <c r="CQ39506" s="111"/>
      <c r="EF39506"/>
      <c r="EG39506"/>
      <c r="EH39506"/>
      <c r="EI39506"/>
      <c r="EJ39506"/>
      <c r="EK39506"/>
    </row>
    <row r="39507" spans="1:141" s="116" customFormat="1">
      <c r="A39507" s="136"/>
      <c r="CM39507" s="111"/>
      <c r="CQ39507" s="111"/>
      <c r="EF39507"/>
      <c r="EG39507"/>
      <c r="EH39507"/>
      <c r="EI39507"/>
      <c r="EJ39507"/>
      <c r="EK39507"/>
    </row>
    <row r="39508" spans="1:141" s="116" customFormat="1">
      <c r="A39508" s="136"/>
      <c r="CM39508" s="111"/>
      <c r="CQ39508" s="111"/>
      <c r="EF39508"/>
      <c r="EG39508"/>
      <c r="EH39508"/>
      <c r="EI39508"/>
      <c r="EJ39508"/>
      <c r="EK39508"/>
    </row>
    <row r="39509" spans="1:141" s="116" customFormat="1">
      <c r="A39509" s="136"/>
      <c r="CM39509" s="111"/>
      <c r="CQ39509" s="111"/>
      <c r="EF39509"/>
      <c r="EG39509"/>
      <c r="EH39509"/>
      <c r="EI39509"/>
      <c r="EJ39509"/>
      <c r="EK39509"/>
    </row>
    <row r="39510" spans="1:141" s="116" customFormat="1">
      <c r="A39510" s="136"/>
      <c r="CM39510" s="111"/>
      <c r="CQ39510" s="111"/>
      <c r="EF39510"/>
      <c r="EG39510"/>
      <c r="EH39510"/>
      <c r="EI39510"/>
      <c r="EJ39510"/>
      <c r="EK39510"/>
    </row>
    <row r="39511" spans="1:141" s="116" customFormat="1">
      <c r="A39511" s="136"/>
      <c r="CM39511" s="111"/>
      <c r="CQ39511" s="111"/>
      <c r="EF39511"/>
      <c r="EG39511"/>
      <c r="EH39511"/>
      <c r="EI39511"/>
      <c r="EJ39511"/>
      <c r="EK39511"/>
    </row>
    <row r="39512" spans="1:141" s="116" customFormat="1">
      <c r="A39512" s="136"/>
      <c r="CM39512" s="111"/>
      <c r="CQ39512" s="111"/>
      <c r="EF39512"/>
      <c r="EG39512"/>
      <c r="EH39512"/>
      <c r="EI39512"/>
      <c r="EJ39512"/>
      <c r="EK39512"/>
    </row>
    <row r="39513" spans="1:141" s="116" customFormat="1">
      <c r="A39513" s="136"/>
      <c r="CM39513" s="111"/>
      <c r="CQ39513" s="111"/>
      <c r="EF39513"/>
      <c r="EG39513"/>
      <c r="EH39513"/>
      <c r="EI39513"/>
      <c r="EJ39513"/>
      <c r="EK39513"/>
    </row>
    <row r="39514" spans="1:141" s="116" customFormat="1">
      <c r="A39514" s="136"/>
      <c r="CM39514" s="111"/>
      <c r="CQ39514" s="111"/>
      <c r="EF39514"/>
      <c r="EG39514"/>
      <c r="EH39514"/>
      <c r="EI39514"/>
      <c r="EJ39514"/>
      <c r="EK39514"/>
    </row>
    <row r="39515" spans="1:141" s="116" customFormat="1">
      <c r="A39515" s="136"/>
      <c r="CM39515" s="111"/>
      <c r="CQ39515" s="111"/>
      <c r="EF39515"/>
      <c r="EG39515"/>
      <c r="EH39515"/>
      <c r="EI39515"/>
      <c r="EJ39515"/>
      <c r="EK39515"/>
    </row>
    <row r="39516" spans="1:141" s="116" customFormat="1">
      <c r="A39516" s="136"/>
      <c r="CM39516" s="111"/>
      <c r="CQ39516" s="111"/>
      <c r="EF39516"/>
      <c r="EG39516"/>
      <c r="EH39516"/>
      <c r="EI39516"/>
      <c r="EJ39516"/>
      <c r="EK39516"/>
    </row>
    <row r="39517" spans="1:141" s="116" customFormat="1">
      <c r="A39517" s="136"/>
      <c r="CM39517" s="111"/>
      <c r="CQ39517" s="111"/>
      <c r="EF39517"/>
      <c r="EG39517"/>
      <c r="EH39517"/>
      <c r="EI39517"/>
      <c r="EJ39517"/>
      <c r="EK39517"/>
    </row>
    <row r="39518" spans="1:141" s="116" customFormat="1">
      <c r="A39518" s="136"/>
      <c r="CM39518" s="111"/>
      <c r="CQ39518" s="111"/>
      <c r="EF39518"/>
      <c r="EG39518"/>
      <c r="EH39518"/>
      <c r="EI39518"/>
      <c r="EJ39518"/>
      <c r="EK39518"/>
    </row>
    <row r="39519" spans="1:141" s="116" customFormat="1">
      <c r="A39519" s="136"/>
      <c r="CM39519" s="111"/>
      <c r="CQ39519" s="111"/>
      <c r="EF39519"/>
      <c r="EG39519"/>
      <c r="EH39519"/>
      <c r="EI39519"/>
      <c r="EJ39519"/>
      <c r="EK39519"/>
    </row>
    <row r="39520" spans="1:141" s="116" customFormat="1">
      <c r="A39520" s="136"/>
      <c r="CM39520" s="111"/>
      <c r="CQ39520" s="111"/>
      <c r="EF39520"/>
      <c r="EG39520"/>
      <c r="EH39520"/>
      <c r="EI39520"/>
      <c r="EJ39520"/>
      <c r="EK39520"/>
    </row>
    <row r="39521" spans="1:141" s="116" customFormat="1">
      <c r="A39521" s="136"/>
      <c r="CM39521" s="111"/>
      <c r="CQ39521" s="111"/>
      <c r="EF39521"/>
      <c r="EG39521"/>
      <c r="EH39521"/>
      <c r="EI39521"/>
      <c r="EJ39521"/>
      <c r="EK39521"/>
    </row>
    <row r="39522" spans="1:141" s="116" customFormat="1">
      <c r="A39522" s="136"/>
      <c r="CM39522" s="111"/>
      <c r="CQ39522" s="111"/>
      <c r="EF39522"/>
      <c r="EG39522"/>
      <c r="EH39522"/>
      <c r="EI39522"/>
      <c r="EJ39522"/>
      <c r="EK39522"/>
    </row>
    <row r="39523" spans="1:141" s="116" customFormat="1">
      <c r="A39523" s="136"/>
      <c r="CM39523" s="111"/>
      <c r="CQ39523" s="111"/>
      <c r="EF39523"/>
      <c r="EG39523"/>
      <c r="EH39523"/>
      <c r="EI39523"/>
      <c r="EJ39523"/>
      <c r="EK39523"/>
    </row>
    <row r="39524" spans="1:141" s="116" customFormat="1">
      <c r="A39524" s="136"/>
      <c r="CM39524" s="111"/>
      <c r="CQ39524" s="111"/>
      <c r="EF39524"/>
      <c r="EG39524"/>
      <c r="EH39524"/>
      <c r="EI39524"/>
      <c r="EJ39524"/>
      <c r="EK39524"/>
    </row>
    <row r="39525" spans="1:141" s="116" customFormat="1">
      <c r="A39525" s="136"/>
      <c r="CM39525" s="111"/>
      <c r="CQ39525" s="111"/>
      <c r="EF39525"/>
      <c r="EG39525"/>
      <c r="EH39525"/>
      <c r="EI39525"/>
      <c r="EJ39525"/>
      <c r="EK39525"/>
    </row>
    <row r="39526" spans="1:141" s="116" customFormat="1">
      <c r="A39526" s="136"/>
      <c r="CM39526" s="111"/>
      <c r="CQ39526" s="111"/>
      <c r="EF39526"/>
      <c r="EG39526"/>
      <c r="EH39526"/>
      <c r="EI39526"/>
      <c r="EJ39526"/>
      <c r="EK39526"/>
    </row>
    <row r="39527" spans="1:141" s="116" customFormat="1">
      <c r="A39527" s="136"/>
      <c r="CM39527" s="111"/>
      <c r="CQ39527" s="111"/>
      <c r="EF39527"/>
      <c r="EG39527"/>
      <c r="EH39527"/>
      <c r="EI39527"/>
      <c r="EJ39527"/>
      <c r="EK39527"/>
    </row>
    <row r="39528" spans="1:141" s="116" customFormat="1">
      <c r="A39528" s="136"/>
      <c r="CM39528" s="111"/>
      <c r="CQ39528" s="111"/>
      <c r="EF39528"/>
      <c r="EG39528"/>
      <c r="EH39528"/>
      <c r="EI39528"/>
      <c r="EJ39528"/>
      <c r="EK39528"/>
    </row>
    <row r="39529" spans="1:141" s="116" customFormat="1">
      <c r="A39529" s="136"/>
      <c r="CM39529" s="111"/>
      <c r="CQ39529" s="111"/>
      <c r="EF39529"/>
      <c r="EG39529"/>
      <c r="EH39529"/>
      <c r="EI39529"/>
      <c r="EJ39529"/>
      <c r="EK39529"/>
    </row>
    <row r="39530" spans="1:141" s="116" customFormat="1">
      <c r="A39530" s="136"/>
      <c r="CM39530" s="111"/>
      <c r="CQ39530" s="111"/>
      <c r="EF39530"/>
      <c r="EG39530"/>
      <c r="EH39530"/>
      <c r="EI39530"/>
      <c r="EJ39530"/>
      <c r="EK39530"/>
    </row>
    <row r="39531" spans="1:141" s="116" customFormat="1">
      <c r="A39531" s="136"/>
      <c r="CM39531" s="111"/>
      <c r="CQ39531" s="111"/>
      <c r="EF39531"/>
      <c r="EG39531"/>
      <c r="EH39531"/>
      <c r="EI39531"/>
      <c r="EJ39531"/>
      <c r="EK39531"/>
    </row>
    <row r="39532" spans="1:141" s="116" customFormat="1">
      <c r="A39532" s="136"/>
      <c r="CM39532" s="111"/>
      <c r="CQ39532" s="111"/>
      <c r="EF39532"/>
      <c r="EG39532"/>
      <c r="EH39532"/>
      <c r="EI39532"/>
      <c r="EJ39532"/>
      <c r="EK39532"/>
    </row>
    <row r="39533" spans="1:141" s="116" customFormat="1">
      <c r="A39533" s="136"/>
      <c r="CM39533" s="111"/>
      <c r="CQ39533" s="111"/>
      <c r="EF39533"/>
      <c r="EG39533"/>
      <c r="EH39533"/>
      <c r="EI39533"/>
      <c r="EJ39533"/>
      <c r="EK39533"/>
    </row>
    <row r="39534" spans="1:141" s="116" customFormat="1">
      <c r="A39534" s="136"/>
      <c r="CM39534" s="111"/>
      <c r="CQ39534" s="111"/>
      <c r="EF39534"/>
      <c r="EG39534"/>
      <c r="EH39534"/>
      <c r="EI39534"/>
      <c r="EJ39534"/>
      <c r="EK39534"/>
    </row>
    <row r="39535" spans="1:141" s="116" customFormat="1">
      <c r="A39535" s="136"/>
      <c r="CM39535" s="111"/>
      <c r="CQ39535" s="111"/>
      <c r="EF39535"/>
      <c r="EG39535"/>
      <c r="EH39535"/>
      <c r="EI39535"/>
      <c r="EJ39535"/>
      <c r="EK39535"/>
    </row>
    <row r="39536" spans="1:141" s="116" customFormat="1">
      <c r="A39536" s="136"/>
      <c r="CM39536" s="111"/>
      <c r="CQ39536" s="111"/>
      <c r="EF39536"/>
      <c r="EG39536"/>
      <c r="EH39536"/>
      <c r="EI39536"/>
      <c r="EJ39536"/>
      <c r="EK39536"/>
    </row>
    <row r="39537" spans="1:141" s="116" customFormat="1">
      <c r="A39537" s="136"/>
      <c r="CM39537" s="111"/>
      <c r="CQ39537" s="111"/>
      <c r="EF39537"/>
      <c r="EG39537"/>
      <c r="EH39537"/>
      <c r="EI39537"/>
      <c r="EJ39537"/>
      <c r="EK39537"/>
    </row>
    <row r="39538" spans="1:141" s="116" customFormat="1">
      <c r="A39538" s="136"/>
      <c r="CM39538" s="111"/>
      <c r="CQ39538" s="111"/>
      <c r="EF39538"/>
      <c r="EG39538"/>
      <c r="EH39538"/>
      <c r="EI39538"/>
      <c r="EJ39538"/>
      <c r="EK39538"/>
    </row>
    <row r="39539" spans="1:141" s="116" customFormat="1">
      <c r="A39539" s="136"/>
      <c r="CM39539" s="111"/>
      <c r="CQ39539" s="111"/>
      <c r="EF39539"/>
      <c r="EG39539"/>
      <c r="EH39539"/>
      <c r="EI39539"/>
      <c r="EJ39539"/>
      <c r="EK39539"/>
    </row>
    <row r="39540" spans="1:141" s="116" customFormat="1">
      <c r="A39540" s="136"/>
      <c r="CM39540" s="111"/>
      <c r="CQ39540" s="111"/>
      <c r="EF39540"/>
      <c r="EG39540"/>
      <c r="EH39540"/>
      <c r="EI39540"/>
      <c r="EJ39540"/>
      <c r="EK39540"/>
    </row>
    <row r="39541" spans="1:141" s="116" customFormat="1">
      <c r="A39541" s="136"/>
      <c r="CM39541" s="111"/>
      <c r="CQ39541" s="111"/>
      <c r="EF39541"/>
      <c r="EG39541"/>
      <c r="EH39541"/>
      <c r="EI39541"/>
      <c r="EJ39541"/>
      <c r="EK39541"/>
    </row>
    <row r="39542" spans="1:141" s="116" customFormat="1">
      <c r="A39542" s="136"/>
      <c r="CM39542" s="111"/>
      <c r="CQ39542" s="111"/>
      <c r="EF39542"/>
      <c r="EG39542"/>
      <c r="EH39542"/>
      <c r="EI39542"/>
      <c r="EJ39542"/>
      <c r="EK39542"/>
    </row>
    <row r="39543" spans="1:141" s="116" customFormat="1">
      <c r="A39543" s="136"/>
      <c r="CM39543" s="111"/>
      <c r="CQ39543" s="111"/>
      <c r="EF39543"/>
      <c r="EG39543"/>
      <c r="EH39543"/>
      <c r="EI39543"/>
      <c r="EJ39543"/>
      <c r="EK39543"/>
    </row>
    <row r="39544" spans="1:141" s="116" customFormat="1">
      <c r="A39544" s="136"/>
      <c r="CM39544" s="111"/>
      <c r="CQ39544" s="111"/>
      <c r="EF39544"/>
      <c r="EG39544"/>
      <c r="EH39544"/>
      <c r="EI39544"/>
      <c r="EJ39544"/>
      <c r="EK39544"/>
    </row>
    <row r="39545" spans="1:141" s="116" customFormat="1">
      <c r="A39545" s="136"/>
      <c r="CM39545" s="111"/>
      <c r="CQ39545" s="111"/>
      <c r="EF39545"/>
      <c r="EG39545"/>
      <c r="EH39545"/>
      <c r="EI39545"/>
      <c r="EJ39545"/>
      <c r="EK39545"/>
    </row>
    <row r="39546" spans="1:141" s="116" customFormat="1">
      <c r="A39546" s="136"/>
      <c r="CM39546" s="111"/>
      <c r="CQ39546" s="111"/>
      <c r="EF39546"/>
      <c r="EG39546"/>
      <c r="EH39546"/>
      <c r="EI39546"/>
      <c r="EJ39546"/>
      <c r="EK39546"/>
    </row>
    <row r="39547" spans="1:141" s="116" customFormat="1">
      <c r="A39547" s="136"/>
      <c r="CM39547" s="111"/>
      <c r="CQ39547" s="111"/>
      <c r="EF39547"/>
      <c r="EG39547"/>
      <c r="EH39547"/>
      <c r="EI39547"/>
      <c r="EJ39547"/>
      <c r="EK39547"/>
    </row>
    <row r="39548" spans="1:141" s="116" customFormat="1">
      <c r="A39548" s="136"/>
      <c r="CM39548" s="111"/>
      <c r="CQ39548" s="111"/>
      <c r="EF39548"/>
      <c r="EG39548"/>
      <c r="EH39548"/>
      <c r="EI39548"/>
      <c r="EJ39548"/>
      <c r="EK39548"/>
    </row>
    <row r="39549" spans="1:141" s="116" customFormat="1">
      <c r="A39549" s="136"/>
      <c r="CM39549" s="111"/>
      <c r="CQ39549" s="111"/>
      <c r="EF39549"/>
      <c r="EG39549"/>
      <c r="EH39549"/>
      <c r="EI39549"/>
      <c r="EJ39549"/>
      <c r="EK39549"/>
    </row>
    <row r="39550" spans="1:141" s="116" customFormat="1">
      <c r="A39550" s="136"/>
      <c r="CM39550" s="111"/>
      <c r="CQ39550" s="111"/>
      <c r="EF39550"/>
      <c r="EG39550"/>
      <c r="EH39550"/>
      <c r="EI39550"/>
      <c r="EJ39550"/>
      <c r="EK39550"/>
    </row>
    <row r="39551" spans="1:141" s="116" customFormat="1">
      <c r="A39551" s="136"/>
      <c r="CM39551" s="111"/>
      <c r="CQ39551" s="111"/>
      <c r="EF39551"/>
      <c r="EG39551"/>
      <c r="EH39551"/>
      <c r="EI39551"/>
      <c r="EJ39551"/>
      <c r="EK39551"/>
    </row>
    <row r="39552" spans="1:141" s="116" customFormat="1">
      <c r="A39552" s="136"/>
      <c r="CM39552" s="111"/>
      <c r="CQ39552" s="111"/>
      <c r="EF39552"/>
      <c r="EG39552"/>
      <c r="EH39552"/>
      <c r="EI39552"/>
      <c r="EJ39552"/>
      <c r="EK39552"/>
    </row>
    <row r="39553" spans="1:141" s="116" customFormat="1">
      <c r="A39553" s="136"/>
      <c r="CM39553" s="111"/>
      <c r="CQ39553" s="111"/>
      <c r="EF39553"/>
      <c r="EG39553"/>
      <c r="EH39553"/>
      <c r="EI39553"/>
      <c r="EJ39553"/>
      <c r="EK39553"/>
    </row>
    <row r="39554" spans="1:141" s="116" customFormat="1">
      <c r="A39554" s="136"/>
      <c r="CM39554" s="111"/>
      <c r="CQ39554" s="111"/>
      <c r="EF39554"/>
      <c r="EG39554"/>
      <c r="EH39554"/>
      <c r="EI39554"/>
      <c r="EJ39554"/>
      <c r="EK39554"/>
    </row>
    <row r="39555" spans="1:141" s="116" customFormat="1">
      <c r="A39555" s="136"/>
      <c r="CM39555" s="111"/>
      <c r="CQ39555" s="111"/>
      <c r="EF39555"/>
      <c r="EG39555"/>
      <c r="EH39555"/>
      <c r="EI39555"/>
      <c r="EJ39555"/>
      <c r="EK39555"/>
    </row>
    <row r="39556" spans="1:141" s="116" customFormat="1">
      <c r="A39556" s="136"/>
      <c r="CM39556" s="111"/>
      <c r="CQ39556" s="111"/>
      <c r="EF39556"/>
      <c r="EG39556"/>
      <c r="EH39556"/>
      <c r="EI39556"/>
      <c r="EJ39556"/>
      <c r="EK39556"/>
    </row>
    <row r="39557" spans="1:141" s="116" customFormat="1">
      <c r="A39557" s="136"/>
      <c r="CM39557" s="111"/>
      <c r="CQ39557" s="111"/>
      <c r="EF39557"/>
      <c r="EG39557"/>
      <c r="EH39557"/>
      <c r="EI39557"/>
      <c r="EJ39557"/>
      <c r="EK39557"/>
    </row>
    <row r="39558" spans="1:141" s="116" customFormat="1">
      <c r="A39558" s="136"/>
      <c r="CM39558" s="111"/>
      <c r="CQ39558" s="111"/>
      <c r="EF39558"/>
      <c r="EG39558"/>
      <c r="EH39558"/>
      <c r="EI39558"/>
      <c r="EJ39558"/>
      <c r="EK39558"/>
    </row>
    <row r="39559" spans="1:141" s="116" customFormat="1">
      <c r="A39559" s="136"/>
      <c r="CM39559" s="111"/>
      <c r="CQ39559" s="111"/>
      <c r="EF39559"/>
      <c r="EG39559"/>
      <c r="EH39559"/>
      <c r="EI39559"/>
      <c r="EJ39559"/>
      <c r="EK39559"/>
    </row>
    <row r="39560" spans="1:141" s="116" customFormat="1">
      <c r="A39560" s="136"/>
      <c r="CM39560" s="111"/>
      <c r="CQ39560" s="111"/>
      <c r="EF39560"/>
      <c r="EG39560"/>
      <c r="EH39560"/>
      <c r="EI39560"/>
      <c r="EJ39560"/>
      <c r="EK39560"/>
    </row>
    <row r="39561" spans="1:141" s="116" customFormat="1">
      <c r="A39561" s="136"/>
      <c r="CM39561" s="111"/>
      <c r="CQ39561" s="111"/>
      <c r="EF39561"/>
      <c r="EG39561"/>
      <c r="EH39561"/>
      <c r="EI39561"/>
      <c r="EJ39561"/>
      <c r="EK39561"/>
    </row>
    <row r="39562" spans="1:141" s="116" customFormat="1">
      <c r="A39562" s="136"/>
      <c r="CM39562" s="111"/>
      <c r="CQ39562" s="111"/>
      <c r="EF39562"/>
      <c r="EG39562"/>
      <c r="EH39562"/>
      <c r="EI39562"/>
      <c r="EJ39562"/>
      <c r="EK39562"/>
    </row>
    <row r="39563" spans="1:141" s="116" customFormat="1">
      <c r="A39563" s="136"/>
      <c r="CM39563" s="111"/>
      <c r="CQ39563" s="111"/>
      <c r="EF39563"/>
      <c r="EG39563"/>
      <c r="EH39563"/>
      <c r="EI39563"/>
      <c r="EJ39563"/>
      <c r="EK39563"/>
    </row>
    <row r="39564" spans="1:141" s="116" customFormat="1">
      <c r="A39564" s="136"/>
      <c r="CM39564" s="111"/>
      <c r="CQ39564" s="111"/>
      <c r="EF39564"/>
      <c r="EG39564"/>
      <c r="EH39564"/>
      <c r="EI39564"/>
      <c r="EJ39564"/>
      <c r="EK39564"/>
    </row>
    <row r="39565" spans="1:141" s="116" customFormat="1">
      <c r="A39565" s="136"/>
      <c r="CM39565" s="111"/>
      <c r="CQ39565" s="111"/>
      <c r="EF39565"/>
      <c r="EG39565"/>
      <c r="EH39565"/>
      <c r="EI39565"/>
      <c r="EJ39565"/>
      <c r="EK39565"/>
    </row>
    <row r="39566" spans="1:141" s="116" customFormat="1">
      <c r="A39566" s="136"/>
      <c r="CM39566" s="111"/>
      <c r="CQ39566" s="111"/>
      <c r="EF39566"/>
      <c r="EG39566"/>
      <c r="EH39566"/>
      <c r="EI39566"/>
      <c r="EJ39566"/>
      <c r="EK39566"/>
    </row>
    <row r="39567" spans="1:141" s="116" customFormat="1">
      <c r="A39567" s="136"/>
      <c r="CM39567" s="111"/>
      <c r="CQ39567" s="111"/>
      <c r="EF39567"/>
      <c r="EG39567"/>
      <c r="EH39567"/>
      <c r="EI39567"/>
      <c r="EJ39567"/>
      <c r="EK39567"/>
    </row>
    <row r="39568" spans="1:141" s="116" customFormat="1">
      <c r="A39568" s="136"/>
      <c r="CM39568" s="111"/>
      <c r="CQ39568" s="111"/>
      <c r="EF39568"/>
      <c r="EG39568"/>
      <c r="EH39568"/>
      <c r="EI39568"/>
      <c r="EJ39568"/>
      <c r="EK39568"/>
    </row>
    <row r="39569" spans="1:141" s="116" customFormat="1">
      <c r="A39569" s="136"/>
      <c r="CM39569" s="111"/>
      <c r="CQ39569" s="111"/>
      <c r="EF39569"/>
      <c r="EG39569"/>
      <c r="EH39569"/>
      <c r="EI39569"/>
      <c r="EJ39569"/>
      <c r="EK39569"/>
    </row>
    <row r="39570" spans="1:141" s="116" customFormat="1">
      <c r="A39570" s="136"/>
      <c r="CM39570" s="111"/>
      <c r="CQ39570" s="111"/>
      <c r="EF39570"/>
      <c r="EG39570"/>
      <c r="EH39570"/>
      <c r="EI39570"/>
      <c r="EJ39570"/>
      <c r="EK39570"/>
    </row>
    <row r="39571" spans="1:141" s="116" customFormat="1">
      <c r="A39571" s="136"/>
      <c r="CM39571" s="111"/>
      <c r="CQ39571" s="111"/>
      <c r="EF39571"/>
      <c r="EG39571"/>
      <c r="EH39571"/>
      <c r="EI39571"/>
      <c r="EJ39571"/>
      <c r="EK39571"/>
    </row>
    <row r="39572" spans="1:141" s="116" customFormat="1">
      <c r="A39572" s="136"/>
      <c r="CM39572" s="111"/>
      <c r="CQ39572" s="111"/>
      <c r="EF39572"/>
      <c r="EG39572"/>
      <c r="EH39572"/>
      <c r="EI39572"/>
      <c r="EJ39572"/>
      <c r="EK39572"/>
    </row>
    <row r="39573" spans="1:141" s="116" customFormat="1">
      <c r="A39573" s="136"/>
      <c r="CM39573" s="111"/>
      <c r="CQ39573" s="111"/>
      <c r="EF39573"/>
      <c r="EG39573"/>
      <c r="EH39573"/>
      <c r="EI39573"/>
      <c r="EJ39573"/>
      <c r="EK39573"/>
    </row>
    <row r="39574" spans="1:141" s="116" customFormat="1">
      <c r="A39574" s="136"/>
      <c r="CM39574" s="111"/>
      <c r="CQ39574" s="111"/>
      <c r="EF39574"/>
      <c r="EG39574"/>
      <c r="EH39574"/>
      <c r="EI39574"/>
      <c r="EJ39574"/>
      <c r="EK39574"/>
    </row>
    <row r="39575" spans="1:141" s="116" customFormat="1">
      <c r="A39575" s="136"/>
      <c r="CM39575" s="111"/>
      <c r="CQ39575" s="111"/>
      <c r="EF39575"/>
      <c r="EG39575"/>
      <c r="EH39575"/>
      <c r="EI39575"/>
      <c r="EJ39575"/>
      <c r="EK39575"/>
    </row>
    <row r="39576" spans="1:141" s="116" customFormat="1">
      <c r="A39576" s="136"/>
      <c r="CM39576" s="111"/>
      <c r="CQ39576" s="111"/>
      <c r="EF39576"/>
      <c r="EG39576"/>
      <c r="EH39576"/>
      <c r="EI39576"/>
      <c r="EJ39576"/>
      <c r="EK39576"/>
    </row>
    <row r="39577" spans="1:141" s="116" customFormat="1">
      <c r="A39577" s="136"/>
      <c r="CM39577" s="111"/>
      <c r="CQ39577" s="111"/>
      <c r="EF39577"/>
      <c r="EG39577"/>
      <c r="EH39577"/>
      <c r="EI39577"/>
      <c r="EJ39577"/>
      <c r="EK39577"/>
    </row>
    <row r="39578" spans="1:141" s="116" customFormat="1">
      <c r="A39578" s="136"/>
      <c r="CM39578" s="111"/>
      <c r="CQ39578" s="111"/>
      <c r="EF39578"/>
      <c r="EG39578"/>
      <c r="EH39578"/>
      <c r="EI39578"/>
      <c r="EJ39578"/>
      <c r="EK39578"/>
    </row>
    <row r="39579" spans="1:141" s="116" customFormat="1">
      <c r="A39579" s="136"/>
      <c r="CM39579" s="111"/>
      <c r="CQ39579" s="111"/>
      <c r="EF39579"/>
      <c r="EG39579"/>
      <c r="EH39579"/>
      <c r="EI39579"/>
      <c r="EJ39579"/>
      <c r="EK39579"/>
    </row>
    <row r="39580" spans="1:141" s="116" customFormat="1">
      <c r="A39580" s="136"/>
      <c r="CM39580" s="111"/>
      <c r="CQ39580" s="111"/>
      <c r="EF39580"/>
      <c r="EG39580"/>
      <c r="EH39580"/>
      <c r="EI39580"/>
      <c r="EJ39580"/>
      <c r="EK39580"/>
    </row>
    <row r="39581" spans="1:141" s="116" customFormat="1">
      <c r="A39581" s="136"/>
      <c r="CM39581" s="111"/>
      <c r="CQ39581" s="111"/>
      <c r="EF39581"/>
      <c r="EG39581"/>
      <c r="EH39581"/>
      <c r="EI39581"/>
      <c r="EJ39581"/>
      <c r="EK39581"/>
    </row>
    <row r="39582" spans="1:141" s="116" customFormat="1">
      <c r="A39582" s="136"/>
      <c r="CM39582" s="111"/>
      <c r="CQ39582" s="111"/>
      <c r="EF39582"/>
      <c r="EG39582"/>
      <c r="EH39582"/>
      <c r="EI39582"/>
      <c r="EJ39582"/>
      <c r="EK39582"/>
    </row>
    <row r="39583" spans="1:141" s="116" customFormat="1">
      <c r="A39583" s="136"/>
      <c r="CM39583" s="111"/>
      <c r="CQ39583" s="111"/>
      <c r="EF39583"/>
      <c r="EG39583"/>
      <c r="EH39583"/>
      <c r="EI39583"/>
      <c r="EJ39583"/>
      <c r="EK39583"/>
    </row>
    <row r="39584" spans="1:141" s="116" customFormat="1">
      <c r="A39584" s="136"/>
      <c r="CM39584" s="111"/>
      <c r="CQ39584" s="111"/>
      <c r="EF39584"/>
      <c r="EG39584"/>
      <c r="EH39584"/>
      <c r="EI39584"/>
      <c r="EJ39584"/>
      <c r="EK39584"/>
    </row>
    <row r="39585" spans="1:141" s="116" customFormat="1">
      <c r="A39585" s="136"/>
      <c r="CM39585" s="111"/>
      <c r="CQ39585" s="111"/>
      <c r="EF39585"/>
      <c r="EG39585"/>
      <c r="EH39585"/>
      <c r="EI39585"/>
      <c r="EJ39585"/>
      <c r="EK39585"/>
    </row>
    <row r="39586" spans="1:141" s="116" customFormat="1">
      <c r="A39586" s="136"/>
      <c r="CM39586" s="111"/>
      <c r="CQ39586" s="111"/>
      <c r="EF39586"/>
      <c r="EG39586"/>
      <c r="EH39586"/>
      <c r="EI39586"/>
      <c r="EJ39586"/>
      <c r="EK39586"/>
    </row>
    <row r="39587" spans="1:141" s="116" customFormat="1">
      <c r="A39587" s="136"/>
      <c r="CM39587" s="111"/>
      <c r="CQ39587" s="111"/>
      <c r="EF39587"/>
      <c r="EG39587"/>
      <c r="EH39587"/>
      <c r="EI39587"/>
      <c r="EJ39587"/>
      <c r="EK39587"/>
    </row>
    <row r="39588" spans="1:141" s="116" customFormat="1">
      <c r="A39588" s="136"/>
      <c r="CM39588" s="111"/>
      <c r="CQ39588" s="111"/>
      <c r="EF39588"/>
      <c r="EG39588"/>
      <c r="EH39588"/>
      <c r="EI39588"/>
      <c r="EJ39588"/>
      <c r="EK39588"/>
    </row>
    <row r="39589" spans="1:141" s="116" customFormat="1">
      <c r="A39589" s="136"/>
      <c r="CM39589" s="111"/>
      <c r="CQ39589" s="111"/>
      <c r="EF39589"/>
      <c r="EG39589"/>
      <c r="EH39589"/>
      <c r="EI39589"/>
      <c r="EJ39589"/>
      <c r="EK39589"/>
    </row>
    <row r="39590" spans="1:141" s="116" customFormat="1">
      <c r="A39590" s="136"/>
      <c r="CM39590" s="111"/>
      <c r="CQ39590" s="111"/>
      <c r="EF39590"/>
      <c r="EG39590"/>
      <c r="EH39590"/>
      <c r="EI39590"/>
      <c r="EJ39590"/>
      <c r="EK39590"/>
    </row>
    <row r="39591" spans="1:141" s="116" customFormat="1">
      <c r="A39591" s="136"/>
      <c r="CM39591" s="111"/>
      <c r="CQ39591" s="111"/>
      <c r="EF39591"/>
      <c r="EG39591"/>
      <c r="EH39591"/>
      <c r="EI39591"/>
      <c r="EJ39591"/>
      <c r="EK39591"/>
    </row>
    <row r="39592" spans="1:141" s="116" customFormat="1">
      <c r="A39592" s="136"/>
      <c r="CM39592" s="111"/>
      <c r="CQ39592" s="111"/>
      <c r="EF39592"/>
      <c r="EG39592"/>
      <c r="EH39592"/>
      <c r="EI39592"/>
      <c r="EJ39592"/>
      <c r="EK39592"/>
    </row>
    <row r="39593" spans="1:141" s="116" customFormat="1">
      <c r="A39593" s="136"/>
      <c r="CM39593" s="111"/>
      <c r="CQ39593" s="111"/>
      <c r="EF39593"/>
      <c r="EG39593"/>
      <c r="EH39593"/>
      <c r="EI39593"/>
      <c r="EJ39593"/>
      <c r="EK39593"/>
    </row>
    <row r="39594" spans="1:141" s="116" customFormat="1">
      <c r="A39594" s="136"/>
      <c r="CM39594" s="111"/>
      <c r="CQ39594" s="111"/>
      <c r="EF39594"/>
      <c r="EG39594"/>
      <c r="EH39594"/>
      <c r="EI39594"/>
      <c r="EJ39594"/>
      <c r="EK39594"/>
    </row>
    <row r="39595" spans="1:141" s="116" customFormat="1">
      <c r="A39595" s="136"/>
      <c r="CM39595" s="111"/>
      <c r="CQ39595" s="111"/>
      <c r="EF39595"/>
      <c r="EG39595"/>
      <c r="EH39595"/>
      <c r="EI39595"/>
      <c r="EJ39595"/>
      <c r="EK39595"/>
    </row>
    <row r="39596" spans="1:141" s="116" customFormat="1">
      <c r="A39596" s="136"/>
      <c r="CM39596" s="111"/>
      <c r="CQ39596" s="111"/>
      <c r="EF39596"/>
      <c r="EG39596"/>
      <c r="EH39596"/>
      <c r="EI39596"/>
      <c r="EJ39596"/>
      <c r="EK39596"/>
    </row>
    <row r="39597" spans="1:141" s="116" customFormat="1">
      <c r="A39597" s="136"/>
      <c r="CM39597" s="111"/>
      <c r="CQ39597" s="111"/>
      <c r="EF39597"/>
      <c r="EG39597"/>
      <c r="EH39597"/>
      <c r="EI39597"/>
      <c r="EJ39597"/>
      <c r="EK39597"/>
    </row>
    <row r="39598" spans="1:141" s="116" customFormat="1">
      <c r="A39598" s="136"/>
      <c r="CM39598" s="111"/>
      <c r="CQ39598" s="111"/>
      <c r="EF39598"/>
      <c r="EG39598"/>
      <c r="EH39598"/>
      <c r="EI39598"/>
      <c r="EJ39598"/>
      <c r="EK39598"/>
    </row>
    <row r="39599" spans="1:141" s="116" customFormat="1">
      <c r="A39599" s="136"/>
      <c r="CM39599" s="111"/>
      <c r="CQ39599" s="111"/>
      <c r="EF39599"/>
      <c r="EG39599"/>
      <c r="EH39599"/>
      <c r="EI39599"/>
      <c r="EJ39599"/>
      <c r="EK39599"/>
    </row>
    <row r="39600" spans="1:141" s="116" customFormat="1">
      <c r="A39600" s="136"/>
      <c r="CM39600" s="111"/>
      <c r="CQ39600" s="111"/>
      <c r="EF39600"/>
      <c r="EG39600"/>
      <c r="EH39600"/>
      <c r="EI39600"/>
      <c r="EJ39600"/>
      <c r="EK39600"/>
    </row>
    <row r="39601" spans="1:141" s="116" customFormat="1">
      <c r="A39601" s="136"/>
      <c r="CM39601" s="111"/>
      <c r="CQ39601" s="111"/>
      <c r="EF39601"/>
      <c r="EG39601"/>
      <c r="EH39601"/>
      <c r="EI39601"/>
      <c r="EJ39601"/>
      <c r="EK39601"/>
    </row>
    <row r="39602" spans="1:141" s="116" customFormat="1">
      <c r="A39602" s="136"/>
      <c r="CM39602" s="111"/>
      <c r="CQ39602" s="111"/>
      <c r="EF39602"/>
      <c r="EG39602"/>
      <c r="EH39602"/>
      <c r="EI39602"/>
      <c r="EJ39602"/>
      <c r="EK39602"/>
    </row>
    <row r="39603" spans="1:141" s="116" customFormat="1">
      <c r="A39603" s="136"/>
      <c r="CM39603" s="111"/>
      <c r="CQ39603" s="111"/>
      <c r="EF39603"/>
      <c r="EG39603"/>
      <c r="EH39603"/>
      <c r="EI39603"/>
      <c r="EJ39603"/>
      <c r="EK39603"/>
    </row>
    <row r="39604" spans="1:141" s="116" customFormat="1">
      <c r="A39604" s="136"/>
      <c r="CM39604" s="111"/>
      <c r="CQ39604" s="111"/>
      <c r="EF39604"/>
      <c r="EG39604"/>
      <c r="EH39604"/>
      <c r="EI39604"/>
      <c r="EJ39604"/>
      <c r="EK39604"/>
    </row>
    <row r="39605" spans="1:141" s="116" customFormat="1">
      <c r="A39605" s="136"/>
      <c r="CM39605" s="111"/>
      <c r="CQ39605" s="111"/>
      <c r="EF39605"/>
      <c r="EG39605"/>
      <c r="EH39605"/>
      <c r="EI39605"/>
      <c r="EJ39605"/>
      <c r="EK39605"/>
    </row>
    <row r="39606" spans="1:141" s="116" customFormat="1">
      <c r="A39606" s="136"/>
      <c r="CM39606" s="111"/>
      <c r="CQ39606" s="111"/>
      <c r="EF39606"/>
      <c r="EG39606"/>
      <c r="EH39606"/>
      <c r="EI39606"/>
      <c r="EJ39606"/>
      <c r="EK39606"/>
    </row>
    <row r="39607" spans="1:141" s="116" customFormat="1">
      <c r="A39607" s="136"/>
      <c r="CM39607" s="111"/>
      <c r="CQ39607" s="111"/>
      <c r="EF39607"/>
      <c r="EG39607"/>
      <c r="EH39607"/>
      <c r="EI39607"/>
      <c r="EJ39607"/>
      <c r="EK39607"/>
    </row>
    <row r="39608" spans="1:141" s="116" customFormat="1">
      <c r="A39608" s="136"/>
      <c r="CM39608" s="111"/>
      <c r="CQ39608" s="111"/>
      <c r="EF39608"/>
      <c r="EG39608"/>
      <c r="EH39608"/>
      <c r="EI39608"/>
      <c r="EJ39608"/>
      <c r="EK39608"/>
    </row>
    <row r="39609" spans="1:141" s="116" customFormat="1">
      <c r="A39609" s="136"/>
      <c r="CM39609" s="111"/>
      <c r="CQ39609" s="111"/>
      <c r="EF39609"/>
      <c r="EG39609"/>
      <c r="EH39609"/>
      <c r="EI39609"/>
      <c r="EJ39609"/>
      <c r="EK39609"/>
    </row>
    <row r="39610" spans="1:141" s="116" customFormat="1">
      <c r="A39610" s="136"/>
      <c r="CM39610" s="111"/>
      <c r="CQ39610" s="111"/>
      <c r="EF39610"/>
      <c r="EG39610"/>
      <c r="EH39610"/>
      <c r="EI39610"/>
      <c r="EJ39610"/>
      <c r="EK39610"/>
    </row>
    <row r="39611" spans="1:141" s="116" customFormat="1">
      <c r="A39611" s="136"/>
      <c r="CM39611" s="111"/>
      <c r="CQ39611" s="111"/>
      <c r="EF39611"/>
      <c r="EG39611"/>
      <c r="EH39611"/>
      <c r="EI39611"/>
      <c r="EJ39611"/>
      <c r="EK39611"/>
    </row>
    <row r="39612" spans="1:141" s="116" customFormat="1">
      <c r="A39612" s="136"/>
      <c r="CM39612" s="111"/>
      <c r="CQ39612" s="111"/>
      <c r="EF39612"/>
      <c r="EG39612"/>
      <c r="EH39612"/>
      <c r="EI39612"/>
      <c r="EJ39612"/>
      <c r="EK39612"/>
    </row>
    <row r="39613" spans="1:141" s="116" customFormat="1">
      <c r="A39613" s="136"/>
      <c r="CM39613" s="111"/>
      <c r="CQ39613" s="111"/>
      <c r="EF39613"/>
      <c r="EG39613"/>
      <c r="EH39613"/>
      <c r="EI39613"/>
      <c r="EJ39613"/>
      <c r="EK39613"/>
    </row>
    <row r="39614" spans="1:141" s="116" customFormat="1">
      <c r="A39614" s="136"/>
      <c r="CM39614" s="111"/>
      <c r="CQ39614" s="111"/>
      <c r="EF39614"/>
      <c r="EG39614"/>
      <c r="EH39614"/>
      <c r="EI39614"/>
      <c r="EJ39614"/>
      <c r="EK39614"/>
    </row>
    <row r="39615" spans="1:141" s="116" customFormat="1">
      <c r="A39615" s="136"/>
      <c r="CM39615" s="111"/>
      <c r="CQ39615" s="111"/>
      <c r="EF39615"/>
      <c r="EG39615"/>
      <c r="EH39615"/>
      <c r="EI39615"/>
      <c r="EJ39615"/>
      <c r="EK39615"/>
    </row>
    <row r="39616" spans="1:141" s="116" customFormat="1">
      <c r="A39616" s="136"/>
      <c r="CM39616" s="111"/>
      <c r="CQ39616" s="111"/>
      <c r="EF39616"/>
      <c r="EG39616"/>
      <c r="EH39616"/>
      <c r="EI39616"/>
      <c r="EJ39616"/>
      <c r="EK39616"/>
    </row>
    <row r="39617" spans="1:141" s="116" customFormat="1">
      <c r="A39617" s="136"/>
      <c r="CM39617" s="111"/>
      <c r="CQ39617" s="111"/>
      <c r="EF39617"/>
      <c r="EG39617"/>
      <c r="EH39617"/>
      <c r="EI39617"/>
      <c r="EJ39617"/>
      <c r="EK39617"/>
    </row>
    <row r="39618" spans="1:141" s="116" customFormat="1">
      <c r="A39618" s="136"/>
      <c r="CM39618" s="111"/>
      <c r="CQ39618" s="111"/>
      <c r="EF39618"/>
      <c r="EG39618"/>
      <c r="EH39618"/>
      <c r="EI39618"/>
      <c r="EJ39618"/>
      <c r="EK39618"/>
    </row>
    <row r="39619" spans="1:141" s="116" customFormat="1">
      <c r="A39619" s="136"/>
      <c r="CM39619" s="111"/>
      <c r="CQ39619" s="111"/>
      <c r="EF39619"/>
      <c r="EG39619"/>
      <c r="EH39619"/>
      <c r="EI39619"/>
      <c r="EJ39619"/>
      <c r="EK39619"/>
    </row>
    <row r="39620" spans="1:141" s="116" customFormat="1">
      <c r="A39620" s="136"/>
      <c r="CM39620" s="111"/>
      <c r="CQ39620" s="111"/>
      <c r="EF39620"/>
      <c r="EG39620"/>
      <c r="EH39620"/>
      <c r="EI39620"/>
      <c r="EJ39620"/>
      <c r="EK39620"/>
    </row>
    <row r="39621" spans="1:141" s="116" customFormat="1">
      <c r="A39621" s="136"/>
      <c r="CM39621" s="111"/>
      <c r="CQ39621" s="111"/>
      <c r="EF39621"/>
      <c r="EG39621"/>
      <c r="EH39621"/>
      <c r="EI39621"/>
      <c r="EJ39621"/>
      <c r="EK39621"/>
    </row>
    <row r="39622" spans="1:141" s="116" customFormat="1">
      <c r="A39622" s="136"/>
      <c r="CM39622" s="111"/>
      <c r="CQ39622" s="111"/>
      <c r="EF39622"/>
      <c r="EG39622"/>
      <c r="EH39622"/>
      <c r="EI39622"/>
      <c r="EJ39622"/>
      <c r="EK39622"/>
    </row>
    <row r="39623" spans="1:141" s="116" customFormat="1">
      <c r="A39623" s="136"/>
      <c r="CM39623" s="111"/>
      <c r="CQ39623" s="111"/>
      <c r="EF39623"/>
      <c r="EG39623"/>
      <c r="EH39623"/>
      <c r="EI39623"/>
      <c r="EJ39623"/>
      <c r="EK39623"/>
    </row>
    <row r="39624" spans="1:141" s="116" customFormat="1">
      <c r="A39624" s="136"/>
      <c r="CM39624" s="111"/>
      <c r="CQ39624" s="111"/>
      <c r="EF39624"/>
      <c r="EG39624"/>
      <c r="EH39624"/>
      <c r="EI39624"/>
      <c r="EJ39624"/>
      <c r="EK39624"/>
    </row>
    <row r="39625" spans="1:141" s="116" customFormat="1">
      <c r="A39625" s="136"/>
      <c r="CM39625" s="111"/>
      <c r="CQ39625" s="111"/>
      <c r="EF39625"/>
      <c r="EG39625"/>
      <c r="EH39625"/>
      <c r="EI39625"/>
      <c r="EJ39625"/>
      <c r="EK39625"/>
    </row>
    <row r="39626" spans="1:141" s="116" customFormat="1">
      <c r="A39626" s="136"/>
      <c r="CM39626" s="111"/>
      <c r="CQ39626" s="111"/>
      <c r="EF39626"/>
      <c r="EG39626"/>
      <c r="EH39626"/>
      <c r="EI39626"/>
      <c r="EJ39626"/>
      <c r="EK39626"/>
    </row>
    <row r="39627" spans="1:141" s="116" customFormat="1">
      <c r="A39627" s="136"/>
      <c r="CM39627" s="111"/>
      <c r="CQ39627" s="111"/>
      <c r="EF39627"/>
      <c r="EG39627"/>
      <c r="EH39627"/>
      <c r="EI39627"/>
      <c r="EJ39627"/>
      <c r="EK39627"/>
    </row>
    <row r="39628" spans="1:141" s="116" customFormat="1">
      <c r="A39628" s="136"/>
      <c r="CM39628" s="111"/>
      <c r="CQ39628" s="111"/>
      <c r="EF39628"/>
      <c r="EG39628"/>
      <c r="EH39628"/>
      <c r="EI39628"/>
      <c r="EJ39628"/>
      <c r="EK39628"/>
    </row>
    <row r="39629" spans="1:141" s="116" customFormat="1">
      <c r="A39629" s="136"/>
      <c r="CM39629" s="111"/>
      <c r="CQ39629" s="111"/>
      <c r="EF39629"/>
      <c r="EG39629"/>
      <c r="EH39629"/>
      <c r="EI39629"/>
      <c r="EJ39629"/>
      <c r="EK39629"/>
    </row>
    <row r="39630" spans="1:141" s="116" customFormat="1">
      <c r="A39630" s="136"/>
      <c r="CM39630" s="111"/>
      <c r="CQ39630" s="111"/>
      <c r="EF39630"/>
      <c r="EG39630"/>
      <c r="EH39630"/>
      <c r="EI39630"/>
      <c r="EJ39630"/>
      <c r="EK39630"/>
    </row>
    <row r="39631" spans="1:141" s="116" customFormat="1">
      <c r="A39631" s="136"/>
      <c r="CM39631" s="111"/>
      <c r="CQ39631" s="111"/>
      <c r="EF39631"/>
      <c r="EG39631"/>
      <c r="EH39631"/>
      <c r="EI39631"/>
      <c r="EJ39631"/>
      <c r="EK39631"/>
    </row>
    <row r="39632" spans="1:141" s="116" customFormat="1">
      <c r="A39632" s="136"/>
      <c r="CM39632" s="111"/>
      <c r="CQ39632" s="111"/>
      <c r="EF39632"/>
      <c r="EG39632"/>
      <c r="EH39632"/>
      <c r="EI39632"/>
      <c r="EJ39632"/>
      <c r="EK39632"/>
    </row>
    <row r="39633" spans="1:141" s="116" customFormat="1">
      <c r="A39633" s="136"/>
      <c r="CM39633" s="111"/>
      <c r="CQ39633" s="111"/>
      <c r="EF39633"/>
      <c r="EG39633"/>
      <c r="EH39633"/>
      <c r="EI39633"/>
      <c r="EJ39633"/>
      <c r="EK39633"/>
    </row>
    <row r="39634" spans="1:141" s="116" customFormat="1">
      <c r="A39634" s="136"/>
      <c r="CM39634" s="111"/>
      <c r="CQ39634" s="111"/>
      <c r="EF39634"/>
      <c r="EG39634"/>
      <c r="EH39634"/>
      <c r="EI39634"/>
      <c r="EJ39634"/>
      <c r="EK39634"/>
    </row>
    <row r="39635" spans="1:141" s="116" customFormat="1">
      <c r="A39635" s="136"/>
      <c r="CM39635" s="111"/>
      <c r="CQ39635" s="111"/>
      <c r="EF39635"/>
      <c r="EG39635"/>
      <c r="EH39635"/>
      <c r="EI39635"/>
      <c r="EJ39635"/>
      <c r="EK39635"/>
    </row>
    <row r="39636" spans="1:141" s="116" customFormat="1">
      <c r="A39636" s="136"/>
      <c r="CM39636" s="111"/>
      <c r="CQ39636" s="111"/>
      <c r="EF39636"/>
      <c r="EG39636"/>
      <c r="EH39636"/>
      <c r="EI39636"/>
      <c r="EJ39636"/>
      <c r="EK39636"/>
    </row>
    <row r="39637" spans="1:141" s="116" customFormat="1">
      <c r="A39637" s="136"/>
      <c r="CM39637" s="111"/>
      <c r="CQ39637" s="111"/>
      <c r="EF39637"/>
      <c r="EG39637"/>
      <c r="EH39637"/>
      <c r="EI39637"/>
      <c r="EJ39637"/>
      <c r="EK39637"/>
    </row>
    <row r="39638" spans="1:141" s="116" customFormat="1">
      <c r="A39638" s="136"/>
      <c r="CM39638" s="111"/>
      <c r="CQ39638" s="111"/>
      <c r="EF39638"/>
      <c r="EG39638"/>
      <c r="EH39638"/>
      <c r="EI39638"/>
      <c r="EJ39638"/>
      <c r="EK39638"/>
    </row>
    <row r="39639" spans="1:141" s="116" customFormat="1">
      <c r="A39639" s="136"/>
      <c r="CM39639" s="111"/>
      <c r="CQ39639" s="111"/>
      <c r="EF39639"/>
      <c r="EG39639"/>
      <c r="EH39639"/>
      <c r="EI39639"/>
      <c r="EJ39639"/>
      <c r="EK39639"/>
    </row>
    <row r="39640" spans="1:141" s="116" customFormat="1">
      <c r="A39640" s="136"/>
      <c r="CM39640" s="111"/>
      <c r="CQ39640" s="111"/>
      <c r="EF39640"/>
      <c r="EG39640"/>
      <c r="EH39640"/>
      <c r="EI39640"/>
      <c r="EJ39640"/>
      <c r="EK39640"/>
    </row>
    <row r="39641" spans="1:141" s="116" customFormat="1">
      <c r="A39641" s="136"/>
      <c r="CM39641" s="111"/>
      <c r="CQ39641" s="111"/>
      <c r="EF39641"/>
      <c r="EG39641"/>
      <c r="EH39641"/>
      <c r="EI39641"/>
      <c r="EJ39641"/>
      <c r="EK39641"/>
    </row>
    <row r="39642" spans="1:141" s="116" customFormat="1">
      <c r="A39642" s="136"/>
      <c r="CM39642" s="111"/>
      <c r="CQ39642" s="111"/>
      <c r="EF39642"/>
      <c r="EG39642"/>
      <c r="EH39642"/>
      <c r="EI39642"/>
      <c r="EJ39642"/>
      <c r="EK39642"/>
    </row>
    <row r="39643" spans="1:141" s="116" customFormat="1">
      <c r="A39643" s="136"/>
      <c r="CM39643" s="111"/>
      <c r="CQ39643" s="111"/>
      <c r="EF39643"/>
      <c r="EG39643"/>
      <c r="EH39643"/>
      <c r="EI39643"/>
      <c r="EJ39643"/>
      <c r="EK39643"/>
    </row>
    <row r="39644" spans="1:141" s="116" customFormat="1">
      <c r="A39644" s="136"/>
      <c r="CM39644" s="111"/>
      <c r="CQ39644" s="111"/>
      <c r="EF39644"/>
      <c r="EG39644"/>
      <c r="EH39644"/>
      <c r="EI39644"/>
      <c r="EJ39644"/>
      <c r="EK39644"/>
    </row>
    <row r="39645" spans="1:141" s="116" customFormat="1">
      <c r="A39645" s="136"/>
      <c r="CM39645" s="111"/>
      <c r="CQ39645" s="111"/>
      <c r="EF39645"/>
      <c r="EG39645"/>
      <c r="EH39645"/>
      <c r="EI39645"/>
      <c r="EJ39645"/>
      <c r="EK39645"/>
    </row>
    <row r="39646" spans="1:141" s="116" customFormat="1">
      <c r="A39646" s="136"/>
      <c r="CM39646" s="111"/>
      <c r="CQ39646" s="111"/>
      <c r="EF39646"/>
      <c r="EG39646"/>
      <c r="EH39646"/>
      <c r="EI39646"/>
      <c r="EJ39646"/>
      <c r="EK39646"/>
    </row>
    <row r="39647" spans="1:141" s="116" customFormat="1">
      <c r="A39647" s="136"/>
      <c r="CM39647" s="111"/>
      <c r="CQ39647" s="111"/>
      <c r="EF39647"/>
      <c r="EG39647"/>
      <c r="EH39647"/>
      <c r="EI39647"/>
      <c r="EJ39647"/>
      <c r="EK39647"/>
    </row>
    <row r="39648" spans="1:141" s="116" customFormat="1">
      <c r="A39648" s="136"/>
      <c r="CM39648" s="111"/>
      <c r="CQ39648" s="111"/>
      <c r="EF39648"/>
      <c r="EG39648"/>
      <c r="EH39648"/>
      <c r="EI39648"/>
      <c r="EJ39648"/>
      <c r="EK39648"/>
    </row>
    <row r="39649" spans="1:141" s="116" customFormat="1">
      <c r="A39649" s="136"/>
      <c r="CM39649" s="111"/>
      <c r="CQ39649" s="111"/>
      <c r="EF39649"/>
      <c r="EG39649"/>
      <c r="EH39649"/>
      <c r="EI39649"/>
      <c r="EJ39649"/>
      <c r="EK39649"/>
    </row>
    <row r="39650" spans="1:141" s="116" customFormat="1">
      <c r="A39650" s="136"/>
      <c r="CM39650" s="111"/>
      <c r="CQ39650" s="111"/>
      <c r="EF39650"/>
      <c r="EG39650"/>
      <c r="EH39650"/>
      <c r="EI39650"/>
      <c r="EJ39650"/>
      <c r="EK39650"/>
    </row>
    <row r="39651" spans="1:141" s="116" customFormat="1">
      <c r="A39651" s="136"/>
      <c r="CM39651" s="111"/>
      <c r="CQ39651" s="111"/>
      <c r="EF39651"/>
      <c r="EG39651"/>
      <c r="EH39651"/>
      <c r="EI39651"/>
      <c r="EJ39651"/>
      <c r="EK39651"/>
    </row>
    <row r="39652" spans="1:141" s="116" customFormat="1">
      <c r="A39652" s="136"/>
      <c r="CM39652" s="111"/>
      <c r="CQ39652" s="111"/>
      <c r="EF39652"/>
      <c r="EG39652"/>
      <c r="EH39652"/>
      <c r="EI39652"/>
      <c r="EJ39652"/>
      <c r="EK39652"/>
    </row>
    <row r="39653" spans="1:141" s="116" customFormat="1">
      <c r="A39653" s="136"/>
      <c r="CM39653" s="111"/>
      <c r="CQ39653" s="111"/>
      <c r="EF39653"/>
      <c r="EG39653"/>
      <c r="EH39653"/>
      <c r="EI39653"/>
      <c r="EJ39653"/>
      <c r="EK39653"/>
    </row>
    <row r="39654" spans="1:141" s="116" customFormat="1">
      <c r="A39654" s="136"/>
      <c r="CM39654" s="111"/>
      <c r="CQ39654" s="111"/>
      <c r="EF39654"/>
      <c r="EG39654"/>
      <c r="EH39654"/>
      <c r="EI39654"/>
      <c r="EJ39654"/>
      <c r="EK39654"/>
    </row>
    <row r="39655" spans="1:141" s="116" customFormat="1">
      <c r="A39655" s="136"/>
      <c r="CM39655" s="111"/>
      <c r="CQ39655" s="111"/>
      <c r="EF39655"/>
      <c r="EG39655"/>
      <c r="EH39655"/>
      <c r="EI39655"/>
      <c r="EJ39655"/>
      <c r="EK39655"/>
    </row>
    <row r="39656" spans="1:141" s="116" customFormat="1">
      <c r="A39656" s="136"/>
      <c r="CM39656" s="111"/>
      <c r="CQ39656" s="111"/>
      <c r="EF39656"/>
      <c r="EG39656"/>
      <c r="EH39656"/>
      <c r="EI39656"/>
      <c r="EJ39656"/>
      <c r="EK39656"/>
    </row>
    <row r="39657" spans="1:141" s="116" customFormat="1">
      <c r="A39657" s="136"/>
      <c r="CM39657" s="111"/>
      <c r="CQ39657" s="111"/>
      <c r="EF39657"/>
      <c r="EG39657"/>
      <c r="EH39657"/>
      <c r="EI39657"/>
      <c r="EJ39657"/>
      <c r="EK39657"/>
    </row>
    <row r="39658" spans="1:141" s="116" customFormat="1">
      <c r="A39658" s="136"/>
      <c r="CM39658" s="111"/>
      <c r="CQ39658" s="111"/>
      <c r="EF39658"/>
      <c r="EG39658"/>
      <c r="EH39658"/>
      <c r="EI39658"/>
      <c r="EJ39658"/>
      <c r="EK39658"/>
    </row>
    <row r="39659" spans="1:141" s="116" customFormat="1">
      <c r="A39659" s="136"/>
      <c r="CM39659" s="111"/>
      <c r="CQ39659" s="111"/>
      <c r="EF39659"/>
      <c r="EG39659"/>
      <c r="EH39659"/>
      <c r="EI39659"/>
      <c r="EJ39659"/>
      <c r="EK39659"/>
    </row>
    <row r="39660" spans="1:141" s="116" customFormat="1">
      <c r="A39660" s="136"/>
      <c r="CM39660" s="111"/>
      <c r="CQ39660" s="111"/>
      <c r="EF39660"/>
      <c r="EG39660"/>
      <c r="EH39660"/>
      <c r="EI39660"/>
      <c r="EJ39660"/>
      <c r="EK39660"/>
    </row>
    <row r="39661" spans="1:141" s="116" customFormat="1">
      <c r="A39661" s="136"/>
      <c r="CM39661" s="111"/>
      <c r="CQ39661" s="111"/>
      <c r="EF39661"/>
      <c r="EG39661"/>
      <c r="EH39661"/>
      <c r="EI39661"/>
      <c r="EJ39661"/>
      <c r="EK39661"/>
    </row>
    <row r="39662" spans="1:141" s="116" customFormat="1">
      <c r="A39662" s="136"/>
      <c r="CM39662" s="111"/>
      <c r="CQ39662" s="111"/>
      <c r="EF39662"/>
      <c r="EG39662"/>
      <c r="EH39662"/>
      <c r="EI39662"/>
      <c r="EJ39662"/>
      <c r="EK39662"/>
    </row>
    <row r="39663" spans="1:141" s="116" customFormat="1">
      <c r="A39663" s="136"/>
      <c r="CM39663" s="111"/>
      <c r="CQ39663" s="111"/>
      <c r="EF39663"/>
      <c r="EG39663"/>
      <c r="EH39663"/>
      <c r="EI39663"/>
      <c r="EJ39663"/>
      <c r="EK39663"/>
    </row>
    <row r="39664" spans="1:141" s="116" customFormat="1">
      <c r="A39664" s="136"/>
      <c r="CM39664" s="111"/>
      <c r="CQ39664" s="111"/>
      <c r="EF39664"/>
      <c r="EG39664"/>
      <c r="EH39664"/>
      <c r="EI39664"/>
      <c r="EJ39664"/>
      <c r="EK39664"/>
    </row>
    <row r="39665" spans="1:141" s="116" customFormat="1">
      <c r="A39665" s="136"/>
      <c r="CM39665" s="111"/>
      <c r="CQ39665" s="111"/>
      <c r="EF39665"/>
      <c r="EG39665"/>
      <c r="EH39665"/>
      <c r="EI39665"/>
      <c r="EJ39665"/>
      <c r="EK39665"/>
    </row>
    <row r="39666" spans="1:141" s="116" customFormat="1">
      <c r="A39666" s="136"/>
      <c r="CM39666" s="111"/>
      <c r="CQ39666" s="111"/>
      <c r="EF39666"/>
      <c r="EG39666"/>
      <c r="EH39666"/>
      <c r="EI39666"/>
      <c r="EJ39666"/>
      <c r="EK39666"/>
    </row>
    <row r="39667" spans="1:141" s="116" customFormat="1">
      <c r="A39667" s="136"/>
      <c r="CM39667" s="111"/>
      <c r="CQ39667" s="111"/>
      <c r="EF39667"/>
      <c r="EG39667"/>
      <c r="EH39667"/>
      <c r="EI39667"/>
      <c r="EJ39667"/>
      <c r="EK39667"/>
    </row>
    <row r="39668" spans="1:141" s="116" customFormat="1">
      <c r="A39668" s="136"/>
      <c r="CM39668" s="111"/>
      <c r="CQ39668" s="111"/>
      <c r="EF39668"/>
      <c r="EG39668"/>
      <c r="EH39668"/>
      <c r="EI39668"/>
      <c r="EJ39668"/>
      <c r="EK39668"/>
    </row>
    <row r="39669" spans="1:141" s="116" customFormat="1">
      <c r="A39669" s="136"/>
      <c r="CM39669" s="111"/>
      <c r="CQ39669" s="111"/>
      <c r="EF39669"/>
      <c r="EG39669"/>
      <c r="EH39669"/>
      <c r="EI39669"/>
      <c r="EJ39669"/>
      <c r="EK39669"/>
    </row>
    <row r="39670" spans="1:141" s="116" customFormat="1">
      <c r="A39670" s="136"/>
      <c r="CM39670" s="111"/>
      <c r="CQ39670" s="111"/>
      <c r="EF39670"/>
      <c r="EG39670"/>
      <c r="EH39670"/>
      <c r="EI39670"/>
      <c r="EJ39670"/>
      <c r="EK39670"/>
    </row>
    <row r="39671" spans="1:141" s="116" customFormat="1">
      <c r="A39671" s="136"/>
      <c r="CM39671" s="111"/>
      <c r="CQ39671" s="111"/>
      <c r="EF39671"/>
      <c r="EG39671"/>
      <c r="EH39671"/>
      <c r="EI39671"/>
      <c r="EJ39671"/>
      <c r="EK39671"/>
    </row>
    <row r="39672" spans="1:141" s="116" customFormat="1">
      <c r="A39672" s="136"/>
      <c r="CM39672" s="111"/>
      <c r="CQ39672" s="111"/>
      <c r="EF39672"/>
      <c r="EG39672"/>
      <c r="EH39672"/>
      <c r="EI39672"/>
      <c r="EJ39672"/>
      <c r="EK39672"/>
    </row>
    <row r="39673" spans="1:141" s="116" customFormat="1">
      <c r="A39673" s="136"/>
      <c r="CM39673" s="111"/>
      <c r="CQ39673" s="111"/>
      <c r="EF39673"/>
      <c r="EG39673"/>
      <c r="EH39673"/>
      <c r="EI39673"/>
      <c r="EJ39673"/>
      <c r="EK39673"/>
    </row>
    <row r="39674" spans="1:141" s="116" customFormat="1">
      <c r="A39674" s="136"/>
      <c r="CM39674" s="111"/>
      <c r="CQ39674" s="111"/>
      <c r="EF39674"/>
      <c r="EG39674"/>
      <c r="EH39674"/>
      <c r="EI39674"/>
      <c r="EJ39674"/>
      <c r="EK39674"/>
    </row>
    <row r="39675" spans="1:141" s="116" customFormat="1">
      <c r="A39675" s="136"/>
      <c r="CM39675" s="111"/>
      <c r="CQ39675" s="111"/>
      <c r="EF39675"/>
      <c r="EG39675"/>
      <c r="EH39675"/>
      <c r="EI39675"/>
      <c r="EJ39675"/>
      <c r="EK39675"/>
    </row>
    <row r="39676" spans="1:141" s="116" customFormat="1">
      <c r="A39676" s="136"/>
      <c r="CM39676" s="111"/>
      <c r="CQ39676" s="111"/>
      <c r="EF39676"/>
      <c r="EG39676"/>
      <c r="EH39676"/>
      <c r="EI39676"/>
      <c r="EJ39676"/>
      <c r="EK39676"/>
    </row>
    <row r="39677" spans="1:141" s="116" customFormat="1">
      <c r="A39677" s="136"/>
      <c r="CM39677" s="111"/>
      <c r="CQ39677" s="111"/>
      <c r="EF39677"/>
      <c r="EG39677"/>
      <c r="EH39677"/>
      <c r="EI39677"/>
      <c r="EJ39677"/>
      <c r="EK39677"/>
    </row>
    <row r="39678" spans="1:141" s="116" customFormat="1">
      <c r="A39678" s="136"/>
      <c r="CM39678" s="111"/>
      <c r="CQ39678" s="111"/>
      <c r="EF39678"/>
      <c r="EG39678"/>
      <c r="EH39678"/>
      <c r="EI39678"/>
      <c r="EJ39678"/>
      <c r="EK39678"/>
    </row>
    <row r="39679" spans="1:141" s="116" customFormat="1">
      <c r="A39679" s="136"/>
      <c r="CM39679" s="111"/>
      <c r="CQ39679" s="111"/>
      <c r="EF39679"/>
      <c r="EG39679"/>
      <c r="EH39679"/>
      <c r="EI39679"/>
      <c r="EJ39679"/>
      <c r="EK39679"/>
    </row>
    <row r="39680" spans="1:141" s="116" customFormat="1">
      <c r="A39680" s="136"/>
      <c r="CM39680" s="111"/>
      <c r="CQ39680" s="111"/>
      <c r="EF39680"/>
      <c r="EG39680"/>
      <c r="EH39680"/>
      <c r="EI39680"/>
      <c r="EJ39680"/>
      <c r="EK39680"/>
    </row>
    <row r="39681" spans="1:141" s="116" customFormat="1">
      <c r="A39681" s="136"/>
      <c r="CM39681" s="111"/>
      <c r="CQ39681" s="111"/>
      <c r="EF39681"/>
      <c r="EG39681"/>
      <c r="EH39681"/>
      <c r="EI39681"/>
      <c r="EJ39681"/>
      <c r="EK39681"/>
    </row>
    <row r="39682" spans="1:141" s="116" customFormat="1">
      <c r="A39682" s="136"/>
      <c r="CM39682" s="111"/>
      <c r="CQ39682" s="111"/>
      <c r="EF39682"/>
      <c r="EG39682"/>
      <c r="EH39682"/>
      <c r="EI39682"/>
      <c r="EJ39682"/>
      <c r="EK39682"/>
    </row>
    <row r="39683" spans="1:141" s="116" customFormat="1">
      <c r="A39683" s="136"/>
      <c r="CM39683" s="111"/>
      <c r="CQ39683" s="111"/>
      <c r="EF39683"/>
      <c r="EG39683"/>
      <c r="EH39683"/>
      <c r="EI39683"/>
      <c r="EJ39683"/>
      <c r="EK39683"/>
    </row>
    <row r="39684" spans="1:141" s="116" customFormat="1">
      <c r="A39684" s="136"/>
      <c r="CM39684" s="111"/>
      <c r="CQ39684" s="111"/>
      <c r="EF39684"/>
      <c r="EG39684"/>
      <c r="EH39684"/>
      <c r="EI39684"/>
      <c r="EJ39684"/>
      <c r="EK39684"/>
    </row>
    <row r="39685" spans="1:141" s="116" customFormat="1">
      <c r="A39685" s="136"/>
      <c r="CM39685" s="111"/>
      <c r="CQ39685" s="111"/>
      <c r="EF39685"/>
      <c r="EG39685"/>
      <c r="EH39685"/>
      <c r="EI39685"/>
      <c r="EJ39685"/>
      <c r="EK39685"/>
    </row>
    <row r="39686" spans="1:141" s="116" customFormat="1">
      <c r="A39686" s="136"/>
      <c r="CM39686" s="111"/>
      <c r="CQ39686" s="111"/>
      <c r="EF39686"/>
      <c r="EG39686"/>
      <c r="EH39686"/>
      <c r="EI39686"/>
      <c r="EJ39686"/>
      <c r="EK39686"/>
    </row>
    <row r="39687" spans="1:141" s="116" customFormat="1">
      <c r="A39687" s="136"/>
      <c r="CM39687" s="111"/>
      <c r="CQ39687" s="111"/>
      <c r="EF39687"/>
      <c r="EG39687"/>
      <c r="EH39687"/>
      <c r="EI39687"/>
      <c r="EJ39687"/>
      <c r="EK39687"/>
    </row>
    <row r="39688" spans="1:141" s="116" customFormat="1">
      <c r="A39688" s="136"/>
      <c r="CM39688" s="111"/>
      <c r="CQ39688" s="111"/>
      <c r="EF39688"/>
      <c r="EG39688"/>
      <c r="EH39688"/>
      <c r="EI39688"/>
      <c r="EJ39688"/>
      <c r="EK39688"/>
    </row>
    <row r="39689" spans="1:141" s="116" customFormat="1">
      <c r="A39689" s="136"/>
      <c r="CM39689" s="111"/>
      <c r="CQ39689" s="111"/>
      <c r="EF39689"/>
      <c r="EG39689"/>
      <c r="EH39689"/>
      <c r="EI39689"/>
      <c r="EJ39689"/>
      <c r="EK39689"/>
    </row>
    <row r="39690" spans="1:141" s="116" customFormat="1">
      <c r="A39690" s="136"/>
      <c r="CM39690" s="111"/>
      <c r="CQ39690" s="111"/>
      <c r="EF39690"/>
      <c r="EG39690"/>
      <c r="EH39690"/>
      <c r="EI39690"/>
      <c r="EJ39690"/>
      <c r="EK39690"/>
    </row>
    <row r="39691" spans="1:141" s="116" customFormat="1">
      <c r="A39691" s="136"/>
      <c r="CM39691" s="111"/>
      <c r="CQ39691" s="111"/>
      <c r="EF39691"/>
      <c r="EG39691"/>
      <c r="EH39691"/>
      <c r="EI39691"/>
      <c r="EJ39691"/>
      <c r="EK39691"/>
    </row>
    <row r="39692" spans="1:141" s="116" customFormat="1">
      <c r="A39692" s="136"/>
      <c r="CM39692" s="111"/>
      <c r="CQ39692" s="111"/>
      <c r="EF39692"/>
      <c r="EG39692"/>
      <c r="EH39692"/>
      <c r="EI39692"/>
      <c r="EJ39692"/>
      <c r="EK39692"/>
    </row>
    <row r="39693" spans="1:141" s="116" customFormat="1">
      <c r="A39693" s="136"/>
      <c r="CM39693" s="111"/>
      <c r="CQ39693" s="111"/>
      <c r="EF39693"/>
      <c r="EG39693"/>
      <c r="EH39693"/>
      <c r="EI39693"/>
      <c r="EJ39693"/>
      <c r="EK39693"/>
    </row>
    <row r="39694" spans="1:141" s="116" customFormat="1">
      <c r="A39694" s="136"/>
      <c r="CM39694" s="111"/>
      <c r="CQ39694" s="111"/>
      <c r="EF39694"/>
      <c r="EG39694"/>
      <c r="EH39694"/>
      <c r="EI39694"/>
      <c r="EJ39694"/>
      <c r="EK39694"/>
    </row>
    <row r="39695" spans="1:141" s="116" customFormat="1">
      <c r="A39695" s="136"/>
      <c r="CM39695" s="111"/>
      <c r="CQ39695" s="111"/>
      <c r="EF39695"/>
      <c r="EG39695"/>
      <c r="EH39695"/>
      <c r="EI39695"/>
      <c r="EJ39695"/>
      <c r="EK39695"/>
    </row>
    <row r="39696" spans="1:141" s="116" customFormat="1">
      <c r="A39696" s="136"/>
      <c r="CM39696" s="111"/>
      <c r="CQ39696" s="111"/>
      <c r="EF39696"/>
      <c r="EG39696"/>
      <c r="EH39696"/>
      <c r="EI39696"/>
      <c r="EJ39696"/>
      <c r="EK39696"/>
    </row>
    <row r="39697" spans="1:141" s="116" customFormat="1">
      <c r="A39697" s="136"/>
      <c r="CM39697" s="111"/>
      <c r="CQ39697" s="111"/>
      <c r="EF39697"/>
      <c r="EG39697"/>
      <c r="EH39697"/>
      <c r="EI39697"/>
      <c r="EJ39697"/>
      <c r="EK39697"/>
    </row>
    <row r="39698" spans="1:141" s="116" customFormat="1">
      <c r="A39698" s="136"/>
      <c r="CM39698" s="111"/>
      <c r="CQ39698" s="111"/>
      <c r="EF39698"/>
      <c r="EG39698"/>
      <c r="EH39698"/>
      <c r="EI39698"/>
      <c r="EJ39698"/>
      <c r="EK39698"/>
    </row>
    <row r="39699" spans="1:141" s="116" customFormat="1">
      <c r="A39699" s="136"/>
      <c r="CM39699" s="111"/>
      <c r="CQ39699" s="111"/>
      <c r="EF39699"/>
      <c r="EG39699"/>
      <c r="EH39699"/>
      <c r="EI39699"/>
      <c r="EJ39699"/>
      <c r="EK39699"/>
    </row>
    <row r="39700" spans="1:141" s="116" customFormat="1">
      <c r="A39700" s="136"/>
      <c r="CM39700" s="111"/>
      <c r="CQ39700" s="111"/>
      <c r="EF39700"/>
      <c r="EG39700"/>
      <c r="EH39700"/>
      <c r="EI39700"/>
      <c r="EJ39700"/>
      <c r="EK39700"/>
    </row>
    <row r="39701" spans="1:141" s="116" customFormat="1">
      <c r="A39701" s="136"/>
      <c r="CM39701" s="111"/>
      <c r="CQ39701" s="111"/>
      <c r="EF39701"/>
      <c r="EG39701"/>
      <c r="EH39701"/>
      <c r="EI39701"/>
      <c r="EJ39701"/>
      <c r="EK39701"/>
    </row>
    <row r="39702" spans="1:141" s="116" customFormat="1">
      <c r="A39702" s="136"/>
      <c r="CM39702" s="111"/>
      <c r="CQ39702" s="111"/>
      <c r="EF39702"/>
      <c r="EG39702"/>
      <c r="EH39702"/>
      <c r="EI39702"/>
      <c r="EJ39702"/>
      <c r="EK39702"/>
    </row>
    <row r="39703" spans="1:141" s="116" customFormat="1">
      <c r="A39703" s="136"/>
      <c r="CM39703" s="111"/>
      <c r="CQ39703" s="111"/>
      <c r="EF39703"/>
      <c r="EG39703"/>
      <c r="EH39703"/>
      <c r="EI39703"/>
      <c r="EJ39703"/>
      <c r="EK39703"/>
    </row>
    <row r="39704" spans="1:141" s="116" customFormat="1">
      <c r="A39704" s="136"/>
      <c r="CM39704" s="111"/>
      <c r="CQ39704" s="111"/>
      <c r="EF39704"/>
      <c r="EG39704"/>
      <c r="EH39704"/>
      <c r="EI39704"/>
      <c r="EJ39704"/>
      <c r="EK39704"/>
    </row>
    <row r="39705" spans="1:141" s="116" customFormat="1">
      <c r="A39705" s="136"/>
      <c r="CM39705" s="111"/>
      <c r="CQ39705" s="111"/>
      <c r="EF39705"/>
      <c r="EG39705"/>
      <c r="EH39705"/>
      <c r="EI39705"/>
      <c r="EJ39705"/>
      <c r="EK39705"/>
    </row>
    <row r="39706" spans="1:141" s="116" customFormat="1">
      <c r="A39706" s="136"/>
      <c r="CM39706" s="111"/>
      <c r="CQ39706" s="111"/>
      <c r="EF39706"/>
      <c r="EG39706"/>
      <c r="EH39706"/>
      <c r="EI39706"/>
      <c r="EJ39706"/>
      <c r="EK39706"/>
    </row>
    <row r="39707" spans="1:141" s="116" customFormat="1">
      <c r="A39707" s="136"/>
      <c r="CM39707" s="111"/>
      <c r="CQ39707" s="111"/>
      <c r="EF39707"/>
      <c r="EG39707"/>
      <c r="EH39707"/>
      <c r="EI39707"/>
      <c r="EJ39707"/>
      <c r="EK39707"/>
    </row>
    <row r="39708" spans="1:141" s="116" customFormat="1">
      <c r="A39708" s="136"/>
      <c r="CM39708" s="111"/>
      <c r="CQ39708" s="111"/>
      <c r="EF39708"/>
      <c r="EG39708"/>
      <c r="EH39708"/>
      <c r="EI39708"/>
      <c r="EJ39708"/>
      <c r="EK39708"/>
    </row>
    <row r="39709" spans="1:141" s="116" customFormat="1">
      <c r="A39709" s="136"/>
      <c r="CM39709" s="111"/>
      <c r="CQ39709" s="111"/>
      <c r="EF39709"/>
      <c r="EG39709"/>
      <c r="EH39709"/>
      <c r="EI39709"/>
      <c r="EJ39709"/>
      <c r="EK39709"/>
    </row>
    <row r="39710" spans="1:141" s="116" customFormat="1">
      <c r="A39710" s="136"/>
      <c r="CM39710" s="111"/>
      <c r="CQ39710" s="111"/>
      <c r="EF39710"/>
      <c r="EG39710"/>
      <c r="EH39710"/>
      <c r="EI39710"/>
      <c r="EJ39710"/>
      <c r="EK39710"/>
    </row>
    <row r="39711" spans="1:141" s="116" customFormat="1">
      <c r="A39711" s="136"/>
      <c r="CM39711" s="111"/>
      <c r="CQ39711" s="111"/>
      <c r="EF39711"/>
      <c r="EG39711"/>
      <c r="EH39711"/>
      <c r="EI39711"/>
      <c r="EJ39711"/>
      <c r="EK39711"/>
    </row>
    <row r="39712" spans="1:141" s="116" customFormat="1">
      <c r="A39712" s="136"/>
      <c r="CM39712" s="111"/>
      <c r="CQ39712" s="111"/>
      <c r="EF39712"/>
      <c r="EG39712"/>
      <c r="EH39712"/>
      <c r="EI39712"/>
      <c r="EJ39712"/>
      <c r="EK39712"/>
    </row>
    <row r="39713" spans="1:141" s="116" customFormat="1">
      <c r="A39713" s="136"/>
      <c r="CM39713" s="111"/>
      <c r="CQ39713" s="111"/>
      <c r="EF39713"/>
      <c r="EG39713"/>
      <c r="EH39713"/>
      <c r="EI39713"/>
      <c r="EJ39713"/>
      <c r="EK39713"/>
    </row>
    <row r="39714" spans="1:141" s="116" customFormat="1">
      <c r="A39714" s="136"/>
      <c r="CM39714" s="111"/>
      <c r="CQ39714" s="111"/>
      <c r="EF39714"/>
      <c r="EG39714"/>
      <c r="EH39714"/>
      <c r="EI39714"/>
      <c r="EJ39714"/>
      <c r="EK39714"/>
    </row>
    <row r="39715" spans="1:141" s="116" customFormat="1">
      <c r="A39715" s="136"/>
      <c r="CM39715" s="111"/>
      <c r="CQ39715" s="111"/>
      <c r="EF39715"/>
      <c r="EG39715"/>
      <c r="EH39715"/>
      <c r="EI39715"/>
      <c r="EJ39715"/>
      <c r="EK39715"/>
    </row>
    <row r="39716" spans="1:141" s="116" customFormat="1">
      <c r="A39716" s="136"/>
      <c r="CM39716" s="111"/>
      <c r="CQ39716" s="111"/>
      <c r="EF39716"/>
      <c r="EG39716"/>
      <c r="EH39716"/>
      <c r="EI39716"/>
      <c r="EJ39716"/>
      <c r="EK39716"/>
    </row>
    <row r="39717" spans="1:141" s="116" customFormat="1">
      <c r="A39717" s="136"/>
      <c r="CM39717" s="111"/>
      <c r="CQ39717" s="111"/>
      <c r="EF39717"/>
      <c r="EG39717"/>
      <c r="EH39717"/>
      <c r="EI39717"/>
      <c r="EJ39717"/>
      <c r="EK39717"/>
    </row>
    <row r="39718" spans="1:141" s="116" customFormat="1">
      <c r="A39718" s="136"/>
      <c r="CM39718" s="111"/>
      <c r="CQ39718" s="111"/>
      <c r="EF39718"/>
      <c r="EG39718"/>
      <c r="EH39718"/>
      <c r="EI39718"/>
      <c r="EJ39718"/>
      <c r="EK39718"/>
    </row>
    <row r="39719" spans="1:141" s="116" customFormat="1">
      <c r="A39719" s="136"/>
      <c r="CM39719" s="111"/>
      <c r="CQ39719" s="111"/>
      <c r="EF39719"/>
      <c r="EG39719"/>
      <c r="EH39719"/>
      <c r="EI39719"/>
      <c r="EJ39719"/>
      <c r="EK39719"/>
    </row>
    <row r="39720" spans="1:141" s="116" customFormat="1">
      <c r="A39720" s="136"/>
      <c r="CM39720" s="111"/>
      <c r="CQ39720" s="111"/>
      <c r="EF39720"/>
      <c r="EG39720"/>
      <c r="EH39720"/>
      <c r="EI39720"/>
      <c r="EJ39720"/>
      <c r="EK39720"/>
    </row>
    <row r="39721" spans="1:141" s="116" customFormat="1">
      <c r="A39721" s="136"/>
      <c r="CM39721" s="111"/>
      <c r="CQ39721" s="111"/>
      <c r="EF39721"/>
      <c r="EG39721"/>
      <c r="EH39721"/>
      <c r="EI39721"/>
      <c r="EJ39721"/>
      <c r="EK39721"/>
    </row>
    <row r="39722" spans="1:141" s="116" customFormat="1">
      <c r="A39722" s="136"/>
      <c r="CM39722" s="111"/>
      <c r="CQ39722" s="111"/>
      <c r="EF39722"/>
      <c r="EG39722"/>
      <c r="EH39722"/>
      <c r="EI39722"/>
      <c r="EJ39722"/>
      <c r="EK39722"/>
    </row>
    <row r="39723" spans="1:141" s="116" customFormat="1">
      <c r="A39723" s="136"/>
      <c r="CM39723" s="111"/>
      <c r="CQ39723" s="111"/>
      <c r="EF39723"/>
      <c r="EG39723"/>
      <c r="EH39723"/>
      <c r="EI39723"/>
      <c r="EJ39723"/>
      <c r="EK39723"/>
    </row>
    <row r="39724" spans="1:141" s="116" customFormat="1">
      <c r="A39724" s="136"/>
      <c r="CM39724" s="111"/>
      <c r="CQ39724" s="111"/>
      <c r="EF39724"/>
      <c r="EG39724"/>
      <c r="EH39724"/>
      <c r="EI39724"/>
      <c r="EJ39724"/>
      <c r="EK39724"/>
    </row>
    <row r="39725" spans="1:141" s="116" customFormat="1">
      <c r="A39725" s="136"/>
      <c r="CM39725" s="111"/>
      <c r="CQ39725" s="111"/>
      <c r="EF39725"/>
      <c r="EG39725"/>
      <c r="EH39725"/>
      <c r="EI39725"/>
      <c r="EJ39725"/>
      <c r="EK39725"/>
    </row>
    <row r="39726" spans="1:141" s="116" customFormat="1">
      <c r="A39726" s="136"/>
      <c r="CM39726" s="111"/>
      <c r="CQ39726" s="111"/>
      <c r="EF39726"/>
      <c r="EG39726"/>
      <c r="EH39726"/>
      <c r="EI39726"/>
      <c r="EJ39726"/>
      <c r="EK39726"/>
    </row>
    <row r="39727" spans="1:141" s="116" customFormat="1">
      <c r="A39727" s="136"/>
      <c r="CM39727" s="111"/>
      <c r="CQ39727" s="111"/>
      <c r="EF39727"/>
      <c r="EG39727"/>
      <c r="EH39727"/>
      <c r="EI39727"/>
      <c r="EJ39727"/>
      <c r="EK39727"/>
    </row>
    <row r="39728" spans="1:141" s="116" customFormat="1">
      <c r="A39728" s="136"/>
      <c r="CM39728" s="111"/>
      <c r="CQ39728" s="111"/>
      <c r="EF39728"/>
      <c r="EG39728"/>
      <c r="EH39728"/>
      <c r="EI39728"/>
      <c r="EJ39728"/>
      <c r="EK39728"/>
    </row>
    <row r="39729" spans="1:141" s="116" customFormat="1">
      <c r="A39729" s="136"/>
      <c r="CM39729" s="111"/>
      <c r="CQ39729" s="111"/>
      <c r="EF39729"/>
      <c r="EG39729"/>
      <c r="EH39729"/>
      <c r="EI39729"/>
      <c r="EJ39729"/>
      <c r="EK39729"/>
    </row>
    <row r="39730" spans="1:141" s="116" customFormat="1">
      <c r="A39730" s="136"/>
      <c r="CM39730" s="111"/>
      <c r="CQ39730" s="111"/>
      <c r="EF39730"/>
      <c r="EG39730"/>
      <c r="EH39730"/>
      <c r="EI39730"/>
      <c r="EJ39730"/>
      <c r="EK39730"/>
    </row>
    <row r="39731" spans="1:141" s="116" customFormat="1">
      <c r="A39731" s="136"/>
      <c r="CM39731" s="111"/>
      <c r="CQ39731" s="111"/>
      <c r="EF39731"/>
      <c r="EG39731"/>
      <c r="EH39731"/>
      <c r="EI39731"/>
      <c r="EJ39731"/>
      <c r="EK39731"/>
    </row>
    <row r="39732" spans="1:141" s="116" customFormat="1">
      <c r="A39732" s="136"/>
      <c r="CM39732" s="111"/>
      <c r="CQ39732" s="111"/>
      <c r="EF39732"/>
      <c r="EG39732"/>
      <c r="EH39732"/>
      <c r="EI39732"/>
      <c r="EJ39732"/>
      <c r="EK39732"/>
    </row>
    <row r="39733" spans="1:141" s="116" customFormat="1">
      <c r="A39733" s="136"/>
      <c r="CM39733" s="111"/>
      <c r="CQ39733" s="111"/>
      <c r="EF39733"/>
      <c r="EG39733"/>
      <c r="EH39733"/>
      <c r="EI39733"/>
      <c r="EJ39733"/>
      <c r="EK39733"/>
    </row>
    <row r="39734" spans="1:141" s="116" customFormat="1">
      <c r="A39734" s="136"/>
      <c r="CM39734" s="111"/>
      <c r="CQ39734" s="111"/>
      <c r="EF39734"/>
      <c r="EG39734"/>
      <c r="EH39734"/>
      <c r="EI39734"/>
      <c r="EJ39734"/>
      <c r="EK39734"/>
    </row>
    <row r="39735" spans="1:141" s="116" customFormat="1">
      <c r="A39735" s="136"/>
      <c r="CM39735" s="111"/>
      <c r="CQ39735" s="111"/>
      <c r="EF39735"/>
      <c r="EG39735"/>
      <c r="EH39735"/>
      <c r="EI39735"/>
      <c r="EJ39735"/>
      <c r="EK39735"/>
    </row>
    <row r="39736" spans="1:141" s="116" customFormat="1">
      <c r="A39736" s="136"/>
      <c r="CM39736" s="111"/>
      <c r="CQ39736" s="111"/>
      <c r="EF39736"/>
      <c r="EG39736"/>
      <c r="EH39736"/>
      <c r="EI39736"/>
      <c r="EJ39736"/>
      <c r="EK39736"/>
    </row>
    <row r="39737" spans="1:141" s="116" customFormat="1">
      <c r="A39737" s="136"/>
      <c r="CM39737" s="111"/>
      <c r="CQ39737" s="111"/>
      <c r="EF39737"/>
      <c r="EG39737"/>
      <c r="EH39737"/>
      <c r="EI39737"/>
      <c r="EJ39737"/>
      <c r="EK39737"/>
    </row>
    <row r="39738" spans="1:141" s="116" customFormat="1">
      <c r="A39738" s="136"/>
      <c r="CM39738" s="111"/>
      <c r="CQ39738" s="111"/>
      <c r="EF39738"/>
      <c r="EG39738"/>
      <c r="EH39738"/>
      <c r="EI39738"/>
      <c r="EJ39738"/>
      <c r="EK39738"/>
    </row>
    <row r="39739" spans="1:141" s="116" customFormat="1">
      <c r="A39739" s="136"/>
      <c r="CM39739" s="111"/>
      <c r="CQ39739" s="111"/>
      <c r="EF39739"/>
      <c r="EG39739"/>
      <c r="EH39739"/>
      <c r="EI39739"/>
      <c r="EJ39739"/>
      <c r="EK39739"/>
    </row>
    <row r="39740" spans="1:141" s="116" customFormat="1">
      <c r="A39740" s="136"/>
      <c r="CM39740" s="111"/>
      <c r="CQ39740" s="111"/>
      <c r="EF39740"/>
      <c r="EG39740"/>
      <c r="EH39740"/>
      <c r="EI39740"/>
      <c r="EJ39740"/>
      <c r="EK39740"/>
    </row>
    <row r="39741" spans="1:141" s="116" customFormat="1">
      <c r="A39741" s="136"/>
      <c r="CM39741" s="111"/>
      <c r="CQ39741" s="111"/>
      <c r="EF39741"/>
      <c r="EG39741"/>
      <c r="EH39741"/>
      <c r="EI39741"/>
      <c r="EJ39741"/>
      <c r="EK39741"/>
    </row>
    <row r="39742" spans="1:141" s="116" customFormat="1">
      <c r="A39742" s="136"/>
      <c r="CM39742" s="111"/>
      <c r="CQ39742" s="111"/>
      <c r="EF39742"/>
      <c r="EG39742"/>
      <c r="EH39742"/>
      <c r="EI39742"/>
      <c r="EJ39742"/>
      <c r="EK39742"/>
    </row>
    <row r="39743" spans="1:141" s="116" customFormat="1">
      <c r="A39743" s="136"/>
      <c r="CM39743" s="111"/>
      <c r="CQ39743" s="111"/>
      <c r="EF39743"/>
      <c r="EG39743"/>
      <c r="EH39743"/>
      <c r="EI39743"/>
      <c r="EJ39743"/>
      <c r="EK39743"/>
    </row>
    <row r="39744" spans="1:141" s="116" customFormat="1">
      <c r="A39744" s="136"/>
      <c r="CM39744" s="111"/>
      <c r="CQ39744" s="111"/>
      <c r="EF39744"/>
      <c r="EG39744"/>
      <c r="EH39744"/>
      <c r="EI39744"/>
      <c r="EJ39744"/>
      <c r="EK39744"/>
    </row>
    <row r="39745" spans="1:141" s="116" customFormat="1">
      <c r="A39745" s="136"/>
      <c r="CM39745" s="111"/>
      <c r="CQ39745" s="111"/>
      <c r="EF39745"/>
      <c r="EG39745"/>
      <c r="EH39745"/>
      <c r="EI39745"/>
      <c r="EJ39745"/>
      <c r="EK39745"/>
    </row>
    <row r="39746" spans="1:141" s="116" customFormat="1">
      <c r="A39746" s="136"/>
      <c r="CM39746" s="111"/>
      <c r="CQ39746" s="111"/>
      <c r="EF39746"/>
      <c r="EG39746"/>
      <c r="EH39746"/>
      <c r="EI39746"/>
      <c r="EJ39746"/>
      <c r="EK39746"/>
    </row>
    <row r="39747" spans="1:141" s="116" customFormat="1">
      <c r="A39747" s="136"/>
      <c r="CM39747" s="111"/>
      <c r="CQ39747" s="111"/>
      <c r="EF39747"/>
      <c r="EG39747"/>
      <c r="EH39747"/>
      <c r="EI39747"/>
      <c r="EJ39747"/>
      <c r="EK39747"/>
    </row>
    <row r="39748" spans="1:141" s="116" customFormat="1">
      <c r="A39748" s="136"/>
      <c r="CM39748" s="111"/>
      <c r="CQ39748" s="111"/>
      <c r="EF39748"/>
      <c r="EG39748"/>
      <c r="EH39748"/>
      <c r="EI39748"/>
      <c r="EJ39748"/>
      <c r="EK39748"/>
    </row>
    <row r="39749" spans="1:141" s="116" customFormat="1">
      <c r="A39749" s="136"/>
      <c r="CM39749" s="111"/>
      <c r="CQ39749" s="111"/>
      <c r="EF39749"/>
      <c r="EG39749"/>
      <c r="EH39749"/>
      <c r="EI39749"/>
      <c r="EJ39749"/>
      <c r="EK39749"/>
    </row>
    <row r="39750" spans="1:141" s="116" customFormat="1">
      <c r="A39750" s="136"/>
      <c r="CM39750" s="111"/>
      <c r="CQ39750" s="111"/>
      <c r="EF39750"/>
      <c r="EG39750"/>
      <c r="EH39750"/>
      <c r="EI39750"/>
      <c r="EJ39750"/>
      <c r="EK39750"/>
    </row>
    <row r="39751" spans="1:141" s="116" customFormat="1">
      <c r="A39751" s="136"/>
      <c r="CM39751" s="111"/>
      <c r="CQ39751" s="111"/>
      <c r="EF39751"/>
      <c r="EG39751"/>
      <c r="EH39751"/>
      <c r="EI39751"/>
      <c r="EJ39751"/>
      <c r="EK39751"/>
    </row>
    <row r="39752" spans="1:141" s="116" customFormat="1">
      <c r="A39752" s="136"/>
      <c r="CM39752" s="111"/>
      <c r="CQ39752" s="111"/>
      <c r="EF39752"/>
      <c r="EG39752"/>
      <c r="EH39752"/>
      <c r="EI39752"/>
      <c r="EJ39752"/>
      <c r="EK39752"/>
    </row>
    <row r="39753" spans="1:141" s="116" customFormat="1">
      <c r="A39753" s="136"/>
      <c r="CM39753" s="111"/>
      <c r="CQ39753" s="111"/>
      <c r="EF39753"/>
      <c r="EG39753"/>
      <c r="EH39753"/>
      <c r="EI39753"/>
      <c r="EJ39753"/>
      <c r="EK39753"/>
    </row>
    <row r="39754" spans="1:141" s="116" customFormat="1">
      <c r="A39754" s="136"/>
      <c r="CM39754" s="111"/>
      <c r="CQ39754" s="111"/>
      <c r="EF39754"/>
      <c r="EG39754"/>
      <c r="EH39754"/>
      <c r="EI39754"/>
      <c r="EJ39754"/>
      <c r="EK39754"/>
    </row>
    <row r="39755" spans="1:141" s="116" customFormat="1">
      <c r="A39755" s="136"/>
      <c r="CM39755" s="111"/>
      <c r="CQ39755" s="111"/>
      <c r="EF39755"/>
      <c r="EG39755"/>
      <c r="EH39755"/>
      <c r="EI39755"/>
      <c r="EJ39755"/>
      <c r="EK39755"/>
    </row>
    <row r="39756" spans="1:141" s="116" customFormat="1">
      <c r="A39756" s="136"/>
      <c r="CM39756" s="111"/>
      <c r="CQ39756" s="111"/>
      <c r="EF39756"/>
      <c r="EG39756"/>
      <c r="EH39756"/>
      <c r="EI39756"/>
      <c r="EJ39756"/>
      <c r="EK39756"/>
    </row>
    <row r="39757" spans="1:141" s="116" customFormat="1">
      <c r="A39757" s="136"/>
      <c r="CM39757" s="111"/>
      <c r="CQ39757" s="111"/>
      <c r="EF39757"/>
      <c r="EG39757"/>
      <c r="EH39757"/>
      <c r="EI39757"/>
      <c r="EJ39757"/>
      <c r="EK39757"/>
    </row>
    <row r="39758" spans="1:141" s="116" customFormat="1">
      <c r="A39758" s="136"/>
      <c r="CM39758" s="111"/>
      <c r="CQ39758" s="111"/>
      <c r="EF39758"/>
      <c r="EG39758"/>
      <c r="EH39758"/>
      <c r="EI39758"/>
      <c r="EJ39758"/>
      <c r="EK39758"/>
    </row>
    <row r="39759" spans="1:141" s="116" customFormat="1">
      <c r="A39759" s="136"/>
      <c r="CM39759" s="111"/>
      <c r="CQ39759" s="111"/>
      <c r="EF39759"/>
      <c r="EG39759"/>
      <c r="EH39759"/>
      <c r="EI39759"/>
      <c r="EJ39759"/>
      <c r="EK39759"/>
    </row>
    <row r="39760" spans="1:141" s="116" customFormat="1">
      <c r="A39760" s="136"/>
      <c r="CM39760" s="111"/>
      <c r="CQ39760" s="111"/>
      <c r="EF39760"/>
      <c r="EG39760"/>
      <c r="EH39760"/>
      <c r="EI39760"/>
      <c r="EJ39760"/>
      <c r="EK39760"/>
    </row>
    <row r="39761" spans="1:141" s="116" customFormat="1">
      <c r="A39761" s="136"/>
      <c r="CM39761" s="111"/>
      <c r="CQ39761" s="111"/>
      <c r="EF39761"/>
      <c r="EG39761"/>
      <c r="EH39761"/>
      <c r="EI39761"/>
      <c r="EJ39761"/>
      <c r="EK39761"/>
    </row>
    <row r="39762" spans="1:141" s="116" customFormat="1">
      <c r="A39762" s="136"/>
      <c r="CM39762" s="111"/>
      <c r="CQ39762" s="111"/>
      <c r="EF39762"/>
      <c r="EG39762"/>
      <c r="EH39762"/>
      <c r="EI39762"/>
      <c r="EJ39762"/>
      <c r="EK39762"/>
    </row>
    <row r="39763" spans="1:141" s="116" customFormat="1">
      <c r="A39763" s="136"/>
      <c r="CM39763" s="111"/>
      <c r="CQ39763" s="111"/>
      <c r="EF39763"/>
      <c r="EG39763"/>
      <c r="EH39763"/>
      <c r="EI39763"/>
      <c r="EJ39763"/>
      <c r="EK39763"/>
    </row>
    <row r="39764" spans="1:141" s="116" customFormat="1">
      <c r="A39764" s="136"/>
      <c r="CM39764" s="111"/>
      <c r="CQ39764" s="111"/>
      <c r="EF39764"/>
      <c r="EG39764"/>
      <c r="EH39764"/>
      <c r="EI39764"/>
      <c r="EJ39764"/>
      <c r="EK39764"/>
    </row>
    <row r="39765" spans="1:141" s="116" customFormat="1">
      <c r="A39765" s="136"/>
      <c r="CM39765" s="111"/>
      <c r="CQ39765" s="111"/>
      <c r="EF39765"/>
      <c r="EG39765"/>
      <c r="EH39765"/>
      <c r="EI39765"/>
      <c r="EJ39765"/>
      <c r="EK39765"/>
    </row>
    <row r="39766" spans="1:141" s="116" customFormat="1">
      <c r="A39766" s="136"/>
      <c r="CM39766" s="111"/>
      <c r="CQ39766" s="111"/>
      <c r="EF39766"/>
      <c r="EG39766"/>
      <c r="EH39766"/>
      <c r="EI39766"/>
      <c r="EJ39766"/>
      <c r="EK39766"/>
    </row>
    <row r="39767" spans="1:141" s="116" customFormat="1">
      <c r="A39767" s="136"/>
      <c r="CM39767" s="111"/>
      <c r="CQ39767" s="111"/>
      <c r="EF39767"/>
      <c r="EG39767"/>
      <c r="EH39767"/>
      <c r="EI39767"/>
      <c r="EJ39767"/>
      <c r="EK39767"/>
    </row>
    <row r="39768" spans="1:141" s="116" customFormat="1">
      <c r="A39768" s="136"/>
      <c r="CM39768" s="111"/>
      <c r="CQ39768" s="111"/>
      <c r="EF39768"/>
      <c r="EG39768"/>
      <c r="EH39768"/>
      <c r="EI39768"/>
      <c r="EJ39768"/>
      <c r="EK39768"/>
    </row>
    <row r="39769" spans="1:141" s="116" customFormat="1">
      <c r="A39769" s="136"/>
      <c r="CM39769" s="111"/>
      <c r="CQ39769" s="111"/>
      <c r="EF39769"/>
      <c r="EG39769"/>
      <c r="EH39769"/>
      <c r="EI39769"/>
      <c r="EJ39769"/>
      <c r="EK39769"/>
    </row>
    <row r="39770" spans="1:141" s="116" customFormat="1">
      <c r="A39770" s="136"/>
      <c r="CM39770" s="111"/>
      <c r="CQ39770" s="111"/>
      <c r="EF39770"/>
      <c r="EG39770"/>
      <c r="EH39770"/>
      <c r="EI39770"/>
      <c r="EJ39770"/>
      <c r="EK39770"/>
    </row>
    <row r="39771" spans="1:141" s="116" customFormat="1">
      <c r="A39771" s="136"/>
      <c r="CM39771" s="111"/>
      <c r="CQ39771" s="111"/>
      <c r="EF39771"/>
      <c r="EG39771"/>
      <c r="EH39771"/>
      <c r="EI39771"/>
      <c r="EJ39771"/>
      <c r="EK39771"/>
    </row>
    <row r="39772" spans="1:141" s="116" customFormat="1">
      <c r="A39772" s="136"/>
      <c r="CM39772" s="111"/>
      <c r="CQ39772" s="111"/>
      <c r="EF39772"/>
      <c r="EG39772"/>
      <c r="EH39772"/>
      <c r="EI39772"/>
      <c r="EJ39772"/>
      <c r="EK39772"/>
    </row>
    <row r="39773" spans="1:141" s="116" customFormat="1">
      <c r="A39773" s="136"/>
      <c r="CM39773" s="111"/>
      <c r="CQ39773" s="111"/>
      <c r="EF39773"/>
      <c r="EG39773"/>
      <c r="EH39773"/>
      <c r="EI39773"/>
      <c r="EJ39773"/>
      <c r="EK39773"/>
    </row>
    <row r="39774" spans="1:141" s="116" customFormat="1">
      <c r="A39774" s="136"/>
      <c r="CM39774" s="111"/>
      <c r="CQ39774" s="111"/>
      <c r="EF39774"/>
      <c r="EG39774"/>
      <c r="EH39774"/>
      <c r="EI39774"/>
      <c r="EJ39774"/>
      <c r="EK39774"/>
    </row>
    <row r="39775" spans="1:141" s="116" customFormat="1">
      <c r="A39775" s="136"/>
      <c r="CM39775" s="111"/>
      <c r="CQ39775" s="111"/>
      <c r="EF39775"/>
      <c r="EG39775"/>
      <c r="EH39775"/>
      <c r="EI39775"/>
      <c r="EJ39775"/>
      <c r="EK39775"/>
    </row>
    <row r="39776" spans="1:141" s="116" customFormat="1">
      <c r="A39776" s="136"/>
      <c r="CM39776" s="111"/>
      <c r="CQ39776" s="111"/>
      <c r="EF39776"/>
      <c r="EG39776"/>
      <c r="EH39776"/>
      <c r="EI39776"/>
      <c r="EJ39776"/>
      <c r="EK39776"/>
    </row>
    <row r="39777" spans="1:141" s="116" customFormat="1">
      <c r="A39777" s="136"/>
      <c r="CM39777" s="111"/>
      <c r="CQ39777" s="111"/>
      <c r="EF39777"/>
      <c r="EG39777"/>
      <c r="EH39777"/>
      <c r="EI39777"/>
      <c r="EJ39777"/>
      <c r="EK39777"/>
    </row>
    <row r="39778" spans="1:141" s="116" customFormat="1">
      <c r="A39778" s="136"/>
      <c r="CM39778" s="111"/>
      <c r="CQ39778" s="111"/>
      <c r="EF39778"/>
      <c r="EG39778"/>
      <c r="EH39778"/>
      <c r="EI39778"/>
      <c r="EJ39778"/>
      <c r="EK39778"/>
    </row>
    <row r="39779" spans="1:141" s="116" customFormat="1">
      <c r="A39779" s="136"/>
      <c r="CM39779" s="111"/>
      <c r="CQ39779" s="111"/>
      <c r="EF39779"/>
      <c r="EG39779"/>
      <c r="EH39779"/>
      <c r="EI39779"/>
      <c r="EJ39779"/>
      <c r="EK39779"/>
    </row>
    <row r="39780" spans="1:141" s="116" customFormat="1">
      <c r="A39780" s="136"/>
      <c r="CM39780" s="111"/>
      <c r="CQ39780" s="111"/>
      <c r="EF39780"/>
      <c r="EG39780"/>
      <c r="EH39780"/>
      <c r="EI39780"/>
      <c r="EJ39780"/>
      <c r="EK39780"/>
    </row>
    <row r="39781" spans="1:141" s="116" customFormat="1">
      <c r="A39781" s="136"/>
      <c r="CM39781" s="111"/>
      <c r="CQ39781" s="111"/>
      <c r="EF39781"/>
      <c r="EG39781"/>
      <c r="EH39781"/>
      <c r="EI39781"/>
      <c r="EJ39781"/>
      <c r="EK39781"/>
    </row>
    <row r="39782" spans="1:141" s="116" customFormat="1">
      <c r="A39782" s="136"/>
      <c r="CM39782" s="111"/>
      <c r="CQ39782" s="111"/>
      <c r="EF39782"/>
      <c r="EG39782"/>
      <c r="EH39782"/>
      <c r="EI39782"/>
      <c r="EJ39782"/>
      <c r="EK39782"/>
    </row>
    <row r="39783" spans="1:141" s="116" customFormat="1">
      <c r="A39783" s="136"/>
      <c r="CM39783" s="111"/>
      <c r="CQ39783" s="111"/>
      <c r="EF39783"/>
      <c r="EG39783"/>
      <c r="EH39783"/>
      <c r="EI39783"/>
      <c r="EJ39783"/>
      <c r="EK39783"/>
    </row>
    <row r="39784" spans="1:141" s="116" customFormat="1">
      <c r="A39784" s="136"/>
      <c r="CM39784" s="111"/>
      <c r="CQ39784" s="111"/>
      <c r="EF39784"/>
      <c r="EG39784"/>
      <c r="EH39784"/>
      <c r="EI39784"/>
      <c r="EJ39784"/>
      <c r="EK39784"/>
    </row>
    <row r="39785" spans="1:141" s="116" customFormat="1">
      <c r="A39785" s="136"/>
      <c r="CM39785" s="111"/>
      <c r="CQ39785" s="111"/>
      <c r="EF39785"/>
      <c r="EG39785"/>
      <c r="EH39785"/>
      <c r="EI39785"/>
      <c r="EJ39785"/>
      <c r="EK39785"/>
    </row>
    <row r="39786" spans="1:141" s="116" customFormat="1">
      <c r="A39786" s="136"/>
      <c r="CM39786" s="111"/>
      <c r="CQ39786" s="111"/>
      <c r="EF39786"/>
      <c r="EG39786"/>
      <c r="EH39786"/>
      <c r="EI39786"/>
      <c r="EJ39786"/>
      <c r="EK39786"/>
    </row>
    <row r="39787" spans="1:141" s="116" customFormat="1">
      <c r="A39787" s="136"/>
      <c r="CM39787" s="111"/>
      <c r="CQ39787" s="111"/>
      <c r="EF39787"/>
      <c r="EG39787"/>
      <c r="EH39787"/>
      <c r="EI39787"/>
      <c r="EJ39787"/>
      <c r="EK39787"/>
    </row>
    <row r="39788" spans="1:141" s="116" customFormat="1">
      <c r="A39788" s="136"/>
      <c r="CM39788" s="111"/>
      <c r="CQ39788" s="111"/>
      <c r="EF39788"/>
      <c r="EG39788"/>
      <c r="EH39788"/>
      <c r="EI39788"/>
      <c r="EJ39788"/>
      <c r="EK39788"/>
    </row>
    <row r="39789" spans="1:141" s="116" customFormat="1">
      <c r="A39789" s="136"/>
      <c r="CM39789" s="111"/>
      <c r="CQ39789" s="111"/>
      <c r="EF39789"/>
      <c r="EG39789"/>
      <c r="EH39789"/>
      <c r="EI39789"/>
      <c r="EJ39789"/>
      <c r="EK39789"/>
    </row>
    <row r="39790" spans="1:141" s="116" customFormat="1">
      <c r="A39790" s="136"/>
      <c r="CM39790" s="111"/>
      <c r="CQ39790" s="111"/>
      <c r="EF39790"/>
      <c r="EG39790"/>
      <c r="EH39790"/>
      <c r="EI39790"/>
      <c r="EJ39790"/>
      <c r="EK39790"/>
    </row>
    <row r="39791" spans="1:141" s="116" customFormat="1">
      <c r="A39791" s="136"/>
      <c r="CM39791" s="111"/>
      <c r="CQ39791" s="111"/>
      <c r="EF39791"/>
      <c r="EG39791"/>
      <c r="EH39791"/>
      <c r="EI39791"/>
      <c r="EJ39791"/>
      <c r="EK39791"/>
    </row>
    <row r="39792" spans="1:141" s="116" customFormat="1">
      <c r="A39792" s="136"/>
      <c r="CM39792" s="111"/>
      <c r="CQ39792" s="111"/>
      <c r="EF39792"/>
      <c r="EG39792"/>
      <c r="EH39792"/>
      <c r="EI39792"/>
      <c r="EJ39792"/>
      <c r="EK39792"/>
    </row>
    <row r="39793" spans="1:141" s="116" customFormat="1">
      <c r="A39793" s="136"/>
      <c r="CM39793" s="111"/>
      <c r="CQ39793" s="111"/>
      <c r="EF39793"/>
      <c r="EG39793"/>
      <c r="EH39793"/>
      <c r="EI39793"/>
      <c r="EJ39793"/>
      <c r="EK39793"/>
    </row>
    <row r="39794" spans="1:141" s="116" customFormat="1">
      <c r="A39794" s="136"/>
      <c r="CM39794" s="111"/>
      <c r="CQ39794" s="111"/>
      <c r="EF39794"/>
      <c r="EG39794"/>
      <c r="EH39794"/>
      <c r="EI39794"/>
      <c r="EJ39794"/>
      <c r="EK39794"/>
    </row>
    <row r="39795" spans="1:141" s="116" customFormat="1">
      <c r="A39795" s="136"/>
      <c r="CM39795" s="111"/>
      <c r="CQ39795" s="111"/>
      <c r="EF39795"/>
      <c r="EG39795"/>
      <c r="EH39795"/>
      <c r="EI39795"/>
      <c r="EJ39795"/>
      <c r="EK39795"/>
    </row>
    <row r="39796" spans="1:141" s="116" customFormat="1">
      <c r="A39796" s="136"/>
      <c r="CM39796" s="111"/>
      <c r="CQ39796" s="111"/>
      <c r="EF39796"/>
      <c r="EG39796"/>
      <c r="EH39796"/>
      <c r="EI39796"/>
      <c r="EJ39796"/>
      <c r="EK39796"/>
    </row>
    <row r="39797" spans="1:141" s="116" customFormat="1">
      <c r="A39797" s="136"/>
      <c r="CM39797" s="111"/>
      <c r="CQ39797" s="111"/>
      <c r="EF39797"/>
      <c r="EG39797"/>
      <c r="EH39797"/>
      <c r="EI39797"/>
      <c r="EJ39797"/>
      <c r="EK39797"/>
    </row>
    <row r="39798" spans="1:141" s="116" customFormat="1">
      <c r="A39798" s="136"/>
      <c r="CM39798" s="111"/>
      <c r="CQ39798" s="111"/>
      <c r="EF39798"/>
      <c r="EG39798"/>
      <c r="EH39798"/>
      <c r="EI39798"/>
      <c r="EJ39798"/>
      <c r="EK39798"/>
    </row>
    <row r="39799" spans="1:141" s="116" customFormat="1">
      <c r="A39799" s="136"/>
      <c r="CM39799" s="111"/>
      <c r="CQ39799" s="111"/>
      <c r="EF39799"/>
      <c r="EG39799"/>
      <c r="EH39799"/>
      <c r="EI39799"/>
      <c r="EJ39799"/>
      <c r="EK39799"/>
    </row>
    <row r="39800" spans="1:141" s="116" customFormat="1">
      <c r="A39800" s="136"/>
      <c r="CM39800" s="111"/>
      <c r="CQ39800" s="111"/>
      <c r="EF39800"/>
      <c r="EG39800"/>
      <c r="EH39800"/>
      <c r="EI39800"/>
      <c r="EJ39800"/>
      <c r="EK39800"/>
    </row>
    <row r="39801" spans="1:141" s="116" customFormat="1">
      <c r="A39801" s="136"/>
      <c r="CM39801" s="111"/>
      <c r="CQ39801" s="111"/>
      <c r="EF39801"/>
      <c r="EG39801"/>
      <c r="EH39801"/>
      <c r="EI39801"/>
      <c r="EJ39801"/>
      <c r="EK39801"/>
    </row>
    <row r="39802" spans="1:141" s="116" customFormat="1">
      <c r="A39802" s="136"/>
      <c r="CM39802" s="111"/>
      <c r="CQ39802" s="111"/>
      <c r="EF39802"/>
      <c r="EG39802"/>
      <c r="EH39802"/>
      <c r="EI39802"/>
      <c r="EJ39802"/>
      <c r="EK39802"/>
    </row>
    <row r="39803" spans="1:141" s="116" customFormat="1">
      <c r="A39803" s="136"/>
      <c r="CM39803" s="111"/>
      <c r="CQ39803" s="111"/>
      <c r="EF39803"/>
      <c r="EG39803"/>
      <c r="EH39803"/>
      <c r="EI39803"/>
      <c r="EJ39803"/>
      <c r="EK39803"/>
    </row>
    <row r="39804" spans="1:141" s="116" customFormat="1">
      <c r="A39804" s="136"/>
      <c r="CM39804" s="111"/>
      <c r="CQ39804" s="111"/>
      <c r="EF39804"/>
      <c r="EG39804"/>
      <c r="EH39804"/>
      <c r="EI39804"/>
      <c r="EJ39804"/>
      <c r="EK39804"/>
    </row>
    <row r="39805" spans="1:141" s="116" customFormat="1">
      <c r="A39805" s="136"/>
      <c r="CM39805" s="111"/>
      <c r="CQ39805" s="111"/>
      <c r="EF39805"/>
      <c r="EG39805"/>
      <c r="EH39805"/>
      <c r="EI39805"/>
      <c r="EJ39805"/>
      <c r="EK39805"/>
    </row>
    <row r="39806" spans="1:141" s="116" customFormat="1">
      <c r="A39806" s="136"/>
      <c r="CM39806" s="111"/>
      <c r="CQ39806" s="111"/>
      <c r="EF39806"/>
      <c r="EG39806"/>
      <c r="EH39806"/>
      <c r="EI39806"/>
      <c r="EJ39806"/>
      <c r="EK39806"/>
    </row>
    <row r="39807" spans="1:141" s="116" customFormat="1">
      <c r="A39807" s="136"/>
      <c r="CM39807" s="111"/>
      <c r="CQ39807" s="111"/>
      <c r="EF39807"/>
      <c r="EG39807"/>
      <c r="EH39807"/>
      <c r="EI39807"/>
      <c r="EJ39807"/>
      <c r="EK39807"/>
    </row>
    <row r="39808" spans="1:141" s="116" customFormat="1">
      <c r="A39808" s="136"/>
      <c r="CM39808" s="111"/>
      <c r="CQ39808" s="111"/>
      <c r="EF39808"/>
      <c r="EG39808"/>
      <c r="EH39808"/>
      <c r="EI39808"/>
      <c r="EJ39808"/>
      <c r="EK39808"/>
    </row>
    <row r="39809" spans="1:141" s="116" customFormat="1">
      <c r="A39809" s="136"/>
      <c r="CM39809" s="111"/>
      <c r="CQ39809" s="111"/>
      <c r="EF39809"/>
      <c r="EG39809"/>
      <c r="EH39809"/>
      <c r="EI39809"/>
      <c r="EJ39809"/>
      <c r="EK39809"/>
    </row>
    <row r="39810" spans="1:141" s="116" customFormat="1">
      <c r="A39810" s="136"/>
      <c r="CM39810" s="111"/>
      <c r="CQ39810" s="111"/>
      <c r="EF39810"/>
      <c r="EG39810"/>
      <c r="EH39810"/>
      <c r="EI39810"/>
      <c r="EJ39810"/>
      <c r="EK39810"/>
    </row>
    <row r="39811" spans="1:141" s="116" customFormat="1">
      <c r="A39811" s="136"/>
      <c r="CM39811" s="111"/>
      <c r="CQ39811" s="111"/>
      <c r="EF39811"/>
      <c r="EG39811"/>
      <c r="EH39811"/>
      <c r="EI39811"/>
      <c r="EJ39811"/>
      <c r="EK39811"/>
    </row>
    <row r="39812" spans="1:141" s="116" customFormat="1">
      <c r="A39812" s="136"/>
      <c r="CM39812" s="111"/>
      <c r="CQ39812" s="111"/>
      <c r="EF39812"/>
      <c r="EG39812"/>
      <c r="EH39812"/>
      <c r="EI39812"/>
      <c r="EJ39812"/>
      <c r="EK39812"/>
    </row>
    <row r="39813" spans="1:141" s="116" customFormat="1">
      <c r="A39813" s="136"/>
      <c r="CM39813" s="111"/>
      <c r="CQ39813" s="111"/>
      <c r="EF39813"/>
      <c r="EG39813"/>
      <c r="EH39813"/>
      <c r="EI39813"/>
      <c r="EJ39813"/>
      <c r="EK39813"/>
    </row>
    <row r="39814" spans="1:141" s="116" customFormat="1">
      <c r="A39814" s="136"/>
      <c r="CM39814" s="111"/>
      <c r="CQ39814" s="111"/>
      <c r="EF39814"/>
      <c r="EG39814"/>
      <c r="EH39814"/>
      <c r="EI39814"/>
      <c r="EJ39814"/>
      <c r="EK39814"/>
    </row>
    <row r="39815" spans="1:141" s="116" customFormat="1">
      <c r="A39815" s="136"/>
      <c r="CM39815" s="111"/>
      <c r="CQ39815" s="111"/>
      <c r="EF39815"/>
      <c r="EG39815"/>
      <c r="EH39815"/>
      <c r="EI39815"/>
      <c r="EJ39815"/>
      <c r="EK39815"/>
    </row>
    <row r="39816" spans="1:141" s="116" customFormat="1">
      <c r="A39816" s="136"/>
      <c r="CM39816" s="111"/>
      <c r="CQ39816" s="111"/>
      <c r="EF39816"/>
      <c r="EG39816"/>
      <c r="EH39816"/>
      <c r="EI39816"/>
      <c r="EJ39816"/>
      <c r="EK39816"/>
    </row>
    <row r="39817" spans="1:141" s="116" customFormat="1">
      <c r="A39817" s="136"/>
      <c r="CM39817" s="111"/>
      <c r="CQ39817" s="111"/>
      <c r="EF39817"/>
      <c r="EG39817"/>
      <c r="EH39817"/>
      <c r="EI39817"/>
      <c r="EJ39817"/>
      <c r="EK39817"/>
    </row>
    <row r="39818" spans="1:141" s="116" customFormat="1">
      <c r="A39818" s="136"/>
      <c r="CM39818" s="111"/>
      <c r="CQ39818" s="111"/>
      <c r="EF39818"/>
      <c r="EG39818"/>
      <c r="EH39818"/>
      <c r="EI39818"/>
      <c r="EJ39818"/>
      <c r="EK39818"/>
    </row>
    <row r="39819" spans="1:141" s="116" customFormat="1">
      <c r="A39819" s="136"/>
      <c r="CM39819" s="111"/>
      <c r="CQ39819" s="111"/>
      <c r="EF39819"/>
      <c r="EG39819"/>
      <c r="EH39819"/>
      <c r="EI39819"/>
      <c r="EJ39819"/>
      <c r="EK39819"/>
    </row>
    <row r="39820" spans="1:141" s="116" customFormat="1">
      <c r="A39820" s="136"/>
      <c r="CM39820" s="111"/>
      <c r="CQ39820" s="111"/>
      <c r="EF39820"/>
      <c r="EG39820"/>
      <c r="EH39820"/>
      <c r="EI39820"/>
      <c r="EJ39820"/>
      <c r="EK39820"/>
    </row>
    <row r="39821" spans="1:141" s="116" customFormat="1">
      <c r="A39821" s="136"/>
      <c r="CM39821" s="111"/>
      <c r="CQ39821" s="111"/>
      <c r="EF39821"/>
      <c r="EG39821"/>
      <c r="EH39821"/>
      <c r="EI39821"/>
      <c r="EJ39821"/>
      <c r="EK39821"/>
    </row>
    <row r="39822" spans="1:141" s="116" customFormat="1">
      <c r="A39822" s="136"/>
      <c r="CM39822" s="111"/>
      <c r="CQ39822" s="111"/>
      <c r="EF39822"/>
      <c r="EG39822"/>
      <c r="EH39822"/>
      <c r="EI39822"/>
      <c r="EJ39822"/>
      <c r="EK39822"/>
    </row>
    <row r="39823" spans="1:141" s="116" customFormat="1">
      <c r="A39823" s="136"/>
      <c r="CM39823" s="111"/>
      <c r="CQ39823" s="111"/>
      <c r="EF39823"/>
      <c r="EG39823"/>
      <c r="EH39823"/>
      <c r="EI39823"/>
      <c r="EJ39823"/>
      <c r="EK39823"/>
    </row>
    <row r="39824" spans="1:141" s="116" customFormat="1">
      <c r="A39824" s="136"/>
      <c r="CM39824" s="111"/>
      <c r="CQ39824" s="111"/>
      <c r="EF39824"/>
      <c r="EG39824"/>
      <c r="EH39824"/>
      <c r="EI39824"/>
      <c r="EJ39824"/>
      <c r="EK39824"/>
    </row>
    <row r="39825" spans="1:141" s="116" customFormat="1">
      <c r="A39825" s="136"/>
      <c r="CM39825" s="111"/>
      <c r="CQ39825" s="111"/>
      <c r="EF39825"/>
      <c r="EG39825"/>
      <c r="EH39825"/>
      <c r="EI39825"/>
      <c r="EJ39825"/>
      <c r="EK39825"/>
    </row>
    <row r="39826" spans="1:141" s="116" customFormat="1">
      <c r="A39826" s="136"/>
      <c r="CM39826" s="111"/>
      <c r="CQ39826" s="111"/>
      <c r="EF39826"/>
      <c r="EG39826"/>
      <c r="EH39826"/>
      <c r="EI39826"/>
      <c r="EJ39826"/>
      <c r="EK39826"/>
    </row>
    <row r="39827" spans="1:141" s="116" customFormat="1">
      <c r="A39827" s="136"/>
      <c r="CM39827" s="111"/>
      <c r="CQ39827" s="111"/>
      <c r="EF39827"/>
      <c r="EG39827"/>
      <c r="EH39827"/>
      <c r="EI39827"/>
      <c r="EJ39827"/>
      <c r="EK39827"/>
    </row>
    <row r="39828" spans="1:141" s="116" customFormat="1">
      <c r="A39828" s="136"/>
      <c r="CM39828" s="111"/>
      <c r="CQ39828" s="111"/>
      <c r="EF39828"/>
      <c r="EG39828"/>
      <c r="EH39828"/>
      <c r="EI39828"/>
      <c r="EJ39828"/>
      <c r="EK39828"/>
    </row>
    <row r="39829" spans="1:141" s="116" customFormat="1">
      <c r="A39829" s="136"/>
      <c r="CM39829" s="111"/>
      <c r="CQ39829" s="111"/>
      <c r="EF39829"/>
      <c r="EG39829"/>
      <c r="EH39829"/>
      <c r="EI39829"/>
      <c r="EJ39829"/>
      <c r="EK39829"/>
    </row>
    <row r="39830" spans="1:141" s="116" customFormat="1">
      <c r="A39830" s="136"/>
      <c r="CM39830" s="111"/>
      <c r="CQ39830" s="111"/>
      <c r="EF39830"/>
      <c r="EG39830"/>
      <c r="EH39830"/>
      <c r="EI39830"/>
      <c r="EJ39830"/>
      <c r="EK39830"/>
    </row>
    <row r="39831" spans="1:141" s="116" customFormat="1">
      <c r="A39831" s="136"/>
      <c r="CM39831" s="111"/>
      <c r="CQ39831" s="111"/>
      <c r="EF39831"/>
      <c r="EG39831"/>
      <c r="EH39831"/>
      <c r="EI39831"/>
      <c r="EJ39831"/>
      <c r="EK39831"/>
    </row>
    <row r="39832" spans="1:141" s="116" customFormat="1">
      <c r="A39832" s="136"/>
      <c r="CM39832" s="111"/>
      <c r="CQ39832" s="111"/>
      <c r="EF39832"/>
      <c r="EG39832"/>
      <c r="EH39832"/>
      <c r="EI39832"/>
      <c r="EJ39832"/>
      <c r="EK39832"/>
    </row>
    <row r="39833" spans="1:141" s="116" customFormat="1">
      <c r="A39833" s="136"/>
      <c r="CM39833" s="111"/>
      <c r="CQ39833" s="111"/>
      <c r="EF39833"/>
      <c r="EG39833"/>
      <c r="EH39833"/>
      <c r="EI39833"/>
      <c r="EJ39833"/>
      <c r="EK39833"/>
    </row>
    <row r="39834" spans="1:141" s="116" customFormat="1">
      <c r="A39834" s="136"/>
      <c r="CM39834" s="111"/>
      <c r="CQ39834" s="111"/>
      <c r="EF39834"/>
      <c r="EG39834"/>
      <c r="EH39834"/>
      <c r="EI39834"/>
      <c r="EJ39834"/>
      <c r="EK39834"/>
    </row>
    <row r="39835" spans="1:141" s="116" customFormat="1">
      <c r="A39835" s="136"/>
      <c r="CM39835" s="111"/>
      <c r="CQ39835" s="111"/>
      <c r="EF39835"/>
      <c r="EG39835"/>
      <c r="EH39835"/>
      <c r="EI39835"/>
      <c r="EJ39835"/>
      <c r="EK39835"/>
    </row>
    <row r="39836" spans="1:141" s="116" customFormat="1">
      <c r="A39836" s="136"/>
      <c r="CM39836" s="111"/>
      <c r="CQ39836" s="111"/>
      <c r="EF39836"/>
      <c r="EG39836"/>
      <c r="EH39836"/>
      <c r="EI39836"/>
      <c r="EJ39836"/>
      <c r="EK39836"/>
    </row>
    <row r="39837" spans="1:141" s="116" customFormat="1">
      <c r="A39837" s="136"/>
      <c r="CM39837" s="111"/>
      <c r="CQ39837" s="111"/>
      <c r="EF39837"/>
      <c r="EG39837"/>
      <c r="EH39837"/>
      <c r="EI39837"/>
      <c r="EJ39837"/>
      <c r="EK39837"/>
    </row>
    <row r="39838" spans="1:141" s="116" customFormat="1">
      <c r="A39838" s="136"/>
      <c r="CM39838" s="111"/>
      <c r="CQ39838" s="111"/>
      <c r="EF39838"/>
      <c r="EG39838"/>
      <c r="EH39838"/>
      <c r="EI39838"/>
      <c r="EJ39838"/>
      <c r="EK39838"/>
    </row>
    <row r="39839" spans="1:141" s="116" customFormat="1">
      <c r="A39839" s="136"/>
      <c r="CM39839" s="111"/>
      <c r="CQ39839" s="111"/>
      <c r="EF39839"/>
      <c r="EG39839"/>
      <c r="EH39839"/>
      <c r="EI39839"/>
      <c r="EJ39839"/>
      <c r="EK39839"/>
    </row>
    <row r="39840" spans="1:141" s="116" customFormat="1">
      <c r="A39840" s="136"/>
      <c r="CM39840" s="111"/>
      <c r="CQ39840" s="111"/>
      <c r="EF39840"/>
      <c r="EG39840"/>
      <c r="EH39840"/>
      <c r="EI39840"/>
      <c r="EJ39840"/>
      <c r="EK39840"/>
    </row>
    <row r="39841" spans="1:141" s="116" customFormat="1">
      <c r="A39841" s="136"/>
      <c r="CM39841" s="111"/>
      <c r="CQ39841" s="111"/>
      <c r="EF39841"/>
      <c r="EG39841"/>
      <c r="EH39841"/>
      <c r="EI39841"/>
      <c r="EJ39841"/>
      <c r="EK39841"/>
    </row>
    <row r="39842" spans="1:141" s="116" customFormat="1">
      <c r="A39842" s="136"/>
      <c r="CM39842" s="111"/>
      <c r="CQ39842" s="111"/>
      <c r="EF39842"/>
      <c r="EG39842"/>
      <c r="EH39842"/>
      <c r="EI39842"/>
      <c r="EJ39842"/>
      <c r="EK39842"/>
    </row>
    <row r="39843" spans="1:141" s="116" customFormat="1">
      <c r="A39843" s="136"/>
      <c r="CM39843" s="111"/>
      <c r="CQ39843" s="111"/>
      <c r="EF39843"/>
      <c r="EG39843"/>
      <c r="EH39843"/>
      <c r="EI39843"/>
      <c r="EJ39843"/>
      <c r="EK39843"/>
    </row>
    <row r="39844" spans="1:141" s="116" customFormat="1">
      <c r="A39844" s="136"/>
      <c r="CM39844" s="111"/>
      <c r="CQ39844" s="111"/>
      <c r="EF39844"/>
      <c r="EG39844"/>
      <c r="EH39844"/>
      <c r="EI39844"/>
      <c r="EJ39844"/>
      <c r="EK39844"/>
    </row>
    <row r="39845" spans="1:141" s="116" customFormat="1">
      <c r="A39845" s="136"/>
      <c r="CM39845" s="111"/>
      <c r="CQ39845" s="111"/>
      <c r="EF39845"/>
      <c r="EG39845"/>
      <c r="EH39845"/>
      <c r="EI39845"/>
      <c r="EJ39845"/>
      <c r="EK39845"/>
    </row>
    <row r="39846" spans="1:141" s="116" customFormat="1">
      <c r="A39846" s="136"/>
      <c r="CM39846" s="111"/>
      <c r="CQ39846" s="111"/>
      <c r="EF39846"/>
      <c r="EG39846"/>
      <c r="EH39846"/>
      <c r="EI39846"/>
      <c r="EJ39846"/>
      <c r="EK39846"/>
    </row>
    <row r="39847" spans="1:141" s="116" customFormat="1">
      <c r="A39847" s="136"/>
      <c r="CM39847" s="111"/>
      <c r="CQ39847" s="111"/>
      <c r="EF39847"/>
      <c r="EG39847"/>
      <c r="EH39847"/>
      <c r="EI39847"/>
      <c r="EJ39847"/>
      <c r="EK39847"/>
    </row>
    <row r="39848" spans="1:141" s="116" customFormat="1">
      <c r="A39848" s="136"/>
      <c r="CM39848" s="111"/>
      <c r="CQ39848" s="111"/>
      <c r="EF39848"/>
      <c r="EG39848"/>
      <c r="EH39848"/>
      <c r="EI39848"/>
      <c r="EJ39848"/>
      <c r="EK39848"/>
    </row>
    <row r="39849" spans="1:141" s="116" customFormat="1">
      <c r="A39849" s="136"/>
      <c r="CM39849" s="111"/>
      <c r="CQ39849" s="111"/>
      <c r="EF39849"/>
      <c r="EG39849"/>
      <c r="EH39849"/>
      <c r="EI39849"/>
      <c r="EJ39849"/>
      <c r="EK39849"/>
    </row>
    <row r="39850" spans="1:141" s="116" customFormat="1">
      <c r="A39850" s="136"/>
      <c r="CM39850" s="111"/>
      <c r="CQ39850" s="111"/>
      <c r="EF39850"/>
      <c r="EG39850"/>
      <c r="EH39850"/>
      <c r="EI39850"/>
      <c r="EJ39850"/>
      <c r="EK39850"/>
    </row>
    <row r="39851" spans="1:141" s="116" customFormat="1">
      <c r="A39851" s="136"/>
      <c r="CM39851" s="111"/>
      <c r="CQ39851" s="111"/>
      <c r="EF39851"/>
      <c r="EG39851"/>
      <c r="EH39851"/>
      <c r="EI39851"/>
      <c r="EJ39851"/>
      <c r="EK39851"/>
    </row>
    <row r="39852" spans="1:141" s="116" customFormat="1">
      <c r="A39852" s="136"/>
      <c r="CM39852" s="111"/>
      <c r="CQ39852" s="111"/>
      <c r="EF39852"/>
      <c r="EG39852"/>
      <c r="EH39852"/>
      <c r="EI39852"/>
      <c r="EJ39852"/>
      <c r="EK39852"/>
    </row>
    <row r="39853" spans="1:141" s="116" customFormat="1">
      <c r="A39853" s="136"/>
      <c r="CM39853" s="111"/>
      <c r="CQ39853" s="111"/>
      <c r="EF39853"/>
      <c r="EG39853"/>
      <c r="EH39853"/>
      <c r="EI39853"/>
      <c r="EJ39853"/>
      <c r="EK39853"/>
    </row>
    <row r="39854" spans="1:141" s="116" customFormat="1">
      <c r="A39854" s="136"/>
      <c r="CM39854" s="111"/>
      <c r="CQ39854" s="111"/>
      <c r="EF39854"/>
      <c r="EG39854"/>
      <c r="EH39854"/>
      <c r="EI39854"/>
      <c r="EJ39854"/>
      <c r="EK39854"/>
    </row>
    <row r="39855" spans="1:141" s="116" customFormat="1">
      <c r="A39855" s="136"/>
      <c r="CM39855" s="111"/>
      <c r="CQ39855" s="111"/>
      <c r="EF39855"/>
      <c r="EG39855"/>
      <c r="EH39855"/>
      <c r="EI39855"/>
      <c r="EJ39855"/>
      <c r="EK39855"/>
    </row>
    <row r="39856" spans="1:141" s="116" customFormat="1">
      <c r="A39856" s="136"/>
      <c r="CM39856" s="111"/>
      <c r="CQ39856" s="111"/>
      <c r="EF39856"/>
      <c r="EG39856"/>
      <c r="EH39856"/>
      <c r="EI39856"/>
      <c r="EJ39856"/>
      <c r="EK39856"/>
    </row>
    <row r="39857" spans="1:141" s="116" customFormat="1">
      <c r="A39857" s="136"/>
      <c r="CM39857" s="111"/>
      <c r="CQ39857" s="111"/>
      <c r="EF39857"/>
      <c r="EG39857"/>
      <c r="EH39857"/>
      <c r="EI39857"/>
      <c r="EJ39857"/>
      <c r="EK39857"/>
    </row>
    <row r="39858" spans="1:141" s="116" customFormat="1">
      <c r="A39858" s="136"/>
      <c r="CM39858" s="111"/>
      <c r="CQ39858" s="111"/>
      <c r="EF39858"/>
      <c r="EG39858"/>
      <c r="EH39858"/>
      <c r="EI39858"/>
      <c r="EJ39858"/>
      <c r="EK39858"/>
    </row>
    <row r="39859" spans="1:141" s="116" customFormat="1">
      <c r="A39859" s="136"/>
      <c r="CM39859" s="111"/>
      <c r="CQ39859" s="111"/>
      <c r="EF39859"/>
      <c r="EG39859"/>
      <c r="EH39859"/>
      <c r="EI39859"/>
      <c r="EJ39859"/>
      <c r="EK39859"/>
    </row>
    <row r="39860" spans="1:141" s="116" customFormat="1">
      <c r="A39860" s="136"/>
      <c r="CM39860" s="111"/>
      <c r="CQ39860" s="111"/>
      <c r="EF39860"/>
      <c r="EG39860"/>
      <c r="EH39860"/>
      <c r="EI39860"/>
      <c r="EJ39860"/>
      <c r="EK39860"/>
    </row>
    <row r="39861" spans="1:141" s="116" customFormat="1">
      <c r="A39861" s="136"/>
      <c r="CM39861" s="111"/>
      <c r="CQ39861" s="111"/>
      <c r="EF39861"/>
      <c r="EG39861"/>
      <c r="EH39861"/>
      <c r="EI39861"/>
      <c r="EJ39861"/>
      <c r="EK39861"/>
    </row>
    <row r="39862" spans="1:141" s="116" customFormat="1">
      <c r="A39862" s="136"/>
      <c r="CM39862" s="111"/>
      <c r="CQ39862" s="111"/>
      <c r="EF39862"/>
      <c r="EG39862"/>
      <c r="EH39862"/>
      <c r="EI39862"/>
      <c r="EJ39862"/>
      <c r="EK39862"/>
    </row>
    <row r="39863" spans="1:141" s="116" customFormat="1">
      <c r="A39863" s="136"/>
      <c r="CM39863" s="111"/>
      <c r="CQ39863" s="111"/>
      <c r="EF39863"/>
      <c r="EG39863"/>
      <c r="EH39863"/>
      <c r="EI39863"/>
      <c r="EJ39863"/>
      <c r="EK39863"/>
    </row>
    <row r="39864" spans="1:141" s="116" customFormat="1">
      <c r="A39864" s="136"/>
      <c r="CM39864" s="111"/>
      <c r="CQ39864" s="111"/>
      <c r="EF39864"/>
      <c r="EG39864"/>
      <c r="EH39864"/>
      <c r="EI39864"/>
      <c r="EJ39864"/>
      <c r="EK39864"/>
    </row>
    <row r="39865" spans="1:141" s="116" customFormat="1">
      <c r="A39865" s="136"/>
      <c r="CM39865" s="111"/>
      <c r="CQ39865" s="111"/>
      <c r="EF39865"/>
      <c r="EG39865"/>
      <c r="EH39865"/>
      <c r="EI39865"/>
      <c r="EJ39865"/>
      <c r="EK39865"/>
    </row>
    <row r="39866" spans="1:141" s="116" customFormat="1">
      <c r="A39866" s="136"/>
      <c r="CM39866" s="111"/>
      <c r="CQ39866" s="111"/>
      <c r="EF39866"/>
      <c r="EG39866"/>
      <c r="EH39866"/>
      <c r="EI39866"/>
      <c r="EJ39866"/>
      <c r="EK39866"/>
    </row>
    <row r="39867" spans="1:141" s="116" customFormat="1">
      <c r="A39867" s="136"/>
      <c r="CM39867" s="111"/>
      <c r="CQ39867" s="111"/>
      <c r="EF39867"/>
      <c r="EG39867"/>
      <c r="EH39867"/>
      <c r="EI39867"/>
      <c r="EJ39867"/>
      <c r="EK39867"/>
    </row>
    <row r="39868" spans="1:141" s="116" customFormat="1">
      <c r="A39868" s="136"/>
      <c r="CM39868" s="111"/>
      <c r="CQ39868" s="111"/>
      <c r="EF39868"/>
      <c r="EG39868"/>
      <c r="EH39868"/>
      <c r="EI39868"/>
      <c r="EJ39868"/>
      <c r="EK39868"/>
    </row>
    <row r="39869" spans="1:141" s="116" customFormat="1">
      <c r="A39869" s="136"/>
      <c r="CM39869" s="111"/>
      <c r="CQ39869" s="111"/>
      <c r="EF39869"/>
      <c r="EG39869"/>
      <c r="EH39869"/>
      <c r="EI39869"/>
      <c r="EJ39869"/>
      <c r="EK39869"/>
    </row>
    <row r="39870" spans="1:141" s="116" customFormat="1">
      <c r="A39870" s="136"/>
      <c r="CM39870" s="111"/>
      <c r="CQ39870" s="111"/>
      <c r="EF39870"/>
      <c r="EG39870"/>
      <c r="EH39870"/>
      <c r="EI39870"/>
      <c r="EJ39870"/>
      <c r="EK39870"/>
    </row>
    <row r="39871" spans="1:141" s="116" customFormat="1">
      <c r="A39871" s="136"/>
      <c r="CM39871" s="111"/>
      <c r="CQ39871" s="111"/>
      <c r="EF39871"/>
      <c r="EG39871"/>
      <c r="EH39871"/>
      <c r="EI39871"/>
      <c r="EJ39871"/>
      <c r="EK39871"/>
    </row>
    <row r="39872" spans="1:141" s="116" customFormat="1">
      <c r="A39872" s="136"/>
      <c r="CM39872" s="111"/>
      <c r="CQ39872" s="111"/>
      <c r="EF39872"/>
      <c r="EG39872"/>
      <c r="EH39872"/>
      <c r="EI39872"/>
      <c r="EJ39872"/>
      <c r="EK39872"/>
    </row>
    <row r="39873" spans="1:141" s="116" customFormat="1">
      <c r="A39873" s="136"/>
      <c r="CM39873" s="111"/>
      <c r="CQ39873" s="111"/>
      <c r="EF39873"/>
      <c r="EG39873"/>
      <c r="EH39873"/>
      <c r="EI39873"/>
      <c r="EJ39873"/>
      <c r="EK39873"/>
    </row>
    <row r="39874" spans="1:141" s="116" customFormat="1">
      <c r="A39874" s="136"/>
      <c r="CM39874" s="111"/>
      <c r="CQ39874" s="111"/>
      <c r="EF39874"/>
      <c r="EG39874"/>
      <c r="EH39874"/>
      <c r="EI39874"/>
      <c r="EJ39874"/>
      <c r="EK39874"/>
    </row>
    <row r="39875" spans="1:141" s="116" customFormat="1">
      <c r="A39875" s="136"/>
      <c r="CM39875" s="111"/>
      <c r="CQ39875" s="111"/>
      <c r="EF39875"/>
      <c r="EG39875"/>
      <c r="EH39875"/>
      <c r="EI39875"/>
      <c r="EJ39875"/>
      <c r="EK39875"/>
    </row>
    <row r="39876" spans="1:141" s="116" customFormat="1">
      <c r="A39876" s="136"/>
      <c r="CM39876" s="111"/>
      <c r="CQ39876" s="111"/>
      <c r="EF39876"/>
      <c r="EG39876"/>
      <c r="EH39876"/>
      <c r="EI39876"/>
      <c r="EJ39876"/>
      <c r="EK39876"/>
    </row>
    <row r="39877" spans="1:141" s="116" customFormat="1">
      <c r="A39877" s="136"/>
      <c r="CM39877" s="111"/>
      <c r="CQ39877" s="111"/>
      <c r="EF39877"/>
      <c r="EG39877"/>
      <c r="EH39877"/>
      <c r="EI39877"/>
      <c r="EJ39877"/>
      <c r="EK39877"/>
    </row>
    <row r="39878" spans="1:141" s="116" customFormat="1">
      <c r="A39878" s="136"/>
      <c r="CM39878" s="111"/>
      <c r="CQ39878" s="111"/>
      <c r="EF39878"/>
      <c r="EG39878"/>
      <c r="EH39878"/>
      <c r="EI39878"/>
      <c r="EJ39878"/>
      <c r="EK39878"/>
    </row>
    <row r="39879" spans="1:141" s="116" customFormat="1">
      <c r="A39879" s="136"/>
      <c r="CM39879" s="111"/>
      <c r="CQ39879" s="111"/>
      <c r="EF39879"/>
      <c r="EG39879"/>
      <c r="EH39879"/>
      <c r="EI39879"/>
      <c r="EJ39879"/>
      <c r="EK39879"/>
    </row>
    <row r="39880" spans="1:141" s="116" customFormat="1">
      <c r="A39880" s="136"/>
      <c r="CM39880" s="111"/>
      <c r="CQ39880" s="111"/>
      <c r="EF39880"/>
      <c r="EG39880"/>
      <c r="EH39880"/>
      <c r="EI39880"/>
      <c r="EJ39880"/>
      <c r="EK39880"/>
    </row>
    <row r="39881" spans="1:141" s="116" customFormat="1">
      <c r="A39881" s="136"/>
      <c r="CM39881" s="111"/>
      <c r="CQ39881" s="111"/>
      <c r="EF39881"/>
      <c r="EG39881"/>
      <c r="EH39881"/>
      <c r="EI39881"/>
      <c r="EJ39881"/>
      <c r="EK39881"/>
    </row>
    <row r="39882" spans="1:141" s="116" customFormat="1">
      <c r="A39882" s="136"/>
      <c r="CM39882" s="111"/>
      <c r="CQ39882" s="111"/>
      <c r="EF39882"/>
      <c r="EG39882"/>
      <c r="EH39882"/>
      <c r="EI39882"/>
      <c r="EJ39882"/>
      <c r="EK39882"/>
    </row>
    <row r="39883" spans="1:141" s="116" customFormat="1">
      <c r="A39883" s="136"/>
      <c r="CM39883" s="111"/>
      <c r="CQ39883" s="111"/>
      <c r="EF39883"/>
      <c r="EG39883"/>
      <c r="EH39883"/>
      <c r="EI39883"/>
      <c r="EJ39883"/>
      <c r="EK39883"/>
    </row>
    <row r="39884" spans="1:141" s="116" customFormat="1">
      <c r="A39884" s="136"/>
      <c r="CM39884" s="111"/>
      <c r="CQ39884" s="111"/>
      <c r="EF39884"/>
      <c r="EG39884"/>
      <c r="EH39884"/>
      <c r="EI39884"/>
      <c r="EJ39884"/>
      <c r="EK39884"/>
    </row>
    <row r="39885" spans="1:141" s="116" customFormat="1">
      <c r="A39885" s="136"/>
      <c r="CM39885" s="111"/>
      <c r="CQ39885" s="111"/>
      <c r="EF39885"/>
      <c r="EG39885"/>
      <c r="EH39885"/>
      <c r="EI39885"/>
      <c r="EJ39885"/>
      <c r="EK39885"/>
    </row>
    <row r="39886" spans="1:141" s="116" customFormat="1">
      <c r="A39886" s="136"/>
      <c r="CM39886" s="111"/>
      <c r="CQ39886" s="111"/>
      <c r="EF39886"/>
      <c r="EG39886"/>
      <c r="EH39886"/>
      <c r="EI39886"/>
      <c r="EJ39886"/>
      <c r="EK39886"/>
    </row>
    <row r="39887" spans="1:141" s="116" customFormat="1">
      <c r="A39887" s="136"/>
      <c r="CM39887" s="111"/>
      <c r="CQ39887" s="111"/>
      <c r="EF39887"/>
      <c r="EG39887"/>
      <c r="EH39887"/>
      <c r="EI39887"/>
      <c r="EJ39887"/>
      <c r="EK39887"/>
    </row>
    <row r="39888" spans="1:141" s="116" customFormat="1">
      <c r="A39888" s="136"/>
      <c r="CM39888" s="111"/>
      <c r="CQ39888" s="111"/>
      <c r="EF39888"/>
      <c r="EG39888"/>
      <c r="EH39888"/>
      <c r="EI39888"/>
      <c r="EJ39888"/>
      <c r="EK39888"/>
    </row>
    <row r="39889" spans="1:141" s="116" customFormat="1">
      <c r="A39889" s="136"/>
      <c r="CM39889" s="111"/>
      <c r="CQ39889" s="111"/>
      <c r="EF39889"/>
      <c r="EG39889"/>
      <c r="EH39889"/>
      <c r="EI39889"/>
      <c r="EJ39889"/>
      <c r="EK39889"/>
    </row>
    <row r="39890" spans="1:141" s="116" customFormat="1">
      <c r="A39890" s="136"/>
      <c r="CM39890" s="111"/>
      <c r="CQ39890" s="111"/>
      <c r="EF39890"/>
      <c r="EG39890"/>
      <c r="EH39890"/>
      <c r="EI39890"/>
      <c r="EJ39890"/>
      <c r="EK39890"/>
    </row>
    <row r="39891" spans="1:141" s="116" customFormat="1">
      <c r="A39891" s="136"/>
      <c r="CM39891" s="111"/>
      <c r="CQ39891" s="111"/>
      <c r="EF39891"/>
      <c r="EG39891"/>
      <c r="EH39891"/>
      <c r="EI39891"/>
      <c r="EJ39891"/>
      <c r="EK39891"/>
    </row>
    <row r="39892" spans="1:141" s="116" customFormat="1">
      <c r="A39892" s="136"/>
      <c r="CM39892" s="111"/>
      <c r="CQ39892" s="111"/>
      <c r="EF39892"/>
      <c r="EG39892"/>
      <c r="EH39892"/>
      <c r="EI39892"/>
      <c r="EJ39892"/>
      <c r="EK39892"/>
    </row>
    <row r="39893" spans="1:141" s="116" customFormat="1">
      <c r="A39893" s="136"/>
      <c r="CM39893" s="111"/>
      <c r="CQ39893" s="111"/>
      <c r="EF39893"/>
      <c r="EG39893"/>
      <c r="EH39893"/>
      <c r="EI39893"/>
      <c r="EJ39893"/>
      <c r="EK39893"/>
    </row>
    <row r="39894" spans="1:141" s="116" customFormat="1">
      <c r="A39894" s="136"/>
      <c r="CM39894" s="111"/>
      <c r="CQ39894" s="111"/>
      <c r="EF39894"/>
      <c r="EG39894"/>
      <c r="EH39894"/>
      <c r="EI39894"/>
      <c r="EJ39894"/>
      <c r="EK39894"/>
    </row>
    <row r="39895" spans="1:141" s="116" customFormat="1">
      <c r="A39895" s="136"/>
      <c r="CM39895" s="111"/>
      <c r="CQ39895" s="111"/>
      <c r="EF39895"/>
      <c r="EG39895"/>
      <c r="EH39895"/>
      <c r="EI39895"/>
      <c r="EJ39895"/>
      <c r="EK39895"/>
    </row>
    <row r="39896" spans="1:141" s="116" customFormat="1">
      <c r="A39896" s="136"/>
      <c r="CM39896" s="111"/>
      <c r="CQ39896" s="111"/>
      <c r="EF39896"/>
      <c r="EG39896"/>
      <c r="EH39896"/>
      <c r="EI39896"/>
      <c r="EJ39896"/>
      <c r="EK39896"/>
    </row>
    <row r="39897" spans="1:141" s="116" customFormat="1">
      <c r="A39897" s="136"/>
      <c r="CM39897" s="111"/>
      <c r="CQ39897" s="111"/>
      <c r="EF39897"/>
      <c r="EG39897"/>
      <c r="EH39897"/>
      <c r="EI39897"/>
      <c r="EJ39897"/>
      <c r="EK39897"/>
    </row>
    <row r="39898" spans="1:141" s="116" customFormat="1">
      <c r="A39898" s="136"/>
      <c r="CM39898" s="111"/>
      <c r="CQ39898" s="111"/>
      <c r="EF39898"/>
      <c r="EG39898"/>
      <c r="EH39898"/>
      <c r="EI39898"/>
      <c r="EJ39898"/>
      <c r="EK39898"/>
    </row>
    <row r="39899" spans="1:141" s="116" customFormat="1">
      <c r="A39899" s="136"/>
      <c r="CM39899" s="111"/>
      <c r="CQ39899" s="111"/>
      <c r="EF39899"/>
      <c r="EG39899"/>
      <c r="EH39899"/>
      <c r="EI39899"/>
      <c r="EJ39899"/>
      <c r="EK39899"/>
    </row>
    <row r="39900" spans="1:141" s="116" customFormat="1">
      <c r="A39900" s="136"/>
      <c r="CM39900" s="111"/>
      <c r="CQ39900" s="111"/>
      <c r="EF39900"/>
      <c r="EG39900"/>
      <c r="EH39900"/>
      <c r="EI39900"/>
      <c r="EJ39900"/>
      <c r="EK39900"/>
    </row>
    <row r="39901" spans="1:141" s="116" customFormat="1">
      <c r="A39901" s="136"/>
      <c r="CM39901" s="111"/>
      <c r="CQ39901" s="111"/>
      <c r="EF39901"/>
      <c r="EG39901"/>
      <c r="EH39901"/>
      <c r="EI39901"/>
      <c r="EJ39901"/>
      <c r="EK39901"/>
    </row>
    <row r="39902" spans="1:141" s="116" customFormat="1">
      <c r="A39902" s="136"/>
      <c r="CM39902" s="111"/>
      <c r="CQ39902" s="111"/>
      <c r="EF39902"/>
      <c r="EG39902"/>
      <c r="EH39902"/>
      <c r="EI39902"/>
      <c r="EJ39902"/>
      <c r="EK39902"/>
    </row>
    <row r="39903" spans="1:141" s="116" customFormat="1">
      <c r="A39903" s="136"/>
      <c r="CM39903" s="111"/>
      <c r="CQ39903" s="111"/>
      <c r="EF39903"/>
      <c r="EG39903"/>
      <c r="EH39903"/>
      <c r="EI39903"/>
      <c r="EJ39903"/>
      <c r="EK39903"/>
    </row>
    <row r="39904" spans="1:141" s="116" customFormat="1">
      <c r="A39904" s="136"/>
      <c r="CM39904" s="111"/>
      <c r="CQ39904" s="111"/>
      <c r="EF39904"/>
      <c r="EG39904"/>
      <c r="EH39904"/>
      <c r="EI39904"/>
      <c r="EJ39904"/>
      <c r="EK39904"/>
    </row>
    <row r="39905" spans="1:141" s="116" customFormat="1">
      <c r="A39905" s="136"/>
      <c r="CM39905" s="111"/>
      <c r="CQ39905" s="111"/>
      <c r="EF39905"/>
      <c r="EG39905"/>
      <c r="EH39905"/>
      <c r="EI39905"/>
      <c r="EJ39905"/>
      <c r="EK39905"/>
    </row>
    <row r="39906" spans="1:141" s="116" customFormat="1">
      <c r="A39906" s="136"/>
      <c r="CM39906" s="111"/>
      <c r="CQ39906" s="111"/>
      <c r="EF39906"/>
      <c r="EG39906"/>
      <c r="EH39906"/>
      <c r="EI39906"/>
      <c r="EJ39906"/>
      <c r="EK39906"/>
    </row>
    <row r="39907" spans="1:141" s="116" customFormat="1">
      <c r="A39907" s="136"/>
      <c r="CM39907" s="111"/>
      <c r="CQ39907" s="111"/>
      <c r="EF39907"/>
      <c r="EG39907"/>
      <c r="EH39907"/>
      <c r="EI39907"/>
      <c r="EJ39907"/>
      <c r="EK39907"/>
    </row>
    <row r="39908" spans="1:141" s="116" customFormat="1">
      <c r="A39908" s="136"/>
      <c r="CM39908" s="111"/>
      <c r="CQ39908" s="111"/>
      <c r="EF39908"/>
      <c r="EG39908"/>
      <c r="EH39908"/>
      <c r="EI39908"/>
      <c r="EJ39908"/>
      <c r="EK39908"/>
    </row>
    <row r="39909" spans="1:141" s="116" customFormat="1">
      <c r="A39909" s="136"/>
      <c r="CM39909" s="111"/>
      <c r="CQ39909" s="111"/>
      <c r="EF39909"/>
      <c r="EG39909"/>
      <c r="EH39909"/>
      <c r="EI39909"/>
      <c r="EJ39909"/>
      <c r="EK39909"/>
    </row>
    <row r="39910" spans="1:141" s="116" customFormat="1">
      <c r="A39910" s="136"/>
      <c r="CM39910" s="111"/>
      <c r="CQ39910" s="111"/>
      <c r="EF39910"/>
      <c r="EG39910"/>
      <c r="EH39910"/>
      <c r="EI39910"/>
      <c r="EJ39910"/>
      <c r="EK39910"/>
    </row>
    <row r="39911" spans="1:141" s="116" customFormat="1">
      <c r="A39911" s="136"/>
      <c r="CM39911" s="111"/>
      <c r="CQ39911" s="111"/>
      <c r="EF39911"/>
      <c r="EG39911"/>
      <c r="EH39911"/>
      <c r="EI39911"/>
      <c r="EJ39911"/>
      <c r="EK39911"/>
    </row>
    <row r="39912" spans="1:141" s="116" customFormat="1">
      <c r="A39912" s="136"/>
      <c r="CM39912" s="111"/>
      <c r="CQ39912" s="111"/>
      <c r="EF39912"/>
      <c r="EG39912"/>
      <c r="EH39912"/>
      <c r="EI39912"/>
      <c r="EJ39912"/>
      <c r="EK39912"/>
    </row>
    <row r="39913" spans="1:141" s="116" customFormat="1">
      <c r="A39913" s="136"/>
      <c r="CM39913" s="111"/>
      <c r="CQ39913" s="111"/>
      <c r="EF39913"/>
      <c r="EG39913"/>
      <c r="EH39913"/>
      <c r="EI39913"/>
      <c r="EJ39913"/>
      <c r="EK39913"/>
    </row>
    <row r="39914" spans="1:141" s="116" customFormat="1">
      <c r="A39914" s="136"/>
      <c r="CM39914" s="111"/>
      <c r="CQ39914" s="111"/>
      <c r="EF39914"/>
      <c r="EG39914"/>
      <c r="EH39914"/>
      <c r="EI39914"/>
      <c r="EJ39914"/>
      <c r="EK39914"/>
    </row>
    <row r="39915" spans="1:141" s="116" customFormat="1">
      <c r="A39915" s="136"/>
      <c r="CM39915" s="111"/>
      <c r="CQ39915" s="111"/>
      <c r="EF39915"/>
      <c r="EG39915"/>
      <c r="EH39915"/>
      <c r="EI39915"/>
      <c r="EJ39915"/>
      <c r="EK39915"/>
    </row>
    <row r="39916" spans="1:141" s="116" customFormat="1">
      <c r="A39916" s="136"/>
      <c r="CM39916" s="111"/>
      <c r="CQ39916" s="111"/>
      <c r="EF39916"/>
      <c r="EG39916"/>
      <c r="EH39916"/>
      <c r="EI39916"/>
      <c r="EJ39916"/>
      <c r="EK39916"/>
    </row>
    <row r="39917" spans="1:141" s="116" customFormat="1">
      <c r="A39917" s="136"/>
      <c r="CM39917" s="111"/>
      <c r="CQ39917" s="111"/>
      <c r="EF39917"/>
      <c r="EG39917"/>
      <c r="EH39917"/>
      <c r="EI39917"/>
      <c r="EJ39917"/>
      <c r="EK39917"/>
    </row>
    <row r="39918" spans="1:141" s="116" customFormat="1">
      <c r="A39918" s="136"/>
      <c r="CM39918" s="111"/>
      <c r="CQ39918" s="111"/>
      <c r="EF39918"/>
      <c r="EG39918"/>
      <c r="EH39918"/>
      <c r="EI39918"/>
      <c r="EJ39918"/>
      <c r="EK39918"/>
    </row>
    <row r="39919" spans="1:141" s="116" customFormat="1">
      <c r="A39919" s="136"/>
      <c r="CM39919" s="111"/>
      <c r="CQ39919" s="111"/>
      <c r="EF39919"/>
      <c r="EG39919"/>
      <c r="EH39919"/>
      <c r="EI39919"/>
      <c r="EJ39919"/>
      <c r="EK39919"/>
    </row>
    <row r="39920" spans="1:141" s="116" customFormat="1">
      <c r="A39920" s="136"/>
      <c r="CM39920" s="111"/>
      <c r="CQ39920" s="111"/>
      <c r="EF39920"/>
      <c r="EG39920"/>
      <c r="EH39920"/>
      <c r="EI39920"/>
      <c r="EJ39920"/>
      <c r="EK39920"/>
    </row>
    <row r="39921" spans="1:141" s="116" customFormat="1">
      <c r="A39921" s="136"/>
      <c r="CM39921" s="111"/>
      <c r="CQ39921" s="111"/>
      <c r="EF39921"/>
      <c r="EG39921"/>
      <c r="EH39921"/>
      <c r="EI39921"/>
      <c r="EJ39921"/>
      <c r="EK39921"/>
    </row>
    <row r="39922" spans="1:141" s="116" customFormat="1">
      <c r="A39922" s="136"/>
      <c r="CM39922" s="111"/>
      <c r="CQ39922" s="111"/>
      <c r="EF39922"/>
      <c r="EG39922"/>
      <c r="EH39922"/>
      <c r="EI39922"/>
      <c r="EJ39922"/>
      <c r="EK39922"/>
    </row>
    <row r="39923" spans="1:141" s="116" customFormat="1">
      <c r="A39923" s="136"/>
      <c r="CM39923" s="111"/>
      <c r="CQ39923" s="111"/>
      <c r="EF39923"/>
      <c r="EG39923"/>
      <c r="EH39923"/>
      <c r="EI39923"/>
      <c r="EJ39923"/>
      <c r="EK39923"/>
    </row>
    <row r="39924" spans="1:141" s="116" customFormat="1">
      <c r="A39924" s="136"/>
      <c r="CM39924" s="111"/>
      <c r="CQ39924" s="111"/>
      <c r="EF39924"/>
      <c r="EG39924"/>
      <c r="EH39924"/>
      <c r="EI39924"/>
      <c r="EJ39924"/>
      <c r="EK39924"/>
    </row>
    <row r="39925" spans="1:141" s="116" customFormat="1">
      <c r="A39925" s="136"/>
      <c r="CM39925" s="111"/>
      <c r="CQ39925" s="111"/>
      <c r="EF39925"/>
      <c r="EG39925"/>
      <c r="EH39925"/>
      <c r="EI39925"/>
      <c r="EJ39925"/>
      <c r="EK39925"/>
    </row>
    <row r="39926" spans="1:141" s="116" customFormat="1">
      <c r="A39926" s="136"/>
      <c r="CM39926" s="111"/>
      <c r="CQ39926" s="111"/>
      <c r="EF39926"/>
      <c r="EG39926"/>
      <c r="EH39926"/>
      <c r="EI39926"/>
      <c r="EJ39926"/>
      <c r="EK39926"/>
    </row>
    <row r="39927" spans="1:141" s="116" customFormat="1">
      <c r="A39927" s="136"/>
      <c r="CM39927" s="111"/>
      <c r="CQ39927" s="111"/>
      <c r="EF39927"/>
      <c r="EG39927"/>
      <c r="EH39927"/>
      <c r="EI39927"/>
      <c r="EJ39927"/>
      <c r="EK39927"/>
    </row>
    <row r="39928" spans="1:141" s="116" customFormat="1">
      <c r="A39928" s="136"/>
      <c r="CM39928" s="111"/>
      <c r="CQ39928" s="111"/>
      <c r="EF39928"/>
      <c r="EG39928"/>
      <c r="EH39928"/>
      <c r="EI39928"/>
      <c r="EJ39928"/>
      <c r="EK39928"/>
    </row>
    <row r="39929" spans="1:141" s="116" customFormat="1">
      <c r="A39929" s="136"/>
      <c r="CM39929" s="111"/>
      <c r="CQ39929" s="111"/>
      <c r="EF39929"/>
      <c r="EG39929"/>
      <c r="EH39929"/>
      <c r="EI39929"/>
      <c r="EJ39929"/>
      <c r="EK39929"/>
    </row>
    <row r="39930" spans="1:141" s="116" customFormat="1">
      <c r="A39930" s="136"/>
      <c r="CM39930" s="111"/>
      <c r="CQ39930" s="111"/>
      <c r="EF39930"/>
      <c r="EG39930"/>
      <c r="EH39930"/>
      <c r="EI39930"/>
      <c r="EJ39930"/>
      <c r="EK39930"/>
    </row>
    <row r="39931" spans="1:141" s="116" customFormat="1">
      <c r="A39931" s="136"/>
      <c r="CM39931" s="111"/>
      <c r="CQ39931" s="111"/>
      <c r="EF39931"/>
      <c r="EG39931"/>
      <c r="EH39931"/>
      <c r="EI39931"/>
      <c r="EJ39931"/>
      <c r="EK39931"/>
    </row>
    <row r="39932" spans="1:141" s="116" customFormat="1">
      <c r="A39932" s="136"/>
      <c r="CM39932" s="111"/>
      <c r="CQ39932" s="111"/>
      <c r="EF39932"/>
      <c r="EG39932"/>
      <c r="EH39932"/>
      <c r="EI39932"/>
      <c r="EJ39932"/>
      <c r="EK39932"/>
    </row>
    <row r="39933" spans="1:141" s="116" customFormat="1">
      <c r="A39933" s="136"/>
      <c r="CM39933" s="111"/>
      <c r="CQ39933" s="111"/>
      <c r="EF39933"/>
      <c r="EG39933"/>
      <c r="EH39933"/>
      <c r="EI39933"/>
      <c r="EJ39933"/>
      <c r="EK39933"/>
    </row>
    <row r="39934" spans="1:141" s="116" customFormat="1">
      <c r="A39934" s="136"/>
      <c r="CM39934" s="111"/>
      <c r="CQ39934" s="111"/>
      <c r="EF39934"/>
      <c r="EG39934"/>
      <c r="EH39934"/>
      <c r="EI39934"/>
      <c r="EJ39934"/>
      <c r="EK39934"/>
    </row>
    <row r="39935" spans="1:141" s="116" customFormat="1">
      <c r="A39935" s="136"/>
      <c r="CM39935" s="111"/>
      <c r="CQ39935" s="111"/>
      <c r="EF39935"/>
      <c r="EG39935"/>
      <c r="EH39935"/>
      <c r="EI39935"/>
      <c r="EJ39935"/>
      <c r="EK39935"/>
    </row>
    <row r="39936" spans="1:141" s="116" customFormat="1">
      <c r="A39936" s="136"/>
      <c r="CM39936" s="111"/>
      <c r="CQ39936" s="111"/>
      <c r="EF39936"/>
      <c r="EG39936"/>
      <c r="EH39936"/>
      <c r="EI39936"/>
      <c r="EJ39936"/>
      <c r="EK39936"/>
    </row>
    <row r="39937" spans="1:141" s="116" customFormat="1">
      <c r="A39937" s="136"/>
      <c r="CM39937" s="111"/>
      <c r="CQ39937" s="111"/>
      <c r="EF39937"/>
      <c r="EG39937"/>
      <c r="EH39937"/>
      <c r="EI39937"/>
      <c r="EJ39937"/>
      <c r="EK39937"/>
    </row>
    <row r="39938" spans="1:141" s="116" customFormat="1">
      <c r="A39938" s="136"/>
      <c r="CM39938" s="111"/>
      <c r="CQ39938" s="111"/>
      <c r="EF39938"/>
      <c r="EG39938"/>
      <c r="EH39938"/>
      <c r="EI39938"/>
      <c r="EJ39938"/>
      <c r="EK39938"/>
    </row>
    <row r="39939" spans="1:141" s="116" customFormat="1">
      <c r="A39939" s="136"/>
      <c r="CM39939" s="111"/>
      <c r="CQ39939" s="111"/>
      <c r="EF39939"/>
      <c r="EG39939"/>
      <c r="EH39939"/>
      <c r="EI39939"/>
      <c r="EJ39939"/>
      <c r="EK39939"/>
    </row>
    <row r="39940" spans="1:141" s="116" customFormat="1">
      <c r="A39940" s="136"/>
      <c r="CM39940" s="111"/>
      <c r="CQ39940" s="111"/>
      <c r="EF39940"/>
      <c r="EG39940"/>
      <c r="EH39940"/>
      <c r="EI39940"/>
      <c r="EJ39940"/>
      <c r="EK39940"/>
    </row>
    <row r="39941" spans="1:141" s="116" customFormat="1">
      <c r="A39941" s="136"/>
      <c r="CM39941" s="111"/>
      <c r="CQ39941" s="111"/>
      <c r="EF39941"/>
      <c r="EG39941"/>
      <c r="EH39941"/>
      <c r="EI39941"/>
      <c r="EJ39941"/>
      <c r="EK39941"/>
    </row>
    <row r="39942" spans="1:141" s="116" customFormat="1">
      <c r="A39942" s="136"/>
      <c r="CM39942" s="111"/>
      <c r="CQ39942" s="111"/>
      <c r="EF39942"/>
      <c r="EG39942"/>
      <c r="EH39942"/>
      <c r="EI39942"/>
      <c r="EJ39942"/>
      <c r="EK39942"/>
    </row>
    <row r="39943" spans="1:141" s="116" customFormat="1">
      <c r="A39943" s="136"/>
      <c r="CM39943" s="111"/>
      <c r="CQ39943" s="111"/>
      <c r="EF39943"/>
      <c r="EG39943"/>
      <c r="EH39943"/>
      <c r="EI39943"/>
      <c r="EJ39943"/>
      <c r="EK39943"/>
    </row>
    <row r="39944" spans="1:141" s="116" customFormat="1">
      <c r="A39944" s="136"/>
      <c r="CM39944" s="111"/>
      <c r="CQ39944" s="111"/>
      <c r="EF39944"/>
      <c r="EG39944"/>
      <c r="EH39944"/>
      <c r="EI39944"/>
      <c r="EJ39944"/>
      <c r="EK39944"/>
    </row>
    <row r="39945" spans="1:141" s="116" customFormat="1">
      <c r="A39945" s="136"/>
      <c r="CM39945" s="111"/>
      <c r="CQ39945" s="111"/>
      <c r="EF39945"/>
      <c r="EG39945"/>
      <c r="EH39945"/>
      <c r="EI39945"/>
      <c r="EJ39945"/>
      <c r="EK39945"/>
    </row>
    <row r="39946" spans="1:141" s="116" customFormat="1">
      <c r="A39946" s="136"/>
      <c r="CM39946" s="111"/>
      <c r="CQ39946" s="111"/>
      <c r="EF39946"/>
      <c r="EG39946"/>
      <c r="EH39946"/>
      <c r="EI39946"/>
      <c r="EJ39946"/>
      <c r="EK39946"/>
    </row>
    <row r="39947" spans="1:141" s="116" customFormat="1">
      <c r="A39947" s="136"/>
      <c r="CM39947" s="111"/>
      <c r="CQ39947" s="111"/>
      <c r="EF39947"/>
      <c r="EG39947"/>
      <c r="EH39947"/>
      <c r="EI39947"/>
      <c r="EJ39947"/>
      <c r="EK39947"/>
    </row>
    <row r="39948" spans="1:141" s="116" customFormat="1">
      <c r="A39948" s="136"/>
      <c r="CM39948" s="111"/>
      <c r="CQ39948" s="111"/>
      <c r="EF39948"/>
      <c r="EG39948"/>
      <c r="EH39948"/>
      <c r="EI39948"/>
      <c r="EJ39948"/>
      <c r="EK39948"/>
    </row>
    <row r="39949" spans="1:141" s="116" customFormat="1">
      <c r="A39949" s="136"/>
      <c r="CM39949" s="111"/>
      <c r="CQ39949" s="111"/>
      <c r="EF39949"/>
      <c r="EG39949"/>
      <c r="EH39949"/>
      <c r="EI39949"/>
      <c r="EJ39949"/>
      <c r="EK39949"/>
    </row>
    <row r="39950" spans="1:141" s="116" customFormat="1">
      <c r="A39950" s="136"/>
      <c r="CM39950" s="111"/>
      <c r="CQ39950" s="111"/>
      <c r="EF39950"/>
      <c r="EG39950"/>
      <c r="EH39950"/>
      <c r="EI39950"/>
      <c r="EJ39950"/>
      <c r="EK39950"/>
    </row>
    <row r="39951" spans="1:141" s="116" customFormat="1">
      <c r="A39951" s="136"/>
      <c r="CM39951" s="111"/>
      <c r="CQ39951" s="111"/>
      <c r="EF39951"/>
      <c r="EG39951"/>
      <c r="EH39951"/>
      <c r="EI39951"/>
      <c r="EJ39951"/>
      <c r="EK39951"/>
    </row>
    <row r="39952" spans="1:141" s="116" customFormat="1">
      <c r="A39952" s="136"/>
      <c r="CM39952" s="111"/>
      <c r="CQ39952" s="111"/>
      <c r="EF39952"/>
      <c r="EG39952"/>
      <c r="EH39952"/>
      <c r="EI39952"/>
      <c r="EJ39952"/>
      <c r="EK39952"/>
    </row>
    <row r="39953" spans="1:141" s="116" customFormat="1">
      <c r="A39953" s="136"/>
      <c r="CM39953" s="111"/>
      <c r="CQ39953" s="111"/>
      <c r="EF39953"/>
      <c r="EG39953"/>
      <c r="EH39953"/>
      <c r="EI39953"/>
      <c r="EJ39953"/>
      <c r="EK39953"/>
    </row>
    <row r="39954" spans="1:141" s="116" customFormat="1">
      <c r="A39954" s="136"/>
      <c r="CM39954" s="111"/>
      <c r="CQ39954" s="111"/>
      <c r="EF39954"/>
      <c r="EG39954"/>
      <c r="EH39954"/>
      <c r="EI39954"/>
      <c r="EJ39954"/>
      <c r="EK39954"/>
    </row>
    <row r="39955" spans="1:141" s="116" customFormat="1">
      <c r="A39955" s="136"/>
      <c r="CM39955" s="111"/>
      <c r="CQ39955" s="111"/>
      <c r="EF39955"/>
      <c r="EG39955"/>
      <c r="EH39955"/>
      <c r="EI39955"/>
      <c r="EJ39955"/>
      <c r="EK39955"/>
    </row>
    <row r="39956" spans="1:141" s="116" customFormat="1">
      <c r="A39956" s="136"/>
      <c r="CM39956" s="111"/>
      <c r="CQ39956" s="111"/>
      <c r="EF39956"/>
      <c r="EG39956"/>
      <c r="EH39956"/>
      <c r="EI39956"/>
      <c r="EJ39956"/>
      <c r="EK39956"/>
    </row>
    <row r="39957" spans="1:141" s="116" customFormat="1">
      <c r="A39957" s="136"/>
      <c r="CM39957" s="111"/>
      <c r="CQ39957" s="111"/>
      <c r="EF39957"/>
      <c r="EG39957"/>
      <c r="EH39957"/>
      <c r="EI39957"/>
      <c r="EJ39957"/>
      <c r="EK39957"/>
    </row>
    <row r="39958" spans="1:141" s="116" customFormat="1">
      <c r="A39958" s="136"/>
      <c r="CM39958" s="111"/>
      <c r="CQ39958" s="111"/>
      <c r="EF39958"/>
      <c r="EG39958"/>
      <c r="EH39958"/>
      <c r="EI39958"/>
      <c r="EJ39958"/>
      <c r="EK39958"/>
    </row>
    <row r="39959" spans="1:141" s="116" customFormat="1">
      <c r="A39959" s="136"/>
      <c r="CM39959" s="111"/>
      <c r="CQ39959" s="111"/>
      <c r="EF39959"/>
      <c r="EG39959"/>
      <c r="EH39959"/>
      <c r="EI39959"/>
      <c r="EJ39959"/>
      <c r="EK39959"/>
    </row>
    <row r="39960" spans="1:141" s="116" customFormat="1">
      <c r="A39960" s="136"/>
      <c r="CM39960" s="111"/>
      <c r="CQ39960" s="111"/>
      <c r="EF39960"/>
      <c r="EG39960"/>
      <c r="EH39960"/>
      <c r="EI39960"/>
      <c r="EJ39960"/>
      <c r="EK39960"/>
    </row>
    <row r="39961" spans="1:141" s="116" customFormat="1">
      <c r="A39961" s="136"/>
      <c r="CM39961" s="111"/>
      <c r="CQ39961" s="111"/>
      <c r="EF39961"/>
      <c r="EG39961"/>
      <c r="EH39961"/>
      <c r="EI39961"/>
      <c r="EJ39961"/>
      <c r="EK39961"/>
    </row>
    <row r="39962" spans="1:141" s="116" customFormat="1">
      <c r="A39962" s="136"/>
      <c r="CM39962" s="111"/>
      <c r="CQ39962" s="111"/>
      <c r="EF39962"/>
      <c r="EG39962"/>
      <c r="EH39962"/>
      <c r="EI39962"/>
      <c r="EJ39962"/>
      <c r="EK39962"/>
    </row>
    <row r="39963" spans="1:141" s="116" customFormat="1">
      <c r="A39963" s="136"/>
      <c r="CM39963" s="111"/>
      <c r="CQ39963" s="111"/>
      <c r="EF39963"/>
      <c r="EG39963"/>
      <c r="EH39963"/>
      <c r="EI39963"/>
      <c r="EJ39963"/>
      <c r="EK39963"/>
    </row>
    <row r="39964" spans="1:141" s="116" customFormat="1">
      <c r="A39964" s="136"/>
      <c r="CM39964" s="111"/>
      <c r="CQ39964" s="111"/>
      <c r="EF39964"/>
      <c r="EG39964"/>
      <c r="EH39964"/>
      <c r="EI39964"/>
      <c r="EJ39964"/>
      <c r="EK39964"/>
    </row>
    <row r="39965" spans="1:141" s="116" customFormat="1">
      <c r="A39965" s="136"/>
      <c r="CM39965" s="111"/>
      <c r="CQ39965" s="111"/>
      <c r="EF39965"/>
      <c r="EG39965"/>
      <c r="EH39965"/>
      <c r="EI39965"/>
      <c r="EJ39965"/>
      <c r="EK39965"/>
    </row>
    <row r="39966" spans="1:141" s="116" customFormat="1">
      <c r="A39966" s="136"/>
      <c r="CM39966" s="111"/>
      <c r="CQ39966" s="111"/>
      <c r="EF39966"/>
      <c r="EG39966"/>
      <c r="EH39966"/>
      <c r="EI39966"/>
      <c r="EJ39966"/>
      <c r="EK39966"/>
    </row>
    <row r="39967" spans="1:141" s="116" customFormat="1">
      <c r="A39967" s="136"/>
      <c r="CM39967" s="111"/>
      <c r="CQ39967" s="111"/>
      <c r="EF39967"/>
      <c r="EG39967"/>
      <c r="EH39967"/>
      <c r="EI39967"/>
      <c r="EJ39967"/>
      <c r="EK39967"/>
    </row>
    <row r="39968" spans="1:141" s="116" customFormat="1">
      <c r="A39968" s="136"/>
      <c r="CM39968" s="111"/>
      <c r="CQ39968" s="111"/>
      <c r="EF39968"/>
      <c r="EG39968"/>
      <c r="EH39968"/>
      <c r="EI39968"/>
      <c r="EJ39968"/>
      <c r="EK39968"/>
    </row>
    <row r="39969" spans="1:141" s="116" customFormat="1">
      <c r="A39969" s="136"/>
      <c r="CM39969" s="111"/>
      <c r="CQ39969" s="111"/>
      <c r="EF39969"/>
      <c r="EG39969"/>
      <c r="EH39969"/>
      <c r="EI39969"/>
      <c r="EJ39969"/>
      <c r="EK39969"/>
    </row>
    <row r="39970" spans="1:141" s="116" customFormat="1">
      <c r="A39970" s="136"/>
      <c r="CM39970" s="111"/>
      <c r="CQ39970" s="111"/>
      <c r="EF39970"/>
      <c r="EG39970"/>
      <c r="EH39970"/>
      <c r="EI39970"/>
      <c r="EJ39970"/>
      <c r="EK39970"/>
    </row>
    <row r="39971" spans="1:141" s="116" customFormat="1">
      <c r="A39971" s="136"/>
      <c r="CM39971" s="111"/>
      <c r="CQ39971" s="111"/>
      <c r="EF39971"/>
      <c r="EG39971"/>
      <c r="EH39971"/>
      <c r="EI39971"/>
      <c r="EJ39971"/>
      <c r="EK39971"/>
    </row>
    <row r="39972" spans="1:141" s="116" customFormat="1">
      <c r="A39972" s="136"/>
      <c r="CM39972" s="111"/>
      <c r="CQ39972" s="111"/>
      <c r="EF39972"/>
      <c r="EG39972"/>
      <c r="EH39972"/>
      <c r="EI39972"/>
      <c r="EJ39972"/>
      <c r="EK39972"/>
    </row>
    <row r="39973" spans="1:141" s="116" customFormat="1">
      <c r="A39973" s="136"/>
      <c r="CM39973" s="111"/>
      <c r="CQ39973" s="111"/>
      <c r="EF39973"/>
      <c r="EG39973"/>
      <c r="EH39973"/>
      <c r="EI39973"/>
      <c r="EJ39973"/>
      <c r="EK39973"/>
    </row>
    <row r="39974" spans="1:141" s="116" customFormat="1">
      <c r="A39974" s="136"/>
      <c r="CM39974" s="111"/>
      <c r="CQ39974" s="111"/>
      <c r="EF39974"/>
      <c r="EG39974"/>
      <c r="EH39974"/>
      <c r="EI39974"/>
      <c r="EJ39974"/>
      <c r="EK39974"/>
    </row>
    <row r="39975" spans="1:141" s="116" customFormat="1">
      <c r="A39975" s="136"/>
      <c r="CM39975" s="111"/>
      <c r="CQ39975" s="111"/>
      <c r="EF39975"/>
      <c r="EG39975"/>
      <c r="EH39975"/>
      <c r="EI39975"/>
      <c r="EJ39975"/>
      <c r="EK39975"/>
    </row>
    <row r="39976" spans="1:141" s="116" customFormat="1">
      <c r="A39976" s="136"/>
      <c r="CM39976" s="111"/>
      <c r="CQ39976" s="111"/>
      <c r="EF39976"/>
      <c r="EG39976"/>
      <c r="EH39976"/>
      <c r="EI39976"/>
      <c r="EJ39976"/>
      <c r="EK39976"/>
    </row>
    <row r="39977" spans="1:141" s="116" customFormat="1">
      <c r="A39977" s="136"/>
      <c r="CM39977" s="111"/>
      <c r="CQ39977" s="111"/>
      <c r="EF39977"/>
      <c r="EG39977"/>
      <c r="EH39977"/>
      <c r="EI39977"/>
      <c r="EJ39977"/>
      <c r="EK39977"/>
    </row>
    <row r="39978" spans="1:141" s="116" customFormat="1">
      <c r="A39978" s="136"/>
      <c r="CM39978" s="111"/>
      <c r="CQ39978" s="111"/>
      <c r="EF39978"/>
      <c r="EG39978"/>
      <c r="EH39978"/>
      <c r="EI39978"/>
      <c r="EJ39978"/>
      <c r="EK39978"/>
    </row>
    <row r="39979" spans="1:141" s="116" customFormat="1">
      <c r="A39979" s="136"/>
      <c r="CM39979" s="111"/>
      <c r="CQ39979" s="111"/>
      <c r="EF39979"/>
      <c r="EG39979"/>
      <c r="EH39979"/>
      <c r="EI39979"/>
      <c r="EJ39979"/>
      <c r="EK39979"/>
    </row>
    <row r="39980" spans="1:141" s="116" customFormat="1">
      <c r="A39980" s="136"/>
      <c r="CM39980" s="111"/>
      <c r="CQ39980" s="111"/>
      <c r="EF39980"/>
      <c r="EG39980"/>
      <c r="EH39980"/>
      <c r="EI39980"/>
      <c r="EJ39980"/>
      <c r="EK39980"/>
    </row>
    <row r="39981" spans="1:141" s="116" customFormat="1">
      <c r="A39981" s="136"/>
      <c r="CM39981" s="111"/>
      <c r="CQ39981" s="111"/>
      <c r="EF39981"/>
      <c r="EG39981"/>
      <c r="EH39981"/>
      <c r="EI39981"/>
      <c r="EJ39981"/>
      <c r="EK39981"/>
    </row>
    <row r="39982" spans="1:141" s="116" customFormat="1">
      <c r="A39982" s="136"/>
      <c r="CM39982" s="111"/>
      <c r="CQ39982" s="111"/>
      <c r="EF39982"/>
      <c r="EG39982"/>
      <c r="EH39982"/>
      <c r="EI39982"/>
      <c r="EJ39982"/>
      <c r="EK39982"/>
    </row>
    <row r="39983" spans="1:141" s="116" customFormat="1">
      <c r="A39983" s="136"/>
      <c r="CM39983" s="111"/>
      <c r="CQ39983" s="111"/>
      <c r="EF39983"/>
      <c r="EG39983"/>
      <c r="EH39983"/>
      <c r="EI39983"/>
      <c r="EJ39983"/>
      <c r="EK39983"/>
    </row>
    <row r="39984" spans="1:141" s="116" customFormat="1">
      <c r="A39984" s="136"/>
      <c r="CM39984" s="111"/>
      <c r="CQ39984" s="111"/>
      <c r="EF39984"/>
      <c r="EG39984"/>
      <c r="EH39984"/>
      <c r="EI39984"/>
      <c r="EJ39984"/>
      <c r="EK39984"/>
    </row>
    <row r="39985" spans="1:141" s="116" customFormat="1">
      <c r="A39985" s="136"/>
      <c r="CM39985" s="111"/>
      <c r="CQ39985" s="111"/>
      <c r="EF39985"/>
      <c r="EG39985"/>
      <c r="EH39985"/>
      <c r="EI39985"/>
      <c r="EJ39985"/>
      <c r="EK39985"/>
    </row>
    <row r="39986" spans="1:141" s="116" customFormat="1">
      <c r="A39986" s="136"/>
      <c r="CM39986" s="111"/>
      <c r="CQ39986" s="111"/>
      <c r="EF39986"/>
      <c r="EG39986"/>
      <c r="EH39986"/>
      <c r="EI39986"/>
      <c r="EJ39986"/>
      <c r="EK39986"/>
    </row>
    <row r="39987" spans="1:141" s="116" customFormat="1">
      <c r="A39987" s="136"/>
      <c r="CM39987" s="111"/>
      <c r="CQ39987" s="111"/>
      <c r="EF39987"/>
      <c r="EG39987"/>
      <c r="EH39987"/>
      <c r="EI39987"/>
      <c r="EJ39987"/>
      <c r="EK39987"/>
    </row>
    <row r="39988" spans="1:141" s="116" customFormat="1">
      <c r="A39988" s="136"/>
      <c r="CM39988" s="111"/>
      <c r="CQ39988" s="111"/>
      <c r="EF39988"/>
      <c r="EG39988"/>
      <c r="EH39988"/>
      <c r="EI39988"/>
      <c r="EJ39988"/>
      <c r="EK39988"/>
    </row>
    <row r="39989" spans="1:141" s="116" customFormat="1">
      <c r="A39989" s="136"/>
      <c r="CM39989" s="111"/>
      <c r="CQ39989" s="111"/>
      <c r="EF39989"/>
      <c r="EG39989"/>
      <c r="EH39989"/>
      <c r="EI39989"/>
      <c r="EJ39989"/>
      <c r="EK39989"/>
    </row>
    <row r="39990" spans="1:141" s="116" customFormat="1">
      <c r="A39990" s="136"/>
      <c r="CM39990" s="111"/>
      <c r="CQ39990" s="111"/>
      <c r="EF39990"/>
      <c r="EG39990"/>
      <c r="EH39990"/>
      <c r="EI39990"/>
      <c r="EJ39990"/>
      <c r="EK39990"/>
    </row>
    <row r="39991" spans="1:141" s="116" customFormat="1">
      <c r="A39991" s="136"/>
      <c r="CM39991" s="111"/>
      <c r="CQ39991" s="111"/>
      <c r="EF39991"/>
      <c r="EG39991"/>
      <c r="EH39991"/>
      <c r="EI39991"/>
      <c r="EJ39991"/>
      <c r="EK39991"/>
    </row>
    <row r="39992" spans="1:141" s="116" customFormat="1">
      <c r="A39992" s="136"/>
      <c r="CM39992" s="111"/>
      <c r="CQ39992" s="111"/>
      <c r="EF39992"/>
      <c r="EG39992"/>
      <c r="EH39992"/>
      <c r="EI39992"/>
      <c r="EJ39992"/>
      <c r="EK39992"/>
    </row>
    <row r="39993" spans="1:141" s="116" customFormat="1">
      <c r="A39993" s="136"/>
      <c r="CM39993" s="111"/>
      <c r="CQ39993" s="111"/>
      <c r="EF39993"/>
      <c r="EG39993"/>
      <c r="EH39993"/>
      <c r="EI39993"/>
      <c r="EJ39993"/>
      <c r="EK39993"/>
    </row>
    <row r="39994" spans="1:141" s="116" customFormat="1">
      <c r="A39994" s="136"/>
      <c r="CM39994" s="111"/>
      <c r="CQ39994" s="111"/>
      <c r="EF39994"/>
      <c r="EG39994"/>
      <c r="EH39994"/>
      <c r="EI39994"/>
      <c r="EJ39994"/>
      <c r="EK39994"/>
    </row>
    <row r="39995" spans="1:141" s="116" customFormat="1">
      <c r="A39995" s="136"/>
      <c r="CM39995" s="111"/>
      <c r="CQ39995" s="111"/>
      <c r="EF39995"/>
      <c r="EG39995"/>
      <c r="EH39995"/>
      <c r="EI39995"/>
      <c r="EJ39995"/>
      <c r="EK39995"/>
    </row>
    <row r="39996" spans="1:141" s="116" customFormat="1">
      <c r="A39996" s="136"/>
      <c r="CM39996" s="111"/>
      <c r="CQ39996" s="111"/>
      <c r="EF39996"/>
      <c r="EG39996"/>
      <c r="EH39996"/>
      <c r="EI39996"/>
      <c r="EJ39996"/>
      <c r="EK39996"/>
    </row>
    <row r="39997" spans="1:141" s="116" customFormat="1">
      <c r="A39997" s="136"/>
      <c r="CM39997" s="111"/>
      <c r="CQ39997" s="111"/>
      <c r="EF39997"/>
      <c r="EG39997"/>
      <c r="EH39997"/>
      <c r="EI39997"/>
      <c r="EJ39997"/>
      <c r="EK39997"/>
    </row>
    <row r="39998" spans="1:141" s="116" customFormat="1">
      <c r="A39998" s="136"/>
      <c r="CM39998" s="111"/>
      <c r="CQ39998" s="111"/>
      <c r="EF39998"/>
      <c r="EG39998"/>
      <c r="EH39998"/>
      <c r="EI39998"/>
      <c r="EJ39998"/>
      <c r="EK39998"/>
    </row>
    <row r="39999" spans="1:141" s="116" customFormat="1">
      <c r="A39999" s="136"/>
      <c r="CM39999" s="111"/>
      <c r="CQ39999" s="111"/>
      <c r="EF39999"/>
      <c r="EG39999"/>
      <c r="EH39999"/>
      <c r="EI39999"/>
      <c r="EJ39999"/>
      <c r="EK39999"/>
    </row>
    <row r="40000" spans="1:141" s="116" customFormat="1">
      <c r="A40000" s="136"/>
      <c r="CM40000" s="111"/>
      <c r="CQ40000" s="111"/>
      <c r="EF40000"/>
      <c r="EG40000"/>
      <c r="EH40000"/>
      <c r="EI40000"/>
      <c r="EJ40000"/>
      <c r="EK40000"/>
    </row>
    <row r="40001" spans="1:141" s="116" customFormat="1">
      <c r="A40001" s="136"/>
      <c r="CM40001" s="111"/>
      <c r="CQ40001" s="111"/>
      <c r="EF40001"/>
      <c r="EG40001"/>
      <c r="EH40001"/>
      <c r="EI40001"/>
      <c r="EJ40001"/>
      <c r="EK40001"/>
    </row>
    <row r="40002" spans="1:141" s="116" customFormat="1">
      <c r="A40002" s="136"/>
      <c r="CM40002" s="111"/>
      <c r="CQ40002" s="111"/>
      <c r="EF40002"/>
      <c r="EG40002"/>
      <c r="EH40002"/>
      <c r="EI40002"/>
      <c r="EJ40002"/>
      <c r="EK40002"/>
    </row>
    <row r="40003" spans="1:141" s="116" customFormat="1">
      <c r="A40003" s="136"/>
      <c r="CM40003" s="111"/>
      <c r="CQ40003" s="111"/>
      <c r="EF40003"/>
      <c r="EG40003"/>
      <c r="EH40003"/>
      <c r="EI40003"/>
      <c r="EJ40003"/>
      <c r="EK40003"/>
    </row>
    <row r="40004" spans="1:141" s="116" customFormat="1">
      <c r="A40004" s="136"/>
      <c r="CM40004" s="111"/>
      <c r="CQ40004" s="111"/>
      <c r="EF40004"/>
      <c r="EG40004"/>
      <c r="EH40004"/>
      <c r="EI40004"/>
      <c r="EJ40004"/>
      <c r="EK40004"/>
    </row>
    <row r="40005" spans="1:141" s="116" customFormat="1">
      <c r="A40005" s="136"/>
      <c r="CM40005" s="111"/>
      <c r="CQ40005" s="111"/>
      <c r="EF40005"/>
      <c r="EG40005"/>
      <c r="EH40005"/>
      <c r="EI40005"/>
      <c r="EJ40005"/>
      <c r="EK40005"/>
    </row>
    <row r="40006" spans="1:141" s="116" customFormat="1">
      <c r="A40006" s="136"/>
      <c r="CM40006" s="111"/>
      <c r="CQ40006" s="111"/>
      <c r="EF40006"/>
      <c r="EG40006"/>
      <c r="EH40006"/>
      <c r="EI40006"/>
      <c r="EJ40006"/>
      <c r="EK40006"/>
    </row>
    <row r="40007" spans="1:141" s="116" customFormat="1">
      <c r="A40007" s="136"/>
      <c r="CM40007" s="111"/>
      <c r="CQ40007" s="111"/>
      <c r="EF40007"/>
      <c r="EG40007"/>
      <c r="EH40007"/>
      <c r="EI40007"/>
      <c r="EJ40007"/>
      <c r="EK40007"/>
    </row>
    <row r="40008" spans="1:141" s="116" customFormat="1">
      <c r="A40008" s="136"/>
      <c r="CM40008" s="111"/>
      <c r="CQ40008" s="111"/>
      <c r="EF40008"/>
      <c r="EG40008"/>
      <c r="EH40008"/>
      <c r="EI40008"/>
      <c r="EJ40008"/>
      <c r="EK40008"/>
    </row>
    <row r="40009" spans="1:141" s="116" customFormat="1">
      <c r="A40009" s="136"/>
      <c r="CM40009" s="111"/>
      <c r="CQ40009" s="111"/>
      <c r="EF40009"/>
      <c r="EG40009"/>
      <c r="EH40009"/>
      <c r="EI40009"/>
      <c r="EJ40009"/>
      <c r="EK40009"/>
    </row>
    <row r="40010" spans="1:141" s="116" customFormat="1">
      <c r="A40010" s="136"/>
      <c r="CM40010" s="111"/>
      <c r="CQ40010" s="111"/>
      <c r="EF40010"/>
      <c r="EG40010"/>
      <c r="EH40010"/>
      <c r="EI40010"/>
      <c r="EJ40010"/>
      <c r="EK40010"/>
    </row>
    <row r="40011" spans="1:141" s="116" customFormat="1">
      <c r="A40011" s="136"/>
      <c r="CM40011" s="111"/>
      <c r="CQ40011" s="111"/>
      <c r="EF40011"/>
      <c r="EG40011"/>
      <c r="EH40011"/>
      <c r="EI40011"/>
      <c r="EJ40011"/>
      <c r="EK40011"/>
    </row>
    <row r="40012" spans="1:141" s="116" customFormat="1">
      <c r="A40012" s="136"/>
      <c r="CM40012" s="111"/>
      <c r="CQ40012" s="111"/>
      <c r="EF40012"/>
      <c r="EG40012"/>
      <c r="EH40012"/>
      <c r="EI40012"/>
      <c r="EJ40012"/>
      <c r="EK40012"/>
    </row>
    <row r="40013" spans="1:141" s="116" customFormat="1">
      <c r="A40013" s="136"/>
      <c r="CM40013" s="111"/>
      <c r="CQ40013" s="111"/>
      <c r="EF40013"/>
      <c r="EG40013"/>
      <c r="EH40013"/>
      <c r="EI40013"/>
      <c r="EJ40013"/>
      <c r="EK40013"/>
    </row>
    <row r="40014" spans="1:141" s="116" customFormat="1">
      <c r="A40014" s="136"/>
      <c r="CM40014" s="111"/>
      <c r="CQ40014" s="111"/>
      <c r="EF40014"/>
      <c r="EG40014"/>
      <c r="EH40014"/>
      <c r="EI40014"/>
      <c r="EJ40014"/>
      <c r="EK40014"/>
    </row>
    <row r="40015" spans="1:141" s="116" customFormat="1">
      <c r="A40015" s="136"/>
      <c r="CM40015" s="111"/>
      <c r="CQ40015" s="111"/>
      <c r="EF40015"/>
      <c r="EG40015"/>
      <c r="EH40015"/>
      <c r="EI40015"/>
      <c r="EJ40015"/>
      <c r="EK40015"/>
    </row>
    <row r="40016" spans="1:141" s="116" customFormat="1">
      <c r="A40016" s="136"/>
      <c r="CM40016" s="111"/>
      <c r="CQ40016" s="111"/>
      <c r="EF40016"/>
      <c r="EG40016"/>
      <c r="EH40016"/>
      <c r="EI40016"/>
      <c r="EJ40016"/>
      <c r="EK40016"/>
    </row>
    <row r="40017" spans="1:141" s="116" customFormat="1">
      <c r="A40017" s="136"/>
      <c r="CM40017" s="111"/>
      <c r="CQ40017" s="111"/>
      <c r="EF40017"/>
      <c r="EG40017"/>
      <c r="EH40017"/>
      <c r="EI40017"/>
      <c r="EJ40017"/>
      <c r="EK40017"/>
    </row>
    <row r="40018" spans="1:141" s="116" customFormat="1">
      <c r="A40018" s="136"/>
      <c r="CM40018" s="111"/>
      <c r="CQ40018" s="111"/>
      <c r="EF40018"/>
      <c r="EG40018"/>
      <c r="EH40018"/>
      <c r="EI40018"/>
      <c r="EJ40018"/>
      <c r="EK40018"/>
    </row>
    <row r="40019" spans="1:141" s="116" customFormat="1">
      <c r="A40019" s="136"/>
      <c r="CM40019" s="111"/>
      <c r="CQ40019" s="111"/>
      <c r="EF40019"/>
      <c r="EG40019"/>
      <c r="EH40019"/>
      <c r="EI40019"/>
      <c r="EJ40019"/>
      <c r="EK40019"/>
    </row>
    <row r="40020" spans="1:141" s="116" customFormat="1">
      <c r="A40020" s="136"/>
      <c r="CM40020" s="111"/>
      <c r="CQ40020" s="111"/>
      <c r="EF40020"/>
      <c r="EG40020"/>
      <c r="EH40020"/>
      <c r="EI40020"/>
      <c r="EJ40020"/>
      <c r="EK40020"/>
    </row>
    <row r="40021" spans="1:141" s="116" customFormat="1">
      <c r="A40021" s="136"/>
      <c r="CM40021" s="111"/>
      <c r="CQ40021" s="111"/>
      <c r="EF40021"/>
      <c r="EG40021"/>
      <c r="EH40021"/>
      <c r="EI40021"/>
      <c r="EJ40021"/>
      <c r="EK40021"/>
    </row>
    <row r="40022" spans="1:141" s="116" customFormat="1">
      <c r="A40022" s="136"/>
      <c r="CM40022" s="111"/>
      <c r="CQ40022" s="111"/>
      <c r="EF40022"/>
      <c r="EG40022"/>
      <c r="EH40022"/>
      <c r="EI40022"/>
      <c r="EJ40022"/>
      <c r="EK40022"/>
    </row>
    <row r="40023" spans="1:141" s="116" customFormat="1">
      <c r="A40023" s="136"/>
      <c r="CM40023" s="111"/>
      <c r="CQ40023" s="111"/>
      <c r="EF40023"/>
      <c r="EG40023"/>
      <c r="EH40023"/>
      <c r="EI40023"/>
      <c r="EJ40023"/>
      <c r="EK40023"/>
    </row>
    <row r="40024" spans="1:141" s="116" customFormat="1">
      <c r="A40024" s="136"/>
      <c r="CM40024" s="111"/>
      <c r="CQ40024" s="111"/>
      <c r="EF40024"/>
      <c r="EG40024"/>
      <c r="EH40024"/>
      <c r="EI40024"/>
      <c r="EJ40024"/>
      <c r="EK40024"/>
    </row>
    <row r="40025" spans="1:141" s="116" customFormat="1">
      <c r="A40025" s="136"/>
      <c r="CM40025" s="111"/>
      <c r="CQ40025" s="111"/>
      <c r="EF40025"/>
      <c r="EG40025"/>
      <c r="EH40025"/>
      <c r="EI40025"/>
      <c r="EJ40025"/>
      <c r="EK40025"/>
    </row>
    <row r="40026" spans="1:141" s="116" customFormat="1">
      <c r="A40026" s="136"/>
      <c r="CM40026" s="111"/>
      <c r="CQ40026" s="111"/>
      <c r="EF40026"/>
      <c r="EG40026"/>
      <c r="EH40026"/>
      <c r="EI40026"/>
      <c r="EJ40026"/>
      <c r="EK40026"/>
    </row>
    <row r="40027" spans="1:141" s="116" customFormat="1">
      <c r="A40027" s="136"/>
      <c r="CM40027" s="111"/>
      <c r="CQ40027" s="111"/>
      <c r="EF40027"/>
      <c r="EG40027"/>
      <c r="EH40027"/>
      <c r="EI40027"/>
      <c r="EJ40027"/>
      <c r="EK40027"/>
    </row>
    <row r="40028" spans="1:141" s="116" customFormat="1">
      <c r="A40028" s="136"/>
      <c r="CM40028" s="111"/>
      <c r="CQ40028" s="111"/>
      <c r="EF40028"/>
      <c r="EG40028"/>
      <c r="EH40028"/>
      <c r="EI40028"/>
      <c r="EJ40028"/>
      <c r="EK40028"/>
    </row>
    <row r="40029" spans="1:141" s="116" customFormat="1">
      <c r="A40029" s="136"/>
      <c r="CM40029" s="111"/>
      <c r="CQ40029" s="111"/>
      <c r="EF40029"/>
      <c r="EG40029"/>
      <c r="EH40029"/>
      <c r="EI40029"/>
      <c r="EJ40029"/>
      <c r="EK40029"/>
    </row>
    <row r="40030" spans="1:141" s="116" customFormat="1">
      <c r="A40030" s="136"/>
      <c r="CM40030" s="111"/>
      <c r="CQ40030" s="111"/>
      <c r="EF40030"/>
      <c r="EG40030"/>
      <c r="EH40030"/>
      <c r="EI40030"/>
      <c r="EJ40030"/>
      <c r="EK40030"/>
    </row>
    <row r="40031" spans="1:141" s="116" customFormat="1">
      <c r="A40031" s="136"/>
      <c r="CM40031" s="111"/>
      <c r="CQ40031" s="111"/>
      <c r="EF40031"/>
      <c r="EG40031"/>
      <c r="EH40031"/>
      <c r="EI40031"/>
      <c r="EJ40031"/>
      <c r="EK40031"/>
    </row>
    <row r="40032" spans="1:141" s="116" customFormat="1">
      <c r="A40032" s="136"/>
      <c r="CM40032" s="111"/>
      <c r="CQ40032" s="111"/>
      <c r="EF40032"/>
      <c r="EG40032"/>
      <c r="EH40032"/>
      <c r="EI40032"/>
      <c r="EJ40032"/>
      <c r="EK40032"/>
    </row>
    <row r="40033" spans="1:141" s="116" customFormat="1">
      <c r="A40033" s="136"/>
      <c r="CM40033" s="111"/>
      <c r="CQ40033" s="111"/>
      <c r="EF40033"/>
      <c r="EG40033"/>
      <c r="EH40033"/>
      <c r="EI40033"/>
      <c r="EJ40033"/>
      <c r="EK40033"/>
    </row>
    <row r="40034" spans="1:141" s="116" customFormat="1">
      <c r="A40034" s="136"/>
      <c r="CM40034" s="111"/>
      <c r="CQ40034" s="111"/>
      <c r="EF40034"/>
      <c r="EG40034"/>
      <c r="EH40034"/>
      <c r="EI40034"/>
      <c r="EJ40034"/>
      <c r="EK40034"/>
    </row>
    <row r="40035" spans="1:141" s="116" customFormat="1">
      <c r="A40035" s="136"/>
      <c r="CM40035" s="111"/>
      <c r="CQ40035" s="111"/>
      <c r="EF40035"/>
      <c r="EG40035"/>
      <c r="EH40035"/>
      <c r="EI40035"/>
      <c r="EJ40035"/>
      <c r="EK40035"/>
    </row>
    <row r="40036" spans="1:141" s="116" customFormat="1">
      <c r="A40036" s="136"/>
      <c r="CM40036" s="111"/>
      <c r="CQ40036" s="111"/>
      <c r="EF40036"/>
      <c r="EG40036"/>
      <c r="EH40036"/>
      <c r="EI40036"/>
      <c r="EJ40036"/>
      <c r="EK40036"/>
    </row>
    <row r="40037" spans="1:141" s="116" customFormat="1">
      <c r="A40037" s="136"/>
      <c r="CM40037" s="111"/>
      <c r="CQ40037" s="111"/>
      <c r="EF40037"/>
      <c r="EG40037"/>
      <c r="EH40037"/>
      <c r="EI40037"/>
      <c r="EJ40037"/>
      <c r="EK40037"/>
    </row>
    <row r="40038" spans="1:141" s="116" customFormat="1">
      <c r="A40038" s="136"/>
      <c r="CM40038" s="111"/>
      <c r="CQ40038" s="111"/>
      <c r="EF40038"/>
      <c r="EG40038"/>
      <c r="EH40038"/>
      <c r="EI40038"/>
      <c r="EJ40038"/>
      <c r="EK40038"/>
    </row>
    <row r="40039" spans="1:141" s="116" customFormat="1">
      <c r="A40039" s="136"/>
      <c r="CM40039" s="111"/>
      <c r="CQ40039" s="111"/>
      <c r="EF40039"/>
      <c r="EG40039"/>
      <c r="EH40039"/>
      <c r="EI40039"/>
      <c r="EJ40039"/>
      <c r="EK40039"/>
    </row>
    <row r="40040" spans="1:141" s="116" customFormat="1">
      <c r="A40040" s="136"/>
      <c r="CM40040" s="111"/>
      <c r="CQ40040" s="111"/>
      <c r="EF40040"/>
      <c r="EG40040"/>
      <c r="EH40040"/>
      <c r="EI40040"/>
      <c r="EJ40040"/>
      <c r="EK40040"/>
    </row>
    <row r="40041" spans="1:141" s="116" customFormat="1">
      <c r="A40041" s="136"/>
      <c r="CM40041" s="111"/>
      <c r="CQ40041" s="111"/>
      <c r="EF40041"/>
      <c r="EG40041"/>
      <c r="EH40041"/>
      <c r="EI40041"/>
      <c r="EJ40041"/>
      <c r="EK40041"/>
    </row>
    <row r="40042" spans="1:141" s="116" customFormat="1">
      <c r="A40042" s="136"/>
      <c r="CM40042" s="111"/>
      <c r="CQ40042" s="111"/>
      <c r="EF40042"/>
      <c r="EG40042"/>
      <c r="EH40042"/>
      <c r="EI40042"/>
      <c r="EJ40042"/>
      <c r="EK40042"/>
    </row>
    <row r="40043" spans="1:141" s="116" customFormat="1">
      <c r="A40043" s="136"/>
      <c r="CM40043" s="111"/>
      <c r="CQ40043" s="111"/>
      <c r="EF40043"/>
      <c r="EG40043"/>
      <c r="EH40043"/>
      <c r="EI40043"/>
      <c r="EJ40043"/>
      <c r="EK40043"/>
    </row>
    <row r="40044" spans="1:141" s="116" customFormat="1">
      <c r="A40044" s="136"/>
      <c r="CM40044" s="111"/>
      <c r="CQ40044" s="111"/>
      <c r="EF40044"/>
      <c r="EG40044"/>
      <c r="EH40044"/>
      <c r="EI40044"/>
      <c r="EJ40044"/>
      <c r="EK40044"/>
    </row>
    <row r="40045" spans="1:141" s="116" customFormat="1">
      <c r="A40045" s="136"/>
      <c r="CM40045" s="111"/>
      <c r="CQ40045" s="111"/>
      <c r="EF40045"/>
      <c r="EG40045"/>
      <c r="EH40045"/>
      <c r="EI40045"/>
      <c r="EJ40045"/>
      <c r="EK40045"/>
    </row>
    <row r="40046" spans="1:141" s="116" customFormat="1">
      <c r="A40046" s="136"/>
      <c r="CM40046" s="111"/>
      <c r="CQ40046" s="111"/>
      <c r="EF40046"/>
      <c r="EG40046"/>
      <c r="EH40046"/>
      <c r="EI40046"/>
      <c r="EJ40046"/>
      <c r="EK40046"/>
    </row>
    <row r="40047" spans="1:141" s="116" customFormat="1">
      <c r="A40047" s="136"/>
      <c r="CM40047" s="111"/>
      <c r="CQ40047" s="111"/>
      <c r="EF40047"/>
      <c r="EG40047"/>
      <c r="EH40047"/>
      <c r="EI40047"/>
      <c r="EJ40047"/>
      <c r="EK40047"/>
    </row>
    <row r="40048" spans="1:141" s="116" customFormat="1">
      <c r="A40048" s="136"/>
      <c r="CM40048" s="111"/>
      <c r="CQ40048" s="111"/>
      <c r="EF40048"/>
      <c r="EG40048"/>
      <c r="EH40048"/>
      <c r="EI40048"/>
      <c r="EJ40048"/>
      <c r="EK40048"/>
    </row>
    <row r="40049" spans="1:141" s="116" customFormat="1">
      <c r="A40049" s="136"/>
      <c r="CM40049" s="111"/>
      <c r="CQ40049" s="111"/>
      <c r="EF40049"/>
      <c r="EG40049"/>
      <c r="EH40049"/>
      <c r="EI40049"/>
      <c r="EJ40049"/>
      <c r="EK40049"/>
    </row>
    <row r="40050" spans="1:141" s="116" customFormat="1">
      <c r="A40050" s="136"/>
      <c r="CM40050" s="111"/>
      <c r="CQ40050" s="111"/>
      <c r="EF40050"/>
      <c r="EG40050"/>
      <c r="EH40050"/>
      <c r="EI40050"/>
      <c r="EJ40050"/>
      <c r="EK40050"/>
    </row>
    <row r="40051" spans="1:141" s="116" customFormat="1">
      <c r="A40051" s="136"/>
      <c r="CM40051" s="111"/>
      <c r="CQ40051" s="111"/>
      <c r="EF40051"/>
      <c r="EG40051"/>
      <c r="EH40051"/>
      <c r="EI40051"/>
      <c r="EJ40051"/>
      <c r="EK40051"/>
    </row>
    <row r="40052" spans="1:141" s="116" customFormat="1">
      <c r="A40052" s="136"/>
      <c r="CM40052" s="111"/>
      <c r="CQ40052" s="111"/>
      <c r="EF40052"/>
      <c r="EG40052"/>
      <c r="EH40052"/>
      <c r="EI40052"/>
      <c r="EJ40052"/>
      <c r="EK40052"/>
    </row>
    <row r="40053" spans="1:141" s="116" customFormat="1">
      <c r="A40053" s="136"/>
      <c r="CM40053" s="111"/>
      <c r="CQ40053" s="111"/>
      <c r="EF40053"/>
      <c r="EG40053"/>
      <c r="EH40053"/>
      <c r="EI40053"/>
      <c r="EJ40053"/>
      <c r="EK40053"/>
    </row>
    <row r="40054" spans="1:141" s="116" customFormat="1">
      <c r="A40054" s="136"/>
      <c r="CM40054" s="111"/>
      <c r="CQ40054" s="111"/>
      <c r="EF40054"/>
      <c r="EG40054"/>
      <c r="EH40054"/>
      <c r="EI40054"/>
      <c r="EJ40054"/>
      <c r="EK40054"/>
    </row>
    <row r="40055" spans="1:141" s="116" customFormat="1">
      <c r="A40055" s="136"/>
      <c r="CM40055" s="111"/>
      <c r="CQ40055" s="111"/>
      <c r="EF40055"/>
      <c r="EG40055"/>
      <c r="EH40055"/>
      <c r="EI40055"/>
      <c r="EJ40055"/>
      <c r="EK40055"/>
    </row>
    <row r="40056" spans="1:141" s="116" customFormat="1">
      <c r="A40056" s="136"/>
      <c r="CM40056" s="111"/>
      <c r="CQ40056" s="111"/>
      <c r="EF40056"/>
      <c r="EG40056"/>
      <c r="EH40056"/>
      <c r="EI40056"/>
      <c r="EJ40056"/>
      <c r="EK40056"/>
    </row>
    <row r="40057" spans="1:141" s="116" customFormat="1">
      <c r="A40057" s="136"/>
      <c r="CM40057" s="111"/>
      <c r="CQ40057" s="111"/>
      <c r="EF40057"/>
      <c r="EG40057"/>
      <c r="EH40057"/>
      <c r="EI40057"/>
      <c r="EJ40057"/>
      <c r="EK40057"/>
    </row>
    <row r="40058" spans="1:141" s="116" customFormat="1">
      <c r="A40058" s="136"/>
      <c r="CM40058" s="111"/>
      <c r="CQ40058" s="111"/>
      <c r="EF40058"/>
      <c r="EG40058"/>
      <c r="EH40058"/>
      <c r="EI40058"/>
      <c r="EJ40058"/>
      <c r="EK40058"/>
    </row>
    <row r="40059" spans="1:141" s="116" customFormat="1">
      <c r="A40059" s="136"/>
      <c r="CM40059" s="111"/>
      <c r="CQ40059" s="111"/>
      <c r="EF40059"/>
      <c r="EG40059"/>
      <c r="EH40059"/>
      <c r="EI40059"/>
      <c r="EJ40059"/>
      <c r="EK40059"/>
    </row>
    <row r="40060" spans="1:141" s="116" customFormat="1">
      <c r="A40060" s="136"/>
      <c r="CM40060" s="111"/>
      <c r="CQ40060" s="111"/>
      <c r="EF40060"/>
      <c r="EG40060"/>
      <c r="EH40060"/>
      <c r="EI40060"/>
      <c r="EJ40060"/>
      <c r="EK40060"/>
    </row>
    <row r="40061" spans="1:141" s="116" customFormat="1">
      <c r="A40061" s="136"/>
      <c r="CM40061" s="111"/>
      <c r="CQ40061" s="111"/>
      <c r="EF40061"/>
      <c r="EG40061"/>
      <c r="EH40061"/>
      <c r="EI40061"/>
      <c r="EJ40061"/>
      <c r="EK40061"/>
    </row>
    <row r="40062" spans="1:141" s="116" customFormat="1">
      <c r="A40062" s="136"/>
      <c r="CM40062" s="111"/>
      <c r="CQ40062" s="111"/>
      <c r="EF40062"/>
      <c r="EG40062"/>
      <c r="EH40062"/>
      <c r="EI40062"/>
      <c r="EJ40062"/>
      <c r="EK40062"/>
    </row>
    <row r="40063" spans="1:141" s="116" customFormat="1">
      <c r="A40063" s="136"/>
      <c r="CM40063" s="111"/>
      <c r="CQ40063" s="111"/>
      <c r="EF40063"/>
      <c r="EG40063"/>
      <c r="EH40063"/>
      <c r="EI40063"/>
      <c r="EJ40063"/>
      <c r="EK40063"/>
    </row>
    <row r="40064" spans="1:141" s="116" customFormat="1">
      <c r="A40064" s="136"/>
      <c r="CM40064" s="111"/>
      <c r="CQ40064" s="111"/>
      <c r="EF40064"/>
      <c r="EG40064"/>
      <c r="EH40064"/>
      <c r="EI40064"/>
      <c r="EJ40064"/>
      <c r="EK40064"/>
    </row>
    <row r="40065" spans="1:141" s="116" customFormat="1">
      <c r="A40065" s="136"/>
      <c r="CM40065" s="111"/>
      <c r="CQ40065" s="111"/>
      <c r="EF40065"/>
      <c r="EG40065"/>
      <c r="EH40065"/>
      <c r="EI40065"/>
      <c r="EJ40065"/>
      <c r="EK40065"/>
    </row>
    <row r="40066" spans="1:141" s="116" customFormat="1">
      <c r="A40066" s="136"/>
      <c r="CM40066" s="111"/>
      <c r="CQ40066" s="111"/>
      <c r="EF40066"/>
      <c r="EG40066"/>
      <c r="EH40066"/>
      <c r="EI40066"/>
      <c r="EJ40066"/>
      <c r="EK40066"/>
    </row>
    <row r="40067" spans="1:141" s="116" customFormat="1">
      <c r="A40067" s="136"/>
      <c r="CM40067" s="111"/>
      <c r="CQ40067" s="111"/>
      <c r="EF40067"/>
      <c r="EG40067"/>
      <c r="EH40067"/>
      <c r="EI40067"/>
      <c r="EJ40067"/>
      <c r="EK40067"/>
    </row>
    <row r="40068" spans="1:141" s="116" customFormat="1">
      <c r="A40068" s="136"/>
      <c r="CM40068" s="111"/>
      <c r="CQ40068" s="111"/>
      <c r="EF40068"/>
      <c r="EG40068"/>
      <c r="EH40068"/>
      <c r="EI40068"/>
      <c r="EJ40068"/>
      <c r="EK40068"/>
    </row>
    <row r="40069" spans="1:141" s="116" customFormat="1">
      <c r="A40069" s="136"/>
      <c r="CM40069" s="111"/>
      <c r="CQ40069" s="111"/>
      <c r="EF40069"/>
      <c r="EG40069"/>
      <c r="EH40069"/>
      <c r="EI40069"/>
      <c r="EJ40069"/>
      <c r="EK40069"/>
    </row>
    <row r="40070" spans="1:141" s="116" customFormat="1">
      <c r="A40070" s="136"/>
      <c r="CM40070" s="111"/>
      <c r="CQ40070" s="111"/>
      <c r="EF40070"/>
      <c r="EG40070"/>
      <c r="EH40070"/>
      <c r="EI40070"/>
      <c r="EJ40070"/>
      <c r="EK40070"/>
    </row>
    <row r="40071" spans="1:141" s="116" customFormat="1">
      <c r="A40071" s="136"/>
      <c r="CM40071" s="111"/>
      <c r="CQ40071" s="111"/>
      <c r="EF40071"/>
      <c r="EG40071"/>
      <c r="EH40071"/>
      <c r="EI40071"/>
      <c r="EJ40071"/>
      <c r="EK40071"/>
    </row>
    <row r="40072" spans="1:141" s="116" customFormat="1">
      <c r="A40072" s="136"/>
      <c r="CM40072" s="111"/>
      <c r="CQ40072" s="111"/>
      <c r="EF40072"/>
      <c r="EG40072"/>
      <c r="EH40072"/>
      <c r="EI40072"/>
      <c r="EJ40072"/>
      <c r="EK40072"/>
    </row>
    <row r="40073" spans="1:141" s="116" customFormat="1">
      <c r="A40073" s="136"/>
      <c r="CM40073" s="111"/>
      <c r="CQ40073" s="111"/>
      <c r="EF40073"/>
      <c r="EG40073"/>
      <c r="EH40073"/>
      <c r="EI40073"/>
      <c r="EJ40073"/>
      <c r="EK40073"/>
    </row>
    <row r="40074" spans="1:141" s="116" customFormat="1">
      <c r="A40074" s="136"/>
      <c r="CM40074" s="111"/>
      <c r="CQ40074" s="111"/>
      <c r="EF40074"/>
      <c r="EG40074"/>
      <c r="EH40074"/>
      <c r="EI40074"/>
      <c r="EJ40074"/>
      <c r="EK40074"/>
    </row>
    <row r="40075" spans="1:141" s="116" customFormat="1">
      <c r="A40075" s="136"/>
      <c r="CM40075" s="111"/>
      <c r="CQ40075" s="111"/>
      <c r="EF40075"/>
      <c r="EG40075"/>
      <c r="EH40075"/>
      <c r="EI40075"/>
      <c r="EJ40075"/>
      <c r="EK40075"/>
    </row>
    <row r="40076" spans="1:141" s="116" customFormat="1">
      <c r="A40076" s="136"/>
      <c r="CM40076" s="111"/>
      <c r="CQ40076" s="111"/>
      <c r="EF40076"/>
      <c r="EG40076"/>
      <c r="EH40076"/>
      <c r="EI40076"/>
      <c r="EJ40076"/>
      <c r="EK40076"/>
    </row>
    <row r="40077" spans="1:141" s="116" customFormat="1">
      <c r="A40077" s="136"/>
      <c r="CM40077" s="111"/>
      <c r="CQ40077" s="111"/>
      <c r="EF40077"/>
      <c r="EG40077"/>
      <c r="EH40077"/>
      <c r="EI40077"/>
      <c r="EJ40077"/>
      <c r="EK40077"/>
    </row>
    <row r="40078" spans="1:141" s="116" customFormat="1">
      <c r="A40078" s="136"/>
      <c r="CM40078" s="111"/>
      <c r="CQ40078" s="111"/>
      <c r="EF40078"/>
      <c r="EG40078"/>
      <c r="EH40078"/>
      <c r="EI40078"/>
      <c r="EJ40078"/>
      <c r="EK40078"/>
    </row>
    <row r="40079" spans="1:141" s="116" customFormat="1">
      <c r="A40079" s="136"/>
      <c r="CM40079" s="111"/>
      <c r="CQ40079" s="111"/>
      <c r="EF40079"/>
      <c r="EG40079"/>
      <c r="EH40079"/>
      <c r="EI40079"/>
      <c r="EJ40079"/>
      <c r="EK40079"/>
    </row>
    <row r="40080" spans="1:141" s="116" customFormat="1">
      <c r="A40080" s="136"/>
      <c r="CM40080" s="111"/>
      <c r="CQ40080" s="111"/>
      <c r="EF40080"/>
      <c r="EG40080"/>
      <c r="EH40080"/>
      <c r="EI40080"/>
      <c r="EJ40080"/>
      <c r="EK40080"/>
    </row>
    <row r="40081" spans="1:141" s="116" customFormat="1">
      <c r="A40081" s="136"/>
      <c r="CM40081" s="111"/>
      <c r="CQ40081" s="111"/>
      <c r="EF40081"/>
      <c r="EG40081"/>
      <c r="EH40081"/>
      <c r="EI40081"/>
      <c r="EJ40081"/>
      <c r="EK40081"/>
    </row>
    <row r="40082" spans="1:141" s="116" customFormat="1">
      <c r="A40082" s="136"/>
      <c r="CM40082" s="111"/>
      <c r="CQ40082" s="111"/>
      <c r="EF40082"/>
      <c r="EG40082"/>
      <c r="EH40082"/>
      <c r="EI40082"/>
      <c r="EJ40082"/>
      <c r="EK40082"/>
    </row>
    <row r="40083" spans="1:141" s="116" customFormat="1">
      <c r="A40083" s="136"/>
      <c r="CM40083" s="111"/>
      <c r="CQ40083" s="111"/>
      <c r="EF40083"/>
      <c r="EG40083"/>
      <c r="EH40083"/>
      <c r="EI40083"/>
      <c r="EJ40083"/>
      <c r="EK40083"/>
    </row>
    <row r="40084" spans="1:141" s="116" customFormat="1">
      <c r="A40084" s="136"/>
      <c r="CM40084" s="111"/>
      <c r="CQ40084" s="111"/>
      <c r="EF40084"/>
      <c r="EG40084"/>
      <c r="EH40084"/>
      <c r="EI40084"/>
      <c r="EJ40084"/>
      <c r="EK40084"/>
    </row>
    <row r="40085" spans="1:141" s="116" customFormat="1">
      <c r="A40085" s="136"/>
      <c r="CM40085" s="111"/>
      <c r="CQ40085" s="111"/>
      <c r="EF40085"/>
      <c r="EG40085"/>
      <c r="EH40085"/>
      <c r="EI40085"/>
      <c r="EJ40085"/>
      <c r="EK40085"/>
    </row>
    <row r="40086" spans="1:141" s="116" customFormat="1">
      <c r="A40086" s="136"/>
      <c r="CM40086" s="111"/>
      <c r="CQ40086" s="111"/>
      <c r="EF40086"/>
      <c r="EG40086"/>
      <c r="EH40086"/>
      <c r="EI40086"/>
      <c r="EJ40086"/>
      <c r="EK40086"/>
    </row>
    <row r="40087" spans="1:141" s="116" customFormat="1">
      <c r="A40087" s="136"/>
      <c r="CM40087" s="111"/>
      <c r="CQ40087" s="111"/>
      <c r="EF40087"/>
      <c r="EG40087"/>
      <c r="EH40087"/>
      <c r="EI40087"/>
      <c r="EJ40087"/>
      <c r="EK40087"/>
    </row>
    <row r="40088" spans="1:141" s="116" customFormat="1">
      <c r="A40088" s="136"/>
      <c r="CM40088" s="111"/>
      <c r="CQ40088" s="111"/>
      <c r="EF40088"/>
      <c r="EG40088"/>
      <c r="EH40088"/>
      <c r="EI40088"/>
      <c r="EJ40088"/>
      <c r="EK40088"/>
    </row>
    <row r="40089" spans="1:141" s="116" customFormat="1">
      <c r="A40089" s="136"/>
      <c r="CM40089" s="111"/>
      <c r="CQ40089" s="111"/>
      <c r="EF40089"/>
      <c r="EG40089"/>
      <c r="EH40089"/>
      <c r="EI40089"/>
      <c r="EJ40089"/>
      <c r="EK40089"/>
    </row>
    <row r="40090" spans="1:141" s="116" customFormat="1">
      <c r="A40090" s="136"/>
      <c r="CM40090" s="111"/>
      <c r="CQ40090" s="111"/>
      <c r="EF40090"/>
      <c r="EG40090"/>
      <c r="EH40090"/>
      <c r="EI40090"/>
      <c r="EJ40090"/>
      <c r="EK40090"/>
    </row>
    <row r="40091" spans="1:141" s="116" customFormat="1">
      <c r="A40091" s="136"/>
      <c r="CM40091" s="111"/>
      <c r="CQ40091" s="111"/>
      <c r="EF40091"/>
      <c r="EG40091"/>
      <c r="EH40091"/>
      <c r="EI40091"/>
      <c r="EJ40091"/>
      <c r="EK40091"/>
    </row>
    <row r="40092" spans="1:141" s="116" customFormat="1">
      <c r="A40092" s="136"/>
      <c r="CM40092" s="111"/>
      <c r="CQ40092" s="111"/>
      <c r="EF40092"/>
      <c r="EG40092"/>
      <c r="EH40092"/>
      <c r="EI40092"/>
      <c r="EJ40092"/>
      <c r="EK40092"/>
    </row>
    <row r="40093" spans="1:141" s="116" customFormat="1">
      <c r="A40093" s="136"/>
      <c r="CM40093" s="111"/>
      <c r="CQ40093" s="111"/>
      <c r="EF40093"/>
      <c r="EG40093"/>
      <c r="EH40093"/>
      <c r="EI40093"/>
      <c r="EJ40093"/>
      <c r="EK40093"/>
    </row>
    <row r="40094" spans="1:141" s="116" customFormat="1">
      <c r="A40094" s="136"/>
      <c r="CM40094" s="111"/>
      <c r="CQ40094" s="111"/>
      <c r="EF40094"/>
      <c r="EG40094"/>
      <c r="EH40094"/>
      <c r="EI40094"/>
      <c r="EJ40094"/>
      <c r="EK40094"/>
    </row>
    <row r="40095" spans="1:141" s="116" customFormat="1">
      <c r="A40095" s="136"/>
      <c r="CM40095" s="111"/>
      <c r="CQ40095" s="111"/>
      <c r="EF40095"/>
      <c r="EG40095"/>
      <c r="EH40095"/>
      <c r="EI40095"/>
      <c r="EJ40095"/>
      <c r="EK40095"/>
    </row>
    <row r="40096" spans="1:141" s="116" customFormat="1">
      <c r="A40096" s="136"/>
      <c r="CM40096" s="111"/>
      <c r="CQ40096" s="111"/>
      <c r="EF40096"/>
      <c r="EG40096"/>
      <c r="EH40096"/>
      <c r="EI40096"/>
      <c r="EJ40096"/>
      <c r="EK40096"/>
    </row>
    <row r="40097" spans="1:141" s="116" customFormat="1">
      <c r="A40097" s="136"/>
      <c r="CM40097" s="111"/>
      <c r="CQ40097" s="111"/>
      <c r="EF40097"/>
      <c r="EG40097"/>
      <c r="EH40097"/>
      <c r="EI40097"/>
      <c r="EJ40097"/>
      <c r="EK40097"/>
    </row>
    <row r="40098" spans="1:141" s="116" customFormat="1">
      <c r="A40098" s="136"/>
      <c r="CM40098" s="111"/>
      <c r="CQ40098" s="111"/>
      <c r="EF40098"/>
      <c r="EG40098"/>
      <c r="EH40098"/>
      <c r="EI40098"/>
      <c r="EJ40098"/>
      <c r="EK40098"/>
    </row>
    <row r="40099" spans="1:141" s="116" customFormat="1">
      <c r="A40099" s="136"/>
      <c r="CM40099" s="111"/>
      <c r="CQ40099" s="111"/>
      <c r="EF40099"/>
      <c r="EG40099"/>
      <c r="EH40099"/>
      <c r="EI40099"/>
      <c r="EJ40099"/>
      <c r="EK40099"/>
    </row>
    <row r="40100" spans="1:141" s="116" customFormat="1">
      <c r="A40100" s="136"/>
      <c r="CM40100" s="111"/>
      <c r="CQ40100" s="111"/>
      <c r="EF40100"/>
      <c r="EG40100"/>
      <c r="EH40100"/>
      <c r="EI40100"/>
      <c r="EJ40100"/>
      <c r="EK40100"/>
    </row>
    <row r="40101" spans="1:141" s="116" customFormat="1">
      <c r="A40101" s="136"/>
      <c r="CM40101" s="111"/>
      <c r="CQ40101" s="111"/>
      <c r="EF40101"/>
      <c r="EG40101"/>
      <c r="EH40101"/>
      <c r="EI40101"/>
      <c r="EJ40101"/>
      <c r="EK40101"/>
    </row>
    <row r="40102" spans="1:141" s="116" customFormat="1">
      <c r="A40102" s="136"/>
      <c r="CM40102" s="111"/>
      <c r="CQ40102" s="111"/>
      <c r="EF40102"/>
      <c r="EG40102"/>
      <c r="EH40102"/>
      <c r="EI40102"/>
      <c r="EJ40102"/>
      <c r="EK40102"/>
    </row>
    <row r="40103" spans="1:141" s="116" customFormat="1">
      <c r="A40103" s="136"/>
      <c r="CM40103" s="111"/>
      <c r="CQ40103" s="111"/>
      <c r="EF40103"/>
      <c r="EG40103"/>
      <c r="EH40103"/>
      <c r="EI40103"/>
      <c r="EJ40103"/>
      <c r="EK40103"/>
    </row>
    <row r="40104" spans="1:141" s="116" customFormat="1">
      <c r="A40104" s="136"/>
      <c r="CM40104" s="111"/>
      <c r="CQ40104" s="111"/>
      <c r="EF40104"/>
      <c r="EG40104"/>
      <c r="EH40104"/>
      <c r="EI40104"/>
      <c r="EJ40104"/>
      <c r="EK40104"/>
    </row>
    <row r="40105" spans="1:141" s="116" customFormat="1">
      <c r="A40105" s="136"/>
      <c r="CM40105" s="111"/>
      <c r="CQ40105" s="111"/>
      <c r="EF40105"/>
      <c r="EG40105"/>
      <c r="EH40105"/>
      <c r="EI40105"/>
      <c r="EJ40105"/>
      <c r="EK40105"/>
    </row>
    <row r="40106" spans="1:141" s="116" customFormat="1">
      <c r="A40106" s="136"/>
      <c r="CM40106" s="111"/>
      <c r="CQ40106" s="111"/>
      <c r="EF40106"/>
      <c r="EG40106"/>
      <c r="EH40106"/>
      <c r="EI40106"/>
      <c r="EJ40106"/>
      <c r="EK40106"/>
    </row>
    <row r="40107" spans="1:141" s="116" customFormat="1">
      <c r="A40107" s="136"/>
      <c r="CM40107" s="111"/>
      <c r="CQ40107" s="111"/>
      <c r="EF40107"/>
      <c r="EG40107"/>
      <c r="EH40107"/>
      <c r="EI40107"/>
      <c r="EJ40107"/>
      <c r="EK40107"/>
    </row>
    <row r="40108" spans="1:141" s="116" customFormat="1">
      <c r="A40108" s="136"/>
      <c r="CM40108" s="111"/>
      <c r="CQ40108" s="111"/>
      <c r="EF40108"/>
      <c r="EG40108"/>
      <c r="EH40108"/>
      <c r="EI40108"/>
      <c r="EJ40108"/>
      <c r="EK40108"/>
    </row>
    <row r="40109" spans="1:141" s="116" customFormat="1">
      <c r="A40109" s="136"/>
      <c r="CM40109" s="111"/>
      <c r="CQ40109" s="111"/>
      <c r="EF40109"/>
      <c r="EG40109"/>
      <c r="EH40109"/>
      <c r="EI40109"/>
      <c r="EJ40109"/>
      <c r="EK40109"/>
    </row>
    <row r="40110" spans="1:141" s="116" customFormat="1">
      <c r="A40110" s="136"/>
      <c r="CM40110" s="111"/>
      <c r="CQ40110" s="111"/>
      <c r="EF40110"/>
      <c r="EG40110"/>
      <c r="EH40110"/>
      <c r="EI40110"/>
      <c r="EJ40110"/>
      <c r="EK40110"/>
    </row>
    <row r="40111" spans="1:141" s="116" customFormat="1">
      <c r="A40111" s="136"/>
      <c r="CM40111" s="111"/>
      <c r="CQ40111" s="111"/>
      <c r="EF40111"/>
      <c r="EG40111"/>
      <c r="EH40111"/>
      <c r="EI40111"/>
      <c r="EJ40111"/>
      <c r="EK40111"/>
    </row>
    <row r="40112" spans="1:141" s="116" customFormat="1">
      <c r="A40112" s="136"/>
      <c r="CM40112" s="111"/>
      <c r="CQ40112" s="111"/>
      <c r="EF40112"/>
      <c r="EG40112"/>
      <c r="EH40112"/>
      <c r="EI40112"/>
      <c r="EJ40112"/>
      <c r="EK40112"/>
    </row>
    <row r="40113" spans="1:141" s="116" customFormat="1">
      <c r="A40113" s="136"/>
      <c r="CM40113" s="111"/>
      <c r="CQ40113" s="111"/>
      <c r="EF40113"/>
      <c r="EG40113"/>
      <c r="EH40113"/>
      <c r="EI40113"/>
      <c r="EJ40113"/>
      <c r="EK40113"/>
    </row>
    <row r="40114" spans="1:141" s="116" customFormat="1">
      <c r="A40114" s="136"/>
      <c r="CM40114" s="111"/>
      <c r="CQ40114" s="111"/>
      <c r="EF40114"/>
      <c r="EG40114"/>
      <c r="EH40114"/>
      <c r="EI40114"/>
      <c r="EJ40114"/>
      <c r="EK40114"/>
    </row>
    <row r="40115" spans="1:141" s="116" customFormat="1">
      <c r="A40115" s="136"/>
      <c r="CM40115" s="111"/>
      <c r="CQ40115" s="111"/>
      <c r="EF40115"/>
      <c r="EG40115"/>
      <c r="EH40115"/>
      <c r="EI40115"/>
      <c r="EJ40115"/>
      <c r="EK40115"/>
    </row>
    <row r="40116" spans="1:141" s="116" customFormat="1">
      <c r="A40116" s="136"/>
      <c r="CM40116" s="111"/>
      <c r="CQ40116" s="111"/>
      <c r="EF40116"/>
      <c r="EG40116"/>
      <c r="EH40116"/>
      <c r="EI40116"/>
      <c r="EJ40116"/>
      <c r="EK40116"/>
    </row>
    <row r="40117" spans="1:141" s="116" customFormat="1">
      <c r="A40117" s="136"/>
      <c r="CM40117" s="111"/>
      <c r="CQ40117" s="111"/>
      <c r="EF40117"/>
      <c r="EG40117"/>
      <c r="EH40117"/>
      <c r="EI40117"/>
      <c r="EJ40117"/>
      <c r="EK40117"/>
    </row>
    <row r="40118" spans="1:141" s="116" customFormat="1">
      <c r="A40118" s="136"/>
      <c r="CM40118" s="111"/>
      <c r="CQ40118" s="111"/>
      <c r="EF40118"/>
      <c r="EG40118"/>
      <c r="EH40118"/>
      <c r="EI40118"/>
      <c r="EJ40118"/>
      <c r="EK40118"/>
    </row>
    <row r="40119" spans="1:141" s="116" customFormat="1">
      <c r="A40119" s="136"/>
      <c r="CM40119" s="111"/>
      <c r="CQ40119" s="111"/>
      <c r="EF40119"/>
      <c r="EG40119"/>
      <c r="EH40119"/>
      <c r="EI40119"/>
      <c r="EJ40119"/>
      <c r="EK40119"/>
    </row>
    <row r="40120" spans="1:141" s="116" customFormat="1">
      <c r="A40120" s="136"/>
      <c r="CM40120" s="111"/>
      <c r="CQ40120" s="111"/>
      <c r="EF40120"/>
      <c r="EG40120"/>
      <c r="EH40120"/>
      <c r="EI40120"/>
      <c r="EJ40120"/>
      <c r="EK40120"/>
    </row>
    <row r="40121" spans="1:141" s="116" customFormat="1">
      <c r="A40121" s="136"/>
      <c r="CM40121" s="111"/>
      <c r="CQ40121" s="111"/>
      <c r="EF40121"/>
      <c r="EG40121"/>
      <c r="EH40121"/>
      <c r="EI40121"/>
      <c r="EJ40121"/>
      <c r="EK40121"/>
    </row>
    <row r="40122" spans="1:141" s="116" customFormat="1">
      <c r="A40122" s="136"/>
      <c r="CM40122" s="111"/>
      <c r="CQ40122" s="111"/>
      <c r="EF40122"/>
      <c r="EG40122"/>
      <c r="EH40122"/>
      <c r="EI40122"/>
      <c r="EJ40122"/>
      <c r="EK40122"/>
    </row>
    <row r="40123" spans="1:141" s="116" customFormat="1">
      <c r="A40123" s="136"/>
      <c r="CM40123" s="111"/>
      <c r="CQ40123" s="111"/>
      <c r="EF40123"/>
      <c r="EG40123"/>
      <c r="EH40123"/>
      <c r="EI40123"/>
      <c r="EJ40123"/>
      <c r="EK40123"/>
    </row>
    <row r="40124" spans="1:141" s="116" customFormat="1">
      <c r="A40124" s="136"/>
      <c r="CM40124" s="111"/>
      <c r="CQ40124" s="111"/>
      <c r="EF40124"/>
      <c r="EG40124"/>
      <c r="EH40124"/>
      <c r="EI40124"/>
      <c r="EJ40124"/>
      <c r="EK40124"/>
    </row>
    <row r="40125" spans="1:141" s="116" customFormat="1">
      <c r="A40125" s="136"/>
      <c r="CM40125" s="111"/>
      <c r="CQ40125" s="111"/>
      <c r="EF40125"/>
      <c r="EG40125"/>
      <c r="EH40125"/>
      <c r="EI40125"/>
      <c r="EJ40125"/>
      <c r="EK40125"/>
    </row>
    <row r="40126" spans="1:141" s="116" customFormat="1">
      <c r="A40126" s="136"/>
      <c r="CM40126" s="111"/>
      <c r="CQ40126" s="111"/>
      <c r="EF40126"/>
      <c r="EG40126"/>
      <c r="EH40126"/>
      <c r="EI40126"/>
      <c r="EJ40126"/>
      <c r="EK40126"/>
    </row>
    <row r="40127" spans="1:141" s="116" customFormat="1">
      <c r="A40127" s="136"/>
      <c r="CM40127" s="111"/>
      <c r="CQ40127" s="111"/>
      <c r="EF40127"/>
      <c r="EG40127"/>
      <c r="EH40127"/>
      <c r="EI40127"/>
      <c r="EJ40127"/>
      <c r="EK40127"/>
    </row>
    <row r="40128" spans="1:141" s="116" customFormat="1">
      <c r="A40128" s="136"/>
      <c r="CM40128" s="111"/>
      <c r="CQ40128" s="111"/>
      <c r="EF40128"/>
      <c r="EG40128"/>
      <c r="EH40128"/>
      <c r="EI40128"/>
      <c r="EJ40128"/>
      <c r="EK40128"/>
    </row>
    <row r="40129" spans="1:141" s="116" customFormat="1">
      <c r="A40129" s="136"/>
      <c r="CM40129" s="111"/>
      <c r="CQ40129" s="111"/>
      <c r="EF40129"/>
      <c r="EG40129"/>
      <c r="EH40129"/>
      <c r="EI40129"/>
      <c r="EJ40129"/>
      <c r="EK40129"/>
    </row>
    <row r="40130" spans="1:141" s="116" customFormat="1">
      <c r="A40130" s="136"/>
      <c r="CM40130" s="111"/>
      <c r="CQ40130" s="111"/>
      <c r="EF40130"/>
      <c r="EG40130"/>
      <c r="EH40130"/>
      <c r="EI40130"/>
      <c r="EJ40130"/>
      <c r="EK40130"/>
    </row>
    <row r="40131" spans="1:141" s="116" customFormat="1">
      <c r="A40131" s="136"/>
      <c r="CM40131" s="111"/>
      <c r="CQ40131" s="111"/>
      <c r="EF40131"/>
      <c r="EG40131"/>
      <c r="EH40131"/>
      <c r="EI40131"/>
      <c r="EJ40131"/>
      <c r="EK40131"/>
    </row>
    <row r="40132" spans="1:141" s="116" customFormat="1">
      <c r="A40132" s="136"/>
      <c r="CM40132" s="111"/>
      <c r="CQ40132" s="111"/>
      <c r="EF40132"/>
      <c r="EG40132"/>
      <c r="EH40132"/>
      <c r="EI40132"/>
      <c r="EJ40132"/>
      <c r="EK40132"/>
    </row>
    <row r="40133" spans="1:141" s="116" customFormat="1">
      <c r="A40133" s="136"/>
      <c r="CM40133" s="111"/>
      <c r="CQ40133" s="111"/>
      <c r="EF40133"/>
      <c r="EG40133"/>
      <c r="EH40133"/>
      <c r="EI40133"/>
      <c r="EJ40133"/>
      <c r="EK40133"/>
    </row>
    <row r="40134" spans="1:141" s="116" customFormat="1">
      <c r="A40134" s="136"/>
      <c r="CM40134" s="111"/>
      <c r="CQ40134" s="111"/>
      <c r="EF40134"/>
      <c r="EG40134"/>
      <c r="EH40134"/>
      <c r="EI40134"/>
      <c r="EJ40134"/>
      <c r="EK40134"/>
    </row>
    <row r="40135" spans="1:141" s="116" customFormat="1">
      <c r="A40135" s="136"/>
      <c r="CM40135" s="111"/>
      <c r="CQ40135" s="111"/>
      <c r="EF40135"/>
      <c r="EG40135"/>
      <c r="EH40135"/>
      <c r="EI40135"/>
      <c r="EJ40135"/>
      <c r="EK40135"/>
    </row>
    <row r="40136" spans="1:141" s="116" customFormat="1">
      <c r="A40136" s="136"/>
      <c r="CM40136" s="111"/>
      <c r="CQ40136" s="111"/>
      <c r="EF40136"/>
      <c r="EG40136"/>
      <c r="EH40136"/>
      <c r="EI40136"/>
      <c r="EJ40136"/>
      <c r="EK40136"/>
    </row>
    <row r="40137" spans="1:141" s="116" customFormat="1">
      <c r="A40137" s="136"/>
      <c r="CM40137" s="111"/>
      <c r="CQ40137" s="111"/>
      <c r="EF40137"/>
      <c r="EG40137"/>
      <c r="EH40137"/>
      <c r="EI40137"/>
      <c r="EJ40137"/>
      <c r="EK40137"/>
    </row>
    <row r="40138" spans="1:141" s="116" customFormat="1">
      <c r="A40138" s="136"/>
      <c r="CM40138" s="111"/>
      <c r="CQ40138" s="111"/>
      <c r="EF40138"/>
      <c r="EG40138"/>
      <c r="EH40138"/>
      <c r="EI40138"/>
      <c r="EJ40138"/>
      <c r="EK40138"/>
    </row>
    <row r="40139" spans="1:141" s="116" customFormat="1">
      <c r="A40139" s="136"/>
      <c r="CM40139" s="111"/>
      <c r="CQ40139" s="111"/>
      <c r="EF40139"/>
      <c r="EG40139"/>
      <c r="EH40139"/>
      <c r="EI40139"/>
      <c r="EJ40139"/>
      <c r="EK40139"/>
    </row>
    <row r="40140" spans="1:141" s="116" customFormat="1">
      <c r="A40140" s="136"/>
      <c r="CM40140" s="111"/>
      <c r="CQ40140" s="111"/>
      <c r="EF40140"/>
      <c r="EG40140"/>
      <c r="EH40140"/>
      <c r="EI40140"/>
      <c r="EJ40140"/>
      <c r="EK40140"/>
    </row>
    <row r="40141" spans="1:141" s="116" customFormat="1">
      <c r="A40141" s="136"/>
      <c r="CM40141" s="111"/>
      <c r="CQ40141" s="111"/>
      <c r="EF40141"/>
      <c r="EG40141"/>
      <c r="EH40141"/>
      <c r="EI40141"/>
      <c r="EJ40141"/>
      <c r="EK40141"/>
    </row>
    <row r="40142" spans="1:141" s="116" customFormat="1">
      <c r="A40142" s="136"/>
      <c r="CM40142" s="111"/>
      <c r="CQ40142" s="111"/>
      <c r="EF40142"/>
      <c r="EG40142"/>
      <c r="EH40142"/>
      <c r="EI40142"/>
      <c r="EJ40142"/>
      <c r="EK40142"/>
    </row>
    <row r="40143" spans="1:141" s="116" customFormat="1">
      <c r="A40143" s="136"/>
      <c r="CM40143" s="111"/>
      <c r="CQ40143" s="111"/>
      <c r="EF40143"/>
      <c r="EG40143"/>
      <c r="EH40143"/>
      <c r="EI40143"/>
      <c r="EJ40143"/>
      <c r="EK40143"/>
    </row>
    <row r="40144" spans="1:141" s="116" customFormat="1">
      <c r="A40144" s="136"/>
      <c r="CM40144" s="111"/>
      <c r="CQ40144" s="111"/>
      <c r="EF40144"/>
      <c r="EG40144"/>
      <c r="EH40144"/>
      <c r="EI40144"/>
      <c r="EJ40144"/>
      <c r="EK40144"/>
    </row>
    <row r="40145" spans="1:141" s="116" customFormat="1">
      <c r="A40145" s="136"/>
      <c r="CM40145" s="111"/>
      <c r="CQ40145" s="111"/>
      <c r="EF40145"/>
      <c r="EG40145"/>
      <c r="EH40145"/>
      <c r="EI40145"/>
      <c r="EJ40145"/>
      <c r="EK40145"/>
    </row>
    <row r="40146" spans="1:141" s="116" customFormat="1">
      <c r="A40146" s="136"/>
      <c r="CM40146" s="111"/>
      <c r="CQ40146" s="111"/>
      <c r="EF40146"/>
      <c r="EG40146"/>
      <c r="EH40146"/>
      <c r="EI40146"/>
      <c r="EJ40146"/>
      <c r="EK40146"/>
    </row>
    <row r="40147" spans="1:141" s="116" customFormat="1">
      <c r="A40147" s="136"/>
      <c r="CM40147" s="111"/>
      <c r="CQ40147" s="111"/>
      <c r="EF40147"/>
      <c r="EG40147"/>
      <c r="EH40147"/>
      <c r="EI40147"/>
      <c r="EJ40147"/>
      <c r="EK40147"/>
    </row>
    <row r="40148" spans="1:141" s="116" customFormat="1">
      <c r="A40148" s="136"/>
      <c r="CM40148" s="111"/>
      <c r="CQ40148" s="111"/>
      <c r="EF40148"/>
      <c r="EG40148"/>
      <c r="EH40148"/>
      <c r="EI40148"/>
      <c r="EJ40148"/>
      <c r="EK40148"/>
    </row>
    <row r="40149" spans="1:141" s="116" customFormat="1">
      <c r="A40149" s="136"/>
      <c r="CM40149" s="111"/>
      <c r="CQ40149" s="111"/>
      <c r="EF40149"/>
      <c r="EG40149"/>
      <c r="EH40149"/>
      <c r="EI40149"/>
      <c r="EJ40149"/>
      <c r="EK40149"/>
    </row>
    <row r="40150" spans="1:141" s="116" customFormat="1">
      <c r="A40150" s="136"/>
      <c r="CM40150" s="111"/>
      <c r="CQ40150" s="111"/>
      <c r="EF40150"/>
      <c r="EG40150"/>
      <c r="EH40150"/>
      <c r="EI40150"/>
      <c r="EJ40150"/>
      <c r="EK40150"/>
    </row>
    <row r="40151" spans="1:141" s="116" customFormat="1">
      <c r="A40151" s="136"/>
      <c r="CM40151" s="111"/>
      <c r="CQ40151" s="111"/>
      <c r="EF40151"/>
      <c r="EG40151"/>
      <c r="EH40151"/>
      <c r="EI40151"/>
      <c r="EJ40151"/>
      <c r="EK40151"/>
    </row>
    <row r="40152" spans="1:141" s="116" customFormat="1">
      <c r="A40152" s="136"/>
      <c r="CM40152" s="111"/>
      <c r="CQ40152" s="111"/>
      <c r="EF40152"/>
      <c r="EG40152"/>
      <c r="EH40152"/>
      <c r="EI40152"/>
      <c r="EJ40152"/>
      <c r="EK40152"/>
    </row>
    <row r="40153" spans="1:141" s="116" customFormat="1">
      <c r="A40153" s="136"/>
      <c r="CM40153" s="111"/>
      <c r="CQ40153" s="111"/>
      <c r="EF40153"/>
      <c r="EG40153"/>
      <c r="EH40153"/>
      <c r="EI40153"/>
      <c r="EJ40153"/>
      <c r="EK40153"/>
    </row>
    <row r="40154" spans="1:141" s="116" customFormat="1">
      <c r="A40154" s="136"/>
      <c r="CM40154" s="111"/>
      <c r="CQ40154" s="111"/>
      <c r="EF40154"/>
      <c r="EG40154"/>
      <c r="EH40154"/>
      <c r="EI40154"/>
      <c r="EJ40154"/>
      <c r="EK40154"/>
    </row>
    <row r="40155" spans="1:141" s="116" customFormat="1">
      <c r="A40155" s="136"/>
      <c r="CM40155" s="111"/>
      <c r="CQ40155" s="111"/>
      <c r="EF40155"/>
      <c r="EG40155"/>
      <c r="EH40155"/>
      <c r="EI40155"/>
      <c r="EJ40155"/>
      <c r="EK40155"/>
    </row>
    <row r="40156" spans="1:141" s="116" customFormat="1">
      <c r="A40156" s="136"/>
      <c r="CM40156" s="111"/>
      <c r="CQ40156" s="111"/>
      <c r="EF40156"/>
      <c r="EG40156"/>
      <c r="EH40156"/>
      <c r="EI40156"/>
      <c r="EJ40156"/>
      <c r="EK40156"/>
    </row>
    <row r="40157" spans="1:141" s="116" customFormat="1">
      <c r="A40157" s="136"/>
      <c r="CM40157" s="111"/>
      <c r="CQ40157" s="111"/>
      <c r="EF40157"/>
      <c r="EG40157"/>
      <c r="EH40157"/>
      <c r="EI40157"/>
      <c r="EJ40157"/>
      <c r="EK40157"/>
    </row>
    <row r="40158" spans="1:141" s="116" customFormat="1">
      <c r="A40158" s="136"/>
      <c r="CM40158" s="111"/>
      <c r="CQ40158" s="111"/>
      <c r="EF40158"/>
      <c r="EG40158"/>
      <c r="EH40158"/>
      <c r="EI40158"/>
      <c r="EJ40158"/>
      <c r="EK40158"/>
    </row>
    <row r="40159" spans="1:141" s="116" customFormat="1">
      <c r="A40159" s="136"/>
      <c r="CM40159" s="111"/>
      <c r="CQ40159" s="111"/>
      <c r="EF40159"/>
      <c r="EG40159"/>
      <c r="EH40159"/>
      <c r="EI40159"/>
      <c r="EJ40159"/>
      <c r="EK40159"/>
    </row>
    <row r="40160" spans="1:141" s="116" customFormat="1">
      <c r="A40160" s="136"/>
      <c r="CM40160" s="111"/>
      <c r="CQ40160" s="111"/>
      <c r="EF40160"/>
      <c r="EG40160"/>
      <c r="EH40160"/>
      <c r="EI40160"/>
      <c r="EJ40160"/>
      <c r="EK40160"/>
    </row>
    <row r="40161" spans="1:141" s="116" customFormat="1">
      <c r="A40161" s="136"/>
      <c r="CM40161" s="111"/>
      <c r="CQ40161" s="111"/>
      <c r="EF40161"/>
      <c r="EG40161"/>
      <c r="EH40161"/>
      <c r="EI40161"/>
      <c r="EJ40161"/>
      <c r="EK40161"/>
    </row>
    <row r="40162" spans="1:141" s="116" customFormat="1">
      <c r="A40162" s="136"/>
      <c r="CM40162" s="111"/>
      <c r="CQ40162" s="111"/>
      <c r="EF40162"/>
      <c r="EG40162"/>
      <c r="EH40162"/>
      <c r="EI40162"/>
      <c r="EJ40162"/>
      <c r="EK40162"/>
    </row>
    <row r="40163" spans="1:141" s="116" customFormat="1">
      <c r="A40163" s="136"/>
      <c r="CM40163" s="111"/>
      <c r="CQ40163" s="111"/>
      <c r="EF40163"/>
      <c r="EG40163"/>
      <c r="EH40163"/>
      <c r="EI40163"/>
      <c r="EJ40163"/>
      <c r="EK40163"/>
    </row>
    <row r="40164" spans="1:141" s="116" customFormat="1">
      <c r="A40164" s="136"/>
      <c r="CM40164" s="111"/>
      <c r="CQ40164" s="111"/>
      <c r="EF40164"/>
      <c r="EG40164"/>
      <c r="EH40164"/>
      <c r="EI40164"/>
      <c r="EJ40164"/>
      <c r="EK40164"/>
    </row>
    <row r="40165" spans="1:141" s="116" customFormat="1">
      <c r="A40165" s="136"/>
      <c r="CM40165" s="111"/>
      <c r="CQ40165" s="111"/>
      <c r="EF40165"/>
      <c r="EG40165"/>
      <c r="EH40165"/>
      <c r="EI40165"/>
      <c r="EJ40165"/>
      <c r="EK40165"/>
    </row>
    <row r="40166" spans="1:141" s="116" customFormat="1">
      <c r="A40166" s="136"/>
      <c r="CM40166" s="111"/>
      <c r="CQ40166" s="111"/>
      <c r="EF40166"/>
      <c r="EG40166"/>
      <c r="EH40166"/>
      <c r="EI40166"/>
      <c r="EJ40166"/>
      <c r="EK40166"/>
    </row>
    <row r="40167" spans="1:141" s="116" customFormat="1">
      <c r="A40167" s="136"/>
      <c r="CM40167" s="111"/>
      <c r="CQ40167" s="111"/>
      <c r="EF40167"/>
      <c r="EG40167"/>
      <c r="EH40167"/>
      <c r="EI40167"/>
      <c r="EJ40167"/>
      <c r="EK40167"/>
    </row>
    <row r="40168" spans="1:141" s="116" customFormat="1">
      <c r="A40168" s="136"/>
      <c r="CM40168" s="111"/>
      <c r="CQ40168" s="111"/>
      <c r="EF40168"/>
      <c r="EG40168"/>
      <c r="EH40168"/>
      <c r="EI40168"/>
      <c r="EJ40168"/>
      <c r="EK40168"/>
    </row>
    <row r="40169" spans="1:141" s="116" customFormat="1">
      <c r="A40169" s="136"/>
      <c r="CM40169" s="111"/>
      <c r="CQ40169" s="111"/>
      <c r="EF40169"/>
      <c r="EG40169"/>
      <c r="EH40169"/>
      <c r="EI40169"/>
      <c r="EJ40169"/>
      <c r="EK40169"/>
    </row>
    <row r="40170" spans="1:141" s="116" customFormat="1">
      <c r="A40170" s="136"/>
      <c r="CM40170" s="111"/>
      <c r="CQ40170" s="111"/>
      <c r="EF40170"/>
      <c r="EG40170"/>
      <c r="EH40170"/>
      <c r="EI40170"/>
      <c r="EJ40170"/>
      <c r="EK40170"/>
    </row>
    <row r="40171" spans="1:141" s="116" customFormat="1">
      <c r="A40171" s="136"/>
      <c r="CM40171" s="111"/>
      <c r="CQ40171" s="111"/>
      <c r="EF40171"/>
      <c r="EG40171"/>
      <c r="EH40171"/>
      <c r="EI40171"/>
      <c r="EJ40171"/>
      <c r="EK40171"/>
    </row>
    <row r="40172" spans="1:141" s="116" customFormat="1">
      <c r="A40172" s="136"/>
      <c r="CM40172" s="111"/>
      <c r="CQ40172" s="111"/>
      <c r="EF40172"/>
      <c r="EG40172"/>
      <c r="EH40172"/>
      <c r="EI40172"/>
      <c r="EJ40172"/>
      <c r="EK40172"/>
    </row>
    <row r="40173" spans="1:141" s="116" customFormat="1">
      <c r="A40173" s="136"/>
      <c r="CM40173" s="111"/>
      <c r="CQ40173" s="111"/>
      <c r="EF40173"/>
      <c r="EG40173"/>
      <c r="EH40173"/>
      <c r="EI40173"/>
      <c r="EJ40173"/>
      <c r="EK40173"/>
    </row>
    <row r="40174" spans="1:141" s="116" customFormat="1">
      <c r="A40174" s="136"/>
      <c r="CM40174" s="111"/>
      <c r="CQ40174" s="111"/>
      <c r="EF40174"/>
      <c r="EG40174"/>
      <c r="EH40174"/>
      <c r="EI40174"/>
      <c r="EJ40174"/>
      <c r="EK40174"/>
    </row>
    <row r="40175" spans="1:141" s="116" customFormat="1">
      <c r="A40175" s="136"/>
      <c r="CM40175" s="111"/>
      <c r="CQ40175" s="111"/>
      <c r="EF40175"/>
      <c r="EG40175"/>
      <c r="EH40175"/>
      <c r="EI40175"/>
      <c r="EJ40175"/>
      <c r="EK40175"/>
    </row>
    <row r="40176" spans="1:141" s="116" customFormat="1">
      <c r="A40176" s="136"/>
      <c r="CM40176" s="111"/>
      <c r="CQ40176" s="111"/>
      <c r="EF40176"/>
      <c r="EG40176"/>
      <c r="EH40176"/>
      <c r="EI40176"/>
      <c r="EJ40176"/>
      <c r="EK40176"/>
    </row>
    <row r="40177" spans="1:141" s="116" customFormat="1">
      <c r="A40177" s="136"/>
      <c r="CM40177" s="111"/>
      <c r="CQ40177" s="111"/>
      <c r="EF40177"/>
      <c r="EG40177"/>
      <c r="EH40177"/>
      <c r="EI40177"/>
      <c r="EJ40177"/>
      <c r="EK40177"/>
    </row>
    <row r="40178" spans="1:141" s="116" customFormat="1">
      <c r="A40178" s="136"/>
      <c r="CM40178" s="111"/>
      <c r="CQ40178" s="111"/>
      <c r="EF40178"/>
      <c r="EG40178"/>
      <c r="EH40178"/>
      <c r="EI40178"/>
      <c r="EJ40178"/>
      <c r="EK40178"/>
    </row>
    <row r="40179" spans="1:141" s="116" customFormat="1">
      <c r="A40179" s="136"/>
      <c r="CM40179" s="111"/>
      <c r="CQ40179" s="111"/>
      <c r="EF40179"/>
      <c r="EG40179"/>
      <c r="EH40179"/>
      <c r="EI40179"/>
      <c r="EJ40179"/>
      <c r="EK40179"/>
    </row>
    <row r="40180" spans="1:141" s="116" customFormat="1">
      <c r="A40180" s="136"/>
      <c r="CM40180" s="111"/>
      <c r="CQ40180" s="111"/>
      <c r="EF40180"/>
      <c r="EG40180"/>
      <c r="EH40180"/>
      <c r="EI40180"/>
      <c r="EJ40180"/>
      <c r="EK40180"/>
    </row>
    <row r="40181" spans="1:141" s="116" customFormat="1">
      <c r="A40181" s="136"/>
      <c r="CM40181" s="111"/>
      <c r="CQ40181" s="111"/>
      <c r="EF40181"/>
      <c r="EG40181"/>
      <c r="EH40181"/>
      <c r="EI40181"/>
      <c r="EJ40181"/>
      <c r="EK40181"/>
    </row>
    <row r="40182" spans="1:141" s="116" customFormat="1">
      <c r="A40182" s="136"/>
      <c r="CM40182" s="111"/>
      <c r="CQ40182" s="111"/>
      <c r="EF40182"/>
      <c r="EG40182"/>
      <c r="EH40182"/>
      <c r="EI40182"/>
      <c r="EJ40182"/>
      <c r="EK40182"/>
    </row>
    <row r="40183" spans="1:141" s="116" customFormat="1">
      <c r="A40183" s="136"/>
      <c r="CM40183" s="111"/>
      <c r="CQ40183" s="111"/>
      <c r="EF40183"/>
      <c r="EG40183"/>
      <c r="EH40183"/>
      <c r="EI40183"/>
      <c r="EJ40183"/>
      <c r="EK40183"/>
    </row>
    <row r="40184" spans="1:141" s="116" customFormat="1">
      <c r="A40184" s="136"/>
      <c r="CM40184" s="111"/>
      <c r="CQ40184" s="111"/>
      <c r="EF40184"/>
      <c r="EG40184"/>
      <c r="EH40184"/>
      <c r="EI40184"/>
      <c r="EJ40184"/>
      <c r="EK40184"/>
    </row>
    <row r="40185" spans="1:141" s="116" customFormat="1">
      <c r="A40185" s="136"/>
      <c r="CM40185" s="111"/>
      <c r="CQ40185" s="111"/>
      <c r="EF40185"/>
      <c r="EG40185"/>
      <c r="EH40185"/>
      <c r="EI40185"/>
      <c r="EJ40185"/>
      <c r="EK40185"/>
    </row>
    <row r="40186" spans="1:141" s="116" customFormat="1">
      <c r="A40186" s="136"/>
      <c r="CM40186" s="111"/>
      <c r="CQ40186" s="111"/>
      <c r="EF40186"/>
      <c r="EG40186"/>
      <c r="EH40186"/>
      <c r="EI40186"/>
      <c r="EJ40186"/>
      <c r="EK40186"/>
    </row>
    <row r="40187" spans="1:141" s="116" customFormat="1">
      <c r="A40187" s="136"/>
      <c r="CM40187" s="111"/>
      <c r="CQ40187" s="111"/>
      <c r="EF40187"/>
      <c r="EG40187"/>
      <c r="EH40187"/>
      <c r="EI40187"/>
      <c r="EJ40187"/>
      <c r="EK40187"/>
    </row>
    <row r="40188" spans="1:141" s="116" customFormat="1">
      <c r="A40188" s="136"/>
      <c r="CM40188" s="111"/>
      <c r="CQ40188" s="111"/>
      <c r="EF40188"/>
      <c r="EG40188"/>
      <c r="EH40188"/>
      <c r="EI40188"/>
      <c r="EJ40188"/>
      <c r="EK40188"/>
    </row>
    <row r="40189" spans="1:141" s="116" customFormat="1">
      <c r="A40189" s="136"/>
      <c r="CM40189" s="111"/>
      <c r="CQ40189" s="111"/>
      <c r="EF40189"/>
      <c r="EG40189"/>
      <c r="EH40189"/>
      <c r="EI40189"/>
      <c r="EJ40189"/>
      <c r="EK40189"/>
    </row>
    <row r="40190" spans="1:141" s="116" customFormat="1">
      <c r="A40190" s="136"/>
      <c r="CM40190" s="111"/>
      <c r="CQ40190" s="111"/>
      <c r="EF40190"/>
      <c r="EG40190"/>
      <c r="EH40190"/>
      <c r="EI40190"/>
      <c r="EJ40190"/>
      <c r="EK40190"/>
    </row>
    <row r="40191" spans="1:141" s="116" customFormat="1">
      <c r="A40191" s="136"/>
      <c r="CM40191" s="111"/>
      <c r="CQ40191" s="111"/>
      <c r="EF40191"/>
      <c r="EG40191"/>
      <c r="EH40191"/>
      <c r="EI40191"/>
      <c r="EJ40191"/>
      <c r="EK40191"/>
    </row>
    <row r="40192" spans="1:141" s="116" customFormat="1">
      <c r="A40192" s="136"/>
      <c r="CM40192" s="111"/>
      <c r="CQ40192" s="111"/>
      <c r="EF40192"/>
      <c r="EG40192"/>
      <c r="EH40192"/>
      <c r="EI40192"/>
      <c r="EJ40192"/>
      <c r="EK40192"/>
    </row>
    <row r="40193" spans="1:141" s="116" customFormat="1">
      <c r="A40193" s="136"/>
      <c r="CM40193" s="111"/>
      <c r="CQ40193" s="111"/>
      <c r="EF40193"/>
      <c r="EG40193"/>
      <c r="EH40193"/>
      <c r="EI40193"/>
      <c r="EJ40193"/>
      <c r="EK40193"/>
    </row>
    <row r="40194" spans="1:141" s="116" customFormat="1">
      <c r="A40194" s="136"/>
      <c r="CM40194" s="111"/>
      <c r="CQ40194" s="111"/>
      <c r="EF40194"/>
      <c r="EG40194"/>
      <c r="EH40194"/>
      <c r="EI40194"/>
      <c r="EJ40194"/>
      <c r="EK40194"/>
    </row>
    <row r="40195" spans="1:141" s="116" customFormat="1">
      <c r="A40195" s="136"/>
      <c r="CM40195" s="111"/>
      <c r="CQ40195" s="111"/>
      <c r="EF40195"/>
      <c r="EG40195"/>
      <c r="EH40195"/>
      <c r="EI40195"/>
      <c r="EJ40195"/>
      <c r="EK40195"/>
    </row>
    <row r="40196" spans="1:141" s="116" customFormat="1">
      <c r="A40196" s="136"/>
      <c r="CM40196" s="111"/>
      <c r="CQ40196" s="111"/>
      <c r="EF40196"/>
      <c r="EG40196"/>
      <c r="EH40196"/>
      <c r="EI40196"/>
      <c r="EJ40196"/>
      <c r="EK40196"/>
    </row>
    <row r="40197" spans="1:141" s="116" customFormat="1">
      <c r="A40197" s="136"/>
      <c r="CM40197" s="111"/>
      <c r="CQ40197" s="111"/>
      <c r="EF40197"/>
      <c r="EG40197"/>
      <c r="EH40197"/>
      <c r="EI40197"/>
      <c r="EJ40197"/>
      <c r="EK40197"/>
    </row>
    <row r="40198" spans="1:141" s="116" customFormat="1">
      <c r="A40198" s="136"/>
      <c r="CM40198" s="111"/>
      <c r="CQ40198" s="111"/>
      <c r="EF40198"/>
      <c r="EG40198"/>
      <c r="EH40198"/>
      <c r="EI40198"/>
      <c r="EJ40198"/>
      <c r="EK40198"/>
    </row>
    <row r="40199" spans="1:141" s="116" customFormat="1">
      <c r="A40199" s="136"/>
      <c r="CM40199" s="111"/>
      <c r="CQ40199" s="111"/>
      <c r="EF40199"/>
      <c r="EG40199"/>
      <c r="EH40199"/>
      <c r="EI40199"/>
      <c r="EJ40199"/>
      <c r="EK40199"/>
    </row>
    <row r="40200" spans="1:141" s="116" customFormat="1">
      <c r="A40200" s="136"/>
      <c r="CM40200" s="111"/>
      <c r="CQ40200" s="111"/>
      <c r="EF40200"/>
      <c r="EG40200"/>
      <c r="EH40200"/>
      <c r="EI40200"/>
      <c r="EJ40200"/>
      <c r="EK40200"/>
    </row>
    <row r="40201" spans="1:141" s="116" customFormat="1">
      <c r="A40201" s="136"/>
      <c r="CM40201" s="111"/>
      <c r="CQ40201" s="111"/>
      <c r="EF40201"/>
      <c r="EG40201"/>
      <c r="EH40201"/>
      <c r="EI40201"/>
      <c r="EJ40201"/>
      <c r="EK40201"/>
    </row>
    <row r="40202" spans="1:141" s="116" customFormat="1">
      <c r="A40202" s="136"/>
      <c r="CM40202" s="111"/>
      <c r="CQ40202" s="111"/>
      <c r="EF40202"/>
      <c r="EG40202"/>
      <c r="EH40202"/>
      <c r="EI40202"/>
      <c r="EJ40202"/>
      <c r="EK40202"/>
    </row>
    <row r="40203" spans="1:141" s="116" customFormat="1">
      <c r="A40203" s="136"/>
      <c r="CM40203" s="111"/>
      <c r="CQ40203" s="111"/>
      <c r="EF40203"/>
      <c r="EG40203"/>
      <c r="EH40203"/>
      <c r="EI40203"/>
      <c r="EJ40203"/>
      <c r="EK40203"/>
    </row>
    <row r="40204" spans="1:141" s="116" customFormat="1">
      <c r="A40204" s="136"/>
      <c r="CM40204" s="111"/>
      <c r="CQ40204" s="111"/>
      <c r="EF40204"/>
      <c r="EG40204"/>
      <c r="EH40204"/>
      <c r="EI40204"/>
      <c r="EJ40204"/>
      <c r="EK40204"/>
    </row>
    <row r="40205" spans="1:141" s="116" customFormat="1">
      <c r="A40205" s="136"/>
      <c r="CM40205" s="111"/>
      <c r="CQ40205" s="111"/>
      <c r="EF40205"/>
      <c r="EG40205"/>
      <c r="EH40205"/>
      <c r="EI40205"/>
      <c r="EJ40205"/>
      <c r="EK40205"/>
    </row>
    <row r="40206" spans="1:141" s="116" customFormat="1">
      <c r="A40206" s="136"/>
      <c r="CM40206" s="111"/>
      <c r="CQ40206" s="111"/>
      <c r="EF40206"/>
      <c r="EG40206"/>
      <c r="EH40206"/>
      <c r="EI40206"/>
      <c r="EJ40206"/>
      <c r="EK40206"/>
    </row>
    <row r="40207" spans="1:141" s="116" customFormat="1">
      <c r="A40207" s="136"/>
      <c r="CM40207" s="111"/>
      <c r="CQ40207" s="111"/>
      <c r="EF40207"/>
      <c r="EG40207"/>
      <c r="EH40207"/>
      <c r="EI40207"/>
      <c r="EJ40207"/>
      <c r="EK40207"/>
    </row>
    <row r="40208" spans="1:141" s="116" customFormat="1">
      <c r="A40208" s="136"/>
      <c r="CM40208" s="111"/>
      <c r="CQ40208" s="111"/>
      <c r="EF40208"/>
      <c r="EG40208"/>
      <c r="EH40208"/>
      <c r="EI40208"/>
      <c r="EJ40208"/>
      <c r="EK40208"/>
    </row>
    <row r="40209" spans="1:141" s="116" customFormat="1">
      <c r="A40209" s="136"/>
      <c r="CM40209" s="111"/>
      <c r="CQ40209" s="111"/>
      <c r="EF40209"/>
      <c r="EG40209"/>
      <c r="EH40209"/>
      <c r="EI40209"/>
      <c r="EJ40209"/>
      <c r="EK40209"/>
    </row>
    <row r="40210" spans="1:141" s="116" customFormat="1">
      <c r="A40210" s="136"/>
      <c r="CM40210" s="111"/>
      <c r="CQ40210" s="111"/>
      <c r="EF40210"/>
      <c r="EG40210"/>
      <c r="EH40210"/>
      <c r="EI40210"/>
      <c r="EJ40210"/>
      <c r="EK40210"/>
    </row>
    <row r="40211" spans="1:141" s="116" customFormat="1">
      <c r="A40211" s="136"/>
      <c r="CM40211" s="111"/>
      <c r="CQ40211" s="111"/>
      <c r="EF40211"/>
      <c r="EG40211"/>
      <c r="EH40211"/>
      <c r="EI40211"/>
      <c r="EJ40211"/>
      <c r="EK40211"/>
    </row>
    <row r="40212" spans="1:141" s="116" customFormat="1">
      <c r="A40212" s="136"/>
      <c r="CM40212" s="111"/>
      <c r="CQ40212" s="111"/>
      <c r="EF40212"/>
      <c r="EG40212"/>
      <c r="EH40212"/>
      <c r="EI40212"/>
      <c r="EJ40212"/>
      <c r="EK40212"/>
    </row>
    <row r="40213" spans="1:141" s="116" customFormat="1">
      <c r="A40213" s="136"/>
      <c r="CM40213" s="111"/>
      <c r="CQ40213" s="111"/>
      <c r="EF40213"/>
      <c r="EG40213"/>
      <c r="EH40213"/>
      <c r="EI40213"/>
      <c r="EJ40213"/>
      <c r="EK40213"/>
    </row>
    <row r="40214" spans="1:141" s="116" customFormat="1">
      <c r="A40214" s="136"/>
      <c r="CM40214" s="111"/>
      <c r="CQ40214" s="111"/>
      <c r="EF40214"/>
      <c r="EG40214"/>
      <c r="EH40214"/>
      <c r="EI40214"/>
      <c r="EJ40214"/>
      <c r="EK40214"/>
    </row>
    <row r="40215" spans="1:141" s="116" customFormat="1">
      <c r="A40215" s="136"/>
      <c r="CM40215" s="111"/>
      <c r="CQ40215" s="111"/>
      <c r="EF40215"/>
      <c r="EG40215"/>
      <c r="EH40215"/>
      <c r="EI40215"/>
      <c r="EJ40215"/>
      <c r="EK40215"/>
    </row>
    <row r="40216" spans="1:141" s="116" customFormat="1">
      <c r="A40216" s="136"/>
      <c r="CM40216" s="111"/>
      <c r="CQ40216" s="111"/>
      <c r="EF40216"/>
      <c r="EG40216"/>
      <c r="EH40216"/>
      <c r="EI40216"/>
      <c r="EJ40216"/>
      <c r="EK40216"/>
    </row>
    <row r="40217" spans="1:141" s="116" customFormat="1">
      <c r="A40217" s="136"/>
      <c r="CM40217" s="111"/>
      <c r="CQ40217" s="111"/>
      <c r="EF40217"/>
      <c r="EG40217"/>
      <c r="EH40217"/>
      <c r="EI40217"/>
      <c r="EJ40217"/>
      <c r="EK40217"/>
    </row>
    <row r="40218" spans="1:141" s="116" customFormat="1">
      <c r="A40218" s="136"/>
      <c r="CM40218" s="111"/>
      <c r="CQ40218" s="111"/>
      <c r="EF40218"/>
      <c r="EG40218"/>
      <c r="EH40218"/>
      <c r="EI40218"/>
      <c r="EJ40218"/>
      <c r="EK40218"/>
    </row>
    <row r="40219" spans="1:141" s="116" customFormat="1">
      <c r="A40219" s="136"/>
      <c r="CM40219" s="111"/>
      <c r="CQ40219" s="111"/>
      <c r="EF40219"/>
      <c r="EG40219"/>
      <c r="EH40219"/>
      <c r="EI40219"/>
      <c r="EJ40219"/>
      <c r="EK40219"/>
    </row>
    <row r="40220" spans="1:141" s="116" customFormat="1">
      <c r="A40220" s="136"/>
      <c r="CM40220" s="111"/>
      <c r="CQ40220" s="111"/>
      <c r="EF40220"/>
      <c r="EG40220"/>
      <c r="EH40220"/>
      <c r="EI40220"/>
      <c r="EJ40220"/>
      <c r="EK40220"/>
    </row>
    <row r="40221" spans="1:141" s="116" customFormat="1">
      <c r="A40221" s="136"/>
      <c r="CM40221" s="111"/>
      <c r="CQ40221" s="111"/>
      <c r="EF40221"/>
      <c r="EG40221"/>
      <c r="EH40221"/>
      <c r="EI40221"/>
      <c r="EJ40221"/>
      <c r="EK40221"/>
    </row>
    <row r="40222" spans="1:141" s="116" customFormat="1">
      <c r="A40222" s="136"/>
      <c r="CM40222" s="111"/>
      <c r="CQ40222" s="111"/>
      <c r="EF40222"/>
      <c r="EG40222"/>
      <c r="EH40222"/>
      <c r="EI40222"/>
      <c r="EJ40222"/>
      <c r="EK40222"/>
    </row>
    <row r="40223" spans="1:141" s="116" customFormat="1">
      <c r="A40223" s="136"/>
      <c r="CM40223" s="111"/>
      <c r="CQ40223" s="111"/>
      <c r="EF40223"/>
      <c r="EG40223"/>
      <c r="EH40223"/>
      <c r="EI40223"/>
      <c r="EJ40223"/>
      <c r="EK40223"/>
    </row>
    <row r="40224" spans="1:141" s="116" customFormat="1">
      <c r="A40224" s="136"/>
      <c r="CM40224" s="111"/>
      <c r="CQ40224" s="111"/>
      <c r="EF40224"/>
      <c r="EG40224"/>
      <c r="EH40224"/>
      <c r="EI40224"/>
      <c r="EJ40224"/>
      <c r="EK40224"/>
    </row>
    <row r="40225" spans="1:141" s="116" customFormat="1">
      <c r="A40225" s="136"/>
      <c r="CM40225" s="111"/>
      <c r="CQ40225" s="111"/>
      <c r="EF40225"/>
      <c r="EG40225"/>
      <c r="EH40225"/>
      <c r="EI40225"/>
      <c r="EJ40225"/>
      <c r="EK40225"/>
    </row>
    <row r="40226" spans="1:141" s="116" customFormat="1">
      <c r="A40226" s="136"/>
      <c r="CM40226" s="111"/>
      <c r="CQ40226" s="111"/>
      <c r="EF40226"/>
      <c r="EG40226"/>
      <c r="EH40226"/>
      <c r="EI40226"/>
      <c r="EJ40226"/>
      <c r="EK40226"/>
    </row>
    <row r="40227" spans="1:141" s="116" customFormat="1">
      <c r="A40227" s="136"/>
      <c r="CM40227" s="111"/>
      <c r="CQ40227" s="111"/>
      <c r="EF40227"/>
      <c r="EG40227"/>
      <c r="EH40227"/>
      <c r="EI40227"/>
      <c r="EJ40227"/>
      <c r="EK40227"/>
    </row>
    <row r="40228" spans="1:141" s="116" customFormat="1">
      <c r="A40228" s="136"/>
      <c r="CM40228" s="111"/>
      <c r="CQ40228" s="111"/>
      <c r="EF40228"/>
      <c r="EG40228"/>
      <c r="EH40228"/>
      <c r="EI40228"/>
      <c r="EJ40228"/>
      <c r="EK40228"/>
    </row>
    <row r="40229" spans="1:141" s="116" customFormat="1">
      <c r="A40229" s="136"/>
      <c r="CM40229" s="111"/>
      <c r="CQ40229" s="111"/>
      <c r="EF40229"/>
      <c r="EG40229"/>
      <c r="EH40229"/>
      <c r="EI40229"/>
      <c r="EJ40229"/>
      <c r="EK40229"/>
    </row>
    <row r="40230" spans="1:141" s="116" customFormat="1">
      <c r="A40230" s="136"/>
      <c r="CM40230" s="111"/>
      <c r="CQ40230" s="111"/>
      <c r="EF40230"/>
      <c r="EG40230"/>
      <c r="EH40230"/>
      <c r="EI40230"/>
      <c r="EJ40230"/>
      <c r="EK40230"/>
    </row>
    <row r="40231" spans="1:141" s="116" customFormat="1">
      <c r="A40231" s="136"/>
      <c r="CM40231" s="111"/>
      <c r="CQ40231" s="111"/>
      <c r="EF40231"/>
      <c r="EG40231"/>
      <c r="EH40231"/>
      <c r="EI40231"/>
      <c r="EJ40231"/>
      <c r="EK40231"/>
    </row>
    <row r="40232" spans="1:141" s="116" customFormat="1">
      <c r="A40232" s="136"/>
      <c r="CM40232" s="111"/>
      <c r="CQ40232" s="111"/>
      <c r="EF40232"/>
      <c r="EG40232"/>
      <c r="EH40232"/>
      <c r="EI40232"/>
      <c r="EJ40232"/>
      <c r="EK40232"/>
    </row>
    <row r="40233" spans="1:141" s="116" customFormat="1">
      <c r="A40233" s="136"/>
      <c r="CM40233" s="111"/>
      <c r="CQ40233" s="111"/>
      <c r="EF40233"/>
      <c r="EG40233"/>
      <c r="EH40233"/>
      <c r="EI40233"/>
      <c r="EJ40233"/>
      <c r="EK40233"/>
    </row>
    <row r="40234" spans="1:141" s="116" customFormat="1">
      <c r="A40234" s="136"/>
      <c r="CM40234" s="111"/>
      <c r="CQ40234" s="111"/>
      <c r="EF40234"/>
      <c r="EG40234"/>
      <c r="EH40234"/>
      <c r="EI40234"/>
      <c r="EJ40234"/>
      <c r="EK40234"/>
    </row>
    <row r="40235" spans="1:141" s="116" customFormat="1">
      <c r="A40235" s="136"/>
      <c r="CM40235" s="111"/>
      <c r="CQ40235" s="111"/>
      <c r="EF40235"/>
      <c r="EG40235"/>
      <c r="EH40235"/>
      <c r="EI40235"/>
      <c r="EJ40235"/>
      <c r="EK40235"/>
    </row>
    <row r="40236" spans="1:141" s="116" customFormat="1">
      <c r="A40236" s="136"/>
      <c r="CM40236" s="111"/>
      <c r="CQ40236" s="111"/>
      <c r="EF40236"/>
      <c r="EG40236"/>
      <c r="EH40236"/>
      <c r="EI40236"/>
      <c r="EJ40236"/>
      <c r="EK40236"/>
    </row>
    <row r="40237" spans="1:141" s="116" customFormat="1">
      <c r="A40237" s="136"/>
      <c r="CM40237" s="111"/>
      <c r="CQ40237" s="111"/>
      <c r="EF40237"/>
      <c r="EG40237"/>
      <c r="EH40237"/>
      <c r="EI40237"/>
      <c r="EJ40237"/>
      <c r="EK40237"/>
    </row>
    <row r="40238" spans="1:141" s="116" customFormat="1">
      <c r="A40238" s="136"/>
      <c r="CM40238" s="111"/>
      <c r="CQ40238" s="111"/>
      <c r="EF40238"/>
      <c r="EG40238"/>
      <c r="EH40238"/>
      <c r="EI40238"/>
      <c r="EJ40238"/>
      <c r="EK40238"/>
    </row>
    <row r="40239" spans="1:141" s="116" customFormat="1">
      <c r="A40239" s="136"/>
      <c r="CM40239" s="111"/>
      <c r="CQ40239" s="111"/>
      <c r="EF40239"/>
      <c r="EG40239"/>
      <c r="EH40239"/>
      <c r="EI40239"/>
      <c r="EJ40239"/>
      <c r="EK40239"/>
    </row>
    <row r="40240" spans="1:141" s="116" customFormat="1">
      <c r="A40240" s="136"/>
      <c r="CM40240" s="111"/>
      <c r="CQ40240" s="111"/>
      <c r="EF40240"/>
      <c r="EG40240"/>
      <c r="EH40240"/>
      <c r="EI40240"/>
      <c r="EJ40240"/>
      <c r="EK40240"/>
    </row>
    <row r="40241" spans="1:141" s="116" customFormat="1">
      <c r="A40241" s="136"/>
      <c r="CM40241" s="111"/>
      <c r="CQ40241" s="111"/>
      <c r="EF40241"/>
      <c r="EG40241"/>
      <c r="EH40241"/>
      <c r="EI40241"/>
      <c r="EJ40241"/>
      <c r="EK40241"/>
    </row>
    <row r="40242" spans="1:141" s="116" customFormat="1">
      <c r="A40242" s="136"/>
      <c r="CM40242" s="111"/>
      <c r="CQ40242" s="111"/>
      <c r="EF40242"/>
      <c r="EG40242"/>
      <c r="EH40242"/>
      <c r="EI40242"/>
      <c r="EJ40242"/>
      <c r="EK40242"/>
    </row>
    <row r="40243" spans="1:141" s="116" customFormat="1">
      <c r="A40243" s="136"/>
      <c r="CM40243" s="111"/>
      <c r="CQ40243" s="111"/>
      <c r="EF40243"/>
      <c r="EG40243"/>
      <c r="EH40243"/>
      <c r="EI40243"/>
      <c r="EJ40243"/>
      <c r="EK40243"/>
    </row>
    <row r="40244" spans="1:141" s="116" customFormat="1">
      <c r="A40244" s="136"/>
      <c r="CM40244" s="111"/>
      <c r="CQ40244" s="111"/>
      <c r="EF40244"/>
      <c r="EG40244"/>
      <c r="EH40244"/>
      <c r="EI40244"/>
      <c r="EJ40244"/>
      <c r="EK40244"/>
    </row>
    <row r="40245" spans="1:141" s="116" customFormat="1">
      <c r="A40245" s="136"/>
      <c r="CM40245" s="111"/>
      <c r="CQ40245" s="111"/>
      <c r="EF40245"/>
      <c r="EG40245"/>
      <c r="EH40245"/>
      <c r="EI40245"/>
      <c r="EJ40245"/>
      <c r="EK40245"/>
    </row>
    <row r="40246" spans="1:141" s="116" customFormat="1">
      <c r="A40246" s="136"/>
      <c r="CM40246" s="111"/>
      <c r="CQ40246" s="111"/>
      <c r="EF40246"/>
      <c r="EG40246"/>
      <c r="EH40246"/>
      <c r="EI40246"/>
      <c r="EJ40246"/>
      <c r="EK40246"/>
    </row>
    <row r="40247" spans="1:141" s="116" customFormat="1">
      <c r="A40247" s="136"/>
      <c r="CM40247" s="111"/>
      <c r="CQ40247" s="111"/>
      <c r="EF40247"/>
      <c r="EG40247"/>
      <c r="EH40247"/>
      <c r="EI40247"/>
      <c r="EJ40247"/>
      <c r="EK40247"/>
    </row>
    <row r="40248" spans="1:141" s="116" customFormat="1">
      <c r="A40248" s="136"/>
      <c r="CM40248" s="111"/>
      <c r="CQ40248" s="111"/>
      <c r="EF40248"/>
      <c r="EG40248"/>
      <c r="EH40248"/>
      <c r="EI40248"/>
      <c r="EJ40248"/>
      <c r="EK40248"/>
    </row>
    <row r="40249" spans="1:141" s="116" customFormat="1">
      <c r="A40249" s="136"/>
      <c r="CM40249" s="111"/>
      <c r="CQ40249" s="111"/>
      <c r="EF40249"/>
      <c r="EG40249"/>
      <c r="EH40249"/>
      <c r="EI40249"/>
      <c r="EJ40249"/>
      <c r="EK40249"/>
    </row>
    <row r="40250" spans="1:141" s="116" customFormat="1">
      <c r="A40250" s="136"/>
      <c r="CM40250" s="111"/>
      <c r="CQ40250" s="111"/>
      <c r="EF40250"/>
      <c r="EG40250"/>
      <c r="EH40250"/>
      <c r="EI40250"/>
      <c r="EJ40250"/>
      <c r="EK40250"/>
    </row>
    <row r="40251" spans="1:141" s="116" customFormat="1">
      <c r="A40251" s="136"/>
      <c r="CM40251" s="111"/>
      <c r="CQ40251" s="111"/>
      <c r="EF40251"/>
      <c r="EG40251"/>
      <c r="EH40251"/>
      <c r="EI40251"/>
      <c r="EJ40251"/>
      <c r="EK40251"/>
    </row>
    <row r="40252" spans="1:141" s="116" customFormat="1">
      <c r="A40252" s="136"/>
      <c r="CM40252" s="111"/>
      <c r="CQ40252" s="111"/>
      <c r="EF40252"/>
      <c r="EG40252"/>
      <c r="EH40252"/>
      <c r="EI40252"/>
      <c r="EJ40252"/>
      <c r="EK40252"/>
    </row>
    <row r="40253" spans="1:141" s="116" customFormat="1">
      <c r="A40253" s="136"/>
      <c r="CM40253" s="111"/>
      <c r="CQ40253" s="111"/>
      <c r="EF40253"/>
      <c r="EG40253"/>
      <c r="EH40253"/>
      <c r="EI40253"/>
      <c r="EJ40253"/>
      <c r="EK40253"/>
    </row>
    <row r="40254" spans="1:141" s="116" customFormat="1">
      <c r="A40254" s="136"/>
      <c r="CM40254" s="111"/>
      <c r="CQ40254" s="111"/>
      <c r="EF40254"/>
      <c r="EG40254"/>
      <c r="EH40254"/>
      <c r="EI40254"/>
      <c r="EJ40254"/>
      <c r="EK40254"/>
    </row>
    <row r="40255" spans="1:141" s="116" customFormat="1">
      <c r="A40255" s="136"/>
      <c r="CM40255" s="111"/>
      <c r="CQ40255" s="111"/>
      <c r="EF40255"/>
      <c r="EG40255"/>
      <c r="EH40255"/>
      <c r="EI40255"/>
      <c r="EJ40255"/>
      <c r="EK40255"/>
    </row>
    <row r="40256" spans="1:141" s="116" customFormat="1">
      <c r="A40256" s="136"/>
      <c r="CM40256" s="111"/>
      <c r="CQ40256" s="111"/>
      <c r="EF40256"/>
      <c r="EG40256"/>
      <c r="EH40256"/>
      <c r="EI40256"/>
      <c r="EJ40256"/>
      <c r="EK40256"/>
    </row>
    <row r="40257" spans="1:141" s="116" customFormat="1">
      <c r="A40257" s="136"/>
      <c r="CM40257" s="111"/>
      <c r="CQ40257" s="111"/>
      <c r="EF40257"/>
      <c r="EG40257"/>
      <c r="EH40257"/>
      <c r="EI40257"/>
      <c r="EJ40257"/>
      <c r="EK40257"/>
    </row>
    <row r="40258" spans="1:141" s="116" customFormat="1">
      <c r="A40258" s="136"/>
      <c r="CM40258" s="111"/>
      <c r="CQ40258" s="111"/>
      <c r="EF40258"/>
      <c r="EG40258"/>
      <c r="EH40258"/>
      <c r="EI40258"/>
      <c r="EJ40258"/>
      <c r="EK40258"/>
    </row>
    <row r="40259" spans="1:141" s="116" customFormat="1">
      <c r="A40259" s="136"/>
      <c r="CM40259" s="111"/>
      <c r="CQ40259" s="111"/>
      <c r="EF40259"/>
      <c r="EG40259"/>
      <c r="EH40259"/>
      <c r="EI40259"/>
      <c r="EJ40259"/>
      <c r="EK40259"/>
    </row>
    <row r="40260" spans="1:141" s="116" customFormat="1">
      <c r="A40260" s="136"/>
      <c r="CM40260" s="111"/>
      <c r="CQ40260" s="111"/>
      <c r="EF40260"/>
      <c r="EG40260"/>
      <c r="EH40260"/>
      <c r="EI40260"/>
      <c r="EJ40260"/>
      <c r="EK40260"/>
    </row>
    <row r="40261" spans="1:141" s="116" customFormat="1">
      <c r="A40261" s="136"/>
      <c r="CM40261" s="111"/>
      <c r="CQ40261" s="111"/>
      <c r="EF40261"/>
      <c r="EG40261"/>
      <c r="EH40261"/>
      <c r="EI40261"/>
      <c r="EJ40261"/>
      <c r="EK40261"/>
    </row>
    <row r="40262" spans="1:141" s="116" customFormat="1">
      <c r="A40262" s="136"/>
      <c r="CM40262" s="111"/>
      <c r="CQ40262" s="111"/>
      <c r="EF40262"/>
      <c r="EG40262"/>
      <c r="EH40262"/>
      <c r="EI40262"/>
      <c r="EJ40262"/>
      <c r="EK40262"/>
    </row>
    <row r="40263" spans="1:141" s="116" customFormat="1">
      <c r="A40263" s="136"/>
      <c r="CM40263" s="111"/>
      <c r="CQ40263" s="111"/>
      <c r="EF40263"/>
      <c r="EG40263"/>
      <c r="EH40263"/>
      <c r="EI40263"/>
      <c r="EJ40263"/>
      <c r="EK40263"/>
    </row>
    <row r="40264" spans="1:141" s="116" customFormat="1">
      <c r="A40264" s="136"/>
      <c r="CM40264" s="111"/>
      <c r="CQ40264" s="111"/>
      <c r="EF40264"/>
      <c r="EG40264"/>
      <c r="EH40264"/>
      <c r="EI40264"/>
      <c r="EJ40264"/>
      <c r="EK40264"/>
    </row>
    <row r="40265" spans="1:141" s="116" customFormat="1">
      <c r="A40265" s="136"/>
      <c r="CM40265" s="111"/>
      <c r="CQ40265" s="111"/>
      <c r="EF40265"/>
      <c r="EG40265"/>
      <c r="EH40265"/>
      <c r="EI40265"/>
      <c r="EJ40265"/>
      <c r="EK40265"/>
    </row>
    <row r="40266" spans="1:141" s="116" customFormat="1">
      <c r="A40266" s="136"/>
      <c r="CM40266" s="111"/>
      <c r="CQ40266" s="111"/>
      <c r="EF40266"/>
      <c r="EG40266"/>
      <c r="EH40266"/>
      <c r="EI40266"/>
      <c r="EJ40266"/>
      <c r="EK40266"/>
    </row>
    <row r="40267" spans="1:141" s="116" customFormat="1">
      <c r="A40267" s="136"/>
      <c r="CM40267" s="111"/>
      <c r="CQ40267" s="111"/>
      <c r="EF40267"/>
      <c r="EG40267"/>
      <c r="EH40267"/>
      <c r="EI40267"/>
      <c r="EJ40267"/>
      <c r="EK40267"/>
    </row>
    <row r="40268" spans="1:141" s="116" customFormat="1">
      <c r="A40268" s="136"/>
      <c r="CM40268" s="111"/>
      <c r="CQ40268" s="111"/>
      <c r="EF40268"/>
      <c r="EG40268"/>
      <c r="EH40268"/>
      <c r="EI40268"/>
      <c r="EJ40268"/>
      <c r="EK40268"/>
    </row>
    <row r="40269" spans="1:141" s="116" customFormat="1">
      <c r="A40269" s="136"/>
      <c r="CM40269" s="111"/>
      <c r="CQ40269" s="111"/>
      <c r="EF40269"/>
      <c r="EG40269"/>
      <c r="EH40269"/>
      <c r="EI40269"/>
      <c r="EJ40269"/>
      <c r="EK40269"/>
    </row>
    <row r="40270" spans="1:141" s="116" customFormat="1">
      <c r="A40270" s="136"/>
      <c r="CM40270" s="111"/>
      <c r="CQ40270" s="111"/>
      <c r="EF40270"/>
      <c r="EG40270"/>
      <c r="EH40270"/>
      <c r="EI40270"/>
      <c r="EJ40270"/>
      <c r="EK40270"/>
    </row>
    <row r="40271" spans="1:141" s="116" customFormat="1">
      <c r="A40271" s="136"/>
      <c r="CM40271" s="111"/>
      <c r="CQ40271" s="111"/>
      <c r="EF40271"/>
      <c r="EG40271"/>
      <c r="EH40271"/>
      <c r="EI40271"/>
      <c r="EJ40271"/>
      <c r="EK40271"/>
    </row>
    <row r="40272" spans="1:141" s="116" customFormat="1">
      <c r="A40272" s="136"/>
      <c r="CM40272" s="111"/>
      <c r="CQ40272" s="111"/>
      <c r="EF40272"/>
      <c r="EG40272"/>
      <c r="EH40272"/>
      <c r="EI40272"/>
      <c r="EJ40272"/>
      <c r="EK40272"/>
    </row>
    <row r="40273" spans="1:141" s="116" customFormat="1">
      <c r="A40273" s="136"/>
      <c r="CM40273" s="111"/>
      <c r="CQ40273" s="111"/>
      <c r="EF40273"/>
      <c r="EG40273"/>
      <c r="EH40273"/>
      <c r="EI40273"/>
      <c r="EJ40273"/>
      <c r="EK40273"/>
    </row>
    <row r="40274" spans="1:141" s="116" customFormat="1">
      <c r="A40274" s="136"/>
      <c r="CM40274" s="111"/>
      <c r="CQ40274" s="111"/>
      <c r="EF40274"/>
      <c r="EG40274"/>
      <c r="EH40274"/>
      <c r="EI40274"/>
      <c r="EJ40274"/>
      <c r="EK40274"/>
    </row>
    <row r="40275" spans="1:141" s="116" customFormat="1">
      <c r="A40275" s="136"/>
      <c r="CM40275" s="111"/>
      <c r="CQ40275" s="111"/>
      <c r="EF40275"/>
      <c r="EG40275"/>
      <c r="EH40275"/>
      <c r="EI40275"/>
      <c r="EJ40275"/>
      <c r="EK40275"/>
    </row>
    <row r="40276" spans="1:141" s="116" customFormat="1">
      <c r="A40276" s="136"/>
      <c r="CM40276" s="111"/>
      <c r="CQ40276" s="111"/>
      <c r="EF40276"/>
      <c r="EG40276"/>
      <c r="EH40276"/>
      <c r="EI40276"/>
      <c r="EJ40276"/>
      <c r="EK40276"/>
    </row>
    <row r="40277" spans="1:141" s="116" customFormat="1">
      <c r="A40277" s="136"/>
      <c r="CM40277" s="111"/>
      <c r="CQ40277" s="111"/>
      <c r="EF40277"/>
      <c r="EG40277"/>
      <c r="EH40277"/>
      <c r="EI40277"/>
      <c r="EJ40277"/>
      <c r="EK40277"/>
    </row>
    <row r="40278" spans="1:141" s="116" customFormat="1">
      <c r="A40278" s="136"/>
      <c r="CM40278" s="111"/>
      <c r="CQ40278" s="111"/>
      <c r="EF40278"/>
      <c r="EG40278"/>
      <c r="EH40278"/>
      <c r="EI40278"/>
      <c r="EJ40278"/>
      <c r="EK40278"/>
    </row>
    <row r="40279" spans="1:141" s="116" customFormat="1">
      <c r="A40279" s="136"/>
      <c r="CM40279" s="111"/>
      <c r="CQ40279" s="111"/>
      <c r="EF40279"/>
      <c r="EG40279"/>
      <c r="EH40279"/>
      <c r="EI40279"/>
      <c r="EJ40279"/>
      <c r="EK40279"/>
    </row>
    <row r="40280" spans="1:141" s="116" customFormat="1">
      <c r="A40280" s="136"/>
      <c r="CM40280" s="111"/>
      <c r="CQ40280" s="111"/>
      <c r="EF40280"/>
      <c r="EG40280"/>
      <c r="EH40280"/>
      <c r="EI40280"/>
      <c r="EJ40280"/>
      <c r="EK40280"/>
    </row>
    <row r="40281" spans="1:141" s="116" customFormat="1">
      <c r="A40281" s="136"/>
      <c r="CM40281" s="111"/>
      <c r="CQ40281" s="111"/>
      <c r="EF40281"/>
      <c r="EG40281"/>
      <c r="EH40281"/>
      <c r="EI40281"/>
      <c r="EJ40281"/>
      <c r="EK40281"/>
    </row>
    <row r="40282" spans="1:141" s="116" customFormat="1">
      <c r="A40282" s="136"/>
      <c r="CM40282" s="111"/>
      <c r="CQ40282" s="111"/>
      <c r="EF40282"/>
      <c r="EG40282"/>
      <c r="EH40282"/>
      <c r="EI40282"/>
      <c r="EJ40282"/>
      <c r="EK40282"/>
    </row>
    <row r="40283" spans="1:141" s="116" customFormat="1">
      <c r="A40283" s="136"/>
      <c r="CM40283" s="111"/>
      <c r="CQ40283" s="111"/>
      <c r="EF40283"/>
      <c r="EG40283"/>
      <c r="EH40283"/>
      <c r="EI40283"/>
      <c r="EJ40283"/>
      <c r="EK40283"/>
    </row>
    <row r="40284" spans="1:141" s="116" customFormat="1">
      <c r="A40284" s="136"/>
      <c r="CM40284" s="111"/>
      <c r="CQ40284" s="111"/>
      <c r="EF40284"/>
      <c r="EG40284"/>
      <c r="EH40284"/>
      <c r="EI40284"/>
      <c r="EJ40284"/>
      <c r="EK40284"/>
    </row>
    <row r="40285" spans="1:141" s="116" customFormat="1">
      <c r="A40285" s="136"/>
      <c r="CM40285" s="111"/>
      <c r="CQ40285" s="111"/>
      <c r="EF40285"/>
      <c r="EG40285"/>
      <c r="EH40285"/>
      <c r="EI40285"/>
      <c r="EJ40285"/>
      <c r="EK40285"/>
    </row>
    <row r="40286" spans="1:141" s="116" customFormat="1">
      <c r="A40286" s="136"/>
      <c r="CM40286" s="111"/>
      <c r="CQ40286" s="111"/>
      <c r="EF40286"/>
      <c r="EG40286"/>
      <c r="EH40286"/>
      <c r="EI40286"/>
      <c r="EJ40286"/>
      <c r="EK40286"/>
    </row>
    <row r="40287" spans="1:141" s="116" customFormat="1">
      <c r="A40287" s="136"/>
      <c r="CM40287" s="111"/>
      <c r="CQ40287" s="111"/>
      <c r="EF40287"/>
      <c r="EG40287"/>
      <c r="EH40287"/>
      <c r="EI40287"/>
      <c r="EJ40287"/>
      <c r="EK40287"/>
    </row>
    <row r="40288" spans="1:141" s="116" customFormat="1">
      <c r="A40288" s="136"/>
      <c r="CM40288" s="111"/>
      <c r="CQ40288" s="111"/>
      <c r="EF40288"/>
      <c r="EG40288"/>
      <c r="EH40288"/>
      <c r="EI40288"/>
      <c r="EJ40288"/>
      <c r="EK40288"/>
    </row>
    <row r="40289" spans="1:141" s="116" customFormat="1">
      <c r="A40289" s="136"/>
      <c r="CM40289" s="111"/>
      <c r="CQ40289" s="111"/>
      <c r="EF40289"/>
      <c r="EG40289"/>
      <c r="EH40289"/>
      <c r="EI40289"/>
      <c r="EJ40289"/>
      <c r="EK40289"/>
    </row>
    <row r="40290" spans="1:141" s="116" customFormat="1">
      <c r="A40290" s="136"/>
      <c r="CM40290" s="111"/>
      <c r="CQ40290" s="111"/>
      <c r="EF40290"/>
      <c r="EG40290"/>
      <c r="EH40290"/>
      <c r="EI40290"/>
      <c r="EJ40290"/>
      <c r="EK40290"/>
    </row>
    <row r="40291" spans="1:141" s="116" customFormat="1">
      <c r="A40291" s="136"/>
      <c r="CM40291" s="111"/>
      <c r="CQ40291" s="111"/>
      <c r="EF40291"/>
      <c r="EG40291"/>
      <c r="EH40291"/>
      <c r="EI40291"/>
      <c r="EJ40291"/>
      <c r="EK40291"/>
    </row>
    <row r="40292" spans="1:141" s="116" customFormat="1">
      <c r="A40292" s="136"/>
      <c r="CM40292" s="111"/>
      <c r="CQ40292" s="111"/>
      <c r="EF40292"/>
      <c r="EG40292"/>
      <c r="EH40292"/>
      <c r="EI40292"/>
      <c r="EJ40292"/>
      <c r="EK40292"/>
    </row>
    <row r="40293" spans="1:141" s="116" customFormat="1">
      <c r="A40293" s="136"/>
      <c r="CM40293" s="111"/>
      <c r="CQ40293" s="111"/>
      <c r="EF40293"/>
      <c r="EG40293"/>
      <c r="EH40293"/>
      <c r="EI40293"/>
      <c r="EJ40293"/>
      <c r="EK40293"/>
    </row>
    <row r="40294" spans="1:141" s="116" customFormat="1">
      <c r="A40294" s="136"/>
      <c r="CM40294" s="111"/>
      <c r="CQ40294" s="111"/>
      <c r="EF40294"/>
      <c r="EG40294"/>
      <c r="EH40294"/>
      <c r="EI40294"/>
      <c r="EJ40294"/>
      <c r="EK40294"/>
    </row>
    <row r="40295" spans="1:141" s="116" customFormat="1">
      <c r="A40295" s="136"/>
      <c r="CM40295" s="111"/>
      <c r="CQ40295" s="111"/>
      <c r="EF40295"/>
      <c r="EG40295"/>
      <c r="EH40295"/>
      <c r="EI40295"/>
      <c r="EJ40295"/>
      <c r="EK40295"/>
    </row>
    <row r="40296" spans="1:141" s="116" customFormat="1">
      <c r="A40296" s="136"/>
      <c r="CM40296" s="111"/>
      <c r="CQ40296" s="111"/>
      <c r="EF40296"/>
      <c r="EG40296"/>
      <c r="EH40296"/>
      <c r="EI40296"/>
      <c r="EJ40296"/>
      <c r="EK40296"/>
    </row>
    <row r="40297" spans="1:141" s="116" customFormat="1">
      <c r="A40297" s="136"/>
      <c r="CM40297" s="111"/>
      <c r="CQ40297" s="111"/>
      <c r="EF40297"/>
      <c r="EG40297"/>
      <c r="EH40297"/>
      <c r="EI40297"/>
      <c r="EJ40297"/>
      <c r="EK40297"/>
    </row>
    <row r="40298" spans="1:141" s="116" customFormat="1">
      <c r="A40298" s="136"/>
      <c r="CM40298" s="111"/>
      <c r="CQ40298" s="111"/>
      <c r="EF40298"/>
      <c r="EG40298"/>
      <c r="EH40298"/>
      <c r="EI40298"/>
      <c r="EJ40298"/>
      <c r="EK40298"/>
    </row>
    <row r="40299" spans="1:141" s="116" customFormat="1">
      <c r="A40299" s="136"/>
      <c r="CM40299" s="111"/>
      <c r="CQ40299" s="111"/>
      <c r="EF40299"/>
      <c r="EG40299"/>
      <c r="EH40299"/>
      <c r="EI40299"/>
      <c r="EJ40299"/>
      <c r="EK40299"/>
    </row>
    <row r="40300" spans="1:141" s="116" customFormat="1">
      <c r="A40300" s="136"/>
      <c r="CM40300" s="111"/>
      <c r="CQ40300" s="111"/>
      <c r="EF40300"/>
      <c r="EG40300"/>
      <c r="EH40300"/>
      <c r="EI40300"/>
      <c r="EJ40300"/>
      <c r="EK40300"/>
    </row>
    <row r="40301" spans="1:141" s="116" customFormat="1">
      <c r="A40301" s="136"/>
      <c r="CM40301" s="111"/>
      <c r="CQ40301" s="111"/>
      <c r="EF40301"/>
      <c r="EG40301"/>
      <c r="EH40301"/>
      <c r="EI40301"/>
      <c r="EJ40301"/>
      <c r="EK40301"/>
    </row>
    <row r="40302" spans="1:141" s="116" customFormat="1">
      <c r="A40302" s="136"/>
      <c r="CM40302" s="111"/>
      <c r="CQ40302" s="111"/>
      <c r="EF40302"/>
      <c r="EG40302"/>
      <c r="EH40302"/>
      <c r="EI40302"/>
      <c r="EJ40302"/>
      <c r="EK40302"/>
    </row>
    <row r="40303" spans="1:141" s="116" customFormat="1">
      <c r="A40303" s="136"/>
      <c r="CM40303" s="111"/>
      <c r="CQ40303" s="111"/>
      <c r="EF40303"/>
      <c r="EG40303"/>
      <c r="EH40303"/>
      <c r="EI40303"/>
      <c r="EJ40303"/>
      <c r="EK40303"/>
    </row>
    <row r="40304" spans="1:141" s="116" customFormat="1">
      <c r="A40304" s="136"/>
      <c r="CM40304" s="111"/>
      <c r="CQ40304" s="111"/>
      <c r="EF40304"/>
      <c r="EG40304"/>
      <c r="EH40304"/>
      <c r="EI40304"/>
      <c r="EJ40304"/>
      <c r="EK40304"/>
    </row>
    <row r="40305" spans="1:141" s="116" customFormat="1">
      <c r="A40305" s="136"/>
      <c r="CM40305" s="111"/>
      <c r="CQ40305" s="111"/>
      <c r="EF40305"/>
      <c r="EG40305"/>
      <c r="EH40305"/>
      <c r="EI40305"/>
      <c r="EJ40305"/>
      <c r="EK40305"/>
    </row>
    <row r="40306" spans="1:141" s="116" customFormat="1">
      <c r="A40306" s="136"/>
      <c r="CM40306" s="111"/>
      <c r="CQ40306" s="111"/>
      <c r="EF40306"/>
      <c r="EG40306"/>
      <c r="EH40306"/>
      <c r="EI40306"/>
      <c r="EJ40306"/>
      <c r="EK40306"/>
    </row>
    <row r="40307" spans="1:141" s="116" customFormat="1">
      <c r="A40307" s="136"/>
      <c r="CM40307" s="111"/>
      <c r="CQ40307" s="111"/>
      <c r="EF40307"/>
      <c r="EG40307"/>
      <c r="EH40307"/>
      <c r="EI40307"/>
      <c r="EJ40307"/>
      <c r="EK40307"/>
    </row>
    <row r="40308" spans="1:141" s="116" customFormat="1">
      <c r="A40308" s="136"/>
      <c r="CM40308" s="111"/>
      <c r="CQ40308" s="111"/>
      <c r="EF40308"/>
      <c r="EG40308"/>
      <c r="EH40308"/>
      <c r="EI40308"/>
      <c r="EJ40308"/>
      <c r="EK40308"/>
    </row>
    <row r="40309" spans="1:141" s="116" customFormat="1">
      <c r="A40309" s="136"/>
      <c r="CM40309" s="111"/>
      <c r="CQ40309" s="111"/>
      <c r="EF40309"/>
      <c r="EG40309"/>
      <c r="EH40309"/>
      <c r="EI40309"/>
      <c r="EJ40309"/>
      <c r="EK40309"/>
    </row>
    <row r="40310" spans="1:141" s="116" customFormat="1">
      <c r="A40310" s="136"/>
      <c r="CM40310" s="111"/>
      <c r="CQ40310" s="111"/>
      <c r="EF40310"/>
      <c r="EG40310"/>
      <c r="EH40310"/>
      <c r="EI40310"/>
      <c r="EJ40310"/>
      <c r="EK40310"/>
    </row>
    <row r="40311" spans="1:141" s="116" customFormat="1">
      <c r="A40311" s="136"/>
      <c r="CM40311" s="111"/>
      <c r="CQ40311" s="111"/>
      <c r="EF40311"/>
      <c r="EG40311"/>
      <c r="EH40311"/>
      <c r="EI40311"/>
      <c r="EJ40311"/>
      <c r="EK40311"/>
    </row>
    <row r="40312" spans="1:141" s="116" customFormat="1">
      <c r="A40312" s="136"/>
      <c r="CM40312" s="111"/>
      <c r="CQ40312" s="111"/>
      <c r="EF40312"/>
      <c r="EG40312"/>
      <c r="EH40312"/>
      <c r="EI40312"/>
      <c r="EJ40312"/>
      <c r="EK40312"/>
    </row>
    <row r="40313" spans="1:141" s="116" customFormat="1">
      <c r="A40313" s="136"/>
      <c r="CM40313" s="111"/>
      <c r="CQ40313" s="111"/>
      <c r="EF40313"/>
      <c r="EG40313"/>
      <c r="EH40313"/>
      <c r="EI40313"/>
      <c r="EJ40313"/>
      <c r="EK40313"/>
    </row>
    <row r="40314" spans="1:141" s="116" customFormat="1">
      <c r="A40314" s="136"/>
      <c r="CM40314" s="111"/>
      <c r="CQ40314" s="111"/>
      <c r="EF40314"/>
      <c r="EG40314"/>
      <c r="EH40314"/>
      <c r="EI40314"/>
      <c r="EJ40314"/>
      <c r="EK40314"/>
    </row>
    <row r="40315" spans="1:141" s="116" customFormat="1">
      <c r="A40315" s="136"/>
      <c r="CM40315" s="111"/>
      <c r="CQ40315" s="111"/>
      <c r="EF40315"/>
      <c r="EG40315"/>
      <c r="EH40315"/>
      <c r="EI40315"/>
      <c r="EJ40315"/>
      <c r="EK40315"/>
    </row>
    <row r="40316" spans="1:141" s="116" customFormat="1">
      <c r="A40316" s="136"/>
      <c r="CM40316" s="111"/>
      <c r="CQ40316" s="111"/>
      <c r="EF40316"/>
      <c r="EG40316"/>
      <c r="EH40316"/>
      <c r="EI40316"/>
      <c r="EJ40316"/>
      <c r="EK40316"/>
    </row>
    <row r="40317" spans="1:141" s="116" customFormat="1">
      <c r="A40317" s="136"/>
      <c r="CM40317" s="111"/>
      <c r="CQ40317" s="111"/>
      <c r="EF40317"/>
      <c r="EG40317"/>
      <c r="EH40317"/>
      <c r="EI40317"/>
      <c r="EJ40317"/>
      <c r="EK40317"/>
    </row>
    <row r="40318" spans="1:141" s="116" customFormat="1">
      <c r="A40318" s="136"/>
      <c r="CM40318" s="111"/>
      <c r="CQ40318" s="111"/>
      <c r="EF40318"/>
      <c r="EG40318"/>
      <c r="EH40318"/>
      <c r="EI40318"/>
      <c r="EJ40318"/>
      <c r="EK40318"/>
    </row>
    <row r="40319" spans="1:141" s="116" customFormat="1">
      <c r="A40319" s="136"/>
      <c r="CM40319" s="111"/>
      <c r="CQ40319" s="111"/>
      <c r="EF40319"/>
      <c r="EG40319"/>
      <c r="EH40319"/>
      <c r="EI40319"/>
      <c r="EJ40319"/>
      <c r="EK40319"/>
    </row>
    <row r="40320" spans="1:141" s="116" customFormat="1">
      <c r="A40320" s="136"/>
      <c r="CM40320" s="111"/>
      <c r="CQ40320" s="111"/>
      <c r="EF40320"/>
      <c r="EG40320"/>
      <c r="EH40320"/>
      <c r="EI40320"/>
      <c r="EJ40320"/>
      <c r="EK40320"/>
    </row>
    <row r="40321" spans="1:141" s="116" customFormat="1">
      <c r="A40321" s="136"/>
      <c r="CM40321" s="111"/>
      <c r="CQ40321" s="111"/>
      <c r="EF40321"/>
      <c r="EG40321"/>
      <c r="EH40321"/>
      <c r="EI40321"/>
      <c r="EJ40321"/>
      <c r="EK40321"/>
    </row>
    <row r="40322" spans="1:141" s="116" customFormat="1">
      <c r="A40322" s="136"/>
      <c r="CM40322" s="111"/>
      <c r="CQ40322" s="111"/>
      <c r="EF40322"/>
      <c r="EG40322"/>
      <c r="EH40322"/>
      <c r="EI40322"/>
      <c r="EJ40322"/>
      <c r="EK40322"/>
    </row>
    <row r="40323" spans="1:141" s="116" customFormat="1">
      <c r="A40323" s="136"/>
      <c r="CM40323" s="111"/>
      <c r="CQ40323" s="111"/>
      <c r="EF40323"/>
      <c r="EG40323"/>
      <c r="EH40323"/>
      <c r="EI40323"/>
      <c r="EJ40323"/>
      <c r="EK40323"/>
    </row>
    <row r="40324" spans="1:141" s="116" customFormat="1">
      <c r="A40324" s="136"/>
      <c r="CM40324" s="111"/>
      <c r="CQ40324" s="111"/>
      <c r="EF40324"/>
      <c r="EG40324"/>
      <c r="EH40324"/>
      <c r="EI40324"/>
      <c r="EJ40324"/>
      <c r="EK40324"/>
    </row>
    <row r="40325" spans="1:141" s="116" customFormat="1">
      <c r="A40325" s="136"/>
      <c r="CM40325" s="111"/>
      <c r="CQ40325" s="111"/>
      <c r="EF40325"/>
      <c r="EG40325"/>
      <c r="EH40325"/>
      <c r="EI40325"/>
      <c r="EJ40325"/>
      <c r="EK40325"/>
    </row>
    <row r="40326" spans="1:141" s="116" customFormat="1">
      <c r="A40326" s="136"/>
      <c r="CM40326" s="111"/>
      <c r="CQ40326" s="111"/>
      <c r="EF40326"/>
      <c r="EG40326"/>
      <c r="EH40326"/>
      <c r="EI40326"/>
      <c r="EJ40326"/>
      <c r="EK40326"/>
    </row>
    <row r="40327" spans="1:141" s="116" customFormat="1">
      <c r="A40327" s="136"/>
      <c r="CM40327" s="111"/>
      <c r="CQ40327" s="111"/>
      <c r="EF40327"/>
      <c r="EG40327"/>
      <c r="EH40327"/>
      <c r="EI40327"/>
      <c r="EJ40327"/>
      <c r="EK40327"/>
    </row>
    <row r="40328" spans="1:141" s="116" customFormat="1">
      <c r="A40328" s="136"/>
      <c r="CM40328" s="111"/>
      <c r="CQ40328" s="111"/>
      <c r="EF40328"/>
      <c r="EG40328"/>
      <c r="EH40328"/>
      <c r="EI40328"/>
      <c r="EJ40328"/>
      <c r="EK40328"/>
    </row>
    <row r="40329" spans="1:141" s="116" customFormat="1">
      <c r="A40329" s="136"/>
      <c r="CM40329" s="111"/>
      <c r="CQ40329" s="111"/>
      <c r="EF40329"/>
      <c r="EG40329"/>
      <c r="EH40329"/>
      <c r="EI40329"/>
      <c r="EJ40329"/>
      <c r="EK40329"/>
    </row>
    <row r="40330" spans="1:141" s="116" customFormat="1">
      <c r="A40330" s="136"/>
      <c r="CM40330" s="111"/>
      <c r="CQ40330" s="111"/>
      <c r="EF40330"/>
      <c r="EG40330"/>
      <c r="EH40330"/>
      <c r="EI40330"/>
      <c r="EJ40330"/>
      <c r="EK40330"/>
    </row>
    <row r="40331" spans="1:141" s="116" customFormat="1">
      <c r="A40331" s="136"/>
      <c r="CM40331" s="111"/>
      <c r="CQ40331" s="111"/>
      <c r="EF40331"/>
      <c r="EG40331"/>
      <c r="EH40331"/>
      <c r="EI40331"/>
      <c r="EJ40331"/>
      <c r="EK40331"/>
    </row>
    <row r="40332" spans="1:141" s="116" customFormat="1">
      <c r="A40332" s="136"/>
      <c r="CM40332" s="111"/>
      <c r="CQ40332" s="111"/>
      <c r="EF40332"/>
      <c r="EG40332"/>
      <c r="EH40332"/>
      <c r="EI40332"/>
      <c r="EJ40332"/>
      <c r="EK40332"/>
    </row>
    <row r="40333" spans="1:141" s="116" customFormat="1">
      <c r="A40333" s="136"/>
      <c r="CM40333" s="111"/>
      <c r="CQ40333" s="111"/>
      <c r="EF40333"/>
      <c r="EG40333"/>
      <c r="EH40333"/>
      <c r="EI40333"/>
      <c r="EJ40333"/>
      <c r="EK40333"/>
    </row>
    <row r="40334" spans="1:141" s="116" customFormat="1">
      <c r="A40334" s="136"/>
      <c r="CM40334" s="111"/>
      <c r="CQ40334" s="111"/>
      <c r="EF40334"/>
      <c r="EG40334"/>
      <c r="EH40334"/>
      <c r="EI40334"/>
      <c r="EJ40334"/>
      <c r="EK40334"/>
    </row>
    <row r="40335" spans="1:141" s="116" customFormat="1">
      <c r="A40335" s="136"/>
      <c r="CM40335" s="111"/>
      <c r="CQ40335" s="111"/>
      <c r="EF40335"/>
      <c r="EG40335"/>
      <c r="EH40335"/>
      <c r="EI40335"/>
      <c r="EJ40335"/>
      <c r="EK40335"/>
    </row>
    <row r="40336" spans="1:141" s="116" customFormat="1">
      <c r="A40336" s="136"/>
      <c r="CM40336" s="111"/>
      <c r="CQ40336" s="111"/>
      <c r="EF40336"/>
      <c r="EG40336"/>
      <c r="EH40336"/>
      <c r="EI40336"/>
      <c r="EJ40336"/>
      <c r="EK40336"/>
    </row>
    <row r="40337" spans="1:141" s="116" customFormat="1">
      <c r="A40337" s="136"/>
      <c r="CM40337" s="111"/>
      <c r="CQ40337" s="111"/>
      <c r="EF40337"/>
      <c r="EG40337"/>
      <c r="EH40337"/>
      <c r="EI40337"/>
      <c r="EJ40337"/>
      <c r="EK40337"/>
    </row>
    <row r="40338" spans="1:141" s="116" customFormat="1">
      <c r="A40338" s="136"/>
      <c r="CM40338" s="111"/>
      <c r="CQ40338" s="111"/>
      <c r="EF40338"/>
      <c r="EG40338"/>
      <c r="EH40338"/>
      <c r="EI40338"/>
      <c r="EJ40338"/>
      <c r="EK40338"/>
    </row>
    <row r="40339" spans="1:141" s="116" customFormat="1">
      <c r="A40339" s="136"/>
      <c r="CM40339" s="111"/>
      <c r="CQ40339" s="111"/>
      <c r="EF40339"/>
      <c r="EG40339"/>
      <c r="EH40339"/>
      <c r="EI40339"/>
      <c r="EJ40339"/>
      <c r="EK40339"/>
    </row>
    <row r="40340" spans="1:141" s="116" customFormat="1">
      <c r="A40340" s="136"/>
      <c r="CM40340" s="111"/>
      <c r="CQ40340" s="111"/>
      <c r="EF40340"/>
      <c r="EG40340"/>
      <c r="EH40340"/>
      <c r="EI40340"/>
      <c r="EJ40340"/>
      <c r="EK40340"/>
    </row>
    <row r="40341" spans="1:141" s="116" customFormat="1">
      <c r="A40341" s="136"/>
      <c r="CM40341" s="111"/>
      <c r="CQ40341" s="111"/>
      <c r="EF40341"/>
      <c r="EG40341"/>
      <c r="EH40341"/>
      <c r="EI40341"/>
      <c r="EJ40341"/>
      <c r="EK40341"/>
    </row>
    <row r="40342" spans="1:141" s="116" customFormat="1">
      <c r="A40342" s="136"/>
      <c r="CM40342" s="111"/>
      <c r="CQ40342" s="111"/>
      <c r="EF40342"/>
      <c r="EG40342"/>
      <c r="EH40342"/>
      <c r="EI40342"/>
      <c r="EJ40342"/>
      <c r="EK40342"/>
    </row>
    <row r="40343" spans="1:141" s="116" customFormat="1">
      <c r="A40343" s="136"/>
      <c r="CM40343" s="111"/>
      <c r="CQ40343" s="111"/>
      <c r="EF40343"/>
      <c r="EG40343"/>
      <c r="EH40343"/>
      <c r="EI40343"/>
      <c r="EJ40343"/>
      <c r="EK40343"/>
    </row>
    <row r="40344" spans="1:141" s="116" customFormat="1">
      <c r="A40344" s="136"/>
      <c r="CM40344" s="111"/>
      <c r="CQ40344" s="111"/>
      <c r="EF40344"/>
      <c r="EG40344"/>
      <c r="EH40344"/>
      <c r="EI40344"/>
      <c r="EJ40344"/>
      <c r="EK40344"/>
    </row>
    <row r="40345" spans="1:141" s="116" customFormat="1">
      <c r="A40345" s="136"/>
      <c r="CM40345" s="111"/>
      <c r="CQ40345" s="111"/>
      <c r="EF40345"/>
      <c r="EG40345"/>
      <c r="EH40345"/>
      <c r="EI40345"/>
      <c r="EJ40345"/>
      <c r="EK40345"/>
    </row>
    <row r="40346" spans="1:141" s="116" customFormat="1">
      <c r="A40346" s="136"/>
      <c r="CM40346" s="111"/>
      <c r="CQ40346" s="111"/>
      <c r="EF40346"/>
      <c r="EG40346"/>
      <c r="EH40346"/>
      <c r="EI40346"/>
      <c r="EJ40346"/>
      <c r="EK40346"/>
    </row>
    <row r="40347" spans="1:141" s="116" customFormat="1">
      <c r="A40347" s="136"/>
      <c r="CM40347" s="111"/>
      <c r="CQ40347" s="111"/>
      <c r="EF40347"/>
      <c r="EG40347"/>
      <c r="EH40347"/>
      <c r="EI40347"/>
      <c r="EJ40347"/>
      <c r="EK40347"/>
    </row>
    <row r="40348" spans="1:141" s="116" customFormat="1">
      <c r="A40348" s="136"/>
      <c r="CM40348" s="111"/>
      <c r="CQ40348" s="111"/>
      <c r="EF40348"/>
      <c r="EG40348"/>
      <c r="EH40348"/>
      <c r="EI40348"/>
      <c r="EJ40348"/>
      <c r="EK40348"/>
    </row>
    <row r="40349" spans="1:141" s="116" customFormat="1">
      <c r="A40349" s="136"/>
      <c r="CM40349" s="111"/>
      <c r="CQ40349" s="111"/>
      <c r="EF40349"/>
      <c r="EG40349"/>
      <c r="EH40349"/>
      <c r="EI40349"/>
      <c r="EJ40349"/>
      <c r="EK40349"/>
    </row>
    <row r="40350" spans="1:141" s="116" customFormat="1">
      <c r="A40350" s="136"/>
      <c r="CM40350" s="111"/>
      <c r="CQ40350" s="111"/>
      <c r="EF40350"/>
      <c r="EG40350"/>
      <c r="EH40350"/>
      <c r="EI40350"/>
      <c r="EJ40350"/>
      <c r="EK40350"/>
    </row>
    <row r="40351" spans="1:141" s="116" customFormat="1">
      <c r="A40351" s="136"/>
      <c r="CM40351" s="111"/>
      <c r="CQ40351" s="111"/>
      <c r="EF40351"/>
      <c r="EG40351"/>
      <c r="EH40351"/>
      <c r="EI40351"/>
      <c r="EJ40351"/>
      <c r="EK40351"/>
    </row>
    <row r="40352" spans="1:141" s="116" customFormat="1">
      <c r="A40352" s="136"/>
      <c r="CM40352" s="111"/>
      <c r="CQ40352" s="111"/>
      <c r="EF40352"/>
      <c r="EG40352"/>
      <c r="EH40352"/>
      <c r="EI40352"/>
      <c r="EJ40352"/>
      <c r="EK40352"/>
    </row>
    <row r="40353" spans="1:141" s="116" customFormat="1">
      <c r="A40353" s="136"/>
      <c r="CM40353" s="111"/>
      <c r="CQ40353" s="111"/>
      <c r="EF40353"/>
      <c r="EG40353"/>
      <c r="EH40353"/>
      <c r="EI40353"/>
      <c r="EJ40353"/>
      <c r="EK40353"/>
    </row>
    <row r="40354" spans="1:141" s="116" customFormat="1">
      <c r="A40354" s="136"/>
      <c r="CM40354" s="111"/>
      <c r="CQ40354" s="111"/>
      <c r="EF40354"/>
      <c r="EG40354"/>
      <c r="EH40354"/>
      <c r="EI40354"/>
      <c r="EJ40354"/>
      <c r="EK40354"/>
    </row>
    <row r="40355" spans="1:141" s="116" customFormat="1">
      <c r="A40355" s="136"/>
      <c r="CM40355" s="111"/>
      <c r="CQ40355" s="111"/>
      <c r="EF40355"/>
      <c r="EG40355"/>
      <c r="EH40355"/>
      <c r="EI40355"/>
      <c r="EJ40355"/>
      <c r="EK40355"/>
    </row>
    <row r="40356" spans="1:141" s="116" customFormat="1">
      <c r="A40356" s="136"/>
      <c r="CM40356" s="111"/>
      <c r="CQ40356" s="111"/>
      <c r="EF40356"/>
      <c r="EG40356"/>
      <c r="EH40356"/>
      <c r="EI40356"/>
      <c r="EJ40356"/>
      <c r="EK40356"/>
    </row>
    <row r="40357" spans="1:141" s="116" customFormat="1">
      <c r="A40357" s="136"/>
      <c r="CM40357" s="111"/>
      <c r="CQ40357" s="111"/>
      <c r="EF40357"/>
      <c r="EG40357"/>
      <c r="EH40357"/>
      <c r="EI40357"/>
      <c r="EJ40357"/>
      <c r="EK40357"/>
    </row>
    <row r="40358" spans="1:141" s="116" customFormat="1">
      <c r="A40358" s="136"/>
      <c r="CM40358" s="111"/>
      <c r="CQ40358" s="111"/>
      <c r="EF40358"/>
      <c r="EG40358"/>
      <c r="EH40358"/>
      <c r="EI40358"/>
      <c r="EJ40358"/>
      <c r="EK40358"/>
    </row>
    <row r="40359" spans="1:141" s="116" customFormat="1">
      <c r="A40359" s="136"/>
      <c r="CM40359" s="111"/>
      <c r="CQ40359" s="111"/>
      <c r="EF40359"/>
      <c r="EG40359"/>
      <c r="EH40359"/>
      <c r="EI40359"/>
      <c r="EJ40359"/>
      <c r="EK40359"/>
    </row>
    <row r="40360" spans="1:141" s="116" customFormat="1">
      <c r="A40360" s="136"/>
      <c r="CM40360" s="111"/>
      <c r="CQ40360" s="111"/>
      <c r="EF40360"/>
      <c r="EG40360"/>
      <c r="EH40360"/>
      <c r="EI40360"/>
      <c r="EJ40360"/>
      <c r="EK40360"/>
    </row>
    <row r="40361" spans="1:141" s="116" customFormat="1">
      <c r="A40361" s="136"/>
      <c r="CM40361" s="111"/>
      <c r="CQ40361" s="111"/>
      <c r="EF40361"/>
      <c r="EG40361"/>
      <c r="EH40361"/>
      <c r="EI40361"/>
      <c r="EJ40361"/>
      <c r="EK40361"/>
    </row>
    <row r="40362" spans="1:141" s="116" customFormat="1">
      <c r="A40362" s="136"/>
      <c r="CM40362" s="111"/>
      <c r="CQ40362" s="111"/>
      <c r="EF40362"/>
      <c r="EG40362"/>
      <c r="EH40362"/>
      <c r="EI40362"/>
      <c r="EJ40362"/>
      <c r="EK40362"/>
    </row>
    <row r="40363" spans="1:141" s="116" customFormat="1">
      <c r="A40363" s="136"/>
      <c r="CM40363" s="111"/>
      <c r="CQ40363" s="111"/>
      <c r="EF40363"/>
      <c r="EG40363"/>
      <c r="EH40363"/>
      <c r="EI40363"/>
      <c r="EJ40363"/>
      <c r="EK40363"/>
    </row>
    <row r="40364" spans="1:141" s="116" customFormat="1">
      <c r="A40364" s="136"/>
      <c r="CM40364" s="111"/>
      <c r="CQ40364" s="111"/>
      <c r="EF40364"/>
      <c r="EG40364"/>
      <c r="EH40364"/>
      <c r="EI40364"/>
      <c r="EJ40364"/>
      <c r="EK40364"/>
    </row>
    <row r="40365" spans="1:141" s="116" customFormat="1">
      <c r="A40365" s="136"/>
      <c r="CM40365" s="111"/>
      <c r="CQ40365" s="111"/>
      <c r="EF40365"/>
      <c r="EG40365"/>
      <c r="EH40365"/>
      <c r="EI40365"/>
      <c r="EJ40365"/>
      <c r="EK40365"/>
    </row>
    <row r="40366" spans="1:141" s="116" customFormat="1">
      <c r="A40366" s="136"/>
      <c r="CM40366" s="111"/>
      <c r="CQ40366" s="111"/>
      <c r="EF40366"/>
      <c r="EG40366"/>
      <c r="EH40366"/>
      <c r="EI40366"/>
      <c r="EJ40366"/>
      <c r="EK40366"/>
    </row>
    <row r="40367" spans="1:141" s="116" customFormat="1">
      <c r="A40367" s="136"/>
      <c r="CM40367" s="111"/>
      <c r="CQ40367" s="111"/>
      <c r="EF40367"/>
      <c r="EG40367"/>
      <c r="EH40367"/>
      <c r="EI40367"/>
      <c r="EJ40367"/>
      <c r="EK40367"/>
    </row>
    <row r="40368" spans="1:141" s="116" customFormat="1">
      <c r="A40368" s="136"/>
      <c r="CM40368" s="111"/>
      <c r="CQ40368" s="111"/>
      <c r="EF40368"/>
      <c r="EG40368"/>
      <c r="EH40368"/>
      <c r="EI40368"/>
      <c r="EJ40368"/>
      <c r="EK40368"/>
    </row>
    <row r="40369" spans="1:141" s="116" customFormat="1">
      <c r="A40369" s="136"/>
      <c r="CM40369" s="111"/>
      <c r="CQ40369" s="111"/>
      <c r="EF40369"/>
      <c r="EG40369"/>
      <c r="EH40369"/>
      <c r="EI40369"/>
      <c r="EJ40369"/>
      <c r="EK40369"/>
    </row>
    <row r="40370" spans="1:141" s="116" customFormat="1">
      <c r="A40370" s="136"/>
      <c r="CM40370" s="111"/>
      <c r="CQ40370" s="111"/>
      <c r="EF40370"/>
      <c r="EG40370"/>
      <c r="EH40370"/>
      <c r="EI40370"/>
      <c r="EJ40370"/>
      <c r="EK40370"/>
    </row>
    <row r="40371" spans="1:141" s="116" customFormat="1">
      <c r="A40371" s="136"/>
      <c r="CM40371" s="111"/>
      <c r="CQ40371" s="111"/>
      <c r="EF40371"/>
      <c r="EG40371"/>
      <c r="EH40371"/>
      <c r="EI40371"/>
      <c r="EJ40371"/>
      <c r="EK40371"/>
    </row>
    <row r="40372" spans="1:141" s="116" customFormat="1">
      <c r="A40372" s="136"/>
      <c r="CM40372" s="111"/>
      <c r="CQ40372" s="111"/>
      <c r="EF40372"/>
      <c r="EG40372"/>
      <c r="EH40372"/>
      <c r="EI40372"/>
      <c r="EJ40372"/>
      <c r="EK40372"/>
    </row>
    <row r="40373" spans="1:141" s="116" customFormat="1">
      <c r="A40373" s="136"/>
      <c r="CM40373" s="111"/>
      <c r="CQ40373" s="111"/>
      <c r="EF40373"/>
      <c r="EG40373"/>
      <c r="EH40373"/>
      <c r="EI40373"/>
      <c r="EJ40373"/>
      <c r="EK40373"/>
    </row>
    <row r="40374" spans="1:141" s="116" customFormat="1">
      <c r="A40374" s="136"/>
      <c r="CM40374" s="111"/>
      <c r="CQ40374" s="111"/>
      <c r="EF40374"/>
      <c r="EG40374"/>
      <c r="EH40374"/>
      <c r="EI40374"/>
      <c r="EJ40374"/>
      <c r="EK40374"/>
    </row>
    <row r="40375" spans="1:141" s="116" customFormat="1">
      <c r="A40375" s="136"/>
      <c r="CM40375" s="111"/>
      <c r="CQ40375" s="111"/>
      <c r="EF40375"/>
      <c r="EG40375"/>
      <c r="EH40375"/>
      <c r="EI40375"/>
      <c r="EJ40375"/>
      <c r="EK40375"/>
    </row>
    <row r="40376" spans="1:141" s="116" customFormat="1">
      <c r="A40376" s="136"/>
      <c r="CM40376" s="111"/>
      <c r="CQ40376" s="111"/>
      <c r="EF40376"/>
      <c r="EG40376"/>
      <c r="EH40376"/>
      <c r="EI40376"/>
      <c r="EJ40376"/>
      <c r="EK40376"/>
    </row>
    <row r="40377" spans="1:141" s="116" customFormat="1">
      <c r="A40377" s="136"/>
      <c r="CM40377" s="111"/>
      <c r="CQ40377" s="111"/>
      <c r="EF40377"/>
      <c r="EG40377"/>
      <c r="EH40377"/>
      <c r="EI40377"/>
      <c r="EJ40377"/>
      <c r="EK40377"/>
    </row>
    <row r="40378" spans="1:141" s="116" customFormat="1">
      <c r="A40378" s="136"/>
      <c r="CM40378" s="111"/>
      <c r="CQ40378" s="111"/>
      <c r="EF40378"/>
      <c r="EG40378"/>
      <c r="EH40378"/>
      <c r="EI40378"/>
      <c r="EJ40378"/>
      <c r="EK40378"/>
    </row>
    <row r="40379" spans="1:141" s="116" customFormat="1">
      <c r="A40379" s="136"/>
      <c r="CM40379" s="111"/>
      <c r="CQ40379" s="111"/>
      <c r="EF40379"/>
      <c r="EG40379"/>
      <c r="EH40379"/>
      <c r="EI40379"/>
      <c r="EJ40379"/>
      <c r="EK40379"/>
    </row>
    <row r="40380" spans="1:141" s="116" customFormat="1">
      <c r="A40380" s="136"/>
      <c r="CM40380" s="111"/>
      <c r="CQ40380" s="111"/>
      <c r="EF40380"/>
      <c r="EG40380"/>
      <c r="EH40380"/>
      <c r="EI40380"/>
      <c r="EJ40380"/>
      <c r="EK40380"/>
    </row>
    <row r="40381" spans="1:141" s="116" customFormat="1">
      <c r="A40381" s="136"/>
      <c r="CM40381" s="111"/>
      <c r="CQ40381" s="111"/>
      <c r="EF40381"/>
      <c r="EG40381"/>
      <c r="EH40381"/>
      <c r="EI40381"/>
      <c r="EJ40381"/>
      <c r="EK40381"/>
    </row>
    <row r="40382" spans="1:141" s="116" customFormat="1">
      <c r="A40382" s="136"/>
      <c r="CM40382" s="111"/>
      <c r="CQ40382" s="111"/>
      <c r="EF40382"/>
      <c r="EG40382"/>
      <c r="EH40382"/>
      <c r="EI40382"/>
      <c r="EJ40382"/>
      <c r="EK40382"/>
    </row>
    <row r="40383" spans="1:141" s="116" customFormat="1">
      <c r="A40383" s="136"/>
      <c r="CM40383" s="111"/>
      <c r="CQ40383" s="111"/>
      <c r="EF40383"/>
      <c r="EG40383"/>
      <c r="EH40383"/>
      <c r="EI40383"/>
      <c r="EJ40383"/>
      <c r="EK40383"/>
    </row>
    <row r="40384" spans="1:141" s="116" customFormat="1">
      <c r="A40384" s="136"/>
      <c r="CM40384" s="111"/>
      <c r="CQ40384" s="111"/>
      <c r="EF40384"/>
      <c r="EG40384"/>
      <c r="EH40384"/>
      <c r="EI40384"/>
      <c r="EJ40384"/>
      <c r="EK40384"/>
    </row>
    <row r="40385" spans="1:141" s="116" customFormat="1">
      <c r="A40385" s="136"/>
      <c r="CM40385" s="111"/>
      <c r="CQ40385" s="111"/>
      <c r="EF40385"/>
      <c r="EG40385"/>
      <c r="EH40385"/>
      <c r="EI40385"/>
      <c r="EJ40385"/>
      <c r="EK40385"/>
    </row>
    <row r="40386" spans="1:141" s="116" customFormat="1">
      <c r="A40386" s="136"/>
      <c r="CM40386" s="111"/>
      <c r="CQ40386" s="111"/>
      <c r="EF40386"/>
      <c r="EG40386"/>
      <c r="EH40386"/>
      <c r="EI40386"/>
      <c r="EJ40386"/>
      <c r="EK40386"/>
    </row>
    <row r="40387" spans="1:141" s="116" customFormat="1">
      <c r="A40387" s="136"/>
      <c r="CM40387" s="111"/>
      <c r="CQ40387" s="111"/>
      <c r="EF40387"/>
      <c r="EG40387"/>
      <c r="EH40387"/>
      <c r="EI40387"/>
      <c r="EJ40387"/>
      <c r="EK40387"/>
    </row>
    <row r="40388" spans="1:141" s="116" customFormat="1">
      <c r="A40388" s="136"/>
      <c r="CM40388" s="111"/>
      <c r="CQ40388" s="111"/>
      <c r="EF40388"/>
      <c r="EG40388"/>
      <c r="EH40388"/>
      <c r="EI40388"/>
      <c r="EJ40388"/>
      <c r="EK40388"/>
    </row>
    <row r="40389" spans="1:141" s="116" customFormat="1">
      <c r="A40389" s="136"/>
      <c r="CM40389" s="111"/>
      <c r="CQ40389" s="111"/>
      <c r="EF40389"/>
      <c r="EG40389"/>
      <c r="EH40389"/>
      <c r="EI40389"/>
      <c r="EJ40389"/>
      <c r="EK40389"/>
    </row>
    <row r="40390" spans="1:141" s="116" customFormat="1">
      <c r="A40390" s="136"/>
      <c r="CM40390" s="111"/>
      <c r="CQ40390" s="111"/>
      <c r="EF40390"/>
      <c r="EG40390"/>
      <c r="EH40390"/>
      <c r="EI40390"/>
      <c r="EJ40390"/>
      <c r="EK40390"/>
    </row>
    <row r="40391" spans="1:141" s="116" customFormat="1">
      <c r="A40391" s="136"/>
      <c r="CM40391" s="111"/>
      <c r="CQ40391" s="111"/>
      <c r="EF40391"/>
      <c r="EG40391"/>
      <c r="EH40391"/>
      <c r="EI40391"/>
      <c r="EJ40391"/>
      <c r="EK40391"/>
    </row>
    <row r="40392" spans="1:141" s="116" customFormat="1">
      <c r="A40392" s="136"/>
      <c r="CM40392" s="111"/>
      <c r="CQ40392" s="111"/>
      <c r="EF40392"/>
      <c r="EG40392"/>
      <c r="EH40392"/>
      <c r="EI40392"/>
      <c r="EJ40392"/>
      <c r="EK40392"/>
    </row>
    <row r="40393" spans="1:141" s="116" customFormat="1">
      <c r="A40393" s="136"/>
      <c r="CM40393" s="111"/>
      <c r="CQ40393" s="111"/>
      <c r="EF40393"/>
      <c r="EG40393"/>
      <c r="EH40393"/>
      <c r="EI40393"/>
      <c r="EJ40393"/>
      <c r="EK40393"/>
    </row>
    <row r="40394" spans="1:141" s="116" customFormat="1">
      <c r="A40394" s="136"/>
      <c r="CM40394" s="111"/>
      <c r="CQ40394" s="111"/>
      <c r="EF40394"/>
      <c r="EG40394"/>
      <c r="EH40394"/>
      <c r="EI40394"/>
      <c r="EJ40394"/>
      <c r="EK40394"/>
    </row>
    <row r="40395" spans="1:141" s="116" customFormat="1">
      <c r="A40395" s="136"/>
      <c r="CM40395" s="111"/>
      <c r="CQ40395" s="111"/>
      <c r="EF40395"/>
      <c r="EG40395"/>
      <c r="EH40395"/>
      <c r="EI40395"/>
      <c r="EJ40395"/>
      <c r="EK40395"/>
    </row>
    <row r="40396" spans="1:141" s="116" customFormat="1">
      <c r="A40396" s="136"/>
      <c r="CM40396" s="111"/>
      <c r="CQ40396" s="111"/>
      <c r="EF40396"/>
      <c r="EG40396"/>
      <c r="EH40396"/>
      <c r="EI40396"/>
      <c r="EJ40396"/>
      <c r="EK40396"/>
    </row>
    <row r="40397" spans="1:141" s="116" customFormat="1">
      <c r="A40397" s="136"/>
      <c r="CM40397" s="111"/>
      <c r="CQ40397" s="111"/>
      <c r="EF40397"/>
      <c r="EG40397"/>
      <c r="EH40397"/>
      <c r="EI40397"/>
      <c r="EJ40397"/>
      <c r="EK40397"/>
    </row>
    <row r="40398" spans="1:141" s="116" customFormat="1">
      <c r="A40398" s="136"/>
      <c r="CM40398" s="111"/>
      <c r="CQ40398" s="111"/>
      <c r="EF40398"/>
      <c r="EG40398"/>
      <c r="EH40398"/>
      <c r="EI40398"/>
      <c r="EJ40398"/>
      <c r="EK40398"/>
    </row>
    <row r="40399" spans="1:141" s="116" customFormat="1">
      <c r="A40399" s="136"/>
      <c r="CM40399" s="111"/>
      <c r="CQ40399" s="111"/>
      <c r="EF40399"/>
      <c r="EG40399"/>
      <c r="EH40399"/>
      <c r="EI40399"/>
      <c r="EJ40399"/>
      <c r="EK40399"/>
    </row>
    <row r="40400" spans="1:141" s="116" customFormat="1">
      <c r="A40400" s="136"/>
      <c r="CM40400" s="111"/>
      <c r="CQ40400" s="111"/>
      <c r="EF40400"/>
      <c r="EG40400"/>
      <c r="EH40400"/>
      <c r="EI40400"/>
      <c r="EJ40400"/>
      <c r="EK40400"/>
    </row>
    <row r="40401" spans="1:141" s="116" customFormat="1">
      <c r="A40401" s="136"/>
      <c r="CM40401" s="111"/>
      <c r="CQ40401" s="111"/>
      <c r="EF40401"/>
      <c r="EG40401"/>
      <c r="EH40401"/>
      <c r="EI40401"/>
      <c r="EJ40401"/>
      <c r="EK40401"/>
    </row>
    <row r="40402" spans="1:141" s="116" customFormat="1">
      <c r="A40402" s="136"/>
      <c r="CM40402" s="111"/>
      <c r="CQ40402" s="111"/>
      <c r="EF40402"/>
      <c r="EG40402"/>
      <c r="EH40402"/>
      <c r="EI40402"/>
      <c r="EJ40402"/>
      <c r="EK40402"/>
    </row>
    <row r="40403" spans="1:141" s="116" customFormat="1">
      <c r="A40403" s="136"/>
      <c r="CM40403" s="111"/>
      <c r="CQ40403" s="111"/>
      <c r="EF40403"/>
      <c r="EG40403"/>
      <c r="EH40403"/>
      <c r="EI40403"/>
      <c r="EJ40403"/>
      <c r="EK40403"/>
    </row>
    <row r="40404" spans="1:141" s="116" customFormat="1">
      <c r="A40404" s="136"/>
      <c r="CM40404" s="111"/>
      <c r="CQ40404" s="111"/>
      <c r="EF40404"/>
      <c r="EG40404"/>
      <c r="EH40404"/>
      <c r="EI40404"/>
      <c r="EJ40404"/>
      <c r="EK40404"/>
    </row>
    <row r="40405" spans="1:141" s="116" customFormat="1">
      <c r="A40405" s="136"/>
      <c r="CM40405" s="111"/>
      <c r="CQ40405" s="111"/>
      <c r="EF40405"/>
      <c r="EG40405"/>
      <c r="EH40405"/>
      <c r="EI40405"/>
      <c r="EJ40405"/>
      <c r="EK40405"/>
    </row>
    <row r="40406" spans="1:141" s="116" customFormat="1">
      <c r="A40406" s="136"/>
      <c r="CM40406" s="111"/>
      <c r="CQ40406" s="111"/>
      <c r="EF40406"/>
      <c r="EG40406"/>
      <c r="EH40406"/>
      <c r="EI40406"/>
      <c r="EJ40406"/>
      <c r="EK40406"/>
    </row>
    <row r="40407" spans="1:141" s="116" customFormat="1">
      <c r="A40407" s="136"/>
      <c r="CM40407" s="111"/>
      <c r="CQ40407" s="111"/>
      <c r="EF40407"/>
      <c r="EG40407"/>
      <c r="EH40407"/>
      <c r="EI40407"/>
      <c r="EJ40407"/>
      <c r="EK40407"/>
    </row>
    <row r="40408" spans="1:141" s="116" customFormat="1">
      <c r="A40408" s="136"/>
      <c r="CM40408" s="111"/>
      <c r="CQ40408" s="111"/>
      <c r="EF40408"/>
      <c r="EG40408"/>
      <c r="EH40408"/>
      <c r="EI40408"/>
      <c r="EJ40408"/>
      <c r="EK40408"/>
    </row>
    <row r="40409" spans="1:141" s="116" customFormat="1">
      <c r="A40409" s="136"/>
      <c r="CM40409" s="111"/>
      <c r="CQ40409" s="111"/>
      <c r="EF40409"/>
      <c r="EG40409"/>
      <c r="EH40409"/>
      <c r="EI40409"/>
      <c r="EJ40409"/>
      <c r="EK40409"/>
    </row>
    <row r="40410" spans="1:141" s="116" customFormat="1">
      <c r="A40410" s="136"/>
      <c r="CM40410" s="111"/>
      <c r="CQ40410" s="111"/>
      <c r="EF40410"/>
      <c r="EG40410"/>
      <c r="EH40410"/>
      <c r="EI40410"/>
      <c r="EJ40410"/>
      <c r="EK40410"/>
    </row>
    <row r="40411" spans="1:141" s="116" customFormat="1">
      <c r="A40411" s="136"/>
      <c r="CM40411" s="111"/>
      <c r="CQ40411" s="111"/>
      <c r="EF40411"/>
      <c r="EG40411"/>
      <c r="EH40411"/>
      <c r="EI40411"/>
      <c r="EJ40411"/>
      <c r="EK40411"/>
    </row>
    <row r="40412" spans="1:141" s="116" customFormat="1">
      <c r="A40412" s="136"/>
      <c r="CM40412" s="111"/>
      <c r="CQ40412" s="111"/>
      <c r="EF40412"/>
      <c r="EG40412"/>
      <c r="EH40412"/>
      <c r="EI40412"/>
      <c r="EJ40412"/>
      <c r="EK40412"/>
    </row>
    <row r="40413" spans="1:141" s="116" customFormat="1">
      <c r="A40413" s="136"/>
      <c r="CM40413" s="111"/>
      <c r="CQ40413" s="111"/>
      <c r="EF40413"/>
      <c r="EG40413"/>
      <c r="EH40413"/>
      <c r="EI40413"/>
      <c r="EJ40413"/>
      <c r="EK40413"/>
    </row>
    <row r="40414" spans="1:141" s="116" customFormat="1">
      <c r="A40414" s="136"/>
      <c r="CM40414" s="111"/>
      <c r="CQ40414" s="111"/>
      <c r="EF40414"/>
      <c r="EG40414"/>
      <c r="EH40414"/>
      <c r="EI40414"/>
      <c r="EJ40414"/>
      <c r="EK40414"/>
    </row>
    <row r="40415" spans="1:141" s="116" customFormat="1">
      <c r="A40415" s="136"/>
      <c r="CM40415" s="111"/>
      <c r="CQ40415" s="111"/>
      <c r="EF40415"/>
      <c r="EG40415"/>
      <c r="EH40415"/>
      <c r="EI40415"/>
      <c r="EJ40415"/>
      <c r="EK40415"/>
    </row>
    <row r="40416" spans="1:141" s="116" customFormat="1">
      <c r="A40416" s="136"/>
      <c r="CM40416" s="111"/>
      <c r="CQ40416" s="111"/>
      <c r="EF40416"/>
      <c r="EG40416"/>
      <c r="EH40416"/>
      <c r="EI40416"/>
      <c r="EJ40416"/>
      <c r="EK40416"/>
    </row>
    <row r="40417" spans="1:141" s="116" customFormat="1">
      <c r="A40417" s="136"/>
      <c r="CM40417" s="111"/>
      <c r="CQ40417" s="111"/>
      <c r="EF40417"/>
      <c r="EG40417"/>
      <c r="EH40417"/>
      <c r="EI40417"/>
      <c r="EJ40417"/>
      <c r="EK40417"/>
    </row>
    <row r="40418" spans="1:141" s="116" customFormat="1">
      <c r="A40418" s="136"/>
      <c r="CM40418" s="111"/>
      <c r="CQ40418" s="111"/>
      <c r="EF40418"/>
      <c r="EG40418"/>
      <c r="EH40418"/>
      <c r="EI40418"/>
      <c r="EJ40418"/>
      <c r="EK40418"/>
    </row>
    <row r="40419" spans="1:141" s="116" customFormat="1">
      <c r="A40419" s="136"/>
      <c r="CM40419" s="111"/>
      <c r="CQ40419" s="111"/>
      <c r="EF40419"/>
      <c r="EG40419"/>
      <c r="EH40419"/>
      <c r="EI40419"/>
      <c r="EJ40419"/>
      <c r="EK40419"/>
    </row>
    <row r="40420" spans="1:141" s="116" customFormat="1">
      <c r="A40420" s="136"/>
      <c r="CM40420" s="111"/>
      <c r="CQ40420" s="111"/>
      <c r="EF40420"/>
      <c r="EG40420"/>
      <c r="EH40420"/>
      <c r="EI40420"/>
      <c r="EJ40420"/>
      <c r="EK40420"/>
    </row>
    <row r="40421" spans="1:141" s="116" customFormat="1">
      <c r="A40421" s="136"/>
      <c r="CM40421" s="111"/>
      <c r="CQ40421" s="111"/>
      <c r="EF40421"/>
      <c r="EG40421"/>
      <c r="EH40421"/>
      <c r="EI40421"/>
      <c r="EJ40421"/>
      <c r="EK40421"/>
    </row>
    <row r="40422" spans="1:141" s="116" customFormat="1">
      <c r="A40422" s="136"/>
      <c r="CM40422" s="111"/>
      <c r="CQ40422" s="111"/>
      <c r="EF40422"/>
      <c r="EG40422"/>
      <c r="EH40422"/>
      <c r="EI40422"/>
      <c r="EJ40422"/>
      <c r="EK40422"/>
    </row>
    <row r="40423" spans="1:141" s="116" customFormat="1">
      <c r="A40423" s="136"/>
      <c r="CM40423" s="111"/>
      <c r="CQ40423" s="111"/>
      <c r="EF40423"/>
      <c r="EG40423"/>
      <c r="EH40423"/>
      <c r="EI40423"/>
      <c r="EJ40423"/>
      <c r="EK40423"/>
    </row>
    <row r="40424" spans="1:141" s="116" customFormat="1">
      <c r="A40424" s="136"/>
      <c r="CM40424" s="111"/>
      <c r="CQ40424" s="111"/>
      <c r="EF40424"/>
      <c r="EG40424"/>
      <c r="EH40424"/>
      <c r="EI40424"/>
      <c r="EJ40424"/>
      <c r="EK40424"/>
    </row>
    <row r="40425" spans="1:141" s="116" customFormat="1">
      <c r="A40425" s="136"/>
      <c r="CM40425" s="111"/>
      <c r="CQ40425" s="111"/>
      <c r="EF40425"/>
      <c r="EG40425"/>
      <c r="EH40425"/>
      <c r="EI40425"/>
      <c r="EJ40425"/>
      <c r="EK40425"/>
    </row>
    <row r="40426" spans="1:141" s="116" customFormat="1">
      <c r="A40426" s="136"/>
      <c r="CM40426" s="111"/>
      <c r="CQ40426" s="111"/>
      <c r="EF40426"/>
      <c r="EG40426"/>
      <c r="EH40426"/>
      <c r="EI40426"/>
      <c r="EJ40426"/>
      <c r="EK40426"/>
    </row>
    <row r="40427" spans="1:141" s="116" customFormat="1">
      <c r="A40427" s="136"/>
      <c r="CM40427" s="111"/>
      <c r="CQ40427" s="111"/>
      <c r="EF40427"/>
      <c r="EG40427"/>
      <c r="EH40427"/>
      <c r="EI40427"/>
      <c r="EJ40427"/>
      <c r="EK40427"/>
    </row>
    <row r="40428" spans="1:141" s="116" customFormat="1">
      <c r="A40428" s="136"/>
      <c r="CM40428" s="111"/>
      <c r="CQ40428" s="111"/>
      <c r="EF40428"/>
      <c r="EG40428"/>
      <c r="EH40428"/>
      <c r="EI40428"/>
      <c r="EJ40428"/>
      <c r="EK40428"/>
    </row>
    <row r="40429" spans="1:141" s="116" customFormat="1">
      <c r="A40429" s="136"/>
      <c r="CM40429" s="111"/>
      <c r="CQ40429" s="111"/>
      <c r="EF40429"/>
      <c r="EG40429"/>
      <c r="EH40429"/>
      <c r="EI40429"/>
      <c r="EJ40429"/>
      <c r="EK40429"/>
    </row>
    <row r="40430" spans="1:141" s="116" customFormat="1">
      <c r="A40430" s="136"/>
      <c r="CM40430" s="111"/>
      <c r="CQ40430" s="111"/>
      <c r="EF40430"/>
      <c r="EG40430"/>
      <c r="EH40430"/>
      <c r="EI40430"/>
      <c r="EJ40430"/>
      <c r="EK40430"/>
    </row>
    <row r="40431" spans="1:141" s="116" customFormat="1">
      <c r="A40431" s="136"/>
      <c r="CM40431" s="111"/>
      <c r="CQ40431" s="111"/>
      <c r="EF40431"/>
      <c r="EG40431"/>
      <c r="EH40431"/>
      <c r="EI40431"/>
      <c r="EJ40431"/>
      <c r="EK40431"/>
    </row>
    <row r="40432" spans="1:141" s="116" customFormat="1">
      <c r="A40432" s="136"/>
      <c r="CM40432" s="111"/>
      <c r="CQ40432" s="111"/>
      <c r="EF40432"/>
      <c r="EG40432"/>
      <c r="EH40432"/>
      <c r="EI40432"/>
      <c r="EJ40432"/>
      <c r="EK40432"/>
    </row>
    <row r="40433" spans="1:141" s="116" customFormat="1">
      <c r="A40433" s="136"/>
      <c r="CM40433" s="111"/>
      <c r="CQ40433" s="111"/>
      <c r="EF40433"/>
      <c r="EG40433"/>
      <c r="EH40433"/>
      <c r="EI40433"/>
      <c r="EJ40433"/>
      <c r="EK40433"/>
    </row>
    <row r="40434" spans="1:141" s="116" customFormat="1">
      <c r="A40434" s="136"/>
      <c r="CM40434" s="111"/>
      <c r="CQ40434" s="111"/>
      <c r="EF40434"/>
      <c r="EG40434"/>
      <c r="EH40434"/>
      <c r="EI40434"/>
      <c r="EJ40434"/>
      <c r="EK40434"/>
    </row>
    <row r="40435" spans="1:141" s="116" customFormat="1">
      <c r="A40435" s="136"/>
      <c r="CM40435" s="111"/>
      <c r="CQ40435" s="111"/>
      <c r="EF40435"/>
      <c r="EG40435"/>
      <c r="EH40435"/>
      <c r="EI40435"/>
      <c r="EJ40435"/>
      <c r="EK40435"/>
    </row>
    <row r="40436" spans="1:141" s="116" customFormat="1">
      <c r="A40436" s="136"/>
      <c r="CM40436" s="111"/>
      <c r="CQ40436" s="111"/>
      <c r="EF40436"/>
      <c r="EG40436"/>
      <c r="EH40436"/>
      <c r="EI40436"/>
      <c r="EJ40436"/>
      <c r="EK40436"/>
    </row>
    <row r="40437" spans="1:141" s="116" customFormat="1">
      <c r="A40437" s="136"/>
      <c r="CM40437" s="111"/>
      <c r="CQ40437" s="111"/>
      <c r="EF40437"/>
      <c r="EG40437"/>
      <c r="EH40437"/>
      <c r="EI40437"/>
      <c r="EJ40437"/>
      <c r="EK40437"/>
    </row>
    <row r="40438" spans="1:141" s="116" customFormat="1">
      <c r="A40438" s="136"/>
      <c r="CM40438" s="111"/>
      <c r="CQ40438" s="111"/>
      <c r="EF40438"/>
      <c r="EG40438"/>
      <c r="EH40438"/>
      <c r="EI40438"/>
      <c r="EJ40438"/>
      <c r="EK40438"/>
    </row>
    <row r="40439" spans="1:141" s="116" customFormat="1">
      <c r="A40439" s="136"/>
      <c r="CM40439" s="111"/>
      <c r="CQ40439" s="111"/>
      <c r="EF40439"/>
      <c r="EG40439"/>
      <c r="EH40439"/>
      <c r="EI40439"/>
      <c r="EJ40439"/>
      <c r="EK40439"/>
    </row>
    <row r="40440" spans="1:141" s="116" customFormat="1">
      <c r="A40440" s="136"/>
      <c r="CM40440" s="111"/>
      <c r="CQ40440" s="111"/>
      <c r="EF40440"/>
      <c r="EG40440"/>
      <c r="EH40440"/>
      <c r="EI40440"/>
      <c r="EJ40440"/>
      <c r="EK40440"/>
    </row>
    <row r="40441" spans="1:141" s="116" customFormat="1">
      <c r="A40441" s="136"/>
      <c r="CM40441" s="111"/>
      <c r="CQ40441" s="111"/>
      <c r="EF40441"/>
      <c r="EG40441"/>
      <c r="EH40441"/>
      <c r="EI40441"/>
      <c r="EJ40441"/>
      <c r="EK40441"/>
    </row>
    <row r="40442" spans="1:141" s="116" customFormat="1">
      <c r="A40442" s="136"/>
      <c r="CM40442" s="111"/>
      <c r="CQ40442" s="111"/>
      <c r="EF40442"/>
      <c r="EG40442"/>
      <c r="EH40442"/>
      <c r="EI40442"/>
      <c r="EJ40442"/>
      <c r="EK40442"/>
    </row>
    <row r="40443" spans="1:141" s="116" customFormat="1">
      <c r="A40443" s="136"/>
      <c r="CM40443" s="111"/>
      <c r="CQ40443" s="111"/>
      <c r="EF40443"/>
      <c r="EG40443"/>
      <c r="EH40443"/>
      <c r="EI40443"/>
      <c r="EJ40443"/>
      <c r="EK40443"/>
    </row>
    <row r="40444" spans="1:141" s="116" customFormat="1">
      <c r="A40444" s="136"/>
      <c r="CM40444" s="111"/>
      <c r="CQ40444" s="111"/>
      <c r="EF40444"/>
      <c r="EG40444"/>
      <c r="EH40444"/>
      <c r="EI40444"/>
      <c r="EJ40444"/>
      <c r="EK40444"/>
    </row>
    <row r="40445" spans="1:141" s="116" customFormat="1">
      <c r="A40445" s="136"/>
      <c r="CM40445" s="111"/>
      <c r="CQ40445" s="111"/>
      <c r="EF40445"/>
      <c r="EG40445"/>
      <c r="EH40445"/>
      <c r="EI40445"/>
      <c r="EJ40445"/>
      <c r="EK40445"/>
    </row>
    <row r="40446" spans="1:141" s="116" customFormat="1">
      <c r="A40446" s="136"/>
      <c r="CM40446" s="111"/>
      <c r="CQ40446" s="111"/>
      <c r="EF40446"/>
      <c r="EG40446"/>
      <c r="EH40446"/>
      <c r="EI40446"/>
      <c r="EJ40446"/>
      <c r="EK40446"/>
    </row>
    <row r="40447" spans="1:141" s="116" customFormat="1">
      <c r="A40447" s="136"/>
      <c r="CM40447" s="111"/>
      <c r="CQ40447" s="111"/>
      <c r="EF40447"/>
      <c r="EG40447"/>
      <c r="EH40447"/>
      <c r="EI40447"/>
      <c r="EJ40447"/>
      <c r="EK40447"/>
    </row>
    <row r="40448" spans="1:141" s="116" customFormat="1">
      <c r="A40448" s="136"/>
      <c r="CM40448" s="111"/>
      <c r="CQ40448" s="111"/>
      <c r="EF40448"/>
      <c r="EG40448"/>
      <c r="EH40448"/>
      <c r="EI40448"/>
      <c r="EJ40448"/>
      <c r="EK40448"/>
    </row>
    <row r="40449" spans="1:141" s="116" customFormat="1">
      <c r="A40449" s="136"/>
      <c r="CM40449" s="111"/>
      <c r="CQ40449" s="111"/>
      <c r="EF40449"/>
      <c r="EG40449"/>
      <c r="EH40449"/>
      <c r="EI40449"/>
      <c r="EJ40449"/>
      <c r="EK40449"/>
    </row>
    <row r="40450" spans="1:141" s="116" customFormat="1">
      <c r="A40450" s="136"/>
      <c r="CM40450" s="111"/>
      <c r="CQ40450" s="111"/>
      <c r="EF40450"/>
      <c r="EG40450"/>
      <c r="EH40450"/>
      <c r="EI40450"/>
      <c r="EJ40450"/>
      <c r="EK40450"/>
    </row>
    <row r="40451" spans="1:141" s="116" customFormat="1">
      <c r="A40451" s="136"/>
      <c r="CM40451" s="111"/>
      <c r="CQ40451" s="111"/>
      <c r="EF40451"/>
      <c r="EG40451"/>
      <c r="EH40451"/>
      <c r="EI40451"/>
      <c r="EJ40451"/>
      <c r="EK40451"/>
    </row>
    <row r="40452" spans="1:141" s="116" customFormat="1">
      <c r="A40452" s="136"/>
      <c r="CM40452" s="111"/>
      <c r="CQ40452" s="111"/>
      <c r="EF40452"/>
      <c r="EG40452"/>
      <c r="EH40452"/>
      <c r="EI40452"/>
      <c r="EJ40452"/>
      <c r="EK40452"/>
    </row>
    <row r="40453" spans="1:141" s="116" customFormat="1">
      <c r="A40453" s="136"/>
      <c r="CM40453" s="111"/>
      <c r="CQ40453" s="111"/>
      <c r="EF40453"/>
      <c r="EG40453"/>
      <c r="EH40453"/>
      <c r="EI40453"/>
      <c r="EJ40453"/>
      <c r="EK40453"/>
    </row>
    <row r="40454" spans="1:141" s="116" customFormat="1">
      <c r="A40454" s="136"/>
      <c r="CM40454" s="111"/>
      <c r="CQ40454" s="111"/>
      <c r="EF40454"/>
      <c r="EG40454"/>
      <c r="EH40454"/>
      <c r="EI40454"/>
      <c r="EJ40454"/>
      <c r="EK40454"/>
    </row>
    <row r="40455" spans="1:141" s="116" customFormat="1">
      <c r="A40455" s="136"/>
      <c r="CM40455" s="111"/>
      <c r="CQ40455" s="111"/>
      <c r="EF40455"/>
      <c r="EG40455"/>
      <c r="EH40455"/>
      <c r="EI40455"/>
      <c r="EJ40455"/>
      <c r="EK40455"/>
    </row>
    <row r="40456" spans="1:141" s="116" customFormat="1">
      <c r="A40456" s="136"/>
      <c r="CM40456" s="111"/>
      <c r="CQ40456" s="111"/>
      <c r="EF40456"/>
      <c r="EG40456"/>
      <c r="EH40456"/>
      <c r="EI40456"/>
      <c r="EJ40456"/>
      <c r="EK40456"/>
    </row>
    <row r="40457" spans="1:141" s="116" customFormat="1">
      <c r="A40457" s="136"/>
      <c r="CM40457" s="111"/>
      <c r="CQ40457" s="111"/>
      <c r="EF40457"/>
      <c r="EG40457"/>
      <c r="EH40457"/>
      <c r="EI40457"/>
      <c r="EJ40457"/>
      <c r="EK40457"/>
    </row>
    <row r="40458" spans="1:141" s="116" customFormat="1">
      <c r="A40458" s="136"/>
      <c r="CM40458" s="111"/>
      <c r="CQ40458" s="111"/>
      <c r="EF40458"/>
      <c r="EG40458"/>
      <c r="EH40458"/>
      <c r="EI40458"/>
      <c r="EJ40458"/>
      <c r="EK40458"/>
    </row>
    <row r="40459" spans="1:141" s="116" customFormat="1">
      <c r="A40459" s="136"/>
      <c r="CM40459" s="111"/>
      <c r="CQ40459" s="111"/>
      <c r="EF40459"/>
      <c r="EG40459"/>
      <c r="EH40459"/>
      <c r="EI40459"/>
      <c r="EJ40459"/>
      <c r="EK40459"/>
    </row>
    <row r="40460" spans="1:141" s="116" customFormat="1">
      <c r="A40460" s="136"/>
      <c r="CM40460" s="111"/>
      <c r="CQ40460" s="111"/>
      <c r="EF40460"/>
      <c r="EG40460"/>
      <c r="EH40460"/>
      <c r="EI40460"/>
      <c r="EJ40460"/>
      <c r="EK40460"/>
    </row>
    <row r="40461" spans="1:141" s="116" customFormat="1">
      <c r="A40461" s="136"/>
      <c r="CM40461" s="111"/>
      <c r="CQ40461" s="111"/>
      <c r="EF40461"/>
      <c r="EG40461"/>
      <c r="EH40461"/>
      <c r="EI40461"/>
      <c r="EJ40461"/>
      <c r="EK40461"/>
    </row>
    <row r="40462" spans="1:141" s="116" customFormat="1">
      <c r="A40462" s="136"/>
      <c r="CM40462" s="111"/>
      <c r="CQ40462" s="111"/>
      <c r="EF40462"/>
      <c r="EG40462"/>
      <c r="EH40462"/>
      <c r="EI40462"/>
      <c r="EJ40462"/>
      <c r="EK40462"/>
    </row>
    <row r="40463" spans="1:141" s="116" customFormat="1">
      <c r="A40463" s="136"/>
      <c r="CM40463" s="111"/>
      <c r="CQ40463" s="111"/>
      <c r="EF40463"/>
      <c r="EG40463"/>
      <c r="EH40463"/>
      <c r="EI40463"/>
      <c r="EJ40463"/>
      <c r="EK40463"/>
    </row>
    <row r="40464" spans="1:141" s="116" customFormat="1">
      <c r="A40464" s="136"/>
      <c r="CM40464" s="111"/>
      <c r="CQ40464" s="111"/>
      <c r="EF40464"/>
      <c r="EG40464"/>
      <c r="EH40464"/>
      <c r="EI40464"/>
      <c r="EJ40464"/>
      <c r="EK40464"/>
    </row>
    <row r="40465" spans="1:141" s="116" customFormat="1">
      <c r="A40465" s="136"/>
      <c r="CM40465" s="111"/>
      <c r="CQ40465" s="111"/>
      <c r="EF40465"/>
      <c r="EG40465"/>
      <c r="EH40465"/>
      <c r="EI40465"/>
      <c r="EJ40465"/>
      <c r="EK40465"/>
    </row>
    <row r="40466" spans="1:141" s="116" customFormat="1">
      <c r="A40466" s="136"/>
      <c r="CM40466" s="111"/>
      <c r="CQ40466" s="111"/>
      <c r="EF40466"/>
      <c r="EG40466"/>
      <c r="EH40466"/>
      <c r="EI40466"/>
      <c r="EJ40466"/>
      <c r="EK40466"/>
    </row>
    <row r="40467" spans="1:141" s="116" customFormat="1">
      <c r="A40467" s="136"/>
      <c r="CM40467" s="111"/>
      <c r="CQ40467" s="111"/>
      <c r="EF40467"/>
      <c r="EG40467"/>
      <c r="EH40467"/>
      <c r="EI40467"/>
      <c r="EJ40467"/>
      <c r="EK40467"/>
    </row>
    <row r="40468" spans="1:141" s="116" customFormat="1">
      <c r="A40468" s="136"/>
      <c r="CM40468" s="111"/>
      <c r="CQ40468" s="111"/>
      <c r="EF40468"/>
      <c r="EG40468"/>
      <c r="EH40468"/>
      <c r="EI40468"/>
      <c r="EJ40468"/>
      <c r="EK40468"/>
    </row>
    <row r="40469" spans="1:141" s="116" customFormat="1">
      <c r="A40469" s="136"/>
      <c r="CM40469" s="111"/>
      <c r="CQ40469" s="111"/>
      <c r="EF40469"/>
      <c r="EG40469"/>
      <c r="EH40469"/>
      <c r="EI40469"/>
      <c r="EJ40469"/>
      <c r="EK40469"/>
    </row>
    <row r="40470" spans="1:141" s="116" customFormat="1">
      <c r="A40470" s="136"/>
      <c r="CM40470" s="111"/>
      <c r="CQ40470" s="111"/>
      <c r="EF40470"/>
      <c r="EG40470"/>
      <c r="EH40470"/>
      <c r="EI40470"/>
      <c r="EJ40470"/>
      <c r="EK40470"/>
    </row>
    <row r="40471" spans="1:141" s="116" customFormat="1">
      <c r="A40471" s="136"/>
      <c r="CM40471" s="111"/>
      <c r="CQ40471" s="111"/>
      <c r="EF40471"/>
      <c r="EG40471"/>
      <c r="EH40471"/>
      <c r="EI40471"/>
      <c r="EJ40471"/>
      <c r="EK40471"/>
    </row>
    <row r="40472" spans="1:141" s="116" customFormat="1">
      <c r="A40472" s="136"/>
      <c r="CM40472" s="111"/>
      <c r="CQ40472" s="111"/>
      <c r="EF40472"/>
      <c r="EG40472"/>
      <c r="EH40472"/>
      <c r="EI40472"/>
      <c r="EJ40472"/>
      <c r="EK40472"/>
    </row>
    <row r="40473" spans="1:141" s="116" customFormat="1">
      <c r="A40473" s="136"/>
      <c r="CM40473" s="111"/>
      <c r="CQ40473" s="111"/>
      <c r="EF40473"/>
      <c r="EG40473"/>
      <c r="EH40473"/>
      <c r="EI40473"/>
      <c r="EJ40473"/>
      <c r="EK40473"/>
    </row>
    <row r="40474" spans="1:141" s="116" customFormat="1">
      <c r="A40474" s="136"/>
      <c r="CM40474" s="111"/>
      <c r="CQ40474" s="111"/>
      <c r="EF40474"/>
      <c r="EG40474"/>
      <c r="EH40474"/>
      <c r="EI40474"/>
      <c r="EJ40474"/>
      <c r="EK40474"/>
    </row>
    <row r="40475" spans="1:141" s="116" customFormat="1">
      <c r="A40475" s="136"/>
      <c r="CM40475" s="111"/>
      <c r="CQ40475" s="111"/>
      <c r="EF40475"/>
      <c r="EG40475"/>
      <c r="EH40475"/>
      <c r="EI40475"/>
      <c r="EJ40475"/>
      <c r="EK40475"/>
    </row>
    <row r="40476" spans="1:141" s="116" customFormat="1">
      <c r="A40476" s="136"/>
      <c r="CM40476" s="111"/>
      <c r="CQ40476" s="111"/>
      <c r="EF40476"/>
      <c r="EG40476"/>
      <c r="EH40476"/>
      <c r="EI40476"/>
      <c r="EJ40476"/>
      <c r="EK40476"/>
    </row>
    <row r="40477" spans="1:141" s="116" customFormat="1">
      <c r="A40477" s="136"/>
      <c r="CM40477" s="111"/>
      <c r="CQ40477" s="111"/>
      <c r="EF40477"/>
      <c r="EG40477"/>
      <c r="EH40477"/>
      <c r="EI40477"/>
      <c r="EJ40477"/>
      <c r="EK40477"/>
    </row>
    <row r="40478" spans="1:141" s="116" customFormat="1">
      <c r="A40478" s="136"/>
      <c r="CM40478" s="111"/>
      <c r="CQ40478" s="111"/>
      <c r="EF40478"/>
      <c r="EG40478"/>
      <c r="EH40478"/>
      <c r="EI40478"/>
      <c r="EJ40478"/>
      <c r="EK40478"/>
    </row>
    <row r="40479" spans="1:141" s="116" customFormat="1">
      <c r="A40479" s="136"/>
      <c r="CM40479" s="111"/>
      <c r="CQ40479" s="111"/>
      <c r="EF40479"/>
      <c r="EG40479"/>
      <c r="EH40479"/>
      <c r="EI40479"/>
      <c r="EJ40479"/>
      <c r="EK40479"/>
    </row>
    <row r="40480" spans="1:141" s="116" customFormat="1">
      <c r="A40480" s="136"/>
      <c r="CM40480" s="111"/>
      <c r="CQ40480" s="111"/>
      <c r="EF40480"/>
      <c r="EG40480"/>
      <c r="EH40480"/>
      <c r="EI40480"/>
      <c r="EJ40480"/>
      <c r="EK40480"/>
    </row>
    <row r="40481" spans="1:141" s="116" customFormat="1">
      <c r="A40481" s="136"/>
      <c r="CM40481" s="111"/>
      <c r="CQ40481" s="111"/>
      <c r="EF40481"/>
      <c r="EG40481"/>
      <c r="EH40481"/>
      <c r="EI40481"/>
      <c r="EJ40481"/>
      <c r="EK40481"/>
    </row>
    <row r="40482" spans="1:141" s="116" customFormat="1">
      <c r="A40482" s="136"/>
      <c r="CM40482" s="111"/>
      <c r="CQ40482" s="111"/>
      <c r="EF40482"/>
      <c r="EG40482"/>
      <c r="EH40482"/>
      <c r="EI40482"/>
      <c r="EJ40482"/>
      <c r="EK40482"/>
    </row>
    <row r="40483" spans="1:141" s="116" customFormat="1">
      <c r="A40483" s="136"/>
      <c r="CM40483" s="111"/>
      <c r="CQ40483" s="111"/>
      <c r="EF40483"/>
      <c r="EG40483"/>
      <c r="EH40483"/>
      <c r="EI40483"/>
      <c r="EJ40483"/>
      <c r="EK40483"/>
    </row>
    <row r="40484" spans="1:141" s="116" customFormat="1">
      <c r="A40484" s="136"/>
      <c r="CM40484" s="111"/>
      <c r="CQ40484" s="111"/>
      <c r="EF40484"/>
      <c r="EG40484"/>
      <c r="EH40484"/>
      <c r="EI40484"/>
      <c r="EJ40484"/>
      <c r="EK40484"/>
    </row>
    <row r="40485" spans="1:141" s="116" customFormat="1">
      <c r="A40485" s="136"/>
      <c r="CM40485" s="111"/>
      <c r="CQ40485" s="111"/>
      <c r="EF40485"/>
      <c r="EG40485"/>
      <c r="EH40485"/>
      <c r="EI40485"/>
      <c r="EJ40485"/>
      <c r="EK40485"/>
    </row>
    <row r="40486" spans="1:141" s="116" customFormat="1">
      <c r="A40486" s="136"/>
      <c r="CM40486" s="111"/>
      <c r="CQ40486" s="111"/>
      <c r="EF40486"/>
      <c r="EG40486"/>
      <c r="EH40486"/>
      <c r="EI40486"/>
      <c r="EJ40486"/>
      <c r="EK40486"/>
    </row>
    <row r="40487" spans="1:141" s="116" customFormat="1">
      <c r="A40487" s="136"/>
      <c r="CM40487" s="111"/>
      <c r="CQ40487" s="111"/>
      <c r="EF40487"/>
      <c r="EG40487"/>
      <c r="EH40487"/>
      <c r="EI40487"/>
      <c r="EJ40487"/>
      <c r="EK40487"/>
    </row>
    <row r="40488" spans="1:141" s="116" customFormat="1">
      <c r="A40488" s="136"/>
      <c r="CM40488" s="111"/>
      <c r="CQ40488" s="111"/>
      <c r="EF40488"/>
      <c r="EG40488"/>
      <c r="EH40488"/>
      <c r="EI40488"/>
      <c r="EJ40488"/>
      <c r="EK40488"/>
    </row>
    <row r="40489" spans="1:141" s="116" customFormat="1">
      <c r="A40489" s="136"/>
      <c r="CM40489" s="111"/>
      <c r="CQ40489" s="111"/>
      <c r="EF40489"/>
      <c r="EG40489"/>
      <c r="EH40489"/>
      <c r="EI40489"/>
      <c r="EJ40489"/>
      <c r="EK40489"/>
    </row>
    <row r="40490" spans="1:141" s="116" customFormat="1">
      <c r="A40490" s="136"/>
      <c r="CM40490" s="111"/>
      <c r="CQ40490" s="111"/>
      <c r="EF40490"/>
      <c r="EG40490"/>
      <c r="EH40490"/>
      <c r="EI40490"/>
      <c r="EJ40490"/>
      <c r="EK40490"/>
    </row>
    <row r="40491" spans="1:141" s="116" customFormat="1">
      <c r="A40491" s="136"/>
      <c r="CM40491" s="111"/>
      <c r="CQ40491" s="111"/>
      <c r="EF40491"/>
      <c r="EG40491"/>
      <c r="EH40491"/>
      <c r="EI40491"/>
      <c r="EJ40491"/>
      <c r="EK40491"/>
    </row>
    <row r="40492" spans="1:141" s="116" customFormat="1">
      <c r="A40492" s="136"/>
      <c r="CM40492" s="111"/>
      <c r="CQ40492" s="111"/>
      <c r="EF40492"/>
      <c r="EG40492"/>
      <c r="EH40492"/>
      <c r="EI40492"/>
      <c r="EJ40492"/>
      <c r="EK40492"/>
    </row>
    <row r="40493" spans="1:141" s="116" customFormat="1">
      <c r="A40493" s="136"/>
      <c r="CM40493" s="111"/>
      <c r="CQ40493" s="111"/>
      <c r="EF40493"/>
      <c r="EG40493"/>
      <c r="EH40493"/>
      <c r="EI40493"/>
      <c r="EJ40493"/>
      <c r="EK40493"/>
    </row>
    <row r="40494" spans="1:141" s="116" customFormat="1">
      <c r="A40494" s="136"/>
      <c r="CM40494" s="111"/>
      <c r="CQ40494" s="111"/>
      <c r="EF40494"/>
      <c r="EG40494"/>
      <c r="EH40494"/>
      <c r="EI40494"/>
      <c r="EJ40494"/>
      <c r="EK40494"/>
    </row>
    <row r="40495" spans="1:141" s="116" customFormat="1">
      <c r="A40495" s="136"/>
      <c r="CM40495" s="111"/>
      <c r="CQ40495" s="111"/>
      <c r="EF40495"/>
      <c r="EG40495"/>
      <c r="EH40495"/>
      <c r="EI40495"/>
      <c r="EJ40495"/>
      <c r="EK40495"/>
    </row>
    <row r="40496" spans="1:141" s="116" customFormat="1">
      <c r="A40496" s="136"/>
      <c r="CM40496" s="111"/>
      <c r="CQ40496" s="111"/>
      <c r="EF40496"/>
      <c r="EG40496"/>
      <c r="EH40496"/>
      <c r="EI40496"/>
      <c r="EJ40496"/>
      <c r="EK40496"/>
    </row>
    <row r="40497" spans="1:141" s="116" customFormat="1">
      <c r="A40497" s="136"/>
      <c r="CM40497" s="111"/>
      <c r="CQ40497" s="111"/>
      <c r="EF40497"/>
      <c r="EG40497"/>
      <c r="EH40497"/>
      <c r="EI40497"/>
      <c r="EJ40497"/>
      <c r="EK40497"/>
    </row>
    <row r="40498" spans="1:141" s="116" customFormat="1">
      <c r="A40498" s="136"/>
      <c r="CM40498" s="111"/>
      <c r="CQ40498" s="111"/>
      <c r="EF40498"/>
      <c r="EG40498"/>
      <c r="EH40498"/>
      <c r="EI40498"/>
      <c r="EJ40498"/>
      <c r="EK40498"/>
    </row>
    <row r="40499" spans="1:141" s="116" customFormat="1">
      <c r="A40499" s="136"/>
      <c r="CM40499" s="111"/>
      <c r="CQ40499" s="111"/>
      <c r="EF40499"/>
      <c r="EG40499"/>
      <c r="EH40499"/>
      <c r="EI40499"/>
      <c r="EJ40499"/>
      <c r="EK40499"/>
    </row>
    <row r="40500" spans="1:141" s="116" customFormat="1">
      <c r="A40500" s="136"/>
      <c r="CM40500" s="111"/>
      <c r="CQ40500" s="111"/>
      <c r="EF40500"/>
      <c r="EG40500"/>
      <c r="EH40500"/>
      <c r="EI40500"/>
      <c r="EJ40500"/>
      <c r="EK40500"/>
    </row>
    <row r="40501" spans="1:141" s="116" customFormat="1">
      <c r="A40501" s="136"/>
      <c r="CM40501" s="111"/>
      <c r="CQ40501" s="111"/>
      <c r="EF40501"/>
      <c r="EG40501"/>
      <c r="EH40501"/>
      <c r="EI40501"/>
      <c r="EJ40501"/>
      <c r="EK40501"/>
    </row>
    <row r="40502" spans="1:141" s="116" customFormat="1">
      <c r="A40502" s="136"/>
      <c r="CM40502" s="111"/>
      <c r="CQ40502" s="111"/>
      <c r="EF40502"/>
      <c r="EG40502"/>
      <c r="EH40502"/>
      <c r="EI40502"/>
      <c r="EJ40502"/>
      <c r="EK40502"/>
    </row>
    <row r="40503" spans="1:141" s="116" customFormat="1">
      <c r="A40503" s="136"/>
      <c r="CM40503" s="111"/>
      <c r="CQ40503" s="111"/>
      <c r="EF40503"/>
      <c r="EG40503"/>
      <c r="EH40503"/>
      <c r="EI40503"/>
      <c r="EJ40503"/>
      <c r="EK40503"/>
    </row>
    <row r="40504" spans="1:141" s="116" customFormat="1">
      <c r="A40504" s="136"/>
      <c r="CM40504" s="111"/>
      <c r="CQ40504" s="111"/>
      <c r="EF40504"/>
      <c r="EG40504"/>
      <c r="EH40504"/>
      <c r="EI40504"/>
      <c r="EJ40504"/>
      <c r="EK40504"/>
    </row>
    <row r="40505" spans="1:141" s="116" customFormat="1">
      <c r="A40505" s="136"/>
      <c r="CM40505" s="111"/>
      <c r="CQ40505" s="111"/>
      <c r="EF40505"/>
      <c r="EG40505"/>
      <c r="EH40505"/>
      <c r="EI40505"/>
      <c r="EJ40505"/>
      <c r="EK40505"/>
    </row>
    <row r="40506" spans="1:141" s="116" customFormat="1">
      <c r="A40506" s="136"/>
      <c r="CM40506" s="111"/>
      <c r="CQ40506" s="111"/>
      <c r="EF40506"/>
      <c r="EG40506"/>
      <c r="EH40506"/>
      <c r="EI40506"/>
      <c r="EJ40506"/>
      <c r="EK40506"/>
    </row>
    <row r="40507" spans="1:141" s="116" customFormat="1">
      <c r="A40507" s="136"/>
      <c r="CM40507" s="111"/>
      <c r="CQ40507" s="111"/>
      <c r="EF40507"/>
      <c r="EG40507"/>
      <c r="EH40507"/>
      <c r="EI40507"/>
      <c r="EJ40507"/>
      <c r="EK40507"/>
    </row>
    <row r="40508" spans="1:141" s="116" customFormat="1">
      <c r="A40508" s="136"/>
      <c r="CM40508" s="111"/>
      <c r="CQ40508" s="111"/>
      <c r="EF40508"/>
      <c r="EG40508"/>
      <c r="EH40508"/>
      <c r="EI40508"/>
      <c r="EJ40508"/>
      <c r="EK40508"/>
    </row>
    <row r="40509" spans="1:141" s="116" customFormat="1">
      <c r="A40509" s="136"/>
      <c r="CM40509" s="111"/>
      <c r="CQ40509" s="111"/>
      <c r="EF40509"/>
      <c r="EG40509"/>
      <c r="EH40509"/>
      <c r="EI40509"/>
      <c r="EJ40509"/>
      <c r="EK40509"/>
    </row>
    <row r="40510" spans="1:141" s="116" customFormat="1">
      <c r="A40510" s="136"/>
      <c r="CM40510" s="111"/>
      <c r="CQ40510" s="111"/>
      <c r="EF40510"/>
      <c r="EG40510"/>
      <c r="EH40510"/>
      <c r="EI40510"/>
      <c r="EJ40510"/>
      <c r="EK40510"/>
    </row>
    <row r="40511" spans="1:141" s="116" customFormat="1">
      <c r="A40511" s="136"/>
      <c r="CM40511" s="111"/>
      <c r="CQ40511" s="111"/>
      <c r="EF40511"/>
      <c r="EG40511"/>
      <c r="EH40511"/>
      <c r="EI40511"/>
      <c r="EJ40511"/>
      <c r="EK40511"/>
    </row>
    <row r="40512" spans="1:141" s="116" customFormat="1">
      <c r="A40512" s="136"/>
      <c r="CM40512" s="111"/>
      <c r="CQ40512" s="111"/>
      <c r="EF40512"/>
      <c r="EG40512"/>
      <c r="EH40512"/>
      <c r="EI40512"/>
      <c r="EJ40512"/>
      <c r="EK40512"/>
    </row>
    <row r="40513" spans="1:141" s="116" customFormat="1">
      <c r="A40513" s="136"/>
      <c r="CM40513" s="111"/>
      <c r="CQ40513" s="111"/>
      <c r="EF40513"/>
      <c r="EG40513"/>
      <c r="EH40513"/>
      <c r="EI40513"/>
      <c r="EJ40513"/>
      <c r="EK40513"/>
    </row>
    <row r="40514" spans="1:141" s="116" customFormat="1">
      <c r="A40514" s="136"/>
      <c r="CM40514" s="111"/>
      <c r="CQ40514" s="111"/>
      <c r="EF40514"/>
      <c r="EG40514"/>
      <c r="EH40514"/>
      <c r="EI40514"/>
      <c r="EJ40514"/>
      <c r="EK40514"/>
    </row>
    <row r="40515" spans="1:141" s="116" customFormat="1">
      <c r="A40515" s="136"/>
      <c r="CM40515" s="111"/>
      <c r="CQ40515" s="111"/>
      <c r="EF40515"/>
      <c r="EG40515"/>
      <c r="EH40515"/>
      <c r="EI40515"/>
      <c r="EJ40515"/>
      <c r="EK40515"/>
    </row>
    <row r="40516" spans="1:141" s="116" customFormat="1">
      <c r="A40516" s="136"/>
      <c r="CM40516" s="111"/>
      <c r="CQ40516" s="111"/>
      <c r="EF40516"/>
      <c r="EG40516"/>
      <c r="EH40516"/>
      <c r="EI40516"/>
      <c r="EJ40516"/>
      <c r="EK40516"/>
    </row>
    <row r="40517" spans="1:141" s="116" customFormat="1">
      <c r="A40517" s="136"/>
      <c r="CM40517" s="111"/>
      <c r="CQ40517" s="111"/>
      <c r="EF40517"/>
      <c r="EG40517"/>
      <c r="EH40517"/>
      <c r="EI40517"/>
      <c r="EJ40517"/>
      <c r="EK40517"/>
    </row>
    <row r="40518" spans="1:141" s="116" customFormat="1">
      <c r="A40518" s="136"/>
      <c r="CM40518" s="111"/>
      <c r="CQ40518" s="111"/>
      <c r="EF40518"/>
      <c r="EG40518"/>
      <c r="EH40518"/>
      <c r="EI40518"/>
      <c r="EJ40518"/>
      <c r="EK40518"/>
    </row>
    <row r="40519" spans="1:141" s="116" customFormat="1">
      <c r="A40519" s="136"/>
      <c r="CM40519" s="111"/>
      <c r="CQ40519" s="111"/>
      <c r="EF40519"/>
      <c r="EG40519"/>
      <c r="EH40519"/>
      <c r="EI40519"/>
      <c r="EJ40519"/>
      <c r="EK40519"/>
    </row>
    <row r="40520" spans="1:141" s="116" customFormat="1">
      <c r="A40520" s="136"/>
      <c r="CM40520" s="111"/>
      <c r="CQ40520" s="111"/>
      <c r="EF40520"/>
      <c r="EG40520"/>
      <c r="EH40520"/>
      <c r="EI40520"/>
      <c r="EJ40520"/>
      <c r="EK40520"/>
    </row>
    <row r="40521" spans="1:141" s="116" customFormat="1">
      <c r="A40521" s="136"/>
      <c r="CM40521" s="111"/>
      <c r="CQ40521" s="111"/>
      <c r="EF40521"/>
      <c r="EG40521"/>
      <c r="EH40521"/>
      <c r="EI40521"/>
      <c r="EJ40521"/>
      <c r="EK40521"/>
    </row>
    <row r="40522" spans="1:141" s="116" customFormat="1">
      <c r="A40522" s="136"/>
      <c r="CM40522" s="111"/>
      <c r="CQ40522" s="111"/>
      <c r="EF40522"/>
      <c r="EG40522"/>
      <c r="EH40522"/>
      <c r="EI40522"/>
      <c r="EJ40522"/>
      <c r="EK40522"/>
    </row>
    <row r="40523" spans="1:141" s="116" customFormat="1">
      <c r="A40523" s="136"/>
      <c r="CM40523" s="111"/>
      <c r="CQ40523" s="111"/>
      <c r="EF40523"/>
      <c r="EG40523"/>
      <c r="EH40523"/>
      <c r="EI40523"/>
      <c r="EJ40523"/>
      <c r="EK40523"/>
    </row>
    <row r="40524" spans="1:141" s="116" customFormat="1">
      <c r="A40524" s="136"/>
      <c r="CM40524" s="111"/>
      <c r="CQ40524" s="111"/>
      <c r="EF40524"/>
      <c r="EG40524"/>
      <c r="EH40524"/>
      <c r="EI40524"/>
      <c r="EJ40524"/>
      <c r="EK40524"/>
    </row>
    <row r="40525" spans="1:141" s="116" customFormat="1">
      <c r="A40525" s="136"/>
      <c r="CM40525" s="111"/>
      <c r="CQ40525" s="111"/>
      <c r="EF40525"/>
      <c r="EG40525"/>
      <c r="EH40525"/>
      <c r="EI40525"/>
      <c r="EJ40525"/>
      <c r="EK40525"/>
    </row>
    <row r="40526" spans="1:141" s="116" customFormat="1">
      <c r="A40526" s="136"/>
      <c r="CM40526" s="111"/>
      <c r="CQ40526" s="111"/>
      <c r="EF40526"/>
      <c r="EG40526"/>
      <c r="EH40526"/>
      <c r="EI40526"/>
      <c r="EJ40526"/>
      <c r="EK40526"/>
    </row>
    <row r="40527" spans="1:141" s="116" customFormat="1">
      <c r="A40527" s="136"/>
      <c r="CM40527" s="111"/>
      <c r="CQ40527" s="111"/>
      <c r="EF40527"/>
      <c r="EG40527"/>
      <c r="EH40527"/>
      <c r="EI40527"/>
      <c r="EJ40527"/>
      <c r="EK40527"/>
    </row>
    <row r="40528" spans="1:141" s="116" customFormat="1">
      <c r="A40528" s="136"/>
      <c r="CM40528" s="111"/>
      <c r="CQ40528" s="111"/>
      <c r="EF40528"/>
      <c r="EG40528"/>
      <c r="EH40528"/>
      <c r="EI40528"/>
      <c r="EJ40528"/>
      <c r="EK40528"/>
    </row>
    <row r="40529" spans="1:141" s="116" customFormat="1">
      <c r="A40529" s="136"/>
      <c r="CM40529" s="111"/>
      <c r="CQ40529" s="111"/>
      <c r="EF40529"/>
      <c r="EG40529"/>
      <c r="EH40529"/>
      <c r="EI40529"/>
      <c r="EJ40529"/>
      <c r="EK40529"/>
    </row>
    <row r="40530" spans="1:141" s="116" customFormat="1">
      <c r="A40530" s="136"/>
      <c r="CM40530" s="111"/>
      <c r="CQ40530" s="111"/>
      <c r="EF40530"/>
      <c r="EG40530"/>
      <c r="EH40530"/>
      <c r="EI40530"/>
      <c r="EJ40530"/>
      <c r="EK40530"/>
    </row>
    <row r="40531" spans="1:141" s="116" customFormat="1">
      <c r="A40531" s="136"/>
      <c r="CM40531" s="111"/>
      <c r="CQ40531" s="111"/>
      <c r="EF40531"/>
      <c r="EG40531"/>
      <c r="EH40531"/>
      <c r="EI40531"/>
      <c r="EJ40531"/>
      <c r="EK40531"/>
    </row>
    <row r="40532" spans="1:141" s="116" customFormat="1">
      <c r="A40532" s="136"/>
      <c r="CM40532" s="111"/>
      <c r="CQ40532" s="111"/>
      <c r="EF40532"/>
      <c r="EG40532"/>
      <c r="EH40532"/>
      <c r="EI40532"/>
      <c r="EJ40532"/>
      <c r="EK40532"/>
    </row>
    <row r="40533" spans="1:141" s="116" customFormat="1">
      <c r="A40533" s="136"/>
      <c r="CM40533" s="111"/>
      <c r="CQ40533" s="111"/>
      <c r="EF40533"/>
      <c r="EG40533"/>
      <c r="EH40533"/>
      <c r="EI40533"/>
      <c r="EJ40533"/>
      <c r="EK40533"/>
    </row>
    <row r="40534" spans="1:141" s="116" customFormat="1">
      <c r="A40534" s="136"/>
      <c r="CM40534" s="111"/>
      <c r="CQ40534" s="111"/>
      <c r="EF40534"/>
      <c r="EG40534"/>
      <c r="EH40534"/>
      <c r="EI40534"/>
      <c r="EJ40534"/>
      <c r="EK40534"/>
    </row>
    <row r="40535" spans="1:141" s="116" customFormat="1">
      <c r="A40535" s="136"/>
      <c r="CM40535" s="111"/>
      <c r="CQ40535" s="111"/>
      <c r="EF40535"/>
      <c r="EG40535"/>
      <c r="EH40535"/>
      <c r="EI40535"/>
      <c r="EJ40535"/>
      <c r="EK40535"/>
    </row>
    <row r="40536" spans="1:141" s="116" customFormat="1">
      <c r="A40536" s="136"/>
      <c r="CM40536" s="111"/>
      <c r="CQ40536" s="111"/>
      <c r="EF40536"/>
      <c r="EG40536"/>
      <c r="EH40536"/>
      <c r="EI40536"/>
      <c r="EJ40536"/>
      <c r="EK40536"/>
    </row>
    <row r="40537" spans="1:141" s="116" customFormat="1">
      <c r="A40537" s="136"/>
      <c r="CM40537" s="111"/>
      <c r="CQ40537" s="111"/>
      <c r="EF40537"/>
      <c r="EG40537"/>
      <c r="EH40537"/>
      <c r="EI40537"/>
      <c r="EJ40537"/>
      <c r="EK40537"/>
    </row>
    <row r="40538" spans="1:141" s="116" customFormat="1">
      <c r="A40538" s="136"/>
      <c r="CM40538" s="111"/>
      <c r="CQ40538" s="111"/>
      <c r="EF40538"/>
      <c r="EG40538"/>
      <c r="EH40538"/>
      <c r="EI40538"/>
      <c r="EJ40538"/>
      <c r="EK40538"/>
    </row>
    <row r="40539" spans="1:141" s="116" customFormat="1">
      <c r="A40539" s="136"/>
      <c r="CM40539" s="111"/>
      <c r="CQ40539" s="111"/>
      <c r="EF40539"/>
      <c r="EG40539"/>
      <c r="EH40539"/>
      <c r="EI40539"/>
      <c r="EJ40539"/>
      <c r="EK40539"/>
    </row>
    <row r="40540" spans="1:141" s="116" customFormat="1">
      <c r="A40540" s="136"/>
      <c r="CM40540" s="111"/>
      <c r="CQ40540" s="111"/>
      <c r="EF40540"/>
      <c r="EG40540"/>
      <c r="EH40540"/>
      <c r="EI40540"/>
      <c r="EJ40540"/>
      <c r="EK40540"/>
    </row>
    <row r="40541" spans="1:141" s="116" customFormat="1">
      <c r="A40541" s="136"/>
      <c r="CM40541" s="111"/>
      <c r="CQ40541" s="111"/>
      <c r="EF40541"/>
      <c r="EG40541"/>
      <c r="EH40541"/>
      <c r="EI40541"/>
      <c r="EJ40541"/>
      <c r="EK40541"/>
    </row>
    <row r="40542" spans="1:141" s="116" customFormat="1">
      <c r="A40542" s="136"/>
      <c r="CM40542" s="111"/>
      <c r="CQ40542" s="111"/>
      <c r="EF40542"/>
      <c r="EG40542"/>
      <c r="EH40542"/>
      <c r="EI40542"/>
      <c r="EJ40542"/>
      <c r="EK40542"/>
    </row>
    <row r="40543" spans="1:141" s="116" customFormat="1">
      <c r="A40543" s="136"/>
      <c r="CM40543" s="111"/>
      <c r="CQ40543" s="111"/>
      <c r="EF40543"/>
      <c r="EG40543"/>
      <c r="EH40543"/>
      <c r="EI40543"/>
      <c r="EJ40543"/>
      <c r="EK40543"/>
    </row>
    <row r="40544" spans="1:141" s="116" customFormat="1">
      <c r="A40544" s="136"/>
      <c r="CM40544" s="111"/>
      <c r="CQ40544" s="111"/>
      <c r="EF40544"/>
      <c r="EG40544"/>
      <c r="EH40544"/>
      <c r="EI40544"/>
      <c r="EJ40544"/>
      <c r="EK40544"/>
    </row>
    <row r="40545" spans="1:141" s="116" customFormat="1">
      <c r="A40545" s="136"/>
      <c r="CM40545" s="111"/>
      <c r="CQ40545" s="111"/>
      <c r="EF40545"/>
      <c r="EG40545"/>
      <c r="EH40545"/>
      <c r="EI40545"/>
      <c r="EJ40545"/>
      <c r="EK40545"/>
    </row>
    <row r="40546" spans="1:141" s="116" customFormat="1">
      <c r="A40546" s="136"/>
      <c r="CM40546" s="111"/>
      <c r="CQ40546" s="111"/>
      <c r="EF40546"/>
      <c r="EG40546"/>
      <c r="EH40546"/>
      <c r="EI40546"/>
      <c r="EJ40546"/>
      <c r="EK40546"/>
    </row>
    <row r="40547" spans="1:141" s="116" customFormat="1">
      <c r="A40547" s="136"/>
      <c r="CM40547" s="111"/>
      <c r="CQ40547" s="111"/>
      <c r="EF40547"/>
      <c r="EG40547"/>
      <c r="EH40547"/>
      <c r="EI40547"/>
      <c r="EJ40547"/>
      <c r="EK40547"/>
    </row>
    <row r="40548" spans="1:141" s="116" customFormat="1">
      <c r="A40548" s="136"/>
      <c r="CM40548" s="111"/>
      <c r="CQ40548" s="111"/>
      <c r="EF40548"/>
      <c r="EG40548"/>
      <c r="EH40548"/>
      <c r="EI40548"/>
      <c r="EJ40548"/>
      <c r="EK40548"/>
    </row>
    <row r="40549" spans="1:141" s="116" customFormat="1">
      <c r="A40549" s="136"/>
      <c r="CM40549" s="111"/>
      <c r="CQ40549" s="111"/>
      <c r="EF40549"/>
      <c r="EG40549"/>
      <c r="EH40549"/>
      <c r="EI40549"/>
      <c r="EJ40549"/>
      <c r="EK40549"/>
    </row>
    <row r="40550" spans="1:141" s="116" customFormat="1">
      <c r="A40550" s="136"/>
      <c r="CM40550" s="111"/>
      <c r="CQ40550" s="111"/>
      <c r="EF40550"/>
      <c r="EG40550"/>
      <c r="EH40550"/>
      <c r="EI40550"/>
      <c r="EJ40550"/>
      <c r="EK40550"/>
    </row>
    <row r="40551" spans="1:141" s="116" customFormat="1">
      <c r="A40551" s="136"/>
      <c r="CM40551" s="111"/>
      <c r="CQ40551" s="111"/>
      <c r="EF40551"/>
      <c r="EG40551"/>
      <c r="EH40551"/>
      <c r="EI40551"/>
      <c r="EJ40551"/>
      <c r="EK40551"/>
    </row>
    <row r="40552" spans="1:141" s="116" customFormat="1">
      <c r="A40552" s="136"/>
      <c r="CM40552" s="111"/>
      <c r="CQ40552" s="111"/>
      <c r="EF40552"/>
      <c r="EG40552"/>
      <c r="EH40552"/>
      <c r="EI40552"/>
      <c r="EJ40552"/>
      <c r="EK40552"/>
    </row>
    <row r="40553" spans="1:141" s="116" customFormat="1">
      <c r="A40553" s="136"/>
      <c r="CM40553" s="111"/>
      <c r="CQ40553" s="111"/>
      <c r="EF40553"/>
      <c r="EG40553"/>
      <c r="EH40553"/>
      <c r="EI40553"/>
      <c r="EJ40553"/>
      <c r="EK40553"/>
    </row>
    <row r="40554" spans="1:141" s="116" customFormat="1">
      <c r="A40554" s="136"/>
      <c r="CM40554" s="111"/>
      <c r="CQ40554" s="111"/>
      <c r="EF40554"/>
      <c r="EG40554"/>
      <c r="EH40554"/>
      <c r="EI40554"/>
      <c r="EJ40554"/>
      <c r="EK40554"/>
    </row>
    <row r="40555" spans="1:141" s="116" customFormat="1">
      <c r="A40555" s="136"/>
      <c r="CM40555" s="111"/>
      <c r="CQ40555" s="111"/>
      <c r="EF40555"/>
      <c r="EG40555"/>
      <c r="EH40555"/>
      <c r="EI40555"/>
      <c r="EJ40555"/>
      <c r="EK40555"/>
    </row>
    <row r="40556" spans="1:141" s="116" customFormat="1">
      <c r="A40556" s="136"/>
      <c r="CM40556" s="111"/>
      <c r="CQ40556" s="111"/>
      <c r="EF40556"/>
      <c r="EG40556"/>
      <c r="EH40556"/>
      <c r="EI40556"/>
      <c r="EJ40556"/>
      <c r="EK40556"/>
    </row>
    <row r="40557" spans="1:141" s="116" customFormat="1">
      <c r="A40557" s="136"/>
      <c r="CM40557" s="111"/>
      <c r="CQ40557" s="111"/>
      <c r="EF40557"/>
      <c r="EG40557"/>
      <c r="EH40557"/>
      <c r="EI40557"/>
      <c r="EJ40557"/>
      <c r="EK40557"/>
    </row>
    <row r="40558" spans="1:141" s="116" customFormat="1">
      <c r="A40558" s="136"/>
      <c r="CM40558" s="111"/>
      <c r="CQ40558" s="111"/>
      <c r="EF40558"/>
      <c r="EG40558"/>
      <c r="EH40558"/>
      <c r="EI40558"/>
      <c r="EJ40558"/>
      <c r="EK40558"/>
    </row>
    <row r="40559" spans="1:141" s="116" customFormat="1">
      <c r="A40559" s="136"/>
      <c r="CM40559" s="111"/>
      <c r="CQ40559" s="111"/>
      <c r="EF40559"/>
      <c r="EG40559"/>
      <c r="EH40559"/>
      <c r="EI40559"/>
      <c r="EJ40559"/>
      <c r="EK40559"/>
    </row>
    <row r="40560" spans="1:141" s="116" customFormat="1">
      <c r="A40560" s="136"/>
      <c r="CM40560" s="111"/>
      <c r="CQ40560" s="111"/>
      <c r="EF40560"/>
      <c r="EG40560"/>
      <c r="EH40560"/>
      <c r="EI40560"/>
      <c r="EJ40560"/>
      <c r="EK40560"/>
    </row>
    <row r="40561" spans="1:141" s="116" customFormat="1">
      <c r="A40561" s="136"/>
      <c r="CM40561" s="111"/>
      <c r="CQ40561" s="111"/>
      <c r="EF40561"/>
      <c r="EG40561"/>
      <c r="EH40561"/>
      <c r="EI40561"/>
      <c r="EJ40561"/>
      <c r="EK40561"/>
    </row>
    <row r="40562" spans="1:141" s="116" customFormat="1">
      <c r="A40562" s="136"/>
      <c r="CM40562" s="111"/>
      <c r="CQ40562" s="111"/>
      <c r="EF40562"/>
      <c r="EG40562"/>
      <c r="EH40562"/>
      <c r="EI40562"/>
      <c r="EJ40562"/>
      <c r="EK40562"/>
    </row>
    <row r="40563" spans="1:141" s="116" customFormat="1">
      <c r="A40563" s="136"/>
      <c r="CM40563" s="111"/>
      <c r="CQ40563" s="111"/>
      <c r="EF40563"/>
      <c r="EG40563"/>
      <c r="EH40563"/>
      <c r="EI40563"/>
      <c r="EJ40563"/>
      <c r="EK40563"/>
    </row>
    <row r="40564" spans="1:141" s="116" customFormat="1">
      <c r="A40564" s="136"/>
      <c r="CM40564" s="111"/>
      <c r="CQ40564" s="111"/>
      <c r="EF40564"/>
      <c r="EG40564"/>
      <c r="EH40564"/>
      <c r="EI40564"/>
      <c r="EJ40564"/>
      <c r="EK40564"/>
    </row>
    <row r="40565" spans="1:141" s="116" customFormat="1">
      <c r="A40565" s="136"/>
      <c r="CM40565" s="111"/>
      <c r="CQ40565" s="111"/>
      <c r="EF40565"/>
      <c r="EG40565"/>
      <c r="EH40565"/>
      <c r="EI40565"/>
      <c r="EJ40565"/>
      <c r="EK40565"/>
    </row>
    <row r="40566" spans="1:141" s="116" customFormat="1">
      <c r="A40566" s="136"/>
      <c r="CM40566" s="111"/>
      <c r="CQ40566" s="111"/>
      <c r="EF40566"/>
      <c r="EG40566"/>
      <c r="EH40566"/>
      <c r="EI40566"/>
      <c r="EJ40566"/>
      <c r="EK40566"/>
    </row>
    <row r="40567" spans="1:141" s="116" customFormat="1">
      <c r="A40567" s="136"/>
      <c r="CM40567" s="111"/>
      <c r="CQ40567" s="111"/>
      <c r="EF40567"/>
      <c r="EG40567"/>
      <c r="EH40567"/>
      <c r="EI40567"/>
      <c r="EJ40567"/>
      <c r="EK40567"/>
    </row>
    <row r="40568" spans="1:141" s="116" customFormat="1">
      <c r="A40568" s="136"/>
      <c r="CM40568" s="111"/>
      <c r="CQ40568" s="111"/>
      <c r="EF40568"/>
      <c r="EG40568"/>
      <c r="EH40568"/>
      <c r="EI40568"/>
      <c r="EJ40568"/>
      <c r="EK40568"/>
    </row>
    <row r="40569" spans="1:141" s="116" customFormat="1">
      <c r="A40569" s="136"/>
      <c r="CM40569" s="111"/>
      <c r="CQ40569" s="111"/>
      <c r="EF40569"/>
      <c r="EG40569"/>
      <c r="EH40569"/>
      <c r="EI40569"/>
      <c r="EJ40569"/>
      <c r="EK40569"/>
    </row>
    <row r="40570" spans="1:141" s="116" customFormat="1">
      <c r="A40570" s="136"/>
      <c r="CM40570" s="111"/>
      <c r="CQ40570" s="111"/>
      <c r="EF40570"/>
      <c r="EG40570"/>
      <c r="EH40570"/>
      <c r="EI40570"/>
      <c r="EJ40570"/>
      <c r="EK40570"/>
    </row>
    <row r="40571" spans="1:141" s="116" customFormat="1">
      <c r="A40571" s="136"/>
      <c r="CM40571" s="111"/>
      <c r="CQ40571" s="111"/>
      <c r="EF40571"/>
      <c r="EG40571"/>
      <c r="EH40571"/>
      <c r="EI40571"/>
      <c r="EJ40571"/>
      <c r="EK40571"/>
    </row>
    <row r="40572" spans="1:141" s="116" customFormat="1">
      <c r="A40572" s="136"/>
      <c r="CM40572" s="111"/>
      <c r="CQ40572" s="111"/>
      <c r="EF40572"/>
      <c r="EG40572"/>
      <c r="EH40572"/>
      <c r="EI40572"/>
      <c r="EJ40572"/>
      <c r="EK40572"/>
    </row>
    <row r="40573" spans="1:141" s="116" customFormat="1">
      <c r="A40573" s="136"/>
      <c r="CM40573" s="111"/>
      <c r="CQ40573" s="111"/>
      <c r="EF40573"/>
      <c r="EG40573"/>
      <c r="EH40573"/>
      <c r="EI40573"/>
      <c r="EJ40573"/>
      <c r="EK40573"/>
    </row>
    <row r="40574" spans="1:141" s="116" customFormat="1">
      <c r="A40574" s="136"/>
      <c r="CM40574" s="111"/>
      <c r="CQ40574" s="111"/>
      <c r="EF40574"/>
      <c r="EG40574"/>
      <c r="EH40574"/>
      <c r="EI40574"/>
      <c r="EJ40574"/>
      <c r="EK40574"/>
    </row>
    <row r="40575" spans="1:141" s="116" customFormat="1">
      <c r="A40575" s="136"/>
      <c r="CM40575" s="111"/>
      <c r="CQ40575" s="111"/>
      <c r="EF40575"/>
      <c r="EG40575"/>
      <c r="EH40575"/>
      <c r="EI40575"/>
      <c r="EJ40575"/>
      <c r="EK40575"/>
    </row>
    <row r="40576" spans="1:141" s="116" customFormat="1">
      <c r="A40576" s="136"/>
      <c r="CM40576" s="111"/>
      <c r="CQ40576" s="111"/>
      <c r="EF40576"/>
      <c r="EG40576"/>
      <c r="EH40576"/>
      <c r="EI40576"/>
      <c r="EJ40576"/>
      <c r="EK40576"/>
    </row>
    <row r="40577" spans="1:141" s="116" customFormat="1">
      <c r="A40577" s="136"/>
      <c r="CM40577" s="111"/>
      <c r="CQ40577" s="111"/>
      <c r="EF40577"/>
      <c r="EG40577"/>
      <c r="EH40577"/>
      <c r="EI40577"/>
      <c r="EJ40577"/>
      <c r="EK40577"/>
    </row>
    <row r="40578" spans="1:141" s="116" customFormat="1">
      <c r="A40578" s="136"/>
      <c r="CM40578" s="111"/>
      <c r="CQ40578" s="111"/>
      <c r="EF40578"/>
      <c r="EG40578"/>
      <c r="EH40578"/>
      <c r="EI40578"/>
      <c r="EJ40578"/>
      <c r="EK40578"/>
    </row>
    <row r="40579" spans="1:141" s="116" customFormat="1">
      <c r="A40579" s="136"/>
      <c r="CM40579" s="111"/>
      <c r="CQ40579" s="111"/>
      <c r="EF40579"/>
      <c r="EG40579"/>
      <c r="EH40579"/>
      <c r="EI40579"/>
      <c r="EJ40579"/>
      <c r="EK40579"/>
    </row>
    <row r="40580" spans="1:141" s="116" customFormat="1">
      <c r="A40580" s="136"/>
      <c r="CM40580" s="111"/>
      <c r="CQ40580" s="111"/>
      <c r="EF40580"/>
      <c r="EG40580"/>
      <c r="EH40580"/>
      <c r="EI40580"/>
      <c r="EJ40580"/>
      <c r="EK40580"/>
    </row>
    <row r="40581" spans="1:141" s="116" customFormat="1">
      <c r="A40581" s="136"/>
      <c r="CM40581" s="111"/>
      <c r="CQ40581" s="111"/>
      <c r="EF40581"/>
      <c r="EG40581"/>
      <c r="EH40581"/>
      <c r="EI40581"/>
      <c r="EJ40581"/>
      <c r="EK40581"/>
    </row>
    <row r="40582" spans="1:141" s="116" customFormat="1">
      <c r="A40582" s="136"/>
      <c r="CM40582" s="111"/>
      <c r="CQ40582" s="111"/>
      <c r="EF40582"/>
      <c r="EG40582"/>
      <c r="EH40582"/>
      <c r="EI40582"/>
      <c r="EJ40582"/>
      <c r="EK40582"/>
    </row>
    <row r="40583" spans="1:141" s="116" customFormat="1">
      <c r="A40583" s="136"/>
      <c r="CM40583" s="111"/>
      <c r="CQ40583" s="111"/>
      <c r="EF40583"/>
      <c r="EG40583"/>
      <c r="EH40583"/>
      <c r="EI40583"/>
      <c r="EJ40583"/>
      <c r="EK40583"/>
    </row>
    <row r="40584" spans="1:141" s="116" customFormat="1">
      <c r="A40584" s="136"/>
      <c r="CM40584" s="111"/>
      <c r="CQ40584" s="111"/>
      <c r="EF40584"/>
      <c r="EG40584"/>
      <c r="EH40584"/>
      <c r="EI40584"/>
      <c r="EJ40584"/>
      <c r="EK40584"/>
    </row>
    <row r="40585" spans="1:141" s="116" customFormat="1">
      <c r="A40585" s="136"/>
      <c r="CM40585" s="111"/>
      <c r="CQ40585" s="111"/>
      <c r="EF40585"/>
      <c r="EG40585"/>
      <c r="EH40585"/>
      <c r="EI40585"/>
      <c r="EJ40585"/>
      <c r="EK40585"/>
    </row>
    <row r="40586" spans="1:141" s="116" customFormat="1">
      <c r="A40586" s="136"/>
      <c r="CM40586" s="111"/>
      <c r="CQ40586" s="111"/>
      <c r="EF40586"/>
      <c r="EG40586"/>
      <c r="EH40586"/>
      <c r="EI40586"/>
      <c r="EJ40586"/>
      <c r="EK40586"/>
    </row>
    <row r="40587" spans="1:141" s="116" customFormat="1">
      <c r="A40587" s="136"/>
      <c r="CM40587" s="111"/>
      <c r="CQ40587" s="111"/>
      <c r="EF40587"/>
      <c r="EG40587"/>
      <c r="EH40587"/>
      <c r="EI40587"/>
      <c r="EJ40587"/>
      <c r="EK40587"/>
    </row>
    <row r="40588" spans="1:141" s="116" customFormat="1">
      <c r="A40588" s="136"/>
      <c r="CM40588" s="111"/>
      <c r="CQ40588" s="111"/>
      <c r="EF40588"/>
      <c r="EG40588"/>
      <c r="EH40588"/>
      <c r="EI40588"/>
      <c r="EJ40588"/>
      <c r="EK40588"/>
    </row>
    <row r="40589" spans="1:141" s="116" customFormat="1">
      <c r="A40589" s="136"/>
      <c r="CM40589" s="111"/>
      <c r="CQ40589" s="111"/>
      <c r="EF40589"/>
      <c r="EG40589"/>
      <c r="EH40589"/>
      <c r="EI40589"/>
      <c r="EJ40589"/>
      <c r="EK40589"/>
    </row>
    <row r="40590" spans="1:141" s="116" customFormat="1">
      <c r="A40590" s="136"/>
      <c r="CM40590" s="111"/>
      <c r="CQ40590" s="111"/>
      <c r="EF40590"/>
      <c r="EG40590"/>
      <c r="EH40590"/>
      <c r="EI40590"/>
      <c r="EJ40590"/>
      <c r="EK40590"/>
    </row>
    <row r="40591" spans="1:141" s="116" customFormat="1">
      <c r="A40591" s="136"/>
      <c r="CM40591" s="111"/>
      <c r="CQ40591" s="111"/>
      <c r="EF40591"/>
      <c r="EG40591"/>
      <c r="EH40591"/>
      <c r="EI40591"/>
      <c r="EJ40591"/>
      <c r="EK40591"/>
    </row>
    <row r="40592" spans="1:141" s="116" customFormat="1">
      <c r="A40592" s="136"/>
      <c r="CM40592" s="111"/>
      <c r="CQ40592" s="111"/>
      <c r="EF40592"/>
      <c r="EG40592"/>
      <c r="EH40592"/>
      <c r="EI40592"/>
      <c r="EJ40592"/>
      <c r="EK40592"/>
    </row>
    <row r="40593" spans="1:141" s="116" customFormat="1">
      <c r="A40593" s="136"/>
      <c r="CM40593" s="111"/>
      <c r="CQ40593" s="111"/>
      <c r="EF40593"/>
      <c r="EG40593"/>
      <c r="EH40593"/>
      <c r="EI40593"/>
      <c r="EJ40593"/>
      <c r="EK40593"/>
    </row>
    <row r="40594" spans="1:141" s="116" customFormat="1">
      <c r="A40594" s="136"/>
      <c r="CM40594" s="111"/>
      <c r="CQ40594" s="111"/>
      <c r="EF40594"/>
      <c r="EG40594"/>
      <c r="EH40594"/>
      <c r="EI40594"/>
      <c r="EJ40594"/>
      <c r="EK40594"/>
    </row>
    <row r="40595" spans="1:141" s="116" customFormat="1">
      <c r="A40595" s="136"/>
      <c r="CM40595" s="111"/>
      <c r="CQ40595" s="111"/>
      <c r="EF40595"/>
      <c r="EG40595"/>
      <c r="EH40595"/>
      <c r="EI40595"/>
      <c r="EJ40595"/>
      <c r="EK40595"/>
    </row>
    <row r="40596" spans="1:141" s="116" customFormat="1">
      <c r="A40596" s="136"/>
      <c r="CM40596" s="111"/>
      <c r="CQ40596" s="111"/>
      <c r="EF40596"/>
      <c r="EG40596"/>
      <c r="EH40596"/>
      <c r="EI40596"/>
      <c r="EJ40596"/>
      <c r="EK40596"/>
    </row>
    <row r="40597" spans="1:141" s="116" customFormat="1">
      <c r="A40597" s="136"/>
      <c r="CM40597" s="111"/>
      <c r="CQ40597" s="111"/>
      <c r="EF40597"/>
      <c r="EG40597"/>
      <c r="EH40597"/>
      <c r="EI40597"/>
      <c r="EJ40597"/>
      <c r="EK40597"/>
    </row>
    <row r="40598" spans="1:141" s="116" customFormat="1">
      <c r="A40598" s="136"/>
      <c r="CM40598" s="111"/>
      <c r="CQ40598" s="111"/>
      <c r="EF40598"/>
      <c r="EG40598"/>
      <c r="EH40598"/>
      <c r="EI40598"/>
      <c r="EJ40598"/>
      <c r="EK40598"/>
    </row>
    <row r="40599" spans="1:141" s="116" customFormat="1">
      <c r="A40599" s="136"/>
      <c r="CM40599" s="111"/>
      <c r="CQ40599" s="111"/>
      <c r="EF40599"/>
      <c r="EG40599"/>
      <c r="EH40599"/>
      <c r="EI40599"/>
      <c r="EJ40599"/>
      <c r="EK40599"/>
    </row>
    <row r="40600" spans="1:141" s="116" customFormat="1">
      <c r="A40600" s="136"/>
      <c r="CM40600" s="111"/>
      <c r="CQ40600" s="111"/>
      <c r="EF40600"/>
      <c r="EG40600"/>
      <c r="EH40600"/>
      <c r="EI40600"/>
      <c r="EJ40600"/>
      <c r="EK40600"/>
    </row>
    <row r="40601" spans="1:141" s="116" customFormat="1">
      <c r="A40601" s="136"/>
      <c r="CM40601" s="111"/>
      <c r="CQ40601" s="111"/>
      <c r="EF40601"/>
      <c r="EG40601"/>
      <c r="EH40601"/>
      <c r="EI40601"/>
      <c r="EJ40601"/>
      <c r="EK40601"/>
    </row>
    <row r="40602" spans="1:141" s="116" customFormat="1">
      <c r="A40602" s="136"/>
      <c r="CM40602" s="111"/>
      <c r="CQ40602" s="111"/>
      <c r="EF40602"/>
      <c r="EG40602"/>
      <c r="EH40602"/>
      <c r="EI40602"/>
      <c r="EJ40602"/>
      <c r="EK40602"/>
    </row>
    <row r="40603" spans="1:141" s="116" customFormat="1">
      <c r="A40603" s="136"/>
      <c r="CM40603" s="111"/>
      <c r="CQ40603" s="111"/>
      <c r="EF40603"/>
      <c r="EG40603"/>
      <c r="EH40603"/>
      <c r="EI40603"/>
      <c r="EJ40603"/>
      <c r="EK40603"/>
    </row>
    <row r="40604" spans="1:141" s="116" customFormat="1">
      <c r="A40604" s="136"/>
      <c r="CM40604" s="111"/>
      <c r="CQ40604" s="111"/>
      <c r="EF40604"/>
      <c r="EG40604"/>
      <c r="EH40604"/>
      <c r="EI40604"/>
      <c r="EJ40604"/>
      <c r="EK40604"/>
    </row>
    <row r="40605" spans="1:141" s="116" customFormat="1">
      <c r="A40605" s="136"/>
      <c r="CM40605" s="111"/>
      <c r="CQ40605" s="111"/>
      <c r="EF40605"/>
      <c r="EG40605"/>
      <c r="EH40605"/>
      <c r="EI40605"/>
      <c r="EJ40605"/>
      <c r="EK40605"/>
    </row>
    <row r="40606" spans="1:141" s="116" customFormat="1">
      <c r="A40606" s="136"/>
      <c r="CM40606" s="111"/>
      <c r="CQ40606" s="111"/>
      <c r="EF40606"/>
      <c r="EG40606"/>
      <c r="EH40606"/>
      <c r="EI40606"/>
      <c r="EJ40606"/>
      <c r="EK40606"/>
    </row>
    <row r="40607" spans="1:141" s="116" customFormat="1">
      <c r="A40607" s="136"/>
      <c r="CM40607" s="111"/>
      <c r="CQ40607" s="111"/>
      <c r="EF40607"/>
      <c r="EG40607"/>
      <c r="EH40607"/>
      <c r="EI40607"/>
      <c r="EJ40607"/>
      <c r="EK40607"/>
    </row>
    <row r="40608" spans="1:141" s="116" customFormat="1">
      <c r="A40608" s="136"/>
      <c r="CM40608" s="111"/>
      <c r="CQ40608" s="111"/>
      <c r="EF40608"/>
      <c r="EG40608"/>
      <c r="EH40608"/>
      <c r="EI40608"/>
      <c r="EJ40608"/>
      <c r="EK40608"/>
    </row>
    <row r="40609" spans="1:141" s="116" customFormat="1">
      <c r="A40609" s="136"/>
      <c r="CM40609" s="111"/>
      <c r="CQ40609" s="111"/>
      <c r="EF40609"/>
      <c r="EG40609"/>
      <c r="EH40609"/>
      <c r="EI40609"/>
      <c r="EJ40609"/>
      <c r="EK40609"/>
    </row>
    <row r="40610" spans="1:141" s="116" customFormat="1">
      <c r="A40610" s="136"/>
      <c r="CM40610" s="111"/>
      <c r="CQ40610" s="111"/>
      <c r="EF40610"/>
      <c r="EG40610"/>
      <c r="EH40610"/>
      <c r="EI40610"/>
      <c r="EJ40610"/>
      <c r="EK40610"/>
    </row>
    <row r="40611" spans="1:141" s="116" customFormat="1">
      <c r="A40611" s="136"/>
      <c r="CM40611" s="111"/>
      <c r="CQ40611" s="111"/>
      <c r="EF40611"/>
      <c r="EG40611"/>
      <c r="EH40611"/>
      <c r="EI40611"/>
      <c r="EJ40611"/>
      <c r="EK40611"/>
    </row>
    <row r="40612" spans="1:141" s="116" customFormat="1">
      <c r="A40612" s="136"/>
      <c r="CM40612" s="111"/>
      <c r="CQ40612" s="111"/>
      <c r="EF40612"/>
      <c r="EG40612"/>
      <c r="EH40612"/>
      <c r="EI40612"/>
      <c r="EJ40612"/>
      <c r="EK40612"/>
    </row>
    <row r="40613" spans="1:141" s="116" customFormat="1">
      <c r="A40613" s="136"/>
      <c r="CM40613" s="111"/>
      <c r="CQ40613" s="111"/>
      <c r="EF40613"/>
      <c r="EG40613"/>
      <c r="EH40613"/>
      <c r="EI40613"/>
      <c r="EJ40613"/>
      <c r="EK40613"/>
    </row>
    <row r="40614" spans="1:141" s="116" customFormat="1">
      <c r="A40614" s="136"/>
      <c r="CM40614" s="111"/>
      <c r="CQ40614" s="111"/>
      <c r="EF40614"/>
      <c r="EG40614"/>
      <c r="EH40614"/>
      <c r="EI40614"/>
      <c r="EJ40614"/>
      <c r="EK40614"/>
    </row>
    <row r="40615" spans="1:141" s="116" customFormat="1">
      <c r="A40615" s="136"/>
      <c r="CM40615" s="111"/>
      <c r="CQ40615" s="111"/>
      <c r="EF40615"/>
      <c r="EG40615"/>
      <c r="EH40615"/>
      <c r="EI40615"/>
      <c r="EJ40615"/>
      <c r="EK40615"/>
    </row>
    <row r="40616" spans="1:141" s="116" customFormat="1">
      <c r="A40616" s="136"/>
      <c r="CM40616" s="111"/>
      <c r="CQ40616" s="111"/>
      <c r="EF40616"/>
      <c r="EG40616"/>
      <c r="EH40616"/>
      <c r="EI40616"/>
      <c r="EJ40616"/>
      <c r="EK40616"/>
    </row>
    <row r="40617" spans="1:141" s="116" customFormat="1">
      <c r="A40617" s="136"/>
      <c r="CM40617" s="111"/>
      <c r="CQ40617" s="111"/>
      <c r="EF40617"/>
      <c r="EG40617"/>
      <c r="EH40617"/>
      <c r="EI40617"/>
      <c r="EJ40617"/>
      <c r="EK40617"/>
    </row>
    <row r="40618" spans="1:141" s="116" customFormat="1">
      <c r="A40618" s="136"/>
      <c r="CM40618" s="111"/>
      <c r="CQ40618" s="111"/>
      <c r="EF40618"/>
      <c r="EG40618"/>
      <c r="EH40618"/>
      <c r="EI40618"/>
      <c r="EJ40618"/>
      <c r="EK40618"/>
    </row>
    <row r="40619" spans="1:141" s="116" customFormat="1">
      <c r="A40619" s="136"/>
      <c r="CM40619" s="111"/>
      <c r="CQ40619" s="111"/>
      <c r="EF40619"/>
      <c r="EG40619"/>
      <c r="EH40619"/>
      <c r="EI40619"/>
      <c r="EJ40619"/>
      <c r="EK40619"/>
    </row>
    <row r="40620" spans="1:141" s="116" customFormat="1">
      <c r="A40620" s="136"/>
      <c r="CM40620" s="111"/>
      <c r="CQ40620" s="111"/>
      <c r="EF40620"/>
      <c r="EG40620"/>
      <c r="EH40620"/>
      <c r="EI40620"/>
      <c r="EJ40620"/>
      <c r="EK40620"/>
    </row>
    <row r="40621" spans="1:141" s="116" customFormat="1">
      <c r="A40621" s="136"/>
      <c r="CM40621" s="111"/>
      <c r="CQ40621" s="111"/>
      <c r="EF40621"/>
      <c r="EG40621"/>
      <c r="EH40621"/>
      <c r="EI40621"/>
      <c r="EJ40621"/>
      <c r="EK40621"/>
    </row>
    <row r="40622" spans="1:141" s="116" customFormat="1">
      <c r="A40622" s="136"/>
      <c r="CM40622" s="111"/>
      <c r="CQ40622" s="111"/>
      <c r="EF40622"/>
      <c r="EG40622"/>
      <c r="EH40622"/>
      <c r="EI40622"/>
      <c r="EJ40622"/>
      <c r="EK40622"/>
    </row>
    <row r="40623" spans="1:141" s="116" customFormat="1">
      <c r="A40623" s="136"/>
      <c r="CM40623" s="111"/>
      <c r="CQ40623" s="111"/>
      <c r="EF40623"/>
      <c r="EG40623"/>
      <c r="EH40623"/>
      <c r="EI40623"/>
      <c r="EJ40623"/>
      <c r="EK40623"/>
    </row>
    <row r="40624" spans="1:141" s="116" customFormat="1">
      <c r="A40624" s="136"/>
      <c r="CM40624" s="111"/>
      <c r="CQ40624" s="111"/>
      <c r="EF40624"/>
      <c r="EG40624"/>
      <c r="EH40624"/>
      <c r="EI40624"/>
      <c r="EJ40624"/>
      <c r="EK40624"/>
    </row>
    <row r="40625" spans="1:141" s="116" customFormat="1">
      <c r="A40625" s="136"/>
      <c r="CM40625" s="111"/>
      <c r="CQ40625" s="111"/>
      <c r="EF40625"/>
      <c r="EG40625"/>
      <c r="EH40625"/>
      <c r="EI40625"/>
      <c r="EJ40625"/>
      <c r="EK40625"/>
    </row>
    <row r="40626" spans="1:141" s="116" customFormat="1">
      <c r="A40626" s="136"/>
      <c r="CM40626" s="111"/>
      <c r="CQ40626" s="111"/>
      <c r="EF40626"/>
      <c r="EG40626"/>
      <c r="EH40626"/>
      <c r="EI40626"/>
      <c r="EJ40626"/>
      <c r="EK40626"/>
    </row>
    <row r="40627" spans="1:141" s="116" customFormat="1">
      <c r="A40627" s="136"/>
      <c r="CM40627" s="111"/>
      <c r="CQ40627" s="111"/>
      <c r="EF40627"/>
      <c r="EG40627"/>
      <c r="EH40627"/>
      <c r="EI40627"/>
      <c r="EJ40627"/>
      <c r="EK40627"/>
    </row>
    <row r="40628" spans="1:141" s="116" customFormat="1">
      <c r="A40628" s="136"/>
      <c r="CM40628" s="111"/>
      <c r="CQ40628" s="111"/>
      <c r="EF40628"/>
      <c r="EG40628"/>
      <c r="EH40628"/>
      <c r="EI40628"/>
      <c r="EJ40628"/>
      <c r="EK40628"/>
    </row>
    <row r="40629" spans="1:141" s="116" customFormat="1">
      <c r="A40629" s="136"/>
      <c r="CM40629" s="111"/>
      <c r="CQ40629" s="111"/>
      <c r="EF40629"/>
      <c r="EG40629"/>
      <c r="EH40629"/>
      <c r="EI40629"/>
      <c r="EJ40629"/>
      <c r="EK40629"/>
    </row>
    <row r="40630" spans="1:141" s="116" customFormat="1">
      <c r="A40630" s="136"/>
      <c r="CM40630" s="111"/>
      <c r="CQ40630" s="111"/>
      <c r="EF40630"/>
      <c r="EG40630"/>
      <c r="EH40630"/>
      <c r="EI40630"/>
      <c r="EJ40630"/>
      <c r="EK40630"/>
    </row>
    <row r="40631" spans="1:141" s="116" customFormat="1">
      <c r="A40631" s="136"/>
      <c r="CM40631" s="111"/>
      <c r="CQ40631" s="111"/>
      <c r="EF40631"/>
      <c r="EG40631"/>
      <c r="EH40631"/>
      <c r="EI40631"/>
      <c r="EJ40631"/>
      <c r="EK40631"/>
    </row>
    <row r="40632" spans="1:141" s="116" customFormat="1">
      <c r="A40632" s="136"/>
      <c r="CM40632" s="111"/>
      <c r="CQ40632" s="111"/>
      <c r="EF40632"/>
      <c r="EG40632"/>
      <c r="EH40632"/>
      <c r="EI40632"/>
      <c r="EJ40632"/>
      <c r="EK40632"/>
    </row>
    <row r="40633" spans="1:141" s="116" customFormat="1">
      <c r="A40633" s="136"/>
      <c r="CM40633" s="111"/>
      <c r="CQ40633" s="111"/>
      <c r="EF40633"/>
      <c r="EG40633"/>
      <c r="EH40633"/>
      <c r="EI40633"/>
      <c r="EJ40633"/>
      <c r="EK40633"/>
    </row>
    <row r="40634" spans="1:141" s="116" customFormat="1">
      <c r="A40634" s="136"/>
      <c r="CM40634" s="111"/>
      <c r="CQ40634" s="111"/>
      <c r="EF40634"/>
      <c r="EG40634"/>
      <c r="EH40634"/>
      <c r="EI40634"/>
      <c r="EJ40634"/>
      <c r="EK40634"/>
    </row>
    <row r="40635" spans="1:141" s="116" customFormat="1">
      <c r="A40635" s="136"/>
      <c r="CM40635" s="111"/>
      <c r="CQ40635" s="111"/>
      <c r="EF40635"/>
      <c r="EG40635"/>
      <c r="EH40635"/>
      <c r="EI40635"/>
      <c r="EJ40635"/>
      <c r="EK40635"/>
    </row>
    <row r="40636" spans="1:141" s="116" customFormat="1">
      <c r="A40636" s="136"/>
      <c r="CM40636" s="111"/>
      <c r="CQ40636" s="111"/>
      <c r="EF40636"/>
      <c r="EG40636"/>
      <c r="EH40636"/>
      <c r="EI40636"/>
      <c r="EJ40636"/>
      <c r="EK40636"/>
    </row>
    <row r="40637" spans="1:141" s="116" customFormat="1">
      <c r="A40637" s="136"/>
      <c r="CM40637" s="111"/>
      <c r="CQ40637" s="111"/>
      <c r="EF40637"/>
      <c r="EG40637"/>
      <c r="EH40637"/>
      <c r="EI40637"/>
      <c r="EJ40637"/>
      <c r="EK40637"/>
    </row>
    <row r="40638" spans="1:141" s="116" customFormat="1">
      <c r="A40638" s="136"/>
      <c r="CM40638" s="111"/>
      <c r="CQ40638" s="111"/>
      <c r="EF40638"/>
      <c r="EG40638"/>
      <c r="EH40638"/>
      <c r="EI40638"/>
      <c r="EJ40638"/>
      <c r="EK40638"/>
    </row>
    <row r="40639" spans="1:141" s="116" customFormat="1">
      <c r="A40639" s="136"/>
      <c r="CM40639" s="111"/>
      <c r="CQ40639" s="111"/>
      <c r="EF40639"/>
      <c r="EG40639"/>
      <c r="EH40639"/>
      <c r="EI40639"/>
      <c r="EJ40639"/>
      <c r="EK40639"/>
    </row>
    <row r="40640" spans="1:141" s="116" customFormat="1">
      <c r="A40640" s="136"/>
      <c r="CM40640" s="111"/>
      <c r="CQ40640" s="111"/>
      <c r="EF40640"/>
      <c r="EG40640"/>
      <c r="EH40640"/>
      <c r="EI40640"/>
      <c r="EJ40640"/>
      <c r="EK40640"/>
    </row>
    <row r="40641" spans="1:141" s="116" customFormat="1">
      <c r="A40641" s="136"/>
      <c r="CM40641" s="111"/>
      <c r="CQ40641" s="111"/>
      <c r="EF40641"/>
      <c r="EG40641"/>
      <c r="EH40641"/>
      <c r="EI40641"/>
      <c r="EJ40641"/>
      <c r="EK40641"/>
    </row>
    <row r="40642" spans="1:141" s="116" customFormat="1">
      <c r="A40642" s="136"/>
      <c r="CM40642" s="111"/>
      <c r="CQ40642" s="111"/>
      <c r="EF40642"/>
      <c r="EG40642"/>
      <c r="EH40642"/>
      <c r="EI40642"/>
      <c r="EJ40642"/>
      <c r="EK40642"/>
    </row>
    <row r="40643" spans="1:141" s="116" customFormat="1">
      <c r="A40643" s="136"/>
      <c r="CM40643" s="111"/>
      <c r="CQ40643" s="111"/>
      <c r="EF40643"/>
      <c r="EG40643"/>
      <c r="EH40643"/>
      <c r="EI40643"/>
      <c r="EJ40643"/>
      <c r="EK40643"/>
    </row>
    <row r="40644" spans="1:141" s="116" customFormat="1">
      <c r="A40644" s="136"/>
      <c r="CM40644" s="111"/>
      <c r="CQ40644" s="111"/>
      <c r="EF40644"/>
      <c r="EG40644"/>
      <c r="EH40644"/>
      <c r="EI40644"/>
      <c r="EJ40644"/>
      <c r="EK40644"/>
    </row>
    <row r="40645" spans="1:141" s="116" customFormat="1">
      <c r="A40645" s="136"/>
      <c r="CM40645" s="111"/>
      <c r="CQ40645" s="111"/>
      <c r="EF40645"/>
      <c r="EG40645"/>
      <c r="EH40645"/>
      <c r="EI40645"/>
      <c r="EJ40645"/>
      <c r="EK40645"/>
    </row>
    <row r="40646" spans="1:141" s="116" customFormat="1">
      <c r="A40646" s="136"/>
      <c r="CM40646" s="111"/>
      <c r="CQ40646" s="111"/>
      <c r="EF40646"/>
      <c r="EG40646"/>
      <c r="EH40646"/>
      <c r="EI40646"/>
      <c r="EJ40646"/>
      <c r="EK40646"/>
    </row>
    <row r="40647" spans="1:141" s="116" customFormat="1">
      <c r="A40647" s="136"/>
      <c r="CM40647" s="111"/>
      <c r="CQ40647" s="111"/>
      <c r="EF40647"/>
      <c r="EG40647"/>
      <c r="EH40647"/>
      <c r="EI40647"/>
      <c r="EJ40647"/>
      <c r="EK40647"/>
    </row>
    <row r="40648" spans="1:141" s="116" customFormat="1">
      <c r="A40648" s="136"/>
      <c r="CM40648" s="111"/>
      <c r="CQ40648" s="111"/>
      <c r="EF40648"/>
      <c r="EG40648"/>
      <c r="EH40648"/>
      <c r="EI40648"/>
      <c r="EJ40648"/>
      <c r="EK40648"/>
    </row>
    <row r="40649" spans="1:141" s="116" customFormat="1">
      <c r="A40649" s="136"/>
      <c r="CM40649" s="111"/>
      <c r="CQ40649" s="111"/>
      <c r="EF40649"/>
      <c r="EG40649"/>
      <c r="EH40649"/>
      <c r="EI40649"/>
      <c r="EJ40649"/>
      <c r="EK40649"/>
    </row>
    <row r="40650" spans="1:141" s="116" customFormat="1">
      <c r="A40650" s="136"/>
      <c r="CM40650" s="111"/>
      <c r="CQ40650" s="111"/>
      <c r="EF40650"/>
      <c r="EG40650"/>
      <c r="EH40650"/>
      <c r="EI40650"/>
      <c r="EJ40650"/>
      <c r="EK40650"/>
    </row>
    <row r="40651" spans="1:141" s="116" customFormat="1">
      <c r="A40651" s="136"/>
      <c r="CM40651" s="111"/>
      <c r="CQ40651" s="111"/>
      <c r="EF40651"/>
      <c r="EG40651"/>
      <c r="EH40651"/>
      <c r="EI40651"/>
      <c r="EJ40651"/>
      <c r="EK40651"/>
    </row>
    <row r="40652" spans="1:141" s="116" customFormat="1">
      <c r="A40652" s="136"/>
      <c r="CM40652" s="111"/>
      <c r="CQ40652" s="111"/>
      <c r="EF40652"/>
      <c r="EG40652"/>
      <c r="EH40652"/>
      <c r="EI40652"/>
      <c r="EJ40652"/>
      <c r="EK40652"/>
    </row>
    <row r="40653" spans="1:141" s="116" customFormat="1">
      <c r="A40653" s="136"/>
      <c r="CM40653" s="111"/>
      <c r="CQ40653" s="111"/>
      <c r="EF40653"/>
      <c r="EG40653"/>
      <c r="EH40653"/>
      <c r="EI40653"/>
      <c r="EJ40653"/>
      <c r="EK40653"/>
    </row>
    <row r="40654" spans="1:141" s="116" customFormat="1">
      <c r="A40654" s="136"/>
      <c r="CM40654" s="111"/>
      <c r="CQ40654" s="111"/>
      <c r="EF40654"/>
      <c r="EG40654"/>
      <c r="EH40654"/>
      <c r="EI40654"/>
      <c r="EJ40654"/>
      <c r="EK40654"/>
    </row>
    <row r="40655" spans="1:141" s="116" customFormat="1">
      <c r="A40655" s="136"/>
      <c r="CM40655" s="111"/>
      <c r="CQ40655" s="111"/>
      <c r="EF40655"/>
      <c r="EG40655"/>
      <c r="EH40655"/>
      <c r="EI40655"/>
      <c r="EJ40655"/>
      <c r="EK40655"/>
    </row>
    <row r="40656" spans="1:141" s="116" customFormat="1">
      <c r="A40656" s="136"/>
      <c r="CM40656" s="111"/>
      <c r="CQ40656" s="111"/>
      <c r="EF40656"/>
      <c r="EG40656"/>
      <c r="EH40656"/>
      <c r="EI40656"/>
      <c r="EJ40656"/>
      <c r="EK40656"/>
    </row>
    <row r="40657" spans="1:141" s="116" customFormat="1">
      <c r="A40657" s="136"/>
      <c r="CM40657" s="111"/>
      <c r="CQ40657" s="111"/>
      <c r="EF40657"/>
      <c r="EG40657"/>
      <c r="EH40657"/>
      <c r="EI40657"/>
      <c r="EJ40657"/>
      <c r="EK40657"/>
    </row>
    <row r="40658" spans="1:141" s="116" customFormat="1">
      <c r="A40658" s="136"/>
      <c r="CM40658" s="111"/>
      <c r="CQ40658" s="111"/>
      <c r="EF40658"/>
      <c r="EG40658"/>
      <c r="EH40658"/>
      <c r="EI40658"/>
      <c r="EJ40658"/>
      <c r="EK40658"/>
    </row>
    <row r="40659" spans="1:141" s="116" customFormat="1">
      <c r="A40659" s="136"/>
      <c r="CM40659" s="111"/>
      <c r="CQ40659" s="111"/>
      <c r="EF40659"/>
      <c r="EG40659"/>
      <c r="EH40659"/>
      <c r="EI40659"/>
      <c r="EJ40659"/>
      <c r="EK40659"/>
    </row>
    <row r="40660" spans="1:141" s="116" customFormat="1">
      <c r="A40660" s="136"/>
      <c r="CM40660" s="111"/>
      <c r="CQ40660" s="111"/>
      <c r="EF40660"/>
      <c r="EG40660"/>
      <c r="EH40660"/>
      <c r="EI40660"/>
      <c r="EJ40660"/>
      <c r="EK40660"/>
    </row>
    <row r="40661" spans="1:141" s="116" customFormat="1">
      <c r="A40661" s="136"/>
      <c r="CM40661" s="111"/>
      <c r="CQ40661" s="111"/>
      <c r="EF40661"/>
      <c r="EG40661"/>
      <c r="EH40661"/>
      <c r="EI40661"/>
      <c r="EJ40661"/>
      <c r="EK40661"/>
    </row>
    <row r="40662" spans="1:141" s="116" customFormat="1">
      <c r="A40662" s="136"/>
      <c r="CM40662" s="111"/>
      <c r="CQ40662" s="111"/>
      <c r="EF40662"/>
      <c r="EG40662"/>
      <c r="EH40662"/>
      <c r="EI40662"/>
      <c r="EJ40662"/>
      <c r="EK40662"/>
    </row>
    <row r="40663" spans="1:141" s="116" customFormat="1">
      <c r="A40663" s="136"/>
      <c r="CM40663" s="111"/>
      <c r="CQ40663" s="111"/>
      <c r="EF40663"/>
      <c r="EG40663"/>
      <c r="EH40663"/>
      <c r="EI40663"/>
      <c r="EJ40663"/>
      <c r="EK40663"/>
    </row>
    <row r="40664" spans="1:141" s="116" customFormat="1">
      <c r="A40664" s="136"/>
      <c r="CM40664" s="111"/>
      <c r="CQ40664" s="111"/>
      <c r="EF40664"/>
      <c r="EG40664"/>
      <c r="EH40664"/>
      <c r="EI40664"/>
      <c r="EJ40664"/>
      <c r="EK40664"/>
    </row>
    <row r="40665" spans="1:141" s="116" customFormat="1">
      <c r="A40665" s="136"/>
      <c r="CM40665" s="111"/>
      <c r="CQ40665" s="111"/>
      <c r="EF40665"/>
      <c r="EG40665"/>
      <c r="EH40665"/>
      <c r="EI40665"/>
      <c r="EJ40665"/>
      <c r="EK40665"/>
    </row>
    <row r="40666" spans="1:141" s="116" customFormat="1">
      <c r="A40666" s="136"/>
      <c r="CM40666" s="111"/>
      <c r="CQ40666" s="111"/>
      <c r="EF40666"/>
      <c r="EG40666"/>
      <c r="EH40666"/>
      <c r="EI40666"/>
      <c r="EJ40666"/>
      <c r="EK40666"/>
    </row>
    <row r="40667" spans="1:141" s="116" customFormat="1">
      <c r="A40667" s="136"/>
      <c r="CM40667" s="111"/>
      <c r="CQ40667" s="111"/>
      <c r="EF40667"/>
      <c r="EG40667"/>
      <c r="EH40667"/>
      <c r="EI40667"/>
      <c r="EJ40667"/>
      <c r="EK40667"/>
    </row>
    <row r="40668" spans="1:141" s="116" customFormat="1">
      <c r="A40668" s="136"/>
      <c r="CM40668" s="111"/>
      <c r="CQ40668" s="111"/>
      <c r="EF40668"/>
      <c r="EG40668"/>
      <c r="EH40668"/>
      <c r="EI40668"/>
      <c r="EJ40668"/>
      <c r="EK40668"/>
    </row>
    <row r="40669" spans="1:141" s="116" customFormat="1">
      <c r="A40669" s="136"/>
      <c r="CM40669" s="111"/>
      <c r="CQ40669" s="111"/>
      <c r="EF40669"/>
      <c r="EG40669"/>
      <c r="EH40669"/>
      <c r="EI40669"/>
      <c r="EJ40669"/>
      <c r="EK40669"/>
    </row>
    <row r="40670" spans="1:141" s="116" customFormat="1">
      <c r="A40670" s="136"/>
      <c r="CM40670" s="111"/>
      <c r="CQ40670" s="111"/>
      <c r="EF40670"/>
      <c r="EG40670"/>
      <c r="EH40670"/>
      <c r="EI40670"/>
      <c r="EJ40670"/>
      <c r="EK40670"/>
    </row>
    <row r="40671" spans="1:141" s="116" customFormat="1">
      <c r="A40671" s="136"/>
      <c r="CM40671" s="111"/>
      <c r="CQ40671" s="111"/>
      <c r="EF40671"/>
      <c r="EG40671"/>
      <c r="EH40671"/>
      <c r="EI40671"/>
      <c r="EJ40671"/>
      <c r="EK40671"/>
    </row>
    <row r="40672" spans="1:141" s="116" customFormat="1">
      <c r="A40672" s="136"/>
      <c r="CM40672" s="111"/>
      <c r="CQ40672" s="111"/>
      <c r="EF40672"/>
      <c r="EG40672"/>
      <c r="EH40672"/>
      <c r="EI40672"/>
      <c r="EJ40672"/>
      <c r="EK40672"/>
    </row>
    <row r="40673" spans="1:141" s="116" customFormat="1">
      <c r="A40673" s="136"/>
      <c r="CM40673" s="111"/>
      <c r="CQ40673" s="111"/>
      <c r="EF40673"/>
      <c r="EG40673"/>
      <c r="EH40673"/>
      <c r="EI40673"/>
      <c r="EJ40673"/>
      <c r="EK40673"/>
    </row>
    <row r="40674" spans="1:141" s="116" customFormat="1">
      <c r="A40674" s="136"/>
      <c r="CM40674" s="111"/>
      <c r="CQ40674" s="111"/>
      <c r="EF40674"/>
      <c r="EG40674"/>
      <c r="EH40674"/>
      <c r="EI40674"/>
      <c r="EJ40674"/>
      <c r="EK40674"/>
    </row>
    <row r="40675" spans="1:141" s="116" customFormat="1">
      <c r="A40675" s="136"/>
      <c r="CM40675" s="111"/>
      <c r="CQ40675" s="111"/>
      <c r="EF40675"/>
      <c r="EG40675"/>
      <c r="EH40675"/>
      <c r="EI40675"/>
      <c r="EJ40675"/>
      <c r="EK40675"/>
    </row>
    <row r="40676" spans="1:141" s="116" customFormat="1">
      <c r="A40676" s="136"/>
      <c r="CM40676" s="111"/>
      <c r="CQ40676" s="111"/>
      <c r="EF40676"/>
      <c r="EG40676"/>
      <c r="EH40676"/>
      <c r="EI40676"/>
      <c r="EJ40676"/>
      <c r="EK40676"/>
    </row>
    <row r="40677" spans="1:141" s="116" customFormat="1">
      <c r="A40677" s="136"/>
      <c r="CM40677" s="111"/>
      <c r="CQ40677" s="111"/>
      <c r="EF40677"/>
      <c r="EG40677"/>
      <c r="EH40677"/>
      <c r="EI40677"/>
      <c r="EJ40677"/>
      <c r="EK40677"/>
    </row>
    <row r="40678" spans="1:141" s="116" customFormat="1">
      <c r="A40678" s="136"/>
      <c r="CM40678" s="111"/>
      <c r="CQ40678" s="111"/>
      <c r="EF40678"/>
      <c r="EG40678"/>
      <c r="EH40678"/>
      <c r="EI40678"/>
      <c r="EJ40678"/>
      <c r="EK40678"/>
    </row>
    <row r="40679" spans="1:141" s="116" customFormat="1">
      <c r="A40679" s="136"/>
      <c r="CM40679" s="111"/>
      <c r="CQ40679" s="111"/>
      <c r="EF40679"/>
      <c r="EG40679"/>
      <c r="EH40679"/>
      <c r="EI40679"/>
      <c r="EJ40679"/>
      <c r="EK40679"/>
    </row>
    <row r="40680" spans="1:141" s="116" customFormat="1">
      <c r="A40680" s="136"/>
      <c r="CM40680" s="111"/>
      <c r="CQ40680" s="111"/>
      <c r="EF40680"/>
      <c r="EG40680"/>
      <c r="EH40680"/>
      <c r="EI40680"/>
      <c r="EJ40680"/>
      <c r="EK40680"/>
    </row>
    <row r="40681" spans="1:141" s="116" customFormat="1">
      <c r="A40681" s="136"/>
      <c r="CM40681" s="111"/>
      <c r="CQ40681" s="111"/>
      <c r="EF40681"/>
      <c r="EG40681"/>
      <c r="EH40681"/>
      <c r="EI40681"/>
      <c r="EJ40681"/>
      <c r="EK40681"/>
    </row>
    <row r="40682" spans="1:141" s="116" customFormat="1">
      <c r="A40682" s="136"/>
      <c r="CM40682" s="111"/>
      <c r="CQ40682" s="111"/>
      <c r="EF40682"/>
      <c r="EG40682"/>
      <c r="EH40682"/>
      <c r="EI40682"/>
      <c r="EJ40682"/>
      <c r="EK40682"/>
    </row>
    <row r="40683" spans="1:141" s="116" customFormat="1">
      <c r="A40683" s="136"/>
      <c r="CM40683" s="111"/>
      <c r="CQ40683" s="111"/>
      <c r="EF40683"/>
      <c r="EG40683"/>
      <c r="EH40683"/>
      <c r="EI40683"/>
      <c r="EJ40683"/>
      <c r="EK40683"/>
    </row>
    <row r="40684" spans="1:141" s="116" customFormat="1">
      <c r="A40684" s="136"/>
      <c r="CM40684" s="111"/>
      <c r="CQ40684" s="111"/>
      <c r="EF40684"/>
      <c r="EG40684"/>
      <c r="EH40684"/>
      <c r="EI40684"/>
      <c r="EJ40684"/>
      <c r="EK40684"/>
    </row>
    <row r="40685" spans="1:141" s="116" customFormat="1">
      <c r="A40685" s="136"/>
      <c r="CM40685" s="111"/>
      <c r="CQ40685" s="111"/>
      <c r="EF40685"/>
      <c r="EG40685"/>
      <c r="EH40685"/>
      <c r="EI40685"/>
      <c r="EJ40685"/>
      <c r="EK40685"/>
    </row>
    <row r="40686" spans="1:141" s="116" customFormat="1">
      <c r="A40686" s="136"/>
      <c r="CM40686" s="111"/>
      <c r="CQ40686" s="111"/>
      <c r="EF40686"/>
      <c r="EG40686"/>
      <c r="EH40686"/>
      <c r="EI40686"/>
      <c r="EJ40686"/>
      <c r="EK40686"/>
    </row>
    <row r="40687" spans="1:141" s="116" customFormat="1">
      <c r="A40687" s="136"/>
      <c r="CM40687" s="111"/>
      <c r="CQ40687" s="111"/>
      <c r="EF40687"/>
      <c r="EG40687"/>
      <c r="EH40687"/>
      <c r="EI40687"/>
      <c r="EJ40687"/>
      <c r="EK40687"/>
    </row>
    <row r="40688" spans="1:141" s="116" customFormat="1">
      <c r="A40688" s="136"/>
      <c r="CM40688" s="111"/>
      <c r="CQ40688" s="111"/>
      <c r="EF40688"/>
      <c r="EG40688"/>
      <c r="EH40688"/>
      <c r="EI40688"/>
      <c r="EJ40688"/>
      <c r="EK40688"/>
    </row>
    <row r="40689" spans="1:141" s="116" customFormat="1">
      <c r="A40689" s="136"/>
      <c r="CM40689" s="111"/>
      <c r="CQ40689" s="111"/>
      <c r="EF40689"/>
      <c r="EG40689"/>
      <c r="EH40689"/>
      <c r="EI40689"/>
      <c r="EJ40689"/>
      <c r="EK40689"/>
    </row>
    <row r="40690" spans="1:141" s="116" customFormat="1">
      <c r="A40690" s="136"/>
      <c r="CM40690" s="111"/>
      <c r="CQ40690" s="111"/>
      <c r="EF40690"/>
      <c r="EG40690"/>
      <c r="EH40690"/>
      <c r="EI40690"/>
      <c r="EJ40690"/>
      <c r="EK40690"/>
    </row>
    <row r="40691" spans="1:141" s="116" customFormat="1">
      <c r="A40691" s="136"/>
      <c r="CM40691" s="111"/>
      <c r="CQ40691" s="111"/>
      <c r="EF40691"/>
      <c r="EG40691"/>
      <c r="EH40691"/>
      <c r="EI40691"/>
      <c r="EJ40691"/>
      <c r="EK40691"/>
    </row>
    <row r="40692" spans="1:141" s="116" customFormat="1">
      <c r="A40692" s="136"/>
      <c r="CM40692" s="111"/>
      <c r="CQ40692" s="111"/>
      <c r="EF40692"/>
      <c r="EG40692"/>
      <c r="EH40692"/>
      <c r="EI40692"/>
      <c r="EJ40692"/>
      <c r="EK40692"/>
    </row>
    <row r="40693" spans="1:141" s="116" customFormat="1">
      <c r="A40693" s="136"/>
      <c r="CM40693" s="111"/>
      <c r="CQ40693" s="111"/>
      <c r="EF40693"/>
      <c r="EG40693"/>
      <c r="EH40693"/>
      <c r="EI40693"/>
      <c r="EJ40693"/>
      <c r="EK40693"/>
    </row>
    <row r="40694" spans="1:141" s="116" customFormat="1">
      <c r="A40694" s="136"/>
      <c r="CM40694" s="111"/>
      <c r="CQ40694" s="111"/>
      <c r="EF40694"/>
      <c r="EG40694"/>
      <c r="EH40694"/>
      <c r="EI40694"/>
      <c r="EJ40694"/>
      <c r="EK40694"/>
    </row>
    <row r="40695" spans="1:141" s="116" customFormat="1">
      <c r="A40695" s="136"/>
      <c r="CM40695" s="111"/>
      <c r="CQ40695" s="111"/>
      <c r="EF40695"/>
      <c r="EG40695"/>
      <c r="EH40695"/>
      <c r="EI40695"/>
      <c r="EJ40695"/>
      <c r="EK40695"/>
    </row>
    <row r="40696" spans="1:141" s="116" customFormat="1">
      <c r="A40696" s="136"/>
      <c r="CM40696" s="111"/>
      <c r="CQ40696" s="111"/>
      <c r="EF40696"/>
      <c r="EG40696"/>
      <c r="EH40696"/>
      <c r="EI40696"/>
      <c r="EJ40696"/>
      <c r="EK40696"/>
    </row>
    <row r="40697" spans="1:141" s="116" customFormat="1">
      <c r="A40697" s="136"/>
      <c r="CM40697" s="111"/>
      <c r="CQ40697" s="111"/>
      <c r="EF40697"/>
      <c r="EG40697"/>
      <c r="EH40697"/>
      <c r="EI40697"/>
      <c r="EJ40697"/>
      <c r="EK40697"/>
    </row>
    <row r="40698" spans="1:141" s="116" customFormat="1">
      <c r="A40698" s="136"/>
      <c r="CM40698" s="111"/>
      <c r="CQ40698" s="111"/>
      <c r="EF40698"/>
      <c r="EG40698"/>
      <c r="EH40698"/>
      <c r="EI40698"/>
      <c r="EJ40698"/>
      <c r="EK40698"/>
    </row>
    <row r="40699" spans="1:141" s="116" customFormat="1">
      <c r="A40699" s="136"/>
      <c r="CM40699" s="111"/>
      <c r="CQ40699" s="111"/>
      <c r="EF40699"/>
      <c r="EG40699"/>
      <c r="EH40699"/>
      <c r="EI40699"/>
      <c r="EJ40699"/>
      <c r="EK40699"/>
    </row>
    <row r="40700" spans="1:141" s="116" customFormat="1">
      <c r="A40700" s="136"/>
      <c r="CM40700" s="111"/>
      <c r="CQ40700" s="111"/>
      <c r="EF40700"/>
      <c r="EG40700"/>
      <c r="EH40700"/>
      <c r="EI40700"/>
      <c r="EJ40700"/>
      <c r="EK40700"/>
    </row>
    <row r="40701" spans="1:141" s="116" customFormat="1">
      <c r="A40701" s="136"/>
      <c r="CM40701" s="111"/>
      <c r="CQ40701" s="111"/>
      <c r="EF40701"/>
      <c r="EG40701"/>
      <c r="EH40701"/>
      <c r="EI40701"/>
      <c r="EJ40701"/>
      <c r="EK40701"/>
    </row>
    <row r="40702" spans="1:141" s="116" customFormat="1">
      <c r="A40702" s="136"/>
      <c r="CM40702" s="111"/>
      <c r="CQ40702" s="111"/>
      <c r="EF40702"/>
      <c r="EG40702"/>
      <c r="EH40702"/>
      <c r="EI40702"/>
      <c r="EJ40702"/>
      <c r="EK40702"/>
    </row>
    <row r="40703" spans="1:141" s="116" customFormat="1">
      <c r="A40703" s="136"/>
      <c r="CM40703" s="111"/>
      <c r="CQ40703" s="111"/>
      <c r="EF40703"/>
      <c r="EG40703"/>
      <c r="EH40703"/>
      <c r="EI40703"/>
      <c r="EJ40703"/>
      <c r="EK40703"/>
    </row>
    <row r="40704" spans="1:141" s="116" customFormat="1">
      <c r="A40704" s="136"/>
      <c r="CM40704" s="111"/>
      <c r="CQ40704" s="111"/>
      <c r="EF40704"/>
      <c r="EG40704"/>
      <c r="EH40704"/>
      <c r="EI40704"/>
      <c r="EJ40704"/>
      <c r="EK40704"/>
    </row>
    <row r="40705" spans="1:141" s="116" customFormat="1">
      <c r="A40705" s="136"/>
      <c r="CM40705" s="111"/>
      <c r="CQ40705" s="111"/>
      <c r="EF40705"/>
      <c r="EG40705"/>
      <c r="EH40705"/>
      <c r="EI40705"/>
      <c r="EJ40705"/>
      <c r="EK40705"/>
    </row>
    <row r="40706" spans="1:141" s="116" customFormat="1">
      <c r="A40706" s="136"/>
      <c r="CM40706" s="111"/>
      <c r="CQ40706" s="111"/>
      <c r="EF40706"/>
      <c r="EG40706"/>
      <c r="EH40706"/>
      <c r="EI40706"/>
      <c r="EJ40706"/>
      <c r="EK40706"/>
    </row>
    <row r="40707" spans="1:141" s="116" customFormat="1">
      <c r="A40707" s="136"/>
      <c r="CM40707" s="111"/>
      <c r="CQ40707" s="111"/>
      <c r="EF40707"/>
      <c r="EG40707"/>
      <c r="EH40707"/>
      <c r="EI40707"/>
      <c r="EJ40707"/>
      <c r="EK40707"/>
    </row>
    <row r="40708" spans="1:141" s="116" customFormat="1">
      <c r="A40708" s="136"/>
      <c r="CM40708" s="111"/>
      <c r="CQ40708" s="111"/>
      <c r="EF40708"/>
      <c r="EG40708"/>
      <c r="EH40708"/>
      <c r="EI40708"/>
      <c r="EJ40708"/>
      <c r="EK40708"/>
    </row>
    <row r="40709" spans="1:141" s="116" customFormat="1">
      <c r="A40709" s="136"/>
      <c r="CM40709" s="111"/>
      <c r="CQ40709" s="111"/>
      <c r="EF40709"/>
      <c r="EG40709"/>
      <c r="EH40709"/>
      <c r="EI40709"/>
      <c r="EJ40709"/>
      <c r="EK40709"/>
    </row>
    <row r="40710" spans="1:141" s="116" customFormat="1">
      <c r="A40710" s="136"/>
      <c r="CM40710" s="111"/>
      <c r="CQ40710" s="111"/>
      <c r="EF40710"/>
      <c r="EG40710"/>
      <c r="EH40710"/>
      <c r="EI40710"/>
      <c r="EJ40710"/>
      <c r="EK40710"/>
    </row>
    <row r="40711" spans="1:141" s="116" customFormat="1">
      <c r="A40711" s="136"/>
      <c r="CM40711" s="111"/>
      <c r="CQ40711" s="111"/>
      <c r="EF40711"/>
      <c r="EG40711"/>
      <c r="EH40711"/>
      <c r="EI40711"/>
      <c r="EJ40711"/>
      <c r="EK40711"/>
    </row>
    <row r="40712" spans="1:141" s="116" customFormat="1">
      <c r="A40712" s="136"/>
      <c r="CM40712" s="111"/>
      <c r="CQ40712" s="111"/>
      <c r="EF40712"/>
      <c r="EG40712"/>
      <c r="EH40712"/>
      <c r="EI40712"/>
      <c r="EJ40712"/>
      <c r="EK40712"/>
    </row>
    <row r="40713" spans="1:141" s="116" customFormat="1">
      <c r="A40713" s="136"/>
      <c r="CM40713" s="111"/>
      <c r="CQ40713" s="111"/>
      <c r="EF40713"/>
      <c r="EG40713"/>
      <c r="EH40713"/>
      <c r="EI40713"/>
      <c r="EJ40713"/>
      <c r="EK40713"/>
    </row>
    <row r="40714" spans="1:141" s="116" customFormat="1">
      <c r="A40714" s="136"/>
      <c r="CM40714" s="111"/>
      <c r="CQ40714" s="111"/>
      <c r="EF40714"/>
      <c r="EG40714"/>
      <c r="EH40714"/>
      <c r="EI40714"/>
      <c r="EJ40714"/>
      <c r="EK40714"/>
    </row>
    <row r="40715" spans="1:141" s="116" customFormat="1">
      <c r="A40715" s="136"/>
      <c r="CM40715" s="111"/>
      <c r="CQ40715" s="111"/>
      <c r="EF40715"/>
      <c r="EG40715"/>
      <c r="EH40715"/>
      <c r="EI40715"/>
      <c r="EJ40715"/>
      <c r="EK40715"/>
    </row>
    <row r="40716" spans="1:141" s="116" customFormat="1">
      <c r="A40716" s="136"/>
      <c r="CM40716" s="111"/>
      <c r="CQ40716" s="111"/>
      <c r="EF40716"/>
      <c r="EG40716"/>
      <c r="EH40716"/>
      <c r="EI40716"/>
      <c r="EJ40716"/>
      <c r="EK40716"/>
    </row>
    <row r="40717" spans="1:141" s="116" customFormat="1">
      <c r="A40717" s="136"/>
      <c r="CM40717" s="111"/>
      <c r="CQ40717" s="111"/>
      <c r="EF40717"/>
      <c r="EG40717"/>
      <c r="EH40717"/>
      <c r="EI40717"/>
      <c r="EJ40717"/>
      <c r="EK40717"/>
    </row>
    <row r="40718" spans="1:141" s="116" customFormat="1">
      <c r="A40718" s="136"/>
      <c r="CM40718" s="111"/>
      <c r="CQ40718" s="111"/>
      <c r="EF40718"/>
      <c r="EG40718"/>
      <c r="EH40718"/>
      <c r="EI40718"/>
      <c r="EJ40718"/>
      <c r="EK40718"/>
    </row>
    <row r="40719" spans="1:141" s="116" customFormat="1">
      <c r="A40719" s="136"/>
      <c r="CM40719" s="111"/>
      <c r="CQ40719" s="111"/>
      <c r="EF40719"/>
      <c r="EG40719"/>
      <c r="EH40719"/>
      <c r="EI40719"/>
      <c r="EJ40719"/>
      <c r="EK40719"/>
    </row>
    <row r="40720" spans="1:141" s="116" customFormat="1">
      <c r="A40720" s="136"/>
      <c r="CM40720" s="111"/>
      <c r="CQ40720" s="111"/>
      <c r="EF40720"/>
      <c r="EG40720"/>
      <c r="EH40720"/>
      <c r="EI40720"/>
      <c r="EJ40720"/>
      <c r="EK40720"/>
    </row>
    <row r="40721" spans="1:141" s="116" customFormat="1">
      <c r="A40721" s="136"/>
      <c r="CM40721" s="111"/>
      <c r="CQ40721" s="111"/>
      <c r="EF40721"/>
      <c r="EG40721"/>
      <c r="EH40721"/>
      <c r="EI40721"/>
      <c r="EJ40721"/>
      <c r="EK40721"/>
    </row>
    <row r="40722" spans="1:141" s="116" customFormat="1">
      <c r="A40722" s="136"/>
      <c r="CM40722" s="111"/>
      <c r="CQ40722" s="111"/>
      <c r="EF40722"/>
      <c r="EG40722"/>
      <c r="EH40722"/>
      <c r="EI40722"/>
      <c r="EJ40722"/>
      <c r="EK40722"/>
    </row>
    <row r="40723" spans="1:141" s="116" customFormat="1">
      <c r="A40723" s="136"/>
      <c r="CM40723" s="111"/>
      <c r="CQ40723" s="111"/>
      <c r="EF40723"/>
      <c r="EG40723"/>
      <c r="EH40723"/>
      <c r="EI40723"/>
      <c r="EJ40723"/>
      <c r="EK40723"/>
    </row>
    <row r="40724" spans="1:141" s="116" customFormat="1">
      <c r="A40724" s="136"/>
      <c r="CM40724" s="111"/>
      <c r="CQ40724" s="111"/>
      <c r="EF40724"/>
      <c r="EG40724"/>
      <c r="EH40724"/>
      <c r="EI40724"/>
      <c r="EJ40724"/>
      <c r="EK40724"/>
    </row>
    <row r="40725" spans="1:141" s="116" customFormat="1">
      <c r="A40725" s="136"/>
      <c r="CM40725" s="111"/>
      <c r="CQ40725" s="111"/>
      <c r="EF40725"/>
      <c r="EG40725"/>
      <c r="EH40725"/>
      <c r="EI40725"/>
      <c r="EJ40725"/>
      <c r="EK40725"/>
    </row>
    <row r="40726" spans="1:141" s="116" customFormat="1">
      <c r="A40726" s="136"/>
      <c r="CM40726" s="111"/>
      <c r="CQ40726" s="111"/>
      <c r="EF40726"/>
      <c r="EG40726"/>
      <c r="EH40726"/>
      <c r="EI40726"/>
      <c r="EJ40726"/>
      <c r="EK40726"/>
    </row>
    <row r="40727" spans="1:141" s="116" customFormat="1">
      <c r="A40727" s="136"/>
      <c r="CM40727" s="111"/>
      <c r="CQ40727" s="111"/>
      <c r="EF40727"/>
      <c r="EG40727"/>
      <c r="EH40727"/>
      <c r="EI40727"/>
      <c r="EJ40727"/>
      <c r="EK40727"/>
    </row>
    <row r="40728" spans="1:141" s="116" customFormat="1">
      <c r="A40728" s="136"/>
      <c r="CM40728" s="111"/>
      <c r="CQ40728" s="111"/>
      <c r="EF40728"/>
      <c r="EG40728"/>
      <c r="EH40728"/>
      <c r="EI40728"/>
      <c r="EJ40728"/>
      <c r="EK40728"/>
    </row>
    <row r="40729" spans="1:141" s="116" customFormat="1">
      <c r="A40729" s="136"/>
      <c r="CM40729" s="111"/>
      <c r="CQ40729" s="111"/>
      <c r="EF40729"/>
      <c r="EG40729"/>
      <c r="EH40729"/>
      <c r="EI40729"/>
      <c r="EJ40729"/>
      <c r="EK40729"/>
    </row>
    <row r="40730" spans="1:141" s="116" customFormat="1">
      <c r="A40730" s="136"/>
      <c r="CM40730" s="111"/>
      <c r="CQ40730" s="111"/>
      <c r="EF40730"/>
      <c r="EG40730"/>
      <c r="EH40730"/>
      <c r="EI40730"/>
      <c r="EJ40730"/>
      <c r="EK40730"/>
    </row>
    <row r="40731" spans="1:141" s="116" customFormat="1">
      <c r="A40731" s="136"/>
      <c r="CM40731" s="111"/>
      <c r="CQ40731" s="111"/>
      <c r="EF40731"/>
      <c r="EG40731"/>
      <c r="EH40731"/>
      <c r="EI40731"/>
      <c r="EJ40731"/>
      <c r="EK40731"/>
    </row>
    <row r="40732" spans="1:141" s="116" customFormat="1">
      <c r="A40732" s="136"/>
      <c r="CM40732" s="111"/>
      <c r="CQ40732" s="111"/>
      <c r="EF40732"/>
      <c r="EG40732"/>
      <c r="EH40732"/>
      <c r="EI40732"/>
      <c r="EJ40732"/>
      <c r="EK40732"/>
    </row>
    <row r="40733" spans="1:141" s="116" customFormat="1">
      <c r="A40733" s="136"/>
      <c r="CM40733" s="111"/>
      <c r="CQ40733" s="111"/>
      <c r="EF40733"/>
      <c r="EG40733"/>
      <c r="EH40733"/>
      <c r="EI40733"/>
      <c r="EJ40733"/>
      <c r="EK40733"/>
    </row>
    <row r="40734" spans="1:141" s="116" customFormat="1">
      <c r="A40734" s="136"/>
      <c r="CM40734" s="111"/>
      <c r="CQ40734" s="111"/>
      <c r="EF40734"/>
      <c r="EG40734"/>
      <c r="EH40734"/>
      <c r="EI40734"/>
      <c r="EJ40734"/>
      <c r="EK40734"/>
    </row>
    <row r="40735" spans="1:141" s="116" customFormat="1">
      <c r="A40735" s="136"/>
      <c r="CM40735" s="111"/>
      <c r="CQ40735" s="111"/>
      <c r="EF40735"/>
      <c r="EG40735"/>
      <c r="EH40735"/>
      <c r="EI40735"/>
      <c r="EJ40735"/>
      <c r="EK40735"/>
    </row>
    <row r="40736" spans="1:141" s="116" customFormat="1">
      <c r="A40736" s="136"/>
      <c r="CM40736" s="111"/>
      <c r="CQ40736" s="111"/>
      <c r="EF40736"/>
      <c r="EG40736"/>
      <c r="EH40736"/>
      <c r="EI40736"/>
      <c r="EJ40736"/>
      <c r="EK40736"/>
    </row>
    <row r="40737" spans="1:141" s="116" customFormat="1">
      <c r="A40737" s="136"/>
      <c r="CM40737" s="111"/>
      <c r="CQ40737" s="111"/>
      <c r="EF40737"/>
      <c r="EG40737"/>
      <c r="EH40737"/>
      <c r="EI40737"/>
      <c r="EJ40737"/>
      <c r="EK40737"/>
    </row>
    <row r="40738" spans="1:141" s="116" customFormat="1">
      <c r="A40738" s="136"/>
      <c r="CM40738" s="111"/>
      <c r="CQ40738" s="111"/>
      <c r="EF40738"/>
      <c r="EG40738"/>
      <c r="EH40738"/>
      <c r="EI40738"/>
      <c r="EJ40738"/>
      <c r="EK40738"/>
    </row>
    <row r="40739" spans="1:141" s="116" customFormat="1">
      <c r="A40739" s="136"/>
      <c r="CM40739" s="111"/>
      <c r="CQ40739" s="111"/>
      <c r="EF40739"/>
      <c r="EG40739"/>
      <c r="EH40739"/>
      <c r="EI40739"/>
      <c r="EJ40739"/>
      <c r="EK40739"/>
    </row>
    <row r="40740" spans="1:141" s="116" customFormat="1">
      <c r="A40740" s="136"/>
      <c r="CM40740" s="111"/>
      <c r="CQ40740" s="111"/>
      <c r="EF40740"/>
      <c r="EG40740"/>
      <c r="EH40740"/>
      <c r="EI40740"/>
      <c r="EJ40740"/>
      <c r="EK40740"/>
    </row>
    <row r="40741" spans="1:141" s="116" customFormat="1">
      <c r="A40741" s="136"/>
      <c r="CM40741" s="111"/>
      <c r="CQ40741" s="111"/>
      <c r="EF40741"/>
      <c r="EG40741"/>
      <c r="EH40741"/>
      <c r="EI40741"/>
      <c r="EJ40741"/>
      <c r="EK40741"/>
    </row>
    <row r="40742" spans="1:141" s="116" customFormat="1">
      <c r="A40742" s="136"/>
      <c r="CM40742" s="111"/>
      <c r="CQ40742" s="111"/>
      <c r="EF40742"/>
      <c r="EG40742"/>
      <c r="EH40742"/>
      <c r="EI40742"/>
      <c r="EJ40742"/>
      <c r="EK40742"/>
    </row>
    <row r="40743" spans="1:141" s="116" customFormat="1">
      <c r="A40743" s="136"/>
      <c r="CM40743" s="111"/>
      <c r="CQ40743" s="111"/>
      <c r="EF40743"/>
      <c r="EG40743"/>
      <c r="EH40743"/>
      <c r="EI40743"/>
      <c r="EJ40743"/>
      <c r="EK40743"/>
    </row>
    <row r="40744" spans="1:141" s="116" customFormat="1">
      <c r="A40744" s="136"/>
      <c r="CM40744" s="111"/>
      <c r="CQ40744" s="111"/>
      <c r="EF40744"/>
      <c r="EG40744"/>
      <c r="EH40744"/>
      <c r="EI40744"/>
      <c r="EJ40744"/>
      <c r="EK40744"/>
    </row>
    <row r="40745" spans="1:141" s="116" customFormat="1">
      <c r="A40745" s="136"/>
      <c r="CM40745" s="111"/>
      <c r="CQ40745" s="111"/>
      <c r="EF40745"/>
      <c r="EG40745"/>
      <c r="EH40745"/>
      <c r="EI40745"/>
      <c r="EJ40745"/>
      <c r="EK40745"/>
    </row>
    <row r="40746" spans="1:141" s="116" customFormat="1">
      <c r="A40746" s="136"/>
      <c r="CM40746" s="111"/>
      <c r="CQ40746" s="111"/>
      <c r="EF40746"/>
      <c r="EG40746"/>
      <c r="EH40746"/>
      <c r="EI40746"/>
      <c r="EJ40746"/>
      <c r="EK40746"/>
    </row>
    <row r="40747" spans="1:141" s="116" customFormat="1">
      <c r="A40747" s="136"/>
      <c r="CM40747" s="111"/>
      <c r="CQ40747" s="111"/>
      <c r="EF40747"/>
      <c r="EG40747"/>
      <c r="EH40747"/>
      <c r="EI40747"/>
      <c r="EJ40747"/>
      <c r="EK40747"/>
    </row>
    <row r="40748" spans="1:141" s="116" customFormat="1">
      <c r="A40748" s="136"/>
      <c r="CM40748" s="111"/>
      <c r="CQ40748" s="111"/>
      <c r="EF40748"/>
      <c r="EG40748"/>
      <c r="EH40748"/>
      <c r="EI40748"/>
      <c r="EJ40748"/>
      <c r="EK40748"/>
    </row>
    <row r="40749" spans="1:141" s="116" customFormat="1">
      <c r="A40749" s="136"/>
      <c r="CM40749" s="111"/>
      <c r="CQ40749" s="111"/>
      <c r="EF40749"/>
      <c r="EG40749"/>
      <c r="EH40749"/>
      <c r="EI40749"/>
      <c r="EJ40749"/>
      <c r="EK40749"/>
    </row>
    <row r="40750" spans="1:141" s="116" customFormat="1">
      <c r="A40750" s="136"/>
      <c r="CM40750" s="111"/>
      <c r="CQ40750" s="111"/>
      <c r="EF40750"/>
      <c r="EG40750"/>
      <c r="EH40750"/>
      <c r="EI40750"/>
      <c r="EJ40750"/>
      <c r="EK40750"/>
    </row>
    <row r="40751" spans="1:141" s="116" customFormat="1">
      <c r="A40751" s="136"/>
      <c r="CM40751" s="111"/>
      <c r="CQ40751" s="111"/>
      <c r="EF40751"/>
      <c r="EG40751"/>
      <c r="EH40751"/>
      <c r="EI40751"/>
      <c r="EJ40751"/>
      <c r="EK40751"/>
    </row>
    <row r="40752" spans="1:141" s="116" customFormat="1">
      <c r="A40752" s="136"/>
      <c r="CM40752" s="111"/>
      <c r="CQ40752" s="111"/>
      <c r="EF40752"/>
      <c r="EG40752"/>
      <c r="EH40752"/>
      <c r="EI40752"/>
      <c r="EJ40752"/>
      <c r="EK40752"/>
    </row>
    <row r="40753" spans="1:141" s="116" customFormat="1">
      <c r="A40753" s="136"/>
      <c r="CM40753" s="111"/>
      <c r="CQ40753" s="111"/>
      <c r="EF40753"/>
      <c r="EG40753"/>
      <c r="EH40753"/>
      <c r="EI40753"/>
      <c r="EJ40753"/>
      <c r="EK40753"/>
    </row>
    <row r="40754" spans="1:141" s="116" customFormat="1">
      <c r="A40754" s="136"/>
      <c r="CM40754" s="111"/>
      <c r="CQ40754" s="111"/>
      <c r="EF40754"/>
      <c r="EG40754"/>
      <c r="EH40754"/>
      <c r="EI40754"/>
      <c r="EJ40754"/>
      <c r="EK40754"/>
    </row>
    <row r="40755" spans="1:141" s="116" customFormat="1">
      <c r="A40755" s="136"/>
      <c r="CM40755" s="111"/>
      <c r="CQ40755" s="111"/>
      <c r="EF40755"/>
      <c r="EG40755"/>
      <c r="EH40755"/>
      <c r="EI40755"/>
      <c r="EJ40755"/>
      <c r="EK40755"/>
    </row>
    <row r="40756" spans="1:141" s="116" customFormat="1">
      <c r="A40756" s="136"/>
      <c r="CM40756" s="111"/>
      <c r="CQ40756" s="111"/>
      <c r="EF40756"/>
      <c r="EG40756"/>
      <c r="EH40756"/>
      <c r="EI40756"/>
      <c r="EJ40756"/>
      <c r="EK40756"/>
    </row>
    <row r="40757" spans="1:141" s="116" customFormat="1">
      <c r="A40757" s="136"/>
      <c r="CM40757" s="111"/>
      <c r="CQ40757" s="111"/>
      <c r="EF40757"/>
      <c r="EG40757"/>
      <c r="EH40757"/>
      <c r="EI40757"/>
      <c r="EJ40757"/>
      <c r="EK40757"/>
    </row>
    <row r="40758" spans="1:141" s="116" customFormat="1">
      <c r="A40758" s="136"/>
      <c r="CM40758" s="111"/>
      <c r="CQ40758" s="111"/>
      <c r="EF40758"/>
      <c r="EG40758"/>
      <c r="EH40758"/>
      <c r="EI40758"/>
      <c r="EJ40758"/>
      <c r="EK40758"/>
    </row>
    <row r="40759" spans="1:141" s="116" customFormat="1">
      <c r="A40759" s="136"/>
      <c r="CM40759" s="111"/>
      <c r="CQ40759" s="111"/>
      <c r="EF40759"/>
      <c r="EG40759"/>
      <c r="EH40759"/>
      <c r="EI40759"/>
      <c r="EJ40759"/>
      <c r="EK40759"/>
    </row>
    <row r="40760" spans="1:141" s="116" customFormat="1">
      <c r="A40760" s="136"/>
      <c r="CM40760" s="111"/>
      <c r="CQ40760" s="111"/>
      <c r="EF40760"/>
      <c r="EG40760"/>
      <c r="EH40760"/>
      <c r="EI40760"/>
      <c r="EJ40760"/>
      <c r="EK40760"/>
    </row>
    <row r="40761" spans="1:141" s="116" customFormat="1">
      <c r="A40761" s="136"/>
      <c r="CM40761" s="111"/>
      <c r="CQ40761" s="111"/>
      <c r="EF40761"/>
      <c r="EG40761"/>
      <c r="EH40761"/>
      <c r="EI40761"/>
      <c r="EJ40761"/>
      <c r="EK40761"/>
    </row>
    <row r="40762" spans="1:141" s="116" customFormat="1">
      <c r="A40762" s="136"/>
      <c r="CM40762" s="111"/>
      <c r="CQ40762" s="111"/>
      <c r="EF40762"/>
      <c r="EG40762"/>
      <c r="EH40762"/>
      <c r="EI40762"/>
      <c r="EJ40762"/>
      <c r="EK40762"/>
    </row>
    <row r="40763" spans="1:141" s="116" customFormat="1">
      <c r="A40763" s="136"/>
      <c r="CM40763" s="111"/>
      <c r="CQ40763" s="111"/>
      <c r="EF40763"/>
      <c r="EG40763"/>
      <c r="EH40763"/>
      <c r="EI40763"/>
      <c r="EJ40763"/>
      <c r="EK40763"/>
    </row>
    <row r="40764" spans="1:141" s="116" customFormat="1">
      <c r="A40764" s="136"/>
      <c r="CM40764" s="111"/>
      <c r="CQ40764" s="111"/>
      <c r="EF40764"/>
      <c r="EG40764"/>
      <c r="EH40764"/>
      <c r="EI40764"/>
      <c r="EJ40764"/>
      <c r="EK40764"/>
    </row>
    <row r="40765" spans="1:141" s="116" customFormat="1">
      <c r="A40765" s="136"/>
      <c r="CM40765" s="111"/>
      <c r="CQ40765" s="111"/>
      <c r="EF40765"/>
      <c r="EG40765"/>
      <c r="EH40765"/>
      <c r="EI40765"/>
      <c r="EJ40765"/>
      <c r="EK40765"/>
    </row>
    <row r="40766" spans="1:141" s="116" customFormat="1">
      <c r="A40766" s="136"/>
      <c r="CM40766" s="111"/>
      <c r="CQ40766" s="111"/>
      <c r="EF40766"/>
      <c r="EG40766"/>
      <c r="EH40766"/>
      <c r="EI40766"/>
      <c r="EJ40766"/>
      <c r="EK40766"/>
    </row>
    <row r="40767" spans="1:141" s="116" customFormat="1">
      <c r="A40767" s="136"/>
      <c r="CM40767" s="111"/>
      <c r="CQ40767" s="111"/>
      <c r="EF40767"/>
      <c r="EG40767"/>
      <c r="EH40767"/>
      <c r="EI40767"/>
      <c r="EJ40767"/>
      <c r="EK40767"/>
    </row>
    <row r="40768" spans="1:141" s="116" customFormat="1">
      <c r="A40768" s="136"/>
      <c r="CM40768" s="111"/>
      <c r="CQ40768" s="111"/>
      <c r="EF40768"/>
      <c r="EG40768"/>
      <c r="EH40768"/>
      <c r="EI40768"/>
      <c r="EJ40768"/>
      <c r="EK40768"/>
    </row>
    <row r="40769" spans="1:141" s="116" customFormat="1">
      <c r="A40769" s="136"/>
      <c r="CM40769" s="111"/>
      <c r="CQ40769" s="111"/>
      <c r="EF40769"/>
      <c r="EG40769"/>
      <c r="EH40769"/>
      <c r="EI40769"/>
      <c r="EJ40769"/>
      <c r="EK40769"/>
    </row>
    <row r="40770" spans="1:141" s="116" customFormat="1">
      <c r="A40770" s="136"/>
      <c r="CM40770" s="111"/>
      <c r="CQ40770" s="111"/>
      <c r="EF40770"/>
      <c r="EG40770"/>
      <c r="EH40770"/>
      <c r="EI40770"/>
      <c r="EJ40770"/>
      <c r="EK40770"/>
    </row>
    <row r="40771" spans="1:141" s="116" customFormat="1">
      <c r="A40771" s="136"/>
      <c r="CM40771" s="111"/>
      <c r="CQ40771" s="111"/>
      <c r="EF40771"/>
      <c r="EG40771"/>
      <c r="EH40771"/>
      <c r="EI40771"/>
      <c r="EJ40771"/>
      <c r="EK40771"/>
    </row>
    <row r="40772" spans="1:141" s="116" customFormat="1">
      <c r="A40772" s="136"/>
      <c r="CM40772" s="111"/>
      <c r="CQ40772" s="111"/>
      <c r="EF40772"/>
      <c r="EG40772"/>
      <c r="EH40772"/>
      <c r="EI40772"/>
      <c r="EJ40772"/>
      <c r="EK40772"/>
    </row>
    <row r="40773" spans="1:141" s="116" customFormat="1">
      <c r="A40773" s="136"/>
      <c r="CM40773" s="111"/>
      <c r="CQ40773" s="111"/>
      <c r="EF40773"/>
      <c r="EG40773"/>
      <c r="EH40773"/>
      <c r="EI40773"/>
      <c r="EJ40773"/>
      <c r="EK40773"/>
    </row>
    <row r="40774" spans="1:141" s="116" customFormat="1">
      <c r="A40774" s="136"/>
      <c r="CM40774" s="111"/>
      <c r="CQ40774" s="111"/>
      <c r="EF40774"/>
      <c r="EG40774"/>
      <c r="EH40774"/>
      <c r="EI40774"/>
      <c r="EJ40774"/>
      <c r="EK40774"/>
    </row>
    <row r="40775" spans="1:141" s="116" customFormat="1">
      <c r="A40775" s="136"/>
      <c r="CM40775" s="111"/>
      <c r="CQ40775" s="111"/>
      <c r="EF40775"/>
      <c r="EG40775"/>
      <c r="EH40775"/>
      <c r="EI40775"/>
      <c r="EJ40775"/>
      <c r="EK40775"/>
    </row>
    <row r="40776" spans="1:141" s="116" customFormat="1">
      <c r="A40776" s="136"/>
      <c r="CM40776" s="111"/>
      <c r="CQ40776" s="111"/>
      <c r="EF40776"/>
      <c r="EG40776"/>
      <c r="EH40776"/>
      <c r="EI40776"/>
      <c r="EJ40776"/>
      <c r="EK40776"/>
    </row>
    <row r="40777" spans="1:141" s="116" customFormat="1">
      <c r="A40777" s="136"/>
      <c r="CM40777" s="111"/>
      <c r="CQ40777" s="111"/>
      <c r="EF40777"/>
      <c r="EG40777"/>
      <c r="EH40777"/>
      <c r="EI40777"/>
      <c r="EJ40777"/>
      <c r="EK40777"/>
    </row>
    <row r="40778" spans="1:141" s="116" customFormat="1">
      <c r="A40778" s="136"/>
      <c r="CM40778" s="111"/>
      <c r="CQ40778" s="111"/>
      <c r="EF40778"/>
      <c r="EG40778"/>
      <c r="EH40778"/>
      <c r="EI40778"/>
      <c r="EJ40778"/>
      <c r="EK40778"/>
    </row>
    <row r="40779" spans="1:141" s="116" customFormat="1">
      <c r="A40779" s="136"/>
      <c r="CM40779" s="111"/>
      <c r="CQ40779" s="111"/>
      <c r="EF40779"/>
      <c r="EG40779"/>
      <c r="EH40779"/>
      <c r="EI40779"/>
      <c r="EJ40779"/>
      <c r="EK40779"/>
    </row>
    <row r="40780" spans="1:141" s="116" customFormat="1">
      <c r="A40780" s="136"/>
      <c r="CM40780" s="111"/>
      <c r="CQ40780" s="111"/>
      <c r="EF40780"/>
      <c r="EG40780"/>
      <c r="EH40780"/>
      <c r="EI40780"/>
      <c r="EJ40780"/>
      <c r="EK40780"/>
    </row>
    <row r="40781" spans="1:141" s="116" customFormat="1">
      <c r="A40781" s="136"/>
      <c r="CM40781" s="111"/>
      <c r="CQ40781" s="111"/>
      <c r="EF40781"/>
      <c r="EG40781"/>
      <c r="EH40781"/>
      <c r="EI40781"/>
      <c r="EJ40781"/>
      <c r="EK40781"/>
    </row>
    <row r="40782" spans="1:141" s="116" customFormat="1">
      <c r="A40782" s="136"/>
      <c r="CM40782" s="111"/>
      <c r="CQ40782" s="111"/>
      <c r="EF40782"/>
      <c r="EG40782"/>
      <c r="EH40782"/>
      <c r="EI40782"/>
      <c r="EJ40782"/>
      <c r="EK40782"/>
    </row>
    <row r="40783" spans="1:141" s="116" customFormat="1">
      <c r="A40783" s="136"/>
      <c r="CM40783" s="111"/>
      <c r="CQ40783" s="111"/>
      <c r="EF40783"/>
      <c r="EG40783"/>
      <c r="EH40783"/>
      <c r="EI40783"/>
      <c r="EJ40783"/>
      <c r="EK40783"/>
    </row>
    <row r="40784" spans="1:141" s="116" customFormat="1">
      <c r="A40784" s="136"/>
      <c r="CM40784" s="111"/>
      <c r="CQ40784" s="111"/>
      <c r="EF40784"/>
      <c r="EG40784"/>
      <c r="EH40784"/>
      <c r="EI40784"/>
      <c r="EJ40784"/>
      <c r="EK40784"/>
    </row>
    <row r="40785" spans="1:141" s="116" customFormat="1">
      <c r="A40785" s="136"/>
      <c r="CM40785" s="111"/>
      <c r="CQ40785" s="111"/>
      <c r="EF40785"/>
      <c r="EG40785"/>
      <c r="EH40785"/>
      <c r="EI40785"/>
      <c r="EJ40785"/>
      <c r="EK40785"/>
    </row>
    <row r="40786" spans="1:141" s="116" customFormat="1">
      <c r="A40786" s="136"/>
      <c r="CM40786" s="111"/>
      <c r="CQ40786" s="111"/>
      <c r="EF40786"/>
      <c r="EG40786"/>
      <c r="EH40786"/>
      <c r="EI40786"/>
      <c r="EJ40786"/>
      <c r="EK40786"/>
    </row>
    <row r="40787" spans="1:141" s="116" customFormat="1">
      <c r="A40787" s="136"/>
      <c r="CM40787" s="111"/>
      <c r="CQ40787" s="111"/>
      <c r="EF40787"/>
      <c r="EG40787"/>
      <c r="EH40787"/>
      <c r="EI40787"/>
      <c r="EJ40787"/>
      <c r="EK40787"/>
    </row>
    <row r="40788" spans="1:141" s="116" customFormat="1">
      <c r="A40788" s="136"/>
      <c r="CM40788" s="111"/>
      <c r="CQ40788" s="111"/>
      <c r="EF40788"/>
      <c r="EG40788"/>
      <c r="EH40788"/>
      <c r="EI40788"/>
      <c r="EJ40788"/>
      <c r="EK40788"/>
    </row>
    <row r="40789" spans="1:141" s="116" customFormat="1">
      <c r="A40789" s="136"/>
      <c r="CM40789" s="111"/>
      <c r="CQ40789" s="111"/>
      <c r="EF40789"/>
      <c r="EG40789"/>
      <c r="EH40789"/>
      <c r="EI40789"/>
      <c r="EJ40789"/>
      <c r="EK40789"/>
    </row>
    <row r="40790" spans="1:141" s="116" customFormat="1">
      <c r="A40790" s="136"/>
      <c r="CM40790" s="111"/>
      <c r="CQ40790" s="111"/>
      <c r="EF40790"/>
      <c r="EG40790"/>
      <c r="EH40790"/>
      <c r="EI40790"/>
      <c r="EJ40790"/>
      <c r="EK40790"/>
    </row>
    <row r="40791" spans="1:141" s="116" customFormat="1">
      <c r="A40791" s="136"/>
      <c r="CM40791" s="111"/>
      <c r="CQ40791" s="111"/>
      <c r="EF40791"/>
      <c r="EG40791"/>
      <c r="EH40791"/>
      <c r="EI40791"/>
      <c r="EJ40791"/>
      <c r="EK40791"/>
    </row>
    <row r="40792" spans="1:141" s="116" customFormat="1">
      <c r="A40792" s="136"/>
      <c r="CM40792" s="111"/>
      <c r="CQ40792" s="111"/>
      <c r="EF40792"/>
      <c r="EG40792"/>
      <c r="EH40792"/>
      <c r="EI40792"/>
      <c r="EJ40792"/>
      <c r="EK40792"/>
    </row>
    <row r="40793" spans="1:141" s="116" customFormat="1">
      <c r="A40793" s="136"/>
      <c r="CM40793" s="111"/>
      <c r="CQ40793" s="111"/>
      <c r="EF40793"/>
      <c r="EG40793"/>
      <c r="EH40793"/>
      <c r="EI40793"/>
      <c r="EJ40793"/>
      <c r="EK40793"/>
    </row>
    <row r="40794" spans="1:141" s="116" customFormat="1">
      <c r="A40794" s="136"/>
      <c r="CM40794" s="111"/>
      <c r="CQ40794" s="111"/>
      <c r="EF40794"/>
      <c r="EG40794"/>
      <c r="EH40794"/>
      <c r="EI40794"/>
      <c r="EJ40794"/>
      <c r="EK40794"/>
    </row>
    <row r="40795" spans="1:141" s="116" customFormat="1">
      <c r="A40795" s="136"/>
      <c r="CM40795" s="111"/>
      <c r="CQ40795" s="111"/>
      <c r="EF40795"/>
      <c r="EG40795"/>
      <c r="EH40795"/>
      <c r="EI40795"/>
      <c r="EJ40795"/>
      <c r="EK40795"/>
    </row>
    <row r="40796" spans="1:141" s="116" customFormat="1">
      <c r="A40796" s="136"/>
      <c r="CM40796" s="111"/>
      <c r="CQ40796" s="111"/>
      <c r="EF40796"/>
      <c r="EG40796"/>
      <c r="EH40796"/>
      <c r="EI40796"/>
      <c r="EJ40796"/>
      <c r="EK40796"/>
    </row>
    <row r="40797" spans="1:141" s="116" customFormat="1">
      <c r="A40797" s="136"/>
      <c r="CM40797" s="111"/>
      <c r="CQ40797" s="111"/>
      <c r="EF40797"/>
      <c r="EG40797"/>
      <c r="EH40797"/>
      <c r="EI40797"/>
      <c r="EJ40797"/>
      <c r="EK40797"/>
    </row>
    <row r="40798" spans="1:141" s="116" customFormat="1">
      <c r="A40798" s="136"/>
      <c r="CM40798" s="111"/>
      <c r="CQ40798" s="111"/>
      <c r="EF40798"/>
      <c r="EG40798"/>
      <c r="EH40798"/>
      <c r="EI40798"/>
      <c r="EJ40798"/>
      <c r="EK40798"/>
    </row>
    <row r="40799" spans="1:141" s="116" customFormat="1">
      <c r="A40799" s="136"/>
      <c r="CM40799" s="111"/>
      <c r="CQ40799" s="111"/>
      <c r="EF40799"/>
      <c r="EG40799"/>
      <c r="EH40799"/>
      <c r="EI40799"/>
      <c r="EJ40799"/>
      <c r="EK40799"/>
    </row>
    <row r="40800" spans="1:141" s="116" customFormat="1">
      <c r="A40800" s="136"/>
      <c r="CM40800" s="111"/>
      <c r="CQ40800" s="111"/>
      <c r="EF40800"/>
      <c r="EG40800"/>
      <c r="EH40800"/>
      <c r="EI40800"/>
      <c r="EJ40800"/>
      <c r="EK40800"/>
    </row>
    <row r="40801" spans="1:141" s="116" customFormat="1">
      <c r="A40801" s="136"/>
      <c r="CM40801" s="111"/>
      <c r="CQ40801" s="111"/>
      <c r="EF40801"/>
      <c r="EG40801"/>
      <c r="EH40801"/>
      <c r="EI40801"/>
      <c r="EJ40801"/>
      <c r="EK40801"/>
    </row>
    <row r="40802" spans="1:141" s="116" customFormat="1">
      <c r="A40802" s="136"/>
      <c r="CM40802" s="111"/>
      <c r="CQ40802" s="111"/>
      <c r="EF40802"/>
      <c r="EG40802"/>
      <c r="EH40802"/>
      <c r="EI40802"/>
      <c r="EJ40802"/>
      <c r="EK40802"/>
    </row>
    <row r="40803" spans="1:141" s="116" customFormat="1">
      <c r="A40803" s="136"/>
      <c r="CM40803" s="111"/>
      <c r="CQ40803" s="111"/>
      <c r="EF40803"/>
      <c r="EG40803"/>
      <c r="EH40803"/>
      <c r="EI40803"/>
      <c r="EJ40803"/>
      <c r="EK40803"/>
    </row>
    <row r="40804" spans="1:141" s="116" customFormat="1">
      <c r="A40804" s="136"/>
      <c r="CM40804" s="111"/>
      <c r="CQ40804" s="111"/>
      <c r="EF40804"/>
      <c r="EG40804"/>
      <c r="EH40804"/>
      <c r="EI40804"/>
      <c r="EJ40804"/>
      <c r="EK40804"/>
    </row>
    <row r="40805" spans="1:141" s="116" customFormat="1">
      <c r="A40805" s="136"/>
      <c r="CM40805" s="111"/>
      <c r="CQ40805" s="111"/>
      <c r="EF40805"/>
      <c r="EG40805"/>
      <c r="EH40805"/>
      <c r="EI40805"/>
      <c r="EJ40805"/>
      <c r="EK40805"/>
    </row>
    <row r="40806" spans="1:141" s="116" customFormat="1">
      <c r="A40806" s="136"/>
      <c r="CM40806" s="111"/>
      <c r="CQ40806" s="111"/>
      <c r="EF40806"/>
      <c r="EG40806"/>
      <c r="EH40806"/>
      <c r="EI40806"/>
      <c r="EJ40806"/>
      <c r="EK40806"/>
    </row>
    <row r="40807" spans="1:141" s="116" customFormat="1">
      <c r="A40807" s="136"/>
      <c r="CM40807" s="111"/>
      <c r="CQ40807" s="111"/>
      <c r="EF40807"/>
      <c r="EG40807"/>
      <c r="EH40807"/>
      <c r="EI40807"/>
      <c r="EJ40807"/>
      <c r="EK40807"/>
    </row>
    <row r="40808" spans="1:141" s="116" customFormat="1">
      <c r="A40808" s="136"/>
      <c r="CM40808" s="111"/>
      <c r="CQ40808" s="111"/>
      <c r="EF40808"/>
      <c r="EG40808"/>
      <c r="EH40808"/>
      <c r="EI40808"/>
      <c r="EJ40808"/>
      <c r="EK40808"/>
    </row>
    <row r="40809" spans="1:141" s="116" customFormat="1">
      <c r="A40809" s="136"/>
      <c r="CM40809" s="111"/>
      <c r="CQ40809" s="111"/>
      <c r="EF40809"/>
      <c r="EG40809"/>
      <c r="EH40809"/>
      <c r="EI40809"/>
      <c r="EJ40809"/>
      <c r="EK40809"/>
    </row>
    <row r="40810" spans="1:141" s="116" customFormat="1">
      <c r="A40810" s="136"/>
      <c r="CM40810" s="111"/>
      <c r="CQ40810" s="111"/>
      <c r="EF40810"/>
      <c r="EG40810"/>
      <c r="EH40810"/>
      <c r="EI40810"/>
      <c r="EJ40810"/>
      <c r="EK40810"/>
    </row>
    <row r="40811" spans="1:141" s="116" customFormat="1">
      <c r="A40811" s="136"/>
      <c r="CM40811" s="111"/>
      <c r="CQ40811" s="111"/>
      <c r="EF40811"/>
      <c r="EG40811"/>
      <c r="EH40811"/>
      <c r="EI40811"/>
      <c r="EJ40811"/>
      <c r="EK40811"/>
    </row>
    <row r="40812" spans="1:141" s="116" customFormat="1">
      <c r="A40812" s="136"/>
      <c r="CM40812" s="111"/>
      <c r="CQ40812" s="111"/>
      <c r="EF40812"/>
      <c r="EG40812"/>
      <c r="EH40812"/>
      <c r="EI40812"/>
      <c r="EJ40812"/>
      <c r="EK40812"/>
    </row>
    <row r="40813" spans="1:141" s="116" customFormat="1">
      <c r="A40813" s="136"/>
      <c r="CM40813" s="111"/>
      <c r="CQ40813" s="111"/>
      <c r="EF40813"/>
      <c r="EG40813"/>
      <c r="EH40813"/>
      <c r="EI40813"/>
      <c r="EJ40813"/>
      <c r="EK40813"/>
    </row>
    <row r="40814" spans="1:141" s="116" customFormat="1">
      <c r="A40814" s="136"/>
      <c r="CM40814" s="111"/>
      <c r="CQ40814" s="111"/>
      <c r="EF40814"/>
      <c r="EG40814"/>
      <c r="EH40814"/>
      <c r="EI40814"/>
      <c r="EJ40814"/>
      <c r="EK40814"/>
    </row>
    <row r="40815" spans="1:141" s="116" customFormat="1">
      <c r="A40815" s="136"/>
      <c r="CM40815" s="111"/>
      <c r="CQ40815" s="111"/>
      <c r="EF40815"/>
      <c r="EG40815"/>
      <c r="EH40815"/>
      <c r="EI40815"/>
      <c r="EJ40815"/>
      <c r="EK40815"/>
    </row>
    <row r="40816" spans="1:141" s="116" customFormat="1">
      <c r="A40816" s="136"/>
      <c r="CM40816" s="111"/>
      <c r="CQ40816" s="111"/>
      <c r="EF40816"/>
      <c r="EG40816"/>
      <c r="EH40816"/>
      <c r="EI40816"/>
      <c r="EJ40816"/>
      <c r="EK40816"/>
    </row>
    <row r="40817" spans="1:141" s="116" customFormat="1">
      <c r="A40817" s="136"/>
      <c r="CM40817" s="111"/>
      <c r="CQ40817" s="111"/>
      <c r="EF40817"/>
      <c r="EG40817"/>
      <c r="EH40817"/>
      <c r="EI40817"/>
      <c r="EJ40817"/>
      <c r="EK40817"/>
    </row>
    <row r="40818" spans="1:141" s="116" customFormat="1">
      <c r="A40818" s="136"/>
      <c r="CM40818" s="111"/>
      <c r="CQ40818" s="111"/>
      <c r="EF40818"/>
      <c r="EG40818"/>
      <c r="EH40818"/>
      <c r="EI40818"/>
      <c r="EJ40818"/>
      <c r="EK40818"/>
    </row>
    <row r="40819" spans="1:141" s="116" customFormat="1">
      <c r="A40819" s="136"/>
      <c r="CM40819" s="111"/>
      <c r="CQ40819" s="111"/>
      <c r="EF40819"/>
      <c r="EG40819"/>
      <c r="EH40819"/>
      <c r="EI40819"/>
      <c r="EJ40819"/>
      <c r="EK40819"/>
    </row>
    <row r="40820" spans="1:141" s="116" customFormat="1">
      <c r="A40820" s="136"/>
      <c r="CM40820" s="111"/>
      <c r="CQ40820" s="111"/>
      <c r="EF40820"/>
      <c r="EG40820"/>
      <c r="EH40820"/>
      <c r="EI40820"/>
      <c r="EJ40820"/>
      <c r="EK40820"/>
    </row>
    <row r="40821" spans="1:141" s="116" customFormat="1">
      <c r="A40821" s="136"/>
      <c r="CM40821" s="111"/>
      <c r="CQ40821" s="111"/>
      <c r="EF40821"/>
      <c r="EG40821"/>
      <c r="EH40821"/>
      <c r="EI40821"/>
      <c r="EJ40821"/>
      <c r="EK40821"/>
    </row>
    <row r="40822" spans="1:141" s="116" customFormat="1">
      <c r="A40822" s="136"/>
      <c r="CM40822" s="111"/>
      <c r="CQ40822" s="111"/>
      <c r="EF40822"/>
      <c r="EG40822"/>
      <c r="EH40822"/>
      <c r="EI40822"/>
      <c r="EJ40822"/>
      <c r="EK40822"/>
    </row>
    <row r="40823" spans="1:141" s="116" customFormat="1">
      <c r="A40823" s="136"/>
      <c r="CM40823" s="111"/>
      <c r="CQ40823" s="111"/>
      <c r="EF40823"/>
      <c r="EG40823"/>
      <c r="EH40823"/>
      <c r="EI40823"/>
      <c r="EJ40823"/>
      <c r="EK40823"/>
    </row>
    <row r="40824" spans="1:141" s="116" customFormat="1">
      <c r="A40824" s="136"/>
      <c r="CM40824" s="111"/>
      <c r="CQ40824" s="111"/>
      <c r="EF40824"/>
      <c r="EG40824"/>
      <c r="EH40824"/>
      <c r="EI40824"/>
      <c r="EJ40824"/>
      <c r="EK40824"/>
    </row>
    <row r="40825" spans="1:141" s="116" customFormat="1">
      <c r="A40825" s="136"/>
      <c r="CM40825" s="111"/>
      <c r="CQ40825" s="111"/>
      <c r="EF40825"/>
      <c r="EG40825"/>
      <c r="EH40825"/>
      <c r="EI40825"/>
      <c r="EJ40825"/>
      <c r="EK40825"/>
    </row>
    <row r="40826" spans="1:141" s="116" customFormat="1">
      <c r="A40826" s="136"/>
      <c r="CM40826" s="111"/>
      <c r="CQ40826" s="111"/>
      <c r="EF40826"/>
      <c r="EG40826"/>
      <c r="EH40826"/>
      <c r="EI40826"/>
      <c r="EJ40826"/>
      <c r="EK40826"/>
    </row>
    <row r="40827" spans="1:141" s="116" customFormat="1">
      <c r="A40827" s="136"/>
      <c r="CM40827" s="111"/>
      <c r="CQ40827" s="111"/>
      <c r="EF40827"/>
      <c r="EG40827"/>
      <c r="EH40827"/>
      <c r="EI40827"/>
      <c r="EJ40827"/>
      <c r="EK40827"/>
    </row>
    <row r="40828" spans="1:141" s="116" customFormat="1">
      <c r="A40828" s="136"/>
      <c r="CM40828" s="111"/>
      <c r="CQ40828" s="111"/>
      <c r="EF40828"/>
      <c r="EG40828"/>
      <c r="EH40828"/>
      <c r="EI40828"/>
      <c r="EJ40828"/>
      <c r="EK40828"/>
    </row>
    <row r="40829" spans="1:141" s="116" customFormat="1">
      <c r="A40829" s="136"/>
      <c r="CM40829" s="111"/>
      <c r="CQ40829" s="111"/>
      <c r="EF40829"/>
      <c r="EG40829"/>
      <c r="EH40829"/>
      <c r="EI40829"/>
      <c r="EJ40829"/>
      <c r="EK40829"/>
    </row>
    <row r="40830" spans="1:141" s="116" customFormat="1">
      <c r="A40830" s="136"/>
      <c r="CM40830" s="111"/>
      <c r="CQ40830" s="111"/>
      <c r="EF40830"/>
      <c r="EG40830"/>
      <c r="EH40830"/>
      <c r="EI40830"/>
      <c r="EJ40830"/>
      <c r="EK40830"/>
    </row>
    <row r="40831" spans="1:141" s="116" customFormat="1">
      <c r="A40831" s="136"/>
      <c r="CM40831" s="111"/>
      <c r="CQ40831" s="111"/>
      <c r="EF40831"/>
      <c r="EG40831"/>
      <c r="EH40831"/>
      <c r="EI40831"/>
      <c r="EJ40831"/>
      <c r="EK40831"/>
    </row>
    <row r="40832" spans="1:141" s="116" customFormat="1">
      <c r="A40832" s="136"/>
      <c r="CM40832" s="111"/>
      <c r="CQ40832" s="111"/>
      <c r="EF40832"/>
      <c r="EG40832"/>
      <c r="EH40832"/>
      <c r="EI40832"/>
      <c r="EJ40832"/>
      <c r="EK40832"/>
    </row>
    <row r="40833" spans="1:141" s="116" customFormat="1">
      <c r="A40833" s="136"/>
      <c r="CM40833" s="111"/>
      <c r="CQ40833" s="111"/>
      <c r="EF40833"/>
      <c r="EG40833"/>
      <c r="EH40833"/>
      <c r="EI40833"/>
      <c r="EJ40833"/>
      <c r="EK40833"/>
    </row>
    <row r="40834" spans="1:141" s="116" customFormat="1">
      <c r="A40834" s="136"/>
      <c r="CM40834" s="111"/>
      <c r="CQ40834" s="111"/>
      <c r="EF40834"/>
      <c r="EG40834"/>
      <c r="EH40834"/>
      <c r="EI40834"/>
      <c r="EJ40834"/>
      <c r="EK40834"/>
    </row>
    <row r="40835" spans="1:141" s="116" customFormat="1">
      <c r="A40835" s="136"/>
      <c r="CM40835" s="111"/>
      <c r="CQ40835" s="111"/>
      <c r="EF40835"/>
      <c r="EG40835"/>
      <c r="EH40835"/>
      <c r="EI40835"/>
      <c r="EJ40835"/>
      <c r="EK40835"/>
    </row>
    <row r="40836" spans="1:141" s="116" customFormat="1">
      <c r="A40836" s="136"/>
      <c r="CM40836" s="111"/>
      <c r="CQ40836" s="111"/>
      <c r="EF40836"/>
      <c r="EG40836"/>
      <c r="EH40836"/>
      <c r="EI40836"/>
      <c r="EJ40836"/>
      <c r="EK40836"/>
    </row>
    <row r="40837" spans="1:141" s="116" customFormat="1">
      <c r="A40837" s="136"/>
      <c r="CM40837" s="111"/>
      <c r="CQ40837" s="111"/>
      <c r="EF40837"/>
      <c r="EG40837"/>
      <c r="EH40837"/>
      <c r="EI40837"/>
      <c r="EJ40837"/>
      <c r="EK40837"/>
    </row>
    <row r="40838" spans="1:141" s="116" customFormat="1">
      <c r="A40838" s="136"/>
      <c r="CM40838" s="111"/>
      <c r="CQ40838" s="111"/>
      <c r="EF40838"/>
      <c r="EG40838"/>
      <c r="EH40838"/>
      <c r="EI40838"/>
      <c r="EJ40838"/>
      <c r="EK40838"/>
    </row>
    <row r="40839" spans="1:141" s="116" customFormat="1">
      <c r="A40839" s="136"/>
      <c r="CM40839" s="111"/>
      <c r="CQ40839" s="111"/>
      <c r="EF40839"/>
      <c r="EG40839"/>
      <c r="EH40839"/>
      <c r="EI40839"/>
      <c r="EJ40839"/>
      <c r="EK40839"/>
    </row>
    <row r="40840" spans="1:141" s="116" customFormat="1">
      <c r="A40840" s="136"/>
      <c r="CM40840" s="111"/>
      <c r="CQ40840" s="111"/>
      <c r="EF40840"/>
      <c r="EG40840"/>
      <c r="EH40840"/>
      <c r="EI40840"/>
      <c r="EJ40840"/>
      <c r="EK40840"/>
    </row>
    <row r="40841" spans="1:141" s="116" customFormat="1">
      <c r="A40841" s="136"/>
      <c r="CM40841" s="111"/>
      <c r="CQ40841" s="111"/>
      <c r="EF40841"/>
      <c r="EG40841"/>
      <c r="EH40841"/>
      <c r="EI40841"/>
      <c r="EJ40841"/>
      <c r="EK40841"/>
    </row>
    <row r="40842" spans="1:141" s="116" customFormat="1">
      <c r="A40842" s="136"/>
      <c r="CM40842" s="111"/>
      <c r="CQ40842" s="111"/>
      <c r="EF40842"/>
      <c r="EG40842"/>
      <c r="EH40842"/>
      <c r="EI40842"/>
      <c r="EJ40842"/>
      <c r="EK40842"/>
    </row>
    <row r="40843" spans="1:141" s="116" customFormat="1">
      <c r="A40843" s="136"/>
      <c r="CM40843" s="111"/>
      <c r="CQ40843" s="111"/>
      <c r="EF40843"/>
      <c r="EG40843"/>
      <c r="EH40843"/>
      <c r="EI40843"/>
      <c r="EJ40843"/>
      <c r="EK40843"/>
    </row>
    <row r="40844" spans="1:141" s="116" customFormat="1">
      <c r="A40844" s="136"/>
      <c r="CM40844" s="111"/>
      <c r="CQ40844" s="111"/>
      <c r="EF40844"/>
      <c r="EG40844"/>
      <c r="EH40844"/>
      <c r="EI40844"/>
      <c r="EJ40844"/>
      <c r="EK40844"/>
    </row>
    <row r="40845" spans="1:141" s="116" customFormat="1">
      <c r="A40845" s="136"/>
      <c r="CM40845" s="111"/>
      <c r="CQ40845" s="111"/>
      <c r="EF40845"/>
      <c r="EG40845"/>
      <c r="EH40845"/>
      <c r="EI40845"/>
      <c r="EJ40845"/>
      <c r="EK40845"/>
    </row>
    <row r="40846" spans="1:141" s="116" customFormat="1">
      <c r="A40846" s="136"/>
      <c r="CM40846" s="111"/>
      <c r="CQ40846" s="111"/>
      <c r="EF40846"/>
      <c r="EG40846"/>
      <c r="EH40846"/>
      <c r="EI40846"/>
      <c r="EJ40846"/>
      <c r="EK40846"/>
    </row>
    <row r="40847" spans="1:141" s="116" customFormat="1">
      <c r="A40847" s="136"/>
      <c r="CM40847" s="111"/>
      <c r="CQ40847" s="111"/>
      <c r="EF40847"/>
      <c r="EG40847"/>
      <c r="EH40847"/>
      <c r="EI40847"/>
      <c r="EJ40847"/>
      <c r="EK40847"/>
    </row>
    <row r="40848" spans="1:141" s="116" customFormat="1">
      <c r="A40848" s="136"/>
      <c r="CM40848" s="111"/>
      <c r="CQ40848" s="111"/>
      <c r="EF40848"/>
      <c r="EG40848"/>
      <c r="EH40848"/>
      <c r="EI40848"/>
      <c r="EJ40848"/>
      <c r="EK40848"/>
    </row>
    <row r="40849" spans="1:141" s="116" customFormat="1">
      <c r="A40849" s="136"/>
      <c r="CM40849" s="111"/>
      <c r="CQ40849" s="111"/>
      <c r="EF40849"/>
      <c r="EG40849"/>
      <c r="EH40849"/>
      <c r="EI40849"/>
      <c r="EJ40849"/>
      <c r="EK40849"/>
    </row>
    <row r="40850" spans="1:141" s="116" customFormat="1">
      <c r="A40850" s="136"/>
      <c r="CM40850" s="111"/>
      <c r="CQ40850" s="111"/>
      <c r="EF40850"/>
      <c r="EG40850"/>
      <c r="EH40850"/>
      <c r="EI40850"/>
      <c r="EJ40850"/>
      <c r="EK40850"/>
    </row>
    <row r="40851" spans="1:141" s="116" customFormat="1">
      <c r="A40851" s="136"/>
      <c r="CM40851" s="111"/>
      <c r="CQ40851" s="111"/>
      <c r="EF40851"/>
      <c r="EG40851"/>
      <c r="EH40851"/>
      <c r="EI40851"/>
      <c r="EJ40851"/>
      <c r="EK40851"/>
    </row>
    <row r="40852" spans="1:141" s="116" customFormat="1">
      <c r="A40852" s="136"/>
      <c r="CM40852" s="111"/>
      <c r="CQ40852" s="111"/>
      <c r="EF40852"/>
      <c r="EG40852"/>
      <c r="EH40852"/>
      <c r="EI40852"/>
      <c r="EJ40852"/>
      <c r="EK40852"/>
    </row>
    <row r="40853" spans="1:141" s="116" customFormat="1">
      <c r="A40853" s="136"/>
      <c r="CM40853" s="111"/>
      <c r="CQ40853" s="111"/>
      <c r="EF40853"/>
      <c r="EG40853"/>
      <c r="EH40853"/>
      <c r="EI40853"/>
      <c r="EJ40853"/>
      <c r="EK40853"/>
    </row>
    <row r="40854" spans="1:141" s="116" customFormat="1">
      <c r="A40854" s="136"/>
      <c r="CM40854" s="111"/>
      <c r="CQ40854" s="111"/>
      <c r="EF40854"/>
      <c r="EG40854"/>
      <c r="EH40854"/>
      <c r="EI40854"/>
      <c r="EJ40854"/>
      <c r="EK40854"/>
    </row>
    <row r="40855" spans="1:141" s="116" customFormat="1">
      <c r="A40855" s="136"/>
      <c r="CM40855" s="111"/>
      <c r="CQ40855" s="111"/>
      <c r="EF40855"/>
      <c r="EG40855"/>
      <c r="EH40855"/>
      <c r="EI40855"/>
      <c r="EJ40855"/>
      <c r="EK40855"/>
    </row>
    <row r="40856" spans="1:141" s="116" customFormat="1">
      <c r="A40856" s="136"/>
      <c r="CM40856" s="111"/>
      <c r="CQ40856" s="111"/>
      <c r="EF40856"/>
      <c r="EG40856"/>
      <c r="EH40856"/>
      <c r="EI40856"/>
      <c r="EJ40856"/>
      <c r="EK40856"/>
    </row>
    <row r="40857" spans="1:141" s="116" customFormat="1">
      <c r="A40857" s="136"/>
      <c r="CM40857" s="111"/>
      <c r="CQ40857" s="111"/>
      <c r="EF40857"/>
      <c r="EG40857"/>
      <c r="EH40857"/>
      <c r="EI40857"/>
      <c r="EJ40857"/>
      <c r="EK40857"/>
    </row>
    <row r="40858" spans="1:141" s="116" customFormat="1">
      <c r="A40858" s="136"/>
      <c r="CM40858" s="111"/>
      <c r="CQ40858" s="111"/>
      <c r="EF40858"/>
      <c r="EG40858"/>
      <c r="EH40858"/>
      <c r="EI40858"/>
      <c r="EJ40858"/>
      <c r="EK40858"/>
    </row>
    <row r="40859" spans="1:141" s="116" customFormat="1">
      <c r="A40859" s="136"/>
      <c r="CM40859" s="111"/>
      <c r="CQ40859" s="111"/>
      <c r="EF40859"/>
      <c r="EG40859"/>
      <c r="EH40859"/>
      <c r="EI40859"/>
      <c r="EJ40859"/>
      <c r="EK40859"/>
    </row>
    <row r="40860" spans="1:141" s="116" customFormat="1">
      <c r="A40860" s="136"/>
      <c r="CM40860" s="111"/>
      <c r="CQ40860" s="111"/>
      <c r="EF40860"/>
      <c r="EG40860"/>
      <c r="EH40860"/>
      <c r="EI40860"/>
      <c r="EJ40860"/>
      <c r="EK40860"/>
    </row>
    <row r="40861" spans="1:141" s="116" customFormat="1">
      <c r="A40861" s="136"/>
      <c r="CM40861" s="111"/>
      <c r="CQ40861" s="111"/>
      <c r="EF40861"/>
      <c r="EG40861"/>
      <c r="EH40861"/>
      <c r="EI40861"/>
      <c r="EJ40861"/>
      <c r="EK40861"/>
    </row>
    <row r="40862" spans="1:141" s="116" customFormat="1">
      <c r="A40862" s="136"/>
      <c r="CM40862" s="111"/>
      <c r="CQ40862" s="111"/>
      <c r="EF40862"/>
      <c r="EG40862"/>
      <c r="EH40862"/>
      <c r="EI40862"/>
      <c r="EJ40862"/>
      <c r="EK40862"/>
    </row>
    <row r="40863" spans="1:141" s="116" customFormat="1">
      <c r="A40863" s="136"/>
      <c r="CM40863" s="111"/>
      <c r="CQ40863" s="111"/>
      <c r="EF40863"/>
      <c r="EG40863"/>
      <c r="EH40863"/>
      <c r="EI40863"/>
      <c r="EJ40863"/>
      <c r="EK40863"/>
    </row>
    <row r="40864" spans="1:141" s="116" customFormat="1">
      <c r="A40864" s="136"/>
      <c r="CM40864" s="111"/>
      <c r="CQ40864" s="111"/>
      <c r="EF40864"/>
      <c r="EG40864"/>
      <c r="EH40864"/>
      <c r="EI40864"/>
      <c r="EJ40864"/>
      <c r="EK40864"/>
    </row>
    <row r="40865" spans="1:141" s="116" customFormat="1">
      <c r="A40865" s="136"/>
      <c r="CM40865" s="111"/>
      <c r="CQ40865" s="111"/>
      <c r="EF40865"/>
      <c r="EG40865"/>
      <c r="EH40865"/>
      <c r="EI40865"/>
      <c r="EJ40865"/>
      <c r="EK40865"/>
    </row>
    <row r="40866" spans="1:141" s="116" customFormat="1">
      <c r="A40866" s="136"/>
      <c r="CM40866" s="111"/>
      <c r="CQ40866" s="111"/>
      <c r="EF40866"/>
      <c r="EG40866"/>
      <c r="EH40866"/>
      <c r="EI40866"/>
      <c r="EJ40866"/>
      <c r="EK40866"/>
    </row>
    <row r="40867" spans="1:141" s="116" customFormat="1">
      <c r="A40867" s="136"/>
      <c r="CM40867" s="111"/>
      <c r="CQ40867" s="111"/>
      <c r="EF40867"/>
      <c r="EG40867"/>
      <c r="EH40867"/>
      <c r="EI40867"/>
      <c r="EJ40867"/>
      <c r="EK40867"/>
    </row>
    <row r="40868" spans="1:141" s="116" customFormat="1">
      <c r="A40868" s="136"/>
      <c r="CM40868" s="111"/>
      <c r="CQ40868" s="111"/>
      <c r="EF40868"/>
      <c r="EG40868"/>
      <c r="EH40868"/>
      <c r="EI40868"/>
      <c r="EJ40868"/>
      <c r="EK40868"/>
    </row>
    <row r="40869" spans="1:141" s="116" customFormat="1">
      <c r="A40869" s="136"/>
      <c r="CM40869" s="111"/>
      <c r="CQ40869" s="111"/>
      <c r="EF40869"/>
      <c r="EG40869"/>
      <c r="EH40869"/>
      <c r="EI40869"/>
      <c r="EJ40869"/>
      <c r="EK40869"/>
    </row>
    <row r="40870" spans="1:141" s="116" customFormat="1">
      <c r="A40870" s="136"/>
      <c r="CM40870" s="111"/>
      <c r="CQ40870" s="111"/>
      <c r="EF40870"/>
      <c r="EG40870"/>
      <c r="EH40870"/>
      <c r="EI40870"/>
      <c r="EJ40870"/>
      <c r="EK40870"/>
    </row>
    <row r="40871" spans="1:141" s="116" customFormat="1">
      <c r="A40871" s="136"/>
      <c r="CM40871" s="111"/>
      <c r="CQ40871" s="111"/>
      <c r="EF40871"/>
      <c r="EG40871"/>
      <c r="EH40871"/>
      <c r="EI40871"/>
      <c r="EJ40871"/>
      <c r="EK40871"/>
    </row>
    <row r="40872" spans="1:141" s="116" customFormat="1">
      <c r="A40872" s="136"/>
      <c r="CM40872" s="111"/>
      <c r="CQ40872" s="111"/>
      <c r="EF40872"/>
      <c r="EG40872"/>
      <c r="EH40872"/>
      <c r="EI40872"/>
      <c r="EJ40872"/>
      <c r="EK40872"/>
    </row>
    <row r="40873" spans="1:141" s="116" customFormat="1">
      <c r="A40873" s="136"/>
      <c r="CM40873" s="111"/>
      <c r="CQ40873" s="111"/>
      <c r="EF40873"/>
      <c r="EG40873"/>
      <c r="EH40873"/>
      <c r="EI40873"/>
      <c r="EJ40873"/>
      <c r="EK40873"/>
    </row>
    <row r="40874" spans="1:141" s="116" customFormat="1">
      <c r="A40874" s="136"/>
      <c r="CM40874" s="111"/>
      <c r="CQ40874" s="111"/>
      <c r="EF40874"/>
      <c r="EG40874"/>
      <c r="EH40874"/>
      <c r="EI40874"/>
      <c r="EJ40874"/>
      <c r="EK40874"/>
    </row>
    <row r="40875" spans="1:141" s="116" customFormat="1">
      <c r="A40875" s="136"/>
      <c r="CM40875" s="111"/>
      <c r="CQ40875" s="111"/>
      <c r="EF40875"/>
      <c r="EG40875"/>
      <c r="EH40875"/>
      <c r="EI40875"/>
      <c r="EJ40875"/>
      <c r="EK40875"/>
    </row>
    <row r="40876" spans="1:141" s="116" customFormat="1">
      <c r="A40876" s="136"/>
      <c r="CM40876" s="111"/>
      <c r="CQ40876" s="111"/>
      <c r="EF40876"/>
      <c r="EG40876"/>
      <c r="EH40876"/>
      <c r="EI40876"/>
      <c r="EJ40876"/>
      <c r="EK40876"/>
    </row>
    <row r="40877" spans="1:141" s="116" customFormat="1">
      <c r="A40877" s="136"/>
      <c r="CM40877" s="111"/>
      <c r="CQ40877" s="111"/>
      <c r="EF40877"/>
      <c r="EG40877"/>
      <c r="EH40877"/>
      <c r="EI40877"/>
      <c r="EJ40877"/>
      <c r="EK40877"/>
    </row>
    <row r="40878" spans="1:141" s="116" customFormat="1">
      <c r="A40878" s="136"/>
      <c r="CM40878" s="111"/>
      <c r="CQ40878" s="111"/>
      <c r="EF40878"/>
      <c r="EG40878"/>
      <c r="EH40878"/>
      <c r="EI40878"/>
      <c r="EJ40878"/>
      <c r="EK40878"/>
    </row>
    <row r="40879" spans="1:141" s="116" customFormat="1">
      <c r="A40879" s="136"/>
      <c r="CM40879" s="111"/>
      <c r="CQ40879" s="111"/>
      <c r="EF40879"/>
      <c r="EG40879"/>
      <c r="EH40879"/>
      <c r="EI40879"/>
      <c r="EJ40879"/>
      <c r="EK40879"/>
    </row>
    <row r="40880" spans="1:141" s="116" customFormat="1">
      <c r="A40880" s="136"/>
      <c r="CM40880" s="111"/>
      <c r="CQ40880" s="111"/>
      <c r="EF40880"/>
      <c r="EG40880"/>
      <c r="EH40880"/>
      <c r="EI40880"/>
      <c r="EJ40880"/>
      <c r="EK40880"/>
    </row>
    <row r="40881" spans="1:141" s="116" customFormat="1">
      <c r="A40881" s="136"/>
      <c r="CM40881" s="111"/>
      <c r="CQ40881" s="111"/>
      <c r="EF40881"/>
      <c r="EG40881"/>
      <c r="EH40881"/>
      <c r="EI40881"/>
      <c r="EJ40881"/>
      <c r="EK40881"/>
    </row>
    <row r="40882" spans="1:141" s="116" customFormat="1">
      <c r="A40882" s="136"/>
      <c r="CM40882" s="111"/>
      <c r="CQ40882" s="111"/>
      <c r="EF40882"/>
      <c r="EG40882"/>
      <c r="EH40882"/>
      <c r="EI40882"/>
      <c r="EJ40882"/>
      <c r="EK40882"/>
    </row>
    <row r="40883" spans="1:141" s="116" customFormat="1">
      <c r="A40883" s="136"/>
      <c r="CM40883" s="111"/>
      <c r="CQ40883" s="111"/>
      <c r="EF40883"/>
      <c r="EG40883"/>
      <c r="EH40883"/>
      <c r="EI40883"/>
      <c r="EJ40883"/>
      <c r="EK40883"/>
    </row>
    <row r="40884" spans="1:141" s="116" customFormat="1">
      <c r="A40884" s="136"/>
      <c r="CM40884" s="111"/>
      <c r="CQ40884" s="111"/>
      <c r="EF40884"/>
      <c r="EG40884"/>
      <c r="EH40884"/>
      <c r="EI40884"/>
      <c r="EJ40884"/>
      <c r="EK40884"/>
    </row>
    <row r="40885" spans="1:141" s="116" customFormat="1">
      <c r="A40885" s="136"/>
      <c r="CM40885" s="111"/>
      <c r="CQ40885" s="111"/>
      <c r="EF40885"/>
      <c r="EG40885"/>
      <c r="EH40885"/>
      <c r="EI40885"/>
      <c r="EJ40885"/>
      <c r="EK40885"/>
    </row>
    <row r="40886" spans="1:141" s="116" customFormat="1">
      <c r="A40886" s="136"/>
      <c r="CM40886" s="111"/>
      <c r="CQ40886" s="111"/>
      <c r="EF40886"/>
      <c r="EG40886"/>
      <c r="EH40886"/>
      <c r="EI40886"/>
      <c r="EJ40886"/>
      <c r="EK40886"/>
    </row>
    <row r="40887" spans="1:141" s="116" customFormat="1">
      <c r="A40887" s="136"/>
      <c r="CM40887" s="111"/>
      <c r="CQ40887" s="111"/>
      <c r="EF40887"/>
      <c r="EG40887"/>
      <c r="EH40887"/>
      <c r="EI40887"/>
      <c r="EJ40887"/>
      <c r="EK40887"/>
    </row>
    <row r="40888" spans="1:141" s="116" customFormat="1">
      <c r="A40888" s="136"/>
      <c r="CM40888" s="111"/>
      <c r="CQ40888" s="111"/>
      <c r="EF40888"/>
      <c r="EG40888"/>
      <c r="EH40888"/>
      <c r="EI40888"/>
      <c r="EJ40888"/>
      <c r="EK40888"/>
    </row>
    <row r="40889" spans="1:141" s="116" customFormat="1">
      <c r="A40889" s="136"/>
      <c r="CM40889" s="111"/>
      <c r="CQ40889" s="111"/>
      <c r="EF40889"/>
      <c r="EG40889"/>
      <c r="EH40889"/>
      <c r="EI40889"/>
      <c r="EJ40889"/>
      <c r="EK40889"/>
    </row>
    <row r="40890" spans="1:141" s="116" customFormat="1">
      <c r="A40890" s="136"/>
      <c r="CM40890" s="111"/>
      <c r="CQ40890" s="111"/>
      <c r="EF40890"/>
      <c r="EG40890"/>
      <c r="EH40890"/>
      <c r="EI40890"/>
      <c r="EJ40890"/>
      <c r="EK40890"/>
    </row>
    <row r="40891" spans="1:141" s="116" customFormat="1">
      <c r="A40891" s="136"/>
      <c r="CM40891" s="111"/>
      <c r="CQ40891" s="111"/>
      <c r="EF40891"/>
      <c r="EG40891"/>
      <c r="EH40891"/>
      <c r="EI40891"/>
      <c r="EJ40891"/>
      <c r="EK40891"/>
    </row>
    <row r="40892" spans="1:141" s="116" customFormat="1">
      <c r="A40892" s="136"/>
      <c r="CM40892" s="111"/>
      <c r="CQ40892" s="111"/>
      <c r="EF40892"/>
      <c r="EG40892"/>
      <c r="EH40892"/>
      <c r="EI40892"/>
      <c r="EJ40892"/>
      <c r="EK40892"/>
    </row>
    <row r="40893" spans="1:141" s="116" customFormat="1">
      <c r="A40893" s="136"/>
      <c r="CM40893" s="111"/>
      <c r="CQ40893" s="111"/>
      <c r="EF40893"/>
      <c r="EG40893"/>
      <c r="EH40893"/>
      <c r="EI40893"/>
      <c r="EJ40893"/>
      <c r="EK40893"/>
    </row>
    <row r="40894" spans="1:141" s="116" customFormat="1">
      <c r="A40894" s="136"/>
      <c r="CM40894" s="111"/>
      <c r="CQ40894" s="111"/>
      <c r="EF40894"/>
      <c r="EG40894"/>
      <c r="EH40894"/>
      <c r="EI40894"/>
      <c r="EJ40894"/>
      <c r="EK40894"/>
    </row>
    <row r="40895" spans="1:141" s="116" customFormat="1">
      <c r="A40895" s="136"/>
      <c r="CM40895" s="111"/>
      <c r="CQ40895" s="111"/>
      <c r="EF40895"/>
      <c r="EG40895"/>
      <c r="EH40895"/>
      <c r="EI40895"/>
      <c r="EJ40895"/>
      <c r="EK40895"/>
    </row>
    <row r="40896" spans="1:141" s="116" customFormat="1">
      <c r="A40896" s="136"/>
      <c r="CM40896" s="111"/>
      <c r="CQ40896" s="111"/>
      <c r="EF40896"/>
      <c r="EG40896"/>
      <c r="EH40896"/>
      <c r="EI40896"/>
      <c r="EJ40896"/>
      <c r="EK40896"/>
    </row>
    <row r="40897" spans="1:141" s="116" customFormat="1">
      <c r="A40897" s="136"/>
      <c r="CM40897" s="111"/>
      <c r="CQ40897" s="111"/>
      <c r="EF40897"/>
      <c r="EG40897"/>
      <c r="EH40897"/>
      <c r="EI40897"/>
      <c r="EJ40897"/>
      <c r="EK40897"/>
    </row>
    <row r="40898" spans="1:141" s="116" customFormat="1">
      <c r="A40898" s="136"/>
      <c r="CM40898" s="111"/>
      <c r="CQ40898" s="111"/>
      <c r="EF40898"/>
      <c r="EG40898"/>
      <c r="EH40898"/>
      <c r="EI40898"/>
      <c r="EJ40898"/>
      <c r="EK40898"/>
    </row>
    <row r="40899" spans="1:141" s="116" customFormat="1">
      <c r="A40899" s="136"/>
      <c r="CM40899" s="111"/>
      <c r="CQ40899" s="111"/>
      <c r="EF40899"/>
      <c r="EG40899"/>
      <c r="EH40899"/>
      <c r="EI40899"/>
      <c r="EJ40899"/>
      <c r="EK40899"/>
    </row>
    <row r="40900" spans="1:141" s="116" customFormat="1">
      <c r="A40900" s="136"/>
      <c r="CM40900" s="111"/>
      <c r="CQ40900" s="111"/>
      <c r="EF40900"/>
      <c r="EG40900"/>
      <c r="EH40900"/>
      <c r="EI40900"/>
      <c r="EJ40900"/>
      <c r="EK40900"/>
    </row>
    <row r="40901" spans="1:141" s="116" customFormat="1">
      <c r="A40901" s="136"/>
      <c r="CM40901" s="111"/>
      <c r="CQ40901" s="111"/>
      <c r="EF40901"/>
      <c r="EG40901"/>
      <c r="EH40901"/>
      <c r="EI40901"/>
      <c r="EJ40901"/>
      <c r="EK40901"/>
    </row>
    <row r="40902" spans="1:141" s="116" customFormat="1">
      <c r="A40902" s="136"/>
      <c r="CM40902" s="111"/>
      <c r="CQ40902" s="111"/>
      <c r="EF40902"/>
      <c r="EG40902"/>
      <c r="EH40902"/>
      <c r="EI40902"/>
      <c r="EJ40902"/>
      <c r="EK40902"/>
    </row>
    <row r="40903" spans="1:141" s="116" customFormat="1">
      <c r="A40903" s="136"/>
      <c r="CM40903" s="111"/>
      <c r="CQ40903" s="111"/>
      <c r="EF40903"/>
      <c r="EG40903"/>
      <c r="EH40903"/>
      <c r="EI40903"/>
      <c r="EJ40903"/>
      <c r="EK40903"/>
    </row>
    <row r="40904" spans="1:141" s="116" customFormat="1">
      <c r="A40904" s="136"/>
      <c r="CM40904" s="111"/>
      <c r="CQ40904" s="111"/>
      <c r="EF40904"/>
      <c r="EG40904"/>
      <c r="EH40904"/>
      <c r="EI40904"/>
      <c r="EJ40904"/>
      <c r="EK40904"/>
    </row>
    <row r="40905" spans="1:141" s="116" customFormat="1">
      <c r="A40905" s="136"/>
      <c r="CM40905" s="111"/>
      <c r="CQ40905" s="111"/>
      <c r="EF40905"/>
      <c r="EG40905"/>
      <c r="EH40905"/>
      <c r="EI40905"/>
      <c r="EJ40905"/>
      <c r="EK40905"/>
    </row>
    <row r="40906" spans="1:141" s="116" customFormat="1">
      <c r="A40906" s="136"/>
      <c r="CM40906" s="111"/>
      <c r="CQ40906" s="111"/>
      <c r="EF40906"/>
      <c r="EG40906"/>
      <c r="EH40906"/>
      <c r="EI40906"/>
      <c r="EJ40906"/>
      <c r="EK40906"/>
    </row>
    <row r="40907" spans="1:141" s="116" customFormat="1">
      <c r="A40907" s="136"/>
      <c r="CM40907" s="111"/>
      <c r="CQ40907" s="111"/>
      <c r="EF40907"/>
      <c r="EG40907"/>
      <c r="EH40907"/>
      <c r="EI40907"/>
      <c r="EJ40907"/>
      <c r="EK40907"/>
    </row>
    <row r="40908" spans="1:141" s="116" customFormat="1">
      <c r="A40908" s="136"/>
      <c r="CM40908" s="111"/>
      <c r="CQ40908" s="111"/>
      <c r="EF40908"/>
      <c r="EG40908"/>
      <c r="EH40908"/>
      <c r="EI40908"/>
      <c r="EJ40908"/>
      <c r="EK40908"/>
    </row>
    <row r="40909" spans="1:141" s="116" customFormat="1">
      <c r="A40909" s="136"/>
      <c r="CM40909" s="111"/>
      <c r="CQ40909" s="111"/>
      <c r="EF40909"/>
      <c r="EG40909"/>
      <c r="EH40909"/>
      <c r="EI40909"/>
      <c r="EJ40909"/>
      <c r="EK40909"/>
    </row>
    <row r="40910" spans="1:141" s="116" customFormat="1">
      <c r="A40910" s="136"/>
      <c r="CM40910" s="111"/>
      <c r="CQ40910" s="111"/>
      <c r="EF40910"/>
      <c r="EG40910"/>
      <c r="EH40910"/>
      <c r="EI40910"/>
      <c r="EJ40910"/>
      <c r="EK40910"/>
    </row>
    <row r="40911" spans="1:141" s="116" customFormat="1">
      <c r="A40911" s="136"/>
      <c r="CM40911" s="111"/>
      <c r="CQ40911" s="111"/>
      <c r="EF40911"/>
      <c r="EG40911"/>
      <c r="EH40911"/>
      <c r="EI40911"/>
      <c r="EJ40911"/>
      <c r="EK40911"/>
    </row>
    <row r="40912" spans="1:141" s="116" customFormat="1">
      <c r="A40912" s="136"/>
      <c r="CM40912" s="111"/>
      <c r="CQ40912" s="111"/>
      <c r="EF40912"/>
      <c r="EG40912"/>
      <c r="EH40912"/>
      <c r="EI40912"/>
      <c r="EJ40912"/>
      <c r="EK40912"/>
    </row>
    <row r="40913" spans="1:141" s="116" customFormat="1">
      <c r="A40913" s="136"/>
      <c r="CM40913" s="111"/>
      <c r="CQ40913" s="111"/>
      <c r="EF40913"/>
      <c r="EG40913"/>
      <c r="EH40913"/>
      <c r="EI40913"/>
      <c r="EJ40913"/>
      <c r="EK40913"/>
    </row>
    <row r="40914" spans="1:141" s="116" customFormat="1">
      <c r="A40914" s="136"/>
      <c r="CM40914" s="111"/>
      <c r="CQ40914" s="111"/>
      <c r="EF40914"/>
      <c r="EG40914"/>
      <c r="EH40914"/>
      <c r="EI40914"/>
      <c r="EJ40914"/>
      <c r="EK40914"/>
    </row>
    <row r="40915" spans="1:141" s="116" customFormat="1">
      <c r="A40915" s="136"/>
      <c r="CM40915" s="111"/>
      <c r="CQ40915" s="111"/>
      <c r="EF40915"/>
      <c r="EG40915"/>
      <c r="EH40915"/>
      <c r="EI40915"/>
      <c r="EJ40915"/>
      <c r="EK40915"/>
    </row>
    <row r="40916" spans="1:141" s="116" customFormat="1">
      <c r="A40916" s="136"/>
      <c r="CM40916" s="111"/>
      <c r="CQ40916" s="111"/>
      <c r="EF40916"/>
      <c r="EG40916"/>
      <c r="EH40916"/>
      <c r="EI40916"/>
      <c r="EJ40916"/>
      <c r="EK40916"/>
    </row>
    <row r="40917" spans="1:141" s="116" customFormat="1">
      <c r="A40917" s="136"/>
      <c r="CM40917" s="111"/>
      <c r="CQ40917" s="111"/>
      <c r="EF40917"/>
      <c r="EG40917"/>
      <c r="EH40917"/>
      <c r="EI40917"/>
      <c r="EJ40917"/>
      <c r="EK40917"/>
    </row>
    <row r="40918" spans="1:141" s="116" customFormat="1">
      <c r="A40918" s="136"/>
      <c r="CM40918" s="111"/>
      <c r="CQ40918" s="111"/>
      <c r="EF40918"/>
      <c r="EG40918"/>
      <c r="EH40918"/>
      <c r="EI40918"/>
      <c r="EJ40918"/>
      <c r="EK40918"/>
    </row>
    <row r="40919" spans="1:141" s="116" customFormat="1">
      <c r="A40919" s="136"/>
      <c r="CM40919" s="111"/>
      <c r="CQ40919" s="111"/>
      <c r="EF40919"/>
      <c r="EG40919"/>
      <c r="EH40919"/>
      <c r="EI40919"/>
      <c r="EJ40919"/>
      <c r="EK40919"/>
    </row>
    <row r="40920" spans="1:141" s="116" customFormat="1">
      <c r="A40920" s="136"/>
      <c r="CM40920" s="111"/>
      <c r="CQ40920" s="111"/>
      <c r="EF40920"/>
      <c r="EG40920"/>
      <c r="EH40920"/>
      <c r="EI40920"/>
      <c r="EJ40920"/>
      <c r="EK40920"/>
    </row>
    <row r="40921" spans="1:141" s="116" customFormat="1">
      <c r="A40921" s="136"/>
      <c r="CM40921" s="111"/>
      <c r="CQ40921" s="111"/>
      <c r="EF40921"/>
      <c r="EG40921"/>
      <c r="EH40921"/>
      <c r="EI40921"/>
      <c r="EJ40921"/>
      <c r="EK40921"/>
    </row>
    <row r="40922" spans="1:141" s="116" customFormat="1">
      <c r="A40922" s="136"/>
      <c r="CM40922" s="111"/>
      <c r="CQ40922" s="111"/>
      <c r="EF40922"/>
      <c r="EG40922"/>
      <c r="EH40922"/>
      <c r="EI40922"/>
      <c r="EJ40922"/>
      <c r="EK40922"/>
    </row>
    <row r="40923" spans="1:141" s="116" customFormat="1">
      <c r="A40923" s="136"/>
      <c r="CM40923" s="111"/>
      <c r="CQ40923" s="111"/>
      <c r="EF40923"/>
      <c r="EG40923"/>
      <c r="EH40923"/>
      <c r="EI40923"/>
      <c r="EJ40923"/>
      <c r="EK40923"/>
    </row>
    <row r="40924" spans="1:141" s="116" customFormat="1">
      <c r="A40924" s="136"/>
      <c r="CM40924" s="111"/>
      <c r="CQ40924" s="111"/>
      <c r="EF40924"/>
      <c r="EG40924"/>
      <c r="EH40924"/>
      <c r="EI40924"/>
      <c r="EJ40924"/>
      <c r="EK40924"/>
    </row>
    <row r="40925" spans="1:141" s="116" customFormat="1">
      <c r="A40925" s="136"/>
      <c r="CM40925" s="111"/>
      <c r="CQ40925" s="111"/>
      <c r="EF40925"/>
      <c r="EG40925"/>
      <c r="EH40925"/>
      <c r="EI40925"/>
      <c r="EJ40925"/>
      <c r="EK40925"/>
    </row>
    <row r="40926" spans="1:141" s="116" customFormat="1">
      <c r="A40926" s="136"/>
      <c r="CM40926" s="111"/>
      <c r="CQ40926" s="111"/>
      <c r="EF40926"/>
      <c r="EG40926"/>
      <c r="EH40926"/>
      <c r="EI40926"/>
      <c r="EJ40926"/>
      <c r="EK40926"/>
    </row>
    <row r="40927" spans="1:141" s="116" customFormat="1">
      <c r="A40927" s="136"/>
      <c r="CM40927" s="111"/>
      <c r="CQ40927" s="111"/>
      <c r="EF40927"/>
      <c r="EG40927"/>
      <c r="EH40927"/>
      <c r="EI40927"/>
      <c r="EJ40927"/>
      <c r="EK40927"/>
    </row>
    <row r="40928" spans="1:141" s="116" customFormat="1">
      <c r="A40928" s="136"/>
      <c r="CM40928" s="111"/>
      <c r="CQ40928" s="111"/>
      <c r="EF40928"/>
      <c r="EG40928"/>
      <c r="EH40928"/>
      <c r="EI40928"/>
      <c r="EJ40928"/>
      <c r="EK40928"/>
    </row>
    <row r="40929" spans="1:141" s="116" customFormat="1">
      <c r="A40929" s="136"/>
      <c r="CM40929" s="111"/>
      <c r="CQ40929" s="111"/>
      <c r="EF40929"/>
      <c r="EG40929"/>
      <c r="EH40929"/>
      <c r="EI40929"/>
      <c r="EJ40929"/>
      <c r="EK40929"/>
    </row>
    <row r="40930" spans="1:141" s="116" customFormat="1">
      <c r="A40930" s="136"/>
      <c r="CM40930" s="111"/>
      <c r="CQ40930" s="111"/>
      <c r="EF40930"/>
      <c r="EG40930"/>
      <c r="EH40930"/>
      <c r="EI40930"/>
      <c r="EJ40930"/>
      <c r="EK40930"/>
    </row>
    <row r="40931" spans="1:141" s="116" customFormat="1">
      <c r="A40931" s="136"/>
      <c r="CM40931" s="111"/>
      <c r="CQ40931" s="111"/>
      <c r="EF40931"/>
      <c r="EG40931"/>
      <c r="EH40931"/>
      <c r="EI40931"/>
      <c r="EJ40931"/>
      <c r="EK40931"/>
    </row>
    <row r="40932" spans="1:141" s="116" customFormat="1">
      <c r="A40932" s="136"/>
      <c r="CM40932" s="111"/>
      <c r="CQ40932" s="111"/>
      <c r="EF40932"/>
      <c r="EG40932"/>
      <c r="EH40932"/>
      <c r="EI40932"/>
      <c r="EJ40932"/>
      <c r="EK40932"/>
    </row>
    <row r="40933" spans="1:141" s="116" customFormat="1">
      <c r="A40933" s="136"/>
      <c r="CM40933" s="111"/>
      <c r="CQ40933" s="111"/>
      <c r="EF40933"/>
      <c r="EG40933"/>
      <c r="EH40933"/>
      <c r="EI40933"/>
      <c r="EJ40933"/>
      <c r="EK40933"/>
    </row>
    <row r="40934" spans="1:141" s="116" customFormat="1">
      <c r="A40934" s="136"/>
      <c r="CM40934" s="111"/>
      <c r="CQ40934" s="111"/>
      <c r="EF40934"/>
      <c r="EG40934"/>
      <c r="EH40934"/>
      <c r="EI40934"/>
      <c r="EJ40934"/>
      <c r="EK40934"/>
    </row>
    <row r="40935" spans="1:141" s="116" customFormat="1">
      <c r="A40935" s="136"/>
      <c r="CM40935" s="111"/>
      <c r="CQ40935" s="111"/>
      <c r="EF40935"/>
      <c r="EG40935"/>
      <c r="EH40935"/>
      <c r="EI40935"/>
      <c r="EJ40935"/>
      <c r="EK40935"/>
    </row>
    <row r="40936" spans="1:141" s="116" customFormat="1">
      <c r="A40936" s="136"/>
      <c r="CM40936" s="111"/>
      <c r="CQ40936" s="111"/>
      <c r="EF40936"/>
      <c r="EG40936"/>
      <c r="EH40936"/>
      <c r="EI40936"/>
      <c r="EJ40936"/>
      <c r="EK40936"/>
    </row>
    <row r="40937" spans="1:141" s="116" customFormat="1">
      <c r="A40937" s="136"/>
      <c r="CM40937" s="111"/>
      <c r="CQ40937" s="111"/>
      <c r="EF40937"/>
      <c r="EG40937"/>
      <c r="EH40937"/>
      <c r="EI40937"/>
      <c r="EJ40937"/>
      <c r="EK40937"/>
    </row>
    <row r="40938" spans="1:141" s="116" customFormat="1">
      <c r="A40938" s="136"/>
      <c r="CM40938" s="111"/>
      <c r="CQ40938" s="111"/>
      <c r="EF40938"/>
      <c r="EG40938"/>
      <c r="EH40938"/>
      <c r="EI40938"/>
      <c r="EJ40938"/>
      <c r="EK40938"/>
    </row>
    <row r="40939" spans="1:141" s="116" customFormat="1">
      <c r="A40939" s="136"/>
      <c r="CM40939" s="111"/>
      <c r="CQ40939" s="111"/>
      <c r="EF40939"/>
      <c r="EG40939"/>
      <c r="EH40939"/>
      <c r="EI40939"/>
      <c r="EJ40939"/>
      <c r="EK40939"/>
    </row>
    <row r="40940" spans="1:141" s="116" customFormat="1">
      <c r="A40940" s="136"/>
      <c r="CM40940" s="111"/>
      <c r="CQ40940" s="111"/>
      <c r="EF40940"/>
      <c r="EG40940"/>
      <c r="EH40940"/>
      <c r="EI40940"/>
      <c r="EJ40940"/>
      <c r="EK40940"/>
    </row>
    <row r="40941" spans="1:141" s="116" customFormat="1">
      <c r="A40941" s="136"/>
      <c r="CM40941" s="111"/>
      <c r="CQ40941" s="111"/>
      <c r="EF40941"/>
      <c r="EG40941"/>
      <c r="EH40941"/>
      <c r="EI40941"/>
      <c r="EJ40941"/>
      <c r="EK40941"/>
    </row>
    <row r="40942" spans="1:141" s="116" customFormat="1">
      <c r="A40942" s="136"/>
      <c r="CM40942" s="111"/>
      <c r="CQ40942" s="111"/>
      <c r="EF40942"/>
      <c r="EG40942"/>
      <c r="EH40942"/>
      <c r="EI40942"/>
      <c r="EJ40942"/>
      <c r="EK40942"/>
    </row>
    <row r="40943" spans="1:141" s="116" customFormat="1">
      <c r="A40943" s="136"/>
      <c r="CM40943" s="111"/>
      <c r="CQ40943" s="111"/>
      <c r="EF40943"/>
      <c r="EG40943"/>
      <c r="EH40943"/>
      <c r="EI40943"/>
      <c r="EJ40943"/>
      <c r="EK40943"/>
    </row>
    <row r="40944" spans="1:141" s="116" customFormat="1">
      <c r="A40944" s="136"/>
      <c r="CM40944" s="111"/>
      <c r="CQ40944" s="111"/>
      <c r="EF40944"/>
      <c r="EG40944"/>
      <c r="EH40944"/>
      <c r="EI40944"/>
      <c r="EJ40944"/>
      <c r="EK40944"/>
    </row>
    <row r="40945" spans="1:141" s="116" customFormat="1">
      <c r="A40945" s="136"/>
      <c r="CM40945" s="111"/>
      <c r="CQ40945" s="111"/>
      <c r="EF40945"/>
      <c r="EG40945"/>
      <c r="EH40945"/>
      <c r="EI40945"/>
      <c r="EJ40945"/>
      <c r="EK40945"/>
    </row>
    <row r="40946" spans="1:141" s="116" customFormat="1">
      <c r="A40946" s="136"/>
      <c r="CM40946" s="111"/>
      <c r="CQ40946" s="111"/>
      <c r="EF40946"/>
      <c r="EG40946"/>
      <c r="EH40946"/>
      <c r="EI40946"/>
      <c r="EJ40946"/>
      <c r="EK40946"/>
    </row>
    <row r="40947" spans="1:141" s="116" customFormat="1">
      <c r="A40947" s="136"/>
      <c r="CM40947" s="111"/>
      <c r="CQ40947" s="111"/>
      <c r="EF40947"/>
      <c r="EG40947"/>
      <c r="EH40947"/>
      <c r="EI40947"/>
      <c r="EJ40947"/>
      <c r="EK40947"/>
    </row>
    <row r="40948" spans="1:141" s="116" customFormat="1">
      <c r="A40948" s="136"/>
      <c r="CM40948" s="111"/>
      <c r="CQ40948" s="111"/>
      <c r="EF40948"/>
      <c r="EG40948"/>
      <c r="EH40948"/>
      <c r="EI40948"/>
      <c r="EJ40948"/>
      <c r="EK40948"/>
    </row>
    <row r="40949" spans="1:141" s="116" customFormat="1">
      <c r="A40949" s="136"/>
      <c r="CM40949" s="111"/>
      <c r="CQ40949" s="111"/>
      <c r="EF40949"/>
      <c r="EG40949"/>
      <c r="EH40949"/>
      <c r="EI40949"/>
      <c r="EJ40949"/>
      <c r="EK40949"/>
    </row>
    <row r="40950" spans="1:141" s="116" customFormat="1">
      <c r="A40950" s="136"/>
      <c r="CM40950" s="111"/>
      <c r="CQ40950" s="111"/>
      <c r="EF40950"/>
      <c r="EG40950"/>
      <c r="EH40950"/>
      <c r="EI40950"/>
      <c r="EJ40950"/>
      <c r="EK40950"/>
    </row>
    <row r="40951" spans="1:141" s="116" customFormat="1">
      <c r="A40951" s="136"/>
      <c r="CM40951" s="111"/>
      <c r="CQ40951" s="111"/>
      <c r="EF40951"/>
      <c r="EG40951"/>
      <c r="EH40951"/>
      <c r="EI40951"/>
      <c r="EJ40951"/>
      <c r="EK40951"/>
    </row>
    <row r="40952" spans="1:141" s="116" customFormat="1">
      <c r="A40952" s="136"/>
      <c r="CM40952" s="111"/>
      <c r="CQ40952" s="111"/>
      <c r="EF40952"/>
      <c r="EG40952"/>
      <c r="EH40952"/>
      <c r="EI40952"/>
      <c r="EJ40952"/>
      <c r="EK40952"/>
    </row>
    <row r="40953" spans="1:141" s="116" customFormat="1">
      <c r="A40953" s="136"/>
      <c r="CM40953" s="111"/>
      <c r="CQ40953" s="111"/>
      <c r="EF40953"/>
      <c r="EG40953"/>
      <c r="EH40953"/>
      <c r="EI40953"/>
      <c r="EJ40953"/>
      <c r="EK40953"/>
    </row>
    <row r="40954" spans="1:141" s="116" customFormat="1">
      <c r="A40954" s="136"/>
      <c r="CM40954" s="111"/>
      <c r="CQ40954" s="111"/>
      <c r="EF40954"/>
      <c r="EG40954"/>
      <c r="EH40954"/>
      <c r="EI40954"/>
      <c r="EJ40954"/>
      <c r="EK40954"/>
    </row>
    <row r="40955" spans="1:141" s="116" customFormat="1">
      <c r="A40955" s="136"/>
      <c r="CM40955" s="111"/>
      <c r="CQ40955" s="111"/>
      <c r="EF40955"/>
      <c r="EG40955"/>
      <c r="EH40955"/>
      <c r="EI40955"/>
      <c r="EJ40955"/>
      <c r="EK40955"/>
    </row>
    <row r="40956" spans="1:141" s="116" customFormat="1">
      <c r="A40956" s="136"/>
      <c r="CM40956" s="111"/>
      <c r="CQ40956" s="111"/>
      <c r="EF40956"/>
      <c r="EG40956"/>
      <c r="EH40956"/>
      <c r="EI40956"/>
      <c r="EJ40956"/>
      <c r="EK40956"/>
    </row>
    <row r="40957" spans="1:141" s="116" customFormat="1">
      <c r="A40957" s="136"/>
      <c r="CM40957" s="111"/>
      <c r="CQ40957" s="111"/>
      <c r="EF40957"/>
      <c r="EG40957"/>
      <c r="EH40957"/>
      <c r="EI40957"/>
      <c r="EJ40957"/>
      <c r="EK40957"/>
    </row>
    <row r="40958" spans="1:141" s="116" customFormat="1">
      <c r="A40958" s="136"/>
      <c r="CM40958" s="111"/>
      <c r="CQ40958" s="111"/>
      <c r="EF40958"/>
      <c r="EG40958"/>
      <c r="EH40958"/>
      <c r="EI40958"/>
      <c r="EJ40958"/>
      <c r="EK40958"/>
    </row>
    <row r="40959" spans="1:141" s="116" customFormat="1">
      <c r="A40959" s="136"/>
      <c r="CM40959" s="111"/>
      <c r="CQ40959" s="111"/>
      <c r="EF40959"/>
      <c r="EG40959"/>
      <c r="EH40959"/>
      <c r="EI40959"/>
      <c r="EJ40959"/>
      <c r="EK40959"/>
    </row>
    <row r="40960" spans="1:141" s="116" customFormat="1">
      <c r="A40960" s="136"/>
      <c r="CM40960" s="111"/>
      <c r="CQ40960" s="111"/>
      <c r="EF40960"/>
      <c r="EG40960"/>
      <c r="EH40960"/>
      <c r="EI40960"/>
      <c r="EJ40960"/>
      <c r="EK40960"/>
    </row>
    <row r="40961" spans="1:141" s="116" customFormat="1">
      <c r="A40961" s="136"/>
      <c r="CM40961" s="111"/>
      <c r="CQ40961" s="111"/>
      <c r="EF40961"/>
      <c r="EG40961"/>
      <c r="EH40961"/>
      <c r="EI40961"/>
      <c r="EJ40961"/>
      <c r="EK40961"/>
    </row>
    <row r="40962" spans="1:141" s="116" customFormat="1">
      <c r="A40962" s="136"/>
      <c r="CM40962" s="111"/>
      <c r="CQ40962" s="111"/>
      <c r="EF40962"/>
      <c r="EG40962"/>
      <c r="EH40962"/>
      <c r="EI40962"/>
      <c r="EJ40962"/>
      <c r="EK40962"/>
    </row>
    <row r="40963" spans="1:141" s="116" customFormat="1">
      <c r="A40963" s="136"/>
      <c r="CM40963" s="111"/>
      <c r="CQ40963" s="111"/>
      <c r="EF40963"/>
      <c r="EG40963"/>
      <c r="EH40963"/>
      <c r="EI40963"/>
      <c r="EJ40963"/>
      <c r="EK40963"/>
    </row>
    <row r="40964" spans="1:141" s="116" customFormat="1">
      <c r="A40964" s="136"/>
      <c r="CM40964" s="111"/>
      <c r="CQ40964" s="111"/>
      <c r="EF40964"/>
      <c r="EG40964"/>
      <c r="EH40964"/>
      <c r="EI40964"/>
      <c r="EJ40964"/>
      <c r="EK40964"/>
    </row>
    <row r="40965" spans="1:141" s="116" customFormat="1">
      <c r="A40965" s="136"/>
      <c r="CM40965" s="111"/>
      <c r="CQ40965" s="111"/>
      <c r="EF40965"/>
      <c r="EG40965"/>
      <c r="EH40965"/>
      <c r="EI40965"/>
      <c r="EJ40965"/>
      <c r="EK40965"/>
    </row>
    <row r="40966" spans="1:141" s="116" customFormat="1">
      <c r="A40966" s="136"/>
      <c r="CM40966" s="111"/>
      <c r="CQ40966" s="111"/>
      <c r="EF40966"/>
      <c r="EG40966"/>
      <c r="EH40966"/>
      <c r="EI40966"/>
      <c r="EJ40966"/>
      <c r="EK40966"/>
    </row>
    <row r="40967" spans="1:141" s="116" customFormat="1">
      <c r="A40967" s="136"/>
      <c r="CM40967" s="111"/>
      <c r="CQ40967" s="111"/>
      <c r="EF40967"/>
      <c r="EG40967"/>
      <c r="EH40967"/>
      <c r="EI40967"/>
      <c r="EJ40967"/>
      <c r="EK40967"/>
    </row>
    <row r="40968" spans="1:141" s="116" customFormat="1">
      <c r="A40968" s="136"/>
      <c r="CM40968" s="111"/>
      <c r="CQ40968" s="111"/>
      <c r="EF40968"/>
      <c r="EG40968"/>
      <c r="EH40968"/>
      <c r="EI40968"/>
      <c r="EJ40968"/>
      <c r="EK40968"/>
    </row>
    <row r="40969" spans="1:141" s="116" customFormat="1">
      <c r="A40969" s="136"/>
      <c r="CM40969" s="111"/>
      <c r="CQ40969" s="111"/>
      <c r="EF40969"/>
      <c r="EG40969"/>
      <c r="EH40969"/>
      <c r="EI40969"/>
      <c r="EJ40969"/>
      <c r="EK40969"/>
    </row>
    <row r="40970" spans="1:141" s="116" customFormat="1">
      <c r="A40970" s="136"/>
      <c r="CM40970" s="111"/>
      <c r="CQ40970" s="111"/>
      <c r="EF40970"/>
      <c r="EG40970"/>
      <c r="EH40970"/>
      <c r="EI40970"/>
      <c r="EJ40970"/>
      <c r="EK40970"/>
    </row>
    <row r="40971" spans="1:141" s="116" customFormat="1">
      <c r="A40971" s="136"/>
      <c r="CM40971" s="111"/>
      <c r="CQ40971" s="111"/>
      <c r="EF40971"/>
      <c r="EG40971"/>
      <c r="EH40971"/>
      <c r="EI40971"/>
      <c r="EJ40971"/>
      <c r="EK40971"/>
    </row>
    <row r="40972" spans="1:141" s="116" customFormat="1">
      <c r="A40972" s="136"/>
      <c r="CM40972" s="111"/>
      <c r="CQ40972" s="111"/>
      <c r="EF40972"/>
      <c r="EG40972"/>
      <c r="EH40972"/>
      <c r="EI40972"/>
      <c r="EJ40972"/>
      <c r="EK40972"/>
    </row>
    <row r="40973" spans="1:141" s="116" customFormat="1">
      <c r="A40973" s="136"/>
      <c r="CM40973" s="111"/>
      <c r="CQ40973" s="111"/>
      <c r="EF40973"/>
      <c r="EG40973"/>
      <c r="EH40973"/>
      <c r="EI40973"/>
      <c r="EJ40973"/>
      <c r="EK40973"/>
    </row>
    <row r="40974" spans="1:141" s="116" customFormat="1">
      <c r="A40974" s="136"/>
      <c r="CM40974" s="111"/>
      <c r="CQ40974" s="111"/>
      <c r="EF40974"/>
      <c r="EG40974"/>
      <c r="EH40974"/>
      <c r="EI40974"/>
      <c r="EJ40974"/>
      <c r="EK40974"/>
    </row>
    <row r="40975" spans="1:141" s="116" customFormat="1">
      <c r="A40975" s="136"/>
      <c r="CM40975" s="111"/>
      <c r="CQ40975" s="111"/>
      <c r="EF40975"/>
      <c r="EG40975"/>
      <c r="EH40975"/>
      <c r="EI40975"/>
      <c r="EJ40975"/>
      <c r="EK40975"/>
    </row>
    <row r="40976" spans="1:141" s="116" customFormat="1">
      <c r="A40976" s="136"/>
      <c r="CM40976" s="111"/>
      <c r="CQ40976" s="111"/>
      <c r="EF40976"/>
      <c r="EG40976"/>
      <c r="EH40976"/>
      <c r="EI40976"/>
      <c r="EJ40976"/>
      <c r="EK40976"/>
    </row>
    <row r="40977" spans="1:141" s="116" customFormat="1">
      <c r="A40977" s="136"/>
      <c r="CM40977" s="111"/>
      <c r="CQ40977" s="111"/>
      <c r="EF40977"/>
      <c r="EG40977"/>
      <c r="EH40977"/>
      <c r="EI40977"/>
      <c r="EJ40977"/>
      <c r="EK40977"/>
    </row>
    <row r="40978" spans="1:141" s="116" customFormat="1">
      <c r="A40978" s="136"/>
      <c r="CM40978" s="111"/>
      <c r="CQ40978" s="111"/>
      <c r="EF40978"/>
      <c r="EG40978"/>
      <c r="EH40978"/>
      <c r="EI40978"/>
      <c r="EJ40978"/>
      <c r="EK40978"/>
    </row>
    <row r="40979" spans="1:141" s="116" customFormat="1">
      <c r="A40979" s="136"/>
      <c r="CM40979" s="111"/>
      <c r="CQ40979" s="111"/>
      <c r="EF40979"/>
      <c r="EG40979"/>
      <c r="EH40979"/>
      <c r="EI40979"/>
      <c r="EJ40979"/>
      <c r="EK40979"/>
    </row>
    <row r="40980" spans="1:141" s="116" customFormat="1">
      <c r="A40980" s="136"/>
      <c r="CM40980" s="111"/>
      <c r="CQ40980" s="111"/>
      <c r="EF40980"/>
      <c r="EG40980"/>
      <c r="EH40980"/>
      <c r="EI40980"/>
      <c r="EJ40980"/>
      <c r="EK40980"/>
    </row>
    <row r="40981" spans="1:141" s="116" customFormat="1">
      <c r="A40981" s="136"/>
      <c r="CM40981" s="111"/>
      <c r="CQ40981" s="111"/>
      <c r="EF40981"/>
      <c r="EG40981"/>
      <c r="EH40981"/>
      <c r="EI40981"/>
      <c r="EJ40981"/>
      <c r="EK40981"/>
    </row>
    <row r="40982" spans="1:141" s="116" customFormat="1">
      <c r="A40982" s="136"/>
      <c r="CM40982" s="111"/>
      <c r="CQ40982" s="111"/>
      <c r="EF40982"/>
      <c r="EG40982"/>
      <c r="EH40982"/>
      <c r="EI40982"/>
      <c r="EJ40982"/>
      <c r="EK40982"/>
    </row>
    <row r="40983" spans="1:141" s="116" customFormat="1">
      <c r="A40983" s="136"/>
      <c r="CM40983" s="111"/>
      <c r="CQ40983" s="111"/>
      <c r="EF40983"/>
      <c r="EG40983"/>
      <c r="EH40983"/>
      <c r="EI40983"/>
      <c r="EJ40983"/>
      <c r="EK40983"/>
    </row>
    <row r="40984" spans="1:141" s="116" customFormat="1">
      <c r="A40984" s="136"/>
      <c r="CM40984" s="111"/>
      <c r="CQ40984" s="111"/>
      <c r="EF40984"/>
      <c r="EG40984"/>
      <c r="EH40984"/>
      <c r="EI40984"/>
      <c r="EJ40984"/>
      <c r="EK40984"/>
    </row>
    <row r="40985" spans="1:141" s="116" customFormat="1">
      <c r="A40985" s="136"/>
      <c r="CM40985" s="111"/>
      <c r="CQ40985" s="111"/>
      <c r="EF40985"/>
      <c r="EG40985"/>
      <c r="EH40985"/>
      <c r="EI40985"/>
      <c r="EJ40985"/>
      <c r="EK40985"/>
    </row>
    <row r="40986" spans="1:141" s="116" customFormat="1">
      <c r="A40986" s="136"/>
      <c r="CM40986" s="111"/>
      <c r="CQ40986" s="111"/>
      <c r="EF40986"/>
      <c r="EG40986"/>
      <c r="EH40986"/>
      <c r="EI40986"/>
      <c r="EJ40986"/>
      <c r="EK40986"/>
    </row>
    <row r="40987" spans="1:141" s="116" customFormat="1">
      <c r="A40987" s="136"/>
      <c r="CM40987" s="111"/>
      <c r="CQ40987" s="111"/>
      <c r="EF40987"/>
      <c r="EG40987"/>
      <c r="EH40987"/>
      <c r="EI40987"/>
      <c r="EJ40987"/>
      <c r="EK40987"/>
    </row>
    <row r="40988" spans="1:141" s="116" customFormat="1">
      <c r="A40988" s="136"/>
      <c r="CM40988" s="111"/>
      <c r="CQ40988" s="111"/>
      <c r="EF40988"/>
      <c r="EG40988"/>
      <c r="EH40988"/>
      <c r="EI40988"/>
      <c r="EJ40988"/>
      <c r="EK40988"/>
    </row>
    <row r="40989" spans="1:141" s="116" customFormat="1">
      <c r="A40989" s="136"/>
      <c r="CM40989" s="111"/>
      <c r="CQ40989" s="111"/>
      <c r="EF40989"/>
      <c r="EG40989"/>
      <c r="EH40989"/>
      <c r="EI40989"/>
      <c r="EJ40989"/>
      <c r="EK40989"/>
    </row>
    <row r="40990" spans="1:141" s="116" customFormat="1">
      <c r="A40990" s="136"/>
      <c r="CM40990" s="111"/>
      <c r="CQ40990" s="111"/>
      <c r="EF40990"/>
      <c r="EG40990"/>
      <c r="EH40990"/>
      <c r="EI40990"/>
      <c r="EJ40990"/>
      <c r="EK40990"/>
    </row>
    <row r="40991" spans="1:141" s="116" customFormat="1">
      <c r="A40991" s="136"/>
      <c r="CM40991" s="111"/>
      <c r="CQ40991" s="111"/>
      <c r="EF40991"/>
      <c r="EG40991"/>
      <c r="EH40991"/>
      <c r="EI40991"/>
      <c r="EJ40991"/>
      <c r="EK40991"/>
    </row>
    <row r="40992" spans="1:141" s="116" customFormat="1">
      <c r="A40992" s="136"/>
      <c r="CM40992" s="111"/>
      <c r="CQ40992" s="111"/>
      <c r="EF40992"/>
      <c r="EG40992"/>
      <c r="EH40992"/>
      <c r="EI40992"/>
      <c r="EJ40992"/>
      <c r="EK40992"/>
    </row>
    <row r="40993" spans="1:141" s="116" customFormat="1">
      <c r="A40993" s="136"/>
      <c r="CM40993" s="111"/>
      <c r="CQ40993" s="111"/>
      <c r="EF40993"/>
      <c r="EG40993"/>
      <c r="EH40993"/>
      <c r="EI40993"/>
      <c r="EJ40993"/>
      <c r="EK40993"/>
    </row>
    <row r="40994" spans="1:141" s="116" customFormat="1">
      <c r="A40994" s="136"/>
      <c r="CM40994" s="111"/>
      <c r="CQ40994" s="111"/>
      <c r="EF40994"/>
      <c r="EG40994"/>
      <c r="EH40994"/>
      <c r="EI40994"/>
      <c r="EJ40994"/>
      <c r="EK40994"/>
    </row>
    <row r="40995" spans="1:141" s="116" customFormat="1">
      <c r="A40995" s="136"/>
      <c r="CM40995" s="111"/>
      <c r="CQ40995" s="111"/>
      <c r="EF40995"/>
      <c r="EG40995"/>
      <c r="EH40995"/>
      <c r="EI40995"/>
      <c r="EJ40995"/>
      <c r="EK40995"/>
    </row>
    <row r="40996" spans="1:141" s="116" customFormat="1">
      <c r="A40996" s="136"/>
      <c r="CM40996" s="111"/>
      <c r="CQ40996" s="111"/>
      <c r="EF40996"/>
      <c r="EG40996"/>
      <c r="EH40996"/>
      <c r="EI40996"/>
      <c r="EJ40996"/>
      <c r="EK40996"/>
    </row>
    <row r="40997" spans="1:141" s="116" customFormat="1">
      <c r="A40997" s="136"/>
      <c r="CM40997" s="111"/>
      <c r="CQ40997" s="111"/>
      <c r="EF40997"/>
      <c r="EG40997"/>
      <c r="EH40997"/>
      <c r="EI40997"/>
      <c r="EJ40997"/>
      <c r="EK40997"/>
    </row>
    <row r="40998" spans="1:141" s="116" customFormat="1">
      <c r="A40998" s="136"/>
      <c r="CM40998" s="111"/>
      <c r="CQ40998" s="111"/>
      <c r="EF40998"/>
      <c r="EG40998"/>
      <c r="EH40998"/>
      <c r="EI40998"/>
      <c r="EJ40998"/>
      <c r="EK40998"/>
    </row>
    <row r="40999" spans="1:141" s="116" customFormat="1">
      <c r="A40999" s="136"/>
      <c r="CM40999" s="111"/>
      <c r="CQ40999" s="111"/>
      <c r="EF40999"/>
      <c r="EG40999"/>
      <c r="EH40999"/>
      <c r="EI40999"/>
      <c r="EJ40999"/>
      <c r="EK40999"/>
    </row>
    <row r="41000" spans="1:141" s="116" customFormat="1">
      <c r="A41000" s="136"/>
      <c r="CM41000" s="111"/>
      <c r="CQ41000" s="111"/>
      <c r="EF41000"/>
      <c r="EG41000"/>
      <c r="EH41000"/>
      <c r="EI41000"/>
      <c r="EJ41000"/>
      <c r="EK41000"/>
    </row>
    <row r="41001" spans="1:141" s="116" customFormat="1">
      <c r="A41001" s="136"/>
      <c r="CM41001" s="111"/>
      <c r="CQ41001" s="111"/>
      <c r="EF41001"/>
      <c r="EG41001"/>
      <c r="EH41001"/>
      <c r="EI41001"/>
      <c r="EJ41001"/>
      <c r="EK41001"/>
    </row>
    <row r="41002" spans="1:141" s="116" customFormat="1">
      <c r="A41002" s="136"/>
      <c r="CM41002" s="111"/>
      <c r="CQ41002" s="111"/>
      <c r="EF41002"/>
      <c r="EG41002"/>
      <c r="EH41002"/>
      <c r="EI41002"/>
      <c r="EJ41002"/>
      <c r="EK41002"/>
    </row>
    <row r="41003" spans="1:141" s="116" customFormat="1">
      <c r="A41003" s="136"/>
      <c r="CM41003" s="111"/>
      <c r="CQ41003" s="111"/>
      <c r="EF41003"/>
      <c r="EG41003"/>
      <c r="EH41003"/>
      <c r="EI41003"/>
      <c r="EJ41003"/>
      <c r="EK41003"/>
    </row>
    <row r="41004" spans="1:141" s="116" customFormat="1">
      <c r="A41004" s="136"/>
      <c r="CM41004" s="111"/>
      <c r="CQ41004" s="111"/>
      <c r="EF41004"/>
      <c r="EG41004"/>
      <c r="EH41004"/>
      <c r="EI41004"/>
      <c r="EJ41004"/>
      <c r="EK41004"/>
    </row>
    <row r="41005" spans="1:141" s="116" customFormat="1">
      <c r="A41005" s="136"/>
      <c r="CM41005" s="111"/>
      <c r="CQ41005" s="111"/>
      <c r="EF41005"/>
      <c r="EG41005"/>
      <c r="EH41005"/>
      <c r="EI41005"/>
      <c r="EJ41005"/>
      <c r="EK41005"/>
    </row>
    <row r="41006" spans="1:141" s="116" customFormat="1">
      <c r="A41006" s="136"/>
      <c r="CM41006" s="111"/>
      <c r="CQ41006" s="111"/>
      <c r="EF41006"/>
      <c r="EG41006"/>
      <c r="EH41006"/>
      <c r="EI41006"/>
      <c r="EJ41006"/>
      <c r="EK41006"/>
    </row>
    <row r="41007" spans="1:141" s="116" customFormat="1">
      <c r="A41007" s="136"/>
      <c r="CM41007" s="111"/>
      <c r="CQ41007" s="111"/>
      <c r="EF41007"/>
      <c r="EG41007"/>
      <c r="EH41007"/>
      <c r="EI41007"/>
      <c r="EJ41007"/>
      <c r="EK41007"/>
    </row>
    <row r="41008" spans="1:141" s="116" customFormat="1">
      <c r="A41008" s="136"/>
      <c r="CM41008" s="111"/>
      <c r="CQ41008" s="111"/>
      <c r="EF41008"/>
      <c r="EG41008"/>
      <c r="EH41008"/>
      <c r="EI41008"/>
      <c r="EJ41008"/>
      <c r="EK41008"/>
    </row>
    <row r="41009" spans="1:141" s="116" customFormat="1">
      <c r="A41009" s="136"/>
      <c r="CM41009" s="111"/>
      <c r="CQ41009" s="111"/>
      <c r="EF41009"/>
      <c r="EG41009"/>
      <c r="EH41009"/>
      <c r="EI41009"/>
      <c r="EJ41009"/>
      <c r="EK41009"/>
    </row>
    <row r="41010" spans="1:141" s="116" customFormat="1">
      <c r="A41010" s="136"/>
      <c r="CM41010" s="111"/>
      <c r="CQ41010" s="111"/>
      <c r="EF41010"/>
      <c r="EG41010"/>
      <c r="EH41010"/>
      <c r="EI41010"/>
      <c r="EJ41010"/>
      <c r="EK41010"/>
    </row>
    <row r="41011" spans="1:141" s="116" customFormat="1">
      <c r="A41011" s="136"/>
      <c r="CM41011" s="111"/>
      <c r="CQ41011" s="111"/>
      <c r="EF41011"/>
      <c r="EG41011"/>
      <c r="EH41011"/>
      <c r="EI41011"/>
      <c r="EJ41011"/>
      <c r="EK41011"/>
    </row>
    <row r="41012" spans="1:141" s="116" customFormat="1">
      <c r="A41012" s="136"/>
      <c r="CM41012" s="111"/>
      <c r="CQ41012" s="111"/>
      <c r="EF41012"/>
      <c r="EG41012"/>
      <c r="EH41012"/>
      <c r="EI41012"/>
      <c r="EJ41012"/>
      <c r="EK41012"/>
    </row>
    <row r="41013" spans="1:141" s="116" customFormat="1">
      <c r="A41013" s="136"/>
      <c r="CM41013" s="111"/>
      <c r="CQ41013" s="111"/>
      <c r="EF41013"/>
      <c r="EG41013"/>
      <c r="EH41013"/>
      <c r="EI41013"/>
      <c r="EJ41013"/>
      <c r="EK41013"/>
    </row>
    <row r="41014" spans="1:141" s="116" customFormat="1">
      <c r="A41014" s="136"/>
      <c r="CM41014" s="111"/>
      <c r="CQ41014" s="111"/>
      <c r="EF41014"/>
      <c r="EG41014"/>
      <c r="EH41014"/>
      <c r="EI41014"/>
      <c r="EJ41014"/>
      <c r="EK41014"/>
    </row>
    <row r="41015" spans="1:141" s="116" customFormat="1">
      <c r="A41015" s="136"/>
      <c r="CM41015" s="111"/>
      <c r="CQ41015" s="111"/>
      <c r="EF41015"/>
      <c r="EG41015"/>
      <c r="EH41015"/>
      <c r="EI41015"/>
      <c r="EJ41015"/>
      <c r="EK41015"/>
    </row>
    <row r="41016" spans="1:141" s="116" customFormat="1">
      <c r="A41016" s="136"/>
      <c r="CM41016" s="111"/>
      <c r="CQ41016" s="111"/>
      <c r="EF41016"/>
      <c r="EG41016"/>
      <c r="EH41016"/>
      <c r="EI41016"/>
      <c r="EJ41016"/>
      <c r="EK41016"/>
    </row>
    <row r="41017" spans="1:141" s="116" customFormat="1">
      <c r="A41017" s="136"/>
      <c r="CM41017" s="111"/>
      <c r="CQ41017" s="111"/>
      <c r="EF41017"/>
      <c r="EG41017"/>
      <c r="EH41017"/>
      <c r="EI41017"/>
      <c r="EJ41017"/>
      <c r="EK41017"/>
    </row>
    <row r="41018" spans="1:141" s="116" customFormat="1">
      <c r="A41018" s="136"/>
      <c r="CM41018" s="111"/>
      <c r="CQ41018" s="111"/>
      <c r="EF41018"/>
      <c r="EG41018"/>
      <c r="EH41018"/>
      <c r="EI41018"/>
      <c r="EJ41018"/>
      <c r="EK41018"/>
    </row>
    <row r="41019" spans="1:141" s="116" customFormat="1">
      <c r="A41019" s="136"/>
      <c r="CM41019" s="111"/>
      <c r="CQ41019" s="111"/>
      <c r="EF41019"/>
      <c r="EG41019"/>
      <c r="EH41019"/>
      <c r="EI41019"/>
      <c r="EJ41019"/>
      <c r="EK41019"/>
    </row>
    <row r="41020" spans="1:141" s="116" customFormat="1">
      <c r="A41020" s="136"/>
      <c r="CM41020" s="111"/>
      <c r="CQ41020" s="111"/>
      <c r="EF41020"/>
      <c r="EG41020"/>
      <c r="EH41020"/>
      <c r="EI41020"/>
      <c r="EJ41020"/>
      <c r="EK41020"/>
    </row>
    <row r="41021" spans="1:141" s="116" customFormat="1">
      <c r="A41021" s="136"/>
      <c r="CM41021" s="111"/>
      <c r="CQ41021" s="111"/>
      <c r="EF41021"/>
      <c r="EG41021"/>
      <c r="EH41021"/>
      <c r="EI41021"/>
      <c r="EJ41021"/>
      <c r="EK41021"/>
    </row>
    <row r="41022" spans="1:141" s="116" customFormat="1">
      <c r="A41022" s="136"/>
      <c r="CM41022" s="111"/>
      <c r="CQ41022" s="111"/>
      <c r="EF41022"/>
      <c r="EG41022"/>
      <c r="EH41022"/>
      <c r="EI41022"/>
      <c r="EJ41022"/>
      <c r="EK41022"/>
    </row>
    <row r="41023" spans="1:141" s="116" customFormat="1">
      <c r="A41023" s="136"/>
      <c r="CM41023" s="111"/>
      <c r="CQ41023" s="111"/>
      <c r="EF41023"/>
      <c r="EG41023"/>
      <c r="EH41023"/>
      <c r="EI41023"/>
      <c r="EJ41023"/>
      <c r="EK41023"/>
    </row>
    <row r="41024" spans="1:141" s="116" customFormat="1">
      <c r="A41024" s="136"/>
      <c r="CM41024" s="111"/>
      <c r="CQ41024" s="111"/>
      <c r="EF41024"/>
      <c r="EG41024"/>
      <c r="EH41024"/>
      <c r="EI41024"/>
      <c r="EJ41024"/>
      <c r="EK41024"/>
    </row>
    <row r="41025" spans="1:141" s="116" customFormat="1">
      <c r="A41025" s="136"/>
      <c r="CM41025" s="111"/>
      <c r="CQ41025" s="111"/>
      <c r="EF41025"/>
      <c r="EG41025"/>
      <c r="EH41025"/>
      <c r="EI41025"/>
      <c r="EJ41025"/>
      <c r="EK41025"/>
    </row>
    <row r="41026" spans="1:141" s="116" customFormat="1">
      <c r="A41026" s="136"/>
      <c r="CM41026" s="111"/>
      <c r="CQ41026" s="111"/>
      <c r="EF41026"/>
      <c r="EG41026"/>
      <c r="EH41026"/>
      <c r="EI41026"/>
      <c r="EJ41026"/>
      <c r="EK41026"/>
    </row>
    <row r="41027" spans="1:141" s="116" customFormat="1">
      <c r="A41027" s="136"/>
      <c r="CM41027" s="111"/>
      <c r="CQ41027" s="111"/>
      <c r="EF41027"/>
      <c r="EG41027"/>
      <c r="EH41027"/>
      <c r="EI41027"/>
      <c r="EJ41027"/>
      <c r="EK41027"/>
    </row>
    <row r="41028" spans="1:141" s="116" customFormat="1">
      <c r="A41028" s="136"/>
      <c r="CM41028" s="111"/>
      <c r="CQ41028" s="111"/>
      <c r="EF41028"/>
      <c r="EG41028"/>
      <c r="EH41028"/>
      <c r="EI41028"/>
      <c r="EJ41028"/>
      <c r="EK41028"/>
    </row>
    <row r="41029" spans="1:141" s="116" customFormat="1">
      <c r="A41029" s="136"/>
      <c r="CM41029" s="111"/>
      <c r="CQ41029" s="111"/>
      <c r="EF41029"/>
      <c r="EG41029"/>
      <c r="EH41029"/>
      <c r="EI41029"/>
      <c r="EJ41029"/>
      <c r="EK41029"/>
    </row>
    <row r="41030" spans="1:141" s="116" customFormat="1">
      <c r="A41030" s="136"/>
      <c r="CM41030" s="111"/>
      <c r="CQ41030" s="111"/>
      <c r="EF41030"/>
      <c r="EG41030"/>
      <c r="EH41030"/>
      <c r="EI41030"/>
      <c r="EJ41030"/>
      <c r="EK41030"/>
    </row>
    <row r="41031" spans="1:141" s="116" customFormat="1">
      <c r="A41031" s="136"/>
      <c r="CM41031" s="111"/>
      <c r="CQ41031" s="111"/>
      <c r="EF41031"/>
      <c r="EG41031"/>
      <c r="EH41031"/>
      <c r="EI41031"/>
      <c r="EJ41031"/>
      <c r="EK41031"/>
    </row>
    <row r="41032" spans="1:141" s="116" customFormat="1">
      <c r="A41032" s="136"/>
      <c r="CM41032" s="111"/>
      <c r="CQ41032" s="111"/>
      <c r="EF41032"/>
      <c r="EG41032"/>
      <c r="EH41032"/>
      <c r="EI41032"/>
      <c r="EJ41032"/>
      <c r="EK41032"/>
    </row>
    <row r="41033" spans="1:141" s="116" customFormat="1">
      <c r="A41033" s="136"/>
      <c r="CM41033" s="111"/>
      <c r="CQ41033" s="111"/>
      <c r="EF41033"/>
      <c r="EG41033"/>
      <c r="EH41033"/>
      <c r="EI41033"/>
      <c r="EJ41033"/>
      <c r="EK41033"/>
    </row>
    <row r="41034" spans="1:141" s="116" customFormat="1">
      <c r="A41034" s="136"/>
      <c r="CM41034" s="111"/>
      <c r="CQ41034" s="111"/>
      <c r="EF41034"/>
      <c r="EG41034"/>
      <c r="EH41034"/>
      <c r="EI41034"/>
      <c r="EJ41034"/>
      <c r="EK41034"/>
    </row>
    <row r="41035" spans="1:141" s="116" customFormat="1">
      <c r="A41035" s="136"/>
      <c r="CM41035" s="111"/>
      <c r="CQ41035" s="111"/>
      <c r="EF41035"/>
      <c r="EG41035"/>
      <c r="EH41035"/>
      <c r="EI41035"/>
      <c r="EJ41035"/>
      <c r="EK41035"/>
    </row>
    <row r="41036" spans="1:141" s="116" customFormat="1">
      <c r="A41036" s="136"/>
      <c r="CM41036" s="111"/>
      <c r="CQ41036" s="111"/>
      <c r="EF41036"/>
      <c r="EG41036"/>
      <c r="EH41036"/>
      <c r="EI41036"/>
      <c r="EJ41036"/>
      <c r="EK41036"/>
    </row>
    <row r="41037" spans="1:141" s="116" customFormat="1">
      <c r="A41037" s="136"/>
      <c r="CM41037" s="111"/>
      <c r="CQ41037" s="111"/>
      <c r="EF41037"/>
      <c r="EG41037"/>
      <c r="EH41037"/>
      <c r="EI41037"/>
      <c r="EJ41037"/>
      <c r="EK41037"/>
    </row>
    <row r="41038" spans="1:141" s="116" customFormat="1">
      <c r="A41038" s="136"/>
      <c r="CM41038" s="111"/>
      <c r="CQ41038" s="111"/>
      <c r="EF41038"/>
      <c r="EG41038"/>
      <c r="EH41038"/>
      <c r="EI41038"/>
      <c r="EJ41038"/>
      <c r="EK41038"/>
    </row>
    <row r="41039" spans="1:141" s="116" customFormat="1">
      <c r="A41039" s="136"/>
      <c r="CM41039" s="111"/>
      <c r="CQ41039" s="111"/>
      <c r="EF41039"/>
      <c r="EG41039"/>
      <c r="EH41039"/>
      <c r="EI41039"/>
      <c r="EJ41039"/>
      <c r="EK41039"/>
    </row>
    <row r="41040" spans="1:141" s="116" customFormat="1">
      <c r="A41040" s="136"/>
      <c r="CM41040" s="111"/>
      <c r="CQ41040" s="111"/>
      <c r="EF41040"/>
      <c r="EG41040"/>
      <c r="EH41040"/>
      <c r="EI41040"/>
      <c r="EJ41040"/>
      <c r="EK41040"/>
    </row>
    <row r="41041" spans="1:141" s="116" customFormat="1">
      <c r="A41041" s="136"/>
      <c r="CM41041" s="111"/>
      <c r="CQ41041" s="111"/>
      <c r="EF41041"/>
      <c r="EG41041"/>
      <c r="EH41041"/>
      <c r="EI41041"/>
      <c r="EJ41041"/>
      <c r="EK41041"/>
    </row>
    <row r="41042" spans="1:141" s="116" customFormat="1">
      <c r="A41042" s="136"/>
      <c r="CM41042" s="111"/>
      <c r="CQ41042" s="111"/>
      <c r="EF41042"/>
      <c r="EG41042"/>
      <c r="EH41042"/>
      <c r="EI41042"/>
      <c r="EJ41042"/>
      <c r="EK41042"/>
    </row>
    <row r="41043" spans="1:141" s="116" customFormat="1">
      <c r="A41043" s="136"/>
      <c r="CM41043" s="111"/>
      <c r="CQ41043" s="111"/>
      <c r="EF41043"/>
      <c r="EG41043"/>
      <c r="EH41043"/>
      <c r="EI41043"/>
      <c r="EJ41043"/>
      <c r="EK41043"/>
    </row>
    <row r="41044" spans="1:141" s="116" customFormat="1">
      <c r="A41044" s="136"/>
      <c r="CM41044" s="111"/>
      <c r="CQ41044" s="111"/>
      <c r="EF41044"/>
      <c r="EG41044"/>
      <c r="EH41044"/>
      <c r="EI41044"/>
      <c r="EJ41044"/>
      <c r="EK41044"/>
    </row>
    <row r="41045" spans="1:141" s="116" customFormat="1">
      <c r="A41045" s="136"/>
      <c r="CM41045" s="111"/>
      <c r="CQ41045" s="111"/>
      <c r="EF41045"/>
      <c r="EG41045"/>
      <c r="EH41045"/>
      <c r="EI41045"/>
      <c r="EJ41045"/>
      <c r="EK41045"/>
    </row>
    <row r="41046" spans="1:141" s="116" customFormat="1">
      <c r="A41046" s="136"/>
      <c r="CM41046" s="111"/>
      <c r="CQ41046" s="111"/>
      <c r="EF41046"/>
      <c r="EG41046"/>
      <c r="EH41046"/>
      <c r="EI41046"/>
      <c r="EJ41046"/>
      <c r="EK41046"/>
    </row>
    <row r="41047" spans="1:141" s="116" customFormat="1">
      <c r="A41047" s="136"/>
      <c r="CM41047" s="111"/>
      <c r="CQ41047" s="111"/>
      <c r="EF41047"/>
      <c r="EG41047"/>
      <c r="EH41047"/>
      <c r="EI41047"/>
      <c r="EJ41047"/>
      <c r="EK41047"/>
    </row>
    <row r="41048" spans="1:141" s="116" customFormat="1">
      <c r="A41048" s="136"/>
      <c r="CM41048" s="111"/>
      <c r="CQ41048" s="111"/>
      <c r="EF41048"/>
      <c r="EG41048"/>
      <c r="EH41048"/>
      <c r="EI41048"/>
      <c r="EJ41048"/>
      <c r="EK41048"/>
    </row>
    <row r="41049" spans="1:141" s="116" customFormat="1">
      <c r="A41049" s="136"/>
      <c r="CM41049" s="111"/>
      <c r="CQ41049" s="111"/>
      <c r="EF41049"/>
      <c r="EG41049"/>
      <c r="EH41049"/>
      <c r="EI41049"/>
      <c r="EJ41049"/>
      <c r="EK41049"/>
    </row>
    <row r="41050" spans="1:141" s="116" customFormat="1">
      <c r="A41050" s="136"/>
      <c r="CM41050" s="111"/>
      <c r="CQ41050" s="111"/>
      <c r="EF41050"/>
      <c r="EG41050"/>
      <c r="EH41050"/>
      <c r="EI41050"/>
      <c r="EJ41050"/>
      <c r="EK41050"/>
    </row>
    <row r="41051" spans="1:141" s="116" customFormat="1">
      <c r="A41051" s="136"/>
      <c r="CM41051" s="111"/>
      <c r="CQ41051" s="111"/>
      <c r="EF41051"/>
      <c r="EG41051"/>
      <c r="EH41051"/>
      <c r="EI41051"/>
      <c r="EJ41051"/>
      <c r="EK41051"/>
    </row>
    <row r="41052" spans="1:141" s="116" customFormat="1">
      <c r="A41052" s="136"/>
      <c r="CM41052" s="111"/>
      <c r="CQ41052" s="111"/>
      <c r="EF41052"/>
      <c r="EG41052"/>
      <c r="EH41052"/>
      <c r="EI41052"/>
      <c r="EJ41052"/>
      <c r="EK41052"/>
    </row>
    <row r="41053" spans="1:141" s="116" customFormat="1">
      <c r="A41053" s="136"/>
      <c r="CM41053" s="111"/>
      <c r="CQ41053" s="111"/>
      <c r="EF41053"/>
      <c r="EG41053"/>
      <c r="EH41053"/>
      <c r="EI41053"/>
      <c r="EJ41053"/>
      <c r="EK41053"/>
    </row>
    <row r="41054" spans="1:141" s="116" customFormat="1">
      <c r="A41054" s="136"/>
      <c r="CM41054" s="111"/>
      <c r="CQ41054" s="111"/>
      <c r="EF41054"/>
      <c r="EG41054"/>
      <c r="EH41054"/>
      <c r="EI41054"/>
      <c r="EJ41054"/>
      <c r="EK41054"/>
    </row>
    <row r="41055" spans="1:141" s="116" customFormat="1">
      <c r="A41055" s="136"/>
      <c r="CM41055" s="111"/>
      <c r="CQ41055" s="111"/>
      <c r="EF41055"/>
      <c r="EG41055"/>
      <c r="EH41055"/>
      <c r="EI41055"/>
      <c r="EJ41055"/>
      <c r="EK41055"/>
    </row>
    <row r="41056" spans="1:141" s="116" customFormat="1">
      <c r="A41056" s="136"/>
      <c r="CM41056" s="111"/>
      <c r="CQ41056" s="111"/>
      <c r="EF41056"/>
      <c r="EG41056"/>
      <c r="EH41056"/>
      <c r="EI41056"/>
      <c r="EJ41056"/>
      <c r="EK41056"/>
    </row>
    <row r="41057" spans="1:141" s="116" customFormat="1">
      <c r="A41057" s="136"/>
      <c r="CM41057" s="111"/>
      <c r="CQ41057" s="111"/>
      <c r="EF41057"/>
      <c r="EG41057"/>
      <c r="EH41057"/>
      <c r="EI41057"/>
      <c r="EJ41057"/>
      <c r="EK41057"/>
    </row>
    <row r="41058" spans="1:141" s="116" customFormat="1">
      <c r="A41058" s="136"/>
      <c r="CM41058" s="111"/>
      <c r="CQ41058" s="111"/>
      <c r="EF41058"/>
      <c r="EG41058"/>
      <c r="EH41058"/>
      <c r="EI41058"/>
      <c r="EJ41058"/>
      <c r="EK41058"/>
    </row>
    <row r="41059" spans="1:141" s="116" customFormat="1">
      <c r="A41059" s="136"/>
      <c r="CM41059" s="111"/>
      <c r="CQ41059" s="111"/>
      <c r="EF41059"/>
      <c r="EG41059"/>
      <c r="EH41059"/>
      <c r="EI41059"/>
      <c r="EJ41059"/>
      <c r="EK41059"/>
    </row>
    <row r="41060" spans="1:141" s="116" customFormat="1">
      <c r="A41060" s="136"/>
      <c r="CM41060" s="111"/>
      <c r="CQ41060" s="111"/>
      <c r="EF41060"/>
      <c r="EG41060"/>
      <c r="EH41060"/>
      <c r="EI41060"/>
      <c r="EJ41060"/>
      <c r="EK41060"/>
    </row>
    <row r="41061" spans="1:141" s="116" customFormat="1">
      <c r="A41061" s="136"/>
      <c r="CM41061" s="111"/>
      <c r="CQ41061" s="111"/>
      <c r="EF41061"/>
      <c r="EG41061"/>
      <c r="EH41061"/>
      <c r="EI41061"/>
      <c r="EJ41061"/>
      <c r="EK41061"/>
    </row>
    <row r="41062" spans="1:141" s="116" customFormat="1">
      <c r="A41062" s="136"/>
      <c r="CM41062" s="111"/>
      <c r="CQ41062" s="111"/>
      <c r="EF41062"/>
      <c r="EG41062"/>
      <c r="EH41062"/>
      <c r="EI41062"/>
      <c r="EJ41062"/>
      <c r="EK41062"/>
    </row>
    <row r="41063" spans="1:141" s="116" customFormat="1">
      <c r="A41063" s="136"/>
      <c r="CM41063" s="111"/>
      <c r="CQ41063" s="111"/>
      <c r="EF41063"/>
      <c r="EG41063"/>
      <c r="EH41063"/>
      <c r="EI41063"/>
      <c r="EJ41063"/>
      <c r="EK41063"/>
    </row>
    <row r="41064" spans="1:141" s="116" customFormat="1">
      <c r="A41064" s="136"/>
      <c r="CM41064" s="111"/>
      <c r="CQ41064" s="111"/>
      <c r="EF41064"/>
      <c r="EG41064"/>
      <c r="EH41064"/>
      <c r="EI41064"/>
      <c r="EJ41064"/>
      <c r="EK41064"/>
    </row>
    <row r="41065" spans="1:141" s="116" customFormat="1">
      <c r="A41065" s="136"/>
      <c r="CM41065" s="111"/>
      <c r="CQ41065" s="111"/>
      <c r="EF41065"/>
      <c r="EG41065"/>
      <c r="EH41065"/>
      <c r="EI41065"/>
      <c r="EJ41065"/>
      <c r="EK41065"/>
    </row>
    <row r="41066" spans="1:141" s="116" customFormat="1">
      <c r="A41066" s="136"/>
      <c r="CM41066" s="111"/>
      <c r="CQ41066" s="111"/>
      <c r="EF41066"/>
      <c r="EG41066"/>
      <c r="EH41066"/>
      <c r="EI41066"/>
      <c r="EJ41066"/>
      <c r="EK41066"/>
    </row>
    <row r="41067" spans="1:141" s="116" customFormat="1">
      <c r="A41067" s="136"/>
      <c r="CM41067" s="111"/>
      <c r="CQ41067" s="111"/>
      <c r="EF41067"/>
      <c r="EG41067"/>
      <c r="EH41067"/>
      <c r="EI41067"/>
      <c r="EJ41067"/>
      <c r="EK41067"/>
    </row>
    <row r="41068" spans="1:141" s="116" customFormat="1">
      <c r="A41068" s="136"/>
      <c r="CM41068" s="111"/>
      <c r="CQ41068" s="111"/>
      <c r="EF41068"/>
      <c r="EG41068"/>
      <c r="EH41068"/>
      <c r="EI41068"/>
      <c r="EJ41068"/>
      <c r="EK41068"/>
    </row>
    <row r="41069" spans="1:141" s="116" customFormat="1">
      <c r="A41069" s="136"/>
      <c r="CM41069" s="111"/>
      <c r="CQ41069" s="111"/>
      <c r="EF41069"/>
      <c r="EG41069"/>
      <c r="EH41069"/>
      <c r="EI41069"/>
      <c r="EJ41069"/>
      <c r="EK41069"/>
    </row>
    <row r="41070" spans="1:141" s="116" customFormat="1">
      <c r="A41070" s="136"/>
      <c r="CM41070" s="111"/>
      <c r="CQ41070" s="111"/>
      <c r="EF41070"/>
      <c r="EG41070"/>
      <c r="EH41070"/>
      <c r="EI41070"/>
      <c r="EJ41070"/>
      <c r="EK41070"/>
    </row>
    <row r="41071" spans="1:141" s="116" customFormat="1">
      <c r="A41071" s="136"/>
      <c r="CM41071" s="111"/>
      <c r="CQ41071" s="111"/>
      <c r="EF41071"/>
      <c r="EG41071"/>
      <c r="EH41071"/>
      <c r="EI41071"/>
      <c r="EJ41071"/>
      <c r="EK41071"/>
    </row>
    <row r="41072" spans="1:141" s="116" customFormat="1">
      <c r="A41072" s="136"/>
      <c r="CM41072" s="111"/>
      <c r="CQ41072" s="111"/>
      <c r="EF41072"/>
      <c r="EG41072"/>
      <c r="EH41072"/>
      <c r="EI41072"/>
      <c r="EJ41072"/>
      <c r="EK41072"/>
    </row>
    <row r="41073" spans="1:141" s="116" customFormat="1">
      <c r="A41073" s="136"/>
      <c r="CM41073" s="111"/>
      <c r="CQ41073" s="111"/>
      <c r="EF41073"/>
      <c r="EG41073"/>
      <c r="EH41073"/>
      <c r="EI41073"/>
      <c r="EJ41073"/>
      <c r="EK41073"/>
    </row>
    <row r="41074" spans="1:141" s="116" customFormat="1">
      <c r="A41074" s="136"/>
      <c r="CM41074" s="111"/>
      <c r="CQ41074" s="111"/>
      <c r="EF41074"/>
      <c r="EG41074"/>
      <c r="EH41074"/>
      <c r="EI41074"/>
      <c r="EJ41074"/>
      <c r="EK41074"/>
    </row>
    <row r="41075" spans="1:141" s="116" customFormat="1">
      <c r="A41075" s="136"/>
      <c r="CM41075" s="111"/>
      <c r="CQ41075" s="111"/>
      <c r="EF41075"/>
      <c r="EG41075"/>
      <c r="EH41075"/>
      <c r="EI41075"/>
      <c r="EJ41075"/>
      <c r="EK41075"/>
    </row>
    <row r="41076" spans="1:141" s="116" customFormat="1">
      <c r="A41076" s="136"/>
      <c r="CM41076" s="111"/>
      <c r="CQ41076" s="111"/>
      <c r="EF41076"/>
      <c r="EG41076"/>
      <c r="EH41076"/>
      <c r="EI41076"/>
      <c r="EJ41076"/>
      <c r="EK41076"/>
    </row>
    <row r="41077" spans="1:141" s="116" customFormat="1">
      <c r="A41077" s="136"/>
      <c r="CM41077" s="111"/>
      <c r="CQ41077" s="111"/>
      <c r="EF41077"/>
      <c r="EG41077"/>
      <c r="EH41077"/>
      <c r="EI41077"/>
      <c r="EJ41077"/>
      <c r="EK41077"/>
    </row>
    <row r="41078" spans="1:141" s="116" customFormat="1">
      <c r="A41078" s="136"/>
      <c r="CM41078" s="111"/>
      <c r="CQ41078" s="111"/>
      <c r="EF41078"/>
      <c r="EG41078"/>
      <c r="EH41078"/>
      <c r="EI41078"/>
      <c r="EJ41078"/>
      <c r="EK41078"/>
    </row>
    <row r="41079" spans="1:141" s="116" customFormat="1">
      <c r="A41079" s="136"/>
      <c r="CM41079" s="111"/>
      <c r="CQ41079" s="111"/>
      <c r="EF41079"/>
      <c r="EG41079"/>
      <c r="EH41079"/>
      <c r="EI41079"/>
      <c r="EJ41079"/>
      <c r="EK41079"/>
    </row>
    <row r="41080" spans="1:141" s="116" customFormat="1">
      <c r="A41080" s="136"/>
      <c r="CM41080" s="111"/>
      <c r="CQ41080" s="111"/>
      <c r="EF41080"/>
      <c r="EG41080"/>
      <c r="EH41080"/>
      <c r="EI41080"/>
      <c r="EJ41080"/>
      <c r="EK41080"/>
    </row>
    <row r="41081" spans="1:141" s="116" customFormat="1">
      <c r="A41081" s="136"/>
      <c r="CM41081" s="111"/>
      <c r="CQ41081" s="111"/>
      <c r="EF41081"/>
      <c r="EG41081"/>
      <c r="EH41081"/>
      <c r="EI41081"/>
      <c r="EJ41081"/>
      <c r="EK41081"/>
    </row>
    <row r="41082" spans="1:141" s="116" customFormat="1">
      <c r="A41082" s="136"/>
      <c r="CM41082" s="111"/>
      <c r="CQ41082" s="111"/>
      <c r="EF41082"/>
      <c r="EG41082"/>
      <c r="EH41082"/>
      <c r="EI41082"/>
      <c r="EJ41082"/>
      <c r="EK41082"/>
    </row>
    <row r="41083" spans="1:141" s="116" customFormat="1">
      <c r="A41083" s="136"/>
      <c r="CM41083" s="111"/>
      <c r="CQ41083" s="111"/>
      <c r="EF41083"/>
      <c r="EG41083"/>
      <c r="EH41083"/>
      <c r="EI41083"/>
      <c r="EJ41083"/>
      <c r="EK41083"/>
    </row>
    <row r="41084" spans="1:141" s="116" customFormat="1">
      <c r="A41084" s="136"/>
      <c r="CM41084" s="111"/>
      <c r="CQ41084" s="111"/>
      <c r="EF41084"/>
      <c r="EG41084"/>
      <c r="EH41084"/>
      <c r="EI41084"/>
      <c r="EJ41084"/>
      <c r="EK41084"/>
    </row>
    <row r="41085" spans="1:141" s="116" customFormat="1">
      <c r="A41085" s="136"/>
      <c r="CM41085" s="111"/>
      <c r="CQ41085" s="111"/>
      <c r="EF41085"/>
      <c r="EG41085"/>
      <c r="EH41085"/>
      <c r="EI41085"/>
      <c r="EJ41085"/>
      <c r="EK41085"/>
    </row>
    <row r="41086" spans="1:141" s="116" customFormat="1">
      <c r="A41086" s="136"/>
      <c r="CM41086" s="111"/>
      <c r="CQ41086" s="111"/>
      <c r="EF41086"/>
      <c r="EG41086"/>
      <c r="EH41086"/>
      <c r="EI41086"/>
      <c r="EJ41086"/>
      <c r="EK41086"/>
    </row>
    <row r="41087" spans="1:141" s="116" customFormat="1">
      <c r="A41087" s="136"/>
      <c r="CM41087" s="111"/>
      <c r="CQ41087" s="111"/>
      <c r="EF41087"/>
      <c r="EG41087"/>
      <c r="EH41087"/>
      <c r="EI41087"/>
      <c r="EJ41087"/>
      <c r="EK41087"/>
    </row>
    <row r="41088" spans="1:141" s="116" customFormat="1">
      <c r="A41088" s="136"/>
      <c r="CM41088" s="111"/>
      <c r="CQ41088" s="111"/>
      <c r="EF41088"/>
      <c r="EG41088"/>
      <c r="EH41088"/>
      <c r="EI41088"/>
      <c r="EJ41088"/>
      <c r="EK41088"/>
    </row>
    <row r="41089" spans="1:141" s="116" customFormat="1">
      <c r="A41089" s="136"/>
      <c r="CM41089" s="111"/>
      <c r="CQ41089" s="111"/>
      <c r="EF41089"/>
      <c r="EG41089"/>
      <c r="EH41089"/>
      <c r="EI41089"/>
      <c r="EJ41089"/>
      <c r="EK41089"/>
    </row>
    <row r="41090" spans="1:141" s="116" customFormat="1">
      <c r="A41090" s="136"/>
      <c r="CM41090" s="111"/>
      <c r="CQ41090" s="111"/>
      <c r="EF41090"/>
      <c r="EG41090"/>
      <c r="EH41090"/>
      <c r="EI41090"/>
      <c r="EJ41090"/>
      <c r="EK41090"/>
    </row>
    <row r="41091" spans="1:141" s="116" customFormat="1">
      <c r="A41091" s="136"/>
      <c r="CM41091" s="111"/>
      <c r="CQ41091" s="111"/>
      <c r="EF41091"/>
      <c r="EG41091"/>
      <c r="EH41091"/>
      <c r="EI41091"/>
      <c r="EJ41091"/>
      <c r="EK41091"/>
    </row>
    <row r="41092" spans="1:141" s="116" customFormat="1">
      <c r="A41092" s="136"/>
      <c r="CM41092" s="111"/>
      <c r="CQ41092" s="111"/>
      <c r="EF41092"/>
      <c r="EG41092"/>
      <c r="EH41092"/>
      <c r="EI41092"/>
      <c r="EJ41092"/>
      <c r="EK41092"/>
    </row>
    <row r="41093" spans="1:141" s="116" customFormat="1">
      <c r="A41093" s="136"/>
      <c r="CM41093" s="111"/>
      <c r="CQ41093" s="111"/>
      <c r="EF41093"/>
      <c r="EG41093"/>
      <c r="EH41093"/>
      <c r="EI41093"/>
      <c r="EJ41093"/>
      <c r="EK41093"/>
    </row>
    <row r="41094" spans="1:141" s="116" customFormat="1">
      <c r="A41094" s="136"/>
      <c r="CM41094" s="111"/>
      <c r="CQ41094" s="111"/>
      <c r="EF41094"/>
      <c r="EG41094"/>
      <c r="EH41094"/>
      <c r="EI41094"/>
      <c r="EJ41094"/>
      <c r="EK41094"/>
    </row>
    <row r="41095" spans="1:141" s="116" customFormat="1">
      <c r="A41095" s="136"/>
      <c r="CM41095" s="111"/>
      <c r="CQ41095" s="111"/>
      <c r="EF41095"/>
      <c r="EG41095"/>
      <c r="EH41095"/>
      <c r="EI41095"/>
      <c r="EJ41095"/>
      <c r="EK41095"/>
    </row>
    <row r="41096" spans="1:141" s="116" customFormat="1">
      <c r="A41096" s="136"/>
      <c r="CM41096" s="111"/>
      <c r="CQ41096" s="111"/>
      <c r="EF41096"/>
      <c r="EG41096"/>
      <c r="EH41096"/>
      <c r="EI41096"/>
      <c r="EJ41096"/>
      <c r="EK41096"/>
    </row>
    <row r="41097" spans="1:141" s="116" customFormat="1">
      <c r="A41097" s="136"/>
      <c r="CM41097" s="111"/>
      <c r="CQ41097" s="111"/>
      <c r="EF41097"/>
      <c r="EG41097"/>
      <c r="EH41097"/>
      <c r="EI41097"/>
      <c r="EJ41097"/>
      <c r="EK41097"/>
    </row>
    <row r="41098" spans="1:141" s="116" customFormat="1">
      <c r="A41098" s="136"/>
      <c r="CM41098" s="111"/>
      <c r="CQ41098" s="111"/>
      <c r="EF41098"/>
      <c r="EG41098"/>
      <c r="EH41098"/>
      <c r="EI41098"/>
      <c r="EJ41098"/>
      <c r="EK41098"/>
    </row>
    <row r="41099" spans="1:141" s="116" customFormat="1">
      <c r="A41099" s="136"/>
      <c r="CM41099" s="111"/>
      <c r="CQ41099" s="111"/>
      <c r="EF41099"/>
      <c r="EG41099"/>
      <c r="EH41099"/>
      <c r="EI41099"/>
      <c r="EJ41099"/>
      <c r="EK41099"/>
    </row>
    <row r="41100" spans="1:141" s="116" customFormat="1">
      <c r="A41100" s="136"/>
      <c r="CM41100" s="111"/>
      <c r="CQ41100" s="111"/>
      <c r="EF41100"/>
      <c r="EG41100"/>
      <c r="EH41100"/>
      <c r="EI41100"/>
      <c r="EJ41100"/>
      <c r="EK41100"/>
    </row>
    <row r="41101" spans="1:141" s="116" customFormat="1">
      <c r="A41101" s="136"/>
      <c r="CM41101" s="111"/>
      <c r="CQ41101" s="111"/>
      <c r="EF41101"/>
      <c r="EG41101"/>
      <c r="EH41101"/>
      <c r="EI41101"/>
      <c r="EJ41101"/>
      <c r="EK41101"/>
    </row>
    <row r="41102" spans="1:141" s="116" customFormat="1">
      <c r="A41102" s="136"/>
      <c r="CM41102" s="111"/>
      <c r="CQ41102" s="111"/>
      <c r="EF41102"/>
      <c r="EG41102"/>
      <c r="EH41102"/>
      <c r="EI41102"/>
      <c r="EJ41102"/>
      <c r="EK41102"/>
    </row>
    <row r="41103" spans="1:141" s="116" customFormat="1">
      <c r="A41103" s="136"/>
      <c r="CM41103" s="111"/>
      <c r="CQ41103" s="111"/>
      <c r="EF41103"/>
      <c r="EG41103"/>
      <c r="EH41103"/>
      <c r="EI41103"/>
      <c r="EJ41103"/>
      <c r="EK41103"/>
    </row>
    <row r="41104" spans="1:141" s="116" customFormat="1">
      <c r="A41104" s="136"/>
      <c r="CM41104" s="111"/>
      <c r="CQ41104" s="111"/>
      <c r="EF41104"/>
      <c r="EG41104"/>
      <c r="EH41104"/>
      <c r="EI41104"/>
      <c r="EJ41104"/>
      <c r="EK41104"/>
    </row>
    <row r="41105" spans="1:141" s="116" customFormat="1">
      <c r="A41105" s="136"/>
      <c r="CM41105" s="111"/>
      <c r="CQ41105" s="111"/>
      <c r="EF41105"/>
      <c r="EG41105"/>
      <c r="EH41105"/>
      <c r="EI41105"/>
      <c r="EJ41105"/>
      <c r="EK41105"/>
    </row>
    <row r="41106" spans="1:141" s="116" customFormat="1">
      <c r="A41106" s="136"/>
      <c r="CM41106" s="111"/>
      <c r="CQ41106" s="111"/>
      <c r="EF41106"/>
      <c r="EG41106"/>
      <c r="EH41106"/>
      <c r="EI41106"/>
      <c r="EJ41106"/>
      <c r="EK41106"/>
    </row>
    <row r="41107" spans="1:141" s="116" customFormat="1">
      <c r="A41107" s="136"/>
      <c r="CM41107" s="111"/>
      <c r="CQ41107" s="111"/>
      <c r="EF41107"/>
      <c r="EG41107"/>
      <c r="EH41107"/>
      <c r="EI41107"/>
      <c r="EJ41107"/>
      <c r="EK41107"/>
    </row>
    <row r="41108" spans="1:141" s="116" customFormat="1">
      <c r="A41108" s="136"/>
      <c r="CM41108" s="111"/>
      <c r="CQ41108" s="111"/>
      <c r="EF41108"/>
      <c r="EG41108"/>
      <c r="EH41108"/>
      <c r="EI41108"/>
      <c r="EJ41108"/>
      <c r="EK41108"/>
    </row>
    <row r="41109" spans="1:141" s="116" customFormat="1">
      <c r="A41109" s="136"/>
      <c r="CM41109" s="111"/>
      <c r="CQ41109" s="111"/>
      <c r="EF41109"/>
      <c r="EG41109"/>
      <c r="EH41109"/>
      <c r="EI41109"/>
      <c r="EJ41109"/>
      <c r="EK41109"/>
    </row>
    <row r="41110" spans="1:141" s="116" customFormat="1">
      <c r="A41110" s="136"/>
      <c r="CM41110" s="111"/>
      <c r="CQ41110" s="111"/>
      <c r="EF41110"/>
      <c r="EG41110"/>
      <c r="EH41110"/>
      <c r="EI41110"/>
      <c r="EJ41110"/>
      <c r="EK41110"/>
    </row>
    <row r="41111" spans="1:141" s="116" customFormat="1">
      <c r="A41111" s="136"/>
      <c r="CM41111" s="111"/>
      <c r="CQ41111" s="111"/>
      <c r="EF41111"/>
      <c r="EG41111"/>
      <c r="EH41111"/>
      <c r="EI41111"/>
      <c r="EJ41111"/>
      <c r="EK41111"/>
    </row>
    <row r="41112" spans="1:141" s="116" customFormat="1">
      <c r="A41112" s="136"/>
      <c r="CM41112" s="111"/>
      <c r="CQ41112" s="111"/>
      <c r="EF41112"/>
      <c r="EG41112"/>
      <c r="EH41112"/>
      <c r="EI41112"/>
      <c r="EJ41112"/>
      <c r="EK41112"/>
    </row>
    <row r="41113" spans="1:141" s="116" customFormat="1">
      <c r="A41113" s="136"/>
      <c r="CM41113" s="111"/>
      <c r="CQ41113" s="111"/>
      <c r="EF41113"/>
      <c r="EG41113"/>
      <c r="EH41113"/>
      <c r="EI41113"/>
      <c r="EJ41113"/>
      <c r="EK41113"/>
    </row>
    <row r="41114" spans="1:141" s="116" customFormat="1">
      <c r="A41114" s="136"/>
      <c r="CM41114" s="111"/>
      <c r="CQ41114" s="111"/>
      <c r="EF41114"/>
      <c r="EG41114"/>
      <c r="EH41114"/>
      <c r="EI41114"/>
      <c r="EJ41114"/>
      <c r="EK41114"/>
    </row>
    <row r="41115" spans="1:141" s="116" customFormat="1">
      <c r="A41115" s="136"/>
      <c r="CM41115" s="111"/>
      <c r="CQ41115" s="111"/>
      <c r="EF41115"/>
      <c r="EG41115"/>
      <c r="EH41115"/>
      <c r="EI41115"/>
      <c r="EJ41115"/>
      <c r="EK41115"/>
    </row>
    <row r="41116" spans="1:141" s="116" customFormat="1">
      <c r="A41116" s="136"/>
      <c r="CM41116" s="111"/>
      <c r="CQ41116" s="111"/>
      <c r="EF41116"/>
      <c r="EG41116"/>
      <c r="EH41116"/>
      <c r="EI41116"/>
      <c r="EJ41116"/>
      <c r="EK41116"/>
    </row>
    <row r="41117" spans="1:141" s="116" customFormat="1">
      <c r="A41117" s="136"/>
      <c r="CM41117" s="111"/>
      <c r="CQ41117" s="111"/>
      <c r="EF41117"/>
      <c r="EG41117"/>
      <c r="EH41117"/>
      <c r="EI41117"/>
      <c r="EJ41117"/>
      <c r="EK41117"/>
    </row>
    <row r="41118" spans="1:141" s="116" customFormat="1">
      <c r="A41118" s="136"/>
      <c r="CM41118" s="111"/>
      <c r="CQ41118" s="111"/>
      <c r="EF41118"/>
      <c r="EG41118"/>
      <c r="EH41118"/>
      <c r="EI41118"/>
      <c r="EJ41118"/>
      <c r="EK41118"/>
    </row>
    <row r="41119" spans="1:141" s="116" customFormat="1">
      <c r="A41119" s="136"/>
      <c r="CM41119" s="111"/>
      <c r="CQ41119" s="111"/>
      <c r="EF41119"/>
      <c r="EG41119"/>
      <c r="EH41119"/>
      <c r="EI41119"/>
      <c r="EJ41119"/>
      <c r="EK41119"/>
    </row>
    <row r="41120" spans="1:141" s="116" customFormat="1">
      <c r="A41120" s="136"/>
      <c r="CM41120" s="111"/>
      <c r="CQ41120" s="111"/>
      <c r="EF41120"/>
      <c r="EG41120"/>
      <c r="EH41120"/>
      <c r="EI41120"/>
      <c r="EJ41120"/>
      <c r="EK41120"/>
    </row>
    <row r="41121" spans="1:141" s="116" customFormat="1">
      <c r="A41121" s="136"/>
      <c r="CM41121" s="111"/>
      <c r="CQ41121" s="111"/>
      <c r="EF41121"/>
      <c r="EG41121"/>
      <c r="EH41121"/>
      <c r="EI41121"/>
      <c r="EJ41121"/>
      <c r="EK41121"/>
    </row>
    <row r="41122" spans="1:141" s="116" customFormat="1">
      <c r="A41122" s="136"/>
      <c r="CM41122" s="111"/>
      <c r="CQ41122" s="111"/>
      <c r="EF41122"/>
      <c r="EG41122"/>
      <c r="EH41122"/>
      <c r="EI41122"/>
      <c r="EJ41122"/>
      <c r="EK41122"/>
    </row>
    <row r="41123" spans="1:141" s="116" customFormat="1">
      <c r="A41123" s="136"/>
      <c r="CM41123" s="111"/>
      <c r="CQ41123" s="111"/>
      <c r="EF41123"/>
      <c r="EG41123"/>
      <c r="EH41123"/>
      <c r="EI41123"/>
      <c r="EJ41123"/>
      <c r="EK41123"/>
    </row>
    <row r="41124" spans="1:141" s="116" customFormat="1">
      <c r="A41124" s="136"/>
      <c r="CM41124" s="111"/>
      <c r="CQ41124" s="111"/>
      <c r="EF41124"/>
      <c r="EG41124"/>
      <c r="EH41124"/>
      <c r="EI41124"/>
      <c r="EJ41124"/>
      <c r="EK41124"/>
    </row>
    <row r="41125" spans="1:141" s="116" customFormat="1">
      <c r="A41125" s="136"/>
      <c r="CM41125" s="111"/>
      <c r="CQ41125" s="111"/>
      <c r="EF41125"/>
      <c r="EG41125"/>
      <c r="EH41125"/>
      <c r="EI41125"/>
      <c r="EJ41125"/>
      <c r="EK41125"/>
    </row>
    <row r="41126" spans="1:141" s="116" customFormat="1">
      <c r="A41126" s="136"/>
      <c r="CM41126" s="111"/>
      <c r="CQ41126" s="111"/>
      <c r="EF41126"/>
      <c r="EG41126"/>
      <c r="EH41126"/>
      <c r="EI41126"/>
      <c r="EJ41126"/>
      <c r="EK41126"/>
    </row>
    <row r="41127" spans="1:141" s="116" customFormat="1">
      <c r="A41127" s="136"/>
      <c r="CM41127" s="111"/>
      <c r="CQ41127" s="111"/>
      <c r="EF41127"/>
      <c r="EG41127"/>
      <c r="EH41127"/>
      <c r="EI41127"/>
      <c r="EJ41127"/>
      <c r="EK41127"/>
    </row>
    <row r="41128" spans="1:141" s="116" customFormat="1">
      <c r="A41128" s="136"/>
      <c r="CM41128" s="111"/>
      <c r="CQ41128" s="111"/>
      <c r="EF41128"/>
      <c r="EG41128"/>
      <c r="EH41128"/>
      <c r="EI41128"/>
      <c r="EJ41128"/>
      <c r="EK41128"/>
    </row>
    <row r="41129" spans="1:141" s="116" customFormat="1">
      <c r="A41129" s="136"/>
      <c r="CM41129" s="111"/>
      <c r="CQ41129" s="111"/>
      <c r="EF41129"/>
      <c r="EG41129"/>
      <c r="EH41129"/>
      <c r="EI41129"/>
      <c r="EJ41129"/>
      <c r="EK41129"/>
    </row>
    <row r="41130" spans="1:141" s="116" customFormat="1">
      <c r="A41130" s="136"/>
      <c r="CM41130" s="111"/>
      <c r="CQ41130" s="111"/>
      <c r="EF41130"/>
      <c r="EG41130"/>
      <c r="EH41130"/>
      <c r="EI41130"/>
      <c r="EJ41130"/>
      <c r="EK41130"/>
    </row>
    <row r="41131" spans="1:141" s="116" customFormat="1">
      <c r="A41131" s="136"/>
      <c r="CM41131" s="111"/>
      <c r="CQ41131" s="111"/>
      <c r="EF41131"/>
      <c r="EG41131"/>
      <c r="EH41131"/>
      <c r="EI41131"/>
      <c r="EJ41131"/>
      <c r="EK41131"/>
    </row>
    <row r="41132" spans="1:141" s="116" customFormat="1">
      <c r="A41132" s="136"/>
      <c r="CM41132" s="111"/>
      <c r="CQ41132" s="111"/>
      <c r="EF41132"/>
      <c r="EG41132"/>
      <c r="EH41132"/>
      <c r="EI41132"/>
      <c r="EJ41132"/>
      <c r="EK41132"/>
    </row>
    <row r="41133" spans="1:141" s="116" customFormat="1">
      <c r="A41133" s="136"/>
      <c r="CM41133" s="111"/>
      <c r="CQ41133" s="111"/>
      <c r="EF41133"/>
      <c r="EG41133"/>
      <c r="EH41133"/>
      <c r="EI41133"/>
      <c r="EJ41133"/>
      <c r="EK41133"/>
    </row>
    <row r="41134" spans="1:141" s="116" customFormat="1">
      <c r="A41134" s="136"/>
      <c r="CM41134" s="111"/>
      <c r="CQ41134" s="111"/>
      <c r="EF41134"/>
      <c r="EG41134"/>
      <c r="EH41134"/>
      <c r="EI41134"/>
      <c r="EJ41134"/>
      <c r="EK41134"/>
    </row>
    <row r="41135" spans="1:141" s="116" customFormat="1">
      <c r="A41135" s="136"/>
      <c r="CM41135" s="111"/>
      <c r="CQ41135" s="111"/>
      <c r="EF41135"/>
      <c r="EG41135"/>
      <c r="EH41135"/>
      <c r="EI41135"/>
      <c r="EJ41135"/>
      <c r="EK41135"/>
    </row>
    <row r="41136" spans="1:141" s="116" customFormat="1">
      <c r="A41136" s="136"/>
      <c r="CM41136" s="111"/>
      <c r="CQ41136" s="111"/>
      <c r="EF41136"/>
      <c r="EG41136"/>
      <c r="EH41136"/>
      <c r="EI41136"/>
      <c r="EJ41136"/>
      <c r="EK41136"/>
    </row>
    <row r="41137" spans="1:141" s="116" customFormat="1">
      <c r="A41137" s="136"/>
      <c r="CM41137" s="111"/>
      <c r="CQ41137" s="111"/>
      <c r="EF41137"/>
      <c r="EG41137"/>
      <c r="EH41137"/>
      <c r="EI41137"/>
      <c r="EJ41137"/>
      <c r="EK41137"/>
    </row>
    <row r="41138" spans="1:141" s="116" customFormat="1">
      <c r="A41138" s="136"/>
      <c r="CM41138" s="111"/>
      <c r="CQ41138" s="111"/>
      <c r="EF41138"/>
      <c r="EG41138"/>
      <c r="EH41138"/>
      <c r="EI41138"/>
      <c r="EJ41138"/>
      <c r="EK41138"/>
    </row>
    <row r="41139" spans="1:141" s="116" customFormat="1">
      <c r="A41139" s="136"/>
      <c r="CM41139" s="111"/>
      <c r="CQ41139" s="111"/>
      <c r="EF41139"/>
      <c r="EG41139"/>
      <c r="EH41139"/>
      <c r="EI41139"/>
      <c r="EJ41139"/>
      <c r="EK41139"/>
    </row>
    <row r="41140" spans="1:141" s="116" customFormat="1">
      <c r="A41140" s="136"/>
      <c r="CM41140" s="111"/>
      <c r="CQ41140" s="111"/>
      <c r="EF41140"/>
      <c r="EG41140"/>
      <c r="EH41140"/>
      <c r="EI41140"/>
      <c r="EJ41140"/>
      <c r="EK41140"/>
    </row>
    <row r="41141" spans="1:141" s="116" customFormat="1">
      <c r="A41141" s="136"/>
      <c r="CM41141" s="111"/>
      <c r="CQ41141" s="111"/>
      <c r="EF41141"/>
      <c r="EG41141"/>
      <c r="EH41141"/>
      <c r="EI41141"/>
      <c r="EJ41141"/>
      <c r="EK41141"/>
    </row>
    <row r="41142" spans="1:141" s="116" customFormat="1">
      <c r="A41142" s="136"/>
      <c r="CM41142" s="111"/>
      <c r="CQ41142" s="111"/>
      <c r="EF41142"/>
      <c r="EG41142"/>
      <c r="EH41142"/>
      <c r="EI41142"/>
      <c r="EJ41142"/>
      <c r="EK41142"/>
    </row>
    <row r="41143" spans="1:141" s="116" customFormat="1">
      <c r="A41143" s="136"/>
      <c r="CM41143" s="111"/>
      <c r="CQ41143" s="111"/>
      <c r="EF41143"/>
      <c r="EG41143"/>
      <c r="EH41143"/>
      <c r="EI41143"/>
      <c r="EJ41143"/>
      <c r="EK41143"/>
    </row>
    <row r="41144" spans="1:141" s="116" customFormat="1">
      <c r="A41144" s="136"/>
      <c r="CM41144" s="111"/>
      <c r="CQ41144" s="111"/>
      <c r="EF41144"/>
      <c r="EG41144"/>
      <c r="EH41144"/>
      <c r="EI41144"/>
      <c r="EJ41144"/>
      <c r="EK41144"/>
    </row>
    <row r="41145" spans="1:141" s="116" customFormat="1">
      <c r="A41145" s="136"/>
      <c r="CM41145" s="111"/>
      <c r="CQ41145" s="111"/>
      <c r="EF41145"/>
      <c r="EG41145"/>
      <c r="EH41145"/>
      <c r="EI41145"/>
      <c r="EJ41145"/>
      <c r="EK41145"/>
    </row>
    <row r="41146" spans="1:141" s="116" customFormat="1">
      <c r="A41146" s="136"/>
      <c r="CM41146" s="111"/>
      <c r="CQ41146" s="111"/>
      <c r="EF41146"/>
      <c r="EG41146"/>
      <c r="EH41146"/>
      <c r="EI41146"/>
      <c r="EJ41146"/>
      <c r="EK41146"/>
    </row>
    <row r="41147" spans="1:141" s="116" customFormat="1">
      <c r="A41147" s="136"/>
      <c r="CM41147" s="111"/>
      <c r="CQ41147" s="111"/>
      <c r="EF41147"/>
      <c r="EG41147"/>
      <c r="EH41147"/>
      <c r="EI41147"/>
      <c r="EJ41147"/>
      <c r="EK41147"/>
    </row>
    <row r="41148" spans="1:141" s="116" customFormat="1">
      <c r="A41148" s="136"/>
      <c r="CM41148" s="111"/>
      <c r="CQ41148" s="111"/>
      <c r="EF41148"/>
      <c r="EG41148"/>
      <c r="EH41148"/>
      <c r="EI41148"/>
      <c r="EJ41148"/>
      <c r="EK41148"/>
    </row>
    <row r="41149" spans="1:141" s="116" customFormat="1">
      <c r="A41149" s="136"/>
      <c r="CM41149" s="111"/>
      <c r="CQ41149" s="111"/>
      <c r="EF41149"/>
      <c r="EG41149"/>
      <c r="EH41149"/>
      <c r="EI41149"/>
      <c r="EJ41149"/>
      <c r="EK41149"/>
    </row>
    <row r="41150" spans="1:141" s="116" customFormat="1">
      <c r="A41150" s="136"/>
      <c r="CM41150" s="111"/>
      <c r="CQ41150" s="111"/>
      <c r="EF41150"/>
      <c r="EG41150"/>
      <c r="EH41150"/>
      <c r="EI41150"/>
      <c r="EJ41150"/>
      <c r="EK41150"/>
    </row>
    <row r="41151" spans="1:141" s="116" customFormat="1">
      <c r="A41151" s="136"/>
      <c r="CM41151" s="111"/>
      <c r="CQ41151" s="111"/>
      <c r="EF41151"/>
      <c r="EG41151"/>
      <c r="EH41151"/>
      <c r="EI41151"/>
      <c r="EJ41151"/>
      <c r="EK41151"/>
    </row>
    <row r="41152" spans="1:141" s="116" customFormat="1">
      <c r="A41152" s="136"/>
      <c r="CM41152" s="111"/>
      <c r="CQ41152" s="111"/>
      <c r="EF41152"/>
      <c r="EG41152"/>
      <c r="EH41152"/>
      <c r="EI41152"/>
      <c r="EJ41152"/>
      <c r="EK41152"/>
    </row>
    <row r="41153" spans="1:141" s="116" customFormat="1">
      <c r="A41153" s="136"/>
      <c r="CM41153" s="111"/>
      <c r="CQ41153" s="111"/>
      <c r="EF41153"/>
      <c r="EG41153"/>
      <c r="EH41153"/>
      <c r="EI41153"/>
      <c r="EJ41153"/>
      <c r="EK41153"/>
    </row>
    <row r="41154" spans="1:141" s="116" customFormat="1">
      <c r="A41154" s="136"/>
      <c r="CM41154" s="111"/>
      <c r="CQ41154" s="111"/>
      <c r="EF41154"/>
      <c r="EG41154"/>
      <c r="EH41154"/>
      <c r="EI41154"/>
      <c r="EJ41154"/>
      <c r="EK41154"/>
    </row>
    <row r="41155" spans="1:141" s="116" customFormat="1">
      <c r="A41155" s="136"/>
      <c r="CM41155" s="111"/>
      <c r="CQ41155" s="111"/>
      <c r="EF41155"/>
      <c r="EG41155"/>
      <c r="EH41155"/>
      <c r="EI41155"/>
      <c r="EJ41155"/>
      <c r="EK41155"/>
    </row>
    <row r="41156" spans="1:141" s="116" customFormat="1">
      <c r="A41156" s="136"/>
      <c r="CM41156" s="111"/>
      <c r="CQ41156" s="111"/>
      <c r="EF41156"/>
      <c r="EG41156"/>
      <c r="EH41156"/>
      <c r="EI41156"/>
      <c r="EJ41156"/>
      <c r="EK41156"/>
    </row>
    <row r="41157" spans="1:141" s="116" customFormat="1">
      <c r="A41157" s="136"/>
      <c r="CM41157" s="111"/>
      <c r="CQ41157" s="111"/>
      <c r="EF41157"/>
      <c r="EG41157"/>
      <c r="EH41157"/>
      <c r="EI41157"/>
      <c r="EJ41157"/>
      <c r="EK41157"/>
    </row>
    <row r="41158" spans="1:141" s="116" customFormat="1">
      <c r="A41158" s="136"/>
      <c r="CM41158" s="111"/>
      <c r="CQ41158" s="111"/>
      <c r="EF41158"/>
      <c r="EG41158"/>
      <c r="EH41158"/>
      <c r="EI41158"/>
      <c r="EJ41158"/>
      <c r="EK41158"/>
    </row>
    <row r="41159" spans="1:141" s="116" customFormat="1">
      <c r="A41159" s="136"/>
      <c r="CM41159" s="111"/>
      <c r="CQ41159" s="111"/>
      <c r="EF41159"/>
      <c r="EG41159"/>
      <c r="EH41159"/>
      <c r="EI41159"/>
      <c r="EJ41159"/>
      <c r="EK41159"/>
    </row>
    <row r="41160" spans="1:141" s="116" customFormat="1">
      <c r="A41160" s="136"/>
      <c r="CM41160" s="111"/>
      <c r="CQ41160" s="111"/>
      <c r="EF41160"/>
      <c r="EG41160"/>
      <c r="EH41160"/>
      <c r="EI41160"/>
      <c r="EJ41160"/>
      <c r="EK41160"/>
    </row>
    <row r="41161" spans="1:141" s="116" customFormat="1">
      <c r="A41161" s="136"/>
      <c r="CM41161" s="111"/>
      <c r="CQ41161" s="111"/>
      <c r="EF41161"/>
      <c r="EG41161"/>
      <c r="EH41161"/>
      <c r="EI41161"/>
      <c r="EJ41161"/>
      <c r="EK41161"/>
    </row>
    <row r="41162" spans="1:141" s="116" customFormat="1">
      <c r="A41162" s="136"/>
      <c r="CM41162" s="111"/>
      <c r="CQ41162" s="111"/>
      <c r="EF41162"/>
      <c r="EG41162"/>
      <c r="EH41162"/>
      <c r="EI41162"/>
      <c r="EJ41162"/>
      <c r="EK41162"/>
    </row>
    <row r="41163" spans="1:141" s="116" customFormat="1">
      <c r="A41163" s="136"/>
      <c r="CM41163" s="111"/>
      <c r="CQ41163" s="111"/>
      <c r="EF41163"/>
      <c r="EG41163"/>
      <c r="EH41163"/>
      <c r="EI41163"/>
      <c r="EJ41163"/>
      <c r="EK41163"/>
    </row>
    <row r="41164" spans="1:141" s="116" customFormat="1">
      <c r="A41164" s="136"/>
      <c r="CM41164" s="111"/>
      <c r="CQ41164" s="111"/>
      <c r="EF41164"/>
      <c r="EG41164"/>
      <c r="EH41164"/>
      <c r="EI41164"/>
      <c r="EJ41164"/>
      <c r="EK41164"/>
    </row>
    <row r="41165" spans="1:141" s="116" customFormat="1">
      <c r="A41165" s="136"/>
      <c r="CM41165" s="111"/>
      <c r="CQ41165" s="111"/>
      <c r="EF41165"/>
      <c r="EG41165"/>
      <c r="EH41165"/>
      <c r="EI41165"/>
      <c r="EJ41165"/>
      <c r="EK41165"/>
    </row>
    <row r="41166" spans="1:141" s="116" customFormat="1">
      <c r="A41166" s="136"/>
      <c r="CM41166" s="111"/>
      <c r="CQ41166" s="111"/>
      <c r="EF41166"/>
      <c r="EG41166"/>
      <c r="EH41166"/>
      <c r="EI41166"/>
      <c r="EJ41166"/>
      <c r="EK41166"/>
    </row>
    <row r="41167" spans="1:141" s="116" customFormat="1">
      <c r="A41167" s="136"/>
      <c r="CM41167" s="111"/>
      <c r="CQ41167" s="111"/>
      <c r="EF41167"/>
      <c r="EG41167"/>
      <c r="EH41167"/>
      <c r="EI41167"/>
      <c r="EJ41167"/>
      <c r="EK41167"/>
    </row>
    <row r="41168" spans="1:141" s="116" customFormat="1">
      <c r="A41168" s="136"/>
      <c r="CM41168" s="111"/>
      <c r="CQ41168" s="111"/>
      <c r="EF41168"/>
      <c r="EG41168"/>
      <c r="EH41168"/>
      <c r="EI41168"/>
      <c r="EJ41168"/>
      <c r="EK41168"/>
    </row>
    <row r="41169" spans="1:141" s="116" customFormat="1">
      <c r="A41169" s="136"/>
      <c r="CM41169" s="111"/>
      <c r="CQ41169" s="111"/>
      <c r="EF41169"/>
      <c r="EG41169"/>
      <c r="EH41169"/>
      <c r="EI41169"/>
      <c r="EJ41169"/>
      <c r="EK41169"/>
    </row>
    <row r="41170" spans="1:141" s="116" customFormat="1">
      <c r="A41170" s="136"/>
      <c r="CM41170" s="111"/>
      <c r="CQ41170" s="111"/>
      <c r="EF41170"/>
      <c r="EG41170"/>
      <c r="EH41170"/>
      <c r="EI41170"/>
      <c r="EJ41170"/>
      <c r="EK41170"/>
    </row>
    <row r="41171" spans="1:141" s="116" customFormat="1">
      <c r="A41171" s="136"/>
      <c r="CM41171" s="111"/>
      <c r="CQ41171" s="111"/>
      <c r="EF41171"/>
      <c r="EG41171"/>
      <c r="EH41171"/>
      <c r="EI41171"/>
      <c r="EJ41171"/>
      <c r="EK41171"/>
    </row>
    <row r="41172" spans="1:141" s="116" customFormat="1">
      <c r="A41172" s="136"/>
      <c r="CM41172" s="111"/>
      <c r="CQ41172" s="111"/>
      <c r="EF41172"/>
      <c r="EG41172"/>
      <c r="EH41172"/>
      <c r="EI41172"/>
      <c r="EJ41172"/>
      <c r="EK41172"/>
    </row>
    <row r="41173" spans="1:141" s="116" customFormat="1">
      <c r="A41173" s="136"/>
      <c r="CM41173" s="111"/>
      <c r="CQ41173" s="111"/>
      <c r="EF41173"/>
      <c r="EG41173"/>
      <c r="EH41173"/>
      <c r="EI41173"/>
      <c r="EJ41173"/>
      <c r="EK41173"/>
    </row>
    <row r="41174" spans="1:141" s="116" customFormat="1">
      <c r="A41174" s="136"/>
      <c r="CM41174" s="111"/>
      <c r="CQ41174" s="111"/>
      <c r="EF41174"/>
      <c r="EG41174"/>
      <c r="EH41174"/>
      <c r="EI41174"/>
      <c r="EJ41174"/>
      <c r="EK41174"/>
    </row>
    <row r="41175" spans="1:141" s="116" customFormat="1">
      <c r="A41175" s="136"/>
      <c r="CM41175" s="111"/>
      <c r="CQ41175" s="111"/>
      <c r="EF41175"/>
      <c r="EG41175"/>
      <c r="EH41175"/>
      <c r="EI41175"/>
      <c r="EJ41175"/>
      <c r="EK41175"/>
    </row>
    <row r="41176" spans="1:141" s="116" customFormat="1">
      <c r="A41176" s="136"/>
      <c r="CM41176" s="111"/>
      <c r="CQ41176" s="111"/>
      <c r="EF41176"/>
      <c r="EG41176"/>
      <c r="EH41176"/>
      <c r="EI41176"/>
      <c r="EJ41176"/>
      <c r="EK41176"/>
    </row>
    <row r="41177" spans="1:141" s="116" customFormat="1">
      <c r="A41177" s="136"/>
      <c r="CM41177" s="111"/>
      <c r="CQ41177" s="111"/>
      <c r="EF41177"/>
      <c r="EG41177"/>
      <c r="EH41177"/>
      <c r="EI41177"/>
      <c r="EJ41177"/>
      <c r="EK41177"/>
    </row>
    <row r="41178" spans="1:141" s="116" customFormat="1">
      <c r="A41178" s="136"/>
      <c r="CM41178" s="111"/>
      <c r="CQ41178" s="111"/>
      <c r="EF41178"/>
      <c r="EG41178"/>
      <c r="EH41178"/>
      <c r="EI41178"/>
      <c r="EJ41178"/>
      <c r="EK41178"/>
    </row>
    <row r="41179" spans="1:141" s="116" customFormat="1">
      <c r="A41179" s="136"/>
      <c r="CM41179" s="111"/>
      <c r="CQ41179" s="111"/>
      <c r="EF41179"/>
      <c r="EG41179"/>
      <c r="EH41179"/>
      <c r="EI41179"/>
      <c r="EJ41179"/>
      <c r="EK41179"/>
    </row>
    <row r="41180" spans="1:141" s="116" customFormat="1">
      <c r="A41180" s="136"/>
      <c r="CM41180" s="111"/>
      <c r="CQ41180" s="111"/>
      <c r="EF41180"/>
      <c r="EG41180"/>
      <c r="EH41180"/>
      <c r="EI41180"/>
      <c r="EJ41180"/>
      <c r="EK41180"/>
    </row>
    <row r="41181" spans="1:141" s="116" customFormat="1">
      <c r="A41181" s="136"/>
      <c r="CM41181" s="111"/>
      <c r="CQ41181" s="111"/>
      <c r="EF41181"/>
      <c r="EG41181"/>
      <c r="EH41181"/>
      <c r="EI41181"/>
      <c r="EJ41181"/>
      <c r="EK41181"/>
    </row>
    <row r="41182" spans="1:141" s="116" customFormat="1">
      <c r="A41182" s="136"/>
      <c r="CM41182" s="111"/>
      <c r="CQ41182" s="111"/>
      <c r="EF41182"/>
      <c r="EG41182"/>
      <c r="EH41182"/>
      <c r="EI41182"/>
      <c r="EJ41182"/>
      <c r="EK41182"/>
    </row>
    <row r="41183" spans="1:141" s="116" customFormat="1">
      <c r="A41183" s="136"/>
      <c r="CM41183" s="111"/>
      <c r="CQ41183" s="111"/>
      <c r="EF41183"/>
      <c r="EG41183"/>
      <c r="EH41183"/>
      <c r="EI41183"/>
      <c r="EJ41183"/>
      <c r="EK41183"/>
    </row>
    <row r="41184" spans="1:141" s="116" customFormat="1">
      <c r="A41184" s="136"/>
      <c r="CM41184" s="111"/>
      <c r="CQ41184" s="111"/>
      <c r="EF41184"/>
      <c r="EG41184"/>
      <c r="EH41184"/>
      <c r="EI41184"/>
      <c r="EJ41184"/>
      <c r="EK41184"/>
    </row>
    <row r="41185" spans="1:141" s="116" customFormat="1">
      <c r="A41185" s="136"/>
      <c r="CM41185" s="111"/>
      <c r="CQ41185" s="111"/>
      <c r="EF41185"/>
      <c r="EG41185"/>
      <c r="EH41185"/>
      <c r="EI41185"/>
      <c r="EJ41185"/>
      <c r="EK41185"/>
    </row>
    <row r="41186" spans="1:141" s="116" customFormat="1">
      <c r="A41186" s="136"/>
      <c r="CM41186" s="111"/>
      <c r="CQ41186" s="111"/>
      <c r="EF41186"/>
      <c r="EG41186"/>
      <c r="EH41186"/>
      <c r="EI41186"/>
      <c r="EJ41186"/>
      <c r="EK41186"/>
    </row>
    <row r="41187" spans="1:141" s="116" customFormat="1">
      <c r="A41187" s="136"/>
      <c r="CM41187" s="111"/>
      <c r="CQ41187" s="111"/>
      <c r="EF41187"/>
      <c r="EG41187"/>
      <c r="EH41187"/>
      <c r="EI41187"/>
      <c r="EJ41187"/>
      <c r="EK41187"/>
    </row>
    <row r="41188" spans="1:141" s="116" customFormat="1">
      <c r="A41188" s="136"/>
      <c r="CM41188" s="111"/>
      <c r="CQ41188" s="111"/>
      <c r="EF41188"/>
      <c r="EG41188"/>
      <c r="EH41188"/>
      <c r="EI41188"/>
      <c r="EJ41188"/>
      <c r="EK41188"/>
    </row>
    <row r="41189" spans="1:141" s="116" customFormat="1">
      <c r="A41189" s="136"/>
      <c r="CM41189" s="111"/>
      <c r="CQ41189" s="111"/>
      <c r="EF41189"/>
      <c r="EG41189"/>
      <c r="EH41189"/>
      <c r="EI41189"/>
      <c r="EJ41189"/>
      <c r="EK41189"/>
    </row>
    <row r="41190" spans="1:141" s="116" customFormat="1">
      <c r="A41190" s="136"/>
      <c r="CM41190" s="111"/>
      <c r="CQ41190" s="111"/>
      <c r="EF41190"/>
      <c r="EG41190"/>
      <c r="EH41190"/>
      <c r="EI41190"/>
      <c r="EJ41190"/>
      <c r="EK41190"/>
    </row>
    <row r="41191" spans="1:141" s="116" customFormat="1">
      <c r="A41191" s="136"/>
      <c r="CM41191" s="111"/>
      <c r="CQ41191" s="111"/>
      <c r="EF41191"/>
      <c r="EG41191"/>
      <c r="EH41191"/>
      <c r="EI41191"/>
      <c r="EJ41191"/>
      <c r="EK41191"/>
    </row>
    <row r="41192" spans="1:141" s="116" customFormat="1">
      <c r="A41192" s="136"/>
      <c r="CM41192" s="111"/>
      <c r="CQ41192" s="111"/>
      <c r="EF41192"/>
      <c r="EG41192"/>
      <c r="EH41192"/>
      <c r="EI41192"/>
      <c r="EJ41192"/>
      <c r="EK41192"/>
    </row>
    <row r="41193" spans="1:141" s="116" customFormat="1">
      <c r="A41193" s="136"/>
      <c r="CM41193" s="111"/>
      <c r="CQ41193" s="111"/>
      <c r="EF41193"/>
      <c r="EG41193"/>
      <c r="EH41193"/>
      <c r="EI41193"/>
      <c r="EJ41193"/>
      <c r="EK41193"/>
    </row>
    <row r="41194" spans="1:141" s="116" customFormat="1">
      <c r="A41194" s="136"/>
      <c r="CM41194" s="111"/>
      <c r="CQ41194" s="111"/>
      <c r="EF41194"/>
      <c r="EG41194"/>
      <c r="EH41194"/>
      <c r="EI41194"/>
      <c r="EJ41194"/>
      <c r="EK41194"/>
    </row>
    <row r="41195" spans="1:141" s="116" customFormat="1">
      <c r="A41195" s="136"/>
      <c r="CM41195" s="111"/>
      <c r="CQ41195" s="111"/>
      <c r="EF41195"/>
      <c r="EG41195"/>
      <c r="EH41195"/>
      <c r="EI41195"/>
      <c r="EJ41195"/>
      <c r="EK41195"/>
    </row>
    <row r="41196" spans="1:141" s="116" customFormat="1">
      <c r="A41196" s="136"/>
      <c r="CM41196" s="111"/>
      <c r="CQ41196" s="111"/>
      <c r="EF41196"/>
      <c r="EG41196"/>
      <c r="EH41196"/>
      <c r="EI41196"/>
      <c r="EJ41196"/>
      <c r="EK41196"/>
    </row>
    <row r="41197" spans="1:141" s="116" customFormat="1">
      <c r="A41197" s="136"/>
      <c r="CM41197" s="111"/>
      <c r="CQ41197" s="111"/>
      <c r="EF41197"/>
      <c r="EG41197"/>
      <c r="EH41197"/>
      <c r="EI41197"/>
      <c r="EJ41197"/>
      <c r="EK41197"/>
    </row>
    <row r="41198" spans="1:141" s="116" customFormat="1">
      <c r="A41198" s="136"/>
      <c r="CM41198" s="111"/>
      <c r="CQ41198" s="111"/>
      <c r="EF41198"/>
      <c r="EG41198"/>
      <c r="EH41198"/>
      <c r="EI41198"/>
      <c r="EJ41198"/>
      <c r="EK41198"/>
    </row>
    <row r="41199" spans="1:141" s="116" customFormat="1">
      <c r="A41199" s="136"/>
      <c r="CM41199" s="111"/>
      <c r="CQ41199" s="111"/>
      <c r="EF41199"/>
      <c r="EG41199"/>
      <c r="EH41199"/>
      <c r="EI41199"/>
      <c r="EJ41199"/>
      <c r="EK41199"/>
    </row>
    <row r="41200" spans="1:141" s="116" customFormat="1">
      <c r="A41200" s="136"/>
      <c r="CM41200" s="111"/>
      <c r="CQ41200" s="111"/>
      <c r="EF41200"/>
      <c r="EG41200"/>
      <c r="EH41200"/>
      <c r="EI41200"/>
      <c r="EJ41200"/>
      <c r="EK41200"/>
    </row>
    <row r="41201" spans="1:141" s="116" customFormat="1">
      <c r="A41201" s="136"/>
      <c r="CM41201" s="111"/>
      <c r="CQ41201" s="111"/>
      <c r="EF41201"/>
      <c r="EG41201"/>
      <c r="EH41201"/>
      <c r="EI41201"/>
      <c r="EJ41201"/>
      <c r="EK41201"/>
    </row>
    <row r="41202" spans="1:141" s="116" customFormat="1">
      <c r="A41202" s="136"/>
      <c r="CM41202" s="111"/>
      <c r="CQ41202" s="111"/>
      <c r="EF41202"/>
      <c r="EG41202"/>
      <c r="EH41202"/>
      <c r="EI41202"/>
      <c r="EJ41202"/>
      <c r="EK41202"/>
    </row>
    <row r="41203" spans="1:141" s="116" customFormat="1">
      <c r="A41203" s="136"/>
      <c r="CM41203" s="111"/>
      <c r="CQ41203" s="111"/>
      <c r="EF41203"/>
      <c r="EG41203"/>
      <c r="EH41203"/>
      <c r="EI41203"/>
      <c r="EJ41203"/>
      <c r="EK41203"/>
    </row>
    <row r="41204" spans="1:141" s="116" customFormat="1">
      <c r="A41204" s="136"/>
      <c r="CM41204" s="111"/>
      <c r="CQ41204" s="111"/>
      <c r="EF41204"/>
      <c r="EG41204"/>
      <c r="EH41204"/>
      <c r="EI41204"/>
      <c r="EJ41204"/>
      <c r="EK41204"/>
    </row>
    <row r="41205" spans="1:141" s="116" customFormat="1">
      <c r="A41205" s="136"/>
      <c r="CM41205" s="111"/>
      <c r="CQ41205" s="111"/>
      <c r="EF41205"/>
      <c r="EG41205"/>
      <c r="EH41205"/>
      <c r="EI41205"/>
      <c r="EJ41205"/>
      <c r="EK41205"/>
    </row>
    <row r="41206" spans="1:141" s="116" customFormat="1">
      <c r="A41206" s="136"/>
      <c r="CM41206" s="111"/>
      <c r="CQ41206" s="111"/>
      <c r="EF41206"/>
      <c r="EG41206"/>
      <c r="EH41206"/>
      <c r="EI41206"/>
      <c r="EJ41206"/>
      <c r="EK41206"/>
    </row>
    <row r="41207" spans="1:141" s="116" customFormat="1">
      <c r="A41207" s="136"/>
      <c r="CM41207" s="111"/>
      <c r="CQ41207" s="111"/>
      <c r="EF41207"/>
      <c r="EG41207"/>
      <c r="EH41207"/>
      <c r="EI41207"/>
      <c r="EJ41207"/>
      <c r="EK41207"/>
    </row>
    <row r="41208" spans="1:141" s="116" customFormat="1">
      <c r="A41208" s="136"/>
      <c r="CM41208" s="111"/>
      <c r="CQ41208" s="111"/>
      <c r="EF41208"/>
      <c r="EG41208"/>
      <c r="EH41208"/>
      <c r="EI41208"/>
      <c r="EJ41208"/>
      <c r="EK41208"/>
    </row>
    <row r="41209" spans="1:141" s="116" customFormat="1">
      <c r="A41209" s="136"/>
      <c r="CM41209" s="111"/>
      <c r="CQ41209" s="111"/>
      <c r="EF41209"/>
      <c r="EG41209"/>
      <c r="EH41209"/>
      <c r="EI41209"/>
      <c r="EJ41209"/>
      <c r="EK41209"/>
    </row>
    <row r="41210" spans="1:141" s="116" customFormat="1">
      <c r="A41210" s="136"/>
      <c r="CM41210" s="111"/>
      <c r="CQ41210" s="111"/>
      <c r="EF41210"/>
      <c r="EG41210"/>
      <c r="EH41210"/>
      <c r="EI41210"/>
      <c r="EJ41210"/>
      <c r="EK41210"/>
    </row>
    <row r="41211" spans="1:141" s="116" customFormat="1">
      <c r="A41211" s="136"/>
      <c r="CM41211" s="111"/>
      <c r="CQ41211" s="111"/>
      <c r="EF41211"/>
      <c r="EG41211"/>
      <c r="EH41211"/>
      <c r="EI41211"/>
      <c r="EJ41211"/>
      <c r="EK41211"/>
    </row>
    <row r="41212" spans="1:141" s="116" customFormat="1">
      <c r="A41212" s="136"/>
      <c r="CM41212" s="111"/>
      <c r="CQ41212" s="111"/>
      <c r="EF41212"/>
      <c r="EG41212"/>
      <c r="EH41212"/>
      <c r="EI41212"/>
      <c r="EJ41212"/>
      <c r="EK41212"/>
    </row>
    <row r="41213" spans="1:141" s="116" customFormat="1">
      <c r="A41213" s="136"/>
      <c r="CM41213" s="111"/>
      <c r="CQ41213" s="111"/>
      <c r="EF41213"/>
      <c r="EG41213"/>
      <c r="EH41213"/>
      <c r="EI41213"/>
      <c r="EJ41213"/>
      <c r="EK41213"/>
    </row>
    <row r="41214" spans="1:141" s="116" customFormat="1">
      <c r="A41214" s="136"/>
      <c r="CM41214" s="111"/>
      <c r="CQ41214" s="111"/>
      <c r="EF41214"/>
      <c r="EG41214"/>
      <c r="EH41214"/>
      <c r="EI41214"/>
      <c r="EJ41214"/>
      <c r="EK41214"/>
    </row>
    <row r="41215" spans="1:141" s="116" customFormat="1">
      <c r="A41215" s="136"/>
      <c r="CM41215" s="111"/>
      <c r="CQ41215" s="111"/>
      <c r="EF41215"/>
      <c r="EG41215"/>
      <c r="EH41215"/>
      <c r="EI41215"/>
      <c r="EJ41215"/>
      <c r="EK41215"/>
    </row>
    <row r="41216" spans="1:141" s="116" customFormat="1">
      <c r="A41216" s="136"/>
      <c r="CM41216" s="111"/>
      <c r="CQ41216" s="111"/>
      <c r="EF41216"/>
      <c r="EG41216"/>
      <c r="EH41216"/>
      <c r="EI41216"/>
      <c r="EJ41216"/>
      <c r="EK41216"/>
    </row>
    <row r="41217" spans="1:141" s="116" customFormat="1">
      <c r="A41217" s="136"/>
      <c r="CM41217" s="111"/>
      <c r="CQ41217" s="111"/>
      <c r="EF41217"/>
      <c r="EG41217"/>
      <c r="EH41217"/>
      <c r="EI41217"/>
      <c r="EJ41217"/>
      <c r="EK41217"/>
    </row>
    <row r="41218" spans="1:141" s="116" customFormat="1">
      <c r="A41218" s="136"/>
      <c r="CM41218" s="111"/>
      <c r="CQ41218" s="111"/>
      <c r="EF41218"/>
      <c r="EG41218"/>
      <c r="EH41218"/>
      <c r="EI41218"/>
      <c r="EJ41218"/>
      <c r="EK41218"/>
    </row>
    <row r="41219" spans="1:141" s="116" customFormat="1">
      <c r="A41219" s="136"/>
      <c r="CM41219" s="111"/>
      <c r="CQ41219" s="111"/>
      <c r="EF41219"/>
      <c r="EG41219"/>
      <c r="EH41219"/>
      <c r="EI41219"/>
      <c r="EJ41219"/>
      <c r="EK41219"/>
    </row>
    <row r="41220" spans="1:141" s="116" customFormat="1">
      <c r="A41220" s="136"/>
      <c r="CM41220" s="111"/>
      <c r="CQ41220" s="111"/>
      <c r="EF41220"/>
      <c r="EG41220"/>
      <c r="EH41220"/>
      <c r="EI41220"/>
      <c r="EJ41220"/>
      <c r="EK41220"/>
    </row>
    <row r="41221" spans="1:141" s="116" customFormat="1">
      <c r="A41221" s="136"/>
      <c r="CM41221" s="111"/>
      <c r="CQ41221" s="111"/>
      <c r="EF41221"/>
      <c r="EG41221"/>
      <c r="EH41221"/>
      <c r="EI41221"/>
      <c r="EJ41221"/>
      <c r="EK41221"/>
    </row>
    <row r="41222" spans="1:141" s="116" customFormat="1">
      <c r="A41222" s="136"/>
      <c r="CM41222" s="111"/>
      <c r="CQ41222" s="111"/>
      <c r="EF41222"/>
      <c r="EG41222"/>
      <c r="EH41222"/>
      <c r="EI41222"/>
      <c r="EJ41222"/>
      <c r="EK41222"/>
    </row>
    <row r="41223" spans="1:141" s="116" customFormat="1">
      <c r="A41223" s="136"/>
      <c r="CM41223" s="111"/>
      <c r="CQ41223" s="111"/>
      <c r="EF41223"/>
      <c r="EG41223"/>
      <c r="EH41223"/>
      <c r="EI41223"/>
      <c r="EJ41223"/>
      <c r="EK41223"/>
    </row>
    <row r="41224" spans="1:141" s="116" customFormat="1">
      <c r="A41224" s="136"/>
      <c r="CM41224" s="111"/>
      <c r="CQ41224" s="111"/>
      <c r="EF41224"/>
      <c r="EG41224"/>
      <c r="EH41224"/>
      <c r="EI41224"/>
      <c r="EJ41224"/>
      <c r="EK41224"/>
    </row>
    <row r="41225" spans="1:141" s="116" customFormat="1">
      <c r="A41225" s="136"/>
      <c r="CM41225" s="111"/>
      <c r="CQ41225" s="111"/>
      <c r="EF41225"/>
      <c r="EG41225"/>
      <c r="EH41225"/>
      <c r="EI41225"/>
      <c r="EJ41225"/>
      <c r="EK41225"/>
    </row>
    <row r="41226" spans="1:141" s="116" customFormat="1">
      <c r="A41226" s="136"/>
      <c r="CM41226" s="111"/>
      <c r="CQ41226" s="111"/>
      <c r="EF41226"/>
      <c r="EG41226"/>
      <c r="EH41226"/>
      <c r="EI41226"/>
      <c r="EJ41226"/>
      <c r="EK41226"/>
    </row>
    <row r="41227" spans="1:141" s="116" customFormat="1">
      <c r="A41227" s="136"/>
      <c r="CM41227" s="111"/>
      <c r="CQ41227" s="111"/>
      <c r="EF41227"/>
      <c r="EG41227"/>
      <c r="EH41227"/>
      <c r="EI41227"/>
      <c r="EJ41227"/>
      <c r="EK41227"/>
    </row>
    <row r="41228" spans="1:141" s="116" customFormat="1">
      <c r="A41228" s="136"/>
      <c r="CM41228" s="111"/>
      <c r="CQ41228" s="111"/>
      <c r="EF41228"/>
      <c r="EG41228"/>
      <c r="EH41228"/>
      <c r="EI41228"/>
      <c r="EJ41228"/>
      <c r="EK41228"/>
    </row>
    <row r="41229" spans="1:141" s="116" customFormat="1">
      <c r="A41229" s="136"/>
      <c r="CM41229" s="111"/>
      <c r="CQ41229" s="111"/>
      <c r="EF41229"/>
      <c r="EG41229"/>
      <c r="EH41229"/>
      <c r="EI41229"/>
      <c r="EJ41229"/>
      <c r="EK41229"/>
    </row>
    <row r="41230" spans="1:141" s="116" customFormat="1">
      <c r="A41230" s="136"/>
      <c r="CM41230" s="111"/>
      <c r="CQ41230" s="111"/>
      <c r="EF41230"/>
      <c r="EG41230"/>
      <c r="EH41230"/>
      <c r="EI41230"/>
      <c r="EJ41230"/>
      <c r="EK41230"/>
    </row>
    <row r="41231" spans="1:141" s="116" customFormat="1">
      <c r="A41231" s="136"/>
      <c r="CM41231" s="111"/>
      <c r="CQ41231" s="111"/>
      <c r="EF41231"/>
      <c r="EG41231"/>
      <c r="EH41231"/>
      <c r="EI41231"/>
      <c r="EJ41231"/>
      <c r="EK41231"/>
    </row>
    <row r="41232" spans="1:141" s="116" customFormat="1">
      <c r="A41232" s="136"/>
      <c r="CM41232" s="111"/>
      <c r="CQ41232" s="111"/>
      <c r="EF41232"/>
      <c r="EG41232"/>
      <c r="EH41232"/>
      <c r="EI41232"/>
      <c r="EJ41232"/>
      <c r="EK41232"/>
    </row>
    <row r="41233" spans="1:141" s="116" customFormat="1">
      <c r="A41233" s="136"/>
      <c r="CM41233" s="111"/>
      <c r="CQ41233" s="111"/>
      <c r="EF41233"/>
      <c r="EG41233"/>
      <c r="EH41233"/>
      <c r="EI41233"/>
      <c r="EJ41233"/>
      <c r="EK41233"/>
    </row>
    <row r="41234" spans="1:141" s="116" customFormat="1">
      <c r="A41234" s="136"/>
      <c r="CM41234" s="111"/>
      <c r="CQ41234" s="111"/>
      <c r="EF41234"/>
      <c r="EG41234"/>
      <c r="EH41234"/>
      <c r="EI41234"/>
      <c r="EJ41234"/>
      <c r="EK41234"/>
    </row>
    <row r="41235" spans="1:141" s="116" customFormat="1">
      <c r="A41235" s="136"/>
      <c r="CM41235" s="111"/>
      <c r="CQ41235" s="111"/>
      <c r="EF41235"/>
      <c r="EG41235"/>
      <c r="EH41235"/>
      <c r="EI41235"/>
      <c r="EJ41235"/>
      <c r="EK41235"/>
    </row>
    <row r="41236" spans="1:141" s="116" customFormat="1">
      <c r="A41236" s="136"/>
      <c r="CM41236" s="111"/>
      <c r="CQ41236" s="111"/>
      <c r="EF41236"/>
      <c r="EG41236"/>
      <c r="EH41236"/>
      <c r="EI41236"/>
      <c r="EJ41236"/>
      <c r="EK41236"/>
    </row>
    <row r="41237" spans="1:141" s="116" customFormat="1">
      <c r="A41237" s="136"/>
      <c r="CM41237" s="111"/>
      <c r="CQ41237" s="111"/>
      <c r="EF41237"/>
      <c r="EG41237"/>
      <c r="EH41237"/>
      <c r="EI41237"/>
      <c r="EJ41237"/>
      <c r="EK41237"/>
    </row>
    <row r="41238" spans="1:141" s="116" customFormat="1">
      <c r="A41238" s="136"/>
      <c r="CM41238" s="111"/>
      <c r="CQ41238" s="111"/>
      <c r="EF41238"/>
      <c r="EG41238"/>
      <c r="EH41238"/>
      <c r="EI41238"/>
      <c r="EJ41238"/>
      <c r="EK41238"/>
    </row>
    <row r="41239" spans="1:141" s="116" customFormat="1">
      <c r="A41239" s="136"/>
      <c r="CM41239" s="111"/>
      <c r="CQ41239" s="111"/>
      <c r="EF41239"/>
      <c r="EG41239"/>
      <c r="EH41239"/>
      <c r="EI41239"/>
      <c r="EJ41239"/>
      <c r="EK41239"/>
    </row>
    <row r="41240" spans="1:141" s="116" customFormat="1">
      <c r="A41240" s="136"/>
      <c r="CM41240" s="111"/>
      <c r="CQ41240" s="111"/>
      <c r="EF41240"/>
      <c r="EG41240"/>
      <c r="EH41240"/>
      <c r="EI41240"/>
      <c r="EJ41240"/>
      <c r="EK41240"/>
    </row>
    <row r="41241" spans="1:141" s="116" customFormat="1">
      <c r="A41241" s="136"/>
      <c r="CM41241" s="111"/>
      <c r="CQ41241" s="111"/>
      <c r="EF41241"/>
      <c r="EG41241"/>
      <c r="EH41241"/>
      <c r="EI41241"/>
      <c r="EJ41241"/>
      <c r="EK41241"/>
    </row>
    <row r="41242" spans="1:141" s="116" customFormat="1">
      <c r="A41242" s="136"/>
      <c r="CM41242" s="111"/>
      <c r="CQ41242" s="111"/>
      <c r="EF41242"/>
      <c r="EG41242"/>
      <c r="EH41242"/>
      <c r="EI41242"/>
      <c r="EJ41242"/>
      <c r="EK41242"/>
    </row>
    <row r="41243" spans="1:141" s="116" customFormat="1">
      <c r="A41243" s="136"/>
      <c r="CM41243" s="111"/>
      <c r="CQ41243" s="111"/>
      <c r="EF41243"/>
      <c r="EG41243"/>
      <c r="EH41243"/>
      <c r="EI41243"/>
      <c r="EJ41243"/>
      <c r="EK41243"/>
    </row>
    <row r="41244" spans="1:141" s="116" customFormat="1">
      <c r="A41244" s="136"/>
      <c r="CM41244" s="111"/>
      <c r="CQ41244" s="111"/>
      <c r="EF41244"/>
      <c r="EG41244"/>
      <c r="EH41244"/>
      <c r="EI41244"/>
      <c r="EJ41244"/>
      <c r="EK41244"/>
    </row>
    <row r="41245" spans="1:141" s="116" customFormat="1">
      <c r="A41245" s="136"/>
      <c r="CM41245" s="111"/>
      <c r="CQ41245" s="111"/>
      <c r="EF41245"/>
      <c r="EG41245"/>
      <c r="EH41245"/>
      <c r="EI41245"/>
      <c r="EJ41245"/>
      <c r="EK41245"/>
    </row>
    <row r="41246" spans="1:141" s="116" customFormat="1">
      <c r="A41246" s="136"/>
      <c r="CM41246" s="111"/>
      <c r="CQ41246" s="111"/>
      <c r="EF41246"/>
      <c r="EG41246"/>
      <c r="EH41246"/>
      <c r="EI41246"/>
      <c r="EJ41246"/>
      <c r="EK41246"/>
    </row>
    <row r="41247" spans="1:141" s="116" customFormat="1">
      <c r="A41247" s="136"/>
      <c r="CM41247" s="111"/>
      <c r="CQ41247" s="111"/>
      <c r="EF41247"/>
      <c r="EG41247"/>
      <c r="EH41247"/>
      <c r="EI41247"/>
      <c r="EJ41247"/>
      <c r="EK41247"/>
    </row>
    <row r="41248" spans="1:141" s="116" customFormat="1">
      <c r="A41248" s="136"/>
      <c r="CM41248" s="111"/>
      <c r="CQ41248" s="111"/>
      <c r="EF41248"/>
      <c r="EG41248"/>
      <c r="EH41248"/>
      <c r="EI41248"/>
      <c r="EJ41248"/>
      <c r="EK41248"/>
    </row>
    <row r="41249" spans="1:141" s="116" customFormat="1">
      <c r="A41249" s="136"/>
      <c r="CM41249" s="111"/>
      <c r="CQ41249" s="111"/>
      <c r="EF41249"/>
      <c r="EG41249"/>
      <c r="EH41249"/>
      <c r="EI41249"/>
      <c r="EJ41249"/>
      <c r="EK41249"/>
    </row>
    <row r="41250" spans="1:141" s="116" customFormat="1">
      <c r="A41250" s="136"/>
      <c r="CM41250" s="111"/>
      <c r="CQ41250" s="111"/>
      <c r="EF41250"/>
      <c r="EG41250"/>
      <c r="EH41250"/>
      <c r="EI41250"/>
      <c r="EJ41250"/>
      <c r="EK41250"/>
    </row>
    <row r="41251" spans="1:141" s="116" customFormat="1">
      <c r="A41251" s="136"/>
      <c r="CM41251" s="111"/>
      <c r="CQ41251" s="111"/>
      <c r="EF41251"/>
      <c r="EG41251"/>
      <c r="EH41251"/>
      <c r="EI41251"/>
      <c r="EJ41251"/>
      <c r="EK41251"/>
    </row>
    <row r="41252" spans="1:141" s="116" customFormat="1">
      <c r="A41252" s="136"/>
      <c r="CM41252" s="111"/>
      <c r="CQ41252" s="111"/>
      <c r="EF41252"/>
      <c r="EG41252"/>
      <c r="EH41252"/>
      <c r="EI41252"/>
      <c r="EJ41252"/>
      <c r="EK41252"/>
    </row>
    <row r="41253" spans="1:141" s="116" customFormat="1">
      <c r="A41253" s="136"/>
      <c r="CM41253" s="111"/>
      <c r="CQ41253" s="111"/>
      <c r="EF41253"/>
      <c r="EG41253"/>
      <c r="EH41253"/>
      <c r="EI41253"/>
      <c r="EJ41253"/>
      <c r="EK41253"/>
    </row>
    <row r="41254" spans="1:141" s="116" customFormat="1">
      <c r="A41254" s="136"/>
      <c r="CM41254" s="111"/>
      <c r="CQ41254" s="111"/>
      <c r="EF41254"/>
      <c r="EG41254"/>
      <c r="EH41254"/>
      <c r="EI41254"/>
      <c r="EJ41254"/>
      <c r="EK41254"/>
    </row>
    <row r="41255" spans="1:141" s="116" customFormat="1">
      <c r="A41255" s="136"/>
      <c r="CM41255" s="111"/>
      <c r="CQ41255" s="111"/>
      <c r="EF41255"/>
      <c r="EG41255"/>
      <c r="EH41255"/>
      <c r="EI41255"/>
      <c r="EJ41255"/>
      <c r="EK41255"/>
    </row>
    <row r="41256" spans="1:141" s="116" customFormat="1">
      <c r="A41256" s="136"/>
      <c r="CM41256" s="111"/>
      <c r="CQ41256" s="111"/>
      <c r="EF41256"/>
      <c r="EG41256"/>
      <c r="EH41256"/>
      <c r="EI41256"/>
      <c r="EJ41256"/>
      <c r="EK41256"/>
    </row>
    <row r="41257" spans="1:141" s="116" customFormat="1">
      <c r="A41257" s="136"/>
      <c r="CM41257" s="111"/>
      <c r="CQ41257" s="111"/>
      <c r="EF41257"/>
      <c r="EG41257"/>
      <c r="EH41257"/>
      <c r="EI41257"/>
      <c r="EJ41257"/>
      <c r="EK41257"/>
    </row>
    <row r="41258" spans="1:141" s="116" customFormat="1">
      <c r="A41258" s="136"/>
      <c r="CM41258" s="111"/>
      <c r="CQ41258" s="111"/>
      <c r="EF41258"/>
      <c r="EG41258"/>
      <c r="EH41258"/>
      <c r="EI41258"/>
      <c r="EJ41258"/>
      <c r="EK41258"/>
    </row>
    <row r="41259" spans="1:141" s="116" customFormat="1">
      <c r="A41259" s="136"/>
      <c r="CM41259" s="111"/>
      <c r="CQ41259" s="111"/>
      <c r="EF41259"/>
      <c r="EG41259"/>
      <c r="EH41259"/>
      <c r="EI41259"/>
      <c r="EJ41259"/>
      <c r="EK41259"/>
    </row>
    <row r="41260" spans="1:141" s="116" customFormat="1">
      <c r="A41260" s="136"/>
      <c r="CM41260" s="111"/>
      <c r="CQ41260" s="111"/>
      <c r="EF41260"/>
      <c r="EG41260"/>
      <c r="EH41260"/>
      <c r="EI41260"/>
      <c r="EJ41260"/>
      <c r="EK41260"/>
    </row>
    <row r="41261" spans="1:141" s="116" customFormat="1">
      <c r="A41261" s="136"/>
      <c r="CM41261" s="111"/>
      <c r="CQ41261" s="111"/>
      <c r="EF41261"/>
      <c r="EG41261"/>
      <c r="EH41261"/>
      <c r="EI41261"/>
      <c r="EJ41261"/>
      <c r="EK41261"/>
    </row>
    <row r="41262" spans="1:141" s="116" customFormat="1">
      <c r="A41262" s="136"/>
      <c r="CM41262" s="111"/>
      <c r="CQ41262" s="111"/>
      <c r="EF41262"/>
      <c r="EG41262"/>
      <c r="EH41262"/>
      <c r="EI41262"/>
      <c r="EJ41262"/>
      <c r="EK41262"/>
    </row>
    <row r="41263" spans="1:141" s="116" customFormat="1">
      <c r="A41263" s="136"/>
      <c r="CM41263" s="111"/>
      <c r="CQ41263" s="111"/>
      <c r="EF41263"/>
      <c r="EG41263"/>
      <c r="EH41263"/>
      <c r="EI41263"/>
      <c r="EJ41263"/>
      <c r="EK41263"/>
    </row>
    <row r="41264" spans="1:141" s="116" customFormat="1">
      <c r="A41264" s="136"/>
      <c r="CM41264" s="111"/>
      <c r="CQ41264" s="111"/>
      <c r="EF41264"/>
      <c r="EG41264"/>
      <c r="EH41264"/>
      <c r="EI41264"/>
      <c r="EJ41264"/>
      <c r="EK41264"/>
    </row>
    <row r="41265" spans="1:141" s="116" customFormat="1">
      <c r="A41265" s="136"/>
      <c r="CM41265" s="111"/>
      <c r="CQ41265" s="111"/>
      <c r="EF41265"/>
      <c r="EG41265"/>
      <c r="EH41265"/>
      <c r="EI41265"/>
      <c r="EJ41265"/>
      <c r="EK41265"/>
    </row>
    <row r="41266" spans="1:141" s="116" customFormat="1">
      <c r="A41266" s="136"/>
      <c r="CM41266" s="111"/>
      <c r="CQ41266" s="111"/>
      <c r="EF41266"/>
      <c r="EG41266"/>
      <c r="EH41266"/>
      <c r="EI41266"/>
      <c r="EJ41266"/>
      <c r="EK41266"/>
    </row>
    <row r="41267" spans="1:141" s="116" customFormat="1">
      <c r="A41267" s="136"/>
      <c r="CM41267" s="111"/>
      <c r="CQ41267" s="111"/>
      <c r="EF41267"/>
      <c r="EG41267"/>
      <c r="EH41267"/>
      <c r="EI41267"/>
      <c r="EJ41267"/>
      <c r="EK41267"/>
    </row>
    <row r="41268" spans="1:141" s="116" customFormat="1">
      <c r="A41268" s="136"/>
      <c r="CM41268" s="111"/>
      <c r="CQ41268" s="111"/>
      <c r="EF41268"/>
      <c r="EG41268"/>
      <c r="EH41268"/>
      <c r="EI41268"/>
      <c r="EJ41268"/>
      <c r="EK41268"/>
    </row>
    <row r="41269" spans="1:141" s="116" customFormat="1">
      <c r="A41269" s="136"/>
      <c r="CM41269" s="111"/>
      <c r="CQ41269" s="111"/>
      <c r="EF41269"/>
      <c r="EG41269"/>
      <c r="EH41269"/>
      <c r="EI41269"/>
      <c r="EJ41269"/>
      <c r="EK41269"/>
    </row>
    <row r="41270" spans="1:141" s="116" customFormat="1">
      <c r="A41270" s="136"/>
      <c r="CM41270" s="111"/>
      <c r="CQ41270" s="111"/>
      <c r="EF41270"/>
      <c r="EG41270"/>
      <c r="EH41270"/>
      <c r="EI41270"/>
      <c r="EJ41270"/>
      <c r="EK41270"/>
    </row>
    <row r="41271" spans="1:141" s="116" customFormat="1">
      <c r="A41271" s="136"/>
      <c r="CM41271" s="111"/>
      <c r="CQ41271" s="111"/>
      <c r="EF41271"/>
      <c r="EG41271"/>
      <c r="EH41271"/>
      <c r="EI41271"/>
      <c r="EJ41271"/>
      <c r="EK41271"/>
    </row>
    <row r="41272" spans="1:141" s="116" customFormat="1">
      <c r="A41272" s="136"/>
      <c r="CM41272" s="111"/>
      <c r="CQ41272" s="111"/>
      <c r="EF41272"/>
      <c r="EG41272"/>
      <c r="EH41272"/>
      <c r="EI41272"/>
      <c r="EJ41272"/>
      <c r="EK41272"/>
    </row>
    <row r="41273" spans="1:141" s="116" customFormat="1">
      <c r="A41273" s="136"/>
      <c r="CM41273" s="111"/>
      <c r="CQ41273" s="111"/>
      <c r="EF41273"/>
      <c r="EG41273"/>
      <c r="EH41273"/>
      <c r="EI41273"/>
      <c r="EJ41273"/>
      <c r="EK41273"/>
    </row>
    <row r="41274" spans="1:141" s="116" customFormat="1">
      <c r="A41274" s="136"/>
      <c r="CM41274" s="111"/>
      <c r="CQ41274" s="111"/>
      <c r="EF41274"/>
      <c r="EG41274"/>
      <c r="EH41274"/>
      <c r="EI41274"/>
      <c r="EJ41274"/>
      <c r="EK41274"/>
    </row>
    <row r="41275" spans="1:141" s="116" customFormat="1">
      <c r="A41275" s="136"/>
      <c r="CM41275" s="111"/>
      <c r="CQ41275" s="111"/>
      <c r="EF41275"/>
      <c r="EG41275"/>
      <c r="EH41275"/>
      <c r="EI41275"/>
      <c r="EJ41275"/>
      <c r="EK41275"/>
    </row>
    <row r="41276" spans="1:141" s="116" customFormat="1">
      <c r="A41276" s="136"/>
      <c r="CM41276" s="111"/>
      <c r="CQ41276" s="111"/>
      <c r="EF41276"/>
      <c r="EG41276"/>
      <c r="EH41276"/>
      <c r="EI41276"/>
      <c r="EJ41276"/>
      <c r="EK41276"/>
    </row>
    <row r="41277" spans="1:141" s="116" customFormat="1">
      <c r="A41277" s="136"/>
      <c r="CM41277" s="111"/>
      <c r="CQ41277" s="111"/>
      <c r="EF41277"/>
      <c r="EG41277"/>
      <c r="EH41277"/>
      <c r="EI41277"/>
      <c r="EJ41277"/>
      <c r="EK41277"/>
    </row>
    <row r="41278" spans="1:141" s="116" customFormat="1">
      <c r="A41278" s="136"/>
      <c r="CM41278" s="111"/>
      <c r="CQ41278" s="111"/>
      <c r="EF41278"/>
      <c r="EG41278"/>
      <c r="EH41278"/>
      <c r="EI41278"/>
      <c r="EJ41278"/>
      <c r="EK41278"/>
    </row>
    <row r="41279" spans="1:141" s="116" customFormat="1">
      <c r="A41279" s="136"/>
      <c r="CM41279" s="111"/>
      <c r="CQ41279" s="111"/>
      <c r="EF41279"/>
      <c r="EG41279"/>
      <c r="EH41279"/>
      <c r="EI41279"/>
      <c r="EJ41279"/>
      <c r="EK41279"/>
    </row>
    <row r="41280" spans="1:141" s="116" customFormat="1">
      <c r="A41280" s="136"/>
      <c r="CM41280" s="111"/>
      <c r="CQ41280" s="111"/>
      <c r="EF41280"/>
      <c r="EG41280"/>
      <c r="EH41280"/>
      <c r="EI41280"/>
      <c r="EJ41280"/>
      <c r="EK41280"/>
    </row>
    <row r="41281" spans="1:141" s="116" customFormat="1">
      <c r="A41281" s="136"/>
      <c r="CM41281" s="111"/>
      <c r="CQ41281" s="111"/>
      <c r="EF41281"/>
      <c r="EG41281"/>
      <c r="EH41281"/>
      <c r="EI41281"/>
      <c r="EJ41281"/>
      <c r="EK41281"/>
    </row>
    <row r="41282" spans="1:141" s="116" customFormat="1">
      <c r="A41282" s="136"/>
      <c r="CM41282" s="111"/>
      <c r="CQ41282" s="111"/>
      <c r="EF41282"/>
      <c r="EG41282"/>
      <c r="EH41282"/>
      <c r="EI41282"/>
      <c r="EJ41282"/>
      <c r="EK41282"/>
    </row>
    <row r="41283" spans="1:141" s="116" customFormat="1">
      <c r="A41283" s="136"/>
      <c r="CM41283" s="111"/>
      <c r="CQ41283" s="111"/>
      <c r="EF41283"/>
      <c r="EG41283"/>
      <c r="EH41283"/>
      <c r="EI41283"/>
      <c r="EJ41283"/>
      <c r="EK41283"/>
    </row>
    <row r="41284" spans="1:141" s="116" customFormat="1">
      <c r="A41284" s="136"/>
      <c r="CM41284" s="111"/>
      <c r="CQ41284" s="111"/>
      <c r="EF41284"/>
      <c r="EG41284"/>
      <c r="EH41284"/>
      <c r="EI41284"/>
      <c r="EJ41284"/>
      <c r="EK41284"/>
    </row>
    <row r="41285" spans="1:141" s="116" customFormat="1">
      <c r="A41285" s="136"/>
      <c r="CM41285" s="111"/>
      <c r="CQ41285" s="111"/>
      <c r="EF41285"/>
      <c r="EG41285"/>
      <c r="EH41285"/>
      <c r="EI41285"/>
      <c r="EJ41285"/>
      <c r="EK41285"/>
    </row>
    <row r="41286" spans="1:141" s="116" customFormat="1">
      <c r="A41286" s="136"/>
      <c r="CM41286" s="111"/>
      <c r="CQ41286" s="111"/>
      <c r="EF41286"/>
      <c r="EG41286"/>
      <c r="EH41286"/>
      <c r="EI41286"/>
      <c r="EJ41286"/>
      <c r="EK41286"/>
    </row>
    <row r="41287" spans="1:141" s="116" customFormat="1">
      <c r="A41287" s="136"/>
      <c r="CM41287" s="111"/>
      <c r="CQ41287" s="111"/>
      <c r="EF41287"/>
      <c r="EG41287"/>
      <c r="EH41287"/>
      <c r="EI41287"/>
      <c r="EJ41287"/>
      <c r="EK41287"/>
    </row>
    <row r="41288" spans="1:141" s="116" customFormat="1">
      <c r="A41288" s="136"/>
      <c r="CM41288" s="111"/>
      <c r="CQ41288" s="111"/>
      <c r="EF41288"/>
      <c r="EG41288"/>
      <c r="EH41288"/>
      <c r="EI41288"/>
      <c r="EJ41288"/>
      <c r="EK41288"/>
    </row>
    <row r="41289" spans="1:141" s="116" customFormat="1">
      <c r="A41289" s="136"/>
      <c r="CM41289" s="111"/>
      <c r="CQ41289" s="111"/>
      <c r="EF41289"/>
      <c r="EG41289"/>
      <c r="EH41289"/>
      <c r="EI41289"/>
      <c r="EJ41289"/>
      <c r="EK41289"/>
    </row>
    <row r="41290" spans="1:141" s="116" customFormat="1">
      <c r="A41290" s="136"/>
      <c r="CM41290" s="111"/>
      <c r="CQ41290" s="111"/>
      <c r="EF41290"/>
      <c r="EG41290"/>
      <c r="EH41290"/>
      <c r="EI41290"/>
      <c r="EJ41290"/>
      <c r="EK41290"/>
    </row>
    <row r="41291" spans="1:141" s="116" customFormat="1">
      <c r="A41291" s="136"/>
      <c r="CM41291" s="111"/>
      <c r="CQ41291" s="111"/>
      <c r="EF41291"/>
      <c r="EG41291"/>
      <c r="EH41291"/>
      <c r="EI41291"/>
      <c r="EJ41291"/>
      <c r="EK41291"/>
    </row>
    <row r="41292" spans="1:141" s="116" customFormat="1">
      <c r="A41292" s="136"/>
      <c r="CM41292" s="111"/>
      <c r="CQ41292" s="111"/>
      <c r="EF41292"/>
      <c r="EG41292"/>
      <c r="EH41292"/>
      <c r="EI41292"/>
      <c r="EJ41292"/>
      <c r="EK41292"/>
    </row>
    <row r="41293" spans="1:141" s="116" customFormat="1">
      <c r="A41293" s="136"/>
      <c r="CM41293" s="111"/>
      <c r="CQ41293" s="111"/>
      <c r="EF41293"/>
      <c r="EG41293"/>
      <c r="EH41293"/>
      <c r="EI41293"/>
      <c r="EJ41293"/>
      <c r="EK41293"/>
    </row>
    <row r="41294" spans="1:141" s="116" customFormat="1">
      <c r="A41294" s="136"/>
      <c r="CM41294" s="111"/>
      <c r="CQ41294" s="111"/>
      <c r="EF41294"/>
      <c r="EG41294"/>
      <c r="EH41294"/>
      <c r="EI41294"/>
      <c r="EJ41294"/>
      <c r="EK41294"/>
    </row>
    <row r="41295" spans="1:141" s="116" customFormat="1">
      <c r="A41295" s="136"/>
      <c r="CM41295" s="111"/>
      <c r="CQ41295" s="111"/>
      <c r="EF41295"/>
      <c r="EG41295"/>
      <c r="EH41295"/>
      <c r="EI41295"/>
      <c r="EJ41295"/>
      <c r="EK41295"/>
    </row>
    <row r="41296" spans="1:141" s="116" customFormat="1">
      <c r="A41296" s="136"/>
      <c r="CM41296" s="111"/>
      <c r="CQ41296" s="111"/>
      <c r="EF41296"/>
      <c r="EG41296"/>
      <c r="EH41296"/>
      <c r="EI41296"/>
      <c r="EJ41296"/>
      <c r="EK41296"/>
    </row>
    <row r="41297" spans="1:141" s="116" customFormat="1">
      <c r="A41297" s="136"/>
      <c r="CM41297" s="111"/>
      <c r="CQ41297" s="111"/>
      <c r="EF41297"/>
      <c r="EG41297"/>
      <c r="EH41297"/>
      <c r="EI41297"/>
      <c r="EJ41297"/>
      <c r="EK41297"/>
    </row>
    <row r="41298" spans="1:141" s="116" customFormat="1">
      <c r="A41298" s="136"/>
      <c r="CM41298" s="111"/>
      <c r="CQ41298" s="111"/>
      <c r="EF41298"/>
      <c r="EG41298"/>
      <c r="EH41298"/>
      <c r="EI41298"/>
      <c r="EJ41298"/>
      <c r="EK41298"/>
    </row>
    <row r="41299" spans="1:141" s="116" customFormat="1">
      <c r="A41299" s="136"/>
      <c r="CM41299" s="111"/>
      <c r="CQ41299" s="111"/>
      <c r="EF41299"/>
      <c r="EG41299"/>
      <c r="EH41299"/>
      <c r="EI41299"/>
      <c r="EJ41299"/>
      <c r="EK41299"/>
    </row>
    <row r="41300" spans="1:141" s="116" customFormat="1">
      <c r="A41300" s="136"/>
      <c r="CM41300" s="111"/>
      <c r="CQ41300" s="111"/>
      <c r="EF41300"/>
      <c r="EG41300"/>
      <c r="EH41300"/>
      <c r="EI41300"/>
      <c r="EJ41300"/>
      <c r="EK41300"/>
    </row>
    <row r="41301" spans="1:141" s="116" customFormat="1">
      <c r="A41301" s="136"/>
      <c r="CM41301" s="111"/>
      <c r="CQ41301" s="111"/>
      <c r="EF41301"/>
      <c r="EG41301"/>
      <c r="EH41301"/>
      <c r="EI41301"/>
      <c r="EJ41301"/>
      <c r="EK41301"/>
    </row>
    <row r="41302" spans="1:141" s="116" customFormat="1">
      <c r="A41302" s="136"/>
      <c r="CM41302" s="111"/>
      <c r="CQ41302" s="111"/>
      <c r="EF41302"/>
      <c r="EG41302"/>
      <c r="EH41302"/>
      <c r="EI41302"/>
      <c r="EJ41302"/>
      <c r="EK41302"/>
    </row>
    <row r="41303" spans="1:141" s="116" customFormat="1">
      <c r="A41303" s="136"/>
      <c r="CM41303" s="111"/>
      <c r="CQ41303" s="111"/>
      <c r="EF41303"/>
      <c r="EG41303"/>
      <c r="EH41303"/>
      <c r="EI41303"/>
      <c r="EJ41303"/>
      <c r="EK41303"/>
    </row>
    <row r="41304" spans="1:141" s="116" customFormat="1">
      <c r="A41304" s="136"/>
      <c r="CM41304" s="111"/>
      <c r="CQ41304" s="111"/>
      <c r="EF41304"/>
      <c r="EG41304"/>
      <c r="EH41304"/>
      <c r="EI41304"/>
      <c r="EJ41304"/>
      <c r="EK41304"/>
    </row>
    <row r="41305" spans="1:141" s="116" customFormat="1">
      <c r="A41305" s="136"/>
      <c r="CM41305" s="111"/>
      <c r="CQ41305" s="111"/>
      <c r="EF41305"/>
      <c r="EG41305"/>
      <c r="EH41305"/>
      <c r="EI41305"/>
      <c r="EJ41305"/>
      <c r="EK41305"/>
    </row>
    <row r="41306" spans="1:141" s="116" customFormat="1">
      <c r="A41306" s="136"/>
      <c r="CM41306" s="111"/>
      <c r="CQ41306" s="111"/>
      <c r="EF41306"/>
      <c r="EG41306"/>
      <c r="EH41306"/>
      <c r="EI41306"/>
      <c r="EJ41306"/>
      <c r="EK41306"/>
    </row>
    <row r="41307" spans="1:141" s="116" customFormat="1">
      <c r="A41307" s="136"/>
      <c r="CM41307" s="111"/>
      <c r="CQ41307" s="111"/>
      <c r="EF41307"/>
      <c r="EG41307"/>
      <c r="EH41307"/>
      <c r="EI41307"/>
      <c r="EJ41307"/>
      <c r="EK41307"/>
    </row>
    <row r="41308" spans="1:141" s="116" customFormat="1">
      <c r="A41308" s="136"/>
      <c r="CM41308" s="111"/>
      <c r="CQ41308" s="111"/>
      <c r="EF41308"/>
      <c r="EG41308"/>
      <c r="EH41308"/>
      <c r="EI41308"/>
      <c r="EJ41308"/>
      <c r="EK41308"/>
    </row>
    <row r="41309" spans="1:141" s="116" customFormat="1">
      <c r="A41309" s="136"/>
      <c r="CM41309" s="111"/>
      <c r="CQ41309" s="111"/>
      <c r="EF41309"/>
      <c r="EG41309"/>
      <c r="EH41309"/>
      <c r="EI41309"/>
      <c r="EJ41309"/>
      <c r="EK41309"/>
    </row>
    <row r="41310" spans="1:141" s="116" customFormat="1">
      <c r="A41310" s="136"/>
      <c r="CM41310" s="111"/>
      <c r="CQ41310" s="111"/>
      <c r="EF41310"/>
      <c r="EG41310"/>
      <c r="EH41310"/>
      <c r="EI41310"/>
      <c r="EJ41310"/>
      <c r="EK41310"/>
    </row>
    <row r="41311" spans="1:141" s="116" customFormat="1">
      <c r="A41311" s="136"/>
      <c r="CM41311" s="111"/>
      <c r="CQ41311" s="111"/>
      <c r="EF41311"/>
      <c r="EG41311"/>
      <c r="EH41311"/>
      <c r="EI41311"/>
      <c r="EJ41311"/>
      <c r="EK41311"/>
    </row>
    <row r="41312" spans="1:141" s="116" customFormat="1">
      <c r="A41312" s="136"/>
      <c r="CM41312" s="111"/>
      <c r="CQ41312" s="111"/>
      <c r="EF41312"/>
      <c r="EG41312"/>
      <c r="EH41312"/>
      <c r="EI41312"/>
      <c r="EJ41312"/>
      <c r="EK41312"/>
    </row>
    <row r="41313" spans="1:141" s="116" customFormat="1">
      <c r="A41313" s="136"/>
      <c r="CM41313" s="111"/>
      <c r="CQ41313" s="111"/>
      <c r="EF41313"/>
      <c r="EG41313"/>
      <c r="EH41313"/>
      <c r="EI41313"/>
      <c r="EJ41313"/>
      <c r="EK41313"/>
    </row>
    <row r="41314" spans="1:141" s="116" customFormat="1">
      <c r="A41314" s="136"/>
      <c r="CM41314" s="111"/>
      <c r="CQ41314" s="111"/>
      <c r="EF41314"/>
      <c r="EG41314"/>
      <c r="EH41314"/>
      <c r="EI41314"/>
      <c r="EJ41314"/>
      <c r="EK41314"/>
    </row>
    <row r="41315" spans="1:141" s="116" customFormat="1">
      <c r="A41315" s="136"/>
      <c r="CM41315" s="111"/>
      <c r="CQ41315" s="111"/>
      <c r="EF41315"/>
      <c r="EG41315"/>
      <c r="EH41315"/>
      <c r="EI41315"/>
      <c r="EJ41315"/>
      <c r="EK41315"/>
    </row>
    <row r="41316" spans="1:141" s="116" customFormat="1">
      <c r="A41316" s="136"/>
      <c r="CM41316" s="111"/>
      <c r="CQ41316" s="111"/>
      <c r="EF41316"/>
      <c r="EG41316"/>
      <c r="EH41316"/>
      <c r="EI41316"/>
      <c r="EJ41316"/>
      <c r="EK41316"/>
    </row>
    <row r="41317" spans="1:141" s="116" customFormat="1">
      <c r="A41317" s="136"/>
      <c r="CM41317" s="111"/>
      <c r="CQ41317" s="111"/>
      <c r="EF41317"/>
      <c r="EG41317"/>
      <c r="EH41317"/>
      <c r="EI41317"/>
      <c r="EJ41317"/>
      <c r="EK41317"/>
    </row>
    <row r="41318" spans="1:141" s="116" customFormat="1">
      <c r="A41318" s="136"/>
      <c r="CM41318" s="111"/>
      <c r="CQ41318" s="111"/>
      <c r="EF41318"/>
      <c r="EG41318"/>
      <c r="EH41318"/>
      <c r="EI41318"/>
      <c r="EJ41318"/>
      <c r="EK41318"/>
    </row>
    <row r="41319" spans="1:141" s="116" customFormat="1">
      <c r="A41319" s="136"/>
      <c r="CM41319" s="111"/>
      <c r="CQ41319" s="111"/>
      <c r="EF41319"/>
      <c r="EG41319"/>
      <c r="EH41319"/>
      <c r="EI41319"/>
      <c r="EJ41319"/>
      <c r="EK41319"/>
    </row>
    <row r="41320" spans="1:141" s="116" customFormat="1">
      <c r="A41320" s="136"/>
      <c r="CM41320" s="111"/>
      <c r="CQ41320" s="111"/>
      <c r="EF41320"/>
      <c r="EG41320"/>
      <c r="EH41320"/>
      <c r="EI41320"/>
      <c r="EJ41320"/>
      <c r="EK41320"/>
    </row>
    <row r="41321" spans="1:141" s="116" customFormat="1">
      <c r="A41321" s="136"/>
      <c r="CM41321" s="111"/>
      <c r="CQ41321" s="111"/>
      <c r="EF41321"/>
      <c r="EG41321"/>
      <c r="EH41321"/>
      <c r="EI41321"/>
      <c r="EJ41321"/>
      <c r="EK41321"/>
    </row>
    <row r="41322" spans="1:141" s="116" customFormat="1">
      <c r="A41322" s="136"/>
      <c r="CM41322" s="111"/>
      <c r="CQ41322" s="111"/>
      <c r="EF41322"/>
      <c r="EG41322"/>
      <c r="EH41322"/>
      <c r="EI41322"/>
      <c r="EJ41322"/>
      <c r="EK41322"/>
    </row>
    <row r="41323" spans="1:141" s="116" customFormat="1">
      <c r="A41323" s="136"/>
      <c r="CM41323" s="111"/>
      <c r="CQ41323" s="111"/>
      <c r="EF41323"/>
      <c r="EG41323"/>
      <c r="EH41323"/>
      <c r="EI41323"/>
      <c r="EJ41323"/>
      <c r="EK41323"/>
    </row>
    <row r="41324" spans="1:141" s="116" customFormat="1">
      <c r="A41324" s="136"/>
      <c r="CM41324" s="111"/>
      <c r="CQ41324" s="111"/>
      <c r="EF41324"/>
      <c r="EG41324"/>
      <c r="EH41324"/>
      <c r="EI41324"/>
      <c r="EJ41324"/>
      <c r="EK41324"/>
    </row>
    <row r="41325" spans="1:141" s="116" customFormat="1">
      <c r="A41325" s="136"/>
      <c r="CM41325" s="111"/>
      <c r="CQ41325" s="111"/>
      <c r="EF41325"/>
      <c r="EG41325"/>
      <c r="EH41325"/>
      <c r="EI41325"/>
      <c r="EJ41325"/>
      <c r="EK41325"/>
    </row>
    <row r="41326" spans="1:141" s="116" customFormat="1">
      <c r="A41326" s="136"/>
      <c r="CM41326" s="111"/>
      <c r="CQ41326" s="111"/>
      <c r="EF41326"/>
      <c r="EG41326"/>
      <c r="EH41326"/>
      <c r="EI41326"/>
      <c r="EJ41326"/>
      <c r="EK41326"/>
    </row>
    <row r="41327" spans="1:141" s="116" customFormat="1">
      <c r="A41327" s="136"/>
      <c r="CM41327" s="111"/>
      <c r="CQ41327" s="111"/>
      <c r="EF41327"/>
      <c r="EG41327"/>
      <c r="EH41327"/>
      <c r="EI41327"/>
      <c r="EJ41327"/>
      <c r="EK41327"/>
    </row>
    <row r="41328" spans="1:141" s="116" customFormat="1">
      <c r="A41328" s="136"/>
      <c r="CM41328" s="111"/>
      <c r="CQ41328" s="111"/>
      <c r="EF41328"/>
      <c r="EG41328"/>
      <c r="EH41328"/>
      <c r="EI41328"/>
      <c r="EJ41328"/>
      <c r="EK41328"/>
    </row>
    <row r="41329" spans="1:141" s="116" customFormat="1">
      <c r="A41329" s="136"/>
      <c r="CM41329" s="111"/>
      <c r="CQ41329" s="111"/>
      <c r="EF41329"/>
      <c r="EG41329"/>
      <c r="EH41329"/>
      <c r="EI41329"/>
      <c r="EJ41329"/>
      <c r="EK41329"/>
    </row>
    <row r="41330" spans="1:141" s="116" customFormat="1">
      <c r="A41330" s="136"/>
      <c r="CM41330" s="111"/>
      <c r="CQ41330" s="111"/>
      <c r="EF41330"/>
      <c r="EG41330"/>
      <c r="EH41330"/>
      <c r="EI41330"/>
      <c r="EJ41330"/>
      <c r="EK41330"/>
    </row>
    <row r="41331" spans="1:141" s="116" customFormat="1">
      <c r="A41331" s="136"/>
      <c r="CM41331" s="111"/>
      <c r="CQ41331" s="111"/>
      <c r="EF41331"/>
      <c r="EG41331"/>
      <c r="EH41331"/>
      <c r="EI41331"/>
      <c r="EJ41331"/>
      <c r="EK41331"/>
    </row>
    <row r="41332" spans="1:141" s="116" customFormat="1">
      <c r="A41332" s="136"/>
      <c r="CM41332" s="111"/>
      <c r="CQ41332" s="111"/>
      <c r="EF41332"/>
      <c r="EG41332"/>
      <c r="EH41332"/>
      <c r="EI41332"/>
      <c r="EJ41332"/>
      <c r="EK41332"/>
    </row>
    <row r="41333" spans="1:141" s="116" customFormat="1">
      <c r="A41333" s="136"/>
      <c r="CM41333" s="111"/>
      <c r="CQ41333" s="111"/>
      <c r="EF41333"/>
      <c r="EG41333"/>
      <c r="EH41333"/>
      <c r="EI41333"/>
      <c r="EJ41333"/>
      <c r="EK41333"/>
    </row>
    <row r="41334" spans="1:141" s="116" customFormat="1">
      <c r="A41334" s="136"/>
      <c r="CM41334" s="111"/>
      <c r="CQ41334" s="111"/>
      <c r="EF41334"/>
      <c r="EG41334"/>
      <c r="EH41334"/>
      <c r="EI41334"/>
      <c r="EJ41334"/>
      <c r="EK41334"/>
    </row>
    <row r="41335" spans="1:141" s="116" customFormat="1">
      <c r="A41335" s="136"/>
      <c r="CM41335" s="111"/>
      <c r="CQ41335" s="111"/>
      <c r="EF41335"/>
      <c r="EG41335"/>
      <c r="EH41335"/>
      <c r="EI41335"/>
      <c r="EJ41335"/>
      <c r="EK41335"/>
    </row>
    <row r="41336" spans="1:141" s="116" customFormat="1">
      <c r="A41336" s="136"/>
      <c r="CM41336" s="111"/>
      <c r="CQ41336" s="111"/>
      <c r="EF41336"/>
      <c r="EG41336"/>
      <c r="EH41336"/>
      <c r="EI41336"/>
      <c r="EJ41336"/>
      <c r="EK41336"/>
    </row>
    <row r="41337" spans="1:141" s="116" customFormat="1">
      <c r="A41337" s="136"/>
      <c r="CM41337" s="111"/>
      <c r="CQ41337" s="111"/>
      <c r="EF41337"/>
      <c r="EG41337"/>
      <c r="EH41337"/>
      <c r="EI41337"/>
      <c r="EJ41337"/>
      <c r="EK41337"/>
    </row>
    <row r="41338" spans="1:141" s="116" customFormat="1">
      <c r="A41338" s="136"/>
      <c r="CM41338" s="111"/>
      <c r="CQ41338" s="111"/>
      <c r="EF41338"/>
      <c r="EG41338"/>
      <c r="EH41338"/>
      <c r="EI41338"/>
      <c r="EJ41338"/>
      <c r="EK41338"/>
    </row>
    <row r="41339" spans="1:141" s="116" customFormat="1">
      <c r="A41339" s="136"/>
      <c r="CM41339" s="111"/>
      <c r="CQ41339" s="111"/>
      <c r="EF41339"/>
      <c r="EG41339"/>
      <c r="EH41339"/>
      <c r="EI41339"/>
      <c r="EJ41339"/>
      <c r="EK41339"/>
    </row>
    <row r="41340" spans="1:141" s="116" customFormat="1">
      <c r="A41340" s="136"/>
      <c r="CM41340" s="111"/>
      <c r="CQ41340" s="111"/>
      <c r="EF41340"/>
      <c r="EG41340"/>
      <c r="EH41340"/>
      <c r="EI41340"/>
      <c r="EJ41340"/>
      <c r="EK41340"/>
    </row>
    <row r="41341" spans="1:141" s="116" customFormat="1">
      <c r="A41341" s="136"/>
      <c r="CM41341" s="111"/>
      <c r="CQ41341" s="111"/>
      <c r="EF41341"/>
      <c r="EG41341"/>
      <c r="EH41341"/>
      <c r="EI41341"/>
      <c r="EJ41341"/>
      <c r="EK41341"/>
    </row>
    <row r="41342" spans="1:141" s="116" customFormat="1">
      <c r="A41342" s="136"/>
      <c r="CM41342" s="111"/>
      <c r="CQ41342" s="111"/>
      <c r="EF41342"/>
      <c r="EG41342"/>
      <c r="EH41342"/>
      <c r="EI41342"/>
      <c r="EJ41342"/>
      <c r="EK41342"/>
    </row>
    <row r="41343" spans="1:141" s="116" customFormat="1">
      <c r="A41343" s="136"/>
      <c r="CM41343" s="111"/>
      <c r="CQ41343" s="111"/>
      <c r="EF41343"/>
      <c r="EG41343"/>
      <c r="EH41343"/>
      <c r="EI41343"/>
      <c r="EJ41343"/>
      <c r="EK41343"/>
    </row>
    <row r="41344" spans="1:141" s="116" customFormat="1">
      <c r="A41344" s="136"/>
      <c r="CM41344" s="111"/>
      <c r="CQ41344" s="111"/>
      <c r="EF41344"/>
      <c r="EG41344"/>
      <c r="EH41344"/>
      <c r="EI41344"/>
      <c r="EJ41344"/>
      <c r="EK41344"/>
    </row>
    <row r="41345" spans="1:141" s="116" customFormat="1">
      <c r="A41345" s="136"/>
      <c r="CM41345" s="111"/>
      <c r="CQ41345" s="111"/>
      <c r="EF41345"/>
      <c r="EG41345"/>
      <c r="EH41345"/>
      <c r="EI41345"/>
      <c r="EJ41345"/>
      <c r="EK41345"/>
    </row>
    <row r="41346" spans="1:141" s="116" customFormat="1">
      <c r="A41346" s="136"/>
      <c r="CM41346" s="111"/>
      <c r="CQ41346" s="111"/>
      <c r="EF41346"/>
      <c r="EG41346"/>
      <c r="EH41346"/>
      <c r="EI41346"/>
      <c r="EJ41346"/>
      <c r="EK41346"/>
    </row>
    <row r="41347" spans="1:141" s="116" customFormat="1">
      <c r="A41347" s="136"/>
      <c r="CM41347" s="111"/>
      <c r="CQ41347" s="111"/>
      <c r="EF41347"/>
      <c r="EG41347"/>
      <c r="EH41347"/>
      <c r="EI41347"/>
      <c r="EJ41347"/>
      <c r="EK41347"/>
    </row>
    <row r="41348" spans="1:141" s="116" customFormat="1">
      <c r="A41348" s="136"/>
      <c r="CM41348" s="111"/>
      <c r="CQ41348" s="111"/>
      <c r="EF41348"/>
      <c r="EG41348"/>
      <c r="EH41348"/>
      <c r="EI41348"/>
      <c r="EJ41348"/>
      <c r="EK41348"/>
    </row>
    <row r="41349" spans="1:141" s="116" customFormat="1">
      <c r="A41349" s="136"/>
      <c r="CM41349" s="111"/>
      <c r="CQ41349" s="111"/>
      <c r="EF41349"/>
      <c r="EG41349"/>
      <c r="EH41349"/>
      <c r="EI41349"/>
      <c r="EJ41349"/>
      <c r="EK41349"/>
    </row>
    <row r="41350" spans="1:141" s="116" customFormat="1">
      <c r="A41350" s="136"/>
      <c r="CM41350" s="111"/>
      <c r="CQ41350" s="111"/>
      <c r="EF41350"/>
      <c r="EG41350"/>
      <c r="EH41350"/>
      <c r="EI41350"/>
      <c r="EJ41350"/>
      <c r="EK41350"/>
    </row>
    <row r="41351" spans="1:141" s="116" customFormat="1">
      <c r="A41351" s="136"/>
      <c r="CM41351" s="111"/>
      <c r="CQ41351" s="111"/>
      <c r="EF41351"/>
      <c r="EG41351"/>
      <c r="EH41351"/>
      <c r="EI41351"/>
      <c r="EJ41351"/>
      <c r="EK41351"/>
    </row>
    <row r="41352" spans="1:141" s="116" customFormat="1">
      <c r="A41352" s="136"/>
      <c r="CM41352" s="111"/>
      <c r="CQ41352" s="111"/>
      <c r="EF41352"/>
      <c r="EG41352"/>
      <c r="EH41352"/>
      <c r="EI41352"/>
      <c r="EJ41352"/>
      <c r="EK41352"/>
    </row>
    <row r="41353" spans="1:141" s="116" customFormat="1">
      <c r="A41353" s="136"/>
      <c r="CM41353" s="111"/>
      <c r="CQ41353" s="111"/>
      <c r="EF41353"/>
      <c r="EG41353"/>
      <c r="EH41353"/>
      <c r="EI41353"/>
      <c r="EJ41353"/>
      <c r="EK41353"/>
    </row>
    <row r="41354" spans="1:141" s="116" customFormat="1">
      <c r="A41354" s="136"/>
      <c r="CM41354" s="111"/>
      <c r="CQ41354" s="111"/>
      <c r="EF41354"/>
      <c r="EG41354"/>
      <c r="EH41354"/>
      <c r="EI41354"/>
      <c r="EJ41354"/>
      <c r="EK41354"/>
    </row>
    <row r="41355" spans="1:141" s="116" customFormat="1">
      <c r="A41355" s="136"/>
      <c r="CM41355" s="111"/>
      <c r="CQ41355" s="111"/>
      <c r="EF41355"/>
      <c r="EG41355"/>
      <c r="EH41355"/>
      <c r="EI41355"/>
      <c r="EJ41355"/>
      <c r="EK41355"/>
    </row>
    <row r="41356" spans="1:141" s="116" customFormat="1">
      <c r="A41356" s="136"/>
      <c r="CM41356" s="111"/>
      <c r="CQ41356" s="111"/>
      <c r="EF41356"/>
      <c r="EG41356"/>
      <c r="EH41356"/>
      <c r="EI41356"/>
      <c r="EJ41356"/>
      <c r="EK41356"/>
    </row>
    <row r="41357" spans="1:141" s="116" customFormat="1">
      <c r="A41357" s="136"/>
      <c r="CM41357" s="111"/>
      <c r="CQ41357" s="111"/>
      <c r="EF41357"/>
      <c r="EG41357"/>
      <c r="EH41357"/>
      <c r="EI41357"/>
      <c r="EJ41357"/>
      <c r="EK41357"/>
    </row>
    <row r="41358" spans="1:141" s="116" customFormat="1">
      <c r="A41358" s="136"/>
      <c r="CM41358" s="111"/>
      <c r="CQ41358" s="111"/>
      <c r="EF41358"/>
      <c r="EG41358"/>
      <c r="EH41358"/>
      <c r="EI41358"/>
      <c r="EJ41358"/>
      <c r="EK41358"/>
    </row>
    <row r="41359" spans="1:141" s="116" customFormat="1">
      <c r="A41359" s="136"/>
      <c r="CM41359" s="111"/>
      <c r="CQ41359" s="111"/>
      <c r="EF41359"/>
      <c r="EG41359"/>
      <c r="EH41359"/>
      <c r="EI41359"/>
      <c r="EJ41359"/>
      <c r="EK41359"/>
    </row>
    <row r="41360" spans="1:141" s="116" customFormat="1">
      <c r="A41360" s="136"/>
      <c r="CM41360" s="111"/>
      <c r="CQ41360" s="111"/>
      <c r="EF41360"/>
      <c r="EG41360"/>
      <c r="EH41360"/>
      <c r="EI41360"/>
      <c r="EJ41360"/>
      <c r="EK41360"/>
    </row>
    <row r="41361" spans="1:141" s="116" customFormat="1">
      <c r="A41361" s="136"/>
      <c r="CM41361" s="111"/>
      <c r="CQ41361" s="111"/>
      <c r="EF41361"/>
      <c r="EG41361"/>
      <c r="EH41361"/>
      <c r="EI41361"/>
      <c r="EJ41361"/>
      <c r="EK41361"/>
    </row>
    <row r="41362" spans="1:141" s="116" customFormat="1">
      <c r="A41362" s="136"/>
      <c r="CM41362" s="111"/>
      <c r="CQ41362" s="111"/>
      <c r="EF41362"/>
      <c r="EG41362"/>
      <c r="EH41362"/>
      <c r="EI41362"/>
      <c r="EJ41362"/>
      <c r="EK41362"/>
    </row>
    <row r="41363" spans="1:141" s="116" customFormat="1">
      <c r="A41363" s="136"/>
      <c r="CM41363" s="111"/>
      <c r="CQ41363" s="111"/>
      <c r="EF41363"/>
      <c r="EG41363"/>
      <c r="EH41363"/>
      <c r="EI41363"/>
      <c r="EJ41363"/>
      <c r="EK41363"/>
    </row>
    <row r="41364" spans="1:141" s="116" customFormat="1">
      <c r="A41364" s="136"/>
      <c r="CM41364" s="111"/>
      <c r="CQ41364" s="111"/>
      <c r="EF41364"/>
      <c r="EG41364"/>
      <c r="EH41364"/>
      <c r="EI41364"/>
      <c r="EJ41364"/>
      <c r="EK41364"/>
    </row>
    <row r="41365" spans="1:141" s="116" customFormat="1">
      <c r="A41365" s="136"/>
      <c r="CM41365" s="111"/>
      <c r="CQ41365" s="111"/>
      <c r="EF41365"/>
      <c r="EG41365"/>
      <c r="EH41365"/>
      <c r="EI41365"/>
      <c r="EJ41365"/>
      <c r="EK41365"/>
    </row>
    <row r="41366" spans="1:141" s="116" customFormat="1">
      <c r="A41366" s="136"/>
      <c r="CM41366" s="111"/>
      <c r="CQ41366" s="111"/>
      <c r="EF41366"/>
      <c r="EG41366"/>
      <c r="EH41366"/>
      <c r="EI41366"/>
      <c r="EJ41366"/>
      <c r="EK41366"/>
    </row>
    <row r="41367" spans="1:141" s="116" customFormat="1">
      <c r="A41367" s="136"/>
      <c r="CM41367" s="111"/>
      <c r="CQ41367" s="111"/>
      <c r="EF41367"/>
      <c r="EG41367"/>
      <c r="EH41367"/>
      <c r="EI41367"/>
      <c r="EJ41367"/>
      <c r="EK41367"/>
    </row>
    <row r="41368" spans="1:141" s="116" customFormat="1">
      <c r="A41368" s="136"/>
      <c r="CM41368" s="111"/>
      <c r="CQ41368" s="111"/>
      <c r="EF41368"/>
      <c r="EG41368"/>
      <c r="EH41368"/>
      <c r="EI41368"/>
      <c r="EJ41368"/>
      <c r="EK41368"/>
    </row>
    <row r="41369" spans="1:141" s="116" customFormat="1">
      <c r="A41369" s="136"/>
      <c r="CM41369" s="111"/>
      <c r="CQ41369" s="111"/>
      <c r="EF41369"/>
      <c r="EG41369"/>
      <c r="EH41369"/>
      <c r="EI41369"/>
      <c r="EJ41369"/>
      <c r="EK41369"/>
    </row>
    <row r="41370" spans="1:141" s="116" customFormat="1">
      <c r="A41370" s="136"/>
      <c r="CM41370" s="111"/>
      <c r="CQ41370" s="111"/>
      <c r="EF41370"/>
      <c r="EG41370"/>
      <c r="EH41370"/>
      <c r="EI41370"/>
      <c r="EJ41370"/>
      <c r="EK41370"/>
    </row>
    <row r="41371" spans="1:141" s="116" customFormat="1">
      <c r="A41371" s="136"/>
      <c r="CM41371" s="111"/>
      <c r="CQ41371" s="111"/>
      <c r="EF41371"/>
      <c r="EG41371"/>
      <c r="EH41371"/>
      <c r="EI41371"/>
      <c r="EJ41371"/>
      <c r="EK41371"/>
    </row>
    <row r="41372" spans="1:141" s="116" customFormat="1">
      <c r="A41372" s="136"/>
      <c r="CM41372" s="111"/>
      <c r="CQ41372" s="111"/>
      <c r="EF41372"/>
      <c r="EG41372"/>
      <c r="EH41372"/>
      <c r="EI41372"/>
      <c r="EJ41372"/>
      <c r="EK41372"/>
    </row>
    <row r="41373" spans="1:141" s="116" customFormat="1">
      <c r="A41373" s="136"/>
      <c r="CM41373" s="111"/>
      <c r="CQ41373" s="111"/>
      <c r="EF41373"/>
      <c r="EG41373"/>
      <c r="EH41373"/>
      <c r="EI41373"/>
      <c r="EJ41373"/>
      <c r="EK41373"/>
    </row>
    <row r="41374" spans="1:141" s="116" customFormat="1">
      <c r="A41374" s="136"/>
      <c r="CM41374" s="111"/>
      <c r="CQ41374" s="111"/>
      <c r="EF41374"/>
      <c r="EG41374"/>
      <c r="EH41374"/>
      <c r="EI41374"/>
      <c r="EJ41374"/>
      <c r="EK41374"/>
    </row>
    <row r="41375" spans="1:141" s="116" customFormat="1">
      <c r="A41375" s="136"/>
      <c r="CM41375" s="111"/>
      <c r="CQ41375" s="111"/>
      <c r="EF41375"/>
      <c r="EG41375"/>
      <c r="EH41375"/>
      <c r="EI41375"/>
      <c r="EJ41375"/>
      <c r="EK41375"/>
    </row>
    <row r="41376" spans="1:141" s="116" customFormat="1">
      <c r="A41376" s="136"/>
      <c r="CM41376" s="111"/>
      <c r="CQ41376" s="111"/>
      <c r="EF41376"/>
      <c r="EG41376"/>
      <c r="EH41376"/>
      <c r="EI41376"/>
      <c r="EJ41376"/>
      <c r="EK41376"/>
    </row>
    <row r="41377" spans="1:141" s="116" customFormat="1">
      <c r="A41377" s="136"/>
      <c r="CM41377" s="111"/>
      <c r="CQ41377" s="111"/>
      <c r="EF41377"/>
      <c r="EG41377"/>
      <c r="EH41377"/>
      <c r="EI41377"/>
      <c r="EJ41377"/>
      <c r="EK41377"/>
    </row>
    <row r="41378" spans="1:141" s="116" customFormat="1">
      <c r="A41378" s="136"/>
      <c r="CM41378" s="111"/>
      <c r="CQ41378" s="111"/>
      <c r="EF41378"/>
      <c r="EG41378"/>
      <c r="EH41378"/>
      <c r="EI41378"/>
      <c r="EJ41378"/>
      <c r="EK41378"/>
    </row>
    <row r="41379" spans="1:141" s="116" customFormat="1">
      <c r="A41379" s="136"/>
      <c r="CM41379" s="111"/>
      <c r="CQ41379" s="111"/>
      <c r="EF41379"/>
      <c r="EG41379"/>
      <c r="EH41379"/>
      <c r="EI41379"/>
      <c r="EJ41379"/>
      <c r="EK41379"/>
    </row>
    <row r="41380" spans="1:141" s="116" customFormat="1">
      <c r="A41380" s="136"/>
      <c r="CM41380" s="111"/>
      <c r="CQ41380" s="111"/>
      <c r="EF41380"/>
      <c r="EG41380"/>
      <c r="EH41380"/>
      <c r="EI41380"/>
      <c r="EJ41380"/>
      <c r="EK41380"/>
    </row>
    <row r="41381" spans="1:141" s="116" customFormat="1">
      <c r="A41381" s="136"/>
      <c r="CM41381" s="111"/>
      <c r="CQ41381" s="111"/>
      <c r="EF41381"/>
      <c r="EG41381"/>
      <c r="EH41381"/>
      <c r="EI41381"/>
      <c r="EJ41381"/>
      <c r="EK41381"/>
    </row>
    <row r="41382" spans="1:141" s="116" customFormat="1">
      <c r="A41382" s="136"/>
      <c r="CM41382" s="111"/>
      <c r="CQ41382" s="111"/>
      <c r="EF41382"/>
      <c r="EG41382"/>
      <c r="EH41382"/>
      <c r="EI41382"/>
      <c r="EJ41382"/>
      <c r="EK41382"/>
    </row>
    <row r="41383" spans="1:141" s="116" customFormat="1">
      <c r="A41383" s="136"/>
      <c r="CM41383" s="111"/>
      <c r="CQ41383" s="111"/>
      <c r="EF41383"/>
      <c r="EG41383"/>
      <c r="EH41383"/>
      <c r="EI41383"/>
      <c r="EJ41383"/>
      <c r="EK41383"/>
    </row>
    <row r="41384" spans="1:141" s="116" customFormat="1">
      <c r="A41384" s="136"/>
      <c r="CM41384" s="111"/>
      <c r="CQ41384" s="111"/>
      <c r="EF41384"/>
      <c r="EG41384"/>
      <c r="EH41384"/>
      <c r="EI41384"/>
      <c r="EJ41384"/>
      <c r="EK41384"/>
    </row>
    <row r="41385" spans="1:141" s="116" customFormat="1">
      <c r="A41385" s="136"/>
      <c r="CM41385" s="111"/>
      <c r="CQ41385" s="111"/>
      <c r="EF41385"/>
      <c r="EG41385"/>
      <c r="EH41385"/>
      <c r="EI41385"/>
      <c r="EJ41385"/>
      <c r="EK41385"/>
    </row>
    <row r="41386" spans="1:141" s="116" customFormat="1">
      <c r="A41386" s="136"/>
      <c r="CM41386" s="111"/>
      <c r="CQ41386" s="111"/>
      <c r="EF41386"/>
      <c r="EG41386"/>
      <c r="EH41386"/>
      <c r="EI41386"/>
      <c r="EJ41386"/>
      <c r="EK41386"/>
    </row>
    <row r="41387" spans="1:141" s="116" customFormat="1">
      <c r="A41387" s="136"/>
      <c r="CM41387" s="111"/>
      <c r="CQ41387" s="111"/>
      <c r="EF41387"/>
      <c r="EG41387"/>
      <c r="EH41387"/>
      <c r="EI41387"/>
      <c r="EJ41387"/>
      <c r="EK41387"/>
    </row>
    <row r="41388" spans="1:141" s="116" customFormat="1">
      <c r="A41388" s="136"/>
      <c r="CM41388" s="111"/>
      <c r="CQ41388" s="111"/>
      <c r="EF41388"/>
      <c r="EG41388"/>
      <c r="EH41388"/>
      <c r="EI41388"/>
      <c r="EJ41388"/>
      <c r="EK41388"/>
    </row>
    <row r="41389" spans="1:141" s="116" customFormat="1">
      <c r="A41389" s="136"/>
      <c r="CM41389" s="111"/>
      <c r="CQ41389" s="111"/>
      <c r="EF41389"/>
      <c r="EG41389"/>
      <c r="EH41389"/>
      <c r="EI41389"/>
      <c r="EJ41389"/>
      <c r="EK41389"/>
    </row>
    <row r="41390" spans="1:141" s="116" customFormat="1">
      <c r="A41390" s="136"/>
      <c r="CM41390" s="111"/>
      <c r="CQ41390" s="111"/>
      <c r="EF41390"/>
      <c r="EG41390"/>
      <c r="EH41390"/>
      <c r="EI41390"/>
      <c r="EJ41390"/>
      <c r="EK41390"/>
    </row>
    <row r="41391" spans="1:141" s="116" customFormat="1">
      <c r="A41391" s="136"/>
      <c r="CM41391" s="111"/>
      <c r="CQ41391" s="111"/>
      <c r="EF41391"/>
      <c r="EG41391"/>
      <c r="EH41391"/>
      <c r="EI41391"/>
      <c r="EJ41391"/>
      <c r="EK41391"/>
    </row>
    <row r="41392" spans="1:141" s="116" customFormat="1">
      <c r="A41392" s="136"/>
      <c r="CM41392" s="111"/>
      <c r="CQ41392" s="111"/>
      <c r="EF41392"/>
      <c r="EG41392"/>
      <c r="EH41392"/>
      <c r="EI41392"/>
      <c r="EJ41392"/>
      <c r="EK41392"/>
    </row>
    <row r="41393" spans="1:141" s="116" customFormat="1">
      <c r="A41393" s="136"/>
      <c r="CM41393" s="111"/>
      <c r="CQ41393" s="111"/>
      <c r="EF41393"/>
      <c r="EG41393"/>
      <c r="EH41393"/>
      <c r="EI41393"/>
      <c r="EJ41393"/>
      <c r="EK41393"/>
    </row>
    <row r="41394" spans="1:141" s="116" customFormat="1">
      <c r="A41394" s="136"/>
      <c r="CM41394" s="111"/>
      <c r="CQ41394" s="111"/>
      <c r="EF41394"/>
      <c r="EG41394"/>
      <c r="EH41394"/>
      <c r="EI41394"/>
      <c r="EJ41394"/>
      <c r="EK41394"/>
    </row>
    <row r="41395" spans="1:141" s="116" customFormat="1">
      <c r="A41395" s="136"/>
      <c r="CM41395" s="111"/>
      <c r="CQ41395" s="111"/>
      <c r="EF41395"/>
      <c r="EG41395"/>
      <c r="EH41395"/>
      <c r="EI41395"/>
      <c r="EJ41395"/>
      <c r="EK41395"/>
    </row>
    <row r="41396" spans="1:141" s="116" customFormat="1">
      <c r="A41396" s="136"/>
      <c r="CM41396" s="111"/>
      <c r="CQ41396" s="111"/>
      <c r="EF41396"/>
      <c r="EG41396"/>
      <c r="EH41396"/>
      <c r="EI41396"/>
      <c r="EJ41396"/>
      <c r="EK41396"/>
    </row>
    <row r="41397" spans="1:141" s="116" customFormat="1">
      <c r="A41397" s="136"/>
      <c r="CM41397" s="111"/>
      <c r="CQ41397" s="111"/>
      <c r="EF41397"/>
      <c r="EG41397"/>
      <c r="EH41397"/>
      <c r="EI41397"/>
      <c r="EJ41397"/>
      <c r="EK41397"/>
    </row>
    <row r="41398" spans="1:141" s="116" customFormat="1">
      <c r="A41398" s="136"/>
      <c r="CM41398" s="111"/>
      <c r="CQ41398" s="111"/>
      <c r="EF41398"/>
      <c r="EG41398"/>
      <c r="EH41398"/>
      <c r="EI41398"/>
      <c r="EJ41398"/>
      <c r="EK41398"/>
    </row>
    <row r="41399" spans="1:141" s="116" customFormat="1">
      <c r="A41399" s="136"/>
      <c r="CM41399" s="111"/>
      <c r="CQ41399" s="111"/>
      <c r="EF41399"/>
      <c r="EG41399"/>
      <c r="EH41399"/>
      <c r="EI41399"/>
      <c r="EJ41399"/>
      <c r="EK41399"/>
    </row>
    <row r="41400" spans="1:141" s="116" customFormat="1">
      <c r="A41400" s="136"/>
      <c r="CM41400" s="111"/>
      <c r="CQ41400" s="111"/>
      <c r="EF41400"/>
      <c r="EG41400"/>
      <c r="EH41400"/>
      <c r="EI41400"/>
      <c r="EJ41400"/>
      <c r="EK41400"/>
    </row>
    <row r="41401" spans="1:141" s="116" customFormat="1">
      <c r="A41401" s="136"/>
      <c r="CM41401" s="111"/>
      <c r="CQ41401" s="111"/>
      <c r="EF41401"/>
      <c r="EG41401"/>
      <c r="EH41401"/>
      <c r="EI41401"/>
      <c r="EJ41401"/>
      <c r="EK41401"/>
    </row>
    <row r="41402" spans="1:141" s="116" customFormat="1">
      <c r="A41402" s="136"/>
      <c r="CM41402" s="111"/>
      <c r="CQ41402" s="111"/>
      <c r="EF41402"/>
      <c r="EG41402"/>
      <c r="EH41402"/>
      <c r="EI41402"/>
      <c r="EJ41402"/>
      <c r="EK41402"/>
    </row>
    <row r="41403" spans="1:141" s="116" customFormat="1">
      <c r="A41403" s="136"/>
      <c r="CM41403" s="111"/>
      <c r="CQ41403" s="111"/>
      <c r="EF41403"/>
      <c r="EG41403"/>
      <c r="EH41403"/>
      <c r="EI41403"/>
      <c r="EJ41403"/>
      <c r="EK41403"/>
    </row>
    <row r="41404" spans="1:141" s="116" customFormat="1">
      <c r="A41404" s="136"/>
      <c r="CM41404" s="111"/>
      <c r="CQ41404" s="111"/>
      <c r="EF41404"/>
      <c r="EG41404"/>
      <c r="EH41404"/>
      <c r="EI41404"/>
      <c r="EJ41404"/>
      <c r="EK41404"/>
    </row>
    <row r="41405" spans="1:141" s="116" customFormat="1">
      <c r="A41405" s="136"/>
      <c r="CM41405" s="111"/>
      <c r="CQ41405" s="111"/>
      <c r="EF41405"/>
      <c r="EG41405"/>
      <c r="EH41405"/>
      <c r="EI41405"/>
      <c r="EJ41405"/>
      <c r="EK41405"/>
    </row>
    <row r="41406" spans="1:141" s="116" customFormat="1">
      <c r="A41406" s="136"/>
      <c r="CM41406" s="111"/>
      <c r="CQ41406" s="111"/>
      <c r="EF41406"/>
      <c r="EG41406"/>
      <c r="EH41406"/>
      <c r="EI41406"/>
      <c r="EJ41406"/>
      <c r="EK41406"/>
    </row>
    <row r="41407" spans="1:141" s="116" customFormat="1">
      <c r="A41407" s="136"/>
      <c r="CM41407" s="111"/>
      <c r="CQ41407" s="111"/>
      <c r="EF41407"/>
      <c r="EG41407"/>
      <c r="EH41407"/>
      <c r="EI41407"/>
      <c r="EJ41407"/>
      <c r="EK41407"/>
    </row>
    <row r="41408" spans="1:141" s="116" customFormat="1">
      <c r="A41408" s="136"/>
      <c r="CM41408" s="111"/>
      <c r="CQ41408" s="111"/>
      <c r="EF41408"/>
      <c r="EG41408"/>
      <c r="EH41408"/>
      <c r="EI41408"/>
      <c r="EJ41408"/>
      <c r="EK41408"/>
    </row>
    <row r="41409" spans="1:141" s="116" customFormat="1">
      <c r="A41409" s="136"/>
      <c r="CM41409" s="111"/>
      <c r="CQ41409" s="111"/>
      <c r="EF41409"/>
      <c r="EG41409"/>
      <c r="EH41409"/>
      <c r="EI41409"/>
      <c r="EJ41409"/>
      <c r="EK41409"/>
    </row>
    <row r="41410" spans="1:141" s="116" customFormat="1">
      <c r="A41410" s="136"/>
      <c r="CM41410" s="111"/>
      <c r="CQ41410" s="111"/>
      <c r="EF41410"/>
      <c r="EG41410"/>
      <c r="EH41410"/>
      <c r="EI41410"/>
      <c r="EJ41410"/>
      <c r="EK41410"/>
    </row>
    <row r="41411" spans="1:141" s="116" customFormat="1">
      <c r="A41411" s="136"/>
      <c r="CM41411" s="111"/>
      <c r="CQ41411" s="111"/>
      <c r="EF41411"/>
      <c r="EG41411"/>
      <c r="EH41411"/>
      <c r="EI41411"/>
      <c r="EJ41411"/>
      <c r="EK41411"/>
    </row>
    <row r="41412" spans="1:141" s="116" customFormat="1">
      <c r="A41412" s="136"/>
      <c r="CM41412" s="111"/>
      <c r="CQ41412" s="111"/>
      <c r="EF41412"/>
      <c r="EG41412"/>
      <c r="EH41412"/>
      <c r="EI41412"/>
      <c r="EJ41412"/>
      <c r="EK41412"/>
    </row>
    <row r="41413" spans="1:141" s="116" customFormat="1">
      <c r="A41413" s="136"/>
      <c r="CM41413" s="111"/>
      <c r="CQ41413" s="111"/>
      <c r="EF41413"/>
      <c r="EG41413"/>
      <c r="EH41413"/>
      <c r="EI41413"/>
      <c r="EJ41413"/>
      <c r="EK41413"/>
    </row>
    <row r="41414" spans="1:141" s="116" customFormat="1">
      <c r="A41414" s="136"/>
      <c r="CM41414" s="111"/>
      <c r="CQ41414" s="111"/>
      <c r="EF41414"/>
      <c r="EG41414"/>
      <c r="EH41414"/>
      <c r="EI41414"/>
      <c r="EJ41414"/>
      <c r="EK41414"/>
    </row>
    <row r="41415" spans="1:141" s="116" customFormat="1">
      <c r="A41415" s="136"/>
      <c r="CM41415" s="111"/>
      <c r="CQ41415" s="111"/>
      <c r="EF41415"/>
      <c r="EG41415"/>
      <c r="EH41415"/>
      <c r="EI41415"/>
      <c r="EJ41415"/>
      <c r="EK41415"/>
    </row>
    <row r="41416" spans="1:141" s="116" customFormat="1">
      <c r="A41416" s="136"/>
      <c r="CM41416" s="111"/>
      <c r="CQ41416" s="111"/>
      <c r="EF41416"/>
      <c r="EG41416"/>
      <c r="EH41416"/>
      <c r="EI41416"/>
      <c r="EJ41416"/>
      <c r="EK41416"/>
    </row>
    <row r="41417" spans="1:141" s="116" customFormat="1">
      <c r="A41417" s="136"/>
      <c r="CM41417" s="111"/>
      <c r="CQ41417" s="111"/>
      <c r="EF41417"/>
      <c r="EG41417"/>
      <c r="EH41417"/>
      <c r="EI41417"/>
      <c r="EJ41417"/>
      <c r="EK41417"/>
    </row>
    <row r="41418" spans="1:141" s="116" customFormat="1">
      <c r="A41418" s="136"/>
      <c r="CM41418" s="111"/>
      <c r="CQ41418" s="111"/>
      <c r="EF41418"/>
      <c r="EG41418"/>
      <c r="EH41418"/>
      <c r="EI41418"/>
      <c r="EJ41418"/>
      <c r="EK41418"/>
    </row>
    <row r="41419" spans="1:141" s="116" customFormat="1">
      <c r="A41419" s="136"/>
      <c r="CM41419" s="111"/>
      <c r="CQ41419" s="111"/>
      <c r="EF41419"/>
      <c r="EG41419"/>
      <c r="EH41419"/>
      <c r="EI41419"/>
      <c r="EJ41419"/>
      <c r="EK41419"/>
    </row>
    <row r="41420" spans="1:141" s="116" customFormat="1">
      <c r="A41420" s="136"/>
      <c r="CM41420" s="111"/>
      <c r="CQ41420" s="111"/>
      <c r="EF41420"/>
      <c r="EG41420"/>
      <c r="EH41420"/>
      <c r="EI41420"/>
      <c r="EJ41420"/>
      <c r="EK41420"/>
    </row>
    <row r="41421" spans="1:141" s="116" customFormat="1">
      <c r="A41421" s="136"/>
      <c r="CM41421" s="111"/>
      <c r="CQ41421" s="111"/>
      <c r="EF41421"/>
      <c r="EG41421"/>
      <c r="EH41421"/>
      <c r="EI41421"/>
      <c r="EJ41421"/>
      <c r="EK41421"/>
    </row>
    <row r="41422" spans="1:141" s="116" customFormat="1">
      <c r="A41422" s="136"/>
      <c r="CM41422" s="111"/>
      <c r="CQ41422" s="111"/>
      <c r="EF41422"/>
      <c r="EG41422"/>
      <c r="EH41422"/>
      <c r="EI41422"/>
      <c r="EJ41422"/>
      <c r="EK41422"/>
    </row>
    <row r="41423" spans="1:141" s="116" customFormat="1">
      <c r="A41423" s="136"/>
      <c r="CM41423" s="111"/>
      <c r="CQ41423" s="111"/>
      <c r="EF41423"/>
      <c r="EG41423"/>
      <c r="EH41423"/>
      <c r="EI41423"/>
      <c r="EJ41423"/>
      <c r="EK41423"/>
    </row>
    <row r="41424" spans="1:141" s="116" customFormat="1">
      <c r="A41424" s="136"/>
      <c r="CM41424" s="111"/>
      <c r="CQ41424" s="111"/>
      <c r="EF41424"/>
      <c r="EG41424"/>
      <c r="EH41424"/>
      <c r="EI41424"/>
      <c r="EJ41424"/>
      <c r="EK41424"/>
    </row>
    <row r="41425" spans="1:141" s="116" customFormat="1">
      <c r="A41425" s="136"/>
      <c r="CM41425" s="111"/>
      <c r="CQ41425" s="111"/>
      <c r="EF41425"/>
      <c r="EG41425"/>
      <c r="EH41425"/>
      <c r="EI41425"/>
      <c r="EJ41425"/>
      <c r="EK41425"/>
    </row>
    <row r="41426" spans="1:141" s="116" customFormat="1">
      <c r="A41426" s="136"/>
      <c r="CM41426" s="111"/>
      <c r="CQ41426" s="111"/>
      <c r="EF41426"/>
      <c r="EG41426"/>
      <c r="EH41426"/>
      <c r="EI41426"/>
      <c r="EJ41426"/>
      <c r="EK41426"/>
    </row>
    <row r="41427" spans="1:141" s="116" customFormat="1">
      <c r="A41427" s="136"/>
      <c r="CM41427" s="111"/>
      <c r="CQ41427" s="111"/>
      <c r="EF41427"/>
      <c r="EG41427"/>
      <c r="EH41427"/>
      <c r="EI41427"/>
      <c r="EJ41427"/>
      <c r="EK41427"/>
    </row>
    <row r="41428" spans="1:141" s="116" customFormat="1">
      <c r="A41428" s="136"/>
      <c r="CM41428" s="111"/>
      <c r="CQ41428" s="111"/>
      <c r="EF41428"/>
      <c r="EG41428"/>
      <c r="EH41428"/>
      <c r="EI41428"/>
      <c r="EJ41428"/>
      <c r="EK41428"/>
    </row>
    <row r="41429" spans="1:141" s="116" customFormat="1">
      <c r="A41429" s="136"/>
      <c r="CM41429" s="111"/>
      <c r="CQ41429" s="111"/>
      <c r="EF41429"/>
      <c r="EG41429"/>
      <c r="EH41429"/>
      <c r="EI41429"/>
      <c r="EJ41429"/>
      <c r="EK41429"/>
    </row>
    <row r="41430" spans="1:141" s="116" customFormat="1">
      <c r="A41430" s="136"/>
      <c r="CM41430" s="111"/>
      <c r="CQ41430" s="111"/>
      <c r="EF41430"/>
      <c r="EG41430"/>
      <c r="EH41430"/>
      <c r="EI41430"/>
      <c r="EJ41430"/>
      <c r="EK41430"/>
    </row>
    <row r="41431" spans="1:141" s="116" customFormat="1">
      <c r="A41431" s="136"/>
      <c r="CM41431" s="111"/>
      <c r="CQ41431" s="111"/>
      <c r="EF41431"/>
      <c r="EG41431"/>
      <c r="EH41431"/>
      <c r="EI41431"/>
      <c r="EJ41431"/>
      <c r="EK41431"/>
    </row>
    <row r="41432" spans="1:141" s="116" customFormat="1">
      <c r="A41432" s="136"/>
      <c r="CM41432" s="111"/>
      <c r="CQ41432" s="111"/>
      <c r="EF41432"/>
      <c r="EG41432"/>
      <c r="EH41432"/>
      <c r="EI41432"/>
      <c r="EJ41432"/>
      <c r="EK41432"/>
    </row>
    <row r="41433" spans="1:141" s="116" customFormat="1">
      <c r="A41433" s="136"/>
      <c r="CM41433" s="111"/>
      <c r="CQ41433" s="111"/>
      <c r="EF41433"/>
      <c r="EG41433"/>
      <c r="EH41433"/>
      <c r="EI41433"/>
      <c r="EJ41433"/>
      <c r="EK41433"/>
    </row>
    <row r="41434" spans="1:141" s="116" customFormat="1">
      <c r="A41434" s="136"/>
      <c r="CM41434" s="111"/>
      <c r="CQ41434" s="111"/>
      <c r="EF41434"/>
      <c r="EG41434"/>
      <c r="EH41434"/>
      <c r="EI41434"/>
      <c r="EJ41434"/>
      <c r="EK41434"/>
    </row>
    <row r="41435" spans="1:141" s="116" customFormat="1">
      <c r="A41435" s="136"/>
      <c r="CM41435" s="111"/>
      <c r="CQ41435" s="111"/>
      <c r="EF41435"/>
      <c r="EG41435"/>
      <c r="EH41435"/>
      <c r="EI41435"/>
      <c r="EJ41435"/>
      <c r="EK41435"/>
    </row>
    <row r="41436" spans="1:141" s="116" customFormat="1">
      <c r="A41436" s="136"/>
      <c r="CM41436" s="111"/>
      <c r="CQ41436" s="111"/>
      <c r="EF41436"/>
      <c r="EG41436"/>
      <c r="EH41436"/>
      <c r="EI41436"/>
      <c r="EJ41436"/>
      <c r="EK41436"/>
    </row>
    <row r="41437" spans="1:141" s="116" customFormat="1">
      <c r="A41437" s="136"/>
      <c r="CM41437" s="111"/>
      <c r="CQ41437" s="111"/>
      <c r="EF41437"/>
      <c r="EG41437"/>
      <c r="EH41437"/>
      <c r="EI41437"/>
      <c r="EJ41437"/>
      <c r="EK41437"/>
    </row>
    <row r="41438" spans="1:141" s="116" customFormat="1">
      <c r="A41438" s="136"/>
      <c r="CM41438" s="111"/>
      <c r="CQ41438" s="111"/>
      <c r="EF41438"/>
      <c r="EG41438"/>
      <c r="EH41438"/>
      <c r="EI41438"/>
      <c r="EJ41438"/>
      <c r="EK41438"/>
    </row>
    <row r="41439" spans="1:141" s="116" customFormat="1">
      <c r="A41439" s="136"/>
      <c r="CM41439" s="111"/>
      <c r="CQ41439" s="111"/>
      <c r="EF41439"/>
      <c r="EG41439"/>
      <c r="EH41439"/>
      <c r="EI41439"/>
      <c r="EJ41439"/>
      <c r="EK41439"/>
    </row>
    <row r="41440" spans="1:141" s="116" customFormat="1">
      <c r="A41440" s="136"/>
      <c r="CM41440" s="111"/>
      <c r="CQ41440" s="111"/>
      <c r="EF41440"/>
      <c r="EG41440"/>
      <c r="EH41440"/>
      <c r="EI41440"/>
      <c r="EJ41440"/>
      <c r="EK41440"/>
    </row>
    <row r="41441" spans="1:141" s="116" customFormat="1">
      <c r="A41441" s="136"/>
      <c r="CM41441" s="111"/>
      <c r="CQ41441" s="111"/>
      <c r="EF41441"/>
      <c r="EG41441"/>
      <c r="EH41441"/>
      <c r="EI41441"/>
      <c r="EJ41441"/>
      <c r="EK41441"/>
    </row>
    <row r="41442" spans="1:141" s="116" customFormat="1">
      <c r="A41442" s="136"/>
      <c r="CM41442" s="111"/>
      <c r="CQ41442" s="111"/>
      <c r="EF41442"/>
      <c r="EG41442"/>
      <c r="EH41442"/>
      <c r="EI41442"/>
      <c r="EJ41442"/>
      <c r="EK41442"/>
    </row>
    <row r="41443" spans="1:141" s="116" customFormat="1">
      <c r="A41443" s="136"/>
      <c r="CM41443" s="111"/>
      <c r="CQ41443" s="111"/>
      <c r="EF41443"/>
      <c r="EG41443"/>
      <c r="EH41443"/>
      <c r="EI41443"/>
      <c r="EJ41443"/>
      <c r="EK41443"/>
    </row>
    <row r="41444" spans="1:141" s="116" customFormat="1">
      <c r="A41444" s="136"/>
      <c r="CM41444" s="111"/>
      <c r="CQ41444" s="111"/>
      <c r="EF41444"/>
      <c r="EG41444"/>
      <c r="EH41444"/>
      <c r="EI41444"/>
      <c r="EJ41444"/>
      <c r="EK41444"/>
    </row>
    <row r="41445" spans="1:141" s="116" customFormat="1">
      <c r="A41445" s="136"/>
      <c r="CM41445" s="111"/>
      <c r="CQ41445" s="111"/>
      <c r="EF41445"/>
      <c r="EG41445"/>
      <c r="EH41445"/>
      <c r="EI41445"/>
      <c r="EJ41445"/>
      <c r="EK41445"/>
    </row>
    <row r="41446" spans="1:141" s="116" customFormat="1">
      <c r="A41446" s="136"/>
      <c r="CM41446" s="111"/>
      <c r="CQ41446" s="111"/>
      <c r="EF41446"/>
      <c r="EG41446"/>
      <c r="EH41446"/>
      <c r="EI41446"/>
      <c r="EJ41446"/>
      <c r="EK41446"/>
    </row>
    <row r="41447" spans="1:141" s="116" customFormat="1">
      <c r="A41447" s="136"/>
      <c r="CM41447" s="111"/>
      <c r="CQ41447" s="111"/>
      <c r="EF41447"/>
      <c r="EG41447"/>
      <c r="EH41447"/>
      <c r="EI41447"/>
      <c r="EJ41447"/>
      <c r="EK41447"/>
    </row>
    <row r="41448" spans="1:141" s="116" customFormat="1">
      <c r="A41448" s="136"/>
      <c r="CM41448" s="111"/>
      <c r="CQ41448" s="111"/>
      <c r="EF41448"/>
      <c r="EG41448"/>
      <c r="EH41448"/>
      <c r="EI41448"/>
      <c r="EJ41448"/>
      <c r="EK41448"/>
    </row>
    <row r="41449" spans="1:141" s="116" customFormat="1">
      <c r="A41449" s="136"/>
      <c r="CM41449" s="111"/>
      <c r="CQ41449" s="111"/>
      <c r="EF41449"/>
      <c r="EG41449"/>
      <c r="EH41449"/>
      <c r="EI41449"/>
      <c r="EJ41449"/>
      <c r="EK41449"/>
    </row>
    <row r="41450" spans="1:141" s="116" customFormat="1">
      <c r="A41450" s="136"/>
      <c r="CM41450" s="111"/>
      <c r="CQ41450" s="111"/>
      <c r="EF41450"/>
      <c r="EG41450"/>
      <c r="EH41450"/>
      <c r="EI41450"/>
      <c r="EJ41450"/>
      <c r="EK41450"/>
    </row>
    <row r="41451" spans="1:141" s="116" customFormat="1">
      <c r="A41451" s="136"/>
      <c r="CM41451" s="111"/>
      <c r="CQ41451" s="111"/>
      <c r="EF41451"/>
      <c r="EG41451"/>
      <c r="EH41451"/>
      <c r="EI41451"/>
      <c r="EJ41451"/>
      <c r="EK41451"/>
    </row>
    <row r="41452" spans="1:141" s="116" customFormat="1">
      <c r="A41452" s="136"/>
      <c r="CM41452" s="111"/>
      <c r="CQ41452" s="111"/>
      <c r="EF41452"/>
      <c r="EG41452"/>
      <c r="EH41452"/>
      <c r="EI41452"/>
      <c r="EJ41452"/>
      <c r="EK41452"/>
    </row>
    <row r="41453" spans="1:141" s="116" customFormat="1">
      <c r="A41453" s="136"/>
      <c r="CM41453" s="111"/>
      <c r="CQ41453" s="111"/>
      <c r="EF41453"/>
      <c r="EG41453"/>
      <c r="EH41453"/>
      <c r="EI41453"/>
      <c r="EJ41453"/>
      <c r="EK41453"/>
    </row>
    <row r="41454" spans="1:141" s="116" customFormat="1">
      <c r="A41454" s="136"/>
      <c r="CM41454" s="111"/>
      <c r="CQ41454" s="111"/>
      <c r="EF41454"/>
      <c r="EG41454"/>
      <c r="EH41454"/>
      <c r="EI41454"/>
      <c r="EJ41454"/>
      <c r="EK41454"/>
    </row>
    <row r="41455" spans="1:141" s="116" customFormat="1">
      <c r="A41455" s="136"/>
      <c r="CM41455" s="111"/>
      <c r="CQ41455" s="111"/>
      <c r="EF41455"/>
      <c r="EG41455"/>
      <c r="EH41455"/>
      <c r="EI41455"/>
      <c r="EJ41455"/>
      <c r="EK41455"/>
    </row>
    <row r="41456" spans="1:141" s="116" customFormat="1">
      <c r="A41456" s="136"/>
      <c r="CM41456" s="111"/>
      <c r="CQ41456" s="111"/>
      <c r="EF41456"/>
      <c r="EG41456"/>
      <c r="EH41456"/>
      <c r="EI41456"/>
      <c r="EJ41456"/>
      <c r="EK41456"/>
    </row>
    <row r="41457" spans="1:141" s="116" customFormat="1">
      <c r="A41457" s="136"/>
      <c r="CM41457" s="111"/>
      <c r="CQ41457" s="111"/>
      <c r="EF41457"/>
      <c r="EG41457"/>
      <c r="EH41457"/>
      <c r="EI41457"/>
      <c r="EJ41457"/>
      <c r="EK41457"/>
    </row>
    <row r="41458" spans="1:141" s="116" customFormat="1">
      <c r="A41458" s="136"/>
      <c r="CM41458" s="111"/>
      <c r="CQ41458" s="111"/>
      <c r="EF41458"/>
      <c r="EG41458"/>
      <c r="EH41458"/>
      <c r="EI41458"/>
      <c r="EJ41458"/>
      <c r="EK41458"/>
    </row>
    <row r="41459" spans="1:141" s="116" customFormat="1">
      <c r="A41459" s="136"/>
      <c r="CM41459" s="111"/>
      <c r="CQ41459" s="111"/>
      <c r="EF41459"/>
      <c r="EG41459"/>
      <c r="EH41459"/>
      <c r="EI41459"/>
      <c r="EJ41459"/>
      <c r="EK41459"/>
    </row>
    <row r="41460" spans="1:141" s="116" customFormat="1">
      <c r="A41460" s="136"/>
      <c r="CM41460" s="111"/>
      <c r="CQ41460" s="111"/>
      <c r="EF41460"/>
      <c r="EG41460"/>
      <c r="EH41460"/>
      <c r="EI41460"/>
      <c r="EJ41460"/>
      <c r="EK41460"/>
    </row>
    <row r="41461" spans="1:141" s="116" customFormat="1">
      <c r="A41461" s="136"/>
      <c r="CM41461" s="111"/>
      <c r="CQ41461" s="111"/>
      <c r="EF41461"/>
      <c r="EG41461"/>
      <c r="EH41461"/>
      <c r="EI41461"/>
      <c r="EJ41461"/>
      <c r="EK41461"/>
    </row>
    <row r="41462" spans="1:141" s="116" customFormat="1">
      <c r="A41462" s="136"/>
      <c r="CM41462" s="111"/>
      <c r="CQ41462" s="111"/>
      <c r="EF41462"/>
      <c r="EG41462"/>
      <c r="EH41462"/>
      <c r="EI41462"/>
      <c r="EJ41462"/>
      <c r="EK41462"/>
    </row>
    <row r="41463" spans="1:141" s="116" customFormat="1">
      <c r="A41463" s="136"/>
      <c r="CM41463" s="111"/>
      <c r="CQ41463" s="111"/>
      <c r="EF41463"/>
      <c r="EG41463"/>
      <c r="EH41463"/>
      <c r="EI41463"/>
      <c r="EJ41463"/>
      <c r="EK41463"/>
    </row>
    <row r="41464" spans="1:141" s="116" customFormat="1">
      <c r="A41464" s="136"/>
      <c r="CM41464" s="111"/>
      <c r="CQ41464" s="111"/>
      <c r="EF41464"/>
      <c r="EG41464"/>
      <c r="EH41464"/>
      <c r="EI41464"/>
      <c r="EJ41464"/>
      <c r="EK41464"/>
    </row>
    <row r="41465" spans="1:141" s="116" customFormat="1">
      <c r="A41465" s="136"/>
      <c r="CM41465" s="111"/>
      <c r="CQ41465" s="111"/>
      <c r="EF41465"/>
      <c r="EG41465"/>
      <c r="EH41465"/>
      <c r="EI41465"/>
      <c r="EJ41465"/>
      <c r="EK41465"/>
    </row>
    <row r="41466" spans="1:141" s="116" customFormat="1">
      <c r="A41466" s="136"/>
      <c r="CM41466" s="111"/>
      <c r="CQ41466" s="111"/>
      <c r="EF41466"/>
      <c r="EG41466"/>
      <c r="EH41466"/>
      <c r="EI41466"/>
      <c r="EJ41466"/>
      <c r="EK41466"/>
    </row>
    <row r="41467" spans="1:141" s="116" customFormat="1">
      <c r="A41467" s="136"/>
      <c r="CM41467" s="111"/>
      <c r="CQ41467" s="111"/>
      <c r="EF41467"/>
      <c r="EG41467"/>
      <c r="EH41467"/>
      <c r="EI41467"/>
      <c r="EJ41467"/>
      <c r="EK41467"/>
    </row>
    <row r="41468" spans="1:141" s="116" customFormat="1">
      <c r="A41468" s="136"/>
      <c r="CM41468" s="111"/>
      <c r="CQ41468" s="111"/>
      <c r="EF41468"/>
      <c r="EG41468"/>
      <c r="EH41468"/>
      <c r="EI41468"/>
      <c r="EJ41468"/>
      <c r="EK41468"/>
    </row>
    <row r="41469" spans="1:141" s="116" customFormat="1">
      <c r="A41469" s="136"/>
      <c r="CM41469" s="111"/>
      <c r="CQ41469" s="111"/>
      <c r="EF41469"/>
      <c r="EG41469"/>
      <c r="EH41469"/>
      <c r="EI41469"/>
      <c r="EJ41469"/>
      <c r="EK41469"/>
    </row>
    <row r="41470" spans="1:141" s="116" customFormat="1">
      <c r="A41470" s="136"/>
      <c r="CM41470" s="111"/>
      <c r="CQ41470" s="111"/>
      <c r="EF41470"/>
      <c r="EG41470"/>
      <c r="EH41470"/>
      <c r="EI41470"/>
      <c r="EJ41470"/>
      <c r="EK41470"/>
    </row>
    <row r="41471" spans="1:141" s="116" customFormat="1">
      <c r="A41471" s="136"/>
      <c r="CM41471" s="111"/>
      <c r="CQ41471" s="111"/>
      <c r="EF41471"/>
      <c r="EG41471"/>
      <c r="EH41471"/>
      <c r="EI41471"/>
      <c r="EJ41471"/>
      <c r="EK41471"/>
    </row>
    <row r="41472" spans="1:141" s="116" customFormat="1">
      <c r="A41472" s="136"/>
      <c r="CM41472" s="111"/>
      <c r="CQ41472" s="111"/>
      <c r="EF41472"/>
      <c r="EG41472"/>
      <c r="EH41472"/>
      <c r="EI41472"/>
      <c r="EJ41472"/>
      <c r="EK41472"/>
    </row>
    <row r="41473" spans="1:141" s="116" customFormat="1">
      <c r="A41473" s="136"/>
      <c r="CM41473" s="111"/>
      <c r="CQ41473" s="111"/>
      <c r="EF41473"/>
      <c r="EG41473"/>
      <c r="EH41473"/>
      <c r="EI41473"/>
      <c r="EJ41473"/>
      <c r="EK41473"/>
    </row>
    <row r="41474" spans="1:141" s="116" customFormat="1">
      <c r="A41474" s="136"/>
      <c r="CM41474" s="111"/>
      <c r="CQ41474" s="111"/>
      <c r="EF41474"/>
      <c r="EG41474"/>
      <c r="EH41474"/>
      <c r="EI41474"/>
      <c r="EJ41474"/>
      <c r="EK41474"/>
    </row>
    <row r="41475" spans="1:141" s="116" customFormat="1">
      <c r="A41475" s="136"/>
      <c r="CM41475" s="111"/>
      <c r="CQ41475" s="111"/>
      <c r="EF41475"/>
      <c r="EG41475"/>
      <c r="EH41475"/>
      <c r="EI41475"/>
      <c r="EJ41475"/>
      <c r="EK41475"/>
    </row>
    <row r="41476" spans="1:141" s="116" customFormat="1">
      <c r="A41476" s="136"/>
      <c r="CM41476" s="111"/>
      <c r="CQ41476" s="111"/>
      <c r="EF41476"/>
      <c r="EG41476"/>
      <c r="EH41476"/>
      <c r="EI41476"/>
      <c r="EJ41476"/>
      <c r="EK41476"/>
    </row>
    <row r="41477" spans="1:141" s="116" customFormat="1">
      <c r="A41477" s="136"/>
      <c r="CM41477" s="111"/>
      <c r="CQ41477" s="111"/>
      <c r="EF41477"/>
      <c r="EG41477"/>
      <c r="EH41477"/>
      <c r="EI41477"/>
      <c r="EJ41477"/>
      <c r="EK41477"/>
    </row>
    <row r="41478" spans="1:141" s="116" customFormat="1">
      <c r="A41478" s="136"/>
      <c r="CM41478" s="111"/>
      <c r="CQ41478" s="111"/>
      <c r="EF41478"/>
      <c r="EG41478"/>
      <c r="EH41478"/>
      <c r="EI41478"/>
      <c r="EJ41478"/>
      <c r="EK41478"/>
    </row>
    <row r="41479" spans="1:141" s="116" customFormat="1">
      <c r="A41479" s="136"/>
      <c r="CM41479" s="111"/>
      <c r="CQ41479" s="111"/>
      <c r="EF41479"/>
      <c r="EG41479"/>
      <c r="EH41479"/>
      <c r="EI41479"/>
      <c r="EJ41479"/>
      <c r="EK41479"/>
    </row>
    <row r="41480" spans="1:141" s="116" customFormat="1">
      <c r="A41480" s="136"/>
      <c r="CM41480" s="111"/>
      <c r="CQ41480" s="111"/>
      <c r="EF41480"/>
      <c r="EG41480"/>
      <c r="EH41480"/>
      <c r="EI41480"/>
      <c r="EJ41480"/>
      <c r="EK41480"/>
    </row>
    <row r="41481" spans="1:141" s="116" customFormat="1">
      <c r="A41481" s="136"/>
      <c r="CM41481" s="111"/>
      <c r="CQ41481" s="111"/>
      <c r="EF41481"/>
      <c r="EG41481"/>
      <c r="EH41481"/>
      <c r="EI41481"/>
      <c r="EJ41481"/>
      <c r="EK41481"/>
    </row>
    <row r="41482" spans="1:141" s="116" customFormat="1">
      <c r="A41482" s="136"/>
      <c r="CM41482" s="111"/>
      <c r="CQ41482" s="111"/>
      <c r="EF41482"/>
      <c r="EG41482"/>
      <c r="EH41482"/>
      <c r="EI41482"/>
      <c r="EJ41482"/>
      <c r="EK41482"/>
    </row>
    <row r="41483" spans="1:141" s="116" customFormat="1">
      <c r="A41483" s="136"/>
      <c r="CM41483" s="111"/>
      <c r="CQ41483" s="111"/>
      <c r="EF41483"/>
      <c r="EG41483"/>
      <c r="EH41483"/>
      <c r="EI41483"/>
      <c r="EJ41483"/>
      <c r="EK41483"/>
    </row>
    <row r="41484" spans="1:141" s="116" customFormat="1">
      <c r="A41484" s="136"/>
      <c r="CM41484" s="111"/>
      <c r="CQ41484" s="111"/>
      <c r="EF41484"/>
      <c r="EG41484"/>
      <c r="EH41484"/>
      <c r="EI41484"/>
      <c r="EJ41484"/>
      <c r="EK41484"/>
    </row>
    <row r="41485" spans="1:141" s="116" customFormat="1">
      <c r="A41485" s="136"/>
      <c r="CM41485" s="111"/>
      <c r="CQ41485" s="111"/>
      <c r="EF41485"/>
      <c r="EG41485"/>
      <c r="EH41485"/>
      <c r="EI41485"/>
      <c r="EJ41485"/>
      <c r="EK41485"/>
    </row>
    <row r="41486" spans="1:141" s="116" customFormat="1">
      <c r="A41486" s="136"/>
      <c r="CM41486" s="111"/>
      <c r="CQ41486" s="111"/>
      <c r="EF41486"/>
      <c r="EG41486"/>
      <c r="EH41486"/>
      <c r="EI41486"/>
      <c r="EJ41486"/>
      <c r="EK41486"/>
    </row>
    <row r="41487" spans="1:141" s="116" customFormat="1">
      <c r="A41487" s="136"/>
      <c r="CM41487" s="111"/>
      <c r="CQ41487" s="111"/>
      <c r="EF41487"/>
      <c r="EG41487"/>
      <c r="EH41487"/>
      <c r="EI41487"/>
      <c r="EJ41487"/>
      <c r="EK41487"/>
    </row>
    <row r="41488" spans="1:141" s="116" customFormat="1">
      <c r="A41488" s="136"/>
      <c r="CM41488" s="111"/>
      <c r="CQ41488" s="111"/>
      <c r="EF41488"/>
      <c r="EG41488"/>
      <c r="EH41488"/>
      <c r="EI41488"/>
      <c r="EJ41488"/>
      <c r="EK41488"/>
    </row>
    <row r="41489" spans="1:141" s="116" customFormat="1">
      <c r="A41489" s="136"/>
      <c r="CM41489" s="111"/>
      <c r="CQ41489" s="111"/>
      <c r="EF41489"/>
      <c r="EG41489"/>
      <c r="EH41489"/>
      <c r="EI41489"/>
      <c r="EJ41489"/>
      <c r="EK41489"/>
    </row>
    <row r="41490" spans="1:141" s="116" customFormat="1">
      <c r="A41490" s="136"/>
      <c r="CM41490" s="111"/>
      <c r="CQ41490" s="111"/>
      <c r="EF41490"/>
      <c r="EG41490"/>
      <c r="EH41490"/>
      <c r="EI41490"/>
      <c r="EJ41490"/>
      <c r="EK41490"/>
    </row>
    <row r="41491" spans="1:141" s="116" customFormat="1">
      <c r="A41491" s="136"/>
      <c r="CM41491" s="111"/>
      <c r="CQ41491" s="111"/>
      <c r="EF41491"/>
      <c r="EG41491"/>
      <c r="EH41491"/>
      <c r="EI41491"/>
      <c r="EJ41491"/>
      <c r="EK41491"/>
    </row>
    <row r="41492" spans="1:141" s="116" customFormat="1">
      <c r="A41492" s="136"/>
      <c r="CM41492" s="111"/>
      <c r="CQ41492" s="111"/>
      <c r="EF41492"/>
      <c r="EG41492"/>
      <c r="EH41492"/>
      <c r="EI41492"/>
      <c r="EJ41492"/>
      <c r="EK41492"/>
    </row>
    <row r="41493" spans="1:141" s="116" customFormat="1">
      <c r="A41493" s="136"/>
      <c r="CM41493" s="111"/>
      <c r="CQ41493" s="111"/>
      <c r="EF41493"/>
      <c r="EG41493"/>
      <c r="EH41493"/>
      <c r="EI41493"/>
      <c r="EJ41493"/>
      <c r="EK41493"/>
    </row>
    <row r="41494" spans="1:141" s="116" customFormat="1">
      <c r="A41494" s="136"/>
      <c r="CM41494" s="111"/>
      <c r="CQ41494" s="111"/>
      <c r="EF41494"/>
      <c r="EG41494"/>
      <c r="EH41494"/>
      <c r="EI41494"/>
      <c r="EJ41494"/>
      <c r="EK41494"/>
    </row>
    <row r="41495" spans="1:141" s="116" customFormat="1">
      <c r="A41495" s="136"/>
      <c r="CM41495" s="111"/>
      <c r="CQ41495" s="111"/>
      <c r="EF41495"/>
      <c r="EG41495"/>
      <c r="EH41495"/>
      <c r="EI41495"/>
      <c r="EJ41495"/>
      <c r="EK41495"/>
    </row>
    <row r="41496" spans="1:141" s="116" customFormat="1">
      <c r="A41496" s="136"/>
      <c r="CM41496" s="111"/>
      <c r="CQ41496" s="111"/>
      <c r="EF41496"/>
      <c r="EG41496"/>
      <c r="EH41496"/>
      <c r="EI41496"/>
      <c r="EJ41496"/>
      <c r="EK41496"/>
    </row>
    <row r="41497" spans="1:141" s="116" customFormat="1">
      <c r="A41497" s="136"/>
      <c r="CM41497" s="111"/>
      <c r="CQ41497" s="111"/>
      <c r="EF41497"/>
      <c r="EG41497"/>
      <c r="EH41497"/>
      <c r="EI41497"/>
      <c r="EJ41497"/>
      <c r="EK41497"/>
    </row>
    <row r="41498" spans="1:141" s="116" customFormat="1">
      <c r="A41498" s="136"/>
      <c r="CM41498" s="111"/>
      <c r="CQ41498" s="111"/>
      <c r="EF41498"/>
      <c r="EG41498"/>
      <c r="EH41498"/>
      <c r="EI41498"/>
      <c r="EJ41498"/>
      <c r="EK41498"/>
    </row>
    <row r="41499" spans="1:141" s="116" customFormat="1">
      <c r="A41499" s="136"/>
      <c r="CM41499" s="111"/>
      <c r="CQ41499" s="111"/>
      <c r="EF41499"/>
      <c r="EG41499"/>
      <c r="EH41499"/>
      <c r="EI41499"/>
      <c r="EJ41499"/>
      <c r="EK41499"/>
    </row>
    <row r="41500" spans="1:141" s="116" customFormat="1">
      <c r="A41500" s="136"/>
      <c r="CM41500" s="111"/>
      <c r="CQ41500" s="111"/>
      <c r="EF41500"/>
      <c r="EG41500"/>
      <c r="EH41500"/>
      <c r="EI41500"/>
      <c r="EJ41500"/>
      <c r="EK41500"/>
    </row>
    <row r="41501" spans="1:141" s="116" customFormat="1">
      <c r="A41501" s="136"/>
      <c r="CM41501" s="111"/>
      <c r="CQ41501" s="111"/>
      <c r="EF41501"/>
      <c r="EG41501"/>
      <c r="EH41501"/>
      <c r="EI41501"/>
      <c r="EJ41501"/>
      <c r="EK41501"/>
    </row>
    <row r="41502" spans="1:141" s="116" customFormat="1">
      <c r="A41502" s="136"/>
      <c r="CM41502" s="111"/>
      <c r="CQ41502" s="111"/>
      <c r="EF41502"/>
      <c r="EG41502"/>
      <c r="EH41502"/>
      <c r="EI41502"/>
      <c r="EJ41502"/>
      <c r="EK41502"/>
    </row>
    <row r="41503" spans="1:141" s="116" customFormat="1">
      <c r="A41503" s="136"/>
      <c r="CM41503" s="111"/>
      <c r="CQ41503" s="111"/>
      <c r="EF41503"/>
      <c r="EG41503"/>
      <c r="EH41503"/>
      <c r="EI41503"/>
      <c r="EJ41503"/>
      <c r="EK41503"/>
    </row>
    <row r="41504" spans="1:141" s="116" customFormat="1">
      <c r="A41504" s="136"/>
      <c r="CM41504" s="111"/>
      <c r="CQ41504" s="111"/>
      <c r="EF41504"/>
      <c r="EG41504"/>
      <c r="EH41504"/>
      <c r="EI41504"/>
      <c r="EJ41504"/>
      <c r="EK41504"/>
    </row>
    <row r="41505" spans="1:141" s="116" customFormat="1">
      <c r="A41505" s="136"/>
      <c r="CM41505" s="111"/>
      <c r="CQ41505" s="111"/>
      <c r="EF41505"/>
      <c r="EG41505"/>
      <c r="EH41505"/>
      <c r="EI41505"/>
      <c r="EJ41505"/>
      <c r="EK41505"/>
    </row>
    <row r="41506" spans="1:141" s="116" customFormat="1">
      <c r="A41506" s="136"/>
      <c r="CM41506" s="111"/>
      <c r="CQ41506" s="111"/>
      <c r="EF41506"/>
      <c r="EG41506"/>
      <c r="EH41506"/>
      <c r="EI41506"/>
      <c r="EJ41506"/>
      <c r="EK41506"/>
    </row>
    <row r="41507" spans="1:141" s="116" customFormat="1">
      <c r="A41507" s="136"/>
      <c r="CM41507" s="111"/>
      <c r="CQ41507" s="111"/>
      <c r="EF41507"/>
      <c r="EG41507"/>
      <c r="EH41507"/>
      <c r="EI41507"/>
      <c r="EJ41507"/>
      <c r="EK41507"/>
    </row>
    <row r="41508" spans="1:141" s="116" customFormat="1">
      <c r="A41508" s="136"/>
      <c r="CM41508" s="111"/>
      <c r="CQ41508" s="111"/>
      <c r="EF41508"/>
      <c r="EG41508"/>
      <c r="EH41508"/>
      <c r="EI41508"/>
      <c r="EJ41508"/>
      <c r="EK41508"/>
    </row>
    <row r="41509" spans="1:141" s="116" customFormat="1">
      <c r="A41509" s="136"/>
      <c r="CM41509" s="111"/>
      <c r="CQ41509" s="111"/>
      <c r="EF41509"/>
      <c r="EG41509"/>
      <c r="EH41509"/>
      <c r="EI41509"/>
      <c r="EJ41509"/>
      <c r="EK41509"/>
    </row>
    <row r="41510" spans="1:141" s="116" customFormat="1">
      <c r="A41510" s="136"/>
      <c r="CM41510" s="111"/>
      <c r="CQ41510" s="111"/>
      <c r="EF41510"/>
      <c r="EG41510"/>
      <c r="EH41510"/>
      <c r="EI41510"/>
      <c r="EJ41510"/>
      <c r="EK41510"/>
    </row>
    <row r="41511" spans="1:141" s="116" customFormat="1">
      <c r="A41511" s="136"/>
      <c r="CM41511" s="111"/>
      <c r="CQ41511" s="111"/>
      <c r="EF41511"/>
      <c r="EG41511"/>
      <c r="EH41511"/>
      <c r="EI41511"/>
      <c r="EJ41511"/>
      <c r="EK41511"/>
    </row>
    <row r="41512" spans="1:141" s="116" customFormat="1">
      <c r="A41512" s="136"/>
      <c r="CM41512" s="111"/>
      <c r="CQ41512" s="111"/>
      <c r="EF41512"/>
      <c r="EG41512"/>
      <c r="EH41512"/>
      <c r="EI41512"/>
      <c r="EJ41512"/>
      <c r="EK41512"/>
    </row>
    <row r="41513" spans="1:141" s="116" customFormat="1">
      <c r="A41513" s="136"/>
      <c r="CM41513" s="111"/>
      <c r="CQ41513" s="111"/>
      <c r="EF41513"/>
      <c r="EG41513"/>
      <c r="EH41513"/>
      <c r="EI41513"/>
      <c r="EJ41513"/>
      <c r="EK41513"/>
    </row>
    <row r="41514" spans="1:141" s="116" customFormat="1">
      <c r="A41514" s="136"/>
      <c r="CM41514" s="111"/>
      <c r="CQ41514" s="111"/>
      <c r="EF41514"/>
      <c r="EG41514"/>
      <c r="EH41514"/>
      <c r="EI41514"/>
      <c r="EJ41514"/>
      <c r="EK41514"/>
    </row>
    <row r="41515" spans="1:141" s="116" customFormat="1">
      <c r="A41515" s="136"/>
      <c r="CM41515" s="111"/>
      <c r="CQ41515" s="111"/>
      <c r="EF41515"/>
      <c r="EG41515"/>
      <c r="EH41515"/>
      <c r="EI41515"/>
      <c r="EJ41515"/>
      <c r="EK41515"/>
    </row>
    <row r="41516" spans="1:141" s="116" customFormat="1">
      <c r="A41516" s="136"/>
      <c r="CM41516" s="111"/>
      <c r="CQ41516" s="111"/>
      <c r="EF41516"/>
      <c r="EG41516"/>
      <c r="EH41516"/>
      <c r="EI41516"/>
      <c r="EJ41516"/>
      <c r="EK41516"/>
    </row>
    <row r="41517" spans="1:141" s="116" customFormat="1">
      <c r="A41517" s="136"/>
      <c r="CM41517" s="111"/>
      <c r="CQ41517" s="111"/>
      <c r="EF41517"/>
      <c r="EG41517"/>
      <c r="EH41517"/>
      <c r="EI41517"/>
      <c r="EJ41517"/>
      <c r="EK41517"/>
    </row>
    <row r="41518" spans="1:141" s="116" customFormat="1">
      <c r="A41518" s="136"/>
      <c r="CM41518" s="111"/>
      <c r="CQ41518" s="111"/>
      <c r="EF41518"/>
      <c r="EG41518"/>
      <c r="EH41518"/>
      <c r="EI41518"/>
      <c r="EJ41518"/>
      <c r="EK41518"/>
    </row>
    <row r="41519" spans="1:141" s="116" customFormat="1">
      <c r="A41519" s="136"/>
      <c r="CM41519" s="111"/>
      <c r="CQ41519" s="111"/>
      <c r="EF41519"/>
      <c r="EG41519"/>
      <c r="EH41519"/>
      <c r="EI41519"/>
      <c r="EJ41519"/>
      <c r="EK41519"/>
    </row>
    <row r="41520" spans="1:141" s="116" customFormat="1">
      <c r="A41520" s="136"/>
      <c r="CM41520" s="111"/>
      <c r="CQ41520" s="111"/>
      <c r="EF41520"/>
      <c r="EG41520"/>
      <c r="EH41520"/>
      <c r="EI41520"/>
      <c r="EJ41520"/>
      <c r="EK41520"/>
    </row>
    <row r="41521" spans="1:141" s="116" customFormat="1">
      <c r="A41521" s="136"/>
      <c r="CM41521" s="111"/>
      <c r="CQ41521" s="111"/>
      <c r="EF41521"/>
      <c r="EG41521"/>
      <c r="EH41521"/>
      <c r="EI41521"/>
      <c r="EJ41521"/>
      <c r="EK41521"/>
    </row>
    <row r="41522" spans="1:141" s="116" customFormat="1">
      <c r="A41522" s="136"/>
      <c r="CM41522" s="111"/>
      <c r="CQ41522" s="111"/>
      <c r="EF41522"/>
      <c r="EG41522"/>
      <c r="EH41522"/>
      <c r="EI41522"/>
      <c r="EJ41522"/>
      <c r="EK41522"/>
    </row>
    <row r="41523" spans="1:141" s="116" customFormat="1">
      <c r="A41523" s="136"/>
      <c r="CM41523" s="111"/>
      <c r="CQ41523" s="111"/>
      <c r="EF41523"/>
      <c r="EG41523"/>
      <c r="EH41523"/>
      <c r="EI41523"/>
      <c r="EJ41523"/>
      <c r="EK41523"/>
    </row>
    <row r="41524" spans="1:141" s="116" customFormat="1">
      <c r="A41524" s="136"/>
      <c r="CM41524" s="111"/>
      <c r="CQ41524" s="111"/>
      <c r="EF41524"/>
      <c r="EG41524"/>
      <c r="EH41524"/>
      <c r="EI41524"/>
      <c r="EJ41524"/>
      <c r="EK41524"/>
    </row>
    <row r="41525" spans="1:141" s="116" customFormat="1">
      <c r="A41525" s="136"/>
      <c r="CM41525" s="111"/>
      <c r="CQ41525" s="111"/>
      <c r="EF41525"/>
      <c r="EG41525"/>
      <c r="EH41525"/>
      <c r="EI41525"/>
      <c r="EJ41525"/>
      <c r="EK41525"/>
    </row>
    <row r="41526" spans="1:141" s="116" customFormat="1">
      <c r="A41526" s="136"/>
      <c r="CM41526" s="111"/>
      <c r="CQ41526" s="111"/>
      <c r="EF41526"/>
      <c r="EG41526"/>
      <c r="EH41526"/>
      <c r="EI41526"/>
      <c r="EJ41526"/>
      <c r="EK41526"/>
    </row>
    <row r="41527" spans="1:141" s="116" customFormat="1">
      <c r="A41527" s="136"/>
      <c r="CM41527" s="111"/>
      <c r="CQ41527" s="111"/>
      <c r="EF41527"/>
      <c r="EG41527"/>
      <c r="EH41527"/>
      <c r="EI41527"/>
      <c r="EJ41527"/>
      <c r="EK41527"/>
    </row>
    <row r="41528" spans="1:141" s="116" customFormat="1">
      <c r="A41528" s="136"/>
      <c r="CM41528" s="111"/>
      <c r="CQ41528" s="111"/>
      <c r="EF41528"/>
      <c r="EG41528"/>
      <c r="EH41528"/>
      <c r="EI41528"/>
      <c r="EJ41528"/>
      <c r="EK41528"/>
    </row>
    <row r="41529" spans="1:141" s="116" customFormat="1">
      <c r="A41529" s="136"/>
      <c r="CM41529" s="111"/>
      <c r="CQ41529" s="111"/>
      <c r="EF41529"/>
      <c r="EG41529"/>
      <c r="EH41529"/>
      <c r="EI41529"/>
      <c r="EJ41529"/>
      <c r="EK41529"/>
    </row>
    <row r="41530" spans="1:141" s="116" customFormat="1">
      <c r="A41530" s="136"/>
      <c r="CM41530" s="111"/>
      <c r="CQ41530" s="111"/>
      <c r="EF41530"/>
      <c r="EG41530"/>
      <c r="EH41530"/>
      <c r="EI41530"/>
      <c r="EJ41530"/>
      <c r="EK41530"/>
    </row>
    <row r="41531" spans="1:141" s="116" customFormat="1">
      <c r="A41531" s="136"/>
      <c r="CM41531" s="111"/>
      <c r="CQ41531" s="111"/>
      <c r="EF41531"/>
      <c r="EG41531"/>
      <c r="EH41531"/>
      <c r="EI41531"/>
      <c r="EJ41531"/>
      <c r="EK41531"/>
    </row>
    <row r="41532" spans="1:141" s="116" customFormat="1">
      <c r="A41532" s="136"/>
      <c r="CM41532" s="111"/>
      <c r="CQ41532" s="111"/>
      <c r="EF41532"/>
      <c r="EG41532"/>
      <c r="EH41532"/>
      <c r="EI41532"/>
      <c r="EJ41532"/>
      <c r="EK41532"/>
    </row>
    <row r="41533" spans="1:141" s="116" customFormat="1">
      <c r="A41533" s="136"/>
      <c r="CM41533" s="111"/>
      <c r="CQ41533" s="111"/>
      <c r="EF41533"/>
      <c r="EG41533"/>
      <c r="EH41533"/>
      <c r="EI41533"/>
      <c r="EJ41533"/>
      <c r="EK41533"/>
    </row>
    <row r="41534" spans="1:141" s="116" customFormat="1">
      <c r="A41534" s="136"/>
      <c r="CM41534" s="111"/>
      <c r="CQ41534" s="111"/>
      <c r="EF41534"/>
      <c r="EG41534"/>
      <c r="EH41534"/>
      <c r="EI41534"/>
      <c r="EJ41534"/>
      <c r="EK41534"/>
    </row>
    <row r="41535" spans="1:141" s="116" customFormat="1">
      <c r="A41535" s="136"/>
      <c r="CM41535" s="111"/>
      <c r="CQ41535" s="111"/>
      <c r="EF41535"/>
      <c r="EG41535"/>
      <c r="EH41535"/>
      <c r="EI41535"/>
      <c r="EJ41535"/>
      <c r="EK41535"/>
    </row>
    <row r="41536" spans="1:141" s="116" customFormat="1">
      <c r="A41536" s="136"/>
      <c r="CM41536" s="111"/>
      <c r="CQ41536" s="111"/>
      <c r="EF41536"/>
      <c r="EG41536"/>
      <c r="EH41536"/>
      <c r="EI41536"/>
      <c r="EJ41536"/>
      <c r="EK41536"/>
    </row>
    <row r="41537" spans="1:141" s="116" customFormat="1">
      <c r="A41537" s="136"/>
      <c r="CM41537" s="111"/>
      <c r="CQ41537" s="111"/>
      <c r="EF41537"/>
      <c r="EG41537"/>
      <c r="EH41537"/>
      <c r="EI41537"/>
      <c r="EJ41537"/>
      <c r="EK41537"/>
    </row>
    <row r="41538" spans="1:141" s="116" customFormat="1">
      <c r="A41538" s="136"/>
      <c r="CM41538" s="111"/>
      <c r="CQ41538" s="111"/>
      <c r="EF41538"/>
      <c r="EG41538"/>
      <c r="EH41538"/>
      <c r="EI41538"/>
      <c r="EJ41538"/>
      <c r="EK41538"/>
    </row>
    <row r="41539" spans="1:141" s="116" customFormat="1">
      <c r="A41539" s="136"/>
      <c r="CM41539" s="111"/>
      <c r="CQ41539" s="111"/>
      <c r="EF41539"/>
      <c r="EG41539"/>
      <c r="EH41539"/>
      <c r="EI41539"/>
      <c r="EJ41539"/>
      <c r="EK41539"/>
    </row>
    <row r="41540" spans="1:141" s="116" customFormat="1">
      <c r="A41540" s="136"/>
      <c r="CM41540" s="111"/>
      <c r="CQ41540" s="111"/>
      <c r="EF41540"/>
      <c r="EG41540"/>
      <c r="EH41540"/>
      <c r="EI41540"/>
      <c r="EJ41540"/>
      <c r="EK41540"/>
    </row>
    <row r="41541" spans="1:141" s="116" customFormat="1">
      <c r="A41541" s="136"/>
      <c r="CM41541" s="111"/>
      <c r="CQ41541" s="111"/>
      <c r="EF41541"/>
      <c r="EG41541"/>
      <c r="EH41541"/>
      <c r="EI41541"/>
      <c r="EJ41541"/>
      <c r="EK41541"/>
    </row>
    <row r="41542" spans="1:141" s="116" customFormat="1">
      <c r="A41542" s="136"/>
      <c r="CM41542" s="111"/>
      <c r="CQ41542" s="111"/>
      <c r="EF41542"/>
      <c r="EG41542"/>
      <c r="EH41542"/>
      <c r="EI41542"/>
      <c r="EJ41542"/>
      <c r="EK41542"/>
    </row>
    <row r="41543" spans="1:141" s="116" customFormat="1">
      <c r="A41543" s="136"/>
      <c r="CM41543" s="111"/>
      <c r="CQ41543" s="111"/>
      <c r="EF41543"/>
      <c r="EG41543"/>
      <c r="EH41543"/>
      <c r="EI41543"/>
      <c r="EJ41543"/>
      <c r="EK41543"/>
    </row>
    <row r="41544" spans="1:141" s="116" customFormat="1">
      <c r="A41544" s="136"/>
      <c r="CM41544" s="111"/>
      <c r="CQ41544" s="111"/>
      <c r="EF41544"/>
      <c r="EG41544"/>
      <c r="EH41544"/>
      <c r="EI41544"/>
      <c r="EJ41544"/>
      <c r="EK41544"/>
    </row>
    <row r="41545" spans="1:141" s="116" customFormat="1">
      <c r="A41545" s="136"/>
      <c r="CM41545" s="111"/>
      <c r="CQ41545" s="111"/>
      <c r="EF41545"/>
      <c r="EG41545"/>
      <c r="EH41545"/>
      <c r="EI41545"/>
      <c r="EJ41545"/>
      <c r="EK41545"/>
    </row>
    <row r="41546" spans="1:141" s="116" customFormat="1">
      <c r="A41546" s="136"/>
      <c r="CM41546" s="111"/>
      <c r="CQ41546" s="111"/>
      <c r="EF41546"/>
      <c r="EG41546"/>
      <c r="EH41546"/>
      <c r="EI41546"/>
      <c r="EJ41546"/>
      <c r="EK41546"/>
    </row>
    <row r="41547" spans="1:141" s="116" customFormat="1">
      <c r="A41547" s="136"/>
      <c r="CM41547" s="111"/>
      <c r="CQ41547" s="111"/>
      <c r="EF41547"/>
      <c r="EG41547"/>
      <c r="EH41547"/>
      <c r="EI41547"/>
      <c r="EJ41547"/>
      <c r="EK41547"/>
    </row>
    <row r="41548" spans="1:141" s="116" customFormat="1">
      <c r="A41548" s="136"/>
      <c r="CM41548" s="111"/>
      <c r="CQ41548" s="111"/>
      <c r="EF41548"/>
      <c r="EG41548"/>
      <c r="EH41548"/>
      <c r="EI41548"/>
      <c r="EJ41548"/>
      <c r="EK41548"/>
    </row>
    <row r="41549" spans="1:141" s="116" customFormat="1">
      <c r="A41549" s="136"/>
      <c r="CM41549" s="111"/>
      <c r="CQ41549" s="111"/>
      <c r="EF41549"/>
      <c r="EG41549"/>
      <c r="EH41549"/>
      <c r="EI41549"/>
      <c r="EJ41549"/>
      <c r="EK41549"/>
    </row>
    <row r="41550" spans="1:141" s="116" customFormat="1">
      <c r="A41550" s="136"/>
      <c r="CM41550" s="111"/>
      <c r="CQ41550" s="111"/>
      <c r="EF41550"/>
      <c r="EG41550"/>
      <c r="EH41550"/>
      <c r="EI41550"/>
      <c r="EJ41550"/>
      <c r="EK41550"/>
    </row>
    <row r="41551" spans="1:141" s="116" customFormat="1">
      <c r="A41551" s="136"/>
      <c r="CM41551" s="111"/>
      <c r="CQ41551" s="111"/>
      <c r="EF41551"/>
      <c r="EG41551"/>
      <c r="EH41551"/>
      <c r="EI41551"/>
      <c r="EJ41551"/>
      <c r="EK41551"/>
    </row>
    <row r="41552" spans="1:141" s="116" customFormat="1">
      <c r="A41552" s="136"/>
      <c r="CM41552" s="111"/>
      <c r="CQ41552" s="111"/>
      <c r="EF41552"/>
      <c r="EG41552"/>
      <c r="EH41552"/>
      <c r="EI41552"/>
      <c r="EJ41552"/>
      <c r="EK41552"/>
    </row>
    <row r="41553" spans="1:141" s="116" customFormat="1">
      <c r="A41553" s="136"/>
      <c r="CM41553" s="111"/>
      <c r="CQ41553" s="111"/>
      <c r="EF41553"/>
      <c r="EG41553"/>
      <c r="EH41553"/>
      <c r="EI41553"/>
      <c r="EJ41553"/>
      <c r="EK41553"/>
    </row>
    <row r="41554" spans="1:141" s="116" customFormat="1">
      <c r="A41554" s="136"/>
      <c r="CM41554" s="111"/>
      <c r="CQ41554" s="111"/>
      <c r="EF41554"/>
      <c r="EG41554"/>
      <c r="EH41554"/>
      <c r="EI41554"/>
      <c r="EJ41554"/>
      <c r="EK41554"/>
    </row>
    <row r="41555" spans="1:141" s="116" customFormat="1">
      <c r="A41555" s="136"/>
      <c r="CM41555" s="111"/>
      <c r="CQ41555" s="111"/>
      <c r="EF41555"/>
      <c r="EG41555"/>
      <c r="EH41555"/>
      <c r="EI41555"/>
      <c r="EJ41555"/>
      <c r="EK41555"/>
    </row>
    <row r="41556" spans="1:141" s="116" customFormat="1">
      <c r="A41556" s="136"/>
      <c r="CM41556" s="111"/>
      <c r="CQ41556" s="111"/>
      <c r="EF41556"/>
      <c r="EG41556"/>
      <c r="EH41556"/>
      <c r="EI41556"/>
      <c r="EJ41556"/>
      <c r="EK41556"/>
    </row>
    <row r="41557" spans="1:141" s="116" customFormat="1">
      <c r="A41557" s="136"/>
      <c r="CM41557" s="111"/>
      <c r="CQ41557" s="111"/>
      <c r="EF41557"/>
      <c r="EG41557"/>
      <c r="EH41557"/>
      <c r="EI41557"/>
      <c r="EJ41557"/>
      <c r="EK41557"/>
    </row>
    <row r="41558" spans="1:141" s="116" customFormat="1">
      <c r="A41558" s="136"/>
      <c r="CM41558" s="111"/>
      <c r="CQ41558" s="111"/>
      <c r="EF41558"/>
      <c r="EG41558"/>
      <c r="EH41558"/>
      <c r="EI41558"/>
      <c r="EJ41558"/>
      <c r="EK41558"/>
    </row>
    <row r="41559" spans="1:141" s="116" customFormat="1">
      <c r="A41559" s="136"/>
      <c r="CM41559" s="111"/>
      <c r="CQ41559" s="111"/>
      <c r="EF41559"/>
      <c r="EG41559"/>
      <c r="EH41559"/>
      <c r="EI41559"/>
      <c r="EJ41559"/>
      <c r="EK41559"/>
    </row>
    <row r="41560" spans="1:141" s="116" customFormat="1">
      <c r="A41560" s="136"/>
      <c r="CM41560" s="111"/>
      <c r="CQ41560" s="111"/>
      <c r="EF41560"/>
      <c r="EG41560"/>
      <c r="EH41560"/>
      <c r="EI41560"/>
      <c r="EJ41560"/>
      <c r="EK41560"/>
    </row>
    <row r="41561" spans="1:141" s="116" customFormat="1">
      <c r="A41561" s="136"/>
      <c r="CM41561" s="111"/>
      <c r="CQ41561" s="111"/>
      <c r="EF41561"/>
      <c r="EG41561"/>
      <c r="EH41561"/>
      <c r="EI41561"/>
      <c r="EJ41561"/>
      <c r="EK41561"/>
    </row>
    <row r="41562" spans="1:141" s="116" customFormat="1">
      <c r="A41562" s="136"/>
      <c r="CM41562" s="111"/>
      <c r="CQ41562" s="111"/>
      <c r="EF41562"/>
      <c r="EG41562"/>
      <c r="EH41562"/>
      <c r="EI41562"/>
      <c r="EJ41562"/>
      <c r="EK41562"/>
    </row>
    <row r="41563" spans="1:141" s="116" customFormat="1">
      <c r="A41563" s="136"/>
      <c r="CM41563" s="111"/>
      <c r="CQ41563" s="111"/>
      <c r="EF41563"/>
      <c r="EG41563"/>
      <c r="EH41563"/>
      <c r="EI41563"/>
      <c r="EJ41563"/>
      <c r="EK41563"/>
    </row>
    <row r="41564" spans="1:141" s="116" customFormat="1">
      <c r="A41564" s="136"/>
      <c r="CM41564" s="111"/>
      <c r="CQ41564" s="111"/>
      <c r="EF41564"/>
      <c r="EG41564"/>
      <c r="EH41564"/>
      <c r="EI41564"/>
      <c r="EJ41564"/>
      <c r="EK41564"/>
    </row>
    <row r="41565" spans="1:141" s="116" customFormat="1">
      <c r="A41565" s="136"/>
      <c r="CM41565" s="111"/>
      <c r="CQ41565" s="111"/>
      <c r="EF41565"/>
      <c r="EG41565"/>
      <c r="EH41565"/>
      <c r="EI41565"/>
      <c r="EJ41565"/>
      <c r="EK41565"/>
    </row>
    <row r="41566" spans="1:141" s="116" customFormat="1">
      <c r="A41566" s="136"/>
      <c r="CM41566" s="111"/>
      <c r="CQ41566" s="111"/>
      <c r="EF41566"/>
      <c r="EG41566"/>
      <c r="EH41566"/>
      <c r="EI41566"/>
      <c r="EJ41566"/>
      <c r="EK41566"/>
    </row>
    <row r="41567" spans="1:141" s="116" customFormat="1">
      <c r="A41567" s="136"/>
      <c r="CM41567" s="111"/>
      <c r="CQ41567" s="111"/>
      <c r="EF41567"/>
      <c r="EG41567"/>
      <c r="EH41567"/>
      <c r="EI41567"/>
      <c r="EJ41567"/>
      <c r="EK41567"/>
    </row>
    <row r="41568" spans="1:141" s="116" customFormat="1">
      <c r="A41568" s="136"/>
      <c r="CM41568" s="111"/>
      <c r="CQ41568" s="111"/>
      <c r="EF41568"/>
      <c r="EG41568"/>
      <c r="EH41568"/>
      <c r="EI41568"/>
      <c r="EJ41568"/>
      <c r="EK41568"/>
    </row>
    <row r="41569" spans="1:141" s="116" customFormat="1">
      <c r="A41569" s="136"/>
      <c r="CM41569" s="111"/>
      <c r="CQ41569" s="111"/>
      <c r="EF41569"/>
      <c r="EG41569"/>
      <c r="EH41569"/>
      <c r="EI41569"/>
      <c r="EJ41569"/>
      <c r="EK41569"/>
    </row>
    <row r="41570" spans="1:141" s="116" customFormat="1">
      <c r="A41570" s="136"/>
      <c r="CM41570" s="111"/>
      <c r="CQ41570" s="111"/>
      <c r="EF41570"/>
      <c r="EG41570"/>
      <c r="EH41570"/>
      <c r="EI41570"/>
      <c r="EJ41570"/>
      <c r="EK41570"/>
    </row>
    <row r="41571" spans="1:141" s="116" customFormat="1">
      <c r="A41571" s="136"/>
      <c r="CM41571" s="111"/>
      <c r="CQ41571" s="111"/>
      <c r="EF41571"/>
      <c r="EG41571"/>
      <c r="EH41571"/>
      <c r="EI41571"/>
      <c r="EJ41571"/>
      <c r="EK41571"/>
    </row>
    <row r="41572" spans="1:141" s="116" customFormat="1">
      <c r="A41572" s="136"/>
      <c r="CM41572" s="111"/>
      <c r="CQ41572" s="111"/>
      <c r="EF41572"/>
      <c r="EG41572"/>
      <c r="EH41572"/>
      <c r="EI41572"/>
      <c r="EJ41572"/>
      <c r="EK41572"/>
    </row>
    <row r="41573" spans="1:141" s="116" customFormat="1">
      <c r="A41573" s="136"/>
      <c r="CM41573" s="111"/>
      <c r="CQ41573" s="111"/>
      <c r="EF41573"/>
      <c r="EG41573"/>
      <c r="EH41573"/>
      <c r="EI41573"/>
      <c r="EJ41573"/>
      <c r="EK41573"/>
    </row>
    <row r="41574" spans="1:141" s="116" customFormat="1">
      <c r="A41574" s="136"/>
      <c r="CM41574" s="111"/>
      <c r="CQ41574" s="111"/>
      <c r="EF41574"/>
      <c r="EG41574"/>
      <c r="EH41574"/>
      <c r="EI41574"/>
      <c r="EJ41574"/>
      <c r="EK41574"/>
    </row>
    <row r="41575" spans="1:141" s="116" customFormat="1">
      <c r="A41575" s="136"/>
      <c r="CM41575" s="111"/>
      <c r="CQ41575" s="111"/>
      <c r="EF41575"/>
      <c r="EG41575"/>
      <c r="EH41575"/>
      <c r="EI41575"/>
      <c r="EJ41575"/>
      <c r="EK41575"/>
    </row>
    <row r="41576" spans="1:141" s="116" customFormat="1">
      <c r="A41576" s="136"/>
      <c r="CM41576" s="111"/>
      <c r="CQ41576" s="111"/>
      <c r="EF41576"/>
      <c r="EG41576"/>
      <c r="EH41576"/>
      <c r="EI41576"/>
      <c r="EJ41576"/>
      <c r="EK41576"/>
    </row>
    <row r="41577" spans="1:141" s="116" customFormat="1">
      <c r="A41577" s="136"/>
      <c r="CM41577" s="111"/>
      <c r="CQ41577" s="111"/>
      <c r="EF41577"/>
      <c r="EG41577"/>
      <c r="EH41577"/>
      <c r="EI41577"/>
      <c r="EJ41577"/>
      <c r="EK41577"/>
    </row>
    <row r="41578" spans="1:141" s="116" customFormat="1">
      <c r="A41578" s="136"/>
      <c r="CM41578" s="111"/>
      <c r="CQ41578" s="111"/>
      <c r="EF41578"/>
      <c r="EG41578"/>
      <c r="EH41578"/>
      <c r="EI41578"/>
      <c r="EJ41578"/>
      <c r="EK41578"/>
    </row>
    <row r="41579" spans="1:141" s="116" customFormat="1">
      <c r="A41579" s="136"/>
      <c r="CM41579" s="111"/>
      <c r="CQ41579" s="111"/>
      <c r="EF41579"/>
      <c r="EG41579"/>
      <c r="EH41579"/>
      <c r="EI41579"/>
      <c r="EJ41579"/>
      <c r="EK41579"/>
    </row>
    <row r="41580" spans="1:141" s="116" customFormat="1">
      <c r="A41580" s="136"/>
      <c r="CM41580" s="111"/>
      <c r="CQ41580" s="111"/>
      <c r="EF41580"/>
      <c r="EG41580"/>
      <c r="EH41580"/>
      <c r="EI41580"/>
      <c r="EJ41580"/>
      <c r="EK41580"/>
    </row>
    <row r="41581" spans="1:141" s="116" customFormat="1">
      <c r="A41581" s="136"/>
      <c r="CM41581" s="111"/>
      <c r="CQ41581" s="111"/>
      <c r="EF41581"/>
      <c r="EG41581"/>
      <c r="EH41581"/>
      <c r="EI41581"/>
      <c r="EJ41581"/>
      <c r="EK41581"/>
    </row>
    <row r="41582" spans="1:141" s="116" customFormat="1">
      <c r="A41582" s="136"/>
      <c r="CM41582" s="111"/>
      <c r="CQ41582" s="111"/>
      <c r="EF41582"/>
      <c r="EG41582"/>
      <c r="EH41582"/>
      <c r="EI41582"/>
      <c r="EJ41582"/>
      <c r="EK41582"/>
    </row>
    <row r="41583" spans="1:141" s="116" customFormat="1">
      <c r="A41583" s="136"/>
      <c r="CM41583" s="111"/>
      <c r="CQ41583" s="111"/>
      <c r="EF41583"/>
      <c r="EG41583"/>
      <c r="EH41583"/>
      <c r="EI41583"/>
      <c r="EJ41583"/>
      <c r="EK41583"/>
    </row>
    <row r="41584" spans="1:141" s="116" customFormat="1">
      <c r="A41584" s="136"/>
      <c r="CM41584" s="111"/>
      <c r="CQ41584" s="111"/>
      <c r="EF41584"/>
      <c r="EG41584"/>
      <c r="EH41584"/>
      <c r="EI41584"/>
      <c r="EJ41584"/>
      <c r="EK41584"/>
    </row>
    <row r="41585" spans="1:141" s="116" customFormat="1">
      <c r="A41585" s="136"/>
      <c r="CM41585" s="111"/>
      <c r="CQ41585" s="111"/>
      <c r="EF41585"/>
      <c r="EG41585"/>
      <c r="EH41585"/>
      <c r="EI41585"/>
      <c r="EJ41585"/>
      <c r="EK41585"/>
    </row>
    <row r="41586" spans="1:141" s="116" customFormat="1">
      <c r="A41586" s="136"/>
      <c r="CM41586" s="111"/>
      <c r="CQ41586" s="111"/>
      <c r="EF41586"/>
      <c r="EG41586"/>
      <c r="EH41586"/>
      <c r="EI41586"/>
      <c r="EJ41586"/>
      <c r="EK41586"/>
    </row>
    <row r="41587" spans="1:141" s="116" customFormat="1">
      <c r="A41587" s="136"/>
      <c r="CM41587" s="111"/>
      <c r="CQ41587" s="111"/>
      <c r="EF41587"/>
      <c r="EG41587"/>
      <c r="EH41587"/>
      <c r="EI41587"/>
      <c r="EJ41587"/>
      <c r="EK41587"/>
    </row>
    <row r="41588" spans="1:141" s="116" customFormat="1">
      <c r="A41588" s="136"/>
      <c r="CM41588" s="111"/>
      <c r="CQ41588" s="111"/>
      <c r="EF41588"/>
      <c r="EG41588"/>
      <c r="EH41588"/>
      <c r="EI41588"/>
      <c r="EJ41588"/>
      <c r="EK41588"/>
    </row>
    <row r="41589" spans="1:141" s="116" customFormat="1">
      <c r="A41589" s="136"/>
      <c r="CM41589" s="111"/>
      <c r="CQ41589" s="111"/>
      <c r="EF41589"/>
      <c r="EG41589"/>
      <c r="EH41589"/>
      <c r="EI41589"/>
      <c r="EJ41589"/>
      <c r="EK41589"/>
    </row>
    <row r="41590" spans="1:141" s="116" customFormat="1">
      <c r="A41590" s="136"/>
      <c r="CM41590" s="111"/>
      <c r="CQ41590" s="111"/>
      <c r="EF41590"/>
      <c r="EG41590"/>
      <c r="EH41590"/>
      <c r="EI41590"/>
      <c r="EJ41590"/>
      <c r="EK41590"/>
    </row>
    <row r="41591" spans="1:141" s="116" customFormat="1">
      <c r="A41591" s="136"/>
      <c r="CM41591" s="111"/>
      <c r="CQ41591" s="111"/>
      <c r="EF41591"/>
      <c r="EG41591"/>
      <c r="EH41591"/>
      <c r="EI41591"/>
      <c r="EJ41591"/>
      <c r="EK41591"/>
    </row>
    <row r="41592" spans="1:141" s="116" customFormat="1">
      <c r="A41592" s="136"/>
      <c r="CM41592" s="111"/>
      <c r="CQ41592" s="111"/>
      <c r="EF41592"/>
      <c r="EG41592"/>
      <c r="EH41592"/>
      <c r="EI41592"/>
      <c r="EJ41592"/>
      <c r="EK41592"/>
    </row>
    <row r="41593" spans="1:141" s="116" customFormat="1">
      <c r="A41593" s="136"/>
      <c r="CM41593" s="111"/>
      <c r="CQ41593" s="111"/>
      <c r="EF41593"/>
      <c r="EG41593"/>
      <c r="EH41593"/>
      <c r="EI41593"/>
      <c r="EJ41593"/>
      <c r="EK41593"/>
    </row>
    <row r="41594" spans="1:141" s="116" customFormat="1">
      <c r="A41594" s="136"/>
      <c r="CM41594" s="111"/>
      <c r="CQ41594" s="111"/>
      <c r="EF41594"/>
      <c r="EG41594"/>
      <c r="EH41594"/>
      <c r="EI41594"/>
      <c r="EJ41594"/>
      <c r="EK41594"/>
    </row>
    <row r="41595" spans="1:141" s="116" customFormat="1">
      <c r="A41595" s="136"/>
      <c r="CM41595" s="111"/>
      <c r="CQ41595" s="111"/>
      <c r="EF41595"/>
      <c r="EG41595"/>
      <c r="EH41595"/>
      <c r="EI41595"/>
      <c r="EJ41595"/>
      <c r="EK41595"/>
    </row>
    <row r="41596" spans="1:141" s="116" customFormat="1">
      <c r="A41596" s="136"/>
      <c r="CM41596" s="111"/>
      <c r="CQ41596" s="111"/>
      <c r="EF41596"/>
      <c r="EG41596"/>
      <c r="EH41596"/>
      <c r="EI41596"/>
      <c r="EJ41596"/>
      <c r="EK41596"/>
    </row>
    <row r="41597" spans="1:141" s="116" customFormat="1">
      <c r="A41597" s="136"/>
      <c r="CM41597" s="111"/>
      <c r="CQ41597" s="111"/>
      <c r="EF41597"/>
      <c r="EG41597"/>
      <c r="EH41597"/>
      <c r="EI41597"/>
      <c r="EJ41597"/>
      <c r="EK41597"/>
    </row>
    <row r="41598" spans="1:141" s="116" customFormat="1">
      <c r="A41598" s="136"/>
      <c r="CM41598" s="111"/>
      <c r="CQ41598" s="111"/>
      <c r="EF41598"/>
      <c r="EG41598"/>
      <c r="EH41598"/>
      <c r="EI41598"/>
      <c r="EJ41598"/>
      <c r="EK41598"/>
    </row>
    <row r="41599" spans="1:141" s="116" customFormat="1">
      <c r="A41599" s="136"/>
      <c r="CM41599" s="111"/>
      <c r="CQ41599" s="111"/>
      <c r="EF41599"/>
      <c r="EG41599"/>
      <c r="EH41599"/>
      <c r="EI41599"/>
      <c r="EJ41599"/>
      <c r="EK41599"/>
    </row>
    <row r="41600" spans="1:141" s="116" customFormat="1">
      <c r="A41600" s="136"/>
      <c r="CM41600" s="111"/>
      <c r="CQ41600" s="111"/>
      <c r="EF41600"/>
      <c r="EG41600"/>
      <c r="EH41600"/>
      <c r="EI41600"/>
      <c r="EJ41600"/>
      <c r="EK41600"/>
    </row>
    <row r="41601" spans="1:141" s="116" customFormat="1">
      <c r="A41601" s="136"/>
      <c r="CM41601" s="111"/>
      <c r="CQ41601" s="111"/>
      <c r="EF41601"/>
      <c r="EG41601"/>
      <c r="EH41601"/>
      <c r="EI41601"/>
      <c r="EJ41601"/>
      <c r="EK41601"/>
    </row>
    <row r="41602" spans="1:141" s="116" customFormat="1">
      <c r="A41602" s="136"/>
      <c r="CM41602" s="111"/>
      <c r="CQ41602" s="111"/>
      <c r="EF41602"/>
      <c r="EG41602"/>
      <c r="EH41602"/>
      <c r="EI41602"/>
      <c r="EJ41602"/>
      <c r="EK41602"/>
    </row>
    <row r="41603" spans="1:141" s="116" customFormat="1">
      <c r="A41603" s="136"/>
      <c r="CM41603" s="111"/>
      <c r="CQ41603" s="111"/>
      <c r="EF41603"/>
      <c r="EG41603"/>
      <c r="EH41603"/>
      <c r="EI41603"/>
      <c r="EJ41603"/>
      <c r="EK41603"/>
    </row>
    <row r="41604" spans="1:141" s="116" customFormat="1">
      <c r="A41604" s="136"/>
      <c r="CM41604" s="111"/>
      <c r="CQ41604" s="111"/>
      <c r="EF41604"/>
      <c r="EG41604"/>
      <c r="EH41604"/>
      <c r="EI41604"/>
      <c r="EJ41604"/>
      <c r="EK41604"/>
    </row>
    <row r="41605" spans="1:141" s="116" customFormat="1">
      <c r="A41605" s="136"/>
      <c r="CM41605" s="111"/>
      <c r="CQ41605" s="111"/>
      <c r="EF41605"/>
      <c r="EG41605"/>
      <c r="EH41605"/>
      <c r="EI41605"/>
      <c r="EJ41605"/>
      <c r="EK41605"/>
    </row>
    <row r="41606" spans="1:141" s="116" customFormat="1">
      <c r="A41606" s="136"/>
      <c r="CM41606" s="111"/>
      <c r="CQ41606" s="111"/>
      <c r="EF41606"/>
      <c r="EG41606"/>
      <c r="EH41606"/>
      <c r="EI41606"/>
      <c r="EJ41606"/>
      <c r="EK41606"/>
    </row>
    <row r="41607" spans="1:141" s="116" customFormat="1">
      <c r="A41607" s="136"/>
      <c r="CM41607" s="111"/>
      <c r="CQ41607" s="111"/>
      <c r="EF41607"/>
      <c r="EG41607"/>
      <c r="EH41607"/>
      <c r="EI41607"/>
      <c r="EJ41607"/>
      <c r="EK41607"/>
    </row>
    <row r="41608" spans="1:141" s="116" customFormat="1">
      <c r="A41608" s="136"/>
      <c r="CM41608" s="111"/>
      <c r="CQ41608" s="111"/>
      <c r="EF41608"/>
      <c r="EG41608"/>
      <c r="EH41608"/>
      <c r="EI41608"/>
      <c r="EJ41608"/>
      <c r="EK41608"/>
    </row>
    <row r="41609" spans="1:141" s="116" customFormat="1">
      <c r="A41609" s="136"/>
      <c r="CM41609" s="111"/>
      <c r="CQ41609" s="111"/>
      <c r="EF41609"/>
      <c r="EG41609"/>
      <c r="EH41609"/>
      <c r="EI41609"/>
      <c r="EJ41609"/>
      <c r="EK41609"/>
    </row>
    <row r="41610" spans="1:141" s="116" customFormat="1">
      <c r="A41610" s="136"/>
      <c r="CM41610" s="111"/>
      <c r="CQ41610" s="111"/>
      <c r="EF41610"/>
      <c r="EG41610"/>
      <c r="EH41610"/>
      <c r="EI41610"/>
      <c r="EJ41610"/>
      <c r="EK41610"/>
    </row>
    <row r="41611" spans="1:141" s="116" customFormat="1">
      <c r="A41611" s="136"/>
      <c r="CM41611" s="111"/>
      <c r="CQ41611" s="111"/>
      <c r="EF41611"/>
      <c r="EG41611"/>
      <c r="EH41611"/>
      <c r="EI41611"/>
      <c r="EJ41611"/>
      <c r="EK41611"/>
    </row>
    <row r="41612" spans="1:141" s="116" customFormat="1">
      <c r="A41612" s="136"/>
      <c r="CM41612" s="111"/>
      <c r="CQ41612" s="111"/>
      <c r="EF41612"/>
      <c r="EG41612"/>
      <c r="EH41612"/>
      <c r="EI41612"/>
      <c r="EJ41612"/>
      <c r="EK41612"/>
    </row>
    <row r="41613" spans="1:141" s="116" customFormat="1">
      <c r="A41613" s="136"/>
      <c r="CM41613" s="111"/>
      <c r="CQ41613" s="111"/>
      <c r="EF41613"/>
      <c r="EG41613"/>
      <c r="EH41613"/>
      <c r="EI41613"/>
      <c r="EJ41613"/>
      <c r="EK41613"/>
    </row>
    <row r="41614" spans="1:141" s="116" customFormat="1">
      <c r="A41614" s="136"/>
      <c r="CM41614" s="111"/>
      <c r="CQ41614" s="111"/>
      <c r="EF41614"/>
      <c r="EG41614"/>
      <c r="EH41614"/>
      <c r="EI41614"/>
      <c r="EJ41614"/>
      <c r="EK41614"/>
    </row>
    <row r="41615" spans="1:141" s="116" customFormat="1">
      <c r="A41615" s="136"/>
      <c r="CM41615" s="111"/>
      <c r="CQ41615" s="111"/>
      <c r="EF41615"/>
      <c r="EG41615"/>
      <c r="EH41615"/>
      <c r="EI41615"/>
      <c r="EJ41615"/>
      <c r="EK41615"/>
    </row>
    <row r="41616" spans="1:141" s="116" customFormat="1">
      <c r="A41616" s="136"/>
      <c r="CM41616" s="111"/>
      <c r="CQ41616" s="111"/>
      <c r="EF41616"/>
      <c r="EG41616"/>
      <c r="EH41616"/>
      <c r="EI41616"/>
      <c r="EJ41616"/>
      <c r="EK41616"/>
    </row>
    <row r="41617" spans="1:141" s="116" customFormat="1">
      <c r="A41617" s="136"/>
      <c r="CM41617" s="111"/>
      <c r="CQ41617" s="111"/>
      <c r="EF41617"/>
      <c r="EG41617"/>
      <c r="EH41617"/>
      <c r="EI41617"/>
      <c r="EJ41617"/>
      <c r="EK41617"/>
    </row>
    <row r="41618" spans="1:141" s="116" customFormat="1">
      <c r="A41618" s="136"/>
      <c r="CM41618" s="111"/>
      <c r="CQ41618" s="111"/>
      <c r="EF41618"/>
      <c r="EG41618"/>
      <c r="EH41618"/>
      <c r="EI41618"/>
      <c r="EJ41618"/>
      <c r="EK41618"/>
    </row>
    <row r="41619" spans="1:141" s="116" customFormat="1">
      <c r="A41619" s="136"/>
      <c r="CM41619" s="111"/>
      <c r="CQ41619" s="111"/>
      <c r="EF41619"/>
      <c r="EG41619"/>
      <c r="EH41619"/>
      <c r="EI41619"/>
      <c r="EJ41619"/>
      <c r="EK41619"/>
    </row>
    <row r="41620" spans="1:141" s="116" customFormat="1">
      <c r="A41620" s="136"/>
      <c r="CM41620" s="111"/>
      <c r="CQ41620" s="111"/>
      <c r="EF41620"/>
      <c r="EG41620"/>
      <c r="EH41620"/>
      <c r="EI41620"/>
      <c r="EJ41620"/>
      <c r="EK41620"/>
    </row>
    <row r="41621" spans="1:141" s="116" customFormat="1">
      <c r="A41621" s="136"/>
      <c r="CM41621" s="111"/>
      <c r="CQ41621" s="111"/>
      <c r="EF41621"/>
      <c r="EG41621"/>
      <c r="EH41621"/>
      <c r="EI41621"/>
      <c r="EJ41621"/>
      <c r="EK41621"/>
    </row>
    <row r="41622" spans="1:141" s="116" customFormat="1">
      <c r="A41622" s="136"/>
      <c r="CM41622" s="111"/>
      <c r="CQ41622" s="111"/>
      <c r="EF41622"/>
      <c r="EG41622"/>
      <c r="EH41622"/>
      <c r="EI41622"/>
      <c r="EJ41622"/>
      <c r="EK41622"/>
    </row>
    <row r="41623" spans="1:141" s="116" customFormat="1">
      <c r="A41623" s="136"/>
      <c r="CM41623" s="111"/>
      <c r="CQ41623" s="111"/>
      <c r="EF41623"/>
      <c r="EG41623"/>
      <c r="EH41623"/>
      <c r="EI41623"/>
      <c r="EJ41623"/>
      <c r="EK41623"/>
    </row>
    <row r="41624" spans="1:141" s="116" customFormat="1">
      <c r="A41624" s="136"/>
      <c r="CM41624" s="111"/>
      <c r="CQ41624" s="111"/>
      <c r="EF41624"/>
      <c r="EG41624"/>
      <c r="EH41624"/>
      <c r="EI41624"/>
      <c r="EJ41624"/>
      <c r="EK41624"/>
    </row>
    <row r="41625" spans="1:141" s="116" customFormat="1">
      <c r="A41625" s="136"/>
      <c r="CM41625" s="111"/>
      <c r="CQ41625" s="111"/>
      <c r="EF41625"/>
      <c r="EG41625"/>
      <c r="EH41625"/>
      <c r="EI41625"/>
      <c r="EJ41625"/>
      <c r="EK41625"/>
    </row>
    <row r="41626" spans="1:141" s="116" customFormat="1">
      <c r="A41626" s="136"/>
      <c r="CM41626" s="111"/>
      <c r="CQ41626" s="111"/>
      <c r="EF41626"/>
      <c r="EG41626"/>
      <c r="EH41626"/>
      <c r="EI41626"/>
      <c r="EJ41626"/>
      <c r="EK41626"/>
    </row>
    <row r="41627" spans="1:141" s="116" customFormat="1">
      <c r="A41627" s="136"/>
      <c r="CM41627" s="111"/>
      <c r="CQ41627" s="111"/>
      <c r="EF41627"/>
      <c r="EG41627"/>
      <c r="EH41627"/>
      <c r="EI41627"/>
      <c r="EJ41627"/>
      <c r="EK41627"/>
    </row>
    <row r="41628" spans="1:141" s="116" customFormat="1">
      <c r="A41628" s="136"/>
      <c r="CM41628" s="111"/>
      <c r="CQ41628" s="111"/>
      <c r="EF41628"/>
      <c r="EG41628"/>
      <c r="EH41628"/>
      <c r="EI41628"/>
      <c r="EJ41628"/>
      <c r="EK41628"/>
    </row>
    <row r="41629" spans="1:141" s="116" customFormat="1">
      <c r="A41629" s="136"/>
      <c r="CM41629" s="111"/>
      <c r="CQ41629" s="111"/>
      <c r="EF41629"/>
      <c r="EG41629"/>
      <c r="EH41629"/>
      <c r="EI41629"/>
      <c r="EJ41629"/>
      <c r="EK41629"/>
    </row>
    <row r="41630" spans="1:141" s="116" customFormat="1">
      <c r="A41630" s="136"/>
      <c r="CM41630" s="111"/>
      <c r="CQ41630" s="111"/>
      <c r="EF41630"/>
      <c r="EG41630"/>
      <c r="EH41630"/>
      <c r="EI41630"/>
      <c r="EJ41630"/>
      <c r="EK41630"/>
    </row>
    <row r="41631" spans="1:141" s="116" customFormat="1">
      <c r="A41631" s="136"/>
      <c r="CM41631" s="111"/>
      <c r="CQ41631" s="111"/>
      <c r="EF41631"/>
      <c r="EG41631"/>
      <c r="EH41631"/>
      <c r="EI41631"/>
      <c r="EJ41631"/>
      <c r="EK41631"/>
    </row>
    <row r="41632" spans="1:141" s="116" customFormat="1">
      <c r="A41632" s="136"/>
      <c r="CM41632" s="111"/>
      <c r="CQ41632" s="111"/>
      <c r="EF41632"/>
      <c r="EG41632"/>
      <c r="EH41632"/>
      <c r="EI41632"/>
      <c r="EJ41632"/>
      <c r="EK41632"/>
    </row>
    <row r="41633" spans="1:141" s="116" customFormat="1">
      <c r="A41633" s="136"/>
      <c r="CM41633" s="111"/>
      <c r="CQ41633" s="111"/>
      <c r="EF41633"/>
      <c r="EG41633"/>
      <c r="EH41633"/>
      <c r="EI41633"/>
      <c r="EJ41633"/>
      <c r="EK41633"/>
    </row>
    <row r="41634" spans="1:141" s="116" customFormat="1">
      <c r="A41634" s="136"/>
      <c r="CM41634" s="111"/>
      <c r="CQ41634" s="111"/>
      <c r="EF41634"/>
      <c r="EG41634"/>
      <c r="EH41634"/>
      <c r="EI41634"/>
      <c r="EJ41634"/>
      <c r="EK41634"/>
    </row>
    <row r="41635" spans="1:141" s="116" customFormat="1">
      <c r="A41635" s="136"/>
      <c r="CM41635" s="111"/>
      <c r="CQ41635" s="111"/>
      <c r="EF41635"/>
      <c r="EG41635"/>
      <c r="EH41635"/>
      <c r="EI41635"/>
      <c r="EJ41635"/>
      <c r="EK41635"/>
    </row>
    <row r="41636" spans="1:141" s="116" customFormat="1">
      <c r="A41636" s="136"/>
      <c r="CM41636" s="111"/>
      <c r="CQ41636" s="111"/>
      <c r="EF41636"/>
      <c r="EG41636"/>
      <c r="EH41636"/>
      <c r="EI41636"/>
      <c r="EJ41636"/>
      <c r="EK41636"/>
    </row>
    <row r="41637" spans="1:141" s="116" customFormat="1">
      <c r="A41637" s="136"/>
      <c r="CM41637" s="111"/>
      <c r="CQ41637" s="111"/>
      <c r="EF41637"/>
      <c r="EG41637"/>
      <c r="EH41637"/>
      <c r="EI41637"/>
      <c r="EJ41637"/>
      <c r="EK41637"/>
    </row>
    <row r="41638" spans="1:141" s="116" customFormat="1">
      <c r="A41638" s="136"/>
      <c r="CM41638" s="111"/>
      <c r="CQ41638" s="111"/>
      <c r="EF41638"/>
      <c r="EG41638"/>
      <c r="EH41638"/>
      <c r="EI41638"/>
      <c r="EJ41638"/>
      <c r="EK41638"/>
    </row>
    <row r="41639" spans="1:141" s="116" customFormat="1">
      <c r="A41639" s="136"/>
      <c r="CM41639" s="111"/>
      <c r="CQ41639" s="111"/>
      <c r="EF41639"/>
      <c r="EG41639"/>
      <c r="EH41639"/>
      <c r="EI41639"/>
      <c r="EJ41639"/>
      <c r="EK41639"/>
    </row>
    <row r="41640" spans="1:141" s="116" customFormat="1">
      <c r="A41640" s="136"/>
      <c r="CM41640" s="111"/>
      <c r="CQ41640" s="111"/>
      <c r="EF41640"/>
      <c r="EG41640"/>
      <c r="EH41640"/>
      <c r="EI41640"/>
      <c r="EJ41640"/>
      <c r="EK41640"/>
    </row>
    <row r="41641" spans="1:141" s="116" customFormat="1">
      <c r="A41641" s="136"/>
      <c r="CM41641" s="111"/>
      <c r="CQ41641" s="111"/>
      <c r="EF41641"/>
      <c r="EG41641"/>
      <c r="EH41641"/>
      <c r="EI41641"/>
      <c r="EJ41641"/>
      <c r="EK41641"/>
    </row>
    <row r="41642" spans="1:141" s="116" customFormat="1">
      <c r="A41642" s="136"/>
      <c r="CM41642" s="111"/>
      <c r="CQ41642" s="111"/>
      <c r="EF41642"/>
      <c r="EG41642"/>
      <c r="EH41642"/>
      <c r="EI41642"/>
      <c r="EJ41642"/>
      <c r="EK41642"/>
    </row>
    <row r="41643" spans="1:141" s="116" customFormat="1">
      <c r="A41643" s="136"/>
      <c r="CM41643" s="111"/>
      <c r="CQ41643" s="111"/>
      <c r="EF41643"/>
      <c r="EG41643"/>
      <c r="EH41643"/>
      <c r="EI41643"/>
      <c r="EJ41643"/>
      <c r="EK41643"/>
    </row>
    <row r="41644" spans="1:141" s="116" customFormat="1">
      <c r="A41644" s="136"/>
      <c r="CM41644" s="111"/>
      <c r="CQ41644" s="111"/>
      <c r="EF41644"/>
      <c r="EG41644"/>
      <c r="EH41644"/>
      <c r="EI41644"/>
      <c r="EJ41644"/>
      <c r="EK41644"/>
    </row>
    <row r="41645" spans="1:141" s="116" customFormat="1">
      <c r="A41645" s="136"/>
      <c r="CM41645" s="111"/>
      <c r="CQ41645" s="111"/>
      <c r="EF41645"/>
      <c r="EG41645"/>
      <c r="EH41645"/>
      <c r="EI41645"/>
      <c r="EJ41645"/>
      <c r="EK41645"/>
    </row>
    <row r="41646" spans="1:141" s="116" customFormat="1">
      <c r="A41646" s="136"/>
      <c r="CM41646" s="111"/>
      <c r="CQ41646" s="111"/>
      <c r="EF41646"/>
      <c r="EG41646"/>
      <c r="EH41646"/>
      <c r="EI41646"/>
      <c r="EJ41646"/>
      <c r="EK41646"/>
    </row>
    <row r="41647" spans="1:141" s="116" customFormat="1">
      <c r="A41647" s="136"/>
      <c r="CM41647" s="111"/>
      <c r="CQ41647" s="111"/>
      <c r="EF41647"/>
      <c r="EG41647"/>
      <c r="EH41647"/>
      <c r="EI41647"/>
      <c r="EJ41647"/>
      <c r="EK41647"/>
    </row>
    <row r="41648" spans="1:141" s="116" customFormat="1">
      <c r="A41648" s="136"/>
      <c r="CM41648" s="111"/>
      <c r="CQ41648" s="111"/>
      <c r="EF41648"/>
      <c r="EG41648"/>
      <c r="EH41648"/>
      <c r="EI41648"/>
      <c r="EJ41648"/>
      <c r="EK41648"/>
    </row>
    <row r="41649" spans="1:141" s="116" customFormat="1">
      <c r="A41649" s="136"/>
      <c r="CM41649" s="111"/>
      <c r="CQ41649" s="111"/>
      <c r="EF41649"/>
      <c r="EG41649"/>
      <c r="EH41649"/>
      <c r="EI41649"/>
      <c r="EJ41649"/>
      <c r="EK41649"/>
    </row>
    <row r="41650" spans="1:141" s="116" customFormat="1">
      <c r="A41650" s="136"/>
      <c r="CM41650" s="111"/>
      <c r="CQ41650" s="111"/>
      <c r="EF41650"/>
      <c r="EG41650"/>
      <c r="EH41650"/>
      <c r="EI41650"/>
      <c r="EJ41650"/>
      <c r="EK41650"/>
    </row>
    <row r="41651" spans="1:141" s="116" customFormat="1">
      <c r="A41651" s="136"/>
      <c r="CM41651" s="111"/>
      <c r="CQ41651" s="111"/>
      <c r="EF41651"/>
      <c r="EG41651"/>
      <c r="EH41651"/>
      <c r="EI41651"/>
      <c r="EJ41651"/>
      <c r="EK41651"/>
    </row>
    <row r="41652" spans="1:141" s="116" customFormat="1">
      <c r="A41652" s="136"/>
      <c r="CM41652" s="111"/>
      <c r="CQ41652" s="111"/>
      <c r="EF41652"/>
      <c r="EG41652"/>
      <c r="EH41652"/>
      <c r="EI41652"/>
      <c r="EJ41652"/>
      <c r="EK41652"/>
    </row>
    <row r="41653" spans="1:141" s="116" customFormat="1">
      <c r="A41653" s="136"/>
      <c r="CM41653" s="111"/>
      <c r="CQ41653" s="111"/>
      <c r="EF41653"/>
      <c r="EG41653"/>
      <c r="EH41653"/>
      <c r="EI41653"/>
      <c r="EJ41653"/>
      <c r="EK41653"/>
    </row>
    <row r="41654" spans="1:141" s="116" customFormat="1">
      <c r="A41654" s="136"/>
      <c r="CM41654" s="111"/>
      <c r="CQ41654" s="111"/>
      <c r="EF41654"/>
      <c r="EG41654"/>
      <c r="EH41654"/>
      <c r="EI41654"/>
      <c r="EJ41654"/>
      <c r="EK41654"/>
    </row>
    <row r="41655" spans="1:141" s="116" customFormat="1">
      <c r="A41655" s="136"/>
      <c r="CM41655" s="111"/>
      <c r="CQ41655" s="111"/>
      <c r="EF41655"/>
      <c r="EG41655"/>
      <c r="EH41655"/>
      <c r="EI41655"/>
      <c r="EJ41655"/>
      <c r="EK41655"/>
    </row>
    <row r="41656" spans="1:141" s="116" customFormat="1">
      <c r="A41656" s="136"/>
      <c r="CM41656" s="111"/>
      <c r="CQ41656" s="111"/>
      <c r="EF41656"/>
      <c r="EG41656"/>
      <c r="EH41656"/>
      <c r="EI41656"/>
      <c r="EJ41656"/>
      <c r="EK41656"/>
    </row>
    <row r="41657" spans="1:141" s="116" customFormat="1">
      <c r="A41657" s="136"/>
      <c r="CM41657" s="111"/>
      <c r="CQ41657" s="111"/>
      <c r="EF41657"/>
      <c r="EG41657"/>
      <c r="EH41657"/>
      <c r="EI41657"/>
      <c r="EJ41657"/>
      <c r="EK41657"/>
    </row>
    <row r="41658" spans="1:141" s="116" customFormat="1">
      <c r="A41658" s="136"/>
      <c r="CM41658" s="111"/>
      <c r="CQ41658" s="111"/>
      <c r="EF41658"/>
      <c r="EG41658"/>
      <c r="EH41658"/>
      <c r="EI41658"/>
      <c r="EJ41658"/>
      <c r="EK41658"/>
    </row>
    <row r="41659" spans="1:141" s="116" customFormat="1">
      <c r="A41659" s="136"/>
      <c r="CM41659" s="111"/>
      <c r="CQ41659" s="111"/>
      <c r="EF41659"/>
      <c r="EG41659"/>
      <c r="EH41659"/>
      <c r="EI41659"/>
      <c r="EJ41659"/>
      <c r="EK41659"/>
    </row>
    <row r="41660" spans="1:141" s="116" customFormat="1">
      <c r="A41660" s="136"/>
      <c r="CM41660" s="111"/>
      <c r="CQ41660" s="111"/>
      <c r="EF41660"/>
      <c r="EG41660"/>
      <c r="EH41660"/>
      <c r="EI41660"/>
      <c r="EJ41660"/>
      <c r="EK41660"/>
    </row>
    <row r="41661" spans="1:141" s="116" customFormat="1">
      <c r="A41661" s="136"/>
      <c r="CM41661" s="111"/>
      <c r="CQ41661" s="111"/>
      <c r="EF41661"/>
      <c r="EG41661"/>
      <c r="EH41661"/>
      <c r="EI41661"/>
      <c r="EJ41661"/>
      <c r="EK41661"/>
    </row>
    <row r="41662" spans="1:141" s="116" customFormat="1">
      <c r="A41662" s="136"/>
      <c r="CM41662" s="111"/>
      <c r="CQ41662" s="111"/>
      <c r="EF41662"/>
      <c r="EG41662"/>
      <c r="EH41662"/>
      <c r="EI41662"/>
      <c r="EJ41662"/>
      <c r="EK41662"/>
    </row>
    <row r="41663" spans="1:141" s="116" customFormat="1">
      <c r="A41663" s="136"/>
      <c r="CM41663" s="111"/>
      <c r="CQ41663" s="111"/>
      <c r="EF41663"/>
      <c r="EG41663"/>
      <c r="EH41663"/>
      <c r="EI41663"/>
      <c r="EJ41663"/>
      <c r="EK41663"/>
    </row>
    <row r="41664" spans="1:141" s="116" customFormat="1">
      <c r="A41664" s="136"/>
      <c r="CM41664" s="111"/>
      <c r="CQ41664" s="111"/>
      <c r="EF41664"/>
      <c r="EG41664"/>
      <c r="EH41664"/>
      <c r="EI41664"/>
      <c r="EJ41664"/>
      <c r="EK41664"/>
    </row>
    <row r="41665" spans="1:141" s="116" customFormat="1">
      <c r="A41665" s="136"/>
      <c r="CM41665" s="111"/>
      <c r="CQ41665" s="111"/>
      <c r="EF41665"/>
      <c r="EG41665"/>
      <c r="EH41665"/>
      <c r="EI41665"/>
      <c r="EJ41665"/>
      <c r="EK41665"/>
    </row>
    <row r="41666" spans="1:141" s="116" customFormat="1">
      <c r="A41666" s="136"/>
      <c r="CM41666" s="111"/>
      <c r="CQ41666" s="111"/>
      <c r="EF41666"/>
      <c r="EG41666"/>
      <c r="EH41666"/>
      <c r="EI41666"/>
      <c r="EJ41666"/>
      <c r="EK41666"/>
    </row>
    <row r="41667" spans="1:141" s="116" customFormat="1">
      <c r="A41667" s="136"/>
      <c r="CM41667" s="111"/>
      <c r="CQ41667" s="111"/>
      <c r="EF41667"/>
      <c r="EG41667"/>
      <c r="EH41667"/>
      <c r="EI41667"/>
      <c r="EJ41667"/>
      <c r="EK41667"/>
    </row>
    <row r="41668" spans="1:141" s="116" customFormat="1">
      <c r="A41668" s="136"/>
      <c r="CM41668" s="111"/>
      <c r="CQ41668" s="111"/>
      <c r="EF41668"/>
      <c r="EG41668"/>
      <c r="EH41668"/>
      <c r="EI41668"/>
      <c r="EJ41668"/>
      <c r="EK41668"/>
    </row>
    <row r="41669" spans="1:141" s="116" customFormat="1">
      <c r="A41669" s="136"/>
      <c r="CM41669" s="111"/>
      <c r="CQ41669" s="111"/>
      <c r="EF41669"/>
      <c r="EG41669"/>
      <c r="EH41669"/>
      <c r="EI41669"/>
      <c r="EJ41669"/>
      <c r="EK41669"/>
    </row>
    <row r="41670" spans="1:141" s="116" customFormat="1">
      <c r="A41670" s="136"/>
      <c r="CM41670" s="111"/>
      <c r="CQ41670" s="111"/>
      <c r="EF41670"/>
      <c r="EG41670"/>
      <c r="EH41670"/>
      <c r="EI41670"/>
      <c r="EJ41670"/>
      <c r="EK41670"/>
    </row>
    <row r="41671" spans="1:141" s="116" customFormat="1">
      <c r="A41671" s="136"/>
      <c r="CM41671" s="111"/>
      <c r="CQ41671" s="111"/>
      <c r="EF41671"/>
      <c r="EG41671"/>
      <c r="EH41671"/>
      <c r="EI41671"/>
      <c r="EJ41671"/>
      <c r="EK41671"/>
    </row>
    <row r="41672" spans="1:141" s="116" customFormat="1">
      <c r="A41672" s="136"/>
      <c r="CM41672" s="111"/>
      <c r="CQ41672" s="111"/>
      <c r="EF41672"/>
      <c r="EG41672"/>
      <c r="EH41672"/>
      <c r="EI41672"/>
      <c r="EJ41672"/>
      <c r="EK41672"/>
    </row>
    <row r="41673" spans="1:141" s="116" customFormat="1">
      <c r="A41673" s="136"/>
      <c r="CM41673" s="111"/>
      <c r="CQ41673" s="111"/>
      <c r="EF41673"/>
      <c r="EG41673"/>
      <c r="EH41673"/>
      <c r="EI41673"/>
      <c r="EJ41673"/>
      <c r="EK41673"/>
    </row>
    <row r="41674" spans="1:141" s="116" customFormat="1">
      <c r="A41674" s="136"/>
      <c r="CM41674" s="111"/>
      <c r="CQ41674" s="111"/>
      <c r="EF41674"/>
      <c r="EG41674"/>
      <c r="EH41674"/>
      <c r="EI41674"/>
      <c r="EJ41674"/>
      <c r="EK41674"/>
    </row>
    <row r="41675" spans="1:141" s="116" customFormat="1">
      <c r="A41675" s="136"/>
      <c r="CM41675" s="111"/>
      <c r="CQ41675" s="111"/>
      <c r="EF41675"/>
      <c r="EG41675"/>
      <c r="EH41675"/>
      <c r="EI41675"/>
      <c r="EJ41675"/>
      <c r="EK41675"/>
    </row>
    <row r="41676" spans="1:141" s="116" customFormat="1">
      <c r="A41676" s="136"/>
      <c r="CM41676" s="111"/>
      <c r="CQ41676" s="111"/>
      <c r="EF41676"/>
      <c r="EG41676"/>
      <c r="EH41676"/>
      <c r="EI41676"/>
      <c r="EJ41676"/>
      <c r="EK41676"/>
    </row>
    <row r="41677" spans="1:141" s="116" customFormat="1">
      <c r="A41677" s="136"/>
      <c r="CM41677" s="111"/>
      <c r="CQ41677" s="111"/>
      <c r="EF41677"/>
      <c r="EG41677"/>
      <c r="EH41677"/>
      <c r="EI41677"/>
      <c r="EJ41677"/>
      <c r="EK41677"/>
    </row>
    <row r="41678" spans="1:141" s="116" customFormat="1">
      <c r="A41678" s="136"/>
      <c r="CM41678" s="111"/>
      <c r="CQ41678" s="111"/>
      <c r="EF41678"/>
      <c r="EG41678"/>
      <c r="EH41678"/>
      <c r="EI41678"/>
      <c r="EJ41678"/>
      <c r="EK41678"/>
    </row>
    <row r="41679" spans="1:141" s="116" customFormat="1">
      <c r="A41679" s="136"/>
      <c r="CM41679" s="111"/>
      <c r="CQ41679" s="111"/>
      <c r="EF41679"/>
      <c r="EG41679"/>
      <c r="EH41679"/>
      <c r="EI41679"/>
      <c r="EJ41679"/>
      <c r="EK41679"/>
    </row>
    <row r="41680" spans="1:141" s="116" customFormat="1">
      <c r="A41680" s="136"/>
      <c r="CM41680" s="111"/>
      <c r="CQ41680" s="111"/>
      <c r="EF41680"/>
      <c r="EG41680"/>
      <c r="EH41680"/>
      <c r="EI41680"/>
      <c r="EJ41680"/>
      <c r="EK41680"/>
    </row>
    <row r="41681" spans="1:141" s="116" customFormat="1">
      <c r="A41681" s="136"/>
      <c r="CM41681" s="111"/>
      <c r="CQ41681" s="111"/>
      <c r="EF41681"/>
      <c r="EG41681"/>
      <c r="EH41681"/>
      <c r="EI41681"/>
      <c r="EJ41681"/>
      <c r="EK41681"/>
    </row>
    <row r="41682" spans="1:141" s="116" customFormat="1">
      <c r="A41682" s="136"/>
      <c r="CM41682" s="111"/>
      <c r="CQ41682" s="111"/>
      <c r="EF41682"/>
      <c r="EG41682"/>
      <c r="EH41682"/>
      <c r="EI41682"/>
      <c r="EJ41682"/>
      <c r="EK41682"/>
    </row>
    <row r="41683" spans="1:141" s="116" customFormat="1">
      <c r="A41683" s="136"/>
      <c r="CM41683" s="111"/>
      <c r="CQ41683" s="111"/>
      <c r="EF41683"/>
      <c r="EG41683"/>
      <c r="EH41683"/>
      <c r="EI41683"/>
      <c r="EJ41683"/>
      <c r="EK41683"/>
    </row>
    <row r="41684" spans="1:141" s="116" customFormat="1">
      <c r="A41684" s="136"/>
      <c r="CM41684" s="111"/>
      <c r="CQ41684" s="111"/>
      <c r="EF41684"/>
      <c r="EG41684"/>
      <c r="EH41684"/>
      <c r="EI41684"/>
      <c r="EJ41684"/>
      <c r="EK41684"/>
    </row>
    <row r="41685" spans="1:141" s="116" customFormat="1">
      <c r="A41685" s="136"/>
      <c r="CM41685" s="111"/>
      <c r="CQ41685" s="111"/>
      <c r="EF41685"/>
      <c r="EG41685"/>
      <c r="EH41685"/>
      <c r="EI41685"/>
      <c r="EJ41685"/>
      <c r="EK41685"/>
    </row>
    <row r="41686" spans="1:141" s="116" customFormat="1">
      <c r="A41686" s="136"/>
      <c r="CM41686" s="111"/>
      <c r="CQ41686" s="111"/>
      <c r="EF41686"/>
      <c r="EG41686"/>
      <c r="EH41686"/>
      <c r="EI41686"/>
      <c r="EJ41686"/>
      <c r="EK41686"/>
    </row>
    <row r="41687" spans="1:141" s="116" customFormat="1">
      <c r="A41687" s="136"/>
      <c r="CM41687" s="111"/>
      <c r="CQ41687" s="111"/>
      <c r="EF41687"/>
      <c r="EG41687"/>
      <c r="EH41687"/>
      <c r="EI41687"/>
      <c r="EJ41687"/>
      <c r="EK41687"/>
    </row>
    <row r="41688" spans="1:141" s="116" customFormat="1">
      <c r="A41688" s="136"/>
      <c r="CM41688" s="111"/>
      <c r="CQ41688" s="111"/>
      <c r="EF41688"/>
      <c r="EG41688"/>
      <c r="EH41688"/>
      <c r="EI41688"/>
      <c r="EJ41688"/>
      <c r="EK41688"/>
    </row>
    <row r="41689" spans="1:141" s="116" customFormat="1">
      <c r="A41689" s="136"/>
      <c r="CM41689" s="111"/>
      <c r="CQ41689" s="111"/>
      <c r="EF41689"/>
      <c r="EG41689"/>
      <c r="EH41689"/>
      <c r="EI41689"/>
      <c r="EJ41689"/>
      <c r="EK41689"/>
    </row>
    <row r="41690" spans="1:141" s="116" customFormat="1">
      <c r="A41690" s="136"/>
      <c r="CM41690" s="111"/>
      <c r="CQ41690" s="111"/>
      <c r="EF41690"/>
      <c r="EG41690"/>
      <c r="EH41690"/>
      <c r="EI41690"/>
      <c r="EJ41690"/>
      <c r="EK41690"/>
    </row>
    <row r="41691" spans="1:141" s="116" customFormat="1">
      <c r="A41691" s="136"/>
      <c r="CM41691" s="111"/>
      <c r="CQ41691" s="111"/>
      <c r="EF41691"/>
      <c r="EG41691"/>
      <c r="EH41691"/>
      <c r="EI41691"/>
      <c r="EJ41691"/>
      <c r="EK41691"/>
    </row>
    <row r="41692" spans="1:141" s="116" customFormat="1">
      <c r="A41692" s="136"/>
      <c r="CM41692" s="111"/>
      <c r="CQ41692" s="111"/>
      <c r="EF41692"/>
      <c r="EG41692"/>
      <c r="EH41692"/>
      <c r="EI41692"/>
      <c r="EJ41692"/>
      <c r="EK41692"/>
    </row>
    <row r="41693" spans="1:141" s="116" customFormat="1">
      <c r="A41693" s="136"/>
      <c r="CM41693" s="111"/>
      <c r="CQ41693" s="111"/>
      <c r="EF41693"/>
      <c r="EG41693"/>
      <c r="EH41693"/>
      <c r="EI41693"/>
      <c r="EJ41693"/>
      <c r="EK41693"/>
    </row>
    <row r="41694" spans="1:141" s="116" customFormat="1">
      <c r="A41694" s="136"/>
      <c r="CM41694" s="111"/>
      <c r="CQ41694" s="111"/>
      <c r="EF41694"/>
      <c r="EG41694"/>
      <c r="EH41694"/>
      <c r="EI41694"/>
      <c r="EJ41694"/>
      <c r="EK41694"/>
    </row>
    <row r="41695" spans="1:141" s="116" customFormat="1">
      <c r="A41695" s="136"/>
      <c r="CM41695" s="111"/>
      <c r="CQ41695" s="111"/>
      <c r="EF41695"/>
      <c r="EG41695"/>
      <c r="EH41695"/>
      <c r="EI41695"/>
      <c r="EJ41695"/>
      <c r="EK41695"/>
    </row>
    <row r="41696" spans="1:141" s="116" customFormat="1">
      <c r="A41696" s="136"/>
      <c r="CM41696" s="111"/>
      <c r="CQ41696" s="111"/>
      <c r="EF41696"/>
      <c r="EG41696"/>
      <c r="EH41696"/>
      <c r="EI41696"/>
      <c r="EJ41696"/>
      <c r="EK41696"/>
    </row>
    <row r="41697" spans="1:141" s="116" customFormat="1">
      <c r="A41697" s="136"/>
      <c r="CM41697" s="111"/>
      <c r="CQ41697" s="111"/>
      <c r="EF41697"/>
      <c r="EG41697"/>
      <c r="EH41697"/>
      <c r="EI41697"/>
      <c r="EJ41697"/>
      <c r="EK41697"/>
    </row>
    <row r="41698" spans="1:141" s="116" customFormat="1">
      <c r="A41698" s="136"/>
      <c r="CM41698" s="111"/>
      <c r="CQ41698" s="111"/>
      <c r="EF41698"/>
      <c r="EG41698"/>
      <c r="EH41698"/>
      <c r="EI41698"/>
      <c r="EJ41698"/>
      <c r="EK41698"/>
    </row>
    <row r="41699" spans="1:141" s="116" customFormat="1">
      <c r="A41699" s="136"/>
      <c r="CM41699" s="111"/>
      <c r="CQ41699" s="111"/>
      <c r="EF41699"/>
      <c r="EG41699"/>
      <c r="EH41699"/>
      <c r="EI41699"/>
      <c r="EJ41699"/>
      <c r="EK41699"/>
    </row>
    <row r="41700" spans="1:141" s="116" customFormat="1">
      <c r="A41700" s="136"/>
      <c r="CM41700" s="111"/>
      <c r="CQ41700" s="111"/>
      <c r="EF41700"/>
      <c r="EG41700"/>
      <c r="EH41700"/>
      <c r="EI41700"/>
      <c r="EJ41700"/>
      <c r="EK41700"/>
    </row>
    <row r="41701" spans="1:141" s="116" customFormat="1">
      <c r="A41701" s="136"/>
      <c r="CM41701" s="111"/>
      <c r="CQ41701" s="111"/>
      <c r="EF41701"/>
      <c r="EG41701"/>
      <c r="EH41701"/>
      <c r="EI41701"/>
      <c r="EJ41701"/>
      <c r="EK41701"/>
    </row>
    <row r="41702" spans="1:141" s="116" customFormat="1">
      <c r="A41702" s="136"/>
      <c r="CM41702" s="111"/>
      <c r="CQ41702" s="111"/>
      <c r="EF41702"/>
      <c r="EG41702"/>
      <c r="EH41702"/>
      <c r="EI41702"/>
      <c r="EJ41702"/>
      <c r="EK41702"/>
    </row>
    <row r="41703" spans="1:141" s="116" customFormat="1">
      <c r="A41703" s="136"/>
      <c r="CM41703" s="111"/>
      <c r="CQ41703" s="111"/>
      <c r="EF41703"/>
      <c r="EG41703"/>
      <c r="EH41703"/>
      <c r="EI41703"/>
      <c r="EJ41703"/>
      <c r="EK41703"/>
    </row>
    <row r="41704" spans="1:141" s="116" customFormat="1">
      <c r="A41704" s="136"/>
      <c r="CM41704" s="111"/>
      <c r="CQ41704" s="111"/>
      <c r="EF41704"/>
      <c r="EG41704"/>
      <c r="EH41704"/>
      <c r="EI41704"/>
      <c r="EJ41704"/>
      <c r="EK41704"/>
    </row>
    <row r="41705" spans="1:141" s="116" customFormat="1">
      <c r="A41705" s="136"/>
      <c r="CM41705" s="111"/>
      <c r="CQ41705" s="111"/>
      <c r="EF41705"/>
      <c r="EG41705"/>
      <c r="EH41705"/>
      <c r="EI41705"/>
      <c r="EJ41705"/>
      <c r="EK41705"/>
    </row>
    <row r="41706" spans="1:141" s="116" customFormat="1">
      <c r="A41706" s="136"/>
      <c r="CM41706" s="111"/>
      <c r="CQ41706" s="111"/>
      <c r="EF41706"/>
      <c r="EG41706"/>
      <c r="EH41706"/>
      <c r="EI41706"/>
      <c r="EJ41706"/>
      <c r="EK41706"/>
    </row>
    <row r="41707" spans="1:141" s="116" customFormat="1">
      <c r="A41707" s="136"/>
      <c r="CM41707" s="111"/>
      <c r="CQ41707" s="111"/>
      <c r="EF41707"/>
      <c r="EG41707"/>
      <c r="EH41707"/>
      <c r="EI41707"/>
      <c r="EJ41707"/>
      <c r="EK41707"/>
    </row>
    <row r="41708" spans="1:141" s="116" customFormat="1">
      <c r="A41708" s="136"/>
      <c r="CM41708" s="111"/>
      <c r="CQ41708" s="111"/>
      <c r="EF41708"/>
      <c r="EG41708"/>
      <c r="EH41708"/>
      <c r="EI41708"/>
      <c r="EJ41708"/>
      <c r="EK41708"/>
    </row>
    <row r="41709" spans="1:141" s="116" customFormat="1">
      <c r="A41709" s="136"/>
      <c r="CM41709" s="111"/>
      <c r="CQ41709" s="111"/>
      <c r="EF41709"/>
      <c r="EG41709"/>
      <c r="EH41709"/>
      <c r="EI41709"/>
      <c r="EJ41709"/>
      <c r="EK41709"/>
    </row>
    <row r="41710" spans="1:141" s="116" customFormat="1">
      <c r="A41710" s="136"/>
      <c r="CM41710" s="111"/>
      <c r="CQ41710" s="111"/>
      <c r="EF41710"/>
      <c r="EG41710"/>
      <c r="EH41710"/>
      <c r="EI41710"/>
      <c r="EJ41710"/>
      <c r="EK41710"/>
    </row>
    <row r="41711" spans="1:141" s="116" customFormat="1">
      <c r="A41711" s="136"/>
      <c r="CM41711" s="111"/>
      <c r="CQ41711" s="111"/>
      <c r="EF41711"/>
      <c r="EG41711"/>
      <c r="EH41711"/>
      <c r="EI41711"/>
      <c r="EJ41711"/>
      <c r="EK41711"/>
    </row>
    <row r="41712" spans="1:141" s="116" customFormat="1">
      <c r="A41712" s="136"/>
      <c r="CM41712" s="111"/>
      <c r="CQ41712" s="111"/>
      <c r="EF41712"/>
      <c r="EG41712"/>
      <c r="EH41712"/>
      <c r="EI41712"/>
      <c r="EJ41712"/>
      <c r="EK41712"/>
    </row>
    <row r="41713" spans="1:141" s="116" customFormat="1">
      <c r="A41713" s="136"/>
      <c r="CM41713" s="111"/>
      <c r="CQ41713" s="111"/>
      <c r="EF41713"/>
      <c r="EG41713"/>
      <c r="EH41713"/>
      <c r="EI41713"/>
      <c r="EJ41713"/>
      <c r="EK41713"/>
    </row>
    <row r="41714" spans="1:141" s="116" customFormat="1">
      <c r="A41714" s="136"/>
      <c r="CM41714" s="111"/>
      <c r="CQ41714" s="111"/>
      <c r="EF41714"/>
      <c r="EG41714"/>
      <c r="EH41714"/>
      <c r="EI41714"/>
      <c r="EJ41714"/>
      <c r="EK41714"/>
    </row>
    <row r="41715" spans="1:141" s="116" customFormat="1">
      <c r="A41715" s="136"/>
      <c r="CM41715" s="111"/>
      <c r="CQ41715" s="111"/>
      <c r="EF41715"/>
      <c r="EG41715"/>
      <c r="EH41715"/>
      <c r="EI41715"/>
      <c r="EJ41715"/>
      <c r="EK41715"/>
    </row>
    <row r="41716" spans="1:141" s="116" customFormat="1">
      <c r="A41716" s="136"/>
      <c r="CM41716" s="111"/>
      <c r="CQ41716" s="111"/>
      <c r="EF41716"/>
      <c r="EG41716"/>
      <c r="EH41716"/>
      <c r="EI41716"/>
      <c r="EJ41716"/>
      <c r="EK41716"/>
    </row>
    <row r="41717" spans="1:141" s="116" customFormat="1">
      <c r="A41717" s="136"/>
      <c r="CM41717" s="111"/>
      <c r="CQ41717" s="111"/>
      <c r="EF41717"/>
      <c r="EG41717"/>
      <c r="EH41717"/>
      <c r="EI41717"/>
      <c r="EJ41717"/>
      <c r="EK41717"/>
    </row>
    <row r="41718" spans="1:141" s="116" customFormat="1">
      <c r="A41718" s="136"/>
      <c r="CM41718" s="111"/>
      <c r="CQ41718" s="111"/>
      <c r="EF41718"/>
      <c r="EG41718"/>
      <c r="EH41718"/>
      <c r="EI41718"/>
      <c r="EJ41718"/>
      <c r="EK41718"/>
    </row>
    <row r="41719" spans="1:141" s="116" customFormat="1">
      <c r="A41719" s="136"/>
      <c r="CM41719" s="111"/>
      <c r="CQ41719" s="111"/>
      <c r="EF41719"/>
      <c r="EG41719"/>
      <c r="EH41719"/>
      <c r="EI41719"/>
      <c r="EJ41719"/>
      <c r="EK41719"/>
    </row>
    <row r="41720" spans="1:141" s="116" customFormat="1">
      <c r="A41720" s="136"/>
      <c r="CM41720" s="111"/>
      <c r="CQ41720" s="111"/>
      <c r="EF41720"/>
      <c r="EG41720"/>
      <c r="EH41720"/>
      <c r="EI41720"/>
      <c r="EJ41720"/>
      <c r="EK41720"/>
    </row>
    <row r="41721" spans="1:141" s="116" customFormat="1">
      <c r="A41721" s="136"/>
      <c r="CM41721" s="111"/>
      <c r="CQ41721" s="111"/>
      <c r="EF41721"/>
      <c r="EG41721"/>
      <c r="EH41721"/>
      <c r="EI41721"/>
      <c r="EJ41721"/>
      <c r="EK41721"/>
    </row>
    <row r="41722" spans="1:141" s="116" customFormat="1">
      <c r="A41722" s="136"/>
      <c r="CM41722" s="111"/>
      <c r="CQ41722" s="111"/>
      <c r="EF41722"/>
      <c r="EG41722"/>
      <c r="EH41722"/>
      <c r="EI41722"/>
      <c r="EJ41722"/>
      <c r="EK41722"/>
    </row>
    <row r="41723" spans="1:141" s="116" customFormat="1">
      <c r="A41723" s="136"/>
      <c r="CM41723" s="111"/>
      <c r="CQ41723" s="111"/>
      <c r="EF41723"/>
      <c r="EG41723"/>
      <c r="EH41723"/>
      <c r="EI41723"/>
      <c r="EJ41723"/>
      <c r="EK41723"/>
    </row>
    <row r="41724" spans="1:141" s="116" customFormat="1">
      <c r="A41724" s="136"/>
      <c r="CM41724" s="111"/>
      <c r="CQ41724" s="111"/>
      <c r="EF41724"/>
      <c r="EG41724"/>
      <c r="EH41724"/>
      <c r="EI41724"/>
      <c r="EJ41724"/>
      <c r="EK41724"/>
    </row>
    <row r="41725" spans="1:141" s="116" customFormat="1">
      <c r="A41725" s="136"/>
      <c r="CM41725" s="111"/>
      <c r="CQ41725" s="111"/>
      <c r="EF41725"/>
      <c r="EG41725"/>
      <c r="EH41725"/>
      <c r="EI41725"/>
      <c r="EJ41725"/>
      <c r="EK41725"/>
    </row>
    <row r="41726" spans="1:141" s="116" customFormat="1">
      <c r="A41726" s="136"/>
      <c r="CM41726" s="111"/>
      <c r="CQ41726" s="111"/>
      <c r="EF41726"/>
      <c r="EG41726"/>
      <c r="EH41726"/>
      <c r="EI41726"/>
      <c r="EJ41726"/>
      <c r="EK41726"/>
    </row>
    <row r="41727" spans="1:141" s="116" customFormat="1">
      <c r="A41727" s="136"/>
      <c r="CM41727" s="111"/>
      <c r="CQ41727" s="111"/>
      <c r="EF41727"/>
      <c r="EG41727"/>
      <c r="EH41727"/>
      <c r="EI41727"/>
      <c r="EJ41727"/>
      <c r="EK41727"/>
    </row>
    <row r="41728" spans="1:141" s="116" customFormat="1">
      <c r="A41728" s="136"/>
      <c r="CM41728" s="111"/>
      <c r="CQ41728" s="111"/>
      <c r="EF41728"/>
      <c r="EG41728"/>
      <c r="EH41728"/>
      <c r="EI41728"/>
      <c r="EJ41728"/>
      <c r="EK41728"/>
    </row>
    <row r="41729" spans="1:141" s="116" customFormat="1">
      <c r="A41729" s="136"/>
      <c r="CM41729" s="111"/>
      <c r="CQ41729" s="111"/>
      <c r="EF41729"/>
      <c r="EG41729"/>
      <c r="EH41729"/>
      <c r="EI41729"/>
      <c r="EJ41729"/>
      <c r="EK41729"/>
    </row>
    <row r="41730" spans="1:141" s="116" customFormat="1">
      <c r="A41730" s="136"/>
      <c r="CM41730" s="111"/>
      <c r="CQ41730" s="111"/>
      <c r="EF41730"/>
      <c r="EG41730"/>
      <c r="EH41730"/>
      <c r="EI41730"/>
      <c r="EJ41730"/>
      <c r="EK41730"/>
    </row>
    <row r="41731" spans="1:141" s="116" customFormat="1">
      <c r="A41731" s="136"/>
      <c r="CM41731" s="111"/>
      <c r="CQ41731" s="111"/>
      <c r="EF41731"/>
      <c r="EG41731"/>
      <c r="EH41731"/>
      <c r="EI41731"/>
      <c r="EJ41731"/>
      <c r="EK41731"/>
    </row>
    <row r="41732" spans="1:141" s="116" customFormat="1">
      <c r="A41732" s="136"/>
      <c r="CM41732" s="111"/>
      <c r="CQ41732" s="111"/>
      <c r="EF41732"/>
      <c r="EG41732"/>
      <c r="EH41732"/>
      <c r="EI41732"/>
      <c r="EJ41732"/>
      <c r="EK41732"/>
    </row>
    <row r="41733" spans="1:141" s="116" customFormat="1">
      <c r="A41733" s="136"/>
      <c r="CM41733" s="111"/>
      <c r="CQ41733" s="111"/>
      <c r="EF41733"/>
      <c r="EG41733"/>
      <c r="EH41733"/>
      <c r="EI41733"/>
      <c r="EJ41733"/>
      <c r="EK41733"/>
    </row>
    <row r="41734" spans="1:141" s="116" customFormat="1">
      <c r="A41734" s="136"/>
      <c r="CM41734" s="111"/>
      <c r="CQ41734" s="111"/>
      <c r="EF41734"/>
      <c r="EG41734"/>
      <c r="EH41734"/>
      <c r="EI41734"/>
      <c r="EJ41734"/>
      <c r="EK41734"/>
    </row>
    <row r="41735" spans="1:141" s="116" customFormat="1">
      <c r="A41735" s="136"/>
      <c r="CM41735" s="111"/>
      <c r="CQ41735" s="111"/>
      <c r="EF41735"/>
      <c r="EG41735"/>
      <c r="EH41735"/>
      <c r="EI41735"/>
      <c r="EJ41735"/>
      <c r="EK41735"/>
    </row>
    <row r="41736" spans="1:141" s="116" customFormat="1">
      <c r="A41736" s="136"/>
      <c r="CM41736" s="111"/>
      <c r="CQ41736" s="111"/>
      <c r="EF41736"/>
      <c r="EG41736"/>
      <c r="EH41736"/>
      <c r="EI41736"/>
      <c r="EJ41736"/>
      <c r="EK41736"/>
    </row>
    <row r="41737" spans="1:141" s="116" customFormat="1">
      <c r="A41737" s="136"/>
      <c r="CM41737" s="111"/>
      <c r="CQ41737" s="111"/>
      <c r="EF41737"/>
      <c r="EG41737"/>
      <c r="EH41737"/>
      <c r="EI41737"/>
      <c r="EJ41737"/>
      <c r="EK41737"/>
    </row>
    <row r="41738" spans="1:141" s="116" customFormat="1">
      <c r="A41738" s="136"/>
      <c r="CM41738" s="111"/>
      <c r="CQ41738" s="111"/>
      <c r="EF41738"/>
      <c r="EG41738"/>
      <c r="EH41738"/>
      <c r="EI41738"/>
      <c r="EJ41738"/>
      <c r="EK41738"/>
    </row>
    <row r="41739" spans="1:141" s="116" customFormat="1">
      <c r="A41739" s="136"/>
      <c r="CM41739" s="111"/>
      <c r="CQ41739" s="111"/>
      <c r="EF41739"/>
      <c r="EG41739"/>
      <c r="EH41739"/>
      <c r="EI41739"/>
      <c r="EJ41739"/>
      <c r="EK41739"/>
    </row>
    <row r="41740" spans="1:141" s="116" customFormat="1">
      <c r="A41740" s="136"/>
      <c r="CM41740" s="111"/>
      <c r="CQ41740" s="111"/>
      <c r="EF41740"/>
      <c r="EG41740"/>
      <c r="EH41740"/>
      <c r="EI41740"/>
      <c r="EJ41740"/>
      <c r="EK41740"/>
    </row>
    <row r="41741" spans="1:141" s="116" customFormat="1">
      <c r="A41741" s="136"/>
      <c r="CM41741" s="111"/>
      <c r="CQ41741" s="111"/>
      <c r="EF41741"/>
      <c r="EG41741"/>
      <c r="EH41741"/>
      <c r="EI41741"/>
      <c r="EJ41741"/>
      <c r="EK41741"/>
    </row>
    <row r="41742" spans="1:141" s="116" customFormat="1">
      <c r="A41742" s="136"/>
      <c r="CM41742" s="111"/>
      <c r="CQ41742" s="111"/>
      <c r="EF41742"/>
      <c r="EG41742"/>
      <c r="EH41742"/>
      <c r="EI41742"/>
      <c r="EJ41742"/>
      <c r="EK41742"/>
    </row>
    <row r="41743" spans="1:141" s="116" customFormat="1">
      <c r="A41743" s="136"/>
      <c r="CM41743" s="111"/>
      <c r="CQ41743" s="111"/>
      <c r="EF41743"/>
      <c r="EG41743"/>
      <c r="EH41743"/>
      <c r="EI41743"/>
      <c r="EJ41743"/>
      <c r="EK41743"/>
    </row>
    <row r="41744" spans="1:141" s="116" customFormat="1">
      <c r="A41744" s="136"/>
      <c r="CM41744" s="111"/>
      <c r="CQ41744" s="111"/>
      <c r="EF41744"/>
      <c r="EG41744"/>
      <c r="EH41744"/>
      <c r="EI41744"/>
      <c r="EJ41744"/>
      <c r="EK41744"/>
    </row>
    <row r="41745" spans="1:141" s="116" customFormat="1">
      <c r="A41745" s="136"/>
      <c r="CM41745" s="111"/>
      <c r="CQ41745" s="111"/>
      <c r="EF41745"/>
      <c r="EG41745"/>
      <c r="EH41745"/>
      <c r="EI41745"/>
      <c r="EJ41745"/>
      <c r="EK41745"/>
    </row>
    <row r="41746" spans="1:141" s="116" customFormat="1">
      <c r="A41746" s="136"/>
      <c r="CM41746" s="111"/>
      <c r="CQ41746" s="111"/>
      <c r="EF41746"/>
      <c r="EG41746"/>
      <c r="EH41746"/>
      <c r="EI41746"/>
      <c r="EJ41746"/>
      <c r="EK41746"/>
    </row>
    <row r="41747" spans="1:141" s="116" customFormat="1">
      <c r="A41747" s="136"/>
      <c r="CM41747" s="111"/>
      <c r="CQ41747" s="111"/>
      <c r="EF41747"/>
      <c r="EG41747"/>
      <c r="EH41747"/>
      <c r="EI41747"/>
      <c r="EJ41747"/>
      <c r="EK41747"/>
    </row>
    <row r="41748" spans="1:141" s="116" customFormat="1">
      <c r="A41748" s="136"/>
      <c r="CM41748" s="111"/>
      <c r="CQ41748" s="111"/>
      <c r="EF41748"/>
      <c r="EG41748"/>
      <c r="EH41748"/>
      <c r="EI41748"/>
      <c r="EJ41748"/>
      <c r="EK41748"/>
    </row>
    <row r="41749" spans="1:141" s="116" customFormat="1">
      <c r="A41749" s="136"/>
      <c r="CM41749" s="111"/>
      <c r="CQ41749" s="111"/>
      <c r="EF41749"/>
      <c r="EG41749"/>
      <c r="EH41749"/>
      <c r="EI41749"/>
      <c r="EJ41749"/>
      <c r="EK41749"/>
    </row>
    <row r="41750" spans="1:141" s="116" customFormat="1">
      <c r="A41750" s="136"/>
      <c r="CM41750" s="111"/>
      <c r="CQ41750" s="111"/>
      <c r="EF41750"/>
      <c r="EG41750"/>
      <c r="EH41750"/>
      <c r="EI41750"/>
      <c r="EJ41750"/>
      <c r="EK41750"/>
    </row>
    <row r="41751" spans="1:141" s="116" customFormat="1">
      <c r="A41751" s="136"/>
      <c r="CM41751" s="111"/>
      <c r="CQ41751" s="111"/>
      <c r="EF41751"/>
      <c r="EG41751"/>
      <c r="EH41751"/>
      <c r="EI41751"/>
      <c r="EJ41751"/>
      <c r="EK41751"/>
    </row>
    <row r="41752" spans="1:141" s="116" customFormat="1">
      <c r="A41752" s="136"/>
      <c r="CM41752" s="111"/>
      <c r="CQ41752" s="111"/>
      <c r="EF41752"/>
      <c r="EG41752"/>
      <c r="EH41752"/>
      <c r="EI41752"/>
      <c r="EJ41752"/>
      <c r="EK41752"/>
    </row>
    <row r="41753" spans="1:141" s="116" customFormat="1">
      <c r="A41753" s="136"/>
      <c r="CM41753" s="111"/>
      <c r="CQ41753" s="111"/>
      <c r="EF41753"/>
      <c r="EG41753"/>
      <c r="EH41753"/>
      <c r="EI41753"/>
      <c r="EJ41753"/>
      <c r="EK41753"/>
    </row>
    <row r="41754" spans="1:141" s="116" customFormat="1">
      <c r="A41754" s="136"/>
      <c r="CM41754" s="111"/>
      <c r="CQ41754" s="111"/>
      <c r="EF41754"/>
      <c r="EG41754"/>
      <c r="EH41754"/>
      <c r="EI41754"/>
      <c r="EJ41754"/>
      <c r="EK41754"/>
    </row>
    <row r="41755" spans="1:141" s="116" customFormat="1">
      <c r="A41755" s="136"/>
      <c r="CM41755" s="111"/>
      <c r="CQ41755" s="111"/>
      <c r="EF41755"/>
      <c r="EG41755"/>
      <c r="EH41755"/>
      <c r="EI41755"/>
      <c r="EJ41755"/>
      <c r="EK41755"/>
    </row>
    <row r="41756" spans="1:141" s="116" customFormat="1">
      <c r="A41756" s="136"/>
      <c r="CM41756" s="111"/>
      <c r="CQ41756" s="111"/>
      <c r="EF41756"/>
      <c r="EG41756"/>
      <c r="EH41756"/>
      <c r="EI41756"/>
      <c r="EJ41756"/>
      <c r="EK41756"/>
    </row>
    <row r="41757" spans="1:141" s="116" customFormat="1">
      <c r="A41757" s="136"/>
      <c r="CM41757" s="111"/>
      <c r="CQ41757" s="111"/>
      <c r="EF41757"/>
      <c r="EG41757"/>
      <c r="EH41757"/>
      <c r="EI41757"/>
      <c r="EJ41757"/>
      <c r="EK41757"/>
    </row>
    <row r="41758" spans="1:141" s="116" customFormat="1">
      <c r="A41758" s="136"/>
      <c r="CM41758" s="111"/>
      <c r="CQ41758" s="111"/>
      <c r="EF41758"/>
      <c r="EG41758"/>
      <c r="EH41758"/>
      <c r="EI41758"/>
      <c r="EJ41758"/>
      <c r="EK41758"/>
    </row>
    <row r="41759" spans="1:141" s="116" customFormat="1">
      <c r="A41759" s="136"/>
      <c r="CM41759" s="111"/>
      <c r="CQ41759" s="111"/>
      <c r="EF41759"/>
      <c r="EG41759"/>
      <c r="EH41759"/>
      <c r="EI41759"/>
      <c r="EJ41759"/>
      <c r="EK41759"/>
    </row>
    <row r="41760" spans="1:141" s="116" customFormat="1">
      <c r="A41760" s="136"/>
      <c r="CM41760" s="111"/>
      <c r="CQ41760" s="111"/>
      <c r="EF41760"/>
      <c r="EG41760"/>
      <c r="EH41760"/>
      <c r="EI41760"/>
      <c r="EJ41760"/>
      <c r="EK41760"/>
    </row>
    <row r="41761" spans="1:141" s="116" customFormat="1">
      <c r="A41761" s="136"/>
      <c r="CM41761" s="111"/>
      <c r="CQ41761" s="111"/>
      <c r="EF41761"/>
      <c r="EG41761"/>
      <c r="EH41761"/>
      <c r="EI41761"/>
      <c r="EJ41761"/>
      <c r="EK41761"/>
    </row>
    <row r="41762" spans="1:141" s="116" customFormat="1">
      <c r="A41762" s="136"/>
      <c r="CM41762" s="111"/>
      <c r="CQ41762" s="111"/>
      <c r="EF41762"/>
      <c r="EG41762"/>
      <c r="EH41762"/>
      <c r="EI41762"/>
      <c r="EJ41762"/>
      <c r="EK41762"/>
    </row>
    <row r="41763" spans="1:141" s="116" customFormat="1">
      <c r="A41763" s="136"/>
      <c r="CM41763" s="111"/>
      <c r="CQ41763" s="111"/>
      <c r="EF41763"/>
      <c r="EG41763"/>
      <c r="EH41763"/>
      <c r="EI41763"/>
      <c r="EJ41763"/>
      <c r="EK41763"/>
    </row>
    <row r="41764" spans="1:141" s="116" customFormat="1">
      <c r="A41764" s="136"/>
      <c r="CM41764" s="111"/>
      <c r="CQ41764" s="111"/>
      <c r="EF41764"/>
      <c r="EG41764"/>
      <c r="EH41764"/>
      <c r="EI41764"/>
      <c r="EJ41764"/>
      <c r="EK41764"/>
    </row>
    <row r="41765" spans="1:141" s="116" customFormat="1">
      <c r="A41765" s="136"/>
      <c r="CM41765" s="111"/>
      <c r="CQ41765" s="111"/>
      <c r="EF41765"/>
      <c r="EG41765"/>
      <c r="EH41765"/>
      <c r="EI41765"/>
      <c r="EJ41765"/>
      <c r="EK41765"/>
    </row>
    <row r="41766" spans="1:141" s="116" customFormat="1">
      <c r="A41766" s="136"/>
      <c r="CM41766" s="111"/>
      <c r="CQ41766" s="111"/>
      <c r="EF41766"/>
      <c r="EG41766"/>
      <c r="EH41766"/>
      <c r="EI41766"/>
      <c r="EJ41766"/>
      <c r="EK41766"/>
    </row>
    <row r="41767" spans="1:141" s="116" customFormat="1">
      <c r="A41767" s="136"/>
      <c r="CM41767" s="111"/>
      <c r="CQ41767" s="111"/>
      <c r="EF41767"/>
      <c r="EG41767"/>
      <c r="EH41767"/>
      <c r="EI41767"/>
      <c r="EJ41767"/>
      <c r="EK41767"/>
    </row>
    <row r="41768" spans="1:141" s="116" customFormat="1">
      <c r="A41768" s="136"/>
      <c r="CM41768" s="111"/>
      <c r="CQ41768" s="111"/>
      <c r="EF41768"/>
      <c r="EG41768"/>
      <c r="EH41768"/>
      <c r="EI41768"/>
      <c r="EJ41768"/>
      <c r="EK41768"/>
    </row>
    <row r="41769" spans="1:141" s="116" customFormat="1">
      <c r="A41769" s="136"/>
      <c r="CM41769" s="111"/>
      <c r="CQ41769" s="111"/>
      <c r="EF41769"/>
      <c r="EG41769"/>
      <c r="EH41769"/>
      <c r="EI41769"/>
      <c r="EJ41769"/>
      <c r="EK41769"/>
    </row>
    <row r="41770" spans="1:141" s="116" customFormat="1">
      <c r="A41770" s="136"/>
      <c r="CM41770" s="111"/>
      <c r="CQ41770" s="111"/>
      <c r="EF41770"/>
      <c r="EG41770"/>
      <c r="EH41770"/>
      <c r="EI41770"/>
      <c r="EJ41770"/>
      <c r="EK41770"/>
    </row>
    <row r="41771" spans="1:141" s="116" customFormat="1">
      <c r="A41771" s="136"/>
      <c r="CM41771" s="111"/>
      <c r="CQ41771" s="111"/>
      <c r="EF41771"/>
      <c r="EG41771"/>
      <c r="EH41771"/>
      <c r="EI41771"/>
      <c r="EJ41771"/>
      <c r="EK41771"/>
    </row>
    <row r="41772" spans="1:141" s="116" customFormat="1">
      <c r="A41772" s="136"/>
      <c r="CM41772" s="111"/>
      <c r="CQ41772" s="111"/>
      <c r="EF41772"/>
      <c r="EG41772"/>
      <c r="EH41772"/>
      <c r="EI41772"/>
      <c r="EJ41772"/>
      <c r="EK41772"/>
    </row>
    <row r="41773" spans="1:141" s="116" customFormat="1">
      <c r="A41773" s="136"/>
      <c r="CM41773" s="111"/>
      <c r="CQ41773" s="111"/>
      <c r="EF41773"/>
      <c r="EG41773"/>
      <c r="EH41773"/>
      <c r="EI41773"/>
      <c r="EJ41773"/>
      <c r="EK41773"/>
    </row>
    <row r="41774" spans="1:141" s="116" customFormat="1">
      <c r="A41774" s="136"/>
      <c r="CM41774" s="111"/>
      <c r="CQ41774" s="111"/>
      <c r="EF41774"/>
      <c r="EG41774"/>
      <c r="EH41774"/>
      <c r="EI41774"/>
      <c r="EJ41774"/>
      <c r="EK41774"/>
    </row>
    <row r="41775" spans="1:141" s="116" customFormat="1">
      <c r="A41775" s="136"/>
      <c r="CM41775" s="111"/>
      <c r="CQ41775" s="111"/>
      <c r="EF41775"/>
      <c r="EG41775"/>
      <c r="EH41775"/>
      <c r="EI41775"/>
      <c r="EJ41775"/>
      <c r="EK41775"/>
    </row>
    <row r="41776" spans="1:141" s="116" customFormat="1">
      <c r="A41776" s="136"/>
      <c r="CM41776" s="111"/>
      <c r="CQ41776" s="111"/>
      <c r="EF41776"/>
      <c r="EG41776"/>
      <c r="EH41776"/>
      <c r="EI41776"/>
      <c r="EJ41776"/>
      <c r="EK41776"/>
    </row>
    <row r="41777" spans="1:141" s="116" customFormat="1">
      <c r="A41777" s="136"/>
      <c r="CM41777" s="111"/>
      <c r="CQ41777" s="111"/>
      <c r="EF41777"/>
      <c r="EG41777"/>
      <c r="EH41777"/>
      <c r="EI41777"/>
      <c r="EJ41777"/>
      <c r="EK41777"/>
    </row>
    <row r="41778" spans="1:141" s="116" customFormat="1">
      <c r="A41778" s="136"/>
      <c r="CM41778" s="111"/>
      <c r="CQ41778" s="111"/>
      <c r="EF41778"/>
      <c r="EG41778"/>
      <c r="EH41778"/>
      <c r="EI41778"/>
      <c r="EJ41778"/>
      <c r="EK41778"/>
    </row>
    <row r="41779" spans="1:141" s="116" customFormat="1">
      <c r="A41779" s="136"/>
      <c r="CM41779" s="111"/>
      <c r="CQ41779" s="111"/>
      <c r="EF41779"/>
      <c r="EG41779"/>
      <c r="EH41779"/>
      <c r="EI41779"/>
      <c r="EJ41779"/>
      <c r="EK41779"/>
    </row>
    <row r="41780" spans="1:141" s="116" customFormat="1">
      <c r="A41780" s="136"/>
      <c r="CM41780" s="111"/>
      <c r="CQ41780" s="111"/>
      <c r="EF41780"/>
      <c r="EG41780"/>
      <c r="EH41780"/>
      <c r="EI41780"/>
      <c r="EJ41780"/>
      <c r="EK41780"/>
    </row>
    <row r="41781" spans="1:141" s="116" customFormat="1">
      <c r="A41781" s="136"/>
      <c r="CM41781" s="111"/>
      <c r="CQ41781" s="111"/>
      <c r="EF41781"/>
      <c r="EG41781"/>
      <c r="EH41781"/>
      <c r="EI41781"/>
      <c r="EJ41781"/>
      <c r="EK41781"/>
    </row>
    <row r="41782" spans="1:141" s="116" customFormat="1">
      <c r="A41782" s="136"/>
      <c r="CM41782" s="111"/>
      <c r="CQ41782" s="111"/>
      <c r="EF41782"/>
      <c r="EG41782"/>
      <c r="EH41782"/>
      <c r="EI41782"/>
      <c r="EJ41782"/>
      <c r="EK41782"/>
    </row>
    <row r="41783" spans="1:141" s="116" customFormat="1">
      <c r="A41783" s="136"/>
      <c r="CM41783" s="111"/>
      <c r="CQ41783" s="111"/>
      <c r="EF41783"/>
      <c r="EG41783"/>
      <c r="EH41783"/>
      <c r="EI41783"/>
      <c r="EJ41783"/>
      <c r="EK41783"/>
    </row>
    <row r="41784" spans="1:141" s="116" customFormat="1">
      <c r="A41784" s="136"/>
      <c r="CM41784" s="111"/>
      <c r="CQ41784" s="111"/>
      <c r="EF41784"/>
      <c r="EG41784"/>
      <c r="EH41784"/>
      <c r="EI41784"/>
      <c r="EJ41784"/>
      <c r="EK41784"/>
    </row>
    <row r="41785" spans="1:141" s="116" customFormat="1">
      <c r="A41785" s="136"/>
      <c r="CM41785" s="111"/>
      <c r="CQ41785" s="111"/>
      <c r="EF41785"/>
      <c r="EG41785"/>
      <c r="EH41785"/>
      <c r="EI41785"/>
      <c r="EJ41785"/>
      <c r="EK41785"/>
    </row>
    <row r="41786" spans="1:141" s="116" customFormat="1">
      <c r="A41786" s="136"/>
      <c r="CM41786" s="111"/>
      <c r="CQ41786" s="111"/>
      <c r="EF41786"/>
      <c r="EG41786"/>
      <c r="EH41786"/>
      <c r="EI41786"/>
      <c r="EJ41786"/>
      <c r="EK41786"/>
    </row>
    <row r="41787" spans="1:141" s="116" customFormat="1">
      <c r="A41787" s="136"/>
      <c r="CM41787" s="111"/>
      <c r="CQ41787" s="111"/>
      <c r="EF41787"/>
      <c r="EG41787"/>
      <c r="EH41787"/>
      <c r="EI41787"/>
      <c r="EJ41787"/>
      <c r="EK41787"/>
    </row>
    <row r="41788" spans="1:141" s="116" customFormat="1">
      <c r="A41788" s="136"/>
      <c r="CM41788" s="111"/>
      <c r="CQ41788" s="111"/>
      <c r="EF41788"/>
      <c r="EG41788"/>
      <c r="EH41788"/>
      <c r="EI41788"/>
      <c r="EJ41788"/>
      <c r="EK41788"/>
    </row>
    <row r="41789" spans="1:141" s="116" customFormat="1">
      <c r="A41789" s="136"/>
      <c r="CM41789" s="111"/>
      <c r="CQ41789" s="111"/>
      <c r="EF41789"/>
      <c r="EG41789"/>
      <c r="EH41789"/>
      <c r="EI41789"/>
      <c r="EJ41789"/>
      <c r="EK41789"/>
    </row>
    <row r="41790" spans="1:141" s="116" customFormat="1">
      <c r="A41790" s="136"/>
      <c r="CM41790" s="111"/>
      <c r="CQ41790" s="111"/>
      <c r="EF41790"/>
      <c r="EG41790"/>
      <c r="EH41790"/>
      <c r="EI41790"/>
      <c r="EJ41790"/>
      <c r="EK41790"/>
    </row>
    <row r="41791" spans="1:141" s="116" customFormat="1">
      <c r="A41791" s="136"/>
      <c r="CM41791" s="111"/>
      <c r="CQ41791" s="111"/>
      <c r="EF41791"/>
      <c r="EG41791"/>
      <c r="EH41791"/>
      <c r="EI41791"/>
      <c r="EJ41791"/>
      <c r="EK41791"/>
    </row>
    <row r="41792" spans="1:141" s="116" customFormat="1">
      <c r="A41792" s="136"/>
      <c r="CM41792" s="111"/>
      <c r="CQ41792" s="111"/>
      <c r="EF41792"/>
      <c r="EG41792"/>
      <c r="EH41792"/>
      <c r="EI41792"/>
      <c r="EJ41792"/>
      <c r="EK41792"/>
    </row>
    <row r="41793" spans="1:141" s="116" customFormat="1">
      <c r="A41793" s="136"/>
      <c r="CM41793" s="111"/>
      <c r="CQ41793" s="111"/>
      <c r="EF41793"/>
      <c r="EG41793"/>
      <c r="EH41793"/>
      <c r="EI41793"/>
      <c r="EJ41793"/>
      <c r="EK41793"/>
    </row>
    <row r="41794" spans="1:141" s="116" customFormat="1">
      <c r="A41794" s="136"/>
      <c r="CM41794" s="111"/>
      <c r="CQ41794" s="111"/>
      <c r="EF41794"/>
      <c r="EG41794"/>
      <c r="EH41794"/>
      <c r="EI41794"/>
      <c r="EJ41794"/>
      <c r="EK41794"/>
    </row>
    <row r="41795" spans="1:141" s="116" customFormat="1">
      <c r="A41795" s="136"/>
      <c r="CM41795" s="111"/>
      <c r="CQ41795" s="111"/>
      <c r="EF41795"/>
      <c r="EG41795"/>
      <c r="EH41795"/>
      <c r="EI41795"/>
      <c r="EJ41795"/>
      <c r="EK41795"/>
    </row>
    <row r="41796" spans="1:141" s="116" customFormat="1">
      <c r="A41796" s="136"/>
      <c r="CM41796" s="111"/>
      <c r="CQ41796" s="111"/>
      <c r="EF41796"/>
      <c r="EG41796"/>
      <c r="EH41796"/>
      <c r="EI41796"/>
      <c r="EJ41796"/>
      <c r="EK41796"/>
    </row>
    <row r="41797" spans="1:141" s="116" customFormat="1">
      <c r="A41797" s="136"/>
      <c r="CM41797" s="111"/>
      <c r="CQ41797" s="111"/>
      <c r="EF41797"/>
      <c r="EG41797"/>
      <c r="EH41797"/>
      <c r="EI41797"/>
      <c r="EJ41797"/>
      <c r="EK41797"/>
    </row>
    <row r="41798" spans="1:141" s="116" customFormat="1">
      <c r="A41798" s="136"/>
      <c r="CM41798" s="111"/>
      <c r="CQ41798" s="111"/>
      <c r="EF41798"/>
      <c r="EG41798"/>
      <c r="EH41798"/>
      <c r="EI41798"/>
      <c r="EJ41798"/>
      <c r="EK41798"/>
    </row>
    <row r="41799" spans="1:141" s="116" customFormat="1">
      <c r="A41799" s="136"/>
      <c r="CM41799" s="111"/>
      <c r="CQ41799" s="111"/>
      <c r="EF41799"/>
      <c r="EG41799"/>
      <c r="EH41799"/>
      <c r="EI41799"/>
      <c r="EJ41799"/>
      <c r="EK41799"/>
    </row>
    <row r="41800" spans="1:141" s="116" customFormat="1">
      <c r="A41800" s="136"/>
      <c r="CM41800" s="111"/>
      <c r="CQ41800" s="111"/>
      <c r="EF41800"/>
      <c r="EG41800"/>
      <c r="EH41800"/>
      <c r="EI41800"/>
      <c r="EJ41800"/>
      <c r="EK41800"/>
    </row>
    <row r="41801" spans="1:141" s="116" customFormat="1">
      <c r="A41801" s="136"/>
      <c r="CM41801" s="111"/>
      <c r="CQ41801" s="111"/>
      <c r="EF41801"/>
      <c r="EG41801"/>
      <c r="EH41801"/>
      <c r="EI41801"/>
      <c r="EJ41801"/>
      <c r="EK41801"/>
    </row>
    <row r="41802" spans="1:141" s="116" customFormat="1">
      <c r="A41802" s="136"/>
      <c r="CM41802" s="111"/>
      <c r="CQ41802" s="111"/>
      <c r="EF41802"/>
      <c r="EG41802"/>
      <c r="EH41802"/>
      <c r="EI41802"/>
      <c r="EJ41802"/>
      <c r="EK41802"/>
    </row>
    <row r="41803" spans="1:141" s="116" customFormat="1">
      <c r="A41803" s="136"/>
      <c r="CM41803" s="111"/>
      <c r="CQ41803" s="111"/>
      <c r="EF41803"/>
      <c r="EG41803"/>
      <c r="EH41803"/>
      <c r="EI41803"/>
      <c r="EJ41803"/>
      <c r="EK41803"/>
    </row>
    <row r="41804" spans="1:141" s="116" customFormat="1">
      <c r="A41804" s="136"/>
      <c r="CM41804" s="111"/>
      <c r="CQ41804" s="111"/>
      <c r="EF41804"/>
      <c r="EG41804"/>
      <c r="EH41804"/>
      <c r="EI41804"/>
      <c r="EJ41804"/>
      <c r="EK41804"/>
    </row>
    <row r="41805" spans="1:141" s="116" customFormat="1">
      <c r="A41805" s="136"/>
      <c r="CM41805" s="111"/>
      <c r="CQ41805" s="111"/>
      <c r="EF41805"/>
      <c r="EG41805"/>
      <c r="EH41805"/>
      <c r="EI41805"/>
      <c r="EJ41805"/>
      <c r="EK41805"/>
    </row>
    <row r="41806" spans="1:141" s="116" customFormat="1">
      <c r="A41806" s="136"/>
      <c r="CM41806" s="111"/>
      <c r="CQ41806" s="111"/>
      <c r="EF41806"/>
      <c r="EG41806"/>
      <c r="EH41806"/>
      <c r="EI41806"/>
      <c r="EJ41806"/>
      <c r="EK41806"/>
    </row>
    <row r="41807" spans="1:141" s="116" customFormat="1">
      <c r="A41807" s="136"/>
      <c r="CM41807" s="111"/>
      <c r="CQ41807" s="111"/>
      <c r="EF41807"/>
      <c r="EG41807"/>
      <c r="EH41807"/>
      <c r="EI41807"/>
      <c r="EJ41807"/>
      <c r="EK41807"/>
    </row>
    <row r="41808" spans="1:141" s="116" customFormat="1">
      <c r="A41808" s="136"/>
      <c r="CM41808" s="111"/>
      <c r="CQ41808" s="111"/>
      <c r="EF41808"/>
      <c r="EG41808"/>
      <c r="EH41808"/>
      <c r="EI41808"/>
      <c r="EJ41808"/>
      <c r="EK41808"/>
    </row>
    <row r="41809" spans="1:141" s="116" customFormat="1">
      <c r="A41809" s="136"/>
      <c r="CM41809" s="111"/>
      <c r="CQ41809" s="111"/>
      <c r="EF41809"/>
      <c r="EG41809"/>
      <c r="EH41809"/>
      <c r="EI41809"/>
      <c r="EJ41809"/>
      <c r="EK41809"/>
    </row>
    <row r="41810" spans="1:141" s="116" customFormat="1">
      <c r="A41810" s="136"/>
      <c r="CM41810" s="111"/>
      <c r="CQ41810" s="111"/>
      <c r="EF41810"/>
      <c r="EG41810"/>
      <c r="EH41810"/>
      <c r="EI41810"/>
      <c r="EJ41810"/>
      <c r="EK41810"/>
    </row>
    <row r="41811" spans="1:141" s="116" customFormat="1">
      <c r="A41811" s="136"/>
      <c r="CM41811" s="111"/>
      <c r="CQ41811" s="111"/>
      <c r="EF41811"/>
      <c r="EG41811"/>
      <c r="EH41811"/>
      <c r="EI41811"/>
      <c r="EJ41811"/>
      <c r="EK41811"/>
    </row>
    <row r="41812" spans="1:141" s="116" customFormat="1">
      <c r="A41812" s="136"/>
      <c r="CM41812" s="111"/>
      <c r="CQ41812" s="111"/>
      <c r="EF41812"/>
      <c r="EG41812"/>
      <c r="EH41812"/>
      <c r="EI41812"/>
      <c r="EJ41812"/>
      <c r="EK41812"/>
    </row>
    <row r="41813" spans="1:141" s="116" customFormat="1">
      <c r="A41813" s="136"/>
      <c r="CM41813" s="111"/>
      <c r="CQ41813" s="111"/>
      <c r="EF41813"/>
      <c r="EG41813"/>
      <c r="EH41813"/>
      <c r="EI41813"/>
      <c r="EJ41813"/>
      <c r="EK41813"/>
    </row>
    <row r="41814" spans="1:141" s="116" customFormat="1">
      <c r="A41814" s="136"/>
      <c r="CM41814" s="111"/>
      <c r="CQ41814" s="111"/>
      <c r="EF41814"/>
      <c r="EG41814"/>
      <c r="EH41814"/>
      <c r="EI41814"/>
      <c r="EJ41814"/>
      <c r="EK41814"/>
    </row>
    <row r="41815" spans="1:141" s="116" customFormat="1">
      <c r="A41815" s="136"/>
      <c r="CM41815" s="111"/>
      <c r="CQ41815" s="111"/>
      <c r="EF41815"/>
      <c r="EG41815"/>
      <c r="EH41815"/>
      <c r="EI41815"/>
      <c r="EJ41815"/>
      <c r="EK41815"/>
    </row>
    <row r="41816" spans="1:141" s="116" customFormat="1">
      <c r="A41816" s="136"/>
      <c r="CM41816" s="111"/>
      <c r="CQ41816" s="111"/>
      <c r="EF41816"/>
      <c r="EG41816"/>
      <c r="EH41816"/>
      <c r="EI41816"/>
      <c r="EJ41816"/>
      <c r="EK41816"/>
    </row>
    <row r="41817" spans="1:141" s="116" customFormat="1">
      <c r="A41817" s="136"/>
      <c r="CM41817" s="111"/>
      <c r="CQ41817" s="111"/>
      <c r="EF41817"/>
      <c r="EG41817"/>
      <c r="EH41817"/>
      <c r="EI41817"/>
      <c r="EJ41817"/>
      <c r="EK41817"/>
    </row>
    <row r="41818" spans="1:141" s="116" customFormat="1">
      <c r="A41818" s="136"/>
      <c r="CM41818" s="111"/>
      <c r="CQ41818" s="111"/>
      <c r="EF41818"/>
      <c r="EG41818"/>
      <c r="EH41818"/>
      <c r="EI41818"/>
      <c r="EJ41818"/>
      <c r="EK41818"/>
    </row>
    <row r="41819" spans="1:141" s="116" customFormat="1">
      <c r="A41819" s="136"/>
      <c r="CM41819" s="111"/>
      <c r="CQ41819" s="111"/>
      <c r="EF41819"/>
      <c r="EG41819"/>
      <c r="EH41819"/>
      <c r="EI41819"/>
      <c r="EJ41819"/>
      <c r="EK41819"/>
    </row>
    <row r="41820" spans="1:141" s="116" customFormat="1">
      <c r="A41820" s="136"/>
      <c r="CM41820" s="111"/>
      <c r="CQ41820" s="111"/>
      <c r="EF41820"/>
      <c r="EG41820"/>
      <c r="EH41820"/>
      <c r="EI41820"/>
      <c r="EJ41820"/>
      <c r="EK41820"/>
    </row>
    <row r="41821" spans="1:141" s="116" customFormat="1">
      <c r="A41821" s="136"/>
      <c r="CM41821" s="111"/>
      <c r="CQ41821" s="111"/>
      <c r="EF41821"/>
      <c r="EG41821"/>
      <c r="EH41821"/>
      <c r="EI41821"/>
      <c r="EJ41821"/>
      <c r="EK41821"/>
    </row>
    <row r="41822" spans="1:141" s="116" customFormat="1">
      <c r="A41822" s="136"/>
      <c r="CM41822" s="111"/>
      <c r="CQ41822" s="111"/>
      <c r="EF41822"/>
      <c r="EG41822"/>
      <c r="EH41822"/>
      <c r="EI41822"/>
      <c r="EJ41822"/>
      <c r="EK41822"/>
    </row>
    <row r="41823" spans="1:141" s="116" customFormat="1">
      <c r="A41823" s="136"/>
      <c r="CM41823" s="111"/>
      <c r="CQ41823" s="111"/>
      <c r="EF41823"/>
      <c r="EG41823"/>
      <c r="EH41823"/>
      <c r="EI41823"/>
      <c r="EJ41823"/>
      <c r="EK41823"/>
    </row>
    <row r="41824" spans="1:141" s="116" customFormat="1">
      <c r="A41824" s="136"/>
      <c r="CM41824" s="111"/>
      <c r="CQ41824" s="111"/>
      <c r="EF41824"/>
      <c r="EG41824"/>
      <c r="EH41824"/>
      <c r="EI41824"/>
      <c r="EJ41824"/>
      <c r="EK41824"/>
    </row>
    <row r="41825" spans="1:141" s="116" customFormat="1">
      <c r="A41825" s="136"/>
      <c r="CM41825" s="111"/>
      <c r="CQ41825" s="111"/>
      <c r="EF41825"/>
      <c r="EG41825"/>
      <c r="EH41825"/>
      <c r="EI41825"/>
      <c r="EJ41825"/>
      <c r="EK41825"/>
    </row>
    <row r="41826" spans="1:141" s="116" customFormat="1">
      <c r="A41826" s="136"/>
      <c r="CM41826" s="111"/>
      <c r="CQ41826" s="111"/>
      <c r="EF41826"/>
      <c r="EG41826"/>
      <c r="EH41826"/>
      <c r="EI41826"/>
      <c r="EJ41826"/>
      <c r="EK41826"/>
    </row>
    <row r="41827" spans="1:141" s="116" customFormat="1">
      <c r="A41827" s="136"/>
      <c r="CM41827" s="111"/>
      <c r="CQ41827" s="111"/>
      <c r="EF41827"/>
      <c r="EG41827"/>
      <c r="EH41827"/>
      <c r="EI41827"/>
      <c r="EJ41827"/>
      <c r="EK41827"/>
    </row>
    <row r="41828" spans="1:141" s="116" customFormat="1">
      <c r="A41828" s="136"/>
      <c r="CM41828" s="111"/>
      <c r="CQ41828" s="111"/>
      <c r="EF41828"/>
      <c r="EG41828"/>
      <c r="EH41828"/>
      <c r="EI41828"/>
      <c r="EJ41828"/>
      <c r="EK41828"/>
    </row>
    <row r="41829" spans="1:141" s="116" customFormat="1">
      <c r="A41829" s="136"/>
      <c r="CM41829" s="111"/>
      <c r="CQ41829" s="111"/>
      <c r="EF41829"/>
      <c r="EG41829"/>
      <c r="EH41829"/>
      <c r="EI41829"/>
      <c r="EJ41829"/>
      <c r="EK41829"/>
    </row>
    <row r="41830" spans="1:141" s="116" customFormat="1">
      <c r="A41830" s="136"/>
      <c r="CM41830" s="111"/>
      <c r="CQ41830" s="111"/>
      <c r="EF41830"/>
      <c r="EG41830"/>
      <c r="EH41830"/>
      <c r="EI41830"/>
      <c r="EJ41830"/>
      <c r="EK41830"/>
    </row>
    <row r="41831" spans="1:141" s="116" customFormat="1">
      <c r="A41831" s="136"/>
      <c r="CM41831" s="111"/>
      <c r="CQ41831" s="111"/>
      <c r="EF41831"/>
      <c r="EG41831"/>
      <c r="EH41831"/>
      <c r="EI41831"/>
      <c r="EJ41831"/>
      <c r="EK41831"/>
    </row>
    <row r="41832" spans="1:141" s="116" customFormat="1">
      <c r="A41832" s="136"/>
      <c r="CM41832" s="111"/>
      <c r="CQ41832" s="111"/>
      <c r="EF41832"/>
      <c r="EG41832"/>
      <c r="EH41832"/>
      <c r="EI41832"/>
      <c r="EJ41832"/>
      <c r="EK41832"/>
    </row>
    <row r="41833" spans="1:141" s="116" customFormat="1">
      <c r="A41833" s="136"/>
      <c r="CM41833" s="111"/>
      <c r="CQ41833" s="111"/>
      <c r="EF41833"/>
      <c r="EG41833"/>
      <c r="EH41833"/>
      <c r="EI41833"/>
      <c r="EJ41833"/>
      <c r="EK41833"/>
    </row>
    <row r="41834" spans="1:141" s="116" customFormat="1">
      <c r="A41834" s="136"/>
      <c r="CM41834" s="111"/>
      <c r="CQ41834" s="111"/>
      <c r="EF41834"/>
      <c r="EG41834"/>
      <c r="EH41834"/>
      <c r="EI41834"/>
      <c r="EJ41834"/>
      <c r="EK41834"/>
    </row>
    <row r="41835" spans="1:141" s="116" customFormat="1">
      <c r="A41835" s="136"/>
      <c r="CM41835" s="111"/>
      <c r="CQ41835" s="111"/>
      <c r="EF41835"/>
      <c r="EG41835"/>
      <c r="EH41835"/>
      <c r="EI41835"/>
      <c r="EJ41835"/>
      <c r="EK41835"/>
    </row>
    <row r="41836" spans="1:141" s="116" customFormat="1">
      <c r="A41836" s="136"/>
      <c r="CM41836" s="111"/>
      <c r="CQ41836" s="111"/>
      <c r="EF41836"/>
      <c r="EG41836"/>
      <c r="EH41836"/>
      <c r="EI41836"/>
      <c r="EJ41836"/>
      <c r="EK41836"/>
    </row>
    <row r="41837" spans="1:141" s="116" customFormat="1">
      <c r="A41837" s="136"/>
      <c r="CM41837" s="111"/>
      <c r="CQ41837" s="111"/>
      <c r="EF41837"/>
      <c r="EG41837"/>
      <c r="EH41837"/>
      <c r="EI41837"/>
      <c r="EJ41837"/>
      <c r="EK41837"/>
    </row>
    <row r="41838" spans="1:141" s="116" customFormat="1">
      <c r="A41838" s="136"/>
      <c r="CM41838" s="111"/>
      <c r="CQ41838" s="111"/>
      <c r="EF41838"/>
      <c r="EG41838"/>
      <c r="EH41838"/>
      <c r="EI41838"/>
      <c r="EJ41838"/>
      <c r="EK41838"/>
    </row>
    <row r="41839" spans="1:141" s="116" customFormat="1">
      <c r="A41839" s="136"/>
      <c r="CM41839" s="111"/>
      <c r="CQ41839" s="111"/>
      <c r="EF41839"/>
      <c r="EG41839"/>
      <c r="EH41839"/>
      <c r="EI41839"/>
      <c r="EJ41839"/>
      <c r="EK41839"/>
    </row>
    <row r="41840" spans="1:141" s="116" customFormat="1">
      <c r="A41840" s="136"/>
      <c r="CM41840" s="111"/>
      <c r="CQ41840" s="111"/>
      <c r="EF41840"/>
      <c r="EG41840"/>
      <c r="EH41840"/>
      <c r="EI41840"/>
      <c r="EJ41840"/>
      <c r="EK41840"/>
    </row>
    <row r="41841" spans="1:141" s="116" customFormat="1">
      <c r="A41841" s="136"/>
      <c r="CM41841" s="111"/>
      <c r="CQ41841" s="111"/>
      <c r="EF41841"/>
      <c r="EG41841"/>
      <c r="EH41841"/>
      <c r="EI41841"/>
      <c r="EJ41841"/>
      <c r="EK41841"/>
    </row>
    <row r="41842" spans="1:141" s="116" customFormat="1">
      <c r="A41842" s="136"/>
      <c r="CM41842" s="111"/>
      <c r="CQ41842" s="111"/>
      <c r="EF41842"/>
      <c r="EG41842"/>
      <c r="EH41842"/>
      <c r="EI41842"/>
      <c r="EJ41842"/>
      <c r="EK41842"/>
    </row>
    <row r="41843" spans="1:141" s="116" customFormat="1">
      <c r="A41843" s="136"/>
      <c r="CM41843" s="111"/>
      <c r="CQ41843" s="111"/>
      <c r="EF41843"/>
      <c r="EG41843"/>
      <c r="EH41843"/>
      <c r="EI41843"/>
      <c r="EJ41843"/>
      <c r="EK41843"/>
    </row>
    <row r="41844" spans="1:141" s="116" customFormat="1">
      <c r="A41844" s="136"/>
      <c r="CM41844" s="111"/>
      <c r="CQ41844" s="111"/>
      <c r="EF41844"/>
      <c r="EG41844"/>
      <c r="EH41844"/>
      <c r="EI41844"/>
      <c r="EJ41844"/>
      <c r="EK41844"/>
    </row>
    <row r="41845" spans="1:141" s="116" customFormat="1">
      <c r="A41845" s="136"/>
      <c r="CM41845" s="111"/>
      <c r="CQ41845" s="111"/>
      <c r="EF41845"/>
      <c r="EG41845"/>
      <c r="EH41845"/>
      <c r="EI41845"/>
      <c r="EJ41845"/>
      <c r="EK41845"/>
    </row>
    <row r="41846" spans="1:141" s="116" customFormat="1">
      <c r="A41846" s="136"/>
      <c r="CM41846" s="111"/>
      <c r="CQ41846" s="111"/>
      <c r="EF41846"/>
      <c r="EG41846"/>
      <c r="EH41846"/>
      <c r="EI41846"/>
      <c r="EJ41846"/>
      <c r="EK41846"/>
    </row>
    <row r="41847" spans="1:141" s="116" customFormat="1">
      <c r="A41847" s="136"/>
      <c r="CM41847" s="111"/>
      <c r="CQ41847" s="111"/>
      <c r="EF41847"/>
      <c r="EG41847"/>
      <c r="EH41847"/>
      <c r="EI41847"/>
      <c r="EJ41847"/>
      <c r="EK41847"/>
    </row>
    <row r="41848" spans="1:141" s="116" customFormat="1">
      <c r="A41848" s="136"/>
      <c r="CM41848" s="111"/>
      <c r="CQ41848" s="111"/>
      <c r="EF41848"/>
      <c r="EG41848"/>
      <c r="EH41848"/>
      <c r="EI41848"/>
      <c r="EJ41848"/>
      <c r="EK41848"/>
    </row>
    <row r="41849" spans="1:141" s="116" customFormat="1">
      <c r="A41849" s="136"/>
      <c r="CM41849" s="111"/>
      <c r="CQ41849" s="111"/>
      <c r="EF41849"/>
      <c r="EG41849"/>
      <c r="EH41849"/>
      <c r="EI41849"/>
      <c r="EJ41849"/>
      <c r="EK41849"/>
    </row>
    <row r="41850" spans="1:141" s="116" customFormat="1">
      <c r="A41850" s="136"/>
      <c r="CM41850" s="111"/>
      <c r="CQ41850" s="111"/>
      <c r="EF41850"/>
      <c r="EG41850"/>
      <c r="EH41850"/>
      <c r="EI41850"/>
      <c r="EJ41850"/>
      <c r="EK41850"/>
    </row>
    <row r="41851" spans="1:141" s="116" customFormat="1">
      <c r="A41851" s="136"/>
      <c r="CM41851" s="111"/>
      <c r="CQ41851" s="111"/>
      <c r="EF41851"/>
      <c r="EG41851"/>
      <c r="EH41851"/>
      <c r="EI41851"/>
      <c r="EJ41851"/>
      <c r="EK41851"/>
    </row>
    <row r="41852" spans="1:141" s="116" customFormat="1">
      <c r="A41852" s="136"/>
      <c r="CM41852" s="111"/>
      <c r="CQ41852" s="111"/>
      <c r="EF41852"/>
      <c r="EG41852"/>
      <c r="EH41852"/>
      <c r="EI41852"/>
      <c r="EJ41852"/>
      <c r="EK41852"/>
    </row>
    <row r="41853" spans="1:141" s="116" customFormat="1">
      <c r="A41853" s="136"/>
      <c r="CM41853" s="111"/>
      <c r="CQ41853" s="111"/>
      <c r="EF41853"/>
      <c r="EG41853"/>
      <c r="EH41853"/>
      <c r="EI41853"/>
      <c r="EJ41853"/>
      <c r="EK41853"/>
    </row>
    <row r="41854" spans="1:141" s="116" customFormat="1">
      <c r="A41854" s="136"/>
      <c r="CM41854" s="111"/>
      <c r="CQ41854" s="111"/>
      <c r="EF41854"/>
      <c r="EG41854"/>
      <c r="EH41854"/>
      <c r="EI41854"/>
      <c r="EJ41854"/>
      <c r="EK41854"/>
    </row>
    <row r="41855" spans="1:141" s="116" customFormat="1">
      <c r="A41855" s="136"/>
      <c r="CM41855" s="111"/>
      <c r="CQ41855" s="111"/>
      <c r="EF41855"/>
      <c r="EG41855"/>
      <c r="EH41855"/>
      <c r="EI41855"/>
      <c r="EJ41855"/>
      <c r="EK41855"/>
    </row>
    <row r="41856" spans="1:141" s="116" customFormat="1">
      <c r="A41856" s="136"/>
      <c r="CM41856" s="111"/>
      <c r="CQ41856" s="111"/>
      <c r="EF41856"/>
      <c r="EG41856"/>
      <c r="EH41856"/>
      <c r="EI41856"/>
      <c r="EJ41856"/>
      <c r="EK41856"/>
    </row>
    <row r="41857" spans="1:141" s="116" customFormat="1">
      <c r="A41857" s="136"/>
      <c r="CM41857" s="111"/>
      <c r="CQ41857" s="111"/>
      <c r="EF41857"/>
      <c r="EG41857"/>
      <c r="EH41857"/>
      <c r="EI41857"/>
      <c r="EJ41857"/>
      <c r="EK41857"/>
    </row>
    <row r="41858" spans="1:141" s="116" customFormat="1">
      <c r="A41858" s="136"/>
      <c r="CM41858" s="111"/>
      <c r="CQ41858" s="111"/>
      <c r="EF41858"/>
      <c r="EG41858"/>
      <c r="EH41858"/>
      <c r="EI41858"/>
      <c r="EJ41858"/>
      <c r="EK41858"/>
    </row>
    <row r="41859" spans="1:141" s="116" customFormat="1">
      <c r="A41859" s="136"/>
      <c r="CM41859" s="111"/>
      <c r="CQ41859" s="111"/>
      <c r="EF41859"/>
      <c r="EG41859"/>
      <c r="EH41859"/>
      <c r="EI41859"/>
      <c r="EJ41859"/>
      <c r="EK41859"/>
    </row>
    <row r="41860" spans="1:141" s="116" customFormat="1">
      <c r="A41860" s="136"/>
      <c r="CM41860" s="111"/>
      <c r="CQ41860" s="111"/>
      <c r="EF41860"/>
      <c r="EG41860"/>
      <c r="EH41860"/>
      <c r="EI41860"/>
      <c r="EJ41860"/>
      <c r="EK41860"/>
    </row>
    <row r="41861" spans="1:141" s="116" customFormat="1">
      <c r="A41861" s="136"/>
      <c r="CM41861" s="111"/>
      <c r="CQ41861" s="111"/>
      <c r="EF41861"/>
      <c r="EG41861"/>
      <c r="EH41861"/>
      <c r="EI41861"/>
      <c r="EJ41861"/>
      <c r="EK41861"/>
    </row>
    <row r="41862" spans="1:141" s="116" customFormat="1">
      <c r="A41862" s="136"/>
      <c r="CM41862" s="111"/>
      <c r="CQ41862" s="111"/>
      <c r="EF41862"/>
      <c r="EG41862"/>
      <c r="EH41862"/>
      <c r="EI41862"/>
      <c r="EJ41862"/>
      <c r="EK41862"/>
    </row>
    <row r="41863" spans="1:141" s="116" customFormat="1">
      <c r="A41863" s="136"/>
      <c r="CM41863" s="111"/>
      <c r="CQ41863" s="111"/>
      <c r="EF41863"/>
      <c r="EG41863"/>
      <c r="EH41863"/>
      <c r="EI41863"/>
      <c r="EJ41863"/>
      <c r="EK41863"/>
    </row>
    <row r="41864" spans="1:141" s="116" customFormat="1">
      <c r="A41864" s="136"/>
      <c r="CM41864" s="111"/>
      <c r="CQ41864" s="111"/>
      <c r="EF41864"/>
      <c r="EG41864"/>
      <c r="EH41864"/>
      <c r="EI41864"/>
      <c r="EJ41864"/>
      <c r="EK41864"/>
    </row>
    <row r="41865" spans="1:141" s="116" customFormat="1">
      <c r="A41865" s="136"/>
      <c r="CM41865" s="111"/>
      <c r="CQ41865" s="111"/>
      <c r="EF41865"/>
      <c r="EG41865"/>
      <c r="EH41865"/>
      <c r="EI41865"/>
      <c r="EJ41865"/>
      <c r="EK41865"/>
    </row>
    <row r="41866" spans="1:141" s="116" customFormat="1">
      <c r="A41866" s="136"/>
      <c r="CM41866" s="111"/>
      <c r="CQ41866" s="111"/>
      <c r="EF41866"/>
      <c r="EG41866"/>
      <c r="EH41866"/>
      <c r="EI41866"/>
      <c r="EJ41866"/>
      <c r="EK41866"/>
    </row>
    <row r="41867" spans="1:141" s="116" customFormat="1">
      <c r="A41867" s="136"/>
      <c r="CM41867" s="111"/>
      <c r="CQ41867" s="111"/>
      <c r="EF41867"/>
      <c r="EG41867"/>
      <c r="EH41867"/>
      <c r="EI41867"/>
      <c r="EJ41867"/>
      <c r="EK41867"/>
    </row>
    <row r="41868" spans="1:141" s="116" customFormat="1">
      <c r="A41868" s="136"/>
      <c r="CM41868" s="111"/>
      <c r="CQ41868" s="111"/>
      <c r="EF41868"/>
      <c r="EG41868"/>
      <c r="EH41868"/>
      <c r="EI41868"/>
      <c r="EJ41868"/>
      <c r="EK41868"/>
    </row>
    <row r="41869" spans="1:141" s="116" customFormat="1">
      <c r="A41869" s="136"/>
      <c r="CM41869" s="111"/>
      <c r="CQ41869" s="111"/>
      <c r="EF41869"/>
      <c r="EG41869"/>
      <c r="EH41869"/>
      <c r="EI41869"/>
      <c r="EJ41869"/>
      <c r="EK41869"/>
    </row>
    <row r="41870" spans="1:141" s="116" customFormat="1">
      <c r="A41870" s="136"/>
      <c r="CM41870" s="111"/>
      <c r="CQ41870" s="111"/>
      <c r="EF41870"/>
      <c r="EG41870"/>
      <c r="EH41870"/>
      <c r="EI41870"/>
      <c r="EJ41870"/>
      <c r="EK41870"/>
    </row>
    <row r="41871" spans="1:141" s="116" customFormat="1">
      <c r="A41871" s="136"/>
      <c r="CM41871" s="111"/>
      <c r="CQ41871" s="111"/>
      <c r="EF41871"/>
      <c r="EG41871"/>
      <c r="EH41871"/>
      <c r="EI41871"/>
      <c r="EJ41871"/>
      <c r="EK41871"/>
    </row>
    <row r="41872" spans="1:141" s="116" customFormat="1">
      <c r="A41872" s="136"/>
      <c r="CM41872" s="111"/>
      <c r="CQ41872" s="111"/>
      <c r="EF41872"/>
      <c r="EG41872"/>
      <c r="EH41872"/>
      <c r="EI41872"/>
      <c r="EJ41872"/>
      <c r="EK41872"/>
    </row>
    <row r="41873" spans="1:141" s="116" customFormat="1">
      <c r="A41873" s="136"/>
      <c r="CM41873" s="111"/>
      <c r="CQ41873" s="111"/>
      <c r="EF41873"/>
      <c r="EG41873"/>
      <c r="EH41873"/>
      <c r="EI41873"/>
      <c r="EJ41873"/>
      <c r="EK41873"/>
    </row>
    <row r="41874" spans="1:141" s="116" customFormat="1">
      <c r="A41874" s="136"/>
      <c r="CM41874" s="111"/>
      <c r="CQ41874" s="111"/>
      <c r="EF41874"/>
      <c r="EG41874"/>
      <c r="EH41874"/>
      <c r="EI41874"/>
      <c r="EJ41874"/>
      <c r="EK41874"/>
    </row>
    <row r="41875" spans="1:141" s="116" customFormat="1">
      <c r="A41875" s="136"/>
      <c r="CM41875" s="111"/>
      <c r="CQ41875" s="111"/>
      <c r="EF41875"/>
      <c r="EG41875"/>
      <c r="EH41875"/>
      <c r="EI41875"/>
      <c r="EJ41875"/>
      <c r="EK41875"/>
    </row>
    <row r="41876" spans="1:141" s="116" customFormat="1">
      <c r="A41876" s="136"/>
      <c r="CM41876" s="111"/>
      <c r="CQ41876" s="111"/>
      <c r="EF41876"/>
      <c r="EG41876"/>
      <c r="EH41876"/>
      <c r="EI41876"/>
      <c r="EJ41876"/>
      <c r="EK41876"/>
    </row>
    <row r="41877" spans="1:141" s="116" customFormat="1">
      <c r="A41877" s="136"/>
      <c r="CM41877" s="111"/>
      <c r="CQ41877" s="111"/>
      <c r="EF41877"/>
      <c r="EG41877"/>
      <c r="EH41877"/>
      <c r="EI41877"/>
      <c r="EJ41877"/>
      <c r="EK41877"/>
    </row>
    <row r="41878" spans="1:141" s="116" customFormat="1">
      <c r="A41878" s="136"/>
      <c r="CM41878" s="111"/>
      <c r="CQ41878" s="111"/>
      <c r="EF41878"/>
      <c r="EG41878"/>
      <c r="EH41878"/>
      <c r="EI41878"/>
      <c r="EJ41878"/>
      <c r="EK41878"/>
    </row>
    <row r="41879" spans="1:141" s="116" customFormat="1">
      <c r="A41879" s="136"/>
      <c r="CM41879" s="111"/>
      <c r="CQ41879" s="111"/>
      <c r="EF41879"/>
      <c r="EG41879"/>
      <c r="EH41879"/>
      <c r="EI41879"/>
      <c r="EJ41879"/>
      <c r="EK41879"/>
    </row>
    <row r="41880" spans="1:141" s="116" customFormat="1">
      <c r="A41880" s="136"/>
      <c r="CM41880" s="111"/>
      <c r="CQ41880" s="111"/>
      <c r="EF41880"/>
      <c r="EG41880"/>
      <c r="EH41880"/>
      <c r="EI41880"/>
      <c r="EJ41880"/>
      <c r="EK41880"/>
    </row>
    <row r="41881" spans="1:141" s="116" customFormat="1">
      <c r="A41881" s="136"/>
      <c r="CM41881" s="111"/>
      <c r="CQ41881" s="111"/>
      <c r="EF41881"/>
      <c r="EG41881"/>
      <c r="EH41881"/>
      <c r="EI41881"/>
      <c r="EJ41881"/>
      <c r="EK41881"/>
    </row>
    <row r="41882" spans="1:141" s="116" customFormat="1">
      <c r="A41882" s="136"/>
      <c r="CM41882" s="111"/>
      <c r="CQ41882" s="111"/>
      <c r="EF41882"/>
      <c r="EG41882"/>
      <c r="EH41882"/>
      <c r="EI41882"/>
      <c r="EJ41882"/>
      <c r="EK41882"/>
    </row>
    <row r="41883" spans="1:141" s="116" customFormat="1">
      <c r="A41883" s="136"/>
      <c r="CM41883" s="111"/>
      <c r="CQ41883" s="111"/>
      <c r="EF41883"/>
      <c r="EG41883"/>
      <c r="EH41883"/>
      <c r="EI41883"/>
      <c r="EJ41883"/>
      <c r="EK41883"/>
    </row>
    <row r="41884" spans="1:141" s="116" customFormat="1">
      <c r="A41884" s="136"/>
      <c r="CM41884" s="111"/>
      <c r="CQ41884" s="111"/>
      <c r="EF41884"/>
      <c r="EG41884"/>
      <c r="EH41884"/>
      <c r="EI41884"/>
      <c r="EJ41884"/>
      <c r="EK41884"/>
    </row>
    <row r="41885" spans="1:141" s="116" customFormat="1">
      <c r="A41885" s="136"/>
      <c r="CM41885" s="111"/>
      <c r="CQ41885" s="111"/>
      <c r="EF41885"/>
      <c r="EG41885"/>
      <c r="EH41885"/>
      <c r="EI41885"/>
      <c r="EJ41885"/>
      <c r="EK41885"/>
    </row>
    <row r="41886" spans="1:141" s="116" customFormat="1">
      <c r="A41886" s="136"/>
      <c r="CM41886" s="111"/>
      <c r="CQ41886" s="111"/>
      <c r="EF41886"/>
      <c r="EG41886"/>
      <c r="EH41886"/>
      <c r="EI41886"/>
      <c r="EJ41886"/>
      <c r="EK41886"/>
    </row>
    <row r="41887" spans="1:141" s="116" customFormat="1">
      <c r="A41887" s="136"/>
      <c r="CM41887" s="111"/>
      <c r="CQ41887" s="111"/>
      <c r="EF41887"/>
      <c r="EG41887"/>
      <c r="EH41887"/>
      <c r="EI41887"/>
      <c r="EJ41887"/>
      <c r="EK41887"/>
    </row>
    <row r="41888" spans="1:141" s="116" customFormat="1">
      <c r="A41888" s="136"/>
      <c r="CM41888" s="111"/>
      <c r="CQ41888" s="111"/>
      <c r="EF41888"/>
      <c r="EG41888"/>
      <c r="EH41888"/>
      <c r="EI41888"/>
      <c r="EJ41888"/>
      <c r="EK41888"/>
    </row>
    <row r="41889" spans="1:141" s="116" customFormat="1">
      <c r="A41889" s="136"/>
      <c r="CM41889" s="111"/>
      <c r="CQ41889" s="111"/>
      <c r="EF41889"/>
      <c r="EG41889"/>
      <c r="EH41889"/>
      <c r="EI41889"/>
      <c r="EJ41889"/>
      <c r="EK41889"/>
    </row>
    <row r="41890" spans="1:141" s="116" customFormat="1">
      <c r="A41890" s="136"/>
      <c r="CM41890" s="111"/>
      <c r="CQ41890" s="111"/>
      <c r="EF41890"/>
      <c r="EG41890"/>
      <c r="EH41890"/>
      <c r="EI41890"/>
      <c r="EJ41890"/>
      <c r="EK41890"/>
    </row>
    <row r="41891" spans="1:141" s="116" customFormat="1">
      <c r="A41891" s="136"/>
      <c r="CM41891" s="111"/>
      <c r="CQ41891" s="111"/>
      <c r="EF41891"/>
      <c r="EG41891"/>
      <c r="EH41891"/>
      <c r="EI41891"/>
      <c r="EJ41891"/>
      <c r="EK41891"/>
    </row>
    <row r="41892" spans="1:141" s="116" customFormat="1">
      <c r="A41892" s="136"/>
      <c r="CM41892" s="111"/>
      <c r="CQ41892" s="111"/>
      <c r="EF41892"/>
      <c r="EG41892"/>
      <c r="EH41892"/>
      <c r="EI41892"/>
      <c r="EJ41892"/>
      <c r="EK41892"/>
    </row>
    <row r="41893" spans="1:141" s="116" customFormat="1">
      <c r="A41893" s="136"/>
      <c r="CM41893" s="111"/>
      <c r="CQ41893" s="111"/>
      <c r="EF41893"/>
      <c r="EG41893"/>
      <c r="EH41893"/>
      <c r="EI41893"/>
      <c r="EJ41893"/>
      <c r="EK41893"/>
    </row>
    <row r="41894" spans="1:141" s="116" customFormat="1">
      <c r="A41894" s="136"/>
      <c r="CM41894" s="111"/>
      <c r="CQ41894" s="111"/>
      <c r="EF41894"/>
      <c r="EG41894"/>
      <c r="EH41894"/>
      <c r="EI41894"/>
      <c r="EJ41894"/>
      <c r="EK41894"/>
    </row>
    <row r="41895" spans="1:141" s="116" customFormat="1">
      <c r="A41895" s="136"/>
      <c r="CM41895" s="111"/>
      <c r="CQ41895" s="111"/>
      <c r="EF41895"/>
      <c r="EG41895"/>
      <c r="EH41895"/>
      <c r="EI41895"/>
      <c r="EJ41895"/>
      <c r="EK41895"/>
    </row>
    <row r="41896" spans="1:141" s="116" customFormat="1">
      <c r="A41896" s="136"/>
      <c r="CM41896" s="111"/>
      <c r="CQ41896" s="111"/>
      <c r="EF41896"/>
      <c r="EG41896"/>
      <c r="EH41896"/>
      <c r="EI41896"/>
      <c r="EJ41896"/>
      <c r="EK41896"/>
    </row>
    <row r="41897" spans="1:141" s="116" customFormat="1">
      <c r="A41897" s="136"/>
      <c r="CM41897" s="111"/>
      <c r="CQ41897" s="111"/>
      <c r="EF41897"/>
      <c r="EG41897"/>
      <c r="EH41897"/>
      <c r="EI41897"/>
      <c r="EJ41897"/>
      <c r="EK41897"/>
    </row>
    <row r="41898" spans="1:141" s="116" customFormat="1">
      <c r="A41898" s="136"/>
      <c r="CM41898" s="111"/>
      <c r="CQ41898" s="111"/>
      <c r="EF41898"/>
      <c r="EG41898"/>
      <c r="EH41898"/>
      <c r="EI41898"/>
      <c r="EJ41898"/>
      <c r="EK41898"/>
    </row>
    <row r="41899" spans="1:141" s="116" customFormat="1">
      <c r="A41899" s="136"/>
      <c r="CM41899" s="111"/>
      <c r="CQ41899" s="111"/>
      <c r="EF41899"/>
      <c r="EG41899"/>
      <c r="EH41899"/>
      <c r="EI41899"/>
      <c r="EJ41899"/>
      <c r="EK41899"/>
    </row>
    <row r="41900" spans="1:141" s="116" customFormat="1">
      <c r="A41900" s="136"/>
      <c r="CM41900" s="111"/>
      <c r="CQ41900" s="111"/>
      <c r="EF41900"/>
      <c r="EG41900"/>
      <c r="EH41900"/>
      <c r="EI41900"/>
      <c r="EJ41900"/>
      <c r="EK41900"/>
    </row>
    <row r="41901" spans="1:141" s="116" customFormat="1">
      <c r="A41901" s="136"/>
      <c r="CM41901" s="111"/>
      <c r="CQ41901" s="111"/>
      <c r="EF41901"/>
      <c r="EG41901"/>
      <c r="EH41901"/>
      <c r="EI41901"/>
      <c r="EJ41901"/>
      <c r="EK41901"/>
    </row>
    <row r="41902" spans="1:141" s="116" customFormat="1">
      <c r="A41902" s="136"/>
      <c r="CM41902" s="111"/>
      <c r="CQ41902" s="111"/>
      <c r="EF41902"/>
      <c r="EG41902"/>
      <c r="EH41902"/>
      <c r="EI41902"/>
      <c r="EJ41902"/>
      <c r="EK41902"/>
    </row>
    <row r="41903" spans="1:141" s="116" customFormat="1">
      <c r="A41903" s="136"/>
      <c r="CM41903" s="111"/>
      <c r="CQ41903" s="111"/>
      <c r="EF41903"/>
      <c r="EG41903"/>
      <c r="EH41903"/>
      <c r="EI41903"/>
      <c r="EJ41903"/>
      <c r="EK41903"/>
    </row>
    <row r="41904" spans="1:141" s="116" customFormat="1">
      <c r="A41904" s="136"/>
      <c r="CM41904" s="111"/>
      <c r="CQ41904" s="111"/>
      <c r="EF41904"/>
      <c r="EG41904"/>
      <c r="EH41904"/>
      <c r="EI41904"/>
      <c r="EJ41904"/>
      <c r="EK41904"/>
    </row>
    <row r="41905" spans="1:141" s="116" customFormat="1">
      <c r="A41905" s="136"/>
      <c r="CM41905" s="111"/>
      <c r="CQ41905" s="111"/>
      <c r="EF41905"/>
      <c r="EG41905"/>
      <c r="EH41905"/>
      <c r="EI41905"/>
      <c r="EJ41905"/>
      <c r="EK41905"/>
    </row>
    <row r="41906" spans="1:141" s="116" customFormat="1">
      <c r="A41906" s="136"/>
      <c r="CM41906" s="111"/>
      <c r="CQ41906" s="111"/>
      <c r="EF41906"/>
      <c r="EG41906"/>
      <c r="EH41906"/>
      <c r="EI41906"/>
      <c r="EJ41906"/>
      <c r="EK41906"/>
    </row>
    <row r="41907" spans="1:141" s="116" customFormat="1">
      <c r="A41907" s="136"/>
      <c r="CM41907" s="111"/>
      <c r="CQ41907" s="111"/>
      <c r="EF41907"/>
      <c r="EG41907"/>
      <c r="EH41907"/>
      <c r="EI41907"/>
      <c r="EJ41907"/>
      <c r="EK41907"/>
    </row>
    <row r="41908" spans="1:141" s="116" customFormat="1">
      <c r="A41908" s="136"/>
      <c r="CM41908" s="111"/>
      <c r="CQ41908" s="111"/>
      <c r="EF41908"/>
      <c r="EG41908"/>
      <c r="EH41908"/>
      <c r="EI41908"/>
      <c r="EJ41908"/>
      <c r="EK41908"/>
    </row>
    <row r="41909" spans="1:141" s="116" customFormat="1">
      <c r="A41909" s="136"/>
      <c r="CM41909" s="111"/>
      <c r="CQ41909" s="111"/>
      <c r="EF41909"/>
      <c r="EG41909"/>
      <c r="EH41909"/>
      <c r="EI41909"/>
      <c r="EJ41909"/>
      <c r="EK41909"/>
    </row>
    <row r="41910" spans="1:141" s="116" customFormat="1">
      <c r="A41910" s="136"/>
      <c r="CM41910" s="111"/>
      <c r="CQ41910" s="111"/>
      <c r="EF41910"/>
      <c r="EG41910"/>
      <c r="EH41910"/>
      <c r="EI41910"/>
      <c r="EJ41910"/>
      <c r="EK41910"/>
    </row>
    <row r="41911" spans="1:141" s="116" customFormat="1">
      <c r="A41911" s="136"/>
      <c r="CM41911" s="111"/>
      <c r="CQ41911" s="111"/>
      <c r="EF41911"/>
      <c r="EG41911"/>
      <c r="EH41911"/>
      <c r="EI41911"/>
      <c r="EJ41911"/>
      <c r="EK41911"/>
    </row>
    <row r="41912" spans="1:141" s="116" customFormat="1">
      <c r="A41912" s="136"/>
      <c r="CM41912" s="111"/>
      <c r="CQ41912" s="111"/>
      <c r="EF41912"/>
      <c r="EG41912"/>
      <c r="EH41912"/>
      <c r="EI41912"/>
      <c r="EJ41912"/>
      <c r="EK41912"/>
    </row>
    <row r="41913" spans="1:141" s="116" customFormat="1">
      <c r="A41913" s="136"/>
      <c r="CM41913" s="111"/>
      <c r="CQ41913" s="111"/>
      <c r="EF41913"/>
      <c r="EG41913"/>
      <c r="EH41913"/>
      <c r="EI41913"/>
      <c r="EJ41913"/>
      <c r="EK41913"/>
    </row>
    <row r="41914" spans="1:141" s="116" customFormat="1">
      <c r="A41914" s="136"/>
      <c r="CM41914" s="111"/>
      <c r="CQ41914" s="111"/>
      <c r="EF41914"/>
      <c r="EG41914"/>
      <c r="EH41914"/>
      <c r="EI41914"/>
      <c r="EJ41914"/>
      <c r="EK41914"/>
    </row>
    <row r="41915" spans="1:141" s="116" customFormat="1">
      <c r="A41915" s="136"/>
      <c r="CM41915" s="111"/>
      <c r="CQ41915" s="111"/>
      <c r="EF41915"/>
      <c r="EG41915"/>
      <c r="EH41915"/>
      <c r="EI41915"/>
      <c r="EJ41915"/>
      <c r="EK41915"/>
    </row>
    <row r="41916" spans="1:141" s="116" customFormat="1">
      <c r="A41916" s="136"/>
      <c r="CM41916" s="111"/>
      <c r="CQ41916" s="111"/>
      <c r="EF41916"/>
      <c r="EG41916"/>
      <c r="EH41916"/>
      <c r="EI41916"/>
      <c r="EJ41916"/>
      <c r="EK41916"/>
    </row>
    <row r="41917" spans="1:141" s="116" customFormat="1">
      <c r="A41917" s="136"/>
      <c r="CM41917" s="111"/>
      <c r="CQ41917" s="111"/>
      <c r="EF41917"/>
      <c r="EG41917"/>
      <c r="EH41917"/>
      <c r="EI41917"/>
      <c r="EJ41917"/>
      <c r="EK41917"/>
    </row>
    <row r="41918" spans="1:141" s="116" customFormat="1">
      <c r="A41918" s="136"/>
      <c r="CM41918" s="111"/>
      <c r="CQ41918" s="111"/>
      <c r="EF41918"/>
      <c r="EG41918"/>
      <c r="EH41918"/>
      <c r="EI41918"/>
      <c r="EJ41918"/>
      <c r="EK41918"/>
    </row>
    <row r="41919" spans="1:141" s="116" customFormat="1">
      <c r="A41919" s="136"/>
      <c r="CM41919" s="111"/>
      <c r="CQ41919" s="111"/>
      <c r="EF41919"/>
      <c r="EG41919"/>
      <c r="EH41919"/>
      <c r="EI41919"/>
      <c r="EJ41919"/>
      <c r="EK41919"/>
    </row>
    <row r="41920" spans="1:141" s="116" customFormat="1">
      <c r="A41920" s="136"/>
      <c r="CM41920" s="111"/>
      <c r="CQ41920" s="111"/>
      <c r="EF41920"/>
      <c r="EG41920"/>
      <c r="EH41920"/>
      <c r="EI41920"/>
      <c r="EJ41920"/>
      <c r="EK41920"/>
    </row>
    <row r="41921" spans="1:141" s="116" customFormat="1">
      <c r="A41921" s="136"/>
      <c r="CM41921" s="111"/>
      <c r="CQ41921" s="111"/>
      <c r="EF41921"/>
      <c r="EG41921"/>
      <c r="EH41921"/>
      <c r="EI41921"/>
      <c r="EJ41921"/>
      <c r="EK41921"/>
    </row>
    <row r="41922" spans="1:141" s="116" customFormat="1">
      <c r="A41922" s="136"/>
      <c r="CM41922" s="111"/>
      <c r="CQ41922" s="111"/>
      <c r="EF41922"/>
      <c r="EG41922"/>
      <c r="EH41922"/>
      <c r="EI41922"/>
      <c r="EJ41922"/>
      <c r="EK41922"/>
    </row>
    <row r="41923" spans="1:141" s="116" customFormat="1">
      <c r="A41923" s="136"/>
      <c r="CM41923" s="111"/>
      <c r="CQ41923" s="111"/>
      <c r="EF41923"/>
      <c r="EG41923"/>
      <c r="EH41923"/>
      <c r="EI41923"/>
      <c r="EJ41923"/>
      <c r="EK41923"/>
    </row>
    <row r="41924" spans="1:141" s="116" customFormat="1">
      <c r="A41924" s="136"/>
      <c r="CM41924" s="111"/>
      <c r="CQ41924" s="111"/>
      <c r="EF41924"/>
      <c r="EG41924"/>
      <c r="EH41924"/>
      <c r="EI41924"/>
      <c r="EJ41924"/>
      <c r="EK41924"/>
    </row>
    <row r="41925" spans="1:141" s="116" customFormat="1">
      <c r="A41925" s="136"/>
      <c r="CM41925" s="111"/>
      <c r="CQ41925" s="111"/>
      <c r="EF41925"/>
      <c r="EG41925"/>
      <c r="EH41925"/>
      <c r="EI41925"/>
      <c r="EJ41925"/>
      <c r="EK41925"/>
    </row>
    <row r="41926" spans="1:141" s="116" customFormat="1">
      <c r="A41926" s="136"/>
      <c r="CM41926" s="111"/>
      <c r="CQ41926" s="111"/>
      <c r="EF41926"/>
      <c r="EG41926"/>
      <c r="EH41926"/>
      <c r="EI41926"/>
      <c r="EJ41926"/>
      <c r="EK41926"/>
    </row>
    <row r="41927" spans="1:141" s="116" customFormat="1">
      <c r="A41927" s="136"/>
      <c r="CM41927" s="111"/>
      <c r="CQ41927" s="111"/>
      <c r="EF41927"/>
      <c r="EG41927"/>
      <c r="EH41927"/>
      <c r="EI41927"/>
      <c r="EJ41927"/>
      <c r="EK41927"/>
    </row>
    <row r="41928" spans="1:141" s="116" customFormat="1">
      <c r="A41928" s="136"/>
      <c r="CM41928" s="111"/>
      <c r="CQ41928" s="111"/>
      <c r="EF41928"/>
      <c r="EG41928"/>
      <c r="EH41928"/>
      <c r="EI41928"/>
      <c r="EJ41928"/>
      <c r="EK41928"/>
    </row>
    <row r="41929" spans="1:141" s="116" customFormat="1">
      <c r="A41929" s="136"/>
      <c r="CM41929" s="111"/>
      <c r="CQ41929" s="111"/>
      <c r="EF41929"/>
      <c r="EG41929"/>
      <c r="EH41929"/>
      <c r="EI41929"/>
      <c r="EJ41929"/>
      <c r="EK41929"/>
    </row>
    <row r="41930" spans="1:141" s="116" customFormat="1">
      <c r="A41930" s="136"/>
      <c r="CM41930" s="111"/>
      <c r="CQ41930" s="111"/>
      <c r="EF41930"/>
      <c r="EG41930"/>
      <c r="EH41930"/>
      <c r="EI41930"/>
      <c r="EJ41930"/>
      <c r="EK41930"/>
    </row>
    <row r="41931" spans="1:141" s="116" customFormat="1">
      <c r="A41931" s="136"/>
      <c r="CM41931" s="111"/>
      <c r="CQ41931" s="111"/>
      <c r="EF41931"/>
      <c r="EG41931"/>
      <c r="EH41931"/>
      <c r="EI41931"/>
      <c r="EJ41931"/>
      <c r="EK41931"/>
    </row>
    <row r="41932" spans="1:141" s="116" customFormat="1">
      <c r="A41932" s="136"/>
      <c r="CM41932" s="111"/>
      <c r="CQ41932" s="111"/>
      <c r="EF41932"/>
      <c r="EG41932"/>
      <c r="EH41932"/>
      <c r="EI41932"/>
      <c r="EJ41932"/>
      <c r="EK41932"/>
    </row>
    <row r="41933" spans="1:141" s="116" customFormat="1">
      <c r="A41933" s="136"/>
      <c r="CM41933" s="111"/>
      <c r="CQ41933" s="111"/>
      <c r="EF41933"/>
      <c r="EG41933"/>
      <c r="EH41933"/>
      <c r="EI41933"/>
      <c r="EJ41933"/>
      <c r="EK41933"/>
    </row>
    <row r="41934" spans="1:141" s="116" customFormat="1">
      <c r="A41934" s="136"/>
      <c r="CM41934" s="111"/>
      <c r="CQ41934" s="111"/>
      <c r="EF41934"/>
      <c r="EG41934"/>
      <c r="EH41934"/>
      <c r="EI41934"/>
      <c r="EJ41934"/>
      <c r="EK41934"/>
    </row>
    <row r="41935" spans="1:141" s="116" customFormat="1">
      <c r="A41935" s="136"/>
      <c r="CM41935" s="111"/>
      <c r="CQ41935" s="111"/>
      <c r="EF41935"/>
      <c r="EG41935"/>
      <c r="EH41935"/>
      <c r="EI41935"/>
      <c r="EJ41935"/>
      <c r="EK41935"/>
    </row>
    <row r="41936" spans="1:141" s="116" customFormat="1">
      <c r="A41936" s="136"/>
      <c r="CM41936" s="111"/>
      <c r="CQ41936" s="111"/>
      <c r="EF41936"/>
      <c r="EG41936"/>
      <c r="EH41936"/>
      <c r="EI41936"/>
      <c r="EJ41936"/>
      <c r="EK41936"/>
    </row>
    <row r="41937" spans="1:141" s="116" customFormat="1">
      <c r="A41937" s="136"/>
      <c r="CM41937" s="111"/>
      <c r="CQ41937" s="111"/>
      <c r="EF41937"/>
      <c r="EG41937"/>
      <c r="EH41937"/>
      <c r="EI41937"/>
      <c r="EJ41937"/>
      <c r="EK41937"/>
    </row>
    <row r="41938" spans="1:141" s="116" customFormat="1">
      <c r="A41938" s="136"/>
      <c r="CM41938" s="111"/>
      <c r="CQ41938" s="111"/>
      <c r="EF41938"/>
      <c r="EG41938"/>
      <c r="EH41938"/>
      <c r="EI41938"/>
      <c r="EJ41938"/>
      <c r="EK41938"/>
    </row>
    <row r="41939" spans="1:141" s="116" customFormat="1">
      <c r="A41939" s="136"/>
      <c r="CM41939" s="111"/>
      <c r="CQ41939" s="111"/>
      <c r="EF41939"/>
      <c r="EG41939"/>
      <c r="EH41939"/>
      <c r="EI41939"/>
      <c r="EJ41939"/>
      <c r="EK41939"/>
    </row>
    <row r="41940" spans="1:141" s="116" customFormat="1">
      <c r="A41940" s="136"/>
      <c r="CM41940" s="111"/>
      <c r="CQ41940" s="111"/>
      <c r="EF41940"/>
      <c r="EG41940"/>
      <c r="EH41940"/>
      <c r="EI41940"/>
      <c r="EJ41940"/>
      <c r="EK41940"/>
    </row>
    <row r="41941" spans="1:141" s="116" customFormat="1">
      <c r="A41941" s="136"/>
      <c r="CM41941" s="111"/>
      <c r="CQ41941" s="111"/>
      <c r="EF41941"/>
      <c r="EG41941"/>
      <c r="EH41941"/>
      <c r="EI41941"/>
      <c r="EJ41941"/>
      <c r="EK41941"/>
    </row>
    <row r="41942" spans="1:141" s="116" customFormat="1">
      <c r="A41942" s="136"/>
      <c r="CM41942" s="111"/>
      <c r="CQ41942" s="111"/>
      <c r="EF41942"/>
      <c r="EG41942"/>
      <c r="EH41942"/>
      <c r="EI41942"/>
      <c r="EJ41942"/>
      <c r="EK41942"/>
    </row>
    <row r="41943" spans="1:141" s="116" customFormat="1">
      <c r="A41943" s="136"/>
      <c r="CM41943" s="111"/>
      <c r="CQ41943" s="111"/>
      <c r="EF41943"/>
      <c r="EG41943"/>
      <c r="EH41943"/>
      <c r="EI41943"/>
      <c r="EJ41943"/>
      <c r="EK41943"/>
    </row>
    <row r="41944" spans="1:141" s="116" customFormat="1">
      <c r="A41944" s="136"/>
      <c r="CM41944" s="111"/>
      <c r="CQ41944" s="111"/>
      <c r="EF41944"/>
      <c r="EG41944"/>
      <c r="EH41944"/>
      <c r="EI41944"/>
      <c r="EJ41944"/>
      <c r="EK41944"/>
    </row>
    <row r="41945" spans="1:141" s="116" customFormat="1">
      <c r="A41945" s="136"/>
      <c r="CM41945" s="111"/>
      <c r="CQ41945" s="111"/>
      <c r="EF41945"/>
      <c r="EG41945"/>
      <c r="EH41945"/>
      <c r="EI41945"/>
      <c r="EJ41945"/>
      <c r="EK41945"/>
    </row>
    <row r="41946" spans="1:141" s="116" customFormat="1">
      <c r="A41946" s="136"/>
      <c r="CM41946" s="111"/>
      <c r="CQ41946" s="111"/>
      <c r="EF41946"/>
      <c r="EG41946"/>
      <c r="EH41946"/>
      <c r="EI41946"/>
      <c r="EJ41946"/>
      <c r="EK41946"/>
    </row>
    <row r="41947" spans="1:141" s="116" customFormat="1">
      <c r="A41947" s="136"/>
      <c r="CM41947" s="111"/>
      <c r="CQ41947" s="111"/>
      <c r="EF41947"/>
      <c r="EG41947"/>
      <c r="EH41947"/>
      <c r="EI41947"/>
      <c r="EJ41947"/>
      <c r="EK41947"/>
    </row>
    <row r="41948" spans="1:141" s="116" customFormat="1">
      <c r="A41948" s="136"/>
      <c r="CM41948" s="111"/>
      <c r="CQ41948" s="111"/>
      <c r="EF41948"/>
      <c r="EG41948"/>
      <c r="EH41948"/>
      <c r="EI41948"/>
      <c r="EJ41948"/>
      <c r="EK41948"/>
    </row>
    <row r="41949" spans="1:141" s="116" customFormat="1">
      <c r="A41949" s="136"/>
      <c r="CM41949" s="111"/>
      <c r="CQ41949" s="111"/>
      <c r="EF41949"/>
      <c r="EG41949"/>
      <c r="EH41949"/>
      <c r="EI41949"/>
      <c r="EJ41949"/>
      <c r="EK41949"/>
    </row>
    <row r="41950" spans="1:141" s="116" customFormat="1">
      <c r="A41950" s="136"/>
      <c r="CM41950" s="111"/>
      <c r="CQ41950" s="111"/>
      <c r="EF41950"/>
      <c r="EG41950"/>
      <c r="EH41950"/>
      <c r="EI41950"/>
      <c r="EJ41950"/>
      <c r="EK41950"/>
    </row>
    <row r="41951" spans="1:141" s="116" customFormat="1">
      <c r="A41951" s="136"/>
      <c r="CM41951" s="111"/>
      <c r="CQ41951" s="111"/>
      <c r="EF41951"/>
      <c r="EG41951"/>
      <c r="EH41951"/>
      <c r="EI41951"/>
      <c r="EJ41951"/>
      <c r="EK41951"/>
    </row>
    <row r="41952" spans="1:141" s="116" customFormat="1">
      <c r="A41952" s="136"/>
      <c r="CM41952" s="111"/>
      <c r="CQ41952" s="111"/>
      <c r="EF41952"/>
      <c r="EG41952"/>
      <c r="EH41952"/>
      <c r="EI41952"/>
      <c r="EJ41952"/>
      <c r="EK41952"/>
    </row>
    <row r="41953" spans="1:141" s="116" customFormat="1">
      <c r="A41953" s="136"/>
      <c r="CM41953" s="111"/>
      <c r="CQ41953" s="111"/>
      <c r="EF41953"/>
      <c r="EG41953"/>
      <c r="EH41953"/>
      <c r="EI41953"/>
      <c r="EJ41953"/>
      <c r="EK41953"/>
    </row>
    <row r="41954" spans="1:141" s="116" customFormat="1">
      <c r="A41954" s="136"/>
      <c r="CM41954" s="111"/>
      <c r="CQ41954" s="111"/>
      <c r="EF41954"/>
      <c r="EG41954"/>
      <c r="EH41954"/>
      <c r="EI41954"/>
      <c r="EJ41954"/>
      <c r="EK41954"/>
    </row>
    <row r="41955" spans="1:141" s="116" customFormat="1">
      <c r="A41955" s="136"/>
      <c r="CM41955" s="111"/>
      <c r="CQ41955" s="111"/>
      <c r="EF41955"/>
      <c r="EG41955"/>
      <c r="EH41955"/>
      <c r="EI41955"/>
      <c r="EJ41955"/>
      <c r="EK41955"/>
    </row>
    <row r="41956" spans="1:141" s="116" customFormat="1">
      <c r="A41956" s="136"/>
      <c r="CM41956" s="111"/>
      <c r="CQ41956" s="111"/>
      <c r="EF41956"/>
      <c r="EG41956"/>
      <c r="EH41956"/>
      <c r="EI41956"/>
      <c r="EJ41956"/>
      <c r="EK41956"/>
    </row>
    <row r="41957" spans="1:141" s="116" customFormat="1">
      <c r="A41957" s="136"/>
      <c r="CM41957" s="111"/>
      <c r="CQ41957" s="111"/>
      <c r="EF41957"/>
      <c r="EG41957"/>
      <c r="EH41957"/>
      <c r="EI41957"/>
      <c r="EJ41957"/>
      <c r="EK41957"/>
    </row>
    <row r="41958" spans="1:141" s="116" customFormat="1">
      <c r="A41958" s="136"/>
      <c r="CM41958" s="111"/>
      <c r="CQ41958" s="111"/>
      <c r="EF41958"/>
      <c r="EG41958"/>
      <c r="EH41958"/>
      <c r="EI41958"/>
      <c r="EJ41958"/>
      <c r="EK41958"/>
    </row>
    <row r="41959" spans="1:141" s="116" customFormat="1">
      <c r="A41959" s="136"/>
      <c r="CM41959" s="111"/>
      <c r="CQ41959" s="111"/>
      <c r="EF41959"/>
      <c r="EG41959"/>
      <c r="EH41959"/>
      <c r="EI41959"/>
      <c r="EJ41959"/>
      <c r="EK41959"/>
    </row>
    <row r="41960" spans="1:141" s="116" customFormat="1">
      <c r="A41960" s="136"/>
      <c r="CM41960" s="111"/>
      <c r="CQ41960" s="111"/>
      <c r="EF41960"/>
      <c r="EG41960"/>
      <c r="EH41960"/>
      <c r="EI41960"/>
      <c r="EJ41960"/>
      <c r="EK41960"/>
    </row>
    <row r="41961" spans="1:141" s="116" customFormat="1">
      <c r="A41961" s="136"/>
      <c r="CM41961" s="111"/>
      <c r="CQ41961" s="111"/>
      <c r="EF41961"/>
      <c r="EG41961"/>
      <c r="EH41961"/>
      <c r="EI41961"/>
      <c r="EJ41961"/>
      <c r="EK41961"/>
    </row>
    <row r="41962" spans="1:141" s="116" customFormat="1">
      <c r="A41962" s="136"/>
      <c r="CM41962" s="111"/>
      <c r="CQ41962" s="111"/>
      <c r="EF41962"/>
      <c r="EG41962"/>
      <c r="EH41962"/>
      <c r="EI41962"/>
      <c r="EJ41962"/>
      <c r="EK41962"/>
    </row>
    <row r="41963" spans="1:141" s="116" customFormat="1">
      <c r="A41963" s="136"/>
      <c r="CM41963" s="111"/>
      <c r="CQ41963" s="111"/>
      <c r="EF41963"/>
      <c r="EG41963"/>
      <c r="EH41963"/>
      <c r="EI41963"/>
      <c r="EJ41963"/>
      <c r="EK41963"/>
    </row>
    <row r="41964" spans="1:141" s="116" customFormat="1">
      <c r="A41964" s="136"/>
      <c r="CM41964" s="111"/>
      <c r="CQ41964" s="111"/>
      <c r="EF41964"/>
      <c r="EG41964"/>
      <c r="EH41964"/>
      <c r="EI41964"/>
      <c r="EJ41964"/>
      <c r="EK41964"/>
    </row>
    <row r="41965" spans="1:141" s="116" customFormat="1">
      <c r="A41965" s="136"/>
      <c r="CM41965" s="111"/>
      <c r="CQ41965" s="111"/>
      <c r="EF41965"/>
      <c r="EG41965"/>
      <c r="EH41965"/>
      <c r="EI41965"/>
      <c r="EJ41965"/>
      <c r="EK41965"/>
    </row>
    <row r="41966" spans="1:141" s="116" customFormat="1">
      <c r="A41966" s="136"/>
      <c r="CM41966" s="111"/>
      <c r="CQ41966" s="111"/>
      <c r="EF41966"/>
      <c r="EG41966"/>
      <c r="EH41966"/>
      <c r="EI41966"/>
      <c r="EJ41966"/>
      <c r="EK41966"/>
    </row>
    <row r="41967" spans="1:141" s="116" customFormat="1">
      <c r="A41967" s="136"/>
      <c r="CM41967" s="111"/>
      <c r="CQ41967" s="111"/>
      <c r="EF41967"/>
      <c r="EG41967"/>
      <c r="EH41967"/>
      <c r="EI41967"/>
      <c r="EJ41967"/>
      <c r="EK41967"/>
    </row>
    <row r="41968" spans="1:141" s="116" customFormat="1">
      <c r="A41968" s="136"/>
      <c r="CM41968" s="111"/>
      <c r="CQ41968" s="111"/>
      <c r="EF41968"/>
      <c r="EG41968"/>
      <c r="EH41968"/>
      <c r="EI41968"/>
      <c r="EJ41968"/>
      <c r="EK41968"/>
    </row>
    <row r="41969" spans="1:141" s="116" customFormat="1">
      <c r="A41969" s="136"/>
      <c r="CM41969" s="111"/>
      <c r="CQ41969" s="111"/>
      <c r="EF41969"/>
      <c r="EG41969"/>
      <c r="EH41969"/>
      <c r="EI41969"/>
      <c r="EJ41969"/>
      <c r="EK41969"/>
    </row>
    <row r="41970" spans="1:141" s="116" customFormat="1">
      <c r="A41970" s="136"/>
      <c r="CM41970" s="111"/>
      <c r="CQ41970" s="111"/>
      <c r="EF41970"/>
      <c r="EG41970"/>
      <c r="EH41970"/>
      <c r="EI41970"/>
      <c r="EJ41970"/>
      <c r="EK41970"/>
    </row>
    <row r="41971" spans="1:141" s="116" customFormat="1">
      <c r="A41971" s="136"/>
      <c r="CM41971" s="111"/>
      <c r="CQ41971" s="111"/>
      <c r="EF41971"/>
      <c r="EG41971"/>
      <c r="EH41971"/>
      <c r="EI41971"/>
      <c r="EJ41971"/>
      <c r="EK41971"/>
    </row>
    <row r="41972" spans="1:141" s="116" customFormat="1">
      <c r="A41972" s="136"/>
      <c r="CM41972" s="111"/>
      <c r="CQ41972" s="111"/>
      <c r="EF41972"/>
      <c r="EG41972"/>
      <c r="EH41972"/>
      <c r="EI41972"/>
      <c r="EJ41972"/>
      <c r="EK41972"/>
    </row>
    <row r="41973" spans="1:141" s="116" customFormat="1">
      <c r="A41973" s="136"/>
      <c r="CM41973" s="111"/>
      <c r="CQ41973" s="111"/>
      <c r="EF41973"/>
      <c r="EG41973"/>
      <c r="EH41973"/>
      <c r="EI41973"/>
      <c r="EJ41973"/>
      <c r="EK41973"/>
    </row>
    <row r="41974" spans="1:141" s="116" customFormat="1">
      <c r="A41974" s="136"/>
      <c r="CM41974" s="111"/>
      <c r="CQ41974" s="111"/>
      <c r="EF41974"/>
      <c r="EG41974"/>
      <c r="EH41974"/>
      <c r="EI41974"/>
      <c r="EJ41974"/>
      <c r="EK41974"/>
    </row>
    <row r="41975" spans="1:141" s="116" customFormat="1">
      <c r="A41975" s="136"/>
      <c r="CM41975" s="111"/>
      <c r="CQ41975" s="111"/>
      <c r="EF41975"/>
      <c r="EG41975"/>
      <c r="EH41975"/>
      <c r="EI41975"/>
      <c r="EJ41975"/>
      <c r="EK41975"/>
    </row>
    <row r="41976" spans="1:141" s="116" customFormat="1">
      <c r="A41976" s="136"/>
      <c r="CM41976" s="111"/>
      <c r="CQ41976" s="111"/>
      <c r="EF41976"/>
      <c r="EG41976"/>
      <c r="EH41976"/>
      <c r="EI41976"/>
      <c r="EJ41976"/>
      <c r="EK41976"/>
    </row>
    <row r="41977" spans="1:141" s="116" customFormat="1">
      <c r="A41977" s="136"/>
      <c r="CM41977" s="111"/>
      <c r="CQ41977" s="111"/>
      <c r="EF41977"/>
      <c r="EG41977"/>
      <c r="EH41977"/>
      <c r="EI41977"/>
      <c r="EJ41977"/>
      <c r="EK41977"/>
    </row>
    <row r="41978" spans="1:141" s="116" customFormat="1">
      <c r="A41978" s="136"/>
      <c r="CM41978" s="111"/>
      <c r="CQ41978" s="111"/>
      <c r="EF41978"/>
      <c r="EG41978"/>
      <c r="EH41978"/>
      <c r="EI41978"/>
      <c r="EJ41978"/>
      <c r="EK41978"/>
    </row>
    <row r="41979" spans="1:141" s="116" customFormat="1">
      <c r="A41979" s="136"/>
      <c r="CM41979" s="111"/>
      <c r="CQ41979" s="111"/>
      <c r="EF41979"/>
      <c r="EG41979"/>
      <c r="EH41979"/>
      <c r="EI41979"/>
      <c r="EJ41979"/>
      <c r="EK41979"/>
    </row>
    <row r="41980" spans="1:141" s="116" customFormat="1">
      <c r="A41980" s="136"/>
      <c r="CM41980" s="111"/>
      <c r="CQ41980" s="111"/>
      <c r="EF41980"/>
      <c r="EG41980"/>
      <c r="EH41980"/>
      <c r="EI41980"/>
      <c r="EJ41980"/>
      <c r="EK41980"/>
    </row>
    <row r="41981" spans="1:141" s="116" customFormat="1">
      <c r="A41981" s="136"/>
      <c r="CM41981" s="111"/>
      <c r="CQ41981" s="111"/>
      <c r="EF41981"/>
      <c r="EG41981"/>
      <c r="EH41981"/>
      <c r="EI41981"/>
      <c r="EJ41981"/>
      <c r="EK41981"/>
    </row>
    <row r="41982" spans="1:141" s="116" customFormat="1">
      <c r="A41982" s="136"/>
      <c r="CM41982" s="111"/>
      <c r="CQ41982" s="111"/>
      <c r="EF41982"/>
      <c r="EG41982"/>
      <c r="EH41982"/>
      <c r="EI41982"/>
      <c r="EJ41982"/>
      <c r="EK41982"/>
    </row>
    <row r="41983" spans="1:141" s="116" customFormat="1">
      <c r="A41983" s="136"/>
      <c r="CM41983" s="111"/>
      <c r="CQ41983" s="111"/>
      <c r="EF41983"/>
      <c r="EG41983"/>
      <c r="EH41983"/>
      <c r="EI41983"/>
      <c r="EJ41983"/>
      <c r="EK41983"/>
    </row>
    <row r="41984" spans="1:141" s="116" customFormat="1">
      <c r="A41984" s="136"/>
      <c r="CM41984" s="111"/>
      <c r="CQ41984" s="111"/>
      <c r="EF41984"/>
      <c r="EG41984"/>
      <c r="EH41984"/>
      <c r="EI41984"/>
      <c r="EJ41984"/>
      <c r="EK41984"/>
    </row>
    <row r="41985" spans="1:141" s="116" customFormat="1">
      <c r="A41985" s="136"/>
      <c r="CM41985" s="111"/>
      <c r="CQ41985" s="111"/>
      <c r="EF41985"/>
      <c r="EG41985"/>
      <c r="EH41985"/>
      <c r="EI41985"/>
      <c r="EJ41985"/>
      <c r="EK41985"/>
    </row>
    <row r="41986" spans="1:141" s="116" customFormat="1">
      <c r="A41986" s="136"/>
      <c r="CM41986" s="111"/>
      <c r="CQ41986" s="111"/>
      <c r="EF41986"/>
      <c r="EG41986"/>
      <c r="EH41986"/>
      <c r="EI41986"/>
      <c r="EJ41986"/>
      <c r="EK41986"/>
    </row>
    <row r="41987" spans="1:141" s="116" customFormat="1">
      <c r="A41987" s="136"/>
      <c r="CM41987" s="111"/>
      <c r="CQ41987" s="111"/>
      <c r="EF41987"/>
      <c r="EG41987"/>
      <c r="EH41987"/>
      <c r="EI41987"/>
      <c r="EJ41987"/>
      <c r="EK41987"/>
    </row>
    <row r="41988" spans="1:141" s="116" customFormat="1">
      <c r="A41988" s="136"/>
      <c r="CM41988" s="111"/>
      <c r="CQ41988" s="111"/>
      <c r="EF41988"/>
      <c r="EG41988"/>
      <c r="EH41988"/>
      <c r="EI41988"/>
      <c r="EJ41988"/>
      <c r="EK41988"/>
    </row>
    <row r="41989" spans="1:141" s="116" customFormat="1">
      <c r="A41989" s="136"/>
      <c r="CM41989" s="111"/>
      <c r="CQ41989" s="111"/>
      <c r="EF41989"/>
      <c r="EG41989"/>
      <c r="EH41989"/>
      <c r="EI41989"/>
      <c r="EJ41989"/>
      <c r="EK41989"/>
    </row>
    <row r="41990" spans="1:141" s="116" customFormat="1">
      <c r="A41990" s="136"/>
      <c r="CM41990" s="111"/>
      <c r="CQ41990" s="111"/>
      <c r="EF41990"/>
      <c r="EG41990"/>
      <c r="EH41990"/>
      <c r="EI41990"/>
      <c r="EJ41990"/>
      <c r="EK41990"/>
    </row>
    <row r="41991" spans="1:141" s="116" customFormat="1">
      <c r="A41991" s="136"/>
      <c r="CM41991" s="111"/>
      <c r="CQ41991" s="111"/>
      <c r="EF41991"/>
      <c r="EG41991"/>
      <c r="EH41991"/>
      <c r="EI41991"/>
      <c r="EJ41991"/>
      <c r="EK41991"/>
    </row>
    <row r="41992" spans="1:141" s="116" customFormat="1">
      <c r="A41992" s="136"/>
      <c r="CM41992" s="111"/>
      <c r="CQ41992" s="111"/>
      <c r="EF41992"/>
      <c r="EG41992"/>
      <c r="EH41992"/>
      <c r="EI41992"/>
      <c r="EJ41992"/>
      <c r="EK41992"/>
    </row>
    <row r="41993" spans="1:141" s="116" customFormat="1">
      <c r="A41993" s="136"/>
      <c r="CM41993" s="111"/>
      <c r="CQ41993" s="111"/>
      <c r="EF41993"/>
      <c r="EG41993"/>
      <c r="EH41993"/>
      <c r="EI41993"/>
      <c r="EJ41993"/>
      <c r="EK41993"/>
    </row>
    <row r="41994" spans="1:141" s="116" customFormat="1">
      <c r="A41994" s="136"/>
      <c r="CM41994" s="111"/>
      <c r="CQ41994" s="111"/>
      <c r="EF41994"/>
      <c r="EG41994"/>
      <c r="EH41994"/>
      <c r="EI41994"/>
      <c r="EJ41994"/>
      <c r="EK41994"/>
    </row>
    <row r="41995" spans="1:141" s="116" customFormat="1">
      <c r="A41995" s="136"/>
      <c r="CM41995" s="111"/>
      <c r="CQ41995" s="111"/>
      <c r="EF41995"/>
      <c r="EG41995"/>
      <c r="EH41995"/>
      <c r="EI41995"/>
      <c r="EJ41995"/>
      <c r="EK41995"/>
    </row>
    <row r="41996" spans="1:141" s="116" customFormat="1">
      <c r="A41996" s="136"/>
      <c r="CM41996" s="111"/>
      <c r="CQ41996" s="111"/>
      <c r="EF41996"/>
      <c r="EG41996"/>
      <c r="EH41996"/>
      <c r="EI41996"/>
      <c r="EJ41996"/>
      <c r="EK41996"/>
    </row>
    <row r="41997" spans="1:141" s="116" customFormat="1">
      <c r="A41997" s="136"/>
      <c r="CM41997" s="111"/>
      <c r="CQ41997" s="111"/>
      <c r="EF41997"/>
      <c r="EG41997"/>
      <c r="EH41997"/>
      <c r="EI41997"/>
      <c r="EJ41997"/>
      <c r="EK41997"/>
    </row>
    <row r="41998" spans="1:141" s="116" customFormat="1">
      <c r="A41998" s="136"/>
      <c r="CM41998" s="111"/>
      <c r="CQ41998" s="111"/>
      <c r="EF41998"/>
      <c r="EG41998"/>
      <c r="EH41998"/>
      <c r="EI41998"/>
      <c r="EJ41998"/>
      <c r="EK41998"/>
    </row>
    <row r="41999" spans="1:141" s="116" customFormat="1">
      <c r="A41999" s="136"/>
      <c r="CM41999" s="111"/>
      <c r="CQ41999" s="111"/>
      <c r="EF41999"/>
      <c r="EG41999"/>
      <c r="EH41999"/>
      <c r="EI41999"/>
      <c r="EJ41999"/>
      <c r="EK41999"/>
    </row>
    <row r="42000" spans="1:141" s="116" customFormat="1">
      <c r="A42000" s="136"/>
      <c r="CM42000" s="111"/>
      <c r="CQ42000" s="111"/>
      <c r="EF42000"/>
      <c r="EG42000"/>
      <c r="EH42000"/>
      <c r="EI42000"/>
      <c r="EJ42000"/>
      <c r="EK42000"/>
    </row>
    <row r="42001" spans="1:141" s="116" customFormat="1">
      <c r="A42001" s="136"/>
      <c r="CM42001" s="111"/>
      <c r="CQ42001" s="111"/>
      <c r="EF42001"/>
      <c r="EG42001"/>
      <c r="EH42001"/>
      <c r="EI42001"/>
      <c r="EJ42001"/>
      <c r="EK42001"/>
    </row>
    <row r="42002" spans="1:141" s="116" customFormat="1">
      <c r="A42002" s="136"/>
      <c r="CM42002" s="111"/>
      <c r="CQ42002" s="111"/>
      <c r="EF42002"/>
      <c r="EG42002"/>
      <c r="EH42002"/>
      <c r="EI42002"/>
      <c r="EJ42002"/>
      <c r="EK42002"/>
    </row>
    <row r="42003" spans="1:141" s="116" customFormat="1">
      <c r="A42003" s="136"/>
      <c r="CM42003" s="111"/>
      <c r="CQ42003" s="111"/>
      <c r="EF42003"/>
      <c r="EG42003"/>
      <c r="EH42003"/>
      <c r="EI42003"/>
      <c r="EJ42003"/>
      <c r="EK42003"/>
    </row>
    <row r="42004" spans="1:141" s="116" customFormat="1">
      <c r="A42004" s="136"/>
      <c r="CM42004" s="111"/>
      <c r="CQ42004" s="111"/>
      <c r="EF42004"/>
      <c r="EG42004"/>
      <c r="EH42004"/>
      <c r="EI42004"/>
      <c r="EJ42004"/>
      <c r="EK42004"/>
    </row>
    <row r="42005" spans="1:141" s="116" customFormat="1">
      <c r="A42005" s="136"/>
      <c r="CM42005" s="111"/>
      <c r="CQ42005" s="111"/>
      <c r="EF42005"/>
      <c r="EG42005"/>
      <c r="EH42005"/>
      <c r="EI42005"/>
      <c r="EJ42005"/>
      <c r="EK42005"/>
    </row>
    <row r="42006" spans="1:141" s="116" customFormat="1">
      <c r="A42006" s="136"/>
      <c r="CM42006" s="111"/>
      <c r="CQ42006" s="111"/>
      <c r="EF42006"/>
      <c r="EG42006"/>
      <c r="EH42006"/>
      <c r="EI42006"/>
      <c r="EJ42006"/>
      <c r="EK42006"/>
    </row>
    <row r="42007" spans="1:141" s="116" customFormat="1">
      <c r="A42007" s="136"/>
      <c r="CM42007" s="111"/>
      <c r="CQ42007" s="111"/>
      <c r="EF42007"/>
      <c r="EG42007"/>
      <c r="EH42007"/>
      <c r="EI42007"/>
      <c r="EJ42007"/>
      <c r="EK42007"/>
    </row>
    <row r="42008" spans="1:141" s="116" customFormat="1">
      <c r="A42008" s="136"/>
      <c r="CM42008" s="111"/>
      <c r="CQ42008" s="111"/>
      <c r="EF42008"/>
      <c r="EG42008"/>
      <c r="EH42008"/>
      <c r="EI42008"/>
      <c r="EJ42008"/>
      <c r="EK42008"/>
    </row>
    <row r="42009" spans="1:141" s="116" customFormat="1">
      <c r="A42009" s="136"/>
      <c r="CM42009" s="111"/>
      <c r="CQ42009" s="111"/>
      <c r="EF42009"/>
      <c r="EG42009"/>
      <c r="EH42009"/>
      <c r="EI42009"/>
      <c r="EJ42009"/>
      <c r="EK42009"/>
    </row>
    <row r="42010" spans="1:141" s="116" customFormat="1">
      <c r="A42010" s="136"/>
      <c r="CM42010" s="111"/>
      <c r="CQ42010" s="111"/>
      <c r="EF42010"/>
      <c r="EG42010"/>
      <c r="EH42010"/>
      <c r="EI42010"/>
      <c r="EJ42010"/>
      <c r="EK42010"/>
    </row>
    <row r="42011" spans="1:141" s="116" customFormat="1">
      <c r="A42011" s="136"/>
      <c r="CM42011" s="111"/>
      <c r="CQ42011" s="111"/>
      <c r="EF42011"/>
      <c r="EG42011"/>
      <c r="EH42011"/>
      <c r="EI42011"/>
      <c r="EJ42011"/>
      <c r="EK42011"/>
    </row>
    <row r="42012" spans="1:141" s="116" customFormat="1">
      <c r="A42012" s="136"/>
      <c r="CM42012" s="111"/>
      <c r="CQ42012" s="111"/>
      <c r="EF42012"/>
      <c r="EG42012"/>
      <c r="EH42012"/>
      <c r="EI42012"/>
      <c r="EJ42012"/>
      <c r="EK42012"/>
    </row>
    <row r="42013" spans="1:141" s="116" customFormat="1">
      <c r="A42013" s="136"/>
      <c r="CM42013" s="111"/>
      <c r="CQ42013" s="111"/>
      <c r="EF42013"/>
      <c r="EG42013"/>
      <c r="EH42013"/>
      <c r="EI42013"/>
      <c r="EJ42013"/>
      <c r="EK42013"/>
    </row>
    <row r="42014" spans="1:141" s="116" customFormat="1">
      <c r="A42014" s="136"/>
      <c r="CM42014" s="111"/>
      <c r="CQ42014" s="111"/>
      <c r="EF42014"/>
      <c r="EG42014"/>
      <c r="EH42014"/>
      <c r="EI42014"/>
      <c r="EJ42014"/>
      <c r="EK42014"/>
    </row>
    <row r="42015" spans="1:141" s="116" customFormat="1">
      <c r="A42015" s="136"/>
      <c r="CM42015" s="111"/>
      <c r="CQ42015" s="111"/>
      <c r="EF42015"/>
      <c r="EG42015"/>
      <c r="EH42015"/>
      <c r="EI42015"/>
      <c r="EJ42015"/>
      <c r="EK42015"/>
    </row>
    <row r="42016" spans="1:141" s="116" customFormat="1">
      <c r="A42016" s="136"/>
      <c r="CM42016" s="111"/>
      <c r="CQ42016" s="111"/>
      <c r="EF42016"/>
      <c r="EG42016"/>
      <c r="EH42016"/>
      <c r="EI42016"/>
      <c r="EJ42016"/>
      <c r="EK42016"/>
    </row>
    <row r="42017" spans="1:141" s="116" customFormat="1">
      <c r="A42017" s="136"/>
      <c r="CM42017" s="111"/>
      <c r="CQ42017" s="111"/>
      <c r="EF42017"/>
      <c r="EG42017"/>
      <c r="EH42017"/>
      <c r="EI42017"/>
      <c r="EJ42017"/>
      <c r="EK42017"/>
    </row>
    <row r="42018" spans="1:141" s="116" customFormat="1">
      <c r="A42018" s="136"/>
      <c r="CM42018" s="111"/>
      <c r="CQ42018" s="111"/>
      <c r="EF42018"/>
      <c r="EG42018"/>
      <c r="EH42018"/>
      <c r="EI42018"/>
      <c r="EJ42018"/>
      <c r="EK42018"/>
    </row>
    <row r="42019" spans="1:141" s="116" customFormat="1">
      <c r="A42019" s="136"/>
      <c r="CM42019" s="111"/>
      <c r="CQ42019" s="111"/>
      <c r="EF42019"/>
      <c r="EG42019"/>
      <c r="EH42019"/>
      <c r="EI42019"/>
      <c r="EJ42019"/>
      <c r="EK42019"/>
    </row>
    <row r="42020" spans="1:141" s="116" customFormat="1">
      <c r="A42020" s="136"/>
      <c r="CM42020" s="111"/>
      <c r="CQ42020" s="111"/>
      <c r="EF42020"/>
      <c r="EG42020"/>
      <c r="EH42020"/>
      <c r="EI42020"/>
      <c r="EJ42020"/>
      <c r="EK42020"/>
    </row>
    <row r="42021" spans="1:141" s="116" customFormat="1">
      <c r="A42021" s="136"/>
      <c r="CM42021" s="111"/>
      <c r="CQ42021" s="111"/>
      <c r="EF42021"/>
      <c r="EG42021"/>
      <c r="EH42021"/>
      <c r="EI42021"/>
      <c r="EJ42021"/>
      <c r="EK42021"/>
    </row>
    <row r="42022" spans="1:141" s="116" customFormat="1">
      <c r="A42022" s="136"/>
      <c r="CM42022" s="111"/>
      <c r="CQ42022" s="111"/>
      <c r="EF42022"/>
      <c r="EG42022"/>
      <c r="EH42022"/>
      <c r="EI42022"/>
      <c r="EJ42022"/>
      <c r="EK42022"/>
    </row>
    <row r="42023" spans="1:141" s="116" customFormat="1">
      <c r="A42023" s="136"/>
      <c r="CM42023" s="111"/>
      <c r="CQ42023" s="111"/>
      <c r="EF42023"/>
      <c r="EG42023"/>
      <c r="EH42023"/>
      <c r="EI42023"/>
      <c r="EJ42023"/>
      <c r="EK42023"/>
    </row>
    <row r="42024" spans="1:141" s="116" customFormat="1">
      <c r="A42024" s="136"/>
      <c r="CM42024" s="111"/>
      <c r="CQ42024" s="111"/>
      <c r="EF42024"/>
      <c r="EG42024"/>
      <c r="EH42024"/>
      <c r="EI42024"/>
      <c r="EJ42024"/>
      <c r="EK42024"/>
    </row>
    <row r="42025" spans="1:141" s="116" customFormat="1">
      <c r="A42025" s="136"/>
      <c r="CM42025" s="111"/>
      <c r="CQ42025" s="111"/>
      <c r="EF42025"/>
      <c r="EG42025"/>
      <c r="EH42025"/>
      <c r="EI42025"/>
      <c r="EJ42025"/>
      <c r="EK42025"/>
    </row>
    <row r="42026" spans="1:141" s="116" customFormat="1">
      <c r="A42026" s="136"/>
      <c r="CM42026" s="111"/>
      <c r="CQ42026" s="111"/>
      <c r="EF42026"/>
      <c r="EG42026"/>
      <c r="EH42026"/>
      <c r="EI42026"/>
      <c r="EJ42026"/>
      <c r="EK42026"/>
    </row>
    <row r="42027" spans="1:141" s="116" customFormat="1">
      <c r="A42027" s="136"/>
      <c r="CM42027" s="111"/>
      <c r="CQ42027" s="111"/>
      <c r="EF42027"/>
      <c r="EG42027"/>
      <c r="EH42027"/>
      <c r="EI42027"/>
      <c r="EJ42027"/>
      <c r="EK42027"/>
    </row>
    <row r="42028" spans="1:141" s="116" customFormat="1">
      <c r="A42028" s="136"/>
      <c r="CM42028" s="111"/>
      <c r="CQ42028" s="111"/>
      <c r="EF42028"/>
      <c r="EG42028"/>
      <c r="EH42028"/>
      <c r="EI42028"/>
      <c r="EJ42028"/>
      <c r="EK42028"/>
    </row>
    <row r="42029" spans="1:141" s="116" customFormat="1">
      <c r="A42029" s="136"/>
      <c r="CM42029" s="111"/>
      <c r="CQ42029" s="111"/>
      <c r="EF42029"/>
      <c r="EG42029"/>
      <c r="EH42029"/>
      <c r="EI42029"/>
      <c r="EJ42029"/>
      <c r="EK42029"/>
    </row>
    <row r="42030" spans="1:141" s="116" customFormat="1">
      <c r="A42030" s="136"/>
      <c r="CM42030" s="111"/>
      <c r="CQ42030" s="111"/>
      <c r="EF42030"/>
      <c r="EG42030"/>
      <c r="EH42030"/>
      <c r="EI42030"/>
      <c r="EJ42030"/>
      <c r="EK42030"/>
    </row>
    <row r="42031" spans="1:141" s="116" customFormat="1">
      <c r="A42031" s="136"/>
      <c r="CM42031" s="111"/>
      <c r="CQ42031" s="111"/>
      <c r="EF42031"/>
      <c r="EG42031"/>
      <c r="EH42031"/>
      <c r="EI42031"/>
      <c r="EJ42031"/>
      <c r="EK42031"/>
    </row>
    <row r="42032" spans="1:141" s="116" customFormat="1">
      <c r="A42032" s="136"/>
      <c r="CM42032" s="111"/>
      <c r="CQ42032" s="111"/>
      <c r="EF42032"/>
      <c r="EG42032"/>
      <c r="EH42032"/>
      <c r="EI42032"/>
      <c r="EJ42032"/>
      <c r="EK42032"/>
    </row>
    <row r="42033" spans="1:141" s="116" customFormat="1">
      <c r="A42033" s="136"/>
      <c r="CM42033" s="111"/>
      <c r="CQ42033" s="111"/>
      <c r="EF42033"/>
      <c r="EG42033"/>
      <c r="EH42033"/>
      <c r="EI42033"/>
      <c r="EJ42033"/>
      <c r="EK42033"/>
    </row>
    <row r="42034" spans="1:141" s="116" customFormat="1">
      <c r="A42034" s="136"/>
      <c r="CM42034" s="111"/>
      <c r="CQ42034" s="111"/>
      <c r="EF42034"/>
      <c r="EG42034"/>
      <c r="EH42034"/>
      <c r="EI42034"/>
      <c r="EJ42034"/>
      <c r="EK42034"/>
    </row>
    <row r="42035" spans="1:141" s="116" customFormat="1">
      <c r="A42035" s="136"/>
      <c r="CM42035" s="111"/>
      <c r="CQ42035" s="111"/>
      <c r="EF42035"/>
      <c r="EG42035"/>
      <c r="EH42035"/>
      <c r="EI42035"/>
      <c r="EJ42035"/>
      <c r="EK42035"/>
    </row>
    <row r="42036" spans="1:141" s="116" customFormat="1">
      <c r="A42036" s="136"/>
      <c r="CM42036" s="111"/>
      <c r="CQ42036" s="111"/>
      <c r="EF42036"/>
      <c r="EG42036"/>
      <c r="EH42036"/>
      <c r="EI42036"/>
      <c r="EJ42036"/>
      <c r="EK42036"/>
    </row>
    <row r="42037" spans="1:141" s="116" customFormat="1">
      <c r="A42037" s="136"/>
      <c r="CM42037" s="111"/>
      <c r="CQ42037" s="111"/>
      <c r="EF42037"/>
      <c r="EG42037"/>
      <c r="EH42037"/>
      <c r="EI42037"/>
      <c r="EJ42037"/>
      <c r="EK42037"/>
    </row>
    <row r="42038" spans="1:141" s="116" customFormat="1">
      <c r="A42038" s="136"/>
      <c r="CM42038" s="111"/>
      <c r="CQ42038" s="111"/>
      <c r="EF42038"/>
      <c r="EG42038"/>
      <c r="EH42038"/>
      <c r="EI42038"/>
      <c r="EJ42038"/>
      <c r="EK42038"/>
    </row>
    <row r="42039" spans="1:141" s="116" customFormat="1">
      <c r="A42039" s="136"/>
      <c r="CM42039" s="111"/>
      <c r="CQ42039" s="111"/>
      <c r="EF42039"/>
      <c r="EG42039"/>
      <c r="EH42039"/>
      <c r="EI42039"/>
      <c r="EJ42039"/>
      <c r="EK42039"/>
    </row>
    <row r="42040" spans="1:141" s="116" customFormat="1">
      <c r="A42040" s="136"/>
      <c r="CM42040" s="111"/>
      <c r="CQ42040" s="111"/>
      <c r="EF42040"/>
      <c r="EG42040"/>
      <c r="EH42040"/>
      <c r="EI42040"/>
      <c r="EJ42040"/>
      <c r="EK42040"/>
    </row>
    <row r="42041" spans="1:141" s="116" customFormat="1">
      <c r="A42041" s="136"/>
      <c r="CM42041" s="111"/>
      <c r="CQ42041" s="111"/>
      <c r="EF42041"/>
      <c r="EG42041"/>
      <c r="EH42041"/>
      <c r="EI42041"/>
      <c r="EJ42041"/>
      <c r="EK42041"/>
    </row>
    <row r="42042" spans="1:141" s="116" customFormat="1">
      <c r="A42042" s="136"/>
      <c r="CM42042" s="111"/>
      <c r="CQ42042" s="111"/>
      <c r="EF42042"/>
      <c r="EG42042"/>
      <c r="EH42042"/>
      <c r="EI42042"/>
      <c r="EJ42042"/>
      <c r="EK42042"/>
    </row>
    <row r="42043" spans="1:141" s="116" customFormat="1">
      <c r="A42043" s="136"/>
      <c r="CM42043" s="111"/>
      <c r="CQ42043" s="111"/>
      <c r="EF42043"/>
      <c r="EG42043"/>
      <c r="EH42043"/>
      <c r="EI42043"/>
      <c r="EJ42043"/>
      <c r="EK42043"/>
    </row>
    <row r="42044" spans="1:141" s="116" customFormat="1">
      <c r="A42044" s="136"/>
      <c r="CM42044" s="111"/>
      <c r="CQ42044" s="111"/>
      <c r="EF42044"/>
      <c r="EG42044"/>
      <c r="EH42044"/>
      <c r="EI42044"/>
      <c r="EJ42044"/>
      <c r="EK42044"/>
    </row>
    <row r="42045" spans="1:141" s="116" customFormat="1">
      <c r="A42045" s="136"/>
      <c r="CM42045" s="111"/>
      <c r="CQ42045" s="111"/>
      <c r="EF42045"/>
      <c r="EG42045"/>
      <c r="EH42045"/>
      <c r="EI42045"/>
      <c r="EJ42045"/>
      <c r="EK42045"/>
    </row>
    <row r="42046" spans="1:141" s="116" customFormat="1">
      <c r="A42046" s="136"/>
      <c r="CM42046" s="111"/>
      <c r="CQ42046" s="111"/>
      <c r="EF42046"/>
      <c r="EG42046"/>
      <c r="EH42046"/>
      <c r="EI42046"/>
      <c r="EJ42046"/>
      <c r="EK42046"/>
    </row>
    <row r="42047" spans="1:141" s="116" customFormat="1">
      <c r="A42047" s="136"/>
      <c r="CM42047" s="111"/>
      <c r="CQ42047" s="111"/>
      <c r="EF42047"/>
      <c r="EG42047"/>
      <c r="EH42047"/>
      <c r="EI42047"/>
      <c r="EJ42047"/>
      <c r="EK42047"/>
    </row>
    <row r="42048" spans="1:141" s="116" customFormat="1">
      <c r="A42048" s="136"/>
      <c r="CM42048" s="111"/>
      <c r="CQ42048" s="111"/>
      <c r="EF42048"/>
      <c r="EG42048"/>
      <c r="EH42048"/>
      <c r="EI42048"/>
      <c r="EJ42048"/>
      <c r="EK42048"/>
    </row>
    <row r="42049" spans="1:141" s="116" customFormat="1">
      <c r="A42049" s="136"/>
      <c r="CM42049" s="111"/>
      <c r="CQ42049" s="111"/>
      <c r="EF42049"/>
      <c r="EG42049"/>
      <c r="EH42049"/>
      <c r="EI42049"/>
      <c r="EJ42049"/>
      <c r="EK42049"/>
    </row>
    <row r="42050" spans="1:141" s="116" customFormat="1">
      <c r="A42050" s="136"/>
      <c r="CM42050" s="111"/>
      <c r="CQ42050" s="111"/>
      <c r="EF42050"/>
      <c r="EG42050"/>
      <c r="EH42050"/>
      <c r="EI42050"/>
      <c r="EJ42050"/>
      <c r="EK42050"/>
    </row>
    <row r="42051" spans="1:141" s="116" customFormat="1">
      <c r="A42051" s="136"/>
      <c r="CM42051" s="111"/>
      <c r="CQ42051" s="111"/>
      <c r="EF42051"/>
      <c r="EG42051"/>
      <c r="EH42051"/>
      <c r="EI42051"/>
      <c r="EJ42051"/>
      <c r="EK42051"/>
    </row>
    <row r="42052" spans="1:141" s="116" customFormat="1">
      <c r="A42052" s="136"/>
      <c r="CM42052" s="111"/>
      <c r="CQ42052" s="111"/>
      <c r="EF42052"/>
      <c r="EG42052"/>
      <c r="EH42052"/>
      <c r="EI42052"/>
      <c r="EJ42052"/>
      <c r="EK42052"/>
    </row>
    <row r="42053" spans="1:141" s="116" customFormat="1">
      <c r="A42053" s="136"/>
      <c r="CM42053" s="111"/>
      <c r="CQ42053" s="111"/>
      <c r="EF42053"/>
      <c r="EG42053"/>
      <c r="EH42053"/>
      <c r="EI42053"/>
      <c r="EJ42053"/>
      <c r="EK42053"/>
    </row>
    <row r="42054" spans="1:141" s="116" customFormat="1">
      <c r="A42054" s="136"/>
      <c r="CM42054" s="111"/>
      <c r="CQ42054" s="111"/>
      <c r="EF42054"/>
      <c r="EG42054"/>
      <c r="EH42054"/>
      <c r="EI42054"/>
      <c r="EJ42054"/>
      <c r="EK42054"/>
    </row>
    <row r="42055" spans="1:141" s="116" customFormat="1">
      <c r="A42055" s="136"/>
      <c r="CM42055" s="111"/>
      <c r="CQ42055" s="111"/>
      <c r="EF42055"/>
      <c r="EG42055"/>
      <c r="EH42055"/>
      <c r="EI42055"/>
      <c r="EJ42055"/>
      <c r="EK42055"/>
    </row>
    <row r="42056" spans="1:141" s="116" customFormat="1">
      <c r="A42056" s="136"/>
      <c r="CM42056" s="111"/>
      <c r="CQ42056" s="111"/>
      <c r="EF42056"/>
      <c r="EG42056"/>
      <c r="EH42056"/>
      <c r="EI42056"/>
      <c r="EJ42056"/>
      <c r="EK42056"/>
    </row>
    <row r="42057" spans="1:141" s="116" customFormat="1">
      <c r="A42057" s="136"/>
      <c r="CM42057" s="111"/>
      <c r="CQ42057" s="111"/>
      <c r="EF42057"/>
      <c r="EG42057"/>
      <c r="EH42057"/>
      <c r="EI42057"/>
      <c r="EJ42057"/>
      <c r="EK42057"/>
    </row>
    <row r="42058" spans="1:141" s="116" customFormat="1">
      <c r="A42058" s="136"/>
      <c r="CM42058" s="111"/>
      <c r="CQ42058" s="111"/>
      <c r="EF42058"/>
      <c r="EG42058"/>
      <c r="EH42058"/>
      <c r="EI42058"/>
      <c r="EJ42058"/>
      <c r="EK42058"/>
    </row>
    <row r="42059" spans="1:141" s="116" customFormat="1">
      <c r="A42059" s="136"/>
      <c r="CM42059" s="111"/>
      <c r="CQ42059" s="111"/>
      <c r="EF42059"/>
      <c r="EG42059"/>
      <c r="EH42059"/>
      <c r="EI42059"/>
      <c r="EJ42059"/>
      <c r="EK42059"/>
    </row>
    <row r="42060" spans="1:141" s="116" customFormat="1">
      <c r="A42060" s="136"/>
      <c r="CM42060" s="111"/>
      <c r="CQ42060" s="111"/>
      <c r="EF42060"/>
      <c r="EG42060"/>
      <c r="EH42060"/>
      <c r="EI42060"/>
      <c r="EJ42060"/>
      <c r="EK42060"/>
    </row>
    <row r="42061" spans="1:141" s="116" customFormat="1">
      <c r="A42061" s="136"/>
      <c r="CM42061" s="111"/>
      <c r="CQ42061" s="111"/>
      <c r="EF42061"/>
      <c r="EG42061"/>
      <c r="EH42061"/>
      <c r="EI42061"/>
      <c r="EJ42061"/>
      <c r="EK42061"/>
    </row>
    <row r="42062" spans="1:141" s="116" customFormat="1">
      <c r="A42062" s="136"/>
      <c r="CM42062" s="111"/>
      <c r="CQ42062" s="111"/>
      <c r="EF42062"/>
      <c r="EG42062"/>
      <c r="EH42062"/>
      <c r="EI42062"/>
      <c r="EJ42062"/>
      <c r="EK42062"/>
    </row>
    <row r="42063" spans="1:141" s="116" customFormat="1">
      <c r="A42063" s="136"/>
      <c r="CM42063" s="111"/>
      <c r="CQ42063" s="111"/>
      <c r="EF42063"/>
      <c r="EG42063"/>
      <c r="EH42063"/>
      <c r="EI42063"/>
      <c r="EJ42063"/>
      <c r="EK42063"/>
    </row>
    <row r="42064" spans="1:141" s="116" customFormat="1">
      <c r="A42064" s="136"/>
      <c r="CM42064" s="111"/>
      <c r="CQ42064" s="111"/>
      <c r="EF42064"/>
      <c r="EG42064"/>
      <c r="EH42064"/>
      <c r="EI42064"/>
      <c r="EJ42064"/>
      <c r="EK42064"/>
    </row>
    <row r="42065" spans="1:141" s="116" customFormat="1">
      <c r="A42065" s="136"/>
      <c r="CM42065" s="111"/>
      <c r="CQ42065" s="111"/>
      <c r="EF42065"/>
      <c r="EG42065"/>
      <c r="EH42065"/>
      <c r="EI42065"/>
      <c r="EJ42065"/>
      <c r="EK42065"/>
    </row>
    <row r="42066" spans="1:141" s="116" customFormat="1">
      <c r="A42066" s="136"/>
      <c r="CM42066" s="111"/>
      <c r="CQ42066" s="111"/>
      <c r="EF42066"/>
      <c r="EG42066"/>
      <c r="EH42066"/>
      <c r="EI42066"/>
      <c r="EJ42066"/>
      <c r="EK42066"/>
    </row>
    <row r="42067" spans="1:141" s="116" customFormat="1">
      <c r="A42067" s="136"/>
      <c r="CM42067" s="111"/>
      <c r="CQ42067" s="111"/>
      <c r="EF42067"/>
      <c r="EG42067"/>
      <c r="EH42067"/>
      <c r="EI42067"/>
      <c r="EJ42067"/>
      <c r="EK42067"/>
    </row>
    <row r="42068" spans="1:141" s="116" customFormat="1">
      <c r="A42068" s="136"/>
      <c r="CM42068" s="111"/>
      <c r="CQ42068" s="111"/>
      <c r="EF42068"/>
      <c r="EG42068"/>
      <c r="EH42068"/>
      <c r="EI42068"/>
      <c r="EJ42068"/>
      <c r="EK42068"/>
    </row>
    <row r="42069" spans="1:141" s="116" customFormat="1">
      <c r="A42069" s="136"/>
      <c r="CM42069" s="111"/>
      <c r="CQ42069" s="111"/>
      <c r="EF42069"/>
      <c r="EG42069"/>
      <c r="EH42069"/>
      <c r="EI42069"/>
      <c r="EJ42069"/>
      <c r="EK42069"/>
    </row>
    <row r="42070" spans="1:141" s="116" customFormat="1">
      <c r="A42070" s="136"/>
      <c r="CM42070" s="111"/>
      <c r="CQ42070" s="111"/>
      <c r="EF42070"/>
      <c r="EG42070"/>
      <c r="EH42070"/>
      <c r="EI42070"/>
      <c r="EJ42070"/>
      <c r="EK42070"/>
    </row>
    <row r="42071" spans="1:141" s="116" customFormat="1">
      <c r="A42071" s="136"/>
      <c r="CM42071" s="111"/>
      <c r="CQ42071" s="111"/>
      <c r="EF42071"/>
      <c r="EG42071"/>
      <c r="EH42071"/>
      <c r="EI42071"/>
      <c r="EJ42071"/>
      <c r="EK42071"/>
    </row>
    <row r="42072" spans="1:141" s="116" customFormat="1">
      <c r="A42072" s="136"/>
      <c r="CM42072" s="111"/>
      <c r="CQ42072" s="111"/>
      <c r="EF42072"/>
      <c r="EG42072"/>
      <c r="EH42072"/>
      <c r="EI42072"/>
      <c r="EJ42072"/>
      <c r="EK42072"/>
    </row>
    <row r="42073" spans="1:141" s="116" customFormat="1">
      <c r="A42073" s="136"/>
      <c r="CM42073" s="111"/>
      <c r="CQ42073" s="111"/>
      <c r="EF42073"/>
      <c r="EG42073"/>
      <c r="EH42073"/>
      <c r="EI42073"/>
      <c r="EJ42073"/>
      <c r="EK42073"/>
    </row>
    <row r="42074" spans="1:141" s="116" customFormat="1">
      <c r="A42074" s="136"/>
      <c r="CM42074" s="111"/>
      <c r="CQ42074" s="111"/>
      <c r="EF42074"/>
      <c r="EG42074"/>
      <c r="EH42074"/>
      <c r="EI42074"/>
      <c r="EJ42074"/>
      <c r="EK42074"/>
    </row>
    <row r="42075" spans="1:141" s="116" customFormat="1">
      <c r="A42075" s="136"/>
      <c r="CM42075" s="111"/>
      <c r="CQ42075" s="111"/>
      <c r="EF42075"/>
      <c r="EG42075"/>
      <c r="EH42075"/>
      <c r="EI42075"/>
      <c r="EJ42075"/>
      <c r="EK42075"/>
    </row>
    <row r="42076" spans="1:141" s="116" customFormat="1">
      <c r="A42076" s="136"/>
      <c r="CM42076" s="111"/>
      <c r="CQ42076" s="111"/>
      <c r="EF42076"/>
      <c r="EG42076"/>
      <c r="EH42076"/>
      <c r="EI42076"/>
      <c r="EJ42076"/>
      <c r="EK42076"/>
    </row>
    <row r="42077" spans="1:141" s="116" customFormat="1">
      <c r="A42077" s="136"/>
      <c r="CM42077" s="111"/>
      <c r="CQ42077" s="111"/>
      <c r="EF42077"/>
      <c r="EG42077"/>
      <c r="EH42077"/>
      <c r="EI42077"/>
      <c r="EJ42077"/>
      <c r="EK42077"/>
    </row>
    <row r="42078" spans="1:141" s="116" customFormat="1">
      <c r="A42078" s="136"/>
      <c r="CM42078" s="111"/>
      <c r="CQ42078" s="111"/>
      <c r="EF42078"/>
      <c r="EG42078"/>
      <c r="EH42078"/>
      <c r="EI42078"/>
      <c r="EJ42078"/>
      <c r="EK42078"/>
    </row>
    <row r="42079" spans="1:141" s="116" customFormat="1">
      <c r="A42079" s="136"/>
      <c r="CM42079" s="111"/>
      <c r="CQ42079" s="111"/>
      <c r="EF42079"/>
      <c r="EG42079"/>
      <c r="EH42079"/>
      <c r="EI42079"/>
      <c r="EJ42079"/>
      <c r="EK42079"/>
    </row>
    <row r="42080" spans="1:141" s="116" customFormat="1">
      <c r="A42080" s="136"/>
      <c r="CM42080" s="111"/>
      <c r="CQ42080" s="111"/>
      <c r="EF42080"/>
      <c r="EG42080"/>
      <c r="EH42080"/>
      <c r="EI42080"/>
      <c r="EJ42080"/>
      <c r="EK42080"/>
    </row>
    <row r="42081" spans="1:141" s="116" customFormat="1">
      <c r="A42081" s="136"/>
      <c r="CM42081" s="111"/>
      <c r="CQ42081" s="111"/>
      <c r="EF42081"/>
      <c r="EG42081"/>
      <c r="EH42081"/>
      <c r="EI42081"/>
      <c r="EJ42081"/>
      <c r="EK42081"/>
    </row>
    <row r="42082" spans="1:141" s="116" customFormat="1">
      <c r="A42082" s="136"/>
      <c r="CM42082" s="111"/>
      <c r="CQ42082" s="111"/>
      <c r="EF42082"/>
      <c r="EG42082"/>
      <c r="EH42082"/>
      <c r="EI42082"/>
      <c r="EJ42082"/>
      <c r="EK42082"/>
    </row>
    <row r="42083" spans="1:141" s="116" customFormat="1">
      <c r="A42083" s="136"/>
      <c r="CM42083" s="111"/>
      <c r="CQ42083" s="111"/>
      <c r="EF42083"/>
      <c r="EG42083"/>
      <c r="EH42083"/>
      <c r="EI42083"/>
      <c r="EJ42083"/>
      <c r="EK42083"/>
    </row>
    <row r="42084" spans="1:141" s="116" customFormat="1">
      <c r="A42084" s="136"/>
      <c r="CM42084" s="111"/>
      <c r="CQ42084" s="111"/>
      <c r="EF42084"/>
      <c r="EG42084"/>
      <c r="EH42084"/>
      <c r="EI42084"/>
      <c r="EJ42084"/>
      <c r="EK42084"/>
    </row>
    <row r="42085" spans="1:141" s="116" customFormat="1">
      <c r="A42085" s="136"/>
      <c r="CM42085" s="111"/>
      <c r="CQ42085" s="111"/>
      <c r="EF42085"/>
      <c r="EG42085"/>
      <c r="EH42085"/>
      <c r="EI42085"/>
      <c r="EJ42085"/>
      <c r="EK42085"/>
    </row>
    <row r="42086" spans="1:141" s="116" customFormat="1">
      <c r="A42086" s="136"/>
      <c r="CM42086" s="111"/>
      <c r="CQ42086" s="111"/>
      <c r="EF42086"/>
      <c r="EG42086"/>
      <c r="EH42086"/>
      <c r="EI42086"/>
      <c r="EJ42086"/>
      <c r="EK42086"/>
    </row>
    <row r="42087" spans="1:141" s="116" customFormat="1">
      <c r="A42087" s="136"/>
      <c r="CM42087" s="111"/>
      <c r="CQ42087" s="111"/>
      <c r="EF42087"/>
      <c r="EG42087"/>
      <c r="EH42087"/>
      <c r="EI42087"/>
      <c r="EJ42087"/>
      <c r="EK42087"/>
    </row>
    <row r="42088" spans="1:141" s="116" customFormat="1">
      <c r="A42088" s="136"/>
      <c r="CM42088" s="111"/>
      <c r="CQ42088" s="111"/>
      <c r="EF42088"/>
      <c r="EG42088"/>
      <c r="EH42088"/>
      <c r="EI42088"/>
      <c r="EJ42088"/>
      <c r="EK42088"/>
    </row>
    <row r="42089" spans="1:141" s="116" customFormat="1">
      <c r="A42089" s="136"/>
      <c r="CM42089" s="111"/>
      <c r="CQ42089" s="111"/>
      <c r="EF42089"/>
      <c r="EG42089"/>
      <c r="EH42089"/>
      <c r="EI42089"/>
      <c r="EJ42089"/>
      <c r="EK42089"/>
    </row>
    <row r="42090" spans="1:141" s="116" customFormat="1">
      <c r="A42090" s="136"/>
      <c r="CM42090" s="111"/>
      <c r="CQ42090" s="111"/>
      <c r="EF42090"/>
      <c r="EG42090"/>
      <c r="EH42090"/>
      <c r="EI42090"/>
      <c r="EJ42090"/>
      <c r="EK42090"/>
    </row>
    <row r="42091" spans="1:141" s="116" customFormat="1">
      <c r="A42091" s="136"/>
      <c r="CM42091" s="111"/>
      <c r="CQ42091" s="111"/>
      <c r="EF42091"/>
      <c r="EG42091"/>
      <c r="EH42091"/>
      <c r="EI42091"/>
      <c r="EJ42091"/>
      <c r="EK42091"/>
    </row>
    <row r="42092" spans="1:141" s="116" customFormat="1">
      <c r="A42092" s="136"/>
      <c r="CM42092" s="111"/>
      <c r="CQ42092" s="111"/>
      <c r="EF42092"/>
      <c r="EG42092"/>
      <c r="EH42092"/>
      <c r="EI42092"/>
      <c r="EJ42092"/>
      <c r="EK42092"/>
    </row>
    <row r="42093" spans="1:141" s="116" customFormat="1">
      <c r="A42093" s="136"/>
      <c r="CM42093" s="111"/>
      <c r="CQ42093" s="111"/>
      <c r="EF42093"/>
      <c r="EG42093"/>
      <c r="EH42093"/>
      <c r="EI42093"/>
      <c r="EJ42093"/>
      <c r="EK42093"/>
    </row>
    <row r="42094" spans="1:141" s="116" customFormat="1">
      <c r="A42094" s="136"/>
      <c r="CM42094" s="111"/>
      <c r="CQ42094" s="111"/>
      <c r="EF42094"/>
      <c r="EG42094"/>
      <c r="EH42094"/>
      <c r="EI42094"/>
      <c r="EJ42094"/>
      <c r="EK42094"/>
    </row>
    <row r="42095" spans="1:141" s="116" customFormat="1">
      <c r="A42095" s="136"/>
      <c r="CM42095" s="111"/>
      <c r="CQ42095" s="111"/>
      <c r="EF42095"/>
      <c r="EG42095"/>
      <c r="EH42095"/>
      <c r="EI42095"/>
      <c r="EJ42095"/>
      <c r="EK42095"/>
    </row>
    <row r="42096" spans="1:141" s="116" customFormat="1">
      <c r="A42096" s="136"/>
      <c r="CM42096" s="111"/>
      <c r="CQ42096" s="111"/>
      <c r="EF42096"/>
      <c r="EG42096"/>
      <c r="EH42096"/>
      <c r="EI42096"/>
      <c r="EJ42096"/>
      <c r="EK42096"/>
    </row>
    <row r="42097" spans="1:141" s="116" customFormat="1">
      <c r="A42097" s="136"/>
      <c r="CM42097" s="111"/>
      <c r="CQ42097" s="111"/>
      <c r="EF42097"/>
      <c r="EG42097"/>
      <c r="EH42097"/>
      <c r="EI42097"/>
      <c r="EJ42097"/>
      <c r="EK42097"/>
    </row>
    <row r="42098" spans="1:141" s="116" customFormat="1">
      <c r="A42098" s="136"/>
      <c r="CM42098" s="111"/>
      <c r="CQ42098" s="111"/>
      <c r="EF42098"/>
      <c r="EG42098"/>
      <c r="EH42098"/>
      <c r="EI42098"/>
      <c r="EJ42098"/>
      <c r="EK42098"/>
    </row>
    <row r="42099" spans="1:141" s="116" customFormat="1">
      <c r="A42099" s="136"/>
      <c r="CM42099" s="111"/>
      <c r="CQ42099" s="111"/>
      <c r="EF42099"/>
      <c r="EG42099"/>
      <c r="EH42099"/>
      <c r="EI42099"/>
      <c r="EJ42099"/>
      <c r="EK42099"/>
    </row>
    <row r="42100" spans="1:141" s="116" customFormat="1">
      <c r="A42100" s="136"/>
      <c r="CM42100" s="111"/>
      <c r="CQ42100" s="111"/>
      <c r="EF42100"/>
      <c r="EG42100"/>
      <c r="EH42100"/>
      <c r="EI42100"/>
      <c r="EJ42100"/>
      <c r="EK42100"/>
    </row>
    <row r="42101" spans="1:141" s="116" customFormat="1">
      <c r="A42101" s="136"/>
      <c r="CM42101" s="111"/>
      <c r="CQ42101" s="111"/>
      <c r="EF42101"/>
      <c r="EG42101"/>
      <c r="EH42101"/>
      <c r="EI42101"/>
      <c r="EJ42101"/>
      <c r="EK42101"/>
    </row>
    <row r="42102" spans="1:141" s="116" customFormat="1">
      <c r="A42102" s="136"/>
      <c r="CM42102" s="111"/>
      <c r="CQ42102" s="111"/>
      <c r="EF42102"/>
      <c r="EG42102"/>
      <c r="EH42102"/>
      <c r="EI42102"/>
      <c r="EJ42102"/>
      <c r="EK42102"/>
    </row>
    <row r="42103" spans="1:141" s="116" customFormat="1">
      <c r="A42103" s="136"/>
      <c r="CM42103" s="111"/>
      <c r="CQ42103" s="111"/>
      <c r="EF42103"/>
      <c r="EG42103"/>
      <c r="EH42103"/>
      <c r="EI42103"/>
      <c r="EJ42103"/>
      <c r="EK42103"/>
    </row>
    <row r="42104" spans="1:141" s="116" customFormat="1">
      <c r="A42104" s="136"/>
      <c r="CM42104" s="111"/>
      <c r="CQ42104" s="111"/>
      <c r="EF42104"/>
      <c r="EG42104"/>
      <c r="EH42104"/>
      <c r="EI42104"/>
      <c r="EJ42104"/>
      <c r="EK42104"/>
    </row>
    <row r="42105" spans="1:141" s="116" customFormat="1">
      <c r="A42105" s="136"/>
      <c r="CM42105" s="111"/>
      <c r="CQ42105" s="111"/>
      <c r="EF42105"/>
      <c r="EG42105"/>
      <c r="EH42105"/>
      <c r="EI42105"/>
      <c r="EJ42105"/>
      <c r="EK42105"/>
    </row>
    <row r="42106" spans="1:141" s="116" customFormat="1">
      <c r="A42106" s="136"/>
      <c r="CM42106" s="111"/>
      <c r="CQ42106" s="111"/>
      <c r="EF42106"/>
      <c r="EG42106"/>
      <c r="EH42106"/>
      <c r="EI42106"/>
      <c r="EJ42106"/>
      <c r="EK42106"/>
    </row>
    <row r="42107" spans="1:141" s="116" customFormat="1">
      <c r="A42107" s="136"/>
      <c r="CM42107" s="111"/>
      <c r="CQ42107" s="111"/>
      <c r="EF42107"/>
      <c r="EG42107"/>
      <c r="EH42107"/>
      <c r="EI42107"/>
      <c r="EJ42107"/>
      <c r="EK42107"/>
    </row>
    <row r="42108" spans="1:141" s="116" customFormat="1">
      <c r="A42108" s="136"/>
      <c r="CM42108" s="111"/>
      <c r="CQ42108" s="111"/>
      <c r="EF42108"/>
      <c r="EG42108"/>
      <c r="EH42108"/>
      <c r="EI42108"/>
      <c r="EJ42108"/>
      <c r="EK42108"/>
    </row>
    <row r="42109" spans="1:141" s="116" customFormat="1">
      <c r="A42109" s="136"/>
      <c r="CM42109" s="111"/>
      <c r="CQ42109" s="111"/>
      <c r="EF42109"/>
      <c r="EG42109"/>
      <c r="EH42109"/>
      <c r="EI42109"/>
      <c r="EJ42109"/>
      <c r="EK42109"/>
    </row>
    <row r="42110" spans="1:141" s="116" customFormat="1">
      <c r="A42110" s="136"/>
      <c r="CM42110" s="111"/>
      <c r="CQ42110" s="111"/>
      <c r="EF42110"/>
      <c r="EG42110"/>
      <c r="EH42110"/>
      <c r="EI42110"/>
      <c r="EJ42110"/>
      <c r="EK42110"/>
    </row>
    <row r="42111" spans="1:141" s="116" customFormat="1">
      <c r="A42111" s="136"/>
      <c r="CM42111" s="111"/>
      <c r="CQ42111" s="111"/>
      <c r="EF42111"/>
      <c r="EG42111"/>
      <c r="EH42111"/>
      <c r="EI42111"/>
      <c r="EJ42111"/>
      <c r="EK42111"/>
    </row>
    <row r="42112" spans="1:141" s="116" customFormat="1">
      <c r="A42112" s="136"/>
      <c r="CM42112" s="111"/>
      <c r="CQ42112" s="111"/>
      <c r="EF42112"/>
      <c r="EG42112"/>
      <c r="EH42112"/>
      <c r="EI42112"/>
      <c r="EJ42112"/>
      <c r="EK42112"/>
    </row>
    <row r="42113" spans="1:141" s="116" customFormat="1">
      <c r="A42113" s="136"/>
      <c r="CM42113" s="111"/>
      <c r="CQ42113" s="111"/>
      <c r="EF42113"/>
      <c r="EG42113"/>
      <c r="EH42113"/>
      <c r="EI42113"/>
      <c r="EJ42113"/>
      <c r="EK42113"/>
    </row>
    <row r="42114" spans="1:141" s="116" customFormat="1">
      <c r="A42114" s="136"/>
      <c r="CM42114" s="111"/>
      <c r="CQ42114" s="111"/>
      <c r="EF42114"/>
      <c r="EG42114"/>
      <c r="EH42114"/>
      <c r="EI42114"/>
      <c r="EJ42114"/>
      <c r="EK42114"/>
    </row>
    <row r="42115" spans="1:141" s="116" customFormat="1">
      <c r="A42115" s="136"/>
      <c r="CM42115" s="111"/>
      <c r="CQ42115" s="111"/>
      <c r="EF42115"/>
      <c r="EG42115"/>
      <c r="EH42115"/>
      <c r="EI42115"/>
      <c r="EJ42115"/>
      <c r="EK42115"/>
    </row>
    <row r="42116" spans="1:141" s="116" customFormat="1">
      <c r="A42116" s="136"/>
      <c r="CM42116" s="111"/>
      <c r="CQ42116" s="111"/>
      <c r="EF42116"/>
      <c r="EG42116"/>
      <c r="EH42116"/>
      <c r="EI42116"/>
      <c r="EJ42116"/>
      <c r="EK42116"/>
    </row>
    <row r="42117" spans="1:141" s="116" customFormat="1">
      <c r="A42117" s="136"/>
      <c r="CM42117" s="111"/>
      <c r="CQ42117" s="111"/>
      <c r="EF42117"/>
      <c r="EG42117"/>
      <c r="EH42117"/>
      <c r="EI42117"/>
      <c r="EJ42117"/>
      <c r="EK42117"/>
    </row>
    <row r="42118" spans="1:141" s="116" customFormat="1">
      <c r="A42118" s="136"/>
      <c r="CM42118" s="111"/>
      <c r="CQ42118" s="111"/>
      <c r="EF42118"/>
      <c r="EG42118"/>
      <c r="EH42118"/>
      <c r="EI42118"/>
      <c r="EJ42118"/>
      <c r="EK42118"/>
    </row>
    <row r="42119" spans="1:141" s="116" customFormat="1">
      <c r="A42119" s="136"/>
      <c r="CM42119" s="111"/>
      <c r="CQ42119" s="111"/>
      <c r="EF42119"/>
      <c r="EG42119"/>
      <c r="EH42119"/>
      <c r="EI42119"/>
      <c r="EJ42119"/>
      <c r="EK42119"/>
    </row>
    <row r="42120" spans="1:141" s="116" customFormat="1">
      <c r="A42120" s="136"/>
      <c r="CM42120" s="111"/>
      <c r="CQ42120" s="111"/>
      <c r="EF42120"/>
      <c r="EG42120"/>
      <c r="EH42120"/>
      <c r="EI42120"/>
      <c r="EJ42120"/>
      <c r="EK42120"/>
    </row>
    <row r="42121" spans="1:141" s="116" customFormat="1">
      <c r="A42121" s="136"/>
      <c r="CM42121" s="111"/>
      <c r="CQ42121" s="111"/>
      <c r="EF42121"/>
      <c r="EG42121"/>
      <c r="EH42121"/>
      <c r="EI42121"/>
      <c r="EJ42121"/>
      <c r="EK42121"/>
    </row>
    <row r="42122" spans="1:141" s="116" customFormat="1">
      <c r="A42122" s="136"/>
      <c r="CM42122" s="111"/>
      <c r="CQ42122" s="111"/>
      <c r="EF42122"/>
      <c r="EG42122"/>
      <c r="EH42122"/>
      <c r="EI42122"/>
      <c r="EJ42122"/>
      <c r="EK42122"/>
    </row>
    <row r="42123" spans="1:141" s="116" customFormat="1">
      <c r="A42123" s="136"/>
      <c r="CM42123" s="111"/>
      <c r="CQ42123" s="111"/>
      <c r="EF42123"/>
      <c r="EG42123"/>
      <c r="EH42123"/>
      <c r="EI42123"/>
      <c r="EJ42123"/>
      <c r="EK42123"/>
    </row>
    <row r="42124" spans="1:141" s="116" customFormat="1">
      <c r="A42124" s="136"/>
      <c r="CM42124" s="111"/>
      <c r="CQ42124" s="111"/>
      <c r="EF42124"/>
      <c r="EG42124"/>
      <c r="EH42124"/>
      <c r="EI42124"/>
      <c r="EJ42124"/>
      <c r="EK42124"/>
    </row>
    <row r="42125" spans="1:141" s="116" customFormat="1">
      <c r="A42125" s="136"/>
      <c r="CM42125" s="111"/>
      <c r="CQ42125" s="111"/>
      <c r="EF42125"/>
      <c r="EG42125"/>
      <c r="EH42125"/>
      <c r="EI42125"/>
      <c r="EJ42125"/>
      <c r="EK42125"/>
    </row>
    <row r="42126" spans="1:141" s="116" customFormat="1">
      <c r="A42126" s="136"/>
      <c r="CM42126" s="111"/>
      <c r="CQ42126" s="111"/>
      <c r="EF42126"/>
      <c r="EG42126"/>
      <c r="EH42126"/>
      <c r="EI42126"/>
      <c r="EJ42126"/>
      <c r="EK42126"/>
    </row>
    <row r="42127" spans="1:141" s="116" customFormat="1">
      <c r="A42127" s="136"/>
      <c r="CM42127" s="111"/>
      <c r="CQ42127" s="111"/>
      <c r="EF42127"/>
      <c r="EG42127"/>
      <c r="EH42127"/>
      <c r="EI42127"/>
      <c r="EJ42127"/>
      <c r="EK42127"/>
    </row>
    <row r="42128" spans="1:141" s="116" customFormat="1">
      <c r="A42128" s="136"/>
      <c r="CM42128" s="111"/>
      <c r="CQ42128" s="111"/>
      <c r="EF42128"/>
      <c r="EG42128"/>
      <c r="EH42128"/>
      <c r="EI42128"/>
      <c r="EJ42128"/>
      <c r="EK42128"/>
    </row>
    <row r="42129" spans="1:141" s="116" customFormat="1">
      <c r="A42129" s="136"/>
      <c r="CM42129" s="111"/>
      <c r="CQ42129" s="111"/>
      <c r="EF42129"/>
      <c r="EG42129"/>
      <c r="EH42129"/>
      <c r="EI42129"/>
      <c r="EJ42129"/>
      <c r="EK42129"/>
    </row>
    <row r="42130" spans="1:141" s="116" customFormat="1">
      <c r="A42130" s="136"/>
      <c r="CM42130" s="111"/>
      <c r="CQ42130" s="111"/>
      <c r="EF42130"/>
      <c r="EG42130"/>
      <c r="EH42130"/>
      <c r="EI42130"/>
      <c r="EJ42130"/>
      <c r="EK42130"/>
    </row>
    <row r="42131" spans="1:141" s="116" customFormat="1">
      <c r="A42131" s="136"/>
      <c r="CM42131" s="111"/>
      <c r="CQ42131" s="111"/>
      <c r="EF42131"/>
      <c r="EG42131"/>
      <c r="EH42131"/>
      <c r="EI42131"/>
      <c r="EJ42131"/>
      <c r="EK42131"/>
    </row>
    <row r="42132" spans="1:141" s="116" customFormat="1">
      <c r="A42132" s="136"/>
      <c r="CM42132" s="111"/>
      <c r="CQ42132" s="111"/>
      <c r="EF42132"/>
      <c r="EG42132"/>
      <c r="EH42132"/>
      <c r="EI42132"/>
      <c r="EJ42132"/>
      <c r="EK42132"/>
    </row>
    <row r="42133" spans="1:141" s="116" customFormat="1">
      <c r="A42133" s="136"/>
      <c r="CM42133" s="111"/>
      <c r="CQ42133" s="111"/>
      <c r="EF42133"/>
      <c r="EG42133"/>
      <c r="EH42133"/>
      <c r="EI42133"/>
      <c r="EJ42133"/>
      <c r="EK42133"/>
    </row>
    <row r="42134" spans="1:141" s="116" customFormat="1">
      <c r="A42134" s="136"/>
      <c r="CM42134" s="111"/>
      <c r="CQ42134" s="111"/>
      <c r="EF42134"/>
      <c r="EG42134"/>
      <c r="EH42134"/>
      <c r="EI42134"/>
      <c r="EJ42134"/>
      <c r="EK42134"/>
    </row>
    <row r="42135" spans="1:141" s="116" customFormat="1">
      <c r="A42135" s="136"/>
      <c r="CM42135" s="111"/>
      <c r="CQ42135" s="111"/>
      <c r="EF42135"/>
      <c r="EG42135"/>
      <c r="EH42135"/>
      <c r="EI42135"/>
      <c r="EJ42135"/>
      <c r="EK42135"/>
    </row>
    <row r="42136" spans="1:141" s="116" customFormat="1">
      <c r="A42136" s="136"/>
      <c r="CM42136" s="111"/>
      <c r="CQ42136" s="111"/>
      <c r="EF42136"/>
      <c r="EG42136"/>
      <c r="EH42136"/>
      <c r="EI42136"/>
      <c r="EJ42136"/>
      <c r="EK42136"/>
    </row>
    <row r="42137" spans="1:141" s="116" customFormat="1">
      <c r="A42137" s="136"/>
      <c r="CM42137" s="111"/>
      <c r="CQ42137" s="111"/>
      <c r="EF42137"/>
      <c r="EG42137"/>
      <c r="EH42137"/>
      <c r="EI42137"/>
      <c r="EJ42137"/>
      <c r="EK42137"/>
    </row>
    <row r="42138" spans="1:141" s="116" customFormat="1">
      <c r="A42138" s="136"/>
      <c r="CM42138" s="111"/>
      <c r="CQ42138" s="111"/>
      <c r="EF42138"/>
      <c r="EG42138"/>
      <c r="EH42138"/>
      <c r="EI42138"/>
      <c r="EJ42138"/>
      <c r="EK42138"/>
    </row>
    <row r="42139" spans="1:141" s="116" customFormat="1">
      <c r="A42139" s="136"/>
      <c r="CM42139" s="111"/>
      <c r="CQ42139" s="111"/>
      <c r="EF42139"/>
      <c r="EG42139"/>
      <c r="EH42139"/>
      <c r="EI42139"/>
      <c r="EJ42139"/>
      <c r="EK42139"/>
    </row>
    <row r="42140" spans="1:141" s="116" customFormat="1">
      <c r="A42140" s="136"/>
      <c r="CM42140" s="111"/>
      <c r="CQ42140" s="111"/>
      <c r="EF42140"/>
      <c r="EG42140"/>
      <c r="EH42140"/>
      <c r="EI42140"/>
      <c r="EJ42140"/>
      <c r="EK42140"/>
    </row>
    <row r="42141" spans="1:141" s="116" customFormat="1">
      <c r="A42141" s="136"/>
      <c r="CM42141" s="111"/>
      <c r="CQ42141" s="111"/>
      <c r="EF42141"/>
      <c r="EG42141"/>
      <c r="EH42141"/>
      <c r="EI42141"/>
      <c r="EJ42141"/>
      <c r="EK42141"/>
    </row>
    <row r="42142" spans="1:141" s="116" customFormat="1">
      <c r="A42142" s="136"/>
      <c r="CM42142" s="111"/>
      <c r="CQ42142" s="111"/>
      <c r="EF42142"/>
      <c r="EG42142"/>
      <c r="EH42142"/>
      <c r="EI42142"/>
      <c r="EJ42142"/>
      <c r="EK42142"/>
    </row>
    <row r="42143" spans="1:141" s="116" customFormat="1">
      <c r="A42143" s="136"/>
      <c r="CM42143" s="111"/>
      <c r="CQ42143" s="111"/>
      <c r="EF42143"/>
      <c r="EG42143"/>
      <c r="EH42143"/>
      <c r="EI42143"/>
      <c r="EJ42143"/>
      <c r="EK42143"/>
    </row>
    <row r="42144" spans="1:141" s="116" customFormat="1">
      <c r="A42144" s="136"/>
      <c r="CM42144" s="111"/>
      <c r="CQ42144" s="111"/>
      <c r="EF42144"/>
      <c r="EG42144"/>
      <c r="EH42144"/>
      <c r="EI42144"/>
      <c r="EJ42144"/>
      <c r="EK42144"/>
    </row>
    <row r="42145" spans="1:141" s="116" customFormat="1">
      <c r="A42145" s="136"/>
      <c r="CM42145" s="111"/>
      <c r="CQ42145" s="111"/>
      <c r="EF42145"/>
      <c r="EG42145"/>
      <c r="EH42145"/>
      <c r="EI42145"/>
      <c r="EJ42145"/>
      <c r="EK42145"/>
    </row>
    <row r="42146" spans="1:141" s="116" customFormat="1">
      <c r="A42146" s="136"/>
      <c r="CM42146" s="111"/>
      <c r="CQ42146" s="111"/>
      <c r="EF42146"/>
      <c r="EG42146"/>
      <c r="EH42146"/>
      <c r="EI42146"/>
      <c r="EJ42146"/>
      <c r="EK42146"/>
    </row>
    <row r="42147" spans="1:141" s="116" customFormat="1">
      <c r="A42147" s="136"/>
      <c r="CM42147" s="111"/>
      <c r="CQ42147" s="111"/>
      <c r="EF42147"/>
      <c r="EG42147"/>
      <c r="EH42147"/>
      <c r="EI42147"/>
      <c r="EJ42147"/>
      <c r="EK42147"/>
    </row>
    <row r="42148" spans="1:141" s="116" customFormat="1">
      <c r="A42148" s="136"/>
      <c r="CM42148" s="111"/>
      <c r="CQ42148" s="111"/>
      <c r="EF42148"/>
      <c r="EG42148"/>
      <c r="EH42148"/>
      <c r="EI42148"/>
      <c r="EJ42148"/>
      <c r="EK42148"/>
    </row>
    <row r="42149" spans="1:141" s="116" customFormat="1">
      <c r="A42149" s="136"/>
      <c r="CM42149" s="111"/>
      <c r="CQ42149" s="111"/>
      <c r="EF42149"/>
      <c r="EG42149"/>
      <c r="EH42149"/>
      <c r="EI42149"/>
      <c r="EJ42149"/>
      <c r="EK42149"/>
    </row>
    <row r="42150" spans="1:141" s="116" customFormat="1">
      <c r="A42150" s="136"/>
      <c r="CM42150" s="111"/>
      <c r="CQ42150" s="111"/>
      <c r="EF42150"/>
      <c r="EG42150"/>
      <c r="EH42150"/>
      <c r="EI42150"/>
      <c r="EJ42150"/>
      <c r="EK42150"/>
    </row>
    <row r="42151" spans="1:141" s="116" customFormat="1">
      <c r="A42151" s="136"/>
      <c r="CM42151" s="111"/>
      <c r="CQ42151" s="111"/>
      <c r="EF42151"/>
      <c r="EG42151"/>
      <c r="EH42151"/>
      <c r="EI42151"/>
      <c r="EJ42151"/>
      <c r="EK42151"/>
    </row>
    <row r="42152" spans="1:141" s="116" customFormat="1">
      <c r="A42152" s="136"/>
      <c r="CM42152" s="111"/>
      <c r="CQ42152" s="111"/>
      <c r="EF42152"/>
      <c r="EG42152"/>
      <c r="EH42152"/>
      <c r="EI42152"/>
      <c r="EJ42152"/>
      <c r="EK42152"/>
    </row>
    <row r="42153" spans="1:141" s="116" customFormat="1">
      <c r="A42153" s="136"/>
      <c r="CM42153" s="111"/>
      <c r="CQ42153" s="111"/>
      <c r="EF42153"/>
      <c r="EG42153"/>
      <c r="EH42153"/>
      <c r="EI42153"/>
      <c r="EJ42153"/>
      <c r="EK42153"/>
    </row>
    <row r="42154" spans="1:141" s="116" customFormat="1">
      <c r="A42154" s="136"/>
      <c r="CM42154" s="111"/>
      <c r="CQ42154" s="111"/>
      <c r="EF42154"/>
      <c r="EG42154"/>
      <c r="EH42154"/>
      <c r="EI42154"/>
      <c r="EJ42154"/>
      <c r="EK42154"/>
    </row>
    <row r="42155" spans="1:141" s="116" customFormat="1">
      <c r="A42155" s="136"/>
      <c r="CM42155" s="111"/>
      <c r="CQ42155" s="111"/>
      <c r="EF42155"/>
      <c r="EG42155"/>
      <c r="EH42155"/>
      <c r="EI42155"/>
      <c r="EJ42155"/>
      <c r="EK42155"/>
    </row>
    <row r="42156" spans="1:141" s="116" customFormat="1">
      <c r="A42156" s="136"/>
      <c r="CM42156" s="111"/>
      <c r="CQ42156" s="111"/>
      <c r="EF42156"/>
      <c r="EG42156"/>
      <c r="EH42156"/>
      <c r="EI42156"/>
      <c r="EJ42156"/>
      <c r="EK42156"/>
    </row>
    <row r="42157" spans="1:141" s="116" customFormat="1">
      <c r="A42157" s="136"/>
      <c r="CM42157" s="111"/>
      <c r="CQ42157" s="111"/>
      <c r="EF42157"/>
      <c r="EG42157"/>
      <c r="EH42157"/>
      <c r="EI42157"/>
      <c r="EJ42157"/>
      <c r="EK42157"/>
    </row>
    <row r="42158" spans="1:141" s="116" customFormat="1">
      <c r="A42158" s="136"/>
      <c r="CM42158" s="111"/>
      <c r="CQ42158" s="111"/>
      <c r="EF42158"/>
      <c r="EG42158"/>
      <c r="EH42158"/>
      <c r="EI42158"/>
      <c r="EJ42158"/>
      <c r="EK42158"/>
    </row>
    <row r="42159" spans="1:141" s="116" customFormat="1">
      <c r="A42159" s="136"/>
      <c r="CM42159" s="111"/>
      <c r="CQ42159" s="111"/>
      <c r="EF42159"/>
      <c r="EG42159"/>
      <c r="EH42159"/>
      <c r="EI42159"/>
      <c r="EJ42159"/>
      <c r="EK42159"/>
    </row>
    <row r="42160" spans="1:141" s="116" customFormat="1">
      <c r="A42160" s="136"/>
      <c r="CM42160" s="111"/>
      <c r="CQ42160" s="111"/>
      <c r="EF42160"/>
      <c r="EG42160"/>
      <c r="EH42160"/>
      <c r="EI42160"/>
      <c r="EJ42160"/>
      <c r="EK42160"/>
    </row>
    <row r="42161" spans="1:141" s="116" customFormat="1">
      <c r="A42161" s="136"/>
      <c r="CM42161" s="111"/>
      <c r="CQ42161" s="111"/>
      <c r="EF42161"/>
      <c r="EG42161"/>
      <c r="EH42161"/>
      <c r="EI42161"/>
      <c r="EJ42161"/>
      <c r="EK42161"/>
    </row>
    <row r="42162" spans="1:141" s="116" customFormat="1">
      <c r="A42162" s="136"/>
      <c r="CM42162" s="111"/>
      <c r="CQ42162" s="111"/>
      <c r="EF42162"/>
      <c r="EG42162"/>
      <c r="EH42162"/>
      <c r="EI42162"/>
      <c r="EJ42162"/>
      <c r="EK42162"/>
    </row>
    <row r="42163" spans="1:141" s="116" customFormat="1">
      <c r="A42163" s="136"/>
      <c r="CM42163" s="111"/>
      <c r="CQ42163" s="111"/>
      <c r="EF42163"/>
      <c r="EG42163"/>
      <c r="EH42163"/>
      <c r="EI42163"/>
      <c r="EJ42163"/>
      <c r="EK42163"/>
    </row>
    <row r="42164" spans="1:141" s="116" customFormat="1">
      <c r="A42164" s="136"/>
      <c r="CM42164" s="111"/>
      <c r="CQ42164" s="111"/>
      <c r="EF42164"/>
      <c r="EG42164"/>
      <c r="EH42164"/>
      <c r="EI42164"/>
      <c r="EJ42164"/>
      <c r="EK42164"/>
    </row>
    <row r="42165" spans="1:141" s="116" customFormat="1">
      <c r="A42165" s="136"/>
      <c r="CM42165" s="111"/>
      <c r="CQ42165" s="111"/>
      <c r="EF42165"/>
      <c r="EG42165"/>
      <c r="EH42165"/>
      <c r="EI42165"/>
      <c r="EJ42165"/>
      <c r="EK42165"/>
    </row>
    <row r="42166" spans="1:141" s="116" customFormat="1">
      <c r="A42166" s="136"/>
      <c r="CM42166" s="111"/>
      <c r="CQ42166" s="111"/>
      <c r="EF42166"/>
      <c r="EG42166"/>
      <c r="EH42166"/>
      <c r="EI42166"/>
      <c r="EJ42166"/>
      <c r="EK42166"/>
    </row>
    <row r="42167" spans="1:141" s="116" customFormat="1">
      <c r="A42167" s="136"/>
      <c r="CM42167" s="111"/>
      <c r="CQ42167" s="111"/>
      <c r="EF42167"/>
      <c r="EG42167"/>
      <c r="EH42167"/>
      <c r="EI42167"/>
      <c r="EJ42167"/>
      <c r="EK42167"/>
    </row>
    <row r="42168" spans="1:141" s="116" customFormat="1">
      <c r="A42168" s="136"/>
      <c r="CM42168" s="111"/>
      <c r="CQ42168" s="111"/>
      <c r="EF42168"/>
      <c r="EG42168"/>
      <c r="EH42168"/>
      <c r="EI42168"/>
      <c r="EJ42168"/>
      <c r="EK42168"/>
    </row>
    <row r="42169" spans="1:141" s="116" customFormat="1">
      <c r="A42169" s="136"/>
      <c r="CM42169" s="111"/>
      <c r="CQ42169" s="111"/>
      <c r="EF42169"/>
      <c r="EG42169"/>
      <c r="EH42169"/>
      <c r="EI42169"/>
      <c r="EJ42169"/>
      <c r="EK42169"/>
    </row>
    <row r="42170" spans="1:141" s="116" customFormat="1">
      <c r="A42170" s="136"/>
      <c r="CM42170" s="111"/>
      <c r="CQ42170" s="111"/>
      <c r="EF42170"/>
      <c r="EG42170"/>
      <c r="EH42170"/>
      <c r="EI42170"/>
      <c r="EJ42170"/>
      <c r="EK42170"/>
    </row>
    <row r="42171" spans="1:141" s="116" customFormat="1">
      <c r="A42171" s="136"/>
      <c r="CM42171" s="111"/>
      <c r="CQ42171" s="111"/>
      <c r="EF42171"/>
      <c r="EG42171"/>
      <c r="EH42171"/>
      <c r="EI42171"/>
      <c r="EJ42171"/>
      <c r="EK42171"/>
    </row>
    <row r="42172" spans="1:141" s="116" customFormat="1">
      <c r="A42172" s="136"/>
      <c r="CM42172" s="111"/>
      <c r="CQ42172" s="111"/>
      <c r="EF42172"/>
      <c r="EG42172"/>
      <c r="EH42172"/>
      <c r="EI42172"/>
      <c r="EJ42172"/>
      <c r="EK42172"/>
    </row>
    <row r="42173" spans="1:141" s="116" customFormat="1">
      <c r="A42173" s="136"/>
      <c r="CM42173" s="111"/>
      <c r="CQ42173" s="111"/>
      <c r="EF42173"/>
      <c r="EG42173"/>
      <c r="EH42173"/>
      <c r="EI42173"/>
      <c r="EJ42173"/>
      <c r="EK42173"/>
    </row>
    <row r="42174" spans="1:141" s="116" customFormat="1">
      <c r="A42174" s="136"/>
      <c r="CM42174" s="111"/>
      <c r="CQ42174" s="111"/>
      <c r="EF42174"/>
      <c r="EG42174"/>
      <c r="EH42174"/>
      <c r="EI42174"/>
      <c r="EJ42174"/>
      <c r="EK42174"/>
    </row>
    <row r="42175" spans="1:141" s="116" customFormat="1">
      <c r="A42175" s="136"/>
      <c r="CM42175" s="111"/>
      <c r="CQ42175" s="111"/>
      <c r="EF42175"/>
      <c r="EG42175"/>
      <c r="EH42175"/>
      <c r="EI42175"/>
      <c r="EJ42175"/>
      <c r="EK42175"/>
    </row>
    <row r="42176" spans="1:141" s="116" customFormat="1">
      <c r="A42176" s="136"/>
      <c r="CM42176" s="111"/>
      <c r="CQ42176" s="111"/>
      <c r="EF42176"/>
      <c r="EG42176"/>
      <c r="EH42176"/>
      <c r="EI42176"/>
      <c r="EJ42176"/>
      <c r="EK42176"/>
    </row>
    <row r="42177" spans="1:141" s="116" customFormat="1">
      <c r="A42177" s="136"/>
      <c r="CM42177" s="111"/>
      <c r="CQ42177" s="111"/>
      <c r="EF42177"/>
      <c r="EG42177"/>
      <c r="EH42177"/>
      <c r="EI42177"/>
      <c r="EJ42177"/>
      <c r="EK42177"/>
    </row>
    <row r="42178" spans="1:141" s="116" customFormat="1">
      <c r="A42178" s="136"/>
      <c r="CM42178" s="111"/>
      <c r="CQ42178" s="111"/>
      <c r="EF42178"/>
      <c r="EG42178"/>
      <c r="EH42178"/>
      <c r="EI42178"/>
      <c r="EJ42178"/>
      <c r="EK42178"/>
    </row>
    <row r="42179" spans="1:141" s="116" customFormat="1">
      <c r="A42179" s="136"/>
      <c r="CM42179" s="111"/>
      <c r="CQ42179" s="111"/>
      <c r="EF42179"/>
      <c r="EG42179"/>
      <c r="EH42179"/>
      <c r="EI42179"/>
      <c r="EJ42179"/>
      <c r="EK42179"/>
    </row>
    <row r="42180" spans="1:141" s="116" customFormat="1">
      <c r="A42180" s="136"/>
      <c r="CM42180" s="111"/>
      <c r="CQ42180" s="111"/>
      <c r="EF42180"/>
      <c r="EG42180"/>
      <c r="EH42180"/>
      <c r="EI42180"/>
      <c r="EJ42180"/>
      <c r="EK42180"/>
    </row>
    <row r="42181" spans="1:141" s="116" customFormat="1">
      <c r="A42181" s="136"/>
      <c r="CM42181" s="111"/>
      <c r="CQ42181" s="111"/>
      <c r="EF42181"/>
      <c r="EG42181"/>
      <c r="EH42181"/>
      <c r="EI42181"/>
      <c r="EJ42181"/>
      <c r="EK42181"/>
    </row>
    <row r="42182" spans="1:141" s="116" customFormat="1">
      <c r="A42182" s="136"/>
      <c r="CM42182" s="111"/>
      <c r="CQ42182" s="111"/>
      <c r="EF42182"/>
      <c r="EG42182"/>
      <c r="EH42182"/>
      <c r="EI42182"/>
      <c r="EJ42182"/>
      <c r="EK42182"/>
    </row>
    <row r="42183" spans="1:141" s="116" customFormat="1">
      <c r="A42183" s="136"/>
      <c r="CM42183" s="111"/>
      <c r="CQ42183" s="111"/>
      <c r="EF42183"/>
      <c r="EG42183"/>
      <c r="EH42183"/>
      <c r="EI42183"/>
      <c r="EJ42183"/>
      <c r="EK42183"/>
    </row>
    <row r="42184" spans="1:141" s="116" customFormat="1">
      <c r="A42184" s="136"/>
      <c r="CM42184" s="111"/>
      <c r="CQ42184" s="111"/>
      <c r="EF42184"/>
      <c r="EG42184"/>
      <c r="EH42184"/>
      <c r="EI42184"/>
      <c r="EJ42184"/>
      <c r="EK42184"/>
    </row>
    <row r="42185" spans="1:141" s="116" customFormat="1">
      <c r="A42185" s="136"/>
      <c r="CM42185" s="111"/>
      <c r="CQ42185" s="111"/>
      <c r="EF42185"/>
      <c r="EG42185"/>
      <c r="EH42185"/>
      <c r="EI42185"/>
      <c r="EJ42185"/>
      <c r="EK42185"/>
    </row>
    <row r="42186" spans="1:141" s="116" customFormat="1">
      <c r="A42186" s="136"/>
      <c r="CM42186" s="111"/>
      <c r="CQ42186" s="111"/>
      <c r="EF42186"/>
      <c r="EG42186"/>
      <c r="EH42186"/>
      <c r="EI42186"/>
      <c r="EJ42186"/>
      <c r="EK42186"/>
    </row>
    <row r="42187" spans="1:141" s="116" customFormat="1">
      <c r="A42187" s="136"/>
      <c r="CM42187" s="111"/>
      <c r="CQ42187" s="111"/>
      <c r="EF42187"/>
      <c r="EG42187"/>
      <c r="EH42187"/>
      <c r="EI42187"/>
      <c r="EJ42187"/>
      <c r="EK42187"/>
    </row>
    <row r="42188" spans="1:141" s="116" customFormat="1">
      <c r="A42188" s="136"/>
      <c r="CM42188" s="111"/>
      <c r="CQ42188" s="111"/>
      <c r="EF42188"/>
      <c r="EG42188"/>
      <c r="EH42188"/>
      <c r="EI42188"/>
      <c r="EJ42188"/>
      <c r="EK42188"/>
    </row>
    <row r="42189" spans="1:141" s="116" customFormat="1">
      <c r="A42189" s="136"/>
      <c r="CM42189" s="111"/>
      <c r="CQ42189" s="111"/>
      <c r="EF42189"/>
      <c r="EG42189"/>
      <c r="EH42189"/>
      <c r="EI42189"/>
      <c r="EJ42189"/>
      <c r="EK42189"/>
    </row>
    <row r="42190" spans="1:141" s="116" customFormat="1">
      <c r="A42190" s="136"/>
      <c r="CM42190" s="111"/>
      <c r="CQ42190" s="111"/>
      <c r="EF42190"/>
      <c r="EG42190"/>
      <c r="EH42190"/>
      <c r="EI42190"/>
      <c r="EJ42190"/>
      <c r="EK42190"/>
    </row>
    <row r="42191" spans="1:141" s="116" customFormat="1">
      <c r="A42191" s="136"/>
      <c r="CM42191" s="111"/>
      <c r="CQ42191" s="111"/>
      <c r="EF42191"/>
      <c r="EG42191"/>
      <c r="EH42191"/>
      <c r="EI42191"/>
      <c r="EJ42191"/>
      <c r="EK42191"/>
    </row>
    <row r="42192" spans="1:141" s="116" customFormat="1">
      <c r="A42192" s="136"/>
      <c r="CM42192" s="111"/>
      <c r="CQ42192" s="111"/>
      <c r="EF42192"/>
      <c r="EG42192"/>
      <c r="EH42192"/>
      <c r="EI42192"/>
      <c r="EJ42192"/>
      <c r="EK42192"/>
    </row>
    <row r="42193" spans="1:141" s="116" customFormat="1">
      <c r="A42193" s="136"/>
      <c r="CM42193" s="111"/>
      <c r="CQ42193" s="111"/>
      <c r="EF42193"/>
      <c r="EG42193"/>
      <c r="EH42193"/>
      <c r="EI42193"/>
      <c r="EJ42193"/>
      <c r="EK42193"/>
    </row>
    <row r="42194" spans="1:141" s="116" customFormat="1">
      <c r="A42194" s="136"/>
      <c r="CM42194" s="111"/>
      <c r="CQ42194" s="111"/>
      <c r="EF42194"/>
      <c r="EG42194"/>
      <c r="EH42194"/>
      <c r="EI42194"/>
      <c r="EJ42194"/>
      <c r="EK42194"/>
    </row>
    <row r="42195" spans="1:141" s="116" customFormat="1">
      <c r="A42195" s="136"/>
      <c r="CM42195" s="111"/>
      <c r="CQ42195" s="111"/>
      <c r="EF42195"/>
      <c r="EG42195"/>
      <c r="EH42195"/>
      <c r="EI42195"/>
      <c r="EJ42195"/>
      <c r="EK42195"/>
    </row>
    <row r="42196" spans="1:141" s="116" customFormat="1">
      <c r="A42196" s="136"/>
      <c r="CM42196" s="111"/>
      <c r="CQ42196" s="111"/>
      <c r="EF42196"/>
      <c r="EG42196"/>
      <c r="EH42196"/>
      <c r="EI42196"/>
      <c r="EJ42196"/>
      <c r="EK42196"/>
    </row>
    <row r="42197" spans="1:141" s="116" customFormat="1">
      <c r="A42197" s="136"/>
      <c r="CM42197" s="111"/>
      <c r="CQ42197" s="111"/>
      <c r="EF42197"/>
      <c r="EG42197"/>
      <c r="EH42197"/>
      <c r="EI42197"/>
      <c r="EJ42197"/>
      <c r="EK42197"/>
    </row>
    <row r="42198" spans="1:141" s="116" customFormat="1">
      <c r="A42198" s="136"/>
      <c r="CM42198" s="111"/>
      <c r="CQ42198" s="111"/>
      <c r="EF42198"/>
      <c r="EG42198"/>
      <c r="EH42198"/>
      <c r="EI42198"/>
      <c r="EJ42198"/>
      <c r="EK42198"/>
    </row>
    <row r="42199" spans="1:141" s="116" customFormat="1">
      <c r="A42199" s="136"/>
      <c r="CM42199" s="111"/>
      <c r="CQ42199" s="111"/>
      <c r="EF42199"/>
      <c r="EG42199"/>
      <c r="EH42199"/>
      <c r="EI42199"/>
      <c r="EJ42199"/>
      <c r="EK42199"/>
    </row>
    <row r="42200" spans="1:141" s="116" customFormat="1">
      <c r="A42200" s="136"/>
      <c r="CM42200" s="111"/>
      <c r="CQ42200" s="111"/>
      <c r="EF42200"/>
      <c r="EG42200"/>
      <c r="EH42200"/>
      <c r="EI42200"/>
      <c r="EJ42200"/>
      <c r="EK42200"/>
    </row>
    <row r="42201" spans="1:141" s="116" customFormat="1">
      <c r="A42201" s="136"/>
      <c r="CM42201" s="111"/>
      <c r="CQ42201" s="111"/>
      <c r="EF42201"/>
      <c r="EG42201"/>
      <c r="EH42201"/>
      <c r="EI42201"/>
      <c r="EJ42201"/>
      <c r="EK42201"/>
    </row>
    <row r="42202" spans="1:141" s="116" customFormat="1">
      <c r="A42202" s="136"/>
      <c r="CM42202" s="111"/>
      <c r="CQ42202" s="111"/>
      <c r="EF42202"/>
      <c r="EG42202"/>
      <c r="EH42202"/>
      <c r="EI42202"/>
      <c r="EJ42202"/>
      <c r="EK42202"/>
    </row>
    <row r="42203" spans="1:141" s="116" customFormat="1">
      <c r="A42203" s="136"/>
      <c r="CM42203" s="111"/>
      <c r="CQ42203" s="111"/>
      <c r="EF42203"/>
      <c r="EG42203"/>
      <c r="EH42203"/>
      <c r="EI42203"/>
      <c r="EJ42203"/>
      <c r="EK42203"/>
    </row>
    <row r="42204" spans="1:141" s="116" customFormat="1">
      <c r="A42204" s="136"/>
      <c r="CM42204" s="111"/>
      <c r="CQ42204" s="111"/>
      <c r="EF42204"/>
      <c r="EG42204"/>
      <c r="EH42204"/>
      <c r="EI42204"/>
      <c r="EJ42204"/>
      <c r="EK42204"/>
    </row>
    <row r="42205" spans="1:141" s="116" customFormat="1">
      <c r="A42205" s="136"/>
      <c r="CM42205" s="111"/>
      <c r="CQ42205" s="111"/>
      <c r="EF42205"/>
      <c r="EG42205"/>
      <c r="EH42205"/>
      <c r="EI42205"/>
      <c r="EJ42205"/>
      <c r="EK42205"/>
    </row>
    <row r="42206" spans="1:141" s="116" customFormat="1">
      <c r="A42206" s="136"/>
      <c r="CM42206" s="111"/>
      <c r="CQ42206" s="111"/>
      <c r="EF42206"/>
      <c r="EG42206"/>
      <c r="EH42206"/>
      <c r="EI42206"/>
      <c r="EJ42206"/>
      <c r="EK42206"/>
    </row>
    <row r="42207" spans="1:141" s="116" customFormat="1">
      <c r="A42207" s="136"/>
      <c r="CM42207" s="111"/>
      <c r="CQ42207" s="111"/>
      <c r="EF42207"/>
      <c r="EG42207"/>
      <c r="EH42207"/>
      <c r="EI42207"/>
      <c r="EJ42207"/>
      <c r="EK42207"/>
    </row>
    <row r="42208" spans="1:141" s="116" customFormat="1">
      <c r="A42208" s="136"/>
      <c r="CM42208" s="111"/>
      <c r="CQ42208" s="111"/>
      <c r="EF42208"/>
      <c r="EG42208"/>
      <c r="EH42208"/>
      <c r="EI42208"/>
      <c r="EJ42208"/>
      <c r="EK42208"/>
    </row>
    <row r="42209" spans="1:141" s="116" customFormat="1">
      <c r="A42209" s="136"/>
      <c r="CM42209" s="111"/>
      <c r="CQ42209" s="111"/>
      <c r="EF42209"/>
      <c r="EG42209"/>
      <c r="EH42209"/>
      <c r="EI42209"/>
      <c r="EJ42209"/>
      <c r="EK42209"/>
    </row>
    <row r="42210" spans="1:141" s="116" customFormat="1">
      <c r="A42210" s="136"/>
      <c r="CM42210" s="111"/>
      <c r="CQ42210" s="111"/>
      <c r="EF42210"/>
      <c r="EG42210"/>
      <c r="EH42210"/>
      <c r="EI42210"/>
      <c r="EJ42210"/>
      <c r="EK42210"/>
    </row>
    <row r="42211" spans="1:141" s="116" customFormat="1">
      <c r="A42211" s="136"/>
      <c r="CM42211" s="111"/>
      <c r="CQ42211" s="111"/>
      <c r="EF42211"/>
      <c r="EG42211"/>
      <c r="EH42211"/>
      <c r="EI42211"/>
      <c r="EJ42211"/>
      <c r="EK42211"/>
    </row>
    <row r="42212" spans="1:141" s="116" customFormat="1">
      <c r="A42212" s="136"/>
      <c r="CM42212" s="111"/>
      <c r="CQ42212" s="111"/>
      <c r="EF42212"/>
      <c r="EG42212"/>
      <c r="EH42212"/>
      <c r="EI42212"/>
      <c r="EJ42212"/>
      <c r="EK42212"/>
    </row>
    <row r="42213" spans="1:141" s="116" customFormat="1">
      <c r="A42213" s="136"/>
      <c r="CM42213" s="111"/>
      <c r="CQ42213" s="111"/>
      <c r="EF42213"/>
      <c r="EG42213"/>
      <c r="EH42213"/>
      <c r="EI42213"/>
      <c r="EJ42213"/>
      <c r="EK42213"/>
    </row>
    <row r="42214" spans="1:141" s="116" customFormat="1">
      <c r="A42214" s="136"/>
      <c r="CM42214" s="111"/>
      <c r="CQ42214" s="111"/>
      <c r="EF42214"/>
      <c r="EG42214"/>
      <c r="EH42214"/>
      <c r="EI42214"/>
      <c r="EJ42214"/>
      <c r="EK42214"/>
    </row>
    <row r="42215" spans="1:141" s="116" customFormat="1">
      <c r="A42215" s="136"/>
      <c r="CM42215" s="111"/>
      <c r="CQ42215" s="111"/>
      <c r="EF42215"/>
      <c r="EG42215"/>
      <c r="EH42215"/>
      <c r="EI42215"/>
      <c r="EJ42215"/>
      <c r="EK42215"/>
    </row>
    <row r="42216" spans="1:141" s="116" customFormat="1">
      <c r="A42216" s="136"/>
      <c r="CM42216" s="111"/>
      <c r="CQ42216" s="111"/>
      <c r="EF42216"/>
      <c r="EG42216"/>
      <c r="EH42216"/>
      <c r="EI42216"/>
      <c r="EJ42216"/>
      <c r="EK42216"/>
    </row>
    <row r="42217" spans="1:141" s="116" customFormat="1">
      <c r="A42217" s="136"/>
      <c r="CM42217" s="111"/>
      <c r="CQ42217" s="111"/>
      <c r="EF42217"/>
      <c r="EG42217"/>
      <c r="EH42217"/>
      <c r="EI42217"/>
      <c r="EJ42217"/>
      <c r="EK42217"/>
    </row>
    <row r="42218" spans="1:141" s="116" customFormat="1">
      <c r="A42218" s="136"/>
      <c r="CM42218" s="111"/>
      <c r="CQ42218" s="111"/>
      <c r="EF42218"/>
      <c r="EG42218"/>
      <c r="EH42218"/>
      <c r="EI42218"/>
      <c r="EJ42218"/>
      <c r="EK42218"/>
    </row>
    <row r="42219" spans="1:141" s="116" customFormat="1">
      <c r="A42219" s="136"/>
      <c r="CM42219" s="111"/>
      <c r="CQ42219" s="111"/>
      <c r="EF42219"/>
      <c r="EG42219"/>
      <c r="EH42219"/>
      <c r="EI42219"/>
      <c r="EJ42219"/>
      <c r="EK42219"/>
    </row>
    <row r="42220" spans="1:141" s="116" customFormat="1">
      <c r="A42220" s="136"/>
      <c r="CM42220" s="111"/>
      <c r="CQ42220" s="111"/>
      <c r="EF42220"/>
      <c r="EG42220"/>
      <c r="EH42220"/>
      <c r="EI42220"/>
      <c r="EJ42220"/>
      <c r="EK42220"/>
    </row>
    <row r="42221" spans="1:141" s="116" customFormat="1">
      <c r="A42221" s="136"/>
      <c r="CM42221" s="111"/>
      <c r="CQ42221" s="111"/>
      <c r="EF42221"/>
      <c r="EG42221"/>
      <c r="EH42221"/>
      <c r="EI42221"/>
      <c r="EJ42221"/>
      <c r="EK42221"/>
    </row>
    <row r="42222" spans="1:141" s="116" customFormat="1">
      <c r="A42222" s="136"/>
      <c r="CM42222" s="111"/>
      <c r="CQ42222" s="111"/>
      <c r="EF42222"/>
      <c r="EG42222"/>
      <c r="EH42222"/>
      <c r="EI42222"/>
      <c r="EJ42222"/>
      <c r="EK42222"/>
    </row>
    <row r="42223" spans="1:141" s="116" customFormat="1">
      <c r="A42223" s="136"/>
      <c r="CM42223" s="111"/>
      <c r="CQ42223" s="111"/>
      <c r="EF42223"/>
      <c r="EG42223"/>
      <c r="EH42223"/>
      <c r="EI42223"/>
      <c r="EJ42223"/>
      <c r="EK42223"/>
    </row>
    <row r="42224" spans="1:141" s="116" customFormat="1">
      <c r="A42224" s="136"/>
      <c r="CM42224" s="111"/>
      <c r="CQ42224" s="111"/>
      <c r="EF42224"/>
      <c r="EG42224"/>
      <c r="EH42224"/>
      <c r="EI42224"/>
      <c r="EJ42224"/>
      <c r="EK42224"/>
    </row>
    <row r="42225" spans="1:141" s="116" customFormat="1">
      <c r="A42225" s="136"/>
      <c r="CM42225" s="111"/>
      <c r="CQ42225" s="111"/>
      <c r="EF42225"/>
      <c r="EG42225"/>
      <c r="EH42225"/>
      <c r="EI42225"/>
      <c r="EJ42225"/>
      <c r="EK42225"/>
    </row>
    <row r="42226" spans="1:141" s="116" customFormat="1">
      <c r="A42226" s="136"/>
      <c r="CM42226" s="111"/>
      <c r="CQ42226" s="111"/>
      <c r="EF42226"/>
      <c r="EG42226"/>
      <c r="EH42226"/>
      <c r="EI42226"/>
      <c r="EJ42226"/>
      <c r="EK42226"/>
    </row>
    <row r="42227" spans="1:141" s="116" customFormat="1">
      <c r="A42227" s="136"/>
      <c r="CM42227" s="111"/>
      <c r="CQ42227" s="111"/>
      <c r="EF42227"/>
      <c r="EG42227"/>
      <c r="EH42227"/>
      <c r="EI42227"/>
      <c r="EJ42227"/>
      <c r="EK42227"/>
    </row>
    <row r="42228" spans="1:141" s="116" customFormat="1">
      <c r="A42228" s="136"/>
      <c r="CM42228" s="111"/>
      <c r="CQ42228" s="111"/>
      <c r="EF42228"/>
      <c r="EG42228"/>
      <c r="EH42228"/>
      <c r="EI42228"/>
      <c r="EJ42228"/>
      <c r="EK42228"/>
    </row>
    <row r="42229" spans="1:141" s="116" customFormat="1">
      <c r="A42229" s="136"/>
      <c r="CM42229" s="111"/>
      <c r="CQ42229" s="111"/>
      <c r="EF42229"/>
      <c r="EG42229"/>
      <c r="EH42229"/>
      <c r="EI42229"/>
      <c r="EJ42229"/>
      <c r="EK42229"/>
    </row>
    <row r="42230" spans="1:141" s="116" customFormat="1">
      <c r="A42230" s="136"/>
      <c r="CM42230" s="111"/>
      <c r="CQ42230" s="111"/>
      <c r="EF42230"/>
      <c r="EG42230"/>
      <c r="EH42230"/>
      <c r="EI42230"/>
      <c r="EJ42230"/>
      <c r="EK42230"/>
    </row>
    <row r="42231" spans="1:141" s="116" customFormat="1">
      <c r="A42231" s="136"/>
      <c r="CM42231" s="111"/>
      <c r="CQ42231" s="111"/>
      <c r="EF42231"/>
      <c r="EG42231"/>
      <c r="EH42231"/>
      <c r="EI42231"/>
      <c r="EJ42231"/>
      <c r="EK42231"/>
    </row>
    <row r="42232" spans="1:141" s="116" customFormat="1">
      <c r="A42232" s="136"/>
      <c r="CM42232" s="111"/>
      <c r="CQ42232" s="111"/>
      <c r="EF42232"/>
      <c r="EG42232"/>
      <c r="EH42232"/>
      <c r="EI42232"/>
      <c r="EJ42232"/>
      <c r="EK42232"/>
    </row>
    <row r="42233" spans="1:141" s="116" customFormat="1">
      <c r="A42233" s="136"/>
      <c r="CM42233" s="111"/>
      <c r="CQ42233" s="111"/>
      <c r="EF42233"/>
      <c r="EG42233"/>
      <c r="EH42233"/>
      <c r="EI42233"/>
      <c r="EJ42233"/>
      <c r="EK42233"/>
    </row>
    <row r="42234" spans="1:141" s="116" customFormat="1">
      <c r="A42234" s="136"/>
      <c r="CM42234" s="111"/>
      <c r="CQ42234" s="111"/>
      <c r="EF42234"/>
      <c r="EG42234"/>
      <c r="EH42234"/>
      <c r="EI42234"/>
      <c r="EJ42234"/>
      <c r="EK42234"/>
    </row>
    <row r="42235" spans="1:141" s="116" customFormat="1">
      <c r="A42235" s="136"/>
      <c r="CM42235" s="111"/>
      <c r="CQ42235" s="111"/>
      <c r="EF42235"/>
      <c r="EG42235"/>
      <c r="EH42235"/>
      <c r="EI42235"/>
      <c r="EJ42235"/>
      <c r="EK42235"/>
    </row>
    <row r="42236" spans="1:141" s="116" customFormat="1">
      <c r="A42236" s="136"/>
      <c r="CM42236" s="111"/>
      <c r="CQ42236" s="111"/>
      <c r="EF42236"/>
      <c r="EG42236"/>
      <c r="EH42236"/>
      <c r="EI42236"/>
      <c r="EJ42236"/>
      <c r="EK42236"/>
    </row>
    <row r="42237" spans="1:141" s="116" customFormat="1">
      <c r="A42237" s="136"/>
      <c r="CM42237" s="111"/>
      <c r="CQ42237" s="111"/>
      <c r="EF42237"/>
      <c r="EG42237"/>
      <c r="EH42237"/>
      <c r="EI42237"/>
      <c r="EJ42237"/>
      <c r="EK42237"/>
    </row>
    <row r="42238" spans="1:141" s="116" customFormat="1">
      <c r="A42238" s="136"/>
      <c r="CM42238" s="111"/>
      <c r="CQ42238" s="111"/>
      <c r="EF42238"/>
      <c r="EG42238"/>
      <c r="EH42238"/>
      <c r="EI42238"/>
      <c r="EJ42238"/>
      <c r="EK42238"/>
    </row>
    <row r="42239" spans="1:141" s="116" customFormat="1">
      <c r="A42239" s="136"/>
      <c r="CM42239" s="111"/>
      <c r="CQ42239" s="111"/>
      <c r="EF42239"/>
      <c r="EG42239"/>
      <c r="EH42239"/>
      <c r="EI42239"/>
      <c r="EJ42239"/>
      <c r="EK42239"/>
    </row>
    <row r="42240" spans="1:141" s="116" customFormat="1">
      <c r="A42240" s="136"/>
      <c r="CM42240" s="111"/>
      <c r="CQ42240" s="111"/>
      <c r="EF42240"/>
      <c r="EG42240"/>
      <c r="EH42240"/>
      <c r="EI42240"/>
      <c r="EJ42240"/>
      <c r="EK42240"/>
    </row>
    <row r="42241" spans="1:141" s="116" customFormat="1">
      <c r="A42241" s="136"/>
      <c r="CM42241" s="111"/>
      <c r="CQ42241" s="111"/>
      <c r="EF42241"/>
      <c r="EG42241"/>
      <c r="EH42241"/>
      <c r="EI42241"/>
      <c r="EJ42241"/>
      <c r="EK42241"/>
    </row>
    <row r="42242" spans="1:141" s="116" customFormat="1">
      <c r="A42242" s="136"/>
      <c r="CM42242" s="111"/>
      <c r="CQ42242" s="111"/>
      <c r="EF42242"/>
      <c r="EG42242"/>
      <c r="EH42242"/>
      <c r="EI42242"/>
      <c r="EJ42242"/>
      <c r="EK42242"/>
    </row>
    <row r="42243" spans="1:141" s="116" customFormat="1">
      <c r="A42243" s="136"/>
      <c r="CM42243" s="111"/>
      <c r="CQ42243" s="111"/>
      <c r="EF42243"/>
      <c r="EG42243"/>
      <c r="EH42243"/>
      <c r="EI42243"/>
      <c r="EJ42243"/>
      <c r="EK42243"/>
    </row>
    <row r="42244" spans="1:141" s="116" customFormat="1">
      <c r="A42244" s="136"/>
      <c r="CM42244" s="111"/>
      <c r="CQ42244" s="111"/>
      <c r="EF42244"/>
      <c r="EG42244"/>
      <c r="EH42244"/>
      <c r="EI42244"/>
      <c r="EJ42244"/>
      <c r="EK42244"/>
    </row>
    <row r="42245" spans="1:141" s="116" customFormat="1">
      <c r="A42245" s="136"/>
      <c r="CM42245" s="111"/>
      <c r="CQ42245" s="111"/>
      <c r="EF42245"/>
      <c r="EG42245"/>
      <c r="EH42245"/>
      <c r="EI42245"/>
      <c r="EJ42245"/>
      <c r="EK42245"/>
    </row>
    <row r="42246" spans="1:141" s="116" customFormat="1">
      <c r="A42246" s="136"/>
      <c r="CM42246" s="111"/>
      <c r="CQ42246" s="111"/>
      <c r="EF42246"/>
      <c r="EG42246"/>
      <c r="EH42246"/>
      <c r="EI42246"/>
      <c r="EJ42246"/>
      <c r="EK42246"/>
    </row>
    <row r="42247" spans="1:141" s="116" customFormat="1">
      <c r="A42247" s="136"/>
      <c r="CM42247" s="111"/>
      <c r="CQ42247" s="111"/>
      <c r="EF42247"/>
      <c r="EG42247"/>
      <c r="EH42247"/>
      <c r="EI42247"/>
      <c r="EJ42247"/>
      <c r="EK42247"/>
    </row>
    <row r="42248" spans="1:141" s="116" customFormat="1">
      <c r="A42248" s="136"/>
      <c r="CM42248" s="111"/>
      <c r="CQ42248" s="111"/>
      <c r="EF42248"/>
      <c r="EG42248"/>
      <c r="EH42248"/>
      <c r="EI42248"/>
      <c r="EJ42248"/>
      <c r="EK42248"/>
    </row>
    <row r="42249" spans="1:141" s="116" customFormat="1">
      <c r="A42249" s="136"/>
      <c r="CM42249" s="111"/>
      <c r="CQ42249" s="111"/>
      <c r="EF42249"/>
      <c r="EG42249"/>
      <c r="EH42249"/>
      <c r="EI42249"/>
      <c r="EJ42249"/>
      <c r="EK42249"/>
    </row>
    <row r="42250" spans="1:141" s="116" customFormat="1">
      <c r="A42250" s="136"/>
      <c r="CM42250" s="111"/>
      <c r="CQ42250" s="111"/>
      <c r="EF42250"/>
      <c r="EG42250"/>
      <c r="EH42250"/>
      <c r="EI42250"/>
      <c r="EJ42250"/>
      <c r="EK42250"/>
    </row>
    <row r="42251" spans="1:141" s="116" customFormat="1">
      <c r="A42251" s="136"/>
      <c r="CM42251" s="111"/>
      <c r="CQ42251" s="111"/>
      <c r="EF42251"/>
      <c r="EG42251"/>
      <c r="EH42251"/>
      <c r="EI42251"/>
      <c r="EJ42251"/>
      <c r="EK42251"/>
    </row>
    <row r="42252" spans="1:141" s="116" customFormat="1">
      <c r="A42252" s="136"/>
      <c r="CM42252" s="111"/>
      <c r="CQ42252" s="111"/>
      <c r="EF42252"/>
      <c r="EG42252"/>
      <c r="EH42252"/>
      <c r="EI42252"/>
      <c r="EJ42252"/>
      <c r="EK42252"/>
    </row>
    <row r="42253" spans="1:141" s="116" customFormat="1">
      <c r="A42253" s="136"/>
      <c r="CM42253" s="111"/>
      <c r="CQ42253" s="111"/>
      <c r="EF42253"/>
      <c r="EG42253"/>
      <c r="EH42253"/>
      <c r="EI42253"/>
      <c r="EJ42253"/>
      <c r="EK42253"/>
    </row>
    <row r="42254" spans="1:141" s="116" customFormat="1">
      <c r="A42254" s="136"/>
      <c r="CM42254" s="111"/>
      <c r="CQ42254" s="111"/>
      <c r="EF42254"/>
      <c r="EG42254"/>
      <c r="EH42254"/>
      <c r="EI42254"/>
      <c r="EJ42254"/>
      <c r="EK42254"/>
    </row>
    <row r="42255" spans="1:141" s="116" customFormat="1">
      <c r="A42255" s="136"/>
      <c r="CM42255" s="111"/>
      <c r="CQ42255" s="111"/>
      <c r="EF42255"/>
      <c r="EG42255"/>
      <c r="EH42255"/>
      <c r="EI42255"/>
      <c r="EJ42255"/>
      <c r="EK42255"/>
    </row>
    <row r="42256" spans="1:141" s="116" customFormat="1">
      <c r="A42256" s="136"/>
      <c r="CM42256" s="111"/>
      <c r="CQ42256" s="111"/>
      <c r="EF42256"/>
      <c r="EG42256"/>
      <c r="EH42256"/>
      <c r="EI42256"/>
      <c r="EJ42256"/>
      <c r="EK42256"/>
    </row>
    <row r="42257" spans="1:141" s="116" customFormat="1">
      <c r="A42257" s="136"/>
      <c r="CM42257" s="111"/>
      <c r="CQ42257" s="111"/>
      <c r="EF42257"/>
      <c r="EG42257"/>
      <c r="EH42257"/>
      <c r="EI42257"/>
      <c r="EJ42257"/>
      <c r="EK42257"/>
    </row>
    <row r="42258" spans="1:141" s="116" customFormat="1">
      <c r="A42258" s="136"/>
      <c r="CM42258" s="111"/>
      <c r="CQ42258" s="111"/>
      <c r="EF42258"/>
      <c r="EG42258"/>
      <c r="EH42258"/>
      <c r="EI42258"/>
      <c r="EJ42258"/>
      <c r="EK42258"/>
    </row>
    <row r="42259" spans="1:141" s="116" customFormat="1">
      <c r="A42259" s="136"/>
      <c r="CM42259" s="111"/>
      <c r="CQ42259" s="111"/>
      <c r="EF42259"/>
      <c r="EG42259"/>
      <c r="EH42259"/>
      <c r="EI42259"/>
      <c r="EJ42259"/>
      <c r="EK42259"/>
    </row>
    <row r="42260" spans="1:141" s="116" customFormat="1">
      <c r="A42260" s="136"/>
      <c r="CM42260" s="111"/>
      <c r="CQ42260" s="111"/>
      <c r="EF42260"/>
      <c r="EG42260"/>
      <c r="EH42260"/>
      <c r="EI42260"/>
      <c r="EJ42260"/>
      <c r="EK42260"/>
    </row>
    <row r="42261" spans="1:141" s="116" customFormat="1">
      <c r="A42261" s="136"/>
      <c r="CM42261" s="111"/>
      <c r="CQ42261" s="111"/>
      <c r="EF42261"/>
      <c r="EG42261"/>
      <c r="EH42261"/>
      <c r="EI42261"/>
      <c r="EJ42261"/>
      <c r="EK42261"/>
    </row>
    <row r="42262" spans="1:141" s="116" customFormat="1">
      <c r="A42262" s="136"/>
      <c r="CM42262" s="111"/>
      <c r="CQ42262" s="111"/>
      <c r="EF42262"/>
      <c r="EG42262"/>
      <c r="EH42262"/>
      <c r="EI42262"/>
      <c r="EJ42262"/>
      <c r="EK42262"/>
    </row>
    <row r="42263" spans="1:141" s="116" customFormat="1">
      <c r="A42263" s="136"/>
      <c r="CM42263" s="111"/>
      <c r="CQ42263" s="111"/>
      <c r="EF42263"/>
      <c r="EG42263"/>
      <c r="EH42263"/>
      <c r="EI42263"/>
      <c r="EJ42263"/>
      <c r="EK42263"/>
    </row>
    <row r="42264" spans="1:141" s="116" customFormat="1">
      <c r="A42264" s="136"/>
      <c r="CM42264" s="111"/>
      <c r="CQ42264" s="111"/>
      <c r="EF42264"/>
      <c r="EG42264"/>
      <c r="EH42264"/>
      <c r="EI42264"/>
      <c r="EJ42264"/>
      <c r="EK42264"/>
    </row>
    <row r="42265" spans="1:141" s="116" customFormat="1">
      <c r="A42265" s="136"/>
      <c r="CM42265" s="111"/>
      <c r="CQ42265" s="111"/>
      <c r="EF42265"/>
      <c r="EG42265"/>
      <c r="EH42265"/>
      <c r="EI42265"/>
      <c r="EJ42265"/>
      <c r="EK42265"/>
    </row>
    <row r="42266" spans="1:141" s="116" customFormat="1">
      <c r="A42266" s="136"/>
      <c r="CM42266" s="111"/>
      <c r="CQ42266" s="111"/>
      <c r="EF42266"/>
      <c r="EG42266"/>
      <c r="EH42266"/>
      <c r="EI42266"/>
      <c r="EJ42266"/>
      <c r="EK42266"/>
    </row>
    <row r="42267" spans="1:141" s="116" customFormat="1">
      <c r="A42267" s="136"/>
      <c r="CM42267" s="111"/>
      <c r="CQ42267" s="111"/>
      <c r="EF42267"/>
      <c r="EG42267"/>
      <c r="EH42267"/>
      <c r="EI42267"/>
      <c r="EJ42267"/>
      <c r="EK42267"/>
    </row>
    <row r="42268" spans="1:141" s="116" customFormat="1">
      <c r="A42268" s="136"/>
      <c r="CM42268" s="111"/>
      <c r="CQ42268" s="111"/>
      <c r="EF42268"/>
      <c r="EG42268"/>
      <c r="EH42268"/>
      <c r="EI42268"/>
      <c r="EJ42268"/>
      <c r="EK42268"/>
    </row>
    <row r="42269" spans="1:141" s="116" customFormat="1">
      <c r="A42269" s="136"/>
      <c r="CM42269" s="111"/>
      <c r="CQ42269" s="111"/>
      <c r="EF42269"/>
      <c r="EG42269"/>
      <c r="EH42269"/>
      <c r="EI42269"/>
      <c r="EJ42269"/>
      <c r="EK42269"/>
    </row>
    <row r="42270" spans="1:141" s="116" customFormat="1">
      <c r="A42270" s="136"/>
      <c r="CM42270" s="111"/>
      <c r="CQ42270" s="111"/>
      <c r="EF42270"/>
      <c r="EG42270"/>
      <c r="EH42270"/>
      <c r="EI42270"/>
      <c r="EJ42270"/>
      <c r="EK42270"/>
    </row>
    <row r="42271" spans="1:141" s="116" customFormat="1">
      <c r="A42271" s="136"/>
      <c r="CM42271" s="111"/>
      <c r="CQ42271" s="111"/>
      <c r="EF42271"/>
      <c r="EG42271"/>
      <c r="EH42271"/>
      <c r="EI42271"/>
      <c r="EJ42271"/>
      <c r="EK42271"/>
    </row>
    <row r="42272" spans="1:141" s="116" customFormat="1">
      <c r="A42272" s="136"/>
      <c r="CM42272" s="111"/>
      <c r="CQ42272" s="111"/>
      <c r="EF42272"/>
      <c r="EG42272"/>
      <c r="EH42272"/>
      <c r="EI42272"/>
      <c r="EJ42272"/>
      <c r="EK42272"/>
    </row>
    <row r="42273" spans="1:141" s="116" customFormat="1">
      <c r="A42273" s="136"/>
      <c r="CM42273" s="111"/>
      <c r="CQ42273" s="111"/>
      <c r="EF42273"/>
      <c r="EG42273"/>
      <c r="EH42273"/>
      <c r="EI42273"/>
      <c r="EJ42273"/>
      <c r="EK42273"/>
    </row>
    <row r="42274" spans="1:141" s="116" customFormat="1">
      <c r="A42274" s="136"/>
      <c r="CM42274" s="111"/>
      <c r="CQ42274" s="111"/>
      <c r="EF42274"/>
      <c r="EG42274"/>
      <c r="EH42274"/>
      <c r="EI42274"/>
      <c r="EJ42274"/>
      <c r="EK42274"/>
    </row>
    <row r="42275" spans="1:141" s="116" customFormat="1">
      <c r="A42275" s="136"/>
      <c r="CM42275" s="111"/>
      <c r="CQ42275" s="111"/>
      <c r="EF42275"/>
      <c r="EG42275"/>
      <c r="EH42275"/>
      <c r="EI42275"/>
      <c r="EJ42275"/>
      <c r="EK42275"/>
    </row>
    <row r="42276" spans="1:141" s="116" customFormat="1">
      <c r="A42276" s="136"/>
      <c r="CM42276" s="111"/>
      <c r="CQ42276" s="111"/>
      <c r="EF42276"/>
      <c r="EG42276"/>
      <c r="EH42276"/>
      <c r="EI42276"/>
      <c r="EJ42276"/>
      <c r="EK42276"/>
    </row>
    <row r="42277" spans="1:141" s="116" customFormat="1">
      <c r="A42277" s="136"/>
      <c r="CM42277" s="111"/>
      <c r="CQ42277" s="111"/>
      <c r="EF42277"/>
      <c r="EG42277"/>
      <c r="EH42277"/>
      <c r="EI42277"/>
      <c r="EJ42277"/>
      <c r="EK42277"/>
    </row>
    <row r="42278" spans="1:141" s="116" customFormat="1">
      <c r="A42278" s="136"/>
      <c r="CM42278" s="111"/>
      <c r="CQ42278" s="111"/>
      <c r="EF42278"/>
      <c r="EG42278"/>
      <c r="EH42278"/>
      <c r="EI42278"/>
      <c r="EJ42278"/>
      <c r="EK42278"/>
    </row>
    <row r="42279" spans="1:141" s="116" customFormat="1">
      <c r="A42279" s="136"/>
      <c r="CM42279" s="111"/>
      <c r="CQ42279" s="111"/>
      <c r="EF42279"/>
      <c r="EG42279"/>
      <c r="EH42279"/>
      <c r="EI42279"/>
      <c r="EJ42279"/>
      <c r="EK42279"/>
    </row>
    <row r="42280" spans="1:141" s="116" customFormat="1">
      <c r="A42280" s="136"/>
      <c r="CM42280" s="111"/>
      <c r="CQ42280" s="111"/>
      <c r="EF42280"/>
      <c r="EG42280"/>
      <c r="EH42280"/>
      <c r="EI42280"/>
      <c r="EJ42280"/>
      <c r="EK42280"/>
    </row>
    <row r="42281" spans="1:141" s="116" customFormat="1">
      <c r="A42281" s="136"/>
      <c r="CM42281" s="111"/>
      <c r="CQ42281" s="111"/>
      <c r="EF42281"/>
      <c r="EG42281"/>
      <c r="EH42281"/>
      <c r="EI42281"/>
      <c r="EJ42281"/>
      <c r="EK42281"/>
    </row>
    <row r="42282" spans="1:141" s="116" customFormat="1">
      <c r="A42282" s="136"/>
      <c r="CM42282" s="111"/>
      <c r="CQ42282" s="111"/>
      <c r="EF42282"/>
      <c r="EG42282"/>
      <c r="EH42282"/>
      <c r="EI42282"/>
      <c r="EJ42282"/>
      <c r="EK42282"/>
    </row>
    <row r="42283" spans="1:141" s="116" customFormat="1">
      <c r="A42283" s="136"/>
      <c r="CM42283" s="111"/>
      <c r="CQ42283" s="111"/>
      <c r="EF42283"/>
      <c r="EG42283"/>
      <c r="EH42283"/>
      <c r="EI42283"/>
      <c r="EJ42283"/>
      <c r="EK42283"/>
    </row>
    <row r="42284" spans="1:141" s="116" customFormat="1">
      <c r="A42284" s="136"/>
      <c r="CM42284" s="111"/>
      <c r="CQ42284" s="111"/>
      <c r="EF42284"/>
      <c r="EG42284"/>
      <c r="EH42284"/>
      <c r="EI42284"/>
      <c r="EJ42284"/>
      <c r="EK42284"/>
    </row>
    <row r="42285" spans="1:141" s="116" customFormat="1">
      <c r="A42285" s="136"/>
      <c r="CM42285" s="111"/>
      <c r="CQ42285" s="111"/>
      <c r="EF42285"/>
      <c r="EG42285"/>
      <c r="EH42285"/>
      <c r="EI42285"/>
      <c r="EJ42285"/>
      <c r="EK42285"/>
    </row>
    <row r="42286" spans="1:141" s="116" customFormat="1">
      <c r="A42286" s="136"/>
      <c r="CM42286" s="111"/>
      <c r="CQ42286" s="111"/>
      <c r="EF42286"/>
      <c r="EG42286"/>
      <c r="EH42286"/>
      <c r="EI42286"/>
      <c r="EJ42286"/>
      <c r="EK42286"/>
    </row>
    <row r="42287" spans="1:141" s="116" customFormat="1">
      <c r="A42287" s="136"/>
      <c r="CM42287" s="111"/>
      <c r="CQ42287" s="111"/>
      <c r="EF42287"/>
      <c r="EG42287"/>
      <c r="EH42287"/>
      <c r="EI42287"/>
      <c r="EJ42287"/>
      <c r="EK42287"/>
    </row>
    <row r="42288" spans="1:141" s="116" customFormat="1">
      <c r="A42288" s="136"/>
      <c r="CM42288" s="111"/>
      <c r="CQ42288" s="111"/>
      <c r="EF42288"/>
      <c r="EG42288"/>
      <c r="EH42288"/>
      <c r="EI42288"/>
      <c r="EJ42288"/>
      <c r="EK42288"/>
    </row>
    <row r="42289" spans="1:141" s="116" customFormat="1">
      <c r="A42289" s="136"/>
      <c r="CM42289" s="111"/>
      <c r="CQ42289" s="111"/>
      <c r="EF42289"/>
      <c r="EG42289"/>
      <c r="EH42289"/>
      <c r="EI42289"/>
      <c r="EJ42289"/>
      <c r="EK42289"/>
    </row>
    <row r="42290" spans="1:141" s="116" customFormat="1">
      <c r="A42290" s="136"/>
      <c r="CM42290" s="111"/>
      <c r="CQ42290" s="111"/>
      <c r="EF42290"/>
      <c r="EG42290"/>
      <c r="EH42290"/>
      <c r="EI42290"/>
      <c r="EJ42290"/>
      <c r="EK42290"/>
    </row>
    <row r="42291" spans="1:141" s="116" customFormat="1">
      <c r="A42291" s="136"/>
      <c r="CM42291" s="111"/>
      <c r="CQ42291" s="111"/>
      <c r="EF42291"/>
      <c r="EG42291"/>
      <c r="EH42291"/>
      <c r="EI42291"/>
      <c r="EJ42291"/>
      <c r="EK42291"/>
    </row>
    <row r="42292" spans="1:141" s="116" customFormat="1">
      <c r="A42292" s="136"/>
      <c r="CM42292" s="111"/>
      <c r="CQ42292" s="111"/>
      <c r="EF42292"/>
      <c r="EG42292"/>
      <c r="EH42292"/>
      <c r="EI42292"/>
      <c r="EJ42292"/>
      <c r="EK42292"/>
    </row>
    <row r="42293" spans="1:141" s="116" customFormat="1">
      <c r="A42293" s="136"/>
      <c r="CM42293" s="111"/>
      <c r="CQ42293" s="111"/>
      <c r="EF42293"/>
      <c r="EG42293"/>
      <c r="EH42293"/>
      <c r="EI42293"/>
      <c r="EJ42293"/>
      <c r="EK42293"/>
    </row>
    <row r="42294" spans="1:141" s="116" customFormat="1">
      <c r="A42294" s="136"/>
      <c r="CM42294" s="111"/>
      <c r="CQ42294" s="111"/>
      <c r="EF42294"/>
      <c r="EG42294"/>
      <c r="EH42294"/>
      <c r="EI42294"/>
      <c r="EJ42294"/>
      <c r="EK42294"/>
    </row>
    <row r="42295" spans="1:141" s="116" customFormat="1">
      <c r="A42295" s="136"/>
      <c r="CM42295" s="111"/>
      <c r="CQ42295" s="111"/>
      <c r="EF42295"/>
      <c r="EG42295"/>
      <c r="EH42295"/>
      <c r="EI42295"/>
      <c r="EJ42295"/>
      <c r="EK42295"/>
    </row>
    <row r="42296" spans="1:141" s="116" customFormat="1">
      <c r="A42296" s="136"/>
      <c r="CM42296" s="111"/>
      <c r="CQ42296" s="111"/>
      <c r="EF42296"/>
      <c r="EG42296"/>
      <c r="EH42296"/>
      <c r="EI42296"/>
      <c r="EJ42296"/>
      <c r="EK42296"/>
    </row>
    <row r="42297" spans="1:141" s="116" customFormat="1">
      <c r="A42297" s="136"/>
      <c r="CM42297" s="111"/>
      <c r="CQ42297" s="111"/>
      <c r="EF42297"/>
      <c r="EG42297"/>
      <c r="EH42297"/>
      <c r="EI42297"/>
      <c r="EJ42297"/>
      <c r="EK42297"/>
    </row>
    <row r="42298" spans="1:141" s="116" customFormat="1">
      <c r="A42298" s="136"/>
      <c r="CM42298" s="111"/>
      <c r="CQ42298" s="111"/>
      <c r="EF42298"/>
      <c r="EG42298"/>
      <c r="EH42298"/>
      <c r="EI42298"/>
      <c r="EJ42298"/>
      <c r="EK42298"/>
    </row>
    <row r="42299" spans="1:141" s="116" customFormat="1">
      <c r="A42299" s="136"/>
      <c r="CM42299" s="111"/>
      <c r="CQ42299" s="111"/>
      <c r="EF42299"/>
      <c r="EG42299"/>
      <c r="EH42299"/>
      <c r="EI42299"/>
      <c r="EJ42299"/>
      <c r="EK42299"/>
    </row>
    <row r="42300" spans="1:141" s="116" customFormat="1">
      <c r="A42300" s="136"/>
      <c r="CM42300" s="111"/>
      <c r="CQ42300" s="111"/>
      <c r="EF42300"/>
      <c r="EG42300"/>
      <c r="EH42300"/>
      <c r="EI42300"/>
      <c r="EJ42300"/>
      <c r="EK42300"/>
    </row>
    <row r="42301" spans="1:141" s="116" customFormat="1">
      <c r="A42301" s="136"/>
      <c r="CM42301" s="111"/>
      <c r="CQ42301" s="111"/>
      <c r="EF42301"/>
      <c r="EG42301"/>
      <c r="EH42301"/>
      <c r="EI42301"/>
      <c r="EJ42301"/>
      <c r="EK42301"/>
    </row>
    <row r="42302" spans="1:141" s="116" customFormat="1">
      <c r="A42302" s="136"/>
      <c r="CM42302" s="111"/>
      <c r="CQ42302" s="111"/>
      <c r="EF42302"/>
      <c r="EG42302"/>
      <c r="EH42302"/>
      <c r="EI42302"/>
      <c r="EJ42302"/>
      <c r="EK42302"/>
    </row>
    <row r="42303" spans="1:141" s="116" customFormat="1">
      <c r="A42303" s="136"/>
      <c r="CM42303" s="111"/>
      <c r="CQ42303" s="111"/>
      <c r="EF42303"/>
      <c r="EG42303"/>
      <c r="EH42303"/>
      <c r="EI42303"/>
      <c r="EJ42303"/>
      <c r="EK42303"/>
    </row>
    <row r="42304" spans="1:141" s="116" customFormat="1">
      <c r="A42304" s="136"/>
      <c r="CM42304" s="111"/>
      <c r="CQ42304" s="111"/>
      <c r="EF42304"/>
      <c r="EG42304"/>
      <c r="EH42304"/>
      <c r="EI42304"/>
      <c r="EJ42304"/>
      <c r="EK42304"/>
    </row>
    <row r="42305" spans="1:141" s="116" customFormat="1">
      <c r="A42305" s="136"/>
      <c r="CM42305" s="111"/>
      <c r="CQ42305" s="111"/>
      <c r="EF42305"/>
      <c r="EG42305"/>
      <c r="EH42305"/>
      <c r="EI42305"/>
      <c r="EJ42305"/>
      <c r="EK42305"/>
    </row>
    <row r="42306" spans="1:141" s="116" customFormat="1">
      <c r="A42306" s="136"/>
      <c r="CM42306" s="111"/>
      <c r="CQ42306" s="111"/>
      <c r="EF42306"/>
      <c r="EG42306"/>
      <c r="EH42306"/>
      <c r="EI42306"/>
      <c r="EJ42306"/>
      <c r="EK42306"/>
    </row>
    <row r="42307" spans="1:141" s="116" customFormat="1">
      <c r="A42307" s="136"/>
      <c r="CM42307" s="111"/>
      <c r="CQ42307" s="111"/>
      <c r="EF42307"/>
      <c r="EG42307"/>
      <c r="EH42307"/>
      <c r="EI42307"/>
      <c r="EJ42307"/>
      <c r="EK42307"/>
    </row>
    <row r="42308" spans="1:141" s="116" customFormat="1">
      <c r="A42308" s="136"/>
      <c r="CM42308" s="111"/>
      <c r="CQ42308" s="111"/>
      <c r="EF42308"/>
      <c r="EG42308"/>
      <c r="EH42308"/>
      <c r="EI42308"/>
      <c r="EJ42308"/>
      <c r="EK42308"/>
    </row>
    <row r="42309" spans="1:141" s="116" customFormat="1">
      <c r="A42309" s="136"/>
      <c r="CM42309" s="111"/>
      <c r="CQ42309" s="111"/>
      <c r="EF42309"/>
      <c r="EG42309"/>
      <c r="EH42309"/>
      <c r="EI42309"/>
      <c r="EJ42309"/>
      <c r="EK42309"/>
    </row>
    <row r="42310" spans="1:141" s="116" customFormat="1">
      <c r="A42310" s="136"/>
      <c r="CM42310" s="111"/>
      <c r="CQ42310" s="111"/>
      <c r="EF42310"/>
      <c r="EG42310"/>
      <c r="EH42310"/>
      <c r="EI42310"/>
      <c r="EJ42310"/>
      <c r="EK42310"/>
    </row>
    <row r="42311" spans="1:141" s="116" customFormat="1">
      <c r="A42311" s="136"/>
      <c r="CM42311" s="111"/>
      <c r="CQ42311" s="111"/>
      <c r="EF42311"/>
      <c r="EG42311"/>
      <c r="EH42311"/>
      <c r="EI42311"/>
      <c r="EJ42311"/>
      <c r="EK42311"/>
    </row>
    <row r="42312" spans="1:141" s="116" customFormat="1">
      <c r="A42312" s="136"/>
      <c r="CM42312" s="111"/>
      <c r="CQ42312" s="111"/>
      <c r="EF42312"/>
      <c r="EG42312"/>
      <c r="EH42312"/>
      <c r="EI42312"/>
      <c r="EJ42312"/>
      <c r="EK42312"/>
    </row>
    <row r="42313" spans="1:141" s="116" customFormat="1">
      <c r="A42313" s="136"/>
      <c r="CM42313" s="111"/>
      <c r="CQ42313" s="111"/>
      <c r="EF42313"/>
      <c r="EG42313"/>
      <c r="EH42313"/>
      <c r="EI42313"/>
      <c r="EJ42313"/>
      <c r="EK42313"/>
    </row>
    <row r="42314" spans="1:141" s="116" customFormat="1">
      <c r="A42314" s="136"/>
      <c r="CM42314" s="111"/>
      <c r="CQ42314" s="111"/>
      <c r="EF42314"/>
      <c r="EG42314"/>
      <c r="EH42314"/>
      <c r="EI42314"/>
      <c r="EJ42314"/>
      <c r="EK42314"/>
    </row>
    <row r="42315" spans="1:141" s="116" customFormat="1">
      <c r="A42315" s="136"/>
      <c r="CM42315" s="111"/>
      <c r="CQ42315" s="111"/>
      <c r="EF42315"/>
      <c r="EG42315"/>
      <c r="EH42315"/>
      <c r="EI42315"/>
      <c r="EJ42315"/>
      <c r="EK42315"/>
    </row>
    <row r="42316" spans="1:141" s="116" customFormat="1">
      <c r="A42316" s="136"/>
      <c r="CM42316" s="111"/>
      <c r="CQ42316" s="111"/>
      <c r="EF42316"/>
      <c r="EG42316"/>
      <c r="EH42316"/>
      <c r="EI42316"/>
      <c r="EJ42316"/>
      <c r="EK42316"/>
    </row>
    <row r="42317" spans="1:141" s="116" customFormat="1">
      <c r="A42317" s="136"/>
      <c r="CM42317" s="111"/>
      <c r="CQ42317" s="111"/>
      <c r="EF42317"/>
      <c r="EG42317"/>
      <c r="EH42317"/>
      <c r="EI42317"/>
      <c r="EJ42317"/>
      <c r="EK42317"/>
    </row>
    <row r="42318" spans="1:141" s="116" customFormat="1">
      <c r="A42318" s="136"/>
      <c r="CM42318" s="111"/>
      <c r="CQ42318" s="111"/>
      <c r="EF42318"/>
      <c r="EG42318"/>
      <c r="EH42318"/>
      <c r="EI42318"/>
      <c r="EJ42318"/>
      <c r="EK42318"/>
    </row>
    <row r="42319" spans="1:141" s="116" customFormat="1">
      <c r="A42319" s="136"/>
      <c r="CM42319" s="111"/>
      <c r="CQ42319" s="111"/>
      <c r="EF42319"/>
      <c r="EG42319"/>
      <c r="EH42319"/>
      <c r="EI42319"/>
      <c r="EJ42319"/>
      <c r="EK42319"/>
    </row>
    <row r="42320" spans="1:141" s="116" customFormat="1">
      <c r="A42320" s="136"/>
      <c r="CM42320" s="111"/>
      <c r="CQ42320" s="111"/>
      <c r="EF42320"/>
      <c r="EG42320"/>
      <c r="EH42320"/>
      <c r="EI42320"/>
      <c r="EJ42320"/>
      <c r="EK42320"/>
    </row>
    <row r="42321" spans="1:141" s="116" customFormat="1">
      <c r="A42321" s="136"/>
      <c r="CM42321" s="111"/>
      <c r="CQ42321" s="111"/>
      <c r="EF42321"/>
      <c r="EG42321"/>
      <c r="EH42321"/>
      <c r="EI42321"/>
      <c r="EJ42321"/>
      <c r="EK42321"/>
    </row>
    <row r="42322" spans="1:141" s="116" customFormat="1">
      <c r="A42322" s="136"/>
      <c r="CM42322" s="111"/>
      <c r="CQ42322" s="111"/>
      <c r="EF42322"/>
      <c r="EG42322"/>
      <c r="EH42322"/>
      <c r="EI42322"/>
      <c r="EJ42322"/>
      <c r="EK42322"/>
    </row>
    <row r="42323" spans="1:141" s="116" customFormat="1">
      <c r="A42323" s="136"/>
      <c r="CM42323" s="111"/>
      <c r="CQ42323" s="111"/>
      <c r="EF42323"/>
      <c r="EG42323"/>
      <c r="EH42323"/>
      <c r="EI42323"/>
      <c r="EJ42323"/>
      <c r="EK42323"/>
    </row>
    <row r="42324" spans="1:141" s="116" customFormat="1">
      <c r="A42324" s="136"/>
      <c r="CM42324" s="111"/>
      <c r="CQ42324" s="111"/>
      <c r="EF42324"/>
      <c r="EG42324"/>
      <c r="EH42324"/>
      <c r="EI42324"/>
      <c r="EJ42324"/>
      <c r="EK42324"/>
    </row>
    <row r="42325" spans="1:141" s="116" customFormat="1">
      <c r="A42325" s="136"/>
      <c r="CM42325" s="111"/>
      <c r="CQ42325" s="111"/>
      <c r="EF42325"/>
      <c r="EG42325"/>
      <c r="EH42325"/>
      <c r="EI42325"/>
      <c r="EJ42325"/>
      <c r="EK42325"/>
    </row>
    <row r="42326" spans="1:141" s="116" customFormat="1">
      <c r="A42326" s="136"/>
      <c r="CM42326" s="111"/>
      <c r="CQ42326" s="111"/>
      <c r="EF42326"/>
      <c r="EG42326"/>
      <c r="EH42326"/>
      <c r="EI42326"/>
      <c r="EJ42326"/>
      <c r="EK42326"/>
    </row>
    <row r="42327" spans="1:141" s="116" customFormat="1">
      <c r="A42327" s="136"/>
      <c r="CM42327" s="111"/>
      <c r="CQ42327" s="111"/>
      <c r="EF42327"/>
      <c r="EG42327"/>
      <c r="EH42327"/>
      <c r="EI42327"/>
      <c r="EJ42327"/>
      <c r="EK42327"/>
    </row>
    <row r="42328" spans="1:141" s="116" customFormat="1">
      <c r="A42328" s="136"/>
      <c r="CM42328" s="111"/>
      <c r="CQ42328" s="111"/>
      <c r="EF42328"/>
      <c r="EG42328"/>
      <c r="EH42328"/>
      <c r="EI42328"/>
      <c r="EJ42328"/>
      <c r="EK42328"/>
    </row>
    <row r="42329" spans="1:141" s="116" customFormat="1">
      <c r="A42329" s="136"/>
      <c r="CM42329" s="111"/>
      <c r="CQ42329" s="111"/>
      <c r="EF42329"/>
      <c r="EG42329"/>
      <c r="EH42329"/>
      <c r="EI42329"/>
      <c r="EJ42329"/>
      <c r="EK42329"/>
    </row>
    <row r="42330" spans="1:141" s="116" customFormat="1">
      <c r="A42330" s="136"/>
      <c r="CM42330" s="111"/>
      <c r="CQ42330" s="111"/>
      <c r="EF42330"/>
      <c r="EG42330"/>
      <c r="EH42330"/>
      <c r="EI42330"/>
      <c r="EJ42330"/>
      <c r="EK42330"/>
    </row>
    <row r="42331" spans="1:141" s="116" customFormat="1">
      <c r="A42331" s="136"/>
      <c r="CM42331" s="111"/>
      <c r="CQ42331" s="111"/>
      <c r="EF42331"/>
      <c r="EG42331"/>
      <c r="EH42331"/>
      <c r="EI42331"/>
      <c r="EJ42331"/>
      <c r="EK42331"/>
    </row>
    <row r="42332" spans="1:141" s="116" customFormat="1">
      <c r="A42332" s="136"/>
      <c r="CM42332" s="111"/>
      <c r="CQ42332" s="111"/>
      <c r="EF42332"/>
      <c r="EG42332"/>
      <c r="EH42332"/>
      <c r="EI42332"/>
      <c r="EJ42332"/>
      <c r="EK42332"/>
    </row>
    <row r="42333" spans="1:141" s="116" customFormat="1">
      <c r="A42333" s="136"/>
      <c r="CM42333" s="111"/>
      <c r="CQ42333" s="111"/>
      <c r="EF42333"/>
      <c r="EG42333"/>
      <c r="EH42333"/>
      <c r="EI42333"/>
      <c r="EJ42333"/>
      <c r="EK42333"/>
    </row>
    <row r="42334" spans="1:141" s="116" customFormat="1">
      <c r="A42334" s="136"/>
      <c r="CM42334" s="111"/>
      <c r="CQ42334" s="111"/>
      <c r="EF42334"/>
      <c r="EG42334"/>
      <c r="EH42334"/>
      <c r="EI42334"/>
      <c r="EJ42334"/>
      <c r="EK42334"/>
    </row>
    <row r="42335" spans="1:141" s="116" customFormat="1">
      <c r="A42335" s="136"/>
      <c r="CM42335" s="111"/>
      <c r="CQ42335" s="111"/>
      <c r="EF42335"/>
      <c r="EG42335"/>
      <c r="EH42335"/>
      <c r="EI42335"/>
      <c r="EJ42335"/>
      <c r="EK42335"/>
    </row>
    <row r="42336" spans="1:141" s="116" customFormat="1">
      <c r="A42336" s="136"/>
      <c r="CM42336" s="111"/>
      <c r="CQ42336" s="111"/>
      <c r="EF42336"/>
      <c r="EG42336"/>
      <c r="EH42336"/>
      <c r="EI42336"/>
      <c r="EJ42336"/>
      <c r="EK42336"/>
    </row>
    <row r="42337" spans="1:141" s="116" customFormat="1">
      <c r="A42337" s="136"/>
      <c r="CM42337" s="111"/>
      <c r="CQ42337" s="111"/>
      <c r="EF42337"/>
      <c r="EG42337"/>
      <c r="EH42337"/>
      <c r="EI42337"/>
      <c r="EJ42337"/>
      <c r="EK42337"/>
    </row>
    <row r="42338" spans="1:141" s="116" customFormat="1">
      <c r="A42338" s="136"/>
      <c r="CM42338" s="111"/>
      <c r="CQ42338" s="111"/>
      <c r="EF42338"/>
      <c r="EG42338"/>
      <c r="EH42338"/>
      <c r="EI42338"/>
      <c r="EJ42338"/>
      <c r="EK42338"/>
    </row>
    <row r="42339" spans="1:141" s="116" customFormat="1">
      <c r="A42339" s="136"/>
      <c r="CM42339" s="111"/>
      <c r="CQ42339" s="111"/>
      <c r="EF42339"/>
      <c r="EG42339"/>
      <c r="EH42339"/>
      <c r="EI42339"/>
      <c r="EJ42339"/>
      <c r="EK42339"/>
    </row>
    <row r="42340" spans="1:141" s="116" customFormat="1">
      <c r="A42340" s="136"/>
      <c r="CM42340" s="111"/>
      <c r="CQ42340" s="111"/>
      <c r="EF42340"/>
      <c r="EG42340"/>
      <c r="EH42340"/>
      <c r="EI42340"/>
      <c r="EJ42340"/>
      <c r="EK42340"/>
    </row>
    <row r="42341" spans="1:141" s="116" customFormat="1">
      <c r="A42341" s="136"/>
      <c r="CM42341" s="111"/>
      <c r="CQ42341" s="111"/>
      <c r="EF42341"/>
      <c r="EG42341"/>
      <c r="EH42341"/>
      <c r="EI42341"/>
      <c r="EJ42341"/>
      <c r="EK42341"/>
    </row>
    <row r="42342" spans="1:141" s="116" customFormat="1">
      <c r="A42342" s="136"/>
      <c r="CM42342" s="111"/>
      <c r="CQ42342" s="111"/>
      <c r="EF42342"/>
      <c r="EG42342"/>
      <c r="EH42342"/>
      <c r="EI42342"/>
      <c r="EJ42342"/>
      <c r="EK42342"/>
    </row>
    <row r="42343" spans="1:141" s="116" customFormat="1">
      <c r="A42343" s="136"/>
      <c r="CM42343" s="111"/>
      <c r="CQ42343" s="111"/>
      <c r="EF42343"/>
      <c r="EG42343"/>
      <c r="EH42343"/>
      <c r="EI42343"/>
      <c r="EJ42343"/>
      <c r="EK42343"/>
    </row>
    <row r="42344" spans="1:141" s="116" customFormat="1">
      <c r="A42344" s="136"/>
      <c r="CM42344" s="111"/>
      <c r="CQ42344" s="111"/>
      <c r="EF42344"/>
      <c r="EG42344"/>
      <c r="EH42344"/>
      <c r="EI42344"/>
      <c r="EJ42344"/>
      <c r="EK42344"/>
    </row>
    <row r="42345" spans="1:141" s="116" customFormat="1">
      <c r="A42345" s="136"/>
      <c r="CM42345" s="111"/>
      <c r="CQ42345" s="111"/>
      <c r="EF42345"/>
      <c r="EG42345"/>
      <c r="EH42345"/>
      <c r="EI42345"/>
      <c r="EJ42345"/>
      <c r="EK42345"/>
    </row>
    <row r="42346" spans="1:141" s="116" customFormat="1">
      <c r="A42346" s="136"/>
      <c r="CM42346" s="111"/>
      <c r="CQ42346" s="111"/>
      <c r="EF42346"/>
      <c r="EG42346"/>
      <c r="EH42346"/>
      <c r="EI42346"/>
      <c r="EJ42346"/>
      <c r="EK42346"/>
    </row>
    <row r="42347" spans="1:141" s="116" customFormat="1">
      <c r="A42347" s="136"/>
      <c r="CM42347" s="111"/>
      <c r="CQ42347" s="111"/>
      <c r="EF42347"/>
      <c r="EG42347"/>
      <c r="EH42347"/>
      <c r="EI42347"/>
      <c r="EJ42347"/>
      <c r="EK42347"/>
    </row>
    <row r="42348" spans="1:141" s="116" customFormat="1">
      <c r="A42348" s="136"/>
      <c r="CM42348" s="111"/>
      <c r="CQ42348" s="111"/>
      <c r="EF42348"/>
      <c r="EG42348"/>
      <c r="EH42348"/>
      <c r="EI42348"/>
      <c r="EJ42348"/>
      <c r="EK42348"/>
    </row>
    <row r="42349" spans="1:141" s="116" customFormat="1">
      <c r="A42349" s="136"/>
      <c r="CM42349" s="111"/>
      <c r="CQ42349" s="111"/>
      <c r="EF42349"/>
      <c r="EG42349"/>
      <c r="EH42349"/>
      <c r="EI42349"/>
      <c r="EJ42349"/>
      <c r="EK42349"/>
    </row>
    <row r="42350" spans="1:141" s="116" customFormat="1">
      <c r="A42350" s="136"/>
      <c r="CM42350" s="111"/>
      <c r="CQ42350" s="111"/>
      <c r="EF42350"/>
      <c r="EG42350"/>
      <c r="EH42350"/>
      <c r="EI42350"/>
      <c r="EJ42350"/>
      <c r="EK42350"/>
    </row>
    <row r="42351" spans="1:141" s="116" customFormat="1">
      <c r="A42351" s="136"/>
      <c r="CM42351" s="111"/>
      <c r="CQ42351" s="111"/>
      <c r="EF42351"/>
      <c r="EG42351"/>
      <c r="EH42351"/>
      <c r="EI42351"/>
      <c r="EJ42351"/>
      <c r="EK42351"/>
    </row>
    <row r="42352" spans="1:141" s="116" customFormat="1">
      <c r="A42352" s="136"/>
      <c r="CM42352" s="111"/>
      <c r="CQ42352" s="111"/>
      <c r="EF42352"/>
      <c r="EG42352"/>
      <c r="EH42352"/>
      <c r="EI42352"/>
      <c r="EJ42352"/>
      <c r="EK42352"/>
    </row>
    <row r="42353" spans="1:141" s="116" customFormat="1">
      <c r="A42353" s="136"/>
      <c r="CM42353" s="111"/>
      <c r="CQ42353" s="111"/>
      <c r="EF42353"/>
      <c r="EG42353"/>
      <c r="EH42353"/>
      <c r="EI42353"/>
      <c r="EJ42353"/>
      <c r="EK42353"/>
    </row>
    <row r="42354" spans="1:141" s="116" customFormat="1">
      <c r="A42354" s="136"/>
      <c r="CM42354" s="111"/>
      <c r="CQ42354" s="111"/>
      <c r="EF42354"/>
      <c r="EG42354"/>
      <c r="EH42354"/>
      <c r="EI42354"/>
      <c r="EJ42354"/>
      <c r="EK42354"/>
    </row>
    <row r="42355" spans="1:141" s="116" customFormat="1">
      <c r="A42355" s="136"/>
      <c r="CM42355" s="111"/>
      <c r="CQ42355" s="111"/>
      <c r="EF42355"/>
      <c r="EG42355"/>
      <c r="EH42355"/>
      <c r="EI42355"/>
      <c r="EJ42355"/>
      <c r="EK42355"/>
    </row>
    <row r="42356" spans="1:141" s="116" customFormat="1">
      <c r="A42356" s="136"/>
      <c r="CM42356" s="111"/>
      <c r="CQ42356" s="111"/>
      <c r="EF42356"/>
      <c r="EG42356"/>
      <c r="EH42356"/>
      <c r="EI42356"/>
      <c r="EJ42356"/>
      <c r="EK42356"/>
    </row>
    <row r="42357" spans="1:141" s="116" customFormat="1">
      <c r="A42357" s="136"/>
      <c r="CM42357" s="111"/>
      <c r="CQ42357" s="111"/>
      <c r="EF42357"/>
      <c r="EG42357"/>
      <c r="EH42357"/>
      <c r="EI42357"/>
      <c r="EJ42357"/>
      <c r="EK42357"/>
    </row>
    <row r="42358" spans="1:141" s="116" customFormat="1">
      <c r="A42358" s="136"/>
      <c r="CM42358" s="111"/>
      <c r="CQ42358" s="111"/>
      <c r="EF42358"/>
      <c r="EG42358"/>
      <c r="EH42358"/>
      <c r="EI42358"/>
      <c r="EJ42358"/>
      <c r="EK42358"/>
    </row>
    <row r="42359" spans="1:141" s="116" customFormat="1">
      <c r="A42359" s="136"/>
      <c r="CM42359" s="111"/>
      <c r="CQ42359" s="111"/>
      <c r="EF42359"/>
      <c r="EG42359"/>
      <c r="EH42359"/>
      <c r="EI42359"/>
      <c r="EJ42359"/>
      <c r="EK42359"/>
    </row>
    <row r="42360" spans="1:141" s="116" customFormat="1">
      <c r="A42360" s="136"/>
      <c r="CM42360" s="111"/>
      <c r="CQ42360" s="111"/>
      <c r="EF42360"/>
      <c r="EG42360"/>
      <c r="EH42360"/>
      <c r="EI42360"/>
      <c r="EJ42360"/>
      <c r="EK42360"/>
    </row>
    <row r="42361" spans="1:141" s="116" customFormat="1">
      <c r="A42361" s="136"/>
      <c r="CM42361" s="111"/>
      <c r="CQ42361" s="111"/>
      <c r="EF42361"/>
      <c r="EG42361"/>
      <c r="EH42361"/>
      <c r="EI42361"/>
      <c r="EJ42361"/>
      <c r="EK42361"/>
    </row>
    <row r="42362" spans="1:141" s="116" customFormat="1">
      <c r="A42362" s="136"/>
      <c r="CM42362" s="111"/>
      <c r="CQ42362" s="111"/>
      <c r="EF42362"/>
      <c r="EG42362"/>
      <c r="EH42362"/>
      <c r="EI42362"/>
      <c r="EJ42362"/>
      <c r="EK42362"/>
    </row>
    <row r="42363" spans="1:141" s="116" customFormat="1">
      <c r="A42363" s="136"/>
      <c r="CM42363" s="111"/>
      <c r="CQ42363" s="111"/>
      <c r="EF42363"/>
      <c r="EG42363"/>
      <c r="EH42363"/>
      <c r="EI42363"/>
      <c r="EJ42363"/>
      <c r="EK42363"/>
    </row>
    <row r="42364" spans="1:141" s="116" customFormat="1">
      <c r="A42364" s="136"/>
      <c r="CM42364" s="111"/>
      <c r="CQ42364" s="111"/>
      <c r="EF42364"/>
      <c r="EG42364"/>
      <c r="EH42364"/>
      <c r="EI42364"/>
      <c r="EJ42364"/>
      <c r="EK42364"/>
    </row>
    <row r="42365" spans="1:141" s="116" customFormat="1">
      <c r="A42365" s="136"/>
      <c r="CM42365" s="111"/>
      <c r="CQ42365" s="111"/>
      <c r="EF42365"/>
      <c r="EG42365"/>
      <c r="EH42365"/>
      <c r="EI42365"/>
      <c r="EJ42365"/>
      <c r="EK42365"/>
    </row>
    <row r="42366" spans="1:141" s="116" customFormat="1">
      <c r="A42366" s="136"/>
      <c r="CM42366" s="111"/>
      <c r="CQ42366" s="111"/>
      <c r="EF42366"/>
      <c r="EG42366"/>
      <c r="EH42366"/>
      <c r="EI42366"/>
      <c r="EJ42366"/>
      <c r="EK42366"/>
    </row>
    <row r="42367" spans="1:141" s="116" customFormat="1">
      <c r="A42367" s="136"/>
      <c r="CM42367" s="111"/>
      <c r="CQ42367" s="111"/>
      <c r="EF42367"/>
      <c r="EG42367"/>
      <c r="EH42367"/>
      <c r="EI42367"/>
      <c r="EJ42367"/>
      <c r="EK42367"/>
    </row>
    <row r="42368" spans="1:141" s="116" customFormat="1">
      <c r="A42368" s="136"/>
      <c r="CM42368" s="111"/>
      <c r="CQ42368" s="111"/>
      <c r="EF42368"/>
      <c r="EG42368"/>
      <c r="EH42368"/>
      <c r="EI42368"/>
      <c r="EJ42368"/>
      <c r="EK42368"/>
    </row>
    <row r="42369" spans="1:141" s="116" customFormat="1">
      <c r="A42369" s="136"/>
      <c r="CM42369" s="111"/>
      <c r="CQ42369" s="111"/>
      <c r="EF42369"/>
      <c r="EG42369"/>
      <c r="EH42369"/>
      <c r="EI42369"/>
      <c r="EJ42369"/>
      <c r="EK42369"/>
    </row>
    <row r="42370" spans="1:141" s="116" customFormat="1">
      <c r="A42370" s="136"/>
      <c r="CM42370" s="111"/>
      <c r="CQ42370" s="111"/>
      <c r="EF42370"/>
      <c r="EG42370"/>
      <c r="EH42370"/>
      <c r="EI42370"/>
      <c r="EJ42370"/>
      <c r="EK42370"/>
    </row>
    <row r="42371" spans="1:141" s="116" customFormat="1">
      <c r="A42371" s="136"/>
      <c r="CM42371" s="111"/>
      <c r="CQ42371" s="111"/>
      <c r="EF42371"/>
      <c r="EG42371"/>
      <c r="EH42371"/>
      <c r="EI42371"/>
      <c r="EJ42371"/>
      <c r="EK42371"/>
    </row>
    <row r="42372" spans="1:141" s="116" customFormat="1">
      <c r="A42372" s="136"/>
      <c r="CM42372" s="111"/>
      <c r="CQ42372" s="111"/>
      <c r="EF42372"/>
      <c r="EG42372"/>
      <c r="EH42372"/>
      <c r="EI42372"/>
      <c r="EJ42372"/>
      <c r="EK42372"/>
    </row>
    <row r="42373" spans="1:141" s="116" customFormat="1">
      <c r="A42373" s="136"/>
      <c r="CM42373" s="111"/>
      <c r="CQ42373" s="111"/>
      <c r="EF42373"/>
      <c r="EG42373"/>
      <c r="EH42373"/>
      <c r="EI42373"/>
      <c r="EJ42373"/>
      <c r="EK42373"/>
    </row>
    <row r="42374" spans="1:141" s="116" customFormat="1">
      <c r="A42374" s="136"/>
      <c r="CM42374" s="111"/>
      <c r="CQ42374" s="111"/>
      <c r="EF42374"/>
      <c r="EG42374"/>
      <c r="EH42374"/>
      <c r="EI42374"/>
      <c r="EJ42374"/>
      <c r="EK42374"/>
    </row>
    <row r="42375" spans="1:141" s="116" customFormat="1">
      <c r="A42375" s="136"/>
      <c r="CM42375" s="111"/>
      <c r="CQ42375" s="111"/>
      <c r="EF42375"/>
      <c r="EG42375"/>
      <c r="EH42375"/>
      <c r="EI42375"/>
      <c r="EJ42375"/>
      <c r="EK42375"/>
    </row>
    <row r="42376" spans="1:141" s="116" customFormat="1">
      <c r="A42376" s="136"/>
      <c r="CM42376" s="111"/>
      <c r="CQ42376" s="111"/>
      <c r="EF42376"/>
      <c r="EG42376"/>
      <c r="EH42376"/>
      <c r="EI42376"/>
      <c r="EJ42376"/>
      <c r="EK42376"/>
    </row>
    <row r="42377" spans="1:141" s="116" customFormat="1">
      <c r="A42377" s="136"/>
      <c r="CM42377" s="111"/>
      <c r="CQ42377" s="111"/>
      <c r="EF42377"/>
      <c r="EG42377"/>
      <c r="EH42377"/>
      <c r="EI42377"/>
      <c r="EJ42377"/>
      <c r="EK42377"/>
    </row>
    <row r="42378" spans="1:141" s="116" customFormat="1">
      <c r="A42378" s="136"/>
      <c r="CM42378" s="111"/>
      <c r="CQ42378" s="111"/>
      <c r="EF42378"/>
      <c r="EG42378"/>
      <c r="EH42378"/>
      <c r="EI42378"/>
      <c r="EJ42378"/>
      <c r="EK42378"/>
    </row>
    <row r="42379" spans="1:141" s="116" customFormat="1">
      <c r="A42379" s="136"/>
      <c r="CM42379" s="111"/>
      <c r="CQ42379" s="111"/>
      <c r="EF42379"/>
      <c r="EG42379"/>
      <c r="EH42379"/>
      <c r="EI42379"/>
      <c r="EJ42379"/>
      <c r="EK42379"/>
    </row>
    <row r="42380" spans="1:141" s="116" customFormat="1">
      <c r="A42380" s="136"/>
      <c r="CM42380" s="111"/>
      <c r="CQ42380" s="111"/>
      <c r="EF42380"/>
      <c r="EG42380"/>
      <c r="EH42380"/>
      <c r="EI42380"/>
      <c r="EJ42380"/>
      <c r="EK42380"/>
    </row>
    <row r="42381" spans="1:141" s="116" customFormat="1">
      <c r="A42381" s="136"/>
      <c r="CM42381" s="111"/>
      <c r="CQ42381" s="111"/>
      <c r="EF42381"/>
      <c r="EG42381"/>
      <c r="EH42381"/>
      <c r="EI42381"/>
      <c r="EJ42381"/>
      <c r="EK42381"/>
    </row>
    <row r="42382" spans="1:141" s="116" customFormat="1">
      <c r="A42382" s="136"/>
      <c r="CM42382" s="111"/>
      <c r="CQ42382" s="111"/>
      <c r="EF42382"/>
      <c r="EG42382"/>
      <c r="EH42382"/>
      <c r="EI42382"/>
      <c r="EJ42382"/>
      <c r="EK42382"/>
    </row>
    <row r="42383" spans="1:141" s="116" customFormat="1">
      <c r="A42383" s="136"/>
      <c r="CM42383" s="111"/>
      <c r="CQ42383" s="111"/>
      <c r="EF42383"/>
      <c r="EG42383"/>
      <c r="EH42383"/>
      <c r="EI42383"/>
      <c r="EJ42383"/>
      <c r="EK42383"/>
    </row>
    <row r="42384" spans="1:141" s="116" customFormat="1">
      <c r="A42384" s="136"/>
      <c r="CM42384" s="111"/>
      <c r="CQ42384" s="111"/>
      <c r="EF42384"/>
      <c r="EG42384"/>
      <c r="EH42384"/>
      <c r="EI42384"/>
      <c r="EJ42384"/>
      <c r="EK42384"/>
    </row>
    <row r="42385" spans="1:141" s="116" customFormat="1">
      <c r="A42385" s="136"/>
      <c r="CM42385" s="111"/>
      <c r="CQ42385" s="111"/>
      <c r="EF42385"/>
      <c r="EG42385"/>
      <c r="EH42385"/>
      <c r="EI42385"/>
      <c r="EJ42385"/>
      <c r="EK42385"/>
    </row>
    <row r="42386" spans="1:141" s="116" customFormat="1">
      <c r="A42386" s="136"/>
      <c r="CM42386" s="111"/>
      <c r="CQ42386" s="111"/>
      <c r="EF42386"/>
      <c r="EG42386"/>
      <c r="EH42386"/>
      <c r="EI42386"/>
      <c r="EJ42386"/>
      <c r="EK42386"/>
    </row>
    <row r="42387" spans="1:141" s="116" customFormat="1">
      <c r="A42387" s="136"/>
      <c r="CM42387" s="111"/>
      <c r="CQ42387" s="111"/>
      <c r="EF42387"/>
      <c r="EG42387"/>
      <c r="EH42387"/>
      <c r="EI42387"/>
      <c r="EJ42387"/>
      <c r="EK42387"/>
    </row>
    <row r="42388" spans="1:141" s="116" customFormat="1">
      <c r="A42388" s="136"/>
      <c r="CM42388" s="111"/>
      <c r="CQ42388" s="111"/>
      <c r="EF42388"/>
      <c r="EG42388"/>
      <c r="EH42388"/>
      <c r="EI42388"/>
      <c r="EJ42388"/>
      <c r="EK42388"/>
    </row>
    <row r="42389" spans="1:141" s="116" customFormat="1">
      <c r="A42389" s="136"/>
      <c r="CM42389" s="111"/>
      <c r="CQ42389" s="111"/>
      <c r="EF42389"/>
      <c r="EG42389"/>
      <c r="EH42389"/>
      <c r="EI42389"/>
      <c r="EJ42389"/>
      <c r="EK42389"/>
    </row>
    <row r="42390" spans="1:141" s="116" customFormat="1">
      <c r="A42390" s="136"/>
      <c r="CM42390" s="111"/>
      <c r="CQ42390" s="111"/>
      <c r="EF42390"/>
      <c r="EG42390"/>
      <c r="EH42390"/>
      <c r="EI42390"/>
      <c r="EJ42390"/>
      <c r="EK42390"/>
    </row>
    <row r="42391" spans="1:141" s="116" customFormat="1">
      <c r="A42391" s="136"/>
      <c r="CM42391" s="111"/>
      <c r="CQ42391" s="111"/>
      <c r="EF42391"/>
      <c r="EG42391"/>
      <c r="EH42391"/>
      <c r="EI42391"/>
      <c r="EJ42391"/>
      <c r="EK42391"/>
    </row>
    <row r="42392" spans="1:141" s="116" customFormat="1">
      <c r="A42392" s="136"/>
      <c r="CM42392" s="111"/>
      <c r="CQ42392" s="111"/>
      <c r="EF42392"/>
      <c r="EG42392"/>
      <c r="EH42392"/>
      <c r="EI42392"/>
      <c r="EJ42392"/>
      <c r="EK42392"/>
    </row>
    <row r="42393" spans="1:141" s="116" customFormat="1">
      <c r="A42393" s="136"/>
      <c r="CM42393" s="111"/>
      <c r="CQ42393" s="111"/>
      <c r="EF42393"/>
      <c r="EG42393"/>
      <c r="EH42393"/>
      <c r="EI42393"/>
      <c r="EJ42393"/>
      <c r="EK42393"/>
    </row>
    <row r="42394" spans="1:141" s="116" customFormat="1">
      <c r="A42394" s="136"/>
      <c r="CM42394" s="111"/>
      <c r="CQ42394" s="111"/>
      <c r="EF42394"/>
      <c r="EG42394"/>
      <c r="EH42394"/>
      <c r="EI42394"/>
      <c r="EJ42394"/>
      <c r="EK42394"/>
    </row>
    <row r="42395" spans="1:141" s="116" customFormat="1">
      <c r="A42395" s="136"/>
      <c r="CM42395" s="111"/>
      <c r="CQ42395" s="111"/>
      <c r="EF42395"/>
      <c r="EG42395"/>
      <c r="EH42395"/>
      <c r="EI42395"/>
      <c r="EJ42395"/>
      <c r="EK42395"/>
    </row>
    <row r="42396" spans="1:141" s="116" customFormat="1">
      <c r="A42396" s="136"/>
      <c r="CM42396" s="111"/>
      <c r="CQ42396" s="111"/>
      <c r="EF42396"/>
      <c r="EG42396"/>
      <c r="EH42396"/>
      <c r="EI42396"/>
      <c r="EJ42396"/>
      <c r="EK42396"/>
    </row>
    <row r="42397" spans="1:141" s="116" customFormat="1">
      <c r="A42397" s="136"/>
      <c r="CM42397" s="111"/>
      <c r="CQ42397" s="111"/>
      <c r="EF42397"/>
      <c r="EG42397"/>
      <c r="EH42397"/>
      <c r="EI42397"/>
      <c r="EJ42397"/>
      <c r="EK42397"/>
    </row>
    <row r="42398" spans="1:141" s="116" customFormat="1">
      <c r="A42398" s="136"/>
      <c r="CM42398" s="111"/>
      <c r="CQ42398" s="111"/>
      <c r="EF42398"/>
      <c r="EG42398"/>
      <c r="EH42398"/>
      <c r="EI42398"/>
      <c r="EJ42398"/>
      <c r="EK42398"/>
    </row>
    <row r="42399" spans="1:141" s="116" customFormat="1">
      <c r="A42399" s="136"/>
      <c r="CM42399" s="111"/>
      <c r="CQ42399" s="111"/>
      <c r="EF42399"/>
      <c r="EG42399"/>
      <c r="EH42399"/>
      <c r="EI42399"/>
      <c r="EJ42399"/>
      <c r="EK42399"/>
    </row>
    <row r="42400" spans="1:141" s="116" customFormat="1">
      <c r="A42400" s="136"/>
      <c r="CM42400" s="111"/>
      <c r="CQ42400" s="111"/>
      <c r="EF42400"/>
      <c r="EG42400"/>
      <c r="EH42400"/>
      <c r="EI42400"/>
      <c r="EJ42400"/>
      <c r="EK42400"/>
    </row>
    <row r="42401" spans="1:141" s="116" customFormat="1">
      <c r="A42401" s="136"/>
      <c r="CM42401" s="111"/>
      <c r="CQ42401" s="111"/>
      <c r="EF42401"/>
      <c r="EG42401"/>
      <c r="EH42401"/>
      <c r="EI42401"/>
      <c r="EJ42401"/>
      <c r="EK42401"/>
    </row>
    <row r="42402" spans="1:141" s="116" customFormat="1">
      <c r="A42402" s="136"/>
      <c r="CM42402" s="111"/>
      <c r="CQ42402" s="111"/>
      <c r="EF42402"/>
      <c r="EG42402"/>
      <c r="EH42402"/>
      <c r="EI42402"/>
      <c r="EJ42402"/>
      <c r="EK42402"/>
    </row>
    <row r="42403" spans="1:141" s="116" customFormat="1">
      <c r="A42403" s="136"/>
      <c r="CM42403" s="111"/>
      <c r="CQ42403" s="111"/>
      <c r="EF42403"/>
      <c r="EG42403"/>
      <c r="EH42403"/>
      <c r="EI42403"/>
      <c r="EJ42403"/>
      <c r="EK42403"/>
    </row>
    <row r="42404" spans="1:141" s="116" customFormat="1">
      <c r="A42404" s="136"/>
      <c r="CM42404" s="111"/>
      <c r="CQ42404" s="111"/>
      <c r="EF42404"/>
      <c r="EG42404"/>
      <c r="EH42404"/>
      <c r="EI42404"/>
      <c r="EJ42404"/>
      <c r="EK42404"/>
    </row>
    <row r="42405" spans="1:141" s="116" customFormat="1">
      <c r="A42405" s="136"/>
      <c r="CM42405" s="111"/>
      <c r="CQ42405" s="111"/>
      <c r="EF42405"/>
      <c r="EG42405"/>
      <c r="EH42405"/>
      <c r="EI42405"/>
      <c r="EJ42405"/>
      <c r="EK42405"/>
    </row>
    <row r="42406" spans="1:141" s="116" customFormat="1">
      <c r="A42406" s="136"/>
      <c r="CM42406" s="111"/>
      <c r="CQ42406" s="111"/>
      <c r="EF42406"/>
      <c r="EG42406"/>
      <c r="EH42406"/>
      <c r="EI42406"/>
      <c r="EJ42406"/>
      <c r="EK42406"/>
    </row>
    <row r="42407" spans="1:141" s="116" customFormat="1">
      <c r="A42407" s="136"/>
      <c r="CM42407" s="111"/>
      <c r="CQ42407" s="111"/>
      <c r="EF42407"/>
      <c r="EG42407"/>
      <c r="EH42407"/>
      <c r="EI42407"/>
      <c r="EJ42407"/>
      <c r="EK42407"/>
    </row>
    <row r="42408" spans="1:141" s="116" customFormat="1">
      <c r="A42408" s="136"/>
      <c r="CM42408" s="111"/>
      <c r="CQ42408" s="111"/>
      <c r="EF42408"/>
      <c r="EG42408"/>
      <c r="EH42408"/>
      <c r="EI42408"/>
      <c r="EJ42408"/>
      <c r="EK42408"/>
    </row>
    <row r="42409" spans="1:141" s="116" customFormat="1">
      <c r="A42409" s="136"/>
      <c r="CM42409" s="111"/>
      <c r="CQ42409" s="111"/>
      <c r="EF42409"/>
      <c r="EG42409"/>
      <c r="EH42409"/>
      <c r="EI42409"/>
      <c r="EJ42409"/>
      <c r="EK42409"/>
    </row>
    <row r="42410" spans="1:141" s="116" customFormat="1">
      <c r="A42410" s="136"/>
      <c r="CM42410" s="111"/>
      <c r="CQ42410" s="111"/>
      <c r="EF42410"/>
      <c r="EG42410"/>
      <c r="EH42410"/>
      <c r="EI42410"/>
      <c r="EJ42410"/>
      <c r="EK42410"/>
    </row>
    <row r="42411" spans="1:141" s="116" customFormat="1">
      <c r="A42411" s="136"/>
      <c r="CM42411" s="111"/>
      <c r="CQ42411" s="111"/>
      <c r="EF42411"/>
      <c r="EG42411"/>
      <c r="EH42411"/>
      <c r="EI42411"/>
      <c r="EJ42411"/>
      <c r="EK42411"/>
    </row>
    <row r="42412" spans="1:141" s="116" customFormat="1">
      <c r="A42412" s="136"/>
      <c r="CM42412" s="111"/>
      <c r="CQ42412" s="111"/>
      <c r="EF42412"/>
      <c r="EG42412"/>
      <c r="EH42412"/>
      <c r="EI42412"/>
      <c r="EJ42412"/>
      <c r="EK42412"/>
    </row>
    <row r="42413" spans="1:141" s="116" customFormat="1">
      <c r="A42413" s="136"/>
      <c r="CM42413" s="111"/>
      <c r="CQ42413" s="111"/>
      <c r="EF42413"/>
      <c r="EG42413"/>
      <c r="EH42413"/>
      <c r="EI42413"/>
      <c r="EJ42413"/>
      <c r="EK42413"/>
    </row>
    <row r="42414" spans="1:141" s="116" customFormat="1">
      <c r="A42414" s="136"/>
      <c r="CM42414" s="111"/>
      <c r="CQ42414" s="111"/>
      <c r="EF42414"/>
      <c r="EG42414"/>
      <c r="EH42414"/>
      <c r="EI42414"/>
      <c r="EJ42414"/>
      <c r="EK42414"/>
    </row>
    <row r="42415" spans="1:141" s="116" customFormat="1">
      <c r="A42415" s="136"/>
      <c r="CM42415" s="111"/>
      <c r="CQ42415" s="111"/>
      <c r="EF42415"/>
      <c r="EG42415"/>
      <c r="EH42415"/>
      <c r="EI42415"/>
      <c r="EJ42415"/>
      <c r="EK42415"/>
    </row>
    <row r="42416" spans="1:141" s="116" customFormat="1">
      <c r="A42416" s="136"/>
      <c r="CM42416" s="111"/>
      <c r="CQ42416" s="111"/>
      <c r="EF42416"/>
      <c r="EG42416"/>
      <c r="EH42416"/>
      <c r="EI42416"/>
      <c r="EJ42416"/>
      <c r="EK42416"/>
    </row>
    <row r="42417" spans="1:141" s="116" customFormat="1">
      <c r="A42417" s="136"/>
      <c r="CM42417" s="111"/>
      <c r="CQ42417" s="111"/>
      <c r="EF42417"/>
      <c r="EG42417"/>
      <c r="EH42417"/>
      <c r="EI42417"/>
      <c r="EJ42417"/>
      <c r="EK42417"/>
    </row>
    <row r="42418" spans="1:141" s="116" customFormat="1">
      <c r="A42418" s="136"/>
      <c r="CM42418" s="111"/>
      <c r="CQ42418" s="111"/>
      <c r="EF42418"/>
      <c r="EG42418"/>
      <c r="EH42418"/>
      <c r="EI42418"/>
      <c r="EJ42418"/>
      <c r="EK42418"/>
    </row>
    <row r="42419" spans="1:141" s="116" customFormat="1">
      <c r="A42419" s="136"/>
      <c r="CM42419" s="111"/>
      <c r="CQ42419" s="111"/>
      <c r="EF42419"/>
      <c r="EG42419"/>
      <c r="EH42419"/>
      <c r="EI42419"/>
      <c r="EJ42419"/>
      <c r="EK42419"/>
    </row>
    <row r="42420" spans="1:141" s="116" customFormat="1">
      <c r="A42420" s="136"/>
      <c r="CM42420" s="111"/>
      <c r="CQ42420" s="111"/>
      <c r="EF42420"/>
      <c r="EG42420"/>
      <c r="EH42420"/>
      <c r="EI42420"/>
      <c r="EJ42420"/>
      <c r="EK42420"/>
    </row>
    <row r="42421" spans="1:141" s="116" customFormat="1">
      <c r="A42421" s="136"/>
      <c r="CM42421" s="111"/>
      <c r="CQ42421" s="111"/>
      <c r="EF42421"/>
      <c r="EG42421"/>
      <c r="EH42421"/>
      <c r="EI42421"/>
      <c r="EJ42421"/>
      <c r="EK42421"/>
    </row>
    <row r="42422" spans="1:141" s="116" customFormat="1">
      <c r="A42422" s="136"/>
      <c r="CM42422" s="111"/>
      <c r="CQ42422" s="111"/>
      <c r="EF42422"/>
      <c r="EG42422"/>
      <c r="EH42422"/>
      <c r="EI42422"/>
      <c r="EJ42422"/>
      <c r="EK42422"/>
    </row>
    <row r="42423" spans="1:141" s="116" customFormat="1">
      <c r="A42423" s="136"/>
      <c r="CM42423" s="111"/>
      <c r="CQ42423" s="111"/>
      <c r="EF42423"/>
      <c r="EG42423"/>
      <c r="EH42423"/>
      <c r="EI42423"/>
      <c r="EJ42423"/>
      <c r="EK42423"/>
    </row>
    <row r="42424" spans="1:141" s="116" customFormat="1">
      <c r="A42424" s="136"/>
      <c r="CM42424" s="111"/>
      <c r="CQ42424" s="111"/>
      <c r="EF42424"/>
      <c r="EG42424"/>
      <c r="EH42424"/>
      <c r="EI42424"/>
      <c r="EJ42424"/>
      <c r="EK42424"/>
    </row>
    <row r="42425" spans="1:141" s="116" customFormat="1">
      <c r="A42425" s="136"/>
      <c r="CM42425" s="111"/>
      <c r="CQ42425" s="111"/>
      <c r="EF42425"/>
      <c r="EG42425"/>
      <c r="EH42425"/>
      <c r="EI42425"/>
      <c r="EJ42425"/>
      <c r="EK42425"/>
    </row>
    <row r="42426" spans="1:141" s="116" customFormat="1">
      <c r="A42426" s="136"/>
      <c r="CM42426" s="111"/>
      <c r="CQ42426" s="111"/>
      <c r="EF42426"/>
      <c r="EG42426"/>
      <c r="EH42426"/>
      <c r="EI42426"/>
      <c r="EJ42426"/>
      <c r="EK42426"/>
    </row>
    <row r="42427" spans="1:141" s="116" customFormat="1">
      <c r="A42427" s="136"/>
      <c r="CM42427" s="111"/>
      <c r="CQ42427" s="111"/>
      <c r="EF42427"/>
      <c r="EG42427"/>
      <c r="EH42427"/>
      <c r="EI42427"/>
      <c r="EJ42427"/>
      <c r="EK42427"/>
    </row>
    <row r="42428" spans="1:141" s="116" customFormat="1">
      <c r="A42428" s="136"/>
      <c r="CM42428" s="111"/>
      <c r="CQ42428" s="111"/>
      <c r="EF42428"/>
      <c r="EG42428"/>
      <c r="EH42428"/>
      <c r="EI42428"/>
      <c r="EJ42428"/>
      <c r="EK42428"/>
    </row>
    <row r="42429" spans="1:141" s="116" customFormat="1">
      <c r="A42429" s="136"/>
      <c r="CM42429" s="111"/>
      <c r="CQ42429" s="111"/>
      <c r="EF42429"/>
      <c r="EG42429"/>
      <c r="EH42429"/>
      <c r="EI42429"/>
      <c r="EJ42429"/>
      <c r="EK42429"/>
    </row>
    <row r="42430" spans="1:141" s="116" customFormat="1">
      <c r="A42430" s="136"/>
      <c r="CM42430" s="111"/>
      <c r="CQ42430" s="111"/>
      <c r="EF42430"/>
      <c r="EG42430"/>
      <c r="EH42430"/>
      <c r="EI42430"/>
      <c r="EJ42430"/>
      <c r="EK42430"/>
    </row>
    <row r="42431" spans="1:141" s="116" customFormat="1">
      <c r="A42431" s="136"/>
      <c r="CM42431" s="111"/>
      <c r="CQ42431" s="111"/>
      <c r="EF42431"/>
      <c r="EG42431"/>
      <c r="EH42431"/>
      <c r="EI42431"/>
      <c r="EJ42431"/>
      <c r="EK42431"/>
    </row>
    <row r="42432" spans="1:141" s="116" customFormat="1">
      <c r="A42432" s="136"/>
      <c r="CM42432" s="111"/>
      <c r="CQ42432" s="111"/>
      <c r="EF42432"/>
      <c r="EG42432"/>
      <c r="EH42432"/>
      <c r="EI42432"/>
      <c r="EJ42432"/>
      <c r="EK42432"/>
    </row>
    <row r="42433" spans="1:141" s="116" customFormat="1">
      <c r="A42433" s="136"/>
      <c r="CM42433" s="111"/>
      <c r="CQ42433" s="111"/>
      <c r="EF42433"/>
      <c r="EG42433"/>
      <c r="EH42433"/>
      <c r="EI42433"/>
      <c r="EJ42433"/>
      <c r="EK42433"/>
    </row>
    <row r="42434" spans="1:141" s="116" customFormat="1">
      <c r="A42434" s="136"/>
      <c r="CM42434" s="111"/>
      <c r="CQ42434" s="111"/>
      <c r="EF42434"/>
      <c r="EG42434"/>
      <c r="EH42434"/>
      <c r="EI42434"/>
      <c r="EJ42434"/>
      <c r="EK42434"/>
    </row>
    <row r="42435" spans="1:141" s="116" customFormat="1">
      <c r="A42435" s="136"/>
      <c r="CM42435" s="111"/>
      <c r="CQ42435" s="111"/>
      <c r="EF42435"/>
      <c r="EG42435"/>
      <c r="EH42435"/>
      <c r="EI42435"/>
      <c r="EJ42435"/>
      <c r="EK42435"/>
    </row>
    <row r="42436" spans="1:141" s="116" customFormat="1">
      <c r="A42436" s="136"/>
      <c r="CM42436" s="111"/>
      <c r="CQ42436" s="111"/>
      <c r="EF42436"/>
      <c r="EG42436"/>
      <c r="EH42436"/>
      <c r="EI42436"/>
      <c r="EJ42436"/>
      <c r="EK42436"/>
    </row>
    <row r="42437" spans="1:141" s="116" customFormat="1">
      <c r="A42437" s="136"/>
      <c r="CM42437" s="111"/>
      <c r="CQ42437" s="111"/>
      <c r="EF42437"/>
      <c r="EG42437"/>
      <c r="EH42437"/>
      <c r="EI42437"/>
      <c r="EJ42437"/>
      <c r="EK42437"/>
    </row>
    <row r="42438" spans="1:141" s="116" customFormat="1">
      <c r="A42438" s="136"/>
      <c r="CM42438" s="111"/>
      <c r="CQ42438" s="111"/>
      <c r="EF42438"/>
      <c r="EG42438"/>
      <c r="EH42438"/>
      <c r="EI42438"/>
      <c r="EJ42438"/>
      <c r="EK42438"/>
    </row>
    <row r="42439" spans="1:141" s="116" customFormat="1">
      <c r="A42439" s="136"/>
      <c r="CM42439" s="111"/>
      <c r="CQ42439" s="111"/>
      <c r="EF42439"/>
      <c r="EG42439"/>
      <c r="EH42439"/>
      <c r="EI42439"/>
      <c r="EJ42439"/>
      <c r="EK42439"/>
    </row>
    <row r="42440" spans="1:141" s="116" customFormat="1">
      <c r="A42440" s="136"/>
      <c r="CM42440" s="111"/>
      <c r="CQ42440" s="111"/>
      <c r="EF42440"/>
      <c r="EG42440"/>
      <c r="EH42440"/>
      <c r="EI42440"/>
      <c r="EJ42440"/>
      <c r="EK42440"/>
    </row>
    <row r="42441" spans="1:141" s="116" customFormat="1">
      <c r="A42441" s="136"/>
      <c r="CM42441" s="111"/>
      <c r="CQ42441" s="111"/>
      <c r="EF42441"/>
      <c r="EG42441"/>
      <c r="EH42441"/>
      <c r="EI42441"/>
      <c r="EJ42441"/>
      <c r="EK42441"/>
    </row>
    <row r="42442" spans="1:141" s="116" customFormat="1">
      <c r="A42442" s="136"/>
      <c r="CM42442" s="111"/>
      <c r="CQ42442" s="111"/>
      <c r="EF42442"/>
      <c r="EG42442"/>
      <c r="EH42442"/>
      <c r="EI42442"/>
      <c r="EJ42442"/>
      <c r="EK42442"/>
    </row>
    <row r="42443" spans="1:141" s="116" customFormat="1">
      <c r="A42443" s="136"/>
      <c r="CM42443" s="111"/>
      <c r="CQ42443" s="111"/>
      <c r="EF42443"/>
      <c r="EG42443"/>
      <c r="EH42443"/>
      <c r="EI42443"/>
      <c r="EJ42443"/>
      <c r="EK42443"/>
    </row>
    <row r="42444" spans="1:141" s="116" customFormat="1">
      <c r="A42444" s="136"/>
      <c r="CM42444" s="111"/>
      <c r="CQ42444" s="111"/>
      <c r="EF42444"/>
      <c r="EG42444"/>
      <c r="EH42444"/>
      <c r="EI42444"/>
      <c r="EJ42444"/>
      <c r="EK42444"/>
    </row>
    <row r="42445" spans="1:141" s="116" customFormat="1">
      <c r="A42445" s="136"/>
      <c r="CM42445" s="111"/>
      <c r="CQ42445" s="111"/>
      <c r="EF42445"/>
      <c r="EG42445"/>
      <c r="EH42445"/>
      <c r="EI42445"/>
      <c r="EJ42445"/>
      <c r="EK42445"/>
    </row>
    <row r="42446" spans="1:141" s="116" customFormat="1">
      <c r="A42446" s="136"/>
      <c r="CM42446" s="111"/>
      <c r="CQ42446" s="111"/>
      <c r="EF42446"/>
      <c r="EG42446"/>
      <c r="EH42446"/>
      <c r="EI42446"/>
      <c r="EJ42446"/>
      <c r="EK42446"/>
    </row>
    <row r="42447" spans="1:141" s="116" customFormat="1">
      <c r="A42447" s="136"/>
      <c r="CM42447" s="111"/>
      <c r="CQ42447" s="111"/>
      <c r="EF42447"/>
      <c r="EG42447"/>
      <c r="EH42447"/>
      <c r="EI42447"/>
      <c r="EJ42447"/>
      <c r="EK42447"/>
    </row>
    <row r="42448" spans="1:141" s="116" customFormat="1">
      <c r="A42448" s="136"/>
      <c r="CM42448" s="111"/>
      <c r="CQ42448" s="111"/>
      <c r="EF42448"/>
      <c r="EG42448"/>
      <c r="EH42448"/>
      <c r="EI42448"/>
      <c r="EJ42448"/>
      <c r="EK42448"/>
    </row>
    <row r="42449" spans="1:141" s="116" customFormat="1">
      <c r="A42449" s="136"/>
      <c r="CM42449" s="111"/>
      <c r="CQ42449" s="111"/>
      <c r="EF42449"/>
      <c r="EG42449"/>
      <c r="EH42449"/>
      <c r="EI42449"/>
      <c r="EJ42449"/>
      <c r="EK42449"/>
    </row>
    <row r="42450" spans="1:141" s="116" customFormat="1">
      <c r="A42450" s="136"/>
      <c r="CM42450" s="111"/>
      <c r="CQ42450" s="111"/>
      <c r="EF42450"/>
      <c r="EG42450"/>
      <c r="EH42450"/>
      <c r="EI42450"/>
      <c r="EJ42450"/>
      <c r="EK42450"/>
    </row>
    <row r="42451" spans="1:141" s="116" customFormat="1">
      <c r="A42451" s="136"/>
      <c r="CM42451" s="111"/>
      <c r="CQ42451" s="111"/>
      <c r="EF42451"/>
      <c r="EG42451"/>
      <c r="EH42451"/>
      <c r="EI42451"/>
      <c r="EJ42451"/>
      <c r="EK42451"/>
    </row>
    <row r="42452" spans="1:141" s="116" customFormat="1">
      <c r="A42452" s="136"/>
      <c r="CM42452" s="111"/>
      <c r="CQ42452" s="111"/>
      <c r="EF42452"/>
      <c r="EG42452"/>
      <c r="EH42452"/>
      <c r="EI42452"/>
      <c r="EJ42452"/>
      <c r="EK42452"/>
    </row>
    <row r="42453" spans="1:141" s="116" customFormat="1">
      <c r="A42453" s="136"/>
      <c r="CM42453" s="111"/>
      <c r="CQ42453" s="111"/>
      <c r="EF42453"/>
      <c r="EG42453"/>
      <c r="EH42453"/>
      <c r="EI42453"/>
      <c r="EJ42453"/>
      <c r="EK42453"/>
    </row>
    <row r="42454" spans="1:141" s="116" customFormat="1">
      <c r="A42454" s="136"/>
      <c r="CM42454" s="111"/>
      <c r="CQ42454" s="111"/>
      <c r="EF42454"/>
      <c r="EG42454"/>
      <c r="EH42454"/>
      <c r="EI42454"/>
      <c r="EJ42454"/>
      <c r="EK42454"/>
    </row>
    <row r="42455" spans="1:141" s="116" customFormat="1">
      <c r="A42455" s="136"/>
      <c r="CM42455" s="111"/>
      <c r="CQ42455" s="111"/>
      <c r="EF42455"/>
      <c r="EG42455"/>
      <c r="EH42455"/>
      <c r="EI42455"/>
      <c r="EJ42455"/>
      <c r="EK42455"/>
    </row>
    <row r="42456" spans="1:141" s="116" customFormat="1">
      <c r="A42456" s="136"/>
      <c r="CM42456" s="111"/>
      <c r="CQ42456" s="111"/>
      <c r="EF42456"/>
      <c r="EG42456"/>
      <c r="EH42456"/>
      <c r="EI42456"/>
      <c r="EJ42456"/>
      <c r="EK42456"/>
    </row>
    <row r="42457" spans="1:141" s="116" customFormat="1">
      <c r="A42457" s="136"/>
      <c r="CM42457" s="111"/>
      <c r="CQ42457" s="111"/>
      <c r="EF42457"/>
      <c r="EG42457"/>
      <c r="EH42457"/>
      <c r="EI42457"/>
      <c r="EJ42457"/>
      <c r="EK42457"/>
    </row>
    <row r="42458" spans="1:141" s="116" customFormat="1">
      <c r="A42458" s="136"/>
      <c r="CM42458" s="111"/>
      <c r="CQ42458" s="111"/>
      <c r="EF42458"/>
      <c r="EG42458"/>
      <c r="EH42458"/>
      <c r="EI42458"/>
      <c r="EJ42458"/>
      <c r="EK42458"/>
    </row>
    <row r="42459" spans="1:141" s="116" customFormat="1">
      <c r="A42459" s="136"/>
      <c r="CM42459" s="111"/>
      <c r="CQ42459" s="111"/>
      <c r="EF42459"/>
      <c r="EG42459"/>
      <c r="EH42459"/>
      <c r="EI42459"/>
      <c r="EJ42459"/>
      <c r="EK42459"/>
    </row>
    <row r="42460" spans="1:141" s="116" customFormat="1">
      <c r="A42460" s="136"/>
      <c r="CM42460" s="111"/>
      <c r="CQ42460" s="111"/>
      <c r="EF42460"/>
      <c r="EG42460"/>
      <c r="EH42460"/>
      <c r="EI42460"/>
      <c r="EJ42460"/>
      <c r="EK42460"/>
    </row>
    <row r="42461" spans="1:141" s="116" customFormat="1">
      <c r="A42461" s="136"/>
      <c r="CM42461" s="111"/>
      <c r="CQ42461" s="111"/>
      <c r="EF42461"/>
      <c r="EG42461"/>
      <c r="EH42461"/>
      <c r="EI42461"/>
      <c r="EJ42461"/>
      <c r="EK42461"/>
    </row>
    <row r="42462" spans="1:141" s="116" customFormat="1">
      <c r="A42462" s="136"/>
      <c r="CM42462" s="111"/>
      <c r="CQ42462" s="111"/>
      <c r="EF42462"/>
      <c r="EG42462"/>
      <c r="EH42462"/>
      <c r="EI42462"/>
      <c r="EJ42462"/>
      <c r="EK42462"/>
    </row>
    <row r="42463" spans="1:141" s="116" customFormat="1">
      <c r="A42463" s="136"/>
      <c r="CM42463" s="111"/>
      <c r="CQ42463" s="111"/>
      <c r="EF42463"/>
      <c r="EG42463"/>
      <c r="EH42463"/>
      <c r="EI42463"/>
      <c r="EJ42463"/>
      <c r="EK42463"/>
    </row>
    <row r="42464" spans="1:141" s="116" customFormat="1">
      <c r="A42464" s="136"/>
      <c r="CM42464" s="111"/>
      <c r="CQ42464" s="111"/>
      <c r="EF42464"/>
      <c r="EG42464"/>
      <c r="EH42464"/>
      <c r="EI42464"/>
      <c r="EJ42464"/>
      <c r="EK42464"/>
    </row>
    <row r="42465" spans="1:141" s="116" customFormat="1">
      <c r="A42465" s="136"/>
      <c r="CM42465" s="111"/>
      <c r="CQ42465" s="111"/>
      <c r="EF42465"/>
      <c r="EG42465"/>
      <c r="EH42465"/>
      <c r="EI42465"/>
      <c r="EJ42465"/>
      <c r="EK42465"/>
    </row>
    <row r="42466" spans="1:141" s="116" customFormat="1">
      <c r="A42466" s="136"/>
      <c r="CM42466" s="111"/>
      <c r="CQ42466" s="111"/>
      <c r="EF42466"/>
      <c r="EG42466"/>
      <c r="EH42466"/>
      <c r="EI42466"/>
      <c r="EJ42466"/>
      <c r="EK42466"/>
    </row>
    <row r="42467" spans="1:141" s="116" customFormat="1">
      <c r="A42467" s="136"/>
      <c r="CM42467" s="111"/>
      <c r="CQ42467" s="111"/>
      <c r="EF42467"/>
      <c r="EG42467"/>
      <c r="EH42467"/>
      <c r="EI42467"/>
      <c r="EJ42467"/>
      <c r="EK42467"/>
    </row>
    <row r="42468" spans="1:141" s="116" customFormat="1">
      <c r="A42468" s="136"/>
      <c r="CM42468" s="111"/>
      <c r="CQ42468" s="111"/>
      <c r="EF42468"/>
      <c r="EG42468"/>
      <c r="EH42468"/>
      <c r="EI42468"/>
      <c r="EJ42468"/>
      <c r="EK42468"/>
    </row>
    <row r="42469" spans="1:141" s="116" customFormat="1">
      <c r="A42469" s="136"/>
      <c r="CM42469" s="111"/>
      <c r="CQ42469" s="111"/>
      <c r="EF42469"/>
      <c r="EG42469"/>
      <c r="EH42469"/>
      <c r="EI42469"/>
      <c r="EJ42469"/>
      <c r="EK42469"/>
    </row>
    <row r="42470" spans="1:141" s="116" customFormat="1">
      <c r="A42470" s="136"/>
      <c r="CM42470" s="111"/>
      <c r="CQ42470" s="111"/>
      <c r="EF42470"/>
      <c r="EG42470"/>
      <c r="EH42470"/>
      <c r="EI42470"/>
      <c r="EJ42470"/>
      <c r="EK42470"/>
    </row>
    <row r="42471" spans="1:141" s="116" customFormat="1">
      <c r="A42471" s="136"/>
      <c r="CM42471" s="111"/>
      <c r="CQ42471" s="111"/>
      <c r="EF42471"/>
      <c r="EG42471"/>
      <c r="EH42471"/>
      <c r="EI42471"/>
      <c r="EJ42471"/>
      <c r="EK42471"/>
    </row>
    <row r="42472" spans="1:141" s="116" customFormat="1">
      <c r="A42472" s="136"/>
      <c r="CM42472" s="111"/>
      <c r="CQ42472" s="111"/>
      <c r="EF42472"/>
      <c r="EG42472"/>
      <c r="EH42472"/>
      <c r="EI42472"/>
      <c r="EJ42472"/>
      <c r="EK42472"/>
    </row>
    <row r="42473" spans="1:141" s="116" customFormat="1">
      <c r="A42473" s="136"/>
      <c r="CM42473" s="111"/>
      <c r="CQ42473" s="111"/>
      <c r="EF42473"/>
      <c r="EG42473"/>
      <c r="EH42473"/>
      <c r="EI42473"/>
      <c r="EJ42473"/>
      <c r="EK42473"/>
    </row>
    <row r="42474" spans="1:141" s="116" customFormat="1">
      <c r="A42474" s="136"/>
      <c r="CM42474" s="111"/>
      <c r="CQ42474" s="111"/>
      <c r="EF42474"/>
      <c r="EG42474"/>
      <c r="EH42474"/>
      <c r="EI42474"/>
      <c r="EJ42474"/>
      <c r="EK42474"/>
    </row>
    <row r="42475" spans="1:141" s="116" customFormat="1">
      <c r="A42475" s="136"/>
      <c r="CM42475" s="111"/>
      <c r="CQ42475" s="111"/>
      <c r="EF42475"/>
      <c r="EG42475"/>
      <c r="EH42475"/>
      <c r="EI42475"/>
      <c r="EJ42475"/>
      <c r="EK42475"/>
    </row>
    <row r="42476" spans="1:141" s="116" customFormat="1">
      <c r="A42476" s="136"/>
      <c r="CM42476" s="111"/>
      <c r="CQ42476" s="111"/>
      <c r="EF42476"/>
      <c r="EG42476"/>
      <c r="EH42476"/>
      <c r="EI42476"/>
      <c r="EJ42476"/>
      <c r="EK42476"/>
    </row>
    <row r="42477" spans="1:141" s="116" customFormat="1">
      <c r="A42477" s="136"/>
      <c r="CM42477" s="111"/>
      <c r="CQ42477" s="111"/>
      <c r="EF42477"/>
      <c r="EG42477"/>
      <c r="EH42477"/>
      <c r="EI42477"/>
      <c r="EJ42477"/>
      <c r="EK42477"/>
    </row>
    <row r="42478" spans="1:141" s="116" customFormat="1">
      <c r="A42478" s="136"/>
      <c r="CM42478" s="111"/>
      <c r="CQ42478" s="111"/>
      <c r="EF42478"/>
      <c r="EG42478"/>
      <c r="EH42478"/>
      <c r="EI42478"/>
      <c r="EJ42478"/>
      <c r="EK42478"/>
    </row>
    <row r="42479" spans="1:141" s="116" customFormat="1">
      <c r="A42479" s="136"/>
      <c r="CM42479" s="111"/>
      <c r="CQ42479" s="111"/>
      <c r="EF42479"/>
      <c r="EG42479"/>
      <c r="EH42479"/>
      <c r="EI42479"/>
      <c r="EJ42479"/>
      <c r="EK42479"/>
    </row>
    <row r="42480" spans="1:141" s="116" customFormat="1">
      <c r="A42480" s="136"/>
      <c r="CM42480" s="111"/>
      <c r="CQ42480" s="111"/>
      <c r="EF42480"/>
      <c r="EG42480"/>
      <c r="EH42480"/>
      <c r="EI42480"/>
      <c r="EJ42480"/>
      <c r="EK42480"/>
    </row>
    <row r="42481" spans="1:141" s="116" customFormat="1">
      <c r="A42481" s="136"/>
      <c r="CM42481" s="111"/>
      <c r="CQ42481" s="111"/>
      <c r="EF42481"/>
      <c r="EG42481"/>
      <c r="EH42481"/>
      <c r="EI42481"/>
      <c r="EJ42481"/>
      <c r="EK42481"/>
    </row>
    <row r="42482" spans="1:141" s="116" customFormat="1">
      <c r="A42482" s="136"/>
      <c r="CM42482" s="111"/>
      <c r="CQ42482" s="111"/>
      <c r="EF42482"/>
      <c r="EG42482"/>
      <c r="EH42482"/>
      <c r="EI42482"/>
      <c r="EJ42482"/>
      <c r="EK42482"/>
    </row>
    <row r="42483" spans="1:141" s="116" customFormat="1">
      <c r="A42483" s="136"/>
      <c r="CM42483" s="111"/>
      <c r="CQ42483" s="111"/>
      <c r="EF42483"/>
      <c r="EG42483"/>
      <c r="EH42483"/>
      <c r="EI42483"/>
      <c r="EJ42483"/>
      <c r="EK42483"/>
    </row>
    <row r="42484" spans="1:141" s="116" customFormat="1">
      <c r="A42484" s="136"/>
      <c r="CM42484" s="111"/>
      <c r="CQ42484" s="111"/>
      <c r="EF42484"/>
      <c r="EG42484"/>
      <c r="EH42484"/>
      <c r="EI42484"/>
      <c r="EJ42484"/>
      <c r="EK42484"/>
    </row>
    <row r="42485" spans="1:141" s="116" customFormat="1">
      <c r="A42485" s="136"/>
      <c r="CM42485" s="111"/>
      <c r="CQ42485" s="111"/>
      <c r="EF42485"/>
      <c r="EG42485"/>
      <c r="EH42485"/>
      <c r="EI42485"/>
      <c r="EJ42485"/>
      <c r="EK42485"/>
    </row>
    <row r="42486" spans="1:141" s="116" customFormat="1">
      <c r="A42486" s="136"/>
      <c r="CM42486" s="111"/>
      <c r="CQ42486" s="111"/>
      <c r="EF42486"/>
      <c r="EG42486"/>
      <c r="EH42486"/>
      <c r="EI42486"/>
      <c r="EJ42486"/>
      <c r="EK42486"/>
    </row>
    <row r="42487" spans="1:141" s="116" customFormat="1">
      <c r="A42487" s="136"/>
      <c r="CM42487" s="111"/>
      <c r="CQ42487" s="111"/>
      <c r="EF42487"/>
      <c r="EG42487"/>
      <c r="EH42487"/>
      <c r="EI42487"/>
      <c r="EJ42487"/>
      <c r="EK42487"/>
    </row>
    <row r="42488" spans="1:141" s="116" customFormat="1">
      <c r="A42488" s="136"/>
      <c r="CM42488" s="111"/>
      <c r="CQ42488" s="111"/>
      <c r="EF42488"/>
      <c r="EG42488"/>
      <c r="EH42488"/>
      <c r="EI42488"/>
      <c r="EJ42488"/>
      <c r="EK42488"/>
    </row>
    <row r="42489" spans="1:141" s="116" customFormat="1">
      <c r="A42489" s="136"/>
      <c r="CM42489" s="111"/>
      <c r="CQ42489" s="111"/>
      <c r="EF42489"/>
      <c r="EG42489"/>
      <c r="EH42489"/>
      <c r="EI42489"/>
      <c r="EJ42489"/>
      <c r="EK42489"/>
    </row>
    <row r="42490" spans="1:141" s="116" customFormat="1">
      <c r="A42490" s="136"/>
      <c r="CM42490" s="111"/>
      <c r="CQ42490" s="111"/>
      <c r="EF42490"/>
      <c r="EG42490"/>
      <c r="EH42490"/>
      <c r="EI42490"/>
      <c r="EJ42490"/>
      <c r="EK42490"/>
    </row>
    <row r="42491" spans="1:141" s="116" customFormat="1">
      <c r="A42491" s="136"/>
      <c r="CM42491" s="111"/>
      <c r="CQ42491" s="111"/>
      <c r="EF42491"/>
      <c r="EG42491"/>
      <c r="EH42491"/>
      <c r="EI42491"/>
      <c r="EJ42491"/>
      <c r="EK42491"/>
    </row>
    <row r="42492" spans="1:141" s="116" customFormat="1">
      <c r="A42492" s="136"/>
      <c r="CM42492" s="111"/>
      <c r="CQ42492" s="111"/>
      <c r="EF42492"/>
      <c r="EG42492"/>
      <c r="EH42492"/>
      <c r="EI42492"/>
      <c r="EJ42492"/>
      <c r="EK42492"/>
    </row>
    <row r="42493" spans="1:141" s="116" customFormat="1">
      <c r="A42493" s="136"/>
      <c r="CM42493" s="111"/>
      <c r="CQ42493" s="111"/>
      <c r="EF42493"/>
      <c r="EG42493"/>
      <c r="EH42493"/>
      <c r="EI42493"/>
      <c r="EJ42493"/>
      <c r="EK42493"/>
    </row>
    <row r="42494" spans="1:141" s="116" customFormat="1">
      <c r="A42494" s="136"/>
      <c r="CM42494" s="111"/>
      <c r="CQ42494" s="111"/>
      <c r="EF42494"/>
      <c r="EG42494"/>
      <c r="EH42494"/>
      <c r="EI42494"/>
      <c r="EJ42494"/>
      <c r="EK42494"/>
    </row>
    <row r="42495" spans="1:141" s="116" customFormat="1">
      <c r="A42495" s="136"/>
      <c r="CM42495" s="111"/>
      <c r="CQ42495" s="111"/>
      <c r="EF42495"/>
      <c r="EG42495"/>
      <c r="EH42495"/>
      <c r="EI42495"/>
      <c r="EJ42495"/>
      <c r="EK42495"/>
    </row>
    <row r="42496" spans="1:141" s="116" customFormat="1">
      <c r="A42496" s="136"/>
      <c r="CM42496" s="111"/>
      <c r="CQ42496" s="111"/>
      <c r="EF42496"/>
      <c r="EG42496"/>
      <c r="EH42496"/>
      <c r="EI42496"/>
      <c r="EJ42496"/>
      <c r="EK42496"/>
    </row>
    <row r="42497" spans="1:141" s="116" customFormat="1">
      <c r="A42497" s="136"/>
      <c r="CM42497" s="111"/>
      <c r="CQ42497" s="111"/>
      <c r="EF42497"/>
      <c r="EG42497"/>
      <c r="EH42497"/>
      <c r="EI42497"/>
      <c r="EJ42497"/>
      <c r="EK42497"/>
    </row>
    <row r="42498" spans="1:141" s="116" customFormat="1">
      <c r="A42498" s="136"/>
      <c r="CM42498" s="111"/>
      <c r="CQ42498" s="111"/>
      <c r="EF42498"/>
      <c r="EG42498"/>
      <c r="EH42498"/>
      <c r="EI42498"/>
      <c r="EJ42498"/>
      <c r="EK42498"/>
    </row>
    <row r="42499" spans="1:141" s="116" customFormat="1">
      <c r="A42499" s="136"/>
      <c r="CM42499" s="111"/>
      <c r="CQ42499" s="111"/>
      <c r="EF42499"/>
      <c r="EG42499"/>
      <c r="EH42499"/>
      <c r="EI42499"/>
      <c r="EJ42499"/>
      <c r="EK42499"/>
    </row>
    <row r="42500" spans="1:141" s="116" customFormat="1">
      <c r="A42500" s="136"/>
      <c r="CM42500" s="111"/>
      <c r="CQ42500" s="111"/>
      <c r="EF42500"/>
      <c r="EG42500"/>
      <c r="EH42500"/>
      <c r="EI42500"/>
      <c r="EJ42500"/>
      <c r="EK42500"/>
    </row>
    <row r="42501" spans="1:141" s="116" customFormat="1">
      <c r="A42501" s="136"/>
      <c r="CM42501" s="111"/>
      <c r="CQ42501" s="111"/>
      <c r="EF42501"/>
      <c r="EG42501"/>
      <c r="EH42501"/>
      <c r="EI42501"/>
      <c r="EJ42501"/>
      <c r="EK42501"/>
    </row>
    <row r="42502" spans="1:141" s="116" customFormat="1">
      <c r="A42502" s="136"/>
      <c r="CM42502" s="111"/>
      <c r="CQ42502" s="111"/>
      <c r="EF42502"/>
      <c r="EG42502"/>
      <c r="EH42502"/>
      <c r="EI42502"/>
      <c r="EJ42502"/>
      <c r="EK42502"/>
    </row>
    <row r="42503" spans="1:141" s="116" customFormat="1">
      <c r="A42503" s="136"/>
      <c r="CM42503" s="111"/>
      <c r="CQ42503" s="111"/>
      <c r="EF42503"/>
      <c r="EG42503"/>
      <c r="EH42503"/>
      <c r="EI42503"/>
      <c r="EJ42503"/>
      <c r="EK42503"/>
    </row>
    <row r="42504" spans="1:141" s="116" customFormat="1">
      <c r="A42504" s="136"/>
      <c r="CM42504" s="111"/>
      <c r="CQ42504" s="111"/>
      <c r="EF42504"/>
      <c r="EG42504"/>
      <c r="EH42504"/>
      <c r="EI42504"/>
      <c r="EJ42504"/>
      <c r="EK42504"/>
    </row>
    <row r="42505" spans="1:141" s="116" customFormat="1">
      <c r="A42505" s="136"/>
      <c r="CM42505" s="111"/>
      <c r="CQ42505" s="111"/>
      <c r="EF42505"/>
      <c r="EG42505"/>
      <c r="EH42505"/>
      <c r="EI42505"/>
      <c r="EJ42505"/>
      <c r="EK42505"/>
    </row>
    <row r="42506" spans="1:141" s="116" customFormat="1">
      <c r="A42506" s="136"/>
      <c r="CM42506" s="111"/>
      <c r="CQ42506" s="111"/>
      <c r="EF42506"/>
      <c r="EG42506"/>
      <c r="EH42506"/>
      <c r="EI42506"/>
      <c r="EJ42506"/>
      <c r="EK42506"/>
    </row>
    <row r="42507" spans="1:141" s="116" customFormat="1">
      <c r="A42507" s="136"/>
      <c r="CM42507" s="111"/>
      <c r="CQ42507" s="111"/>
      <c r="EF42507"/>
      <c r="EG42507"/>
      <c r="EH42507"/>
      <c r="EI42507"/>
      <c r="EJ42507"/>
      <c r="EK42507"/>
    </row>
    <row r="42508" spans="1:141" s="116" customFormat="1">
      <c r="A42508" s="136"/>
      <c r="CM42508" s="111"/>
      <c r="CQ42508" s="111"/>
      <c r="EF42508"/>
      <c r="EG42508"/>
      <c r="EH42508"/>
      <c r="EI42508"/>
      <c r="EJ42508"/>
      <c r="EK42508"/>
    </row>
    <row r="42509" spans="1:141" s="116" customFormat="1">
      <c r="A42509" s="136"/>
      <c r="CM42509" s="111"/>
      <c r="CQ42509" s="111"/>
      <c r="EF42509"/>
      <c r="EG42509"/>
      <c r="EH42509"/>
      <c r="EI42509"/>
      <c r="EJ42509"/>
      <c r="EK42509"/>
    </row>
    <row r="42510" spans="1:141" s="116" customFormat="1">
      <c r="A42510" s="136"/>
      <c r="CM42510" s="111"/>
      <c r="CQ42510" s="111"/>
      <c r="EF42510"/>
      <c r="EG42510"/>
      <c r="EH42510"/>
      <c r="EI42510"/>
      <c r="EJ42510"/>
      <c r="EK42510"/>
    </row>
    <row r="42511" spans="1:141" s="116" customFormat="1">
      <c r="A42511" s="136"/>
      <c r="CM42511" s="111"/>
      <c r="CQ42511" s="111"/>
      <c r="EF42511"/>
      <c r="EG42511"/>
      <c r="EH42511"/>
      <c r="EI42511"/>
      <c r="EJ42511"/>
      <c r="EK42511"/>
    </row>
    <row r="42512" spans="1:141" s="116" customFormat="1">
      <c r="A42512" s="136"/>
      <c r="CM42512" s="111"/>
      <c r="CQ42512" s="111"/>
      <c r="EF42512"/>
      <c r="EG42512"/>
      <c r="EH42512"/>
      <c r="EI42512"/>
      <c r="EJ42512"/>
      <c r="EK42512"/>
    </row>
    <row r="42513" spans="1:141" s="116" customFormat="1">
      <c r="A42513" s="136"/>
      <c r="CM42513" s="111"/>
      <c r="CQ42513" s="111"/>
      <c r="EF42513"/>
      <c r="EG42513"/>
      <c r="EH42513"/>
      <c r="EI42513"/>
      <c r="EJ42513"/>
      <c r="EK42513"/>
    </row>
    <row r="42514" spans="1:141" s="116" customFormat="1">
      <c r="A42514" s="136"/>
      <c r="CM42514" s="111"/>
      <c r="CQ42514" s="111"/>
      <c r="EF42514"/>
      <c r="EG42514"/>
      <c r="EH42514"/>
      <c r="EI42514"/>
      <c r="EJ42514"/>
      <c r="EK42514"/>
    </row>
    <row r="42515" spans="1:141" s="116" customFormat="1">
      <c r="A42515" s="136"/>
      <c r="CM42515" s="111"/>
      <c r="CQ42515" s="111"/>
      <c r="EF42515"/>
      <c r="EG42515"/>
      <c r="EH42515"/>
      <c r="EI42515"/>
      <c r="EJ42515"/>
      <c r="EK42515"/>
    </row>
    <row r="42516" spans="1:141" s="116" customFormat="1">
      <c r="A42516" s="136"/>
      <c r="CM42516" s="111"/>
      <c r="CQ42516" s="111"/>
      <c r="EF42516"/>
      <c r="EG42516"/>
      <c r="EH42516"/>
      <c r="EI42516"/>
      <c r="EJ42516"/>
      <c r="EK42516"/>
    </row>
    <row r="42517" spans="1:141" s="116" customFormat="1">
      <c r="A42517" s="136"/>
      <c r="CM42517" s="111"/>
      <c r="CQ42517" s="111"/>
      <c r="EF42517"/>
      <c r="EG42517"/>
      <c r="EH42517"/>
      <c r="EI42517"/>
      <c r="EJ42517"/>
      <c r="EK42517"/>
    </row>
    <row r="42518" spans="1:141" s="116" customFormat="1">
      <c r="A42518" s="136"/>
      <c r="CM42518" s="111"/>
      <c r="CQ42518" s="111"/>
      <c r="EF42518"/>
      <c r="EG42518"/>
      <c r="EH42518"/>
      <c r="EI42518"/>
      <c r="EJ42518"/>
      <c r="EK42518"/>
    </row>
    <row r="42519" spans="1:141" s="116" customFormat="1">
      <c r="A42519" s="136"/>
      <c r="CM42519" s="111"/>
      <c r="CQ42519" s="111"/>
      <c r="EF42519"/>
      <c r="EG42519"/>
      <c r="EH42519"/>
      <c r="EI42519"/>
      <c r="EJ42519"/>
      <c r="EK42519"/>
    </row>
    <row r="42520" spans="1:141" s="116" customFormat="1">
      <c r="A42520" s="136"/>
      <c r="CM42520" s="111"/>
      <c r="CQ42520" s="111"/>
      <c r="EF42520"/>
      <c r="EG42520"/>
      <c r="EH42520"/>
      <c r="EI42520"/>
      <c r="EJ42520"/>
      <c r="EK42520"/>
    </row>
    <row r="42521" spans="1:141" s="116" customFormat="1">
      <c r="A42521" s="136"/>
      <c r="CM42521" s="111"/>
      <c r="CQ42521" s="111"/>
      <c r="EF42521"/>
      <c r="EG42521"/>
      <c r="EH42521"/>
      <c r="EI42521"/>
      <c r="EJ42521"/>
      <c r="EK42521"/>
    </row>
    <row r="42522" spans="1:141" s="116" customFormat="1">
      <c r="A42522" s="136"/>
      <c r="CM42522" s="111"/>
      <c r="CQ42522" s="111"/>
      <c r="EF42522"/>
      <c r="EG42522"/>
      <c r="EH42522"/>
      <c r="EI42522"/>
      <c r="EJ42522"/>
      <c r="EK42522"/>
    </row>
    <row r="42523" spans="1:141" s="116" customFormat="1">
      <c r="A42523" s="136"/>
      <c r="CM42523" s="111"/>
      <c r="CQ42523" s="111"/>
      <c r="EF42523"/>
      <c r="EG42523"/>
      <c r="EH42523"/>
      <c r="EI42523"/>
      <c r="EJ42523"/>
      <c r="EK42523"/>
    </row>
    <row r="42524" spans="1:141" s="116" customFormat="1">
      <c r="A42524" s="136"/>
      <c r="CM42524" s="111"/>
      <c r="CQ42524" s="111"/>
      <c r="EF42524"/>
      <c r="EG42524"/>
      <c r="EH42524"/>
      <c r="EI42524"/>
      <c r="EJ42524"/>
      <c r="EK42524"/>
    </row>
    <row r="42525" spans="1:141" s="116" customFormat="1">
      <c r="A42525" s="136"/>
      <c r="CM42525" s="111"/>
      <c r="CQ42525" s="111"/>
      <c r="EF42525"/>
      <c r="EG42525"/>
      <c r="EH42525"/>
      <c r="EI42525"/>
      <c r="EJ42525"/>
      <c r="EK42525"/>
    </row>
    <row r="42526" spans="1:141" s="116" customFormat="1">
      <c r="A42526" s="136"/>
      <c r="CM42526" s="111"/>
      <c r="CQ42526" s="111"/>
      <c r="EF42526"/>
      <c r="EG42526"/>
      <c r="EH42526"/>
      <c r="EI42526"/>
      <c r="EJ42526"/>
      <c r="EK42526"/>
    </row>
    <row r="42527" spans="1:141" s="116" customFormat="1">
      <c r="A42527" s="136"/>
      <c r="CM42527" s="111"/>
      <c r="CQ42527" s="111"/>
      <c r="EF42527"/>
      <c r="EG42527"/>
      <c r="EH42527"/>
      <c r="EI42527"/>
      <c r="EJ42527"/>
      <c r="EK42527"/>
    </row>
    <row r="42528" spans="1:141" s="116" customFormat="1">
      <c r="A42528" s="136"/>
      <c r="CM42528" s="111"/>
      <c r="CQ42528" s="111"/>
      <c r="EF42528"/>
      <c r="EG42528"/>
      <c r="EH42528"/>
      <c r="EI42528"/>
      <c r="EJ42528"/>
      <c r="EK42528"/>
    </row>
    <row r="42529" spans="1:141" s="116" customFormat="1">
      <c r="A42529" s="136"/>
      <c r="CM42529" s="111"/>
      <c r="CQ42529" s="111"/>
      <c r="EF42529"/>
      <c r="EG42529"/>
      <c r="EH42529"/>
      <c r="EI42529"/>
      <c r="EJ42529"/>
      <c r="EK42529"/>
    </row>
    <row r="42530" spans="1:141" s="116" customFormat="1">
      <c r="A42530" s="136"/>
      <c r="CM42530" s="111"/>
      <c r="CQ42530" s="111"/>
      <c r="EF42530"/>
      <c r="EG42530"/>
      <c r="EH42530"/>
      <c r="EI42530"/>
      <c r="EJ42530"/>
      <c r="EK42530"/>
    </row>
    <row r="42531" spans="1:141" s="116" customFormat="1">
      <c r="A42531" s="136"/>
      <c r="CM42531" s="111"/>
      <c r="CQ42531" s="111"/>
      <c r="EF42531"/>
      <c r="EG42531"/>
      <c r="EH42531"/>
      <c r="EI42531"/>
      <c r="EJ42531"/>
      <c r="EK42531"/>
    </row>
    <row r="42532" spans="1:141" s="116" customFormat="1">
      <c r="A42532" s="136"/>
      <c r="CM42532" s="111"/>
      <c r="CQ42532" s="111"/>
      <c r="EF42532"/>
      <c r="EG42532"/>
      <c r="EH42532"/>
      <c r="EI42532"/>
      <c r="EJ42532"/>
      <c r="EK42532"/>
    </row>
    <row r="42533" spans="1:141" s="116" customFormat="1">
      <c r="A42533" s="136"/>
      <c r="CM42533" s="111"/>
      <c r="CQ42533" s="111"/>
      <c r="EF42533"/>
      <c r="EG42533"/>
      <c r="EH42533"/>
      <c r="EI42533"/>
      <c r="EJ42533"/>
      <c r="EK42533"/>
    </row>
    <row r="42534" spans="1:141" s="116" customFormat="1">
      <c r="A42534" s="136"/>
      <c r="CM42534" s="111"/>
      <c r="CQ42534" s="111"/>
      <c r="EF42534"/>
      <c r="EG42534"/>
      <c r="EH42534"/>
      <c r="EI42534"/>
      <c r="EJ42534"/>
      <c r="EK42534"/>
    </row>
    <row r="42535" spans="1:141" s="116" customFormat="1">
      <c r="A42535" s="136"/>
      <c r="CM42535" s="111"/>
      <c r="CQ42535" s="111"/>
      <c r="EF42535"/>
      <c r="EG42535"/>
      <c r="EH42535"/>
      <c r="EI42535"/>
      <c r="EJ42535"/>
      <c r="EK42535"/>
    </row>
    <row r="42536" spans="1:141" s="116" customFormat="1">
      <c r="A42536" s="136"/>
      <c r="CM42536" s="111"/>
      <c r="CQ42536" s="111"/>
      <c r="EF42536"/>
      <c r="EG42536"/>
      <c r="EH42536"/>
      <c r="EI42536"/>
      <c r="EJ42536"/>
      <c r="EK42536"/>
    </row>
    <row r="42537" spans="1:141" s="116" customFormat="1">
      <c r="A42537" s="136"/>
      <c r="CM42537" s="111"/>
      <c r="CQ42537" s="111"/>
      <c r="EF42537"/>
      <c r="EG42537"/>
      <c r="EH42537"/>
      <c r="EI42537"/>
      <c r="EJ42537"/>
      <c r="EK42537"/>
    </row>
    <row r="42538" spans="1:141" s="116" customFormat="1">
      <c r="A42538" s="136"/>
      <c r="CM42538" s="111"/>
      <c r="CQ42538" s="111"/>
      <c r="EF42538"/>
      <c r="EG42538"/>
      <c r="EH42538"/>
      <c r="EI42538"/>
      <c r="EJ42538"/>
      <c r="EK42538"/>
    </row>
    <row r="42539" spans="1:141" s="116" customFormat="1">
      <c r="A42539" s="136"/>
      <c r="CM42539" s="111"/>
      <c r="CQ42539" s="111"/>
      <c r="EF42539"/>
      <c r="EG42539"/>
      <c r="EH42539"/>
      <c r="EI42539"/>
      <c r="EJ42539"/>
      <c r="EK42539"/>
    </row>
    <row r="42540" spans="1:141" s="116" customFormat="1">
      <c r="A42540" s="136"/>
      <c r="CM42540" s="111"/>
      <c r="CQ42540" s="111"/>
      <c r="EF42540"/>
      <c r="EG42540"/>
      <c r="EH42540"/>
      <c r="EI42540"/>
      <c r="EJ42540"/>
      <c r="EK42540"/>
    </row>
    <row r="42541" spans="1:141" s="116" customFormat="1">
      <c r="A42541" s="136"/>
      <c r="CM42541" s="111"/>
      <c r="CQ42541" s="111"/>
      <c r="EF42541"/>
      <c r="EG42541"/>
      <c r="EH42541"/>
      <c r="EI42541"/>
      <c r="EJ42541"/>
      <c r="EK42541"/>
    </row>
    <row r="42542" spans="1:141" s="116" customFormat="1">
      <c r="A42542" s="136"/>
      <c r="CM42542" s="111"/>
      <c r="CQ42542" s="111"/>
      <c r="EF42542"/>
      <c r="EG42542"/>
      <c r="EH42542"/>
      <c r="EI42542"/>
      <c r="EJ42542"/>
      <c r="EK42542"/>
    </row>
    <row r="42543" spans="1:141" s="116" customFormat="1">
      <c r="A42543" s="136"/>
      <c r="CM42543" s="111"/>
      <c r="CQ42543" s="111"/>
      <c r="EF42543"/>
      <c r="EG42543"/>
      <c r="EH42543"/>
      <c r="EI42543"/>
      <c r="EJ42543"/>
      <c r="EK42543"/>
    </row>
    <row r="42544" spans="1:141" s="116" customFormat="1">
      <c r="A42544" s="136"/>
      <c r="CM42544" s="111"/>
      <c r="CQ42544" s="111"/>
      <c r="EF42544"/>
      <c r="EG42544"/>
      <c r="EH42544"/>
      <c r="EI42544"/>
      <c r="EJ42544"/>
      <c r="EK42544"/>
    </row>
    <row r="42545" spans="1:141" s="116" customFormat="1">
      <c r="A42545" s="136"/>
      <c r="CM42545" s="111"/>
      <c r="CQ42545" s="111"/>
      <c r="EF42545"/>
      <c r="EG42545"/>
      <c r="EH42545"/>
      <c r="EI42545"/>
      <c r="EJ42545"/>
      <c r="EK42545"/>
    </row>
    <row r="42546" spans="1:141" s="116" customFormat="1">
      <c r="A42546" s="136"/>
      <c r="CM42546" s="111"/>
      <c r="CQ42546" s="111"/>
      <c r="EF42546"/>
      <c r="EG42546"/>
      <c r="EH42546"/>
      <c r="EI42546"/>
      <c r="EJ42546"/>
      <c r="EK42546"/>
    </row>
    <row r="42547" spans="1:141" s="116" customFormat="1">
      <c r="A42547" s="136"/>
      <c r="CM42547" s="111"/>
      <c r="CQ42547" s="111"/>
      <c r="EF42547"/>
      <c r="EG42547"/>
      <c r="EH42547"/>
      <c r="EI42547"/>
      <c r="EJ42547"/>
      <c r="EK42547"/>
    </row>
    <row r="42548" spans="1:141" s="116" customFormat="1">
      <c r="A42548" s="136"/>
      <c r="CM42548" s="111"/>
      <c r="CQ42548" s="111"/>
      <c r="EF42548"/>
      <c r="EG42548"/>
      <c r="EH42548"/>
      <c r="EI42548"/>
      <c r="EJ42548"/>
      <c r="EK42548"/>
    </row>
    <row r="42549" spans="1:141" s="116" customFormat="1">
      <c r="A42549" s="136"/>
      <c r="CM42549" s="111"/>
      <c r="CQ42549" s="111"/>
      <c r="EF42549"/>
      <c r="EG42549"/>
      <c r="EH42549"/>
      <c r="EI42549"/>
      <c r="EJ42549"/>
      <c r="EK42549"/>
    </row>
    <row r="42550" spans="1:141" s="116" customFormat="1">
      <c r="A42550" s="136"/>
      <c r="CM42550" s="111"/>
      <c r="CQ42550" s="111"/>
      <c r="EF42550"/>
      <c r="EG42550"/>
      <c r="EH42550"/>
      <c r="EI42550"/>
      <c r="EJ42550"/>
      <c r="EK42550"/>
    </row>
    <row r="42551" spans="1:141" s="116" customFormat="1">
      <c r="A42551" s="136"/>
      <c r="CM42551" s="111"/>
      <c r="CQ42551" s="111"/>
      <c r="EF42551"/>
      <c r="EG42551"/>
      <c r="EH42551"/>
      <c r="EI42551"/>
      <c r="EJ42551"/>
      <c r="EK42551"/>
    </row>
    <row r="42552" spans="1:141" s="116" customFormat="1">
      <c r="A42552" s="136"/>
      <c r="CM42552" s="111"/>
      <c r="CQ42552" s="111"/>
      <c r="EF42552"/>
      <c r="EG42552"/>
      <c r="EH42552"/>
      <c r="EI42552"/>
      <c r="EJ42552"/>
      <c r="EK42552"/>
    </row>
    <row r="42553" spans="1:141" s="116" customFormat="1">
      <c r="A42553" s="136"/>
      <c r="CM42553" s="111"/>
      <c r="CQ42553" s="111"/>
      <c r="EF42553"/>
      <c r="EG42553"/>
      <c r="EH42553"/>
      <c r="EI42553"/>
      <c r="EJ42553"/>
      <c r="EK42553"/>
    </row>
    <row r="42554" spans="1:141" s="116" customFormat="1">
      <c r="A42554" s="136"/>
      <c r="CM42554" s="111"/>
      <c r="CQ42554" s="111"/>
      <c r="EF42554"/>
      <c r="EG42554"/>
      <c r="EH42554"/>
      <c r="EI42554"/>
      <c r="EJ42554"/>
      <c r="EK42554"/>
    </row>
    <row r="42555" spans="1:141" s="116" customFormat="1">
      <c r="A42555" s="136"/>
      <c r="CM42555" s="111"/>
      <c r="CQ42555" s="111"/>
      <c r="EF42555"/>
      <c r="EG42555"/>
      <c r="EH42555"/>
      <c r="EI42555"/>
      <c r="EJ42555"/>
      <c r="EK42555"/>
    </row>
    <row r="42556" spans="1:141" s="116" customFormat="1">
      <c r="A42556" s="136"/>
      <c r="CM42556" s="111"/>
      <c r="CQ42556" s="111"/>
      <c r="EF42556"/>
      <c r="EG42556"/>
      <c r="EH42556"/>
      <c r="EI42556"/>
      <c r="EJ42556"/>
      <c r="EK42556"/>
    </row>
    <row r="42557" spans="1:141" s="116" customFormat="1">
      <c r="A42557" s="136"/>
      <c r="CM42557" s="111"/>
      <c r="CQ42557" s="111"/>
      <c r="EF42557"/>
      <c r="EG42557"/>
      <c r="EH42557"/>
      <c r="EI42557"/>
      <c r="EJ42557"/>
      <c r="EK42557"/>
    </row>
    <row r="42558" spans="1:141" s="116" customFormat="1">
      <c r="A42558" s="136"/>
      <c r="CM42558" s="111"/>
      <c r="CQ42558" s="111"/>
      <c r="EF42558"/>
      <c r="EG42558"/>
      <c r="EH42558"/>
      <c r="EI42558"/>
      <c r="EJ42558"/>
      <c r="EK42558"/>
    </row>
    <row r="42559" spans="1:141" s="116" customFormat="1">
      <c r="A42559" s="136"/>
      <c r="CM42559" s="111"/>
      <c r="CQ42559" s="111"/>
      <c r="EF42559"/>
      <c r="EG42559"/>
      <c r="EH42559"/>
      <c r="EI42559"/>
      <c r="EJ42559"/>
      <c r="EK42559"/>
    </row>
    <row r="42560" spans="1:141" s="116" customFormat="1">
      <c r="A42560" s="136"/>
      <c r="CM42560" s="111"/>
      <c r="CQ42560" s="111"/>
      <c r="EF42560"/>
      <c r="EG42560"/>
      <c r="EH42560"/>
      <c r="EI42560"/>
      <c r="EJ42560"/>
      <c r="EK42560"/>
    </row>
    <row r="42561" spans="1:141" s="116" customFormat="1">
      <c r="A42561" s="136"/>
      <c r="CM42561" s="111"/>
      <c r="CQ42561" s="111"/>
      <c r="EF42561"/>
      <c r="EG42561"/>
      <c r="EH42561"/>
      <c r="EI42561"/>
      <c r="EJ42561"/>
      <c r="EK42561"/>
    </row>
    <row r="42562" spans="1:141" s="116" customFormat="1">
      <c r="A42562" s="136"/>
      <c r="CM42562" s="111"/>
      <c r="CQ42562" s="111"/>
      <c r="EF42562"/>
      <c r="EG42562"/>
      <c r="EH42562"/>
      <c r="EI42562"/>
      <c r="EJ42562"/>
      <c r="EK42562"/>
    </row>
    <row r="42563" spans="1:141" s="116" customFormat="1">
      <c r="A42563" s="136"/>
      <c r="CM42563" s="111"/>
      <c r="CQ42563" s="111"/>
      <c r="EF42563"/>
      <c r="EG42563"/>
      <c r="EH42563"/>
      <c r="EI42563"/>
      <c r="EJ42563"/>
      <c r="EK42563"/>
    </row>
    <row r="42564" spans="1:141" s="116" customFormat="1">
      <c r="A42564" s="136"/>
      <c r="CM42564" s="111"/>
      <c r="CQ42564" s="111"/>
      <c r="EF42564"/>
      <c r="EG42564"/>
      <c r="EH42564"/>
      <c r="EI42564"/>
      <c r="EJ42564"/>
      <c r="EK42564"/>
    </row>
    <row r="42565" spans="1:141" s="116" customFormat="1">
      <c r="A42565" s="136"/>
      <c r="CM42565" s="111"/>
      <c r="CQ42565" s="111"/>
      <c r="EF42565"/>
      <c r="EG42565"/>
      <c r="EH42565"/>
      <c r="EI42565"/>
      <c r="EJ42565"/>
      <c r="EK42565"/>
    </row>
    <row r="42566" spans="1:141" s="116" customFormat="1">
      <c r="A42566" s="136"/>
      <c r="CM42566" s="111"/>
      <c r="CQ42566" s="111"/>
      <c r="EF42566"/>
      <c r="EG42566"/>
      <c r="EH42566"/>
      <c r="EI42566"/>
      <c r="EJ42566"/>
      <c r="EK42566"/>
    </row>
    <row r="42567" spans="1:141" s="116" customFormat="1">
      <c r="A42567" s="136"/>
      <c r="CM42567" s="111"/>
      <c r="CQ42567" s="111"/>
      <c r="EF42567"/>
      <c r="EG42567"/>
      <c r="EH42567"/>
      <c r="EI42567"/>
      <c r="EJ42567"/>
      <c r="EK42567"/>
    </row>
    <row r="42568" spans="1:141" s="116" customFormat="1">
      <c r="A42568" s="136"/>
      <c r="CM42568" s="111"/>
      <c r="CQ42568" s="111"/>
      <c r="EF42568"/>
      <c r="EG42568"/>
      <c r="EH42568"/>
      <c r="EI42568"/>
      <c r="EJ42568"/>
      <c r="EK42568"/>
    </row>
    <row r="42569" spans="1:141" s="116" customFormat="1">
      <c r="A42569" s="136"/>
      <c r="CM42569" s="111"/>
      <c r="CQ42569" s="111"/>
      <c r="EF42569"/>
      <c r="EG42569"/>
      <c r="EH42569"/>
      <c r="EI42569"/>
      <c r="EJ42569"/>
      <c r="EK42569"/>
    </row>
    <row r="42570" spans="1:141" s="116" customFormat="1">
      <c r="A42570" s="136"/>
      <c r="CM42570" s="111"/>
      <c r="CQ42570" s="111"/>
      <c r="EF42570"/>
      <c r="EG42570"/>
      <c r="EH42570"/>
      <c r="EI42570"/>
      <c r="EJ42570"/>
      <c r="EK42570"/>
    </row>
    <row r="42571" spans="1:141" s="116" customFormat="1">
      <c r="A42571" s="136"/>
      <c r="CM42571" s="111"/>
      <c r="CQ42571" s="111"/>
      <c r="EF42571"/>
      <c r="EG42571"/>
      <c r="EH42571"/>
      <c r="EI42571"/>
      <c r="EJ42571"/>
      <c r="EK42571"/>
    </row>
    <row r="42572" spans="1:141" s="116" customFormat="1">
      <c r="A42572" s="136"/>
      <c r="CM42572" s="111"/>
      <c r="CQ42572" s="111"/>
      <c r="EF42572"/>
      <c r="EG42572"/>
      <c r="EH42572"/>
      <c r="EI42572"/>
      <c r="EJ42572"/>
      <c r="EK42572"/>
    </row>
    <row r="42573" spans="1:141" s="116" customFormat="1">
      <c r="A42573" s="136"/>
      <c r="CM42573" s="111"/>
      <c r="CQ42573" s="111"/>
      <c r="EF42573"/>
      <c r="EG42573"/>
      <c r="EH42573"/>
      <c r="EI42573"/>
      <c r="EJ42573"/>
      <c r="EK42573"/>
    </row>
    <row r="42574" spans="1:141" s="116" customFormat="1">
      <c r="A42574" s="136"/>
      <c r="CM42574" s="111"/>
      <c r="CQ42574" s="111"/>
      <c r="EF42574"/>
      <c r="EG42574"/>
      <c r="EH42574"/>
      <c r="EI42574"/>
      <c r="EJ42574"/>
      <c r="EK42574"/>
    </row>
    <row r="42575" spans="1:141" s="116" customFormat="1">
      <c r="A42575" s="136"/>
      <c r="CM42575" s="111"/>
      <c r="CQ42575" s="111"/>
      <c r="EF42575"/>
      <c r="EG42575"/>
      <c r="EH42575"/>
      <c r="EI42575"/>
      <c r="EJ42575"/>
      <c r="EK42575"/>
    </row>
    <row r="42576" spans="1:141" s="116" customFormat="1">
      <c r="A42576" s="136"/>
      <c r="CM42576" s="111"/>
      <c r="CQ42576" s="111"/>
      <c r="EF42576"/>
      <c r="EG42576"/>
      <c r="EH42576"/>
      <c r="EI42576"/>
      <c r="EJ42576"/>
      <c r="EK42576"/>
    </row>
    <row r="42577" spans="1:141" s="116" customFormat="1">
      <c r="A42577" s="136"/>
      <c r="CM42577" s="111"/>
      <c r="CQ42577" s="111"/>
      <c r="EF42577"/>
      <c r="EG42577"/>
      <c r="EH42577"/>
      <c r="EI42577"/>
      <c r="EJ42577"/>
      <c r="EK42577"/>
    </row>
    <row r="42578" spans="1:141" s="116" customFormat="1">
      <c r="A42578" s="136"/>
      <c r="CM42578" s="111"/>
      <c r="CQ42578" s="111"/>
      <c r="EF42578"/>
      <c r="EG42578"/>
      <c r="EH42578"/>
      <c r="EI42578"/>
      <c r="EJ42578"/>
      <c r="EK42578"/>
    </row>
    <row r="42579" spans="1:141" s="116" customFormat="1">
      <c r="A42579" s="136"/>
      <c r="CM42579" s="111"/>
      <c r="CQ42579" s="111"/>
      <c r="EF42579"/>
      <c r="EG42579"/>
      <c r="EH42579"/>
      <c r="EI42579"/>
      <c r="EJ42579"/>
      <c r="EK42579"/>
    </row>
    <row r="42580" spans="1:141" s="116" customFormat="1">
      <c r="A42580" s="136"/>
      <c r="CM42580" s="111"/>
      <c r="CQ42580" s="111"/>
      <c r="EF42580"/>
      <c r="EG42580"/>
      <c r="EH42580"/>
      <c r="EI42580"/>
      <c r="EJ42580"/>
      <c r="EK42580"/>
    </row>
    <row r="42581" spans="1:141" s="116" customFormat="1">
      <c r="A42581" s="136"/>
      <c r="CM42581" s="111"/>
      <c r="CQ42581" s="111"/>
      <c r="EF42581"/>
      <c r="EG42581"/>
      <c r="EH42581"/>
      <c r="EI42581"/>
      <c r="EJ42581"/>
      <c r="EK42581"/>
    </row>
    <row r="42582" spans="1:141" s="116" customFormat="1">
      <c r="A42582" s="136"/>
      <c r="CM42582" s="111"/>
      <c r="CQ42582" s="111"/>
      <c r="EF42582"/>
      <c r="EG42582"/>
      <c r="EH42582"/>
      <c r="EI42582"/>
      <c r="EJ42582"/>
      <c r="EK42582"/>
    </row>
    <row r="42583" spans="1:141" s="116" customFormat="1">
      <c r="A42583" s="136"/>
      <c r="CM42583" s="111"/>
      <c r="CQ42583" s="111"/>
      <c r="EF42583"/>
      <c r="EG42583"/>
      <c r="EH42583"/>
      <c r="EI42583"/>
      <c r="EJ42583"/>
      <c r="EK42583"/>
    </row>
    <row r="42584" spans="1:141" s="116" customFormat="1">
      <c r="A42584" s="136"/>
      <c r="CM42584" s="111"/>
      <c r="CQ42584" s="111"/>
      <c r="EF42584"/>
      <c r="EG42584"/>
      <c r="EH42584"/>
      <c r="EI42584"/>
      <c r="EJ42584"/>
      <c r="EK42584"/>
    </row>
    <row r="42585" spans="1:141" s="116" customFormat="1">
      <c r="A42585" s="136"/>
      <c r="CM42585" s="111"/>
      <c r="CQ42585" s="111"/>
      <c r="EF42585"/>
      <c r="EG42585"/>
      <c r="EH42585"/>
      <c r="EI42585"/>
      <c r="EJ42585"/>
      <c r="EK42585"/>
    </row>
    <row r="42586" spans="1:141" s="116" customFormat="1">
      <c r="A42586" s="136"/>
      <c r="CM42586" s="111"/>
      <c r="CQ42586" s="111"/>
      <c r="EF42586"/>
      <c r="EG42586"/>
      <c r="EH42586"/>
      <c r="EI42586"/>
      <c r="EJ42586"/>
      <c r="EK42586"/>
    </row>
    <row r="42587" spans="1:141" s="116" customFormat="1">
      <c r="A42587" s="136"/>
      <c r="CM42587" s="111"/>
      <c r="CQ42587" s="111"/>
      <c r="EF42587"/>
      <c r="EG42587"/>
      <c r="EH42587"/>
      <c r="EI42587"/>
      <c r="EJ42587"/>
      <c r="EK42587"/>
    </row>
    <row r="42588" spans="1:141" s="116" customFormat="1">
      <c r="A42588" s="136"/>
      <c r="CM42588" s="111"/>
      <c r="CQ42588" s="111"/>
      <c r="EF42588"/>
      <c r="EG42588"/>
      <c r="EH42588"/>
      <c r="EI42588"/>
      <c r="EJ42588"/>
      <c r="EK42588"/>
    </row>
    <row r="42589" spans="1:141" s="116" customFormat="1">
      <c r="A42589" s="136"/>
      <c r="CM42589" s="111"/>
      <c r="CQ42589" s="111"/>
      <c r="EF42589"/>
      <c r="EG42589"/>
      <c r="EH42589"/>
      <c r="EI42589"/>
      <c r="EJ42589"/>
      <c r="EK42589"/>
    </row>
    <row r="42590" spans="1:141" s="116" customFormat="1">
      <c r="A42590" s="136"/>
      <c r="CM42590" s="111"/>
      <c r="CQ42590" s="111"/>
      <c r="EF42590"/>
      <c r="EG42590"/>
      <c r="EH42590"/>
      <c r="EI42590"/>
      <c r="EJ42590"/>
      <c r="EK42590"/>
    </row>
    <row r="42591" spans="1:141" s="116" customFormat="1">
      <c r="A42591" s="136"/>
      <c r="CM42591" s="111"/>
      <c r="CQ42591" s="111"/>
      <c r="EF42591"/>
      <c r="EG42591"/>
      <c r="EH42591"/>
      <c r="EI42591"/>
      <c r="EJ42591"/>
      <c r="EK42591"/>
    </row>
    <row r="42592" spans="1:141" s="116" customFormat="1">
      <c r="A42592" s="136"/>
      <c r="CM42592" s="111"/>
      <c r="CQ42592" s="111"/>
      <c r="EF42592"/>
      <c r="EG42592"/>
      <c r="EH42592"/>
      <c r="EI42592"/>
      <c r="EJ42592"/>
      <c r="EK42592"/>
    </row>
    <row r="42593" spans="1:141" s="116" customFormat="1">
      <c r="A42593" s="136"/>
      <c r="CM42593" s="111"/>
      <c r="CQ42593" s="111"/>
      <c r="EF42593"/>
      <c r="EG42593"/>
      <c r="EH42593"/>
      <c r="EI42593"/>
      <c r="EJ42593"/>
      <c r="EK42593"/>
    </row>
    <row r="42594" spans="1:141" s="116" customFormat="1">
      <c r="A42594" s="136"/>
      <c r="CM42594" s="111"/>
      <c r="CQ42594" s="111"/>
      <c r="EF42594"/>
      <c r="EG42594"/>
      <c r="EH42594"/>
      <c r="EI42594"/>
      <c r="EJ42594"/>
      <c r="EK42594"/>
    </row>
    <row r="42595" spans="1:141" s="116" customFormat="1">
      <c r="A42595" s="136"/>
      <c r="CM42595" s="111"/>
      <c r="CQ42595" s="111"/>
      <c r="EF42595"/>
      <c r="EG42595"/>
      <c r="EH42595"/>
      <c r="EI42595"/>
      <c r="EJ42595"/>
      <c r="EK42595"/>
    </row>
    <row r="42596" spans="1:141" s="116" customFormat="1">
      <c r="A42596" s="136"/>
      <c r="CM42596" s="111"/>
      <c r="CQ42596" s="111"/>
      <c r="EF42596"/>
      <c r="EG42596"/>
      <c r="EH42596"/>
      <c r="EI42596"/>
      <c r="EJ42596"/>
      <c r="EK42596"/>
    </row>
    <row r="42597" spans="1:141" s="116" customFormat="1">
      <c r="A42597" s="136"/>
      <c r="CM42597" s="111"/>
      <c r="CQ42597" s="111"/>
      <c r="EF42597"/>
      <c r="EG42597"/>
      <c r="EH42597"/>
      <c r="EI42597"/>
      <c r="EJ42597"/>
      <c r="EK42597"/>
    </row>
    <row r="42598" spans="1:141" s="116" customFormat="1">
      <c r="A42598" s="136"/>
      <c r="CM42598" s="111"/>
      <c r="CQ42598" s="111"/>
      <c r="EF42598"/>
      <c r="EG42598"/>
      <c r="EH42598"/>
      <c r="EI42598"/>
      <c r="EJ42598"/>
      <c r="EK42598"/>
    </row>
    <row r="42599" spans="1:141" s="116" customFormat="1">
      <c r="A42599" s="136"/>
      <c r="CM42599" s="111"/>
      <c r="CQ42599" s="111"/>
      <c r="EF42599"/>
      <c r="EG42599"/>
      <c r="EH42599"/>
      <c r="EI42599"/>
      <c r="EJ42599"/>
      <c r="EK42599"/>
    </row>
    <row r="42600" spans="1:141" s="116" customFormat="1">
      <c r="A42600" s="136"/>
      <c r="CM42600" s="111"/>
      <c r="CQ42600" s="111"/>
      <c r="EF42600"/>
      <c r="EG42600"/>
      <c r="EH42600"/>
      <c r="EI42600"/>
      <c r="EJ42600"/>
      <c r="EK42600"/>
    </row>
    <row r="42601" spans="1:141" s="116" customFormat="1">
      <c r="A42601" s="136"/>
      <c r="CM42601" s="111"/>
      <c r="CQ42601" s="111"/>
      <c r="EF42601"/>
      <c r="EG42601"/>
      <c r="EH42601"/>
      <c r="EI42601"/>
      <c r="EJ42601"/>
      <c r="EK42601"/>
    </row>
    <row r="42602" spans="1:141" s="116" customFormat="1">
      <c r="A42602" s="136"/>
      <c r="CM42602" s="111"/>
      <c r="CQ42602" s="111"/>
      <c r="EF42602"/>
      <c r="EG42602"/>
      <c r="EH42602"/>
      <c r="EI42602"/>
      <c r="EJ42602"/>
      <c r="EK42602"/>
    </row>
    <row r="42603" spans="1:141" s="116" customFormat="1">
      <c r="A42603" s="136"/>
      <c r="CM42603" s="111"/>
      <c r="CQ42603" s="111"/>
      <c r="EF42603"/>
      <c r="EG42603"/>
      <c r="EH42603"/>
      <c r="EI42603"/>
      <c r="EJ42603"/>
      <c r="EK42603"/>
    </row>
    <row r="42604" spans="1:141" s="116" customFormat="1">
      <c r="A42604" s="136"/>
      <c r="CM42604" s="111"/>
      <c r="CQ42604" s="111"/>
      <c r="EF42604"/>
      <c r="EG42604"/>
      <c r="EH42604"/>
      <c r="EI42604"/>
      <c r="EJ42604"/>
      <c r="EK42604"/>
    </row>
    <row r="42605" spans="1:141" s="116" customFormat="1">
      <c r="A42605" s="136"/>
      <c r="CM42605" s="111"/>
      <c r="CQ42605" s="111"/>
      <c r="EF42605"/>
      <c r="EG42605"/>
      <c r="EH42605"/>
      <c r="EI42605"/>
      <c r="EJ42605"/>
      <c r="EK42605"/>
    </row>
    <row r="42606" spans="1:141" s="116" customFormat="1">
      <c r="A42606" s="136"/>
      <c r="CM42606" s="111"/>
      <c r="CQ42606" s="111"/>
      <c r="EF42606"/>
      <c r="EG42606"/>
      <c r="EH42606"/>
      <c r="EI42606"/>
      <c r="EJ42606"/>
      <c r="EK42606"/>
    </row>
    <row r="42607" spans="1:141" s="116" customFormat="1">
      <c r="A42607" s="136"/>
      <c r="CM42607" s="111"/>
      <c r="CQ42607" s="111"/>
      <c r="EF42607"/>
      <c r="EG42607"/>
      <c r="EH42607"/>
      <c r="EI42607"/>
      <c r="EJ42607"/>
      <c r="EK42607"/>
    </row>
    <row r="42608" spans="1:141" s="116" customFormat="1">
      <c r="A42608" s="136"/>
      <c r="CM42608" s="111"/>
      <c r="CQ42608" s="111"/>
      <c r="EF42608"/>
      <c r="EG42608"/>
      <c r="EH42608"/>
      <c r="EI42608"/>
      <c r="EJ42608"/>
      <c r="EK42608"/>
    </row>
    <row r="42609" spans="1:141" s="116" customFormat="1">
      <c r="A42609" s="136"/>
      <c r="CM42609" s="111"/>
      <c r="CQ42609" s="111"/>
      <c r="EF42609"/>
      <c r="EG42609"/>
      <c r="EH42609"/>
      <c r="EI42609"/>
      <c r="EJ42609"/>
      <c r="EK42609"/>
    </row>
    <row r="42610" spans="1:141" s="116" customFormat="1">
      <c r="A42610" s="136"/>
      <c r="CM42610" s="111"/>
      <c r="CQ42610" s="111"/>
      <c r="EF42610"/>
      <c r="EG42610"/>
      <c r="EH42610"/>
      <c r="EI42610"/>
      <c r="EJ42610"/>
      <c r="EK42610"/>
    </row>
    <row r="42611" spans="1:141" s="116" customFormat="1">
      <c r="A42611" s="136"/>
      <c r="CM42611" s="111"/>
      <c r="CQ42611" s="111"/>
      <c r="EF42611"/>
      <c r="EG42611"/>
      <c r="EH42611"/>
      <c r="EI42611"/>
      <c r="EJ42611"/>
      <c r="EK42611"/>
    </row>
    <row r="42612" spans="1:141" s="116" customFormat="1">
      <c r="A42612" s="136"/>
      <c r="CM42612" s="111"/>
      <c r="CQ42612" s="111"/>
      <c r="EF42612"/>
      <c r="EG42612"/>
      <c r="EH42612"/>
      <c r="EI42612"/>
      <c r="EJ42612"/>
      <c r="EK42612"/>
    </row>
    <row r="42613" spans="1:141" s="116" customFormat="1">
      <c r="A42613" s="136"/>
      <c r="CM42613" s="111"/>
      <c r="CQ42613" s="111"/>
      <c r="EF42613"/>
      <c r="EG42613"/>
      <c r="EH42613"/>
      <c r="EI42613"/>
      <c r="EJ42613"/>
      <c r="EK42613"/>
    </row>
    <row r="42614" spans="1:141" s="116" customFormat="1">
      <c r="A42614" s="136"/>
      <c r="CM42614" s="111"/>
      <c r="CQ42614" s="111"/>
      <c r="EF42614"/>
      <c r="EG42614"/>
      <c r="EH42614"/>
      <c r="EI42614"/>
      <c r="EJ42614"/>
      <c r="EK42614"/>
    </row>
    <row r="42615" spans="1:141" s="116" customFormat="1">
      <c r="A42615" s="136"/>
      <c r="CM42615" s="111"/>
      <c r="CQ42615" s="111"/>
      <c r="EF42615"/>
      <c r="EG42615"/>
      <c r="EH42615"/>
      <c r="EI42615"/>
      <c r="EJ42615"/>
      <c r="EK42615"/>
    </row>
    <row r="42616" spans="1:141" s="116" customFormat="1">
      <c r="A42616" s="136"/>
      <c r="CM42616" s="111"/>
      <c r="CQ42616" s="111"/>
      <c r="EF42616"/>
      <c r="EG42616"/>
      <c r="EH42616"/>
      <c r="EI42616"/>
      <c r="EJ42616"/>
      <c r="EK42616"/>
    </row>
    <row r="42617" spans="1:141" s="116" customFormat="1">
      <c r="A42617" s="136"/>
      <c r="CM42617" s="111"/>
      <c r="CQ42617" s="111"/>
      <c r="EF42617"/>
      <c r="EG42617"/>
      <c r="EH42617"/>
      <c r="EI42617"/>
      <c r="EJ42617"/>
      <c r="EK42617"/>
    </row>
    <row r="42618" spans="1:141" s="116" customFormat="1">
      <c r="A42618" s="136"/>
      <c r="CM42618" s="111"/>
      <c r="CQ42618" s="111"/>
      <c r="EF42618"/>
      <c r="EG42618"/>
      <c r="EH42618"/>
      <c r="EI42618"/>
      <c r="EJ42618"/>
      <c r="EK42618"/>
    </row>
    <row r="42619" spans="1:141" s="116" customFormat="1">
      <c r="A42619" s="136"/>
      <c r="CM42619" s="111"/>
      <c r="CQ42619" s="111"/>
      <c r="EF42619"/>
      <c r="EG42619"/>
      <c r="EH42619"/>
      <c r="EI42619"/>
      <c r="EJ42619"/>
      <c r="EK42619"/>
    </row>
    <row r="42620" spans="1:141" s="116" customFormat="1">
      <c r="A42620" s="136"/>
      <c r="CM42620" s="111"/>
      <c r="CQ42620" s="111"/>
      <c r="EF42620"/>
      <c r="EG42620"/>
      <c r="EH42620"/>
      <c r="EI42620"/>
      <c r="EJ42620"/>
      <c r="EK42620"/>
    </row>
    <row r="42621" spans="1:141" s="116" customFormat="1">
      <c r="A42621" s="136"/>
      <c r="CM42621" s="111"/>
      <c r="CQ42621" s="111"/>
      <c r="EF42621"/>
      <c r="EG42621"/>
      <c r="EH42621"/>
      <c r="EI42621"/>
      <c r="EJ42621"/>
      <c r="EK42621"/>
    </row>
    <row r="42622" spans="1:141" s="116" customFormat="1">
      <c r="A42622" s="136"/>
      <c r="CM42622" s="111"/>
      <c r="CQ42622" s="111"/>
      <c r="EF42622"/>
      <c r="EG42622"/>
      <c r="EH42622"/>
      <c r="EI42622"/>
      <c r="EJ42622"/>
      <c r="EK42622"/>
    </row>
    <row r="42623" spans="1:141" s="116" customFormat="1">
      <c r="A42623" s="136"/>
      <c r="CM42623" s="111"/>
      <c r="CQ42623" s="111"/>
      <c r="EF42623"/>
      <c r="EG42623"/>
      <c r="EH42623"/>
      <c r="EI42623"/>
      <c r="EJ42623"/>
      <c r="EK42623"/>
    </row>
    <row r="42624" spans="1:141" s="116" customFormat="1">
      <c r="A42624" s="136"/>
      <c r="CM42624" s="111"/>
      <c r="CQ42624" s="111"/>
      <c r="EF42624"/>
      <c r="EG42624"/>
      <c r="EH42624"/>
      <c r="EI42624"/>
      <c r="EJ42624"/>
      <c r="EK42624"/>
    </row>
    <row r="42625" spans="1:141" s="116" customFormat="1">
      <c r="A42625" s="136"/>
      <c r="CM42625" s="111"/>
      <c r="CQ42625" s="111"/>
      <c r="EF42625"/>
      <c r="EG42625"/>
      <c r="EH42625"/>
      <c r="EI42625"/>
      <c r="EJ42625"/>
      <c r="EK42625"/>
    </row>
    <row r="42626" spans="1:141" s="116" customFormat="1">
      <c r="A42626" s="136"/>
      <c r="CM42626" s="111"/>
      <c r="CQ42626" s="111"/>
      <c r="EF42626"/>
      <c r="EG42626"/>
      <c r="EH42626"/>
      <c r="EI42626"/>
      <c r="EJ42626"/>
      <c r="EK42626"/>
    </row>
    <row r="42627" spans="1:141" s="116" customFormat="1">
      <c r="A42627" s="136"/>
      <c r="CM42627" s="111"/>
      <c r="CQ42627" s="111"/>
      <c r="EF42627"/>
      <c r="EG42627"/>
      <c r="EH42627"/>
      <c r="EI42627"/>
      <c r="EJ42627"/>
      <c r="EK42627"/>
    </row>
    <row r="42628" spans="1:141" s="116" customFormat="1">
      <c r="A42628" s="136"/>
      <c r="CM42628" s="111"/>
      <c r="CQ42628" s="111"/>
      <c r="EF42628"/>
      <c r="EG42628"/>
      <c r="EH42628"/>
      <c r="EI42628"/>
      <c r="EJ42628"/>
      <c r="EK42628"/>
    </row>
    <row r="42629" spans="1:141" s="116" customFormat="1">
      <c r="A42629" s="136"/>
      <c r="CM42629" s="111"/>
      <c r="CQ42629" s="111"/>
      <c r="EF42629"/>
      <c r="EG42629"/>
      <c r="EH42629"/>
      <c r="EI42629"/>
      <c r="EJ42629"/>
      <c r="EK42629"/>
    </row>
    <row r="42630" spans="1:141" s="116" customFormat="1">
      <c r="A42630" s="136"/>
      <c r="CM42630" s="111"/>
      <c r="CQ42630" s="111"/>
      <c r="EF42630"/>
      <c r="EG42630"/>
      <c r="EH42630"/>
      <c r="EI42630"/>
      <c r="EJ42630"/>
      <c r="EK42630"/>
    </row>
    <row r="42631" spans="1:141" s="116" customFormat="1">
      <c r="A42631" s="136"/>
      <c r="CM42631" s="111"/>
      <c r="CQ42631" s="111"/>
      <c r="EF42631"/>
      <c r="EG42631"/>
      <c r="EH42631"/>
      <c r="EI42631"/>
      <c r="EJ42631"/>
      <c r="EK42631"/>
    </row>
    <row r="42632" spans="1:141" s="116" customFormat="1">
      <c r="A42632" s="136"/>
      <c r="CM42632" s="111"/>
      <c r="CQ42632" s="111"/>
      <c r="EF42632"/>
      <c r="EG42632"/>
      <c r="EH42632"/>
      <c r="EI42632"/>
      <c r="EJ42632"/>
      <c r="EK42632"/>
    </row>
    <row r="42633" spans="1:141" s="116" customFormat="1">
      <c r="A42633" s="136"/>
      <c r="CM42633" s="111"/>
      <c r="CQ42633" s="111"/>
      <c r="EF42633"/>
      <c r="EG42633"/>
      <c r="EH42633"/>
      <c r="EI42633"/>
      <c r="EJ42633"/>
      <c r="EK42633"/>
    </row>
    <row r="42634" spans="1:141" s="116" customFormat="1">
      <c r="A42634" s="136"/>
      <c r="CM42634" s="111"/>
      <c r="CQ42634" s="111"/>
      <c r="EF42634"/>
      <c r="EG42634"/>
      <c r="EH42634"/>
      <c r="EI42634"/>
      <c r="EJ42634"/>
      <c r="EK42634"/>
    </row>
    <row r="42635" spans="1:141" s="116" customFormat="1">
      <c r="A42635" s="136"/>
      <c r="CM42635" s="111"/>
      <c r="CQ42635" s="111"/>
      <c r="EF42635"/>
      <c r="EG42635"/>
      <c r="EH42635"/>
      <c r="EI42635"/>
      <c r="EJ42635"/>
      <c r="EK42635"/>
    </row>
    <row r="42636" spans="1:141" s="116" customFormat="1">
      <c r="A42636" s="136"/>
      <c r="CM42636" s="111"/>
      <c r="CQ42636" s="111"/>
      <c r="EF42636"/>
      <c r="EG42636"/>
      <c r="EH42636"/>
      <c r="EI42636"/>
      <c r="EJ42636"/>
      <c r="EK42636"/>
    </row>
    <row r="42637" spans="1:141" s="116" customFormat="1">
      <c r="A42637" s="136"/>
      <c r="CM42637" s="111"/>
      <c r="CQ42637" s="111"/>
      <c r="EF42637"/>
      <c r="EG42637"/>
      <c r="EH42637"/>
      <c r="EI42637"/>
      <c r="EJ42637"/>
      <c r="EK42637"/>
    </row>
    <row r="42638" spans="1:141" s="116" customFormat="1">
      <c r="A42638" s="136"/>
      <c r="CM42638" s="111"/>
      <c r="CQ42638" s="111"/>
      <c r="EF42638"/>
      <c r="EG42638"/>
      <c r="EH42638"/>
      <c r="EI42638"/>
      <c r="EJ42638"/>
      <c r="EK42638"/>
    </row>
    <row r="42639" spans="1:141" s="116" customFormat="1">
      <c r="A42639" s="136"/>
      <c r="CM42639" s="111"/>
      <c r="CQ42639" s="111"/>
      <c r="EF42639"/>
      <c r="EG42639"/>
      <c r="EH42639"/>
      <c r="EI42639"/>
      <c r="EJ42639"/>
      <c r="EK42639"/>
    </row>
    <row r="42640" spans="1:141" s="116" customFormat="1">
      <c r="A42640" s="136"/>
      <c r="CM42640" s="111"/>
      <c r="CQ42640" s="111"/>
      <c r="EF42640"/>
      <c r="EG42640"/>
      <c r="EH42640"/>
      <c r="EI42640"/>
      <c r="EJ42640"/>
      <c r="EK42640"/>
    </row>
    <row r="42641" spans="1:141" s="116" customFormat="1">
      <c r="A42641" s="136"/>
      <c r="CM42641" s="111"/>
      <c r="CQ42641" s="111"/>
      <c r="EF42641"/>
      <c r="EG42641"/>
      <c r="EH42641"/>
      <c r="EI42641"/>
      <c r="EJ42641"/>
      <c r="EK42641"/>
    </row>
    <row r="42642" spans="1:141" s="116" customFormat="1">
      <c r="A42642" s="136"/>
      <c r="CM42642" s="111"/>
      <c r="CQ42642" s="111"/>
      <c r="EF42642"/>
      <c r="EG42642"/>
      <c r="EH42642"/>
      <c r="EI42642"/>
      <c r="EJ42642"/>
      <c r="EK42642"/>
    </row>
    <row r="42643" spans="1:141" s="116" customFormat="1">
      <c r="A42643" s="136"/>
      <c r="CM42643" s="111"/>
      <c r="CQ42643" s="111"/>
      <c r="EF42643"/>
      <c r="EG42643"/>
      <c r="EH42643"/>
      <c r="EI42643"/>
      <c r="EJ42643"/>
      <c r="EK42643"/>
    </row>
    <row r="42644" spans="1:141" s="116" customFormat="1">
      <c r="A42644" s="136"/>
      <c r="CM42644" s="111"/>
      <c r="CQ42644" s="111"/>
      <c r="EF42644"/>
      <c r="EG42644"/>
      <c r="EH42644"/>
      <c r="EI42644"/>
      <c r="EJ42644"/>
      <c r="EK42644"/>
    </row>
    <row r="42645" spans="1:141" s="116" customFormat="1">
      <c r="A42645" s="136"/>
      <c r="CM42645" s="111"/>
      <c r="CQ42645" s="111"/>
      <c r="EF42645"/>
      <c r="EG42645"/>
      <c r="EH42645"/>
      <c r="EI42645"/>
      <c r="EJ42645"/>
      <c r="EK42645"/>
    </row>
    <row r="42646" spans="1:141" s="116" customFormat="1">
      <c r="A42646" s="136"/>
      <c r="CM42646" s="111"/>
      <c r="CQ42646" s="111"/>
      <c r="EF42646"/>
      <c r="EG42646"/>
      <c r="EH42646"/>
      <c r="EI42646"/>
      <c r="EJ42646"/>
      <c r="EK42646"/>
    </row>
    <row r="42647" spans="1:141" s="116" customFormat="1">
      <c r="A42647" s="136"/>
      <c r="CM42647" s="111"/>
      <c r="CQ42647" s="111"/>
      <c r="EF42647"/>
      <c r="EG42647"/>
      <c r="EH42647"/>
      <c r="EI42647"/>
      <c r="EJ42647"/>
      <c r="EK42647"/>
    </row>
    <row r="42648" spans="1:141" s="116" customFormat="1">
      <c r="A42648" s="136"/>
      <c r="CM42648" s="111"/>
      <c r="CQ42648" s="111"/>
      <c r="EF42648"/>
      <c r="EG42648"/>
      <c r="EH42648"/>
      <c r="EI42648"/>
      <c r="EJ42648"/>
      <c r="EK42648"/>
    </row>
    <row r="42649" spans="1:141" s="116" customFormat="1">
      <c r="A42649" s="136"/>
      <c r="CM42649" s="111"/>
      <c r="CQ42649" s="111"/>
      <c r="EF42649"/>
      <c r="EG42649"/>
      <c r="EH42649"/>
      <c r="EI42649"/>
      <c r="EJ42649"/>
      <c r="EK42649"/>
    </row>
    <row r="42650" spans="1:141" s="116" customFormat="1">
      <c r="A42650" s="136"/>
      <c r="CM42650" s="111"/>
      <c r="CQ42650" s="111"/>
      <c r="EF42650"/>
      <c r="EG42650"/>
      <c r="EH42650"/>
      <c r="EI42650"/>
      <c r="EJ42650"/>
      <c r="EK42650"/>
    </row>
    <row r="42651" spans="1:141" s="116" customFormat="1">
      <c r="A42651" s="136"/>
      <c r="CM42651" s="111"/>
      <c r="CQ42651" s="111"/>
      <c r="EF42651"/>
      <c r="EG42651"/>
      <c r="EH42651"/>
      <c r="EI42651"/>
      <c r="EJ42651"/>
      <c r="EK42651"/>
    </row>
    <row r="42652" spans="1:141" s="116" customFormat="1">
      <c r="A42652" s="136"/>
      <c r="CM42652" s="111"/>
      <c r="CQ42652" s="111"/>
      <c r="EF42652"/>
      <c r="EG42652"/>
      <c r="EH42652"/>
      <c r="EI42652"/>
      <c r="EJ42652"/>
      <c r="EK42652"/>
    </row>
    <row r="42653" spans="1:141" s="116" customFormat="1">
      <c r="A42653" s="136"/>
      <c r="CM42653" s="111"/>
      <c r="CQ42653" s="111"/>
      <c r="EF42653"/>
      <c r="EG42653"/>
      <c r="EH42653"/>
      <c r="EI42653"/>
      <c r="EJ42653"/>
      <c r="EK42653"/>
    </row>
    <row r="42654" spans="1:141" s="116" customFormat="1">
      <c r="A42654" s="136"/>
      <c r="CM42654" s="111"/>
      <c r="CQ42654" s="111"/>
      <c r="EF42654"/>
      <c r="EG42654"/>
      <c r="EH42654"/>
      <c r="EI42654"/>
      <c r="EJ42654"/>
      <c r="EK42654"/>
    </row>
    <row r="42655" spans="1:141" s="116" customFormat="1">
      <c r="A42655" s="136"/>
      <c r="CM42655" s="111"/>
      <c r="CQ42655" s="111"/>
      <c r="EF42655"/>
      <c r="EG42655"/>
      <c r="EH42655"/>
      <c r="EI42655"/>
      <c r="EJ42655"/>
      <c r="EK42655"/>
    </row>
    <row r="42656" spans="1:141" s="116" customFormat="1">
      <c r="A42656" s="136"/>
      <c r="CM42656" s="111"/>
      <c r="CQ42656" s="111"/>
      <c r="EF42656"/>
      <c r="EG42656"/>
      <c r="EH42656"/>
      <c r="EI42656"/>
      <c r="EJ42656"/>
      <c r="EK42656"/>
    </row>
    <row r="42657" spans="1:141" s="116" customFormat="1">
      <c r="A42657" s="136"/>
      <c r="CM42657" s="111"/>
      <c r="CQ42657" s="111"/>
      <c r="EF42657"/>
      <c r="EG42657"/>
      <c r="EH42657"/>
      <c r="EI42657"/>
      <c r="EJ42657"/>
      <c r="EK42657"/>
    </row>
    <row r="42658" spans="1:141" s="116" customFormat="1">
      <c r="A42658" s="136"/>
      <c r="CM42658" s="111"/>
      <c r="CQ42658" s="111"/>
      <c r="EF42658"/>
      <c r="EG42658"/>
      <c r="EH42658"/>
      <c r="EI42658"/>
      <c r="EJ42658"/>
      <c r="EK42658"/>
    </row>
    <row r="42659" spans="1:141" s="116" customFormat="1">
      <c r="A42659" s="136"/>
      <c r="CM42659" s="111"/>
      <c r="CQ42659" s="111"/>
      <c r="EF42659"/>
      <c r="EG42659"/>
      <c r="EH42659"/>
      <c r="EI42659"/>
      <c r="EJ42659"/>
      <c r="EK42659"/>
    </row>
    <row r="42660" spans="1:141" s="116" customFormat="1">
      <c r="A42660" s="136"/>
      <c r="CM42660" s="111"/>
      <c r="CQ42660" s="111"/>
      <c r="EF42660"/>
      <c r="EG42660"/>
      <c r="EH42660"/>
      <c r="EI42660"/>
      <c r="EJ42660"/>
      <c r="EK42660"/>
    </row>
    <row r="42661" spans="1:141" s="116" customFormat="1">
      <c r="A42661" s="136"/>
      <c r="CM42661" s="111"/>
      <c r="CQ42661" s="111"/>
      <c r="EF42661"/>
      <c r="EG42661"/>
      <c r="EH42661"/>
      <c r="EI42661"/>
      <c r="EJ42661"/>
      <c r="EK42661"/>
    </row>
    <row r="42662" spans="1:141" s="116" customFormat="1">
      <c r="A42662" s="136"/>
      <c r="CM42662" s="111"/>
      <c r="CQ42662" s="111"/>
      <c r="EF42662"/>
      <c r="EG42662"/>
      <c r="EH42662"/>
      <c r="EI42662"/>
      <c r="EJ42662"/>
      <c r="EK42662"/>
    </row>
    <row r="42663" spans="1:141" s="116" customFormat="1">
      <c r="A42663" s="136"/>
      <c r="CM42663" s="111"/>
      <c r="CQ42663" s="111"/>
      <c r="EF42663"/>
      <c r="EG42663"/>
      <c r="EH42663"/>
      <c r="EI42663"/>
      <c r="EJ42663"/>
      <c r="EK42663"/>
    </row>
    <row r="42664" spans="1:141" s="116" customFormat="1">
      <c r="A42664" s="136"/>
      <c r="CM42664" s="111"/>
      <c r="CQ42664" s="111"/>
      <c r="EF42664"/>
      <c r="EG42664"/>
      <c r="EH42664"/>
      <c r="EI42664"/>
      <c r="EJ42664"/>
      <c r="EK42664"/>
    </row>
    <row r="42665" spans="1:141" s="116" customFormat="1">
      <c r="A42665" s="136"/>
      <c r="CM42665" s="111"/>
      <c r="CQ42665" s="111"/>
      <c r="EF42665"/>
      <c r="EG42665"/>
      <c r="EH42665"/>
      <c r="EI42665"/>
      <c r="EJ42665"/>
      <c r="EK42665"/>
    </row>
    <row r="42666" spans="1:141" s="116" customFormat="1">
      <c r="A42666" s="136"/>
      <c r="CM42666" s="111"/>
      <c r="CQ42666" s="111"/>
      <c r="EF42666"/>
      <c r="EG42666"/>
      <c r="EH42666"/>
      <c r="EI42666"/>
      <c r="EJ42666"/>
      <c r="EK42666"/>
    </row>
    <row r="42667" spans="1:141" s="116" customFormat="1">
      <c r="A42667" s="136"/>
      <c r="CM42667" s="111"/>
      <c r="CQ42667" s="111"/>
      <c r="EF42667"/>
      <c r="EG42667"/>
      <c r="EH42667"/>
      <c r="EI42667"/>
      <c r="EJ42667"/>
      <c r="EK42667"/>
    </row>
    <row r="42668" spans="1:141" s="116" customFormat="1">
      <c r="A42668" s="136"/>
      <c r="CM42668" s="111"/>
      <c r="CQ42668" s="111"/>
      <c r="EF42668"/>
      <c r="EG42668"/>
      <c r="EH42668"/>
      <c r="EI42668"/>
      <c r="EJ42668"/>
      <c r="EK42668"/>
    </row>
    <row r="42669" spans="1:141" s="116" customFormat="1">
      <c r="A42669" s="136"/>
      <c r="CM42669" s="111"/>
      <c r="CQ42669" s="111"/>
      <c r="EF42669"/>
      <c r="EG42669"/>
      <c r="EH42669"/>
      <c r="EI42669"/>
      <c r="EJ42669"/>
      <c r="EK42669"/>
    </row>
    <row r="42670" spans="1:141" s="116" customFormat="1">
      <c r="A42670" s="136"/>
      <c r="CM42670" s="111"/>
      <c r="CQ42670" s="111"/>
      <c r="EF42670"/>
      <c r="EG42670"/>
      <c r="EH42670"/>
      <c r="EI42670"/>
      <c r="EJ42670"/>
      <c r="EK42670"/>
    </row>
    <row r="42671" spans="1:141" s="116" customFormat="1">
      <c r="A42671" s="136"/>
      <c r="CM42671" s="111"/>
      <c r="CQ42671" s="111"/>
      <c r="EF42671"/>
      <c r="EG42671"/>
      <c r="EH42671"/>
      <c r="EI42671"/>
      <c r="EJ42671"/>
      <c r="EK42671"/>
    </row>
    <row r="42672" spans="1:141" s="116" customFormat="1">
      <c r="A42672" s="136"/>
      <c r="CM42672" s="111"/>
      <c r="CQ42672" s="111"/>
      <c r="EF42672"/>
      <c r="EG42672"/>
      <c r="EH42672"/>
      <c r="EI42672"/>
      <c r="EJ42672"/>
      <c r="EK42672"/>
    </row>
    <row r="42673" spans="1:141" s="116" customFormat="1">
      <c r="A42673" s="136"/>
      <c r="CM42673" s="111"/>
      <c r="CQ42673" s="111"/>
      <c r="EF42673"/>
      <c r="EG42673"/>
      <c r="EH42673"/>
      <c r="EI42673"/>
      <c r="EJ42673"/>
      <c r="EK42673"/>
    </row>
    <row r="42674" spans="1:141" s="116" customFormat="1">
      <c r="A42674" s="136"/>
      <c r="CM42674" s="111"/>
      <c r="CQ42674" s="111"/>
      <c r="EF42674"/>
      <c r="EG42674"/>
      <c r="EH42674"/>
      <c r="EI42674"/>
      <c r="EJ42674"/>
      <c r="EK42674"/>
    </row>
    <row r="42675" spans="1:141" s="116" customFormat="1">
      <c r="A42675" s="136"/>
      <c r="CM42675" s="111"/>
      <c r="CQ42675" s="111"/>
      <c r="EF42675"/>
      <c r="EG42675"/>
      <c r="EH42675"/>
      <c r="EI42675"/>
      <c r="EJ42675"/>
      <c r="EK42675"/>
    </row>
    <row r="42676" spans="1:141" s="116" customFormat="1">
      <c r="A42676" s="136"/>
      <c r="CM42676" s="111"/>
      <c r="CQ42676" s="111"/>
      <c r="EF42676"/>
      <c r="EG42676"/>
      <c r="EH42676"/>
      <c r="EI42676"/>
      <c r="EJ42676"/>
      <c r="EK42676"/>
    </row>
    <row r="42677" spans="1:141" s="116" customFormat="1">
      <c r="A42677" s="136"/>
      <c r="CM42677" s="111"/>
      <c r="CQ42677" s="111"/>
      <c r="EF42677"/>
      <c r="EG42677"/>
      <c r="EH42677"/>
      <c r="EI42677"/>
      <c r="EJ42677"/>
      <c r="EK42677"/>
    </row>
    <row r="42678" spans="1:141" s="116" customFormat="1">
      <c r="A42678" s="136"/>
      <c r="CM42678" s="111"/>
      <c r="CQ42678" s="111"/>
      <c r="EF42678"/>
      <c r="EG42678"/>
      <c r="EH42678"/>
      <c r="EI42678"/>
      <c r="EJ42678"/>
      <c r="EK42678"/>
    </row>
    <row r="42679" spans="1:141" s="116" customFormat="1">
      <c r="A42679" s="136"/>
      <c r="CM42679" s="111"/>
      <c r="CQ42679" s="111"/>
      <c r="EF42679"/>
      <c r="EG42679"/>
      <c r="EH42679"/>
      <c r="EI42679"/>
      <c r="EJ42679"/>
      <c r="EK42679"/>
    </row>
    <row r="42680" spans="1:141" s="116" customFormat="1">
      <c r="A42680" s="136"/>
      <c r="CM42680" s="111"/>
      <c r="CQ42680" s="111"/>
      <c r="EF42680"/>
      <c r="EG42680"/>
      <c r="EH42680"/>
      <c r="EI42680"/>
      <c r="EJ42680"/>
      <c r="EK42680"/>
    </row>
    <row r="42681" spans="1:141" s="116" customFormat="1">
      <c r="A42681" s="136"/>
      <c r="CM42681" s="111"/>
      <c r="CQ42681" s="111"/>
      <c r="EF42681"/>
      <c r="EG42681"/>
      <c r="EH42681"/>
      <c r="EI42681"/>
      <c r="EJ42681"/>
      <c r="EK42681"/>
    </row>
    <row r="42682" spans="1:141" s="116" customFormat="1">
      <c r="A42682" s="136"/>
      <c r="CM42682" s="111"/>
      <c r="CQ42682" s="111"/>
      <c r="EF42682"/>
      <c r="EG42682"/>
      <c r="EH42682"/>
      <c r="EI42682"/>
      <c r="EJ42682"/>
      <c r="EK42682"/>
    </row>
    <row r="42683" spans="1:141" s="116" customFormat="1">
      <c r="A42683" s="136"/>
      <c r="CM42683" s="111"/>
      <c r="CQ42683" s="111"/>
      <c r="EF42683"/>
      <c r="EG42683"/>
      <c r="EH42683"/>
      <c r="EI42683"/>
      <c r="EJ42683"/>
      <c r="EK42683"/>
    </row>
    <row r="42684" spans="1:141" s="116" customFormat="1">
      <c r="A42684" s="136"/>
      <c r="CM42684" s="111"/>
      <c r="CQ42684" s="111"/>
      <c r="EF42684"/>
      <c r="EG42684"/>
      <c r="EH42684"/>
      <c r="EI42684"/>
      <c r="EJ42684"/>
      <c r="EK42684"/>
    </row>
    <row r="42685" spans="1:141" s="116" customFormat="1">
      <c r="A42685" s="136"/>
      <c r="CM42685" s="111"/>
      <c r="CQ42685" s="111"/>
      <c r="EF42685"/>
      <c r="EG42685"/>
      <c r="EH42685"/>
      <c r="EI42685"/>
      <c r="EJ42685"/>
      <c r="EK42685"/>
    </row>
    <row r="42686" spans="1:141" s="116" customFormat="1">
      <c r="A42686" s="136"/>
      <c r="CM42686" s="111"/>
      <c r="CQ42686" s="111"/>
      <c r="EF42686"/>
      <c r="EG42686"/>
      <c r="EH42686"/>
      <c r="EI42686"/>
      <c r="EJ42686"/>
      <c r="EK42686"/>
    </row>
    <row r="42687" spans="1:141" s="116" customFormat="1">
      <c r="A42687" s="136"/>
      <c r="CM42687" s="111"/>
      <c r="CQ42687" s="111"/>
      <c r="EF42687"/>
      <c r="EG42687"/>
      <c r="EH42687"/>
      <c r="EI42687"/>
      <c r="EJ42687"/>
      <c r="EK42687"/>
    </row>
    <row r="42688" spans="1:141" s="116" customFormat="1">
      <c r="A42688" s="136"/>
      <c r="CM42688" s="111"/>
      <c r="CQ42688" s="111"/>
      <c r="EF42688"/>
      <c r="EG42688"/>
      <c r="EH42688"/>
      <c r="EI42688"/>
      <c r="EJ42688"/>
      <c r="EK42688"/>
    </row>
    <row r="42689" spans="1:141" s="116" customFormat="1">
      <c r="A42689" s="136"/>
      <c r="CM42689" s="111"/>
      <c r="CQ42689" s="111"/>
      <c r="EF42689"/>
      <c r="EG42689"/>
      <c r="EH42689"/>
      <c r="EI42689"/>
      <c r="EJ42689"/>
      <c r="EK42689"/>
    </row>
    <row r="42690" spans="1:141" s="116" customFormat="1">
      <c r="A42690" s="136"/>
      <c r="CM42690" s="111"/>
      <c r="CQ42690" s="111"/>
      <c r="EF42690"/>
      <c r="EG42690"/>
      <c r="EH42690"/>
      <c r="EI42690"/>
      <c r="EJ42690"/>
      <c r="EK42690"/>
    </row>
    <row r="42691" spans="1:141" s="116" customFormat="1">
      <c r="A42691" s="136"/>
      <c r="CM42691" s="111"/>
      <c r="CQ42691" s="111"/>
      <c r="EF42691"/>
      <c r="EG42691"/>
      <c r="EH42691"/>
      <c r="EI42691"/>
      <c r="EJ42691"/>
      <c r="EK42691"/>
    </row>
    <row r="42692" spans="1:141" s="116" customFormat="1">
      <c r="A42692" s="136"/>
      <c r="CM42692" s="111"/>
      <c r="CQ42692" s="111"/>
      <c r="EF42692"/>
      <c r="EG42692"/>
      <c r="EH42692"/>
      <c r="EI42692"/>
      <c r="EJ42692"/>
      <c r="EK42692"/>
    </row>
    <row r="42693" spans="1:141" s="116" customFormat="1">
      <c r="A42693" s="136"/>
      <c r="CM42693" s="111"/>
      <c r="CQ42693" s="111"/>
      <c r="EF42693"/>
      <c r="EG42693"/>
      <c r="EH42693"/>
      <c r="EI42693"/>
      <c r="EJ42693"/>
      <c r="EK42693"/>
    </row>
    <row r="42694" spans="1:141" s="116" customFormat="1">
      <c r="A42694" s="136"/>
      <c r="CM42694" s="111"/>
      <c r="CQ42694" s="111"/>
      <c r="EF42694"/>
      <c r="EG42694"/>
      <c r="EH42694"/>
      <c r="EI42694"/>
      <c r="EJ42694"/>
      <c r="EK42694"/>
    </row>
    <row r="42695" spans="1:141" s="116" customFormat="1">
      <c r="A42695" s="136"/>
      <c r="CM42695" s="111"/>
      <c r="CQ42695" s="111"/>
      <c r="EF42695"/>
      <c r="EG42695"/>
      <c r="EH42695"/>
      <c r="EI42695"/>
      <c r="EJ42695"/>
      <c r="EK42695"/>
    </row>
    <row r="42696" spans="1:141" s="116" customFormat="1">
      <c r="A42696" s="136"/>
      <c r="CM42696" s="111"/>
      <c r="CQ42696" s="111"/>
      <c r="EF42696"/>
      <c r="EG42696"/>
      <c r="EH42696"/>
      <c r="EI42696"/>
      <c r="EJ42696"/>
      <c r="EK42696"/>
    </row>
    <row r="42697" spans="1:141" s="116" customFormat="1">
      <c r="A42697" s="136"/>
      <c r="CM42697" s="111"/>
      <c r="CQ42697" s="111"/>
      <c r="EF42697"/>
      <c r="EG42697"/>
      <c r="EH42697"/>
      <c r="EI42697"/>
      <c r="EJ42697"/>
      <c r="EK42697"/>
    </row>
    <row r="42698" spans="1:141" s="116" customFormat="1">
      <c r="A42698" s="136"/>
      <c r="CM42698" s="111"/>
      <c r="CQ42698" s="111"/>
      <c r="EF42698"/>
      <c r="EG42698"/>
      <c r="EH42698"/>
      <c r="EI42698"/>
      <c r="EJ42698"/>
      <c r="EK42698"/>
    </row>
    <row r="42699" spans="1:141" s="116" customFormat="1">
      <c r="A42699" s="136"/>
      <c r="CM42699" s="111"/>
      <c r="CQ42699" s="111"/>
      <c r="EF42699"/>
      <c r="EG42699"/>
      <c r="EH42699"/>
      <c r="EI42699"/>
      <c r="EJ42699"/>
      <c r="EK42699"/>
    </row>
    <row r="42700" spans="1:141" s="116" customFormat="1">
      <c r="A42700" s="136"/>
      <c r="CM42700" s="111"/>
      <c r="CQ42700" s="111"/>
      <c r="EF42700"/>
      <c r="EG42700"/>
      <c r="EH42700"/>
      <c r="EI42700"/>
      <c r="EJ42700"/>
      <c r="EK42700"/>
    </row>
    <row r="42701" spans="1:141" s="116" customFormat="1">
      <c r="A42701" s="136"/>
      <c r="CM42701" s="111"/>
      <c r="CQ42701" s="111"/>
      <c r="EF42701"/>
      <c r="EG42701"/>
      <c r="EH42701"/>
      <c r="EI42701"/>
      <c r="EJ42701"/>
      <c r="EK42701"/>
    </row>
    <row r="42702" spans="1:141" s="116" customFormat="1">
      <c r="A42702" s="136"/>
      <c r="CM42702" s="111"/>
      <c r="CQ42702" s="111"/>
      <c r="EF42702"/>
      <c r="EG42702"/>
      <c r="EH42702"/>
      <c r="EI42702"/>
      <c r="EJ42702"/>
      <c r="EK42702"/>
    </row>
    <row r="42703" spans="1:141" s="116" customFormat="1">
      <c r="A42703" s="136"/>
      <c r="CM42703" s="111"/>
      <c r="CQ42703" s="111"/>
      <c r="EF42703"/>
      <c r="EG42703"/>
      <c r="EH42703"/>
      <c r="EI42703"/>
      <c r="EJ42703"/>
      <c r="EK42703"/>
    </row>
    <row r="42704" spans="1:141" s="116" customFormat="1">
      <c r="A42704" s="136"/>
      <c r="CM42704" s="111"/>
      <c r="CQ42704" s="111"/>
      <c r="EF42704"/>
      <c r="EG42704"/>
      <c r="EH42704"/>
      <c r="EI42704"/>
      <c r="EJ42704"/>
      <c r="EK42704"/>
    </row>
    <row r="42705" spans="1:141" s="116" customFormat="1">
      <c r="A42705" s="136"/>
      <c r="CM42705" s="111"/>
      <c r="CQ42705" s="111"/>
      <c r="EF42705"/>
      <c r="EG42705"/>
      <c r="EH42705"/>
      <c r="EI42705"/>
      <c r="EJ42705"/>
      <c r="EK42705"/>
    </row>
    <row r="42706" spans="1:141" s="116" customFormat="1">
      <c r="A42706" s="136"/>
      <c r="CM42706" s="111"/>
      <c r="CQ42706" s="111"/>
      <c r="EF42706"/>
      <c r="EG42706"/>
      <c r="EH42706"/>
      <c r="EI42706"/>
      <c r="EJ42706"/>
      <c r="EK42706"/>
    </row>
    <row r="42707" spans="1:141" s="116" customFormat="1">
      <c r="A42707" s="136"/>
      <c r="CM42707" s="111"/>
      <c r="CQ42707" s="111"/>
      <c r="EF42707"/>
      <c r="EG42707"/>
      <c r="EH42707"/>
      <c r="EI42707"/>
      <c r="EJ42707"/>
      <c r="EK42707"/>
    </row>
    <row r="42708" spans="1:141" s="116" customFormat="1">
      <c r="A42708" s="136"/>
      <c r="CM42708" s="111"/>
      <c r="CQ42708" s="111"/>
      <c r="EF42708"/>
      <c r="EG42708"/>
      <c r="EH42708"/>
      <c r="EI42708"/>
      <c r="EJ42708"/>
      <c r="EK42708"/>
    </row>
    <row r="42709" spans="1:141" s="116" customFormat="1">
      <c r="A42709" s="136"/>
      <c r="CM42709" s="111"/>
      <c r="CQ42709" s="111"/>
      <c r="EF42709"/>
      <c r="EG42709"/>
      <c r="EH42709"/>
      <c r="EI42709"/>
      <c r="EJ42709"/>
      <c r="EK42709"/>
    </row>
    <row r="42710" spans="1:141" s="116" customFormat="1">
      <c r="A42710" s="136"/>
      <c r="CM42710" s="111"/>
      <c r="CQ42710" s="111"/>
      <c r="EF42710"/>
      <c r="EG42710"/>
      <c r="EH42710"/>
      <c r="EI42710"/>
      <c r="EJ42710"/>
      <c r="EK42710"/>
    </row>
    <row r="42711" spans="1:141" s="116" customFormat="1">
      <c r="A42711" s="136"/>
      <c r="CM42711" s="111"/>
      <c r="CQ42711" s="111"/>
      <c r="EF42711"/>
      <c r="EG42711"/>
      <c r="EH42711"/>
      <c r="EI42711"/>
      <c r="EJ42711"/>
      <c r="EK42711"/>
    </row>
    <row r="42712" spans="1:141" s="116" customFormat="1">
      <c r="A42712" s="136"/>
      <c r="CM42712" s="111"/>
      <c r="CQ42712" s="111"/>
      <c r="EF42712"/>
      <c r="EG42712"/>
      <c r="EH42712"/>
      <c r="EI42712"/>
      <c r="EJ42712"/>
      <c r="EK42712"/>
    </row>
    <row r="42713" spans="1:141" s="116" customFormat="1">
      <c r="A42713" s="136"/>
      <c r="CM42713" s="111"/>
      <c r="CQ42713" s="111"/>
      <c r="EF42713"/>
      <c r="EG42713"/>
      <c r="EH42713"/>
      <c r="EI42713"/>
      <c r="EJ42713"/>
      <c r="EK42713"/>
    </row>
    <row r="42714" spans="1:141" s="116" customFormat="1">
      <c r="A42714" s="136"/>
      <c r="CM42714" s="111"/>
      <c r="CQ42714" s="111"/>
      <c r="EF42714"/>
      <c r="EG42714"/>
      <c r="EH42714"/>
      <c r="EI42714"/>
      <c r="EJ42714"/>
      <c r="EK42714"/>
    </row>
    <row r="42715" spans="1:141" s="116" customFormat="1">
      <c r="A42715" s="136"/>
      <c r="CM42715" s="111"/>
      <c r="CQ42715" s="111"/>
      <c r="EF42715"/>
      <c r="EG42715"/>
      <c r="EH42715"/>
      <c r="EI42715"/>
      <c r="EJ42715"/>
      <c r="EK42715"/>
    </row>
    <row r="42716" spans="1:141" s="116" customFormat="1">
      <c r="A42716" s="136"/>
      <c r="CM42716" s="111"/>
      <c r="CQ42716" s="111"/>
      <c r="EF42716"/>
      <c r="EG42716"/>
      <c r="EH42716"/>
      <c r="EI42716"/>
      <c r="EJ42716"/>
      <c r="EK42716"/>
    </row>
    <row r="42717" spans="1:141" s="116" customFormat="1">
      <c r="A42717" s="136"/>
      <c r="CM42717" s="111"/>
      <c r="CQ42717" s="111"/>
      <c r="EF42717"/>
      <c r="EG42717"/>
      <c r="EH42717"/>
      <c r="EI42717"/>
      <c r="EJ42717"/>
      <c r="EK42717"/>
    </row>
    <row r="42718" spans="1:141" s="116" customFormat="1">
      <c r="A42718" s="136"/>
      <c r="CM42718" s="111"/>
      <c r="CQ42718" s="111"/>
      <c r="EF42718"/>
      <c r="EG42718"/>
      <c r="EH42718"/>
      <c r="EI42718"/>
      <c r="EJ42718"/>
      <c r="EK42718"/>
    </row>
    <row r="42719" spans="1:141" s="116" customFormat="1">
      <c r="A42719" s="136"/>
      <c r="CM42719" s="111"/>
      <c r="CQ42719" s="111"/>
      <c r="EF42719"/>
      <c r="EG42719"/>
      <c r="EH42719"/>
      <c r="EI42719"/>
      <c r="EJ42719"/>
      <c r="EK42719"/>
    </row>
    <row r="42720" spans="1:141" s="116" customFormat="1">
      <c r="A42720" s="136"/>
      <c r="CM42720" s="111"/>
      <c r="CQ42720" s="111"/>
      <c r="EF42720"/>
      <c r="EG42720"/>
      <c r="EH42720"/>
      <c r="EI42720"/>
      <c r="EJ42720"/>
      <c r="EK42720"/>
    </row>
    <row r="42721" spans="1:141" s="116" customFormat="1">
      <c r="A42721" s="136"/>
      <c r="CM42721" s="111"/>
      <c r="CQ42721" s="111"/>
      <c r="EF42721"/>
      <c r="EG42721"/>
      <c r="EH42721"/>
      <c r="EI42721"/>
      <c r="EJ42721"/>
      <c r="EK42721"/>
    </row>
    <row r="42722" spans="1:141" s="116" customFormat="1">
      <c r="A42722" s="136"/>
      <c r="CM42722" s="111"/>
      <c r="CQ42722" s="111"/>
      <c r="EF42722"/>
      <c r="EG42722"/>
      <c r="EH42722"/>
      <c r="EI42722"/>
      <c r="EJ42722"/>
      <c r="EK42722"/>
    </row>
    <row r="42723" spans="1:141" s="116" customFormat="1">
      <c r="A42723" s="136"/>
      <c r="CM42723" s="111"/>
      <c r="CQ42723" s="111"/>
      <c r="EF42723"/>
      <c r="EG42723"/>
      <c r="EH42723"/>
      <c r="EI42723"/>
      <c r="EJ42723"/>
      <c r="EK42723"/>
    </row>
    <row r="42724" spans="1:141" s="116" customFormat="1">
      <c r="A42724" s="136"/>
      <c r="CM42724" s="111"/>
      <c r="CQ42724" s="111"/>
      <c r="EF42724"/>
      <c r="EG42724"/>
      <c r="EH42724"/>
      <c r="EI42724"/>
      <c r="EJ42724"/>
      <c r="EK42724"/>
    </row>
    <row r="42725" spans="1:141" s="116" customFormat="1">
      <c r="A42725" s="136"/>
      <c r="CM42725" s="111"/>
      <c r="CQ42725" s="111"/>
      <c r="EF42725"/>
      <c r="EG42725"/>
      <c r="EH42725"/>
      <c r="EI42725"/>
      <c r="EJ42725"/>
      <c r="EK42725"/>
    </row>
    <row r="42726" spans="1:141" s="116" customFormat="1">
      <c r="A42726" s="136"/>
      <c r="CM42726" s="111"/>
      <c r="CQ42726" s="111"/>
      <c r="EF42726"/>
      <c r="EG42726"/>
      <c r="EH42726"/>
      <c r="EI42726"/>
      <c r="EJ42726"/>
      <c r="EK42726"/>
    </row>
    <row r="42727" spans="1:141" s="116" customFormat="1">
      <c r="A42727" s="136"/>
      <c r="CM42727" s="111"/>
      <c r="CQ42727" s="111"/>
      <c r="EF42727"/>
      <c r="EG42727"/>
      <c r="EH42727"/>
      <c r="EI42727"/>
      <c r="EJ42727"/>
      <c r="EK42727"/>
    </row>
    <row r="42728" spans="1:141" s="116" customFormat="1">
      <c r="A42728" s="136"/>
      <c r="CM42728" s="111"/>
      <c r="CQ42728" s="111"/>
      <c r="EF42728"/>
      <c r="EG42728"/>
      <c r="EH42728"/>
      <c r="EI42728"/>
      <c r="EJ42728"/>
      <c r="EK42728"/>
    </row>
    <row r="42729" spans="1:141" s="116" customFormat="1">
      <c r="A42729" s="136"/>
      <c r="CM42729" s="111"/>
      <c r="CQ42729" s="111"/>
      <c r="EF42729"/>
      <c r="EG42729"/>
      <c r="EH42729"/>
      <c r="EI42729"/>
      <c r="EJ42729"/>
      <c r="EK42729"/>
    </row>
    <row r="42730" spans="1:141" s="116" customFormat="1">
      <c r="A42730" s="136"/>
      <c r="CM42730" s="111"/>
      <c r="CQ42730" s="111"/>
      <c r="EF42730"/>
      <c r="EG42730"/>
      <c r="EH42730"/>
      <c r="EI42730"/>
      <c r="EJ42730"/>
      <c r="EK42730"/>
    </row>
    <row r="42731" spans="1:141" s="116" customFormat="1">
      <c r="A42731" s="136"/>
      <c r="CM42731" s="111"/>
      <c r="CQ42731" s="111"/>
      <c r="EF42731"/>
      <c r="EG42731"/>
      <c r="EH42731"/>
      <c r="EI42731"/>
      <c r="EJ42731"/>
      <c r="EK42731"/>
    </row>
    <row r="42732" spans="1:141" s="116" customFormat="1">
      <c r="A42732" s="136"/>
      <c r="CM42732" s="111"/>
      <c r="CQ42732" s="111"/>
      <c r="EF42732"/>
      <c r="EG42732"/>
      <c r="EH42732"/>
      <c r="EI42732"/>
      <c r="EJ42732"/>
      <c r="EK42732"/>
    </row>
    <row r="42733" spans="1:141" s="116" customFormat="1">
      <c r="A42733" s="136"/>
      <c r="CM42733" s="111"/>
      <c r="CQ42733" s="111"/>
      <c r="EF42733"/>
      <c r="EG42733"/>
      <c r="EH42733"/>
      <c r="EI42733"/>
      <c r="EJ42733"/>
      <c r="EK42733"/>
    </row>
    <row r="42734" spans="1:141" s="116" customFormat="1">
      <c r="A42734" s="136"/>
      <c r="CM42734" s="111"/>
      <c r="CQ42734" s="111"/>
      <c r="EF42734"/>
      <c r="EG42734"/>
      <c r="EH42734"/>
      <c r="EI42734"/>
      <c r="EJ42734"/>
      <c r="EK42734"/>
    </row>
    <row r="42735" spans="1:141" s="116" customFormat="1">
      <c r="A42735" s="136"/>
      <c r="CM42735" s="111"/>
      <c r="CQ42735" s="111"/>
      <c r="EF42735"/>
      <c r="EG42735"/>
      <c r="EH42735"/>
      <c r="EI42735"/>
      <c r="EJ42735"/>
      <c r="EK42735"/>
    </row>
    <row r="42736" spans="1:141" s="116" customFormat="1">
      <c r="A42736" s="136"/>
      <c r="CM42736" s="111"/>
      <c r="CQ42736" s="111"/>
      <c r="EF42736"/>
      <c r="EG42736"/>
      <c r="EH42736"/>
      <c r="EI42736"/>
      <c r="EJ42736"/>
      <c r="EK42736"/>
    </row>
    <row r="42737" spans="1:141" s="116" customFormat="1">
      <c r="A42737" s="136"/>
      <c r="CM42737" s="111"/>
      <c r="CQ42737" s="111"/>
      <c r="EF42737"/>
      <c r="EG42737"/>
      <c r="EH42737"/>
      <c r="EI42737"/>
      <c r="EJ42737"/>
      <c r="EK42737"/>
    </row>
    <row r="42738" spans="1:141" s="116" customFormat="1">
      <c r="A42738" s="136"/>
      <c r="CM42738" s="111"/>
      <c r="CQ42738" s="111"/>
      <c r="EF42738"/>
      <c r="EG42738"/>
      <c r="EH42738"/>
      <c r="EI42738"/>
      <c r="EJ42738"/>
      <c r="EK42738"/>
    </row>
    <row r="42739" spans="1:141" s="116" customFormat="1">
      <c r="A42739" s="136"/>
      <c r="CM42739" s="111"/>
      <c r="CQ42739" s="111"/>
      <c r="EF42739"/>
      <c r="EG42739"/>
      <c r="EH42739"/>
      <c r="EI42739"/>
      <c r="EJ42739"/>
      <c r="EK42739"/>
    </row>
    <row r="42740" spans="1:141" s="116" customFormat="1">
      <c r="A42740" s="136"/>
      <c r="CM42740" s="111"/>
      <c r="CQ42740" s="111"/>
      <c r="EF42740"/>
      <c r="EG42740"/>
      <c r="EH42740"/>
      <c r="EI42740"/>
      <c r="EJ42740"/>
      <c r="EK42740"/>
    </row>
    <row r="42741" spans="1:141" s="116" customFormat="1">
      <c r="A42741" s="136"/>
      <c r="CM42741" s="111"/>
      <c r="CQ42741" s="111"/>
      <c r="EF42741"/>
      <c r="EG42741"/>
      <c r="EH42741"/>
      <c r="EI42741"/>
      <c r="EJ42741"/>
      <c r="EK42741"/>
    </row>
    <row r="42742" spans="1:141" s="116" customFormat="1">
      <c r="A42742" s="136"/>
      <c r="CM42742" s="111"/>
      <c r="CQ42742" s="111"/>
      <c r="EF42742"/>
      <c r="EG42742"/>
      <c r="EH42742"/>
      <c r="EI42742"/>
      <c r="EJ42742"/>
      <c r="EK42742"/>
    </row>
    <row r="42743" spans="1:141" s="116" customFormat="1">
      <c r="A42743" s="136"/>
      <c r="CM42743" s="111"/>
      <c r="CQ42743" s="111"/>
      <c r="EF42743"/>
      <c r="EG42743"/>
      <c r="EH42743"/>
      <c r="EI42743"/>
      <c r="EJ42743"/>
      <c r="EK42743"/>
    </row>
    <row r="42744" spans="1:141" s="116" customFormat="1">
      <c r="A42744" s="136"/>
      <c r="CM42744" s="111"/>
      <c r="CQ42744" s="111"/>
      <c r="EF42744"/>
      <c r="EG42744"/>
      <c r="EH42744"/>
      <c r="EI42744"/>
      <c r="EJ42744"/>
      <c r="EK42744"/>
    </row>
    <row r="42745" spans="1:141" s="116" customFormat="1">
      <c r="A42745" s="136"/>
      <c r="CM42745" s="111"/>
      <c r="CQ42745" s="111"/>
      <c r="EF42745"/>
      <c r="EG42745"/>
      <c r="EH42745"/>
      <c r="EI42745"/>
      <c r="EJ42745"/>
      <c r="EK42745"/>
    </row>
    <row r="42746" spans="1:141" s="116" customFormat="1">
      <c r="A42746" s="136"/>
      <c r="CM42746" s="111"/>
      <c r="CQ42746" s="111"/>
      <c r="EF42746"/>
      <c r="EG42746"/>
      <c r="EH42746"/>
      <c r="EI42746"/>
      <c r="EJ42746"/>
      <c r="EK42746"/>
    </row>
    <row r="42747" spans="1:141" s="116" customFormat="1">
      <c r="A42747" s="136"/>
      <c r="CM42747" s="111"/>
      <c r="CQ42747" s="111"/>
      <c r="EF42747"/>
      <c r="EG42747"/>
      <c r="EH42747"/>
      <c r="EI42747"/>
      <c r="EJ42747"/>
      <c r="EK42747"/>
    </row>
    <row r="42748" spans="1:141" s="116" customFormat="1">
      <c r="A42748" s="136"/>
      <c r="CM42748" s="111"/>
      <c r="CQ42748" s="111"/>
      <c r="EF42748"/>
      <c r="EG42748"/>
      <c r="EH42748"/>
      <c r="EI42748"/>
      <c r="EJ42748"/>
      <c r="EK42748"/>
    </row>
    <row r="42749" spans="1:141" s="116" customFormat="1">
      <c r="A42749" s="136"/>
      <c r="CM42749" s="111"/>
      <c r="CQ42749" s="111"/>
      <c r="EF42749"/>
      <c r="EG42749"/>
      <c r="EH42749"/>
      <c r="EI42749"/>
      <c r="EJ42749"/>
      <c r="EK42749"/>
    </row>
    <row r="42750" spans="1:141" s="116" customFormat="1">
      <c r="A42750" s="136"/>
      <c r="CM42750" s="111"/>
      <c r="CQ42750" s="111"/>
      <c r="EF42750"/>
      <c r="EG42750"/>
      <c r="EH42750"/>
      <c r="EI42750"/>
      <c r="EJ42750"/>
      <c r="EK42750"/>
    </row>
    <row r="42751" spans="1:141" s="116" customFormat="1">
      <c r="A42751" s="136"/>
      <c r="CM42751" s="111"/>
      <c r="CQ42751" s="111"/>
      <c r="EF42751"/>
      <c r="EG42751"/>
      <c r="EH42751"/>
      <c r="EI42751"/>
      <c r="EJ42751"/>
      <c r="EK42751"/>
    </row>
    <row r="42752" spans="1:141" s="116" customFormat="1">
      <c r="A42752" s="136"/>
      <c r="CM42752" s="111"/>
      <c r="CQ42752" s="111"/>
      <c r="EF42752"/>
      <c r="EG42752"/>
      <c r="EH42752"/>
      <c r="EI42752"/>
      <c r="EJ42752"/>
      <c r="EK42752"/>
    </row>
    <row r="42753" spans="1:141" s="116" customFormat="1">
      <c r="A42753" s="136"/>
      <c r="CM42753" s="111"/>
      <c r="CQ42753" s="111"/>
      <c r="EF42753"/>
      <c r="EG42753"/>
      <c r="EH42753"/>
      <c r="EI42753"/>
      <c r="EJ42753"/>
      <c r="EK42753"/>
    </row>
    <row r="42754" spans="1:141" s="116" customFormat="1">
      <c r="A42754" s="136"/>
      <c r="CM42754" s="111"/>
      <c r="CQ42754" s="111"/>
      <c r="EF42754"/>
      <c r="EG42754"/>
      <c r="EH42754"/>
      <c r="EI42754"/>
      <c r="EJ42754"/>
      <c r="EK42754"/>
    </row>
    <row r="42755" spans="1:141" s="116" customFormat="1">
      <c r="A42755" s="136"/>
      <c r="CM42755" s="111"/>
      <c r="CQ42755" s="111"/>
      <c r="EF42755"/>
      <c r="EG42755"/>
      <c r="EH42755"/>
      <c r="EI42755"/>
      <c r="EJ42755"/>
      <c r="EK42755"/>
    </row>
    <row r="42756" spans="1:141" s="116" customFormat="1">
      <c r="A42756" s="136"/>
      <c r="CM42756" s="111"/>
      <c r="CQ42756" s="111"/>
      <c r="EF42756"/>
      <c r="EG42756"/>
      <c r="EH42756"/>
      <c r="EI42756"/>
      <c r="EJ42756"/>
      <c r="EK42756"/>
    </row>
    <row r="42757" spans="1:141" s="116" customFormat="1">
      <c r="A42757" s="136"/>
      <c r="CM42757" s="111"/>
      <c r="CQ42757" s="111"/>
      <c r="EF42757"/>
      <c r="EG42757"/>
      <c r="EH42757"/>
      <c r="EI42757"/>
      <c r="EJ42757"/>
      <c r="EK42757"/>
    </row>
    <row r="42758" spans="1:141" s="116" customFormat="1">
      <c r="A42758" s="136"/>
      <c r="CM42758" s="111"/>
      <c r="CQ42758" s="111"/>
      <c r="EF42758"/>
      <c r="EG42758"/>
      <c r="EH42758"/>
      <c r="EI42758"/>
      <c r="EJ42758"/>
      <c r="EK42758"/>
    </row>
    <row r="42759" spans="1:141" s="116" customFormat="1">
      <c r="A42759" s="136"/>
      <c r="CM42759" s="111"/>
      <c r="CQ42759" s="111"/>
      <c r="EF42759"/>
      <c r="EG42759"/>
      <c r="EH42759"/>
      <c r="EI42759"/>
      <c r="EJ42759"/>
      <c r="EK42759"/>
    </row>
    <row r="42760" spans="1:141" s="116" customFormat="1">
      <c r="A42760" s="136"/>
      <c r="CM42760" s="111"/>
      <c r="CQ42760" s="111"/>
      <c r="EF42760"/>
      <c r="EG42760"/>
      <c r="EH42760"/>
      <c r="EI42760"/>
      <c r="EJ42760"/>
      <c r="EK42760"/>
    </row>
    <row r="42761" spans="1:141" s="116" customFormat="1">
      <c r="A42761" s="136"/>
      <c r="CM42761" s="111"/>
      <c r="CQ42761" s="111"/>
      <c r="EF42761"/>
      <c r="EG42761"/>
      <c r="EH42761"/>
      <c r="EI42761"/>
      <c r="EJ42761"/>
      <c r="EK42761"/>
    </row>
    <row r="42762" spans="1:141" s="116" customFormat="1">
      <c r="A42762" s="136"/>
      <c r="CM42762" s="111"/>
      <c r="CQ42762" s="111"/>
      <c r="EF42762"/>
      <c r="EG42762"/>
      <c r="EH42762"/>
      <c r="EI42762"/>
      <c r="EJ42762"/>
      <c r="EK42762"/>
    </row>
    <row r="42763" spans="1:141" s="116" customFormat="1">
      <c r="A42763" s="136"/>
      <c r="CM42763" s="111"/>
      <c r="CQ42763" s="111"/>
      <c r="EF42763"/>
      <c r="EG42763"/>
      <c r="EH42763"/>
      <c r="EI42763"/>
      <c r="EJ42763"/>
      <c r="EK42763"/>
    </row>
    <row r="42764" spans="1:141" s="116" customFormat="1">
      <c r="A42764" s="136"/>
      <c r="CM42764" s="111"/>
      <c r="CQ42764" s="111"/>
      <c r="EF42764"/>
      <c r="EG42764"/>
      <c r="EH42764"/>
      <c r="EI42764"/>
      <c r="EJ42764"/>
      <c r="EK42764"/>
    </row>
    <row r="42765" spans="1:141" s="116" customFormat="1">
      <c r="A42765" s="136"/>
      <c r="CM42765" s="111"/>
      <c r="CQ42765" s="111"/>
      <c r="EF42765"/>
      <c r="EG42765"/>
      <c r="EH42765"/>
      <c r="EI42765"/>
      <c r="EJ42765"/>
      <c r="EK42765"/>
    </row>
    <row r="42766" spans="1:141" s="116" customFormat="1">
      <c r="A42766" s="136"/>
      <c r="CM42766" s="111"/>
      <c r="CQ42766" s="111"/>
      <c r="EF42766"/>
      <c r="EG42766"/>
      <c r="EH42766"/>
      <c r="EI42766"/>
      <c r="EJ42766"/>
      <c r="EK42766"/>
    </row>
    <row r="42767" spans="1:141" s="116" customFormat="1">
      <c r="A42767" s="136"/>
      <c r="CM42767" s="111"/>
      <c r="CQ42767" s="111"/>
      <c r="EF42767"/>
      <c r="EG42767"/>
      <c r="EH42767"/>
      <c r="EI42767"/>
      <c r="EJ42767"/>
      <c r="EK42767"/>
    </row>
    <row r="42768" spans="1:141" s="116" customFormat="1">
      <c r="A42768" s="136"/>
      <c r="CM42768" s="111"/>
      <c r="CQ42768" s="111"/>
      <c r="EF42768"/>
      <c r="EG42768"/>
      <c r="EH42768"/>
      <c r="EI42768"/>
      <c r="EJ42768"/>
      <c r="EK42768"/>
    </row>
    <row r="42769" spans="1:141" s="116" customFormat="1">
      <c r="A42769" s="136"/>
      <c r="CM42769" s="111"/>
      <c r="CQ42769" s="111"/>
      <c r="EF42769"/>
      <c r="EG42769"/>
      <c r="EH42769"/>
      <c r="EI42769"/>
      <c r="EJ42769"/>
      <c r="EK42769"/>
    </row>
    <row r="42770" spans="1:141" s="116" customFormat="1">
      <c r="A42770" s="136"/>
      <c r="CM42770" s="111"/>
      <c r="CQ42770" s="111"/>
      <c r="EF42770"/>
      <c r="EG42770"/>
      <c r="EH42770"/>
      <c r="EI42770"/>
      <c r="EJ42770"/>
      <c r="EK42770"/>
    </row>
    <row r="42771" spans="1:141" s="116" customFormat="1">
      <c r="A42771" s="136"/>
      <c r="CM42771" s="111"/>
      <c r="CQ42771" s="111"/>
      <c r="EF42771"/>
      <c r="EG42771"/>
      <c r="EH42771"/>
      <c r="EI42771"/>
      <c r="EJ42771"/>
      <c r="EK42771"/>
    </row>
    <row r="42772" spans="1:141" s="116" customFormat="1">
      <c r="A42772" s="136"/>
      <c r="CM42772" s="111"/>
      <c r="CQ42772" s="111"/>
      <c r="EF42772"/>
      <c r="EG42772"/>
      <c r="EH42772"/>
      <c r="EI42772"/>
      <c r="EJ42772"/>
      <c r="EK42772"/>
    </row>
    <row r="42773" spans="1:141" s="116" customFormat="1">
      <c r="A42773" s="136"/>
      <c r="CM42773" s="111"/>
      <c r="CQ42773" s="111"/>
      <c r="EF42773"/>
      <c r="EG42773"/>
      <c r="EH42773"/>
      <c r="EI42773"/>
      <c r="EJ42773"/>
      <c r="EK42773"/>
    </row>
    <row r="42774" spans="1:141" s="116" customFormat="1">
      <c r="A42774" s="136"/>
      <c r="CM42774" s="111"/>
      <c r="CQ42774" s="111"/>
      <c r="EF42774"/>
      <c r="EG42774"/>
      <c r="EH42774"/>
      <c r="EI42774"/>
      <c r="EJ42774"/>
      <c r="EK42774"/>
    </row>
    <row r="42775" spans="1:141" s="116" customFormat="1">
      <c r="A42775" s="136"/>
      <c r="CM42775" s="111"/>
      <c r="CQ42775" s="111"/>
      <c r="EF42775"/>
      <c r="EG42775"/>
      <c r="EH42775"/>
      <c r="EI42775"/>
      <c r="EJ42775"/>
      <c r="EK42775"/>
    </row>
    <row r="42776" spans="1:141" s="116" customFormat="1">
      <c r="A42776" s="136"/>
      <c r="CM42776" s="111"/>
      <c r="CQ42776" s="111"/>
      <c r="EF42776"/>
      <c r="EG42776"/>
      <c r="EH42776"/>
      <c r="EI42776"/>
      <c r="EJ42776"/>
      <c r="EK42776"/>
    </row>
    <row r="42777" spans="1:141" s="116" customFormat="1">
      <c r="A42777" s="136"/>
      <c r="CM42777" s="111"/>
      <c r="CQ42777" s="111"/>
      <c r="EF42777"/>
      <c r="EG42777"/>
      <c r="EH42777"/>
      <c r="EI42777"/>
      <c r="EJ42777"/>
      <c r="EK42777"/>
    </row>
    <row r="42778" spans="1:141" s="116" customFormat="1">
      <c r="A42778" s="136"/>
      <c r="CM42778" s="111"/>
      <c r="CQ42778" s="111"/>
      <c r="EF42778"/>
      <c r="EG42778"/>
      <c r="EH42778"/>
      <c r="EI42778"/>
      <c r="EJ42778"/>
      <c r="EK42778"/>
    </row>
    <row r="42779" spans="1:141" s="116" customFormat="1">
      <c r="A42779" s="136"/>
      <c r="CM42779" s="111"/>
      <c r="CQ42779" s="111"/>
      <c r="EF42779"/>
      <c r="EG42779"/>
      <c r="EH42779"/>
      <c r="EI42779"/>
      <c r="EJ42779"/>
      <c r="EK42779"/>
    </row>
    <row r="42780" spans="1:141" s="116" customFormat="1">
      <c r="A42780" s="136"/>
      <c r="CM42780" s="111"/>
      <c r="CQ42780" s="111"/>
      <c r="EF42780"/>
      <c r="EG42780"/>
      <c r="EH42780"/>
      <c r="EI42780"/>
      <c r="EJ42780"/>
      <c r="EK42780"/>
    </row>
    <row r="42781" spans="1:141" s="116" customFormat="1">
      <c r="A42781" s="136"/>
      <c r="CM42781" s="111"/>
      <c r="CQ42781" s="111"/>
      <c r="EF42781"/>
      <c r="EG42781"/>
      <c r="EH42781"/>
      <c r="EI42781"/>
      <c r="EJ42781"/>
      <c r="EK42781"/>
    </row>
    <row r="42782" spans="1:141" s="116" customFormat="1">
      <c r="A42782" s="136"/>
      <c r="CM42782" s="111"/>
      <c r="CQ42782" s="111"/>
      <c r="EF42782"/>
      <c r="EG42782"/>
      <c r="EH42782"/>
      <c r="EI42782"/>
      <c r="EJ42782"/>
      <c r="EK42782"/>
    </row>
    <row r="42783" spans="1:141" s="116" customFormat="1">
      <c r="A42783" s="136"/>
      <c r="CM42783" s="111"/>
      <c r="CQ42783" s="111"/>
      <c r="EF42783"/>
      <c r="EG42783"/>
      <c r="EH42783"/>
      <c r="EI42783"/>
      <c r="EJ42783"/>
      <c r="EK42783"/>
    </row>
    <row r="42784" spans="1:141" s="116" customFormat="1">
      <c r="A42784" s="136"/>
      <c r="CM42784" s="111"/>
      <c r="CQ42784" s="111"/>
      <c r="EF42784"/>
      <c r="EG42784"/>
      <c r="EH42784"/>
      <c r="EI42784"/>
      <c r="EJ42784"/>
      <c r="EK42784"/>
    </row>
    <row r="42785" spans="1:141" s="116" customFormat="1">
      <c r="A42785" s="136"/>
      <c r="CM42785" s="111"/>
      <c r="CQ42785" s="111"/>
      <c r="EF42785"/>
      <c r="EG42785"/>
      <c r="EH42785"/>
      <c r="EI42785"/>
      <c r="EJ42785"/>
      <c r="EK42785"/>
    </row>
    <row r="42786" spans="1:141" s="116" customFormat="1">
      <c r="A42786" s="136"/>
      <c r="CM42786" s="111"/>
      <c r="CQ42786" s="111"/>
      <c r="EF42786"/>
      <c r="EG42786"/>
      <c r="EH42786"/>
      <c r="EI42786"/>
      <c r="EJ42786"/>
      <c r="EK42786"/>
    </row>
    <row r="42787" spans="1:141" s="116" customFormat="1">
      <c r="A42787" s="136"/>
      <c r="CM42787" s="111"/>
      <c r="CQ42787" s="111"/>
      <c r="EF42787"/>
      <c r="EG42787"/>
      <c r="EH42787"/>
      <c r="EI42787"/>
      <c r="EJ42787"/>
      <c r="EK42787"/>
    </row>
    <row r="42788" spans="1:141" s="116" customFormat="1">
      <c r="A42788" s="136"/>
      <c r="CM42788" s="111"/>
      <c r="CQ42788" s="111"/>
      <c r="EF42788"/>
      <c r="EG42788"/>
      <c r="EH42788"/>
      <c r="EI42788"/>
      <c r="EJ42788"/>
      <c r="EK42788"/>
    </row>
    <row r="42789" spans="1:141" s="116" customFormat="1">
      <c r="A42789" s="136"/>
      <c r="CM42789" s="111"/>
      <c r="CQ42789" s="111"/>
      <c r="EF42789"/>
      <c r="EG42789"/>
      <c r="EH42789"/>
      <c r="EI42789"/>
      <c r="EJ42789"/>
      <c r="EK42789"/>
    </row>
    <row r="42790" spans="1:141" s="116" customFormat="1">
      <c r="A42790" s="136"/>
      <c r="CM42790" s="111"/>
      <c r="CQ42790" s="111"/>
      <c r="EF42790"/>
      <c r="EG42790"/>
      <c r="EH42790"/>
      <c r="EI42790"/>
      <c r="EJ42790"/>
      <c r="EK42790"/>
    </row>
    <row r="42791" spans="1:141" s="116" customFormat="1">
      <c r="A42791" s="136"/>
      <c r="CM42791" s="111"/>
      <c r="CQ42791" s="111"/>
      <c r="EF42791"/>
      <c r="EG42791"/>
      <c r="EH42791"/>
      <c r="EI42791"/>
      <c r="EJ42791"/>
      <c r="EK42791"/>
    </row>
    <row r="42792" spans="1:141" s="116" customFormat="1">
      <c r="A42792" s="136"/>
      <c r="CM42792" s="111"/>
      <c r="CQ42792" s="111"/>
      <c r="EF42792"/>
      <c r="EG42792"/>
      <c r="EH42792"/>
      <c r="EI42792"/>
      <c r="EJ42792"/>
      <c r="EK42792"/>
    </row>
    <row r="42793" spans="1:141" s="116" customFormat="1">
      <c r="A42793" s="136"/>
      <c r="CM42793" s="111"/>
      <c r="CQ42793" s="111"/>
      <c r="EF42793"/>
      <c r="EG42793"/>
      <c r="EH42793"/>
      <c r="EI42793"/>
      <c r="EJ42793"/>
      <c r="EK42793"/>
    </row>
    <row r="42794" spans="1:141" s="116" customFormat="1">
      <c r="A42794" s="136"/>
      <c r="CM42794" s="111"/>
      <c r="CQ42794" s="111"/>
      <c r="EF42794"/>
      <c r="EG42794"/>
      <c r="EH42794"/>
      <c r="EI42794"/>
      <c r="EJ42794"/>
      <c r="EK42794"/>
    </row>
    <row r="42795" spans="1:141" s="116" customFormat="1">
      <c r="A42795" s="136"/>
      <c r="CM42795" s="111"/>
      <c r="CQ42795" s="111"/>
      <c r="EF42795"/>
      <c r="EG42795"/>
      <c r="EH42795"/>
      <c r="EI42795"/>
      <c r="EJ42795"/>
      <c r="EK42795"/>
    </row>
    <row r="42796" spans="1:141" s="116" customFormat="1">
      <c r="A42796" s="136"/>
      <c r="CM42796" s="111"/>
      <c r="CQ42796" s="111"/>
      <c r="EF42796"/>
      <c r="EG42796"/>
      <c r="EH42796"/>
      <c r="EI42796"/>
      <c r="EJ42796"/>
      <c r="EK42796"/>
    </row>
    <row r="42797" spans="1:141" s="116" customFormat="1">
      <c r="A42797" s="136"/>
      <c r="CM42797" s="111"/>
      <c r="CQ42797" s="111"/>
      <c r="EF42797"/>
      <c r="EG42797"/>
      <c r="EH42797"/>
      <c r="EI42797"/>
      <c r="EJ42797"/>
      <c r="EK42797"/>
    </row>
    <row r="42798" spans="1:141" s="116" customFormat="1">
      <c r="A42798" s="136"/>
      <c r="CM42798" s="111"/>
      <c r="CQ42798" s="111"/>
      <c r="EF42798"/>
      <c r="EG42798"/>
      <c r="EH42798"/>
      <c r="EI42798"/>
      <c r="EJ42798"/>
      <c r="EK42798"/>
    </row>
    <row r="42799" spans="1:141" s="116" customFormat="1">
      <c r="A42799" s="136"/>
      <c r="CM42799" s="111"/>
      <c r="CQ42799" s="111"/>
      <c r="EF42799"/>
      <c r="EG42799"/>
      <c r="EH42799"/>
      <c r="EI42799"/>
      <c r="EJ42799"/>
      <c r="EK42799"/>
    </row>
    <row r="42800" spans="1:141" s="116" customFormat="1">
      <c r="A42800" s="136"/>
      <c r="CM42800" s="111"/>
      <c r="CQ42800" s="111"/>
      <c r="EF42800"/>
      <c r="EG42800"/>
      <c r="EH42800"/>
      <c r="EI42800"/>
      <c r="EJ42800"/>
      <c r="EK42800"/>
    </row>
    <row r="42801" spans="1:141" s="116" customFormat="1">
      <c r="A42801" s="136"/>
      <c r="CM42801" s="111"/>
      <c r="CQ42801" s="111"/>
      <c r="EF42801"/>
      <c r="EG42801"/>
      <c r="EH42801"/>
      <c r="EI42801"/>
      <c r="EJ42801"/>
      <c r="EK42801"/>
    </row>
    <row r="42802" spans="1:141" s="116" customFormat="1">
      <c r="A42802" s="136"/>
      <c r="CM42802" s="111"/>
      <c r="CQ42802" s="111"/>
      <c r="EF42802"/>
      <c r="EG42802"/>
      <c r="EH42802"/>
      <c r="EI42802"/>
      <c r="EJ42802"/>
      <c r="EK42802"/>
    </row>
    <row r="42803" spans="1:141" s="116" customFormat="1">
      <c r="A42803" s="136"/>
      <c r="CM42803" s="111"/>
      <c r="CQ42803" s="111"/>
      <c r="EF42803"/>
      <c r="EG42803"/>
      <c r="EH42803"/>
      <c r="EI42803"/>
      <c r="EJ42803"/>
      <c r="EK42803"/>
    </row>
    <row r="42804" spans="1:141" s="116" customFormat="1">
      <c r="A42804" s="136"/>
      <c r="CM42804" s="111"/>
      <c r="CQ42804" s="111"/>
      <c r="EF42804"/>
      <c r="EG42804"/>
      <c r="EH42804"/>
      <c r="EI42804"/>
      <c r="EJ42804"/>
      <c r="EK42804"/>
    </row>
    <row r="42805" spans="1:141" s="116" customFormat="1">
      <c r="A42805" s="136"/>
      <c r="CM42805" s="111"/>
      <c r="CQ42805" s="111"/>
      <c r="EF42805"/>
      <c r="EG42805"/>
      <c r="EH42805"/>
      <c r="EI42805"/>
      <c r="EJ42805"/>
      <c r="EK42805"/>
    </row>
    <row r="42806" spans="1:141" s="116" customFormat="1">
      <c r="A42806" s="136"/>
      <c r="CM42806" s="111"/>
      <c r="CQ42806" s="111"/>
      <c r="EF42806"/>
      <c r="EG42806"/>
      <c r="EH42806"/>
      <c r="EI42806"/>
      <c r="EJ42806"/>
      <c r="EK42806"/>
    </row>
    <row r="42807" spans="1:141" s="116" customFormat="1">
      <c r="A42807" s="136"/>
      <c r="CM42807" s="111"/>
      <c r="CQ42807" s="111"/>
      <c r="EF42807"/>
      <c r="EG42807"/>
      <c r="EH42807"/>
      <c r="EI42807"/>
      <c r="EJ42807"/>
      <c r="EK42807"/>
    </row>
    <row r="42808" spans="1:141" s="116" customFormat="1">
      <c r="A42808" s="136"/>
      <c r="CM42808" s="111"/>
      <c r="CQ42808" s="111"/>
      <c r="EF42808"/>
      <c r="EG42808"/>
      <c r="EH42808"/>
      <c r="EI42808"/>
      <c r="EJ42808"/>
      <c r="EK42808"/>
    </row>
    <row r="42809" spans="1:141" s="116" customFormat="1">
      <c r="A42809" s="136"/>
      <c r="CM42809" s="111"/>
      <c r="CQ42809" s="111"/>
      <c r="EF42809"/>
      <c r="EG42809"/>
      <c r="EH42809"/>
      <c r="EI42809"/>
      <c r="EJ42809"/>
      <c r="EK42809"/>
    </row>
    <row r="42810" spans="1:141" s="116" customFormat="1">
      <c r="A42810" s="136"/>
      <c r="CM42810" s="111"/>
      <c r="CQ42810" s="111"/>
      <c r="EF42810"/>
      <c r="EG42810"/>
      <c r="EH42810"/>
      <c r="EI42810"/>
      <c r="EJ42810"/>
      <c r="EK42810"/>
    </row>
    <row r="42811" spans="1:141" s="116" customFormat="1">
      <c r="A42811" s="136"/>
      <c r="CM42811" s="111"/>
      <c r="CQ42811" s="111"/>
      <c r="EF42811"/>
      <c r="EG42811"/>
      <c r="EH42811"/>
      <c r="EI42811"/>
      <c r="EJ42811"/>
      <c r="EK42811"/>
    </row>
    <row r="42812" spans="1:141" s="116" customFormat="1">
      <c r="A42812" s="136"/>
      <c r="CM42812" s="111"/>
      <c r="CQ42812" s="111"/>
      <c r="EF42812"/>
      <c r="EG42812"/>
      <c r="EH42812"/>
      <c r="EI42812"/>
      <c r="EJ42812"/>
      <c r="EK42812"/>
    </row>
    <row r="42813" spans="1:141" s="116" customFormat="1">
      <c r="A42813" s="136"/>
      <c r="CM42813" s="111"/>
      <c r="CQ42813" s="111"/>
      <c r="EF42813"/>
      <c r="EG42813"/>
      <c r="EH42813"/>
      <c r="EI42813"/>
      <c r="EJ42813"/>
      <c r="EK42813"/>
    </row>
    <row r="42814" spans="1:141" s="116" customFormat="1">
      <c r="A42814" s="136"/>
      <c r="CM42814" s="111"/>
      <c r="CQ42814" s="111"/>
      <c r="EF42814"/>
      <c r="EG42814"/>
      <c r="EH42814"/>
      <c r="EI42814"/>
      <c r="EJ42814"/>
      <c r="EK42814"/>
    </row>
    <row r="42815" spans="1:141" s="116" customFormat="1">
      <c r="A42815" s="136"/>
      <c r="CM42815" s="111"/>
      <c r="CQ42815" s="111"/>
      <c r="EF42815"/>
      <c r="EG42815"/>
      <c r="EH42815"/>
      <c r="EI42815"/>
      <c r="EJ42815"/>
      <c r="EK42815"/>
    </row>
    <row r="42816" spans="1:141" s="116" customFormat="1">
      <c r="A42816" s="136"/>
      <c r="CM42816" s="111"/>
      <c r="CQ42816" s="111"/>
      <c r="EF42816"/>
      <c r="EG42816"/>
      <c r="EH42816"/>
      <c r="EI42816"/>
      <c r="EJ42816"/>
      <c r="EK42816"/>
    </row>
    <row r="42817" spans="1:141" s="116" customFormat="1">
      <c r="A42817" s="136"/>
      <c r="CM42817" s="111"/>
      <c r="CQ42817" s="111"/>
      <c r="EF42817"/>
      <c r="EG42817"/>
      <c r="EH42817"/>
      <c r="EI42817"/>
      <c r="EJ42817"/>
      <c r="EK42817"/>
    </row>
    <row r="42818" spans="1:141" s="116" customFormat="1">
      <c r="A42818" s="136"/>
      <c r="CM42818" s="111"/>
      <c r="CQ42818" s="111"/>
      <c r="EF42818"/>
      <c r="EG42818"/>
      <c r="EH42818"/>
      <c r="EI42818"/>
      <c r="EJ42818"/>
      <c r="EK42818"/>
    </row>
    <row r="42819" spans="1:141" s="116" customFormat="1">
      <c r="A42819" s="136"/>
      <c r="CM42819" s="111"/>
      <c r="CQ42819" s="111"/>
      <c r="EF42819"/>
      <c r="EG42819"/>
      <c r="EH42819"/>
      <c r="EI42819"/>
      <c r="EJ42819"/>
      <c r="EK42819"/>
    </row>
    <row r="42820" spans="1:141" s="116" customFormat="1">
      <c r="A42820" s="136"/>
      <c r="CM42820" s="111"/>
      <c r="CQ42820" s="111"/>
      <c r="EF42820"/>
      <c r="EG42820"/>
      <c r="EH42820"/>
      <c r="EI42820"/>
      <c r="EJ42820"/>
      <c r="EK42820"/>
    </row>
    <row r="42821" spans="1:141" s="116" customFormat="1">
      <c r="A42821" s="136"/>
      <c r="CM42821" s="111"/>
      <c r="CQ42821" s="111"/>
      <c r="EF42821"/>
      <c r="EG42821"/>
      <c r="EH42821"/>
      <c r="EI42821"/>
      <c r="EJ42821"/>
      <c r="EK42821"/>
    </row>
    <row r="42822" spans="1:141" s="116" customFormat="1">
      <c r="A42822" s="136"/>
      <c r="CM42822" s="111"/>
      <c r="CQ42822" s="111"/>
      <c r="EF42822"/>
      <c r="EG42822"/>
      <c r="EH42822"/>
      <c r="EI42822"/>
      <c r="EJ42822"/>
      <c r="EK42822"/>
    </row>
    <row r="42823" spans="1:141" s="116" customFormat="1">
      <c r="A42823" s="136"/>
      <c r="CM42823" s="111"/>
      <c r="CQ42823" s="111"/>
      <c r="EF42823"/>
      <c r="EG42823"/>
      <c r="EH42823"/>
      <c r="EI42823"/>
      <c r="EJ42823"/>
      <c r="EK42823"/>
    </row>
    <row r="42824" spans="1:141" s="116" customFormat="1">
      <c r="A42824" s="136"/>
      <c r="CM42824" s="111"/>
      <c r="CQ42824" s="111"/>
      <c r="EF42824"/>
      <c r="EG42824"/>
      <c r="EH42824"/>
      <c r="EI42824"/>
      <c r="EJ42824"/>
      <c r="EK42824"/>
    </row>
    <row r="42825" spans="1:141" s="116" customFormat="1">
      <c r="A42825" s="136"/>
      <c r="CM42825" s="111"/>
      <c r="CQ42825" s="111"/>
      <c r="EF42825"/>
      <c r="EG42825"/>
      <c r="EH42825"/>
      <c r="EI42825"/>
      <c r="EJ42825"/>
      <c r="EK42825"/>
    </row>
    <row r="42826" spans="1:141" s="116" customFormat="1">
      <c r="A42826" s="136"/>
      <c r="CM42826" s="111"/>
      <c r="CQ42826" s="111"/>
      <c r="EF42826"/>
      <c r="EG42826"/>
      <c r="EH42826"/>
      <c r="EI42826"/>
      <c r="EJ42826"/>
      <c r="EK42826"/>
    </row>
    <row r="42827" spans="1:141" s="116" customFormat="1">
      <c r="A42827" s="136"/>
      <c r="CM42827" s="111"/>
      <c r="CQ42827" s="111"/>
      <c r="EF42827"/>
      <c r="EG42827"/>
      <c r="EH42827"/>
      <c r="EI42827"/>
      <c r="EJ42827"/>
      <c r="EK42827"/>
    </row>
    <row r="42828" spans="1:141" s="116" customFormat="1">
      <c r="A42828" s="136"/>
      <c r="CM42828" s="111"/>
      <c r="CQ42828" s="111"/>
      <c r="EF42828"/>
      <c r="EG42828"/>
      <c r="EH42828"/>
      <c r="EI42828"/>
      <c r="EJ42828"/>
      <c r="EK42828"/>
    </row>
    <row r="42829" spans="1:141" s="116" customFormat="1">
      <c r="A42829" s="136"/>
      <c r="CM42829" s="111"/>
      <c r="CQ42829" s="111"/>
      <c r="EF42829"/>
      <c r="EG42829"/>
      <c r="EH42829"/>
      <c r="EI42829"/>
      <c r="EJ42829"/>
      <c r="EK42829"/>
    </row>
    <row r="42830" spans="1:141" s="116" customFormat="1">
      <c r="A42830" s="136"/>
      <c r="CM42830" s="111"/>
      <c r="CQ42830" s="111"/>
      <c r="EF42830"/>
      <c r="EG42830"/>
      <c r="EH42830"/>
      <c r="EI42830"/>
      <c r="EJ42830"/>
      <c r="EK42830"/>
    </row>
    <row r="42831" spans="1:141" s="116" customFormat="1">
      <c r="A42831" s="136"/>
      <c r="CM42831" s="111"/>
      <c r="CQ42831" s="111"/>
      <c r="EF42831"/>
      <c r="EG42831"/>
      <c r="EH42831"/>
      <c r="EI42831"/>
      <c r="EJ42831"/>
      <c r="EK42831"/>
    </row>
    <row r="42832" spans="1:141" s="116" customFormat="1">
      <c r="A42832" s="136"/>
      <c r="CM42832" s="111"/>
      <c r="CQ42832" s="111"/>
      <c r="EF42832"/>
      <c r="EG42832"/>
      <c r="EH42832"/>
      <c r="EI42832"/>
      <c r="EJ42832"/>
      <c r="EK42832"/>
    </row>
    <row r="42833" spans="1:141" s="116" customFormat="1">
      <c r="A42833" s="136"/>
      <c r="CM42833" s="111"/>
      <c r="CQ42833" s="111"/>
      <c r="EF42833"/>
      <c r="EG42833"/>
      <c r="EH42833"/>
      <c r="EI42833"/>
      <c r="EJ42833"/>
      <c r="EK42833"/>
    </row>
    <row r="42834" spans="1:141" s="116" customFormat="1">
      <c r="A42834" s="136"/>
      <c r="CM42834" s="111"/>
      <c r="CQ42834" s="111"/>
      <c r="EF42834"/>
      <c r="EG42834"/>
      <c r="EH42834"/>
      <c r="EI42834"/>
      <c r="EJ42834"/>
      <c r="EK42834"/>
    </row>
    <row r="42835" spans="1:141" s="116" customFormat="1">
      <c r="A42835" s="136"/>
      <c r="CM42835" s="111"/>
      <c r="CQ42835" s="111"/>
      <c r="EF42835"/>
      <c r="EG42835"/>
      <c r="EH42835"/>
      <c r="EI42835"/>
      <c r="EJ42835"/>
      <c r="EK42835"/>
    </row>
    <row r="42836" spans="1:141" s="116" customFormat="1">
      <c r="A42836" s="136"/>
      <c r="CM42836" s="111"/>
      <c r="CQ42836" s="111"/>
      <c r="EF42836"/>
      <c r="EG42836"/>
      <c r="EH42836"/>
      <c r="EI42836"/>
      <c r="EJ42836"/>
      <c r="EK42836"/>
    </row>
    <row r="42837" spans="1:141" s="116" customFormat="1">
      <c r="A42837" s="136"/>
      <c r="CM42837" s="111"/>
      <c r="CQ42837" s="111"/>
      <c r="EF42837"/>
      <c r="EG42837"/>
      <c r="EH42837"/>
      <c r="EI42837"/>
      <c r="EJ42837"/>
      <c r="EK42837"/>
    </row>
    <row r="42838" spans="1:141" s="116" customFormat="1">
      <c r="A42838" s="136"/>
      <c r="CM42838" s="111"/>
      <c r="CQ42838" s="111"/>
      <c r="EF42838"/>
      <c r="EG42838"/>
      <c r="EH42838"/>
      <c r="EI42838"/>
      <c r="EJ42838"/>
      <c r="EK42838"/>
    </row>
    <row r="42839" spans="1:141" s="116" customFormat="1">
      <c r="A42839" s="136"/>
      <c r="CM42839" s="111"/>
      <c r="CQ42839" s="111"/>
      <c r="EF42839"/>
      <c r="EG42839"/>
      <c r="EH42839"/>
      <c r="EI42839"/>
      <c r="EJ42839"/>
      <c r="EK42839"/>
    </row>
    <row r="42840" spans="1:141" s="116" customFormat="1">
      <c r="A42840" s="136"/>
      <c r="CM42840" s="111"/>
      <c r="CQ42840" s="111"/>
      <c r="EF42840"/>
      <c r="EG42840"/>
      <c r="EH42840"/>
      <c r="EI42840"/>
      <c r="EJ42840"/>
      <c r="EK42840"/>
    </row>
    <row r="42841" spans="1:141" s="116" customFormat="1">
      <c r="A42841" s="136"/>
      <c r="CM42841" s="111"/>
      <c r="CQ42841" s="111"/>
      <c r="EF42841"/>
      <c r="EG42841"/>
      <c r="EH42841"/>
      <c r="EI42841"/>
      <c r="EJ42841"/>
      <c r="EK42841"/>
    </row>
    <row r="42842" spans="1:141" s="116" customFormat="1">
      <c r="A42842" s="136"/>
      <c r="CM42842" s="111"/>
      <c r="CQ42842" s="111"/>
      <c r="EF42842"/>
      <c r="EG42842"/>
      <c r="EH42842"/>
      <c r="EI42842"/>
      <c r="EJ42842"/>
      <c r="EK42842"/>
    </row>
    <row r="42843" spans="1:141" s="116" customFormat="1">
      <c r="A42843" s="136"/>
      <c r="CM42843" s="111"/>
      <c r="CQ42843" s="111"/>
      <c r="EF42843"/>
      <c r="EG42843"/>
      <c r="EH42843"/>
      <c r="EI42843"/>
      <c r="EJ42843"/>
      <c r="EK42843"/>
    </row>
    <row r="42844" spans="1:141" s="116" customFormat="1">
      <c r="A42844" s="136"/>
      <c r="CM42844" s="111"/>
      <c r="CQ42844" s="111"/>
      <c r="EF42844"/>
      <c r="EG42844"/>
      <c r="EH42844"/>
      <c r="EI42844"/>
      <c r="EJ42844"/>
      <c r="EK42844"/>
    </row>
    <row r="42845" spans="1:141" s="116" customFormat="1">
      <c r="A42845" s="136"/>
      <c r="CM42845" s="111"/>
      <c r="CQ42845" s="111"/>
      <c r="EF42845"/>
      <c r="EG42845"/>
      <c r="EH42845"/>
      <c r="EI42845"/>
      <c r="EJ42845"/>
      <c r="EK42845"/>
    </row>
    <row r="42846" spans="1:141" s="116" customFormat="1">
      <c r="A42846" s="136"/>
      <c r="CM42846" s="111"/>
      <c r="CQ42846" s="111"/>
      <c r="EF42846"/>
      <c r="EG42846"/>
      <c r="EH42846"/>
      <c r="EI42846"/>
      <c r="EJ42846"/>
      <c r="EK42846"/>
    </row>
    <row r="42847" spans="1:141" s="116" customFormat="1">
      <c r="A42847" s="136"/>
      <c r="CM42847" s="111"/>
      <c r="CQ42847" s="111"/>
      <c r="EF42847"/>
      <c r="EG42847"/>
      <c r="EH42847"/>
      <c r="EI42847"/>
      <c r="EJ42847"/>
      <c r="EK42847"/>
    </row>
    <row r="42848" spans="1:141" s="116" customFormat="1">
      <c r="A42848" s="136"/>
      <c r="CM42848" s="111"/>
      <c r="CQ42848" s="111"/>
      <c r="EF42848"/>
      <c r="EG42848"/>
      <c r="EH42848"/>
      <c r="EI42848"/>
      <c r="EJ42848"/>
      <c r="EK42848"/>
    </row>
    <row r="42849" spans="1:141" s="116" customFormat="1">
      <c r="A42849" s="136"/>
      <c r="CM42849" s="111"/>
      <c r="CQ42849" s="111"/>
      <c r="EF42849"/>
      <c r="EG42849"/>
      <c r="EH42849"/>
      <c r="EI42849"/>
      <c r="EJ42849"/>
      <c r="EK42849"/>
    </row>
    <row r="42850" spans="1:141" s="116" customFormat="1">
      <c r="A42850" s="136"/>
      <c r="CM42850" s="111"/>
      <c r="CQ42850" s="111"/>
      <c r="EF42850"/>
      <c r="EG42850"/>
      <c r="EH42850"/>
      <c r="EI42850"/>
      <c r="EJ42850"/>
      <c r="EK42850"/>
    </row>
    <row r="42851" spans="1:141" s="116" customFormat="1">
      <c r="A42851" s="136"/>
      <c r="CM42851" s="111"/>
      <c r="CQ42851" s="111"/>
      <c r="EF42851"/>
      <c r="EG42851"/>
      <c r="EH42851"/>
      <c r="EI42851"/>
      <c r="EJ42851"/>
      <c r="EK42851"/>
    </row>
    <row r="42852" spans="1:141" s="116" customFormat="1">
      <c r="A42852" s="136"/>
      <c r="CM42852" s="111"/>
      <c r="CQ42852" s="111"/>
      <c r="EF42852"/>
      <c r="EG42852"/>
      <c r="EH42852"/>
      <c r="EI42852"/>
      <c r="EJ42852"/>
      <c r="EK42852"/>
    </row>
    <row r="42853" spans="1:141" s="116" customFormat="1">
      <c r="A42853" s="136"/>
      <c r="CM42853" s="111"/>
      <c r="CQ42853" s="111"/>
      <c r="EF42853"/>
      <c r="EG42853"/>
      <c r="EH42853"/>
      <c r="EI42853"/>
      <c r="EJ42853"/>
      <c r="EK42853"/>
    </row>
    <row r="42854" spans="1:141" s="116" customFormat="1">
      <c r="A42854" s="136"/>
      <c r="CM42854" s="111"/>
      <c r="CQ42854" s="111"/>
      <c r="EF42854"/>
      <c r="EG42854"/>
      <c r="EH42854"/>
      <c r="EI42854"/>
      <c r="EJ42854"/>
      <c r="EK42854"/>
    </row>
    <row r="42855" spans="1:141" s="116" customFormat="1">
      <c r="A42855" s="136"/>
      <c r="CM42855" s="111"/>
      <c r="CQ42855" s="111"/>
      <c r="EF42855"/>
      <c r="EG42855"/>
      <c r="EH42855"/>
      <c r="EI42855"/>
      <c r="EJ42855"/>
      <c r="EK42855"/>
    </row>
    <row r="42856" spans="1:141" s="116" customFormat="1">
      <c r="A42856" s="136"/>
      <c r="CM42856" s="111"/>
      <c r="CQ42856" s="111"/>
      <c r="EF42856"/>
      <c r="EG42856"/>
      <c r="EH42856"/>
      <c r="EI42856"/>
      <c r="EJ42856"/>
      <c r="EK42856"/>
    </row>
    <row r="42857" spans="1:141" s="116" customFormat="1">
      <c r="A42857" s="136"/>
      <c r="CM42857" s="111"/>
      <c r="CQ42857" s="111"/>
      <c r="EF42857"/>
      <c r="EG42857"/>
      <c r="EH42857"/>
      <c r="EI42857"/>
      <c r="EJ42857"/>
      <c r="EK42857"/>
    </row>
    <row r="42858" spans="1:141" s="116" customFormat="1">
      <c r="A42858" s="136"/>
      <c r="CM42858" s="111"/>
      <c r="CQ42858" s="111"/>
      <c r="EF42858"/>
      <c r="EG42858"/>
      <c r="EH42858"/>
      <c r="EI42858"/>
      <c r="EJ42858"/>
      <c r="EK42858"/>
    </row>
    <row r="42859" spans="1:141" s="116" customFormat="1">
      <c r="A42859" s="136"/>
      <c r="CM42859" s="111"/>
      <c r="CQ42859" s="111"/>
      <c r="EF42859"/>
      <c r="EG42859"/>
      <c r="EH42859"/>
      <c r="EI42859"/>
      <c r="EJ42859"/>
      <c r="EK42859"/>
    </row>
    <row r="42860" spans="1:141" s="116" customFormat="1">
      <c r="A42860" s="136"/>
      <c r="CM42860" s="111"/>
      <c r="CQ42860" s="111"/>
      <c r="EF42860"/>
      <c r="EG42860"/>
      <c r="EH42860"/>
      <c r="EI42860"/>
      <c r="EJ42860"/>
      <c r="EK42860"/>
    </row>
    <row r="42861" spans="1:141" s="116" customFormat="1">
      <c r="A42861" s="136"/>
      <c r="CM42861" s="111"/>
      <c r="CQ42861" s="111"/>
      <c r="EF42861"/>
      <c r="EG42861"/>
      <c r="EH42861"/>
      <c r="EI42861"/>
      <c r="EJ42861"/>
      <c r="EK42861"/>
    </row>
    <row r="42862" spans="1:141" s="116" customFormat="1">
      <c r="A42862" s="136"/>
      <c r="CM42862" s="111"/>
      <c r="CQ42862" s="111"/>
      <c r="EF42862"/>
      <c r="EG42862"/>
      <c r="EH42862"/>
      <c r="EI42862"/>
      <c r="EJ42862"/>
      <c r="EK42862"/>
    </row>
    <row r="42863" spans="1:141" s="116" customFormat="1">
      <c r="A42863" s="136"/>
      <c r="CM42863" s="111"/>
      <c r="CQ42863" s="111"/>
      <c r="EF42863"/>
      <c r="EG42863"/>
      <c r="EH42863"/>
      <c r="EI42863"/>
      <c r="EJ42863"/>
      <c r="EK42863"/>
    </row>
    <row r="42864" spans="1:141" s="116" customFormat="1">
      <c r="A42864" s="136"/>
      <c r="CM42864" s="111"/>
      <c r="CQ42864" s="111"/>
      <c r="EF42864"/>
      <c r="EG42864"/>
      <c r="EH42864"/>
      <c r="EI42864"/>
      <c r="EJ42864"/>
      <c r="EK42864"/>
    </row>
    <row r="42865" spans="1:141" s="116" customFormat="1">
      <c r="A42865" s="136"/>
      <c r="CM42865" s="111"/>
      <c r="CQ42865" s="111"/>
      <c r="EF42865"/>
      <c r="EG42865"/>
      <c r="EH42865"/>
      <c r="EI42865"/>
      <c r="EJ42865"/>
      <c r="EK42865"/>
    </row>
    <row r="42866" spans="1:141" s="116" customFormat="1">
      <c r="A42866" s="136"/>
      <c r="CM42866" s="111"/>
      <c r="CQ42866" s="111"/>
      <c r="EF42866"/>
      <c r="EG42866"/>
      <c r="EH42866"/>
      <c r="EI42866"/>
      <c r="EJ42866"/>
      <c r="EK42866"/>
    </row>
    <row r="42867" spans="1:141" s="116" customFormat="1">
      <c r="A42867" s="136"/>
      <c r="CM42867" s="111"/>
      <c r="CQ42867" s="111"/>
      <c r="EF42867"/>
      <c r="EG42867"/>
      <c r="EH42867"/>
      <c r="EI42867"/>
      <c r="EJ42867"/>
      <c r="EK42867"/>
    </row>
    <row r="42868" spans="1:141" s="116" customFormat="1">
      <c r="A42868" s="136"/>
      <c r="CM42868" s="111"/>
      <c r="CQ42868" s="111"/>
      <c r="EF42868"/>
      <c r="EG42868"/>
      <c r="EH42868"/>
      <c r="EI42868"/>
      <c r="EJ42868"/>
      <c r="EK42868"/>
    </row>
    <row r="42869" spans="1:141" s="116" customFormat="1">
      <c r="A42869" s="136"/>
      <c r="CM42869" s="111"/>
      <c r="CQ42869" s="111"/>
      <c r="EF42869"/>
      <c r="EG42869"/>
      <c r="EH42869"/>
      <c r="EI42869"/>
      <c r="EJ42869"/>
      <c r="EK42869"/>
    </row>
    <row r="42870" spans="1:141" s="116" customFormat="1">
      <c r="A42870" s="136"/>
      <c r="CM42870" s="111"/>
      <c r="CQ42870" s="111"/>
      <c r="EF42870"/>
      <c r="EG42870"/>
      <c r="EH42870"/>
      <c r="EI42870"/>
      <c r="EJ42870"/>
      <c r="EK42870"/>
    </row>
    <row r="42871" spans="1:141" s="116" customFormat="1">
      <c r="A42871" s="136"/>
      <c r="CM42871" s="111"/>
      <c r="CQ42871" s="111"/>
      <c r="EF42871"/>
      <c r="EG42871"/>
      <c r="EH42871"/>
      <c r="EI42871"/>
      <c r="EJ42871"/>
      <c r="EK42871"/>
    </row>
    <row r="42872" spans="1:141" s="116" customFormat="1">
      <c r="A42872" s="136"/>
      <c r="CM42872" s="111"/>
      <c r="CQ42872" s="111"/>
      <c r="EF42872"/>
      <c r="EG42872"/>
      <c r="EH42872"/>
      <c r="EI42872"/>
      <c r="EJ42872"/>
      <c r="EK42872"/>
    </row>
    <row r="42873" spans="1:141" s="116" customFormat="1">
      <c r="A42873" s="136"/>
      <c r="CM42873" s="111"/>
      <c r="CQ42873" s="111"/>
      <c r="EF42873"/>
      <c r="EG42873"/>
      <c r="EH42873"/>
      <c r="EI42873"/>
      <c r="EJ42873"/>
      <c r="EK42873"/>
    </row>
    <row r="42874" spans="1:141" s="116" customFormat="1">
      <c r="A42874" s="136"/>
      <c r="CM42874" s="111"/>
      <c r="CQ42874" s="111"/>
      <c r="EF42874"/>
      <c r="EG42874"/>
      <c r="EH42874"/>
      <c r="EI42874"/>
      <c r="EJ42874"/>
      <c r="EK42874"/>
    </row>
    <row r="42875" spans="1:141" s="116" customFormat="1">
      <c r="A42875" s="136"/>
      <c r="CM42875" s="111"/>
      <c r="CQ42875" s="111"/>
      <c r="EF42875"/>
      <c r="EG42875"/>
      <c r="EH42875"/>
      <c r="EI42875"/>
      <c r="EJ42875"/>
      <c r="EK42875"/>
    </row>
    <row r="42876" spans="1:141" s="116" customFormat="1">
      <c r="A42876" s="136"/>
      <c r="CM42876" s="111"/>
      <c r="CQ42876" s="111"/>
      <c r="EF42876"/>
      <c r="EG42876"/>
      <c r="EH42876"/>
      <c r="EI42876"/>
      <c r="EJ42876"/>
      <c r="EK42876"/>
    </row>
    <row r="42877" spans="1:141" s="116" customFormat="1">
      <c r="A42877" s="136"/>
      <c r="CM42877" s="111"/>
      <c r="CQ42877" s="111"/>
      <c r="EF42877"/>
      <c r="EG42877"/>
      <c r="EH42877"/>
      <c r="EI42877"/>
      <c r="EJ42877"/>
      <c r="EK42877"/>
    </row>
    <row r="42878" spans="1:141" s="116" customFormat="1">
      <c r="A42878" s="136"/>
      <c r="CM42878" s="111"/>
      <c r="CQ42878" s="111"/>
      <c r="EF42878"/>
      <c r="EG42878"/>
      <c r="EH42878"/>
      <c r="EI42878"/>
      <c r="EJ42878"/>
      <c r="EK42878"/>
    </row>
    <row r="42879" spans="1:141" s="116" customFormat="1">
      <c r="A42879" s="136"/>
      <c r="CM42879" s="111"/>
      <c r="CQ42879" s="111"/>
      <c r="EF42879"/>
      <c r="EG42879"/>
      <c r="EH42879"/>
      <c r="EI42879"/>
      <c r="EJ42879"/>
      <c r="EK42879"/>
    </row>
    <row r="42880" spans="1:141" s="116" customFormat="1">
      <c r="A42880" s="136"/>
      <c r="CM42880" s="111"/>
      <c r="CQ42880" s="111"/>
      <c r="EF42880"/>
      <c r="EG42880"/>
      <c r="EH42880"/>
      <c r="EI42880"/>
      <c r="EJ42880"/>
      <c r="EK42880"/>
    </row>
    <row r="42881" spans="1:141" s="116" customFormat="1">
      <c r="A42881" s="136"/>
      <c r="CM42881" s="111"/>
      <c r="CQ42881" s="111"/>
      <c r="EF42881"/>
      <c r="EG42881"/>
      <c r="EH42881"/>
      <c r="EI42881"/>
      <c r="EJ42881"/>
      <c r="EK42881"/>
    </row>
    <row r="42882" spans="1:141" s="116" customFormat="1">
      <c r="A42882" s="136"/>
      <c r="CM42882" s="111"/>
      <c r="CQ42882" s="111"/>
      <c r="EF42882"/>
      <c r="EG42882"/>
      <c r="EH42882"/>
      <c r="EI42882"/>
      <c r="EJ42882"/>
      <c r="EK42882"/>
    </row>
    <row r="42883" spans="1:141" s="116" customFormat="1">
      <c r="A42883" s="136"/>
      <c r="CM42883" s="111"/>
      <c r="CQ42883" s="111"/>
      <c r="EF42883"/>
      <c r="EG42883"/>
      <c r="EH42883"/>
      <c r="EI42883"/>
      <c r="EJ42883"/>
      <c r="EK42883"/>
    </row>
    <row r="42884" spans="1:141" s="116" customFormat="1">
      <c r="A42884" s="136"/>
      <c r="CM42884" s="111"/>
      <c r="CQ42884" s="111"/>
      <c r="EF42884"/>
      <c r="EG42884"/>
      <c r="EH42884"/>
      <c r="EI42884"/>
      <c r="EJ42884"/>
      <c r="EK42884"/>
    </row>
    <row r="42885" spans="1:141" s="116" customFormat="1">
      <c r="A42885" s="136"/>
      <c r="CM42885" s="111"/>
      <c r="CQ42885" s="111"/>
      <c r="EF42885"/>
      <c r="EG42885"/>
      <c r="EH42885"/>
      <c r="EI42885"/>
      <c r="EJ42885"/>
      <c r="EK42885"/>
    </row>
    <row r="42886" spans="1:141" s="116" customFormat="1">
      <c r="A42886" s="136"/>
      <c r="CM42886" s="111"/>
      <c r="CQ42886" s="111"/>
      <c r="EF42886"/>
      <c r="EG42886"/>
      <c r="EH42886"/>
      <c r="EI42886"/>
      <c r="EJ42886"/>
      <c r="EK42886"/>
    </row>
    <row r="42887" spans="1:141" s="116" customFormat="1">
      <c r="A42887" s="136"/>
      <c r="CM42887" s="111"/>
      <c r="CQ42887" s="111"/>
      <c r="EF42887"/>
      <c r="EG42887"/>
      <c r="EH42887"/>
      <c r="EI42887"/>
      <c r="EJ42887"/>
      <c r="EK42887"/>
    </row>
    <row r="42888" spans="1:141" s="116" customFormat="1">
      <c r="A42888" s="136"/>
      <c r="CM42888" s="111"/>
      <c r="CQ42888" s="111"/>
      <c r="EF42888"/>
      <c r="EG42888"/>
      <c r="EH42888"/>
      <c r="EI42888"/>
      <c r="EJ42888"/>
      <c r="EK42888"/>
    </row>
    <row r="42889" spans="1:141" s="116" customFormat="1">
      <c r="A42889" s="136"/>
      <c r="CM42889" s="111"/>
      <c r="CQ42889" s="111"/>
      <c r="EF42889"/>
      <c r="EG42889"/>
      <c r="EH42889"/>
      <c r="EI42889"/>
      <c r="EJ42889"/>
      <c r="EK42889"/>
    </row>
    <row r="42890" spans="1:141" s="116" customFormat="1">
      <c r="A42890" s="136"/>
      <c r="CM42890" s="111"/>
      <c r="CQ42890" s="111"/>
      <c r="EF42890"/>
      <c r="EG42890"/>
      <c r="EH42890"/>
      <c r="EI42890"/>
      <c r="EJ42890"/>
      <c r="EK42890"/>
    </row>
    <row r="42891" spans="1:141" s="116" customFormat="1">
      <c r="A42891" s="136"/>
      <c r="CM42891" s="111"/>
      <c r="CQ42891" s="111"/>
      <c r="EF42891"/>
      <c r="EG42891"/>
      <c r="EH42891"/>
      <c r="EI42891"/>
      <c r="EJ42891"/>
      <c r="EK42891"/>
    </row>
    <row r="42892" spans="1:141" s="116" customFormat="1">
      <c r="A42892" s="136"/>
      <c r="CM42892" s="111"/>
      <c r="CQ42892" s="111"/>
      <c r="EF42892"/>
      <c r="EG42892"/>
      <c r="EH42892"/>
      <c r="EI42892"/>
      <c r="EJ42892"/>
      <c r="EK42892"/>
    </row>
    <row r="42893" spans="1:141" s="116" customFormat="1">
      <c r="A42893" s="136"/>
      <c r="CM42893" s="111"/>
      <c r="CQ42893" s="111"/>
      <c r="EF42893"/>
      <c r="EG42893"/>
      <c r="EH42893"/>
      <c r="EI42893"/>
      <c r="EJ42893"/>
      <c r="EK42893"/>
    </row>
    <row r="42894" spans="1:141" s="116" customFormat="1">
      <c r="A42894" s="136"/>
      <c r="CM42894" s="111"/>
      <c r="CQ42894" s="111"/>
      <c r="EF42894"/>
      <c r="EG42894"/>
      <c r="EH42894"/>
      <c r="EI42894"/>
      <c r="EJ42894"/>
      <c r="EK42894"/>
    </row>
    <row r="42895" spans="1:141" s="116" customFormat="1">
      <c r="A42895" s="136"/>
      <c r="CM42895" s="111"/>
      <c r="CQ42895" s="111"/>
      <c r="EF42895"/>
      <c r="EG42895"/>
      <c r="EH42895"/>
      <c r="EI42895"/>
      <c r="EJ42895"/>
      <c r="EK42895"/>
    </row>
    <row r="42896" spans="1:141" s="116" customFormat="1">
      <c r="A42896" s="136"/>
      <c r="CM42896" s="111"/>
      <c r="CQ42896" s="111"/>
      <c r="EF42896"/>
      <c r="EG42896"/>
      <c r="EH42896"/>
      <c r="EI42896"/>
      <c r="EJ42896"/>
      <c r="EK42896"/>
    </row>
    <row r="42897" spans="1:141" s="116" customFormat="1">
      <c r="A42897" s="136"/>
      <c r="CM42897" s="111"/>
      <c r="CQ42897" s="111"/>
      <c r="EF42897"/>
      <c r="EG42897"/>
      <c r="EH42897"/>
      <c r="EI42897"/>
      <c r="EJ42897"/>
      <c r="EK42897"/>
    </row>
    <row r="42898" spans="1:141" s="116" customFormat="1">
      <c r="A42898" s="136"/>
      <c r="CM42898" s="111"/>
      <c r="CQ42898" s="111"/>
      <c r="EF42898"/>
      <c r="EG42898"/>
      <c r="EH42898"/>
      <c r="EI42898"/>
      <c r="EJ42898"/>
      <c r="EK42898"/>
    </row>
    <row r="42899" spans="1:141" s="116" customFormat="1">
      <c r="A42899" s="136"/>
      <c r="CM42899" s="111"/>
      <c r="CQ42899" s="111"/>
      <c r="EF42899"/>
      <c r="EG42899"/>
      <c r="EH42899"/>
      <c r="EI42899"/>
      <c r="EJ42899"/>
      <c r="EK42899"/>
    </row>
    <row r="42900" spans="1:141" s="116" customFormat="1">
      <c r="A42900" s="136"/>
      <c r="CM42900" s="111"/>
      <c r="CQ42900" s="111"/>
      <c r="EF42900"/>
      <c r="EG42900"/>
      <c r="EH42900"/>
      <c r="EI42900"/>
      <c r="EJ42900"/>
      <c r="EK42900"/>
    </row>
    <row r="42901" spans="1:141" s="116" customFormat="1">
      <c r="A42901" s="136"/>
      <c r="CM42901" s="111"/>
      <c r="CQ42901" s="111"/>
      <c r="EF42901"/>
      <c r="EG42901"/>
      <c r="EH42901"/>
      <c r="EI42901"/>
      <c r="EJ42901"/>
      <c r="EK42901"/>
    </row>
    <row r="42902" spans="1:141" s="116" customFormat="1">
      <c r="A42902" s="136"/>
      <c r="CM42902" s="111"/>
      <c r="CQ42902" s="111"/>
      <c r="EF42902"/>
      <c r="EG42902"/>
      <c r="EH42902"/>
      <c r="EI42902"/>
      <c r="EJ42902"/>
      <c r="EK42902"/>
    </row>
    <row r="42903" spans="1:141" s="116" customFormat="1">
      <c r="A42903" s="136"/>
      <c r="CM42903" s="111"/>
      <c r="CQ42903" s="111"/>
      <c r="EF42903"/>
      <c r="EG42903"/>
      <c r="EH42903"/>
      <c r="EI42903"/>
      <c r="EJ42903"/>
      <c r="EK42903"/>
    </row>
    <row r="42904" spans="1:141" s="116" customFormat="1">
      <c r="A42904" s="136"/>
      <c r="CM42904" s="111"/>
      <c r="CQ42904" s="111"/>
      <c r="EF42904"/>
      <c r="EG42904"/>
      <c r="EH42904"/>
      <c r="EI42904"/>
      <c r="EJ42904"/>
      <c r="EK42904"/>
    </row>
    <row r="42905" spans="1:141" s="116" customFormat="1">
      <c r="A42905" s="136"/>
      <c r="CM42905" s="111"/>
      <c r="CQ42905" s="111"/>
      <c r="EF42905"/>
      <c r="EG42905"/>
      <c r="EH42905"/>
      <c r="EI42905"/>
      <c r="EJ42905"/>
      <c r="EK42905"/>
    </row>
    <row r="42906" spans="1:141" s="116" customFormat="1">
      <c r="A42906" s="136"/>
      <c r="CM42906" s="111"/>
      <c r="CQ42906" s="111"/>
      <c r="EF42906"/>
      <c r="EG42906"/>
      <c r="EH42906"/>
      <c r="EI42906"/>
      <c r="EJ42906"/>
      <c r="EK42906"/>
    </row>
    <row r="42907" spans="1:141" s="116" customFormat="1">
      <c r="A42907" s="136"/>
      <c r="CM42907" s="111"/>
      <c r="CQ42907" s="111"/>
      <c r="EF42907"/>
      <c r="EG42907"/>
      <c r="EH42907"/>
      <c r="EI42907"/>
      <c r="EJ42907"/>
      <c r="EK42907"/>
    </row>
    <row r="42908" spans="1:141" s="116" customFormat="1">
      <c r="A42908" s="136"/>
      <c r="CM42908" s="111"/>
      <c r="CQ42908" s="111"/>
      <c r="EF42908"/>
      <c r="EG42908"/>
      <c r="EH42908"/>
      <c r="EI42908"/>
      <c r="EJ42908"/>
      <c r="EK42908"/>
    </row>
    <row r="42909" spans="1:141" s="116" customFormat="1">
      <c r="A42909" s="136"/>
      <c r="CM42909" s="111"/>
      <c r="CQ42909" s="111"/>
      <c r="EF42909"/>
      <c r="EG42909"/>
      <c r="EH42909"/>
      <c r="EI42909"/>
      <c r="EJ42909"/>
      <c r="EK42909"/>
    </row>
    <row r="42910" spans="1:141" s="116" customFormat="1">
      <c r="A42910" s="136"/>
      <c r="CM42910" s="111"/>
      <c r="CQ42910" s="111"/>
      <c r="EF42910"/>
      <c r="EG42910"/>
      <c r="EH42910"/>
      <c r="EI42910"/>
      <c r="EJ42910"/>
      <c r="EK42910"/>
    </row>
    <row r="42911" spans="1:141" s="116" customFormat="1">
      <c r="A42911" s="136"/>
      <c r="CM42911" s="111"/>
      <c r="CQ42911" s="111"/>
      <c r="EF42911"/>
      <c r="EG42911"/>
      <c r="EH42911"/>
      <c r="EI42911"/>
      <c r="EJ42911"/>
      <c r="EK42911"/>
    </row>
    <row r="42912" spans="1:141" s="116" customFormat="1">
      <c r="A42912" s="136"/>
      <c r="CM42912" s="111"/>
      <c r="CQ42912" s="111"/>
      <c r="EF42912"/>
      <c r="EG42912"/>
      <c r="EH42912"/>
      <c r="EI42912"/>
      <c r="EJ42912"/>
      <c r="EK42912"/>
    </row>
    <row r="42913" spans="1:141" s="116" customFormat="1">
      <c r="A42913" s="136"/>
      <c r="CM42913" s="111"/>
      <c r="CQ42913" s="111"/>
      <c r="EF42913"/>
      <c r="EG42913"/>
      <c r="EH42913"/>
      <c r="EI42913"/>
      <c r="EJ42913"/>
      <c r="EK42913"/>
    </row>
    <row r="42914" spans="1:141" s="116" customFormat="1">
      <c r="A42914" s="136"/>
      <c r="CM42914" s="111"/>
      <c r="CQ42914" s="111"/>
      <c r="EF42914"/>
      <c r="EG42914"/>
      <c r="EH42914"/>
      <c r="EI42914"/>
      <c r="EJ42914"/>
      <c r="EK42914"/>
    </row>
    <row r="42915" spans="1:141" s="116" customFormat="1">
      <c r="A42915" s="136"/>
      <c r="CM42915" s="111"/>
      <c r="CQ42915" s="111"/>
      <c r="EF42915"/>
      <c r="EG42915"/>
      <c r="EH42915"/>
      <c r="EI42915"/>
      <c r="EJ42915"/>
      <c r="EK42915"/>
    </row>
    <row r="42916" spans="1:141" s="116" customFormat="1">
      <c r="A42916" s="136"/>
      <c r="CM42916" s="111"/>
      <c r="CQ42916" s="111"/>
      <c r="EF42916"/>
      <c r="EG42916"/>
      <c r="EH42916"/>
      <c r="EI42916"/>
      <c r="EJ42916"/>
      <c r="EK42916"/>
    </row>
    <row r="42917" spans="1:141" s="116" customFormat="1">
      <c r="A42917" s="136"/>
      <c r="CM42917" s="111"/>
      <c r="CQ42917" s="111"/>
      <c r="EF42917"/>
      <c r="EG42917"/>
      <c r="EH42917"/>
      <c r="EI42917"/>
      <c r="EJ42917"/>
      <c r="EK42917"/>
    </row>
    <row r="42918" spans="1:141" s="116" customFormat="1">
      <c r="A42918" s="136"/>
      <c r="CM42918" s="111"/>
      <c r="CQ42918" s="111"/>
      <c r="EF42918"/>
      <c r="EG42918"/>
      <c r="EH42918"/>
      <c r="EI42918"/>
      <c r="EJ42918"/>
      <c r="EK42918"/>
    </row>
    <row r="42919" spans="1:141" s="116" customFormat="1">
      <c r="A42919" s="136"/>
      <c r="CM42919" s="111"/>
      <c r="CQ42919" s="111"/>
      <c r="EF42919"/>
      <c r="EG42919"/>
      <c r="EH42919"/>
      <c r="EI42919"/>
      <c r="EJ42919"/>
      <c r="EK42919"/>
    </row>
    <row r="42920" spans="1:141" s="116" customFormat="1">
      <c r="A42920" s="136"/>
      <c r="CM42920" s="111"/>
      <c r="CQ42920" s="111"/>
      <c r="EF42920"/>
      <c r="EG42920"/>
      <c r="EH42920"/>
      <c r="EI42920"/>
      <c r="EJ42920"/>
      <c r="EK42920"/>
    </row>
    <row r="42921" spans="1:141" s="116" customFormat="1">
      <c r="A42921" s="136"/>
      <c r="CM42921" s="111"/>
      <c r="CQ42921" s="111"/>
      <c r="EF42921"/>
      <c r="EG42921"/>
      <c r="EH42921"/>
      <c r="EI42921"/>
      <c r="EJ42921"/>
      <c r="EK42921"/>
    </row>
    <row r="42922" spans="1:141" s="116" customFormat="1">
      <c r="A42922" s="136"/>
      <c r="CM42922" s="111"/>
      <c r="CQ42922" s="111"/>
      <c r="EF42922"/>
      <c r="EG42922"/>
      <c r="EH42922"/>
      <c r="EI42922"/>
      <c r="EJ42922"/>
      <c r="EK42922"/>
    </row>
    <row r="42923" spans="1:141" s="116" customFormat="1">
      <c r="A42923" s="136"/>
      <c r="CM42923" s="111"/>
      <c r="CQ42923" s="111"/>
      <c r="EF42923"/>
      <c r="EG42923"/>
      <c r="EH42923"/>
      <c r="EI42923"/>
      <c r="EJ42923"/>
      <c r="EK42923"/>
    </row>
    <row r="42924" spans="1:141" s="116" customFormat="1">
      <c r="A42924" s="136"/>
      <c r="CM42924" s="111"/>
      <c r="CQ42924" s="111"/>
      <c r="EF42924"/>
      <c r="EG42924"/>
      <c r="EH42924"/>
      <c r="EI42924"/>
      <c r="EJ42924"/>
      <c r="EK42924"/>
    </row>
    <row r="42925" spans="1:141" s="116" customFormat="1">
      <c r="A42925" s="136"/>
      <c r="CM42925" s="111"/>
      <c r="CQ42925" s="111"/>
      <c r="EF42925"/>
      <c r="EG42925"/>
      <c r="EH42925"/>
      <c r="EI42925"/>
      <c r="EJ42925"/>
      <c r="EK42925"/>
    </row>
    <row r="42926" spans="1:141" s="116" customFormat="1">
      <c r="A42926" s="136"/>
      <c r="CM42926" s="111"/>
      <c r="CQ42926" s="111"/>
      <c r="EF42926"/>
      <c r="EG42926"/>
      <c r="EH42926"/>
      <c r="EI42926"/>
      <c r="EJ42926"/>
      <c r="EK42926"/>
    </row>
    <row r="42927" spans="1:141" s="116" customFormat="1">
      <c r="A42927" s="136"/>
      <c r="CM42927" s="111"/>
      <c r="CQ42927" s="111"/>
      <c r="EF42927"/>
      <c r="EG42927"/>
      <c r="EH42927"/>
      <c r="EI42927"/>
      <c r="EJ42927"/>
      <c r="EK42927"/>
    </row>
    <row r="42928" spans="1:141" s="116" customFormat="1">
      <c r="A42928" s="136"/>
      <c r="CM42928" s="111"/>
      <c r="CQ42928" s="111"/>
      <c r="EF42928"/>
      <c r="EG42928"/>
      <c r="EH42928"/>
      <c r="EI42928"/>
      <c r="EJ42928"/>
      <c r="EK42928"/>
    </row>
    <row r="42929" spans="1:141" s="116" customFormat="1">
      <c r="A42929" s="136"/>
      <c r="CM42929" s="111"/>
      <c r="CQ42929" s="111"/>
      <c r="EF42929"/>
      <c r="EG42929"/>
      <c r="EH42929"/>
      <c r="EI42929"/>
      <c r="EJ42929"/>
      <c r="EK42929"/>
    </row>
    <row r="42930" spans="1:141" s="116" customFormat="1">
      <c r="A42930" s="136"/>
      <c r="CM42930" s="111"/>
      <c r="CQ42930" s="111"/>
      <c r="EF42930"/>
      <c r="EG42930"/>
      <c r="EH42930"/>
      <c r="EI42930"/>
      <c r="EJ42930"/>
      <c r="EK42930"/>
    </row>
    <row r="42931" spans="1:141" s="116" customFormat="1">
      <c r="A42931" s="136"/>
      <c r="CM42931" s="111"/>
      <c r="CQ42931" s="111"/>
      <c r="EF42931"/>
      <c r="EG42931"/>
      <c r="EH42931"/>
      <c r="EI42931"/>
      <c r="EJ42931"/>
      <c r="EK42931"/>
    </row>
    <row r="42932" spans="1:141" s="116" customFormat="1">
      <c r="A42932" s="136"/>
      <c r="CM42932" s="111"/>
      <c r="CQ42932" s="111"/>
      <c r="EF42932"/>
      <c r="EG42932"/>
      <c r="EH42932"/>
      <c r="EI42932"/>
      <c r="EJ42932"/>
      <c r="EK42932"/>
    </row>
    <row r="42933" spans="1:141" s="116" customFormat="1">
      <c r="A42933" s="136"/>
      <c r="CM42933" s="111"/>
      <c r="CQ42933" s="111"/>
      <c r="EF42933"/>
      <c r="EG42933"/>
      <c r="EH42933"/>
      <c r="EI42933"/>
      <c r="EJ42933"/>
      <c r="EK42933"/>
    </row>
    <row r="42934" spans="1:141" s="116" customFormat="1">
      <c r="A42934" s="136"/>
      <c r="CM42934" s="111"/>
      <c r="CQ42934" s="111"/>
      <c r="EF42934"/>
      <c r="EG42934"/>
      <c r="EH42934"/>
      <c r="EI42934"/>
      <c r="EJ42934"/>
      <c r="EK42934"/>
    </row>
    <row r="42935" spans="1:141" s="116" customFormat="1">
      <c r="A42935" s="136"/>
      <c r="CM42935" s="111"/>
      <c r="CQ42935" s="111"/>
      <c r="EF42935"/>
      <c r="EG42935"/>
      <c r="EH42935"/>
      <c r="EI42935"/>
      <c r="EJ42935"/>
      <c r="EK42935"/>
    </row>
    <row r="42936" spans="1:141" s="116" customFormat="1">
      <c r="A42936" s="136"/>
      <c r="CM42936" s="111"/>
      <c r="CQ42936" s="111"/>
      <c r="EF42936"/>
      <c r="EG42936"/>
      <c r="EH42936"/>
      <c r="EI42936"/>
      <c r="EJ42936"/>
      <c r="EK42936"/>
    </row>
    <row r="42937" spans="1:141" s="116" customFormat="1">
      <c r="A42937" s="136"/>
      <c r="CM42937" s="111"/>
      <c r="CQ42937" s="111"/>
      <c r="EF42937"/>
      <c r="EG42937"/>
      <c r="EH42937"/>
      <c r="EI42937"/>
      <c r="EJ42937"/>
      <c r="EK42937"/>
    </row>
    <row r="42938" spans="1:141" s="116" customFormat="1">
      <c r="A42938" s="136"/>
      <c r="CM42938" s="111"/>
      <c r="CQ42938" s="111"/>
      <c r="EF42938"/>
      <c r="EG42938"/>
      <c r="EH42938"/>
      <c r="EI42938"/>
      <c r="EJ42938"/>
      <c r="EK42938"/>
    </row>
    <row r="42939" spans="1:141" s="116" customFormat="1">
      <c r="A42939" s="136"/>
      <c r="CM42939" s="111"/>
      <c r="CQ42939" s="111"/>
      <c r="EF42939"/>
      <c r="EG42939"/>
      <c r="EH42939"/>
      <c r="EI42939"/>
      <c r="EJ42939"/>
      <c r="EK42939"/>
    </row>
    <row r="42940" spans="1:141" s="116" customFormat="1">
      <c r="A42940" s="136"/>
      <c r="CM42940" s="111"/>
      <c r="CQ42940" s="111"/>
      <c r="EF42940"/>
      <c r="EG42940"/>
      <c r="EH42940"/>
      <c r="EI42940"/>
      <c r="EJ42940"/>
      <c r="EK42940"/>
    </row>
    <row r="42941" spans="1:141" s="116" customFormat="1">
      <c r="A42941" s="136"/>
      <c r="CM42941" s="111"/>
      <c r="CQ42941" s="111"/>
      <c r="EF42941"/>
      <c r="EG42941"/>
      <c r="EH42941"/>
      <c r="EI42941"/>
      <c r="EJ42941"/>
      <c r="EK42941"/>
    </row>
    <row r="42942" spans="1:141" s="116" customFormat="1">
      <c r="A42942" s="136"/>
      <c r="CM42942" s="111"/>
      <c r="CQ42942" s="111"/>
      <c r="EF42942"/>
      <c r="EG42942"/>
      <c r="EH42942"/>
      <c r="EI42942"/>
      <c r="EJ42942"/>
      <c r="EK42942"/>
    </row>
    <row r="42943" spans="1:141" s="116" customFormat="1">
      <c r="A42943" s="136"/>
      <c r="CM42943" s="111"/>
      <c r="CQ42943" s="111"/>
      <c r="EF42943"/>
      <c r="EG42943"/>
      <c r="EH42943"/>
      <c r="EI42943"/>
      <c r="EJ42943"/>
      <c r="EK42943"/>
    </row>
    <row r="42944" spans="1:141" s="116" customFormat="1">
      <c r="A42944" s="136"/>
      <c r="CM42944" s="111"/>
      <c r="CQ42944" s="111"/>
      <c r="EF42944"/>
      <c r="EG42944"/>
      <c r="EH42944"/>
      <c r="EI42944"/>
      <c r="EJ42944"/>
      <c r="EK42944"/>
    </row>
    <row r="42945" spans="1:141" s="116" customFormat="1">
      <c r="A42945" s="136"/>
      <c r="CM42945" s="111"/>
      <c r="CQ42945" s="111"/>
      <c r="EF42945"/>
      <c r="EG42945"/>
      <c r="EH42945"/>
      <c r="EI42945"/>
      <c r="EJ42945"/>
      <c r="EK42945"/>
    </row>
    <row r="42946" spans="1:141" s="116" customFormat="1">
      <c r="A42946" s="136"/>
      <c r="CM42946" s="111"/>
      <c r="CQ42946" s="111"/>
      <c r="EF42946"/>
      <c r="EG42946"/>
      <c r="EH42946"/>
      <c r="EI42946"/>
      <c r="EJ42946"/>
      <c r="EK42946"/>
    </row>
    <row r="42947" spans="1:141" s="116" customFormat="1">
      <c r="A42947" s="136"/>
      <c r="CM42947" s="111"/>
      <c r="CQ42947" s="111"/>
      <c r="EF42947"/>
      <c r="EG42947"/>
      <c r="EH42947"/>
      <c r="EI42947"/>
      <c r="EJ42947"/>
      <c r="EK42947"/>
    </row>
    <row r="42948" spans="1:141" s="116" customFormat="1">
      <c r="A42948" s="136"/>
      <c r="CM42948" s="111"/>
      <c r="CQ42948" s="111"/>
      <c r="EF42948"/>
      <c r="EG42948"/>
      <c r="EH42948"/>
      <c r="EI42948"/>
      <c r="EJ42948"/>
      <c r="EK42948"/>
    </row>
    <row r="42949" spans="1:141" s="116" customFormat="1">
      <c r="A42949" s="136"/>
      <c r="CM42949" s="111"/>
      <c r="CQ42949" s="111"/>
      <c r="EF42949"/>
      <c r="EG42949"/>
      <c r="EH42949"/>
      <c r="EI42949"/>
      <c r="EJ42949"/>
      <c r="EK42949"/>
    </row>
    <row r="42950" spans="1:141" s="116" customFormat="1">
      <c r="A42950" s="136"/>
      <c r="CM42950" s="111"/>
      <c r="CQ42950" s="111"/>
      <c r="EF42950"/>
      <c r="EG42950"/>
      <c r="EH42950"/>
      <c r="EI42950"/>
      <c r="EJ42950"/>
      <c r="EK42950"/>
    </row>
    <row r="42951" spans="1:141" s="116" customFormat="1">
      <c r="A42951" s="136"/>
      <c r="CM42951" s="111"/>
      <c r="CQ42951" s="111"/>
      <c r="EF42951"/>
      <c r="EG42951"/>
      <c r="EH42951"/>
      <c r="EI42951"/>
      <c r="EJ42951"/>
      <c r="EK42951"/>
    </row>
    <row r="42952" spans="1:141" s="116" customFormat="1">
      <c r="A42952" s="136"/>
      <c r="CM42952" s="111"/>
      <c r="CQ42952" s="111"/>
      <c r="EF42952"/>
      <c r="EG42952"/>
      <c r="EH42952"/>
      <c r="EI42952"/>
      <c r="EJ42952"/>
      <c r="EK42952"/>
    </row>
    <row r="42953" spans="1:141" s="116" customFormat="1">
      <c r="A42953" s="136"/>
      <c r="CM42953" s="111"/>
      <c r="CQ42953" s="111"/>
      <c r="EF42953"/>
      <c r="EG42953"/>
      <c r="EH42953"/>
      <c r="EI42953"/>
      <c r="EJ42953"/>
      <c r="EK42953"/>
    </row>
    <row r="42954" spans="1:141" s="116" customFormat="1">
      <c r="A42954" s="136"/>
      <c r="CM42954" s="111"/>
      <c r="CQ42954" s="111"/>
      <c r="EF42954"/>
      <c r="EG42954"/>
      <c r="EH42954"/>
      <c r="EI42954"/>
      <c r="EJ42954"/>
      <c r="EK42954"/>
    </row>
    <row r="42955" spans="1:141" s="116" customFormat="1">
      <c r="A42955" s="136"/>
      <c r="CM42955" s="111"/>
      <c r="CQ42955" s="111"/>
      <c r="EF42955"/>
      <c r="EG42955"/>
      <c r="EH42955"/>
      <c r="EI42955"/>
      <c r="EJ42955"/>
      <c r="EK42955"/>
    </row>
    <row r="42956" spans="1:141" s="116" customFormat="1">
      <c r="A42956" s="136"/>
      <c r="CM42956" s="111"/>
      <c r="CQ42956" s="111"/>
      <c r="EF42956"/>
      <c r="EG42956"/>
      <c r="EH42956"/>
      <c r="EI42956"/>
      <c r="EJ42956"/>
      <c r="EK42956"/>
    </row>
    <row r="42957" spans="1:141" s="116" customFormat="1">
      <c r="A42957" s="136"/>
      <c r="CM42957" s="111"/>
      <c r="CQ42957" s="111"/>
      <c r="EF42957"/>
      <c r="EG42957"/>
      <c r="EH42957"/>
      <c r="EI42957"/>
      <c r="EJ42957"/>
      <c r="EK42957"/>
    </row>
    <row r="42958" spans="1:141" s="116" customFormat="1">
      <c r="A42958" s="136"/>
      <c r="CM42958" s="111"/>
      <c r="CQ42958" s="111"/>
      <c r="EF42958"/>
      <c r="EG42958"/>
      <c r="EH42958"/>
      <c r="EI42958"/>
      <c r="EJ42958"/>
      <c r="EK42958"/>
    </row>
    <row r="42959" spans="1:141" s="116" customFormat="1">
      <c r="A42959" s="136"/>
      <c r="CM42959" s="111"/>
      <c r="CQ42959" s="111"/>
      <c r="EF42959"/>
      <c r="EG42959"/>
      <c r="EH42959"/>
      <c r="EI42959"/>
      <c r="EJ42959"/>
      <c r="EK42959"/>
    </row>
    <row r="42960" spans="1:141" s="116" customFormat="1">
      <c r="A42960" s="136"/>
      <c r="CM42960" s="111"/>
      <c r="CQ42960" s="111"/>
      <c r="EF42960"/>
      <c r="EG42960"/>
      <c r="EH42960"/>
      <c r="EI42960"/>
      <c r="EJ42960"/>
      <c r="EK42960"/>
    </row>
    <row r="42961" spans="1:141" s="116" customFormat="1">
      <c r="A42961" s="136"/>
      <c r="CM42961" s="111"/>
      <c r="CQ42961" s="111"/>
      <c r="EF42961"/>
      <c r="EG42961"/>
      <c r="EH42961"/>
      <c r="EI42961"/>
      <c r="EJ42961"/>
      <c r="EK42961"/>
    </row>
    <row r="42962" spans="1:141" s="116" customFormat="1">
      <c r="A42962" s="136"/>
      <c r="CM42962" s="111"/>
      <c r="CQ42962" s="111"/>
      <c r="EF42962"/>
      <c r="EG42962"/>
      <c r="EH42962"/>
      <c r="EI42962"/>
      <c r="EJ42962"/>
      <c r="EK42962"/>
    </row>
    <row r="42963" spans="1:141" s="116" customFormat="1">
      <c r="A42963" s="136"/>
      <c r="CM42963" s="111"/>
      <c r="CQ42963" s="111"/>
      <c r="EF42963"/>
      <c r="EG42963"/>
      <c r="EH42963"/>
      <c r="EI42963"/>
      <c r="EJ42963"/>
      <c r="EK42963"/>
    </row>
    <row r="42964" spans="1:141" s="116" customFormat="1">
      <c r="A42964" s="136"/>
      <c r="CM42964" s="111"/>
      <c r="CQ42964" s="111"/>
      <c r="EF42964"/>
      <c r="EG42964"/>
      <c r="EH42964"/>
      <c r="EI42964"/>
      <c r="EJ42964"/>
      <c r="EK42964"/>
    </row>
    <row r="42965" spans="1:141" s="116" customFormat="1">
      <c r="A42965" s="136"/>
      <c r="CM42965" s="111"/>
      <c r="CQ42965" s="111"/>
      <c r="EF42965"/>
      <c r="EG42965"/>
      <c r="EH42965"/>
      <c r="EI42965"/>
      <c r="EJ42965"/>
      <c r="EK42965"/>
    </row>
    <row r="42966" spans="1:141" s="116" customFormat="1">
      <c r="A42966" s="136"/>
      <c r="CM42966" s="111"/>
      <c r="CQ42966" s="111"/>
      <c r="EF42966"/>
      <c r="EG42966"/>
      <c r="EH42966"/>
      <c r="EI42966"/>
      <c r="EJ42966"/>
      <c r="EK42966"/>
    </row>
    <row r="42967" spans="1:141" s="116" customFormat="1">
      <c r="A42967" s="136"/>
      <c r="CM42967" s="111"/>
      <c r="CQ42967" s="111"/>
      <c r="EF42967"/>
      <c r="EG42967"/>
      <c r="EH42967"/>
      <c r="EI42967"/>
      <c r="EJ42967"/>
      <c r="EK42967"/>
    </row>
    <row r="42968" spans="1:141" s="116" customFormat="1">
      <c r="A42968" s="136"/>
      <c r="CM42968" s="111"/>
      <c r="CQ42968" s="111"/>
      <c r="EF42968"/>
      <c r="EG42968"/>
      <c r="EH42968"/>
      <c r="EI42968"/>
      <c r="EJ42968"/>
      <c r="EK42968"/>
    </row>
    <row r="42969" spans="1:141" s="116" customFormat="1">
      <c r="A42969" s="136"/>
      <c r="CM42969" s="111"/>
      <c r="CQ42969" s="111"/>
      <c r="EF42969"/>
      <c r="EG42969"/>
      <c r="EH42969"/>
      <c r="EI42969"/>
      <c r="EJ42969"/>
      <c r="EK42969"/>
    </row>
    <row r="42970" spans="1:141" s="116" customFormat="1">
      <c r="A42970" s="136"/>
      <c r="CM42970" s="111"/>
      <c r="CQ42970" s="111"/>
      <c r="EF42970"/>
      <c r="EG42970"/>
      <c r="EH42970"/>
      <c r="EI42970"/>
      <c r="EJ42970"/>
      <c r="EK42970"/>
    </row>
    <row r="42971" spans="1:141" s="116" customFormat="1">
      <c r="A42971" s="136"/>
      <c r="CM42971" s="111"/>
      <c r="CQ42971" s="111"/>
      <c r="EF42971"/>
      <c r="EG42971"/>
      <c r="EH42971"/>
      <c r="EI42971"/>
      <c r="EJ42971"/>
      <c r="EK42971"/>
    </row>
    <row r="42972" spans="1:141" s="116" customFormat="1">
      <c r="A42972" s="136"/>
      <c r="CM42972" s="111"/>
      <c r="CQ42972" s="111"/>
      <c r="EF42972"/>
      <c r="EG42972"/>
      <c r="EH42972"/>
      <c r="EI42972"/>
      <c r="EJ42972"/>
      <c r="EK42972"/>
    </row>
    <row r="42973" spans="1:141" s="116" customFormat="1">
      <c r="A42973" s="136"/>
      <c r="CM42973" s="111"/>
      <c r="CQ42973" s="111"/>
      <c r="EF42973"/>
      <c r="EG42973"/>
      <c r="EH42973"/>
      <c r="EI42973"/>
      <c r="EJ42973"/>
      <c r="EK42973"/>
    </row>
    <row r="42974" spans="1:141" s="116" customFormat="1">
      <c r="A42974" s="136"/>
      <c r="CM42974" s="111"/>
      <c r="CQ42974" s="111"/>
      <c r="EF42974"/>
      <c r="EG42974"/>
      <c r="EH42974"/>
      <c r="EI42974"/>
      <c r="EJ42974"/>
      <c r="EK42974"/>
    </row>
    <row r="42975" spans="1:141" s="116" customFormat="1">
      <c r="A42975" s="136"/>
      <c r="CM42975" s="111"/>
      <c r="CQ42975" s="111"/>
      <c r="EF42975"/>
      <c r="EG42975"/>
      <c r="EH42975"/>
      <c r="EI42975"/>
      <c r="EJ42975"/>
      <c r="EK42975"/>
    </row>
    <row r="42976" spans="1:141" s="116" customFormat="1">
      <c r="A42976" s="136"/>
      <c r="CM42976" s="111"/>
      <c r="CQ42976" s="111"/>
      <c r="EF42976"/>
      <c r="EG42976"/>
      <c r="EH42976"/>
      <c r="EI42976"/>
      <c r="EJ42976"/>
      <c r="EK42976"/>
    </row>
    <row r="42977" spans="1:141" s="116" customFormat="1">
      <c r="A42977" s="136"/>
      <c r="CM42977" s="111"/>
      <c r="CQ42977" s="111"/>
      <c r="EF42977"/>
      <c r="EG42977"/>
      <c r="EH42977"/>
      <c r="EI42977"/>
      <c r="EJ42977"/>
      <c r="EK42977"/>
    </row>
    <row r="42978" spans="1:141" s="116" customFormat="1">
      <c r="A42978" s="136"/>
      <c r="CM42978" s="111"/>
      <c r="CQ42978" s="111"/>
      <c r="EF42978"/>
      <c r="EG42978"/>
      <c r="EH42978"/>
      <c r="EI42978"/>
      <c r="EJ42978"/>
      <c r="EK42978"/>
    </row>
    <row r="42979" spans="1:141" s="116" customFormat="1">
      <c r="A42979" s="136"/>
      <c r="CM42979" s="111"/>
      <c r="CQ42979" s="111"/>
      <c r="EF42979"/>
      <c r="EG42979"/>
      <c r="EH42979"/>
      <c r="EI42979"/>
      <c r="EJ42979"/>
      <c r="EK42979"/>
    </row>
    <row r="42980" spans="1:141" s="116" customFormat="1">
      <c r="A42980" s="136"/>
      <c r="CM42980" s="111"/>
      <c r="CQ42980" s="111"/>
      <c r="EF42980"/>
      <c r="EG42980"/>
      <c r="EH42980"/>
      <c r="EI42980"/>
      <c r="EJ42980"/>
      <c r="EK42980"/>
    </row>
    <row r="42981" spans="1:141" s="116" customFormat="1">
      <c r="A42981" s="136"/>
      <c r="CM42981" s="111"/>
      <c r="CQ42981" s="111"/>
      <c r="EF42981"/>
      <c r="EG42981"/>
      <c r="EH42981"/>
      <c r="EI42981"/>
      <c r="EJ42981"/>
      <c r="EK42981"/>
    </row>
    <row r="42982" spans="1:141" s="116" customFormat="1">
      <c r="A42982" s="136"/>
      <c r="CM42982" s="111"/>
      <c r="CQ42982" s="111"/>
      <c r="EF42982"/>
      <c r="EG42982"/>
      <c r="EH42982"/>
      <c r="EI42982"/>
      <c r="EJ42982"/>
      <c r="EK42982"/>
    </row>
    <row r="42983" spans="1:141" s="116" customFormat="1">
      <c r="A42983" s="136"/>
      <c r="CM42983" s="111"/>
      <c r="CQ42983" s="111"/>
      <c r="EF42983"/>
      <c r="EG42983"/>
      <c r="EH42983"/>
      <c r="EI42983"/>
      <c r="EJ42983"/>
      <c r="EK42983"/>
    </row>
    <row r="42984" spans="1:141" s="116" customFormat="1">
      <c r="A42984" s="136"/>
      <c r="CM42984" s="111"/>
      <c r="CQ42984" s="111"/>
      <c r="EF42984"/>
      <c r="EG42984"/>
      <c r="EH42984"/>
      <c r="EI42984"/>
      <c r="EJ42984"/>
      <c r="EK42984"/>
    </row>
    <row r="42985" spans="1:141" s="116" customFormat="1">
      <c r="A42985" s="136"/>
      <c r="CM42985" s="111"/>
      <c r="CQ42985" s="111"/>
      <c r="EF42985"/>
      <c r="EG42985"/>
      <c r="EH42985"/>
      <c r="EI42985"/>
      <c r="EJ42985"/>
      <c r="EK42985"/>
    </row>
    <row r="42986" spans="1:141" s="116" customFormat="1">
      <c r="A42986" s="136"/>
      <c r="CM42986" s="111"/>
      <c r="CQ42986" s="111"/>
      <c r="EF42986"/>
      <c r="EG42986"/>
      <c r="EH42986"/>
      <c r="EI42986"/>
      <c r="EJ42986"/>
      <c r="EK42986"/>
    </row>
    <row r="42987" spans="1:141" s="116" customFormat="1">
      <c r="A42987" s="136"/>
      <c r="CM42987" s="111"/>
      <c r="CQ42987" s="111"/>
      <c r="EF42987"/>
      <c r="EG42987"/>
      <c r="EH42987"/>
      <c r="EI42987"/>
      <c r="EJ42987"/>
      <c r="EK42987"/>
    </row>
    <row r="42988" spans="1:141" s="116" customFormat="1">
      <c r="A42988" s="136"/>
      <c r="CM42988" s="111"/>
      <c r="CQ42988" s="111"/>
      <c r="EF42988"/>
      <c r="EG42988"/>
      <c r="EH42988"/>
      <c r="EI42988"/>
      <c r="EJ42988"/>
      <c r="EK42988"/>
    </row>
    <row r="42989" spans="1:141" s="116" customFormat="1">
      <c r="A42989" s="136"/>
      <c r="CM42989" s="111"/>
      <c r="CQ42989" s="111"/>
      <c r="EF42989"/>
      <c r="EG42989"/>
      <c r="EH42989"/>
      <c r="EI42989"/>
      <c r="EJ42989"/>
      <c r="EK42989"/>
    </row>
    <row r="42990" spans="1:141" s="116" customFormat="1">
      <c r="A42990" s="136"/>
      <c r="CM42990" s="111"/>
      <c r="CQ42990" s="111"/>
      <c r="EF42990"/>
      <c r="EG42990"/>
      <c r="EH42990"/>
      <c r="EI42990"/>
      <c r="EJ42990"/>
      <c r="EK42990"/>
    </row>
    <row r="42991" spans="1:141" s="116" customFormat="1">
      <c r="A42991" s="136"/>
      <c r="CM42991" s="111"/>
      <c r="CQ42991" s="111"/>
      <c r="EF42991"/>
      <c r="EG42991"/>
      <c r="EH42991"/>
      <c r="EI42991"/>
      <c r="EJ42991"/>
      <c r="EK42991"/>
    </row>
    <row r="42992" spans="1:141" s="116" customFormat="1">
      <c r="A42992" s="136"/>
      <c r="CM42992" s="111"/>
      <c r="CQ42992" s="111"/>
      <c r="EF42992"/>
      <c r="EG42992"/>
      <c r="EH42992"/>
      <c r="EI42992"/>
      <c r="EJ42992"/>
      <c r="EK42992"/>
    </row>
    <row r="42993" spans="1:141" s="116" customFormat="1">
      <c r="A42993" s="136"/>
      <c r="CM42993" s="111"/>
      <c r="CQ42993" s="111"/>
      <c r="EF42993"/>
      <c r="EG42993"/>
      <c r="EH42993"/>
      <c r="EI42993"/>
      <c r="EJ42993"/>
      <c r="EK42993"/>
    </row>
    <row r="42994" spans="1:141" s="116" customFormat="1">
      <c r="A42994" s="136"/>
      <c r="CM42994" s="111"/>
      <c r="CQ42994" s="111"/>
      <c r="EF42994"/>
      <c r="EG42994"/>
      <c r="EH42994"/>
      <c r="EI42994"/>
      <c r="EJ42994"/>
      <c r="EK42994"/>
    </row>
    <row r="42995" spans="1:141" s="116" customFormat="1">
      <c r="A42995" s="136"/>
      <c r="CM42995" s="111"/>
      <c r="CQ42995" s="111"/>
      <c r="EF42995"/>
      <c r="EG42995"/>
      <c r="EH42995"/>
      <c r="EI42995"/>
      <c r="EJ42995"/>
      <c r="EK42995"/>
    </row>
    <row r="42996" spans="1:141" s="116" customFormat="1">
      <c r="A42996" s="136"/>
      <c r="CM42996" s="111"/>
      <c r="CQ42996" s="111"/>
      <c r="EF42996"/>
      <c r="EG42996"/>
      <c r="EH42996"/>
      <c r="EI42996"/>
      <c r="EJ42996"/>
      <c r="EK42996"/>
    </row>
    <row r="42997" spans="1:141" s="116" customFormat="1">
      <c r="A42997" s="136"/>
      <c r="CM42997" s="111"/>
      <c r="CQ42997" s="111"/>
      <c r="EF42997"/>
      <c r="EG42997"/>
      <c r="EH42997"/>
      <c r="EI42997"/>
      <c r="EJ42997"/>
      <c r="EK42997"/>
    </row>
    <row r="42998" spans="1:141" s="116" customFormat="1">
      <c r="A42998" s="136"/>
      <c r="CM42998" s="111"/>
      <c r="CQ42998" s="111"/>
      <c r="EF42998"/>
      <c r="EG42998"/>
      <c r="EH42998"/>
      <c r="EI42998"/>
      <c r="EJ42998"/>
      <c r="EK42998"/>
    </row>
    <row r="42999" spans="1:141" s="116" customFormat="1">
      <c r="A42999" s="136"/>
      <c r="CM42999" s="111"/>
      <c r="CQ42999" s="111"/>
      <c r="EF42999"/>
      <c r="EG42999"/>
      <c r="EH42999"/>
      <c r="EI42999"/>
      <c r="EJ42999"/>
      <c r="EK42999"/>
    </row>
    <row r="43000" spans="1:141" s="116" customFormat="1">
      <c r="A43000" s="136"/>
      <c r="CM43000" s="111"/>
      <c r="CQ43000" s="111"/>
      <c r="EF43000"/>
      <c r="EG43000"/>
      <c r="EH43000"/>
      <c r="EI43000"/>
      <c r="EJ43000"/>
      <c r="EK43000"/>
    </row>
    <row r="43001" spans="1:141" s="116" customFormat="1">
      <c r="A43001" s="136"/>
      <c r="CM43001" s="111"/>
      <c r="CQ43001" s="111"/>
      <c r="EF43001"/>
      <c r="EG43001"/>
      <c r="EH43001"/>
      <c r="EI43001"/>
      <c r="EJ43001"/>
      <c r="EK43001"/>
    </row>
    <row r="43002" spans="1:141" s="116" customFormat="1">
      <c r="A43002" s="136"/>
      <c r="CM43002" s="111"/>
      <c r="CQ43002" s="111"/>
      <c r="EF43002"/>
      <c r="EG43002"/>
      <c r="EH43002"/>
      <c r="EI43002"/>
      <c r="EJ43002"/>
      <c r="EK43002"/>
    </row>
    <row r="43003" spans="1:141" s="116" customFormat="1">
      <c r="A43003" s="136"/>
      <c r="CM43003" s="111"/>
      <c r="CQ43003" s="111"/>
      <c r="EF43003"/>
      <c r="EG43003"/>
      <c r="EH43003"/>
      <c r="EI43003"/>
      <c r="EJ43003"/>
      <c r="EK43003"/>
    </row>
    <row r="43004" spans="1:141" s="116" customFormat="1">
      <c r="A43004" s="136"/>
      <c r="CM43004" s="111"/>
      <c r="CQ43004" s="111"/>
      <c r="EF43004"/>
      <c r="EG43004"/>
      <c r="EH43004"/>
      <c r="EI43004"/>
      <c r="EJ43004"/>
      <c r="EK43004"/>
    </row>
    <row r="43005" spans="1:141" s="116" customFormat="1">
      <c r="A43005" s="136"/>
      <c r="CM43005" s="111"/>
      <c r="CQ43005" s="111"/>
      <c r="EF43005"/>
      <c r="EG43005"/>
      <c r="EH43005"/>
      <c r="EI43005"/>
      <c r="EJ43005"/>
      <c r="EK43005"/>
    </row>
    <row r="43006" spans="1:141" s="116" customFormat="1">
      <c r="A43006" s="136"/>
      <c r="CM43006" s="111"/>
      <c r="CQ43006" s="111"/>
      <c r="EF43006"/>
      <c r="EG43006"/>
      <c r="EH43006"/>
      <c r="EI43006"/>
      <c r="EJ43006"/>
      <c r="EK43006"/>
    </row>
    <row r="43007" spans="1:141" s="116" customFormat="1">
      <c r="A43007" s="136"/>
      <c r="CM43007" s="111"/>
      <c r="CQ43007" s="111"/>
      <c r="EF43007"/>
      <c r="EG43007"/>
      <c r="EH43007"/>
      <c r="EI43007"/>
      <c r="EJ43007"/>
      <c r="EK43007"/>
    </row>
    <row r="43008" spans="1:141" s="116" customFormat="1">
      <c r="A43008" s="136"/>
      <c r="CM43008" s="111"/>
      <c r="CQ43008" s="111"/>
      <c r="EF43008"/>
      <c r="EG43008"/>
      <c r="EH43008"/>
      <c r="EI43008"/>
      <c r="EJ43008"/>
      <c r="EK43008"/>
    </row>
    <row r="43009" spans="1:141" s="116" customFormat="1">
      <c r="A43009" s="136"/>
      <c r="CM43009" s="111"/>
      <c r="CQ43009" s="111"/>
      <c r="EF43009"/>
      <c r="EG43009"/>
      <c r="EH43009"/>
      <c r="EI43009"/>
      <c r="EJ43009"/>
      <c r="EK43009"/>
    </row>
    <row r="43010" spans="1:141" s="116" customFormat="1">
      <c r="A43010" s="136"/>
      <c r="CM43010" s="111"/>
      <c r="CQ43010" s="111"/>
      <c r="EF43010"/>
      <c r="EG43010"/>
      <c r="EH43010"/>
      <c r="EI43010"/>
      <c r="EJ43010"/>
      <c r="EK43010"/>
    </row>
    <row r="43011" spans="1:141" s="116" customFormat="1">
      <c r="A43011" s="136"/>
      <c r="CM43011" s="111"/>
      <c r="CQ43011" s="111"/>
      <c r="EF43011"/>
      <c r="EG43011"/>
      <c r="EH43011"/>
      <c r="EI43011"/>
      <c r="EJ43011"/>
      <c r="EK43011"/>
    </row>
    <row r="43012" spans="1:141" s="116" customFormat="1">
      <c r="A43012" s="136"/>
      <c r="CM43012" s="111"/>
      <c r="CQ43012" s="111"/>
      <c r="EF43012"/>
      <c r="EG43012"/>
      <c r="EH43012"/>
      <c r="EI43012"/>
      <c r="EJ43012"/>
      <c r="EK43012"/>
    </row>
    <row r="43013" spans="1:141" s="116" customFormat="1">
      <c r="A43013" s="136"/>
      <c r="CM43013" s="111"/>
      <c r="CQ43013" s="111"/>
      <c r="EF43013"/>
      <c r="EG43013"/>
      <c r="EH43013"/>
      <c r="EI43013"/>
      <c r="EJ43013"/>
      <c r="EK43013"/>
    </row>
    <row r="43014" spans="1:141" s="116" customFormat="1">
      <c r="A43014" s="136"/>
      <c r="CM43014" s="111"/>
      <c r="CQ43014" s="111"/>
      <c r="EF43014"/>
      <c r="EG43014"/>
      <c r="EH43014"/>
      <c r="EI43014"/>
      <c r="EJ43014"/>
      <c r="EK43014"/>
    </row>
    <row r="43015" spans="1:141" s="116" customFormat="1">
      <c r="A43015" s="136"/>
      <c r="CM43015" s="111"/>
      <c r="CQ43015" s="111"/>
      <c r="EF43015"/>
      <c r="EG43015"/>
      <c r="EH43015"/>
      <c r="EI43015"/>
      <c r="EJ43015"/>
      <c r="EK43015"/>
    </row>
    <row r="43016" spans="1:141" s="116" customFormat="1">
      <c r="A43016" s="136"/>
      <c r="CM43016" s="111"/>
      <c r="CQ43016" s="111"/>
      <c r="EF43016"/>
      <c r="EG43016"/>
      <c r="EH43016"/>
      <c r="EI43016"/>
      <c r="EJ43016"/>
      <c r="EK43016"/>
    </row>
    <row r="43017" spans="1:141" s="116" customFormat="1">
      <c r="A43017" s="136"/>
      <c r="CM43017" s="111"/>
      <c r="CQ43017" s="111"/>
      <c r="EF43017"/>
      <c r="EG43017"/>
      <c r="EH43017"/>
      <c r="EI43017"/>
      <c r="EJ43017"/>
      <c r="EK43017"/>
    </row>
    <row r="43018" spans="1:141" s="116" customFormat="1">
      <c r="A43018" s="136"/>
      <c r="CM43018" s="111"/>
      <c r="CQ43018" s="111"/>
      <c r="EF43018"/>
      <c r="EG43018"/>
      <c r="EH43018"/>
      <c r="EI43018"/>
      <c r="EJ43018"/>
      <c r="EK43018"/>
    </row>
    <row r="43019" spans="1:141" s="116" customFormat="1">
      <c r="A43019" s="136"/>
      <c r="CM43019" s="111"/>
      <c r="CQ43019" s="111"/>
      <c r="EF43019"/>
      <c r="EG43019"/>
      <c r="EH43019"/>
      <c r="EI43019"/>
      <c r="EJ43019"/>
      <c r="EK43019"/>
    </row>
    <row r="43020" spans="1:141" s="116" customFormat="1">
      <c r="A43020" s="136"/>
      <c r="CM43020" s="111"/>
      <c r="CQ43020" s="111"/>
      <c r="EF43020"/>
      <c r="EG43020"/>
      <c r="EH43020"/>
      <c r="EI43020"/>
      <c r="EJ43020"/>
      <c r="EK43020"/>
    </row>
    <row r="43021" spans="1:141" s="116" customFormat="1">
      <c r="A43021" s="136"/>
      <c r="CM43021" s="111"/>
      <c r="CQ43021" s="111"/>
      <c r="EF43021"/>
      <c r="EG43021"/>
      <c r="EH43021"/>
      <c r="EI43021"/>
      <c r="EJ43021"/>
      <c r="EK43021"/>
    </row>
    <row r="43022" spans="1:141" s="116" customFormat="1">
      <c r="A43022" s="136"/>
      <c r="CM43022" s="111"/>
      <c r="CQ43022" s="111"/>
      <c r="EF43022"/>
      <c r="EG43022"/>
      <c r="EH43022"/>
      <c r="EI43022"/>
      <c r="EJ43022"/>
      <c r="EK43022"/>
    </row>
    <row r="43023" spans="1:141" s="116" customFormat="1">
      <c r="A43023" s="136"/>
      <c r="CM43023" s="111"/>
      <c r="CQ43023" s="111"/>
      <c r="EF43023"/>
      <c r="EG43023"/>
      <c r="EH43023"/>
      <c r="EI43023"/>
      <c r="EJ43023"/>
      <c r="EK43023"/>
    </row>
    <row r="43024" spans="1:141" s="116" customFormat="1">
      <c r="A43024" s="136"/>
      <c r="CM43024" s="111"/>
      <c r="CQ43024" s="111"/>
      <c r="EF43024"/>
      <c r="EG43024"/>
      <c r="EH43024"/>
      <c r="EI43024"/>
      <c r="EJ43024"/>
      <c r="EK43024"/>
    </row>
    <row r="43025" spans="1:141" s="116" customFormat="1">
      <c r="A43025" s="136"/>
      <c r="CM43025" s="111"/>
      <c r="CQ43025" s="111"/>
      <c r="EF43025"/>
      <c r="EG43025"/>
      <c r="EH43025"/>
      <c r="EI43025"/>
      <c r="EJ43025"/>
      <c r="EK43025"/>
    </row>
    <row r="43026" spans="1:141" s="116" customFormat="1">
      <c r="A43026" s="136"/>
      <c r="CM43026" s="111"/>
      <c r="CQ43026" s="111"/>
      <c r="EF43026"/>
      <c r="EG43026"/>
      <c r="EH43026"/>
      <c r="EI43026"/>
      <c r="EJ43026"/>
      <c r="EK43026"/>
    </row>
    <row r="43027" spans="1:141" s="116" customFormat="1">
      <c r="A43027" s="136"/>
      <c r="CM43027" s="111"/>
      <c r="CQ43027" s="111"/>
      <c r="EF43027"/>
      <c r="EG43027"/>
      <c r="EH43027"/>
      <c r="EI43027"/>
      <c r="EJ43027"/>
      <c r="EK43027"/>
    </row>
    <row r="43028" spans="1:141" s="116" customFormat="1">
      <c r="A43028" s="136"/>
      <c r="CM43028" s="111"/>
      <c r="CQ43028" s="111"/>
      <c r="EF43028"/>
      <c r="EG43028"/>
      <c r="EH43028"/>
      <c r="EI43028"/>
      <c r="EJ43028"/>
      <c r="EK43028"/>
    </row>
    <row r="43029" spans="1:141" s="116" customFormat="1">
      <c r="A43029" s="136"/>
      <c r="CM43029" s="111"/>
      <c r="CQ43029" s="111"/>
      <c r="EF43029"/>
      <c r="EG43029"/>
      <c r="EH43029"/>
      <c r="EI43029"/>
      <c r="EJ43029"/>
      <c r="EK43029"/>
    </row>
    <row r="43030" spans="1:141" s="116" customFormat="1">
      <c r="A43030" s="136"/>
      <c r="CM43030" s="111"/>
      <c r="CQ43030" s="111"/>
      <c r="EF43030"/>
      <c r="EG43030"/>
      <c r="EH43030"/>
      <c r="EI43030"/>
      <c r="EJ43030"/>
      <c r="EK43030"/>
    </row>
    <row r="43031" spans="1:141" s="116" customFormat="1">
      <c r="A43031" s="136"/>
      <c r="CM43031" s="111"/>
      <c r="CQ43031" s="111"/>
      <c r="EF43031"/>
      <c r="EG43031"/>
      <c r="EH43031"/>
      <c r="EI43031"/>
      <c r="EJ43031"/>
      <c r="EK43031"/>
    </row>
    <row r="43032" spans="1:141" s="116" customFormat="1">
      <c r="A43032" s="136"/>
      <c r="CM43032" s="111"/>
      <c r="CQ43032" s="111"/>
      <c r="EF43032"/>
      <c r="EG43032"/>
      <c r="EH43032"/>
      <c r="EI43032"/>
      <c r="EJ43032"/>
      <c r="EK43032"/>
    </row>
    <row r="43033" spans="1:141" s="116" customFormat="1">
      <c r="A43033" s="136"/>
      <c r="CM43033" s="111"/>
      <c r="CQ43033" s="111"/>
      <c r="EF43033"/>
      <c r="EG43033"/>
      <c r="EH43033"/>
      <c r="EI43033"/>
      <c r="EJ43033"/>
      <c r="EK43033"/>
    </row>
    <row r="43034" spans="1:141" s="116" customFormat="1">
      <c r="A43034" s="136"/>
      <c r="CM43034" s="111"/>
      <c r="CQ43034" s="111"/>
      <c r="EF43034"/>
      <c r="EG43034"/>
      <c r="EH43034"/>
      <c r="EI43034"/>
      <c r="EJ43034"/>
      <c r="EK43034"/>
    </row>
    <row r="43035" spans="1:141" s="116" customFormat="1">
      <c r="A43035" s="136"/>
      <c r="CM43035" s="111"/>
      <c r="CQ43035" s="111"/>
      <c r="EF43035"/>
      <c r="EG43035"/>
      <c r="EH43035"/>
      <c r="EI43035"/>
      <c r="EJ43035"/>
      <c r="EK43035"/>
    </row>
    <row r="43036" spans="1:141" s="116" customFormat="1">
      <c r="A43036" s="136"/>
      <c r="CM43036" s="111"/>
      <c r="CQ43036" s="111"/>
      <c r="EF43036"/>
      <c r="EG43036"/>
      <c r="EH43036"/>
      <c r="EI43036"/>
      <c r="EJ43036"/>
      <c r="EK43036"/>
    </row>
    <row r="43037" spans="1:141" s="116" customFormat="1">
      <c r="A43037" s="136"/>
      <c r="CM43037" s="111"/>
      <c r="CQ43037" s="111"/>
      <c r="EF43037"/>
      <c r="EG43037"/>
      <c r="EH43037"/>
      <c r="EI43037"/>
      <c r="EJ43037"/>
      <c r="EK43037"/>
    </row>
    <row r="43038" spans="1:141" s="116" customFormat="1">
      <c r="A43038" s="136"/>
      <c r="CM43038" s="111"/>
      <c r="CQ43038" s="111"/>
      <c r="EF43038"/>
      <c r="EG43038"/>
      <c r="EH43038"/>
      <c r="EI43038"/>
      <c r="EJ43038"/>
      <c r="EK43038"/>
    </row>
    <row r="43039" spans="1:141" s="116" customFormat="1">
      <c r="A43039" s="136"/>
      <c r="CM43039" s="111"/>
      <c r="CQ43039" s="111"/>
      <c r="EF43039"/>
      <c r="EG43039"/>
      <c r="EH43039"/>
      <c r="EI43039"/>
      <c r="EJ43039"/>
      <c r="EK43039"/>
    </row>
    <row r="43040" spans="1:141" s="116" customFormat="1">
      <c r="A43040" s="136"/>
      <c r="CM43040" s="111"/>
      <c r="CQ43040" s="111"/>
      <c r="EF43040"/>
      <c r="EG43040"/>
      <c r="EH43040"/>
      <c r="EI43040"/>
      <c r="EJ43040"/>
      <c r="EK43040"/>
    </row>
    <row r="43041" spans="1:141" s="116" customFormat="1">
      <c r="A43041" s="136"/>
      <c r="CM43041" s="111"/>
      <c r="CQ43041" s="111"/>
      <c r="EF43041"/>
      <c r="EG43041"/>
      <c r="EH43041"/>
      <c r="EI43041"/>
      <c r="EJ43041"/>
      <c r="EK43041"/>
    </row>
    <row r="43042" spans="1:141" s="116" customFormat="1">
      <c r="A43042" s="136"/>
      <c r="CM43042" s="111"/>
      <c r="CQ43042" s="111"/>
      <c r="EF43042"/>
      <c r="EG43042"/>
      <c r="EH43042"/>
      <c r="EI43042"/>
      <c r="EJ43042"/>
      <c r="EK43042"/>
    </row>
    <row r="43043" spans="1:141" s="116" customFormat="1">
      <c r="A43043" s="136"/>
      <c r="CM43043" s="111"/>
      <c r="CQ43043" s="111"/>
      <c r="EF43043"/>
      <c r="EG43043"/>
      <c r="EH43043"/>
      <c r="EI43043"/>
      <c r="EJ43043"/>
      <c r="EK43043"/>
    </row>
    <row r="43044" spans="1:141" s="116" customFormat="1">
      <c r="A43044" s="136"/>
      <c r="CM43044" s="111"/>
      <c r="CQ43044" s="111"/>
      <c r="EF43044"/>
      <c r="EG43044"/>
      <c r="EH43044"/>
      <c r="EI43044"/>
      <c r="EJ43044"/>
      <c r="EK43044"/>
    </row>
    <row r="43045" spans="1:141" s="116" customFormat="1">
      <c r="A43045" s="136"/>
      <c r="CM43045" s="111"/>
      <c r="CQ43045" s="111"/>
      <c r="EF43045"/>
      <c r="EG43045"/>
      <c r="EH43045"/>
      <c r="EI43045"/>
      <c r="EJ43045"/>
      <c r="EK43045"/>
    </row>
    <row r="43046" spans="1:141" s="116" customFormat="1">
      <c r="A43046" s="136"/>
      <c r="CM43046" s="111"/>
      <c r="CQ43046" s="111"/>
      <c r="EF43046"/>
      <c r="EG43046"/>
      <c r="EH43046"/>
      <c r="EI43046"/>
      <c r="EJ43046"/>
      <c r="EK43046"/>
    </row>
    <row r="43047" spans="1:141" s="116" customFormat="1">
      <c r="A43047" s="136"/>
      <c r="CM43047" s="111"/>
      <c r="CQ43047" s="111"/>
      <c r="EF43047"/>
      <c r="EG43047"/>
      <c r="EH43047"/>
      <c r="EI43047"/>
      <c r="EJ43047"/>
      <c r="EK43047"/>
    </row>
    <row r="43048" spans="1:141" s="116" customFormat="1">
      <c r="A43048" s="136"/>
      <c r="CM43048" s="111"/>
      <c r="CQ43048" s="111"/>
      <c r="EF43048"/>
      <c r="EG43048"/>
      <c r="EH43048"/>
      <c r="EI43048"/>
      <c r="EJ43048"/>
      <c r="EK43048"/>
    </row>
    <row r="43049" spans="1:141" s="116" customFormat="1">
      <c r="A43049" s="136"/>
      <c r="CM43049" s="111"/>
      <c r="CQ43049" s="111"/>
      <c r="EF43049"/>
      <c r="EG43049"/>
      <c r="EH43049"/>
      <c r="EI43049"/>
      <c r="EJ43049"/>
      <c r="EK43049"/>
    </row>
    <row r="43050" spans="1:141" s="116" customFormat="1">
      <c r="A43050" s="136"/>
      <c r="CM43050" s="111"/>
      <c r="CQ43050" s="111"/>
      <c r="EF43050"/>
      <c r="EG43050"/>
      <c r="EH43050"/>
      <c r="EI43050"/>
      <c r="EJ43050"/>
      <c r="EK43050"/>
    </row>
    <row r="43051" spans="1:141" s="116" customFormat="1">
      <c r="A43051" s="136"/>
      <c r="CM43051" s="111"/>
      <c r="CQ43051" s="111"/>
      <c r="EF43051"/>
      <c r="EG43051"/>
      <c r="EH43051"/>
      <c r="EI43051"/>
      <c r="EJ43051"/>
      <c r="EK43051"/>
    </row>
    <row r="43052" spans="1:141" s="116" customFormat="1">
      <c r="A43052" s="136"/>
      <c r="CM43052" s="111"/>
      <c r="CQ43052" s="111"/>
      <c r="EF43052"/>
      <c r="EG43052"/>
      <c r="EH43052"/>
      <c r="EI43052"/>
      <c r="EJ43052"/>
      <c r="EK43052"/>
    </row>
    <row r="43053" spans="1:141" s="116" customFormat="1">
      <c r="A43053" s="136"/>
      <c r="CM43053" s="111"/>
      <c r="CQ43053" s="111"/>
      <c r="EF43053"/>
      <c r="EG43053"/>
      <c r="EH43053"/>
      <c r="EI43053"/>
      <c r="EJ43053"/>
      <c r="EK43053"/>
    </row>
    <row r="43054" spans="1:141" s="116" customFormat="1">
      <c r="A43054" s="136"/>
      <c r="CM43054" s="111"/>
      <c r="CQ43054" s="111"/>
      <c r="EF43054"/>
      <c r="EG43054"/>
      <c r="EH43054"/>
      <c r="EI43054"/>
      <c r="EJ43054"/>
      <c r="EK43054"/>
    </row>
    <row r="43055" spans="1:141" s="116" customFormat="1">
      <c r="A43055" s="136"/>
      <c r="CM43055" s="111"/>
      <c r="CQ43055" s="111"/>
      <c r="EF43055"/>
      <c r="EG43055"/>
      <c r="EH43055"/>
      <c r="EI43055"/>
      <c r="EJ43055"/>
      <c r="EK43055"/>
    </row>
    <row r="43056" spans="1:141" s="116" customFormat="1">
      <c r="A43056" s="136"/>
      <c r="CM43056" s="111"/>
      <c r="CQ43056" s="111"/>
      <c r="EF43056"/>
      <c r="EG43056"/>
      <c r="EH43056"/>
      <c r="EI43056"/>
      <c r="EJ43056"/>
      <c r="EK43056"/>
    </row>
    <row r="43057" spans="1:141" s="116" customFormat="1">
      <c r="A43057" s="136"/>
      <c r="CM43057" s="111"/>
      <c r="CQ43057" s="111"/>
      <c r="EF43057"/>
      <c r="EG43057"/>
      <c r="EH43057"/>
      <c r="EI43057"/>
      <c r="EJ43057"/>
      <c r="EK43057"/>
    </row>
    <row r="43058" spans="1:141" s="116" customFormat="1">
      <c r="A43058" s="136"/>
      <c r="CM43058" s="111"/>
      <c r="CQ43058" s="111"/>
      <c r="EF43058"/>
      <c r="EG43058"/>
      <c r="EH43058"/>
      <c r="EI43058"/>
      <c r="EJ43058"/>
      <c r="EK43058"/>
    </row>
    <row r="43059" spans="1:141" s="116" customFormat="1">
      <c r="A43059" s="136"/>
      <c r="CM43059" s="111"/>
      <c r="CQ43059" s="111"/>
      <c r="EF43059"/>
      <c r="EG43059"/>
      <c r="EH43059"/>
      <c r="EI43059"/>
      <c r="EJ43059"/>
      <c r="EK43059"/>
    </row>
    <row r="43060" spans="1:141" s="116" customFormat="1">
      <c r="A43060" s="136"/>
      <c r="CM43060" s="111"/>
      <c r="CQ43060" s="111"/>
      <c r="EF43060"/>
      <c r="EG43060"/>
      <c r="EH43060"/>
      <c r="EI43060"/>
      <c r="EJ43060"/>
      <c r="EK43060"/>
    </row>
    <row r="43061" spans="1:141" s="116" customFormat="1">
      <c r="A43061" s="136"/>
      <c r="CM43061" s="111"/>
      <c r="CQ43061" s="111"/>
      <c r="EF43061"/>
      <c r="EG43061"/>
      <c r="EH43061"/>
      <c r="EI43061"/>
      <c r="EJ43061"/>
      <c r="EK43061"/>
    </row>
    <row r="43062" spans="1:141" s="116" customFormat="1">
      <c r="A43062" s="136"/>
      <c r="CM43062" s="111"/>
      <c r="CQ43062" s="111"/>
      <c r="EF43062"/>
      <c r="EG43062"/>
      <c r="EH43062"/>
      <c r="EI43062"/>
      <c r="EJ43062"/>
      <c r="EK43062"/>
    </row>
    <row r="43063" spans="1:141" s="116" customFormat="1">
      <c r="A43063" s="136"/>
      <c r="CM43063" s="111"/>
      <c r="CQ43063" s="111"/>
      <c r="EF43063"/>
      <c r="EG43063"/>
      <c r="EH43063"/>
      <c r="EI43063"/>
      <c r="EJ43063"/>
      <c r="EK43063"/>
    </row>
    <row r="43064" spans="1:141" s="116" customFormat="1">
      <c r="A43064" s="136"/>
      <c r="CM43064" s="111"/>
      <c r="CQ43064" s="111"/>
      <c r="EF43064"/>
      <c r="EG43064"/>
      <c r="EH43064"/>
      <c r="EI43064"/>
      <c r="EJ43064"/>
      <c r="EK43064"/>
    </row>
    <row r="43065" spans="1:141" s="116" customFormat="1">
      <c r="A43065" s="136"/>
      <c r="CM43065" s="111"/>
      <c r="CQ43065" s="111"/>
      <c r="EF43065"/>
      <c r="EG43065"/>
      <c r="EH43065"/>
      <c r="EI43065"/>
      <c r="EJ43065"/>
      <c r="EK43065"/>
    </row>
    <row r="43066" spans="1:141" s="116" customFormat="1">
      <c r="A43066" s="136"/>
      <c r="CM43066" s="111"/>
      <c r="CQ43066" s="111"/>
      <c r="EF43066"/>
      <c r="EG43066"/>
      <c r="EH43066"/>
      <c r="EI43066"/>
      <c r="EJ43066"/>
      <c r="EK43066"/>
    </row>
    <row r="43067" spans="1:141" s="116" customFormat="1">
      <c r="A43067" s="136"/>
      <c r="CM43067" s="111"/>
      <c r="CQ43067" s="111"/>
      <c r="EF43067"/>
      <c r="EG43067"/>
      <c r="EH43067"/>
      <c r="EI43067"/>
      <c r="EJ43067"/>
      <c r="EK43067"/>
    </row>
    <row r="43068" spans="1:141" s="116" customFormat="1">
      <c r="A43068" s="136"/>
      <c r="CM43068" s="111"/>
      <c r="CQ43068" s="111"/>
      <c r="EF43068"/>
      <c r="EG43068"/>
      <c r="EH43068"/>
      <c r="EI43068"/>
      <c r="EJ43068"/>
      <c r="EK43068"/>
    </row>
    <row r="43069" spans="1:141" s="116" customFormat="1">
      <c r="A43069" s="136"/>
      <c r="CM43069" s="111"/>
      <c r="CQ43069" s="111"/>
      <c r="EF43069"/>
      <c r="EG43069"/>
      <c r="EH43069"/>
      <c r="EI43069"/>
      <c r="EJ43069"/>
      <c r="EK43069"/>
    </row>
    <row r="43070" spans="1:141" s="116" customFormat="1">
      <c r="A43070" s="136"/>
      <c r="CM43070" s="111"/>
      <c r="CQ43070" s="111"/>
      <c r="EF43070"/>
      <c r="EG43070"/>
      <c r="EH43070"/>
      <c r="EI43070"/>
      <c r="EJ43070"/>
      <c r="EK43070"/>
    </row>
    <row r="43071" spans="1:141" s="116" customFormat="1">
      <c r="A43071" s="136"/>
      <c r="CM43071" s="111"/>
      <c r="CQ43071" s="111"/>
      <c r="EF43071"/>
      <c r="EG43071"/>
      <c r="EH43071"/>
      <c r="EI43071"/>
      <c r="EJ43071"/>
      <c r="EK43071"/>
    </row>
    <row r="43072" spans="1:141" s="116" customFormat="1">
      <c r="A43072" s="136"/>
      <c r="CM43072" s="111"/>
      <c r="CQ43072" s="111"/>
      <c r="EF43072"/>
      <c r="EG43072"/>
      <c r="EH43072"/>
      <c r="EI43072"/>
      <c r="EJ43072"/>
      <c r="EK43072"/>
    </row>
    <row r="43073" spans="1:141" s="116" customFormat="1">
      <c r="A43073" s="136"/>
      <c r="CM43073" s="111"/>
      <c r="CQ43073" s="111"/>
      <c r="EF43073"/>
      <c r="EG43073"/>
      <c r="EH43073"/>
      <c r="EI43073"/>
      <c r="EJ43073"/>
      <c r="EK43073"/>
    </row>
    <row r="43074" spans="1:141" s="116" customFormat="1">
      <c r="A43074" s="136"/>
      <c r="CM43074" s="111"/>
      <c r="CQ43074" s="111"/>
      <c r="EF43074"/>
      <c r="EG43074"/>
      <c r="EH43074"/>
      <c r="EI43074"/>
      <c r="EJ43074"/>
      <c r="EK43074"/>
    </row>
    <row r="43075" spans="1:141" s="116" customFormat="1">
      <c r="A43075" s="136"/>
      <c r="CM43075" s="111"/>
      <c r="CQ43075" s="111"/>
      <c r="EF43075"/>
      <c r="EG43075"/>
      <c r="EH43075"/>
      <c r="EI43075"/>
      <c r="EJ43075"/>
      <c r="EK43075"/>
    </row>
    <row r="43076" spans="1:141" s="116" customFormat="1">
      <c r="A43076" s="136"/>
      <c r="CM43076" s="111"/>
      <c r="CQ43076" s="111"/>
      <c r="EF43076"/>
      <c r="EG43076"/>
      <c r="EH43076"/>
      <c r="EI43076"/>
      <c r="EJ43076"/>
      <c r="EK43076"/>
    </row>
    <row r="43077" spans="1:141" s="116" customFormat="1">
      <c r="A43077" s="136"/>
      <c r="CM43077" s="111"/>
      <c r="CQ43077" s="111"/>
      <c r="EF43077"/>
      <c r="EG43077"/>
      <c r="EH43077"/>
      <c r="EI43077"/>
      <c r="EJ43077"/>
      <c r="EK43077"/>
    </row>
    <row r="43078" spans="1:141" s="116" customFormat="1">
      <c r="A43078" s="136"/>
      <c r="CM43078" s="111"/>
      <c r="CQ43078" s="111"/>
      <c r="EF43078"/>
      <c r="EG43078"/>
      <c r="EH43078"/>
      <c r="EI43078"/>
      <c r="EJ43078"/>
      <c r="EK43078"/>
    </row>
    <row r="43079" spans="1:141" s="116" customFormat="1">
      <c r="A43079" s="136"/>
      <c r="CM43079" s="111"/>
      <c r="CQ43079" s="111"/>
      <c r="EF43079"/>
      <c r="EG43079"/>
      <c r="EH43079"/>
      <c r="EI43079"/>
      <c r="EJ43079"/>
      <c r="EK43079"/>
    </row>
    <row r="43080" spans="1:141" s="116" customFormat="1">
      <c r="A43080" s="136"/>
      <c r="CM43080" s="111"/>
      <c r="CQ43080" s="111"/>
      <c r="EF43080"/>
      <c r="EG43080"/>
      <c r="EH43080"/>
      <c r="EI43080"/>
      <c r="EJ43080"/>
      <c r="EK43080"/>
    </row>
    <row r="43081" spans="1:141" s="116" customFormat="1">
      <c r="A43081" s="136"/>
      <c r="CM43081" s="111"/>
      <c r="CQ43081" s="111"/>
      <c r="EF43081"/>
      <c r="EG43081"/>
      <c r="EH43081"/>
      <c r="EI43081"/>
      <c r="EJ43081"/>
      <c r="EK43081"/>
    </row>
    <row r="43082" spans="1:141" s="116" customFormat="1">
      <c r="A43082" s="136"/>
      <c r="CM43082" s="111"/>
      <c r="CQ43082" s="111"/>
      <c r="EF43082"/>
      <c r="EG43082"/>
      <c r="EH43082"/>
      <c r="EI43082"/>
      <c r="EJ43082"/>
      <c r="EK43082"/>
    </row>
    <row r="43083" spans="1:141" s="116" customFormat="1">
      <c r="A43083" s="136"/>
      <c r="CM43083" s="111"/>
      <c r="CQ43083" s="111"/>
      <c r="EF43083"/>
      <c r="EG43083"/>
      <c r="EH43083"/>
      <c r="EI43083"/>
      <c r="EJ43083"/>
      <c r="EK43083"/>
    </row>
    <row r="43084" spans="1:141" s="116" customFormat="1">
      <c r="A43084" s="136"/>
      <c r="CM43084" s="111"/>
      <c r="CQ43084" s="111"/>
      <c r="EF43084"/>
      <c r="EG43084"/>
      <c r="EH43084"/>
      <c r="EI43084"/>
      <c r="EJ43084"/>
      <c r="EK43084"/>
    </row>
    <row r="43085" spans="1:141" s="116" customFormat="1">
      <c r="A43085" s="136"/>
      <c r="CM43085" s="111"/>
      <c r="CQ43085" s="111"/>
      <c r="EF43085"/>
      <c r="EG43085"/>
      <c r="EH43085"/>
      <c r="EI43085"/>
      <c r="EJ43085"/>
      <c r="EK43085"/>
    </row>
    <row r="43086" spans="1:141" s="116" customFormat="1">
      <c r="A43086" s="136"/>
      <c r="CM43086" s="111"/>
      <c r="CQ43086" s="111"/>
      <c r="EF43086"/>
      <c r="EG43086"/>
      <c r="EH43086"/>
      <c r="EI43086"/>
      <c r="EJ43086"/>
      <c r="EK43086"/>
    </row>
    <row r="43087" spans="1:141" s="116" customFormat="1">
      <c r="A43087" s="136"/>
      <c r="CM43087" s="111"/>
      <c r="CQ43087" s="111"/>
      <c r="EF43087"/>
      <c r="EG43087"/>
      <c r="EH43087"/>
      <c r="EI43087"/>
      <c r="EJ43087"/>
      <c r="EK43087"/>
    </row>
    <row r="43088" spans="1:141" s="116" customFormat="1">
      <c r="A43088" s="136"/>
      <c r="CM43088" s="111"/>
      <c r="CQ43088" s="111"/>
      <c r="EF43088"/>
      <c r="EG43088"/>
      <c r="EH43088"/>
      <c r="EI43088"/>
      <c r="EJ43088"/>
      <c r="EK43088"/>
    </row>
    <row r="43089" spans="1:141" s="116" customFormat="1">
      <c r="A43089" s="136"/>
      <c r="CM43089" s="111"/>
      <c r="CQ43089" s="111"/>
      <c r="EF43089"/>
      <c r="EG43089"/>
      <c r="EH43089"/>
      <c r="EI43089"/>
      <c r="EJ43089"/>
      <c r="EK43089"/>
    </row>
    <row r="43090" spans="1:141" s="116" customFormat="1">
      <c r="A43090" s="136"/>
      <c r="CM43090" s="111"/>
      <c r="CQ43090" s="111"/>
      <c r="EF43090"/>
      <c r="EG43090"/>
      <c r="EH43090"/>
      <c r="EI43090"/>
      <c r="EJ43090"/>
      <c r="EK43090"/>
    </row>
    <row r="43091" spans="1:141" s="116" customFormat="1">
      <c r="A43091" s="136"/>
      <c r="CM43091" s="111"/>
      <c r="CQ43091" s="111"/>
      <c r="EF43091"/>
      <c r="EG43091"/>
      <c r="EH43091"/>
      <c r="EI43091"/>
      <c r="EJ43091"/>
      <c r="EK43091"/>
    </row>
    <row r="43092" spans="1:141" s="116" customFormat="1">
      <c r="A43092" s="136"/>
      <c r="CM43092" s="111"/>
      <c r="CQ43092" s="111"/>
      <c r="EF43092"/>
      <c r="EG43092"/>
      <c r="EH43092"/>
      <c r="EI43092"/>
      <c r="EJ43092"/>
      <c r="EK43092"/>
    </row>
    <row r="43093" spans="1:141" s="116" customFormat="1">
      <c r="A43093" s="136"/>
      <c r="CM43093" s="111"/>
      <c r="CQ43093" s="111"/>
      <c r="EF43093"/>
      <c r="EG43093"/>
      <c r="EH43093"/>
      <c r="EI43093"/>
      <c r="EJ43093"/>
      <c r="EK43093"/>
    </row>
    <row r="43094" spans="1:141" s="116" customFormat="1">
      <c r="A43094" s="136"/>
      <c r="CM43094" s="111"/>
      <c r="CQ43094" s="111"/>
      <c r="EF43094"/>
      <c r="EG43094"/>
      <c r="EH43094"/>
      <c r="EI43094"/>
      <c r="EJ43094"/>
      <c r="EK43094"/>
    </row>
    <row r="43095" spans="1:141" s="116" customFormat="1">
      <c r="A43095" s="136"/>
      <c r="CM43095" s="111"/>
      <c r="CQ43095" s="111"/>
      <c r="EF43095"/>
      <c r="EG43095"/>
      <c r="EH43095"/>
      <c r="EI43095"/>
      <c r="EJ43095"/>
      <c r="EK43095"/>
    </row>
    <row r="43096" spans="1:141" s="116" customFormat="1">
      <c r="A43096" s="136"/>
      <c r="CM43096" s="111"/>
      <c r="CQ43096" s="111"/>
      <c r="EF43096"/>
      <c r="EG43096"/>
      <c r="EH43096"/>
      <c r="EI43096"/>
      <c r="EJ43096"/>
      <c r="EK43096"/>
    </row>
    <row r="43097" spans="1:141" s="116" customFormat="1">
      <c r="A43097" s="136"/>
      <c r="CM43097" s="111"/>
      <c r="CQ43097" s="111"/>
      <c r="EF43097"/>
      <c r="EG43097"/>
      <c r="EH43097"/>
      <c r="EI43097"/>
      <c r="EJ43097"/>
      <c r="EK43097"/>
    </row>
    <row r="43098" spans="1:141" s="116" customFormat="1">
      <c r="A43098" s="136"/>
      <c r="CM43098" s="111"/>
      <c r="CQ43098" s="111"/>
      <c r="EF43098"/>
      <c r="EG43098"/>
      <c r="EH43098"/>
      <c r="EI43098"/>
      <c r="EJ43098"/>
      <c r="EK43098"/>
    </row>
    <row r="43099" spans="1:141" s="116" customFormat="1">
      <c r="A43099" s="136"/>
      <c r="CM43099" s="111"/>
      <c r="CQ43099" s="111"/>
      <c r="EF43099"/>
      <c r="EG43099"/>
      <c r="EH43099"/>
      <c r="EI43099"/>
      <c r="EJ43099"/>
      <c r="EK43099"/>
    </row>
    <row r="43100" spans="1:141" s="116" customFormat="1">
      <c r="A43100" s="136"/>
      <c r="CM43100" s="111"/>
      <c r="CQ43100" s="111"/>
      <c r="EF43100"/>
      <c r="EG43100"/>
      <c r="EH43100"/>
      <c r="EI43100"/>
      <c r="EJ43100"/>
      <c r="EK43100"/>
    </row>
    <row r="43101" spans="1:141" s="116" customFormat="1">
      <c r="A43101" s="136"/>
      <c r="CM43101" s="111"/>
      <c r="CQ43101" s="111"/>
      <c r="EF43101"/>
      <c r="EG43101"/>
      <c r="EH43101"/>
      <c r="EI43101"/>
      <c r="EJ43101"/>
      <c r="EK43101"/>
    </row>
    <row r="43102" spans="1:141" s="116" customFormat="1">
      <c r="A43102" s="136"/>
      <c r="CM43102" s="111"/>
      <c r="CQ43102" s="111"/>
      <c r="EF43102"/>
      <c r="EG43102"/>
      <c r="EH43102"/>
      <c r="EI43102"/>
      <c r="EJ43102"/>
      <c r="EK43102"/>
    </row>
    <row r="43103" spans="1:141" s="116" customFormat="1">
      <c r="A43103" s="136"/>
      <c r="CM43103" s="111"/>
      <c r="CQ43103" s="111"/>
      <c r="EF43103"/>
      <c r="EG43103"/>
      <c r="EH43103"/>
      <c r="EI43103"/>
      <c r="EJ43103"/>
      <c r="EK43103"/>
    </row>
    <row r="43104" spans="1:141" s="116" customFormat="1">
      <c r="A43104" s="136"/>
      <c r="CM43104" s="111"/>
      <c r="CQ43104" s="111"/>
      <c r="EF43104"/>
      <c r="EG43104"/>
      <c r="EH43104"/>
      <c r="EI43104"/>
      <c r="EJ43104"/>
      <c r="EK43104"/>
    </row>
    <row r="43105" spans="1:141" s="116" customFormat="1">
      <c r="A43105" s="136"/>
      <c r="CM43105" s="111"/>
      <c r="CQ43105" s="111"/>
      <c r="EF43105"/>
      <c r="EG43105"/>
      <c r="EH43105"/>
      <c r="EI43105"/>
      <c r="EJ43105"/>
      <c r="EK43105"/>
    </row>
    <row r="43106" spans="1:141" s="116" customFormat="1">
      <c r="A43106" s="136"/>
      <c r="CM43106" s="111"/>
      <c r="CQ43106" s="111"/>
      <c r="EF43106"/>
      <c r="EG43106"/>
      <c r="EH43106"/>
      <c r="EI43106"/>
      <c r="EJ43106"/>
      <c r="EK43106"/>
    </row>
    <row r="43107" spans="1:141" s="116" customFormat="1">
      <c r="A43107" s="136"/>
      <c r="CM43107" s="111"/>
      <c r="CQ43107" s="111"/>
      <c r="EF43107"/>
      <c r="EG43107"/>
      <c r="EH43107"/>
      <c r="EI43107"/>
      <c r="EJ43107"/>
      <c r="EK43107"/>
    </row>
    <row r="43108" spans="1:141" s="116" customFormat="1">
      <c r="A43108" s="136"/>
      <c r="CM43108" s="111"/>
      <c r="CQ43108" s="111"/>
      <c r="EF43108"/>
      <c r="EG43108"/>
      <c r="EH43108"/>
      <c r="EI43108"/>
      <c r="EJ43108"/>
      <c r="EK43108"/>
    </row>
    <row r="43109" spans="1:141" s="116" customFormat="1">
      <c r="A43109" s="136"/>
      <c r="CM43109" s="111"/>
      <c r="CQ43109" s="111"/>
      <c r="EF43109"/>
      <c r="EG43109"/>
      <c r="EH43109"/>
      <c r="EI43109"/>
      <c r="EJ43109"/>
      <c r="EK43109"/>
    </row>
    <row r="43110" spans="1:141" s="116" customFormat="1">
      <c r="A43110" s="136"/>
      <c r="CM43110" s="111"/>
      <c r="CQ43110" s="111"/>
      <c r="EF43110"/>
      <c r="EG43110"/>
      <c r="EH43110"/>
      <c r="EI43110"/>
      <c r="EJ43110"/>
      <c r="EK43110"/>
    </row>
    <row r="43111" spans="1:141" s="116" customFormat="1">
      <c r="A43111" s="136"/>
      <c r="CM43111" s="111"/>
      <c r="CQ43111" s="111"/>
      <c r="EF43111"/>
      <c r="EG43111"/>
      <c r="EH43111"/>
      <c r="EI43111"/>
      <c r="EJ43111"/>
      <c r="EK43111"/>
    </row>
    <row r="43112" spans="1:141" s="116" customFormat="1">
      <c r="A43112" s="136"/>
      <c r="CM43112" s="111"/>
      <c r="CQ43112" s="111"/>
      <c r="EF43112"/>
      <c r="EG43112"/>
      <c r="EH43112"/>
      <c r="EI43112"/>
      <c r="EJ43112"/>
      <c r="EK43112"/>
    </row>
    <row r="43113" spans="1:141" s="116" customFormat="1">
      <c r="A43113" s="136"/>
      <c r="CM43113" s="111"/>
      <c r="CQ43113" s="111"/>
      <c r="EF43113"/>
      <c r="EG43113"/>
      <c r="EH43113"/>
      <c r="EI43113"/>
      <c r="EJ43113"/>
      <c r="EK43113"/>
    </row>
    <row r="43114" spans="1:141" s="116" customFormat="1">
      <c r="A43114" s="136"/>
      <c r="CM43114" s="111"/>
      <c r="CQ43114" s="111"/>
      <c r="EF43114"/>
      <c r="EG43114"/>
      <c r="EH43114"/>
      <c r="EI43114"/>
      <c r="EJ43114"/>
      <c r="EK43114"/>
    </row>
    <row r="43115" spans="1:141" s="116" customFormat="1">
      <c r="A43115" s="136"/>
      <c r="CM43115" s="111"/>
      <c r="CQ43115" s="111"/>
      <c r="EF43115"/>
      <c r="EG43115"/>
      <c r="EH43115"/>
      <c r="EI43115"/>
      <c r="EJ43115"/>
      <c r="EK43115"/>
    </row>
    <row r="43116" spans="1:141" s="116" customFormat="1">
      <c r="A43116" s="136"/>
      <c r="CM43116" s="111"/>
      <c r="CQ43116" s="111"/>
      <c r="EF43116"/>
      <c r="EG43116"/>
      <c r="EH43116"/>
      <c r="EI43116"/>
      <c r="EJ43116"/>
      <c r="EK43116"/>
    </row>
    <row r="43117" spans="1:141" s="116" customFormat="1">
      <c r="A43117" s="136"/>
      <c r="CM43117" s="111"/>
      <c r="CQ43117" s="111"/>
      <c r="EF43117"/>
      <c r="EG43117"/>
      <c r="EH43117"/>
      <c r="EI43117"/>
      <c r="EJ43117"/>
      <c r="EK43117"/>
    </row>
    <row r="43118" spans="1:141" s="116" customFormat="1">
      <c r="A43118" s="136"/>
      <c r="CM43118" s="111"/>
      <c r="CQ43118" s="111"/>
      <c r="EF43118"/>
      <c r="EG43118"/>
      <c r="EH43118"/>
      <c r="EI43118"/>
      <c r="EJ43118"/>
      <c r="EK43118"/>
    </row>
    <row r="43119" spans="1:141" s="116" customFormat="1">
      <c r="A43119" s="136"/>
      <c r="CM43119" s="111"/>
      <c r="CQ43119" s="111"/>
      <c r="EF43119"/>
      <c r="EG43119"/>
      <c r="EH43119"/>
      <c r="EI43119"/>
      <c r="EJ43119"/>
      <c r="EK43119"/>
    </row>
    <row r="43120" spans="1:141" s="116" customFormat="1">
      <c r="A43120" s="136"/>
      <c r="CM43120" s="111"/>
      <c r="CQ43120" s="111"/>
      <c r="EF43120"/>
      <c r="EG43120"/>
      <c r="EH43120"/>
      <c r="EI43120"/>
      <c r="EJ43120"/>
      <c r="EK43120"/>
    </row>
    <row r="43121" spans="1:141" s="116" customFormat="1">
      <c r="A43121" s="136"/>
      <c r="CM43121" s="111"/>
      <c r="CQ43121" s="111"/>
      <c r="EF43121"/>
      <c r="EG43121"/>
      <c r="EH43121"/>
      <c r="EI43121"/>
      <c r="EJ43121"/>
      <c r="EK43121"/>
    </row>
    <row r="43122" spans="1:141" s="116" customFormat="1">
      <c r="A43122" s="136"/>
      <c r="CM43122" s="111"/>
      <c r="CQ43122" s="111"/>
      <c r="EF43122"/>
      <c r="EG43122"/>
      <c r="EH43122"/>
      <c r="EI43122"/>
      <c r="EJ43122"/>
      <c r="EK43122"/>
    </row>
    <row r="43123" spans="1:141" s="116" customFormat="1">
      <c r="A43123" s="136"/>
      <c r="CM43123" s="111"/>
      <c r="CQ43123" s="111"/>
      <c r="EF43123"/>
      <c r="EG43123"/>
      <c r="EH43123"/>
      <c r="EI43123"/>
      <c r="EJ43123"/>
      <c r="EK43123"/>
    </row>
    <row r="43124" spans="1:141" s="116" customFormat="1">
      <c r="A43124" s="136"/>
      <c r="CM43124" s="111"/>
      <c r="CQ43124" s="111"/>
      <c r="EF43124"/>
      <c r="EG43124"/>
      <c r="EH43124"/>
      <c r="EI43124"/>
      <c r="EJ43124"/>
      <c r="EK43124"/>
    </row>
    <row r="43125" spans="1:141" s="116" customFormat="1">
      <c r="A43125" s="136"/>
      <c r="CM43125" s="111"/>
      <c r="CQ43125" s="111"/>
      <c r="EF43125"/>
      <c r="EG43125"/>
      <c r="EH43125"/>
      <c r="EI43125"/>
      <c r="EJ43125"/>
      <c r="EK43125"/>
    </row>
    <row r="43126" spans="1:141" s="116" customFormat="1">
      <c r="A43126" s="136"/>
      <c r="CM43126" s="111"/>
      <c r="CQ43126" s="111"/>
      <c r="EF43126"/>
      <c r="EG43126"/>
      <c r="EH43126"/>
      <c r="EI43126"/>
      <c r="EJ43126"/>
      <c r="EK43126"/>
    </row>
    <row r="43127" spans="1:141" s="116" customFormat="1">
      <c r="A43127" s="136"/>
      <c r="CM43127" s="111"/>
      <c r="CQ43127" s="111"/>
      <c r="EF43127"/>
      <c r="EG43127"/>
      <c r="EH43127"/>
      <c r="EI43127"/>
      <c r="EJ43127"/>
      <c r="EK43127"/>
    </row>
    <row r="43128" spans="1:141" s="116" customFormat="1">
      <c r="A43128" s="136"/>
      <c r="CM43128" s="111"/>
      <c r="CQ43128" s="111"/>
      <c r="EF43128"/>
      <c r="EG43128"/>
      <c r="EH43128"/>
      <c r="EI43128"/>
      <c r="EJ43128"/>
      <c r="EK43128"/>
    </row>
    <row r="43129" spans="1:141" s="116" customFormat="1">
      <c r="A43129" s="136"/>
      <c r="CM43129" s="111"/>
      <c r="CQ43129" s="111"/>
      <c r="EF43129"/>
      <c r="EG43129"/>
      <c r="EH43129"/>
      <c r="EI43129"/>
      <c r="EJ43129"/>
      <c r="EK43129"/>
    </row>
    <row r="43130" spans="1:141" s="116" customFormat="1">
      <c r="A43130" s="136"/>
      <c r="CM43130" s="111"/>
      <c r="CQ43130" s="111"/>
      <c r="EF43130"/>
      <c r="EG43130"/>
      <c r="EH43130"/>
      <c r="EI43130"/>
      <c r="EJ43130"/>
      <c r="EK43130"/>
    </row>
    <row r="43131" spans="1:141" s="116" customFormat="1">
      <c r="A43131" s="136"/>
      <c r="CM43131" s="111"/>
      <c r="CQ43131" s="111"/>
      <c r="EF43131"/>
      <c r="EG43131"/>
      <c r="EH43131"/>
      <c r="EI43131"/>
      <c r="EJ43131"/>
      <c r="EK43131"/>
    </row>
    <row r="43132" spans="1:141" s="116" customFormat="1">
      <c r="A43132" s="136"/>
      <c r="CM43132" s="111"/>
      <c r="CQ43132" s="111"/>
      <c r="EF43132"/>
      <c r="EG43132"/>
      <c r="EH43132"/>
      <c r="EI43132"/>
      <c r="EJ43132"/>
      <c r="EK43132"/>
    </row>
    <row r="43133" spans="1:141" s="116" customFormat="1">
      <c r="A43133" s="136"/>
      <c r="CM43133" s="111"/>
      <c r="CQ43133" s="111"/>
      <c r="EF43133"/>
      <c r="EG43133"/>
      <c r="EH43133"/>
      <c r="EI43133"/>
      <c r="EJ43133"/>
      <c r="EK43133"/>
    </row>
    <row r="43134" spans="1:141" s="116" customFormat="1">
      <c r="A43134" s="136"/>
      <c r="CM43134" s="111"/>
      <c r="CQ43134" s="111"/>
      <c r="EF43134"/>
      <c r="EG43134"/>
      <c r="EH43134"/>
      <c r="EI43134"/>
      <c r="EJ43134"/>
      <c r="EK43134"/>
    </row>
    <row r="43135" spans="1:141" s="116" customFormat="1">
      <c r="A43135" s="136"/>
      <c r="CM43135" s="111"/>
      <c r="CQ43135" s="111"/>
      <c r="EF43135"/>
      <c r="EG43135"/>
      <c r="EH43135"/>
      <c r="EI43135"/>
      <c r="EJ43135"/>
      <c r="EK43135"/>
    </row>
    <row r="43136" spans="1:141" s="116" customFormat="1">
      <c r="A43136" s="136"/>
      <c r="CM43136" s="111"/>
      <c r="CQ43136" s="111"/>
      <c r="EF43136"/>
      <c r="EG43136"/>
      <c r="EH43136"/>
      <c r="EI43136"/>
      <c r="EJ43136"/>
      <c r="EK43136"/>
    </row>
    <row r="43137" spans="1:141" s="116" customFormat="1">
      <c r="A43137" s="136"/>
      <c r="CM43137" s="111"/>
      <c r="CQ43137" s="111"/>
      <c r="EF43137"/>
      <c r="EG43137"/>
      <c r="EH43137"/>
      <c r="EI43137"/>
      <c r="EJ43137"/>
      <c r="EK43137"/>
    </row>
    <row r="43138" spans="1:141" s="116" customFormat="1">
      <c r="A43138" s="136"/>
      <c r="CM43138" s="111"/>
      <c r="CQ43138" s="111"/>
      <c r="EF43138"/>
      <c r="EG43138"/>
      <c r="EH43138"/>
      <c r="EI43138"/>
      <c r="EJ43138"/>
      <c r="EK43138"/>
    </row>
    <row r="43139" spans="1:141" s="116" customFormat="1">
      <c r="A43139" s="136"/>
      <c r="CM43139" s="111"/>
      <c r="CQ43139" s="111"/>
      <c r="EF43139"/>
      <c r="EG43139"/>
      <c r="EH43139"/>
      <c r="EI43139"/>
      <c r="EJ43139"/>
      <c r="EK43139"/>
    </row>
    <row r="43140" spans="1:141" s="116" customFormat="1">
      <c r="A43140" s="136"/>
      <c r="CM43140" s="111"/>
      <c r="CQ43140" s="111"/>
      <c r="EF43140"/>
      <c r="EG43140"/>
      <c r="EH43140"/>
      <c r="EI43140"/>
      <c r="EJ43140"/>
      <c r="EK43140"/>
    </row>
    <row r="43141" spans="1:141" s="116" customFormat="1">
      <c r="A43141" s="136"/>
      <c r="CM43141" s="111"/>
      <c r="CQ43141" s="111"/>
      <c r="EF43141"/>
      <c r="EG43141"/>
      <c r="EH43141"/>
      <c r="EI43141"/>
      <c r="EJ43141"/>
      <c r="EK43141"/>
    </row>
    <row r="43142" spans="1:141" s="116" customFormat="1">
      <c r="A43142" s="136"/>
      <c r="CM43142" s="111"/>
      <c r="CQ43142" s="111"/>
      <c r="EF43142"/>
      <c r="EG43142"/>
      <c r="EH43142"/>
      <c r="EI43142"/>
      <c r="EJ43142"/>
      <c r="EK43142"/>
    </row>
    <row r="43143" spans="1:141" s="116" customFormat="1">
      <c r="A43143" s="136"/>
      <c r="CM43143" s="111"/>
      <c r="CQ43143" s="111"/>
      <c r="EF43143"/>
      <c r="EG43143"/>
      <c r="EH43143"/>
      <c r="EI43143"/>
      <c r="EJ43143"/>
      <c r="EK43143"/>
    </row>
    <row r="43144" spans="1:141" s="116" customFormat="1">
      <c r="A43144" s="136"/>
      <c r="CM43144" s="111"/>
      <c r="CQ43144" s="111"/>
      <c r="EF43144"/>
      <c r="EG43144"/>
      <c r="EH43144"/>
      <c r="EI43144"/>
      <c r="EJ43144"/>
      <c r="EK43144"/>
    </row>
    <row r="43145" spans="1:141" s="116" customFormat="1">
      <c r="A43145" s="136"/>
      <c r="CM43145" s="111"/>
      <c r="CQ43145" s="111"/>
      <c r="EF43145"/>
      <c r="EG43145"/>
      <c r="EH43145"/>
      <c r="EI43145"/>
      <c r="EJ43145"/>
      <c r="EK43145"/>
    </row>
    <row r="43146" spans="1:141" s="116" customFormat="1">
      <c r="A43146" s="136"/>
      <c r="CM43146" s="111"/>
      <c r="CQ43146" s="111"/>
      <c r="EF43146"/>
      <c r="EG43146"/>
      <c r="EH43146"/>
      <c r="EI43146"/>
      <c r="EJ43146"/>
      <c r="EK43146"/>
    </row>
    <row r="43147" spans="1:141" s="116" customFormat="1">
      <c r="A43147" s="136"/>
      <c r="CM43147" s="111"/>
      <c r="CQ43147" s="111"/>
      <c r="EF43147"/>
      <c r="EG43147"/>
      <c r="EH43147"/>
      <c r="EI43147"/>
      <c r="EJ43147"/>
      <c r="EK43147"/>
    </row>
    <row r="43148" spans="1:141" s="116" customFormat="1">
      <c r="A43148" s="136"/>
      <c r="CM43148" s="111"/>
      <c r="CQ43148" s="111"/>
      <c r="EF43148"/>
      <c r="EG43148"/>
      <c r="EH43148"/>
      <c r="EI43148"/>
      <c r="EJ43148"/>
      <c r="EK43148"/>
    </row>
    <row r="43149" spans="1:141" s="116" customFormat="1">
      <c r="A43149" s="136"/>
      <c r="CM43149" s="111"/>
      <c r="CQ43149" s="111"/>
      <c r="EF43149"/>
      <c r="EG43149"/>
      <c r="EH43149"/>
      <c r="EI43149"/>
      <c r="EJ43149"/>
      <c r="EK43149"/>
    </row>
    <row r="43150" spans="1:141" s="116" customFormat="1">
      <c r="A43150" s="136"/>
      <c r="CM43150" s="111"/>
      <c r="CQ43150" s="111"/>
      <c r="EF43150"/>
      <c r="EG43150"/>
      <c r="EH43150"/>
      <c r="EI43150"/>
      <c r="EJ43150"/>
      <c r="EK43150"/>
    </row>
    <row r="43151" spans="1:141" s="116" customFormat="1">
      <c r="A43151" s="136"/>
      <c r="CM43151" s="111"/>
      <c r="CQ43151" s="111"/>
      <c r="EF43151"/>
      <c r="EG43151"/>
      <c r="EH43151"/>
      <c r="EI43151"/>
      <c r="EJ43151"/>
      <c r="EK43151"/>
    </row>
    <row r="43152" spans="1:141" s="116" customFormat="1">
      <c r="A43152" s="136"/>
      <c r="CM43152" s="111"/>
      <c r="CQ43152" s="111"/>
      <c r="EF43152"/>
      <c r="EG43152"/>
      <c r="EH43152"/>
      <c r="EI43152"/>
      <c r="EJ43152"/>
      <c r="EK43152"/>
    </row>
    <row r="43153" spans="1:141" s="116" customFormat="1">
      <c r="A43153" s="136"/>
      <c r="CM43153" s="111"/>
      <c r="CQ43153" s="111"/>
      <c r="EF43153"/>
      <c r="EG43153"/>
      <c r="EH43153"/>
      <c r="EI43153"/>
      <c r="EJ43153"/>
      <c r="EK43153"/>
    </row>
    <row r="43154" spans="1:141" s="116" customFormat="1">
      <c r="A43154" s="136"/>
      <c r="CM43154" s="111"/>
      <c r="CQ43154" s="111"/>
      <c r="EF43154"/>
      <c r="EG43154"/>
      <c r="EH43154"/>
      <c r="EI43154"/>
      <c r="EJ43154"/>
      <c r="EK43154"/>
    </row>
    <row r="43155" spans="1:141" s="116" customFormat="1">
      <c r="A43155" s="136"/>
      <c r="CM43155" s="111"/>
      <c r="CQ43155" s="111"/>
      <c r="EF43155"/>
      <c r="EG43155"/>
      <c r="EH43155"/>
      <c r="EI43155"/>
      <c r="EJ43155"/>
      <c r="EK43155"/>
    </row>
    <row r="43156" spans="1:141" s="116" customFormat="1">
      <c r="A43156" s="136"/>
      <c r="CM43156" s="111"/>
      <c r="CQ43156" s="111"/>
      <c r="EF43156"/>
      <c r="EG43156"/>
      <c r="EH43156"/>
      <c r="EI43156"/>
      <c r="EJ43156"/>
      <c r="EK43156"/>
    </row>
    <row r="43157" spans="1:141" s="116" customFormat="1">
      <c r="A43157" s="136"/>
      <c r="CM43157" s="111"/>
      <c r="CQ43157" s="111"/>
      <c r="EF43157"/>
      <c r="EG43157"/>
      <c r="EH43157"/>
      <c r="EI43157"/>
      <c r="EJ43157"/>
      <c r="EK43157"/>
    </row>
    <row r="43158" spans="1:141" s="116" customFormat="1">
      <c r="A43158" s="136"/>
      <c r="CM43158" s="111"/>
      <c r="CQ43158" s="111"/>
      <c r="EF43158"/>
      <c r="EG43158"/>
      <c r="EH43158"/>
      <c r="EI43158"/>
      <c r="EJ43158"/>
      <c r="EK43158"/>
    </row>
    <row r="43159" spans="1:141" s="116" customFormat="1">
      <c r="A43159" s="136"/>
      <c r="CM43159" s="111"/>
      <c r="CQ43159" s="111"/>
      <c r="EF43159"/>
      <c r="EG43159"/>
      <c r="EH43159"/>
      <c r="EI43159"/>
      <c r="EJ43159"/>
      <c r="EK43159"/>
    </row>
    <row r="43160" spans="1:141" s="116" customFormat="1">
      <c r="A43160" s="136"/>
      <c r="CM43160" s="111"/>
      <c r="CQ43160" s="111"/>
      <c r="EF43160"/>
      <c r="EG43160"/>
      <c r="EH43160"/>
      <c r="EI43160"/>
      <c r="EJ43160"/>
      <c r="EK43160"/>
    </row>
    <row r="43161" spans="1:141" s="116" customFormat="1">
      <c r="A43161" s="136"/>
      <c r="CM43161" s="111"/>
      <c r="CQ43161" s="111"/>
      <c r="EF43161"/>
      <c r="EG43161"/>
      <c r="EH43161"/>
      <c r="EI43161"/>
      <c r="EJ43161"/>
      <c r="EK43161"/>
    </row>
    <row r="43162" spans="1:141" s="116" customFormat="1">
      <c r="A43162" s="136"/>
      <c r="CM43162" s="111"/>
      <c r="CQ43162" s="111"/>
      <c r="EF43162"/>
      <c r="EG43162"/>
      <c r="EH43162"/>
      <c r="EI43162"/>
      <c r="EJ43162"/>
      <c r="EK43162"/>
    </row>
    <row r="43163" spans="1:141" s="116" customFormat="1">
      <c r="A43163" s="136"/>
      <c r="CM43163" s="111"/>
      <c r="CQ43163" s="111"/>
      <c r="EF43163"/>
      <c r="EG43163"/>
      <c r="EH43163"/>
      <c r="EI43163"/>
      <c r="EJ43163"/>
      <c r="EK43163"/>
    </row>
    <row r="43164" spans="1:141" s="116" customFormat="1">
      <c r="A43164" s="136"/>
      <c r="CM43164" s="111"/>
      <c r="CQ43164" s="111"/>
      <c r="EF43164"/>
      <c r="EG43164"/>
      <c r="EH43164"/>
      <c r="EI43164"/>
      <c r="EJ43164"/>
      <c r="EK43164"/>
    </row>
    <row r="43165" spans="1:141" s="116" customFormat="1">
      <c r="A43165" s="136"/>
      <c r="CM43165" s="111"/>
      <c r="CQ43165" s="111"/>
      <c r="EF43165"/>
      <c r="EG43165"/>
      <c r="EH43165"/>
      <c r="EI43165"/>
      <c r="EJ43165"/>
      <c r="EK43165"/>
    </row>
    <row r="43166" spans="1:141" s="116" customFormat="1">
      <c r="A43166" s="136"/>
      <c r="CM43166" s="111"/>
      <c r="CQ43166" s="111"/>
      <c r="EF43166"/>
      <c r="EG43166"/>
      <c r="EH43166"/>
      <c r="EI43166"/>
      <c r="EJ43166"/>
      <c r="EK43166"/>
    </row>
    <row r="43167" spans="1:141" s="116" customFormat="1">
      <c r="A43167" s="136"/>
      <c r="CM43167" s="111"/>
      <c r="CQ43167" s="111"/>
      <c r="EF43167"/>
      <c r="EG43167"/>
      <c r="EH43167"/>
      <c r="EI43167"/>
      <c r="EJ43167"/>
      <c r="EK43167"/>
    </row>
    <row r="43168" spans="1:141" s="116" customFormat="1">
      <c r="A43168" s="136"/>
      <c r="CM43168" s="111"/>
      <c r="CQ43168" s="111"/>
      <c r="EF43168"/>
      <c r="EG43168"/>
      <c r="EH43168"/>
      <c r="EI43168"/>
      <c r="EJ43168"/>
      <c r="EK43168"/>
    </row>
    <row r="43169" spans="1:141" s="116" customFormat="1">
      <c r="A43169" s="136"/>
      <c r="CM43169" s="111"/>
      <c r="CQ43169" s="111"/>
      <c r="EF43169"/>
      <c r="EG43169"/>
      <c r="EH43169"/>
      <c r="EI43169"/>
      <c r="EJ43169"/>
      <c r="EK43169"/>
    </row>
    <row r="43170" spans="1:141" s="116" customFormat="1">
      <c r="A43170" s="136"/>
      <c r="CM43170" s="111"/>
      <c r="CQ43170" s="111"/>
      <c r="EF43170"/>
      <c r="EG43170"/>
      <c r="EH43170"/>
      <c r="EI43170"/>
      <c r="EJ43170"/>
      <c r="EK43170"/>
    </row>
    <row r="43171" spans="1:141" s="116" customFormat="1">
      <c r="A43171" s="136"/>
      <c r="CM43171" s="111"/>
      <c r="CQ43171" s="111"/>
      <c r="EF43171"/>
      <c r="EG43171"/>
      <c r="EH43171"/>
      <c r="EI43171"/>
      <c r="EJ43171"/>
      <c r="EK43171"/>
    </row>
    <row r="43172" spans="1:141" s="116" customFormat="1">
      <c r="A43172" s="136"/>
      <c r="CM43172" s="111"/>
      <c r="CQ43172" s="111"/>
      <c r="EF43172"/>
      <c r="EG43172"/>
      <c r="EH43172"/>
      <c r="EI43172"/>
      <c r="EJ43172"/>
      <c r="EK43172"/>
    </row>
    <row r="43173" spans="1:141" s="116" customFormat="1">
      <c r="A43173" s="136"/>
      <c r="CM43173" s="111"/>
      <c r="CQ43173" s="111"/>
      <c r="EF43173"/>
      <c r="EG43173"/>
      <c r="EH43173"/>
      <c r="EI43173"/>
      <c r="EJ43173"/>
      <c r="EK43173"/>
    </row>
    <row r="43174" spans="1:141" s="116" customFormat="1">
      <c r="A43174" s="136"/>
      <c r="CM43174" s="111"/>
      <c r="CQ43174" s="111"/>
      <c r="EF43174"/>
      <c r="EG43174"/>
      <c r="EH43174"/>
      <c r="EI43174"/>
      <c r="EJ43174"/>
      <c r="EK43174"/>
    </row>
    <row r="43175" spans="1:141" s="116" customFormat="1">
      <c r="A43175" s="136"/>
      <c r="CM43175" s="111"/>
      <c r="CQ43175" s="111"/>
      <c r="EF43175"/>
      <c r="EG43175"/>
      <c r="EH43175"/>
      <c r="EI43175"/>
      <c r="EJ43175"/>
      <c r="EK43175"/>
    </row>
    <row r="43176" spans="1:141" s="116" customFormat="1">
      <c r="A43176" s="136"/>
      <c r="CM43176" s="111"/>
      <c r="CQ43176" s="111"/>
      <c r="EF43176"/>
      <c r="EG43176"/>
      <c r="EH43176"/>
      <c r="EI43176"/>
      <c r="EJ43176"/>
      <c r="EK43176"/>
    </row>
    <row r="43177" spans="1:141" s="116" customFormat="1">
      <c r="A43177" s="136"/>
      <c r="CM43177" s="111"/>
      <c r="CQ43177" s="111"/>
      <c r="EF43177"/>
      <c r="EG43177"/>
      <c r="EH43177"/>
      <c r="EI43177"/>
      <c r="EJ43177"/>
      <c r="EK43177"/>
    </row>
    <row r="43178" spans="1:141" s="116" customFormat="1">
      <c r="A43178" s="136"/>
      <c r="CM43178" s="111"/>
      <c r="CQ43178" s="111"/>
      <c r="EF43178"/>
      <c r="EG43178"/>
      <c r="EH43178"/>
      <c r="EI43178"/>
      <c r="EJ43178"/>
      <c r="EK43178"/>
    </row>
    <row r="43179" spans="1:141" s="116" customFormat="1">
      <c r="A43179" s="136"/>
      <c r="CM43179" s="111"/>
      <c r="CQ43179" s="111"/>
      <c r="EF43179"/>
      <c r="EG43179"/>
      <c r="EH43179"/>
      <c r="EI43179"/>
      <c r="EJ43179"/>
      <c r="EK43179"/>
    </row>
    <row r="43180" spans="1:141" s="116" customFormat="1">
      <c r="A43180" s="136"/>
      <c r="CM43180" s="111"/>
      <c r="CQ43180" s="111"/>
      <c r="EF43180"/>
      <c r="EG43180"/>
      <c r="EH43180"/>
      <c r="EI43180"/>
      <c r="EJ43180"/>
      <c r="EK43180"/>
    </row>
    <row r="43181" spans="1:141" s="116" customFormat="1">
      <c r="A43181" s="136"/>
      <c r="CM43181" s="111"/>
      <c r="CQ43181" s="111"/>
      <c r="EF43181"/>
      <c r="EG43181"/>
      <c r="EH43181"/>
      <c r="EI43181"/>
      <c r="EJ43181"/>
      <c r="EK43181"/>
    </row>
    <row r="43182" spans="1:141" s="116" customFormat="1">
      <c r="A43182" s="136"/>
      <c r="CM43182" s="111"/>
      <c r="CQ43182" s="111"/>
      <c r="EF43182"/>
      <c r="EG43182"/>
      <c r="EH43182"/>
      <c r="EI43182"/>
      <c r="EJ43182"/>
      <c r="EK43182"/>
    </row>
    <row r="43183" spans="1:141" s="116" customFormat="1">
      <c r="A43183" s="136"/>
      <c r="CM43183" s="111"/>
      <c r="CQ43183" s="111"/>
      <c r="EF43183"/>
      <c r="EG43183"/>
      <c r="EH43183"/>
      <c r="EI43183"/>
      <c r="EJ43183"/>
      <c r="EK43183"/>
    </row>
    <row r="43184" spans="1:141" s="116" customFormat="1">
      <c r="A43184" s="136"/>
      <c r="CM43184" s="111"/>
      <c r="CQ43184" s="111"/>
      <c r="EF43184"/>
      <c r="EG43184"/>
      <c r="EH43184"/>
      <c r="EI43184"/>
      <c r="EJ43184"/>
      <c r="EK43184"/>
    </row>
    <row r="43185" spans="1:141" s="116" customFormat="1">
      <c r="A43185" s="136"/>
      <c r="CM43185" s="111"/>
      <c r="CQ43185" s="111"/>
      <c r="EF43185"/>
      <c r="EG43185"/>
      <c r="EH43185"/>
      <c r="EI43185"/>
      <c r="EJ43185"/>
      <c r="EK43185"/>
    </row>
    <row r="43186" spans="1:141" s="116" customFormat="1">
      <c r="A43186" s="136"/>
      <c r="CM43186" s="111"/>
      <c r="CQ43186" s="111"/>
      <c r="EF43186"/>
      <c r="EG43186"/>
      <c r="EH43186"/>
      <c r="EI43186"/>
      <c r="EJ43186"/>
      <c r="EK43186"/>
    </row>
    <row r="43187" spans="1:141" s="116" customFormat="1">
      <c r="A43187" s="136"/>
      <c r="CM43187" s="111"/>
      <c r="CQ43187" s="111"/>
      <c r="EF43187"/>
      <c r="EG43187"/>
      <c r="EH43187"/>
      <c r="EI43187"/>
      <c r="EJ43187"/>
      <c r="EK43187"/>
    </row>
    <row r="43188" spans="1:141" s="116" customFormat="1">
      <c r="A43188" s="136"/>
      <c r="CM43188" s="111"/>
      <c r="CQ43188" s="111"/>
      <c r="EF43188"/>
      <c r="EG43188"/>
      <c r="EH43188"/>
      <c r="EI43188"/>
      <c r="EJ43188"/>
      <c r="EK43188"/>
    </row>
    <row r="43189" spans="1:141" s="116" customFormat="1">
      <c r="A43189" s="136"/>
      <c r="CM43189" s="111"/>
      <c r="CQ43189" s="111"/>
      <c r="EF43189"/>
      <c r="EG43189"/>
      <c r="EH43189"/>
      <c r="EI43189"/>
      <c r="EJ43189"/>
      <c r="EK43189"/>
    </row>
    <row r="43190" spans="1:141" s="116" customFormat="1">
      <c r="A43190" s="136"/>
      <c r="CM43190" s="111"/>
      <c r="CQ43190" s="111"/>
      <c r="EF43190"/>
      <c r="EG43190"/>
      <c r="EH43190"/>
      <c r="EI43190"/>
      <c r="EJ43190"/>
      <c r="EK43190"/>
    </row>
    <row r="43191" spans="1:141" s="116" customFormat="1">
      <c r="A43191" s="136"/>
      <c r="CM43191" s="111"/>
      <c r="CQ43191" s="111"/>
      <c r="EF43191"/>
      <c r="EG43191"/>
      <c r="EH43191"/>
      <c r="EI43191"/>
      <c r="EJ43191"/>
      <c r="EK43191"/>
    </row>
    <row r="43192" spans="1:141" s="116" customFormat="1">
      <c r="A43192" s="136"/>
      <c r="CM43192" s="111"/>
      <c r="CQ43192" s="111"/>
      <c r="EF43192"/>
      <c r="EG43192"/>
      <c r="EH43192"/>
      <c r="EI43192"/>
      <c r="EJ43192"/>
      <c r="EK43192"/>
    </row>
    <row r="43193" spans="1:141" s="116" customFormat="1">
      <c r="A43193" s="136"/>
      <c r="CM43193" s="111"/>
      <c r="CQ43193" s="111"/>
      <c r="EF43193"/>
      <c r="EG43193"/>
      <c r="EH43193"/>
      <c r="EI43193"/>
      <c r="EJ43193"/>
      <c r="EK43193"/>
    </row>
    <row r="43194" spans="1:141" s="116" customFormat="1">
      <c r="A43194" s="136"/>
      <c r="CM43194" s="111"/>
      <c r="CQ43194" s="111"/>
      <c r="EF43194"/>
      <c r="EG43194"/>
      <c r="EH43194"/>
      <c r="EI43194"/>
      <c r="EJ43194"/>
      <c r="EK43194"/>
    </row>
    <row r="43195" spans="1:141" s="116" customFormat="1">
      <c r="A43195" s="136"/>
      <c r="CM43195" s="111"/>
      <c r="CQ43195" s="111"/>
      <c r="EF43195"/>
      <c r="EG43195"/>
      <c r="EH43195"/>
      <c r="EI43195"/>
      <c r="EJ43195"/>
      <c r="EK43195"/>
    </row>
    <row r="43196" spans="1:141" s="116" customFormat="1">
      <c r="A43196" s="136"/>
      <c r="CM43196" s="111"/>
      <c r="CQ43196" s="111"/>
      <c r="EF43196"/>
      <c r="EG43196"/>
      <c r="EH43196"/>
      <c r="EI43196"/>
      <c r="EJ43196"/>
      <c r="EK43196"/>
    </row>
    <row r="43197" spans="1:141" s="116" customFormat="1">
      <c r="A43197" s="136"/>
      <c r="CM43197" s="111"/>
      <c r="CQ43197" s="111"/>
      <c r="EF43197"/>
      <c r="EG43197"/>
      <c r="EH43197"/>
      <c r="EI43197"/>
      <c r="EJ43197"/>
      <c r="EK43197"/>
    </row>
    <row r="43198" spans="1:141" s="116" customFormat="1">
      <c r="A43198" s="136"/>
      <c r="CM43198" s="111"/>
      <c r="CQ43198" s="111"/>
      <c r="EF43198"/>
      <c r="EG43198"/>
      <c r="EH43198"/>
      <c r="EI43198"/>
      <c r="EJ43198"/>
      <c r="EK43198"/>
    </row>
    <row r="43199" spans="1:141" s="116" customFormat="1">
      <c r="A43199" s="136"/>
      <c r="CM43199" s="111"/>
      <c r="CQ43199" s="111"/>
      <c r="EF43199"/>
      <c r="EG43199"/>
      <c r="EH43199"/>
      <c r="EI43199"/>
      <c r="EJ43199"/>
      <c r="EK43199"/>
    </row>
    <row r="43200" spans="1:141" s="116" customFormat="1">
      <c r="A43200" s="136"/>
      <c r="CM43200" s="111"/>
      <c r="CQ43200" s="111"/>
      <c r="EF43200"/>
      <c r="EG43200"/>
      <c r="EH43200"/>
      <c r="EI43200"/>
      <c r="EJ43200"/>
      <c r="EK43200"/>
    </row>
    <row r="43201" spans="1:141" s="116" customFormat="1">
      <c r="A43201" s="136"/>
      <c r="CM43201" s="111"/>
      <c r="CQ43201" s="111"/>
      <c r="EF43201"/>
      <c r="EG43201"/>
      <c r="EH43201"/>
      <c r="EI43201"/>
      <c r="EJ43201"/>
      <c r="EK43201"/>
    </row>
    <row r="43202" spans="1:141" s="116" customFormat="1">
      <c r="A43202" s="136"/>
      <c r="CM43202" s="111"/>
      <c r="CQ43202" s="111"/>
      <c r="EF43202"/>
      <c r="EG43202"/>
      <c r="EH43202"/>
      <c r="EI43202"/>
      <c r="EJ43202"/>
      <c r="EK43202"/>
    </row>
    <row r="43203" spans="1:141" s="116" customFormat="1">
      <c r="A43203" s="136"/>
      <c r="CM43203" s="111"/>
      <c r="CQ43203" s="111"/>
      <c r="EF43203"/>
      <c r="EG43203"/>
      <c r="EH43203"/>
      <c r="EI43203"/>
      <c r="EJ43203"/>
      <c r="EK43203"/>
    </row>
    <row r="43204" spans="1:141" s="116" customFormat="1">
      <c r="A43204" s="136"/>
      <c r="CM43204" s="111"/>
      <c r="CQ43204" s="111"/>
      <c r="EF43204"/>
      <c r="EG43204"/>
      <c r="EH43204"/>
      <c r="EI43204"/>
      <c r="EJ43204"/>
      <c r="EK43204"/>
    </row>
    <row r="43205" spans="1:141" s="116" customFormat="1">
      <c r="A43205" s="136"/>
      <c r="CM43205" s="111"/>
      <c r="CQ43205" s="111"/>
      <c r="EF43205"/>
      <c r="EG43205"/>
      <c r="EH43205"/>
      <c r="EI43205"/>
      <c r="EJ43205"/>
      <c r="EK43205"/>
    </row>
    <row r="43206" spans="1:141" s="116" customFormat="1">
      <c r="A43206" s="136"/>
      <c r="CM43206" s="111"/>
      <c r="CQ43206" s="111"/>
      <c r="EF43206"/>
      <c r="EG43206"/>
      <c r="EH43206"/>
      <c r="EI43206"/>
      <c r="EJ43206"/>
      <c r="EK43206"/>
    </row>
    <row r="43207" spans="1:141" s="116" customFormat="1">
      <c r="A43207" s="136"/>
      <c r="CM43207" s="111"/>
      <c r="CQ43207" s="111"/>
      <c r="EF43207"/>
      <c r="EG43207"/>
      <c r="EH43207"/>
      <c r="EI43207"/>
      <c r="EJ43207"/>
      <c r="EK43207"/>
    </row>
    <row r="43208" spans="1:141" s="116" customFormat="1">
      <c r="A43208" s="136"/>
      <c r="CM43208" s="111"/>
      <c r="CQ43208" s="111"/>
      <c r="EF43208"/>
      <c r="EG43208"/>
      <c r="EH43208"/>
      <c r="EI43208"/>
      <c r="EJ43208"/>
      <c r="EK43208"/>
    </row>
    <row r="43209" spans="1:141" s="116" customFormat="1">
      <c r="A43209" s="136"/>
      <c r="CM43209" s="111"/>
      <c r="CQ43209" s="111"/>
      <c r="EF43209"/>
      <c r="EG43209"/>
      <c r="EH43209"/>
      <c r="EI43209"/>
      <c r="EJ43209"/>
      <c r="EK43209"/>
    </row>
    <row r="43210" spans="1:141" s="116" customFormat="1">
      <c r="A43210" s="136"/>
      <c r="CM43210" s="111"/>
      <c r="CQ43210" s="111"/>
      <c r="EF43210"/>
      <c r="EG43210"/>
      <c r="EH43210"/>
      <c r="EI43210"/>
      <c r="EJ43210"/>
      <c r="EK43210"/>
    </row>
    <row r="43211" spans="1:141" s="116" customFormat="1">
      <c r="A43211" s="136"/>
      <c r="CM43211" s="111"/>
      <c r="CQ43211" s="111"/>
      <c r="EF43211"/>
      <c r="EG43211"/>
      <c r="EH43211"/>
      <c r="EI43211"/>
      <c r="EJ43211"/>
      <c r="EK43211"/>
    </row>
    <row r="43212" spans="1:141" s="116" customFormat="1">
      <c r="A43212" s="136"/>
      <c r="CM43212" s="111"/>
      <c r="CQ43212" s="111"/>
      <c r="EF43212"/>
      <c r="EG43212"/>
      <c r="EH43212"/>
      <c r="EI43212"/>
      <c r="EJ43212"/>
      <c r="EK43212"/>
    </row>
    <row r="43213" spans="1:141" s="116" customFormat="1">
      <c r="A43213" s="136"/>
      <c r="CM43213" s="111"/>
      <c r="CQ43213" s="111"/>
      <c r="EF43213"/>
      <c r="EG43213"/>
      <c r="EH43213"/>
      <c r="EI43213"/>
      <c r="EJ43213"/>
      <c r="EK43213"/>
    </row>
    <row r="43214" spans="1:141" s="116" customFormat="1">
      <c r="A43214" s="136"/>
      <c r="CM43214" s="111"/>
      <c r="CQ43214" s="111"/>
      <c r="EF43214"/>
      <c r="EG43214"/>
      <c r="EH43214"/>
      <c r="EI43214"/>
      <c r="EJ43214"/>
      <c r="EK43214"/>
    </row>
    <row r="43215" spans="1:141" s="116" customFormat="1">
      <c r="A43215" s="136"/>
      <c r="CM43215" s="111"/>
      <c r="CQ43215" s="111"/>
      <c r="EF43215"/>
      <c r="EG43215"/>
      <c r="EH43215"/>
      <c r="EI43215"/>
      <c r="EJ43215"/>
      <c r="EK43215"/>
    </row>
    <row r="43216" spans="1:141" s="116" customFormat="1">
      <c r="A43216" s="136"/>
      <c r="CM43216" s="111"/>
      <c r="CQ43216" s="111"/>
      <c r="EF43216"/>
      <c r="EG43216"/>
      <c r="EH43216"/>
      <c r="EI43216"/>
      <c r="EJ43216"/>
      <c r="EK43216"/>
    </row>
    <row r="43217" spans="1:141" s="116" customFormat="1">
      <c r="A43217" s="136"/>
      <c r="CM43217" s="111"/>
      <c r="CQ43217" s="111"/>
      <c r="EF43217"/>
      <c r="EG43217"/>
      <c r="EH43217"/>
      <c r="EI43217"/>
      <c r="EJ43217"/>
      <c r="EK43217"/>
    </row>
    <row r="43218" spans="1:141" s="116" customFormat="1">
      <c r="A43218" s="136"/>
      <c r="CM43218" s="111"/>
      <c r="CQ43218" s="111"/>
      <c r="EF43218"/>
      <c r="EG43218"/>
      <c r="EH43218"/>
      <c r="EI43218"/>
      <c r="EJ43218"/>
      <c r="EK43218"/>
    </row>
    <row r="43219" spans="1:141" s="116" customFormat="1">
      <c r="A43219" s="136"/>
      <c r="CM43219" s="111"/>
      <c r="CQ43219" s="111"/>
      <c r="EF43219"/>
      <c r="EG43219"/>
      <c r="EH43219"/>
      <c r="EI43219"/>
      <c r="EJ43219"/>
      <c r="EK43219"/>
    </row>
    <row r="43220" spans="1:141" s="116" customFormat="1">
      <c r="A43220" s="136"/>
      <c r="CM43220" s="111"/>
      <c r="CQ43220" s="111"/>
      <c r="EF43220"/>
      <c r="EG43220"/>
      <c r="EH43220"/>
      <c r="EI43220"/>
      <c r="EJ43220"/>
      <c r="EK43220"/>
    </row>
    <row r="43221" spans="1:141" s="116" customFormat="1">
      <c r="A43221" s="136"/>
      <c r="CM43221" s="111"/>
      <c r="CQ43221" s="111"/>
      <c r="EF43221"/>
      <c r="EG43221"/>
      <c r="EH43221"/>
      <c r="EI43221"/>
      <c r="EJ43221"/>
      <c r="EK43221"/>
    </row>
    <row r="43222" spans="1:141" s="116" customFormat="1">
      <c r="A43222" s="136"/>
      <c r="CM43222" s="111"/>
      <c r="CQ43222" s="111"/>
      <c r="EF43222"/>
      <c r="EG43222"/>
      <c r="EH43222"/>
      <c r="EI43222"/>
      <c r="EJ43222"/>
      <c r="EK43222"/>
    </row>
    <row r="43223" spans="1:141" s="116" customFormat="1">
      <c r="A43223" s="136"/>
      <c r="CM43223" s="111"/>
      <c r="CQ43223" s="111"/>
      <c r="EF43223"/>
      <c r="EG43223"/>
      <c r="EH43223"/>
      <c r="EI43223"/>
      <c r="EJ43223"/>
      <c r="EK43223"/>
    </row>
    <row r="43224" spans="1:141" s="116" customFormat="1">
      <c r="A43224" s="136"/>
      <c r="CM43224" s="111"/>
      <c r="CQ43224" s="111"/>
      <c r="EF43224"/>
      <c r="EG43224"/>
      <c r="EH43224"/>
      <c r="EI43224"/>
      <c r="EJ43224"/>
      <c r="EK43224"/>
    </row>
    <row r="43225" spans="1:141" s="116" customFormat="1">
      <c r="A43225" s="136"/>
      <c r="CM43225" s="111"/>
      <c r="CQ43225" s="111"/>
      <c r="EF43225"/>
      <c r="EG43225"/>
      <c r="EH43225"/>
      <c r="EI43225"/>
      <c r="EJ43225"/>
      <c r="EK43225"/>
    </row>
    <row r="43226" spans="1:141" s="116" customFormat="1">
      <c r="A43226" s="136"/>
      <c r="CM43226" s="111"/>
      <c r="CQ43226" s="111"/>
      <c r="EF43226"/>
      <c r="EG43226"/>
      <c r="EH43226"/>
      <c r="EI43226"/>
      <c r="EJ43226"/>
      <c r="EK43226"/>
    </row>
    <row r="43227" spans="1:141" s="116" customFormat="1">
      <c r="A43227" s="136"/>
      <c r="CM43227" s="111"/>
      <c r="CQ43227" s="111"/>
      <c r="EF43227"/>
      <c r="EG43227"/>
      <c r="EH43227"/>
      <c r="EI43227"/>
      <c r="EJ43227"/>
      <c r="EK43227"/>
    </row>
    <row r="43228" spans="1:141" s="116" customFormat="1">
      <c r="A43228" s="136"/>
      <c r="CM43228" s="111"/>
      <c r="CQ43228" s="111"/>
      <c r="EF43228"/>
      <c r="EG43228"/>
      <c r="EH43228"/>
      <c r="EI43228"/>
      <c r="EJ43228"/>
      <c r="EK43228"/>
    </row>
    <row r="43229" spans="1:141" s="116" customFormat="1">
      <c r="A43229" s="136"/>
      <c r="CM43229" s="111"/>
      <c r="CQ43229" s="111"/>
      <c r="EF43229"/>
      <c r="EG43229"/>
      <c r="EH43229"/>
      <c r="EI43229"/>
      <c r="EJ43229"/>
      <c r="EK43229"/>
    </row>
    <row r="43230" spans="1:141" s="116" customFormat="1">
      <c r="A43230" s="136"/>
      <c r="CM43230" s="111"/>
      <c r="CQ43230" s="111"/>
      <c r="EF43230"/>
      <c r="EG43230"/>
      <c r="EH43230"/>
      <c r="EI43230"/>
      <c r="EJ43230"/>
      <c r="EK43230"/>
    </row>
    <row r="43231" spans="1:141" s="116" customFormat="1">
      <c r="A43231" s="136"/>
      <c r="CM43231" s="111"/>
      <c r="CQ43231" s="111"/>
      <c r="EF43231"/>
      <c r="EG43231"/>
      <c r="EH43231"/>
      <c r="EI43231"/>
      <c r="EJ43231"/>
      <c r="EK43231"/>
    </row>
    <row r="43232" spans="1:141" s="116" customFormat="1">
      <c r="A43232" s="136"/>
      <c r="CM43232" s="111"/>
      <c r="CQ43232" s="111"/>
      <c r="EF43232"/>
      <c r="EG43232"/>
      <c r="EH43232"/>
      <c r="EI43232"/>
      <c r="EJ43232"/>
      <c r="EK43232"/>
    </row>
    <row r="43233" spans="1:141" s="116" customFormat="1">
      <c r="A43233" s="136"/>
      <c r="CM43233" s="111"/>
      <c r="CQ43233" s="111"/>
      <c r="EF43233"/>
      <c r="EG43233"/>
      <c r="EH43233"/>
      <c r="EI43233"/>
      <c r="EJ43233"/>
      <c r="EK43233"/>
    </row>
    <row r="43234" spans="1:141" s="116" customFormat="1">
      <c r="A43234" s="136"/>
      <c r="CM43234" s="111"/>
      <c r="CQ43234" s="111"/>
      <c r="EF43234"/>
      <c r="EG43234"/>
      <c r="EH43234"/>
      <c r="EI43234"/>
      <c r="EJ43234"/>
      <c r="EK43234"/>
    </row>
    <row r="43235" spans="1:141" s="116" customFormat="1">
      <c r="A43235" s="136"/>
      <c r="CM43235" s="111"/>
      <c r="CQ43235" s="111"/>
      <c r="EF43235"/>
      <c r="EG43235"/>
      <c r="EH43235"/>
      <c r="EI43235"/>
      <c r="EJ43235"/>
      <c r="EK43235"/>
    </row>
    <row r="43236" spans="1:141" s="116" customFormat="1">
      <c r="A43236" s="136"/>
      <c r="CM43236" s="111"/>
      <c r="CQ43236" s="111"/>
      <c r="EF43236"/>
      <c r="EG43236"/>
      <c r="EH43236"/>
      <c r="EI43236"/>
      <c r="EJ43236"/>
      <c r="EK43236"/>
    </row>
    <row r="43237" spans="1:141" s="116" customFormat="1">
      <c r="A43237" s="136"/>
      <c r="CM43237" s="111"/>
      <c r="CQ43237" s="111"/>
      <c r="EF43237"/>
      <c r="EG43237"/>
      <c r="EH43237"/>
      <c r="EI43237"/>
      <c r="EJ43237"/>
      <c r="EK43237"/>
    </row>
    <row r="43238" spans="1:141" s="116" customFormat="1">
      <c r="A43238" s="136"/>
      <c r="CM43238" s="111"/>
      <c r="CQ43238" s="111"/>
      <c r="EF43238"/>
      <c r="EG43238"/>
      <c r="EH43238"/>
      <c r="EI43238"/>
      <c r="EJ43238"/>
      <c r="EK43238"/>
    </row>
    <row r="43239" spans="1:141" s="116" customFormat="1">
      <c r="A43239" s="136"/>
      <c r="CM43239" s="111"/>
      <c r="CQ43239" s="111"/>
      <c r="EF43239"/>
      <c r="EG43239"/>
      <c r="EH43239"/>
      <c r="EI43239"/>
      <c r="EJ43239"/>
      <c r="EK43239"/>
    </row>
    <row r="43240" spans="1:141" s="116" customFormat="1">
      <c r="A43240" s="136"/>
      <c r="CM43240" s="111"/>
      <c r="CQ43240" s="111"/>
      <c r="EF43240"/>
      <c r="EG43240"/>
      <c r="EH43240"/>
      <c r="EI43240"/>
      <c r="EJ43240"/>
      <c r="EK43240"/>
    </row>
    <row r="43241" spans="1:141" s="116" customFormat="1">
      <c r="A43241" s="136"/>
      <c r="CM43241" s="111"/>
      <c r="CQ43241" s="111"/>
      <c r="EF43241"/>
      <c r="EG43241"/>
      <c r="EH43241"/>
      <c r="EI43241"/>
      <c r="EJ43241"/>
      <c r="EK43241"/>
    </row>
    <row r="43242" spans="1:141" s="116" customFormat="1">
      <c r="A43242" s="136"/>
      <c r="CM43242" s="111"/>
      <c r="CQ43242" s="111"/>
      <c r="EF43242"/>
      <c r="EG43242"/>
      <c r="EH43242"/>
      <c r="EI43242"/>
      <c r="EJ43242"/>
      <c r="EK43242"/>
    </row>
    <row r="43243" spans="1:141" s="116" customFormat="1">
      <c r="A43243" s="136"/>
      <c r="CM43243" s="111"/>
      <c r="CQ43243" s="111"/>
      <c r="EF43243"/>
      <c r="EG43243"/>
      <c r="EH43243"/>
      <c r="EI43243"/>
      <c r="EJ43243"/>
      <c r="EK43243"/>
    </row>
    <row r="43244" spans="1:141" s="116" customFormat="1">
      <c r="A43244" s="136"/>
      <c r="CM43244" s="111"/>
      <c r="CQ43244" s="111"/>
      <c r="EF43244"/>
      <c r="EG43244"/>
      <c r="EH43244"/>
      <c r="EI43244"/>
      <c r="EJ43244"/>
      <c r="EK43244"/>
    </row>
    <row r="43245" spans="1:141" s="116" customFormat="1">
      <c r="A43245" s="136"/>
      <c r="CM43245" s="111"/>
      <c r="CQ43245" s="111"/>
      <c r="EF43245"/>
      <c r="EG43245"/>
      <c r="EH43245"/>
      <c r="EI43245"/>
      <c r="EJ43245"/>
      <c r="EK43245"/>
    </row>
    <row r="43246" spans="1:141" s="116" customFormat="1">
      <c r="A43246" s="136"/>
      <c r="CM43246" s="111"/>
      <c r="CQ43246" s="111"/>
      <c r="EF43246"/>
      <c r="EG43246"/>
      <c r="EH43246"/>
      <c r="EI43246"/>
      <c r="EJ43246"/>
      <c r="EK43246"/>
    </row>
    <row r="43247" spans="1:141" s="116" customFormat="1">
      <c r="A43247" s="136"/>
      <c r="CM43247" s="111"/>
      <c r="CQ43247" s="111"/>
      <c r="EF43247"/>
      <c r="EG43247"/>
      <c r="EH43247"/>
      <c r="EI43247"/>
      <c r="EJ43247"/>
      <c r="EK43247"/>
    </row>
    <row r="43248" spans="1:141" s="116" customFormat="1">
      <c r="A43248" s="136"/>
      <c r="CM43248" s="111"/>
      <c r="CQ43248" s="111"/>
      <c r="EF43248"/>
      <c r="EG43248"/>
      <c r="EH43248"/>
      <c r="EI43248"/>
      <c r="EJ43248"/>
      <c r="EK43248"/>
    </row>
    <row r="43249" spans="1:141" s="116" customFormat="1">
      <c r="A43249" s="136"/>
      <c r="CM43249" s="111"/>
      <c r="CQ43249" s="111"/>
      <c r="EF43249"/>
      <c r="EG43249"/>
      <c r="EH43249"/>
      <c r="EI43249"/>
      <c r="EJ43249"/>
      <c r="EK43249"/>
    </row>
    <row r="43250" spans="1:141" s="116" customFormat="1">
      <c r="A43250" s="136"/>
      <c r="CM43250" s="111"/>
      <c r="CQ43250" s="111"/>
      <c r="EF43250"/>
      <c r="EG43250"/>
      <c r="EH43250"/>
      <c r="EI43250"/>
      <c r="EJ43250"/>
      <c r="EK43250"/>
    </row>
    <row r="43251" spans="1:141" s="116" customFormat="1">
      <c r="A43251" s="136"/>
      <c r="CM43251" s="111"/>
      <c r="CQ43251" s="111"/>
      <c r="EF43251"/>
      <c r="EG43251"/>
      <c r="EH43251"/>
      <c r="EI43251"/>
      <c r="EJ43251"/>
      <c r="EK43251"/>
    </row>
    <row r="43252" spans="1:141" s="116" customFormat="1">
      <c r="A43252" s="136"/>
      <c r="CM43252" s="111"/>
      <c r="CQ43252" s="111"/>
      <c r="EF43252"/>
      <c r="EG43252"/>
      <c r="EH43252"/>
      <c r="EI43252"/>
      <c r="EJ43252"/>
      <c r="EK43252"/>
    </row>
    <row r="43253" spans="1:141" s="116" customFormat="1">
      <c r="A43253" s="136"/>
      <c r="CM43253" s="111"/>
      <c r="CQ43253" s="111"/>
      <c r="EF43253"/>
      <c r="EG43253"/>
      <c r="EH43253"/>
      <c r="EI43253"/>
      <c r="EJ43253"/>
      <c r="EK43253"/>
    </row>
    <row r="43254" spans="1:141" s="116" customFormat="1">
      <c r="A43254" s="136"/>
      <c r="CM43254" s="111"/>
      <c r="CQ43254" s="111"/>
      <c r="EF43254"/>
      <c r="EG43254"/>
      <c r="EH43254"/>
      <c r="EI43254"/>
      <c r="EJ43254"/>
      <c r="EK43254"/>
    </row>
    <row r="43255" spans="1:141" s="116" customFormat="1">
      <c r="A43255" s="136"/>
      <c r="CM43255" s="111"/>
      <c r="CQ43255" s="111"/>
      <c r="EF43255"/>
      <c r="EG43255"/>
      <c r="EH43255"/>
      <c r="EI43255"/>
      <c r="EJ43255"/>
      <c r="EK43255"/>
    </row>
    <row r="43256" spans="1:141" s="116" customFormat="1">
      <c r="A43256" s="136"/>
      <c r="CM43256" s="111"/>
      <c r="CQ43256" s="111"/>
      <c r="EF43256"/>
      <c r="EG43256"/>
      <c r="EH43256"/>
      <c r="EI43256"/>
      <c r="EJ43256"/>
      <c r="EK43256"/>
    </row>
    <row r="43257" spans="1:141" s="116" customFormat="1">
      <c r="A43257" s="136"/>
      <c r="CM43257" s="111"/>
      <c r="CQ43257" s="111"/>
      <c r="EF43257"/>
      <c r="EG43257"/>
      <c r="EH43257"/>
      <c r="EI43257"/>
      <c r="EJ43257"/>
      <c r="EK43257"/>
    </row>
    <row r="43258" spans="1:141" s="116" customFormat="1">
      <c r="A43258" s="136"/>
      <c r="CM43258" s="111"/>
      <c r="CQ43258" s="111"/>
      <c r="EF43258"/>
      <c r="EG43258"/>
      <c r="EH43258"/>
      <c r="EI43258"/>
      <c r="EJ43258"/>
      <c r="EK43258"/>
    </row>
    <row r="43259" spans="1:141" s="116" customFormat="1">
      <c r="A43259" s="136"/>
      <c r="CM43259" s="111"/>
      <c r="CQ43259" s="111"/>
      <c r="EF43259"/>
      <c r="EG43259"/>
      <c r="EH43259"/>
      <c r="EI43259"/>
      <c r="EJ43259"/>
      <c r="EK43259"/>
    </row>
    <row r="43260" spans="1:141" s="116" customFormat="1">
      <c r="A43260" s="136"/>
      <c r="CM43260" s="111"/>
      <c r="CQ43260" s="111"/>
      <c r="EF43260"/>
      <c r="EG43260"/>
      <c r="EH43260"/>
      <c r="EI43260"/>
      <c r="EJ43260"/>
      <c r="EK43260"/>
    </row>
    <row r="43261" spans="1:141" s="116" customFormat="1">
      <c r="A43261" s="136"/>
      <c r="CM43261" s="111"/>
      <c r="CQ43261" s="111"/>
      <c r="EF43261"/>
      <c r="EG43261"/>
      <c r="EH43261"/>
      <c r="EI43261"/>
      <c r="EJ43261"/>
      <c r="EK43261"/>
    </row>
    <row r="43262" spans="1:141" s="116" customFormat="1">
      <c r="A43262" s="136"/>
      <c r="CM43262" s="111"/>
      <c r="CQ43262" s="111"/>
      <c r="EF43262"/>
      <c r="EG43262"/>
      <c r="EH43262"/>
      <c r="EI43262"/>
      <c r="EJ43262"/>
      <c r="EK43262"/>
    </row>
    <row r="43263" spans="1:141" s="116" customFormat="1">
      <c r="A43263" s="136"/>
      <c r="CM43263" s="111"/>
      <c r="CQ43263" s="111"/>
      <c r="EF43263"/>
      <c r="EG43263"/>
      <c r="EH43263"/>
      <c r="EI43263"/>
      <c r="EJ43263"/>
      <c r="EK43263"/>
    </row>
    <row r="43264" spans="1:141" s="116" customFormat="1">
      <c r="A43264" s="136"/>
      <c r="CM43264" s="111"/>
      <c r="CQ43264" s="111"/>
      <c r="EF43264"/>
      <c r="EG43264"/>
      <c r="EH43264"/>
      <c r="EI43264"/>
      <c r="EJ43264"/>
      <c r="EK43264"/>
    </row>
    <row r="43265" spans="1:141" s="116" customFormat="1">
      <c r="A43265" s="136"/>
      <c r="CM43265" s="111"/>
      <c r="CQ43265" s="111"/>
      <c r="EF43265"/>
      <c r="EG43265"/>
      <c r="EH43265"/>
      <c r="EI43265"/>
      <c r="EJ43265"/>
      <c r="EK43265"/>
    </row>
    <row r="43266" spans="1:141" s="116" customFormat="1">
      <c r="A43266" s="136"/>
      <c r="CM43266" s="111"/>
      <c r="CQ43266" s="111"/>
      <c r="EF43266"/>
      <c r="EG43266"/>
      <c r="EH43266"/>
      <c r="EI43266"/>
      <c r="EJ43266"/>
      <c r="EK43266"/>
    </row>
    <row r="43267" spans="1:141" s="116" customFormat="1">
      <c r="A43267" s="136"/>
      <c r="CM43267" s="111"/>
      <c r="CQ43267" s="111"/>
      <c r="EF43267"/>
      <c r="EG43267"/>
      <c r="EH43267"/>
      <c r="EI43267"/>
      <c r="EJ43267"/>
      <c r="EK43267"/>
    </row>
    <row r="43268" spans="1:141" s="116" customFormat="1">
      <c r="A43268" s="136"/>
      <c r="CM43268" s="111"/>
      <c r="CQ43268" s="111"/>
      <c r="EF43268"/>
      <c r="EG43268"/>
      <c r="EH43268"/>
      <c r="EI43268"/>
      <c r="EJ43268"/>
      <c r="EK43268"/>
    </row>
    <row r="43269" spans="1:141" s="116" customFormat="1">
      <c r="A43269" s="136"/>
      <c r="CM43269" s="111"/>
      <c r="CQ43269" s="111"/>
      <c r="EF43269"/>
      <c r="EG43269"/>
      <c r="EH43269"/>
      <c r="EI43269"/>
      <c r="EJ43269"/>
      <c r="EK43269"/>
    </row>
    <row r="43270" spans="1:141" s="116" customFormat="1">
      <c r="A43270" s="136"/>
      <c r="CM43270" s="111"/>
      <c r="CQ43270" s="111"/>
      <c r="EF43270"/>
      <c r="EG43270"/>
      <c r="EH43270"/>
      <c r="EI43270"/>
      <c r="EJ43270"/>
      <c r="EK43270"/>
    </row>
    <row r="43271" spans="1:141" s="116" customFormat="1">
      <c r="A43271" s="136"/>
      <c r="CM43271" s="111"/>
      <c r="CQ43271" s="111"/>
      <c r="EF43271"/>
      <c r="EG43271"/>
      <c r="EH43271"/>
      <c r="EI43271"/>
      <c r="EJ43271"/>
      <c r="EK43271"/>
    </row>
    <row r="43272" spans="1:141" s="116" customFormat="1">
      <c r="A43272" s="136"/>
      <c r="CM43272" s="111"/>
      <c r="CQ43272" s="111"/>
      <c r="EF43272"/>
      <c r="EG43272"/>
      <c r="EH43272"/>
      <c r="EI43272"/>
      <c r="EJ43272"/>
      <c r="EK43272"/>
    </row>
    <row r="43273" spans="1:141" s="116" customFormat="1">
      <c r="A43273" s="136"/>
      <c r="CM43273" s="111"/>
      <c r="CQ43273" s="111"/>
      <c r="EF43273"/>
      <c r="EG43273"/>
      <c r="EH43273"/>
      <c r="EI43273"/>
      <c r="EJ43273"/>
      <c r="EK43273"/>
    </row>
    <row r="43274" spans="1:141" s="116" customFormat="1">
      <c r="A43274" s="136"/>
      <c r="CM43274" s="111"/>
      <c r="CQ43274" s="111"/>
      <c r="EF43274"/>
      <c r="EG43274"/>
      <c r="EH43274"/>
      <c r="EI43274"/>
      <c r="EJ43274"/>
      <c r="EK43274"/>
    </row>
    <row r="43275" spans="1:141" s="116" customFormat="1">
      <c r="A43275" s="136"/>
      <c r="CM43275" s="111"/>
      <c r="CQ43275" s="111"/>
      <c r="EF43275"/>
      <c r="EG43275"/>
      <c r="EH43275"/>
      <c r="EI43275"/>
      <c r="EJ43275"/>
      <c r="EK43275"/>
    </row>
    <row r="43276" spans="1:141" s="116" customFormat="1">
      <c r="A43276" s="136"/>
      <c r="CM43276" s="111"/>
      <c r="CQ43276" s="111"/>
      <c r="EF43276"/>
      <c r="EG43276"/>
      <c r="EH43276"/>
      <c r="EI43276"/>
      <c r="EJ43276"/>
      <c r="EK43276"/>
    </row>
    <row r="43277" spans="1:141" s="116" customFormat="1">
      <c r="A43277" s="136"/>
      <c r="CM43277" s="111"/>
      <c r="CQ43277" s="111"/>
      <c r="EF43277"/>
      <c r="EG43277"/>
      <c r="EH43277"/>
      <c r="EI43277"/>
      <c r="EJ43277"/>
      <c r="EK43277"/>
    </row>
    <row r="43278" spans="1:141" s="116" customFormat="1">
      <c r="A43278" s="136"/>
      <c r="CM43278" s="111"/>
      <c r="CQ43278" s="111"/>
      <c r="EF43278"/>
      <c r="EG43278"/>
      <c r="EH43278"/>
      <c r="EI43278"/>
      <c r="EJ43278"/>
      <c r="EK43278"/>
    </row>
    <row r="43279" spans="1:141" s="116" customFormat="1">
      <c r="A43279" s="136"/>
      <c r="CM43279" s="111"/>
      <c r="CQ43279" s="111"/>
      <c r="EF43279"/>
      <c r="EG43279"/>
      <c r="EH43279"/>
      <c r="EI43279"/>
      <c r="EJ43279"/>
      <c r="EK43279"/>
    </row>
    <row r="43280" spans="1:141" s="116" customFormat="1">
      <c r="A43280" s="136"/>
      <c r="CM43280" s="111"/>
      <c r="CQ43280" s="111"/>
      <c r="EF43280"/>
      <c r="EG43280"/>
      <c r="EH43280"/>
      <c r="EI43280"/>
      <c r="EJ43280"/>
      <c r="EK43280"/>
    </row>
    <row r="43281" spans="1:141" s="116" customFormat="1">
      <c r="A43281" s="136"/>
      <c r="CM43281" s="111"/>
      <c r="CQ43281" s="111"/>
      <c r="EF43281"/>
      <c r="EG43281"/>
      <c r="EH43281"/>
      <c r="EI43281"/>
      <c r="EJ43281"/>
      <c r="EK43281"/>
    </row>
    <row r="43282" spans="1:141" s="116" customFormat="1">
      <c r="A43282" s="136"/>
      <c r="CM43282" s="111"/>
      <c r="CQ43282" s="111"/>
      <c r="EF43282"/>
      <c r="EG43282"/>
      <c r="EH43282"/>
      <c r="EI43282"/>
      <c r="EJ43282"/>
      <c r="EK43282"/>
    </row>
    <row r="43283" spans="1:141" s="116" customFormat="1">
      <c r="A43283" s="136"/>
      <c r="CM43283" s="111"/>
      <c r="CQ43283" s="111"/>
      <c r="EF43283"/>
      <c r="EG43283"/>
      <c r="EH43283"/>
      <c r="EI43283"/>
      <c r="EJ43283"/>
      <c r="EK43283"/>
    </row>
    <row r="43284" spans="1:141" s="116" customFormat="1">
      <c r="A43284" s="136"/>
      <c r="CM43284" s="111"/>
      <c r="CQ43284" s="111"/>
      <c r="EF43284"/>
      <c r="EG43284"/>
      <c r="EH43284"/>
      <c r="EI43284"/>
      <c r="EJ43284"/>
      <c r="EK43284"/>
    </row>
    <row r="43285" spans="1:141" s="116" customFormat="1">
      <c r="A43285" s="136"/>
      <c r="CM43285" s="111"/>
      <c r="CQ43285" s="111"/>
      <c r="EF43285"/>
      <c r="EG43285"/>
      <c r="EH43285"/>
      <c r="EI43285"/>
      <c r="EJ43285"/>
      <c r="EK43285"/>
    </row>
    <row r="43286" spans="1:141" s="116" customFormat="1">
      <c r="A43286" s="136"/>
      <c r="CM43286" s="111"/>
      <c r="CQ43286" s="111"/>
      <c r="EF43286"/>
      <c r="EG43286"/>
      <c r="EH43286"/>
      <c r="EI43286"/>
      <c r="EJ43286"/>
      <c r="EK43286"/>
    </row>
    <row r="43287" spans="1:141" s="116" customFormat="1">
      <c r="A43287" s="136"/>
      <c r="CM43287" s="111"/>
      <c r="CQ43287" s="111"/>
      <c r="EF43287"/>
      <c r="EG43287"/>
      <c r="EH43287"/>
      <c r="EI43287"/>
      <c r="EJ43287"/>
      <c r="EK43287"/>
    </row>
    <row r="43288" spans="1:141" s="116" customFormat="1">
      <c r="A43288" s="136"/>
      <c r="CM43288" s="111"/>
      <c r="CQ43288" s="111"/>
      <c r="EF43288"/>
      <c r="EG43288"/>
      <c r="EH43288"/>
      <c r="EI43288"/>
      <c r="EJ43288"/>
      <c r="EK43288"/>
    </row>
    <row r="43289" spans="1:141" s="116" customFormat="1">
      <c r="A43289" s="136"/>
      <c r="CM43289" s="111"/>
      <c r="CQ43289" s="111"/>
      <c r="EF43289"/>
      <c r="EG43289"/>
      <c r="EH43289"/>
      <c r="EI43289"/>
      <c r="EJ43289"/>
      <c r="EK43289"/>
    </row>
    <row r="43290" spans="1:141" s="116" customFormat="1">
      <c r="A43290" s="136"/>
      <c r="CM43290" s="111"/>
      <c r="CQ43290" s="111"/>
      <c r="EF43290"/>
      <c r="EG43290"/>
      <c r="EH43290"/>
      <c r="EI43290"/>
      <c r="EJ43290"/>
      <c r="EK43290"/>
    </row>
    <row r="43291" spans="1:141" s="116" customFormat="1">
      <c r="A43291" s="136"/>
      <c r="CM43291" s="111"/>
      <c r="CQ43291" s="111"/>
      <c r="EF43291"/>
      <c r="EG43291"/>
      <c r="EH43291"/>
      <c r="EI43291"/>
      <c r="EJ43291"/>
      <c r="EK43291"/>
    </row>
    <row r="43292" spans="1:141" s="116" customFormat="1">
      <c r="A43292" s="136"/>
      <c r="CM43292" s="111"/>
      <c r="CQ43292" s="111"/>
      <c r="EF43292"/>
      <c r="EG43292"/>
      <c r="EH43292"/>
      <c r="EI43292"/>
      <c r="EJ43292"/>
      <c r="EK43292"/>
    </row>
    <row r="43293" spans="1:141" s="116" customFormat="1">
      <c r="A43293" s="136"/>
      <c r="CM43293" s="111"/>
      <c r="CQ43293" s="111"/>
      <c r="EF43293"/>
      <c r="EG43293"/>
      <c r="EH43293"/>
      <c r="EI43293"/>
      <c r="EJ43293"/>
      <c r="EK43293"/>
    </row>
    <row r="43294" spans="1:141" s="116" customFormat="1">
      <c r="A43294" s="136"/>
      <c r="CM43294" s="111"/>
      <c r="CQ43294" s="111"/>
      <c r="EF43294"/>
      <c r="EG43294"/>
      <c r="EH43294"/>
      <c r="EI43294"/>
      <c r="EJ43294"/>
      <c r="EK43294"/>
    </row>
    <row r="43295" spans="1:141" s="116" customFormat="1">
      <c r="A43295" s="136"/>
      <c r="CM43295" s="111"/>
      <c r="CQ43295" s="111"/>
      <c r="EF43295"/>
      <c r="EG43295"/>
      <c r="EH43295"/>
      <c r="EI43295"/>
      <c r="EJ43295"/>
      <c r="EK43295"/>
    </row>
    <row r="43296" spans="1:141" s="116" customFormat="1">
      <c r="A43296" s="136"/>
      <c r="CM43296" s="111"/>
      <c r="CQ43296" s="111"/>
      <c r="EF43296"/>
      <c r="EG43296"/>
      <c r="EH43296"/>
      <c r="EI43296"/>
      <c r="EJ43296"/>
      <c r="EK43296"/>
    </row>
    <row r="43297" spans="1:141" s="116" customFormat="1">
      <c r="A43297" s="136"/>
      <c r="CM43297" s="111"/>
      <c r="CQ43297" s="111"/>
      <c r="EF43297"/>
      <c r="EG43297"/>
      <c r="EH43297"/>
      <c r="EI43297"/>
      <c r="EJ43297"/>
      <c r="EK43297"/>
    </row>
    <row r="43298" spans="1:141" s="116" customFormat="1">
      <c r="A43298" s="136"/>
      <c r="CM43298" s="111"/>
      <c r="CQ43298" s="111"/>
      <c r="EF43298"/>
      <c r="EG43298"/>
      <c r="EH43298"/>
      <c r="EI43298"/>
      <c r="EJ43298"/>
      <c r="EK43298"/>
    </row>
    <row r="43299" spans="1:141" s="116" customFormat="1">
      <c r="A43299" s="136"/>
      <c r="CM43299" s="111"/>
      <c r="CQ43299" s="111"/>
      <c r="EF43299"/>
      <c r="EG43299"/>
      <c r="EH43299"/>
      <c r="EI43299"/>
      <c r="EJ43299"/>
      <c r="EK43299"/>
    </row>
    <row r="43300" spans="1:141" s="116" customFormat="1">
      <c r="A43300" s="136"/>
      <c r="CM43300" s="111"/>
      <c r="CQ43300" s="111"/>
      <c r="EF43300"/>
      <c r="EG43300"/>
      <c r="EH43300"/>
      <c r="EI43300"/>
      <c r="EJ43300"/>
      <c r="EK43300"/>
    </row>
    <row r="43301" spans="1:141" s="116" customFormat="1">
      <c r="A43301" s="136"/>
      <c r="CM43301" s="111"/>
      <c r="CQ43301" s="111"/>
      <c r="EF43301"/>
      <c r="EG43301"/>
      <c r="EH43301"/>
      <c r="EI43301"/>
      <c r="EJ43301"/>
      <c r="EK43301"/>
    </row>
    <row r="43302" spans="1:141" s="116" customFormat="1">
      <c r="A43302" s="136"/>
      <c r="CM43302" s="111"/>
      <c r="CQ43302" s="111"/>
      <c r="EF43302"/>
      <c r="EG43302"/>
      <c r="EH43302"/>
      <c r="EI43302"/>
      <c r="EJ43302"/>
      <c r="EK43302"/>
    </row>
    <row r="43303" spans="1:141" s="116" customFormat="1">
      <c r="A43303" s="136"/>
      <c r="CM43303" s="111"/>
      <c r="CQ43303" s="111"/>
      <c r="EF43303"/>
      <c r="EG43303"/>
      <c r="EH43303"/>
      <c r="EI43303"/>
      <c r="EJ43303"/>
      <c r="EK43303"/>
    </row>
    <row r="43304" spans="1:141" s="116" customFormat="1">
      <c r="A43304" s="136"/>
      <c r="CM43304" s="111"/>
      <c r="CQ43304" s="111"/>
      <c r="EF43304"/>
      <c r="EG43304"/>
      <c r="EH43304"/>
      <c r="EI43304"/>
      <c r="EJ43304"/>
      <c r="EK43304"/>
    </row>
    <row r="43305" spans="1:141" s="116" customFormat="1">
      <c r="A43305" s="136"/>
      <c r="CM43305" s="111"/>
      <c r="CQ43305" s="111"/>
      <c r="EF43305"/>
      <c r="EG43305"/>
      <c r="EH43305"/>
      <c r="EI43305"/>
      <c r="EJ43305"/>
      <c r="EK43305"/>
    </row>
    <row r="43306" spans="1:141" s="116" customFormat="1">
      <c r="A43306" s="136"/>
      <c r="CM43306" s="111"/>
      <c r="CQ43306" s="111"/>
      <c r="EF43306"/>
      <c r="EG43306"/>
      <c r="EH43306"/>
      <c r="EI43306"/>
      <c r="EJ43306"/>
      <c r="EK43306"/>
    </row>
    <row r="43307" spans="1:141" s="116" customFormat="1">
      <c r="A43307" s="136"/>
      <c r="CM43307" s="111"/>
      <c r="CQ43307" s="111"/>
      <c r="EF43307"/>
      <c r="EG43307"/>
      <c r="EH43307"/>
      <c r="EI43307"/>
      <c r="EJ43307"/>
      <c r="EK43307"/>
    </row>
    <row r="43308" spans="1:141" s="116" customFormat="1">
      <c r="A43308" s="136"/>
      <c r="CM43308" s="111"/>
      <c r="CQ43308" s="111"/>
      <c r="EF43308"/>
      <c r="EG43308"/>
      <c r="EH43308"/>
      <c r="EI43308"/>
      <c r="EJ43308"/>
      <c r="EK43308"/>
    </row>
    <row r="43309" spans="1:141" s="116" customFormat="1">
      <c r="A43309" s="136"/>
      <c r="CM43309" s="111"/>
      <c r="CQ43309" s="111"/>
      <c r="EF43309"/>
      <c r="EG43309"/>
      <c r="EH43309"/>
      <c r="EI43309"/>
      <c r="EJ43309"/>
      <c r="EK43309"/>
    </row>
    <row r="43310" spans="1:141" s="116" customFormat="1">
      <c r="A43310" s="136"/>
      <c r="CM43310" s="111"/>
      <c r="CQ43310" s="111"/>
      <c r="EF43310"/>
      <c r="EG43310"/>
      <c r="EH43310"/>
      <c r="EI43310"/>
      <c r="EJ43310"/>
      <c r="EK43310"/>
    </row>
    <row r="43311" spans="1:141" s="116" customFormat="1">
      <c r="A43311" s="136"/>
      <c r="CM43311" s="111"/>
      <c r="CQ43311" s="111"/>
      <c r="EF43311"/>
      <c r="EG43311"/>
      <c r="EH43311"/>
      <c r="EI43311"/>
      <c r="EJ43311"/>
      <c r="EK43311"/>
    </row>
    <row r="43312" spans="1:141" s="116" customFormat="1">
      <c r="A43312" s="136"/>
      <c r="CM43312" s="111"/>
      <c r="CQ43312" s="111"/>
      <c r="EF43312"/>
      <c r="EG43312"/>
      <c r="EH43312"/>
      <c r="EI43312"/>
      <c r="EJ43312"/>
      <c r="EK43312"/>
    </row>
    <row r="43313" spans="1:141" s="116" customFormat="1">
      <c r="A43313" s="136"/>
      <c r="CM43313" s="111"/>
      <c r="CQ43313" s="111"/>
      <c r="EF43313"/>
      <c r="EG43313"/>
      <c r="EH43313"/>
      <c r="EI43313"/>
      <c r="EJ43313"/>
      <c r="EK43313"/>
    </row>
    <row r="43314" spans="1:141" s="116" customFormat="1">
      <c r="A43314" s="136"/>
      <c r="CM43314" s="111"/>
      <c r="CQ43314" s="111"/>
      <c r="EF43314"/>
      <c r="EG43314"/>
      <c r="EH43314"/>
      <c r="EI43314"/>
      <c r="EJ43314"/>
      <c r="EK43314"/>
    </row>
    <row r="43315" spans="1:141" s="116" customFormat="1">
      <c r="A43315" s="136"/>
      <c r="CM43315" s="111"/>
      <c r="CQ43315" s="111"/>
      <c r="EF43315"/>
      <c r="EG43315"/>
      <c r="EH43315"/>
      <c r="EI43315"/>
      <c r="EJ43315"/>
      <c r="EK43315"/>
    </row>
    <row r="43316" spans="1:141" s="116" customFormat="1">
      <c r="A43316" s="136"/>
      <c r="CM43316" s="111"/>
      <c r="CQ43316" s="111"/>
      <c r="EF43316"/>
      <c r="EG43316"/>
      <c r="EH43316"/>
      <c r="EI43316"/>
      <c r="EJ43316"/>
      <c r="EK43316"/>
    </row>
    <row r="43317" spans="1:141" s="116" customFormat="1">
      <c r="A43317" s="136"/>
      <c r="CM43317" s="111"/>
      <c r="CQ43317" s="111"/>
      <c r="EF43317"/>
      <c r="EG43317"/>
      <c r="EH43317"/>
      <c r="EI43317"/>
      <c r="EJ43317"/>
      <c r="EK43317"/>
    </row>
    <row r="43318" spans="1:141" s="116" customFormat="1">
      <c r="A43318" s="136"/>
      <c r="CM43318" s="111"/>
      <c r="CQ43318" s="111"/>
      <c r="EF43318"/>
      <c r="EG43318"/>
      <c r="EH43318"/>
      <c r="EI43318"/>
      <c r="EJ43318"/>
      <c r="EK43318"/>
    </row>
    <row r="43319" spans="1:141" s="116" customFormat="1">
      <c r="A43319" s="136"/>
      <c r="CM43319" s="111"/>
      <c r="CQ43319" s="111"/>
      <c r="EF43319"/>
      <c r="EG43319"/>
      <c r="EH43319"/>
      <c r="EI43319"/>
      <c r="EJ43319"/>
      <c r="EK43319"/>
    </row>
    <row r="43320" spans="1:141" s="116" customFormat="1">
      <c r="A43320" s="136"/>
      <c r="CM43320" s="111"/>
      <c r="CQ43320" s="111"/>
      <c r="EF43320"/>
      <c r="EG43320"/>
      <c r="EH43320"/>
      <c r="EI43320"/>
      <c r="EJ43320"/>
      <c r="EK43320"/>
    </row>
    <row r="43321" spans="1:141" s="116" customFormat="1">
      <c r="A43321" s="136"/>
      <c r="CM43321" s="111"/>
      <c r="CQ43321" s="111"/>
      <c r="EF43321"/>
      <c r="EG43321"/>
      <c r="EH43321"/>
      <c r="EI43321"/>
      <c r="EJ43321"/>
      <c r="EK43321"/>
    </row>
    <row r="43322" spans="1:141" s="116" customFormat="1">
      <c r="A43322" s="136"/>
      <c r="CM43322" s="111"/>
      <c r="CQ43322" s="111"/>
      <c r="EF43322"/>
      <c r="EG43322"/>
      <c r="EH43322"/>
      <c r="EI43322"/>
      <c r="EJ43322"/>
      <c r="EK43322"/>
    </row>
    <row r="43323" spans="1:141" s="116" customFormat="1">
      <c r="A43323" s="136"/>
      <c r="CM43323" s="111"/>
      <c r="CQ43323" s="111"/>
      <c r="EF43323"/>
      <c r="EG43323"/>
      <c r="EH43323"/>
      <c r="EI43323"/>
      <c r="EJ43323"/>
      <c r="EK43323"/>
    </row>
    <row r="43324" spans="1:141" s="116" customFormat="1">
      <c r="A43324" s="136"/>
      <c r="CM43324" s="111"/>
      <c r="CQ43324" s="111"/>
      <c r="EF43324"/>
      <c r="EG43324"/>
      <c r="EH43324"/>
      <c r="EI43324"/>
      <c r="EJ43324"/>
      <c r="EK43324"/>
    </row>
    <row r="43325" spans="1:141" s="116" customFormat="1">
      <c r="A43325" s="136"/>
      <c r="CM43325" s="111"/>
      <c r="CQ43325" s="111"/>
      <c r="EF43325"/>
      <c r="EG43325"/>
      <c r="EH43325"/>
      <c r="EI43325"/>
      <c r="EJ43325"/>
      <c r="EK43325"/>
    </row>
    <row r="43326" spans="1:141" s="116" customFormat="1">
      <c r="A43326" s="136"/>
      <c r="CM43326" s="111"/>
      <c r="CQ43326" s="111"/>
      <c r="EF43326"/>
      <c r="EG43326"/>
      <c r="EH43326"/>
      <c r="EI43326"/>
      <c r="EJ43326"/>
      <c r="EK43326"/>
    </row>
    <row r="43327" spans="1:141" s="116" customFormat="1">
      <c r="A43327" s="136"/>
      <c r="CM43327" s="111"/>
      <c r="CQ43327" s="111"/>
      <c r="EF43327"/>
      <c r="EG43327"/>
      <c r="EH43327"/>
      <c r="EI43327"/>
      <c r="EJ43327"/>
      <c r="EK43327"/>
    </row>
    <row r="43328" spans="1:141" s="116" customFormat="1">
      <c r="A43328" s="136"/>
      <c r="CM43328" s="111"/>
      <c r="CQ43328" s="111"/>
      <c r="EF43328"/>
      <c r="EG43328"/>
      <c r="EH43328"/>
      <c r="EI43328"/>
      <c r="EJ43328"/>
      <c r="EK43328"/>
    </row>
    <row r="43329" spans="1:141" s="116" customFormat="1">
      <c r="A43329" s="136"/>
      <c r="CM43329" s="111"/>
      <c r="CQ43329" s="111"/>
      <c r="EF43329"/>
      <c r="EG43329"/>
      <c r="EH43329"/>
      <c r="EI43329"/>
      <c r="EJ43329"/>
      <c r="EK43329"/>
    </row>
    <row r="43330" spans="1:141" s="116" customFormat="1">
      <c r="A43330" s="136"/>
      <c r="CM43330" s="111"/>
      <c r="CQ43330" s="111"/>
      <c r="EF43330"/>
      <c r="EG43330"/>
      <c r="EH43330"/>
      <c r="EI43330"/>
      <c r="EJ43330"/>
      <c r="EK43330"/>
    </row>
    <row r="43331" spans="1:141" s="116" customFormat="1">
      <c r="A43331" s="136"/>
      <c r="CM43331" s="111"/>
      <c r="CQ43331" s="111"/>
      <c r="EF43331"/>
      <c r="EG43331"/>
      <c r="EH43331"/>
      <c r="EI43331"/>
      <c r="EJ43331"/>
      <c r="EK43331"/>
    </row>
    <row r="43332" spans="1:141" s="116" customFormat="1">
      <c r="A43332" s="136"/>
      <c r="CM43332" s="111"/>
      <c r="CQ43332" s="111"/>
      <c r="EF43332"/>
      <c r="EG43332"/>
      <c r="EH43332"/>
      <c r="EI43332"/>
      <c r="EJ43332"/>
      <c r="EK43332"/>
    </row>
    <row r="43333" spans="1:141" s="116" customFormat="1">
      <c r="A43333" s="136"/>
      <c r="CM43333" s="111"/>
      <c r="CQ43333" s="111"/>
      <c r="EF43333"/>
      <c r="EG43333"/>
      <c r="EH43333"/>
      <c r="EI43333"/>
      <c r="EJ43333"/>
      <c r="EK43333"/>
    </row>
    <row r="43334" spans="1:141" s="116" customFormat="1">
      <c r="A43334" s="136"/>
      <c r="CM43334" s="111"/>
      <c r="CQ43334" s="111"/>
      <c r="EF43334"/>
      <c r="EG43334"/>
      <c r="EH43334"/>
      <c r="EI43334"/>
      <c r="EJ43334"/>
      <c r="EK43334"/>
    </row>
    <row r="43335" spans="1:141" s="116" customFormat="1">
      <c r="A43335" s="136"/>
      <c r="CM43335" s="111"/>
      <c r="CQ43335" s="111"/>
      <c r="EF43335"/>
      <c r="EG43335"/>
      <c r="EH43335"/>
      <c r="EI43335"/>
      <c r="EJ43335"/>
      <c r="EK43335"/>
    </row>
    <row r="43336" spans="1:141" s="116" customFormat="1">
      <c r="A43336" s="136"/>
      <c r="CM43336" s="111"/>
      <c r="CQ43336" s="111"/>
      <c r="EF43336"/>
      <c r="EG43336"/>
      <c r="EH43336"/>
      <c r="EI43336"/>
      <c r="EJ43336"/>
      <c r="EK43336"/>
    </row>
    <row r="43337" spans="1:141" s="116" customFormat="1">
      <c r="A43337" s="136"/>
      <c r="CM43337" s="111"/>
      <c r="CQ43337" s="111"/>
      <c r="EF43337"/>
      <c r="EG43337"/>
      <c r="EH43337"/>
      <c r="EI43337"/>
      <c r="EJ43337"/>
      <c r="EK43337"/>
    </row>
    <row r="43338" spans="1:141" s="116" customFormat="1">
      <c r="A43338" s="136"/>
      <c r="CM43338" s="111"/>
      <c r="CQ43338" s="111"/>
      <c r="EF43338"/>
      <c r="EG43338"/>
      <c r="EH43338"/>
      <c r="EI43338"/>
      <c r="EJ43338"/>
      <c r="EK43338"/>
    </row>
    <row r="43339" spans="1:141" s="116" customFormat="1">
      <c r="A43339" s="136"/>
      <c r="CM43339" s="111"/>
      <c r="CQ43339" s="111"/>
      <c r="EF43339"/>
      <c r="EG43339"/>
      <c r="EH43339"/>
      <c r="EI43339"/>
      <c r="EJ43339"/>
      <c r="EK43339"/>
    </row>
    <row r="43340" spans="1:141" s="116" customFormat="1">
      <c r="A43340" s="136"/>
      <c r="CM43340" s="111"/>
      <c r="CQ43340" s="111"/>
      <c r="EF43340"/>
      <c r="EG43340"/>
      <c r="EH43340"/>
      <c r="EI43340"/>
      <c r="EJ43340"/>
      <c r="EK43340"/>
    </row>
    <row r="43341" spans="1:141" s="116" customFormat="1">
      <c r="A43341" s="136"/>
      <c r="CM43341" s="111"/>
      <c r="CQ43341" s="111"/>
      <c r="EF43341"/>
      <c r="EG43341"/>
      <c r="EH43341"/>
      <c r="EI43341"/>
      <c r="EJ43341"/>
      <c r="EK43341"/>
    </row>
    <row r="43342" spans="1:141" s="116" customFormat="1">
      <c r="A43342" s="136"/>
      <c r="CM43342" s="111"/>
      <c r="CQ43342" s="111"/>
      <c r="EF43342"/>
      <c r="EG43342"/>
      <c r="EH43342"/>
      <c r="EI43342"/>
      <c r="EJ43342"/>
      <c r="EK43342"/>
    </row>
    <row r="43343" spans="1:141" s="116" customFormat="1">
      <c r="A43343" s="136"/>
      <c r="CM43343" s="111"/>
      <c r="CQ43343" s="111"/>
      <c r="EF43343"/>
      <c r="EG43343"/>
      <c r="EH43343"/>
      <c r="EI43343"/>
      <c r="EJ43343"/>
      <c r="EK43343"/>
    </row>
    <row r="43344" spans="1:141" s="116" customFormat="1">
      <c r="A43344" s="136"/>
      <c r="CM43344" s="111"/>
      <c r="CQ43344" s="111"/>
      <c r="EF43344"/>
      <c r="EG43344"/>
      <c r="EH43344"/>
      <c r="EI43344"/>
      <c r="EJ43344"/>
      <c r="EK43344"/>
    </row>
    <row r="43345" spans="1:141" s="116" customFormat="1">
      <c r="A43345" s="136"/>
      <c r="CM43345" s="111"/>
      <c r="CQ43345" s="111"/>
      <c r="EF43345"/>
      <c r="EG43345"/>
      <c r="EH43345"/>
      <c r="EI43345"/>
      <c r="EJ43345"/>
      <c r="EK43345"/>
    </row>
    <row r="43346" spans="1:141" s="116" customFormat="1">
      <c r="A43346" s="136"/>
      <c r="CM43346" s="111"/>
      <c r="CQ43346" s="111"/>
      <c r="EF43346"/>
      <c r="EG43346"/>
      <c r="EH43346"/>
      <c r="EI43346"/>
      <c r="EJ43346"/>
      <c r="EK43346"/>
    </row>
    <row r="43347" spans="1:141" s="116" customFormat="1">
      <c r="A43347" s="136"/>
      <c r="CM43347" s="111"/>
      <c r="CQ43347" s="111"/>
      <c r="EF43347"/>
      <c r="EG43347"/>
      <c r="EH43347"/>
      <c r="EI43347"/>
      <c r="EJ43347"/>
      <c r="EK43347"/>
    </row>
    <row r="43348" spans="1:141" s="116" customFormat="1">
      <c r="A43348" s="136"/>
      <c r="CM43348" s="111"/>
      <c r="CQ43348" s="111"/>
      <c r="EF43348"/>
      <c r="EG43348"/>
      <c r="EH43348"/>
      <c r="EI43348"/>
      <c r="EJ43348"/>
      <c r="EK43348"/>
    </row>
    <row r="43349" spans="1:141" s="116" customFormat="1">
      <c r="A43349" s="136"/>
      <c r="CM43349" s="111"/>
      <c r="CQ43349" s="111"/>
      <c r="EF43349"/>
      <c r="EG43349"/>
      <c r="EH43349"/>
      <c r="EI43349"/>
      <c r="EJ43349"/>
      <c r="EK43349"/>
    </row>
    <row r="43350" spans="1:141" s="116" customFormat="1">
      <c r="A43350" s="136"/>
      <c r="CM43350" s="111"/>
      <c r="CQ43350" s="111"/>
      <c r="EF43350"/>
      <c r="EG43350"/>
      <c r="EH43350"/>
      <c r="EI43350"/>
      <c r="EJ43350"/>
      <c r="EK43350"/>
    </row>
    <row r="43351" spans="1:141" s="116" customFormat="1">
      <c r="A43351" s="136"/>
      <c r="CM43351" s="111"/>
      <c r="CQ43351" s="111"/>
      <c r="EF43351"/>
      <c r="EG43351"/>
      <c r="EH43351"/>
      <c r="EI43351"/>
      <c r="EJ43351"/>
      <c r="EK43351"/>
    </row>
    <row r="43352" spans="1:141" s="116" customFormat="1">
      <c r="A43352" s="136"/>
      <c r="CM43352" s="111"/>
      <c r="CQ43352" s="111"/>
      <c r="EF43352"/>
      <c r="EG43352"/>
      <c r="EH43352"/>
      <c r="EI43352"/>
      <c r="EJ43352"/>
      <c r="EK43352"/>
    </row>
    <row r="43353" spans="1:141" s="116" customFormat="1">
      <c r="A43353" s="136"/>
      <c r="CM43353" s="111"/>
      <c r="CQ43353" s="111"/>
      <c r="EF43353"/>
      <c r="EG43353"/>
      <c r="EH43353"/>
      <c r="EI43353"/>
      <c r="EJ43353"/>
      <c r="EK43353"/>
    </row>
    <row r="43354" spans="1:141" s="116" customFormat="1">
      <c r="A43354" s="136"/>
      <c r="CM43354" s="111"/>
      <c r="CQ43354" s="111"/>
      <c r="EF43354"/>
      <c r="EG43354"/>
      <c r="EH43354"/>
      <c r="EI43354"/>
      <c r="EJ43354"/>
      <c r="EK43354"/>
    </row>
    <row r="43355" spans="1:141" s="116" customFormat="1">
      <c r="A43355" s="136"/>
      <c r="CM43355" s="111"/>
      <c r="CQ43355" s="111"/>
      <c r="EF43355"/>
      <c r="EG43355"/>
      <c r="EH43355"/>
      <c r="EI43355"/>
      <c r="EJ43355"/>
      <c r="EK43355"/>
    </row>
    <row r="43356" spans="1:141" s="116" customFormat="1">
      <c r="A43356" s="136"/>
      <c r="CM43356" s="111"/>
      <c r="CQ43356" s="111"/>
      <c r="EF43356"/>
      <c r="EG43356"/>
      <c r="EH43356"/>
      <c r="EI43356"/>
      <c r="EJ43356"/>
      <c r="EK43356"/>
    </row>
    <row r="43357" spans="1:141" s="116" customFormat="1">
      <c r="A43357" s="136"/>
      <c r="CM43357" s="111"/>
      <c r="CQ43357" s="111"/>
      <c r="EF43357"/>
      <c r="EG43357"/>
      <c r="EH43357"/>
      <c r="EI43357"/>
      <c r="EJ43357"/>
      <c r="EK43357"/>
    </row>
    <row r="43358" spans="1:141" s="116" customFormat="1">
      <c r="A43358" s="136"/>
      <c r="CM43358" s="111"/>
      <c r="CQ43358" s="111"/>
      <c r="EF43358"/>
      <c r="EG43358"/>
      <c r="EH43358"/>
      <c r="EI43358"/>
      <c r="EJ43358"/>
      <c r="EK43358"/>
    </row>
    <row r="43359" spans="1:141" s="116" customFormat="1">
      <c r="A43359" s="136"/>
      <c r="CM43359" s="111"/>
      <c r="CQ43359" s="111"/>
      <c r="EF43359"/>
      <c r="EG43359"/>
      <c r="EH43359"/>
      <c r="EI43359"/>
      <c r="EJ43359"/>
      <c r="EK43359"/>
    </row>
    <row r="43360" spans="1:141" s="116" customFormat="1">
      <c r="A43360" s="136"/>
      <c r="CM43360" s="111"/>
      <c r="CQ43360" s="111"/>
      <c r="EF43360"/>
      <c r="EG43360"/>
      <c r="EH43360"/>
      <c r="EI43360"/>
      <c r="EJ43360"/>
      <c r="EK43360"/>
    </row>
    <row r="43361" spans="1:141" s="116" customFormat="1">
      <c r="A43361" s="136"/>
      <c r="CM43361" s="111"/>
      <c r="CQ43361" s="111"/>
      <c r="EF43361"/>
      <c r="EG43361"/>
      <c r="EH43361"/>
      <c r="EI43361"/>
      <c r="EJ43361"/>
      <c r="EK43361"/>
    </row>
    <row r="43362" spans="1:141" s="116" customFormat="1">
      <c r="A43362" s="136"/>
      <c r="CM43362" s="111"/>
      <c r="CQ43362" s="111"/>
      <c r="EF43362"/>
      <c r="EG43362"/>
      <c r="EH43362"/>
      <c r="EI43362"/>
      <c r="EJ43362"/>
      <c r="EK43362"/>
    </row>
    <row r="43363" spans="1:141" s="116" customFormat="1">
      <c r="A43363" s="136"/>
      <c r="CM43363" s="111"/>
      <c r="CQ43363" s="111"/>
      <c r="EF43363"/>
      <c r="EG43363"/>
      <c r="EH43363"/>
      <c r="EI43363"/>
      <c r="EJ43363"/>
      <c r="EK43363"/>
    </row>
    <row r="43364" spans="1:141" s="116" customFormat="1">
      <c r="A43364" s="136"/>
      <c r="CM43364" s="111"/>
      <c r="CQ43364" s="111"/>
      <c r="EF43364"/>
      <c r="EG43364"/>
      <c r="EH43364"/>
      <c r="EI43364"/>
      <c r="EJ43364"/>
      <c r="EK43364"/>
    </row>
    <row r="43365" spans="1:141" s="116" customFormat="1">
      <c r="A43365" s="136"/>
      <c r="CM43365" s="111"/>
      <c r="CQ43365" s="111"/>
      <c r="EF43365"/>
      <c r="EG43365"/>
      <c r="EH43365"/>
      <c r="EI43365"/>
      <c r="EJ43365"/>
      <c r="EK43365"/>
    </row>
    <row r="43366" spans="1:141" s="116" customFormat="1">
      <c r="A43366" s="136"/>
      <c r="CM43366" s="111"/>
      <c r="CQ43366" s="111"/>
      <c r="EF43366"/>
      <c r="EG43366"/>
      <c r="EH43366"/>
      <c r="EI43366"/>
      <c r="EJ43366"/>
      <c r="EK43366"/>
    </row>
    <row r="43367" spans="1:141" s="116" customFormat="1">
      <c r="A43367" s="136"/>
      <c r="CM43367" s="111"/>
      <c r="CQ43367" s="111"/>
      <c r="EF43367"/>
      <c r="EG43367"/>
      <c r="EH43367"/>
      <c r="EI43367"/>
      <c r="EJ43367"/>
      <c r="EK43367"/>
    </row>
    <row r="43368" spans="1:141" s="116" customFormat="1">
      <c r="A43368" s="136"/>
      <c r="CM43368" s="111"/>
      <c r="CQ43368" s="111"/>
      <c r="EF43368"/>
      <c r="EG43368"/>
      <c r="EH43368"/>
      <c r="EI43368"/>
      <c r="EJ43368"/>
      <c r="EK43368"/>
    </row>
    <row r="43369" spans="1:141" s="116" customFormat="1">
      <c r="A43369" s="136"/>
      <c r="CM43369" s="111"/>
      <c r="CQ43369" s="111"/>
      <c r="EF43369"/>
      <c r="EG43369"/>
      <c r="EH43369"/>
      <c r="EI43369"/>
      <c r="EJ43369"/>
      <c r="EK43369"/>
    </row>
    <row r="43370" spans="1:141" s="116" customFormat="1">
      <c r="A43370" s="136"/>
      <c r="CM43370" s="111"/>
      <c r="CQ43370" s="111"/>
      <c r="EF43370"/>
      <c r="EG43370"/>
      <c r="EH43370"/>
      <c r="EI43370"/>
      <c r="EJ43370"/>
      <c r="EK43370"/>
    </row>
    <row r="43371" spans="1:141" s="116" customFormat="1">
      <c r="A43371" s="136"/>
      <c r="CM43371" s="111"/>
      <c r="CQ43371" s="111"/>
      <c r="EF43371"/>
      <c r="EG43371"/>
      <c r="EH43371"/>
      <c r="EI43371"/>
      <c r="EJ43371"/>
      <c r="EK43371"/>
    </row>
    <row r="43372" spans="1:141" s="116" customFormat="1">
      <c r="A43372" s="136"/>
      <c r="CM43372" s="111"/>
      <c r="CQ43372" s="111"/>
      <c r="EF43372"/>
      <c r="EG43372"/>
      <c r="EH43372"/>
      <c r="EI43372"/>
      <c r="EJ43372"/>
      <c r="EK43372"/>
    </row>
    <row r="43373" spans="1:141" s="116" customFormat="1">
      <c r="A43373" s="136"/>
      <c r="CM43373" s="111"/>
      <c r="CQ43373" s="111"/>
      <c r="EF43373"/>
      <c r="EG43373"/>
      <c r="EH43373"/>
      <c r="EI43373"/>
      <c r="EJ43373"/>
      <c r="EK43373"/>
    </row>
    <row r="43374" spans="1:141" s="116" customFormat="1">
      <c r="A43374" s="136"/>
      <c r="CM43374" s="111"/>
      <c r="CQ43374" s="111"/>
      <c r="EF43374"/>
      <c r="EG43374"/>
      <c r="EH43374"/>
      <c r="EI43374"/>
      <c r="EJ43374"/>
      <c r="EK43374"/>
    </row>
    <row r="43375" spans="1:141" s="116" customFormat="1">
      <c r="A43375" s="136"/>
      <c r="CM43375" s="111"/>
      <c r="CQ43375" s="111"/>
      <c r="EF43375"/>
      <c r="EG43375"/>
      <c r="EH43375"/>
      <c r="EI43375"/>
      <c r="EJ43375"/>
      <c r="EK43375"/>
    </row>
    <row r="43376" spans="1:141" s="116" customFormat="1">
      <c r="A43376" s="136"/>
      <c r="CM43376" s="111"/>
      <c r="CQ43376" s="111"/>
      <c r="EF43376"/>
      <c r="EG43376"/>
      <c r="EH43376"/>
      <c r="EI43376"/>
      <c r="EJ43376"/>
      <c r="EK43376"/>
    </row>
    <row r="43377" spans="1:141" s="116" customFormat="1">
      <c r="A43377" s="136"/>
      <c r="CM43377" s="111"/>
      <c r="CQ43377" s="111"/>
      <c r="EF43377"/>
      <c r="EG43377"/>
      <c r="EH43377"/>
      <c r="EI43377"/>
      <c r="EJ43377"/>
      <c r="EK43377"/>
    </row>
    <row r="43378" spans="1:141" s="116" customFormat="1">
      <c r="A43378" s="136"/>
      <c r="CM43378" s="111"/>
      <c r="CQ43378" s="111"/>
      <c r="EF43378"/>
      <c r="EG43378"/>
      <c r="EH43378"/>
      <c r="EI43378"/>
      <c r="EJ43378"/>
      <c r="EK43378"/>
    </row>
    <row r="43379" spans="1:141" s="116" customFormat="1">
      <c r="A43379" s="136"/>
      <c r="CM43379" s="111"/>
      <c r="CQ43379" s="111"/>
      <c r="EF43379"/>
      <c r="EG43379"/>
      <c r="EH43379"/>
      <c r="EI43379"/>
      <c r="EJ43379"/>
      <c r="EK43379"/>
    </row>
    <row r="43380" spans="1:141" s="116" customFormat="1">
      <c r="A43380" s="136"/>
      <c r="CM43380" s="111"/>
      <c r="CQ43380" s="111"/>
      <c r="EF43380"/>
      <c r="EG43380"/>
      <c r="EH43380"/>
      <c r="EI43380"/>
      <c r="EJ43380"/>
      <c r="EK43380"/>
    </row>
    <row r="43381" spans="1:141" s="116" customFormat="1">
      <c r="A43381" s="136"/>
      <c r="CM43381" s="111"/>
      <c r="CQ43381" s="111"/>
      <c r="EF43381"/>
      <c r="EG43381"/>
      <c r="EH43381"/>
      <c r="EI43381"/>
      <c r="EJ43381"/>
      <c r="EK43381"/>
    </row>
    <row r="43382" spans="1:141" s="116" customFormat="1">
      <c r="A43382" s="136"/>
      <c r="CM43382" s="111"/>
      <c r="CQ43382" s="111"/>
      <c r="EF43382"/>
      <c r="EG43382"/>
      <c r="EH43382"/>
      <c r="EI43382"/>
      <c r="EJ43382"/>
      <c r="EK43382"/>
    </row>
    <row r="43383" spans="1:141" s="116" customFormat="1">
      <c r="A43383" s="136"/>
      <c r="CM43383" s="111"/>
      <c r="CQ43383" s="111"/>
      <c r="EF43383"/>
      <c r="EG43383"/>
      <c r="EH43383"/>
      <c r="EI43383"/>
      <c r="EJ43383"/>
      <c r="EK43383"/>
    </row>
    <row r="43384" spans="1:141" s="116" customFormat="1">
      <c r="A43384" s="136"/>
      <c r="CM43384" s="111"/>
      <c r="CQ43384" s="111"/>
      <c r="EF43384"/>
      <c r="EG43384"/>
      <c r="EH43384"/>
      <c r="EI43384"/>
      <c r="EJ43384"/>
      <c r="EK43384"/>
    </row>
    <row r="43385" spans="1:141" s="116" customFormat="1">
      <c r="A43385" s="136"/>
      <c r="CM43385" s="111"/>
      <c r="CQ43385" s="111"/>
      <c r="EF43385"/>
      <c r="EG43385"/>
      <c r="EH43385"/>
      <c r="EI43385"/>
      <c r="EJ43385"/>
      <c r="EK43385"/>
    </row>
    <row r="43386" spans="1:141" s="116" customFormat="1">
      <c r="A43386" s="136"/>
      <c r="CM43386" s="111"/>
      <c r="CQ43386" s="111"/>
      <c r="EF43386"/>
      <c r="EG43386"/>
      <c r="EH43386"/>
      <c r="EI43386"/>
      <c r="EJ43386"/>
      <c r="EK43386"/>
    </row>
    <row r="43387" spans="1:141" s="116" customFormat="1">
      <c r="A43387" s="136"/>
      <c r="CM43387" s="111"/>
      <c r="CQ43387" s="111"/>
      <c r="EF43387"/>
      <c r="EG43387"/>
      <c r="EH43387"/>
      <c r="EI43387"/>
      <c r="EJ43387"/>
      <c r="EK43387"/>
    </row>
    <row r="43388" spans="1:141" s="116" customFormat="1">
      <c r="A43388" s="136"/>
      <c r="CM43388" s="111"/>
      <c r="CQ43388" s="111"/>
      <c r="EF43388"/>
      <c r="EG43388"/>
      <c r="EH43388"/>
      <c r="EI43388"/>
      <c r="EJ43388"/>
      <c r="EK43388"/>
    </row>
    <row r="43389" spans="1:141" s="116" customFormat="1">
      <c r="A43389" s="136"/>
      <c r="CM43389" s="111"/>
      <c r="CQ43389" s="111"/>
      <c r="EF43389"/>
      <c r="EG43389"/>
      <c r="EH43389"/>
      <c r="EI43389"/>
      <c r="EJ43389"/>
      <c r="EK43389"/>
    </row>
    <row r="43390" spans="1:141" s="116" customFormat="1">
      <c r="A43390" s="136"/>
      <c r="CM43390" s="111"/>
      <c r="CQ43390" s="111"/>
      <c r="EF43390"/>
      <c r="EG43390"/>
      <c r="EH43390"/>
      <c r="EI43390"/>
      <c r="EJ43390"/>
      <c r="EK43390"/>
    </row>
    <row r="43391" spans="1:141" s="116" customFormat="1">
      <c r="A43391" s="136"/>
      <c r="CM43391" s="111"/>
      <c r="CQ43391" s="111"/>
      <c r="EF43391"/>
      <c r="EG43391"/>
      <c r="EH43391"/>
      <c r="EI43391"/>
      <c r="EJ43391"/>
      <c r="EK43391"/>
    </row>
    <row r="43392" spans="1:141" s="116" customFormat="1">
      <c r="A43392" s="136"/>
      <c r="CM43392" s="111"/>
      <c r="CQ43392" s="111"/>
      <c r="EF43392"/>
      <c r="EG43392"/>
      <c r="EH43392"/>
      <c r="EI43392"/>
      <c r="EJ43392"/>
      <c r="EK43392"/>
    </row>
    <row r="43393" spans="1:141" s="116" customFormat="1">
      <c r="A43393" s="136"/>
      <c r="CM43393" s="111"/>
      <c r="CQ43393" s="111"/>
      <c r="EF43393"/>
      <c r="EG43393"/>
      <c r="EH43393"/>
      <c r="EI43393"/>
      <c r="EJ43393"/>
      <c r="EK43393"/>
    </row>
    <row r="43394" spans="1:141" s="116" customFormat="1">
      <c r="A43394" s="136"/>
      <c r="CM43394" s="111"/>
      <c r="CQ43394" s="111"/>
      <c r="EF43394"/>
      <c r="EG43394"/>
      <c r="EH43394"/>
      <c r="EI43394"/>
      <c r="EJ43394"/>
      <c r="EK43394"/>
    </row>
    <row r="43395" spans="1:141" s="116" customFormat="1">
      <c r="A43395" s="136"/>
      <c r="CM43395" s="111"/>
      <c r="CQ43395" s="111"/>
      <c r="EF43395"/>
      <c r="EG43395"/>
      <c r="EH43395"/>
      <c r="EI43395"/>
      <c r="EJ43395"/>
      <c r="EK43395"/>
    </row>
    <row r="43396" spans="1:141" s="116" customFormat="1">
      <c r="A43396" s="136"/>
      <c r="CM43396" s="111"/>
      <c r="CQ43396" s="111"/>
      <c r="EF43396"/>
      <c r="EG43396"/>
      <c r="EH43396"/>
      <c r="EI43396"/>
      <c r="EJ43396"/>
      <c r="EK43396"/>
    </row>
    <row r="43397" spans="1:141" s="116" customFormat="1">
      <c r="A43397" s="136"/>
      <c r="CM43397" s="111"/>
      <c r="CQ43397" s="111"/>
      <c r="EF43397"/>
      <c r="EG43397"/>
      <c r="EH43397"/>
      <c r="EI43397"/>
      <c r="EJ43397"/>
      <c r="EK43397"/>
    </row>
    <row r="43398" spans="1:141" s="116" customFormat="1">
      <c r="A43398" s="136"/>
      <c r="CM43398" s="111"/>
      <c r="CQ43398" s="111"/>
      <c r="EF43398"/>
      <c r="EG43398"/>
      <c r="EH43398"/>
      <c r="EI43398"/>
      <c r="EJ43398"/>
      <c r="EK43398"/>
    </row>
    <row r="43399" spans="1:141" s="116" customFormat="1">
      <c r="A43399" s="136"/>
      <c r="CM43399" s="111"/>
      <c r="CQ43399" s="111"/>
      <c r="EF43399"/>
      <c r="EG43399"/>
      <c r="EH43399"/>
      <c r="EI43399"/>
      <c r="EJ43399"/>
      <c r="EK43399"/>
    </row>
    <row r="43400" spans="1:141" s="116" customFormat="1">
      <c r="A43400" s="136"/>
      <c r="CM43400" s="111"/>
      <c r="CQ43400" s="111"/>
      <c r="EF43400"/>
      <c r="EG43400"/>
      <c r="EH43400"/>
      <c r="EI43400"/>
      <c r="EJ43400"/>
      <c r="EK43400"/>
    </row>
    <row r="43401" spans="1:141" s="116" customFormat="1">
      <c r="A43401" s="136"/>
      <c r="CM43401" s="111"/>
      <c r="CQ43401" s="111"/>
      <c r="EF43401"/>
      <c r="EG43401"/>
      <c r="EH43401"/>
      <c r="EI43401"/>
      <c r="EJ43401"/>
      <c r="EK43401"/>
    </row>
    <row r="43402" spans="1:141" s="116" customFormat="1">
      <c r="A43402" s="136"/>
      <c r="CM43402" s="111"/>
      <c r="CQ43402" s="111"/>
      <c r="EF43402"/>
      <c r="EG43402"/>
      <c r="EH43402"/>
      <c r="EI43402"/>
      <c r="EJ43402"/>
      <c r="EK43402"/>
    </row>
    <row r="43403" spans="1:141" s="116" customFormat="1">
      <c r="A43403" s="136"/>
      <c r="CM43403" s="111"/>
      <c r="CQ43403" s="111"/>
      <c r="EF43403"/>
      <c r="EG43403"/>
      <c r="EH43403"/>
      <c r="EI43403"/>
      <c r="EJ43403"/>
      <c r="EK43403"/>
    </row>
    <row r="43404" spans="1:141" s="116" customFormat="1">
      <c r="A43404" s="136"/>
      <c r="CM43404" s="111"/>
      <c r="CQ43404" s="111"/>
      <c r="EF43404"/>
      <c r="EG43404"/>
      <c r="EH43404"/>
      <c r="EI43404"/>
      <c r="EJ43404"/>
      <c r="EK43404"/>
    </row>
    <row r="43405" spans="1:141" s="116" customFormat="1">
      <c r="A43405" s="136"/>
      <c r="CM43405" s="111"/>
      <c r="CQ43405" s="111"/>
      <c r="EF43405"/>
      <c r="EG43405"/>
      <c r="EH43405"/>
      <c r="EI43405"/>
      <c r="EJ43405"/>
      <c r="EK43405"/>
    </row>
    <row r="43406" spans="1:141" s="116" customFormat="1">
      <c r="A43406" s="136"/>
      <c r="CM43406" s="111"/>
      <c r="CQ43406" s="111"/>
      <c r="EF43406"/>
      <c r="EG43406"/>
      <c r="EH43406"/>
      <c r="EI43406"/>
      <c r="EJ43406"/>
      <c r="EK43406"/>
    </row>
    <row r="43407" spans="1:141" s="116" customFormat="1">
      <c r="A43407" s="136"/>
      <c r="CM43407" s="111"/>
      <c r="CQ43407" s="111"/>
      <c r="EF43407"/>
      <c r="EG43407"/>
      <c r="EH43407"/>
      <c r="EI43407"/>
      <c r="EJ43407"/>
      <c r="EK43407"/>
    </row>
    <row r="43408" spans="1:141" s="116" customFormat="1">
      <c r="A43408" s="136"/>
      <c r="CM43408" s="111"/>
      <c r="CQ43408" s="111"/>
      <c r="EF43408"/>
      <c r="EG43408"/>
      <c r="EH43408"/>
      <c r="EI43408"/>
      <c r="EJ43408"/>
      <c r="EK43408"/>
    </row>
    <row r="43409" spans="1:141" s="116" customFormat="1">
      <c r="A43409" s="136"/>
      <c r="CM43409" s="111"/>
      <c r="CQ43409" s="111"/>
      <c r="EF43409"/>
      <c r="EG43409"/>
      <c r="EH43409"/>
      <c r="EI43409"/>
      <c r="EJ43409"/>
      <c r="EK43409"/>
    </row>
    <row r="43410" spans="1:141" s="116" customFormat="1">
      <c r="A43410" s="136"/>
      <c r="CM43410" s="111"/>
      <c r="CQ43410" s="111"/>
      <c r="EF43410"/>
      <c r="EG43410"/>
      <c r="EH43410"/>
      <c r="EI43410"/>
      <c r="EJ43410"/>
      <c r="EK43410"/>
    </row>
    <row r="43411" spans="1:141" s="116" customFormat="1">
      <c r="A43411" s="136"/>
      <c r="CM43411" s="111"/>
      <c r="CQ43411" s="111"/>
      <c r="EF43411"/>
      <c r="EG43411"/>
      <c r="EH43411"/>
      <c r="EI43411"/>
      <c r="EJ43411"/>
      <c r="EK43411"/>
    </row>
    <row r="43412" spans="1:141" s="116" customFormat="1">
      <c r="A43412" s="136"/>
      <c r="CM43412" s="111"/>
      <c r="CQ43412" s="111"/>
      <c r="EF43412"/>
      <c r="EG43412"/>
      <c r="EH43412"/>
      <c r="EI43412"/>
      <c r="EJ43412"/>
      <c r="EK43412"/>
    </row>
    <row r="43413" spans="1:141" s="116" customFormat="1">
      <c r="A43413" s="136"/>
      <c r="CM43413" s="111"/>
      <c r="CQ43413" s="111"/>
      <c r="EF43413"/>
      <c r="EG43413"/>
      <c r="EH43413"/>
      <c r="EI43413"/>
      <c r="EJ43413"/>
      <c r="EK43413"/>
    </row>
    <row r="43414" spans="1:141" s="116" customFormat="1">
      <c r="A43414" s="136"/>
      <c r="CM43414" s="111"/>
      <c r="CQ43414" s="111"/>
      <c r="EF43414"/>
      <c r="EG43414"/>
      <c r="EH43414"/>
      <c r="EI43414"/>
      <c r="EJ43414"/>
      <c r="EK43414"/>
    </row>
    <row r="43415" spans="1:141" s="116" customFormat="1">
      <c r="A43415" s="136"/>
      <c r="CM43415" s="111"/>
      <c r="CQ43415" s="111"/>
      <c r="EF43415"/>
      <c r="EG43415"/>
      <c r="EH43415"/>
      <c r="EI43415"/>
      <c r="EJ43415"/>
      <c r="EK43415"/>
    </row>
    <row r="43416" spans="1:141" s="116" customFormat="1">
      <c r="A43416" s="136"/>
      <c r="CM43416" s="111"/>
      <c r="CQ43416" s="111"/>
      <c r="EF43416"/>
      <c r="EG43416"/>
      <c r="EH43416"/>
      <c r="EI43416"/>
      <c r="EJ43416"/>
      <c r="EK43416"/>
    </row>
    <row r="43417" spans="1:141" s="116" customFormat="1">
      <c r="A43417" s="136"/>
      <c r="CM43417" s="111"/>
      <c r="CQ43417" s="111"/>
      <c r="EF43417"/>
      <c r="EG43417"/>
      <c r="EH43417"/>
      <c r="EI43417"/>
      <c r="EJ43417"/>
      <c r="EK43417"/>
    </row>
    <row r="43418" spans="1:141" s="116" customFormat="1">
      <c r="A43418" s="136"/>
      <c r="CM43418" s="111"/>
      <c r="CQ43418" s="111"/>
      <c r="EF43418"/>
      <c r="EG43418"/>
      <c r="EH43418"/>
      <c r="EI43418"/>
      <c r="EJ43418"/>
      <c r="EK43418"/>
    </row>
    <row r="43419" spans="1:141" s="116" customFormat="1">
      <c r="A43419" s="136"/>
      <c r="CM43419" s="111"/>
      <c r="CQ43419" s="111"/>
      <c r="EF43419"/>
      <c r="EG43419"/>
      <c r="EH43419"/>
      <c r="EI43419"/>
      <c r="EJ43419"/>
      <c r="EK43419"/>
    </row>
    <row r="43420" spans="1:141" s="116" customFormat="1">
      <c r="A43420" s="136"/>
      <c r="CM43420" s="111"/>
      <c r="CQ43420" s="111"/>
      <c r="EF43420"/>
      <c r="EG43420"/>
      <c r="EH43420"/>
      <c r="EI43420"/>
      <c r="EJ43420"/>
      <c r="EK43420"/>
    </row>
    <row r="43421" spans="1:141" s="116" customFormat="1">
      <c r="A43421" s="136"/>
      <c r="CM43421" s="111"/>
      <c r="CQ43421" s="111"/>
      <c r="EF43421"/>
      <c r="EG43421"/>
      <c r="EH43421"/>
      <c r="EI43421"/>
      <c r="EJ43421"/>
      <c r="EK43421"/>
    </row>
    <row r="43422" spans="1:141" s="116" customFormat="1">
      <c r="A43422" s="136"/>
      <c r="CM43422" s="111"/>
      <c r="CQ43422" s="111"/>
      <c r="EF43422"/>
      <c r="EG43422"/>
      <c r="EH43422"/>
      <c r="EI43422"/>
      <c r="EJ43422"/>
      <c r="EK43422"/>
    </row>
    <row r="43423" spans="1:141" s="116" customFormat="1">
      <c r="A43423" s="136"/>
      <c r="CM43423" s="111"/>
      <c r="CQ43423" s="111"/>
      <c r="EF43423"/>
      <c r="EG43423"/>
      <c r="EH43423"/>
      <c r="EI43423"/>
      <c r="EJ43423"/>
      <c r="EK43423"/>
    </row>
    <row r="43424" spans="1:141" s="116" customFormat="1">
      <c r="A43424" s="136"/>
      <c r="CM43424" s="111"/>
      <c r="CQ43424" s="111"/>
      <c r="EF43424"/>
      <c r="EG43424"/>
      <c r="EH43424"/>
      <c r="EI43424"/>
      <c r="EJ43424"/>
      <c r="EK43424"/>
    </row>
    <row r="43425" spans="1:141" s="116" customFormat="1">
      <c r="A43425" s="136"/>
      <c r="CM43425" s="111"/>
      <c r="CQ43425" s="111"/>
      <c r="EF43425"/>
      <c r="EG43425"/>
      <c r="EH43425"/>
      <c r="EI43425"/>
      <c r="EJ43425"/>
      <c r="EK43425"/>
    </row>
    <row r="43426" spans="1:141" s="116" customFormat="1">
      <c r="A43426" s="136"/>
      <c r="CM43426" s="111"/>
      <c r="CQ43426" s="111"/>
      <c r="EF43426"/>
      <c r="EG43426"/>
      <c r="EH43426"/>
      <c r="EI43426"/>
      <c r="EJ43426"/>
      <c r="EK43426"/>
    </row>
    <row r="43427" spans="1:141" s="116" customFormat="1">
      <c r="A43427" s="136"/>
      <c r="CM43427" s="111"/>
      <c r="CQ43427" s="111"/>
      <c r="EF43427"/>
      <c r="EG43427"/>
      <c r="EH43427"/>
      <c r="EI43427"/>
      <c r="EJ43427"/>
      <c r="EK43427"/>
    </row>
    <row r="43428" spans="1:141" s="116" customFormat="1">
      <c r="A43428" s="136"/>
      <c r="CM43428" s="111"/>
      <c r="CQ43428" s="111"/>
      <c r="EF43428"/>
      <c r="EG43428"/>
      <c r="EH43428"/>
      <c r="EI43428"/>
      <c r="EJ43428"/>
      <c r="EK43428"/>
    </row>
    <row r="43429" spans="1:141" s="116" customFormat="1">
      <c r="A43429" s="136"/>
      <c r="CM43429" s="111"/>
      <c r="CQ43429" s="111"/>
      <c r="EF43429"/>
      <c r="EG43429"/>
      <c r="EH43429"/>
      <c r="EI43429"/>
      <c r="EJ43429"/>
      <c r="EK43429"/>
    </row>
    <row r="43430" spans="1:141" s="116" customFormat="1">
      <c r="A43430" s="136"/>
      <c r="CM43430" s="111"/>
      <c r="CQ43430" s="111"/>
      <c r="EF43430"/>
      <c r="EG43430"/>
      <c r="EH43430"/>
      <c r="EI43430"/>
      <c r="EJ43430"/>
      <c r="EK43430"/>
    </row>
    <row r="43431" spans="1:141" s="116" customFormat="1">
      <c r="A43431" s="136"/>
      <c r="CM43431" s="111"/>
      <c r="CQ43431" s="111"/>
      <c r="EF43431"/>
      <c r="EG43431"/>
      <c r="EH43431"/>
      <c r="EI43431"/>
      <c r="EJ43431"/>
      <c r="EK43431"/>
    </row>
    <row r="43432" spans="1:141" s="116" customFormat="1">
      <c r="A43432" s="136"/>
      <c r="CM43432" s="111"/>
      <c r="CQ43432" s="111"/>
      <c r="EF43432"/>
      <c r="EG43432"/>
      <c r="EH43432"/>
      <c r="EI43432"/>
      <c r="EJ43432"/>
      <c r="EK43432"/>
    </row>
    <row r="43433" spans="1:141" s="116" customFormat="1">
      <c r="A43433" s="136"/>
      <c r="CM43433" s="111"/>
      <c r="CQ43433" s="111"/>
      <c r="EF43433"/>
      <c r="EG43433"/>
      <c r="EH43433"/>
      <c r="EI43433"/>
      <c r="EJ43433"/>
      <c r="EK43433"/>
    </row>
    <row r="43434" spans="1:141" s="116" customFormat="1">
      <c r="A43434" s="136"/>
      <c r="CM43434" s="111"/>
      <c r="CQ43434" s="111"/>
      <c r="EF43434"/>
      <c r="EG43434"/>
      <c r="EH43434"/>
      <c r="EI43434"/>
      <c r="EJ43434"/>
      <c r="EK43434"/>
    </row>
    <row r="43435" spans="1:141" s="116" customFormat="1">
      <c r="A43435" s="136"/>
      <c r="CM43435" s="111"/>
      <c r="CQ43435" s="111"/>
      <c r="EF43435"/>
      <c r="EG43435"/>
      <c r="EH43435"/>
      <c r="EI43435"/>
      <c r="EJ43435"/>
      <c r="EK43435"/>
    </row>
    <row r="43436" spans="1:141" s="116" customFormat="1">
      <c r="A43436" s="136"/>
      <c r="CM43436" s="111"/>
      <c r="CQ43436" s="111"/>
      <c r="EF43436"/>
      <c r="EG43436"/>
      <c r="EH43436"/>
      <c r="EI43436"/>
      <c r="EJ43436"/>
      <c r="EK43436"/>
    </row>
    <row r="43437" spans="1:141" s="116" customFormat="1">
      <c r="A43437" s="136"/>
      <c r="CM43437" s="111"/>
      <c r="CQ43437" s="111"/>
      <c r="EF43437"/>
      <c r="EG43437"/>
      <c r="EH43437"/>
      <c r="EI43437"/>
      <c r="EJ43437"/>
      <c r="EK43437"/>
    </row>
    <row r="43438" spans="1:141" s="116" customFormat="1">
      <c r="A43438" s="136"/>
      <c r="CM43438" s="111"/>
      <c r="CQ43438" s="111"/>
      <c r="EF43438"/>
      <c r="EG43438"/>
      <c r="EH43438"/>
      <c r="EI43438"/>
      <c r="EJ43438"/>
      <c r="EK43438"/>
    </row>
    <row r="43439" spans="1:141" s="116" customFormat="1">
      <c r="A43439" s="136"/>
      <c r="CM43439" s="111"/>
      <c r="CQ43439" s="111"/>
      <c r="EF43439"/>
      <c r="EG43439"/>
      <c r="EH43439"/>
      <c r="EI43439"/>
      <c r="EJ43439"/>
      <c r="EK43439"/>
    </row>
    <row r="43440" spans="1:141" s="116" customFormat="1">
      <c r="A43440" s="136"/>
      <c r="CM43440" s="111"/>
      <c r="CQ43440" s="111"/>
      <c r="EF43440"/>
      <c r="EG43440"/>
      <c r="EH43440"/>
      <c r="EI43440"/>
      <c r="EJ43440"/>
      <c r="EK43440"/>
    </row>
    <row r="43441" spans="1:141" s="116" customFormat="1">
      <c r="A43441" s="136"/>
      <c r="CM43441" s="111"/>
      <c r="CQ43441" s="111"/>
      <c r="EF43441"/>
      <c r="EG43441"/>
      <c r="EH43441"/>
      <c r="EI43441"/>
      <c r="EJ43441"/>
      <c r="EK43441"/>
    </row>
    <row r="43442" spans="1:141" s="116" customFormat="1">
      <c r="A43442" s="136"/>
      <c r="CM43442" s="111"/>
      <c r="CQ43442" s="111"/>
      <c r="EF43442"/>
      <c r="EG43442"/>
      <c r="EH43442"/>
      <c r="EI43442"/>
      <c r="EJ43442"/>
      <c r="EK43442"/>
    </row>
    <row r="43443" spans="1:141" s="116" customFormat="1">
      <c r="A43443" s="136"/>
      <c r="CM43443" s="111"/>
      <c r="CQ43443" s="111"/>
      <c r="EF43443"/>
      <c r="EG43443"/>
      <c r="EH43443"/>
      <c r="EI43443"/>
      <c r="EJ43443"/>
      <c r="EK43443"/>
    </row>
    <row r="43444" spans="1:141" s="116" customFormat="1">
      <c r="A43444" s="136"/>
      <c r="CM43444" s="111"/>
      <c r="CQ43444" s="111"/>
      <c r="EF43444"/>
      <c r="EG43444"/>
      <c r="EH43444"/>
      <c r="EI43444"/>
      <c r="EJ43444"/>
      <c r="EK43444"/>
    </row>
    <row r="43445" spans="1:141" s="116" customFormat="1">
      <c r="A43445" s="136"/>
      <c r="CM43445" s="111"/>
      <c r="CQ43445" s="111"/>
      <c r="EF43445"/>
      <c r="EG43445"/>
      <c r="EH43445"/>
      <c r="EI43445"/>
      <c r="EJ43445"/>
      <c r="EK43445"/>
    </row>
    <row r="43446" spans="1:141" s="116" customFormat="1">
      <c r="A43446" s="136"/>
      <c r="CM43446" s="111"/>
      <c r="CQ43446" s="111"/>
      <c r="EF43446"/>
      <c r="EG43446"/>
      <c r="EH43446"/>
      <c r="EI43446"/>
      <c r="EJ43446"/>
      <c r="EK43446"/>
    </row>
    <row r="43447" spans="1:141" s="116" customFormat="1">
      <c r="A43447" s="136"/>
      <c r="CM43447" s="111"/>
      <c r="CQ43447" s="111"/>
      <c r="EF43447"/>
      <c r="EG43447"/>
      <c r="EH43447"/>
      <c r="EI43447"/>
      <c r="EJ43447"/>
      <c r="EK43447"/>
    </row>
    <row r="43448" spans="1:141" s="116" customFormat="1">
      <c r="A43448" s="136"/>
      <c r="CM43448" s="111"/>
      <c r="CQ43448" s="111"/>
      <c r="EF43448"/>
      <c r="EG43448"/>
      <c r="EH43448"/>
      <c r="EI43448"/>
      <c r="EJ43448"/>
      <c r="EK43448"/>
    </row>
    <row r="43449" spans="1:141" s="116" customFormat="1">
      <c r="A43449" s="136"/>
      <c r="CM43449" s="111"/>
      <c r="CQ43449" s="111"/>
      <c r="EF43449"/>
      <c r="EG43449"/>
      <c r="EH43449"/>
      <c r="EI43449"/>
      <c r="EJ43449"/>
      <c r="EK43449"/>
    </row>
    <row r="43450" spans="1:141" s="116" customFormat="1">
      <c r="A43450" s="136"/>
      <c r="CM43450" s="111"/>
      <c r="CQ43450" s="111"/>
      <c r="EF43450"/>
      <c r="EG43450"/>
      <c r="EH43450"/>
      <c r="EI43450"/>
      <c r="EJ43450"/>
      <c r="EK43450"/>
    </row>
    <row r="43451" spans="1:141" s="116" customFormat="1">
      <c r="A43451" s="136"/>
      <c r="CM43451" s="111"/>
      <c r="CQ43451" s="111"/>
      <c r="EF43451"/>
      <c r="EG43451"/>
      <c r="EH43451"/>
      <c r="EI43451"/>
      <c r="EJ43451"/>
      <c r="EK43451"/>
    </row>
    <row r="43452" spans="1:141" s="116" customFormat="1">
      <c r="A43452" s="136"/>
      <c r="CM43452" s="111"/>
      <c r="CQ43452" s="111"/>
      <c r="EF43452"/>
      <c r="EG43452"/>
      <c r="EH43452"/>
      <c r="EI43452"/>
      <c r="EJ43452"/>
      <c r="EK43452"/>
    </row>
    <row r="43453" spans="1:141" s="116" customFormat="1">
      <c r="A43453" s="136"/>
      <c r="CM43453" s="111"/>
      <c r="CQ43453" s="111"/>
      <c r="EF43453"/>
      <c r="EG43453"/>
      <c r="EH43453"/>
      <c r="EI43453"/>
      <c r="EJ43453"/>
      <c r="EK43453"/>
    </row>
    <row r="43454" spans="1:141" s="116" customFormat="1">
      <c r="A43454" s="136"/>
      <c r="CM43454" s="111"/>
      <c r="CQ43454" s="111"/>
      <c r="EF43454"/>
      <c r="EG43454"/>
      <c r="EH43454"/>
      <c r="EI43454"/>
      <c r="EJ43454"/>
      <c r="EK43454"/>
    </row>
    <row r="43455" spans="1:141" s="116" customFormat="1">
      <c r="A43455" s="136"/>
      <c r="CM43455" s="111"/>
      <c r="CQ43455" s="111"/>
      <c r="EF43455"/>
      <c r="EG43455"/>
      <c r="EH43455"/>
      <c r="EI43455"/>
      <c r="EJ43455"/>
      <c r="EK43455"/>
    </row>
    <row r="43456" spans="1:141" s="116" customFormat="1">
      <c r="A43456" s="136"/>
      <c r="CM43456" s="111"/>
      <c r="CQ43456" s="111"/>
      <c r="EF43456"/>
      <c r="EG43456"/>
      <c r="EH43456"/>
      <c r="EI43456"/>
      <c r="EJ43456"/>
      <c r="EK43456"/>
    </row>
    <row r="43457" spans="1:141" s="116" customFormat="1">
      <c r="A43457" s="136"/>
      <c r="CM43457" s="111"/>
      <c r="CQ43457" s="111"/>
      <c r="EF43457"/>
      <c r="EG43457"/>
      <c r="EH43457"/>
      <c r="EI43457"/>
      <c r="EJ43457"/>
      <c r="EK43457"/>
    </row>
    <row r="43458" spans="1:141" s="116" customFormat="1">
      <c r="A43458" s="136"/>
      <c r="CM43458" s="111"/>
      <c r="CQ43458" s="111"/>
      <c r="EF43458"/>
      <c r="EG43458"/>
      <c r="EH43458"/>
      <c r="EI43458"/>
      <c r="EJ43458"/>
      <c r="EK43458"/>
    </row>
    <row r="43459" spans="1:141" s="116" customFormat="1">
      <c r="A43459" s="136"/>
      <c r="CM43459" s="111"/>
      <c r="CQ43459" s="111"/>
      <c r="EF43459"/>
      <c r="EG43459"/>
      <c r="EH43459"/>
      <c r="EI43459"/>
      <c r="EJ43459"/>
      <c r="EK43459"/>
    </row>
    <row r="43460" spans="1:141" s="116" customFormat="1">
      <c r="A43460" s="136"/>
      <c r="CM43460" s="111"/>
      <c r="CQ43460" s="111"/>
      <c r="EF43460"/>
      <c r="EG43460"/>
      <c r="EH43460"/>
      <c r="EI43460"/>
      <c r="EJ43460"/>
      <c r="EK43460"/>
    </row>
    <row r="43461" spans="1:141" s="116" customFormat="1">
      <c r="A43461" s="136"/>
      <c r="CM43461" s="111"/>
      <c r="CQ43461" s="111"/>
      <c r="EF43461"/>
      <c r="EG43461"/>
      <c r="EH43461"/>
      <c r="EI43461"/>
      <c r="EJ43461"/>
      <c r="EK43461"/>
    </row>
    <row r="43462" spans="1:141" s="116" customFormat="1">
      <c r="A43462" s="136"/>
      <c r="CM43462" s="111"/>
      <c r="CQ43462" s="111"/>
      <c r="EF43462"/>
      <c r="EG43462"/>
      <c r="EH43462"/>
      <c r="EI43462"/>
      <c r="EJ43462"/>
      <c r="EK43462"/>
    </row>
    <row r="43463" spans="1:141" s="116" customFormat="1">
      <c r="A43463" s="136"/>
      <c r="CM43463" s="111"/>
      <c r="CQ43463" s="111"/>
      <c r="EF43463"/>
      <c r="EG43463"/>
      <c r="EH43463"/>
      <c r="EI43463"/>
      <c r="EJ43463"/>
      <c r="EK43463"/>
    </row>
    <row r="43464" spans="1:141" s="116" customFormat="1">
      <c r="A43464" s="136"/>
      <c r="CM43464" s="111"/>
      <c r="CQ43464" s="111"/>
      <c r="EF43464"/>
      <c r="EG43464"/>
      <c r="EH43464"/>
      <c r="EI43464"/>
      <c r="EJ43464"/>
      <c r="EK43464"/>
    </row>
    <row r="43465" spans="1:141" s="116" customFormat="1">
      <c r="A43465" s="136"/>
      <c r="CM43465" s="111"/>
      <c r="CQ43465" s="111"/>
      <c r="EF43465"/>
      <c r="EG43465"/>
      <c r="EH43465"/>
      <c r="EI43465"/>
      <c r="EJ43465"/>
      <c r="EK43465"/>
    </row>
    <row r="43466" spans="1:141" s="116" customFormat="1">
      <c r="A43466" s="136"/>
      <c r="CM43466" s="111"/>
      <c r="CQ43466" s="111"/>
      <c r="EF43466"/>
      <c r="EG43466"/>
      <c r="EH43466"/>
      <c r="EI43466"/>
      <c r="EJ43466"/>
      <c r="EK43466"/>
    </row>
    <row r="43467" spans="1:141" s="116" customFormat="1">
      <c r="A43467" s="136"/>
      <c r="CM43467" s="111"/>
      <c r="CQ43467" s="111"/>
      <c r="EF43467"/>
      <c r="EG43467"/>
      <c r="EH43467"/>
      <c r="EI43467"/>
      <c r="EJ43467"/>
      <c r="EK43467"/>
    </row>
    <row r="43468" spans="1:141" s="116" customFormat="1">
      <c r="A43468" s="136"/>
      <c r="CM43468" s="111"/>
      <c r="CQ43468" s="111"/>
      <c r="EF43468"/>
      <c r="EG43468"/>
      <c r="EH43468"/>
      <c r="EI43468"/>
      <c r="EJ43468"/>
      <c r="EK43468"/>
    </row>
    <row r="43469" spans="1:141" s="116" customFormat="1">
      <c r="A43469" s="136"/>
      <c r="CM43469" s="111"/>
      <c r="CQ43469" s="111"/>
      <c r="EF43469"/>
      <c r="EG43469"/>
      <c r="EH43469"/>
      <c r="EI43469"/>
      <c r="EJ43469"/>
      <c r="EK43469"/>
    </row>
    <row r="43470" spans="1:141" s="116" customFormat="1">
      <c r="A43470" s="136"/>
      <c r="CM43470" s="111"/>
      <c r="CQ43470" s="111"/>
      <c r="EF43470"/>
      <c r="EG43470"/>
      <c r="EH43470"/>
      <c r="EI43470"/>
      <c r="EJ43470"/>
      <c r="EK43470"/>
    </row>
    <row r="43471" spans="1:141" s="116" customFormat="1">
      <c r="A43471" s="136"/>
      <c r="CM43471" s="111"/>
      <c r="CQ43471" s="111"/>
      <c r="EF43471"/>
      <c r="EG43471"/>
      <c r="EH43471"/>
      <c r="EI43471"/>
      <c r="EJ43471"/>
      <c r="EK43471"/>
    </row>
    <row r="43472" spans="1:141" s="116" customFormat="1">
      <c r="A43472" s="136"/>
      <c r="CM43472" s="111"/>
      <c r="CQ43472" s="111"/>
      <c r="EF43472"/>
      <c r="EG43472"/>
      <c r="EH43472"/>
      <c r="EI43472"/>
      <c r="EJ43472"/>
      <c r="EK43472"/>
    </row>
    <row r="43473" spans="1:141" s="116" customFormat="1">
      <c r="A43473" s="136"/>
      <c r="CM43473" s="111"/>
      <c r="CQ43473" s="111"/>
      <c r="EF43473"/>
      <c r="EG43473"/>
      <c r="EH43473"/>
      <c r="EI43473"/>
      <c r="EJ43473"/>
      <c r="EK43473"/>
    </row>
    <row r="43474" spans="1:141" s="116" customFormat="1">
      <c r="A43474" s="136"/>
      <c r="CM43474" s="111"/>
      <c r="CQ43474" s="111"/>
      <c r="EF43474"/>
      <c r="EG43474"/>
      <c r="EH43474"/>
      <c r="EI43474"/>
      <c r="EJ43474"/>
      <c r="EK43474"/>
    </row>
    <row r="43475" spans="1:141" s="116" customFormat="1">
      <c r="A43475" s="136"/>
      <c r="CM43475" s="111"/>
      <c r="CQ43475" s="111"/>
      <c r="EF43475"/>
      <c r="EG43475"/>
      <c r="EH43475"/>
      <c r="EI43475"/>
      <c r="EJ43475"/>
      <c r="EK43475"/>
    </row>
    <row r="43476" spans="1:141" s="116" customFormat="1">
      <c r="A43476" s="136"/>
      <c r="CM43476" s="111"/>
      <c r="CQ43476" s="111"/>
      <c r="EF43476"/>
      <c r="EG43476"/>
      <c r="EH43476"/>
      <c r="EI43476"/>
      <c r="EJ43476"/>
      <c r="EK43476"/>
    </row>
    <row r="43477" spans="1:141" s="116" customFormat="1">
      <c r="A43477" s="136"/>
      <c r="CM43477" s="111"/>
      <c r="CQ43477" s="111"/>
      <c r="EF43477"/>
      <c r="EG43477"/>
      <c r="EH43477"/>
      <c r="EI43477"/>
      <c r="EJ43477"/>
      <c r="EK43477"/>
    </row>
    <row r="43478" spans="1:141" s="116" customFormat="1">
      <c r="A43478" s="136"/>
      <c r="CM43478" s="111"/>
      <c r="CQ43478" s="111"/>
      <c r="EF43478"/>
      <c r="EG43478"/>
      <c r="EH43478"/>
      <c r="EI43478"/>
      <c r="EJ43478"/>
      <c r="EK43478"/>
    </row>
    <row r="43479" spans="1:141" s="116" customFormat="1">
      <c r="A43479" s="136"/>
      <c r="CM43479" s="111"/>
      <c r="CQ43479" s="111"/>
      <c r="EF43479"/>
      <c r="EG43479"/>
      <c r="EH43479"/>
      <c r="EI43479"/>
      <c r="EJ43479"/>
      <c r="EK43479"/>
    </row>
    <row r="43480" spans="1:141" s="116" customFormat="1">
      <c r="A43480" s="136"/>
      <c r="CM43480" s="111"/>
      <c r="CQ43480" s="111"/>
      <c r="EF43480"/>
      <c r="EG43480"/>
      <c r="EH43480"/>
      <c r="EI43480"/>
      <c r="EJ43480"/>
      <c r="EK43480"/>
    </row>
    <row r="43481" spans="1:141" s="116" customFormat="1">
      <c r="A43481" s="136"/>
      <c r="CM43481" s="111"/>
      <c r="CQ43481" s="111"/>
      <c r="EF43481"/>
      <c r="EG43481"/>
      <c r="EH43481"/>
      <c r="EI43481"/>
      <c r="EJ43481"/>
      <c r="EK43481"/>
    </row>
    <row r="43482" spans="1:141" s="116" customFormat="1">
      <c r="A43482" s="136"/>
      <c r="CM43482" s="111"/>
      <c r="CQ43482" s="111"/>
      <c r="EF43482"/>
      <c r="EG43482"/>
      <c r="EH43482"/>
      <c r="EI43482"/>
      <c r="EJ43482"/>
      <c r="EK43482"/>
    </row>
    <row r="43483" spans="1:141" s="116" customFormat="1">
      <c r="A43483" s="136"/>
      <c r="CM43483" s="111"/>
      <c r="CQ43483" s="111"/>
      <c r="EF43483"/>
      <c r="EG43483"/>
      <c r="EH43483"/>
      <c r="EI43483"/>
      <c r="EJ43483"/>
      <c r="EK43483"/>
    </row>
    <row r="43484" spans="1:141" s="116" customFormat="1">
      <c r="A43484" s="136"/>
      <c r="CM43484" s="111"/>
      <c r="CQ43484" s="111"/>
      <c r="EF43484"/>
      <c r="EG43484"/>
      <c r="EH43484"/>
      <c r="EI43484"/>
      <c r="EJ43484"/>
      <c r="EK43484"/>
    </row>
    <row r="43485" spans="1:141" s="116" customFormat="1">
      <c r="A43485" s="136"/>
      <c r="CM43485" s="111"/>
      <c r="CQ43485" s="111"/>
      <c r="EF43485"/>
      <c r="EG43485"/>
      <c r="EH43485"/>
      <c r="EI43485"/>
      <c r="EJ43485"/>
      <c r="EK43485"/>
    </row>
    <row r="43486" spans="1:141" s="116" customFormat="1">
      <c r="A43486" s="136"/>
      <c r="CM43486" s="111"/>
      <c r="CQ43486" s="111"/>
      <c r="EF43486"/>
      <c r="EG43486"/>
      <c r="EH43486"/>
      <c r="EI43486"/>
      <c r="EJ43486"/>
      <c r="EK43486"/>
    </row>
    <row r="43487" spans="1:141" s="116" customFormat="1">
      <c r="A43487" s="136"/>
      <c r="CM43487" s="111"/>
      <c r="CQ43487" s="111"/>
      <c r="EF43487"/>
      <c r="EG43487"/>
      <c r="EH43487"/>
      <c r="EI43487"/>
      <c r="EJ43487"/>
      <c r="EK43487"/>
    </row>
    <row r="43488" spans="1:141" s="116" customFormat="1">
      <c r="A43488" s="136"/>
      <c r="CM43488" s="111"/>
      <c r="CQ43488" s="111"/>
      <c r="EF43488"/>
      <c r="EG43488"/>
      <c r="EH43488"/>
      <c r="EI43488"/>
      <c r="EJ43488"/>
      <c r="EK43488"/>
    </row>
    <row r="43489" spans="1:141" s="116" customFormat="1">
      <c r="A43489" s="136"/>
      <c r="CM43489" s="111"/>
      <c r="CQ43489" s="111"/>
      <c r="EF43489"/>
      <c r="EG43489"/>
      <c r="EH43489"/>
      <c r="EI43489"/>
      <c r="EJ43489"/>
      <c r="EK43489"/>
    </row>
    <row r="43490" spans="1:141" s="116" customFormat="1">
      <c r="A43490" s="136"/>
      <c r="CM43490" s="111"/>
      <c r="CQ43490" s="111"/>
      <c r="EF43490"/>
      <c r="EG43490"/>
      <c r="EH43490"/>
      <c r="EI43490"/>
      <c r="EJ43490"/>
      <c r="EK43490"/>
    </row>
    <row r="43491" spans="1:141" s="116" customFormat="1">
      <c r="A43491" s="136"/>
      <c r="CM43491" s="111"/>
      <c r="CQ43491" s="111"/>
      <c r="EF43491"/>
      <c r="EG43491"/>
      <c r="EH43491"/>
      <c r="EI43491"/>
      <c r="EJ43491"/>
      <c r="EK43491"/>
    </row>
    <row r="43492" spans="1:141" s="116" customFormat="1">
      <c r="A43492" s="136"/>
      <c r="CM43492" s="111"/>
      <c r="CQ43492" s="111"/>
      <c r="EF43492"/>
      <c r="EG43492"/>
      <c r="EH43492"/>
      <c r="EI43492"/>
      <c r="EJ43492"/>
      <c r="EK43492"/>
    </row>
    <row r="43493" spans="1:141" s="116" customFormat="1">
      <c r="A43493" s="136"/>
      <c r="CM43493" s="111"/>
      <c r="CQ43493" s="111"/>
      <c r="EF43493"/>
      <c r="EG43493"/>
      <c r="EH43493"/>
      <c r="EI43493"/>
      <c r="EJ43493"/>
      <c r="EK43493"/>
    </row>
    <row r="43494" spans="1:141" s="116" customFormat="1">
      <c r="A43494" s="136"/>
      <c r="CM43494" s="111"/>
      <c r="CQ43494" s="111"/>
      <c r="EF43494"/>
      <c r="EG43494"/>
      <c r="EH43494"/>
      <c r="EI43494"/>
      <c r="EJ43494"/>
      <c r="EK43494"/>
    </row>
    <row r="43495" spans="1:141" s="116" customFormat="1">
      <c r="A43495" s="136"/>
      <c r="CM43495" s="111"/>
      <c r="CQ43495" s="111"/>
      <c r="EF43495"/>
      <c r="EG43495"/>
      <c r="EH43495"/>
      <c r="EI43495"/>
      <c r="EJ43495"/>
      <c r="EK43495"/>
    </row>
    <row r="43496" spans="1:141" s="116" customFormat="1">
      <c r="A43496" s="136"/>
      <c r="CM43496" s="111"/>
      <c r="CQ43496" s="111"/>
      <c r="EF43496"/>
      <c r="EG43496"/>
      <c r="EH43496"/>
      <c r="EI43496"/>
      <c r="EJ43496"/>
      <c r="EK43496"/>
    </row>
    <row r="43497" spans="1:141" s="116" customFormat="1">
      <c r="A43497" s="136"/>
      <c r="CM43497" s="111"/>
      <c r="CQ43497" s="111"/>
      <c r="EF43497"/>
      <c r="EG43497"/>
      <c r="EH43497"/>
      <c r="EI43497"/>
      <c r="EJ43497"/>
      <c r="EK43497"/>
    </row>
    <row r="43498" spans="1:141" s="116" customFormat="1">
      <c r="A43498" s="136"/>
      <c r="CM43498" s="111"/>
      <c r="CQ43498" s="111"/>
      <c r="EF43498"/>
      <c r="EG43498"/>
      <c r="EH43498"/>
      <c r="EI43498"/>
      <c r="EJ43498"/>
      <c r="EK43498"/>
    </row>
    <row r="43499" spans="1:141" s="116" customFormat="1">
      <c r="A43499" s="136"/>
      <c r="CM43499" s="111"/>
      <c r="CQ43499" s="111"/>
      <c r="EF43499"/>
      <c r="EG43499"/>
      <c r="EH43499"/>
      <c r="EI43499"/>
      <c r="EJ43499"/>
      <c r="EK43499"/>
    </row>
    <row r="43500" spans="1:141" s="116" customFormat="1">
      <c r="A43500" s="136"/>
      <c r="CM43500" s="111"/>
      <c r="CQ43500" s="111"/>
      <c r="EF43500"/>
      <c r="EG43500"/>
      <c r="EH43500"/>
      <c r="EI43500"/>
      <c r="EJ43500"/>
      <c r="EK43500"/>
    </row>
    <row r="43501" spans="1:141" s="116" customFormat="1">
      <c r="A43501" s="136"/>
      <c r="CM43501" s="111"/>
      <c r="CQ43501" s="111"/>
      <c r="EF43501"/>
      <c r="EG43501"/>
      <c r="EH43501"/>
      <c r="EI43501"/>
      <c r="EJ43501"/>
      <c r="EK43501"/>
    </row>
    <row r="43502" spans="1:141" s="116" customFormat="1">
      <c r="A43502" s="136"/>
      <c r="CM43502" s="111"/>
      <c r="CQ43502" s="111"/>
      <c r="EF43502"/>
      <c r="EG43502"/>
      <c r="EH43502"/>
      <c r="EI43502"/>
      <c r="EJ43502"/>
      <c r="EK43502"/>
    </row>
    <row r="43503" spans="1:141" s="116" customFormat="1">
      <c r="A43503" s="136"/>
      <c r="CM43503" s="111"/>
      <c r="CQ43503" s="111"/>
      <c r="EF43503"/>
      <c r="EG43503"/>
      <c r="EH43503"/>
      <c r="EI43503"/>
      <c r="EJ43503"/>
      <c r="EK43503"/>
    </row>
    <row r="43504" spans="1:141" s="116" customFormat="1">
      <c r="A43504" s="136"/>
      <c r="CM43504" s="111"/>
      <c r="CQ43504" s="111"/>
      <c r="EF43504"/>
      <c r="EG43504"/>
      <c r="EH43504"/>
      <c r="EI43504"/>
      <c r="EJ43504"/>
      <c r="EK43504"/>
    </row>
    <row r="43505" spans="1:141" s="116" customFormat="1">
      <c r="A43505" s="136"/>
      <c r="CM43505" s="111"/>
      <c r="CQ43505" s="111"/>
      <c r="EF43505"/>
      <c r="EG43505"/>
      <c r="EH43505"/>
      <c r="EI43505"/>
      <c r="EJ43505"/>
      <c r="EK43505"/>
    </row>
    <row r="43506" spans="1:141" s="116" customFormat="1">
      <c r="A43506" s="136"/>
      <c r="CM43506" s="111"/>
      <c r="CQ43506" s="111"/>
      <c r="EF43506"/>
      <c r="EG43506"/>
      <c r="EH43506"/>
      <c r="EI43506"/>
      <c r="EJ43506"/>
      <c r="EK43506"/>
    </row>
    <row r="43507" spans="1:141" s="116" customFormat="1">
      <c r="A43507" s="136"/>
      <c r="CM43507" s="111"/>
      <c r="CQ43507" s="111"/>
      <c r="EF43507"/>
      <c r="EG43507"/>
      <c r="EH43507"/>
      <c r="EI43507"/>
      <c r="EJ43507"/>
      <c r="EK43507"/>
    </row>
    <row r="43508" spans="1:141" s="116" customFormat="1">
      <c r="A43508" s="136"/>
      <c r="CM43508" s="111"/>
      <c r="CQ43508" s="111"/>
      <c r="EF43508"/>
      <c r="EG43508"/>
      <c r="EH43508"/>
      <c r="EI43508"/>
      <c r="EJ43508"/>
      <c r="EK43508"/>
    </row>
    <row r="43509" spans="1:141" s="116" customFormat="1">
      <c r="A43509" s="136"/>
      <c r="CM43509" s="111"/>
      <c r="CQ43509" s="111"/>
      <c r="EF43509"/>
      <c r="EG43509"/>
      <c r="EH43509"/>
      <c r="EI43509"/>
      <c r="EJ43509"/>
      <c r="EK43509"/>
    </row>
    <row r="43510" spans="1:141" s="116" customFormat="1">
      <c r="A43510" s="136"/>
      <c r="CM43510" s="111"/>
      <c r="CQ43510" s="111"/>
      <c r="EF43510"/>
      <c r="EG43510"/>
      <c r="EH43510"/>
      <c r="EI43510"/>
      <c r="EJ43510"/>
      <c r="EK43510"/>
    </row>
    <row r="43511" spans="1:141" s="116" customFormat="1">
      <c r="A43511" s="136"/>
      <c r="CM43511" s="111"/>
      <c r="CQ43511" s="111"/>
      <c r="EF43511"/>
      <c r="EG43511"/>
      <c r="EH43511"/>
      <c r="EI43511"/>
      <c r="EJ43511"/>
      <c r="EK43511"/>
    </row>
    <row r="43512" spans="1:141" s="116" customFormat="1">
      <c r="A43512" s="136"/>
      <c r="CM43512" s="111"/>
      <c r="CQ43512" s="111"/>
      <c r="EF43512"/>
      <c r="EG43512"/>
      <c r="EH43512"/>
      <c r="EI43512"/>
      <c r="EJ43512"/>
      <c r="EK43512"/>
    </row>
    <row r="43513" spans="1:141" s="116" customFormat="1">
      <c r="A43513" s="136"/>
      <c r="CM43513" s="111"/>
      <c r="CQ43513" s="111"/>
      <c r="EF43513"/>
      <c r="EG43513"/>
      <c r="EH43513"/>
      <c r="EI43513"/>
      <c r="EJ43513"/>
      <c r="EK43513"/>
    </row>
    <row r="43514" spans="1:141" s="116" customFormat="1">
      <c r="A43514" s="136"/>
      <c r="CM43514" s="111"/>
      <c r="CQ43514" s="111"/>
      <c r="EF43514"/>
      <c r="EG43514"/>
      <c r="EH43514"/>
      <c r="EI43514"/>
      <c r="EJ43514"/>
      <c r="EK43514"/>
    </row>
    <row r="43515" spans="1:141" s="116" customFormat="1">
      <c r="A43515" s="136"/>
      <c r="CM43515" s="111"/>
      <c r="CQ43515" s="111"/>
      <c r="EF43515"/>
      <c r="EG43515"/>
      <c r="EH43515"/>
      <c r="EI43515"/>
      <c r="EJ43515"/>
      <c r="EK43515"/>
    </row>
    <row r="43516" spans="1:141" s="116" customFormat="1">
      <c r="A43516" s="136"/>
      <c r="CM43516" s="111"/>
      <c r="CQ43516" s="111"/>
      <c r="EF43516"/>
      <c r="EG43516"/>
      <c r="EH43516"/>
      <c r="EI43516"/>
      <c r="EJ43516"/>
      <c r="EK43516"/>
    </row>
    <row r="43517" spans="1:141" s="116" customFormat="1">
      <c r="A43517" s="136"/>
      <c r="CM43517" s="111"/>
      <c r="CQ43517" s="111"/>
      <c r="EF43517"/>
      <c r="EG43517"/>
      <c r="EH43517"/>
      <c r="EI43517"/>
      <c r="EJ43517"/>
      <c r="EK43517"/>
    </row>
    <row r="43518" spans="1:141" s="116" customFormat="1">
      <c r="A43518" s="136"/>
      <c r="CM43518" s="111"/>
      <c r="CQ43518" s="111"/>
      <c r="EF43518"/>
      <c r="EG43518"/>
      <c r="EH43518"/>
      <c r="EI43518"/>
      <c r="EJ43518"/>
      <c r="EK43518"/>
    </row>
    <row r="43519" spans="1:141" s="116" customFormat="1">
      <c r="A43519" s="136"/>
      <c r="CM43519" s="111"/>
      <c r="CQ43519" s="111"/>
      <c r="EF43519"/>
      <c r="EG43519"/>
      <c r="EH43519"/>
      <c r="EI43519"/>
      <c r="EJ43519"/>
      <c r="EK43519"/>
    </row>
    <row r="43520" spans="1:141" s="116" customFormat="1">
      <c r="A43520" s="136"/>
      <c r="CM43520" s="111"/>
      <c r="CQ43520" s="111"/>
      <c r="EF43520"/>
      <c r="EG43520"/>
      <c r="EH43520"/>
      <c r="EI43520"/>
      <c r="EJ43520"/>
      <c r="EK43520"/>
    </row>
    <row r="43521" spans="1:141" s="116" customFormat="1">
      <c r="A43521" s="136"/>
      <c r="CM43521" s="111"/>
      <c r="CQ43521" s="111"/>
      <c r="EF43521"/>
      <c r="EG43521"/>
      <c r="EH43521"/>
      <c r="EI43521"/>
      <c r="EJ43521"/>
      <c r="EK43521"/>
    </row>
    <row r="43522" spans="1:141" s="116" customFormat="1">
      <c r="A43522" s="136"/>
      <c r="CM43522" s="111"/>
      <c r="CQ43522" s="111"/>
      <c r="EF43522"/>
      <c r="EG43522"/>
      <c r="EH43522"/>
      <c r="EI43522"/>
      <c r="EJ43522"/>
      <c r="EK43522"/>
    </row>
    <row r="43523" spans="1:141" s="116" customFormat="1">
      <c r="A43523" s="136"/>
      <c r="CM43523" s="111"/>
      <c r="CQ43523" s="111"/>
      <c r="EF43523"/>
      <c r="EG43523"/>
      <c r="EH43523"/>
      <c r="EI43523"/>
      <c r="EJ43523"/>
      <c r="EK43523"/>
    </row>
    <row r="43524" spans="1:141" s="116" customFormat="1">
      <c r="A43524" s="136"/>
      <c r="CM43524" s="111"/>
      <c r="CQ43524" s="111"/>
      <c r="EF43524"/>
      <c r="EG43524"/>
      <c r="EH43524"/>
      <c r="EI43524"/>
      <c r="EJ43524"/>
      <c r="EK43524"/>
    </row>
    <row r="43525" spans="1:141" s="116" customFormat="1">
      <c r="A43525" s="136"/>
      <c r="CM43525" s="111"/>
      <c r="CQ43525" s="111"/>
      <c r="EF43525"/>
      <c r="EG43525"/>
      <c r="EH43525"/>
      <c r="EI43525"/>
      <c r="EJ43525"/>
      <c r="EK43525"/>
    </row>
    <row r="43526" spans="1:141" s="116" customFormat="1">
      <c r="A43526" s="136"/>
      <c r="CM43526" s="111"/>
      <c r="CQ43526" s="111"/>
      <c r="EF43526"/>
      <c r="EG43526"/>
      <c r="EH43526"/>
      <c r="EI43526"/>
      <c r="EJ43526"/>
      <c r="EK43526"/>
    </row>
    <row r="43527" spans="1:141" s="116" customFormat="1">
      <c r="A43527" s="136"/>
      <c r="CM43527" s="111"/>
      <c r="CQ43527" s="111"/>
      <c r="EF43527"/>
      <c r="EG43527"/>
      <c r="EH43527"/>
      <c r="EI43527"/>
      <c r="EJ43527"/>
      <c r="EK43527"/>
    </row>
    <row r="43528" spans="1:141" s="116" customFormat="1">
      <c r="A43528" s="136"/>
      <c r="CM43528" s="111"/>
      <c r="CQ43528" s="111"/>
      <c r="EF43528"/>
      <c r="EG43528"/>
      <c r="EH43528"/>
      <c r="EI43528"/>
      <c r="EJ43528"/>
      <c r="EK43528"/>
    </row>
    <row r="43529" spans="1:141" s="116" customFormat="1">
      <c r="A43529" s="136"/>
      <c r="CM43529" s="111"/>
      <c r="CQ43529" s="111"/>
      <c r="EF43529"/>
      <c r="EG43529"/>
      <c r="EH43529"/>
      <c r="EI43529"/>
      <c r="EJ43529"/>
      <c r="EK43529"/>
    </row>
    <row r="43530" spans="1:141" s="116" customFormat="1">
      <c r="A43530" s="136"/>
      <c r="CM43530" s="111"/>
      <c r="CQ43530" s="111"/>
      <c r="EF43530"/>
      <c r="EG43530"/>
      <c r="EH43530"/>
      <c r="EI43530"/>
      <c r="EJ43530"/>
      <c r="EK43530"/>
    </row>
    <row r="43531" spans="1:141" s="116" customFormat="1">
      <c r="A43531" s="136"/>
      <c r="CM43531" s="111"/>
      <c r="CQ43531" s="111"/>
      <c r="EF43531"/>
      <c r="EG43531"/>
      <c r="EH43531"/>
      <c r="EI43531"/>
      <c r="EJ43531"/>
      <c r="EK43531"/>
    </row>
    <row r="43532" spans="1:141" s="116" customFormat="1">
      <c r="A43532" s="136"/>
      <c r="CM43532" s="111"/>
      <c r="CQ43532" s="111"/>
      <c r="EF43532"/>
      <c r="EG43532"/>
      <c r="EH43532"/>
      <c r="EI43532"/>
      <c r="EJ43532"/>
      <c r="EK43532"/>
    </row>
    <row r="43533" spans="1:141" s="116" customFormat="1">
      <c r="A43533" s="136"/>
      <c r="CM43533" s="111"/>
      <c r="CQ43533" s="111"/>
      <c r="EF43533"/>
      <c r="EG43533"/>
      <c r="EH43533"/>
      <c r="EI43533"/>
      <c r="EJ43533"/>
      <c r="EK43533"/>
    </row>
    <row r="43534" spans="1:141" s="116" customFormat="1">
      <c r="A43534" s="136"/>
      <c r="CM43534" s="111"/>
      <c r="CQ43534" s="111"/>
      <c r="EF43534"/>
      <c r="EG43534"/>
      <c r="EH43534"/>
      <c r="EI43534"/>
      <c r="EJ43534"/>
      <c r="EK43534"/>
    </row>
    <row r="43535" spans="1:141" s="116" customFormat="1">
      <c r="A43535" s="136"/>
      <c r="CM43535" s="111"/>
      <c r="CQ43535" s="111"/>
      <c r="EF43535"/>
      <c r="EG43535"/>
      <c r="EH43535"/>
      <c r="EI43535"/>
      <c r="EJ43535"/>
      <c r="EK43535"/>
    </row>
    <row r="43536" spans="1:141" s="116" customFormat="1">
      <c r="A43536" s="136"/>
      <c r="CM43536" s="111"/>
      <c r="CQ43536" s="111"/>
      <c r="EF43536"/>
      <c r="EG43536"/>
      <c r="EH43536"/>
      <c r="EI43536"/>
      <c r="EJ43536"/>
      <c r="EK43536"/>
    </row>
    <row r="43537" spans="1:141" s="116" customFormat="1">
      <c r="A43537" s="136"/>
      <c r="CM43537" s="111"/>
      <c r="CQ43537" s="111"/>
      <c r="EF43537"/>
      <c r="EG43537"/>
      <c r="EH43537"/>
      <c r="EI43537"/>
      <c r="EJ43537"/>
      <c r="EK43537"/>
    </row>
    <row r="43538" spans="1:141" s="116" customFormat="1">
      <c r="A43538" s="136"/>
      <c r="CM43538" s="111"/>
      <c r="CQ43538" s="111"/>
      <c r="EF43538"/>
      <c r="EG43538"/>
      <c r="EH43538"/>
      <c r="EI43538"/>
      <c r="EJ43538"/>
      <c r="EK43538"/>
    </row>
    <row r="43539" spans="1:141" s="116" customFormat="1">
      <c r="A43539" s="136"/>
      <c r="CM43539" s="111"/>
      <c r="CQ43539" s="111"/>
      <c r="EF43539"/>
      <c r="EG43539"/>
      <c r="EH43539"/>
      <c r="EI43539"/>
      <c r="EJ43539"/>
      <c r="EK43539"/>
    </row>
    <row r="43540" spans="1:141" s="116" customFormat="1">
      <c r="A43540" s="136"/>
      <c r="CM43540" s="111"/>
      <c r="CQ43540" s="111"/>
      <c r="EF43540"/>
      <c r="EG43540"/>
      <c r="EH43540"/>
      <c r="EI43540"/>
      <c r="EJ43540"/>
      <c r="EK43540"/>
    </row>
    <row r="43541" spans="1:141" s="116" customFormat="1">
      <c r="A43541" s="136"/>
      <c r="CM43541" s="111"/>
      <c r="CQ43541" s="111"/>
      <c r="EF43541"/>
      <c r="EG43541"/>
      <c r="EH43541"/>
      <c r="EI43541"/>
      <c r="EJ43541"/>
      <c r="EK43541"/>
    </row>
    <row r="43542" spans="1:141" s="116" customFormat="1">
      <c r="A43542" s="136"/>
      <c r="CM43542" s="111"/>
      <c r="CQ43542" s="111"/>
      <c r="EF43542"/>
      <c r="EG43542"/>
      <c r="EH43542"/>
      <c r="EI43542"/>
      <c r="EJ43542"/>
      <c r="EK43542"/>
    </row>
    <row r="43543" spans="1:141" s="116" customFormat="1">
      <c r="A43543" s="136"/>
      <c r="CM43543" s="111"/>
      <c r="CQ43543" s="111"/>
      <c r="EF43543"/>
      <c r="EG43543"/>
      <c r="EH43543"/>
      <c r="EI43543"/>
      <c r="EJ43543"/>
      <c r="EK43543"/>
    </row>
    <row r="43544" spans="1:141" s="116" customFormat="1">
      <c r="A43544" s="136"/>
      <c r="CM43544" s="111"/>
      <c r="CQ43544" s="111"/>
      <c r="EF43544"/>
      <c r="EG43544"/>
      <c r="EH43544"/>
      <c r="EI43544"/>
      <c r="EJ43544"/>
      <c r="EK43544"/>
    </row>
    <row r="43545" spans="1:141" s="116" customFormat="1">
      <c r="A43545" s="136"/>
      <c r="CM43545" s="111"/>
      <c r="CQ43545" s="111"/>
      <c r="EF43545"/>
      <c r="EG43545"/>
      <c r="EH43545"/>
      <c r="EI43545"/>
      <c r="EJ43545"/>
      <c r="EK43545"/>
    </row>
    <row r="43546" spans="1:141" s="116" customFormat="1">
      <c r="A43546" s="136"/>
      <c r="CM43546" s="111"/>
      <c r="CQ43546" s="111"/>
      <c r="EF43546"/>
      <c r="EG43546"/>
      <c r="EH43546"/>
      <c r="EI43546"/>
      <c r="EJ43546"/>
      <c r="EK43546"/>
    </row>
    <row r="43547" spans="1:141" s="116" customFormat="1">
      <c r="A43547" s="136"/>
      <c r="CM43547" s="111"/>
      <c r="CQ43547" s="111"/>
      <c r="EF43547"/>
      <c r="EG43547"/>
      <c r="EH43547"/>
      <c r="EI43547"/>
      <c r="EJ43547"/>
      <c r="EK43547"/>
    </row>
    <row r="43548" spans="1:141" s="116" customFormat="1">
      <c r="A43548" s="136"/>
      <c r="CM43548" s="111"/>
      <c r="CQ43548" s="111"/>
      <c r="EF43548"/>
      <c r="EG43548"/>
      <c r="EH43548"/>
      <c r="EI43548"/>
      <c r="EJ43548"/>
      <c r="EK43548"/>
    </row>
    <row r="43549" spans="1:141" s="116" customFormat="1">
      <c r="A43549" s="136"/>
      <c r="CM43549" s="111"/>
      <c r="CQ43549" s="111"/>
      <c r="EF43549"/>
      <c r="EG43549"/>
      <c r="EH43549"/>
      <c r="EI43549"/>
      <c r="EJ43549"/>
      <c r="EK43549"/>
    </row>
    <row r="43550" spans="1:141" s="116" customFormat="1">
      <c r="A43550" s="136"/>
      <c r="CM43550" s="111"/>
      <c r="CQ43550" s="111"/>
      <c r="EF43550"/>
      <c r="EG43550"/>
      <c r="EH43550"/>
      <c r="EI43550"/>
      <c r="EJ43550"/>
      <c r="EK43550"/>
    </row>
    <row r="43551" spans="1:141" s="116" customFormat="1">
      <c r="A43551" s="136"/>
      <c r="CM43551" s="111"/>
      <c r="CQ43551" s="111"/>
      <c r="EF43551"/>
      <c r="EG43551"/>
      <c r="EH43551"/>
      <c r="EI43551"/>
      <c r="EJ43551"/>
      <c r="EK43551"/>
    </row>
    <row r="43552" spans="1:141" s="116" customFormat="1">
      <c r="A43552" s="136"/>
      <c r="CM43552" s="111"/>
      <c r="CQ43552" s="111"/>
      <c r="EF43552"/>
      <c r="EG43552"/>
      <c r="EH43552"/>
      <c r="EI43552"/>
      <c r="EJ43552"/>
      <c r="EK43552"/>
    </row>
    <row r="43553" spans="1:141" s="116" customFormat="1">
      <c r="A43553" s="136"/>
      <c r="CM43553" s="111"/>
      <c r="CQ43553" s="111"/>
      <c r="EF43553"/>
      <c r="EG43553"/>
      <c r="EH43553"/>
      <c r="EI43553"/>
      <c r="EJ43553"/>
      <c r="EK43553"/>
    </row>
    <row r="43554" spans="1:141" s="116" customFormat="1">
      <c r="A43554" s="136"/>
      <c r="CM43554" s="111"/>
      <c r="CQ43554" s="111"/>
      <c r="EF43554"/>
      <c r="EG43554"/>
      <c r="EH43554"/>
      <c r="EI43554"/>
      <c r="EJ43554"/>
      <c r="EK43554"/>
    </row>
    <row r="43555" spans="1:141" s="116" customFormat="1">
      <c r="A43555" s="136"/>
      <c r="CM43555" s="111"/>
      <c r="CQ43555" s="111"/>
      <c r="EF43555"/>
      <c r="EG43555"/>
      <c r="EH43555"/>
      <c r="EI43555"/>
      <c r="EJ43555"/>
      <c r="EK43555"/>
    </row>
    <row r="43556" spans="1:141" s="116" customFormat="1">
      <c r="A43556" s="136"/>
      <c r="CM43556" s="111"/>
      <c r="CQ43556" s="111"/>
      <c r="EF43556"/>
      <c r="EG43556"/>
      <c r="EH43556"/>
      <c r="EI43556"/>
      <c r="EJ43556"/>
      <c r="EK43556"/>
    </row>
    <row r="43557" spans="1:141" s="116" customFormat="1">
      <c r="A43557" s="136"/>
      <c r="CM43557" s="111"/>
      <c r="CQ43557" s="111"/>
      <c r="EF43557"/>
      <c r="EG43557"/>
      <c r="EH43557"/>
      <c r="EI43557"/>
      <c r="EJ43557"/>
      <c r="EK43557"/>
    </row>
    <row r="43558" spans="1:141" s="116" customFormat="1">
      <c r="A43558" s="136"/>
      <c r="CM43558" s="111"/>
      <c r="CQ43558" s="111"/>
      <c r="EF43558"/>
      <c r="EG43558"/>
      <c r="EH43558"/>
      <c r="EI43558"/>
      <c r="EJ43558"/>
      <c r="EK43558"/>
    </row>
    <row r="43559" spans="1:141" s="116" customFormat="1">
      <c r="A43559" s="136"/>
      <c r="CM43559" s="111"/>
      <c r="CQ43559" s="111"/>
      <c r="EF43559"/>
      <c r="EG43559"/>
      <c r="EH43559"/>
      <c r="EI43559"/>
      <c r="EJ43559"/>
      <c r="EK43559"/>
    </row>
    <row r="43560" spans="1:141" s="116" customFormat="1">
      <c r="A43560" s="136"/>
      <c r="CM43560" s="111"/>
      <c r="CQ43560" s="111"/>
      <c r="EF43560"/>
      <c r="EG43560"/>
      <c r="EH43560"/>
      <c r="EI43560"/>
      <c r="EJ43560"/>
      <c r="EK43560"/>
    </row>
    <row r="43561" spans="1:141" s="116" customFormat="1">
      <c r="A43561" s="136"/>
      <c r="CM43561" s="111"/>
      <c r="CQ43561" s="111"/>
      <c r="EF43561"/>
      <c r="EG43561"/>
      <c r="EH43561"/>
      <c r="EI43561"/>
      <c r="EJ43561"/>
      <c r="EK43561"/>
    </row>
    <row r="43562" spans="1:141" s="116" customFormat="1">
      <c r="A43562" s="136"/>
      <c r="CM43562" s="111"/>
      <c r="CQ43562" s="111"/>
      <c r="EF43562"/>
      <c r="EG43562"/>
      <c r="EH43562"/>
      <c r="EI43562"/>
      <c r="EJ43562"/>
      <c r="EK43562"/>
    </row>
    <row r="43563" spans="1:141" s="116" customFormat="1">
      <c r="A43563" s="136"/>
      <c r="CM43563" s="111"/>
      <c r="CQ43563" s="111"/>
      <c r="EF43563"/>
      <c r="EG43563"/>
      <c r="EH43563"/>
      <c r="EI43563"/>
      <c r="EJ43563"/>
      <c r="EK43563"/>
    </row>
    <row r="43564" spans="1:141" s="116" customFormat="1">
      <c r="A43564" s="136"/>
      <c r="CM43564" s="111"/>
      <c r="CQ43564" s="111"/>
      <c r="EF43564"/>
      <c r="EG43564"/>
      <c r="EH43564"/>
      <c r="EI43564"/>
      <c r="EJ43564"/>
      <c r="EK43564"/>
    </row>
    <row r="43565" spans="1:141" s="116" customFormat="1">
      <c r="A43565" s="136"/>
      <c r="CM43565" s="111"/>
      <c r="CQ43565" s="111"/>
      <c r="EF43565"/>
      <c r="EG43565"/>
      <c r="EH43565"/>
      <c r="EI43565"/>
      <c r="EJ43565"/>
      <c r="EK43565"/>
    </row>
    <row r="43566" spans="1:141" s="116" customFormat="1">
      <c r="A43566" s="136"/>
      <c r="CM43566" s="111"/>
      <c r="CQ43566" s="111"/>
      <c r="EF43566"/>
      <c r="EG43566"/>
      <c r="EH43566"/>
      <c r="EI43566"/>
      <c r="EJ43566"/>
      <c r="EK43566"/>
    </row>
    <row r="43567" spans="1:141" s="116" customFormat="1">
      <c r="A43567" s="136"/>
      <c r="CM43567" s="111"/>
      <c r="CQ43567" s="111"/>
      <c r="EF43567"/>
      <c r="EG43567"/>
      <c r="EH43567"/>
      <c r="EI43567"/>
      <c r="EJ43567"/>
      <c r="EK43567"/>
    </row>
    <row r="43568" spans="1:141" s="116" customFormat="1">
      <c r="A43568" s="136"/>
      <c r="CM43568" s="111"/>
      <c r="CQ43568" s="111"/>
      <c r="EF43568"/>
      <c r="EG43568"/>
      <c r="EH43568"/>
      <c r="EI43568"/>
      <c r="EJ43568"/>
      <c r="EK43568"/>
    </row>
    <row r="43569" spans="1:141" s="116" customFormat="1">
      <c r="A43569" s="136"/>
      <c r="CM43569" s="111"/>
      <c r="CQ43569" s="111"/>
      <c r="EF43569"/>
      <c r="EG43569"/>
      <c r="EH43569"/>
      <c r="EI43569"/>
      <c r="EJ43569"/>
      <c r="EK43569"/>
    </row>
    <row r="43570" spans="1:141" s="116" customFormat="1">
      <c r="A43570" s="136"/>
      <c r="CM43570" s="111"/>
      <c r="CQ43570" s="111"/>
      <c r="EF43570"/>
      <c r="EG43570"/>
      <c r="EH43570"/>
      <c r="EI43570"/>
      <c r="EJ43570"/>
      <c r="EK43570"/>
    </row>
    <row r="43571" spans="1:141" s="116" customFormat="1">
      <c r="A43571" s="136"/>
      <c r="CM43571" s="111"/>
      <c r="CQ43571" s="111"/>
      <c r="EF43571"/>
      <c r="EG43571"/>
      <c r="EH43571"/>
      <c r="EI43571"/>
      <c r="EJ43571"/>
      <c r="EK43571"/>
    </row>
    <row r="43572" spans="1:141" s="116" customFormat="1">
      <c r="A43572" s="136"/>
      <c r="CM43572" s="111"/>
      <c r="CQ43572" s="111"/>
      <c r="EF43572"/>
      <c r="EG43572"/>
      <c r="EH43572"/>
      <c r="EI43572"/>
      <c r="EJ43572"/>
      <c r="EK43572"/>
    </row>
    <row r="43573" spans="1:141" s="116" customFormat="1">
      <c r="A43573" s="136"/>
      <c r="CM43573" s="111"/>
      <c r="CQ43573" s="111"/>
      <c r="EF43573"/>
      <c r="EG43573"/>
      <c r="EH43573"/>
      <c r="EI43573"/>
      <c r="EJ43573"/>
      <c r="EK43573"/>
    </row>
    <row r="43574" spans="1:141" s="116" customFormat="1">
      <c r="A43574" s="136"/>
      <c r="CM43574" s="111"/>
      <c r="CQ43574" s="111"/>
      <c r="EF43574"/>
      <c r="EG43574"/>
      <c r="EH43574"/>
      <c r="EI43574"/>
      <c r="EJ43574"/>
      <c r="EK43574"/>
    </row>
    <row r="43575" spans="1:141" s="116" customFormat="1">
      <c r="A43575" s="136"/>
      <c r="CM43575" s="111"/>
      <c r="CQ43575" s="111"/>
      <c r="EF43575"/>
      <c r="EG43575"/>
      <c r="EH43575"/>
      <c r="EI43575"/>
      <c r="EJ43575"/>
      <c r="EK43575"/>
    </row>
    <row r="43576" spans="1:141" s="116" customFormat="1">
      <c r="A43576" s="136"/>
      <c r="CM43576" s="111"/>
      <c r="CQ43576" s="111"/>
      <c r="EF43576"/>
      <c r="EG43576"/>
      <c r="EH43576"/>
      <c r="EI43576"/>
      <c r="EJ43576"/>
      <c r="EK43576"/>
    </row>
    <row r="43577" spans="1:141" s="116" customFormat="1">
      <c r="A43577" s="136"/>
      <c r="CM43577" s="111"/>
      <c r="CQ43577" s="111"/>
      <c r="EF43577"/>
      <c r="EG43577"/>
      <c r="EH43577"/>
      <c r="EI43577"/>
      <c r="EJ43577"/>
      <c r="EK43577"/>
    </row>
    <row r="43578" spans="1:141" s="116" customFormat="1">
      <c r="A43578" s="136"/>
      <c r="CM43578" s="111"/>
      <c r="CQ43578" s="111"/>
      <c r="EF43578"/>
      <c r="EG43578"/>
      <c r="EH43578"/>
      <c r="EI43578"/>
      <c r="EJ43578"/>
      <c r="EK43578"/>
    </row>
    <row r="43579" spans="1:141" s="116" customFormat="1">
      <c r="A43579" s="136"/>
      <c r="CM43579" s="111"/>
      <c r="CQ43579" s="111"/>
      <c r="EF43579"/>
      <c r="EG43579"/>
      <c r="EH43579"/>
      <c r="EI43579"/>
      <c r="EJ43579"/>
      <c r="EK43579"/>
    </row>
    <row r="43580" spans="1:141" s="116" customFormat="1">
      <c r="A43580" s="136"/>
      <c r="CM43580" s="111"/>
      <c r="CQ43580" s="111"/>
      <c r="EF43580"/>
      <c r="EG43580"/>
      <c r="EH43580"/>
      <c r="EI43580"/>
      <c r="EJ43580"/>
      <c r="EK43580"/>
    </row>
    <row r="43581" spans="1:141" s="116" customFormat="1">
      <c r="A43581" s="136"/>
      <c r="CM43581" s="111"/>
      <c r="CQ43581" s="111"/>
      <c r="EF43581"/>
      <c r="EG43581"/>
      <c r="EH43581"/>
      <c r="EI43581"/>
      <c r="EJ43581"/>
      <c r="EK43581"/>
    </row>
    <row r="43582" spans="1:141" s="116" customFormat="1">
      <c r="A43582" s="136"/>
      <c r="CM43582" s="111"/>
      <c r="CQ43582" s="111"/>
      <c r="EF43582"/>
      <c r="EG43582"/>
      <c r="EH43582"/>
      <c r="EI43582"/>
      <c r="EJ43582"/>
      <c r="EK43582"/>
    </row>
    <row r="43583" spans="1:141" s="116" customFormat="1">
      <c r="A43583" s="136"/>
      <c r="CM43583" s="111"/>
      <c r="CQ43583" s="111"/>
      <c r="EF43583"/>
      <c r="EG43583"/>
      <c r="EH43583"/>
      <c r="EI43583"/>
      <c r="EJ43583"/>
      <c r="EK43583"/>
    </row>
    <row r="43584" spans="1:141" s="116" customFormat="1">
      <c r="A43584" s="136"/>
      <c r="CM43584" s="111"/>
      <c r="CQ43584" s="111"/>
      <c r="EF43584"/>
      <c r="EG43584"/>
      <c r="EH43584"/>
      <c r="EI43584"/>
      <c r="EJ43584"/>
      <c r="EK43584"/>
    </row>
    <row r="43585" spans="1:141" s="116" customFormat="1">
      <c r="A43585" s="136"/>
      <c r="CM43585" s="111"/>
      <c r="CQ43585" s="111"/>
      <c r="EF43585"/>
      <c r="EG43585"/>
      <c r="EH43585"/>
      <c r="EI43585"/>
      <c r="EJ43585"/>
      <c r="EK43585"/>
    </row>
    <row r="43586" spans="1:141" s="116" customFormat="1">
      <c r="A43586" s="136"/>
      <c r="CM43586" s="111"/>
      <c r="CQ43586" s="111"/>
      <c r="EF43586"/>
      <c r="EG43586"/>
      <c r="EH43586"/>
      <c r="EI43586"/>
      <c r="EJ43586"/>
      <c r="EK43586"/>
    </row>
    <row r="43587" spans="1:141" s="116" customFormat="1">
      <c r="A43587" s="136"/>
      <c r="CM43587" s="111"/>
      <c r="CQ43587" s="111"/>
      <c r="EF43587"/>
      <c r="EG43587"/>
      <c r="EH43587"/>
      <c r="EI43587"/>
      <c r="EJ43587"/>
      <c r="EK43587"/>
    </row>
    <row r="43588" spans="1:141" s="116" customFormat="1">
      <c r="A43588" s="136"/>
      <c r="CM43588" s="111"/>
      <c r="CQ43588" s="111"/>
      <c r="EF43588"/>
      <c r="EG43588"/>
      <c r="EH43588"/>
      <c r="EI43588"/>
      <c r="EJ43588"/>
      <c r="EK43588"/>
    </row>
    <row r="43589" spans="1:141" s="116" customFormat="1">
      <c r="A43589" s="136"/>
      <c r="CM43589" s="111"/>
      <c r="CQ43589" s="111"/>
      <c r="EF43589"/>
      <c r="EG43589"/>
      <c r="EH43589"/>
      <c r="EI43589"/>
      <c r="EJ43589"/>
      <c r="EK43589"/>
    </row>
    <row r="43590" spans="1:141" s="116" customFormat="1">
      <c r="A43590" s="136"/>
      <c r="CM43590" s="111"/>
      <c r="CQ43590" s="111"/>
      <c r="EF43590"/>
      <c r="EG43590"/>
      <c r="EH43590"/>
      <c r="EI43590"/>
      <c r="EJ43590"/>
      <c r="EK43590"/>
    </row>
    <row r="43591" spans="1:141" s="116" customFormat="1">
      <c r="A43591" s="136"/>
      <c r="CM43591" s="111"/>
      <c r="CQ43591" s="111"/>
      <c r="EF43591"/>
      <c r="EG43591"/>
      <c r="EH43591"/>
      <c r="EI43591"/>
      <c r="EJ43591"/>
      <c r="EK43591"/>
    </row>
    <row r="43592" spans="1:141" s="116" customFormat="1">
      <c r="A43592" s="136"/>
      <c r="CM43592" s="111"/>
      <c r="CQ43592" s="111"/>
      <c r="EF43592"/>
      <c r="EG43592"/>
      <c r="EH43592"/>
      <c r="EI43592"/>
      <c r="EJ43592"/>
      <c r="EK43592"/>
    </row>
    <row r="43593" spans="1:141" s="116" customFormat="1">
      <c r="A43593" s="136"/>
      <c r="CM43593" s="111"/>
      <c r="CQ43593" s="111"/>
      <c r="EF43593"/>
      <c r="EG43593"/>
      <c r="EH43593"/>
      <c r="EI43593"/>
      <c r="EJ43593"/>
      <c r="EK43593"/>
    </row>
    <row r="43594" spans="1:141" s="116" customFormat="1">
      <c r="A43594" s="136"/>
      <c r="CM43594" s="111"/>
      <c r="CQ43594" s="111"/>
      <c r="EF43594"/>
      <c r="EG43594"/>
      <c r="EH43594"/>
      <c r="EI43594"/>
      <c r="EJ43594"/>
      <c r="EK43594"/>
    </row>
    <row r="43595" spans="1:141" s="116" customFormat="1">
      <c r="A43595" s="136"/>
      <c r="CM43595" s="111"/>
      <c r="CQ43595" s="111"/>
      <c r="EF43595"/>
      <c r="EG43595"/>
      <c r="EH43595"/>
      <c r="EI43595"/>
      <c r="EJ43595"/>
      <c r="EK43595"/>
    </row>
    <row r="43596" spans="1:141" s="116" customFormat="1">
      <c r="A43596" s="136"/>
      <c r="CM43596" s="111"/>
      <c r="CQ43596" s="111"/>
      <c r="EF43596"/>
      <c r="EG43596"/>
      <c r="EH43596"/>
      <c r="EI43596"/>
      <c r="EJ43596"/>
      <c r="EK43596"/>
    </row>
    <row r="43597" spans="1:141" s="116" customFormat="1">
      <c r="A43597" s="136"/>
      <c r="CM43597" s="111"/>
      <c r="CQ43597" s="111"/>
      <c r="EF43597"/>
      <c r="EG43597"/>
      <c r="EH43597"/>
      <c r="EI43597"/>
      <c r="EJ43597"/>
      <c r="EK43597"/>
    </row>
    <row r="43598" spans="1:141" s="116" customFormat="1">
      <c r="A43598" s="136"/>
      <c r="CM43598" s="111"/>
      <c r="CQ43598" s="111"/>
      <c r="EF43598"/>
      <c r="EG43598"/>
      <c r="EH43598"/>
      <c r="EI43598"/>
      <c r="EJ43598"/>
      <c r="EK43598"/>
    </row>
    <row r="43599" spans="1:141" s="116" customFormat="1">
      <c r="A43599" s="136"/>
      <c r="CM43599" s="111"/>
      <c r="CQ43599" s="111"/>
      <c r="EF43599"/>
      <c r="EG43599"/>
      <c r="EH43599"/>
      <c r="EI43599"/>
      <c r="EJ43599"/>
      <c r="EK43599"/>
    </row>
    <row r="43600" spans="1:141" s="116" customFormat="1">
      <c r="A43600" s="136"/>
      <c r="CM43600" s="111"/>
      <c r="CQ43600" s="111"/>
      <c r="EF43600"/>
      <c r="EG43600"/>
      <c r="EH43600"/>
      <c r="EI43600"/>
      <c r="EJ43600"/>
      <c r="EK43600"/>
    </row>
    <row r="43601" spans="1:141" s="116" customFormat="1">
      <c r="A43601" s="136"/>
      <c r="CM43601" s="111"/>
      <c r="CQ43601" s="111"/>
      <c r="EF43601"/>
      <c r="EG43601"/>
      <c r="EH43601"/>
      <c r="EI43601"/>
      <c r="EJ43601"/>
      <c r="EK43601"/>
    </row>
    <row r="43602" spans="1:141" s="116" customFormat="1">
      <c r="A43602" s="136"/>
      <c r="CM43602" s="111"/>
      <c r="CQ43602" s="111"/>
      <c r="EF43602"/>
      <c r="EG43602"/>
      <c r="EH43602"/>
      <c r="EI43602"/>
      <c r="EJ43602"/>
      <c r="EK43602"/>
    </row>
    <row r="43603" spans="1:141" s="116" customFormat="1">
      <c r="A43603" s="136"/>
      <c r="CM43603" s="111"/>
      <c r="CQ43603" s="111"/>
      <c r="EF43603"/>
      <c r="EG43603"/>
      <c r="EH43603"/>
      <c r="EI43603"/>
      <c r="EJ43603"/>
      <c r="EK43603"/>
    </row>
    <row r="43604" spans="1:141" s="116" customFormat="1">
      <c r="A43604" s="136"/>
      <c r="CM43604" s="111"/>
      <c r="CQ43604" s="111"/>
      <c r="EF43604"/>
      <c r="EG43604"/>
      <c r="EH43604"/>
      <c r="EI43604"/>
      <c r="EJ43604"/>
      <c r="EK43604"/>
    </row>
    <row r="43605" spans="1:141" s="116" customFormat="1">
      <c r="A43605" s="136"/>
      <c r="CM43605" s="111"/>
      <c r="CQ43605" s="111"/>
      <c r="EF43605"/>
      <c r="EG43605"/>
      <c r="EH43605"/>
      <c r="EI43605"/>
      <c r="EJ43605"/>
      <c r="EK43605"/>
    </row>
    <row r="43606" spans="1:141" s="116" customFormat="1">
      <c r="A43606" s="136"/>
      <c r="CM43606" s="111"/>
      <c r="CQ43606" s="111"/>
      <c r="EF43606"/>
      <c r="EG43606"/>
      <c r="EH43606"/>
      <c r="EI43606"/>
      <c r="EJ43606"/>
      <c r="EK43606"/>
    </row>
    <row r="43607" spans="1:141" s="116" customFormat="1">
      <c r="A43607" s="136"/>
      <c r="CM43607" s="111"/>
      <c r="CQ43607" s="111"/>
      <c r="EF43607"/>
      <c r="EG43607"/>
      <c r="EH43607"/>
      <c r="EI43607"/>
      <c r="EJ43607"/>
      <c r="EK43607"/>
    </row>
    <row r="43608" spans="1:141" s="116" customFormat="1">
      <c r="A43608" s="136"/>
      <c r="CM43608" s="111"/>
      <c r="CQ43608" s="111"/>
      <c r="EF43608"/>
      <c r="EG43608"/>
      <c r="EH43608"/>
      <c r="EI43608"/>
      <c r="EJ43608"/>
      <c r="EK43608"/>
    </row>
    <row r="43609" spans="1:141" s="116" customFormat="1">
      <c r="A43609" s="136"/>
      <c r="CM43609" s="111"/>
      <c r="CQ43609" s="111"/>
      <c r="EF43609"/>
      <c r="EG43609"/>
      <c r="EH43609"/>
      <c r="EI43609"/>
      <c r="EJ43609"/>
      <c r="EK43609"/>
    </row>
    <row r="43610" spans="1:141" s="116" customFormat="1">
      <c r="A43610" s="136"/>
      <c r="CM43610" s="111"/>
      <c r="CQ43610" s="111"/>
      <c r="EF43610"/>
      <c r="EG43610"/>
      <c r="EH43610"/>
      <c r="EI43610"/>
      <c r="EJ43610"/>
      <c r="EK43610"/>
    </row>
    <row r="43611" spans="1:141" s="116" customFormat="1">
      <c r="A43611" s="136"/>
      <c r="CM43611" s="111"/>
      <c r="CQ43611" s="111"/>
      <c r="EF43611"/>
      <c r="EG43611"/>
      <c r="EH43611"/>
      <c r="EI43611"/>
      <c r="EJ43611"/>
      <c r="EK43611"/>
    </row>
    <row r="43612" spans="1:141" s="116" customFormat="1">
      <c r="A43612" s="136"/>
      <c r="CM43612" s="111"/>
      <c r="CQ43612" s="111"/>
      <c r="EF43612"/>
      <c r="EG43612"/>
      <c r="EH43612"/>
      <c r="EI43612"/>
      <c r="EJ43612"/>
      <c r="EK43612"/>
    </row>
    <row r="43613" spans="1:141" s="116" customFormat="1">
      <c r="A43613" s="136"/>
      <c r="CM43613" s="111"/>
      <c r="CQ43613" s="111"/>
      <c r="EF43613"/>
      <c r="EG43613"/>
      <c r="EH43613"/>
      <c r="EI43613"/>
      <c r="EJ43613"/>
      <c r="EK43613"/>
    </row>
    <row r="43614" spans="1:141" s="116" customFormat="1">
      <c r="A43614" s="136"/>
      <c r="CM43614" s="111"/>
      <c r="CQ43614" s="111"/>
      <c r="EF43614"/>
      <c r="EG43614"/>
      <c r="EH43614"/>
      <c r="EI43614"/>
      <c r="EJ43614"/>
      <c r="EK43614"/>
    </row>
    <row r="43615" spans="1:141" s="116" customFormat="1">
      <c r="A43615" s="136"/>
      <c r="CM43615" s="111"/>
      <c r="CQ43615" s="111"/>
      <c r="EF43615"/>
      <c r="EG43615"/>
      <c r="EH43615"/>
      <c r="EI43615"/>
      <c r="EJ43615"/>
      <c r="EK43615"/>
    </row>
    <row r="43616" spans="1:141" s="116" customFormat="1">
      <c r="A43616" s="136"/>
      <c r="CM43616" s="111"/>
      <c r="CQ43616" s="111"/>
      <c r="EF43616"/>
      <c r="EG43616"/>
      <c r="EH43616"/>
      <c r="EI43616"/>
      <c r="EJ43616"/>
      <c r="EK43616"/>
    </row>
    <row r="43617" spans="1:141" s="116" customFormat="1">
      <c r="A43617" s="136"/>
      <c r="CM43617" s="111"/>
      <c r="CQ43617" s="111"/>
      <c r="EF43617"/>
      <c r="EG43617"/>
      <c r="EH43617"/>
      <c r="EI43617"/>
      <c r="EJ43617"/>
      <c r="EK43617"/>
    </row>
    <row r="43618" spans="1:141" s="116" customFormat="1">
      <c r="A43618" s="136"/>
      <c r="CM43618" s="111"/>
      <c r="CQ43618" s="111"/>
      <c r="EF43618"/>
      <c r="EG43618"/>
      <c r="EH43618"/>
      <c r="EI43618"/>
      <c r="EJ43618"/>
      <c r="EK43618"/>
    </row>
    <row r="43619" spans="1:141" s="116" customFormat="1">
      <c r="A43619" s="136"/>
      <c r="CM43619" s="111"/>
      <c r="CQ43619" s="111"/>
      <c r="EF43619"/>
      <c r="EG43619"/>
      <c r="EH43619"/>
      <c r="EI43619"/>
      <c r="EJ43619"/>
      <c r="EK43619"/>
    </row>
    <row r="43620" spans="1:141" s="116" customFormat="1">
      <c r="A43620" s="136"/>
      <c r="CM43620" s="111"/>
      <c r="CQ43620" s="111"/>
      <c r="EF43620"/>
      <c r="EG43620"/>
      <c r="EH43620"/>
      <c r="EI43620"/>
      <c r="EJ43620"/>
      <c r="EK43620"/>
    </row>
    <row r="43621" spans="1:141" s="116" customFormat="1">
      <c r="A43621" s="136"/>
      <c r="CM43621" s="111"/>
      <c r="CQ43621" s="111"/>
      <c r="EF43621"/>
      <c r="EG43621"/>
      <c r="EH43621"/>
      <c r="EI43621"/>
      <c r="EJ43621"/>
      <c r="EK43621"/>
    </row>
    <row r="43622" spans="1:141" s="116" customFormat="1">
      <c r="A43622" s="136"/>
      <c r="CM43622" s="111"/>
      <c r="CQ43622" s="111"/>
      <c r="EF43622"/>
      <c r="EG43622"/>
      <c r="EH43622"/>
      <c r="EI43622"/>
      <c r="EJ43622"/>
      <c r="EK43622"/>
    </row>
    <row r="43623" spans="1:141" s="116" customFormat="1">
      <c r="A43623" s="136"/>
      <c r="CM43623" s="111"/>
      <c r="CQ43623" s="111"/>
      <c r="EF43623"/>
      <c r="EG43623"/>
      <c r="EH43623"/>
      <c r="EI43623"/>
      <c r="EJ43623"/>
      <c r="EK43623"/>
    </row>
    <row r="43624" spans="1:141" s="116" customFormat="1">
      <c r="A43624" s="136"/>
      <c r="CM43624" s="111"/>
      <c r="CQ43624" s="111"/>
      <c r="EF43624"/>
      <c r="EG43624"/>
      <c r="EH43624"/>
      <c r="EI43624"/>
      <c r="EJ43624"/>
      <c r="EK43624"/>
    </row>
    <row r="43625" spans="1:141" s="116" customFormat="1">
      <c r="A43625" s="136"/>
      <c r="CM43625" s="111"/>
      <c r="CQ43625" s="111"/>
      <c r="EF43625"/>
      <c r="EG43625"/>
      <c r="EH43625"/>
      <c r="EI43625"/>
      <c r="EJ43625"/>
      <c r="EK43625"/>
    </row>
    <row r="43626" spans="1:141" s="116" customFormat="1">
      <c r="A43626" s="136"/>
      <c r="CM43626" s="111"/>
      <c r="CQ43626" s="111"/>
      <c r="EF43626"/>
      <c r="EG43626"/>
      <c r="EH43626"/>
      <c r="EI43626"/>
      <c r="EJ43626"/>
      <c r="EK43626"/>
    </row>
    <row r="43627" spans="1:141" s="116" customFormat="1">
      <c r="A43627" s="136"/>
      <c r="CM43627" s="111"/>
      <c r="CQ43627" s="111"/>
      <c r="EF43627"/>
      <c r="EG43627"/>
      <c r="EH43627"/>
      <c r="EI43627"/>
      <c r="EJ43627"/>
      <c r="EK43627"/>
    </row>
    <row r="43628" spans="1:141" s="116" customFormat="1">
      <c r="A43628" s="136"/>
      <c r="CM43628" s="111"/>
      <c r="CQ43628" s="111"/>
      <c r="EF43628"/>
      <c r="EG43628"/>
      <c r="EH43628"/>
      <c r="EI43628"/>
      <c r="EJ43628"/>
      <c r="EK43628"/>
    </row>
    <row r="43629" spans="1:141" s="116" customFormat="1">
      <c r="A43629" s="136"/>
      <c r="CM43629" s="111"/>
      <c r="CQ43629" s="111"/>
      <c r="EF43629"/>
      <c r="EG43629"/>
      <c r="EH43629"/>
      <c r="EI43629"/>
      <c r="EJ43629"/>
      <c r="EK43629"/>
    </row>
    <row r="43630" spans="1:141" s="116" customFormat="1">
      <c r="A43630" s="136"/>
      <c r="CM43630" s="111"/>
      <c r="CQ43630" s="111"/>
      <c r="EF43630"/>
      <c r="EG43630"/>
      <c r="EH43630"/>
      <c r="EI43630"/>
      <c r="EJ43630"/>
      <c r="EK43630"/>
    </row>
    <row r="43631" spans="1:141" s="116" customFormat="1">
      <c r="A43631" s="136"/>
      <c r="CM43631" s="111"/>
      <c r="CQ43631" s="111"/>
      <c r="EF43631"/>
      <c r="EG43631"/>
      <c r="EH43631"/>
      <c r="EI43631"/>
      <c r="EJ43631"/>
      <c r="EK43631"/>
    </row>
    <row r="43632" spans="1:141" s="116" customFormat="1">
      <c r="A43632" s="136"/>
      <c r="CM43632" s="111"/>
      <c r="CQ43632" s="111"/>
      <c r="EF43632"/>
      <c r="EG43632"/>
      <c r="EH43632"/>
      <c r="EI43632"/>
      <c r="EJ43632"/>
      <c r="EK43632"/>
    </row>
    <row r="43633" spans="1:141" s="116" customFormat="1">
      <c r="A43633" s="136"/>
      <c r="CM43633" s="111"/>
      <c r="CQ43633" s="111"/>
      <c r="EF43633"/>
      <c r="EG43633"/>
      <c r="EH43633"/>
      <c r="EI43633"/>
      <c r="EJ43633"/>
      <c r="EK43633"/>
    </row>
    <row r="43634" spans="1:141" s="116" customFormat="1">
      <c r="A43634" s="136"/>
      <c r="CM43634" s="111"/>
      <c r="CQ43634" s="111"/>
      <c r="EF43634"/>
      <c r="EG43634"/>
      <c r="EH43634"/>
      <c r="EI43634"/>
      <c r="EJ43634"/>
      <c r="EK43634"/>
    </row>
    <row r="43635" spans="1:141" s="116" customFormat="1">
      <c r="A43635" s="136"/>
      <c r="CM43635" s="111"/>
      <c r="CQ43635" s="111"/>
      <c r="EF43635"/>
      <c r="EG43635"/>
      <c r="EH43635"/>
      <c r="EI43635"/>
      <c r="EJ43635"/>
      <c r="EK43635"/>
    </row>
    <row r="43636" spans="1:141" s="116" customFormat="1">
      <c r="A43636" s="136"/>
      <c r="CM43636" s="111"/>
      <c r="CQ43636" s="111"/>
      <c r="EF43636"/>
      <c r="EG43636"/>
      <c r="EH43636"/>
      <c r="EI43636"/>
      <c r="EJ43636"/>
      <c r="EK43636"/>
    </row>
    <row r="43637" spans="1:141" s="116" customFormat="1">
      <c r="A43637" s="136"/>
      <c r="CM43637" s="111"/>
      <c r="CQ43637" s="111"/>
      <c r="EF43637"/>
      <c r="EG43637"/>
      <c r="EH43637"/>
      <c r="EI43637"/>
      <c r="EJ43637"/>
      <c r="EK43637"/>
    </row>
    <row r="43638" spans="1:141" s="116" customFormat="1">
      <c r="A43638" s="136"/>
      <c r="CM43638" s="111"/>
      <c r="CQ43638" s="111"/>
      <c r="EF43638"/>
      <c r="EG43638"/>
      <c r="EH43638"/>
      <c r="EI43638"/>
      <c r="EJ43638"/>
      <c r="EK43638"/>
    </row>
    <row r="43639" spans="1:141" s="116" customFormat="1">
      <c r="A43639" s="136"/>
      <c r="CM43639" s="111"/>
      <c r="CQ43639" s="111"/>
      <c r="EF43639"/>
      <c r="EG43639"/>
      <c r="EH43639"/>
      <c r="EI43639"/>
      <c r="EJ43639"/>
      <c r="EK43639"/>
    </row>
    <row r="43640" spans="1:141" s="116" customFormat="1">
      <c r="A43640" s="136"/>
      <c r="CM43640" s="111"/>
      <c r="CQ43640" s="111"/>
      <c r="EF43640"/>
      <c r="EG43640"/>
      <c r="EH43640"/>
      <c r="EI43640"/>
      <c r="EJ43640"/>
      <c r="EK43640"/>
    </row>
    <row r="43641" spans="1:141" s="116" customFormat="1">
      <c r="A43641" s="136"/>
      <c r="CM43641" s="111"/>
      <c r="CQ43641" s="111"/>
      <c r="EF43641"/>
      <c r="EG43641"/>
      <c r="EH43641"/>
      <c r="EI43641"/>
      <c r="EJ43641"/>
      <c r="EK43641"/>
    </row>
    <row r="43642" spans="1:141" s="116" customFormat="1">
      <c r="A43642" s="136"/>
      <c r="CM43642" s="111"/>
      <c r="CQ43642" s="111"/>
      <c r="EF43642"/>
      <c r="EG43642"/>
      <c r="EH43642"/>
      <c r="EI43642"/>
      <c r="EJ43642"/>
      <c r="EK43642"/>
    </row>
    <row r="43643" spans="1:141" s="116" customFormat="1">
      <c r="A43643" s="136"/>
      <c r="CM43643" s="111"/>
      <c r="CQ43643" s="111"/>
      <c r="EF43643"/>
      <c r="EG43643"/>
      <c r="EH43643"/>
      <c r="EI43643"/>
      <c r="EJ43643"/>
      <c r="EK43643"/>
    </row>
    <row r="43644" spans="1:141" s="116" customFormat="1">
      <c r="A43644" s="136"/>
      <c r="CM43644" s="111"/>
      <c r="CQ43644" s="111"/>
      <c r="EF43644"/>
      <c r="EG43644"/>
      <c r="EH43644"/>
      <c r="EI43644"/>
      <c r="EJ43644"/>
      <c r="EK43644"/>
    </row>
    <row r="43645" spans="1:141" s="116" customFormat="1">
      <c r="A43645" s="136"/>
      <c r="CM43645" s="111"/>
      <c r="CQ43645" s="111"/>
      <c r="EF43645"/>
      <c r="EG43645"/>
      <c r="EH43645"/>
      <c r="EI43645"/>
      <c r="EJ43645"/>
      <c r="EK43645"/>
    </row>
    <row r="43646" spans="1:141" s="116" customFormat="1">
      <c r="A43646" s="136"/>
      <c r="CM43646" s="111"/>
      <c r="CQ43646" s="111"/>
      <c r="EF43646"/>
      <c r="EG43646"/>
      <c r="EH43646"/>
      <c r="EI43646"/>
      <c r="EJ43646"/>
      <c r="EK43646"/>
    </row>
    <row r="43647" spans="1:141" s="116" customFormat="1">
      <c r="A43647" s="136"/>
      <c r="CM43647" s="111"/>
      <c r="CQ43647" s="111"/>
      <c r="EF43647"/>
      <c r="EG43647"/>
      <c r="EH43647"/>
      <c r="EI43647"/>
      <c r="EJ43647"/>
      <c r="EK43647"/>
    </row>
    <row r="43648" spans="1:141" s="116" customFormat="1">
      <c r="A43648" s="136"/>
      <c r="CM43648" s="111"/>
      <c r="CQ43648" s="111"/>
      <c r="EF43648"/>
      <c r="EG43648"/>
      <c r="EH43648"/>
      <c r="EI43648"/>
      <c r="EJ43648"/>
      <c r="EK43648"/>
    </row>
    <row r="43649" spans="1:141" s="116" customFormat="1">
      <c r="A43649" s="136"/>
      <c r="CM43649" s="111"/>
      <c r="CQ43649" s="111"/>
      <c r="EF43649"/>
      <c r="EG43649"/>
      <c r="EH43649"/>
      <c r="EI43649"/>
      <c r="EJ43649"/>
      <c r="EK43649"/>
    </row>
    <row r="43650" spans="1:141" s="116" customFormat="1">
      <c r="A43650" s="136"/>
      <c r="CM43650" s="111"/>
      <c r="CQ43650" s="111"/>
      <c r="EF43650"/>
      <c r="EG43650"/>
      <c r="EH43650"/>
      <c r="EI43650"/>
      <c r="EJ43650"/>
      <c r="EK43650"/>
    </row>
    <row r="43651" spans="1:141" s="116" customFormat="1">
      <c r="A43651" s="136"/>
      <c r="CM43651" s="111"/>
      <c r="CQ43651" s="111"/>
      <c r="EF43651"/>
      <c r="EG43651"/>
      <c r="EH43651"/>
      <c r="EI43651"/>
      <c r="EJ43651"/>
      <c r="EK43651"/>
    </row>
    <row r="43652" spans="1:141" s="116" customFormat="1">
      <c r="A43652" s="136"/>
      <c r="CM43652" s="111"/>
      <c r="CQ43652" s="111"/>
      <c r="EF43652"/>
      <c r="EG43652"/>
      <c r="EH43652"/>
      <c r="EI43652"/>
      <c r="EJ43652"/>
      <c r="EK43652"/>
    </row>
    <row r="43653" spans="1:141" s="116" customFormat="1">
      <c r="A43653" s="136"/>
      <c r="CM43653" s="111"/>
      <c r="CQ43653" s="111"/>
      <c r="EF43653"/>
      <c r="EG43653"/>
      <c r="EH43653"/>
      <c r="EI43653"/>
      <c r="EJ43653"/>
      <c r="EK43653"/>
    </row>
    <row r="43654" spans="1:141" s="116" customFormat="1">
      <c r="A43654" s="136"/>
      <c r="CM43654" s="111"/>
      <c r="CQ43654" s="111"/>
      <c r="EF43654"/>
      <c r="EG43654"/>
      <c r="EH43654"/>
      <c r="EI43654"/>
      <c r="EJ43654"/>
      <c r="EK43654"/>
    </row>
    <row r="43655" spans="1:141" s="116" customFormat="1">
      <c r="A43655" s="136"/>
      <c r="CM43655" s="111"/>
      <c r="CQ43655" s="111"/>
      <c r="EF43655"/>
      <c r="EG43655"/>
      <c r="EH43655"/>
      <c r="EI43655"/>
      <c r="EJ43655"/>
      <c r="EK43655"/>
    </row>
    <row r="43656" spans="1:141" s="116" customFormat="1">
      <c r="A43656" s="136"/>
      <c r="CM43656" s="111"/>
      <c r="CQ43656" s="111"/>
      <c r="EF43656"/>
      <c r="EG43656"/>
      <c r="EH43656"/>
      <c r="EI43656"/>
      <c r="EJ43656"/>
      <c r="EK43656"/>
    </row>
    <row r="43657" spans="1:141" s="116" customFormat="1">
      <c r="A43657" s="136"/>
      <c r="CM43657" s="111"/>
      <c r="CQ43657" s="111"/>
      <c r="EF43657"/>
      <c r="EG43657"/>
      <c r="EH43657"/>
      <c r="EI43657"/>
      <c r="EJ43657"/>
      <c r="EK43657"/>
    </row>
    <row r="43658" spans="1:141" s="116" customFormat="1">
      <c r="A43658" s="136"/>
      <c r="CM43658" s="111"/>
      <c r="CQ43658" s="111"/>
      <c r="EF43658"/>
      <c r="EG43658"/>
      <c r="EH43658"/>
      <c r="EI43658"/>
      <c r="EJ43658"/>
      <c r="EK43658"/>
    </row>
    <row r="43659" spans="1:141" s="116" customFormat="1">
      <c r="A43659" s="136"/>
      <c r="CM43659" s="111"/>
      <c r="CQ43659" s="111"/>
      <c r="EF43659"/>
      <c r="EG43659"/>
      <c r="EH43659"/>
      <c r="EI43659"/>
      <c r="EJ43659"/>
      <c r="EK43659"/>
    </row>
    <row r="43660" spans="1:141" s="116" customFormat="1">
      <c r="A43660" s="136"/>
      <c r="CM43660" s="111"/>
      <c r="CQ43660" s="111"/>
      <c r="EF43660"/>
      <c r="EG43660"/>
      <c r="EH43660"/>
      <c r="EI43660"/>
      <c r="EJ43660"/>
      <c r="EK43660"/>
    </row>
    <row r="43661" spans="1:141" s="116" customFormat="1">
      <c r="A43661" s="136"/>
      <c r="CM43661" s="111"/>
      <c r="CQ43661" s="111"/>
      <c r="EF43661"/>
      <c r="EG43661"/>
      <c r="EH43661"/>
      <c r="EI43661"/>
      <c r="EJ43661"/>
      <c r="EK43661"/>
    </row>
    <row r="43662" spans="1:141" s="116" customFormat="1">
      <c r="A43662" s="136"/>
      <c r="CM43662" s="111"/>
      <c r="CQ43662" s="111"/>
      <c r="EF43662"/>
      <c r="EG43662"/>
      <c r="EH43662"/>
      <c r="EI43662"/>
      <c r="EJ43662"/>
      <c r="EK43662"/>
    </row>
    <row r="43663" spans="1:141" s="116" customFormat="1">
      <c r="A43663" s="136"/>
      <c r="CM43663" s="111"/>
      <c r="CQ43663" s="111"/>
      <c r="EF43663"/>
      <c r="EG43663"/>
      <c r="EH43663"/>
      <c r="EI43663"/>
      <c r="EJ43663"/>
      <c r="EK43663"/>
    </row>
    <row r="43664" spans="1:141" s="116" customFormat="1">
      <c r="A43664" s="136"/>
      <c r="CM43664" s="111"/>
      <c r="CQ43664" s="111"/>
      <c r="EF43664"/>
      <c r="EG43664"/>
      <c r="EH43664"/>
      <c r="EI43664"/>
      <c r="EJ43664"/>
      <c r="EK43664"/>
    </row>
    <row r="43665" spans="1:141" s="116" customFormat="1">
      <c r="A43665" s="136"/>
      <c r="CM43665" s="111"/>
      <c r="CQ43665" s="111"/>
      <c r="EF43665"/>
      <c r="EG43665"/>
      <c r="EH43665"/>
      <c r="EI43665"/>
      <c r="EJ43665"/>
      <c r="EK43665"/>
    </row>
    <row r="43666" spans="1:141" s="116" customFormat="1">
      <c r="A43666" s="136"/>
      <c r="CM43666" s="111"/>
      <c r="CQ43666" s="111"/>
      <c r="EF43666"/>
      <c r="EG43666"/>
      <c r="EH43666"/>
      <c r="EI43666"/>
      <c r="EJ43666"/>
      <c r="EK43666"/>
    </row>
    <row r="43667" spans="1:141" s="116" customFormat="1">
      <c r="A43667" s="136"/>
      <c r="CM43667" s="111"/>
      <c r="CQ43667" s="111"/>
      <c r="EF43667"/>
      <c r="EG43667"/>
      <c r="EH43667"/>
      <c r="EI43667"/>
      <c r="EJ43667"/>
      <c r="EK43667"/>
    </row>
    <row r="43668" spans="1:141" s="116" customFormat="1">
      <c r="A43668" s="136"/>
      <c r="CM43668" s="111"/>
      <c r="CQ43668" s="111"/>
      <c r="EF43668"/>
      <c r="EG43668"/>
      <c r="EH43668"/>
      <c r="EI43668"/>
      <c r="EJ43668"/>
      <c r="EK43668"/>
    </row>
    <row r="43669" spans="1:141" s="116" customFormat="1">
      <c r="A43669" s="136"/>
      <c r="CM43669" s="111"/>
      <c r="CQ43669" s="111"/>
      <c r="EF43669"/>
      <c r="EG43669"/>
      <c r="EH43669"/>
      <c r="EI43669"/>
      <c r="EJ43669"/>
      <c r="EK43669"/>
    </row>
    <row r="43670" spans="1:141" s="116" customFormat="1">
      <c r="A43670" s="136"/>
      <c r="CM43670" s="111"/>
      <c r="CQ43670" s="111"/>
      <c r="EF43670"/>
      <c r="EG43670"/>
      <c r="EH43670"/>
      <c r="EI43670"/>
      <c r="EJ43670"/>
      <c r="EK43670"/>
    </row>
    <row r="43671" spans="1:141" s="116" customFormat="1">
      <c r="A43671" s="136"/>
      <c r="CM43671" s="111"/>
      <c r="CQ43671" s="111"/>
      <c r="EF43671"/>
      <c r="EG43671"/>
      <c r="EH43671"/>
      <c r="EI43671"/>
      <c r="EJ43671"/>
      <c r="EK43671"/>
    </row>
    <row r="43672" spans="1:141" s="116" customFormat="1">
      <c r="A43672" s="136"/>
      <c r="CM43672" s="111"/>
      <c r="CQ43672" s="111"/>
      <c r="EF43672"/>
      <c r="EG43672"/>
      <c r="EH43672"/>
      <c r="EI43672"/>
      <c r="EJ43672"/>
      <c r="EK43672"/>
    </row>
    <row r="43673" spans="1:141" s="116" customFormat="1">
      <c r="A43673" s="136"/>
      <c r="CM43673" s="111"/>
      <c r="CQ43673" s="111"/>
      <c r="EF43673"/>
      <c r="EG43673"/>
      <c r="EH43673"/>
      <c r="EI43673"/>
      <c r="EJ43673"/>
      <c r="EK43673"/>
    </row>
    <row r="43674" spans="1:141" s="116" customFormat="1">
      <c r="A43674" s="136"/>
      <c r="CM43674" s="111"/>
      <c r="CQ43674" s="111"/>
      <c r="EF43674"/>
      <c r="EG43674"/>
      <c r="EH43674"/>
      <c r="EI43674"/>
      <c r="EJ43674"/>
      <c r="EK43674"/>
    </row>
    <row r="43675" spans="1:141" s="116" customFormat="1">
      <c r="A43675" s="136"/>
      <c r="CM43675" s="111"/>
      <c r="CQ43675" s="111"/>
      <c r="EF43675"/>
      <c r="EG43675"/>
      <c r="EH43675"/>
      <c r="EI43675"/>
      <c r="EJ43675"/>
      <c r="EK43675"/>
    </row>
    <row r="43676" spans="1:141" s="116" customFormat="1">
      <c r="A43676" s="136"/>
      <c r="CM43676" s="111"/>
      <c r="CQ43676" s="111"/>
      <c r="EF43676"/>
      <c r="EG43676"/>
      <c r="EH43676"/>
      <c r="EI43676"/>
      <c r="EJ43676"/>
      <c r="EK43676"/>
    </row>
    <row r="43677" spans="1:141" s="116" customFormat="1">
      <c r="A43677" s="136"/>
      <c r="CM43677" s="111"/>
      <c r="CQ43677" s="111"/>
      <c r="EF43677"/>
      <c r="EG43677"/>
      <c r="EH43677"/>
      <c r="EI43677"/>
      <c r="EJ43677"/>
      <c r="EK43677"/>
    </row>
    <row r="43678" spans="1:141" s="116" customFormat="1">
      <c r="A43678" s="136"/>
      <c r="CM43678" s="111"/>
      <c r="CQ43678" s="111"/>
      <c r="EF43678"/>
      <c r="EG43678"/>
      <c r="EH43678"/>
      <c r="EI43678"/>
      <c r="EJ43678"/>
      <c r="EK43678"/>
    </row>
    <row r="43679" spans="1:141" s="116" customFormat="1">
      <c r="A43679" s="136"/>
      <c r="CM43679" s="111"/>
      <c r="CQ43679" s="111"/>
      <c r="EF43679"/>
      <c r="EG43679"/>
      <c r="EH43679"/>
      <c r="EI43679"/>
      <c r="EJ43679"/>
      <c r="EK43679"/>
    </row>
    <row r="43680" spans="1:141" s="116" customFormat="1">
      <c r="A43680" s="136"/>
      <c r="CM43680" s="111"/>
      <c r="CQ43680" s="111"/>
      <c r="EF43680"/>
      <c r="EG43680"/>
      <c r="EH43680"/>
      <c r="EI43680"/>
      <c r="EJ43680"/>
      <c r="EK43680"/>
    </row>
    <row r="43681" spans="1:141" s="116" customFormat="1">
      <c r="A43681" s="136"/>
      <c r="CM43681" s="111"/>
      <c r="CQ43681" s="111"/>
      <c r="EF43681"/>
      <c r="EG43681"/>
      <c r="EH43681"/>
      <c r="EI43681"/>
      <c r="EJ43681"/>
      <c r="EK43681"/>
    </row>
    <row r="43682" spans="1:141" s="116" customFormat="1">
      <c r="A43682" s="136"/>
      <c r="CM43682" s="111"/>
      <c r="CQ43682" s="111"/>
      <c r="EF43682"/>
      <c r="EG43682"/>
      <c r="EH43682"/>
      <c r="EI43682"/>
      <c r="EJ43682"/>
      <c r="EK43682"/>
    </row>
    <row r="43683" spans="1:141" s="116" customFormat="1">
      <c r="A43683" s="136"/>
      <c r="CM43683" s="111"/>
      <c r="CQ43683" s="111"/>
      <c r="EF43683"/>
      <c r="EG43683"/>
      <c r="EH43683"/>
      <c r="EI43683"/>
      <c r="EJ43683"/>
      <c r="EK43683"/>
    </row>
    <row r="43684" spans="1:141" s="116" customFormat="1">
      <c r="A43684" s="136"/>
      <c r="CM43684" s="111"/>
      <c r="CQ43684" s="111"/>
      <c r="EF43684"/>
      <c r="EG43684"/>
      <c r="EH43684"/>
      <c r="EI43684"/>
      <c r="EJ43684"/>
      <c r="EK43684"/>
    </row>
    <row r="43685" spans="1:141" s="116" customFormat="1">
      <c r="A43685" s="136"/>
      <c r="CM43685" s="111"/>
      <c r="CQ43685" s="111"/>
      <c r="EF43685"/>
      <c r="EG43685"/>
      <c r="EH43685"/>
      <c r="EI43685"/>
      <c r="EJ43685"/>
      <c r="EK43685"/>
    </row>
    <row r="43686" spans="1:141" s="116" customFormat="1">
      <c r="A43686" s="136"/>
      <c r="CM43686" s="111"/>
      <c r="CQ43686" s="111"/>
      <c r="EF43686"/>
      <c r="EG43686"/>
      <c r="EH43686"/>
      <c r="EI43686"/>
      <c r="EJ43686"/>
      <c r="EK43686"/>
    </row>
    <row r="43687" spans="1:141" s="116" customFormat="1">
      <c r="A43687" s="136"/>
      <c r="CM43687" s="111"/>
      <c r="CQ43687" s="111"/>
      <c r="EF43687"/>
      <c r="EG43687"/>
      <c r="EH43687"/>
      <c r="EI43687"/>
      <c r="EJ43687"/>
      <c r="EK43687"/>
    </row>
    <row r="43688" spans="1:141" s="116" customFormat="1">
      <c r="A43688" s="136"/>
      <c r="CM43688" s="111"/>
      <c r="CQ43688" s="111"/>
      <c r="EF43688"/>
      <c r="EG43688"/>
      <c r="EH43688"/>
      <c r="EI43688"/>
      <c r="EJ43688"/>
      <c r="EK43688"/>
    </row>
    <row r="43689" spans="1:141" s="116" customFormat="1">
      <c r="A43689" s="136"/>
      <c r="CM43689" s="111"/>
      <c r="CQ43689" s="111"/>
      <c r="EF43689"/>
      <c r="EG43689"/>
      <c r="EH43689"/>
      <c r="EI43689"/>
      <c r="EJ43689"/>
      <c r="EK43689"/>
    </row>
    <row r="43690" spans="1:141" s="116" customFormat="1">
      <c r="A43690" s="136"/>
      <c r="CM43690" s="111"/>
      <c r="CQ43690" s="111"/>
      <c r="EF43690"/>
      <c r="EG43690"/>
      <c r="EH43690"/>
      <c r="EI43690"/>
      <c r="EJ43690"/>
      <c r="EK43690"/>
    </row>
    <row r="43691" spans="1:141" s="116" customFormat="1">
      <c r="A43691" s="136"/>
      <c r="CM43691" s="111"/>
      <c r="CQ43691" s="111"/>
      <c r="EF43691"/>
      <c r="EG43691"/>
      <c r="EH43691"/>
      <c r="EI43691"/>
      <c r="EJ43691"/>
      <c r="EK43691"/>
    </row>
    <row r="43692" spans="1:141" s="116" customFormat="1">
      <c r="A43692" s="136"/>
      <c r="CM43692" s="111"/>
      <c r="CQ43692" s="111"/>
      <c r="EF43692"/>
      <c r="EG43692"/>
      <c r="EH43692"/>
      <c r="EI43692"/>
      <c r="EJ43692"/>
      <c r="EK43692"/>
    </row>
    <row r="43693" spans="1:141" s="116" customFormat="1">
      <c r="A43693" s="136"/>
      <c r="CM43693" s="111"/>
      <c r="CQ43693" s="111"/>
      <c r="EF43693"/>
      <c r="EG43693"/>
      <c r="EH43693"/>
      <c r="EI43693"/>
      <c r="EJ43693"/>
      <c r="EK43693"/>
    </row>
    <row r="43694" spans="1:141" s="116" customFormat="1">
      <c r="A43694" s="136"/>
      <c r="CM43694" s="111"/>
      <c r="CQ43694" s="111"/>
      <c r="EF43694"/>
      <c r="EG43694"/>
      <c r="EH43694"/>
      <c r="EI43694"/>
      <c r="EJ43694"/>
      <c r="EK43694"/>
    </row>
    <row r="43695" spans="1:141" s="116" customFormat="1">
      <c r="A43695" s="136"/>
      <c r="CM43695" s="111"/>
      <c r="CQ43695" s="111"/>
      <c r="EF43695"/>
      <c r="EG43695"/>
      <c r="EH43695"/>
      <c r="EI43695"/>
      <c r="EJ43695"/>
      <c r="EK43695"/>
    </row>
    <row r="43696" spans="1:141" s="116" customFormat="1">
      <c r="A43696" s="136"/>
      <c r="CM43696" s="111"/>
      <c r="CQ43696" s="111"/>
      <c r="EF43696"/>
      <c r="EG43696"/>
      <c r="EH43696"/>
      <c r="EI43696"/>
      <c r="EJ43696"/>
      <c r="EK43696"/>
    </row>
    <row r="43697" spans="1:141" s="116" customFormat="1">
      <c r="A43697" s="136"/>
      <c r="CM43697" s="111"/>
      <c r="CQ43697" s="111"/>
      <c r="EF43697"/>
      <c r="EG43697"/>
      <c r="EH43697"/>
      <c r="EI43697"/>
      <c r="EJ43697"/>
      <c r="EK43697"/>
    </row>
    <row r="43698" spans="1:141" s="116" customFormat="1">
      <c r="A43698" s="136"/>
      <c r="CM43698" s="111"/>
      <c r="CQ43698" s="111"/>
      <c r="EF43698"/>
      <c r="EG43698"/>
      <c r="EH43698"/>
      <c r="EI43698"/>
      <c r="EJ43698"/>
      <c r="EK43698"/>
    </row>
    <row r="43699" spans="1:141" s="116" customFormat="1">
      <c r="A43699" s="136"/>
      <c r="CM43699" s="111"/>
      <c r="CQ43699" s="111"/>
      <c r="EF43699"/>
      <c r="EG43699"/>
      <c r="EH43699"/>
      <c r="EI43699"/>
      <c r="EJ43699"/>
      <c r="EK43699"/>
    </row>
    <row r="43700" spans="1:141" s="116" customFormat="1">
      <c r="A43700" s="136"/>
      <c r="CM43700" s="111"/>
      <c r="CQ43700" s="111"/>
      <c r="EF43700"/>
      <c r="EG43700"/>
      <c r="EH43700"/>
      <c r="EI43700"/>
      <c r="EJ43700"/>
      <c r="EK43700"/>
    </row>
    <row r="43701" spans="1:141" s="116" customFormat="1">
      <c r="A43701" s="136"/>
      <c r="CM43701" s="111"/>
      <c r="CQ43701" s="111"/>
      <c r="EF43701"/>
      <c r="EG43701"/>
      <c r="EH43701"/>
      <c r="EI43701"/>
      <c r="EJ43701"/>
      <c r="EK43701"/>
    </row>
    <row r="43702" spans="1:141" s="116" customFormat="1">
      <c r="A43702" s="136"/>
      <c r="CM43702" s="111"/>
      <c r="CQ43702" s="111"/>
      <c r="EF43702"/>
      <c r="EG43702"/>
      <c r="EH43702"/>
      <c r="EI43702"/>
      <c r="EJ43702"/>
      <c r="EK43702"/>
    </row>
    <row r="43703" spans="1:141" s="116" customFormat="1">
      <c r="A43703" s="136"/>
      <c r="CM43703" s="111"/>
      <c r="CQ43703" s="111"/>
      <c r="EF43703"/>
      <c r="EG43703"/>
      <c r="EH43703"/>
      <c r="EI43703"/>
      <c r="EJ43703"/>
      <c r="EK43703"/>
    </row>
    <row r="43704" spans="1:141" s="116" customFormat="1">
      <c r="A43704" s="136"/>
      <c r="CM43704" s="111"/>
      <c r="CQ43704" s="111"/>
      <c r="EF43704"/>
      <c r="EG43704"/>
      <c r="EH43704"/>
      <c r="EI43704"/>
      <c r="EJ43704"/>
      <c r="EK43704"/>
    </row>
    <row r="43705" spans="1:141" s="116" customFormat="1">
      <c r="A43705" s="136"/>
      <c r="CM43705" s="111"/>
      <c r="CQ43705" s="111"/>
      <c r="EF43705"/>
      <c r="EG43705"/>
      <c r="EH43705"/>
      <c r="EI43705"/>
      <c r="EJ43705"/>
      <c r="EK43705"/>
    </row>
    <row r="43706" spans="1:141" s="116" customFormat="1">
      <c r="A43706" s="136"/>
      <c r="CM43706" s="111"/>
      <c r="CQ43706" s="111"/>
      <c r="EF43706"/>
      <c r="EG43706"/>
      <c r="EH43706"/>
      <c r="EI43706"/>
      <c r="EJ43706"/>
      <c r="EK43706"/>
    </row>
    <row r="43707" spans="1:141" s="116" customFormat="1">
      <c r="A43707" s="136"/>
      <c r="CM43707" s="111"/>
      <c r="CQ43707" s="111"/>
      <c r="EF43707"/>
      <c r="EG43707"/>
      <c r="EH43707"/>
      <c r="EI43707"/>
      <c r="EJ43707"/>
      <c r="EK43707"/>
    </row>
    <row r="43708" spans="1:141" s="116" customFormat="1">
      <c r="A43708" s="136"/>
      <c r="CM43708" s="111"/>
      <c r="CQ43708" s="111"/>
      <c r="EF43708"/>
      <c r="EG43708"/>
      <c r="EH43708"/>
      <c r="EI43708"/>
      <c r="EJ43708"/>
      <c r="EK43708"/>
    </row>
    <row r="43709" spans="1:141" s="116" customFormat="1">
      <c r="A43709" s="136"/>
      <c r="CM43709" s="111"/>
      <c r="CQ43709" s="111"/>
      <c r="EF43709"/>
      <c r="EG43709"/>
      <c r="EH43709"/>
      <c r="EI43709"/>
      <c r="EJ43709"/>
      <c r="EK43709"/>
    </row>
    <row r="43710" spans="1:141" s="116" customFormat="1">
      <c r="A43710" s="136"/>
      <c r="CM43710" s="111"/>
      <c r="CQ43710" s="111"/>
      <c r="EF43710"/>
      <c r="EG43710"/>
      <c r="EH43710"/>
      <c r="EI43710"/>
      <c r="EJ43710"/>
      <c r="EK43710"/>
    </row>
    <row r="43711" spans="1:141" s="116" customFormat="1">
      <c r="A43711" s="136"/>
      <c r="CM43711" s="111"/>
      <c r="CQ43711" s="111"/>
      <c r="EF43711"/>
      <c r="EG43711"/>
      <c r="EH43711"/>
      <c r="EI43711"/>
      <c r="EJ43711"/>
      <c r="EK43711"/>
    </row>
    <row r="43712" spans="1:141" s="116" customFormat="1">
      <c r="A43712" s="136"/>
      <c r="CM43712" s="111"/>
      <c r="CQ43712" s="111"/>
      <c r="EF43712"/>
      <c r="EG43712"/>
      <c r="EH43712"/>
      <c r="EI43712"/>
      <c r="EJ43712"/>
      <c r="EK43712"/>
    </row>
    <row r="43713" spans="1:141" s="116" customFormat="1">
      <c r="A43713" s="136"/>
      <c r="CM43713" s="111"/>
      <c r="CQ43713" s="111"/>
      <c r="EF43713"/>
      <c r="EG43713"/>
      <c r="EH43713"/>
      <c r="EI43713"/>
      <c r="EJ43713"/>
      <c r="EK43713"/>
    </row>
    <row r="43714" spans="1:141" s="116" customFormat="1">
      <c r="A43714" s="136"/>
      <c r="CM43714" s="111"/>
      <c r="CQ43714" s="111"/>
      <c r="EF43714"/>
      <c r="EG43714"/>
      <c r="EH43714"/>
      <c r="EI43714"/>
      <c r="EJ43714"/>
      <c r="EK43714"/>
    </row>
    <row r="43715" spans="1:141" s="116" customFormat="1">
      <c r="A43715" s="136"/>
      <c r="CM43715" s="111"/>
      <c r="CQ43715" s="111"/>
      <c r="EF43715"/>
      <c r="EG43715"/>
      <c r="EH43715"/>
      <c r="EI43715"/>
      <c r="EJ43715"/>
      <c r="EK43715"/>
    </row>
    <row r="43716" spans="1:141" s="116" customFormat="1">
      <c r="A43716" s="136"/>
      <c r="CM43716" s="111"/>
      <c r="CQ43716" s="111"/>
      <c r="EF43716"/>
      <c r="EG43716"/>
      <c r="EH43716"/>
      <c r="EI43716"/>
      <c r="EJ43716"/>
      <c r="EK43716"/>
    </row>
    <row r="43717" spans="1:141" s="116" customFormat="1">
      <c r="A43717" s="136"/>
      <c r="CM43717" s="111"/>
      <c r="CQ43717" s="111"/>
      <c r="EF43717"/>
      <c r="EG43717"/>
      <c r="EH43717"/>
      <c r="EI43717"/>
      <c r="EJ43717"/>
      <c r="EK43717"/>
    </row>
    <row r="43718" spans="1:141" s="116" customFormat="1">
      <c r="A43718" s="136"/>
      <c r="CM43718" s="111"/>
      <c r="CQ43718" s="111"/>
      <c r="EF43718"/>
      <c r="EG43718"/>
      <c r="EH43718"/>
      <c r="EI43718"/>
      <c r="EJ43718"/>
      <c r="EK43718"/>
    </row>
    <row r="43719" spans="1:141" s="116" customFormat="1">
      <c r="A43719" s="136"/>
      <c r="CM43719" s="111"/>
      <c r="CQ43719" s="111"/>
      <c r="EF43719"/>
      <c r="EG43719"/>
      <c r="EH43719"/>
      <c r="EI43719"/>
      <c r="EJ43719"/>
      <c r="EK43719"/>
    </row>
    <row r="43720" spans="1:141" s="116" customFormat="1">
      <c r="A43720" s="136"/>
      <c r="CM43720" s="111"/>
      <c r="CQ43720" s="111"/>
      <c r="EF43720"/>
      <c r="EG43720"/>
      <c r="EH43720"/>
      <c r="EI43720"/>
      <c r="EJ43720"/>
      <c r="EK43720"/>
    </row>
    <row r="43721" spans="1:141" s="116" customFormat="1">
      <c r="A43721" s="136"/>
      <c r="CM43721" s="111"/>
      <c r="CQ43721" s="111"/>
      <c r="EF43721"/>
      <c r="EG43721"/>
      <c r="EH43721"/>
      <c r="EI43721"/>
      <c r="EJ43721"/>
      <c r="EK43721"/>
    </row>
    <row r="43722" spans="1:141" s="116" customFormat="1">
      <c r="A43722" s="136"/>
      <c r="CM43722" s="111"/>
      <c r="CQ43722" s="111"/>
      <c r="EF43722"/>
      <c r="EG43722"/>
      <c r="EH43722"/>
      <c r="EI43722"/>
      <c r="EJ43722"/>
      <c r="EK43722"/>
    </row>
    <row r="43723" spans="1:141" s="116" customFormat="1">
      <c r="A43723" s="136"/>
      <c r="CM43723" s="111"/>
      <c r="CQ43723" s="111"/>
      <c r="EF43723"/>
      <c r="EG43723"/>
      <c r="EH43723"/>
      <c r="EI43723"/>
      <c r="EJ43723"/>
      <c r="EK43723"/>
    </row>
    <row r="43724" spans="1:141" s="116" customFormat="1">
      <c r="A43724" s="136"/>
      <c r="CM43724" s="111"/>
      <c r="CQ43724" s="111"/>
      <c r="EF43724"/>
      <c r="EG43724"/>
      <c r="EH43724"/>
      <c r="EI43724"/>
      <c r="EJ43724"/>
      <c r="EK43724"/>
    </row>
    <row r="43725" spans="1:141" s="116" customFormat="1">
      <c r="A43725" s="136"/>
      <c r="CM43725" s="111"/>
      <c r="CQ43725" s="111"/>
      <c r="EF43725"/>
      <c r="EG43725"/>
      <c r="EH43725"/>
      <c r="EI43725"/>
      <c r="EJ43725"/>
      <c r="EK43725"/>
    </row>
    <row r="43726" spans="1:141" s="116" customFormat="1">
      <c r="A43726" s="136"/>
      <c r="CM43726" s="111"/>
      <c r="CQ43726" s="111"/>
      <c r="EF43726"/>
      <c r="EG43726"/>
      <c r="EH43726"/>
      <c r="EI43726"/>
      <c r="EJ43726"/>
      <c r="EK43726"/>
    </row>
    <row r="43727" spans="1:141" s="116" customFormat="1">
      <c r="A43727" s="136"/>
      <c r="CM43727" s="111"/>
      <c r="CQ43727" s="111"/>
      <c r="EF43727"/>
      <c r="EG43727"/>
      <c r="EH43727"/>
      <c r="EI43727"/>
      <c r="EJ43727"/>
      <c r="EK43727"/>
    </row>
    <row r="43728" spans="1:141" s="116" customFormat="1">
      <c r="A43728" s="136"/>
      <c r="CM43728" s="111"/>
      <c r="CQ43728" s="111"/>
      <c r="EF43728"/>
      <c r="EG43728"/>
      <c r="EH43728"/>
      <c r="EI43728"/>
      <c r="EJ43728"/>
      <c r="EK43728"/>
    </row>
    <row r="43729" spans="1:141" s="116" customFormat="1">
      <c r="A43729" s="136"/>
      <c r="CM43729" s="111"/>
      <c r="CQ43729" s="111"/>
      <c r="EF43729"/>
      <c r="EG43729"/>
      <c r="EH43729"/>
      <c r="EI43729"/>
      <c r="EJ43729"/>
      <c r="EK43729"/>
    </row>
    <row r="43730" spans="1:141" s="116" customFormat="1">
      <c r="A43730" s="136"/>
      <c r="CM43730" s="111"/>
      <c r="CQ43730" s="111"/>
      <c r="EF43730"/>
      <c r="EG43730"/>
      <c r="EH43730"/>
      <c r="EI43730"/>
      <c r="EJ43730"/>
      <c r="EK43730"/>
    </row>
    <row r="43731" spans="1:141" s="116" customFormat="1">
      <c r="A43731" s="136"/>
      <c r="CM43731" s="111"/>
      <c r="CQ43731" s="111"/>
      <c r="EF43731"/>
      <c r="EG43731"/>
      <c r="EH43731"/>
      <c r="EI43731"/>
      <c r="EJ43731"/>
      <c r="EK43731"/>
    </row>
    <row r="43732" spans="1:141" s="116" customFormat="1">
      <c r="A43732" s="136"/>
      <c r="CM43732" s="111"/>
      <c r="CQ43732" s="111"/>
      <c r="EF43732"/>
      <c r="EG43732"/>
      <c r="EH43732"/>
      <c r="EI43732"/>
      <c r="EJ43732"/>
      <c r="EK43732"/>
    </row>
    <row r="43733" spans="1:141" s="116" customFormat="1">
      <c r="A43733" s="136"/>
      <c r="CM43733" s="111"/>
      <c r="CQ43733" s="111"/>
      <c r="EF43733"/>
      <c r="EG43733"/>
      <c r="EH43733"/>
      <c r="EI43733"/>
      <c r="EJ43733"/>
      <c r="EK43733"/>
    </row>
    <row r="43734" spans="1:141" s="116" customFormat="1">
      <c r="A43734" s="136"/>
      <c r="CM43734" s="111"/>
      <c r="CQ43734" s="111"/>
      <c r="EF43734"/>
      <c r="EG43734"/>
      <c r="EH43734"/>
      <c r="EI43734"/>
      <c r="EJ43734"/>
      <c r="EK43734"/>
    </row>
    <row r="43735" spans="1:141" s="116" customFormat="1">
      <c r="A43735" s="136"/>
      <c r="CM43735" s="111"/>
      <c r="CQ43735" s="111"/>
      <c r="EF43735"/>
      <c r="EG43735"/>
      <c r="EH43735"/>
      <c r="EI43735"/>
      <c r="EJ43735"/>
      <c r="EK43735"/>
    </row>
    <row r="43736" spans="1:141" s="116" customFormat="1">
      <c r="A43736" s="136"/>
      <c r="CM43736" s="111"/>
      <c r="CQ43736" s="111"/>
      <c r="EF43736"/>
      <c r="EG43736"/>
      <c r="EH43736"/>
      <c r="EI43736"/>
      <c r="EJ43736"/>
      <c r="EK43736"/>
    </row>
    <row r="43737" spans="1:141" s="116" customFormat="1">
      <c r="A43737" s="136"/>
      <c r="CM43737" s="111"/>
      <c r="CQ43737" s="111"/>
      <c r="EF43737"/>
      <c r="EG43737"/>
      <c r="EH43737"/>
      <c r="EI43737"/>
      <c r="EJ43737"/>
      <c r="EK43737"/>
    </row>
    <row r="43738" spans="1:141" s="116" customFormat="1">
      <c r="A43738" s="136"/>
      <c r="CM43738" s="111"/>
      <c r="CQ43738" s="111"/>
      <c r="EF43738"/>
      <c r="EG43738"/>
      <c r="EH43738"/>
      <c r="EI43738"/>
      <c r="EJ43738"/>
      <c r="EK43738"/>
    </row>
    <row r="43739" spans="1:141" s="116" customFormat="1">
      <c r="A43739" s="136"/>
      <c r="CM43739" s="111"/>
      <c r="CQ43739" s="111"/>
      <c r="EF43739"/>
      <c r="EG43739"/>
      <c r="EH43739"/>
      <c r="EI43739"/>
      <c r="EJ43739"/>
      <c r="EK43739"/>
    </row>
    <row r="43740" spans="1:141" s="116" customFormat="1">
      <c r="A43740" s="136"/>
      <c r="CM43740" s="111"/>
      <c r="CQ43740" s="111"/>
      <c r="EF43740"/>
      <c r="EG43740"/>
      <c r="EH43740"/>
      <c r="EI43740"/>
      <c r="EJ43740"/>
      <c r="EK43740"/>
    </row>
    <row r="43741" spans="1:141" s="116" customFormat="1">
      <c r="A43741" s="136"/>
      <c r="CM43741" s="111"/>
      <c r="CQ43741" s="111"/>
      <c r="EF43741"/>
      <c r="EG43741"/>
      <c r="EH43741"/>
      <c r="EI43741"/>
      <c r="EJ43741"/>
      <c r="EK43741"/>
    </row>
    <row r="43742" spans="1:141" s="116" customFormat="1">
      <c r="A43742" s="136"/>
      <c r="CM43742" s="111"/>
      <c r="CQ43742" s="111"/>
      <c r="EF43742"/>
      <c r="EG43742"/>
      <c r="EH43742"/>
      <c r="EI43742"/>
      <c r="EJ43742"/>
      <c r="EK43742"/>
    </row>
    <row r="43743" spans="1:141" s="116" customFormat="1">
      <c r="A43743" s="136"/>
      <c r="CM43743" s="111"/>
      <c r="CQ43743" s="111"/>
      <c r="EF43743"/>
      <c r="EG43743"/>
      <c r="EH43743"/>
      <c r="EI43743"/>
      <c r="EJ43743"/>
      <c r="EK43743"/>
    </row>
    <row r="43744" spans="1:141" s="116" customFormat="1">
      <c r="A43744" s="136"/>
      <c r="CM43744" s="111"/>
      <c r="CQ43744" s="111"/>
      <c r="EF43744"/>
      <c r="EG43744"/>
      <c r="EH43744"/>
      <c r="EI43744"/>
      <c r="EJ43744"/>
      <c r="EK43744"/>
    </row>
    <row r="43745" spans="1:141" s="116" customFormat="1">
      <c r="A43745" s="136"/>
      <c r="CM43745" s="111"/>
      <c r="CQ43745" s="111"/>
      <c r="EF43745"/>
      <c r="EG43745"/>
      <c r="EH43745"/>
      <c r="EI43745"/>
      <c r="EJ43745"/>
      <c r="EK43745"/>
    </row>
    <row r="43746" spans="1:141" s="116" customFormat="1">
      <c r="A43746" s="136"/>
      <c r="CM43746" s="111"/>
      <c r="CQ43746" s="111"/>
      <c r="EF43746"/>
      <c r="EG43746"/>
      <c r="EH43746"/>
      <c r="EI43746"/>
      <c r="EJ43746"/>
      <c r="EK43746"/>
    </row>
    <row r="43747" spans="1:141" s="116" customFormat="1">
      <c r="A43747" s="136"/>
      <c r="CM43747" s="111"/>
      <c r="CQ43747" s="111"/>
      <c r="EF43747"/>
      <c r="EG43747"/>
      <c r="EH43747"/>
      <c r="EI43747"/>
      <c r="EJ43747"/>
      <c r="EK43747"/>
    </row>
    <row r="43748" spans="1:141" s="116" customFormat="1">
      <c r="A43748" s="136"/>
      <c r="CM43748" s="111"/>
      <c r="CQ43748" s="111"/>
      <c r="EF43748"/>
      <c r="EG43748"/>
      <c r="EH43748"/>
      <c r="EI43748"/>
      <c r="EJ43748"/>
      <c r="EK43748"/>
    </row>
    <row r="43749" spans="1:141" s="116" customFormat="1">
      <c r="A43749" s="136"/>
      <c r="CM43749" s="111"/>
      <c r="CQ43749" s="111"/>
      <c r="EF43749"/>
      <c r="EG43749"/>
      <c r="EH43749"/>
      <c r="EI43749"/>
      <c r="EJ43749"/>
      <c r="EK43749"/>
    </row>
    <row r="43750" spans="1:141" s="116" customFormat="1">
      <c r="A43750" s="136"/>
      <c r="CM43750" s="111"/>
      <c r="CQ43750" s="111"/>
      <c r="EF43750"/>
      <c r="EG43750"/>
      <c r="EH43750"/>
      <c r="EI43750"/>
      <c r="EJ43750"/>
      <c r="EK43750"/>
    </row>
    <row r="43751" spans="1:141" s="116" customFormat="1">
      <c r="A43751" s="136"/>
      <c r="CM43751" s="111"/>
      <c r="CQ43751" s="111"/>
      <c r="EF43751"/>
      <c r="EG43751"/>
      <c r="EH43751"/>
      <c r="EI43751"/>
      <c r="EJ43751"/>
      <c r="EK43751"/>
    </row>
    <row r="43752" spans="1:141" s="116" customFormat="1">
      <c r="A43752" s="136"/>
      <c r="CM43752" s="111"/>
      <c r="CQ43752" s="111"/>
      <c r="EF43752"/>
      <c r="EG43752"/>
      <c r="EH43752"/>
      <c r="EI43752"/>
      <c r="EJ43752"/>
      <c r="EK43752"/>
    </row>
    <row r="43753" spans="1:141" s="116" customFormat="1">
      <c r="A43753" s="136"/>
      <c r="CM43753" s="111"/>
      <c r="CQ43753" s="111"/>
      <c r="EF43753"/>
      <c r="EG43753"/>
      <c r="EH43753"/>
      <c r="EI43753"/>
      <c r="EJ43753"/>
      <c r="EK43753"/>
    </row>
    <row r="43754" spans="1:141" s="116" customFormat="1">
      <c r="A43754" s="136"/>
      <c r="CM43754" s="111"/>
      <c r="CQ43754" s="111"/>
      <c r="EF43754"/>
      <c r="EG43754"/>
      <c r="EH43754"/>
      <c r="EI43754"/>
      <c r="EJ43754"/>
      <c r="EK43754"/>
    </row>
    <row r="43755" spans="1:141" s="116" customFormat="1">
      <c r="A43755" s="136"/>
      <c r="CM43755" s="111"/>
      <c r="CQ43755" s="111"/>
      <c r="EF43755"/>
      <c r="EG43755"/>
      <c r="EH43755"/>
      <c r="EI43755"/>
      <c r="EJ43755"/>
      <c r="EK43755"/>
    </row>
    <row r="43756" spans="1:141" s="116" customFormat="1">
      <c r="A43756" s="136"/>
      <c r="CM43756" s="111"/>
      <c r="CQ43756" s="111"/>
      <c r="EF43756"/>
      <c r="EG43756"/>
      <c r="EH43756"/>
      <c r="EI43756"/>
      <c r="EJ43756"/>
      <c r="EK43756"/>
    </row>
    <row r="43757" spans="1:141" s="116" customFormat="1">
      <c r="A43757" s="136"/>
      <c r="CM43757" s="111"/>
      <c r="CQ43757" s="111"/>
      <c r="EF43757"/>
      <c r="EG43757"/>
      <c r="EH43757"/>
      <c r="EI43757"/>
      <c r="EJ43757"/>
      <c r="EK43757"/>
    </row>
    <row r="43758" spans="1:141" s="116" customFormat="1">
      <c r="A43758" s="136"/>
      <c r="CM43758" s="111"/>
      <c r="CQ43758" s="111"/>
      <c r="EF43758"/>
      <c r="EG43758"/>
      <c r="EH43758"/>
      <c r="EI43758"/>
      <c r="EJ43758"/>
      <c r="EK43758"/>
    </row>
    <row r="43759" spans="1:141" s="116" customFormat="1">
      <c r="A43759" s="136"/>
      <c r="CM43759" s="111"/>
      <c r="CQ43759" s="111"/>
      <c r="EF43759"/>
      <c r="EG43759"/>
      <c r="EH43759"/>
      <c r="EI43759"/>
      <c r="EJ43759"/>
      <c r="EK43759"/>
    </row>
    <row r="43760" spans="1:141" s="116" customFormat="1">
      <c r="A43760" s="136"/>
      <c r="CM43760" s="111"/>
      <c r="CQ43760" s="111"/>
      <c r="EF43760"/>
      <c r="EG43760"/>
      <c r="EH43760"/>
      <c r="EI43760"/>
      <c r="EJ43760"/>
      <c r="EK43760"/>
    </row>
    <row r="43761" spans="1:141" s="116" customFormat="1">
      <c r="A43761" s="136"/>
      <c r="CM43761" s="111"/>
      <c r="CQ43761" s="111"/>
      <c r="EF43761"/>
      <c r="EG43761"/>
      <c r="EH43761"/>
      <c r="EI43761"/>
      <c r="EJ43761"/>
      <c r="EK43761"/>
    </row>
    <row r="43762" spans="1:141" s="116" customFormat="1">
      <c r="A43762" s="136"/>
      <c r="CM43762" s="111"/>
      <c r="CQ43762" s="111"/>
      <c r="EF43762"/>
      <c r="EG43762"/>
      <c r="EH43762"/>
      <c r="EI43762"/>
      <c r="EJ43762"/>
      <c r="EK43762"/>
    </row>
    <row r="43763" spans="1:141" s="116" customFormat="1">
      <c r="A43763" s="136"/>
      <c r="CM43763" s="111"/>
      <c r="CQ43763" s="111"/>
      <c r="EF43763"/>
      <c r="EG43763"/>
      <c r="EH43763"/>
      <c r="EI43763"/>
      <c r="EJ43763"/>
      <c r="EK43763"/>
    </row>
    <row r="43764" spans="1:141" s="116" customFormat="1">
      <c r="A43764" s="136"/>
      <c r="CM43764" s="111"/>
      <c r="CQ43764" s="111"/>
      <c r="EF43764"/>
      <c r="EG43764"/>
      <c r="EH43764"/>
      <c r="EI43764"/>
      <c r="EJ43764"/>
      <c r="EK43764"/>
    </row>
    <row r="43765" spans="1:141" s="116" customFormat="1">
      <c r="A43765" s="136"/>
      <c r="CM43765" s="111"/>
      <c r="CQ43765" s="111"/>
      <c r="EF43765"/>
      <c r="EG43765"/>
      <c r="EH43765"/>
      <c r="EI43765"/>
      <c r="EJ43765"/>
      <c r="EK43765"/>
    </row>
    <row r="43766" spans="1:141" s="116" customFormat="1">
      <c r="A43766" s="136"/>
      <c r="CM43766" s="111"/>
      <c r="CQ43766" s="111"/>
      <c r="EF43766"/>
      <c r="EG43766"/>
      <c r="EH43766"/>
      <c r="EI43766"/>
      <c r="EJ43766"/>
      <c r="EK43766"/>
    </row>
    <row r="43767" spans="1:141" s="116" customFormat="1">
      <c r="A43767" s="136"/>
      <c r="CM43767" s="111"/>
      <c r="CQ43767" s="111"/>
      <c r="EF43767"/>
      <c r="EG43767"/>
      <c r="EH43767"/>
      <c r="EI43767"/>
      <c r="EJ43767"/>
      <c r="EK43767"/>
    </row>
    <row r="43768" spans="1:141" s="116" customFormat="1">
      <c r="A43768" s="136"/>
      <c r="CM43768" s="111"/>
      <c r="CQ43768" s="111"/>
      <c r="EF43768"/>
      <c r="EG43768"/>
      <c r="EH43768"/>
      <c r="EI43768"/>
      <c r="EJ43768"/>
      <c r="EK43768"/>
    </row>
    <row r="43769" spans="1:141" s="116" customFormat="1">
      <c r="A43769" s="136"/>
      <c r="CM43769" s="111"/>
      <c r="CQ43769" s="111"/>
      <c r="EF43769"/>
      <c r="EG43769"/>
      <c r="EH43769"/>
      <c r="EI43769"/>
      <c r="EJ43769"/>
      <c r="EK43769"/>
    </row>
    <row r="43770" spans="1:141" s="116" customFormat="1">
      <c r="A43770" s="136"/>
      <c r="CM43770" s="111"/>
      <c r="CQ43770" s="111"/>
      <c r="EF43770"/>
      <c r="EG43770"/>
      <c r="EH43770"/>
      <c r="EI43770"/>
      <c r="EJ43770"/>
      <c r="EK43770"/>
    </row>
    <row r="43771" spans="1:141" s="116" customFormat="1">
      <c r="A43771" s="136"/>
      <c r="CM43771" s="111"/>
      <c r="CQ43771" s="111"/>
      <c r="EF43771"/>
      <c r="EG43771"/>
      <c r="EH43771"/>
      <c r="EI43771"/>
      <c r="EJ43771"/>
      <c r="EK43771"/>
    </row>
    <row r="43772" spans="1:141" s="116" customFormat="1">
      <c r="A43772" s="136"/>
      <c r="CM43772" s="111"/>
      <c r="CQ43772" s="111"/>
      <c r="EF43772"/>
      <c r="EG43772"/>
      <c r="EH43772"/>
      <c r="EI43772"/>
      <c r="EJ43772"/>
      <c r="EK43772"/>
    </row>
    <row r="43773" spans="1:141" s="116" customFormat="1">
      <c r="A43773" s="136"/>
      <c r="CM43773" s="111"/>
      <c r="CQ43773" s="111"/>
      <c r="EF43773"/>
      <c r="EG43773"/>
      <c r="EH43773"/>
      <c r="EI43773"/>
      <c r="EJ43773"/>
      <c r="EK43773"/>
    </row>
    <row r="43774" spans="1:141" s="116" customFormat="1">
      <c r="A43774" s="136"/>
      <c r="CM43774" s="111"/>
      <c r="CQ43774" s="111"/>
      <c r="EF43774"/>
      <c r="EG43774"/>
      <c r="EH43774"/>
      <c r="EI43774"/>
      <c r="EJ43774"/>
      <c r="EK43774"/>
    </row>
    <row r="43775" spans="1:141" s="116" customFormat="1">
      <c r="A43775" s="136"/>
      <c r="CM43775" s="111"/>
      <c r="CQ43775" s="111"/>
      <c r="EF43775"/>
      <c r="EG43775"/>
      <c r="EH43775"/>
      <c r="EI43775"/>
      <c r="EJ43775"/>
      <c r="EK43775"/>
    </row>
    <row r="43776" spans="1:141" s="116" customFormat="1">
      <c r="A43776" s="136"/>
      <c r="CM43776" s="111"/>
      <c r="CQ43776" s="111"/>
      <c r="EF43776"/>
      <c r="EG43776"/>
      <c r="EH43776"/>
      <c r="EI43776"/>
      <c r="EJ43776"/>
      <c r="EK43776"/>
    </row>
    <row r="43777" spans="1:141" s="116" customFormat="1">
      <c r="A43777" s="136"/>
      <c r="CM43777" s="111"/>
      <c r="CQ43777" s="111"/>
      <c r="EF43777"/>
      <c r="EG43777"/>
      <c r="EH43777"/>
      <c r="EI43777"/>
      <c r="EJ43777"/>
      <c r="EK43777"/>
    </row>
    <row r="43778" spans="1:141" s="116" customFormat="1">
      <c r="A43778" s="136"/>
      <c r="CM43778" s="111"/>
      <c r="CQ43778" s="111"/>
      <c r="EF43778"/>
      <c r="EG43778"/>
      <c r="EH43778"/>
      <c r="EI43778"/>
      <c r="EJ43778"/>
      <c r="EK43778"/>
    </row>
    <row r="43779" spans="1:141" s="116" customFormat="1">
      <c r="A43779" s="136"/>
      <c r="CM43779" s="111"/>
      <c r="CQ43779" s="111"/>
      <c r="EF43779"/>
      <c r="EG43779"/>
      <c r="EH43779"/>
      <c r="EI43779"/>
      <c r="EJ43779"/>
      <c r="EK43779"/>
    </row>
    <row r="43780" spans="1:141" s="116" customFormat="1">
      <c r="A43780" s="136"/>
      <c r="CM43780" s="111"/>
      <c r="CQ43780" s="111"/>
      <c r="EF43780"/>
      <c r="EG43780"/>
      <c r="EH43780"/>
      <c r="EI43780"/>
      <c r="EJ43780"/>
      <c r="EK43780"/>
    </row>
    <row r="43781" spans="1:141" s="116" customFormat="1">
      <c r="A43781" s="136"/>
      <c r="CM43781" s="111"/>
      <c r="CQ43781" s="111"/>
      <c r="EF43781"/>
      <c r="EG43781"/>
      <c r="EH43781"/>
      <c r="EI43781"/>
      <c r="EJ43781"/>
      <c r="EK43781"/>
    </row>
    <row r="43782" spans="1:141" s="116" customFormat="1">
      <c r="A43782" s="136"/>
      <c r="CM43782" s="111"/>
      <c r="CQ43782" s="111"/>
      <c r="EF43782"/>
      <c r="EG43782"/>
      <c r="EH43782"/>
      <c r="EI43782"/>
      <c r="EJ43782"/>
      <c r="EK43782"/>
    </row>
    <row r="43783" spans="1:141" s="116" customFormat="1">
      <c r="A43783" s="136"/>
      <c r="CM43783" s="111"/>
      <c r="CQ43783" s="111"/>
      <c r="EF43783"/>
      <c r="EG43783"/>
      <c r="EH43783"/>
      <c r="EI43783"/>
      <c r="EJ43783"/>
      <c r="EK43783"/>
    </row>
    <row r="43784" spans="1:141" s="116" customFormat="1">
      <c r="A43784" s="136"/>
      <c r="CM43784" s="111"/>
      <c r="CQ43784" s="111"/>
      <c r="EF43784"/>
      <c r="EG43784"/>
      <c r="EH43784"/>
      <c r="EI43784"/>
      <c r="EJ43784"/>
      <c r="EK43784"/>
    </row>
    <row r="43785" spans="1:141" s="116" customFormat="1">
      <c r="A43785" s="136"/>
      <c r="CM43785" s="111"/>
      <c r="CQ43785" s="111"/>
      <c r="EF43785"/>
      <c r="EG43785"/>
      <c r="EH43785"/>
      <c r="EI43785"/>
      <c r="EJ43785"/>
      <c r="EK43785"/>
    </row>
    <row r="43786" spans="1:141" s="116" customFormat="1">
      <c r="A43786" s="136"/>
      <c r="CM43786" s="111"/>
      <c r="CQ43786" s="111"/>
      <c r="EF43786"/>
      <c r="EG43786"/>
      <c r="EH43786"/>
      <c r="EI43786"/>
      <c r="EJ43786"/>
      <c r="EK43786"/>
    </row>
    <row r="43787" spans="1:141" s="116" customFormat="1">
      <c r="A43787" s="136"/>
      <c r="CM43787" s="111"/>
      <c r="CQ43787" s="111"/>
      <c r="EF43787"/>
      <c r="EG43787"/>
      <c r="EH43787"/>
      <c r="EI43787"/>
      <c r="EJ43787"/>
      <c r="EK43787"/>
    </row>
    <row r="43788" spans="1:141" s="116" customFormat="1">
      <c r="A43788" s="136"/>
      <c r="CM43788" s="111"/>
      <c r="CQ43788" s="111"/>
      <c r="EF43788"/>
      <c r="EG43788"/>
      <c r="EH43788"/>
      <c r="EI43788"/>
      <c r="EJ43788"/>
      <c r="EK43788"/>
    </row>
    <row r="43789" spans="1:141" s="116" customFormat="1">
      <c r="A43789" s="136"/>
      <c r="CM43789" s="111"/>
      <c r="CQ43789" s="111"/>
      <c r="EF43789"/>
      <c r="EG43789"/>
      <c r="EH43789"/>
      <c r="EI43789"/>
      <c r="EJ43789"/>
      <c r="EK43789"/>
    </row>
    <row r="43790" spans="1:141" s="116" customFormat="1">
      <c r="A43790" s="136"/>
      <c r="CM43790" s="111"/>
      <c r="CQ43790" s="111"/>
      <c r="EF43790"/>
      <c r="EG43790"/>
      <c r="EH43790"/>
      <c r="EI43790"/>
      <c r="EJ43790"/>
      <c r="EK43790"/>
    </row>
    <row r="43791" spans="1:141" s="116" customFormat="1">
      <c r="A43791" s="136"/>
      <c r="CM43791" s="111"/>
      <c r="CQ43791" s="111"/>
      <c r="EF43791"/>
      <c r="EG43791"/>
      <c r="EH43791"/>
      <c r="EI43791"/>
      <c r="EJ43791"/>
      <c r="EK43791"/>
    </row>
    <row r="43792" spans="1:141" s="116" customFormat="1">
      <c r="A43792" s="136"/>
      <c r="CM43792" s="111"/>
      <c r="CQ43792" s="111"/>
      <c r="EF43792"/>
      <c r="EG43792"/>
      <c r="EH43792"/>
      <c r="EI43792"/>
      <c r="EJ43792"/>
      <c r="EK43792"/>
    </row>
    <row r="43793" spans="1:141" s="116" customFormat="1">
      <c r="A43793" s="136"/>
      <c r="CM43793" s="111"/>
      <c r="CQ43793" s="111"/>
      <c r="EF43793"/>
      <c r="EG43793"/>
      <c r="EH43793"/>
      <c r="EI43793"/>
      <c r="EJ43793"/>
      <c r="EK43793"/>
    </row>
    <row r="43794" spans="1:141" s="116" customFormat="1">
      <c r="A43794" s="136"/>
      <c r="CM43794" s="111"/>
      <c r="CQ43794" s="111"/>
      <c r="EF43794"/>
      <c r="EG43794"/>
      <c r="EH43794"/>
      <c r="EI43794"/>
      <c r="EJ43794"/>
      <c r="EK43794"/>
    </row>
    <row r="43795" spans="1:141" s="116" customFormat="1">
      <c r="A43795" s="136"/>
      <c r="CM43795" s="111"/>
      <c r="CQ43795" s="111"/>
      <c r="EF43795"/>
      <c r="EG43795"/>
      <c r="EH43795"/>
      <c r="EI43795"/>
      <c r="EJ43795"/>
      <c r="EK43795"/>
    </row>
    <row r="43796" spans="1:141" s="116" customFormat="1">
      <c r="A43796" s="136"/>
      <c r="CM43796" s="111"/>
      <c r="CQ43796" s="111"/>
      <c r="EF43796"/>
      <c r="EG43796"/>
      <c r="EH43796"/>
      <c r="EI43796"/>
      <c r="EJ43796"/>
      <c r="EK43796"/>
    </row>
    <row r="43797" spans="1:141" s="116" customFormat="1">
      <c r="A43797" s="136"/>
      <c r="CM43797" s="111"/>
      <c r="CQ43797" s="111"/>
      <c r="EF43797"/>
      <c r="EG43797"/>
      <c r="EH43797"/>
      <c r="EI43797"/>
      <c r="EJ43797"/>
      <c r="EK43797"/>
    </row>
    <row r="43798" spans="1:141" s="116" customFormat="1">
      <c r="A43798" s="136"/>
      <c r="CM43798" s="111"/>
      <c r="CQ43798" s="111"/>
      <c r="EF43798"/>
      <c r="EG43798"/>
      <c r="EH43798"/>
      <c r="EI43798"/>
      <c r="EJ43798"/>
      <c r="EK43798"/>
    </row>
    <row r="43799" spans="1:141" s="116" customFormat="1">
      <c r="A43799" s="136"/>
      <c r="CM43799" s="111"/>
      <c r="CQ43799" s="111"/>
      <c r="EF43799"/>
      <c r="EG43799"/>
      <c r="EH43799"/>
      <c r="EI43799"/>
      <c r="EJ43799"/>
      <c r="EK43799"/>
    </row>
    <row r="43800" spans="1:141" s="116" customFormat="1">
      <c r="A43800" s="136"/>
      <c r="CM43800" s="111"/>
      <c r="CQ43800" s="111"/>
      <c r="EF43800"/>
      <c r="EG43800"/>
      <c r="EH43800"/>
      <c r="EI43800"/>
      <c r="EJ43800"/>
      <c r="EK43800"/>
    </row>
    <row r="43801" spans="1:141" s="116" customFormat="1">
      <c r="A43801" s="136"/>
      <c r="CM43801" s="111"/>
      <c r="CQ43801" s="111"/>
      <c r="EF43801"/>
      <c r="EG43801"/>
      <c r="EH43801"/>
      <c r="EI43801"/>
      <c r="EJ43801"/>
      <c r="EK43801"/>
    </row>
    <row r="43802" spans="1:141" s="116" customFormat="1">
      <c r="A43802" s="136"/>
      <c r="CM43802" s="111"/>
      <c r="CQ43802" s="111"/>
      <c r="EF43802"/>
      <c r="EG43802"/>
      <c r="EH43802"/>
      <c r="EI43802"/>
      <c r="EJ43802"/>
      <c r="EK43802"/>
    </row>
    <row r="43803" spans="1:141" s="116" customFormat="1">
      <c r="A43803" s="136"/>
      <c r="CM43803" s="111"/>
      <c r="CQ43803" s="111"/>
      <c r="EF43803"/>
      <c r="EG43803"/>
      <c r="EH43803"/>
      <c r="EI43803"/>
      <c r="EJ43803"/>
      <c r="EK43803"/>
    </row>
    <row r="43804" spans="1:141" s="116" customFormat="1">
      <c r="A43804" s="136"/>
      <c r="CM43804" s="111"/>
      <c r="CQ43804" s="111"/>
      <c r="EF43804"/>
      <c r="EG43804"/>
      <c r="EH43804"/>
      <c r="EI43804"/>
      <c r="EJ43804"/>
      <c r="EK43804"/>
    </row>
    <row r="43805" spans="1:141" s="116" customFormat="1">
      <c r="A43805" s="136"/>
      <c r="CM43805" s="111"/>
      <c r="CQ43805" s="111"/>
      <c r="EF43805"/>
      <c r="EG43805"/>
      <c r="EH43805"/>
      <c r="EI43805"/>
      <c r="EJ43805"/>
      <c r="EK43805"/>
    </row>
    <row r="43806" spans="1:141" s="116" customFormat="1">
      <c r="A43806" s="136"/>
      <c r="CM43806" s="111"/>
      <c r="CQ43806" s="111"/>
      <c r="EF43806"/>
      <c r="EG43806"/>
      <c r="EH43806"/>
      <c r="EI43806"/>
      <c r="EJ43806"/>
      <c r="EK43806"/>
    </row>
    <row r="43807" spans="1:141" s="116" customFormat="1">
      <c r="A43807" s="136"/>
      <c r="CM43807" s="111"/>
      <c r="CQ43807" s="111"/>
      <c r="EF43807"/>
      <c r="EG43807"/>
      <c r="EH43807"/>
      <c r="EI43807"/>
      <c r="EJ43807"/>
      <c r="EK43807"/>
    </row>
    <row r="43808" spans="1:141" s="116" customFormat="1">
      <c r="A43808" s="136"/>
      <c r="CM43808" s="111"/>
      <c r="CQ43808" s="111"/>
      <c r="EF43808"/>
      <c r="EG43808"/>
      <c r="EH43808"/>
      <c r="EI43808"/>
      <c r="EJ43808"/>
      <c r="EK43808"/>
    </row>
    <row r="43809" spans="1:141" s="116" customFormat="1">
      <c r="A43809" s="136"/>
      <c r="CM43809" s="111"/>
      <c r="CQ43809" s="111"/>
      <c r="EF43809"/>
      <c r="EG43809"/>
      <c r="EH43809"/>
      <c r="EI43809"/>
      <c r="EJ43809"/>
      <c r="EK43809"/>
    </row>
    <row r="43810" spans="1:141" s="116" customFormat="1">
      <c r="A43810" s="136"/>
      <c r="CM43810" s="111"/>
      <c r="CQ43810" s="111"/>
      <c r="EF43810"/>
      <c r="EG43810"/>
      <c r="EH43810"/>
      <c r="EI43810"/>
      <c r="EJ43810"/>
      <c r="EK43810"/>
    </row>
    <row r="43811" spans="1:141" s="116" customFormat="1">
      <c r="A43811" s="136"/>
      <c r="CM43811" s="111"/>
      <c r="CQ43811" s="111"/>
      <c r="EF43811"/>
      <c r="EG43811"/>
      <c r="EH43811"/>
      <c r="EI43811"/>
      <c r="EJ43811"/>
      <c r="EK43811"/>
    </row>
    <row r="43812" spans="1:141" s="116" customFormat="1">
      <c r="A43812" s="136"/>
      <c r="CM43812" s="111"/>
      <c r="CQ43812" s="111"/>
      <c r="EF43812"/>
      <c r="EG43812"/>
      <c r="EH43812"/>
      <c r="EI43812"/>
      <c r="EJ43812"/>
      <c r="EK43812"/>
    </row>
    <row r="43813" spans="1:141" s="116" customFormat="1">
      <c r="A43813" s="136"/>
      <c r="CM43813" s="111"/>
      <c r="CQ43813" s="111"/>
      <c r="EF43813"/>
      <c r="EG43813"/>
      <c r="EH43813"/>
      <c r="EI43813"/>
      <c r="EJ43813"/>
      <c r="EK43813"/>
    </row>
    <row r="43814" spans="1:141" s="116" customFormat="1">
      <c r="A43814" s="136"/>
      <c r="CM43814" s="111"/>
      <c r="CQ43814" s="111"/>
      <c r="EF43814"/>
      <c r="EG43814"/>
      <c r="EH43814"/>
      <c r="EI43814"/>
      <c r="EJ43814"/>
      <c r="EK43814"/>
    </row>
    <row r="43815" spans="1:141" s="116" customFormat="1">
      <c r="A43815" s="136"/>
      <c r="CM43815" s="111"/>
      <c r="CQ43815" s="111"/>
      <c r="EF43815"/>
      <c r="EG43815"/>
      <c r="EH43815"/>
      <c r="EI43815"/>
      <c r="EJ43815"/>
      <c r="EK43815"/>
    </row>
    <row r="43816" spans="1:141" s="116" customFormat="1">
      <c r="A43816" s="136"/>
      <c r="CM43816" s="111"/>
      <c r="CQ43816" s="111"/>
      <c r="EF43816"/>
      <c r="EG43816"/>
      <c r="EH43816"/>
      <c r="EI43816"/>
      <c r="EJ43816"/>
      <c r="EK43816"/>
    </row>
    <row r="43817" spans="1:141" s="116" customFormat="1">
      <c r="A43817" s="136"/>
      <c r="CM43817" s="111"/>
      <c r="CQ43817" s="111"/>
      <c r="EF43817"/>
      <c r="EG43817"/>
      <c r="EH43817"/>
      <c r="EI43817"/>
      <c r="EJ43817"/>
      <c r="EK43817"/>
    </row>
    <row r="43818" spans="1:141" s="116" customFormat="1">
      <c r="A43818" s="136"/>
      <c r="CM43818" s="111"/>
      <c r="CQ43818" s="111"/>
      <c r="EF43818"/>
      <c r="EG43818"/>
      <c r="EH43818"/>
      <c r="EI43818"/>
      <c r="EJ43818"/>
      <c r="EK43818"/>
    </row>
    <row r="43819" spans="1:141" s="116" customFormat="1">
      <c r="A43819" s="136"/>
      <c r="CM43819" s="111"/>
      <c r="CQ43819" s="111"/>
      <c r="EF43819"/>
      <c r="EG43819"/>
      <c r="EH43819"/>
      <c r="EI43819"/>
      <c r="EJ43819"/>
      <c r="EK43819"/>
    </row>
    <row r="43820" spans="1:141" s="116" customFormat="1">
      <c r="A43820" s="136"/>
      <c r="CM43820" s="111"/>
      <c r="CQ43820" s="111"/>
      <c r="EF43820"/>
      <c r="EG43820"/>
      <c r="EH43820"/>
      <c r="EI43820"/>
      <c r="EJ43820"/>
      <c r="EK43820"/>
    </row>
    <row r="43821" spans="1:141" s="116" customFormat="1">
      <c r="A43821" s="136"/>
      <c r="CM43821" s="111"/>
      <c r="CQ43821" s="111"/>
      <c r="EF43821"/>
      <c r="EG43821"/>
      <c r="EH43821"/>
      <c r="EI43821"/>
      <c r="EJ43821"/>
      <c r="EK43821"/>
    </row>
    <row r="43822" spans="1:141" s="116" customFormat="1">
      <c r="A43822" s="136"/>
      <c r="CM43822" s="111"/>
      <c r="CQ43822" s="111"/>
      <c r="EF43822"/>
      <c r="EG43822"/>
      <c r="EH43822"/>
      <c r="EI43822"/>
      <c r="EJ43822"/>
      <c r="EK43822"/>
    </row>
    <row r="43823" spans="1:141" s="116" customFormat="1">
      <c r="A43823" s="136"/>
      <c r="CM43823" s="111"/>
      <c r="CQ43823" s="111"/>
      <c r="EF43823"/>
      <c r="EG43823"/>
      <c r="EH43823"/>
      <c r="EI43823"/>
      <c r="EJ43823"/>
      <c r="EK43823"/>
    </row>
    <row r="43824" spans="1:141" s="116" customFormat="1">
      <c r="A43824" s="136"/>
      <c r="CM43824" s="111"/>
      <c r="CQ43824" s="111"/>
      <c r="EF43824"/>
      <c r="EG43824"/>
      <c r="EH43824"/>
      <c r="EI43824"/>
      <c r="EJ43824"/>
      <c r="EK43824"/>
    </row>
    <row r="43825" spans="1:141" s="116" customFormat="1">
      <c r="A43825" s="136"/>
      <c r="CM43825" s="111"/>
      <c r="CQ43825" s="111"/>
      <c r="EF43825"/>
      <c r="EG43825"/>
      <c r="EH43825"/>
      <c r="EI43825"/>
      <c r="EJ43825"/>
      <c r="EK43825"/>
    </row>
    <row r="43826" spans="1:141" s="116" customFormat="1">
      <c r="A43826" s="136"/>
      <c r="CM43826" s="111"/>
      <c r="CQ43826" s="111"/>
      <c r="EF43826"/>
      <c r="EG43826"/>
      <c r="EH43826"/>
      <c r="EI43826"/>
      <c r="EJ43826"/>
      <c r="EK43826"/>
    </row>
    <row r="43827" spans="1:141" s="116" customFormat="1">
      <c r="A43827" s="136"/>
      <c r="CM43827" s="111"/>
      <c r="CQ43827" s="111"/>
      <c r="EF43827"/>
      <c r="EG43827"/>
      <c r="EH43827"/>
      <c r="EI43827"/>
      <c r="EJ43827"/>
      <c r="EK43827"/>
    </row>
    <row r="43828" spans="1:141" s="116" customFormat="1">
      <c r="A43828" s="136"/>
      <c r="CM43828" s="111"/>
      <c r="CQ43828" s="111"/>
      <c r="EF43828"/>
      <c r="EG43828"/>
      <c r="EH43828"/>
      <c r="EI43828"/>
      <c r="EJ43828"/>
      <c r="EK43828"/>
    </row>
    <row r="43829" spans="1:141" s="116" customFormat="1">
      <c r="A43829" s="136"/>
      <c r="CM43829" s="111"/>
      <c r="CQ43829" s="111"/>
      <c r="EF43829"/>
      <c r="EG43829"/>
      <c r="EH43829"/>
      <c r="EI43829"/>
      <c r="EJ43829"/>
      <c r="EK43829"/>
    </row>
    <row r="43830" spans="1:141" s="116" customFormat="1">
      <c r="A43830" s="136"/>
      <c r="CM43830" s="111"/>
      <c r="CQ43830" s="111"/>
      <c r="EF43830"/>
      <c r="EG43830"/>
      <c r="EH43830"/>
      <c r="EI43830"/>
      <c r="EJ43830"/>
      <c r="EK43830"/>
    </row>
    <row r="43831" spans="1:141" s="116" customFormat="1">
      <c r="A43831" s="136"/>
      <c r="CM43831" s="111"/>
      <c r="CQ43831" s="111"/>
      <c r="EF43831"/>
      <c r="EG43831"/>
      <c r="EH43831"/>
      <c r="EI43831"/>
      <c r="EJ43831"/>
      <c r="EK43831"/>
    </row>
    <row r="43832" spans="1:141" s="116" customFormat="1">
      <c r="A43832" s="136"/>
      <c r="CM43832" s="111"/>
      <c r="CQ43832" s="111"/>
      <c r="EF43832"/>
      <c r="EG43832"/>
      <c r="EH43832"/>
      <c r="EI43832"/>
      <c r="EJ43832"/>
      <c r="EK43832"/>
    </row>
    <row r="43833" spans="1:141" s="116" customFormat="1">
      <c r="A43833" s="136"/>
      <c r="CM43833" s="111"/>
      <c r="CQ43833" s="111"/>
      <c r="EF43833"/>
      <c r="EG43833"/>
      <c r="EH43833"/>
      <c r="EI43833"/>
      <c r="EJ43833"/>
      <c r="EK43833"/>
    </row>
    <row r="43834" spans="1:141" s="116" customFormat="1">
      <c r="A43834" s="136"/>
      <c r="CM43834" s="111"/>
      <c r="CQ43834" s="111"/>
      <c r="EF43834"/>
      <c r="EG43834"/>
      <c r="EH43834"/>
      <c r="EI43834"/>
      <c r="EJ43834"/>
      <c r="EK43834"/>
    </row>
    <row r="43835" spans="1:141" s="116" customFormat="1">
      <c r="A43835" s="136"/>
      <c r="CM43835" s="111"/>
      <c r="CQ43835" s="111"/>
      <c r="EF43835"/>
      <c r="EG43835"/>
      <c r="EH43835"/>
      <c r="EI43835"/>
      <c r="EJ43835"/>
      <c r="EK43835"/>
    </row>
    <row r="43836" spans="1:141" s="116" customFormat="1">
      <c r="A43836" s="136"/>
      <c r="CM43836" s="111"/>
      <c r="CQ43836" s="111"/>
      <c r="EF43836"/>
      <c r="EG43836"/>
      <c r="EH43836"/>
      <c r="EI43836"/>
      <c r="EJ43836"/>
      <c r="EK43836"/>
    </row>
    <row r="43837" spans="1:141" s="116" customFormat="1">
      <c r="A43837" s="136"/>
      <c r="CM43837" s="111"/>
      <c r="CQ43837" s="111"/>
      <c r="EF43837"/>
      <c r="EG43837"/>
      <c r="EH43837"/>
      <c r="EI43837"/>
      <c r="EJ43837"/>
      <c r="EK43837"/>
    </row>
    <row r="43838" spans="1:141" s="116" customFormat="1">
      <c r="A43838" s="136"/>
      <c r="CM43838" s="111"/>
      <c r="CQ43838" s="111"/>
      <c r="EF43838"/>
      <c r="EG43838"/>
      <c r="EH43838"/>
      <c r="EI43838"/>
      <c r="EJ43838"/>
      <c r="EK43838"/>
    </row>
    <row r="43839" spans="1:141" s="116" customFormat="1">
      <c r="A43839" s="136"/>
      <c r="CM43839" s="111"/>
      <c r="CQ43839" s="111"/>
      <c r="EF43839"/>
      <c r="EG43839"/>
      <c r="EH43839"/>
      <c r="EI43839"/>
      <c r="EJ43839"/>
      <c r="EK43839"/>
    </row>
    <row r="43840" spans="1:141" s="116" customFormat="1">
      <c r="A43840" s="136"/>
      <c r="CM43840" s="111"/>
      <c r="CQ43840" s="111"/>
      <c r="EF43840"/>
      <c r="EG43840"/>
      <c r="EH43840"/>
      <c r="EI43840"/>
      <c r="EJ43840"/>
      <c r="EK43840"/>
    </row>
    <row r="43841" spans="1:141" s="116" customFormat="1">
      <c r="A43841" s="136"/>
      <c r="CM43841" s="111"/>
      <c r="CQ43841" s="111"/>
      <c r="EF43841"/>
      <c r="EG43841"/>
      <c r="EH43841"/>
      <c r="EI43841"/>
      <c r="EJ43841"/>
      <c r="EK43841"/>
    </row>
    <row r="43842" spans="1:141" s="116" customFormat="1">
      <c r="A43842" s="136"/>
      <c r="CM43842" s="111"/>
      <c r="CQ43842" s="111"/>
      <c r="EF43842"/>
      <c r="EG43842"/>
      <c r="EH43842"/>
      <c r="EI43842"/>
      <c r="EJ43842"/>
      <c r="EK43842"/>
    </row>
    <row r="43843" spans="1:141" s="116" customFormat="1">
      <c r="A43843" s="136"/>
      <c r="CM43843" s="111"/>
      <c r="CQ43843" s="111"/>
      <c r="EF43843"/>
      <c r="EG43843"/>
      <c r="EH43843"/>
      <c r="EI43843"/>
      <c r="EJ43843"/>
      <c r="EK43843"/>
    </row>
    <row r="43844" spans="1:141" s="116" customFormat="1">
      <c r="A43844" s="136"/>
      <c r="CM43844" s="111"/>
      <c r="CQ43844" s="111"/>
      <c r="EF43844"/>
      <c r="EG43844"/>
      <c r="EH43844"/>
      <c r="EI43844"/>
      <c r="EJ43844"/>
      <c r="EK43844"/>
    </row>
    <row r="43845" spans="1:141" s="116" customFormat="1">
      <c r="A43845" s="136"/>
      <c r="CM43845" s="111"/>
      <c r="CQ43845" s="111"/>
      <c r="EF43845"/>
      <c r="EG43845"/>
      <c r="EH43845"/>
      <c r="EI43845"/>
      <c r="EJ43845"/>
      <c r="EK43845"/>
    </row>
    <row r="43846" spans="1:141" s="116" customFormat="1">
      <c r="A43846" s="136"/>
      <c r="CM43846" s="111"/>
      <c r="CQ43846" s="111"/>
      <c r="EF43846"/>
      <c r="EG43846"/>
      <c r="EH43846"/>
      <c r="EI43846"/>
      <c r="EJ43846"/>
      <c r="EK43846"/>
    </row>
    <row r="43847" spans="1:141" s="116" customFormat="1">
      <c r="A43847" s="136"/>
      <c r="CM43847" s="111"/>
      <c r="CQ43847" s="111"/>
      <c r="EF43847"/>
      <c r="EG43847"/>
      <c r="EH43847"/>
      <c r="EI43847"/>
      <c r="EJ43847"/>
      <c r="EK43847"/>
    </row>
    <row r="43848" spans="1:141" s="116" customFormat="1">
      <c r="A43848" s="136"/>
      <c r="CM43848" s="111"/>
      <c r="CQ43848" s="111"/>
      <c r="EF43848"/>
      <c r="EG43848"/>
      <c r="EH43848"/>
      <c r="EI43848"/>
      <c r="EJ43848"/>
      <c r="EK43848"/>
    </row>
    <row r="43849" spans="1:141" s="116" customFormat="1">
      <c r="A43849" s="136"/>
      <c r="CM43849" s="111"/>
      <c r="CQ43849" s="111"/>
      <c r="EF43849"/>
      <c r="EG43849"/>
      <c r="EH43849"/>
      <c r="EI43849"/>
      <c r="EJ43849"/>
      <c r="EK43849"/>
    </row>
    <row r="43850" spans="1:141" s="116" customFormat="1">
      <c r="A43850" s="136"/>
      <c r="CM43850" s="111"/>
      <c r="CQ43850" s="111"/>
      <c r="EF43850"/>
      <c r="EG43850"/>
      <c r="EH43850"/>
      <c r="EI43850"/>
      <c r="EJ43850"/>
      <c r="EK43850"/>
    </row>
    <row r="43851" spans="1:141" s="116" customFormat="1">
      <c r="A43851" s="136"/>
      <c r="CM43851" s="111"/>
      <c r="CQ43851" s="111"/>
      <c r="EF43851"/>
      <c r="EG43851"/>
      <c r="EH43851"/>
      <c r="EI43851"/>
      <c r="EJ43851"/>
      <c r="EK43851"/>
    </row>
    <row r="43852" spans="1:141" s="116" customFormat="1">
      <c r="A43852" s="136"/>
      <c r="CM43852" s="111"/>
      <c r="CQ43852" s="111"/>
      <c r="EF43852"/>
      <c r="EG43852"/>
      <c r="EH43852"/>
      <c r="EI43852"/>
      <c r="EJ43852"/>
      <c r="EK43852"/>
    </row>
    <row r="43853" spans="1:141" s="116" customFormat="1">
      <c r="A43853" s="136"/>
      <c r="CM43853" s="111"/>
      <c r="CQ43853" s="111"/>
      <c r="EF43853"/>
      <c r="EG43853"/>
      <c r="EH43853"/>
      <c r="EI43853"/>
      <c r="EJ43853"/>
      <c r="EK43853"/>
    </row>
    <row r="43854" spans="1:141" s="116" customFormat="1">
      <c r="A43854" s="136"/>
      <c r="CM43854" s="111"/>
      <c r="CQ43854" s="111"/>
      <c r="EF43854"/>
      <c r="EG43854"/>
      <c r="EH43854"/>
      <c r="EI43854"/>
      <c r="EJ43854"/>
      <c r="EK43854"/>
    </row>
    <row r="43855" spans="1:141" s="116" customFormat="1">
      <c r="A43855" s="136"/>
      <c r="CM43855" s="111"/>
      <c r="CQ43855" s="111"/>
      <c r="EF43855"/>
      <c r="EG43855"/>
      <c r="EH43855"/>
      <c r="EI43855"/>
      <c r="EJ43855"/>
      <c r="EK43855"/>
    </row>
    <row r="43856" spans="1:141" s="116" customFormat="1">
      <c r="A43856" s="136"/>
      <c r="CM43856" s="111"/>
      <c r="CQ43856" s="111"/>
      <c r="EF43856"/>
      <c r="EG43856"/>
      <c r="EH43856"/>
      <c r="EI43856"/>
      <c r="EJ43856"/>
      <c r="EK43856"/>
    </row>
    <row r="43857" spans="1:141" s="116" customFormat="1">
      <c r="A43857" s="136"/>
      <c r="CM43857" s="111"/>
      <c r="CQ43857" s="111"/>
      <c r="EF43857"/>
      <c r="EG43857"/>
      <c r="EH43857"/>
      <c r="EI43857"/>
      <c r="EJ43857"/>
      <c r="EK43857"/>
    </row>
    <row r="43858" spans="1:141" s="116" customFormat="1">
      <c r="A43858" s="136"/>
      <c r="CM43858" s="111"/>
      <c r="CQ43858" s="111"/>
      <c r="EF43858"/>
      <c r="EG43858"/>
      <c r="EH43858"/>
      <c r="EI43858"/>
      <c r="EJ43858"/>
      <c r="EK43858"/>
    </row>
    <row r="43859" spans="1:141" s="116" customFormat="1">
      <c r="A43859" s="136"/>
      <c r="CM43859" s="111"/>
      <c r="CQ43859" s="111"/>
      <c r="EF43859"/>
      <c r="EG43859"/>
      <c r="EH43859"/>
      <c r="EI43859"/>
      <c r="EJ43859"/>
      <c r="EK43859"/>
    </row>
    <row r="43860" spans="1:141" s="116" customFormat="1">
      <c r="A43860" s="136"/>
      <c r="CM43860" s="111"/>
      <c r="CQ43860" s="111"/>
      <c r="EF43860"/>
      <c r="EG43860"/>
      <c r="EH43860"/>
      <c r="EI43860"/>
      <c r="EJ43860"/>
      <c r="EK43860"/>
    </row>
    <row r="43861" spans="1:141" s="116" customFormat="1">
      <c r="A43861" s="136"/>
      <c r="CM43861" s="111"/>
      <c r="CQ43861" s="111"/>
      <c r="EF43861"/>
      <c r="EG43861"/>
      <c r="EH43861"/>
      <c r="EI43861"/>
      <c r="EJ43861"/>
      <c r="EK43861"/>
    </row>
    <row r="43862" spans="1:141" s="116" customFormat="1">
      <c r="A43862" s="136"/>
      <c r="CM43862" s="111"/>
      <c r="CQ43862" s="111"/>
      <c r="EF43862"/>
      <c r="EG43862"/>
      <c r="EH43862"/>
      <c r="EI43862"/>
      <c r="EJ43862"/>
      <c r="EK43862"/>
    </row>
    <row r="43863" spans="1:141" s="116" customFormat="1">
      <c r="A43863" s="136"/>
      <c r="CM43863" s="111"/>
      <c r="CQ43863" s="111"/>
      <c r="EF43863"/>
      <c r="EG43863"/>
      <c r="EH43863"/>
      <c r="EI43863"/>
      <c r="EJ43863"/>
      <c r="EK43863"/>
    </row>
    <row r="43864" spans="1:141" s="116" customFormat="1">
      <c r="A43864" s="136"/>
      <c r="CM43864" s="111"/>
      <c r="CQ43864" s="111"/>
      <c r="EF43864"/>
      <c r="EG43864"/>
      <c r="EH43864"/>
      <c r="EI43864"/>
      <c r="EJ43864"/>
      <c r="EK43864"/>
    </row>
    <row r="43865" spans="1:141" s="116" customFormat="1">
      <c r="A43865" s="136"/>
      <c r="CM43865" s="111"/>
      <c r="CQ43865" s="111"/>
      <c r="EF43865"/>
      <c r="EG43865"/>
      <c r="EH43865"/>
      <c r="EI43865"/>
      <c r="EJ43865"/>
      <c r="EK43865"/>
    </row>
    <row r="43866" spans="1:141" s="116" customFormat="1">
      <c r="A43866" s="136"/>
      <c r="CM43866" s="111"/>
      <c r="CQ43866" s="111"/>
      <c r="EF43866"/>
      <c r="EG43866"/>
      <c r="EH43866"/>
      <c r="EI43866"/>
      <c r="EJ43866"/>
      <c r="EK43866"/>
    </row>
    <row r="43867" spans="1:141" s="116" customFormat="1">
      <c r="A43867" s="136"/>
      <c r="CM43867" s="111"/>
      <c r="CQ43867" s="111"/>
      <c r="EF43867"/>
      <c r="EG43867"/>
      <c r="EH43867"/>
      <c r="EI43867"/>
      <c r="EJ43867"/>
      <c r="EK43867"/>
    </row>
    <row r="43868" spans="1:141" s="116" customFormat="1">
      <c r="A43868" s="136"/>
      <c r="CM43868" s="111"/>
      <c r="CQ43868" s="111"/>
      <c r="EF43868"/>
      <c r="EG43868"/>
      <c r="EH43868"/>
      <c r="EI43868"/>
      <c r="EJ43868"/>
      <c r="EK43868"/>
    </row>
    <row r="43869" spans="1:141" s="116" customFormat="1">
      <c r="A43869" s="136"/>
      <c r="CM43869" s="111"/>
      <c r="CQ43869" s="111"/>
      <c r="EF43869"/>
      <c r="EG43869"/>
      <c r="EH43869"/>
      <c r="EI43869"/>
      <c r="EJ43869"/>
      <c r="EK43869"/>
    </row>
    <row r="43870" spans="1:141" s="116" customFormat="1">
      <c r="A43870" s="136"/>
      <c r="CM43870" s="111"/>
      <c r="CQ43870" s="111"/>
      <c r="EF43870"/>
      <c r="EG43870"/>
      <c r="EH43870"/>
      <c r="EI43870"/>
      <c r="EJ43870"/>
      <c r="EK43870"/>
    </row>
    <row r="43871" spans="1:141" s="116" customFormat="1">
      <c r="A43871" s="136"/>
      <c r="CM43871" s="111"/>
      <c r="CQ43871" s="111"/>
      <c r="EF43871"/>
      <c r="EG43871"/>
      <c r="EH43871"/>
      <c r="EI43871"/>
      <c r="EJ43871"/>
      <c r="EK43871"/>
    </row>
    <row r="43872" spans="1:141" s="116" customFormat="1">
      <c r="A43872" s="136"/>
      <c r="CM43872" s="111"/>
      <c r="CQ43872" s="111"/>
      <c r="EF43872"/>
      <c r="EG43872"/>
      <c r="EH43872"/>
      <c r="EI43872"/>
      <c r="EJ43872"/>
      <c r="EK43872"/>
    </row>
    <row r="43873" spans="1:141" s="116" customFormat="1">
      <c r="A43873" s="136"/>
      <c r="CM43873" s="111"/>
      <c r="CQ43873" s="111"/>
      <c r="EF43873"/>
      <c r="EG43873"/>
      <c r="EH43873"/>
      <c r="EI43873"/>
      <c r="EJ43873"/>
      <c r="EK43873"/>
    </row>
    <row r="43874" spans="1:141" s="116" customFormat="1">
      <c r="A43874" s="136"/>
      <c r="CM43874" s="111"/>
      <c r="CQ43874" s="111"/>
      <c r="EF43874"/>
      <c r="EG43874"/>
      <c r="EH43874"/>
      <c r="EI43874"/>
      <c r="EJ43874"/>
      <c r="EK43874"/>
    </row>
    <row r="43875" spans="1:141" s="116" customFormat="1">
      <c r="A43875" s="136"/>
      <c r="CM43875" s="111"/>
      <c r="CQ43875" s="111"/>
      <c r="EF43875"/>
      <c r="EG43875"/>
      <c r="EH43875"/>
      <c r="EI43875"/>
      <c r="EJ43875"/>
      <c r="EK43875"/>
    </row>
    <row r="43876" spans="1:141" s="116" customFormat="1">
      <c r="A43876" s="136"/>
      <c r="CM43876" s="111"/>
      <c r="CQ43876" s="111"/>
      <c r="EF43876"/>
      <c r="EG43876"/>
      <c r="EH43876"/>
      <c r="EI43876"/>
      <c r="EJ43876"/>
      <c r="EK43876"/>
    </row>
    <row r="43877" spans="1:141" s="116" customFormat="1">
      <c r="A43877" s="136"/>
      <c r="CM43877" s="111"/>
      <c r="CQ43877" s="111"/>
      <c r="EF43877"/>
      <c r="EG43877"/>
      <c r="EH43877"/>
      <c r="EI43877"/>
      <c r="EJ43877"/>
      <c r="EK43877"/>
    </row>
    <row r="43878" spans="1:141" s="116" customFormat="1">
      <c r="A43878" s="136"/>
      <c r="CM43878" s="111"/>
      <c r="CQ43878" s="111"/>
      <c r="EF43878"/>
      <c r="EG43878"/>
      <c r="EH43878"/>
      <c r="EI43878"/>
      <c r="EJ43878"/>
      <c r="EK43878"/>
    </row>
    <row r="43879" spans="1:141" s="116" customFormat="1">
      <c r="A43879" s="136"/>
      <c r="CM43879" s="111"/>
      <c r="CQ43879" s="111"/>
      <c r="EF43879"/>
      <c r="EG43879"/>
      <c r="EH43879"/>
      <c r="EI43879"/>
      <c r="EJ43879"/>
      <c r="EK43879"/>
    </row>
    <row r="43880" spans="1:141" s="116" customFormat="1">
      <c r="A43880" s="136"/>
      <c r="CM43880" s="111"/>
      <c r="CQ43880" s="111"/>
      <c r="EF43880"/>
      <c r="EG43880"/>
      <c r="EH43880"/>
      <c r="EI43880"/>
      <c r="EJ43880"/>
      <c r="EK43880"/>
    </row>
    <row r="43881" spans="1:141" s="116" customFormat="1">
      <c r="A43881" s="136"/>
      <c r="CM43881" s="111"/>
      <c r="CQ43881" s="111"/>
      <c r="EF43881"/>
      <c r="EG43881"/>
      <c r="EH43881"/>
      <c r="EI43881"/>
      <c r="EJ43881"/>
      <c r="EK43881"/>
    </row>
    <row r="43882" spans="1:141" s="116" customFormat="1">
      <c r="A43882" s="136"/>
      <c r="CM43882" s="111"/>
      <c r="CQ43882" s="111"/>
      <c r="EF43882"/>
      <c r="EG43882"/>
      <c r="EH43882"/>
      <c r="EI43882"/>
      <c r="EJ43882"/>
      <c r="EK43882"/>
    </row>
    <row r="43883" spans="1:141" s="116" customFormat="1">
      <c r="A43883" s="136"/>
      <c r="CM43883" s="111"/>
      <c r="CQ43883" s="111"/>
      <c r="EF43883"/>
      <c r="EG43883"/>
      <c r="EH43883"/>
      <c r="EI43883"/>
      <c r="EJ43883"/>
      <c r="EK43883"/>
    </row>
    <row r="43884" spans="1:141" s="116" customFormat="1">
      <c r="A43884" s="136"/>
      <c r="CM43884" s="111"/>
      <c r="CQ43884" s="111"/>
      <c r="EF43884"/>
      <c r="EG43884"/>
      <c r="EH43884"/>
      <c r="EI43884"/>
      <c r="EJ43884"/>
      <c r="EK43884"/>
    </row>
    <row r="43885" spans="1:141" s="116" customFormat="1">
      <c r="A43885" s="136"/>
      <c r="CM43885" s="111"/>
      <c r="CQ43885" s="111"/>
      <c r="EF43885"/>
      <c r="EG43885"/>
      <c r="EH43885"/>
      <c r="EI43885"/>
      <c r="EJ43885"/>
      <c r="EK43885"/>
    </row>
    <row r="43886" spans="1:141" s="116" customFormat="1">
      <c r="A43886" s="136"/>
      <c r="CM43886" s="111"/>
      <c r="CQ43886" s="111"/>
      <c r="EF43886"/>
      <c r="EG43886"/>
      <c r="EH43886"/>
      <c r="EI43886"/>
      <c r="EJ43886"/>
      <c r="EK43886"/>
    </row>
    <row r="43887" spans="1:141" s="116" customFormat="1">
      <c r="A43887" s="136"/>
      <c r="CM43887" s="111"/>
      <c r="CQ43887" s="111"/>
      <c r="EF43887"/>
      <c r="EG43887"/>
      <c r="EH43887"/>
      <c r="EI43887"/>
      <c r="EJ43887"/>
      <c r="EK43887"/>
    </row>
    <row r="43888" spans="1:141" s="116" customFormat="1">
      <c r="A43888" s="136"/>
      <c r="CM43888" s="111"/>
      <c r="CQ43888" s="111"/>
      <c r="EF43888"/>
      <c r="EG43888"/>
      <c r="EH43888"/>
      <c r="EI43888"/>
      <c r="EJ43888"/>
      <c r="EK43888"/>
    </row>
    <row r="43889" spans="1:141" s="116" customFormat="1">
      <c r="A43889" s="136"/>
      <c r="CM43889" s="111"/>
      <c r="CQ43889" s="111"/>
      <c r="EF43889"/>
      <c r="EG43889"/>
      <c r="EH43889"/>
      <c r="EI43889"/>
      <c r="EJ43889"/>
      <c r="EK43889"/>
    </row>
    <row r="43890" spans="1:141" s="116" customFormat="1">
      <c r="A43890" s="136"/>
      <c r="CM43890" s="111"/>
      <c r="CQ43890" s="111"/>
      <c r="EF43890"/>
      <c r="EG43890"/>
      <c r="EH43890"/>
      <c r="EI43890"/>
      <c r="EJ43890"/>
      <c r="EK43890"/>
    </row>
    <row r="43891" spans="1:141" s="116" customFormat="1">
      <c r="A43891" s="136"/>
      <c r="CM43891" s="111"/>
      <c r="CQ43891" s="111"/>
      <c r="EF43891"/>
      <c r="EG43891"/>
      <c r="EH43891"/>
      <c r="EI43891"/>
      <c r="EJ43891"/>
      <c r="EK43891"/>
    </row>
    <row r="43892" spans="1:141" s="116" customFormat="1">
      <c r="A43892" s="136"/>
      <c r="CM43892" s="111"/>
      <c r="CQ43892" s="111"/>
      <c r="EF43892"/>
      <c r="EG43892"/>
      <c r="EH43892"/>
      <c r="EI43892"/>
      <c r="EJ43892"/>
      <c r="EK43892"/>
    </row>
    <row r="43893" spans="1:141" s="116" customFormat="1">
      <c r="A43893" s="136"/>
      <c r="CM43893" s="111"/>
      <c r="CQ43893" s="111"/>
      <c r="EF43893"/>
      <c r="EG43893"/>
      <c r="EH43893"/>
      <c r="EI43893"/>
      <c r="EJ43893"/>
      <c r="EK43893"/>
    </row>
    <row r="43894" spans="1:141" s="116" customFormat="1">
      <c r="A43894" s="136"/>
      <c r="CM43894" s="111"/>
      <c r="CQ43894" s="111"/>
      <c r="EF43894"/>
      <c r="EG43894"/>
      <c r="EH43894"/>
      <c r="EI43894"/>
      <c r="EJ43894"/>
      <c r="EK43894"/>
    </row>
    <row r="43895" spans="1:141" s="116" customFormat="1">
      <c r="A43895" s="136"/>
      <c r="CM43895" s="111"/>
      <c r="CQ43895" s="111"/>
      <c r="EF43895"/>
      <c r="EG43895"/>
      <c r="EH43895"/>
      <c r="EI43895"/>
      <c r="EJ43895"/>
      <c r="EK43895"/>
    </row>
    <row r="43896" spans="1:141" s="116" customFormat="1">
      <c r="A43896" s="136"/>
      <c r="CM43896" s="111"/>
      <c r="CQ43896" s="111"/>
      <c r="EF43896"/>
      <c r="EG43896"/>
      <c r="EH43896"/>
      <c r="EI43896"/>
      <c r="EJ43896"/>
      <c r="EK43896"/>
    </row>
    <row r="43897" spans="1:141" s="116" customFormat="1">
      <c r="A43897" s="136"/>
      <c r="CM43897" s="111"/>
      <c r="CQ43897" s="111"/>
      <c r="EF43897"/>
      <c r="EG43897"/>
      <c r="EH43897"/>
      <c r="EI43897"/>
      <c r="EJ43897"/>
      <c r="EK43897"/>
    </row>
    <row r="43898" spans="1:141" s="116" customFormat="1">
      <c r="A43898" s="136"/>
      <c r="CM43898" s="111"/>
      <c r="CQ43898" s="111"/>
      <c r="EF43898"/>
      <c r="EG43898"/>
      <c r="EH43898"/>
      <c r="EI43898"/>
      <c r="EJ43898"/>
      <c r="EK43898"/>
    </row>
    <row r="43899" spans="1:141" s="116" customFormat="1">
      <c r="A43899" s="136"/>
      <c r="CM43899" s="111"/>
      <c r="CQ43899" s="111"/>
      <c r="EF43899"/>
      <c r="EG43899"/>
      <c r="EH43899"/>
      <c r="EI43899"/>
      <c r="EJ43899"/>
      <c r="EK43899"/>
    </row>
    <row r="43900" spans="1:141" s="116" customFormat="1">
      <c r="A43900" s="136"/>
      <c r="CM43900" s="111"/>
      <c r="CQ43900" s="111"/>
      <c r="EF43900"/>
      <c r="EG43900"/>
      <c r="EH43900"/>
      <c r="EI43900"/>
      <c r="EJ43900"/>
      <c r="EK43900"/>
    </row>
    <row r="43901" spans="1:141" s="116" customFormat="1">
      <c r="A43901" s="136"/>
      <c r="CM43901" s="111"/>
      <c r="CQ43901" s="111"/>
      <c r="EF43901"/>
      <c r="EG43901"/>
      <c r="EH43901"/>
      <c r="EI43901"/>
      <c r="EJ43901"/>
      <c r="EK43901"/>
    </row>
    <row r="43902" spans="1:141" s="116" customFormat="1">
      <c r="A43902" s="136"/>
      <c r="CM43902" s="111"/>
      <c r="CQ43902" s="111"/>
      <c r="EF43902"/>
      <c r="EG43902"/>
      <c r="EH43902"/>
      <c r="EI43902"/>
      <c r="EJ43902"/>
      <c r="EK43902"/>
    </row>
    <row r="43903" spans="1:141" s="116" customFormat="1">
      <c r="A43903" s="136"/>
      <c r="CM43903" s="111"/>
      <c r="CQ43903" s="111"/>
      <c r="EF43903"/>
      <c r="EG43903"/>
      <c r="EH43903"/>
      <c r="EI43903"/>
      <c r="EJ43903"/>
      <c r="EK43903"/>
    </row>
    <row r="43904" spans="1:141" s="116" customFormat="1">
      <c r="A43904" s="136"/>
      <c r="CM43904" s="111"/>
      <c r="CQ43904" s="111"/>
      <c r="EF43904"/>
      <c r="EG43904"/>
      <c r="EH43904"/>
      <c r="EI43904"/>
      <c r="EJ43904"/>
      <c r="EK43904"/>
    </row>
    <row r="43905" spans="1:141" s="116" customFormat="1">
      <c r="A43905" s="136"/>
      <c r="CM43905" s="111"/>
      <c r="CQ43905" s="111"/>
      <c r="EF43905"/>
      <c r="EG43905"/>
      <c r="EH43905"/>
      <c r="EI43905"/>
      <c r="EJ43905"/>
      <c r="EK43905"/>
    </row>
    <row r="43906" spans="1:141" s="116" customFormat="1">
      <c r="A43906" s="136"/>
      <c r="CM43906" s="111"/>
      <c r="CQ43906" s="111"/>
      <c r="EF43906"/>
      <c r="EG43906"/>
      <c r="EH43906"/>
      <c r="EI43906"/>
      <c r="EJ43906"/>
      <c r="EK43906"/>
    </row>
    <row r="43907" spans="1:141" s="116" customFormat="1">
      <c r="A43907" s="136"/>
      <c r="CM43907" s="111"/>
      <c r="CQ43907" s="111"/>
      <c r="EF43907"/>
      <c r="EG43907"/>
      <c r="EH43907"/>
      <c r="EI43907"/>
      <c r="EJ43907"/>
      <c r="EK43907"/>
    </row>
    <row r="43908" spans="1:141" s="116" customFormat="1">
      <c r="A43908" s="136"/>
      <c r="CM43908" s="111"/>
      <c r="CQ43908" s="111"/>
      <c r="EF43908"/>
      <c r="EG43908"/>
      <c r="EH43908"/>
      <c r="EI43908"/>
      <c r="EJ43908"/>
      <c r="EK43908"/>
    </row>
    <row r="43909" spans="1:141" s="116" customFormat="1">
      <c r="A43909" s="136"/>
      <c r="CM43909" s="111"/>
      <c r="CQ43909" s="111"/>
      <c r="EF43909"/>
      <c r="EG43909"/>
      <c r="EH43909"/>
      <c r="EI43909"/>
      <c r="EJ43909"/>
      <c r="EK43909"/>
    </row>
    <row r="43910" spans="1:141" s="116" customFormat="1">
      <c r="A43910" s="136"/>
      <c r="CM43910" s="111"/>
      <c r="CQ43910" s="111"/>
      <c r="EF43910"/>
      <c r="EG43910"/>
      <c r="EH43910"/>
      <c r="EI43910"/>
      <c r="EJ43910"/>
      <c r="EK43910"/>
    </row>
    <row r="43911" spans="1:141" s="116" customFormat="1">
      <c r="A43911" s="136"/>
      <c r="CM43911" s="111"/>
      <c r="CQ43911" s="111"/>
      <c r="EF43911"/>
      <c r="EG43911"/>
      <c r="EH43911"/>
      <c r="EI43911"/>
      <c r="EJ43911"/>
      <c r="EK43911"/>
    </row>
    <row r="43912" spans="1:141" s="116" customFormat="1">
      <c r="A43912" s="136"/>
      <c r="CM43912" s="111"/>
      <c r="CQ43912" s="111"/>
      <c r="EF43912"/>
      <c r="EG43912"/>
      <c r="EH43912"/>
      <c r="EI43912"/>
      <c r="EJ43912"/>
      <c r="EK43912"/>
    </row>
    <row r="43913" spans="1:141" s="116" customFormat="1">
      <c r="A43913" s="136"/>
      <c r="CM43913" s="111"/>
      <c r="CQ43913" s="111"/>
      <c r="EF43913"/>
      <c r="EG43913"/>
      <c r="EH43913"/>
      <c r="EI43913"/>
      <c r="EJ43913"/>
      <c r="EK43913"/>
    </row>
    <row r="43914" spans="1:141" s="116" customFormat="1">
      <c r="A43914" s="136"/>
      <c r="CM43914" s="111"/>
      <c r="CQ43914" s="111"/>
      <c r="EF43914"/>
      <c r="EG43914"/>
      <c r="EH43914"/>
      <c r="EI43914"/>
      <c r="EJ43914"/>
      <c r="EK43914"/>
    </row>
    <row r="43915" spans="1:141" s="116" customFormat="1">
      <c r="A43915" s="136"/>
      <c r="CM43915" s="111"/>
      <c r="CQ43915" s="111"/>
      <c r="EF43915"/>
      <c r="EG43915"/>
      <c r="EH43915"/>
      <c r="EI43915"/>
      <c r="EJ43915"/>
      <c r="EK43915"/>
    </row>
    <row r="43916" spans="1:141" s="116" customFormat="1">
      <c r="A43916" s="136"/>
      <c r="CM43916" s="111"/>
      <c r="CQ43916" s="111"/>
      <c r="EF43916"/>
      <c r="EG43916"/>
      <c r="EH43916"/>
      <c r="EI43916"/>
      <c r="EJ43916"/>
      <c r="EK43916"/>
    </row>
    <row r="43917" spans="1:141" s="116" customFormat="1">
      <c r="A43917" s="136"/>
      <c r="CM43917" s="111"/>
      <c r="CQ43917" s="111"/>
      <c r="EF43917"/>
      <c r="EG43917"/>
      <c r="EH43917"/>
      <c r="EI43917"/>
      <c r="EJ43917"/>
      <c r="EK43917"/>
    </row>
    <row r="43918" spans="1:141" s="116" customFormat="1">
      <c r="A43918" s="136"/>
      <c r="CM43918" s="111"/>
      <c r="CQ43918" s="111"/>
      <c r="EF43918"/>
      <c r="EG43918"/>
      <c r="EH43918"/>
      <c r="EI43918"/>
      <c r="EJ43918"/>
      <c r="EK43918"/>
    </row>
    <row r="43919" spans="1:141" s="116" customFormat="1">
      <c r="A43919" s="136"/>
      <c r="CM43919" s="111"/>
      <c r="CQ43919" s="111"/>
      <c r="EF43919"/>
      <c r="EG43919"/>
      <c r="EH43919"/>
      <c r="EI43919"/>
      <c r="EJ43919"/>
      <c r="EK43919"/>
    </row>
    <row r="43920" spans="1:141" s="116" customFormat="1">
      <c r="A43920" s="136"/>
      <c r="CM43920" s="111"/>
      <c r="CQ43920" s="111"/>
      <c r="EF43920"/>
      <c r="EG43920"/>
      <c r="EH43920"/>
      <c r="EI43920"/>
      <c r="EJ43920"/>
      <c r="EK43920"/>
    </row>
    <row r="43921" spans="1:141" s="116" customFormat="1">
      <c r="A43921" s="136"/>
      <c r="CM43921" s="111"/>
      <c r="CQ43921" s="111"/>
      <c r="EF43921"/>
      <c r="EG43921"/>
      <c r="EH43921"/>
      <c r="EI43921"/>
      <c r="EJ43921"/>
      <c r="EK43921"/>
    </row>
    <row r="43922" spans="1:141" s="116" customFormat="1">
      <c r="A43922" s="136"/>
      <c r="CM43922" s="111"/>
      <c r="CQ43922" s="111"/>
      <c r="EF43922"/>
      <c r="EG43922"/>
      <c r="EH43922"/>
      <c r="EI43922"/>
      <c r="EJ43922"/>
      <c r="EK43922"/>
    </row>
    <row r="43923" spans="1:141" s="116" customFormat="1">
      <c r="A43923" s="136"/>
      <c r="CM43923" s="111"/>
      <c r="CQ43923" s="111"/>
      <c r="EF43923"/>
      <c r="EG43923"/>
      <c r="EH43923"/>
      <c r="EI43923"/>
      <c r="EJ43923"/>
      <c r="EK43923"/>
    </row>
    <row r="43924" spans="1:141" s="116" customFormat="1">
      <c r="A43924" s="136"/>
      <c r="CM43924" s="111"/>
      <c r="CQ43924" s="111"/>
      <c r="EF43924"/>
      <c r="EG43924"/>
      <c r="EH43924"/>
      <c r="EI43924"/>
      <c r="EJ43924"/>
      <c r="EK43924"/>
    </row>
    <row r="43925" spans="1:141" s="116" customFormat="1">
      <c r="A43925" s="136"/>
      <c r="CM43925" s="111"/>
      <c r="CQ43925" s="111"/>
      <c r="EF43925"/>
      <c r="EG43925"/>
      <c r="EH43925"/>
      <c r="EI43925"/>
      <c r="EJ43925"/>
      <c r="EK43925"/>
    </row>
    <row r="43926" spans="1:141" s="116" customFormat="1">
      <c r="A43926" s="136"/>
      <c r="CM43926" s="111"/>
      <c r="CQ43926" s="111"/>
      <c r="EF43926"/>
      <c r="EG43926"/>
      <c r="EH43926"/>
      <c r="EI43926"/>
      <c r="EJ43926"/>
      <c r="EK43926"/>
    </row>
    <row r="43927" spans="1:141" s="116" customFormat="1">
      <c r="A43927" s="136"/>
      <c r="CM43927" s="111"/>
      <c r="CQ43927" s="111"/>
      <c r="EF43927"/>
      <c r="EG43927"/>
      <c r="EH43927"/>
      <c r="EI43927"/>
      <c r="EJ43927"/>
      <c r="EK43927"/>
    </row>
    <row r="43928" spans="1:141" s="116" customFormat="1">
      <c r="A43928" s="136"/>
      <c r="CM43928" s="111"/>
      <c r="CQ43928" s="111"/>
      <c r="EF43928"/>
      <c r="EG43928"/>
      <c r="EH43928"/>
      <c r="EI43928"/>
      <c r="EJ43928"/>
      <c r="EK43928"/>
    </row>
    <row r="43929" spans="1:141" s="116" customFormat="1">
      <c r="A43929" s="136"/>
      <c r="CM43929" s="111"/>
      <c r="CQ43929" s="111"/>
      <c r="EF43929"/>
      <c r="EG43929"/>
      <c r="EH43929"/>
      <c r="EI43929"/>
      <c r="EJ43929"/>
      <c r="EK43929"/>
    </row>
    <row r="43930" spans="1:141" s="116" customFormat="1">
      <c r="A43930" s="136"/>
      <c r="CM43930" s="111"/>
      <c r="CQ43930" s="111"/>
      <c r="EF43930"/>
      <c r="EG43930"/>
      <c r="EH43930"/>
      <c r="EI43930"/>
      <c r="EJ43930"/>
      <c r="EK43930"/>
    </row>
    <row r="43931" spans="1:141" s="116" customFormat="1">
      <c r="A43931" s="136"/>
      <c r="CM43931" s="111"/>
      <c r="CQ43931" s="111"/>
      <c r="EF43931"/>
      <c r="EG43931"/>
      <c r="EH43931"/>
      <c r="EI43931"/>
      <c r="EJ43931"/>
      <c r="EK43931"/>
    </row>
    <row r="43932" spans="1:141" s="116" customFormat="1">
      <c r="A43932" s="136"/>
      <c r="CM43932" s="111"/>
      <c r="CQ43932" s="111"/>
      <c r="EF43932"/>
      <c r="EG43932"/>
      <c r="EH43932"/>
      <c r="EI43932"/>
      <c r="EJ43932"/>
      <c r="EK43932"/>
    </row>
    <row r="43933" spans="1:141" s="116" customFormat="1">
      <c r="A43933" s="136"/>
      <c r="CM43933" s="111"/>
      <c r="CQ43933" s="111"/>
      <c r="EF43933"/>
      <c r="EG43933"/>
      <c r="EH43933"/>
      <c r="EI43933"/>
      <c r="EJ43933"/>
      <c r="EK43933"/>
    </row>
    <row r="43934" spans="1:141" s="116" customFormat="1">
      <c r="A43934" s="136"/>
      <c r="CM43934" s="111"/>
      <c r="CQ43934" s="111"/>
      <c r="EF43934"/>
      <c r="EG43934"/>
      <c r="EH43934"/>
      <c r="EI43934"/>
      <c r="EJ43934"/>
      <c r="EK43934"/>
    </row>
    <row r="43935" spans="1:141" s="116" customFormat="1">
      <c r="A43935" s="136"/>
      <c r="CM43935" s="111"/>
      <c r="CQ43935" s="111"/>
      <c r="EF43935"/>
      <c r="EG43935"/>
      <c r="EH43935"/>
      <c r="EI43935"/>
      <c r="EJ43935"/>
      <c r="EK43935"/>
    </row>
    <row r="43936" spans="1:141" s="116" customFormat="1">
      <c r="A43936" s="136"/>
      <c r="CM43936" s="111"/>
      <c r="CQ43936" s="111"/>
      <c r="EF43936"/>
      <c r="EG43936"/>
      <c r="EH43936"/>
      <c r="EI43936"/>
      <c r="EJ43936"/>
      <c r="EK43936"/>
    </row>
    <row r="43937" spans="1:141" s="116" customFormat="1">
      <c r="A43937" s="136"/>
      <c r="CM43937" s="111"/>
      <c r="CQ43937" s="111"/>
      <c r="EF43937"/>
      <c r="EG43937"/>
      <c r="EH43937"/>
      <c r="EI43937"/>
      <c r="EJ43937"/>
      <c r="EK43937"/>
    </row>
    <row r="43938" spans="1:141" s="116" customFormat="1">
      <c r="A43938" s="136"/>
      <c r="CM43938" s="111"/>
      <c r="CQ43938" s="111"/>
      <c r="EF43938"/>
      <c r="EG43938"/>
      <c r="EH43938"/>
      <c r="EI43938"/>
      <c r="EJ43938"/>
      <c r="EK43938"/>
    </row>
    <row r="43939" spans="1:141" s="116" customFormat="1">
      <c r="A43939" s="136"/>
      <c r="CM43939" s="111"/>
      <c r="CQ43939" s="111"/>
      <c r="EF43939"/>
      <c r="EG43939"/>
      <c r="EH43939"/>
      <c r="EI43939"/>
      <c r="EJ43939"/>
      <c r="EK43939"/>
    </row>
    <row r="43940" spans="1:141" s="116" customFormat="1">
      <c r="A43940" s="136"/>
      <c r="CM43940" s="111"/>
      <c r="CQ43940" s="111"/>
      <c r="EF43940"/>
      <c r="EG43940"/>
      <c r="EH43940"/>
      <c r="EI43940"/>
      <c r="EJ43940"/>
      <c r="EK43940"/>
    </row>
    <row r="43941" spans="1:141" s="116" customFormat="1">
      <c r="A43941" s="136"/>
      <c r="CM43941" s="111"/>
      <c r="CQ43941" s="111"/>
      <c r="EF43941"/>
      <c r="EG43941"/>
      <c r="EH43941"/>
      <c r="EI43941"/>
      <c r="EJ43941"/>
      <c r="EK43941"/>
    </row>
    <row r="43942" spans="1:141" s="116" customFormat="1">
      <c r="A43942" s="136"/>
      <c r="CM43942" s="111"/>
      <c r="CQ43942" s="111"/>
      <c r="EF43942"/>
      <c r="EG43942"/>
      <c r="EH43942"/>
      <c r="EI43942"/>
      <c r="EJ43942"/>
      <c r="EK43942"/>
    </row>
    <row r="43943" spans="1:141" s="116" customFormat="1">
      <c r="A43943" s="136"/>
      <c r="CM43943" s="111"/>
      <c r="CQ43943" s="111"/>
      <c r="EF43943"/>
      <c r="EG43943"/>
      <c r="EH43943"/>
      <c r="EI43943"/>
      <c r="EJ43943"/>
      <c r="EK43943"/>
    </row>
    <row r="43944" spans="1:141" s="116" customFormat="1">
      <c r="A43944" s="136"/>
      <c r="CM43944" s="111"/>
      <c r="CQ43944" s="111"/>
      <c r="EF43944"/>
      <c r="EG43944"/>
      <c r="EH43944"/>
      <c r="EI43944"/>
      <c r="EJ43944"/>
      <c r="EK43944"/>
    </row>
    <row r="43945" spans="1:141" s="116" customFormat="1">
      <c r="A43945" s="136"/>
      <c r="CM43945" s="111"/>
      <c r="CQ43945" s="111"/>
      <c r="EF43945"/>
      <c r="EG43945"/>
      <c r="EH43945"/>
      <c r="EI43945"/>
      <c r="EJ43945"/>
      <c r="EK43945"/>
    </row>
    <row r="43946" spans="1:141" s="116" customFormat="1">
      <c r="A43946" s="136"/>
      <c r="CM43946" s="111"/>
      <c r="CQ43946" s="111"/>
      <c r="EF43946"/>
      <c r="EG43946"/>
      <c r="EH43946"/>
      <c r="EI43946"/>
      <c r="EJ43946"/>
      <c r="EK43946"/>
    </row>
    <row r="43947" spans="1:141" s="116" customFormat="1">
      <c r="A43947" s="136"/>
      <c r="CM43947" s="111"/>
      <c r="CQ43947" s="111"/>
      <c r="EF43947"/>
      <c r="EG43947"/>
      <c r="EH43947"/>
      <c r="EI43947"/>
      <c r="EJ43947"/>
      <c r="EK43947"/>
    </row>
    <row r="43948" spans="1:141" s="116" customFormat="1">
      <c r="A43948" s="136"/>
      <c r="CM43948" s="111"/>
      <c r="CQ43948" s="111"/>
      <c r="EF43948"/>
      <c r="EG43948"/>
      <c r="EH43948"/>
      <c r="EI43948"/>
      <c r="EJ43948"/>
      <c r="EK43948"/>
    </row>
    <row r="43949" spans="1:141" s="116" customFormat="1">
      <c r="A43949" s="136"/>
      <c r="CM43949" s="111"/>
      <c r="CQ43949" s="111"/>
      <c r="EF43949"/>
      <c r="EG43949"/>
      <c r="EH43949"/>
      <c r="EI43949"/>
      <c r="EJ43949"/>
      <c r="EK43949"/>
    </row>
    <row r="43950" spans="1:141" s="116" customFormat="1">
      <c r="A43950" s="136"/>
      <c r="CM43950" s="111"/>
      <c r="CQ43950" s="111"/>
      <c r="EF43950"/>
      <c r="EG43950"/>
      <c r="EH43950"/>
      <c r="EI43950"/>
      <c r="EJ43950"/>
      <c r="EK43950"/>
    </row>
    <row r="43951" spans="1:141" s="116" customFormat="1">
      <c r="A43951" s="136"/>
      <c r="CM43951" s="111"/>
      <c r="CQ43951" s="111"/>
      <c r="EF43951"/>
      <c r="EG43951"/>
      <c r="EH43951"/>
      <c r="EI43951"/>
      <c r="EJ43951"/>
      <c r="EK43951"/>
    </row>
    <row r="43952" spans="1:141" s="116" customFormat="1">
      <c r="A43952" s="136"/>
      <c r="CM43952" s="111"/>
      <c r="CQ43952" s="111"/>
      <c r="EF43952"/>
      <c r="EG43952"/>
      <c r="EH43952"/>
      <c r="EI43952"/>
      <c r="EJ43952"/>
      <c r="EK43952"/>
    </row>
    <row r="43953" spans="1:141" s="116" customFormat="1">
      <c r="A43953" s="136"/>
      <c r="CM43953" s="111"/>
      <c r="CQ43953" s="111"/>
      <c r="EF43953"/>
      <c r="EG43953"/>
      <c r="EH43953"/>
      <c r="EI43953"/>
      <c r="EJ43953"/>
      <c r="EK43953"/>
    </row>
    <row r="43954" spans="1:141" s="116" customFormat="1">
      <c r="A43954" s="136"/>
      <c r="CM43954" s="111"/>
      <c r="CQ43954" s="111"/>
      <c r="EF43954"/>
      <c r="EG43954"/>
      <c r="EH43954"/>
      <c r="EI43954"/>
      <c r="EJ43954"/>
      <c r="EK43954"/>
    </row>
    <row r="43955" spans="1:141" s="116" customFormat="1">
      <c r="A43955" s="136"/>
      <c r="CM43955" s="111"/>
      <c r="CQ43955" s="111"/>
      <c r="EF43955"/>
      <c r="EG43955"/>
      <c r="EH43955"/>
      <c r="EI43955"/>
      <c r="EJ43955"/>
      <c r="EK43955"/>
    </row>
    <row r="43956" spans="1:141" s="116" customFormat="1">
      <c r="A43956" s="136"/>
      <c r="CM43956" s="111"/>
      <c r="CQ43956" s="111"/>
      <c r="EF43956"/>
      <c r="EG43956"/>
      <c r="EH43956"/>
      <c r="EI43956"/>
      <c r="EJ43956"/>
      <c r="EK43956"/>
    </row>
    <row r="43957" spans="1:141" s="116" customFormat="1">
      <c r="A43957" s="136"/>
      <c r="CM43957" s="111"/>
      <c r="CQ43957" s="111"/>
      <c r="EF43957"/>
      <c r="EG43957"/>
      <c r="EH43957"/>
      <c r="EI43957"/>
      <c r="EJ43957"/>
      <c r="EK43957"/>
    </row>
    <row r="43958" spans="1:141" s="116" customFormat="1">
      <c r="A43958" s="136"/>
      <c r="CM43958" s="111"/>
      <c r="CQ43958" s="111"/>
      <c r="EF43958"/>
      <c r="EG43958"/>
      <c r="EH43958"/>
      <c r="EI43958"/>
      <c r="EJ43958"/>
      <c r="EK43958"/>
    </row>
    <row r="43959" spans="1:141" s="116" customFormat="1">
      <c r="A43959" s="136"/>
      <c r="CM43959" s="111"/>
      <c r="CQ43959" s="111"/>
      <c r="EF43959"/>
      <c r="EG43959"/>
      <c r="EH43959"/>
      <c r="EI43959"/>
      <c r="EJ43959"/>
      <c r="EK43959"/>
    </row>
    <row r="43960" spans="1:141" s="116" customFormat="1">
      <c r="A43960" s="136"/>
      <c r="CM43960" s="111"/>
      <c r="CQ43960" s="111"/>
      <c r="EF43960"/>
      <c r="EG43960"/>
      <c r="EH43960"/>
      <c r="EI43960"/>
      <c r="EJ43960"/>
      <c r="EK43960"/>
    </row>
    <row r="43961" spans="1:141" s="116" customFormat="1">
      <c r="A43961" s="136"/>
      <c r="CM43961" s="111"/>
      <c r="CQ43961" s="111"/>
      <c r="EF43961"/>
      <c r="EG43961"/>
      <c r="EH43961"/>
      <c r="EI43961"/>
      <c r="EJ43961"/>
      <c r="EK43961"/>
    </row>
    <row r="43962" spans="1:141" s="116" customFormat="1">
      <c r="A43962" s="136"/>
      <c r="CM43962" s="111"/>
      <c r="CQ43962" s="111"/>
      <c r="EF43962"/>
      <c r="EG43962"/>
      <c r="EH43962"/>
      <c r="EI43962"/>
      <c r="EJ43962"/>
      <c r="EK43962"/>
    </row>
    <row r="43963" spans="1:141" s="116" customFormat="1">
      <c r="A43963" s="136"/>
      <c r="CM43963" s="111"/>
      <c r="CQ43963" s="111"/>
      <c r="EF43963"/>
      <c r="EG43963"/>
      <c r="EH43963"/>
      <c r="EI43963"/>
      <c r="EJ43963"/>
      <c r="EK43963"/>
    </row>
    <row r="43964" spans="1:141" s="116" customFormat="1">
      <c r="A43964" s="136"/>
      <c r="CM43964" s="111"/>
      <c r="CQ43964" s="111"/>
      <c r="EF43964"/>
      <c r="EG43964"/>
      <c r="EH43964"/>
      <c r="EI43964"/>
      <c r="EJ43964"/>
      <c r="EK43964"/>
    </row>
    <row r="43965" spans="1:141" s="116" customFormat="1">
      <c r="A43965" s="136"/>
      <c r="CM43965" s="111"/>
      <c r="CQ43965" s="111"/>
      <c r="EF43965"/>
      <c r="EG43965"/>
      <c r="EH43965"/>
      <c r="EI43965"/>
      <c r="EJ43965"/>
      <c r="EK43965"/>
    </row>
    <row r="43966" spans="1:141" s="116" customFormat="1">
      <c r="A43966" s="136"/>
      <c r="CM43966" s="111"/>
      <c r="CQ43966" s="111"/>
      <c r="EF43966"/>
      <c r="EG43966"/>
      <c r="EH43966"/>
      <c r="EI43966"/>
      <c r="EJ43966"/>
      <c r="EK43966"/>
    </row>
    <row r="43967" spans="1:141" s="116" customFormat="1">
      <c r="A43967" s="136"/>
      <c r="CM43967" s="111"/>
      <c r="CQ43967" s="111"/>
      <c r="EF43967"/>
      <c r="EG43967"/>
      <c r="EH43967"/>
      <c r="EI43967"/>
      <c r="EJ43967"/>
      <c r="EK43967"/>
    </row>
    <row r="43968" spans="1:141" s="116" customFormat="1">
      <c r="A43968" s="136"/>
      <c r="CM43968" s="111"/>
      <c r="CQ43968" s="111"/>
      <c r="EF43968"/>
      <c r="EG43968"/>
      <c r="EH43968"/>
      <c r="EI43968"/>
      <c r="EJ43968"/>
      <c r="EK43968"/>
    </row>
    <row r="43969" spans="1:141" s="116" customFormat="1">
      <c r="A43969" s="136"/>
      <c r="CM43969" s="111"/>
      <c r="CQ43969" s="111"/>
      <c r="EF43969"/>
      <c r="EG43969"/>
      <c r="EH43969"/>
      <c r="EI43969"/>
      <c r="EJ43969"/>
      <c r="EK43969"/>
    </row>
    <row r="43970" spans="1:141" s="116" customFormat="1">
      <c r="A43970" s="136"/>
      <c r="CM43970" s="111"/>
      <c r="CQ43970" s="111"/>
      <c r="EF43970"/>
      <c r="EG43970"/>
      <c r="EH43970"/>
      <c r="EI43970"/>
      <c r="EJ43970"/>
      <c r="EK43970"/>
    </row>
    <row r="43971" spans="1:141" s="116" customFormat="1">
      <c r="A43971" s="136"/>
      <c r="CM43971" s="111"/>
      <c r="CQ43971" s="111"/>
      <c r="EF43971"/>
      <c r="EG43971"/>
      <c r="EH43971"/>
      <c r="EI43971"/>
      <c r="EJ43971"/>
      <c r="EK43971"/>
    </row>
    <row r="43972" spans="1:141" s="116" customFormat="1">
      <c r="A43972" s="136"/>
      <c r="CM43972" s="111"/>
      <c r="CQ43972" s="111"/>
      <c r="EF43972"/>
      <c r="EG43972"/>
      <c r="EH43972"/>
      <c r="EI43972"/>
      <c r="EJ43972"/>
      <c r="EK43972"/>
    </row>
    <row r="43973" spans="1:141" s="116" customFormat="1">
      <c r="A43973" s="136"/>
      <c r="CM43973" s="111"/>
      <c r="CQ43973" s="111"/>
      <c r="EF43973"/>
      <c r="EG43973"/>
      <c r="EH43973"/>
      <c r="EI43973"/>
      <c r="EJ43973"/>
      <c r="EK43973"/>
    </row>
    <row r="43974" spans="1:141" s="116" customFormat="1">
      <c r="A43974" s="136"/>
      <c r="CM43974" s="111"/>
      <c r="CQ43974" s="111"/>
      <c r="EF43974"/>
      <c r="EG43974"/>
      <c r="EH43974"/>
      <c r="EI43974"/>
      <c r="EJ43974"/>
      <c r="EK43974"/>
    </row>
    <row r="43975" spans="1:141" s="116" customFormat="1">
      <c r="A43975" s="136"/>
      <c r="CM43975" s="111"/>
      <c r="CQ43975" s="111"/>
      <c r="EF43975"/>
      <c r="EG43975"/>
      <c r="EH43975"/>
      <c r="EI43975"/>
      <c r="EJ43975"/>
      <c r="EK43975"/>
    </row>
    <row r="43976" spans="1:141" s="116" customFormat="1">
      <c r="A43976" s="136"/>
      <c r="CM43976" s="111"/>
      <c r="CQ43976" s="111"/>
      <c r="EF43976"/>
      <c r="EG43976"/>
      <c r="EH43976"/>
      <c r="EI43976"/>
      <c r="EJ43976"/>
      <c r="EK43976"/>
    </row>
    <row r="43977" spans="1:141" s="116" customFormat="1">
      <c r="A43977" s="136"/>
      <c r="CM43977" s="111"/>
      <c r="CQ43977" s="111"/>
      <c r="EF43977"/>
      <c r="EG43977"/>
      <c r="EH43977"/>
      <c r="EI43977"/>
      <c r="EJ43977"/>
      <c r="EK43977"/>
    </row>
    <row r="43978" spans="1:141" s="116" customFormat="1">
      <c r="A43978" s="136"/>
      <c r="CM43978" s="111"/>
      <c r="CQ43978" s="111"/>
      <c r="EF43978"/>
      <c r="EG43978"/>
      <c r="EH43978"/>
      <c r="EI43978"/>
      <c r="EJ43978"/>
      <c r="EK43978"/>
    </row>
    <row r="43979" spans="1:141" s="116" customFormat="1">
      <c r="A43979" s="136"/>
      <c r="CM43979" s="111"/>
      <c r="CQ43979" s="111"/>
      <c r="EF43979"/>
      <c r="EG43979"/>
      <c r="EH43979"/>
      <c r="EI43979"/>
      <c r="EJ43979"/>
      <c r="EK43979"/>
    </row>
    <row r="43980" spans="1:141" s="116" customFormat="1">
      <c r="A43980" s="136"/>
      <c r="CM43980" s="111"/>
      <c r="CQ43980" s="111"/>
      <c r="EF43980"/>
      <c r="EG43980"/>
      <c r="EH43980"/>
      <c r="EI43980"/>
      <c r="EJ43980"/>
      <c r="EK43980"/>
    </row>
    <row r="43981" spans="1:141" s="116" customFormat="1">
      <c r="A43981" s="136"/>
      <c r="CM43981" s="111"/>
      <c r="CQ43981" s="111"/>
      <c r="EF43981"/>
      <c r="EG43981"/>
      <c r="EH43981"/>
      <c r="EI43981"/>
      <c r="EJ43981"/>
      <c r="EK43981"/>
    </row>
    <row r="43982" spans="1:141" s="116" customFormat="1">
      <c r="A43982" s="136"/>
      <c r="CM43982" s="111"/>
      <c r="CQ43982" s="111"/>
      <c r="EF43982"/>
      <c r="EG43982"/>
      <c r="EH43982"/>
      <c r="EI43982"/>
      <c r="EJ43982"/>
      <c r="EK43982"/>
    </row>
    <row r="43983" spans="1:141" s="116" customFormat="1">
      <c r="A43983" s="136"/>
      <c r="CM43983" s="111"/>
      <c r="CQ43983" s="111"/>
      <c r="EF43983"/>
      <c r="EG43983"/>
      <c r="EH43983"/>
      <c r="EI43983"/>
      <c r="EJ43983"/>
      <c r="EK43983"/>
    </row>
    <row r="43984" spans="1:141" s="116" customFormat="1">
      <c r="A43984" s="136"/>
      <c r="CM43984" s="111"/>
      <c r="CQ43984" s="111"/>
      <c r="EF43984"/>
      <c r="EG43984"/>
      <c r="EH43984"/>
      <c r="EI43984"/>
      <c r="EJ43984"/>
      <c r="EK43984"/>
    </row>
    <row r="43985" spans="1:141" s="116" customFormat="1">
      <c r="A43985" s="136"/>
      <c r="CM43985" s="111"/>
      <c r="CQ43985" s="111"/>
      <c r="EF43985"/>
      <c r="EG43985"/>
      <c r="EH43985"/>
      <c r="EI43985"/>
      <c r="EJ43985"/>
      <c r="EK43985"/>
    </row>
    <row r="43986" spans="1:141" s="116" customFormat="1">
      <c r="A43986" s="136"/>
      <c r="CM43986" s="111"/>
      <c r="CQ43986" s="111"/>
      <c r="EF43986"/>
      <c r="EG43986"/>
      <c r="EH43986"/>
      <c r="EI43986"/>
      <c r="EJ43986"/>
      <c r="EK43986"/>
    </row>
    <row r="43987" spans="1:141" s="116" customFormat="1">
      <c r="A43987" s="136"/>
      <c r="CM43987" s="111"/>
      <c r="CQ43987" s="111"/>
      <c r="EF43987"/>
      <c r="EG43987"/>
      <c r="EH43987"/>
      <c r="EI43987"/>
      <c r="EJ43987"/>
      <c r="EK43987"/>
    </row>
    <row r="43988" spans="1:141" s="116" customFormat="1">
      <c r="A43988" s="136"/>
      <c r="CM43988" s="111"/>
      <c r="CQ43988" s="111"/>
      <c r="EF43988"/>
      <c r="EG43988"/>
      <c r="EH43988"/>
      <c r="EI43988"/>
      <c r="EJ43988"/>
      <c r="EK43988"/>
    </row>
    <row r="43989" spans="1:141" s="116" customFormat="1">
      <c r="A43989" s="136"/>
      <c r="CM43989" s="111"/>
      <c r="CQ43989" s="111"/>
      <c r="EF43989"/>
      <c r="EG43989"/>
      <c r="EH43989"/>
      <c r="EI43989"/>
      <c r="EJ43989"/>
      <c r="EK43989"/>
    </row>
    <row r="43990" spans="1:141" s="116" customFormat="1">
      <c r="A43990" s="136"/>
      <c r="CM43990" s="111"/>
      <c r="CQ43990" s="111"/>
      <c r="EF43990"/>
      <c r="EG43990"/>
      <c r="EH43990"/>
      <c r="EI43990"/>
      <c r="EJ43990"/>
      <c r="EK43990"/>
    </row>
    <row r="43991" spans="1:141" s="116" customFormat="1">
      <c r="A43991" s="136"/>
      <c r="CM43991" s="111"/>
      <c r="CQ43991" s="111"/>
      <c r="EF43991"/>
      <c r="EG43991"/>
      <c r="EH43991"/>
      <c r="EI43991"/>
      <c r="EJ43991"/>
      <c r="EK43991"/>
    </row>
    <row r="43992" spans="1:141" s="116" customFormat="1">
      <c r="A43992" s="136"/>
      <c r="CM43992" s="111"/>
      <c r="CQ43992" s="111"/>
      <c r="EF43992"/>
      <c r="EG43992"/>
      <c r="EH43992"/>
      <c r="EI43992"/>
      <c r="EJ43992"/>
      <c r="EK43992"/>
    </row>
    <row r="43993" spans="1:141" s="116" customFormat="1">
      <c r="A43993" s="136"/>
      <c r="CM43993" s="111"/>
      <c r="CQ43993" s="111"/>
      <c r="EF43993"/>
      <c r="EG43993"/>
      <c r="EH43993"/>
      <c r="EI43993"/>
      <c r="EJ43993"/>
      <c r="EK43993"/>
    </row>
    <row r="43994" spans="1:141" s="116" customFormat="1">
      <c r="A43994" s="136"/>
      <c r="CM43994" s="111"/>
      <c r="CQ43994" s="111"/>
      <c r="EF43994"/>
      <c r="EG43994"/>
      <c r="EH43994"/>
      <c r="EI43994"/>
      <c r="EJ43994"/>
      <c r="EK43994"/>
    </row>
    <row r="43995" spans="1:141" s="116" customFormat="1">
      <c r="A43995" s="136"/>
      <c r="CM43995" s="111"/>
      <c r="CQ43995" s="111"/>
      <c r="EF43995"/>
      <c r="EG43995"/>
      <c r="EH43995"/>
      <c r="EI43995"/>
      <c r="EJ43995"/>
      <c r="EK43995"/>
    </row>
    <row r="43996" spans="1:141" s="116" customFormat="1">
      <c r="A43996" s="136"/>
      <c r="CM43996" s="111"/>
      <c r="CQ43996" s="111"/>
      <c r="EF43996"/>
      <c r="EG43996"/>
      <c r="EH43996"/>
      <c r="EI43996"/>
      <c r="EJ43996"/>
      <c r="EK43996"/>
    </row>
    <row r="43997" spans="1:141" s="116" customFormat="1">
      <c r="A43997" s="136"/>
      <c r="CM43997" s="111"/>
      <c r="CQ43997" s="111"/>
      <c r="EF43997"/>
      <c r="EG43997"/>
      <c r="EH43997"/>
      <c r="EI43997"/>
      <c r="EJ43997"/>
      <c r="EK43997"/>
    </row>
    <row r="43998" spans="1:141" s="116" customFormat="1">
      <c r="A43998" s="136"/>
      <c r="CM43998" s="111"/>
      <c r="CQ43998" s="111"/>
      <c r="EF43998"/>
      <c r="EG43998"/>
      <c r="EH43998"/>
      <c r="EI43998"/>
      <c r="EJ43998"/>
      <c r="EK43998"/>
    </row>
    <row r="43999" spans="1:141" s="116" customFormat="1">
      <c r="A43999" s="136"/>
      <c r="CM43999" s="111"/>
      <c r="CQ43999" s="111"/>
      <c r="EF43999"/>
      <c r="EG43999"/>
      <c r="EH43999"/>
      <c r="EI43999"/>
      <c r="EJ43999"/>
      <c r="EK43999"/>
    </row>
    <row r="44000" spans="1:141" s="116" customFormat="1">
      <c r="A44000" s="136"/>
      <c r="CM44000" s="111"/>
      <c r="CQ44000" s="111"/>
      <c r="EF44000"/>
      <c r="EG44000"/>
      <c r="EH44000"/>
      <c r="EI44000"/>
      <c r="EJ44000"/>
      <c r="EK44000"/>
    </row>
    <row r="44001" spans="1:141" s="116" customFormat="1">
      <c r="A44001" s="136"/>
      <c r="CM44001" s="111"/>
      <c r="CQ44001" s="111"/>
      <c r="EF44001"/>
      <c r="EG44001"/>
      <c r="EH44001"/>
      <c r="EI44001"/>
      <c r="EJ44001"/>
      <c r="EK44001"/>
    </row>
    <row r="44002" spans="1:141" s="116" customFormat="1">
      <c r="A44002" s="136"/>
      <c r="CM44002" s="111"/>
      <c r="CQ44002" s="111"/>
      <c r="EF44002"/>
      <c r="EG44002"/>
      <c r="EH44002"/>
      <c r="EI44002"/>
      <c r="EJ44002"/>
      <c r="EK44002"/>
    </row>
    <row r="44003" spans="1:141" s="116" customFormat="1">
      <c r="A44003" s="136"/>
      <c r="CM44003" s="111"/>
      <c r="CQ44003" s="111"/>
      <c r="EF44003"/>
      <c r="EG44003"/>
      <c r="EH44003"/>
      <c r="EI44003"/>
      <c r="EJ44003"/>
      <c r="EK44003"/>
    </row>
    <row r="44004" spans="1:141" s="116" customFormat="1">
      <c r="A44004" s="136"/>
      <c r="CM44004" s="111"/>
      <c r="CQ44004" s="111"/>
      <c r="EF44004"/>
      <c r="EG44004"/>
      <c r="EH44004"/>
      <c r="EI44004"/>
      <c r="EJ44004"/>
      <c r="EK44004"/>
    </row>
    <row r="44005" spans="1:141" s="116" customFormat="1">
      <c r="A44005" s="136"/>
      <c r="CM44005" s="111"/>
      <c r="CQ44005" s="111"/>
      <c r="EF44005"/>
      <c r="EG44005"/>
      <c r="EH44005"/>
      <c r="EI44005"/>
      <c r="EJ44005"/>
      <c r="EK44005"/>
    </row>
    <row r="44006" spans="1:141" s="116" customFormat="1">
      <c r="A44006" s="136"/>
      <c r="CM44006" s="111"/>
      <c r="CQ44006" s="111"/>
      <c r="EF44006"/>
      <c r="EG44006"/>
      <c r="EH44006"/>
      <c r="EI44006"/>
      <c r="EJ44006"/>
      <c r="EK44006"/>
    </row>
    <row r="44007" spans="1:141" s="116" customFormat="1">
      <c r="A44007" s="136"/>
      <c r="CM44007" s="111"/>
      <c r="CQ44007" s="111"/>
      <c r="EF44007"/>
      <c r="EG44007"/>
      <c r="EH44007"/>
      <c r="EI44007"/>
      <c r="EJ44007"/>
      <c r="EK44007"/>
    </row>
    <row r="44008" spans="1:141" s="116" customFormat="1">
      <c r="A44008" s="136"/>
      <c r="CM44008" s="111"/>
      <c r="CQ44008" s="111"/>
      <c r="EF44008"/>
      <c r="EG44008"/>
      <c r="EH44008"/>
      <c r="EI44008"/>
      <c r="EJ44008"/>
      <c r="EK44008"/>
    </row>
    <row r="44009" spans="1:141" s="116" customFormat="1">
      <c r="A44009" s="136"/>
      <c r="CM44009" s="111"/>
      <c r="CQ44009" s="111"/>
      <c r="EF44009"/>
      <c r="EG44009"/>
      <c r="EH44009"/>
      <c r="EI44009"/>
      <c r="EJ44009"/>
      <c r="EK44009"/>
    </row>
    <row r="44010" spans="1:141" s="116" customFormat="1">
      <c r="A44010" s="136"/>
      <c r="CM44010" s="111"/>
      <c r="CQ44010" s="111"/>
      <c r="EF44010"/>
      <c r="EG44010"/>
      <c r="EH44010"/>
      <c r="EI44010"/>
      <c r="EJ44010"/>
      <c r="EK44010"/>
    </row>
    <row r="44011" spans="1:141" s="116" customFormat="1">
      <c r="A44011" s="136"/>
      <c r="CM44011" s="111"/>
      <c r="CQ44011" s="111"/>
      <c r="EF44011"/>
      <c r="EG44011"/>
      <c r="EH44011"/>
      <c r="EI44011"/>
      <c r="EJ44011"/>
      <c r="EK44011"/>
    </row>
    <row r="44012" spans="1:141" s="116" customFormat="1">
      <c r="A44012" s="136"/>
      <c r="CM44012" s="111"/>
      <c r="CQ44012" s="111"/>
      <c r="EF44012"/>
      <c r="EG44012"/>
      <c r="EH44012"/>
      <c r="EI44012"/>
      <c r="EJ44012"/>
      <c r="EK44012"/>
    </row>
    <row r="44013" spans="1:141" s="116" customFormat="1">
      <c r="A44013" s="136"/>
      <c r="CM44013" s="111"/>
      <c r="CQ44013" s="111"/>
      <c r="EF44013"/>
      <c r="EG44013"/>
      <c r="EH44013"/>
      <c r="EI44013"/>
      <c r="EJ44013"/>
      <c r="EK44013"/>
    </row>
    <row r="44014" spans="1:141" s="116" customFormat="1">
      <c r="A44014" s="136"/>
      <c r="CM44014" s="111"/>
      <c r="CQ44014" s="111"/>
      <c r="EF44014"/>
      <c r="EG44014"/>
      <c r="EH44014"/>
      <c r="EI44014"/>
      <c r="EJ44014"/>
      <c r="EK44014"/>
    </row>
    <row r="44015" spans="1:141" s="116" customFormat="1">
      <c r="A44015" s="136"/>
      <c r="CM44015" s="111"/>
      <c r="CQ44015" s="111"/>
      <c r="EF44015"/>
      <c r="EG44015"/>
      <c r="EH44015"/>
      <c r="EI44015"/>
      <c r="EJ44015"/>
      <c r="EK44015"/>
    </row>
    <row r="44016" spans="1:141" s="116" customFormat="1">
      <c r="A44016" s="136"/>
      <c r="CM44016" s="111"/>
      <c r="CQ44016" s="111"/>
      <c r="EF44016"/>
      <c r="EG44016"/>
      <c r="EH44016"/>
      <c r="EI44016"/>
      <c r="EJ44016"/>
      <c r="EK44016"/>
    </row>
    <row r="44017" spans="1:141" s="116" customFormat="1">
      <c r="A44017" s="136"/>
      <c r="CM44017" s="111"/>
      <c r="CQ44017" s="111"/>
      <c r="EF44017"/>
      <c r="EG44017"/>
      <c r="EH44017"/>
      <c r="EI44017"/>
      <c r="EJ44017"/>
      <c r="EK44017"/>
    </row>
    <row r="44018" spans="1:141" s="116" customFormat="1">
      <c r="A44018" s="136"/>
      <c r="CM44018" s="111"/>
      <c r="CQ44018" s="111"/>
      <c r="EF44018"/>
      <c r="EG44018"/>
      <c r="EH44018"/>
      <c r="EI44018"/>
      <c r="EJ44018"/>
      <c r="EK44018"/>
    </row>
    <row r="44019" spans="1:141" s="116" customFormat="1">
      <c r="A44019" s="136"/>
      <c r="CM44019" s="111"/>
      <c r="CQ44019" s="111"/>
      <c r="EF44019"/>
      <c r="EG44019"/>
      <c r="EH44019"/>
      <c r="EI44019"/>
      <c r="EJ44019"/>
      <c r="EK44019"/>
    </row>
    <row r="44020" spans="1:141" s="116" customFormat="1">
      <c r="A44020" s="136"/>
      <c r="CM44020" s="111"/>
      <c r="CQ44020" s="111"/>
      <c r="EF44020"/>
      <c r="EG44020"/>
      <c r="EH44020"/>
      <c r="EI44020"/>
      <c r="EJ44020"/>
      <c r="EK44020"/>
    </row>
    <row r="44021" spans="1:141" s="116" customFormat="1">
      <c r="A44021" s="136"/>
      <c r="CM44021" s="111"/>
      <c r="CQ44021" s="111"/>
      <c r="EF44021"/>
      <c r="EG44021"/>
      <c r="EH44021"/>
      <c r="EI44021"/>
      <c r="EJ44021"/>
      <c r="EK44021"/>
    </row>
    <row r="44022" spans="1:141" s="116" customFormat="1">
      <c r="A44022" s="136"/>
      <c r="CM44022" s="111"/>
      <c r="CQ44022" s="111"/>
      <c r="EF44022"/>
      <c r="EG44022"/>
      <c r="EH44022"/>
      <c r="EI44022"/>
      <c r="EJ44022"/>
      <c r="EK44022"/>
    </row>
    <row r="44023" spans="1:141" s="116" customFormat="1">
      <c r="A44023" s="136"/>
      <c r="CM44023" s="111"/>
      <c r="CQ44023" s="111"/>
      <c r="EF44023"/>
      <c r="EG44023"/>
      <c r="EH44023"/>
      <c r="EI44023"/>
      <c r="EJ44023"/>
      <c r="EK44023"/>
    </row>
    <row r="44024" spans="1:141" s="116" customFormat="1">
      <c r="A44024" s="136"/>
      <c r="CM44024" s="111"/>
      <c r="CQ44024" s="111"/>
      <c r="EF44024"/>
      <c r="EG44024"/>
      <c r="EH44024"/>
      <c r="EI44024"/>
      <c r="EJ44024"/>
      <c r="EK44024"/>
    </row>
    <row r="44025" spans="1:141" s="116" customFormat="1">
      <c r="A44025" s="136"/>
      <c r="CM44025" s="111"/>
      <c r="CQ44025" s="111"/>
      <c r="EF44025"/>
      <c r="EG44025"/>
      <c r="EH44025"/>
      <c r="EI44025"/>
      <c r="EJ44025"/>
      <c r="EK44025"/>
    </row>
    <row r="44026" spans="1:141" s="116" customFormat="1">
      <c r="A44026" s="136"/>
      <c r="CM44026" s="111"/>
      <c r="CQ44026" s="111"/>
      <c r="EF44026"/>
      <c r="EG44026"/>
      <c r="EH44026"/>
      <c r="EI44026"/>
      <c r="EJ44026"/>
      <c r="EK44026"/>
    </row>
    <row r="44027" spans="1:141" s="116" customFormat="1">
      <c r="A44027" s="136"/>
      <c r="CM44027" s="111"/>
      <c r="CQ44027" s="111"/>
      <c r="EF44027"/>
      <c r="EG44027"/>
      <c r="EH44027"/>
      <c r="EI44027"/>
      <c r="EJ44027"/>
      <c r="EK44027"/>
    </row>
    <row r="44028" spans="1:141" s="116" customFormat="1">
      <c r="A44028" s="136"/>
      <c r="CM44028" s="111"/>
      <c r="CQ44028" s="111"/>
      <c r="EF44028"/>
      <c r="EG44028"/>
      <c r="EH44028"/>
      <c r="EI44028"/>
      <c r="EJ44028"/>
      <c r="EK44028"/>
    </row>
    <row r="44029" spans="1:141" s="116" customFormat="1">
      <c r="A44029" s="136"/>
      <c r="CM44029" s="111"/>
      <c r="CQ44029" s="111"/>
      <c r="EF44029"/>
      <c r="EG44029"/>
      <c r="EH44029"/>
      <c r="EI44029"/>
      <c r="EJ44029"/>
      <c r="EK44029"/>
    </row>
    <row r="44030" spans="1:141" s="116" customFormat="1">
      <c r="A44030" s="136"/>
      <c r="CM44030" s="111"/>
      <c r="CQ44030" s="111"/>
      <c r="EF44030"/>
      <c r="EG44030"/>
      <c r="EH44030"/>
      <c r="EI44030"/>
      <c r="EJ44030"/>
      <c r="EK44030"/>
    </row>
    <row r="44031" spans="1:141" s="116" customFormat="1">
      <c r="A44031" s="136"/>
      <c r="CM44031" s="111"/>
      <c r="CQ44031" s="111"/>
      <c r="EF44031"/>
      <c r="EG44031"/>
      <c r="EH44031"/>
      <c r="EI44031"/>
      <c r="EJ44031"/>
      <c r="EK44031"/>
    </row>
    <row r="44032" spans="1:141" s="116" customFormat="1">
      <c r="A44032" s="136"/>
      <c r="CM44032" s="111"/>
      <c r="CQ44032" s="111"/>
      <c r="EF44032"/>
      <c r="EG44032"/>
      <c r="EH44032"/>
      <c r="EI44032"/>
      <c r="EJ44032"/>
      <c r="EK44032"/>
    </row>
    <row r="44033" spans="1:141" s="116" customFormat="1">
      <c r="A44033" s="136"/>
      <c r="CM44033" s="111"/>
      <c r="CQ44033" s="111"/>
      <c r="EF44033"/>
      <c r="EG44033"/>
      <c r="EH44033"/>
      <c r="EI44033"/>
      <c r="EJ44033"/>
      <c r="EK44033"/>
    </row>
    <row r="44034" spans="1:141" s="116" customFormat="1">
      <c r="A44034" s="136"/>
      <c r="CM44034" s="111"/>
      <c r="CQ44034" s="111"/>
      <c r="EF44034"/>
      <c r="EG44034"/>
      <c r="EH44034"/>
      <c r="EI44034"/>
      <c r="EJ44034"/>
      <c r="EK44034"/>
    </row>
    <row r="44035" spans="1:141" s="116" customFormat="1">
      <c r="A44035" s="136"/>
      <c r="CM44035" s="111"/>
      <c r="CQ44035" s="111"/>
      <c r="EF44035"/>
      <c r="EG44035"/>
      <c r="EH44035"/>
      <c r="EI44035"/>
      <c r="EJ44035"/>
      <c r="EK44035"/>
    </row>
    <row r="44036" spans="1:141" s="116" customFormat="1">
      <c r="A44036" s="136"/>
      <c r="CM44036" s="111"/>
      <c r="CQ44036" s="111"/>
      <c r="EF44036"/>
      <c r="EG44036"/>
      <c r="EH44036"/>
      <c r="EI44036"/>
      <c r="EJ44036"/>
      <c r="EK44036"/>
    </row>
    <row r="44037" spans="1:141" s="116" customFormat="1">
      <c r="A44037" s="136"/>
      <c r="CM44037" s="111"/>
      <c r="CQ44037" s="111"/>
      <c r="EF44037"/>
      <c r="EG44037"/>
      <c r="EH44037"/>
      <c r="EI44037"/>
      <c r="EJ44037"/>
      <c r="EK44037"/>
    </row>
    <row r="44038" spans="1:141" s="116" customFormat="1">
      <c r="A44038" s="136"/>
      <c r="CM44038" s="111"/>
      <c r="CQ44038" s="111"/>
      <c r="EF44038"/>
      <c r="EG44038"/>
      <c r="EH44038"/>
      <c r="EI44038"/>
      <c r="EJ44038"/>
      <c r="EK44038"/>
    </row>
    <row r="44039" spans="1:141" s="116" customFormat="1">
      <c r="A44039" s="136"/>
      <c r="CM44039" s="111"/>
      <c r="CQ44039" s="111"/>
      <c r="EF44039"/>
      <c r="EG44039"/>
      <c r="EH44039"/>
      <c r="EI44039"/>
      <c r="EJ44039"/>
      <c r="EK44039"/>
    </row>
    <row r="44040" spans="1:141" s="116" customFormat="1">
      <c r="A44040" s="136"/>
      <c r="CM44040" s="111"/>
      <c r="CQ44040" s="111"/>
      <c r="EF44040"/>
      <c r="EG44040"/>
      <c r="EH44040"/>
      <c r="EI44040"/>
      <c r="EJ44040"/>
      <c r="EK44040"/>
    </row>
    <row r="44041" spans="1:141" s="116" customFormat="1">
      <c r="A44041" s="136"/>
      <c r="CM44041" s="111"/>
      <c r="CQ44041" s="111"/>
      <c r="EF44041"/>
      <c r="EG44041"/>
      <c r="EH44041"/>
      <c r="EI44041"/>
      <c r="EJ44041"/>
      <c r="EK44041"/>
    </row>
    <row r="44042" spans="1:141" s="116" customFormat="1">
      <c r="A44042" s="136"/>
      <c r="CM44042" s="111"/>
      <c r="CQ44042" s="111"/>
      <c r="EF44042"/>
      <c r="EG44042"/>
      <c r="EH44042"/>
      <c r="EI44042"/>
      <c r="EJ44042"/>
      <c r="EK44042"/>
    </row>
    <row r="44043" spans="1:141" s="116" customFormat="1">
      <c r="A44043" s="136"/>
      <c r="CM44043" s="111"/>
      <c r="CQ44043" s="111"/>
      <c r="EF44043"/>
      <c r="EG44043"/>
      <c r="EH44043"/>
      <c r="EI44043"/>
      <c r="EJ44043"/>
      <c r="EK44043"/>
    </row>
    <row r="44044" spans="1:141" s="116" customFormat="1">
      <c r="A44044" s="136"/>
      <c r="CM44044" s="111"/>
      <c r="CQ44044" s="111"/>
      <c r="EF44044"/>
      <c r="EG44044"/>
      <c r="EH44044"/>
      <c r="EI44044"/>
      <c r="EJ44044"/>
      <c r="EK44044"/>
    </row>
    <row r="44045" spans="1:141" s="116" customFormat="1">
      <c r="A44045" s="136"/>
      <c r="CM44045" s="111"/>
      <c r="CQ44045" s="111"/>
      <c r="EF44045"/>
      <c r="EG44045"/>
      <c r="EH44045"/>
      <c r="EI44045"/>
      <c r="EJ44045"/>
      <c r="EK44045"/>
    </row>
    <row r="44046" spans="1:141" s="116" customFormat="1">
      <c r="A44046" s="136"/>
      <c r="CM44046" s="111"/>
      <c r="CQ44046" s="111"/>
      <c r="EF44046"/>
      <c r="EG44046"/>
      <c r="EH44046"/>
      <c r="EI44046"/>
      <c r="EJ44046"/>
      <c r="EK44046"/>
    </row>
    <row r="44047" spans="1:141" s="116" customFormat="1">
      <c r="A44047" s="136"/>
      <c r="CM44047" s="111"/>
      <c r="CQ44047" s="111"/>
      <c r="EF44047"/>
      <c r="EG44047"/>
      <c r="EH44047"/>
      <c r="EI44047"/>
      <c r="EJ44047"/>
      <c r="EK44047"/>
    </row>
    <row r="44048" spans="1:141" s="116" customFormat="1">
      <c r="A44048" s="136"/>
      <c r="CM44048" s="111"/>
      <c r="CQ44048" s="111"/>
      <c r="EF44048"/>
      <c r="EG44048"/>
      <c r="EH44048"/>
      <c r="EI44048"/>
      <c r="EJ44048"/>
      <c r="EK44048"/>
    </row>
    <row r="44049" spans="1:141" s="116" customFormat="1">
      <c r="A44049" s="136"/>
      <c r="CM44049" s="111"/>
      <c r="CQ44049" s="111"/>
      <c r="EF44049"/>
      <c r="EG44049"/>
      <c r="EH44049"/>
      <c r="EI44049"/>
      <c r="EJ44049"/>
      <c r="EK44049"/>
    </row>
    <row r="44050" spans="1:141" s="116" customFormat="1">
      <c r="A44050" s="136"/>
      <c r="CM44050" s="111"/>
      <c r="CQ44050" s="111"/>
      <c r="EF44050"/>
      <c r="EG44050"/>
      <c r="EH44050"/>
      <c r="EI44050"/>
      <c r="EJ44050"/>
      <c r="EK44050"/>
    </row>
    <row r="44051" spans="1:141" s="116" customFormat="1">
      <c r="A44051" s="136"/>
      <c r="CM44051" s="111"/>
      <c r="CQ44051" s="111"/>
      <c r="EF44051"/>
      <c r="EG44051"/>
      <c r="EH44051"/>
      <c r="EI44051"/>
      <c r="EJ44051"/>
      <c r="EK44051"/>
    </row>
    <row r="44052" spans="1:141" s="116" customFormat="1">
      <c r="A44052" s="136"/>
      <c r="CM44052" s="111"/>
      <c r="CQ44052" s="111"/>
      <c r="EF44052"/>
      <c r="EG44052"/>
      <c r="EH44052"/>
      <c r="EI44052"/>
      <c r="EJ44052"/>
      <c r="EK44052"/>
    </row>
    <row r="44053" spans="1:141" s="116" customFormat="1">
      <c r="A44053" s="136"/>
      <c r="CM44053" s="111"/>
      <c r="CQ44053" s="111"/>
      <c r="EF44053"/>
      <c r="EG44053"/>
      <c r="EH44053"/>
      <c r="EI44053"/>
      <c r="EJ44053"/>
      <c r="EK44053"/>
    </row>
    <row r="44054" spans="1:141" s="116" customFormat="1">
      <c r="A44054" s="136"/>
      <c r="CM44054" s="111"/>
      <c r="CQ44054" s="111"/>
      <c r="EF44054"/>
      <c r="EG44054"/>
      <c r="EH44054"/>
      <c r="EI44054"/>
      <c r="EJ44054"/>
      <c r="EK44054"/>
    </row>
    <row r="44055" spans="1:141" s="116" customFormat="1">
      <c r="A44055" s="136"/>
      <c r="CM44055" s="111"/>
      <c r="CQ44055" s="111"/>
      <c r="EF44055"/>
      <c r="EG44055"/>
      <c r="EH44055"/>
      <c r="EI44055"/>
      <c r="EJ44055"/>
      <c r="EK44055"/>
    </row>
    <row r="44056" spans="1:141" s="116" customFormat="1">
      <c r="A44056" s="136"/>
      <c r="CM44056" s="111"/>
      <c r="CQ44056" s="111"/>
      <c r="EF44056"/>
      <c r="EG44056"/>
      <c r="EH44056"/>
      <c r="EI44056"/>
      <c r="EJ44056"/>
      <c r="EK44056"/>
    </row>
    <row r="44057" spans="1:141" s="116" customFormat="1">
      <c r="A44057" s="136"/>
      <c r="CM44057" s="111"/>
      <c r="CQ44057" s="111"/>
      <c r="EF44057"/>
      <c r="EG44057"/>
      <c r="EH44057"/>
      <c r="EI44057"/>
      <c r="EJ44057"/>
      <c r="EK44057"/>
    </row>
    <row r="44058" spans="1:141" s="116" customFormat="1">
      <c r="A44058" s="136"/>
      <c r="CM44058" s="111"/>
      <c r="CQ44058" s="111"/>
      <c r="EF44058"/>
      <c r="EG44058"/>
      <c r="EH44058"/>
      <c r="EI44058"/>
      <c r="EJ44058"/>
      <c r="EK44058"/>
    </row>
    <row r="44059" spans="1:141" s="116" customFormat="1">
      <c r="A44059" s="136"/>
      <c r="CM44059" s="111"/>
      <c r="CQ44059" s="111"/>
      <c r="EF44059"/>
      <c r="EG44059"/>
      <c r="EH44059"/>
      <c r="EI44059"/>
      <c r="EJ44059"/>
      <c r="EK44059"/>
    </row>
    <row r="44060" spans="1:141" s="116" customFormat="1">
      <c r="A44060" s="136"/>
      <c r="CM44060" s="111"/>
      <c r="CQ44060" s="111"/>
      <c r="EF44060"/>
      <c r="EG44060"/>
      <c r="EH44060"/>
      <c r="EI44060"/>
      <c r="EJ44060"/>
      <c r="EK44060"/>
    </row>
    <row r="44061" spans="1:141" s="116" customFormat="1">
      <c r="A44061" s="136"/>
      <c r="CM44061" s="111"/>
      <c r="CQ44061" s="111"/>
      <c r="EF44061"/>
      <c r="EG44061"/>
      <c r="EH44061"/>
      <c r="EI44061"/>
      <c r="EJ44061"/>
      <c r="EK44061"/>
    </row>
    <row r="44062" spans="1:141" s="116" customFormat="1">
      <c r="A44062" s="136"/>
      <c r="CM44062" s="111"/>
      <c r="CQ44062" s="111"/>
      <c r="EF44062"/>
      <c r="EG44062"/>
      <c r="EH44062"/>
      <c r="EI44062"/>
      <c r="EJ44062"/>
      <c r="EK44062"/>
    </row>
    <row r="44063" spans="1:141" s="116" customFormat="1">
      <c r="A44063" s="136"/>
      <c r="CM44063" s="111"/>
      <c r="CQ44063" s="111"/>
      <c r="EF44063"/>
      <c r="EG44063"/>
      <c r="EH44063"/>
      <c r="EI44063"/>
      <c r="EJ44063"/>
      <c r="EK44063"/>
    </row>
    <row r="44064" spans="1:141" s="116" customFormat="1">
      <c r="A44064" s="136"/>
      <c r="CM44064" s="111"/>
      <c r="CQ44064" s="111"/>
      <c r="EF44064"/>
      <c r="EG44064"/>
      <c r="EH44064"/>
      <c r="EI44064"/>
      <c r="EJ44064"/>
      <c r="EK44064"/>
    </row>
    <row r="44065" spans="1:141" s="116" customFormat="1">
      <c r="A44065" s="136"/>
      <c r="CM44065" s="111"/>
      <c r="CQ44065" s="111"/>
      <c r="EF44065"/>
      <c r="EG44065"/>
      <c r="EH44065"/>
      <c r="EI44065"/>
      <c r="EJ44065"/>
      <c r="EK44065"/>
    </row>
    <row r="44066" spans="1:141" s="116" customFormat="1">
      <c r="A44066" s="136"/>
      <c r="CM44066" s="111"/>
      <c r="CQ44066" s="111"/>
      <c r="EF44066"/>
      <c r="EG44066"/>
      <c r="EH44066"/>
      <c r="EI44066"/>
      <c r="EJ44066"/>
      <c r="EK44066"/>
    </row>
    <row r="44067" spans="1:141" s="116" customFormat="1">
      <c r="A44067" s="136"/>
      <c r="CM44067" s="111"/>
      <c r="CQ44067" s="111"/>
      <c r="EF44067"/>
      <c r="EG44067"/>
      <c r="EH44067"/>
      <c r="EI44067"/>
      <c r="EJ44067"/>
      <c r="EK44067"/>
    </row>
    <row r="44068" spans="1:141" s="116" customFormat="1">
      <c r="A44068" s="136"/>
      <c r="CM44068" s="111"/>
      <c r="CQ44068" s="111"/>
      <c r="EF44068"/>
      <c r="EG44068"/>
      <c r="EH44068"/>
      <c r="EI44068"/>
      <c r="EJ44068"/>
      <c r="EK44068"/>
    </row>
    <row r="44069" spans="1:141" s="116" customFormat="1">
      <c r="A44069" s="136"/>
      <c r="CM44069" s="111"/>
      <c r="CQ44069" s="111"/>
      <c r="EF44069"/>
      <c r="EG44069"/>
      <c r="EH44069"/>
      <c r="EI44069"/>
      <c r="EJ44069"/>
      <c r="EK44069"/>
    </row>
    <row r="44070" spans="1:141" s="116" customFormat="1">
      <c r="A44070" s="136"/>
      <c r="CM44070" s="111"/>
      <c r="CQ44070" s="111"/>
      <c r="EF44070"/>
      <c r="EG44070"/>
      <c r="EH44070"/>
      <c r="EI44070"/>
      <c r="EJ44070"/>
      <c r="EK44070"/>
    </row>
    <row r="44071" spans="1:141" s="116" customFormat="1">
      <c r="A44071" s="136"/>
      <c r="CM44071" s="111"/>
      <c r="CQ44071" s="111"/>
      <c r="EF44071"/>
      <c r="EG44071"/>
      <c r="EH44071"/>
      <c r="EI44071"/>
      <c r="EJ44071"/>
      <c r="EK44071"/>
    </row>
    <row r="44072" spans="1:141" s="116" customFormat="1">
      <c r="A44072" s="136"/>
      <c r="CM44072" s="111"/>
      <c r="CQ44072" s="111"/>
      <c r="EF44072"/>
      <c r="EG44072"/>
      <c r="EH44072"/>
      <c r="EI44072"/>
      <c r="EJ44072"/>
      <c r="EK44072"/>
    </row>
    <row r="44073" spans="1:141" s="116" customFormat="1">
      <c r="A44073" s="136"/>
      <c r="CM44073" s="111"/>
      <c r="CQ44073" s="111"/>
      <c r="EF44073"/>
      <c r="EG44073"/>
      <c r="EH44073"/>
      <c r="EI44073"/>
      <c r="EJ44073"/>
      <c r="EK44073"/>
    </row>
    <row r="44074" spans="1:141" s="116" customFormat="1">
      <c r="A44074" s="136"/>
      <c r="CM44074" s="111"/>
      <c r="CQ44074" s="111"/>
      <c r="EF44074"/>
      <c r="EG44074"/>
      <c r="EH44074"/>
      <c r="EI44074"/>
      <c r="EJ44074"/>
      <c r="EK44074"/>
    </row>
    <row r="44075" spans="1:141" s="116" customFormat="1">
      <c r="A44075" s="136"/>
      <c r="CM44075" s="111"/>
      <c r="CQ44075" s="111"/>
      <c r="EF44075"/>
      <c r="EG44075"/>
      <c r="EH44075"/>
      <c r="EI44075"/>
      <c r="EJ44075"/>
      <c r="EK44075"/>
    </row>
    <row r="44076" spans="1:141" s="116" customFormat="1">
      <c r="A44076" s="136"/>
      <c r="CM44076" s="111"/>
      <c r="CQ44076" s="111"/>
      <c r="EF44076"/>
      <c r="EG44076"/>
      <c r="EH44076"/>
      <c r="EI44076"/>
      <c r="EJ44076"/>
      <c r="EK44076"/>
    </row>
    <row r="44077" spans="1:141" s="116" customFormat="1">
      <c r="A44077" s="136"/>
      <c r="CM44077" s="111"/>
      <c r="CQ44077" s="111"/>
      <c r="EF44077"/>
      <c r="EG44077"/>
      <c r="EH44077"/>
      <c r="EI44077"/>
      <c r="EJ44077"/>
      <c r="EK44077"/>
    </row>
    <row r="44078" spans="1:141" s="116" customFormat="1">
      <c r="A44078" s="136"/>
      <c r="CM44078" s="111"/>
      <c r="CQ44078" s="111"/>
      <c r="EF44078"/>
      <c r="EG44078"/>
      <c r="EH44078"/>
      <c r="EI44078"/>
      <c r="EJ44078"/>
      <c r="EK44078"/>
    </row>
    <row r="44079" spans="1:141" s="116" customFormat="1">
      <c r="A44079" s="136"/>
      <c r="CM44079" s="111"/>
      <c r="CQ44079" s="111"/>
      <c r="EF44079"/>
      <c r="EG44079"/>
      <c r="EH44079"/>
      <c r="EI44079"/>
      <c r="EJ44079"/>
      <c r="EK44079"/>
    </row>
    <row r="44080" spans="1:141" s="116" customFormat="1">
      <c r="A44080" s="136"/>
      <c r="CM44080" s="111"/>
      <c r="CQ44080" s="111"/>
      <c r="EF44080"/>
      <c r="EG44080"/>
      <c r="EH44080"/>
      <c r="EI44080"/>
      <c r="EJ44080"/>
      <c r="EK44080"/>
    </row>
    <row r="44081" spans="1:141" s="116" customFormat="1">
      <c r="A44081" s="136"/>
      <c r="CM44081" s="111"/>
      <c r="CQ44081" s="111"/>
      <c r="EF44081"/>
      <c r="EG44081"/>
      <c r="EH44081"/>
      <c r="EI44081"/>
      <c r="EJ44081"/>
      <c r="EK44081"/>
    </row>
    <row r="44082" spans="1:141" s="116" customFormat="1">
      <c r="A44082" s="136"/>
      <c r="CM44082" s="111"/>
      <c r="CQ44082" s="111"/>
      <c r="EF44082"/>
      <c r="EG44082"/>
      <c r="EH44082"/>
      <c r="EI44082"/>
      <c r="EJ44082"/>
      <c r="EK44082"/>
    </row>
    <row r="44083" spans="1:141" s="116" customFormat="1">
      <c r="A44083" s="136"/>
      <c r="CM44083" s="111"/>
      <c r="CQ44083" s="111"/>
      <c r="EF44083"/>
      <c r="EG44083"/>
      <c r="EH44083"/>
      <c r="EI44083"/>
      <c r="EJ44083"/>
      <c r="EK44083"/>
    </row>
    <row r="44084" spans="1:141" s="116" customFormat="1">
      <c r="A44084" s="136"/>
      <c r="CM44084" s="111"/>
      <c r="CQ44084" s="111"/>
      <c r="EF44084"/>
      <c r="EG44084"/>
      <c r="EH44084"/>
      <c r="EI44084"/>
      <c r="EJ44084"/>
      <c r="EK44084"/>
    </row>
    <row r="44085" spans="1:141" s="116" customFormat="1">
      <c r="A44085" s="136"/>
      <c r="CM44085" s="111"/>
      <c r="CQ44085" s="111"/>
      <c r="EF44085"/>
      <c r="EG44085"/>
      <c r="EH44085"/>
      <c r="EI44085"/>
      <c r="EJ44085"/>
      <c r="EK44085"/>
    </row>
    <row r="44086" spans="1:141" s="116" customFormat="1">
      <c r="A44086" s="136"/>
      <c r="CM44086" s="111"/>
      <c r="CQ44086" s="111"/>
      <c r="EF44086"/>
      <c r="EG44086"/>
      <c r="EH44086"/>
      <c r="EI44086"/>
      <c r="EJ44086"/>
      <c r="EK44086"/>
    </row>
    <row r="44087" spans="1:141" s="116" customFormat="1">
      <c r="A44087" s="136"/>
      <c r="CM44087" s="111"/>
      <c r="CQ44087" s="111"/>
      <c r="EF44087"/>
      <c r="EG44087"/>
      <c r="EH44087"/>
      <c r="EI44087"/>
      <c r="EJ44087"/>
      <c r="EK44087"/>
    </row>
    <row r="44088" spans="1:141" s="116" customFormat="1">
      <c r="A44088" s="136"/>
      <c r="CM44088" s="111"/>
      <c r="CQ44088" s="111"/>
      <c r="EF44088"/>
      <c r="EG44088"/>
      <c r="EH44088"/>
      <c r="EI44088"/>
      <c r="EJ44088"/>
      <c r="EK44088"/>
    </row>
    <row r="44089" spans="1:141" s="116" customFormat="1">
      <c r="A44089" s="136"/>
      <c r="CM44089" s="111"/>
      <c r="CQ44089" s="111"/>
      <c r="EF44089"/>
      <c r="EG44089"/>
      <c r="EH44089"/>
      <c r="EI44089"/>
      <c r="EJ44089"/>
      <c r="EK44089"/>
    </row>
    <row r="44090" spans="1:141" s="116" customFormat="1">
      <c r="A44090" s="136"/>
      <c r="CM44090" s="111"/>
      <c r="CQ44090" s="111"/>
      <c r="EF44090"/>
      <c r="EG44090"/>
      <c r="EH44090"/>
      <c r="EI44090"/>
      <c r="EJ44090"/>
      <c r="EK44090"/>
    </row>
    <row r="44091" spans="1:141" s="116" customFormat="1">
      <c r="A44091" s="136"/>
      <c r="CM44091" s="111"/>
      <c r="CQ44091" s="111"/>
      <c r="EF44091"/>
      <c r="EG44091"/>
      <c r="EH44091"/>
      <c r="EI44091"/>
      <c r="EJ44091"/>
      <c r="EK44091"/>
    </row>
    <row r="44092" spans="1:141" s="116" customFormat="1">
      <c r="A44092" s="136"/>
      <c r="CM44092" s="111"/>
      <c r="CQ44092" s="111"/>
      <c r="EF44092"/>
      <c r="EG44092"/>
      <c r="EH44092"/>
      <c r="EI44092"/>
      <c r="EJ44092"/>
      <c r="EK44092"/>
    </row>
    <row r="44093" spans="1:141" s="116" customFormat="1">
      <c r="A44093" s="136"/>
      <c r="CM44093" s="111"/>
      <c r="CQ44093" s="111"/>
      <c r="EF44093"/>
      <c r="EG44093"/>
      <c r="EH44093"/>
      <c r="EI44093"/>
      <c r="EJ44093"/>
      <c r="EK44093"/>
    </row>
    <row r="44094" spans="1:141" s="116" customFormat="1">
      <c r="A44094" s="136"/>
      <c r="CM44094" s="111"/>
      <c r="CQ44094" s="111"/>
      <c r="EF44094"/>
      <c r="EG44094"/>
      <c r="EH44094"/>
      <c r="EI44094"/>
      <c r="EJ44094"/>
      <c r="EK44094"/>
    </row>
    <row r="44095" spans="1:141" s="116" customFormat="1">
      <c r="A44095" s="136"/>
      <c r="CM44095" s="111"/>
      <c r="CQ44095" s="111"/>
      <c r="EF44095"/>
      <c r="EG44095"/>
      <c r="EH44095"/>
      <c r="EI44095"/>
      <c r="EJ44095"/>
      <c r="EK44095"/>
    </row>
    <row r="44096" spans="1:141" s="116" customFormat="1">
      <c r="A44096" s="136"/>
      <c r="CM44096" s="111"/>
      <c r="CQ44096" s="111"/>
      <c r="EF44096"/>
      <c r="EG44096"/>
      <c r="EH44096"/>
      <c r="EI44096"/>
      <c r="EJ44096"/>
      <c r="EK44096"/>
    </row>
    <row r="44097" spans="1:141" s="116" customFormat="1">
      <c r="A44097" s="136"/>
      <c r="CM44097" s="111"/>
      <c r="CQ44097" s="111"/>
      <c r="EF44097"/>
      <c r="EG44097"/>
      <c r="EH44097"/>
      <c r="EI44097"/>
      <c r="EJ44097"/>
      <c r="EK44097"/>
    </row>
    <row r="44098" spans="1:141" s="116" customFormat="1">
      <c r="A44098" s="136"/>
      <c r="CM44098" s="111"/>
      <c r="CQ44098" s="111"/>
      <c r="EF44098"/>
      <c r="EG44098"/>
      <c r="EH44098"/>
      <c r="EI44098"/>
      <c r="EJ44098"/>
      <c r="EK44098"/>
    </row>
    <row r="44099" spans="1:141" s="116" customFormat="1">
      <c r="A44099" s="136"/>
      <c r="CM44099" s="111"/>
      <c r="CQ44099" s="111"/>
      <c r="EF44099"/>
      <c r="EG44099"/>
      <c r="EH44099"/>
      <c r="EI44099"/>
      <c r="EJ44099"/>
      <c r="EK44099"/>
    </row>
    <row r="44100" spans="1:141" s="116" customFormat="1">
      <c r="A44100" s="136"/>
      <c r="CM44100" s="111"/>
      <c r="CQ44100" s="111"/>
      <c r="EF44100"/>
      <c r="EG44100"/>
      <c r="EH44100"/>
      <c r="EI44100"/>
      <c r="EJ44100"/>
      <c r="EK44100"/>
    </row>
    <row r="44101" spans="1:141" s="116" customFormat="1">
      <c r="A44101" s="136"/>
      <c r="CM44101" s="111"/>
      <c r="CQ44101" s="111"/>
      <c r="EF44101"/>
      <c r="EG44101"/>
      <c r="EH44101"/>
      <c r="EI44101"/>
      <c r="EJ44101"/>
      <c r="EK44101"/>
    </row>
    <row r="44102" spans="1:141" s="116" customFormat="1">
      <c r="A44102" s="136"/>
      <c r="CM44102" s="111"/>
      <c r="CQ44102" s="111"/>
      <c r="EF44102"/>
      <c r="EG44102"/>
      <c r="EH44102"/>
      <c r="EI44102"/>
      <c r="EJ44102"/>
      <c r="EK44102"/>
    </row>
    <row r="44103" spans="1:141" s="116" customFormat="1">
      <c r="A44103" s="136"/>
      <c r="CM44103" s="111"/>
      <c r="CQ44103" s="111"/>
      <c r="EF44103"/>
      <c r="EG44103"/>
      <c r="EH44103"/>
      <c r="EI44103"/>
      <c r="EJ44103"/>
      <c r="EK44103"/>
    </row>
    <row r="44104" spans="1:141" s="116" customFormat="1">
      <c r="A44104" s="136"/>
      <c r="CM44104" s="111"/>
      <c r="CQ44104" s="111"/>
      <c r="EF44104"/>
      <c r="EG44104"/>
      <c r="EH44104"/>
      <c r="EI44104"/>
      <c r="EJ44104"/>
      <c r="EK44104"/>
    </row>
    <row r="44105" spans="1:141" s="116" customFormat="1">
      <c r="A44105" s="136"/>
      <c r="CM44105" s="111"/>
      <c r="CQ44105" s="111"/>
      <c r="EF44105"/>
      <c r="EG44105"/>
      <c r="EH44105"/>
      <c r="EI44105"/>
      <c r="EJ44105"/>
      <c r="EK44105"/>
    </row>
    <row r="44106" spans="1:141" s="116" customFormat="1">
      <c r="A44106" s="136"/>
      <c r="CM44106" s="111"/>
      <c r="CQ44106" s="111"/>
      <c r="EF44106"/>
      <c r="EG44106"/>
      <c r="EH44106"/>
      <c r="EI44106"/>
      <c r="EJ44106"/>
      <c r="EK44106"/>
    </row>
    <row r="44107" spans="1:141" s="116" customFormat="1">
      <c r="A44107" s="136"/>
      <c r="CM44107" s="111"/>
      <c r="CQ44107" s="111"/>
      <c r="EF44107"/>
      <c r="EG44107"/>
      <c r="EH44107"/>
      <c r="EI44107"/>
      <c r="EJ44107"/>
      <c r="EK44107"/>
    </row>
    <row r="44108" spans="1:141" s="116" customFormat="1">
      <c r="A44108" s="136"/>
      <c r="CM44108" s="111"/>
      <c r="CQ44108" s="111"/>
      <c r="EF44108"/>
      <c r="EG44108"/>
      <c r="EH44108"/>
      <c r="EI44108"/>
      <c r="EJ44108"/>
      <c r="EK44108"/>
    </row>
    <row r="44109" spans="1:141" s="116" customFormat="1">
      <c r="A44109" s="136"/>
      <c r="CM44109" s="111"/>
      <c r="CQ44109" s="111"/>
      <c r="EF44109"/>
      <c r="EG44109"/>
      <c r="EH44109"/>
      <c r="EI44109"/>
      <c r="EJ44109"/>
      <c r="EK44109"/>
    </row>
    <row r="44110" spans="1:141" s="116" customFormat="1">
      <c r="A44110" s="136"/>
      <c r="CM44110" s="111"/>
      <c r="CQ44110" s="111"/>
      <c r="EF44110"/>
      <c r="EG44110"/>
      <c r="EH44110"/>
      <c r="EI44110"/>
      <c r="EJ44110"/>
      <c r="EK44110"/>
    </row>
    <row r="44111" spans="1:141" s="116" customFormat="1">
      <c r="A44111" s="136"/>
      <c r="CM44111" s="111"/>
      <c r="CQ44111" s="111"/>
      <c r="EF44111"/>
      <c r="EG44111"/>
      <c r="EH44111"/>
      <c r="EI44111"/>
      <c r="EJ44111"/>
      <c r="EK44111"/>
    </row>
    <row r="44112" spans="1:141" s="116" customFormat="1">
      <c r="A44112" s="136"/>
      <c r="CM44112" s="111"/>
      <c r="CQ44112" s="111"/>
      <c r="EF44112"/>
      <c r="EG44112"/>
      <c r="EH44112"/>
      <c r="EI44112"/>
      <c r="EJ44112"/>
      <c r="EK44112"/>
    </row>
    <row r="44113" spans="1:141" s="116" customFormat="1">
      <c r="A44113" s="136"/>
      <c r="CM44113" s="111"/>
      <c r="CQ44113" s="111"/>
      <c r="EF44113"/>
      <c r="EG44113"/>
      <c r="EH44113"/>
      <c r="EI44113"/>
      <c r="EJ44113"/>
      <c r="EK44113"/>
    </row>
    <row r="44114" spans="1:141" s="116" customFormat="1">
      <c r="A44114" s="136"/>
      <c r="CM44114" s="111"/>
      <c r="CQ44114" s="111"/>
      <c r="EF44114"/>
      <c r="EG44114"/>
      <c r="EH44114"/>
      <c r="EI44114"/>
      <c r="EJ44114"/>
      <c r="EK44114"/>
    </row>
    <row r="44115" spans="1:141" s="116" customFormat="1">
      <c r="A44115" s="136"/>
      <c r="CM44115" s="111"/>
      <c r="CQ44115" s="111"/>
      <c r="EF44115"/>
      <c r="EG44115"/>
      <c r="EH44115"/>
      <c r="EI44115"/>
      <c r="EJ44115"/>
      <c r="EK44115"/>
    </row>
    <row r="44116" spans="1:141" s="116" customFormat="1">
      <c r="A44116" s="136"/>
      <c r="CM44116" s="111"/>
      <c r="CQ44116" s="111"/>
      <c r="EF44116"/>
      <c r="EG44116"/>
      <c r="EH44116"/>
      <c r="EI44116"/>
      <c r="EJ44116"/>
      <c r="EK44116"/>
    </row>
    <row r="44117" spans="1:141" s="116" customFormat="1">
      <c r="A44117" s="136"/>
      <c r="CM44117" s="111"/>
      <c r="CQ44117" s="111"/>
      <c r="EF44117"/>
      <c r="EG44117"/>
      <c r="EH44117"/>
      <c r="EI44117"/>
      <c r="EJ44117"/>
      <c r="EK44117"/>
    </row>
    <row r="44118" spans="1:141" s="116" customFormat="1">
      <c r="A44118" s="136"/>
      <c r="CM44118" s="111"/>
      <c r="CQ44118" s="111"/>
      <c r="EF44118"/>
      <c r="EG44118"/>
      <c r="EH44118"/>
      <c r="EI44118"/>
      <c r="EJ44118"/>
      <c r="EK44118"/>
    </row>
    <row r="44119" spans="1:141" s="116" customFormat="1">
      <c r="A44119" s="136"/>
      <c r="CM44119" s="111"/>
      <c r="CQ44119" s="111"/>
      <c r="EF44119"/>
      <c r="EG44119"/>
      <c r="EH44119"/>
      <c r="EI44119"/>
      <c r="EJ44119"/>
      <c r="EK44119"/>
    </row>
    <row r="44120" spans="1:141" s="116" customFormat="1">
      <c r="A44120" s="136"/>
      <c r="CM44120" s="111"/>
      <c r="CQ44120" s="111"/>
      <c r="EF44120"/>
      <c r="EG44120"/>
      <c r="EH44120"/>
      <c r="EI44120"/>
      <c r="EJ44120"/>
      <c r="EK44120"/>
    </row>
    <row r="44121" spans="1:141" s="116" customFormat="1">
      <c r="A44121" s="136"/>
      <c r="CM44121" s="111"/>
      <c r="CQ44121" s="111"/>
      <c r="EF44121"/>
      <c r="EG44121"/>
      <c r="EH44121"/>
      <c r="EI44121"/>
      <c r="EJ44121"/>
      <c r="EK44121"/>
    </row>
    <row r="44122" spans="1:141" s="116" customFormat="1">
      <c r="A44122" s="136"/>
      <c r="CM44122" s="111"/>
      <c r="CQ44122" s="111"/>
      <c r="EF44122"/>
      <c r="EG44122"/>
      <c r="EH44122"/>
      <c r="EI44122"/>
      <c r="EJ44122"/>
      <c r="EK44122"/>
    </row>
    <row r="44123" spans="1:141" s="116" customFormat="1">
      <c r="A44123" s="136"/>
      <c r="CM44123" s="111"/>
      <c r="CQ44123" s="111"/>
      <c r="EF44123"/>
      <c r="EG44123"/>
      <c r="EH44123"/>
      <c r="EI44123"/>
      <c r="EJ44123"/>
      <c r="EK44123"/>
    </row>
    <row r="44124" spans="1:141" s="116" customFormat="1">
      <c r="A44124" s="136"/>
      <c r="CM44124" s="111"/>
      <c r="CQ44124" s="111"/>
      <c r="EF44124"/>
      <c r="EG44124"/>
      <c r="EH44124"/>
      <c r="EI44124"/>
      <c r="EJ44124"/>
      <c r="EK44124"/>
    </row>
    <row r="44125" spans="1:141" s="116" customFormat="1">
      <c r="A44125" s="136"/>
      <c r="CM44125" s="111"/>
      <c r="CQ44125" s="111"/>
      <c r="EF44125"/>
      <c r="EG44125"/>
      <c r="EH44125"/>
      <c r="EI44125"/>
      <c r="EJ44125"/>
      <c r="EK44125"/>
    </row>
    <row r="44126" spans="1:141" s="116" customFormat="1">
      <c r="A44126" s="136"/>
      <c r="CM44126" s="111"/>
      <c r="CQ44126" s="111"/>
      <c r="EF44126"/>
      <c r="EG44126"/>
      <c r="EH44126"/>
      <c r="EI44126"/>
      <c r="EJ44126"/>
      <c r="EK44126"/>
    </row>
    <row r="44127" spans="1:141" s="116" customFormat="1">
      <c r="A44127" s="136"/>
      <c r="CM44127" s="111"/>
      <c r="CQ44127" s="111"/>
      <c r="EF44127"/>
      <c r="EG44127"/>
      <c r="EH44127"/>
      <c r="EI44127"/>
      <c r="EJ44127"/>
      <c r="EK44127"/>
    </row>
    <row r="44128" spans="1:141" s="116" customFormat="1">
      <c r="A44128" s="136"/>
      <c r="CM44128" s="111"/>
      <c r="CQ44128" s="111"/>
      <c r="EF44128"/>
      <c r="EG44128"/>
      <c r="EH44128"/>
      <c r="EI44128"/>
      <c r="EJ44128"/>
      <c r="EK44128"/>
    </row>
    <row r="44129" spans="1:141" s="116" customFormat="1">
      <c r="A44129" s="136"/>
      <c r="CM44129" s="111"/>
      <c r="CQ44129" s="111"/>
      <c r="EF44129"/>
      <c r="EG44129"/>
      <c r="EH44129"/>
      <c r="EI44129"/>
      <c r="EJ44129"/>
      <c r="EK44129"/>
    </row>
    <row r="44130" spans="1:141" s="116" customFormat="1">
      <c r="A44130" s="136"/>
      <c r="CM44130" s="111"/>
      <c r="CQ44130" s="111"/>
      <c r="EF44130"/>
      <c r="EG44130"/>
      <c r="EH44130"/>
      <c r="EI44130"/>
      <c r="EJ44130"/>
      <c r="EK44130"/>
    </row>
    <row r="44131" spans="1:141" s="116" customFormat="1">
      <c r="A44131" s="136"/>
      <c r="CM44131" s="111"/>
      <c r="CQ44131" s="111"/>
      <c r="EF44131"/>
      <c r="EG44131"/>
      <c r="EH44131"/>
      <c r="EI44131"/>
      <c r="EJ44131"/>
      <c r="EK44131"/>
    </row>
    <row r="44132" spans="1:141" s="116" customFormat="1">
      <c r="A44132" s="136"/>
      <c r="CM44132" s="111"/>
      <c r="CQ44132" s="111"/>
      <c r="EF44132"/>
      <c r="EG44132"/>
      <c r="EH44132"/>
      <c r="EI44132"/>
      <c r="EJ44132"/>
      <c r="EK44132"/>
    </row>
    <row r="44133" spans="1:141" s="116" customFormat="1">
      <c r="A44133" s="136"/>
      <c r="CM44133" s="111"/>
      <c r="CQ44133" s="111"/>
      <c r="EF44133"/>
      <c r="EG44133"/>
      <c r="EH44133"/>
      <c r="EI44133"/>
      <c r="EJ44133"/>
      <c r="EK44133"/>
    </row>
    <row r="44134" spans="1:141" s="116" customFormat="1">
      <c r="A44134" s="136"/>
      <c r="CM44134" s="111"/>
      <c r="CQ44134" s="111"/>
      <c r="EF44134"/>
      <c r="EG44134"/>
      <c r="EH44134"/>
      <c r="EI44134"/>
      <c r="EJ44134"/>
      <c r="EK44134"/>
    </row>
    <row r="44135" spans="1:141" s="116" customFormat="1">
      <c r="A44135" s="136"/>
      <c r="CM44135" s="111"/>
      <c r="CQ44135" s="111"/>
      <c r="EF44135"/>
      <c r="EG44135"/>
      <c r="EH44135"/>
      <c r="EI44135"/>
      <c r="EJ44135"/>
      <c r="EK44135"/>
    </row>
    <row r="44136" spans="1:141" s="116" customFormat="1">
      <c r="A44136" s="136"/>
      <c r="CM44136" s="111"/>
      <c r="CQ44136" s="111"/>
      <c r="EF44136"/>
      <c r="EG44136"/>
      <c r="EH44136"/>
      <c r="EI44136"/>
      <c r="EJ44136"/>
      <c r="EK44136"/>
    </row>
    <row r="44137" spans="1:141" s="116" customFormat="1">
      <c r="A44137" s="136"/>
      <c r="CM44137" s="111"/>
      <c r="CQ44137" s="111"/>
      <c r="EF44137"/>
      <c r="EG44137"/>
      <c r="EH44137"/>
      <c r="EI44137"/>
      <c r="EJ44137"/>
      <c r="EK44137"/>
    </row>
    <row r="44138" spans="1:141" s="116" customFormat="1">
      <c r="A44138" s="136"/>
      <c r="CM44138" s="111"/>
      <c r="CQ44138" s="111"/>
      <c r="EF44138"/>
      <c r="EG44138"/>
      <c r="EH44138"/>
      <c r="EI44138"/>
      <c r="EJ44138"/>
      <c r="EK44138"/>
    </row>
    <row r="44139" spans="1:141" s="116" customFormat="1">
      <c r="A44139" s="136"/>
      <c r="CM44139" s="111"/>
      <c r="CQ44139" s="111"/>
      <c r="EF44139"/>
      <c r="EG44139"/>
      <c r="EH44139"/>
      <c r="EI44139"/>
      <c r="EJ44139"/>
      <c r="EK44139"/>
    </row>
    <row r="44140" spans="1:141" s="116" customFormat="1">
      <c r="A44140" s="136"/>
      <c r="CM44140" s="111"/>
      <c r="CQ44140" s="111"/>
      <c r="EF44140"/>
      <c r="EG44140"/>
      <c r="EH44140"/>
      <c r="EI44140"/>
      <c r="EJ44140"/>
      <c r="EK44140"/>
    </row>
    <row r="44141" spans="1:141" s="116" customFormat="1">
      <c r="A44141" s="136"/>
      <c r="CM44141" s="111"/>
      <c r="CQ44141" s="111"/>
      <c r="EF44141"/>
      <c r="EG44141"/>
      <c r="EH44141"/>
      <c r="EI44141"/>
      <c r="EJ44141"/>
      <c r="EK44141"/>
    </row>
    <row r="44142" spans="1:141" s="116" customFormat="1">
      <c r="A44142" s="136"/>
      <c r="CM44142" s="111"/>
      <c r="CQ44142" s="111"/>
      <c r="EF44142"/>
      <c r="EG44142"/>
      <c r="EH44142"/>
      <c r="EI44142"/>
      <c r="EJ44142"/>
      <c r="EK44142"/>
    </row>
    <row r="44143" spans="1:141" s="116" customFormat="1">
      <c r="A44143" s="136"/>
      <c r="CM44143" s="111"/>
      <c r="CQ44143" s="111"/>
      <c r="EF44143"/>
      <c r="EG44143"/>
      <c r="EH44143"/>
      <c r="EI44143"/>
      <c r="EJ44143"/>
      <c r="EK44143"/>
    </row>
    <row r="44144" spans="1:141" s="116" customFormat="1">
      <c r="A44144" s="136"/>
      <c r="CM44144" s="111"/>
      <c r="CQ44144" s="111"/>
      <c r="EF44144"/>
      <c r="EG44144"/>
      <c r="EH44144"/>
      <c r="EI44144"/>
      <c r="EJ44144"/>
      <c r="EK44144"/>
    </row>
    <row r="44145" spans="1:141" s="116" customFormat="1">
      <c r="A44145" s="136"/>
      <c r="CM44145" s="111"/>
      <c r="CQ44145" s="111"/>
      <c r="EF44145"/>
      <c r="EG44145"/>
      <c r="EH44145"/>
      <c r="EI44145"/>
      <c r="EJ44145"/>
      <c r="EK44145"/>
    </row>
    <row r="44146" spans="1:141" s="116" customFormat="1">
      <c r="A44146" s="136"/>
      <c r="CM44146" s="111"/>
      <c r="CQ44146" s="111"/>
      <c r="EF44146"/>
      <c r="EG44146"/>
      <c r="EH44146"/>
      <c r="EI44146"/>
      <c r="EJ44146"/>
      <c r="EK44146"/>
    </row>
    <row r="44147" spans="1:141" s="116" customFormat="1">
      <c r="A44147" s="136"/>
      <c r="CM44147" s="111"/>
      <c r="CQ44147" s="111"/>
      <c r="EF44147"/>
      <c r="EG44147"/>
      <c r="EH44147"/>
      <c r="EI44147"/>
      <c r="EJ44147"/>
      <c r="EK44147"/>
    </row>
    <row r="44148" spans="1:141" s="116" customFormat="1">
      <c r="A44148" s="136"/>
      <c r="CM44148" s="111"/>
      <c r="CQ44148" s="111"/>
      <c r="EF44148"/>
      <c r="EG44148"/>
      <c r="EH44148"/>
      <c r="EI44148"/>
      <c r="EJ44148"/>
      <c r="EK44148"/>
    </row>
    <row r="44149" spans="1:141" s="116" customFormat="1">
      <c r="A44149" s="136"/>
      <c r="CM44149" s="111"/>
      <c r="CQ44149" s="111"/>
      <c r="EF44149"/>
      <c r="EG44149"/>
      <c r="EH44149"/>
      <c r="EI44149"/>
      <c r="EJ44149"/>
      <c r="EK44149"/>
    </row>
    <row r="44150" spans="1:141" s="116" customFormat="1">
      <c r="A44150" s="136"/>
      <c r="CM44150" s="111"/>
      <c r="CQ44150" s="111"/>
      <c r="EF44150"/>
      <c r="EG44150"/>
      <c r="EH44150"/>
      <c r="EI44150"/>
      <c r="EJ44150"/>
      <c r="EK44150"/>
    </row>
    <row r="44151" spans="1:141" s="116" customFormat="1">
      <c r="A44151" s="136"/>
      <c r="CM44151" s="111"/>
      <c r="CQ44151" s="111"/>
      <c r="EF44151"/>
      <c r="EG44151"/>
      <c r="EH44151"/>
      <c r="EI44151"/>
      <c r="EJ44151"/>
      <c r="EK44151"/>
    </row>
    <row r="44152" spans="1:141" s="116" customFormat="1">
      <c r="A44152" s="136"/>
      <c r="CM44152" s="111"/>
      <c r="CQ44152" s="111"/>
      <c r="EF44152"/>
      <c r="EG44152"/>
      <c r="EH44152"/>
      <c r="EI44152"/>
      <c r="EJ44152"/>
      <c r="EK44152"/>
    </row>
    <row r="44153" spans="1:141" s="116" customFormat="1">
      <c r="A44153" s="136"/>
      <c r="CM44153" s="111"/>
      <c r="CQ44153" s="111"/>
      <c r="EF44153"/>
      <c r="EG44153"/>
      <c r="EH44153"/>
      <c r="EI44153"/>
      <c r="EJ44153"/>
      <c r="EK44153"/>
    </row>
    <row r="44154" spans="1:141" s="116" customFormat="1">
      <c r="A44154" s="136"/>
      <c r="CM44154" s="111"/>
      <c r="CQ44154" s="111"/>
      <c r="EF44154"/>
      <c r="EG44154"/>
      <c r="EH44154"/>
      <c r="EI44154"/>
      <c r="EJ44154"/>
      <c r="EK44154"/>
    </row>
    <row r="44155" spans="1:141" s="116" customFormat="1">
      <c r="A44155" s="136"/>
      <c r="CM44155" s="111"/>
      <c r="CQ44155" s="111"/>
      <c r="EF44155"/>
      <c r="EG44155"/>
      <c r="EH44155"/>
      <c r="EI44155"/>
      <c r="EJ44155"/>
      <c r="EK44155"/>
    </row>
    <row r="44156" spans="1:141" s="116" customFormat="1">
      <c r="A44156" s="136"/>
      <c r="CM44156" s="111"/>
      <c r="CQ44156" s="111"/>
      <c r="EF44156"/>
      <c r="EG44156"/>
      <c r="EH44156"/>
      <c r="EI44156"/>
      <c r="EJ44156"/>
      <c r="EK44156"/>
    </row>
    <row r="44157" spans="1:141" s="116" customFormat="1">
      <c r="A44157" s="136"/>
      <c r="CM44157" s="111"/>
      <c r="CQ44157" s="111"/>
      <c r="EF44157"/>
      <c r="EG44157"/>
      <c r="EH44157"/>
      <c r="EI44157"/>
      <c r="EJ44157"/>
      <c r="EK44157"/>
    </row>
    <row r="44158" spans="1:141" s="116" customFormat="1">
      <c r="A44158" s="136"/>
      <c r="CM44158" s="111"/>
      <c r="CQ44158" s="111"/>
      <c r="EF44158"/>
      <c r="EG44158"/>
      <c r="EH44158"/>
      <c r="EI44158"/>
      <c r="EJ44158"/>
      <c r="EK44158"/>
    </row>
    <row r="44159" spans="1:141" s="116" customFormat="1">
      <c r="A44159" s="136"/>
      <c r="CM44159" s="111"/>
      <c r="CQ44159" s="111"/>
      <c r="EF44159"/>
      <c r="EG44159"/>
      <c r="EH44159"/>
      <c r="EI44159"/>
      <c r="EJ44159"/>
      <c r="EK44159"/>
    </row>
    <row r="44160" spans="1:141" s="116" customFormat="1">
      <c r="A44160" s="136"/>
      <c r="CM44160" s="111"/>
      <c r="CQ44160" s="111"/>
      <c r="EF44160"/>
      <c r="EG44160"/>
      <c r="EH44160"/>
      <c r="EI44160"/>
      <c r="EJ44160"/>
      <c r="EK44160"/>
    </row>
    <row r="44161" spans="1:141" s="116" customFormat="1">
      <c r="A44161" s="136"/>
      <c r="CM44161" s="111"/>
      <c r="CQ44161" s="111"/>
      <c r="EF44161"/>
      <c r="EG44161"/>
      <c r="EH44161"/>
      <c r="EI44161"/>
      <c r="EJ44161"/>
      <c r="EK44161"/>
    </row>
    <row r="44162" spans="1:141" s="116" customFormat="1">
      <c r="A44162" s="136"/>
      <c r="CM44162" s="111"/>
      <c r="CQ44162" s="111"/>
      <c r="EF44162"/>
      <c r="EG44162"/>
      <c r="EH44162"/>
      <c r="EI44162"/>
      <c r="EJ44162"/>
      <c r="EK44162"/>
    </row>
    <row r="44163" spans="1:141" s="116" customFormat="1">
      <c r="A44163" s="136"/>
      <c r="CM44163" s="111"/>
      <c r="CQ44163" s="111"/>
      <c r="EF44163"/>
      <c r="EG44163"/>
      <c r="EH44163"/>
      <c r="EI44163"/>
      <c r="EJ44163"/>
      <c r="EK44163"/>
    </row>
    <row r="44164" spans="1:141" s="116" customFormat="1">
      <c r="A44164" s="136"/>
      <c r="CM44164" s="111"/>
      <c r="CQ44164" s="111"/>
      <c r="EF44164"/>
      <c r="EG44164"/>
      <c r="EH44164"/>
      <c r="EI44164"/>
      <c r="EJ44164"/>
      <c r="EK44164"/>
    </row>
    <row r="44165" spans="1:141" s="116" customFormat="1">
      <c r="A44165" s="136"/>
      <c r="CM44165" s="111"/>
      <c r="CQ44165" s="111"/>
      <c r="EF44165"/>
      <c r="EG44165"/>
      <c r="EH44165"/>
      <c r="EI44165"/>
      <c r="EJ44165"/>
      <c r="EK44165"/>
    </row>
    <row r="44166" spans="1:141" s="116" customFormat="1">
      <c r="A44166" s="136"/>
      <c r="CM44166" s="111"/>
      <c r="CQ44166" s="111"/>
      <c r="EF44166"/>
      <c r="EG44166"/>
      <c r="EH44166"/>
      <c r="EI44166"/>
      <c r="EJ44166"/>
      <c r="EK44166"/>
    </row>
    <row r="44167" spans="1:141" s="116" customFormat="1">
      <c r="A44167" s="136"/>
      <c r="CM44167" s="111"/>
      <c r="CQ44167" s="111"/>
      <c r="EF44167"/>
      <c r="EG44167"/>
      <c r="EH44167"/>
      <c r="EI44167"/>
      <c r="EJ44167"/>
      <c r="EK44167"/>
    </row>
    <row r="44168" spans="1:141" s="116" customFormat="1">
      <c r="A44168" s="136"/>
      <c r="CM44168" s="111"/>
      <c r="CQ44168" s="111"/>
      <c r="EF44168"/>
      <c r="EG44168"/>
      <c r="EH44168"/>
      <c r="EI44168"/>
      <c r="EJ44168"/>
      <c r="EK44168"/>
    </row>
    <row r="44169" spans="1:141" s="116" customFormat="1">
      <c r="A44169" s="136"/>
      <c r="CM44169" s="111"/>
      <c r="CQ44169" s="111"/>
      <c r="EF44169"/>
      <c r="EG44169"/>
      <c r="EH44169"/>
      <c r="EI44169"/>
      <c r="EJ44169"/>
      <c r="EK44169"/>
    </row>
    <row r="44170" spans="1:141" s="116" customFormat="1">
      <c r="A44170" s="136"/>
      <c r="CM44170" s="111"/>
      <c r="CQ44170" s="111"/>
      <c r="EF44170"/>
      <c r="EG44170"/>
      <c r="EH44170"/>
      <c r="EI44170"/>
      <c r="EJ44170"/>
      <c r="EK44170"/>
    </row>
    <row r="44171" spans="1:141" s="116" customFormat="1">
      <c r="A44171" s="136"/>
      <c r="CM44171" s="111"/>
      <c r="CQ44171" s="111"/>
      <c r="EF44171"/>
      <c r="EG44171"/>
      <c r="EH44171"/>
      <c r="EI44171"/>
      <c r="EJ44171"/>
      <c r="EK44171"/>
    </row>
    <row r="44172" spans="1:141" s="116" customFormat="1">
      <c r="A44172" s="136"/>
      <c r="CM44172" s="111"/>
      <c r="CQ44172" s="111"/>
      <c r="EF44172"/>
      <c r="EG44172"/>
      <c r="EH44172"/>
      <c r="EI44172"/>
      <c r="EJ44172"/>
      <c r="EK44172"/>
    </row>
    <row r="44173" spans="1:141" s="116" customFormat="1">
      <c r="A44173" s="136"/>
      <c r="CM44173" s="111"/>
      <c r="CQ44173" s="111"/>
      <c r="EF44173"/>
      <c r="EG44173"/>
      <c r="EH44173"/>
      <c r="EI44173"/>
      <c r="EJ44173"/>
      <c r="EK44173"/>
    </row>
    <row r="44174" spans="1:141" s="116" customFormat="1">
      <c r="A44174" s="136"/>
      <c r="CM44174" s="111"/>
      <c r="CQ44174" s="111"/>
      <c r="EF44174"/>
      <c r="EG44174"/>
      <c r="EH44174"/>
      <c r="EI44174"/>
      <c r="EJ44174"/>
      <c r="EK44174"/>
    </row>
    <row r="44175" spans="1:141" s="116" customFormat="1">
      <c r="A44175" s="136"/>
      <c r="CM44175" s="111"/>
      <c r="CQ44175" s="111"/>
      <c r="EF44175"/>
      <c r="EG44175"/>
      <c r="EH44175"/>
      <c r="EI44175"/>
      <c r="EJ44175"/>
      <c r="EK44175"/>
    </row>
    <row r="44176" spans="1:141" s="116" customFormat="1">
      <c r="A44176" s="136"/>
      <c r="CM44176" s="111"/>
      <c r="CQ44176" s="111"/>
      <c r="EF44176"/>
      <c r="EG44176"/>
      <c r="EH44176"/>
      <c r="EI44176"/>
      <c r="EJ44176"/>
      <c r="EK44176"/>
    </row>
    <row r="44177" spans="1:141" s="116" customFormat="1">
      <c r="A44177" s="136"/>
      <c r="CM44177" s="111"/>
      <c r="CQ44177" s="111"/>
      <c r="EF44177"/>
      <c r="EG44177"/>
      <c r="EH44177"/>
      <c r="EI44177"/>
      <c r="EJ44177"/>
      <c r="EK44177"/>
    </row>
    <row r="44178" spans="1:141" s="116" customFormat="1">
      <c r="A44178" s="136"/>
      <c r="CM44178" s="111"/>
      <c r="CQ44178" s="111"/>
      <c r="EF44178"/>
      <c r="EG44178"/>
      <c r="EH44178"/>
      <c r="EI44178"/>
      <c r="EJ44178"/>
      <c r="EK44178"/>
    </row>
    <row r="44179" spans="1:141" s="116" customFormat="1">
      <c r="A44179" s="136"/>
      <c r="CM44179" s="111"/>
      <c r="CQ44179" s="111"/>
      <c r="EF44179"/>
      <c r="EG44179"/>
      <c r="EH44179"/>
      <c r="EI44179"/>
      <c r="EJ44179"/>
      <c r="EK44179"/>
    </row>
    <row r="44180" spans="1:141" s="116" customFormat="1">
      <c r="A44180" s="136"/>
      <c r="CM44180" s="111"/>
      <c r="CQ44180" s="111"/>
      <c r="EF44180"/>
      <c r="EG44180"/>
      <c r="EH44180"/>
      <c r="EI44180"/>
      <c r="EJ44180"/>
      <c r="EK44180"/>
    </row>
    <row r="44181" spans="1:141" s="116" customFormat="1">
      <c r="A44181" s="136"/>
      <c r="CM44181" s="111"/>
      <c r="CQ44181" s="111"/>
      <c r="EF44181"/>
      <c r="EG44181"/>
      <c r="EH44181"/>
      <c r="EI44181"/>
      <c r="EJ44181"/>
      <c r="EK44181"/>
    </row>
    <row r="44182" spans="1:141" s="116" customFormat="1">
      <c r="A44182" s="136"/>
      <c r="CM44182" s="111"/>
      <c r="CQ44182" s="111"/>
      <c r="EF44182"/>
      <c r="EG44182"/>
      <c r="EH44182"/>
      <c r="EI44182"/>
      <c r="EJ44182"/>
      <c r="EK44182"/>
    </row>
    <row r="44183" spans="1:141" s="116" customFormat="1">
      <c r="A44183" s="136"/>
      <c r="CM44183" s="111"/>
      <c r="CQ44183" s="111"/>
      <c r="EF44183"/>
      <c r="EG44183"/>
      <c r="EH44183"/>
      <c r="EI44183"/>
      <c r="EJ44183"/>
      <c r="EK44183"/>
    </row>
    <row r="44184" spans="1:141" s="116" customFormat="1">
      <c r="A44184" s="136"/>
      <c r="CM44184" s="111"/>
      <c r="CQ44184" s="111"/>
      <c r="EF44184"/>
      <c r="EG44184"/>
      <c r="EH44184"/>
      <c r="EI44184"/>
      <c r="EJ44184"/>
      <c r="EK44184"/>
    </row>
    <row r="44185" spans="1:141" s="116" customFormat="1">
      <c r="A44185" s="136"/>
      <c r="CM44185" s="111"/>
      <c r="CQ44185" s="111"/>
      <c r="EF44185"/>
      <c r="EG44185"/>
      <c r="EH44185"/>
      <c r="EI44185"/>
      <c r="EJ44185"/>
      <c r="EK44185"/>
    </row>
    <row r="44186" spans="1:141" s="116" customFormat="1">
      <c r="A44186" s="136"/>
      <c r="CM44186" s="111"/>
      <c r="CQ44186" s="111"/>
      <c r="EF44186"/>
      <c r="EG44186"/>
      <c r="EH44186"/>
      <c r="EI44186"/>
      <c r="EJ44186"/>
      <c r="EK44186"/>
    </row>
    <row r="44187" spans="1:141" s="116" customFormat="1">
      <c r="A44187" s="136"/>
      <c r="CM44187" s="111"/>
      <c r="CQ44187" s="111"/>
      <c r="EF44187"/>
      <c r="EG44187"/>
      <c r="EH44187"/>
      <c r="EI44187"/>
      <c r="EJ44187"/>
      <c r="EK44187"/>
    </row>
    <row r="44188" spans="1:141" s="116" customFormat="1">
      <c r="A44188" s="136"/>
      <c r="CM44188" s="111"/>
      <c r="CQ44188" s="111"/>
      <c r="EF44188"/>
      <c r="EG44188"/>
      <c r="EH44188"/>
      <c r="EI44188"/>
      <c r="EJ44188"/>
      <c r="EK44188"/>
    </row>
    <row r="44189" spans="1:141" s="116" customFormat="1">
      <c r="A44189" s="136"/>
      <c r="CM44189" s="111"/>
      <c r="CQ44189" s="111"/>
      <c r="EF44189"/>
      <c r="EG44189"/>
      <c r="EH44189"/>
      <c r="EI44189"/>
      <c r="EJ44189"/>
      <c r="EK44189"/>
    </row>
    <row r="44190" spans="1:141" s="116" customFormat="1">
      <c r="A44190" s="136"/>
      <c r="CM44190" s="111"/>
      <c r="CQ44190" s="111"/>
      <c r="EF44190"/>
      <c r="EG44190"/>
      <c r="EH44190"/>
      <c r="EI44190"/>
      <c r="EJ44190"/>
      <c r="EK44190"/>
    </row>
    <row r="44191" spans="1:141" s="116" customFormat="1">
      <c r="A44191" s="136"/>
      <c r="CM44191" s="111"/>
      <c r="CQ44191" s="111"/>
      <c r="EF44191"/>
      <c r="EG44191"/>
      <c r="EH44191"/>
      <c r="EI44191"/>
      <c r="EJ44191"/>
      <c r="EK44191"/>
    </row>
    <row r="44192" spans="1:141" s="116" customFormat="1">
      <c r="A44192" s="136"/>
      <c r="CM44192" s="111"/>
      <c r="CQ44192" s="111"/>
      <c r="EF44192"/>
      <c r="EG44192"/>
      <c r="EH44192"/>
      <c r="EI44192"/>
      <c r="EJ44192"/>
      <c r="EK44192"/>
    </row>
    <row r="44193" spans="1:141" s="116" customFormat="1">
      <c r="A44193" s="136"/>
      <c r="CM44193" s="111"/>
      <c r="CQ44193" s="111"/>
      <c r="EF44193"/>
      <c r="EG44193"/>
      <c r="EH44193"/>
      <c r="EI44193"/>
      <c r="EJ44193"/>
      <c r="EK44193"/>
    </row>
    <row r="44194" spans="1:141" s="116" customFormat="1">
      <c r="A44194" s="136"/>
      <c r="CM44194" s="111"/>
      <c r="CQ44194" s="111"/>
      <c r="EF44194"/>
      <c r="EG44194"/>
      <c r="EH44194"/>
      <c r="EI44194"/>
      <c r="EJ44194"/>
      <c r="EK44194"/>
    </row>
    <row r="44195" spans="1:141" s="116" customFormat="1">
      <c r="A44195" s="136"/>
      <c r="CM44195" s="111"/>
      <c r="CQ44195" s="111"/>
      <c r="EF44195"/>
      <c r="EG44195"/>
      <c r="EH44195"/>
      <c r="EI44195"/>
      <c r="EJ44195"/>
      <c r="EK44195"/>
    </row>
    <row r="44196" spans="1:141" s="116" customFormat="1">
      <c r="A44196" s="136"/>
      <c r="CM44196" s="111"/>
      <c r="CQ44196" s="111"/>
      <c r="EF44196"/>
      <c r="EG44196"/>
      <c r="EH44196"/>
      <c r="EI44196"/>
      <c r="EJ44196"/>
      <c r="EK44196"/>
    </row>
    <row r="44197" spans="1:141" s="116" customFormat="1">
      <c r="A44197" s="136"/>
      <c r="CM44197" s="111"/>
      <c r="CQ44197" s="111"/>
      <c r="EF44197"/>
      <c r="EG44197"/>
      <c r="EH44197"/>
      <c r="EI44197"/>
      <c r="EJ44197"/>
      <c r="EK44197"/>
    </row>
    <row r="44198" spans="1:141" s="116" customFormat="1">
      <c r="A44198" s="136"/>
      <c r="CM44198" s="111"/>
      <c r="CQ44198" s="111"/>
      <c r="EF44198"/>
      <c r="EG44198"/>
      <c r="EH44198"/>
      <c r="EI44198"/>
      <c r="EJ44198"/>
      <c r="EK44198"/>
    </row>
    <row r="44199" spans="1:141" s="116" customFormat="1">
      <c r="A44199" s="136"/>
      <c r="CM44199" s="111"/>
      <c r="CQ44199" s="111"/>
      <c r="EF44199"/>
      <c r="EG44199"/>
      <c r="EH44199"/>
      <c r="EI44199"/>
      <c r="EJ44199"/>
      <c r="EK44199"/>
    </row>
    <row r="44200" spans="1:141" s="116" customFormat="1">
      <c r="A44200" s="136"/>
      <c r="CM44200" s="111"/>
      <c r="CQ44200" s="111"/>
      <c r="EF44200"/>
      <c r="EG44200"/>
      <c r="EH44200"/>
      <c r="EI44200"/>
      <c r="EJ44200"/>
      <c r="EK44200"/>
    </row>
    <row r="44201" spans="1:141" s="116" customFormat="1">
      <c r="A44201" s="136"/>
      <c r="CM44201" s="111"/>
      <c r="CQ44201" s="111"/>
      <c r="EF44201"/>
      <c r="EG44201"/>
      <c r="EH44201"/>
      <c r="EI44201"/>
      <c r="EJ44201"/>
      <c r="EK44201"/>
    </row>
    <row r="44202" spans="1:141" s="116" customFormat="1">
      <c r="A44202" s="136"/>
      <c r="CM44202" s="111"/>
      <c r="CQ44202" s="111"/>
      <c r="EF44202"/>
      <c r="EG44202"/>
      <c r="EH44202"/>
      <c r="EI44202"/>
      <c r="EJ44202"/>
      <c r="EK44202"/>
    </row>
    <row r="44203" spans="1:141" s="116" customFormat="1">
      <c r="A44203" s="136"/>
      <c r="CM44203" s="111"/>
      <c r="CQ44203" s="111"/>
      <c r="EF44203"/>
      <c r="EG44203"/>
      <c r="EH44203"/>
      <c r="EI44203"/>
      <c r="EJ44203"/>
      <c r="EK44203"/>
    </row>
    <row r="44204" spans="1:141" s="116" customFormat="1">
      <c r="A44204" s="136"/>
      <c r="CM44204" s="111"/>
      <c r="CQ44204" s="111"/>
      <c r="EF44204"/>
      <c r="EG44204"/>
      <c r="EH44204"/>
      <c r="EI44204"/>
      <c r="EJ44204"/>
      <c r="EK44204"/>
    </row>
    <row r="44205" spans="1:141" s="116" customFormat="1">
      <c r="A44205" s="136"/>
      <c r="CM44205" s="111"/>
      <c r="CQ44205" s="111"/>
      <c r="EF44205"/>
      <c r="EG44205"/>
      <c r="EH44205"/>
      <c r="EI44205"/>
      <c r="EJ44205"/>
      <c r="EK44205"/>
    </row>
    <row r="44206" spans="1:141" s="116" customFormat="1">
      <c r="A44206" s="136"/>
      <c r="CM44206" s="111"/>
      <c r="CQ44206" s="111"/>
      <c r="EF44206"/>
      <c r="EG44206"/>
      <c r="EH44206"/>
      <c r="EI44206"/>
      <c r="EJ44206"/>
      <c r="EK44206"/>
    </row>
    <row r="44207" spans="1:141" s="116" customFormat="1">
      <c r="A44207" s="136"/>
      <c r="CM44207" s="111"/>
      <c r="CQ44207" s="111"/>
      <c r="EF44207"/>
      <c r="EG44207"/>
      <c r="EH44207"/>
      <c r="EI44207"/>
      <c r="EJ44207"/>
      <c r="EK44207"/>
    </row>
    <row r="44208" spans="1:141" s="116" customFormat="1">
      <c r="A44208" s="136"/>
      <c r="CM44208" s="111"/>
      <c r="CQ44208" s="111"/>
      <c r="EF44208"/>
      <c r="EG44208"/>
      <c r="EH44208"/>
      <c r="EI44208"/>
      <c r="EJ44208"/>
      <c r="EK44208"/>
    </row>
    <row r="44209" spans="1:141" s="116" customFormat="1">
      <c r="A44209" s="136"/>
      <c r="CM44209" s="111"/>
      <c r="CQ44209" s="111"/>
      <c r="EF44209"/>
      <c r="EG44209"/>
      <c r="EH44209"/>
      <c r="EI44209"/>
      <c r="EJ44209"/>
      <c r="EK44209"/>
    </row>
    <row r="44210" spans="1:141" s="116" customFormat="1">
      <c r="A44210" s="136"/>
      <c r="CM44210" s="111"/>
      <c r="CQ44210" s="111"/>
      <c r="EF44210"/>
      <c r="EG44210"/>
      <c r="EH44210"/>
      <c r="EI44210"/>
      <c r="EJ44210"/>
      <c r="EK44210"/>
    </row>
    <row r="44211" spans="1:141" s="116" customFormat="1">
      <c r="A44211" s="136"/>
      <c r="CM44211" s="111"/>
      <c r="CQ44211" s="111"/>
      <c r="EF44211"/>
      <c r="EG44211"/>
      <c r="EH44211"/>
      <c r="EI44211"/>
      <c r="EJ44211"/>
      <c r="EK44211"/>
    </row>
    <row r="44212" spans="1:141" s="116" customFormat="1">
      <c r="A44212" s="136"/>
      <c r="CM44212" s="111"/>
      <c r="CQ44212" s="111"/>
      <c r="EF44212"/>
      <c r="EG44212"/>
      <c r="EH44212"/>
      <c r="EI44212"/>
      <c r="EJ44212"/>
      <c r="EK44212"/>
    </row>
    <row r="44213" spans="1:141" s="116" customFormat="1">
      <c r="A44213" s="136"/>
      <c r="CM44213" s="111"/>
      <c r="CQ44213" s="111"/>
      <c r="EF44213"/>
      <c r="EG44213"/>
      <c r="EH44213"/>
      <c r="EI44213"/>
      <c r="EJ44213"/>
      <c r="EK44213"/>
    </row>
    <row r="44214" spans="1:141" s="116" customFormat="1">
      <c r="A44214" s="136"/>
      <c r="CM44214" s="111"/>
      <c r="CQ44214" s="111"/>
      <c r="EF44214"/>
      <c r="EG44214"/>
      <c r="EH44214"/>
      <c r="EI44214"/>
      <c r="EJ44214"/>
      <c r="EK44214"/>
    </row>
    <row r="44215" spans="1:141" s="116" customFormat="1">
      <c r="A44215" s="136"/>
      <c r="CM44215" s="111"/>
      <c r="CQ44215" s="111"/>
      <c r="EF44215"/>
      <c r="EG44215"/>
      <c r="EH44215"/>
      <c r="EI44215"/>
      <c r="EJ44215"/>
      <c r="EK44215"/>
    </row>
    <row r="44216" spans="1:141" s="116" customFormat="1">
      <c r="A44216" s="136"/>
      <c r="CM44216" s="111"/>
      <c r="CQ44216" s="111"/>
      <c r="EF44216"/>
      <c r="EG44216"/>
      <c r="EH44216"/>
      <c r="EI44216"/>
      <c r="EJ44216"/>
      <c r="EK44216"/>
    </row>
    <row r="44217" spans="1:141" s="116" customFormat="1">
      <c r="A44217" s="136"/>
      <c r="CM44217" s="111"/>
      <c r="CQ44217" s="111"/>
      <c r="EF44217"/>
      <c r="EG44217"/>
      <c r="EH44217"/>
      <c r="EI44217"/>
      <c r="EJ44217"/>
      <c r="EK44217"/>
    </row>
    <row r="44218" spans="1:141" s="116" customFormat="1">
      <c r="A44218" s="136"/>
      <c r="CM44218" s="111"/>
      <c r="CQ44218" s="111"/>
      <c r="EF44218"/>
      <c r="EG44218"/>
      <c r="EH44218"/>
      <c r="EI44218"/>
      <c r="EJ44218"/>
      <c r="EK44218"/>
    </row>
    <row r="44219" spans="1:141" s="116" customFormat="1">
      <c r="A44219" s="136"/>
      <c r="CM44219" s="111"/>
      <c r="CQ44219" s="111"/>
      <c r="EF44219"/>
      <c r="EG44219"/>
      <c r="EH44219"/>
      <c r="EI44219"/>
      <c r="EJ44219"/>
      <c r="EK44219"/>
    </row>
    <row r="44220" spans="1:141" s="116" customFormat="1">
      <c r="A44220" s="136"/>
      <c r="CM44220" s="111"/>
      <c r="CQ44220" s="111"/>
      <c r="EF44220"/>
      <c r="EG44220"/>
      <c r="EH44220"/>
      <c r="EI44220"/>
      <c r="EJ44220"/>
      <c r="EK44220"/>
    </row>
    <row r="44221" spans="1:141" s="116" customFormat="1">
      <c r="A44221" s="136"/>
      <c r="CM44221" s="111"/>
      <c r="CQ44221" s="111"/>
      <c r="EF44221"/>
      <c r="EG44221"/>
      <c r="EH44221"/>
      <c r="EI44221"/>
      <c r="EJ44221"/>
      <c r="EK44221"/>
    </row>
    <row r="44222" spans="1:141" s="116" customFormat="1">
      <c r="A44222" s="136"/>
      <c r="CM44222" s="111"/>
      <c r="CQ44222" s="111"/>
      <c r="EF44222"/>
      <c r="EG44222"/>
      <c r="EH44222"/>
      <c r="EI44222"/>
      <c r="EJ44222"/>
      <c r="EK44222"/>
    </row>
    <row r="44223" spans="1:141" s="116" customFormat="1">
      <c r="A44223" s="136"/>
      <c r="CM44223" s="111"/>
      <c r="CQ44223" s="111"/>
      <c r="EF44223"/>
      <c r="EG44223"/>
      <c r="EH44223"/>
      <c r="EI44223"/>
      <c r="EJ44223"/>
      <c r="EK44223"/>
    </row>
    <row r="44224" spans="1:141" s="116" customFormat="1">
      <c r="A44224" s="136"/>
      <c r="CM44224" s="111"/>
      <c r="CQ44224" s="111"/>
      <c r="EF44224"/>
      <c r="EG44224"/>
      <c r="EH44224"/>
      <c r="EI44224"/>
      <c r="EJ44224"/>
      <c r="EK44224"/>
    </row>
    <row r="44225" spans="1:141" s="116" customFormat="1">
      <c r="A44225" s="136"/>
      <c r="CM44225" s="111"/>
      <c r="CQ44225" s="111"/>
      <c r="EF44225"/>
      <c r="EG44225"/>
      <c r="EH44225"/>
      <c r="EI44225"/>
      <c r="EJ44225"/>
      <c r="EK44225"/>
    </row>
    <row r="44226" spans="1:141" s="116" customFormat="1">
      <c r="A44226" s="136"/>
      <c r="CM44226" s="111"/>
      <c r="CQ44226" s="111"/>
      <c r="EF44226"/>
      <c r="EG44226"/>
      <c r="EH44226"/>
      <c r="EI44226"/>
      <c r="EJ44226"/>
      <c r="EK44226"/>
    </row>
    <row r="44227" spans="1:141" s="116" customFormat="1">
      <c r="A44227" s="136"/>
      <c r="CM44227" s="111"/>
      <c r="CQ44227" s="111"/>
      <c r="EF44227"/>
      <c r="EG44227"/>
      <c r="EH44227"/>
      <c r="EI44227"/>
      <c r="EJ44227"/>
      <c r="EK44227"/>
    </row>
    <row r="44228" spans="1:141" s="116" customFormat="1">
      <c r="A44228" s="136"/>
      <c r="CM44228" s="111"/>
      <c r="CQ44228" s="111"/>
      <c r="EF44228"/>
      <c r="EG44228"/>
      <c r="EH44228"/>
      <c r="EI44228"/>
      <c r="EJ44228"/>
      <c r="EK44228"/>
    </row>
    <row r="44229" spans="1:141" s="116" customFormat="1">
      <c r="A44229" s="136"/>
      <c r="CM44229" s="111"/>
      <c r="CQ44229" s="111"/>
      <c r="EF44229"/>
      <c r="EG44229"/>
      <c r="EH44229"/>
      <c r="EI44229"/>
      <c r="EJ44229"/>
      <c r="EK44229"/>
    </row>
    <row r="44230" spans="1:141" s="116" customFormat="1">
      <c r="A44230" s="136"/>
      <c r="CM44230" s="111"/>
      <c r="CQ44230" s="111"/>
      <c r="EF44230"/>
      <c r="EG44230"/>
      <c r="EH44230"/>
      <c r="EI44230"/>
      <c r="EJ44230"/>
      <c r="EK44230"/>
    </row>
    <row r="44231" spans="1:141" s="116" customFormat="1">
      <c r="A44231" s="136"/>
      <c r="CM44231" s="111"/>
      <c r="CQ44231" s="111"/>
      <c r="EF44231"/>
      <c r="EG44231"/>
      <c r="EH44231"/>
      <c r="EI44231"/>
      <c r="EJ44231"/>
      <c r="EK44231"/>
    </row>
    <row r="44232" spans="1:141" s="116" customFormat="1">
      <c r="A44232" s="136"/>
      <c r="CM44232" s="111"/>
      <c r="CQ44232" s="111"/>
      <c r="EF44232"/>
      <c r="EG44232"/>
      <c r="EH44232"/>
      <c r="EI44232"/>
      <c r="EJ44232"/>
      <c r="EK44232"/>
    </row>
    <row r="44233" spans="1:141" s="116" customFormat="1">
      <c r="A44233" s="136"/>
      <c r="CM44233" s="111"/>
      <c r="CQ44233" s="111"/>
      <c r="EF44233"/>
      <c r="EG44233"/>
      <c r="EH44233"/>
      <c r="EI44233"/>
      <c r="EJ44233"/>
      <c r="EK44233"/>
    </row>
    <row r="44234" spans="1:141" s="116" customFormat="1">
      <c r="A44234" s="136"/>
      <c r="CM44234" s="111"/>
      <c r="CQ44234" s="111"/>
      <c r="EF44234"/>
      <c r="EG44234"/>
      <c r="EH44234"/>
      <c r="EI44234"/>
      <c r="EJ44234"/>
      <c r="EK44234"/>
    </row>
    <row r="44235" spans="1:141" s="116" customFormat="1">
      <c r="A44235" s="136"/>
      <c r="CM44235" s="111"/>
      <c r="CQ44235" s="111"/>
      <c r="EF44235"/>
      <c r="EG44235"/>
      <c r="EH44235"/>
      <c r="EI44235"/>
      <c r="EJ44235"/>
      <c r="EK44235"/>
    </row>
    <row r="44236" spans="1:141" s="116" customFormat="1">
      <c r="A44236" s="136"/>
      <c r="CM44236" s="111"/>
      <c r="CQ44236" s="111"/>
      <c r="EF44236"/>
      <c r="EG44236"/>
      <c r="EH44236"/>
      <c r="EI44236"/>
      <c r="EJ44236"/>
      <c r="EK44236"/>
    </row>
    <row r="44237" spans="1:141" s="116" customFormat="1">
      <c r="A44237" s="136"/>
      <c r="CM44237" s="111"/>
      <c r="CQ44237" s="111"/>
      <c r="EF44237"/>
      <c r="EG44237"/>
      <c r="EH44237"/>
      <c r="EI44237"/>
      <c r="EJ44237"/>
      <c r="EK44237"/>
    </row>
    <row r="44238" spans="1:141" s="116" customFormat="1">
      <c r="A44238" s="136"/>
      <c r="CM44238" s="111"/>
      <c r="CQ44238" s="111"/>
      <c r="EF44238"/>
      <c r="EG44238"/>
      <c r="EH44238"/>
      <c r="EI44238"/>
      <c r="EJ44238"/>
      <c r="EK44238"/>
    </row>
    <row r="44239" spans="1:141" s="116" customFormat="1">
      <c r="A44239" s="136"/>
      <c r="CM44239" s="111"/>
      <c r="CQ44239" s="111"/>
      <c r="EF44239"/>
      <c r="EG44239"/>
      <c r="EH44239"/>
      <c r="EI44239"/>
      <c r="EJ44239"/>
      <c r="EK44239"/>
    </row>
    <row r="44240" spans="1:141" s="116" customFormat="1">
      <c r="A44240" s="136"/>
      <c r="CM44240" s="111"/>
      <c r="CQ44240" s="111"/>
      <c r="EF44240"/>
      <c r="EG44240"/>
      <c r="EH44240"/>
      <c r="EI44240"/>
      <c r="EJ44240"/>
      <c r="EK44240"/>
    </row>
    <row r="44241" spans="1:141" s="116" customFormat="1">
      <c r="A44241" s="136"/>
      <c r="CM44241" s="111"/>
      <c r="CQ44241" s="111"/>
      <c r="EF44241"/>
      <c r="EG44241"/>
      <c r="EH44241"/>
      <c r="EI44241"/>
      <c r="EJ44241"/>
      <c r="EK44241"/>
    </row>
    <row r="44242" spans="1:141" s="116" customFormat="1">
      <c r="A44242" s="136"/>
      <c r="CM44242" s="111"/>
      <c r="CQ44242" s="111"/>
      <c r="EF44242"/>
      <c r="EG44242"/>
      <c r="EH44242"/>
      <c r="EI44242"/>
      <c r="EJ44242"/>
      <c r="EK44242"/>
    </row>
    <row r="44243" spans="1:141" s="116" customFormat="1">
      <c r="A44243" s="136"/>
      <c r="CM44243" s="111"/>
      <c r="CQ44243" s="111"/>
      <c r="EF44243"/>
      <c r="EG44243"/>
      <c r="EH44243"/>
      <c r="EI44243"/>
      <c r="EJ44243"/>
      <c r="EK44243"/>
    </row>
    <row r="44244" spans="1:141" s="116" customFormat="1">
      <c r="A44244" s="136"/>
      <c r="CM44244" s="111"/>
      <c r="CQ44244" s="111"/>
      <c r="EF44244"/>
      <c r="EG44244"/>
      <c r="EH44244"/>
      <c r="EI44244"/>
      <c r="EJ44244"/>
      <c r="EK44244"/>
    </row>
    <row r="44245" spans="1:141" s="116" customFormat="1">
      <c r="A44245" s="136"/>
      <c r="CM44245" s="111"/>
      <c r="CQ44245" s="111"/>
      <c r="EF44245"/>
      <c r="EG44245"/>
      <c r="EH44245"/>
      <c r="EI44245"/>
      <c r="EJ44245"/>
      <c r="EK44245"/>
    </row>
    <row r="44246" spans="1:141" s="116" customFormat="1">
      <c r="A44246" s="136"/>
      <c r="CM44246" s="111"/>
      <c r="CQ44246" s="111"/>
      <c r="EF44246"/>
      <c r="EG44246"/>
      <c r="EH44246"/>
      <c r="EI44246"/>
      <c r="EJ44246"/>
      <c r="EK44246"/>
    </row>
    <row r="44247" spans="1:141" s="116" customFormat="1">
      <c r="A44247" s="136"/>
      <c r="CM44247" s="111"/>
      <c r="CQ44247" s="111"/>
      <c r="EF44247"/>
      <c r="EG44247"/>
      <c r="EH44247"/>
      <c r="EI44247"/>
      <c r="EJ44247"/>
      <c r="EK44247"/>
    </row>
    <row r="44248" spans="1:141" s="116" customFormat="1">
      <c r="A44248" s="136"/>
      <c r="CM44248" s="111"/>
      <c r="CQ44248" s="111"/>
      <c r="EF44248"/>
      <c r="EG44248"/>
      <c r="EH44248"/>
      <c r="EI44248"/>
      <c r="EJ44248"/>
      <c r="EK44248"/>
    </row>
    <row r="44249" spans="1:141" s="116" customFormat="1">
      <c r="A44249" s="136"/>
      <c r="CM44249" s="111"/>
      <c r="CQ44249" s="111"/>
      <c r="EF44249"/>
      <c r="EG44249"/>
      <c r="EH44249"/>
      <c r="EI44249"/>
      <c r="EJ44249"/>
      <c r="EK44249"/>
    </row>
    <row r="44250" spans="1:141" s="116" customFormat="1">
      <c r="A44250" s="136"/>
      <c r="CM44250" s="111"/>
      <c r="CQ44250" s="111"/>
      <c r="EF44250"/>
      <c r="EG44250"/>
      <c r="EH44250"/>
      <c r="EI44250"/>
      <c r="EJ44250"/>
      <c r="EK44250"/>
    </row>
    <row r="44251" spans="1:141" s="116" customFormat="1">
      <c r="A44251" s="136"/>
      <c r="CM44251" s="111"/>
      <c r="CQ44251" s="111"/>
      <c r="EF44251"/>
      <c r="EG44251"/>
      <c r="EH44251"/>
      <c r="EI44251"/>
      <c r="EJ44251"/>
      <c r="EK44251"/>
    </row>
    <row r="44252" spans="1:141" s="116" customFormat="1">
      <c r="A44252" s="136"/>
      <c r="CM44252" s="111"/>
      <c r="CQ44252" s="111"/>
      <c r="EF44252"/>
      <c r="EG44252"/>
      <c r="EH44252"/>
      <c r="EI44252"/>
      <c r="EJ44252"/>
      <c r="EK44252"/>
    </row>
    <row r="44253" spans="1:141" s="116" customFormat="1">
      <c r="A44253" s="136"/>
      <c r="CM44253" s="111"/>
      <c r="CQ44253" s="111"/>
      <c r="EF44253"/>
      <c r="EG44253"/>
      <c r="EH44253"/>
      <c r="EI44253"/>
      <c r="EJ44253"/>
      <c r="EK44253"/>
    </row>
    <row r="44254" spans="1:141" s="116" customFormat="1">
      <c r="A44254" s="136"/>
      <c r="CM44254" s="111"/>
      <c r="CQ44254" s="111"/>
      <c r="EF44254"/>
      <c r="EG44254"/>
      <c r="EH44254"/>
      <c r="EI44254"/>
      <c r="EJ44254"/>
      <c r="EK44254"/>
    </row>
    <row r="44255" spans="1:141" s="116" customFormat="1">
      <c r="A44255" s="136"/>
      <c r="CM44255" s="111"/>
      <c r="CQ44255" s="111"/>
      <c r="EF44255"/>
      <c r="EG44255"/>
      <c r="EH44255"/>
      <c r="EI44255"/>
      <c r="EJ44255"/>
      <c r="EK44255"/>
    </row>
    <row r="44256" spans="1:141" s="116" customFormat="1">
      <c r="A44256" s="136"/>
      <c r="CM44256" s="111"/>
      <c r="CQ44256" s="111"/>
      <c r="EF44256"/>
      <c r="EG44256"/>
      <c r="EH44256"/>
      <c r="EI44256"/>
      <c r="EJ44256"/>
      <c r="EK44256"/>
    </row>
    <row r="44257" spans="1:141" s="116" customFormat="1">
      <c r="A44257" s="136"/>
      <c r="CM44257" s="111"/>
      <c r="CQ44257" s="111"/>
      <c r="EF44257"/>
      <c r="EG44257"/>
      <c r="EH44257"/>
      <c r="EI44257"/>
      <c r="EJ44257"/>
      <c r="EK44257"/>
    </row>
    <row r="44258" spans="1:141" s="116" customFormat="1">
      <c r="A44258" s="136"/>
      <c r="CM44258" s="111"/>
      <c r="CQ44258" s="111"/>
      <c r="EF44258"/>
      <c r="EG44258"/>
      <c r="EH44258"/>
      <c r="EI44258"/>
      <c r="EJ44258"/>
      <c r="EK44258"/>
    </row>
    <row r="44259" spans="1:141" s="116" customFormat="1">
      <c r="A44259" s="136"/>
      <c r="CM44259" s="111"/>
      <c r="CQ44259" s="111"/>
      <c r="EF44259"/>
      <c r="EG44259"/>
      <c r="EH44259"/>
      <c r="EI44259"/>
      <c r="EJ44259"/>
      <c r="EK44259"/>
    </row>
    <row r="44260" spans="1:141" s="116" customFormat="1">
      <c r="A44260" s="136"/>
      <c r="CM44260" s="111"/>
      <c r="CQ44260" s="111"/>
      <c r="EF44260"/>
      <c r="EG44260"/>
      <c r="EH44260"/>
      <c r="EI44260"/>
      <c r="EJ44260"/>
      <c r="EK44260"/>
    </row>
    <row r="44261" spans="1:141" s="116" customFormat="1">
      <c r="A44261" s="136"/>
      <c r="CM44261" s="111"/>
      <c r="CQ44261" s="111"/>
      <c r="EF44261"/>
      <c r="EG44261"/>
      <c r="EH44261"/>
      <c r="EI44261"/>
      <c r="EJ44261"/>
      <c r="EK44261"/>
    </row>
    <row r="44262" spans="1:141" s="116" customFormat="1">
      <c r="A44262" s="136"/>
      <c r="CM44262" s="111"/>
      <c r="CQ44262" s="111"/>
      <c r="EF44262"/>
      <c r="EG44262"/>
      <c r="EH44262"/>
      <c r="EI44262"/>
      <c r="EJ44262"/>
      <c r="EK44262"/>
    </row>
    <row r="44263" spans="1:141" s="116" customFormat="1">
      <c r="A44263" s="136"/>
      <c r="CM44263" s="111"/>
      <c r="CQ44263" s="111"/>
      <c r="EF44263"/>
      <c r="EG44263"/>
      <c r="EH44263"/>
      <c r="EI44263"/>
      <c r="EJ44263"/>
      <c r="EK44263"/>
    </row>
    <row r="44264" spans="1:141" s="116" customFormat="1">
      <c r="A44264" s="136"/>
      <c r="CM44264" s="111"/>
      <c r="CQ44264" s="111"/>
      <c r="EF44264"/>
      <c r="EG44264"/>
      <c r="EH44264"/>
      <c r="EI44264"/>
      <c r="EJ44264"/>
      <c r="EK44264"/>
    </row>
    <row r="44265" spans="1:141" s="116" customFormat="1">
      <c r="A44265" s="136"/>
      <c r="CM44265" s="111"/>
      <c r="CQ44265" s="111"/>
      <c r="EF44265"/>
      <c r="EG44265"/>
      <c r="EH44265"/>
      <c r="EI44265"/>
      <c r="EJ44265"/>
      <c r="EK44265"/>
    </row>
    <row r="44266" spans="1:141" s="116" customFormat="1">
      <c r="A44266" s="136"/>
      <c r="CM44266" s="111"/>
      <c r="CQ44266" s="111"/>
      <c r="EF44266"/>
      <c r="EG44266"/>
      <c r="EH44266"/>
      <c r="EI44266"/>
      <c r="EJ44266"/>
      <c r="EK44266"/>
    </row>
    <row r="44267" spans="1:141" s="116" customFormat="1">
      <c r="A44267" s="136"/>
      <c r="CM44267" s="111"/>
      <c r="CQ44267" s="111"/>
      <c r="EF44267"/>
      <c r="EG44267"/>
      <c r="EH44267"/>
      <c r="EI44267"/>
      <c r="EJ44267"/>
      <c r="EK44267"/>
    </row>
    <row r="44268" spans="1:141" s="116" customFormat="1">
      <c r="A44268" s="136"/>
      <c r="CM44268" s="111"/>
      <c r="CQ44268" s="111"/>
      <c r="EF44268"/>
      <c r="EG44268"/>
      <c r="EH44268"/>
      <c r="EI44268"/>
      <c r="EJ44268"/>
      <c r="EK44268"/>
    </row>
    <row r="44269" spans="1:141" s="116" customFormat="1">
      <c r="A44269" s="136"/>
      <c r="CM44269" s="111"/>
      <c r="CQ44269" s="111"/>
      <c r="EF44269"/>
      <c r="EG44269"/>
      <c r="EH44269"/>
      <c r="EI44269"/>
      <c r="EJ44269"/>
      <c r="EK44269"/>
    </row>
    <row r="44270" spans="1:141" s="116" customFormat="1">
      <c r="A44270" s="136"/>
      <c r="CM44270" s="111"/>
      <c r="CQ44270" s="111"/>
      <c r="EF44270"/>
      <c r="EG44270"/>
      <c r="EH44270"/>
      <c r="EI44270"/>
      <c r="EJ44270"/>
      <c r="EK44270"/>
    </row>
    <row r="44271" spans="1:141" s="116" customFormat="1">
      <c r="A44271" s="136"/>
      <c r="CM44271" s="111"/>
      <c r="CQ44271" s="111"/>
      <c r="EF44271"/>
      <c r="EG44271"/>
      <c r="EH44271"/>
      <c r="EI44271"/>
      <c r="EJ44271"/>
      <c r="EK44271"/>
    </row>
    <row r="44272" spans="1:141" s="116" customFormat="1">
      <c r="A44272" s="136"/>
      <c r="CM44272" s="111"/>
      <c r="CQ44272" s="111"/>
      <c r="EF44272"/>
      <c r="EG44272"/>
      <c r="EH44272"/>
      <c r="EI44272"/>
      <c r="EJ44272"/>
      <c r="EK44272"/>
    </row>
    <row r="44273" spans="1:141" s="116" customFormat="1">
      <c r="A44273" s="136"/>
      <c r="CM44273" s="111"/>
      <c r="CQ44273" s="111"/>
      <c r="EF44273"/>
      <c r="EG44273"/>
      <c r="EH44273"/>
      <c r="EI44273"/>
      <c r="EJ44273"/>
      <c r="EK44273"/>
    </row>
    <row r="44274" spans="1:141" s="116" customFormat="1">
      <c r="A44274" s="136"/>
      <c r="CM44274" s="111"/>
      <c r="CQ44274" s="111"/>
      <c r="EF44274"/>
      <c r="EG44274"/>
      <c r="EH44274"/>
      <c r="EI44274"/>
      <c r="EJ44274"/>
      <c r="EK44274"/>
    </row>
    <row r="44275" spans="1:141" s="116" customFormat="1">
      <c r="A44275" s="136"/>
      <c r="CM44275" s="111"/>
      <c r="CQ44275" s="111"/>
      <c r="EF44275"/>
      <c r="EG44275"/>
      <c r="EH44275"/>
      <c r="EI44275"/>
      <c r="EJ44275"/>
      <c r="EK44275"/>
    </row>
    <row r="44276" spans="1:141" s="116" customFormat="1">
      <c r="A44276" s="136"/>
      <c r="CM44276" s="111"/>
      <c r="CQ44276" s="111"/>
      <c r="EF44276"/>
      <c r="EG44276"/>
      <c r="EH44276"/>
      <c r="EI44276"/>
      <c r="EJ44276"/>
      <c r="EK44276"/>
    </row>
    <row r="44277" spans="1:141" s="116" customFormat="1">
      <c r="A44277" s="136"/>
      <c r="CM44277" s="111"/>
      <c r="CQ44277" s="111"/>
      <c r="EF44277"/>
      <c r="EG44277"/>
      <c r="EH44277"/>
      <c r="EI44277"/>
      <c r="EJ44277"/>
      <c r="EK44277"/>
    </row>
    <row r="44278" spans="1:141" s="116" customFormat="1">
      <c r="A44278" s="136"/>
      <c r="CM44278" s="111"/>
      <c r="CQ44278" s="111"/>
      <c r="EF44278"/>
      <c r="EG44278"/>
      <c r="EH44278"/>
      <c r="EI44278"/>
      <c r="EJ44278"/>
      <c r="EK44278"/>
    </row>
    <row r="44279" spans="1:141" s="116" customFormat="1">
      <c r="A44279" s="136"/>
      <c r="CM44279" s="111"/>
      <c r="CQ44279" s="111"/>
      <c r="EF44279"/>
      <c r="EG44279"/>
      <c r="EH44279"/>
      <c r="EI44279"/>
      <c r="EJ44279"/>
      <c r="EK44279"/>
    </row>
    <row r="44280" spans="1:141" s="116" customFormat="1">
      <c r="A44280" s="136"/>
      <c r="CM44280" s="111"/>
      <c r="CQ44280" s="111"/>
      <c r="EF44280"/>
      <c r="EG44280"/>
      <c r="EH44280"/>
      <c r="EI44280"/>
      <c r="EJ44280"/>
      <c r="EK44280"/>
    </row>
    <row r="44281" spans="1:141" s="116" customFormat="1">
      <c r="A44281" s="136"/>
      <c r="CM44281" s="111"/>
      <c r="CQ44281" s="111"/>
      <c r="EF44281"/>
      <c r="EG44281"/>
      <c r="EH44281"/>
      <c r="EI44281"/>
      <c r="EJ44281"/>
      <c r="EK44281"/>
    </row>
    <row r="44282" spans="1:141" s="116" customFormat="1">
      <c r="A44282" s="136"/>
      <c r="CM44282" s="111"/>
      <c r="CQ44282" s="111"/>
      <c r="EF44282"/>
      <c r="EG44282"/>
      <c r="EH44282"/>
      <c r="EI44282"/>
      <c r="EJ44282"/>
      <c r="EK44282"/>
    </row>
    <row r="44283" spans="1:141" s="116" customFormat="1">
      <c r="A44283" s="136"/>
      <c r="CM44283" s="111"/>
      <c r="CQ44283" s="111"/>
      <c r="EF44283"/>
      <c r="EG44283"/>
      <c r="EH44283"/>
      <c r="EI44283"/>
      <c r="EJ44283"/>
      <c r="EK44283"/>
    </row>
    <row r="44284" spans="1:141" s="116" customFormat="1">
      <c r="A44284" s="136"/>
      <c r="CM44284" s="111"/>
      <c r="CQ44284" s="111"/>
      <c r="EF44284"/>
      <c r="EG44284"/>
      <c r="EH44284"/>
      <c r="EI44284"/>
      <c r="EJ44284"/>
      <c r="EK44284"/>
    </row>
    <row r="44285" spans="1:141" s="116" customFormat="1">
      <c r="A44285" s="136"/>
      <c r="CM44285" s="111"/>
      <c r="CQ44285" s="111"/>
      <c r="EF44285"/>
      <c r="EG44285"/>
      <c r="EH44285"/>
      <c r="EI44285"/>
      <c r="EJ44285"/>
      <c r="EK44285"/>
    </row>
    <row r="44286" spans="1:141" s="116" customFormat="1">
      <c r="A44286" s="136"/>
      <c r="CM44286" s="111"/>
      <c r="CQ44286" s="111"/>
      <c r="EF44286"/>
      <c r="EG44286"/>
      <c r="EH44286"/>
      <c r="EI44286"/>
      <c r="EJ44286"/>
      <c r="EK44286"/>
    </row>
    <row r="44287" spans="1:141" s="116" customFormat="1">
      <c r="A44287" s="136"/>
      <c r="CM44287" s="111"/>
      <c r="CQ44287" s="111"/>
      <c r="EF44287"/>
      <c r="EG44287"/>
      <c r="EH44287"/>
      <c r="EI44287"/>
      <c r="EJ44287"/>
      <c r="EK44287"/>
    </row>
    <row r="44288" spans="1:141" s="116" customFormat="1">
      <c r="A44288" s="136"/>
      <c r="CM44288" s="111"/>
      <c r="CQ44288" s="111"/>
      <c r="EF44288"/>
      <c r="EG44288"/>
      <c r="EH44288"/>
      <c r="EI44288"/>
      <c r="EJ44288"/>
      <c r="EK44288"/>
    </row>
    <row r="44289" spans="1:141" s="116" customFormat="1">
      <c r="A44289" s="136"/>
      <c r="CM44289" s="111"/>
      <c r="CQ44289" s="111"/>
      <c r="EF44289"/>
      <c r="EG44289"/>
      <c r="EH44289"/>
      <c r="EI44289"/>
      <c r="EJ44289"/>
      <c r="EK44289"/>
    </row>
    <row r="44290" spans="1:141" s="116" customFormat="1">
      <c r="A44290" s="136"/>
      <c r="CM44290" s="111"/>
      <c r="CQ44290" s="111"/>
      <c r="EF44290"/>
      <c r="EG44290"/>
      <c r="EH44290"/>
      <c r="EI44290"/>
      <c r="EJ44290"/>
      <c r="EK44290"/>
    </row>
    <row r="44291" spans="1:141" s="116" customFormat="1">
      <c r="A44291" s="136"/>
      <c r="CM44291" s="111"/>
      <c r="CQ44291" s="111"/>
      <c r="EF44291"/>
      <c r="EG44291"/>
      <c r="EH44291"/>
      <c r="EI44291"/>
      <c r="EJ44291"/>
      <c r="EK44291"/>
    </row>
    <row r="44292" spans="1:141" s="116" customFormat="1">
      <c r="A44292" s="136"/>
      <c r="CM44292" s="111"/>
      <c r="CQ44292" s="111"/>
      <c r="EF44292"/>
      <c r="EG44292"/>
      <c r="EH44292"/>
      <c r="EI44292"/>
      <c r="EJ44292"/>
      <c r="EK44292"/>
    </row>
    <row r="44293" spans="1:141" s="116" customFormat="1">
      <c r="A44293" s="136"/>
      <c r="CM44293" s="111"/>
      <c r="CQ44293" s="111"/>
      <c r="EF44293"/>
      <c r="EG44293"/>
      <c r="EH44293"/>
      <c r="EI44293"/>
      <c r="EJ44293"/>
      <c r="EK44293"/>
    </row>
    <row r="44294" spans="1:141" s="116" customFormat="1">
      <c r="A44294" s="136"/>
      <c r="CM44294" s="111"/>
      <c r="CQ44294" s="111"/>
      <c r="EF44294"/>
      <c r="EG44294"/>
      <c r="EH44294"/>
      <c r="EI44294"/>
      <c r="EJ44294"/>
      <c r="EK44294"/>
    </row>
    <row r="44295" spans="1:141" s="116" customFormat="1">
      <c r="A44295" s="136"/>
      <c r="CM44295" s="111"/>
      <c r="CQ44295" s="111"/>
      <c r="EF44295"/>
      <c r="EG44295"/>
      <c r="EH44295"/>
      <c r="EI44295"/>
      <c r="EJ44295"/>
      <c r="EK44295"/>
    </row>
    <row r="44296" spans="1:141" s="116" customFormat="1">
      <c r="A44296" s="136"/>
      <c r="CM44296" s="111"/>
      <c r="CQ44296" s="111"/>
      <c r="EF44296"/>
      <c r="EG44296"/>
      <c r="EH44296"/>
      <c r="EI44296"/>
      <c r="EJ44296"/>
      <c r="EK44296"/>
    </row>
    <row r="44297" spans="1:141" s="116" customFormat="1">
      <c r="A44297" s="136"/>
      <c r="CM44297" s="111"/>
      <c r="CQ44297" s="111"/>
      <c r="EF44297"/>
      <c r="EG44297"/>
      <c r="EH44297"/>
      <c r="EI44297"/>
      <c r="EJ44297"/>
      <c r="EK44297"/>
    </row>
    <row r="44298" spans="1:141" s="116" customFormat="1">
      <c r="A44298" s="136"/>
      <c r="CM44298" s="111"/>
      <c r="CQ44298" s="111"/>
      <c r="EF44298"/>
      <c r="EG44298"/>
      <c r="EH44298"/>
      <c r="EI44298"/>
      <c r="EJ44298"/>
      <c r="EK44298"/>
    </row>
    <row r="44299" spans="1:141" s="116" customFormat="1">
      <c r="A44299" s="136"/>
      <c r="CM44299" s="111"/>
      <c r="CQ44299" s="111"/>
      <c r="EF44299"/>
      <c r="EG44299"/>
      <c r="EH44299"/>
      <c r="EI44299"/>
      <c r="EJ44299"/>
      <c r="EK44299"/>
    </row>
    <row r="44300" spans="1:141" s="116" customFormat="1">
      <c r="A44300" s="136"/>
      <c r="CM44300" s="111"/>
      <c r="CQ44300" s="111"/>
      <c r="EF44300"/>
      <c r="EG44300"/>
      <c r="EH44300"/>
      <c r="EI44300"/>
      <c r="EJ44300"/>
      <c r="EK44300"/>
    </row>
    <row r="44301" spans="1:141" s="116" customFormat="1">
      <c r="A44301" s="136"/>
      <c r="CM44301" s="111"/>
      <c r="CQ44301" s="111"/>
      <c r="EF44301"/>
      <c r="EG44301"/>
      <c r="EH44301"/>
      <c r="EI44301"/>
      <c r="EJ44301"/>
      <c r="EK44301"/>
    </row>
    <row r="44302" spans="1:141" s="116" customFormat="1">
      <c r="A44302" s="136"/>
      <c r="CM44302" s="111"/>
      <c r="CQ44302" s="111"/>
      <c r="EF44302"/>
      <c r="EG44302"/>
      <c r="EH44302"/>
      <c r="EI44302"/>
      <c r="EJ44302"/>
      <c r="EK44302"/>
    </row>
    <row r="44303" spans="1:141" s="116" customFormat="1">
      <c r="A44303" s="136"/>
      <c r="CM44303" s="111"/>
      <c r="CQ44303" s="111"/>
      <c r="EF44303"/>
      <c r="EG44303"/>
      <c r="EH44303"/>
      <c r="EI44303"/>
      <c r="EJ44303"/>
      <c r="EK44303"/>
    </row>
    <row r="44304" spans="1:141" s="116" customFormat="1">
      <c r="A44304" s="136"/>
      <c r="CM44304" s="111"/>
      <c r="CQ44304" s="111"/>
      <c r="EF44304"/>
      <c r="EG44304"/>
      <c r="EH44304"/>
      <c r="EI44304"/>
      <c r="EJ44304"/>
      <c r="EK44304"/>
    </row>
    <row r="44305" spans="1:141" s="116" customFormat="1">
      <c r="A44305" s="136"/>
      <c r="CM44305" s="111"/>
      <c r="CQ44305" s="111"/>
      <c r="EF44305"/>
      <c r="EG44305"/>
      <c r="EH44305"/>
      <c r="EI44305"/>
      <c r="EJ44305"/>
      <c r="EK44305"/>
    </row>
    <row r="44306" spans="1:141" s="116" customFormat="1">
      <c r="A44306" s="136"/>
      <c r="CM44306" s="111"/>
      <c r="CQ44306" s="111"/>
      <c r="EF44306"/>
      <c r="EG44306"/>
      <c r="EH44306"/>
      <c r="EI44306"/>
      <c r="EJ44306"/>
      <c r="EK44306"/>
    </row>
    <row r="44307" spans="1:141" s="116" customFormat="1">
      <c r="A44307" s="136"/>
      <c r="CM44307" s="111"/>
      <c r="CQ44307" s="111"/>
      <c r="EF44307"/>
      <c r="EG44307"/>
      <c r="EH44307"/>
      <c r="EI44307"/>
      <c r="EJ44307"/>
      <c r="EK44307"/>
    </row>
    <row r="44308" spans="1:141" s="116" customFormat="1">
      <c r="A44308" s="136"/>
      <c r="CM44308" s="111"/>
      <c r="CQ44308" s="111"/>
      <c r="EF44308"/>
      <c r="EG44308"/>
      <c r="EH44308"/>
      <c r="EI44308"/>
      <c r="EJ44308"/>
      <c r="EK44308"/>
    </row>
    <row r="44309" spans="1:141" s="116" customFormat="1">
      <c r="A44309" s="136"/>
      <c r="CM44309" s="111"/>
      <c r="CQ44309" s="111"/>
      <c r="EF44309"/>
      <c r="EG44309"/>
      <c r="EH44309"/>
      <c r="EI44309"/>
      <c r="EJ44309"/>
      <c r="EK44309"/>
    </row>
    <row r="44310" spans="1:141" s="116" customFormat="1">
      <c r="A44310" s="136"/>
      <c r="CM44310" s="111"/>
      <c r="CQ44310" s="111"/>
      <c r="EF44310"/>
      <c r="EG44310"/>
      <c r="EH44310"/>
      <c r="EI44310"/>
      <c r="EJ44310"/>
      <c r="EK44310"/>
    </row>
    <row r="44311" spans="1:141" s="116" customFormat="1">
      <c r="A44311" s="136"/>
      <c r="CM44311" s="111"/>
      <c r="CQ44311" s="111"/>
      <c r="EF44311"/>
      <c r="EG44311"/>
      <c r="EH44311"/>
      <c r="EI44311"/>
      <c r="EJ44311"/>
      <c r="EK44311"/>
    </row>
    <row r="44312" spans="1:141" s="116" customFormat="1">
      <c r="A44312" s="136"/>
      <c r="CM44312" s="111"/>
      <c r="CQ44312" s="111"/>
      <c r="EF44312"/>
      <c r="EG44312"/>
      <c r="EH44312"/>
      <c r="EI44312"/>
      <c r="EJ44312"/>
      <c r="EK44312"/>
    </row>
    <row r="44313" spans="1:141" s="116" customFormat="1">
      <c r="A44313" s="136"/>
      <c r="CM44313" s="111"/>
      <c r="CQ44313" s="111"/>
      <c r="EF44313"/>
      <c r="EG44313"/>
      <c r="EH44313"/>
      <c r="EI44313"/>
      <c r="EJ44313"/>
      <c r="EK44313"/>
    </row>
    <row r="44314" spans="1:141" s="116" customFormat="1">
      <c r="A44314" s="136"/>
      <c r="CM44314" s="111"/>
      <c r="CQ44314" s="111"/>
      <c r="EF44314"/>
      <c r="EG44314"/>
      <c r="EH44314"/>
      <c r="EI44314"/>
      <c r="EJ44314"/>
      <c r="EK44314"/>
    </row>
    <row r="44315" spans="1:141" s="116" customFormat="1">
      <c r="A44315" s="136"/>
      <c r="CM44315" s="111"/>
      <c r="CQ44315" s="111"/>
      <c r="EF44315"/>
      <c r="EG44315"/>
      <c r="EH44315"/>
      <c r="EI44315"/>
      <c r="EJ44315"/>
      <c r="EK44315"/>
    </row>
    <row r="44316" spans="1:141" s="116" customFormat="1">
      <c r="A44316" s="136"/>
      <c r="CM44316" s="111"/>
      <c r="CQ44316" s="111"/>
      <c r="EF44316"/>
      <c r="EG44316"/>
      <c r="EH44316"/>
      <c r="EI44316"/>
      <c r="EJ44316"/>
      <c r="EK44316"/>
    </row>
    <row r="44317" spans="1:141" s="116" customFormat="1">
      <c r="A44317" s="136"/>
      <c r="CM44317" s="111"/>
      <c r="CQ44317" s="111"/>
      <c r="EF44317"/>
      <c r="EG44317"/>
      <c r="EH44317"/>
      <c r="EI44317"/>
      <c r="EJ44317"/>
      <c r="EK44317"/>
    </row>
    <row r="44318" spans="1:141" s="116" customFormat="1">
      <c r="A44318" s="136"/>
      <c r="CM44318" s="111"/>
      <c r="CQ44318" s="111"/>
      <c r="EF44318"/>
      <c r="EG44318"/>
      <c r="EH44318"/>
      <c r="EI44318"/>
      <c r="EJ44318"/>
      <c r="EK44318"/>
    </row>
    <row r="44319" spans="1:141" s="116" customFormat="1">
      <c r="A44319" s="136"/>
      <c r="CM44319" s="111"/>
      <c r="CQ44319" s="111"/>
      <c r="EF44319"/>
      <c r="EG44319"/>
      <c r="EH44319"/>
      <c r="EI44319"/>
      <c r="EJ44319"/>
      <c r="EK44319"/>
    </row>
    <row r="44320" spans="1:141" s="116" customFormat="1">
      <c r="A44320" s="136"/>
      <c r="CM44320" s="111"/>
      <c r="CQ44320" s="111"/>
      <c r="EF44320"/>
      <c r="EG44320"/>
      <c r="EH44320"/>
      <c r="EI44320"/>
      <c r="EJ44320"/>
      <c r="EK44320"/>
    </row>
    <row r="44321" spans="1:141" s="116" customFormat="1">
      <c r="A44321" s="136"/>
      <c r="CM44321" s="111"/>
      <c r="CQ44321" s="111"/>
      <c r="EF44321"/>
      <c r="EG44321"/>
      <c r="EH44321"/>
      <c r="EI44321"/>
      <c r="EJ44321"/>
      <c r="EK44321"/>
    </row>
    <row r="44322" spans="1:141" s="116" customFormat="1">
      <c r="A44322" s="136"/>
      <c r="CM44322" s="111"/>
      <c r="CQ44322" s="111"/>
      <c r="EF44322"/>
      <c r="EG44322"/>
      <c r="EH44322"/>
      <c r="EI44322"/>
      <c r="EJ44322"/>
      <c r="EK44322"/>
    </row>
    <row r="44323" spans="1:141" s="116" customFormat="1">
      <c r="A44323" s="136"/>
      <c r="CM44323" s="111"/>
      <c r="CQ44323" s="111"/>
      <c r="EF44323"/>
      <c r="EG44323"/>
      <c r="EH44323"/>
      <c r="EI44323"/>
      <c r="EJ44323"/>
      <c r="EK44323"/>
    </row>
    <row r="44324" spans="1:141" s="116" customFormat="1">
      <c r="A44324" s="136"/>
      <c r="CM44324" s="111"/>
      <c r="CQ44324" s="111"/>
      <c r="EF44324"/>
      <c r="EG44324"/>
      <c r="EH44324"/>
      <c r="EI44324"/>
      <c r="EJ44324"/>
      <c r="EK44324"/>
    </row>
    <row r="44325" spans="1:141" s="116" customFormat="1">
      <c r="A44325" s="136"/>
      <c r="CM44325" s="111"/>
      <c r="CQ44325" s="111"/>
      <c r="EF44325"/>
      <c r="EG44325"/>
      <c r="EH44325"/>
      <c r="EI44325"/>
      <c r="EJ44325"/>
      <c r="EK44325"/>
    </row>
    <row r="44326" spans="1:141" s="116" customFormat="1">
      <c r="A44326" s="136"/>
      <c r="CM44326" s="111"/>
      <c r="CQ44326" s="111"/>
      <c r="EF44326"/>
      <c r="EG44326"/>
      <c r="EH44326"/>
      <c r="EI44326"/>
      <c r="EJ44326"/>
      <c r="EK44326"/>
    </row>
    <row r="44327" spans="1:141" s="116" customFormat="1">
      <c r="A44327" s="136"/>
      <c r="CM44327" s="111"/>
      <c r="CQ44327" s="111"/>
      <c r="EF44327"/>
      <c r="EG44327"/>
      <c r="EH44327"/>
      <c r="EI44327"/>
      <c r="EJ44327"/>
      <c r="EK44327"/>
    </row>
    <row r="44328" spans="1:141" s="116" customFormat="1">
      <c r="A44328" s="136"/>
      <c r="CM44328" s="111"/>
      <c r="CQ44328" s="111"/>
      <c r="EF44328"/>
      <c r="EG44328"/>
      <c r="EH44328"/>
      <c r="EI44328"/>
      <c r="EJ44328"/>
      <c r="EK44328"/>
    </row>
    <row r="44329" spans="1:141" s="116" customFormat="1">
      <c r="A44329" s="136"/>
      <c r="CM44329" s="111"/>
      <c r="CQ44329" s="111"/>
      <c r="EF44329"/>
      <c r="EG44329"/>
      <c r="EH44329"/>
      <c r="EI44329"/>
      <c r="EJ44329"/>
      <c r="EK44329"/>
    </row>
    <row r="44330" spans="1:141" s="116" customFormat="1">
      <c r="A44330" s="136"/>
      <c r="CM44330" s="111"/>
      <c r="CQ44330" s="111"/>
      <c r="EF44330"/>
      <c r="EG44330"/>
      <c r="EH44330"/>
      <c r="EI44330"/>
      <c r="EJ44330"/>
      <c r="EK44330"/>
    </row>
    <row r="44331" spans="1:141" s="116" customFormat="1">
      <c r="A44331" s="136"/>
      <c r="CM44331" s="111"/>
      <c r="CQ44331" s="111"/>
      <c r="EF44331"/>
      <c r="EG44331"/>
      <c r="EH44331"/>
      <c r="EI44331"/>
      <c r="EJ44331"/>
      <c r="EK44331"/>
    </row>
    <row r="44332" spans="1:141" s="116" customFormat="1">
      <c r="A44332" s="136"/>
      <c r="CM44332" s="111"/>
      <c r="CQ44332" s="111"/>
      <c r="EF44332"/>
      <c r="EG44332"/>
      <c r="EH44332"/>
      <c r="EI44332"/>
      <c r="EJ44332"/>
      <c r="EK44332"/>
    </row>
    <row r="44333" spans="1:141" s="116" customFormat="1">
      <c r="A44333" s="136"/>
      <c r="CM44333" s="111"/>
      <c r="CQ44333" s="111"/>
      <c r="EF44333"/>
      <c r="EG44333"/>
      <c r="EH44333"/>
      <c r="EI44333"/>
      <c r="EJ44333"/>
      <c r="EK44333"/>
    </row>
    <row r="44334" spans="1:141" s="116" customFormat="1">
      <c r="A44334" s="136"/>
      <c r="CM44334" s="111"/>
      <c r="CQ44334" s="111"/>
      <c r="EF44334"/>
      <c r="EG44334"/>
      <c r="EH44334"/>
      <c r="EI44334"/>
      <c r="EJ44334"/>
      <c r="EK44334"/>
    </row>
    <row r="44335" spans="1:141" s="116" customFormat="1">
      <c r="A44335" s="136"/>
      <c r="CM44335" s="111"/>
      <c r="CQ44335" s="111"/>
      <c r="EF44335"/>
      <c r="EG44335"/>
      <c r="EH44335"/>
      <c r="EI44335"/>
      <c r="EJ44335"/>
      <c r="EK44335"/>
    </row>
    <row r="44336" spans="1:141" s="116" customFormat="1">
      <c r="A44336" s="136"/>
      <c r="CM44336" s="111"/>
      <c r="CQ44336" s="111"/>
      <c r="EF44336"/>
      <c r="EG44336"/>
      <c r="EH44336"/>
      <c r="EI44336"/>
      <c r="EJ44336"/>
      <c r="EK44336"/>
    </row>
    <row r="44337" spans="1:141" s="116" customFormat="1">
      <c r="A44337" s="136"/>
      <c r="CM44337" s="111"/>
      <c r="CQ44337" s="111"/>
      <c r="EF44337"/>
      <c r="EG44337"/>
      <c r="EH44337"/>
      <c r="EI44337"/>
      <c r="EJ44337"/>
      <c r="EK44337"/>
    </row>
    <row r="44338" spans="1:141" s="116" customFormat="1">
      <c r="A44338" s="136"/>
      <c r="CM44338" s="111"/>
      <c r="CQ44338" s="111"/>
      <c r="EF44338"/>
      <c r="EG44338"/>
      <c r="EH44338"/>
      <c r="EI44338"/>
      <c r="EJ44338"/>
      <c r="EK44338"/>
    </row>
    <row r="44339" spans="1:141" s="116" customFormat="1">
      <c r="A44339" s="136"/>
      <c r="CM44339" s="111"/>
      <c r="CQ44339" s="111"/>
      <c r="EF44339"/>
      <c r="EG44339"/>
      <c r="EH44339"/>
      <c r="EI44339"/>
      <c r="EJ44339"/>
      <c r="EK44339"/>
    </row>
    <row r="44340" spans="1:141" s="116" customFormat="1">
      <c r="A44340" s="136"/>
      <c r="CM44340" s="111"/>
      <c r="CQ44340" s="111"/>
      <c r="EF44340"/>
      <c r="EG44340"/>
      <c r="EH44340"/>
      <c r="EI44340"/>
      <c r="EJ44340"/>
      <c r="EK44340"/>
    </row>
    <row r="44341" spans="1:141" s="116" customFormat="1">
      <c r="A44341" s="136"/>
      <c r="CM44341" s="111"/>
      <c r="CQ44341" s="111"/>
      <c r="EF44341"/>
      <c r="EG44341"/>
      <c r="EH44341"/>
      <c r="EI44341"/>
      <c r="EJ44341"/>
      <c r="EK44341"/>
    </row>
    <row r="44342" spans="1:141" s="116" customFormat="1">
      <c r="A44342" s="136"/>
      <c r="CM44342" s="111"/>
      <c r="CQ44342" s="111"/>
      <c r="EF44342"/>
      <c r="EG44342"/>
      <c r="EH44342"/>
      <c r="EI44342"/>
      <c r="EJ44342"/>
      <c r="EK44342"/>
    </row>
    <row r="44343" spans="1:141" s="116" customFormat="1">
      <c r="A44343" s="136"/>
      <c r="CM44343" s="111"/>
      <c r="CQ44343" s="111"/>
      <c r="EF44343"/>
      <c r="EG44343"/>
      <c r="EH44343"/>
      <c r="EI44343"/>
      <c r="EJ44343"/>
      <c r="EK44343"/>
    </row>
    <row r="44344" spans="1:141" s="116" customFormat="1">
      <c r="A44344" s="136"/>
      <c r="CM44344" s="111"/>
      <c r="CQ44344" s="111"/>
      <c r="EF44344"/>
      <c r="EG44344"/>
      <c r="EH44344"/>
      <c r="EI44344"/>
      <c r="EJ44344"/>
      <c r="EK44344"/>
    </row>
    <row r="44345" spans="1:141" s="116" customFormat="1">
      <c r="A44345" s="136"/>
      <c r="CM44345" s="111"/>
      <c r="CQ44345" s="111"/>
      <c r="EF44345"/>
      <c r="EG44345"/>
      <c r="EH44345"/>
      <c r="EI44345"/>
      <c r="EJ44345"/>
      <c r="EK44345"/>
    </row>
    <row r="44346" spans="1:141" s="116" customFormat="1">
      <c r="A44346" s="136"/>
      <c r="CM44346" s="111"/>
      <c r="CQ44346" s="111"/>
      <c r="EF44346"/>
      <c r="EG44346"/>
      <c r="EH44346"/>
      <c r="EI44346"/>
      <c r="EJ44346"/>
      <c r="EK44346"/>
    </row>
    <row r="44347" spans="1:141" s="116" customFormat="1">
      <c r="A44347" s="136"/>
      <c r="CM44347" s="111"/>
      <c r="CQ44347" s="111"/>
      <c r="EF44347"/>
      <c r="EG44347"/>
      <c r="EH44347"/>
      <c r="EI44347"/>
      <c r="EJ44347"/>
      <c r="EK44347"/>
    </row>
    <row r="44348" spans="1:141" s="116" customFormat="1">
      <c r="A44348" s="136"/>
      <c r="CM44348" s="111"/>
      <c r="CQ44348" s="111"/>
      <c r="EF44348"/>
      <c r="EG44348"/>
      <c r="EH44348"/>
      <c r="EI44348"/>
      <c r="EJ44348"/>
      <c r="EK44348"/>
    </row>
    <row r="44349" spans="1:141" s="116" customFormat="1">
      <c r="A44349" s="136"/>
      <c r="CM44349" s="111"/>
      <c r="CQ44349" s="111"/>
      <c r="EF44349"/>
      <c r="EG44349"/>
      <c r="EH44349"/>
      <c r="EI44349"/>
      <c r="EJ44349"/>
      <c r="EK44349"/>
    </row>
    <row r="44350" spans="1:141" s="116" customFormat="1">
      <c r="A44350" s="136"/>
      <c r="CM44350" s="111"/>
      <c r="CQ44350" s="111"/>
      <c r="EF44350"/>
      <c r="EG44350"/>
      <c r="EH44350"/>
      <c r="EI44350"/>
      <c r="EJ44350"/>
      <c r="EK44350"/>
    </row>
    <row r="44351" spans="1:141" s="116" customFormat="1">
      <c r="A44351" s="136"/>
      <c r="CM44351" s="111"/>
      <c r="CQ44351" s="111"/>
      <c r="EF44351"/>
      <c r="EG44351"/>
      <c r="EH44351"/>
      <c r="EI44351"/>
      <c r="EJ44351"/>
      <c r="EK44351"/>
    </row>
    <row r="44352" spans="1:141" s="116" customFormat="1">
      <c r="A44352" s="136"/>
      <c r="CM44352" s="111"/>
      <c r="CQ44352" s="111"/>
      <c r="EF44352"/>
      <c r="EG44352"/>
      <c r="EH44352"/>
      <c r="EI44352"/>
      <c r="EJ44352"/>
      <c r="EK44352"/>
    </row>
    <row r="44353" spans="1:141" s="116" customFormat="1">
      <c r="A44353" s="136"/>
      <c r="CM44353" s="111"/>
      <c r="CQ44353" s="111"/>
      <c r="EF44353"/>
      <c r="EG44353"/>
      <c r="EH44353"/>
      <c r="EI44353"/>
      <c r="EJ44353"/>
      <c r="EK44353"/>
    </row>
    <row r="44354" spans="1:141" s="116" customFormat="1">
      <c r="A44354" s="136"/>
      <c r="CM44354" s="111"/>
      <c r="CQ44354" s="111"/>
      <c r="EF44354"/>
      <c r="EG44354"/>
      <c r="EH44354"/>
      <c r="EI44354"/>
      <c r="EJ44354"/>
      <c r="EK44354"/>
    </row>
    <row r="44355" spans="1:141" s="116" customFormat="1">
      <c r="A44355" s="136"/>
      <c r="CM44355" s="111"/>
      <c r="CQ44355" s="111"/>
      <c r="EF44355"/>
      <c r="EG44355"/>
      <c r="EH44355"/>
      <c r="EI44355"/>
      <c r="EJ44355"/>
      <c r="EK44355"/>
    </row>
    <row r="44356" spans="1:141" s="116" customFormat="1">
      <c r="A44356" s="136"/>
      <c r="CM44356" s="111"/>
      <c r="CQ44356" s="111"/>
      <c r="EF44356"/>
      <c r="EG44356"/>
      <c r="EH44356"/>
      <c r="EI44356"/>
      <c r="EJ44356"/>
      <c r="EK44356"/>
    </row>
    <row r="44357" spans="1:141" s="116" customFormat="1">
      <c r="A44357" s="136"/>
      <c r="CM44357" s="111"/>
      <c r="CQ44357" s="111"/>
      <c r="EF44357"/>
      <c r="EG44357"/>
      <c r="EH44357"/>
      <c r="EI44357"/>
      <c r="EJ44357"/>
      <c r="EK44357"/>
    </row>
    <row r="44358" spans="1:141" s="116" customFormat="1">
      <c r="A44358" s="136"/>
      <c r="CM44358" s="111"/>
      <c r="CQ44358" s="111"/>
      <c r="EF44358"/>
      <c r="EG44358"/>
      <c r="EH44358"/>
      <c r="EI44358"/>
      <c r="EJ44358"/>
      <c r="EK44358"/>
    </row>
    <row r="44359" spans="1:141" s="116" customFormat="1">
      <c r="A44359" s="136"/>
      <c r="CM44359" s="111"/>
      <c r="CQ44359" s="111"/>
      <c r="EF44359"/>
      <c r="EG44359"/>
      <c r="EH44359"/>
      <c r="EI44359"/>
      <c r="EJ44359"/>
      <c r="EK44359"/>
    </row>
    <row r="44360" spans="1:141" s="116" customFormat="1">
      <c r="A44360" s="136"/>
      <c r="CM44360" s="111"/>
      <c r="CQ44360" s="111"/>
      <c r="EF44360"/>
      <c r="EG44360"/>
      <c r="EH44360"/>
      <c r="EI44360"/>
      <c r="EJ44360"/>
      <c r="EK44360"/>
    </row>
    <row r="44361" spans="1:141" s="116" customFormat="1">
      <c r="A44361" s="136"/>
      <c r="CM44361" s="111"/>
      <c r="CQ44361" s="111"/>
      <c r="EF44361"/>
      <c r="EG44361"/>
      <c r="EH44361"/>
      <c r="EI44361"/>
      <c r="EJ44361"/>
      <c r="EK44361"/>
    </row>
    <row r="44362" spans="1:141" s="116" customFormat="1">
      <c r="A44362" s="136"/>
      <c r="CM44362" s="111"/>
      <c r="CQ44362" s="111"/>
      <c r="EF44362"/>
      <c r="EG44362"/>
      <c r="EH44362"/>
      <c r="EI44362"/>
      <c r="EJ44362"/>
      <c r="EK44362"/>
    </row>
    <row r="44363" spans="1:141" s="116" customFormat="1">
      <c r="A44363" s="136"/>
      <c r="CM44363" s="111"/>
      <c r="CQ44363" s="111"/>
      <c r="EF44363"/>
      <c r="EG44363"/>
      <c r="EH44363"/>
      <c r="EI44363"/>
      <c r="EJ44363"/>
      <c r="EK44363"/>
    </row>
    <row r="44364" spans="1:141" s="116" customFormat="1">
      <c r="A44364" s="136"/>
      <c r="CM44364" s="111"/>
      <c r="CQ44364" s="111"/>
      <c r="EF44364"/>
      <c r="EG44364"/>
      <c r="EH44364"/>
      <c r="EI44364"/>
      <c r="EJ44364"/>
      <c r="EK44364"/>
    </row>
    <row r="44365" spans="1:141" s="116" customFormat="1">
      <c r="A44365" s="136"/>
      <c r="CM44365" s="111"/>
      <c r="CQ44365" s="111"/>
      <c r="EF44365"/>
      <c r="EG44365"/>
      <c r="EH44365"/>
      <c r="EI44365"/>
      <c r="EJ44365"/>
      <c r="EK44365"/>
    </row>
    <row r="44366" spans="1:141" s="116" customFormat="1">
      <c r="A44366" s="136"/>
      <c r="CM44366" s="111"/>
      <c r="CQ44366" s="111"/>
      <c r="EF44366"/>
      <c r="EG44366"/>
      <c r="EH44366"/>
      <c r="EI44366"/>
      <c r="EJ44366"/>
      <c r="EK44366"/>
    </row>
    <row r="44367" spans="1:141" s="116" customFormat="1">
      <c r="A44367" s="136"/>
      <c r="CM44367" s="111"/>
      <c r="CQ44367" s="111"/>
      <c r="EF44367"/>
      <c r="EG44367"/>
      <c r="EH44367"/>
      <c r="EI44367"/>
      <c r="EJ44367"/>
      <c r="EK44367"/>
    </row>
    <row r="44368" spans="1:141" s="116" customFormat="1">
      <c r="A44368" s="136"/>
      <c r="CM44368" s="111"/>
      <c r="CQ44368" s="111"/>
      <c r="EF44368"/>
      <c r="EG44368"/>
      <c r="EH44368"/>
      <c r="EI44368"/>
      <c r="EJ44368"/>
      <c r="EK44368"/>
    </row>
    <row r="44369" spans="1:141" s="116" customFormat="1">
      <c r="A44369" s="136"/>
      <c r="CM44369" s="111"/>
      <c r="CQ44369" s="111"/>
      <c r="EF44369"/>
      <c r="EG44369"/>
      <c r="EH44369"/>
      <c r="EI44369"/>
      <c r="EJ44369"/>
      <c r="EK44369"/>
    </row>
    <row r="44370" spans="1:141" s="116" customFormat="1">
      <c r="A44370" s="136"/>
      <c r="CM44370" s="111"/>
      <c r="CQ44370" s="111"/>
      <c r="EF44370"/>
      <c r="EG44370"/>
      <c r="EH44370"/>
      <c r="EI44370"/>
      <c r="EJ44370"/>
      <c r="EK44370"/>
    </row>
    <row r="44371" spans="1:141" s="116" customFormat="1">
      <c r="A44371" s="136"/>
      <c r="CM44371" s="111"/>
      <c r="CQ44371" s="111"/>
      <c r="EF44371"/>
      <c r="EG44371"/>
      <c r="EH44371"/>
      <c r="EI44371"/>
      <c r="EJ44371"/>
      <c r="EK44371"/>
    </row>
    <row r="44372" spans="1:141" s="116" customFormat="1">
      <c r="A44372" s="136"/>
      <c r="CM44372" s="111"/>
      <c r="CQ44372" s="111"/>
      <c r="EF44372"/>
      <c r="EG44372"/>
      <c r="EH44372"/>
      <c r="EI44372"/>
      <c r="EJ44372"/>
      <c r="EK44372"/>
    </row>
    <row r="44373" spans="1:141" s="116" customFormat="1">
      <c r="A44373" s="136"/>
      <c r="CM44373" s="111"/>
      <c r="CQ44373" s="111"/>
      <c r="EF44373"/>
      <c r="EG44373"/>
      <c r="EH44373"/>
      <c r="EI44373"/>
      <c r="EJ44373"/>
      <c r="EK44373"/>
    </row>
    <row r="44374" spans="1:141" s="116" customFormat="1">
      <c r="A44374" s="136"/>
      <c r="CM44374" s="111"/>
      <c r="CQ44374" s="111"/>
      <c r="EF44374"/>
      <c r="EG44374"/>
      <c r="EH44374"/>
      <c r="EI44374"/>
      <c r="EJ44374"/>
      <c r="EK44374"/>
    </row>
    <row r="44375" spans="1:141" s="116" customFormat="1">
      <c r="A44375" s="136"/>
      <c r="CM44375" s="111"/>
      <c r="CQ44375" s="111"/>
      <c r="EF44375"/>
      <c r="EG44375"/>
      <c r="EH44375"/>
      <c r="EI44375"/>
      <c r="EJ44375"/>
      <c r="EK44375"/>
    </row>
    <row r="44376" spans="1:141" s="116" customFormat="1">
      <c r="A44376" s="136"/>
      <c r="CM44376" s="111"/>
      <c r="CQ44376" s="111"/>
      <c r="EF44376"/>
      <c r="EG44376"/>
      <c r="EH44376"/>
      <c r="EI44376"/>
      <c r="EJ44376"/>
      <c r="EK44376"/>
    </row>
    <row r="44377" spans="1:141" s="116" customFormat="1">
      <c r="A44377" s="136"/>
      <c r="CM44377" s="111"/>
      <c r="CQ44377" s="111"/>
      <c r="EF44377"/>
      <c r="EG44377"/>
      <c r="EH44377"/>
      <c r="EI44377"/>
      <c r="EJ44377"/>
      <c r="EK44377"/>
    </row>
    <row r="44378" spans="1:141" s="116" customFormat="1">
      <c r="A44378" s="136"/>
      <c r="CM44378" s="111"/>
      <c r="CQ44378" s="111"/>
      <c r="EF44378"/>
      <c r="EG44378"/>
      <c r="EH44378"/>
      <c r="EI44378"/>
      <c r="EJ44378"/>
      <c r="EK44378"/>
    </row>
    <row r="44379" spans="1:141" s="116" customFormat="1">
      <c r="A44379" s="136"/>
      <c r="CM44379" s="111"/>
      <c r="CQ44379" s="111"/>
      <c r="EF44379"/>
      <c r="EG44379"/>
      <c r="EH44379"/>
      <c r="EI44379"/>
      <c r="EJ44379"/>
      <c r="EK44379"/>
    </row>
    <row r="44380" spans="1:141" s="116" customFormat="1">
      <c r="A44380" s="136"/>
      <c r="CM44380" s="111"/>
      <c r="CQ44380" s="111"/>
      <c r="EF44380"/>
      <c r="EG44380"/>
      <c r="EH44380"/>
      <c r="EI44380"/>
      <c r="EJ44380"/>
      <c r="EK44380"/>
    </row>
    <row r="44381" spans="1:141" s="116" customFormat="1">
      <c r="A44381" s="136"/>
      <c r="CM44381" s="111"/>
      <c r="CQ44381" s="111"/>
      <c r="EF44381"/>
      <c r="EG44381"/>
      <c r="EH44381"/>
      <c r="EI44381"/>
      <c r="EJ44381"/>
      <c r="EK44381"/>
    </row>
    <row r="44382" spans="1:141" s="116" customFormat="1">
      <c r="A44382" s="136"/>
      <c r="CM44382" s="111"/>
      <c r="CQ44382" s="111"/>
      <c r="EF44382"/>
      <c r="EG44382"/>
      <c r="EH44382"/>
      <c r="EI44382"/>
      <c r="EJ44382"/>
      <c r="EK44382"/>
    </row>
    <row r="44383" spans="1:141" s="116" customFormat="1">
      <c r="A44383" s="136"/>
      <c r="CM44383" s="111"/>
      <c r="CQ44383" s="111"/>
      <c r="EF44383"/>
      <c r="EG44383"/>
      <c r="EH44383"/>
      <c r="EI44383"/>
      <c r="EJ44383"/>
      <c r="EK44383"/>
    </row>
    <row r="44384" spans="1:141" s="116" customFormat="1">
      <c r="A44384" s="136"/>
      <c r="CM44384" s="111"/>
      <c r="CQ44384" s="111"/>
      <c r="EF44384"/>
      <c r="EG44384"/>
      <c r="EH44384"/>
      <c r="EI44384"/>
      <c r="EJ44384"/>
      <c r="EK44384"/>
    </row>
    <row r="44385" spans="1:141" s="116" customFormat="1">
      <c r="A44385" s="136"/>
      <c r="CM44385" s="111"/>
      <c r="CQ44385" s="111"/>
      <c r="EF44385"/>
      <c r="EG44385"/>
      <c r="EH44385"/>
      <c r="EI44385"/>
      <c r="EJ44385"/>
      <c r="EK44385"/>
    </row>
    <row r="44386" spans="1:141" s="116" customFormat="1">
      <c r="A44386" s="136"/>
      <c r="CM44386" s="111"/>
      <c r="CQ44386" s="111"/>
      <c r="EF44386"/>
      <c r="EG44386"/>
      <c r="EH44386"/>
      <c r="EI44386"/>
      <c r="EJ44386"/>
      <c r="EK44386"/>
    </row>
    <row r="44387" spans="1:141" s="116" customFormat="1">
      <c r="A44387" s="136"/>
      <c r="CM44387" s="111"/>
      <c r="CQ44387" s="111"/>
      <c r="EF44387"/>
      <c r="EG44387"/>
      <c r="EH44387"/>
      <c r="EI44387"/>
      <c r="EJ44387"/>
      <c r="EK44387"/>
    </row>
    <row r="44388" spans="1:141" s="116" customFormat="1">
      <c r="A44388" s="136"/>
      <c r="CM44388" s="111"/>
      <c r="CQ44388" s="111"/>
      <c r="EF44388"/>
      <c r="EG44388"/>
      <c r="EH44388"/>
      <c r="EI44388"/>
      <c r="EJ44388"/>
      <c r="EK44388"/>
    </row>
    <row r="44389" spans="1:141" s="116" customFormat="1">
      <c r="A44389" s="136"/>
      <c r="CM44389" s="111"/>
      <c r="CQ44389" s="111"/>
      <c r="EF44389"/>
      <c r="EG44389"/>
      <c r="EH44389"/>
      <c r="EI44389"/>
      <c r="EJ44389"/>
      <c r="EK44389"/>
    </row>
    <row r="44390" spans="1:141" s="116" customFormat="1">
      <c r="A44390" s="136"/>
      <c r="CM44390" s="111"/>
      <c r="CQ44390" s="111"/>
      <c r="EF44390"/>
      <c r="EG44390"/>
      <c r="EH44390"/>
      <c r="EI44390"/>
      <c r="EJ44390"/>
      <c r="EK44390"/>
    </row>
    <row r="44391" spans="1:141" s="116" customFormat="1">
      <c r="A44391" s="136"/>
      <c r="CM44391" s="111"/>
      <c r="CQ44391" s="111"/>
      <c r="EF44391"/>
      <c r="EG44391"/>
      <c r="EH44391"/>
      <c r="EI44391"/>
      <c r="EJ44391"/>
      <c r="EK44391"/>
    </row>
    <row r="44392" spans="1:141" s="116" customFormat="1">
      <c r="A44392" s="136"/>
      <c r="CM44392" s="111"/>
      <c r="CQ44392" s="111"/>
      <c r="EF44392"/>
      <c r="EG44392"/>
      <c r="EH44392"/>
      <c r="EI44392"/>
      <c r="EJ44392"/>
      <c r="EK44392"/>
    </row>
    <row r="44393" spans="1:141" s="116" customFormat="1">
      <c r="A44393" s="136"/>
      <c r="CM44393" s="111"/>
      <c r="CQ44393" s="111"/>
      <c r="EF44393"/>
      <c r="EG44393"/>
      <c r="EH44393"/>
      <c r="EI44393"/>
      <c r="EJ44393"/>
      <c r="EK44393"/>
    </row>
    <row r="44394" spans="1:141" s="116" customFormat="1">
      <c r="A44394" s="136"/>
      <c r="CM44394" s="111"/>
      <c r="CQ44394" s="111"/>
      <c r="EF44394"/>
      <c r="EG44394"/>
      <c r="EH44394"/>
      <c r="EI44394"/>
      <c r="EJ44394"/>
      <c r="EK44394"/>
    </row>
    <row r="44395" spans="1:141" s="116" customFormat="1">
      <c r="A44395" s="136"/>
      <c r="CM44395" s="111"/>
      <c r="CQ44395" s="111"/>
      <c r="EF44395"/>
      <c r="EG44395"/>
      <c r="EH44395"/>
      <c r="EI44395"/>
      <c r="EJ44395"/>
      <c r="EK44395"/>
    </row>
    <row r="44396" spans="1:141" s="116" customFormat="1">
      <c r="A44396" s="136"/>
      <c r="CM44396" s="111"/>
      <c r="CQ44396" s="111"/>
      <c r="EF44396"/>
      <c r="EG44396"/>
      <c r="EH44396"/>
      <c r="EI44396"/>
      <c r="EJ44396"/>
      <c r="EK44396"/>
    </row>
    <row r="44397" spans="1:141" s="116" customFormat="1">
      <c r="A44397" s="136"/>
      <c r="CM44397" s="111"/>
      <c r="CQ44397" s="111"/>
      <c r="EF44397"/>
      <c r="EG44397"/>
      <c r="EH44397"/>
      <c r="EI44397"/>
      <c r="EJ44397"/>
      <c r="EK44397"/>
    </row>
    <row r="44398" spans="1:141" s="116" customFormat="1">
      <c r="A44398" s="136"/>
      <c r="CM44398" s="111"/>
      <c r="CQ44398" s="111"/>
      <c r="EF44398"/>
      <c r="EG44398"/>
      <c r="EH44398"/>
      <c r="EI44398"/>
      <c r="EJ44398"/>
      <c r="EK44398"/>
    </row>
    <row r="44399" spans="1:141" s="116" customFormat="1">
      <c r="A44399" s="136"/>
      <c r="CM44399" s="111"/>
      <c r="CQ44399" s="111"/>
      <c r="EF44399"/>
      <c r="EG44399"/>
      <c r="EH44399"/>
      <c r="EI44399"/>
      <c r="EJ44399"/>
      <c r="EK44399"/>
    </row>
    <row r="44400" spans="1:141" s="116" customFormat="1">
      <c r="A44400" s="136"/>
      <c r="CM44400" s="111"/>
      <c r="CQ44400" s="111"/>
      <c r="EF44400"/>
      <c r="EG44400"/>
      <c r="EH44400"/>
      <c r="EI44400"/>
      <c r="EJ44400"/>
      <c r="EK44400"/>
    </row>
    <row r="44401" spans="1:141" s="116" customFormat="1">
      <c r="A44401" s="136"/>
      <c r="CM44401" s="111"/>
      <c r="CQ44401" s="111"/>
      <c r="EF44401"/>
      <c r="EG44401"/>
      <c r="EH44401"/>
      <c r="EI44401"/>
      <c r="EJ44401"/>
      <c r="EK44401"/>
    </row>
    <row r="44402" spans="1:141" s="116" customFormat="1">
      <c r="A44402" s="136"/>
      <c r="CM44402" s="111"/>
      <c r="CQ44402" s="111"/>
      <c r="EF44402"/>
      <c r="EG44402"/>
      <c r="EH44402"/>
      <c r="EI44402"/>
      <c r="EJ44402"/>
      <c r="EK44402"/>
    </row>
    <row r="44403" spans="1:141" s="116" customFormat="1">
      <c r="A44403" s="136"/>
      <c r="CM44403" s="111"/>
      <c r="CQ44403" s="111"/>
      <c r="EF44403"/>
      <c r="EG44403"/>
      <c r="EH44403"/>
      <c r="EI44403"/>
      <c r="EJ44403"/>
      <c r="EK44403"/>
    </row>
    <row r="44404" spans="1:141" s="116" customFormat="1">
      <c r="A44404" s="136"/>
      <c r="CM44404" s="111"/>
      <c r="CQ44404" s="111"/>
      <c r="EF44404"/>
      <c r="EG44404"/>
      <c r="EH44404"/>
      <c r="EI44404"/>
      <c r="EJ44404"/>
      <c r="EK44404"/>
    </row>
    <row r="44405" spans="1:141" s="116" customFormat="1">
      <c r="A44405" s="136"/>
      <c r="CM44405" s="111"/>
      <c r="CQ44405" s="111"/>
      <c r="EF44405"/>
      <c r="EG44405"/>
      <c r="EH44405"/>
      <c r="EI44405"/>
      <c r="EJ44405"/>
      <c r="EK44405"/>
    </row>
    <row r="44406" spans="1:141" s="116" customFormat="1">
      <c r="A44406" s="136"/>
      <c r="CM44406" s="111"/>
      <c r="CQ44406" s="111"/>
      <c r="EF44406"/>
      <c r="EG44406"/>
      <c r="EH44406"/>
      <c r="EI44406"/>
      <c r="EJ44406"/>
      <c r="EK44406"/>
    </row>
    <row r="44407" spans="1:141" s="116" customFormat="1">
      <c r="A44407" s="136"/>
      <c r="CM44407" s="111"/>
      <c r="CQ44407" s="111"/>
      <c r="EF44407"/>
      <c r="EG44407"/>
      <c r="EH44407"/>
      <c r="EI44407"/>
      <c r="EJ44407"/>
      <c r="EK44407"/>
    </row>
    <row r="44408" spans="1:141" s="116" customFormat="1">
      <c r="A44408" s="136"/>
      <c r="CM44408" s="111"/>
      <c r="CQ44408" s="111"/>
      <c r="EF44408"/>
      <c r="EG44408"/>
      <c r="EH44408"/>
      <c r="EI44408"/>
      <c r="EJ44408"/>
      <c r="EK44408"/>
    </row>
    <row r="44409" spans="1:141" s="116" customFormat="1">
      <c r="A44409" s="136"/>
      <c r="CM44409" s="111"/>
      <c r="CQ44409" s="111"/>
      <c r="EF44409"/>
      <c r="EG44409"/>
      <c r="EH44409"/>
      <c r="EI44409"/>
      <c r="EJ44409"/>
      <c r="EK44409"/>
    </row>
    <row r="44410" spans="1:141" s="116" customFormat="1">
      <c r="A44410" s="136"/>
      <c r="CM44410" s="111"/>
      <c r="CQ44410" s="111"/>
      <c r="EF44410"/>
      <c r="EG44410"/>
      <c r="EH44410"/>
      <c r="EI44410"/>
      <c r="EJ44410"/>
      <c r="EK44410"/>
    </row>
    <row r="44411" spans="1:141" s="116" customFormat="1">
      <c r="A44411" s="136"/>
      <c r="CM44411" s="111"/>
      <c r="CQ44411" s="111"/>
      <c r="EF44411"/>
      <c r="EG44411"/>
      <c r="EH44411"/>
      <c r="EI44411"/>
      <c r="EJ44411"/>
      <c r="EK44411"/>
    </row>
    <row r="44412" spans="1:141" s="116" customFormat="1">
      <c r="A44412" s="136"/>
      <c r="CM44412" s="111"/>
      <c r="CQ44412" s="111"/>
      <c r="EF44412"/>
      <c r="EG44412"/>
      <c r="EH44412"/>
      <c r="EI44412"/>
      <c r="EJ44412"/>
      <c r="EK44412"/>
    </row>
    <row r="44413" spans="1:141" s="116" customFormat="1">
      <c r="A44413" s="136"/>
      <c r="CM44413" s="111"/>
      <c r="CQ44413" s="111"/>
      <c r="EF44413"/>
      <c r="EG44413"/>
      <c r="EH44413"/>
      <c r="EI44413"/>
      <c r="EJ44413"/>
      <c r="EK44413"/>
    </row>
    <row r="44414" spans="1:141" s="116" customFormat="1">
      <c r="A44414" s="136"/>
      <c r="CM44414" s="111"/>
      <c r="CQ44414" s="111"/>
      <c r="EF44414"/>
      <c r="EG44414"/>
      <c r="EH44414"/>
      <c r="EI44414"/>
      <c r="EJ44414"/>
      <c r="EK44414"/>
    </row>
    <row r="44415" spans="1:141" s="116" customFormat="1">
      <c r="A44415" s="136"/>
      <c r="CM44415" s="111"/>
      <c r="CQ44415" s="111"/>
      <c r="EF44415"/>
      <c r="EG44415"/>
      <c r="EH44415"/>
      <c r="EI44415"/>
      <c r="EJ44415"/>
      <c r="EK44415"/>
    </row>
    <row r="44416" spans="1:141" s="116" customFormat="1">
      <c r="A44416" s="136"/>
      <c r="CM44416" s="111"/>
      <c r="CQ44416" s="111"/>
      <c r="EF44416"/>
      <c r="EG44416"/>
      <c r="EH44416"/>
      <c r="EI44416"/>
      <c r="EJ44416"/>
      <c r="EK44416"/>
    </row>
    <row r="44417" spans="1:141" s="116" customFormat="1">
      <c r="A44417" s="136"/>
      <c r="CM44417" s="111"/>
      <c r="CQ44417" s="111"/>
      <c r="EF44417"/>
      <c r="EG44417"/>
      <c r="EH44417"/>
      <c r="EI44417"/>
      <c r="EJ44417"/>
      <c r="EK44417"/>
    </row>
    <row r="44418" spans="1:141" s="116" customFormat="1">
      <c r="A44418" s="136"/>
      <c r="CM44418" s="111"/>
      <c r="CQ44418" s="111"/>
      <c r="EF44418"/>
      <c r="EG44418"/>
      <c r="EH44418"/>
      <c r="EI44418"/>
      <c r="EJ44418"/>
      <c r="EK44418"/>
    </row>
    <row r="44419" spans="1:141" s="116" customFormat="1">
      <c r="A44419" s="136"/>
      <c r="CM44419" s="111"/>
      <c r="CQ44419" s="111"/>
      <c r="EF44419"/>
      <c r="EG44419"/>
      <c r="EH44419"/>
      <c r="EI44419"/>
      <c r="EJ44419"/>
      <c r="EK44419"/>
    </row>
    <row r="44420" spans="1:141" s="116" customFormat="1">
      <c r="A44420" s="136"/>
      <c r="CM44420" s="111"/>
      <c r="CQ44420" s="111"/>
      <c r="EF44420"/>
      <c r="EG44420"/>
      <c r="EH44420"/>
      <c r="EI44420"/>
      <c r="EJ44420"/>
      <c r="EK44420"/>
    </row>
    <row r="44421" spans="1:141" s="116" customFormat="1">
      <c r="A44421" s="136"/>
      <c r="CM44421" s="111"/>
      <c r="CQ44421" s="111"/>
      <c r="EF44421"/>
      <c r="EG44421"/>
      <c r="EH44421"/>
      <c r="EI44421"/>
      <c r="EJ44421"/>
      <c r="EK44421"/>
    </row>
    <row r="44422" spans="1:141" s="116" customFormat="1">
      <c r="A44422" s="136"/>
      <c r="CM44422" s="111"/>
      <c r="CQ44422" s="111"/>
      <c r="EF44422"/>
      <c r="EG44422"/>
      <c r="EH44422"/>
      <c r="EI44422"/>
      <c r="EJ44422"/>
      <c r="EK44422"/>
    </row>
    <row r="44423" spans="1:141" s="116" customFormat="1">
      <c r="A44423" s="136"/>
      <c r="CM44423" s="111"/>
      <c r="CQ44423" s="111"/>
      <c r="EF44423"/>
      <c r="EG44423"/>
      <c r="EH44423"/>
      <c r="EI44423"/>
      <c r="EJ44423"/>
      <c r="EK44423"/>
    </row>
    <row r="44424" spans="1:141" s="116" customFormat="1">
      <c r="A44424" s="136"/>
      <c r="CM44424" s="111"/>
      <c r="CQ44424" s="111"/>
      <c r="EF44424"/>
      <c r="EG44424"/>
      <c r="EH44424"/>
      <c r="EI44424"/>
      <c r="EJ44424"/>
      <c r="EK44424"/>
    </row>
    <row r="44425" spans="1:141" s="116" customFormat="1">
      <c r="A44425" s="136"/>
      <c r="CM44425" s="111"/>
      <c r="CQ44425" s="111"/>
      <c r="EF44425"/>
      <c r="EG44425"/>
      <c r="EH44425"/>
      <c r="EI44425"/>
      <c r="EJ44425"/>
      <c r="EK44425"/>
    </row>
    <row r="44426" spans="1:141" s="116" customFormat="1">
      <c r="A44426" s="136"/>
      <c r="CM44426" s="111"/>
      <c r="CQ44426" s="111"/>
      <c r="EF44426"/>
      <c r="EG44426"/>
      <c r="EH44426"/>
      <c r="EI44426"/>
      <c r="EJ44426"/>
      <c r="EK44426"/>
    </row>
    <row r="44427" spans="1:141" s="116" customFormat="1">
      <c r="A44427" s="136"/>
      <c r="CM44427" s="111"/>
      <c r="CQ44427" s="111"/>
      <c r="EF44427"/>
      <c r="EG44427"/>
      <c r="EH44427"/>
      <c r="EI44427"/>
      <c r="EJ44427"/>
      <c r="EK44427"/>
    </row>
    <row r="44428" spans="1:141" s="116" customFormat="1">
      <c r="A44428" s="136"/>
      <c r="CM44428" s="111"/>
      <c r="CQ44428" s="111"/>
      <c r="EF44428"/>
      <c r="EG44428"/>
      <c r="EH44428"/>
      <c r="EI44428"/>
      <c r="EJ44428"/>
      <c r="EK44428"/>
    </row>
    <row r="44429" spans="1:141" s="116" customFormat="1">
      <c r="A44429" s="136"/>
      <c r="CM44429" s="111"/>
      <c r="CQ44429" s="111"/>
      <c r="EF44429"/>
      <c r="EG44429"/>
      <c r="EH44429"/>
      <c r="EI44429"/>
      <c r="EJ44429"/>
      <c r="EK44429"/>
    </row>
    <row r="44430" spans="1:141" s="116" customFormat="1">
      <c r="A44430" s="136"/>
      <c r="CM44430" s="111"/>
      <c r="CQ44430" s="111"/>
      <c r="EF44430"/>
      <c r="EG44430"/>
      <c r="EH44430"/>
      <c r="EI44430"/>
      <c r="EJ44430"/>
      <c r="EK44430"/>
    </row>
    <row r="44431" spans="1:141" s="116" customFormat="1">
      <c r="A44431" s="136"/>
      <c r="CM44431" s="111"/>
      <c r="CQ44431" s="111"/>
      <c r="EF44431"/>
      <c r="EG44431"/>
      <c r="EH44431"/>
      <c r="EI44431"/>
      <c r="EJ44431"/>
      <c r="EK44431"/>
    </row>
    <row r="44432" spans="1:141" s="116" customFormat="1">
      <c r="A44432" s="136"/>
      <c r="CM44432" s="111"/>
      <c r="CQ44432" s="111"/>
      <c r="EF44432"/>
      <c r="EG44432"/>
      <c r="EH44432"/>
      <c r="EI44432"/>
      <c r="EJ44432"/>
      <c r="EK44432"/>
    </row>
    <row r="44433" spans="1:141" s="116" customFormat="1">
      <c r="A44433" s="136"/>
      <c r="CM44433" s="111"/>
      <c r="CQ44433" s="111"/>
      <c r="EF44433"/>
      <c r="EG44433"/>
      <c r="EH44433"/>
      <c r="EI44433"/>
      <c r="EJ44433"/>
      <c r="EK44433"/>
    </row>
    <row r="44434" spans="1:141" s="116" customFormat="1">
      <c r="A44434" s="136"/>
      <c r="CM44434" s="111"/>
      <c r="CQ44434" s="111"/>
      <c r="EF44434"/>
      <c r="EG44434"/>
      <c r="EH44434"/>
      <c r="EI44434"/>
      <c r="EJ44434"/>
      <c r="EK44434"/>
    </row>
    <row r="44435" spans="1:141" s="116" customFormat="1">
      <c r="A44435" s="136"/>
      <c r="CM44435" s="111"/>
      <c r="CQ44435" s="111"/>
      <c r="EF44435"/>
      <c r="EG44435"/>
      <c r="EH44435"/>
      <c r="EI44435"/>
      <c r="EJ44435"/>
      <c r="EK44435"/>
    </row>
    <row r="44436" spans="1:141" s="116" customFormat="1">
      <c r="A44436" s="136"/>
      <c r="CM44436" s="111"/>
      <c r="CQ44436" s="111"/>
      <c r="EF44436"/>
      <c r="EG44436"/>
      <c r="EH44436"/>
      <c r="EI44436"/>
      <c r="EJ44436"/>
      <c r="EK44436"/>
    </row>
    <row r="44437" spans="1:141" s="116" customFormat="1">
      <c r="A44437" s="136"/>
      <c r="CM44437" s="111"/>
      <c r="CQ44437" s="111"/>
      <c r="EF44437"/>
      <c r="EG44437"/>
      <c r="EH44437"/>
      <c r="EI44437"/>
      <c r="EJ44437"/>
      <c r="EK44437"/>
    </row>
    <row r="44438" spans="1:141" s="116" customFormat="1">
      <c r="A44438" s="136"/>
      <c r="CM44438" s="111"/>
      <c r="CQ44438" s="111"/>
      <c r="EF44438"/>
      <c r="EG44438"/>
      <c r="EH44438"/>
      <c r="EI44438"/>
      <c r="EJ44438"/>
      <c r="EK44438"/>
    </row>
    <row r="44439" spans="1:141" s="116" customFormat="1">
      <c r="A44439" s="136"/>
      <c r="CM44439" s="111"/>
      <c r="CQ44439" s="111"/>
      <c r="EF44439"/>
      <c r="EG44439"/>
      <c r="EH44439"/>
      <c r="EI44439"/>
      <c r="EJ44439"/>
      <c r="EK44439"/>
    </row>
    <row r="44440" spans="1:141" s="116" customFormat="1">
      <c r="A44440" s="136"/>
      <c r="CM44440" s="111"/>
      <c r="CQ44440" s="111"/>
      <c r="EF44440"/>
      <c r="EG44440"/>
      <c r="EH44440"/>
      <c r="EI44440"/>
      <c r="EJ44440"/>
      <c r="EK44440"/>
    </row>
    <row r="44441" spans="1:141" s="116" customFormat="1">
      <c r="A44441" s="136"/>
      <c r="CM44441" s="111"/>
      <c r="CQ44441" s="111"/>
      <c r="EF44441"/>
      <c r="EG44441"/>
      <c r="EH44441"/>
      <c r="EI44441"/>
      <c r="EJ44441"/>
      <c r="EK44441"/>
    </row>
    <row r="44442" spans="1:141" s="116" customFormat="1">
      <c r="A44442" s="136"/>
      <c r="CM44442" s="111"/>
      <c r="CQ44442" s="111"/>
      <c r="EF44442"/>
      <c r="EG44442"/>
      <c r="EH44442"/>
      <c r="EI44442"/>
      <c r="EJ44442"/>
      <c r="EK44442"/>
    </row>
    <row r="44443" spans="1:141" s="116" customFormat="1">
      <c r="A44443" s="136"/>
      <c r="CM44443" s="111"/>
      <c r="CQ44443" s="111"/>
      <c r="EF44443"/>
      <c r="EG44443"/>
      <c r="EH44443"/>
      <c r="EI44443"/>
      <c r="EJ44443"/>
      <c r="EK44443"/>
    </row>
    <row r="44444" spans="1:141" s="116" customFormat="1">
      <c r="A44444" s="136"/>
      <c r="CM44444" s="111"/>
      <c r="CQ44444" s="111"/>
      <c r="EF44444"/>
      <c r="EG44444"/>
      <c r="EH44444"/>
      <c r="EI44444"/>
      <c r="EJ44444"/>
      <c r="EK44444"/>
    </row>
    <row r="44445" spans="1:141" s="116" customFormat="1">
      <c r="A44445" s="136"/>
      <c r="CM44445" s="111"/>
      <c r="CQ44445" s="111"/>
      <c r="EF44445"/>
      <c r="EG44445"/>
      <c r="EH44445"/>
      <c r="EI44445"/>
      <c r="EJ44445"/>
      <c r="EK44445"/>
    </row>
    <row r="44446" spans="1:141" s="116" customFormat="1">
      <c r="A44446" s="136"/>
      <c r="CM44446" s="111"/>
      <c r="CQ44446" s="111"/>
      <c r="EF44446"/>
      <c r="EG44446"/>
      <c r="EH44446"/>
      <c r="EI44446"/>
      <c r="EJ44446"/>
      <c r="EK44446"/>
    </row>
    <row r="44447" spans="1:141" s="116" customFormat="1">
      <c r="A44447" s="136"/>
      <c r="CM44447" s="111"/>
      <c r="CQ44447" s="111"/>
      <c r="EF44447"/>
      <c r="EG44447"/>
      <c r="EH44447"/>
      <c r="EI44447"/>
      <c r="EJ44447"/>
      <c r="EK44447"/>
    </row>
    <row r="44448" spans="1:141" s="116" customFormat="1">
      <c r="A44448" s="136"/>
      <c r="CM44448" s="111"/>
      <c r="CQ44448" s="111"/>
      <c r="EF44448"/>
      <c r="EG44448"/>
      <c r="EH44448"/>
      <c r="EI44448"/>
      <c r="EJ44448"/>
      <c r="EK44448"/>
    </row>
    <row r="44449" spans="1:141" s="116" customFormat="1">
      <c r="A44449" s="136"/>
      <c r="CM44449" s="111"/>
      <c r="CQ44449" s="111"/>
      <c r="EF44449"/>
      <c r="EG44449"/>
      <c r="EH44449"/>
      <c r="EI44449"/>
      <c r="EJ44449"/>
      <c r="EK44449"/>
    </row>
    <row r="44450" spans="1:141" s="116" customFormat="1">
      <c r="A44450" s="136"/>
      <c r="CM44450" s="111"/>
      <c r="CQ44450" s="111"/>
      <c r="EF44450"/>
      <c r="EG44450"/>
      <c r="EH44450"/>
      <c r="EI44450"/>
      <c r="EJ44450"/>
      <c r="EK44450"/>
    </row>
    <row r="44451" spans="1:141" s="116" customFormat="1">
      <c r="A44451" s="136"/>
      <c r="CM44451" s="111"/>
      <c r="CQ44451" s="111"/>
      <c r="EF44451"/>
      <c r="EG44451"/>
      <c r="EH44451"/>
      <c r="EI44451"/>
      <c r="EJ44451"/>
      <c r="EK44451"/>
    </row>
    <row r="44452" spans="1:141" s="116" customFormat="1">
      <c r="A44452" s="136"/>
      <c r="CM44452" s="111"/>
      <c r="CQ44452" s="111"/>
      <c r="EF44452"/>
      <c r="EG44452"/>
      <c r="EH44452"/>
      <c r="EI44452"/>
      <c r="EJ44452"/>
      <c r="EK44452"/>
    </row>
    <row r="44453" spans="1:141" s="116" customFormat="1">
      <c r="A44453" s="136"/>
      <c r="CM44453" s="111"/>
      <c r="CQ44453" s="111"/>
      <c r="EF44453"/>
      <c r="EG44453"/>
      <c r="EH44453"/>
      <c r="EI44453"/>
      <c r="EJ44453"/>
      <c r="EK44453"/>
    </row>
    <row r="44454" spans="1:141" s="116" customFormat="1">
      <c r="A44454" s="136"/>
      <c r="CM44454" s="111"/>
      <c r="CQ44454" s="111"/>
      <c r="EF44454"/>
      <c r="EG44454"/>
      <c r="EH44454"/>
      <c r="EI44454"/>
      <c r="EJ44454"/>
      <c r="EK44454"/>
    </row>
    <row r="44455" spans="1:141" s="116" customFormat="1">
      <c r="A44455" s="136"/>
      <c r="CM44455" s="111"/>
      <c r="CQ44455" s="111"/>
      <c r="EF44455"/>
      <c r="EG44455"/>
      <c r="EH44455"/>
      <c r="EI44455"/>
      <c r="EJ44455"/>
      <c r="EK44455"/>
    </row>
    <row r="44456" spans="1:141" s="116" customFormat="1">
      <c r="A44456" s="136"/>
      <c r="CM44456" s="111"/>
      <c r="CQ44456" s="111"/>
      <c r="EF44456"/>
      <c r="EG44456"/>
      <c r="EH44456"/>
      <c r="EI44456"/>
      <c r="EJ44456"/>
      <c r="EK44456"/>
    </row>
    <row r="44457" spans="1:141" s="116" customFormat="1">
      <c r="A44457" s="136"/>
      <c r="CM44457" s="111"/>
      <c r="CQ44457" s="111"/>
      <c r="EF44457"/>
      <c r="EG44457"/>
      <c r="EH44457"/>
      <c r="EI44457"/>
      <c r="EJ44457"/>
      <c r="EK44457"/>
    </row>
    <row r="44458" spans="1:141" s="116" customFormat="1">
      <c r="A44458" s="136"/>
      <c r="CM44458" s="111"/>
      <c r="CQ44458" s="111"/>
      <c r="EF44458"/>
      <c r="EG44458"/>
      <c r="EH44458"/>
      <c r="EI44458"/>
      <c r="EJ44458"/>
      <c r="EK44458"/>
    </row>
    <row r="44459" spans="1:141" s="116" customFormat="1">
      <c r="A44459" s="136"/>
      <c r="CM44459" s="111"/>
      <c r="CQ44459" s="111"/>
      <c r="EF44459"/>
      <c r="EG44459"/>
      <c r="EH44459"/>
      <c r="EI44459"/>
      <c r="EJ44459"/>
      <c r="EK44459"/>
    </row>
    <row r="44460" spans="1:141" s="116" customFormat="1">
      <c r="A44460" s="136"/>
      <c r="CM44460" s="111"/>
      <c r="CQ44460" s="111"/>
      <c r="EF44460"/>
      <c r="EG44460"/>
      <c r="EH44460"/>
      <c r="EI44460"/>
      <c r="EJ44460"/>
      <c r="EK44460"/>
    </row>
    <row r="44461" spans="1:141" s="116" customFormat="1">
      <c r="A44461" s="136"/>
      <c r="CM44461" s="111"/>
      <c r="CQ44461" s="111"/>
      <c r="EF44461"/>
      <c r="EG44461"/>
      <c r="EH44461"/>
      <c r="EI44461"/>
      <c r="EJ44461"/>
      <c r="EK44461"/>
    </row>
    <row r="44462" spans="1:141" s="116" customFormat="1">
      <c r="A44462" s="136"/>
      <c r="CM44462" s="111"/>
      <c r="CQ44462" s="111"/>
      <c r="EF44462"/>
      <c r="EG44462"/>
      <c r="EH44462"/>
      <c r="EI44462"/>
      <c r="EJ44462"/>
      <c r="EK44462"/>
    </row>
    <row r="44463" spans="1:141" s="116" customFormat="1">
      <c r="A44463" s="136"/>
      <c r="CM44463" s="111"/>
      <c r="CQ44463" s="111"/>
      <c r="EF44463"/>
      <c r="EG44463"/>
      <c r="EH44463"/>
      <c r="EI44463"/>
      <c r="EJ44463"/>
      <c r="EK44463"/>
    </row>
    <row r="44464" spans="1:141" s="116" customFormat="1">
      <c r="A44464" s="136"/>
      <c r="CM44464" s="111"/>
      <c r="CQ44464" s="111"/>
      <c r="EF44464"/>
      <c r="EG44464"/>
      <c r="EH44464"/>
      <c r="EI44464"/>
      <c r="EJ44464"/>
      <c r="EK44464"/>
    </row>
    <row r="44465" spans="1:141" s="116" customFormat="1">
      <c r="A44465" s="136"/>
      <c r="CM44465" s="111"/>
      <c r="CQ44465" s="111"/>
      <c r="EF44465"/>
      <c r="EG44465"/>
      <c r="EH44465"/>
      <c r="EI44465"/>
      <c r="EJ44465"/>
      <c r="EK44465"/>
    </row>
    <row r="44466" spans="1:141" s="116" customFormat="1">
      <c r="A44466" s="136"/>
      <c r="CM44466" s="111"/>
      <c r="CQ44466" s="111"/>
      <c r="EF44466"/>
      <c r="EG44466"/>
      <c r="EH44466"/>
      <c r="EI44466"/>
      <c r="EJ44466"/>
      <c r="EK44466"/>
    </row>
    <row r="44467" spans="1:141" s="116" customFormat="1">
      <c r="A44467" s="136"/>
      <c r="CM44467" s="111"/>
      <c r="CQ44467" s="111"/>
      <c r="EF44467"/>
      <c r="EG44467"/>
      <c r="EH44467"/>
      <c r="EI44467"/>
      <c r="EJ44467"/>
      <c r="EK44467"/>
    </row>
    <row r="44468" spans="1:141" s="116" customFormat="1">
      <c r="A44468" s="136"/>
      <c r="CM44468" s="111"/>
      <c r="CQ44468" s="111"/>
      <c r="EF44468"/>
      <c r="EG44468"/>
      <c r="EH44468"/>
      <c r="EI44468"/>
      <c r="EJ44468"/>
      <c r="EK44468"/>
    </row>
    <row r="44469" spans="1:141" s="116" customFormat="1">
      <c r="A44469" s="136"/>
      <c r="CM44469" s="111"/>
      <c r="CQ44469" s="111"/>
      <c r="EF44469"/>
      <c r="EG44469"/>
      <c r="EH44469"/>
      <c r="EI44469"/>
      <c r="EJ44469"/>
      <c r="EK44469"/>
    </row>
    <row r="44470" spans="1:141" s="116" customFormat="1">
      <c r="A44470" s="136"/>
      <c r="CM44470" s="111"/>
      <c r="CQ44470" s="111"/>
      <c r="EF44470"/>
      <c r="EG44470"/>
      <c r="EH44470"/>
      <c r="EI44470"/>
      <c r="EJ44470"/>
      <c r="EK44470"/>
    </row>
    <row r="44471" spans="1:141" s="116" customFormat="1">
      <c r="A44471" s="136"/>
      <c r="CM44471" s="111"/>
      <c r="CQ44471" s="111"/>
      <c r="EF44471"/>
      <c r="EG44471"/>
      <c r="EH44471"/>
      <c r="EI44471"/>
      <c r="EJ44471"/>
      <c r="EK44471"/>
    </row>
    <row r="44472" spans="1:141" s="116" customFormat="1">
      <c r="A44472" s="136"/>
      <c r="CM44472" s="111"/>
      <c r="CQ44472" s="111"/>
      <c r="EF44472"/>
      <c r="EG44472"/>
      <c r="EH44472"/>
      <c r="EI44472"/>
      <c r="EJ44472"/>
      <c r="EK44472"/>
    </row>
    <row r="44473" spans="1:141" s="116" customFormat="1">
      <c r="A44473" s="136"/>
      <c r="CM44473" s="111"/>
      <c r="CQ44473" s="111"/>
      <c r="EF44473"/>
      <c r="EG44473"/>
      <c r="EH44473"/>
      <c r="EI44473"/>
      <c r="EJ44473"/>
      <c r="EK44473"/>
    </row>
    <row r="44474" spans="1:141" s="116" customFormat="1">
      <c r="A44474" s="136"/>
      <c r="CM44474" s="111"/>
      <c r="CQ44474" s="111"/>
      <c r="EF44474"/>
      <c r="EG44474"/>
      <c r="EH44474"/>
      <c r="EI44474"/>
      <c r="EJ44474"/>
      <c r="EK44474"/>
    </row>
    <row r="44475" spans="1:141" s="116" customFormat="1">
      <c r="A44475" s="136"/>
      <c r="CM44475" s="111"/>
      <c r="CQ44475" s="111"/>
      <c r="EF44475"/>
      <c r="EG44475"/>
      <c r="EH44475"/>
      <c r="EI44475"/>
      <c r="EJ44475"/>
      <c r="EK44475"/>
    </row>
    <row r="44476" spans="1:141" s="116" customFormat="1">
      <c r="A44476" s="136"/>
      <c r="CM44476" s="111"/>
      <c r="CQ44476" s="111"/>
      <c r="EF44476"/>
      <c r="EG44476"/>
      <c r="EH44476"/>
      <c r="EI44476"/>
      <c r="EJ44476"/>
      <c r="EK44476"/>
    </row>
    <row r="44477" spans="1:141" s="116" customFormat="1">
      <c r="A44477" s="136"/>
      <c r="CM44477" s="111"/>
      <c r="CQ44477" s="111"/>
      <c r="EF44477"/>
      <c r="EG44477"/>
      <c r="EH44477"/>
      <c r="EI44477"/>
      <c r="EJ44477"/>
      <c r="EK44477"/>
    </row>
    <row r="44478" spans="1:141" s="116" customFormat="1">
      <c r="A44478" s="136"/>
      <c r="CM44478" s="111"/>
      <c r="CQ44478" s="111"/>
      <c r="EF44478"/>
      <c r="EG44478"/>
      <c r="EH44478"/>
      <c r="EI44478"/>
      <c r="EJ44478"/>
      <c r="EK44478"/>
    </row>
    <row r="44479" spans="1:141" s="116" customFormat="1">
      <c r="A44479" s="136"/>
      <c r="CM44479" s="111"/>
      <c r="CQ44479" s="111"/>
      <c r="EF44479"/>
      <c r="EG44479"/>
      <c r="EH44479"/>
      <c r="EI44479"/>
      <c r="EJ44479"/>
      <c r="EK44479"/>
    </row>
    <row r="44480" spans="1:141" s="116" customFormat="1">
      <c r="A44480" s="136"/>
      <c r="CM44480" s="111"/>
      <c r="CQ44480" s="111"/>
      <c r="EF44480"/>
      <c r="EG44480"/>
      <c r="EH44480"/>
      <c r="EI44480"/>
      <c r="EJ44480"/>
      <c r="EK44480"/>
    </row>
    <row r="44481" spans="1:141" s="116" customFormat="1">
      <c r="A44481" s="136"/>
      <c r="CM44481" s="111"/>
      <c r="CQ44481" s="111"/>
      <c r="EF44481"/>
      <c r="EG44481"/>
      <c r="EH44481"/>
      <c r="EI44481"/>
      <c r="EJ44481"/>
      <c r="EK44481"/>
    </row>
    <row r="44482" spans="1:141" s="116" customFormat="1">
      <c r="A44482" s="136"/>
      <c r="CM44482" s="111"/>
      <c r="CQ44482" s="111"/>
      <c r="EF44482"/>
      <c r="EG44482"/>
      <c r="EH44482"/>
      <c r="EI44482"/>
      <c r="EJ44482"/>
      <c r="EK44482"/>
    </row>
    <row r="44483" spans="1:141" s="116" customFormat="1">
      <c r="A44483" s="136"/>
      <c r="CM44483" s="111"/>
      <c r="CQ44483" s="111"/>
      <c r="EF44483"/>
      <c r="EG44483"/>
      <c r="EH44483"/>
      <c r="EI44483"/>
      <c r="EJ44483"/>
      <c r="EK44483"/>
    </row>
    <row r="44484" spans="1:141" s="116" customFormat="1">
      <c r="A44484" s="136"/>
      <c r="CM44484" s="111"/>
      <c r="CQ44484" s="111"/>
      <c r="EF44484"/>
      <c r="EG44484"/>
      <c r="EH44484"/>
      <c r="EI44484"/>
      <c r="EJ44484"/>
      <c r="EK44484"/>
    </row>
    <row r="44485" spans="1:141" s="116" customFormat="1">
      <c r="A44485" s="136"/>
      <c r="CM44485" s="111"/>
      <c r="CQ44485" s="111"/>
      <c r="EF44485"/>
      <c r="EG44485"/>
      <c r="EH44485"/>
      <c r="EI44485"/>
      <c r="EJ44485"/>
      <c r="EK44485"/>
    </row>
    <row r="44486" spans="1:141" s="116" customFormat="1">
      <c r="A44486" s="136"/>
      <c r="CM44486" s="111"/>
      <c r="CQ44486" s="111"/>
      <c r="EF44486"/>
      <c r="EG44486"/>
      <c r="EH44486"/>
      <c r="EI44486"/>
      <c r="EJ44486"/>
      <c r="EK44486"/>
    </row>
    <row r="44487" spans="1:141" s="116" customFormat="1">
      <c r="A44487" s="136"/>
      <c r="CM44487" s="111"/>
      <c r="CQ44487" s="111"/>
      <c r="EF44487"/>
      <c r="EG44487"/>
      <c r="EH44487"/>
      <c r="EI44487"/>
      <c r="EJ44487"/>
      <c r="EK44487"/>
    </row>
    <row r="44488" spans="1:141" s="116" customFormat="1">
      <c r="A44488" s="136"/>
      <c r="CM44488" s="111"/>
      <c r="CQ44488" s="111"/>
      <c r="EF44488"/>
      <c r="EG44488"/>
      <c r="EH44488"/>
      <c r="EI44488"/>
      <c r="EJ44488"/>
      <c r="EK44488"/>
    </row>
    <row r="44489" spans="1:141" s="116" customFormat="1">
      <c r="A44489" s="136"/>
      <c r="CM44489" s="111"/>
      <c r="CQ44489" s="111"/>
      <c r="EF44489"/>
      <c r="EG44489"/>
      <c r="EH44489"/>
      <c r="EI44489"/>
      <c r="EJ44489"/>
      <c r="EK44489"/>
    </row>
    <row r="44490" spans="1:141" s="116" customFormat="1">
      <c r="A44490" s="136"/>
      <c r="CM44490" s="111"/>
      <c r="CQ44490" s="111"/>
      <c r="EF44490"/>
      <c r="EG44490"/>
      <c r="EH44490"/>
      <c r="EI44490"/>
      <c r="EJ44490"/>
      <c r="EK44490"/>
    </row>
    <row r="44491" spans="1:141" s="116" customFormat="1">
      <c r="A44491" s="136"/>
      <c r="CM44491" s="111"/>
      <c r="CQ44491" s="111"/>
      <c r="EF44491"/>
      <c r="EG44491"/>
      <c r="EH44491"/>
      <c r="EI44491"/>
      <c r="EJ44491"/>
      <c r="EK44491"/>
    </row>
    <row r="44492" spans="1:141" s="116" customFormat="1">
      <c r="A44492" s="136"/>
      <c r="CM44492" s="111"/>
      <c r="CQ44492" s="111"/>
      <c r="EF44492"/>
      <c r="EG44492"/>
      <c r="EH44492"/>
      <c r="EI44492"/>
      <c r="EJ44492"/>
      <c r="EK44492"/>
    </row>
    <row r="44493" spans="1:141" s="116" customFormat="1">
      <c r="A44493" s="136"/>
      <c r="CM44493" s="111"/>
      <c r="CQ44493" s="111"/>
      <c r="EF44493"/>
      <c r="EG44493"/>
      <c r="EH44493"/>
      <c r="EI44493"/>
      <c r="EJ44493"/>
      <c r="EK44493"/>
    </row>
    <row r="44494" spans="1:141" s="116" customFormat="1">
      <c r="A44494" s="136"/>
      <c r="CM44494" s="111"/>
      <c r="CQ44494" s="111"/>
      <c r="EF44494"/>
      <c r="EG44494"/>
      <c r="EH44494"/>
      <c r="EI44494"/>
      <c r="EJ44494"/>
      <c r="EK44494"/>
    </row>
    <row r="44495" spans="1:141" s="116" customFormat="1">
      <c r="A44495" s="136"/>
      <c r="CM44495" s="111"/>
      <c r="CQ44495" s="111"/>
      <c r="EF44495"/>
      <c r="EG44495"/>
      <c r="EH44495"/>
      <c r="EI44495"/>
      <c r="EJ44495"/>
      <c r="EK44495"/>
    </row>
    <row r="44496" spans="1:141" s="116" customFormat="1">
      <c r="A44496" s="136"/>
      <c r="CM44496" s="111"/>
      <c r="CQ44496" s="111"/>
      <c r="EF44496"/>
      <c r="EG44496"/>
      <c r="EH44496"/>
      <c r="EI44496"/>
      <c r="EJ44496"/>
      <c r="EK44496"/>
    </row>
    <row r="44497" spans="1:141" s="116" customFormat="1">
      <c r="A44497" s="136"/>
      <c r="CM44497" s="111"/>
      <c r="CQ44497" s="111"/>
      <c r="EF44497"/>
      <c r="EG44497"/>
      <c r="EH44497"/>
      <c r="EI44497"/>
      <c r="EJ44497"/>
      <c r="EK44497"/>
    </row>
    <row r="44498" spans="1:141" s="116" customFormat="1">
      <c r="A44498" s="136"/>
      <c r="CM44498" s="111"/>
      <c r="CQ44498" s="111"/>
      <c r="EF44498"/>
      <c r="EG44498"/>
      <c r="EH44498"/>
      <c r="EI44498"/>
      <c r="EJ44498"/>
      <c r="EK44498"/>
    </row>
    <row r="44499" spans="1:141" s="116" customFormat="1">
      <c r="A44499" s="136"/>
      <c r="CM44499" s="111"/>
      <c r="CQ44499" s="111"/>
      <c r="EF44499"/>
      <c r="EG44499"/>
      <c r="EH44499"/>
      <c r="EI44499"/>
      <c r="EJ44499"/>
      <c r="EK44499"/>
    </row>
    <row r="44500" spans="1:141" s="116" customFormat="1">
      <c r="A44500" s="136"/>
      <c r="CM44500" s="111"/>
      <c r="CQ44500" s="111"/>
      <c r="EF44500"/>
      <c r="EG44500"/>
      <c r="EH44500"/>
      <c r="EI44500"/>
      <c r="EJ44500"/>
      <c r="EK44500"/>
    </row>
    <row r="44501" spans="1:141" s="116" customFormat="1">
      <c r="A44501" s="136"/>
      <c r="CM44501" s="111"/>
      <c r="CQ44501" s="111"/>
      <c r="EF44501"/>
      <c r="EG44501"/>
      <c r="EH44501"/>
      <c r="EI44501"/>
      <c r="EJ44501"/>
      <c r="EK44501"/>
    </row>
    <row r="44502" spans="1:141" s="116" customFormat="1">
      <c r="A44502" s="136"/>
      <c r="CM44502" s="111"/>
      <c r="CQ44502" s="111"/>
      <c r="EF44502"/>
      <c r="EG44502"/>
      <c r="EH44502"/>
      <c r="EI44502"/>
      <c r="EJ44502"/>
      <c r="EK44502"/>
    </row>
    <row r="44503" spans="1:141" s="116" customFormat="1">
      <c r="A44503" s="136"/>
      <c r="CM44503" s="111"/>
      <c r="CQ44503" s="111"/>
      <c r="EF44503"/>
      <c r="EG44503"/>
      <c r="EH44503"/>
      <c r="EI44503"/>
      <c r="EJ44503"/>
      <c r="EK44503"/>
    </row>
    <row r="44504" spans="1:141" s="116" customFormat="1">
      <c r="A44504" s="136"/>
      <c r="CM44504" s="111"/>
      <c r="CQ44504" s="111"/>
      <c r="EF44504"/>
      <c r="EG44504"/>
      <c r="EH44504"/>
      <c r="EI44504"/>
      <c r="EJ44504"/>
      <c r="EK44504"/>
    </row>
    <row r="44505" spans="1:141" s="116" customFormat="1">
      <c r="A44505" s="136"/>
      <c r="CM44505" s="111"/>
      <c r="CQ44505" s="111"/>
      <c r="EF44505"/>
      <c r="EG44505"/>
      <c r="EH44505"/>
      <c r="EI44505"/>
      <c r="EJ44505"/>
      <c r="EK44505"/>
    </row>
    <row r="44506" spans="1:141" s="116" customFormat="1">
      <c r="A44506" s="136"/>
      <c r="CM44506" s="111"/>
      <c r="CQ44506" s="111"/>
      <c r="EF44506"/>
      <c r="EG44506"/>
      <c r="EH44506"/>
      <c r="EI44506"/>
      <c r="EJ44506"/>
      <c r="EK44506"/>
    </row>
    <row r="44507" spans="1:141" s="116" customFormat="1">
      <c r="A44507" s="136"/>
      <c r="CM44507" s="111"/>
      <c r="CQ44507" s="111"/>
      <c r="EF44507"/>
      <c r="EG44507"/>
      <c r="EH44507"/>
      <c r="EI44507"/>
      <c r="EJ44507"/>
      <c r="EK44507"/>
    </row>
    <row r="44508" spans="1:141" s="116" customFormat="1">
      <c r="A44508" s="136"/>
      <c r="CM44508" s="111"/>
      <c r="CQ44508" s="111"/>
      <c r="EF44508"/>
      <c r="EG44508"/>
      <c r="EH44508"/>
      <c r="EI44508"/>
      <c r="EJ44508"/>
      <c r="EK44508"/>
    </row>
    <row r="44509" spans="1:141" s="116" customFormat="1">
      <c r="A44509" s="136"/>
      <c r="CM44509" s="111"/>
      <c r="CQ44509" s="111"/>
      <c r="EF44509"/>
      <c r="EG44509"/>
      <c r="EH44509"/>
      <c r="EI44509"/>
      <c r="EJ44509"/>
      <c r="EK44509"/>
    </row>
    <row r="44510" spans="1:141" s="116" customFormat="1">
      <c r="A44510" s="136"/>
      <c r="CM44510" s="111"/>
      <c r="CQ44510" s="111"/>
      <c r="EF44510"/>
      <c r="EG44510"/>
      <c r="EH44510"/>
      <c r="EI44510"/>
      <c r="EJ44510"/>
      <c r="EK44510"/>
    </row>
    <row r="44511" spans="1:141" s="116" customFormat="1">
      <c r="A44511" s="136"/>
      <c r="CM44511" s="111"/>
      <c r="CQ44511" s="111"/>
      <c r="EF44511"/>
      <c r="EG44511"/>
      <c r="EH44511"/>
      <c r="EI44511"/>
      <c r="EJ44511"/>
      <c r="EK44511"/>
    </row>
    <row r="44512" spans="1:141" s="116" customFormat="1">
      <c r="A44512" s="136"/>
      <c r="CM44512" s="111"/>
      <c r="CQ44512" s="111"/>
      <c r="EF44512"/>
      <c r="EG44512"/>
      <c r="EH44512"/>
      <c r="EI44512"/>
      <c r="EJ44512"/>
      <c r="EK44512"/>
    </row>
    <row r="44513" spans="1:141" s="116" customFormat="1">
      <c r="A44513" s="136"/>
      <c r="CM44513" s="111"/>
      <c r="CQ44513" s="111"/>
      <c r="EF44513"/>
      <c r="EG44513"/>
      <c r="EH44513"/>
      <c r="EI44513"/>
      <c r="EJ44513"/>
      <c r="EK44513"/>
    </row>
    <row r="44514" spans="1:141" s="116" customFormat="1">
      <c r="A44514" s="136"/>
      <c r="CM44514" s="111"/>
      <c r="CQ44514" s="111"/>
      <c r="EF44514"/>
      <c r="EG44514"/>
      <c r="EH44514"/>
      <c r="EI44514"/>
      <c r="EJ44514"/>
      <c r="EK44514"/>
    </row>
    <row r="44515" spans="1:141" s="116" customFormat="1">
      <c r="A44515" s="136"/>
      <c r="CM44515" s="111"/>
      <c r="CQ44515" s="111"/>
      <c r="EF44515"/>
      <c r="EG44515"/>
      <c r="EH44515"/>
      <c r="EI44515"/>
      <c r="EJ44515"/>
      <c r="EK44515"/>
    </row>
    <row r="44516" spans="1:141" s="116" customFormat="1">
      <c r="A44516" s="136"/>
      <c r="CM44516" s="111"/>
      <c r="CQ44516" s="111"/>
      <c r="EF44516"/>
      <c r="EG44516"/>
      <c r="EH44516"/>
      <c r="EI44516"/>
      <c r="EJ44516"/>
      <c r="EK44516"/>
    </row>
    <row r="44517" spans="1:141" s="116" customFormat="1">
      <c r="A44517" s="136"/>
      <c r="CM44517" s="111"/>
      <c r="CQ44517" s="111"/>
      <c r="EF44517"/>
      <c r="EG44517"/>
      <c r="EH44517"/>
      <c r="EI44517"/>
      <c r="EJ44517"/>
      <c r="EK44517"/>
    </row>
    <row r="44518" spans="1:141" s="116" customFormat="1">
      <c r="A44518" s="136"/>
      <c r="CM44518" s="111"/>
      <c r="CQ44518" s="111"/>
      <c r="EF44518"/>
      <c r="EG44518"/>
      <c r="EH44518"/>
      <c r="EI44518"/>
      <c r="EJ44518"/>
      <c r="EK44518"/>
    </row>
    <row r="44519" spans="1:141" s="116" customFormat="1">
      <c r="A44519" s="136"/>
      <c r="CM44519" s="111"/>
      <c r="CQ44519" s="111"/>
      <c r="EF44519"/>
      <c r="EG44519"/>
      <c r="EH44519"/>
      <c r="EI44519"/>
      <c r="EJ44519"/>
      <c r="EK44519"/>
    </row>
    <row r="44520" spans="1:141" s="116" customFormat="1">
      <c r="A44520" s="136"/>
      <c r="CM44520" s="111"/>
      <c r="CQ44520" s="111"/>
      <c r="EF44520"/>
      <c r="EG44520"/>
      <c r="EH44520"/>
      <c r="EI44520"/>
      <c r="EJ44520"/>
      <c r="EK44520"/>
    </row>
    <row r="44521" spans="1:141" s="116" customFormat="1">
      <c r="A44521" s="136"/>
      <c r="CM44521" s="111"/>
      <c r="CQ44521" s="111"/>
      <c r="EF44521"/>
      <c r="EG44521"/>
      <c r="EH44521"/>
      <c r="EI44521"/>
      <c r="EJ44521"/>
      <c r="EK44521"/>
    </row>
    <row r="44522" spans="1:141" s="116" customFormat="1">
      <c r="A44522" s="136"/>
      <c r="CM44522" s="111"/>
      <c r="CQ44522" s="111"/>
      <c r="EF44522"/>
      <c r="EG44522"/>
      <c r="EH44522"/>
      <c r="EI44522"/>
      <c r="EJ44522"/>
      <c r="EK44522"/>
    </row>
    <row r="44523" spans="1:141" s="116" customFormat="1">
      <c r="A44523" s="136"/>
      <c r="CM44523" s="111"/>
      <c r="CQ44523" s="111"/>
      <c r="EF44523"/>
      <c r="EG44523"/>
      <c r="EH44523"/>
      <c r="EI44523"/>
      <c r="EJ44523"/>
      <c r="EK44523"/>
    </row>
    <row r="44524" spans="1:141" s="116" customFormat="1">
      <c r="A44524" s="136"/>
      <c r="CM44524" s="111"/>
      <c r="CQ44524" s="111"/>
      <c r="EF44524"/>
      <c r="EG44524"/>
      <c r="EH44524"/>
      <c r="EI44524"/>
      <c r="EJ44524"/>
      <c r="EK44524"/>
    </row>
    <row r="44525" spans="1:141" s="116" customFormat="1">
      <c r="A44525" s="136"/>
      <c r="CM44525" s="111"/>
      <c r="CQ44525" s="111"/>
      <c r="EF44525"/>
      <c r="EG44525"/>
      <c r="EH44525"/>
      <c r="EI44525"/>
      <c r="EJ44525"/>
      <c r="EK44525"/>
    </row>
    <row r="44526" spans="1:141" s="116" customFormat="1">
      <c r="A44526" s="136"/>
      <c r="CM44526" s="111"/>
      <c r="CQ44526" s="111"/>
      <c r="EF44526"/>
      <c r="EG44526"/>
      <c r="EH44526"/>
      <c r="EI44526"/>
      <c r="EJ44526"/>
      <c r="EK44526"/>
    </row>
    <row r="44527" spans="1:141" s="116" customFormat="1">
      <c r="A44527" s="136"/>
      <c r="CM44527" s="111"/>
      <c r="CQ44527" s="111"/>
      <c r="EF44527"/>
      <c r="EG44527"/>
      <c r="EH44527"/>
      <c r="EI44527"/>
      <c r="EJ44527"/>
      <c r="EK44527"/>
    </row>
    <row r="44528" spans="1:141" s="116" customFormat="1">
      <c r="A44528" s="136"/>
      <c r="CM44528" s="111"/>
      <c r="CQ44528" s="111"/>
      <c r="EF44528"/>
      <c r="EG44528"/>
      <c r="EH44528"/>
      <c r="EI44528"/>
      <c r="EJ44528"/>
      <c r="EK44528"/>
    </row>
    <row r="44529" spans="1:141" s="116" customFormat="1">
      <c r="A44529" s="136"/>
      <c r="CM44529" s="111"/>
      <c r="CQ44529" s="111"/>
      <c r="EF44529"/>
      <c r="EG44529"/>
      <c r="EH44529"/>
      <c r="EI44529"/>
      <c r="EJ44529"/>
      <c r="EK44529"/>
    </row>
    <row r="44530" spans="1:141" s="116" customFormat="1">
      <c r="A44530" s="136"/>
      <c r="CM44530" s="111"/>
      <c r="CQ44530" s="111"/>
      <c r="EF44530"/>
      <c r="EG44530"/>
      <c r="EH44530"/>
      <c r="EI44530"/>
      <c r="EJ44530"/>
      <c r="EK44530"/>
    </row>
    <row r="44531" spans="1:141" s="116" customFormat="1">
      <c r="A44531" s="136"/>
      <c r="CM44531" s="111"/>
      <c r="CQ44531" s="111"/>
      <c r="EF44531"/>
      <c r="EG44531"/>
      <c r="EH44531"/>
      <c r="EI44531"/>
      <c r="EJ44531"/>
      <c r="EK44531"/>
    </row>
    <row r="44532" spans="1:141" s="116" customFormat="1">
      <c r="A44532" s="136"/>
      <c r="CM44532" s="111"/>
      <c r="CQ44532" s="111"/>
      <c r="EF44532"/>
      <c r="EG44532"/>
      <c r="EH44532"/>
      <c r="EI44532"/>
      <c r="EJ44532"/>
      <c r="EK44532"/>
    </row>
    <row r="44533" spans="1:141" s="116" customFormat="1">
      <c r="A44533" s="136"/>
      <c r="CM44533" s="111"/>
      <c r="CQ44533" s="111"/>
      <c r="EF44533"/>
      <c r="EG44533"/>
      <c r="EH44533"/>
      <c r="EI44533"/>
      <c r="EJ44533"/>
      <c r="EK44533"/>
    </row>
    <row r="44534" spans="1:141" s="116" customFormat="1">
      <c r="A44534" s="136"/>
      <c r="CM44534" s="111"/>
      <c r="CQ44534" s="111"/>
      <c r="EF44534"/>
      <c r="EG44534"/>
      <c r="EH44534"/>
      <c r="EI44534"/>
      <c r="EJ44534"/>
      <c r="EK44534"/>
    </row>
    <row r="44535" spans="1:141" s="116" customFormat="1">
      <c r="A44535" s="136"/>
      <c r="CM44535" s="111"/>
      <c r="CQ44535" s="111"/>
      <c r="EF44535"/>
      <c r="EG44535"/>
      <c r="EH44535"/>
      <c r="EI44535"/>
      <c r="EJ44535"/>
      <c r="EK44535"/>
    </row>
    <row r="44536" spans="1:141" s="116" customFormat="1">
      <c r="A44536" s="136"/>
      <c r="CM44536" s="111"/>
      <c r="CQ44536" s="111"/>
      <c r="EF44536"/>
      <c r="EG44536"/>
      <c r="EH44536"/>
      <c r="EI44536"/>
      <c r="EJ44536"/>
      <c r="EK44536"/>
    </row>
    <row r="44537" spans="1:141" s="116" customFormat="1">
      <c r="A44537" s="136"/>
      <c r="CM44537" s="111"/>
      <c r="CQ44537" s="111"/>
      <c r="EF44537"/>
      <c r="EG44537"/>
      <c r="EH44537"/>
      <c r="EI44537"/>
      <c r="EJ44537"/>
      <c r="EK44537"/>
    </row>
    <row r="44538" spans="1:141" s="116" customFormat="1">
      <c r="A44538" s="136"/>
      <c r="CM44538" s="111"/>
      <c r="CQ44538" s="111"/>
      <c r="EF44538"/>
      <c r="EG44538"/>
      <c r="EH44538"/>
      <c r="EI44538"/>
      <c r="EJ44538"/>
      <c r="EK44538"/>
    </row>
    <row r="44539" spans="1:141" s="116" customFormat="1">
      <c r="A44539" s="136"/>
      <c r="CM44539" s="111"/>
      <c r="CQ44539" s="111"/>
      <c r="EF44539"/>
      <c r="EG44539"/>
      <c r="EH44539"/>
      <c r="EI44539"/>
      <c r="EJ44539"/>
      <c r="EK44539"/>
    </row>
    <row r="44540" spans="1:141" s="116" customFormat="1">
      <c r="A44540" s="136"/>
      <c r="CM44540" s="111"/>
      <c r="CQ44540" s="111"/>
      <c r="EF44540"/>
      <c r="EG44540"/>
      <c r="EH44540"/>
      <c r="EI44540"/>
      <c r="EJ44540"/>
      <c r="EK44540"/>
    </row>
    <row r="44541" spans="1:141" s="116" customFormat="1">
      <c r="A44541" s="136"/>
      <c r="CM44541" s="111"/>
      <c r="CQ44541" s="111"/>
      <c r="EF44541"/>
      <c r="EG44541"/>
      <c r="EH44541"/>
      <c r="EI44541"/>
      <c r="EJ44541"/>
      <c r="EK44541"/>
    </row>
    <row r="44542" spans="1:141" s="116" customFormat="1">
      <c r="A44542" s="136"/>
      <c r="CM44542" s="111"/>
      <c r="CQ44542" s="111"/>
      <c r="EF44542"/>
      <c r="EG44542"/>
      <c r="EH44542"/>
      <c r="EI44542"/>
      <c r="EJ44542"/>
      <c r="EK44542"/>
    </row>
    <row r="44543" spans="1:141" s="116" customFormat="1">
      <c r="A44543" s="136"/>
      <c r="CM44543" s="111"/>
      <c r="CQ44543" s="111"/>
      <c r="EF44543"/>
      <c r="EG44543"/>
      <c r="EH44543"/>
      <c r="EI44543"/>
      <c r="EJ44543"/>
      <c r="EK44543"/>
    </row>
    <row r="44544" spans="1:141" s="116" customFormat="1">
      <c r="A44544" s="136"/>
      <c r="CM44544" s="111"/>
      <c r="CQ44544" s="111"/>
      <c r="EF44544"/>
      <c r="EG44544"/>
      <c r="EH44544"/>
      <c r="EI44544"/>
      <c r="EJ44544"/>
      <c r="EK44544"/>
    </row>
    <row r="44545" spans="1:141" s="116" customFormat="1">
      <c r="A44545" s="136"/>
      <c r="CM44545" s="111"/>
      <c r="CQ44545" s="111"/>
      <c r="EF44545"/>
      <c r="EG44545"/>
      <c r="EH44545"/>
      <c r="EI44545"/>
      <c r="EJ44545"/>
      <c r="EK44545"/>
    </row>
    <row r="44546" spans="1:141" s="116" customFormat="1">
      <c r="A44546" s="136"/>
      <c r="CM44546" s="111"/>
      <c r="CQ44546" s="111"/>
      <c r="EF44546"/>
      <c r="EG44546"/>
      <c r="EH44546"/>
      <c r="EI44546"/>
      <c r="EJ44546"/>
      <c r="EK44546"/>
    </row>
    <row r="44547" spans="1:141" s="116" customFormat="1">
      <c r="A44547" s="136"/>
      <c r="CM44547" s="111"/>
      <c r="CQ44547" s="111"/>
      <c r="EF44547"/>
      <c r="EG44547"/>
      <c r="EH44547"/>
      <c r="EI44547"/>
      <c r="EJ44547"/>
      <c r="EK44547"/>
    </row>
    <row r="44548" spans="1:141" s="116" customFormat="1">
      <c r="A44548" s="136"/>
      <c r="CM44548" s="111"/>
      <c r="CQ44548" s="111"/>
      <c r="EF44548"/>
      <c r="EG44548"/>
      <c r="EH44548"/>
      <c r="EI44548"/>
      <c r="EJ44548"/>
      <c r="EK44548"/>
    </row>
    <row r="44549" spans="1:141" s="116" customFormat="1">
      <c r="A44549" s="136"/>
      <c r="CM44549" s="111"/>
      <c r="CQ44549" s="111"/>
      <c r="EF44549"/>
      <c r="EG44549"/>
      <c r="EH44549"/>
      <c r="EI44549"/>
      <c r="EJ44549"/>
      <c r="EK44549"/>
    </row>
    <row r="44550" spans="1:141" s="116" customFormat="1">
      <c r="A44550" s="136"/>
      <c r="CM44550" s="111"/>
      <c r="CQ44550" s="111"/>
      <c r="EF44550"/>
      <c r="EG44550"/>
      <c r="EH44550"/>
      <c r="EI44550"/>
      <c r="EJ44550"/>
      <c r="EK44550"/>
    </row>
    <row r="44551" spans="1:141" s="116" customFormat="1">
      <c r="A44551" s="136"/>
      <c r="CM44551" s="111"/>
      <c r="CQ44551" s="111"/>
      <c r="EF44551"/>
      <c r="EG44551"/>
      <c r="EH44551"/>
      <c r="EI44551"/>
      <c r="EJ44551"/>
      <c r="EK44551"/>
    </row>
    <row r="44552" spans="1:141" s="116" customFormat="1">
      <c r="A44552" s="136"/>
      <c r="CM44552" s="111"/>
      <c r="CQ44552" s="111"/>
      <c r="EF44552"/>
      <c r="EG44552"/>
      <c r="EH44552"/>
      <c r="EI44552"/>
      <c r="EJ44552"/>
      <c r="EK44552"/>
    </row>
    <row r="44553" spans="1:141" s="116" customFormat="1">
      <c r="A44553" s="136"/>
      <c r="CM44553" s="111"/>
      <c r="CQ44553" s="111"/>
      <c r="EF44553"/>
      <c r="EG44553"/>
      <c r="EH44553"/>
      <c r="EI44553"/>
      <c r="EJ44553"/>
      <c r="EK44553"/>
    </row>
    <row r="44554" spans="1:141" s="116" customFormat="1">
      <c r="A44554" s="136"/>
      <c r="CM44554" s="111"/>
      <c r="CQ44554" s="111"/>
      <c r="EF44554"/>
      <c r="EG44554"/>
      <c r="EH44554"/>
      <c r="EI44554"/>
      <c r="EJ44554"/>
      <c r="EK44554"/>
    </row>
    <row r="44555" spans="1:141" s="116" customFormat="1">
      <c r="A44555" s="136"/>
      <c r="CM44555" s="111"/>
      <c r="CQ44555" s="111"/>
      <c r="EF44555"/>
      <c r="EG44555"/>
      <c r="EH44555"/>
      <c r="EI44555"/>
      <c r="EJ44555"/>
      <c r="EK44555"/>
    </row>
    <row r="44556" spans="1:141" s="116" customFormat="1">
      <c r="A44556" s="136"/>
      <c r="CM44556" s="111"/>
      <c r="CQ44556" s="111"/>
      <c r="EF44556"/>
      <c r="EG44556"/>
      <c r="EH44556"/>
      <c r="EI44556"/>
      <c r="EJ44556"/>
      <c r="EK44556"/>
    </row>
    <row r="44557" spans="1:141" s="116" customFormat="1">
      <c r="A44557" s="136"/>
      <c r="CM44557" s="111"/>
      <c r="CQ44557" s="111"/>
      <c r="EF44557"/>
      <c r="EG44557"/>
      <c r="EH44557"/>
      <c r="EI44557"/>
      <c r="EJ44557"/>
      <c r="EK44557"/>
    </row>
    <row r="44558" spans="1:141" s="116" customFormat="1">
      <c r="A44558" s="136"/>
      <c r="CM44558" s="111"/>
      <c r="CQ44558" s="111"/>
      <c r="EF44558"/>
      <c r="EG44558"/>
      <c r="EH44558"/>
      <c r="EI44558"/>
      <c r="EJ44558"/>
      <c r="EK44558"/>
    </row>
    <row r="44559" spans="1:141" s="116" customFormat="1">
      <c r="A44559" s="136"/>
      <c r="CM44559" s="111"/>
      <c r="CQ44559" s="111"/>
      <c r="EF44559"/>
      <c r="EG44559"/>
      <c r="EH44559"/>
      <c r="EI44559"/>
      <c r="EJ44559"/>
      <c r="EK44559"/>
    </row>
    <row r="44560" spans="1:141" s="116" customFormat="1">
      <c r="A44560" s="136"/>
      <c r="CM44560" s="111"/>
      <c r="CQ44560" s="111"/>
      <c r="EF44560"/>
      <c r="EG44560"/>
      <c r="EH44560"/>
      <c r="EI44560"/>
      <c r="EJ44560"/>
      <c r="EK44560"/>
    </row>
    <row r="44561" spans="1:141" s="116" customFormat="1">
      <c r="A44561" s="136"/>
      <c r="CM44561" s="111"/>
      <c r="CQ44561" s="111"/>
      <c r="EF44561"/>
      <c r="EG44561"/>
      <c r="EH44561"/>
      <c r="EI44561"/>
      <c r="EJ44561"/>
      <c r="EK44561"/>
    </row>
    <row r="44562" spans="1:141" s="116" customFormat="1">
      <c r="A44562" s="136"/>
      <c r="CM44562" s="111"/>
      <c r="CQ44562" s="111"/>
      <c r="EF44562"/>
      <c r="EG44562"/>
      <c r="EH44562"/>
      <c r="EI44562"/>
      <c r="EJ44562"/>
      <c r="EK44562"/>
    </row>
    <row r="44563" spans="1:141" s="116" customFormat="1">
      <c r="A44563" s="136"/>
      <c r="CM44563" s="111"/>
      <c r="CQ44563" s="111"/>
      <c r="EF44563"/>
      <c r="EG44563"/>
      <c r="EH44563"/>
      <c r="EI44563"/>
      <c r="EJ44563"/>
      <c r="EK44563"/>
    </row>
    <row r="44564" spans="1:141" s="116" customFormat="1">
      <c r="A44564" s="136"/>
      <c r="CM44564" s="111"/>
      <c r="CQ44564" s="111"/>
      <c r="EF44564"/>
      <c r="EG44564"/>
      <c r="EH44564"/>
      <c r="EI44564"/>
      <c r="EJ44564"/>
      <c r="EK44564"/>
    </row>
    <row r="44565" spans="1:141" s="116" customFormat="1">
      <c r="A44565" s="136"/>
      <c r="CM44565" s="111"/>
      <c r="CQ44565" s="111"/>
      <c r="EF44565"/>
      <c r="EG44565"/>
      <c r="EH44565"/>
      <c r="EI44565"/>
      <c r="EJ44565"/>
      <c r="EK44565"/>
    </row>
    <row r="44566" spans="1:141" s="116" customFormat="1">
      <c r="A44566" s="136"/>
      <c r="CM44566" s="111"/>
      <c r="CQ44566" s="111"/>
      <c r="EF44566"/>
      <c r="EG44566"/>
      <c r="EH44566"/>
      <c r="EI44566"/>
      <c r="EJ44566"/>
      <c r="EK44566"/>
    </row>
    <row r="44567" spans="1:141" s="116" customFormat="1">
      <c r="A44567" s="136"/>
      <c r="CM44567" s="111"/>
      <c r="CQ44567" s="111"/>
      <c r="EF44567"/>
      <c r="EG44567"/>
      <c r="EH44567"/>
      <c r="EI44567"/>
      <c r="EJ44567"/>
      <c r="EK44567"/>
    </row>
    <row r="44568" spans="1:141" s="116" customFormat="1">
      <c r="A44568" s="136"/>
      <c r="CM44568" s="111"/>
      <c r="CQ44568" s="111"/>
      <c r="EF44568"/>
      <c r="EG44568"/>
      <c r="EH44568"/>
      <c r="EI44568"/>
      <c r="EJ44568"/>
      <c r="EK44568"/>
    </row>
    <row r="44569" spans="1:141" s="116" customFormat="1">
      <c r="A44569" s="136"/>
      <c r="CM44569" s="111"/>
      <c r="CQ44569" s="111"/>
      <c r="EF44569"/>
      <c r="EG44569"/>
      <c r="EH44569"/>
      <c r="EI44569"/>
      <c r="EJ44569"/>
      <c r="EK44569"/>
    </row>
    <row r="44570" spans="1:141" s="116" customFormat="1">
      <c r="A44570" s="136"/>
      <c r="CM44570" s="111"/>
      <c r="CQ44570" s="111"/>
      <c r="EF44570"/>
      <c r="EG44570"/>
      <c r="EH44570"/>
      <c r="EI44570"/>
      <c r="EJ44570"/>
      <c r="EK44570"/>
    </row>
    <row r="44571" spans="1:141" s="116" customFormat="1">
      <c r="A44571" s="136"/>
      <c r="CM44571" s="111"/>
      <c r="CQ44571" s="111"/>
      <c r="EF44571"/>
      <c r="EG44571"/>
      <c r="EH44571"/>
      <c r="EI44571"/>
      <c r="EJ44571"/>
      <c r="EK44571"/>
    </row>
    <row r="44572" spans="1:141" s="116" customFormat="1">
      <c r="A44572" s="136"/>
      <c r="CM44572" s="111"/>
      <c r="CQ44572" s="111"/>
      <c r="EF44572"/>
      <c r="EG44572"/>
      <c r="EH44572"/>
      <c r="EI44572"/>
      <c r="EJ44572"/>
      <c r="EK44572"/>
    </row>
    <row r="44573" spans="1:141" s="116" customFormat="1">
      <c r="A44573" s="136"/>
      <c r="CM44573" s="111"/>
      <c r="CQ44573" s="111"/>
      <c r="EF44573"/>
      <c r="EG44573"/>
      <c r="EH44573"/>
      <c r="EI44573"/>
      <c r="EJ44573"/>
      <c r="EK44573"/>
    </row>
    <row r="44574" spans="1:141" s="116" customFormat="1">
      <c r="A44574" s="136"/>
      <c r="CM44574" s="111"/>
      <c r="CQ44574" s="111"/>
      <c r="EF44574"/>
      <c r="EG44574"/>
      <c r="EH44574"/>
      <c r="EI44574"/>
      <c r="EJ44574"/>
      <c r="EK44574"/>
    </row>
    <row r="44575" spans="1:141" s="116" customFormat="1">
      <c r="A44575" s="136"/>
      <c r="CM44575" s="111"/>
      <c r="CQ44575" s="111"/>
      <c r="EF44575"/>
      <c r="EG44575"/>
      <c r="EH44575"/>
      <c r="EI44575"/>
      <c r="EJ44575"/>
      <c r="EK44575"/>
    </row>
    <row r="44576" spans="1:141" s="116" customFormat="1">
      <c r="A44576" s="136"/>
      <c r="CM44576" s="111"/>
      <c r="CQ44576" s="111"/>
      <c r="EF44576"/>
      <c r="EG44576"/>
      <c r="EH44576"/>
      <c r="EI44576"/>
      <c r="EJ44576"/>
      <c r="EK44576"/>
    </row>
    <row r="44577" spans="1:141" s="116" customFormat="1">
      <c r="A44577" s="136"/>
      <c r="CM44577" s="111"/>
      <c r="CQ44577" s="111"/>
      <c r="EF44577"/>
      <c r="EG44577"/>
      <c r="EH44577"/>
      <c r="EI44577"/>
      <c r="EJ44577"/>
      <c r="EK44577"/>
    </row>
    <row r="44578" spans="1:141" s="116" customFormat="1">
      <c r="A44578" s="136"/>
      <c r="CM44578" s="111"/>
      <c r="CQ44578" s="111"/>
      <c r="EF44578"/>
      <c r="EG44578"/>
      <c r="EH44578"/>
      <c r="EI44578"/>
      <c r="EJ44578"/>
      <c r="EK44578"/>
    </row>
    <row r="44579" spans="1:141" s="116" customFormat="1">
      <c r="A44579" s="136"/>
      <c r="CM44579" s="111"/>
      <c r="CQ44579" s="111"/>
      <c r="EF44579"/>
      <c r="EG44579"/>
      <c r="EH44579"/>
      <c r="EI44579"/>
      <c r="EJ44579"/>
      <c r="EK44579"/>
    </row>
    <row r="44580" spans="1:141" s="116" customFormat="1">
      <c r="A44580" s="136"/>
      <c r="CM44580" s="111"/>
      <c r="CQ44580" s="111"/>
      <c r="EF44580"/>
      <c r="EG44580"/>
      <c r="EH44580"/>
      <c r="EI44580"/>
      <c r="EJ44580"/>
      <c r="EK44580"/>
    </row>
    <row r="44581" spans="1:141" s="116" customFormat="1">
      <c r="A44581" s="136"/>
      <c r="CM44581" s="111"/>
      <c r="CQ44581" s="111"/>
      <c r="EF44581"/>
      <c r="EG44581"/>
      <c r="EH44581"/>
      <c r="EI44581"/>
      <c r="EJ44581"/>
      <c r="EK44581"/>
    </row>
    <row r="44582" spans="1:141" s="116" customFormat="1">
      <c r="A44582" s="136"/>
      <c r="CM44582" s="111"/>
      <c r="CQ44582" s="111"/>
      <c r="EF44582"/>
      <c r="EG44582"/>
      <c r="EH44582"/>
      <c r="EI44582"/>
      <c r="EJ44582"/>
      <c r="EK44582"/>
    </row>
    <row r="44583" spans="1:141" s="116" customFormat="1">
      <c r="A44583" s="136"/>
      <c r="CM44583" s="111"/>
      <c r="CQ44583" s="111"/>
      <c r="EF44583"/>
      <c r="EG44583"/>
      <c r="EH44583"/>
      <c r="EI44583"/>
      <c r="EJ44583"/>
      <c r="EK44583"/>
    </row>
    <row r="44584" spans="1:141" s="116" customFormat="1">
      <c r="A44584" s="136"/>
      <c r="CM44584" s="111"/>
      <c r="CQ44584" s="111"/>
      <c r="EF44584"/>
      <c r="EG44584"/>
      <c r="EH44584"/>
      <c r="EI44584"/>
      <c r="EJ44584"/>
      <c r="EK44584"/>
    </row>
    <row r="44585" spans="1:141" s="116" customFormat="1">
      <c r="A44585" s="136"/>
      <c r="CM44585" s="111"/>
      <c r="CQ44585" s="111"/>
      <c r="EF44585"/>
      <c r="EG44585"/>
      <c r="EH44585"/>
      <c r="EI44585"/>
      <c r="EJ44585"/>
      <c r="EK44585"/>
    </row>
    <row r="44586" spans="1:141" s="116" customFormat="1">
      <c r="A44586" s="136"/>
      <c r="CM44586" s="111"/>
      <c r="CQ44586" s="111"/>
      <c r="EF44586"/>
      <c r="EG44586"/>
      <c r="EH44586"/>
      <c r="EI44586"/>
      <c r="EJ44586"/>
      <c r="EK44586"/>
    </row>
    <row r="44587" spans="1:141" s="116" customFormat="1">
      <c r="A44587" s="136"/>
      <c r="CM44587" s="111"/>
      <c r="CQ44587" s="111"/>
      <c r="EF44587"/>
      <c r="EG44587"/>
      <c r="EH44587"/>
      <c r="EI44587"/>
      <c r="EJ44587"/>
      <c r="EK44587"/>
    </row>
    <row r="44588" spans="1:141" s="116" customFormat="1">
      <c r="A44588" s="136"/>
      <c r="CM44588" s="111"/>
      <c r="CQ44588" s="111"/>
      <c r="EF44588"/>
      <c r="EG44588"/>
      <c r="EH44588"/>
      <c r="EI44588"/>
      <c r="EJ44588"/>
      <c r="EK44588"/>
    </row>
    <row r="44589" spans="1:141" s="116" customFormat="1">
      <c r="A44589" s="136"/>
      <c r="CM44589" s="111"/>
      <c r="CQ44589" s="111"/>
      <c r="EF44589"/>
      <c r="EG44589"/>
      <c r="EH44589"/>
      <c r="EI44589"/>
      <c r="EJ44589"/>
      <c r="EK44589"/>
    </row>
    <row r="44590" spans="1:141" s="116" customFormat="1">
      <c r="A44590" s="136"/>
      <c r="CM44590" s="111"/>
      <c r="CQ44590" s="111"/>
      <c r="EF44590"/>
      <c r="EG44590"/>
      <c r="EH44590"/>
      <c r="EI44590"/>
      <c r="EJ44590"/>
      <c r="EK44590"/>
    </row>
    <row r="44591" spans="1:141" s="116" customFormat="1">
      <c r="A44591" s="136"/>
      <c r="CM44591" s="111"/>
      <c r="CQ44591" s="111"/>
      <c r="EF44591"/>
      <c r="EG44591"/>
      <c r="EH44591"/>
      <c r="EI44591"/>
      <c r="EJ44591"/>
      <c r="EK44591"/>
    </row>
    <row r="44592" spans="1:141" s="116" customFormat="1">
      <c r="A44592" s="136"/>
      <c r="CM44592" s="111"/>
      <c r="CQ44592" s="111"/>
      <c r="EF44592"/>
      <c r="EG44592"/>
      <c r="EH44592"/>
      <c r="EI44592"/>
      <c r="EJ44592"/>
      <c r="EK44592"/>
    </row>
    <row r="44593" spans="1:141" s="116" customFormat="1">
      <c r="A44593" s="136"/>
      <c r="CM44593" s="111"/>
      <c r="CQ44593" s="111"/>
      <c r="EF44593"/>
      <c r="EG44593"/>
      <c r="EH44593"/>
      <c r="EI44593"/>
      <c r="EJ44593"/>
      <c r="EK44593"/>
    </row>
    <row r="44594" spans="1:141" s="116" customFormat="1">
      <c r="A44594" s="136"/>
      <c r="CM44594" s="111"/>
      <c r="CQ44594" s="111"/>
      <c r="EF44594"/>
      <c r="EG44594"/>
      <c r="EH44594"/>
      <c r="EI44594"/>
      <c r="EJ44594"/>
      <c r="EK44594"/>
    </row>
    <row r="44595" spans="1:141" s="116" customFormat="1">
      <c r="A44595" s="136"/>
      <c r="CM44595" s="111"/>
      <c r="CQ44595" s="111"/>
      <c r="EF44595"/>
      <c r="EG44595"/>
      <c r="EH44595"/>
      <c r="EI44595"/>
      <c r="EJ44595"/>
      <c r="EK44595"/>
    </row>
    <row r="44596" spans="1:141" s="116" customFormat="1">
      <c r="A44596" s="136"/>
      <c r="CM44596" s="111"/>
      <c r="CQ44596" s="111"/>
      <c r="EF44596"/>
      <c r="EG44596"/>
      <c r="EH44596"/>
      <c r="EI44596"/>
      <c r="EJ44596"/>
      <c r="EK44596"/>
    </row>
    <row r="44597" spans="1:141" s="116" customFormat="1">
      <c r="A44597" s="136"/>
      <c r="CM44597" s="111"/>
      <c r="CQ44597" s="111"/>
      <c r="EF44597"/>
      <c r="EG44597"/>
      <c r="EH44597"/>
      <c r="EI44597"/>
      <c r="EJ44597"/>
      <c r="EK44597"/>
    </row>
    <row r="44598" spans="1:141" s="116" customFormat="1">
      <c r="A44598" s="136"/>
      <c r="CM44598" s="111"/>
      <c r="CQ44598" s="111"/>
      <c r="EF44598"/>
      <c r="EG44598"/>
      <c r="EH44598"/>
      <c r="EI44598"/>
      <c r="EJ44598"/>
      <c r="EK44598"/>
    </row>
    <row r="44599" spans="1:141" s="116" customFormat="1">
      <c r="A44599" s="136"/>
      <c r="CM44599" s="111"/>
      <c r="CQ44599" s="111"/>
      <c r="EF44599"/>
      <c r="EG44599"/>
      <c r="EH44599"/>
      <c r="EI44599"/>
      <c r="EJ44599"/>
      <c r="EK44599"/>
    </row>
    <row r="44600" spans="1:141" s="116" customFormat="1">
      <c r="A44600" s="136"/>
      <c r="CM44600" s="111"/>
      <c r="CQ44600" s="111"/>
      <c r="EF44600"/>
      <c r="EG44600"/>
      <c r="EH44600"/>
      <c r="EI44600"/>
      <c r="EJ44600"/>
      <c r="EK44600"/>
    </row>
    <row r="44601" spans="1:141" s="116" customFormat="1">
      <c r="A44601" s="136"/>
      <c r="CM44601" s="111"/>
      <c r="CQ44601" s="111"/>
      <c r="EF44601"/>
      <c r="EG44601"/>
      <c r="EH44601"/>
      <c r="EI44601"/>
      <c r="EJ44601"/>
      <c r="EK44601"/>
    </row>
    <row r="44602" spans="1:141" s="116" customFormat="1">
      <c r="A44602" s="136"/>
      <c r="CM44602" s="111"/>
      <c r="CQ44602" s="111"/>
      <c r="EF44602"/>
      <c r="EG44602"/>
      <c r="EH44602"/>
      <c r="EI44602"/>
      <c r="EJ44602"/>
      <c r="EK44602"/>
    </row>
    <row r="44603" spans="1:141" s="116" customFormat="1">
      <c r="A44603" s="136"/>
      <c r="CM44603" s="111"/>
      <c r="CQ44603" s="111"/>
      <c r="EF44603"/>
      <c r="EG44603"/>
      <c r="EH44603"/>
      <c r="EI44603"/>
      <c r="EJ44603"/>
      <c r="EK44603"/>
    </row>
    <row r="44604" spans="1:141" s="116" customFormat="1">
      <c r="A44604" s="136"/>
      <c r="CM44604" s="111"/>
      <c r="CQ44604" s="111"/>
      <c r="EF44604"/>
      <c r="EG44604"/>
      <c r="EH44604"/>
      <c r="EI44604"/>
      <c r="EJ44604"/>
      <c r="EK44604"/>
    </row>
    <row r="44605" spans="1:141" s="116" customFormat="1">
      <c r="A44605" s="136"/>
      <c r="CM44605" s="111"/>
      <c r="CQ44605" s="111"/>
      <c r="EF44605"/>
      <c r="EG44605"/>
      <c r="EH44605"/>
      <c r="EI44605"/>
      <c r="EJ44605"/>
      <c r="EK44605"/>
    </row>
    <row r="44606" spans="1:141" s="116" customFormat="1">
      <c r="A44606" s="136"/>
      <c r="CM44606" s="111"/>
      <c r="CQ44606" s="111"/>
      <c r="EF44606"/>
      <c r="EG44606"/>
      <c r="EH44606"/>
      <c r="EI44606"/>
      <c r="EJ44606"/>
      <c r="EK44606"/>
    </row>
    <row r="44607" spans="1:141" s="116" customFormat="1">
      <c r="A44607" s="136"/>
      <c r="CM44607" s="111"/>
      <c r="CQ44607" s="111"/>
      <c r="EF44607"/>
      <c r="EG44607"/>
      <c r="EH44607"/>
      <c r="EI44607"/>
      <c r="EJ44607"/>
      <c r="EK44607"/>
    </row>
    <row r="44608" spans="1:141" s="116" customFormat="1">
      <c r="A44608" s="136"/>
      <c r="CM44608" s="111"/>
      <c r="CQ44608" s="111"/>
      <c r="EF44608"/>
      <c r="EG44608"/>
      <c r="EH44608"/>
      <c r="EI44608"/>
      <c r="EJ44608"/>
      <c r="EK44608"/>
    </row>
    <row r="44609" spans="1:141" s="116" customFormat="1">
      <c r="A44609" s="136"/>
      <c r="CM44609" s="111"/>
      <c r="CQ44609" s="111"/>
      <c r="EF44609"/>
      <c r="EG44609"/>
      <c r="EH44609"/>
      <c r="EI44609"/>
      <c r="EJ44609"/>
      <c r="EK44609"/>
    </row>
    <row r="44610" spans="1:141" s="116" customFormat="1">
      <c r="A44610" s="136"/>
      <c r="CM44610" s="111"/>
      <c r="CQ44610" s="111"/>
      <c r="EF44610"/>
      <c r="EG44610"/>
      <c r="EH44610"/>
      <c r="EI44610"/>
      <c r="EJ44610"/>
      <c r="EK44610"/>
    </row>
    <row r="44611" spans="1:141" s="116" customFormat="1">
      <c r="A44611" s="136"/>
      <c r="CM44611" s="111"/>
      <c r="CQ44611" s="111"/>
      <c r="EF44611"/>
      <c r="EG44611"/>
      <c r="EH44611"/>
      <c r="EI44611"/>
      <c r="EJ44611"/>
      <c r="EK44611"/>
    </row>
    <row r="44612" spans="1:141" s="116" customFormat="1">
      <c r="A44612" s="136"/>
      <c r="CM44612" s="111"/>
      <c r="CQ44612" s="111"/>
      <c r="EF44612"/>
      <c r="EG44612"/>
      <c r="EH44612"/>
      <c r="EI44612"/>
      <c r="EJ44612"/>
      <c r="EK44612"/>
    </row>
    <row r="44613" spans="1:141" s="116" customFormat="1">
      <c r="A44613" s="136"/>
      <c r="CM44613" s="111"/>
      <c r="CQ44613" s="111"/>
      <c r="EF44613"/>
      <c r="EG44613"/>
      <c r="EH44613"/>
      <c r="EI44613"/>
      <c r="EJ44613"/>
      <c r="EK44613"/>
    </row>
    <row r="44614" spans="1:141" s="116" customFormat="1">
      <c r="A44614" s="136"/>
      <c r="CM44614" s="111"/>
      <c r="CQ44614" s="111"/>
      <c r="EF44614"/>
      <c r="EG44614"/>
      <c r="EH44614"/>
      <c r="EI44614"/>
      <c r="EJ44614"/>
      <c r="EK44614"/>
    </row>
    <row r="44615" spans="1:141" s="116" customFormat="1">
      <c r="A44615" s="136"/>
      <c r="CM44615" s="111"/>
      <c r="CQ44615" s="111"/>
      <c r="EF44615"/>
      <c r="EG44615"/>
      <c r="EH44615"/>
      <c r="EI44615"/>
      <c r="EJ44615"/>
      <c r="EK44615"/>
    </row>
    <row r="44616" spans="1:141" s="116" customFormat="1">
      <c r="A44616" s="136"/>
      <c r="CM44616" s="111"/>
      <c r="CQ44616" s="111"/>
      <c r="EF44616"/>
      <c r="EG44616"/>
      <c r="EH44616"/>
      <c r="EI44616"/>
      <c r="EJ44616"/>
      <c r="EK44616"/>
    </row>
    <row r="44617" spans="1:141" s="116" customFormat="1">
      <c r="A44617" s="136"/>
      <c r="CM44617" s="111"/>
      <c r="CQ44617" s="111"/>
      <c r="EF44617"/>
      <c r="EG44617"/>
      <c r="EH44617"/>
      <c r="EI44617"/>
      <c r="EJ44617"/>
      <c r="EK44617"/>
    </row>
    <row r="44618" spans="1:141" s="116" customFormat="1">
      <c r="A44618" s="136"/>
      <c r="CM44618" s="111"/>
      <c r="CQ44618" s="111"/>
      <c r="EF44618"/>
      <c r="EG44618"/>
      <c r="EH44618"/>
      <c r="EI44618"/>
      <c r="EJ44618"/>
      <c r="EK44618"/>
    </row>
    <row r="44619" spans="1:141" s="116" customFormat="1">
      <c r="A44619" s="136"/>
      <c r="CM44619" s="111"/>
      <c r="CQ44619" s="111"/>
      <c r="EF44619"/>
      <c r="EG44619"/>
      <c r="EH44619"/>
      <c r="EI44619"/>
      <c r="EJ44619"/>
      <c r="EK44619"/>
    </row>
    <row r="44620" spans="1:141" s="116" customFormat="1">
      <c r="A44620" s="136"/>
      <c r="CM44620" s="111"/>
      <c r="CQ44620" s="111"/>
      <c r="EF44620"/>
      <c r="EG44620"/>
      <c r="EH44620"/>
      <c r="EI44620"/>
      <c r="EJ44620"/>
      <c r="EK44620"/>
    </row>
    <row r="44621" spans="1:141" s="116" customFormat="1">
      <c r="A44621" s="136"/>
      <c r="CM44621" s="111"/>
      <c r="CQ44621" s="111"/>
      <c r="EF44621"/>
      <c r="EG44621"/>
      <c r="EH44621"/>
      <c r="EI44621"/>
      <c r="EJ44621"/>
      <c r="EK44621"/>
    </row>
    <row r="44622" spans="1:141" s="116" customFormat="1">
      <c r="A44622" s="136"/>
      <c r="CM44622" s="111"/>
      <c r="CQ44622" s="111"/>
      <c r="EF44622"/>
      <c r="EG44622"/>
      <c r="EH44622"/>
      <c r="EI44622"/>
      <c r="EJ44622"/>
      <c r="EK44622"/>
    </row>
    <row r="44623" spans="1:141" s="116" customFormat="1">
      <c r="A44623" s="136"/>
      <c r="CM44623" s="111"/>
      <c r="CQ44623" s="111"/>
      <c r="EF44623"/>
      <c r="EG44623"/>
      <c r="EH44623"/>
      <c r="EI44623"/>
      <c r="EJ44623"/>
      <c r="EK44623"/>
    </row>
    <row r="44624" spans="1:141" s="116" customFormat="1">
      <c r="A44624" s="136"/>
      <c r="CM44624" s="111"/>
      <c r="CQ44624" s="111"/>
      <c r="EF44624"/>
      <c r="EG44624"/>
      <c r="EH44624"/>
      <c r="EI44624"/>
      <c r="EJ44624"/>
      <c r="EK44624"/>
    </row>
    <row r="44625" spans="1:141" s="116" customFormat="1">
      <c r="A44625" s="136"/>
      <c r="CM44625" s="111"/>
      <c r="CQ44625" s="111"/>
      <c r="EF44625"/>
      <c r="EG44625"/>
      <c r="EH44625"/>
      <c r="EI44625"/>
      <c r="EJ44625"/>
      <c r="EK44625"/>
    </row>
    <row r="44626" spans="1:141" s="116" customFormat="1">
      <c r="A44626" s="136"/>
      <c r="CM44626" s="111"/>
      <c r="CQ44626" s="111"/>
      <c r="EF44626"/>
      <c r="EG44626"/>
      <c r="EH44626"/>
      <c r="EI44626"/>
      <c r="EJ44626"/>
      <c r="EK44626"/>
    </row>
    <row r="44627" spans="1:141" s="116" customFormat="1">
      <c r="A44627" s="136"/>
      <c r="CM44627" s="111"/>
      <c r="CQ44627" s="111"/>
      <c r="EF44627"/>
      <c r="EG44627"/>
      <c r="EH44627"/>
      <c r="EI44627"/>
      <c r="EJ44627"/>
      <c r="EK44627"/>
    </row>
    <row r="44628" spans="1:141" s="116" customFormat="1">
      <c r="A44628" s="136"/>
      <c r="CM44628" s="111"/>
      <c r="CQ44628" s="111"/>
      <c r="EF44628"/>
      <c r="EG44628"/>
      <c r="EH44628"/>
      <c r="EI44628"/>
      <c r="EJ44628"/>
      <c r="EK44628"/>
    </row>
    <row r="44629" spans="1:141" s="116" customFormat="1">
      <c r="A44629" s="136"/>
      <c r="CM44629" s="111"/>
      <c r="CQ44629" s="111"/>
      <c r="EF44629"/>
      <c r="EG44629"/>
      <c r="EH44629"/>
      <c r="EI44629"/>
      <c r="EJ44629"/>
      <c r="EK44629"/>
    </row>
    <row r="44630" spans="1:141" s="116" customFormat="1">
      <c r="A44630" s="136"/>
      <c r="CM44630" s="111"/>
      <c r="CQ44630" s="111"/>
      <c r="EF44630"/>
      <c r="EG44630"/>
      <c r="EH44630"/>
      <c r="EI44630"/>
      <c r="EJ44630"/>
      <c r="EK44630"/>
    </row>
    <row r="44631" spans="1:141" s="116" customFormat="1">
      <c r="A44631" s="136"/>
      <c r="CM44631" s="111"/>
      <c r="CQ44631" s="111"/>
      <c r="EF44631"/>
      <c r="EG44631"/>
      <c r="EH44631"/>
      <c r="EI44631"/>
      <c r="EJ44631"/>
      <c r="EK44631"/>
    </row>
    <row r="44632" spans="1:141" s="116" customFormat="1">
      <c r="A44632" s="136"/>
      <c r="CM44632" s="111"/>
      <c r="CQ44632" s="111"/>
      <c r="EF44632"/>
      <c r="EG44632"/>
      <c r="EH44632"/>
      <c r="EI44632"/>
      <c r="EJ44632"/>
      <c r="EK44632"/>
    </row>
    <row r="44633" spans="1:141" s="116" customFormat="1">
      <c r="A44633" s="136"/>
      <c r="CM44633" s="111"/>
      <c r="CQ44633" s="111"/>
      <c r="EF44633"/>
      <c r="EG44633"/>
      <c r="EH44633"/>
      <c r="EI44633"/>
      <c r="EJ44633"/>
      <c r="EK44633"/>
    </row>
    <row r="44634" spans="1:141" s="116" customFormat="1">
      <c r="A44634" s="136"/>
      <c r="CM44634" s="111"/>
      <c r="CQ44634" s="111"/>
      <c r="EF44634"/>
      <c r="EG44634"/>
      <c r="EH44634"/>
      <c r="EI44634"/>
      <c r="EJ44634"/>
      <c r="EK44634"/>
    </row>
    <row r="44635" spans="1:141" s="116" customFormat="1">
      <c r="A44635" s="136"/>
      <c r="CM44635" s="111"/>
      <c r="CQ44635" s="111"/>
      <c r="EF44635"/>
      <c r="EG44635"/>
      <c r="EH44635"/>
      <c r="EI44635"/>
      <c r="EJ44635"/>
      <c r="EK44635"/>
    </row>
    <row r="44636" spans="1:141" s="116" customFormat="1">
      <c r="A44636" s="136"/>
      <c r="CM44636" s="111"/>
      <c r="CQ44636" s="111"/>
      <c r="EF44636"/>
      <c r="EG44636"/>
      <c r="EH44636"/>
      <c r="EI44636"/>
      <c r="EJ44636"/>
      <c r="EK44636"/>
    </row>
    <row r="44637" spans="1:141" s="116" customFormat="1">
      <c r="A44637" s="136"/>
      <c r="CM44637" s="111"/>
      <c r="CQ44637" s="111"/>
      <c r="EF44637"/>
      <c r="EG44637"/>
      <c r="EH44637"/>
      <c r="EI44637"/>
      <c r="EJ44637"/>
      <c r="EK44637"/>
    </row>
    <row r="44638" spans="1:141" s="116" customFormat="1">
      <c r="A44638" s="136"/>
      <c r="CM44638" s="111"/>
      <c r="CQ44638" s="111"/>
      <c r="EF44638"/>
      <c r="EG44638"/>
      <c r="EH44638"/>
      <c r="EI44638"/>
      <c r="EJ44638"/>
      <c r="EK44638"/>
    </row>
    <row r="44639" spans="1:141" s="116" customFormat="1">
      <c r="A44639" s="136"/>
      <c r="CM44639" s="111"/>
      <c r="CQ44639" s="111"/>
      <c r="EF44639"/>
      <c r="EG44639"/>
      <c r="EH44639"/>
      <c r="EI44639"/>
      <c r="EJ44639"/>
      <c r="EK44639"/>
    </row>
    <row r="44640" spans="1:141" s="116" customFormat="1">
      <c r="A44640" s="136"/>
      <c r="CM44640" s="111"/>
      <c r="CQ44640" s="111"/>
      <c r="EF44640"/>
      <c r="EG44640"/>
      <c r="EH44640"/>
      <c r="EI44640"/>
      <c r="EJ44640"/>
      <c r="EK44640"/>
    </row>
    <row r="44641" spans="1:141" s="116" customFormat="1">
      <c r="A44641" s="136"/>
      <c r="CM44641" s="111"/>
      <c r="CQ44641" s="111"/>
      <c r="EF44641"/>
      <c r="EG44641"/>
      <c r="EH44641"/>
      <c r="EI44641"/>
      <c r="EJ44641"/>
      <c r="EK44641"/>
    </row>
    <row r="44642" spans="1:141" s="116" customFormat="1">
      <c r="A44642" s="136"/>
      <c r="CM44642" s="111"/>
      <c r="CQ44642" s="111"/>
      <c r="EF44642"/>
      <c r="EG44642"/>
      <c r="EH44642"/>
      <c r="EI44642"/>
      <c r="EJ44642"/>
      <c r="EK44642"/>
    </row>
    <row r="44643" spans="1:141" s="116" customFormat="1">
      <c r="A44643" s="136"/>
      <c r="CM44643" s="111"/>
      <c r="CQ44643" s="111"/>
      <c r="EF44643"/>
      <c r="EG44643"/>
      <c r="EH44643"/>
      <c r="EI44643"/>
      <c r="EJ44643"/>
      <c r="EK44643"/>
    </row>
    <row r="44644" spans="1:141" s="116" customFormat="1">
      <c r="A44644" s="136"/>
      <c r="CM44644" s="111"/>
      <c r="CQ44644" s="111"/>
      <c r="EF44644"/>
      <c r="EG44644"/>
      <c r="EH44644"/>
      <c r="EI44644"/>
      <c r="EJ44644"/>
      <c r="EK44644"/>
    </row>
    <row r="44645" spans="1:141" s="116" customFormat="1">
      <c r="A44645" s="136"/>
      <c r="CM44645" s="111"/>
      <c r="CQ44645" s="111"/>
      <c r="EF44645"/>
      <c r="EG44645"/>
      <c r="EH44645"/>
      <c r="EI44645"/>
      <c r="EJ44645"/>
      <c r="EK44645"/>
    </row>
    <row r="44646" spans="1:141" s="116" customFormat="1">
      <c r="A44646" s="136"/>
      <c r="CM44646" s="111"/>
      <c r="CQ44646" s="111"/>
      <c r="EF44646"/>
      <c r="EG44646"/>
      <c r="EH44646"/>
      <c r="EI44646"/>
      <c r="EJ44646"/>
      <c r="EK44646"/>
    </row>
    <row r="44647" spans="1:141" s="116" customFormat="1">
      <c r="A44647" s="136"/>
      <c r="CM44647" s="111"/>
      <c r="CQ44647" s="111"/>
      <c r="EF44647"/>
      <c r="EG44647"/>
      <c r="EH44647"/>
      <c r="EI44647"/>
      <c r="EJ44647"/>
      <c r="EK44647"/>
    </row>
    <row r="44648" spans="1:141" s="116" customFormat="1">
      <c r="A44648" s="136"/>
      <c r="CM44648" s="111"/>
      <c r="CQ44648" s="111"/>
      <c r="EF44648"/>
      <c r="EG44648"/>
      <c r="EH44648"/>
      <c r="EI44648"/>
      <c r="EJ44648"/>
      <c r="EK44648"/>
    </row>
    <row r="44649" spans="1:141" s="116" customFormat="1">
      <c r="A44649" s="136"/>
      <c r="CM44649" s="111"/>
      <c r="CQ44649" s="111"/>
      <c r="EF44649"/>
      <c r="EG44649"/>
      <c r="EH44649"/>
      <c r="EI44649"/>
      <c r="EJ44649"/>
      <c r="EK44649"/>
    </row>
    <row r="44650" spans="1:141" s="116" customFormat="1">
      <c r="A44650" s="136"/>
      <c r="CM44650" s="111"/>
      <c r="CQ44650" s="111"/>
      <c r="EF44650"/>
      <c r="EG44650"/>
      <c r="EH44650"/>
      <c r="EI44650"/>
      <c r="EJ44650"/>
      <c r="EK44650"/>
    </row>
    <row r="44651" spans="1:141" s="116" customFormat="1">
      <c r="A44651" s="136"/>
      <c r="CM44651" s="111"/>
      <c r="CQ44651" s="111"/>
      <c r="EF44651"/>
      <c r="EG44651"/>
      <c r="EH44651"/>
      <c r="EI44651"/>
      <c r="EJ44651"/>
      <c r="EK44651"/>
    </row>
    <row r="44652" spans="1:141" s="116" customFormat="1">
      <c r="A44652" s="136"/>
      <c r="CM44652" s="111"/>
      <c r="CQ44652" s="111"/>
      <c r="EF44652"/>
      <c r="EG44652"/>
      <c r="EH44652"/>
      <c r="EI44652"/>
      <c r="EJ44652"/>
      <c r="EK44652"/>
    </row>
    <row r="44653" spans="1:141" s="116" customFormat="1">
      <c r="A44653" s="136"/>
      <c r="CM44653" s="111"/>
      <c r="CQ44653" s="111"/>
      <c r="EF44653"/>
      <c r="EG44653"/>
      <c r="EH44653"/>
      <c r="EI44653"/>
      <c r="EJ44653"/>
      <c r="EK44653"/>
    </row>
    <row r="44654" spans="1:141" s="116" customFormat="1">
      <c r="A44654" s="136"/>
      <c r="CM44654" s="111"/>
      <c r="CQ44654" s="111"/>
      <c r="EF44654"/>
      <c r="EG44654"/>
      <c r="EH44654"/>
      <c r="EI44654"/>
      <c r="EJ44654"/>
      <c r="EK44654"/>
    </row>
    <row r="44655" spans="1:141" s="116" customFormat="1">
      <c r="A44655" s="136"/>
      <c r="CM44655" s="111"/>
      <c r="CQ44655" s="111"/>
      <c r="EF44655"/>
      <c r="EG44655"/>
      <c r="EH44655"/>
      <c r="EI44655"/>
      <c r="EJ44655"/>
      <c r="EK44655"/>
    </row>
    <row r="44656" spans="1:141" s="116" customFormat="1">
      <c r="A44656" s="136"/>
      <c r="CM44656" s="111"/>
      <c r="CQ44656" s="111"/>
      <c r="EF44656"/>
      <c r="EG44656"/>
      <c r="EH44656"/>
      <c r="EI44656"/>
      <c r="EJ44656"/>
      <c r="EK44656"/>
    </row>
    <row r="44657" spans="1:141" s="116" customFormat="1">
      <c r="A44657" s="136"/>
      <c r="CM44657" s="111"/>
      <c r="CQ44657" s="111"/>
      <c r="EF44657"/>
      <c r="EG44657"/>
      <c r="EH44657"/>
      <c r="EI44657"/>
      <c r="EJ44657"/>
      <c r="EK44657"/>
    </row>
    <row r="44658" spans="1:141" s="116" customFormat="1">
      <c r="A44658" s="136"/>
      <c r="CM44658" s="111"/>
      <c r="CQ44658" s="111"/>
      <c r="EF44658"/>
      <c r="EG44658"/>
      <c r="EH44658"/>
      <c r="EI44658"/>
      <c r="EJ44658"/>
      <c r="EK44658"/>
    </row>
    <row r="44659" spans="1:141" s="116" customFormat="1">
      <c r="A44659" s="136"/>
      <c r="CM44659" s="111"/>
      <c r="CQ44659" s="111"/>
      <c r="EF44659"/>
      <c r="EG44659"/>
      <c r="EH44659"/>
      <c r="EI44659"/>
      <c r="EJ44659"/>
      <c r="EK44659"/>
    </row>
    <row r="44660" spans="1:141" s="116" customFormat="1">
      <c r="A44660" s="136"/>
      <c r="CM44660" s="111"/>
      <c r="CQ44660" s="111"/>
      <c r="EF44660"/>
      <c r="EG44660"/>
      <c r="EH44660"/>
      <c r="EI44660"/>
      <c r="EJ44660"/>
      <c r="EK44660"/>
    </row>
    <row r="44661" spans="1:141" s="116" customFormat="1">
      <c r="A44661" s="136"/>
      <c r="CM44661" s="111"/>
      <c r="CQ44661" s="111"/>
      <c r="EF44661"/>
      <c r="EG44661"/>
      <c r="EH44661"/>
      <c r="EI44661"/>
      <c r="EJ44661"/>
      <c r="EK44661"/>
    </row>
    <row r="44662" spans="1:141" s="116" customFormat="1">
      <c r="A44662" s="136"/>
      <c r="CM44662" s="111"/>
      <c r="CQ44662" s="111"/>
      <c r="EF44662"/>
      <c r="EG44662"/>
      <c r="EH44662"/>
      <c r="EI44662"/>
      <c r="EJ44662"/>
      <c r="EK44662"/>
    </row>
    <row r="44663" spans="1:141" s="116" customFormat="1">
      <c r="A44663" s="136"/>
      <c r="CM44663" s="111"/>
      <c r="CQ44663" s="111"/>
      <c r="EF44663"/>
      <c r="EG44663"/>
      <c r="EH44663"/>
      <c r="EI44663"/>
      <c r="EJ44663"/>
      <c r="EK44663"/>
    </row>
    <row r="44664" spans="1:141" s="116" customFormat="1">
      <c r="A44664" s="136"/>
      <c r="CM44664" s="111"/>
      <c r="CQ44664" s="111"/>
      <c r="EF44664"/>
      <c r="EG44664"/>
      <c r="EH44664"/>
      <c r="EI44664"/>
      <c r="EJ44664"/>
      <c r="EK44664"/>
    </row>
    <row r="44665" spans="1:141" s="116" customFormat="1">
      <c r="A44665" s="136"/>
      <c r="CM44665" s="111"/>
      <c r="CQ44665" s="111"/>
      <c r="EF44665"/>
      <c r="EG44665"/>
      <c r="EH44665"/>
      <c r="EI44665"/>
      <c r="EJ44665"/>
      <c r="EK44665"/>
    </row>
    <row r="44666" spans="1:141" s="116" customFormat="1">
      <c r="A44666" s="136"/>
      <c r="CM44666" s="111"/>
      <c r="CQ44666" s="111"/>
      <c r="EF44666"/>
      <c r="EG44666"/>
      <c r="EH44666"/>
      <c r="EI44666"/>
      <c r="EJ44666"/>
      <c r="EK44666"/>
    </row>
    <row r="44667" spans="1:141" s="116" customFormat="1">
      <c r="A44667" s="136"/>
      <c r="CM44667" s="111"/>
      <c r="CQ44667" s="111"/>
      <c r="EF44667"/>
      <c r="EG44667"/>
      <c r="EH44667"/>
      <c r="EI44667"/>
      <c r="EJ44667"/>
      <c r="EK44667"/>
    </row>
    <row r="44668" spans="1:141" s="116" customFormat="1">
      <c r="A44668" s="136"/>
      <c r="CM44668" s="111"/>
      <c r="CQ44668" s="111"/>
      <c r="EF44668"/>
      <c r="EG44668"/>
      <c r="EH44668"/>
      <c r="EI44668"/>
      <c r="EJ44668"/>
      <c r="EK44668"/>
    </row>
    <row r="44669" spans="1:141" s="116" customFormat="1">
      <c r="A44669" s="136"/>
      <c r="CM44669" s="111"/>
      <c r="CQ44669" s="111"/>
      <c r="EF44669"/>
      <c r="EG44669"/>
      <c r="EH44669"/>
      <c r="EI44669"/>
      <c r="EJ44669"/>
      <c r="EK44669"/>
    </row>
    <row r="44670" spans="1:141" s="116" customFormat="1">
      <c r="A44670" s="136"/>
      <c r="CM44670" s="111"/>
      <c r="CQ44670" s="111"/>
      <c r="EF44670"/>
      <c r="EG44670"/>
      <c r="EH44670"/>
      <c r="EI44670"/>
      <c r="EJ44670"/>
      <c r="EK44670"/>
    </row>
    <row r="44671" spans="1:141" s="116" customFormat="1">
      <c r="A44671" s="136"/>
      <c r="CM44671" s="111"/>
      <c r="CQ44671" s="111"/>
      <c r="EF44671"/>
      <c r="EG44671"/>
      <c r="EH44671"/>
      <c r="EI44671"/>
      <c r="EJ44671"/>
      <c r="EK44671"/>
    </row>
    <row r="44672" spans="1:141" s="116" customFormat="1">
      <c r="A44672" s="136"/>
      <c r="CM44672" s="111"/>
      <c r="CQ44672" s="111"/>
      <c r="EF44672"/>
      <c r="EG44672"/>
      <c r="EH44672"/>
      <c r="EI44672"/>
      <c r="EJ44672"/>
      <c r="EK44672"/>
    </row>
    <row r="44673" spans="1:141" s="116" customFormat="1">
      <c r="A44673" s="136"/>
      <c r="CM44673" s="111"/>
      <c r="CQ44673" s="111"/>
      <c r="EF44673"/>
      <c r="EG44673"/>
      <c r="EH44673"/>
      <c r="EI44673"/>
      <c r="EJ44673"/>
      <c r="EK44673"/>
    </row>
    <row r="44674" spans="1:141" s="116" customFormat="1">
      <c r="A44674" s="136"/>
      <c r="CM44674" s="111"/>
      <c r="CQ44674" s="111"/>
      <c r="EF44674"/>
      <c r="EG44674"/>
      <c r="EH44674"/>
      <c r="EI44674"/>
      <c r="EJ44674"/>
      <c r="EK44674"/>
    </row>
    <row r="44675" spans="1:141" s="116" customFormat="1">
      <c r="A44675" s="136"/>
      <c r="CM44675" s="111"/>
      <c r="CQ44675" s="111"/>
      <c r="EF44675"/>
      <c r="EG44675"/>
      <c r="EH44675"/>
      <c r="EI44675"/>
      <c r="EJ44675"/>
      <c r="EK44675"/>
    </row>
    <row r="44676" spans="1:141" s="116" customFormat="1">
      <c r="A44676" s="136"/>
      <c r="CM44676" s="111"/>
      <c r="CQ44676" s="111"/>
      <c r="EF44676"/>
      <c r="EG44676"/>
      <c r="EH44676"/>
      <c r="EI44676"/>
      <c r="EJ44676"/>
      <c r="EK44676"/>
    </row>
    <row r="44677" spans="1:141" s="116" customFormat="1">
      <c r="A44677" s="136"/>
      <c r="CM44677" s="111"/>
      <c r="CQ44677" s="111"/>
      <c r="EF44677"/>
      <c r="EG44677"/>
      <c r="EH44677"/>
      <c r="EI44677"/>
      <c r="EJ44677"/>
      <c r="EK44677"/>
    </row>
    <row r="44678" spans="1:141" s="116" customFormat="1">
      <c r="A44678" s="136"/>
      <c r="CM44678" s="111"/>
      <c r="CQ44678" s="111"/>
      <c r="EF44678"/>
      <c r="EG44678"/>
      <c r="EH44678"/>
      <c r="EI44678"/>
      <c r="EJ44678"/>
      <c r="EK44678"/>
    </row>
    <row r="44679" spans="1:141" s="116" customFormat="1">
      <c r="A44679" s="136"/>
      <c r="CM44679" s="111"/>
      <c r="CQ44679" s="111"/>
      <c r="EF44679"/>
      <c r="EG44679"/>
      <c r="EH44679"/>
      <c r="EI44679"/>
      <c r="EJ44679"/>
      <c r="EK44679"/>
    </row>
    <row r="44680" spans="1:141" s="116" customFormat="1">
      <c r="A44680" s="136"/>
      <c r="CM44680" s="111"/>
      <c r="CQ44680" s="111"/>
      <c r="EF44680"/>
      <c r="EG44680"/>
      <c r="EH44680"/>
      <c r="EI44680"/>
      <c r="EJ44680"/>
      <c r="EK44680"/>
    </row>
    <row r="44681" spans="1:141" s="116" customFormat="1">
      <c r="A44681" s="136"/>
      <c r="CM44681" s="111"/>
      <c r="CQ44681" s="111"/>
      <c r="EF44681"/>
      <c r="EG44681"/>
      <c r="EH44681"/>
      <c r="EI44681"/>
      <c r="EJ44681"/>
      <c r="EK44681"/>
    </row>
    <row r="44682" spans="1:141" s="116" customFormat="1">
      <c r="A44682" s="136"/>
      <c r="CM44682" s="111"/>
      <c r="CQ44682" s="111"/>
      <c r="EF44682"/>
      <c r="EG44682"/>
      <c r="EH44682"/>
      <c r="EI44682"/>
      <c r="EJ44682"/>
      <c r="EK44682"/>
    </row>
    <row r="44683" spans="1:141" s="116" customFormat="1">
      <c r="A44683" s="136"/>
      <c r="CM44683" s="111"/>
      <c r="CQ44683" s="111"/>
      <c r="EF44683"/>
      <c r="EG44683"/>
      <c r="EH44683"/>
      <c r="EI44683"/>
      <c r="EJ44683"/>
      <c r="EK44683"/>
    </row>
    <row r="44684" spans="1:141" s="116" customFormat="1">
      <c r="A44684" s="136"/>
      <c r="CM44684" s="111"/>
      <c r="CQ44684" s="111"/>
      <c r="EF44684"/>
      <c r="EG44684"/>
      <c r="EH44684"/>
      <c r="EI44684"/>
      <c r="EJ44684"/>
      <c r="EK44684"/>
    </row>
    <row r="44685" spans="1:141" s="116" customFormat="1">
      <c r="A44685" s="136"/>
      <c r="CM44685" s="111"/>
      <c r="CQ44685" s="111"/>
      <c r="EF44685"/>
      <c r="EG44685"/>
      <c r="EH44685"/>
      <c r="EI44685"/>
      <c r="EJ44685"/>
      <c r="EK44685"/>
    </row>
    <row r="44686" spans="1:141" s="116" customFormat="1">
      <c r="A44686" s="136"/>
      <c r="CM44686" s="111"/>
      <c r="CQ44686" s="111"/>
      <c r="EF44686"/>
      <c r="EG44686"/>
      <c r="EH44686"/>
      <c r="EI44686"/>
      <c r="EJ44686"/>
      <c r="EK44686"/>
    </row>
    <row r="44687" spans="1:141" s="116" customFormat="1">
      <c r="A44687" s="136"/>
      <c r="CM44687" s="111"/>
      <c r="CQ44687" s="111"/>
      <c r="EF44687"/>
      <c r="EG44687"/>
      <c r="EH44687"/>
      <c r="EI44687"/>
      <c r="EJ44687"/>
      <c r="EK44687"/>
    </row>
    <row r="44688" spans="1:141" s="116" customFormat="1">
      <c r="A44688" s="136"/>
      <c r="CM44688" s="111"/>
      <c r="CQ44688" s="111"/>
      <c r="EF44688"/>
      <c r="EG44688"/>
      <c r="EH44688"/>
      <c r="EI44688"/>
      <c r="EJ44688"/>
      <c r="EK44688"/>
    </row>
    <row r="44689" spans="1:141" s="116" customFormat="1">
      <c r="A44689" s="136"/>
      <c r="CM44689" s="111"/>
      <c r="CQ44689" s="111"/>
      <c r="EF44689"/>
      <c r="EG44689"/>
      <c r="EH44689"/>
      <c r="EI44689"/>
      <c r="EJ44689"/>
      <c r="EK44689"/>
    </row>
    <row r="44690" spans="1:141" s="116" customFormat="1">
      <c r="A44690" s="136"/>
      <c r="CM44690" s="111"/>
      <c r="CQ44690" s="111"/>
      <c r="EF44690"/>
      <c r="EG44690"/>
      <c r="EH44690"/>
      <c r="EI44690"/>
      <c r="EJ44690"/>
      <c r="EK44690"/>
    </row>
    <row r="44691" spans="1:141" s="116" customFormat="1">
      <c r="A44691" s="136"/>
      <c r="CM44691" s="111"/>
      <c r="CQ44691" s="111"/>
      <c r="EF44691"/>
      <c r="EG44691"/>
      <c r="EH44691"/>
      <c r="EI44691"/>
      <c r="EJ44691"/>
      <c r="EK44691"/>
    </row>
    <row r="44692" spans="1:141" s="116" customFormat="1">
      <c r="A44692" s="136"/>
      <c r="CM44692" s="111"/>
      <c r="CQ44692" s="111"/>
      <c r="EF44692"/>
      <c r="EG44692"/>
      <c r="EH44692"/>
      <c r="EI44692"/>
      <c r="EJ44692"/>
      <c r="EK44692"/>
    </row>
    <row r="44693" spans="1:141" s="116" customFormat="1">
      <c r="A44693" s="136"/>
      <c r="CM44693" s="111"/>
      <c r="CQ44693" s="111"/>
      <c r="EF44693"/>
      <c r="EG44693"/>
      <c r="EH44693"/>
      <c r="EI44693"/>
      <c r="EJ44693"/>
      <c r="EK44693"/>
    </row>
    <row r="44694" spans="1:141" s="116" customFormat="1">
      <c r="A44694" s="136"/>
      <c r="CM44694" s="111"/>
      <c r="CQ44694" s="111"/>
      <c r="EF44694"/>
      <c r="EG44694"/>
      <c r="EH44694"/>
      <c r="EI44694"/>
      <c r="EJ44694"/>
      <c r="EK44694"/>
    </row>
    <row r="44695" spans="1:141" s="116" customFormat="1">
      <c r="A44695" s="136"/>
      <c r="CM44695" s="111"/>
      <c r="CQ44695" s="111"/>
      <c r="EF44695"/>
      <c r="EG44695"/>
      <c r="EH44695"/>
      <c r="EI44695"/>
      <c r="EJ44695"/>
      <c r="EK44695"/>
    </row>
    <row r="44696" spans="1:141" s="116" customFormat="1">
      <c r="A44696" s="136"/>
      <c r="CM44696" s="111"/>
      <c r="CQ44696" s="111"/>
      <c r="EF44696"/>
      <c r="EG44696"/>
      <c r="EH44696"/>
      <c r="EI44696"/>
      <c r="EJ44696"/>
      <c r="EK44696"/>
    </row>
    <row r="44697" spans="1:141" s="116" customFormat="1">
      <c r="A44697" s="136"/>
      <c r="CM44697" s="111"/>
      <c r="CQ44697" s="111"/>
      <c r="EF44697"/>
      <c r="EG44697"/>
      <c r="EH44697"/>
      <c r="EI44697"/>
      <c r="EJ44697"/>
      <c r="EK44697"/>
    </row>
    <row r="44698" spans="1:141" s="116" customFormat="1">
      <c r="A44698" s="136"/>
      <c r="CM44698" s="111"/>
      <c r="CQ44698" s="111"/>
      <c r="EF44698"/>
      <c r="EG44698"/>
      <c r="EH44698"/>
      <c r="EI44698"/>
      <c r="EJ44698"/>
      <c r="EK44698"/>
    </row>
    <row r="44699" spans="1:141" s="116" customFormat="1">
      <c r="A44699" s="136"/>
      <c r="CM44699" s="111"/>
      <c r="CQ44699" s="111"/>
      <c r="EF44699"/>
      <c r="EG44699"/>
      <c r="EH44699"/>
      <c r="EI44699"/>
      <c r="EJ44699"/>
      <c r="EK44699"/>
    </row>
    <row r="44700" spans="1:141" s="116" customFormat="1">
      <c r="A44700" s="136"/>
      <c r="CM44700" s="111"/>
      <c r="CQ44700" s="111"/>
      <c r="EF44700"/>
      <c r="EG44700"/>
      <c r="EH44700"/>
      <c r="EI44700"/>
      <c r="EJ44700"/>
      <c r="EK44700"/>
    </row>
    <row r="44701" spans="1:141" s="116" customFormat="1">
      <c r="A44701" s="136"/>
      <c r="CM44701" s="111"/>
      <c r="CQ44701" s="111"/>
      <c r="EF44701"/>
      <c r="EG44701"/>
      <c r="EH44701"/>
      <c r="EI44701"/>
      <c r="EJ44701"/>
      <c r="EK44701"/>
    </row>
    <row r="44702" spans="1:141" s="116" customFormat="1">
      <c r="A44702" s="136"/>
      <c r="CM44702" s="111"/>
      <c r="CQ44702" s="111"/>
      <c r="EF44702"/>
      <c r="EG44702"/>
      <c r="EH44702"/>
      <c r="EI44702"/>
      <c r="EJ44702"/>
      <c r="EK44702"/>
    </row>
    <row r="44703" spans="1:141" s="116" customFormat="1">
      <c r="A44703" s="136"/>
      <c r="CM44703" s="111"/>
      <c r="CQ44703" s="111"/>
      <c r="EF44703"/>
      <c r="EG44703"/>
      <c r="EH44703"/>
      <c r="EI44703"/>
      <c r="EJ44703"/>
      <c r="EK44703"/>
    </row>
    <row r="44704" spans="1:141" s="116" customFormat="1">
      <c r="A44704" s="136"/>
      <c r="CM44704" s="111"/>
      <c r="CQ44704" s="111"/>
      <c r="EF44704"/>
      <c r="EG44704"/>
      <c r="EH44704"/>
      <c r="EI44704"/>
      <c r="EJ44704"/>
      <c r="EK44704"/>
    </row>
    <row r="44705" spans="1:141" s="116" customFormat="1">
      <c r="A44705" s="136"/>
      <c r="CM44705" s="111"/>
      <c r="CQ44705" s="111"/>
      <c r="EF44705"/>
      <c r="EG44705"/>
      <c r="EH44705"/>
      <c r="EI44705"/>
      <c r="EJ44705"/>
      <c r="EK44705"/>
    </row>
    <row r="44706" spans="1:141" s="116" customFormat="1">
      <c r="A44706" s="136"/>
      <c r="CM44706" s="111"/>
      <c r="CQ44706" s="111"/>
      <c r="EF44706"/>
      <c r="EG44706"/>
      <c r="EH44706"/>
      <c r="EI44706"/>
      <c r="EJ44706"/>
      <c r="EK44706"/>
    </row>
    <row r="44707" spans="1:141" s="116" customFormat="1">
      <c r="A44707" s="136"/>
      <c r="CM44707" s="111"/>
      <c r="CQ44707" s="111"/>
      <c r="EF44707"/>
      <c r="EG44707"/>
      <c r="EH44707"/>
      <c r="EI44707"/>
      <c r="EJ44707"/>
      <c r="EK44707"/>
    </row>
    <row r="44708" spans="1:141" s="116" customFormat="1">
      <c r="A44708" s="136"/>
      <c r="CM44708" s="111"/>
      <c r="CQ44708" s="111"/>
      <c r="EF44708"/>
      <c r="EG44708"/>
      <c r="EH44708"/>
      <c r="EI44708"/>
      <c r="EJ44708"/>
      <c r="EK44708"/>
    </row>
    <row r="44709" spans="1:141" s="116" customFormat="1">
      <c r="A44709" s="136"/>
      <c r="CM44709" s="111"/>
      <c r="CQ44709" s="111"/>
      <c r="EF44709"/>
      <c r="EG44709"/>
      <c r="EH44709"/>
      <c r="EI44709"/>
      <c r="EJ44709"/>
      <c r="EK44709"/>
    </row>
    <row r="44710" spans="1:141" s="116" customFormat="1">
      <c r="A44710" s="136"/>
      <c r="CM44710" s="111"/>
      <c r="CQ44710" s="111"/>
      <c r="EF44710"/>
      <c r="EG44710"/>
      <c r="EH44710"/>
      <c r="EI44710"/>
      <c r="EJ44710"/>
      <c r="EK44710"/>
    </row>
    <row r="44711" spans="1:141" s="116" customFormat="1">
      <c r="A44711" s="136"/>
      <c r="CM44711" s="111"/>
      <c r="CQ44711" s="111"/>
      <c r="EF44711"/>
      <c r="EG44711"/>
      <c r="EH44711"/>
      <c r="EI44711"/>
      <c r="EJ44711"/>
      <c r="EK44711"/>
    </row>
    <row r="44712" spans="1:141" s="116" customFormat="1">
      <c r="A44712" s="136"/>
      <c r="CM44712" s="111"/>
      <c r="CQ44712" s="111"/>
      <c r="EF44712"/>
      <c r="EG44712"/>
      <c r="EH44712"/>
      <c r="EI44712"/>
      <c r="EJ44712"/>
      <c r="EK44712"/>
    </row>
    <row r="44713" spans="1:141" s="116" customFormat="1">
      <c r="A44713" s="136"/>
      <c r="CM44713" s="111"/>
      <c r="CQ44713" s="111"/>
      <c r="EF44713"/>
      <c r="EG44713"/>
      <c r="EH44713"/>
      <c r="EI44713"/>
      <c r="EJ44713"/>
      <c r="EK44713"/>
    </row>
    <row r="44714" spans="1:141" s="116" customFormat="1">
      <c r="A44714" s="136"/>
      <c r="CM44714" s="111"/>
      <c r="CQ44714" s="111"/>
      <c r="EF44714"/>
      <c r="EG44714"/>
      <c r="EH44714"/>
      <c r="EI44714"/>
      <c r="EJ44714"/>
      <c r="EK44714"/>
    </row>
    <row r="44715" spans="1:141" s="116" customFormat="1">
      <c r="A44715" s="136"/>
      <c r="CM44715" s="111"/>
      <c r="CQ44715" s="111"/>
      <c r="EF44715"/>
      <c r="EG44715"/>
      <c r="EH44715"/>
      <c r="EI44715"/>
      <c r="EJ44715"/>
      <c r="EK44715"/>
    </row>
    <row r="44716" spans="1:141" s="116" customFormat="1">
      <c r="A44716" s="136"/>
      <c r="CM44716" s="111"/>
      <c r="CQ44716" s="111"/>
      <c r="EF44716"/>
      <c r="EG44716"/>
      <c r="EH44716"/>
      <c r="EI44716"/>
      <c r="EJ44716"/>
      <c r="EK44716"/>
    </row>
    <row r="44717" spans="1:141" s="116" customFormat="1">
      <c r="A44717" s="136"/>
      <c r="CM44717" s="111"/>
      <c r="CQ44717" s="111"/>
      <c r="EF44717"/>
      <c r="EG44717"/>
      <c r="EH44717"/>
      <c r="EI44717"/>
      <c r="EJ44717"/>
      <c r="EK44717"/>
    </row>
    <row r="44718" spans="1:141" s="116" customFormat="1">
      <c r="A44718" s="136"/>
      <c r="CM44718" s="111"/>
      <c r="CQ44718" s="111"/>
      <c r="EF44718"/>
      <c r="EG44718"/>
      <c r="EH44718"/>
      <c r="EI44718"/>
      <c r="EJ44718"/>
      <c r="EK44718"/>
    </row>
    <row r="44719" spans="1:141" s="116" customFormat="1">
      <c r="A44719" s="136"/>
      <c r="CM44719" s="111"/>
      <c r="CQ44719" s="111"/>
      <c r="EF44719"/>
      <c r="EG44719"/>
      <c r="EH44719"/>
      <c r="EI44719"/>
      <c r="EJ44719"/>
      <c r="EK44719"/>
    </row>
    <row r="44720" spans="1:141" s="116" customFormat="1">
      <c r="A44720" s="136"/>
      <c r="CM44720" s="111"/>
      <c r="CQ44720" s="111"/>
      <c r="EF44720"/>
      <c r="EG44720"/>
      <c r="EH44720"/>
      <c r="EI44720"/>
      <c r="EJ44720"/>
      <c r="EK44720"/>
    </row>
    <row r="44721" spans="1:141" s="116" customFormat="1">
      <c r="A44721" s="136"/>
      <c r="CM44721" s="111"/>
      <c r="CQ44721" s="111"/>
      <c r="EF44721"/>
      <c r="EG44721"/>
      <c r="EH44721"/>
      <c r="EI44721"/>
      <c r="EJ44721"/>
      <c r="EK44721"/>
    </row>
    <row r="44722" spans="1:141" s="116" customFormat="1">
      <c r="A44722" s="136"/>
      <c r="CM44722" s="111"/>
      <c r="CQ44722" s="111"/>
      <c r="EF44722"/>
      <c r="EG44722"/>
      <c r="EH44722"/>
      <c r="EI44722"/>
      <c r="EJ44722"/>
      <c r="EK44722"/>
    </row>
    <row r="44723" spans="1:141" s="116" customFormat="1">
      <c r="A44723" s="136"/>
      <c r="CM44723" s="111"/>
      <c r="CQ44723" s="111"/>
      <c r="EF44723"/>
      <c r="EG44723"/>
      <c r="EH44723"/>
      <c r="EI44723"/>
      <c r="EJ44723"/>
      <c r="EK44723"/>
    </row>
    <row r="44724" spans="1:141" s="116" customFormat="1">
      <c r="A44724" s="136"/>
      <c r="CM44724" s="111"/>
      <c r="CQ44724" s="111"/>
      <c r="EF44724"/>
      <c r="EG44724"/>
      <c r="EH44724"/>
      <c r="EI44724"/>
      <c r="EJ44724"/>
      <c r="EK44724"/>
    </row>
    <row r="44725" spans="1:141" s="116" customFormat="1">
      <c r="A44725" s="136"/>
      <c r="CM44725" s="111"/>
      <c r="CQ44725" s="111"/>
      <c r="EF44725"/>
      <c r="EG44725"/>
      <c r="EH44725"/>
      <c r="EI44725"/>
      <c r="EJ44725"/>
      <c r="EK44725"/>
    </row>
    <row r="44726" spans="1:141" s="116" customFormat="1">
      <c r="A44726" s="136"/>
      <c r="CM44726" s="111"/>
      <c r="CQ44726" s="111"/>
      <c r="EF44726"/>
      <c r="EG44726"/>
      <c r="EH44726"/>
      <c r="EI44726"/>
      <c r="EJ44726"/>
      <c r="EK44726"/>
    </row>
    <row r="44727" spans="1:141" s="116" customFormat="1">
      <c r="A44727" s="136"/>
      <c r="CM44727" s="111"/>
      <c r="CQ44727" s="111"/>
      <c r="EF44727"/>
      <c r="EG44727"/>
      <c r="EH44727"/>
      <c r="EI44727"/>
      <c r="EJ44727"/>
      <c r="EK44727"/>
    </row>
    <row r="44728" spans="1:141" s="116" customFormat="1">
      <c r="A44728" s="136"/>
      <c r="CM44728" s="111"/>
      <c r="CQ44728" s="111"/>
      <c r="EF44728"/>
      <c r="EG44728"/>
      <c r="EH44728"/>
      <c r="EI44728"/>
      <c r="EJ44728"/>
      <c r="EK44728"/>
    </row>
    <row r="44729" spans="1:141" s="116" customFormat="1">
      <c r="A44729" s="136"/>
      <c r="CM44729" s="111"/>
      <c r="CQ44729" s="111"/>
      <c r="EF44729"/>
      <c r="EG44729"/>
      <c r="EH44729"/>
      <c r="EI44729"/>
      <c r="EJ44729"/>
      <c r="EK44729"/>
    </row>
    <row r="44730" spans="1:141" s="116" customFormat="1">
      <c r="A44730" s="136"/>
      <c r="CM44730" s="111"/>
      <c r="CQ44730" s="111"/>
      <c r="EF44730"/>
      <c r="EG44730"/>
      <c r="EH44730"/>
      <c r="EI44730"/>
      <c r="EJ44730"/>
      <c r="EK44730"/>
    </row>
    <row r="44731" spans="1:141" s="116" customFormat="1">
      <c r="A44731" s="136"/>
      <c r="CM44731" s="111"/>
      <c r="CQ44731" s="111"/>
      <c r="EF44731"/>
      <c r="EG44731"/>
      <c r="EH44731"/>
      <c r="EI44731"/>
      <c r="EJ44731"/>
      <c r="EK44731"/>
    </row>
    <row r="44732" spans="1:141" s="116" customFormat="1">
      <c r="A44732" s="136"/>
      <c r="CM44732" s="111"/>
      <c r="CQ44732" s="111"/>
      <c r="EF44732"/>
      <c r="EG44732"/>
      <c r="EH44732"/>
      <c r="EI44732"/>
      <c r="EJ44732"/>
      <c r="EK44732"/>
    </row>
    <row r="44733" spans="1:141" s="116" customFormat="1">
      <c r="A44733" s="136"/>
      <c r="CM44733" s="111"/>
      <c r="CQ44733" s="111"/>
      <c r="EF44733"/>
      <c r="EG44733"/>
      <c r="EH44733"/>
      <c r="EI44733"/>
      <c r="EJ44733"/>
      <c r="EK44733"/>
    </row>
    <row r="44734" spans="1:141" s="116" customFormat="1">
      <c r="A44734" s="136"/>
      <c r="CM44734" s="111"/>
      <c r="CQ44734" s="111"/>
      <c r="EF44734"/>
      <c r="EG44734"/>
      <c r="EH44734"/>
      <c r="EI44734"/>
      <c r="EJ44734"/>
      <c r="EK44734"/>
    </row>
    <row r="44735" spans="1:141" s="116" customFormat="1">
      <c r="A44735" s="136"/>
      <c r="CM44735" s="111"/>
      <c r="CQ44735" s="111"/>
      <c r="EF44735"/>
      <c r="EG44735"/>
      <c r="EH44735"/>
      <c r="EI44735"/>
      <c r="EJ44735"/>
      <c r="EK44735"/>
    </row>
    <row r="44736" spans="1:141" s="116" customFormat="1">
      <c r="A44736" s="136"/>
      <c r="CM44736" s="111"/>
      <c r="CQ44736" s="111"/>
      <c r="EF44736"/>
      <c r="EG44736"/>
      <c r="EH44736"/>
      <c r="EI44736"/>
      <c r="EJ44736"/>
      <c r="EK44736"/>
    </row>
    <row r="44737" spans="1:141" s="116" customFormat="1">
      <c r="A44737" s="136"/>
      <c r="CM44737" s="111"/>
      <c r="CQ44737" s="111"/>
      <c r="EF44737"/>
      <c r="EG44737"/>
      <c r="EH44737"/>
      <c r="EI44737"/>
      <c r="EJ44737"/>
      <c r="EK44737"/>
    </row>
    <row r="44738" spans="1:141" s="116" customFormat="1">
      <c r="A44738" s="136"/>
      <c r="CM44738" s="111"/>
      <c r="CQ44738" s="111"/>
      <c r="EF44738"/>
      <c r="EG44738"/>
      <c r="EH44738"/>
      <c r="EI44738"/>
      <c r="EJ44738"/>
      <c r="EK44738"/>
    </row>
    <row r="44739" spans="1:141" s="116" customFormat="1">
      <c r="A44739" s="136"/>
      <c r="CM44739" s="111"/>
      <c r="CQ44739" s="111"/>
      <c r="EF44739"/>
      <c r="EG44739"/>
      <c r="EH44739"/>
      <c r="EI44739"/>
      <c r="EJ44739"/>
      <c r="EK44739"/>
    </row>
    <row r="44740" spans="1:141" s="116" customFormat="1">
      <c r="A44740" s="136"/>
      <c r="CM44740" s="111"/>
      <c r="CQ44740" s="111"/>
      <c r="EF44740"/>
      <c r="EG44740"/>
      <c r="EH44740"/>
      <c r="EI44740"/>
      <c r="EJ44740"/>
      <c r="EK44740"/>
    </row>
    <row r="44741" spans="1:141" s="116" customFormat="1">
      <c r="A44741" s="136"/>
      <c r="CM44741" s="111"/>
      <c r="CQ44741" s="111"/>
      <c r="EF44741"/>
      <c r="EG44741"/>
      <c r="EH44741"/>
      <c r="EI44741"/>
      <c r="EJ44741"/>
      <c r="EK44741"/>
    </row>
    <row r="44742" spans="1:141" s="116" customFormat="1">
      <c r="A44742" s="136"/>
      <c r="CM44742" s="111"/>
      <c r="CQ44742" s="111"/>
      <c r="EF44742"/>
      <c r="EG44742"/>
      <c r="EH44742"/>
      <c r="EI44742"/>
      <c r="EJ44742"/>
      <c r="EK44742"/>
    </row>
    <row r="44743" spans="1:141" s="116" customFormat="1">
      <c r="A44743" s="136"/>
      <c r="CM44743" s="111"/>
      <c r="CQ44743" s="111"/>
      <c r="EF44743"/>
      <c r="EG44743"/>
      <c r="EH44743"/>
      <c r="EI44743"/>
      <c r="EJ44743"/>
      <c r="EK44743"/>
    </row>
    <row r="44744" spans="1:141" s="116" customFormat="1">
      <c r="A44744" s="136"/>
      <c r="CM44744" s="111"/>
      <c r="CQ44744" s="111"/>
      <c r="EF44744"/>
      <c r="EG44744"/>
      <c r="EH44744"/>
      <c r="EI44744"/>
      <c r="EJ44744"/>
      <c r="EK44744"/>
    </row>
    <row r="44745" spans="1:141" s="116" customFormat="1">
      <c r="A44745" s="136"/>
      <c r="CM44745" s="111"/>
      <c r="CQ44745" s="111"/>
      <c r="EF44745"/>
      <c r="EG44745"/>
      <c r="EH44745"/>
      <c r="EI44745"/>
      <c r="EJ44745"/>
      <c r="EK44745"/>
    </row>
    <row r="44746" spans="1:141" s="116" customFormat="1">
      <c r="A44746" s="136"/>
      <c r="CM44746" s="111"/>
      <c r="CQ44746" s="111"/>
      <c r="EF44746"/>
      <c r="EG44746"/>
      <c r="EH44746"/>
      <c r="EI44746"/>
      <c r="EJ44746"/>
      <c r="EK44746"/>
    </row>
    <row r="44747" spans="1:141" s="116" customFormat="1">
      <c r="A44747" s="136"/>
      <c r="CM44747" s="111"/>
      <c r="CQ44747" s="111"/>
      <c r="EF44747"/>
      <c r="EG44747"/>
      <c r="EH44747"/>
      <c r="EI44747"/>
      <c r="EJ44747"/>
      <c r="EK44747"/>
    </row>
    <row r="44748" spans="1:141" s="116" customFormat="1">
      <c r="A44748" s="136"/>
      <c r="CM44748" s="111"/>
      <c r="CQ44748" s="111"/>
      <c r="EF44748"/>
      <c r="EG44748"/>
      <c r="EH44748"/>
      <c r="EI44748"/>
      <c r="EJ44748"/>
      <c r="EK44748"/>
    </row>
    <row r="44749" spans="1:141" s="116" customFormat="1">
      <c r="A44749" s="136"/>
      <c r="CM44749" s="111"/>
      <c r="CQ44749" s="111"/>
      <c r="EF44749"/>
      <c r="EG44749"/>
      <c r="EH44749"/>
      <c r="EI44749"/>
      <c r="EJ44749"/>
      <c r="EK44749"/>
    </row>
    <row r="44750" spans="1:141" s="116" customFormat="1">
      <c r="A44750" s="136"/>
      <c r="CM44750" s="111"/>
      <c r="CQ44750" s="111"/>
      <c r="EF44750"/>
      <c r="EG44750"/>
      <c r="EH44750"/>
      <c r="EI44750"/>
      <c r="EJ44750"/>
      <c r="EK44750"/>
    </row>
    <row r="44751" spans="1:141" s="116" customFormat="1">
      <c r="A44751" s="136"/>
      <c r="CM44751" s="111"/>
      <c r="CQ44751" s="111"/>
      <c r="EF44751"/>
      <c r="EG44751"/>
      <c r="EH44751"/>
      <c r="EI44751"/>
      <c r="EJ44751"/>
      <c r="EK44751"/>
    </row>
    <row r="44752" spans="1:141" s="116" customFormat="1">
      <c r="A44752" s="136"/>
      <c r="CM44752" s="111"/>
      <c r="CQ44752" s="111"/>
      <c r="EF44752"/>
      <c r="EG44752"/>
      <c r="EH44752"/>
      <c r="EI44752"/>
      <c r="EJ44752"/>
      <c r="EK44752"/>
    </row>
    <row r="44753" spans="1:141" s="116" customFormat="1">
      <c r="A44753" s="136"/>
      <c r="CM44753" s="111"/>
      <c r="CQ44753" s="111"/>
      <c r="EF44753"/>
      <c r="EG44753"/>
      <c r="EH44753"/>
      <c r="EI44753"/>
      <c r="EJ44753"/>
      <c r="EK44753"/>
    </row>
    <row r="44754" spans="1:141" s="116" customFormat="1">
      <c r="A44754" s="136"/>
      <c r="CM44754" s="111"/>
      <c r="CQ44754" s="111"/>
      <c r="EF44754"/>
      <c r="EG44754"/>
      <c r="EH44754"/>
      <c r="EI44754"/>
      <c r="EJ44754"/>
      <c r="EK44754"/>
    </row>
    <row r="44755" spans="1:141" s="116" customFormat="1">
      <c r="A44755" s="136"/>
      <c r="CM44755" s="111"/>
      <c r="CQ44755" s="111"/>
      <c r="EF44755"/>
      <c r="EG44755"/>
      <c r="EH44755"/>
      <c r="EI44755"/>
      <c r="EJ44755"/>
      <c r="EK44755"/>
    </row>
    <row r="44756" spans="1:141" s="116" customFormat="1">
      <c r="A44756" s="136"/>
      <c r="CM44756" s="111"/>
      <c r="CQ44756" s="111"/>
      <c r="EF44756"/>
      <c r="EG44756"/>
      <c r="EH44756"/>
      <c r="EI44756"/>
      <c r="EJ44756"/>
      <c r="EK44756"/>
    </row>
    <row r="44757" spans="1:141" s="116" customFormat="1">
      <c r="A44757" s="136"/>
      <c r="CM44757" s="111"/>
      <c r="CQ44757" s="111"/>
      <c r="EF44757"/>
      <c r="EG44757"/>
      <c r="EH44757"/>
      <c r="EI44757"/>
      <c r="EJ44757"/>
      <c r="EK44757"/>
    </row>
    <row r="44758" spans="1:141" s="116" customFormat="1">
      <c r="A44758" s="136"/>
      <c r="CM44758" s="111"/>
      <c r="CQ44758" s="111"/>
      <c r="EF44758"/>
      <c r="EG44758"/>
      <c r="EH44758"/>
      <c r="EI44758"/>
      <c r="EJ44758"/>
      <c r="EK44758"/>
    </row>
    <row r="44759" spans="1:141" s="116" customFormat="1">
      <c r="A44759" s="136"/>
      <c r="CM44759" s="111"/>
      <c r="CQ44759" s="111"/>
      <c r="EF44759"/>
      <c r="EG44759"/>
      <c r="EH44759"/>
      <c r="EI44759"/>
      <c r="EJ44759"/>
      <c r="EK44759"/>
    </row>
    <row r="44760" spans="1:141" s="116" customFormat="1">
      <c r="A44760" s="136"/>
      <c r="CM44760" s="111"/>
      <c r="CQ44760" s="111"/>
      <c r="EF44760"/>
      <c r="EG44760"/>
      <c r="EH44760"/>
      <c r="EI44760"/>
      <c r="EJ44760"/>
      <c r="EK44760"/>
    </row>
    <row r="44761" spans="1:141" s="116" customFormat="1">
      <c r="A44761" s="136"/>
      <c r="CM44761" s="111"/>
      <c r="CQ44761" s="111"/>
      <c r="EF44761"/>
      <c r="EG44761"/>
      <c r="EH44761"/>
      <c r="EI44761"/>
      <c r="EJ44761"/>
      <c r="EK44761"/>
    </row>
    <row r="44762" spans="1:141" s="116" customFormat="1">
      <c r="A44762" s="136"/>
      <c r="CM44762" s="111"/>
      <c r="CQ44762" s="111"/>
      <c r="EF44762"/>
      <c r="EG44762"/>
      <c r="EH44762"/>
      <c r="EI44762"/>
      <c r="EJ44762"/>
      <c r="EK44762"/>
    </row>
    <row r="44763" spans="1:141" s="116" customFormat="1">
      <c r="A44763" s="136"/>
      <c r="CM44763" s="111"/>
      <c r="CQ44763" s="111"/>
      <c r="EF44763"/>
      <c r="EG44763"/>
      <c r="EH44763"/>
      <c r="EI44763"/>
      <c r="EJ44763"/>
      <c r="EK44763"/>
    </row>
    <row r="44764" spans="1:141" s="116" customFormat="1">
      <c r="A44764" s="136"/>
      <c r="CM44764" s="111"/>
      <c r="CQ44764" s="111"/>
      <c r="EF44764"/>
      <c r="EG44764"/>
      <c r="EH44764"/>
      <c r="EI44764"/>
      <c r="EJ44764"/>
      <c r="EK44764"/>
    </row>
    <row r="44765" spans="1:141" s="116" customFormat="1">
      <c r="A44765" s="136"/>
      <c r="CM44765" s="111"/>
      <c r="CQ44765" s="111"/>
      <c r="EF44765"/>
      <c r="EG44765"/>
      <c r="EH44765"/>
      <c r="EI44765"/>
      <c r="EJ44765"/>
      <c r="EK44765"/>
    </row>
    <row r="44766" spans="1:141" s="116" customFormat="1">
      <c r="A44766" s="136"/>
      <c r="CM44766" s="111"/>
      <c r="CQ44766" s="111"/>
      <c r="EF44766"/>
      <c r="EG44766"/>
      <c r="EH44766"/>
      <c r="EI44766"/>
      <c r="EJ44766"/>
      <c r="EK44766"/>
    </row>
    <row r="44767" spans="1:141" s="116" customFormat="1">
      <c r="A44767" s="136"/>
      <c r="CM44767" s="111"/>
      <c r="CQ44767" s="111"/>
      <c r="EF44767"/>
      <c r="EG44767"/>
      <c r="EH44767"/>
      <c r="EI44767"/>
      <c r="EJ44767"/>
      <c r="EK44767"/>
    </row>
    <row r="44768" spans="1:141" s="116" customFormat="1">
      <c r="A44768" s="136"/>
      <c r="CM44768" s="111"/>
      <c r="CQ44768" s="111"/>
      <c r="EF44768"/>
      <c r="EG44768"/>
      <c r="EH44768"/>
      <c r="EI44768"/>
      <c r="EJ44768"/>
      <c r="EK44768"/>
    </row>
    <row r="44769" spans="1:141" s="116" customFormat="1">
      <c r="A44769" s="136"/>
      <c r="CM44769" s="111"/>
      <c r="CQ44769" s="111"/>
      <c r="EF44769"/>
      <c r="EG44769"/>
      <c r="EH44769"/>
      <c r="EI44769"/>
      <c r="EJ44769"/>
      <c r="EK44769"/>
    </row>
    <row r="44770" spans="1:141" s="116" customFormat="1">
      <c r="A44770" s="136"/>
      <c r="CM44770" s="111"/>
      <c r="CQ44770" s="111"/>
      <c r="EF44770"/>
      <c r="EG44770"/>
      <c r="EH44770"/>
      <c r="EI44770"/>
      <c r="EJ44770"/>
      <c r="EK44770"/>
    </row>
    <row r="44771" spans="1:141" s="116" customFormat="1">
      <c r="A44771" s="136"/>
      <c r="CM44771" s="111"/>
      <c r="CQ44771" s="111"/>
      <c r="EF44771"/>
      <c r="EG44771"/>
      <c r="EH44771"/>
      <c r="EI44771"/>
      <c r="EJ44771"/>
      <c r="EK44771"/>
    </row>
    <row r="44772" spans="1:141" s="116" customFormat="1">
      <c r="A44772" s="136"/>
      <c r="CM44772" s="111"/>
      <c r="CQ44772" s="111"/>
      <c r="EF44772"/>
      <c r="EG44772"/>
      <c r="EH44772"/>
      <c r="EI44772"/>
      <c r="EJ44772"/>
      <c r="EK44772"/>
    </row>
    <row r="44773" spans="1:141" s="116" customFormat="1">
      <c r="A44773" s="136"/>
      <c r="CM44773" s="111"/>
      <c r="CQ44773" s="111"/>
      <c r="EF44773"/>
      <c r="EG44773"/>
      <c r="EH44773"/>
      <c r="EI44773"/>
      <c r="EJ44773"/>
      <c r="EK44773"/>
    </row>
    <row r="44774" spans="1:141" s="116" customFormat="1">
      <c r="A44774" s="136"/>
      <c r="CM44774" s="111"/>
      <c r="CQ44774" s="111"/>
      <c r="EF44774"/>
      <c r="EG44774"/>
      <c r="EH44774"/>
      <c r="EI44774"/>
      <c r="EJ44774"/>
      <c r="EK44774"/>
    </row>
    <row r="44775" spans="1:141" s="116" customFormat="1">
      <c r="A44775" s="136"/>
      <c r="CM44775" s="111"/>
      <c r="CQ44775" s="111"/>
      <c r="EF44775"/>
      <c r="EG44775"/>
      <c r="EH44775"/>
      <c r="EI44775"/>
      <c r="EJ44775"/>
      <c r="EK44775"/>
    </row>
    <row r="44776" spans="1:141" s="116" customFormat="1">
      <c r="A44776" s="136"/>
      <c r="CM44776" s="111"/>
      <c r="CQ44776" s="111"/>
      <c r="EF44776"/>
      <c r="EG44776"/>
      <c r="EH44776"/>
      <c r="EI44776"/>
      <c r="EJ44776"/>
      <c r="EK44776"/>
    </row>
    <row r="44777" spans="1:141" s="116" customFormat="1">
      <c r="A44777" s="136"/>
      <c r="CM44777" s="111"/>
      <c r="CQ44777" s="111"/>
      <c r="EF44777"/>
      <c r="EG44777"/>
      <c r="EH44777"/>
      <c r="EI44777"/>
      <c r="EJ44777"/>
      <c r="EK44777"/>
    </row>
    <row r="44778" spans="1:141" s="116" customFormat="1">
      <c r="A44778" s="136"/>
      <c r="CM44778" s="111"/>
      <c r="CQ44778" s="111"/>
      <c r="EF44778"/>
      <c r="EG44778"/>
      <c r="EH44778"/>
      <c r="EI44778"/>
      <c r="EJ44778"/>
      <c r="EK44778"/>
    </row>
    <row r="44779" spans="1:141" s="116" customFormat="1">
      <c r="A44779" s="136"/>
      <c r="CM44779" s="111"/>
      <c r="CQ44779" s="111"/>
      <c r="EF44779"/>
      <c r="EG44779"/>
      <c r="EH44779"/>
      <c r="EI44779"/>
      <c r="EJ44779"/>
      <c r="EK44779"/>
    </row>
    <row r="44780" spans="1:141" s="116" customFormat="1">
      <c r="A44780" s="136"/>
      <c r="CM44780" s="111"/>
      <c r="CQ44780" s="111"/>
      <c r="EF44780"/>
      <c r="EG44780"/>
      <c r="EH44780"/>
      <c r="EI44780"/>
      <c r="EJ44780"/>
      <c r="EK44780"/>
    </row>
    <row r="44781" spans="1:141" s="116" customFormat="1">
      <c r="A44781" s="136"/>
      <c r="CM44781" s="111"/>
      <c r="CQ44781" s="111"/>
      <c r="EF44781"/>
      <c r="EG44781"/>
      <c r="EH44781"/>
      <c r="EI44781"/>
      <c r="EJ44781"/>
      <c r="EK44781"/>
    </row>
    <row r="44782" spans="1:141" s="116" customFormat="1">
      <c r="A44782" s="136"/>
      <c r="CM44782" s="111"/>
      <c r="CQ44782" s="111"/>
      <c r="EF44782"/>
      <c r="EG44782"/>
      <c r="EH44782"/>
      <c r="EI44782"/>
      <c r="EJ44782"/>
      <c r="EK44782"/>
    </row>
    <row r="44783" spans="1:141" s="116" customFormat="1">
      <c r="A44783" s="136"/>
      <c r="CM44783" s="111"/>
      <c r="CQ44783" s="111"/>
      <c r="EF44783"/>
      <c r="EG44783"/>
      <c r="EH44783"/>
      <c r="EI44783"/>
      <c r="EJ44783"/>
      <c r="EK44783"/>
    </row>
    <row r="44784" spans="1:141" s="116" customFormat="1">
      <c r="A44784" s="136"/>
      <c r="CM44784" s="111"/>
      <c r="CQ44784" s="111"/>
      <c r="EF44784"/>
      <c r="EG44784"/>
      <c r="EH44784"/>
      <c r="EI44784"/>
      <c r="EJ44784"/>
      <c r="EK44784"/>
    </row>
    <row r="44785" spans="1:141" s="116" customFormat="1">
      <c r="A44785" s="136"/>
      <c r="CM44785" s="111"/>
      <c r="CQ44785" s="111"/>
      <c r="EF44785"/>
      <c r="EG44785"/>
      <c r="EH44785"/>
      <c r="EI44785"/>
      <c r="EJ44785"/>
      <c r="EK44785"/>
    </row>
    <row r="44786" spans="1:141" s="116" customFormat="1">
      <c r="A44786" s="136"/>
      <c r="CM44786" s="111"/>
      <c r="CQ44786" s="111"/>
      <c r="EF44786"/>
      <c r="EG44786"/>
      <c r="EH44786"/>
      <c r="EI44786"/>
      <c r="EJ44786"/>
      <c r="EK44786"/>
    </row>
    <row r="44787" spans="1:141" s="116" customFormat="1">
      <c r="A44787" s="136"/>
      <c r="CM44787" s="111"/>
      <c r="CQ44787" s="111"/>
      <c r="EF44787"/>
      <c r="EG44787"/>
      <c r="EH44787"/>
      <c r="EI44787"/>
      <c r="EJ44787"/>
      <c r="EK44787"/>
    </row>
    <row r="44788" spans="1:141" s="116" customFormat="1">
      <c r="A44788" s="136"/>
      <c r="CM44788" s="111"/>
      <c r="CQ44788" s="111"/>
      <c r="EF44788"/>
      <c r="EG44788"/>
      <c r="EH44788"/>
      <c r="EI44788"/>
      <c r="EJ44788"/>
      <c r="EK44788"/>
    </row>
    <row r="44789" spans="1:141" s="116" customFormat="1">
      <c r="A44789" s="136"/>
      <c r="CM44789" s="111"/>
      <c r="CQ44789" s="111"/>
      <c r="EF44789"/>
      <c r="EG44789"/>
      <c r="EH44789"/>
      <c r="EI44789"/>
      <c r="EJ44789"/>
      <c r="EK44789"/>
    </row>
    <row r="44790" spans="1:141" s="116" customFormat="1">
      <c r="A44790" s="136"/>
      <c r="CM44790" s="111"/>
      <c r="CQ44790" s="111"/>
      <c r="EF44790"/>
      <c r="EG44790"/>
      <c r="EH44790"/>
      <c r="EI44790"/>
      <c r="EJ44790"/>
      <c r="EK44790"/>
    </row>
    <row r="44791" spans="1:141" s="116" customFormat="1">
      <c r="A44791" s="136"/>
      <c r="CM44791" s="111"/>
      <c r="CQ44791" s="111"/>
      <c r="EF44791"/>
      <c r="EG44791"/>
      <c r="EH44791"/>
      <c r="EI44791"/>
      <c r="EJ44791"/>
      <c r="EK44791"/>
    </row>
    <row r="44792" spans="1:141" s="116" customFormat="1">
      <c r="A44792" s="136"/>
      <c r="CM44792" s="111"/>
      <c r="CQ44792" s="111"/>
      <c r="EF44792"/>
      <c r="EG44792"/>
      <c r="EH44792"/>
      <c r="EI44792"/>
      <c r="EJ44792"/>
      <c r="EK44792"/>
    </row>
    <row r="44793" spans="1:141" s="116" customFormat="1">
      <c r="A44793" s="136"/>
      <c r="CM44793" s="111"/>
      <c r="CQ44793" s="111"/>
      <c r="EF44793"/>
      <c r="EG44793"/>
      <c r="EH44793"/>
      <c r="EI44793"/>
      <c r="EJ44793"/>
      <c r="EK44793"/>
    </row>
    <row r="44794" spans="1:141" s="116" customFormat="1">
      <c r="A44794" s="136"/>
      <c r="CM44794" s="111"/>
      <c r="CQ44794" s="111"/>
      <c r="EF44794"/>
      <c r="EG44794"/>
      <c r="EH44794"/>
      <c r="EI44794"/>
      <c r="EJ44794"/>
      <c r="EK44794"/>
    </row>
    <row r="44795" spans="1:141" s="116" customFormat="1">
      <c r="A44795" s="136"/>
      <c r="CM44795" s="111"/>
      <c r="CQ44795" s="111"/>
      <c r="EF44795"/>
      <c r="EG44795"/>
      <c r="EH44795"/>
      <c r="EI44795"/>
      <c r="EJ44795"/>
      <c r="EK44795"/>
    </row>
    <row r="44796" spans="1:141" s="116" customFormat="1">
      <c r="A44796" s="136"/>
      <c r="CM44796" s="111"/>
      <c r="CQ44796" s="111"/>
      <c r="EF44796"/>
      <c r="EG44796"/>
      <c r="EH44796"/>
      <c r="EI44796"/>
      <c r="EJ44796"/>
      <c r="EK44796"/>
    </row>
    <row r="44797" spans="1:141" s="116" customFormat="1">
      <c r="A44797" s="136"/>
      <c r="CM44797" s="111"/>
      <c r="CQ44797" s="111"/>
      <c r="EF44797"/>
      <c r="EG44797"/>
      <c r="EH44797"/>
      <c r="EI44797"/>
      <c r="EJ44797"/>
      <c r="EK44797"/>
    </row>
    <row r="44798" spans="1:141" s="116" customFormat="1">
      <c r="A44798" s="136"/>
      <c r="CM44798" s="111"/>
      <c r="CQ44798" s="111"/>
      <c r="EF44798"/>
      <c r="EG44798"/>
      <c r="EH44798"/>
      <c r="EI44798"/>
      <c r="EJ44798"/>
      <c r="EK44798"/>
    </row>
    <row r="44799" spans="1:141" s="116" customFormat="1">
      <c r="A44799" s="136"/>
      <c r="CM44799" s="111"/>
      <c r="CQ44799" s="111"/>
      <c r="EF44799"/>
      <c r="EG44799"/>
      <c r="EH44799"/>
      <c r="EI44799"/>
      <c r="EJ44799"/>
      <c r="EK44799"/>
    </row>
    <row r="44800" spans="1:141" s="116" customFormat="1">
      <c r="A44800" s="136"/>
      <c r="CM44800" s="111"/>
      <c r="CQ44800" s="111"/>
      <c r="EF44800"/>
      <c r="EG44800"/>
      <c r="EH44800"/>
      <c r="EI44800"/>
      <c r="EJ44800"/>
      <c r="EK44800"/>
    </row>
    <row r="44801" spans="1:141" s="116" customFormat="1">
      <c r="A44801" s="136"/>
      <c r="CM44801" s="111"/>
      <c r="CQ44801" s="111"/>
      <c r="EF44801"/>
      <c r="EG44801"/>
      <c r="EH44801"/>
      <c r="EI44801"/>
      <c r="EJ44801"/>
      <c r="EK44801"/>
    </row>
    <row r="44802" spans="1:141" s="116" customFormat="1">
      <c r="A44802" s="136"/>
      <c r="CM44802" s="111"/>
      <c r="CQ44802" s="111"/>
      <c r="EF44802"/>
      <c r="EG44802"/>
      <c r="EH44802"/>
      <c r="EI44802"/>
      <c r="EJ44802"/>
      <c r="EK44802"/>
    </row>
    <row r="44803" spans="1:141" s="116" customFormat="1">
      <c r="A44803" s="136"/>
      <c r="CM44803" s="111"/>
      <c r="CQ44803" s="111"/>
      <c r="EF44803"/>
      <c r="EG44803"/>
      <c r="EH44803"/>
      <c r="EI44803"/>
      <c r="EJ44803"/>
      <c r="EK44803"/>
    </row>
    <row r="44804" spans="1:141" s="116" customFormat="1">
      <c r="A44804" s="136"/>
      <c r="CM44804" s="111"/>
      <c r="CQ44804" s="111"/>
      <c r="EF44804"/>
      <c r="EG44804"/>
      <c r="EH44804"/>
      <c r="EI44804"/>
      <c r="EJ44804"/>
      <c r="EK44804"/>
    </row>
    <row r="44805" spans="1:141" s="116" customFormat="1">
      <c r="A44805" s="136"/>
      <c r="CM44805" s="111"/>
      <c r="CQ44805" s="111"/>
      <c r="EF44805"/>
      <c r="EG44805"/>
      <c r="EH44805"/>
      <c r="EI44805"/>
      <c r="EJ44805"/>
      <c r="EK44805"/>
    </row>
    <row r="44806" spans="1:141" s="116" customFormat="1">
      <c r="A44806" s="136"/>
      <c r="CM44806" s="111"/>
      <c r="CQ44806" s="111"/>
      <c r="EF44806"/>
      <c r="EG44806"/>
      <c r="EH44806"/>
      <c r="EI44806"/>
      <c r="EJ44806"/>
      <c r="EK44806"/>
    </row>
    <row r="44807" spans="1:141" s="116" customFormat="1">
      <c r="A44807" s="136"/>
      <c r="CM44807" s="111"/>
      <c r="CQ44807" s="111"/>
      <c r="EF44807"/>
      <c r="EG44807"/>
      <c r="EH44807"/>
      <c r="EI44807"/>
      <c r="EJ44807"/>
      <c r="EK44807"/>
    </row>
    <row r="44808" spans="1:141" s="116" customFormat="1">
      <c r="A44808" s="136"/>
      <c r="CM44808" s="111"/>
      <c r="CQ44808" s="111"/>
      <c r="EF44808"/>
      <c r="EG44808"/>
      <c r="EH44808"/>
      <c r="EI44808"/>
      <c r="EJ44808"/>
      <c r="EK44808"/>
    </row>
    <row r="44809" spans="1:141" s="116" customFormat="1">
      <c r="A44809" s="136"/>
      <c r="CM44809" s="111"/>
      <c r="CQ44809" s="111"/>
      <c r="EF44809"/>
      <c r="EG44809"/>
      <c r="EH44809"/>
      <c r="EI44809"/>
      <c r="EJ44809"/>
      <c r="EK44809"/>
    </row>
    <row r="44810" spans="1:141" s="116" customFormat="1">
      <c r="A44810" s="136"/>
      <c r="CM44810" s="111"/>
      <c r="CQ44810" s="111"/>
      <c r="EF44810"/>
      <c r="EG44810"/>
      <c r="EH44810"/>
      <c r="EI44810"/>
      <c r="EJ44810"/>
      <c r="EK44810"/>
    </row>
    <row r="44811" spans="1:141" s="116" customFormat="1">
      <c r="A44811" s="136"/>
      <c r="CM44811" s="111"/>
      <c r="CQ44811" s="111"/>
      <c r="EF44811"/>
      <c r="EG44811"/>
      <c r="EH44811"/>
      <c r="EI44811"/>
      <c r="EJ44811"/>
      <c r="EK44811"/>
    </row>
    <row r="44812" spans="1:141" s="116" customFormat="1">
      <c r="A44812" s="136"/>
      <c r="CM44812" s="111"/>
      <c r="CQ44812" s="111"/>
      <c r="EF44812"/>
      <c r="EG44812"/>
      <c r="EH44812"/>
      <c r="EI44812"/>
      <c r="EJ44812"/>
      <c r="EK44812"/>
    </row>
    <row r="44813" spans="1:141" s="116" customFormat="1">
      <c r="A44813" s="136"/>
      <c r="CM44813" s="111"/>
      <c r="CQ44813" s="111"/>
      <c r="EF44813"/>
      <c r="EG44813"/>
      <c r="EH44813"/>
      <c r="EI44813"/>
      <c r="EJ44813"/>
      <c r="EK44813"/>
    </row>
    <row r="44814" spans="1:141" s="116" customFormat="1">
      <c r="A44814" s="136"/>
      <c r="CM44814" s="111"/>
      <c r="CQ44814" s="111"/>
      <c r="EF44814"/>
      <c r="EG44814"/>
      <c r="EH44814"/>
      <c r="EI44814"/>
      <c r="EJ44814"/>
      <c r="EK44814"/>
    </row>
    <row r="44815" spans="1:141" s="116" customFormat="1">
      <c r="A44815" s="136"/>
      <c r="CM44815" s="111"/>
      <c r="CQ44815" s="111"/>
      <c r="EF44815"/>
      <c r="EG44815"/>
      <c r="EH44815"/>
      <c r="EI44815"/>
      <c r="EJ44815"/>
      <c r="EK44815"/>
    </row>
    <row r="44816" spans="1:141" s="116" customFormat="1">
      <c r="A44816" s="136"/>
      <c r="CM44816" s="111"/>
      <c r="CQ44816" s="111"/>
      <c r="EF44816"/>
      <c r="EG44816"/>
      <c r="EH44816"/>
      <c r="EI44816"/>
      <c r="EJ44816"/>
      <c r="EK44816"/>
    </row>
    <row r="44817" spans="1:141" s="116" customFormat="1">
      <c r="A44817" s="136"/>
      <c r="CM44817" s="111"/>
      <c r="CQ44817" s="111"/>
      <c r="EF44817"/>
      <c r="EG44817"/>
      <c r="EH44817"/>
      <c r="EI44817"/>
      <c r="EJ44817"/>
      <c r="EK44817"/>
    </row>
    <row r="44818" spans="1:141" s="116" customFormat="1">
      <c r="A44818" s="136"/>
      <c r="CM44818" s="111"/>
      <c r="CQ44818" s="111"/>
      <c r="EF44818"/>
      <c r="EG44818"/>
      <c r="EH44818"/>
      <c r="EI44818"/>
      <c r="EJ44818"/>
      <c r="EK44818"/>
    </row>
    <row r="44819" spans="1:141" s="116" customFormat="1">
      <c r="A44819" s="136"/>
      <c r="CM44819" s="111"/>
      <c r="CQ44819" s="111"/>
      <c r="EF44819"/>
      <c r="EG44819"/>
      <c r="EH44819"/>
      <c r="EI44819"/>
      <c r="EJ44819"/>
      <c r="EK44819"/>
    </row>
    <row r="44820" spans="1:141" s="116" customFormat="1">
      <c r="A44820" s="136"/>
      <c r="CM44820" s="111"/>
      <c r="CQ44820" s="111"/>
      <c r="EF44820"/>
      <c r="EG44820"/>
      <c r="EH44820"/>
      <c r="EI44820"/>
      <c r="EJ44820"/>
      <c r="EK44820"/>
    </row>
    <row r="44821" spans="1:141" s="116" customFormat="1">
      <c r="A44821" s="136"/>
      <c r="CM44821" s="111"/>
      <c r="CQ44821" s="111"/>
      <c r="EF44821"/>
      <c r="EG44821"/>
      <c r="EH44821"/>
      <c r="EI44821"/>
      <c r="EJ44821"/>
      <c r="EK44821"/>
    </row>
    <row r="44822" spans="1:141" s="116" customFormat="1">
      <c r="A44822" s="136"/>
      <c r="CM44822" s="111"/>
      <c r="CQ44822" s="111"/>
      <c r="EF44822"/>
      <c r="EG44822"/>
      <c r="EH44822"/>
      <c r="EI44822"/>
      <c r="EJ44822"/>
      <c r="EK44822"/>
    </row>
    <row r="44823" spans="1:141" s="116" customFormat="1">
      <c r="A44823" s="136"/>
      <c r="CM44823" s="111"/>
      <c r="CQ44823" s="111"/>
      <c r="EF44823"/>
      <c r="EG44823"/>
      <c r="EH44823"/>
      <c r="EI44823"/>
      <c r="EJ44823"/>
      <c r="EK44823"/>
    </row>
    <row r="44824" spans="1:141" s="116" customFormat="1">
      <c r="A44824" s="136"/>
      <c r="CM44824" s="111"/>
      <c r="CQ44824" s="111"/>
      <c r="EF44824"/>
      <c r="EG44824"/>
      <c r="EH44824"/>
      <c r="EI44824"/>
      <c r="EJ44824"/>
      <c r="EK44824"/>
    </row>
    <row r="44825" spans="1:141" s="116" customFormat="1">
      <c r="A44825" s="136"/>
      <c r="CM44825" s="111"/>
      <c r="CQ44825" s="111"/>
      <c r="EF44825"/>
      <c r="EG44825"/>
      <c r="EH44825"/>
      <c r="EI44825"/>
      <c r="EJ44825"/>
      <c r="EK44825"/>
    </row>
    <row r="44826" spans="1:141" s="116" customFormat="1">
      <c r="A44826" s="136"/>
      <c r="CM44826" s="111"/>
      <c r="CQ44826" s="111"/>
      <c r="EF44826"/>
      <c r="EG44826"/>
      <c r="EH44826"/>
      <c r="EI44826"/>
      <c r="EJ44826"/>
      <c r="EK44826"/>
    </row>
    <row r="44827" spans="1:141" s="116" customFormat="1">
      <c r="A44827" s="136"/>
      <c r="CM44827" s="111"/>
      <c r="CQ44827" s="111"/>
      <c r="EF44827"/>
      <c r="EG44827"/>
      <c r="EH44827"/>
      <c r="EI44827"/>
      <c r="EJ44827"/>
      <c r="EK44827"/>
    </row>
    <row r="44828" spans="1:141" s="116" customFormat="1">
      <c r="A44828" s="136"/>
      <c r="CM44828" s="111"/>
      <c r="CQ44828" s="111"/>
      <c r="EF44828"/>
      <c r="EG44828"/>
      <c r="EH44828"/>
      <c r="EI44828"/>
      <c r="EJ44828"/>
      <c r="EK44828"/>
    </row>
    <row r="44829" spans="1:141" s="116" customFormat="1">
      <c r="A44829" s="136"/>
      <c r="CM44829" s="111"/>
      <c r="CQ44829" s="111"/>
      <c r="EF44829"/>
      <c r="EG44829"/>
      <c r="EH44829"/>
      <c r="EI44829"/>
      <c r="EJ44829"/>
      <c r="EK44829"/>
    </row>
    <row r="44830" spans="1:141" s="116" customFormat="1">
      <c r="A44830" s="136"/>
      <c r="CM44830" s="111"/>
      <c r="CQ44830" s="111"/>
      <c r="EF44830"/>
      <c r="EG44830"/>
      <c r="EH44830"/>
      <c r="EI44830"/>
      <c r="EJ44830"/>
      <c r="EK44830"/>
    </row>
    <row r="44831" spans="1:141" s="116" customFormat="1">
      <c r="A44831" s="136"/>
      <c r="CM44831" s="111"/>
      <c r="CQ44831" s="111"/>
      <c r="EF44831"/>
      <c r="EG44831"/>
      <c r="EH44831"/>
      <c r="EI44831"/>
      <c r="EJ44831"/>
      <c r="EK44831"/>
    </row>
    <row r="44832" spans="1:141" s="116" customFormat="1">
      <c r="A44832" s="136"/>
      <c r="CM44832" s="111"/>
      <c r="CQ44832" s="111"/>
      <c r="EF44832"/>
      <c r="EG44832"/>
      <c r="EH44832"/>
      <c r="EI44832"/>
      <c r="EJ44832"/>
      <c r="EK44832"/>
    </row>
    <row r="44833" spans="1:141" s="116" customFormat="1">
      <c r="A44833" s="136"/>
      <c r="CM44833" s="111"/>
      <c r="CQ44833" s="111"/>
      <c r="EF44833"/>
      <c r="EG44833"/>
      <c r="EH44833"/>
      <c r="EI44833"/>
      <c r="EJ44833"/>
      <c r="EK44833"/>
    </row>
    <row r="44834" spans="1:141" s="116" customFormat="1">
      <c r="A44834" s="136"/>
      <c r="CM44834" s="111"/>
      <c r="CQ44834" s="111"/>
      <c r="EF44834"/>
      <c r="EG44834"/>
      <c r="EH44834"/>
      <c r="EI44834"/>
      <c r="EJ44834"/>
      <c r="EK44834"/>
    </row>
    <row r="44835" spans="1:141" s="116" customFormat="1">
      <c r="A44835" s="136"/>
      <c r="CM44835" s="111"/>
      <c r="CQ44835" s="111"/>
      <c r="EF44835"/>
      <c r="EG44835"/>
      <c r="EH44835"/>
      <c r="EI44835"/>
      <c r="EJ44835"/>
      <c r="EK44835"/>
    </row>
    <row r="44836" spans="1:141" s="116" customFormat="1">
      <c r="A44836" s="136"/>
      <c r="CM44836" s="111"/>
      <c r="CQ44836" s="111"/>
      <c r="EF44836"/>
      <c r="EG44836"/>
      <c r="EH44836"/>
      <c r="EI44836"/>
      <c r="EJ44836"/>
      <c r="EK44836"/>
    </row>
    <row r="44837" spans="1:141" s="116" customFormat="1">
      <c r="A44837" s="136"/>
      <c r="CM44837" s="111"/>
      <c r="CQ44837" s="111"/>
      <c r="EF44837"/>
      <c r="EG44837"/>
      <c r="EH44837"/>
      <c r="EI44837"/>
      <c r="EJ44837"/>
      <c r="EK44837"/>
    </row>
    <row r="44838" spans="1:141" s="116" customFormat="1">
      <c r="A44838" s="136"/>
      <c r="CM44838" s="111"/>
      <c r="CQ44838" s="111"/>
      <c r="EF44838"/>
      <c r="EG44838"/>
      <c r="EH44838"/>
      <c r="EI44838"/>
      <c r="EJ44838"/>
      <c r="EK44838"/>
    </row>
    <row r="44839" spans="1:141" s="116" customFormat="1">
      <c r="A44839" s="136"/>
      <c r="CM44839" s="111"/>
      <c r="CQ44839" s="111"/>
      <c r="EF44839"/>
      <c r="EG44839"/>
      <c r="EH44839"/>
      <c r="EI44839"/>
      <c r="EJ44839"/>
      <c r="EK44839"/>
    </row>
    <row r="44840" spans="1:141" s="116" customFormat="1">
      <c r="A44840" s="136"/>
      <c r="CM44840" s="111"/>
      <c r="CQ44840" s="111"/>
      <c r="EF44840"/>
      <c r="EG44840"/>
      <c r="EH44840"/>
      <c r="EI44840"/>
      <c r="EJ44840"/>
      <c r="EK44840"/>
    </row>
    <row r="44841" spans="1:141" s="116" customFormat="1">
      <c r="A44841" s="136"/>
      <c r="CM44841" s="111"/>
      <c r="CQ44841" s="111"/>
      <c r="EF44841"/>
      <c r="EG44841"/>
      <c r="EH44841"/>
      <c r="EI44841"/>
      <c r="EJ44841"/>
      <c r="EK44841"/>
    </row>
    <row r="44842" spans="1:141" s="116" customFormat="1">
      <c r="A44842" s="136"/>
      <c r="CM44842" s="111"/>
      <c r="CQ44842" s="111"/>
      <c r="EF44842"/>
      <c r="EG44842"/>
      <c r="EH44842"/>
      <c r="EI44842"/>
      <c r="EJ44842"/>
      <c r="EK44842"/>
    </row>
    <row r="44843" spans="1:141" s="116" customFormat="1">
      <c r="A44843" s="136"/>
      <c r="CM44843" s="111"/>
      <c r="CQ44843" s="111"/>
      <c r="EF44843"/>
      <c r="EG44843"/>
      <c r="EH44843"/>
      <c r="EI44843"/>
      <c r="EJ44843"/>
      <c r="EK44843"/>
    </row>
    <row r="44844" spans="1:141" s="116" customFormat="1">
      <c r="A44844" s="136"/>
      <c r="CM44844" s="111"/>
      <c r="CQ44844" s="111"/>
      <c r="EF44844"/>
      <c r="EG44844"/>
      <c r="EH44844"/>
      <c r="EI44844"/>
      <c r="EJ44844"/>
      <c r="EK44844"/>
    </row>
    <row r="44845" spans="1:141" s="116" customFormat="1">
      <c r="A44845" s="136"/>
      <c r="CM44845" s="111"/>
      <c r="CQ44845" s="111"/>
      <c r="EF44845"/>
      <c r="EG44845"/>
      <c r="EH44845"/>
      <c r="EI44845"/>
      <c r="EJ44845"/>
      <c r="EK44845"/>
    </row>
    <row r="44846" spans="1:141" s="116" customFormat="1">
      <c r="A44846" s="136"/>
      <c r="CM44846" s="111"/>
      <c r="CQ44846" s="111"/>
      <c r="EF44846"/>
      <c r="EG44846"/>
      <c r="EH44846"/>
      <c r="EI44846"/>
      <c r="EJ44846"/>
      <c r="EK44846"/>
    </row>
    <row r="44847" spans="1:141" s="116" customFormat="1">
      <c r="A44847" s="136"/>
      <c r="CM44847" s="111"/>
      <c r="CQ44847" s="111"/>
      <c r="EF44847"/>
      <c r="EG44847"/>
      <c r="EH44847"/>
      <c r="EI44847"/>
      <c r="EJ44847"/>
      <c r="EK44847"/>
    </row>
    <row r="44848" spans="1:141" s="116" customFormat="1">
      <c r="A44848" s="136"/>
      <c r="CM44848" s="111"/>
      <c r="CQ44848" s="111"/>
      <c r="EF44848"/>
      <c r="EG44848"/>
      <c r="EH44848"/>
      <c r="EI44848"/>
      <c r="EJ44848"/>
      <c r="EK44848"/>
    </row>
    <row r="44849" spans="1:141" s="116" customFormat="1">
      <c r="A44849" s="136"/>
      <c r="CM44849" s="111"/>
      <c r="CQ44849" s="111"/>
      <c r="EF44849"/>
      <c r="EG44849"/>
      <c r="EH44849"/>
      <c r="EI44849"/>
      <c r="EJ44849"/>
      <c r="EK44849"/>
    </row>
    <row r="44850" spans="1:141" s="116" customFormat="1">
      <c r="A44850" s="136"/>
      <c r="CM44850" s="111"/>
      <c r="CQ44850" s="111"/>
      <c r="EF44850"/>
      <c r="EG44850"/>
      <c r="EH44850"/>
      <c r="EI44850"/>
      <c r="EJ44850"/>
      <c r="EK44850"/>
    </row>
    <row r="44851" spans="1:141" s="116" customFormat="1">
      <c r="A44851" s="136"/>
      <c r="CM44851" s="111"/>
      <c r="CQ44851" s="111"/>
      <c r="EF44851"/>
      <c r="EG44851"/>
      <c r="EH44851"/>
      <c r="EI44851"/>
      <c r="EJ44851"/>
      <c r="EK44851"/>
    </row>
    <row r="44852" spans="1:141" s="116" customFormat="1">
      <c r="A44852" s="136"/>
      <c r="CM44852" s="111"/>
      <c r="CQ44852" s="111"/>
      <c r="EF44852"/>
      <c r="EG44852"/>
      <c r="EH44852"/>
      <c r="EI44852"/>
      <c r="EJ44852"/>
      <c r="EK44852"/>
    </row>
    <row r="44853" spans="1:141" s="116" customFormat="1">
      <c r="A44853" s="136"/>
      <c r="CM44853" s="111"/>
      <c r="CQ44853" s="111"/>
      <c r="EF44853"/>
      <c r="EG44853"/>
      <c r="EH44853"/>
      <c r="EI44853"/>
      <c r="EJ44853"/>
      <c r="EK44853"/>
    </row>
    <row r="44854" spans="1:141" s="116" customFormat="1">
      <c r="A44854" s="136"/>
      <c r="CM44854" s="111"/>
      <c r="CQ44854" s="111"/>
      <c r="EF44854"/>
      <c r="EG44854"/>
      <c r="EH44854"/>
      <c r="EI44854"/>
      <c r="EJ44854"/>
      <c r="EK44854"/>
    </row>
    <row r="44855" spans="1:141" s="116" customFormat="1">
      <c r="A44855" s="136"/>
      <c r="CM44855" s="111"/>
      <c r="CQ44855" s="111"/>
      <c r="EF44855"/>
      <c r="EG44855"/>
      <c r="EH44855"/>
      <c r="EI44855"/>
      <c r="EJ44855"/>
      <c r="EK44855"/>
    </row>
    <row r="44856" spans="1:141" s="116" customFormat="1">
      <c r="A44856" s="136"/>
      <c r="CM44856" s="111"/>
      <c r="CQ44856" s="111"/>
      <c r="EF44856"/>
      <c r="EG44856"/>
      <c r="EH44856"/>
      <c r="EI44856"/>
      <c r="EJ44856"/>
      <c r="EK44856"/>
    </row>
    <row r="44857" spans="1:141" s="116" customFormat="1">
      <c r="A44857" s="136"/>
      <c r="CM44857" s="111"/>
      <c r="CQ44857" s="111"/>
      <c r="EF44857"/>
      <c r="EG44857"/>
      <c r="EH44857"/>
      <c r="EI44857"/>
      <c r="EJ44857"/>
      <c r="EK44857"/>
    </row>
    <row r="44858" spans="1:141" s="116" customFormat="1">
      <c r="A44858" s="136"/>
      <c r="CM44858" s="111"/>
      <c r="CQ44858" s="111"/>
      <c r="EF44858"/>
      <c r="EG44858"/>
      <c r="EH44858"/>
      <c r="EI44858"/>
      <c r="EJ44858"/>
      <c r="EK44858"/>
    </row>
    <row r="44859" spans="1:141" s="116" customFormat="1">
      <c r="A44859" s="136"/>
      <c r="CM44859" s="111"/>
      <c r="CQ44859" s="111"/>
      <c r="EF44859"/>
      <c r="EG44859"/>
      <c r="EH44859"/>
      <c r="EI44859"/>
      <c r="EJ44859"/>
      <c r="EK44859"/>
    </row>
    <row r="44860" spans="1:141" s="116" customFormat="1">
      <c r="A44860" s="136"/>
      <c r="CM44860" s="111"/>
      <c r="CQ44860" s="111"/>
      <c r="EF44860"/>
      <c r="EG44860"/>
      <c r="EH44860"/>
      <c r="EI44860"/>
      <c r="EJ44860"/>
      <c r="EK44860"/>
    </row>
    <row r="44861" spans="1:141" s="116" customFormat="1">
      <c r="A44861" s="136"/>
      <c r="CM44861" s="111"/>
      <c r="CQ44861" s="111"/>
      <c r="EF44861"/>
      <c r="EG44861"/>
      <c r="EH44861"/>
      <c r="EI44861"/>
      <c r="EJ44861"/>
      <c r="EK44861"/>
    </row>
    <row r="44862" spans="1:141" s="116" customFormat="1">
      <c r="A44862" s="136"/>
      <c r="CM44862" s="111"/>
      <c r="CQ44862" s="111"/>
      <c r="EF44862"/>
      <c r="EG44862"/>
      <c r="EH44862"/>
      <c r="EI44862"/>
      <c r="EJ44862"/>
      <c r="EK44862"/>
    </row>
    <row r="44863" spans="1:141" s="116" customFormat="1">
      <c r="A44863" s="136"/>
      <c r="CM44863" s="111"/>
      <c r="CQ44863" s="111"/>
      <c r="EF44863"/>
      <c r="EG44863"/>
      <c r="EH44863"/>
      <c r="EI44863"/>
      <c r="EJ44863"/>
      <c r="EK44863"/>
    </row>
    <row r="44864" spans="1:141" s="116" customFormat="1">
      <c r="A44864" s="136"/>
      <c r="CM44864" s="111"/>
      <c r="CQ44864" s="111"/>
      <c r="EF44864"/>
      <c r="EG44864"/>
      <c r="EH44864"/>
      <c r="EI44864"/>
      <c r="EJ44864"/>
      <c r="EK44864"/>
    </row>
    <row r="44865" spans="1:141" s="116" customFormat="1">
      <c r="A44865" s="136"/>
      <c r="CM44865" s="111"/>
      <c r="CQ44865" s="111"/>
      <c r="EF44865"/>
      <c r="EG44865"/>
      <c r="EH44865"/>
      <c r="EI44865"/>
      <c r="EJ44865"/>
      <c r="EK44865"/>
    </row>
    <row r="44866" spans="1:141" s="116" customFormat="1">
      <c r="A44866" s="136"/>
      <c r="CM44866" s="111"/>
      <c r="CQ44866" s="111"/>
      <c r="EF44866"/>
      <c r="EG44866"/>
      <c r="EH44866"/>
      <c r="EI44866"/>
      <c r="EJ44866"/>
      <c r="EK44866"/>
    </row>
    <row r="44867" spans="1:141" s="116" customFormat="1">
      <c r="A44867" s="136"/>
      <c r="CM44867" s="111"/>
      <c r="CQ44867" s="111"/>
      <c r="EF44867"/>
      <c r="EG44867"/>
      <c r="EH44867"/>
      <c r="EI44867"/>
      <c r="EJ44867"/>
      <c r="EK44867"/>
    </row>
    <row r="44868" spans="1:141" s="116" customFormat="1">
      <c r="A44868" s="136"/>
      <c r="CM44868" s="111"/>
      <c r="CQ44868" s="111"/>
      <c r="EF44868"/>
      <c r="EG44868"/>
      <c r="EH44868"/>
      <c r="EI44868"/>
      <c r="EJ44868"/>
      <c r="EK44868"/>
    </row>
    <row r="44869" spans="1:141" s="116" customFormat="1">
      <c r="A44869" s="136"/>
      <c r="CM44869" s="111"/>
      <c r="CQ44869" s="111"/>
      <c r="EF44869"/>
      <c r="EG44869"/>
      <c r="EH44869"/>
      <c r="EI44869"/>
      <c r="EJ44869"/>
      <c r="EK44869"/>
    </row>
    <row r="44870" spans="1:141" s="116" customFormat="1">
      <c r="A44870" s="136"/>
      <c r="CM44870" s="111"/>
      <c r="CQ44870" s="111"/>
      <c r="EF44870"/>
      <c r="EG44870"/>
      <c r="EH44870"/>
      <c r="EI44870"/>
      <c r="EJ44870"/>
      <c r="EK44870"/>
    </row>
    <row r="44871" spans="1:141" s="116" customFormat="1">
      <c r="A44871" s="136"/>
      <c r="CM44871" s="111"/>
      <c r="CQ44871" s="111"/>
      <c r="EF44871"/>
      <c r="EG44871"/>
      <c r="EH44871"/>
      <c r="EI44871"/>
      <c r="EJ44871"/>
      <c r="EK44871"/>
    </row>
    <row r="44872" spans="1:141" s="116" customFormat="1">
      <c r="A44872" s="136"/>
      <c r="CM44872" s="111"/>
      <c r="CQ44872" s="111"/>
      <c r="EF44872"/>
      <c r="EG44872"/>
      <c r="EH44872"/>
      <c r="EI44872"/>
      <c r="EJ44872"/>
      <c r="EK44872"/>
    </row>
    <row r="44873" spans="1:141" s="116" customFormat="1">
      <c r="A44873" s="136"/>
      <c r="CM44873" s="111"/>
      <c r="CQ44873" s="111"/>
      <c r="EF44873"/>
      <c r="EG44873"/>
      <c r="EH44873"/>
      <c r="EI44873"/>
      <c r="EJ44873"/>
      <c r="EK44873"/>
    </row>
    <row r="44874" spans="1:141" s="116" customFormat="1">
      <c r="A44874" s="136"/>
      <c r="CM44874" s="111"/>
      <c r="CQ44874" s="111"/>
      <c r="EF44874"/>
      <c r="EG44874"/>
      <c r="EH44874"/>
      <c r="EI44874"/>
      <c r="EJ44874"/>
      <c r="EK44874"/>
    </row>
    <row r="44875" spans="1:141" s="116" customFormat="1">
      <c r="A44875" s="136"/>
      <c r="CM44875" s="111"/>
      <c r="CQ44875" s="111"/>
      <c r="EF44875"/>
      <c r="EG44875"/>
      <c r="EH44875"/>
      <c r="EI44875"/>
      <c r="EJ44875"/>
      <c r="EK44875"/>
    </row>
    <row r="44876" spans="1:141" s="116" customFormat="1">
      <c r="A44876" s="136"/>
      <c r="CM44876" s="111"/>
      <c r="CQ44876" s="111"/>
      <c r="EF44876"/>
      <c r="EG44876"/>
      <c r="EH44876"/>
      <c r="EI44876"/>
      <c r="EJ44876"/>
      <c r="EK44876"/>
    </row>
    <row r="44877" spans="1:141" s="116" customFormat="1">
      <c r="A44877" s="136"/>
      <c r="CM44877" s="111"/>
      <c r="CQ44877" s="111"/>
      <c r="EF44877"/>
      <c r="EG44877"/>
      <c r="EH44877"/>
      <c r="EI44877"/>
      <c r="EJ44877"/>
      <c r="EK44877"/>
    </row>
    <row r="44878" spans="1:141" s="116" customFormat="1">
      <c r="A44878" s="136"/>
      <c r="CM44878" s="111"/>
      <c r="CQ44878" s="111"/>
      <c r="EF44878"/>
      <c r="EG44878"/>
      <c r="EH44878"/>
      <c r="EI44878"/>
      <c r="EJ44878"/>
      <c r="EK44878"/>
    </row>
    <row r="44879" spans="1:141" s="116" customFormat="1">
      <c r="A44879" s="136"/>
      <c r="CM44879" s="111"/>
      <c r="CQ44879" s="111"/>
      <c r="EF44879"/>
      <c r="EG44879"/>
      <c r="EH44879"/>
      <c r="EI44879"/>
      <c r="EJ44879"/>
      <c r="EK44879"/>
    </row>
    <row r="44880" spans="1:141" s="116" customFormat="1">
      <c r="A44880" s="136"/>
      <c r="CM44880" s="111"/>
      <c r="CQ44880" s="111"/>
      <c r="EF44880"/>
      <c r="EG44880"/>
      <c r="EH44880"/>
      <c r="EI44880"/>
      <c r="EJ44880"/>
      <c r="EK44880"/>
    </row>
    <row r="44881" spans="1:141" s="116" customFormat="1">
      <c r="A44881" s="136"/>
      <c r="CM44881" s="111"/>
      <c r="CQ44881" s="111"/>
      <c r="EF44881"/>
      <c r="EG44881"/>
      <c r="EH44881"/>
      <c r="EI44881"/>
      <c r="EJ44881"/>
      <c r="EK44881"/>
    </row>
    <row r="44882" spans="1:141" s="116" customFormat="1">
      <c r="A44882" s="136"/>
      <c r="CM44882" s="111"/>
      <c r="CQ44882" s="111"/>
      <c r="EF44882"/>
      <c r="EG44882"/>
      <c r="EH44882"/>
      <c r="EI44882"/>
      <c r="EJ44882"/>
      <c r="EK44882"/>
    </row>
    <row r="44883" spans="1:141" s="116" customFormat="1">
      <c r="A44883" s="136"/>
      <c r="CM44883" s="111"/>
      <c r="CQ44883" s="111"/>
      <c r="EF44883"/>
      <c r="EG44883"/>
      <c r="EH44883"/>
      <c r="EI44883"/>
      <c r="EJ44883"/>
      <c r="EK44883"/>
    </row>
    <row r="44884" spans="1:141" s="116" customFormat="1">
      <c r="A44884" s="136"/>
      <c r="CM44884" s="111"/>
      <c r="CQ44884" s="111"/>
      <c r="EF44884"/>
      <c r="EG44884"/>
      <c r="EH44884"/>
      <c r="EI44884"/>
      <c r="EJ44884"/>
      <c r="EK44884"/>
    </row>
    <row r="44885" spans="1:141" s="116" customFormat="1">
      <c r="A44885" s="136"/>
      <c r="CM44885" s="111"/>
      <c r="CQ44885" s="111"/>
      <c r="EF44885"/>
      <c r="EG44885"/>
      <c r="EH44885"/>
      <c r="EI44885"/>
      <c r="EJ44885"/>
      <c r="EK44885"/>
    </row>
    <row r="44886" spans="1:141" s="116" customFormat="1">
      <c r="A44886" s="136"/>
      <c r="CM44886" s="111"/>
      <c r="CQ44886" s="111"/>
      <c r="EF44886"/>
      <c r="EG44886"/>
      <c r="EH44886"/>
      <c r="EI44886"/>
      <c r="EJ44886"/>
      <c r="EK44886"/>
    </row>
    <row r="44887" spans="1:141" s="116" customFormat="1">
      <c r="A44887" s="136"/>
      <c r="CM44887" s="111"/>
      <c r="CQ44887" s="111"/>
      <c r="EF44887"/>
      <c r="EG44887"/>
      <c r="EH44887"/>
      <c r="EI44887"/>
      <c r="EJ44887"/>
      <c r="EK44887"/>
    </row>
    <row r="44888" spans="1:141" s="116" customFormat="1">
      <c r="A44888" s="136"/>
      <c r="CM44888" s="111"/>
      <c r="CQ44888" s="111"/>
      <c r="EF44888"/>
      <c r="EG44888"/>
      <c r="EH44888"/>
      <c r="EI44888"/>
      <c r="EJ44888"/>
      <c r="EK44888"/>
    </row>
    <row r="44889" spans="1:141" s="116" customFormat="1">
      <c r="A44889" s="136"/>
      <c r="CM44889" s="111"/>
      <c r="CQ44889" s="111"/>
      <c r="EF44889"/>
      <c r="EG44889"/>
      <c r="EH44889"/>
      <c r="EI44889"/>
      <c r="EJ44889"/>
      <c r="EK44889"/>
    </row>
    <row r="44890" spans="1:141" s="116" customFormat="1">
      <c r="A44890" s="136"/>
      <c r="CM44890" s="111"/>
      <c r="CQ44890" s="111"/>
      <c r="EF44890"/>
      <c r="EG44890"/>
      <c r="EH44890"/>
      <c r="EI44890"/>
      <c r="EJ44890"/>
      <c r="EK44890"/>
    </row>
    <row r="44891" spans="1:141" s="116" customFormat="1">
      <c r="A44891" s="136"/>
      <c r="CM44891" s="111"/>
      <c r="CQ44891" s="111"/>
      <c r="EF44891"/>
      <c r="EG44891"/>
      <c r="EH44891"/>
      <c r="EI44891"/>
      <c r="EJ44891"/>
      <c r="EK44891"/>
    </row>
    <row r="44892" spans="1:141" s="116" customFormat="1">
      <c r="A44892" s="136"/>
      <c r="CM44892" s="111"/>
      <c r="CQ44892" s="111"/>
      <c r="EF44892"/>
      <c r="EG44892"/>
      <c r="EH44892"/>
      <c r="EI44892"/>
      <c r="EJ44892"/>
      <c r="EK44892"/>
    </row>
    <row r="44893" spans="1:141" s="116" customFormat="1">
      <c r="A44893" s="136"/>
      <c r="CM44893" s="111"/>
      <c r="CQ44893" s="111"/>
      <c r="EF44893"/>
      <c r="EG44893"/>
      <c r="EH44893"/>
      <c r="EI44893"/>
      <c r="EJ44893"/>
      <c r="EK44893"/>
    </row>
    <row r="44894" spans="1:141" s="116" customFormat="1">
      <c r="A44894" s="136"/>
      <c r="CM44894" s="111"/>
      <c r="CQ44894" s="111"/>
      <c r="EF44894"/>
      <c r="EG44894"/>
      <c r="EH44894"/>
      <c r="EI44894"/>
      <c r="EJ44894"/>
      <c r="EK44894"/>
    </row>
    <row r="44895" spans="1:141" s="116" customFormat="1">
      <c r="A44895" s="136"/>
      <c r="CM44895" s="111"/>
      <c r="CQ44895" s="111"/>
      <c r="EF44895"/>
      <c r="EG44895"/>
      <c r="EH44895"/>
      <c r="EI44895"/>
      <c r="EJ44895"/>
      <c r="EK44895"/>
    </row>
    <row r="44896" spans="1:141" s="116" customFormat="1">
      <c r="A44896" s="136"/>
      <c r="CM44896" s="111"/>
      <c r="CQ44896" s="111"/>
      <c r="EF44896"/>
      <c r="EG44896"/>
      <c r="EH44896"/>
      <c r="EI44896"/>
      <c r="EJ44896"/>
      <c r="EK44896"/>
    </row>
    <row r="44897" spans="1:141" s="116" customFormat="1">
      <c r="A44897" s="136"/>
      <c r="CM44897" s="111"/>
      <c r="CQ44897" s="111"/>
      <c r="EF44897"/>
      <c r="EG44897"/>
      <c r="EH44897"/>
      <c r="EI44897"/>
      <c r="EJ44897"/>
      <c r="EK44897"/>
    </row>
    <row r="44898" spans="1:141" s="116" customFormat="1">
      <c r="A44898" s="136"/>
      <c r="CM44898" s="111"/>
      <c r="CQ44898" s="111"/>
      <c r="EF44898"/>
      <c r="EG44898"/>
      <c r="EH44898"/>
      <c r="EI44898"/>
      <c r="EJ44898"/>
      <c r="EK44898"/>
    </row>
    <row r="44899" spans="1:141" s="116" customFormat="1">
      <c r="A44899" s="136"/>
      <c r="CM44899" s="111"/>
      <c r="CQ44899" s="111"/>
      <c r="EF44899"/>
      <c r="EG44899"/>
      <c r="EH44899"/>
      <c r="EI44899"/>
      <c r="EJ44899"/>
      <c r="EK44899"/>
    </row>
    <row r="44900" spans="1:141" s="116" customFormat="1">
      <c r="A44900" s="136"/>
      <c r="CM44900" s="111"/>
      <c r="CQ44900" s="111"/>
      <c r="EF44900"/>
      <c r="EG44900"/>
      <c r="EH44900"/>
      <c r="EI44900"/>
      <c r="EJ44900"/>
      <c r="EK44900"/>
    </row>
    <row r="44901" spans="1:141" s="116" customFormat="1">
      <c r="A44901" s="136"/>
      <c r="CM44901" s="111"/>
      <c r="CQ44901" s="111"/>
      <c r="EF44901"/>
      <c r="EG44901"/>
      <c r="EH44901"/>
      <c r="EI44901"/>
      <c r="EJ44901"/>
      <c r="EK44901"/>
    </row>
    <row r="44902" spans="1:141" s="116" customFormat="1">
      <c r="A44902" s="136"/>
      <c r="CM44902" s="111"/>
      <c r="CQ44902" s="111"/>
      <c r="EF44902"/>
      <c r="EG44902"/>
      <c r="EH44902"/>
      <c r="EI44902"/>
      <c r="EJ44902"/>
      <c r="EK44902"/>
    </row>
    <row r="44903" spans="1:141" s="116" customFormat="1">
      <c r="A44903" s="136"/>
      <c r="CM44903" s="111"/>
      <c r="CQ44903" s="111"/>
      <c r="EF44903"/>
      <c r="EG44903"/>
      <c r="EH44903"/>
      <c r="EI44903"/>
      <c r="EJ44903"/>
      <c r="EK44903"/>
    </row>
    <row r="44904" spans="1:141" s="116" customFormat="1">
      <c r="A44904" s="136"/>
      <c r="CM44904" s="111"/>
      <c r="CQ44904" s="111"/>
      <c r="EF44904"/>
      <c r="EG44904"/>
      <c r="EH44904"/>
      <c r="EI44904"/>
      <c r="EJ44904"/>
      <c r="EK44904"/>
    </row>
    <row r="44905" spans="1:141" s="116" customFormat="1">
      <c r="A44905" s="136"/>
      <c r="CM44905" s="111"/>
      <c r="CQ44905" s="111"/>
      <c r="EF44905"/>
      <c r="EG44905"/>
      <c r="EH44905"/>
      <c r="EI44905"/>
      <c r="EJ44905"/>
      <c r="EK44905"/>
    </row>
    <row r="44906" spans="1:141" s="116" customFormat="1">
      <c r="A44906" s="136"/>
      <c r="CM44906" s="111"/>
      <c r="CQ44906" s="111"/>
      <c r="EF44906"/>
      <c r="EG44906"/>
      <c r="EH44906"/>
      <c r="EI44906"/>
      <c r="EJ44906"/>
      <c r="EK44906"/>
    </row>
    <row r="44907" spans="1:141" s="116" customFormat="1">
      <c r="A44907" s="136"/>
      <c r="CM44907" s="111"/>
      <c r="CQ44907" s="111"/>
      <c r="EF44907"/>
      <c r="EG44907"/>
      <c r="EH44907"/>
      <c r="EI44907"/>
      <c r="EJ44907"/>
      <c r="EK44907"/>
    </row>
    <row r="44908" spans="1:141" s="116" customFormat="1">
      <c r="A44908" s="136"/>
      <c r="CM44908" s="111"/>
      <c r="CQ44908" s="111"/>
      <c r="EF44908"/>
      <c r="EG44908"/>
      <c r="EH44908"/>
      <c r="EI44908"/>
      <c r="EJ44908"/>
      <c r="EK44908"/>
    </row>
    <row r="44909" spans="1:141" s="116" customFormat="1">
      <c r="A44909" s="136"/>
      <c r="CM44909" s="111"/>
      <c r="CQ44909" s="111"/>
      <c r="EF44909"/>
      <c r="EG44909"/>
      <c r="EH44909"/>
      <c r="EI44909"/>
      <c r="EJ44909"/>
      <c r="EK44909"/>
    </row>
    <row r="44910" spans="1:141" s="116" customFormat="1">
      <c r="A44910" s="136"/>
      <c r="CM44910" s="111"/>
      <c r="CQ44910" s="111"/>
      <c r="EF44910"/>
      <c r="EG44910"/>
      <c r="EH44910"/>
      <c r="EI44910"/>
      <c r="EJ44910"/>
      <c r="EK44910"/>
    </row>
    <row r="44911" spans="1:141" s="116" customFormat="1">
      <c r="A44911" s="136"/>
      <c r="CM44911" s="111"/>
      <c r="CQ44911" s="111"/>
      <c r="EF44911"/>
      <c r="EG44911"/>
      <c r="EH44911"/>
      <c r="EI44911"/>
      <c r="EJ44911"/>
      <c r="EK44911"/>
    </row>
    <row r="44912" spans="1:141" s="116" customFormat="1">
      <c r="A44912" s="136"/>
      <c r="CM44912" s="111"/>
      <c r="CQ44912" s="111"/>
      <c r="EF44912"/>
      <c r="EG44912"/>
      <c r="EH44912"/>
      <c r="EI44912"/>
      <c r="EJ44912"/>
      <c r="EK44912"/>
    </row>
    <row r="44913" spans="1:141" s="116" customFormat="1">
      <c r="A44913" s="136"/>
      <c r="CM44913" s="111"/>
      <c r="CQ44913" s="111"/>
      <c r="EF44913"/>
      <c r="EG44913"/>
      <c r="EH44913"/>
      <c r="EI44913"/>
      <c r="EJ44913"/>
      <c r="EK44913"/>
    </row>
    <row r="44914" spans="1:141" s="116" customFormat="1">
      <c r="A44914" s="136"/>
      <c r="CM44914" s="111"/>
      <c r="CQ44914" s="111"/>
      <c r="EF44914"/>
      <c r="EG44914"/>
      <c r="EH44914"/>
      <c r="EI44914"/>
      <c r="EJ44914"/>
      <c r="EK44914"/>
    </row>
    <row r="44915" spans="1:141" s="116" customFormat="1">
      <c r="A44915" s="136"/>
      <c r="CM44915" s="111"/>
      <c r="CQ44915" s="111"/>
      <c r="EF44915"/>
      <c r="EG44915"/>
      <c r="EH44915"/>
      <c r="EI44915"/>
      <c r="EJ44915"/>
      <c r="EK44915"/>
    </row>
    <row r="44916" spans="1:141" s="116" customFormat="1">
      <c r="A44916" s="136"/>
      <c r="CM44916" s="111"/>
      <c r="CQ44916" s="111"/>
      <c r="EF44916"/>
      <c r="EG44916"/>
      <c r="EH44916"/>
      <c r="EI44916"/>
      <c r="EJ44916"/>
      <c r="EK44916"/>
    </row>
    <row r="44917" spans="1:141" s="116" customFormat="1">
      <c r="A44917" s="136"/>
      <c r="CM44917" s="111"/>
      <c r="CQ44917" s="111"/>
      <c r="EF44917"/>
      <c r="EG44917"/>
      <c r="EH44917"/>
      <c r="EI44917"/>
      <c r="EJ44917"/>
      <c r="EK44917"/>
    </row>
    <row r="44918" spans="1:141" s="116" customFormat="1">
      <c r="A44918" s="136"/>
      <c r="CM44918" s="111"/>
      <c r="CQ44918" s="111"/>
      <c r="EF44918"/>
      <c r="EG44918"/>
      <c r="EH44918"/>
      <c r="EI44918"/>
      <c r="EJ44918"/>
      <c r="EK44918"/>
    </row>
    <row r="44919" spans="1:141" s="116" customFormat="1">
      <c r="A44919" s="136"/>
      <c r="CM44919" s="111"/>
      <c r="CQ44919" s="111"/>
      <c r="EF44919"/>
      <c r="EG44919"/>
      <c r="EH44919"/>
      <c r="EI44919"/>
      <c r="EJ44919"/>
      <c r="EK44919"/>
    </row>
    <row r="44920" spans="1:141" s="116" customFormat="1">
      <c r="A44920" s="136"/>
      <c r="CM44920" s="111"/>
      <c r="CQ44920" s="111"/>
      <c r="EF44920"/>
      <c r="EG44920"/>
      <c r="EH44920"/>
      <c r="EI44920"/>
      <c r="EJ44920"/>
      <c r="EK44920"/>
    </row>
    <row r="44921" spans="1:141" s="116" customFormat="1">
      <c r="A44921" s="136"/>
      <c r="CM44921" s="111"/>
      <c r="CQ44921" s="111"/>
      <c r="EF44921"/>
      <c r="EG44921"/>
      <c r="EH44921"/>
      <c r="EI44921"/>
      <c r="EJ44921"/>
      <c r="EK44921"/>
    </row>
    <row r="44922" spans="1:141" s="116" customFormat="1">
      <c r="A44922" s="136"/>
      <c r="CM44922" s="111"/>
      <c r="CQ44922" s="111"/>
      <c r="EF44922"/>
      <c r="EG44922"/>
      <c r="EH44922"/>
      <c r="EI44922"/>
      <c r="EJ44922"/>
      <c r="EK44922"/>
    </row>
    <row r="44923" spans="1:141" s="116" customFormat="1">
      <c r="A44923" s="136"/>
      <c r="CM44923" s="111"/>
      <c r="CQ44923" s="111"/>
      <c r="EF44923"/>
      <c r="EG44923"/>
      <c r="EH44923"/>
      <c r="EI44923"/>
      <c r="EJ44923"/>
      <c r="EK44923"/>
    </row>
    <row r="44924" spans="1:141" s="116" customFormat="1">
      <c r="A44924" s="136"/>
      <c r="CM44924" s="111"/>
      <c r="CQ44924" s="111"/>
      <c r="EF44924"/>
      <c r="EG44924"/>
      <c r="EH44924"/>
      <c r="EI44924"/>
      <c r="EJ44924"/>
      <c r="EK44924"/>
    </row>
    <row r="44925" spans="1:141" s="116" customFormat="1">
      <c r="A44925" s="136"/>
      <c r="CM44925" s="111"/>
      <c r="CQ44925" s="111"/>
      <c r="EF44925"/>
      <c r="EG44925"/>
      <c r="EH44925"/>
      <c r="EI44925"/>
      <c r="EJ44925"/>
      <c r="EK44925"/>
    </row>
    <row r="44926" spans="1:141" s="116" customFormat="1">
      <c r="A44926" s="136"/>
      <c r="CM44926" s="111"/>
      <c r="CQ44926" s="111"/>
      <c r="EF44926"/>
      <c r="EG44926"/>
      <c r="EH44926"/>
      <c r="EI44926"/>
      <c r="EJ44926"/>
      <c r="EK44926"/>
    </row>
    <row r="44927" spans="1:141" s="116" customFormat="1">
      <c r="A44927" s="136"/>
      <c r="CM44927" s="111"/>
      <c r="CQ44927" s="111"/>
      <c r="EF44927"/>
      <c r="EG44927"/>
      <c r="EH44927"/>
      <c r="EI44927"/>
      <c r="EJ44927"/>
      <c r="EK44927"/>
    </row>
    <row r="44928" spans="1:141" s="116" customFormat="1">
      <c r="A44928" s="136"/>
      <c r="CM44928" s="111"/>
      <c r="CQ44928" s="111"/>
      <c r="EF44928"/>
      <c r="EG44928"/>
      <c r="EH44928"/>
      <c r="EI44928"/>
      <c r="EJ44928"/>
      <c r="EK44928"/>
    </row>
    <row r="44929" spans="1:141" s="116" customFormat="1">
      <c r="A44929" s="136"/>
      <c r="CM44929" s="111"/>
      <c r="CQ44929" s="111"/>
      <c r="EF44929"/>
      <c r="EG44929"/>
      <c r="EH44929"/>
      <c r="EI44929"/>
      <c r="EJ44929"/>
      <c r="EK44929"/>
    </row>
    <row r="44930" spans="1:141" s="116" customFormat="1">
      <c r="A44930" s="136"/>
      <c r="CM44930" s="111"/>
      <c r="CQ44930" s="111"/>
      <c r="EF44930"/>
      <c r="EG44930"/>
      <c r="EH44930"/>
      <c r="EI44930"/>
      <c r="EJ44930"/>
      <c r="EK44930"/>
    </row>
    <row r="44931" spans="1:141" s="116" customFormat="1">
      <c r="A44931" s="136"/>
      <c r="CM44931" s="111"/>
      <c r="CQ44931" s="111"/>
      <c r="EF44931"/>
      <c r="EG44931"/>
      <c r="EH44931"/>
      <c r="EI44931"/>
      <c r="EJ44931"/>
      <c r="EK44931"/>
    </row>
    <row r="44932" spans="1:141" s="116" customFormat="1">
      <c r="A44932" s="136"/>
      <c r="CM44932" s="111"/>
      <c r="CQ44932" s="111"/>
      <c r="EF44932"/>
      <c r="EG44932"/>
      <c r="EH44932"/>
      <c r="EI44932"/>
      <c r="EJ44932"/>
      <c r="EK44932"/>
    </row>
    <row r="44933" spans="1:141" s="116" customFormat="1">
      <c r="A44933" s="136"/>
      <c r="CM44933" s="111"/>
      <c r="CQ44933" s="111"/>
      <c r="EF44933"/>
      <c r="EG44933"/>
      <c r="EH44933"/>
      <c r="EI44933"/>
      <c r="EJ44933"/>
      <c r="EK44933"/>
    </row>
    <row r="44934" spans="1:141" s="116" customFormat="1">
      <c r="A44934" s="136"/>
      <c r="CM44934" s="111"/>
      <c r="CQ44934" s="111"/>
      <c r="EF44934"/>
      <c r="EG44934"/>
      <c r="EH44934"/>
      <c r="EI44934"/>
      <c r="EJ44934"/>
      <c r="EK44934"/>
    </row>
    <row r="44935" spans="1:141" s="116" customFormat="1">
      <c r="A44935" s="136"/>
      <c r="CM44935" s="111"/>
      <c r="CQ44935" s="111"/>
      <c r="EF44935"/>
      <c r="EG44935"/>
      <c r="EH44935"/>
      <c r="EI44935"/>
      <c r="EJ44935"/>
      <c r="EK44935"/>
    </row>
    <row r="44936" spans="1:141" s="116" customFormat="1">
      <c r="A44936" s="136"/>
      <c r="CM44936" s="111"/>
      <c r="CQ44936" s="111"/>
      <c r="EF44936"/>
      <c r="EG44936"/>
      <c r="EH44936"/>
      <c r="EI44936"/>
      <c r="EJ44936"/>
      <c r="EK44936"/>
    </row>
    <row r="44937" spans="1:141" s="116" customFormat="1">
      <c r="A44937" s="136"/>
      <c r="CM44937" s="111"/>
      <c r="CQ44937" s="111"/>
      <c r="EF44937"/>
      <c r="EG44937"/>
      <c r="EH44937"/>
      <c r="EI44937"/>
      <c r="EJ44937"/>
      <c r="EK44937"/>
    </row>
    <row r="44938" spans="1:141" s="116" customFormat="1">
      <c r="A44938" s="136"/>
      <c r="CM44938" s="111"/>
      <c r="CQ44938" s="111"/>
      <c r="EF44938"/>
      <c r="EG44938"/>
      <c r="EH44938"/>
      <c r="EI44938"/>
      <c r="EJ44938"/>
      <c r="EK44938"/>
    </row>
    <row r="44939" spans="1:141" s="116" customFormat="1">
      <c r="A44939" s="136"/>
      <c r="CM44939" s="111"/>
      <c r="CQ44939" s="111"/>
      <c r="EF44939"/>
      <c r="EG44939"/>
      <c r="EH44939"/>
      <c r="EI44939"/>
      <c r="EJ44939"/>
      <c r="EK44939"/>
    </row>
    <row r="44940" spans="1:141" s="116" customFormat="1">
      <c r="A44940" s="136"/>
      <c r="CM44940" s="111"/>
      <c r="CQ44940" s="111"/>
      <c r="EF44940"/>
      <c r="EG44940"/>
      <c r="EH44940"/>
      <c r="EI44940"/>
      <c r="EJ44940"/>
      <c r="EK44940"/>
    </row>
    <row r="44941" spans="1:141" s="116" customFormat="1">
      <c r="A44941" s="136"/>
      <c r="CM44941" s="111"/>
      <c r="CQ44941" s="111"/>
      <c r="EF44941"/>
      <c r="EG44941"/>
      <c r="EH44941"/>
      <c r="EI44941"/>
      <c r="EJ44941"/>
      <c r="EK44941"/>
    </row>
    <row r="44942" spans="1:141" s="116" customFormat="1">
      <c r="A44942" s="136"/>
      <c r="CM44942" s="111"/>
      <c r="CQ44942" s="111"/>
      <c r="EF44942"/>
      <c r="EG44942"/>
      <c r="EH44942"/>
      <c r="EI44942"/>
      <c r="EJ44942"/>
      <c r="EK44942"/>
    </row>
    <row r="44943" spans="1:141" s="116" customFormat="1">
      <c r="A44943" s="136"/>
      <c r="CM44943" s="111"/>
      <c r="CQ44943" s="111"/>
      <c r="EF44943"/>
      <c r="EG44943"/>
      <c r="EH44943"/>
      <c r="EI44943"/>
      <c r="EJ44943"/>
      <c r="EK44943"/>
    </row>
    <row r="44944" spans="1:141" s="116" customFormat="1">
      <c r="A44944" s="136"/>
      <c r="CM44944" s="111"/>
      <c r="CQ44944" s="111"/>
      <c r="EF44944"/>
      <c r="EG44944"/>
      <c r="EH44944"/>
      <c r="EI44944"/>
      <c r="EJ44944"/>
      <c r="EK44944"/>
    </row>
    <row r="44945" spans="1:141" s="116" customFormat="1">
      <c r="A44945" s="136"/>
      <c r="CM44945" s="111"/>
      <c r="CQ44945" s="111"/>
      <c r="EF44945"/>
      <c r="EG44945"/>
      <c r="EH44945"/>
      <c r="EI44945"/>
      <c r="EJ44945"/>
      <c r="EK44945"/>
    </row>
    <row r="44946" spans="1:141" s="116" customFormat="1">
      <c r="A44946" s="136"/>
      <c r="CM44946" s="111"/>
      <c r="CQ44946" s="111"/>
      <c r="EF44946"/>
      <c r="EG44946"/>
      <c r="EH44946"/>
      <c r="EI44946"/>
      <c r="EJ44946"/>
      <c r="EK44946"/>
    </row>
    <row r="44947" spans="1:141" s="116" customFormat="1">
      <c r="A44947" s="136"/>
      <c r="CM44947" s="111"/>
      <c r="CQ44947" s="111"/>
      <c r="EF44947"/>
      <c r="EG44947"/>
      <c r="EH44947"/>
      <c r="EI44947"/>
      <c r="EJ44947"/>
      <c r="EK44947"/>
    </row>
    <row r="44948" spans="1:141" s="116" customFormat="1">
      <c r="A44948" s="136"/>
      <c r="CM44948" s="111"/>
      <c r="CQ44948" s="111"/>
      <c r="EF44948"/>
      <c r="EG44948"/>
      <c r="EH44948"/>
      <c r="EI44948"/>
      <c r="EJ44948"/>
      <c r="EK44948"/>
    </row>
    <row r="44949" spans="1:141" s="116" customFormat="1">
      <c r="A44949" s="136"/>
      <c r="CM44949" s="111"/>
      <c r="CQ44949" s="111"/>
      <c r="EF44949"/>
      <c r="EG44949"/>
      <c r="EH44949"/>
      <c r="EI44949"/>
      <c r="EJ44949"/>
      <c r="EK44949"/>
    </row>
    <row r="44950" spans="1:141" s="116" customFormat="1">
      <c r="A44950" s="136"/>
      <c r="CM44950" s="111"/>
      <c r="CQ44950" s="111"/>
      <c r="EF44950"/>
      <c r="EG44950"/>
      <c r="EH44950"/>
      <c r="EI44950"/>
      <c r="EJ44950"/>
      <c r="EK44950"/>
    </row>
    <row r="44951" spans="1:141" s="116" customFormat="1">
      <c r="A44951" s="136"/>
      <c r="CM44951" s="111"/>
      <c r="CQ44951" s="111"/>
      <c r="EF44951"/>
      <c r="EG44951"/>
      <c r="EH44951"/>
      <c r="EI44951"/>
      <c r="EJ44951"/>
      <c r="EK44951"/>
    </row>
    <row r="44952" spans="1:141" s="116" customFormat="1">
      <c r="A44952" s="136"/>
      <c r="CM44952" s="111"/>
      <c r="CQ44952" s="111"/>
      <c r="EF44952"/>
      <c r="EG44952"/>
      <c r="EH44952"/>
      <c r="EI44952"/>
      <c r="EJ44952"/>
      <c r="EK44952"/>
    </row>
    <row r="44953" spans="1:141" s="116" customFormat="1">
      <c r="A44953" s="136"/>
      <c r="CM44953" s="111"/>
      <c r="CQ44953" s="111"/>
      <c r="EF44953"/>
      <c r="EG44953"/>
      <c r="EH44953"/>
      <c r="EI44953"/>
      <c r="EJ44953"/>
      <c r="EK44953"/>
    </row>
    <row r="44954" spans="1:141" s="116" customFormat="1">
      <c r="A44954" s="136"/>
      <c r="CM44954" s="111"/>
      <c r="CQ44954" s="111"/>
      <c r="EF44954"/>
      <c r="EG44954"/>
      <c r="EH44954"/>
      <c r="EI44954"/>
      <c r="EJ44954"/>
      <c r="EK44954"/>
    </row>
    <row r="44955" spans="1:141" s="116" customFormat="1">
      <c r="A44955" s="136"/>
      <c r="CM44955" s="111"/>
      <c r="CQ44955" s="111"/>
      <c r="EF44955"/>
      <c r="EG44955"/>
      <c r="EH44955"/>
      <c r="EI44955"/>
      <c r="EJ44955"/>
      <c r="EK44955"/>
    </row>
    <row r="44956" spans="1:141" s="116" customFormat="1">
      <c r="A44956" s="136"/>
      <c r="CM44956" s="111"/>
      <c r="CQ44956" s="111"/>
      <c r="EF44956"/>
      <c r="EG44956"/>
      <c r="EH44956"/>
      <c r="EI44956"/>
      <c r="EJ44956"/>
      <c r="EK44956"/>
    </row>
    <row r="44957" spans="1:141" s="116" customFormat="1">
      <c r="A44957" s="136"/>
      <c r="CM44957" s="111"/>
      <c r="CQ44957" s="111"/>
      <c r="EF44957"/>
      <c r="EG44957"/>
      <c r="EH44957"/>
      <c r="EI44957"/>
      <c r="EJ44957"/>
      <c r="EK44957"/>
    </row>
    <row r="44958" spans="1:141" s="116" customFormat="1">
      <c r="A44958" s="136"/>
      <c r="CM44958" s="111"/>
      <c r="CQ44958" s="111"/>
      <c r="EF44958"/>
      <c r="EG44958"/>
      <c r="EH44958"/>
      <c r="EI44958"/>
      <c r="EJ44958"/>
      <c r="EK44958"/>
    </row>
    <row r="44959" spans="1:141" s="116" customFormat="1">
      <c r="A44959" s="136"/>
      <c r="CM44959" s="111"/>
      <c r="CQ44959" s="111"/>
      <c r="EF44959"/>
      <c r="EG44959"/>
      <c r="EH44959"/>
      <c r="EI44959"/>
      <c r="EJ44959"/>
      <c r="EK44959"/>
    </row>
    <row r="44960" spans="1:141" s="116" customFormat="1">
      <c r="A44960" s="136"/>
      <c r="CM44960" s="111"/>
      <c r="CQ44960" s="111"/>
      <c r="EF44960"/>
      <c r="EG44960"/>
      <c r="EH44960"/>
      <c r="EI44960"/>
      <c r="EJ44960"/>
      <c r="EK44960"/>
    </row>
    <row r="44961" spans="1:141" s="116" customFormat="1">
      <c r="A44961" s="136"/>
      <c r="CM44961" s="111"/>
      <c r="CQ44961" s="111"/>
      <c r="EF44961"/>
      <c r="EG44961"/>
      <c r="EH44961"/>
      <c r="EI44961"/>
      <c r="EJ44961"/>
      <c r="EK44961"/>
    </row>
    <row r="44962" spans="1:141" s="116" customFormat="1">
      <c r="A44962" s="136"/>
      <c r="CM44962" s="111"/>
      <c r="CQ44962" s="111"/>
      <c r="EF44962"/>
      <c r="EG44962"/>
      <c r="EH44962"/>
      <c r="EI44962"/>
      <c r="EJ44962"/>
      <c r="EK44962"/>
    </row>
    <row r="44963" spans="1:141" s="116" customFormat="1">
      <c r="A44963" s="136"/>
      <c r="CM44963" s="111"/>
      <c r="CQ44963" s="111"/>
      <c r="EF44963"/>
      <c r="EG44963"/>
      <c r="EH44963"/>
      <c r="EI44963"/>
      <c r="EJ44963"/>
      <c r="EK44963"/>
    </row>
    <row r="44964" spans="1:141" s="116" customFormat="1">
      <c r="A44964" s="136"/>
      <c r="CM44964" s="111"/>
      <c r="CQ44964" s="111"/>
      <c r="EF44964"/>
      <c r="EG44964"/>
      <c r="EH44964"/>
      <c r="EI44964"/>
      <c r="EJ44964"/>
      <c r="EK44964"/>
    </row>
    <row r="44965" spans="1:141" s="116" customFormat="1">
      <c r="A44965" s="136"/>
      <c r="CM44965" s="111"/>
      <c r="CQ44965" s="111"/>
      <c r="EF44965"/>
      <c r="EG44965"/>
      <c r="EH44965"/>
      <c r="EI44965"/>
      <c r="EJ44965"/>
      <c r="EK44965"/>
    </row>
    <row r="44966" spans="1:141" s="116" customFormat="1">
      <c r="A44966" s="136"/>
      <c r="CM44966" s="111"/>
      <c r="CQ44966" s="111"/>
      <c r="EF44966"/>
      <c r="EG44966"/>
      <c r="EH44966"/>
      <c r="EI44966"/>
      <c r="EJ44966"/>
      <c r="EK44966"/>
    </row>
    <row r="44967" spans="1:141" s="116" customFormat="1">
      <c r="A44967" s="136"/>
      <c r="CM44967" s="111"/>
      <c r="CQ44967" s="111"/>
      <c r="EF44967"/>
      <c r="EG44967"/>
      <c r="EH44967"/>
      <c r="EI44967"/>
      <c r="EJ44967"/>
      <c r="EK44967"/>
    </row>
    <row r="44968" spans="1:141" s="116" customFormat="1">
      <c r="A44968" s="136"/>
      <c r="CM44968" s="111"/>
      <c r="CQ44968" s="111"/>
      <c r="EF44968"/>
      <c r="EG44968"/>
      <c r="EH44968"/>
      <c r="EI44968"/>
      <c r="EJ44968"/>
      <c r="EK44968"/>
    </row>
    <row r="44969" spans="1:141" s="116" customFormat="1">
      <c r="A44969" s="136"/>
      <c r="CM44969" s="111"/>
      <c r="CQ44969" s="111"/>
      <c r="EF44969"/>
      <c r="EG44969"/>
      <c r="EH44969"/>
      <c r="EI44969"/>
      <c r="EJ44969"/>
      <c r="EK44969"/>
    </row>
    <row r="44970" spans="1:141" s="116" customFormat="1">
      <c r="A44970" s="136"/>
      <c r="CM44970" s="111"/>
      <c r="CQ44970" s="111"/>
      <c r="EF44970"/>
      <c r="EG44970"/>
      <c r="EH44970"/>
      <c r="EI44970"/>
      <c r="EJ44970"/>
      <c r="EK44970"/>
    </row>
    <row r="44971" spans="1:141" s="116" customFormat="1">
      <c r="A44971" s="136"/>
      <c r="CM44971" s="111"/>
      <c r="CQ44971" s="111"/>
      <c r="EF44971"/>
      <c r="EG44971"/>
      <c r="EH44971"/>
      <c r="EI44971"/>
      <c r="EJ44971"/>
      <c r="EK44971"/>
    </row>
    <row r="44972" spans="1:141" s="116" customFormat="1">
      <c r="A44972" s="136"/>
      <c r="CM44972" s="111"/>
      <c r="CQ44972" s="111"/>
      <c r="EF44972"/>
      <c r="EG44972"/>
      <c r="EH44972"/>
      <c r="EI44972"/>
      <c r="EJ44972"/>
      <c r="EK44972"/>
    </row>
    <row r="44973" spans="1:141" s="116" customFormat="1">
      <c r="A44973" s="136"/>
      <c r="CM44973" s="111"/>
      <c r="CQ44973" s="111"/>
      <c r="EF44973"/>
      <c r="EG44973"/>
      <c r="EH44973"/>
      <c r="EI44973"/>
      <c r="EJ44973"/>
      <c r="EK44973"/>
    </row>
    <row r="44974" spans="1:141" s="116" customFormat="1">
      <c r="A44974" s="136"/>
      <c r="CM44974" s="111"/>
      <c r="CQ44974" s="111"/>
      <c r="EF44974"/>
      <c r="EG44974"/>
      <c r="EH44974"/>
      <c r="EI44974"/>
      <c r="EJ44974"/>
      <c r="EK44974"/>
    </row>
    <row r="44975" spans="1:141" s="116" customFormat="1">
      <c r="A44975" s="136"/>
      <c r="CM44975" s="111"/>
      <c r="CQ44975" s="111"/>
      <c r="EF44975"/>
      <c r="EG44975"/>
      <c r="EH44975"/>
      <c r="EI44975"/>
      <c r="EJ44975"/>
      <c r="EK44975"/>
    </row>
    <row r="44976" spans="1:141" s="116" customFormat="1">
      <c r="A44976" s="136"/>
      <c r="CM44976" s="111"/>
      <c r="CQ44976" s="111"/>
      <c r="EF44976"/>
      <c r="EG44976"/>
      <c r="EH44976"/>
      <c r="EI44976"/>
      <c r="EJ44976"/>
      <c r="EK44976"/>
    </row>
    <row r="44977" spans="1:141" s="116" customFormat="1">
      <c r="A44977" s="136"/>
      <c r="CM44977" s="111"/>
      <c r="CQ44977" s="111"/>
      <c r="EF44977"/>
      <c r="EG44977"/>
      <c r="EH44977"/>
      <c r="EI44977"/>
      <c r="EJ44977"/>
      <c r="EK44977"/>
    </row>
    <row r="44978" spans="1:141" s="116" customFormat="1">
      <c r="A44978" s="136"/>
      <c r="CM44978" s="111"/>
      <c r="CQ44978" s="111"/>
      <c r="EF44978"/>
      <c r="EG44978"/>
      <c r="EH44978"/>
      <c r="EI44978"/>
      <c r="EJ44978"/>
      <c r="EK44978"/>
    </row>
    <row r="44979" spans="1:141" s="116" customFormat="1">
      <c r="A44979" s="136"/>
      <c r="CM44979" s="111"/>
      <c r="CQ44979" s="111"/>
      <c r="EF44979"/>
      <c r="EG44979"/>
      <c r="EH44979"/>
      <c r="EI44979"/>
      <c r="EJ44979"/>
      <c r="EK44979"/>
    </row>
    <row r="44980" spans="1:141" s="116" customFormat="1">
      <c r="A44980" s="136"/>
      <c r="CM44980" s="111"/>
      <c r="CQ44980" s="111"/>
      <c r="EF44980"/>
      <c r="EG44980"/>
      <c r="EH44980"/>
      <c r="EI44980"/>
      <c r="EJ44980"/>
      <c r="EK44980"/>
    </row>
    <row r="44981" spans="1:141" s="116" customFormat="1">
      <c r="A44981" s="136"/>
      <c r="CM44981" s="111"/>
      <c r="CQ44981" s="111"/>
      <c r="EF44981"/>
      <c r="EG44981"/>
      <c r="EH44981"/>
      <c r="EI44981"/>
      <c r="EJ44981"/>
      <c r="EK44981"/>
    </row>
    <row r="44982" spans="1:141" s="116" customFormat="1">
      <c r="A44982" s="136"/>
      <c r="CM44982" s="111"/>
      <c r="CQ44982" s="111"/>
      <c r="EF44982"/>
      <c r="EG44982"/>
      <c r="EH44982"/>
      <c r="EI44982"/>
      <c r="EJ44982"/>
      <c r="EK44982"/>
    </row>
    <row r="44983" spans="1:141" s="116" customFormat="1">
      <c r="A44983" s="136"/>
      <c r="CM44983" s="111"/>
      <c r="CQ44983" s="111"/>
      <c r="EF44983"/>
      <c r="EG44983"/>
      <c r="EH44983"/>
      <c r="EI44983"/>
      <c r="EJ44983"/>
      <c r="EK44983"/>
    </row>
    <row r="44984" spans="1:141" s="116" customFormat="1">
      <c r="A44984" s="136"/>
      <c r="CM44984" s="111"/>
      <c r="CQ44984" s="111"/>
      <c r="EF44984"/>
      <c r="EG44984"/>
      <c r="EH44984"/>
      <c r="EI44984"/>
      <c r="EJ44984"/>
      <c r="EK44984"/>
    </row>
    <row r="44985" spans="1:141" s="116" customFormat="1">
      <c r="A44985" s="136"/>
      <c r="CM44985" s="111"/>
      <c r="CQ44985" s="111"/>
      <c r="EF44985"/>
      <c r="EG44985"/>
      <c r="EH44985"/>
      <c r="EI44985"/>
      <c r="EJ44985"/>
      <c r="EK44985"/>
    </row>
    <row r="44986" spans="1:141" s="116" customFormat="1">
      <c r="A44986" s="136"/>
      <c r="CM44986" s="111"/>
      <c r="CQ44986" s="111"/>
      <c r="EF44986"/>
      <c r="EG44986"/>
      <c r="EH44986"/>
      <c r="EI44986"/>
      <c r="EJ44986"/>
      <c r="EK44986"/>
    </row>
    <row r="44987" spans="1:141" s="116" customFormat="1">
      <c r="A44987" s="136"/>
      <c r="CM44987" s="111"/>
      <c r="CQ44987" s="111"/>
      <c r="EF44987"/>
      <c r="EG44987"/>
      <c r="EH44987"/>
      <c r="EI44987"/>
      <c r="EJ44987"/>
      <c r="EK44987"/>
    </row>
    <row r="44988" spans="1:141" s="116" customFormat="1">
      <c r="A44988" s="136"/>
      <c r="CM44988" s="111"/>
      <c r="CQ44988" s="111"/>
      <c r="EF44988"/>
      <c r="EG44988"/>
      <c r="EH44988"/>
      <c r="EI44988"/>
      <c r="EJ44988"/>
      <c r="EK44988"/>
    </row>
    <row r="44989" spans="1:141" s="116" customFormat="1">
      <c r="A44989" s="136"/>
      <c r="CM44989" s="111"/>
      <c r="CQ44989" s="111"/>
      <c r="EF44989"/>
      <c r="EG44989"/>
      <c r="EH44989"/>
      <c r="EI44989"/>
      <c r="EJ44989"/>
      <c r="EK44989"/>
    </row>
    <row r="44990" spans="1:141" s="116" customFormat="1">
      <c r="A44990" s="136"/>
      <c r="CM44990" s="111"/>
      <c r="CQ44990" s="111"/>
      <c r="EF44990"/>
      <c r="EG44990"/>
      <c r="EH44990"/>
      <c r="EI44990"/>
      <c r="EJ44990"/>
      <c r="EK44990"/>
    </row>
    <row r="44991" spans="1:141" s="116" customFormat="1">
      <c r="A44991" s="136"/>
      <c r="CM44991" s="111"/>
      <c r="CQ44991" s="111"/>
      <c r="EF44991"/>
      <c r="EG44991"/>
      <c r="EH44991"/>
      <c r="EI44991"/>
      <c r="EJ44991"/>
      <c r="EK44991"/>
    </row>
    <row r="44992" spans="1:141" s="116" customFormat="1">
      <c r="A44992" s="136"/>
      <c r="CM44992" s="111"/>
      <c r="CQ44992" s="111"/>
      <c r="EF44992"/>
      <c r="EG44992"/>
      <c r="EH44992"/>
      <c r="EI44992"/>
      <c r="EJ44992"/>
      <c r="EK44992"/>
    </row>
    <row r="44993" spans="1:141" s="116" customFormat="1">
      <c r="A44993" s="136"/>
      <c r="CM44993" s="111"/>
      <c r="CQ44993" s="111"/>
      <c r="EF44993"/>
      <c r="EG44993"/>
      <c r="EH44993"/>
      <c r="EI44993"/>
      <c r="EJ44993"/>
      <c r="EK44993"/>
    </row>
    <row r="44994" spans="1:141" s="116" customFormat="1">
      <c r="A44994" s="136"/>
      <c r="CM44994" s="111"/>
      <c r="CQ44994" s="111"/>
      <c r="EF44994"/>
      <c r="EG44994"/>
      <c r="EH44994"/>
      <c r="EI44994"/>
      <c r="EJ44994"/>
      <c r="EK44994"/>
    </row>
    <row r="44995" spans="1:141" s="116" customFormat="1">
      <c r="A44995" s="136"/>
      <c r="CM44995" s="111"/>
      <c r="CQ44995" s="111"/>
      <c r="EF44995"/>
      <c r="EG44995"/>
      <c r="EH44995"/>
      <c r="EI44995"/>
      <c r="EJ44995"/>
      <c r="EK44995"/>
    </row>
    <row r="44996" spans="1:141" s="116" customFormat="1">
      <c r="A44996" s="136"/>
      <c r="CM44996" s="111"/>
      <c r="CQ44996" s="111"/>
      <c r="EF44996"/>
      <c r="EG44996"/>
      <c r="EH44996"/>
      <c r="EI44996"/>
      <c r="EJ44996"/>
      <c r="EK44996"/>
    </row>
    <row r="44997" spans="1:141" s="116" customFormat="1">
      <c r="A44997" s="136"/>
      <c r="CM44997" s="111"/>
      <c r="CQ44997" s="111"/>
      <c r="EF44997"/>
      <c r="EG44997"/>
      <c r="EH44997"/>
      <c r="EI44997"/>
      <c r="EJ44997"/>
      <c r="EK44997"/>
    </row>
    <row r="44998" spans="1:141" s="116" customFormat="1">
      <c r="A44998" s="136"/>
      <c r="CM44998" s="111"/>
      <c r="CQ44998" s="111"/>
      <c r="EF44998"/>
      <c r="EG44998"/>
      <c r="EH44998"/>
      <c r="EI44998"/>
      <c r="EJ44998"/>
      <c r="EK44998"/>
    </row>
    <row r="44999" spans="1:141" s="116" customFormat="1">
      <c r="A44999" s="136"/>
      <c r="CM44999" s="111"/>
      <c r="CQ44999" s="111"/>
      <c r="EF44999"/>
      <c r="EG44999"/>
      <c r="EH44999"/>
      <c r="EI44999"/>
      <c r="EJ44999"/>
      <c r="EK44999"/>
    </row>
    <row r="45000" spans="1:141" s="116" customFormat="1">
      <c r="A45000" s="136"/>
      <c r="CM45000" s="111"/>
      <c r="CQ45000" s="111"/>
      <c r="EF45000"/>
      <c r="EG45000"/>
      <c r="EH45000"/>
      <c r="EI45000"/>
      <c r="EJ45000"/>
      <c r="EK45000"/>
    </row>
    <row r="45001" spans="1:141" s="116" customFormat="1">
      <c r="A45001" s="136"/>
      <c r="CM45001" s="111"/>
      <c r="CQ45001" s="111"/>
      <c r="EF45001"/>
      <c r="EG45001"/>
      <c r="EH45001"/>
      <c r="EI45001"/>
      <c r="EJ45001"/>
      <c r="EK45001"/>
    </row>
    <row r="45002" spans="1:141" s="116" customFormat="1">
      <c r="A45002" s="136"/>
      <c r="CM45002" s="111"/>
      <c r="CQ45002" s="111"/>
      <c r="EF45002"/>
      <c r="EG45002"/>
      <c r="EH45002"/>
      <c r="EI45002"/>
      <c r="EJ45002"/>
      <c r="EK45002"/>
    </row>
    <row r="45003" spans="1:141" s="116" customFormat="1">
      <c r="A45003" s="136"/>
      <c r="CM45003" s="111"/>
      <c r="CQ45003" s="111"/>
      <c r="EF45003"/>
      <c r="EG45003"/>
      <c r="EH45003"/>
      <c r="EI45003"/>
      <c r="EJ45003"/>
      <c r="EK45003"/>
    </row>
    <row r="45004" spans="1:141" s="116" customFormat="1">
      <c r="A45004" s="136"/>
      <c r="CM45004" s="111"/>
      <c r="CQ45004" s="111"/>
      <c r="EF45004"/>
      <c r="EG45004"/>
      <c r="EH45004"/>
      <c r="EI45004"/>
      <c r="EJ45004"/>
      <c r="EK45004"/>
    </row>
    <row r="45005" spans="1:141" s="116" customFormat="1">
      <c r="A45005" s="136"/>
      <c r="CM45005" s="111"/>
      <c r="CQ45005" s="111"/>
      <c r="EF45005"/>
      <c r="EG45005"/>
      <c r="EH45005"/>
      <c r="EI45005"/>
      <c r="EJ45005"/>
      <c r="EK45005"/>
    </row>
    <row r="45006" spans="1:141" s="116" customFormat="1">
      <c r="A45006" s="136"/>
      <c r="CM45006" s="111"/>
      <c r="CQ45006" s="111"/>
      <c r="EF45006"/>
      <c r="EG45006"/>
      <c r="EH45006"/>
      <c r="EI45006"/>
      <c r="EJ45006"/>
      <c r="EK45006"/>
    </row>
    <row r="45007" spans="1:141" s="116" customFormat="1">
      <c r="A45007" s="136"/>
      <c r="CM45007" s="111"/>
      <c r="CQ45007" s="111"/>
      <c r="EF45007"/>
      <c r="EG45007"/>
      <c r="EH45007"/>
      <c r="EI45007"/>
      <c r="EJ45007"/>
      <c r="EK45007"/>
    </row>
    <row r="45008" spans="1:141" s="116" customFormat="1">
      <c r="A45008" s="136"/>
      <c r="CM45008" s="111"/>
      <c r="CQ45008" s="111"/>
      <c r="EF45008"/>
      <c r="EG45008"/>
      <c r="EH45008"/>
      <c r="EI45008"/>
      <c r="EJ45008"/>
      <c r="EK45008"/>
    </row>
    <row r="45009" spans="1:141" s="116" customFormat="1">
      <c r="A45009" s="136"/>
      <c r="CM45009" s="111"/>
      <c r="CQ45009" s="111"/>
      <c r="EF45009"/>
      <c r="EG45009"/>
      <c r="EH45009"/>
      <c r="EI45009"/>
      <c r="EJ45009"/>
      <c r="EK45009"/>
    </row>
    <row r="45010" spans="1:141" s="116" customFormat="1">
      <c r="A45010" s="136"/>
      <c r="CM45010" s="111"/>
      <c r="CQ45010" s="111"/>
      <c r="EF45010"/>
      <c r="EG45010"/>
      <c r="EH45010"/>
      <c r="EI45010"/>
      <c r="EJ45010"/>
      <c r="EK45010"/>
    </row>
    <row r="45011" spans="1:141" s="116" customFormat="1">
      <c r="A45011" s="136"/>
      <c r="CM45011" s="111"/>
      <c r="CQ45011" s="111"/>
      <c r="EF45011"/>
      <c r="EG45011"/>
      <c r="EH45011"/>
      <c r="EI45011"/>
      <c r="EJ45011"/>
      <c r="EK45011"/>
    </row>
    <row r="45012" spans="1:141" s="116" customFormat="1">
      <c r="A45012" s="136"/>
      <c r="CM45012" s="111"/>
      <c r="CQ45012" s="111"/>
      <c r="EF45012"/>
      <c r="EG45012"/>
      <c r="EH45012"/>
      <c r="EI45012"/>
      <c r="EJ45012"/>
      <c r="EK45012"/>
    </row>
    <row r="45013" spans="1:141" s="116" customFormat="1">
      <c r="A45013" s="136"/>
      <c r="CM45013" s="111"/>
      <c r="CQ45013" s="111"/>
      <c r="EF45013"/>
      <c r="EG45013"/>
      <c r="EH45013"/>
      <c r="EI45013"/>
      <c r="EJ45013"/>
      <c r="EK45013"/>
    </row>
    <row r="45014" spans="1:141" s="116" customFormat="1">
      <c r="A45014" s="136"/>
      <c r="CM45014" s="111"/>
      <c r="CQ45014" s="111"/>
      <c r="EF45014"/>
      <c r="EG45014"/>
      <c r="EH45014"/>
      <c r="EI45014"/>
      <c r="EJ45014"/>
      <c r="EK45014"/>
    </row>
    <row r="45015" spans="1:141" s="116" customFormat="1">
      <c r="A45015" s="136"/>
      <c r="CM45015" s="111"/>
      <c r="CQ45015" s="111"/>
      <c r="EF45015"/>
      <c r="EG45015"/>
      <c r="EH45015"/>
      <c r="EI45015"/>
      <c r="EJ45015"/>
      <c r="EK45015"/>
    </row>
    <row r="45016" spans="1:141" s="116" customFormat="1">
      <c r="A45016" s="136"/>
      <c r="CM45016" s="111"/>
      <c r="CQ45016" s="111"/>
      <c r="EF45016"/>
      <c r="EG45016"/>
      <c r="EH45016"/>
      <c r="EI45016"/>
      <c r="EJ45016"/>
      <c r="EK45016"/>
    </row>
    <row r="45017" spans="1:141" s="116" customFormat="1">
      <c r="A45017" s="136"/>
      <c r="CM45017" s="111"/>
      <c r="CQ45017" s="111"/>
      <c r="EF45017"/>
      <c r="EG45017"/>
      <c r="EH45017"/>
      <c r="EI45017"/>
      <c r="EJ45017"/>
      <c r="EK45017"/>
    </row>
    <row r="45018" spans="1:141" s="116" customFormat="1">
      <c r="A45018" s="136"/>
      <c r="CM45018" s="111"/>
      <c r="CQ45018" s="111"/>
      <c r="EF45018"/>
      <c r="EG45018"/>
      <c r="EH45018"/>
      <c r="EI45018"/>
      <c r="EJ45018"/>
      <c r="EK45018"/>
    </row>
    <row r="45019" spans="1:141" s="116" customFormat="1">
      <c r="A45019" s="136"/>
      <c r="CM45019" s="111"/>
      <c r="CQ45019" s="111"/>
      <c r="EF45019"/>
      <c r="EG45019"/>
      <c r="EH45019"/>
      <c r="EI45019"/>
      <c r="EJ45019"/>
      <c r="EK45019"/>
    </row>
    <row r="45020" spans="1:141" s="116" customFormat="1">
      <c r="A45020" s="136"/>
      <c r="CM45020" s="111"/>
      <c r="CQ45020" s="111"/>
      <c r="EF45020"/>
      <c r="EG45020"/>
      <c r="EH45020"/>
      <c r="EI45020"/>
      <c r="EJ45020"/>
      <c r="EK45020"/>
    </row>
    <row r="45021" spans="1:141" s="116" customFormat="1">
      <c r="A45021" s="136"/>
      <c r="CM45021" s="111"/>
      <c r="CQ45021" s="111"/>
      <c r="EF45021"/>
      <c r="EG45021"/>
      <c r="EH45021"/>
      <c r="EI45021"/>
      <c r="EJ45021"/>
      <c r="EK45021"/>
    </row>
    <row r="45022" spans="1:141" s="116" customFormat="1">
      <c r="A45022" s="136"/>
      <c r="CM45022" s="111"/>
      <c r="CQ45022" s="111"/>
      <c r="EF45022"/>
      <c r="EG45022"/>
      <c r="EH45022"/>
      <c r="EI45022"/>
      <c r="EJ45022"/>
      <c r="EK45022"/>
    </row>
    <row r="45023" spans="1:141" s="116" customFormat="1">
      <c r="A45023" s="136"/>
      <c r="CM45023" s="111"/>
      <c r="CQ45023" s="111"/>
      <c r="EF45023"/>
      <c r="EG45023"/>
      <c r="EH45023"/>
      <c r="EI45023"/>
      <c r="EJ45023"/>
      <c r="EK45023"/>
    </row>
    <row r="45024" spans="1:141" s="116" customFormat="1">
      <c r="A45024" s="136"/>
      <c r="CM45024" s="111"/>
      <c r="CQ45024" s="111"/>
      <c r="EF45024"/>
      <c r="EG45024"/>
      <c r="EH45024"/>
      <c r="EI45024"/>
      <c r="EJ45024"/>
      <c r="EK45024"/>
    </row>
    <row r="45025" spans="1:141" s="116" customFormat="1">
      <c r="A45025" s="136"/>
      <c r="CM45025" s="111"/>
      <c r="CQ45025" s="111"/>
      <c r="EF45025"/>
      <c r="EG45025"/>
      <c r="EH45025"/>
      <c r="EI45025"/>
      <c r="EJ45025"/>
      <c r="EK45025"/>
    </row>
    <row r="45026" spans="1:141" s="116" customFormat="1">
      <c r="A45026" s="136"/>
      <c r="CM45026" s="111"/>
      <c r="CQ45026" s="111"/>
      <c r="EF45026"/>
      <c r="EG45026"/>
      <c r="EH45026"/>
      <c r="EI45026"/>
      <c r="EJ45026"/>
      <c r="EK45026"/>
    </row>
    <row r="45027" spans="1:141" s="116" customFormat="1">
      <c r="A45027" s="136"/>
      <c r="CM45027" s="111"/>
      <c r="CQ45027" s="111"/>
      <c r="EF45027"/>
      <c r="EG45027"/>
      <c r="EH45027"/>
      <c r="EI45027"/>
      <c r="EJ45027"/>
      <c r="EK45027"/>
    </row>
    <row r="45028" spans="1:141" s="116" customFormat="1">
      <c r="A45028" s="136"/>
      <c r="CM45028" s="111"/>
      <c r="CQ45028" s="111"/>
      <c r="EF45028"/>
      <c r="EG45028"/>
      <c r="EH45028"/>
      <c r="EI45028"/>
      <c r="EJ45028"/>
      <c r="EK45028"/>
    </row>
    <row r="45029" spans="1:141" s="116" customFormat="1">
      <c r="A45029" s="136"/>
      <c r="CM45029" s="111"/>
      <c r="CQ45029" s="111"/>
      <c r="EF45029"/>
      <c r="EG45029"/>
      <c r="EH45029"/>
      <c r="EI45029"/>
      <c r="EJ45029"/>
      <c r="EK45029"/>
    </row>
    <row r="45030" spans="1:141" s="116" customFormat="1">
      <c r="A45030" s="136"/>
      <c r="CM45030" s="111"/>
      <c r="CQ45030" s="111"/>
      <c r="EF45030"/>
      <c r="EG45030"/>
      <c r="EH45030"/>
      <c r="EI45030"/>
      <c r="EJ45030"/>
      <c r="EK45030"/>
    </row>
    <row r="45031" spans="1:141" s="116" customFormat="1">
      <c r="A45031" s="136"/>
      <c r="CM45031" s="111"/>
      <c r="CQ45031" s="111"/>
      <c r="EF45031"/>
      <c r="EG45031"/>
      <c r="EH45031"/>
      <c r="EI45031"/>
      <c r="EJ45031"/>
      <c r="EK45031"/>
    </row>
    <row r="45032" spans="1:141" s="116" customFormat="1">
      <c r="A45032" s="136"/>
      <c r="CM45032" s="111"/>
      <c r="CQ45032" s="111"/>
      <c r="EF45032"/>
      <c r="EG45032"/>
      <c r="EH45032"/>
      <c r="EI45032"/>
      <c r="EJ45032"/>
      <c r="EK45032"/>
    </row>
    <row r="45033" spans="1:141" s="116" customFormat="1">
      <c r="A45033" s="136"/>
      <c r="CM45033" s="111"/>
      <c r="CQ45033" s="111"/>
      <c r="EF45033"/>
      <c r="EG45033"/>
      <c r="EH45033"/>
      <c r="EI45033"/>
      <c r="EJ45033"/>
      <c r="EK45033"/>
    </row>
    <row r="45034" spans="1:141" s="116" customFormat="1">
      <c r="A45034" s="136"/>
      <c r="CM45034" s="111"/>
      <c r="CQ45034" s="111"/>
      <c r="EF45034"/>
      <c r="EG45034"/>
      <c r="EH45034"/>
      <c r="EI45034"/>
      <c r="EJ45034"/>
      <c r="EK45034"/>
    </row>
    <row r="45035" spans="1:141" s="116" customFormat="1">
      <c r="A45035" s="136"/>
      <c r="CM45035" s="111"/>
      <c r="CQ45035" s="111"/>
      <c r="EF45035"/>
      <c r="EG45035"/>
      <c r="EH45035"/>
      <c r="EI45035"/>
      <c r="EJ45035"/>
      <c r="EK45035"/>
    </row>
    <row r="45036" spans="1:141" s="116" customFormat="1">
      <c r="A45036" s="136"/>
      <c r="CM45036" s="111"/>
      <c r="CQ45036" s="111"/>
      <c r="EF45036"/>
      <c r="EG45036"/>
      <c r="EH45036"/>
      <c r="EI45036"/>
      <c r="EJ45036"/>
      <c r="EK45036"/>
    </row>
    <row r="45037" spans="1:141" s="116" customFormat="1">
      <c r="A45037" s="136"/>
      <c r="CM45037" s="111"/>
      <c r="CQ45037" s="111"/>
      <c r="EF45037"/>
      <c r="EG45037"/>
      <c r="EH45037"/>
      <c r="EI45037"/>
      <c r="EJ45037"/>
      <c r="EK45037"/>
    </row>
    <row r="45038" spans="1:141" s="116" customFormat="1">
      <c r="A45038" s="136"/>
      <c r="CM45038" s="111"/>
      <c r="CQ45038" s="111"/>
      <c r="EF45038"/>
      <c r="EG45038"/>
      <c r="EH45038"/>
      <c r="EI45038"/>
      <c r="EJ45038"/>
      <c r="EK45038"/>
    </row>
    <row r="45039" spans="1:141" s="116" customFormat="1">
      <c r="A45039" s="136"/>
      <c r="CM45039" s="111"/>
      <c r="CQ45039" s="111"/>
      <c r="EF45039"/>
      <c r="EG45039"/>
      <c r="EH45039"/>
      <c r="EI45039"/>
      <c r="EJ45039"/>
      <c r="EK45039"/>
    </row>
    <row r="45040" spans="1:141" s="116" customFormat="1">
      <c r="A45040" s="136"/>
      <c r="CM45040" s="111"/>
      <c r="CQ45040" s="111"/>
      <c r="EF45040"/>
      <c r="EG45040"/>
      <c r="EH45040"/>
      <c r="EI45040"/>
      <c r="EJ45040"/>
      <c r="EK45040"/>
    </row>
    <row r="45041" spans="1:141" s="116" customFormat="1">
      <c r="A45041" s="136"/>
      <c r="CM45041" s="111"/>
      <c r="CQ45041" s="111"/>
      <c r="EF45041"/>
      <c r="EG45041"/>
      <c r="EH45041"/>
      <c r="EI45041"/>
      <c r="EJ45041"/>
      <c r="EK45041"/>
    </row>
    <row r="45042" spans="1:141" s="116" customFormat="1">
      <c r="A45042" s="136"/>
      <c r="CM45042" s="111"/>
      <c r="CQ45042" s="111"/>
      <c r="EF45042"/>
      <c r="EG45042"/>
      <c r="EH45042"/>
      <c r="EI45042"/>
      <c r="EJ45042"/>
      <c r="EK45042"/>
    </row>
    <row r="45043" spans="1:141" s="116" customFormat="1">
      <c r="A45043" s="136"/>
      <c r="CM45043" s="111"/>
      <c r="CQ45043" s="111"/>
      <c r="EF45043"/>
      <c r="EG45043"/>
      <c r="EH45043"/>
      <c r="EI45043"/>
      <c r="EJ45043"/>
      <c r="EK45043"/>
    </row>
    <row r="45044" spans="1:141" s="116" customFormat="1">
      <c r="A45044" s="136"/>
      <c r="CM45044" s="111"/>
      <c r="CQ45044" s="111"/>
      <c r="EF45044"/>
      <c r="EG45044"/>
      <c r="EH45044"/>
      <c r="EI45044"/>
      <c r="EJ45044"/>
      <c r="EK45044"/>
    </row>
    <row r="45045" spans="1:141" s="116" customFormat="1">
      <c r="A45045" s="136"/>
      <c r="CM45045" s="111"/>
      <c r="CQ45045" s="111"/>
      <c r="EF45045"/>
      <c r="EG45045"/>
      <c r="EH45045"/>
      <c r="EI45045"/>
      <c r="EJ45045"/>
      <c r="EK45045"/>
    </row>
    <row r="45046" spans="1:141" s="116" customFormat="1">
      <c r="A45046" s="136"/>
      <c r="CM45046" s="111"/>
      <c r="CQ45046" s="111"/>
      <c r="EF45046"/>
      <c r="EG45046"/>
      <c r="EH45046"/>
      <c r="EI45046"/>
      <c r="EJ45046"/>
      <c r="EK45046"/>
    </row>
    <row r="45047" spans="1:141" s="116" customFormat="1">
      <c r="A45047" s="136"/>
      <c r="CM45047" s="111"/>
      <c r="CQ45047" s="111"/>
      <c r="EF45047"/>
      <c r="EG45047"/>
      <c r="EH45047"/>
      <c r="EI45047"/>
      <c r="EJ45047"/>
      <c r="EK45047"/>
    </row>
    <row r="45048" spans="1:141" s="116" customFormat="1">
      <c r="A45048" s="136"/>
      <c r="CM45048" s="111"/>
      <c r="CQ45048" s="111"/>
      <c r="EF45048"/>
      <c r="EG45048"/>
      <c r="EH45048"/>
      <c r="EI45048"/>
      <c r="EJ45048"/>
      <c r="EK45048"/>
    </row>
    <row r="45049" spans="1:141" s="116" customFormat="1">
      <c r="A45049" s="136"/>
      <c r="CM45049" s="111"/>
      <c r="CQ45049" s="111"/>
      <c r="EF45049"/>
      <c r="EG45049"/>
      <c r="EH45049"/>
      <c r="EI45049"/>
      <c r="EJ45049"/>
      <c r="EK45049"/>
    </row>
    <row r="45050" spans="1:141" s="116" customFormat="1">
      <c r="A45050" s="136"/>
      <c r="CM45050" s="111"/>
      <c r="CQ45050" s="111"/>
      <c r="EF45050"/>
      <c r="EG45050"/>
      <c r="EH45050"/>
      <c r="EI45050"/>
      <c r="EJ45050"/>
      <c r="EK45050"/>
    </row>
    <row r="45051" spans="1:141" s="116" customFormat="1">
      <c r="A45051" s="136"/>
      <c r="CM45051" s="111"/>
      <c r="CQ45051" s="111"/>
      <c r="EF45051"/>
      <c r="EG45051"/>
      <c r="EH45051"/>
      <c r="EI45051"/>
      <c r="EJ45051"/>
      <c r="EK45051"/>
    </row>
    <row r="45052" spans="1:141" s="116" customFormat="1">
      <c r="A45052" s="136"/>
      <c r="CM45052" s="111"/>
      <c r="CQ45052" s="111"/>
      <c r="EF45052"/>
      <c r="EG45052"/>
      <c r="EH45052"/>
      <c r="EI45052"/>
      <c r="EJ45052"/>
      <c r="EK45052"/>
    </row>
    <row r="45053" spans="1:141" s="116" customFormat="1">
      <c r="A45053" s="136"/>
      <c r="CM45053" s="111"/>
      <c r="CQ45053" s="111"/>
      <c r="EF45053"/>
      <c r="EG45053"/>
      <c r="EH45053"/>
      <c r="EI45053"/>
      <c r="EJ45053"/>
      <c r="EK45053"/>
    </row>
    <row r="45054" spans="1:141" s="116" customFormat="1">
      <c r="A45054" s="136"/>
      <c r="CM45054" s="111"/>
      <c r="CQ45054" s="111"/>
      <c r="EF45054"/>
      <c r="EG45054"/>
      <c r="EH45054"/>
      <c r="EI45054"/>
      <c r="EJ45054"/>
      <c r="EK45054"/>
    </row>
    <row r="45055" spans="1:141" s="116" customFormat="1">
      <c r="A45055" s="136"/>
      <c r="CM45055" s="111"/>
      <c r="CQ45055" s="111"/>
      <c r="EF45055"/>
      <c r="EG45055"/>
      <c r="EH45055"/>
      <c r="EI45055"/>
      <c r="EJ45055"/>
      <c r="EK45055"/>
    </row>
    <row r="45056" spans="1:141" s="116" customFormat="1">
      <c r="A45056" s="136"/>
      <c r="CM45056" s="111"/>
      <c r="CQ45056" s="111"/>
      <c r="EF45056"/>
      <c r="EG45056"/>
      <c r="EH45056"/>
      <c r="EI45056"/>
      <c r="EJ45056"/>
      <c r="EK45056"/>
    </row>
    <row r="45057" spans="1:141" s="116" customFormat="1">
      <c r="A45057" s="136"/>
      <c r="CM45057" s="111"/>
      <c r="CQ45057" s="111"/>
      <c r="EF45057"/>
      <c r="EG45057"/>
      <c r="EH45057"/>
      <c r="EI45057"/>
      <c r="EJ45057"/>
      <c r="EK45057"/>
    </row>
    <row r="45058" spans="1:141" s="116" customFormat="1">
      <c r="A45058" s="136"/>
      <c r="CM45058" s="111"/>
      <c r="CQ45058" s="111"/>
      <c r="EF45058"/>
      <c r="EG45058"/>
      <c r="EH45058"/>
      <c r="EI45058"/>
      <c r="EJ45058"/>
      <c r="EK45058"/>
    </row>
    <row r="45059" spans="1:141" s="116" customFormat="1">
      <c r="A45059" s="136"/>
      <c r="CM45059" s="111"/>
      <c r="CQ45059" s="111"/>
      <c r="EF45059"/>
      <c r="EG45059"/>
      <c r="EH45059"/>
      <c r="EI45059"/>
      <c r="EJ45059"/>
      <c r="EK45059"/>
    </row>
    <row r="45060" spans="1:141" s="116" customFormat="1">
      <c r="A45060" s="136"/>
      <c r="CM45060" s="111"/>
      <c r="CQ45060" s="111"/>
      <c r="EF45060"/>
      <c r="EG45060"/>
      <c r="EH45060"/>
      <c r="EI45060"/>
      <c r="EJ45060"/>
      <c r="EK45060"/>
    </row>
    <row r="45061" spans="1:141" s="116" customFormat="1">
      <c r="A45061" s="136"/>
      <c r="CM45061" s="111"/>
      <c r="CQ45061" s="111"/>
      <c r="EF45061"/>
      <c r="EG45061"/>
      <c r="EH45061"/>
      <c r="EI45061"/>
      <c r="EJ45061"/>
      <c r="EK45061"/>
    </row>
    <row r="45062" spans="1:141" s="116" customFormat="1">
      <c r="A45062" s="136"/>
      <c r="CM45062" s="111"/>
      <c r="CQ45062" s="111"/>
      <c r="EF45062"/>
      <c r="EG45062"/>
      <c r="EH45062"/>
      <c r="EI45062"/>
      <c r="EJ45062"/>
      <c r="EK45062"/>
    </row>
    <row r="45063" spans="1:141" s="116" customFormat="1">
      <c r="A45063" s="136"/>
      <c r="CM45063" s="111"/>
      <c r="CQ45063" s="111"/>
      <c r="EF45063"/>
      <c r="EG45063"/>
      <c r="EH45063"/>
      <c r="EI45063"/>
      <c r="EJ45063"/>
      <c r="EK45063"/>
    </row>
    <row r="45064" spans="1:141" s="116" customFormat="1">
      <c r="A45064" s="136"/>
      <c r="CM45064" s="111"/>
      <c r="CQ45064" s="111"/>
      <c r="EF45064"/>
      <c r="EG45064"/>
      <c r="EH45064"/>
      <c r="EI45064"/>
      <c r="EJ45064"/>
      <c r="EK45064"/>
    </row>
    <row r="45065" spans="1:141" s="116" customFormat="1">
      <c r="A45065" s="136"/>
      <c r="CM45065" s="111"/>
      <c r="CQ45065" s="111"/>
      <c r="EF45065"/>
      <c r="EG45065"/>
      <c r="EH45065"/>
      <c r="EI45065"/>
      <c r="EJ45065"/>
      <c r="EK45065"/>
    </row>
    <row r="45066" spans="1:141" s="116" customFormat="1">
      <c r="A45066" s="136"/>
      <c r="CM45066" s="111"/>
      <c r="CQ45066" s="111"/>
      <c r="EF45066"/>
      <c r="EG45066"/>
      <c r="EH45066"/>
      <c r="EI45066"/>
      <c r="EJ45066"/>
      <c r="EK45066"/>
    </row>
    <row r="45067" spans="1:141" s="116" customFormat="1">
      <c r="A45067" s="136"/>
      <c r="CM45067" s="111"/>
      <c r="CQ45067" s="111"/>
      <c r="EF45067"/>
      <c r="EG45067"/>
      <c r="EH45067"/>
      <c r="EI45067"/>
      <c r="EJ45067"/>
      <c r="EK45067"/>
    </row>
    <row r="45068" spans="1:141" s="116" customFormat="1">
      <c r="A45068" s="136"/>
      <c r="CM45068" s="111"/>
      <c r="CQ45068" s="111"/>
      <c r="EF45068"/>
      <c r="EG45068"/>
      <c r="EH45068"/>
      <c r="EI45068"/>
      <c r="EJ45068"/>
      <c r="EK45068"/>
    </row>
    <row r="45069" spans="1:141" s="116" customFormat="1">
      <c r="A45069" s="136"/>
      <c r="CM45069" s="111"/>
      <c r="CQ45069" s="111"/>
      <c r="EF45069"/>
      <c r="EG45069"/>
      <c r="EH45069"/>
      <c r="EI45069"/>
      <c r="EJ45069"/>
      <c r="EK45069"/>
    </row>
    <row r="45070" spans="1:141" s="116" customFormat="1">
      <c r="A45070" s="136"/>
      <c r="CM45070" s="111"/>
      <c r="CQ45070" s="111"/>
      <c r="EF45070"/>
      <c r="EG45070"/>
      <c r="EH45070"/>
      <c r="EI45070"/>
      <c r="EJ45070"/>
      <c r="EK45070"/>
    </row>
    <row r="45071" spans="1:141" s="116" customFormat="1">
      <c r="A45071" s="136"/>
      <c r="CM45071" s="111"/>
      <c r="CQ45071" s="111"/>
      <c r="EF45071"/>
      <c r="EG45071"/>
      <c r="EH45071"/>
      <c r="EI45071"/>
      <c r="EJ45071"/>
      <c r="EK45071"/>
    </row>
    <row r="45072" spans="1:141" s="116" customFormat="1">
      <c r="A45072" s="136"/>
      <c r="CM45072" s="111"/>
      <c r="CQ45072" s="111"/>
      <c r="EF45072"/>
      <c r="EG45072"/>
      <c r="EH45072"/>
      <c r="EI45072"/>
      <c r="EJ45072"/>
      <c r="EK45072"/>
    </row>
    <row r="45073" spans="1:141" s="116" customFormat="1">
      <c r="A45073" s="136"/>
      <c r="CM45073" s="111"/>
      <c r="CQ45073" s="111"/>
      <c r="EF45073"/>
      <c r="EG45073"/>
      <c r="EH45073"/>
      <c r="EI45073"/>
      <c r="EJ45073"/>
      <c r="EK45073"/>
    </row>
    <row r="45074" spans="1:141" s="116" customFormat="1">
      <c r="A45074" s="136"/>
      <c r="CM45074" s="111"/>
      <c r="CQ45074" s="111"/>
      <c r="EF45074"/>
      <c r="EG45074"/>
      <c r="EH45074"/>
      <c r="EI45074"/>
      <c r="EJ45074"/>
      <c r="EK45074"/>
    </row>
    <row r="45075" spans="1:141" s="116" customFormat="1">
      <c r="A45075" s="136"/>
      <c r="CM45075" s="111"/>
      <c r="CQ45075" s="111"/>
      <c r="EF45075"/>
      <c r="EG45075"/>
      <c r="EH45075"/>
      <c r="EI45075"/>
      <c r="EJ45075"/>
      <c r="EK45075"/>
    </row>
    <row r="45076" spans="1:141" s="116" customFormat="1">
      <c r="A45076" s="136"/>
      <c r="CM45076" s="111"/>
      <c r="CQ45076" s="111"/>
      <c r="EF45076"/>
      <c r="EG45076"/>
      <c r="EH45076"/>
      <c r="EI45076"/>
      <c r="EJ45076"/>
      <c r="EK45076"/>
    </row>
    <row r="45077" spans="1:141" s="116" customFormat="1">
      <c r="A45077" s="136"/>
      <c r="CM45077" s="111"/>
      <c r="CQ45077" s="111"/>
      <c r="EF45077"/>
      <c r="EG45077"/>
      <c r="EH45077"/>
      <c r="EI45077"/>
      <c r="EJ45077"/>
      <c r="EK45077"/>
    </row>
    <row r="45078" spans="1:141" s="116" customFormat="1">
      <c r="A45078" s="136"/>
      <c r="CM45078" s="111"/>
      <c r="CQ45078" s="111"/>
      <c r="EF45078"/>
      <c r="EG45078"/>
      <c r="EH45078"/>
      <c r="EI45078"/>
      <c r="EJ45078"/>
      <c r="EK45078"/>
    </row>
    <row r="45079" spans="1:141" s="116" customFormat="1">
      <c r="A45079" s="136"/>
      <c r="CM45079" s="111"/>
      <c r="CQ45079" s="111"/>
      <c r="EF45079"/>
      <c r="EG45079"/>
      <c r="EH45079"/>
      <c r="EI45079"/>
      <c r="EJ45079"/>
      <c r="EK45079"/>
    </row>
    <row r="45080" spans="1:141" s="116" customFormat="1">
      <c r="A45080" s="136"/>
      <c r="CM45080" s="111"/>
      <c r="CQ45080" s="111"/>
      <c r="EF45080"/>
      <c r="EG45080"/>
      <c r="EH45080"/>
      <c r="EI45080"/>
      <c r="EJ45080"/>
      <c r="EK45080"/>
    </row>
    <row r="45081" spans="1:141" s="116" customFormat="1">
      <c r="A45081" s="136"/>
      <c r="CM45081" s="111"/>
      <c r="CQ45081" s="111"/>
      <c r="EF45081"/>
      <c r="EG45081"/>
      <c r="EH45081"/>
      <c r="EI45081"/>
      <c r="EJ45081"/>
      <c r="EK45081"/>
    </row>
    <row r="45082" spans="1:141" s="116" customFormat="1">
      <c r="A45082" s="136"/>
      <c r="CM45082" s="111"/>
      <c r="CQ45082" s="111"/>
      <c r="EF45082"/>
      <c r="EG45082"/>
      <c r="EH45082"/>
      <c r="EI45082"/>
      <c r="EJ45082"/>
      <c r="EK45082"/>
    </row>
    <row r="45083" spans="1:141" s="116" customFormat="1">
      <c r="A45083" s="136"/>
      <c r="CM45083" s="111"/>
      <c r="CQ45083" s="111"/>
      <c r="EF45083"/>
      <c r="EG45083"/>
      <c r="EH45083"/>
      <c r="EI45083"/>
      <c r="EJ45083"/>
      <c r="EK45083"/>
    </row>
    <row r="45084" spans="1:141" s="116" customFormat="1">
      <c r="A45084" s="136"/>
      <c r="CM45084" s="111"/>
      <c r="CQ45084" s="111"/>
      <c r="EF45084"/>
      <c r="EG45084"/>
      <c r="EH45084"/>
      <c r="EI45084"/>
      <c r="EJ45084"/>
      <c r="EK45084"/>
    </row>
    <row r="45085" spans="1:141" s="116" customFormat="1">
      <c r="A45085" s="136"/>
      <c r="CM45085" s="111"/>
      <c r="CQ45085" s="111"/>
      <c r="EF45085"/>
      <c r="EG45085"/>
      <c r="EH45085"/>
      <c r="EI45085"/>
      <c r="EJ45085"/>
      <c r="EK45085"/>
    </row>
    <row r="45086" spans="1:141" s="116" customFormat="1">
      <c r="A45086" s="136"/>
      <c r="CM45086" s="111"/>
      <c r="CQ45086" s="111"/>
      <c r="EF45086"/>
      <c r="EG45086"/>
      <c r="EH45086"/>
      <c r="EI45086"/>
      <c r="EJ45086"/>
      <c r="EK45086"/>
    </row>
    <row r="45087" spans="1:141" s="116" customFormat="1">
      <c r="A45087" s="136"/>
      <c r="CM45087" s="111"/>
      <c r="CQ45087" s="111"/>
      <c r="EF45087"/>
      <c r="EG45087"/>
      <c r="EH45087"/>
      <c r="EI45087"/>
      <c r="EJ45087"/>
      <c r="EK45087"/>
    </row>
    <row r="45088" spans="1:141" s="116" customFormat="1">
      <c r="A45088" s="136"/>
      <c r="CM45088" s="111"/>
      <c r="CQ45088" s="111"/>
      <c r="EF45088"/>
      <c r="EG45088"/>
      <c r="EH45088"/>
      <c r="EI45088"/>
      <c r="EJ45088"/>
      <c r="EK45088"/>
    </row>
    <row r="45089" spans="1:141" s="116" customFormat="1">
      <c r="A45089" s="136"/>
      <c r="CM45089" s="111"/>
      <c r="CQ45089" s="111"/>
      <c r="EF45089"/>
      <c r="EG45089"/>
      <c r="EH45089"/>
      <c r="EI45089"/>
      <c r="EJ45089"/>
      <c r="EK45089"/>
    </row>
    <row r="45090" spans="1:141" s="116" customFormat="1">
      <c r="A45090" s="136"/>
      <c r="CM45090" s="111"/>
      <c r="CQ45090" s="111"/>
      <c r="EF45090"/>
      <c r="EG45090"/>
      <c r="EH45090"/>
      <c r="EI45090"/>
      <c r="EJ45090"/>
      <c r="EK45090"/>
    </row>
    <row r="45091" spans="1:141" s="116" customFormat="1">
      <c r="A45091" s="136"/>
      <c r="CM45091" s="111"/>
      <c r="CQ45091" s="111"/>
      <c r="EF45091"/>
      <c r="EG45091"/>
      <c r="EH45091"/>
      <c r="EI45091"/>
      <c r="EJ45091"/>
      <c r="EK45091"/>
    </row>
    <row r="45092" spans="1:141" s="116" customFormat="1">
      <c r="A45092" s="136"/>
      <c r="CM45092" s="111"/>
      <c r="CQ45092" s="111"/>
      <c r="EF45092"/>
      <c r="EG45092"/>
      <c r="EH45092"/>
      <c r="EI45092"/>
      <c r="EJ45092"/>
      <c r="EK45092"/>
    </row>
    <row r="45093" spans="1:141" s="116" customFormat="1">
      <c r="A45093" s="136"/>
      <c r="CM45093" s="111"/>
      <c r="CQ45093" s="111"/>
      <c r="EF45093"/>
      <c r="EG45093"/>
      <c r="EH45093"/>
      <c r="EI45093"/>
      <c r="EJ45093"/>
      <c r="EK45093"/>
    </row>
    <row r="45094" spans="1:141" s="116" customFormat="1">
      <c r="A45094" s="136"/>
      <c r="CM45094" s="111"/>
      <c r="CQ45094" s="111"/>
      <c r="EF45094"/>
      <c r="EG45094"/>
      <c r="EH45094"/>
      <c r="EI45094"/>
      <c r="EJ45094"/>
      <c r="EK45094"/>
    </row>
    <row r="45095" spans="1:141" s="116" customFormat="1">
      <c r="A45095" s="136"/>
      <c r="CM45095" s="111"/>
      <c r="CQ45095" s="111"/>
      <c r="EF45095"/>
      <c r="EG45095"/>
      <c r="EH45095"/>
      <c r="EI45095"/>
      <c r="EJ45095"/>
      <c r="EK45095"/>
    </row>
    <row r="45096" spans="1:141" s="116" customFormat="1">
      <c r="A45096" s="136"/>
      <c r="CM45096" s="111"/>
      <c r="CQ45096" s="111"/>
      <c r="EF45096"/>
      <c r="EG45096"/>
      <c r="EH45096"/>
      <c r="EI45096"/>
      <c r="EJ45096"/>
      <c r="EK45096"/>
    </row>
    <row r="45097" spans="1:141" s="116" customFormat="1">
      <c r="A45097" s="136"/>
      <c r="CM45097" s="111"/>
      <c r="CQ45097" s="111"/>
      <c r="EF45097"/>
      <c r="EG45097"/>
      <c r="EH45097"/>
      <c r="EI45097"/>
      <c r="EJ45097"/>
      <c r="EK45097"/>
    </row>
    <row r="45098" spans="1:141" s="116" customFormat="1">
      <c r="A45098" s="136"/>
      <c r="CM45098" s="111"/>
      <c r="CQ45098" s="111"/>
      <c r="EF45098"/>
      <c r="EG45098"/>
      <c r="EH45098"/>
      <c r="EI45098"/>
      <c r="EJ45098"/>
      <c r="EK45098"/>
    </row>
    <row r="45099" spans="1:141" s="116" customFormat="1">
      <c r="A45099" s="136"/>
      <c r="CM45099" s="111"/>
      <c r="CQ45099" s="111"/>
      <c r="EF45099"/>
      <c r="EG45099"/>
      <c r="EH45099"/>
      <c r="EI45099"/>
      <c r="EJ45099"/>
      <c r="EK45099"/>
    </row>
    <row r="45100" spans="1:141" s="116" customFormat="1">
      <c r="A45100" s="136"/>
      <c r="CM45100" s="111"/>
      <c r="CQ45100" s="111"/>
      <c r="EF45100"/>
      <c r="EG45100"/>
      <c r="EH45100"/>
      <c r="EI45100"/>
      <c r="EJ45100"/>
      <c r="EK45100"/>
    </row>
    <row r="45101" spans="1:141" s="116" customFormat="1">
      <c r="A45101" s="136"/>
      <c r="CM45101" s="111"/>
      <c r="CQ45101" s="111"/>
      <c r="EF45101"/>
      <c r="EG45101"/>
      <c r="EH45101"/>
      <c r="EI45101"/>
      <c r="EJ45101"/>
      <c r="EK45101"/>
    </row>
    <row r="45102" spans="1:141" s="116" customFormat="1">
      <c r="A45102" s="136"/>
      <c r="CM45102" s="111"/>
      <c r="CQ45102" s="111"/>
      <c r="EF45102"/>
      <c r="EG45102"/>
      <c r="EH45102"/>
      <c r="EI45102"/>
      <c r="EJ45102"/>
      <c r="EK45102"/>
    </row>
    <row r="45103" spans="1:141" s="116" customFormat="1">
      <c r="A45103" s="136"/>
      <c r="CM45103" s="111"/>
      <c r="CQ45103" s="111"/>
      <c r="EF45103"/>
      <c r="EG45103"/>
      <c r="EH45103"/>
      <c r="EI45103"/>
      <c r="EJ45103"/>
      <c r="EK45103"/>
    </row>
    <row r="45104" spans="1:141" s="116" customFormat="1">
      <c r="A45104" s="136"/>
      <c r="CM45104" s="111"/>
      <c r="CQ45104" s="111"/>
      <c r="EF45104"/>
      <c r="EG45104"/>
      <c r="EH45104"/>
      <c r="EI45104"/>
      <c r="EJ45104"/>
      <c r="EK45104"/>
    </row>
    <row r="45105" spans="1:141" s="116" customFormat="1">
      <c r="A45105" s="136"/>
      <c r="CM45105" s="111"/>
      <c r="CQ45105" s="111"/>
      <c r="EF45105"/>
      <c r="EG45105"/>
      <c r="EH45105"/>
      <c r="EI45105"/>
      <c r="EJ45105"/>
      <c r="EK45105"/>
    </row>
    <row r="45106" spans="1:141" s="116" customFormat="1">
      <c r="A45106" s="136"/>
      <c r="CM45106" s="111"/>
      <c r="CQ45106" s="111"/>
      <c r="EF45106"/>
      <c r="EG45106"/>
      <c r="EH45106"/>
      <c r="EI45106"/>
      <c r="EJ45106"/>
      <c r="EK45106"/>
    </row>
    <row r="45107" spans="1:141" s="116" customFormat="1">
      <c r="A45107" s="136"/>
      <c r="CM45107" s="111"/>
      <c r="CQ45107" s="111"/>
      <c r="EF45107"/>
      <c r="EG45107"/>
      <c r="EH45107"/>
      <c r="EI45107"/>
      <c r="EJ45107"/>
      <c r="EK45107"/>
    </row>
    <row r="45108" spans="1:141" s="116" customFormat="1">
      <c r="A45108" s="136"/>
      <c r="CM45108" s="111"/>
      <c r="CQ45108" s="111"/>
      <c r="EF45108"/>
      <c r="EG45108"/>
      <c r="EH45108"/>
      <c r="EI45108"/>
      <c r="EJ45108"/>
      <c r="EK45108"/>
    </row>
    <row r="45109" spans="1:141" s="116" customFormat="1">
      <c r="A45109" s="136"/>
      <c r="CM45109" s="111"/>
      <c r="CQ45109" s="111"/>
      <c r="EF45109"/>
      <c r="EG45109"/>
      <c r="EH45109"/>
      <c r="EI45109"/>
      <c r="EJ45109"/>
      <c r="EK45109"/>
    </row>
    <row r="45110" spans="1:141" s="116" customFormat="1">
      <c r="A45110" s="136"/>
      <c r="CM45110" s="111"/>
      <c r="CQ45110" s="111"/>
      <c r="EF45110"/>
      <c r="EG45110"/>
      <c r="EH45110"/>
      <c r="EI45110"/>
      <c r="EJ45110"/>
      <c r="EK45110"/>
    </row>
    <row r="45111" spans="1:141" s="116" customFormat="1">
      <c r="A45111" s="136"/>
      <c r="CM45111" s="111"/>
      <c r="CQ45111" s="111"/>
      <c r="EF45111"/>
      <c r="EG45111"/>
      <c r="EH45111"/>
      <c r="EI45111"/>
      <c r="EJ45111"/>
      <c r="EK45111"/>
    </row>
    <row r="45112" spans="1:141" s="116" customFormat="1">
      <c r="A45112" s="136"/>
      <c r="CM45112" s="111"/>
      <c r="CQ45112" s="111"/>
      <c r="EF45112"/>
      <c r="EG45112"/>
      <c r="EH45112"/>
      <c r="EI45112"/>
      <c r="EJ45112"/>
      <c r="EK45112"/>
    </row>
    <row r="45113" spans="1:141" s="116" customFormat="1">
      <c r="A45113" s="136"/>
      <c r="CM45113" s="111"/>
      <c r="CQ45113" s="111"/>
      <c r="EF45113"/>
      <c r="EG45113"/>
      <c r="EH45113"/>
      <c r="EI45113"/>
      <c r="EJ45113"/>
      <c r="EK45113"/>
    </row>
    <row r="45114" spans="1:141" s="116" customFormat="1">
      <c r="A45114" s="136"/>
      <c r="CM45114" s="111"/>
      <c r="CQ45114" s="111"/>
      <c r="EF45114"/>
      <c r="EG45114"/>
      <c r="EH45114"/>
      <c r="EI45114"/>
      <c r="EJ45114"/>
      <c r="EK45114"/>
    </row>
    <row r="45115" spans="1:141" s="116" customFormat="1">
      <c r="A45115" s="136"/>
      <c r="CM45115" s="111"/>
      <c r="CQ45115" s="111"/>
      <c r="EF45115"/>
      <c r="EG45115"/>
      <c r="EH45115"/>
      <c r="EI45115"/>
      <c r="EJ45115"/>
      <c r="EK45115"/>
    </row>
    <row r="45116" spans="1:141" s="116" customFormat="1">
      <c r="A45116" s="136"/>
      <c r="CM45116" s="111"/>
      <c r="CQ45116" s="111"/>
      <c r="EF45116"/>
      <c r="EG45116"/>
      <c r="EH45116"/>
      <c r="EI45116"/>
      <c r="EJ45116"/>
      <c r="EK45116"/>
    </row>
    <row r="45117" spans="1:141" s="116" customFormat="1">
      <c r="A45117" s="136"/>
      <c r="CM45117" s="111"/>
      <c r="CQ45117" s="111"/>
      <c r="EF45117"/>
      <c r="EG45117"/>
      <c r="EH45117"/>
      <c r="EI45117"/>
      <c r="EJ45117"/>
      <c r="EK45117"/>
    </row>
    <row r="45118" spans="1:141" s="116" customFormat="1">
      <c r="A45118" s="136"/>
      <c r="CM45118" s="111"/>
      <c r="CQ45118" s="111"/>
      <c r="EF45118"/>
      <c r="EG45118"/>
      <c r="EH45118"/>
      <c r="EI45118"/>
      <c r="EJ45118"/>
      <c r="EK45118"/>
    </row>
    <row r="45119" spans="1:141" s="116" customFormat="1">
      <c r="A45119" s="136"/>
      <c r="CM45119" s="111"/>
      <c r="CQ45119" s="111"/>
      <c r="EF45119"/>
      <c r="EG45119"/>
      <c r="EH45119"/>
      <c r="EI45119"/>
      <c r="EJ45119"/>
      <c r="EK45119"/>
    </row>
    <row r="45120" spans="1:141" s="116" customFormat="1">
      <c r="A45120" s="136"/>
      <c r="CM45120" s="111"/>
      <c r="CQ45120" s="111"/>
      <c r="EF45120"/>
      <c r="EG45120"/>
      <c r="EH45120"/>
      <c r="EI45120"/>
      <c r="EJ45120"/>
      <c r="EK45120"/>
    </row>
    <row r="45121" spans="1:141" s="116" customFormat="1">
      <c r="A45121" s="136"/>
      <c r="CM45121" s="111"/>
      <c r="CQ45121" s="111"/>
      <c r="EF45121"/>
      <c r="EG45121"/>
      <c r="EH45121"/>
      <c r="EI45121"/>
      <c r="EJ45121"/>
      <c r="EK45121"/>
    </row>
    <row r="45122" spans="1:141" s="116" customFormat="1">
      <c r="A45122" s="136"/>
      <c r="CM45122" s="111"/>
      <c r="CQ45122" s="111"/>
      <c r="EF45122"/>
      <c r="EG45122"/>
      <c r="EH45122"/>
      <c r="EI45122"/>
      <c r="EJ45122"/>
      <c r="EK45122"/>
    </row>
    <row r="45123" spans="1:141" s="116" customFormat="1">
      <c r="A45123" s="136"/>
      <c r="CM45123" s="111"/>
      <c r="CQ45123" s="111"/>
      <c r="EF45123"/>
      <c r="EG45123"/>
      <c r="EH45123"/>
      <c r="EI45123"/>
      <c r="EJ45123"/>
      <c r="EK45123"/>
    </row>
    <row r="45124" spans="1:141" s="116" customFormat="1">
      <c r="A45124" s="136"/>
      <c r="CM45124" s="111"/>
      <c r="CQ45124" s="111"/>
      <c r="EF45124"/>
      <c r="EG45124"/>
      <c r="EH45124"/>
      <c r="EI45124"/>
      <c r="EJ45124"/>
      <c r="EK45124"/>
    </row>
    <row r="45125" spans="1:141" s="116" customFormat="1">
      <c r="A45125" s="136"/>
      <c r="CM45125" s="111"/>
      <c r="CQ45125" s="111"/>
      <c r="EF45125"/>
      <c r="EG45125"/>
      <c r="EH45125"/>
      <c r="EI45125"/>
      <c r="EJ45125"/>
      <c r="EK45125"/>
    </row>
    <row r="45126" spans="1:141" s="116" customFormat="1">
      <c r="A45126" s="136"/>
      <c r="CM45126" s="111"/>
      <c r="CQ45126" s="111"/>
      <c r="EF45126"/>
      <c r="EG45126"/>
      <c r="EH45126"/>
      <c r="EI45126"/>
      <c r="EJ45126"/>
      <c r="EK45126"/>
    </row>
    <row r="45127" spans="1:141" s="116" customFormat="1">
      <c r="A45127" s="136"/>
      <c r="CM45127" s="111"/>
      <c r="CQ45127" s="111"/>
      <c r="EF45127"/>
      <c r="EG45127"/>
      <c r="EH45127"/>
      <c r="EI45127"/>
      <c r="EJ45127"/>
      <c r="EK45127"/>
    </row>
    <row r="45128" spans="1:141" s="116" customFormat="1">
      <c r="A45128" s="136"/>
      <c r="CM45128" s="111"/>
      <c r="CQ45128" s="111"/>
      <c r="EF45128"/>
      <c r="EG45128"/>
      <c r="EH45128"/>
      <c r="EI45128"/>
      <c r="EJ45128"/>
      <c r="EK45128"/>
    </row>
    <row r="45129" spans="1:141" s="116" customFormat="1">
      <c r="A45129" s="136"/>
      <c r="CM45129" s="111"/>
      <c r="CQ45129" s="111"/>
      <c r="EF45129"/>
      <c r="EG45129"/>
      <c r="EH45129"/>
      <c r="EI45129"/>
      <c r="EJ45129"/>
      <c r="EK45129"/>
    </row>
    <row r="45130" spans="1:141" s="116" customFormat="1">
      <c r="A45130" s="136"/>
      <c r="CM45130" s="111"/>
      <c r="CQ45130" s="111"/>
      <c r="EF45130"/>
      <c r="EG45130"/>
      <c r="EH45130"/>
      <c r="EI45130"/>
      <c r="EJ45130"/>
      <c r="EK45130"/>
    </row>
    <row r="45131" spans="1:141" s="116" customFormat="1">
      <c r="A45131" s="136"/>
      <c r="CM45131" s="111"/>
      <c r="CQ45131" s="111"/>
      <c r="EF45131"/>
      <c r="EG45131"/>
      <c r="EH45131"/>
      <c r="EI45131"/>
      <c r="EJ45131"/>
      <c r="EK45131"/>
    </row>
    <row r="45132" spans="1:141" s="116" customFormat="1">
      <c r="A45132" s="136"/>
      <c r="CM45132" s="111"/>
      <c r="CQ45132" s="111"/>
      <c r="EF45132"/>
      <c r="EG45132"/>
      <c r="EH45132"/>
      <c r="EI45132"/>
      <c r="EJ45132"/>
      <c r="EK45132"/>
    </row>
    <row r="45133" spans="1:141" s="116" customFormat="1">
      <c r="A45133" s="136"/>
      <c r="CM45133" s="111"/>
      <c r="CQ45133" s="111"/>
      <c r="EF45133"/>
      <c r="EG45133"/>
      <c r="EH45133"/>
      <c r="EI45133"/>
      <c r="EJ45133"/>
      <c r="EK45133"/>
    </row>
    <row r="45134" spans="1:141" s="116" customFormat="1">
      <c r="A45134" s="136"/>
      <c r="CM45134" s="111"/>
      <c r="CQ45134" s="111"/>
      <c r="EF45134"/>
      <c r="EG45134"/>
      <c r="EH45134"/>
      <c r="EI45134"/>
      <c r="EJ45134"/>
      <c r="EK45134"/>
    </row>
    <row r="45135" spans="1:141" s="116" customFormat="1">
      <c r="A45135" s="136"/>
      <c r="CM45135" s="111"/>
      <c r="CQ45135" s="111"/>
      <c r="EF45135"/>
      <c r="EG45135"/>
      <c r="EH45135"/>
      <c r="EI45135"/>
      <c r="EJ45135"/>
      <c r="EK45135"/>
    </row>
    <row r="45136" spans="1:141" s="116" customFormat="1">
      <c r="A45136" s="136"/>
      <c r="CM45136" s="111"/>
      <c r="CQ45136" s="111"/>
      <c r="EF45136"/>
      <c r="EG45136"/>
      <c r="EH45136"/>
      <c r="EI45136"/>
      <c r="EJ45136"/>
      <c r="EK45136"/>
    </row>
    <row r="45137" spans="1:141" s="116" customFormat="1">
      <c r="A45137" s="136"/>
      <c r="CM45137" s="111"/>
      <c r="CQ45137" s="111"/>
      <c r="EF45137"/>
      <c r="EG45137"/>
      <c r="EH45137"/>
      <c r="EI45137"/>
      <c r="EJ45137"/>
      <c r="EK45137"/>
    </row>
    <row r="45138" spans="1:141" s="116" customFormat="1">
      <c r="A45138" s="136"/>
      <c r="CM45138" s="111"/>
      <c r="CQ45138" s="111"/>
      <c r="EF45138"/>
      <c r="EG45138"/>
      <c r="EH45138"/>
      <c r="EI45138"/>
      <c r="EJ45138"/>
      <c r="EK45138"/>
    </row>
    <row r="45139" spans="1:141" s="116" customFormat="1">
      <c r="A45139" s="136"/>
      <c r="CM45139" s="111"/>
      <c r="CQ45139" s="111"/>
      <c r="EF45139"/>
      <c r="EG45139"/>
      <c r="EH45139"/>
      <c r="EI45139"/>
      <c r="EJ45139"/>
      <c r="EK45139"/>
    </row>
    <row r="45140" spans="1:141" s="116" customFormat="1">
      <c r="A45140" s="136"/>
      <c r="CM45140" s="111"/>
      <c r="CQ45140" s="111"/>
      <c r="EF45140"/>
      <c r="EG45140"/>
      <c r="EH45140"/>
      <c r="EI45140"/>
      <c r="EJ45140"/>
      <c r="EK45140"/>
    </row>
    <row r="45141" spans="1:141" s="116" customFormat="1">
      <c r="A45141" s="136"/>
      <c r="CM45141" s="111"/>
      <c r="CQ45141" s="111"/>
      <c r="EF45141"/>
      <c r="EG45141"/>
      <c r="EH45141"/>
      <c r="EI45141"/>
      <c r="EJ45141"/>
      <c r="EK45141"/>
    </row>
    <row r="45142" spans="1:141" s="116" customFormat="1">
      <c r="A45142" s="136"/>
      <c r="CM45142" s="111"/>
      <c r="CQ45142" s="111"/>
      <c r="EF45142"/>
      <c r="EG45142"/>
      <c r="EH45142"/>
      <c r="EI45142"/>
      <c r="EJ45142"/>
      <c r="EK45142"/>
    </row>
    <row r="45143" spans="1:141" s="116" customFormat="1">
      <c r="A45143" s="136"/>
      <c r="CM45143" s="111"/>
      <c r="CQ45143" s="111"/>
      <c r="EF45143"/>
      <c r="EG45143"/>
      <c r="EH45143"/>
      <c r="EI45143"/>
      <c r="EJ45143"/>
      <c r="EK45143"/>
    </row>
    <row r="45144" spans="1:141" s="116" customFormat="1">
      <c r="A45144" s="136"/>
      <c r="CM45144" s="111"/>
      <c r="CQ45144" s="111"/>
      <c r="EF45144"/>
      <c r="EG45144"/>
      <c r="EH45144"/>
      <c r="EI45144"/>
      <c r="EJ45144"/>
      <c r="EK45144"/>
    </row>
    <row r="45145" spans="1:141" s="116" customFormat="1">
      <c r="A45145" s="136"/>
      <c r="CM45145" s="111"/>
      <c r="CQ45145" s="111"/>
      <c r="EF45145"/>
      <c r="EG45145"/>
      <c r="EH45145"/>
      <c r="EI45145"/>
      <c r="EJ45145"/>
      <c r="EK45145"/>
    </row>
    <row r="45146" spans="1:141" s="116" customFormat="1">
      <c r="A45146" s="136"/>
      <c r="CM45146" s="111"/>
      <c r="CQ45146" s="111"/>
      <c r="EF45146"/>
      <c r="EG45146"/>
      <c r="EH45146"/>
      <c r="EI45146"/>
      <c r="EJ45146"/>
      <c r="EK45146"/>
    </row>
    <row r="45147" spans="1:141" s="116" customFormat="1">
      <c r="A45147" s="136"/>
      <c r="CM45147" s="111"/>
      <c r="CQ45147" s="111"/>
      <c r="EF45147"/>
      <c r="EG45147"/>
      <c r="EH45147"/>
      <c r="EI45147"/>
      <c r="EJ45147"/>
      <c r="EK45147"/>
    </row>
    <row r="45148" spans="1:141" s="116" customFormat="1">
      <c r="A45148" s="136"/>
      <c r="CM45148" s="111"/>
      <c r="CQ45148" s="111"/>
      <c r="EF45148"/>
      <c r="EG45148"/>
      <c r="EH45148"/>
      <c r="EI45148"/>
      <c r="EJ45148"/>
      <c r="EK45148"/>
    </row>
    <row r="45149" spans="1:141" s="116" customFormat="1">
      <c r="A45149" s="136"/>
      <c r="CM45149" s="111"/>
      <c r="CQ45149" s="111"/>
      <c r="EF45149"/>
      <c r="EG45149"/>
      <c r="EH45149"/>
      <c r="EI45149"/>
      <c r="EJ45149"/>
      <c r="EK45149"/>
    </row>
    <row r="45150" spans="1:141" s="116" customFormat="1">
      <c r="A45150" s="136"/>
      <c r="CM45150" s="111"/>
      <c r="CQ45150" s="111"/>
      <c r="EF45150"/>
      <c r="EG45150"/>
      <c r="EH45150"/>
      <c r="EI45150"/>
      <c r="EJ45150"/>
      <c r="EK45150"/>
    </row>
    <row r="45151" spans="1:141" s="116" customFormat="1">
      <c r="A45151" s="136"/>
      <c r="CM45151" s="111"/>
      <c r="CQ45151" s="111"/>
      <c r="EF45151"/>
      <c r="EG45151"/>
      <c r="EH45151"/>
      <c r="EI45151"/>
      <c r="EJ45151"/>
      <c r="EK45151"/>
    </row>
    <row r="45152" spans="1:141" s="116" customFormat="1">
      <c r="A45152" s="136"/>
      <c r="CM45152" s="111"/>
      <c r="CQ45152" s="111"/>
      <c r="EF45152"/>
      <c r="EG45152"/>
      <c r="EH45152"/>
      <c r="EI45152"/>
      <c r="EJ45152"/>
      <c r="EK45152"/>
    </row>
    <row r="45153" spans="1:141" s="116" customFormat="1">
      <c r="A45153" s="136"/>
      <c r="CM45153" s="111"/>
      <c r="CQ45153" s="111"/>
      <c r="EF45153"/>
      <c r="EG45153"/>
      <c r="EH45153"/>
      <c r="EI45153"/>
      <c r="EJ45153"/>
      <c r="EK45153"/>
    </row>
    <row r="45154" spans="1:141" s="116" customFormat="1">
      <c r="A45154" s="136"/>
      <c r="CM45154" s="111"/>
      <c r="CQ45154" s="111"/>
      <c r="EF45154"/>
      <c r="EG45154"/>
      <c r="EH45154"/>
      <c r="EI45154"/>
      <c r="EJ45154"/>
      <c r="EK45154"/>
    </row>
    <row r="45155" spans="1:141" s="116" customFormat="1">
      <c r="A45155" s="136"/>
      <c r="CM45155" s="111"/>
      <c r="CQ45155" s="111"/>
      <c r="EF45155"/>
      <c r="EG45155"/>
      <c r="EH45155"/>
      <c r="EI45155"/>
      <c r="EJ45155"/>
      <c r="EK45155"/>
    </row>
    <row r="45156" spans="1:141" s="116" customFormat="1">
      <c r="A45156" s="136"/>
      <c r="CM45156" s="111"/>
      <c r="CQ45156" s="111"/>
      <c r="EF45156"/>
      <c r="EG45156"/>
      <c r="EH45156"/>
      <c r="EI45156"/>
      <c r="EJ45156"/>
      <c r="EK45156"/>
    </row>
    <row r="45157" spans="1:141" s="116" customFormat="1">
      <c r="A45157" s="136"/>
      <c r="CM45157" s="111"/>
      <c r="CQ45157" s="111"/>
      <c r="EF45157"/>
      <c r="EG45157"/>
      <c r="EH45157"/>
      <c r="EI45157"/>
      <c r="EJ45157"/>
      <c r="EK45157"/>
    </row>
    <row r="45158" spans="1:141" s="116" customFormat="1">
      <c r="A45158" s="136"/>
      <c r="CM45158" s="111"/>
      <c r="CQ45158" s="111"/>
      <c r="EF45158"/>
      <c r="EG45158"/>
      <c r="EH45158"/>
      <c r="EI45158"/>
      <c r="EJ45158"/>
      <c r="EK45158"/>
    </row>
    <row r="45159" spans="1:141" s="116" customFormat="1">
      <c r="A45159" s="136"/>
      <c r="CM45159" s="111"/>
      <c r="CQ45159" s="111"/>
      <c r="EF45159"/>
      <c r="EG45159"/>
      <c r="EH45159"/>
      <c r="EI45159"/>
      <c r="EJ45159"/>
      <c r="EK45159"/>
    </row>
    <row r="45160" spans="1:141" s="116" customFormat="1">
      <c r="A45160" s="136"/>
      <c r="CM45160" s="111"/>
      <c r="CQ45160" s="111"/>
      <c r="EF45160"/>
      <c r="EG45160"/>
      <c r="EH45160"/>
      <c r="EI45160"/>
      <c r="EJ45160"/>
      <c r="EK45160"/>
    </row>
    <row r="45161" spans="1:141" s="116" customFormat="1">
      <c r="A45161" s="136"/>
      <c r="CM45161" s="111"/>
      <c r="CQ45161" s="111"/>
      <c r="EF45161"/>
      <c r="EG45161"/>
      <c r="EH45161"/>
      <c r="EI45161"/>
      <c r="EJ45161"/>
      <c r="EK45161"/>
    </row>
    <row r="45162" spans="1:141" s="116" customFormat="1">
      <c r="A45162" s="136"/>
      <c r="CM45162" s="111"/>
      <c r="CQ45162" s="111"/>
      <c r="EF45162"/>
      <c r="EG45162"/>
      <c r="EH45162"/>
      <c r="EI45162"/>
      <c r="EJ45162"/>
      <c r="EK45162"/>
    </row>
    <row r="45163" spans="1:141" s="116" customFormat="1">
      <c r="A45163" s="136"/>
      <c r="CM45163" s="111"/>
      <c r="CQ45163" s="111"/>
      <c r="EF45163"/>
      <c r="EG45163"/>
      <c r="EH45163"/>
      <c r="EI45163"/>
      <c r="EJ45163"/>
      <c r="EK45163"/>
    </row>
    <row r="45164" spans="1:141" s="116" customFormat="1">
      <c r="A45164" s="136"/>
      <c r="CM45164" s="111"/>
      <c r="CQ45164" s="111"/>
      <c r="EF45164"/>
      <c r="EG45164"/>
      <c r="EH45164"/>
      <c r="EI45164"/>
      <c r="EJ45164"/>
      <c r="EK45164"/>
    </row>
    <row r="45165" spans="1:141" s="116" customFormat="1">
      <c r="A45165" s="136"/>
      <c r="CM45165" s="111"/>
      <c r="CQ45165" s="111"/>
      <c r="EF45165"/>
      <c r="EG45165"/>
      <c r="EH45165"/>
      <c r="EI45165"/>
      <c r="EJ45165"/>
      <c r="EK45165"/>
    </row>
    <row r="45166" spans="1:141" s="116" customFormat="1">
      <c r="A45166" s="136"/>
      <c r="CM45166" s="111"/>
      <c r="CQ45166" s="111"/>
      <c r="EF45166"/>
      <c r="EG45166"/>
      <c r="EH45166"/>
      <c r="EI45166"/>
      <c r="EJ45166"/>
      <c r="EK45166"/>
    </row>
    <row r="45167" spans="1:141" s="116" customFormat="1">
      <c r="A45167" s="136"/>
      <c r="CM45167" s="111"/>
      <c r="CQ45167" s="111"/>
      <c r="EF45167"/>
      <c r="EG45167"/>
      <c r="EH45167"/>
      <c r="EI45167"/>
      <c r="EJ45167"/>
      <c r="EK45167"/>
    </row>
    <row r="45168" spans="1:141" s="116" customFormat="1">
      <c r="A45168" s="136"/>
      <c r="CM45168" s="111"/>
      <c r="CQ45168" s="111"/>
      <c r="EF45168"/>
      <c r="EG45168"/>
      <c r="EH45168"/>
      <c r="EI45168"/>
      <c r="EJ45168"/>
      <c r="EK45168"/>
    </row>
    <row r="45169" spans="1:141" s="116" customFormat="1">
      <c r="A45169" s="136"/>
      <c r="CM45169" s="111"/>
      <c r="CQ45169" s="111"/>
      <c r="EF45169"/>
      <c r="EG45169"/>
      <c r="EH45169"/>
      <c r="EI45169"/>
      <c r="EJ45169"/>
      <c r="EK45169"/>
    </row>
    <row r="45170" spans="1:141" s="116" customFormat="1">
      <c r="A45170" s="136"/>
      <c r="CM45170" s="111"/>
      <c r="CQ45170" s="111"/>
      <c r="EF45170"/>
      <c r="EG45170"/>
      <c r="EH45170"/>
      <c r="EI45170"/>
      <c r="EJ45170"/>
      <c r="EK45170"/>
    </row>
    <row r="45171" spans="1:141" s="116" customFormat="1">
      <c r="A45171" s="136"/>
      <c r="CM45171" s="111"/>
      <c r="CQ45171" s="111"/>
      <c r="EF45171"/>
      <c r="EG45171"/>
      <c r="EH45171"/>
      <c r="EI45171"/>
      <c r="EJ45171"/>
      <c r="EK45171"/>
    </row>
    <row r="45172" spans="1:141" s="116" customFormat="1">
      <c r="A45172" s="136"/>
      <c r="CM45172" s="111"/>
      <c r="CQ45172" s="111"/>
      <c r="EF45172"/>
      <c r="EG45172"/>
      <c r="EH45172"/>
      <c r="EI45172"/>
      <c r="EJ45172"/>
      <c r="EK45172"/>
    </row>
    <row r="45173" spans="1:141" s="116" customFormat="1">
      <c r="A45173" s="136"/>
      <c r="CM45173" s="111"/>
      <c r="CQ45173" s="111"/>
      <c r="EF45173"/>
      <c r="EG45173"/>
      <c r="EH45173"/>
      <c r="EI45173"/>
      <c r="EJ45173"/>
      <c r="EK45173"/>
    </row>
    <row r="45174" spans="1:141" s="116" customFormat="1">
      <c r="A45174" s="136"/>
      <c r="CM45174" s="111"/>
      <c r="CQ45174" s="111"/>
      <c r="EF45174"/>
      <c r="EG45174"/>
      <c r="EH45174"/>
      <c r="EI45174"/>
      <c r="EJ45174"/>
      <c r="EK45174"/>
    </row>
    <row r="45175" spans="1:141" s="116" customFormat="1">
      <c r="A45175" s="136"/>
      <c r="CM45175" s="111"/>
      <c r="CQ45175" s="111"/>
      <c r="EF45175"/>
      <c r="EG45175"/>
      <c r="EH45175"/>
      <c r="EI45175"/>
      <c r="EJ45175"/>
      <c r="EK45175"/>
    </row>
    <row r="45176" spans="1:141" s="116" customFormat="1">
      <c r="A45176" s="136"/>
      <c r="CM45176" s="111"/>
      <c r="CQ45176" s="111"/>
      <c r="EF45176"/>
      <c r="EG45176"/>
      <c r="EH45176"/>
      <c r="EI45176"/>
      <c r="EJ45176"/>
      <c r="EK45176"/>
    </row>
    <row r="45177" spans="1:141" s="116" customFormat="1">
      <c r="A45177" s="136"/>
      <c r="CM45177" s="111"/>
      <c r="CQ45177" s="111"/>
      <c r="EF45177"/>
      <c r="EG45177"/>
      <c r="EH45177"/>
      <c r="EI45177"/>
      <c r="EJ45177"/>
      <c r="EK45177"/>
    </row>
    <row r="45178" spans="1:141" s="116" customFormat="1">
      <c r="A45178" s="136"/>
      <c r="CM45178" s="111"/>
      <c r="CQ45178" s="111"/>
      <c r="EF45178"/>
      <c r="EG45178"/>
      <c r="EH45178"/>
      <c r="EI45178"/>
      <c r="EJ45178"/>
      <c r="EK45178"/>
    </row>
    <row r="45179" spans="1:141" s="116" customFormat="1">
      <c r="A45179" s="136"/>
      <c r="CM45179" s="111"/>
      <c r="CQ45179" s="111"/>
      <c r="EF45179"/>
      <c r="EG45179"/>
      <c r="EH45179"/>
      <c r="EI45179"/>
      <c r="EJ45179"/>
      <c r="EK45179"/>
    </row>
    <row r="45180" spans="1:141" s="116" customFormat="1">
      <c r="A45180" s="136"/>
      <c r="CM45180" s="111"/>
      <c r="CQ45180" s="111"/>
      <c r="EF45180"/>
      <c r="EG45180"/>
      <c r="EH45180"/>
      <c r="EI45180"/>
      <c r="EJ45180"/>
      <c r="EK45180"/>
    </row>
    <row r="45181" spans="1:141" s="116" customFormat="1">
      <c r="A45181" s="136"/>
      <c r="CM45181" s="111"/>
      <c r="CQ45181" s="111"/>
      <c r="EF45181"/>
      <c r="EG45181"/>
      <c r="EH45181"/>
      <c r="EI45181"/>
      <c r="EJ45181"/>
      <c r="EK45181"/>
    </row>
    <row r="45182" spans="1:141" s="116" customFormat="1">
      <c r="A45182" s="136"/>
      <c r="CM45182" s="111"/>
      <c r="CQ45182" s="111"/>
      <c r="EF45182"/>
      <c r="EG45182"/>
      <c r="EH45182"/>
      <c r="EI45182"/>
      <c r="EJ45182"/>
      <c r="EK45182"/>
    </row>
    <row r="45183" spans="1:141" s="116" customFormat="1">
      <c r="A45183" s="136"/>
      <c r="CM45183" s="111"/>
      <c r="CQ45183" s="111"/>
      <c r="EF45183"/>
      <c r="EG45183"/>
      <c r="EH45183"/>
      <c r="EI45183"/>
      <c r="EJ45183"/>
      <c r="EK45183"/>
    </row>
    <row r="45184" spans="1:141" s="116" customFormat="1">
      <c r="A45184" s="136"/>
      <c r="CM45184" s="111"/>
      <c r="CQ45184" s="111"/>
      <c r="EF45184"/>
      <c r="EG45184"/>
      <c r="EH45184"/>
      <c r="EI45184"/>
      <c r="EJ45184"/>
      <c r="EK45184"/>
    </row>
    <row r="45185" spans="1:141" s="116" customFormat="1">
      <c r="A45185" s="136"/>
      <c r="CM45185" s="111"/>
      <c r="CQ45185" s="111"/>
      <c r="EF45185"/>
      <c r="EG45185"/>
      <c r="EH45185"/>
      <c r="EI45185"/>
      <c r="EJ45185"/>
      <c r="EK45185"/>
    </row>
    <row r="45186" spans="1:141" s="116" customFormat="1">
      <c r="A45186" s="136"/>
      <c r="CM45186" s="111"/>
      <c r="CQ45186" s="111"/>
      <c r="EF45186"/>
      <c r="EG45186"/>
      <c r="EH45186"/>
      <c r="EI45186"/>
      <c r="EJ45186"/>
      <c r="EK45186"/>
    </row>
    <row r="45187" spans="1:141" s="116" customFormat="1">
      <c r="A45187" s="136"/>
      <c r="CM45187" s="111"/>
      <c r="CQ45187" s="111"/>
      <c r="EF45187"/>
      <c r="EG45187"/>
      <c r="EH45187"/>
      <c r="EI45187"/>
      <c r="EJ45187"/>
      <c r="EK45187"/>
    </row>
    <row r="45188" spans="1:141" s="116" customFormat="1">
      <c r="A45188" s="136"/>
      <c r="CM45188" s="111"/>
      <c r="CQ45188" s="111"/>
      <c r="EF45188"/>
      <c r="EG45188"/>
      <c r="EH45188"/>
      <c r="EI45188"/>
      <c r="EJ45188"/>
      <c r="EK45188"/>
    </row>
    <row r="45189" spans="1:141" s="116" customFormat="1">
      <c r="A45189" s="136"/>
      <c r="CM45189" s="111"/>
      <c r="CQ45189" s="111"/>
      <c r="EF45189"/>
      <c r="EG45189"/>
      <c r="EH45189"/>
      <c r="EI45189"/>
      <c r="EJ45189"/>
      <c r="EK45189"/>
    </row>
    <row r="45190" spans="1:141" s="116" customFormat="1">
      <c r="A45190" s="136"/>
      <c r="CM45190" s="111"/>
      <c r="CQ45190" s="111"/>
      <c r="EF45190"/>
      <c r="EG45190"/>
      <c r="EH45190"/>
      <c r="EI45190"/>
      <c r="EJ45190"/>
      <c r="EK45190"/>
    </row>
    <row r="45191" spans="1:141" s="116" customFormat="1">
      <c r="A45191" s="136"/>
      <c r="CM45191" s="111"/>
      <c r="CQ45191" s="111"/>
      <c r="EF45191"/>
      <c r="EG45191"/>
      <c r="EH45191"/>
      <c r="EI45191"/>
      <c r="EJ45191"/>
      <c r="EK45191"/>
    </row>
    <row r="45192" spans="1:141" s="116" customFormat="1">
      <c r="A45192" s="136"/>
      <c r="CM45192" s="111"/>
      <c r="CQ45192" s="111"/>
      <c r="EF45192"/>
      <c r="EG45192"/>
      <c r="EH45192"/>
      <c r="EI45192"/>
      <c r="EJ45192"/>
      <c r="EK45192"/>
    </row>
    <row r="45193" spans="1:141" s="116" customFormat="1">
      <c r="A45193" s="136"/>
      <c r="CM45193" s="111"/>
      <c r="CQ45193" s="111"/>
      <c r="EF45193"/>
      <c r="EG45193"/>
      <c r="EH45193"/>
      <c r="EI45193"/>
      <c r="EJ45193"/>
      <c r="EK45193"/>
    </row>
    <row r="45194" spans="1:141" s="116" customFormat="1">
      <c r="A45194" s="136"/>
      <c r="CM45194" s="111"/>
      <c r="CQ45194" s="111"/>
      <c r="EF45194"/>
      <c r="EG45194"/>
      <c r="EH45194"/>
      <c r="EI45194"/>
      <c r="EJ45194"/>
      <c r="EK45194"/>
    </row>
    <row r="45195" spans="1:141" s="116" customFormat="1">
      <c r="A45195" s="136"/>
      <c r="CM45195" s="111"/>
      <c r="CQ45195" s="111"/>
      <c r="EF45195"/>
      <c r="EG45195"/>
      <c r="EH45195"/>
      <c r="EI45195"/>
      <c r="EJ45195"/>
      <c r="EK45195"/>
    </row>
    <row r="45196" spans="1:141" s="116" customFormat="1">
      <c r="A45196" s="136"/>
      <c r="CM45196" s="111"/>
      <c r="CQ45196" s="111"/>
      <c r="EF45196"/>
      <c r="EG45196"/>
      <c r="EH45196"/>
      <c r="EI45196"/>
      <c r="EJ45196"/>
      <c r="EK45196"/>
    </row>
    <row r="45197" spans="1:141" s="116" customFormat="1">
      <c r="A45197" s="136"/>
      <c r="CM45197" s="111"/>
      <c r="CQ45197" s="111"/>
      <c r="EF45197"/>
      <c r="EG45197"/>
      <c r="EH45197"/>
      <c r="EI45197"/>
      <c r="EJ45197"/>
      <c r="EK45197"/>
    </row>
    <row r="45198" spans="1:141" s="116" customFormat="1">
      <c r="A45198" s="136"/>
      <c r="CM45198" s="111"/>
      <c r="CQ45198" s="111"/>
      <c r="EF45198"/>
      <c r="EG45198"/>
      <c r="EH45198"/>
      <c r="EI45198"/>
      <c r="EJ45198"/>
      <c r="EK45198"/>
    </row>
    <row r="45199" spans="1:141" s="116" customFormat="1">
      <c r="A45199" s="136"/>
      <c r="CM45199" s="111"/>
      <c r="CQ45199" s="111"/>
      <c r="EF45199"/>
      <c r="EG45199"/>
      <c r="EH45199"/>
      <c r="EI45199"/>
      <c r="EJ45199"/>
      <c r="EK45199"/>
    </row>
    <row r="45200" spans="1:141" s="116" customFormat="1">
      <c r="A45200" s="136"/>
      <c r="CM45200" s="111"/>
      <c r="CQ45200" s="111"/>
      <c r="EF45200"/>
      <c r="EG45200"/>
      <c r="EH45200"/>
      <c r="EI45200"/>
      <c r="EJ45200"/>
      <c r="EK45200"/>
    </row>
    <row r="45201" spans="1:141" s="116" customFormat="1">
      <c r="A45201" s="136"/>
      <c r="CM45201" s="111"/>
      <c r="CQ45201" s="111"/>
      <c r="EF45201"/>
      <c r="EG45201"/>
      <c r="EH45201"/>
      <c r="EI45201"/>
      <c r="EJ45201"/>
      <c r="EK45201"/>
    </row>
    <row r="45202" spans="1:141" s="116" customFormat="1">
      <c r="A45202" s="136"/>
      <c r="CM45202" s="111"/>
      <c r="CQ45202" s="111"/>
      <c r="EF45202"/>
      <c r="EG45202"/>
      <c r="EH45202"/>
      <c r="EI45202"/>
      <c r="EJ45202"/>
      <c r="EK45202"/>
    </row>
    <row r="45203" spans="1:141" s="116" customFormat="1">
      <c r="A45203" s="136"/>
      <c r="CM45203" s="111"/>
      <c r="CQ45203" s="111"/>
      <c r="EF45203"/>
      <c r="EG45203"/>
      <c r="EH45203"/>
      <c r="EI45203"/>
      <c r="EJ45203"/>
      <c r="EK45203"/>
    </row>
    <row r="45204" spans="1:141" s="116" customFormat="1">
      <c r="A45204" s="136"/>
      <c r="CM45204" s="111"/>
      <c r="CQ45204" s="111"/>
      <c r="EF45204"/>
      <c r="EG45204"/>
      <c r="EH45204"/>
      <c r="EI45204"/>
      <c r="EJ45204"/>
      <c r="EK45204"/>
    </row>
    <row r="45205" spans="1:141" s="116" customFormat="1">
      <c r="A45205" s="136"/>
      <c r="CM45205" s="111"/>
      <c r="CQ45205" s="111"/>
      <c r="EF45205"/>
      <c r="EG45205"/>
      <c r="EH45205"/>
      <c r="EI45205"/>
      <c r="EJ45205"/>
      <c r="EK45205"/>
    </row>
    <row r="45206" spans="1:141" s="116" customFormat="1">
      <c r="A45206" s="136"/>
      <c r="CM45206" s="111"/>
      <c r="CQ45206" s="111"/>
      <c r="EF45206"/>
      <c r="EG45206"/>
      <c r="EH45206"/>
      <c r="EI45206"/>
      <c r="EJ45206"/>
      <c r="EK45206"/>
    </row>
    <row r="45207" spans="1:141" s="116" customFormat="1">
      <c r="A45207" s="136"/>
      <c r="CM45207" s="111"/>
      <c r="CQ45207" s="111"/>
      <c r="EF45207"/>
      <c r="EG45207"/>
      <c r="EH45207"/>
      <c r="EI45207"/>
      <c r="EJ45207"/>
      <c r="EK45207"/>
    </row>
    <row r="45208" spans="1:141" s="116" customFormat="1">
      <c r="A45208" s="136"/>
      <c r="CM45208" s="111"/>
      <c r="CQ45208" s="111"/>
      <c r="EF45208"/>
      <c r="EG45208"/>
      <c r="EH45208"/>
      <c r="EI45208"/>
      <c r="EJ45208"/>
      <c r="EK45208"/>
    </row>
    <row r="45209" spans="1:141" s="116" customFormat="1">
      <c r="A45209" s="136"/>
      <c r="CM45209" s="111"/>
      <c r="CQ45209" s="111"/>
      <c r="EF45209"/>
      <c r="EG45209"/>
      <c r="EH45209"/>
      <c r="EI45209"/>
      <c r="EJ45209"/>
      <c r="EK45209"/>
    </row>
    <row r="45210" spans="1:141" s="116" customFormat="1">
      <c r="A45210" s="136"/>
      <c r="CM45210" s="111"/>
      <c r="CQ45210" s="111"/>
      <c r="EF45210"/>
      <c r="EG45210"/>
      <c r="EH45210"/>
      <c r="EI45210"/>
      <c r="EJ45210"/>
      <c r="EK45210"/>
    </row>
    <row r="45211" spans="1:141" s="116" customFormat="1">
      <c r="A45211" s="136"/>
      <c r="CM45211" s="111"/>
      <c r="CQ45211" s="111"/>
      <c r="EF45211"/>
      <c r="EG45211"/>
      <c r="EH45211"/>
      <c r="EI45211"/>
      <c r="EJ45211"/>
      <c r="EK45211"/>
    </row>
    <row r="45212" spans="1:141" s="116" customFormat="1">
      <c r="A45212" s="136"/>
      <c r="CM45212" s="111"/>
      <c r="CQ45212" s="111"/>
      <c r="EF45212"/>
      <c r="EG45212"/>
      <c r="EH45212"/>
      <c r="EI45212"/>
      <c r="EJ45212"/>
      <c r="EK45212"/>
    </row>
    <row r="45213" spans="1:141" s="116" customFormat="1">
      <c r="A45213" s="136"/>
      <c r="CM45213" s="111"/>
      <c r="CQ45213" s="111"/>
      <c r="EF45213"/>
      <c r="EG45213"/>
      <c r="EH45213"/>
      <c r="EI45213"/>
      <c r="EJ45213"/>
      <c r="EK45213"/>
    </row>
    <row r="45214" spans="1:141" s="116" customFormat="1">
      <c r="A45214" s="136"/>
      <c r="CM45214" s="111"/>
      <c r="CQ45214" s="111"/>
      <c r="EF45214"/>
      <c r="EG45214"/>
      <c r="EH45214"/>
      <c r="EI45214"/>
      <c r="EJ45214"/>
      <c r="EK45214"/>
    </row>
    <row r="45215" spans="1:141" s="116" customFormat="1">
      <c r="A45215" s="136"/>
      <c r="CM45215" s="111"/>
      <c r="CQ45215" s="111"/>
      <c r="EF45215"/>
      <c r="EG45215"/>
      <c r="EH45215"/>
      <c r="EI45215"/>
      <c r="EJ45215"/>
      <c r="EK45215"/>
    </row>
    <row r="45216" spans="1:141" s="116" customFormat="1">
      <c r="A45216" s="136"/>
      <c r="CM45216" s="111"/>
      <c r="CQ45216" s="111"/>
      <c r="EF45216"/>
      <c r="EG45216"/>
      <c r="EH45216"/>
      <c r="EI45216"/>
      <c r="EJ45216"/>
      <c r="EK45216"/>
    </row>
    <row r="45217" spans="1:141" s="116" customFormat="1">
      <c r="A45217" s="136"/>
      <c r="CM45217" s="111"/>
      <c r="CQ45217" s="111"/>
      <c r="EF45217"/>
      <c r="EG45217"/>
      <c r="EH45217"/>
      <c r="EI45217"/>
      <c r="EJ45217"/>
      <c r="EK45217"/>
    </row>
    <row r="45218" spans="1:141" s="116" customFormat="1">
      <c r="A45218" s="136"/>
      <c r="CM45218" s="111"/>
      <c r="CQ45218" s="111"/>
      <c r="EF45218"/>
      <c r="EG45218"/>
      <c r="EH45218"/>
      <c r="EI45218"/>
      <c r="EJ45218"/>
      <c r="EK45218"/>
    </row>
    <row r="45219" spans="1:141" s="116" customFormat="1">
      <c r="A45219" s="136"/>
      <c r="CM45219" s="111"/>
      <c r="CQ45219" s="111"/>
      <c r="EF45219"/>
      <c r="EG45219"/>
      <c r="EH45219"/>
      <c r="EI45219"/>
      <c r="EJ45219"/>
      <c r="EK45219"/>
    </row>
    <row r="45220" spans="1:141" s="116" customFormat="1">
      <c r="A45220" s="136"/>
      <c r="CM45220" s="111"/>
      <c r="CQ45220" s="111"/>
      <c r="EF45220"/>
      <c r="EG45220"/>
      <c r="EH45220"/>
      <c r="EI45220"/>
      <c r="EJ45220"/>
      <c r="EK45220"/>
    </row>
    <row r="45221" spans="1:141" s="116" customFormat="1">
      <c r="A45221" s="136"/>
      <c r="CM45221" s="111"/>
      <c r="CQ45221" s="111"/>
      <c r="EF45221"/>
      <c r="EG45221"/>
      <c r="EH45221"/>
      <c r="EI45221"/>
      <c r="EJ45221"/>
      <c r="EK45221"/>
    </row>
    <row r="45222" spans="1:141" s="116" customFormat="1">
      <c r="A45222" s="136"/>
      <c r="CM45222" s="111"/>
      <c r="CQ45222" s="111"/>
      <c r="EF45222"/>
      <c r="EG45222"/>
      <c r="EH45222"/>
      <c r="EI45222"/>
      <c r="EJ45222"/>
      <c r="EK45222"/>
    </row>
    <row r="45223" spans="1:141" s="116" customFormat="1">
      <c r="A45223" s="136"/>
      <c r="CM45223" s="111"/>
      <c r="CQ45223" s="111"/>
      <c r="EF45223"/>
      <c r="EG45223"/>
      <c r="EH45223"/>
      <c r="EI45223"/>
      <c r="EJ45223"/>
      <c r="EK45223"/>
    </row>
    <row r="45224" spans="1:141" s="116" customFormat="1">
      <c r="A45224" s="136"/>
      <c r="CM45224" s="111"/>
      <c r="CQ45224" s="111"/>
      <c r="EF45224"/>
      <c r="EG45224"/>
      <c r="EH45224"/>
      <c r="EI45224"/>
      <c r="EJ45224"/>
      <c r="EK45224"/>
    </row>
    <row r="45225" spans="1:141" s="116" customFormat="1">
      <c r="A45225" s="136"/>
      <c r="CM45225" s="111"/>
      <c r="CQ45225" s="111"/>
      <c r="EF45225"/>
      <c r="EG45225"/>
      <c r="EH45225"/>
      <c r="EI45225"/>
      <c r="EJ45225"/>
      <c r="EK45225"/>
    </row>
    <row r="45226" spans="1:141" s="116" customFormat="1">
      <c r="A45226" s="136"/>
      <c r="CM45226" s="111"/>
      <c r="CQ45226" s="111"/>
      <c r="EF45226"/>
      <c r="EG45226"/>
      <c r="EH45226"/>
      <c r="EI45226"/>
      <c r="EJ45226"/>
      <c r="EK45226"/>
    </row>
    <row r="45227" spans="1:141" s="116" customFormat="1">
      <c r="A45227" s="136"/>
      <c r="CM45227" s="111"/>
      <c r="CQ45227" s="111"/>
      <c r="EF45227"/>
      <c r="EG45227"/>
      <c r="EH45227"/>
      <c r="EI45227"/>
      <c r="EJ45227"/>
      <c r="EK45227"/>
    </row>
    <row r="45228" spans="1:141" s="116" customFormat="1">
      <c r="A45228" s="136"/>
      <c r="CM45228" s="111"/>
      <c r="CQ45228" s="111"/>
      <c r="EF45228"/>
      <c r="EG45228"/>
      <c r="EH45228"/>
      <c r="EI45228"/>
      <c r="EJ45228"/>
      <c r="EK45228"/>
    </row>
    <row r="45229" spans="1:141" s="116" customFormat="1">
      <c r="A45229" s="136"/>
      <c r="CM45229" s="111"/>
      <c r="CQ45229" s="111"/>
      <c r="EF45229"/>
      <c r="EG45229"/>
      <c r="EH45229"/>
      <c r="EI45229"/>
      <c r="EJ45229"/>
      <c r="EK45229"/>
    </row>
    <row r="45230" spans="1:141" s="116" customFormat="1">
      <c r="A45230" s="136"/>
      <c r="CM45230" s="111"/>
      <c r="CQ45230" s="111"/>
      <c r="EF45230"/>
      <c r="EG45230"/>
      <c r="EH45230"/>
      <c r="EI45230"/>
      <c r="EJ45230"/>
      <c r="EK45230"/>
    </row>
    <row r="45231" spans="1:141" s="116" customFormat="1">
      <c r="A45231" s="136"/>
      <c r="CM45231" s="111"/>
      <c r="CQ45231" s="111"/>
      <c r="EF45231"/>
      <c r="EG45231"/>
      <c r="EH45231"/>
      <c r="EI45231"/>
      <c r="EJ45231"/>
      <c r="EK45231"/>
    </row>
    <row r="45232" spans="1:141" s="116" customFormat="1">
      <c r="A45232" s="136"/>
      <c r="CM45232" s="111"/>
      <c r="CQ45232" s="111"/>
      <c r="EF45232"/>
      <c r="EG45232"/>
      <c r="EH45232"/>
      <c r="EI45232"/>
      <c r="EJ45232"/>
      <c r="EK45232"/>
    </row>
    <row r="45233" spans="1:141" s="116" customFormat="1">
      <c r="A45233" s="136"/>
      <c r="CM45233" s="111"/>
      <c r="CQ45233" s="111"/>
      <c r="EF45233"/>
      <c r="EG45233"/>
      <c r="EH45233"/>
      <c r="EI45233"/>
      <c r="EJ45233"/>
      <c r="EK45233"/>
    </row>
    <row r="45234" spans="1:141" s="116" customFormat="1">
      <c r="A45234" s="136"/>
      <c r="CM45234" s="111"/>
      <c r="CQ45234" s="111"/>
      <c r="EF45234"/>
      <c r="EG45234"/>
      <c r="EH45234"/>
      <c r="EI45234"/>
      <c r="EJ45234"/>
      <c r="EK45234"/>
    </row>
    <row r="45235" spans="1:141" s="116" customFormat="1">
      <c r="A45235" s="136"/>
      <c r="CM45235" s="111"/>
      <c r="CQ45235" s="111"/>
      <c r="EF45235"/>
      <c r="EG45235"/>
      <c r="EH45235"/>
      <c r="EI45235"/>
      <c r="EJ45235"/>
      <c r="EK45235"/>
    </row>
    <row r="45236" spans="1:141" s="116" customFormat="1">
      <c r="A45236" s="136"/>
      <c r="CM45236" s="111"/>
      <c r="CQ45236" s="111"/>
      <c r="EF45236"/>
      <c r="EG45236"/>
      <c r="EH45236"/>
      <c r="EI45236"/>
      <c r="EJ45236"/>
      <c r="EK45236"/>
    </row>
    <row r="45237" spans="1:141" s="116" customFormat="1">
      <c r="A45237" s="136"/>
      <c r="CM45237" s="111"/>
      <c r="CQ45237" s="111"/>
      <c r="EF45237"/>
      <c r="EG45237"/>
      <c r="EH45237"/>
      <c r="EI45237"/>
      <c r="EJ45237"/>
      <c r="EK45237"/>
    </row>
    <row r="45238" spans="1:141" s="116" customFormat="1">
      <c r="A45238" s="136"/>
      <c r="CM45238" s="111"/>
      <c r="CQ45238" s="111"/>
      <c r="EF45238"/>
      <c r="EG45238"/>
      <c r="EH45238"/>
      <c r="EI45238"/>
      <c r="EJ45238"/>
      <c r="EK45238"/>
    </row>
    <row r="45239" spans="1:141" s="116" customFormat="1">
      <c r="A45239" s="136"/>
      <c r="CM45239" s="111"/>
      <c r="CQ45239" s="111"/>
      <c r="EF45239"/>
      <c r="EG45239"/>
      <c r="EH45239"/>
      <c r="EI45239"/>
      <c r="EJ45239"/>
      <c r="EK45239"/>
    </row>
    <row r="45240" spans="1:141" s="116" customFormat="1">
      <c r="A45240" s="136"/>
      <c r="CM45240" s="111"/>
      <c r="CQ45240" s="111"/>
      <c r="EF45240"/>
      <c r="EG45240"/>
      <c r="EH45240"/>
      <c r="EI45240"/>
      <c r="EJ45240"/>
      <c r="EK45240"/>
    </row>
    <row r="45241" spans="1:141" s="116" customFormat="1">
      <c r="A45241" s="136"/>
      <c r="CM45241" s="111"/>
      <c r="CQ45241" s="111"/>
      <c r="EF45241"/>
      <c r="EG45241"/>
      <c r="EH45241"/>
      <c r="EI45241"/>
      <c r="EJ45241"/>
      <c r="EK45241"/>
    </row>
    <row r="45242" spans="1:141" s="116" customFormat="1">
      <c r="A45242" s="136"/>
      <c r="CM45242" s="111"/>
      <c r="CQ45242" s="111"/>
      <c r="EF45242"/>
      <c r="EG45242"/>
      <c r="EH45242"/>
      <c r="EI45242"/>
      <c r="EJ45242"/>
      <c r="EK45242"/>
    </row>
    <row r="45243" spans="1:141" s="116" customFormat="1">
      <c r="A45243" s="136"/>
      <c r="CM45243" s="111"/>
      <c r="CQ45243" s="111"/>
      <c r="EF45243"/>
      <c r="EG45243"/>
      <c r="EH45243"/>
      <c r="EI45243"/>
      <c r="EJ45243"/>
      <c r="EK45243"/>
    </row>
    <row r="45244" spans="1:141" s="116" customFormat="1">
      <c r="A45244" s="136"/>
      <c r="CM45244" s="111"/>
      <c r="CQ45244" s="111"/>
      <c r="EF45244"/>
      <c r="EG45244"/>
      <c r="EH45244"/>
      <c r="EI45244"/>
      <c r="EJ45244"/>
      <c r="EK45244"/>
    </row>
    <row r="45245" spans="1:141" s="116" customFormat="1">
      <c r="A45245" s="136"/>
      <c r="CM45245" s="111"/>
      <c r="CQ45245" s="111"/>
      <c r="EF45245"/>
      <c r="EG45245"/>
      <c r="EH45245"/>
      <c r="EI45245"/>
      <c r="EJ45245"/>
      <c r="EK45245"/>
    </row>
    <row r="45246" spans="1:141" s="116" customFormat="1">
      <c r="A45246" s="136"/>
      <c r="CM45246" s="111"/>
      <c r="CQ45246" s="111"/>
      <c r="EF45246"/>
      <c r="EG45246"/>
      <c r="EH45246"/>
      <c r="EI45246"/>
      <c r="EJ45246"/>
      <c r="EK45246"/>
    </row>
    <row r="45247" spans="1:141" s="116" customFormat="1">
      <c r="A45247" s="136"/>
      <c r="CM45247" s="111"/>
      <c r="CQ45247" s="111"/>
      <c r="EF45247"/>
      <c r="EG45247"/>
      <c r="EH45247"/>
      <c r="EI45247"/>
      <c r="EJ45247"/>
      <c r="EK45247"/>
    </row>
    <row r="45248" spans="1:141" s="116" customFormat="1">
      <c r="A45248" s="136"/>
      <c r="CM45248" s="111"/>
      <c r="CQ45248" s="111"/>
      <c r="EF45248"/>
      <c r="EG45248"/>
      <c r="EH45248"/>
      <c r="EI45248"/>
      <c r="EJ45248"/>
      <c r="EK45248"/>
    </row>
    <row r="45249" spans="1:141" s="116" customFormat="1">
      <c r="A45249" s="136"/>
      <c r="CM45249" s="111"/>
      <c r="CQ45249" s="111"/>
      <c r="EF45249"/>
      <c r="EG45249"/>
      <c r="EH45249"/>
      <c r="EI45249"/>
      <c r="EJ45249"/>
      <c r="EK45249"/>
    </row>
    <row r="45250" spans="1:141" s="116" customFormat="1">
      <c r="A45250" s="136"/>
      <c r="CM45250" s="111"/>
      <c r="CQ45250" s="111"/>
      <c r="EF45250"/>
      <c r="EG45250"/>
      <c r="EH45250"/>
      <c r="EI45250"/>
      <c r="EJ45250"/>
      <c r="EK45250"/>
    </row>
    <row r="45251" spans="1:141" s="116" customFormat="1">
      <c r="A45251" s="136"/>
      <c r="CM45251" s="111"/>
      <c r="CQ45251" s="111"/>
      <c r="EF45251"/>
      <c r="EG45251"/>
      <c r="EH45251"/>
      <c r="EI45251"/>
      <c r="EJ45251"/>
      <c r="EK45251"/>
    </row>
    <row r="45252" spans="1:141" s="116" customFormat="1">
      <c r="A45252" s="136"/>
      <c r="CM45252" s="111"/>
      <c r="CQ45252" s="111"/>
      <c r="EF45252"/>
      <c r="EG45252"/>
      <c r="EH45252"/>
      <c r="EI45252"/>
      <c r="EJ45252"/>
      <c r="EK45252"/>
    </row>
    <row r="45253" spans="1:141" s="116" customFormat="1">
      <c r="A45253" s="136"/>
      <c r="CM45253" s="111"/>
      <c r="CQ45253" s="111"/>
      <c r="EF45253"/>
      <c r="EG45253"/>
      <c r="EH45253"/>
      <c r="EI45253"/>
      <c r="EJ45253"/>
      <c r="EK45253"/>
    </row>
    <row r="45254" spans="1:141" s="116" customFormat="1">
      <c r="A45254" s="136"/>
      <c r="CM45254" s="111"/>
      <c r="CQ45254" s="111"/>
      <c r="EF45254"/>
      <c r="EG45254"/>
      <c r="EH45254"/>
      <c r="EI45254"/>
      <c r="EJ45254"/>
      <c r="EK45254"/>
    </row>
    <row r="45255" spans="1:141" s="116" customFormat="1">
      <c r="A45255" s="136"/>
      <c r="CM45255" s="111"/>
      <c r="CQ45255" s="111"/>
      <c r="EF45255"/>
      <c r="EG45255"/>
      <c r="EH45255"/>
      <c r="EI45255"/>
      <c r="EJ45255"/>
      <c r="EK45255"/>
    </row>
    <row r="45256" spans="1:141" s="116" customFormat="1">
      <c r="A45256" s="136"/>
      <c r="CM45256" s="111"/>
      <c r="CQ45256" s="111"/>
      <c r="EF45256"/>
      <c r="EG45256"/>
      <c r="EH45256"/>
      <c r="EI45256"/>
      <c r="EJ45256"/>
      <c r="EK45256"/>
    </row>
    <row r="45257" spans="1:141" s="116" customFormat="1">
      <c r="A45257" s="136"/>
      <c r="CM45257" s="111"/>
      <c r="CQ45257" s="111"/>
      <c r="EF45257"/>
      <c r="EG45257"/>
      <c r="EH45257"/>
      <c r="EI45257"/>
      <c r="EJ45257"/>
      <c r="EK45257"/>
    </row>
    <row r="45258" spans="1:141" s="116" customFormat="1">
      <c r="A45258" s="136"/>
      <c r="CM45258" s="111"/>
      <c r="CQ45258" s="111"/>
      <c r="EF45258"/>
      <c r="EG45258"/>
      <c r="EH45258"/>
      <c r="EI45258"/>
      <c r="EJ45258"/>
      <c r="EK45258"/>
    </row>
    <row r="45259" spans="1:141" s="116" customFormat="1">
      <c r="A45259" s="136"/>
      <c r="CM45259" s="111"/>
      <c r="CQ45259" s="111"/>
      <c r="EF45259"/>
      <c r="EG45259"/>
      <c r="EH45259"/>
      <c r="EI45259"/>
      <c r="EJ45259"/>
      <c r="EK45259"/>
    </row>
    <row r="45260" spans="1:141" s="116" customFormat="1">
      <c r="A45260" s="136"/>
      <c r="CM45260" s="111"/>
      <c r="CQ45260" s="111"/>
      <c r="EF45260"/>
      <c r="EG45260"/>
      <c r="EH45260"/>
      <c r="EI45260"/>
      <c r="EJ45260"/>
      <c r="EK45260"/>
    </row>
    <row r="45261" spans="1:141" s="116" customFormat="1">
      <c r="A45261" s="136"/>
      <c r="CM45261" s="111"/>
      <c r="CQ45261" s="111"/>
      <c r="EF45261"/>
      <c r="EG45261"/>
      <c r="EH45261"/>
      <c r="EI45261"/>
      <c r="EJ45261"/>
      <c r="EK45261"/>
    </row>
    <row r="45262" spans="1:141" s="116" customFormat="1">
      <c r="A45262" s="136"/>
      <c r="CM45262" s="111"/>
      <c r="CQ45262" s="111"/>
      <c r="EF45262"/>
      <c r="EG45262"/>
      <c r="EH45262"/>
      <c r="EI45262"/>
      <c r="EJ45262"/>
      <c r="EK45262"/>
    </row>
    <row r="45263" spans="1:141" s="116" customFormat="1">
      <c r="A45263" s="136"/>
      <c r="CM45263" s="111"/>
      <c r="CQ45263" s="111"/>
      <c r="EF45263"/>
      <c r="EG45263"/>
      <c r="EH45263"/>
      <c r="EI45263"/>
      <c r="EJ45263"/>
      <c r="EK45263"/>
    </row>
    <row r="45264" spans="1:141" s="116" customFormat="1">
      <c r="A45264" s="136"/>
      <c r="CM45264" s="111"/>
      <c r="CQ45264" s="111"/>
      <c r="EF45264"/>
      <c r="EG45264"/>
      <c r="EH45264"/>
      <c r="EI45264"/>
      <c r="EJ45264"/>
      <c r="EK45264"/>
    </row>
    <row r="45265" spans="1:141" s="116" customFormat="1">
      <c r="A45265" s="136"/>
      <c r="CM45265" s="111"/>
      <c r="CQ45265" s="111"/>
      <c r="EF45265"/>
      <c r="EG45265"/>
      <c r="EH45265"/>
      <c r="EI45265"/>
      <c r="EJ45265"/>
      <c r="EK45265"/>
    </row>
    <row r="45266" spans="1:141" s="116" customFormat="1">
      <c r="A45266" s="136"/>
      <c r="CM45266" s="111"/>
      <c r="CQ45266" s="111"/>
      <c r="EF45266"/>
      <c r="EG45266"/>
      <c r="EH45266"/>
      <c r="EI45266"/>
      <c r="EJ45266"/>
      <c r="EK45266"/>
    </row>
    <row r="45267" spans="1:141" s="116" customFormat="1">
      <c r="A45267" s="136"/>
      <c r="CM45267" s="111"/>
      <c r="CQ45267" s="111"/>
      <c r="EF45267"/>
      <c r="EG45267"/>
      <c r="EH45267"/>
      <c r="EI45267"/>
      <c r="EJ45267"/>
      <c r="EK45267"/>
    </row>
    <row r="45268" spans="1:141" s="116" customFormat="1">
      <c r="A45268" s="136"/>
      <c r="CM45268" s="111"/>
      <c r="CQ45268" s="111"/>
      <c r="EF45268"/>
      <c r="EG45268"/>
      <c r="EH45268"/>
      <c r="EI45268"/>
      <c r="EJ45268"/>
      <c r="EK45268"/>
    </row>
    <row r="45269" spans="1:141" s="116" customFormat="1">
      <c r="A45269" s="136"/>
      <c r="CM45269" s="111"/>
      <c r="CQ45269" s="111"/>
      <c r="EF45269"/>
      <c r="EG45269"/>
      <c r="EH45269"/>
      <c r="EI45269"/>
      <c r="EJ45269"/>
      <c r="EK45269"/>
    </row>
    <row r="45270" spans="1:141" s="116" customFormat="1">
      <c r="A45270" s="136"/>
      <c r="CM45270" s="111"/>
      <c r="CQ45270" s="111"/>
      <c r="EF45270"/>
      <c r="EG45270"/>
      <c r="EH45270"/>
      <c r="EI45270"/>
      <c r="EJ45270"/>
      <c r="EK45270"/>
    </row>
    <row r="45271" spans="1:141" s="116" customFormat="1">
      <c r="A45271" s="136"/>
      <c r="CM45271" s="111"/>
      <c r="CQ45271" s="111"/>
      <c r="EF45271"/>
      <c r="EG45271"/>
      <c r="EH45271"/>
      <c r="EI45271"/>
      <c r="EJ45271"/>
      <c r="EK45271"/>
    </row>
    <row r="45272" spans="1:141" s="116" customFormat="1">
      <c r="A45272" s="136"/>
      <c r="CM45272" s="111"/>
      <c r="CQ45272" s="111"/>
      <c r="EF45272"/>
      <c r="EG45272"/>
      <c r="EH45272"/>
      <c r="EI45272"/>
      <c r="EJ45272"/>
      <c r="EK45272"/>
    </row>
    <row r="45273" spans="1:141" s="116" customFormat="1">
      <c r="A45273" s="136"/>
      <c r="CM45273" s="111"/>
      <c r="CQ45273" s="111"/>
      <c r="EF45273"/>
      <c r="EG45273"/>
      <c r="EH45273"/>
      <c r="EI45273"/>
      <c r="EJ45273"/>
      <c r="EK45273"/>
    </row>
    <row r="45274" spans="1:141" s="116" customFormat="1">
      <c r="A45274" s="136"/>
      <c r="CM45274" s="111"/>
      <c r="CQ45274" s="111"/>
      <c r="EF45274"/>
      <c r="EG45274"/>
      <c r="EH45274"/>
      <c r="EI45274"/>
      <c r="EJ45274"/>
      <c r="EK45274"/>
    </row>
    <row r="45275" spans="1:141" s="116" customFormat="1">
      <c r="A45275" s="136"/>
      <c r="CM45275" s="111"/>
      <c r="CQ45275" s="111"/>
      <c r="EF45275"/>
      <c r="EG45275"/>
      <c r="EH45275"/>
      <c r="EI45275"/>
      <c r="EJ45275"/>
      <c r="EK45275"/>
    </row>
    <row r="45276" spans="1:141" s="116" customFormat="1">
      <c r="A45276" s="136"/>
      <c r="CM45276" s="111"/>
      <c r="CQ45276" s="111"/>
      <c r="EF45276"/>
      <c r="EG45276"/>
      <c r="EH45276"/>
      <c r="EI45276"/>
      <c r="EJ45276"/>
      <c r="EK45276"/>
    </row>
    <row r="45277" spans="1:141" s="116" customFormat="1">
      <c r="A45277" s="136"/>
      <c r="CM45277" s="111"/>
      <c r="CQ45277" s="111"/>
      <c r="EF45277"/>
      <c r="EG45277"/>
      <c r="EH45277"/>
      <c r="EI45277"/>
      <c r="EJ45277"/>
      <c r="EK45277"/>
    </row>
    <row r="45278" spans="1:141" s="116" customFormat="1">
      <c r="A45278" s="136"/>
      <c r="CM45278" s="111"/>
      <c r="CQ45278" s="111"/>
      <c r="EF45278"/>
      <c r="EG45278"/>
      <c r="EH45278"/>
      <c r="EI45278"/>
      <c r="EJ45278"/>
      <c r="EK45278"/>
    </row>
    <row r="45279" spans="1:141" s="116" customFormat="1">
      <c r="A45279" s="136"/>
      <c r="CM45279" s="111"/>
      <c r="CQ45279" s="111"/>
      <c r="EF45279"/>
      <c r="EG45279"/>
      <c r="EH45279"/>
      <c r="EI45279"/>
      <c r="EJ45279"/>
      <c r="EK45279"/>
    </row>
    <row r="45280" spans="1:141" s="116" customFormat="1">
      <c r="A45280" s="136"/>
      <c r="CM45280" s="111"/>
      <c r="CQ45280" s="111"/>
      <c r="EF45280"/>
      <c r="EG45280"/>
      <c r="EH45280"/>
      <c r="EI45280"/>
      <c r="EJ45280"/>
      <c r="EK45280"/>
    </row>
    <row r="45281" spans="1:141" s="116" customFormat="1">
      <c r="A45281" s="136"/>
      <c r="CM45281" s="111"/>
      <c r="CQ45281" s="111"/>
      <c r="EF45281"/>
      <c r="EG45281"/>
      <c r="EH45281"/>
      <c r="EI45281"/>
      <c r="EJ45281"/>
      <c r="EK45281"/>
    </row>
    <row r="45282" spans="1:141" s="116" customFormat="1">
      <c r="A45282" s="136"/>
      <c r="CM45282" s="111"/>
      <c r="CQ45282" s="111"/>
      <c r="EF45282"/>
      <c r="EG45282"/>
      <c r="EH45282"/>
      <c r="EI45282"/>
      <c r="EJ45282"/>
      <c r="EK45282"/>
    </row>
    <row r="45283" spans="1:141" s="116" customFormat="1">
      <c r="A45283" s="136"/>
      <c r="CM45283" s="111"/>
      <c r="CQ45283" s="111"/>
      <c r="EF45283"/>
      <c r="EG45283"/>
      <c r="EH45283"/>
      <c r="EI45283"/>
      <c r="EJ45283"/>
      <c r="EK45283"/>
    </row>
    <row r="45284" spans="1:141" s="116" customFormat="1">
      <c r="A45284" s="136"/>
      <c r="CM45284" s="111"/>
      <c r="CQ45284" s="111"/>
      <c r="EF45284"/>
      <c r="EG45284"/>
      <c r="EH45284"/>
      <c r="EI45284"/>
      <c r="EJ45284"/>
      <c r="EK45284"/>
    </row>
    <row r="45285" spans="1:141" s="116" customFormat="1">
      <c r="A45285" s="136"/>
      <c r="CM45285" s="111"/>
      <c r="CQ45285" s="111"/>
      <c r="EF45285"/>
      <c r="EG45285"/>
      <c r="EH45285"/>
      <c r="EI45285"/>
      <c r="EJ45285"/>
      <c r="EK45285"/>
    </row>
    <row r="45286" spans="1:141" s="116" customFormat="1">
      <c r="A45286" s="136"/>
      <c r="CM45286" s="111"/>
      <c r="CQ45286" s="111"/>
      <c r="EF45286"/>
      <c r="EG45286"/>
      <c r="EH45286"/>
      <c r="EI45286"/>
      <c r="EJ45286"/>
      <c r="EK45286"/>
    </row>
    <row r="45287" spans="1:141" s="116" customFormat="1">
      <c r="A45287" s="136"/>
      <c r="CM45287" s="111"/>
      <c r="CQ45287" s="111"/>
      <c r="EF45287"/>
      <c r="EG45287"/>
      <c r="EH45287"/>
      <c r="EI45287"/>
      <c r="EJ45287"/>
      <c r="EK45287"/>
    </row>
    <row r="45288" spans="1:141" s="116" customFormat="1">
      <c r="A45288" s="136"/>
      <c r="CM45288" s="111"/>
      <c r="CQ45288" s="111"/>
      <c r="EF45288"/>
      <c r="EG45288"/>
      <c r="EH45288"/>
      <c r="EI45288"/>
      <c r="EJ45288"/>
      <c r="EK45288"/>
    </row>
    <row r="45289" spans="1:141" s="116" customFormat="1">
      <c r="A45289" s="136"/>
      <c r="CM45289" s="111"/>
      <c r="CQ45289" s="111"/>
      <c r="EF45289"/>
      <c r="EG45289"/>
      <c r="EH45289"/>
      <c r="EI45289"/>
      <c r="EJ45289"/>
      <c r="EK45289"/>
    </row>
    <row r="45290" spans="1:141" s="116" customFormat="1">
      <c r="A45290" s="136"/>
      <c r="CM45290" s="111"/>
      <c r="CQ45290" s="111"/>
      <c r="EF45290"/>
      <c r="EG45290"/>
      <c r="EH45290"/>
      <c r="EI45290"/>
      <c r="EJ45290"/>
      <c r="EK45290"/>
    </row>
    <row r="45291" spans="1:141" s="116" customFormat="1">
      <c r="A45291" s="136"/>
      <c r="CM45291" s="111"/>
      <c r="CQ45291" s="111"/>
      <c r="EF45291"/>
      <c r="EG45291"/>
      <c r="EH45291"/>
      <c r="EI45291"/>
      <c r="EJ45291"/>
      <c r="EK45291"/>
    </row>
    <row r="45292" spans="1:141" s="116" customFormat="1">
      <c r="A45292" s="136"/>
      <c r="CM45292" s="111"/>
      <c r="CQ45292" s="111"/>
      <c r="EF45292"/>
      <c r="EG45292"/>
      <c r="EH45292"/>
      <c r="EI45292"/>
      <c r="EJ45292"/>
      <c r="EK45292"/>
    </row>
    <row r="45293" spans="1:141" s="116" customFormat="1">
      <c r="A45293" s="136"/>
      <c r="CM45293" s="111"/>
      <c r="CQ45293" s="111"/>
      <c r="EF45293"/>
      <c r="EG45293"/>
      <c r="EH45293"/>
      <c r="EI45293"/>
      <c r="EJ45293"/>
      <c r="EK45293"/>
    </row>
    <row r="45294" spans="1:141" s="116" customFormat="1">
      <c r="A45294" s="136"/>
      <c r="CM45294" s="111"/>
      <c r="CQ45294" s="111"/>
      <c r="EF45294"/>
      <c r="EG45294"/>
      <c r="EH45294"/>
      <c r="EI45294"/>
      <c r="EJ45294"/>
      <c r="EK45294"/>
    </row>
    <row r="45295" spans="1:141" s="116" customFormat="1">
      <c r="A45295" s="136"/>
      <c r="CM45295" s="111"/>
      <c r="CQ45295" s="111"/>
      <c r="EF45295"/>
      <c r="EG45295"/>
      <c r="EH45295"/>
      <c r="EI45295"/>
      <c r="EJ45295"/>
      <c r="EK45295"/>
    </row>
    <row r="45296" spans="1:141" s="116" customFormat="1">
      <c r="A45296" s="136"/>
      <c r="CM45296" s="111"/>
      <c r="CQ45296" s="111"/>
      <c r="EF45296"/>
      <c r="EG45296"/>
      <c r="EH45296"/>
      <c r="EI45296"/>
      <c r="EJ45296"/>
      <c r="EK45296"/>
    </row>
    <row r="45297" spans="1:141" s="116" customFormat="1">
      <c r="A45297" s="136"/>
      <c r="CM45297" s="111"/>
      <c r="CQ45297" s="111"/>
      <c r="EF45297"/>
      <c r="EG45297"/>
      <c r="EH45297"/>
      <c r="EI45297"/>
      <c r="EJ45297"/>
      <c r="EK45297"/>
    </row>
    <row r="45298" spans="1:141" s="116" customFormat="1">
      <c r="A45298" s="136"/>
      <c r="CM45298" s="111"/>
      <c r="CQ45298" s="111"/>
      <c r="EF45298"/>
      <c r="EG45298"/>
      <c r="EH45298"/>
      <c r="EI45298"/>
      <c r="EJ45298"/>
      <c r="EK45298"/>
    </row>
    <row r="45299" spans="1:141" s="116" customFormat="1">
      <c r="A45299" s="136"/>
      <c r="CM45299" s="111"/>
      <c r="CQ45299" s="111"/>
      <c r="EF45299"/>
      <c r="EG45299"/>
      <c r="EH45299"/>
      <c r="EI45299"/>
      <c r="EJ45299"/>
      <c r="EK45299"/>
    </row>
    <row r="45300" spans="1:141" s="116" customFormat="1">
      <c r="A45300" s="136"/>
      <c r="CM45300" s="111"/>
      <c r="CQ45300" s="111"/>
      <c r="EF45300"/>
      <c r="EG45300"/>
      <c r="EH45300"/>
      <c r="EI45300"/>
      <c r="EJ45300"/>
      <c r="EK45300"/>
    </row>
    <row r="45301" spans="1:141" s="116" customFormat="1">
      <c r="A45301" s="136"/>
      <c r="CM45301" s="111"/>
      <c r="CQ45301" s="111"/>
      <c r="EF45301"/>
      <c r="EG45301"/>
      <c r="EH45301"/>
      <c r="EI45301"/>
      <c r="EJ45301"/>
      <c r="EK45301"/>
    </row>
    <row r="45302" spans="1:141" s="116" customFormat="1">
      <c r="A45302" s="136"/>
      <c r="CM45302" s="111"/>
      <c r="CQ45302" s="111"/>
      <c r="EF45302"/>
      <c r="EG45302"/>
      <c r="EH45302"/>
      <c r="EI45302"/>
      <c r="EJ45302"/>
      <c r="EK45302"/>
    </row>
    <row r="45303" spans="1:141" s="116" customFormat="1">
      <c r="A45303" s="136"/>
      <c r="CM45303" s="111"/>
      <c r="CQ45303" s="111"/>
      <c r="EF45303"/>
      <c r="EG45303"/>
      <c r="EH45303"/>
      <c r="EI45303"/>
      <c r="EJ45303"/>
      <c r="EK45303"/>
    </row>
    <row r="45304" spans="1:141" s="116" customFormat="1">
      <c r="A45304" s="136"/>
      <c r="CM45304" s="111"/>
      <c r="CQ45304" s="111"/>
      <c r="EF45304"/>
      <c r="EG45304"/>
      <c r="EH45304"/>
      <c r="EI45304"/>
      <c r="EJ45304"/>
      <c r="EK45304"/>
    </row>
    <row r="45305" spans="1:141" s="116" customFormat="1">
      <c r="A45305" s="136"/>
      <c r="CM45305" s="111"/>
      <c r="CQ45305" s="111"/>
      <c r="EF45305"/>
      <c r="EG45305"/>
      <c r="EH45305"/>
      <c r="EI45305"/>
      <c r="EJ45305"/>
      <c r="EK45305"/>
    </row>
    <row r="45306" spans="1:141" s="116" customFormat="1">
      <c r="A45306" s="136"/>
      <c r="CM45306" s="111"/>
      <c r="CQ45306" s="111"/>
      <c r="EF45306"/>
      <c r="EG45306"/>
      <c r="EH45306"/>
      <c r="EI45306"/>
      <c r="EJ45306"/>
      <c r="EK45306"/>
    </row>
    <row r="45307" spans="1:141" s="116" customFormat="1">
      <c r="A45307" s="136"/>
      <c r="CM45307" s="111"/>
      <c r="CQ45307" s="111"/>
      <c r="EF45307"/>
      <c r="EG45307"/>
      <c r="EH45307"/>
      <c r="EI45307"/>
      <c r="EJ45307"/>
      <c r="EK45307"/>
    </row>
    <row r="45308" spans="1:141" s="116" customFormat="1">
      <c r="A45308" s="136"/>
      <c r="CM45308" s="111"/>
      <c r="CQ45308" s="111"/>
      <c r="EF45308"/>
      <c r="EG45308"/>
      <c r="EH45308"/>
      <c r="EI45308"/>
      <c r="EJ45308"/>
      <c r="EK45308"/>
    </row>
    <row r="45309" spans="1:141" s="116" customFormat="1">
      <c r="A45309" s="136"/>
      <c r="CM45309" s="111"/>
      <c r="CQ45309" s="111"/>
      <c r="EF45309"/>
      <c r="EG45309"/>
      <c r="EH45309"/>
      <c r="EI45309"/>
      <c r="EJ45309"/>
      <c r="EK45309"/>
    </row>
    <row r="45310" spans="1:141" s="116" customFormat="1">
      <c r="A45310" s="136"/>
      <c r="CM45310" s="111"/>
      <c r="CQ45310" s="111"/>
      <c r="EF45310"/>
      <c r="EG45310"/>
      <c r="EH45310"/>
      <c r="EI45310"/>
      <c r="EJ45310"/>
      <c r="EK45310"/>
    </row>
    <row r="45311" spans="1:141" s="116" customFormat="1">
      <c r="A45311" s="136"/>
      <c r="CM45311" s="111"/>
      <c r="CQ45311" s="111"/>
      <c r="EF45311"/>
      <c r="EG45311"/>
      <c r="EH45311"/>
      <c r="EI45311"/>
      <c r="EJ45311"/>
      <c r="EK45311"/>
    </row>
    <row r="45312" spans="1:141" s="116" customFormat="1">
      <c r="A45312" s="136"/>
      <c r="CM45312" s="111"/>
      <c r="CQ45312" s="111"/>
      <c r="EF45312"/>
      <c r="EG45312"/>
      <c r="EH45312"/>
      <c r="EI45312"/>
      <c r="EJ45312"/>
      <c r="EK45312"/>
    </row>
    <row r="45313" spans="1:141" s="116" customFormat="1">
      <c r="A45313" s="136"/>
      <c r="CM45313" s="111"/>
      <c r="CQ45313" s="111"/>
      <c r="EF45313"/>
      <c r="EG45313"/>
      <c r="EH45313"/>
      <c r="EI45313"/>
      <c r="EJ45313"/>
      <c r="EK45313"/>
    </row>
    <row r="45314" spans="1:141" s="116" customFormat="1">
      <c r="A45314" s="136"/>
      <c r="CM45314" s="111"/>
      <c r="CQ45314" s="111"/>
      <c r="EF45314"/>
      <c r="EG45314"/>
      <c r="EH45314"/>
      <c r="EI45314"/>
      <c r="EJ45314"/>
      <c r="EK45314"/>
    </row>
    <row r="45315" spans="1:141" s="116" customFormat="1">
      <c r="A45315" s="136"/>
      <c r="CM45315" s="111"/>
      <c r="CQ45315" s="111"/>
      <c r="EF45315"/>
      <c r="EG45315"/>
      <c r="EH45315"/>
      <c r="EI45315"/>
      <c r="EJ45315"/>
      <c r="EK45315"/>
    </row>
    <row r="45316" spans="1:141" s="116" customFormat="1">
      <c r="A45316" s="136"/>
      <c r="CM45316" s="111"/>
      <c r="CQ45316" s="111"/>
      <c r="EF45316"/>
      <c r="EG45316"/>
      <c r="EH45316"/>
      <c r="EI45316"/>
      <c r="EJ45316"/>
      <c r="EK45316"/>
    </row>
    <row r="45317" spans="1:141" s="116" customFormat="1">
      <c r="A45317" s="136"/>
      <c r="CM45317" s="111"/>
      <c r="CQ45317" s="111"/>
      <c r="EF45317"/>
      <c r="EG45317"/>
      <c r="EH45317"/>
      <c r="EI45317"/>
      <c r="EJ45317"/>
      <c r="EK45317"/>
    </row>
    <row r="45318" spans="1:141" s="116" customFormat="1">
      <c r="A45318" s="136"/>
      <c r="CM45318" s="111"/>
      <c r="CQ45318" s="111"/>
      <c r="EF45318"/>
      <c r="EG45318"/>
      <c r="EH45318"/>
      <c r="EI45318"/>
      <c r="EJ45318"/>
      <c r="EK45318"/>
    </row>
    <row r="45319" spans="1:141" s="116" customFormat="1">
      <c r="A45319" s="136"/>
      <c r="CM45319" s="111"/>
      <c r="CQ45319" s="111"/>
      <c r="EF45319"/>
      <c r="EG45319"/>
      <c r="EH45319"/>
      <c r="EI45319"/>
      <c r="EJ45319"/>
      <c r="EK45319"/>
    </row>
    <row r="45320" spans="1:141" s="116" customFormat="1">
      <c r="A45320" s="136"/>
      <c r="CM45320" s="111"/>
      <c r="CQ45320" s="111"/>
      <c r="EF45320"/>
      <c r="EG45320"/>
      <c r="EH45320"/>
      <c r="EI45320"/>
      <c r="EJ45320"/>
      <c r="EK45320"/>
    </row>
    <row r="45321" spans="1:141" s="116" customFormat="1">
      <c r="A45321" s="136"/>
      <c r="CM45321" s="111"/>
      <c r="CQ45321" s="111"/>
      <c r="EF45321"/>
      <c r="EG45321"/>
      <c r="EH45321"/>
      <c r="EI45321"/>
      <c r="EJ45321"/>
      <c r="EK45321"/>
    </row>
    <row r="45322" spans="1:141" s="116" customFormat="1">
      <c r="A45322" s="136"/>
      <c r="CM45322" s="111"/>
      <c r="CQ45322" s="111"/>
      <c r="EF45322"/>
      <c r="EG45322"/>
      <c r="EH45322"/>
      <c r="EI45322"/>
      <c r="EJ45322"/>
      <c r="EK45322"/>
    </row>
    <row r="45323" spans="1:141" s="116" customFormat="1">
      <c r="A45323" s="136"/>
      <c r="CM45323" s="111"/>
      <c r="CQ45323" s="111"/>
      <c r="EF45323"/>
      <c r="EG45323"/>
      <c r="EH45323"/>
      <c r="EI45323"/>
      <c r="EJ45323"/>
      <c r="EK45323"/>
    </row>
    <row r="45324" spans="1:141" s="116" customFormat="1">
      <c r="A45324" s="136"/>
      <c r="CM45324" s="111"/>
      <c r="CQ45324" s="111"/>
      <c r="EF45324"/>
      <c r="EG45324"/>
      <c r="EH45324"/>
      <c r="EI45324"/>
      <c r="EJ45324"/>
      <c r="EK45324"/>
    </row>
    <row r="45325" spans="1:141" s="116" customFormat="1">
      <c r="A45325" s="136"/>
      <c r="CM45325" s="111"/>
      <c r="CQ45325" s="111"/>
      <c r="EF45325"/>
      <c r="EG45325"/>
      <c r="EH45325"/>
      <c r="EI45325"/>
      <c r="EJ45325"/>
      <c r="EK45325"/>
    </row>
    <row r="45326" spans="1:141" s="116" customFormat="1">
      <c r="A45326" s="136"/>
      <c r="CM45326" s="111"/>
      <c r="CQ45326" s="111"/>
      <c r="EF45326"/>
      <c r="EG45326"/>
      <c r="EH45326"/>
      <c r="EI45326"/>
      <c r="EJ45326"/>
      <c r="EK45326"/>
    </row>
    <row r="45327" spans="1:141" s="116" customFormat="1">
      <c r="A45327" s="136"/>
      <c r="CM45327" s="111"/>
      <c r="CQ45327" s="111"/>
      <c r="EF45327"/>
      <c r="EG45327"/>
      <c r="EH45327"/>
      <c r="EI45327"/>
      <c r="EJ45327"/>
      <c r="EK45327"/>
    </row>
    <row r="45328" spans="1:141" s="116" customFormat="1">
      <c r="A45328" s="136"/>
      <c r="CM45328" s="111"/>
      <c r="CQ45328" s="111"/>
      <c r="EF45328"/>
      <c r="EG45328"/>
      <c r="EH45328"/>
      <c r="EI45328"/>
      <c r="EJ45328"/>
      <c r="EK45328"/>
    </row>
    <row r="45329" spans="1:141" s="116" customFormat="1">
      <c r="A45329" s="136"/>
      <c r="CM45329" s="111"/>
      <c r="CQ45329" s="111"/>
      <c r="EF45329"/>
      <c r="EG45329"/>
      <c r="EH45329"/>
      <c r="EI45329"/>
      <c r="EJ45329"/>
      <c r="EK45329"/>
    </row>
    <row r="45330" spans="1:141" s="116" customFormat="1">
      <c r="A45330" s="136"/>
      <c r="CM45330" s="111"/>
      <c r="CQ45330" s="111"/>
      <c r="EF45330"/>
      <c r="EG45330"/>
      <c r="EH45330"/>
      <c r="EI45330"/>
      <c r="EJ45330"/>
      <c r="EK45330"/>
    </row>
    <row r="45331" spans="1:141" s="116" customFormat="1">
      <c r="A45331" s="136"/>
      <c r="CM45331" s="111"/>
      <c r="CQ45331" s="111"/>
      <c r="EF45331"/>
      <c r="EG45331"/>
      <c r="EH45331"/>
      <c r="EI45331"/>
      <c r="EJ45331"/>
      <c r="EK45331"/>
    </row>
    <row r="45332" spans="1:141" s="116" customFormat="1">
      <c r="A45332" s="136"/>
      <c r="CM45332" s="111"/>
      <c r="CQ45332" s="111"/>
      <c r="EF45332"/>
      <c r="EG45332"/>
      <c r="EH45332"/>
      <c r="EI45332"/>
      <c r="EJ45332"/>
      <c r="EK45332"/>
    </row>
    <row r="45333" spans="1:141" s="116" customFormat="1">
      <c r="A45333" s="136"/>
      <c r="CM45333" s="111"/>
      <c r="CQ45333" s="111"/>
      <c r="EF45333"/>
      <c r="EG45333"/>
      <c r="EH45333"/>
      <c r="EI45333"/>
      <c r="EJ45333"/>
      <c r="EK45333"/>
    </row>
    <row r="45334" spans="1:141" s="116" customFormat="1">
      <c r="A45334" s="136"/>
      <c r="CM45334" s="111"/>
      <c r="CQ45334" s="111"/>
      <c r="EF45334"/>
      <c r="EG45334"/>
      <c r="EH45334"/>
      <c r="EI45334"/>
      <c r="EJ45334"/>
      <c r="EK45334"/>
    </row>
    <row r="45335" spans="1:141" s="116" customFormat="1">
      <c r="A45335" s="136"/>
      <c r="CM45335" s="111"/>
      <c r="CQ45335" s="111"/>
      <c r="EF45335"/>
      <c r="EG45335"/>
      <c r="EH45335"/>
      <c r="EI45335"/>
      <c r="EJ45335"/>
      <c r="EK45335"/>
    </row>
    <row r="45336" spans="1:141" s="116" customFormat="1">
      <c r="A45336" s="136"/>
      <c r="CM45336" s="111"/>
      <c r="CQ45336" s="111"/>
      <c r="EF45336"/>
      <c r="EG45336"/>
      <c r="EH45336"/>
      <c r="EI45336"/>
      <c r="EJ45336"/>
      <c r="EK45336"/>
    </row>
    <row r="45337" spans="1:141" s="116" customFormat="1">
      <c r="A45337" s="136"/>
      <c r="CM45337" s="111"/>
      <c r="CQ45337" s="111"/>
      <c r="EF45337"/>
      <c r="EG45337"/>
      <c r="EH45337"/>
      <c r="EI45337"/>
      <c r="EJ45337"/>
      <c r="EK45337"/>
    </row>
    <row r="45338" spans="1:141" s="116" customFormat="1">
      <c r="A45338" s="136"/>
      <c r="CM45338" s="111"/>
      <c r="CQ45338" s="111"/>
      <c r="EF45338"/>
      <c r="EG45338"/>
      <c r="EH45338"/>
      <c r="EI45338"/>
      <c r="EJ45338"/>
      <c r="EK45338"/>
    </row>
    <row r="45339" spans="1:141" s="116" customFormat="1">
      <c r="A45339" s="136"/>
      <c r="CM45339" s="111"/>
      <c r="CQ45339" s="111"/>
      <c r="EF45339"/>
      <c r="EG45339"/>
      <c r="EH45339"/>
      <c r="EI45339"/>
      <c r="EJ45339"/>
      <c r="EK45339"/>
    </row>
    <row r="45340" spans="1:141" s="116" customFormat="1">
      <c r="A45340" s="136"/>
      <c r="CM45340" s="111"/>
      <c r="CQ45340" s="111"/>
      <c r="EF45340"/>
      <c r="EG45340"/>
      <c r="EH45340"/>
      <c r="EI45340"/>
      <c r="EJ45340"/>
      <c r="EK45340"/>
    </row>
    <row r="45341" spans="1:141" s="116" customFormat="1">
      <c r="A45341" s="136"/>
      <c r="CM45341" s="111"/>
      <c r="CQ45341" s="111"/>
      <c r="EF45341"/>
      <c r="EG45341"/>
      <c r="EH45341"/>
      <c r="EI45341"/>
      <c r="EJ45341"/>
      <c r="EK45341"/>
    </row>
    <row r="45342" spans="1:141" s="116" customFormat="1">
      <c r="A45342" s="136"/>
      <c r="CM45342" s="111"/>
      <c r="CQ45342" s="111"/>
      <c r="EF45342"/>
      <c r="EG45342"/>
      <c r="EH45342"/>
      <c r="EI45342"/>
      <c r="EJ45342"/>
      <c r="EK45342"/>
    </row>
    <row r="45343" spans="1:141" s="116" customFormat="1">
      <c r="A45343" s="136"/>
      <c r="CM45343" s="111"/>
      <c r="CQ45343" s="111"/>
      <c r="EF45343"/>
      <c r="EG45343"/>
      <c r="EH45343"/>
      <c r="EI45343"/>
      <c r="EJ45343"/>
      <c r="EK45343"/>
    </row>
    <row r="45344" spans="1:141" s="116" customFormat="1">
      <c r="A45344" s="136"/>
      <c r="CM45344" s="111"/>
      <c r="CQ45344" s="111"/>
      <c r="EF45344"/>
      <c r="EG45344"/>
      <c r="EH45344"/>
      <c r="EI45344"/>
      <c r="EJ45344"/>
      <c r="EK45344"/>
    </row>
    <row r="45345" spans="1:141" s="116" customFormat="1">
      <c r="A45345" s="136"/>
      <c r="CM45345" s="111"/>
      <c r="CQ45345" s="111"/>
      <c r="EF45345"/>
      <c r="EG45345"/>
      <c r="EH45345"/>
      <c r="EI45345"/>
      <c r="EJ45345"/>
      <c r="EK45345"/>
    </row>
    <row r="45346" spans="1:141" s="116" customFormat="1">
      <c r="A45346" s="136"/>
      <c r="CM45346" s="111"/>
      <c r="CQ45346" s="111"/>
      <c r="EF45346"/>
      <c r="EG45346"/>
      <c r="EH45346"/>
      <c r="EI45346"/>
      <c r="EJ45346"/>
      <c r="EK45346"/>
    </row>
    <row r="45347" spans="1:141" s="116" customFormat="1">
      <c r="A45347" s="136"/>
      <c r="CM45347" s="111"/>
      <c r="CQ45347" s="111"/>
      <c r="EF45347"/>
      <c r="EG45347"/>
      <c r="EH45347"/>
      <c r="EI45347"/>
      <c r="EJ45347"/>
      <c r="EK45347"/>
    </row>
    <row r="45348" spans="1:141" s="116" customFormat="1">
      <c r="A45348" s="136"/>
      <c r="CM45348" s="111"/>
      <c r="CQ45348" s="111"/>
      <c r="EF45348"/>
      <c r="EG45348"/>
      <c r="EH45348"/>
      <c r="EI45348"/>
      <c r="EJ45348"/>
      <c r="EK45348"/>
    </row>
    <row r="45349" spans="1:141" s="116" customFormat="1">
      <c r="A45349" s="136"/>
      <c r="CM45349" s="111"/>
      <c r="CQ45349" s="111"/>
      <c r="EF45349"/>
      <c r="EG45349"/>
      <c r="EH45349"/>
      <c r="EI45349"/>
      <c r="EJ45349"/>
      <c r="EK45349"/>
    </row>
    <row r="45350" spans="1:141" s="116" customFormat="1">
      <c r="A45350" s="136"/>
      <c r="CM45350" s="111"/>
      <c r="CQ45350" s="111"/>
      <c r="EF45350"/>
      <c r="EG45350"/>
      <c r="EH45350"/>
      <c r="EI45350"/>
      <c r="EJ45350"/>
      <c r="EK45350"/>
    </row>
    <row r="45351" spans="1:141" s="116" customFormat="1">
      <c r="A45351" s="136"/>
      <c r="CM45351" s="111"/>
      <c r="CQ45351" s="111"/>
      <c r="EF45351"/>
      <c r="EG45351"/>
      <c r="EH45351"/>
      <c r="EI45351"/>
      <c r="EJ45351"/>
      <c r="EK45351"/>
    </row>
    <row r="45352" spans="1:141" s="116" customFormat="1">
      <c r="A45352" s="136"/>
      <c r="CM45352" s="111"/>
      <c r="CQ45352" s="111"/>
      <c r="EF45352"/>
      <c r="EG45352"/>
      <c r="EH45352"/>
      <c r="EI45352"/>
      <c r="EJ45352"/>
      <c r="EK45352"/>
    </row>
    <row r="45353" spans="1:141" s="116" customFormat="1">
      <c r="A45353" s="136"/>
      <c r="CM45353" s="111"/>
      <c r="CQ45353" s="111"/>
      <c r="EF45353"/>
      <c r="EG45353"/>
      <c r="EH45353"/>
      <c r="EI45353"/>
      <c r="EJ45353"/>
      <c r="EK45353"/>
    </row>
    <row r="45354" spans="1:141" s="116" customFormat="1">
      <c r="A45354" s="136"/>
      <c r="CM45354" s="111"/>
      <c r="CQ45354" s="111"/>
      <c r="EF45354"/>
      <c r="EG45354"/>
      <c r="EH45354"/>
      <c r="EI45354"/>
      <c r="EJ45354"/>
      <c r="EK45354"/>
    </row>
    <row r="45355" spans="1:141" s="116" customFormat="1">
      <c r="A45355" s="136"/>
      <c r="CM45355" s="111"/>
      <c r="CQ45355" s="111"/>
      <c r="EF45355"/>
      <c r="EG45355"/>
      <c r="EH45355"/>
      <c r="EI45355"/>
      <c r="EJ45355"/>
      <c r="EK45355"/>
    </row>
    <row r="45356" spans="1:141" s="116" customFormat="1">
      <c r="A45356" s="136"/>
      <c r="CM45356" s="111"/>
      <c r="CQ45356" s="111"/>
      <c r="EF45356"/>
      <c r="EG45356"/>
      <c r="EH45356"/>
      <c r="EI45356"/>
      <c r="EJ45356"/>
      <c r="EK45356"/>
    </row>
    <row r="45357" spans="1:141" s="116" customFormat="1">
      <c r="A45357" s="136"/>
      <c r="CM45357" s="111"/>
      <c r="CQ45357" s="111"/>
      <c r="EF45357"/>
      <c r="EG45357"/>
      <c r="EH45357"/>
      <c r="EI45357"/>
      <c r="EJ45357"/>
      <c r="EK45357"/>
    </row>
    <row r="45358" spans="1:141" s="116" customFormat="1">
      <c r="A45358" s="136"/>
      <c r="CM45358" s="111"/>
      <c r="CQ45358" s="111"/>
      <c r="EF45358"/>
      <c r="EG45358"/>
      <c r="EH45358"/>
      <c r="EI45358"/>
      <c r="EJ45358"/>
      <c r="EK45358"/>
    </row>
    <row r="45359" spans="1:141" s="116" customFormat="1">
      <c r="A45359" s="136"/>
      <c r="CM45359" s="111"/>
      <c r="CQ45359" s="111"/>
      <c r="EF45359"/>
      <c r="EG45359"/>
      <c r="EH45359"/>
      <c r="EI45359"/>
      <c r="EJ45359"/>
      <c r="EK45359"/>
    </row>
    <row r="45360" spans="1:141" s="116" customFormat="1">
      <c r="A45360" s="136"/>
      <c r="CM45360" s="111"/>
      <c r="CQ45360" s="111"/>
      <c r="EF45360"/>
      <c r="EG45360"/>
      <c r="EH45360"/>
      <c r="EI45360"/>
      <c r="EJ45360"/>
      <c r="EK45360"/>
    </row>
    <row r="45361" spans="1:141" s="116" customFormat="1">
      <c r="A45361" s="136"/>
      <c r="CM45361" s="111"/>
      <c r="CQ45361" s="111"/>
      <c r="EF45361"/>
      <c r="EG45361"/>
      <c r="EH45361"/>
      <c r="EI45361"/>
      <c r="EJ45361"/>
      <c r="EK45361"/>
    </row>
    <row r="45362" spans="1:141" s="116" customFormat="1">
      <c r="A45362" s="136"/>
      <c r="CM45362" s="111"/>
      <c r="CQ45362" s="111"/>
      <c r="EF45362"/>
      <c r="EG45362"/>
      <c r="EH45362"/>
      <c r="EI45362"/>
      <c r="EJ45362"/>
      <c r="EK45362"/>
    </row>
    <row r="45363" spans="1:141" s="116" customFormat="1">
      <c r="A45363" s="136"/>
      <c r="CM45363" s="111"/>
      <c r="CQ45363" s="111"/>
      <c r="EF45363"/>
      <c r="EG45363"/>
      <c r="EH45363"/>
      <c r="EI45363"/>
      <c r="EJ45363"/>
      <c r="EK45363"/>
    </row>
    <row r="45364" spans="1:141" s="116" customFormat="1">
      <c r="A45364" s="136"/>
      <c r="CM45364" s="111"/>
      <c r="CQ45364" s="111"/>
      <c r="EF45364"/>
      <c r="EG45364"/>
      <c r="EH45364"/>
      <c r="EI45364"/>
      <c r="EJ45364"/>
      <c r="EK45364"/>
    </row>
    <row r="45365" spans="1:141" s="116" customFormat="1">
      <c r="A45365" s="136"/>
      <c r="CM45365" s="111"/>
      <c r="CQ45365" s="111"/>
      <c r="EF45365"/>
      <c r="EG45365"/>
      <c r="EH45365"/>
      <c r="EI45365"/>
      <c r="EJ45365"/>
      <c r="EK45365"/>
    </row>
    <row r="45366" spans="1:141" s="116" customFormat="1">
      <c r="A45366" s="136"/>
      <c r="CM45366" s="111"/>
      <c r="CQ45366" s="111"/>
      <c r="EF45366"/>
      <c r="EG45366"/>
      <c r="EH45366"/>
      <c r="EI45366"/>
      <c r="EJ45366"/>
      <c r="EK45366"/>
    </row>
    <row r="45367" spans="1:141" s="116" customFormat="1">
      <c r="A45367" s="136"/>
      <c r="CM45367" s="111"/>
      <c r="CQ45367" s="111"/>
      <c r="EF45367"/>
      <c r="EG45367"/>
      <c r="EH45367"/>
      <c r="EI45367"/>
      <c r="EJ45367"/>
      <c r="EK45367"/>
    </row>
    <row r="45368" spans="1:141" s="116" customFormat="1">
      <c r="A45368" s="136"/>
      <c r="CM45368" s="111"/>
      <c r="CQ45368" s="111"/>
      <c r="EF45368"/>
      <c r="EG45368"/>
      <c r="EH45368"/>
      <c r="EI45368"/>
      <c r="EJ45368"/>
      <c r="EK45368"/>
    </row>
    <row r="45369" spans="1:141" s="116" customFormat="1">
      <c r="A45369" s="136"/>
      <c r="CM45369" s="111"/>
      <c r="CQ45369" s="111"/>
      <c r="EF45369"/>
      <c r="EG45369"/>
      <c r="EH45369"/>
      <c r="EI45369"/>
      <c r="EJ45369"/>
      <c r="EK45369"/>
    </row>
    <row r="45370" spans="1:141" s="116" customFormat="1">
      <c r="A45370" s="136"/>
      <c r="CM45370" s="111"/>
      <c r="CQ45370" s="111"/>
      <c r="EF45370"/>
      <c r="EG45370"/>
      <c r="EH45370"/>
      <c r="EI45370"/>
      <c r="EJ45370"/>
      <c r="EK45370"/>
    </row>
    <row r="45371" spans="1:141" s="116" customFormat="1">
      <c r="A45371" s="136"/>
      <c r="CM45371" s="111"/>
      <c r="CQ45371" s="111"/>
      <c r="EF45371"/>
      <c r="EG45371"/>
      <c r="EH45371"/>
      <c r="EI45371"/>
      <c r="EJ45371"/>
      <c r="EK45371"/>
    </row>
    <row r="45372" spans="1:141" s="116" customFormat="1">
      <c r="A45372" s="136"/>
      <c r="CM45372" s="111"/>
      <c r="CQ45372" s="111"/>
      <c r="EF45372"/>
      <c r="EG45372"/>
      <c r="EH45372"/>
      <c r="EI45372"/>
      <c r="EJ45372"/>
      <c r="EK45372"/>
    </row>
    <row r="45373" spans="1:141" s="116" customFormat="1">
      <c r="A45373" s="136"/>
      <c r="CM45373" s="111"/>
      <c r="CQ45373" s="111"/>
      <c r="EF45373"/>
      <c r="EG45373"/>
      <c r="EH45373"/>
      <c r="EI45373"/>
      <c r="EJ45373"/>
      <c r="EK45373"/>
    </row>
    <row r="45374" spans="1:141" s="116" customFormat="1">
      <c r="A45374" s="136"/>
      <c r="CM45374" s="111"/>
      <c r="CQ45374" s="111"/>
      <c r="EF45374"/>
      <c r="EG45374"/>
      <c r="EH45374"/>
      <c r="EI45374"/>
      <c r="EJ45374"/>
      <c r="EK45374"/>
    </row>
    <row r="45375" spans="1:141" s="116" customFormat="1">
      <c r="A45375" s="136"/>
      <c r="CM45375" s="111"/>
      <c r="CQ45375" s="111"/>
      <c r="EF45375"/>
      <c r="EG45375"/>
      <c r="EH45375"/>
      <c r="EI45375"/>
      <c r="EJ45375"/>
      <c r="EK45375"/>
    </row>
    <row r="45376" spans="1:141" s="116" customFormat="1">
      <c r="A45376" s="136"/>
      <c r="CM45376" s="111"/>
      <c r="CQ45376" s="111"/>
      <c r="EF45376"/>
      <c r="EG45376"/>
      <c r="EH45376"/>
      <c r="EI45376"/>
      <c r="EJ45376"/>
      <c r="EK45376"/>
    </row>
    <row r="45377" spans="1:141" s="116" customFormat="1">
      <c r="A45377" s="136"/>
      <c r="CM45377" s="111"/>
      <c r="CQ45377" s="111"/>
      <c r="EF45377"/>
      <c r="EG45377"/>
      <c r="EH45377"/>
      <c r="EI45377"/>
      <c r="EJ45377"/>
      <c r="EK45377"/>
    </row>
    <row r="45378" spans="1:141" s="116" customFormat="1">
      <c r="A45378" s="136"/>
      <c r="CM45378" s="111"/>
      <c r="CQ45378" s="111"/>
      <c r="EF45378"/>
      <c r="EG45378"/>
      <c r="EH45378"/>
      <c r="EI45378"/>
      <c r="EJ45378"/>
      <c r="EK45378"/>
    </row>
    <row r="45379" spans="1:141" s="116" customFormat="1">
      <c r="A45379" s="136"/>
      <c r="CM45379" s="111"/>
      <c r="CQ45379" s="111"/>
      <c r="EF45379"/>
      <c r="EG45379"/>
      <c r="EH45379"/>
      <c r="EI45379"/>
      <c r="EJ45379"/>
      <c r="EK45379"/>
    </row>
    <row r="45380" spans="1:141" s="116" customFormat="1">
      <c r="A45380" s="136"/>
      <c r="CM45380" s="111"/>
      <c r="CQ45380" s="111"/>
      <c r="EF45380"/>
      <c r="EG45380"/>
      <c r="EH45380"/>
      <c r="EI45380"/>
      <c r="EJ45380"/>
      <c r="EK45380"/>
    </row>
    <row r="45381" spans="1:141" s="116" customFormat="1">
      <c r="A45381" s="136"/>
      <c r="CM45381" s="111"/>
      <c r="CQ45381" s="111"/>
      <c r="EF45381"/>
      <c r="EG45381"/>
      <c r="EH45381"/>
      <c r="EI45381"/>
      <c r="EJ45381"/>
      <c r="EK45381"/>
    </row>
    <row r="45382" spans="1:141" s="116" customFormat="1">
      <c r="A45382" s="136"/>
      <c r="CM45382" s="111"/>
      <c r="CQ45382" s="111"/>
      <c r="EF45382"/>
      <c r="EG45382"/>
      <c r="EH45382"/>
      <c r="EI45382"/>
      <c r="EJ45382"/>
      <c r="EK45382"/>
    </row>
    <row r="45383" spans="1:141" s="116" customFormat="1">
      <c r="A45383" s="136"/>
      <c r="CM45383" s="111"/>
      <c r="CQ45383" s="111"/>
      <c r="EF45383"/>
      <c r="EG45383"/>
      <c r="EH45383"/>
      <c r="EI45383"/>
      <c r="EJ45383"/>
      <c r="EK45383"/>
    </row>
    <row r="45384" spans="1:141" s="116" customFormat="1">
      <c r="A45384" s="136"/>
      <c r="CM45384" s="111"/>
      <c r="CQ45384" s="111"/>
      <c r="EF45384"/>
      <c r="EG45384"/>
      <c r="EH45384"/>
      <c r="EI45384"/>
      <c r="EJ45384"/>
      <c r="EK45384"/>
    </row>
    <row r="45385" spans="1:141" s="116" customFormat="1">
      <c r="A45385" s="136"/>
      <c r="CM45385" s="111"/>
      <c r="CQ45385" s="111"/>
      <c r="EF45385"/>
      <c r="EG45385"/>
      <c r="EH45385"/>
      <c r="EI45385"/>
      <c r="EJ45385"/>
      <c r="EK45385"/>
    </row>
    <row r="45386" spans="1:141" s="116" customFormat="1">
      <c r="A45386" s="136"/>
      <c r="CM45386" s="111"/>
      <c r="CQ45386" s="111"/>
      <c r="EF45386"/>
      <c r="EG45386"/>
      <c r="EH45386"/>
      <c r="EI45386"/>
      <c r="EJ45386"/>
      <c r="EK45386"/>
    </row>
    <row r="45387" spans="1:141" s="116" customFormat="1">
      <c r="A45387" s="136"/>
      <c r="CM45387" s="111"/>
      <c r="CQ45387" s="111"/>
      <c r="EF45387"/>
      <c r="EG45387"/>
      <c r="EH45387"/>
      <c r="EI45387"/>
      <c r="EJ45387"/>
      <c r="EK45387"/>
    </row>
    <row r="45388" spans="1:141" s="116" customFormat="1">
      <c r="A45388" s="136"/>
      <c r="CM45388" s="111"/>
      <c r="CQ45388" s="111"/>
      <c r="EF45388"/>
      <c r="EG45388"/>
      <c r="EH45388"/>
      <c r="EI45388"/>
      <c r="EJ45388"/>
      <c r="EK45388"/>
    </row>
    <row r="45389" spans="1:141" s="116" customFormat="1">
      <c r="A45389" s="136"/>
      <c r="CM45389" s="111"/>
      <c r="CQ45389" s="111"/>
      <c r="EF45389"/>
      <c r="EG45389"/>
      <c r="EH45389"/>
      <c r="EI45389"/>
      <c r="EJ45389"/>
      <c r="EK45389"/>
    </row>
    <row r="45390" spans="1:141" s="116" customFormat="1">
      <c r="A45390" s="136"/>
      <c r="CM45390" s="111"/>
      <c r="CQ45390" s="111"/>
      <c r="EF45390"/>
      <c r="EG45390"/>
      <c r="EH45390"/>
      <c r="EI45390"/>
      <c r="EJ45390"/>
      <c r="EK45390"/>
    </row>
    <row r="45391" spans="1:141" s="116" customFormat="1">
      <c r="A45391" s="136"/>
      <c r="CM45391" s="111"/>
      <c r="CQ45391" s="111"/>
      <c r="EF45391"/>
      <c r="EG45391"/>
      <c r="EH45391"/>
      <c r="EI45391"/>
      <c r="EJ45391"/>
      <c r="EK45391"/>
    </row>
    <row r="45392" spans="1:141" s="116" customFormat="1">
      <c r="A45392" s="136"/>
      <c r="CM45392" s="111"/>
      <c r="CQ45392" s="111"/>
      <c r="EF45392"/>
      <c r="EG45392"/>
      <c r="EH45392"/>
      <c r="EI45392"/>
      <c r="EJ45392"/>
      <c r="EK45392"/>
    </row>
    <row r="45393" spans="1:141" s="116" customFormat="1">
      <c r="A45393" s="136"/>
      <c r="CM45393" s="111"/>
      <c r="CQ45393" s="111"/>
      <c r="EF45393"/>
      <c r="EG45393"/>
      <c r="EH45393"/>
      <c r="EI45393"/>
      <c r="EJ45393"/>
      <c r="EK45393"/>
    </row>
    <row r="45394" spans="1:141" s="116" customFormat="1">
      <c r="A45394" s="136"/>
      <c r="CM45394" s="111"/>
      <c r="CQ45394" s="111"/>
      <c r="EF45394"/>
      <c r="EG45394"/>
      <c r="EH45394"/>
      <c r="EI45394"/>
      <c r="EJ45394"/>
      <c r="EK45394"/>
    </row>
    <row r="45395" spans="1:141" s="116" customFormat="1">
      <c r="A45395" s="136"/>
      <c r="CM45395" s="111"/>
      <c r="CQ45395" s="111"/>
      <c r="EF45395"/>
      <c r="EG45395"/>
      <c r="EH45395"/>
      <c r="EI45395"/>
      <c r="EJ45395"/>
      <c r="EK45395"/>
    </row>
    <row r="45396" spans="1:141" s="116" customFormat="1">
      <c r="A45396" s="136"/>
      <c r="CM45396" s="111"/>
      <c r="CQ45396" s="111"/>
      <c r="EF45396"/>
      <c r="EG45396"/>
      <c r="EH45396"/>
      <c r="EI45396"/>
      <c r="EJ45396"/>
      <c r="EK45396"/>
    </row>
    <row r="45397" spans="1:141" s="116" customFormat="1">
      <c r="A45397" s="136"/>
      <c r="CM45397" s="111"/>
      <c r="CQ45397" s="111"/>
      <c r="EF45397"/>
      <c r="EG45397"/>
      <c r="EH45397"/>
      <c r="EI45397"/>
      <c r="EJ45397"/>
      <c r="EK45397"/>
    </row>
    <row r="45398" spans="1:141" s="116" customFormat="1">
      <c r="A45398" s="136"/>
      <c r="CM45398" s="111"/>
      <c r="CQ45398" s="111"/>
      <c r="EF45398"/>
      <c r="EG45398"/>
      <c r="EH45398"/>
      <c r="EI45398"/>
      <c r="EJ45398"/>
      <c r="EK45398"/>
    </row>
    <row r="45399" spans="1:141" s="116" customFormat="1">
      <c r="A45399" s="136"/>
      <c r="CM45399" s="111"/>
      <c r="CQ45399" s="111"/>
      <c r="EF45399"/>
      <c r="EG45399"/>
      <c r="EH45399"/>
      <c r="EI45399"/>
      <c r="EJ45399"/>
      <c r="EK45399"/>
    </row>
    <row r="45400" spans="1:141" s="116" customFormat="1">
      <c r="A45400" s="136"/>
      <c r="CM45400" s="111"/>
      <c r="CQ45400" s="111"/>
      <c r="EF45400"/>
      <c r="EG45400"/>
      <c r="EH45400"/>
      <c r="EI45400"/>
      <c r="EJ45400"/>
      <c r="EK45400"/>
    </row>
    <row r="45401" spans="1:141" s="116" customFormat="1">
      <c r="A45401" s="136"/>
      <c r="CM45401" s="111"/>
      <c r="CQ45401" s="111"/>
      <c r="EF45401"/>
      <c r="EG45401"/>
      <c r="EH45401"/>
      <c r="EI45401"/>
      <c r="EJ45401"/>
      <c r="EK45401"/>
    </row>
    <row r="45402" spans="1:141" s="116" customFormat="1">
      <c r="A45402" s="136"/>
      <c r="CM45402" s="111"/>
      <c r="CQ45402" s="111"/>
      <c r="EF45402"/>
      <c r="EG45402"/>
      <c r="EH45402"/>
      <c r="EI45402"/>
      <c r="EJ45402"/>
      <c r="EK45402"/>
    </row>
    <row r="45403" spans="1:141" s="116" customFormat="1">
      <c r="A45403" s="136"/>
      <c r="CM45403" s="111"/>
      <c r="CQ45403" s="111"/>
      <c r="EF45403"/>
      <c r="EG45403"/>
      <c r="EH45403"/>
      <c r="EI45403"/>
      <c r="EJ45403"/>
      <c r="EK45403"/>
    </row>
    <row r="45404" spans="1:141" s="116" customFormat="1">
      <c r="A45404" s="136"/>
      <c r="CM45404" s="111"/>
      <c r="CQ45404" s="111"/>
      <c r="EF45404"/>
      <c r="EG45404"/>
      <c r="EH45404"/>
      <c r="EI45404"/>
      <c r="EJ45404"/>
      <c r="EK45404"/>
    </row>
    <row r="45405" spans="1:141" s="116" customFormat="1">
      <c r="A45405" s="136"/>
      <c r="CM45405" s="111"/>
      <c r="CQ45405" s="111"/>
      <c r="EF45405"/>
      <c r="EG45405"/>
      <c r="EH45405"/>
      <c r="EI45405"/>
      <c r="EJ45405"/>
      <c r="EK45405"/>
    </row>
    <row r="45406" spans="1:141" s="116" customFormat="1">
      <c r="A45406" s="136"/>
      <c r="CM45406" s="111"/>
      <c r="CQ45406" s="111"/>
      <c r="EF45406"/>
      <c r="EG45406"/>
      <c r="EH45406"/>
      <c r="EI45406"/>
      <c r="EJ45406"/>
      <c r="EK45406"/>
    </row>
    <row r="45407" spans="1:141" s="116" customFormat="1">
      <c r="A45407" s="136"/>
      <c r="CM45407" s="111"/>
      <c r="CQ45407" s="111"/>
      <c r="EF45407"/>
      <c r="EG45407"/>
      <c r="EH45407"/>
      <c r="EI45407"/>
      <c r="EJ45407"/>
      <c r="EK45407"/>
    </row>
    <row r="45408" spans="1:141" s="116" customFormat="1">
      <c r="A45408" s="136"/>
      <c r="CM45408" s="111"/>
      <c r="CQ45408" s="111"/>
      <c r="EF45408"/>
      <c r="EG45408"/>
      <c r="EH45408"/>
      <c r="EI45408"/>
      <c r="EJ45408"/>
      <c r="EK45408"/>
    </row>
    <row r="45409" spans="1:141" s="116" customFormat="1">
      <c r="A45409" s="136"/>
      <c r="CM45409" s="111"/>
      <c r="CQ45409" s="111"/>
      <c r="EF45409"/>
      <c r="EG45409"/>
      <c r="EH45409"/>
      <c r="EI45409"/>
      <c r="EJ45409"/>
      <c r="EK45409"/>
    </row>
    <row r="45410" spans="1:141" s="116" customFormat="1">
      <c r="A45410" s="136"/>
      <c r="CM45410" s="111"/>
      <c r="CQ45410" s="111"/>
      <c r="EF45410"/>
      <c r="EG45410"/>
      <c r="EH45410"/>
      <c r="EI45410"/>
      <c r="EJ45410"/>
      <c r="EK45410"/>
    </row>
    <row r="45411" spans="1:141" s="116" customFormat="1">
      <c r="A45411" s="136"/>
      <c r="CM45411" s="111"/>
      <c r="CQ45411" s="111"/>
      <c r="EF45411"/>
      <c r="EG45411"/>
      <c r="EH45411"/>
      <c r="EI45411"/>
      <c r="EJ45411"/>
      <c r="EK45411"/>
    </row>
    <row r="45412" spans="1:141" s="116" customFormat="1">
      <c r="A45412" s="136"/>
      <c r="CM45412" s="111"/>
      <c r="CQ45412" s="111"/>
      <c r="EF45412"/>
      <c r="EG45412"/>
      <c r="EH45412"/>
      <c r="EI45412"/>
      <c r="EJ45412"/>
      <c r="EK45412"/>
    </row>
    <row r="45413" spans="1:141" s="116" customFormat="1">
      <c r="A45413" s="136"/>
      <c r="CM45413" s="111"/>
      <c r="CQ45413" s="111"/>
      <c r="EF45413"/>
      <c r="EG45413"/>
      <c r="EH45413"/>
      <c r="EI45413"/>
      <c r="EJ45413"/>
      <c r="EK45413"/>
    </row>
    <row r="45414" spans="1:141" s="116" customFormat="1">
      <c r="A45414" s="136"/>
      <c r="CM45414" s="111"/>
      <c r="CQ45414" s="111"/>
      <c r="EF45414"/>
      <c r="EG45414"/>
      <c r="EH45414"/>
      <c r="EI45414"/>
      <c r="EJ45414"/>
      <c r="EK45414"/>
    </row>
    <row r="45415" spans="1:141" s="116" customFormat="1">
      <c r="A45415" s="136"/>
      <c r="CM45415" s="111"/>
      <c r="CQ45415" s="111"/>
      <c r="EF45415"/>
      <c r="EG45415"/>
      <c r="EH45415"/>
      <c r="EI45415"/>
      <c r="EJ45415"/>
      <c r="EK45415"/>
    </row>
    <row r="45416" spans="1:141" s="116" customFormat="1">
      <c r="A45416" s="136"/>
      <c r="CM45416" s="111"/>
      <c r="CQ45416" s="111"/>
      <c r="EF45416"/>
      <c r="EG45416"/>
      <c r="EH45416"/>
      <c r="EI45416"/>
      <c r="EJ45416"/>
      <c r="EK45416"/>
    </row>
    <row r="45417" spans="1:141" s="116" customFormat="1">
      <c r="A45417" s="136"/>
      <c r="CM45417" s="111"/>
      <c r="CQ45417" s="111"/>
      <c r="EF45417"/>
      <c r="EG45417"/>
      <c r="EH45417"/>
      <c r="EI45417"/>
      <c r="EJ45417"/>
      <c r="EK45417"/>
    </row>
    <row r="45418" spans="1:141" s="116" customFormat="1">
      <c r="A45418" s="136"/>
      <c r="CM45418" s="111"/>
      <c r="CQ45418" s="111"/>
      <c r="EF45418"/>
      <c r="EG45418"/>
      <c r="EH45418"/>
      <c r="EI45418"/>
      <c r="EJ45418"/>
      <c r="EK45418"/>
    </row>
    <row r="45419" spans="1:141" s="116" customFormat="1">
      <c r="A45419" s="136"/>
      <c r="CM45419" s="111"/>
      <c r="CQ45419" s="111"/>
      <c r="EF45419"/>
      <c r="EG45419"/>
      <c r="EH45419"/>
      <c r="EI45419"/>
      <c r="EJ45419"/>
      <c r="EK45419"/>
    </row>
    <row r="45420" spans="1:141" s="116" customFormat="1">
      <c r="A45420" s="136"/>
      <c r="CM45420" s="111"/>
      <c r="CQ45420" s="111"/>
      <c r="EF45420"/>
      <c r="EG45420"/>
      <c r="EH45420"/>
      <c r="EI45420"/>
      <c r="EJ45420"/>
      <c r="EK45420"/>
    </row>
    <row r="45421" spans="1:141" s="116" customFormat="1">
      <c r="A45421" s="136"/>
      <c r="CM45421" s="111"/>
      <c r="CQ45421" s="111"/>
      <c r="EF45421"/>
      <c r="EG45421"/>
      <c r="EH45421"/>
      <c r="EI45421"/>
      <c r="EJ45421"/>
      <c r="EK45421"/>
    </row>
    <row r="45422" spans="1:141" s="116" customFormat="1">
      <c r="A45422" s="136"/>
      <c r="CM45422" s="111"/>
      <c r="CQ45422" s="111"/>
      <c r="EF45422"/>
      <c r="EG45422"/>
      <c r="EH45422"/>
      <c r="EI45422"/>
      <c r="EJ45422"/>
      <c r="EK45422"/>
    </row>
    <row r="45423" spans="1:141" s="116" customFormat="1">
      <c r="A45423" s="136"/>
      <c r="CM45423" s="111"/>
      <c r="CQ45423" s="111"/>
      <c r="EF45423"/>
      <c r="EG45423"/>
      <c r="EH45423"/>
      <c r="EI45423"/>
      <c r="EJ45423"/>
      <c r="EK45423"/>
    </row>
    <row r="45424" spans="1:141" s="116" customFormat="1">
      <c r="A45424" s="136"/>
      <c r="CM45424" s="111"/>
      <c r="CQ45424" s="111"/>
      <c r="EF45424"/>
      <c r="EG45424"/>
      <c r="EH45424"/>
      <c r="EI45424"/>
      <c r="EJ45424"/>
      <c r="EK45424"/>
    </row>
    <row r="45425" spans="1:141" s="116" customFormat="1">
      <c r="A45425" s="136"/>
      <c r="CM45425" s="111"/>
      <c r="CQ45425" s="111"/>
      <c r="EF45425"/>
      <c r="EG45425"/>
      <c r="EH45425"/>
      <c r="EI45425"/>
      <c r="EJ45425"/>
      <c r="EK45425"/>
    </row>
    <row r="45426" spans="1:141" s="116" customFormat="1">
      <c r="A45426" s="136"/>
      <c r="CM45426" s="111"/>
      <c r="CQ45426" s="111"/>
      <c r="EF45426"/>
      <c r="EG45426"/>
      <c r="EH45426"/>
      <c r="EI45426"/>
      <c r="EJ45426"/>
      <c r="EK45426"/>
    </row>
    <row r="45427" spans="1:141" s="116" customFormat="1">
      <c r="A45427" s="136"/>
      <c r="CM45427" s="111"/>
      <c r="CQ45427" s="111"/>
      <c r="EF45427"/>
      <c r="EG45427"/>
      <c r="EH45427"/>
      <c r="EI45427"/>
      <c r="EJ45427"/>
      <c r="EK45427"/>
    </row>
    <row r="45428" spans="1:141" s="116" customFormat="1">
      <c r="A45428" s="136"/>
      <c r="CM45428" s="111"/>
      <c r="CQ45428" s="111"/>
      <c r="EF45428"/>
      <c r="EG45428"/>
      <c r="EH45428"/>
      <c r="EI45428"/>
      <c r="EJ45428"/>
      <c r="EK45428"/>
    </row>
    <row r="45429" spans="1:141" s="116" customFormat="1">
      <c r="A45429" s="136"/>
      <c r="CM45429" s="111"/>
      <c r="CQ45429" s="111"/>
      <c r="EF45429"/>
      <c r="EG45429"/>
      <c r="EH45429"/>
      <c r="EI45429"/>
      <c r="EJ45429"/>
      <c r="EK45429"/>
    </row>
    <row r="45430" spans="1:141" s="116" customFormat="1">
      <c r="A45430" s="136"/>
      <c r="CM45430" s="111"/>
      <c r="CQ45430" s="111"/>
      <c r="EF45430"/>
      <c r="EG45430"/>
      <c r="EH45430"/>
      <c r="EI45430"/>
      <c r="EJ45430"/>
      <c r="EK45430"/>
    </row>
    <row r="45431" spans="1:141" s="116" customFormat="1">
      <c r="A45431" s="136"/>
      <c r="CM45431" s="111"/>
      <c r="CQ45431" s="111"/>
      <c r="EF45431"/>
      <c r="EG45431"/>
      <c r="EH45431"/>
      <c r="EI45431"/>
      <c r="EJ45431"/>
      <c r="EK45431"/>
    </row>
    <row r="45432" spans="1:141" s="116" customFormat="1">
      <c r="A45432" s="136"/>
      <c r="CM45432" s="111"/>
      <c r="CQ45432" s="111"/>
      <c r="EF45432"/>
      <c r="EG45432"/>
      <c r="EH45432"/>
      <c r="EI45432"/>
      <c r="EJ45432"/>
      <c r="EK45432"/>
    </row>
    <row r="45433" spans="1:141" s="116" customFormat="1">
      <c r="A45433" s="136"/>
      <c r="CM45433" s="111"/>
      <c r="CQ45433" s="111"/>
      <c r="EF45433"/>
      <c r="EG45433"/>
      <c r="EH45433"/>
      <c r="EI45433"/>
      <c r="EJ45433"/>
      <c r="EK45433"/>
    </row>
    <row r="45434" spans="1:141" s="116" customFormat="1">
      <c r="A45434" s="136"/>
      <c r="CM45434" s="111"/>
      <c r="CQ45434" s="111"/>
      <c r="EF45434"/>
      <c r="EG45434"/>
      <c r="EH45434"/>
      <c r="EI45434"/>
      <c r="EJ45434"/>
      <c r="EK45434"/>
    </row>
    <row r="45435" spans="1:141" s="116" customFormat="1">
      <c r="A45435" s="136"/>
      <c r="CM45435" s="111"/>
      <c r="CQ45435" s="111"/>
      <c r="EF45435"/>
      <c r="EG45435"/>
      <c r="EH45435"/>
      <c r="EI45435"/>
      <c r="EJ45435"/>
      <c r="EK45435"/>
    </row>
    <row r="45436" spans="1:141" s="116" customFormat="1">
      <c r="A45436" s="136"/>
      <c r="CM45436" s="111"/>
      <c r="CQ45436" s="111"/>
      <c r="EF45436"/>
      <c r="EG45436"/>
      <c r="EH45436"/>
      <c r="EI45436"/>
      <c r="EJ45436"/>
      <c r="EK45436"/>
    </row>
    <row r="45437" spans="1:141" s="116" customFormat="1">
      <c r="A45437" s="136"/>
      <c r="CM45437" s="111"/>
      <c r="CQ45437" s="111"/>
      <c r="EF45437"/>
      <c r="EG45437"/>
      <c r="EH45437"/>
      <c r="EI45437"/>
      <c r="EJ45437"/>
      <c r="EK45437"/>
    </row>
    <row r="45438" spans="1:141" s="116" customFormat="1">
      <c r="A45438" s="136"/>
      <c r="CM45438" s="111"/>
      <c r="CQ45438" s="111"/>
      <c r="EF45438"/>
      <c r="EG45438"/>
      <c r="EH45438"/>
      <c r="EI45438"/>
      <c r="EJ45438"/>
      <c r="EK45438"/>
    </row>
    <row r="45439" spans="1:141" s="116" customFormat="1">
      <c r="A45439" s="136"/>
      <c r="CM45439" s="111"/>
      <c r="CQ45439" s="111"/>
      <c r="EF45439"/>
      <c r="EG45439"/>
      <c r="EH45439"/>
      <c r="EI45439"/>
      <c r="EJ45439"/>
      <c r="EK45439"/>
    </row>
    <row r="45440" spans="1:141" s="116" customFormat="1">
      <c r="A45440" s="136"/>
      <c r="CM45440" s="111"/>
      <c r="CQ45440" s="111"/>
      <c r="EF45440"/>
      <c r="EG45440"/>
      <c r="EH45440"/>
      <c r="EI45440"/>
      <c r="EJ45440"/>
      <c r="EK45440"/>
    </row>
    <row r="45441" spans="1:141" s="116" customFormat="1">
      <c r="A45441" s="136"/>
      <c r="CM45441" s="111"/>
      <c r="CQ45441" s="111"/>
      <c r="EF45441"/>
      <c r="EG45441"/>
      <c r="EH45441"/>
      <c r="EI45441"/>
      <c r="EJ45441"/>
      <c r="EK45441"/>
    </row>
    <row r="45442" spans="1:141" s="116" customFormat="1">
      <c r="A45442" s="136"/>
      <c r="CM45442" s="111"/>
      <c r="CQ45442" s="111"/>
      <c r="EF45442"/>
      <c r="EG45442"/>
      <c r="EH45442"/>
      <c r="EI45442"/>
      <c r="EJ45442"/>
      <c r="EK45442"/>
    </row>
    <row r="45443" spans="1:141" s="116" customFormat="1">
      <c r="A45443" s="136"/>
      <c r="CM45443" s="111"/>
      <c r="CQ45443" s="111"/>
      <c r="EF45443"/>
      <c r="EG45443"/>
      <c r="EH45443"/>
      <c r="EI45443"/>
      <c r="EJ45443"/>
      <c r="EK45443"/>
    </row>
    <row r="45444" spans="1:141" s="116" customFormat="1">
      <c r="A45444" s="136"/>
      <c r="CM45444" s="111"/>
      <c r="CQ45444" s="111"/>
      <c r="EF45444"/>
      <c r="EG45444"/>
      <c r="EH45444"/>
      <c r="EI45444"/>
      <c r="EJ45444"/>
      <c r="EK45444"/>
    </row>
    <row r="45445" spans="1:141" s="116" customFormat="1">
      <c r="A45445" s="136"/>
      <c r="CM45445" s="111"/>
      <c r="CQ45445" s="111"/>
      <c r="EF45445"/>
      <c r="EG45445"/>
      <c r="EH45445"/>
      <c r="EI45445"/>
      <c r="EJ45445"/>
      <c r="EK45445"/>
    </row>
    <row r="45446" spans="1:141" s="116" customFormat="1">
      <c r="A45446" s="136"/>
      <c r="CM45446" s="111"/>
      <c r="CQ45446" s="111"/>
      <c r="EF45446"/>
      <c r="EG45446"/>
      <c r="EH45446"/>
      <c r="EI45446"/>
      <c r="EJ45446"/>
      <c r="EK45446"/>
    </row>
    <row r="45447" spans="1:141" s="116" customFormat="1">
      <c r="A45447" s="136"/>
      <c r="CM45447" s="111"/>
      <c r="CQ45447" s="111"/>
      <c r="EF45447"/>
      <c r="EG45447"/>
      <c r="EH45447"/>
      <c r="EI45447"/>
      <c r="EJ45447"/>
      <c r="EK45447"/>
    </row>
    <row r="45448" spans="1:141" s="116" customFormat="1">
      <c r="A45448" s="136"/>
      <c r="CM45448" s="111"/>
      <c r="CQ45448" s="111"/>
      <c r="EF45448"/>
      <c r="EG45448"/>
      <c r="EH45448"/>
      <c r="EI45448"/>
      <c r="EJ45448"/>
      <c r="EK45448"/>
    </row>
    <row r="45449" spans="1:141" s="116" customFormat="1">
      <c r="A45449" s="136"/>
      <c r="CM45449" s="111"/>
      <c r="CQ45449" s="111"/>
      <c r="EF45449"/>
      <c r="EG45449"/>
      <c r="EH45449"/>
      <c r="EI45449"/>
      <c r="EJ45449"/>
      <c r="EK45449"/>
    </row>
    <row r="45450" spans="1:141" s="116" customFormat="1">
      <c r="A45450" s="136"/>
      <c r="CM45450" s="111"/>
      <c r="CQ45450" s="111"/>
      <c r="EF45450"/>
      <c r="EG45450"/>
      <c r="EH45450"/>
      <c r="EI45450"/>
      <c r="EJ45450"/>
      <c r="EK45450"/>
    </row>
    <row r="45451" spans="1:141" s="116" customFormat="1">
      <c r="A45451" s="136"/>
      <c r="CM45451" s="111"/>
      <c r="CQ45451" s="111"/>
      <c r="EF45451"/>
      <c r="EG45451"/>
      <c r="EH45451"/>
      <c r="EI45451"/>
      <c r="EJ45451"/>
      <c r="EK45451"/>
    </row>
    <row r="45452" spans="1:141" s="116" customFormat="1">
      <c r="A45452" s="136"/>
      <c r="CM45452" s="111"/>
      <c r="CQ45452" s="111"/>
      <c r="EF45452"/>
      <c r="EG45452"/>
      <c r="EH45452"/>
      <c r="EI45452"/>
      <c r="EJ45452"/>
      <c r="EK45452"/>
    </row>
    <row r="45453" spans="1:141" s="116" customFormat="1">
      <c r="A45453" s="136"/>
      <c r="CM45453" s="111"/>
      <c r="CQ45453" s="111"/>
      <c r="EF45453"/>
      <c r="EG45453"/>
      <c r="EH45453"/>
      <c r="EI45453"/>
      <c r="EJ45453"/>
      <c r="EK45453"/>
    </row>
    <row r="45454" spans="1:141" s="116" customFormat="1">
      <c r="A45454" s="136"/>
      <c r="CM45454" s="111"/>
      <c r="CQ45454" s="111"/>
      <c r="EF45454"/>
      <c r="EG45454"/>
      <c r="EH45454"/>
      <c r="EI45454"/>
      <c r="EJ45454"/>
      <c r="EK45454"/>
    </row>
    <row r="45455" spans="1:141" s="116" customFormat="1">
      <c r="A45455" s="136"/>
      <c r="CM45455" s="111"/>
      <c r="CQ45455" s="111"/>
      <c r="EF45455"/>
      <c r="EG45455"/>
      <c r="EH45455"/>
      <c r="EI45455"/>
      <c r="EJ45455"/>
      <c r="EK45455"/>
    </row>
    <row r="45456" spans="1:141" s="116" customFormat="1">
      <c r="A45456" s="136"/>
      <c r="CM45456" s="111"/>
      <c r="CQ45456" s="111"/>
      <c r="EF45456"/>
      <c r="EG45456"/>
      <c r="EH45456"/>
      <c r="EI45456"/>
      <c r="EJ45456"/>
      <c r="EK45456"/>
    </row>
    <row r="45457" spans="1:141" s="116" customFormat="1">
      <c r="A45457" s="136"/>
      <c r="CM45457" s="111"/>
      <c r="CQ45457" s="111"/>
      <c r="EF45457"/>
      <c r="EG45457"/>
      <c r="EH45457"/>
      <c r="EI45457"/>
      <c r="EJ45457"/>
      <c r="EK45457"/>
    </row>
    <row r="45458" spans="1:141" s="116" customFormat="1">
      <c r="A45458" s="136"/>
      <c r="CM45458" s="111"/>
      <c r="CQ45458" s="111"/>
      <c r="EF45458"/>
      <c r="EG45458"/>
      <c r="EH45458"/>
      <c r="EI45458"/>
      <c r="EJ45458"/>
      <c r="EK45458"/>
    </row>
    <row r="45459" spans="1:141" s="116" customFormat="1">
      <c r="A45459" s="136"/>
      <c r="CM45459" s="111"/>
      <c r="CQ45459" s="111"/>
      <c r="EF45459"/>
      <c r="EG45459"/>
      <c r="EH45459"/>
      <c r="EI45459"/>
      <c r="EJ45459"/>
      <c r="EK45459"/>
    </row>
    <row r="45460" spans="1:141" s="116" customFormat="1">
      <c r="A45460" s="136"/>
      <c r="CM45460" s="111"/>
      <c r="CQ45460" s="111"/>
      <c r="EF45460"/>
      <c r="EG45460"/>
      <c r="EH45460"/>
      <c r="EI45460"/>
      <c r="EJ45460"/>
      <c r="EK45460"/>
    </row>
    <row r="45461" spans="1:141" s="116" customFormat="1">
      <c r="A45461" s="136"/>
      <c r="CM45461" s="111"/>
      <c r="CQ45461" s="111"/>
      <c r="EF45461"/>
      <c r="EG45461"/>
      <c r="EH45461"/>
      <c r="EI45461"/>
      <c r="EJ45461"/>
      <c r="EK45461"/>
    </row>
    <row r="45462" spans="1:141" s="116" customFormat="1">
      <c r="A45462" s="136"/>
      <c r="CM45462" s="111"/>
      <c r="CQ45462" s="111"/>
      <c r="EF45462"/>
      <c r="EG45462"/>
      <c r="EH45462"/>
      <c r="EI45462"/>
      <c r="EJ45462"/>
      <c r="EK45462"/>
    </row>
    <row r="45463" spans="1:141" s="116" customFormat="1">
      <c r="A45463" s="136"/>
      <c r="CM45463" s="111"/>
      <c r="CQ45463" s="111"/>
      <c r="EF45463"/>
      <c r="EG45463"/>
      <c r="EH45463"/>
      <c r="EI45463"/>
      <c r="EJ45463"/>
      <c r="EK45463"/>
    </row>
    <row r="45464" spans="1:141" s="116" customFormat="1">
      <c r="A45464" s="136"/>
      <c r="CM45464" s="111"/>
      <c r="CQ45464" s="111"/>
      <c r="EF45464"/>
      <c r="EG45464"/>
      <c r="EH45464"/>
      <c r="EI45464"/>
      <c r="EJ45464"/>
      <c r="EK45464"/>
    </row>
    <row r="45465" spans="1:141" s="116" customFormat="1">
      <c r="A45465" s="136"/>
      <c r="CM45465" s="111"/>
      <c r="CQ45465" s="111"/>
      <c r="EF45465"/>
      <c r="EG45465"/>
      <c r="EH45465"/>
      <c r="EI45465"/>
      <c r="EJ45465"/>
      <c r="EK45465"/>
    </row>
    <row r="45466" spans="1:141" s="116" customFormat="1">
      <c r="A45466" s="136"/>
      <c r="CM45466" s="111"/>
      <c r="CQ45466" s="111"/>
      <c r="EF45466"/>
      <c r="EG45466"/>
      <c r="EH45466"/>
      <c r="EI45466"/>
      <c r="EJ45466"/>
      <c r="EK45466"/>
    </row>
    <row r="45467" spans="1:141" s="116" customFormat="1">
      <c r="A45467" s="136"/>
      <c r="CM45467" s="111"/>
      <c r="CQ45467" s="111"/>
      <c r="EF45467"/>
      <c r="EG45467"/>
      <c r="EH45467"/>
      <c r="EI45467"/>
      <c r="EJ45467"/>
      <c r="EK45467"/>
    </row>
    <row r="45468" spans="1:141" s="116" customFormat="1">
      <c r="A45468" s="136"/>
      <c r="CM45468" s="111"/>
      <c r="CQ45468" s="111"/>
      <c r="EF45468"/>
      <c r="EG45468"/>
      <c r="EH45468"/>
      <c r="EI45468"/>
      <c r="EJ45468"/>
      <c r="EK45468"/>
    </row>
    <row r="45469" spans="1:141" s="116" customFormat="1">
      <c r="A45469" s="136"/>
      <c r="CM45469" s="111"/>
      <c r="CQ45469" s="111"/>
      <c r="EF45469"/>
      <c r="EG45469"/>
      <c r="EH45469"/>
      <c r="EI45469"/>
      <c r="EJ45469"/>
      <c r="EK45469"/>
    </row>
    <row r="45470" spans="1:141" s="116" customFormat="1">
      <c r="A45470" s="136"/>
      <c r="CM45470" s="111"/>
      <c r="CQ45470" s="111"/>
      <c r="EF45470"/>
      <c r="EG45470"/>
      <c r="EH45470"/>
      <c r="EI45470"/>
      <c r="EJ45470"/>
      <c r="EK45470"/>
    </row>
    <row r="45471" spans="1:141" s="116" customFormat="1">
      <c r="A45471" s="136"/>
      <c r="CM45471" s="111"/>
      <c r="CQ45471" s="111"/>
      <c r="EF45471"/>
      <c r="EG45471"/>
      <c r="EH45471"/>
      <c r="EI45471"/>
      <c r="EJ45471"/>
      <c r="EK45471"/>
    </row>
    <row r="45472" spans="1:141" s="116" customFormat="1">
      <c r="A45472" s="136"/>
      <c r="CM45472" s="111"/>
      <c r="CQ45472" s="111"/>
      <c r="EF45472"/>
      <c r="EG45472"/>
      <c r="EH45472"/>
      <c r="EI45472"/>
      <c r="EJ45472"/>
      <c r="EK45472"/>
    </row>
    <row r="45473" spans="1:141" s="116" customFormat="1">
      <c r="A45473" s="136"/>
      <c r="CM45473" s="111"/>
      <c r="CQ45473" s="111"/>
      <c r="EF45473"/>
      <c r="EG45473"/>
      <c r="EH45473"/>
      <c r="EI45473"/>
      <c r="EJ45473"/>
      <c r="EK45473"/>
    </row>
    <row r="45474" spans="1:141" s="116" customFormat="1">
      <c r="A45474" s="136"/>
      <c r="CM45474" s="111"/>
      <c r="CQ45474" s="111"/>
      <c r="EF45474"/>
      <c r="EG45474"/>
      <c r="EH45474"/>
      <c r="EI45474"/>
      <c r="EJ45474"/>
      <c r="EK45474"/>
    </row>
    <row r="45475" spans="1:141" s="116" customFormat="1">
      <c r="A45475" s="136"/>
      <c r="CM45475" s="111"/>
      <c r="CQ45475" s="111"/>
      <c r="EF45475"/>
      <c r="EG45475"/>
      <c r="EH45475"/>
      <c r="EI45475"/>
      <c r="EJ45475"/>
      <c r="EK45475"/>
    </row>
    <row r="45476" spans="1:141" s="116" customFormat="1">
      <c r="A45476" s="136"/>
      <c r="CM45476" s="111"/>
      <c r="CQ45476" s="111"/>
      <c r="EF45476"/>
      <c r="EG45476"/>
      <c r="EH45476"/>
      <c r="EI45476"/>
      <c r="EJ45476"/>
      <c r="EK45476"/>
    </row>
    <row r="45477" spans="1:141" s="116" customFormat="1">
      <c r="A45477" s="136"/>
      <c r="CM45477" s="111"/>
      <c r="CQ45477" s="111"/>
      <c r="EF45477"/>
      <c r="EG45477"/>
      <c r="EH45477"/>
      <c r="EI45477"/>
      <c r="EJ45477"/>
      <c r="EK45477"/>
    </row>
    <row r="45478" spans="1:141" s="116" customFormat="1">
      <c r="A45478" s="136"/>
      <c r="CM45478" s="111"/>
      <c r="CQ45478" s="111"/>
      <c r="EF45478"/>
      <c r="EG45478"/>
      <c r="EH45478"/>
      <c r="EI45478"/>
      <c r="EJ45478"/>
      <c r="EK45478"/>
    </row>
    <row r="45479" spans="1:141" s="116" customFormat="1">
      <c r="A45479" s="136"/>
      <c r="CM45479" s="111"/>
      <c r="CQ45479" s="111"/>
      <c r="EF45479"/>
      <c r="EG45479"/>
      <c r="EH45479"/>
      <c r="EI45479"/>
      <c r="EJ45479"/>
      <c r="EK45479"/>
    </row>
    <row r="45480" spans="1:141" s="116" customFormat="1">
      <c r="A45480" s="136"/>
      <c r="CM45480" s="111"/>
      <c r="CQ45480" s="111"/>
      <c r="EF45480"/>
      <c r="EG45480"/>
      <c r="EH45480"/>
      <c r="EI45480"/>
      <c r="EJ45480"/>
      <c r="EK45480"/>
    </row>
    <row r="45481" spans="1:141" s="116" customFormat="1">
      <c r="A45481" s="136"/>
      <c r="CM45481" s="111"/>
      <c r="CQ45481" s="111"/>
      <c r="EF45481"/>
      <c r="EG45481"/>
      <c r="EH45481"/>
      <c r="EI45481"/>
      <c r="EJ45481"/>
      <c r="EK45481"/>
    </row>
    <row r="45482" spans="1:141" s="116" customFormat="1">
      <c r="A45482" s="136"/>
      <c r="CM45482" s="111"/>
      <c r="CQ45482" s="111"/>
      <c r="EF45482"/>
      <c r="EG45482"/>
      <c r="EH45482"/>
      <c r="EI45482"/>
      <c r="EJ45482"/>
      <c r="EK45482"/>
    </row>
    <row r="45483" spans="1:141" s="116" customFormat="1">
      <c r="A45483" s="136"/>
      <c r="CM45483" s="111"/>
      <c r="CQ45483" s="111"/>
      <c r="EF45483"/>
      <c r="EG45483"/>
      <c r="EH45483"/>
      <c r="EI45483"/>
      <c r="EJ45483"/>
      <c r="EK45483"/>
    </row>
    <row r="45484" spans="1:141" s="116" customFormat="1">
      <c r="A45484" s="136"/>
      <c r="CM45484" s="111"/>
      <c r="CQ45484" s="111"/>
      <c r="EF45484"/>
      <c r="EG45484"/>
      <c r="EH45484"/>
      <c r="EI45484"/>
      <c r="EJ45484"/>
      <c r="EK45484"/>
    </row>
    <row r="45485" spans="1:141" s="116" customFormat="1">
      <c r="A45485" s="136"/>
      <c r="CM45485" s="111"/>
      <c r="CQ45485" s="111"/>
      <c r="EF45485"/>
      <c r="EG45485"/>
      <c r="EH45485"/>
      <c r="EI45485"/>
      <c r="EJ45485"/>
      <c r="EK45485"/>
    </row>
    <row r="45486" spans="1:141" s="116" customFormat="1">
      <c r="A45486" s="136"/>
      <c r="CM45486" s="111"/>
      <c r="CQ45486" s="111"/>
      <c r="EF45486"/>
      <c r="EG45486"/>
      <c r="EH45486"/>
      <c r="EI45486"/>
      <c r="EJ45486"/>
      <c r="EK45486"/>
    </row>
    <row r="45487" spans="1:141" s="116" customFormat="1">
      <c r="A45487" s="136"/>
      <c r="CM45487" s="111"/>
      <c r="CQ45487" s="111"/>
      <c r="EF45487"/>
      <c r="EG45487"/>
      <c r="EH45487"/>
      <c r="EI45487"/>
      <c r="EJ45487"/>
      <c r="EK45487"/>
    </row>
    <row r="45488" spans="1:141" s="116" customFormat="1">
      <c r="A45488" s="136"/>
      <c r="CM45488" s="111"/>
      <c r="CQ45488" s="111"/>
      <c r="EF45488"/>
      <c r="EG45488"/>
      <c r="EH45488"/>
      <c r="EI45488"/>
      <c r="EJ45488"/>
      <c r="EK45488"/>
    </row>
    <row r="45489" spans="1:141" s="116" customFormat="1">
      <c r="A45489" s="136"/>
      <c r="CM45489" s="111"/>
      <c r="CQ45489" s="111"/>
      <c r="EF45489"/>
      <c r="EG45489"/>
      <c r="EH45489"/>
      <c r="EI45489"/>
      <c r="EJ45489"/>
      <c r="EK45489"/>
    </row>
    <row r="45490" spans="1:141" s="116" customFormat="1">
      <c r="A45490" s="136"/>
      <c r="CM45490" s="111"/>
      <c r="CQ45490" s="111"/>
      <c r="EF45490"/>
      <c r="EG45490"/>
      <c r="EH45490"/>
      <c r="EI45490"/>
      <c r="EJ45490"/>
      <c r="EK45490"/>
    </row>
    <row r="45491" spans="1:141" s="116" customFormat="1">
      <c r="A45491" s="136"/>
      <c r="CM45491" s="111"/>
      <c r="CQ45491" s="111"/>
      <c r="EF45491"/>
      <c r="EG45491"/>
      <c r="EH45491"/>
      <c r="EI45491"/>
      <c r="EJ45491"/>
      <c r="EK45491"/>
    </row>
    <row r="45492" spans="1:141" s="116" customFormat="1">
      <c r="A45492" s="136"/>
      <c r="CM45492" s="111"/>
      <c r="CQ45492" s="111"/>
      <c r="EF45492"/>
      <c r="EG45492"/>
      <c r="EH45492"/>
      <c r="EI45492"/>
      <c r="EJ45492"/>
      <c r="EK45492"/>
    </row>
    <row r="45493" spans="1:141" s="116" customFormat="1">
      <c r="A45493" s="136"/>
      <c r="CM45493" s="111"/>
      <c r="CQ45493" s="111"/>
      <c r="EF45493"/>
      <c r="EG45493"/>
      <c r="EH45493"/>
      <c r="EI45493"/>
      <c r="EJ45493"/>
      <c r="EK45493"/>
    </row>
    <row r="45494" spans="1:141" s="116" customFormat="1">
      <c r="A45494" s="136"/>
      <c r="CM45494" s="111"/>
      <c r="CQ45494" s="111"/>
      <c r="EF45494"/>
      <c r="EG45494"/>
      <c r="EH45494"/>
      <c r="EI45494"/>
      <c r="EJ45494"/>
      <c r="EK45494"/>
    </row>
    <row r="45495" spans="1:141" s="116" customFormat="1">
      <c r="A45495" s="136"/>
      <c r="CM45495" s="111"/>
      <c r="CQ45495" s="111"/>
      <c r="EF45495"/>
      <c r="EG45495"/>
      <c r="EH45495"/>
      <c r="EI45495"/>
      <c r="EJ45495"/>
      <c r="EK45495"/>
    </row>
    <row r="45496" spans="1:141" s="116" customFormat="1">
      <c r="A45496" s="136"/>
      <c r="CM45496" s="111"/>
      <c r="CQ45496" s="111"/>
      <c r="EF45496"/>
      <c r="EG45496"/>
      <c r="EH45496"/>
      <c r="EI45496"/>
      <c r="EJ45496"/>
      <c r="EK45496"/>
    </row>
    <row r="45497" spans="1:141" s="116" customFormat="1">
      <c r="A45497" s="136"/>
      <c r="CM45497" s="111"/>
      <c r="CQ45497" s="111"/>
      <c r="EF45497"/>
      <c r="EG45497"/>
      <c r="EH45497"/>
      <c r="EI45497"/>
      <c r="EJ45497"/>
      <c r="EK45497"/>
    </row>
    <row r="45498" spans="1:141" s="116" customFormat="1">
      <c r="A45498" s="136"/>
      <c r="CM45498" s="111"/>
      <c r="CQ45498" s="111"/>
      <c r="EF45498"/>
      <c r="EG45498"/>
      <c r="EH45498"/>
      <c r="EI45498"/>
      <c r="EJ45498"/>
      <c r="EK45498"/>
    </row>
    <row r="45499" spans="1:141" s="116" customFormat="1">
      <c r="A45499" s="136"/>
      <c r="CM45499" s="111"/>
      <c r="CQ45499" s="111"/>
      <c r="EF45499"/>
      <c r="EG45499"/>
      <c r="EH45499"/>
      <c r="EI45499"/>
      <c r="EJ45499"/>
      <c r="EK45499"/>
    </row>
    <row r="45500" spans="1:141" s="116" customFormat="1">
      <c r="A45500" s="136"/>
      <c r="CM45500" s="111"/>
      <c r="CQ45500" s="111"/>
      <c r="EF45500"/>
      <c r="EG45500"/>
      <c r="EH45500"/>
      <c r="EI45500"/>
      <c r="EJ45500"/>
      <c r="EK45500"/>
    </row>
    <row r="45501" spans="1:141" s="116" customFormat="1">
      <c r="A45501" s="136"/>
      <c r="CM45501" s="111"/>
      <c r="CQ45501" s="111"/>
      <c r="EF45501"/>
      <c r="EG45501"/>
      <c r="EH45501"/>
      <c r="EI45501"/>
      <c r="EJ45501"/>
      <c r="EK45501"/>
    </row>
    <row r="45502" spans="1:141" s="116" customFormat="1">
      <c r="A45502" s="136"/>
      <c r="CM45502" s="111"/>
      <c r="CQ45502" s="111"/>
      <c r="EF45502"/>
      <c r="EG45502"/>
      <c r="EH45502"/>
      <c r="EI45502"/>
      <c r="EJ45502"/>
      <c r="EK45502"/>
    </row>
    <row r="45503" spans="1:141" s="116" customFormat="1">
      <c r="A45503" s="136"/>
      <c r="CM45503" s="111"/>
      <c r="CQ45503" s="111"/>
      <c r="EF45503"/>
      <c r="EG45503"/>
      <c r="EH45503"/>
      <c r="EI45503"/>
      <c r="EJ45503"/>
      <c r="EK45503"/>
    </row>
    <row r="45504" spans="1:141" s="116" customFormat="1">
      <c r="A45504" s="136"/>
      <c r="CM45504" s="111"/>
      <c r="CQ45504" s="111"/>
      <c r="EF45504"/>
      <c r="EG45504"/>
      <c r="EH45504"/>
      <c r="EI45504"/>
      <c r="EJ45504"/>
      <c r="EK45504"/>
    </row>
    <row r="45505" spans="1:141" s="116" customFormat="1">
      <c r="A45505" s="136"/>
      <c r="CM45505" s="111"/>
      <c r="CQ45505" s="111"/>
      <c r="EF45505"/>
      <c r="EG45505"/>
      <c r="EH45505"/>
      <c r="EI45505"/>
      <c r="EJ45505"/>
      <c r="EK45505"/>
    </row>
    <row r="45506" spans="1:141" s="116" customFormat="1">
      <c r="A45506" s="136"/>
      <c r="CM45506" s="111"/>
      <c r="CQ45506" s="111"/>
      <c r="EF45506"/>
      <c r="EG45506"/>
      <c r="EH45506"/>
      <c r="EI45506"/>
      <c r="EJ45506"/>
      <c r="EK45506"/>
    </row>
    <row r="45507" spans="1:141" s="116" customFormat="1">
      <c r="A45507" s="136"/>
      <c r="CM45507" s="111"/>
      <c r="CQ45507" s="111"/>
      <c r="EF45507"/>
      <c r="EG45507"/>
      <c r="EH45507"/>
      <c r="EI45507"/>
      <c r="EJ45507"/>
      <c r="EK45507"/>
    </row>
    <row r="45508" spans="1:141" s="116" customFormat="1">
      <c r="A45508" s="136"/>
      <c r="CM45508" s="111"/>
      <c r="CQ45508" s="111"/>
      <c r="EF45508"/>
      <c r="EG45508"/>
      <c r="EH45508"/>
      <c r="EI45508"/>
      <c r="EJ45508"/>
      <c r="EK45508"/>
    </row>
    <row r="45509" spans="1:141" s="116" customFormat="1">
      <c r="A45509" s="136"/>
      <c r="CM45509" s="111"/>
      <c r="CQ45509" s="111"/>
      <c r="EF45509"/>
      <c r="EG45509"/>
      <c r="EH45509"/>
      <c r="EI45509"/>
      <c r="EJ45509"/>
      <c r="EK45509"/>
    </row>
    <row r="45510" spans="1:141" s="116" customFormat="1">
      <c r="A45510" s="136"/>
      <c r="CM45510" s="111"/>
      <c r="CQ45510" s="111"/>
      <c r="EF45510"/>
      <c r="EG45510"/>
      <c r="EH45510"/>
      <c r="EI45510"/>
      <c r="EJ45510"/>
      <c r="EK45510"/>
    </row>
    <row r="45511" spans="1:141" s="116" customFormat="1">
      <c r="A45511" s="136"/>
      <c r="CM45511" s="111"/>
      <c r="CQ45511" s="111"/>
      <c r="EF45511"/>
      <c r="EG45511"/>
      <c r="EH45511"/>
      <c r="EI45511"/>
      <c r="EJ45511"/>
      <c r="EK45511"/>
    </row>
    <row r="45512" spans="1:141" s="116" customFormat="1">
      <c r="A45512" s="136"/>
      <c r="CM45512" s="111"/>
      <c r="CQ45512" s="111"/>
      <c r="EF45512"/>
      <c r="EG45512"/>
      <c r="EH45512"/>
      <c r="EI45512"/>
      <c r="EJ45512"/>
      <c r="EK45512"/>
    </row>
    <row r="45513" spans="1:141" s="116" customFormat="1">
      <c r="A45513" s="136"/>
      <c r="CM45513" s="111"/>
      <c r="CQ45513" s="111"/>
      <c r="EF45513"/>
      <c r="EG45513"/>
      <c r="EH45513"/>
      <c r="EI45513"/>
      <c r="EJ45513"/>
      <c r="EK45513"/>
    </row>
    <row r="45514" spans="1:141" s="116" customFormat="1">
      <c r="A45514" s="136"/>
      <c r="CM45514" s="111"/>
      <c r="CQ45514" s="111"/>
      <c r="EF45514"/>
      <c r="EG45514"/>
      <c r="EH45514"/>
      <c r="EI45514"/>
      <c r="EJ45514"/>
      <c r="EK45514"/>
    </row>
    <row r="45515" spans="1:141" s="116" customFormat="1">
      <c r="A45515" s="136"/>
      <c r="CM45515" s="111"/>
      <c r="CQ45515" s="111"/>
      <c r="EF45515"/>
      <c r="EG45515"/>
      <c r="EH45515"/>
      <c r="EI45515"/>
      <c r="EJ45515"/>
      <c r="EK45515"/>
    </row>
    <row r="45516" spans="1:141" s="116" customFormat="1">
      <c r="A45516" s="136"/>
      <c r="CM45516" s="111"/>
      <c r="CQ45516" s="111"/>
      <c r="EF45516"/>
      <c r="EG45516"/>
      <c r="EH45516"/>
      <c r="EI45516"/>
      <c r="EJ45516"/>
      <c r="EK45516"/>
    </row>
    <row r="45517" spans="1:141" s="116" customFormat="1">
      <c r="A45517" s="136"/>
      <c r="CM45517" s="111"/>
      <c r="CQ45517" s="111"/>
      <c r="EF45517"/>
      <c r="EG45517"/>
      <c r="EH45517"/>
      <c r="EI45517"/>
      <c r="EJ45517"/>
      <c r="EK45517"/>
    </row>
    <row r="45518" spans="1:141" s="116" customFormat="1">
      <c r="A45518" s="136"/>
      <c r="CM45518" s="111"/>
      <c r="CQ45518" s="111"/>
      <c r="EF45518"/>
      <c r="EG45518"/>
      <c r="EH45518"/>
      <c r="EI45518"/>
      <c r="EJ45518"/>
      <c r="EK45518"/>
    </row>
    <row r="45519" spans="1:141" s="116" customFormat="1">
      <c r="A45519" s="136"/>
      <c r="CM45519" s="111"/>
      <c r="CQ45519" s="111"/>
      <c r="EF45519"/>
      <c r="EG45519"/>
      <c r="EH45519"/>
      <c r="EI45519"/>
      <c r="EJ45519"/>
      <c r="EK45519"/>
    </row>
    <row r="45520" spans="1:141" s="116" customFormat="1">
      <c r="A45520" s="136"/>
      <c r="CM45520" s="111"/>
      <c r="CQ45520" s="111"/>
      <c r="EF45520"/>
      <c r="EG45520"/>
      <c r="EH45520"/>
      <c r="EI45520"/>
      <c r="EJ45520"/>
      <c r="EK45520"/>
    </row>
    <row r="45521" spans="1:141" s="116" customFormat="1">
      <c r="A45521" s="136"/>
      <c r="CM45521" s="111"/>
      <c r="CQ45521" s="111"/>
      <c r="EF45521"/>
      <c r="EG45521"/>
      <c r="EH45521"/>
      <c r="EI45521"/>
      <c r="EJ45521"/>
      <c r="EK45521"/>
    </row>
    <row r="45522" spans="1:141" s="116" customFormat="1">
      <c r="A45522" s="136"/>
      <c r="CM45522" s="111"/>
      <c r="CQ45522" s="111"/>
      <c r="EF45522"/>
      <c r="EG45522"/>
      <c r="EH45522"/>
      <c r="EI45522"/>
      <c r="EJ45522"/>
      <c r="EK45522"/>
    </row>
    <row r="45523" spans="1:141" s="116" customFormat="1">
      <c r="A45523" s="136"/>
      <c r="CM45523" s="111"/>
      <c r="CQ45523" s="111"/>
      <c r="EF45523"/>
      <c r="EG45523"/>
      <c r="EH45523"/>
      <c r="EI45523"/>
      <c r="EJ45523"/>
      <c r="EK45523"/>
    </row>
    <row r="45524" spans="1:141" s="116" customFormat="1">
      <c r="A45524" s="136"/>
      <c r="CM45524" s="111"/>
      <c r="CQ45524" s="111"/>
      <c r="EF45524"/>
      <c r="EG45524"/>
      <c r="EH45524"/>
      <c r="EI45524"/>
      <c r="EJ45524"/>
      <c r="EK45524"/>
    </row>
    <row r="45525" spans="1:141" s="116" customFormat="1">
      <c r="A45525" s="136"/>
      <c r="CM45525" s="111"/>
      <c r="CQ45525" s="111"/>
      <c r="EF45525"/>
      <c r="EG45525"/>
      <c r="EH45525"/>
      <c r="EI45525"/>
      <c r="EJ45525"/>
      <c r="EK45525"/>
    </row>
    <row r="45526" spans="1:141" s="116" customFormat="1">
      <c r="A45526" s="136"/>
      <c r="CM45526" s="111"/>
      <c r="CQ45526" s="111"/>
      <c r="EF45526"/>
      <c r="EG45526"/>
      <c r="EH45526"/>
      <c r="EI45526"/>
      <c r="EJ45526"/>
      <c r="EK45526"/>
    </row>
    <row r="45527" spans="1:141" s="116" customFormat="1">
      <c r="A45527" s="136"/>
      <c r="CM45527" s="111"/>
      <c r="CQ45527" s="111"/>
      <c r="EF45527"/>
      <c r="EG45527"/>
      <c r="EH45527"/>
      <c r="EI45527"/>
      <c r="EJ45527"/>
      <c r="EK45527"/>
    </row>
    <row r="45528" spans="1:141" s="116" customFormat="1">
      <c r="A45528" s="136"/>
      <c r="CM45528" s="111"/>
      <c r="CQ45528" s="111"/>
      <c r="EF45528"/>
      <c r="EG45528"/>
      <c r="EH45528"/>
      <c r="EI45528"/>
      <c r="EJ45528"/>
      <c r="EK45528"/>
    </row>
    <row r="45529" spans="1:141" s="116" customFormat="1">
      <c r="A45529" s="136"/>
      <c r="CM45529" s="111"/>
      <c r="CQ45529" s="111"/>
      <c r="EF45529"/>
      <c r="EG45529"/>
      <c r="EH45529"/>
      <c r="EI45529"/>
      <c r="EJ45529"/>
      <c r="EK45529"/>
    </row>
    <row r="45530" spans="1:141" s="116" customFormat="1">
      <c r="A45530" s="136"/>
      <c r="CM45530" s="111"/>
      <c r="CQ45530" s="111"/>
      <c r="EF45530"/>
      <c r="EG45530"/>
      <c r="EH45530"/>
      <c r="EI45530"/>
      <c r="EJ45530"/>
      <c r="EK45530"/>
    </row>
    <row r="45531" spans="1:141" s="116" customFormat="1">
      <c r="A45531" s="136"/>
      <c r="CM45531" s="111"/>
      <c r="CQ45531" s="111"/>
      <c r="EF45531"/>
      <c r="EG45531"/>
      <c r="EH45531"/>
      <c r="EI45531"/>
      <c r="EJ45531"/>
      <c r="EK45531"/>
    </row>
    <row r="45532" spans="1:141" s="116" customFormat="1">
      <c r="A45532" s="136"/>
      <c r="CM45532" s="111"/>
      <c r="CQ45532" s="111"/>
      <c r="EF45532"/>
      <c r="EG45532"/>
      <c r="EH45532"/>
      <c r="EI45532"/>
      <c r="EJ45532"/>
      <c r="EK45532"/>
    </row>
    <row r="45533" spans="1:141" s="116" customFormat="1">
      <c r="A45533" s="136"/>
      <c r="CM45533" s="111"/>
      <c r="CQ45533" s="111"/>
      <c r="EF45533"/>
      <c r="EG45533"/>
      <c r="EH45533"/>
      <c r="EI45533"/>
      <c r="EJ45533"/>
      <c r="EK45533"/>
    </row>
    <row r="45534" spans="1:141" s="116" customFormat="1">
      <c r="A45534" s="136"/>
      <c r="CM45534" s="111"/>
      <c r="CQ45534" s="111"/>
      <c r="EF45534"/>
      <c r="EG45534"/>
      <c r="EH45534"/>
      <c r="EI45534"/>
      <c r="EJ45534"/>
      <c r="EK45534"/>
    </row>
    <row r="45535" spans="1:141" s="116" customFormat="1">
      <c r="A45535" s="136"/>
      <c r="CM45535" s="111"/>
      <c r="CQ45535" s="111"/>
      <c r="EF45535"/>
      <c r="EG45535"/>
      <c r="EH45535"/>
      <c r="EI45535"/>
      <c r="EJ45535"/>
      <c r="EK45535"/>
    </row>
    <row r="45536" spans="1:141" s="116" customFormat="1">
      <c r="A45536" s="136"/>
      <c r="CM45536" s="111"/>
      <c r="CQ45536" s="111"/>
      <c r="EF45536"/>
      <c r="EG45536"/>
      <c r="EH45536"/>
      <c r="EI45536"/>
      <c r="EJ45536"/>
      <c r="EK45536"/>
    </row>
    <row r="45537" spans="1:141" s="116" customFormat="1">
      <c r="A45537" s="136"/>
      <c r="CM45537" s="111"/>
      <c r="CQ45537" s="111"/>
      <c r="EF45537"/>
      <c r="EG45537"/>
      <c r="EH45537"/>
      <c r="EI45537"/>
      <c r="EJ45537"/>
      <c r="EK45537"/>
    </row>
    <row r="45538" spans="1:141" s="116" customFormat="1">
      <c r="A45538" s="136"/>
      <c r="CM45538" s="111"/>
      <c r="CQ45538" s="111"/>
      <c r="EF45538"/>
      <c r="EG45538"/>
      <c r="EH45538"/>
      <c r="EI45538"/>
      <c r="EJ45538"/>
      <c r="EK45538"/>
    </row>
    <row r="45539" spans="1:141" s="116" customFormat="1">
      <c r="A45539" s="136"/>
      <c r="CM45539" s="111"/>
      <c r="CQ45539" s="111"/>
      <c r="EF45539"/>
      <c r="EG45539"/>
      <c r="EH45539"/>
      <c r="EI45539"/>
      <c r="EJ45539"/>
      <c r="EK45539"/>
    </row>
    <row r="45540" spans="1:141" s="116" customFormat="1">
      <c r="A45540" s="136"/>
      <c r="CM45540" s="111"/>
      <c r="CQ45540" s="111"/>
      <c r="EF45540"/>
      <c r="EG45540"/>
      <c r="EH45540"/>
      <c r="EI45540"/>
      <c r="EJ45540"/>
      <c r="EK45540"/>
    </row>
    <row r="45541" spans="1:141" s="116" customFormat="1">
      <c r="A45541" s="136"/>
      <c r="CM45541" s="111"/>
      <c r="CQ45541" s="111"/>
      <c r="EF45541"/>
      <c r="EG45541"/>
      <c r="EH45541"/>
      <c r="EI45541"/>
      <c r="EJ45541"/>
      <c r="EK45541"/>
    </row>
    <row r="45542" spans="1:141" s="116" customFormat="1">
      <c r="A45542" s="136"/>
      <c r="CM45542" s="111"/>
      <c r="CQ45542" s="111"/>
      <c r="EF45542"/>
      <c r="EG45542"/>
      <c r="EH45542"/>
      <c r="EI45542"/>
      <c r="EJ45542"/>
      <c r="EK45542"/>
    </row>
    <row r="45543" spans="1:141" s="116" customFormat="1">
      <c r="A45543" s="136"/>
      <c r="CM45543" s="111"/>
      <c r="CQ45543" s="111"/>
      <c r="EF45543"/>
      <c r="EG45543"/>
      <c r="EH45543"/>
      <c r="EI45543"/>
      <c r="EJ45543"/>
      <c r="EK45543"/>
    </row>
    <row r="45544" spans="1:141" s="116" customFormat="1">
      <c r="A45544" s="136"/>
      <c r="CM45544" s="111"/>
      <c r="CQ45544" s="111"/>
      <c r="EF45544"/>
      <c r="EG45544"/>
      <c r="EH45544"/>
      <c r="EI45544"/>
      <c r="EJ45544"/>
      <c r="EK45544"/>
    </row>
    <row r="45545" spans="1:141" s="116" customFormat="1">
      <c r="A45545" s="136"/>
      <c r="CM45545" s="111"/>
      <c r="CQ45545" s="111"/>
      <c r="EF45545"/>
      <c r="EG45545"/>
      <c r="EH45545"/>
      <c r="EI45545"/>
      <c r="EJ45545"/>
      <c r="EK45545"/>
    </row>
    <row r="45546" spans="1:141" s="116" customFormat="1">
      <c r="A45546" s="136"/>
      <c r="CM45546" s="111"/>
      <c r="CQ45546" s="111"/>
      <c r="EF45546"/>
      <c r="EG45546"/>
      <c r="EH45546"/>
      <c r="EI45546"/>
      <c r="EJ45546"/>
      <c r="EK45546"/>
    </row>
    <row r="45547" spans="1:141" s="116" customFormat="1">
      <c r="A45547" s="136"/>
      <c r="CM45547" s="111"/>
      <c r="CQ45547" s="111"/>
      <c r="EF45547"/>
      <c r="EG45547"/>
      <c r="EH45547"/>
      <c r="EI45547"/>
      <c r="EJ45547"/>
      <c r="EK45547"/>
    </row>
    <row r="45548" spans="1:141" s="116" customFormat="1">
      <c r="A45548" s="136"/>
      <c r="CM45548" s="111"/>
      <c r="CQ45548" s="111"/>
      <c r="EF45548"/>
      <c r="EG45548"/>
      <c r="EH45548"/>
      <c r="EI45548"/>
      <c r="EJ45548"/>
      <c r="EK45548"/>
    </row>
    <row r="45549" spans="1:141" s="116" customFormat="1">
      <c r="A45549" s="136"/>
      <c r="CM45549" s="111"/>
      <c r="CQ45549" s="111"/>
      <c r="EF45549"/>
      <c r="EG45549"/>
      <c r="EH45549"/>
      <c r="EI45549"/>
      <c r="EJ45549"/>
      <c r="EK45549"/>
    </row>
    <row r="45550" spans="1:141" s="116" customFormat="1">
      <c r="A45550" s="136"/>
      <c r="CM45550" s="111"/>
      <c r="CQ45550" s="111"/>
      <c r="EF45550"/>
      <c r="EG45550"/>
      <c r="EH45550"/>
      <c r="EI45550"/>
      <c r="EJ45550"/>
      <c r="EK45550"/>
    </row>
    <row r="45551" spans="1:141" s="116" customFormat="1">
      <c r="A45551" s="136"/>
      <c r="CM45551" s="111"/>
      <c r="CQ45551" s="111"/>
      <c r="EF45551"/>
      <c r="EG45551"/>
      <c r="EH45551"/>
      <c r="EI45551"/>
      <c r="EJ45551"/>
      <c r="EK45551"/>
    </row>
    <row r="45552" spans="1:141" s="116" customFormat="1">
      <c r="A45552" s="136"/>
      <c r="CM45552" s="111"/>
      <c r="CQ45552" s="111"/>
      <c r="EF45552"/>
      <c r="EG45552"/>
      <c r="EH45552"/>
      <c r="EI45552"/>
      <c r="EJ45552"/>
      <c r="EK45552"/>
    </row>
    <row r="45553" spans="1:141" s="116" customFormat="1">
      <c r="A45553" s="136"/>
      <c r="CM45553" s="111"/>
      <c r="CQ45553" s="111"/>
      <c r="EF45553"/>
      <c r="EG45553"/>
      <c r="EH45553"/>
      <c r="EI45553"/>
      <c r="EJ45553"/>
      <c r="EK45553"/>
    </row>
    <row r="45554" spans="1:141" s="116" customFormat="1">
      <c r="A45554" s="136"/>
      <c r="CM45554" s="111"/>
      <c r="CQ45554" s="111"/>
      <c r="EF45554"/>
      <c r="EG45554"/>
      <c r="EH45554"/>
      <c r="EI45554"/>
      <c r="EJ45554"/>
      <c r="EK45554"/>
    </row>
    <row r="45555" spans="1:141" s="116" customFormat="1">
      <c r="A45555" s="136"/>
      <c r="CM45555" s="111"/>
      <c r="CQ45555" s="111"/>
      <c r="EF45555"/>
      <c r="EG45555"/>
      <c r="EH45555"/>
      <c r="EI45555"/>
      <c r="EJ45555"/>
      <c r="EK45555"/>
    </row>
    <row r="45556" spans="1:141" s="116" customFormat="1">
      <c r="A45556" s="136"/>
      <c r="CM45556" s="111"/>
      <c r="CQ45556" s="111"/>
      <c r="EF45556"/>
      <c r="EG45556"/>
      <c r="EH45556"/>
      <c r="EI45556"/>
      <c r="EJ45556"/>
      <c r="EK45556"/>
    </row>
    <row r="45557" spans="1:141" s="116" customFormat="1">
      <c r="A45557" s="136"/>
      <c r="CM45557" s="111"/>
      <c r="CQ45557" s="111"/>
      <c r="EF45557"/>
      <c r="EG45557"/>
      <c r="EH45557"/>
      <c r="EI45557"/>
      <c r="EJ45557"/>
      <c r="EK45557"/>
    </row>
    <row r="45558" spans="1:141" s="116" customFormat="1">
      <c r="A45558" s="136"/>
      <c r="CM45558" s="111"/>
      <c r="CQ45558" s="111"/>
      <c r="EF45558"/>
      <c r="EG45558"/>
      <c r="EH45558"/>
      <c r="EI45558"/>
      <c r="EJ45558"/>
      <c r="EK45558"/>
    </row>
    <row r="45559" spans="1:141" s="116" customFormat="1">
      <c r="A45559" s="136"/>
      <c r="CM45559" s="111"/>
      <c r="CQ45559" s="111"/>
      <c r="EF45559"/>
      <c r="EG45559"/>
      <c r="EH45559"/>
      <c r="EI45559"/>
      <c r="EJ45559"/>
      <c r="EK45559"/>
    </row>
    <row r="45560" spans="1:141" s="116" customFormat="1">
      <c r="A45560" s="136"/>
      <c r="CM45560" s="111"/>
      <c r="CQ45560" s="111"/>
      <c r="EF45560"/>
      <c r="EG45560"/>
      <c r="EH45560"/>
      <c r="EI45560"/>
      <c r="EJ45560"/>
      <c r="EK45560"/>
    </row>
    <row r="45561" spans="1:141" s="116" customFormat="1">
      <c r="A45561" s="136"/>
      <c r="CM45561" s="111"/>
      <c r="CQ45561" s="111"/>
      <c r="EF45561"/>
      <c r="EG45561"/>
      <c r="EH45561"/>
      <c r="EI45561"/>
      <c r="EJ45561"/>
      <c r="EK45561"/>
    </row>
    <row r="45562" spans="1:141" s="116" customFormat="1">
      <c r="A45562" s="136"/>
      <c r="CM45562" s="111"/>
      <c r="CQ45562" s="111"/>
      <c r="EF45562"/>
      <c r="EG45562"/>
      <c r="EH45562"/>
      <c r="EI45562"/>
      <c r="EJ45562"/>
      <c r="EK45562"/>
    </row>
    <row r="45563" spans="1:141" s="116" customFormat="1">
      <c r="A45563" s="136"/>
      <c r="CM45563" s="111"/>
      <c r="CQ45563" s="111"/>
      <c r="EF45563"/>
      <c r="EG45563"/>
      <c r="EH45563"/>
      <c r="EI45563"/>
      <c r="EJ45563"/>
      <c r="EK45563"/>
    </row>
    <row r="45564" spans="1:141" s="116" customFormat="1">
      <c r="A45564" s="136"/>
      <c r="CM45564" s="111"/>
      <c r="CQ45564" s="111"/>
      <c r="EF45564"/>
      <c r="EG45564"/>
      <c r="EH45564"/>
      <c r="EI45564"/>
      <c r="EJ45564"/>
      <c r="EK45564"/>
    </row>
    <row r="45565" spans="1:141" s="116" customFormat="1">
      <c r="A45565" s="136"/>
      <c r="CM45565" s="111"/>
      <c r="CQ45565" s="111"/>
      <c r="EF45565"/>
      <c r="EG45565"/>
      <c r="EH45565"/>
      <c r="EI45565"/>
      <c r="EJ45565"/>
      <c r="EK45565"/>
    </row>
    <row r="45566" spans="1:141" s="116" customFormat="1">
      <c r="A45566" s="136"/>
      <c r="CM45566" s="111"/>
      <c r="CQ45566" s="111"/>
      <c r="EF45566"/>
      <c r="EG45566"/>
      <c r="EH45566"/>
      <c r="EI45566"/>
      <c r="EJ45566"/>
      <c r="EK45566"/>
    </row>
    <row r="45567" spans="1:141" s="116" customFormat="1">
      <c r="A45567" s="136"/>
      <c r="CM45567" s="111"/>
      <c r="CQ45567" s="111"/>
      <c r="EF45567"/>
      <c r="EG45567"/>
      <c r="EH45567"/>
      <c r="EI45567"/>
      <c r="EJ45567"/>
      <c r="EK45567"/>
    </row>
    <row r="45568" spans="1:141" s="116" customFormat="1">
      <c r="A45568" s="136"/>
      <c r="CM45568" s="111"/>
      <c r="CQ45568" s="111"/>
      <c r="EF45568"/>
      <c r="EG45568"/>
      <c r="EH45568"/>
      <c r="EI45568"/>
      <c r="EJ45568"/>
      <c r="EK45568"/>
    </row>
    <row r="45569" spans="1:141" s="116" customFormat="1">
      <c r="A45569" s="136"/>
      <c r="CM45569" s="111"/>
      <c r="CQ45569" s="111"/>
      <c r="EF45569"/>
      <c r="EG45569"/>
      <c r="EH45569"/>
      <c r="EI45569"/>
      <c r="EJ45569"/>
      <c r="EK45569"/>
    </row>
    <row r="45570" spans="1:141" s="116" customFormat="1">
      <c r="A45570" s="136"/>
      <c r="CM45570" s="111"/>
      <c r="CQ45570" s="111"/>
      <c r="EF45570"/>
      <c r="EG45570"/>
      <c r="EH45570"/>
      <c r="EI45570"/>
      <c r="EJ45570"/>
      <c r="EK45570"/>
    </row>
    <row r="45571" spans="1:141" s="116" customFormat="1">
      <c r="A45571" s="136"/>
      <c r="CM45571" s="111"/>
      <c r="CQ45571" s="111"/>
      <c r="EF45571"/>
      <c r="EG45571"/>
      <c r="EH45571"/>
      <c r="EI45571"/>
      <c r="EJ45571"/>
      <c r="EK45571"/>
    </row>
    <row r="45572" spans="1:141" s="116" customFormat="1">
      <c r="A45572" s="136"/>
      <c r="CM45572" s="111"/>
      <c r="CQ45572" s="111"/>
      <c r="EF45572"/>
      <c r="EG45572"/>
      <c r="EH45572"/>
      <c r="EI45572"/>
      <c r="EJ45572"/>
      <c r="EK45572"/>
    </row>
    <row r="45573" spans="1:141" s="116" customFormat="1">
      <c r="A45573" s="136"/>
      <c r="CM45573" s="111"/>
      <c r="CQ45573" s="111"/>
      <c r="EF45573"/>
      <c r="EG45573"/>
      <c r="EH45573"/>
      <c r="EI45573"/>
      <c r="EJ45573"/>
      <c r="EK45573"/>
    </row>
    <row r="45574" spans="1:141" s="116" customFormat="1">
      <c r="A45574" s="136"/>
      <c r="CM45574" s="111"/>
      <c r="CQ45574" s="111"/>
      <c r="EF45574"/>
      <c r="EG45574"/>
      <c r="EH45574"/>
      <c r="EI45574"/>
      <c r="EJ45574"/>
      <c r="EK45574"/>
    </row>
    <row r="45575" spans="1:141" s="116" customFormat="1">
      <c r="A45575" s="136"/>
      <c r="CM45575" s="111"/>
      <c r="CQ45575" s="111"/>
      <c r="EF45575"/>
      <c r="EG45575"/>
      <c r="EH45575"/>
      <c r="EI45575"/>
      <c r="EJ45575"/>
      <c r="EK45575"/>
    </row>
    <row r="45576" spans="1:141" s="116" customFormat="1">
      <c r="A45576" s="136"/>
      <c r="CM45576" s="111"/>
      <c r="CQ45576" s="111"/>
      <c r="EF45576"/>
      <c r="EG45576"/>
      <c r="EH45576"/>
      <c r="EI45576"/>
      <c r="EJ45576"/>
      <c r="EK45576"/>
    </row>
    <row r="45577" spans="1:141" s="116" customFormat="1">
      <c r="A45577" s="136"/>
      <c r="CM45577" s="111"/>
      <c r="CQ45577" s="111"/>
      <c r="EF45577"/>
      <c r="EG45577"/>
      <c r="EH45577"/>
      <c r="EI45577"/>
      <c r="EJ45577"/>
      <c r="EK45577"/>
    </row>
    <row r="45578" spans="1:141" s="116" customFormat="1">
      <c r="A45578" s="136"/>
      <c r="CM45578" s="111"/>
      <c r="CQ45578" s="111"/>
      <c r="EF45578"/>
      <c r="EG45578"/>
      <c r="EH45578"/>
      <c r="EI45578"/>
      <c r="EJ45578"/>
      <c r="EK45578"/>
    </row>
    <row r="45579" spans="1:141" s="116" customFormat="1">
      <c r="A45579" s="136"/>
      <c r="CM45579" s="111"/>
      <c r="CQ45579" s="111"/>
      <c r="EF45579"/>
      <c r="EG45579"/>
      <c r="EH45579"/>
      <c r="EI45579"/>
      <c r="EJ45579"/>
      <c r="EK45579"/>
    </row>
    <row r="45580" spans="1:141" s="116" customFormat="1">
      <c r="A45580" s="136"/>
      <c r="CM45580" s="111"/>
      <c r="CQ45580" s="111"/>
      <c r="EF45580"/>
      <c r="EG45580"/>
      <c r="EH45580"/>
      <c r="EI45580"/>
      <c r="EJ45580"/>
      <c r="EK45580"/>
    </row>
    <row r="45581" spans="1:141" s="116" customFormat="1">
      <c r="A45581" s="136"/>
      <c r="CM45581" s="111"/>
      <c r="CQ45581" s="111"/>
      <c r="EF45581"/>
      <c r="EG45581"/>
      <c r="EH45581"/>
      <c r="EI45581"/>
      <c r="EJ45581"/>
      <c r="EK45581"/>
    </row>
    <row r="45582" spans="1:141" s="116" customFormat="1">
      <c r="A45582" s="136"/>
      <c r="CM45582" s="111"/>
      <c r="CQ45582" s="111"/>
      <c r="EF45582"/>
      <c r="EG45582"/>
      <c r="EH45582"/>
      <c r="EI45582"/>
      <c r="EJ45582"/>
      <c r="EK45582"/>
    </row>
    <row r="45583" spans="1:141" s="116" customFormat="1">
      <c r="A45583" s="136"/>
      <c r="CM45583" s="111"/>
      <c r="CQ45583" s="111"/>
      <c r="EF45583"/>
      <c r="EG45583"/>
      <c r="EH45583"/>
      <c r="EI45583"/>
      <c r="EJ45583"/>
      <c r="EK45583"/>
    </row>
    <row r="45584" spans="1:141" s="116" customFormat="1">
      <c r="A45584" s="136"/>
      <c r="CM45584" s="111"/>
      <c r="CQ45584" s="111"/>
      <c r="EF45584"/>
      <c r="EG45584"/>
      <c r="EH45584"/>
      <c r="EI45584"/>
      <c r="EJ45584"/>
      <c r="EK45584"/>
    </row>
    <row r="45585" spans="1:141" s="116" customFormat="1">
      <c r="A45585" s="136"/>
      <c r="CM45585" s="111"/>
      <c r="CQ45585" s="111"/>
      <c r="EF45585"/>
      <c r="EG45585"/>
      <c r="EH45585"/>
      <c r="EI45585"/>
      <c r="EJ45585"/>
      <c r="EK45585"/>
    </row>
    <row r="45586" spans="1:141" s="116" customFormat="1">
      <c r="A45586" s="136"/>
      <c r="CM45586" s="111"/>
      <c r="CQ45586" s="111"/>
      <c r="EF45586"/>
      <c r="EG45586"/>
      <c r="EH45586"/>
      <c r="EI45586"/>
      <c r="EJ45586"/>
      <c r="EK45586"/>
    </row>
    <row r="45587" spans="1:141" s="116" customFormat="1">
      <c r="A45587" s="136"/>
      <c r="CM45587" s="111"/>
      <c r="CQ45587" s="111"/>
      <c r="EF45587"/>
      <c r="EG45587"/>
      <c r="EH45587"/>
      <c r="EI45587"/>
      <c r="EJ45587"/>
      <c r="EK45587"/>
    </row>
    <row r="45588" spans="1:141" s="116" customFormat="1">
      <c r="A45588" s="136"/>
      <c r="CM45588" s="111"/>
      <c r="CQ45588" s="111"/>
      <c r="EF45588"/>
      <c r="EG45588"/>
      <c r="EH45588"/>
      <c r="EI45588"/>
      <c r="EJ45588"/>
      <c r="EK45588"/>
    </row>
    <row r="45589" spans="1:141" s="116" customFormat="1">
      <c r="A45589" s="136"/>
      <c r="CM45589" s="111"/>
      <c r="CQ45589" s="111"/>
      <c r="EF45589"/>
      <c r="EG45589"/>
      <c r="EH45589"/>
      <c r="EI45589"/>
      <c r="EJ45589"/>
      <c r="EK45589"/>
    </row>
    <row r="45590" spans="1:141" s="116" customFormat="1">
      <c r="A45590" s="136"/>
      <c r="CM45590" s="111"/>
      <c r="CQ45590" s="111"/>
      <c r="EF45590"/>
      <c r="EG45590"/>
      <c r="EH45590"/>
      <c r="EI45590"/>
      <c r="EJ45590"/>
      <c r="EK45590"/>
    </row>
    <row r="45591" spans="1:141" s="116" customFormat="1">
      <c r="A45591" s="136"/>
      <c r="CM45591" s="111"/>
      <c r="CQ45591" s="111"/>
      <c r="EF45591"/>
      <c r="EG45591"/>
      <c r="EH45591"/>
      <c r="EI45591"/>
      <c r="EJ45591"/>
      <c r="EK45591"/>
    </row>
    <row r="45592" spans="1:141" s="116" customFormat="1">
      <c r="A45592" s="136"/>
      <c r="CM45592" s="111"/>
      <c r="CQ45592" s="111"/>
      <c r="EF45592"/>
      <c r="EG45592"/>
      <c r="EH45592"/>
      <c r="EI45592"/>
      <c r="EJ45592"/>
      <c r="EK45592"/>
    </row>
    <row r="45593" spans="1:141" s="116" customFormat="1">
      <c r="A45593" s="136"/>
      <c r="CM45593" s="111"/>
      <c r="CQ45593" s="111"/>
      <c r="EF45593"/>
      <c r="EG45593"/>
      <c r="EH45593"/>
      <c r="EI45593"/>
      <c r="EJ45593"/>
      <c r="EK45593"/>
    </row>
    <row r="45594" spans="1:141" s="116" customFormat="1">
      <c r="A45594" s="136"/>
      <c r="CM45594" s="111"/>
      <c r="CQ45594" s="111"/>
      <c r="EF45594"/>
      <c r="EG45594"/>
      <c r="EH45594"/>
      <c r="EI45594"/>
      <c r="EJ45594"/>
      <c r="EK45594"/>
    </row>
    <row r="45595" spans="1:141" s="116" customFormat="1">
      <c r="A45595" s="136"/>
      <c r="CM45595" s="111"/>
      <c r="CQ45595" s="111"/>
      <c r="EF45595"/>
      <c r="EG45595"/>
      <c r="EH45595"/>
      <c r="EI45595"/>
      <c r="EJ45595"/>
      <c r="EK45595"/>
    </row>
    <row r="45596" spans="1:141" s="116" customFormat="1">
      <c r="A45596" s="136"/>
      <c r="CM45596" s="111"/>
      <c r="CQ45596" s="111"/>
      <c r="EF45596"/>
      <c r="EG45596"/>
      <c r="EH45596"/>
      <c r="EI45596"/>
      <c r="EJ45596"/>
      <c r="EK45596"/>
    </row>
    <row r="45597" spans="1:141" s="116" customFormat="1">
      <c r="A45597" s="136"/>
      <c r="CM45597" s="111"/>
      <c r="CQ45597" s="111"/>
      <c r="EF45597"/>
      <c r="EG45597"/>
      <c r="EH45597"/>
      <c r="EI45597"/>
      <c r="EJ45597"/>
      <c r="EK45597"/>
    </row>
    <row r="45598" spans="1:141" s="116" customFormat="1">
      <c r="A45598" s="136"/>
      <c r="CM45598" s="111"/>
      <c r="CQ45598" s="111"/>
      <c r="EF45598"/>
      <c r="EG45598"/>
      <c r="EH45598"/>
      <c r="EI45598"/>
      <c r="EJ45598"/>
      <c r="EK45598"/>
    </row>
    <row r="45599" spans="1:141" s="116" customFormat="1">
      <c r="A45599" s="136"/>
      <c r="CM45599" s="111"/>
      <c r="CQ45599" s="111"/>
      <c r="EF45599"/>
      <c r="EG45599"/>
      <c r="EH45599"/>
      <c r="EI45599"/>
      <c r="EJ45599"/>
      <c r="EK45599"/>
    </row>
    <row r="45600" spans="1:141" s="116" customFormat="1">
      <c r="A45600" s="136"/>
      <c r="CM45600" s="111"/>
      <c r="CQ45600" s="111"/>
      <c r="EF45600"/>
      <c r="EG45600"/>
      <c r="EH45600"/>
      <c r="EI45600"/>
      <c r="EJ45600"/>
      <c r="EK45600"/>
    </row>
    <row r="45601" spans="1:141" s="116" customFormat="1">
      <c r="A45601" s="136"/>
      <c r="CM45601" s="111"/>
      <c r="CQ45601" s="111"/>
      <c r="EF45601"/>
      <c r="EG45601"/>
      <c r="EH45601"/>
      <c r="EI45601"/>
      <c r="EJ45601"/>
      <c r="EK45601"/>
    </row>
    <row r="45602" spans="1:141" s="116" customFormat="1">
      <c r="A45602" s="136"/>
      <c r="CM45602" s="111"/>
      <c r="CQ45602" s="111"/>
      <c r="EF45602"/>
      <c r="EG45602"/>
      <c r="EH45602"/>
      <c r="EI45602"/>
      <c r="EJ45602"/>
      <c r="EK45602"/>
    </row>
    <row r="45603" spans="1:141" s="116" customFormat="1">
      <c r="A45603" s="136"/>
      <c r="CM45603" s="111"/>
      <c r="CQ45603" s="111"/>
      <c r="EF45603"/>
      <c r="EG45603"/>
      <c r="EH45603"/>
      <c r="EI45603"/>
      <c r="EJ45603"/>
      <c r="EK45603"/>
    </row>
    <row r="45604" spans="1:141" s="116" customFormat="1">
      <c r="A45604" s="136"/>
      <c r="CM45604" s="111"/>
      <c r="CQ45604" s="111"/>
      <c r="EF45604"/>
      <c r="EG45604"/>
      <c r="EH45604"/>
      <c r="EI45604"/>
      <c r="EJ45604"/>
      <c r="EK45604"/>
    </row>
    <row r="45605" spans="1:141" s="116" customFormat="1">
      <c r="A45605" s="136"/>
      <c r="CM45605" s="111"/>
      <c r="CQ45605" s="111"/>
      <c r="EF45605"/>
      <c r="EG45605"/>
      <c r="EH45605"/>
      <c r="EI45605"/>
      <c r="EJ45605"/>
      <c r="EK45605"/>
    </row>
    <row r="45606" spans="1:141" s="116" customFormat="1">
      <c r="A45606" s="136"/>
      <c r="CM45606" s="111"/>
      <c r="CQ45606" s="111"/>
      <c r="EF45606"/>
      <c r="EG45606"/>
      <c r="EH45606"/>
      <c r="EI45606"/>
      <c r="EJ45606"/>
      <c r="EK45606"/>
    </row>
    <row r="45607" spans="1:141" s="116" customFormat="1">
      <c r="A45607" s="136"/>
      <c r="CM45607" s="111"/>
      <c r="CQ45607" s="111"/>
      <c r="EF45607"/>
      <c r="EG45607"/>
      <c r="EH45607"/>
      <c r="EI45607"/>
      <c r="EJ45607"/>
      <c r="EK45607"/>
    </row>
    <row r="45608" spans="1:141" s="116" customFormat="1">
      <c r="A45608" s="136"/>
      <c r="CM45608" s="111"/>
      <c r="CQ45608" s="111"/>
      <c r="EF45608"/>
      <c r="EG45608"/>
      <c r="EH45608"/>
      <c r="EI45608"/>
      <c r="EJ45608"/>
      <c r="EK45608"/>
    </row>
    <row r="45609" spans="1:141" s="116" customFormat="1">
      <c r="A45609" s="136"/>
      <c r="CM45609" s="111"/>
      <c r="CQ45609" s="111"/>
      <c r="EF45609"/>
      <c r="EG45609"/>
      <c r="EH45609"/>
      <c r="EI45609"/>
      <c r="EJ45609"/>
      <c r="EK45609"/>
    </row>
    <row r="45610" spans="1:141" s="116" customFormat="1">
      <c r="A45610" s="136"/>
      <c r="CM45610" s="111"/>
      <c r="CQ45610" s="111"/>
      <c r="EF45610"/>
      <c r="EG45610"/>
      <c r="EH45610"/>
      <c r="EI45610"/>
      <c r="EJ45610"/>
      <c r="EK45610"/>
    </row>
    <row r="45611" spans="1:141" s="116" customFormat="1">
      <c r="A45611" s="136"/>
      <c r="CM45611" s="111"/>
      <c r="CQ45611" s="111"/>
      <c r="EF45611"/>
      <c r="EG45611"/>
      <c r="EH45611"/>
      <c r="EI45611"/>
      <c r="EJ45611"/>
      <c r="EK45611"/>
    </row>
    <row r="45612" spans="1:141" s="116" customFormat="1">
      <c r="A45612" s="136"/>
      <c r="CM45612" s="111"/>
      <c r="CQ45612" s="111"/>
      <c r="EF45612"/>
      <c r="EG45612"/>
      <c r="EH45612"/>
      <c r="EI45612"/>
      <c r="EJ45612"/>
      <c r="EK45612"/>
    </row>
    <row r="45613" spans="1:141" s="116" customFormat="1">
      <c r="A45613" s="136"/>
      <c r="CM45613" s="111"/>
      <c r="CQ45613" s="111"/>
      <c r="EF45613"/>
      <c r="EG45613"/>
      <c r="EH45613"/>
      <c r="EI45613"/>
      <c r="EJ45613"/>
      <c r="EK45613"/>
    </row>
    <row r="45614" spans="1:141" s="116" customFormat="1">
      <c r="A45614" s="136"/>
      <c r="CM45614" s="111"/>
      <c r="CQ45614" s="111"/>
      <c r="EF45614"/>
      <c r="EG45614"/>
      <c r="EH45614"/>
      <c r="EI45614"/>
      <c r="EJ45614"/>
      <c r="EK45614"/>
    </row>
    <row r="45615" spans="1:141" s="116" customFormat="1">
      <c r="A45615" s="136"/>
      <c r="CM45615" s="111"/>
      <c r="CQ45615" s="111"/>
      <c r="EF45615"/>
      <c r="EG45615"/>
      <c r="EH45615"/>
      <c r="EI45615"/>
      <c r="EJ45615"/>
      <c r="EK45615"/>
    </row>
    <row r="45616" spans="1:141" s="116" customFormat="1">
      <c r="A45616" s="136"/>
      <c r="CM45616" s="111"/>
      <c r="CQ45616" s="111"/>
      <c r="EF45616"/>
      <c r="EG45616"/>
      <c r="EH45616"/>
      <c r="EI45616"/>
      <c r="EJ45616"/>
      <c r="EK45616"/>
    </row>
    <row r="45617" spans="1:141" s="116" customFormat="1">
      <c r="A45617" s="136"/>
      <c r="CM45617" s="111"/>
      <c r="CQ45617" s="111"/>
      <c r="EF45617"/>
      <c r="EG45617"/>
      <c r="EH45617"/>
      <c r="EI45617"/>
      <c r="EJ45617"/>
      <c r="EK45617"/>
    </row>
    <row r="45618" spans="1:141" s="116" customFormat="1">
      <c r="A45618" s="136"/>
      <c r="CM45618" s="111"/>
      <c r="CQ45618" s="111"/>
      <c r="EF45618"/>
      <c r="EG45618"/>
      <c r="EH45618"/>
      <c r="EI45618"/>
      <c r="EJ45618"/>
      <c r="EK45618"/>
    </row>
    <row r="45619" spans="1:141" s="116" customFormat="1">
      <c r="A45619" s="136"/>
      <c r="CM45619" s="111"/>
      <c r="CQ45619" s="111"/>
      <c r="EF45619"/>
      <c r="EG45619"/>
      <c r="EH45619"/>
      <c r="EI45619"/>
      <c r="EJ45619"/>
      <c r="EK45619"/>
    </row>
    <row r="45620" spans="1:141" s="116" customFormat="1">
      <c r="A45620" s="136"/>
      <c r="CM45620" s="111"/>
      <c r="CQ45620" s="111"/>
      <c r="EF45620"/>
      <c r="EG45620"/>
      <c r="EH45620"/>
      <c r="EI45620"/>
      <c r="EJ45620"/>
      <c r="EK45620"/>
    </row>
    <row r="45621" spans="1:141" s="116" customFormat="1">
      <c r="A45621" s="136"/>
      <c r="CM45621" s="111"/>
      <c r="CQ45621" s="111"/>
      <c r="EF45621"/>
      <c r="EG45621"/>
      <c r="EH45621"/>
      <c r="EI45621"/>
      <c r="EJ45621"/>
      <c r="EK45621"/>
    </row>
    <row r="45622" spans="1:141" s="116" customFormat="1">
      <c r="A45622" s="136"/>
      <c r="CM45622" s="111"/>
      <c r="CQ45622" s="111"/>
      <c r="EF45622"/>
      <c r="EG45622"/>
      <c r="EH45622"/>
      <c r="EI45622"/>
      <c r="EJ45622"/>
      <c r="EK45622"/>
    </row>
    <row r="45623" spans="1:141" s="116" customFormat="1">
      <c r="A45623" s="136"/>
      <c r="CM45623" s="111"/>
      <c r="CQ45623" s="111"/>
      <c r="EF45623"/>
      <c r="EG45623"/>
      <c r="EH45623"/>
      <c r="EI45623"/>
      <c r="EJ45623"/>
      <c r="EK45623"/>
    </row>
    <row r="45624" spans="1:141" s="116" customFormat="1">
      <c r="A45624" s="136"/>
      <c r="CM45624" s="111"/>
      <c r="CQ45624" s="111"/>
      <c r="EF45624"/>
      <c r="EG45624"/>
      <c r="EH45624"/>
      <c r="EI45624"/>
      <c r="EJ45624"/>
      <c r="EK45624"/>
    </row>
    <row r="45625" spans="1:141" s="116" customFormat="1">
      <c r="A45625" s="136"/>
      <c r="CM45625" s="111"/>
      <c r="CQ45625" s="111"/>
      <c r="EF45625"/>
      <c r="EG45625"/>
      <c r="EH45625"/>
      <c r="EI45625"/>
      <c r="EJ45625"/>
      <c r="EK45625"/>
    </row>
    <row r="45626" spans="1:141" s="116" customFormat="1">
      <c r="A45626" s="136"/>
      <c r="CM45626" s="111"/>
      <c r="CQ45626" s="111"/>
      <c r="EF45626"/>
      <c r="EG45626"/>
      <c r="EH45626"/>
      <c r="EI45626"/>
      <c r="EJ45626"/>
      <c r="EK45626"/>
    </row>
    <row r="45627" spans="1:141" s="116" customFormat="1">
      <c r="A45627" s="136"/>
      <c r="CM45627" s="111"/>
      <c r="CQ45627" s="111"/>
      <c r="EF45627"/>
      <c r="EG45627"/>
      <c r="EH45627"/>
      <c r="EI45627"/>
      <c r="EJ45627"/>
      <c r="EK45627"/>
    </row>
    <row r="45628" spans="1:141" s="116" customFormat="1">
      <c r="A45628" s="136"/>
      <c r="CM45628" s="111"/>
      <c r="CQ45628" s="111"/>
      <c r="EF45628"/>
      <c r="EG45628"/>
      <c r="EH45628"/>
      <c r="EI45628"/>
      <c r="EJ45628"/>
      <c r="EK45628"/>
    </row>
    <row r="45629" spans="1:141" s="116" customFormat="1">
      <c r="A45629" s="136"/>
      <c r="CM45629" s="111"/>
      <c r="CQ45629" s="111"/>
      <c r="EF45629"/>
      <c r="EG45629"/>
      <c r="EH45629"/>
      <c r="EI45629"/>
      <c r="EJ45629"/>
      <c r="EK45629"/>
    </row>
    <row r="45630" spans="1:141" s="116" customFormat="1">
      <c r="A45630" s="136"/>
      <c r="CM45630" s="111"/>
      <c r="CQ45630" s="111"/>
      <c r="EF45630"/>
      <c r="EG45630"/>
      <c r="EH45630"/>
      <c r="EI45630"/>
      <c r="EJ45630"/>
      <c r="EK45630"/>
    </row>
    <row r="45631" spans="1:141" s="116" customFormat="1">
      <c r="A45631" s="136"/>
      <c r="CM45631" s="111"/>
      <c r="CQ45631" s="111"/>
      <c r="EF45631"/>
      <c r="EG45631"/>
      <c r="EH45631"/>
      <c r="EI45631"/>
      <c r="EJ45631"/>
      <c r="EK45631"/>
    </row>
    <row r="45632" spans="1:141" s="116" customFormat="1">
      <c r="A45632" s="136"/>
      <c r="CM45632" s="111"/>
      <c r="CQ45632" s="111"/>
      <c r="EF45632"/>
      <c r="EG45632"/>
      <c r="EH45632"/>
      <c r="EI45632"/>
      <c r="EJ45632"/>
      <c r="EK45632"/>
    </row>
    <row r="45633" spans="1:141" s="116" customFormat="1">
      <c r="A45633" s="136"/>
      <c r="CM45633" s="111"/>
      <c r="CQ45633" s="111"/>
      <c r="EF45633"/>
      <c r="EG45633"/>
      <c r="EH45633"/>
      <c r="EI45633"/>
      <c r="EJ45633"/>
      <c r="EK45633"/>
    </row>
    <row r="45634" spans="1:141" s="116" customFormat="1">
      <c r="A45634" s="136"/>
      <c r="CM45634" s="111"/>
      <c r="CQ45634" s="111"/>
      <c r="EF45634"/>
      <c r="EG45634"/>
      <c r="EH45634"/>
      <c r="EI45634"/>
      <c r="EJ45634"/>
      <c r="EK45634"/>
    </row>
    <row r="45635" spans="1:141" s="116" customFormat="1">
      <c r="A45635" s="136"/>
      <c r="CM45635" s="111"/>
      <c r="CQ45635" s="111"/>
      <c r="EF45635"/>
      <c r="EG45635"/>
      <c r="EH45635"/>
      <c r="EI45635"/>
      <c r="EJ45635"/>
      <c r="EK45635"/>
    </row>
    <row r="45636" spans="1:141" s="116" customFormat="1">
      <c r="A45636" s="136"/>
      <c r="CM45636" s="111"/>
      <c r="CQ45636" s="111"/>
      <c r="EF45636"/>
      <c r="EG45636"/>
      <c r="EH45636"/>
      <c r="EI45636"/>
      <c r="EJ45636"/>
      <c r="EK45636"/>
    </row>
    <row r="45637" spans="1:141" s="116" customFormat="1">
      <c r="A45637" s="136"/>
      <c r="CM45637" s="111"/>
      <c r="CQ45637" s="111"/>
      <c r="EF45637"/>
      <c r="EG45637"/>
      <c r="EH45637"/>
      <c r="EI45637"/>
      <c r="EJ45637"/>
      <c r="EK45637"/>
    </row>
    <row r="45638" spans="1:141" s="116" customFormat="1">
      <c r="A45638" s="136"/>
      <c r="CM45638" s="111"/>
      <c r="CQ45638" s="111"/>
      <c r="EF45638"/>
      <c r="EG45638"/>
      <c r="EH45638"/>
      <c r="EI45638"/>
      <c r="EJ45638"/>
      <c r="EK45638"/>
    </row>
    <row r="45639" spans="1:141" s="116" customFormat="1">
      <c r="A45639" s="136"/>
      <c r="CM45639" s="111"/>
      <c r="CQ45639" s="111"/>
      <c r="EF45639"/>
      <c r="EG45639"/>
      <c r="EH45639"/>
      <c r="EI45639"/>
      <c r="EJ45639"/>
      <c r="EK45639"/>
    </row>
    <row r="45640" spans="1:141" s="116" customFormat="1">
      <c r="A45640" s="136"/>
      <c r="CM45640" s="111"/>
      <c r="CQ45640" s="111"/>
      <c r="EF45640"/>
      <c r="EG45640"/>
      <c r="EH45640"/>
      <c r="EI45640"/>
      <c r="EJ45640"/>
      <c r="EK45640"/>
    </row>
    <row r="45641" spans="1:141" s="116" customFormat="1">
      <c r="A45641" s="136"/>
      <c r="CM45641" s="111"/>
      <c r="CQ45641" s="111"/>
      <c r="EF45641"/>
      <c r="EG45641"/>
      <c r="EH45641"/>
      <c r="EI45641"/>
      <c r="EJ45641"/>
      <c r="EK45641"/>
    </row>
    <row r="45642" spans="1:141" s="116" customFormat="1">
      <c r="A45642" s="136"/>
      <c r="CM45642" s="111"/>
      <c r="CQ45642" s="111"/>
      <c r="EF45642"/>
      <c r="EG45642"/>
      <c r="EH45642"/>
      <c r="EI45642"/>
      <c r="EJ45642"/>
      <c r="EK45642"/>
    </row>
    <row r="45643" spans="1:141" s="116" customFormat="1">
      <c r="A45643" s="136"/>
      <c r="CM45643" s="111"/>
      <c r="CQ45643" s="111"/>
      <c r="EF45643"/>
      <c r="EG45643"/>
      <c r="EH45643"/>
      <c r="EI45643"/>
      <c r="EJ45643"/>
      <c r="EK45643"/>
    </row>
    <row r="45644" spans="1:141" s="116" customFormat="1">
      <c r="A45644" s="136"/>
      <c r="CM45644" s="111"/>
      <c r="CQ45644" s="111"/>
      <c r="EF45644"/>
      <c r="EG45644"/>
      <c r="EH45644"/>
      <c r="EI45644"/>
      <c r="EJ45644"/>
      <c r="EK45644"/>
    </row>
    <row r="45645" spans="1:141" s="116" customFormat="1">
      <c r="A45645" s="136"/>
      <c r="CM45645" s="111"/>
      <c r="CQ45645" s="111"/>
      <c r="EF45645"/>
      <c r="EG45645"/>
      <c r="EH45645"/>
      <c r="EI45645"/>
      <c r="EJ45645"/>
      <c r="EK45645"/>
    </row>
    <row r="45646" spans="1:141" s="116" customFormat="1">
      <c r="A45646" s="136"/>
      <c r="CM45646" s="111"/>
      <c r="CQ45646" s="111"/>
      <c r="EF45646"/>
      <c r="EG45646"/>
      <c r="EH45646"/>
      <c r="EI45646"/>
      <c r="EJ45646"/>
      <c r="EK45646"/>
    </row>
    <row r="45647" spans="1:141" s="116" customFormat="1">
      <c r="A45647" s="136"/>
      <c r="CM45647" s="111"/>
      <c r="CQ45647" s="111"/>
      <c r="EF45647"/>
      <c r="EG45647"/>
      <c r="EH45647"/>
      <c r="EI45647"/>
      <c r="EJ45647"/>
      <c r="EK45647"/>
    </row>
    <row r="45648" spans="1:141" s="116" customFormat="1">
      <c r="A45648" s="136"/>
      <c r="CM45648" s="111"/>
      <c r="CQ45648" s="111"/>
      <c r="EF45648"/>
      <c r="EG45648"/>
      <c r="EH45648"/>
      <c r="EI45648"/>
      <c r="EJ45648"/>
      <c r="EK45648"/>
    </row>
    <row r="45649" spans="1:141" s="116" customFormat="1">
      <c r="A45649" s="136"/>
      <c r="CM45649" s="111"/>
      <c r="CQ45649" s="111"/>
      <c r="EF45649"/>
      <c r="EG45649"/>
      <c r="EH45649"/>
      <c r="EI45649"/>
      <c r="EJ45649"/>
      <c r="EK45649"/>
    </row>
    <row r="45650" spans="1:141" s="116" customFormat="1">
      <c r="A45650" s="136"/>
      <c r="CM45650" s="111"/>
      <c r="CQ45650" s="111"/>
      <c r="EF45650"/>
      <c r="EG45650"/>
      <c r="EH45650"/>
      <c r="EI45650"/>
      <c r="EJ45650"/>
      <c r="EK45650"/>
    </row>
    <row r="45651" spans="1:141" s="116" customFormat="1">
      <c r="A45651" s="136"/>
      <c r="CM45651" s="111"/>
      <c r="CQ45651" s="111"/>
      <c r="EF45651"/>
      <c r="EG45651"/>
      <c r="EH45651"/>
      <c r="EI45651"/>
      <c r="EJ45651"/>
      <c r="EK45651"/>
    </row>
    <row r="45652" spans="1:141" s="116" customFormat="1">
      <c r="A45652" s="136"/>
      <c r="CM45652" s="111"/>
      <c r="CQ45652" s="111"/>
      <c r="EF45652"/>
      <c r="EG45652"/>
      <c r="EH45652"/>
      <c r="EI45652"/>
      <c r="EJ45652"/>
      <c r="EK45652"/>
    </row>
    <row r="45653" spans="1:141" s="116" customFormat="1">
      <c r="A45653" s="136"/>
      <c r="CM45653" s="111"/>
      <c r="CQ45653" s="111"/>
      <c r="EF45653"/>
      <c r="EG45653"/>
      <c r="EH45653"/>
      <c r="EI45653"/>
      <c r="EJ45653"/>
      <c r="EK45653"/>
    </row>
    <row r="45654" spans="1:141" s="116" customFormat="1">
      <c r="A45654" s="136"/>
      <c r="CM45654" s="111"/>
      <c r="CQ45654" s="111"/>
      <c r="EF45654"/>
      <c r="EG45654"/>
      <c r="EH45654"/>
      <c r="EI45654"/>
      <c r="EJ45654"/>
      <c r="EK45654"/>
    </row>
    <row r="45655" spans="1:141" s="116" customFormat="1">
      <c r="A45655" s="136"/>
      <c r="CM45655" s="111"/>
      <c r="CQ45655" s="111"/>
      <c r="EF45655"/>
      <c r="EG45655"/>
      <c r="EH45655"/>
      <c r="EI45655"/>
      <c r="EJ45655"/>
      <c r="EK45655"/>
    </row>
    <row r="45656" spans="1:141" s="116" customFormat="1">
      <c r="A45656" s="136"/>
      <c r="CM45656" s="111"/>
      <c r="CQ45656" s="111"/>
      <c r="EF45656"/>
      <c r="EG45656"/>
      <c r="EH45656"/>
      <c r="EI45656"/>
      <c r="EJ45656"/>
      <c r="EK45656"/>
    </row>
    <row r="45657" spans="1:141" s="116" customFormat="1">
      <c r="A45657" s="136"/>
      <c r="CM45657" s="111"/>
      <c r="CQ45657" s="111"/>
      <c r="EF45657"/>
      <c r="EG45657"/>
      <c r="EH45657"/>
      <c r="EI45657"/>
      <c r="EJ45657"/>
      <c r="EK45657"/>
    </row>
    <row r="45658" spans="1:141" s="116" customFormat="1">
      <c r="A45658" s="136"/>
      <c r="CM45658" s="111"/>
      <c r="CQ45658" s="111"/>
      <c r="EF45658"/>
      <c r="EG45658"/>
      <c r="EH45658"/>
      <c r="EI45658"/>
      <c r="EJ45658"/>
      <c r="EK45658"/>
    </row>
    <row r="45659" spans="1:141" s="116" customFormat="1">
      <c r="A45659" s="136"/>
      <c r="CM45659" s="111"/>
      <c r="CQ45659" s="111"/>
      <c r="EF45659"/>
      <c r="EG45659"/>
      <c r="EH45659"/>
      <c r="EI45659"/>
      <c r="EJ45659"/>
      <c r="EK45659"/>
    </row>
    <row r="45660" spans="1:141" s="116" customFormat="1">
      <c r="A45660" s="136"/>
      <c r="CM45660" s="111"/>
      <c r="CQ45660" s="111"/>
      <c r="EF45660"/>
      <c r="EG45660"/>
      <c r="EH45660"/>
      <c r="EI45660"/>
      <c r="EJ45660"/>
      <c r="EK45660"/>
    </row>
    <row r="45661" spans="1:141" s="116" customFormat="1">
      <c r="A45661" s="136"/>
      <c r="CM45661" s="111"/>
      <c r="CQ45661" s="111"/>
      <c r="EF45661"/>
      <c r="EG45661"/>
      <c r="EH45661"/>
      <c r="EI45661"/>
      <c r="EJ45661"/>
      <c r="EK45661"/>
    </row>
    <row r="45662" spans="1:141" s="116" customFormat="1">
      <c r="A45662" s="136"/>
      <c r="CM45662" s="111"/>
      <c r="CQ45662" s="111"/>
      <c r="EF45662"/>
      <c r="EG45662"/>
      <c r="EH45662"/>
      <c r="EI45662"/>
      <c r="EJ45662"/>
      <c r="EK45662"/>
    </row>
    <row r="45663" spans="1:141" s="116" customFormat="1">
      <c r="A45663" s="136"/>
      <c r="CM45663" s="111"/>
      <c r="CQ45663" s="111"/>
      <c r="EF45663"/>
      <c r="EG45663"/>
      <c r="EH45663"/>
      <c r="EI45663"/>
      <c r="EJ45663"/>
      <c r="EK45663"/>
    </row>
    <row r="45664" spans="1:141" s="116" customFormat="1">
      <c r="A45664" s="136"/>
      <c r="CM45664" s="111"/>
      <c r="CQ45664" s="111"/>
      <c r="EF45664"/>
      <c r="EG45664"/>
      <c r="EH45664"/>
      <c r="EI45664"/>
      <c r="EJ45664"/>
      <c r="EK45664"/>
    </row>
    <row r="45665" spans="1:141" s="116" customFormat="1">
      <c r="A45665" s="136"/>
      <c r="CM45665" s="111"/>
      <c r="CQ45665" s="111"/>
      <c r="EF45665"/>
      <c r="EG45665"/>
      <c r="EH45665"/>
      <c r="EI45665"/>
      <c r="EJ45665"/>
      <c r="EK45665"/>
    </row>
    <row r="45666" spans="1:141" s="116" customFormat="1">
      <c r="A45666" s="136"/>
      <c r="CM45666" s="111"/>
      <c r="CQ45666" s="111"/>
      <c r="EF45666"/>
      <c r="EG45666"/>
      <c r="EH45666"/>
      <c r="EI45666"/>
      <c r="EJ45666"/>
      <c r="EK45666"/>
    </row>
    <row r="45667" spans="1:141" s="116" customFormat="1">
      <c r="A45667" s="136"/>
      <c r="CM45667" s="111"/>
      <c r="CQ45667" s="111"/>
      <c r="EF45667"/>
      <c r="EG45667"/>
      <c r="EH45667"/>
      <c r="EI45667"/>
      <c r="EJ45667"/>
      <c r="EK45667"/>
    </row>
    <row r="45668" spans="1:141" s="116" customFormat="1">
      <c r="A45668" s="136"/>
      <c r="CM45668" s="111"/>
      <c r="CQ45668" s="111"/>
      <c r="EF45668"/>
      <c r="EG45668"/>
      <c r="EH45668"/>
      <c r="EI45668"/>
      <c r="EJ45668"/>
      <c r="EK45668"/>
    </row>
    <row r="45669" spans="1:141" s="116" customFormat="1">
      <c r="A45669" s="136"/>
      <c r="CM45669" s="111"/>
      <c r="CQ45669" s="111"/>
      <c r="EF45669"/>
      <c r="EG45669"/>
      <c r="EH45669"/>
      <c r="EI45669"/>
      <c r="EJ45669"/>
      <c r="EK45669"/>
    </row>
    <row r="45670" spans="1:141" s="116" customFormat="1">
      <c r="A45670" s="136"/>
      <c r="CM45670" s="111"/>
      <c r="CQ45670" s="111"/>
      <c r="EF45670"/>
      <c r="EG45670"/>
      <c r="EH45670"/>
      <c r="EI45670"/>
      <c r="EJ45670"/>
      <c r="EK45670"/>
    </row>
    <row r="45671" spans="1:141" s="116" customFormat="1">
      <c r="A45671" s="136"/>
      <c r="CM45671" s="111"/>
      <c r="CQ45671" s="111"/>
      <c r="EF45671"/>
      <c r="EG45671"/>
      <c r="EH45671"/>
      <c r="EI45671"/>
      <c r="EJ45671"/>
      <c r="EK45671"/>
    </row>
    <row r="45672" spans="1:141" s="116" customFormat="1">
      <c r="A45672" s="136"/>
      <c r="CM45672" s="111"/>
      <c r="CQ45672" s="111"/>
      <c r="EF45672"/>
      <c r="EG45672"/>
      <c r="EH45672"/>
      <c r="EI45672"/>
      <c r="EJ45672"/>
      <c r="EK45672"/>
    </row>
    <row r="45673" spans="1:141" s="116" customFormat="1">
      <c r="A45673" s="136"/>
      <c r="CM45673" s="111"/>
      <c r="CQ45673" s="111"/>
      <c r="EF45673"/>
      <c r="EG45673"/>
      <c r="EH45673"/>
      <c r="EI45673"/>
      <c r="EJ45673"/>
      <c r="EK45673"/>
    </row>
    <row r="45674" spans="1:141" s="116" customFormat="1">
      <c r="A45674" s="136"/>
      <c r="CM45674" s="111"/>
      <c r="CQ45674" s="111"/>
      <c r="EF45674"/>
      <c r="EG45674"/>
      <c r="EH45674"/>
      <c r="EI45674"/>
      <c r="EJ45674"/>
      <c r="EK45674"/>
    </row>
    <row r="45675" spans="1:141" s="116" customFormat="1">
      <c r="A45675" s="136"/>
      <c r="CM45675" s="111"/>
      <c r="CQ45675" s="111"/>
      <c r="EF45675"/>
      <c r="EG45675"/>
      <c r="EH45675"/>
      <c r="EI45675"/>
      <c r="EJ45675"/>
      <c r="EK45675"/>
    </row>
    <row r="45676" spans="1:141" s="116" customFormat="1">
      <c r="A45676" s="136"/>
      <c r="CM45676" s="111"/>
      <c r="CQ45676" s="111"/>
      <c r="EF45676"/>
      <c r="EG45676"/>
      <c r="EH45676"/>
      <c r="EI45676"/>
      <c r="EJ45676"/>
      <c r="EK45676"/>
    </row>
    <row r="45677" spans="1:141" s="116" customFormat="1">
      <c r="A45677" s="136"/>
      <c r="CM45677" s="111"/>
      <c r="CQ45677" s="111"/>
      <c r="EF45677"/>
      <c r="EG45677"/>
      <c r="EH45677"/>
      <c r="EI45677"/>
      <c r="EJ45677"/>
      <c r="EK45677"/>
    </row>
    <row r="45678" spans="1:141" s="116" customFormat="1">
      <c r="A45678" s="136"/>
      <c r="CM45678" s="111"/>
      <c r="CQ45678" s="111"/>
      <c r="EF45678"/>
      <c r="EG45678"/>
      <c r="EH45678"/>
      <c r="EI45678"/>
      <c r="EJ45678"/>
      <c r="EK45678"/>
    </row>
    <row r="45679" spans="1:141" s="116" customFormat="1">
      <c r="A45679" s="136"/>
      <c r="CM45679" s="111"/>
      <c r="CQ45679" s="111"/>
      <c r="EF45679"/>
      <c r="EG45679"/>
      <c r="EH45679"/>
      <c r="EI45679"/>
      <c r="EJ45679"/>
      <c r="EK45679"/>
    </row>
    <row r="45680" spans="1:141" s="116" customFormat="1">
      <c r="A45680" s="136"/>
      <c r="CM45680" s="111"/>
      <c r="CQ45680" s="111"/>
      <c r="EF45680"/>
      <c r="EG45680"/>
      <c r="EH45680"/>
      <c r="EI45680"/>
      <c r="EJ45680"/>
      <c r="EK45680"/>
    </row>
    <row r="45681" spans="1:141" s="116" customFormat="1">
      <c r="A45681" s="136"/>
      <c r="CM45681" s="111"/>
      <c r="CQ45681" s="111"/>
      <c r="EF45681"/>
      <c r="EG45681"/>
      <c r="EH45681"/>
      <c r="EI45681"/>
      <c r="EJ45681"/>
      <c r="EK45681"/>
    </row>
    <row r="45682" spans="1:141" s="116" customFormat="1">
      <c r="A45682" s="136"/>
      <c r="CM45682" s="111"/>
      <c r="CQ45682" s="111"/>
      <c r="EF45682"/>
      <c r="EG45682"/>
      <c r="EH45682"/>
      <c r="EI45682"/>
      <c r="EJ45682"/>
      <c r="EK45682"/>
    </row>
    <row r="45683" spans="1:141" s="116" customFormat="1">
      <c r="A45683" s="136"/>
      <c r="CM45683" s="111"/>
      <c r="CQ45683" s="111"/>
      <c r="EF45683"/>
      <c r="EG45683"/>
      <c r="EH45683"/>
      <c r="EI45683"/>
      <c r="EJ45683"/>
      <c r="EK45683"/>
    </row>
    <row r="45684" spans="1:141" s="116" customFormat="1">
      <c r="A45684" s="136"/>
      <c r="CM45684" s="111"/>
      <c r="CQ45684" s="111"/>
      <c r="EF45684"/>
      <c r="EG45684"/>
      <c r="EH45684"/>
      <c r="EI45684"/>
      <c r="EJ45684"/>
      <c r="EK45684"/>
    </row>
    <row r="45685" spans="1:141" s="116" customFormat="1">
      <c r="A45685" s="136"/>
      <c r="CM45685" s="111"/>
      <c r="CQ45685" s="111"/>
      <c r="EF45685"/>
      <c r="EG45685"/>
      <c r="EH45685"/>
      <c r="EI45685"/>
      <c r="EJ45685"/>
      <c r="EK45685"/>
    </row>
    <row r="45686" spans="1:141" s="116" customFormat="1">
      <c r="A45686" s="136"/>
      <c r="CM45686" s="111"/>
      <c r="CQ45686" s="111"/>
      <c r="EF45686"/>
      <c r="EG45686"/>
      <c r="EH45686"/>
      <c r="EI45686"/>
      <c r="EJ45686"/>
      <c r="EK45686"/>
    </row>
    <row r="45687" spans="1:141" s="116" customFormat="1">
      <c r="A45687" s="136"/>
      <c r="CM45687" s="111"/>
      <c r="CQ45687" s="111"/>
      <c r="EF45687"/>
      <c r="EG45687"/>
      <c r="EH45687"/>
      <c r="EI45687"/>
      <c r="EJ45687"/>
      <c r="EK45687"/>
    </row>
    <row r="45688" spans="1:141" s="116" customFormat="1">
      <c r="A45688" s="136"/>
      <c r="CM45688" s="111"/>
      <c r="CQ45688" s="111"/>
      <c r="EF45688"/>
      <c r="EG45688"/>
      <c r="EH45688"/>
      <c r="EI45688"/>
      <c r="EJ45688"/>
      <c r="EK45688"/>
    </row>
    <row r="45689" spans="1:141" s="116" customFormat="1">
      <c r="A45689" s="136"/>
      <c r="CM45689" s="111"/>
      <c r="CQ45689" s="111"/>
      <c r="EF45689"/>
      <c r="EG45689"/>
      <c r="EH45689"/>
      <c r="EI45689"/>
      <c r="EJ45689"/>
      <c r="EK45689"/>
    </row>
    <row r="45690" spans="1:141" s="116" customFormat="1">
      <c r="A45690" s="136"/>
      <c r="CM45690" s="111"/>
      <c r="CQ45690" s="111"/>
      <c r="EF45690"/>
      <c r="EG45690"/>
      <c r="EH45690"/>
      <c r="EI45690"/>
      <c r="EJ45690"/>
      <c r="EK45690"/>
    </row>
    <row r="45691" spans="1:141" s="116" customFormat="1">
      <c r="A45691" s="136"/>
      <c r="CM45691" s="111"/>
      <c r="CQ45691" s="111"/>
      <c r="EF45691"/>
      <c r="EG45691"/>
      <c r="EH45691"/>
      <c r="EI45691"/>
      <c r="EJ45691"/>
      <c r="EK45691"/>
    </row>
    <row r="45692" spans="1:141" s="116" customFormat="1">
      <c r="A45692" s="136"/>
      <c r="CM45692" s="111"/>
      <c r="CQ45692" s="111"/>
      <c r="EF45692"/>
      <c r="EG45692"/>
      <c r="EH45692"/>
      <c r="EI45692"/>
      <c r="EJ45692"/>
      <c r="EK45692"/>
    </row>
    <row r="45693" spans="1:141" s="116" customFormat="1">
      <c r="A45693" s="136"/>
      <c r="CM45693" s="111"/>
      <c r="CQ45693" s="111"/>
      <c r="EF45693"/>
      <c r="EG45693"/>
      <c r="EH45693"/>
      <c r="EI45693"/>
      <c r="EJ45693"/>
      <c r="EK45693"/>
    </row>
    <row r="45694" spans="1:141" s="116" customFormat="1">
      <c r="A45694" s="136"/>
      <c r="CM45694" s="111"/>
      <c r="CQ45694" s="111"/>
      <c r="EF45694"/>
      <c r="EG45694"/>
      <c r="EH45694"/>
      <c r="EI45694"/>
      <c r="EJ45694"/>
      <c r="EK45694"/>
    </row>
    <row r="45695" spans="1:141" s="116" customFormat="1">
      <c r="A45695" s="136"/>
      <c r="CM45695" s="111"/>
      <c r="CQ45695" s="111"/>
      <c r="EF45695"/>
      <c r="EG45695"/>
      <c r="EH45695"/>
      <c r="EI45695"/>
      <c r="EJ45695"/>
      <c r="EK45695"/>
    </row>
    <row r="45696" spans="1:141" s="116" customFormat="1">
      <c r="A45696" s="136"/>
      <c r="CM45696" s="111"/>
      <c r="CQ45696" s="111"/>
      <c r="EF45696"/>
      <c r="EG45696"/>
      <c r="EH45696"/>
      <c r="EI45696"/>
      <c r="EJ45696"/>
      <c r="EK45696"/>
    </row>
    <row r="45697" spans="1:141" s="116" customFormat="1">
      <c r="A45697" s="136"/>
      <c r="CM45697" s="111"/>
      <c r="CQ45697" s="111"/>
      <c r="EF45697"/>
      <c r="EG45697"/>
      <c r="EH45697"/>
      <c r="EI45697"/>
      <c r="EJ45697"/>
      <c r="EK45697"/>
    </row>
    <row r="45698" spans="1:141" s="116" customFormat="1">
      <c r="A45698" s="136"/>
      <c r="CM45698" s="111"/>
      <c r="CQ45698" s="111"/>
      <c r="EF45698"/>
      <c r="EG45698"/>
      <c r="EH45698"/>
      <c r="EI45698"/>
      <c r="EJ45698"/>
      <c r="EK45698"/>
    </row>
    <row r="45699" spans="1:141" s="116" customFormat="1">
      <c r="A45699" s="136"/>
      <c r="CM45699" s="111"/>
      <c r="CQ45699" s="111"/>
      <c r="EF45699"/>
      <c r="EG45699"/>
      <c r="EH45699"/>
      <c r="EI45699"/>
      <c r="EJ45699"/>
      <c r="EK45699"/>
    </row>
    <row r="45700" spans="1:141" s="116" customFormat="1">
      <c r="A45700" s="136"/>
      <c r="CM45700" s="111"/>
      <c r="CQ45700" s="111"/>
      <c r="EF45700"/>
      <c r="EG45700"/>
      <c r="EH45700"/>
      <c r="EI45700"/>
      <c r="EJ45700"/>
      <c r="EK45700"/>
    </row>
    <row r="45701" spans="1:141" s="116" customFormat="1">
      <c r="A45701" s="136"/>
      <c r="CM45701" s="111"/>
      <c r="CQ45701" s="111"/>
      <c r="EF45701"/>
      <c r="EG45701"/>
      <c r="EH45701"/>
      <c r="EI45701"/>
      <c r="EJ45701"/>
      <c r="EK45701"/>
    </row>
    <row r="45702" spans="1:141" s="116" customFormat="1">
      <c r="A45702" s="136"/>
      <c r="CM45702" s="111"/>
      <c r="CQ45702" s="111"/>
      <c r="EF45702"/>
      <c r="EG45702"/>
      <c r="EH45702"/>
      <c r="EI45702"/>
      <c r="EJ45702"/>
      <c r="EK45702"/>
    </row>
    <row r="45703" spans="1:141" s="116" customFormat="1">
      <c r="A45703" s="136"/>
      <c r="CM45703" s="111"/>
      <c r="CQ45703" s="111"/>
      <c r="EF45703"/>
      <c r="EG45703"/>
      <c r="EH45703"/>
      <c r="EI45703"/>
      <c r="EJ45703"/>
      <c r="EK45703"/>
    </row>
    <row r="45704" spans="1:141" s="116" customFormat="1">
      <c r="A45704" s="136"/>
      <c r="CM45704" s="111"/>
      <c r="CQ45704" s="111"/>
      <c r="EF45704"/>
      <c r="EG45704"/>
      <c r="EH45704"/>
      <c r="EI45704"/>
      <c r="EJ45704"/>
      <c r="EK45704"/>
    </row>
    <row r="45705" spans="1:141" s="116" customFormat="1">
      <c r="A45705" s="136"/>
      <c r="CM45705" s="111"/>
      <c r="CQ45705" s="111"/>
      <c r="EF45705"/>
      <c r="EG45705"/>
      <c r="EH45705"/>
      <c r="EI45705"/>
      <c r="EJ45705"/>
      <c r="EK45705"/>
    </row>
    <row r="45706" spans="1:141" s="116" customFormat="1">
      <c r="A45706" s="136"/>
      <c r="CM45706" s="111"/>
      <c r="CQ45706" s="111"/>
      <c r="EF45706"/>
      <c r="EG45706"/>
      <c r="EH45706"/>
      <c r="EI45706"/>
      <c r="EJ45706"/>
      <c r="EK45706"/>
    </row>
    <row r="45707" spans="1:141" s="116" customFormat="1">
      <c r="A45707" s="136"/>
      <c r="CM45707" s="111"/>
      <c r="CQ45707" s="111"/>
      <c r="EF45707"/>
      <c r="EG45707"/>
      <c r="EH45707"/>
      <c r="EI45707"/>
      <c r="EJ45707"/>
      <c r="EK45707"/>
    </row>
    <row r="45708" spans="1:141" s="116" customFormat="1">
      <c r="A45708" s="136"/>
      <c r="CM45708" s="111"/>
      <c r="CQ45708" s="111"/>
      <c r="EF45708"/>
      <c r="EG45708"/>
      <c r="EH45708"/>
      <c r="EI45708"/>
      <c r="EJ45708"/>
      <c r="EK45708"/>
    </row>
    <row r="45709" spans="1:141" s="116" customFormat="1">
      <c r="A45709" s="136"/>
      <c r="CM45709" s="111"/>
      <c r="CQ45709" s="111"/>
      <c r="EF45709"/>
      <c r="EG45709"/>
      <c r="EH45709"/>
      <c r="EI45709"/>
      <c r="EJ45709"/>
      <c r="EK45709"/>
    </row>
    <row r="45710" spans="1:141" s="116" customFormat="1">
      <c r="A45710" s="136"/>
      <c r="CM45710" s="111"/>
      <c r="CQ45710" s="111"/>
      <c r="EF45710"/>
      <c r="EG45710"/>
      <c r="EH45710"/>
      <c r="EI45710"/>
      <c r="EJ45710"/>
      <c r="EK45710"/>
    </row>
    <row r="45711" spans="1:141" s="116" customFormat="1">
      <c r="A45711" s="136"/>
      <c r="CM45711" s="111"/>
      <c r="CQ45711" s="111"/>
      <c r="EF45711"/>
      <c r="EG45711"/>
      <c r="EH45711"/>
      <c r="EI45711"/>
      <c r="EJ45711"/>
      <c r="EK45711"/>
    </row>
    <row r="45712" spans="1:141" s="116" customFormat="1">
      <c r="A45712" s="136"/>
      <c r="CM45712" s="111"/>
      <c r="CQ45712" s="111"/>
      <c r="EF45712"/>
      <c r="EG45712"/>
      <c r="EH45712"/>
      <c r="EI45712"/>
      <c r="EJ45712"/>
      <c r="EK45712"/>
    </row>
    <row r="45713" spans="1:141" s="116" customFormat="1">
      <c r="A45713" s="136"/>
      <c r="CM45713" s="111"/>
      <c r="CQ45713" s="111"/>
      <c r="EF45713"/>
      <c r="EG45713"/>
      <c r="EH45713"/>
      <c r="EI45713"/>
      <c r="EJ45713"/>
      <c r="EK45713"/>
    </row>
    <row r="45714" spans="1:141" s="116" customFormat="1">
      <c r="A45714" s="136"/>
      <c r="CM45714" s="111"/>
      <c r="CQ45714" s="111"/>
      <c r="EF45714"/>
      <c r="EG45714"/>
      <c r="EH45714"/>
      <c r="EI45714"/>
      <c r="EJ45714"/>
      <c r="EK45714"/>
    </row>
    <row r="45715" spans="1:141" s="116" customFormat="1">
      <c r="A45715" s="136"/>
      <c r="CM45715" s="111"/>
      <c r="CQ45715" s="111"/>
      <c r="EF45715"/>
      <c r="EG45715"/>
      <c r="EH45715"/>
      <c r="EI45715"/>
      <c r="EJ45715"/>
      <c r="EK45715"/>
    </row>
    <row r="45716" spans="1:141" s="116" customFormat="1">
      <c r="A45716" s="136"/>
      <c r="CM45716" s="111"/>
      <c r="CQ45716" s="111"/>
      <c r="EF45716"/>
      <c r="EG45716"/>
      <c r="EH45716"/>
      <c r="EI45716"/>
      <c r="EJ45716"/>
      <c r="EK45716"/>
    </row>
    <row r="45717" spans="1:141" s="116" customFormat="1">
      <c r="A45717" s="136"/>
      <c r="CM45717" s="111"/>
      <c r="CQ45717" s="111"/>
      <c r="EF45717"/>
      <c r="EG45717"/>
      <c r="EH45717"/>
      <c r="EI45717"/>
      <c r="EJ45717"/>
      <c r="EK45717"/>
    </row>
    <row r="45718" spans="1:141" s="116" customFormat="1">
      <c r="A45718" s="136"/>
      <c r="CM45718" s="111"/>
      <c r="CQ45718" s="111"/>
      <c r="EF45718"/>
      <c r="EG45718"/>
      <c r="EH45718"/>
      <c r="EI45718"/>
      <c r="EJ45718"/>
      <c r="EK45718"/>
    </row>
    <row r="45719" spans="1:141" s="116" customFormat="1">
      <c r="A45719" s="136"/>
      <c r="CM45719" s="111"/>
      <c r="CQ45719" s="111"/>
      <c r="EF45719"/>
      <c r="EG45719"/>
      <c r="EH45719"/>
      <c r="EI45719"/>
      <c r="EJ45719"/>
      <c r="EK45719"/>
    </row>
    <row r="45720" spans="1:141" s="116" customFormat="1">
      <c r="A45720" s="136"/>
      <c r="CM45720" s="111"/>
      <c r="CQ45720" s="111"/>
      <c r="EF45720"/>
      <c r="EG45720"/>
      <c r="EH45720"/>
      <c r="EI45720"/>
      <c r="EJ45720"/>
      <c r="EK45720"/>
    </row>
    <row r="45721" spans="1:141" s="116" customFormat="1">
      <c r="A45721" s="136"/>
      <c r="CM45721" s="111"/>
      <c r="CQ45721" s="111"/>
      <c r="EF45721"/>
      <c r="EG45721"/>
      <c r="EH45721"/>
      <c r="EI45721"/>
      <c r="EJ45721"/>
      <c r="EK45721"/>
    </row>
    <row r="45722" spans="1:141" s="116" customFormat="1">
      <c r="A45722" s="136"/>
      <c r="CM45722" s="111"/>
      <c r="CQ45722" s="111"/>
      <c r="EF45722"/>
      <c r="EG45722"/>
      <c r="EH45722"/>
      <c r="EI45722"/>
      <c r="EJ45722"/>
      <c r="EK45722"/>
    </row>
    <row r="45723" spans="1:141" s="116" customFormat="1">
      <c r="A45723" s="136"/>
      <c r="CM45723" s="111"/>
      <c r="CQ45723" s="111"/>
      <c r="EF45723"/>
      <c r="EG45723"/>
      <c r="EH45723"/>
      <c r="EI45723"/>
      <c r="EJ45723"/>
      <c r="EK45723"/>
    </row>
    <row r="45724" spans="1:141" s="116" customFormat="1">
      <c r="A45724" s="136"/>
      <c r="CM45724" s="111"/>
      <c r="CQ45724" s="111"/>
      <c r="EF45724"/>
      <c r="EG45724"/>
      <c r="EH45724"/>
      <c r="EI45724"/>
      <c r="EJ45724"/>
      <c r="EK45724"/>
    </row>
    <row r="45725" spans="1:141" s="116" customFormat="1">
      <c r="A45725" s="136"/>
      <c r="CM45725" s="111"/>
      <c r="CQ45725" s="111"/>
      <c r="EF45725"/>
      <c r="EG45725"/>
      <c r="EH45725"/>
      <c r="EI45725"/>
      <c r="EJ45725"/>
      <c r="EK45725"/>
    </row>
    <row r="45726" spans="1:141" s="116" customFormat="1">
      <c r="A45726" s="136"/>
      <c r="CM45726" s="111"/>
      <c r="CQ45726" s="111"/>
      <c r="EF45726"/>
      <c r="EG45726"/>
      <c r="EH45726"/>
      <c r="EI45726"/>
      <c r="EJ45726"/>
      <c r="EK45726"/>
    </row>
    <row r="45727" spans="1:141" s="116" customFormat="1">
      <c r="A45727" s="136"/>
      <c r="CM45727" s="111"/>
      <c r="CQ45727" s="111"/>
      <c r="EF45727"/>
      <c r="EG45727"/>
      <c r="EH45727"/>
      <c r="EI45727"/>
      <c r="EJ45727"/>
      <c r="EK45727"/>
    </row>
    <row r="45728" spans="1:141" s="116" customFormat="1">
      <c r="A45728" s="136"/>
      <c r="CM45728" s="111"/>
      <c r="CQ45728" s="111"/>
      <c r="EF45728"/>
      <c r="EG45728"/>
      <c r="EH45728"/>
      <c r="EI45728"/>
      <c r="EJ45728"/>
      <c r="EK45728"/>
    </row>
    <row r="45729" spans="1:141" s="116" customFormat="1">
      <c r="A45729" s="136"/>
      <c r="CM45729" s="111"/>
      <c r="CQ45729" s="111"/>
      <c r="EF45729"/>
      <c r="EG45729"/>
      <c r="EH45729"/>
      <c r="EI45729"/>
      <c r="EJ45729"/>
      <c r="EK45729"/>
    </row>
    <row r="45730" spans="1:141" s="116" customFormat="1">
      <c r="A45730" s="136"/>
      <c r="CM45730" s="111"/>
      <c r="CQ45730" s="111"/>
      <c r="EF45730"/>
      <c r="EG45730"/>
      <c r="EH45730"/>
      <c r="EI45730"/>
      <c r="EJ45730"/>
      <c r="EK45730"/>
    </row>
    <row r="45731" spans="1:141" s="116" customFormat="1">
      <c r="A45731" s="136"/>
      <c r="CM45731" s="111"/>
      <c r="CQ45731" s="111"/>
      <c r="EF45731"/>
      <c r="EG45731"/>
      <c r="EH45731"/>
      <c r="EI45731"/>
      <c r="EJ45731"/>
      <c r="EK45731"/>
    </row>
    <row r="45732" spans="1:141" s="116" customFormat="1">
      <c r="A45732" s="136"/>
      <c r="CM45732" s="111"/>
      <c r="CQ45732" s="111"/>
      <c r="EF45732"/>
      <c r="EG45732"/>
      <c r="EH45732"/>
      <c r="EI45732"/>
      <c r="EJ45732"/>
      <c r="EK45732"/>
    </row>
    <row r="45733" spans="1:141" s="116" customFormat="1">
      <c r="A45733" s="136"/>
      <c r="CM45733" s="111"/>
      <c r="CQ45733" s="111"/>
      <c r="EF45733"/>
      <c r="EG45733"/>
      <c r="EH45733"/>
      <c r="EI45733"/>
      <c r="EJ45733"/>
      <c r="EK45733"/>
    </row>
    <row r="45734" spans="1:141" s="116" customFormat="1">
      <c r="A45734" s="136"/>
      <c r="CM45734" s="111"/>
      <c r="CQ45734" s="111"/>
      <c r="EF45734"/>
      <c r="EG45734"/>
      <c r="EH45734"/>
      <c r="EI45734"/>
      <c r="EJ45734"/>
      <c r="EK45734"/>
    </row>
    <row r="45735" spans="1:141" s="116" customFormat="1">
      <c r="A45735" s="136"/>
      <c r="CM45735" s="111"/>
      <c r="CQ45735" s="111"/>
      <c r="EF45735"/>
      <c r="EG45735"/>
      <c r="EH45735"/>
      <c r="EI45735"/>
      <c r="EJ45735"/>
      <c r="EK45735"/>
    </row>
    <row r="45736" spans="1:141" s="116" customFormat="1">
      <c r="A45736" s="136"/>
      <c r="CM45736" s="111"/>
      <c r="CQ45736" s="111"/>
      <c r="EF45736"/>
      <c r="EG45736"/>
      <c r="EH45736"/>
      <c r="EI45736"/>
      <c r="EJ45736"/>
      <c r="EK45736"/>
    </row>
    <row r="45737" spans="1:141" s="116" customFormat="1">
      <c r="A45737" s="136"/>
      <c r="CM45737" s="111"/>
      <c r="CQ45737" s="111"/>
      <c r="EF45737"/>
      <c r="EG45737"/>
      <c r="EH45737"/>
      <c r="EI45737"/>
      <c r="EJ45737"/>
      <c r="EK45737"/>
    </row>
    <row r="45738" spans="1:141" s="116" customFormat="1">
      <c r="A45738" s="136"/>
      <c r="CM45738" s="111"/>
      <c r="CQ45738" s="111"/>
      <c r="EF45738"/>
      <c r="EG45738"/>
      <c r="EH45738"/>
      <c r="EI45738"/>
      <c r="EJ45738"/>
      <c r="EK45738"/>
    </row>
    <row r="45739" spans="1:141" s="116" customFormat="1">
      <c r="A45739" s="136"/>
      <c r="CM45739" s="111"/>
      <c r="CQ45739" s="111"/>
      <c r="EF45739"/>
      <c r="EG45739"/>
      <c r="EH45739"/>
      <c r="EI45739"/>
      <c r="EJ45739"/>
      <c r="EK45739"/>
    </row>
    <row r="45740" spans="1:141" s="116" customFormat="1">
      <c r="A45740" s="136"/>
      <c r="CM45740" s="111"/>
      <c r="CQ45740" s="111"/>
      <c r="EF45740"/>
      <c r="EG45740"/>
      <c r="EH45740"/>
      <c r="EI45740"/>
      <c r="EJ45740"/>
      <c r="EK45740"/>
    </row>
    <row r="45741" spans="1:141" s="116" customFormat="1">
      <c r="A45741" s="136"/>
      <c r="CM45741" s="111"/>
      <c r="CQ45741" s="111"/>
      <c r="EF45741"/>
      <c r="EG45741"/>
      <c r="EH45741"/>
      <c r="EI45741"/>
      <c r="EJ45741"/>
      <c r="EK45741"/>
    </row>
    <row r="45742" spans="1:141" s="116" customFormat="1">
      <c r="A45742" s="136"/>
      <c r="CM45742" s="111"/>
      <c r="CQ45742" s="111"/>
      <c r="EF45742"/>
      <c r="EG45742"/>
      <c r="EH45742"/>
      <c r="EI45742"/>
      <c r="EJ45742"/>
      <c r="EK45742"/>
    </row>
    <row r="45743" spans="1:141" s="116" customFormat="1">
      <c r="A45743" s="136"/>
      <c r="CM45743" s="111"/>
      <c r="CQ45743" s="111"/>
      <c r="EF45743"/>
      <c r="EG45743"/>
      <c r="EH45743"/>
      <c r="EI45743"/>
      <c r="EJ45743"/>
      <c r="EK45743"/>
    </row>
    <row r="45744" spans="1:141" s="116" customFormat="1">
      <c r="A45744" s="136"/>
      <c r="CM45744" s="111"/>
      <c r="CQ45744" s="111"/>
      <c r="EF45744"/>
      <c r="EG45744"/>
      <c r="EH45744"/>
      <c r="EI45744"/>
      <c r="EJ45744"/>
      <c r="EK45744"/>
    </row>
    <row r="45745" spans="1:141" s="116" customFormat="1">
      <c r="A45745" s="136"/>
      <c r="CM45745" s="111"/>
      <c r="CQ45745" s="111"/>
      <c r="EF45745"/>
      <c r="EG45745"/>
      <c r="EH45745"/>
      <c r="EI45745"/>
      <c r="EJ45745"/>
      <c r="EK45745"/>
    </row>
    <row r="45746" spans="1:141" s="116" customFormat="1">
      <c r="A45746" s="136"/>
      <c r="CM45746" s="111"/>
      <c r="CQ45746" s="111"/>
      <c r="EF45746"/>
      <c r="EG45746"/>
      <c r="EH45746"/>
      <c r="EI45746"/>
      <c r="EJ45746"/>
      <c r="EK45746"/>
    </row>
    <row r="45747" spans="1:141" s="116" customFormat="1">
      <c r="A45747" s="136"/>
      <c r="CM45747" s="111"/>
      <c r="CQ45747" s="111"/>
      <c r="EF45747"/>
      <c r="EG45747"/>
      <c r="EH45747"/>
      <c r="EI45747"/>
      <c r="EJ45747"/>
      <c r="EK45747"/>
    </row>
    <row r="45748" spans="1:141" s="116" customFormat="1">
      <c r="A45748" s="136"/>
      <c r="CM45748" s="111"/>
      <c r="CQ45748" s="111"/>
      <c r="EF45748"/>
      <c r="EG45748"/>
      <c r="EH45748"/>
      <c r="EI45748"/>
      <c r="EJ45748"/>
      <c r="EK45748"/>
    </row>
    <row r="45749" spans="1:141" s="116" customFormat="1">
      <c r="A45749" s="136"/>
      <c r="CM45749" s="111"/>
      <c r="CQ45749" s="111"/>
      <c r="EF45749"/>
      <c r="EG45749"/>
      <c r="EH45749"/>
      <c r="EI45749"/>
      <c r="EJ45749"/>
      <c r="EK45749"/>
    </row>
    <row r="45750" spans="1:141" s="116" customFormat="1">
      <c r="A45750" s="136"/>
      <c r="CM45750" s="111"/>
      <c r="CQ45750" s="111"/>
      <c r="EF45750"/>
      <c r="EG45750"/>
      <c r="EH45750"/>
      <c r="EI45750"/>
      <c r="EJ45750"/>
      <c r="EK45750"/>
    </row>
    <row r="45751" spans="1:141" s="116" customFormat="1">
      <c r="A45751" s="136"/>
      <c r="CM45751" s="111"/>
      <c r="CQ45751" s="111"/>
      <c r="EF45751"/>
      <c r="EG45751"/>
      <c r="EH45751"/>
      <c r="EI45751"/>
      <c r="EJ45751"/>
      <c r="EK45751"/>
    </row>
    <row r="45752" spans="1:141" s="116" customFormat="1">
      <c r="A45752" s="136"/>
      <c r="CM45752" s="111"/>
      <c r="CQ45752" s="111"/>
      <c r="EF45752"/>
      <c r="EG45752"/>
      <c r="EH45752"/>
      <c r="EI45752"/>
      <c r="EJ45752"/>
      <c r="EK45752"/>
    </row>
    <row r="45753" spans="1:141" s="116" customFormat="1">
      <c r="A45753" s="136"/>
      <c r="CM45753" s="111"/>
      <c r="CQ45753" s="111"/>
      <c r="EF45753"/>
      <c r="EG45753"/>
      <c r="EH45753"/>
      <c r="EI45753"/>
      <c r="EJ45753"/>
      <c r="EK45753"/>
    </row>
    <row r="45754" spans="1:141" s="116" customFormat="1">
      <c r="A45754" s="136"/>
      <c r="CM45754" s="111"/>
      <c r="CQ45754" s="111"/>
      <c r="EF45754"/>
      <c r="EG45754"/>
      <c r="EH45754"/>
      <c r="EI45754"/>
      <c r="EJ45754"/>
      <c r="EK45754"/>
    </row>
    <row r="45755" spans="1:141" s="116" customFormat="1">
      <c r="A45755" s="136"/>
      <c r="CM45755" s="111"/>
      <c r="CQ45755" s="111"/>
      <c r="EF45755"/>
      <c r="EG45755"/>
      <c r="EH45755"/>
      <c r="EI45755"/>
      <c r="EJ45755"/>
      <c r="EK45755"/>
    </row>
    <row r="45756" spans="1:141" s="116" customFormat="1">
      <c r="A45756" s="136"/>
      <c r="CM45756" s="111"/>
      <c r="CQ45756" s="111"/>
      <c r="EF45756"/>
      <c r="EG45756"/>
      <c r="EH45756"/>
      <c r="EI45756"/>
      <c r="EJ45756"/>
      <c r="EK45756"/>
    </row>
    <row r="45757" spans="1:141" s="116" customFormat="1">
      <c r="A45757" s="136"/>
      <c r="CM45757" s="111"/>
      <c r="CQ45757" s="111"/>
      <c r="EF45757"/>
      <c r="EG45757"/>
      <c r="EH45757"/>
      <c r="EI45757"/>
      <c r="EJ45757"/>
      <c r="EK45757"/>
    </row>
    <row r="45758" spans="1:141" s="116" customFormat="1">
      <c r="A45758" s="136"/>
      <c r="CM45758" s="111"/>
      <c r="CQ45758" s="111"/>
      <c r="EF45758"/>
      <c r="EG45758"/>
      <c r="EH45758"/>
      <c r="EI45758"/>
      <c r="EJ45758"/>
      <c r="EK45758"/>
    </row>
    <row r="45759" spans="1:141" s="116" customFormat="1">
      <c r="A45759" s="136"/>
      <c r="CM45759" s="111"/>
      <c r="CQ45759" s="111"/>
      <c r="EF45759"/>
      <c r="EG45759"/>
      <c r="EH45759"/>
      <c r="EI45759"/>
      <c r="EJ45759"/>
      <c r="EK45759"/>
    </row>
    <row r="45760" spans="1:141" s="116" customFormat="1">
      <c r="A45760" s="136"/>
      <c r="CM45760" s="111"/>
      <c r="CQ45760" s="111"/>
      <c r="EF45760"/>
      <c r="EG45760"/>
      <c r="EH45760"/>
      <c r="EI45760"/>
      <c r="EJ45760"/>
      <c r="EK45760"/>
    </row>
    <row r="45761" spans="1:141" s="116" customFormat="1">
      <c r="A45761" s="136"/>
      <c r="CM45761" s="111"/>
      <c r="CQ45761" s="111"/>
      <c r="EF45761"/>
      <c r="EG45761"/>
      <c r="EH45761"/>
      <c r="EI45761"/>
      <c r="EJ45761"/>
      <c r="EK45761"/>
    </row>
    <row r="45762" spans="1:141" s="116" customFormat="1">
      <c r="A45762" s="136"/>
      <c r="CM45762" s="111"/>
      <c r="CQ45762" s="111"/>
      <c r="EF45762"/>
      <c r="EG45762"/>
      <c r="EH45762"/>
      <c r="EI45762"/>
      <c r="EJ45762"/>
      <c r="EK45762"/>
    </row>
    <row r="45763" spans="1:141" s="116" customFormat="1">
      <c r="A45763" s="136"/>
      <c r="CM45763" s="111"/>
      <c r="CQ45763" s="111"/>
      <c r="EF45763"/>
      <c r="EG45763"/>
      <c r="EH45763"/>
      <c r="EI45763"/>
      <c r="EJ45763"/>
      <c r="EK45763"/>
    </row>
    <row r="45764" spans="1:141" s="116" customFormat="1">
      <c r="A45764" s="136"/>
      <c r="CM45764" s="111"/>
      <c r="CQ45764" s="111"/>
      <c r="EF45764"/>
      <c r="EG45764"/>
      <c r="EH45764"/>
      <c r="EI45764"/>
      <c r="EJ45764"/>
      <c r="EK45764"/>
    </row>
    <row r="45765" spans="1:141" s="116" customFormat="1">
      <c r="A45765" s="136"/>
      <c r="CM45765" s="111"/>
      <c r="CQ45765" s="111"/>
      <c r="EF45765"/>
      <c r="EG45765"/>
      <c r="EH45765"/>
      <c r="EI45765"/>
      <c r="EJ45765"/>
      <c r="EK45765"/>
    </row>
    <row r="45766" spans="1:141" s="116" customFormat="1">
      <c r="A45766" s="136"/>
      <c r="CM45766" s="111"/>
      <c r="CQ45766" s="111"/>
      <c r="EF45766"/>
      <c r="EG45766"/>
      <c r="EH45766"/>
      <c r="EI45766"/>
      <c r="EJ45766"/>
      <c r="EK45766"/>
    </row>
    <row r="45767" spans="1:141" s="116" customFormat="1">
      <c r="A45767" s="136"/>
      <c r="CM45767" s="111"/>
      <c r="CQ45767" s="111"/>
      <c r="EF45767"/>
      <c r="EG45767"/>
      <c r="EH45767"/>
      <c r="EI45767"/>
      <c r="EJ45767"/>
      <c r="EK45767"/>
    </row>
    <row r="45768" spans="1:141" s="116" customFormat="1">
      <c r="A45768" s="136"/>
      <c r="CM45768" s="111"/>
      <c r="CQ45768" s="111"/>
      <c r="EF45768"/>
      <c r="EG45768"/>
      <c r="EH45768"/>
      <c r="EI45768"/>
      <c r="EJ45768"/>
      <c r="EK45768"/>
    </row>
    <row r="45769" spans="1:141" s="116" customFormat="1">
      <c r="A45769" s="136"/>
      <c r="CM45769" s="111"/>
      <c r="CQ45769" s="111"/>
      <c r="EF45769"/>
      <c r="EG45769"/>
      <c r="EH45769"/>
      <c r="EI45769"/>
      <c r="EJ45769"/>
      <c r="EK45769"/>
    </row>
    <row r="45770" spans="1:141" s="116" customFormat="1">
      <c r="A45770" s="136"/>
      <c r="CM45770" s="111"/>
      <c r="CQ45770" s="111"/>
      <c r="EF45770"/>
      <c r="EG45770"/>
      <c r="EH45770"/>
      <c r="EI45770"/>
      <c r="EJ45770"/>
      <c r="EK45770"/>
    </row>
    <row r="45771" spans="1:141" s="116" customFormat="1">
      <c r="A45771" s="136"/>
      <c r="CM45771" s="111"/>
      <c r="CQ45771" s="111"/>
      <c r="EF45771"/>
      <c r="EG45771"/>
      <c r="EH45771"/>
      <c r="EI45771"/>
      <c r="EJ45771"/>
      <c r="EK45771"/>
    </row>
    <row r="45772" spans="1:141" s="116" customFormat="1">
      <c r="A45772" s="136"/>
      <c r="CM45772" s="111"/>
      <c r="CQ45772" s="111"/>
      <c r="EF45772"/>
      <c r="EG45772"/>
      <c r="EH45772"/>
      <c r="EI45772"/>
      <c r="EJ45772"/>
      <c r="EK45772"/>
    </row>
    <row r="45773" spans="1:141" s="116" customFormat="1">
      <c r="A45773" s="136"/>
      <c r="CM45773" s="111"/>
      <c r="CQ45773" s="111"/>
      <c r="EF45773"/>
      <c r="EG45773"/>
      <c r="EH45773"/>
      <c r="EI45773"/>
      <c r="EJ45773"/>
      <c r="EK45773"/>
    </row>
    <row r="45774" spans="1:141" s="116" customFormat="1">
      <c r="A45774" s="136"/>
      <c r="CM45774" s="111"/>
      <c r="CQ45774" s="111"/>
      <c r="EF45774"/>
      <c r="EG45774"/>
      <c r="EH45774"/>
      <c r="EI45774"/>
      <c r="EJ45774"/>
      <c r="EK45774"/>
    </row>
    <row r="45775" spans="1:141" s="116" customFormat="1">
      <c r="A45775" s="136"/>
      <c r="CM45775" s="111"/>
      <c r="CQ45775" s="111"/>
      <c r="EF45775"/>
      <c r="EG45775"/>
      <c r="EH45775"/>
      <c r="EI45775"/>
      <c r="EJ45775"/>
      <c r="EK45775"/>
    </row>
    <row r="45776" spans="1:141" s="116" customFormat="1">
      <c r="A45776" s="136"/>
      <c r="CM45776" s="111"/>
      <c r="CQ45776" s="111"/>
      <c r="EF45776"/>
      <c r="EG45776"/>
      <c r="EH45776"/>
      <c r="EI45776"/>
      <c r="EJ45776"/>
      <c r="EK45776"/>
    </row>
    <row r="45777" spans="1:141" s="116" customFormat="1">
      <c r="A45777" s="136"/>
      <c r="CM45777" s="111"/>
      <c r="CQ45777" s="111"/>
      <c r="EF45777"/>
      <c r="EG45777"/>
      <c r="EH45777"/>
      <c r="EI45777"/>
      <c r="EJ45777"/>
      <c r="EK45777"/>
    </row>
    <row r="45778" spans="1:141" s="116" customFormat="1">
      <c r="A45778" s="136"/>
      <c r="CM45778" s="111"/>
      <c r="CQ45778" s="111"/>
      <c r="EF45778"/>
      <c r="EG45778"/>
      <c r="EH45778"/>
      <c r="EI45778"/>
      <c r="EJ45778"/>
      <c r="EK45778"/>
    </row>
    <row r="45779" spans="1:141" s="116" customFormat="1">
      <c r="A45779" s="136"/>
      <c r="CM45779" s="111"/>
      <c r="CQ45779" s="111"/>
      <c r="EF45779"/>
      <c r="EG45779"/>
      <c r="EH45779"/>
      <c r="EI45779"/>
      <c r="EJ45779"/>
      <c r="EK45779"/>
    </row>
    <row r="45780" spans="1:141" s="116" customFormat="1">
      <c r="A45780" s="136"/>
      <c r="CM45780" s="111"/>
      <c r="CQ45780" s="111"/>
      <c r="EF45780"/>
      <c r="EG45780"/>
      <c r="EH45780"/>
      <c r="EI45780"/>
      <c r="EJ45780"/>
      <c r="EK45780"/>
    </row>
    <row r="45781" spans="1:141" s="116" customFormat="1">
      <c r="A45781" s="136"/>
      <c r="CM45781" s="111"/>
      <c r="CQ45781" s="111"/>
      <c r="EF45781"/>
      <c r="EG45781"/>
      <c r="EH45781"/>
      <c r="EI45781"/>
      <c r="EJ45781"/>
      <c r="EK45781"/>
    </row>
    <row r="45782" spans="1:141" s="116" customFormat="1">
      <c r="A45782" s="136"/>
      <c r="CM45782" s="111"/>
      <c r="CQ45782" s="111"/>
      <c r="EF45782"/>
      <c r="EG45782"/>
      <c r="EH45782"/>
      <c r="EI45782"/>
      <c r="EJ45782"/>
      <c r="EK45782"/>
    </row>
    <row r="45783" spans="1:141" s="116" customFormat="1">
      <c r="A45783" s="136"/>
      <c r="CM45783" s="111"/>
      <c r="CQ45783" s="111"/>
      <c r="EF45783"/>
      <c r="EG45783"/>
      <c r="EH45783"/>
      <c r="EI45783"/>
      <c r="EJ45783"/>
      <c r="EK45783"/>
    </row>
    <row r="45784" spans="1:141" s="116" customFormat="1">
      <c r="A45784" s="136"/>
      <c r="CM45784" s="111"/>
      <c r="CQ45784" s="111"/>
      <c r="EF45784"/>
      <c r="EG45784"/>
      <c r="EH45784"/>
      <c r="EI45784"/>
      <c r="EJ45784"/>
      <c r="EK45784"/>
    </row>
    <row r="45785" spans="1:141" s="116" customFormat="1">
      <c r="A45785" s="136"/>
      <c r="CM45785" s="111"/>
      <c r="CQ45785" s="111"/>
      <c r="EF45785"/>
      <c r="EG45785"/>
      <c r="EH45785"/>
      <c r="EI45785"/>
      <c r="EJ45785"/>
      <c r="EK45785"/>
    </row>
    <row r="45786" spans="1:141" s="116" customFormat="1">
      <c r="A45786" s="136"/>
      <c r="CM45786" s="111"/>
      <c r="CQ45786" s="111"/>
      <c r="EF45786"/>
      <c r="EG45786"/>
      <c r="EH45786"/>
      <c r="EI45786"/>
      <c r="EJ45786"/>
      <c r="EK45786"/>
    </row>
    <row r="45787" spans="1:141" s="116" customFormat="1">
      <c r="A45787" s="136"/>
      <c r="CM45787" s="111"/>
      <c r="CQ45787" s="111"/>
      <c r="EF45787"/>
      <c r="EG45787"/>
      <c r="EH45787"/>
      <c r="EI45787"/>
      <c r="EJ45787"/>
      <c r="EK45787"/>
    </row>
    <row r="45788" spans="1:141" s="116" customFormat="1">
      <c r="A45788" s="136"/>
      <c r="CM45788" s="111"/>
      <c r="CQ45788" s="111"/>
      <c r="EF45788"/>
      <c r="EG45788"/>
      <c r="EH45788"/>
      <c r="EI45788"/>
      <c r="EJ45788"/>
      <c r="EK45788"/>
    </row>
    <row r="45789" spans="1:141" s="116" customFormat="1">
      <c r="A45789" s="136"/>
      <c r="CM45789" s="111"/>
      <c r="CQ45789" s="111"/>
      <c r="EF45789"/>
      <c r="EG45789"/>
      <c r="EH45789"/>
      <c r="EI45789"/>
      <c r="EJ45789"/>
      <c r="EK45789"/>
    </row>
    <row r="45790" spans="1:141" s="116" customFormat="1">
      <c r="A45790" s="136"/>
      <c r="CM45790" s="111"/>
      <c r="CQ45790" s="111"/>
      <c r="EF45790"/>
      <c r="EG45790"/>
      <c r="EH45790"/>
      <c r="EI45790"/>
      <c r="EJ45790"/>
      <c r="EK45790"/>
    </row>
    <row r="45791" spans="1:141" s="116" customFormat="1">
      <c r="A45791" s="136"/>
      <c r="CM45791" s="111"/>
      <c r="CQ45791" s="111"/>
      <c r="EF45791"/>
      <c r="EG45791"/>
      <c r="EH45791"/>
      <c r="EI45791"/>
      <c r="EJ45791"/>
      <c r="EK45791"/>
    </row>
    <row r="45792" spans="1:141" s="116" customFormat="1">
      <c r="A45792" s="136"/>
      <c r="CM45792" s="111"/>
      <c r="CQ45792" s="111"/>
      <c r="EF45792"/>
      <c r="EG45792"/>
      <c r="EH45792"/>
      <c r="EI45792"/>
      <c r="EJ45792"/>
      <c r="EK45792"/>
    </row>
    <row r="45793" spans="1:141" s="116" customFormat="1">
      <c r="A45793" s="136"/>
      <c r="CM45793" s="111"/>
      <c r="CQ45793" s="111"/>
      <c r="EF45793"/>
      <c r="EG45793"/>
      <c r="EH45793"/>
      <c r="EI45793"/>
      <c r="EJ45793"/>
      <c r="EK45793"/>
    </row>
    <row r="45794" spans="1:141" s="116" customFormat="1">
      <c r="A45794" s="136"/>
      <c r="CM45794" s="111"/>
      <c r="CQ45794" s="111"/>
      <c r="EF45794"/>
      <c r="EG45794"/>
      <c r="EH45794"/>
      <c r="EI45794"/>
      <c r="EJ45794"/>
      <c r="EK45794"/>
    </row>
    <row r="45795" spans="1:141" s="116" customFormat="1">
      <c r="A45795" s="136"/>
      <c r="CM45795" s="111"/>
      <c r="CQ45795" s="111"/>
      <c r="EF45795"/>
      <c r="EG45795"/>
      <c r="EH45795"/>
      <c r="EI45795"/>
      <c r="EJ45795"/>
      <c r="EK45795"/>
    </row>
    <row r="45796" spans="1:141" s="116" customFormat="1">
      <c r="A45796" s="136"/>
      <c r="CM45796" s="111"/>
      <c r="CQ45796" s="111"/>
      <c r="EF45796"/>
      <c r="EG45796"/>
      <c r="EH45796"/>
      <c r="EI45796"/>
      <c r="EJ45796"/>
      <c r="EK45796"/>
    </row>
    <row r="45797" spans="1:141" s="116" customFormat="1">
      <c r="A45797" s="136"/>
      <c r="CM45797" s="111"/>
      <c r="CQ45797" s="111"/>
      <c r="EF45797"/>
      <c r="EG45797"/>
      <c r="EH45797"/>
      <c r="EI45797"/>
      <c r="EJ45797"/>
      <c r="EK45797"/>
    </row>
    <row r="45798" spans="1:141" s="116" customFormat="1">
      <c r="A45798" s="136"/>
      <c r="CM45798" s="111"/>
      <c r="CQ45798" s="111"/>
      <c r="EF45798"/>
      <c r="EG45798"/>
      <c r="EH45798"/>
      <c r="EI45798"/>
      <c r="EJ45798"/>
      <c r="EK45798"/>
    </row>
    <row r="45799" spans="1:141" s="116" customFormat="1">
      <c r="A45799" s="136"/>
      <c r="CM45799" s="111"/>
      <c r="CQ45799" s="111"/>
      <c r="EF45799"/>
      <c r="EG45799"/>
      <c r="EH45799"/>
      <c r="EI45799"/>
      <c r="EJ45799"/>
      <c r="EK45799"/>
    </row>
    <row r="45800" spans="1:141" s="116" customFormat="1">
      <c r="A45800" s="136"/>
      <c r="CM45800" s="111"/>
      <c r="CQ45800" s="111"/>
      <c r="EF45800"/>
      <c r="EG45800"/>
      <c r="EH45800"/>
      <c r="EI45800"/>
      <c r="EJ45800"/>
      <c r="EK45800"/>
    </row>
    <row r="45801" spans="1:141" s="116" customFormat="1">
      <c r="A45801" s="136"/>
      <c r="CM45801" s="111"/>
      <c r="CQ45801" s="111"/>
      <c r="EF45801"/>
      <c r="EG45801"/>
      <c r="EH45801"/>
      <c r="EI45801"/>
      <c r="EJ45801"/>
      <c r="EK45801"/>
    </row>
    <row r="45802" spans="1:141" s="116" customFormat="1">
      <c r="A45802" s="136"/>
      <c r="CM45802" s="111"/>
      <c r="CQ45802" s="111"/>
      <c r="EF45802"/>
      <c r="EG45802"/>
      <c r="EH45802"/>
      <c r="EI45802"/>
      <c r="EJ45802"/>
      <c r="EK45802"/>
    </row>
    <row r="45803" spans="1:141" s="116" customFormat="1">
      <c r="A45803" s="136"/>
      <c r="CM45803" s="111"/>
      <c r="CQ45803" s="111"/>
      <c r="EF45803"/>
      <c r="EG45803"/>
      <c r="EH45803"/>
      <c r="EI45803"/>
      <c r="EJ45803"/>
      <c r="EK45803"/>
    </row>
    <row r="45804" spans="1:141" s="116" customFormat="1">
      <c r="A45804" s="136"/>
      <c r="CM45804" s="111"/>
      <c r="CQ45804" s="111"/>
      <c r="EF45804"/>
      <c r="EG45804"/>
      <c r="EH45804"/>
      <c r="EI45804"/>
      <c r="EJ45804"/>
      <c r="EK45804"/>
    </row>
    <row r="45805" spans="1:141" s="116" customFormat="1">
      <c r="A45805" s="136"/>
      <c r="CM45805" s="111"/>
      <c r="CQ45805" s="111"/>
      <c r="EF45805"/>
      <c r="EG45805"/>
      <c r="EH45805"/>
      <c r="EI45805"/>
      <c r="EJ45805"/>
      <c r="EK45805"/>
    </row>
    <row r="45806" spans="1:141" s="116" customFormat="1">
      <c r="A45806" s="136"/>
      <c r="CM45806" s="111"/>
      <c r="CQ45806" s="111"/>
      <c r="EF45806"/>
      <c r="EG45806"/>
      <c r="EH45806"/>
      <c r="EI45806"/>
      <c r="EJ45806"/>
      <c r="EK45806"/>
    </row>
    <row r="45807" spans="1:141" s="116" customFormat="1">
      <c r="A45807" s="136"/>
      <c r="CM45807" s="111"/>
      <c r="CQ45807" s="111"/>
      <c r="EF45807"/>
      <c r="EG45807"/>
      <c r="EH45807"/>
      <c r="EI45807"/>
      <c r="EJ45807"/>
      <c r="EK45807"/>
    </row>
    <row r="45808" spans="1:141" s="116" customFormat="1">
      <c r="A45808" s="136"/>
      <c r="CM45808" s="111"/>
      <c r="CQ45808" s="111"/>
      <c r="EF45808"/>
      <c r="EG45808"/>
      <c r="EH45808"/>
      <c r="EI45808"/>
      <c r="EJ45808"/>
      <c r="EK45808"/>
    </row>
    <row r="45809" spans="1:141" s="116" customFormat="1">
      <c r="A45809" s="136"/>
      <c r="CM45809" s="111"/>
      <c r="CQ45809" s="111"/>
      <c r="EF45809"/>
      <c r="EG45809"/>
      <c r="EH45809"/>
      <c r="EI45809"/>
      <c r="EJ45809"/>
      <c r="EK45809"/>
    </row>
    <row r="45810" spans="1:141" s="116" customFormat="1">
      <c r="A45810" s="136"/>
      <c r="CM45810" s="111"/>
      <c r="CQ45810" s="111"/>
      <c r="EF45810"/>
      <c r="EG45810"/>
      <c r="EH45810"/>
      <c r="EI45810"/>
      <c r="EJ45810"/>
      <c r="EK45810"/>
    </row>
    <row r="45811" spans="1:141" s="116" customFormat="1">
      <c r="A45811" s="136"/>
      <c r="CM45811" s="111"/>
      <c r="CQ45811" s="111"/>
      <c r="EF45811"/>
      <c r="EG45811"/>
      <c r="EH45811"/>
      <c r="EI45811"/>
      <c r="EJ45811"/>
      <c r="EK45811"/>
    </row>
    <row r="45812" spans="1:141" s="116" customFormat="1">
      <c r="A45812" s="136"/>
      <c r="CM45812" s="111"/>
      <c r="CQ45812" s="111"/>
      <c r="EF45812"/>
      <c r="EG45812"/>
      <c r="EH45812"/>
      <c r="EI45812"/>
      <c r="EJ45812"/>
      <c r="EK45812"/>
    </row>
    <row r="45813" spans="1:141" s="116" customFormat="1">
      <c r="A45813" s="136"/>
      <c r="CM45813" s="111"/>
      <c r="CQ45813" s="111"/>
      <c r="EF45813"/>
      <c r="EG45813"/>
      <c r="EH45813"/>
      <c r="EI45813"/>
      <c r="EJ45813"/>
      <c r="EK45813"/>
    </row>
    <row r="45814" spans="1:141" s="116" customFormat="1">
      <c r="A45814" s="136"/>
      <c r="CM45814" s="111"/>
      <c r="CQ45814" s="111"/>
      <c r="EF45814"/>
      <c r="EG45814"/>
      <c r="EH45814"/>
      <c r="EI45814"/>
      <c r="EJ45814"/>
      <c r="EK45814"/>
    </row>
    <row r="45815" spans="1:141" s="116" customFormat="1">
      <c r="A45815" s="136"/>
      <c r="CM45815" s="111"/>
      <c r="CQ45815" s="111"/>
      <c r="EF45815"/>
      <c r="EG45815"/>
      <c r="EH45815"/>
      <c r="EI45815"/>
      <c r="EJ45815"/>
      <c r="EK45815"/>
    </row>
    <row r="45816" spans="1:141" s="116" customFormat="1">
      <c r="A45816" s="136"/>
      <c r="CM45816" s="111"/>
      <c r="CQ45816" s="111"/>
      <c r="EF45816"/>
      <c r="EG45816"/>
      <c r="EH45816"/>
      <c r="EI45816"/>
      <c r="EJ45816"/>
      <c r="EK45816"/>
    </row>
    <row r="45817" spans="1:141" s="116" customFormat="1">
      <c r="A45817" s="136"/>
      <c r="CM45817" s="111"/>
      <c r="CQ45817" s="111"/>
      <c r="EF45817"/>
      <c r="EG45817"/>
      <c r="EH45817"/>
      <c r="EI45817"/>
      <c r="EJ45817"/>
      <c r="EK45817"/>
    </row>
    <row r="45818" spans="1:141" s="116" customFormat="1">
      <c r="A45818" s="136"/>
      <c r="CM45818" s="111"/>
      <c r="CQ45818" s="111"/>
      <c r="EF45818"/>
      <c r="EG45818"/>
      <c r="EH45818"/>
      <c r="EI45818"/>
      <c r="EJ45818"/>
      <c r="EK45818"/>
    </row>
    <row r="45819" spans="1:141" s="116" customFormat="1">
      <c r="A45819" s="136"/>
      <c r="CM45819" s="111"/>
      <c r="CQ45819" s="111"/>
      <c r="EF45819"/>
      <c r="EG45819"/>
      <c r="EH45819"/>
      <c r="EI45819"/>
      <c r="EJ45819"/>
      <c r="EK45819"/>
    </row>
    <row r="45820" spans="1:141" s="116" customFormat="1">
      <c r="A45820" s="136"/>
      <c r="CM45820" s="111"/>
      <c r="CQ45820" s="111"/>
      <c r="EF45820"/>
      <c r="EG45820"/>
      <c r="EH45820"/>
      <c r="EI45820"/>
      <c r="EJ45820"/>
      <c r="EK45820"/>
    </row>
    <row r="45821" spans="1:141" s="116" customFormat="1">
      <c r="A45821" s="136"/>
      <c r="CM45821" s="111"/>
      <c r="CQ45821" s="111"/>
      <c r="EF45821"/>
      <c r="EG45821"/>
      <c r="EH45821"/>
      <c r="EI45821"/>
      <c r="EJ45821"/>
      <c r="EK45821"/>
    </row>
    <row r="45822" spans="1:141" s="116" customFormat="1">
      <c r="A45822" s="136"/>
      <c r="CM45822" s="111"/>
      <c r="CQ45822" s="111"/>
      <c r="EF45822"/>
      <c r="EG45822"/>
      <c r="EH45822"/>
      <c r="EI45822"/>
      <c r="EJ45822"/>
      <c r="EK45822"/>
    </row>
    <row r="45823" spans="1:141" s="116" customFormat="1">
      <c r="A45823" s="136"/>
      <c r="CM45823" s="111"/>
      <c r="CQ45823" s="111"/>
      <c r="EF45823"/>
      <c r="EG45823"/>
      <c r="EH45823"/>
      <c r="EI45823"/>
      <c r="EJ45823"/>
      <c r="EK45823"/>
    </row>
    <row r="45824" spans="1:141" s="116" customFormat="1">
      <c r="A45824" s="136"/>
      <c r="CM45824" s="111"/>
      <c r="CQ45824" s="111"/>
      <c r="EF45824"/>
      <c r="EG45824"/>
      <c r="EH45824"/>
      <c r="EI45824"/>
      <c r="EJ45824"/>
      <c r="EK45824"/>
    </row>
    <row r="45825" spans="1:141" s="116" customFormat="1">
      <c r="A45825" s="136"/>
      <c r="CM45825" s="111"/>
      <c r="CQ45825" s="111"/>
      <c r="EF45825"/>
      <c r="EG45825"/>
      <c r="EH45825"/>
      <c r="EI45825"/>
      <c r="EJ45825"/>
      <c r="EK45825"/>
    </row>
    <row r="45826" spans="1:141" s="116" customFormat="1">
      <c r="A45826" s="136"/>
      <c r="CM45826" s="111"/>
      <c r="CQ45826" s="111"/>
      <c r="EF45826"/>
      <c r="EG45826"/>
      <c r="EH45826"/>
      <c r="EI45826"/>
      <c r="EJ45826"/>
      <c r="EK45826"/>
    </row>
    <row r="45827" spans="1:141" s="116" customFormat="1">
      <c r="A45827" s="136"/>
      <c r="CM45827" s="111"/>
      <c r="CQ45827" s="111"/>
      <c r="EF45827"/>
      <c r="EG45827"/>
      <c r="EH45827"/>
      <c r="EI45827"/>
      <c r="EJ45827"/>
      <c r="EK45827"/>
    </row>
    <row r="45828" spans="1:141" s="116" customFormat="1">
      <c r="A45828" s="136"/>
      <c r="CM45828" s="111"/>
      <c r="CQ45828" s="111"/>
      <c r="EF45828"/>
      <c r="EG45828"/>
      <c r="EH45828"/>
      <c r="EI45828"/>
      <c r="EJ45828"/>
      <c r="EK45828"/>
    </row>
    <row r="45829" spans="1:141" s="116" customFormat="1">
      <c r="A45829" s="136"/>
      <c r="CM45829" s="111"/>
      <c r="CQ45829" s="111"/>
      <c r="EF45829"/>
      <c r="EG45829"/>
      <c r="EH45829"/>
      <c r="EI45829"/>
      <c r="EJ45829"/>
      <c r="EK45829"/>
    </row>
    <row r="45830" spans="1:141" s="116" customFormat="1">
      <c r="A45830" s="136"/>
      <c r="CM45830" s="111"/>
      <c r="CQ45830" s="111"/>
      <c r="EF45830"/>
      <c r="EG45830"/>
      <c r="EH45830"/>
      <c r="EI45830"/>
      <c r="EJ45830"/>
      <c r="EK45830"/>
    </row>
    <row r="45831" spans="1:141" s="116" customFormat="1">
      <c r="A45831" s="136"/>
      <c r="CM45831" s="111"/>
      <c r="CQ45831" s="111"/>
      <c r="EF45831"/>
      <c r="EG45831"/>
      <c r="EH45831"/>
      <c r="EI45831"/>
      <c r="EJ45831"/>
      <c r="EK45831"/>
    </row>
    <row r="45832" spans="1:141" s="116" customFormat="1">
      <c r="A45832" s="136"/>
      <c r="CM45832" s="111"/>
      <c r="CQ45832" s="111"/>
      <c r="EF45832"/>
      <c r="EG45832"/>
      <c r="EH45832"/>
      <c r="EI45832"/>
      <c r="EJ45832"/>
      <c r="EK45832"/>
    </row>
    <row r="45833" spans="1:141" s="116" customFormat="1">
      <c r="A45833" s="136"/>
      <c r="CM45833" s="111"/>
      <c r="CQ45833" s="111"/>
      <c r="EF45833"/>
      <c r="EG45833"/>
      <c r="EH45833"/>
      <c r="EI45833"/>
      <c r="EJ45833"/>
      <c r="EK45833"/>
    </row>
    <row r="45834" spans="1:141" s="116" customFormat="1">
      <c r="A45834" s="136"/>
      <c r="CM45834" s="111"/>
      <c r="CQ45834" s="111"/>
      <c r="EF45834"/>
      <c r="EG45834"/>
      <c r="EH45834"/>
      <c r="EI45834"/>
      <c r="EJ45834"/>
      <c r="EK45834"/>
    </row>
    <row r="45835" spans="1:141" s="116" customFormat="1">
      <c r="A45835" s="136"/>
      <c r="CM45835" s="111"/>
      <c r="CQ45835" s="111"/>
      <c r="EF45835"/>
      <c r="EG45835"/>
      <c r="EH45835"/>
      <c r="EI45835"/>
      <c r="EJ45835"/>
      <c r="EK45835"/>
    </row>
    <row r="45836" spans="1:141" s="116" customFormat="1">
      <c r="A45836" s="136"/>
      <c r="CM45836" s="111"/>
      <c r="CQ45836" s="111"/>
      <c r="EF45836"/>
      <c r="EG45836"/>
      <c r="EH45836"/>
      <c r="EI45836"/>
      <c r="EJ45836"/>
      <c r="EK45836"/>
    </row>
    <row r="45837" spans="1:141" s="116" customFormat="1">
      <c r="A45837" s="136"/>
      <c r="CM45837" s="111"/>
      <c r="CQ45837" s="111"/>
      <c r="EF45837"/>
      <c r="EG45837"/>
      <c r="EH45837"/>
      <c r="EI45837"/>
      <c r="EJ45837"/>
      <c r="EK45837"/>
    </row>
    <row r="45838" spans="1:141" s="116" customFormat="1">
      <c r="A45838" s="136"/>
      <c r="CM45838" s="111"/>
      <c r="CQ45838" s="111"/>
      <c r="EF45838"/>
      <c r="EG45838"/>
      <c r="EH45838"/>
      <c r="EI45838"/>
      <c r="EJ45838"/>
      <c r="EK45838"/>
    </row>
    <row r="45839" spans="1:141" s="116" customFormat="1">
      <c r="A45839" s="136"/>
      <c r="CM45839" s="111"/>
      <c r="CQ45839" s="111"/>
      <c r="EF45839"/>
      <c r="EG45839"/>
      <c r="EH45839"/>
      <c r="EI45839"/>
      <c r="EJ45839"/>
      <c r="EK45839"/>
    </row>
    <row r="45840" spans="1:141" s="116" customFormat="1">
      <c r="A45840" s="136"/>
      <c r="CM45840" s="111"/>
      <c r="CQ45840" s="111"/>
      <c r="EF45840"/>
      <c r="EG45840"/>
      <c r="EH45840"/>
      <c r="EI45840"/>
      <c r="EJ45840"/>
      <c r="EK45840"/>
    </row>
    <row r="45841" spans="1:141" s="116" customFormat="1">
      <c r="A45841" s="136"/>
      <c r="CM45841" s="111"/>
      <c r="CQ45841" s="111"/>
      <c r="EF45841"/>
      <c r="EG45841"/>
      <c r="EH45841"/>
      <c r="EI45841"/>
      <c r="EJ45841"/>
      <c r="EK45841"/>
    </row>
    <row r="45842" spans="1:141" s="116" customFormat="1">
      <c r="A45842" s="136"/>
      <c r="CM45842" s="111"/>
      <c r="CQ45842" s="111"/>
      <c r="EF45842"/>
      <c r="EG45842"/>
      <c r="EH45842"/>
      <c r="EI45842"/>
      <c r="EJ45842"/>
      <c r="EK45842"/>
    </row>
    <row r="45843" spans="1:141" s="116" customFormat="1">
      <c r="A45843" s="136"/>
      <c r="CM45843" s="111"/>
      <c r="CQ45843" s="111"/>
      <c r="EF45843"/>
      <c r="EG45843"/>
      <c r="EH45843"/>
      <c r="EI45843"/>
      <c r="EJ45843"/>
      <c r="EK45843"/>
    </row>
    <row r="45844" spans="1:141" s="116" customFormat="1">
      <c r="A45844" s="136"/>
      <c r="CM45844" s="111"/>
      <c r="CQ45844" s="111"/>
      <c r="EF45844"/>
      <c r="EG45844"/>
      <c r="EH45844"/>
      <c r="EI45844"/>
      <c r="EJ45844"/>
      <c r="EK45844"/>
    </row>
    <row r="45845" spans="1:141" s="116" customFormat="1">
      <c r="A45845" s="136"/>
      <c r="CM45845" s="111"/>
      <c r="CQ45845" s="111"/>
      <c r="EF45845"/>
      <c r="EG45845"/>
      <c r="EH45845"/>
      <c r="EI45845"/>
      <c r="EJ45845"/>
      <c r="EK45845"/>
    </row>
    <row r="45846" spans="1:141" s="116" customFormat="1">
      <c r="A45846" s="136"/>
      <c r="CM45846" s="111"/>
      <c r="CQ45846" s="111"/>
      <c r="EF45846"/>
      <c r="EG45846"/>
      <c r="EH45846"/>
      <c r="EI45846"/>
      <c r="EJ45846"/>
      <c r="EK45846"/>
    </row>
    <row r="45847" spans="1:141" s="116" customFormat="1">
      <c r="A45847" s="136"/>
      <c r="CM45847" s="111"/>
      <c r="CQ45847" s="111"/>
      <c r="EF45847"/>
      <c r="EG45847"/>
      <c r="EH45847"/>
      <c r="EI45847"/>
      <c r="EJ45847"/>
      <c r="EK45847"/>
    </row>
    <row r="45848" spans="1:141" s="116" customFormat="1">
      <c r="A45848" s="136"/>
      <c r="CM45848" s="111"/>
      <c r="CQ45848" s="111"/>
      <c r="EF45848"/>
      <c r="EG45848"/>
      <c r="EH45848"/>
      <c r="EI45848"/>
      <c r="EJ45848"/>
      <c r="EK45848"/>
    </row>
    <row r="45849" spans="1:141" s="116" customFormat="1">
      <c r="A45849" s="136"/>
      <c r="CM45849" s="111"/>
      <c r="CQ45849" s="111"/>
      <c r="EF45849"/>
      <c r="EG45849"/>
      <c r="EH45849"/>
      <c r="EI45849"/>
      <c r="EJ45849"/>
      <c r="EK45849"/>
    </row>
    <row r="45850" spans="1:141" s="116" customFormat="1">
      <c r="A45850" s="136"/>
      <c r="CM45850" s="111"/>
      <c r="CQ45850" s="111"/>
      <c r="EF45850"/>
      <c r="EG45850"/>
      <c r="EH45850"/>
      <c r="EI45850"/>
      <c r="EJ45850"/>
      <c r="EK45850"/>
    </row>
    <row r="45851" spans="1:141" s="116" customFormat="1">
      <c r="A45851" s="136"/>
      <c r="CM45851" s="111"/>
      <c r="CQ45851" s="111"/>
      <c r="EF45851"/>
      <c r="EG45851"/>
      <c r="EH45851"/>
      <c r="EI45851"/>
      <c r="EJ45851"/>
      <c r="EK45851"/>
    </row>
    <row r="45852" spans="1:141" s="116" customFormat="1">
      <c r="A45852" s="136"/>
      <c r="CM45852" s="111"/>
      <c r="CQ45852" s="111"/>
      <c r="EF45852"/>
      <c r="EG45852"/>
      <c r="EH45852"/>
      <c r="EI45852"/>
      <c r="EJ45852"/>
      <c r="EK45852"/>
    </row>
    <row r="45853" spans="1:141" s="116" customFormat="1">
      <c r="A45853" s="136"/>
      <c r="CM45853" s="111"/>
      <c r="CQ45853" s="111"/>
      <c r="EF45853"/>
      <c r="EG45853"/>
      <c r="EH45853"/>
      <c r="EI45853"/>
      <c r="EJ45853"/>
      <c r="EK45853"/>
    </row>
    <row r="45854" spans="1:141" s="116" customFormat="1">
      <c r="A45854" s="136"/>
      <c r="CM45854" s="111"/>
      <c r="CQ45854" s="111"/>
      <c r="EF45854"/>
      <c r="EG45854"/>
      <c r="EH45854"/>
      <c r="EI45854"/>
      <c r="EJ45854"/>
      <c r="EK45854"/>
    </row>
    <row r="45855" spans="1:141" s="116" customFormat="1">
      <c r="A45855" s="136"/>
      <c r="CM45855" s="111"/>
      <c r="CQ45855" s="111"/>
      <c r="EF45855"/>
      <c r="EG45855"/>
      <c r="EH45855"/>
      <c r="EI45855"/>
      <c r="EJ45855"/>
      <c r="EK45855"/>
    </row>
    <row r="45856" spans="1:141" s="116" customFormat="1">
      <c r="A45856" s="136"/>
      <c r="CM45856" s="111"/>
      <c r="CQ45856" s="111"/>
      <c r="EF45856"/>
      <c r="EG45856"/>
      <c r="EH45856"/>
      <c r="EI45856"/>
      <c r="EJ45856"/>
      <c r="EK45856"/>
    </row>
    <row r="45857" spans="1:141" s="116" customFormat="1">
      <c r="A45857" s="136"/>
      <c r="CM45857" s="111"/>
      <c r="CQ45857" s="111"/>
      <c r="EF45857"/>
      <c r="EG45857"/>
      <c r="EH45857"/>
      <c r="EI45857"/>
      <c r="EJ45857"/>
      <c r="EK45857"/>
    </row>
    <row r="45858" spans="1:141" s="116" customFormat="1">
      <c r="A45858" s="136"/>
      <c r="CM45858" s="111"/>
      <c r="CQ45858" s="111"/>
      <c r="EF45858"/>
      <c r="EG45858"/>
      <c r="EH45858"/>
      <c r="EI45858"/>
      <c r="EJ45858"/>
      <c r="EK45858"/>
    </row>
    <row r="45859" spans="1:141" s="116" customFormat="1">
      <c r="A45859" s="136"/>
      <c r="CM45859" s="111"/>
      <c r="CQ45859" s="111"/>
      <c r="EF45859"/>
      <c r="EG45859"/>
      <c r="EH45859"/>
      <c r="EI45859"/>
      <c r="EJ45859"/>
      <c r="EK45859"/>
    </row>
    <row r="45860" spans="1:141" s="116" customFormat="1">
      <c r="A45860" s="136"/>
      <c r="CM45860" s="111"/>
      <c r="CQ45860" s="111"/>
      <c r="EF45860"/>
      <c r="EG45860"/>
      <c r="EH45860"/>
      <c r="EI45860"/>
      <c r="EJ45860"/>
      <c r="EK45860"/>
    </row>
    <row r="45861" spans="1:141" s="116" customFormat="1">
      <c r="A45861" s="136"/>
      <c r="CM45861" s="111"/>
      <c r="CQ45861" s="111"/>
      <c r="EF45861"/>
      <c r="EG45861"/>
      <c r="EH45861"/>
      <c r="EI45861"/>
      <c r="EJ45861"/>
      <c r="EK45861"/>
    </row>
    <row r="45862" spans="1:141" s="116" customFormat="1">
      <c r="A45862" s="136"/>
      <c r="CM45862" s="111"/>
      <c r="CQ45862" s="111"/>
      <c r="EF45862"/>
      <c r="EG45862"/>
      <c r="EH45862"/>
      <c r="EI45862"/>
      <c r="EJ45862"/>
      <c r="EK45862"/>
    </row>
    <row r="45863" spans="1:141" s="116" customFormat="1">
      <c r="A45863" s="136"/>
      <c r="CM45863" s="111"/>
      <c r="CQ45863" s="111"/>
      <c r="EF45863"/>
      <c r="EG45863"/>
      <c r="EH45863"/>
      <c r="EI45863"/>
      <c r="EJ45863"/>
      <c r="EK45863"/>
    </row>
    <row r="45864" spans="1:141" s="116" customFormat="1">
      <c r="A45864" s="136"/>
      <c r="CM45864" s="111"/>
      <c r="CQ45864" s="111"/>
      <c r="EF45864"/>
      <c r="EG45864"/>
      <c r="EH45864"/>
      <c r="EI45864"/>
      <c r="EJ45864"/>
      <c r="EK45864"/>
    </row>
    <row r="45865" spans="1:141" s="116" customFormat="1">
      <c r="A45865" s="136"/>
      <c r="CM45865" s="111"/>
      <c r="CQ45865" s="111"/>
      <c r="EF45865"/>
      <c r="EG45865"/>
      <c r="EH45865"/>
      <c r="EI45865"/>
      <c r="EJ45865"/>
      <c r="EK45865"/>
    </row>
    <row r="45866" spans="1:141" s="116" customFormat="1">
      <c r="A45866" s="136"/>
      <c r="CM45866" s="111"/>
      <c r="CQ45866" s="111"/>
      <c r="EF45866"/>
      <c r="EG45866"/>
      <c r="EH45866"/>
      <c r="EI45866"/>
      <c r="EJ45866"/>
      <c r="EK45866"/>
    </row>
    <row r="45867" spans="1:141" s="116" customFormat="1">
      <c r="A45867" s="136"/>
      <c r="CM45867" s="111"/>
      <c r="CQ45867" s="111"/>
      <c r="EF45867"/>
      <c r="EG45867"/>
      <c r="EH45867"/>
      <c r="EI45867"/>
      <c r="EJ45867"/>
      <c r="EK45867"/>
    </row>
    <row r="45868" spans="1:141" s="116" customFormat="1">
      <c r="A45868" s="136"/>
      <c r="CM45868" s="111"/>
      <c r="CQ45868" s="111"/>
      <c r="EF45868"/>
      <c r="EG45868"/>
      <c r="EH45868"/>
      <c r="EI45868"/>
      <c r="EJ45868"/>
      <c r="EK45868"/>
    </row>
    <row r="45869" spans="1:141" s="116" customFormat="1">
      <c r="A45869" s="136"/>
      <c r="CM45869" s="111"/>
      <c r="CQ45869" s="111"/>
      <c r="EF45869"/>
      <c r="EG45869"/>
      <c r="EH45869"/>
      <c r="EI45869"/>
      <c r="EJ45869"/>
      <c r="EK45869"/>
    </row>
    <row r="45870" spans="1:141" s="116" customFormat="1">
      <c r="A45870" s="136"/>
      <c r="CM45870" s="111"/>
      <c r="CQ45870" s="111"/>
      <c r="EF45870"/>
      <c r="EG45870"/>
      <c r="EH45870"/>
      <c r="EI45870"/>
      <c r="EJ45870"/>
      <c r="EK45870"/>
    </row>
    <row r="45871" spans="1:141" s="116" customFormat="1">
      <c r="A45871" s="136"/>
      <c r="CM45871" s="111"/>
      <c r="CQ45871" s="111"/>
      <c r="EF45871"/>
      <c r="EG45871"/>
      <c r="EH45871"/>
      <c r="EI45871"/>
      <c r="EJ45871"/>
      <c r="EK45871"/>
    </row>
    <row r="45872" spans="1:141" s="116" customFormat="1">
      <c r="A45872" s="136"/>
      <c r="CM45872" s="111"/>
      <c r="CQ45872" s="111"/>
      <c r="EF45872"/>
      <c r="EG45872"/>
      <c r="EH45872"/>
      <c r="EI45872"/>
      <c r="EJ45872"/>
      <c r="EK45872"/>
    </row>
    <row r="45873" spans="1:141" s="116" customFormat="1">
      <c r="A45873" s="136"/>
      <c r="CM45873" s="111"/>
      <c r="CQ45873" s="111"/>
      <c r="EF45873"/>
      <c r="EG45873"/>
      <c r="EH45873"/>
      <c r="EI45873"/>
      <c r="EJ45873"/>
      <c r="EK45873"/>
    </row>
    <row r="45874" spans="1:141" s="116" customFormat="1">
      <c r="A45874" s="136"/>
      <c r="CM45874" s="111"/>
      <c r="CQ45874" s="111"/>
      <c r="EF45874"/>
      <c r="EG45874"/>
      <c r="EH45874"/>
      <c r="EI45874"/>
      <c r="EJ45874"/>
      <c r="EK45874"/>
    </row>
    <row r="45875" spans="1:141" s="116" customFormat="1">
      <c r="A45875" s="136"/>
      <c r="CM45875" s="111"/>
      <c r="CQ45875" s="111"/>
      <c r="EF45875"/>
      <c r="EG45875"/>
      <c r="EH45875"/>
      <c r="EI45875"/>
      <c r="EJ45875"/>
      <c r="EK45875"/>
    </row>
    <row r="45876" spans="1:141" s="116" customFormat="1">
      <c r="A45876" s="136"/>
      <c r="CM45876" s="111"/>
      <c r="CQ45876" s="111"/>
      <c r="EF45876"/>
      <c r="EG45876"/>
      <c r="EH45876"/>
      <c r="EI45876"/>
      <c r="EJ45876"/>
      <c r="EK45876"/>
    </row>
    <row r="45877" spans="1:141" s="116" customFormat="1">
      <c r="A45877" s="136"/>
      <c r="CM45877" s="111"/>
      <c r="CQ45877" s="111"/>
      <c r="EF45877"/>
      <c r="EG45877"/>
      <c r="EH45877"/>
      <c r="EI45877"/>
      <c r="EJ45877"/>
      <c r="EK45877"/>
    </row>
    <row r="45878" spans="1:141" s="116" customFormat="1">
      <c r="A45878" s="136"/>
      <c r="CM45878" s="111"/>
      <c r="CQ45878" s="111"/>
      <c r="EF45878"/>
      <c r="EG45878"/>
      <c r="EH45878"/>
      <c r="EI45878"/>
      <c r="EJ45878"/>
      <c r="EK45878"/>
    </row>
    <row r="45879" spans="1:141" s="116" customFormat="1">
      <c r="A45879" s="136"/>
      <c r="CM45879" s="111"/>
      <c r="CQ45879" s="111"/>
      <c r="EF45879"/>
      <c r="EG45879"/>
      <c r="EH45879"/>
      <c r="EI45879"/>
      <c r="EJ45879"/>
      <c r="EK45879"/>
    </row>
    <row r="45880" spans="1:141" s="116" customFormat="1">
      <c r="A45880" s="136"/>
      <c r="CM45880" s="111"/>
      <c r="CQ45880" s="111"/>
      <c r="EF45880"/>
      <c r="EG45880"/>
      <c r="EH45880"/>
      <c r="EI45880"/>
      <c r="EJ45880"/>
      <c r="EK45880"/>
    </row>
    <row r="45881" spans="1:141" s="116" customFormat="1">
      <c r="A45881" s="136"/>
      <c r="CM45881" s="111"/>
      <c r="CQ45881" s="111"/>
      <c r="EF45881"/>
      <c r="EG45881"/>
      <c r="EH45881"/>
      <c r="EI45881"/>
      <c r="EJ45881"/>
      <c r="EK45881"/>
    </row>
    <row r="45882" spans="1:141" s="116" customFormat="1">
      <c r="A45882" s="136"/>
      <c r="CM45882" s="111"/>
      <c r="CQ45882" s="111"/>
      <c r="EF45882"/>
      <c r="EG45882"/>
      <c r="EH45882"/>
      <c r="EI45882"/>
      <c r="EJ45882"/>
      <c r="EK45882"/>
    </row>
    <row r="45883" spans="1:141" s="116" customFormat="1">
      <c r="A45883" s="136"/>
      <c r="CM45883" s="111"/>
      <c r="CQ45883" s="111"/>
      <c r="EF45883"/>
      <c r="EG45883"/>
      <c r="EH45883"/>
      <c r="EI45883"/>
      <c r="EJ45883"/>
      <c r="EK45883"/>
    </row>
    <row r="45884" spans="1:141" s="116" customFormat="1">
      <c r="A45884" s="136"/>
      <c r="CM45884" s="111"/>
      <c r="CQ45884" s="111"/>
      <c r="EF45884"/>
      <c r="EG45884"/>
      <c r="EH45884"/>
      <c r="EI45884"/>
      <c r="EJ45884"/>
      <c r="EK45884"/>
    </row>
    <row r="45885" spans="1:141" s="116" customFormat="1">
      <c r="A45885" s="136"/>
      <c r="CM45885" s="111"/>
      <c r="CQ45885" s="111"/>
      <c r="EF45885"/>
      <c r="EG45885"/>
      <c r="EH45885"/>
      <c r="EI45885"/>
      <c r="EJ45885"/>
      <c r="EK45885"/>
    </row>
    <row r="45886" spans="1:141" s="116" customFormat="1">
      <c r="A45886" s="136"/>
      <c r="CM45886" s="111"/>
      <c r="CQ45886" s="111"/>
      <c r="EF45886"/>
      <c r="EG45886"/>
      <c r="EH45886"/>
      <c r="EI45886"/>
      <c r="EJ45886"/>
      <c r="EK45886"/>
    </row>
    <row r="45887" spans="1:141" s="116" customFormat="1">
      <c r="A45887" s="136"/>
      <c r="CM45887" s="111"/>
      <c r="CQ45887" s="111"/>
      <c r="EF45887"/>
      <c r="EG45887"/>
      <c r="EH45887"/>
      <c r="EI45887"/>
      <c r="EJ45887"/>
      <c r="EK45887"/>
    </row>
    <row r="45888" spans="1:141" s="116" customFormat="1">
      <c r="A45888" s="136"/>
      <c r="CM45888" s="111"/>
      <c r="CQ45888" s="111"/>
      <c r="EF45888"/>
      <c r="EG45888"/>
      <c r="EH45888"/>
      <c r="EI45888"/>
      <c r="EJ45888"/>
      <c r="EK45888"/>
    </row>
    <row r="45889" spans="1:141" s="116" customFormat="1">
      <c r="A45889" s="136"/>
      <c r="CM45889" s="111"/>
      <c r="CQ45889" s="111"/>
      <c r="EF45889"/>
      <c r="EG45889"/>
      <c r="EH45889"/>
      <c r="EI45889"/>
      <c r="EJ45889"/>
      <c r="EK45889"/>
    </row>
    <row r="45890" spans="1:141" s="116" customFormat="1">
      <c r="A45890" s="136"/>
      <c r="CM45890" s="111"/>
      <c r="CQ45890" s="111"/>
      <c r="EF45890"/>
      <c r="EG45890"/>
      <c r="EH45890"/>
      <c r="EI45890"/>
      <c r="EJ45890"/>
      <c r="EK45890"/>
    </row>
    <row r="45891" spans="1:141" s="116" customFormat="1">
      <c r="A45891" s="136"/>
      <c r="CM45891" s="111"/>
      <c r="CQ45891" s="111"/>
      <c r="EF45891"/>
      <c r="EG45891"/>
      <c r="EH45891"/>
      <c r="EI45891"/>
      <c r="EJ45891"/>
      <c r="EK45891"/>
    </row>
    <row r="45892" spans="1:141" s="116" customFormat="1">
      <c r="A45892" s="136"/>
      <c r="CM45892" s="111"/>
      <c r="CQ45892" s="111"/>
      <c r="EF45892"/>
      <c r="EG45892"/>
      <c r="EH45892"/>
      <c r="EI45892"/>
      <c r="EJ45892"/>
      <c r="EK45892"/>
    </row>
    <row r="45893" spans="1:141" s="116" customFormat="1">
      <c r="A45893" s="136"/>
      <c r="CM45893" s="111"/>
      <c r="CQ45893" s="111"/>
      <c r="EF45893"/>
      <c r="EG45893"/>
      <c r="EH45893"/>
      <c r="EI45893"/>
      <c r="EJ45893"/>
      <c r="EK45893"/>
    </row>
    <row r="45894" spans="1:141" s="116" customFormat="1">
      <c r="A45894" s="136"/>
      <c r="CM45894" s="111"/>
      <c r="CQ45894" s="111"/>
      <c r="EF45894"/>
      <c r="EG45894"/>
      <c r="EH45894"/>
      <c r="EI45894"/>
      <c r="EJ45894"/>
      <c r="EK45894"/>
    </row>
    <row r="45895" spans="1:141" s="116" customFormat="1">
      <c r="A45895" s="136"/>
      <c r="CM45895" s="111"/>
      <c r="CQ45895" s="111"/>
      <c r="EF45895"/>
      <c r="EG45895"/>
      <c r="EH45895"/>
      <c r="EI45895"/>
      <c r="EJ45895"/>
      <c r="EK45895"/>
    </row>
    <row r="45896" spans="1:141" s="116" customFormat="1">
      <c r="A45896" s="136"/>
      <c r="CM45896" s="111"/>
      <c r="CQ45896" s="111"/>
      <c r="EF45896"/>
      <c r="EG45896"/>
      <c r="EH45896"/>
      <c r="EI45896"/>
      <c r="EJ45896"/>
      <c r="EK45896"/>
    </row>
    <row r="45897" spans="1:141" s="116" customFormat="1">
      <c r="A45897" s="136"/>
      <c r="CM45897" s="111"/>
      <c r="CQ45897" s="111"/>
      <c r="EF45897"/>
      <c r="EG45897"/>
      <c r="EH45897"/>
      <c r="EI45897"/>
      <c r="EJ45897"/>
      <c r="EK45897"/>
    </row>
    <row r="45898" spans="1:141" s="116" customFormat="1">
      <c r="A45898" s="136"/>
      <c r="CM45898" s="111"/>
      <c r="CQ45898" s="111"/>
      <c r="EF45898"/>
      <c r="EG45898"/>
      <c r="EH45898"/>
      <c r="EI45898"/>
      <c r="EJ45898"/>
      <c r="EK45898"/>
    </row>
    <row r="45899" spans="1:141" s="116" customFormat="1">
      <c r="A45899" s="136"/>
      <c r="CM45899" s="111"/>
      <c r="CQ45899" s="111"/>
      <c r="EF45899"/>
      <c r="EG45899"/>
      <c r="EH45899"/>
      <c r="EI45899"/>
      <c r="EJ45899"/>
      <c r="EK45899"/>
    </row>
    <row r="45900" spans="1:141" s="116" customFormat="1">
      <c r="A45900" s="136"/>
      <c r="CM45900" s="111"/>
      <c r="CQ45900" s="111"/>
      <c r="EF45900"/>
      <c r="EG45900"/>
      <c r="EH45900"/>
      <c r="EI45900"/>
      <c r="EJ45900"/>
      <c r="EK45900"/>
    </row>
    <row r="45901" spans="1:141" s="116" customFormat="1">
      <c r="A45901" s="136"/>
      <c r="CM45901" s="111"/>
      <c r="CQ45901" s="111"/>
      <c r="EF45901"/>
      <c r="EG45901"/>
      <c r="EH45901"/>
      <c r="EI45901"/>
      <c r="EJ45901"/>
      <c r="EK45901"/>
    </row>
    <row r="45902" spans="1:141" s="116" customFormat="1">
      <c r="A45902" s="136"/>
      <c r="CM45902" s="111"/>
      <c r="CQ45902" s="111"/>
      <c r="EF45902"/>
      <c r="EG45902"/>
      <c r="EH45902"/>
      <c r="EI45902"/>
      <c r="EJ45902"/>
      <c r="EK45902"/>
    </row>
    <row r="45903" spans="1:141" s="116" customFormat="1">
      <c r="A45903" s="136"/>
      <c r="CM45903" s="111"/>
      <c r="CQ45903" s="111"/>
      <c r="EF45903"/>
      <c r="EG45903"/>
      <c r="EH45903"/>
      <c r="EI45903"/>
      <c r="EJ45903"/>
      <c r="EK45903"/>
    </row>
    <row r="45904" spans="1:141" s="116" customFormat="1">
      <c r="A45904" s="136"/>
      <c r="CM45904" s="111"/>
      <c r="CQ45904" s="111"/>
      <c r="EF45904"/>
      <c r="EG45904"/>
      <c r="EH45904"/>
      <c r="EI45904"/>
      <c r="EJ45904"/>
      <c r="EK45904"/>
    </row>
    <row r="45905" spans="1:141" s="116" customFormat="1">
      <c r="A45905" s="136"/>
      <c r="CM45905" s="111"/>
      <c r="CQ45905" s="111"/>
      <c r="EF45905"/>
      <c r="EG45905"/>
      <c r="EH45905"/>
      <c r="EI45905"/>
      <c r="EJ45905"/>
      <c r="EK45905"/>
    </row>
    <row r="45906" spans="1:141" s="116" customFormat="1">
      <c r="A45906" s="136"/>
      <c r="CM45906" s="111"/>
      <c r="CQ45906" s="111"/>
      <c r="EF45906"/>
      <c r="EG45906"/>
      <c r="EH45906"/>
      <c r="EI45906"/>
      <c r="EJ45906"/>
      <c r="EK45906"/>
    </row>
    <row r="45907" spans="1:141" s="116" customFormat="1">
      <c r="A45907" s="136"/>
      <c r="CM45907" s="111"/>
      <c r="CQ45907" s="111"/>
      <c r="EF45907"/>
      <c r="EG45907"/>
      <c r="EH45907"/>
      <c r="EI45907"/>
      <c r="EJ45907"/>
      <c r="EK45907"/>
    </row>
    <row r="45908" spans="1:141" s="116" customFormat="1">
      <c r="A45908" s="136"/>
      <c r="CM45908" s="111"/>
      <c r="CQ45908" s="111"/>
      <c r="EF45908"/>
      <c r="EG45908"/>
      <c r="EH45908"/>
      <c r="EI45908"/>
      <c r="EJ45908"/>
      <c r="EK45908"/>
    </row>
    <row r="45909" spans="1:141" s="116" customFormat="1">
      <c r="A45909" s="136"/>
      <c r="CM45909" s="111"/>
      <c r="CQ45909" s="111"/>
      <c r="EF45909"/>
      <c r="EG45909"/>
      <c r="EH45909"/>
      <c r="EI45909"/>
      <c r="EJ45909"/>
      <c r="EK45909"/>
    </row>
    <row r="45910" spans="1:141" s="116" customFormat="1">
      <c r="A45910" s="136"/>
      <c r="CM45910" s="111"/>
      <c r="CQ45910" s="111"/>
      <c r="EF45910"/>
      <c r="EG45910"/>
      <c r="EH45910"/>
      <c r="EI45910"/>
      <c r="EJ45910"/>
      <c r="EK45910"/>
    </row>
    <row r="45911" spans="1:141" s="116" customFormat="1">
      <c r="A45911" s="136"/>
      <c r="CM45911" s="111"/>
      <c r="CQ45911" s="111"/>
      <c r="EF45911"/>
      <c r="EG45911"/>
      <c r="EH45911"/>
      <c r="EI45911"/>
      <c r="EJ45911"/>
      <c r="EK45911"/>
    </row>
    <row r="45912" spans="1:141" s="116" customFormat="1">
      <c r="A45912" s="136"/>
      <c r="CM45912" s="111"/>
      <c r="CQ45912" s="111"/>
      <c r="EF45912"/>
      <c r="EG45912"/>
      <c r="EH45912"/>
      <c r="EI45912"/>
      <c r="EJ45912"/>
      <c r="EK45912"/>
    </row>
    <row r="45913" spans="1:141" s="116" customFormat="1">
      <c r="A45913" s="136"/>
      <c r="CM45913" s="111"/>
      <c r="CQ45913" s="111"/>
      <c r="EF45913"/>
      <c r="EG45913"/>
      <c r="EH45913"/>
      <c r="EI45913"/>
      <c r="EJ45913"/>
      <c r="EK45913"/>
    </row>
    <row r="45914" spans="1:141" s="116" customFormat="1">
      <c r="A45914" s="136"/>
      <c r="CM45914" s="111"/>
      <c r="CQ45914" s="111"/>
      <c r="EF45914"/>
      <c r="EG45914"/>
      <c r="EH45914"/>
      <c r="EI45914"/>
      <c r="EJ45914"/>
      <c r="EK45914"/>
    </row>
    <row r="45915" spans="1:141" s="116" customFormat="1">
      <c r="A45915" s="136"/>
      <c r="CM45915" s="111"/>
      <c r="CQ45915" s="111"/>
      <c r="EF45915"/>
      <c r="EG45915"/>
      <c r="EH45915"/>
      <c r="EI45915"/>
      <c r="EJ45915"/>
      <c r="EK45915"/>
    </row>
    <row r="45916" spans="1:141" s="116" customFormat="1">
      <c r="A45916" s="136"/>
      <c r="CM45916" s="111"/>
      <c r="CQ45916" s="111"/>
      <c r="EF45916"/>
      <c r="EG45916"/>
      <c r="EH45916"/>
      <c r="EI45916"/>
      <c r="EJ45916"/>
      <c r="EK45916"/>
    </row>
    <row r="45917" spans="1:141" s="116" customFormat="1">
      <c r="A45917" s="136"/>
      <c r="CM45917" s="111"/>
      <c r="CQ45917" s="111"/>
      <c r="EF45917"/>
      <c r="EG45917"/>
      <c r="EH45917"/>
      <c r="EI45917"/>
      <c r="EJ45917"/>
      <c r="EK45917"/>
    </row>
    <row r="45918" spans="1:141" s="116" customFormat="1">
      <c r="A45918" s="136"/>
      <c r="CM45918" s="111"/>
      <c r="CQ45918" s="111"/>
      <c r="EF45918"/>
      <c r="EG45918"/>
      <c r="EH45918"/>
      <c r="EI45918"/>
      <c r="EJ45918"/>
      <c r="EK45918"/>
    </row>
    <row r="45919" spans="1:141" s="116" customFormat="1">
      <c r="A45919" s="136"/>
      <c r="CM45919" s="111"/>
      <c r="CQ45919" s="111"/>
      <c r="EF45919"/>
      <c r="EG45919"/>
      <c r="EH45919"/>
      <c r="EI45919"/>
      <c r="EJ45919"/>
      <c r="EK45919"/>
    </row>
    <row r="45920" spans="1:141" s="116" customFormat="1">
      <c r="A45920" s="136"/>
      <c r="CM45920" s="111"/>
      <c r="CQ45920" s="111"/>
      <c r="EF45920"/>
      <c r="EG45920"/>
      <c r="EH45920"/>
      <c r="EI45920"/>
      <c r="EJ45920"/>
      <c r="EK45920"/>
    </row>
    <row r="45921" spans="1:141" s="116" customFormat="1">
      <c r="A45921" s="136"/>
      <c r="CM45921" s="111"/>
      <c r="CQ45921" s="111"/>
      <c r="EF45921"/>
      <c r="EG45921"/>
      <c r="EH45921"/>
      <c r="EI45921"/>
      <c r="EJ45921"/>
      <c r="EK45921"/>
    </row>
    <row r="45922" spans="1:141" s="116" customFormat="1">
      <c r="A45922" s="136"/>
      <c r="CM45922" s="111"/>
      <c r="CQ45922" s="111"/>
      <c r="EF45922"/>
      <c r="EG45922"/>
      <c r="EH45922"/>
      <c r="EI45922"/>
      <c r="EJ45922"/>
      <c r="EK45922"/>
    </row>
    <row r="45923" spans="1:141" s="116" customFormat="1">
      <c r="A45923" s="136"/>
      <c r="CM45923" s="111"/>
      <c r="CQ45923" s="111"/>
      <c r="EF45923"/>
      <c r="EG45923"/>
      <c r="EH45923"/>
      <c r="EI45923"/>
      <c r="EJ45923"/>
      <c r="EK45923"/>
    </row>
    <row r="45924" spans="1:141" s="116" customFormat="1">
      <c r="A45924" s="136"/>
      <c r="CM45924" s="111"/>
      <c r="CQ45924" s="111"/>
      <c r="EF45924"/>
      <c r="EG45924"/>
      <c r="EH45924"/>
      <c r="EI45924"/>
      <c r="EJ45924"/>
      <c r="EK45924"/>
    </row>
    <row r="45925" spans="1:141" s="116" customFormat="1">
      <c r="A45925" s="136"/>
      <c r="CM45925" s="111"/>
      <c r="CQ45925" s="111"/>
      <c r="EF45925"/>
      <c r="EG45925"/>
      <c r="EH45925"/>
      <c r="EI45925"/>
      <c r="EJ45925"/>
      <c r="EK45925"/>
    </row>
    <row r="45926" spans="1:141" s="116" customFormat="1">
      <c r="A45926" s="136"/>
      <c r="CM45926" s="111"/>
      <c r="CQ45926" s="111"/>
      <c r="EF45926"/>
      <c r="EG45926"/>
      <c r="EH45926"/>
      <c r="EI45926"/>
      <c r="EJ45926"/>
      <c r="EK45926"/>
    </row>
    <row r="45927" spans="1:141" s="116" customFormat="1">
      <c r="A45927" s="136"/>
      <c r="CM45927" s="111"/>
      <c r="CQ45927" s="111"/>
      <c r="EF45927"/>
      <c r="EG45927"/>
      <c r="EH45927"/>
      <c r="EI45927"/>
      <c r="EJ45927"/>
      <c r="EK45927"/>
    </row>
    <row r="45928" spans="1:141" s="116" customFormat="1">
      <c r="A45928" s="136"/>
      <c r="CM45928" s="111"/>
      <c r="CQ45928" s="111"/>
      <c r="EF45928"/>
      <c r="EG45928"/>
      <c r="EH45928"/>
      <c r="EI45928"/>
      <c r="EJ45928"/>
      <c r="EK45928"/>
    </row>
    <row r="45929" spans="1:141" s="116" customFormat="1">
      <c r="A45929" s="136"/>
      <c r="CM45929" s="111"/>
      <c r="CQ45929" s="111"/>
      <c r="EF45929"/>
      <c r="EG45929"/>
      <c r="EH45929"/>
      <c r="EI45929"/>
      <c r="EJ45929"/>
      <c r="EK45929"/>
    </row>
    <row r="45930" spans="1:141" s="116" customFormat="1">
      <c r="A45930" s="136"/>
      <c r="CM45930" s="111"/>
      <c r="CQ45930" s="111"/>
      <c r="EF45930"/>
      <c r="EG45930"/>
      <c r="EH45930"/>
      <c r="EI45930"/>
      <c r="EJ45930"/>
      <c r="EK45930"/>
    </row>
    <row r="45931" spans="1:141" s="116" customFormat="1">
      <c r="A45931" s="136"/>
      <c r="CM45931" s="111"/>
      <c r="CQ45931" s="111"/>
      <c r="EF45931"/>
      <c r="EG45931"/>
      <c r="EH45931"/>
      <c r="EI45931"/>
      <c r="EJ45931"/>
      <c r="EK45931"/>
    </row>
    <row r="45932" spans="1:141" s="116" customFormat="1">
      <c r="A45932" s="136"/>
      <c r="CM45932" s="111"/>
      <c r="CQ45932" s="111"/>
      <c r="EF45932"/>
      <c r="EG45932"/>
      <c r="EH45932"/>
      <c r="EI45932"/>
      <c r="EJ45932"/>
      <c r="EK45932"/>
    </row>
    <row r="45933" spans="1:141" s="116" customFormat="1">
      <c r="A45933" s="136"/>
      <c r="CM45933" s="111"/>
      <c r="CQ45933" s="111"/>
      <c r="EF45933"/>
      <c r="EG45933"/>
      <c r="EH45933"/>
      <c r="EI45933"/>
      <c r="EJ45933"/>
      <c r="EK45933"/>
    </row>
    <row r="45934" spans="1:141" s="116" customFormat="1">
      <c r="A45934" s="136"/>
      <c r="CM45934" s="111"/>
      <c r="CQ45934" s="111"/>
      <c r="EF45934"/>
      <c r="EG45934"/>
      <c r="EH45934"/>
      <c r="EI45934"/>
      <c r="EJ45934"/>
      <c r="EK45934"/>
    </row>
    <row r="45935" spans="1:141" s="116" customFormat="1">
      <c r="A45935" s="136"/>
      <c r="CM45935" s="111"/>
      <c r="CQ45935" s="111"/>
      <c r="EF45935"/>
      <c r="EG45935"/>
      <c r="EH45935"/>
      <c r="EI45935"/>
      <c r="EJ45935"/>
      <c r="EK45935"/>
    </row>
    <row r="45936" spans="1:141" s="116" customFormat="1">
      <c r="A45936" s="136"/>
      <c r="CM45936" s="111"/>
      <c r="CQ45936" s="111"/>
      <c r="EF45936"/>
      <c r="EG45936"/>
      <c r="EH45936"/>
      <c r="EI45936"/>
      <c r="EJ45936"/>
      <c r="EK45936"/>
    </row>
    <row r="45937" spans="1:141" s="116" customFormat="1">
      <c r="A45937" s="136"/>
      <c r="CM45937" s="111"/>
      <c r="CQ45937" s="111"/>
      <c r="EF45937"/>
      <c r="EG45937"/>
      <c r="EH45937"/>
      <c r="EI45937"/>
      <c r="EJ45937"/>
      <c r="EK45937"/>
    </row>
    <row r="45938" spans="1:141" s="116" customFormat="1">
      <c r="A45938" s="136"/>
      <c r="CM45938" s="111"/>
      <c r="CQ45938" s="111"/>
      <c r="EF45938"/>
      <c r="EG45938"/>
      <c r="EH45938"/>
      <c r="EI45938"/>
      <c r="EJ45938"/>
      <c r="EK45938"/>
    </row>
    <row r="45939" spans="1:141" s="116" customFormat="1">
      <c r="A45939" s="136"/>
      <c r="CM45939" s="111"/>
      <c r="CQ45939" s="111"/>
      <c r="EF45939"/>
      <c r="EG45939"/>
      <c r="EH45939"/>
      <c r="EI45939"/>
      <c r="EJ45939"/>
      <c r="EK45939"/>
    </row>
    <row r="45940" spans="1:141" s="116" customFormat="1">
      <c r="A45940" s="136"/>
      <c r="CM45940" s="111"/>
      <c r="CQ45940" s="111"/>
      <c r="EF45940"/>
      <c r="EG45940"/>
      <c r="EH45940"/>
      <c r="EI45940"/>
      <c r="EJ45940"/>
      <c r="EK45940"/>
    </row>
    <row r="45941" spans="1:141" s="116" customFormat="1">
      <c r="A45941" s="136"/>
      <c r="CM45941" s="111"/>
      <c r="CQ45941" s="111"/>
      <c r="EF45941"/>
      <c r="EG45941"/>
      <c r="EH45941"/>
      <c r="EI45941"/>
      <c r="EJ45941"/>
      <c r="EK45941"/>
    </row>
    <row r="45942" spans="1:141" s="116" customFormat="1">
      <c r="A45942" s="136"/>
      <c r="CM45942" s="111"/>
      <c r="CQ45942" s="111"/>
      <c r="EF45942"/>
      <c r="EG45942"/>
      <c r="EH45942"/>
      <c r="EI45942"/>
      <c r="EJ45942"/>
      <c r="EK45942"/>
    </row>
    <row r="45943" spans="1:141" s="116" customFormat="1">
      <c r="A45943" s="136"/>
      <c r="CM45943" s="111"/>
      <c r="CQ45943" s="111"/>
      <c r="EF45943"/>
      <c r="EG45943"/>
      <c r="EH45943"/>
      <c r="EI45943"/>
      <c r="EJ45943"/>
      <c r="EK45943"/>
    </row>
    <row r="45944" spans="1:141" s="116" customFormat="1">
      <c r="A45944" s="136"/>
      <c r="CM45944" s="111"/>
      <c r="CQ45944" s="111"/>
      <c r="EF45944"/>
      <c r="EG45944"/>
      <c r="EH45944"/>
      <c r="EI45944"/>
      <c r="EJ45944"/>
      <c r="EK45944"/>
    </row>
    <row r="45945" spans="1:141" s="116" customFormat="1">
      <c r="A45945" s="136"/>
      <c r="CM45945" s="111"/>
      <c r="CQ45945" s="111"/>
      <c r="EF45945"/>
      <c r="EG45945"/>
      <c r="EH45945"/>
      <c r="EI45945"/>
      <c r="EJ45945"/>
      <c r="EK45945"/>
    </row>
    <row r="45946" spans="1:141" s="116" customFormat="1">
      <c r="A45946" s="136"/>
      <c r="CM45946" s="111"/>
      <c r="CQ45946" s="111"/>
      <c r="EF45946"/>
      <c r="EG45946"/>
      <c r="EH45946"/>
      <c r="EI45946"/>
      <c r="EJ45946"/>
      <c r="EK45946"/>
    </row>
    <row r="45947" spans="1:141" s="116" customFormat="1">
      <c r="A45947" s="136"/>
      <c r="CM45947" s="111"/>
      <c r="CQ45947" s="111"/>
      <c r="EF45947"/>
      <c r="EG45947"/>
      <c r="EH45947"/>
      <c r="EI45947"/>
      <c r="EJ45947"/>
      <c r="EK45947"/>
    </row>
    <row r="45948" spans="1:141" s="116" customFormat="1">
      <c r="A45948" s="136"/>
      <c r="CM45948" s="111"/>
      <c r="CQ45948" s="111"/>
      <c r="EF45948"/>
      <c r="EG45948"/>
      <c r="EH45948"/>
      <c r="EI45948"/>
      <c r="EJ45948"/>
      <c r="EK45948"/>
    </row>
    <row r="45949" spans="1:141" s="116" customFormat="1">
      <c r="A45949" s="136"/>
      <c r="CM45949" s="111"/>
      <c r="CQ45949" s="111"/>
      <c r="EF45949"/>
      <c r="EG45949"/>
      <c r="EH45949"/>
      <c r="EI45949"/>
      <c r="EJ45949"/>
      <c r="EK45949"/>
    </row>
    <row r="45950" spans="1:141" s="116" customFormat="1">
      <c r="A45950" s="136"/>
      <c r="CM45950" s="111"/>
      <c r="CQ45950" s="111"/>
      <c r="EF45950"/>
      <c r="EG45950"/>
      <c r="EH45950"/>
      <c r="EI45950"/>
      <c r="EJ45950"/>
      <c r="EK45950"/>
    </row>
    <row r="45951" spans="1:141" s="116" customFormat="1">
      <c r="A45951" s="136"/>
      <c r="CM45951" s="111"/>
      <c r="CQ45951" s="111"/>
      <c r="EF45951"/>
      <c r="EG45951"/>
      <c r="EH45951"/>
      <c r="EI45951"/>
      <c r="EJ45951"/>
      <c r="EK45951"/>
    </row>
    <row r="45952" spans="1:141" s="116" customFormat="1">
      <c r="A45952" s="136"/>
      <c r="CM45952" s="111"/>
      <c r="CQ45952" s="111"/>
      <c r="EF45952"/>
      <c r="EG45952"/>
      <c r="EH45952"/>
      <c r="EI45952"/>
      <c r="EJ45952"/>
      <c r="EK45952"/>
    </row>
    <row r="45953" spans="1:141" s="116" customFormat="1">
      <c r="A45953" s="136"/>
      <c r="CM45953" s="111"/>
      <c r="CQ45953" s="111"/>
      <c r="EF45953"/>
      <c r="EG45953"/>
      <c r="EH45953"/>
      <c r="EI45953"/>
      <c r="EJ45953"/>
      <c r="EK45953"/>
    </row>
    <row r="45954" spans="1:141" s="116" customFormat="1">
      <c r="A45954" s="136"/>
      <c r="CM45954" s="111"/>
      <c r="CQ45954" s="111"/>
      <c r="EF45954"/>
      <c r="EG45954"/>
      <c r="EH45954"/>
      <c r="EI45954"/>
      <c r="EJ45954"/>
      <c r="EK45954"/>
    </row>
    <row r="45955" spans="1:141" s="116" customFormat="1">
      <c r="A45955" s="136"/>
      <c r="CM45955" s="111"/>
      <c r="CQ45955" s="111"/>
      <c r="EF45955"/>
      <c r="EG45955"/>
      <c r="EH45955"/>
      <c r="EI45955"/>
      <c r="EJ45955"/>
      <c r="EK45955"/>
    </row>
    <row r="45956" spans="1:141" s="116" customFormat="1">
      <c r="A45956" s="136"/>
      <c r="CM45956" s="111"/>
      <c r="CQ45956" s="111"/>
      <c r="EF45956"/>
      <c r="EG45956"/>
      <c r="EH45956"/>
      <c r="EI45956"/>
      <c r="EJ45956"/>
      <c r="EK45956"/>
    </row>
    <row r="45957" spans="1:141" s="116" customFormat="1">
      <c r="A45957" s="136"/>
      <c r="CM45957" s="111"/>
      <c r="CQ45957" s="111"/>
      <c r="EF45957"/>
      <c r="EG45957"/>
      <c r="EH45957"/>
      <c r="EI45957"/>
      <c r="EJ45957"/>
      <c r="EK45957"/>
    </row>
    <row r="45958" spans="1:141" s="116" customFormat="1">
      <c r="A45958" s="136"/>
      <c r="CM45958" s="111"/>
      <c r="CQ45958" s="111"/>
      <c r="EF45958"/>
      <c r="EG45958"/>
      <c r="EH45958"/>
      <c r="EI45958"/>
      <c r="EJ45958"/>
      <c r="EK45958"/>
    </row>
    <row r="45959" spans="1:141" s="116" customFormat="1">
      <c r="A45959" s="136"/>
      <c r="CM45959" s="111"/>
      <c r="CQ45959" s="111"/>
      <c r="EF45959"/>
      <c r="EG45959"/>
      <c r="EH45959"/>
      <c r="EI45959"/>
      <c r="EJ45959"/>
      <c r="EK45959"/>
    </row>
    <row r="45960" spans="1:141" s="116" customFormat="1">
      <c r="A45960" s="136"/>
      <c r="CM45960" s="111"/>
      <c r="CQ45960" s="111"/>
      <c r="EF45960"/>
      <c r="EG45960"/>
      <c r="EH45960"/>
      <c r="EI45960"/>
      <c r="EJ45960"/>
      <c r="EK45960"/>
    </row>
    <row r="45961" spans="1:141" s="116" customFormat="1">
      <c r="A45961" s="136"/>
      <c r="CM45961" s="111"/>
      <c r="CQ45961" s="111"/>
      <c r="EF45961"/>
      <c r="EG45961"/>
      <c r="EH45961"/>
      <c r="EI45961"/>
      <c r="EJ45961"/>
      <c r="EK45961"/>
    </row>
    <row r="45962" spans="1:141" s="116" customFormat="1">
      <c r="A45962" s="136"/>
      <c r="CM45962" s="111"/>
      <c r="CQ45962" s="111"/>
      <c r="EF45962"/>
      <c r="EG45962"/>
      <c r="EH45962"/>
      <c r="EI45962"/>
      <c r="EJ45962"/>
      <c r="EK45962"/>
    </row>
    <row r="45963" spans="1:141" s="116" customFormat="1">
      <c r="A45963" s="136"/>
      <c r="CM45963" s="111"/>
      <c r="CQ45963" s="111"/>
      <c r="EF45963"/>
      <c r="EG45963"/>
      <c r="EH45963"/>
      <c r="EI45963"/>
      <c r="EJ45963"/>
      <c r="EK45963"/>
    </row>
    <row r="45964" spans="1:141" s="116" customFormat="1">
      <c r="A45964" s="136"/>
      <c r="CM45964" s="111"/>
      <c r="CQ45964" s="111"/>
      <c r="EF45964"/>
      <c r="EG45964"/>
      <c r="EH45964"/>
      <c r="EI45964"/>
      <c r="EJ45964"/>
      <c r="EK45964"/>
    </row>
    <row r="45965" spans="1:141" s="116" customFormat="1">
      <c r="A45965" s="136"/>
      <c r="CM45965" s="111"/>
      <c r="CQ45965" s="111"/>
      <c r="EF45965"/>
      <c r="EG45965"/>
      <c r="EH45965"/>
      <c r="EI45965"/>
      <c r="EJ45965"/>
      <c r="EK45965"/>
    </row>
    <row r="45966" spans="1:141" s="116" customFormat="1">
      <c r="A45966" s="136"/>
      <c r="CM45966" s="111"/>
      <c r="CQ45966" s="111"/>
      <c r="EF45966"/>
      <c r="EG45966"/>
      <c r="EH45966"/>
      <c r="EI45966"/>
      <c r="EJ45966"/>
      <c r="EK45966"/>
    </row>
    <row r="45967" spans="1:141" s="116" customFormat="1">
      <c r="A45967" s="136"/>
      <c r="CM45967" s="111"/>
      <c r="CQ45967" s="111"/>
      <c r="EF45967"/>
      <c r="EG45967"/>
      <c r="EH45967"/>
      <c r="EI45967"/>
      <c r="EJ45967"/>
      <c r="EK45967"/>
    </row>
    <row r="45968" spans="1:141" s="116" customFormat="1">
      <c r="A45968" s="136"/>
      <c r="CM45968" s="111"/>
      <c r="CQ45968" s="111"/>
      <c r="EF45968"/>
      <c r="EG45968"/>
      <c r="EH45968"/>
      <c r="EI45968"/>
      <c r="EJ45968"/>
      <c r="EK45968"/>
    </row>
    <row r="45969" spans="1:141" s="116" customFormat="1">
      <c r="A45969" s="136"/>
      <c r="CM45969" s="111"/>
      <c r="CQ45969" s="111"/>
      <c r="EF45969"/>
      <c r="EG45969"/>
      <c r="EH45969"/>
      <c r="EI45969"/>
      <c r="EJ45969"/>
      <c r="EK45969"/>
    </row>
    <row r="45970" spans="1:141" s="116" customFormat="1">
      <c r="A45970" s="136"/>
      <c r="CM45970" s="111"/>
      <c r="CQ45970" s="111"/>
      <c r="EF45970"/>
      <c r="EG45970"/>
      <c r="EH45970"/>
      <c r="EI45970"/>
      <c r="EJ45970"/>
      <c r="EK45970"/>
    </row>
    <row r="45971" spans="1:141" s="116" customFormat="1">
      <c r="A45971" s="136"/>
      <c r="CM45971" s="111"/>
      <c r="CQ45971" s="111"/>
      <c r="EF45971"/>
      <c r="EG45971"/>
      <c r="EH45971"/>
      <c r="EI45971"/>
      <c r="EJ45971"/>
      <c r="EK45971"/>
    </row>
    <row r="45972" spans="1:141" s="116" customFormat="1">
      <c r="A45972" s="136"/>
      <c r="CM45972" s="111"/>
      <c r="CQ45972" s="111"/>
      <c r="EF45972"/>
      <c r="EG45972"/>
      <c r="EH45972"/>
      <c r="EI45972"/>
      <c r="EJ45972"/>
      <c r="EK45972"/>
    </row>
    <row r="45973" spans="1:141" s="116" customFormat="1">
      <c r="A45973" s="136"/>
      <c r="CM45973" s="111"/>
      <c r="CQ45973" s="111"/>
      <c r="EF45973"/>
      <c r="EG45973"/>
      <c r="EH45973"/>
      <c r="EI45973"/>
      <c r="EJ45973"/>
      <c r="EK45973"/>
    </row>
    <row r="45974" spans="1:141" s="116" customFormat="1">
      <c r="A45974" s="136"/>
      <c r="CM45974" s="111"/>
      <c r="CQ45974" s="111"/>
      <c r="EF45974"/>
      <c r="EG45974"/>
      <c r="EH45974"/>
      <c r="EI45974"/>
      <c r="EJ45974"/>
      <c r="EK45974"/>
    </row>
    <row r="45975" spans="1:141" s="116" customFormat="1">
      <c r="A45975" s="136"/>
      <c r="CM45975" s="111"/>
      <c r="CQ45975" s="111"/>
      <c r="EF45975"/>
      <c r="EG45975"/>
      <c r="EH45975"/>
      <c r="EI45975"/>
      <c r="EJ45975"/>
      <c r="EK45975"/>
    </row>
    <row r="45976" spans="1:141" s="116" customFormat="1">
      <c r="A45976" s="136"/>
      <c r="CM45976" s="111"/>
      <c r="CQ45976" s="111"/>
      <c r="EF45976"/>
      <c r="EG45976"/>
      <c r="EH45976"/>
      <c r="EI45976"/>
      <c r="EJ45976"/>
      <c r="EK45976"/>
    </row>
    <row r="45977" spans="1:141" s="116" customFormat="1">
      <c r="A45977" s="136"/>
      <c r="CM45977" s="111"/>
      <c r="CQ45977" s="111"/>
      <c r="EF45977"/>
      <c r="EG45977"/>
      <c r="EH45977"/>
      <c r="EI45977"/>
      <c r="EJ45977"/>
      <c r="EK45977"/>
    </row>
    <row r="45978" spans="1:141" s="116" customFormat="1">
      <c r="A45978" s="136"/>
      <c r="CM45978" s="111"/>
      <c r="CQ45978" s="111"/>
      <c r="EF45978"/>
      <c r="EG45978"/>
      <c r="EH45978"/>
      <c r="EI45978"/>
      <c r="EJ45978"/>
      <c r="EK45978"/>
    </row>
    <row r="45979" spans="1:141" s="116" customFormat="1">
      <c r="A45979" s="136"/>
      <c r="CM45979" s="111"/>
      <c r="CQ45979" s="111"/>
      <c r="EF45979"/>
      <c r="EG45979"/>
      <c r="EH45979"/>
      <c r="EI45979"/>
      <c r="EJ45979"/>
      <c r="EK45979"/>
    </row>
    <row r="45980" spans="1:141" s="116" customFormat="1">
      <c r="A45980" s="136"/>
      <c r="CM45980" s="111"/>
      <c r="CQ45980" s="111"/>
      <c r="EF45980"/>
      <c r="EG45980"/>
      <c r="EH45980"/>
      <c r="EI45980"/>
      <c r="EJ45980"/>
      <c r="EK45980"/>
    </row>
    <row r="45981" spans="1:141" s="116" customFormat="1">
      <c r="A45981" s="136"/>
      <c r="CM45981" s="111"/>
      <c r="CQ45981" s="111"/>
      <c r="EF45981"/>
      <c r="EG45981"/>
      <c r="EH45981"/>
      <c r="EI45981"/>
      <c r="EJ45981"/>
      <c r="EK45981"/>
    </row>
    <row r="45982" spans="1:141" s="116" customFormat="1">
      <c r="A45982" s="136"/>
      <c r="CM45982" s="111"/>
      <c r="CQ45982" s="111"/>
      <c r="EF45982"/>
      <c r="EG45982"/>
      <c r="EH45982"/>
      <c r="EI45982"/>
      <c r="EJ45982"/>
      <c r="EK45982"/>
    </row>
    <row r="45983" spans="1:141" s="116" customFormat="1">
      <c r="A45983" s="136"/>
      <c r="CM45983" s="111"/>
      <c r="CQ45983" s="111"/>
      <c r="EF45983"/>
      <c r="EG45983"/>
      <c r="EH45983"/>
      <c r="EI45983"/>
      <c r="EJ45983"/>
      <c r="EK45983"/>
    </row>
    <row r="45984" spans="1:141" s="116" customFormat="1">
      <c r="A45984" s="136"/>
      <c r="CM45984" s="111"/>
      <c r="CQ45984" s="111"/>
      <c r="EF45984"/>
      <c r="EG45984"/>
      <c r="EH45984"/>
      <c r="EI45984"/>
      <c r="EJ45984"/>
      <c r="EK45984"/>
    </row>
    <row r="45985" spans="1:141" s="116" customFormat="1">
      <c r="A45985" s="136"/>
      <c r="CM45985" s="111"/>
      <c r="CQ45985" s="111"/>
      <c r="EF45985"/>
      <c r="EG45985"/>
      <c r="EH45985"/>
      <c r="EI45985"/>
      <c r="EJ45985"/>
      <c r="EK45985"/>
    </row>
    <row r="45986" spans="1:141" s="116" customFormat="1">
      <c r="A45986" s="136"/>
      <c r="CM45986" s="111"/>
      <c r="CQ45986" s="111"/>
      <c r="EF45986"/>
      <c r="EG45986"/>
      <c r="EH45986"/>
      <c r="EI45986"/>
      <c r="EJ45986"/>
      <c r="EK45986"/>
    </row>
    <row r="45987" spans="1:141" s="116" customFormat="1">
      <c r="A45987" s="136"/>
      <c r="CM45987" s="111"/>
      <c r="CQ45987" s="111"/>
      <c r="EF45987"/>
      <c r="EG45987"/>
      <c r="EH45987"/>
      <c r="EI45987"/>
      <c r="EJ45987"/>
      <c r="EK45987"/>
    </row>
    <row r="45988" spans="1:141" s="116" customFormat="1">
      <c r="A45988" s="136"/>
      <c r="CM45988" s="111"/>
      <c r="CQ45988" s="111"/>
      <c r="EF45988"/>
      <c r="EG45988"/>
      <c r="EH45988"/>
      <c r="EI45988"/>
      <c r="EJ45988"/>
      <c r="EK45988"/>
    </row>
    <row r="45989" spans="1:141" s="116" customFormat="1">
      <c r="A45989" s="136"/>
      <c r="CM45989" s="111"/>
      <c r="CQ45989" s="111"/>
      <c r="EF45989"/>
      <c r="EG45989"/>
      <c r="EH45989"/>
      <c r="EI45989"/>
      <c r="EJ45989"/>
      <c r="EK45989"/>
    </row>
    <row r="45990" spans="1:141" s="116" customFormat="1">
      <c r="A45990" s="136"/>
      <c r="CM45990" s="111"/>
      <c r="CQ45990" s="111"/>
      <c r="EF45990"/>
      <c r="EG45990"/>
      <c r="EH45990"/>
      <c r="EI45990"/>
      <c r="EJ45990"/>
      <c r="EK45990"/>
    </row>
    <row r="45991" spans="1:141" s="116" customFormat="1">
      <c r="A45991" s="136"/>
      <c r="CM45991" s="111"/>
      <c r="CQ45991" s="111"/>
      <c r="EF45991"/>
      <c r="EG45991"/>
      <c r="EH45991"/>
      <c r="EI45991"/>
      <c r="EJ45991"/>
      <c r="EK45991"/>
    </row>
    <row r="45992" spans="1:141" s="116" customFormat="1">
      <c r="A45992" s="136"/>
      <c r="CM45992" s="111"/>
      <c r="CQ45992" s="111"/>
      <c r="EF45992"/>
      <c r="EG45992"/>
      <c r="EH45992"/>
      <c r="EI45992"/>
      <c r="EJ45992"/>
      <c r="EK45992"/>
    </row>
    <row r="45993" spans="1:141" s="116" customFormat="1">
      <c r="A45993" s="136"/>
      <c r="CM45993" s="111"/>
      <c r="CQ45993" s="111"/>
      <c r="EF45993"/>
      <c r="EG45993"/>
      <c r="EH45993"/>
      <c r="EI45993"/>
      <c r="EJ45993"/>
      <c r="EK45993"/>
    </row>
    <row r="45994" spans="1:141" s="116" customFormat="1">
      <c r="A45994" s="136"/>
      <c r="CM45994" s="111"/>
      <c r="CQ45994" s="111"/>
      <c r="EF45994"/>
      <c r="EG45994"/>
      <c r="EH45994"/>
      <c r="EI45994"/>
      <c r="EJ45994"/>
      <c r="EK45994"/>
    </row>
    <row r="45995" spans="1:141" s="116" customFormat="1">
      <c r="A45995" s="136"/>
      <c r="CM45995" s="111"/>
      <c r="CQ45995" s="111"/>
      <c r="EF45995"/>
      <c r="EG45995"/>
      <c r="EH45995"/>
      <c r="EI45995"/>
      <c r="EJ45995"/>
      <c r="EK45995"/>
    </row>
    <row r="45996" spans="1:141" s="116" customFormat="1">
      <c r="A45996" s="136"/>
      <c r="CM45996" s="111"/>
      <c r="CQ45996" s="111"/>
      <c r="EF45996"/>
      <c r="EG45996"/>
      <c r="EH45996"/>
      <c r="EI45996"/>
      <c r="EJ45996"/>
      <c r="EK45996"/>
    </row>
    <row r="45997" spans="1:141" s="116" customFormat="1">
      <c r="A45997" s="136"/>
      <c r="CM45997" s="111"/>
      <c r="CQ45997" s="111"/>
      <c r="EF45997"/>
      <c r="EG45997"/>
      <c r="EH45997"/>
      <c r="EI45997"/>
      <c r="EJ45997"/>
      <c r="EK45997"/>
    </row>
    <row r="45998" spans="1:141" s="116" customFormat="1">
      <c r="A45998" s="136"/>
      <c r="CM45998" s="111"/>
      <c r="CQ45998" s="111"/>
      <c r="EF45998"/>
      <c r="EG45998"/>
      <c r="EH45998"/>
      <c r="EI45998"/>
      <c r="EJ45998"/>
      <c r="EK45998"/>
    </row>
    <row r="45999" spans="1:141" s="116" customFormat="1">
      <c r="A45999" s="136"/>
      <c r="CM45999" s="111"/>
      <c r="CQ45999" s="111"/>
      <c r="EF45999"/>
      <c r="EG45999"/>
      <c r="EH45999"/>
      <c r="EI45999"/>
      <c r="EJ45999"/>
      <c r="EK45999"/>
    </row>
    <row r="46000" spans="1:141" s="116" customFormat="1">
      <c r="A46000" s="136"/>
      <c r="CM46000" s="111"/>
      <c r="CQ46000" s="111"/>
      <c r="EF46000"/>
      <c r="EG46000"/>
      <c r="EH46000"/>
      <c r="EI46000"/>
      <c r="EJ46000"/>
      <c r="EK46000"/>
    </row>
    <row r="46001" spans="1:141" s="116" customFormat="1">
      <c r="A46001" s="136"/>
      <c r="CM46001" s="111"/>
      <c r="CQ46001" s="111"/>
      <c r="EF46001"/>
      <c r="EG46001"/>
      <c r="EH46001"/>
      <c r="EI46001"/>
      <c r="EJ46001"/>
      <c r="EK46001"/>
    </row>
    <row r="46002" spans="1:141" s="116" customFormat="1">
      <c r="A46002" s="136"/>
      <c r="CM46002" s="111"/>
      <c r="CQ46002" s="111"/>
      <c r="EF46002"/>
      <c r="EG46002"/>
      <c r="EH46002"/>
      <c r="EI46002"/>
      <c r="EJ46002"/>
      <c r="EK46002"/>
    </row>
    <row r="46003" spans="1:141" s="116" customFormat="1">
      <c r="A46003" s="136"/>
      <c r="CM46003" s="111"/>
      <c r="CQ46003" s="111"/>
      <c r="EF46003"/>
      <c r="EG46003"/>
      <c r="EH46003"/>
      <c r="EI46003"/>
      <c r="EJ46003"/>
      <c r="EK46003"/>
    </row>
    <row r="46004" spans="1:141" s="116" customFormat="1">
      <c r="A46004" s="136"/>
      <c r="CM46004" s="111"/>
      <c r="CQ46004" s="111"/>
      <c r="EF46004"/>
      <c r="EG46004"/>
      <c r="EH46004"/>
      <c r="EI46004"/>
      <c r="EJ46004"/>
      <c r="EK46004"/>
    </row>
    <row r="46005" spans="1:141" s="116" customFormat="1">
      <c r="A46005" s="136"/>
      <c r="CM46005" s="111"/>
      <c r="CQ46005" s="111"/>
      <c r="EF46005"/>
      <c r="EG46005"/>
      <c r="EH46005"/>
      <c r="EI46005"/>
      <c r="EJ46005"/>
      <c r="EK46005"/>
    </row>
    <row r="46006" spans="1:141" s="116" customFormat="1">
      <c r="A46006" s="136"/>
      <c r="CM46006" s="111"/>
      <c r="CQ46006" s="111"/>
      <c r="EF46006"/>
      <c r="EG46006"/>
      <c r="EH46006"/>
      <c r="EI46006"/>
      <c r="EJ46006"/>
      <c r="EK46006"/>
    </row>
    <row r="46007" spans="1:141" s="116" customFormat="1">
      <c r="A46007" s="136"/>
      <c r="CM46007" s="111"/>
      <c r="CQ46007" s="111"/>
      <c r="EF46007"/>
      <c r="EG46007"/>
      <c r="EH46007"/>
      <c r="EI46007"/>
      <c r="EJ46007"/>
      <c r="EK46007"/>
    </row>
    <row r="46008" spans="1:141" s="116" customFormat="1">
      <c r="A46008" s="136"/>
      <c r="CM46008" s="111"/>
      <c r="CQ46008" s="111"/>
      <c r="EF46008"/>
      <c r="EG46008"/>
      <c r="EH46008"/>
      <c r="EI46008"/>
      <c r="EJ46008"/>
      <c r="EK46008"/>
    </row>
    <row r="46009" spans="1:141" s="116" customFormat="1">
      <c r="A46009" s="136"/>
      <c r="CM46009" s="111"/>
      <c r="CQ46009" s="111"/>
      <c r="EF46009"/>
      <c r="EG46009"/>
      <c r="EH46009"/>
      <c r="EI46009"/>
      <c r="EJ46009"/>
      <c r="EK46009"/>
    </row>
    <row r="46010" spans="1:141" s="116" customFormat="1">
      <c r="A46010" s="136"/>
      <c r="CM46010" s="111"/>
      <c r="CQ46010" s="111"/>
      <c r="EF46010"/>
      <c r="EG46010"/>
      <c r="EH46010"/>
      <c r="EI46010"/>
      <c r="EJ46010"/>
      <c r="EK46010"/>
    </row>
    <row r="46011" spans="1:141" s="116" customFormat="1">
      <c r="A46011" s="136"/>
      <c r="CM46011" s="111"/>
      <c r="CQ46011" s="111"/>
      <c r="EF46011"/>
      <c r="EG46011"/>
      <c r="EH46011"/>
      <c r="EI46011"/>
      <c r="EJ46011"/>
      <c r="EK46011"/>
    </row>
    <row r="46012" spans="1:141" s="116" customFormat="1">
      <c r="A46012" s="136"/>
      <c r="CM46012" s="111"/>
      <c r="CQ46012" s="111"/>
      <c r="EF46012"/>
      <c r="EG46012"/>
      <c r="EH46012"/>
      <c r="EI46012"/>
      <c r="EJ46012"/>
      <c r="EK46012"/>
    </row>
    <row r="46013" spans="1:141" s="116" customFormat="1">
      <c r="A46013" s="136"/>
      <c r="CM46013" s="111"/>
      <c r="CQ46013" s="111"/>
      <c r="EF46013"/>
      <c r="EG46013"/>
      <c r="EH46013"/>
      <c r="EI46013"/>
      <c r="EJ46013"/>
      <c r="EK46013"/>
    </row>
    <row r="46014" spans="1:141" s="116" customFormat="1">
      <c r="A46014" s="136"/>
      <c r="CM46014" s="111"/>
      <c r="CQ46014" s="111"/>
      <c r="EF46014"/>
      <c r="EG46014"/>
      <c r="EH46014"/>
      <c r="EI46014"/>
      <c r="EJ46014"/>
      <c r="EK46014"/>
    </row>
    <row r="46015" spans="1:141" s="116" customFormat="1">
      <c r="A46015" s="136"/>
      <c r="CM46015" s="111"/>
      <c r="CQ46015" s="111"/>
      <c r="EF46015"/>
      <c r="EG46015"/>
      <c r="EH46015"/>
      <c r="EI46015"/>
      <c r="EJ46015"/>
      <c r="EK46015"/>
    </row>
    <row r="46016" spans="1:141" s="116" customFormat="1">
      <c r="A46016" s="136"/>
      <c r="CM46016" s="111"/>
      <c r="CQ46016" s="111"/>
      <c r="EF46016"/>
      <c r="EG46016"/>
      <c r="EH46016"/>
      <c r="EI46016"/>
      <c r="EJ46016"/>
      <c r="EK46016"/>
    </row>
    <row r="46017" spans="1:141" s="116" customFormat="1">
      <c r="A46017" s="136"/>
      <c r="CM46017" s="111"/>
      <c r="CQ46017" s="111"/>
      <c r="EF46017"/>
      <c r="EG46017"/>
      <c r="EH46017"/>
      <c r="EI46017"/>
      <c r="EJ46017"/>
      <c r="EK46017"/>
    </row>
    <row r="46018" spans="1:141" s="116" customFormat="1">
      <c r="A46018" s="136"/>
      <c r="CM46018" s="111"/>
      <c r="CQ46018" s="111"/>
      <c r="EF46018"/>
      <c r="EG46018"/>
      <c r="EH46018"/>
      <c r="EI46018"/>
      <c r="EJ46018"/>
      <c r="EK46018"/>
    </row>
    <row r="46019" spans="1:141" s="116" customFormat="1">
      <c r="A46019" s="136"/>
      <c r="CM46019" s="111"/>
      <c r="CQ46019" s="111"/>
      <c r="EF46019"/>
      <c r="EG46019"/>
      <c r="EH46019"/>
      <c r="EI46019"/>
      <c r="EJ46019"/>
      <c r="EK46019"/>
    </row>
    <row r="46020" spans="1:141" s="116" customFormat="1">
      <c r="A46020" s="136"/>
      <c r="CM46020" s="111"/>
      <c r="CQ46020" s="111"/>
      <c r="EF46020"/>
      <c r="EG46020"/>
      <c r="EH46020"/>
      <c r="EI46020"/>
      <c r="EJ46020"/>
      <c r="EK46020"/>
    </row>
    <row r="46021" spans="1:141" s="116" customFormat="1">
      <c r="A46021" s="136"/>
      <c r="CM46021" s="111"/>
      <c r="CQ46021" s="111"/>
      <c r="EF46021"/>
      <c r="EG46021"/>
      <c r="EH46021"/>
      <c r="EI46021"/>
      <c r="EJ46021"/>
      <c r="EK46021"/>
    </row>
    <row r="46022" spans="1:141" s="116" customFormat="1">
      <c r="A46022" s="136"/>
      <c r="CM46022" s="111"/>
      <c r="CQ46022" s="111"/>
      <c r="EF46022"/>
      <c r="EG46022"/>
      <c r="EH46022"/>
      <c r="EI46022"/>
      <c r="EJ46022"/>
      <c r="EK46022"/>
    </row>
    <row r="46023" spans="1:141" s="116" customFormat="1">
      <c r="A46023" s="136"/>
      <c r="CM46023" s="111"/>
      <c r="CQ46023" s="111"/>
      <c r="EF46023"/>
      <c r="EG46023"/>
      <c r="EH46023"/>
      <c r="EI46023"/>
      <c r="EJ46023"/>
      <c r="EK46023"/>
    </row>
    <row r="46024" spans="1:141" s="116" customFormat="1">
      <c r="A46024" s="136"/>
      <c r="CM46024" s="111"/>
      <c r="CQ46024" s="111"/>
      <c r="EF46024"/>
      <c r="EG46024"/>
      <c r="EH46024"/>
      <c r="EI46024"/>
      <c r="EJ46024"/>
      <c r="EK46024"/>
    </row>
    <row r="46025" spans="1:141" s="116" customFormat="1">
      <c r="A46025" s="136"/>
      <c r="CM46025" s="111"/>
      <c r="CQ46025" s="111"/>
      <c r="EF46025"/>
      <c r="EG46025"/>
      <c r="EH46025"/>
      <c r="EI46025"/>
      <c r="EJ46025"/>
      <c r="EK46025"/>
    </row>
    <row r="46026" spans="1:141" s="116" customFormat="1">
      <c r="A46026" s="136"/>
      <c r="CM46026" s="111"/>
      <c r="CQ46026" s="111"/>
      <c r="EF46026"/>
      <c r="EG46026"/>
      <c r="EH46026"/>
      <c r="EI46026"/>
      <c r="EJ46026"/>
      <c r="EK46026"/>
    </row>
    <row r="46027" spans="1:141" s="116" customFormat="1">
      <c r="A46027" s="136"/>
      <c r="CM46027" s="111"/>
      <c r="CQ46027" s="111"/>
      <c r="EF46027"/>
      <c r="EG46027"/>
      <c r="EH46027"/>
      <c r="EI46027"/>
      <c r="EJ46027"/>
      <c r="EK46027"/>
    </row>
    <row r="46028" spans="1:141" s="116" customFormat="1">
      <c r="A46028" s="136"/>
      <c r="CM46028" s="111"/>
      <c r="CQ46028" s="111"/>
      <c r="EF46028"/>
      <c r="EG46028"/>
      <c r="EH46028"/>
      <c r="EI46028"/>
      <c r="EJ46028"/>
      <c r="EK46028"/>
    </row>
    <row r="46029" spans="1:141" s="116" customFormat="1">
      <c r="A46029" s="136"/>
      <c r="CM46029" s="111"/>
      <c r="CQ46029" s="111"/>
      <c r="EF46029"/>
      <c r="EG46029"/>
      <c r="EH46029"/>
      <c r="EI46029"/>
      <c r="EJ46029"/>
      <c r="EK46029"/>
    </row>
    <row r="46030" spans="1:141" s="116" customFormat="1">
      <c r="A46030" s="136"/>
      <c r="CM46030" s="111"/>
      <c r="CQ46030" s="111"/>
      <c r="EF46030"/>
      <c r="EG46030"/>
      <c r="EH46030"/>
      <c r="EI46030"/>
      <c r="EJ46030"/>
      <c r="EK46030"/>
    </row>
    <row r="46031" spans="1:141" s="116" customFormat="1">
      <c r="A46031" s="136"/>
      <c r="CM46031" s="111"/>
      <c r="CQ46031" s="111"/>
      <c r="EF46031"/>
      <c r="EG46031"/>
      <c r="EH46031"/>
      <c r="EI46031"/>
      <c r="EJ46031"/>
      <c r="EK46031"/>
    </row>
    <row r="46032" spans="1:141" s="116" customFormat="1">
      <c r="A46032" s="136"/>
      <c r="CM46032" s="111"/>
      <c r="CQ46032" s="111"/>
      <c r="EF46032"/>
      <c r="EG46032"/>
      <c r="EH46032"/>
      <c r="EI46032"/>
      <c r="EJ46032"/>
      <c r="EK46032"/>
    </row>
    <row r="46033" spans="1:141" s="116" customFormat="1">
      <c r="A46033" s="136"/>
      <c r="CM46033" s="111"/>
      <c r="CQ46033" s="111"/>
      <c r="EF46033"/>
      <c r="EG46033"/>
      <c r="EH46033"/>
      <c r="EI46033"/>
      <c r="EJ46033"/>
      <c r="EK46033"/>
    </row>
    <row r="46034" spans="1:141" s="116" customFormat="1">
      <c r="A46034" s="136"/>
      <c r="CM46034" s="111"/>
      <c r="CQ46034" s="111"/>
      <c r="EF46034"/>
      <c r="EG46034"/>
      <c r="EH46034"/>
      <c r="EI46034"/>
      <c r="EJ46034"/>
      <c r="EK46034"/>
    </row>
    <row r="46035" spans="1:141" s="116" customFormat="1">
      <c r="A46035" s="136"/>
      <c r="CM46035" s="111"/>
      <c r="CQ46035" s="111"/>
      <c r="EF46035"/>
      <c r="EG46035"/>
      <c r="EH46035"/>
      <c r="EI46035"/>
      <c r="EJ46035"/>
      <c r="EK46035"/>
    </row>
    <row r="46036" spans="1:141" s="116" customFormat="1">
      <c r="A46036" s="136"/>
      <c r="CM46036" s="111"/>
      <c r="CQ46036" s="111"/>
      <c r="EF46036"/>
      <c r="EG46036"/>
      <c r="EH46036"/>
      <c r="EI46036"/>
      <c r="EJ46036"/>
      <c r="EK46036"/>
    </row>
    <row r="46037" spans="1:141" s="116" customFormat="1">
      <c r="A46037" s="136"/>
      <c r="CM46037" s="111"/>
      <c r="CQ46037" s="111"/>
      <c r="EF46037"/>
      <c r="EG46037"/>
      <c r="EH46037"/>
      <c r="EI46037"/>
      <c r="EJ46037"/>
      <c r="EK46037"/>
    </row>
    <row r="46038" spans="1:141" s="116" customFormat="1">
      <c r="A46038" s="136"/>
      <c r="CM46038" s="111"/>
      <c r="CQ46038" s="111"/>
      <c r="EF46038"/>
      <c r="EG46038"/>
      <c r="EH46038"/>
      <c r="EI46038"/>
      <c r="EJ46038"/>
      <c r="EK46038"/>
    </row>
    <row r="46039" spans="1:141" s="116" customFormat="1">
      <c r="A46039" s="136"/>
      <c r="CM46039" s="111"/>
      <c r="CQ46039" s="111"/>
      <c r="EF46039"/>
      <c r="EG46039"/>
      <c r="EH46039"/>
      <c r="EI46039"/>
      <c r="EJ46039"/>
      <c r="EK46039"/>
    </row>
    <row r="46040" spans="1:141" s="116" customFormat="1">
      <c r="A46040" s="136"/>
      <c r="CM46040" s="111"/>
      <c r="CQ46040" s="111"/>
      <c r="EF46040"/>
      <c r="EG46040"/>
      <c r="EH46040"/>
      <c r="EI46040"/>
      <c r="EJ46040"/>
      <c r="EK46040"/>
    </row>
    <row r="46041" spans="1:141" s="116" customFormat="1">
      <c r="A46041" s="136"/>
      <c r="CM46041" s="111"/>
      <c r="CQ46041" s="111"/>
      <c r="EF46041"/>
      <c r="EG46041"/>
      <c r="EH46041"/>
      <c r="EI46041"/>
      <c r="EJ46041"/>
      <c r="EK46041"/>
    </row>
    <row r="46042" spans="1:141" s="116" customFormat="1">
      <c r="A46042" s="136"/>
      <c r="CM46042" s="111"/>
      <c r="CQ46042" s="111"/>
      <c r="EF46042"/>
      <c r="EG46042"/>
      <c r="EH46042"/>
      <c r="EI46042"/>
      <c r="EJ46042"/>
      <c r="EK46042"/>
    </row>
    <row r="46043" spans="1:141" s="116" customFormat="1">
      <c r="A46043" s="136"/>
      <c r="CM46043" s="111"/>
      <c r="CQ46043" s="111"/>
      <c r="EF46043"/>
      <c r="EG46043"/>
      <c r="EH46043"/>
      <c r="EI46043"/>
      <c r="EJ46043"/>
      <c r="EK46043"/>
    </row>
    <row r="46044" spans="1:141" s="116" customFormat="1">
      <c r="A46044" s="136"/>
      <c r="CM46044" s="111"/>
      <c r="CQ46044" s="111"/>
      <c r="EF46044"/>
      <c r="EG46044"/>
      <c r="EH46044"/>
      <c r="EI46044"/>
      <c r="EJ46044"/>
      <c r="EK46044"/>
    </row>
    <row r="46045" spans="1:141" s="116" customFormat="1">
      <c r="A46045" s="136"/>
      <c r="CM46045" s="111"/>
      <c r="CQ46045" s="111"/>
      <c r="EF46045"/>
      <c r="EG46045"/>
      <c r="EH46045"/>
      <c r="EI46045"/>
      <c r="EJ46045"/>
      <c r="EK46045"/>
    </row>
    <row r="46046" spans="1:141" s="116" customFormat="1">
      <c r="A46046" s="136"/>
      <c r="CM46046" s="111"/>
      <c r="CQ46046" s="111"/>
      <c r="EF46046"/>
      <c r="EG46046"/>
      <c r="EH46046"/>
      <c r="EI46046"/>
      <c r="EJ46046"/>
      <c r="EK46046"/>
    </row>
    <row r="46047" spans="1:141" s="116" customFormat="1">
      <c r="A46047" s="136"/>
      <c r="CM46047" s="111"/>
      <c r="CQ46047" s="111"/>
      <c r="EF46047"/>
      <c r="EG46047"/>
      <c r="EH46047"/>
      <c r="EI46047"/>
      <c r="EJ46047"/>
      <c r="EK46047"/>
    </row>
    <row r="46048" spans="1:141" s="116" customFormat="1">
      <c r="A46048" s="136"/>
      <c r="CM46048" s="111"/>
      <c r="CQ46048" s="111"/>
      <c r="EF46048"/>
      <c r="EG46048"/>
      <c r="EH46048"/>
      <c r="EI46048"/>
      <c r="EJ46048"/>
      <c r="EK46048"/>
    </row>
    <row r="46049" spans="1:141" s="116" customFormat="1">
      <c r="A46049" s="136"/>
      <c r="CM46049" s="111"/>
      <c r="CQ46049" s="111"/>
      <c r="EF46049"/>
      <c r="EG46049"/>
      <c r="EH46049"/>
      <c r="EI46049"/>
      <c r="EJ46049"/>
      <c r="EK46049"/>
    </row>
    <row r="46050" spans="1:141" s="116" customFormat="1">
      <c r="A46050" s="136"/>
      <c r="CM46050" s="111"/>
      <c r="CQ46050" s="111"/>
      <c r="EF46050"/>
      <c r="EG46050"/>
      <c r="EH46050"/>
      <c r="EI46050"/>
      <c r="EJ46050"/>
      <c r="EK46050"/>
    </row>
    <row r="46051" spans="1:141" s="116" customFormat="1">
      <c r="A46051" s="136"/>
      <c r="CM46051" s="111"/>
      <c r="CQ46051" s="111"/>
      <c r="EF46051"/>
      <c r="EG46051"/>
      <c r="EH46051"/>
      <c r="EI46051"/>
      <c r="EJ46051"/>
      <c r="EK46051"/>
    </row>
    <row r="46052" spans="1:141" s="116" customFormat="1">
      <c r="A46052" s="136"/>
      <c r="CM46052" s="111"/>
      <c r="CQ46052" s="111"/>
      <c r="EF46052"/>
      <c r="EG46052"/>
      <c r="EH46052"/>
      <c r="EI46052"/>
      <c r="EJ46052"/>
      <c r="EK46052"/>
    </row>
    <row r="46053" spans="1:141" s="116" customFormat="1">
      <c r="A46053" s="136"/>
      <c r="CM46053" s="111"/>
      <c r="CQ46053" s="111"/>
      <c r="EF46053"/>
      <c r="EG46053"/>
      <c r="EH46053"/>
      <c r="EI46053"/>
      <c r="EJ46053"/>
      <c r="EK46053"/>
    </row>
    <row r="46054" spans="1:141" s="116" customFormat="1">
      <c r="A46054" s="136"/>
      <c r="CM46054" s="111"/>
      <c r="CQ46054" s="111"/>
      <c r="EF46054"/>
      <c r="EG46054"/>
      <c r="EH46054"/>
      <c r="EI46054"/>
      <c r="EJ46054"/>
      <c r="EK46054"/>
    </row>
    <row r="46055" spans="1:141" s="116" customFormat="1">
      <c r="A46055" s="136"/>
      <c r="CM46055" s="111"/>
      <c r="CQ46055" s="111"/>
      <c r="EF46055"/>
      <c r="EG46055"/>
      <c r="EH46055"/>
      <c r="EI46055"/>
      <c r="EJ46055"/>
      <c r="EK46055"/>
    </row>
    <row r="46056" spans="1:141" s="116" customFormat="1">
      <c r="A46056" s="136"/>
      <c r="CM46056" s="111"/>
      <c r="CQ46056" s="111"/>
      <c r="EF46056"/>
      <c r="EG46056"/>
      <c r="EH46056"/>
      <c r="EI46056"/>
      <c r="EJ46056"/>
      <c r="EK46056"/>
    </row>
    <row r="46057" spans="1:141" s="116" customFormat="1">
      <c r="A46057" s="136"/>
      <c r="CM46057" s="111"/>
      <c r="CQ46057" s="111"/>
      <c r="EF46057"/>
      <c r="EG46057"/>
      <c r="EH46057"/>
      <c r="EI46057"/>
      <c r="EJ46057"/>
      <c r="EK46057"/>
    </row>
    <row r="46058" spans="1:141" s="116" customFormat="1">
      <c r="A46058" s="136"/>
      <c r="CM46058" s="111"/>
      <c r="CQ46058" s="111"/>
      <c r="EF46058"/>
      <c r="EG46058"/>
      <c r="EH46058"/>
      <c r="EI46058"/>
      <c r="EJ46058"/>
      <c r="EK46058"/>
    </row>
    <row r="46059" spans="1:141" s="116" customFormat="1">
      <c r="A46059" s="136"/>
      <c r="CM46059" s="111"/>
      <c r="CQ46059" s="111"/>
      <c r="EF46059"/>
      <c r="EG46059"/>
      <c r="EH46059"/>
      <c r="EI46059"/>
      <c r="EJ46059"/>
      <c r="EK46059"/>
    </row>
    <row r="46060" spans="1:141" s="116" customFormat="1">
      <c r="A46060" s="136"/>
      <c r="CM46060" s="111"/>
      <c r="CQ46060" s="111"/>
      <c r="EF46060"/>
      <c r="EG46060"/>
      <c r="EH46060"/>
      <c r="EI46060"/>
      <c r="EJ46060"/>
      <c r="EK46060"/>
    </row>
    <row r="46061" spans="1:141" s="116" customFormat="1">
      <c r="A46061" s="136"/>
      <c r="CM46061" s="111"/>
      <c r="CQ46061" s="111"/>
      <c r="EF46061"/>
      <c r="EG46061"/>
      <c r="EH46061"/>
      <c r="EI46061"/>
      <c r="EJ46061"/>
      <c r="EK46061"/>
    </row>
    <row r="46062" spans="1:141" s="116" customFormat="1">
      <c r="A46062" s="136"/>
      <c r="CM46062" s="111"/>
      <c r="CQ46062" s="111"/>
      <c r="EF46062"/>
      <c r="EG46062"/>
      <c r="EH46062"/>
      <c r="EI46062"/>
      <c r="EJ46062"/>
      <c r="EK46062"/>
    </row>
    <row r="46063" spans="1:141" s="116" customFormat="1">
      <c r="A46063" s="136"/>
      <c r="CM46063" s="111"/>
      <c r="CQ46063" s="111"/>
      <c r="EF46063"/>
      <c r="EG46063"/>
      <c r="EH46063"/>
      <c r="EI46063"/>
      <c r="EJ46063"/>
      <c r="EK46063"/>
    </row>
    <row r="46064" spans="1:141" s="116" customFormat="1">
      <c r="A46064" s="136"/>
      <c r="CM46064" s="111"/>
      <c r="CQ46064" s="111"/>
      <c r="EF46064"/>
      <c r="EG46064"/>
      <c r="EH46064"/>
      <c r="EI46064"/>
      <c r="EJ46064"/>
      <c r="EK46064"/>
    </row>
    <row r="46065" spans="1:141" s="116" customFormat="1">
      <c r="A46065" s="136"/>
      <c r="CM46065" s="111"/>
      <c r="CQ46065" s="111"/>
      <c r="EF46065"/>
      <c r="EG46065"/>
      <c r="EH46065"/>
      <c r="EI46065"/>
      <c r="EJ46065"/>
      <c r="EK46065"/>
    </row>
    <row r="46066" spans="1:141" s="116" customFormat="1">
      <c r="A46066" s="136"/>
      <c r="CM46066" s="111"/>
      <c r="CQ46066" s="111"/>
      <c r="EF46066"/>
      <c r="EG46066"/>
      <c r="EH46066"/>
      <c r="EI46066"/>
      <c r="EJ46066"/>
      <c r="EK46066"/>
    </row>
    <row r="46067" spans="1:141" s="116" customFormat="1">
      <c r="A46067" s="136"/>
      <c r="CM46067" s="111"/>
      <c r="CQ46067" s="111"/>
      <c r="EF46067"/>
      <c r="EG46067"/>
      <c r="EH46067"/>
      <c r="EI46067"/>
      <c r="EJ46067"/>
      <c r="EK46067"/>
    </row>
    <row r="46068" spans="1:141" s="116" customFormat="1">
      <c r="A46068" s="136"/>
      <c r="CM46068" s="111"/>
      <c r="CQ46068" s="111"/>
      <c r="EF46068"/>
      <c r="EG46068"/>
      <c r="EH46068"/>
      <c r="EI46068"/>
      <c r="EJ46068"/>
      <c r="EK46068"/>
    </row>
    <row r="46069" spans="1:141" s="116" customFormat="1">
      <c r="A46069" s="136"/>
      <c r="CM46069" s="111"/>
      <c r="CQ46069" s="111"/>
      <c r="EF46069"/>
      <c r="EG46069"/>
      <c r="EH46069"/>
      <c r="EI46069"/>
      <c r="EJ46069"/>
      <c r="EK46069"/>
    </row>
    <row r="46070" spans="1:141" s="116" customFormat="1">
      <c r="A46070" s="136"/>
      <c r="CM46070" s="111"/>
      <c r="CQ46070" s="111"/>
      <c r="EF46070"/>
      <c r="EG46070"/>
      <c r="EH46070"/>
      <c r="EI46070"/>
      <c r="EJ46070"/>
      <c r="EK46070"/>
    </row>
    <row r="46071" spans="1:141" s="116" customFormat="1">
      <c r="A46071" s="136"/>
      <c r="CM46071" s="111"/>
      <c r="CQ46071" s="111"/>
      <c r="EF46071"/>
      <c r="EG46071"/>
      <c r="EH46071"/>
      <c r="EI46071"/>
      <c r="EJ46071"/>
      <c r="EK46071"/>
    </row>
    <row r="46072" spans="1:141" s="116" customFormat="1">
      <c r="A46072" s="136"/>
      <c r="CM46072" s="111"/>
      <c r="CQ46072" s="111"/>
      <c r="EF46072"/>
      <c r="EG46072"/>
      <c r="EH46072"/>
      <c r="EI46072"/>
      <c r="EJ46072"/>
      <c r="EK46072"/>
    </row>
    <row r="46073" spans="1:141" s="116" customFormat="1">
      <c r="A46073" s="136"/>
      <c r="CM46073" s="111"/>
      <c r="CQ46073" s="111"/>
      <c r="EF46073"/>
      <c r="EG46073"/>
      <c r="EH46073"/>
      <c r="EI46073"/>
      <c r="EJ46073"/>
      <c r="EK46073"/>
    </row>
    <row r="46074" spans="1:141" s="116" customFormat="1">
      <c r="A46074" s="136"/>
      <c r="CM46074" s="111"/>
      <c r="CQ46074" s="111"/>
      <c r="EF46074"/>
      <c r="EG46074"/>
      <c r="EH46074"/>
      <c r="EI46074"/>
      <c r="EJ46074"/>
      <c r="EK46074"/>
    </row>
    <row r="46075" spans="1:141" s="116" customFormat="1">
      <c r="A46075" s="136"/>
      <c r="CM46075" s="111"/>
      <c r="CQ46075" s="111"/>
      <c r="EF46075"/>
      <c r="EG46075"/>
      <c r="EH46075"/>
      <c r="EI46075"/>
      <c r="EJ46075"/>
      <c r="EK46075"/>
    </row>
    <row r="46076" spans="1:141" s="116" customFormat="1">
      <c r="A46076" s="136"/>
      <c r="CM46076" s="111"/>
      <c r="CQ46076" s="111"/>
      <c r="EF46076"/>
      <c r="EG46076"/>
      <c r="EH46076"/>
      <c r="EI46076"/>
      <c r="EJ46076"/>
      <c r="EK46076"/>
    </row>
    <row r="46077" spans="1:141" s="116" customFormat="1">
      <c r="A46077" s="136"/>
      <c r="CM46077" s="111"/>
      <c r="CQ46077" s="111"/>
      <c r="EF46077"/>
      <c r="EG46077"/>
      <c r="EH46077"/>
      <c r="EI46077"/>
      <c r="EJ46077"/>
      <c r="EK46077"/>
    </row>
    <row r="46078" spans="1:141" s="116" customFormat="1">
      <c r="A46078" s="136"/>
      <c r="CM46078" s="111"/>
      <c r="CQ46078" s="111"/>
      <c r="EF46078"/>
      <c r="EG46078"/>
      <c r="EH46078"/>
      <c r="EI46078"/>
      <c r="EJ46078"/>
      <c r="EK46078"/>
    </row>
    <row r="46079" spans="1:141" s="116" customFormat="1">
      <c r="A46079" s="136"/>
      <c r="CM46079" s="111"/>
      <c r="CQ46079" s="111"/>
      <c r="EF46079"/>
      <c r="EG46079"/>
      <c r="EH46079"/>
      <c r="EI46079"/>
      <c r="EJ46079"/>
      <c r="EK46079"/>
    </row>
    <row r="46080" spans="1:141" s="116" customFormat="1">
      <c r="A46080" s="136"/>
      <c r="CM46080" s="111"/>
      <c r="CQ46080" s="111"/>
      <c r="EF46080"/>
      <c r="EG46080"/>
      <c r="EH46080"/>
      <c r="EI46080"/>
      <c r="EJ46080"/>
      <c r="EK46080"/>
    </row>
    <row r="46081" spans="1:141" s="116" customFormat="1">
      <c r="A46081" s="136"/>
      <c r="CM46081" s="111"/>
      <c r="CQ46081" s="111"/>
      <c r="EF46081"/>
      <c r="EG46081"/>
      <c r="EH46081"/>
      <c r="EI46081"/>
      <c r="EJ46081"/>
      <c r="EK46081"/>
    </row>
    <row r="46082" spans="1:141" s="116" customFormat="1">
      <c r="A46082" s="136"/>
      <c r="CM46082" s="111"/>
      <c r="CQ46082" s="111"/>
      <c r="EF46082"/>
      <c r="EG46082"/>
      <c r="EH46082"/>
      <c r="EI46082"/>
      <c r="EJ46082"/>
      <c r="EK46082"/>
    </row>
    <row r="46083" spans="1:141" s="116" customFormat="1">
      <c r="A46083" s="136"/>
      <c r="CM46083" s="111"/>
      <c r="CQ46083" s="111"/>
      <c r="EF46083"/>
      <c r="EG46083"/>
      <c r="EH46083"/>
      <c r="EI46083"/>
      <c r="EJ46083"/>
      <c r="EK46083"/>
    </row>
    <row r="46084" spans="1:141" s="116" customFormat="1">
      <c r="A46084" s="136"/>
      <c r="CM46084" s="111"/>
      <c r="CQ46084" s="111"/>
      <c r="EF46084"/>
      <c r="EG46084"/>
      <c r="EH46084"/>
      <c r="EI46084"/>
      <c r="EJ46084"/>
      <c r="EK46084"/>
    </row>
    <row r="46085" spans="1:141" s="116" customFormat="1">
      <c r="A46085" s="136"/>
      <c r="CM46085" s="111"/>
      <c r="CQ46085" s="111"/>
      <c r="EF46085"/>
      <c r="EG46085"/>
      <c r="EH46085"/>
      <c r="EI46085"/>
      <c r="EJ46085"/>
      <c r="EK46085"/>
    </row>
    <row r="46086" spans="1:141" s="116" customFormat="1">
      <c r="A46086" s="136"/>
      <c r="CM46086" s="111"/>
      <c r="CQ46086" s="111"/>
      <c r="EF46086"/>
      <c r="EG46086"/>
      <c r="EH46086"/>
      <c r="EI46086"/>
      <c r="EJ46086"/>
      <c r="EK46086"/>
    </row>
    <row r="46087" spans="1:141" s="116" customFormat="1">
      <c r="A46087" s="136"/>
      <c r="CM46087" s="111"/>
      <c r="CQ46087" s="111"/>
      <c r="EF46087"/>
      <c r="EG46087"/>
      <c r="EH46087"/>
      <c r="EI46087"/>
      <c r="EJ46087"/>
      <c r="EK46087"/>
    </row>
    <row r="46088" spans="1:141" s="116" customFormat="1">
      <c r="A46088" s="136"/>
      <c r="CM46088" s="111"/>
      <c r="CQ46088" s="111"/>
      <c r="EF46088"/>
      <c r="EG46088"/>
      <c r="EH46088"/>
      <c r="EI46088"/>
      <c r="EJ46088"/>
      <c r="EK46088"/>
    </row>
    <row r="46089" spans="1:141" s="116" customFormat="1">
      <c r="A46089" s="136"/>
      <c r="CM46089" s="111"/>
      <c r="CQ46089" s="111"/>
      <c r="EF46089"/>
      <c r="EG46089"/>
      <c r="EH46089"/>
      <c r="EI46089"/>
      <c r="EJ46089"/>
      <c r="EK46089"/>
    </row>
    <row r="46090" spans="1:141" s="116" customFormat="1">
      <c r="A46090" s="136"/>
      <c r="CM46090" s="111"/>
      <c r="CQ46090" s="111"/>
      <c r="EF46090"/>
      <c r="EG46090"/>
      <c r="EH46090"/>
      <c r="EI46090"/>
      <c r="EJ46090"/>
      <c r="EK46090"/>
    </row>
    <row r="46091" spans="1:141" s="116" customFormat="1">
      <c r="A46091" s="136"/>
      <c r="CM46091" s="111"/>
      <c r="CQ46091" s="111"/>
      <c r="EF46091"/>
      <c r="EG46091"/>
      <c r="EH46091"/>
      <c r="EI46091"/>
      <c r="EJ46091"/>
      <c r="EK46091"/>
    </row>
    <row r="46092" spans="1:141" s="116" customFormat="1">
      <c r="A46092" s="136"/>
      <c r="CM46092" s="111"/>
      <c r="CQ46092" s="111"/>
      <c r="EF46092"/>
      <c r="EG46092"/>
      <c r="EH46092"/>
      <c r="EI46092"/>
      <c r="EJ46092"/>
      <c r="EK46092"/>
    </row>
    <row r="46093" spans="1:141" s="116" customFormat="1">
      <c r="A46093" s="136"/>
      <c r="CM46093" s="111"/>
      <c r="CQ46093" s="111"/>
      <c r="EF46093"/>
      <c r="EG46093"/>
      <c r="EH46093"/>
      <c r="EI46093"/>
      <c r="EJ46093"/>
      <c r="EK46093"/>
    </row>
    <row r="46094" spans="1:141" s="116" customFormat="1">
      <c r="A46094" s="136"/>
      <c r="CM46094" s="111"/>
      <c r="CQ46094" s="111"/>
      <c r="EF46094"/>
      <c r="EG46094"/>
      <c r="EH46094"/>
      <c r="EI46094"/>
      <c r="EJ46094"/>
      <c r="EK46094"/>
    </row>
    <row r="46095" spans="1:141" s="116" customFormat="1">
      <c r="A46095" s="136"/>
      <c r="CM46095" s="111"/>
      <c r="CQ46095" s="111"/>
      <c r="EF46095"/>
      <c r="EG46095"/>
      <c r="EH46095"/>
      <c r="EI46095"/>
      <c r="EJ46095"/>
      <c r="EK46095"/>
    </row>
    <row r="46096" spans="1:141" s="116" customFormat="1">
      <c r="A46096" s="136"/>
      <c r="CM46096" s="111"/>
      <c r="CQ46096" s="111"/>
      <c r="EF46096"/>
      <c r="EG46096"/>
      <c r="EH46096"/>
      <c r="EI46096"/>
      <c r="EJ46096"/>
      <c r="EK46096"/>
    </row>
    <row r="46097" spans="1:141" s="116" customFormat="1">
      <c r="A46097" s="136"/>
      <c r="CM46097" s="111"/>
      <c r="CQ46097" s="111"/>
      <c r="EF46097"/>
      <c r="EG46097"/>
      <c r="EH46097"/>
      <c r="EI46097"/>
      <c r="EJ46097"/>
      <c r="EK46097"/>
    </row>
    <row r="46098" spans="1:141" s="116" customFormat="1">
      <c r="A46098" s="136"/>
      <c r="CM46098" s="111"/>
      <c r="CQ46098" s="111"/>
      <c r="EF46098"/>
      <c r="EG46098"/>
      <c r="EH46098"/>
      <c r="EI46098"/>
      <c r="EJ46098"/>
      <c r="EK46098"/>
    </row>
    <row r="46099" spans="1:141" s="116" customFormat="1">
      <c r="A46099" s="136"/>
      <c r="CM46099" s="111"/>
      <c r="CQ46099" s="111"/>
      <c r="EF46099"/>
      <c r="EG46099"/>
      <c r="EH46099"/>
      <c r="EI46099"/>
      <c r="EJ46099"/>
      <c r="EK46099"/>
    </row>
    <row r="46100" spans="1:141" s="116" customFormat="1">
      <c r="A46100" s="136"/>
      <c r="CM46100" s="111"/>
      <c r="CQ46100" s="111"/>
      <c r="EF46100"/>
      <c r="EG46100"/>
      <c r="EH46100"/>
      <c r="EI46100"/>
      <c r="EJ46100"/>
      <c r="EK46100"/>
    </row>
    <row r="46101" spans="1:141" s="116" customFormat="1">
      <c r="A46101" s="136"/>
      <c r="CM46101" s="111"/>
      <c r="CQ46101" s="111"/>
      <c r="EF46101"/>
      <c r="EG46101"/>
      <c r="EH46101"/>
      <c r="EI46101"/>
      <c r="EJ46101"/>
      <c r="EK46101"/>
    </row>
    <row r="46102" spans="1:141" s="116" customFormat="1">
      <c r="A46102" s="136"/>
      <c r="CM46102" s="111"/>
      <c r="CQ46102" s="111"/>
      <c r="EF46102"/>
      <c r="EG46102"/>
      <c r="EH46102"/>
      <c r="EI46102"/>
      <c r="EJ46102"/>
      <c r="EK46102"/>
    </row>
    <row r="46103" spans="1:141" s="116" customFormat="1">
      <c r="A46103" s="136"/>
      <c r="CM46103" s="111"/>
      <c r="CQ46103" s="111"/>
      <c r="EF46103"/>
      <c r="EG46103"/>
      <c r="EH46103"/>
      <c r="EI46103"/>
      <c r="EJ46103"/>
      <c r="EK46103"/>
    </row>
    <row r="46104" spans="1:141" s="116" customFormat="1">
      <c r="A46104" s="136"/>
      <c r="CM46104" s="111"/>
      <c r="CQ46104" s="111"/>
      <c r="EF46104"/>
      <c r="EG46104"/>
      <c r="EH46104"/>
      <c r="EI46104"/>
      <c r="EJ46104"/>
      <c r="EK46104"/>
    </row>
    <row r="46105" spans="1:141" s="116" customFormat="1">
      <c r="A46105" s="136"/>
      <c r="CM46105" s="111"/>
      <c r="CQ46105" s="111"/>
      <c r="EF46105"/>
      <c r="EG46105"/>
      <c r="EH46105"/>
      <c r="EI46105"/>
      <c r="EJ46105"/>
      <c r="EK46105"/>
    </row>
    <row r="46106" spans="1:141" s="116" customFormat="1">
      <c r="A46106" s="136"/>
      <c r="CM46106" s="111"/>
      <c r="CQ46106" s="111"/>
      <c r="EF46106"/>
      <c r="EG46106"/>
      <c r="EH46106"/>
      <c r="EI46106"/>
      <c r="EJ46106"/>
      <c r="EK46106"/>
    </row>
    <row r="46107" spans="1:141" s="116" customFormat="1">
      <c r="A46107" s="136"/>
      <c r="CM46107" s="111"/>
      <c r="CQ46107" s="111"/>
      <c r="EF46107"/>
      <c r="EG46107"/>
      <c r="EH46107"/>
      <c r="EI46107"/>
      <c r="EJ46107"/>
      <c r="EK46107"/>
    </row>
    <row r="46108" spans="1:141" s="116" customFormat="1">
      <c r="A46108" s="136"/>
      <c r="CM46108" s="111"/>
      <c r="CQ46108" s="111"/>
      <c r="EF46108"/>
      <c r="EG46108"/>
      <c r="EH46108"/>
      <c r="EI46108"/>
      <c r="EJ46108"/>
      <c r="EK46108"/>
    </row>
    <row r="46109" spans="1:141" s="116" customFormat="1">
      <c r="A46109" s="136"/>
      <c r="CM46109" s="111"/>
      <c r="CQ46109" s="111"/>
      <c r="EF46109"/>
      <c r="EG46109"/>
      <c r="EH46109"/>
      <c r="EI46109"/>
      <c r="EJ46109"/>
      <c r="EK46109"/>
    </row>
    <row r="46110" spans="1:141" s="116" customFormat="1">
      <c r="A46110" s="136"/>
      <c r="CM46110" s="111"/>
      <c r="CQ46110" s="111"/>
      <c r="EF46110"/>
      <c r="EG46110"/>
      <c r="EH46110"/>
      <c r="EI46110"/>
      <c r="EJ46110"/>
      <c r="EK46110"/>
    </row>
    <row r="46111" spans="1:141" s="116" customFormat="1">
      <c r="A46111" s="136"/>
      <c r="CM46111" s="111"/>
      <c r="CQ46111" s="111"/>
      <c r="EF46111"/>
      <c r="EG46111"/>
      <c r="EH46111"/>
      <c r="EI46111"/>
      <c r="EJ46111"/>
      <c r="EK46111"/>
    </row>
    <row r="46112" spans="1:141" s="116" customFormat="1">
      <c r="A46112" s="136"/>
      <c r="CM46112" s="111"/>
      <c r="CQ46112" s="111"/>
      <c r="EF46112"/>
      <c r="EG46112"/>
      <c r="EH46112"/>
      <c r="EI46112"/>
      <c r="EJ46112"/>
      <c r="EK46112"/>
    </row>
    <row r="46113" spans="1:141" s="116" customFormat="1">
      <c r="A46113" s="136"/>
      <c r="CM46113" s="111"/>
      <c r="CQ46113" s="111"/>
      <c r="EF46113"/>
      <c r="EG46113"/>
      <c r="EH46113"/>
      <c r="EI46113"/>
      <c r="EJ46113"/>
      <c r="EK46113"/>
    </row>
    <row r="46114" spans="1:141" s="116" customFormat="1">
      <c r="A46114" s="136"/>
      <c r="CM46114" s="111"/>
      <c r="CQ46114" s="111"/>
      <c r="EF46114"/>
      <c r="EG46114"/>
      <c r="EH46114"/>
      <c r="EI46114"/>
      <c r="EJ46114"/>
      <c r="EK46114"/>
    </row>
    <row r="46115" spans="1:141" s="116" customFormat="1">
      <c r="A46115" s="136"/>
      <c r="CM46115" s="111"/>
      <c r="CQ46115" s="111"/>
      <c r="EF46115"/>
      <c r="EG46115"/>
      <c r="EH46115"/>
      <c r="EI46115"/>
      <c r="EJ46115"/>
      <c r="EK46115"/>
    </row>
    <row r="46116" spans="1:141" s="116" customFormat="1">
      <c r="A46116" s="136"/>
      <c r="CM46116" s="111"/>
      <c r="CQ46116" s="111"/>
      <c r="EF46116"/>
      <c r="EG46116"/>
      <c r="EH46116"/>
      <c r="EI46116"/>
      <c r="EJ46116"/>
      <c r="EK46116"/>
    </row>
    <row r="46117" spans="1:141" s="116" customFormat="1">
      <c r="A46117" s="136"/>
      <c r="CM46117" s="111"/>
      <c r="CQ46117" s="111"/>
      <c r="EF46117"/>
      <c r="EG46117"/>
      <c r="EH46117"/>
      <c r="EI46117"/>
      <c r="EJ46117"/>
      <c r="EK46117"/>
    </row>
    <row r="46118" spans="1:141" s="116" customFormat="1">
      <c r="A46118" s="136"/>
      <c r="CM46118" s="111"/>
      <c r="CQ46118" s="111"/>
      <c r="EF46118"/>
      <c r="EG46118"/>
      <c r="EH46118"/>
      <c r="EI46118"/>
      <c r="EJ46118"/>
      <c r="EK46118"/>
    </row>
    <row r="46119" spans="1:141" s="116" customFormat="1">
      <c r="A46119" s="136"/>
      <c r="CM46119" s="111"/>
      <c r="CQ46119" s="111"/>
      <c r="EF46119"/>
      <c r="EG46119"/>
      <c r="EH46119"/>
      <c r="EI46119"/>
      <c r="EJ46119"/>
      <c r="EK46119"/>
    </row>
    <row r="46120" spans="1:141" s="116" customFormat="1">
      <c r="A46120" s="136"/>
      <c r="CM46120" s="111"/>
      <c r="CQ46120" s="111"/>
      <c r="EF46120"/>
      <c r="EG46120"/>
      <c r="EH46120"/>
      <c r="EI46120"/>
      <c r="EJ46120"/>
      <c r="EK46120"/>
    </row>
    <row r="46121" spans="1:141" s="116" customFormat="1">
      <c r="A46121" s="136"/>
      <c r="CM46121" s="111"/>
      <c r="CQ46121" s="111"/>
      <c r="EF46121"/>
      <c r="EG46121"/>
      <c r="EH46121"/>
      <c r="EI46121"/>
      <c r="EJ46121"/>
      <c r="EK46121"/>
    </row>
    <row r="46122" spans="1:141" s="116" customFormat="1">
      <c r="A46122" s="136"/>
      <c r="CM46122" s="111"/>
      <c r="CQ46122" s="111"/>
      <c r="EF46122"/>
      <c r="EG46122"/>
      <c r="EH46122"/>
      <c r="EI46122"/>
      <c r="EJ46122"/>
      <c r="EK46122"/>
    </row>
    <row r="46123" spans="1:141" s="116" customFormat="1">
      <c r="A46123" s="136"/>
      <c r="CM46123" s="111"/>
      <c r="CQ46123" s="111"/>
      <c r="EF46123"/>
      <c r="EG46123"/>
      <c r="EH46123"/>
      <c r="EI46123"/>
      <c r="EJ46123"/>
      <c r="EK46123"/>
    </row>
    <row r="46124" spans="1:141" s="116" customFormat="1">
      <c r="A46124" s="136"/>
      <c r="CM46124" s="111"/>
      <c r="CQ46124" s="111"/>
      <c r="EF46124"/>
      <c r="EG46124"/>
      <c r="EH46124"/>
      <c r="EI46124"/>
      <c r="EJ46124"/>
      <c r="EK46124"/>
    </row>
    <row r="46125" spans="1:141" s="116" customFormat="1">
      <c r="A46125" s="136"/>
      <c r="CM46125" s="111"/>
      <c r="CQ46125" s="111"/>
      <c r="EF46125"/>
      <c r="EG46125"/>
      <c r="EH46125"/>
      <c r="EI46125"/>
      <c r="EJ46125"/>
      <c r="EK46125"/>
    </row>
    <row r="46126" spans="1:141" s="116" customFormat="1">
      <c r="A46126" s="136"/>
      <c r="CM46126" s="111"/>
      <c r="CQ46126" s="111"/>
      <c r="EF46126"/>
      <c r="EG46126"/>
      <c r="EH46126"/>
      <c r="EI46126"/>
      <c r="EJ46126"/>
      <c r="EK46126"/>
    </row>
    <row r="46127" spans="1:141" s="116" customFormat="1">
      <c r="A46127" s="136"/>
      <c r="CM46127" s="111"/>
      <c r="CQ46127" s="111"/>
      <c r="EF46127"/>
      <c r="EG46127"/>
      <c r="EH46127"/>
      <c r="EI46127"/>
      <c r="EJ46127"/>
      <c r="EK46127"/>
    </row>
    <row r="46128" spans="1:141" s="116" customFormat="1">
      <c r="A46128" s="136"/>
      <c r="CM46128" s="111"/>
      <c r="CQ46128" s="111"/>
      <c r="EF46128"/>
      <c r="EG46128"/>
      <c r="EH46128"/>
      <c r="EI46128"/>
      <c r="EJ46128"/>
      <c r="EK46128"/>
    </row>
    <row r="46129" spans="1:141" s="116" customFormat="1">
      <c r="A46129" s="136"/>
      <c r="CM46129" s="111"/>
      <c r="CQ46129" s="111"/>
      <c r="EF46129"/>
      <c r="EG46129"/>
      <c r="EH46129"/>
      <c r="EI46129"/>
      <c r="EJ46129"/>
      <c r="EK46129"/>
    </row>
    <row r="46130" spans="1:141" s="116" customFormat="1">
      <c r="A46130" s="136"/>
      <c r="CM46130" s="111"/>
      <c r="CQ46130" s="111"/>
      <c r="EF46130"/>
      <c r="EG46130"/>
      <c r="EH46130"/>
      <c r="EI46130"/>
      <c r="EJ46130"/>
      <c r="EK46130"/>
    </row>
    <row r="46131" spans="1:141" s="116" customFormat="1">
      <c r="A46131" s="136"/>
      <c r="CM46131" s="111"/>
      <c r="CQ46131" s="111"/>
      <c r="EF46131"/>
      <c r="EG46131"/>
      <c r="EH46131"/>
      <c r="EI46131"/>
      <c r="EJ46131"/>
      <c r="EK46131"/>
    </row>
    <row r="46132" spans="1:141" s="116" customFormat="1">
      <c r="A46132" s="136"/>
      <c r="CM46132" s="111"/>
      <c r="CQ46132" s="111"/>
      <c r="EF46132"/>
      <c r="EG46132"/>
      <c r="EH46132"/>
      <c r="EI46132"/>
      <c r="EJ46132"/>
      <c r="EK46132"/>
    </row>
    <row r="46133" spans="1:141" s="116" customFormat="1">
      <c r="A46133" s="136"/>
      <c r="CM46133" s="111"/>
      <c r="CQ46133" s="111"/>
      <c r="EF46133"/>
      <c r="EG46133"/>
      <c r="EH46133"/>
      <c r="EI46133"/>
      <c r="EJ46133"/>
      <c r="EK46133"/>
    </row>
    <row r="46134" spans="1:141" s="116" customFormat="1">
      <c r="A46134" s="136"/>
      <c r="CM46134" s="111"/>
      <c r="CQ46134" s="111"/>
      <c r="EF46134"/>
      <c r="EG46134"/>
      <c r="EH46134"/>
      <c r="EI46134"/>
      <c r="EJ46134"/>
      <c r="EK46134"/>
    </row>
    <row r="46135" spans="1:141" s="116" customFormat="1">
      <c r="A46135" s="136"/>
      <c r="CM46135" s="111"/>
      <c r="CQ46135" s="111"/>
      <c r="EF46135"/>
      <c r="EG46135"/>
      <c r="EH46135"/>
      <c r="EI46135"/>
      <c r="EJ46135"/>
      <c r="EK46135"/>
    </row>
    <row r="46136" spans="1:141" s="116" customFormat="1">
      <c r="A46136" s="136"/>
      <c r="CM46136" s="111"/>
      <c r="CQ46136" s="111"/>
      <c r="EF46136"/>
      <c r="EG46136"/>
      <c r="EH46136"/>
      <c r="EI46136"/>
      <c r="EJ46136"/>
      <c r="EK46136"/>
    </row>
    <row r="46137" spans="1:141" s="116" customFormat="1">
      <c r="A46137" s="136"/>
      <c r="CM46137" s="111"/>
      <c r="CQ46137" s="111"/>
      <c r="EF46137"/>
      <c r="EG46137"/>
      <c r="EH46137"/>
      <c r="EI46137"/>
      <c r="EJ46137"/>
      <c r="EK46137"/>
    </row>
    <row r="46138" spans="1:141" s="116" customFormat="1">
      <c r="A46138" s="136"/>
      <c r="CM46138" s="111"/>
      <c r="CQ46138" s="111"/>
      <c r="EF46138"/>
      <c r="EG46138"/>
      <c r="EH46138"/>
      <c r="EI46138"/>
      <c r="EJ46138"/>
      <c r="EK46138"/>
    </row>
    <row r="46139" spans="1:141" s="116" customFormat="1">
      <c r="A46139" s="136"/>
      <c r="CM46139" s="111"/>
      <c r="CQ46139" s="111"/>
      <c r="EF46139"/>
      <c r="EG46139"/>
      <c r="EH46139"/>
      <c r="EI46139"/>
      <c r="EJ46139"/>
      <c r="EK46139"/>
    </row>
    <row r="46140" spans="1:141" s="116" customFormat="1">
      <c r="A46140" s="136"/>
      <c r="CM46140" s="111"/>
      <c r="CQ46140" s="111"/>
      <c r="EF46140"/>
      <c r="EG46140"/>
      <c r="EH46140"/>
      <c r="EI46140"/>
      <c r="EJ46140"/>
      <c r="EK46140"/>
    </row>
    <row r="46141" spans="1:141" s="116" customFormat="1">
      <c r="A46141" s="136"/>
      <c r="CM46141" s="111"/>
      <c r="CQ46141" s="111"/>
      <c r="EF46141"/>
      <c r="EG46141"/>
      <c r="EH46141"/>
      <c r="EI46141"/>
      <c r="EJ46141"/>
      <c r="EK46141"/>
    </row>
    <row r="46142" spans="1:141" s="116" customFormat="1">
      <c r="A46142" s="136"/>
      <c r="CM46142" s="111"/>
      <c r="CQ46142" s="111"/>
      <c r="EF46142"/>
      <c r="EG46142"/>
      <c r="EH46142"/>
      <c r="EI46142"/>
      <c r="EJ46142"/>
      <c r="EK46142"/>
    </row>
    <row r="46143" spans="1:141" s="116" customFormat="1">
      <c r="A46143" s="136"/>
      <c r="CM46143" s="111"/>
      <c r="CQ46143" s="111"/>
      <c r="EF46143"/>
      <c r="EG46143"/>
      <c r="EH46143"/>
      <c r="EI46143"/>
      <c r="EJ46143"/>
      <c r="EK46143"/>
    </row>
    <row r="46144" spans="1:141" s="116" customFormat="1">
      <c r="A46144" s="136"/>
      <c r="CM46144" s="111"/>
      <c r="CQ46144" s="111"/>
      <c r="EF46144"/>
      <c r="EG46144"/>
      <c r="EH46144"/>
      <c r="EI46144"/>
      <c r="EJ46144"/>
      <c r="EK46144"/>
    </row>
    <row r="46145" spans="1:141" s="116" customFormat="1">
      <c r="A46145" s="136"/>
      <c r="CM46145" s="111"/>
      <c r="CQ46145" s="111"/>
      <c r="EF46145"/>
      <c r="EG46145"/>
      <c r="EH46145"/>
      <c r="EI46145"/>
      <c r="EJ46145"/>
      <c r="EK46145"/>
    </row>
    <row r="46146" spans="1:141" s="116" customFormat="1">
      <c r="A46146" s="136"/>
      <c r="CM46146" s="111"/>
      <c r="CQ46146" s="111"/>
      <c r="EF46146"/>
      <c r="EG46146"/>
      <c r="EH46146"/>
      <c r="EI46146"/>
      <c r="EJ46146"/>
      <c r="EK46146"/>
    </row>
    <row r="46147" spans="1:141" s="116" customFormat="1">
      <c r="A46147" s="136"/>
      <c r="CM46147" s="111"/>
      <c r="CQ46147" s="111"/>
      <c r="EF46147"/>
      <c r="EG46147"/>
      <c r="EH46147"/>
      <c r="EI46147"/>
      <c r="EJ46147"/>
      <c r="EK46147"/>
    </row>
    <row r="46148" spans="1:141" s="116" customFormat="1">
      <c r="A46148" s="136"/>
      <c r="CM46148" s="111"/>
      <c r="CQ46148" s="111"/>
      <c r="EF46148"/>
      <c r="EG46148"/>
      <c r="EH46148"/>
      <c r="EI46148"/>
      <c r="EJ46148"/>
      <c r="EK46148"/>
    </row>
    <row r="46149" spans="1:141" s="116" customFormat="1">
      <c r="A46149" s="136"/>
      <c r="CM46149" s="111"/>
      <c r="CQ46149" s="111"/>
      <c r="EF46149"/>
      <c r="EG46149"/>
      <c r="EH46149"/>
      <c r="EI46149"/>
      <c r="EJ46149"/>
      <c r="EK46149"/>
    </row>
    <row r="46150" spans="1:141" s="116" customFormat="1">
      <c r="A46150" s="136"/>
      <c r="CM46150" s="111"/>
      <c r="CQ46150" s="111"/>
      <c r="EF46150"/>
      <c r="EG46150"/>
      <c r="EH46150"/>
      <c r="EI46150"/>
      <c r="EJ46150"/>
      <c r="EK46150"/>
    </row>
    <row r="46151" spans="1:141" s="116" customFormat="1">
      <c r="A46151" s="136"/>
      <c r="CM46151" s="111"/>
      <c r="CQ46151" s="111"/>
      <c r="EF46151"/>
      <c r="EG46151"/>
      <c r="EH46151"/>
      <c r="EI46151"/>
      <c r="EJ46151"/>
      <c r="EK46151"/>
    </row>
    <row r="46152" spans="1:141" s="116" customFormat="1">
      <c r="A46152" s="136"/>
      <c r="CM46152" s="111"/>
      <c r="CQ46152" s="111"/>
      <c r="EF46152"/>
      <c r="EG46152"/>
      <c r="EH46152"/>
      <c r="EI46152"/>
      <c r="EJ46152"/>
      <c r="EK46152"/>
    </row>
    <row r="46153" spans="1:141" s="116" customFormat="1">
      <c r="A46153" s="136"/>
      <c r="CM46153" s="111"/>
      <c r="CQ46153" s="111"/>
      <c r="EF46153"/>
      <c r="EG46153"/>
      <c r="EH46153"/>
      <c r="EI46153"/>
      <c r="EJ46153"/>
      <c r="EK46153"/>
    </row>
    <row r="46154" spans="1:141" s="116" customFormat="1">
      <c r="A46154" s="136"/>
      <c r="CM46154" s="111"/>
      <c r="CQ46154" s="111"/>
      <c r="EF46154"/>
      <c r="EG46154"/>
      <c r="EH46154"/>
      <c r="EI46154"/>
      <c r="EJ46154"/>
      <c r="EK46154"/>
    </row>
    <row r="46155" spans="1:141" s="116" customFormat="1">
      <c r="A46155" s="136"/>
      <c r="CM46155" s="111"/>
      <c r="CQ46155" s="111"/>
      <c r="EF46155"/>
      <c r="EG46155"/>
      <c r="EH46155"/>
      <c r="EI46155"/>
      <c r="EJ46155"/>
      <c r="EK46155"/>
    </row>
    <row r="46156" spans="1:141" s="116" customFormat="1">
      <c r="A46156" s="136"/>
      <c r="CM46156" s="111"/>
      <c r="CQ46156" s="111"/>
      <c r="EF46156"/>
      <c r="EG46156"/>
      <c r="EH46156"/>
      <c r="EI46156"/>
      <c r="EJ46156"/>
      <c r="EK46156"/>
    </row>
    <row r="46157" spans="1:141" s="116" customFormat="1">
      <c r="A46157" s="136"/>
      <c r="CM46157" s="111"/>
      <c r="CQ46157" s="111"/>
      <c r="EF46157"/>
      <c r="EG46157"/>
      <c r="EH46157"/>
      <c r="EI46157"/>
      <c r="EJ46157"/>
      <c r="EK46157"/>
    </row>
    <row r="46158" spans="1:141" s="116" customFormat="1">
      <c r="A46158" s="136"/>
      <c r="CM46158" s="111"/>
      <c r="CQ46158" s="111"/>
      <c r="EF46158"/>
      <c r="EG46158"/>
      <c r="EH46158"/>
      <c r="EI46158"/>
      <c r="EJ46158"/>
      <c r="EK46158"/>
    </row>
    <row r="46159" spans="1:141" s="116" customFormat="1">
      <c r="A46159" s="136"/>
      <c r="CM46159" s="111"/>
      <c r="CQ46159" s="111"/>
      <c r="EF46159"/>
      <c r="EG46159"/>
      <c r="EH46159"/>
      <c r="EI46159"/>
      <c r="EJ46159"/>
      <c r="EK46159"/>
    </row>
    <row r="46160" spans="1:141" s="116" customFormat="1">
      <c r="A46160" s="136"/>
      <c r="CM46160" s="111"/>
      <c r="CQ46160" s="111"/>
      <c r="EF46160"/>
      <c r="EG46160"/>
      <c r="EH46160"/>
      <c r="EI46160"/>
      <c r="EJ46160"/>
      <c r="EK46160"/>
    </row>
    <row r="46161" spans="1:141" s="116" customFormat="1">
      <c r="A46161" s="136"/>
      <c r="CM46161" s="111"/>
      <c r="CQ46161" s="111"/>
      <c r="EF46161"/>
      <c r="EG46161"/>
      <c r="EH46161"/>
      <c r="EI46161"/>
      <c r="EJ46161"/>
      <c r="EK46161"/>
    </row>
    <row r="46162" spans="1:141" s="116" customFormat="1">
      <c r="A46162" s="136"/>
      <c r="CM46162" s="111"/>
      <c r="CQ46162" s="111"/>
      <c r="EF46162"/>
      <c r="EG46162"/>
      <c r="EH46162"/>
      <c r="EI46162"/>
      <c r="EJ46162"/>
      <c r="EK46162"/>
    </row>
    <row r="46163" spans="1:141" s="116" customFormat="1">
      <c r="A46163" s="136"/>
      <c r="CM46163" s="111"/>
      <c r="CQ46163" s="111"/>
      <c r="EF46163"/>
      <c r="EG46163"/>
      <c r="EH46163"/>
      <c r="EI46163"/>
      <c r="EJ46163"/>
      <c r="EK46163"/>
    </row>
    <row r="46164" spans="1:141" s="116" customFormat="1">
      <c r="A46164" s="136"/>
      <c r="CM46164" s="111"/>
      <c r="CQ46164" s="111"/>
      <c r="EF46164"/>
      <c r="EG46164"/>
      <c r="EH46164"/>
      <c r="EI46164"/>
      <c r="EJ46164"/>
      <c r="EK46164"/>
    </row>
    <row r="46165" spans="1:141" s="116" customFormat="1">
      <c r="A46165" s="136"/>
      <c r="CM46165" s="111"/>
      <c r="CQ46165" s="111"/>
      <c r="EF46165"/>
      <c r="EG46165"/>
      <c r="EH46165"/>
      <c r="EI46165"/>
      <c r="EJ46165"/>
      <c r="EK46165"/>
    </row>
    <row r="46166" spans="1:141" s="116" customFormat="1">
      <c r="A46166" s="136"/>
      <c r="CM46166" s="111"/>
      <c r="CQ46166" s="111"/>
      <c r="EF46166"/>
      <c r="EG46166"/>
      <c r="EH46166"/>
      <c r="EI46166"/>
      <c r="EJ46166"/>
      <c r="EK46166"/>
    </row>
    <row r="46167" spans="1:141" s="116" customFormat="1">
      <c r="A46167" s="136"/>
      <c r="CM46167" s="111"/>
      <c r="CQ46167" s="111"/>
      <c r="EF46167"/>
      <c r="EG46167"/>
      <c r="EH46167"/>
      <c r="EI46167"/>
      <c r="EJ46167"/>
      <c r="EK46167"/>
    </row>
    <row r="46168" spans="1:141" s="116" customFormat="1">
      <c r="A46168" s="136"/>
      <c r="CM46168" s="111"/>
      <c r="CQ46168" s="111"/>
      <c r="EF46168"/>
      <c r="EG46168"/>
      <c r="EH46168"/>
      <c r="EI46168"/>
      <c r="EJ46168"/>
      <c r="EK46168"/>
    </row>
    <row r="46169" spans="1:141" s="116" customFormat="1">
      <c r="A46169" s="136"/>
      <c r="CM46169" s="111"/>
      <c r="CQ46169" s="111"/>
      <c r="EF46169"/>
      <c r="EG46169"/>
      <c r="EH46169"/>
      <c r="EI46169"/>
      <c r="EJ46169"/>
      <c r="EK46169"/>
    </row>
    <row r="46170" spans="1:141" s="116" customFormat="1">
      <c r="A46170" s="136"/>
      <c r="CM46170" s="111"/>
      <c r="CQ46170" s="111"/>
      <c r="EF46170"/>
      <c r="EG46170"/>
      <c r="EH46170"/>
      <c r="EI46170"/>
      <c r="EJ46170"/>
      <c r="EK46170"/>
    </row>
    <row r="46171" spans="1:141" s="116" customFormat="1">
      <c r="A46171" s="136"/>
      <c r="CM46171" s="111"/>
      <c r="CQ46171" s="111"/>
      <c r="EF46171"/>
      <c r="EG46171"/>
      <c r="EH46171"/>
      <c r="EI46171"/>
      <c r="EJ46171"/>
      <c r="EK46171"/>
    </row>
    <row r="46172" spans="1:141" s="116" customFormat="1">
      <c r="A46172" s="136"/>
      <c r="CM46172" s="111"/>
      <c r="CQ46172" s="111"/>
      <c r="EF46172"/>
      <c r="EG46172"/>
      <c r="EH46172"/>
      <c r="EI46172"/>
      <c r="EJ46172"/>
      <c r="EK46172"/>
    </row>
    <row r="46173" spans="1:141" s="116" customFormat="1">
      <c r="A46173" s="136"/>
      <c r="CM46173" s="111"/>
      <c r="CQ46173" s="111"/>
      <c r="EF46173"/>
      <c r="EG46173"/>
      <c r="EH46173"/>
      <c r="EI46173"/>
      <c r="EJ46173"/>
      <c r="EK46173"/>
    </row>
    <row r="46174" spans="1:141" s="116" customFormat="1">
      <c r="A46174" s="136"/>
      <c r="CM46174" s="111"/>
      <c r="CQ46174" s="111"/>
      <c r="EF46174"/>
      <c r="EG46174"/>
      <c r="EH46174"/>
      <c r="EI46174"/>
      <c r="EJ46174"/>
      <c r="EK46174"/>
    </row>
    <row r="46175" spans="1:141" s="116" customFormat="1">
      <c r="A46175" s="136"/>
      <c r="CM46175" s="111"/>
      <c r="CQ46175" s="111"/>
      <c r="EF46175"/>
      <c r="EG46175"/>
      <c r="EH46175"/>
      <c r="EI46175"/>
      <c r="EJ46175"/>
      <c r="EK46175"/>
    </row>
    <row r="46176" spans="1:141" s="116" customFormat="1">
      <c r="A46176" s="136"/>
      <c r="CM46176" s="111"/>
      <c r="CQ46176" s="111"/>
      <c r="EF46176"/>
      <c r="EG46176"/>
      <c r="EH46176"/>
      <c r="EI46176"/>
      <c r="EJ46176"/>
      <c r="EK46176"/>
    </row>
    <row r="46177" spans="1:141" s="116" customFormat="1">
      <c r="A46177" s="136"/>
      <c r="CM46177" s="111"/>
      <c r="CQ46177" s="111"/>
      <c r="EF46177"/>
      <c r="EG46177"/>
      <c r="EH46177"/>
      <c r="EI46177"/>
      <c r="EJ46177"/>
      <c r="EK46177"/>
    </row>
    <row r="46178" spans="1:141" s="116" customFormat="1">
      <c r="A46178" s="136"/>
      <c r="CM46178" s="111"/>
      <c r="CQ46178" s="111"/>
      <c r="EF46178"/>
      <c r="EG46178"/>
      <c r="EH46178"/>
      <c r="EI46178"/>
      <c r="EJ46178"/>
      <c r="EK46178"/>
    </row>
    <row r="46179" spans="1:141" s="116" customFormat="1">
      <c r="A46179" s="136"/>
      <c r="CM46179" s="111"/>
      <c r="CQ46179" s="111"/>
      <c r="EF46179"/>
      <c r="EG46179"/>
      <c r="EH46179"/>
      <c r="EI46179"/>
      <c r="EJ46179"/>
      <c r="EK46179"/>
    </row>
    <row r="46180" spans="1:141" s="116" customFormat="1">
      <c r="A46180" s="136"/>
      <c r="CM46180" s="111"/>
      <c r="CQ46180" s="111"/>
      <c r="EF46180"/>
      <c r="EG46180"/>
      <c r="EH46180"/>
      <c r="EI46180"/>
      <c r="EJ46180"/>
      <c r="EK46180"/>
    </row>
    <row r="46181" spans="1:141" s="116" customFormat="1">
      <c r="A46181" s="136"/>
      <c r="CM46181" s="111"/>
      <c r="CQ46181" s="111"/>
      <c r="EF46181"/>
      <c r="EG46181"/>
      <c r="EH46181"/>
      <c r="EI46181"/>
      <c r="EJ46181"/>
      <c r="EK46181"/>
    </row>
    <row r="46182" spans="1:141" s="116" customFormat="1">
      <c r="A46182" s="136"/>
      <c r="CM46182" s="111"/>
      <c r="CQ46182" s="111"/>
      <c r="EF46182"/>
      <c r="EG46182"/>
      <c r="EH46182"/>
      <c r="EI46182"/>
      <c r="EJ46182"/>
      <c r="EK46182"/>
    </row>
    <row r="46183" spans="1:141" s="116" customFormat="1">
      <c r="A46183" s="136"/>
      <c r="CM46183" s="111"/>
      <c r="CQ46183" s="111"/>
      <c r="EF46183"/>
      <c r="EG46183"/>
      <c r="EH46183"/>
      <c r="EI46183"/>
      <c r="EJ46183"/>
      <c r="EK46183"/>
    </row>
    <row r="46184" spans="1:141" s="116" customFormat="1">
      <c r="A46184" s="136"/>
      <c r="CM46184" s="111"/>
      <c r="CQ46184" s="111"/>
      <c r="EF46184"/>
      <c r="EG46184"/>
      <c r="EH46184"/>
      <c r="EI46184"/>
      <c r="EJ46184"/>
      <c r="EK46184"/>
    </row>
    <row r="46185" spans="1:141" s="116" customFormat="1">
      <c r="A46185" s="136"/>
      <c r="CM46185" s="111"/>
      <c r="CQ46185" s="111"/>
      <c r="EF46185"/>
      <c r="EG46185"/>
      <c r="EH46185"/>
      <c r="EI46185"/>
      <c r="EJ46185"/>
      <c r="EK46185"/>
    </row>
    <row r="46186" spans="1:141" s="116" customFormat="1">
      <c r="A46186" s="136"/>
      <c r="CM46186" s="111"/>
      <c r="CQ46186" s="111"/>
      <c r="EF46186"/>
      <c r="EG46186"/>
      <c r="EH46186"/>
      <c r="EI46186"/>
      <c r="EJ46186"/>
      <c r="EK46186"/>
    </row>
    <row r="46187" spans="1:141" s="116" customFormat="1">
      <c r="A46187" s="136"/>
      <c r="CM46187" s="111"/>
      <c r="CQ46187" s="111"/>
      <c r="EF46187"/>
      <c r="EG46187"/>
      <c r="EH46187"/>
      <c r="EI46187"/>
      <c r="EJ46187"/>
      <c r="EK46187"/>
    </row>
    <row r="46188" spans="1:141" s="116" customFormat="1">
      <c r="A46188" s="136"/>
      <c r="CM46188" s="111"/>
      <c r="CQ46188" s="111"/>
      <c r="EF46188"/>
      <c r="EG46188"/>
      <c r="EH46188"/>
      <c r="EI46188"/>
      <c r="EJ46188"/>
      <c r="EK46188"/>
    </row>
    <row r="46189" spans="1:141" s="116" customFormat="1">
      <c r="A46189" s="136"/>
      <c r="CM46189" s="111"/>
      <c r="CQ46189" s="111"/>
      <c r="EF46189"/>
      <c r="EG46189"/>
      <c r="EH46189"/>
      <c r="EI46189"/>
      <c r="EJ46189"/>
      <c r="EK46189"/>
    </row>
    <row r="46190" spans="1:141" s="116" customFormat="1">
      <c r="A46190" s="136"/>
      <c r="CM46190" s="111"/>
      <c r="CQ46190" s="111"/>
      <c r="EF46190"/>
      <c r="EG46190"/>
      <c r="EH46190"/>
      <c r="EI46190"/>
      <c r="EJ46190"/>
      <c r="EK46190"/>
    </row>
    <row r="46191" spans="1:141" s="116" customFormat="1">
      <c r="A46191" s="136"/>
      <c r="CM46191" s="111"/>
      <c r="CQ46191" s="111"/>
      <c r="EF46191"/>
      <c r="EG46191"/>
      <c r="EH46191"/>
      <c r="EI46191"/>
      <c r="EJ46191"/>
      <c r="EK46191"/>
    </row>
    <row r="46192" spans="1:141" s="116" customFormat="1">
      <c r="A46192" s="136"/>
      <c r="CM46192" s="111"/>
      <c r="CQ46192" s="111"/>
      <c r="EF46192"/>
      <c r="EG46192"/>
      <c r="EH46192"/>
      <c r="EI46192"/>
      <c r="EJ46192"/>
      <c r="EK46192"/>
    </row>
    <row r="46193" spans="1:141" s="116" customFormat="1">
      <c r="A46193" s="136"/>
      <c r="CM46193" s="111"/>
      <c r="CQ46193" s="111"/>
      <c r="EF46193"/>
      <c r="EG46193"/>
      <c r="EH46193"/>
      <c r="EI46193"/>
      <c r="EJ46193"/>
      <c r="EK46193"/>
    </row>
    <row r="46194" spans="1:141" s="116" customFormat="1">
      <c r="A46194" s="136"/>
      <c r="CM46194" s="111"/>
      <c r="CQ46194" s="111"/>
      <c r="EF46194"/>
      <c r="EG46194"/>
      <c r="EH46194"/>
      <c r="EI46194"/>
      <c r="EJ46194"/>
      <c r="EK46194"/>
    </row>
    <row r="46195" spans="1:141" s="116" customFormat="1">
      <c r="A46195" s="136"/>
      <c r="CM46195" s="111"/>
      <c r="CQ46195" s="111"/>
      <c r="EF46195"/>
      <c r="EG46195"/>
      <c r="EH46195"/>
      <c r="EI46195"/>
      <c r="EJ46195"/>
      <c r="EK46195"/>
    </row>
    <row r="46196" spans="1:141" s="116" customFormat="1">
      <c r="A46196" s="136"/>
      <c r="CM46196" s="111"/>
      <c r="CQ46196" s="111"/>
      <c r="EF46196"/>
      <c r="EG46196"/>
      <c r="EH46196"/>
      <c r="EI46196"/>
      <c r="EJ46196"/>
      <c r="EK46196"/>
    </row>
    <row r="46197" spans="1:141" s="116" customFormat="1">
      <c r="A46197" s="136"/>
      <c r="CM46197" s="111"/>
      <c r="CQ46197" s="111"/>
      <c r="EF46197"/>
      <c r="EG46197"/>
      <c r="EH46197"/>
      <c r="EI46197"/>
      <c r="EJ46197"/>
      <c r="EK46197"/>
    </row>
    <row r="46198" spans="1:141" s="116" customFormat="1">
      <c r="A46198" s="136"/>
      <c r="CM46198" s="111"/>
      <c r="CQ46198" s="111"/>
      <c r="EF46198"/>
      <c r="EG46198"/>
      <c r="EH46198"/>
      <c r="EI46198"/>
      <c r="EJ46198"/>
      <c r="EK46198"/>
    </row>
    <row r="46199" spans="1:141" s="116" customFormat="1">
      <c r="A46199" s="136"/>
      <c r="CM46199" s="111"/>
      <c r="CQ46199" s="111"/>
      <c r="EF46199"/>
      <c r="EG46199"/>
      <c r="EH46199"/>
      <c r="EI46199"/>
      <c r="EJ46199"/>
      <c r="EK46199"/>
    </row>
    <row r="46200" spans="1:141" s="116" customFormat="1">
      <c r="A46200" s="136"/>
      <c r="CM46200" s="111"/>
      <c r="CQ46200" s="111"/>
      <c r="EF46200"/>
      <c r="EG46200"/>
      <c r="EH46200"/>
      <c r="EI46200"/>
      <c r="EJ46200"/>
      <c r="EK46200"/>
    </row>
    <row r="46201" spans="1:141" s="116" customFormat="1">
      <c r="A46201" s="136"/>
      <c r="CM46201" s="111"/>
      <c r="CQ46201" s="111"/>
      <c r="EF46201"/>
      <c r="EG46201"/>
      <c r="EH46201"/>
      <c r="EI46201"/>
      <c r="EJ46201"/>
      <c r="EK46201"/>
    </row>
    <row r="46202" spans="1:141" s="116" customFormat="1">
      <c r="A46202" s="136"/>
      <c r="CM46202" s="111"/>
      <c r="CQ46202" s="111"/>
      <c r="EF46202"/>
      <c r="EG46202"/>
      <c r="EH46202"/>
      <c r="EI46202"/>
      <c r="EJ46202"/>
      <c r="EK46202"/>
    </row>
    <row r="46203" spans="1:141" s="116" customFormat="1">
      <c r="A46203" s="136"/>
      <c r="CM46203" s="111"/>
      <c r="CQ46203" s="111"/>
      <c r="EF46203"/>
      <c r="EG46203"/>
      <c r="EH46203"/>
      <c r="EI46203"/>
      <c r="EJ46203"/>
      <c r="EK46203"/>
    </row>
    <row r="46204" spans="1:141" s="116" customFormat="1">
      <c r="A46204" s="136"/>
      <c r="CM46204" s="111"/>
      <c r="CQ46204" s="111"/>
      <c r="EF46204"/>
      <c r="EG46204"/>
      <c r="EH46204"/>
      <c r="EI46204"/>
      <c r="EJ46204"/>
      <c r="EK46204"/>
    </row>
    <row r="46205" spans="1:141" s="116" customFormat="1">
      <c r="A46205" s="136"/>
      <c r="CM46205" s="111"/>
      <c r="CQ46205" s="111"/>
      <c r="EF46205"/>
      <c r="EG46205"/>
      <c r="EH46205"/>
      <c r="EI46205"/>
      <c r="EJ46205"/>
      <c r="EK46205"/>
    </row>
    <row r="46206" spans="1:141" s="116" customFormat="1">
      <c r="A46206" s="136"/>
      <c r="CM46206" s="111"/>
      <c r="CQ46206" s="111"/>
      <c r="EF46206"/>
      <c r="EG46206"/>
      <c r="EH46206"/>
      <c r="EI46206"/>
      <c r="EJ46206"/>
      <c r="EK46206"/>
    </row>
    <row r="46207" spans="1:141" s="116" customFormat="1">
      <c r="A46207" s="136"/>
      <c r="CM46207" s="111"/>
      <c r="CQ46207" s="111"/>
      <c r="EF46207"/>
      <c r="EG46207"/>
      <c r="EH46207"/>
      <c r="EI46207"/>
      <c r="EJ46207"/>
      <c r="EK46207"/>
    </row>
    <row r="46208" spans="1:141" s="116" customFormat="1">
      <c r="A46208" s="136"/>
      <c r="CM46208" s="111"/>
      <c r="CQ46208" s="111"/>
      <c r="EF46208"/>
      <c r="EG46208"/>
      <c r="EH46208"/>
      <c r="EI46208"/>
      <c r="EJ46208"/>
      <c r="EK46208"/>
    </row>
    <row r="46209" spans="1:141" s="116" customFormat="1">
      <c r="A46209" s="136"/>
      <c r="CM46209" s="111"/>
      <c r="CQ46209" s="111"/>
      <c r="EF46209"/>
      <c r="EG46209"/>
      <c r="EH46209"/>
      <c r="EI46209"/>
      <c r="EJ46209"/>
      <c r="EK46209"/>
    </row>
    <row r="46210" spans="1:141" s="116" customFormat="1">
      <c r="A46210" s="136"/>
      <c r="CM46210" s="111"/>
      <c r="CQ46210" s="111"/>
      <c r="EF46210"/>
      <c r="EG46210"/>
      <c r="EH46210"/>
      <c r="EI46210"/>
      <c r="EJ46210"/>
      <c r="EK46210"/>
    </row>
    <row r="46211" spans="1:141" s="116" customFormat="1">
      <c r="A46211" s="136"/>
      <c r="CM46211" s="111"/>
      <c r="CQ46211" s="111"/>
      <c r="EF46211"/>
      <c r="EG46211"/>
      <c r="EH46211"/>
      <c r="EI46211"/>
      <c r="EJ46211"/>
      <c r="EK46211"/>
    </row>
    <row r="46212" spans="1:141" s="116" customFormat="1">
      <c r="A46212" s="136"/>
      <c r="CM46212" s="111"/>
      <c r="CQ46212" s="111"/>
      <c r="EF46212"/>
      <c r="EG46212"/>
      <c r="EH46212"/>
      <c r="EI46212"/>
      <c r="EJ46212"/>
      <c r="EK46212"/>
    </row>
    <row r="46213" spans="1:141" s="116" customFormat="1">
      <c r="A46213" s="136"/>
      <c r="CM46213" s="111"/>
      <c r="CQ46213" s="111"/>
      <c r="EF46213"/>
      <c r="EG46213"/>
      <c r="EH46213"/>
      <c r="EI46213"/>
      <c r="EJ46213"/>
      <c r="EK46213"/>
    </row>
    <row r="46214" spans="1:141" s="116" customFormat="1">
      <c r="A46214" s="136"/>
      <c r="CM46214" s="111"/>
      <c r="CQ46214" s="111"/>
      <c r="EF46214"/>
      <c r="EG46214"/>
      <c r="EH46214"/>
      <c r="EI46214"/>
      <c r="EJ46214"/>
      <c r="EK46214"/>
    </row>
    <row r="46215" spans="1:141" s="116" customFormat="1">
      <c r="A46215" s="136"/>
      <c r="CM46215" s="111"/>
      <c r="CQ46215" s="111"/>
      <c r="EF46215"/>
      <c r="EG46215"/>
      <c r="EH46215"/>
      <c r="EI46215"/>
      <c r="EJ46215"/>
      <c r="EK46215"/>
    </row>
    <row r="46216" spans="1:141" s="116" customFormat="1">
      <c r="A46216" s="136"/>
      <c r="CM46216" s="111"/>
      <c r="CQ46216" s="111"/>
      <c r="EF46216"/>
      <c r="EG46216"/>
      <c r="EH46216"/>
      <c r="EI46216"/>
      <c r="EJ46216"/>
      <c r="EK46216"/>
    </row>
    <row r="46217" spans="1:141" s="116" customFormat="1">
      <c r="A46217" s="136"/>
      <c r="CM46217" s="111"/>
      <c r="CQ46217" s="111"/>
      <c r="EF46217"/>
      <c r="EG46217"/>
      <c r="EH46217"/>
      <c r="EI46217"/>
      <c r="EJ46217"/>
      <c r="EK46217"/>
    </row>
    <row r="46218" spans="1:141" s="116" customFormat="1">
      <c r="A46218" s="136"/>
      <c r="CM46218" s="111"/>
      <c r="CQ46218" s="111"/>
      <c r="EF46218"/>
      <c r="EG46218"/>
      <c r="EH46218"/>
      <c r="EI46218"/>
      <c r="EJ46218"/>
      <c r="EK46218"/>
    </row>
    <row r="46219" spans="1:141" s="116" customFormat="1">
      <c r="A46219" s="136"/>
      <c r="CM46219" s="111"/>
      <c r="CQ46219" s="111"/>
      <c r="EF46219"/>
      <c r="EG46219"/>
      <c r="EH46219"/>
      <c r="EI46219"/>
      <c r="EJ46219"/>
      <c r="EK46219"/>
    </row>
    <row r="46220" spans="1:141" s="116" customFormat="1">
      <c r="A46220" s="136"/>
      <c r="CM46220" s="111"/>
      <c r="CQ46220" s="111"/>
      <c r="EF46220"/>
      <c r="EG46220"/>
      <c r="EH46220"/>
      <c r="EI46220"/>
      <c r="EJ46220"/>
      <c r="EK46220"/>
    </row>
    <row r="46221" spans="1:141" s="116" customFormat="1">
      <c r="A46221" s="136"/>
      <c r="CM46221" s="111"/>
      <c r="CQ46221" s="111"/>
      <c r="EF46221"/>
      <c r="EG46221"/>
      <c r="EH46221"/>
      <c r="EI46221"/>
      <c r="EJ46221"/>
      <c r="EK46221"/>
    </row>
    <row r="46222" spans="1:141" s="116" customFormat="1">
      <c r="A46222" s="136"/>
      <c r="CM46222" s="111"/>
      <c r="CQ46222" s="111"/>
      <c r="EF46222"/>
      <c r="EG46222"/>
      <c r="EH46222"/>
      <c r="EI46222"/>
      <c r="EJ46222"/>
      <c r="EK46222"/>
    </row>
    <row r="46223" spans="1:141" s="116" customFormat="1">
      <c r="A46223" s="136"/>
      <c r="CM46223" s="111"/>
      <c r="CQ46223" s="111"/>
      <c r="EF46223"/>
      <c r="EG46223"/>
      <c r="EH46223"/>
      <c r="EI46223"/>
      <c r="EJ46223"/>
      <c r="EK46223"/>
    </row>
    <row r="46224" spans="1:141" s="116" customFormat="1">
      <c r="A46224" s="136"/>
      <c r="CM46224" s="111"/>
      <c r="CQ46224" s="111"/>
      <c r="EF46224"/>
      <c r="EG46224"/>
      <c r="EH46224"/>
      <c r="EI46224"/>
      <c r="EJ46224"/>
      <c r="EK46224"/>
    </row>
    <row r="46225" spans="1:141" s="116" customFormat="1">
      <c r="A46225" s="136"/>
      <c r="CM46225" s="111"/>
      <c r="CQ46225" s="111"/>
      <c r="EF46225"/>
      <c r="EG46225"/>
      <c r="EH46225"/>
      <c r="EI46225"/>
      <c r="EJ46225"/>
      <c r="EK46225"/>
    </row>
    <row r="46226" spans="1:141" s="116" customFormat="1">
      <c r="A46226" s="136"/>
      <c r="CM46226" s="111"/>
      <c r="CQ46226" s="111"/>
      <c r="EF46226"/>
      <c r="EG46226"/>
      <c r="EH46226"/>
      <c r="EI46226"/>
      <c r="EJ46226"/>
      <c r="EK46226"/>
    </row>
    <row r="46227" spans="1:141" s="116" customFormat="1">
      <c r="A46227" s="136"/>
      <c r="CM46227" s="111"/>
      <c r="CQ46227" s="111"/>
      <c r="EF46227"/>
      <c r="EG46227"/>
      <c r="EH46227"/>
      <c r="EI46227"/>
      <c r="EJ46227"/>
      <c r="EK46227"/>
    </row>
    <row r="46228" spans="1:141" s="116" customFormat="1">
      <c r="A46228" s="136"/>
      <c r="CM46228" s="111"/>
      <c r="CQ46228" s="111"/>
      <c r="EF46228"/>
      <c r="EG46228"/>
      <c r="EH46228"/>
      <c r="EI46228"/>
      <c r="EJ46228"/>
      <c r="EK46228"/>
    </row>
    <row r="46229" spans="1:141" s="116" customFormat="1">
      <c r="A46229" s="136"/>
      <c r="CM46229" s="111"/>
      <c r="CQ46229" s="111"/>
      <c r="EF46229"/>
      <c r="EG46229"/>
      <c r="EH46229"/>
      <c r="EI46229"/>
      <c r="EJ46229"/>
      <c r="EK46229"/>
    </row>
    <row r="46230" spans="1:141" s="116" customFormat="1">
      <c r="A46230" s="136"/>
      <c r="CM46230" s="111"/>
      <c r="CQ46230" s="111"/>
      <c r="EF46230"/>
      <c r="EG46230"/>
      <c r="EH46230"/>
      <c r="EI46230"/>
      <c r="EJ46230"/>
      <c r="EK46230"/>
    </row>
    <row r="46231" spans="1:141" s="116" customFormat="1">
      <c r="A46231" s="136"/>
      <c r="CM46231" s="111"/>
      <c r="CQ46231" s="111"/>
      <c r="EF46231"/>
      <c r="EG46231"/>
      <c r="EH46231"/>
      <c r="EI46231"/>
      <c r="EJ46231"/>
      <c r="EK46231"/>
    </row>
    <row r="46232" spans="1:141" s="116" customFormat="1">
      <c r="A46232" s="136"/>
      <c r="CM46232" s="111"/>
      <c r="CQ46232" s="111"/>
      <c r="EF46232"/>
      <c r="EG46232"/>
      <c r="EH46232"/>
      <c r="EI46232"/>
      <c r="EJ46232"/>
      <c r="EK46232"/>
    </row>
    <row r="46233" spans="1:141" s="116" customFormat="1">
      <c r="A46233" s="136"/>
      <c r="CM46233" s="111"/>
      <c r="CQ46233" s="111"/>
      <c r="EF46233"/>
      <c r="EG46233"/>
      <c r="EH46233"/>
      <c r="EI46233"/>
      <c r="EJ46233"/>
      <c r="EK46233"/>
    </row>
    <row r="46234" spans="1:141" s="116" customFormat="1">
      <c r="A46234" s="136"/>
      <c r="CM46234" s="111"/>
      <c r="CQ46234" s="111"/>
      <c r="EF46234"/>
      <c r="EG46234"/>
      <c r="EH46234"/>
      <c r="EI46234"/>
      <c r="EJ46234"/>
      <c r="EK46234"/>
    </row>
    <row r="46235" spans="1:141" s="116" customFormat="1">
      <c r="A46235" s="136"/>
      <c r="CM46235" s="111"/>
      <c r="CQ46235" s="111"/>
      <c r="EF46235"/>
      <c r="EG46235"/>
      <c r="EH46235"/>
      <c r="EI46235"/>
      <c r="EJ46235"/>
      <c r="EK46235"/>
    </row>
    <row r="46236" spans="1:141" s="116" customFormat="1">
      <c r="A46236" s="136"/>
      <c r="CM46236" s="111"/>
      <c r="CQ46236" s="111"/>
      <c r="EF46236"/>
      <c r="EG46236"/>
      <c r="EH46236"/>
      <c r="EI46236"/>
      <c r="EJ46236"/>
      <c r="EK46236"/>
    </row>
    <row r="46237" spans="1:141" s="116" customFormat="1">
      <c r="A46237" s="136"/>
      <c r="CM46237" s="111"/>
      <c r="CQ46237" s="111"/>
      <c r="EF46237"/>
      <c r="EG46237"/>
      <c r="EH46237"/>
      <c r="EI46237"/>
      <c r="EJ46237"/>
      <c r="EK46237"/>
    </row>
    <row r="46238" spans="1:141" s="116" customFormat="1">
      <c r="A46238" s="136"/>
      <c r="CM46238" s="111"/>
      <c r="CQ46238" s="111"/>
      <c r="EF46238"/>
      <c r="EG46238"/>
      <c r="EH46238"/>
      <c r="EI46238"/>
      <c r="EJ46238"/>
      <c r="EK46238"/>
    </row>
    <row r="46239" spans="1:141" s="116" customFormat="1">
      <c r="A46239" s="136"/>
      <c r="CM46239" s="111"/>
      <c r="CQ46239" s="111"/>
      <c r="EF46239"/>
      <c r="EG46239"/>
      <c r="EH46239"/>
      <c r="EI46239"/>
      <c r="EJ46239"/>
      <c r="EK46239"/>
    </row>
    <row r="46240" spans="1:141" s="116" customFormat="1">
      <c r="A46240" s="136"/>
      <c r="CM46240" s="111"/>
      <c r="CQ46240" s="111"/>
      <c r="EF46240"/>
      <c r="EG46240"/>
      <c r="EH46240"/>
      <c r="EI46240"/>
      <c r="EJ46240"/>
      <c r="EK46240"/>
    </row>
    <row r="46241" spans="1:141" s="116" customFormat="1">
      <c r="A46241" s="136"/>
      <c r="CM46241" s="111"/>
      <c r="CQ46241" s="111"/>
      <c r="EF46241"/>
      <c r="EG46241"/>
      <c r="EH46241"/>
      <c r="EI46241"/>
      <c r="EJ46241"/>
      <c r="EK46241"/>
    </row>
    <row r="46242" spans="1:141" s="116" customFormat="1">
      <c r="A46242" s="136"/>
      <c r="CM46242" s="111"/>
      <c r="CQ46242" s="111"/>
      <c r="EF46242"/>
      <c r="EG46242"/>
      <c r="EH46242"/>
      <c r="EI46242"/>
      <c r="EJ46242"/>
      <c r="EK46242"/>
    </row>
    <row r="46243" spans="1:141" s="116" customFormat="1">
      <c r="A46243" s="136"/>
      <c r="CM46243" s="111"/>
      <c r="CQ46243" s="111"/>
      <c r="EF46243"/>
      <c r="EG46243"/>
      <c r="EH46243"/>
      <c r="EI46243"/>
      <c r="EJ46243"/>
      <c r="EK46243"/>
    </row>
    <row r="46244" spans="1:141" s="116" customFormat="1">
      <c r="A46244" s="136"/>
      <c r="CM46244" s="111"/>
      <c r="CQ46244" s="111"/>
      <c r="EF46244"/>
      <c r="EG46244"/>
      <c r="EH46244"/>
      <c r="EI46244"/>
      <c r="EJ46244"/>
      <c r="EK46244"/>
    </row>
    <row r="46245" spans="1:141" s="116" customFormat="1">
      <c r="A46245" s="136"/>
      <c r="CM46245" s="111"/>
      <c r="CQ46245" s="111"/>
      <c r="EF46245"/>
      <c r="EG46245"/>
      <c r="EH46245"/>
      <c r="EI46245"/>
      <c r="EJ46245"/>
      <c r="EK46245"/>
    </row>
    <row r="46246" spans="1:141" s="116" customFormat="1">
      <c r="A46246" s="136"/>
      <c r="CM46246" s="111"/>
      <c r="CQ46246" s="111"/>
      <c r="EF46246"/>
      <c r="EG46246"/>
      <c r="EH46246"/>
      <c r="EI46246"/>
      <c r="EJ46246"/>
      <c r="EK46246"/>
    </row>
    <row r="46247" spans="1:141" s="116" customFormat="1">
      <c r="A46247" s="136"/>
      <c r="CM46247" s="111"/>
      <c r="CQ46247" s="111"/>
      <c r="EF46247"/>
      <c r="EG46247"/>
      <c r="EH46247"/>
      <c r="EI46247"/>
      <c r="EJ46247"/>
      <c r="EK46247"/>
    </row>
    <row r="46248" spans="1:141" s="116" customFormat="1">
      <c r="A46248" s="136"/>
      <c r="CM46248" s="111"/>
      <c r="CQ46248" s="111"/>
      <c r="EF46248"/>
      <c r="EG46248"/>
      <c r="EH46248"/>
      <c r="EI46248"/>
      <c r="EJ46248"/>
      <c r="EK46248"/>
    </row>
    <row r="46249" spans="1:141" s="116" customFormat="1">
      <c r="A46249" s="136"/>
      <c r="CM46249" s="111"/>
      <c r="CQ46249" s="111"/>
      <c r="EF46249"/>
      <c r="EG46249"/>
      <c r="EH46249"/>
      <c r="EI46249"/>
      <c r="EJ46249"/>
      <c r="EK46249"/>
    </row>
    <row r="46250" spans="1:141" s="116" customFormat="1">
      <c r="A46250" s="136"/>
      <c r="CM46250" s="111"/>
      <c r="CQ46250" s="111"/>
      <c r="EF46250"/>
      <c r="EG46250"/>
      <c r="EH46250"/>
      <c r="EI46250"/>
      <c r="EJ46250"/>
      <c r="EK46250"/>
    </row>
    <row r="46251" spans="1:141" s="116" customFormat="1">
      <c r="A46251" s="136"/>
      <c r="CM46251" s="111"/>
      <c r="CQ46251" s="111"/>
      <c r="EF46251"/>
      <c r="EG46251"/>
      <c r="EH46251"/>
      <c r="EI46251"/>
      <c r="EJ46251"/>
      <c r="EK46251"/>
    </row>
    <row r="46252" spans="1:141" s="116" customFormat="1">
      <c r="A46252" s="136"/>
      <c r="CM46252" s="111"/>
      <c r="CQ46252" s="111"/>
      <c r="EF46252"/>
      <c r="EG46252"/>
      <c r="EH46252"/>
      <c r="EI46252"/>
      <c r="EJ46252"/>
      <c r="EK46252"/>
    </row>
    <row r="46253" spans="1:141" s="116" customFormat="1">
      <c r="A46253" s="136"/>
      <c r="CM46253" s="111"/>
      <c r="CQ46253" s="111"/>
      <c r="EF46253"/>
      <c r="EG46253"/>
      <c r="EH46253"/>
      <c r="EI46253"/>
      <c r="EJ46253"/>
      <c r="EK46253"/>
    </row>
    <row r="46254" spans="1:141" s="116" customFormat="1">
      <c r="A46254" s="136"/>
      <c r="CM46254" s="111"/>
      <c r="CQ46254" s="111"/>
      <c r="EF46254"/>
      <c r="EG46254"/>
      <c r="EH46254"/>
      <c r="EI46254"/>
      <c r="EJ46254"/>
      <c r="EK46254"/>
    </row>
    <row r="46255" spans="1:141" s="116" customFormat="1">
      <c r="A46255" s="136"/>
      <c r="CM46255" s="111"/>
      <c r="CQ46255" s="111"/>
      <c r="EF46255"/>
      <c r="EG46255"/>
      <c r="EH46255"/>
      <c r="EI46255"/>
      <c r="EJ46255"/>
      <c r="EK46255"/>
    </row>
    <row r="46256" spans="1:141" s="116" customFormat="1">
      <c r="A46256" s="136"/>
      <c r="CM46256" s="111"/>
      <c r="CQ46256" s="111"/>
      <c r="EF46256"/>
      <c r="EG46256"/>
      <c r="EH46256"/>
      <c r="EI46256"/>
      <c r="EJ46256"/>
      <c r="EK46256"/>
    </row>
    <row r="46257" spans="1:141" s="116" customFormat="1">
      <c r="A46257" s="136"/>
      <c r="CM46257" s="111"/>
      <c r="CQ46257" s="111"/>
      <c r="EF46257"/>
      <c r="EG46257"/>
      <c r="EH46257"/>
      <c r="EI46257"/>
      <c r="EJ46257"/>
      <c r="EK46257"/>
    </row>
    <row r="46258" spans="1:141" s="116" customFormat="1">
      <c r="A46258" s="136"/>
      <c r="CM46258" s="111"/>
      <c r="CQ46258" s="111"/>
      <c r="EF46258"/>
      <c r="EG46258"/>
      <c r="EH46258"/>
      <c r="EI46258"/>
      <c r="EJ46258"/>
      <c r="EK46258"/>
    </row>
    <row r="46259" spans="1:141" s="116" customFormat="1">
      <c r="A46259" s="136"/>
      <c r="CM46259" s="111"/>
      <c r="CQ46259" s="111"/>
      <c r="EF46259"/>
      <c r="EG46259"/>
      <c r="EH46259"/>
      <c r="EI46259"/>
      <c r="EJ46259"/>
      <c r="EK46259"/>
    </row>
    <row r="46260" spans="1:141" s="116" customFormat="1">
      <c r="A46260" s="136"/>
      <c r="CM46260" s="111"/>
      <c r="CQ46260" s="111"/>
      <c r="EF46260"/>
      <c r="EG46260"/>
      <c r="EH46260"/>
      <c r="EI46260"/>
      <c r="EJ46260"/>
      <c r="EK46260"/>
    </row>
    <row r="46261" spans="1:141" s="116" customFormat="1">
      <c r="A46261" s="136"/>
      <c r="CM46261" s="111"/>
      <c r="CQ46261" s="111"/>
      <c r="EF46261"/>
      <c r="EG46261"/>
      <c r="EH46261"/>
      <c r="EI46261"/>
      <c r="EJ46261"/>
      <c r="EK46261"/>
    </row>
    <row r="46262" spans="1:141" s="116" customFormat="1">
      <c r="A46262" s="136"/>
      <c r="CM46262" s="111"/>
      <c r="CQ46262" s="111"/>
      <c r="EF46262"/>
      <c r="EG46262"/>
      <c r="EH46262"/>
      <c r="EI46262"/>
      <c r="EJ46262"/>
      <c r="EK46262"/>
    </row>
    <row r="46263" spans="1:141" s="116" customFormat="1">
      <c r="A46263" s="136"/>
      <c r="CM46263" s="111"/>
      <c r="CQ46263" s="111"/>
      <c r="EF46263"/>
      <c r="EG46263"/>
      <c r="EH46263"/>
      <c r="EI46263"/>
      <c r="EJ46263"/>
      <c r="EK46263"/>
    </row>
    <row r="46264" spans="1:141" s="116" customFormat="1">
      <c r="A46264" s="136"/>
      <c r="CM46264" s="111"/>
      <c r="CQ46264" s="111"/>
      <c r="EF46264"/>
      <c r="EG46264"/>
      <c r="EH46264"/>
      <c r="EI46264"/>
      <c r="EJ46264"/>
      <c r="EK46264"/>
    </row>
    <row r="46265" spans="1:141" s="116" customFormat="1">
      <c r="A46265" s="136"/>
      <c r="CM46265" s="111"/>
      <c r="CQ46265" s="111"/>
      <c r="EF46265"/>
      <c r="EG46265"/>
      <c r="EH46265"/>
      <c r="EI46265"/>
      <c r="EJ46265"/>
      <c r="EK46265"/>
    </row>
    <row r="46266" spans="1:141" s="116" customFormat="1">
      <c r="A46266" s="136"/>
      <c r="CM46266" s="111"/>
      <c r="CQ46266" s="111"/>
      <c r="EF46266"/>
      <c r="EG46266"/>
      <c r="EH46266"/>
      <c r="EI46266"/>
      <c r="EJ46266"/>
      <c r="EK46266"/>
    </row>
    <row r="46267" spans="1:141" s="116" customFormat="1">
      <c r="A46267" s="136"/>
      <c r="CM46267" s="111"/>
      <c r="CQ46267" s="111"/>
      <c r="EF46267"/>
      <c r="EG46267"/>
      <c r="EH46267"/>
      <c r="EI46267"/>
      <c r="EJ46267"/>
      <c r="EK46267"/>
    </row>
    <row r="46268" spans="1:141" s="116" customFormat="1">
      <c r="A46268" s="136"/>
      <c r="CM46268" s="111"/>
      <c r="CQ46268" s="111"/>
      <c r="EF46268"/>
      <c r="EG46268"/>
      <c r="EH46268"/>
      <c r="EI46268"/>
      <c r="EJ46268"/>
      <c r="EK46268"/>
    </row>
    <row r="46269" spans="1:141" s="116" customFormat="1">
      <c r="A46269" s="136"/>
      <c r="CM46269" s="111"/>
      <c r="CQ46269" s="111"/>
      <c r="EF46269"/>
      <c r="EG46269"/>
      <c r="EH46269"/>
      <c r="EI46269"/>
      <c r="EJ46269"/>
      <c r="EK46269"/>
    </row>
    <row r="46270" spans="1:141" s="116" customFormat="1">
      <c r="A46270" s="136"/>
      <c r="CM46270" s="111"/>
      <c r="CQ46270" s="111"/>
      <c r="EF46270"/>
      <c r="EG46270"/>
      <c r="EH46270"/>
      <c r="EI46270"/>
      <c r="EJ46270"/>
      <c r="EK46270"/>
    </row>
    <row r="46271" spans="1:141" s="116" customFormat="1">
      <c r="A46271" s="136"/>
      <c r="CM46271" s="111"/>
      <c r="CQ46271" s="111"/>
      <c r="EF46271"/>
      <c r="EG46271"/>
      <c r="EH46271"/>
      <c r="EI46271"/>
      <c r="EJ46271"/>
      <c r="EK46271"/>
    </row>
    <row r="46272" spans="1:141" s="116" customFormat="1">
      <c r="A46272" s="136"/>
      <c r="CM46272" s="111"/>
      <c r="CQ46272" s="111"/>
      <c r="EF46272"/>
      <c r="EG46272"/>
      <c r="EH46272"/>
      <c r="EI46272"/>
      <c r="EJ46272"/>
      <c r="EK46272"/>
    </row>
    <row r="46273" spans="1:141" s="116" customFormat="1">
      <c r="A46273" s="136"/>
      <c r="CM46273" s="111"/>
      <c r="CQ46273" s="111"/>
      <c r="EF46273"/>
      <c r="EG46273"/>
      <c r="EH46273"/>
      <c r="EI46273"/>
      <c r="EJ46273"/>
      <c r="EK46273"/>
    </row>
    <row r="46274" spans="1:141" s="116" customFormat="1">
      <c r="A46274" s="136"/>
      <c r="CM46274" s="111"/>
      <c r="CQ46274" s="111"/>
      <c r="EF46274"/>
      <c r="EG46274"/>
      <c r="EH46274"/>
      <c r="EI46274"/>
      <c r="EJ46274"/>
      <c r="EK46274"/>
    </row>
    <row r="46275" spans="1:141" s="116" customFormat="1">
      <c r="A46275" s="136"/>
      <c r="CM46275" s="111"/>
      <c r="CQ46275" s="111"/>
      <c r="EF46275"/>
      <c r="EG46275"/>
      <c r="EH46275"/>
      <c r="EI46275"/>
      <c r="EJ46275"/>
      <c r="EK46275"/>
    </row>
    <row r="46276" spans="1:141" s="116" customFormat="1">
      <c r="A46276" s="136"/>
      <c r="CM46276" s="111"/>
      <c r="CQ46276" s="111"/>
      <c r="EF46276"/>
      <c r="EG46276"/>
      <c r="EH46276"/>
      <c r="EI46276"/>
      <c r="EJ46276"/>
      <c r="EK46276"/>
    </row>
    <row r="46277" spans="1:141" s="116" customFormat="1">
      <c r="A46277" s="136"/>
      <c r="CM46277" s="111"/>
      <c r="CQ46277" s="111"/>
      <c r="EF46277"/>
      <c r="EG46277"/>
      <c r="EH46277"/>
      <c r="EI46277"/>
      <c r="EJ46277"/>
      <c r="EK46277"/>
    </row>
    <row r="46278" spans="1:141" s="116" customFormat="1">
      <c r="A46278" s="136"/>
      <c r="CM46278" s="111"/>
      <c r="CQ46278" s="111"/>
      <c r="EF46278"/>
      <c r="EG46278"/>
      <c r="EH46278"/>
      <c r="EI46278"/>
      <c r="EJ46278"/>
      <c r="EK46278"/>
    </row>
    <row r="46279" spans="1:141" s="116" customFormat="1">
      <c r="A46279" s="136"/>
      <c r="CM46279" s="111"/>
      <c r="CQ46279" s="111"/>
      <c r="EF46279"/>
      <c r="EG46279"/>
      <c r="EH46279"/>
      <c r="EI46279"/>
      <c r="EJ46279"/>
      <c r="EK46279"/>
    </row>
    <row r="46280" spans="1:141" s="116" customFormat="1">
      <c r="A46280" s="136"/>
      <c r="CM46280" s="111"/>
      <c r="CQ46280" s="111"/>
      <c r="EF46280"/>
      <c r="EG46280"/>
      <c r="EH46280"/>
      <c r="EI46280"/>
      <c r="EJ46280"/>
      <c r="EK46280"/>
    </row>
    <row r="46281" spans="1:141" s="116" customFormat="1">
      <c r="A46281" s="136"/>
      <c r="CM46281" s="111"/>
      <c r="CQ46281" s="111"/>
      <c r="EF46281"/>
      <c r="EG46281"/>
      <c r="EH46281"/>
      <c r="EI46281"/>
      <c r="EJ46281"/>
      <c r="EK46281"/>
    </row>
    <row r="46282" spans="1:141" s="116" customFormat="1">
      <c r="A46282" s="136"/>
      <c r="CM46282" s="111"/>
      <c r="CQ46282" s="111"/>
      <c r="EF46282"/>
      <c r="EG46282"/>
      <c r="EH46282"/>
      <c r="EI46282"/>
      <c r="EJ46282"/>
      <c r="EK46282"/>
    </row>
    <row r="46283" spans="1:141" s="116" customFormat="1">
      <c r="A46283" s="136"/>
      <c r="CM46283" s="111"/>
      <c r="CQ46283" s="111"/>
      <c r="EF46283"/>
      <c r="EG46283"/>
      <c r="EH46283"/>
      <c r="EI46283"/>
      <c r="EJ46283"/>
      <c r="EK46283"/>
    </row>
    <row r="46284" spans="1:141" s="116" customFormat="1">
      <c r="A46284" s="136"/>
      <c r="CM46284" s="111"/>
      <c r="CQ46284" s="111"/>
      <c r="EF46284"/>
      <c r="EG46284"/>
      <c r="EH46284"/>
      <c r="EI46284"/>
      <c r="EJ46284"/>
      <c r="EK46284"/>
    </row>
    <row r="46285" spans="1:141" s="116" customFormat="1">
      <c r="A46285" s="136"/>
      <c r="CM46285" s="111"/>
      <c r="CQ46285" s="111"/>
      <c r="EF46285"/>
      <c r="EG46285"/>
      <c r="EH46285"/>
      <c r="EI46285"/>
      <c r="EJ46285"/>
      <c r="EK46285"/>
    </row>
    <row r="46286" spans="1:141" s="116" customFormat="1">
      <c r="A46286" s="136"/>
      <c r="CM46286" s="111"/>
      <c r="CQ46286" s="111"/>
      <c r="EF46286"/>
      <c r="EG46286"/>
      <c r="EH46286"/>
      <c r="EI46286"/>
      <c r="EJ46286"/>
      <c r="EK46286"/>
    </row>
    <row r="46287" spans="1:141" s="116" customFormat="1">
      <c r="A46287" s="136"/>
      <c r="CM46287" s="111"/>
      <c r="CQ46287" s="111"/>
      <c r="EF46287"/>
      <c r="EG46287"/>
      <c r="EH46287"/>
      <c r="EI46287"/>
      <c r="EJ46287"/>
      <c r="EK46287"/>
    </row>
    <row r="46288" spans="1:141" s="116" customFormat="1">
      <c r="A46288" s="136"/>
      <c r="CM46288" s="111"/>
      <c r="CQ46288" s="111"/>
      <c r="EF46288"/>
      <c r="EG46288"/>
      <c r="EH46288"/>
      <c r="EI46288"/>
      <c r="EJ46288"/>
      <c r="EK46288"/>
    </row>
    <row r="46289" spans="1:141" s="116" customFormat="1">
      <c r="A46289" s="136"/>
      <c r="CM46289" s="111"/>
      <c r="CQ46289" s="111"/>
      <c r="EF46289"/>
      <c r="EG46289"/>
      <c r="EH46289"/>
      <c r="EI46289"/>
      <c r="EJ46289"/>
      <c r="EK46289"/>
    </row>
    <row r="46290" spans="1:141" s="116" customFormat="1">
      <c r="A46290" s="136"/>
      <c r="CM46290" s="111"/>
      <c r="CQ46290" s="111"/>
      <c r="EF46290"/>
      <c r="EG46290"/>
      <c r="EH46290"/>
      <c r="EI46290"/>
      <c r="EJ46290"/>
      <c r="EK46290"/>
    </row>
    <row r="46291" spans="1:141" s="116" customFormat="1">
      <c r="A46291" s="136"/>
      <c r="CM46291" s="111"/>
      <c r="CQ46291" s="111"/>
      <c r="EF46291"/>
      <c r="EG46291"/>
      <c r="EH46291"/>
      <c r="EI46291"/>
      <c r="EJ46291"/>
      <c r="EK46291"/>
    </row>
    <row r="46292" spans="1:141" s="116" customFormat="1">
      <c r="A46292" s="136"/>
      <c r="CM46292" s="111"/>
      <c r="CQ46292" s="111"/>
      <c r="EF46292"/>
      <c r="EG46292"/>
      <c r="EH46292"/>
      <c r="EI46292"/>
      <c r="EJ46292"/>
      <c r="EK46292"/>
    </row>
    <row r="46293" spans="1:141" s="116" customFormat="1">
      <c r="A46293" s="136"/>
      <c r="CM46293" s="111"/>
      <c r="CQ46293" s="111"/>
      <c r="EF46293"/>
      <c r="EG46293"/>
      <c r="EH46293"/>
      <c r="EI46293"/>
      <c r="EJ46293"/>
      <c r="EK46293"/>
    </row>
    <row r="46294" spans="1:141" s="116" customFormat="1">
      <c r="A46294" s="136"/>
      <c r="CM46294" s="111"/>
      <c r="CQ46294" s="111"/>
      <c r="EF46294"/>
      <c r="EG46294"/>
      <c r="EH46294"/>
      <c r="EI46294"/>
      <c r="EJ46294"/>
      <c r="EK46294"/>
    </row>
    <row r="46295" spans="1:141" s="116" customFormat="1">
      <c r="A46295" s="136"/>
      <c r="CM46295" s="111"/>
      <c r="CQ46295" s="111"/>
      <c r="EF46295"/>
      <c r="EG46295"/>
      <c r="EH46295"/>
      <c r="EI46295"/>
      <c r="EJ46295"/>
      <c r="EK46295"/>
    </row>
    <row r="46296" spans="1:141" s="116" customFormat="1">
      <c r="A46296" s="136"/>
      <c r="CM46296" s="111"/>
      <c r="CQ46296" s="111"/>
      <c r="EF46296"/>
      <c r="EG46296"/>
      <c r="EH46296"/>
      <c r="EI46296"/>
      <c r="EJ46296"/>
      <c r="EK46296"/>
    </row>
    <row r="46297" spans="1:141" s="116" customFormat="1">
      <c r="A46297" s="136"/>
      <c r="CM46297" s="111"/>
      <c r="CQ46297" s="111"/>
      <c r="EF46297"/>
      <c r="EG46297"/>
      <c r="EH46297"/>
      <c r="EI46297"/>
      <c r="EJ46297"/>
      <c r="EK46297"/>
    </row>
    <row r="46298" spans="1:141" s="116" customFormat="1">
      <c r="A46298" s="136"/>
      <c r="CM46298" s="111"/>
      <c r="CQ46298" s="111"/>
      <c r="EF46298"/>
      <c r="EG46298"/>
      <c r="EH46298"/>
      <c r="EI46298"/>
      <c r="EJ46298"/>
      <c r="EK46298"/>
    </row>
    <row r="46299" spans="1:141" s="116" customFormat="1">
      <c r="A46299" s="136"/>
      <c r="CM46299" s="111"/>
      <c r="CQ46299" s="111"/>
      <c r="EF46299"/>
      <c r="EG46299"/>
      <c r="EH46299"/>
      <c r="EI46299"/>
      <c r="EJ46299"/>
      <c r="EK46299"/>
    </row>
    <row r="46300" spans="1:141" s="116" customFormat="1">
      <c r="A46300" s="136"/>
      <c r="CM46300" s="111"/>
      <c r="CQ46300" s="111"/>
      <c r="EF46300"/>
      <c r="EG46300"/>
      <c r="EH46300"/>
      <c r="EI46300"/>
      <c r="EJ46300"/>
      <c r="EK46300"/>
    </row>
    <row r="46301" spans="1:141" s="116" customFormat="1">
      <c r="A46301" s="136"/>
      <c r="CM46301" s="111"/>
      <c r="CQ46301" s="111"/>
      <c r="EF46301"/>
      <c r="EG46301"/>
      <c r="EH46301"/>
      <c r="EI46301"/>
      <c r="EJ46301"/>
      <c r="EK46301"/>
    </row>
    <row r="46302" spans="1:141" s="116" customFormat="1">
      <c r="A46302" s="136"/>
      <c r="CM46302" s="111"/>
      <c r="CQ46302" s="111"/>
      <c r="EF46302"/>
      <c r="EG46302"/>
      <c r="EH46302"/>
      <c r="EI46302"/>
      <c r="EJ46302"/>
      <c r="EK46302"/>
    </row>
    <row r="46303" spans="1:141" s="116" customFormat="1">
      <c r="A46303" s="136"/>
      <c r="CM46303" s="111"/>
      <c r="CQ46303" s="111"/>
      <c r="EF46303"/>
      <c r="EG46303"/>
      <c r="EH46303"/>
      <c r="EI46303"/>
      <c r="EJ46303"/>
      <c r="EK46303"/>
    </row>
    <row r="46304" spans="1:141" s="116" customFormat="1">
      <c r="A46304" s="136"/>
      <c r="CM46304" s="111"/>
      <c r="CQ46304" s="111"/>
      <c r="EF46304"/>
      <c r="EG46304"/>
      <c r="EH46304"/>
      <c r="EI46304"/>
      <c r="EJ46304"/>
      <c r="EK46304"/>
    </row>
    <row r="46305" spans="1:141" s="116" customFormat="1">
      <c r="A46305" s="136"/>
      <c r="CM46305" s="111"/>
      <c r="CQ46305" s="111"/>
      <c r="EF46305"/>
      <c r="EG46305"/>
      <c r="EH46305"/>
      <c r="EI46305"/>
      <c r="EJ46305"/>
      <c r="EK46305"/>
    </row>
    <row r="46306" spans="1:141" s="116" customFormat="1">
      <c r="A46306" s="136"/>
      <c r="CM46306" s="111"/>
      <c r="CQ46306" s="111"/>
      <c r="EF46306"/>
      <c r="EG46306"/>
      <c r="EH46306"/>
      <c r="EI46306"/>
      <c r="EJ46306"/>
      <c r="EK46306"/>
    </row>
    <row r="46307" spans="1:141" s="116" customFormat="1">
      <c r="A46307" s="136"/>
      <c r="CM46307" s="111"/>
      <c r="CQ46307" s="111"/>
      <c r="EF46307"/>
      <c r="EG46307"/>
      <c r="EH46307"/>
      <c r="EI46307"/>
      <c r="EJ46307"/>
      <c r="EK46307"/>
    </row>
    <row r="46308" spans="1:141" s="116" customFormat="1">
      <c r="A46308" s="136"/>
      <c r="CM46308" s="111"/>
      <c r="CQ46308" s="111"/>
      <c r="EF46308"/>
      <c r="EG46308"/>
      <c r="EH46308"/>
      <c r="EI46308"/>
      <c r="EJ46308"/>
      <c r="EK46308"/>
    </row>
    <row r="46309" spans="1:141" s="116" customFormat="1">
      <c r="A46309" s="136"/>
      <c r="CM46309" s="111"/>
      <c r="CQ46309" s="111"/>
      <c r="EF46309"/>
      <c r="EG46309"/>
      <c r="EH46309"/>
      <c r="EI46309"/>
      <c r="EJ46309"/>
      <c r="EK46309"/>
    </row>
    <row r="46310" spans="1:141" s="116" customFormat="1">
      <c r="A46310" s="136"/>
      <c r="CM46310" s="111"/>
      <c r="CQ46310" s="111"/>
      <c r="EF46310"/>
      <c r="EG46310"/>
      <c r="EH46310"/>
      <c r="EI46310"/>
      <c r="EJ46310"/>
      <c r="EK46310"/>
    </row>
    <row r="46311" spans="1:141" s="116" customFormat="1">
      <c r="A46311" s="136"/>
      <c r="CM46311" s="111"/>
      <c r="CQ46311" s="111"/>
      <c r="EF46311"/>
      <c r="EG46311"/>
      <c r="EH46311"/>
      <c r="EI46311"/>
      <c r="EJ46311"/>
      <c r="EK46311"/>
    </row>
    <row r="46312" spans="1:141" s="116" customFormat="1">
      <c r="A46312" s="136"/>
      <c r="CM46312" s="111"/>
      <c r="CQ46312" s="111"/>
      <c r="EF46312"/>
      <c r="EG46312"/>
      <c r="EH46312"/>
      <c r="EI46312"/>
      <c r="EJ46312"/>
      <c r="EK46312"/>
    </row>
    <row r="46313" spans="1:141" s="116" customFormat="1">
      <c r="A46313" s="136"/>
      <c r="CM46313" s="111"/>
      <c r="CQ46313" s="111"/>
      <c r="EF46313"/>
      <c r="EG46313"/>
      <c r="EH46313"/>
      <c r="EI46313"/>
      <c r="EJ46313"/>
      <c r="EK46313"/>
    </row>
    <row r="46314" spans="1:141" s="116" customFormat="1">
      <c r="A46314" s="136"/>
      <c r="CM46314" s="111"/>
      <c r="CQ46314" s="111"/>
      <c r="EF46314"/>
      <c r="EG46314"/>
      <c r="EH46314"/>
      <c r="EI46314"/>
      <c r="EJ46314"/>
      <c r="EK46314"/>
    </row>
    <row r="46315" spans="1:141" s="116" customFormat="1">
      <c r="A46315" s="136"/>
      <c r="CM46315" s="111"/>
      <c r="CQ46315" s="111"/>
      <c r="EF46315"/>
      <c r="EG46315"/>
      <c r="EH46315"/>
      <c r="EI46315"/>
      <c r="EJ46315"/>
      <c r="EK46315"/>
    </row>
    <row r="46316" spans="1:141" s="116" customFormat="1">
      <c r="A46316" s="136"/>
      <c r="CM46316" s="111"/>
      <c r="CQ46316" s="111"/>
      <c r="EF46316"/>
      <c r="EG46316"/>
      <c r="EH46316"/>
      <c r="EI46316"/>
      <c r="EJ46316"/>
      <c r="EK46316"/>
    </row>
    <row r="46317" spans="1:141" s="116" customFormat="1">
      <c r="A46317" s="136"/>
      <c r="CM46317" s="111"/>
      <c r="CQ46317" s="111"/>
      <c r="EF46317"/>
      <c r="EG46317"/>
      <c r="EH46317"/>
      <c r="EI46317"/>
      <c r="EJ46317"/>
      <c r="EK46317"/>
    </row>
    <row r="46318" spans="1:141" s="116" customFormat="1">
      <c r="A46318" s="136"/>
      <c r="CM46318" s="111"/>
      <c r="CQ46318" s="111"/>
      <c r="EF46318"/>
      <c r="EG46318"/>
      <c r="EH46318"/>
      <c r="EI46318"/>
      <c r="EJ46318"/>
      <c r="EK46318"/>
    </row>
    <row r="46319" spans="1:141" s="116" customFormat="1">
      <c r="A46319" s="136"/>
      <c r="CM46319" s="111"/>
      <c r="CQ46319" s="111"/>
      <c r="EF46319"/>
      <c r="EG46319"/>
      <c r="EH46319"/>
      <c r="EI46319"/>
      <c r="EJ46319"/>
      <c r="EK46319"/>
    </row>
    <row r="46320" spans="1:141" s="116" customFormat="1">
      <c r="A46320" s="136"/>
      <c r="CM46320" s="111"/>
      <c r="CQ46320" s="111"/>
      <c r="EF46320"/>
      <c r="EG46320"/>
      <c r="EH46320"/>
      <c r="EI46320"/>
      <c r="EJ46320"/>
      <c r="EK46320"/>
    </row>
    <row r="46321" spans="1:141" s="116" customFormat="1">
      <c r="A46321" s="136"/>
      <c r="CM46321" s="111"/>
      <c r="CQ46321" s="111"/>
      <c r="EF46321"/>
      <c r="EG46321"/>
      <c r="EH46321"/>
      <c r="EI46321"/>
      <c r="EJ46321"/>
      <c r="EK46321"/>
    </row>
    <row r="46322" spans="1:141" s="116" customFormat="1">
      <c r="A46322" s="136"/>
      <c r="CM46322" s="111"/>
      <c r="CQ46322" s="111"/>
      <c r="EF46322"/>
      <c r="EG46322"/>
      <c r="EH46322"/>
      <c r="EI46322"/>
      <c r="EJ46322"/>
      <c r="EK46322"/>
    </row>
    <row r="46323" spans="1:141" s="116" customFormat="1">
      <c r="A46323" s="136"/>
      <c r="CM46323" s="111"/>
      <c r="CQ46323" s="111"/>
      <c r="EF46323"/>
      <c r="EG46323"/>
      <c r="EH46323"/>
      <c r="EI46323"/>
      <c r="EJ46323"/>
      <c r="EK46323"/>
    </row>
    <row r="46324" spans="1:141" s="116" customFormat="1">
      <c r="A46324" s="136"/>
      <c r="CM46324" s="111"/>
      <c r="CQ46324" s="111"/>
      <c r="EF46324"/>
      <c r="EG46324"/>
      <c r="EH46324"/>
      <c r="EI46324"/>
      <c r="EJ46324"/>
      <c r="EK46324"/>
    </row>
    <row r="46325" spans="1:141" s="116" customFormat="1">
      <c r="A46325" s="136"/>
      <c r="CM46325" s="111"/>
      <c r="CQ46325" s="111"/>
      <c r="EF46325"/>
      <c r="EG46325"/>
      <c r="EH46325"/>
      <c r="EI46325"/>
      <c r="EJ46325"/>
      <c r="EK46325"/>
    </row>
    <row r="46326" spans="1:141" s="116" customFormat="1">
      <c r="A46326" s="136"/>
      <c r="CM46326" s="111"/>
      <c r="CQ46326" s="111"/>
      <c r="EF46326"/>
      <c r="EG46326"/>
      <c r="EH46326"/>
      <c r="EI46326"/>
      <c r="EJ46326"/>
      <c r="EK46326"/>
    </row>
    <row r="46327" spans="1:141" s="116" customFormat="1">
      <c r="A46327" s="136"/>
      <c r="CM46327" s="111"/>
      <c r="CQ46327" s="111"/>
      <c r="EF46327"/>
      <c r="EG46327"/>
      <c r="EH46327"/>
      <c r="EI46327"/>
      <c r="EJ46327"/>
      <c r="EK46327"/>
    </row>
    <row r="46328" spans="1:141" s="116" customFormat="1">
      <c r="A46328" s="136"/>
      <c r="CM46328" s="111"/>
      <c r="CQ46328" s="111"/>
      <c r="EF46328"/>
      <c r="EG46328"/>
      <c r="EH46328"/>
      <c r="EI46328"/>
      <c r="EJ46328"/>
      <c r="EK46328"/>
    </row>
    <row r="46329" spans="1:141" s="116" customFormat="1">
      <c r="A46329" s="136"/>
      <c r="CM46329" s="111"/>
      <c r="CQ46329" s="111"/>
      <c r="EF46329"/>
      <c r="EG46329"/>
      <c r="EH46329"/>
      <c r="EI46329"/>
      <c r="EJ46329"/>
      <c r="EK46329"/>
    </row>
    <row r="46330" spans="1:141" s="116" customFormat="1">
      <c r="A46330" s="136"/>
      <c r="CM46330" s="111"/>
      <c r="CQ46330" s="111"/>
      <c r="EF46330"/>
      <c r="EG46330"/>
      <c r="EH46330"/>
      <c r="EI46330"/>
      <c r="EJ46330"/>
      <c r="EK46330"/>
    </row>
    <row r="46331" spans="1:141" s="116" customFormat="1">
      <c r="A46331" s="136"/>
      <c r="CM46331" s="111"/>
      <c r="CQ46331" s="111"/>
      <c r="EF46331"/>
      <c r="EG46331"/>
      <c r="EH46331"/>
      <c r="EI46331"/>
      <c r="EJ46331"/>
      <c r="EK46331"/>
    </row>
    <row r="46332" spans="1:141" s="116" customFormat="1">
      <c r="A46332" s="136"/>
      <c r="CM46332" s="111"/>
      <c r="CQ46332" s="111"/>
      <c r="EF46332"/>
      <c r="EG46332"/>
      <c r="EH46332"/>
      <c r="EI46332"/>
      <c r="EJ46332"/>
      <c r="EK46332"/>
    </row>
    <row r="46333" spans="1:141" s="116" customFormat="1">
      <c r="A46333" s="136"/>
      <c r="CM46333" s="111"/>
      <c r="CQ46333" s="111"/>
      <c r="EF46333"/>
      <c r="EG46333"/>
      <c r="EH46333"/>
      <c r="EI46333"/>
      <c r="EJ46333"/>
      <c r="EK46333"/>
    </row>
    <row r="46334" spans="1:141" s="116" customFormat="1">
      <c r="A46334" s="136"/>
      <c r="CM46334" s="111"/>
      <c r="CQ46334" s="111"/>
      <c r="EF46334"/>
      <c r="EG46334"/>
      <c r="EH46334"/>
      <c r="EI46334"/>
      <c r="EJ46334"/>
      <c r="EK46334"/>
    </row>
    <row r="46335" spans="1:141" s="116" customFormat="1">
      <c r="A46335" s="136"/>
      <c r="CM46335" s="111"/>
      <c r="CQ46335" s="111"/>
      <c r="EF46335"/>
      <c r="EG46335"/>
      <c r="EH46335"/>
      <c r="EI46335"/>
      <c r="EJ46335"/>
      <c r="EK46335"/>
    </row>
    <row r="46336" spans="1:141" s="116" customFormat="1">
      <c r="A46336" s="136"/>
      <c r="CM46336" s="111"/>
      <c r="CQ46336" s="111"/>
      <c r="EF46336"/>
      <c r="EG46336"/>
      <c r="EH46336"/>
      <c r="EI46336"/>
      <c r="EJ46336"/>
      <c r="EK46336"/>
    </row>
    <row r="46337" spans="1:141" s="116" customFormat="1">
      <c r="A46337" s="136"/>
      <c r="CM46337" s="111"/>
      <c r="CQ46337" s="111"/>
      <c r="EF46337"/>
      <c r="EG46337"/>
      <c r="EH46337"/>
      <c r="EI46337"/>
      <c r="EJ46337"/>
      <c r="EK46337"/>
    </row>
    <row r="46338" spans="1:141" s="116" customFormat="1">
      <c r="A46338" s="136"/>
      <c r="CM46338" s="111"/>
      <c r="CQ46338" s="111"/>
      <c r="EF46338"/>
      <c r="EG46338"/>
      <c r="EH46338"/>
      <c r="EI46338"/>
      <c r="EJ46338"/>
      <c r="EK46338"/>
    </row>
    <row r="46339" spans="1:141" s="116" customFormat="1">
      <c r="A46339" s="136"/>
      <c r="CM46339" s="111"/>
      <c r="CQ46339" s="111"/>
      <c r="EF46339"/>
      <c r="EG46339"/>
      <c r="EH46339"/>
      <c r="EI46339"/>
      <c r="EJ46339"/>
      <c r="EK46339"/>
    </row>
    <row r="46340" spans="1:141" s="116" customFormat="1">
      <c r="A46340" s="136"/>
      <c r="CM46340" s="111"/>
      <c r="CQ46340" s="111"/>
      <c r="EF46340"/>
      <c r="EG46340"/>
      <c r="EH46340"/>
      <c r="EI46340"/>
      <c r="EJ46340"/>
      <c r="EK46340"/>
    </row>
    <row r="46341" spans="1:141" s="116" customFormat="1">
      <c r="A46341" s="136"/>
      <c r="CM46341" s="111"/>
      <c r="CQ46341" s="111"/>
      <c r="EF46341"/>
      <c r="EG46341"/>
      <c r="EH46341"/>
      <c r="EI46341"/>
      <c r="EJ46341"/>
      <c r="EK46341"/>
    </row>
    <row r="46342" spans="1:141" s="116" customFormat="1">
      <c r="A46342" s="136"/>
      <c r="CM46342" s="111"/>
      <c r="CQ46342" s="111"/>
      <c r="EF46342"/>
      <c r="EG46342"/>
      <c r="EH46342"/>
      <c r="EI46342"/>
      <c r="EJ46342"/>
      <c r="EK46342"/>
    </row>
    <row r="46343" spans="1:141" s="116" customFormat="1">
      <c r="A46343" s="136"/>
      <c r="CM46343" s="111"/>
      <c r="CQ46343" s="111"/>
      <c r="EF46343"/>
      <c r="EG46343"/>
      <c r="EH46343"/>
      <c r="EI46343"/>
      <c r="EJ46343"/>
      <c r="EK46343"/>
    </row>
    <row r="46344" spans="1:141" s="116" customFormat="1">
      <c r="A46344" s="136"/>
      <c r="CM46344" s="111"/>
      <c r="CQ46344" s="111"/>
      <c r="EF46344"/>
      <c r="EG46344"/>
      <c r="EH46344"/>
      <c r="EI46344"/>
      <c r="EJ46344"/>
      <c r="EK46344"/>
    </row>
    <row r="46345" spans="1:141" s="116" customFormat="1">
      <c r="A46345" s="136"/>
      <c r="CM46345" s="111"/>
      <c r="CQ46345" s="111"/>
      <c r="EF46345"/>
      <c r="EG46345"/>
      <c r="EH46345"/>
      <c r="EI46345"/>
      <c r="EJ46345"/>
      <c r="EK46345"/>
    </row>
    <row r="46346" spans="1:141" s="116" customFormat="1">
      <c r="A46346" s="136"/>
      <c r="CM46346" s="111"/>
      <c r="CQ46346" s="111"/>
      <c r="EF46346"/>
      <c r="EG46346"/>
      <c r="EH46346"/>
      <c r="EI46346"/>
      <c r="EJ46346"/>
      <c r="EK46346"/>
    </row>
    <row r="46347" spans="1:141" s="116" customFormat="1">
      <c r="A46347" s="136"/>
      <c r="CM46347" s="111"/>
      <c r="CQ46347" s="111"/>
      <c r="EF46347"/>
      <c r="EG46347"/>
      <c r="EH46347"/>
      <c r="EI46347"/>
      <c r="EJ46347"/>
      <c r="EK46347"/>
    </row>
    <row r="46348" spans="1:141" s="116" customFormat="1">
      <c r="A46348" s="136"/>
      <c r="CM46348" s="111"/>
      <c r="CQ46348" s="111"/>
      <c r="EF46348"/>
      <c r="EG46348"/>
      <c r="EH46348"/>
      <c r="EI46348"/>
      <c r="EJ46348"/>
      <c r="EK46348"/>
    </row>
    <row r="46349" spans="1:141" s="116" customFormat="1">
      <c r="A46349" s="136"/>
      <c r="CM46349" s="111"/>
      <c r="CQ46349" s="111"/>
      <c r="EF46349"/>
      <c r="EG46349"/>
      <c r="EH46349"/>
      <c r="EI46349"/>
      <c r="EJ46349"/>
      <c r="EK46349"/>
    </row>
    <row r="46350" spans="1:141" s="116" customFormat="1">
      <c r="A46350" s="136"/>
      <c r="CM46350" s="111"/>
      <c r="CQ46350" s="111"/>
      <c r="EF46350"/>
      <c r="EG46350"/>
      <c r="EH46350"/>
      <c r="EI46350"/>
      <c r="EJ46350"/>
      <c r="EK46350"/>
    </row>
    <row r="46351" spans="1:141" s="116" customFormat="1">
      <c r="A46351" s="136"/>
      <c r="CM46351" s="111"/>
      <c r="CQ46351" s="111"/>
      <c r="EF46351"/>
      <c r="EG46351"/>
      <c r="EH46351"/>
      <c r="EI46351"/>
      <c r="EJ46351"/>
      <c r="EK46351"/>
    </row>
    <row r="46352" spans="1:141" s="116" customFormat="1">
      <c r="A46352" s="136"/>
      <c r="CM46352" s="111"/>
      <c r="CQ46352" s="111"/>
      <c r="EF46352"/>
      <c r="EG46352"/>
      <c r="EH46352"/>
      <c r="EI46352"/>
      <c r="EJ46352"/>
      <c r="EK46352"/>
    </row>
    <row r="46353" spans="1:141" s="116" customFormat="1">
      <c r="A46353" s="136"/>
      <c r="CM46353" s="111"/>
      <c r="CQ46353" s="111"/>
      <c r="EF46353"/>
      <c r="EG46353"/>
      <c r="EH46353"/>
      <c r="EI46353"/>
      <c r="EJ46353"/>
      <c r="EK46353"/>
    </row>
    <row r="46354" spans="1:141" s="116" customFormat="1">
      <c r="A46354" s="136"/>
      <c r="CM46354" s="111"/>
      <c r="CQ46354" s="111"/>
      <c r="EF46354"/>
      <c r="EG46354"/>
      <c r="EH46354"/>
      <c r="EI46354"/>
      <c r="EJ46354"/>
      <c r="EK46354"/>
    </row>
    <row r="46355" spans="1:141" s="116" customFormat="1">
      <c r="A46355" s="136"/>
      <c r="CM46355" s="111"/>
      <c r="CQ46355" s="111"/>
      <c r="EF46355"/>
      <c r="EG46355"/>
      <c r="EH46355"/>
      <c r="EI46355"/>
      <c r="EJ46355"/>
      <c r="EK46355"/>
    </row>
    <row r="46356" spans="1:141" s="116" customFormat="1">
      <c r="A46356" s="136"/>
      <c r="CM46356" s="111"/>
      <c r="CQ46356" s="111"/>
      <c r="EF46356"/>
      <c r="EG46356"/>
      <c r="EH46356"/>
      <c r="EI46356"/>
      <c r="EJ46356"/>
      <c r="EK46356"/>
    </row>
    <row r="46357" spans="1:141" s="116" customFormat="1">
      <c r="A46357" s="136"/>
      <c r="CM46357" s="111"/>
      <c r="CQ46357" s="111"/>
      <c r="EF46357"/>
      <c r="EG46357"/>
      <c r="EH46357"/>
      <c r="EI46357"/>
      <c r="EJ46357"/>
      <c r="EK46357"/>
    </row>
    <row r="46358" spans="1:141" s="116" customFormat="1">
      <c r="A46358" s="136"/>
      <c r="CM46358" s="111"/>
      <c r="CQ46358" s="111"/>
      <c r="EF46358"/>
      <c r="EG46358"/>
      <c r="EH46358"/>
      <c r="EI46358"/>
      <c r="EJ46358"/>
      <c r="EK46358"/>
    </row>
    <row r="46359" spans="1:141" s="116" customFormat="1">
      <c r="A46359" s="136"/>
      <c r="CM46359" s="111"/>
      <c r="CQ46359" s="111"/>
      <c r="EF46359"/>
      <c r="EG46359"/>
      <c r="EH46359"/>
      <c r="EI46359"/>
      <c r="EJ46359"/>
      <c r="EK46359"/>
    </row>
    <row r="46360" spans="1:141" s="116" customFormat="1">
      <c r="A46360" s="136"/>
      <c r="CM46360" s="111"/>
      <c r="CQ46360" s="111"/>
      <c r="EF46360"/>
      <c r="EG46360"/>
      <c r="EH46360"/>
      <c r="EI46360"/>
      <c r="EJ46360"/>
      <c r="EK46360"/>
    </row>
    <row r="46361" spans="1:141" s="116" customFormat="1">
      <c r="A46361" s="136"/>
      <c r="CM46361" s="111"/>
      <c r="CQ46361" s="111"/>
      <c r="EF46361"/>
      <c r="EG46361"/>
      <c r="EH46361"/>
      <c r="EI46361"/>
      <c r="EJ46361"/>
      <c r="EK46361"/>
    </row>
    <row r="46362" spans="1:141" s="116" customFormat="1">
      <c r="A46362" s="136"/>
      <c r="CM46362" s="111"/>
      <c r="CQ46362" s="111"/>
      <c r="EF46362"/>
      <c r="EG46362"/>
      <c r="EH46362"/>
      <c r="EI46362"/>
      <c r="EJ46362"/>
      <c r="EK46362"/>
    </row>
    <row r="46363" spans="1:141" s="116" customFormat="1">
      <c r="A46363" s="136"/>
      <c r="CM46363" s="111"/>
      <c r="CQ46363" s="111"/>
      <c r="EF46363"/>
      <c r="EG46363"/>
      <c r="EH46363"/>
      <c r="EI46363"/>
      <c r="EJ46363"/>
      <c r="EK46363"/>
    </row>
    <row r="46364" spans="1:141" s="116" customFormat="1">
      <c r="A46364" s="136"/>
      <c r="CM46364" s="111"/>
      <c r="CQ46364" s="111"/>
      <c r="EF46364"/>
      <c r="EG46364"/>
      <c r="EH46364"/>
      <c r="EI46364"/>
      <c r="EJ46364"/>
      <c r="EK46364"/>
    </row>
    <row r="46365" spans="1:141" s="116" customFormat="1">
      <c r="A46365" s="136"/>
      <c r="CM46365" s="111"/>
      <c r="CQ46365" s="111"/>
      <c r="EF46365"/>
      <c r="EG46365"/>
      <c r="EH46365"/>
      <c r="EI46365"/>
      <c r="EJ46365"/>
      <c r="EK46365"/>
    </row>
    <row r="46366" spans="1:141" s="116" customFormat="1">
      <c r="A46366" s="136"/>
      <c r="CM46366" s="111"/>
      <c r="CQ46366" s="111"/>
      <c r="EF46366"/>
      <c r="EG46366"/>
      <c r="EH46366"/>
      <c r="EI46366"/>
      <c r="EJ46366"/>
      <c r="EK46366"/>
    </row>
    <row r="46367" spans="1:141" s="116" customFormat="1">
      <c r="A46367" s="136"/>
      <c r="CM46367" s="111"/>
      <c r="CQ46367" s="111"/>
      <c r="EF46367"/>
      <c r="EG46367"/>
      <c r="EH46367"/>
      <c r="EI46367"/>
      <c r="EJ46367"/>
      <c r="EK46367"/>
    </row>
    <row r="46368" spans="1:141" s="116" customFormat="1">
      <c r="A46368" s="136"/>
      <c r="CM46368" s="111"/>
      <c r="CQ46368" s="111"/>
      <c r="EF46368"/>
      <c r="EG46368"/>
      <c r="EH46368"/>
      <c r="EI46368"/>
      <c r="EJ46368"/>
      <c r="EK46368"/>
    </row>
    <row r="46369" spans="1:141" s="116" customFormat="1">
      <c r="A46369" s="136"/>
      <c r="CM46369" s="111"/>
      <c r="CQ46369" s="111"/>
      <c r="EF46369"/>
      <c r="EG46369"/>
      <c r="EH46369"/>
      <c r="EI46369"/>
      <c r="EJ46369"/>
      <c r="EK46369"/>
    </row>
    <row r="46370" spans="1:141" s="116" customFormat="1">
      <c r="A46370" s="136"/>
      <c r="CM46370" s="111"/>
      <c r="CQ46370" s="111"/>
      <c r="EF46370"/>
      <c r="EG46370"/>
      <c r="EH46370"/>
      <c r="EI46370"/>
      <c r="EJ46370"/>
      <c r="EK46370"/>
    </row>
    <row r="46371" spans="1:141" s="116" customFormat="1">
      <c r="A46371" s="136"/>
      <c r="CM46371" s="111"/>
      <c r="CQ46371" s="111"/>
      <c r="EF46371"/>
      <c r="EG46371"/>
      <c r="EH46371"/>
      <c r="EI46371"/>
      <c r="EJ46371"/>
      <c r="EK46371"/>
    </row>
    <row r="46372" spans="1:141" s="116" customFormat="1">
      <c r="A46372" s="136"/>
      <c r="CM46372" s="111"/>
      <c r="CQ46372" s="111"/>
      <c r="EF46372"/>
      <c r="EG46372"/>
      <c r="EH46372"/>
      <c r="EI46372"/>
      <c r="EJ46372"/>
      <c r="EK46372"/>
    </row>
    <row r="46373" spans="1:141" s="116" customFormat="1">
      <c r="A46373" s="136"/>
      <c r="CM46373" s="111"/>
      <c r="CQ46373" s="111"/>
      <c r="EF46373"/>
      <c r="EG46373"/>
      <c r="EH46373"/>
      <c r="EI46373"/>
      <c r="EJ46373"/>
      <c r="EK46373"/>
    </row>
    <row r="46374" spans="1:141" s="116" customFormat="1">
      <c r="A46374" s="136"/>
      <c r="CM46374" s="111"/>
      <c r="CQ46374" s="111"/>
      <c r="EF46374"/>
      <c r="EG46374"/>
      <c r="EH46374"/>
      <c r="EI46374"/>
      <c r="EJ46374"/>
      <c r="EK46374"/>
    </row>
    <row r="46375" spans="1:141" s="116" customFormat="1">
      <c r="A46375" s="136"/>
      <c r="CM46375" s="111"/>
      <c r="CQ46375" s="111"/>
      <c r="EF46375"/>
      <c r="EG46375"/>
      <c r="EH46375"/>
      <c r="EI46375"/>
      <c r="EJ46375"/>
      <c r="EK46375"/>
    </row>
    <row r="46376" spans="1:141" s="116" customFormat="1">
      <c r="A46376" s="136"/>
      <c r="CM46376" s="111"/>
      <c r="CQ46376" s="111"/>
      <c r="EF46376"/>
      <c r="EG46376"/>
      <c r="EH46376"/>
      <c r="EI46376"/>
      <c r="EJ46376"/>
      <c r="EK46376"/>
    </row>
    <row r="46377" spans="1:141" s="116" customFormat="1">
      <c r="A46377" s="136"/>
      <c r="CM46377" s="111"/>
      <c r="CQ46377" s="111"/>
      <c r="EF46377"/>
      <c r="EG46377"/>
      <c r="EH46377"/>
      <c r="EI46377"/>
      <c r="EJ46377"/>
      <c r="EK46377"/>
    </row>
    <row r="46378" spans="1:141" s="116" customFormat="1">
      <c r="A46378" s="136"/>
      <c r="CM46378" s="111"/>
      <c r="CQ46378" s="111"/>
      <c r="EF46378"/>
      <c r="EG46378"/>
      <c r="EH46378"/>
      <c r="EI46378"/>
      <c r="EJ46378"/>
      <c r="EK46378"/>
    </row>
    <row r="46379" spans="1:141" s="116" customFormat="1">
      <c r="A46379" s="136"/>
      <c r="CM46379" s="111"/>
      <c r="CQ46379" s="111"/>
      <c r="EF46379"/>
      <c r="EG46379"/>
      <c r="EH46379"/>
      <c r="EI46379"/>
      <c r="EJ46379"/>
      <c r="EK46379"/>
    </row>
    <row r="46380" spans="1:141" s="116" customFormat="1">
      <c r="A46380" s="136"/>
      <c r="CM46380" s="111"/>
      <c r="CQ46380" s="111"/>
      <c r="EF46380"/>
      <c r="EG46380"/>
      <c r="EH46380"/>
      <c r="EI46380"/>
      <c r="EJ46380"/>
      <c r="EK46380"/>
    </row>
    <row r="46381" spans="1:141" s="116" customFormat="1">
      <c r="A46381" s="136"/>
      <c r="CM46381" s="111"/>
      <c r="CQ46381" s="111"/>
      <c r="EF46381"/>
      <c r="EG46381"/>
      <c r="EH46381"/>
      <c r="EI46381"/>
      <c r="EJ46381"/>
      <c r="EK46381"/>
    </row>
    <row r="46382" spans="1:141" s="116" customFormat="1">
      <c r="A46382" s="136"/>
      <c r="CM46382" s="111"/>
      <c r="CQ46382" s="111"/>
      <c r="EF46382"/>
      <c r="EG46382"/>
      <c r="EH46382"/>
      <c r="EI46382"/>
      <c r="EJ46382"/>
      <c r="EK46382"/>
    </row>
    <row r="46383" spans="1:141" s="116" customFormat="1">
      <c r="A46383" s="136"/>
      <c r="CM46383" s="111"/>
      <c r="CQ46383" s="111"/>
      <c r="EF46383"/>
      <c r="EG46383"/>
      <c r="EH46383"/>
      <c r="EI46383"/>
      <c r="EJ46383"/>
      <c r="EK46383"/>
    </row>
    <row r="46384" spans="1:141" s="116" customFormat="1">
      <c r="A46384" s="136"/>
      <c r="CM46384" s="111"/>
      <c r="CQ46384" s="111"/>
      <c r="EF46384"/>
      <c r="EG46384"/>
      <c r="EH46384"/>
      <c r="EI46384"/>
      <c r="EJ46384"/>
      <c r="EK46384"/>
    </row>
    <row r="46385" spans="1:141" s="116" customFormat="1">
      <c r="A46385" s="136"/>
      <c r="CM46385" s="111"/>
      <c r="CQ46385" s="111"/>
      <c r="EF46385"/>
      <c r="EG46385"/>
      <c r="EH46385"/>
      <c r="EI46385"/>
      <c r="EJ46385"/>
      <c r="EK46385"/>
    </row>
    <row r="46386" spans="1:141" s="116" customFormat="1">
      <c r="A46386" s="136"/>
      <c r="CM46386" s="111"/>
      <c r="CQ46386" s="111"/>
      <c r="EF46386"/>
      <c r="EG46386"/>
      <c r="EH46386"/>
      <c r="EI46386"/>
      <c r="EJ46386"/>
      <c r="EK46386"/>
    </row>
    <row r="46387" spans="1:141" s="116" customFormat="1">
      <c r="A46387" s="136"/>
      <c r="CM46387" s="111"/>
      <c r="CQ46387" s="111"/>
      <c r="EF46387"/>
      <c r="EG46387"/>
      <c r="EH46387"/>
      <c r="EI46387"/>
      <c r="EJ46387"/>
      <c r="EK46387"/>
    </row>
    <row r="46388" spans="1:141" s="116" customFormat="1">
      <c r="A46388" s="136"/>
      <c r="CM46388" s="111"/>
      <c r="CQ46388" s="111"/>
      <c r="EF46388"/>
      <c r="EG46388"/>
      <c r="EH46388"/>
      <c r="EI46388"/>
      <c r="EJ46388"/>
      <c r="EK46388"/>
    </row>
    <row r="46389" spans="1:141" s="116" customFormat="1">
      <c r="A46389" s="136"/>
      <c r="CM46389" s="111"/>
      <c r="CQ46389" s="111"/>
      <c r="EF46389"/>
      <c r="EG46389"/>
      <c r="EH46389"/>
      <c r="EI46389"/>
      <c r="EJ46389"/>
      <c r="EK46389"/>
    </row>
    <row r="46390" spans="1:141" s="116" customFormat="1">
      <c r="A46390" s="136"/>
      <c r="CM46390" s="111"/>
      <c r="CQ46390" s="111"/>
      <c r="EF46390"/>
      <c r="EG46390"/>
      <c r="EH46390"/>
      <c r="EI46390"/>
      <c r="EJ46390"/>
      <c r="EK46390"/>
    </row>
    <row r="46391" spans="1:141" s="116" customFormat="1">
      <c r="A46391" s="136"/>
      <c r="CM46391" s="111"/>
      <c r="CQ46391" s="111"/>
      <c r="EF46391"/>
      <c r="EG46391"/>
      <c r="EH46391"/>
      <c r="EI46391"/>
      <c r="EJ46391"/>
      <c r="EK46391"/>
    </row>
    <row r="46392" spans="1:141" s="116" customFormat="1">
      <c r="A46392" s="136"/>
      <c r="CM46392" s="111"/>
      <c r="CQ46392" s="111"/>
      <c r="EF46392"/>
      <c r="EG46392"/>
      <c r="EH46392"/>
      <c r="EI46392"/>
      <c r="EJ46392"/>
      <c r="EK46392"/>
    </row>
    <row r="46393" spans="1:141" s="116" customFormat="1">
      <c r="A46393" s="136"/>
      <c r="CM46393" s="111"/>
      <c r="CQ46393" s="111"/>
      <c r="EF46393"/>
      <c r="EG46393"/>
      <c r="EH46393"/>
      <c r="EI46393"/>
      <c r="EJ46393"/>
      <c r="EK46393"/>
    </row>
    <row r="46394" spans="1:141" s="116" customFormat="1">
      <c r="A46394" s="136"/>
      <c r="CM46394" s="111"/>
      <c r="CQ46394" s="111"/>
      <c r="EF46394"/>
      <c r="EG46394"/>
      <c r="EH46394"/>
      <c r="EI46394"/>
      <c r="EJ46394"/>
      <c r="EK46394"/>
    </row>
    <row r="46395" spans="1:141" s="116" customFormat="1">
      <c r="A46395" s="136"/>
      <c r="CM46395" s="111"/>
      <c r="CQ46395" s="111"/>
      <c r="EF46395"/>
      <c r="EG46395"/>
      <c r="EH46395"/>
      <c r="EI46395"/>
      <c r="EJ46395"/>
      <c r="EK46395"/>
    </row>
    <row r="46396" spans="1:141" s="116" customFormat="1">
      <c r="A46396" s="136"/>
      <c r="CM46396" s="111"/>
      <c r="CQ46396" s="111"/>
      <c r="EF46396"/>
      <c r="EG46396"/>
      <c r="EH46396"/>
      <c r="EI46396"/>
      <c r="EJ46396"/>
      <c r="EK46396"/>
    </row>
    <row r="46397" spans="1:141" s="116" customFormat="1">
      <c r="A46397" s="136"/>
      <c r="CM46397" s="111"/>
      <c r="CQ46397" s="111"/>
      <c r="EF46397"/>
      <c r="EG46397"/>
      <c r="EH46397"/>
      <c r="EI46397"/>
      <c r="EJ46397"/>
      <c r="EK46397"/>
    </row>
    <row r="46398" spans="1:141" s="116" customFormat="1">
      <c r="A46398" s="136"/>
      <c r="CM46398" s="111"/>
      <c r="CQ46398" s="111"/>
      <c r="EF46398"/>
      <c r="EG46398"/>
      <c r="EH46398"/>
      <c r="EI46398"/>
      <c r="EJ46398"/>
      <c r="EK46398"/>
    </row>
    <row r="46399" spans="1:141" s="116" customFormat="1">
      <c r="A46399" s="136"/>
      <c r="CM46399" s="111"/>
      <c r="CQ46399" s="111"/>
      <c r="EF46399"/>
      <c r="EG46399"/>
      <c r="EH46399"/>
      <c r="EI46399"/>
      <c r="EJ46399"/>
      <c r="EK46399"/>
    </row>
    <row r="46400" spans="1:141" s="116" customFormat="1">
      <c r="A46400" s="136"/>
      <c r="CM46400" s="111"/>
      <c r="CQ46400" s="111"/>
      <c r="EF46400"/>
      <c r="EG46400"/>
      <c r="EH46400"/>
      <c r="EI46400"/>
      <c r="EJ46400"/>
      <c r="EK46400"/>
    </row>
    <row r="46401" spans="1:141" s="116" customFormat="1">
      <c r="A46401" s="136"/>
      <c r="CM46401" s="111"/>
      <c r="CQ46401" s="111"/>
      <c r="EF46401"/>
      <c r="EG46401"/>
      <c r="EH46401"/>
      <c r="EI46401"/>
      <c r="EJ46401"/>
      <c r="EK46401"/>
    </row>
    <row r="46402" spans="1:141" s="116" customFormat="1">
      <c r="A46402" s="136"/>
      <c r="CM46402" s="111"/>
      <c r="CQ46402" s="111"/>
      <c r="EF46402"/>
      <c r="EG46402"/>
      <c r="EH46402"/>
      <c r="EI46402"/>
      <c r="EJ46402"/>
      <c r="EK46402"/>
    </row>
    <row r="46403" spans="1:141" s="116" customFormat="1">
      <c r="A46403" s="136"/>
      <c r="CM46403" s="111"/>
      <c r="CQ46403" s="111"/>
      <c r="EF46403"/>
      <c r="EG46403"/>
      <c r="EH46403"/>
      <c r="EI46403"/>
      <c r="EJ46403"/>
      <c r="EK46403"/>
    </row>
    <row r="46404" spans="1:141" s="116" customFormat="1">
      <c r="A46404" s="136"/>
      <c r="CM46404" s="111"/>
      <c r="CQ46404" s="111"/>
      <c r="EF46404"/>
      <c r="EG46404"/>
      <c r="EH46404"/>
      <c r="EI46404"/>
      <c r="EJ46404"/>
      <c r="EK46404"/>
    </row>
    <row r="46405" spans="1:141" s="116" customFormat="1">
      <c r="A46405" s="136"/>
      <c r="CM46405" s="111"/>
      <c r="CQ46405" s="111"/>
      <c r="EF46405"/>
      <c r="EG46405"/>
      <c r="EH46405"/>
      <c r="EI46405"/>
      <c r="EJ46405"/>
      <c r="EK46405"/>
    </row>
    <row r="46406" spans="1:141" s="116" customFormat="1">
      <c r="A46406" s="136"/>
      <c r="CM46406" s="111"/>
      <c r="CQ46406" s="111"/>
      <c r="EF46406"/>
      <c r="EG46406"/>
      <c r="EH46406"/>
      <c r="EI46406"/>
      <c r="EJ46406"/>
      <c r="EK46406"/>
    </row>
    <row r="46407" spans="1:141" s="116" customFormat="1">
      <c r="A46407" s="136"/>
      <c r="CM46407" s="111"/>
      <c r="CQ46407" s="111"/>
      <c r="EF46407"/>
      <c r="EG46407"/>
      <c r="EH46407"/>
      <c r="EI46407"/>
      <c r="EJ46407"/>
      <c r="EK46407"/>
    </row>
    <row r="46408" spans="1:141" s="116" customFormat="1">
      <c r="A46408" s="136"/>
      <c r="CM46408" s="111"/>
      <c r="CQ46408" s="111"/>
      <c r="EF46408"/>
      <c r="EG46408"/>
      <c r="EH46408"/>
      <c r="EI46408"/>
      <c r="EJ46408"/>
      <c r="EK46408"/>
    </row>
    <row r="46409" spans="1:141" s="116" customFormat="1">
      <c r="A46409" s="136"/>
      <c r="CM46409" s="111"/>
      <c r="CQ46409" s="111"/>
      <c r="EF46409"/>
      <c r="EG46409"/>
      <c r="EH46409"/>
      <c r="EI46409"/>
      <c r="EJ46409"/>
      <c r="EK46409"/>
    </row>
    <row r="46410" spans="1:141" s="116" customFormat="1">
      <c r="A46410" s="136"/>
      <c r="CM46410" s="111"/>
      <c r="CQ46410" s="111"/>
      <c r="EF46410"/>
      <c r="EG46410"/>
      <c r="EH46410"/>
      <c r="EI46410"/>
      <c r="EJ46410"/>
      <c r="EK46410"/>
    </row>
    <row r="46411" spans="1:141" s="116" customFormat="1">
      <c r="A46411" s="136"/>
      <c r="CM46411" s="111"/>
      <c r="CQ46411" s="111"/>
      <c r="EF46411"/>
      <c r="EG46411"/>
      <c r="EH46411"/>
      <c r="EI46411"/>
      <c r="EJ46411"/>
      <c r="EK46411"/>
    </row>
    <row r="46412" spans="1:141" s="116" customFormat="1">
      <c r="A46412" s="136"/>
      <c r="CM46412" s="111"/>
      <c r="CQ46412" s="111"/>
      <c r="EF46412"/>
      <c r="EG46412"/>
      <c r="EH46412"/>
      <c r="EI46412"/>
      <c r="EJ46412"/>
      <c r="EK46412"/>
    </row>
    <row r="46413" spans="1:141" s="116" customFormat="1">
      <c r="A46413" s="136"/>
      <c r="CM46413" s="111"/>
      <c r="CQ46413" s="111"/>
      <c r="EF46413"/>
      <c r="EG46413"/>
      <c r="EH46413"/>
      <c r="EI46413"/>
      <c r="EJ46413"/>
      <c r="EK46413"/>
    </row>
    <row r="46414" spans="1:141" s="116" customFormat="1">
      <c r="A46414" s="136"/>
      <c r="CM46414" s="111"/>
      <c r="CQ46414" s="111"/>
      <c r="EF46414"/>
      <c r="EG46414"/>
      <c r="EH46414"/>
      <c r="EI46414"/>
      <c r="EJ46414"/>
      <c r="EK46414"/>
    </row>
    <row r="46415" spans="1:141" s="116" customFormat="1">
      <c r="A46415" s="136"/>
      <c r="CM46415" s="111"/>
      <c r="CQ46415" s="111"/>
      <c r="EF46415"/>
      <c r="EG46415"/>
      <c r="EH46415"/>
      <c r="EI46415"/>
      <c r="EJ46415"/>
      <c r="EK46415"/>
    </row>
    <row r="46416" spans="1:141" s="116" customFormat="1">
      <c r="A46416" s="136"/>
      <c r="CM46416" s="111"/>
      <c r="CQ46416" s="111"/>
      <c r="EF46416"/>
      <c r="EG46416"/>
      <c r="EH46416"/>
      <c r="EI46416"/>
      <c r="EJ46416"/>
      <c r="EK46416"/>
    </row>
    <row r="46417" spans="1:141" s="116" customFormat="1">
      <c r="A46417" s="136"/>
      <c r="CM46417" s="111"/>
      <c r="CQ46417" s="111"/>
      <c r="EF46417"/>
      <c r="EG46417"/>
      <c r="EH46417"/>
      <c r="EI46417"/>
      <c r="EJ46417"/>
      <c r="EK46417"/>
    </row>
    <row r="46418" spans="1:141" s="116" customFormat="1">
      <c r="A46418" s="136"/>
      <c r="CM46418" s="111"/>
      <c r="CQ46418" s="111"/>
      <c r="EF46418"/>
      <c r="EG46418"/>
      <c r="EH46418"/>
      <c r="EI46418"/>
      <c r="EJ46418"/>
      <c r="EK46418"/>
    </row>
    <row r="46419" spans="1:141" s="116" customFormat="1">
      <c r="A46419" s="136"/>
      <c r="CM46419" s="111"/>
      <c r="CQ46419" s="111"/>
      <c r="EF46419"/>
      <c r="EG46419"/>
      <c r="EH46419"/>
      <c r="EI46419"/>
      <c r="EJ46419"/>
      <c r="EK46419"/>
    </row>
    <row r="46420" spans="1:141" s="116" customFormat="1">
      <c r="A46420" s="136"/>
      <c r="CM46420" s="111"/>
      <c r="CQ46420" s="111"/>
      <c r="EF46420"/>
      <c r="EG46420"/>
      <c r="EH46420"/>
      <c r="EI46420"/>
      <c r="EJ46420"/>
      <c r="EK46420"/>
    </row>
    <row r="46421" spans="1:141" s="116" customFormat="1">
      <c r="A46421" s="136"/>
      <c r="CM46421" s="111"/>
      <c r="CQ46421" s="111"/>
      <c r="EF46421"/>
      <c r="EG46421"/>
      <c r="EH46421"/>
      <c r="EI46421"/>
      <c r="EJ46421"/>
      <c r="EK46421"/>
    </row>
    <row r="46422" spans="1:141" s="116" customFormat="1">
      <c r="A46422" s="136"/>
      <c r="CM46422" s="111"/>
      <c r="CQ46422" s="111"/>
      <c r="EF46422"/>
      <c r="EG46422"/>
      <c r="EH46422"/>
      <c r="EI46422"/>
      <c r="EJ46422"/>
      <c r="EK46422"/>
    </row>
    <row r="46423" spans="1:141" s="116" customFormat="1">
      <c r="A46423" s="136"/>
      <c r="CM46423" s="111"/>
      <c r="CQ46423" s="111"/>
      <c r="EF46423"/>
      <c r="EG46423"/>
      <c r="EH46423"/>
      <c r="EI46423"/>
      <c r="EJ46423"/>
      <c r="EK46423"/>
    </row>
    <row r="46424" spans="1:141" s="116" customFormat="1">
      <c r="A46424" s="136"/>
      <c r="CM46424" s="111"/>
      <c r="CQ46424" s="111"/>
      <c r="EF46424"/>
      <c r="EG46424"/>
      <c r="EH46424"/>
      <c r="EI46424"/>
      <c r="EJ46424"/>
      <c r="EK46424"/>
    </row>
    <row r="46425" spans="1:141" s="116" customFormat="1">
      <c r="A46425" s="136"/>
      <c r="CM46425" s="111"/>
      <c r="CQ46425" s="111"/>
      <c r="EF46425"/>
      <c r="EG46425"/>
      <c r="EH46425"/>
      <c r="EI46425"/>
      <c r="EJ46425"/>
      <c r="EK46425"/>
    </row>
    <row r="46426" spans="1:141" s="116" customFormat="1">
      <c r="A46426" s="136"/>
      <c r="CM46426" s="111"/>
      <c r="CQ46426" s="111"/>
      <c r="EF46426"/>
      <c r="EG46426"/>
      <c r="EH46426"/>
      <c r="EI46426"/>
      <c r="EJ46426"/>
      <c r="EK46426"/>
    </row>
    <row r="46427" spans="1:141" s="116" customFormat="1">
      <c r="A46427" s="136"/>
      <c r="CM46427" s="111"/>
      <c r="CQ46427" s="111"/>
      <c r="EF46427"/>
      <c r="EG46427"/>
      <c r="EH46427"/>
      <c r="EI46427"/>
      <c r="EJ46427"/>
      <c r="EK46427"/>
    </row>
    <row r="46428" spans="1:141" s="116" customFormat="1">
      <c r="A46428" s="136"/>
      <c r="CM46428" s="111"/>
      <c r="CQ46428" s="111"/>
      <c r="EF46428"/>
      <c r="EG46428"/>
      <c r="EH46428"/>
      <c r="EI46428"/>
      <c r="EJ46428"/>
      <c r="EK46428"/>
    </row>
    <row r="46429" spans="1:141" s="116" customFormat="1">
      <c r="A46429" s="136"/>
      <c r="CM46429" s="111"/>
      <c r="CQ46429" s="111"/>
      <c r="EF46429"/>
      <c r="EG46429"/>
      <c r="EH46429"/>
      <c r="EI46429"/>
      <c r="EJ46429"/>
      <c r="EK46429"/>
    </row>
    <row r="46430" spans="1:141" s="116" customFormat="1">
      <c r="A46430" s="136"/>
      <c r="CM46430" s="111"/>
      <c r="CQ46430" s="111"/>
      <c r="EF46430"/>
      <c r="EG46430"/>
      <c r="EH46430"/>
      <c r="EI46430"/>
      <c r="EJ46430"/>
      <c r="EK46430"/>
    </row>
    <row r="46431" spans="1:141" s="116" customFormat="1">
      <c r="A46431" s="136"/>
      <c r="CM46431" s="111"/>
      <c r="CQ46431" s="111"/>
      <c r="EF46431"/>
      <c r="EG46431"/>
      <c r="EH46431"/>
      <c r="EI46431"/>
      <c r="EJ46431"/>
      <c r="EK46431"/>
    </row>
    <row r="46432" spans="1:141" s="116" customFormat="1">
      <c r="A46432" s="136"/>
      <c r="CM46432" s="111"/>
      <c r="CQ46432" s="111"/>
      <c r="EF46432"/>
      <c r="EG46432"/>
      <c r="EH46432"/>
      <c r="EI46432"/>
      <c r="EJ46432"/>
      <c r="EK46432"/>
    </row>
    <row r="46433" spans="1:141" s="116" customFormat="1">
      <c r="A46433" s="136"/>
      <c r="CM46433" s="111"/>
      <c r="CQ46433" s="111"/>
      <c r="EF46433"/>
      <c r="EG46433"/>
      <c r="EH46433"/>
      <c r="EI46433"/>
      <c r="EJ46433"/>
      <c r="EK46433"/>
    </row>
    <row r="46434" spans="1:141" s="116" customFormat="1">
      <c r="A46434" s="136"/>
      <c r="CM46434" s="111"/>
      <c r="CQ46434" s="111"/>
      <c r="EF46434"/>
      <c r="EG46434"/>
      <c r="EH46434"/>
      <c r="EI46434"/>
      <c r="EJ46434"/>
      <c r="EK46434"/>
    </row>
    <row r="46435" spans="1:141" s="116" customFormat="1">
      <c r="A46435" s="136"/>
      <c r="CM46435" s="111"/>
      <c r="CQ46435" s="111"/>
      <c r="EF46435"/>
      <c r="EG46435"/>
      <c r="EH46435"/>
      <c r="EI46435"/>
      <c r="EJ46435"/>
      <c r="EK46435"/>
    </row>
    <row r="46436" spans="1:141" s="116" customFormat="1">
      <c r="A46436" s="136"/>
      <c r="CM46436" s="111"/>
      <c r="CQ46436" s="111"/>
      <c r="EF46436"/>
      <c r="EG46436"/>
      <c r="EH46436"/>
      <c r="EI46436"/>
      <c r="EJ46436"/>
      <c r="EK46436"/>
    </row>
    <row r="46437" spans="1:141" s="116" customFormat="1">
      <c r="A46437" s="136"/>
      <c r="CM46437" s="111"/>
      <c r="CQ46437" s="111"/>
      <c r="EF46437"/>
      <c r="EG46437"/>
      <c r="EH46437"/>
      <c r="EI46437"/>
      <c r="EJ46437"/>
      <c r="EK46437"/>
    </row>
    <row r="46438" spans="1:141" s="116" customFormat="1">
      <c r="A46438" s="136"/>
      <c r="CM46438" s="111"/>
      <c r="CQ46438" s="111"/>
      <c r="EF46438"/>
      <c r="EG46438"/>
      <c r="EH46438"/>
      <c r="EI46438"/>
      <c r="EJ46438"/>
      <c r="EK46438"/>
    </row>
    <row r="46439" spans="1:141" s="116" customFormat="1">
      <c r="A46439" s="136"/>
      <c r="CM46439" s="111"/>
      <c r="CQ46439" s="111"/>
      <c r="EF46439"/>
      <c r="EG46439"/>
      <c r="EH46439"/>
      <c r="EI46439"/>
      <c r="EJ46439"/>
      <c r="EK46439"/>
    </row>
    <row r="46440" spans="1:141" s="116" customFormat="1">
      <c r="A46440" s="136"/>
      <c r="CM46440" s="111"/>
      <c r="CQ46440" s="111"/>
      <c r="EF46440"/>
      <c r="EG46440"/>
      <c r="EH46440"/>
      <c r="EI46440"/>
      <c r="EJ46440"/>
      <c r="EK46440"/>
    </row>
    <row r="46441" spans="1:141" s="116" customFormat="1">
      <c r="A46441" s="136"/>
      <c r="CM46441" s="111"/>
      <c r="CQ46441" s="111"/>
      <c r="EF46441"/>
      <c r="EG46441"/>
      <c r="EH46441"/>
      <c r="EI46441"/>
      <c r="EJ46441"/>
      <c r="EK46441"/>
    </row>
    <row r="46442" spans="1:141" s="116" customFormat="1">
      <c r="A46442" s="136"/>
      <c r="CM46442" s="111"/>
      <c r="CQ46442" s="111"/>
      <c r="EF46442"/>
      <c r="EG46442"/>
      <c r="EH46442"/>
      <c r="EI46442"/>
      <c r="EJ46442"/>
      <c r="EK46442"/>
    </row>
    <row r="46443" spans="1:141" s="116" customFormat="1">
      <c r="A46443" s="136"/>
      <c r="CM46443" s="111"/>
      <c r="CQ46443" s="111"/>
      <c r="EF46443"/>
      <c r="EG46443"/>
      <c r="EH46443"/>
      <c r="EI46443"/>
      <c r="EJ46443"/>
      <c r="EK46443"/>
    </row>
    <row r="46444" spans="1:141" s="116" customFormat="1">
      <c r="A46444" s="136"/>
      <c r="CM46444" s="111"/>
      <c r="CQ46444" s="111"/>
      <c r="EF46444"/>
      <c r="EG46444"/>
      <c r="EH46444"/>
      <c r="EI46444"/>
      <c r="EJ46444"/>
      <c r="EK46444"/>
    </row>
    <row r="46445" spans="1:141" s="116" customFormat="1">
      <c r="A46445" s="136"/>
      <c r="CM46445" s="111"/>
      <c r="CQ46445" s="111"/>
      <c r="EF46445"/>
      <c r="EG46445"/>
      <c r="EH46445"/>
      <c r="EI46445"/>
      <c r="EJ46445"/>
      <c r="EK46445"/>
    </row>
    <row r="46446" spans="1:141" s="116" customFormat="1">
      <c r="A46446" s="136"/>
      <c r="CM46446" s="111"/>
      <c r="CQ46446" s="111"/>
      <c r="EF46446"/>
      <c r="EG46446"/>
      <c r="EH46446"/>
      <c r="EI46446"/>
      <c r="EJ46446"/>
      <c r="EK46446"/>
    </row>
    <row r="46447" spans="1:141" s="116" customFormat="1">
      <c r="A46447" s="136"/>
      <c r="CM46447" s="111"/>
      <c r="CQ46447" s="111"/>
      <c r="EF46447"/>
      <c r="EG46447"/>
      <c r="EH46447"/>
      <c r="EI46447"/>
      <c r="EJ46447"/>
      <c r="EK46447"/>
    </row>
    <row r="46448" spans="1:141" s="116" customFormat="1">
      <c r="A46448" s="136"/>
      <c r="CM46448" s="111"/>
      <c r="CQ46448" s="111"/>
      <c r="EF46448"/>
      <c r="EG46448"/>
      <c r="EH46448"/>
      <c r="EI46448"/>
      <c r="EJ46448"/>
      <c r="EK46448"/>
    </row>
    <row r="46449" spans="1:141" s="116" customFormat="1">
      <c r="A46449" s="136"/>
      <c r="CM46449" s="111"/>
      <c r="CQ46449" s="111"/>
      <c r="EF46449"/>
      <c r="EG46449"/>
      <c r="EH46449"/>
      <c r="EI46449"/>
      <c r="EJ46449"/>
      <c r="EK46449"/>
    </row>
    <row r="46450" spans="1:141" s="116" customFormat="1">
      <c r="A46450" s="136"/>
      <c r="CM46450" s="111"/>
      <c r="CQ46450" s="111"/>
      <c r="EF46450"/>
      <c r="EG46450"/>
      <c r="EH46450"/>
      <c r="EI46450"/>
      <c r="EJ46450"/>
      <c r="EK46450"/>
    </row>
    <row r="46451" spans="1:141" s="116" customFormat="1">
      <c r="A46451" s="136"/>
      <c r="CM46451" s="111"/>
      <c r="CQ46451" s="111"/>
      <c r="EF46451"/>
      <c r="EG46451"/>
      <c r="EH46451"/>
      <c r="EI46451"/>
      <c r="EJ46451"/>
      <c r="EK46451"/>
    </row>
    <row r="46452" spans="1:141" s="116" customFormat="1">
      <c r="A46452" s="136"/>
      <c r="CM46452" s="111"/>
      <c r="CQ46452" s="111"/>
      <c r="EF46452"/>
      <c r="EG46452"/>
      <c r="EH46452"/>
      <c r="EI46452"/>
      <c r="EJ46452"/>
      <c r="EK46452"/>
    </row>
    <row r="46453" spans="1:141" s="116" customFormat="1">
      <c r="A46453" s="136"/>
      <c r="CM46453" s="111"/>
      <c r="CQ46453" s="111"/>
      <c r="EF46453"/>
      <c r="EG46453"/>
      <c r="EH46453"/>
      <c r="EI46453"/>
      <c r="EJ46453"/>
      <c r="EK46453"/>
    </row>
    <row r="46454" spans="1:141" s="116" customFormat="1">
      <c r="A46454" s="136"/>
      <c r="CM46454" s="111"/>
      <c r="CQ46454" s="111"/>
      <c r="EF46454"/>
      <c r="EG46454"/>
      <c r="EH46454"/>
      <c r="EI46454"/>
      <c r="EJ46454"/>
      <c r="EK46454"/>
    </row>
    <row r="46455" spans="1:141" s="116" customFormat="1">
      <c r="A46455" s="136"/>
      <c r="CM46455" s="111"/>
      <c r="CQ46455" s="111"/>
      <c r="EF46455"/>
      <c r="EG46455"/>
      <c r="EH46455"/>
      <c r="EI46455"/>
      <c r="EJ46455"/>
      <c r="EK46455"/>
    </row>
    <row r="46456" spans="1:141" s="116" customFormat="1">
      <c r="A46456" s="136"/>
      <c r="CM46456" s="111"/>
      <c r="CQ46456" s="111"/>
      <c r="EF46456"/>
      <c r="EG46456"/>
      <c r="EH46456"/>
      <c r="EI46456"/>
      <c r="EJ46456"/>
      <c r="EK46456"/>
    </row>
    <row r="46457" spans="1:141" s="116" customFormat="1">
      <c r="A46457" s="136"/>
      <c r="CM46457" s="111"/>
      <c r="CQ46457" s="111"/>
      <c r="EF46457"/>
      <c r="EG46457"/>
      <c r="EH46457"/>
      <c r="EI46457"/>
      <c r="EJ46457"/>
      <c r="EK46457"/>
    </row>
    <row r="46458" spans="1:141" s="116" customFormat="1">
      <c r="A46458" s="136"/>
      <c r="CM46458" s="111"/>
      <c r="CQ46458" s="111"/>
      <c r="EF46458"/>
      <c r="EG46458"/>
      <c r="EH46458"/>
      <c r="EI46458"/>
      <c r="EJ46458"/>
      <c r="EK46458"/>
    </row>
    <row r="46459" spans="1:141" s="116" customFormat="1">
      <c r="A46459" s="136"/>
      <c r="CM46459" s="111"/>
      <c r="CQ46459" s="111"/>
      <c r="EF46459"/>
      <c r="EG46459"/>
      <c r="EH46459"/>
      <c r="EI46459"/>
      <c r="EJ46459"/>
      <c r="EK46459"/>
    </row>
    <row r="46460" spans="1:141" s="116" customFormat="1">
      <c r="A46460" s="136"/>
      <c r="CM46460" s="111"/>
      <c r="CQ46460" s="111"/>
      <c r="EF46460"/>
      <c r="EG46460"/>
      <c r="EH46460"/>
      <c r="EI46460"/>
      <c r="EJ46460"/>
      <c r="EK46460"/>
    </row>
    <row r="46461" spans="1:141" s="116" customFormat="1">
      <c r="A46461" s="136"/>
      <c r="CM46461" s="111"/>
      <c r="CQ46461" s="111"/>
      <c r="EF46461"/>
      <c r="EG46461"/>
      <c r="EH46461"/>
      <c r="EI46461"/>
      <c r="EJ46461"/>
      <c r="EK46461"/>
    </row>
    <row r="46462" spans="1:141" s="116" customFormat="1">
      <c r="A46462" s="136"/>
      <c r="CM46462" s="111"/>
      <c r="CQ46462" s="111"/>
      <c r="EF46462"/>
      <c r="EG46462"/>
      <c r="EH46462"/>
      <c r="EI46462"/>
      <c r="EJ46462"/>
      <c r="EK46462"/>
    </row>
    <row r="46463" spans="1:141" s="116" customFormat="1">
      <c r="A46463" s="136"/>
      <c r="CM46463" s="111"/>
      <c r="CQ46463" s="111"/>
      <c r="EF46463"/>
      <c r="EG46463"/>
      <c r="EH46463"/>
      <c r="EI46463"/>
      <c r="EJ46463"/>
      <c r="EK46463"/>
    </row>
    <row r="46464" spans="1:141" s="116" customFormat="1">
      <c r="A46464" s="136"/>
      <c r="CM46464" s="111"/>
      <c r="CQ46464" s="111"/>
      <c r="EF46464"/>
      <c r="EG46464"/>
      <c r="EH46464"/>
      <c r="EI46464"/>
      <c r="EJ46464"/>
      <c r="EK46464"/>
    </row>
    <row r="46465" spans="1:141" s="116" customFormat="1">
      <c r="A46465" s="136"/>
      <c r="CM46465" s="111"/>
      <c r="CQ46465" s="111"/>
      <c r="EF46465"/>
      <c r="EG46465"/>
      <c r="EH46465"/>
      <c r="EI46465"/>
      <c r="EJ46465"/>
      <c r="EK46465"/>
    </row>
    <row r="46466" spans="1:141" s="116" customFormat="1">
      <c r="A46466" s="136"/>
      <c r="CM46466" s="111"/>
      <c r="CQ46466" s="111"/>
      <c r="EF46466"/>
      <c r="EG46466"/>
      <c r="EH46466"/>
      <c r="EI46466"/>
      <c r="EJ46466"/>
      <c r="EK46466"/>
    </row>
    <row r="46467" spans="1:141" s="116" customFormat="1">
      <c r="A46467" s="136"/>
      <c r="CM46467" s="111"/>
      <c r="CQ46467" s="111"/>
      <c r="EF46467"/>
      <c r="EG46467"/>
      <c r="EH46467"/>
      <c r="EI46467"/>
      <c r="EJ46467"/>
      <c r="EK46467"/>
    </row>
    <row r="46468" spans="1:141" s="116" customFormat="1">
      <c r="A46468" s="136"/>
      <c r="CM46468" s="111"/>
      <c r="CQ46468" s="111"/>
      <c r="EF46468"/>
      <c r="EG46468"/>
      <c r="EH46468"/>
      <c r="EI46468"/>
      <c r="EJ46468"/>
      <c r="EK46468"/>
    </row>
    <row r="46469" spans="1:141" s="116" customFormat="1">
      <c r="A46469" s="136"/>
      <c r="CM46469" s="111"/>
      <c r="CQ46469" s="111"/>
      <c r="EF46469"/>
      <c r="EG46469"/>
      <c r="EH46469"/>
      <c r="EI46469"/>
      <c r="EJ46469"/>
      <c r="EK46469"/>
    </row>
    <row r="46470" spans="1:141" s="116" customFormat="1">
      <c r="A46470" s="136"/>
      <c r="CM46470" s="111"/>
      <c r="CQ46470" s="111"/>
      <c r="EF46470"/>
      <c r="EG46470"/>
      <c r="EH46470"/>
      <c r="EI46470"/>
      <c r="EJ46470"/>
      <c r="EK46470"/>
    </row>
    <row r="46471" spans="1:141" s="116" customFormat="1">
      <c r="A46471" s="136"/>
      <c r="CM46471" s="111"/>
      <c r="CQ46471" s="111"/>
      <c r="EF46471"/>
      <c r="EG46471"/>
      <c r="EH46471"/>
      <c r="EI46471"/>
      <c r="EJ46471"/>
      <c r="EK46471"/>
    </row>
    <row r="46472" spans="1:141" s="116" customFormat="1">
      <c r="A46472" s="136"/>
      <c r="CM46472" s="111"/>
      <c r="CQ46472" s="111"/>
      <c r="EF46472"/>
      <c r="EG46472"/>
      <c r="EH46472"/>
      <c r="EI46472"/>
      <c r="EJ46472"/>
      <c r="EK46472"/>
    </row>
    <row r="46473" spans="1:141" s="116" customFormat="1">
      <c r="A46473" s="136"/>
      <c r="CM46473" s="111"/>
      <c r="CQ46473" s="111"/>
      <c r="EF46473"/>
      <c r="EG46473"/>
      <c r="EH46473"/>
      <c r="EI46473"/>
      <c r="EJ46473"/>
      <c r="EK46473"/>
    </row>
    <row r="46474" spans="1:141" s="116" customFormat="1">
      <c r="A46474" s="136"/>
      <c r="CM46474" s="111"/>
      <c r="CQ46474" s="111"/>
      <c r="EF46474"/>
      <c r="EG46474"/>
      <c r="EH46474"/>
      <c r="EI46474"/>
      <c r="EJ46474"/>
      <c r="EK46474"/>
    </row>
    <row r="46475" spans="1:141" s="116" customFormat="1">
      <c r="A46475" s="136"/>
      <c r="CM46475" s="111"/>
      <c r="CQ46475" s="111"/>
      <c r="EF46475"/>
      <c r="EG46475"/>
      <c r="EH46475"/>
      <c r="EI46475"/>
      <c r="EJ46475"/>
      <c r="EK46475"/>
    </row>
    <row r="46476" spans="1:141" s="116" customFormat="1">
      <c r="A46476" s="136"/>
      <c r="CM46476" s="111"/>
      <c r="CQ46476" s="111"/>
      <c r="EF46476"/>
      <c r="EG46476"/>
      <c r="EH46476"/>
      <c r="EI46476"/>
      <c r="EJ46476"/>
      <c r="EK46476"/>
    </row>
    <row r="46477" spans="1:141" s="116" customFormat="1">
      <c r="A46477" s="136"/>
      <c r="CM46477" s="111"/>
      <c r="CQ46477" s="111"/>
      <c r="EF46477"/>
      <c r="EG46477"/>
      <c r="EH46477"/>
      <c r="EI46477"/>
      <c r="EJ46477"/>
      <c r="EK46477"/>
    </row>
    <row r="46478" spans="1:141" s="116" customFormat="1">
      <c r="A46478" s="136"/>
      <c r="CM46478" s="111"/>
      <c r="CQ46478" s="111"/>
      <c r="EF46478"/>
      <c r="EG46478"/>
      <c r="EH46478"/>
      <c r="EI46478"/>
      <c r="EJ46478"/>
      <c r="EK46478"/>
    </row>
    <row r="46479" spans="1:141" s="116" customFormat="1">
      <c r="A46479" s="136"/>
      <c r="CM46479" s="111"/>
      <c r="CQ46479" s="111"/>
      <c r="EF46479"/>
      <c r="EG46479"/>
      <c r="EH46479"/>
      <c r="EI46479"/>
      <c r="EJ46479"/>
      <c r="EK46479"/>
    </row>
    <row r="46480" spans="1:141" s="116" customFormat="1">
      <c r="A46480" s="136"/>
      <c r="CM46480" s="111"/>
      <c r="CQ46480" s="111"/>
      <c r="EF46480"/>
      <c r="EG46480"/>
      <c r="EH46480"/>
      <c r="EI46480"/>
      <c r="EJ46480"/>
      <c r="EK46480"/>
    </row>
    <row r="46481" spans="1:141" s="116" customFormat="1">
      <c r="A46481" s="136"/>
      <c r="CM46481" s="111"/>
      <c r="CQ46481" s="111"/>
      <c r="EF46481"/>
      <c r="EG46481"/>
      <c r="EH46481"/>
      <c r="EI46481"/>
      <c r="EJ46481"/>
      <c r="EK46481"/>
    </row>
    <row r="46482" spans="1:141" s="116" customFormat="1">
      <c r="A46482" s="136"/>
      <c r="CM46482" s="111"/>
      <c r="CQ46482" s="111"/>
      <c r="EF46482"/>
      <c r="EG46482"/>
      <c r="EH46482"/>
      <c r="EI46482"/>
      <c r="EJ46482"/>
      <c r="EK46482"/>
    </row>
    <row r="46483" spans="1:141" s="116" customFormat="1">
      <c r="A46483" s="136"/>
      <c r="CM46483" s="111"/>
      <c r="CQ46483" s="111"/>
      <c r="EF46483"/>
      <c r="EG46483"/>
      <c r="EH46483"/>
      <c r="EI46483"/>
      <c r="EJ46483"/>
      <c r="EK46483"/>
    </row>
    <row r="46484" spans="1:141" s="116" customFormat="1">
      <c r="A46484" s="136"/>
      <c r="CM46484" s="111"/>
      <c r="CQ46484" s="111"/>
      <c r="EF46484"/>
      <c r="EG46484"/>
      <c r="EH46484"/>
      <c r="EI46484"/>
      <c r="EJ46484"/>
      <c r="EK46484"/>
    </row>
    <row r="46485" spans="1:141" s="116" customFormat="1">
      <c r="A46485" s="136"/>
      <c r="CM46485" s="111"/>
      <c r="CQ46485" s="111"/>
      <c r="EF46485"/>
      <c r="EG46485"/>
      <c r="EH46485"/>
      <c r="EI46485"/>
      <c r="EJ46485"/>
      <c r="EK46485"/>
    </row>
    <row r="46486" spans="1:141" s="116" customFormat="1">
      <c r="A46486" s="136"/>
      <c r="CM46486" s="111"/>
      <c r="CQ46486" s="111"/>
      <c r="EF46486"/>
      <c r="EG46486"/>
      <c r="EH46486"/>
      <c r="EI46486"/>
      <c r="EJ46486"/>
      <c r="EK46486"/>
    </row>
    <row r="46487" spans="1:141" s="116" customFormat="1">
      <c r="A46487" s="136"/>
      <c r="CM46487" s="111"/>
      <c r="CQ46487" s="111"/>
      <c r="EF46487"/>
      <c r="EG46487"/>
      <c r="EH46487"/>
      <c r="EI46487"/>
      <c r="EJ46487"/>
      <c r="EK46487"/>
    </row>
    <row r="46488" spans="1:141" s="116" customFormat="1">
      <c r="A46488" s="136"/>
      <c r="CM46488" s="111"/>
      <c r="CQ46488" s="111"/>
      <c r="EF46488"/>
      <c r="EG46488"/>
      <c r="EH46488"/>
      <c r="EI46488"/>
      <c r="EJ46488"/>
      <c r="EK46488"/>
    </row>
    <row r="46489" spans="1:141" s="116" customFormat="1">
      <c r="A46489" s="136"/>
      <c r="CM46489" s="111"/>
      <c r="CQ46489" s="111"/>
      <c r="EF46489"/>
      <c r="EG46489"/>
      <c r="EH46489"/>
      <c r="EI46489"/>
      <c r="EJ46489"/>
      <c r="EK46489"/>
    </row>
    <row r="46490" spans="1:141" s="116" customFormat="1">
      <c r="A46490" s="136"/>
      <c r="CM46490" s="111"/>
      <c r="CQ46490" s="111"/>
      <c r="EF46490"/>
      <c r="EG46490"/>
      <c r="EH46490"/>
      <c r="EI46490"/>
      <c r="EJ46490"/>
      <c r="EK46490"/>
    </row>
    <row r="46491" spans="1:141" s="116" customFormat="1">
      <c r="A46491" s="136"/>
      <c r="CM46491" s="111"/>
      <c r="CQ46491" s="111"/>
      <c r="EF46491"/>
      <c r="EG46491"/>
      <c r="EH46491"/>
      <c r="EI46491"/>
      <c r="EJ46491"/>
      <c r="EK46491"/>
    </row>
    <row r="46492" spans="1:141" s="116" customFormat="1">
      <c r="A46492" s="136"/>
      <c r="CM46492" s="111"/>
      <c r="CQ46492" s="111"/>
      <c r="EF46492"/>
      <c r="EG46492"/>
      <c r="EH46492"/>
      <c r="EI46492"/>
      <c r="EJ46492"/>
      <c r="EK46492"/>
    </row>
    <row r="46493" spans="1:141" s="116" customFormat="1">
      <c r="A46493" s="136"/>
      <c r="CM46493" s="111"/>
      <c r="CQ46493" s="111"/>
      <c r="EF46493"/>
      <c r="EG46493"/>
      <c r="EH46493"/>
      <c r="EI46493"/>
      <c r="EJ46493"/>
      <c r="EK46493"/>
    </row>
    <row r="46494" spans="1:141" s="116" customFormat="1">
      <c r="A46494" s="136"/>
      <c r="CM46494" s="111"/>
      <c r="CQ46494" s="111"/>
      <c r="EF46494"/>
      <c r="EG46494"/>
      <c r="EH46494"/>
      <c r="EI46494"/>
      <c r="EJ46494"/>
      <c r="EK46494"/>
    </row>
    <row r="46495" spans="1:141" s="116" customFormat="1">
      <c r="A46495" s="136"/>
      <c r="CM46495" s="111"/>
      <c r="CQ46495" s="111"/>
      <c r="EF46495"/>
      <c r="EG46495"/>
      <c r="EH46495"/>
      <c r="EI46495"/>
      <c r="EJ46495"/>
      <c r="EK46495"/>
    </row>
    <row r="46496" spans="1:141" s="116" customFormat="1">
      <c r="A46496" s="136"/>
      <c r="CM46496" s="111"/>
      <c r="CQ46496" s="111"/>
      <c r="EF46496"/>
      <c r="EG46496"/>
      <c r="EH46496"/>
      <c r="EI46496"/>
      <c r="EJ46496"/>
      <c r="EK46496"/>
    </row>
    <row r="46497" spans="1:141" s="116" customFormat="1">
      <c r="A46497" s="136"/>
      <c r="CM46497" s="111"/>
      <c r="CQ46497" s="111"/>
      <c r="EF46497"/>
      <c r="EG46497"/>
      <c r="EH46497"/>
      <c r="EI46497"/>
      <c r="EJ46497"/>
      <c r="EK46497"/>
    </row>
    <row r="46498" spans="1:141" s="116" customFormat="1">
      <c r="A46498" s="136"/>
      <c r="CM46498" s="111"/>
      <c r="CQ46498" s="111"/>
      <c r="EF46498"/>
      <c r="EG46498"/>
      <c r="EH46498"/>
      <c r="EI46498"/>
      <c r="EJ46498"/>
      <c r="EK46498"/>
    </row>
    <row r="46499" spans="1:141" s="116" customFormat="1">
      <c r="A46499" s="136"/>
      <c r="CM46499" s="111"/>
      <c r="CQ46499" s="111"/>
      <c r="EF46499"/>
      <c r="EG46499"/>
      <c r="EH46499"/>
      <c r="EI46499"/>
      <c r="EJ46499"/>
      <c r="EK46499"/>
    </row>
    <row r="46500" spans="1:141" s="116" customFormat="1">
      <c r="A46500" s="136"/>
      <c r="CM46500" s="111"/>
      <c r="CQ46500" s="111"/>
      <c r="EF46500"/>
      <c r="EG46500"/>
      <c r="EH46500"/>
      <c r="EI46500"/>
      <c r="EJ46500"/>
      <c r="EK46500"/>
    </row>
    <row r="46501" spans="1:141" s="116" customFormat="1">
      <c r="A46501" s="136"/>
      <c r="CM46501" s="111"/>
      <c r="CQ46501" s="111"/>
      <c r="EF46501"/>
      <c r="EG46501"/>
      <c r="EH46501"/>
      <c r="EI46501"/>
      <c r="EJ46501"/>
      <c r="EK46501"/>
    </row>
    <row r="46502" spans="1:141" s="116" customFormat="1">
      <c r="A46502" s="136"/>
      <c r="CM46502" s="111"/>
      <c r="CQ46502" s="111"/>
      <c r="EF46502"/>
      <c r="EG46502"/>
      <c r="EH46502"/>
      <c r="EI46502"/>
      <c r="EJ46502"/>
      <c r="EK46502"/>
    </row>
    <row r="46503" spans="1:141" s="116" customFormat="1">
      <c r="A46503" s="136"/>
      <c r="CM46503" s="111"/>
      <c r="CQ46503" s="111"/>
      <c r="EF46503"/>
      <c r="EG46503"/>
      <c r="EH46503"/>
      <c r="EI46503"/>
      <c r="EJ46503"/>
      <c r="EK46503"/>
    </row>
    <row r="46504" spans="1:141" s="116" customFormat="1">
      <c r="A46504" s="136"/>
      <c r="CM46504" s="111"/>
      <c r="CQ46504" s="111"/>
      <c r="EF46504"/>
      <c r="EG46504"/>
      <c r="EH46504"/>
      <c r="EI46504"/>
      <c r="EJ46504"/>
      <c r="EK46504"/>
    </row>
    <row r="46505" spans="1:141" s="116" customFormat="1">
      <c r="A46505" s="136"/>
      <c r="CM46505" s="111"/>
      <c r="CQ46505" s="111"/>
      <c r="EF46505"/>
      <c r="EG46505"/>
      <c r="EH46505"/>
      <c r="EI46505"/>
      <c r="EJ46505"/>
      <c r="EK46505"/>
    </row>
    <row r="46506" spans="1:141" s="116" customFormat="1">
      <c r="A46506" s="136"/>
      <c r="CM46506" s="111"/>
      <c r="CQ46506" s="111"/>
      <c r="EF46506"/>
      <c r="EG46506"/>
      <c r="EH46506"/>
      <c r="EI46506"/>
      <c r="EJ46506"/>
      <c r="EK46506"/>
    </row>
    <row r="46507" spans="1:141" s="116" customFormat="1">
      <c r="A46507" s="136"/>
      <c r="CM46507" s="111"/>
      <c r="CQ46507" s="111"/>
      <c r="EF46507"/>
      <c r="EG46507"/>
      <c r="EH46507"/>
      <c r="EI46507"/>
      <c r="EJ46507"/>
      <c r="EK46507"/>
    </row>
    <row r="46508" spans="1:141" s="116" customFormat="1">
      <c r="A46508" s="136"/>
      <c r="CM46508" s="111"/>
      <c r="CQ46508" s="111"/>
      <c r="EF46508"/>
      <c r="EG46508"/>
      <c r="EH46508"/>
      <c r="EI46508"/>
      <c r="EJ46508"/>
      <c r="EK46508"/>
    </row>
    <row r="46509" spans="1:141" s="116" customFormat="1">
      <c r="A46509" s="136"/>
      <c r="CM46509" s="111"/>
      <c r="CQ46509" s="111"/>
      <c r="EF46509"/>
      <c r="EG46509"/>
      <c r="EH46509"/>
      <c r="EI46509"/>
      <c r="EJ46509"/>
      <c r="EK46509"/>
    </row>
    <row r="46510" spans="1:141" s="116" customFormat="1">
      <c r="A46510" s="136"/>
      <c r="CM46510" s="111"/>
      <c r="CQ46510" s="111"/>
      <c r="EF46510"/>
      <c r="EG46510"/>
      <c r="EH46510"/>
      <c r="EI46510"/>
      <c r="EJ46510"/>
      <c r="EK46510"/>
    </row>
    <row r="46511" spans="1:141" s="116" customFormat="1">
      <c r="A46511" s="136"/>
      <c r="CM46511" s="111"/>
      <c r="CQ46511" s="111"/>
      <c r="EF46511"/>
      <c r="EG46511"/>
      <c r="EH46511"/>
      <c r="EI46511"/>
      <c r="EJ46511"/>
      <c r="EK46511"/>
    </row>
    <row r="46512" spans="1:141" s="116" customFormat="1">
      <c r="A46512" s="136"/>
      <c r="CM46512" s="111"/>
      <c r="CQ46512" s="111"/>
      <c r="EF46512"/>
      <c r="EG46512"/>
      <c r="EH46512"/>
      <c r="EI46512"/>
      <c r="EJ46512"/>
      <c r="EK46512"/>
    </row>
    <row r="46513" spans="1:141" s="116" customFormat="1">
      <c r="A46513" s="136"/>
      <c r="CM46513" s="111"/>
      <c r="CQ46513" s="111"/>
      <c r="EF46513"/>
      <c r="EG46513"/>
      <c r="EH46513"/>
      <c r="EI46513"/>
      <c r="EJ46513"/>
      <c r="EK46513"/>
    </row>
    <row r="46514" spans="1:141" s="116" customFormat="1">
      <c r="A46514" s="136"/>
      <c r="CM46514" s="111"/>
      <c r="CQ46514" s="111"/>
      <c r="EF46514"/>
      <c r="EG46514"/>
      <c r="EH46514"/>
      <c r="EI46514"/>
      <c r="EJ46514"/>
      <c r="EK46514"/>
    </row>
    <row r="46515" spans="1:141" s="116" customFormat="1">
      <c r="A46515" s="136"/>
      <c r="CM46515" s="111"/>
      <c r="CQ46515" s="111"/>
      <c r="EF46515"/>
      <c r="EG46515"/>
      <c r="EH46515"/>
      <c r="EI46515"/>
      <c r="EJ46515"/>
      <c r="EK46515"/>
    </row>
    <row r="46516" spans="1:141" s="116" customFormat="1">
      <c r="A46516" s="136"/>
      <c r="CM46516" s="111"/>
      <c r="CQ46516" s="111"/>
      <c r="EF46516"/>
      <c r="EG46516"/>
      <c r="EH46516"/>
      <c r="EI46516"/>
      <c r="EJ46516"/>
      <c r="EK46516"/>
    </row>
    <row r="46517" spans="1:141" s="116" customFormat="1">
      <c r="A46517" s="136"/>
      <c r="CM46517" s="111"/>
      <c r="CQ46517" s="111"/>
      <c r="EF46517"/>
      <c r="EG46517"/>
      <c r="EH46517"/>
      <c r="EI46517"/>
      <c r="EJ46517"/>
      <c r="EK46517"/>
    </row>
    <row r="46518" spans="1:141" s="116" customFormat="1">
      <c r="A46518" s="136"/>
      <c r="CM46518" s="111"/>
      <c r="CQ46518" s="111"/>
      <c r="EF46518"/>
      <c r="EG46518"/>
      <c r="EH46518"/>
      <c r="EI46518"/>
      <c r="EJ46518"/>
      <c r="EK46518"/>
    </row>
    <row r="46519" spans="1:141" s="116" customFormat="1">
      <c r="A46519" s="136"/>
      <c r="CM46519" s="111"/>
      <c r="CQ46519" s="111"/>
      <c r="EF46519"/>
      <c r="EG46519"/>
      <c r="EH46519"/>
      <c r="EI46519"/>
      <c r="EJ46519"/>
      <c r="EK46519"/>
    </row>
    <row r="46520" spans="1:141" s="116" customFormat="1">
      <c r="A46520" s="136"/>
      <c r="CM46520" s="111"/>
      <c r="CQ46520" s="111"/>
      <c r="EF46520"/>
      <c r="EG46520"/>
      <c r="EH46520"/>
      <c r="EI46520"/>
      <c r="EJ46520"/>
      <c r="EK46520"/>
    </row>
    <row r="46521" spans="1:141" s="116" customFormat="1">
      <c r="A46521" s="136"/>
      <c r="CM46521" s="111"/>
      <c r="CQ46521" s="111"/>
      <c r="EF46521"/>
      <c r="EG46521"/>
      <c r="EH46521"/>
      <c r="EI46521"/>
      <c r="EJ46521"/>
      <c r="EK46521"/>
    </row>
    <row r="46522" spans="1:141" s="116" customFormat="1">
      <c r="A46522" s="136"/>
      <c r="CM46522" s="111"/>
      <c r="CQ46522" s="111"/>
      <c r="EF46522"/>
      <c r="EG46522"/>
      <c r="EH46522"/>
      <c r="EI46522"/>
      <c r="EJ46522"/>
      <c r="EK46522"/>
    </row>
    <row r="46523" spans="1:141" s="116" customFormat="1">
      <c r="A46523" s="136"/>
      <c r="CM46523" s="111"/>
      <c r="CQ46523" s="111"/>
      <c r="EF46523"/>
      <c r="EG46523"/>
      <c r="EH46523"/>
      <c r="EI46523"/>
      <c r="EJ46523"/>
      <c r="EK46523"/>
    </row>
    <row r="46524" spans="1:141" s="116" customFormat="1">
      <c r="A46524" s="136"/>
      <c r="CM46524" s="111"/>
      <c r="CQ46524" s="111"/>
      <c r="EF46524"/>
      <c r="EG46524"/>
      <c r="EH46524"/>
      <c r="EI46524"/>
      <c r="EJ46524"/>
      <c r="EK46524"/>
    </row>
    <row r="46525" spans="1:141" s="116" customFormat="1">
      <c r="A46525" s="136"/>
      <c r="CM46525" s="111"/>
      <c r="CQ46525" s="111"/>
      <c r="EF46525"/>
      <c r="EG46525"/>
      <c r="EH46525"/>
      <c r="EI46525"/>
      <c r="EJ46525"/>
      <c r="EK46525"/>
    </row>
    <row r="46526" spans="1:141" s="116" customFormat="1">
      <c r="A46526" s="136"/>
      <c r="CM46526" s="111"/>
      <c r="CQ46526" s="111"/>
      <c r="EF46526"/>
      <c r="EG46526"/>
      <c r="EH46526"/>
      <c r="EI46526"/>
      <c r="EJ46526"/>
      <c r="EK46526"/>
    </row>
    <row r="46527" spans="1:141" s="116" customFormat="1">
      <c r="A46527" s="136"/>
      <c r="CM46527" s="111"/>
      <c r="CQ46527" s="111"/>
      <c r="EF46527"/>
      <c r="EG46527"/>
      <c r="EH46527"/>
      <c r="EI46527"/>
      <c r="EJ46527"/>
      <c r="EK46527"/>
    </row>
    <row r="46528" spans="1:141" s="116" customFormat="1">
      <c r="A46528" s="136"/>
      <c r="CM46528" s="111"/>
      <c r="CQ46528" s="111"/>
      <c r="EF46528"/>
      <c r="EG46528"/>
      <c r="EH46528"/>
      <c r="EI46528"/>
      <c r="EJ46528"/>
      <c r="EK46528"/>
    </row>
    <row r="46529" spans="1:141" s="116" customFormat="1">
      <c r="A46529" s="136"/>
      <c r="CM46529" s="111"/>
      <c r="CQ46529" s="111"/>
      <c r="EF46529"/>
      <c r="EG46529"/>
      <c r="EH46529"/>
      <c r="EI46529"/>
      <c r="EJ46529"/>
      <c r="EK46529"/>
    </row>
    <row r="46530" spans="1:141" s="116" customFormat="1">
      <c r="A46530" s="136"/>
      <c r="CM46530" s="111"/>
      <c r="CQ46530" s="111"/>
      <c r="EF46530"/>
      <c r="EG46530"/>
      <c r="EH46530"/>
      <c r="EI46530"/>
      <c r="EJ46530"/>
      <c r="EK46530"/>
    </row>
    <row r="46531" spans="1:141" s="116" customFormat="1">
      <c r="A46531" s="136"/>
      <c r="CM46531" s="111"/>
      <c r="CQ46531" s="111"/>
      <c r="EF46531"/>
      <c r="EG46531"/>
      <c r="EH46531"/>
      <c r="EI46531"/>
      <c r="EJ46531"/>
      <c r="EK46531"/>
    </row>
    <row r="46532" spans="1:141" s="116" customFormat="1">
      <c r="A46532" s="136"/>
      <c r="CM46532" s="111"/>
      <c r="CQ46532" s="111"/>
      <c r="EF46532"/>
      <c r="EG46532"/>
      <c r="EH46532"/>
      <c r="EI46532"/>
      <c r="EJ46532"/>
      <c r="EK46532"/>
    </row>
    <row r="46533" spans="1:141" s="116" customFormat="1">
      <c r="A46533" s="136"/>
      <c r="CM46533" s="111"/>
      <c r="CQ46533" s="111"/>
      <c r="EF46533"/>
      <c r="EG46533"/>
      <c r="EH46533"/>
      <c r="EI46533"/>
      <c r="EJ46533"/>
      <c r="EK46533"/>
    </row>
    <row r="46534" spans="1:141" s="116" customFormat="1">
      <c r="A46534" s="136"/>
      <c r="CM46534" s="111"/>
      <c r="CQ46534" s="111"/>
      <c r="EF46534"/>
      <c r="EG46534"/>
      <c r="EH46534"/>
      <c r="EI46534"/>
      <c r="EJ46534"/>
      <c r="EK46534"/>
    </row>
    <row r="46535" spans="1:141" s="116" customFormat="1">
      <c r="A46535" s="136"/>
      <c r="CM46535" s="111"/>
      <c r="CQ46535" s="111"/>
      <c r="EF46535"/>
      <c r="EG46535"/>
      <c r="EH46535"/>
      <c r="EI46535"/>
      <c r="EJ46535"/>
      <c r="EK46535"/>
    </row>
    <row r="46536" spans="1:141" s="116" customFormat="1">
      <c r="A46536" s="136"/>
      <c r="CM46536" s="111"/>
      <c r="CQ46536" s="111"/>
      <c r="EF46536"/>
      <c r="EG46536"/>
      <c r="EH46536"/>
      <c r="EI46536"/>
      <c r="EJ46536"/>
      <c r="EK46536"/>
    </row>
    <row r="46537" spans="1:141" s="116" customFormat="1">
      <c r="A46537" s="136"/>
      <c r="CM46537" s="111"/>
      <c r="CQ46537" s="111"/>
      <c r="EF46537"/>
      <c r="EG46537"/>
      <c r="EH46537"/>
      <c r="EI46537"/>
      <c r="EJ46537"/>
      <c r="EK46537"/>
    </row>
    <row r="46538" spans="1:141" s="116" customFormat="1">
      <c r="A46538" s="136"/>
      <c r="CM46538" s="111"/>
      <c r="CQ46538" s="111"/>
      <c r="EF46538"/>
      <c r="EG46538"/>
      <c r="EH46538"/>
      <c r="EI46538"/>
      <c r="EJ46538"/>
      <c r="EK46538"/>
    </row>
    <row r="46539" spans="1:141" s="116" customFormat="1">
      <c r="A46539" s="136"/>
      <c r="CM46539" s="111"/>
      <c r="CQ46539" s="111"/>
      <c r="EF46539"/>
      <c r="EG46539"/>
      <c r="EH46539"/>
      <c r="EI46539"/>
      <c r="EJ46539"/>
      <c r="EK46539"/>
    </row>
    <row r="46540" spans="1:141" s="116" customFormat="1">
      <c r="A46540" s="136"/>
      <c r="CM46540" s="111"/>
      <c r="CQ46540" s="111"/>
      <c r="EF46540"/>
      <c r="EG46540"/>
      <c r="EH46540"/>
      <c r="EI46540"/>
      <c r="EJ46540"/>
      <c r="EK46540"/>
    </row>
    <row r="46541" spans="1:141" s="116" customFormat="1">
      <c r="A46541" s="136"/>
      <c r="CM46541" s="111"/>
      <c r="CQ46541" s="111"/>
      <c r="EF46541"/>
      <c r="EG46541"/>
      <c r="EH46541"/>
      <c r="EI46541"/>
      <c r="EJ46541"/>
      <c r="EK46541"/>
    </row>
    <row r="46542" spans="1:141" s="116" customFormat="1">
      <c r="A46542" s="136"/>
      <c r="CM46542" s="111"/>
      <c r="CQ46542" s="111"/>
      <c r="EF46542"/>
      <c r="EG46542"/>
      <c r="EH46542"/>
      <c r="EI46542"/>
      <c r="EJ46542"/>
      <c r="EK46542"/>
    </row>
    <row r="46543" spans="1:141" s="116" customFormat="1">
      <c r="A46543" s="136"/>
      <c r="CM46543" s="111"/>
      <c r="CQ46543" s="111"/>
      <c r="EF46543"/>
      <c r="EG46543"/>
      <c r="EH46543"/>
      <c r="EI46543"/>
      <c r="EJ46543"/>
      <c r="EK46543"/>
    </row>
    <row r="46544" spans="1:141" s="116" customFormat="1">
      <c r="A46544" s="136"/>
      <c r="CM46544" s="111"/>
      <c r="CQ46544" s="111"/>
      <c r="EF46544"/>
      <c r="EG46544"/>
      <c r="EH46544"/>
      <c r="EI46544"/>
      <c r="EJ46544"/>
      <c r="EK46544"/>
    </row>
    <row r="46545" spans="1:141" s="116" customFormat="1">
      <c r="A46545" s="136"/>
      <c r="CM46545" s="111"/>
      <c r="CQ46545" s="111"/>
      <c r="EF46545"/>
      <c r="EG46545"/>
      <c r="EH46545"/>
      <c r="EI46545"/>
      <c r="EJ46545"/>
      <c r="EK46545"/>
    </row>
    <row r="46546" spans="1:141" s="116" customFormat="1">
      <c r="A46546" s="136"/>
      <c r="CM46546" s="111"/>
      <c r="CQ46546" s="111"/>
      <c r="EF46546"/>
      <c r="EG46546"/>
      <c r="EH46546"/>
      <c r="EI46546"/>
      <c r="EJ46546"/>
      <c r="EK46546"/>
    </row>
    <row r="46547" spans="1:141" s="116" customFormat="1">
      <c r="A46547" s="136"/>
      <c r="CM46547" s="111"/>
      <c r="CQ46547" s="111"/>
      <c r="EF46547"/>
      <c r="EG46547"/>
      <c r="EH46547"/>
      <c r="EI46547"/>
      <c r="EJ46547"/>
      <c r="EK46547"/>
    </row>
    <row r="46548" spans="1:141" s="116" customFormat="1">
      <c r="A46548" s="136"/>
      <c r="CM46548" s="111"/>
      <c r="CQ46548" s="111"/>
      <c r="EF46548"/>
      <c r="EG46548"/>
      <c r="EH46548"/>
      <c r="EI46548"/>
      <c r="EJ46548"/>
      <c r="EK46548"/>
    </row>
    <row r="46549" spans="1:141" s="116" customFormat="1">
      <c r="A46549" s="136"/>
      <c r="CM46549" s="111"/>
      <c r="CQ46549" s="111"/>
      <c r="EF46549"/>
      <c r="EG46549"/>
      <c r="EH46549"/>
      <c r="EI46549"/>
      <c r="EJ46549"/>
      <c r="EK46549"/>
    </row>
    <row r="46550" spans="1:141" s="116" customFormat="1">
      <c r="A46550" s="136"/>
      <c r="CM46550" s="111"/>
      <c r="CQ46550" s="111"/>
      <c r="EF46550"/>
      <c r="EG46550"/>
      <c r="EH46550"/>
      <c r="EI46550"/>
      <c r="EJ46550"/>
      <c r="EK46550"/>
    </row>
    <row r="46551" spans="1:141" s="116" customFormat="1">
      <c r="A46551" s="136"/>
      <c r="CM46551" s="111"/>
      <c r="CQ46551" s="111"/>
      <c r="EF46551"/>
      <c r="EG46551"/>
      <c r="EH46551"/>
      <c r="EI46551"/>
      <c r="EJ46551"/>
      <c r="EK46551"/>
    </row>
    <row r="46552" spans="1:141" s="116" customFormat="1">
      <c r="A46552" s="136"/>
      <c r="CM46552" s="111"/>
      <c r="CQ46552" s="111"/>
      <c r="EF46552"/>
      <c r="EG46552"/>
      <c r="EH46552"/>
      <c r="EI46552"/>
      <c r="EJ46552"/>
      <c r="EK46552"/>
    </row>
    <row r="46553" spans="1:141" s="116" customFormat="1">
      <c r="A46553" s="136"/>
      <c r="CM46553" s="111"/>
      <c r="CQ46553" s="111"/>
      <c r="EF46553"/>
      <c r="EG46553"/>
      <c r="EH46553"/>
      <c r="EI46553"/>
      <c r="EJ46553"/>
      <c r="EK46553"/>
    </row>
    <row r="46554" spans="1:141" s="116" customFormat="1">
      <c r="A46554" s="136"/>
      <c r="CM46554" s="111"/>
      <c r="CQ46554" s="111"/>
      <c r="EF46554"/>
      <c r="EG46554"/>
      <c r="EH46554"/>
      <c r="EI46554"/>
      <c r="EJ46554"/>
      <c r="EK46554"/>
    </row>
    <row r="46555" spans="1:141" s="116" customFormat="1">
      <c r="A46555" s="136"/>
      <c r="CM46555" s="111"/>
      <c r="CQ46555" s="111"/>
      <c r="EF46555"/>
      <c r="EG46555"/>
      <c r="EH46555"/>
      <c r="EI46555"/>
      <c r="EJ46555"/>
      <c r="EK46555"/>
    </row>
    <row r="46556" spans="1:141" s="116" customFormat="1">
      <c r="A46556" s="136"/>
      <c r="CM46556" s="111"/>
      <c r="CQ46556" s="111"/>
      <c r="EF46556"/>
      <c r="EG46556"/>
      <c r="EH46556"/>
      <c r="EI46556"/>
      <c r="EJ46556"/>
      <c r="EK46556"/>
    </row>
    <row r="46557" spans="1:141" s="116" customFormat="1">
      <c r="A46557" s="136"/>
      <c r="CM46557" s="111"/>
      <c r="CQ46557" s="111"/>
      <c r="EF46557"/>
      <c r="EG46557"/>
      <c r="EH46557"/>
      <c r="EI46557"/>
      <c r="EJ46557"/>
      <c r="EK46557"/>
    </row>
    <row r="46558" spans="1:141" s="116" customFormat="1">
      <c r="A46558" s="136"/>
      <c r="CM46558" s="111"/>
      <c r="CQ46558" s="111"/>
      <c r="EF46558"/>
      <c r="EG46558"/>
      <c r="EH46558"/>
      <c r="EI46558"/>
      <c r="EJ46558"/>
      <c r="EK46558"/>
    </row>
    <row r="46559" spans="1:141" s="116" customFormat="1">
      <c r="A46559" s="136"/>
      <c r="CM46559" s="111"/>
      <c r="CQ46559" s="111"/>
      <c r="EF46559"/>
      <c r="EG46559"/>
      <c r="EH46559"/>
      <c r="EI46559"/>
      <c r="EJ46559"/>
      <c r="EK46559"/>
    </row>
    <row r="46560" spans="1:141" s="116" customFormat="1">
      <c r="A46560" s="136"/>
      <c r="CM46560" s="111"/>
      <c r="CQ46560" s="111"/>
      <c r="EF46560"/>
      <c r="EG46560"/>
      <c r="EH46560"/>
      <c r="EI46560"/>
      <c r="EJ46560"/>
      <c r="EK46560"/>
    </row>
    <row r="46561" spans="1:141" s="116" customFormat="1">
      <c r="A46561" s="136"/>
      <c r="CM46561" s="111"/>
      <c r="CQ46561" s="111"/>
      <c r="EF46561"/>
      <c r="EG46561"/>
      <c r="EH46561"/>
      <c r="EI46561"/>
      <c r="EJ46561"/>
      <c r="EK46561"/>
    </row>
    <row r="46562" spans="1:141" s="116" customFormat="1">
      <c r="A46562" s="136"/>
      <c r="CM46562" s="111"/>
      <c r="CQ46562" s="111"/>
      <c r="EF46562"/>
      <c r="EG46562"/>
      <c r="EH46562"/>
      <c r="EI46562"/>
      <c r="EJ46562"/>
      <c r="EK46562"/>
    </row>
    <row r="46563" spans="1:141" s="116" customFormat="1">
      <c r="A46563" s="136"/>
      <c r="CM46563" s="111"/>
      <c r="CQ46563" s="111"/>
      <c r="EF46563"/>
      <c r="EG46563"/>
      <c r="EH46563"/>
      <c r="EI46563"/>
      <c r="EJ46563"/>
      <c r="EK46563"/>
    </row>
    <row r="46564" spans="1:141" s="116" customFormat="1">
      <c r="A46564" s="136"/>
      <c r="CM46564" s="111"/>
      <c r="CQ46564" s="111"/>
      <c r="EF46564"/>
      <c r="EG46564"/>
      <c r="EH46564"/>
      <c r="EI46564"/>
      <c r="EJ46564"/>
      <c r="EK46564"/>
    </row>
    <row r="46565" spans="1:141" s="116" customFormat="1">
      <c r="A46565" s="136"/>
      <c r="CM46565" s="111"/>
      <c r="CQ46565" s="111"/>
      <c r="EF46565"/>
      <c r="EG46565"/>
      <c r="EH46565"/>
      <c r="EI46565"/>
      <c r="EJ46565"/>
      <c r="EK46565"/>
    </row>
    <row r="46566" spans="1:141" s="116" customFormat="1">
      <c r="A46566" s="136"/>
      <c r="CM46566" s="111"/>
      <c r="CQ46566" s="111"/>
      <c r="EF46566"/>
      <c r="EG46566"/>
      <c r="EH46566"/>
      <c r="EI46566"/>
      <c r="EJ46566"/>
      <c r="EK46566"/>
    </row>
    <row r="46567" spans="1:141" s="116" customFormat="1">
      <c r="A46567" s="136"/>
      <c r="CM46567" s="111"/>
      <c r="CQ46567" s="111"/>
      <c r="EF46567"/>
      <c r="EG46567"/>
      <c r="EH46567"/>
      <c r="EI46567"/>
      <c r="EJ46567"/>
      <c r="EK46567"/>
    </row>
    <row r="46568" spans="1:141" s="116" customFormat="1">
      <c r="A46568" s="136"/>
      <c r="CM46568" s="111"/>
      <c r="CQ46568" s="111"/>
      <c r="EF46568"/>
      <c r="EG46568"/>
      <c r="EH46568"/>
      <c r="EI46568"/>
      <c r="EJ46568"/>
      <c r="EK46568"/>
    </row>
    <row r="46569" spans="1:141" s="116" customFormat="1">
      <c r="A46569" s="136"/>
      <c r="CM46569" s="111"/>
      <c r="CQ46569" s="111"/>
      <c r="EF46569"/>
      <c r="EG46569"/>
      <c r="EH46569"/>
      <c r="EI46569"/>
      <c r="EJ46569"/>
      <c r="EK46569"/>
    </row>
    <row r="46570" spans="1:141" s="116" customFormat="1">
      <c r="A46570" s="136"/>
      <c r="CM46570" s="111"/>
      <c r="CQ46570" s="111"/>
      <c r="EF46570"/>
      <c r="EG46570"/>
      <c r="EH46570"/>
      <c r="EI46570"/>
      <c r="EJ46570"/>
      <c r="EK46570"/>
    </row>
    <row r="46571" spans="1:141" s="116" customFormat="1">
      <c r="A46571" s="136"/>
      <c r="CM46571" s="111"/>
      <c r="CQ46571" s="111"/>
      <c r="EF46571"/>
      <c r="EG46571"/>
      <c r="EH46571"/>
      <c r="EI46571"/>
      <c r="EJ46571"/>
      <c r="EK46571"/>
    </row>
    <row r="46572" spans="1:141" s="116" customFormat="1">
      <c r="A46572" s="136"/>
      <c r="CM46572" s="111"/>
      <c r="CQ46572" s="111"/>
      <c r="EF46572"/>
      <c r="EG46572"/>
      <c r="EH46572"/>
      <c r="EI46572"/>
      <c r="EJ46572"/>
      <c r="EK46572"/>
    </row>
    <row r="46573" spans="1:141" s="116" customFormat="1">
      <c r="A46573" s="136"/>
      <c r="CM46573" s="111"/>
      <c r="CQ46573" s="111"/>
      <c r="EF46573"/>
      <c r="EG46573"/>
      <c r="EH46573"/>
      <c r="EI46573"/>
      <c r="EJ46573"/>
      <c r="EK46573"/>
    </row>
    <row r="46574" spans="1:141" s="116" customFormat="1">
      <c r="A46574" s="136"/>
      <c r="CM46574" s="111"/>
      <c r="CQ46574" s="111"/>
      <c r="EF46574"/>
      <c r="EG46574"/>
      <c r="EH46574"/>
      <c r="EI46574"/>
      <c r="EJ46574"/>
      <c r="EK46574"/>
    </row>
    <row r="46575" spans="1:141" s="116" customFormat="1">
      <c r="A46575" s="136"/>
      <c r="CM46575" s="111"/>
      <c r="CQ46575" s="111"/>
      <c r="EF46575"/>
      <c r="EG46575"/>
      <c r="EH46575"/>
      <c r="EI46575"/>
      <c r="EJ46575"/>
      <c r="EK46575"/>
    </row>
    <row r="46576" spans="1:141" s="116" customFormat="1">
      <c r="A46576" s="136"/>
      <c r="CM46576" s="111"/>
      <c r="CQ46576" s="111"/>
      <c r="EF46576"/>
      <c r="EG46576"/>
      <c r="EH46576"/>
      <c r="EI46576"/>
      <c r="EJ46576"/>
      <c r="EK46576"/>
    </row>
    <row r="46577" spans="1:141" s="116" customFormat="1">
      <c r="A46577" s="136"/>
      <c r="CM46577" s="111"/>
      <c r="CQ46577" s="111"/>
      <c r="EF46577"/>
      <c r="EG46577"/>
      <c r="EH46577"/>
      <c r="EI46577"/>
      <c r="EJ46577"/>
      <c r="EK46577"/>
    </row>
    <row r="46578" spans="1:141" s="116" customFormat="1">
      <c r="A46578" s="136"/>
      <c r="CM46578" s="111"/>
      <c r="CQ46578" s="111"/>
      <c r="EF46578"/>
      <c r="EG46578"/>
      <c r="EH46578"/>
      <c r="EI46578"/>
      <c r="EJ46578"/>
      <c r="EK46578"/>
    </row>
    <row r="46579" spans="1:141" s="116" customFormat="1">
      <c r="A46579" s="136"/>
      <c r="CM46579" s="111"/>
      <c r="CQ46579" s="111"/>
      <c r="EF46579"/>
      <c r="EG46579"/>
      <c r="EH46579"/>
      <c r="EI46579"/>
      <c r="EJ46579"/>
      <c r="EK46579"/>
    </row>
    <row r="46580" spans="1:141" s="116" customFormat="1">
      <c r="A46580" s="136"/>
      <c r="CM46580" s="111"/>
      <c r="CQ46580" s="111"/>
      <c r="EF46580"/>
      <c r="EG46580"/>
      <c r="EH46580"/>
      <c r="EI46580"/>
      <c r="EJ46580"/>
      <c r="EK46580"/>
    </row>
    <row r="46581" spans="1:141" s="116" customFormat="1">
      <c r="A46581" s="136"/>
      <c r="CM46581" s="111"/>
      <c r="CQ46581" s="111"/>
      <c r="EF46581"/>
      <c r="EG46581"/>
      <c r="EH46581"/>
      <c r="EI46581"/>
      <c r="EJ46581"/>
      <c r="EK46581"/>
    </row>
    <row r="46582" spans="1:141" s="116" customFormat="1">
      <c r="A46582" s="136"/>
      <c r="CM46582" s="111"/>
      <c r="CQ46582" s="111"/>
      <c r="EF46582"/>
      <c r="EG46582"/>
      <c r="EH46582"/>
      <c r="EI46582"/>
      <c r="EJ46582"/>
      <c r="EK46582"/>
    </row>
    <row r="46583" spans="1:141" s="116" customFormat="1">
      <c r="A46583" s="136"/>
      <c r="CM46583" s="111"/>
      <c r="CQ46583" s="111"/>
      <c r="EF46583"/>
      <c r="EG46583"/>
      <c r="EH46583"/>
      <c r="EI46583"/>
      <c r="EJ46583"/>
      <c r="EK46583"/>
    </row>
    <row r="46584" spans="1:141" s="116" customFormat="1">
      <c r="A46584" s="136"/>
      <c r="CM46584" s="111"/>
      <c r="CQ46584" s="111"/>
      <c r="EF46584"/>
      <c r="EG46584"/>
      <c r="EH46584"/>
      <c r="EI46584"/>
      <c r="EJ46584"/>
      <c r="EK46584"/>
    </row>
    <row r="46585" spans="1:141" s="116" customFormat="1">
      <c r="A46585" s="136"/>
      <c r="CM46585" s="111"/>
      <c r="CQ46585" s="111"/>
      <c r="EF46585"/>
      <c r="EG46585"/>
      <c r="EH46585"/>
      <c r="EI46585"/>
      <c r="EJ46585"/>
      <c r="EK46585"/>
    </row>
    <row r="46586" spans="1:141" s="116" customFormat="1">
      <c r="A46586" s="136"/>
      <c r="CM46586" s="111"/>
      <c r="CQ46586" s="111"/>
      <c r="EF46586"/>
      <c r="EG46586"/>
      <c r="EH46586"/>
      <c r="EI46586"/>
      <c r="EJ46586"/>
      <c r="EK46586"/>
    </row>
    <row r="46587" spans="1:141" s="116" customFormat="1">
      <c r="A46587" s="136"/>
      <c r="CM46587" s="111"/>
      <c r="CQ46587" s="111"/>
      <c r="EF46587"/>
      <c r="EG46587"/>
      <c r="EH46587"/>
      <c r="EI46587"/>
      <c r="EJ46587"/>
      <c r="EK46587"/>
    </row>
    <row r="46588" spans="1:141" s="116" customFormat="1">
      <c r="A46588" s="136"/>
      <c r="CM46588" s="111"/>
      <c r="CQ46588" s="111"/>
      <c r="EF46588"/>
      <c r="EG46588"/>
      <c r="EH46588"/>
      <c r="EI46588"/>
      <c r="EJ46588"/>
      <c r="EK46588"/>
    </row>
    <row r="46589" spans="1:141" s="116" customFormat="1">
      <c r="A46589" s="136"/>
      <c r="CM46589" s="111"/>
      <c r="CQ46589" s="111"/>
      <c r="EF46589"/>
      <c r="EG46589"/>
      <c r="EH46589"/>
      <c r="EI46589"/>
      <c r="EJ46589"/>
      <c r="EK46589"/>
    </row>
    <row r="46590" spans="1:141" s="116" customFormat="1">
      <c r="A46590" s="136"/>
      <c r="CM46590" s="111"/>
      <c r="CQ46590" s="111"/>
      <c r="EF46590"/>
      <c r="EG46590"/>
      <c r="EH46590"/>
      <c r="EI46590"/>
      <c r="EJ46590"/>
      <c r="EK46590"/>
    </row>
    <row r="46591" spans="1:141" s="116" customFormat="1">
      <c r="A46591" s="136"/>
      <c r="CM46591" s="111"/>
      <c r="CQ46591" s="111"/>
      <c r="EF46591"/>
      <c r="EG46591"/>
      <c r="EH46591"/>
      <c r="EI46591"/>
      <c r="EJ46591"/>
      <c r="EK46591"/>
    </row>
    <row r="46592" spans="1:141" s="116" customFormat="1">
      <c r="A46592" s="136"/>
      <c r="CM46592" s="111"/>
      <c r="CQ46592" s="111"/>
      <c r="EF46592"/>
      <c r="EG46592"/>
      <c r="EH46592"/>
      <c r="EI46592"/>
      <c r="EJ46592"/>
      <c r="EK46592"/>
    </row>
    <row r="46593" spans="1:141" s="116" customFormat="1">
      <c r="A46593" s="136"/>
      <c r="CM46593" s="111"/>
      <c r="CQ46593" s="111"/>
      <c r="EF46593"/>
      <c r="EG46593"/>
      <c r="EH46593"/>
      <c r="EI46593"/>
      <c r="EJ46593"/>
      <c r="EK46593"/>
    </row>
    <row r="46594" spans="1:141" s="116" customFormat="1">
      <c r="A46594" s="136"/>
      <c r="CM46594" s="111"/>
      <c r="CQ46594" s="111"/>
      <c r="EF46594"/>
      <c r="EG46594"/>
      <c r="EH46594"/>
      <c r="EI46594"/>
      <c r="EJ46594"/>
      <c r="EK46594"/>
    </row>
    <row r="46595" spans="1:141" s="116" customFormat="1">
      <c r="A46595" s="136"/>
      <c r="CM46595" s="111"/>
      <c r="CQ46595" s="111"/>
      <c r="EF46595"/>
      <c r="EG46595"/>
      <c r="EH46595"/>
      <c r="EI46595"/>
      <c r="EJ46595"/>
      <c r="EK46595"/>
    </row>
    <row r="46596" spans="1:141" s="116" customFormat="1">
      <c r="A46596" s="136"/>
      <c r="CM46596" s="111"/>
      <c r="CQ46596" s="111"/>
      <c r="EF46596"/>
      <c r="EG46596"/>
      <c r="EH46596"/>
      <c r="EI46596"/>
      <c r="EJ46596"/>
      <c r="EK46596"/>
    </row>
    <row r="46597" spans="1:141" s="116" customFormat="1">
      <c r="A46597" s="136"/>
      <c r="CM46597" s="111"/>
      <c r="CQ46597" s="111"/>
      <c r="EF46597"/>
      <c r="EG46597"/>
      <c r="EH46597"/>
      <c r="EI46597"/>
      <c r="EJ46597"/>
      <c r="EK46597"/>
    </row>
    <row r="46598" spans="1:141" s="116" customFormat="1">
      <c r="A46598" s="136"/>
      <c r="CM46598" s="111"/>
      <c r="CQ46598" s="111"/>
      <c r="EF46598"/>
      <c r="EG46598"/>
      <c r="EH46598"/>
      <c r="EI46598"/>
      <c r="EJ46598"/>
      <c r="EK46598"/>
    </row>
    <row r="46599" spans="1:141" s="116" customFormat="1">
      <c r="A46599" s="136"/>
      <c r="CM46599" s="111"/>
      <c r="CQ46599" s="111"/>
      <c r="EF46599"/>
      <c r="EG46599"/>
      <c r="EH46599"/>
      <c r="EI46599"/>
      <c r="EJ46599"/>
      <c r="EK46599"/>
    </row>
    <row r="46600" spans="1:141" s="116" customFormat="1">
      <c r="A46600" s="136"/>
      <c r="CM46600" s="111"/>
      <c r="CQ46600" s="111"/>
      <c r="EF46600"/>
      <c r="EG46600"/>
      <c r="EH46600"/>
      <c r="EI46600"/>
      <c r="EJ46600"/>
      <c r="EK46600"/>
    </row>
    <row r="46601" spans="1:141" s="116" customFormat="1">
      <c r="A46601" s="136"/>
      <c r="CM46601" s="111"/>
      <c r="CQ46601" s="111"/>
      <c r="EF46601"/>
      <c r="EG46601"/>
      <c r="EH46601"/>
      <c r="EI46601"/>
      <c r="EJ46601"/>
      <c r="EK46601"/>
    </row>
    <row r="46602" spans="1:141" s="116" customFormat="1">
      <c r="A46602" s="136"/>
      <c r="CM46602" s="111"/>
      <c r="CQ46602" s="111"/>
      <c r="EF46602"/>
      <c r="EG46602"/>
      <c r="EH46602"/>
      <c r="EI46602"/>
      <c r="EJ46602"/>
      <c r="EK46602"/>
    </row>
    <row r="46603" spans="1:141" s="116" customFormat="1">
      <c r="A46603" s="136"/>
      <c r="CM46603" s="111"/>
      <c r="CQ46603" s="111"/>
      <c r="EF46603"/>
      <c r="EG46603"/>
      <c r="EH46603"/>
      <c r="EI46603"/>
      <c r="EJ46603"/>
      <c r="EK46603"/>
    </row>
    <row r="46604" spans="1:141" s="116" customFormat="1">
      <c r="A46604" s="136"/>
      <c r="CM46604" s="111"/>
      <c r="CQ46604" s="111"/>
      <c r="EF46604"/>
      <c r="EG46604"/>
      <c r="EH46604"/>
      <c r="EI46604"/>
      <c r="EJ46604"/>
      <c r="EK46604"/>
    </row>
    <row r="46605" spans="1:141" s="116" customFormat="1">
      <c r="A46605" s="136"/>
      <c r="CM46605" s="111"/>
      <c r="CQ46605" s="111"/>
      <c r="EF46605"/>
      <c r="EG46605"/>
      <c r="EH46605"/>
      <c r="EI46605"/>
      <c r="EJ46605"/>
      <c r="EK46605"/>
    </row>
    <row r="46606" spans="1:141" s="116" customFormat="1">
      <c r="A46606" s="136"/>
      <c r="CM46606" s="111"/>
      <c r="CQ46606" s="111"/>
      <c r="EF46606"/>
      <c r="EG46606"/>
      <c r="EH46606"/>
      <c r="EI46606"/>
      <c r="EJ46606"/>
      <c r="EK46606"/>
    </row>
    <row r="46607" spans="1:141" s="116" customFormat="1">
      <c r="A46607" s="136"/>
      <c r="CM46607" s="111"/>
      <c r="CQ46607" s="111"/>
      <c r="EF46607"/>
      <c r="EG46607"/>
      <c r="EH46607"/>
      <c r="EI46607"/>
      <c r="EJ46607"/>
      <c r="EK46607"/>
    </row>
    <row r="46608" spans="1:141" s="116" customFormat="1">
      <c r="A46608" s="136"/>
      <c r="CM46608" s="111"/>
      <c r="CQ46608" s="111"/>
      <c r="EF46608"/>
      <c r="EG46608"/>
      <c r="EH46608"/>
      <c r="EI46608"/>
      <c r="EJ46608"/>
      <c r="EK46608"/>
    </row>
    <row r="46609" spans="1:141" s="116" customFormat="1">
      <c r="A46609" s="136"/>
      <c r="CM46609" s="111"/>
      <c r="CQ46609" s="111"/>
      <c r="EF46609"/>
      <c r="EG46609"/>
      <c r="EH46609"/>
      <c r="EI46609"/>
      <c r="EJ46609"/>
      <c r="EK46609"/>
    </row>
    <row r="46610" spans="1:141" s="116" customFormat="1">
      <c r="A46610" s="136"/>
      <c r="CM46610" s="111"/>
      <c r="CQ46610" s="111"/>
      <c r="EF46610"/>
      <c r="EG46610"/>
      <c r="EH46610"/>
      <c r="EI46610"/>
      <c r="EJ46610"/>
      <c r="EK46610"/>
    </row>
    <row r="46611" spans="1:141" s="116" customFormat="1">
      <c r="A46611" s="136"/>
      <c r="CM46611" s="111"/>
      <c r="CQ46611" s="111"/>
      <c r="EF46611"/>
      <c r="EG46611"/>
      <c r="EH46611"/>
      <c r="EI46611"/>
      <c r="EJ46611"/>
      <c r="EK46611"/>
    </row>
    <row r="46612" spans="1:141" s="116" customFormat="1">
      <c r="A46612" s="136"/>
      <c r="CM46612" s="111"/>
      <c r="CQ46612" s="111"/>
      <c r="EF46612"/>
      <c r="EG46612"/>
      <c r="EH46612"/>
      <c r="EI46612"/>
      <c r="EJ46612"/>
      <c r="EK46612"/>
    </row>
    <row r="46613" spans="1:141" s="116" customFormat="1">
      <c r="A46613" s="136"/>
      <c r="CM46613" s="111"/>
      <c r="CQ46613" s="111"/>
      <c r="EF46613"/>
      <c r="EG46613"/>
      <c r="EH46613"/>
      <c r="EI46613"/>
      <c r="EJ46613"/>
      <c r="EK46613"/>
    </row>
    <row r="46614" spans="1:141" s="116" customFormat="1">
      <c r="A46614" s="136"/>
      <c r="CM46614" s="111"/>
      <c r="CQ46614" s="111"/>
      <c r="EF46614"/>
      <c r="EG46614"/>
      <c r="EH46614"/>
      <c r="EI46614"/>
      <c r="EJ46614"/>
      <c r="EK46614"/>
    </row>
    <row r="46615" spans="1:141" s="116" customFormat="1">
      <c r="A46615" s="136"/>
      <c r="CM46615" s="111"/>
      <c r="CQ46615" s="111"/>
      <c r="EF46615"/>
      <c r="EG46615"/>
      <c r="EH46615"/>
      <c r="EI46615"/>
      <c r="EJ46615"/>
      <c r="EK46615"/>
    </row>
    <row r="46616" spans="1:141" s="116" customFormat="1">
      <c r="A46616" s="136"/>
      <c r="CM46616" s="111"/>
      <c r="CQ46616" s="111"/>
      <c r="EF46616"/>
      <c r="EG46616"/>
      <c r="EH46616"/>
      <c r="EI46616"/>
      <c r="EJ46616"/>
      <c r="EK46616"/>
    </row>
    <row r="46617" spans="1:141" s="116" customFormat="1">
      <c r="A46617" s="136"/>
      <c r="CM46617" s="111"/>
      <c r="CQ46617" s="111"/>
      <c r="EF46617"/>
      <c r="EG46617"/>
      <c r="EH46617"/>
      <c r="EI46617"/>
      <c r="EJ46617"/>
      <c r="EK46617"/>
    </row>
    <row r="46618" spans="1:141" s="116" customFormat="1">
      <c r="A46618" s="136"/>
      <c r="CM46618" s="111"/>
      <c r="CQ46618" s="111"/>
      <c r="EF46618"/>
      <c r="EG46618"/>
      <c r="EH46618"/>
      <c r="EI46618"/>
      <c r="EJ46618"/>
      <c r="EK46618"/>
    </row>
    <row r="46619" spans="1:141" s="116" customFormat="1">
      <c r="A46619" s="136"/>
      <c r="CM46619" s="111"/>
      <c r="CQ46619" s="111"/>
      <c r="EF46619"/>
      <c r="EG46619"/>
      <c r="EH46619"/>
      <c r="EI46619"/>
      <c r="EJ46619"/>
      <c r="EK46619"/>
    </row>
    <row r="46620" spans="1:141" s="116" customFormat="1">
      <c r="A46620" s="136"/>
      <c r="CM46620" s="111"/>
      <c r="CQ46620" s="111"/>
      <c r="EF46620"/>
      <c r="EG46620"/>
      <c r="EH46620"/>
      <c r="EI46620"/>
      <c r="EJ46620"/>
      <c r="EK46620"/>
    </row>
    <row r="46621" spans="1:141" s="116" customFormat="1">
      <c r="A46621" s="136"/>
      <c r="CM46621" s="111"/>
      <c r="CQ46621" s="111"/>
      <c r="EF46621"/>
      <c r="EG46621"/>
      <c r="EH46621"/>
      <c r="EI46621"/>
      <c r="EJ46621"/>
      <c r="EK46621"/>
    </row>
    <row r="46622" spans="1:141" s="116" customFormat="1">
      <c r="A46622" s="136"/>
      <c r="CM46622" s="111"/>
      <c r="CQ46622" s="111"/>
      <c r="EF46622"/>
      <c r="EG46622"/>
      <c r="EH46622"/>
      <c r="EI46622"/>
      <c r="EJ46622"/>
      <c r="EK46622"/>
    </row>
    <row r="46623" spans="1:141" s="116" customFormat="1">
      <c r="A46623" s="136"/>
      <c r="CM46623" s="111"/>
      <c r="CQ46623" s="111"/>
      <c r="EF46623"/>
      <c r="EG46623"/>
      <c r="EH46623"/>
      <c r="EI46623"/>
      <c r="EJ46623"/>
      <c r="EK46623"/>
    </row>
    <row r="46624" spans="1:141" s="116" customFormat="1">
      <c r="A46624" s="136"/>
      <c r="CM46624" s="111"/>
      <c r="CQ46624" s="111"/>
      <c r="EF46624"/>
      <c r="EG46624"/>
      <c r="EH46624"/>
      <c r="EI46624"/>
      <c r="EJ46624"/>
      <c r="EK46624"/>
    </row>
    <row r="46625" spans="1:141" s="116" customFormat="1">
      <c r="A46625" s="136"/>
      <c r="CM46625" s="111"/>
      <c r="CQ46625" s="111"/>
      <c r="EF46625"/>
      <c r="EG46625"/>
      <c r="EH46625"/>
      <c r="EI46625"/>
      <c r="EJ46625"/>
      <c r="EK46625"/>
    </row>
    <row r="46626" spans="1:141" s="116" customFormat="1">
      <c r="A46626" s="136"/>
      <c r="CM46626" s="111"/>
      <c r="CQ46626" s="111"/>
      <c r="EF46626"/>
      <c r="EG46626"/>
      <c r="EH46626"/>
      <c r="EI46626"/>
      <c r="EJ46626"/>
      <c r="EK46626"/>
    </row>
    <row r="46627" spans="1:141" s="116" customFormat="1">
      <c r="A46627" s="136"/>
      <c r="CM46627" s="111"/>
      <c r="CQ46627" s="111"/>
      <c r="EF46627"/>
      <c r="EG46627"/>
      <c r="EH46627"/>
      <c r="EI46627"/>
      <c r="EJ46627"/>
      <c r="EK46627"/>
    </row>
    <row r="46628" spans="1:141" s="116" customFormat="1">
      <c r="A46628" s="136"/>
      <c r="CM46628" s="111"/>
      <c r="CQ46628" s="111"/>
      <c r="EF46628"/>
      <c r="EG46628"/>
      <c r="EH46628"/>
      <c r="EI46628"/>
      <c r="EJ46628"/>
      <c r="EK46628"/>
    </row>
    <row r="46629" spans="1:141" s="116" customFormat="1">
      <c r="A46629" s="136"/>
      <c r="CM46629" s="111"/>
      <c r="CQ46629" s="111"/>
      <c r="EF46629"/>
      <c r="EG46629"/>
      <c r="EH46629"/>
      <c r="EI46629"/>
      <c r="EJ46629"/>
      <c r="EK46629"/>
    </row>
    <row r="46630" spans="1:141" s="116" customFormat="1">
      <c r="A46630" s="136"/>
      <c r="CM46630" s="111"/>
      <c r="CQ46630" s="111"/>
      <c r="EF46630"/>
      <c r="EG46630"/>
      <c r="EH46630"/>
      <c r="EI46630"/>
      <c r="EJ46630"/>
      <c r="EK46630"/>
    </row>
    <row r="46631" spans="1:141" s="116" customFormat="1">
      <c r="A46631" s="136"/>
      <c r="CM46631" s="111"/>
      <c r="CQ46631" s="111"/>
      <c r="EF46631"/>
      <c r="EG46631"/>
      <c r="EH46631"/>
      <c r="EI46631"/>
      <c r="EJ46631"/>
      <c r="EK46631"/>
    </row>
    <row r="46632" spans="1:141" s="116" customFormat="1">
      <c r="A46632" s="136"/>
      <c r="CM46632" s="111"/>
      <c r="CQ46632" s="111"/>
      <c r="EF46632"/>
      <c r="EG46632"/>
      <c r="EH46632"/>
      <c r="EI46632"/>
      <c r="EJ46632"/>
      <c r="EK46632"/>
    </row>
    <row r="46633" spans="1:141" s="116" customFormat="1">
      <c r="A46633" s="136"/>
      <c r="CM46633" s="111"/>
      <c r="CQ46633" s="111"/>
      <c r="EF46633"/>
      <c r="EG46633"/>
      <c r="EH46633"/>
      <c r="EI46633"/>
      <c r="EJ46633"/>
      <c r="EK46633"/>
    </row>
    <row r="46634" spans="1:141" s="116" customFormat="1">
      <c r="A46634" s="136"/>
      <c r="CM46634" s="111"/>
      <c r="CQ46634" s="111"/>
      <c r="EF46634"/>
      <c r="EG46634"/>
      <c r="EH46634"/>
      <c r="EI46634"/>
      <c r="EJ46634"/>
      <c r="EK46634"/>
    </row>
    <row r="46635" spans="1:141" s="116" customFormat="1">
      <c r="A46635" s="136"/>
      <c r="CM46635" s="111"/>
      <c r="CQ46635" s="111"/>
      <c r="EF46635"/>
      <c r="EG46635"/>
      <c r="EH46635"/>
      <c r="EI46635"/>
      <c r="EJ46635"/>
      <c r="EK46635"/>
    </row>
    <row r="46636" spans="1:141" s="116" customFormat="1">
      <c r="A46636" s="136"/>
      <c r="CM46636" s="111"/>
      <c r="CQ46636" s="111"/>
      <c r="EF46636"/>
      <c r="EG46636"/>
      <c r="EH46636"/>
      <c r="EI46636"/>
      <c r="EJ46636"/>
      <c r="EK46636"/>
    </row>
    <row r="46637" spans="1:141" s="116" customFormat="1">
      <c r="A46637" s="136"/>
      <c r="CM46637" s="111"/>
      <c r="CQ46637" s="111"/>
      <c r="EF46637"/>
      <c r="EG46637"/>
      <c r="EH46637"/>
      <c r="EI46637"/>
      <c r="EJ46637"/>
      <c r="EK46637"/>
    </row>
    <row r="46638" spans="1:141" s="116" customFormat="1">
      <c r="A46638" s="136"/>
      <c r="CM46638" s="111"/>
      <c r="CQ46638" s="111"/>
      <c r="EF46638"/>
      <c r="EG46638"/>
      <c r="EH46638"/>
      <c r="EI46638"/>
      <c r="EJ46638"/>
      <c r="EK46638"/>
    </row>
    <row r="46639" spans="1:141" s="116" customFormat="1">
      <c r="A46639" s="136"/>
      <c r="CM46639" s="111"/>
      <c r="CQ46639" s="111"/>
      <c r="EF46639"/>
      <c r="EG46639"/>
      <c r="EH46639"/>
      <c r="EI46639"/>
      <c r="EJ46639"/>
      <c r="EK46639"/>
    </row>
    <row r="46640" spans="1:141" s="116" customFormat="1">
      <c r="A46640" s="136"/>
      <c r="CM46640" s="111"/>
      <c r="CQ46640" s="111"/>
      <c r="EF46640"/>
      <c r="EG46640"/>
      <c r="EH46640"/>
      <c r="EI46640"/>
      <c r="EJ46640"/>
      <c r="EK46640"/>
    </row>
    <row r="46641" spans="1:141" s="116" customFormat="1">
      <c r="A46641" s="136"/>
      <c r="CM46641" s="111"/>
      <c r="CQ46641" s="111"/>
      <c r="EF46641"/>
      <c r="EG46641"/>
      <c r="EH46641"/>
      <c r="EI46641"/>
      <c r="EJ46641"/>
      <c r="EK46641"/>
    </row>
    <row r="46642" spans="1:141" s="116" customFormat="1">
      <c r="A46642" s="136"/>
      <c r="CM46642" s="111"/>
      <c r="CQ46642" s="111"/>
      <c r="EF46642"/>
      <c r="EG46642"/>
      <c r="EH46642"/>
      <c r="EI46642"/>
      <c r="EJ46642"/>
      <c r="EK46642"/>
    </row>
    <row r="46643" spans="1:141" s="116" customFormat="1">
      <c r="A46643" s="136"/>
      <c r="CM46643" s="111"/>
      <c r="CQ46643" s="111"/>
      <c r="EF46643"/>
      <c r="EG46643"/>
      <c r="EH46643"/>
      <c r="EI46643"/>
      <c r="EJ46643"/>
      <c r="EK46643"/>
    </row>
    <row r="46644" spans="1:141" s="116" customFormat="1">
      <c r="A46644" s="136"/>
      <c r="CM46644" s="111"/>
      <c r="CQ46644" s="111"/>
      <c r="EF46644"/>
      <c r="EG46644"/>
      <c r="EH46644"/>
      <c r="EI46644"/>
      <c r="EJ46644"/>
      <c r="EK46644"/>
    </row>
    <row r="46645" spans="1:141" s="116" customFormat="1">
      <c r="A46645" s="136"/>
      <c r="CM46645" s="111"/>
      <c r="CQ46645" s="111"/>
      <c r="EF46645"/>
      <c r="EG46645"/>
      <c r="EH46645"/>
      <c r="EI46645"/>
      <c r="EJ46645"/>
      <c r="EK46645"/>
    </row>
    <row r="46646" spans="1:141" s="116" customFormat="1">
      <c r="A46646" s="136"/>
      <c r="CM46646" s="111"/>
      <c r="CQ46646" s="111"/>
      <c r="EF46646"/>
      <c r="EG46646"/>
      <c r="EH46646"/>
      <c r="EI46646"/>
      <c r="EJ46646"/>
      <c r="EK46646"/>
    </row>
    <row r="46647" spans="1:141" s="116" customFormat="1">
      <c r="A46647" s="136"/>
      <c r="CM46647" s="111"/>
      <c r="CQ46647" s="111"/>
      <c r="EF46647"/>
      <c r="EG46647"/>
      <c r="EH46647"/>
      <c r="EI46647"/>
      <c r="EJ46647"/>
      <c r="EK46647"/>
    </row>
    <row r="46648" spans="1:141" s="116" customFormat="1">
      <c r="A46648" s="136"/>
      <c r="CM46648" s="111"/>
      <c r="CQ46648" s="111"/>
      <c r="EF46648"/>
      <c r="EG46648"/>
      <c r="EH46648"/>
      <c r="EI46648"/>
      <c r="EJ46648"/>
      <c r="EK46648"/>
    </row>
    <row r="46649" spans="1:141" s="116" customFormat="1">
      <c r="A46649" s="136"/>
      <c r="CM46649" s="111"/>
      <c r="CQ46649" s="111"/>
      <c r="EF46649"/>
      <c r="EG46649"/>
      <c r="EH46649"/>
      <c r="EI46649"/>
      <c r="EJ46649"/>
      <c r="EK46649"/>
    </row>
    <row r="46650" spans="1:141" s="116" customFormat="1">
      <c r="A46650" s="136"/>
      <c r="CM46650" s="111"/>
      <c r="CQ46650" s="111"/>
      <c r="EF46650"/>
      <c r="EG46650"/>
      <c r="EH46650"/>
      <c r="EI46650"/>
      <c r="EJ46650"/>
      <c r="EK46650"/>
    </row>
    <row r="46651" spans="1:141" s="116" customFormat="1">
      <c r="A46651" s="136"/>
      <c r="CM46651" s="111"/>
      <c r="CQ46651" s="111"/>
      <c r="EF46651"/>
      <c r="EG46651"/>
      <c r="EH46651"/>
      <c r="EI46651"/>
      <c r="EJ46651"/>
      <c r="EK46651"/>
    </row>
    <row r="46652" spans="1:141" s="116" customFormat="1">
      <c r="A46652" s="136"/>
      <c r="CM46652" s="111"/>
      <c r="CQ46652" s="111"/>
      <c r="EF46652"/>
      <c r="EG46652"/>
      <c r="EH46652"/>
      <c r="EI46652"/>
      <c r="EJ46652"/>
      <c r="EK46652"/>
    </row>
    <row r="46653" spans="1:141" s="116" customFormat="1">
      <c r="A46653" s="136"/>
      <c r="CM46653" s="111"/>
      <c r="CQ46653" s="111"/>
      <c r="EF46653"/>
      <c r="EG46653"/>
      <c r="EH46653"/>
      <c r="EI46653"/>
      <c r="EJ46653"/>
      <c r="EK46653"/>
    </row>
    <row r="46654" spans="1:141" s="116" customFormat="1">
      <c r="A46654" s="136"/>
      <c r="CM46654" s="111"/>
      <c r="CQ46654" s="111"/>
      <c r="EF46654"/>
      <c r="EG46654"/>
      <c r="EH46654"/>
      <c r="EI46654"/>
      <c r="EJ46654"/>
      <c r="EK46654"/>
    </row>
    <row r="46655" spans="1:141" s="116" customFormat="1">
      <c r="A46655" s="136"/>
      <c r="CM46655" s="111"/>
      <c r="CQ46655" s="111"/>
      <c r="EF46655"/>
      <c r="EG46655"/>
      <c r="EH46655"/>
      <c r="EI46655"/>
      <c r="EJ46655"/>
      <c r="EK46655"/>
    </row>
    <row r="46656" spans="1:141" s="116" customFormat="1">
      <c r="A46656" s="136"/>
      <c r="CM46656" s="111"/>
      <c r="CQ46656" s="111"/>
      <c r="EF46656"/>
      <c r="EG46656"/>
      <c r="EH46656"/>
      <c r="EI46656"/>
      <c r="EJ46656"/>
      <c r="EK46656"/>
    </row>
    <row r="46657" spans="1:141" s="116" customFormat="1">
      <c r="A46657" s="136"/>
      <c r="CM46657" s="111"/>
      <c r="CQ46657" s="111"/>
      <c r="EF46657"/>
      <c r="EG46657"/>
      <c r="EH46657"/>
      <c r="EI46657"/>
      <c r="EJ46657"/>
      <c r="EK46657"/>
    </row>
    <row r="46658" spans="1:141" s="116" customFormat="1">
      <c r="A46658" s="136"/>
      <c r="CM46658" s="111"/>
      <c r="CQ46658" s="111"/>
      <c r="EF46658"/>
      <c r="EG46658"/>
      <c r="EH46658"/>
      <c r="EI46658"/>
      <c r="EJ46658"/>
      <c r="EK46658"/>
    </row>
    <row r="46659" spans="1:141" s="116" customFormat="1">
      <c r="A46659" s="136"/>
      <c r="CM46659" s="111"/>
      <c r="CQ46659" s="111"/>
      <c r="EF46659"/>
      <c r="EG46659"/>
      <c r="EH46659"/>
      <c r="EI46659"/>
      <c r="EJ46659"/>
      <c r="EK46659"/>
    </row>
    <row r="46660" spans="1:141" s="116" customFormat="1">
      <c r="A46660" s="136"/>
      <c r="CM46660" s="111"/>
      <c r="CQ46660" s="111"/>
      <c r="EF46660"/>
      <c r="EG46660"/>
      <c r="EH46660"/>
      <c r="EI46660"/>
      <c r="EJ46660"/>
      <c r="EK46660"/>
    </row>
    <row r="46661" spans="1:141" s="116" customFormat="1">
      <c r="A46661" s="136"/>
      <c r="CM46661" s="111"/>
      <c r="CQ46661" s="111"/>
      <c r="EF46661"/>
      <c r="EG46661"/>
      <c r="EH46661"/>
      <c r="EI46661"/>
      <c r="EJ46661"/>
      <c r="EK46661"/>
    </row>
    <row r="46662" spans="1:141" s="116" customFormat="1">
      <c r="A46662" s="136"/>
      <c r="CM46662" s="111"/>
      <c r="CQ46662" s="111"/>
      <c r="EF46662"/>
      <c r="EG46662"/>
      <c r="EH46662"/>
      <c r="EI46662"/>
      <c r="EJ46662"/>
      <c r="EK46662"/>
    </row>
    <row r="46663" spans="1:141" s="116" customFormat="1">
      <c r="A46663" s="136"/>
      <c r="CM46663" s="111"/>
      <c r="CQ46663" s="111"/>
      <c r="EF46663"/>
      <c r="EG46663"/>
      <c r="EH46663"/>
      <c r="EI46663"/>
      <c r="EJ46663"/>
      <c r="EK46663"/>
    </row>
    <row r="46664" spans="1:141" s="116" customFormat="1">
      <c r="A46664" s="136"/>
      <c r="CM46664" s="111"/>
      <c r="CQ46664" s="111"/>
      <c r="EF46664"/>
      <c r="EG46664"/>
      <c r="EH46664"/>
      <c r="EI46664"/>
      <c r="EJ46664"/>
      <c r="EK46664"/>
    </row>
    <row r="46665" spans="1:141" s="116" customFormat="1">
      <c r="A46665" s="136"/>
      <c r="CM46665" s="111"/>
      <c r="CQ46665" s="111"/>
      <c r="EF46665"/>
      <c r="EG46665"/>
      <c r="EH46665"/>
      <c r="EI46665"/>
      <c r="EJ46665"/>
      <c r="EK46665"/>
    </row>
    <row r="46666" spans="1:141" s="116" customFormat="1">
      <c r="A46666" s="136"/>
      <c r="CM46666" s="111"/>
      <c r="CQ46666" s="111"/>
      <c r="EF46666"/>
      <c r="EG46666"/>
      <c r="EH46666"/>
      <c r="EI46666"/>
      <c r="EJ46666"/>
      <c r="EK46666"/>
    </row>
    <row r="46667" spans="1:141" s="116" customFormat="1">
      <c r="A46667" s="136"/>
      <c r="CM46667" s="111"/>
      <c r="CQ46667" s="111"/>
      <c r="EF46667"/>
      <c r="EG46667"/>
      <c r="EH46667"/>
      <c r="EI46667"/>
      <c r="EJ46667"/>
      <c r="EK46667"/>
    </row>
    <row r="46668" spans="1:141" s="116" customFormat="1">
      <c r="A46668" s="136"/>
      <c r="CM46668" s="111"/>
      <c r="CQ46668" s="111"/>
      <c r="EF46668"/>
      <c r="EG46668"/>
      <c r="EH46668"/>
      <c r="EI46668"/>
      <c r="EJ46668"/>
      <c r="EK46668"/>
    </row>
    <row r="46669" spans="1:141" s="116" customFormat="1">
      <c r="A46669" s="136"/>
      <c r="CM46669" s="111"/>
      <c r="CQ46669" s="111"/>
      <c r="EF46669"/>
      <c r="EG46669"/>
      <c r="EH46669"/>
      <c r="EI46669"/>
      <c r="EJ46669"/>
      <c r="EK46669"/>
    </row>
    <row r="46670" spans="1:141" s="116" customFormat="1">
      <c r="A46670" s="136"/>
      <c r="CM46670" s="111"/>
      <c r="CQ46670" s="111"/>
      <c r="EF46670"/>
      <c r="EG46670"/>
      <c r="EH46670"/>
      <c r="EI46670"/>
      <c r="EJ46670"/>
      <c r="EK46670"/>
    </row>
    <row r="46671" spans="1:141" s="116" customFormat="1">
      <c r="A46671" s="136"/>
      <c r="CM46671" s="111"/>
      <c r="CQ46671" s="111"/>
      <c r="EF46671"/>
      <c r="EG46671"/>
      <c r="EH46671"/>
      <c r="EI46671"/>
      <c r="EJ46671"/>
      <c r="EK46671"/>
    </row>
    <row r="46672" spans="1:141" s="116" customFormat="1">
      <c r="A46672" s="136"/>
      <c r="CM46672" s="111"/>
      <c r="CQ46672" s="111"/>
      <c r="EF46672"/>
      <c r="EG46672"/>
      <c r="EH46672"/>
      <c r="EI46672"/>
      <c r="EJ46672"/>
      <c r="EK46672"/>
    </row>
    <row r="46673" spans="1:141" s="116" customFormat="1">
      <c r="A46673" s="136"/>
      <c r="CM46673" s="111"/>
      <c r="CQ46673" s="111"/>
      <c r="EF46673"/>
      <c r="EG46673"/>
      <c r="EH46673"/>
      <c r="EI46673"/>
      <c r="EJ46673"/>
      <c r="EK46673"/>
    </row>
    <row r="46674" spans="1:141" s="116" customFormat="1">
      <c r="A46674" s="136"/>
      <c r="CM46674" s="111"/>
      <c r="CQ46674" s="111"/>
      <c r="EF46674"/>
      <c r="EG46674"/>
      <c r="EH46674"/>
      <c r="EI46674"/>
      <c r="EJ46674"/>
      <c r="EK46674"/>
    </row>
    <row r="46675" spans="1:141" s="116" customFormat="1">
      <c r="A46675" s="136"/>
      <c r="CM46675" s="111"/>
      <c r="CQ46675" s="111"/>
      <c r="EF46675"/>
      <c r="EG46675"/>
      <c r="EH46675"/>
      <c r="EI46675"/>
      <c r="EJ46675"/>
      <c r="EK46675"/>
    </row>
    <row r="46676" spans="1:141" s="116" customFormat="1">
      <c r="A46676" s="136"/>
      <c r="CM46676" s="111"/>
      <c r="CQ46676" s="111"/>
      <c r="EF46676"/>
      <c r="EG46676"/>
      <c r="EH46676"/>
      <c r="EI46676"/>
      <c r="EJ46676"/>
      <c r="EK46676"/>
    </row>
    <row r="46677" spans="1:141" s="116" customFormat="1">
      <c r="A46677" s="136"/>
      <c r="CM46677" s="111"/>
      <c r="CQ46677" s="111"/>
      <c r="EF46677"/>
      <c r="EG46677"/>
      <c r="EH46677"/>
      <c r="EI46677"/>
      <c r="EJ46677"/>
      <c r="EK46677"/>
    </row>
    <row r="46678" spans="1:141" s="116" customFormat="1">
      <c r="A46678" s="136"/>
      <c r="CM46678" s="111"/>
      <c r="CQ46678" s="111"/>
      <c r="EF46678"/>
      <c r="EG46678"/>
      <c r="EH46678"/>
      <c r="EI46678"/>
      <c r="EJ46678"/>
      <c r="EK46678"/>
    </row>
    <row r="46679" spans="1:141" s="116" customFormat="1">
      <c r="A46679" s="136"/>
      <c r="CM46679" s="111"/>
      <c r="CQ46679" s="111"/>
      <c r="EF46679"/>
      <c r="EG46679"/>
      <c r="EH46679"/>
      <c r="EI46679"/>
      <c r="EJ46679"/>
      <c r="EK46679"/>
    </row>
    <row r="46680" spans="1:141" s="116" customFormat="1">
      <c r="A46680" s="136"/>
      <c r="CM46680" s="111"/>
      <c r="CQ46680" s="111"/>
      <c r="EF46680"/>
      <c r="EG46680"/>
      <c r="EH46680"/>
      <c r="EI46680"/>
      <c r="EJ46680"/>
      <c r="EK46680"/>
    </row>
    <row r="46681" spans="1:141" s="116" customFormat="1">
      <c r="A46681" s="136"/>
      <c r="CM46681" s="111"/>
      <c r="CQ46681" s="111"/>
      <c r="EF46681"/>
      <c r="EG46681"/>
      <c r="EH46681"/>
      <c r="EI46681"/>
      <c r="EJ46681"/>
      <c r="EK46681"/>
    </row>
    <row r="46682" spans="1:141" s="116" customFormat="1">
      <c r="A46682" s="136"/>
      <c r="CM46682" s="111"/>
      <c r="CQ46682" s="111"/>
      <c r="EF46682"/>
      <c r="EG46682"/>
      <c r="EH46682"/>
      <c r="EI46682"/>
      <c r="EJ46682"/>
      <c r="EK46682"/>
    </row>
    <row r="46683" spans="1:141" s="116" customFormat="1">
      <c r="A46683" s="136"/>
      <c r="CM46683" s="111"/>
      <c r="CQ46683" s="111"/>
      <c r="EF46683"/>
      <c r="EG46683"/>
      <c r="EH46683"/>
      <c r="EI46683"/>
      <c r="EJ46683"/>
      <c r="EK46683"/>
    </row>
    <row r="46684" spans="1:141" s="116" customFormat="1">
      <c r="A46684" s="136"/>
      <c r="CM46684" s="111"/>
      <c r="CQ46684" s="111"/>
      <c r="EF46684"/>
      <c r="EG46684"/>
      <c r="EH46684"/>
      <c r="EI46684"/>
      <c r="EJ46684"/>
      <c r="EK46684"/>
    </row>
    <row r="46685" spans="1:141" s="116" customFormat="1">
      <c r="A46685" s="136"/>
      <c r="CM46685" s="111"/>
      <c r="CQ46685" s="111"/>
      <c r="EF46685"/>
      <c r="EG46685"/>
      <c r="EH46685"/>
      <c r="EI46685"/>
      <c r="EJ46685"/>
      <c r="EK46685"/>
    </row>
    <row r="46686" spans="1:141" s="116" customFormat="1">
      <c r="A46686" s="136"/>
      <c r="CM46686" s="111"/>
      <c r="CQ46686" s="111"/>
      <c r="EF46686"/>
      <c r="EG46686"/>
      <c r="EH46686"/>
      <c r="EI46686"/>
      <c r="EJ46686"/>
      <c r="EK46686"/>
    </row>
    <row r="46687" spans="1:141" s="116" customFormat="1">
      <c r="A46687" s="136"/>
      <c r="CM46687" s="111"/>
      <c r="CQ46687" s="111"/>
      <c r="EF46687"/>
      <c r="EG46687"/>
      <c r="EH46687"/>
      <c r="EI46687"/>
      <c r="EJ46687"/>
      <c r="EK46687"/>
    </row>
    <row r="46688" spans="1:141" s="116" customFormat="1">
      <c r="A46688" s="136"/>
      <c r="CM46688" s="111"/>
      <c r="CQ46688" s="111"/>
      <c r="EF46688"/>
      <c r="EG46688"/>
      <c r="EH46688"/>
      <c r="EI46688"/>
      <c r="EJ46688"/>
      <c r="EK46688"/>
    </row>
    <row r="46689" spans="1:141" s="116" customFormat="1">
      <c r="A46689" s="136"/>
      <c r="CM46689" s="111"/>
      <c r="CQ46689" s="111"/>
      <c r="EF46689"/>
      <c r="EG46689"/>
      <c r="EH46689"/>
      <c r="EI46689"/>
      <c r="EJ46689"/>
      <c r="EK46689"/>
    </row>
    <row r="46690" spans="1:141" s="116" customFormat="1">
      <c r="A46690" s="136"/>
      <c r="CM46690" s="111"/>
      <c r="CQ46690" s="111"/>
      <c r="EF46690"/>
      <c r="EG46690"/>
      <c r="EH46690"/>
      <c r="EI46690"/>
      <c r="EJ46690"/>
      <c r="EK46690"/>
    </row>
    <row r="46691" spans="1:141" s="116" customFormat="1">
      <c r="A46691" s="136"/>
      <c r="CM46691" s="111"/>
      <c r="CQ46691" s="111"/>
      <c r="EF46691"/>
      <c r="EG46691"/>
      <c r="EH46691"/>
      <c r="EI46691"/>
      <c r="EJ46691"/>
      <c r="EK46691"/>
    </row>
    <row r="46692" spans="1:141" s="116" customFormat="1">
      <c r="A46692" s="136"/>
      <c r="CM46692" s="111"/>
      <c r="CQ46692" s="111"/>
      <c r="EF46692"/>
      <c r="EG46692"/>
      <c r="EH46692"/>
      <c r="EI46692"/>
      <c r="EJ46692"/>
      <c r="EK46692"/>
    </row>
    <row r="46693" spans="1:141" s="116" customFormat="1">
      <c r="A46693" s="136"/>
      <c r="CM46693" s="111"/>
      <c r="CQ46693" s="111"/>
      <c r="EF46693"/>
      <c r="EG46693"/>
      <c r="EH46693"/>
      <c r="EI46693"/>
      <c r="EJ46693"/>
      <c r="EK46693"/>
    </row>
    <row r="46694" spans="1:141" s="116" customFormat="1">
      <c r="A46694" s="136"/>
      <c r="CM46694" s="111"/>
      <c r="CQ46694" s="111"/>
      <c r="EF46694"/>
      <c r="EG46694"/>
      <c r="EH46694"/>
      <c r="EI46694"/>
      <c r="EJ46694"/>
      <c r="EK46694"/>
    </row>
    <row r="46695" spans="1:141" s="116" customFormat="1">
      <c r="A46695" s="136"/>
      <c r="CM46695" s="111"/>
      <c r="CQ46695" s="111"/>
      <c r="EF46695"/>
      <c r="EG46695"/>
      <c r="EH46695"/>
      <c r="EI46695"/>
      <c r="EJ46695"/>
      <c r="EK46695"/>
    </row>
    <row r="46696" spans="1:141" s="116" customFormat="1">
      <c r="A46696" s="136"/>
      <c r="CM46696" s="111"/>
      <c r="CQ46696" s="111"/>
      <c r="EF46696"/>
      <c r="EG46696"/>
      <c r="EH46696"/>
      <c r="EI46696"/>
      <c r="EJ46696"/>
      <c r="EK46696"/>
    </row>
    <row r="46697" spans="1:141" s="116" customFormat="1">
      <c r="A46697" s="136"/>
      <c r="CM46697" s="111"/>
      <c r="CQ46697" s="111"/>
      <c r="EF46697"/>
      <c r="EG46697"/>
      <c r="EH46697"/>
      <c r="EI46697"/>
      <c r="EJ46697"/>
      <c r="EK46697"/>
    </row>
    <row r="46698" spans="1:141" s="116" customFormat="1">
      <c r="A46698" s="136"/>
      <c r="CM46698" s="111"/>
      <c r="CQ46698" s="111"/>
      <c r="EF46698"/>
      <c r="EG46698"/>
      <c r="EH46698"/>
      <c r="EI46698"/>
      <c r="EJ46698"/>
      <c r="EK46698"/>
    </row>
    <row r="46699" spans="1:141" s="116" customFormat="1">
      <c r="A46699" s="136"/>
      <c r="CM46699" s="111"/>
      <c r="CQ46699" s="111"/>
      <c r="EF46699"/>
      <c r="EG46699"/>
      <c r="EH46699"/>
      <c r="EI46699"/>
      <c r="EJ46699"/>
      <c r="EK46699"/>
    </row>
    <row r="46700" spans="1:141" s="116" customFormat="1">
      <c r="A46700" s="136"/>
      <c r="CM46700" s="111"/>
      <c r="CQ46700" s="111"/>
      <c r="EF46700"/>
      <c r="EG46700"/>
      <c r="EH46700"/>
      <c r="EI46700"/>
      <c r="EJ46700"/>
      <c r="EK46700"/>
    </row>
    <row r="46701" spans="1:141" s="116" customFormat="1">
      <c r="A46701" s="136"/>
      <c r="CM46701" s="111"/>
      <c r="CQ46701" s="111"/>
      <c r="EF46701"/>
      <c r="EG46701"/>
      <c r="EH46701"/>
      <c r="EI46701"/>
      <c r="EJ46701"/>
      <c r="EK46701"/>
    </row>
    <row r="46702" spans="1:141" s="116" customFormat="1">
      <c r="A46702" s="136"/>
      <c r="CM46702" s="111"/>
      <c r="CQ46702" s="111"/>
      <c r="EF46702"/>
      <c r="EG46702"/>
      <c r="EH46702"/>
      <c r="EI46702"/>
      <c r="EJ46702"/>
      <c r="EK46702"/>
    </row>
    <row r="46703" spans="1:141" s="116" customFormat="1">
      <c r="A46703" s="136"/>
      <c r="CM46703" s="111"/>
      <c r="CQ46703" s="111"/>
      <c r="EF46703"/>
      <c r="EG46703"/>
      <c r="EH46703"/>
      <c r="EI46703"/>
      <c r="EJ46703"/>
      <c r="EK46703"/>
    </row>
    <row r="46704" spans="1:141" s="116" customFormat="1">
      <c r="A46704" s="136"/>
      <c r="CM46704" s="111"/>
      <c r="CQ46704" s="111"/>
      <c r="EF46704"/>
      <c r="EG46704"/>
      <c r="EH46704"/>
      <c r="EI46704"/>
      <c r="EJ46704"/>
      <c r="EK46704"/>
    </row>
    <row r="46705" spans="1:141" s="116" customFormat="1">
      <c r="A46705" s="136"/>
      <c r="CM46705" s="111"/>
      <c r="CQ46705" s="111"/>
      <c r="EF46705"/>
      <c r="EG46705"/>
      <c r="EH46705"/>
      <c r="EI46705"/>
      <c r="EJ46705"/>
      <c r="EK46705"/>
    </row>
    <row r="46706" spans="1:141" s="116" customFormat="1">
      <c r="A46706" s="136"/>
      <c r="CM46706" s="111"/>
      <c r="CQ46706" s="111"/>
      <c r="EF46706"/>
      <c r="EG46706"/>
      <c r="EH46706"/>
      <c r="EI46706"/>
      <c r="EJ46706"/>
      <c r="EK46706"/>
    </row>
    <row r="46707" spans="1:141" s="116" customFormat="1">
      <c r="A46707" s="136"/>
      <c r="CM46707" s="111"/>
      <c r="CQ46707" s="111"/>
      <c r="EF46707"/>
      <c r="EG46707"/>
      <c r="EH46707"/>
      <c r="EI46707"/>
      <c r="EJ46707"/>
      <c r="EK46707"/>
    </row>
    <row r="46708" spans="1:141" s="116" customFormat="1">
      <c r="A46708" s="136"/>
      <c r="CM46708" s="111"/>
      <c r="CQ46708" s="111"/>
      <c r="EF46708"/>
      <c r="EG46708"/>
      <c r="EH46708"/>
      <c r="EI46708"/>
      <c r="EJ46708"/>
      <c r="EK46708"/>
    </row>
    <row r="46709" spans="1:141" s="116" customFormat="1">
      <c r="A46709" s="136"/>
      <c r="CM46709" s="111"/>
      <c r="CQ46709" s="111"/>
      <c r="EF46709"/>
      <c r="EG46709"/>
      <c r="EH46709"/>
      <c r="EI46709"/>
      <c r="EJ46709"/>
      <c r="EK46709"/>
    </row>
    <row r="46710" spans="1:141" s="116" customFormat="1">
      <c r="A46710" s="136"/>
      <c r="CM46710" s="111"/>
      <c r="CQ46710" s="111"/>
      <c r="EF46710"/>
      <c r="EG46710"/>
      <c r="EH46710"/>
      <c r="EI46710"/>
      <c r="EJ46710"/>
      <c r="EK46710"/>
    </row>
    <row r="46711" spans="1:141" s="116" customFormat="1">
      <c r="A46711" s="136"/>
      <c r="CM46711" s="111"/>
      <c r="CQ46711" s="111"/>
      <c r="EF46711"/>
      <c r="EG46711"/>
      <c r="EH46711"/>
      <c r="EI46711"/>
      <c r="EJ46711"/>
      <c r="EK46711"/>
    </row>
    <row r="46712" spans="1:141" s="116" customFormat="1">
      <c r="A46712" s="136"/>
      <c r="CM46712" s="111"/>
      <c r="CQ46712" s="111"/>
      <c r="EF46712"/>
      <c r="EG46712"/>
      <c r="EH46712"/>
      <c r="EI46712"/>
      <c r="EJ46712"/>
      <c r="EK46712"/>
    </row>
    <row r="46713" spans="1:141" s="116" customFormat="1">
      <c r="A46713" s="136"/>
      <c r="CM46713" s="111"/>
      <c r="CQ46713" s="111"/>
      <c r="EF46713"/>
      <c r="EG46713"/>
      <c r="EH46713"/>
      <c r="EI46713"/>
      <c r="EJ46713"/>
      <c r="EK46713"/>
    </row>
    <row r="46714" spans="1:141" s="116" customFormat="1">
      <c r="A46714" s="136"/>
      <c r="CM46714" s="111"/>
      <c r="CQ46714" s="111"/>
      <c r="EF46714"/>
      <c r="EG46714"/>
      <c r="EH46714"/>
      <c r="EI46714"/>
      <c r="EJ46714"/>
      <c r="EK46714"/>
    </row>
    <row r="46715" spans="1:141" s="116" customFormat="1">
      <c r="A46715" s="136"/>
      <c r="CM46715" s="111"/>
      <c r="CQ46715" s="111"/>
      <c r="EF46715"/>
      <c r="EG46715"/>
      <c r="EH46715"/>
      <c r="EI46715"/>
      <c r="EJ46715"/>
      <c r="EK46715"/>
    </row>
    <row r="46716" spans="1:141" s="116" customFormat="1">
      <c r="A46716" s="136"/>
      <c r="CM46716" s="111"/>
      <c r="CQ46716" s="111"/>
      <c r="EF46716"/>
      <c r="EG46716"/>
      <c r="EH46716"/>
      <c r="EI46716"/>
      <c r="EJ46716"/>
      <c r="EK46716"/>
    </row>
    <row r="46717" spans="1:141" s="116" customFormat="1">
      <c r="A46717" s="136"/>
      <c r="CM46717" s="111"/>
      <c r="CQ46717" s="111"/>
      <c r="EF46717"/>
      <c r="EG46717"/>
      <c r="EH46717"/>
      <c r="EI46717"/>
      <c r="EJ46717"/>
      <c r="EK46717"/>
    </row>
    <row r="46718" spans="1:141" s="116" customFormat="1">
      <c r="A46718" s="136"/>
      <c r="CM46718" s="111"/>
      <c r="CQ46718" s="111"/>
      <c r="EF46718"/>
      <c r="EG46718"/>
      <c r="EH46718"/>
      <c r="EI46718"/>
      <c r="EJ46718"/>
      <c r="EK46718"/>
    </row>
    <row r="46719" spans="1:141" s="116" customFormat="1">
      <c r="A46719" s="136"/>
      <c r="CM46719" s="111"/>
      <c r="CQ46719" s="111"/>
      <c r="EF46719"/>
      <c r="EG46719"/>
      <c r="EH46719"/>
      <c r="EI46719"/>
      <c r="EJ46719"/>
      <c r="EK46719"/>
    </row>
    <row r="46720" spans="1:141" s="116" customFormat="1">
      <c r="A46720" s="136"/>
      <c r="CM46720" s="111"/>
      <c r="CQ46720" s="111"/>
      <c r="EF46720"/>
      <c r="EG46720"/>
      <c r="EH46720"/>
      <c r="EI46720"/>
      <c r="EJ46720"/>
      <c r="EK46720"/>
    </row>
    <row r="46721" spans="1:141" s="116" customFormat="1">
      <c r="A46721" s="136"/>
      <c r="CM46721" s="111"/>
      <c r="CQ46721" s="111"/>
      <c r="EF46721"/>
      <c r="EG46721"/>
      <c r="EH46721"/>
      <c r="EI46721"/>
      <c r="EJ46721"/>
      <c r="EK46721"/>
    </row>
    <row r="46722" spans="1:141" s="116" customFormat="1">
      <c r="A46722" s="136"/>
      <c r="CM46722" s="111"/>
      <c r="CQ46722" s="111"/>
      <c r="EF46722"/>
      <c r="EG46722"/>
      <c r="EH46722"/>
      <c r="EI46722"/>
      <c r="EJ46722"/>
      <c r="EK46722"/>
    </row>
    <row r="46723" spans="1:141" s="116" customFormat="1">
      <c r="A46723" s="136"/>
      <c r="CM46723" s="111"/>
      <c r="CQ46723" s="111"/>
      <c r="EF46723"/>
      <c r="EG46723"/>
      <c r="EH46723"/>
      <c r="EI46723"/>
      <c r="EJ46723"/>
      <c r="EK46723"/>
    </row>
    <row r="46724" spans="1:141" s="116" customFormat="1">
      <c r="A46724" s="136"/>
      <c r="CM46724" s="111"/>
      <c r="CQ46724" s="111"/>
      <c r="EF46724"/>
      <c r="EG46724"/>
      <c r="EH46724"/>
      <c r="EI46724"/>
      <c r="EJ46724"/>
      <c r="EK46724"/>
    </row>
    <row r="46725" spans="1:141" s="116" customFormat="1">
      <c r="A46725" s="136"/>
      <c r="CM46725" s="111"/>
      <c r="CQ46725" s="111"/>
      <c r="EF46725"/>
      <c r="EG46725"/>
      <c r="EH46725"/>
      <c r="EI46725"/>
      <c r="EJ46725"/>
      <c r="EK46725"/>
    </row>
    <row r="46726" spans="1:141" s="116" customFormat="1">
      <c r="A46726" s="136"/>
      <c r="CM46726" s="111"/>
      <c r="CQ46726" s="111"/>
      <c r="EF46726"/>
      <c r="EG46726"/>
      <c r="EH46726"/>
      <c r="EI46726"/>
      <c r="EJ46726"/>
      <c r="EK46726"/>
    </row>
    <row r="46727" spans="1:141" s="116" customFormat="1">
      <c r="A46727" s="136"/>
      <c r="CM46727" s="111"/>
      <c r="CQ46727" s="111"/>
      <c r="EF46727"/>
      <c r="EG46727"/>
      <c r="EH46727"/>
      <c r="EI46727"/>
      <c r="EJ46727"/>
      <c r="EK46727"/>
    </row>
    <row r="46728" spans="1:141" s="116" customFormat="1">
      <c r="A46728" s="136"/>
      <c r="CM46728" s="111"/>
      <c r="CQ46728" s="111"/>
      <c r="EF46728"/>
      <c r="EG46728"/>
      <c r="EH46728"/>
      <c r="EI46728"/>
      <c r="EJ46728"/>
      <c r="EK46728"/>
    </row>
    <row r="46729" spans="1:141" s="116" customFormat="1">
      <c r="A46729" s="136"/>
      <c r="CM46729" s="111"/>
      <c r="CQ46729" s="111"/>
      <c r="EF46729"/>
      <c r="EG46729"/>
      <c r="EH46729"/>
      <c r="EI46729"/>
      <c r="EJ46729"/>
      <c r="EK46729"/>
    </row>
    <row r="46730" spans="1:141" s="116" customFormat="1">
      <c r="A46730" s="136"/>
      <c r="CM46730" s="111"/>
      <c r="CQ46730" s="111"/>
      <c r="EF46730"/>
      <c r="EG46730"/>
      <c r="EH46730"/>
      <c r="EI46730"/>
      <c r="EJ46730"/>
      <c r="EK46730"/>
    </row>
    <row r="46731" spans="1:141" s="116" customFormat="1">
      <c r="A46731" s="136"/>
      <c r="CM46731" s="111"/>
      <c r="CQ46731" s="111"/>
      <c r="EF46731"/>
      <c r="EG46731"/>
      <c r="EH46731"/>
      <c r="EI46731"/>
      <c r="EJ46731"/>
      <c r="EK46731"/>
    </row>
    <row r="46732" spans="1:141" s="116" customFormat="1">
      <c r="A46732" s="136"/>
      <c r="CM46732" s="111"/>
      <c r="CQ46732" s="111"/>
      <c r="EF46732"/>
      <c r="EG46732"/>
      <c r="EH46732"/>
      <c r="EI46732"/>
      <c r="EJ46732"/>
      <c r="EK46732"/>
    </row>
    <row r="46733" spans="1:141" s="116" customFormat="1">
      <c r="A46733" s="136"/>
      <c r="CM46733" s="111"/>
      <c r="CQ46733" s="111"/>
      <c r="EF46733"/>
      <c r="EG46733"/>
      <c r="EH46733"/>
      <c r="EI46733"/>
      <c r="EJ46733"/>
      <c r="EK46733"/>
    </row>
    <row r="46734" spans="1:141" s="116" customFormat="1">
      <c r="A46734" s="136"/>
      <c r="CM46734" s="111"/>
      <c r="CQ46734" s="111"/>
      <c r="EF46734"/>
      <c r="EG46734"/>
      <c r="EH46734"/>
      <c r="EI46734"/>
      <c r="EJ46734"/>
      <c r="EK46734"/>
    </row>
    <row r="46735" spans="1:141" s="116" customFormat="1">
      <c r="A46735" s="136"/>
      <c r="CM46735" s="111"/>
      <c r="CQ46735" s="111"/>
      <c r="EF46735"/>
      <c r="EG46735"/>
      <c r="EH46735"/>
      <c r="EI46735"/>
      <c r="EJ46735"/>
      <c r="EK46735"/>
    </row>
    <row r="46736" spans="1:141" s="116" customFormat="1">
      <c r="A46736" s="136"/>
      <c r="CM46736" s="111"/>
      <c r="CQ46736" s="111"/>
      <c r="EF46736"/>
      <c r="EG46736"/>
      <c r="EH46736"/>
      <c r="EI46736"/>
      <c r="EJ46736"/>
      <c r="EK46736"/>
    </row>
    <row r="46737" spans="1:141" s="116" customFormat="1">
      <c r="A46737" s="136"/>
      <c r="CM46737" s="111"/>
      <c r="CQ46737" s="111"/>
      <c r="EF46737"/>
      <c r="EG46737"/>
      <c r="EH46737"/>
      <c r="EI46737"/>
      <c r="EJ46737"/>
      <c r="EK46737"/>
    </row>
    <row r="46738" spans="1:141" s="116" customFormat="1">
      <c r="A46738" s="136"/>
      <c r="CM46738" s="111"/>
      <c r="CQ46738" s="111"/>
      <c r="EF46738"/>
      <c r="EG46738"/>
      <c r="EH46738"/>
      <c r="EI46738"/>
      <c r="EJ46738"/>
      <c r="EK46738"/>
    </row>
    <row r="46739" spans="1:141" s="116" customFormat="1">
      <c r="A46739" s="136"/>
      <c r="CM46739" s="111"/>
      <c r="CQ46739" s="111"/>
      <c r="EF46739"/>
      <c r="EG46739"/>
      <c r="EH46739"/>
      <c r="EI46739"/>
      <c r="EJ46739"/>
      <c r="EK46739"/>
    </row>
    <row r="46740" spans="1:141" s="116" customFormat="1">
      <c r="A46740" s="136"/>
      <c r="CM46740" s="111"/>
      <c r="CQ46740" s="111"/>
      <c r="EF46740"/>
      <c r="EG46740"/>
      <c r="EH46740"/>
      <c r="EI46740"/>
      <c r="EJ46740"/>
      <c r="EK46740"/>
    </row>
    <row r="46741" spans="1:141" s="116" customFormat="1">
      <c r="A46741" s="136"/>
      <c r="CM46741" s="111"/>
      <c r="CQ46741" s="111"/>
      <c r="EF46741"/>
      <c r="EG46741"/>
      <c r="EH46741"/>
      <c r="EI46741"/>
      <c r="EJ46741"/>
      <c r="EK46741"/>
    </row>
    <row r="46742" spans="1:141" s="116" customFormat="1">
      <c r="A46742" s="136"/>
      <c r="CM46742" s="111"/>
      <c r="CQ46742" s="111"/>
      <c r="EF46742"/>
      <c r="EG46742"/>
      <c r="EH46742"/>
      <c r="EI46742"/>
      <c r="EJ46742"/>
      <c r="EK46742"/>
    </row>
    <row r="46743" spans="1:141" s="116" customFormat="1">
      <c r="A46743" s="136"/>
      <c r="CM46743" s="111"/>
      <c r="CQ46743" s="111"/>
      <c r="EF46743"/>
      <c r="EG46743"/>
      <c r="EH46743"/>
      <c r="EI46743"/>
      <c r="EJ46743"/>
      <c r="EK46743"/>
    </row>
    <row r="46744" spans="1:141" s="116" customFormat="1">
      <c r="A46744" s="136"/>
      <c r="CM46744" s="111"/>
      <c r="CQ46744" s="111"/>
      <c r="EF46744"/>
      <c r="EG46744"/>
      <c r="EH46744"/>
      <c r="EI46744"/>
      <c r="EJ46744"/>
      <c r="EK46744"/>
    </row>
    <row r="46745" spans="1:141" s="116" customFormat="1">
      <c r="A46745" s="136"/>
      <c r="CM46745" s="111"/>
      <c r="CQ46745" s="111"/>
      <c r="EF46745"/>
      <c r="EG46745"/>
      <c r="EH46745"/>
      <c r="EI46745"/>
      <c r="EJ46745"/>
      <c r="EK46745"/>
    </row>
    <row r="46746" spans="1:141" s="116" customFormat="1">
      <c r="A46746" s="136"/>
      <c r="CM46746" s="111"/>
      <c r="CQ46746" s="111"/>
      <c r="EF46746"/>
      <c r="EG46746"/>
      <c r="EH46746"/>
      <c r="EI46746"/>
      <c r="EJ46746"/>
      <c r="EK46746"/>
    </row>
    <row r="46747" spans="1:141" s="116" customFormat="1">
      <c r="A46747" s="136"/>
      <c r="CM46747" s="111"/>
      <c r="CQ46747" s="111"/>
      <c r="EF46747"/>
      <c r="EG46747"/>
      <c r="EH46747"/>
      <c r="EI46747"/>
      <c r="EJ46747"/>
      <c r="EK46747"/>
    </row>
    <row r="46748" spans="1:141" s="116" customFormat="1">
      <c r="A46748" s="136"/>
      <c r="CM46748" s="111"/>
      <c r="CQ46748" s="111"/>
      <c r="EF46748"/>
      <c r="EG46748"/>
      <c r="EH46748"/>
      <c r="EI46748"/>
      <c r="EJ46748"/>
      <c r="EK46748"/>
    </row>
    <row r="46749" spans="1:141" s="116" customFormat="1">
      <c r="A46749" s="136"/>
      <c r="CM46749" s="111"/>
      <c r="CQ46749" s="111"/>
      <c r="EF46749"/>
      <c r="EG46749"/>
      <c r="EH46749"/>
      <c r="EI46749"/>
      <c r="EJ46749"/>
      <c r="EK46749"/>
    </row>
    <row r="46750" spans="1:141" s="116" customFormat="1">
      <c r="A46750" s="136"/>
      <c r="CM46750" s="111"/>
      <c r="CQ46750" s="111"/>
      <c r="EF46750"/>
      <c r="EG46750"/>
      <c r="EH46750"/>
      <c r="EI46750"/>
      <c r="EJ46750"/>
      <c r="EK46750"/>
    </row>
    <row r="46751" spans="1:141" s="116" customFormat="1">
      <c r="A46751" s="136"/>
      <c r="CM46751" s="111"/>
      <c r="CQ46751" s="111"/>
      <c r="EF46751"/>
      <c r="EG46751"/>
      <c r="EH46751"/>
      <c r="EI46751"/>
      <c r="EJ46751"/>
      <c r="EK46751"/>
    </row>
    <row r="46752" spans="1:141" s="116" customFormat="1">
      <c r="A46752" s="136"/>
      <c r="CM46752" s="111"/>
      <c r="CQ46752" s="111"/>
      <c r="EF46752"/>
      <c r="EG46752"/>
      <c r="EH46752"/>
      <c r="EI46752"/>
      <c r="EJ46752"/>
      <c r="EK46752"/>
    </row>
    <row r="46753" spans="1:141" s="116" customFormat="1">
      <c r="A46753" s="136"/>
      <c r="CM46753" s="111"/>
      <c r="CQ46753" s="111"/>
      <c r="EF46753"/>
      <c r="EG46753"/>
      <c r="EH46753"/>
      <c r="EI46753"/>
      <c r="EJ46753"/>
      <c r="EK46753"/>
    </row>
    <row r="46754" spans="1:141" s="116" customFormat="1">
      <c r="A46754" s="136"/>
      <c r="CM46754" s="111"/>
      <c r="CQ46754" s="111"/>
      <c r="EF46754"/>
      <c r="EG46754"/>
      <c r="EH46754"/>
      <c r="EI46754"/>
      <c r="EJ46754"/>
      <c r="EK46754"/>
    </row>
    <row r="46755" spans="1:141" s="116" customFormat="1">
      <c r="A46755" s="136"/>
      <c r="CM46755" s="111"/>
      <c r="CQ46755" s="111"/>
      <c r="EF46755"/>
      <c r="EG46755"/>
      <c r="EH46755"/>
      <c r="EI46755"/>
      <c r="EJ46755"/>
      <c r="EK46755"/>
    </row>
    <row r="46756" spans="1:141" s="116" customFormat="1">
      <c r="A46756" s="136"/>
      <c r="CM46756" s="111"/>
      <c r="CQ46756" s="111"/>
      <c r="EF46756"/>
      <c r="EG46756"/>
      <c r="EH46756"/>
      <c r="EI46756"/>
      <c r="EJ46756"/>
      <c r="EK46756"/>
    </row>
    <row r="46757" spans="1:141" s="116" customFormat="1">
      <c r="A46757" s="136"/>
      <c r="CM46757" s="111"/>
      <c r="CQ46757" s="111"/>
      <c r="EF46757"/>
      <c r="EG46757"/>
      <c r="EH46757"/>
      <c r="EI46757"/>
      <c r="EJ46757"/>
      <c r="EK46757"/>
    </row>
    <row r="46758" spans="1:141" s="116" customFormat="1">
      <c r="A46758" s="136"/>
      <c r="CM46758" s="111"/>
      <c r="CQ46758" s="111"/>
      <c r="EF46758"/>
      <c r="EG46758"/>
      <c r="EH46758"/>
      <c r="EI46758"/>
      <c r="EJ46758"/>
      <c r="EK46758"/>
    </row>
    <row r="46759" spans="1:141" s="116" customFormat="1">
      <c r="A46759" s="136"/>
      <c r="CM46759" s="111"/>
      <c r="CQ46759" s="111"/>
      <c r="EF46759"/>
      <c r="EG46759"/>
      <c r="EH46759"/>
      <c r="EI46759"/>
      <c r="EJ46759"/>
      <c r="EK46759"/>
    </row>
    <row r="46760" spans="1:141" s="116" customFormat="1">
      <c r="A46760" s="136"/>
      <c r="CM46760" s="111"/>
      <c r="CQ46760" s="111"/>
      <c r="EF46760"/>
      <c r="EG46760"/>
      <c r="EH46760"/>
      <c r="EI46760"/>
      <c r="EJ46760"/>
      <c r="EK46760"/>
    </row>
    <row r="46761" spans="1:141" s="116" customFormat="1">
      <c r="A46761" s="136"/>
      <c r="CM46761" s="111"/>
      <c r="CQ46761" s="111"/>
      <c r="EF46761"/>
      <c r="EG46761"/>
      <c r="EH46761"/>
      <c r="EI46761"/>
      <c r="EJ46761"/>
      <c r="EK46761"/>
    </row>
    <row r="46762" spans="1:141" s="116" customFormat="1">
      <c r="A46762" s="136"/>
      <c r="CM46762" s="111"/>
      <c r="CQ46762" s="111"/>
      <c r="EF46762"/>
      <c r="EG46762"/>
      <c r="EH46762"/>
      <c r="EI46762"/>
      <c r="EJ46762"/>
      <c r="EK46762"/>
    </row>
    <row r="46763" spans="1:141" s="116" customFormat="1">
      <c r="A46763" s="136"/>
      <c r="CM46763" s="111"/>
      <c r="CQ46763" s="111"/>
      <c r="EF46763"/>
      <c r="EG46763"/>
      <c r="EH46763"/>
      <c r="EI46763"/>
      <c r="EJ46763"/>
      <c r="EK46763"/>
    </row>
    <row r="46764" spans="1:141" s="116" customFormat="1">
      <c r="A46764" s="136"/>
      <c r="CM46764" s="111"/>
      <c r="CQ46764" s="111"/>
      <c r="EF46764"/>
      <c r="EG46764"/>
      <c r="EH46764"/>
      <c r="EI46764"/>
      <c r="EJ46764"/>
      <c r="EK46764"/>
    </row>
    <row r="46765" spans="1:141" s="116" customFormat="1">
      <c r="A46765" s="136"/>
      <c r="CM46765" s="111"/>
      <c r="CQ46765" s="111"/>
      <c r="EF46765"/>
      <c r="EG46765"/>
      <c r="EH46765"/>
      <c r="EI46765"/>
      <c r="EJ46765"/>
      <c r="EK46765"/>
    </row>
    <row r="46766" spans="1:141" s="116" customFormat="1">
      <c r="A46766" s="136"/>
      <c r="CM46766" s="111"/>
      <c r="CQ46766" s="111"/>
      <c r="EF46766"/>
      <c r="EG46766"/>
      <c r="EH46766"/>
      <c r="EI46766"/>
      <c r="EJ46766"/>
      <c r="EK46766"/>
    </row>
    <row r="46767" spans="1:141" s="116" customFormat="1">
      <c r="A46767" s="136"/>
      <c r="CM46767" s="111"/>
      <c r="CQ46767" s="111"/>
      <c r="EF46767"/>
      <c r="EG46767"/>
      <c r="EH46767"/>
      <c r="EI46767"/>
      <c r="EJ46767"/>
      <c r="EK46767"/>
    </row>
    <row r="46768" spans="1:141" s="116" customFormat="1">
      <c r="A46768" s="136"/>
      <c r="CM46768" s="111"/>
      <c r="CQ46768" s="111"/>
      <c r="EF46768"/>
      <c r="EG46768"/>
      <c r="EH46768"/>
      <c r="EI46768"/>
      <c r="EJ46768"/>
      <c r="EK46768"/>
    </row>
    <row r="46769" spans="1:141" s="116" customFormat="1">
      <c r="A46769" s="136"/>
      <c r="CM46769" s="111"/>
      <c r="CQ46769" s="111"/>
      <c r="EF46769"/>
      <c r="EG46769"/>
      <c r="EH46769"/>
      <c r="EI46769"/>
      <c r="EJ46769"/>
      <c r="EK46769"/>
    </row>
    <row r="46770" spans="1:141" s="116" customFormat="1">
      <c r="A46770" s="136"/>
      <c r="CM46770" s="111"/>
      <c r="CQ46770" s="111"/>
      <c r="EF46770"/>
      <c r="EG46770"/>
      <c r="EH46770"/>
      <c r="EI46770"/>
      <c r="EJ46770"/>
      <c r="EK46770"/>
    </row>
    <row r="46771" spans="1:141" s="116" customFormat="1">
      <c r="A46771" s="136"/>
      <c r="CM46771" s="111"/>
      <c r="CQ46771" s="111"/>
      <c r="EF46771"/>
      <c r="EG46771"/>
      <c r="EH46771"/>
      <c r="EI46771"/>
      <c r="EJ46771"/>
      <c r="EK46771"/>
    </row>
    <row r="46772" spans="1:141" s="116" customFormat="1">
      <c r="A46772" s="136"/>
      <c r="CM46772" s="111"/>
      <c r="CQ46772" s="111"/>
      <c r="EF46772"/>
      <c r="EG46772"/>
      <c r="EH46772"/>
      <c r="EI46772"/>
      <c r="EJ46772"/>
      <c r="EK46772"/>
    </row>
    <row r="46773" spans="1:141" s="116" customFormat="1">
      <c r="A46773" s="136"/>
      <c r="CM46773" s="111"/>
      <c r="CQ46773" s="111"/>
      <c r="EF46773"/>
      <c r="EG46773"/>
      <c r="EH46773"/>
      <c r="EI46773"/>
      <c r="EJ46773"/>
      <c r="EK46773"/>
    </row>
    <row r="46774" spans="1:141" s="116" customFormat="1">
      <c r="A46774" s="136"/>
      <c r="CM46774" s="111"/>
      <c r="CQ46774" s="111"/>
      <c r="EF46774"/>
      <c r="EG46774"/>
      <c r="EH46774"/>
      <c r="EI46774"/>
      <c r="EJ46774"/>
      <c r="EK46774"/>
    </row>
    <row r="46775" spans="1:141" s="116" customFormat="1">
      <c r="A46775" s="136"/>
      <c r="CM46775" s="111"/>
      <c r="CQ46775" s="111"/>
      <c r="EF46775"/>
      <c r="EG46775"/>
      <c r="EH46775"/>
      <c r="EI46775"/>
      <c r="EJ46775"/>
      <c r="EK46775"/>
    </row>
    <row r="46776" spans="1:141" s="116" customFormat="1">
      <c r="A46776" s="136"/>
      <c r="CM46776" s="111"/>
      <c r="CQ46776" s="111"/>
      <c r="EF46776"/>
      <c r="EG46776"/>
      <c r="EH46776"/>
      <c r="EI46776"/>
      <c r="EJ46776"/>
      <c r="EK46776"/>
    </row>
    <row r="46777" spans="1:141" s="116" customFormat="1">
      <c r="A46777" s="136"/>
      <c r="CM46777" s="111"/>
      <c r="CQ46777" s="111"/>
      <c r="EF46777"/>
      <c r="EG46777"/>
      <c r="EH46777"/>
      <c r="EI46777"/>
      <c r="EJ46777"/>
      <c r="EK46777"/>
    </row>
    <row r="46778" spans="1:141" s="116" customFormat="1">
      <c r="A46778" s="136"/>
      <c r="CM46778" s="111"/>
      <c r="CQ46778" s="111"/>
      <c r="EF46778"/>
      <c r="EG46778"/>
      <c r="EH46778"/>
      <c r="EI46778"/>
      <c r="EJ46778"/>
      <c r="EK46778"/>
    </row>
    <row r="46779" spans="1:141" s="116" customFormat="1">
      <c r="A46779" s="136"/>
      <c r="CM46779" s="111"/>
      <c r="CQ46779" s="111"/>
      <c r="EF46779"/>
      <c r="EG46779"/>
      <c r="EH46779"/>
      <c r="EI46779"/>
      <c r="EJ46779"/>
      <c r="EK46779"/>
    </row>
    <row r="46780" spans="1:141" s="116" customFormat="1">
      <c r="A46780" s="136"/>
      <c r="CM46780" s="111"/>
      <c r="CQ46780" s="111"/>
      <c r="EF46780"/>
      <c r="EG46780"/>
      <c r="EH46780"/>
      <c r="EI46780"/>
      <c r="EJ46780"/>
      <c r="EK46780"/>
    </row>
    <row r="46781" spans="1:141" s="116" customFormat="1">
      <c r="A46781" s="136"/>
      <c r="CM46781" s="111"/>
      <c r="CQ46781" s="111"/>
      <c r="EF46781"/>
      <c r="EG46781"/>
      <c r="EH46781"/>
      <c r="EI46781"/>
      <c r="EJ46781"/>
      <c r="EK46781"/>
    </row>
    <row r="46782" spans="1:141" s="116" customFormat="1">
      <c r="A46782" s="136"/>
      <c r="CM46782" s="111"/>
      <c r="CQ46782" s="111"/>
      <c r="EF46782"/>
      <c r="EG46782"/>
      <c r="EH46782"/>
      <c r="EI46782"/>
      <c r="EJ46782"/>
      <c r="EK46782"/>
    </row>
    <row r="46783" spans="1:141" s="116" customFormat="1">
      <c r="A46783" s="136"/>
      <c r="CM46783" s="111"/>
      <c r="CQ46783" s="111"/>
      <c r="EF46783"/>
      <c r="EG46783"/>
      <c r="EH46783"/>
      <c r="EI46783"/>
      <c r="EJ46783"/>
      <c r="EK46783"/>
    </row>
    <row r="46784" spans="1:141" s="116" customFormat="1">
      <c r="A46784" s="136"/>
      <c r="CM46784" s="111"/>
      <c r="CQ46784" s="111"/>
      <c r="EF46784"/>
      <c r="EG46784"/>
      <c r="EH46784"/>
      <c r="EI46784"/>
      <c r="EJ46784"/>
      <c r="EK46784"/>
    </row>
    <row r="46785" spans="1:141" s="116" customFormat="1">
      <c r="A46785" s="136"/>
      <c r="CM46785" s="111"/>
      <c r="CQ46785" s="111"/>
      <c r="EF46785"/>
      <c r="EG46785"/>
      <c r="EH46785"/>
      <c r="EI46785"/>
      <c r="EJ46785"/>
      <c r="EK46785"/>
    </row>
    <row r="46786" spans="1:141" s="116" customFormat="1">
      <c r="A46786" s="136"/>
      <c r="CM46786" s="111"/>
      <c r="CQ46786" s="111"/>
      <c r="EF46786"/>
      <c r="EG46786"/>
      <c r="EH46786"/>
      <c r="EI46786"/>
      <c r="EJ46786"/>
      <c r="EK46786"/>
    </row>
    <row r="46787" spans="1:141" s="116" customFormat="1">
      <c r="A46787" s="136"/>
      <c r="CM46787" s="111"/>
      <c r="CQ46787" s="111"/>
      <c r="EF46787"/>
      <c r="EG46787"/>
      <c r="EH46787"/>
      <c r="EI46787"/>
      <c r="EJ46787"/>
      <c r="EK46787"/>
    </row>
    <row r="46788" spans="1:141" s="116" customFormat="1">
      <c r="A46788" s="136"/>
      <c r="CM46788" s="111"/>
      <c r="CQ46788" s="111"/>
      <c r="EF46788"/>
      <c r="EG46788"/>
      <c r="EH46788"/>
      <c r="EI46788"/>
      <c r="EJ46788"/>
      <c r="EK46788"/>
    </row>
    <row r="46789" spans="1:141" s="116" customFormat="1">
      <c r="A46789" s="136"/>
      <c r="CM46789" s="111"/>
      <c r="CQ46789" s="111"/>
      <c r="EF46789"/>
      <c r="EG46789"/>
      <c r="EH46789"/>
      <c r="EI46789"/>
      <c r="EJ46789"/>
      <c r="EK46789"/>
    </row>
    <row r="46790" spans="1:141" s="116" customFormat="1">
      <c r="A46790" s="136"/>
      <c r="CM46790" s="111"/>
      <c r="CQ46790" s="111"/>
      <c r="EF46790"/>
      <c r="EG46790"/>
      <c r="EH46790"/>
      <c r="EI46790"/>
      <c r="EJ46790"/>
      <c r="EK46790"/>
    </row>
    <row r="46791" spans="1:141" s="116" customFormat="1">
      <c r="A46791" s="136"/>
      <c r="CM46791" s="111"/>
      <c r="CQ46791" s="111"/>
      <c r="EF46791"/>
      <c r="EG46791"/>
      <c r="EH46791"/>
      <c r="EI46791"/>
      <c r="EJ46791"/>
      <c r="EK46791"/>
    </row>
    <row r="46792" spans="1:141" s="116" customFormat="1">
      <c r="A46792" s="136"/>
      <c r="CM46792" s="111"/>
      <c r="CQ46792" s="111"/>
      <c r="EF46792"/>
      <c r="EG46792"/>
      <c r="EH46792"/>
      <c r="EI46792"/>
      <c r="EJ46792"/>
      <c r="EK46792"/>
    </row>
    <row r="46793" spans="1:141" s="116" customFormat="1">
      <c r="A46793" s="136"/>
      <c r="CM46793" s="111"/>
      <c r="CQ46793" s="111"/>
      <c r="EF46793"/>
      <c r="EG46793"/>
      <c r="EH46793"/>
      <c r="EI46793"/>
      <c r="EJ46793"/>
      <c r="EK46793"/>
    </row>
    <row r="46794" spans="1:141" s="116" customFormat="1">
      <c r="A46794" s="136"/>
      <c r="CM46794" s="111"/>
      <c r="CQ46794" s="111"/>
      <c r="EF46794"/>
      <c r="EG46794"/>
      <c r="EH46794"/>
      <c r="EI46794"/>
      <c r="EJ46794"/>
      <c r="EK46794"/>
    </row>
    <row r="46795" spans="1:141" s="116" customFormat="1">
      <c r="A46795" s="136"/>
      <c r="CM46795" s="111"/>
      <c r="CQ46795" s="111"/>
      <c r="EF46795"/>
      <c r="EG46795"/>
      <c r="EH46795"/>
      <c r="EI46795"/>
      <c r="EJ46795"/>
      <c r="EK46795"/>
    </row>
    <row r="46796" spans="1:141" s="116" customFormat="1">
      <c r="A46796" s="136"/>
      <c r="CM46796" s="111"/>
      <c r="CQ46796" s="111"/>
      <c r="EF46796"/>
      <c r="EG46796"/>
      <c r="EH46796"/>
      <c r="EI46796"/>
      <c r="EJ46796"/>
      <c r="EK46796"/>
    </row>
    <row r="46797" spans="1:141" s="116" customFormat="1">
      <c r="A46797" s="136"/>
      <c r="CM46797" s="111"/>
      <c r="CQ46797" s="111"/>
      <c r="EF46797"/>
      <c r="EG46797"/>
      <c r="EH46797"/>
      <c r="EI46797"/>
      <c r="EJ46797"/>
      <c r="EK46797"/>
    </row>
    <row r="46798" spans="1:141" s="116" customFormat="1">
      <c r="A46798" s="136"/>
      <c r="CM46798" s="111"/>
      <c r="CQ46798" s="111"/>
      <c r="EF46798"/>
      <c r="EG46798"/>
      <c r="EH46798"/>
      <c r="EI46798"/>
      <c r="EJ46798"/>
      <c r="EK46798"/>
    </row>
    <row r="46799" spans="1:141" s="116" customFormat="1">
      <c r="A46799" s="136"/>
      <c r="CM46799" s="111"/>
      <c r="CQ46799" s="111"/>
      <c r="EF46799"/>
      <c r="EG46799"/>
      <c r="EH46799"/>
      <c r="EI46799"/>
      <c r="EJ46799"/>
      <c r="EK46799"/>
    </row>
    <row r="46800" spans="1:141" s="116" customFormat="1">
      <c r="A46800" s="136"/>
      <c r="CM46800" s="111"/>
      <c r="CQ46800" s="111"/>
      <c r="EF46800"/>
      <c r="EG46800"/>
      <c r="EH46800"/>
      <c r="EI46800"/>
      <c r="EJ46800"/>
      <c r="EK46800"/>
    </row>
    <row r="46801" spans="1:141" s="116" customFormat="1">
      <c r="A46801" s="136"/>
      <c r="CM46801" s="111"/>
      <c r="CQ46801" s="111"/>
      <c r="EF46801"/>
      <c r="EG46801"/>
      <c r="EH46801"/>
      <c r="EI46801"/>
      <c r="EJ46801"/>
      <c r="EK46801"/>
    </row>
    <row r="46802" spans="1:141" s="116" customFormat="1">
      <c r="A46802" s="136"/>
      <c r="CM46802" s="111"/>
      <c r="CQ46802" s="111"/>
      <c r="EF46802"/>
      <c r="EG46802"/>
      <c r="EH46802"/>
      <c r="EI46802"/>
      <c r="EJ46802"/>
      <c r="EK46802"/>
    </row>
    <row r="46803" spans="1:141" s="116" customFormat="1">
      <c r="A46803" s="136"/>
      <c r="CM46803" s="111"/>
      <c r="CQ46803" s="111"/>
      <c r="EF46803"/>
      <c r="EG46803"/>
      <c r="EH46803"/>
      <c r="EI46803"/>
      <c r="EJ46803"/>
      <c r="EK46803"/>
    </row>
    <row r="46804" spans="1:141" s="116" customFormat="1">
      <c r="A46804" s="136"/>
      <c r="CM46804" s="111"/>
      <c r="CQ46804" s="111"/>
      <c r="EF46804"/>
      <c r="EG46804"/>
      <c r="EH46804"/>
      <c r="EI46804"/>
      <c r="EJ46804"/>
      <c r="EK46804"/>
    </row>
    <row r="46805" spans="1:141" s="116" customFormat="1">
      <c r="A46805" s="136"/>
      <c r="CM46805" s="111"/>
      <c r="CQ46805" s="111"/>
      <c r="EF46805"/>
      <c r="EG46805"/>
      <c r="EH46805"/>
      <c r="EI46805"/>
      <c r="EJ46805"/>
      <c r="EK46805"/>
    </row>
    <row r="46806" spans="1:141" s="116" customFormat="1">
      <c r="A46806" s="136"/>
      <c r="CM46806" s="111"/>
      <c r="CQ46806" s="111"/>
      <c r="EF46806"/>
      <c r="EG46806"/>
      <c r="EH46806"/>
      <c r="EI46806"/>
      <c r="EJ46806"/>
      <c r="EK46806"/>
    </row>
    <row r="46807" spans="1:141" s="116" customFormat="1">
      <c r="A46807" s="136"/>
      <c r="CM46807" s="111"/>
      <c r="CQ46807" s="111"/>
      <c r="EF46807"/>
      <c r="EG46807"/>
      <c r="EH46807"/>
      <c r="EI46807"/>
      <c r="EJ46807"/>
      <c r="EK46807"/>
    </row>
    <row r="46808" spans="1:141" s="116" customFormat="1">
      <c r="A46808" s="136"/>
      <c r="CM46808" s="111"/>
      <c r="CQ46808" s="111"/>
      <c r="EF46808"/>
      <c r="EG46808"/>
      <c r="EH46808"/>
      <c r="EI46808"/>
      <c r="EJ46808"/>
      <c r="EK46808"/>
    </row>
    <row r="46809" spans="1:141" s="116" customFormat="1">
      <c r="A46809" s="136"/>
      <c r="CM46809" s="111"/>
      <c r="CQ46809" s="111"/>
      <c r="EF46809"/>
      <c r="EG46809"/>
      <c r="EH46809"/>
      <c r="EI46809"/>
      <c r="EJ46809"/>
      <c r="EK46809"/>
    </row>
    <row r="46810" spans="1:141" s="116" customFormat="1">
      <c r="A46810" s="136"/>
      <c r="CM46810" s="111"/>
      <c r="CQ46810" s="111"/>
      <c r="EF46810"/>
      <c r="EG46810"/>
      <c r="EH46810"/>
      <c r="EI46810"/>
      <c r="EJ46810"/>
      <c r="EK46810"/>
    </row>
    <row r="46811" spans="1:141" s="116" customFormat="1">
      <c r="A46811" s="136"/>
      <c r="CM46811" s="111"/>
      <c r="CQ46811" s="111"/>
      <c r="EF46811"/>
      <c r="EG46811"/>
      <c r="EH46811"/>
      <c r="EI46811"/>
      <c r="EJ46811"/>
      <c r="EK46811"/>
    </row>
    <row r="46812" spans="1:141" s="116" customFormat="1">
      <c r="A46812" s="136"/>
      <c r="CM46812" s="111"/>
      <c r="CQ46812" s="111"/>
      <c r="EF46812"/>
      <c r="EG46812"/>
      <c r="EH46812"/>
      <c r="EI46812"/>
      <c r="EJ46812"/>
      <c r="EK46812"/>
    </row>
    <row r="46813" spans="1:141" s="116" customFormat="1">
      <c r="A46813" s="136"/>
      <c r="CM46813" s="111"/>
      <c r="CQ46813" s="111"/>
      <c r="EF46813"/>
      <c r="EG46813"/>
      <c r="EH46813"/>
      <c r="EI46813"/>
      <c r="EJ46813"/>
      <c r="EK46813"/>
    </row>
    <row r="46814" spans="1:141" s="116" customFormat="1">
      <c r="A46814" s="136"/>
      <c r="CM46814" s="111"/>
      <c r="CQ46814" s="111"/>
      <c r="EF46814"/>
      <c r="EG46814"/>
      <c r="EH46814"/>
      <c r="EI46814"/>
      <c r="EJ46814"/>
      <c r="EK46814"/>
    </row>
    <row r="46815" spans="1:141" s="116" customFormat="1">
      <c r="A46815" s="136"/>
      <c r="CM46815" s="111"/>
      <c r="CQ46815" s="111"/>
      <c r="EF46815"/>
      <c r="EG46815"/>
      <c r="EH46815"/>
      <c r="EI46815"/>
      <c r="EJ46815"/>
      <c r="EK46815"/>
    </row>
    <row r="46816" spans="1:141" s="116" customFormat="1">
      <c r="A46816" s="136"/>
      <c r="CM46816" s="111"/>
      <c r="CQ46816" s="111"/>
      <c r="EF46816"/>
      <c r="EG46816"/>
      <c r="EH46816"/>
      <c r="EI46816"/>
      <c r="EJ46816"/>
      <c r="EK46816"/>
    </row>
    <row r="46817" spans="1:141" s="116" customFormat="1">
      <c r="A46817" s="136"/>
      <c r="CM46817" s="111"/>
      <c r="CQ46817" s="111"/>
      <c r="EF46817"/>
      <c r="EG46817"/>
      <c r="EH46817"/>
      <c r="EI46817"/>
      <c r="EJ46817"/>
      <c r="EK46817"/>
    </row>
    <row r="46818" spans="1:141" s="116" customFormat="1">
      <c r="A46818" s="136"/>
      <c r="CM46818" s="111"/>
      <c r="CQ46818" s="111"/>
      <c r="EF46818"/>
      <c r="EG46818"/>
      <c r="EH46818"/>
      <c r="EI46818"/>
      <c r="EJ46818"/>
      <c r="EK46818"/>
    </row>
    <row r="46819" spans="1:141" s="116" customFormat="1">
      <c r="A46819" s="136"/>
      <c r="CM46819" s="111"/>
      <c r="CQ46819" s="111"/>
      <c r="EF46819"/>
      <c r="EG46819"/>
      <c r="EH46819"/>
      <c r="EI46819"/>
      <c r="EJ46819"/>
      <c r="EK46819"/>
    </row>
    <row r="46820" spans="1:141" s="116" customFormat="1">
      <c r="A46820" s="136"/>
      <c r="CM46820" s="111"/>
      <c r="CQ46820" s="111"/>
      <c r="EF46820"/>
      <c r="EG46820"/>
      <c r="EH46820"/>
      <c r="EI46820"/>
      <c r="EJ46820"/>
      <c r="EK46820"/>
    </row>
    <row r="46821" spans="1:141" s="116" customFormat="1">
      <c r="A46821" s="136"/>
      <c r="CM46821" s="111"/>
      <c r="CQ46821" s="111"/>
      <c r="EF46821"/>
      <c r="EG46821"/>
      <c r="EH46821"/>
      <c r="EI46821"/>
      <c r="EJ46821"/>
      <c r="EK46821"/>
    </row>
    <row r="46822" spans="1:141" s="116" customFormat="1">
      <c r="A46822" s="136"/>
      <c r="CM46822" s="111"/>
      <c r="CQ46822" s="111"/>
      <c r="EF46822"/>
      <c r="EG46822"/>
      <c r="EH46822"/>
      <c r="EI46822"/>
      <c r="EJ46822"/>
      <c r="EK46822"/>
    </row>
    <row r="46823" spans="1:141" s="116" customFormat="1">
      <c r="A46823" s="136"/>
      <c r="CM46823" s="111"/>
      <c r="CQ46823" s="111"/>
      <c r="EF46823"/>
      <c r="EG46823"/>
      <c r="EH46823"/>
      <c r="EI46823"/>
      <c r="EJ46823"/>
      <c r="EK46823"/>
    </row>
    <row r="46824" spans="1:141" s="116" customFormat="1">
      <c r="A46824" s="136"/>
      <c r="CM46824" s="111"/>
      <c r="CQ46824" s="111"/>
      <c r="EF46824"/>
      <c r="EG46824"/>
      <c r="EH46824"/>
      <c r="EI46824"/>
      <c r="EJ46824"/>
      <c r="EK46824"/>
    </row>
    <row r="46825" spans="1:141" s="116" customFormat="1">
      <c r="A46825" s="136"/>
      <c r="CM46825" s="111"/>
      <c r="CQ46825" s="111"/>
      <c r="EF46825"/>
      <c r="EG46825"/>
      <c r="EH46825"/>
      <c r="EI46825"/>
      <c r="EJ46825"/>
      <c r="EK46825"/>
    </row>
    <row r="46826" spans="1:141" s="116" customFormat="1">
      <c r="A46826" s="136"/>
      <c r="CM46826" s="111"/>
      <c r="CQ46826" s="111"/>
      <c r="EF46826"/>
      <c r="EG46826"/>
      <c r="EH46826"/>
      <c r="EI46826"/>
      <c r="EJ46826"/>
      <c r="EK46826"/>
    </row>
    <row r="46827" spans="1:141" s="116" customFormat="1">
      <c r="A46827" s="136"/>
      <c r="CM46827" s="111"/>
      <c r="CQ46827" s="111"/>
      <c r="EF46827"/>
      <c r="EG46827"/>
      <c r="EH46827"/>
      <c r="EI46827"/>
      <c r="EJ46827"/>
      <c r="EK46827"/>
    </row>
    <row r="46828" spans="1:141" s="116" customFormat="1">
      <c r="A46828" s="136"/>
      <c r="CM46828" s="111"/>
      <c r="CQ46828" s="111"/>
      <c r="EF46828"/>
      <c r="EG46828"/>
      <c r="EH46828"/>
      <c r="EI46828"/>
      <c r="EJ46828"/>
      <c r="EK46828"/>
    </row>
    <row r="46829" spans="1:141" s="116" customFormat="1">
      <c r="A46829" s="136"/>
      <c r="CM46829" s="111"/>
      <c r="CQ46829" s="111"/>
      <c r="EF46829"/>
      <c r="EG46829"/>
      <c r="EH46829"/>
      <c r="EI46829"/>
      <c r="EJ46829"/>
      <c r="EK46829"/>
    </row>
    <row r="46830" spans="1:141" s="116" customFormat="1">
      <c r="A46830" s="136"/>
      <c r="CM46830" s="111"/>
      <c r="CQ46830" s="111"/>
      <c r="EF46830"/>
      <c r="EG46830"/>
      <c r="EH46830"/>
      <c r="EI46830"/>
      <c r="EJ46830"/>
      <c r="EK46830"/>
    </row>
    <row r="46831" spans="1:141" s="116" customFormat="1">
      <c r="A46831" s="136"/>
      <c r="CM46831" s="111"/>
      <c r="CQ46831" s="111"/>
      <c r="EF46831"/>
      <c r="EG46831"/>
      <c r="EH46831"/>
      <c r="EI46831"/>
      <c r="EJ46831"/>
      <c r="EK46831"/>
    </row>
    <row r="46832" spans="1:141" s="116" customFormat="1">
      <c r="A46832" s="136"/>
      <c r="CM46832" s="111"/>
      <c r="CQ46832" s="111"/>
      <c r="EF46832"/>
      <c r="EG46832"/>
      <c r="EH46832"/>
      <c r="EI46832"/>
      <c r="EJ46832"/>
      <c r="EK46832"/>
    </row>
    <row r="46833" spans="1:141" s="116" customFormat="1">
      <c r="A46833" s="136"/>
      <c r="CM46833" s="111"/>
      <c r="CQ46833" s="111"/>
      <c r="EF46833"/>
      <c r="EG46833"/>
      <c r="EH46833"/>
      <c r="EI46833"/>
      <c r="EJ46833"/>
      <c r="EK46833"/>
    </row>
    <row r="46834" spans="1:141" s="116" customFormat="1">
      <c r="A46834" s="136"/>
      <c r="CM46834" s="111"/>
      <c r="CQ46834" s="111"/>
      <c r="EF46834"/>
      <c r="EG46834"/>
      <c r="EH46834"/>
      <c r="EI46834"/>
      <c r="EJ46834"/>
      <c r="EK46834"/>
    </row>
    <row r="46835" spans="1:141" s="116" customFormat="1">
      <c r="A46835" s="136"/>
      <c r="CM46835" s="111"/>
      <c r="CQ46835" s="111"/>
      <c r="EF46835"/>
      <c r="EG46835"/>
      <c r="EH46835"/>
      <c r="EI46835"/>
      <c r="EJ46835"/>
      <c r="EK46835"/>
    </row>
    <row r="46836" spans="1:141" s="116" customFormat="1">
      <c r="A46836" s="136"/>
      <c r="CM46836" s="111"/>
      <c r="CQ46836" s="111"/>
      <c r="EF46836"/>
      <c r="EG46836"/>
      <c r="EH46836"/>
      <c r="EI46836"/>
      <c r="EJ46836"/>
      <c r="EK46836"/>
    </row>
    <row r="46837" spans="1:141" s="116" customFormat="1">
      <c r="A46837" s="136"/>
      <c r="CM46837" s="111"/>
      <c r="CQ46837" s="111"/>
      <c r="EF46837"/>
      <c r="EG46837"/>
      <c r="EH46837"/>
      <c r="EI46837"/>
      <c r="EJ46837"/>
      <c r="EK46837"/>
    </row>
    <row r="46838" spans="1:141" s="116" customFormat="1">
      <c r="A46838" s="136"/>
      <c r="CM46838" s="111"/>
      <c r="CQ46838" s="111"/>
      <c r="EF46838"/>
      <c r="EG46838"/>
      <c r="EH46838"/>
      <c r="EI46838"/>
      <c r="EJ46838"/>
      <c r="EK46838"/>
    </row>
    <row r="46839" spans="1:141" s="116" customFormat="1">
      <c r="A46839" s="136"/>
      <c r="CM46839" s="111"/>
      <c r="CQ46839" s="111"/>
      <c r="EF46839"/>
      <c r="EG46839"/>
      <c r="EH46839"/>
      <c r="EI46839"/>
      <c r="EJ46839"/>
      <c r="EK46839"/>
    </row>
    <row r="46840" spans="1:141" s="116" customFormat="1">
      <c r="A46840" s="136"/>
      <c r="CM46840" s="111"/>
      <c r="CQ46840" s="111"/>
      <c r="EF46840"/>
      <c r="EG46840"/>
      <c r="EH46840"/>
      <c r="EI46840"/>
      <c r="EJ46840"/>
      <c r="EK46840"/>
    </row>
    <row r="46841" spans="1:141" s="116" customFormat="1">
      <c r="A46841" s="136"/>
      <c r="CM46841" s="111"/>
      <c r="CQ46841" s="111"/>
      <c r="EF46841"/>
      <c r="EG46841"/>
      <c r="EH46841"/>
      <c r="EI46841"/>
      <c r="EJ46841"/>
      <c r="EK46841"/>
    </row>
    <row r="46842" spans="1:141" s="116" customFormat="1">
      <c r="A46842" s="136"/>
      <c r="CM46842" s="111"/>
      <c r="CQ46842" s="111"/>
      <c r="EF46842"/>
      <c r="EG46842"/>
      <c r="EH46842"/>
      <c r="EI46842"/>
      <c r="EJ46842"/>
      <c r="EK46842"/>
    </row>
    <row r="46843" spans="1:141" s="116" customFormat="1">
      <c r="A46843" s="136"/>
      <c r="CM46843" s="111"/>
      <c r="CQ46843" s="111"/>
      <c r="EF46843"/>
      <c r="EG46843"/>
      <c r="EH46843"/>
      <c r="EI46843"/>
      <c r="EJ46843"/>
      <c r="EK46843"/>
    </row>
    <row r="46844" spans="1:141" s="116" customFormat="1">
      <c r="A46844" s="136"/>
      <c r="CM46844" s="111"/>
      <c r="CQ46844" s="111"/>
      <c r="EF46844"/>
      <c r="EG46844"/>
      <c r="EH46844"/>
      <c r="EI46844"/>
      <c r="EJ46844"/>
      <c r="EK46844"/>
    </row>
    <row r="46845" spans="1:141" s="116" customFormat="1">
      <c r="A46845" s="136"/>
      <c r="CM46845" s="111"/>
      <c r="CQ46845" s="111"/>
      <c r="EF46845"/>
      <c r="EG46845"/>
      <c r="EH46845"/>
      <c r="EI46845"/>
      <c r="EJ46845"/>
      <c r="EK46845"/>
    </row>
    <row r="46846" spans="1:141" s="116" customFormat="1">
      <c r="A46846" s="136"/>
      <c r="CM46846" s="111"/>
      <c r="CQ46846" s="111"/>
      <c r="EF46846"/>
      <c r="EG46846"/>
      <c r="EH46846"/>
      <c r="EI46846"/>
      <c r="EJ46846"/>
      <c r="EK46846"/>
    </row>
    <row r="46847" spans="1:141" s="116" customFormat="1">
      <c r="A46847" s="136"/>
      <c r="CM46847" s="111"/>
      <c r="CQ46847" s="111"/>
      <c r="EF46847"/>
      <c r="EG46847"/>
      <c r="EH46847"/>
      <c r="EI46847"/>
      <c r="EJ46847"/>
      <c r="EK46847"/>
    </row>
    <row r="46848" spans="1:141" s="116" customFormat="1">
      <c r="A46848" s="136"/>
      <c r="CM46848" s="111"/>
      <c r="CQ46848" s="111"/>
      <c r="EF46848"/>
      <c r="EG46848"/>
      <c r="EH46848"/>
      <c r="EI46848"/>
      <c r="EJ46848"/>
      <c r="EK46848"/>
    </row>
    <row r="46849" spans="1:141" s="116" customFormat="1">
      <c r="A46849" s="136"/>
      <c r="CM46849" s="111"/>
      <c r="CQ46849" s="111"/>
      <c r="EF46849"/>
      <c r="EG46849"/>
      <c r="EH46849"/>
      <c r="EI46849"/>
      <c r="EJ46849"/>
      <c r="EK46849"/>
    </row>
    <row r="46850" spans="1:141" s="116" customFormat="1">
      <c r="A46850" s="136"/>
      <c r="CM46850" s="111"/>
      <c r="CQ46850" s="111"/>
      <c r="EF46850"/>
      <c r="EG46850"/>
      <c r="EH46850"/>
      <c r="EI46850"/>
      <c r="EJ46850"/>
      <c r="EK46850"/>
    </row>
    <row r="46851" spans="1:141" s="116" customFormat="1">
      <c r="A46851" s="136"/>
      <c r="CM46851" s="111"/>
      <c r="CQ46851" s="111"/>
      <c r="EF46851"/>
      <c r="EG46851"/>
      <c r="EH46851"/>
      <c r="EI46851"/>
      <c r="EJ46851"/>
      <c r="EK46851"/>
    </row>
    <row r="46852" spans="1:141" s="116" customFormat="1">
      <c r="A46852" s="136"/>
      <c r="CM46852" s="111"/>
      <c r="CQ46852" s="111"/>
      <c r="EF46852"/>
      <c r="EG46852"/>
      <c r="EH46852"/>
      <c r="EI46852"/>
      <c r="EJ46852"/>
      <c r="EK46852"/>
    </row>
    <row r="46853" spans="1:141" s="116" customFormat="1">
      <c r="A46853" s="136"/>
      <c r="CM46853" s="111"/>
      <c r="CQ46853" s="111"/>
      <c r="EF46853"/>
      <c r="EG46853"/>
      <c r="EH46853"/>
      <c r="EI46853"/>
      <c r="EJ46853"/>
      <c r="EK46853"/>
    </row>
    <row r="46854" spans="1:141" s="116" customFormat="1">
      <c r="A46854" s="136"/>
      <c r="CM46854" s="111"/>
      <c r="CQ46854" s="111"/>
      <c r="EF46854"/>
      <c r="EG46854"/>
      <c r="EH46854"/>
      <c r="EI46854"/>
      <c r="EJ46854"/>
      <c r="EK46854"/>
    </row>
    <row r="46855" spans="1:141" s="116" customFormat="1">
      <c r="A46855" s="136"/>
      <c r="CM46855" s="111"/>
      <c r="CQ46855" s="111"/>
      <c r="EF46855"/>
      <c r="EG46855"/>
      <c r="EH46855"/>
      <c r="EI46855"/>
      <c r="EJ46855"/>
      <c r="EK46855"/>
    </row>
    <row r="46856" spans="1:141" s="116" customFormat="1">
      <c r="A46856" s="136"/>
      <c r="CM46856" s="111"/>
      <c r="CQ46856" s="111"/>
      <c r="EF46856"/>
      <c r="EG46856"/>
      <c r="EH46856"/>
      <c r="EI46856"/>
      <c r="EJ46856"/>
      <c r="EK46856"/>
    </row>
    <row r="46857" spans="1:141" s="116" customFormat="1">
      <c r="A46857" s="136"/>
      <c r="CM46857" s="111"/>
      <c r="CQ46857" s="111"/>
      <c r="EF46857"/>
      <c r="EG46857"/>
      <c r="EH46857"/>
      <c r="EI46857"/>
      <c r="EJ46857"/>
      <c r="EK46857"/>
    </row>
    <row r="46858" spans="1:141" s="116" customFormat="1">
      <c r="A46858" s="136"/>
      <c r="CM46858" s="111"/>
      <c r="CQ46858" s="111"/>
      <c r="EF46858"/>
      <c r="EG46858"/>
      <c r="EH46858"/>
      <c r="EI46858"/>
      <c r="EJ46858"/>
      <c r="EK46858"/>
    </row>
    <row r="46859" spans="1:141" s="116" customFormat="1">
      <c r="A46859" s="136"/>
      <c r="CM46859" s="111"/>
      <c r="CQ46859" s="111"/>
      <c r="EF46859"/>
      <c r="EG46859"/>
      <c r="EH46859"/>
      <c r="EI46859"/>
      <c r="EJ46859"/>
      <c r="EK46859"/>
    </row>
    <row r="46860" spans="1:141" s="116" customFormat="1">
      <c r="A46860" s="136"/>
      <c r="CM46860" s="111"/>
      <c r="CQ46860" s="111"/>
      <c r="EF46860"/>
      <c r="EG46860"/>
      <c r="EH46860"/>
      <c r="EI46860"/>
      <c r="EJ46860"/>
      <c r="EK46860"/>
    </row>
    <row r="46861" spans="1:141" s="116" customFormat="1">
      <c r="A46861" s="136"/>
      <c r="CM46861" s="111"/>
      <c r="CQ46861" s="111"/>
      <c r="EF46861"/>
      <c r="EG46861"/>
      <c r="EH46861"/>
      <c r="EI46861"/>
      <c r="EJ46861"/>
      <c r="EK46861"/>
    </row>
    <row r="46862" spans="1:141" s="116" customFormat="1">
      <c r="A46862" s="136"/>
      <c r="CM46862" s="111"/>
      <c r="CQ46862" s="111"/>
      <c r="EF46862"/>
      <c r="EG46862"/>
      <c r="EH46862"/>
      <c r="EI46862"/>
      <c r="EJ46862"/>
      <c r="EK46862"/>
    </row>
    <row r="46863" spans="1:141" s="116" customFormat="1">
      <c r="A46863" s="136"/>
      <c r="CM46863" s="111"/>
      <c r="CQ46863" s="111"/>
      <c r="EF46863"/>
      <c r="EG46863"/>
      <c r="EH46863"/>
      <c r="EI46863"/>
      <c r="EJ46863"/>
      <c r="EK46863"/>
    </row>
    <row r="46864" spans="1:141" s="116" customFormat="1">
      <c r="A46864" s="136"/>
      <c r="CM46864" s="111"/>
      <c r="CQ46864" s="111"/>
      <c r="EF46864"/>
      <c r="EG46864"/>
      <c r="EH46864"/>
      <c r="EI46864"/>
      <c r="EJ46864"/>
      <c r="EK46864"/>
    </row>
    <row r="46865" spans="1:141" s="116" customFormat="1">
      <c r="A46865" s="136"/>
      <c r="CM46865" s="111"/>
      <c r="CQ46865" s="111"/>
      <c r="EF46865"/>
      <c r="EG46865"/>
      <c r="EH46865"/>
      <c r="EI46865"/>
      <c r="EJ46865"/>
      <c r="EK46865"/>
    </row>
    <row r="46866" spans="1:141" s="116" customFormat="1">
      <c r="A46866" s="136"/>
      <c r="CM46866" s="111"/>
      <c r="CQ46866" s="111"/>
      <c r="EF46866"/>
      <c r="EG46866"/>
      <c r="EH46866"/>
      <c r="EI46866"/>
      <c r="EJ46866"/>
      <c r="EK46866"/>
    </row>
    <row r="46867" spans="1:141" s="116" customFormat="1">
      <c r="A46867" s="136"/>
      <c r="CM46867" s="111"/>
      <c r="CQ46867" s="111"/>
      <c r="EF46867"/>
      <c r="EG46867"/>
      <c r="EH46867"/>
      <c r="EI46867"/>
      <c r="EJ46867"/>
      <c r="EK46867"/>
    </row>
    <row r="46868" spans="1:141" s="116" customFormat="1">
      <c r="A46868" s="136"/>
      <c r="CM46868" s="111"/>
      <c r="CQ46868" s="111"/>
      <c r="EF46868"/>
      <c r="EG46868"/>
      <c r="EH46868"/>
      <c r="EI46868"/>
      <c r="EJ46868"/>
      <c r="EK46868"/>
    </row>
    <row r="46869" spans="1:141" s="116" customFormat="1">
      <c r="A46869" s="136"/>
      <c r="CM46869" s="111"/>
      <c r="CQ46869" s="111"/>
      <c r="EF46869"/>
      <c r="EG46869"/>
      <c r="EH46869"/>
      <c r="EI46869"/>
      <c r="EJ46869"/>
      <c r="EK46869"/>
    </row>
    <row r="46870" spans="1:141" s="116" customFormat="1">
      <c r="A46870" s="136"/>
      <c r="CM46870" s="111"/>
      <c r="CQ46870" s="111"/>
      <c r="EF46870"/>
      <c r="EG46870"/>
      <c r="EH46870"/>
      <c r="EI46870"/>
      <c r="EJ46870"/>
      <c r="EK46870"/>
    </row>
    <row r="46871" spans="1:141" s="116" customFormat="1">
      <c r="A46871" s="136"/>
      <c r="CM46871" s="111"/>
      <c r="CQ46871" s="111"/>
      <c r="EF46871"/>
      <c r="EG46871"/>
      <c r="EH46871"/>
      <c r="EI46871"/>
      <c r="EJ46871"/>
      <c r="EK46871"/>
    </row>
    <row r="46872" spans="1:141" s="116" customFormat="1">
      <c r="A46872" s="136"/>
      <c r="CM46872" s="111"/>
      <c r="CQ46872" s="111"/>
      <c r="EF46872"/>
      <c r="EG46872"/>
      <c r="EH46872"/>
      <c r="EI46872"/>
      <c r="EJ46872"/>
      <c r="EK46872"/>
    </row>
    <row r="46873" spans="1:141" s="116" customFormat="1">
      <c r="A46873" s="136"/>
      <c r="CM46873" s="111"/>
      <c r="CQ46873" s="111"/>
      <c r="EF46873"/>
      <c r="EG46873"/>
      <c r="EH46873"/>
      <c r="EI46873"/>
      <c r="EJ46873"/>
      <c r="EK46873"/>
    </row>
    <row r="46874" spans="1:141" s="116" customFormat="1">
      <c r="A46874" s="136"/>
      <c r="CM46874" s="111"/>
      <c r="CQ46874" s="111"/>
      <c r="EF46874"/>
      <c r="EG46874"/>
      <c r="EH46874"/>
      <c r="EI46874"/>
      <c r="EJ46874"/>
      <c r="EK46874"/>
    </row>
    <row r="46875" spans="1:141" s="116" customFormat="1">
      <c r="A46875" s="136"/>
      <c r="CM46875" s="111"/>
      <c r="CQ46875" s="111"/>
      <c r="EF46875"/>
      <c r="EG46875"/>
      <c r="EH46875"/>
      <c r="EI46875"/>
      <c r="EJ46875"/>
      <c r="EK46875"/>
    </row>
    <row r="46876" spans="1:141" s="116" customFormat="1">
      <c r="A46876" s="136"/>
      <c r="CM46876" s="111"/>
      <c r="CQ46876" s="111"/>
      <c r="EF46876"/>
      <c r="EG46876"/>
      <c r="EH46876"/>
      <c r="EI46876"/>
      <c r="EJ46876"/>
      <c r="EK46876"/>
    </row>
    <row r="46877" spans="1:141" s="116" customFormat="1">
      <c r="A46877" s="136"/>
      <c r="CM46877" s="111"/>
      <c r="CQ46877" s="111"/>
      <c r="EF46877"/>
      <c r="EG46877"/>
      <c r="EH46877"/>
      <c r="EI46877"/>
      <c r="EJ46877"/>
      <c r="EK46877"/>
    </row>
    <row r="46878" spans="1:141" s="116" customFormat="1">
      <c r="A46878" s="136"/>
      <c r="CM46878" s="111"/>
      <c r="CQ46878" s="111"/>
      <c r="EF46878"/>
      <c r="EG46878"/>
      <c r="EH46878"/>
      <c r="EI46878"/>
      <c r="EJ46878"/>
      <c r="EK46878"/>
    </row>
    <row r="46879" spans="1:141" s="116" customFormat="1">
      <c r="A46879" s="136"/>
      <c r="CM46879" s="111"/>
      <c r="CQ46879" s="111"/>
      <c r="EF46879"/>
      <c r="EG46879"/>
      <c r="EH46879"/>
      <c r="EI46879"/>
      <c r="EJ46879"/>
      <c r="EK46879"/>
    </row>
    <row r="46880" spans="1:141" s="116" customFormat="1">
      <c r="A46880" s="136"/>
      <c r="CM46880" s="111"/>
      <c r="CQ46880" s="111"/>
      <c r="EF46880"/>
      <c r="EG46880"/>
      <c r="EH46880"/>
      <c r="EI46880"/>
      <c r="EJ46880"/>
      <c r="EK46880"/>
    </row>
    <row r="46881" spans="1:141" s="116" customFormat="1">
      <c r="A46881" s="136"/>
      <c r="CM46881" s="111"/>
      <c r="CQ46881" s="111"/>
      <c r="EF46881"/>
      <c r="EG46881"/>
      <c r="EH46881"/>
      <c r="EI46881"/>
      <c r="EJ46881"/>
      <c r="EK46881"/>
    </row>
    <row r="46882" spans="1:141" s="116" customFormat="1">
      <c r="A46882" s="136"/>
      <c r="CM46882" s="111"/>
      <c r="CQ46882" s="111"/>
      <c r="EF46882"/>
      <c r="EG46882"/>
      <c r="EH46882"/>
      <c r="EI46882"/>
      <c r="EJ46882"/>
      <c r="EK46882"/>
    </row>
    <row r="46883" spans="1:141" s="116" customFormat="1">
      <c r="A46883" s="136"/>
      <c r="CM46883" s="111"/>
      <c r="CQ46883" s="111"/>
      <c r="EF46883"/>
      <c r="EG46883"/>
      <c r="EH46883"/>
      <c r="EI46883"/>
      <c r="EJ46883"/>
      <c r="EK46883"/>
    </row>
    <row r="46884" spans="1:141" s="116" customFormat="1">
      <c r="A46884" s="136"/>
      <c r="CM46884" s="111"/>
      <c r="CQ46884" s="111"/>
      <c r="EF46884"/>
      <c r="EG46884"/>
      <c r="EH46884"/>
      <c r="EI46884"/>
      <c r="EJ46884"/>
      <c r="EK46884"/>
    </row>
    <row r="46885" spans="1:141" s="116" customFormat="1">
      <c r="A46885" s="136"/>
      <c r="CM46885" s="111"/>
      <c r="CQ46885" s="111"/>
      <c r="EF46885"/>
      <c r="EG46885"/>
      <c r="EH46885"/>
      <c r="EI46885"/>
      <c r="EJ46885"/>
      <c r="EK46885"/>
    </row>
    <row r="46886" spans="1:141" s="116" customFormat="1">
      <c r="A46886" s="136"/>
      <c r="CM46886" s="111"/>
      <c r="CQ46886" s="111"/>
      <c r="EF46886"/>
      <c r="EG46886"/>
      <c r="EH46886"/>
      <c r="EI46886"/>
      <c r="EJ46886"/>
      <c r="EK46886"/>
    </row>
    <row r="46887" spans="1:141" s="116" customFormat="1">
      <c r="A46887" s="136"/>
      <c r="CM46887" s="111"/>
      <c r="CQ46887" s="111"/>
      <c r="EF46887"/>
      <c r="EG46887"/>
      <c r="EH46887"/>
      <c r="EI46887"/>
      <c r="EJ46887"/>
      <c r="EK46887"/>
    </row>
    <row r="46888" spans="1:141" s="116" customFormat="1">
      <c r="A46888" s="136"/>
      <c r="CM46888" s="111"/>
      <c r="CQ46888" s="111"/>
      <c r="EF46888"/>
      <c r="EG46888"/>
      <c r="EH46888"/>
      <c r="EI46888"/>
      <c r="EJ46888"/>
      <c r="EK46888"/>
    </row>
    <row r="46889" spans="1:141" s="116" customFormat="1">
      <c r="A46889" s="136"/>
      <c r="CM46889" s="111"/>
      <c r="CQ46889" s="111"/>
      <c r="EF46889"/>
      <c r="EG46889"/>
      <c r="EH46889"/>
      <c r="EI46889"/>
      <c r="EJ46889"/>
      <c r="EK46889"/>
    </row>
    <row r="46890" spans="1:141" s="116" customFormat="1">
      <c r="A46890" s="136"/>
      <c r="CM46890" s="111"/>
      <c r="CQ46890" s="111"/>
      <c r="EF46890"/>
      <c r="EG46890"/>
      <c r="EH46890"/>
      <c r="EI46890"/>
      <c r="EJ46890"/>
      <c r="EK46890"/>
    </row>
    <row r="46891" spans="1:141" s="116" customFormat="1">
      <c r="A46891" s="136"/>
      <c r="CM46891" s="111"/>
      <c r="CQ46891" s="111"/>
      <c r="EF46891"/>
      <c r="EG46891"/>
      <c r="EH46891"/>
      <c r="EI46891"/>
      <c r="EJ46891"/>
      <c r="EK46891"/>
    </row>
    <row r="46892" spans="1:141" s="116" customFormat="1">
      <c r="A46892" s="136"/>
      <c r="CM46892" s="111"/>
      <c r="CQ46892" s="111"/>
      <c r="EF46892"/>
      <c r="EG46892"/>
      <c r="EH46892"/>
      <c r="EI46892"/>
      <c r="EJ46892"/>
      <c r="EK46892"/>
    </row>
    <row r="46893" spans="1:141" s="116" customFormat="1">
      <c r="A46893" s="136"/>
      <c r="CM46893" s="111"/>
      <c r="CQ46893" s="111"/>
      <c r="EF46893"/>
      <c r="EG46893"/>
      <c r="EH46893"/>
      <c r="EI46893"/>
      <c r="EJ46893"/>
      <c r="EK46893"/>
    </row>
    <row r="46894" spans="1:141" s="116" customFormat="1">
      <c r="A46894" s="136"/>
      <c r="CM46894" s="111"/>
      <c r="CQ46894" s="111"/>
      <c r="EF46894"/>
      <c r="EG46894"/>
      <c r="EH46894"/>
      <c r="EI46894"/>
      <c r="EJ46894"/>
      <c r="EK46894"/>
    </row>
    <row r="46895" spans="1:141" s="116" customFormat="1">
      <c r="A46895" s="136"/>
      <c r="CM46895" s="111"/>
      <c r="CQ46895" s="111"/>
      <c r="EF46895"/>
      <c r="EG46895"/>
      <c r="EH46895"/>
      <c r="EI46895"/>
      <c r="EJ46895"/>
      <c r="EK46895"/>
    </row>
    <row r="46896" spans="1:141" s="116" customFormat="1">
      <c r="A46896" s="136"/>
      <c r="CM46896" s="111"/>
      <c r="CQ46896" s="111"/>
      <c r="EF46896"/>
      <c r="EG46896"/>
      <c r="EH46896"/>
      <c r="EI46896"/>
      <c r="EJ46896"/>
      <c r="EK46896"/>
    </row>
    <row r="46897" spans="1:141" s="116" customFormat="1">
      <c r="A46897" s="136"/>
      <c r="CM46897" s="111"/>
      <c r="CQ46897" s="111"/>
      <c r="EF46897"/>
      <c r="EG46897"/>
      <c r="EH46897"/>
      <c r="EI46897"/>
      <c r="EJ46897"/>
      <c r="EK46897"/>
    </row>
    <row r="46898" spans="1:141" s="116" customFormat="1">
      <c r="A46898" s="136"/>
      <c r="CM46898" s="111"/>
      <c r="CQ46898" s="111"/>
      <c r="EF46898"/>
      <c r="EG46898"/>
      <c r="EH46898"/>
      <c r="EI46898"/>
      <c r="EJ46898"/>
      <c r="EK46898"/>
    </row>
    <row r="46899" spans="1:141" s="116" customFormat="1">
      <c r="A46899" s="136"/>
      <c r="CM46899" s="111"/>
      <c r="CQ46899" s="111"/>
      <c r="EF46899"/>
      <c r="EG46899"/>
      <c r="EH46899"/>
      <c r="EI46899"/>
      <c r="EJ46899"/>
      <c r="EK46899"/>
    </row>
    <row r="46900" spans="1:141" s="116" customFormat="1">
      <c r="A46900" s="136"/>
      <c r="CM46900" s="111"/>
      <c r="CQ46900" s="111"/>
      <c r="EF46900"/>
      <c r="EG46900"/>
      <c r="EH46900"/>
      <c r="EI46900"/>
      <c r="EJ46900"/>
      <c r="EK46900"/>
    </row>
    <row r="46901" spans="1:141" s="116" customFormat="1">
      <c r="A46901" s="136"/>
      <c r="CM46901" s="111"/>
      <c r="CQ46901" s="111"/>
      <c r="EF46901"/>
      <c r="EG46901"/>
      <c r="EH46901"/>
      <c r="EI46901"/>
      <c r="EJ46901"/>
      <c r="EK46901"/>
    </row>
    <row r="46902" spans="1:141" s="116" customFormat="1">
      <c r="A46902" s="136"/>
      <c r="CM46902" s="111"/>
      <c r="CQ46902" s="111"/>
      <c r="EF46902"/>
      <c r="EG46902"/>
      <c r="EH46902"/>
      <c r="EI46902"/>
      <c r="EJ46902"/>
      <c r="EK46902"/>
    </row>
    <row r="46903" spans="1:141" s="116" customFormat="1">
      <c r="A46903" s="136"/>
      <c r="CM46903" s="111"/>
      <c r="CQ46903" s="111"/>
      <c r="EF46903"/>
      <c r="EG46903"/>
      <c r="EH46903"/>
      <c r="EI46903"/>
      <c r="EJ46903"/>
      <c r="EK46903"/>
    </row>
    <row r="46904" spans="1:141" s="116" customFormat="1">
      <c r="A46904" s="136"/>
      <c r="CM46904" s="111"/>
      <c r="CQ46904" s="111"/>
      <c r="EF46904"/>
      <c r="EG46904"/>
      <c r="EH46904"/>
      <c r="EI46904"/>
      <c r="EJ46904"/>
      <c r="EK46904"/>
    </row>
    <row r="46905" spans="1:141" s="116" customFormat="1">
      <c r="A46905" s="136"/>
      <c r="CM46905" s="111"/>
      <c r="CQ46905" s="111"/>
      <c r="EF46905"/>
      <c r="EG46905"/>
      <c r="EH46905"/>
      <c r="EI46905"/>
      <c r="EJ46905"/>
      <c r="EK46905"/>
    </row>
    <row r="46906" spans="1:141" s="116" customFormat="1">
      <c r="A46906" s="136"/>
      <c r="CM46906" s="111"/>
      <c r="CQ46906" s="111"/>
      <c r="EF46906"/>
      <c r="EG46906"/>
      <c r="EH46906"/>
      <c r="EI46906"/>
      <c r="EJ46906"/>
      <c r="EK46906"/>
    </row>
    <row r="46907" spans="1:141" s="116" customFormat="1">
      <c r="A46907" s="136"/>
      <c r="CM46907" s="111"/>
      <c r="CQ46907" s="111"/>
      <c r="EF46907"/>
      <c r="EG46907"/>
      <c r="EH46907"/>
      <c r="EI46907"/>
      <c r="EJ46907"/>
      <c r="EK46907"/>
    </row>
    <row r="46908" spans="1:141" s="116" customFormat="1">
      <c r="A46908" s="136"/>
      <c r="CM46908" s="111"/>
      <c r="CQ46908" s="111"/>
      <c r="EF46908"/>
      <c r="EG46908"/>
      <c r="EH46908"/>
      <c r="EI46908"/>
      <c r="EJ46908"/>
      <c r="EK46908"/>
    </row>
    <row r="46909" spans="1:141" s="116" customFormat="1">
      <c r="A46909" s="136"/>
      <c r="CM46909" s="111"/>
      <c r="CQ46909" s="111"/>
      <c r="EF46909"/>
      <c r="EG46909"/>
      <c r="EH46909"/>
      <c r="EI46909"/>
      <c r="EJ46909"/>
      <c r="EK46909"/>
    </row>
    <row r="46910" spans="1:141" s="116" customFormat="1">
      <c r="A46910" s="136"/>
      <c r="CM46910" s="111"/>
      <c r="CQ46910" s="111"/>
      <c r="EF46910"/>
      <c r="EG46910"/>
      <c r="EH46910"/>
      <c r="EI46910"/>
      <c r="EJ46910"/>
      <c r="EK46910"/>
    </row>
    <row r="46911" spans="1:141" s="116" customFormat="1">
      <c r="A46911" s="136"/>
      <c r="CM46911" s="111"/>
      <c r="CQ46911" s="111"/>
      <c r="EF46911"/>
      <c r="EG46911"/>
      <c r="EH46911"/>
      <c r="EI46911"/>
      <c r="EJ46911"/>
      <c r="EK46911"/>
    </row>
    <row r="46912" spans="1:141" s="116" customFormat="1">
      <c r="A46912" s="136"/>
      <c r="CM46912" s="111"/>
      <c r="CQ46912" s="111"/>
      <c r="EF46912"/>
      <c r="EG46912"/>
      <c r="EH46912"/>
      <c r="EI46912"/>
      <c r="EJ46912"/>
      <c r="EK46912"/>
    </row>
    <row r="46913" spans="1:141" s="116" customFormat="1">
      <c r="A46913" s="136"/>
      <c r="CM46913" s="111"/>
      <c r="CQ46913" s="111"/>
      <c r="EF46913"/>
      <c r="EG46913"/>
      <c r="EH46913"/>
      <c r="EI46913"/>
      <c r="EJ46913"/>
      <c r="EK46913"/>
    </row>
    <row r="46914" spans="1:141" s="116" customFormat="1">
      <c r="A46914" s="136"/>
      <c r="CM46914" s="111"/>
      <c r="CQ46914" s="111"/>
      <c r="EF46914"/>
      <c r="EG46914"/>
      <c r="EH46914"/>
      <c r="EI46914"/>
      <c r="EJ46914"/>
      <c r="EK46914"/>
    </row>
    <row r="46915" spans="1:141" s="116" customFormat="1">
      <c r="A46915" s="136"/>
      <c r="CM46915" s="111"/>
      <c r="CQ46915" s="111"/>
      <c r="EF46915"/>
      <c r="EG46915"/>
      <c r="EH46915"/>
      <c r="EI46915"/>
      <c r="EJ46915"/>
      <c r="EK46915"/>
    </row>
    <row r="46916" spans="1:141" s="116" customFormat="1">
      <c r="A46916" s="136"/>
      <c r="CM46916" s="111"/>
      <c r="CQ46916" s="111"/>
      <c r="EF46916"/>
      <c r="EG46916"/>
      <c r="EH46916"/>
      <c r="EI46916"/>
      <c r="EJ46916"/>
      <c r="EK46916"/>
    </row>
    <row r="46917" spans="1:141" s="116" customFormat="1">
      <c r="A46917" s="136"/>
      <c r="CM46917" s="111"/>
      <c r="CQ46917" s="111"/>
      <c r="EF46917"/>
      <c r="EG46917"/>
      <c r="EH46917"/>
      <c r="EI46917"/>
      <c r="EJ46917"/>
      <c r="EK46917"/>
    </row>
    <row r="46918" spans="1:141" s="116" customFormat="1">
      <c r="A46918" s="136"/>
      <c r="CM46918" s="111"/>
      <c r="CQ46918" s="111"/>
      <c r="EF46918"/>
      <c r="EG46918"/>
      <c r="EH46918"/>
      <c r="EI46918"/>
      <c r="EJ46918"/>
      <c r="EK46918"/>
    </row>
    <row r="46919" spans="1:141" s="116" customFormat="1">
      <c r="A46919" s="136"/>
      <c r="CM46919" s="111"/>
      <c r="CQ46919" s="111"/>
      <c r="EF46919"/>
      <c r="EG46919"/>
      <c r="EH46919"/>
      <c r="EI46919"/>
      <c r="EJ46919"/>
      <c r="EK46919"/>
    </row>
    <row r="46920" spans="1:141" s="116" customFormat="1">
      <c r="A46920" s="136"/>
      <c r="CM46920" s="111"/>
      <c r="CQ46920" s="111"/>
      <c r="EF46920"/>
      <c r="EG46920"/>
      <c r="EH46920"/>
      <c r="EI46920"/>
      <c r="EJ46920"/>
      <c r="EK46920"/>
    </row>
    <row r="46921" spans="1:141" s="116" customFormat="1">
      <c r="A46921" s="136"/>
      <c r="CM46921" s="111"/>
      <c r="CQ46921" s="111"/>
      <c r="EF46921"/>
      <c r="EG46921"/>
      <c r="EH46921"/>
      <c r="EI46921"/>
      <c r="EJ46921"/>
      <c r="EK46921"/>
    </row>
    <row r="46922" spans="1:141" s="116" customFormat="1">
      <c r="A46922" s="136"/>
      <c r="CM46922" s="111"/>
      <c r="CQ46922" s="111"/>
      <c r="EF46922"/>
      <c r="EG46922"/>
      <c r="EH46922"/>
      <c r="EI46922"/>
      <c r="EJ46922"/>
      <c r="EK46922"/>
    </row>
    <row r="46923" spans="1:141" s="116" customFormat="1">
      <c r="A46923" s="136"/>
      <c r="CM46923" s="111"/>
      <c r="CQ46923" s="111"/>
      <c r="EF46923"/>
      <c r="EG46923"/>
      <c r="EH46923"/>
      <c r="EI46923"/>
      <c r="EJ46923"/>
      <c r="EK46923"/>
    </row>
    <row r="46924" spans="1:141" s="116" customFormat="1">
      <c r="A46924" s="136"/>
      <c r="CM46924" s="111"/>
      <c r="CQ46924" s="111"/>
      <c r="EF46924"/>
      <c r="EG46924"/>
      <c r="EH46924"/>
      <c r="EI46924"/>
      <c r="EJ46924"/>
      <c r="EK46924"/>
    </row>
    <row r="46925" spans="1:141" s="116" customFormat="1">
      <c r="A46925" s="136"/>
      <c r="CM46925" s="111"/>
      <c r="CQ46925" s="111"/>
      <c r="EF46925"/>
      <c r="EG46925"/>
      <c r="EH46925"/>
      <c r="EI46925"/>
      <c r="EJ46925"/>
      <c r="EK46925"/>
    </row>
    <row r="46926" spans="1:141" s="116" customFormat="1">
      <c r="A46926" s="136"/>
      <c r="CM46926" s="111"/>
      <c r="CQ46926" s="111"/>
      <c r="EF46926"/>
      <c r="EG46926"/>
      <c r="EH46926"/>
      <c r="EI46926"/>
      <c r="EJ46926"/>
      <c r="EK46926"/>
    </row>
    <row r="46927" spans="1:141" s="116" customFormat="1">
      <c r="A46927" s="136"/>
      <c r="CM46927" s="111"/>
      <c r="CQ46927" s="111"/>
      <c r="EF46927"/>
      <c r="EG46927"/>
      <c r="EH46927"/>
      <c r="EI46927"/>
      <c r="EJ46927"/>
      <c r="EK46927"/>
    </row>
    <row r="46928" spans="1:141" s="116" customFormat="1">
      <c r="A46928" s="136"/>
      <c r="CM46928" s="111"/>
      <c r="CQ46928" s="111"/>
      <c r="EF46928"/>
      <c r="EG46928"/>
      <c r="EH46928"/>
      <c r="EI46928"/>
      <c r="EJ46928"/>
      <c r="EK46928"/>
    </row>
    <row r="46929" spans="1:141" s="116" customFormat="1">
      <c r="A46929" s="136"/>
      <c r="CM46929" s="111"/>
      <c r="CQ46929" s="111"/>
      <c r="EF46929"/>
      <c r="EG46929"/>
      <c r="EH46929"/>
      <c r="EI46929"/>
      <c r="EJ46929"/>
      <c r="EK46929"/>
    </row>
    <row r="46930" spans="1:141" s="116" customFormat="1">
      <c r="A46930" s="136"/>
      <c r="CM46930" s="111"/>
      <c r="CQ46930" s="111"/>
      <c r="EF46930"/>
      <c r="EG46930"/>
      <c r="EH46930"/>
      <c r="EI46930"/>
      <c r="EJ46930"/>
      <c r="EK46930"/>
    </row>
    <row r="46931" spans="1:141" s="116" customFormat="1">
      <c r="A46931" s="136"/>
      <c r="CM46931" s="111"/>
      <c r="CQ46931" s="111"/>
      <c r="EF46931"/>
      <c r="EG46931"/>
      <c r="EH46931"/>
      <c r="EI46931"/>
      <c r="EJ46931"/>
      <c r="EK46931"/>
    </row>
    <row r="46932" spans="1:141" s="116" customFormat="1">
      <c r="A46932" s="136"/>
      <c r="CM46932" s="111"/>
      <c r="CQ46932" s="111"/>
      <c r="EF46932"/>
      <c r="EG46932"/>
      <c r="EH46932"/>
      <c r="EI46932"/>
      <c r="EJ46932"/>
      <c r="EK46932"/>
    </row>
    <row r="46933" spans="1:141" s="116" customFormat="1">
      <c r="A46933" s="136"/>
      <c r="CM46933" s="111"/>
      <c r="CQ46933" s="111"/>
      <c r="EF46933"/>
      <c r="EG46933"/>
      <c r="EH46933"/>
      <c r="EI46933"/>
      <c r="EJ46933"/>
      <c r="EK46933"/>
    </row>
    <row r="46934" spans="1:141" s="116" customFormat="1">
      <c r="A46934" s="136"/>
      <c r="CM46934" s="111"/>
      <c r="CQ46934" s="111"/>
      <c r="EF46934"/>
      <c r="EG46934"/>
      <c r="EH46934"/>
      <c r="EI46934"/>
      <c r="EJ46934"/>
      <c r="EK46934"/>
    </row>
    <row r="46935" spans="1:141" s="116" customFormat="1">
      <c r="A46935" s="136"/>
      <c r="CM46935" s="111"/>
      <c r="CQ46935" s="111"/>
      <c r="EF46935"/>
      <c r="EG46935"/>
      <c r="EH46935"/>
      <c r="EI46935"/>
      <c r="EJ46935"/>
      <c r="EK46935"/>
    </row>
    <row r="46936" spans="1:141" s="116" customFormat="1">
      <c r="A46936" s="136"/>
      <c r="CM46936" s="111"/>
      <c r="CQ46936" s="111"/>
      <c r="EF46936"/>
      <c r="EG46936"/>
      <c r="EH46936"/>
      <c r="EI46936"/>
      <c r="EJ46936"/>
      <c r="EK46936"/>
    </row>
    <row r="46937" spans="1:141" s="116" customFormat="1">
      <c r="A46937" s="136"/>
      <c r="CM46937" s="111"/>
      <c r="CQ46937" s="111"/>
      <c r="EF46937"/>
      <c r="EG46937"/>
      <c r="EH46937"/>
      <c r="EI46937"/>
      <c r="EJ46937"/>
      <c r="EK46937"/>
    </row>
    <row r="46938" spans="1:141" s="116" customFormat="1">
      <c r="A46938" s="136"/>
      <c r="CM46938" s="111"/>
      <c r="CQ46938" s="111"/>
      <c r="EF46938"/>
      <c r="EG46938"/>
      <c r="EH46938"/>
      <c r="EI46938"/>
      <c r="EJ46938"/>
      <c r="EK46938"/>
    </row>
    <row r="46939" spans="1:141" s="116" customFormat="1">
      <c r="A46939" s="136"/>
      <c r="CM46939" s="111"/>
      <c r="CQ46939" s="111"/>
      <c r="EF46939"/>
      <c r="EG46939"/>
      <c r="EH46939"/>
      <c r="EI46939"/>
      <c r="EJ46939"/>
      <c r="EK46939"/>
    </row>
    <row r="46940" spans="1:141" s="116" customFormat="1">
      <c r="A46940" s="136"/>
      <c r="CM46940" s="111"/>
      <c r="CQ46940" s="111"/>
      <c r="EF46940"/>
      <c r="EG46940"/>
      <c r="EH46940"/>
      <c r="EI46940"/>
      <c r="EJ46940"/>
      <c r="EK46940"/>
    </row>
    <row r="46941" spans="1:141" s="116" customFormat="1">
      <c r="A46941" s="136"/>
      <c r="CM46941" s="111"/>
      <c r="CQ46941" s="111"/>
      <c r="EF46941"/>
      <c r="EG46941"/>
      <c r="EH46941"/>
      <c r="EI46941"/>
      <c r="EJ46941"/>
      <c r="EK46941"/>
    </row>
    <row r="46942" spans="1:141" s="116" customFormat="1">
      <c r="A46942" s="136"/>
      <c r="CM46942" s="111"/>
      <c r="CQ46942" s="111"/>
      <c r="EF46942"/>
      <c r="EG46942"/>
      <c r="EH46942"/>
      <c r="EI46942"/>
      <c r="EJ46942"/>
      <c r="EK46942"/>
    </row>
    <row r="46943" spans="1:141" s="116" customFormat="1">
      <c r="A46943" s="136"/>
      <c r="CM46943" s="111"/>
      <c r="CQ46943" s="111"/>
      <c r="EF46943"/>
      <c r="EG46943"/>
      <c r="EH46943"/>
      <c r="EI46943"/>
      <c r="EJ46943"/>
      <c r="EK46943"/>
    </row>
    <row r="46944" spans="1:141" s="116" customFormat="1">
      <c r="A46944" s="136"/>
      <c r="CM46944" s="111"/>
      <c r="CQ46944" s="111"/>
      <c r="EF46944"/>
      <c r="EG46944"/>
      <c r="EH46944"/>
      <c r="EI46944"/>
      <c r="EJ46944"/>
      <c r="EK46944"/>
    </row>
    <row r="46945" spans="1:141" s="116" customFormat="1">
      <c r="A46945" s="136"/>
      <c r="CM46945" s="111"/>
      <c r="CQ46945" s="111"/>
      <c r="EF46945"/>
      <c r="EG46945"/>
      <c r="EH46945"/>
      <c r="EI46945"/>
      <c r="EJ46945"/>
      <c r="EK46945"/>
    </row>
    <row r="46946" spans="1:141" s="116" customFormat="1">
      <c r="A46946" s="136"/>
      <c r="CM46946" s="111"/>
      <c r="CQ46946" s="111"/>
      <c r="EF46946"/>
      <c r="EG46946"/>
      <c r="EH46946"/>
      <c r="EI46946"/>
      <c r="EJ46946"/>
      <c r="EK46946"/>
    </row>
    <row r="46947" spans="1:141" s="116" customFormat="1">
      <c r="A46947" s="136"/>
      <c r="CM46947" s="111"/>
      <c r="CQ46947" s="111"/>
      <c r="EF46947"/>
      <c r="EG46947"/>
      <c r="EH46947"/>
      <c r="EI46947"/>
      <c r="EJ46947"/>
      <c r="EK46947"/>
    </row>
    <row r="46948" spans="1:141" s="116" customFormat="1">
      <c r="A46948" s="136"/>
      <c r="CM46948" s="111"/>
      <c r="CQ46948" s="111"/>
      <c r="EF46948"/>
      <c r="EG46948"/>
      <c r="EH46948"/>
      <c r="EI46948"/>
      <c r="EJ46948"/>
      <c r="EK46948"/>
    </row>
    <row r="46949" spans="1:141" s="116" customFormat="1">
      <c r="A46949" s="136"/>
      <c r="CM46949" s="111"/>
      <c r="CQ46949" s="111"/>
      <c r="EF46949"/>
      <c r="EG46949"/>
      <c r="EH46949"/>
      <c r="EI46949"/>
      <c r="EJ46949"/>
      <c r="EK46949"/>
    </row>
    <row r="46950" spans="1:141" s="116" customFormat="1">
      <c r="A46950" s="136"/>
      <c r="CM46950" s="111"/>
      <c r="CQ46950" s="111"/>
      <c r="EF46950"/>
      <c r="EG46950"/>
      <c r="EH46950"/>
      <c r="EI46950"/>
      <c r="EJ46950"/>
      <c r="EK46950"/>
    </row>
    <row r="46951" spans="1:141" s="116" customFormat="1">
      <c r="A46951" s="136"/>
      <c r="CM46951" s="111"/>
      <c r="CQ46951" s="111"/>
      <c r="EF46951"/>
      <c r="EG46951"/>
      <c r="EH46951"/>
      <c r="EI46951"/>
      <c r="EJ46951"/>
      <c r="EK46951"/>
    </row>
    <row r="46952" spans="1:141" s="116" customFormat="1">
      <c r="A46952" s="136"/>
      <c r="CM46952" s="111"/>
      <c r="CQ46952" s="111"/>
      <c r="EF46952"/>
      <c r="EG46952"/>
      <c r="EH46952"/>
      <c r="EI46952"/>
      <c r="EJ46952"/>
      <c r="EK46952"/>
    </row>
    <row r="46953" spans="1:141" s="116" customFormat="1">
      <c r="A46953" s="136"/>
      <c r="CM46953" s="111"/>
      <c r="CQ46953" s="111"/>
      <c r="EF46953"/>
      <c r="EG46953"/>
      <c r="EH46953"/>
      <c r="EI46953"/>
      <c r="EJ46953"/>
      <c r="EK46953"/>
    </row>
    <row r="46954" spans="1:141" s="116" customFormat="1">
      <c r="A46954" s="136"/>
      <c r="CM46954" s="111"/>
      <c r="CQ46954" s="111"/>
      <c r="EF46954"/>
      <c r="EG46954"/>
      <c r="EH46954"/>
      <c r="EI46954"/>
      <c r="EJ46954"/>
      <c r="EK46954"/>
    </row>
    <row r="46955" spans="1:141" s="116" customFormat="1">
      <c r="A46955" s="136"/>
      <c r="CM46955" s="111"/>
      <c r="CQ46955" s="111"/>
      <c r="EF46955"/>
      <c r="EG46955"/>
      <c r="EH46955"/>
      <c r="EI46955"/>
      <c r="EJ46955"/>
      <c r="EK46955"/>
    </row>
    <row r="46956" spans="1:141" s="116" customFormat="1">
      <c r="A46956" s="136"/>
      <c r="CM46956" s="111"/>
      <c r="CQ46956" s="111"/>
      <c r="EF46956"/>
      <c r="EG46956"/>
      <c r="EH46956"/>
      <c r="EI46956"/>
      <c r="EJ46956"/>
      <c r="EK46956"/>
    </row>
    <row r="46957" spans="1:141" s="116" customFormat="1">
      <c r="A46957" s="136"/>
      <c r="CM46957" s="111"/>
      <c r="CQ46957" s="111"/>
      <c r="EF46957"/>
      <c r="EG46957"/>
      <c r="EH46957"/>
      <c r="EI46957"/>
      <c r="EJ46957"/>
      <c r="EK46957"/>
    </row>
    <row r="46958" spans="1:141" s="116" customFormat="1">
      <c r="A46958" s="136"/>
      <c r="CM46958" s="111"/>
      <c r="CQ46958" s="111"/>
      <c r="EF46958"/>
      <c r="EG46958"/>
      <c r="EH46958"/>
      <c r="EI46958"/>
      <c r="EJ46958"/>
      <c r="EK46958"/>
    </row>
    <row r="46959" spans="1:141" s="116" customFormat="1">
      <c r="A46959" s="136"/>
      <c r="CM46959" s="111"/>
      <c r="CQ46959" s="111"/>
      <c r="EF46959"/>
      <c r="EG46959"/>
      <c r="EH46959"/>
      <c r="EI46959"/>
      <c r="EJ46959"/>
      <c r="EK46959"/>
    </row>
    <row r="46960" spans="1:141" s="116" customFormat="1">
      <c r="A46960" s="136"/>
      <c r="CM46960" s="111"/>
      <c r="CQ46960" s="111"/>
      <c r="EF46960"/>
      <c r="EG46960"/>
      <c r="EH46960"/>
      <c r="EI46960"/>
      <c r="EJ46960"/>
      <c r="EK46960"/>
    </row>
    <row r="46961" spans="1:141" s="116" customFormat="1">
      <c r="A46961" s="136"/>
      <c r="CM46961" s="111"/>
      <c r="CQ46961" s="111"/>
      <c r="EF46961"/>
      <c r="EG46961"/>
      <c r="EH46961"/>
      <c r="EI46961"/>
      <c r="EJ46961"/>
      <c r="EK46961"/>
    </row>
    <row r="46962" spans="1:141" s="116" customFormat="1">
      <c r="A46962" s="136"/>
      <c r="CM46962" s="111"/>
      <c r="CQ46962" s="111"/>
      <c r="EF46962"/>
      <c r="EG46962"/>
      <c r="EH46962"/>
      <c r="EI46962"/>
      <c r="EJ46962"/>
      <c r="EK46962"/>
    </row>
    <row r="46963" spans="1:141" s="116" customFormat="1">
      <c r="A46963" s="136"/>
      <c r="CM46963" s="111"/>
      <c r="CQ46963" s="111"/>
      <c r="EF46963"/>
      <c r="EG46963"/>
      <c r="EH46963"/>
      <c r="EI46963"/>
      <c r="EJ46963"/>
      <c r="EK46963"/>
    </row>
    <row r="46964" spans="1:141" s="116" customFormat="1">
      <c r="A46964" s="136"/>
      <c r="CM46964" s="111"/>
      <c r="CQ46964" s="111"/>
      <c r="EF46964"/>
      <c r="EG46964"/>
      <c r="EH46964"/>
      <c r="EI46964"/>
      <c r="EJ46964"/>
      <c r="EK46964"/>
    </row>
    <row r="46965" spans="1:141" s="116" customFormat="1">
      <c r="A46965" s="136"/>
      <c r="CM46965" s="111"/>
      <c r="CQ46965" s="111"/>
      <c r="EF46965"/>
      <c r="EG46965"/>
      <c r="EH46965"/>
      <c r="EI46965"/>
      <c r="EJ46965"/>
      <c r="EK46965"/>
    </row>
    <row r="46966" spans="1:141" s="116" customFormat="1">
      <c r="A46966" s="136"/>
      <c r="CM46966" s="111"/>
      <c r="CQ46966" s="111"/>
      <c r="EF46966"/>
      <c r="EG46966"/>
      <c r="EH46966"/>
      <c r="EI46966"/>
      <c r="EJ46966"/>
      <c r="EK46966"/>
    </row>
    <row r="46967" spans="1:141" s="116" customFormat="1">
      <c r="A46967" s="136"/>
      <c r="CM46967" s="111"/>
      <c r="CQ46967" s="111"/>
      <c r="EF46967"/>
      <c r="EG46967"/>
      <c r="EH46967"/>
      <c r="EI46967"/>
      <c r="EJ46967"/>
      <c r="EK46967"/>
    </row>
    <row r="46968" spans="1:141" s="116" customFormat="1">
      <c r="A46968" s="136"/>
      <c r="CM46968" s="111"/>
      <c r="CQ46968" s="111"/>
      <c r="EF46968"/>
      <c r="EG46968"/>
      <c r="EH46968"/>
      <c r="EI46968"/>
      <c r="EJ46968"/>
      <c r="EK46968"/>
    </row>
    <row r="46969" spans="1:141" s="116" customFormat="1">
      <c r="A46969" s="136"/>
      <c r="CM46969" s="111"/>
      <c r="CQ46969" s="111"/>
      <c r="EF46969"/>
      <c r="EG46969"/>
      <c r="EH46969"/>
      <c r="EI46969"/>
      <c r="EJ46969"/>
      <c r="EK46969"/>
    </row>
    <row r="46970" spans="1:141" s="116" customFormat="1">
      <c r="A46970" s="136"/>
      <c r="CM46970" s="111"/>
      <c r="CQ46970" s="111"/>
      <c r="EF46970"/>
      <c r="EG46970"/>
      <c r="EH46970"/>
      <c r="EI46970"/>
      <c r="EJ46970"/>
      <c r="EK46970"/>
    </row>
    <row r="46971" spans="1:141" s="116" customFormat="1">
      <c r="A46971" s="136"/>
      <c r="CM46971" s="111"/>
      <c r="CQ46971" s="111"/>
      <c r="EF46971"/>
      <c r="EG46971"/>
      <c r="EH46971"/>
      <c r="EI46971"/>
      <c r="EJ46971"/>
      <c r="EK46971"/>
    </row>
    <row r="46972" spans="1:141" s="116" customFormat="1">
      <c r="A46972" s="136"/>
      <c r="CM46972" s="111"/>
      <c r="CQ46972" s="111"/>
      <c r="EF46972"/>
      <c r="EG46972"/>
      <c r="EH46972"/>
      <c r="EI46972"/>
      <c r="EJ46972"/>
      <c r="EK46972"/>
    </row>
    <row r="46973" spans="1:141" s="116" customFormat="1">
      <c r="A46973" s="136"/>
      <c r="CM46973" s="111"/>
      <c r="CQ46973" s="111"/>
      <c r="EF46973"/>
      <c r="EG46973"/>
      <c r="EH46973"/>
      <c r="EI46973"/>
      <c r="EJ46973"/>
      <c r="EK46973"/>
    </row>
    <row r="46974" spans="1:141" s="116" customFormat="1">
      <c r="A46974" s="136"/>
      <c r="CM46974" s="111"/>
      <c r="CQ46974" s="111"/>
      <c r="EF46974"/>
      <c r="EG46974"/>
      <c r="EH46974"/>
      <c r="EI46974"/>
      <c r="EJ46974"/>
      <c r="EK46974"/>
    </row>
    <row r="46975" spans="1:141" s="116" customFormat="1">
      <c r="A46975" s="136"/>
      <c r="CM46975" s="111"/>
      <c r="CQ46975" s="111"/>
      <c r="EF46975"/>
      <c r="EG46975"/>
      <c r="EH46975"/>
      <c r="EI46975"/>
      <c r="EJ46975"/>
      <c r="EK46975"/>
    </row>
    <row r="46976" spans="1:141" s="116" customFormat="1">
      <c r="A46976" s="136"/>
      <c r="CM46976" s="111"/>
      <c r="CQ46976" s="111"/>
      <c r="EF46976"/>
      <c r="EG46976"/>
      <c r="EH46976"/>
      <c r="EI46976"/>
      <c r="EJ46976"/>
      <c r="EK46976"/>
    </row>
    <row r="46977" spans="1:141" s="116" customFormat="1">
      <c r="A46977" s="136"/>
      <c r="CM46977" s="111"/>
      <c r="CQ46977" s="111"/>
      <c r="EF46977"/>
      <c r="EG46977"/>
      <c r="EH46977"/>
      <c r="EI46977"/>
      <c r="EJ46977"/>
      <c r="EK46977"/>
    </row>
    <row r="46978" spans="1:141" s="116" customFormat="1">
      <c r="A46978" s="136"/>
      <c r="CM46978" s="111"/>
      <c r="CQ46978" s="111"/>
      <c r="EF46978"/>
      <c r="EG46978"/>
      <c r="EH46978"/>
      <c r="EI46978"/>
      <c r="EJ46978"/>
      <c r="EK46978"/>
    </row>
    <row r="46979" spans="1:141" s="116" customFormat="1">
      <c r="A46979" s="136"/>
      <c r="CM46979" s="111"/>
      <c r="CQ46979" s="111"/>
      <c r="EF46979"/>
      <c r="EG46979"/>
      <c r="EH46979"/>
      <c r="EI46979"/>
      <c r="EJ46979"/>
      <c r="EK46979"/>
    </row>
    <row r="46980" spans="1:141" s="116" customFormat="1">
      <c r="A46980" s="136"/>
      <c r="CM46980" s="111"/>
      <c r="CQ46980" s="111"/>
      <c r="EF46980"/>
      <c r="EG46980"/>
      <c r="EH46980"/>
      <c r="EI46980"/>
      <c r="EJ46980"/>
      <c r="EK46980"/>
    </row>
    <row r="46981" spans="1:141" s="116" customFormat="1">
      <c r="A46981" s="136"/>
      <c r="CM46981" s="111"/>
      <c r="CQ46981" s="111"/>
      <c r="EF46981"/>
      <c r="EG46981"/>
      <c r="EH46981"/>
      <c r="EI46981"/>
      <c r="EJ46981"/>
      <c r="EK46981"/>
    </row>
    <row r="46982" spans="1:141" s="116" customFormat="1">
      <c r="A46982" s="136"/>
      <c r="CM46982" s="111"/>
      <c r="CQ46982" s="111"/>
      <c r="EF46982"/>
      <c r="EG46982"/>
      <c r="EH46982"/>
      <c r="EI46982"/>
      <c r="EJ46982"/>
      <c r="EK46982"/>
    </row>
    <row r="46983" spans="1:141" s="116" customFormat="1">
      <c r="A46983" s="136"/>
      <c r="CM46983" s="111"/>
      <c r="CQ46983" s="111"/>
      <c r="EF46983"/>
      <c r="EG46983"/>
      <c r="EH46983"/>
      <c r="EI46983"/>
      <c r="EJ46983"/>
      <c r="EK46983"/>
    </row>
    <row r="46984" spans="1:141" s="116" customFormat="1">
      <c r="A46984" s="136"/>
      <c r="CM46984" s="111"/>
      <c r="CQ46984" s="111"/>
      <c r="EF46984"/>
      <c r="EG46984"/>
      <c r="EH46984"/>
      <c r="EI46984"/>
      <c r="EJ46984"/>
      <c r="EK46984"/>
    </row>
    <row r="46985" spans="1:141" s="116" customFormat="1">
      <c r="A46985" s="136"/>
      <c r="CM46985" s="111"/>
      <c r="CQ46985" s="111"/>
      <c r="EF46985"/>
      <c r="EG46985"/>
      <c r="EH46985"/>
      <c r="EI46985"/>
      <c r="EJ46985"/>
      <c r="EK46985"/>
    </row>
    <row r="46986" spans="1:141" s="116" customFormat="1">
      <c r="A46986" s="136"/>
      <c r="CM46986" s="111"/>
      <c r="CQ46986" s="111"/>
      <c r="EF46986"/>
      <c r="EG46986"/>
      <c r="EH46986"/>
      <c r="EI46986"/>
      <c r="EJ46986"/>
      <c r="EK46986"/>
    </row>
    <row r="46987" spans="1:141" s="116" customFormat="1">
      <c r="A46987" s="136"/>
      <c r="CM46987" s="111"/>
      <c r="CQ46987" s="111"/>
      <c r="EF46987"/>
      <c r="EG46987"/>
      <c r="EH46987"/>
      <c r="EI46987"/>
      <c r="EJ46987"/>
      <c r="EK46987"/>
    </row>
    <row r="46988" spans="1:141" s="116" customFormat="1">
      <c r="A46988" s="136"/>
      <c r="CM46988" s="111"/>
      <c r="CQ46988" s="111"/>
      <c r="EF46988"/>
      <c r="EG46988"/>
      <c r="EH46988"/>
      <c r="EI46988"/>
      <c r="EJ46988"/>
      <c r="EK46988"/>
    </row>
    <row r="46989" spans="1:141" s="116" customFormat="1">
      <c r="A46989" s="136"/>
      <c r="CM46989" s="111"/>
      <c r="CQ46989" s="111"/>
      <c r="EF46989"/>
      <c r="EG46989"/>
      <c r="EH46989"/>
      <c r="EI46989"/>
      <c r="EJ46989"/>
      <c r="EK46989"/>
    </row>
    <row r="46990" spans="1:141" s="116" customFormat="1">
      <c r="A46990" s="136"/>
      <c r="CM46990" s="111"/>
      <c r="CQ46990" s="111"/>
      <c r="EF46990"/>
      <c r="EG46990"/>
      <c r="EH46990"/>
      <c r="EI46990"/>
      <c r="EJ46990"/>
      <c r="EK46990"/>
    </row>
    <row r="46991" spans="1:141" s="116" customFormat="1">
      <c r="A46991" s="136"/>
      <c r="CM46991" s="111"/>
      <c r="CQ46991" s="111"/>
      <c r="EF46991"/>
      <c r="EG46991"/>
      <c r="EH46991"/>
      <c r="EI46991"/>
      <c r="EJ46991"/>
      <c r="EK46991"/>
    </row>
    <row r="46992" spans="1:141" s="116" customFormat="1">
      <c r="A46992" s="136"/>
      <c r="CM46992" s="111"/>
      <c r="CQ46992" s="111"/>
      <c r="EF46992"/>
      <c r="EG46992"/>
      <c r="EH46992"/>
      <c r="EI46992"/>
      <c r="EJ46992"/>
      <c r="EK46992"/>
    </row>
    <row r="46993" spans="1:141" s="116" customFormat="1">
      <c r="A46993" s="136"/>
      <c r="CM46993" s="111"/>
      <c r="CQ46993" s="111"/>
      <c r="EF46993"/>
      <c r="EG46993"/>
      <c r="EH46993"/>
      <c r="EI46993"/>
      <c r="EJ46993"/>
      <c r="EK46993"/>
    </row>
    <row r="46994" spans="1:141" s="116" customFormat="1">
      <c r="A46994" s="136"/>
      <c r="CM46994" s="111"/>
      <c r="CQ46994" s="111"/>
      <c r="EF46994"/>
      <c r="EG46994"/>
      <c r="EH46994"/>
      <c r="EI46994"/>
      <c r="EJ46994"/>
      <c r="EK46994"/>
    </row>
    <row r="46995" spans="1:141" s="116" customFormat="1">
      <c r="A46995" s="136"/>
      <c r="CM46995" s="111"/>
      <c r="CQ46995" s="111"/>
      <c r="EF46995"/>
      <c r="EG46995"/>
      <c r="EH46995"/>
      <c r="EI46995"/>
      <c r="EJ46995"/>
      <c r="EK46995"/>
    </row>
    <row r="46996" spans="1:141" s="116" customFormat="1">
      <c r="A46996" s="136"/>
      <c r="CM46996" s="111"/>
      <c r="CQ46996" s="111"/>
      <c r="EF46996"/>
      <c r="EG46996"/>
      <c r="EH46996"/>
      <c r="EI46996"/>
      <c r="EJ46996"/>
      <c r="EK46996"/>
    </row>
    <row r="46997" spans="1:141" s="116" customFormat="1">
      <c r="A46997" s="136"/>
      <c r="CM46997" s="111"/>
      <c r="CQ46997" s="111"/>
      <c r="EF46997"/>
      <c r="EG46997"/>
      <c r="EH46997"/>
      <c r="EI46997"/>
      <c r="EJ46997"/>
      <c r="EK46997"/>
    </row>
    <row r="46998" spans="1:141" s="116" customFormat="1">
      <c r="A46998" s="136"/>
      <c r="CM46998" s="111"/>
      <c r="CQ46998" s="111"/>
      <c r="EF46998"/>
      <c r="EG46998"/>
      <c r="EH46998"/>
      <c r="EI46998"/>
      <c r="EJ46998"/>
      <c r="EK46998"/>
    </row>
    <row r="46999" spans="1:141" s="116" customFormat="1">
      <c r="A46999" s="136"/>
      <c r="CM46999" s="111"/>
      <c r="CQ46999" s="111"/>
      <c r="EF46999"/>
      <c r="EG46999"/>
      <c r="EH46999"/>
      <c r="EI46999"/>
      <c r="EJ46999"/>
      <c r="EK46999"/>
    </row>
    <row r="47000" spans="1:141" s="116" customFormat="1">
      <c r="A47000" s="136"/>
      <c r="CM47000" s="111"/>
      <c r="CQ47000" s="111"/>
      <c r="EF47000"/>
      <c r="EG47000"/>
      <c r="EH47000"/>
      <c r="EI47000"/>
      <c r="EJ47000"/>
      <c r="EK47000"/>
    </row>
    <row r="47001" spans="1:141" s="116" customFormat="1">
      <c r="A47001" s="136"/>
      <c r="CM47001" s="111"/>
      <c r="CQ47001" s="111"/>
      <c r="EF47001"/>
      <c r="EG47001"/>
      <c r="EH47001"/>
      <c r="EI47001"/>
      <c r="EJ47001"/>
      <c r="EK47001"/>
    </row>
    <row r="47002" spans="1:141" s="116" customFormat="1">
      <c r="A47002" s="136"/>
      <c r="CM47002" s="111"/>
      <c r="CQ47002" s="111"/>
      <c r="EF47002"/>
      <c r="EG47002"/>
      <c r="EH47002"/>
      <c r="EI47002"/>
      <c r="EJ47002"/>
      <c r="EK47002"/>
    </row>
    <row r="47003" spans="1:141" s="116" customFormat="1">
      <c r="A47003" s="136"/>
      <c r="CM47003" s="111"/>
      <c r="CQ47003" s="111"/>
      <c r="EF47003"/>
      <c r="EG47003"/>
      <c r="EH47003"/>
      <c r="EI47003"/>
      <c r="EJ47003"/>
      <c r="EK47003"/>
    </row>
    <row r="47004" spans="1:141" s="116" customFormat="1">
      <c r="A47004" s="136"/>
      <c r="CM47004" s="111"/>
      <c r="CQ47004" s="111"/>
      <c r="EF47004"/>
      <c r="EG47004"/>
      <c r="EH47004"/>
      <c r="EI47004"/>
      <c r="EJ47004"/>
      <c r="EK47004"/>
    </row>
    <row r="47005" spans="1:141" s="116" customFormat="1">
      <c r="A47005" s="136"/>
      <c r="CM47005" s="111"/>
      <c r="CQ47005" s="111"/>
      <c r="EF47005"/>
      <c r="EG47005"/>
      <c r="EH47005"/>
      <c r="EI47005"/>
      <c r="EJ47005"/>
      <c r="EK47005"/>
    </row>
    <row r="47006" spans="1:141" s="116" customFormat="1">
      <c r="A47006" s="136"/>
      <c r="CM47006" s="111"/>
      <c r="CQ47006" s="111"/>
      <c r="EF47006"/>
      <c r="EG47006"/>
      <c r="EH47006"/>
      <c r="EI47006"/>
      <c r="EJ47006"/>
      <c r="EK47006"/>
    </row>
    <row r="47007" spans="1:141" s="116" customFormat="1">
      <c r="A47007" s="136"/>
      <c r="CM47007" s="111"/>
      <c r="CQ47007" s="111"/>
      <c r="EF47007"/>
      <c r="EG47007"/>
      <c r="EH47007"/>
      <c r="EI47007"/>
      <c r="EJ47007"/>
      <c r="EK47007"/>
    </row>
    <row r="47008" spans="1:141" s="116" customFormat="1">
      <c r="A47008" s="136"/>
      <c r="CM47008" s="111"/>
      <c r="CQ47008" s="111"/>
      <c r="EF47008"/>
      <c r="EG47008"/>
      <c r="EH47008"/>
      <c r="EI47008"/>
      <c r="EJ47008"/>
      <c r="EK47008"/>
    </row>
    <row r="47009" spans="1:141" s="116" customFormat="1">
      <c r="A47009" s="136"/>
      <c r="CM47009" s="111"/>
      <c r="CQ47009" s="111"/>
      <c r="EF47009"/>
      <c r="EG47009"/>
      <c r="EH47009"/>
      <c r="EI47009"/>
      <c r="EJ47009"/>
      <c r="EK47009"/>
    </row>
    <row r="47010" spans="1:141" s="116" customFormat="1">
      <c r="A47010" s="136"/>
      <c r="CM47010" s="111"/>
      <c r="CQ47010" s="111"/>
      <c r="EF47010"/>
      <c r="EG47010"/>
      <c r="EH47010"/>
      <c r="EI47010"/>
      <c r="EJ47010"/>
      <c r="EK47010"/>
    </row>
    <row r="47011" spans="1:141" s="116" customFormat="1">
      <c r="A47011" s="136"/>
      <c r="CM47011" s="111"/>
      <c r="CQ47011" s="111"/>
      <c r="EF47011"/>
      <c r="EG47011"/>
      <c r="EH47011"/>
      <c r="EI47011"/>
      <c r="EJ47011"/>
      <c r="EK47011"/>
    </row>
    <row r="47012" spans="1:141" s="116" customFormat="1">
      <c r="A47012" s="136"/>
      <c r="CM47012" s="111"/>
      <c r="CQ47012" s="111"/>
      <c r="EF47012"/>
      <c r="EG47012"/>
      <c r="EH47012"/>
      <c r="EI47012"/>
      <c r="EJ47012"/>
      <c r="EK47012"/>
    </row>
    <row r="47013" spans="1:141" s="116" customFormat="1">
      <c r="A47013" s="136"/>
      <c r="CM47013" s="111"/>
      <c r="CQ47013" s="111"/>
      <c r="EF47013"/>
      <c r="EG47013"/>
      <c r="EH47013"/>
      <c r="EI47013"/>
      <c r="EJ47013"/>
      <c r="EK47013"/>
    </row>
    <row r="47014" spans="1:141" s="116" customFormat="1">
      <c r="A47014" s="136"/>
      <c r="CM47014" s="111"/>
      <c r="CQ47014" s="111"/>
      <c r="EF47014"/>
      <c r="EG47014"/>
      <c r="EH47014"/>
      <c r="EI47014"/>
      <c r="EJ47014"/>
      <c r="EK47014"/>
    </row>
    <row r="47015" spans="1:141" s="116" customFormat="1">
      <c r="A47015" s="136"/>
      <c r="CM47015" s="111"/>
      <c r="CQ47015" s="111"/>
      <c r="EF47015"/>
      <c r="EG47015"/>
      <c r="EH47015"/>
      <c r="EI47015"/>
      <c r="EJ47015"/>
      <c r="EK47015"/>
    </row>
    <row r="47016" spans="1:141" s="116" customFormat="1">
      <c r="A47016" s="136"/>
      <c r="CM47016" s="111"/>
      <c r="CQ47016" s="111"/>
      <c r="EF47016"/>
      <c r="EG47016"/>
      <c r="EH47016"/>
      <c r="EI47016"/>
      <c r="EJ47016"/>
      <c r="EK47016"/>
    </row>
    <row r="47017" spans="1:141" s="116" customFormat="1">
      <c r="A47017" s="136"/>
      <c r="CM47017" s="111"/>
      <c r="CQ47017" s="111"/>
      <c r="EF47017"/>
      <c r="EG47017"/>
      <c r="EH47017"/>
      <c r="EI47017"/>
      <c r="EJ47017"/>
      <c r="EK47017"/>
    </row>
    <row r="47018" spans="1:141" s="116" customFormat="1">
      <c r="A47018" s="136"/>
      <c r="CM47018" s="111"/>
      <c r="CQ47018" s="111"/>
      <c r="EF47018"/>
      <c r="EG47018"/>
      <c r="EH47018"/>
      <c r="EI47018"/>
      <c r="EJ47018"/>
      <c r="EK47018"/>
    </row>
    <row r="47019" spans="1:141" s="116" customFormat="1">
      <c r="A47019" s="136"/>
      <c r="CM47019" s="111"/>
      <c r="CQ47019" s="111"/>
      <c r="EF47019"/>
      <c r="EG47019"/>
      <c r="EH47019"/>
      <c r="EI47019"/>
      <c r="EJ47019"/>
      <c r="EK47019"/>
    </row>
    <row r="47020" spans="1:141" s="116" customFormat="1">
      <c r="A47020" s="136"/>
      <c r="CM47020" s="111"/>
      <c r="CQ47020" s="111"/>
      <c r="EF47020"/>
      <c r="EG47020"/>
      <c r="EH47020"/>
      <c r="EI47020"/>
      <c r="EJ47020"/>
      <c r="EK47020"/>
    </row>
    <row r="47021" spans="1:141" s="116" customFormat="1">
      <c r="A47021" s="136"/>
      <c r="CM47021" s="111"/>
      <c r="CQ47021" s="111"/>
      <c r="EF47021"/>
      <c r="EG47021"/>
      <c r="EH47021"/>
      <c r="EI47021"/>
      <c r="EJ47021"/>
      <c r="EK47021"/>
    </row>
    <row r="47022" spans="1:141" s="116" customFormat="1">
      <c r="A47022" s="136"/>
      <c r="CM47022" s="111"/>
      <c r="CQ47022" s="111"/>
      <c r="EF47022"/>
      <c r="EG47022"/>
      <c r="EH47022"/>
      <c r="EI47022"/>
      <c r="EJ47022"/>
      <c r="EK47022"/>
    </row>
    <row r="47023" spans="1:141" s="116" customFormat="1">
      <c r="A47023" s="136"/>
      <c r="CM47023" s="111"/>
      <c r="CQ47023" s="111"/>
      <c r="EF47023"/>
      <c r="EG47023"/>
      <c r="EH47023"/>
      <c r="EI47023"/>
      <c r="EJ47023"/>
      <c r="EK47023"/>
    </row>
    <row r="47024" spans="1:141" s="116" customFormat="1">
      <c r="A47024" s="136"/>
      <c r="CM47024" s="111"/>
      <c r="CQ47024" s="111"/>
      <c r="EF47024"/>
      <c r="EG47024"/>
      <c r="EH47024"/>
      <c r="EI47024"/>
      <c r="EJ47024"/>
      <c r="EK47024"/>
    </row>
    <row r="47025" spans="1:141" s="116" customFormat="1">
      <c r="A47025" s="136"/>
      <c r="CM47025" s="111"/>
      <c r="CQ47025" s="111"/>
      <c r="EF47025"/>
      <c r="EG47025"/>
      <c r="EH47025"/>
      <c r="EI47025"/>
      <c r="EJ47025"/>
      <c r="EK47025"/>
    </row>
    <row r="47026" spans="1:141" s="116" customFormat="1">
      <c r="A47026" s="136"/>
      <c r="CM47026" s="111"/>
      <c r="CQ47026" s="111"/>
      <c r="EF47026"/>
      <c r="EG47026"/>
      <c r="EH47026"/>
      <c r="EI47026"/>
      <c r="EJ47026"/>
      <c r="EK47026"/>
    </row>
    <row r="47027" spans="1:141" s="116" customFormat="1">
      <c r="A47027" s="136"/>
      <c r="CM47027" s="111"/>
      <c r="CQ47027" s="111"/>
      <c r="EF47027"/>
      <c r="EG47027"/>
      <c r="EH47027"/>
      <c r="EI47027"/>
      <c r="EJ47027"/>
      <c r="EK47027"/>
    </row>
    <row r="47028" spans="1:141" s="116" customFormat="1">
      <c r="A47028" s="136"/>
      <c r="CM47028" s="111"/>
      <c r="CQ47028" s="111"/>
      <c r="EF47028"/>
      <c r="EG47028"/>
      <c r="EH47028"/>
      <c r="EI47028"/>
      <c r="EJ47028"/>
      <c r="EK47028"/>
    </row>
    <row r="47029" spans="1:141" s="116" customFormat="1">
      <c r="A47029" s="136"/>
      <c r="CM47029" s="111"/>
      <c r="CQ47029" s="111"/>
      <c r="EF47029"/>
      <c r="EG47029"/>
      <c r="EH47029"/>
      <c r="EI47029"/>
      <c r="EJ47029"/>
      <c r="EK47029"/>
    </row>
    <row r="47030" spans="1:141" s="116" customFormat="1">
      <c r="A47030" s="136"/>
      <c r="CM47030" s="111"/>
      <c r="CQ47030" s="111"/>
      <c r="EF47030"/>
      <c r="EG47030"/>
      <c r="EH47030"/>
      <c r="EI47030"/>
      <c r="EJ47030"/>
      <c r="EK47030"/>
    </row>
    <row r="47031" spans="1:141" s="116" customFormat="1">
      <c r="A47031" s="136"/>
      <c r="CM47031" s="111"/>
      <c r="CQ47031" s="111"/>
      <c r="EF47031"/>
      <c r="EG47031"/>
      <c r="EH47031"/>
      <c r="EI47031"/>
      <c r="EJ47031"/>
      <c r="EK47031"/>
    </row>
    <row r="47032" spans="1:141" s="116" customFormat="1">
      <c r="A47032" s="136"/>
      <c r="CM47032" s="111"/>
      <c r="CQ47032" s="111"/>
      <c r="EF47032"/>
      <c r="EG47032"/>
      <c r="EH47032"/>
      <c r="EI47032"/>
      <c r="EJ47032"/>
      <c r="EK47032"/>
    </row>
    <row r="47033" spans="1:141" s="116" customFormat="1">
      <c r="A47033" s="136"/>
      <c r="CM47033" s="111"/>
      <c r="CQ47033" s="111"/>
      <c r="EF47033"/>
      <c r="EG47033"/>
      <c r="EH47033"/>
      <c r="EI47033"/>
      <c r="EJ47033"/>
      <c r="EK47033"/>
    </row>
    <row r="47034" spans="1:141" s="116" customFormat="1">
      <c r="A47034" s="136"/>
      <c r="CM47034" s="111"/>
      <c r="CQ47034" s="111"/>
      <c r="EF47034"/>
      <c r="EG47034"/>
      <c r="EH47034"/>
      <c r="EI47034"/>
      <c r="EJ47034"/>
      <c r="EK47034"/>
    </row>
    <row r="47035" spans="1:141" s="116" customFormat="1">
      <c r="A47035" s="136"/>
      <c r="CM47035" s="111"/>
      <c r="CQ47035" s="111"/>
      <c r="EF47035"/>
      <c r="EG47035"/>
      <c r="EH47035"/>
      <c r="EI47035"/>
      <c r="EJ47035"/>
      <c r="EK47035"/>
    </row>
    <row r="47036" spans="1:141" s="116" customFormat="1">
      <c r="A47036" s="136"/>
      <c r="CM47036" s="111"/>
      <c r="CQ47036" s="111"/>
      <c r="EF47036"/>
      <c r="EG47036"/>
      <c r="EH47036"/>
      <c r="EI47036"/>
      <c r="EJ47036"/>
      <c r="EK47036"/>
    </row>
    <row r="47037" spans="1:141" s="116" customFormat="1">
      <c r="A47037" s="136"/>
      <c r="CM47037" s="111"/>
      <c r="CQ47037" s="111"/>
      <c r="EF47037"/>
      <c r="EG47037"/>
      <c r="EH47037"/>
      <c r="EI47037"/>
      <c r="EJ47037"/>
      <c r="EK47037"/>
    </row>
    <row r="47038" spans="1:141" s="116" customFormat="1">
      <c r="A47038" s="136"/>
      <c r="CM47038" s="111"/>
      <c r="CQ47038" s="111"/>
      <c r="EF47038"/>
      <c r="EG47038"/>
      <c r="EH47038"/>
      <c r="EI47038"/>
      <c r="EJ47038"/>
      <c r="EK47038"/>
    </row>
    <row r="47039" spans="1:141" s="116" customFormat="1">
      <c r="A47039" s="136"/>
      <c r="CM47039" s="111"/>
      <c r="CQ47039" s="111"/>
      <c r="EF47039"/>
      <c r="EG47039"/>
      <c r="EH47039"/>
      <c r="EI47039"/>
      <c r="EJ47039"/>
      <c r="EK47039"/>
    </row>
    <row r="47040" spans="1:141" s="116" customFormat="1">
      <c r="A47040" s="136"/>
      <c r="CM47040" s="111"/>
      <c r="CQ47040" s="111"/>
      <c r="EF47040"/>
      <c r="EG47040"/>
      <c r="EH47040"/>
      <c r="EI47040"/>
      <c r="EJ47040"/>
      <c r="EK47040"/>
    </row>
    <row r="47041" spans="1:141" s="116" customFormat="1">
      <c r="A47041" s="136"/>
      <c r="CM47041" s="111"/>
      <c r="CQ47041" s="111"/>
      <c r="EF47041"/>
      <c r="EG47041"/>
      <c r="EH47041"/>
      <c r="EI47041"/>
      <c r="EJ47041"/>
      <c r="EK47041"/>
    </row>
    <row r="47042" spans="1:141" s="116" customFormat="1">
      <c r="A47042" s="136"/>
      <c r="CM47042" s="111"/>
      <c r="CQ47042" s="111"/>
      <c r="EF47042"/>
      <c r="EG47042"/>
      <c r="EH47042"/>
      <c r="EI47042"/>
      <c r="EJ47042"/>
      <c r="EK47042"/>
    </row>
    <row r="47043" spans="1:141" s="116" customFormat="1">
      <c r="A47043" s="136"/>
      <c r="CM47043" s="111"/>
      <c r="CQ47043" s="111"/>
      <c r="EF47043"/>
      <c r="EG47043"/>
      <c r="EH47043"/>
      <c r="EI47043"/>
      <c r="EJ47043"/>
      <c r="EK47043"/>
    </row>
    <row r="47044" spans="1:141" s="116" customFormat="1">
      <c r="A47044" s="136"/>
      <c r="CM47044" s="111"/>
      <c r="CQ47044" s="111"/>
      <c r="EF47044"/>
      <c r="EG47044"/>
      <c r="EH47044"/>
      <c r="EI47044"/>
      <c r="EJ47044"/>
      <c r="EK47044"/>
    </row>
    <row r="47045" spans="1:141" s="116" customFormat="1">
      <c r="A47045" s="136"/>
      <c r="CM47045" s="111"/>
      <c r="CQ47045" s="111"/>
      <c r="EF47045"/>
      <c r="EG47045"/>
      <c r="EH47045"/>
      <c r="EI47045"/>
      <c r="EJ47045"/>
      <c r="EK47045"/>
    </row>
    <row r="47046" spans="1:141" s="116" customFormat="1">
      <c r="A47046" s="136"/>
      <c r="CM47046" s="111"/>
      <c r="CQ47046" s="111"/>
      <c r="EF47046"/>
      <c r="EG47046"/>
      <c r="EH47046"/>
      <c r="EI47046"/>
      <c r="EJ47046"/>
      <c r="EK47046"/>
    </row>
    <row r="47047" spans="1:141" s="116" customFormat="1">
      <c r="A47047" s="136"/>
      <c r="CM47047" s="111"/>
      <c r="CQ47047" s="111"/>
      <c r="EF47047"/>
      <c r="EG47047"/>
      <c r="EH47047"/>
      <c r="EI47047"/>
      <c r="EJ47047"/>
      <c r="EK47047"/>
    </row>
    <row r="47048" spans="1:141" s="116" customFormat="1">
      <c r="A47048" s="136"/>
      <c r="CM47048" s="111"/>
      <c r="CQ47048" s="111"/>
      <c r="EF47048"/>
      <c r="EG47048"/>
      <c r="EH47048"/>
      <c r="EI47048"/>
      <c r="EJ47048"/>
      <c r="EK47048"/>
    </row>
    <row r="47049" spans="1:141" s="116" customFormat="1">
      <c r="A47049" s="136"/>
      <c r="CM47049" s="111"/>
      <c r="CQ47049" s="111"/>
      <c r="EF47049"/>
      <c r="EG47049"/>
      <c r="EH47049"/>
      <c r="EI47049"/>
      <c r="EJ47049"/>
      <c r="EK47049"/>
    </row>
    <row r="47050" spans="1:141" s="116" customFormat="1">
      <c r="A47050" s="136"/>
      <c r="CM47050" s="111"/>
      <c r="CQ47050" s="111"/>
      <c r="EF47050"/>
      <c r="EG47050"/>
      <c r="EH47050"/>
      <c r="EI47050"/>
      <c r="EJ47050"/>
      <c r="EK47050"/>
    </row>
    <row r="47051" spans="1:141" s="116" customFormat="1">
      <c r="A47051" s="136"/>
      <c r="CM47051" s="111"/>
      <c r="CQ47051" s="111"/>
      <c r="EF47051"/>
      <c r="EG47051"/>
      <c r="EH47051"/>
      <c r="EI47051"/>
      <c r="EJ47051"/>
      <c r="EK47051"/>
    </row>
    <row r="47052" spans="1:141" s="116" customFormat="1">
      <c r="A47052" s="136"/>
      <c r="CM47052" s="111"/>
      <c r="CQ47052" s="111"/>
      <c r="EF47052"/>
      <c r="EG47052"/>
      <c r="EH47052"/>
      <c r="EI47052"/>
      <c r="EJ47052"/>
      <c r="EK47052"/>
    </row>
    <row r="47053" spans="1:141" s="116" customFormat="1">
      <c r="A47053" s="136"/>
      <c r="CM47053" s="111"/>
      <c r="CQ47053" s="111"/>
      <c r="EF47053"/>
      <c r="EG47053"/>
      <c r="EH47053"/>
      <c r="EI47053"/>
      <c r="EJ47053"/>
      <c r="EK47053"/>
    </row>
    <row r="47054" spans="1:141" s="116" customFormat="1">
      <c r="A47054" s="136"/>
      <c r="CM47054" s="111"/>
      <c r="CQ47054" s="111"/>
      <c r="EF47054"/>
      <c r="EG47054"/>
      <c r="EH47054"/>
      <c r="EI47054"/>
      <c r="EJ47054"/>
      <c r="EK47054"/>
    </row>
    <row r="47055" spans="1:141" s="116" customFormat="1">
      <c r="A47055" s="136"/>
      <c r="CM47055" s="111"/>
      <c r="CQ47055" s="111"/>
      <c r="EF47055"/>
      <c r="EG47055"/>
      <c r="EH47055"/>
      <c r="EI47055"/>
      <c r="EJ47055"/>
      <c r="EK47055"/>
    </row>
    <row r="47056" spans="1:141" s="116" customFormat="1">
      <c r="A47056" s="136"/>
      <c r="CM47056" s="111"/>
      <c r="CQ47056" s="111"/>
      <c r="EF47056"/>
      <c r="EG47056"/>
      <c r="EH47056"/>
      <c r="EI47056"/>
      <c r="EJ47056"/>
      <c r="EK47056"/>
    </row>
    <row r="47057" spans="1:141" s="116" customFormat="1">
      <c r="A47057" s="136"/>
      <c r="CM47057" s="111"/>
      <c r="CQ47057" s="111"/>
      <c r="EF47057"/>
      <c r="EG47057"/>
      <c r="EH47057"/>
      <c r="EI47057"/>
      <c r="EJ47057"/>
      <c r="EK47057"/>
    </row>
    <row r="47058" spans="1:141" s="116" customFormat="1">
      <c r="A47058" s="136"/>
      <c r="CM47058" s="111"/>
      <c r="CQ47058" s="111"/>
      <c r="EF47058"/>
      <c r="EG47058"/>
      <c r="EH47058"/>
      <c r="EI47058"/>
      <c r="EJ47058"/>
      <c r="EK47058"/>
    </row>
    <row r="47059" spans="1:141" s="116" customFormat="1">
      <c r="A47059" s="136"/>
      <c r="CM47059" s="111"/>
      <c r="CQ47059" s="111"/>
      <c r="EF47059"/>
      <c r="EG47059"/>
      <c r="EH47059"/>
      <c r="EI47059"/>
      <c r="EJ47059"/>
      <c r="EK47059"/>
    </row>
    <row r="47060" spans="1:141" s="116" customFormat="1">
      <c r="A47060" s="136"/>
      <c r="CM47060" s="111"/>
      <c r="CQ47060" s="111"/>
      <c r="EF47060"/>
      <c r="EG47060"/>
      <c r="EH47060"/>
      <c r="EI47060"/>
      <c r="EJ47060"/>
      <c r="EK47060"/>
    </row>
    <row r="47061" spans="1:141" s="116" customFormat="1">
      <c r="A47061" s="136"/>
      <c r="CM47061" s="111"/>
      <c r="CQ47061" s="111"/>
      <c r="EF47061"/>
      <c r="EG47061"/>
      <c r="EH47061"/>
      <c r="EI47061"/>
      <c r="EJ47061"/>
      <c r="EK47061"/>
    </row>
    <row r="47062" spans="1:141" s="116" customFormat="1">
      <c r="A47062" s="136"/>
      <c r="CM47062" s="111"/>
      <c r="CQ47062" s="111"/>
      <c r="EF47062"/>
      <c r="EG47062"/>
      <c r="EH47062"/>
      <c r="EI47062"/>
      <c r="EJ47062"/>
      <c r="EK47062"/>
    </row>
    <row r="47063" spans="1:141" s="116" customFormat="1">
      <c r="A47063" s="136"/>
      <c r="CM47063" s="111"/>
      <c r="CQ47063" s="111"/>
      <c r="EF47063"/>
      <c r="EG47063"/>
      <c r="EH47063"/>
      <c r="EI47063"/>
      <c r="EJ47063"/>
      <c r="EK47063"/>
    </row>
    <row r="47064" spans="1:141" s="116" customFormat="1">
      <c r="A47064" s="136"/>
      <c r="CM47064" s="111"/>
      <c r="CQ47064" s="111"/>
      <c r="EF47064"/>
      <c r="EG47064"/>
      <c r="EH47064"/>
      <c r="EI47064"/>
      <c r="EJ47064"/>
      <c r="EK47064"/>
    </row>
    <row r="47065" spans="1:141" s="116" customFormat="1">
      <c r="A47065" s="136"/>
      <c r="CM47065" s="111"/>
      <c r="CQ47065" s="111"/>
      <c r="EF47065"/>
      <c r="EG47065"/>
      <c r="EH47065"/>
      <c r="EI47065"/>
      <c r="EJ47065"/>
      <c r="EK47065"/>
    </row>
    <row r="47066" spans="1:141" s="116" customFormat="1">
      <c r="A47066" s="136"/>
      <c r="CM47066" s="111"/>
      <c r="CQ47066" s="111"/>
      <c r="EF47066"/>
      <c r="EG47066"/>
      <c r="EH47066"/>
      <c r="EI47066"/>
      <c r="EJ47066"/>
      <c r="EK47066"/>
    </row>
    <row r="47067" spans="1:141" s="116" customFormat="1">
      <c r="A47067" s="136"/>
      <c r="CM47067" s="111"/>
      <c r="CQ47067" s="111"/>
      <c r="EF47067"/>
      <c r="EG47067"/>
      <c r="EH47067"/>
      <c r="EI47067"/>
      <c r="EJ47067"/>
      <c r="EK47067"/>
    </row>
    <row r="47068" spans="1:141" s="116" customFormat="1">
      <c r="A47068" s="136"/>
      <c r="CM47068" s="111"/>
      <c r="CQ47068" s="111"/>
      <c r="EF47068"/>
      <c r="EG47068"/>
      <c r="EH47068"/>
      <c r="EI47068"/>
      <c r="EJ47068"/>
      <c r="EK47068"/>
    </row>
    <row r="47069" spans="1:141" s="116" customFormat="1">
      <c r="A47069" s="136"/>
      <c r="CM47069" s="111"/>
      <c r="CQ47069" s="111"/>
      <c r="EF47069"/>
      <c r="EG47069"/>
      <c r="EH47069"/>
      <c r="EI47069"/>
      <c r="EJ47069"/>
      <c r="EK47069"/>
    </row>
    <row r="47070" spans="1:141" s="116" customFormat="1">
      <c r="A47070" s="136"/>
      <c r="CM47070" s="111"/>
      <c r="CQ47070" s="111"/>
      <c r="EF47070"/>
      <c r="EG47070"/>
      <c r="EH47070"/>
      <c r="EI47070"/>
      <c r="EJ47070"/>
      <c r="EK47070"/>
    </row>
    <row r="47071" spans="1:141" s="116" customFormat="1">
      <c r="A47071" s="136"/>
      <c r="CM47071" s="111"/>
      <c r="CQ47071" s="111"/>
      <c r="EF47071"/>
      <c r="EG47071"/>
      <c r="EH47071"/>
      <c r="EI47071"/>
      <c r="EJ47071"/>
      <c r="EK47071"/>
    </row>
    <row r="47072" spans="1:141" s="116" customFormat="1">
      <c r="A47072" s="136"/>
      <c r="CM47072" s="111"/>
      <c r="CQ47072" s="111"/>
      <c r="EF47072"/>
      <c r="EG47072"/>
      <c r="EH47072"/>
      <c r="EI47072"/>
      <c r="EJ47072"/>
      <c r="EK47072"/>
    </row>
    <row r="47073" spans="1:141" s="116" customFormat="1">
      <c r="A47073" s="136"/>
      <c r="CM47073" s="111"/>
      <c r="CQ47073" s="111"/>
      <c r="EF47073"/>
      <c r="EG47073"/>
      <c r="EH47073"/>
      <c r="EI47073"/>
      <c r="EJ47073"/>
      <c r="EK47073"/>
    </row>
    <row r="47074" spans="1:141" s="116" customFormat="1">
      <c r="A47074" s="136"/>
      <c r="CM47074" s="111"/>
      <c r="CQ47074" s="111"/>
      <c r="EF47074"/>
      <c r="EG47074"/>
      <c r="EH47074"/>
      <c r="EI47074"/>
      <c r="EJ47074"/>
      <c r="EK47074"/>
    </row>
    <row r="47075" spans="1:141" s="116" customFormat="1">
      <c r="A47075" s="136"/>
      <c r="CM47075" s="111"/>
      <c r="CQ47075" s="111"/>
      <c r="EF47075"/>
      <c r="EG47075"/>
      <c r="EH47075"/>
      <c r="EI47075"/>
      <c r="EJ47075"/>
      <c r="EK47075"/>
    </row>
    <row r="47076" spans="1:141" s="116" customFormat="1">
      <c r="A47076" s="136"/>
      <c r="CM47076" s="111"/>
      <c r="CQ47076" s="111"/>
      <c r="EF47076"/>
      <c r="EG47076"/>
      <c r="EH47076"/>
      <c r="EI47076"/>
      <c r="EJ47076"/>
      <c r="EK47076"/>
    </row>
    <row r="47077" spans="1:141" s="116" customFormat="1">
      <c r="A47077" s="136"/>
      <c r="CM47077" s="111"/>
      <c r="CQ47077" s="111"/>
      <c r="EF47077"/>
      <c r="EG47077"/>
      <c r="EH47077"/>
      <c r="EI47077"/>
      <c r="EJ47077"/>
      <c r="EK47077"/>
    </row>
    <row r="47078" spans="1:141" s="116" customFormat="1">
      <c r="A47078" s="136"/>
      <c r="CM47078" s="111"/>
      <c r="CQ47078" s="111"/>
      <c r="EF47078"/>
      <c r="EG47078"/>
      <c r="EH47078"/>
      <c r="EI47078"/>
      <c r="EJ47078"/>
      <c r="EK47078"/>
    </row>
    <row r="47079" spans="1:141" s="116" customFormat="1">
      <c r="A47079" s="136"/>
      <c r="CM47079" s="111"/>
      <c r="CQ47079" s="111"/>
      <c r="EF47079"/>
      <c r="EG47079"/>
      <c r="EH47079"/>
      <c r="EI47079"/>
      <c r="EJ47079"/>
      <c r="EK47079"/>
    </row>
    <row r="47080" spans="1:141" s="116" customFormat="1">
      <c r="A47080" s="136"/>
      <c r="CM47080" s="111"/>
      <c r="CQ47080" s="111"/>
      <c r="EF47080"/>
      <c r="EG47080"/>
      <c r="EH47080"/>
      <c r="EI47080"/>
      <c r="EJ47080"/>
      <c r="EK47080"/>
    </row>
    <row r="47081" spans="1:141" s="116" customFormat="1">
      <c r="A47081" s="136"/>
      <c r="CM47081" s="111"/>
      <c r="CQ47081" s="111"/>
      <c r="EF47081"/>
      <c r="EG47081"/>
      <c r="EH47081"/>
      <c r="EI47081"/>
      <c r="EJ47081"/>
      <c r="EK47081"/>
    </row>
    <row r="47082" spans="1:141" s="116" customFormat="1">
      <c r="A47082" s="136"/>
      <c r="CM47082" s="111"/>
      <c r="CQ47082" s="111"/>
      <c r="EF47082"/>
      <c r="EG47082"/>
      <c r="EH47082"/>
      <c r="EI47082"/>
      <c r="EJ47082"/>
      <c r="EK47082"/>
    </row>
    <row r="47083" spans="1:141" s="116" customFormat="1">
      <c r="A47083" s="136"/>
      <c r="CM47083" s="111"/>
      <c r="CQ47083" s="111"/>
      <c r="EF47083"/>
      <c r="EG47083"/>
      <c r="EH47083"/>
      <c r="EI47083"/>
      <c r="EJ47083"/>
      <c r="EK47083"/>
    </row>
    <row r="47084" spans="1:141" s="116" customFormat="1">
      <c r="A47084" s="136"/>
      <c r="CM47084" s="111"/>
      <c r="CQ47084" s="111"/>
      <c r="EF47084"/>
      <c r="EG47084"/>
      <c r="EH47084"/>
      <c r="EI47084"/>
      <c r="EJ47084"/>
      <c r="EK47084"/>
    </row>
    <row r="47085" spans="1:141" s="116" customFormat="1">
      <c r="A47085" s="136"/>
      <c r="CM47085" s="111"/>
      <c r="CQ47085" s="111"/>
      <c r="EF47085"/>
      <c r="EG47085"/>
      <c r="EH47085"/>
      <c r="EI47085"/>
      <c r="EJ47085"/>
      <c r="EK47085"/>
    </row>
    <row r="47086" spans="1:141" s="116" customFormat="1">
      <c r="A47086" s="136"/>
      <c r="CM47086" s="111"/>
      <c r="CQ47086" s="111"/>
      <c r="EF47086"/>
      <c r="EG47086"/>
      <c r="EH47086"/>
      <c r="EI47086"/>
      <c r="EJ47086"/>
      <c r="EK47086"/>
    </row>
    <row r="47087" spans="1:141" s="116" customFormat="1">
      <c r="A47087" s="136"/>
      <c r="CM47087" s="111"/>
      <c r="CQ47087" s="111"/>
      <c r="EF47087"/>
      <c r="EG47087"/>
      <c r="EH47087"/>
      <c r="EI47087"/>
      <c r="EJ47087"/>
      <c r="EK47087"/>
    </row>
    <row r="47088" spans="1:141" s="116" customFormat="1">
      <c r="A47088" s="136"/>
      <c r="CM47088" s="111"/>
      <c r="CQ47088" s="111"/>
      <c r="EF47088"/>
      <c r="EG47088"/>
      <c r="EH47088"/>
      <c r="EI47088"/>
      <c r="EJ47088"/>
      <c r="EK47088"/>
    </row>
    <row r="47089" spans="1:141" s="116" customFormat="1">
      <c r="A47089" s="136"/>
      <c r="CM47089" s="111"/>
      <c r="CQ47089" s="111"/>
      <c r="EF47089"/>
      <c r="EG47089"/>
      <c r="EH47089"/>
      <c r="EI47089"/>
      <c r="EJ47089"/>
      <c r="EK47089"/>
    </row>
    <row r="47090" spans="1:141" s="116" customFormat="1">
      <c r="A47090" s="136"/>
      <c r="CM47090" s="111"/>
      <c r="CQ47090" s="111"/>
      <c r="EF47090"/>
      <c r="EG47090"/>
      <c r="EH47090"/>
      <c r="EI47090"/>
      <c r="EJ47090"/>
      <c r="EK47090"/>
    </row>
    <row r="47091" spans="1:141" s="116" customFormat="1">
      <c r="A47091" s="136"/>
      <c r="CM47091" s="111"/>
      <c r="CQ47091" s="111"/>
      <c r="EF47091"/>
      <c r="EG47091"/>
      <c r="EH47091"/>
      <c r="EI47091"/>
      <c r="EJ47091"/>
      <c r="EK47091"/>
    </row>
    <row r="47092" spans="1:141" s="116" customFormat="1">
      <c r="A47092" s="136"/>
      <c r="CM47092" s="111"/>
      <c r="CQ47092" s="111"/>
      <c r="EF47092"/>
      <c r="EG47092"/>
      <c r="EH47092"/>
      <c r="EI47092"/>
      <c r="EJ47092"/>
      <c r="EK47092"/>
    </row>
    <row r="47093" spans="1:141" s="116" customFormat="1">
      <c r="A47093" s="136"/>
      <c r="CM47093" s="111"/>
      <c r="CQ47093" s="111"/>
      <c r="EF47093"/>
      <c r="EG47093"/>
      <c r="EH47093"/>
      <c r="EI47093"/>
      <c r="EJ47093"/>
      <c r="EK47093"/>
    </row>
    <row r="47094" spans="1:141" s="116" customFormat="1">
      <c r="A47094" s="136"/>
      <c r="CM47094" s="111"/>
      <c r="CQ47094" s="111"/>
      <c r="EF47094"/>
      <c r="EG47094"/>
      <c r="EH47094"/>
      <c r="EI47094"/>
      <c r="EJ47094"/>
      <c r="EK47094"/>
    </row>
    <row r="47095" spans="1:141" s="116" customFormat="1">
      <c r="A47095" s="136"/>
      <c r="CM47095" s="111"/>
      <c r="CQ47095" s="111"/>
      <c r="EF47095"/>
      <c r="EG47095"/>
      <c r="EH47095"/>
      <c r="EI47095"/>
      <c r="EJ47095"/>
      <c r="EK47095"/>
    </row>
    <row r="47096" spans="1:141" s="116" customFormat="1">
      <c r="A47096" s="136"/>
      <c r="CM47096" s="111"/>
      <c r="CQ47096" s="111"/>
      <c r="EF47096"/>
      <c r="EG47096"/>
      <c r="EH47096"/>
      <c r="EI47096"/>
      <c r="EJ47096"/>
      <c r="EK47096"/>
    </row>
    <row r="47097" spans="1:141" s="116" customFormat="1">
      <c r="A47097" s="136"/>
      <c r="CM47097" s="111"/>
      <c r="CQ47097" s="111"/>
      <c r="EF47097"/>
      <c r="EG47097"/>
      <c r="EH47097"/>
      <c r="EI47097"/>
      <c r="EJ47097"/>
      <c r="EK47097"/>
    </row>
    <row r="47098" spans="1:141" s="116" customFormat="1">
      <c r="A47098" s="136"/>
      <c r="CM47098" s="111"/>
      <c r="CQ47098" s="111"/>
      <c r="EF47098"/>
      <c r="EG47098"/>
      <c r="EH47098"/>
      <c r="EI47098"/>
      <c r="EJ47098"/>
      <c r="EK47098"/>
    </row>
    <row r="47099" spans="1:141" s="116" customFormat="1">
      <c r="A47099" s="136"/>
      <c r="CM47099" s="111"/>
      <c r="CQ47099" s="111"/>
      <c r="EF47099"/>
      <c r="EG47099"/>
      <c r="EH47099"/>
      <c r="EI47099"/>
      <c r="EJ47099"/>
      <c r="EK47099"/>
    </row>
    <row r="47100" spans="1:141" s="116" customFormat="1">
      <c r="A47100" s="136"/>
      <c r="CM47100" s="111"/>
      <c r="CQ47100" s="111"/>
      <c r="EF47100"/>
      <c r="EG47100"/>
      <c r="EH47100"/>
      <c r="EI47100"/>
      <c r="EJ47100"/>
      <c r="EK47100"/>
    </row>
    <row r="47101" spans="1:141" s="116" customFormat="1">
      <c r="A47101" s="136"/>
      <c r="CM47101" s="111"/>
      <c r="CQ47101" s="111"/>
      <c r="EF47101"/>
      <c r="EG47101"/>
      <c r="EH47101"/>
      <c r="EI47101"/>
      <c r="EJ47101"/>
      <c r="EK47101"/>
    </row>
    <row r="47102" spans="1:141" s="116" customFormat="1">
      <c r="A47102" s="136"/>
      <c r="CM47102" s="111"/>
      <c r="CQ47102" s="111"/>
      <c r="EF47102"/>
      <c r="EG47102"/>
      <c r="EH47102"/>
      <c r="EI47102"/>
      <c r="EJ47102"/>
      <c r="EK47102"/>
    </row>
    <row r="47103" spans="1:141" s="116" customFormat="1">
      <c r="A47103" s="136"/>
      <c r="CM47103" s="111"/>
      <c r="CQ47103" s="111"/>
      <c r="EF47103"/>
      <c r="EG47103"/>
      <c r="EH47103"/>
      <c r="EI47103"/>
      <c r="EJ47103"/>
      <c r="EK47103"/>
    </row>
    <row r="47104" spans="1:141" s="116" customFormat="1">
      <c r="A47104" s="136"/>
      <c r="CM47104" s="111"/>
      <c r="CQ47104" s="111"/>
      <c r="EF47104"/>
      <c r="EG47104"/>
      <c r="EH47104"/>
      <c r="EI47104"/>
      <c r="EJ47104"/>
      <c r="EK47104"/>
    </row>
    <row r="47105" spans="1:141" s="116" customFormat="1">
      <c r="A47105" s="136"/>
      <c r="CM47105" s="111"/>
      <c r="CQ47105" s="111"/>
      <c r="EF47105"/>
      <c r="EG47105"/>
      <c r="EH47105"/>
      <c r="EI47105"/>
      <c r="EJ47105"/>
      <c r="EK47105"/>
    </row>
    <row r="47106" spans="1:141" s="116" customFormat="1">
      <c r="A47106" s="136"/>
      <c r="CM47106" s="111"/>
      <c r="CQ47106" s="111"/>
      <c r="EF47106"/>
      <c r="EG47106"/>
      <c r="EH47106"/>
      <c r="EI47106"/>
      <c r="EJ47106"/>
      <c r="EK47106"/>
    </row>
    <row r="47107" spans="1:141" s="116" customFormat="1">
      <c r="A47107" s="136"/>
      <c r="CM47107" s="111"/>
      <c r="CQ47107" s="111"/>
      <c r="EF47107"/>
      <c r="EG47107"/>
      <c r="EH47107"/>
      <c r="EI47107"/>
      <c r="EJ47107"/>
      <c r="EK47107"/>
    </row>
    <row r="47108" spans="1:141" s="116" customFormat="1">
      <c r="A47108" s="136"/>
      <c r="CM47108" s="111"/>
      <c r="CQ47108" s="111"/>
      <c r="EF47108"/>
      <c r="EG47108"/>
      <c r="EH47108"/>
      <c r="EI47108"/>
      <c r="EJ47108"/>
      <c r="EK47108"/>
    </row>
    <row r="47109" spans="1:141" s="116" customFormat="1">
      <c r="A47109" s="136"/>
      <c r="CM47109" s="111"/>
      <c r="CQ47109" s="111"/>
      <c r="EF47109"/>
      <c r="EG47109"/>
      <c r="EH47109"/>
      <c r="EI47109"/>
      <c r="EJ47109"/>
      <c r="EK47109"/>
    </row>
    <row r="47110" spans="1:141" s="116" customFormat="1">
      <c r="A47110" s="136"/>
      <c r="CM47110" s="111"/>
      <c r="CQ47110" s="111"/>
      <c r="EF47110"/>
      <c r="EG47110"/>
      <c r="EH47110"/>
      <c r="EI47110"/>
      <c r="EJ47110"/>
      <c r="EK47110"/>
    </row>
    <row r="47111" spans="1:141" s="116" customFormat="1">
      <c r="A47111" s="136"/>
      <c r="CM47111" s="111"/>
      <c r="CQ47111" s="111"/>
      <c r="EF47111"/>
      <c r="EG47111"/>
      <c r="EH47111"/>
      <c r="EI47111"/>
      <c r="EJ47111"/>
      <c r="EK47111"/>
    </row>
    <row r="47112" spans="1:141" s="116" customFormat="1">
      <c r="A47112" s="136"/>
      <c r="CM47112" s="111"/>
      <c r="CQ47112" s="111"/>
      <c r="EF47112"/>
      <c r="EG47112"/>
      <c r="EH47112"/>
      <c r="EI47112"/>
      <c r="EJ47112"/>
      <c r="EK47112"/>
    </row>
    <row r="47113" spans="1:141" s="116" customFormat="1">
      <c r="A47113" s="136"/>
      <c r="CM47113" s="111"/>
      <c r="CQ47113" s="111"/>
      <c r="EF47113"/>
      <c r="EG47113"/>
      <c r="EH47113"/>
      <c r="EI47113"/>
      <c r="EJ47113"/>
      <c r="EK47113"/>
    </row>
    <row r="47114" spans="1:141" s="116" customFormat="1">
      <c r="A47114" s="136"/>
      <c r="CM47114" s="111"/>
      <c r="CQ47114" s="111"/>
      <c r="EF47114"/>
      <c r="EG47114"/>
      <c r="EH47114"/>
      <c r="EI47114"/>
      <c r="EJ47114"/>
      <c r="EK47114"/>
    </row>
    <row r="47115" spans="1:141" s="116" customFormat="1">
      <c r="A47115" s="136"/>
      <c r="CM47115" s="111"/>
      <c r="CQ47115" s="111"/>
      <c r="EF47115"/>
      <c r="EG47115"/>
      <c r="EH47115"/>
      <c r="EI47115"/>
      <c r="EJ47115"/>
      <c r="EK47115"/>
    </row>
    <row r="47116" spans="1:141" s="116" customFormat="1">
      <c r="A47116" s="136"/>
      <c r="CM47116" s="111"/>
      <c r="CQ47116" s="111"/>
      <c r="EF47116"/>
      <c r="EG47116"/>
      <c r="EH47116"/>
      <c r="EI47116"/>
      <c r="EJ47116"/>
      <c r="EK47116"/>
    </row>
    <row r="47117" spans="1:141" s="116" customFormat="1">
      <c r="A47117" s="136"/>
      <c r="CM47117" s="111"/>
      <c r="CQ47117" s="111"/>
      <c r="EF47117"/>
      <c r="EG47117"/>
      <c r="EH47117"/>
      <c r="EI47117"/>
      <c r="EJ47117"/>
      <c r="EK47117"/>
    </row>
    <row r="47118" spans="1:141" s="116" customFormat="1">
      <c r="A47118" s="136"/>
      <c r="CM47118" s="111"/>
      <c r="CQ47118" s="111"/>
      <c r="EF47118"/>
      <c r="EG47118"/>
      <c r="EH47118"/>
      <c r="EI47118"/>
      <c r="EJ47118"/>
      <c r="EK47118"/>
    </row>
    <row r="47119" spans="1:141" s="116" customFormat="1">
      <c r="A47119" s="136"/>
      <c r="CM47119" s="111"/>
      <c r="CQ47119" s="111"/>
      <c r="EF47119"/>
      <c r="EG47119"/>
      <c r="EH47119"/>
      <c r="EI47119"/>
      <c r="EJ47119"/>
      <c r="EK47119"/>
    </row>
    <row r="47120" spans="1:141" s="116" customFormat="1">
      <c r="A47120" s="136"/>
      <c r="CM47120" s="111"/>
      <c r="CQ47120" s="111"/>
      <c r="EF47120"/>
      <c r="EG47120"/>
      <c r="EH47120"/>
      <c r="EI47120"/>
      <c r="EJ47120"/>
      <c r="EK47120"/>
    </row>
    <row r="47121" spans="1:141" s="116" customFormat="1">
      <c r="A47121" s="136"/>
      <c r="CM47121" s="111"/>
      <c r="CQ47121" s="111"/>
      <c r="EF47121"/>
      <c r="EG47121"/>
      <c r="EH47121"/>
      <c r="EI47121"/>
      <c r="EJ47121"/>
      <c r="EK47121"/>
    </row>
    <row r="47122" spans="1:141" s="116" customFormat="1">
      <c r="A47122" s="136"/>
      <c r="CM47122" s="111"/>
      <c r="CQ47122" s="111"/>
      <c r="EF47122"/>
      <c r="EG47122"/>
      <c r="EH47122"/>
      <c r="EI47122"/>
      <c r="EJ47122"/>
      <c r="EK47122"/>
    </row>
    <row r="47123" spans="1:141" s="116" customFormat="1">
      <c r="A47123" s="136"/>
      <c r="CM47123" s="111"/>
      <c r="CQ47123" s="111"/>
      <c r="EF47123"/>
      <c r="EG47123"/>
      <c r="EH47123"/>
      <c r="EI47123"/>
      <c r="EJ47123"/>
      <c r="EK47123"/>
    </row>
    <row r="47124" spans="1:141" s="116" customFormat="1">
      <c r="A47124" s="136"/>
      <c r="CM47124" s="111"/>
      <c r="CQ47124" s="111"/>
      <c r="EF47124"/>
      <c r="EG47124"/>
      <c r="EH47124"/>
      <c r="EI47124"/>
      <c r="EJ47124"/>
      <c r="EK47124"/>
    </row>
    <row r="47125" spans="1:141" s="116" customFormat="1">
      <c r="A47125" s="136"/>
      <c r="CM47125" s="111"/>
      <c r="CQ47125" s="111"/>
      <c r="EF47125"/>
      <c r="EG47125"/>
      <c r="EH47125"/>
      <c r="EI47125"/>
      <c r="EJ47125"/>
      <c r="EK47125"/>
    </row>
    <row r="47126" spans="1:141" s="116" customFormat="1">
      <c r="A47126" s="136"/>
      <c r="CM47126" s="111"/>
      <c r="CQ47126" s="111"/>
      <c r="EF47126"/>
      <c r="EG47126"/>
      <c r="EH47126"/>
      <c r="EI47126"/>
      <c r="EJ47126"/>
      <c r="EK47126"/>
    </row>
    <row r="47127" spans="1:141" s="116" customFormat="1">
      <c r="A47127" s="136"/>
      <c r="CM47127" s="111"/>
      <c r="CQ47127" s="111"/>
      <c r="EF47127"/>
      <c r="EG47127"/>
      <c r="EH47127"/>
      <c r="EI47127"/>
      <c r="EJ47127"/>
      <c r="EK47127"/>
    </row>
    <row r="47128" spans="1:141" s="116" customFormat="1">
      <c r="A47128" s="136"/>
      <c r="CM47128" s="111"/>
      <c r="CQ47128" s="111"/>
      <c r="EF47128"/>
      <c r="EG47128"/>
      <c r="EH47128"/>
      <c r="EI47128"/>
      <c r="EJ47128"/>
      <c r="EK47128"/>
    </row>
    <row r="47129" spans="1:141" s="116" customFormat="1">
      <c r="A47129" s="136"/>
      <c r="CM47129" s="111"/>
      <c r="CQ47129" s="111"/>
      <c r="EF47129"/>
      <c r="EG47129"/>
      <c r="EH47129"/>
      <c r="EI47129"/>
      <c r="EJ47129"/>
      <c r="EK47129"/>
    </row>
    <row r="47130" spans="1:141" s="116" customFormat="1">
      <c r="A47130" s="136"/>
      <c r="CM47130" s="111"/>
      <c r="CQ47130" s="111"/>
      <c r="EF47130"/>
      <c r="EG47130"/>
      <c r="EH47130"/>
      <c r="EI47130"/>
      <c r="EJ47130"/>
      <c r="EK47130"/>
    </row>
    <row r="47131" spans="1:141" s="116" customFormat="1">
      <c r="A47131" s="136"/>
      <c r="CM47131" s="111"/>
      <c r="CQ47131" s="111"/>
      <c r="EF47131"/>
      <c r="EG47131"/>
      <c r="EH47131"/>
      <c r="EI47131"/>
      <c r="EJ47131"/>
      <c r="EK47131"/>
    </row>
    <row r="47132" spans="1:141" s="116" customFormat="1">
      <c r="A47132" s="136"/>
      <c r="CM47132" s="111"/>
      <c r="CQ47132" s="111"/>
      <c r="EF47132"/>
      <c r="EG47132"/>
      <c r="EH47132"/>
      <c r="EI47132"/>
      <c r="EJ47132"/>
      <c r="EK47132"/>
    </row>
    <row r="47133" spans="1:141" s="116" customFormat="1">
      <c r="A47133" s="136"/>
      <c r="CM47133" s="111"/>
      <c r="CQ47133" s="111"/>
      <c r="EF47133"/>
      <c r="EG47133"/>
      <c r="EH47133"/>
      <c r="EI47133"/>
      <c r="EJ47133"/>
      <c r="EK47133"/>
    </row>
    <row r="47134" spans="1:141" s="116" customFormat="1">
      <c r="A47134" s="136"/>
      <c r="CM47134" s="111"/>
      <c r="CQ47134" s="111"/>
      <c r="EF47134"/>
      <c r="EG47134"/>
      <c r="EH47134"/>
      <c r="EI47134"/>
      <c r="EJ47134"/>
      <c r="EK47134"/>
    </row>
    <row r="47135" spans="1:141" s="116" customFormat="1">
      <c r="A47135" s="136"/>
      <c r="CM47135" s="111"/>
      <c r="CQ47135" s="111"/>
      <c r="EF47135"/>
      <c r="EG47135"/>
      <c r="EH47135"/>
      <c r="EI47135"/>
      <c r="EJ47135"/>
      <c r="EK47135"/>
    </row>
    <row r="47136" spans="1:141" s="116" customFormat="1">
      <c r="A47136" s="136"/>
      <c r="CM47136" s="111"/>
      <c r="CQ47136" s="111"/>
      <c r="EF47136"/>
      <c r="EG47136"/>
      <c r="EH47136"/>
      <c r="EI47136"/>
      <c r="EJ47136"/>
      <c r="EK47136"/>
    </row>
    <row r="47137" spans="1:141" s="116" customFormat="1">
      <c r="A47137" s="136"/>
      <c r="CM47137" s="111"/>
      <c r="CQ47137" s="111"/>
      <c r="EF47137"/>
      <c r="EG47137"/>
      <c r="EH47137"/>
      <c r="EI47137"/>
      <c r="EJ47137"/>
      <c r="EK47137"/>
    </row>
    <row r="47138" spans="1:141" s="116" customFormat="1">
      <c r="A47138" s="136"/>
      <c r="CM47138" s="111"/>
      <c r="CQ47138" s="111"/>
      <c r="EF47138"/>
      <c r="EG47138"/>
      <c r="EH47138"/>
      <c r="EI47138"/>
      <c r="EJ47138"/>
      <c r="EK47138"/>
    </row>
    <row r="47139" spans="1:141" s="116" customFormat="1">
      <c r="A47139" s="136"/>
      <c r="CM47139" s="111"/>
      <c r="CQ47139" s="111"/>
      <c r="EF47139"/>
      <c r="EG47139"/>
      <c r="EH47139"/>
      <c r="EI47139"/>
      <c r="EJ47139"/>
      <c r="EK47139"/>
    </row>
    <row r="47140" spans="1:141" s="116" customFormat="1">
      <c r="A47140" s="136"/>
      <c r="CM47140" s="111"/>
      <c r="CQ47140" s="111"/>
      <c r="EF47140"/>
      <c r="EG47140"/>
      <c r="EH47140"/>
      <c r="EI47140"/>
      <c r="EJ47140"/>
      <c r="EK47140"/>
    </row>
    <row r="47141" spans="1:141" s="116" customFormat="1">
      <c r="A47141" s="136"/>
      <c r="CM47141" s="111"/>
      <c r="CQ47141" s="111"/>
      <c r="EF47141"/>
      <c r="EG47141"/>
      <c r="EH47141"/>
      <c r="EI47141"/>
      <c r="EJ47141"/>
      <c r="EK47141"/>
    </row>
    <row r="47142" spans="1:141" s="116" customFormat="1">
      <c r="A47142" s="136"/>
      <c r="CM47142" s="111"/>
      <c r="CQ47142" s="111"/>
      <c r="EF47142"/>
      <c r="EG47142"/>
      <c r="EH47142"/>
      <c r="EI47142"/>
      <c r="EJ47142"/>
      <c r="EK47142"/>
    </row>
    <row r="47143" spans="1:141" s="116" customFormat="1">
      <c r="A47143" s="136"/>
      <c r="CM47143" s="111"/>
      <c r="CQ47143" s="111"/>
      <c r="EF47143"/>
      <c r="EG47143"/>
      <c r="EH47143"/>
      <c r="EI47143"/>
      <c r="EJ47143"/>
      <c r="EK47143"/>
    </row>
    <row r="47144" spans="1:141" s="116" customFormat="1">
      <c r="A47144" s="136"/>
      <c r="CM47144" s="111"/>
      <c r="CQ47144" s="111"/>
      <c r="EF47144"/>
      <c r="EG47144"/>
      <c r="EH47144"/>
      <c r="EI47144"/>
      <c r="EJ47144"/>
      <c r="EK47144"/>
    </row>
    <row r="47145" spans="1:141" s="116" customFormat="1">
      <c r="A47145" s="136"/>
      <c r="CM47145" s="111"/>
      <c r="CQ47145" s="111"/>
      <c r="EF47145"/>
      <c r="EG47145"/>
      <c r="EH47145"/>
      <c r="EI47145"/>
      <c r="EJ47145"/>
      <c r="EK47145"/>
    </row>
    <row r="47146" spans="1:141" s="116" customFormat="1">
      <c r="A47146" s="136"/>
      <c r="CM47146" s="111"/>
      <c r="CQ47146" s="111"/>
      <c r="EF47146"/>
      <c r="EG47146"/>
      <c r="EH47146"/>
      <c r="EI47146"/>
      <c r="EJ47146"/>
      <c r="EK47146"/>
    </row>
    <row r="47147" spans="1:141" s="116" customFormat="1">
      <c r="A47147" s="136"/>
      <c r="CM47147" s="111"/>
      <c r="CQ47147" s="111"/>
      <c r="EF47147"/>
      <c r="EG47147"/>
      <c r="EH47147"/>
      <c r="EI47147"/>
      <c r="EJ47147"/>
      <c r="EK47147"/>
    </row>
    <row r="47148" spans="1:141" s="116" customFormat="1">
      <c r="A47148" s="136"/>
      <c r="CM47148" s="111"/>
      <c r="CQ47148" s="111"/>
      <c r="EF47148"/>
      <c r="EG47148"/>
      <c r="EH47148"/>
      <c r="EI47148"/>
      <c r="EJ47148"/>
      <c r="EK47148"/>
    </row>
    <row r="47149" spans="1:141" s="116" customFormat="1">
      <c r="A47149" s="136"/>
      <c r="CM47149" s="111"/>
      <c r="CQ47149" s="111"/>
      <c r="EF47149"/>
      <c r="EG47149"/>
      <c r="EH47149"/>
      <c r="EI47149"/>
      <c r="EJ47149"/>
      <c r="EK47149"/>
    </row>
    <row r="47150" spans="1:141" s="116" customFormat="1">
      <c r="A47150" s="136"/>
      <c r="CM47150" s="111"/>
      <c r="CQ47150" s="111"/>
      <c r="EF47150"/>
      <c r="EG47150"/>
      <c r="EH47150"/>
      <c r="EI47150"/>
      <c r="EJ47150"/>
      <c r="EK47150"/>
    </row>
    <row r="47151" spans="1:141" s="116" customFormat="1">
      <c r="A47151" s="136"/>
      <c r="CM47151" s="111"/>
      <c r="CQ47151" s="111"/>
      <c r="EF47151"/>
      <c r="EG47151"/>
      <c r="EH47151"/>
      <c r="EI47151"/>
      <c r="EJ47151"/>
      <c r="EK47151"/>
    </row>
    <row r="47152" spans="1:141" s="116" customFormat="1">
      <c r="A47152" s="136"/>
      <c r="CM47152" s="111"/>
      <c r="CQ47152" s="111"/>
      <c r="EF47152"/>
      <c r="EG47152"/>
      <c r="EH47152"/>
      <c r="EI47152"/>
      <c r="EJ47152"/>
      <c r="EK47152"/>
    </row>
    <row r="47153" spans="1:141" s="116" customFormat="1">
      <c r="A47153" s="136"/>
      <c r="CM47153" s="111"/>
      <c r="CQ47153" s="111"/>
      <c r="EF47153"/>
      <c r="EG47153"/>
      <c r="EH47153"/>
      <c r="EI47153"/>
      <c r="EJ47153"/>
      <c r="EK47153"/>
    </row>
    <row r="47154" spans="1:141" s="116" customFormat="1">
      <c r="A47154" s="136"/>
      <c r="CM47154" s="111"/>
      <c r="CQ47154" s="111"/>
      <c r="EF47154"/>
      <c r="EG47154"/>
      <c r="EH47154"/>
      <c r="EI47154"/>
      <c r="EJ47154"/>
      <c r="EK47154"/>
    </row>
    <row r="47155" spans="1:141" s="116" customFormat="1">
      <c r="A47155" s="136"/>
      <c r="CM47155" s="111"/>
      <c r="CQ47155" s="111"/>
      <c r="EF47155"/>
      <c r="EG47155"/>
      <c r="EH47155"/>
      <c r="EI47155"/>
      <c r="EJ47155"/>
      <c r="EK47155"/>
    </row>
    <row r="47156" spans="1:141" s="116" customFormat="1">
      <c r="A47156" s="136"/>
      <c r="CM47156" s="111"/>
      <c r="CQ47156" s="111"/>
      <c r="EF47156"/>
      <c r="EG47156"/>
      <c r="EH47156"/>
      <c r="EI47156"/>
      <c r="EJ47156"/>
      <c r="EK47156"/>
    </row>
    <row r="47157" spans="1:141" s="116" customFormat="1">
      <c r="A47157" s="136"/>
      <c r="CM47157" s="111"/>
      <c r="CQ47157" s="111"/>
      <c r="EF47157"/>
      <c r="EG47157"/>
      <c r="EH47157"/>
      <c r="EI47157"/>
      <c r="EJ47157"/>
      <c r="EK47157"/>
    </row>
    <row r="47158" spans="1:141" s="116" customFormat="1">
      <c r="A47158" s="136"/>
      <c r="CM47158" s="111"/>
      <c r="CQ47158" s="111"/>
      <c r="EF47158"/>
      <c r="EG47158"/>
      <c r="EH47158"/>
      <c r="EI47158"/>
      <c r="EJ47158"/>
      <c r="EK47158"/>
    </row>
    <row r="47159" spans="1:141" s="116" customFormat="1">
      <c r="A47159" s="136"/>
      <c r="CM47159" s="111"/>
      <c r="CQ47159" s="111"/>
      <c r="EF47159"/>
      <c r="EG47159"/>
      <c r="EH47159"/>
      <c r="EI47159"/>
      <c r="EJ47159"/>
      <c r="EK47159"/>
    </row>
    <row r="47160" spans="1:141" s="116" customFormat="1">
      <c r="A47160" s="136"/>
      <c r="CM47160" s="111"/>
      <c r="CQ47160" s="111"/>
      <c r="EF47160"/>
      <c r="EG47160"/>
      <c r="EH47160"/>
      <c r="EI47160"/>
      <c r="EJ47160"/>
      <c r="EK47160"/>
    </row>
    <row r="47161" spans="1:141" s="116" customFormat="1">
      <c r="A47161" s="136"/>
      <c r="CM47161" s="111"/>
      <c r="CQ47161" s="111"/>
      <c r="EF47161"/>
      <c r="EG47161"/>
      <c r="EH47161"/>
      <c r="EI47161"/>
      <c r="EJ47161"/>
      <c r="EK47161"/>
    </row>
    <row r="47162" spans="1:141" s="116" customFormat="1">
      <c r="A47162" s="136"/>
      <c r="CM47162" s="111"/>
      <c r="CQ47162" s="111"/>
      <c r="EF47162"/>
      <c r="EG47162"/>
      <c r="EH47162"/>
      <c r="EI47162"/>
      <c r="EJ47162"/>
      <c r="EK47162"/>
    </row>
    <row r="47163" spans="1:141" s="116" customFormat="1">
      <c r="A47163" s="136"/>
      <c r="CM47163" s="111"/>
      <c r="CQ47163" s="111"/>
      <c r="EF47163"/>
      <c r="EG47163"/>
      <c r="EH47163"/>
      <c r="EI47163"/>
      <c r="EJ47163"/>
      <c r="EK47163"/>
    </row>
    <row r="47164" spans="1:141" s="116" customFormat="1">
      <c r="A47164" s="136"/>
      <c r="CM47164" s="111"/>
      <c r="CQ47164" s="111"/>
      <c r="EF47164"/>
      <c r="EG47164"/>
      <c r="EH47164"/>
      <c r="EI47164"/>
      <c r="EJ47164"/>
      <c r="EK47164"/>
    </row>
    <row r="47165" spans="1:141" s="116" customFormat="1">
      <c r="A47165" s="136"/>
      <c r="CM47165" s="111"/>
      <c r="CQ47165" s="111"/>
      <c r="EF47165"/>
      <c r="EG47165"/>
      <c r="EH47165"/>
      <c r="EI47165"/>
      <c r="EJ47165"/>
      <c r="EK47165"/>
    </row>
    <row r="47166" spans="1:141" s="116" customFormat="1">
      <c r="A47166" s="136"/>
      <c r="CM47166" s="111"/>
      <c r="CQ47166" s="111"/>
      <c r="EF47166"/>
      <c r="EG47166"/>
      <c r="EH47166"/>
      <c r="EI47166"/>
      <c r="EJ47166"/>
      <c r="EK47166"/>
    </row>
    <row r="47167" spans="1:141" s="116" customFormat="1">
      <c r="A47167" s="136"/>
      <c r="CM47167" s="111"/>
      <c r="CQ47167" s="111"/>
      <c r="EF47167"/>
      <c r="EG47167"/>
      <c r="EH47167"/>
      <c r="EI47167"/>
      <c r="EJ47167"/>
      <c r="EK47167"/>
    </row>
    <row r="47168" spans="1:141" s="116" customFormat="1">
      <c r="A47168" s="136"/>
      <c r="CM47168" s="111"/>
      <c r="CQ47168" s="111"/>
      <c r="EF47168"/>
      <c r="EG47168"/>
      <c r="EH47168"/>
      <c r="EI47168"/>
      <c r="EJ47168"/>
      <c r="EK47168"/>
    </row>
    <row r="47169" spans="1:141" s="116" customFormat="1">
      <c r="A47169" s="136"/>
      <c r="CM47169" s="111"/>
      <c r="CQ47169" s="111"/>
      <c r="EF47169"/>
      <c r="EG47169"/>
      <c r="EH47169"/>
      <c r="EI47169"/>
      <c r="EJ47169"/>
      <c r="EK47169"/>
    </row>
    <row r="47170" spans="1:141" s="116" customFormat="1">
      <c r="A47170" s="136"/>
      <c r="CM47170" s="111"/>
      <c r="CQ47170" s="111"/>
      <c r="EF47170"/>
      <c r="EG47170"/>
      <c r="EH47170"/>
      <c r="EI47170"/>
      <c r="EJ47170"/>
      <c r="EK47170"/>
    </row>
    <row r="47171" spans="1:141" s="116" customFormat="1">
      <c r="A47171" s="136"/>
      <c r="CM47171" s="111"/>
      <c r="CQ47171" s="111"/>
      <c r="EF47171"/>
      <c r="EG47171"/>
      <c r="EH47171"/>
      <c r="EI47171"/>
      <c r="EJ47171"/>
      <c r="EK47171"/>
    </row>
    <row r="47172" spans="1:141" s="116" customFormat="1">
      <c r="A47172" s="136"/>
      <c r="CM47172" s="111"/>
      <c r="CQ47172" s="111"/>
      <c r="EF47172"/>
      <c r="EG47172"/>
      <c r="EH47172"/>
      <c r="EI47172"/>
      <c r="EJ47172"/>
      <c r="EK47172"/>
    </row>
    <row r="47173" spans="1:141" s="116" customFormat="1">
      <c r="A47173" s="136"/>
      <c r="CM47173" s="111"/>
      <c r="CQ47173" s="111"/>
      <c r="EF47173"/>
      <c r="EG47173"/>
      <c r="EH47173"/>
      <c r="EI47173"/>
      <c r="EJ47173"/>
      <c r="EK47173"/>
    </row>
    <row r="47174" spans="1:141" s="116" customFormat="1">
      <c r="A47174" s="136"/>
      <c r="CM47174" s="111"/>
      <c r="CQ47174" s="111"/>
      <c r="EF47174"/>
      <c r="EG47174"/>
      <c r="EH47174"/>
      <c r="EI47174"/>
      <c r="EJ47174"/>
      <c r="EK47174"/>
    </row>
    <row r="47175" spans="1:141" s="116" customFormat="1">
      <c r="A47175" s="136"/>
      <c r="CM47175" s="111"/>
      <c r="CQ47175" s="111"/>
      <c r="EF47175"/>
      <c r="EG47175"/>
      <c r="EH47175"/>
      <c r="EI47175"/>
      <c r="EJ47175"/>
      <c r="EK47175"/>
    </row>
    <row r="47176" spans="1:141" s="116" customFormat="1">
      <c r="A47176" s="136"/>
      <c r="CM47176" s="111"/>
      <c r="CQ47176" s="111"/>
      <c r="EF47176"/>
      <c r="EG47176"/>
      <c r="EH47176"/>
      <c r="EI47176"/>
      <c r="EJ47176"/>
      <c r="EK47176"/>
    </row>
    <row r="47177" spans="1:141" s="116" customFormat="1">
      <c r="A47177" s="136"/>
      <c r="CM47177" s="111"/>
      <c r="CQ47177" s="111"/>
      <c r="EF47177"/>
      <c r="EG47177"/>
      <c r="EH47177"/>
      <c r="EI47177"/>
      <c r="EJ47177"/>
      <c r="EK47177"/>
    </row>
    <row r="47178" spans="1:141" s="116" customFormat="1">
      <c r="A47178" s="136"/>
      <c r="CM47178" s="111"/>
      <c r="CQ47178" s="111"/>
      <c r="EF47178"/>
      <c r="EG47178"/>
      <c r="EH47178"/>
      <c r="EI47178"/>
      <c r="EJ47178"/>
      <c r="EK47178"/>
    </row>
    <row r="47179" spans="1:141" s="116" customFormat="1">
      <c r="A47179" s="136"/>
      <c r="CM47179" s="111"/>
      <c r="CQ47179" s="111"/>
      <c r="EF47179"/>
      <c r="EG47179"/>
      <c r="EH47179"/>
      <c r="EI47179"/>
      <c r="EJ47179"/>
      <c r="EK47179"/>
    </row>
    <row r="47180" spans="1:141" s="116" customFormat="1">
      <c r="A47180" s="136"/>
      <c r="CM47180" s="111"/>
      <c r="CQ47180" s="111"/>
      <c r="EF47180"/>
      <c r="EG47180"/>
      <c r="EH47180"/>
      <c r="EI47180"/>
      <c r="EJ47180"/>
      <c r="EK47180"/>
    </row>
    <row r="47181" spans="1:141" s="116" customFormat="1">
      <c r="A47181" s="136"/>
      <c r="CM47181" s="111"/>
      <c r="CQ47181" s="111"/>
      <c r="EF47181"/>
      <c r="EG47181"/>
      <c r="EH47181"/>
      <c r="EI47181"/>
      <c r="EJ47181"/>
      <c r="EK47181"/>
    </row>
    <row r="47182" spans="1:141" s="116" customFormat="1">
      <c r="A47182" s="136"/>
      <c r="CM47182" s="111"/>
      <c r="CQ47182" s="111"/>
      <c r="EF47182"/>
      <c r="EG47182"/>
      <c r="EH47182"/>
      <c r="EI47182"/>
      <c r="EJ47182"/>
      <c r="EK47182"/>
    </row>
    <row r="47183" spans="1:141" s="116" customFormat="1">
      <c r="A47183" s="136"/>
      <c r="CM47183" s="111"/>
      <c r="CQ47183" s="111"/>
      <c r="EF47183"/>
      <c r="EG47183"/>
      <c r="EH47183"/>
      <c r="EI47183"/>
      <c r="EJ47183"/>
      <c r="EK47183"/>
    </row>
    <row r="47184" spans="1:141" s="116" customFormat="1">
      <c r="A47184" s="136"/>
      <c r="CM47184" s="111"/>
      <c r="CQ47184" s="111"/>
      <c r="EF47184"/>
      <c r="EG47184"/>
      <c r="EH47184"/>
      <c r="EI47184"/>
      <c r="EJ47184"/>
      <c r="EK47184"/>
    </row>
    <row r="47185" spans="1:141" s="116" customFormat="1">
      <c r="A47185" s="136"/>
      <c r="CM47185" s="111"/>
      <c r="CQ47185" s="111"/>
      <c r="EF47185"/>
      <c r="EG47185"/>
      <c r="EH47185"/>
      <c r="EI47185"/>
      <c r="EJ47185"/>
      <c r="EK47185"/>
    </row>
    <row r="47186" spans="1:141" s="116" customFormat="1">
      <c r="A47186" s="136"/>
      <c r="CM47186" s="111"/>
      <c r="CQ47186" s="111"/>
      <c r="EF47186"/>
      <c r="EG47186"/>
      <c r="EH47186"/>
      <c r="EI47186"/>
      <c r="EJ47186"/>
      <c r="EK47186"/>
    </row>
    <row r="47187" spans="1:141" s="116" customFormat="1">
      <c r="A47187" s="136"/>
      <c r="CM47187" s="111"/>
      <c r="CQ47187" s="111"/>
      <c r="EF47187"/>
      <c r="EG47187"/>
      <c r="EH47187"/>
      <c r="EI47187"/>
      <c r="EJ47187"/>
      <c r="EK47187"/>
    </row>
    <row r="47188" spans="1:141" s="116" customFormat="1">
      <c r="A47188" s="136"/>
      <c r="CM47188" s="111"/>
      <c r="CQ47188" s="111"/>
      <c r="EF47188"/>
      <c r="EG47188"/>
      <c r="EH47188"/>
      <c r="EI47188"/>
      <c r="EJ47188"/>
      <c r="EK47188"/>
    </row>
    <row r="47189" spans="1:141" s="116" customFormat="1">
      <c r="A47189" s="136"/>
      <c r="CM47189" s="111"/>
      <c r="CQ47189" s="111"/>
      <c r="EF47189"/>
      <c r="EG47189"/>
      <c r="EH47189"/>
      <c r="EI47189"/>
      <c r="EJ47189"/>
      <c r="EK47189"/>
    </row>
    <row r="47190" spans="1:141" s="116" customFormat="1">
      <c r="A47190" s="136"/>
      <c r="CM47190" s="111"/>
      <c r="CQ47190" s="111"/>
      <c r="EF47190"/>
      <c r="EG47190"/>
      <c r="EH47190"/>
      <c r="EI47190"/>
      <c r="EJ47190"/>
      <c r="EK47190"/>
    </row>
    <row r="47191" spans="1:141" s="116" customFormat="1">
      <c r="A47191" s="136"/>
      <c r="CM47191" s="111"/>
      <c r="CQ47191" s="111"/>
      <c r="EF47191"/>
      <c r="EG47191"/>
      <c r="EH47191"/>
      <c r="EI47191"/>
      <c r="EJ47191"/>
      <c r="EK47191"/>
    </row>
    <row r="47192" spans="1:141" s="116" customFormat="1">
      <c r="A47192" s="136"/>
      <c r="CM47192" s="111"/>
      <c r="CQ47192" s="111"/>
      <c r="EF47192"/>
      <c r="EG47192"/>
      <c r="EH47192"/>
      <c r="EI47192"/>
      <c r="EJ47192"/>
      <c r="EK47192"/>
    </row>
    <row r="47193" spans="1:141" s="116" customFormat="1">
      <c r="A47193" s="136"/>
      <c r="CM47193" s="111"/>
      <c r="CQ47193" s="111"/>
      <c r="EF47193"/>
      <c r="EG47193"/>
      <c r="EH47193"/>
      <c r="EI47193"/>
      <c r="EJ47193"/>
      <c r="EK47193"/>
    </row>
    <row r="47194" spans="1:141" s="116" customFormat="1">
      <c r="A47194" s="136"/>
      <c r="CM47194" s="111"/>
      <c r="CQ47194" s="111"/>
      <c r="EF47194"/>
      <c r="EG47194"/>
      <c r="EH47194"/>
      <c r="EI47194"/>
      <c r="EJ47194"/>
      <c r="EK47194"/>
    </row>
    <row r="47195" spans="1:141" s="116" customFormat="1">
      <c r="A47195" s="136"/>
      <c r="CM47195" s="111"/>
      <c r="CQ47195" s="111"/>
      <c r="EF47195"/>
      <c r="EG47195"/>
      <c r="EH47195"/>
      <c r="EI47195"/>
      <c r="EJ47195"/>
      <c r="EK47195"/>
    </row>
    <row r="47196" spans="1:141" s="116" customFormat="1">
      <c r="A47196" s="136"/>
      <c r="CM47196" s="111"/>
      <c r="CQ47196" s="111"/>
      <c r="EF47196"/>
      <c r="EG47196"/>
      <c r="EH47196"/>
      <c r="EI47196"/>
      <c r="EJ47196"/>
      <c r="EK47196"/>
    </row>
    <row r="47197" spans="1:141" s="116" customFormat="1">
      <c r="A47197" s="136"/>
      <c r="CM47197" s="111"/>
      <c r="CQ47197" s="111"/>
      <c r="EF47197"/>
      <c r="EG47197"/>
      <c r="EH47197"/>
      <c r="EI47197"/>
      <c r="EJ47197"/>
      <c r="EK47197"/>
    </row>
    <row r="47198" spans="1:141" s="116" customFormat="1">
      <c r="A47198" s="136"/>
      <c r="CM47198" s="111"/>
      <c r="CQ47198" s="111"/>
      <c r="EF47198"/>
      <c r="EG47198"/>
      <c r="EH47198"/>
      <c r="EI47198"/>
      <c r="EJ47198"/>
      <c r="EK47198"/>
    </row>
    <row r="47199" spans="1:141" s="116" customFormat="1">
      <c r="A47199" s="136"/>
      <c r="CM47199" s="111"/>
      <c r="CQ47199" s="111"/>
      <c r="EF47199"/>
      <c r="EG47199"/>
      <c r="EH47199"/>
      <c r="EI47199"/>
      <c r="EJ47199"/>
      <c r="EK47199"/>
    </row>
    <row r="47200" spans="1:141" s="116" customFormat="1">
      <c r="A47200" s="136"/>
      <c r="CM47200" s="111"/>
      <c r="CQ47200" s="111"/>
      <c r="EF47200"/>
      <c r="EG47200"/>
      <c r="EH47200"/>
      <c r="EI47200"/>
      <c r="EJ47200"/>
      <c r="EK47200"/>
    </row>
    <row r="47201" spans="1:141" s="116" customFormat="1">
      <c r="A47201" s="136"/>
      <c r="CM47201" s="111"/>
      <c r="CQ47201" s="111"/>
      <c r="EF47201"/>
      <c r="EG47201"/>
      <c r="EH47201"/>
      <c r="EI47201"/>
      <c r="EJ47201"/>
      <c r="EK47201"/>
    </row>
    <row r="47202" spans="1:141" s="116" customFormat="1">
      <c r="A47202" s="136"/>
      <c r="CM47202" s="111"/>
      <c r="CQ47202" s="111"/>
      <c r="EF47202"/>
      <c r="EG47202"/>
      <c r="EH47202"/>
      <c r="EI47202"/>
      <c r="EJ47202"/>
      <c r="EK47202"/>
    </row>
    <row r="47203" spans="1:141" s="116" customFormat="1">
      <c r="A47203" s="136"/>
      <c r="CM47203" s="111"/>
      <c r="CQ47203" s="111"/>
      <c r="EF47203"/>
      <c r="EG47203"/>
      <c r="EH47203"/>
      <c r="EI47203"/>
      <c r="EJ47203"/>
      <c r="EK47203"/>
    </row>
    <row r="47204" spans="1:141" s="116" customFormat="1">
      <c r="A47204" s="136"/>
      <c r="CM47204" s="111"/>
      <c r="CQ47204" s="111"/>
      <c r="EF47204"/>
      <c r="EG47204"/>
      <c r="EH47204"/>
      <c r="EI47204"/>
      <c r="EJ47204"/>
      <c r="EK47204"/>
    </row>
    <row r="47205" spans="1:141" s="116" customFormat="1">
      <c r="A47205" s="136"/>
      <c r="CM47205" s="111"/>
      <c r="CQ47205" s="111"/>
      <c r="EF47205"/>
      <c r="EG47205"/>
      <c r="EH47205"/>
      <c r="EI47205"/>
      <c r="EJ47205"/>
      <c r="EK47205"/>
    </row>
    <row r="47206" spans="1:141" s="116" customFormat="1">
      <c r="A47206" s="136"/>
      <c r="CM47206" s="111"/>
      <c r="CQ47206" s="111"/>
      <c r="EF47206"/>
      <c r="EG47206"/>
      <c r="EH47206"/>
      <c r="EI47206"/>
      <c r="EJ47206"/>
      <c r="EK47206"/>
    </row>
    <row r="47207" spans="1:141" s="116" customFormat="1">
      <c r="A47207" s="136"/>
      <c r="CM47207" s="111"/>
      <c r="CQ47207" s="111"/>
      <c r="EF47207"/>
      <c r="EG47207"/>
      <c r="EH47207"/>
      <c r="EI47207"/>
      <c r="EJ47207"/>
      <c r="EK47207"/>
    </row>
    <row r="47208" spans="1:141" s="116" customFormat="1">
      <c r="A47208" s="136"/>
      <c r="CM47208" s="111"/>
      <c r="CQ47208" s="111"/>
      <c r="EF47208"/>
      <c r="EG47208"/>
      <c r="EH47208"/>
      <c r="EI47208"/>
      <c r="EJ47208"/>
      <c r="EK47208"/>
    </row>
    <row r="47209" spans="1:141" s="116" customFormat="1">
      <c r="A47209" s="136"/>
      <c r="CM47209" s="111"/>
      <c r="CQ47209" s="111"/>
      <c r="EF47209"/>
      <c r="EG47209"/>
      <c r="EH47209"/>
      <c r="EI47209"/>
      <c r="EJ47209"/>
      <c r="EK47209"/>
    </row>
    <row r="47210" spans="1:141" s="116" customFormat="1">
      <c r="A47210" s="136"/>
      <c r="CM47210" s="111"/>
      <c r="CQ47210" s="111"/>
      <c r="EF47210"/>
      <c r="EG47210"/>
      <c r="EH47210"/>
      <c r="EI47210"/>
      <c r="EJ47210"/>
      <c r="EK47210"/>
    </row>
    <row r="47211" spans="1:141" s="116" customFormat="1">
      <c r="A47211" s="136"/>
      <c r="CM47211" s="111"/>
      <c r="CQ47211" s="111"/>
      <c r="EF47211"/>
      <c r="EG47211"/>
      <c r="EH47211"/>
      <c r="EI47211"/>
      <c r="EJ47211"/>
      <c r="EK47211"/>
    </row>
    <row r="47212" spans="1:141" s="116" customFormat="1">
      <c r="A47212" s="136"/>
      <c r="CM47212" s="111"/>
      <c r="CQ47212" s="111"/>
      <c r="EF47212"/>
      <c r="EG47212"/>
      <c r="EH47212"/>
      <c r="EI47212"/>
      <c r="EJ47212"/>
      <c r="EK47212"/>
    </row>
    <row r="47213" spans="1:141" s="116" customFormat="1">
      <c r="A47213" s="136"/>
      <c r="CM47213" s="111"/>
      <c r="CQ47213" s="111"/>
      <c r="EF47213"/>
      <c r="EG47213"/>
      <c r="EH47213"/>
      <c r="EI47213"/>
      <c r="EJ47213"/>
      <c r="EK47213"/>
    </row>
    <row r="47214" spans="1:141" s="116" customFormat="1">
      <c r="A47214" s="136"/>
      <c r="CM47214" s="111"/>
      <c r="CQ47214" s="111"/>
      <c r="EF47214"/>
      <c r="EG47214"/>
      <c r="EH47214"/>
      <c r="EI47214"/>
      <c r="EJ47214"/>
      <c r="EK47214"/>
    </row>
    <row r="47215" spans="1:141" s="116" customFormat="1">
      <c r="A47215" s="136"/>
      <c r="CM47215" s="111"/>
      <c r="CQ47215" s="111"/>
      <c r="EF47215"/>
      <c r="EG47215"/>
      <c r="EH47215"/>
      <c r="EI47215"/>
      <c r="EJ47215"/>
      <c r="EK47215"/>
    </row>
    <row r="47216" spans="1:141" s="116" customFormat="1">
      <c r="A47216" s="136"/>
      <c r="CM47216" s="111"/>
      <c r="CQ47216" s="111"/>
      <c r="EF47216"/>
      <c r="EG47216"/>
      <c r="EH47216"/>
      <c r="EI47216"/>
      <c r="EJ47216"/>
      <c r="EK47216"/>
    </row>
    <row r="47217" spans="1:141" s="116" customFormat="1">
      <c r="A47217" s="136"/>
      <c r="CM47217" s="111"/>
      <c r="CQ47217" s="111"/>
      <c r="EF47217"/>
      <c r="EG47217"/>
      <c r="EH47217"/>
      <c r="EI47217"/>
      <c r="EJ47217"/>
      <c r="EK47217"/>
    </row>
    <row r="47218" spans="1:141" s="116" customFormat="1">
      <c r="A47218" s="136"/>
      <c r="CM47218" s="111"/>
      <c r="CQ47218" s="111"/>
      <c r="EF47218"/>
      <c r="EG47218"/>
      <c r="EH47218"/>
      <c r="EI47218"/>
      <c r="EJ47218"/>
      <c r="EK47218"/>
    </row>
    <row r="47219" spans="1:141" s="116" customFormat="1">
      <c r="A47219" s="136"/>
      <c r="CM47219" s="111"/>
      <c r="CQ47219" s="111"/>
      <c r="EF47219"/>
      <c r="EG47219"/>
      <c r="EH47219"/>
      <c r="EI47219"/>
      <c r="EJ47219"/>
      <c r="EK47219"/>
    </row>
    <row r="47220" spans="1:141" s="116" customFormat="1">
      <c r="A47220" s="136"/>
      <c r="CM47220" s="111"/>
      <c r="CQ47220" s="111"/>
      <c r="EF47220"/>
      <c r="EG47220"/>
      <c r="EH47220"/>
      <c r="EI47220"/>
      <c r="EJ47220"/>
      <c r="EK47220"/>
    </row>
    <row r="47221" spans="1:141" s="116" customFormat="1">
      <c r="A47221" s="136"/>
      <c r="CM47221" s="111"/>
      <c r="CQ47221" s="111"/>
      <c r="EF47221"/>
      <c r="EG47221"/>
      <c r="EH47221"/>
      <c r="EI47221"/>
      <c r="EJ47221"/>
      <c r="EK47221"/>
    </row>
    <row r="47222" spans="1:141" s="116" customFormat="1">
      <c r="A47222" s="136"/>
      <c r="CM47222" s="111"/>
      <c r="CQ47222" s="111"/>
      <c r="EF47222"/>
      <c r="EG47222"/>
      <c r="EH47222"/>
      <c r="EI47222"/>
      <c r="EJ47222"/>
      <c r="EK47222"/>
    </row>
    <row r="47223" spans="1:141" s="116" customFormat="1">
      <c r="A47223" s="136"/>
      <c r="CM47223" s="111"/>
      <c r="CQ47223" s="111"/>
      <c r="EF47223"/>
      <c r="EG47223"/>
      <c r="EH47223"/>
      <c r="EI47223"/>
      <c r="EJ47223"/>
      <c r="EK47223"/>
    </row>
    <row r="47224" spans="1:141" s="116" customFormat="1">
      <c r="A47224" s="136"/>
      <c r="CM47224" s="111"/>
      <c r="CQ47224" s="111"/>
      <c r="EF47224"/>
      <c r="EG47224"/>
      <c r="EH47224"/>
      <c r="EI47224"/>
      <c r="EJ47224"/>
      <c r="EK47224"/>
    </row>
    <row r="47225" spans="1:141" s="116" customFormat="1">
      <c r="A47225" s="136"/>
      <c r="CM47225" s="111"/>
      <c r="CQ47225" s="111"/>
      <c r="EF47225"/>
      <c r="EG47225"/>
      <c r="EH47225"/>
      <c r="EI47225"/>
      <c r="EJ47225"/>
      <c r="EK47225"/>
    </row>
    <row r="47226" spans="1:141" s="116" customFormat="1">
      <c r="A47226" s="136"/>
      <c r="CM47226" s="111"/>
      <c r="CQ47226" s="111"/>
      <c r="EF47226"/>
      <c r="EG47226"/>
      <c r="EH47226"/>
      <c r="EI47226"/>
      <c r="EJ47226"/>
      <c r="EK47226"/>
    </row>
    <row r="47227" spans="1:141" s="116" customFormat="1">
      <c r="A47227" s="136"/>
      <c r="CM47227" s="111"/>
      <c r="CQ47227" s="111"/>
      <c r="EF47227"/>
      <c r="EG47227"/>
      <c r="EH47227"/>
      <c r="EI47227"/>
      <c r="EJ47227"/>
      <c r="EK47227"/>
    </row>
    <row r="47228" spans="1:141" s="116" customFormat="1">
      <c r="A47228" s="136"/>
      <c r="CM47228" s="111"/>
      <c r="CQ47228" s="111"/>
      <c r="EF47228"/>
      <c r="EG47228"/>
      <c r="EH47228"/>
      <c r="EI47228"/>
      <c r="EJ47228"/>
      <c r="EK47228"/>
    </row>
    <row r="47229" spans="1:141" s="116" customFormat="1">
      <c r="A47229" s="136"/>
      <c r="CM47229" s="111"/>
      <c r="CQ47229" s="111"/>
      <c r="EF47229"/>
      <c r="EG47229"/>
      <c r="EH47229"/>
      <c r="EI47229"/>
      <c r="EJ47229"/>
      <c r="EK47229"/>
    </row>
    <row r="47230" spans="1:141" s="116" customFormat="1">
      <c r="A47230" s="136"/>
      <c r="CM47230" s="111"/>
      <c r="CQ47230" s="111"/>
      <c r="EF47230"/>
      <c r="EG47230"/>
      <c r="EH47230"/>
      <c r="EI47230"/>
      <c r="EJ47230"/>
      <c r="EK47230"/>
    </row>
    <row r="47231" spans="1:141" s="116" customFormat="1">
      <c r="A47231" s="136"/>
      <c r="CM47231" s="111"/>
      <c r="CQ47231" s="111"/>
      <c r="EF47231"/>
      <c r="EG47231"/>
      <c r="EH47231"/>
      <c r="EI47231"/>
      <c r="EJ47231"/>
      <c r="EK47231"/>
    </row>
    <row r="47232" spans="1:141" s="116" customFormat="1">
      <c r="A47232" s="136"/>
      <c r="CM47232" s="111"/>
      <c r="CQ47232" s="111"/>
      <c r="EF47232"/>
      <c r="EG47232"/>
      <c r="EH47232"/>
      <c r="EI47232"/>
      <c r="EJ47232"/>
      <c r="EK47232"/>
    </row>
    <row r="47233" spans="1:141" s="116" customFormat="1">
      <c r="A47233" s="136"/>
      <c r="CM47233" s="111"/>
      <c r="CQ47233" s="111"/>
      <c r="EF47233"/>
      <c r="EG47233"/>
      <c r="EH47233"/>
      <c r="EI47233"/>
      <c r="EJ47233"/>
      <c r="EK47233"/>
    </row>
    <row r="47234" spans="1:141" s="116" customFormat="1">
      <c r="A47234" s="136"/>
      <c r="CM47234" s="111"/>
      <c r="CQ47234" s="111"/>
      <c r="EF47234"/>
      <c r="EG47234"/>
      <c r="EH47234"/>
      <c r="EI47234"/>
      <c r="EJ47234"/>
      <c r="EK47234"/>
    </row>
    <row r="47235" spans="1:141" s="116" customFormat="1">
      <c r="A47235" s="136"/>
      <c r="CM47235" s="111"/>
      <c r="CQ47235" s="111"/>
      <c r="EF47235"/>
      <c r="EG47235"/>
      <c r="EH47235"/>
      <c r="EI47235"/>
      <c r="EJ47235"/>
      <c r="EK47235"/>
    </row>
    <row r="47236" spans="1:141" s="116" customFormat="1">
      <c r="A47236" s="136"/>
      <c r="CM47236" s="111"/>
      <c r="CQ47236" s="111"/>
      <c r="EF47236"/>
      <c r="EG47236"/>
      <c r="EH47236"/>
      <c r="EI47236"/>
      <c r="EJ47236"/>
      <c r="EK47236"/>
    </row>
    <row r="47237" spans="1:141" s="116" customFormat="1">
      <c r="A47237" s="136"/>
      <c r="CM47237" s="111"/>
      <c r="CQ47237" s="111"/>
      <c r="EF47237"/>
      <c r="EG47237"/>
      <c r="EH47237"/>
      <c r="EI47237"/>
      <c r="EJ47237"/>
      <c r="EK47237"/>
    </row>
    <row r="47238" spans="1:141" s="116" customFormat="1">
      <c r="A47238" s="136"/>
      <c r="CM47238" s="111"/>
      <c r="CQ47238" s="111"/>
      <c r="EF47238"/>
      <c r="EG47238"/>
      <c r="EH47238"/>
      <c r="EI47238"/>
      <c r="EJ47238"/>
      <c r="EK47238"/>
    </row>
    <row r="47239" spans="1:141" s="116" customFormat="1">
      <c r="A47239" s="136"/>
      <c r="CM47239" s="111"/>
      <c r="CQ47239" s="111"/>
      <c r="EF47239"/>
      <c r="EG47239"/>
      <c r="EH47239"/>
      <c r="EI47239"/>
      <c r="EJ47239"/>
      <c r="EK47239"/>
    </row>
    <row r="47240" spans="1:141" s="116" customFormat="1">
      <c r="A47240" s="136"/>
      <c r="CM47240" s="111"/>
      <c r="CQ47240" s="111"/>
      <c r="EF47240"/>
      <c r="EG47240"/>
      <c r="EH47240"/>
      <c r="EI47240"/>
      <c r="EJ47240"/>
      <c r="EK47240"/>
    </row>
    <row r="47241" spans="1:141" s="116" customFormat="1">
      <c r="A47241" s="136"/>
      <c r="CM47241" s="111"/>
      <c r="CQ47241" s="111"/>
      <c r="EF47241"/>
      <c r="EG47241"/>
      <c r="EH47241"/>
      <c r="EI47241"/>
      <c r="EJ47241"/>
      <c r="EK47241"/>
    </row>
    <row r="47242" spans="1:141" s="116" customFormat="1">
      <c r="A47242" s="136"/>
      <c r="CM47242" s="111"/>
      <c r="CQ47242" s="111"/>
      <c r="EF47242"/>
      <c r="EG47242"/>
      <c r="EH47242"/>
      <c r="EI47242"/>
      <c r="EJ47242"/>
      <c r="EK47242"/>
    </row>
    <row r="47243" spans="1:141" s="116" customFormat="1">
      <c r="A47243" s="136"/>
      <c r="CM47243" s="111"/>
      <c r="CQ47243" s="111"/>
      <c r="EF47243"/>
      <c r="EG47243"/>
      <c r="EH47243"/>
      <c r="EI47243"/>
      <c r="EJ47243"/>
      <c r="EK47243"/>
    </row>
    <row r="47244" spans="1:141" s="116" customFormat="1">
      <c r="A47244" s="136"/>
      <c r="CM47244" s="111"/>
      <c r="CQ47244" s="111"/>
      <c r="EF47244"/>
      <c r="EG47244"/>
      <c r="EH47244"/>
      <c r="EI47244"/>
      <c r="EJ47244"/>
      <c r="EK47244"/>
    </row>
    <row r="47245" spans="1:141" s="116" customFormat="1">
      <c r="A47245" s="136"/>
      <c r="CM47245" s="111"/>
      <c r="CQ47245" s="111"/>
      <c r="EF47245"/>
      <c r="EG47245"/>
      <c r="EH47245"/>
      <c r="EI47245"/>
      <c r="EJ47245"/>
      <c r="EK47245"/>
    </row>
    <row r="47246" spans="1:141" s="116" customFormat="1">
      <c r="A47246" s="136"/>
      <c r="CM47246" s="111"/>
      <c r="CQ47246" s="111"/>
      <c r="EF47246"/>
      <c r="EG47246"/>
      <c r="EH47246"/>
      <c r="EI47246"/>
      <c r="EJ47246"/>
      <c r="EK47246"/>
    </row>
    <row r="47247" spans="1:141" s="116" customFormat="1">
      <c r="A47247" s="136"/>
      <c r="CM47247" s="111"/>
      <c r="CQ47247" s="111"/>
      <c r="EF47247"/>
      <c r="EG47247"/>
      <c r="EH47247"/>
      <c r="EI47247"/>
      <c r="EJ47247"/>
      <c r="EK47247"/>
    </row>
    <row r="47248" spans="1:141" s="116" customFormat="1">
      <c r="A47248" s="136"/>
      <c r="CM47248" s="111"/>
      <c r="CQ47248" s="111"/>
      <c r="EF47248"/>
      <c r="EG47248"/>
      <c r="EH47248"/>
      <c r="EI47248"/>
      <c r="EJ47248"/>
      <c r="EK47248"/>
    </row>
    <row r="47249" spans="1:141" s="116" customFormat="1">
      <c r="A47249" s="136"/>
      <c r="CM47249" s="111"/>
      <c r="CQ47249" s="111"/>
      <c r="EF47249"/>
      <c r="EG47249"/>
      <c r="EH47249"/>
      <c r="EI47249"/>
      <c r="EJ47249"/>
      <c r="EK47249"/>
    </row>
    <row r="47250" spans="1:141" s="116" customFormat="1">
      <c r="A47250" s="136"/>
      <c r="CM47250" s="111"/>
      <c r="CQ47250" s="111"/>
      <c r="EF47250"/>
      <c r="EG47250"/>
      <c r="EH47250"/>
      <c r="EI47250"/>
      <c r="EJ47250"/>
      <c r="EK47250"/>
    </row>
    <row r="47251" spans="1:141" s="116" customFormat="1">
      <c r="A47251" s="136"/>
      <c r="CM47251" s="111"/>
      <c r="CQ47251" s="111"/>
      <c r="EF47251"/>
      <c r="EG47251"/>
      <c r="EH47251"/>
      <c r="EI47251"/>
      <c r="EJ47251"/>
      <c r="EK47251"/>
    </row>
    <row r="47252" spans="1:141" s="116" customFormat="1">
      <c r="A47252" s="136"/>
      <c r="CM47252" s="111"/>
      <c r="CQ47252" s="111"/>
      <c r="EF47252"/>
      <c r="EG47252"/>
      <c r="EH47252"/>
      <c r="EI47252"/>
      <c r="EJ47252"/>
      <c r="EK47252"/>
    </row>
    <row r="47253" spans="1:141" s="116" customFormat="1">
      <c r="A47253" s="136"/>
      <c r="CM47253" s="111"/>
      <c r="CQ47253" s="111"/>
      <c r="EF47253"/>
      <c r="EG47253"/>
      <c r="EH47253"/>
      <c r="EI47253"/>
      <c r="EJ47253"/>
      <c r="EK47253"/>
    </row>
    <row r="47254" spans="1:141" s="116" customFormat="1">
      <c r="A47254" s="136"/>
      <c r="CM47254" s="111"/>
      <c r="CQ47254" s="111"/>
      <c r="EF47254"/>
      <c r="EG47254"/>
      <c r="EH47254"/>
      <c r="EI47254"/>
      <c r="EJ47254"/>
      <c r="EK47254"/>
    </row>
    <row r="47255" spans="1:141" s="116" customFormat="1">
      <c r="A47255" s="136"/>
      <c r="CM47255" s="111"/>
      <c r="CQ47255" s="111"/>
      <c r="EF47255"/>
      <c r="EG47255"/>
      <c r="EH47255"/>
      <c r="EI47255"/>
      <c r="EJ47255"/>
      <c r="EK47255"/>
    </row>
    <row r="47256" spans="1:141" s="116" customFormat="1">
      <c r="A47256" s="136"/>
      <c r="CM47256" s="111"/>
      <c r="CQ47256" s="111"/>
      <c r="EF47256"/>
      <c r="EG47256"/>
      <c r="EH47256"/>
      <c r="EI47256"/>
      <c r="EJ47256"/>
      <c r="EK47256"/>
    </row>
    <row r="47257" spans="1:141" s="116" customFormat="1">
      <c r="A47257" s="136"/>
      <c r="CM47257" s="111"/>
      <c r="CQ47257" s="111"/>
      <c r="EF47257"/>
      <c r="EG47257"/>
      <c r="EH47257"/>
      <c r="EI47257"/>
      <c r="EJ47257"/>
      <c r="EK47257"/>
    </row>
    <row r="47258" spans="1:141" s="116" customFormat="1">
      <c r="A47258" s="136"/>
      <c r="CM47258" s="111"/>
      <c r="CQ47258" s="111"/>
      <c r="EF47258"/>
      <c r="EG47258"/>
      <c r="EH47258"/>
      <c r="EI47258"/>
      <c r="EJ47258"/>
      <c r="EK47258"/>
    </row>
    <row r="47259" spans="1:141" s="116" customFormat="1">
      <c r="A47259" s="136"/>
      <c r="CM47259" s="111"/>
      <c r="CQ47259" s="111"/>
      <c r="EF47259"/>
      <c r="EG47259"/>
      <c r="EH47259"/>
      <c r="EI47259"/>
      <c r="EJ47259"/>
      <c r="EK47259"/>
    </row>
    <row r="47260" spans="1:141" s="116" customFormat="1">
      <c r="A47260" s="136"/>
      <c r="CM47260" s="111"/>
      <c r="CQ47260" s="111"/>
      <c r="EF47260"/>
      <c r="EG47260"/>
      <c r="EH47260"/>
      <c r="EI47260"/>
      <c r="EJ47260"/>
      <c r="EK47260"/>
    </row>
    <row r="47261" spans="1:141" s="116" customFormat="1">
      <c r="A47261" s="136"/>
      <c r="CM47261" s="111"/>
      <c r="CQ47261" s="111"/>
      <c r="EF47261"/>
      <c r="EG47261"/>
      <c r="EH47261"/>
      <c r="EI47261"/>
      <c r="EJ47261"/>
      <c r="EK47261"/>
    </row>
    <row r="47262" spans="1:141" s="116" customFormat="1">
      <c r="A47262" s="136"/>
      <c r="CM47262" s="111"/>
      <c r="CQ47262" s="111"/>
      <c r="EF47262"/>
      <c r="EG47262"/>
      <c r="EH47262"/>
      <c r="EI47262"/>
      <c r="EJ47262"/>
      <c r="EK47262"/>
    </row>
    <row r="47263" spans="1:141" s="116" customFormat="1">
      <c r="A47263" s="136"/>
      <c r="CM47263" s="111"/>
      <c r="CQ47263" s="111"/>
      <c r="EF47263"/>
      <c r="EG47263"/>
      <c r="EH47263"/>
      <c r="EI47263"/>
      <c r="EJ47263"/>
      <c r="EK47263"/>
    </row>
    <row r="47264" spans="1:141" s="116" customFormat="1">
      <c r="A47264" s="136"/>
      <c r="CM47264" s="111"/>
      <c r="CQ47264" s="111"/>
      <c r="EF47264"/>
      <c r="EG47264"/>
      <c r="EH47264"/>
      <c r="EI47264"/>
      <c r="EJ47264"/>
      <c r="EK47264"/>
    </row>
    <row r="47265" spans="1:141" s="116" customFormat="1">
      <c r="A47265" s="136"/>
      <c r="CM47265" s="111"/>
      <c r="CQ47265" s="111"/>
      <c r="EF47265"/>
      <c r="EG47265"/>
      <c r="EH47265"/>
      <c r="EI47265"/>
      <c r="EJ47265"/>
      <c r="EK47265"/>
    </row>
    <row r="47266" spans="1:141" s="116" customFormat="1">
      <c r="A47266" s="136"/>
      <c r="CM47266" s="111"/>
      <c r="CQ47266" s="111"/>
      <c r="EF47266"/>
      <c r="EG47266"/>
      <c r="EH47266"/>
      <c r="EI47266"/>
      <c r="EJ47266"/>
      <c r="EK47266"/>
    </row>
    <row r="47267" spans="1:141" s="116" customFormat="1">
      <c r="A47267" s="136"/>
      <c r="CM47267" s="111"/>
      <c r="CQ47267" s="111"/>
      <c r="EF47267"/>
      <c r="EG47267"/>
      <c r="EH47267"/>
      <c r="EI47267"/>
      <c r="EJ47267"/>
      <c r="EK47267"/>
    </row>
    <row r="47268" spans="1:141" s="116" customFormat="1">
      <c r="A47268" s="136"/>
      <c r="CM47268" s="111"/>
      <c r="CQ47268" s="111"/>
      <c r="EF47268"/>
      <c r="EG47268"/>
      <c r="EH47268"/>
      <c r="EI47268"/>
      <c r="EJ47268"/>
      <c r="EK47268"/>
    </row>
    <row r="47269" spans="1:141" s="116" customFormat="1">
      <c r="A47269" s="136"/>
      <c r="CM47269" s="111"/>
      <c r="CQ47269" s="111"/>
      <c r="EF47269"/>
      <c r="EG47269"/>
      <c r="EH47269"/>
      <c r="EI47269"/>
      <c r="EJ47269"/>
      <c r="EK47269"/>
    </row>
    <row r="47270" spans="1:141" s="116" customFormat="1">
      <c r="A47270" s="136"/>
      <c r="CM47270" s="111"/>
      <c r="CQ47270" s="111"/>
      <c r="EF47270"/>
      <c r="EG47270"/>
      <c r="EH47270"/>
      <c r="EI47270"/>
      <c r="EJ47270"/>
      <c r="EK47270"/>
    </row>
    <row r="47271" spans="1:141" s="116" customFormat="1">
      <c r="A47271" s="136"/>
      <c r="CM47271" s="111"/>
      <c r="CQ47271" s="111"/>
      <c r="EF47271"/>
      <c r="EG47271"/>
      <c r="EH47271"/>
      <c r="EI47271"/>
      <c r="EJ47271"/>
      <c r="EK47271"/>
    </row>
    <row r="47272" spans="1:141" s="116" customFormat="1">
      <c r="A47272" s="136"/>
      <c r="CM47272" s="111"/>
      <c r="CQ47272" s="111"/>
      <c r="EF47272"/>
      <c r="EG47272"/>
      <c r="EH47272"/>
      <c r="EI47272"/>
      <c r="EJ47272"/>
      <c r="EK47272"/>
    </row>
    <row r="47273" spans="1:141" s="116" customFormat="1">
      <c r="A47273" s="136"/>
      <c r="CM47273" s="111"/>
      <c r="CQ47273" s="111"/>
      <c r="EF47273"/>
      <c r="EG47273"/>
      <c r="EH47273"/>
      <c r="EI47273"/>
      <c r="EJ47273"/>
      <c r="EK47273"/>
    </row>
    <row r="47274" spans="1:141" s="116" customFormat="1">
      <c r="A47274" s="136"/>
      <c r="CM47274" s="111"/>
      <c r="CQ47274" s="111"/>
      <c r="EF47274"/>
      <c r="EG47274"/>
      <c r="EH47274"/>
      <c r="EI47274"/>
      <c r="EJ47274"/>
      <c r="EK47274"/>
    </row>
    <row r="47275" spans="1:141" s="116" customFormat="1">
      <c r="A47275" s="136"/>
      <c r="CM47275" s="111"/>
      <c r="CQ47275" s="111"/>
      <c r="EF47275"/>
      <c r="EG47275"/>
      <c r="EH47275"/>
      <c r="EI47275"/>
      <c r="EJ47275"/>
      <c r="EK47275"/>
    </row>
    <row r="47276" spans="1:141" s="116" customFormat="1">
      <c r="A47276" s="136"/>
      <c r="CM47276" s="111"/>
      <c r="CQ47276" s="111"/>
      <c r="EF47276"/>
      <c r="EG47276"/>
      <c r="EH47276"/>
      <c r="EI47276"/>
      <c r="EJ47276"/>
      <c r="EK47276"/>
    </row>
    <row r="47277" spans="1:141" s="116" customFormat="1">
      <c r="A47277" s="136"/>
      <c r="CM47277" s="111"/>
      <c r="CQ47277" s="111"/>
      <c r="EF47277"/>
      <c r="EG47277"/>
      <c r="EH47277"/>
      <c r="EI47277"/>
      <c r="EJ47277"/>
      <c r="EK47277"/>
    </row>
    <row r="47278" spans="1:141" s="116" customFormat="1">
      <c r="A47278" s="136"/>
      <c r="CM47278" s="111"/>
      <c r="CQ47278" s="111"/>
      <c r="EF47278"/>
      <c r="EG47278"/>
      <c r="EH47278"/>
      <c r="EI47278"/>
      <c r="EJ47278"/>
      <c r="EK47278"/>
    </row>
    <row r="47279" spans="1:141" s="116" customFormat="1">
      <c r="A47279" s="136"/>
      <c r="CM47279" s="111"/>
      <c r="CQ47279" s="111"/>
      <c r="EF47279"/>
      <c r="EG47279"/>
      <c r="EH47279"/>
      <c r="EI47279"/>
      <c r="EJ47279"/>
      <c r="EK47279"/>
    </row>
    <row r="47280" spans="1:141" s="116" customFormat="1">
      <c r="A47280" s="136"/>
      <c r="CM47280" s="111"/>
      <c r="CQ47280" s="111"/>
      <c r="EF47280"/>
      <c r="EG47280"/>
      <c r="EH47280"/>
      <c r="EI47280"/>
      <c r="EJ47280"/>
      <c r="EK47280"/>
    </row>
    <row r="47281" spans="1:141" s="116" customFormat="1">
      <c r="A47281" s="136"/>
      <c r="CM47281" s="111"/>
      <c r="CQ47281" s="111"/>
      <c r="EF47281"/>
      <c r="EG47281"/>
      <c r="EH47281"/>
      <c r="EI47281"/>
      <c r="EJ47281"/>
      <c r="EK47281"/>
    </row>
    <row r="47282" spans="1:141" s="116" customFormat="1">
      <c r="A47282" s="136"/>
      <c r="CM47282" s="111"/>
      <c r="CQ47282" s="111"/>
      <c r="EF47282"/>
      <c r="EG47282"/>
      <c r="EH47282"/>
      <c r="EI47282"/>
      <c r="EJ47282"/>
      <c r="EK47282"/>
    </row>
    <row r="47283" spans="1:141" s="116" customFormat="1">
      <c r="A47283" s="136"/>
      <c r="CM47283" s="111"/>
      <c r="CQ47283" s="111"/>
      <c r="EF47283"/>
      <c r="EG47283"/>
      <c r="EH47283"/>
      <c r="EI47283"/>
      <c r="EJ47283"/>
      <c r="EK47283"/>
    </row>
    <row r="47284" spans="1:141" s="116" customFormat="1">
      <c r="A47284" s="136"/>
      <c r="CM47284" s="111"/>
      <c r="CQ47284" s="111"/>
      <c r="EF47284"/>
      <c r="EG47284"/>
      <c r="EH47284"/>
      <c r="EI47284"/>
      <c r="EJ47284"/>
      <c r="EK47284"/>
    </row>
    <row r="47285" spans="1:141" s="116" customFormat="1">
      <c r="A47285" s="136"/>
      <c r="CM47285" s="111"/>
      <c r="CQ47285" s="111"/>
      <c r="EF47285"/>
      <c r="EG47285"/>
      <c r="EH47285"/>
      <c r="EI47285"/>
      <c r="EJ47285"/>
      <c r="EK47285"/>
    </row>
    <row r="47286" spans="1:141" s="116" customFormat="1">
      <c r="A47286" s="136"/>
      <c r="CM47286" s="111"/>
      <c r="CQ47286" s="111"/>
      <c r="EF47286"/>
      <c r="EG47286"/>
      <c r="EH47286"/>
      <c r="EI47286"/>
      <c r="EJ47286"/>
      <c r="EK47286"/>
    </row>
    <row r="47287" spans="1:141" s="116" customFormat="1">
      <c r="A47287" s="136"/>
      <c r="CM47287" s="111"/>
      <c r="CQ47287" s="111"/>
      <c r="EF47287"/>
      <c r="EG47287"/>
      <c r="EH47287"/>
      <c r="EI47287"/>
      <c r="EJ47287"/>
      <c r="EK47287"/>
    </row>
    <row r="47288" spans="1:141" s="116" customFormat="1">
      <c r="A47288" s="136"/>
      <c r="CM47288" s="111"/>
      <c r="CQ47288" s="111"/>
      <c r="EF47288"/>
      <c r="EG47288"/>
      <c r="EH47288"/>
      <c r="EI47288"/>
      <c r="EJ47288"/>
      <c r="EK47288"/>
    </row>
    <row r="47289" spans="1:141" s="116" customFormat="1">
      <c r="A47289" s="136"/>
      <c r="CM47289" s="111"/>
      <c r="CQ47289" s="111"/>
      <c r="EF47289"/>
      <c r="EG47289"/>
      <c r="EH47289"/>
      <c r="EI47289"/>
      <c r="EJ47289"/>
      <c r="EK47289"/>
    </row>
    <row r="47290" spans="1:141" s="116" customFormat="1">
      <c r="A47290" s="136"/>
      <c r="CM47290" s="111"/>
      <c r="CQ47290" s="111"/>
      <c r="EF47290"/>
      <c r="EG47290"/>
      <c r="EH47290"/>
      <c r="EI47290"/>
      <c r="EJ47290"/>
      <c r="EK47290"/>
    </row>
    <row r="47291" spans="1:141" s="116" customFormat="1">
      <c r="A47291" s="136"/>
      <c r="CM47291" s="111"/>
      <c r="CQ47291" s="111"/>
      <c r="EF47291"/>
      <c r="EG47291"/>
      <c r="EH47291"/>
      <c r="EI47291"/>
      <c r="EJ47291"/>
      <c r="EK47291"/>
    </row>
    <row r="47292" spans="1:141" s="116" customFormat="1">
      <c r="A47292" s="136"/>
      <c r="CM47292" s="111"/>
      <c r="CQ47292" s="111"/>
      <c r="EF47292"/>
      <c r="EG47292"/>
      <c r="EH47292"/>
      <c r="EI47292"/>
      <c r="EJ47292"/>
      <c r="EK47292"/>
    </row>
    <row r="47293" spans="1:141" s="116" customFormat="1">
      <c r="A47293" s="136"/>
      <c r="CM47293" s="111"/>
      <c r="CQ47293" s="111"/>
      <c r="EF47293"/>
      <c r="EG47293"/>
      <c r="EH47293"/>
      <c r="EI47293"/>
      <c r="EJ47293"/>
      <c r="EK47293"/>
    </row>
    <row r="47294" spans="1:141" s="116" customFormat="1">
      <c r="A47294" s="136"/>
      <c r="CM47294" s="111"/>
      <c r="CQ47294" s="111"/>
      <c r="EF47294"/>
      <c r="EG47294"/>
      <c r="EH47294"/>
      <c r="EI47294"/>
      <c r="EJ47294"/>
      <c r="EK47294"/>
    </row>
    <row r="47295" spans="1:141" s="116" customFormat="1">
      <c r="A47295" s="136"/>
      <c r="CM47295" s="111"/>
      <c r="CQ47295" s="111"/>
      <c r="EF47295"/>
      <c r="EG47295"/>
      <c r="EH47295"/>
      <c r="EI47295"/>
      <c r="EJ47295"/>
      <c r="EK47295"/>
    </row>
    <row r="47296" spans="1:141" s="116" customFormat="1">
      <c r="A47296" s="136"/>
      <c r="CM47296" s="111"/>
      <c r="CQ47296" s="111"/>
      <c r="EF47296"/>
      <c r="EG47296"/>
      <c r="EH47296"/>
      <c r="EI47296"/>
      <c r="EJ47296"/>
      <c r="EK47296"/>
    </row>
    <row r="47297" spans="1:141" s="116" customFormat="1">
      <c r="A47297" s="136"/>
      <c r="CM47297" s="111"/>
      <c r="CQ47297" s="111"/>
      <c r="EF47297"/>
      <c r="EG47297"/>
      <c r="EH47297"/>
      <c r="EI47297"/>
      <c r="EJ47297"/>
      <c r="EK47297"/>
    </row>
    <row r="47298" spans="1:141" s="116" customFormat="1">
      <c r="A47298" s="136"/>
      <c r="CM47298" s="111"/>
      <c r="CQ47298" s="111"/>
      <c r="EF47298"/>
      <c r="EG47298"/>
      <c r="EH47298"/>
      <c r="EI47298"/>
      <c r="EJ47298"/>
      <c r="EK47298"/>
    </row>
    <row r="47299" spans="1:141" s="116" customFormat="1">
      <c r="A47299" s="136"/>
      <c r="CM47299" s="111"/>
      <c r="CQ47299" s="111"/>
      <c r="EF47299"/>
      <c r="EG47299"/>
      <c r="EH47299"/>
      <c r="EI47299"/>
      <c r="EJ47299"/>
      <c r="EK47299"/>
    </row>
    <row r="47300" spans="1:141" s="116" customFormat="1">
      <c r="A47300" s="136"/>
      <c r="CM47300" s="111"/>
      <c r="CQ47300" s="111"/>
      <c r="EF47300"/>
      <c r="EG47300"/>
      <c r="EH47300"/>
      <c r="EI47300"/>
      <c r="EJ47300"/>
      <c r="EK47300"/>
    </row>
    <row r="47301" spans="1:141" s="116" customFormat="1">
      <c r="A47301" s="136"/>
      <c r="CM47301" s="111"/>
      <c r="CQ47301" s="111"/>
      <c r="EF47301"/>
      <c r="EG47301"/>
      <c r="EH47301"/>
      <c r="EI47301"/>
      <c r="EJ47301"/>
      <c r="EK47301"/>
    </row>
    <row r="47302" spans="1:141" s="116" customFormat="1">
      <c r="A47302" s="136"/>
      <c r="CM47302" s="111"/>
      <c r="CQ47302" s="111"/>
      <c r="EF47302"/>
      <c r="EG47302"/>
      <c r="EH47302"/>
      <c r="EI47302"/>
      <c r="EJ47302"/>
      <c r="EK47302"/>
    </row>
    <row r="47303" spans="1:141" s="116" customFormat="1">
      <c r="A47303" s="136"/>
      <c r="CM47303" s="111"/>
      <c r="CQ47303" s="111"/>
      <c r="EF47303"/>
      <c r="EG47303"/>
      <c r="EH47303"/>
      <c r="EI47303"/>
      <c r="EJ47303"/>
      <c r="EK47303"/>
    </row>
    <row r="47304" spans="1:141" s="116" customFormat="1">
      <c r="A47304" s="136"/>
      <c r="CM47304" s="111"/>
      <c r="CQ47304" s="111"/>
      <c r="EF47304"/>
      <c r="EG47304"/>
      <c r="EH47304"/>
      <c r="EI47304"/>
      <c r="EJ47304"/>
      <c r="EK47304"/>
    </row>
    <row r="47305" spans="1:141" s="116" customFormat="1">
      <c r="A47305" s="136"/>
      <c r="CM47305" s="111"/>
      <c r="CQ47305" s="111"/>
      <c r="EF47305"/>
      <c r="EG47305"/>
      <c r="EH47305"/>
      <c r="EI47305"/>
      <c r="EJ47305"/>
      <c r="EK47305"/>
    </row>
    <row r="47306" spans="1:141" s="116" customFormat="1">
      <c r="A47306" s="136"/>
      <c r="CM47306" s="111"/>
      <c r="CQ47306" s="111"/>
      <c r="EF47306"/>
      <c r="EG47306"/>
      <c r="EH47306"/>
      <c r="EI47306"/>
      <c r="EJ47306"/>
      <c r="EK47306"/>
    </row>
    <row r="47307" spans="1:141" s="116" customFormat="1">
      <c r="A47307" s="136"/>
      <c r="CM47307" s="111"/>
      <c r="CQ47307" s="111"/>
      <c r="EF47307"/>
      <c r="EG47307"/>
      <c r="EH47307"/>
      <c r="EI47307"/>
      <c r="EJ47307"/>
      <c r="EK47307"/>
    </row>
    <row r="47308" spans="1:141" s="116" customFormat="1">
      <c r="A47308" s="136"/>
      <c r="CM47308" s="111"/>
      <c r="CQ47308" s="111"/>
      <c r="EF47308"/>
      <c r="EG47308"/>
      <c r="EH47308"/>
      <c r="EI47308"/>
      <c r="EJ47308"/>
      <c r="EK47308"/>
    </row>
    <row r="47309" spans="1:141" s="116" customFormat="1">
      <c r="A47309" s="136"/>
      <c r="CM47309" s="111"/>
      <c r="CQ47309" s="111"/>
      <c r="EF47309"/>
      <c r="EG47309"/>
      <c r="EH47309"/>
      <c r="EI47309"/>
      <c r="EJ47309"/>
      <c r="EK47309"/>
    </row>
    <row r="47310" spans="1:141" s="116" customFormat="1">
      <c r="A47310" s="136"/>
      <c r="CM47310" s="111"/>
      <c r="CQ47310" s="111"/>
      <c r="EF47310"/>
      <c r="EG47310"/>
      <c r="EH47310"/>
      <c r="EI47310"/>
      <c r="EJ47310"/>
      <c r="EK47310"/>
    </row>
    <row r="47311" spans="1:141" s="116" customFormat="1">
      <c r="A47311" s="136"/>
      <c r="CM47311" s="111"/>
      <c r="CQ47311" s="111"/>
      <c r="EF47311"/>
      <c r="EG47311"/>
      <c r="EH47311"/>
      <c r="EI47311"/>
      <c r="EJ47311"/>
      <c r="EK47311"/>
    </row>
    <row r="47312" spans="1:141" s="116" customFormat="1">
      <c r="A47312" s="136"/>
      <c r="CM47312" s="111"/>
      <c r="CQ47312" s="111"/>
      <c r="EF47312"/>
      <c r="EG47312"/>
      <c r="EH47312"/>
      <c r="EI47312"/>
      <c r="EJ47312"/>
      <c r="EK47312"/>
    </row>
    <row r="47313" spans="1:141" s="116" customFormat="1">
      <c r="A47313" s="136"/>
      <c r="CM47313" s="111"/>
      <c r="CQ47313" s="111"/>
      <c r="EF47313"/>
      <c r="EG47313"/>
      <c r="EH47313"/>
      <c r="EI47313"/>
      <c r="EJ47313"/>
      <c r="EK47313"/>
    </row>
    <row r="47314" spans="1:141" s="116" customFormat="1">
      <c r="A47314" s="136"/>
      <c r="CM47314" s="111"/>
      <c r="CQ47314" s="111"/>
      <c r="EF47314"/>
      <c r="EG47314"/>
      <c r="EH47314"/>
      <c r="EI47314"/>
      <c r="EJ47314"/>
      <c r="EK47314"/>
    </row>
    <row r="47315" spans="1:141" s="116" customFormat="1">
      <c r="A47315" s="136"/>
      <c r="CM47315" s="111"/>
      <c r="CQ47315" s="111"/>
      <c r="EF47315"/>
      <c r="EG47315"/>
      <c r="EH47315"/>
      <c r="EI47315"/>
      <c r="EJ47315"/>
      <c r="EK47315"/>
    </row>
    <row r="47316" spans="1:141" s="116" customFormat="1">
      <c r="A47316" s="136"/>
      <c r="CM47316" s="111"/>
      <c r="CQ47316" s="111"/>
      <c r="EF47316"/>
      <c r="EG47316"/>
      <c r="EH47316"/>
      <c r="EI47316"/>
      <c r="EJ47316"/>
      <c r="EK47316"/>
    </row>
    <row r="47317" spans="1:141" s="116" customFormat="1">
      <c r="A47317" s="136"/>
      <c r="CM47317" s="111"/>
      <c r="CQ47317" s="111"/>
      <c r="EF47317"/>
      <c r="EG47317"/>
      <c r="EH47317"/>
      <c r="EI47317"/>
      <c r="EJ47317"/>
      <c r="EK47317"/>
    </row>
    <row r="47318" spans="1:141" s="116" customFormat="1">
      <c r="A47318" s="136"/>
      <c r="CM47318" s="111"/>
      <c r="CQ47318" s="111"/>
      <c r="EF47318"/>
      <c r="EG47318"/>
      <c r="EH47318"/>
      <c r="EI47318"/>
      <c r="EJ47318"/>
      <c r="EK47318"/>
    </row>
    <row r="47319" spans="1:141" s="116" customFormat="1">
      <c r="A47319" s="136"/>
      <c r="CM47319" s="111"/>
      <c r="CQ47319" s="111"/>
      <c r="EF47319"/>
      <c r="EG47319"/>
      <c r="EH47319"/>
      <c r="EI47319"/>
      <c r="EJ47319"/>
      <c r="EK47319"/>
    </row>
    <row r="47320" spans="1:141" s="116" customFormat="1">
      <c r="A47320" s="136"/>
      <c r="CM47320" s="111"/>
      <c r="CQ47320" s="111"/>
      <c r="EF47320"/>
      <c r="EG47320"/>
      <c r="EH47320"/>
      <c r="EI47320"/>
      <c r="EJ47320"/>
      <c r="EK47320"/>
    </row>
    <row r="47321" spans="1:141" s="116" customFormat="1">
      <c r="A47321" s="136"/>
      <c r="CM47321" s="111"/>
      <c r="CQ47321" s="111"/>
      <c r="EF47321"/>
      <c r="EG47321"/>
      <c r="EH47321"/>
      <c r="EI47321"/>
      <c r="EJ47321"/>
      <c r="EK47321"/>
    </row>
    <row r="47322" spans="1:141" s="116" customFormat="1">
      <c r="A47322" s="136"/>
      <c r="CM47322" s="111"/>
      <c r="CQ47322" s="111"/>
      <c r="EF47322"/>
      <c r="EG47322"/>
      <c r="EH47322"/>
      <c r="EI47322"/>
      <c r="EJ47322"/>
      <c r="EK47322"/>
    </row>
    <row r="47323" spans="1:141" s="116" customFormat="1">
      <c r="A47323" s="136"/>
      <c r="CM47323" s="111"/>
      <c r="CQ47323" s="111"/>
      <c r="EF47323"/>
      <c r="EG47323"/>
      <c r="EH47323"/>
      <c r="EI47323"/>
      <c r="EJ47323"/>
      <c r="EK47323"/>
    </row>
    <row r="47324" spans="1:141" s="116" customFormat="1">
      <c r="A47324" s="136"/>
      <c r="CM47324" s="111"/>
      <c r="CQ47324" s="111"/>
      <c r="EF47324"/>
      <c r="EG47324"/>
      <c r="EH47324"/>
      <c r="EI47324"/>
      <c r="EJ47324"/>
      <c r="EK47324"/>
    </row>
    <row r="47325" spans="1:141" s="116" customFormat="1">
      <c r="A47325" s="136"/>
      <c r="CM47325" s="111"/>
      <c r="CQ47325" s="111"/>
      <c r="EF47325"/>
      <c r="EG47325"/>
      <c r="EH47325"/>
      <c r="EI47325"/>
      <c r="EJ47325"/>
      <c r="EK47325"/>
    </row>
    <row r="47326" spans="1:141" s="116" customFormat="1">
      <c r="A47326" s="136"/>
      <c r="CM47326" s="111"/>
      <c r="CQ47326" s="111"/>
      <c r="EF47326"/>
      <c r="EG47326"/>
      <c r="EH47326"/>
      <c r="EI47326"/>
      <c r="EJ47326"/>
      <c r="EK47326"/>
    </row>
    <row r="47327" spans="1:141" s="116" customFormat="1">
      <c r="A47327" s="136"/>
      <c r="CM47327" s="111"/>
      <c r="CQ47327" s="111"/>
      <c r="EF47327"/>
      <c r="EG47327"/>
      <c r="EH47327"/>
      <c r="EI47327"/>
      <c r="EJ47327"/>
      <c r="EK47327"/>
    </row>
    <row r="47328" spans="1:141" s="116" customFormat="1">
      <c r="A47328" s="136"/>
      <c r="CM47328" s="111"/>
      <c r="CQ47328" s="111"/>
      <c r="EF47328"/>
      <c r="EG47328"/>
      <c r="EH47328"/>
      <c r="EI47328"/>
      <c r="EJ47328"/>
      <c r="EK47328"/>
    </row>
    <row r="47329" spans="1:141" s="116" customFormat="1">
      <c r="A47329" s="136"/>
      <c r="CM47329" s="111"/>
      <c r="CQ47329" s="111"/>
      <c r="EF47329"/>
      <c r="EG47329"/>
      <c r="EH47329"/>
      <c r="EI47329"/>
      <c r="EJ47329"/>
      <c r="EK47329"/>
    </row>
    <row r="47330" spans="1:141" s="116" customFormat="1">
      <c r="A47330" s="136"/>
      <c r="CM47330" s="111"/>
      <c r="CQ47330" s="111"/>
      <c r="EF47330"/>
      <c r="EG47330"/>
      <c r="EH47330"/>
      <c r="EI47330"/>
      <c r="EJ47330"/>
      <c r="EK47330"/>
    </row>
    <row r="47331" spans="1:141" s="116" customFormat="1">
      <c r="A47331" s="136"/>
      <c r="CM47331" s="111"/>
      <c r="CQ47331" s="111"/>
      <c r="EF47331"/>
      <c r="EG47331"/>
      <c r="EH47331"/>
      <c r="EI47331"/>
      <c r="EJ47331"/>
      <c r="EK47331"/>
    </row>
    <row r="47332" spans="1:141" s="116" customFormat="1">
      <c r="A47332" s="136"/>
      <c r="CM47332" s="111"/>
      <c r="CQ47332" s="111"/>
      <c r="EF47332"/>
      <c r="EG47332"/>
      <c r="EH47332"/>
      <c r="EI47332"/>
      <c r="EJ47332"/>
      <c r="EK47332"/>
    </row>
    <row r="47333" spans="1:141" s="116" customFormat="1">
      <c r="A47333" s="136"/>
      <c r="CM47333" s="111"/>
      <c r="CQ47333" s="111"/>
      <c r="EF47333"/>
      <c r="EG47333"/>
      <c r="EH47333"/>
      <c r="EI47333"/>
      <c r="EJ47333"/>
      <c r="EK47333"/>
    </row>
    <row r="47334" spans="1:141" s="116" customFormat="1">
      <c r="A47334" s="136"/>
      <c r="CM47334" s="111"/>
      <c r="CQ47334" s="111"/>
      <c r="EF47334"/>
      <c r="EG47334"/>
      <c r="EH47334"/>
      <c r="EI47334"/>
      <c r="EJ47334"/>
      <c r="EK47334"/>
    </row>
    <row r="47335" spans="1:141" s="116" customFormat="1">
      <c r="A47335" s="136"/>
      <c r="CM47335" s="111"/>
      <c r="CQ47335" s="111"/>
      <c r="EF47335"/>
      <c r="EG47335"/>
      <c r="EH47335"/>
      <c r="EI47335"/>
      <c r="EJ47335"/>
      <c r="EK47335"/>
    </row>
    <row r="47336" spans="1:141" s="116" customFormat="1">
      <c r="A47336" s="136"/>
      <c r="CM47336" s="111"/>
      <c r="CQ47336" s="111"/>
      <c r="EF47336"/>
      <c r="EG47336"/>
      <c r="EH47336"/>
      <c r="EI47336"/>
      <c r="EJ47336"/>
      <c r="EK47336"/>
    </row>
    <row r="47337" spans="1:141" s="116" customFormat="1">
      <c r="A47337" s="136"/>
      <c r="CM47337" s="111"/>
      <c r="CQ47337" s="111"/>
      <c r="EF47337"/>
      <c r="EG47337"/>
      <c r="EH47337"/>
      <c r="EI47337"/>
      <c r="EJ47337"/>
      <c r="EK47337"/>
    </row>
    <row r="47338" spans="1:141" s="116" customFormat="1">
      <c r="A47338" s="136"/>
      <c r="CM47338" s="111"/>
      <c r="CQ47338" s="111"/>
      <c r="EF47338"/>
      <c r="EG47338"/>
      <c r="EH47338"/>
      <c r="EI47338"/>
      <c r="EJ47338"/>
      <c r="EK47338"/>
    </row>
    <row r="47339" spans="1:141" s="116" customFormat="1">
      <c r="A47339" s="136"/>
      <c r="CM47339" s="111"/>
      <c r="CQ47339" s="111"/>
      <c r="EF47339"/>
      <c r="EG47339"/>
      <c r="EH47339"/>
      <c r="EI47339"/>
      <c r="EJ47339"/>
      <c r="EK47339"/>
    </row>
    <row r="47340" spans="1:141" s="116" customFormat="1">
      <c r="A47340" s="136"/>
      <c r="CM47340" s="111"/>
      <c r="CQ47340" s="111"/>
      <c r="EF47340"/>
      <c r="EG47340"/>
      <c r="EH47340"/>
      <c r="EI47340"/>
      <c r="EJ47340"/>
      <c r="EK47340"/>
    </row>
    <row r="47341" spans="1:141" s="116" customFormat="1">
      <c r="A47341" s="136"/>
      <c r="CM47341" s="111"/>
      <c r="CQ47341" s="111"/>
      <c r="EF47341"/>
      <c r="EG47341"/>
      <c r="EH47341"/>
      <c r="EI47341"/>
      <c r="EJ47341"/>
      <c r="EK47341"/>
    </row>
    <row r="47342" spans="1:141" s="116" customFormat="1">
      <c r="A47342" s="136"/>
      <c r="CM47342" s="111"/>
      <c r="CQ47342" s="111"/>
      <c r="EF47342"/>
      <c r="EG47342"/>
      <c r="EH47342"/>
      <c r="EI47342"/>
      <c r="EJ47342"/>
      <c r="EK47342"/>
    </row>
    <row r="47343" spans="1:141" s="116" customFormat="1">
      <c r="A47343" s="136"/>
      <c r="CM47343" s="111"/>
      <c r="CQ47343" s="111"/>
      <c r="EF47343"/>
      <c r="EG47343"/>
      <c r="EH47343"/>
      <c r="EI47343"/>
      <c r="EJ47343"/>
      <c r="EK47343"/>
    </row>
    <row r="47344" spans="1:141" s="116" customFormat="1">
      <c r="A47344" s="136"/>
      <c r="CM47344" s="111"/>
      <c r="CQ47344" s="111"/>
      <c r="EF47344"/>
      <c r="EG47344"/>
      <c r="EH47344"/>
      <c r="EI47344"/>
      <c r="EJ47344"/>
      <c r="EK47344"/>
    </row>
    <row r="47345" spans="1:141" s="116" customFormat="1">
      <c r="A47345" s="136"/>
      <c r="CM47345" s="111"/>
      <c r="CQ47345" s="111"/>
      <c r="EF47345"/>
      <c r="EG47345"/>
      <c r="EH47345"/>
      <c r="EI47345"/>
      <c r="EJ47345"/>
      <c r="EK47345"/>
    </row>
    <row r="47346" spans="1:141" s="116" customFormat="1">
      <c r="A47346" s="136"/>
      <c r="CM47346" s="111"/>
      <c r="CQ47346" s="111"/>
      <c r="EF47346"/>
      <c r="EG47346"/>
      <c r="EH47346"/>
      <c r="EI47346"/>
      <c r="EJ47346"/>
      <c r="EK47346"/>
    </row>
    <row r="47347" spans="1:141" s="116" customFormat="1">
      <c r="A47347" s="136"/>
      <c r="CM47347" s="111"/>
      <c r="CQ47347" s="111"/>
      <c r="EF47347"/>
      <c r="EG47347"/>
      <c r="EH47347"/>
      <c r="EI47347"/>
      <c r="EJ47347"/>
      <c r="EK47347"/>
    </row>
    <row r="47348" spans="1:141" s="116" customFormat="1">
      <c r="A47348" s="136"/>
      <c r="CM47348" s="111"/>
      <c r="CQ47348" s="111"/>
      <c r="EF47348"/>
      <c r="EG47348"/>
      <c r="EH47348"/>
      <c r="EI47348"/>
      <c r="EJ47348"/>
      <c r="EK47348"/>
    </row>
    <row r="47349" spans="1:141" s="116" customFormat="1">
      <c r="A47349" s="136"/>
      <c r="CM47349" s="111"/>
      <c r="CQ47349" s="111"/>
      <c r="EF47349"/>
      <c r="EG47349"/>
      <c r="EH47349"/>
      <c r="EI47349"/>
      <c r="EJ47349"/>
      <c r="EK47349"/>
    </row>
    <row r="47350" spans="1:141" s="116" customFormat="1">
      <c r="A47350" s="136"/>
      <c r="CM47350" s="111"/>
      <c r="CQ47350" s="111"/>
      <c r="EF47350"/>
      <c r="EG47350"/>
      <c r="EH47350"/>
      <c r="EI47350"/>
      <c r="EJ47350"/>
      <c r="EK47350"/>
    </row>
    <row r="47351" spans="1:141" s="116" customFormat="1">
      <c r="A47351" s="136"/>
      <c r="CM47351" s="111"/>
      <c r="CQ47351" s="111"/>
      <c r="EF47351"/>
      <c r="EG47351"/>
      <c r="EH47351"/>
      <c r="EI47351"/>
      <c r="EJ47351"/>
      <c r="EK47351"/>
    </row>
    <row r="47352" spans="1:141" s="116" customFormat="1">
      <c r="A47352" s="136"/>
      <c r="CM47352" s="111"/>
      <c r="CQ47352" s="111"/>
      <c r="EF47352"/>
      <c r="EG47352"/>
      <c r="EH47352"/>
      <c r="EI47352"/>
      <c r="EJ47352"/>
      <c r="EK47352"/>
    </row>
    <row r="47353" spans="1:141" s="116" customFormat="1">
      <c r="A47353" s="136"/>
      <c r="CM47353" s="111"/>
      <c r="CQ47353" s="111"/>
      <c r="EF47353"/>
      <c r="EG47353"/>
      <c r="EH47353"/>
      <c r="EI47353"/>
      <c r="EJ47353"/>
      <c r="EK47353"/>
    </row>
    <row r="47354" spans="1:141" s="116" customFormat="1">
      <c r="A47354" s="136"/>
      <c r="CM47354" s="111"/>
      <c r="CQ47354" s="111"/>
      <c r="EF47354"/>
      <c r="EG47354"/>
      <c r="EH47354"/>
      <c r="EI47354"/>
      <c r="EJ47354"/>
      <c r="EK47354"/>
    </row>
    <row r="47355" spans="1:141" s="116" customFormat="1">
      <c r="A47355" s="136"/>
      <c r="CM47355" s="111"/>
      <c r="CQ47355" s="111"/>
      <c r="EF47355"/>
      <c r="EG47355"/>
      <c r="EH47355"/>
      <c r="EI47355"/>
      <c r="EJ47355"/>
      <c r="EK47355"/>
    </row>
    <row r="47356" spans="1:141" s="116" customFormat="1">
      <c r="A47356" s="136"/>
      <c r="CM47356" s="111"/>
      <c r="CQ47356" s="111"/>
      <c r="EF47356"/>
      <c r="EG47356"/>
      <c r="EH47356"/>
      <c r="EI47356"/>
      <c r="EJ47356"/>
      <c r="EK47356"/>
    </row>
    <row r="47357" spans="1:141" s="116" customFormat="1">
      <c r="A47357" s="136"/>
      <c r="CM47357" s="111"/>
      <c r="CQ47357" s="111"/>
      <c r="EF47357"/>
      <c r="EG47357"/>
      <c r="EH47357"/>
      <c r="EI47357"/>
      <c r="EJ47357"/>
      <c r="EK47357"/>
    </row>
    <row r="47358" spans="1:141" s="116" customFormat="1">
      <c r="A47358" s="136"/>
      <c r="CM47358" s="111"/>
      <c r="CQ47358" s="111"/>
      <c r="EF47358"/>
      <c r="EG47358"/>
      <c r="EH47358"/>
      <c r="EI47358"/>
      <c r="EJ47358"/>
      <c r="EK47358"/>
    </row>
    <row r="47359" spans="1:141" s="116" customFormat="1">
      <c r="A47359" s="136"/>
      <c r="CM47359" s="111"/>
      <c r="CQ47359" s="111"/>
      <c r="EF47359"/>
      <c r="EG47359"/>
      <c r="EH47359"/>
      <c r="EI47359"/>
      <c r="EJ47359"/>
      <c r="EK47359"/>
    </row>
    <row r="47360" spans="1:141" s="116" customFormat="1">
      <c r="A47360" s="136"/>
      <c r="CM47360" s="111"/>
      <c r="CQ47360" s="111"/>
      <c r="EF47360"/>
      <c r="EG47360"/>
      <c r="EH47360"/>
      <c r="EI47360"/>
      <c r="EJ47360"/>
      <c r="EK47360"/>
    </row>
    <row r="47361" spans="1:141" s="116" customFormat="1">
      <c r="A47361" s="136"/>
      <c r="CM47361" s="111"/>
      <c r="CQ47361" s="111"/>
      <c r="EF47361"/>
      <c r="EG47361"/>
      <c r="EH47361"/>
      <c r="EI47361"/>
      <c r="EJ47361"/>
      <c r="EK47361"/>
    </row>
    <row r="47362" spans="1:141" s="116" customFormat="1">
      <c r="A47362" s="136"/>
      <c r="CM47362" s="111"/>
      <c r="CQ47362" s="111"/>
      <c r="EF47362"/>
      <c r="EG47362"/>
      <c r="EH47362"/>
      <c r="EI47362"/>
      <c r="EJ47362"/>
      <c r="EK47362"/>
    </row>
    <row r="47363" spans="1:141" s="116" customFormat="1">
      <c r="A47363" s="136"/>
      <c r="CM47363" s="111"/>
      <c r="CQ47363" s="111"/>
      <c r="EF47363"/>
      <c r="EG47363"/>
      <c r="EH47363"/>
      <c r="EI47363"/>
      <c r="EJ47363"/>
      <c r="EK47363"/>
    </row>
    <row r="47364" spans="1:141" s="116" customFormat="1">
      <c r="A47364" s="136"/>
      <c r="CM47364" s="111"/>
      <c r="CQ47364" s="111"/>
      <c r="EF47364"/>
      <c r="EG47364"/>
      <c r="EH47364"/>
      <c r="EI47364"/>
      <c r="EJ47364"/>
      <c r="EK47364"/>
    </row>
    <row r="47365" spans="1:141" s="116" customFormat="1">
      <c r="A47365" s="136"/>
      <c r="CM47365" s="111"/>
      <c r="CQ47365" s="111"/>
      <c r="EF47365"/>
      <c r="EG47365"/>
      <c r="EH47365"/>
      <c r="EI47365"/>
      <c r="EJ47365"/>
      <c r="EK47365"/>
    </row>
    <row r="47366" spans="1:141" s="116" customFormat="1">
      <c r="A47366" s="136"/>
      <c r="CM47366" s="111"/>
      <c r="CQ47366" s="111"/>
      <c r="EF47366"/>
      <c r="EG47366"/>
      <c r="EH47366"/>
      <c r="EI47366"/>
      <c r="EJ47366"/>
      <c r="EK47366"/>
    </row>
    <row r="47367" spans="1:141" s="116" customFormat="1">
      <c r="A47367" s="136"/>
      <c r="CM47367" s="111"/>
      <c r="CQ47367" s="111"/>
      <c r="EF47367"/>
      <c r="EG47367"/>
      <c r="EH47367"/>
      <c r="EI47367"/>
      <c r="EJ47367"/>
      <c r="EK47367"/>
    </row>
    <row r="47368" spans="1:141" s="116" customFormat="1">
      <c r="A47368" s="136"/>
      <c r="CM47368" s="111"/>
      <c r="CQ47368" s="111"/>
      <c r="EF47368"/>
      <c r="EG47368"/>
      <c r="EH47368"/>
      <c r="EI47368"/>
      <c r="EJ47368"/>
      <c r="EK47368"/>
    </row>
    <row r="47369" spans="1:141" s="116" customFormat="1">
      <c r="A47369" s="136"/>
      <c r="CM47369" s="111"/>
      <c r="CQ47369" s="111"/>
      <c r="EF47369"/>
      <c r="EG47369"/>
      <c r="EH47369"/>
      <c r="EI47369"/>
      <c r="EJ47369"/>
      <c r="EK47369"/>
    </row>
    <row r="47370" spans="1:141" s="116" customFormat="1">
      <c r="A47370" s="136"/>
      <c r="CM47370" s="111"/>
      <c r="CQ47370" s="111"/>
      <c r="EF47370"/>
      <c r="EG47370"/>
      <c r="EH47370"/>
      <c r="EI47370"/>
      <c r="EJ47370"/>
      <c r="EK47370"/>
    </row>
    <row r="47371" spans="1:141" s="116" customFormat="1">
      <c r="A47371" s="136"/>
      <c r="CM47371" s="111"/>
      <c r="CQ47371" s="111"/>
      <c r="EF47371"/>
      <c r="EG47371"/>
      <c r="EH47371"/>
      <c r="EI47371"/>
      <c r="EJ47371"/>
      <c r="EK47371"/>
    </row>
    <row r="47372" spans="1:141" s="116" customFormat="1">
      <c r="A47372" s="136"/>
      <c r="CM47372" s="111"/>
      <c r="CQ47372" s="111"/>
      <c r="EF47372"/>
      <c r="EG47372"/>
      <c r="EH47372"/>
      <c r="EI47372"/>
      <c r="EJ47372"/>
      <c r="EK47372"/>
    </row>
    <row r="47373" spans="1:141" s="116" customFormat="1">
      <c r="A47373" s="136"/>
      <c r="CM47373" s="111"/>
      <c r="CQ47373" s="111"/>
      <c r="EF47373"/>
      <c r="EG47373"/>
      <c r="EH47373"/>
      <c r="EI47373"/>
      <c r="EJ47373"/>
      <c r="EK47373"/>
    </row>
    <row r="47374" spans="1:141" s="116" customFormat="1">
      <c r="A47374" s="136"/>
      <c r="CM47374" s="111"/>
      <c r="CQ47374" s="111"/>
      <c r="EF47374"/>
      <c r="EG47374"/>
      <c r="EH47374"/>
      <c r="EI47374"/>
      <c r="EJ47374"/>
      <c r="EK47374"/>
    </row>
    <row r="47375" spans="1:141" s="116" customFormat="1">
      <c r="A47375" s="136"/>
      <c r="CM47375" s="111"/>
      <c r="CQ47375" s="111"/>
      <c r="EF47375"/>
      <c r="EG47375"/>
      <c r="EH47375"/>
      <c r="EI47375"/>
      <c r="EJ47375"/>
      <c r="EK47375"/>
    </row>
    <row r="47376" spans="1:141" s="116" customFormat="1">
      <c r="A47376" s="136"/>
      <c r="CM47376" s="111"/>
      <c r="CQ47376" s="111"/>
      <c r="EF47376"/>
      <c r="EG47376"/>
      <c r="EH47376"/>
      <c r="EI47376"/>
      <c r="EJ47376"/>
      <c r="EK47376"/>
    </row>
    <row r="47377" spans="1:141" s="116" customFormat="1">
      <c r="A47377" s="136"/>
      <c r="CM47377" s="111"/>
      <c r="CQ47377" s="111"/>
      <c r="EF47377"/>
      <c r="EG47377"/>
      <c r="EH47377"/>
      <c r="EI47377"/>
      <c r="EJ47377"/>
      <c r="EK47377"/>
    </row>
    <row r="47378" spans="1:141" s="116" customFormat="1">
      <c r="A47378" s="136"/>
      <c r="CM47378" s="111"/>
      <c r="CQ47378" s="111"/>
      <c r="EF47378"/>
      <c r="EG47378"/>
      <c r="EH47378"/>
      <c r="EI47378"/>
      <c r="EJ47378"/>
      <c r="EK47378"/>
    </row>
    <row r="47379" spans="1:141" s="116" customFormat="1">
      <c r="A47379" s="136"/>
      <c r="CM47379" s="111"/>
      <c r="CQ47379" s="111"/>
      <c r="EF47379"/>
      <c r="EG47379"/>
      <c r="EH47379"/>
      <c r="EI47379"/>
      <c r="EJ47379"/>
      <c r="EK47379"/>
    </row>
    <row r="47380" spans="1:141" s="116" customFormat="1">
      <c r="A47380" s="136"/>
      <c r="CM47380" s="111"/>
      <c r="CQ47380" s="111"/>
      <c r="EF47380"/>
      <c r="EG47380"/>
      <c r="EH47380"/>
      <c r="EI47380"/>
      <c r="EJ47380"/>
      <c r="EK47380"/>
    </row>
    <row r="47381" spans="1:141" s="116" customFormat="1">
      <c r="A47381" s="136"/>
      <c r="CM47381" s="111"/>
      <c r="CQ47381" s="111"/>
      <c r="EF47381"/>
      <c r="EG47381"/>
      <c r="EH47381"/>
      <c r="EI47381"/>
      <c r="EJ47381"/>
      <c r="EK47381"/>
    </row>
    <row r="47382" spans="1:141" s="116" customFormat="1">
      <c r="A47382" s="136"/>
      <c r="CM47382" s="111"/>
      <c r="CQ47382" s="111"/>
      <c r="EF47382"/>
      <c r="EG47382"/>
      <c r="EH47382"/>
      <c r="EI47382"/>
      <c r="EJ47382"/>
      <c r="EK47382"/>
    </row>
    <row r="47383" spans="1:141" s="116" customFormat="1">
      <c r="A47383" s="136"/>
      <c r="CM47383" s="111"/>
      <c r="CQ47383" s="111"/>
      <c r="EF47383"/>
      <c r="EG47383"/>
      <c r="EH47383"/>
      <c r="EI47383"/>
      <c r="EJ47383"/>
      <c r="EK47383"/>
    </row>
    <row r="47384" spans="1:141" s="116" customFormat="1">
      <c r="A47384" s="136"/>
      <c r="CM47384" s="111"/>
      <c r="CQ47384" s="111"/>
      <c r="EF47384"/>
      <c r="EG47384"/>
      <c r="EH47384"/>
      <c r="EI47384"/>
      <c r="EJ47384"/>
      <c r="EK47384"/>
    </row>
    <row r="47385" spans="1:141" s="116" customFormat="1">
      <c r="A47385" s="136"/>
      <c r="CM47385" s="111"/>
      <c r="CQ47385" s="111"/>
      <c r="EF47385"/>
      <c r="EG47385"/>
      <c r="EH47385"/>
      <c r="EI47385"/>
      <c r="EJ47385"/>
      <c r="EK47385"/>
    </row>
    <row r="47386" spans="1:141" s="116" customFormat="1">
      <c r="A47386" s="136"/>
      <c r="CM47386" s="111"/>
      <c r="CQ47386" s="111"/>
      <c r="EF47386"/>
      <c r="EG47386"/>
      <c r="EH47386"/>
      <c r="EI47386"/>
      <c r="EJ47386"/>
      <c r="EK47386"/>
    </row>
    <row r="47387" spans="1:141" s="116" customFormat="1">
      <c r="A47387" s="136"/>
      <c r="CM47387" s="111"/>
      <c r="CQ47387" s="111"/>
      <c r="EF47387"/>
      <c r="EG47387"/>
      <c r="EH47387"/>
      <c r="EI47387"/>
      <c r="EJ47387"/>
      <c r="EK47387"/>
    </row>
    <row r="47388" spans="1:141" s="116" customFormat="1">
      <c r="A47388" s="136"/>
      <c r="CM47388" s="111"/>
      <c r="CQ47388" s="111"/>
      <c r="EF47388"/>
      <c r="EG47388"/>
      <c r="EH47388"/>
      <c r="EI47388"/>
      <c r="EJ47388"/>
      <c r="EK47388"/>
    </row>
    <row r="47389" spans="1:141" s="116" customFormat="1">
      <c r="A47389" s="136"/>
      <c r="CM47389" s="111"/>
      <c r="CQ47389" s="111"/>
      <c r="EF47389"/>
      <c r="EG47389"/>
      <c r="EH47389"/>
      <c r="EI47389"/>
      <c r="EJ47389"/>
      <c r="EK47389"/>
    </row>
    <row r="47390" spans="1:141" s="116" customFormat="1">
      <c r="A47390" s="136"/>
      <c r="CM47390" s="111"/>
      <c r="CQ47390" s="111"/>
      <c r="EF47390"/>
      <c r="EG47390"/>
      <c r="EH47390"/>
      <c r="EI47390"/>
      <c r="EJ47390"/>
      <c r="EK47390"/>
    </row>
    <row r="47391" spans="1:141" s="116" customFormat="1">
      <c r="A47391" s="136"/>
      <c r="CM47391" s="111"/>
      <c r="CQ47391" s="111"/>
      <c r="EF47391"/>
      <c r="EG47391"/>
      <c r="EH47391"/>
      <c r="EI47391"/>
      <c r="EJ47391"/>
      <c r="EK47391"/>
    </row>
    <row r="47392" spans="1:141" s="116" customFormat="1">
      <c r="A47392" s="136"/>
      <c r="CM47392" s="111"/>
      <c r="CQ47392" s="111"/>
      <c r="EF47392"/>
      <c r="EG47392"/>
      <c r="EH47392"/>
      <c r="EI47392"/>
      <c r="EJ47392"/>
      <c r="EK47392"/>
    </row>
    <row r="47393" spans="1:141" s="116" customFormat="1">
      <c r="A47393" s="136"/>
      <c r="CM47393" s="111"/>
      <c r="CQ47393" s="111"/>
      <c r="EF47393"/>
      <c r="EG47393"/>
      <c r="EH47393"/>
      <c r="EI47393"/>
      <c r="EJ47393"/>
      <c r="EK47393"/>
    </row>
    <row r="47394" spans="1:141" s="116" customFormat="1">
      <c r="A47394" s="136"/>
      <c r="CM47394" s="111"/>
      <c r="CQ47394" s="111"/>
      <c r="EF47394"/>
      <c r="EG47394"/>
      <c r="EH47394"/>
      <c r="EI47394"/>
      <c r="EJ47394"/>
      <c r="EK47394"/>
    </row>
    <row r="47395" spans="1:141" s="116" customFormat="1">
      <c r="A47395" s="136"/>
      <c r="CM47395" s="111"/>
      <c r="CQ47395" s="111"/>
      <c r="EF47395"/>
      <c r="EG47395"/>
      <c r="EH47395"/>
      <c r="EI47395"/>
      <c r="EJ47395"/>
      <c r="EK47395"/>
    </row>
    <row r="47396" spans="1:141" s="116" customFormat="1">
      <c r="A47396" s="136"/>
      <c r="CM47396" s="111"/>
      <c r="CQ47396" s="111"/>
      <c r="EF47396"/>
      <c r="EG47396"/>
      <c r="EH47396"/>
      <c r="EI47396"/>
      <c r="EJ47396"/>
      <c r="EK47396"/>
    </row>
    <row r="47397" spans="1:141" s="116" customFormat="1">
      <c r="A47397" s="136"/>
      <c r="CM47397" s="111"/>
      <c r="CQ47397" s="111"/>
      <c r="EF47397"/>
      <c r="EG47397"/>
      <c r="EH47397"/>
      <c r="EI47397"/>
      <c r="EJ47397"/>
      <c r="EK47397"/>
    </row>
    <row r="47398" spans="1:141" s="116" customFormat="1">
      <c r="A47398" s="136"/>
      <c r="CM47398" s="111"/>
      <c r="CQ47398" s="111"/>
      <c r="EF47398"/>
      <c r="EG47398"/>
      <c r="EH47398"/>
      <c r="EI47398"/>
      <c r="EJ47398"/>
      <c r="EK47398"/>
    </row>
    <row r="47399" spans="1:141" s="116" customFormat="1">
      <c r="A47399" s="136"/>
      <c r="CM47399" s="111"/>
      <c r="CQ47399" s="111"/>
      <c r="EF47399"/>
      <c r="EG47399"/>
      <c r="EH47399"/>
      <c r="EI47399"/>
      <c r="EJ47399"/>
      <c r="EK47399"/>
    </row>
    <row r="47400" spans="1:141" s="116" customFormat="1">
      <c r="A47400" s="136"/>
      <c r="CM47400" s="111"/>
      <c r="CQ47400" s="111"/>
      <c r="EF47400"/>
      <c r="EG47400"/>
      <c r="EH47400"/>
      <c r="EI47400"/>
      <c r="EJ47400"/>
      <c r="EK47400"/>
    </row>
    <row r="47401" spans="1:141" s="116" customFormat="1">
      <c r="A47401" s="136"/>
      <c r="CM47401" s="111"/>
      <c r="CQ47401" s="111"/>
      <c r="EF47401"/>
      <c r="EG47401"/>
      <c r="EH47401"/>
      <c r="EI47401"/>
      <c r="EJ47401"/>
      <c r="EK47401"/>
    </row>
    <row r="47402" spans="1:141" s="116" customFormat="1">
      <c r="A47402" s="136"/>
      <c r="CM47402" s="111"/>
      <c r="CQ47402" s="111"/>
      <c r="EF47402"/>
      <c r="EG47402"/>
      <c r="EH47402"/>
      <c r="EI47402"/>
      <c r="EJ47402"/>
      <c r="EK47402"/>
    </row>
    <row r="47403" spans="1:141" s="116" customFormat="1">
      <c r="A47403" s="136"/>
      <c r="CM47403" s="111"/>
      <c r="CQ47403" s="111"/>
      <c r="EF47403"/>
      <c r="EG47403"/>
      <c r="EH47403"/>
      <c r="EI47403"/>
      <c r="EJ47403"/>
      <c r="EK47403"/>
    </row>
    <row r="47404" spans="1:141" s="116" customFormat="1">
      <c r="A47404" s="136"/>
      <c r="CM47404" s="111"/>
      <c r="CQ47404" s="111"/>
      <c r="EF47404"/>
      <c r="EG47404"/>
      <c r="EH47404"/>
      <c r="EI47404"/>
      <c r="EJ47404"/>
      <c r="EK47404"/>
    </row>
    <row r="47405" spans="1:141" s="116" customFormat="1">
      <c r="A47405" s="136"/>
      <c r="CM47405" s="111"/>
      <c r="CQ47405" s="111"/>
      <c r="EF47405"/>
      <c r="EG47405"/>
      <c r="EH47405"/>
      <c r="EI47405"/>
      <c r="EJ47405"/>
      <c r="EK47405"/>
    </row>
    <row r="47406" spans="1:141" s="116" customFormat="1">
      <c r="A47406" s="136"/>
      <c r="CM47406" s="111"/>
      <c r="CQ47406" s="111"/>
      <c r="EF47406"/>
      <c r="EG47406"/>
      <c r="EH47406"/>
      <c r="EI47406"/>
      <c r="EJ47406"/>
      <c r="EK47406"/>
    </row>
    <row r="47407" spans="1:141" s="116" customFormat="1">
      <c r="A47407" s="136"/>
      <c r="CM47407" s="111"/>
      <c r="CQ47407" s="111"/>
      <c r="EF47407"/>
      <c r="EG47407"/>
      <c r="EH47407"/>
      <c r="EI47407"/>
      <c r="EJ47407"/>
      <c r="EK47407"/>
    </row>
    <row r="47408" spans="1:141" s="116" customFormat="1">
      <c r="A47408" s="136"/>
      <c r="CM47408" s="111"/>
      <c r="CQ47408" s="111"/>
      <c r="EF47408"/>
      <c r="EG47408"/>
      <c r="EH47408"/>
      <c r="EI47408"/>
      <c r="EJ47408"/>
      <c r="EK47408"/>
    </row>
    <row r="47409" spans="1:141" s="116" customFormat="1">
      <c r="A47409" s="136"/>
      <c r="CM47409" s="111"/>
      <c r="CQ47409" s="111"/>
      <c r="EF47409"/>
      <c r="EG47409"/>
      <c r="EH47409"/>
      <c r="EI47409"/>
      <c r="EJ47409"/>
      <c r="EK47409"/>
    </row>
    <row r="47410" spans="1:141" s="116" customFormat="1">
      <c r="A47410" s="136"/>
      <c r="CM47410" s="111"/>
      <c r="CQ47410" s="111"/>
      <c r="EF47410"/>
      <c r="EG47410"/>
      <c r="EH47410"/>
      <c r="EI47410"/>
      <c r="EJ47410"/>
      <c r="EK47410"/>
    </row>
    <row r="47411" spans="1:141" s="116" customFormat="1">
      <c r="A47411" s="136"/>
      <c r="CM47411" s="111"/>
      <c r="CQ47411" s="111"/>
      <c r="EF47411"/>
      <c r="EG47411"/>
      <c r="EH47411"/>
      <c r="EI47411"/>
      <c r="EJ47411"/>
      <c r="EK47411"/>
    </row>
    <row r="47412" spans="1:141" s="116" customFormat="1">
      <c r="A47412" s="136"/>
      <c r="CM47412" s="111"/>
      <c r="CQ47412" s="111"/>
      <c r="EF47412"/>
      <c r="EG47412"/>
      <c r="EH47412"/>
      <c r="EI47412"/>
      <c r="EJ47412"/>
      <c r="EK47412"/>
    </row>
    <row r="47413" spans="1:141" s="116" customFormat="1">
      <c r="A47413" s="136"/>
      <c r="CM47413" s="111"/>
      <c r="CQ47413" s="111"/>
      <c r="EF47413"/>
      <c r="EG47413"/>
      <c r="EH47413"/>
      <c r="EI47413"/>
      <c r="EJ47413"/>
      <c r="EK47413"/>
    </row>
    <row r="47414" spans="1:141" s="116" customFormat="1">
      <c r="A47414" s="136"/>
      <c r="CM47414" s="111"/>
      <c r="CQ47414" s="111"/>
      <c r="EF47414"/>
      <c r="EG47414"/>
      <c r="EH47414"/>
      <c r="EI47414"/>
      <c r="EJ47414"/>
      <c r="EK47414"/>
    </row>
    <row r="47415" spans="1:141" s="116" customFormat="1">
      <c r="A47415" s="136"/>
      <c r="CM47415" s="111"/>
      <c r="CQ47415" s="111"/>
      <c r="EF47415"/>
      <c r="EG47415"/>
      <c r="EH47415"/>
      <c r="EI47415"/>
      <c r="EJ47415"/>
      <c r="EK47415"/>
    </row>
    <row r="47416" spans="1:141" s="116" customFormat="1">
      <c r="A47416" s="136"/>
      <c r="CM47416" s="111"/>
      <c r="CQ47416" s="111"/>
      <c r="EF47416"/>
      <c r="EG47416"/>
      <c r="EH47416"/>
      <c r="EI47416"/>
      <c r="EJ47416"/>
      <c r="EK47416"/>
    </row>
    <row r="47417" spans="1:141" s="116" customFormat="1">
      <c r="A47417" s="136"/>
      <c r="CM47417" s="111"/>
      <c r="CQ47417" s="111"/>
      <c r="EF47417"/>
      <c r="EG47417"/>
      <c r="EH47417"/>
      <c r="EI47417"/>
      <c r="EJ47417"/>
      <c r="EK47417"/>
    </row>
    <row r="47418" spans="1:141" s="116" customFormat="1">
      <c r="A47418" s="136"/>
      <c r="CM47418" s="111"/>
      <c r="CQ47418" s="111"/>
      <c r="EF47418"/>
      <c r="EG47418"/>
      <c r="EH47418"/>
      <c r="EI47418"/>
      <c r="EJ47418"/>
      <c r="EK47418"/>
    </row>
    <row r="47419" spans="1:141" s="116" customFormat="1">
      <c r="A47419" s="136"/>
      <c r="CM47419" s="111"/>
      <c r="CQ47419" s="111"/>
      <c r="EF47419"/>
      <c r="EG47419"/>
      <c r="EH47419"/>
      <c r="EI47419"/>
      <c r="EJ47419"/>
      <c r="EK47419"/>
    </row>
    <row r="47420" spans="1:141" s="116" customFormat="1">
      <c r="A47420" s="136"/>
      <c r="CM47420" s="111"/>
      <c r="CQ47420" s="111"/>
      <c r="EF47420"/>
      <c r="EG47420"/>
      <c r="EH47420"/>
      <c r="EI47420"/>
      <c r="EJ47420"/>
      <c r="EK47420"/>
    </row>
    <row r="47421" spans="1:141" s="116" customFormat="1">
      <c r="A47421" s="136"/>
      <c r="CM47421" s="111"/>
      <c r="CQ47421" s="111"/>
      <c r="EF47421"/>
      <c r="EG47421"/>
      <c r="EH47421"/>
      <c r="EI47421"/>
      <c r="EJ47421"/>
      <c r="EK47421"/>
    </row>
    <row r="47422" spans="1:141" s="116" customFormat="1">
      <c r="A47422" s="136"/>
      <c r="CM47422" s="111"/>
      <c r="CQ47422" s="111"/>
      <c r="EF47422"/>
      <c r="EG47422"/>
      <c r="EH47422"/>
      <c r="EI47422"/>
      <c r="EJ47422"/>
      <c r="EK47422"/>
    </row>
    <row r="47423" spans="1:141" s="116" customFormat="1">
      <c r="A47423" s="136"/>
      <c r="CM47423" s="111"/>
      <c r="CQ47423" s="111"/>
      <c r="EF47423"/>
      <c r="EG47423"/>
      <c r="EH47423"/>
      <c r="EI47423"/>
      <c r="EJ47423"/>
      <c r="EK47423"/>
    </row>
    <row r="47424" spans="1:141" s="116" customFormat="1">
      <c r="A47424" s="136"/>
      <c r="CM47424" s="111"/>
      <c r="CQ47424" s="111"/>
      <c r="EF47424"/>
      <c r="EG47424"/>
      <c r="EH47424"/>
      <c r="EI47424"/>
      <c r="EJ47424"/>
      <c r="EK47424"/>
    </row>
    <row r="47425" spans="1:141" s="116" customFormat="1">
      <c r="A47425" s="136"/>
      <c r="CM47425" s="111"/>
      <c r="CQ47425" s="111"/>
      <c r="EF47425"/>
      <c r="EG47425"/>
      <c r="EH47425"/>
      <c r="EI47425"/>
      <c r="EJ47425"/>
      <c r="EK47425"/>
    </row>
    <row r="47426" spans="1:141" s="116" customFormat="1">
      <c r="A47426" s="136"/>
      <c r="CM47426" s="111"/>
      <c r="CQ47426" s="111"/>
      <c r="EF47426"/>
      <c r="EG47426"/>
      <c r="EH47426"/>
      <c r="EI47426"/>
      <c r="EJ47426"/>
      <c r="EK47426"/>
    </row>
    <row r="47427" spans="1:141" s="116" customFormat="1">
      <c r="A47427" s="136"/>
      <c r="CM47427" s="111"/>
      <c r="CQ47427" s="111"/>
      <c r="EF47427"/>
      <c r="EG47427"/>
      <c r="EH47427"/>
      <c r="EI47427"/>
      <c r="EJ47427"/>
      <c r="EK47427"/>
    </row>
    <row r="47428" spans="1:141" s="116" customFormat="1">
      <c r="A47428" s="136"/>
      <c r="CM47428" s="111"/>
      <c r="CQ47428" s="111"/>
      <c r="EF47428"/>
      <c r="EG47428"/>
      <c r="EH47428"/>
      <c r="EI47428"/>
      <c r="EJ47428"/>
      <c r="EK47428"/>
    </row>
    <row r="47429" spans="1:141" s="116" customFormat="1">
      <c r="A47429" s="136"/>
      <c r="CM47429" s="111"/>
      <c r="CQ47429" s="111"/>
      <c r="EF47429"/>
      <c r="EG47429"/>
      <c r="EH47429"/>
      <c r="EI47429"/>
      <c r="EJ47429"/>
      <c r="EK47429"/>
    </row>
    <row r="47430" spans="1:141" s="116" customFormat="1">
      <c r="A47430" s="136"/>
      <c r="CM47430" s="111"/>
      <c r="CQ47430" s="111"/>
      <c r="EF47430"/>
      <c r="EG47430"/>
      <c r="EH47430"/>
      <c r="EI47430"/>
      <c r="EJ47430"/>
      <c r="EK47430"/>
    </row>
    <row r="47431" spans="1:141" s="116" customFormat="1">
      <c r="A47431" s="136"/>
      <c r="CM47431" s="111"/>
      <c r="CQ47431" s="111"/>
      <c r="EF47431"/>
      <c r="EG47431"/>
      <c r="EH47431"/>
      <c r="EI47431"/>
      <c r="EJ47431"/>
      <c r="EK47431"/>
    </row>
    <row r="47432" spans="1:141" s="116" customFormat="1">
      <c r="A47432" s="136"/>
      <c r="CM47432" s="111"/>
      <c r="CQ47432" s="111"/>
      <c r="EF47432"/>
      <c r="EG47432"/>
      <c r="EH47432"/>
      <c r="EI47432"/>
      <c r="EJ47432"/>
      <c r="EK47432"/>
    </row>
    <row r="47433" spans="1:141" s="116" customFormat="1">
      <c r="A47433" s="136"/>
      <c r="CM47433" s="111"/>
      <c r="CQ47433" s="111"/>
      <c r="EF47433"/>
      <c r="EG47433"/>
      <c r="EH47433"/>
      <c r="EI47433"/>
      <c r="EJ47433"/>
      <c r="EK47433"/>
    </row>
    <row r="47434" spans="1:141" s="116" customFormat="1">
      <c r="A47434" s="136"/>
      <c r="CM47434" s="111"/>
      <c r="CQ47434" s="111"/>
      <c r="EF47434"/>
      <c r="EG47434"/>
      <c r="EH47434"/>
      <c r="EI47434"/>
      <c r="EJ47434"/>
      <c r="EK47434"/>
    </row>
    <row r="47435" spans="1:141" s="116" customFormat="1">
      <c r="A47435" s="136"/>
      <c r="CM47435" s="111"/>
      <c r="CQ47435" s="111"/>
      <c r="EF47435"/>
      <c r="EG47435"/>
      <c r="EH47435"/>
      <c r="EI47435"/>
      <c r="EJ47435"/>
      <c r="EK47435"/>
    </row>
    <row r="47436" spans="1:141" s="116" customFormat="1">
      <c r="A47436" s="136"/>
      <c r="CM47436" s="111"/>
      <c r="CQ47436" s="111"/>
      <c r="EF47436"/>
      <c r="EG47436"/>
      <c r="EH47436"/>
      <c r="EI47436"/>
      <c r="EJ47436"/>
      <c r="EK47436"/>
    </row>
    <row r="47437" spans="1:141" s="116" customFormat="1">
      <c r="A47437" s="136"/>
      <c r="CM47437" s="111"/>
      <c r="CQ47437" s="111"/>
      <c r="EF47437"/>
      <c r="EG47437"/>
      <c r="EH47437"/>
      <c r="EI47437"/>
      <c r="EJ47437"/>
      <c r="EK47437"/>
    </row>
    <row r="47438" spans="1:141" s="116" customFormat="1">
      <c r="A47438" s="136"/>
      <c r="CM47438" s="111"/>
      <c r="CQ47438" s="111"/>
      <c r="EF47438"/>
      <c r="EG47438"/>
      <c r="EH47438"/>
      <c r="EI47438"/>
      <c r="EJ47438"/>
      <c r="EK47438"/>
    </row>
    <row r="47439" spans="1:141" s="116" customFormat="1">
      <c r="A47439" s="136"/>
      <c r="CM47439" s="111"/>
      <c r="CQ47439" s="111"/>
      <c r="EF47439"/>
      <c r="EG47439"/>
      <c r="EH47439"/>
      <c r="EI47439"/>
      <c r="EJ47439"/>
      <c r="EK47439"/>
    </row>
    <row r="47440" spans="1:141" s="116" customFormat="1">
      <c r="A47440" s="136"/>
      <c r="CM47440" s="111"/>
      <c r="CQ47440" s="111"/>
      <c r="EF47440"/>
      <c r="EG47440"/>
      <c r="EH47440"/>
      <c r="EI47440"/>
      <c r="EJ47440"/>
      <c r="EK47440"/>
    </row>
    <row r="47441" spans="1:141" s="116" customFormat="1">
      <c r="A47441" s="136"/>
      <c r="CM47441" s="111"/>
      <c r="CQ47441" s="111"/>
      <c r="EF47441"/>
      <c r="EG47441"/>
      <c r="EH47441"/>
      <c r="EI47441"/>
      <c r="EJ47441"/>
      <c r="EK47441"/>
    </row>
    <row r="47442" spans="1:141" s="116" customFormat="1">
      <c r="A47442" s="136"/>
      <c r="CM47442" s="111"/>
      <c r="CQ47442" s="111"/>
      <c r="EF47442"/>
      <c r="EG47442"/>
      <c r="EH47442"/>
      <c r="EI47442"/>
      <c r="EJ47442"/>
      <c r="EK47442"/>
    </row>
    <row r="47443" spans="1:141" s="116" customFormat="1">
      <c r="A47443" s="136"/>
      <c r="CM47443" s="111"/>
      <c r="CQ47443" s="111"/>
      <c r="EF47443"/>
      <c r="EG47443"/>
      <c r="EH47443"/>
      <c r="EI47443"/>
      <c r="EJ47443"/>
      <c r="EK47443"/>
    </row>
    <row r="47444" spans="1:141" s="116" customFormat="1">
      <c r="A47444" s="136"/>
      <c r="CM47444" s="111"/>
      <c r="CQ47444" s="111"/>
      <c r="EF47444"/>
      <c r="EG47444"/>
      <c r="EH47444"/>
      <c r="EI47444"/>
      <c r="EJ47444"/>
      <c r="EK47444"/>
    </row>
    <row r="47445" spans="1:141" s="116" customFormat="1">
      <c r="A47445" s="136"/>
      <c r="CM47445" s="111"/>
      <c r="CQ47445" s="111"/>
      <c r="EF47445"/>
      <c r="EG47445"/>
      <c r="EH47445"/>
      <c r="EI47445"/>
      <c r="EJ47445"/>
      <c r="EK47445"/>
    </row>
    <row r="47446" spans="1:141" s="116" customFormat="1">
      <c r="A47446" s="136"/>
      <c r="CM47446" s="111"/>
      <c r="CQ47446" s="111"/>
      <c r="EF47446"/>
      <c r="EG47446"/>
      <c r="EH47446"/>
      <c r="EI47446"/>
      <c r="EJ47446"/>
      <c r="EK47446"/>
    </row>
    <row r="47447" spans="1:141" s="116" customFormat="1">
      <c r="A47447" s="136"/>
      <c r="CM47447" s="111"/>
      <c r="CQ47447" s="111"/>
      <c r="EF47447"/>
      <c r="EG47447"/>
      <c r="EH47447"/>
      <c r="EI47447"/>
      <c r="EJ47447"/>
      <c r="EK47447"/>
    </row>
    <row r="47448" spans="1:141" s="116" customFormat="1">
      <c r="A47448" s="136"/>
      <c r="CM47448" s="111"/>
      <c r="CQ47448" s="111"/>
      <c r="EF47448"/>
      <c r="EG47448"/>
      <c r="EH47448"/>
      <c r="EI47448"/>
      <c r="EJ47448"/>
      <c r="EK47448"/>
    </row>
    <row r="47449" spans="1:141" s="116" customFormat="1">
      <c r="A47449" s="136"/>
      <c r="CM47449" s="111"/>
      <c r="CQ47449" s="111"/>
      <c r="EF47449"/>
      <c r="EG47449"/>
      <c r="EH47449"/>
      <c r="EI47449"/>
      <c r="EJ47449"/>
      <c r="EK47449"/>
    </row>
    <row r="47450" spans="1:141" s="116" customFormat="1">
      <c r="A47450" s="136"/>
      <c r="CM47450" s="111"/>
      <c r="CQ47450" s="111"/>
      <c r="EF47450"/>
      <c r="EG47450"/>
      <c r="EH47450"/>
      <c r="EI47450"/>
      <c r="EJ47450"/>
      <c r="EK47450"/>
    </row>
    <row r="47451" spans="1:141" s="116" customFormat="1">
      <c r="A47451" s="136"/>
      <c r="CM47451" s="111"/>
      <c r="CQ47451" s="111"/>
      <c r="EF47451"/>
      <c r="EG47451"/>
      <c r="EH47451"/>
      <c r="EI47451"/>
      <c r="EJ47451"/>
      <c r="EK47451"/>
    </row>
    <row r="47452" spans="1:141" s="116" customFormat="1">
      <c r="A47452" s="136"/>
      <c r="CM47452" s="111"/>
      <c r="CQ47452" s="111"/>
      <c r="EF47452"/>
      <c r="EG47452"/>
      <c r="EH47452"/>
      <c r="EI47452"/>
      <c r="EJ47452"/>
      <c r="EK47452"/>
    </row>
    <row r="47453" spans="1:141" s="116" customFormat="1">
      <c r="A47453" s="136"/>
      <c r="CM47453" s="111"/>
      <c r="CQ47453" s="111"/>
      <c r="EF47453"/>
      <c r="EG47453"/>
      <c r="EH47453"/>
      <c r="EI47453"/>
      <c r="EJ47453"/>
      <c r="EK47453"/>
    </row>
    <row r="47454" spans="1:141" s="116" customFormat="1">
      <c r="A47454" s="136"/>
      <c r="CM47454" s="111"/>
      <c r="CQ47454" s="111"/>
      <c r="EF47454"/>
      <c r="EG47454"/>
      <c r="EH47454"/>
      <c r="EI47454"/>
      <c r="EJ47454"/>
      <c r="EK47454"/>
    </row>
    <row r="47455" spans="1:141" s="116" customFormat="1">
      <c r="A47455" s="136"/>
      <c r="CM47455" s="111"/>
      <c r="CQ47455" s="111"/>
      <c r="EF47455"/>
      <c r="EG47455"/>
      <c r="EH47455"/>
      <c r="EI47455"/>
      <c r="EJ47455"/>
      <c r="EK47455"/>
    </row>
    <row r="47456" spans="1:141" s="116" customFormat="1">
      <c r="A47456" s="136"/>
      <c r="CM47456" s="111"/>
      <c r="CQ47456" s="111"/>
      <c r="EF47456"/>
      <c r="EG47456"/>
      <c r="EH47456"/>
      <c r="EI47456"/>
      <c r="EJ47456"/>
      <c r="EK47456"/>
    </row>
    <row r="47457" spans="1:141" s="116" customFormat="1">
      <c r="A47457" s="136"/>
      <c r="CM47457" s="111"/>
      <c r="CQ47457" s="111"/>
      <c r="EF47457"/>
      <c r="EG47457"/>
      <c r="EH47457"/>
      <c r="EI47457"/>
      <c r="EJ47457"/>
      <c r="EK47457"/>
    </row>
    <row r="47458" spans="1:141" s="116" customFormat="1">
      <c r="A47458" s="136"/>
      <c r="CM47458" s="111"/>
      <c r="CQ47458" s="111"/>
      <c r="EF47458"/>
      <c r="EG47458"/>
      <c r="EH47458"/>
      <c r="EI47458"/>
      <c r="EJ47458"/>
      <c r="EK47458"/>
    </row>
    <row r="47459" spans="1:141" s="116" customFormat="1">
      <c r="A47459" s="136"/>
      <c r="CM47459" s="111"/>
      <c r="CQ47459" s="111"/>
      <c r="EF47459"/>
      <c r="EG47459"/>
      <c r="EH47459"/>
      <c r="EI47459"/>
      <c r="EJ47459"/>
      <c r="EK47459"/>
    </row>
    <row r="47460" spans="1:141" s="116" customFormat="1">
      <c r="A47460" s="136"/>
      <c r="CM47460" s="111"/>
      <c r="CQ47460" s="111"/>
      <c r="EF47460"/>
      <c r="EG47460"/>
      <c r="EH47460"/>
      <c r="EI47460"/>
      <c r="EJ47460"/>
      <c r="EK47460"/>
    </row>
    <row r="47461" spans="1:141" s="116" customFormat="1">
      <c r="A47461" s="136"/>
      <c r="CM47461" s="111"/>
      <c r="CQ47461" s="111"/>
      <c r="EF47461"/>
      <c r="EG47461"/>
      <c r="EH47461"/>
      <c r="EI47461"/>
      <c r="EJ47461"/>
      <c r="EK47461"/>
    </row>
    <row r="47462" spans="1:141" s="116" customFormat="1">
      <c r="A47462" s="136"/>
      <c r="CM47462" s="111"/>
      <c r="CQ47462" s="111"/>
      <c r="EF47462"/>
      <c r="EG47462"/>
      <c r="EH47462"/>
      <c r="EI47462"/>
      <c r="EJ47462"/>
      <c r="EK47462"/>
    </row>
    <row r="47463" spans="1:141" s="116" customFormat="1">
      <c r="A47463" s="136"/>
      <c r="CM47463" s="111"/>
      <c r="CQ47463" s="111"/>
      <c r="EF47463"/>
      <c r="EG47463"/>
      <c r="EH47463"/>
      <c r="EI47463"/>
      <c r="EJ47463"/>
      <c r="EK47463"/>
    </row>
    <row r="47464" spans="1:141" s="116" customFormat="1">
      <c r="A47464" s="136"/>
      <c r="CM47464" s="111"/>
      <c r="CQ47464" s="111"/>
      <c r="EF47464"/>
      <c r="EG47464"/>
      <c r="EH47464"/>
      <c r="EI47464"/>
      <c r="EJ47464"/>
      <c r="EK47464"/>
    </row>
    <row r="47465" spans="1:141" s="116" customFormat="1">
      <c r="A47465" s="136"/>
      <c r="CM47465" s="111"/>
      <c r="CQ47465" s="111"/>
      <c r="EF47465"/>
      <c r="EG47465"/>
      <c r="EH47465"/>
      <c r="EI47465"/>
      <c r="EJ47465"/>
      <c r="EK47465"/>
    </row>
    <row r="47466" spans="1:141" s="116" customFormat="1">
      <c r="A47466" s="136"/>
      <c r="CM47466" s="111"/>
      <c r="CQ47466" s="111"/>
      <c r="EF47466"/>
      <c r="EG47466"/>
      <c r="EH47466"/>
      <c r="EI47466"/>
      <c r="EJ47466"/>
      <c r="EK47466"/>
    </row>
    <row r="47467" spans="1:141" s="116" customFormat="1">
      <c r="A47467" s="136"/>
      <c r="CM47467" s="111"/>
      <c r="CQ47467" s="111"/>
      <c r="EF47467"/>
      <c r="EG47467"/>
      <c r="EH47467"/>
      <c r="EI47467"/>
      <c r="EJ47467"/>
      <c r="EK47467"/>
    </row>
    <row r="47468" spans="1:141" s="116" customFormat="1">
      <c r="A47468" s="136"/>
      <c r="CM47468" s="111"/>
      <c r="CQ47468" s="111"/>
      <c r="EF47468"/>
      <c r="EG47468"/>
      <c r="EH47468"/>
      <c r="EI47468"/>
      <c r="EJ47468"/>
      <c r="EK47468"/>
    </row>
    <row r="47469" spans="1:141" s="116" customFormat="1">
      <c r="A47469" s="136"/>
      <c r="CM47469" s="111"/>
      <c r="CQ47469" s="111"/>
      <c r="EF47469"/>
      <c r="EG47469"/>
      <c r="EH47469"/>
      <c r="EI47469"/>
      <c r="EJ47469"/>
      <c r="EK47469"/>
    </row>
    <row r="47470" spans="1:141" s="116" customFormat="1">
      <c r="A47470" s="136"/>
      <c r="CM47470" s="111"/>
      <c r="CQ47470" s="111"/>
      <c r="EF47470"/>
      <c r="EG47470"/>
      <c r="EH47470"/>
      <c r="EI47470"/>
      <c r="EJ47470"/>
      <c r="EK47470"/>
    </row>
    <row r="47471" spans="1:141" s="116" customFormat="1">
      <c r="A47471" s="136"/>
      <c r="CM47471" s="111"/>
      <c r="CQ47471" s="111"/>
      <c r="EF47471"/>
      <c r="EG47471"/>
      <c r="EH47471"/>
      <c r="EI47471"/>
      <c r="EJ47471"/>
      <c r="EK47471"/>
    </row>
    <row r="47472" spans="1:141" s="116" customFormat="1">
      <c r="A47472" s="136"/>
      <c r="CM47472" s="111"/>
      <c r="CQ47472" s="111"/>
      <c r="EF47472"/>
      <c r="EG47472"/>
      <c r="EH47472"/>
      <c r="EI47472"/>
      <c r="EJ47472"/>
      <c r="EK47472"/>
    </row>
    <row r="47473" spans="1:141" s="116" customFormat="1">
      <c r="A47473" s="136"/>
      <c r="CM47473" s="111"/>
      <c r="CQ47473" s="111"/>
      <c r="EF47473"/>
      <c r="EG47473"/>
      <c r="EH47473"/>
      <c r="EI47473"/>
      <c r="EJ47473"/>
      <c r="EK47473"/>
    </row>
    <row r="47474" spans="1:141" s="116" customFormat="1">
      <c r="A47474" s="136"/>
      <c r="CM47474" s="111"/>
      <c r="CQ47474" s="111"/>
      <c r="EF47474"/>
      <c r="EG47474"/>
      <c r="EH47474"/>
      <c r="EI47474"/>
      <c r="EJ47474"/>
      <c r="EK47474"/>
    </row>
    <row r="47475" spans="1:141" s="116" customFormat="1">
      <c r="A47475" s="136"/>
      <c r="CM47475" s="111"/>
      <c r="CQ47475" s="111"/>
      <c r="EF47475"/>
      <c r="EG47475"/>
      <c r="EH47475"/>
      <c r="EI47475"/>
      <c r="EJ47475"/>
      <c r="EK47475"/>
    </row>
    <row r="47476" spans="1:141" s="116" customFormat="1">
      <c r="A47476" s="136"/>
      <c r="CM47476" s="111"/>
      <c r="CQ47476" s="111"/>
      <c r="EF47476"/>
      <c r="EG47476"/>
      <c r="EH47476"/>
      <c r="EI47476"/>
      <c r="EJ47476"/>
      <c r="EK47476"/>
    </row>
    <row r="47477" spans="1:141" s="116" customFormat="1">
      <c r="A47477" s="136"/>
      <c r="CM47477" s="111"/>
      <c r="CQ47477" s="111"/>
      <c r="EF47477"/>
      <c r="EG47477"/>
      <c r="EH47477"/>
      <c r="EI47477"/>
      <c r="EJ47477"/>
      <c r="EK47477"/>
    </row>
    <row r="47478" spans="1:141" s="116" customFormat="1">
      <c r="A47478" s="136"/>
      <c r="CM47478" s="111"/>
      <c r="CQ47478" s="111"/>
      <c r="EF47478"/>
      <c r="EG47478"/>
      <c r="EH47478"/>
      <c r="EI47478"/>
      <c r="EJ47478"/>
      <c r="EK47478"/>
    </row>
    <row r="47479" spans="1:141" s="116" customFormat="1">
      <c r="A47479" s="136"/>
      <c r="CM47479" s="111"/>
      <c r="CQ47479" s="111"/>
      <c r="EF47479"/>
      <c r="EG47479"/>
      <c r="EH47479"/>
      <c r="EI47479"/>
      <c r="EJ47479"/>
      <c r="EK47479"/>
    </row>
    <row r="47480" spans="1:141" s="116" customFormat="1">
      <c r="A47480" s="136"/>
      <c r="CM47480" s="111"/>
      <c r="CQ47480" s="111"/>
      <c r="EF47480"/>
      <c r="EG47480"/>
      <c r="EH47480"/>
      <c r="EI47480"/>
      <c r="EJ47480"/>
      <c r="EK47480"/>
    </row>
    <row r="47481" spans="1:141" s="116" customFormat="1">
      <c r="A47481" s="136"/>
      <c r="CM47481" s="111"/>
      <c r="CQ47481" s="111"/>
      <c r="EF47481"/>
      <c r="EG47481"/>
      <c r="EH47481"/>
      <c r="EI47481"/>
      <c r="EJ47481"/>
      <c r="EK47481"/>
    </row>
    <row r="47482" spans="1:141" s="116" customFormat="1">
      <c r="A47482" s="136"/>
      <c r="CM47482" s="111"/>
      <c r="CQ47482" s="111"/>
      <c r="EF47482"/>
      <c r="EG47482"/>
      <c r="EH47482"/>
      <c r="EI47482"/>
      <c r="EJ47482"/>
      <c r="EK47482"/>
    </row>
    <row r="47483" spans="1:141" s="116" customFormat="1">
      <c r="A47483" s="136"/>
      <c r="CM47483" s="111"/>
      <c r="CQ47483" s="111"/>
      <c r="EF47483"/>
      <c r="EG47483"/>
      <c r="EH47483"/>
      <c r="EI47483"/>
      <c r="EJ47483"/>
      <c r="EK47483"/>
    </row>
    <row r="47484" spans="1:141" s="116" customFormat="1">
      <c r="A47484" s="136"/>
      <c r="CM47484" s="111"/>
      <c r="CQ47484" s="111"/>
      <c r="EF47484"/>
      <c r="EG47484"/>
      <c r="EH47484"/>
      <c r="EI47484"/>
      <c r="EJ47484"/>
      <c r="EK47484"/>
    </row>
    <row r="47485" spans="1:141" s="116" customFormat="1">
      <c r="A47485" s="136"/>
      <c r="CM47485" s="111"/>
      <c r="CQ47485" s="111"/>
      <c r="EF47485"/>
      <c r="EG47485"/>
      <c r="EH47485"/>
      <c r="EI47485"/>
      <c r="EJ47485"/>
      <c r="EK47485"/>
    </row>
    <row r="47486" spans="1:141" s="116" customFormat="1">
      <c r="A47486" s="136"/>
      <c r="CM47486" s="111"/>
      <c r="CQ47486" s="111"/>
      <c r="EF47486"/>
      <c r="EG47486"/>
      <c r="EH47486"/>
      <c r="EI47486"/>
      <c r="EJ47486"/>
      <c r="EK47486"/>
    </row>
    <row r="47487" spans="1:141" s="116" customFormat="1">
      <c r="A47487" s="136"/>
      <c r="CM47487" s="111"/>
      <c r="CQ47487" s="111"/>
      <c r="EF47487"/>
      <c r="EG47487"/>
      <c r="EH47487"/>
      <c r="EI47487"/>
      <c r="EJ47487"/>
      <c r="EK47487"/>
    </row>
    <row r="47488" spans="1:141" s="116" customFormat="1">
      <c r="A47488" s="136"/>
      <c r="CM47488" s="111"/>
      <c r="CQ47488" s="111"/>
      <c r="EF47488"/>
      <c r="EG47488"/>
      <c r="EH47488"/>
      <c r="EI47488"/>
      <c r="EJ47488"/>
      <c r="EK47488"/>
    </row>
    <row r="47489" spans="1:141" s="116" customFormat="1">
      <c r="A47489" s="136"/>
      <c r="CM47489" s="111"/>
      <c r="CQ47489" s="111"/>
      <c r="EF47489"/>
      <c r="EG47489"/>
      <c r="EH47489"/>
      <c r="EI47489"/>
      <c r="EJ47489"/>
      <c r="EK47489"/>
    </row>
    <row r="47490" spans="1:141" s="116" customFormat="1">
      <c r="A47490" s="136"/>
      <c r="CM47490" s="111"/>
      <c r="CQ47490" s="111"/>
      <c r="EF47490"/>
      <c r="EG47490"/>
      <c r="EH47490"/>
      <c r="EI47490"/>
      <c r="EJ47490"/>
      <c r="EK47490"/>
    </row>
    <row r="47491" spans="1:141" s="116" customFormat="1">
      <c r="A47491" s="136"/>
      <c r="CM47491" s="111"/>
      <c r="CQ47491" s="111"/>
      <c r="EF47491"/>
      <c r="EG47491"/>
      <c r="EH47491"/>
      <c r="EI47491"/>
      <c r="EJ47491"/>
      <c r="EK47491"/>
    </row>
    <row r="47492" spans="1:141" s="116" customFormat="1">
      <c r="A47492" s="136"/>
      <c r="CM47492" s="111"/>
      <c r="CQ47492" s="111"/>
      <c r="EF47492"/>
      <c r="EG47492"/>
      <c r="EH47492"/>
      <c r="EI47492"/>
      <c r="EJ47492"/>
      <c r="EK47492"/>
    </row>
    <row r="47493" spans="1:141" s="116" customFormat="1">
      <c r="A47493" s="136"/>
      <c r="CM47493" s="111"/>
      <c r="CQ47493" s="111"/>
      <c r="EF47493"/>
      <c r="EG47493"/>
      <c r="EH47493"/>
      <c r="EI47493"/>
      <c r="EJ47493"/>
      <c r="EK47493"/>
    </row>
    <row r="47494" spans="1:141" s="116" customFormat="1">
      <c r="A47494" s="136"/>
      <c r="CM47494" s="111"/>
      <c r="CQ47494" s="111"/>
      <c r="EF47494"/>
      <c r="EG47494"/>
      <c r="EH47494"/>
      <c r="EI47494"/>
      <c r="EJ47494"/>
      <c r="EK47494"/>
    </row>
    <row r="47495" spans="1:141" s="116" customFormat="1">
      <c r="A47495" s="136"/>
      <c r="CM47495" s="111"/>
      <c r="CQ47495" s="111"/>
      <c r="EF47495"/>
      <c r="EG47495"/>
      <c r="EH47495"/>
      <c r="EI47495"/>
      <c r="EJ47495"/>
      <c r="EK47495"/>
    </row>
    <row r="47496" spans="1:141" s="116" customFormat="1">
      <c r="A47496" s="136"/>
      <c r="CM47496" s="111"/>
      <c r="CQ47496" s="111"/>
      <c r="EF47496"/>
      <c r="EG47496"/>
      <c r="EH47496"/>
      <c r="EI47496"/>
      <c r="EJ47496"/>
      <c r="EK47496"/>
    </row>
    <row r="47497" spans="1:141" s="116" customFormat="1">
      <c r="A47497" s="136"/>
      <c r="CM47497" s="111"/>
      <c r="CQ47497" s="111"/>
      <c r="EF47497"/>
      <c r="EG47497"/>
      <c r="EH47497"/>
      <c r="EI47497"/>
      <c r="EJ47497"/>
      <c r="EK47497"/>
    </row>
    <row r="47498" spans="1:141" s="116" customFormat="1">
      <c r="A47498" s="136"/>
      <c r="CM47498" s="111"/>
      <c r="CQ47498" s="111"/>
      <c r="EF47498"/>
      <c r="EG47498"/>
      <c r="EH47498"/>
      <c r="EI47498"/>
      <c r="EJ47498"/>
      <c r="EK47498"/>
    </row>
    <row r="47499" spans="1:141" s="116" customFormat="1">
      <c r="A47499" s="136"/>
      <c r="CM47499" s="111"/>
      <c r="CQ47499" s="111"/>
      <c r="EF47499"/>
      <c r="EG47499"/>
      <c r="EH47499"/>
      <c r="EI47499"/>
      <c r="EJ47499"/>
      <c r="EK47499"/>
    </row>
    <row r="47500" spans="1:141" s="116" customFormat="1">
      <c r="A47500" s="136"/>
      <c r="CM47500" s="111"/>
      <c r="CQ47500" s="111"/>
      <c r="EF47500"/>
      <c r="EG47500"/>
      <c r="EH47500"/>
      <c r="EI47500"/>
      <c r="EJ47500"/>
      <c r="EK47500"/>
    </row>
    <row r="47501" spans="1:141" s="116" customFormat="1">
      <c r="A47501" s="136"/>
      <c r="CM47501" s="111"/>
      <c r="CQ47501" s="111"/>
      <c r="EF47501"/>
      <c r="EG47501"/>
      <c r="EH47501"/>
      <c r="EI47501"/>
      <c r="EJ47501"/>
      <c r="EK47501"/>
    </row>
    <row r="47502" spans="1:141" s="116" customFormat="1">
      <c r="A47502" s="136"/>
      <c r="CM47502" s="111"/>
      <c r="CQ47502" s="111"/>
      <c r="EF47502"/>
      <c r="EG47502"/>
      <c r="EH47502"/>
      <c r="EI47502"/>
      <c r="EJ47502"/>
      <c r="EK47502"/>
    </row>
    <row r="47503" spans="1:141" s="116" customFormat="1">
      <c r="A47503" s="136"/>
      <c r="CM47503" s="111"/>
      <c r="CQ47503" s="111"/>
      <c r="EF47503"/>
      <c r="EG47503"/>
      <c r="EH47503"/>
      <c r="EI47503"/>
      <c r="EJ47503"/>
      <c r="EK47503"/>
    </row>
    <row r="47504" spans="1:141" s="116" customFormat="1">
      <c r="A47504" s="136"/>
      <c r="CM47504" s="111"/>
      <c r="CQ47504" s="111"/>
      <c r="EF47504"/>
      <c r="EG47504"/>
      <c r="EH47504"/>
      <c r="EI47504"/>
      <c r="EJ47504"/>
      <c r="EK47504"/>
    </row>
    <row r="47505" spans="1:141" s="116" customFormat="1">
      <c r="A47505" s="136"/>
      <c r="CM47505" s="111"/>
      <c r="CQ47505" s="111"/>
      <c r="EF47505"/>
      <c r="EG47505"/>
      <c r="EH47505"/>
      <c r="EI47505"/>
      <c r="EJ47505"/>
      <c r="EK47505"/>
    </row>
    <row r="47506" spans="1:141" s="116" customFormat="1">
      <c r="A47506" s="136"/>
      <c r="CM47506" s="111"/>
      <c r="CQ47506" s="111"/>
      <c r="EF47506"/>
      <c r="EG47506"/>
      <c r="EH47506"/>
      <c r="EI47506"/>
      <c r="EJ47506"/>
      <c r="EK47506"/>
    </row>
    <row r="47507" spans="1:141" s="116" customFormat="1">
      <c r="A47507" s="136"/>
      <c r="CM47507" s="111"/>
      <c r="CQ47507" s="111"/>
      <c r="EF47507"/>
      <c r="EG47507"/>
      <c r="EH47507"/>
      <c r="EI47507"/>
      <c r="EJ47507"/>
      <c r="EK47507"/>
    </row>
    <row r="47508" spans="1:141" s="116" customFormat="1">
      <c r="A47508" s="136"/>
      <c r="CM47508" s="111"/>
      <c r="CQ47508" s="111"/>
      <c r="EF47508"/>
      <c r="EG47508"/>
      <c r="EH47508"/>
      <c r="EI47508"/>
      <c r="EJ47508"/>
      <c r="EK47508"/>
    </row>
    <row r="47509" spans="1:141" s="116" customFormat="1">
      <c r="A47509" s="136"/>
      <c r="CM47509" s="111"/>
      <c r="CQ47509" s="111"/>
      <c r="EF47509"/>
      <c r="EG47509"/>
      <c r="EH47509"/>
      <c r="EI47509"/>
      <c r="EJ47509"/>
      <c r="EK47509"/>
    </row>
    <row r="47510" spans="1:141" s="116" customFormat="1">
      <c r="A47510" s="136"/>
      <c r="CM47510" s="111"/>
      <c r="CQ47510" s="111"/>
      <c r="EF47510"/>
      <c r="EG47510"/>
      <c r="EH47510"/>
      <c r="EI47510"/>
      <c r="EJ47510"/>
      <c r="EK47510"/>
    </row>
    <row r="47511" spans="1:141" s="116" customFormat="1">
      <c r="A47511" s="136"/>
      <c r="CM47511" s="111"/>
      <c r="CQ47511" s="111"/>
      <c r="EF47511"/>
      <c r="EG47511"/>
      <c r="EH47511"/>
      <c r="EI47511"/>
      <c r="EJ47511"/>
      <c r="EK47511"/>
    </row>
    <row r="47512" spans="1:141" s="116" customFormat="1">
      <c r="A47512" s="136"/>
      <c r="CM47512" s="111"/>
      <c r="CQ47512" s="111"/>
      <c r="EF47512"/>
      <c r="EG47512"/>
      <c r="EH47512"/>
      <c r="EI47512"/>
      <c r="EJ47512"/>
      <c r="EK47512"/>
    </row>
    <row r="47513" spans="1:141" s="116" customFormat="1">
      <c r="A47513" s="136"/>
      <c r="CM47513" s="111"/>
      <c r="CQ47513" s="111"/>
      <c r="EF47513"/>
      <c r="EG47513"/>
      <c r="EH47513"/>
      <c r="EI47513"/>
      <c r="EJ47513"/>
      <c r="EK47513"/>
    </row>
    <row r="47514" spans="1:141" s="116" customFormat="1">
      <c r="A47514" s="136"/>
      <c r="CM47514" s="111"/>
      <c r="CQ47514" s="111"/>
      <c r="EF47514"/>
      <c r="EG47514"/>
      <c r="EH47514"/>
      <c r="EI47514"/>
      <c r="EJ47514"/>
      <c r="EK47514"/>
    </row>
    <row r="47515" spans="1:141" s="116" customFormat="1">
      <c r="A47515" s="136"/>
      <c r="CM47515" s="111"/>
      <c r="CQ47515" s="111"/>
      <c r="EF47515"/>
      <c r="EG47515"/>
      <c r="EH47515"/>
      <c r="EI47515"/>
      <c r="EJ47515"/>
      <c r="EK47515"/>
    </row>
    <row r="47516" spans="1:141" s="116" customFormat="1">
      <c r="A47516" s="136"/>
      <c r="CM47516" s="111"/>
      <c r="CQ47516" s="111"/>
      <c r="EF47516"/>
      <c r="EG47516"/>
      <c r="EH47516"/>
      <c r="EI47516"/>
      <c r="EJ47516"/>
      <c r="EK47516"/>
    </row>
    <row r="47517" spans="1:141" s="116" customFormat="1">
      <c r="A47517" s="136"/>
      <c r="CM47517" s="111"/>
      <c r="CQ47517" s="111"/>
      <c r="EF47517"/>
      <c r="EG47517"/>
      <c r="EH47517"/>
      <c r="EI47517"/>
      <c r="EJ47517"/>
      <c r="EK47517"/>
    </row>
    <row r="47518" spans="1:141" s="116" customFormat="1">
      <c r="A47518" s="136"/>
      <c r="CM47518" s="111"/>
      <c r="CQ47518" s="111"/>
      <c r="EF47518"/>
      <c r="EG47518"/>
      <c r="EH47518"/>
      <c r="EI47518"/>
      <c r="EJ47518"/>
      <c r="EK47518"/>
    </row>
    <row r="47519" spans="1:141" s="116" customFormat="1">
      <c r="A47519" s="136"/>
      <c r="CM47519" s="111"/>
      <c r="CQ47519" s="111"/>
      <c r="EF47519"/>
      <c r="EG47519"/>
      <c r="EH47519"/>
      <c r="EI47519"/>
      <c r="EJ47519"/>
      <c r="EK47519"/>
    </row>
    <row r="47520" spans="1:141" s="116" customFormat="1">
      <c r="A47520" s="136"/>
      <c r="CM47520" s="111"/>
      <c r="CQ47520" s="111"/>
      <c r="EF47520"/>
      <c r="EG47520"/>
      <c r="EH47520"/>
      <c r="EI47520"/>
      <c r="EJ47520"/>
      <c r="EK47520"/>
    </row>
    <row r="47521" spans="1:141" s="116" customFormat="1">
      <c r="A47521" s="136"/>
      <c r="CM47521" s="111"/>
      <c r="CQ47521" s="111"/>
      <c r="EF47521"/>
      <c r="EG47521"/>
      <c r="EH47521"/>
      <c r="EI47521"/>
      <c r="EJ47521"/>
      <c r="EK47521"/>
    </row>
    <row r="47522" spans="1:141" s="116" customFormat="1">
      <c r="A47522" s="136"/>
      <c r="CM47522" s="111"/>
      <c r="CQ47522" s="111"/>
      <c r="EF47522"/>
      <c r="EG47522"/>
      <c r="EH47522"/>
      <c r="EI47522"/>
      <c r="EJ47522"/>
      <c r="EK47522"/>
    </row>
    <row r="47523" spans="1:141" s="116" customFormat="1">
      <c r="A47523" s="136"/>
      <c r="CM47523" s="111"/>
      <c r="CQ47523" s="111"/>
      <c r="EF47523"/>
      <c r="EG47523"/>
      <c r="EH47523"/>
      <c r="EI47523"/>
      <c r="EJ47523"/>
      <c r="EK47523"/>
    </row>
    <row r="47524" spans="1:141" s="116" customFormat="1">
      <c r="A47524" s="136"/>
      <c r="CM47524" s="111"/>
      <c r="CQ47524" s="111"/>
      <c r="EF47524"/>
      <c r="EG47524"/>
      <c r="EH47524"/>
      <c r="EI47524"/>
      <c r="EJ47524"/>
      <c r="EK47524"/>
    </row>
    <row r="47525" spans="1:141" s="116" customFormat="1">
      <c r="A47525" s="136"/>
      <c r="CM47525" s="111"/>
      <c r="CQ47525" s="111"/>
      <c r="EF47525"/>
      <c r="EG47525"/>
      <c r="EH47525"/>
      <c r="EI47525"/>
      <c r="EJ47525"/>
      <c r="EK47525"/>
    </row>
    <row r="47526" spans="1:141" s="116" customFormat="1">
      <c r="A47526" s="136"/>
      <c r="CM47526" s="111"/>
      <c r="CQ47526" s="111"/>
      <c r="EF47526"/>
      <c r="EG47526"/>
      <c r="EH47526"/>
      <c r="EI47526"/>
      <c r="EJ47526"/>
      <c r="EK47526"/>
    </row>
    <row r="47527" spans="1:141" s="116" customFormat="1">
      <c r="A47527" s="136"/>
      <c r="CM47527" s="111"/>
      <c r="CQ47527" s="111"/>
      <c r="EF47527"/>
      <c r="EG47527"/>
      <c r="EH47527"/>
      <c r="EI47527"/>
      <c r="EJ47527"/>
      <c r="EK47527"/>
    </row>
    <row r="47528" spans="1:141" s="116" customFormat="1">
      <c r="A47528" s="136"/>
      <c r="CM47528" s="111"/>
      <c r="CQ47528" s="111"/>
      <c r="EF47528"/>
      <c r="EG47528"/>
      <c r="EH47528"/>
      <c r="EI47528"/>
      <c r="EJ47528"/>
      <c r="EK47528"/>
    </row>
    <row r="47529" spans="1:141" s="116" customFormat="1">
      <c r="A47529" s="136"/>
      <c r="CM47529" s="111"/>
      <c r="CQ47529" s="111"/>
      <c r="EF47529"/>
      <c r="EG47529"/>
      <c r="EH47529"/>
      <c r="EI47529"/>
      <c r="EJ47529"/>
      <c r="EK47529"/>
    </row>
    <row r="47530" spans="1:141" s="116" customFormat="1">
      <c r="A47530" s="136"/>
      <c r="CM47530" s="111"/>
      <c r="CQ47530" s="111"/>
      <c r="EF47530"/>
      <c r="EG47530"/>
      <c r="EH47530"/>
      <c r="EI47530"/>
      <c r="EJ47530"/>
      <c r="EK47530"/>
    </row>
    <row r="47531" spans="1:141" s="116" customFormat="1">
      <c r="A47531" s="136"/>
      <c r="CM47531" s="111"/>
      <c r="CQ47531" s="111"/>
      <c r="EF47531"/>
      <c r="EG47531"/>
      <c r="EH47531"/>
      <c r="EI47531"/>
      <c r="EJ47531"/>
      <c r="EK47531"/>
    </row>
    <row r="47532" spans="1:141" s="116" customFormat="1">
      <c r="A47532" s="136"/>
      <c r="CM47532" s="111"/>
      <c r="CQ47532" s="111"/>
      <c r="EF47532"/>
      <c r="EG47532"/>
      <c r="EH47532"/>
      <c r="EI47532"/>
      <c r="EJ47532"/>
      <c r="EK47532"/>
    </row>
    <row r="47533" spans="1:141" s="116" customFormat="1">
      <c r="A47533" s="136"/>
      <c r="CM47533" s="111"/>
      <c r="CQ47533" s="111"/>
      <c r="EF47533"/>
      <c r="EG47533"/>
      <c r="EH47533"/>
      <c r="EI47533"/>
      <c r="EJ47533"/>
      <c r="EK47533"/>
    </row>
    <row r="47534" spans="1:141" s="116" customFormat="1">
      <c r="A47534" s="136"/>
      <c r="CM47534" s="111"/>
      <c r="CQ47534" s="111"/>
      <c r="EF47534"/>
      <c r="EG47534"/>
      <c r="EH47534"/>
      <c r="EI47534"/>
      <c r="EJ47534"/>
      <c r="EK47534"/>
    </row>
    <row r="47535" spans="1:141" s="116" customFormat="1">
      <c r="A47535" s="136"/>
      <c r="CM47535" s="111"/>
      <c r="CQ47535" s="111"/>
      <c r="EF47535"/>
      <c r="EG47535"/>
      <c r="EH47535"/>
      <c r="EI47535"/>
      <c r="EJ47535"/>
      <c r="EK47535"/>
    </row>
    <row r="47536" spans="1:141" s="116" customFormat="1">
      <c r="A47536" s="136"/>
      <c r="CM47536" s="111"/>
      <c r="CQ47536" s="111"/>
      <c r="EF47536"/>
      <c r="EG47536"/>
      <c r="EH47536"/>
      <c r="EI47536"/>
      <c r="EJ47536"/>
      <c r="EK47536"/>
    </row>
    <row r="47537" spans="1:141" s="116" customFormat="1">
      <c r="A47537" s="136"/>
      <c r="CM47537" s="111"/>
      <c r="CQ47537" s="111"/>
      <c r="EF47537"/>
      <c r="EG47537"/>
      <c r="EH47537"/>
      <c r="EI47537"/>
      <c r="EJ47537"/>
      <c r="EK47537"/>
    </row>
    <row r="47538" spans="1:141" s="116" customFormat="1">
      <c r="A47538" s="136"/>
      <c r="CM47538" s="111"/>
      <c r="CQ47538" s="111"/>
      <c r="EF47538"/>
      <c r="EG47538"/>
      <c r="EH47538"/>
      <c r="EI47538"/>
      <c r="EJ47538"/>
      <c r="EK47538"/>
    </row>
    <row r="47539" spans="1:141" s="116" customFormat="1">
      <c r="A47539" s="136"/>
      <c r="CM47539" s="111"/>
      <c r="CQ47539" s="111"/>
      <c r="EF47539"/>
      <c r="EG47539"/>
      <c r="EH47539"/>
      <c r="EI47539"/>
      <c r="EJ47539"/>
      <c r="EK47539"/>
    </row>
    <row r="47540" spans="1:141" s="116" customFormat="1">
      <c r="A47540" s="136"/>
      <c r="CM47540" s="111"/>
      <c r="CQ47540" s="111"/>
      <c r="EF47540"/>
      <c r="EG47540"/>
      <c r="EH47540"/>
      <c r="EI47540"/>
      <c r="EJ47540"/>
      <c r="EK47540"/>
    </row>
    <row r="47541" spans="1:141" s="116" customFormat="1">
      <c r="A47541" s="136"/>
      <c r="CM47541" s="111"/>
      <c r="CQ47541" s="111"/>
      <c r="EF47541"/>
      <c r="EG47541"/>
      <c r="EH47541"/>
      <c r="EI47541"/>
      <c r="EJ47541"/>
      <c r="EK47541"/>
    </row>
    <row r="47542" spans="1:141" s="116" customFormat="1">
      <c r="A47542" s="136"/>
      <c r="CM47542" s="111"/>
      <c r="CQ47542" s="111"/>
      <c r="EF47542"/>
      <c r="EG47542"/>
      <c r="EH47542"/>
      <c r="EI47542"/>
      <c r="EJ47542"/>
      <c r="EK47542"/>
    </row>
    <row r="47543" spans="1:141" s="116" customFormat="1">
      <c r="A47543" s="136"/>
      <c r="CM47543" s="111"/>
      <c r="CQ47543" s="111"/>
      <c r="EF47543"/>
      <c r="EG47543"/>
      <c r="EH47543"/>
      <c r="EI47543"/>
      <c r="EJ47543"/>
      <c r="EK47543"/>
    </row>
    <row r="47544" spans="1:141" s="116" customFormat="1">
      <c r="A47544" s="136"/>
      <c r="CM47544" s="111"/>
      <c r="CQ47544" s="111"/>
      <c r="EF47544"/>
      <c r="EG47544"/>
      <c r="EH47544"/>
      <c r="EI47544"/>
      <c r="EJ47544"/>
      <c r="EK47544"/>
    </row>
    <row r="47545" spans="1:141" s="116" customFormat="1">
      <c r="A47545" s="136"/>
      <c r="CM47545" s="111"/>
      <c r="CQ47545" s="111"/>
      <c r="EF47545"/>
      <c r="EG47545"/>
      <c r="EH47545"/>
      <c r="EI47545"/>
      <c r="EJ47545"/>
      <c r="EK47545"/>
    </row>
    <row r="47546" spans="1:141" s="116" customFormat="1">
      <c r="A47546" s="136"/>
      <c r="CM47546" s="111"/>
      <c r="CQ47546" s="111"/>
      <c r="EF47546"/>
      <c r="EG47546"/>
      <c r="EH47546"/>
      <c r="EI47546"/>
      <c r="EJ47546"/>
      <c r="EK47546"/>
    </row>
    <row r="47547" spans="1:141" s="116" customFormat="1">
      <c r="A47547" s="136"/>
      <c r="CM47547" s="111"/>
      <c r="CQ47547" s="111"/>
      <c r="EF47547"/>
      <c r="EG47547"/>
      <c r="EH47547"/>
      <c r="EI47547"/>
      <c r="EJ47547"/>
      <c r="EK47547"/>
    </row>
    <row r="47548" spans="1:141" s="116" customFormat="1">
      <c r="A47548" s="136"/>
      <c r="CM47548" s="111"/>
      <c r="CQ47548" s="111"/>
      <c r="EF47548"/>
      <c r="EG47548"/>
      <c r="EH47548"/>
      <c r="EI47548"/>
      <c r="EJ47548"/>
      <c r="EK47548"/>
    </row>
    <row r="47549" spans="1:141" s="116" customFormat="1">
      <c r="A47549" s="136"/>
      <c r="CM47549" s="111"/>
      <c r="CQ47549" s="111"/>
      <c r="EF47549"/>
      <c r="EG47549"/>
      <c r="EH47549"/>
      <c r="EI47549"/>
      <c r="EJ47549"/>
      <c r="EK47549"/>
    </row>
    <row r="47550" spans="1:141" s="116" customFormat="1">
      <c r="A47550" s="136"/>
      <c r="CM47550" s="111"/>
      <c r="CQ47550" s="111"/>
      <c r="EF47550"/>
      <c r="EG47550"/>
      <c r="EH47550"/>
      <c r="EI47550"/>
      <c r="EJ47550"/>
      <c r="EK47550"/>
    </row>
    <row r="47551" spans="1:141" s="116" customFormat="1">
      <c r="A47551" s="136"/>
      <c r="CM47551" s="111"/>
      <c r="CQ47551" s="111"/>
      <c r="EF47551"/>
      <c r="EG47551"/>
      <c r="EH47551"/>
      <c r="EI47551"/>
      <c r="EJ47551"/>
      <c r="EK47551"/>
    </row>
    <row r="47552" spans="1:141" s="116" customFormat="1">
      <c r="A47552" s="136"/>
      <c r="CM47552" s="111"/>
      <c r="CQ47552" s="111"/>
      <c r="EF47552"/>
      <c r="EG47552"/>
      <c r="EH47552"/>
      <c r="EI47552"/>
      <c r="EJ47552"/>
      <c r="EK47552"/>
    </row>
    <row r="47553" spans="1:141" s="116" customFormat="1">
      <c r="A47553" s="136"/>
      <c r="CM47553" s="111"/>
      <c r="CQ47553" s="111"/>
      <c r="EF47553"/>
      <c r="EG47553"/>
      <c r="EH47553"/>
      <c r="EI47553"/>
      <c r="EJ47553"/>
      <c r="EK47553"/>
    </row>
    <row r="47554" spans="1:141" s="116" customFormat="1">
      <c r="A47554" s="136"/>
      <c r="CM47554" s="111"/>
      <c r="CQ47554" s="111"/>
      <c r="EF47554"/>
      <c r="EG47554"/>
      <c r="EH47554"/>
      <c r="EI47554"/>
      <c r="EJ47554"/>
      <c r="EK47554"/>
    </row>
    <row r="47555" spans="1:141" s="116" customFormat="1">
      <c r="A47555" s="136"/>
      <c r="CM47555" s="111"/>
      <c r="CQ47555" s="111"/>
      <c r="EF47555"/>
      <c r="EG47555"/>
      <c r="EH47555"/>
      <c r="EI47555"/>
      <c r="EJ47555"/>
      <c r="EK47555"/>
    </row>
    <row r="47556" spans="1:141" s="116" customFormat="1">
      <c r="A47556" s="136"/>
      <c r="CM47556" s="111"/>
      <c r="CQ47556" s="111"/>
      <c r="EF47556"/>
      <c r="EG47556"/>
      <c r="EH47556"/>
      <c r="EI47556"/>
      <c r="EJ47556"/>
      <c r="EK47556"/>
    </row>
    <row r="47557" spans="1:141" s="116" customFormat="1">
      <c r="A47557" s="136"/>
      <c r="CM47557" s="111"/>
      <c r="CQ47557" s="111"/>
      <c r="EF47557"/>
      <c r="EG47557"/>
      <c r="EH47557"/>
      <c r="EI47557"/>
      <c r="EJ47557"/>
      <c r="EK47557"/>
    </row>
    <row r="47558" spans="1:141" s="116" customFormat="1">
      <c r="A47558" s="136"/>
      <c r="CM47558" s="111"/>
      <c r="CQ47558" s="111"/>
      <c r="EF47558"/>
      <c r="EG47558"/>
      <c r="EH47558"/>
      <c r="EI47558"/>
      <c r="EJ47558"/>
      <c r="EK47558"/>
    </row>
    <row r="47559" spans="1:141" s="116" customFormat="1">
      <c r="A47559" s="136"/>
      <c r="CM47559" s="111"/>
      <c r="CQ47559" s="111"/>
      <c r="EF47559"/>
      <c r="EG47559"/>
      <c r="EH47559"/>
      <c r="EI47559"/>
      <c r="EJ47559"/>
      <c r="EK47559"/>
    </row>
    <row r="47560" spans="1:141" s="116" customFormat="1">
      <c r="A47560" s="136"/>
      <c r="CM47560" s="111"/>
      <c r="CQ47560" s="111"/>
      <c r="EF47560"/>
      <c r="EG47560"/>
      <c r="EH47560"/>
      <c r="EI47560"/>
      <c r="EJ47560"/>
      <c r="EK47560"/>
    </row>
    <row r="47561" spans="1:141" s="116" customFormat="1">
      <c r="A47561" s="136"/>
      <c r="CM47561" s="111"/>
      <c r="CQ47561" s="111"/>
      <c r="EF47561"/>
      <c r="EG47561"/>
      <c r="EH47561"/>
      <c r="EI47561"/>
      <c r="EJ47561"/>
      <c r="EK47561"/>
    </row>
    <row r="47562" spans="1:141" s="116" customFormat="1">
      <c r="A47562" s="136"/>
      <c r="CM47562" s="111"/>
      <c r="CQ47562" s="111"/>
      <c r="EF47562"/>
      <c r="EG47562"/>
      <c r="EH47562"/>
      <c r="EI47562"/>
      <c r="EJ47562"/>
      <c r="EK47562"/>
    </row>
    <row r="47563" spans="1:141" s="116" customFormat="1">
      <c r="A47563" s="136"/>
      <c r="CM47563" s="111"/>
      <c r="CQ47563" s="111"/>
      <c r="EF47563"/>
      <c r="EG47563"/>
      <c r="EH47563"/>
      <c r="EI47563"/>
      <c r="EJ47563"/>
      <c r="EK47563"/>
    </row>
    <row r="47564" spans="1:141" s="116" customFormat="1">
      <c r="A47564" s="136"/>
      <c r="CM47564" s="111"/>
      <c r="CQ47564" s="111"/>
      <c r="EF47564"/>
      <c r="EG47564"/>
      <c r="EH47564"/>
      <c r="EI47564"/>
      <c r="EJ47564"/>
      <c r="EK47564"/>
    </row>
    <row r="47565" spans="1:141" s="116" customFormat="1">
      <c r="A47565" s="136"/>
      <c r="CM47565" s="111"/>
      <c r="CQ47565" s="111"/>
      <c r="EF47565"/>
      <c r="EG47565"/>
      <c r="EH47565"/>
      <c r="EI47565"/>
      <c r="EJ47565"/>
      <c r="EK47565"/>
    </row>
    <row r="47566" spans="1:141" s="116" customFormat="1">
      <c r="A47566" s="136"/>
      <c r="CM47566" s="111"/>
      <c r="CQ47566" s="111"/>
      <c r="EF47566"/>
      <c r="EG47566"/>
      <c r="EH47566"/>
      <c r="EI47566"/>
      <c r="EJ47566"/>
      <c r="EK47566"/>
    </row>
    <row r="47567" spans="1:141" s="116" customFormat="1">
      <c r="A47567" s="136"/>
      <c r="CM47567" s="111"/>
      <c r="CQ47567" s="111"/>
      <c r="EF47567"/>
      <c r="EG47567"/>
      <c r="EH47567"/>
      <c r="EI47567"/>
      <c r="EJ47567"/>
      <c r="EK47567"/>
    </row>
    <row r="47568" spans="1:141" s="116" customFormat="1">
      <c r="A47568" s="136"/>
      <c r="CM47568" s="111"/>
      <c r="CQ47568" s="111"/>
      <c r="EF47568"/>
      <c r="EG47568"/>
      <c r="EH47568"/>
      <c r="EI47568"/>
      <c r="EJ47568"/>
      <c r="EK47568"/>
    </row>
    <row r="47569" spans="1:141" s="116" customFormat="1">
      <c r="A47569" s="136"/>
      <c r="CM47569" s="111"/>
      <c r="CQ47569" s="111"/>
      <c r="EF47569"/>
      <c r="EG47569"/>
      <c r="EH47569"/>
      <c r="EI47569"/>
      <c r="EJ47569"/>
      <c r="EK47569"/>
    </row>
    <row r="47570" spans="1:141" s="116" customFormat="1">
      <c r="A47570" s="136"/>
      <c r="CM47570" s="111"/>
      <c r="CQ47570" s="111"/>
      <c r="EF47570"/>
      <c r="EG47570"/>
      <c r="EH47570"/>
      <c r="EI47570"/>
      <c r="EJ47570"/>
      <c r="EK47570"/>
    </row>
    <row r="47571" spans="1:141" s="116" customFormat="1">
      <c r="A47571" s="136"/>
      <c r="CM47571" s="111"/>
      <c r="CQ47571" s="111"/>
      <c r="EF47571"/>
      <c r="EG47571"/>
      <c r="EH47571"/>
      <c r="EI47571"/>
      <c r="EJ47571"/>
      <c r="EK47571"/>
    </row>
    <row r="47572" spans="1:141" s="116" customFormat="1">
      <c r="A47572" s="136"/>
      <c r="CM47572" s="111"/>
      <c r="CQ47572" s="111"/>
      <c r="EF47572"/>
      <c r="EG47572"/>
      <c r="EH47572"/>
      <c r="EI47572"/>
      <c r="EJ47572"/>
      <c r="EK47572"/>
    </row>
    <row r="47573" spans="1:141" s="116" customFormat="1">
      <c r="A47573" s="136"/>
      <c r="CM47573" s="111"/>
      <c r="CQ47573" s="111"/>
      <c r="EF47573"/>
      <c r="EG47573"/>
      <c r="EH47573"/>
      <c r="EI47573"/>
      <c r="EJ47573"/>
      <c r="EK47573"/>
    </row>
    <row r="47574" spans="1:141" s="116" customFormat="1">
      <c r="A47574" s="136"/>
      <c r="CM47574" s="111"/>
      <c r="CQ47574" s="111"/>
      <c r="EF47574"/>
      <c r="EG47574"/>
      <c r="EH47574"/>
      <c r="EI47574"/>
      <c r="EJ47574"/>
      <c r="EK47574"/>
    </row>
    <row r="47575" spans="1:141" s="116" customFormat="1">
      <c r="A47575" s="136"/>
      <c r="CM47575" s="111"/>
      <c r="CQ47575" s="111"/>
      <c r="EF47575"/>
      <c r="EG47575"/>
      <c r="EH47575"/>
      <c r="EI47575"/>
      <c r="EJ47575"/>
      <c r="EK47575"/>
    </row>
    <row r="47576" spans="1:141" s="116" customFormat="1">
      <c r="A47576" s="136"/>
      <c r="CM47576" s="111"/>
      <c r="CQ47576" s="111"/>
      <c r="EF47576"/>
      <c r="EG47576"/>
      <c r="EH47576"/>
      <c r="EI47576"/>
      <c r="EJ47576"/>
      <c r="EK47576"/>
    </row>
    <row r="47577" spans="1:141" s="116" customFormat="1">
      <c r="A47577" s="136"/>
      <c r="CM47577" s="111"/>
      <c r="CQ47577" s="111"/>
      <c r="EF47577"/>
      <c r="EG47577"/>
      <c r="EH47577"/>
      <c r="EI47577"/>
      <c r="EJ47577"/>
      <c r="EK47577"/>
    </row>
    <row r="47578" spans="1:141" s="116" customFormat="1">
      <c r="A47578" s="136"/>
      <c r="CM47578" s="111"/>
      <c r="CQ47578" s="111"/>
      <c r="EF47578"/>
      <c r="EG47578"/>
      <c r="EH47578"/>
      <c r="EI47578"/>
      <c r="EJ47578"/>
      <c r="EK47578"/>
    </row>
    <row r="47579" spans="1:141" s="116" customFormat="1">
      <c r="A47579" s="136"/>
      <c r="CM47579" s="111"/>
      <c r="CQ47579" s="111"/>
      <c r="EF47579"/>
      <c r="EG47579"/>
      <c r="EH47579"/>
      <c r="EI47579"/>
      <c r="EJ47579"/>
      <c r="EK47579"/>
    </row>
    <row r="47580" spans="1:141" s="116" customFormat="1">
      <c r="A47580" s="136"/>
      <c r="CM47580" s="111"/>
      <c r="CQ47580" s="111"/>
      <c r="EF47580"/>
      <c r="EG47580"/>
      <c r="EH47580"/>
      <c r="EI47580"/>
      <c r="EJ47580"/>
      <c r="EK47580"/>
    </row>
    <row r="47581" spans="1:141" s="116" customFormat="1">
      <c r="A47581" s="136"/>
      <c r="CM47581" s="111"/>
      <c r="CQ47581" s="111"/>
      <c r="EF47581"/>
      <c r="EG47581"/>
      <c r="EH47581"/>
      <c r="EI47581"/>
      <c r="EJ47581"/>
      <c r="EK47581"/>
    </row>
    <row r="47582" spans="1:141" s="116" customFormat="1">
      <c r="A47582" s="136"/>
      <c r="CM47582" s="111"/>
      <c r="CQ47582" s="111"/>
      <c r="EF47582"/>
      <c r="EG47582"/>
      <c r="EH47582"/>
      <c r="EI47582"/>
      <c r="EJ47582"/>
      <c r="EK47582"/>
    </row>
    <row r="47583" spans="1:141" s="116" customFormat="1">
      <c r="A47583" s="136"/>
      <c r="CM47583" s="111"/>
      <c r="CQ47583" s="111"/>
      <c r="EF47583"/>
      <c r="EG47583"/>
      <c r="EH47583"/>
      <c r="EI47583"/>
      <c r="EJ47583"/>
      <c r="EK47583"/>
    </row>
    <row r="47584" spans="1:141" s="116" customFormat="1">
      <c r="A47584" s="136"/>
      <c r="CM47584" s="111"/>
      <c r="CQ47584" s="111"/>
      <c r="EF47584"/>
      <c r="EG47584"/>
      <c r="EH47584"/>
      <c r="EI47584"/>
      <c r="EJ47584"/>
      <c r="EK47584"/>
    </row>
    <row r="47585" spans="1:141" s="116" customFormat="1">
      <c r="A47585" s="136"/>
      <c r="CM47585" s="111"/>
      <c r="CQ47585" s="111"/>
      <c r="EF47585"/>
      <c r="EG47585"/>
      <c r="EH47585"/>
      <c r="EI47585"/>
      <c r="EJ47585"/>
      <c r="EK47585"/>
    </row>
    <row r="47586" spans="1:141" s="116" customFormat="1">
      <c r="A47586" s="136"/>
      <c r="CM47586" s="111"/>
      <c r="CQ47586" s="111"/>
      <c r="EF47586"/>
      <c r="EG47586"/>
      <c r="EH47586"/>
      <c r="EI47586"/>
      <c r="EJ47586"/>
      <c r="EK47586"/>
    </row>
    <row r="47587" spans="1:141" s="116" customFormat="1">
      <c r="A47587" s="136"/>
      <c r="CM47587" s="111"/>
      <c r="CQ47587" s="111"/>
      <c r="EF47587"/>
      <c r="EG47587"/>
      <c r="EH47587"/>
      <c r="EI47587"/>
      <c r="EJ47587"/>
      <c r="EK47587"/>
    </row>
    <row r="47588" spans="1:141" s="116" customFormat="1">
      <c r="A47588" s="136"/>
      <c r="CM47588" s="111"/>
      <c r="CQ47588" s="111"/>
      <c r="EF47588"/>
      <c r="EG47588"/>
      <c r="EH47588"/>
      <c r="EI47588"/>
      <c r="EJ47588"/>
      <c r="EK47588"/>
    </row>
    <row r="47589" spans="1:141" s="116" customFormat="1">
      <c r="A47589" s="136"/>
      <c r="CM47589" s="111"/>
      <c r="CQ47589" s="111"/>
      <c r="EF47589"/>
      <c r="EG47589"/>
      <c r="EH47589"/>
      <c r="EI47589"/>
      <c r="EJ47589"/>
      <c r="EK47589"/>
    </row>
    <row r="47590" spans="1:141" s="116" customFormat="1">
      <c r="A47590" s="136"/>
      <c r="CM47590" s="111"/>
      <c r="CQ47590" s="111"/>
      <c r="EF47590"/>
      <c r="EG47590"/>
      <c r="EH47590"/>
      <c r="EI47590"/>
      <c r="EJ47590"/>
      <c r="EK47590"/>
    </row>
    <row r="47591" spans="1:141" s="116" customFormat="1">
      <c r="A47591" s="136"/>
      <c r="CM47591" s="111"/>
      <c r="CQ47591" s="111"/>
      <c r="EF47591"/>
      <c r="EG47591"/>
      <c r="EH47591"/>
      <c r="EI47591"/>
      <c r="EJ47591"/>
      <c r="EK47591"/>
    </row>
    <row r="47592" spans="1:141" s="116" customFormat="1">
      <c r="A47592" s="136"/>
      <c r="CM47592" s="111"/>
      <c r="CQ47592" s="111"/>
      <c r="EF47592"/>
      <c r="EG47592"/>
      <c r="EH47592"/>
      <c r="EI47592"/>
      <c r="EJ47592"/>
      <c r="EK47592"/>
    </row>
    <row r="47593" spans="1:141" s="116" customFormat="1">
      <c r="A47593" s="136"/>
      <c r="CM47593" s="111"/>
      <c r="CQ47593" s="111"/>
      <c r="EF47593"/>
      <c r="EG47593"/>
      <c r="EH47593"/>
      <c r="EI47593"/>
      <c r="EJ47593"/>
      <c r="EK47593"/>
    </row>
    <row r="47594" spans="1:141" s="116" customFormat="1">
      <c r="A47594" s="136"/>
      <c r="CM47594" s="111"/>
      <c r="CQ47594" s="111"/>
      <c r="EF47594"/>
      <c r="EG47594"/>
      <c r="EH47594"/>
      <c r="EI47594"/>
      <c r="EJ47594"/>
      <c r="EK47594"/>
    </row>
    <row r="47595" spans="1:141" s="116" customFormat="1">
      <c r="A47595" s="136"/>
      <c r="CM47595" s="111"/>
      <c r="CQ47595" s="111"/>
      <c r="EF47595"/>
      <c r="EG47595"/>
      <c r="EH47595"/>
      <c r="EI47595"/>
      <c r="EJ47595"/>
      <c r="EK47595"/>
    </row>
    <row r="47596" spans="1:141" s="116" customFormat="1">
      <c r="A47596" s="136"/>
      <c r="CM47596" s="111"/>
      <c r="CQ47596" s="111"/>
      <c r="EF47596"/>
      <c r="EG47596"/>
      <c r="EH47596"/>
      <c r="EI47596"/>
      <c r="EJ47596"/>
      <c r="EK47596"/>
    </row>
    <row r="47597" spans="1:141" s="116" customFormat="1">
      <c r="A47597" s="136"/>
      <c r="CM47597" s="111"/>
      <c r="CQ47597" s="111"/>
      <c r="EF47597"/>
      <c r="EG47597"/>
      <c r="EH47597"/>
      <c r="EI47597"/>
      <c r="EJ47597"/>
      <c r="EK47597"/>
    </row>
    <row r="47598" spans="1:141" s="116" customFormat="1">
      <c r="A47598" s="136"/>
      <c r="CM47598" s="111"/>
      <c r="CQ47598" s="111"/>
      <c r="EF47598"/>
      <c r="EG47598"/>
      <c r="EH47598"/>
      <c r="EI47598"/>
      <c r="EJ47598"/>
      <c r="EK47598"/>
    </row>
    <row r="47599" spans="1:141" s="116" customFormat="1">
      <c r="A47599" s="136"/>
      <c r="CM47599" s="111"/>
      <c r="CQ47599" s="111"/>
      <c r="EF47599"/>
      <c r="EG47599"/>
      <c r="EH47599"/>
      <c r="EI47599"/>
      <c r="EJ47599"/>
      <c r="EK47599"/>
    </row>
    <row r="47600" spans="1:141" s="116" customFormat="1">
      <c r="A47600" s="136"/>
      <c r="CM47600" s="111"/>
      <c r="CQ47600" s="111"/>
      <c r="EF47600"/>
      <c r="EG47600"/>
      <c r="EH47600"/>
      <c r="EI47600"/>
      <c r="EJ47600"/>
      <c r="EK47600"/>
    </row>
    <row r="47601" spans="1:141" s="116" customFormat="1">
      <c r="A47601" s="136"/>
      <c r="CM47601" s="111"/>
      <c r="CQ47601" s="111"/>
      <c r="EF47601"/>
      <c r="EG47601"/>
      <c r="EH47601"/>
      <c r="EI47601"/>
      <c r="EJ47601"/>
      <c r="EK47601"/>
    </row>
    <row r="47602" spans="1:141" s="116" customFormat="1">
      <c r="A47602" s="136"/>
      <c r="CM47602" s="111"/>
      <c r="CQ47602" s="111"/>
      <c r="EF47602"/>
      <c r="EG47602"/>
      <c r="EH47602"/>
      <c r="EI47602"/>
      <c r="EJ47602"/>
      <c r="EK47602"/>
    </row>
    <row r="47603" spans="1:141" s="116" customFormat="1">
      <c r="A47603" s="136"/>
      <c r="CM47603" s="111"/>
      <c r="CQ47603" s="111"/>
      <c r="EF47603"/>
      <c r="EG47603"/>
      <c r="EH47603"/>
      <c r="EI47603"/>
      <c r="EJ47603"/>
      <c r="EK47603"/>
    </row>
    <row r="47604" spans="1:141" s="116" customFormat="1">
      <c r="A47604" s="136"/>
      <c r="CM47604" s="111"/>
      <c r="CQ47604" s="111"/>
      <c r="EF47604"/>
      <c r="EG47604"/>
      <c r="EH47604"/>
      <c r="EI47604"/>
      <c r="EJ47604"/>
      <c r="EK47604"/>
    </row>
    <row r="47605" spans="1:141" s="116" customFormat="1">
      <c r="A47605" s="136"/>
      <c r="CM47605" s="111"/>
      <c r="CQ47605" s="111"/>
      <c r="EF47605"/>
      <c r="EG47605"/>
      <c r="EH47605"/>
      <c r="EI47605"/>
      <c r="EJ47605"/>
      <c r="EK47605"/>
    </row>
    <row r="47606" spans="1:141" s="116" customFormat="1">
      <c r="A47606" s="136"/>
      <c r="CM47606" s="111"/>
      <c r="CQ47606" s="111"/>
      <c r="EF47606"/>
      <c r="EG47606"/>
      <c r="EH47606"/>
      <c r="EI47606"/>
      <c r="EJ47606"/>
      <c r="EK47606"/>
    </row>
    <row r="47607" spans="1:141" s="116" customFormat="1">
      <c r="A47607" s="136"/>
      <c r="CM47607" s="111"/>
      <c r="CQ47607" s="111"/>
      <c r="EF47607"/>
      <c r="EG47607"/>
      <c r="EH47607"/>
      <c r="EI47607"/>
      <c r="EJ47607"/>
      <c r="EK47607"/>
    </row>
    <row r="47608" spans="1:141" s="116" customFormat="1">
      <c r="A47608" s="136"/>
      <c r="CM47608" s="111"/>
      <c r="CQ47608" s="111"/>
      <c r="EF47608"/>
      <c r="EG47608"/>
      <c r="EH47608"/>
      <c r="EI47608"/>
      <c r="EJ47608"/>
      <c r="EK47608"/>
    </row>
    <row r="47609" spans="1:141" s="116" customFormat="1">
      <c r="A47609" s="136"/>
      <c r="CM47609" s="111"/>
      <c r="CQ47609" s="111"/>
      <c r="EF47609"/>
      <c r="EG47609"/>
      <c r="EH47609"/>
      <c r="EI47609"/>
      <c r="EJ47609"/>
      <c r="EK47609"/>
    </row>
    <row r="47610" spans="1:141" s="116" customFormat="1">
      <c r="A47610" s="136"/>
      <c r="CM47610" s="111"/>
      <c r="CQ47610" s="111"/>
      <c r="EF47610"/>
      <c r="EG47610"/>
      <c r="EH47610"/>
      <c r="EI47610"/>
      <c r="EJ47610"/>
      <c r="EK47610"/>
    </row>
    <row r="47611" spans="1:141" s="116" customFormat="1">
      <c r="A47611" s="136"/>
      <c r="CM47611" s="111"/>
      <c r="CQ47611" s="111"/>
      <c r="EF47611"/>
      <c r="EG47611"/>
      <c r="EH47611"/>
      <c r="EI47611"/>
      <c r="EJ47611"/>
      <c r="EK47611"/>
    </row>
    <row r="47612" spans="1:141" s="116" customFormat="1">
      <c r="A47612" s="136"/>
      <c r="CM47612" s="111"/>
      <c r="CQ47612" s="111"/>
      <c r="EF47612"/>
      <c r="EG47612"/>
      <c r="EH47612"/>
      <c r="EI47612"/>
      <c r="EJ47612"/>
      <c r="EK47612"/>
    </row>
    <row r="47613" spans="1:141" s="116" customFormat="1">
      <c r="A47613" s="136"/>
      <c r="CM47613" s="111"/>
      <c r="CQ47613" s="111"/>
      <c r="EF47613"/>
      <c r="EG47613"/>
      <c r="EH47613"/>
      <c r="EI47613"/>
      <c r="EJ47613"/>
      <c r="EK47613"/>
    </row>
    <row r="47614" spans="1:141" s="116" customFormat="1">
      <c r="A47614" s="136"/>
      <c r="CM47614" s="111"/>
      <c r="CQ47614" s="111"/>
      <c r="EF47614"/>
      <c r="EG47614"/>
      <c r="EH47614"/>
      <c r="EI47614"/>
      <c r="EJ47614"/>
      <c r="EK47614"/>
    </row>
    <row r="47615" spans="1:141" s="116" customFormat="1">
      <c r="A47615" s="136"/>
      <c r="CM47615" s="111"/>
      <c r="CQ47615" s="111"/>
      <c r="EF47615"/>
      <c r="EG47615"/>
      <c r="EH47615"/>
      <c r="EI47615"/>
      <c r="EJ47615"/>
      <c r="EK47615"/>
    </row>
    <row r="47616" spans="1:141" s="116" customFormat="1">
      <c r="A47616" s="136"/>
      <c r="CM47616" s="111"/>
      <c r="CQ47616" s="111"/>
      <c r="EF47616"/>
      <c r="EG47616"/>
      <c r="EH47616"/>
      <c r="EI47616"/>
      <c r="EJ47616"/>
      <c r="EK47616"/>
    </row>
    <row r="47617" spans="1:141" s="116" customFormat="1">
      <c r="A47617" s="136"/>
      <c r="CM47617" s="111"/>
      <c r="CQ47617" s="111"/>
      <c r="EF47617"/>
      <c r="EG47617"/>
      <c r="EH47617"/>
      <c r="EI47617"/>
      <c r="EJ47617"/>
      <c r="EK47617"/>
    </row>
    <row r="47618" spans="1:141" s="116" customFormat="1">
      <c r="A47618" s="136"/>
      <c r="CM47618" s="111"/>
      <c r="CQ47618" s="111"/>
      <c r="EF47618"/>
      <c r="EG47618"/>
      <c r="EH47618"/>
      <c r="EI47618"/>
      <c r="EJ47618"/>
      <c r="EK47618"/>
    </row>
    <row r="47619" spans="1:141" s="116" customFormat="1">
      <c r="A47619" s="136"/>
      <c r="CM47619" s="111"/>
      <c r="CQ47619" s="111"/>
      <c r="EF47619"/>
      <c r="EG47619"/>
      <c r="EH47619"/>
      <c r="EI47619"/>
      <c r="EJ47619"/>
      <c r="EK47619"/>
    </row>
    <row r="47620" spans="1:141" s="116" customFormat="1">
      <c r="A47620" s="136"/>
      <c r="CM47620" s="111"/>
      <c r="CQ47620" s="111"/>
      <c r="EF47620"/>
      <c r="EG47620"/>
      <c r="EH47620"/>
      <c r="EI47620"/>
      <c r="EJ47620"/>
      <c r="EK47620"/>
    </row>
    <row r="47621" spans="1:141" s="116" customFormat="1">
      <c r="A47621" s="136"/>
      <c r="CM47621" s="111"/>
      <c r="CQ47621" s="111"/>
      <c r="EF47621"/>
      <c r="EG47621"/>
      <c r="EH47621"/>
      <c r="EI47621"/>
      <c r="EJ47621"/>
      <c r="EK47621"/>
    </row>
    <row r="47622" spans="1:141" s="116" customFormat="1">
      <c r="A47622" s="136"/>
      <c r="CM47622" s="111"/>
      <c r="CQ47622" s="111"/>
      <c r="EF47622"/>
      <c r="EG47622"/>
      <c r="EH47622"/>
      <c r="EI47622"/>
      <c r="EJ47622"/>
      <c r="EK47622"/>
    </row>
    <row r="47623" spans="1:141" s="116" customFormat="1">
      <c r="A47623" s="136"/>
      <c r="CM47623" s="111"/>
      <c r="CQ47623" s="111"/>
      <c r="EF47623"/>
      <c r="EG47623"/>
      <c r="EH47623"/>
      <c r="EI47623"/>
      <c r="EJ47623"/>
      <c r="EK47623"/>
    </row>
    <row r="47624" spans="1:141" s="116" customFormat="1">
      <c r="A47624" s="136"/>
      <c r="CM47624" s="111"/>
      <c r="CQ47624" s="111"/>
      <c r="EF47624"/>
      <c r="EG47624"/>
      <c r="EH47624"/>
      <c r="EI47624"/>
      <c r="EJ47624"/>
      <c r="EK47624"/>
    </row>
    <row r="47625" spans="1:141" s="116" customFormat="1">
      <c r="A47625" s="136"/>
      <c r="CM47625" s="111"/>
      <c r="CQ47625" s="111"/>
      <c r="EF47625"/>
      <c r="EG47625"/>
      <c r="EH47625"/>
      <c r="EI47625"/>
      <c r="EJ47625"/>
      <c r="EK47625"/>
    </row>
    <row r="47626" spans="1:141" s="116" customFormat="1">
      <c r="A47626" s="136"/>
      <c r="CM47626" s="111"/>
      <c r="CQ47626" s="111"/>
      <c r="EF47626"/>
      <c r="EG47626"/>
      <c r="EH47626"/>
      <c r="EI47626"/>
      <c r="EJ47626"/>
      <c r="EK47626"/>
    </row>
    <row r="47627" spans="1:141" s="116" customFormat="1">
      <c r="A47627" s="136"/>
      <c r="CM47627" s="111"/>
      <c r="CQ47627" s="111"/>
      <c r="EF47627"/>
      <c r="EG47627"/>
      <c r="EH47627"/>
      <c r="EI47627"/>
      <c r="EJ47627"/>
      <c r="EK47627"/>
    </row>
    <row r="47628" spans="1:141" s="116" customFormat="1">
      <c r="A47628" s="136"/>
      <c r="CM47628" s="111"/>
      <c r="CQ47628" s="111"/>
      <c r="EF47628"/>
      <c r="EG47628"/>
      <c r="EH47628"/>
      <c r="EI47628"/>
      <c r="EJ47628"/>
      <c r="EK47628"/>
    </row>
    <row r="47629" spans="1:141" s="116" customFormat="1">
      <c r="A47629" s="136"/>
      <c r="CM47629" s="111"/>
      <c r="CQ47629" s="111"/>
      <c r="EF47629"/>
      <c r="EG47629"/>
      <c r="EH47629"/>
      <c r="EI47629"/>
      <c r="EJ47629"/>
      <c r="EK47629"/>
    </row>
    <row r="47630" spans="1:141" s="116" customFormat="1">
      <c r="A47630" s="136"/>
      <c r="CM47630" s="111"/>
      <c r="CQ47630" s="111"/>
      <c r="EF47630"/>
      <c r="EG47630"/>
      <c r="EH47630"/>
      <c r="EI47630"/>
      <c r="EJ47630"/>
      <c r="EK47630"/>
    </row>
    <row r="47631" spans="1:141" s="116" customFormat="1">
      <c r="A47631" s="136"/>
      <c r="CM47631" s="111"/>
      <c r="CQ47631" s="111"/>
      <c r="EF47631"/>
      <c r="EG47631"/>
      <c r="EH47631"/>
      <c r="EI47631"/>
      <c r="EJ47631"/>
      <c r="EK47631"/>
    </row>
    <row r="47632" spans="1:141" s="116" customFormat="1">
      <c r="A47632" s="136"/>
      <c r="CM47632" s="111"/>
      <c r="CQ47632" s="111"/>
      <c r="EF47632"/>
      <c r="EG47632"/>
      <c r="EH47632"/>
      <c r="EI47632"/>
      <c r="EJ47632"/>
      <c r="EK47632"/>
    </row>
    <row r="47633" spans="1:141" s="116" customFormat="1">
      <c r="A47633" s="136"/>
      <c r="CM47633" s="111"/>
      <c r="CQ47633" s="111"/>
      <c r="EF47633"/>
      <c r="EG47633"/>
      <c r="EH47633"/>
      <c r="EI47633"/>
      <c r="EJ47633"/>
      <c r="EK47633"/>
    </row>
    <row r="47634" spans="1:141" s="116" customFormat="1">
      <c r="A47634" s="136"/>
      <c r="CM47634" s="111"/>
      <c r="CQ47634" s="111"/>
      <c r="EF47634"/>
      <c r="EG47634"/>
      <c r="EH47634"/>
      <c r="EI47634"/>
      <c r="EJ47634"/>
      <c r="EK47634"/>
    </row>
    <row r="47635" spans="1:141" s="116" customFormat="1">
      <c r="A47635" s="136"/>
      <c r="CM47635" s="111"/>
      <c r="CQ47635" s="111"/>
      <c r="EF47635"/>
      <c r="EG47635"/>
      <c r="EH47635"/>
      <c r="EI47635"/>
      <c r="EJ47635"/>
      <c r="EK47635"/>
    </row>
    <row r="47636" spans="1:141" s="116" customFormat="1">
      <c r="A47636" s="136"/>
      <c r="CM47636" s="111"/>
      <c r="CQ47636" s="111"/>
      <c r="EF47636"/>
      <c r="EG47636"/>
      <c r="EH47636"/>
      <c r="EI47636"/>
      <c r="EJ47636"/>
      <c r="EK47636"/>
    </row>
    <row r="47637" spans="1:141" s="116" customFormat="1">
      <c r="A47637" s="136"/>
      <c r="CM47637" s="111"/>
      <c r="CQ47637" s="111"/>
      <c r="EF47637"/>
      <c r="EG47637"/>
      <c r="EH47637"/>
      <c r="EI47637"/>
      <c r="EJ47637"/>
      <c r="EK47637"/>
    </row>
    <row r="47638" spans="1:141" s="116" customFormat="1">
      <c r="A47638" s="136"/>
      <c r="CM47638" s="111"/>
      <c r="CQ47638" s="111"/>
      <c r="EF47638"/>
      <c r="EG47638"/>
      <c r="EH47638"/>
      <c r="EI47638"/>
      <c r="EJ47638"/>
      <c r="EK47638"/>
    </row>
    <row r="47639" spans="1:141" s="116" customFormat="1">
      <c r="A47639" s="136"/>
      <c r="CM47639" s="111"/>
      <c r="CQ47639" s="111"/>
      <c r="EF47639"/>
      <c r="EG47639"/>
      <c r="EH47639"/>
      <c r="EI47639"/>
      <c r="EJ47639"/>
      <c r="EK47639"/>
    </row>
    <row r="47640" spans="1:141" s="116" customFormat="1">
      <c r="A47640" s="136"/>
      <c r="CM47640" s="111"/>
      <c r="CQ47640" s="111"/>
      <c r="EF47640"/>
      <c r="EG47640"/>
      <c r="EH47640"/>
      <c r="EI47640"/>
      <c r="EJ47640"/>
      <c r="EK47640"/>
    </row>
    <row r="47641" spans="1:141" s="116" customFormat="1">
      <c r="A47641" s="136"/>
      <c r="CM47641" s="111"/>
      <c r="CQ47641" s="111"/>
      <c r="EF47641"/>
      <c r="EG47641"/>
      <c r="EH47641"/>
      <c r="EI47641"/>
      <c r="EJ47641"/>
      <c r="EK47641"/>
    </row>
    <row r="47642" spans="1:141" s="116" customFormat="1">
      <c r="A47642" s="136"/>
      <c r="CM47642" s="111"/>
      <c r="CQ47642" s="111"/>
      <c r="EF47642"/>
      <c r="EG47642"/>
      <c r="EH47642"/>
      <c r="EI47642"/>
      <c r="EJ47642"/>
      <c r="EK47642"/>
    </row>
    <row r="47643" spans="1:141" s="116" customFormat="1">
      <c r="A47643" s="136"/>
      <c r="CM47643" s="111"/>
      <c r="CQ47643" s="111"/>
      <c r="EF47643"/>
      <c r="EG47643"/>
      <c r="EH47643"/>
      <c r="EI47643"/>
      <c r="EJ47643"/>
      <c r="EK47643"/>
    </row>
    <row r="47644" spans="1:141" s="116" customFormat="1">
      <c r="A47644" s="136"/>
      <c r="CM47644" s="111"/>
      <c r="CQ47644" s="111"/>
      <c r="EF47644"/>
      <c r="EG47644"/>
      <c r="EH47644"/>
      <c r="EI47644"/>
      <c r="EJ47644"/>
      <c r="EK47644"/>
    </row>
    <row r="47645" spans="1:141" s="116" customFormat="1">
      <c r="A47645" s="136"/>
      <c r="CM47645" s="111"/>
      <c r="CQ47645" s="111"/>
      <c r="EF47645"/>
      <c r="EG47645"/>
      <c r="EH47645"/>
      <c r="EI47645"/>
      <c r="EJ47645"/>
      <c r="EK47645"/>
    </row>
    <row r="47646" spans="1:141" s="116" customFormat="1">
      <c r="A47646" s="136"/>
      <c r="CM47646" s="111"/>
      <c r="CQ47646" s="111"/>
      <c r="EF47646"/>
      <c r="EG47646"/>
      <c r="EH47646"/>
      <c r="EI47646"/>
      <c r="EJ47646"/>
      <c r="EK47646"/>
    </row>
    <row r="47647" spans="1:141" s="116" customFormat="1">
      <c r="A47647" s="136"/>
      <c r="CM47647" s="111"/>
      <c r="CQ47647" s="111"/>
      <c r="EF47647"/>
      <c r="EG47647"/>
      <c r="EH47647"/>
      <c r="EI47647"/>
      <c r="EJ47647"/>
      <c r="EK47647"/>
    </row>
    <row r="47648" spans="1:141" s="116" customFormat="1">
      <c r="A47648" s="136"/>
      <c r="CM47648" s="111"/>
      <c r="CQ47648" s="111"/>
      <c r="EF47648"/>
      <c r="EG47648"/>
      <c r="EH47648"/>
      <c r="EI47648"/>
      <c r="EJ47648"/>
      <c r="EK47648"/>
    </row>
    <row r="47649" spans="1:141" s="116" customFormat="1">
      <c r="A47649" s="136"/>
      <c r="CM47649" s="111"/>
      <c r="CQ47649" s="111"/>
      <c r="EF47649"/>
      <c r="EG47649"/>
      <c r="EH47649"/>
      <c r="EI47649"/>
      <c r="EJ47649"/>
      <c r="EK47649"/>
    </row>
    <row r="47650" spans="1:141" s="116" customFormat="1">
      <c r="A47650" s="136"/>
      <c r="CM47650" s="111"/>
      <c r="CQ47650" s="111"/>
      <c r="EF47650"/>
      <c r="EG47650"/>
      <c r="EH47650"/>
      <c r="EI47650"/>
      <c r="EJ47650"/>
      <c r="EK47650"/>
    </row>
    <row r="47651" spans="1:141" s="116" customFormat="1">
      <c r="A47651" s="136"/>
      <c r="CM47651" s="111"/>
      <c r="CQ47651" s="111"/>
      <c r="EF47651"/>
      <c r="EG47651"/>
      <c r="EH47651"/>
      <c r="EI47651"/>
      <c r="EJ47651"/>
      <c r="EK47651"/>
    </row>
    <row r="47652" spans="1:141" s="116" customFormat="1">
      <c r="A47652" s="136"/>
      <c r="CM47652" s="111"/>
      <c r="CQ47652" s="111"/>
      <c r="EF47652"/>
      <c r="EG47652"/>
      <c r="EH47652"/>
      <c r="EI47652"/>
      <c r="EJ47652"/>
      <c r="EK47652"/>
    </row>
    <row r="47653" spans="1:141" s="116" customFormat="1">
      <c r="A47653" s="136"/>
      <c r="CM47653" s="111"/>
      <c r="CQ47653" s="111"/>
      <c r="EF47653"/>
      <c r="EG47653"/>
      <c r="EH47653"/>
      <c r="EI47653"/>
      <c r="EJ47653"/>
      <c r="EK47653"/>
    </row>
    <row r="47654" spans="1:141" s="116" customFormat="1">
      <c r="A47654" s="136"/>
      <c r="CM47654" s="111"/>
      <c r="CQ47654" s="111"/>
      <c r="EF47654"/>
      <c r="EG47654"/>
      <c r="EH47654"/>
      <c r="EI47654"/>
      <c r="EJ47654"/>
      <c r="EK47654"/>
    </row>
    <row r="47655" spans="1:141" s="116" customFormat="1">
      <c r="A47655" s="136"/>
      <c r="CM47655" s="111"/>
      <c r="CQ47655" s="111"/>
      <c r="EF47655"/>
      <c r="EG47655"/>
      <c r="EH47655"/>
      <c r="EI47655"/>
      <c r="EJ47655"/>
      <c r="EK47655"/>
    </row>
    <row r="47656" spans="1:141" s="116" customFormat="1">
      <c r="A47656" s="136"/>
      <c r="CM47656" s="111"/>
      <c r="CQ47656" s="111"/>
      <c r="EF47656"/>
      <c r="EG47656"/>
      <c r="EH47656"/>
      <c r="EI47656"/>
      <c r="EJ47656"/>
      <c r="EK47656"/>
    </row>
    <row r="47657" spans="1:141" s="116" customFormat="1">
      <c r="A47657" s="136"/>
      <c r="CM47657" s="111"/>
      <c r="CQ47657" s="111"/>
      <c r="EF47657"/>
      <c r="EG47657"/>
      <c r="EH47657"/>
      <c r="EI47657"/>
      <c r="EJ47657"/>
      <c r="EK47657"/>
    </row>
    <row r="47658" spans="1:141" s="116" customFormat="1">
      <c r="A47658" s="136"/>
      <c r="CM47658" s="111"/>
      <c r="CQ47658" s="111"/>
      <c r="EF47658"/>
      <c r="EG47658"/>
      <c r="EH47658"/>
      <c r="EI47658"/>
      <c r="EJ47658"/>
      <c r="EK47658"/>
    </row>
    <row r="47659" spans="1:141" s="116" customFormat="1">
      <c r="A47659" s="136"/>
      <c r="CM47659" s="111"/>
      <c r="CQ47659" s="111"/>
      <c r="EF47659"/>
      <c r="EG47659"/>
      <c r="EH47659"/>
      <c r="EI47659"/>
      <c r="EJ47659"/>
      <c r="EK47659"/>
    </row>
    <row r="47660" spans="1:141" s="116" customFormat="1">
      <c r="A47660" s="136"/>
      <c r="CM47660" s="111"/>
      <c r="CQ47660" s="111"/>
      <c r="EF47660"/>
      <c r="EG47660"/>
      <c r="EH47660"/>
      <c r="EI47660"/>
      <c r="EJ47660"/>
      <c r="EK47660"/>
    </row>
    <row r="47661" spans="1:141" s="116" customFormat="1">
      <c r="A47661" s="136"/>
      <c r="CM47661" s="111"/>
      <c r="CQ47661" s="111"/>
      <c r="EF47661"/>
      <c r="EG47661"/>
      <c r="EH47661"/>
      <c r="EI47661"/>
      <c r="EJ47661"/>
      <c r="EK47661"/>
    </row>
    <row r="47662" spans="1:141" s="116" customFormat="1">
      <c r="A47662" s="136"/>
      <c r="CM47662" s="111"/>
      <c r="CQ47662" s="111"/>
      <c r="EF47662"/>
      <c r="EG47662"/>
      <c r="EH47662"/>
      <c r="EI47662"/>
      <c r="EJ47662"/>
      <c r="EK47662"/>
    </row>
    <row r="47663" spans="1:141" s="116" customFormat="1">
      <c r="A47663" s="136"/>
      <c r="CM47663" s="111"/>
      <c r="CQ47663" s="111"/>
      <c r="EF47663"/>
      <c r="EG47663"/>
      <c r="EH47663"/>
      <c r="EI47663"/>
      <c r="EJ47663"/>
      <c r="EK47663"/>
    </row>
    <row r="47664" spans="1:141" s="116" customFormat="1">
      <c r="A47664" s="136"/>
      <c r="CM47664" s="111"/>
      <c r="CQ47664" s="111"/>
      <c r="EF47664"/>
      <c r="EG47664"/>
      <c r="EH47664"/>
      <c r="EI47664"/>
      <c r="EJ47664"/>
      <c r="EK47664"/>
    </row>
    <row r="47665" spans="1:141" s="116" customFormat="1">
      <c r="A47665" s="136"/>
      <c r="CM47665" s="111"/>
      <c r="CQ47665" s="111"/>
      <c r="EF47665"/>
      <c r="EG47665"/>
      <c r="EH47665"/>
      <c r="EI47665"/>
      <c r="EJ47665"/>
      <c r="EK47665"/>
    </row>
    <row r="47666" spans="1:141" s="116" customFormat="1">
      <c r="A47666" s="136"/>
      <c r="CM47666" s="111"/>
      <c r="CQ47666" s="111"/>
      <c r="EF47666"/>
      <c r="EG47666"/>
      <c r="EH47666"/>
      <c r="EI47666"/>
      <c r="EJ47666"/>
      <c r="EK47666"/>
    </row>
    <row r="47667" spans="1:141" s="116" customFormat="1">
      <c r="A47667" s="136"/>
      <c r="CM47667" s="111"/>
      <c r="CQ47667" s="111"/>
      <c r="EF47667"/>
      <c r="EG47667"/>
      <c r="EH47667"/>
      <c r="EI47667"/>
      <c r="EJ47667"/>
      <c r="EK47667"/>
    </row>
    <row r="47668" spans="1:141" s="116" customFormat="1">
      <c r="A47668" s="136"/>
      <c r="CM47668" s="111"/>
      <c r="CQ47668" s="111"/>
      <c r="EF47668"/>
      <c r="EG47668"/>
      <c r="EH47668"/>
      <c r="EI47668"/>
      <c r="EJ47668"/>
      <c r="EK47668"/>
    </row>
    <row r="47669" spans="1:141" s="116" customFormat="1">
      <c r="A47669" s="136"/>
      <c r="CM47669" s="111"/>
      <c r="CQ47669" s="111"/>
      <c r="EF47669"/>
      <c r="EG47669"/>
      <c r="EH47669"/>
      <c r="EI47669"/>
      <c r="EJ47669"/>
      <c r="EK47669"/>
    </row>
    <row r="47670" spans="1:141" s="116" customFormat="1">
      <c r="A47670" s="136"/>
      <c r="CM47670" s="111"/>
      <c r="CQ47670" s="111"/>
      <c r="EF47670"/>
      <c r="EG47670"/>
      <c r="EH47670"/>
      <c r="EI47670"/>
      <c r="EJ47670"/>
      <c r="EK47670"/>
    </row>
    <row r="47671" spans="1:141" s="116" customFormat="1">
      <c r="A47671" s="136"/>
      <c r="CM47671" s="111"/>
      <c r="CQ47671" s="111"/>
      <c r="EF47671"/>
      <c r="EG47671"/>
      <c r="EH47671"/>
      <c r="EI47671"/>
      <c r="EJ47671"/>
      <c r="EK47671"/>
    </row>
    <row r="47672" spans="1:141" s="116" customFormat="1">
      <c r="A47672" s="136"/>
      <c r="CM47672" s="111"/>
      <c r="CQ47672" s="111"/>
      <c r="EF47672"/>
      <c r="EG47672"/>
      <c r="EH47672"/>
      <c r="EI47672"/>
      <c r="EJ47672"/>
      <c r="EK47672"/>
    </row>
    <row r="47673" spans="1:141" s="116" customFormat="1">
      <c r="A47673" s="136"/>
      <c r="CM47673" s="111"/>
      <c r="CQ47673" s="111"/>
      <c r="EF47673"/>
      <c r="EG47673"/>
      <c r="EH47673"/>
      <c r="EI47673"/>
      <c r="EJ47673"/>
      <c r="EK47673"/>
    </row>
    <row r="47674" spans="1:141" s="116" customFormat="1">
      <c r="A47674" s="136"/>
      <c r="CM47674" s="111"/>
      <c r="CQ47674" s="111"/>
      <c r="EF47674"/>
      <c r="EG47674"/>
      <c r="EH47674"/>
      <c r="EI47674"/>
      <c r="EJ47674"/>
      <c r="EK47674"/>
    </row>
    <row r="47675" spans="1:141" s="116" customFormat="1">
      <c r="A47675" s="136"/>
      <c r="CM47675" s="111"/>
      <c r="CQ47675" s="111"/>
      <c r="EF47675"/>
      <c r="EG47675"/>
      <c r="EH47675"/>
      <c r="EI47675"/>
      <c r="EJ47675"/>
      <c r="EK47675"/>
    </row>
    <row r="47676" spans="1:141" s="116" customFormat="1">
      <c r="A47676" s="136"/>
      <c r="CM47676" s="111"/>
      <c r="CQ47676" s="111"/>
      <c r="EF47676"/>
      <c r="EG47676"/>
      <c r="EH47676"/>
      <c r="EI47676"/>
      <c r="EJ47676"/>
      <c r="EK47676"/>
    </row>
    <row r="47677" spans="1:141" s="116" customFormat="1">
      <c r="A47677" s="136"/>
      <c r="CM47677" s="111"/>
      <c r="CQ47677" s="111"/>
      <c r="EF47677"/>
      <c r="EG47677"/>
      <c r="EH47677"/>
      <c r="EI47677"/>
      <c r="EJ47677"/>
      <c r="EK47677"/>
    </row>
    <row r="47678" spans="1:141" s="116" customFormat="1">
      <c r="A47678" s="136"/>
      <c r="CM47678" s="111"/>
      <c r="CQ47678" s="111"/>
      <c r="EF47678"/>
      <c r="EG47678"/>
      <c r="EH47678"/>
      <c r="EI47678"/>
      <c r="EJ47678"/>
      <c r="EK47678"/>
    </row>
    <row r="47679" spans="1:141" s="116" customFormat="1">
      <c r="A47679" s="136"/>
      <c r="CM47679" s="111"/>
      <c r="CQ47679" s="111"/>
      <c r="EF47679"/>
      <c r="EG47679"/>
      <c r="EH47679"/>
      <c r="EI47679"/>
      <c r="EJ47679"/>
      <c r="EK47679"/>
    </row>
    <row r="47680" spans="1:141" s="116" customFormat="1">
      <c r="A47680" s="136"/>
      <c r="CM47680" s="111"/>
      <c r="CQ47680" s="111"/>
      <c r="EF47680"/>
      <c r="EG47680"/>
      <c r="EH47680"/>
      <c r="EI47680"/>
      <c r="EJ47680"/>
      <c r="EK47680"/>
    </row>
    <row r="47681" spans="1:141" s="116" customFormat="1">
      <c r="A47681" s="136"/>
      <c r="CM47681" s="111"/>
      <c r="CQ47681" s="111"/>
      <c r="EF47681"/>
      <c r="EG47681"/>
      <c r="EH47681"/>
      <c r="EI47681"/>
      <c r="EJ47681"/>
      <c r="EK47681"/>
    </row>
    <row r="47682" spans="1:141" s="116" customFormat="1">
      <c r="A47682" s="136"/>
      <c r="CM47682" s="111"/>
      <c r="CQ47682" s="111"/>
      <c r="EF47682"/>
      <c r="EG47682"/>
      <c r="EH47682"/>
      <c r="EI47682"/>
      <c r="EJ47682"/>
      <c r="EK47682"/>
    </row>
    <row r="47683" spans="1:141" s="116" customFormat="1">
      <c r="A47683" s="136"/>
      <c r="CM47683" s="111"/>
      <c r="CQ47683" s="111"/>
      <c r="EF47683"/>
      <c r="EG47683"/>
      <c r="EH47683"/>
      <c r="EI47683"/>
      <c r="EJ47683"/>
      <c r="EK47683"/>
    </row>
    <row r="47684" spans="1:141" s="116" customFormat="1">
      <c r="A47684" s="136"/>
      <c r="CM47684" s="111"/>
      <c r="CQ47684" s="111"/>
      <c r="EF47684"/>
      <c r="EG47684"/>
      <c r="EH47684"/>
      <c r="EI47684"/>
      <c r="EJ47684"/>
      <c r="EK47684"/>
    </row>
    <row r="47685" spans="1:141" s="116" customFormat="1">
      <c r="A47685" s="136"/>
      <c r="CM47685" s="111"/>
      <c r="CQ47685" s="111"/>
      <c r="EF47685"/>
      <c r="EG47685"/>
      <c r="EH47685"/>
      <c r="EI47685"/>
      <c r="EJ47685"/>
      <c r="EK47685"/>
    </row>
    <row r="47686" spans="1:141" s="116" customFormat="1">
      <c r="A47686" s="136"/>
      <c r="CM47686" s="111"/>
      <c r="CQ47686" s="111"/>
      <c r="EF47686"/>
      <c r="EG47686"/>
      <c r="EH47686"/>
      <c r="EI47686"/>
      <c r="EJ47686"/>
      <c r="EK47686"/>
    </row>
    <row r="47687" spans="1:141" s="116" customFormat="1">
      <c r="A47687" s="136"/>
      <c r="CM47687" s="111"/>
      <c r="CQ47687" s="111"/>
      <c r="EF47687"/>
      <c r="EG47687"/>
      <c r="EH47687"/>
      <c r="EI47687"/>
      <c r="EJ47687"/>
      <c r="EK47687"/>
    </row>
    <row r="47688" spans="1:141" s="116" customFormat="1">
      <c r="A47688" s="136"/>
      <c r="CM47688" s="111"/>
      <c r="CQ47688" s="111"/>
      <c r="EF47688"/>
      <c r="EG47688"/>
      <c r="EH47688"/>
      <c r="EI47688"/>
      <c r="EJ47688"/>
      <c r="EK47688"/>
    </row>
    <row r="47689" spans="1:141" s="116" customFormat="1">
      <c r="A47689" s="136"/>
      <c r="CM47689" s="111"/>
      <c r="CQ47689" s="111"/>
      <c r="EF47689"/>
      <c r="EG47689"/>
      <c r="EH47689"/>
      <c r="EI47689"/>
      <c r="EJ47689"/>
      <c r="EK47689"/>
    </row>
    <row r="47690" spans="1:141" s="116" customFormat="1">
      <c r="A47690" s="136"/>
      <c r="CM47690" s="111"/>
      <c r="CQ47690" s="111"/>
      <c r="EF47690"/>
      <c r="EG47690"/>
      <c r="EH47690"/>
      <c r="EI47690"/>
      <c r="EJ47690"/>
      <c r="EK47690"/>
    </row>
    <row r="47691" spans="1:141" s="116" customFormat="1">
      <c r="A47691" s="136"/>
      <c r="CM47691" s="111"/>
      <c r="CQ47691" s="111"/>
      <c r="EF47691"/>
      <c r="EG47691"/>
      <c r="EH47691"/>
      <c r="EI47691"/>
      <c r="EJ47691"/>
      <c r="EK47691"/>
    </row>
    <row r="47692" spans="1:141" s="116" customFormat="1">
      <c r="A47692" s="136"/>
      <c r="CM47692" s="111"/>
      <c r="CQ47692" s="111"/>
      <c r="EF47692"/>
      <c r="EG47692"/>
      <c r="EH47692"/>
      <c r="EI47692"/>
      <c r="EJ47692"/>
      <c r="EK47692"/>
    </row>
    <row r="47693" spans="1:141" s="116" customFormat="1">
      <c r="A47693" s="136"/>
      <c r="CM47693" s="111"/>
      <c r="CQ47693" s="111"/>
      <c r="EF47693"/>
      <c r="EG47693"/>
      <c r="EH47693"/>
      <c r="EI47693"/>
      <c r="EJ47693"/>
      <c r="EK47693"/>
    </row>
    <row r="47694" spans="1:141" s="116" customFormat="1">
      <c r="A47694" s="136"/>
      <c r="CM47694" s="111"/>
      <c r="CQ47694" s="111"/>
      <c r="EF47694"/>
      <c r="EG47694"/>
      <c r="EH47694"/>
      <c r="EI47694"/>
      <c r="EJ47694"/>
      <c r="EK47694"/>
    </row>
    <row r="47695" spans="1:141" s="116" customFormat="1">
      <c r="A47695" s="136"/>
      <c r="CM47695" s="111"/>
      <c r="CQ47695" s="111"/>
      <c r="EF47695"/>
      <c r="EG47695"/>
      <c r="EH47695"/>
      <c r="EI47695"/>
      <c r="EJ47695"/>
      <c r="EK47695"/>
    </row>
    <row r="47696" spans="1:141" s="116" customFormat="1">
      <c r="A47696" s="136"/>
      <c r="CM47696" s="111"/>
      <c r="CQ47696" s="111"/>
      <c r="EF47696"/>
      <c r="EG47696"/>
      <c r="EH47696"/>
      <c r="EI47696"/>
      <c r="EJ47696"/>
      <c r="EK47696"/>
    </row>
    <row r="47697" spans="1:141" s="116" customFormat="1">
      <c r="A47697" s="136"/>
      <c r="CM47697" s="111"/>
      <c r="CQ47697" s="111"/>
      <c r="EF47697"/>
      <c r="EG47697"/>
      <c r="EH47697"/>
      <c r="EI47697"/>
      <c r="EJ47697"/>
      <c r="EK47697"/>
    </row>
    <row r="47698" spans="1:141" s="116" customFormat="1">
      <c r="A47698" s="136"/>
      <c r="CM47698" s="111"/>
      <c r="CQ47698" s="111"/>
      <c r="EF47698"/>
      <c r="EG47698"/>
      <c r="EH47698"/>
      <c r="EI47698"/>
      <c r="EJ47698"/>
      <c r="EK47698"/>
    </row>
    <row r="47699" spans="1:141" s="116" customFormat="1">
      <c r="A47699" s="136"/>
      <c r="CM47699" s="111"/>
      <c r="CQ47699" s="111"/>
      <c r="EF47699"/>
      <c r="EG47699"/>
      <c r="EH47699"/>
      <c r="EI47699"/>
      <c r="EJ47699"/>
      <c r="EK47699"/>
    </row>
    <row r="47700" spans="1:141" s="116" customFormat="1">
      <c r="A47700" s="136"/>
      <c r="CM47700" s="111"/>
      <c r="CQ47700" s="111"/>
      <c r="EF47700"/>
      <c r="EG47700"/>
      <c r="EH47700"/>
      <c r="EI47700"/>
      <c r="EJ47700"/>
      <c r="EK47700"/>
    </row>
    <row r="47701" spans="1:141" s="116" customFormat="1">
      <c r="A47701" s="136"/>
      <c r="CM47701" s="111"/>
      <c r="CQ47701" s="111"/>
      <c r="EF47701"/>
      <c r="EG47701"/>
      <c r="EH47701"/>
      <c r="EI47701"/>
      <c r="EJ47701"/>
      <c r="EK47701"/>
    </row>
    <row r="47702" spans="1:141" s="116" customFormat="1">
      <c r="A47702" s="136"/>
      <c r="CM47702" s="111"/>
      <c r="CQ47702" s="111"/>
      <c r="EF47702"/>
      <c r="EG47702"/>
      <c r="EH47702"/>
      <c r="EI47702"/>
      <c r="EJ47702"/>
      <c r="EK47702"/>
    </row>
    <row r="47703" spans="1:141" s="116" customFormat="1">
      <c r="A47703" s="136"/>
      <c r="CM47703" s="111"/>
      <c r="CQ47703" s="111"/>
      <c r="EF47703"/>
      <c r="EG47703"/>
      <c r="EH47703"/>
      <c r="EI47703"/>
      <c r="EJ47703"/>
      <c r="EK47703"/>
    </row>
    <row r="47704" spans="1:141" s="116" customFormat="1">
      <c r="A47704" s="136"/>
      <c r="CM47704" s="111"/>
      <c r="CQ47704" s="111"/>
      <c r="EF47704"/>
      <c r="EG47704"/>
      <c r="EH47704"/>
      <c r="EI47704"/>
      <c r="EJ47704"/>
      <c r="EK47704"/>
    </row>
    <row r="47705" spans="1:141" s="116" customFormat="1">
      <c r="A47705" s="136"/>
      <c r="CM47705" s="111"/>
      <c r="CQ47705" s="111"/>
      <c r="EF47705"/>
      <c r="EG47705"/>
      <c r="EH47705"/>
      <c r="EI47705"/>
      <c r="EJ47705"/>
      <c r="EK47705"/>
    </row>
    <row r="47706" spans="1:141" s="116" customFormat="1">
      <c r="A47706" s="136"/>
      <c r="CM47706" s="111"/>
      <c r="CQ47706" s="111"/>
      <c r="EF47706"/>
      <c r="EG47706"/>
      <c r="EH47706"/>
      <c r="EI47706"/>
      <c r="EJ47706"/>
      <c r="EK47706"/>
    </row>
    <row r="47707" spans="1:141" s="116" customFormat="1">
      <c r="A47707" s="136"/>
      <c r="CM47707" s="111"/>
      <c r="CQ47707" s="111"/>
      <c r="EF47707"/>
      <c r="EG47707"/>
      <c r="EH47707"/>
      <c r="EI47707"/>
      <c r="EJ47707"/>
      <c r="EK47707"/>
    </row>
    <row r="47708" spans="1:141" s="116" customFormat="1">
      <c r="A47708" s="136"/>
      <c r="CM47708" s="111"/>
      <c r="CQ47708" s="111"/>
      <c r="EF47708"/>
      <c r="EG47708"/>
      <c r="EH47708"/>
      <c r="EI47708"/>
      <c r="EJ47708"/>
      <c r="EK47708"/>
    </row>
    <row r="47709" spans="1:141" s="116" customFormat="1">
      <c r="A47709" s="136"/>
      <c r="CM47709" s="111"/>
      <c r="CQ47709" s="111"/>
      <c r="EF47709"/>
      <c r="EG47709"/>
      <c r="EH47709"/>
      <c r="EI47709"/>
      <c r="EJ47709"/>
      <c r="EK47709"/>
    </row>
    <row r="47710" spans="1:141" s="116" customFormat="1">
      <c r="A47710" s="136"/>
      <c r="CM47710" s="111"/>
      <c r="CQ47710" s="111"/>
      <c r="EF47710"/>
      <c r="EG47710"/>
      <c r="EH47710"/>
      <c r="EI47710"/>
      <c r="EJ47710"/>
      <c r="EK47710"/>
    </row>
    <row r="47711" spans="1:141" s="116" customFormat="1">
      <c r="A47711" s="136"/>
      <c r="CM47711" s="111"/>
      <c r="CQ47711" s="111"/>
      <c r="EF47711"/>
      <c r="EG47711"/>
      <c r="EH47711"/>
      <c r="EI47711"/>
      <c r="EJ47711"/>
      <c r="EK47711"/>
    </row>
    <row r="47712" spans="1:141" s="116" customFormat="1">
      <c r="A47712" s="136"/>
      <c r="CM47712" s="111"/>
      <c r="CQ47712" s="111"/>
      <c r="EF47712"/>
      <c r="EG47712"/>
      <c r="EH47712"/>
      <c r="EI47712"/>
      <c r="EJ47712"/>
      <c r="EK47712"/>
    </row>
    <row r="47713" spans="1:141" s="116" customFormat="1">
      <c r="A47713" s="136"/>
      <c r="CM47713" s="111"/>
      <c r="CQ47713" s="111"/>
      <c r="EF47713"/>
      <c r="EG47713"/>
      <c r="EH47713"/>
      <c r="EI47713"/>
      <c r="EJ47713"/>
      <c r="EK47713"/>
    </row>
    <row r="47714" spans="1:141" s="116" customFormat="1">
      <c r="A47714" s="136"/>
      <c r="CM47714" s="111"/>
      <c r="CQ47714" s="111"/>
      <c r="EF47714"/>
      <c r="EG47714"/>
      <c r="EH47714"/>
      <c r="EI47714"/>
      <c r="EJ47714"/>
      <c r="EK47714"/>
    </row>
    <row r="47715" spans="1:141" s="116" customFormat="1">
      <c r="A47715" s="136"/>
      <c r="CM47715" s="111"/>
      <c r="CQ47715" s="111"/>
      <c r="EF47715"/>
      <c r="EG47715"/>
      <c r="EH47715"/>
      <c r="EI47715"/>
      <c r="EJ47715"/>
      <c r="EK47715"/>
    </row>
    <row r="47716" spans="1:141" s="116" customFormat="1">
      <c r="A47716" s="136"/>
      <c r="CM47716" s="111"/>
      <c r="CQ47716" s="111"/>
      <c r="EF47716"/>
      <c r="EG47716"/>
      <c r="EH47716"/>
      <c r="EI47716"/>
      <c r="EJ47716"/>
      <c r="EK47716"/>
    </row>
    <row r="47717" spans="1:141" s="116" customFormat="1">
      <c r="A47717" s="136"/>
      <c r="CM47717" s="111"/>
      <c r="CQ47717" s="111"/>
      <c r="EF47717"/>
      <c r="EG47717"/>
      <c r="EH47717"/>
      <c r="EI47717"/>
      <c r="EJ47717"/>
      <c r="EK47717"/>
    </row>
    <row r="47718" spans="1:141" s="116" customFormat="1">
      <c r="A47718" s="136"/>
      <c r="CM47718" s="111"/>
      <c r="CQ47718" s="111"/>
      <c r="EF47718"/>
      <c r="EG47718"/>
      <c r="EH47718"/>
      <c r="EI47718"/>
      <c r="EJ47718"/>
      <c r="EK47718"/>
    </row>
    <row r="47719" spans="1:141" s="116" customFormat="1">
      <c r="A47719" s="136"/>
      <c r="CM47719" s="111"/>
      <c r="CQ47719" s="111"/>
      <c r="EF47719"/>
      <c r="EG47719"/>
      <c r="EH47719"/>
      <c r="EI47719"/>
      <c r="EJ47719"/>
      <c r="EK47719"/>
    </row>
    <row r="47720" spans="1:141" s="116" customFormat="1">
      <c r="A47720" s="136"/>
      <c r="CM47720" s="111"/>
      <c r="CQ47720" s="111"/>
      <c r="EF47720"/>
      <c r="EG47720"/>
      <c r="EH47720"/>
      <c r="EI47720"/>
      <c r="EJ47720"/>
      <c r="EK47720"/>
    </row>
    <row r="47721" spans="1:141" s="116" customFormat="1">
      <c r="A47721" s="136"/>
      <c r="CM47721" s="111"/>
      <c r="CQ47721" s="111"/>
      <c r="EF47721"/>
      <c r="EG47721"/>
      <c r="EH47721"/>
      <c r="EI47721"/>
      <c r="EJ47721"/>
      <c r="EK47721"/>
    </row>
    <row r="47722" spans="1:141" s="116" customFormat="1">
      <c r="A47722" s="136"/>
      <c r="CM47722" s="111"/>
      <c r="CQ47722" s="111"/>
      <c r="EF47722"/>
      <c r="EG47722"/>
      <c r="EH47722"/>
      <c r="EI47722"/>
      <c r="EJ47722"/>
      <c r="EK47722"/>
    </row>
    <row r="47723" spans="1:141" s="116" customFormat="1">
      <c r="A47723" s="136"/>
      <c r="CM47723" s="111"/>
      <c r="CQ47723" s="111"/>
      <c r="EF47723"/>
      <c r="EG47723"/>
      <c r="EH47723"/>
      <c r="EI47723"/>
      <c r="EJ47723"/>
      <c r="EK47723"/>
    </row>
    <row r="47724" spans="1:141" s="116" customFormat="1">
      <c r="A47724" s="136"/>
      <c r="CM47724" s="111"/>
      <c r="CQ47724" s="111"/>
      <c r="EF47724"/>
      <c r="EG47724"/>
      <c r="EH47724"/>
      <c r="EI47724"/>
      <c r="EJ47724"/>
      <c r="EK47724"/>
    </row>
    <row r="47725" spans="1:141" s="116" customFormat="1">
      <c r="A47725" s="136"/>
      <c r="CM47725" s="111"/>
      <c r="CQ47725" s="111"/>
      <c r="EF47725"/>
      <c r="EG47725"/>
      <c r="EH47725"/>
      <c r="EI47725"/>
      <c r="EJ47725"/>
      <c r="EK47725"/>
    </row>
    <row r="47726" spans="1:141" s="116" customFormat="1">
      <c r="A47726" s="136"/>
      <c r="CM47726" s="111"/>
      <c r="CQ47726" s="111"/>
      <c r="EF47726"/>
      <c r="EG47726"/>
      <c r="EH47726"/>
      <c r="EI47726"/>
      <c r="EJ47726"/>
      <c r="EK47726"/>
    </row>
    <row r="47727" spans="1:141" s="116" customFormat="1">
      <c r="A47727" s="136"/>
      <c r="CM47727" s="111"/>
      <c r="CQ47727" s="111"/>
      <c r="EF47727"/>
      <c r="EG47727"/>
      <c r="EH47727"/>
      <c r="EI47727"/>
      <c r="EJ47727"/>
      <c r="EK47727"/>
    </row>
    <row r="47728" spans="1:141" s="116" customFormat="1">
      <c r="A47728" s="136"/>
      <c r="CM47728" s="111"/>
      <c r="CQ47728" s="111"/>
      <c r="EF47728"/>
      <c r="EG47728"/>
      <c r="EH47728"/>
      <c r="EI47728"/>
      <c r="EJ47728"/>
      <c r="EK47728"/>
    </row>
    <row r="47729" spans="1:141" s="116" customFormat="1">
      <c r="A47729" s="136"/>
      <c r="CM47729" s="111"/>
      <c r="CQ47729" s="111"/>
      <c r="EF47729"/>
      <c r="EG47729"/>
      <c r="EH47729"/>
      <c r="EI47729"/>
      <c r="EJ47729"/>
      <c r="EK47729"/>
    </row>
    <row r="47730" spans="1:141" s="116" customFormat="1">
      <c r="A47730" s="136"/>
      <c r="CM47730" s="111"/>
      <c r="CQ47730" s="111"/>
      <c r="EF47730"/>
      <c r="EG47730"/>
      <c r="EH47730"/>
      <c r="EI47730"/>
      <c r="EJ47730"/>
      <c r="EK47730"/>
    </row>
    <row r="47731" spans="1:141" s="116" customFormat="1">
      <c r="A47731" s="136"/>
      <c r="CM47731" s="111"/>
      <c r="CQ47731" s="111"/>
      <c r="EF47731"/>
      <c r="EG47731"/>
      <c r="EH47731"/>
      <c r="EI47731"/>
      <c r="EJ47731"/>
      <c r="EK47731"/>
    </row>
    <row r="47732" spans="1:141" s="116" customFormat="1">
      <c r="A47732" s="136"/>
      <c r="CM47732" s="111"/>
      <c r="CQ47732" s="111"/>
      <c r="EF47732"/>
      <c r="EG47732"/>
      <c r="EH47732"/>
      <c r="EI47732"/>
      <c r="EJ47732"/>
      <c r="EK47732"/>
    </row>
    <row r="47733" spans="1:141" s="116" customFormat="1">
      <c r="A47733" s="136"/>
      <c r="CM47733" s="111"/>
      <c r="CQ47733" s="111"/>
      <c r="EF47733"/>
      <c r="EG47733"/>
      <c r="EH47733"/>
      <c r="EI47733"/>
      <c r="EJ47733"/>
      <c r="EK47733"/>
    </row>
    <row r="47734" spans="1:141" s="116" customFormat="1">
      <c r="A47734" s="136"/>
      <c r="CM47734" s="111"/>
      <c r="CQ47734" s="111"/>
      <c r="EF47734"/>
      <c r="EG47734"/>
      <c r="EH47734"/>
      <c r="EI47734"/>
      <c r="EJ47734"/>
      <c r="EK47734"/>
    </row>
    <row r="47735" spans="1:141" s="116" customFormat="1">
      <c r="A47735" s="136"/>
      <c r="CM47735" s="111"/>
      <c r="CQ47735" s="111"/>
      <c r="EF47735"/>
      <c r="EG47735"/>
      <c r="EH47735"/>
      <c r="EI47735"/>
      <c r="EJ47735"/>
      <c r="EK47735"/>
    </row>
    <row r="47736" spans="1:141" s="116" customFormat="1">
      <c r="A47736" s="136"/>
      <c r="CM47736" s="111"/>
      <c r="CQ47736" s="111"/>
      <c r="EF47736"/>
      <c r="EG47736"/>
      <c r="EH47736"/>
      <c r="EI47736"/>
      <c r="EJ47736"/>
      <c r="EK47736"/>
    </row>
    <row r="47737" spans="1:141" s="116" customFormat="1">
      <c r="A47737" s="136"/>
      <c r="CM47737" s="111"/>
      <c r="CQ47737" s="111"/>
      <c r="EF47737"/>
      <c r="EG47737"/>
      <c r="EH47737"/>
      <c r="EI47737"/>
      <c r="EJ47737"/>
      <c r="EK47737"/>
    </row>
    <row r="47738" spans="1:141" s="116" customFormat="1">
      <c r="A47738" s="136"/>
      <c r="CM47738" s="111"/>
      <c r="CQ47738" s="111"/>
      <c r="EF47738"/>
      <c r="EG47738"/>
      <c r="EH47738"/>
      <c r="EI47738"/>
      <c r="EJ47738"/>
      <c r="EK47738"/>
    </row>
    <row r="47739" spans="1:141" s="116" customFormat="1">
      <c r="A47739" s="136"/>
      <c r="CM47739" s="111"/>
      <c r="CQ47739" s="111"/>
      <c r="EF47739"/>
      <c r="EG47739"/>
      <c r="EH47739"/>
      <c r="EI47739"/>
      <c r="EJ47739"/>
      <c r="EK47739"/>
    </row>
    <row r="47740" spans="1:141" s="116" customFormat="1">
      <c r="A47740" s="136"/>
      <c r="CM47740" s="111"/>
      <c r="CQ47740" s="111"/>
      <c r="EF47740"/>
      <c r="EG47740"/>
      <c r="EH47740"/>
      <c r="EI47740"/>
      <c r="EJ47740"/>
      <c r="EK47740"/>
    </row>
    <row r="47741" spans="1:141" s="116" customFormat="1">
      <c r="A47741" s="136"/>
      <c r="CM47741" s="111"/>
      <c r="CQ47741" s="111"/>
      <c r="EF47741"/>
      <c r="EG47741"/>
      <c r="EH47741"/>
      <c r="EI47741"/>
      <c r="EJ47741"/>
      <c r="EK47741"/>
    </row>
    <row r="47742" spans="1:141" s="116" customFormat="1">
      <c r="A47742" s="136"/>
      <c r="CM47742" s="111"/>
      <c r="CQ47742" s="111"/>
      <c r="EF47742"/>
      <c r="EG47742"/>
      <c r="EH47742"/>
      <c r="EI47742"/>
      <c r="EJ47742"/>
      <c r="EK47742"/>
    </row>
    <row r="47743" spans="1:141" s="116" customFormat="1">
      <c r="A47743" s="136"/>
      <c r="CM47743" s="111"/>
      <c r="CQ47743" s="111"/>
      <c r="EF47743"/>
      <c r="EG47743"/>
      <c r="EH47743"/>
      <c r="EI47743"/>
      <c r="EJ47743"/>
      <c r="EK47743"/>
    </row>
    <row r="47744" spans="1:141" s="116" customFormat="1">
      <c r="A47744" s="136"/>
      <c r="CM47744" s="111"/>
      <c r="CQ47744" s="111"/>
      <c r="EF47744"/>
      <c r="EG47744"/>
      <c r="EH47744"/>
      <c r="EI47744"/>
      <c r="EJ47744"/>
      <c r="EK47744"/>
    </row>
    <row r="47745" spans="1:141" s="116" customFormat="1">
      <c r="A47745" s="136"/>
      <c r="CM47745" s="111"/>
      <c r="CQ47745" s="111"/>
      <c r="EF47745"/>
      <c r="EG47745"/>
      <c r="EH47745"/>
      <c r="EI47745"/>
      <c r="EJ47745"/>
      <c r="EK47745"/>
    </row>
    <row r="47746" spans="1:141" s="116" customFormat="1">
      <c r="A47746" s="136"/>
      <c r="CM47746" s="111"/>
      <c r="CQ47746" s="111"/>
      <c r="EF47746"/>
      <c r="EG47746"/>
      <c r="EH47746"/>
      <c r="EI47746"/>
      <c r="EJ47746"/>
      <c r="EK47746"/>
    </row>
    <row r="47747" spans="1:141" s="116" customFormat="1">
      <c r="A47747" s="136"/>
      <c r="CM47747" s="111"/>
      <c r="CQ47747" s="111"/>
      <c r="EF47747"/>
      <c r="EG47747"/>
      <c r="EH47747"/>
      <c r="EI47747"/>
      <c r="EJ47747"/>
      <c r="EK47747"/>
    </row>
    <row r="47748" spans="1:141" s="116" customFormat="1">
      <c r="A47748" s="136"/>
      <c r="CM47748" s="111"/>
      <c r="CQ47748" s="111"/>
      <c r="EF47748"/>
      <c r="EG47748"/>
      <c r="EH47748"/>
      <c r="EI47748"/>
      <c r="EJ47748"/>
      <c r="EK47748"/>
    </row>
    <row r="47749" spans="1:141" s="116" customFormat="1">
      <c r="A47749" s="136"/>
      <c r="CM47749" s="111"/>
      <c r="CQ47749" s="111"/>
      <c r="EF47749"/>
      <c r="EG47749"/>
      <c r="EH47749"/>
      <c r="EI47749"/>
      <c r="EJ47749"/>
      <c r="EK47749"/>
    </row>
    <row r="47750" spans="1:141" s="116" customFormat="1">
      <c r="A47750" s="136"/>
      <c r="CM47750" s="111"/>
      <c r="CQ47750" s="111"/>
      <c r="EF47750"/>
      <c r="EG47750"/>
      <c r="EH47750"/>
      <c r="EI47750"/>
      <c r="EJ47750"/>
      <c r="EK47750"/>
    </row>
    <row r="47751" spans="1:141" s="116" customFormat="1">
      <c r="A47751" s="136"/>
      <c r="CM47751" s="111"/>
      <c r="CQ47751" s="111"/>
      <c r="EF47751"/>
      <c r="EG47751"/>
      <c r="EH47751"/>
      <c r="EI47751"/>
      <c r="EJ47751"/>
      <c r="EK47751"/>
    </row>
    <row r="47752" spans="1:141" s="116" customFormat="1">
      <c r="A47752" s="136"/>
      <c r="CM47752" s="111"/>
      <c r="CQ47752" s="111"/>
      <c r="EF47752"/>
      <c r="EG47752"/>
      <c r="EH47752"/>
      <c r="EI47752"/>
      <c r="EJ47752"/>
      <c r="EK47752"/>
    </row>
    <row r="47753" spans="1:141" s="116" customFormat="1">
      <c r="A47753" s="136"/>
      <c r="CM47753" s="111"/>
      <c r="CQ47753" s="111"/>
      <c r="EF47753"/>
      <c r="EG47753"/>
      <c r="EH47753"/>
      <c r="EI47753"/>
      <c r="EJ47753"/>
      <c r="EK47753"/>
    </row>
    <row r="47754" spans="1:141" s="116" customFormat="1">
      <c r="A47754" s="136"/>
      <c r="CM47754" s="111"/>
      <c r="CQ47754" s="111"/>
      <c r="EF47754"/>
      <c r="EG47754"/>
      <c r="EH47754"/>
      <c r="EI47754"/>
      <c r="EJ47754"/>
      <c r="EK47754"/>
    </row>
    <row r="47755" spans="1:141" s="116" customFormat="1">
      <c r="A47755" s="136"/>
      <c r="CM47755" s="111"/>
      <c r="CQ47755" s="111"/>
      <c r="EF47755"/>
      <c r="EG47755"/>
      <c r="EH47755"/>
      <c r="EI47755"/>
      <c r="EJ47755"/>
      <c r="EK47755"/>
    </row>
    <row r="47756" spans="1:141" s="116" customFormat="1">
      <c r="A47756" s="136"/>
      <c r="CM47756" s="111"/>
      <c r="CQ47756" s="111"/>
      <c r="EF47756"/>
      <c r="EG47756"/>
      <c r="EH47756"/>
      <c r="EI47756"/>
      <c r="EJ47756"/>
      <c r="EK47756"/>
    </row>
    <row r="47757" spans="1:141" s="116" customFormat="1">
      <c r="A47757" s="136"/>
      <c r="CM47757" s="111"/>
      <c r="CQ47757" s="111"/>
      <c r="EF47757"/>
      <c r="EG47757"/>
      <c r="EH47757"/>
      <c r="EI47757"/>
      <c r="EJ47757"/>
      <c r="EK47757"/>
    </row>
    <row r="47758" spans="1:141" s="116" customFormat="1">
      <c r="A47758" s="136"/>
      <c r="CM47758" s="111"/>
      <c r="CQ47758" s="111"/>
      <c r="EF47758"/>
      <c r="EG47758"/>
      <c r="EH47758"/>
      <c r="EI47758"/>
      <c r="EJ47758"/>
      <c r="EK47758"/>
    </row>
    <row r="47759" spans="1:141" s="116" customFormat="1">
      <c r="A47759" s="136"/>
      <c r="CM47759" s="111"/>
      <c r="CQ47759" s="111"/>
      <c r="EF47759"/>
      <c r="EG47759"/>
      <c r="EH47759"/>
      <c r="EI47759"/>
      <c r="EJ47759"/>
      <c r="EK47759"/>
    </row>
    <row r="47760" spans="1:141" s="116" customFormat="1">
      <c r="A47760" s="136"/>
      <c r="CM47760" s="111"/>
      <c r="CQ47760" s="111"/>
      <c r="EF47760"/>
      <c r="EG47760"/>
      <c r="EH47760"/>
      <c r="EI47760"/>
      <c r="EJ47760"/>
      <c r="EK47760"/>
    </row>
    <row r="47761" spans="1:141" s="116" customFormat="1">
      <c r="A47761" s="136"/>
      <c r="CM47761" s="111"/>
      <c r="CQ47761" s="111"/>
      <c r="EF47761"/>
      <c r="EG47761"/>
      <c r="EH47761"/>
      <c r="EI47761"/>
      <c r="EJ47761"/>
      <c r="EK47761"/>
    </row>
    <row r="47762" spans="1:141" s="116" customFormat="1">
      <c r="A47762" s="136"/>
      <c r="CM47762" s="111"/>
      <c r="CQ47762" s="111"/>
      <c r="EF47762"/>
      <c r="EG47762"/>
      <c r="EH47762"/>
      <c r="EI47762"/>
      <c r="EJ47762"/>
      <c r="EK47762"/>
    </row>
    <row r="47763" spans="1:141" s="116" customFormat="1">
      <c r="A47763" s="136"/>
      <c r="CM47763" s="111"/>
      <c r="CQ47763" s="111"/>
      <c r="EF47763"/>
      <c r="EG47763"/>
      <c r="EH47763"/>
      <c r="EI47763"/>
      <c r="EJ47763"/>
      <c r="EK47763"/>
    </row>
    <row r="47764" spans="1:141" s="116" customFormat="1">
      <c r="A47764" s="136"/>
      <c r="CM47764" s="111"/>
      <c r="CQ47764" s="111"/>
      <c r="EF47764"/>
      <c r="EG47764"/>
      <c r="EH47764"/>
      <c r="EI47764"/>
      <c r="EJ47764"/>
      <c r="EK47764"/>
    </row>
    <row r="47765" spans="1:141" s="116" customFormat="1">
      <c r="A47765" s="136"/>
      <c r="CM47765" s="111"/>
      <c r="CQ47765" s="111"/>
      <c r="EF47765"/>
      <c r="EG47765"/>
      <c r="EH47765"/>
      <c r="EI47765"/>
      <c r="EJ47765"/>
      <c r="EK47765"/>
    </row>
    <row r="47766" spans="1:141" s="116" customFormat="1">
      <c r="A47766" s="136"/>
      <c r="CM47766" s="111"/>
      <c r="CQ47766" s="111"/>
      <c r="EF47766"/>
      <c r="EG47766"/>
      <c r="EH47766"/>
      <c r="EI47766"/>
      <c r="EJ47766"/>
      <c r="EK47766"/>
    </row>
    <row r="47767" spans="1:141" s="116" customFormat="1">
      <c r="A47767" s="136"/>
      <c r="CM47767" s="111"/>
      <c r="CQ47767" s="111"/>
      <c r="EF47767"/>
      <c r="EG47767"/>
      <c r="EH47767"/>
      <c r="EI47767"/>
      <c r="EJ47767"/>
      <c r="EK47767"/>
    </row>
    <row r="47768" spans="1:141" s="116" customFormat="1">
      <c r="A47768" s="136"/>
      <c r="CM47768" s="111"/>
      <c r="CQ47768" s="111"/>
      <c r="EF47768"/>
      <c r="EG47768"/>
      <c r="EH47768"/>
      <c r="EI47768"/>
      <c r="EJ47768"/>
      <c r="EK47768"/>
    </row>
    <row r="47769" spans="1:141" s="116" customFormat="1">
      <c r="A47769" s="136"/>
      <c r="CM47769" s="111"/>
      <c r="CQ47769" s="111"/>
      <c r="EF47769"/>
      <c r="EG47769"/>
      <c r="EH47769"/>
      <c r="EI47769"/>
      <c r="EJ47769"/>
      <c r="EK47769"/>
    </row>
    <row r="47770" spans="1:141" s="116" customFormat="1">
      <c r="A47770" s="136"/>
      <c r="CM47770" s="111"/>
      <c r="CQ47770" s="111"/>
      <c r="EF47770"/>
      <c r="EG47770"/>
      <c r="EH47770"/>
      <c r="EI47770"/>
      <c r="EJ47770"/>
      <c r="EK47770"/>
    </row>
    <row r="47771" spans="1:141" s="116" customFormat="1">
      <c r="A47771" s="136"/>
      <c r="CM47771" s="111"/>
      <c r="CQ47771" s="111"/>
      <c r="EF47771"/>
      <c r="EG47771"/>
      <c r="EH47771"/>
      <c r="EI47771"/>
      <c r="EJ47771"/>
      <c r="EK47771"/>
    </row>
    <row r="47772" spans="1:141" s="116" customFormat="1">
      <c r="A47772" s="136"/>
      <c r="CM47772" s="111"/>
      <c r="CQ47772" s="111"/>
      <c r="EF47772"/>
      <c r="EG47772"/>
      <c r="EH47772"/>
      <c r="EI47772"/>
      <c r="EJ47772"/>
      <c r="EK47772"/>
    </row>
    <row r="47773" spans="1:141" s="116" customFormat="1">
      <c r="A47773" s="136"/>
      <c r="CM47773" s="111"/>
      <c r="CQ47773" s="111"/>
      <c r="EF47773"/>
      <c r="EG47773"/>
      <c r="EH47773"/>
      <c r="EI47773"/>
      <c r="EJ47773"/>
      <c r="EK47773"/>
    </row>
    <row r="47774" spans="1:141" s="116" customFormat="1">
      <c r="A47774" s="136"/>
      <c r="CM47774" s="111"/>
      <c r="CQ47774" s="111"/>
      <c r="EF47774"/>
      <c r="EG47774"/>
      <c r="EH47774"/>
      <c r="EI47774"/>
      <c r="EJ47774"/>
      <c r="EK47774"/>
    </row>
    <row r="47775" spans="1:141" s="116" customFormat="1">
      <c r="A47775" s="136"/>
      <c r="CM47775" s="111"/>
      <c r="CQ47775" s="111"/>
      <c r="EF47775"/>
      <c r="EG47775"/>
      <c r="EH47775"/>
      <c r="EI47775"/>
      <c r="EJ47775"/>
      <c r="EK47775"/>
    </row>
    <row r="47776" spans="1:141" s="116" customFormat="1">
      <c r="A47776" s="136"/>
      <c r="CM47776" s="111"/>
      <c r="CQ47776" s="111"/>
      <c r="EF47776"/>
      <c r="EG47776"/>
      <c r="EH47776"/>
      <c r="EI47776"/>
      <c r="EJ47776"/>
      <c r="EK47776"/>
    </row>
    <row r="47777" spans="1:141" s="116" customFormat="1">
      <c r="A47777" s="136"/>
      <c r="CM47777" s="111"/>
      <c r="CQ47777" s="111"/>
      <c r="EF47777"/>
      <c r="EG47777"/>
      <c r="EH47777"/>
      <c r="EI47777"/>
      <c r="EJ47777"/>
      <c r="EK47777"/>
    </row>
    <row r="47778" spans="1:141" s="116" customFormat="1">
      <c r="A47778" s="136"/>
      <c r="CM47778" s="111"/>
      <c r="CQ47778" s="111"/>
      <c r="EF47778"/>
      <c r="EG47778"/>
      <c r="EH47778"/>
      <c r="EI47778"/>
      <c r="EJ47778"/>
      <c r="EK47778"/>
    </row>
    <row r="47779" spans="1:141" s="116" customFormat="1">
      <c r="A47779" s="136"/>
      <c r="CM47779" s="111"/>
      <c r="CQ47779" s="111"/>
      <c r="EF47779"/>
      <c r="EG47779"/>
      <c r="EH47779"/>
      <c r="EI47779"/>
      <c r="EJ47779"/>
      <c r="EK47779"/>
    </row>
    <row r="47780" spans="1:141" s="116" customFormat="1">
      <c r="A47780" s="136"/>
      <c r="CM47780" s="111"/>
      <c r="CQ47780" s="111"/>
      <c r="EF47780"/>
      <c r="EG47780"/>
      <c r="EH47780"/>
      <c r="EI47780"/>
      <c r="EJ47780"/>
      <c r="EK47780"/>
    </row>
    <row r="47781" spans="1:141" s="116" customFormat="1">
      <c r="A47781" s="136"/>
      <c r="CM47781" s="111"/>
      <c r="CQ47781" s="111"/>
      <c r="EF47781"/>
      <c r="EG47781"/>
      <c r="EH47781"/>
      <c r="EI47781"/>
      <c r="EJ47781"/>
      <c r="EK47781"/>
    </row>
    <row r="47782" spans="1:141" s="116" customFormat="1">
      <c r="A47782" s="136"/>
      <c r="CM47782" s="111"/>
      <c r="CQ47782" s="111"/>
      <c r="EF47782"/>
      <c r="EG47782"/>
      <c r="EH47782"/>
      <c r="EI47782"/>
      <c r="EJ47782"/>
      <c r="EK47782"/>
    </row>
    <row r="47783" spans="1:141" s="116" customFormat="1">
      <c r="A47783" s="136"/>
      <c r="CM47783" s="111"/>
      <c r="CQ47783" s="111"/>
      <c r="EF47783"/>
      <c r="EG47783"/>
      <c r="EH47783"/>
      <c r="EI47783"/>
      <c r="EJ47783"/>
      <c r="EK47783"/>
    </row>
    <row r="47784" spans="1:141" s="116" customFormat="1">
      <c r="A47784" s="136"/>
      <c r="CM47784" s="111"/>
      <c r="CQ47784" s="111"/>
      <c r="EF47784"/>
      <c r="EG47784"/>
      <c r="EH47784"/>
      <c r="EI47784"/>
      <c r="EJ47784"/>
      <c r="EK47784"/>
    </row>
    <row r="47785" spans="1:141" s="116" customFormat="1">
      <c r="A47785" s="136"/>
      <c r="CM47785" s="111"/>
      <c r="CQ47785" s="111"/>
      <c r="EF47785"/>
      <c r="EG47785"/>
      <c r="EH47785"/>
      <c r="EI47785"/>
      <c r="EJ47785"/>
      <c r="EK47785"/>
    </row>
    <row r="47786" spans="1:141" s="116" customFormat="1">
      <c r="A47786" s="136"/>
      <c r="CM47786" s="111"/>
      <c r="CQ47786" s="111"/>
      <c r="EF47786"/>
      <c r="EG47786"/>
      <c r="EH47786"/>
      <c r="EI47786"/>
      <c r="EJ47786"/>
      <c r="EK47786"/>
    </row>
    <row r="47787" spans="1:141" s="116" customFormat="1">
      <c r="A47787" s="136"/>
      <c r="CM47787" s="111"/>
      <c r="CQ47787" s="111"/>
      <c r="EF47787"/>
      <c r="EG47787"/>
      <c r="EH47787"/>
      <c r="EI47787"/>
      <c r="EJ47787"/>
      <c r="EK47787"/>
    </row>
    <row r="47788" spans="1:141" s="116" customFormat="1">
      <c r="A47788" s="136"/>
      <c r="CM47788" s="111"/>
      <c r="CQ47788" s="111"/>
      <c r="EF47788"/>
      <c r="EG47788"/>
      <c r="EH47788"/>
      <c r="EI47788"/>
      <c r="EJ47788"/>
      <c r="EK47788"/>
    </row>
    <row r="47789" spans="1:141" s="116" customFormat="1">
      <c r="A47789" s="136"/>
      <c r="CM47789" s="111"/>
      <c r="CQ47789" s="111"/>
      <c r="EF47789"/>
      <c r="EG47789"/>
      <c r="EH47789"/>
      <c r="EI47789"/>
      <c r="EJ47789"/>
      <c r="EK47789"/>
    </row>
    <row r="47790" spans="1:141" s="116" customFormat="1">
      <c r="A47790" s="136"/>
      <c r="CM47790" s="111"/>
      <c r="CQ47790" s="111"/>
      <c r="EF47790"/>
      <c r="EG47790"/>
      <c r="EH47790"/>
      <c r="EI47790"/>
      <c r="EJ47790"/>
      <c r="EK47790"/>
    </row>
    <row r="47791" spans="1:141" s="116" customFormat="1">
      <c r="A47791" s="136"/>
      <c r="CM47791" s="111"/>
      <c r="CQ47791" s="111"/>
      <c r="EF47791"/>
      <c r="EG47791"/>
      <c r="EH47791"/>
      <c r="EI47791"/>
      <c r="EJ47791"/>
      <c r="EK47791"/>
    </row>
    <row r="47792" spans="1:141" s="116" customFormat="1">
      <c r="A47792" s="136"/>
      <c r="CM47792" s="111"/>
      <c r="CQ47792" s="111"/>
      <c r="EF47792"/>
      <c r="EG47792"/>
      <c r="EH47792"/>
      <c r="EI47792"/>
      <c r="EJ47792"/>
      <c r="EK47792"/>
    </row>
    <row r="47793" spans="1:141" s="116" customFormat="1">
      <c r="A47793" s="136"/>
      <c r="CM47793" s="111"/>
      <c r="CQ47793" s="111"/>
      <c r="EF47793"/>
      <c r="EG47793"/>
      <c r="EH47793"/>
      <c r="EI47793"/>
      <c r="EJ47793"/>
      <c r="EK47793"/>
    </row>
    <row r="47794" spans="1:141" s="116" customFormat="1">
      <c r="A47794" s="136"/>
      <c r="CM47794" s="111"/>
      <c r="CQ47794" s="111"/>
      <c r="EF47794"/>
      <c r="EG47794"/>
      <c r="EH47794"/>
      <c r="EI47794"/>
      <c r="EJ47794"/>
      <c r="EK47794"/>
    </row>
    <row r="47795" spans="1:141" s="116" customFormat="1">
      <c r="A47795" s="136"/>
      <c r="CM47795" s="111"/>
      <c r="CQ47795" s="111"/>
      <c r="EF47795"/>
      <c r="EG47795"/>
      <c r="EH47795"/>
      <c r="EI47795"/>
      <c r="EJ47795"/>
      <c r="EK47795"/>
    </row>
    <row r="47796" spans="1:141" s="116" customFormat="1">
      <c r="A47796" s="136"/>
      <c r="CM47796" s="111"/>
      <c r="CQ47796" s="111"/>
      <c r="EF47796"/>
      <c r="EG47796"/>
      <c r="EH47796"/>
      <c r="EI47796"/>
      <c r="EJ47796"/>
      <c r="EK47796"/>
    </row>
    <row r="47797" spans="1:141" s="116" customFormat="1">
      <c r="A47797" s="136"/>
      <c r="CM47797" s="111"/>
      <c r="CQ47797" s="111"/>
      <c r="EF47797"/>
      <c r="EG47797"/>
      <c r="EH47797"/>
      <c r="EI47797"/>
      <c r="EJ47797"/>
      <c r="EK47797"/>
    </row>
    <row r="47798" spans="1:141" s="116" customFormat="1">
      <c r="A47798" s="136"/>
      <c r="CM47798" s="111"/>
      <c r="CQ47798" s="111"/>
      <c r="EF47798"/>
      <c r="EG47798"/>
      <c r="EH47798"/>
      <c r="EI47798"/>
      <c r="EJ47798"/>
      <c r="EK47798"/>
    </row>
    <row r="47799" spans="1:141" s="116" customFormat="1">
      <c r="A47799" s="136"/>
      <c r="CM47799" s="111"/>
      <c r="CQ47799" s="111"/>
      <c r="EF47799"/>
      <c r="EG47799"/>
      <c r="EH47799"/>
      <c r="EI47799"/>
      <c r="EJ47799"/>
      <c r="EK47799"/>
    </row>
    <row r="47800" spans="1:141" s="116" customFormat="1">
      <c r="A47800" s="136"/>
      <c r="CM47800" s="111"/>
      <c r="CQ47800" s="111"/>
      <c r="EF47800"/>
      <c r="EG47800"/>
      <c r="EH47800"/>
      <c r="EI47800"/>
      <c r="EJ47800"/>
      <c r="EK47800"/>
    </row>
    <row r="47801" spans="1:141" s="116" customFormat="1">
      <c r="A47801" s="136"/>
      <c r="CM47801" s="111"/>
      <c r="CQ47801" s="111"/>
      <c r="EF47801"/>
      <c r="EG47801"/>
      <c r="EH47801"/>
      <c r="EI47801"/>
      <c r="EJ47801"/>
      <c r="EK47801"/>
    </row>
    <row r="47802" spans="1:141" s="116" customFormat="1">
      <c r="A47802" s="136"/>
      <c r="CM47802" s="111"/>
      <c r="CQ47802" s="111"/>
      <c r="EF47802"/>
      <c r="EG47802"/>
      <c r="EH47802"/>
      <c r="EI47802"/>
      <c r="EJ47802"/>
      <c r="EK47802"/>
    </row>
    <row r="47803" spans="1:141" s="116" customFormat="1">
      <c r="A47803" s="136"/>
      <c r="CM47803" s="111"/>
      <c r="CQ47803" s="111"/>
      <c r="EF47803"/>
      <c r="EG47803"/>
      <c r="EH47803"/>
      <c r="EI47803"/>
      <c r="EJ47803"/>
      <c r="EK47803"/>
    </row>
    <row r="47804" spans="1:141" s="116" customFormat="1">
      <c r="A47804" s="136"/>
      <c r="CM47804" s="111"/>
      <c r="CQ47804" s="111"/>
      <c r="EF47804"/>
      <c r="EG47804"/>
      <c r="EH47804"/>
      <c r="EI47804"/>
      <c r="EJ47804"/>
      <c r="EK47804"/>
    </row>
    <row r="47805" spans="1:141" s="116" customFormat="1">
      <c r="A47805" s="136"/>
      <c r="CM47805" s="111"/>
      <c r="CQ47805" s="111"/>
      <c r="EF47805"/>
      <c r="EG47805"/>
      <c r="EH47805"/>
      <c r="EI47805"/>
      <c r="EJ47805"/>
      <c r="EK47805"/>
    </row>
    <row r="47806" spans="1:141" s="116" customFormat="1">
      <c r="A47806" s="136"/>
      <c r="CM47806" s="111"/>
      <c r="CQ47806" s="111"/>
      <c r="EF47806"/>
      <c r="EG47806"/>
      <c r="EH47806"/>
      <c r="EI47806"/>
      <c r="EJ47806"/>
      <c r="EK47806"/>
    </row>
    <row r="47807" spans="1:141" s="116" customFormat="1">
      <c r="A47807" s="136"/>
      <c r="CM47807" s="111"/>
      <c r="CQ47807" s="111"/>
      <c r="EF47807"/>
      <c r="EG47807"/>
      <c r="EH47807"/>
      <c r="EI47807"/>
      <c r="EJ47807"/>
      <c r="EK47807"/>
    </row>
    <row r="47808" spans="1:141" s="116" customFormat="1">
      <c r="A47808" s="136"/>
      <c r="CM47808" s="111"/>
      <c r="CQ47808" s="111"/>
      <c r="EF47808"/>
      <c r="EG47808"/>
      <c r="EH47808"/>
      <c r="EI47808"/>
      <c r="EJ47808"/>
      <c r="EK47808"/>
    </row>
    <row r="47809" spans="1:141" s="116" customFormat="1">
      <c r="A47809" s="136"/>
      <c r="CM47809" s="111"/>
      <c r="CQ47809" s="111"/>
      <c r="EF47809"/>
      <c r="EG47809"/>
      <c r="EH47809"/>
      <c r="EI47809"/>
      <c r="EJ47809"/>
      <c r="EK47809"/>
    </row>
    <row r="47810" spans="1:141" s="116" customFormat="1">
      <c r="A47810" s="136"/>
      <c r="CM47810" s="111"/>
      <c r="CQ47810" s="111"/>
      <c r="EF47810"/>
      <c r="EG47810"/>
      <c r="EH47810"/>
      <c r="EI47810"/>
      <c r="EJ47810"/>
      <c r="EK47810"/>
    </row>
    <row r="47811" spans="1:141" s="116" customFormat="1">
      <c r="A47811" s="136"/>
      <c r="CM47811" s="111"/>
      <c r="CQ47811" s="111"/>
      <c r="EF47811"/>
      <c r="EG47811"/>
      <c r="EH47811"/>
      <c r="EI47811"/>
      <c r="EJ47811"/>
      <c r="EK47811"/>
    </row>
    <row r="47812" spans="1:141" s="116" customFormat="1">
      <c r="A47812" s="136"/>
      <c r="CM47812" s="111"/>
      <c r="CQ47812" s="111"/>
      <c r="EF47812"/>
      <c r="EG47812"/>
      <c r="EH47812"/>
      <c r="EI47812"/>
      <c r="EJ47812"/>
      <c r="EK47812"/>
    </row>
    <row r="47813" spans="1:141" s="116" customFormat="1">
      <c r="A47813" s="136"/>
      <c r="CM47813" s="111"/>
      <c r="CQ47813" s="111"/>
      <c r="EF47813"/>
      <c r="EG47813"/>
      <c r="EH47813"/>
      <c r="EI47813"/>
      <c r="EJ47813"/>
      <c r="EK47813"/>
    </row>
    <row r="47814" spans="1:141" s="116" customFormat="1">
      <c r="A47814" s="136"/>
      <c r="CM47814" s="111"/>
      <c r="CQ47814" s="111"/>
      <c r="EF47814"/>
      <c r="EG47814"/>
      <c r="EH47814"/>
      <c r="EI47814"/>
      <c r="EJ47814"/>
      <c r="EK47814"/>
    </row>
    <row r="47815" spans="1:141" s="116" customFormat="1">
      <c r="A47815" s="136"/>
      <c r="CM47815" s="111"/>
      <c r="CQ47815" s="111"/>
      <c r="EF47815"/>
      <c r="EG47815"/>
      <c r="EH47815"/>
      <c r="EI47815"/>
      <c r="EJ47815"/>
      <c r="EK47815"/>
    </row>
    <row r="47816" spans="1:141" s="116" customFormat="1">
      <c r="A47816" s="136"/>
      <c r="CM47816" s="111"/>
      <c r="CQ47816" s="111"/>
      <c r="EF47816"/>
      <c r="EG47816"/>
      <c r="EH47816"/>
      <c r="EI47816"/>
      <c r="EJ47816"/>
      <c r="EK47816"/>
    </row>
    <row r="47817" spans="1:141" s="116" customFormat="1">
      <c r="A47817" s="136"/>
      <c r="CM47817" s="111"/>
      <c r="CQ47817" s="111"/>
      <c r="EF47817"/>
      <c r="EG47817"/>
      <c r="EH47817"/>
      <c r="EI47817"/>
      <c r="EJ47817"/>
      <c r="EK47817"/>
    </row>
    <row r="47818" spans="1:141" s="116" customFormat="1">
      <c r="A47818" s="136"/>
      <c r="CM47818" s="111"/>
      <c r="CQ47818" s="111"/>
      <c r="EF47818"/>
      <c r="EG47818"/>
      <c r="EH47818"/>
      <c r="EI47818"/>
      <c r="EJ47818"/>
      <c r="EK47818"/>
    </row>
    <row r="47819" spans="1:141" s="116" customFormat="1">
      <c r="A47819" s="136"/>
      <c r="CM47819" s="111"/>
      <c r="CQ47819" s="111"/>
      <c r="EF47819"/>
      <c r="EG47819"/>
      <c r="EH47819"/>
      <c r="EI47819"/>
      <c r="EJ47819"/>
      <c r="EK47819"/>
    </row>
    <row r="47820" spans="1:141" s="116" customFormat="1">
      <c r="A47820" s="136"/>
      <c r="CM47820" s="111"/>
      <c r="CQ47820" s="111"/>
      <c r="EF47820"/>
      <c r="EG47820"/>
      <c r="EH47820"/>
      <c r="EI47820"/>
      <c r="EJ47820"/>
      <c r="EK47820"/>
    </row>
    <row r="47821" spans="1:141" s="116" customFormat="1">
      <c r="A47821" s="136"/>
      <c r="CM47821" s="111"/>
      <c r="CQ47821" s="111"/>
      <c r="EF47821"/>
      <c r="EG47821"/>
      <c r="EH47821"/>
      <c r="EI47821"/>
      <c r="EJ47821"/>
      <c r="EK47821"/>
    </row>
    <row r="47822" spans="1:141" s="116" customFormat="1">
      <c r="A47822" s="136"/>
      <c r="CM47822" s="111"/>
      <c r="CQ47822" s="111"/>
      <c r="EF47822"/>
      <c r="EG47822"/>
      <c r="EH47822"/>
      <c r="EI47822"/>
      <c r="EJ47822"/>
      <c r="EK47822"/>
    </row>
    <row r="47823" spans="1:141" s="116" customFormat="1">
      <c r="A47823" s="136"/>
      <c r="CM47823" s="111"/>
      <c r="CQ47823" s="111"/>
      <c r="EF47823"/>
      <c r="EG47823"/>
      <c r="EH47823"/>
      <c r="EI47823"/>
      <c r="EJ47823"/>
      <c r="EK47823"/>
    </row>
    <row r="47824" spans="1:141" s="116" customFormat="1">
      <c r="A47824" s="136"/>
      <c r="CM47824" s="111"/>
      <c r="CQ47824" s="111"/>
      <c r="EF47824"/>
      <c r="EG47824"/>
      <c r="EH47824"/>
      <c r="EI47824"/>
      <c r="EJ47824"/>
      <c r="EK47824"/>
    </row>
    <row r="47825" spans="1:141" s="116" customFormat="1">
      <c r="A47825" s="136"/>
      <c r="CM47825" s="111"/>
      <c r="CQ47825" s="111"/>
      <c r="EF47825"/>
      <c r="EG47825"/>
      <c r="EH47825"/>
      <c r="EI47825"/>
      <c r="EJ47825"/>
      <c r="EK47825"/>
    </row>
    <row r="47826" spans="1:141" s="116" customFormat="1">
      <c r="A47826" s="136"/>
      <c r="CM47826" s="111"/>
      <c r="CQ47826" s="111"/>
      <c r="EF47826"/>
      <c r="EG47826"/>
      <c r="EH47826"/>
      <c r="EI47826"/>
      <c r="EJ47826"/>
      <c r="EK47826"/>
    </row>
    <row r="47827" spans="1:141" s="116" customFormat="1">
      <c r="A47827" s="136"/>
      <c r="CM47827" s="111"/>
      <c r="CQ47827" s="111"/>
      <c r="EF47827"/>
      <c r="EG47827"/>
      <c r="EH47827"/>
      <c r="EI47827"/>
      <c r="EJ47827"/>
      <c r="EK47827"/>
    </row>
    <row r="47828" spans="1:141" s="116" customFormat="1">
      <c r="A47828" s="136"/>
      <c r="CM47828" s="111"/>
      <c r="CQ47828" s="111"/>
      <c r="EF47828"/>
      <c r="EG47828"/>
      <c r="EH47828"/>
      <c r="EI47828"/>
      <c r="EJ47828"/>
      <c r="EK47828"/>
    </row>
    <row r="47829" spans="1:141" s="116" customFormat="1">
      <c r="A47829" s="136"/>
      <c r="CM47829" s="111"/>
      <c r="CQ47829" s="111"/>
      <c r="EF47829"/>
      <c r="EG47829"/>
      <c r="EH47829"/>
      <c r="EI47829"/>
      <c r="EJ47829"/>
      <c r="EK47829"/>
    </row>
    <row r="47830" spans="1:141" s="116" customFormat="1">
      <c r="A47830" s="136"/>
      <c r="CM47830" s="111"/>
      <c r="CQ47830" s="111"/>
      <c r="EF47830"/>
      <c r="EG47830"/>
      <c r="EH47830"/>
      <c r="EI47830"/>
      <c r="EJ47830"/>
      <c r="EK47830"/>
    </row>
    <row r="47831" spans="1:141" s="116" customFormat="1">
      <c r="A47831" s="136"/>
      <c r="CM47831" s="111"/>
      <c r="CQ47831" s="111"/>
      <c r="EF47831"/>
      <c r="EG47831"/>
      <c r="EH47831"/>
      <c r="EI47831"/>
      <c r="EJ47831"/>
      <c r="EK47831"/>
    </row>
    <row r="47832" spans="1:141" s="116" customFormat="1">
      <c r="A47832" s="136"/>
      <c r="CM47832" s="111"/>
      <c r="CQ47832" s="111"/>
      <c r="EF47832"/>
      <c r="EG47832"/>
      <c r="EH47832"/>
      <c r="EI47832"/>
      <c r="EJ47832"/>
      <c r="EK47832"/>
    </row>
    <row r="47833" spans="1:141" s="116" customFormat="1">
      <c r="A47833" s="136"/>
      <c r="CM47833" s="111"/>
      <c r="CQ47833" s="111"/>
      <c r="EF47833"/>
      <c r="EG47833"/>
      <c r="EH47833"/>
      <c r="EI47833"/>
      <c r="EJ47833"/>
      <c r="EK47833"/>
    </row>
    <row r="47834" spans="1:141" s="116" customFormat="1">
      <c r="A47834" s="136"/>
      <c r="CM47834" s="111"/>
      <c r="CQ47834" s="111"/>
      <c r="EF47834"/>
      <c r="EG47834"/>
      <c r="EH47834"/>
      <c r="EI47834"/>
      <c r="EJ47834"/>
      <c r="EK47834"/>
    </row>
    <row r="47835" spans="1:141" s="116" customFormat="1">
      <c r="A47835" s="136"/>
      <c r="CM47835" s="111"/>
      <c r="CQ47835" s="111"/>
      <c r="EF47835"/>
      <c r="EG47835"/>
      <c r="EH47835"/>
      <c r="EI47835"/>
      <c r="EJ47835"/>
      <c r="EK47835"/>
    </row>
    <row r="47836" spans="1:141" s="116" customFormat="1">
      <c r="A47836" s="136"/>
      <c r="CM47836" s="111"/>
      <c r="CQ47836" s="111"/>
      <c r="EF47836"/>
      <c r="EG47836"/>
      <c r="EH47836"/>
      <c r="EI47836"/>
      <c r="EJ47836"/>
      <c r="EK47836"/>
    </row>
    <row r="47837" spans="1:141" s="116" customFormat="1">
      <c r="A47837" s="136"/>
      <c r="CM47837" s="111"/>
      <c r="CQ47837" s="111"/>
      <c r="EF47837"/>
      <c r="EG47837"/>
      <c r="EH47837"/>
      <c r="EI47837"/>
      <c r="EJ47837"/>
      <c r="EK47837"/>
    </row>
    <row r="47838" spans="1:141" s="116" customFormat="1">
      <c r="A47838" s="136"/>
      <c r="CM47838" s="111"/>
      <c r="CQ47838" s="111"/>
      <c r="EF47838"/>
      <c r="EG47838"/>
      <c r="EH47838"/>
      <c r="EI47838"/>
      <c r="EJ47838"/>
      <c r="EK47838"/>
    </row>
    <row r="47839" spans="1:141" s="116" customFormat="1">
      <c r="A47839" s="136"/>
      <c r="CM47839" s="111"/>
      <c r="CQ47839" s="111"/>
      <c r="EF47839"/>
      <c r="EG47839"/>
      <c r="EH47839"/>
      <c r="EI47839"/>
      <c r="EJ47839"/>
      <c r="EK47839"/>
    </row>
    <row r="47840" spans="1:141" s="116" customFormat="1">
      <c r="A47840" s="136"/>
      <c r="CM47840" s="111"/>
      <c r="CQ47840" s="111"/>
      <c r="EF47840"/>
      <c r="EG47840"/>
      <c r="EH47840"/>
      <c r="EI47840"/>
      <c r="EJ47840"/>
      <c r="EK47840"/>
    </row>
    <row r="47841" spans="1:141" s="116" customFormat="1">
      <c r="A47841" s="136"/>
      <c r="CM47841" s="111"/>
      <c r="CQ47841" s="111"/>
      <c r="EF47841"/>
      <c r="EG47841"/>
      <c r="EH47841"/>
      <c r="EI47841"/>
      <c r="EJ47841"/>
      <c r="EK47841"/>
    </row>
    <row r="47842" spans="1:141" s="116" customFormat="1">
      <c r="A47842" s="136"/>
      <c r="CM47842" s="111"/>
      <c r="CQ47842" s="111"/>
      <c r="EF47842"/>
      <c r="EG47842"/>
      <c r="EH47842"/>
      <c r="EI47842"/>
      <c r="EJ47842"/>
      <c r="EK47842"/>
    </row>
    <row r="47843" spans="1:141" s="116" customFormat="1">
      <c r="A47843" s="136"/>
      <c r="CM47843" s="111"/>
      <c r="CQ47843" s="111"/>
      <c r="EF47843"/>
      <c r="EG47843"/>
      <c r="EH47843"/>
      <c r="EI47843"/>
      <c r="EJ47843"/>
      <c r="EK47843"/>
    </row>
    <row r="47844" spans="1:141" s="116" customFormat="1">
      <c r="A47844" s="136"/>
      <c r="CM47844" s="111"/>
      <c r="CQ47844" s="111"/>
      <c r="EF47844"/>
      <c r="EG47844"/>
      <c r="EH47844"/>
      <c r="EI47844"/>
      <c r="EJ47844"/>
      <c r="EK47844"/>
    </row>
    <row r="47845" spans="1:141" s="116" customFormat="1">
      <c r="A47845" s="136"/>
      <c r="CM47845" s="111"/>
      <c r="CQ47845" s="111"/>
      <c r="EF47845"/>
      <c r="EG47845"/>
      <c r="EH47845"/>
      <c r="EI47845"/>
      <c r="EJ47845"/>
      <c r="EK47845"/>
    </row>
    <row r="47846" spans="1:141" s="116" customFormat="1">
      <c r="A47846" s="136"/>
      <c r="CM47846" s="111"/>
      <c r="CQ47846" s="111"/>
      <c r="EF47846"/>
      <c r="EG47846"/>
      <c r="EH47846"/>
      <c r="EI47846"/>
      <c r="EJ47846"/>
      <c r="EK47846"/>
    </row>
    <row r="47847" spans="1:141" s="116" customFormat="1">
      <c r="A47847" s="136"/>
      <c r="CM47847" s="111"/>
      <c r="CQ47847" s="111"/>
      <c r="EF47847"/>
      <c r="EG47847"/>
      <c r="EH47847"/>
      <c r="EI47847"/>
      <c r="EJ47847"/>
      <c r="EK47847"/>
    </row>
    <row r="47848" spans="1:141" s="116" customFormat="1">
      <c r="A47848" s="136"/>
      <c r="CM47848" s="111"/>
      <c r="CQ47848" s="111"/>
      <c r="EF47848"/>
      <c r="EG47848"/>
      <c r="EH47848"/>
      <c r="EI47848"/>
      <c r="EJ47848"/>
      <c r="EK47848"/>
    </row>
    <row r="47849" spans="1:141" s="116" customFormat="1">
      <c r="A47849" s="136"/>
      <c r="CM47849" s="111"/>
      <c r="CQ47849" s="111"/>
      <c r="EF47849"/>
      <c r="EG47849"/>
      <c r="EH47849"/>
      <c r="EI47849"/>
      <c r="EJ47849"/>
      <c r="EK47849"/>
    </row>
    <row r="47850" spans="1:141" s="116" customFormat="1">
      <c r="A47850" s="136"/>
      <c r="CM47850" s="111"/>
      <c r="CQ47850" s="111"/>
      <c r="EF47850"/>
      <c r="EG47850"/>
      <c r="EH47850"/>
      <c r="EI47850"/>
      <c r="EJ47850"/>
      <c r="EK47850"/>
    </row>
    <row r="47851" spans="1:141" s="116" customFormat="1">
      <c r="A47851" s="136"/>
      <c r="CM47851" s="111"/>
      <c r="CQ47851" s="111"/>
      <c r="EF47851"/>
      <c r="EG47851"/>
      <c r="EH47851"/>
      <c r="EI47851"/>
      <c r="EJ47851"/>
      <c r="EK47851"/>
    </row>
    <row r="47852" spans="1:141" s="116" customFormat="1">
      <c r="A47852" s="136"/>
      <c r="CM47852" s="111"/>
      <c r="CQ47852" s="111"/>
      <c r="EF47852"/>
      <c r="EG47852"/>
      <c r="EH47852"/>
      <c r="EI47852"/>
      <c r="EJ47852"/>
      <c r="EK47852"/>
    </row>
    <row r="47853" spans="1:141" s="116" customFormat="1">
      <c r="A47853" s="136"/>
      <c r="CM47853" s="111"/>
      <c r="CQ47853" s="111"/>
      <c r="EF47853"/>
      <c r="EG47853"/>
      <c r="EH47853"/>
      <c r="EI47853"/>
      <c r="EJ47853"/>
      <c r="EK47853"/>
    </row>
    <row r="47854" spans="1:141" s="116" customFormat="1">
      <c r="A47854" s="136"/>
      <c r="CM47854" s="111"/>
      <c r="CQ47854" s="111"/>
      <c r="EF47854"/>
      <c r="EG47854"/>
      <c r="EH47854"/>
      <c r="EI47854"/>
      <c r="EJ47854"/>
      <c r="EK47854"/>
    </row>
    <row r="47855" spans="1:141" s="116" customFormat="1">
      <c r="A47855" s="136"/>
      <c r="CM47855" s="111"/>
      <c r="CQ47855" s="111"/>
      <c r="EF47855"/>
      <c r="EG47855"/>
      <c r="EH47855"/>
      <c r="EI47855"/>
      <c r="EJ47855"/>
      <c r="EK47855"/>
    </row>
    <row r="47856" spans="1:141" s="116" customFormat="1">
      <c r="A47856" s="136"/>
      <c r="CM47856" s="111"/>
      <c r="CQ47856" s="111"/>
      <c r="EF47856"/>
      <c r="EG47856"/>
      <c r="EH47856"/>
      <c r="EI47856"/>
      <c r="EJ47856"/>
      <c r="EK47856"/>
    </row>
    <row r="47857" spans="1:141" s="116" customFormat="1">
      <c r="A47857" s="136"/>
      <c r="CM47857" s="111"/>
      <c r="CQ47857" s="111"/>
      <c r="EF47857"/>
      <c r="EG47857"/>
      <c r="EH47857"/>
      <c r="EI47857"/>
      <c r="EJ47857"/>
      <c r="EK47857"/>
    </row>
    <row r="47858" spans="1:141" s="116" customFormat="1">
      <c r="A47858" s="136"/>
      <c r="CM47858" s="111"/>
      <c r="CQ47858" s="111"/>
      <c r="EF47858"/>
      <c r="EG47858"/>
      <c r="EH47858"/>
      <c r="EI47858"/>
      <c r="EJ47858"/>
      <c r="EK47858"/>
    </row>
    <row r="47859" spans="1:141" s="116" customFormat="1">
      <c r="A47859" s="136"/>
      <c r="CM47859" s="111"/>
      <c r="CQ47859" s="111"/>
      <c r="EF47859"/>
      <c r="EG47859"/>
      <c r="EH47859"/>
      <c r="EI47859"/>
      <c r="EJ47859"/>
      <c r="EK47859"/>
    </row>
    <row r="47860" spans="1:141" s="116" customFormat="1">
      <c r="A47860" s="136"/>
      <c r="CM47860" s="111"/>
      <c r="CQ47860" s="111"/>
      <c r="EF47860"/>
      <c r="EG47860"/>
      <c r="EH47860"/>
      <c r="EI47860"/>
      <c r="EJ47860"/>
      <c r="EK47860"/>
    </row>
    <row r="47861" spans="1:141" s="116" customFormat="1">
      <c r="A47861" s="136"/>
      <c r="CM47861" s="111"/>
      <c r="CQ47861" s="111"/>
      <c r="EF47861"/>
      <c r="EG47861"/>
      <c r="EH47861"/>
      <c r="EI47861"/>
      <c r="EJ47861"/>
      <c r="EK47861"/>
    </row>
    <row r="47862" spans="1:141" s="116" customFormat="1">
      <c r="A47862" s="136"/>
      <c r="CM47862" s="111"/>
      <c r="CQ47862" s="111"/>
      <c r="EF47862"/>
      <c r="EG47862"/>
      <c r="EH47862"/>
      <c r="EI47862"/>
      <c r="EJ47862"/>
      <c r="EK47862"/>
    </row>
    <row r="47863" spans="1:141" s="116" customFormat="1">
      <c r="A47863" s="136"/>
      <c r="CM47863" s="111"/>
      <c r="CQ47863" s="111"/>
      <c r="EF47863"/>
      <c r="EG47863"/>
      <c r="EH47863"/>
      <c r="EI47863"/>
      <c r="EJ47863"/>
      <c r="EK47863"/>
    </row>
    <row r="47864" spans="1:141" s="116" customFormat="1">
      <c r="A47864" s="136"/>
      <c r="CM47864" s="111"/>
      <c r="CQ47864" s="111"/>
      <c r="EF47864"/>
      <c r="EG47864"/>
      <c r="EH47864"/>
      <c r="EI47864"/>
      <c r="EJ47864"/>
      <c r="EK47864"/>
    </row>
    <row r="47865" spans="1:141" s="116" customFormat="1">
      <c r="A47865" s="136"/>
      <c r="CM47865" s="111"/>
      <c r="CQ47865" s="111"/>
      <c r="EF47865"/>
      <c r="EG47865"/>
      <c r="EH47865"/>
      <c r="EI47865"/>
      <c r="EJ47865"/>
      <c r="EK47865"/>
    </row>
    <row r="47866" spans="1:141" s="116" customFormat="1">
      <c r="A47866" s="136"/>
      <c r="CM47866" s="111"/>
      <c r="CQ47866" s="111"/>
      <c r="EF47866"/>
      <c r="EG47866"/>
      <c r="EH47866"/>
      <c r="EI47866"/>
      <c r="EJ47866"/>
      <c r="EK47866"/>
    </row>
    <row r="47867" spans="1:141" s="116" customFormat="1">
      <c r="A47867" s="136"/>
      <c r="CM47867" s="111"/>
      <c r="CQ47867" s="111"/>
      <c r="EF47867"/>
      <c r="EG47867"/>
      <c r="EH47867"/>
      <c r="EI47867"/>
      <c r="EJ47867"/>
      <c r="EK47867"/>
    </row>
    <row r="47868" spans="1:141" s="116" customFormat="1">
      <c r="A47868" s="136"/>
      <c r="CM47868" s="111"/>
      <c r="CQ47868" s="111"/>
      <c r="EF47868"/>
      <c r="EG47868"/>
      <c r="EH47868"/>
      <c r="EI47868"/>
      <c r="EJ47868"/>
      <c r="EK47868"/>
    </row>
    <row r="47869" spans="1:141" s="116" customFormat="1">
      <c r="A47869" s="136"/>
      <c r="CM47869" s="111"/>
      <c r="CQ47869" s="111"/>
      <c r="EF47869"/>
      <c r="EG47869"/>
      <c r="EH47869"/>
      <c r="EI47869"/>
      <c r="EJ47869"/>
      <c r="EK47869"/>
    </row>
    <row r="47870" spans="1:141" s="116" customFormat="1">
      <c r="A47870" s="136"/>
      <c r="CM47870" s="111"/>
      <c r="CQ47870" s="111"/>
      <c r="EF47870"/>
      <c r="EG47870"/>
      <c r="EH47870"/>
      <c r="EI47870"/>
      <c r="EJ47870"/>
      <c r="EK47870"/>
    </row>
    <row r="47871" spans="1:141" s="116" customFormat="1">
      <c r="A47871" s="136"/>
      <c r="CM47871" s="111"/>
      <c r="CQ47871" s="111"/>
      <c r="EF47871"/>
      <c r="EG47871"/>
      <c r="EH47871"/>
      <c r="EI47871"/>
      <c r="EJ47871"/>
      <c r="EK47871"/>
    </row>
    <row r="47872" spans="1:141" s="116" customFormat="1">
      <c r="A47872" s="136"/>
      <c r="CM47872" s="111"/>
      <c r="CQ47872" s="111"/>
      <c r="EF47872"/>
      <c r="EG47872"/>
      <c r="EH47872"/>
      <c r="EI47872"/>
      <c r="EJ47872"/>
      <c r="EK47872"/>
    </row>
    <row r="47873" spans="1:141" s="116" customFormat="1">
      <c r="A47873" s="136"/>
      <c r="CM47873" s="111"/>
      <c r="CQ47873" s="111"/>
      <c r="EF47873"/>
      <c r="EG47873"/>
      <c r="EH47873"/>
      <c r="EI47873"/>
      <c r="EJ47873"/>
      <c r="EK47873"/>
    </row>
    <row r="47874" spans="1:141" s="116" customFormat="1">
      <c r="A47874" s="136"/>
      <c r="CM47874" s="111"/>
      <c r="CQ47874" s="111"/>
      <c r="EF47874"/>
      <c r="EG47874"/>
      <c r="EH47874"/>
      <c r="EI47874"/>
      <c r="EJ47874"/>
      <c r="EK47874"/>
    </row>
    <row r="47875" spans="1:141" s="116" customFormat="1">
      <c r="A47875" s="136"/>
      <c r="CM47875" s="111"/>
      <c r="CQ47875" s="111"/>
      <c r="EF47875"/>
      <c r="EG47875"/>
      <c r="EH47875"/>
      <c r="EI47875"/>
      <c r="EJ47875"/>
      <c r="EK47875"/>
    </row>
    <row r="47876" spans="1:141" s="116" customFormat="1">
      <c r="A47876" s="136"/>
      <c r="CM47876" s="111"/>
      <c r="CQ47876" s="111"/>
      <c r="EF47876"/>
      <c r="EG47876"/>
      <c r="EH47876"/>
      <c r="EI47876"/>
      <c r="EJ47876"/>
      <c r="EK47876"/>
    </row>
    <row r="47877" spans="1:141" s="116" customFormat="1">
      <c r="A47877" s="136"/>
      <c r="CM47877" s="111"/>
      <c r="CQ47877" s="111"/>
      <c r="EF47877"/>
      <c r="EG47877"/>
      <c r="EH47877"/>
      <c r="EI47877"/>
      <c r="EJ47877"/>
      <c r="EK47877"/>
    </row>
    <row r="47878" spans="1:141" s="116" customFormat="1">
      <c r="A47878" s="136"/>
      <c r="CM47878" s="111"/>
      <c r="CQ47878" s="111"/>
      <c r="EF47878"/>
      <c r="EG47878"/>
      <c r="EH47878"/>
      <c r="EI47878"/>
      <c r="EJ47878"/>
      <c r="EK47878"/>
    </row>
    <row r="47879" spans="1:141" s="116" customFormat="1">
      <c r="A47879" s="136"/>
      <c r="CM47879" s="111"/>
      <c r="CQ47879" s="111"/>
      <c r="EF47879"/>
      <c r="EG47879"/>
      <c r="EH47879"/>
      <c r="EI47879"/>
      <c r="EJ47879"/>
      <c r="EK47879"/>
    </row>
    <row r="47880" spans="1:141" s="116" customFormat="1">
      <c r="A47880" s="136"/>
      <c r="CM47880" s="111"/>
      <c r="CQ47880" s="111"/>
      <c r="EF47880"/>
      <c r="EG47880"/>
      <c r="EH47880"/>
      <c r="EI47880"/>
      <c r="EJ47880"/>
      <c r="EK47880"/>
    </row>
    <row r="47881" spans="1:141" s="116" customFormat="1">
      <c r="A47881" s="136"/>
      <c r="CM47881" s="111"/>
      <c r="CQ47881" s="111"/>
      <c r="EF47881"/>
      <c r="EG47881"/>
      <c r="EH47881"/>
      <c r="EI47881"/>
      <c r="EJ47881"/>
      <c r="EK47881"/>
    </row>
    <row r="47882" spans="1:141" s="116" customFormat="1">
      <c r="A47882" s="136"/>
      <c r="CM47882" s="111"/>
      <c r="CQ47882" s="111"/>
      <c r="EF47882"/>
      <c r="EG47882"/>
      <c r="EH47882"/>
      <c r="EI47882"/>
      <c r="EJ47882"/>
      <c r="EK47882"/>
    </row>
    <row r="47883" spans="1:141" s="116" customFormat="1">
      <c r="A47883" s="136"/>
      <c r="CM47883" s="111"/>
      <c r="CQ47883" s="111"/>
      <c r="EF47883"/>
      <c r="EG47883"/>
      <c r="EH47883"/>
      <c r="EI47883"/>
      <c r="EJ47883"/>
      <c r="EK47883"/>
    </row>
    <row r="47884" spans="1:141" s="116" customFormat="1">
      <c r="A47884" s="136"/>
      <c r="CM47884" s="111"/>
      <c r="CQ47884" s="111"/>
      <c r="EF47884"/>
      <c r="EG47884"/>
      <c r="EH47884"/>
      <c r="EI47884"/>
      <c r="EJ47884"/>
      <c r="EK47884"/>
    </row>
    <row r="47885" spans="1:141" s="116" customFormat="1">
      <c r="A47885" s="136"/>
      <c r="CM47885" s="111"/>
      <c r="CQ47885" s="111"/>
      <c r="EF47885"/>
      <c r="EG47885"/>
      <c r="EH47885"/>
      <c r="EI47885"/>
      <c r="EJ47885"/>
      <c r="EK47885"/>
    </row>
    <row r="47886" spans="1:141" s="116" customFormat="1">
      <c r="A47886" s="136"/>
      <c r="CM47886" s="111"/>
      <c r="CQ47886" s="111"/>
      <c r="EF47886"/>
      <c r="EG47886"/>
      <c r="EH47886"/>
      <c r="EI47886"/>
      <c r="EJ47886"/>
      <c r="EK47886"/>
    </row>
    <row r="47887" spans="1:141" s="116" customFormat="1">
      <c r="A47887" s="136"/>
      <c r="CM47887" s="111"/>
      <c r="CQ47887" s="111"/>
      <c r="EF47887"/>
      <c r="EG47887"/>
      <c r="EH47887"/>
      <c r="EI47887"/>
      <c r="EJ47887"/>
      <c r="EK47887"/>
    </row>
    <row r="47888" spans="1:141" s="116" customFormat="1">
      <c r="A47888" s="136"/>
      <c r="CM47888" s="111"/>
      <c r="CQ47888" s="111"/>
      <c r="EF47888"/>
      <c r="EG47888"/>
      <c r="EH47888"/>
      <c r="EI47888"/>
      <c r="EJ47888"/>
      <c r="EK47888"/>
    </row>
    <row r="47889" spans="1:141" s="116" customFormat="1">
      <c r="A47889" s="136"/>
      <c r="CM47889" s="111"/>
      <c r="CQ47889" s="111"/>
      <c r="EF47889"/>
      <c r="EG47889"/>
      <c r="EH47889"/>
      <c r="EI47889"/>
      <c r="EJ47889"/>
      <c r="EK47889"/>
    </row>
    <row r="47890" spans="1:141" s="116" customFormat="1">
      <c r="A47890" s="136"/>
      <c r="CM47890" s="111"/>
      <c r="CQ47890" s="111"/>
      <c r="EF47890"/>
      <c r="EG47890"/>
      <c r="EH47890"/>
      <c r="EI47890"/>
      <c r="EJ47890"/>
      <c r="EK47890"/>
    </row>
    <row r="47891" spans="1:141" s="116" customFormat="1">
      <c r="A47891" s="136"/>
      <c r="CM47891" s="111"/>
      <c r="CQ47891" s="111"/>
      <c r="EF47891"/>
      <c r="EG47891"/>
      <c r="EH47891"/>
      <c r="EI47891"/>
      <c r="EJ47891"/>
      <c r="EK47891"/>
    </row>
    <row r="47892" spans="1:141" s="116" customFormat="1">
      <c r="A47892" s="136"/>
      <c r="CM47892" s="111"/>
      <c r="CQ47892" s="111"/>
      <c r="EF47892"/>
      <c r="EG47892"/>
      <c r="EH47892"/>
      <c r="EI47892"/>
      <c r="EJ47892"/>
      <c r="EK47892"/>
    </row>
    <row r="47893" spans="1:141" s="116" customFormat="1">
      <c r="A47893" s="136"/>
      <c r="CM47893" s="111"/>
      <c r="CQ47893" s="111"/>
      <c r="EF47893"/>
      <c r="EG47893"/>
      <c r="EH47893"/>
      <c r="EI47893"/>
      <c r="EJ47893"/>
      <c r="EK47893"/>
    </row>
    <row r="47894" spans="1:141" s="116" customFormat="1">
      <c r="A47894" s="136"/>
      <c r="CM47894" s="111"/>
      <c r="CQ47894" s="111"/>
      <c r="EF47894"/>
      <c r="EG47894"/>
      <c r="EH47894"/>
      <c r="EI47894"/>
      <c r="EJ47894"/>
      <c r="EK47894"/>
    </row>
    <row r="47895" spans="1:141" s="116" customFormat="1">
      <c r="A47895" s="136"/>
      <c r="CM47895" s="111"/>
      <c r="CQ47895" s="111"/>
      <c r="EF47895"/>
      <c r="EG47895"/>
      <c r="EH47895"/>
      <c r="EI47895"/>
      <c r="EJ47895"/>
      <c r="EK47895"/>
    </row>
    <row r="47896" spans="1:141" s="116" customFormat="1">
      <c r="A47896" s="136"/>
      <c r="CM47896" s="111"/>
      <c r="CQ47896" s="111"/>
      <c r="EF47896"/>
      <c r="EG47896"/>
      <c r="EH47896"/>
      <c r="EI47896"/>
      <c r="EJ47896"/>
      <c r="EK47896"/>
    </row>
    <row r="47897" spans="1:141" s="116" customFormat="1">
      <c r="A47897" s="136"/>
      <c r="CM47897" s="111"/>
      <c r="CQ47897" s="111"/>
      <c r="EF47897"/>
      <c r="EG47897"/>
      <c r="EH47897"/>
      <c r="EI47897"/>
      <c r="EJ47897"/>
      <c r="EK47897"/>
    </row>
    <row r="47898" spans="1:141" s="116" customFormat="1">
      <c r="A47898" s="136"/>
      <c r="CM47898" s="111"/>
      <c r="CQ47898" s="111"/>
      <c r="EF47898"/>
      <c r="EG47898"/>
      <c r="EH47898"/>
      <c r="EI47898"/>
      <c r="EJ47898"/>
      <c r="EK47898"/>
    </row>
    <row r="47899" spans="1:141" s="116" customFormat="1">
      <c r="A47899" s="136"/>
      <c r="CM47899" s="111"/>
      <c r="CQ47899" s="111"/>
      <c r="EF47899"/>
      <c r="EG47899"/>
      <c r="EH47899"/>
      <c r="EI47899"/>
      <c r="EJ47899"/>
      <c r="EK47899"/>
    </row>
    <row r="47900" spans="1:141" s="116" customFormat="1">
      <c r="A47900" s="136"/>
      <c r="CM47900" s="111"/>
      <c r="CQ47900" s="111"/>
      <c r="EF47900"/>
      <c r="EG47900"/>
      <c r="EH47900"/>
      <c r="EI47900"/>
      <c r="EJ47900"/>
      <c r="EK47900"/>
    </row>
    <row r="47901" spans="1:141" s="116" customFormat="1">
      <c r="A47901" s="136"/>
      <c r="CM47901" s="111"/>
      <c r="CQ47901" s="111"/>
      <c r="EF47901"/>
      <c r="EG47901"/>
      <c r="EH47901"/>
      <c r="EI47901"/>
      <c r="EJ47901"/>
      <c r="EK47901"/>
    </row>
    <row r="47902" spans="1:141" s="116" customFormat="1">
      <c r="A47902" s="136"/>
      <c r="CM47902" s="111"/>
      <c r="CQ47902" s="111"/>
      <c r="EF47902"/>
      <c r="EG47902"/>
      <c r="EH47902"/>
      <c r="EI47902"/>
      <c r="EJ47902"/>
      <c r="EK47902"/>
    </row>
    <row r="47903" spans="1:141" s="116" customFormat="1">
      <c r="A47903" s="136"/>
      <c r="CM47903" s="111"/>
      <c r="CQ47903" s="111"/>
      <c r="EF47903"/>
      <c r="EG47903"/>
      <c r="EH47903"/>
      <c r="EI47903"/>
      <c r="EJ47903"/>
      <c r="EK47903"/>
    </row>
    <row r="47904" spans="1:141" s="116" customFormat="1">
      <c r="A47904" s="136"/>
      <c r="CM47904" s="111"/>
      <c r="CQ47904" s="111"/>
      <c r="EF47904"/>
      <c r="EG47904"/>
      <c r="EH47904"/>
      <c r="EI47904"/>
      <c r="EJ47904"/>
      <c r="EK47904"/>
    </row>
    <row r="47905" spans="1:141" s="116" customFormat="1">
      <c r="A47905" s="136"/>
      <c r="CM47905" s="111"/>
      <c r="CQ47905" s="111"/>
      <c r="EF47905"/>
      <c r="EG47905"/>
      <c r="EH47905"/>
      <c r="EI47905"/>
      <c r="EJ47905"/>
      <c r="EK47905"/>
    </row>
    <row r="47906" spans="1:141" s="116" customFormat="1">
      <c r="A47906" s="136"/>
      <c r="CM47906" s="111"/>
      <c r="CQ47906" s="111"/>
      <c r="EF47906"/>
      <c r="EG47906"/>
      <c r="EH47906"/>
      <c r="EI47906"/>
      <c r="EJ47906"/>
      <c r="EK47906"/>
    </row>
    <row r="47907" spans="1:141" s="116" customFormat="1">
      <c r="A47907" s="136"/>
      <c r="CM47907" s="111"/>
      <c r="CQ47907" s="111"/>
      <c r="EF47907"/>
      <c r="EG47907"/>
      <c r="EH47907"/>
      <c r="EI47907"/>
      <c r="EJ47907"/>
      <c r="EK47907"/>
    </row>
    <row r="47908" spans="1:141" s="116" customFormat="1">
      <c r="A47908" s="136"/>
      <c r="CM47908" s="111"/>
      <c r="CQ47908" s="111"/>
      <c r="EF47908"/>
      <c r="EG47908"/>
      <c r="EH47908"/>
      <c r="EI47908"/>
      <c r="EJ47908"/>
      <c r="EK47908"/>
    </row>
    <row r="47909" spans="1:141" s="116" customFormat="1">
      <c r="A47909" s="136"/>
      <c r="CM47909" s="111"/>
      <c r="CQ47909" s="111"/>
      <c r="EF47909"/>
      <c r="EG47909"/>
      <c r="EH47909"/>
      <c r="EI47909"/>
      <c r="EJ47909"/>
      <c r="EK47909"/>
    </row>
    <row r="47910" spans="1:141" s="116" customFormat="1">
      <c r="A47910" s="136"/>
      <c r="CM47910" s="111"/>
      <c r="CQ47910" s="111"/>
      <c r="EF47910"/>
      <c r="EG47910"/>
      <c r="EH47910"/>
      <c r="EI47910"/>
      <c r="EJ47910"/>
      <c r="EK47910"/>
    </row>
    <row r="47911" spans="1:141" s="116" customFormat="1">
      <c r="A47911" s="136"/>
      <c r="CM47911" s="111"/>
      <c r="CQ47911" s="111"/>
      <c r="EF47911"/>
      <c r="EG47911"/>
      <c r="EH47911"/>
      <c r="EI47911"/>
      <c r="EJ47911"/>
      <c r="EK47911"/>
    </row>
    <row r="47912" spans="1:141" s="116" customFormat="1">
      <c r="A47912" s="136"/>
      <c r="CM47912" s="111"/>
      <c r="CQ47912" s="111"/>
      <c r="EF47912"/>
      <c r="EG47912"/>
      <c r="EH47912"/>
      <c r="EI47912"/>
      <c r="EJ47912"/>
      <c r="EK47912"/>
    </row>
    <row r="47913" spans="1:141" s="116" customFormat="1">
      <c r="A47913" s="136"/>
      <c r="CM47913" s="111"/>
      <c r="CQ47913" s="111"/>
      <c r="EF47913"/>
      <c r="EG47913"/>
      <c r="EH47913"/>
      <c r="EI47913"/>
      <c r="EJ47913"/>
      <c r="EK47913"/>
    </row>
    <row r="47914" spans="1:141" s="116" customFormat="1">
      <c r="A47914" s="136"/>
      <c r="CM47914" s="111"/>
      <c r="CQ47914" s="111"/>
      <c r="EF47914"/>
      <c r="EG47914"/>
      <c r="EH47914"/>
      <c r="EI47914"/>
      <c r="EJ47914"/>
      <c r="EK47914"/>
    </row>
    <row r="47915" spans="1:141" s="116" customFormat="1">
      <c r="A47915" s="136"/>
      <c r="CM47915" s="111"/>
      <c r="CQ47915" s="111"/>
      <c r="EF47915"/>
      <c r="EG47915"/>
      <c r="EH47915"/>
      <c r="EI47915"/>
      <c r="EJ47915"/>
      <c r="EK47915"/>
    </row>
    <row r="47916" spans="1:141" s="116" customFormat="1">
      <c r="A47916" s="136"/>
      <c r="CM47916" s="111"/>
      <c r="CQ47916" s="111"/>
      <c r="EF47916"/>
      <c r="EG47916"/>
      <c r="EH47916"/>
      <c r="EI47916"/>
      <c r="EJ47916"/>
      <c r="EK47916"/>
    </row>
    <row r="47917" spans="1:141" s="116" customFormat="1">
      <c r="A47917" s="136"/>
      <c r="CM47917" s="111"/>
      <c r="CQ47917" s="111"/>
      <c r="EF47917"/>
      <c r="EG47917"/>
      <c r="EH47917"/>
      <c r="EI47917"/>
      <c r="EJ47917"/>
      <c r="EK47917"/>
    </row>
    <row r="47918" spans="1:141" s="116" customFormat="1">
      <c r="A47918" s="136"/>
      <c r="CM47918" s="111"/>
      <c r="CQ47918" s="111"/>
      <c r="EF47918"/>
      <c r="EG47918"/>
      <c r="EH47918"/>
      <c r="EI47918"/>
      <c r="EJ47918"/>
      <c r="EK47918"/>
    </row>
    <row r="47919" spans="1:141" s="116" customFormat="1">
      <c r="A47919" s="136"/>
      <c r="CM47919" s="111"/>
      <c r="CQ47919" s="111"/>
      <c r="EF47919"/>
      <c r="EG47919"/>
      <c r="EH47919"/>
      <c r="EI47919"/>
      <c r="EJ47919"/>
      <c r="EK47919"/>
    </row>
    <row r="47920" spans="1:141" s="116" customFormat="1">
      <c r="A47920" s="136"/>
      <c r="CM47920" s="111"/>
      <c r="CQ47920" s="111"/>
      <c r="EF47920"/>
      <c r="EG47920"/>
      <c r="EH47920"/>
      <c r="EI47920"/>
      <c r="EJ47920"/>
      <c r="EK47920"/>
    </row>
    <row r="47921" spans="1:141" s="116" customFormat="1">
      <c r="A47921" s="136"/>
      <c r="CM47921" s="111"/>
      <c r="CQ47921" s="111"/>
      <c r="EF47921"/>
      <c r="EG47921"/>
      <c r="EH47921"/>
      <c r="EI47921"/>
      <c r="EJ47921"/>
      <c r="EK47921"/>
    </row>
    <row r="47922" spans="1:141" s="116" customFormat="1">
      <c r="A47922" s="136"/>
      <c r="CM47922" s="111"/>
      <c r="CQ47922" s="111"/>
      <c r="EF47922"/>
      <c r="EG47922"/>
      <c r="EH47922"/>
      <c r="EI47922"/>
      <c r="EJ47922"/>
      <c r="EK47922"/>
    </row>
    <row r="47923" spans="1:141" s="116" customFormat="1">
      <c r="A47923" s="136"/>
      <c r="CM47923" s="111"/>
      <c r="CQ47923" s="111"/>
      <c r="EF47923"/>
      <c r="EG47923"/>
      <c r="EH47923"/>
      <c r="EI47923"/>
      <c r="EJ47923"/>
      <c r="EK47923"/>
    </row>
    <row r="47924" spans="1:141" s="116" customFormat="1">
      <c r="A47924" s="136"/>
      <c r="CM47924" s="111"/>
      <c r="CQ47924" s="111"/>
      <c r="EF47924"/>
      <c r="EG47924"/>
      <c r="EH47924"/>
      <c r="EI47924"/>
      <c r="EJ47924"/>
      <c r="EK47924"/>
    </row>
    <row r="47925" spans="1:141" s="116" customFormat="1">
      <c r="A47925" s="136"/>
      <c r="CM47925" s="111"/>
      <c r="CQ47925" s="111"/>
      <c r="EF47925"/>
      <c r="EG47925"/>
      <c r="EH47925"/>
      <c r="EI47925"/>
      <c r="EJ47925"/>
      <c r="EK47925"/>
    </row>
    <row r="47926" spans="1:141" s="116" customFormat="1">
      <c r="A47926" s="136"/>
      <c r="CM47926" s="111"/>
      <c r="CQ47926" s="111"/>
      <c r="EF47926"/>
      <c r="EG47926"/>
      <c r="EH47926"/>
      <c r="EI47926"/>
      <c r="EJ47926"/>
      <c r="EK47926"/>
    </row>
    <row r="47927" spans="1:141" s="116" customFormat="1">
      <c r="A47927" s="136"/>
      <c r="CM47927" s="111"/>
      <c r="CQ47927" s="111"/>
      <c r="EF47927"/>
      <c r="EG47927"/>
      <c r="EH47927"/>
      <c r="EI47927"/>
      <c r="EJ47927"/>
      <c r="EK47927"/>
    </row>
    <row r="47928" spans="1:141" s="116" customFormat="1">
      <c r="A47928" s="136"/>
      <c r="CM47928" s="111"/>
      <c r="CQ47928" s="111"/>
      <c r="EF47928"/>
      <c r="EG47928"/>
      <c r="EH47928"/>
      <c r="EI47928"/>
      <c r="EJ47928"/>
      <c r="EK47928"/>
    </row>
    <row r="47929" spans="1:141" s="116" customFormat="1">
      <c r="A47929" s="136"/>
      <c r="CM47929" s="111"/>
      <c r="CQ47929" s="111"/>
      <c r="EF47929"/>
      <c r="EG47929"/>
      <c r="EH47929"/>
      <c r="EI47929"/>
      <c r="EJ47929"/>
      <c r="EK47929"/>
    </row>
    <row r="47930" spans="1:141" s="116" customFormat="1">
      <c r="A47930" s="136"/>
      <c r="CM47930" s="111"/>
      <c r="CQ47930" s="111"/>
      <c r="EF47930"/>
      <c r="EG47930"/>
      <c r="EH47930"/>
      <c r="EI47930"/>
      <c r="EJ47930"/>
      <c r="EK47930"/>
    </row>
    <row r="47931" spans="1:141" s="116" customFormat="1">
      <c r="A47931" s="136"/>
      <c r="CM47931" s="111"/>
      <c r="CQ47931" s="111"/>
      <c r="EF47931"/>
      <c r="EG47931"/>
      <c r="EH47931"/>
      <c r="EI47931"/>
      <c r="EJ47931"/>
      <c r="EK47931"/>
    </row>
    <row r="47932" spans="1:141" s="116" customFormat="1">
      <c r="A47932" s="136"/>
      <c r="CM47932" s="111"/>
      <c r="CQ47932" s="111"/>
      <c r="EF47932"/>
      <c r="EG47932"/>
      <c r="EH47932"/>
      <c r="EI47932"/>
      <c r="EJ47932"/>
      <c r="EK47932"/>
    </row>
    <row r="47933" spans="1:141" s="116" customFormat="1">
      <c r="A47933" s="136"/>
      <c r="CM47933" s="111"/>
      <c r="CQ47933" s="111"/>
      <c r="EF47933"/>
      <c r="EG47933"/>
      <c r="EH47933"/>
      <c r="EI47933"/>
      <c r="EJ47933"/>
      <c r="EK47933"/>
    </row>
    <row r="47934" spans="1:141" s="116" customFormat="1">
      <c r="A47934" s="136"/>
      <c r="CM47934" s="111"/>
      <c r="CQ47934" s="111"/>
      <c r="EF47934"/>
      <c r="EG47934"/>
      <c r="EH47934"/>
      <c r="EI47934"/>
      <c r="EJ47934"/>
      <c r="EK47934"/>
    </row>
    <row r="47935" spans="1:141" s="116" customFormat="1">
      <c r="A47935" s="136"/>
      <c r="CM47935" s="111"/>
      <c r="CQ47935" s="111"/>
      <c r="EF47935"/>
      <c r="EG47935"/>
      <c r="EH47935"/>
      <c r="EI47935"/>
      <c r="EJ47935"/>
      <c r="EK47935"/>
    </row>
    <row r="47936" spans="1:141" s="116" customFormat="1">
      <c r="A47936" s="136"/>
      <c r="CM47936" s="111"/>
      <c r="CQ47936" s="111"/>
      <c r="EF47936"/>
      <c r="EG47936"/>
      <c r="EH47936"/>
      <c r="EI47936"/>
      <c r="EJ47936"/>
      <c r="EK47936"/>
    </row>
    <row r="47937" spans="1:141" s="116" customFormat="1">
      <c r="A47937" s="136"/>
      <c r="CM47937" s="111"/>
      <c r="CQ47937" s="111"/>
      <c r="EF47937"/>
      <c r="EG47937"/>
      <c r="EH47937"/>
      <c r="EI47937"/>
      <c r="EJ47937"/>
      <c r="EK47937"/>
    </row>
    <row r="47938" spans="1:141" s="116" customFormat="1">
      <c r="A47938" s="136"/>
      <c r="CM47938" s="111"/>
      <c r="CQ47938" s="111"/>
      <c r="EF47938"/>
      <c r="EG47938"/>
      <c r="EH47938"/>
      <c r="EI47938"/>
      <c r="EJ47938"/>
      <c r="EK47938"/>
    </row>
    <row r="47939" spans="1:141" s="116" customFormat="1">
      <c r="A47939" s="136"/>
      <c r="CM47939" s="111"/>
      <c r="CQ47939" s="111"/>
      <c r="EF47939"/>
      <c r="EG47939"/>
      <c r="EH47939"/>
      <c r="EI47939"/>
      <c r="EJ47939"/>
      <c r="EK47939"/>
    </row>
    <row r="47940" spans="1:141" s="116" customFormat="1">
      <c r="A47940" s="136"/>
      <c r="CM47940" s="111"/>
      <c r="CQ47940" s="111"/>
      <c r="EF47940"/>
      <c r="EG47940"/>
      <c r="EH47940"/>
      <c r="EI47940"/>
      <c r="EJ47940"/>
      <c r="EK47940"/>
    </row>
    <row r="47941" spans="1:141" s="116" customFormat="1">
      <c r="A47941" s="136"/>
      <c r="CM47941" s="111"/>
      <c r="CQ47941" s="111"/>
      <c r="EF47941"/>
      <c r="EG47941"/>
      <c r="EH47941"/>
      <c r="EI47941"/>
      <c r="EJ47941"/>
      <c r="EK47941"/>
    </row>
    <row r="47942" spans="1:141" s="116" customFormat="1">
      <c r="A47942" s="136"/>
      <c r="CM47942" s="111"/>
      <c r="CQ47942" s="111"/>
      <c r="EF47942"/>
      <c r="EG47942"/>
      <c r="EH47942"/>
      <c r="EI47942"/>
      <c r="EJ47942"/>
      <c r="EK47942"/>
    </row>
    <row r="47943" spans="1:141" s="116" customFormat="1">
      <c r="A47943" s="136"/>
      <c r="CM47943" s="111"/>
      <c r="CQ47943" s="111"/>
      <c r="EF47943"/>
      <c r="EG47943"/>
      <c r="EH47943"/>
      <c r="EI47943"/>
      <c r="EJ47943"/>
      <c r="EK47943"/>
    </row>
    <row r="47944" spans="1:141" s="116" customFormat="1">
      <c r="A47944" s="136"/>
      <c r="CM47944" s="111"/>
      <c r="CQ47944" s="111"/>
      <c r="EF47944"/>
      <c r="EG47944"/>
      <c r="EH47944"/>
      <c r="EI47944"/>
      <c r="EJ47944"/>
      <c r="EK47944"/>
    </row>
    <row r="47945" spans="1:141" s="116" customFormat="1">
      <c r="A47945" s="136"/>
      <c r="CM47945" s="111"/>
      <c r="CQ47945" s="111"/>
      <c r="EF47945"/>
      <c r="EG47945"/>
      <c r="EH47945"/>
      <c r="EI47945"/>
      <c r="EJ47945"/>
      <c r="EK47945"/>
    </row>
    <row r="47946" spans="1:141" s="116" customFormat="1">
      <c r="A47946" s="136"/>
      <c r="CM47946" s="111"/>
      <c r="CQ47946" s="111"/>
      <c r="EF47946"/>
      <c r="EG47946"/>
      <c r="EH47946"/>
      <c r="EI47946"/>
      <c r="EJ47946"/>
      <c r="EK47946"/>
    </row>
    <row r="47947" spans="1:141" s="116" customFormat="1">
      <c r="A47947" s="136"/>
      <c r="CM47947" s="111"/>
      <c r="CQ47947" s="111"/>
      <c r="EF47947"/>
      <c r="EG47947"/>
      <c r="EH47947"/>
      <c r="EI47947"/>
      <c r="EJ47947"/>
      <c r="EK47947"/>
    </row>
    <row r="47948" spans="1:141" s="116" customFormat="1">
      <c r="A47948" s="136"/>
      <c r="CM47948" s="111"/>
      <c r="CQ47948" s="111"/>
      <c r="EF47948"/>
      <c r="EG47948"/>
      <c r="EH47948"/>
      <c r="EI47948"/>
      <c r="EJ47948"/>
      <c r="EK47948"/>
    </row>
    <row r="47949" spans="1:141" s="116" customFormat="1">
      <c r="A47949" s="136"/>
      <c r="CM47949" s="111"/>
      <c r="CQ47949" s="111"/>
      <c r="EF47949"/>
      <c r="EG47949"/>
      <c r="EH47949"/>
      <c r="EI47949"/>
      <c r="EJ47949"/>
      <c r="EK47949"/>
    </row>
    <row r="47950" spans="1:141" s="116" customFormat="1">
      <c r="A47950" s="136"/>
      <c r="CM47950" s="111"/>
      <c r="CQ47950" s="111"/>
      <c r="EF47950"/>
      <c r="EG47950"/>
      <c r="EH47950"/>
      <c r="EI47950"/>
      <c r="EJ47950"/>
      <c r="EK47950"/>
    </row>
    <row r="47951" spans="1:141" s="116" customFormat="1">
      <c r="A47951" s="136"/>
      <c r="CM47951" s="111"/>
      <c r="CQ47951" s="111"/>
      <c r="EF47951"/>
      <c r="EG47951"/>
      <c r="EH47951"/>
      <c r="EI47951"/>
      <c r="EJ47951"/>
      <c r="EK47951"/>
    </row>
    <row r="47952" spans="1:141" s="116" customFormat="1">
      <c r="A47952" s="136"/>
      <c r="CM47952" s="111"/>
      <c r="CQ47952" s="111"/>
      <c r="EF47952"/>
      <c r="EG47952"/>
      <c r="EH47952"/>
      <c r="EI47952"/>
      <c r="EJ47952"/>
      <c r="EK47952"/>
    </row>
    <row r="47953" spans="1:141" s="116" customFormat="1">
      <c r="A47953" s="136"/>
      <c r="CM47953" s="111"/>
      <c r="CQ47953" s="111"/>
      <c r="EF47953"/>
      <c r="EG47953"/>
      <c r="EH47953"/>
      <c r="EI47953"/>
      <c r="EJ47953"/>
      <c r="EK47953"/>
    </row>
    <row r="47954" spans="1:141" s="116" customFormat="1">
      <c r="A47954" s="136"/>
      <c r="CM47954" s="111"/>
      <c r="CQ47954" s="111"/>
      <c r="EF47954"/>
      <c r="EG47954"/>
      <c r="EH47954"/>
      <c r="EI47954"/>
      <c r="EJ47954"/>
      <c r="EK47954"/>
    </row>
    <row r="47955" spans="1:141" s="116" customFormat="1">
      <c r="A47955" s="136"/>
      <c r="CM47955" s="111"/>
      <c r="CQ47955" s="111"/>
      <c r="EF47955"/>
      <c r="EG47955"/>
      <c r="EH47955"/>
      <c r="EI47955"/>
      <c r="EJ47955"/>
      <c r="EK47955"/>
    </row>
    <row r="47956" spans="1:141" s="116" customFormat="1">
      <c r="A47956" s="136"/>
      <c r="CM47956" s="111"/>
      <c r="CQ47956" s="111"/>
      <c r="EF47956"/>
      <c r="EG47956"/>
      <c r="EH47956"/>
      <c r="EI47956"/>
      <c r="EJ47956"/>
      <c r="EK47956"/>
    </row>
    <row r="47957" spans="1:141" s="116" customFormat="1">
      <c r="A47957" s="136"/>
      <c r="CM47957" s="111"/>
      <c r="CQ47957" s="111"/>
      <c r="EF47957"/>
      <c r="EG47957"/>
      <c r="EH47957"/>
      <c r="EI47957"/>
      <c r="EJ47957"/>
      <c r="EK47957"/>
    </row>
    <row r="47958" spans="1:141" s="116" customFormat="1">
      <c r="A47958" s="136"/>
      <c r="CM47958" s="111"/>
      <c r="CQ47958" s="111"/>
      <c r="EF47958"/>
      <c r="EG47958"/>
      <c r="EH47958"/>
      <c r="EI47958"/>
      <c r="EJ47958"/>
      <c r="EK47958"/>
    </row>
    <row r="47959" spans="1:141" s="116" customFormat="1">
      <c r="A47959" s="136"/>
      <c r="CM47959" s="111"/>
      <c r="CQ47959" s="111"/>
      <c r="EF47959"/>
      <c r="EG47959"/>
      <c r="EH47959"/>
      <c r="EI47959"/>
      <c r="EJ47959"/>
      <c r="EK47959"/>
    </row>
    <row r="47960" spans="1:141" s="116" customFormat="1">
      <c r="A47960" s="136"/>
      <c r="CM47960" s="111"/>
      <c r="CQ47960" s="111"/>
      <c r="EF47960"/>
      <c r="EG47960"/>
      <c r="EH47960"/>
      <c r="EI47960"/>
      <c r="EJ47960"/>
      <c r="EK47960"/>
    </row>
    <row r="47961" spans="1:141" s="116" customFormat="1">
      <c r="A47961" s="136"/>
      <c r="CM47961" s="111"/>
      <c r="CQ47961" s="111"/>
      <c r="EF47961"/>
      <c r="EG47961"/>
      <c r="EH47961"/>
      <c r="EI47961"/>
      <c r="EJ47961"/>
      <c r="EK47961"/>
    </row>
    <row r="47962" spans="1:141" s="116" customFormat="1">
      <c r="A47962" s="136"/>
      <c r="CM47962" s="111"/>
      <c r="CQ47962" s="111"/>
      <c r="EF47962"/>
      <c r="EG47962"/>
      <c r="EH47962"/>
      <c r="EI47962"/>
      <c r="EJ47962"/>
      <c r="EK47962"/>
    </row>
    <row r="47963" spans="1:141" s="116" customFormat="1">
      <c r="A47963" s="136"/>
      <c r="CM47963" s="111"/>
      <c r="CQ47963" s="111"/>
      <c r="EF47963"/>
      <c r="EG47963"/>
      <c r="EH47963"/>
      <c r="EI47963"/>
      <c r="EJ47963"/>
      <c r="EK47963"/>
    </row>
    <row r="47964" spans="1:141" s="116" customFormat="1">
      <c r="A47964" s="136"/>
      <c r="CM47964" s="111"/>
      <c r="CQ47964" s="111"/>
      <c r="EF47964"/>
      <c r="EG47964"/>
      <c r="EH47964"/>
      <c r="EI47964"/>
      <c r="EJ47964"/>
      <c r="EK47964"/>
    </row>
    <row r="47965" spans="1:141" s="116" customFormat="1">
      <c r="A47965" s="136"/>
      <c r="CM47965" s="111"/>
      <c r="CQ47965" s="111"/>
      <c r="EF47965"/>
      <c r="EG47965"/>
      <c r="EH47965"/>
      <c r="EI47965"/>
      <c r="EJ47965"/>
      <c r="EK47965"/>
    </row>
    <row r="47966" spans="1:141" s="116" customFormat="1">
      <c r="A47966" s="136"/>
      <c r="CM47966" s="111"/>
      <c r="CQ47966" s="111"/>
      <c r="EF47966"/>
      <c r="EG47966"/>
      <c r="EH47966"/>
      <c r="EI47966"/>
      <c r="EJ47966"/>
      <c r="EK47966"/>
    </row>
    <row r="47967" spans="1:141" s="116" customFormat="1">
      <c r="A47967" s="136"/>
      <c r="CM47967" s="111"/>
      <c r="CQ47967" s="111"/>
      <c r="EF47967"/>
      <c r="EG47967"/>
      <c r="EH47967"/>
      <c r="EI47967"/>
      <c r="EJ47967"/>
      <c r="EK47967"/>
    </row>
    <row r="47968" spans="1:141" s="116" customFormat="1">
      <c r="A47968" s="136"/>
      <c r="CM47968" s="111"/>
      <c r="CQ47968" s="111"/>
      <c r="EF47968"/>
      <c r="EG47968"/>
      <c r="EH47968"/>
      <c r="EI47968"/>
      <c r="EJ47968"/>
      <c r="EK47968"/>
    </row>
    <row r="47969" spans="1:141" s="116" customFormat="1">
      <c r="A47969" s="136"/>
      <c r="CM47969" s="111"/>
      <c r="CQ47969" s="111"/>
      <c r="EF47969"/>
      <c r="EG47969"/>
      <c r="EH47969"/>
      <c r="EI47969"/>
      <c r="EJ47969"/>
      <c r="EK47969"/>
    </row>
    <row r="47970" spans="1:141" s="116" customFormat="1">
      <c r="A47970" s="136"/>
      <c r="CM47970" s="111"/>
      <c r="CQ47970" s="111"/>
      <c r="EF47970"/>
      <c r="EG47970"/>
      <c r="EH47970"/>
      <c r="EI47970"/>
      <c r="EJ47970"/>
      <c r="EK47970"/>
    </row>
    <row r="47971" spans="1:141" s="116" customFormat="1">
      <c r="A47971" s="136"/>
      <c r="CM47971" s="111"/>
      <c r="CQ47971" s="111"/>
      <c r="EF47971"/>
      <c r="EG47971"/>
      <c r="EH47971"/>
      <c r="EI47971"/>
      <c r="EJ47971"/>
      <c r="EK47971"/>
    </row>
    <row r="47972" spans="1:141" s="116" customFormat="1">
      <c r="A47972" s="136"/>
      <c r="CM47972" s="111"/>
      <c r="CQ47972" s="111"/>
      <c r="EF47972"/>
      <c r="EG47972"/>
      <c r="EH47972"/>
      <c r="EI47972"/>
      <c r="EJ47972"/>
      <c r="EK47972"/>
    </row>
    <row r="47973" spans="1:141" s="116" customFormat="1">
      <c r="A47973" s="136"/>
      <c r="CM47973" s="111"/>
      <c r="CQ47973" s="111"/>
      <c r="EF47973"/>
      <c r="EG47973"/>
      <c r="EH47973"/>
      <c r="EI47973"/>
      <c r="EJ47973"/>
      <c r="EK47973"/>
    </row>
    <row r="47974" spans="1:141" s="116" customFormat="1">
      <c r="A47974" s="136"/>
      <c r="CM47974" s="111"/>
      <c r="CQ47974" s="111"/>
      <c r="EF47974"/>
      <c r="EG47974"/>
      <c r="EH47974"/>
      <c r="EI47974"/>
      <c r="EJ47974"/>
      <c r="EK47974"/>
    </row>
    <row r="47975" spans="1:141" s="116" customFormat="1">
      <c r="A47975" s="136"/>
      <c r="CM47975" s="111"/>
      <c r="CQ47975" s="111"/>
      <c r="EF47975"/>
      <c r="EG47975"/>
      <c r="EH47975"/>
      <c r="EI47975"/>
      <c r="EJ47975"/>
      <c r="EK47975"/>
    </row>
    <row r="47976" spans="1:141" s="116" customFormat="1">
      <c r="A47976" s="136"/>
      <c r="CM47976" s="111"/>
      <c r="CQ47976" s="111"/>
      <c r="EF47976"/>
      <c r="EG47976"/>
      <c r="EH47976"/>
      <c r="EI47976"/>
      <c r="EJ47976"/>
      <c r="EK47976"/>
    </row>
    <row r="47977" spans="1:141" s="116" customFormat="1">
      <c r="A47977" s="136"/>
      <c r="CM47977" s="111"/>
      <c r="CQ47977" s="111"/>
      <c r="EF47977"/>
      <c r="EG47977"/>
      <c r="EH47977"/>
      <c r="EI47977"/>
      <c r="EJ47977"/>
      <c r="EK47977"/>
    </row>
    <row r="47978" spans="1:141" s="116" customFormat="1">
      <c r="A47978" s="136"/>
      <c r="CM47978" s="111"/>
      <c r="CQ47978" s="111"/>
      <c r="EF47978"/>
      <c r="EG47978"/>
      <c r="EH47978"/>
      <c r="EI47978"/>
      <c r="EJ47978"/>
      <c r="EK47978"/>
    </row>
    <row r="47979" spans="1:141" s="116" customFormat="1">
      <c r="A47979" s="136"/>
      <c r="CM47979" s="111"/>
      <c r="CQ47979" s="111"/>
      <c r="EF47979"/>
      <c r="EG47979"/>
      <c r="EH47979"/>
      <c r="EI47979"/>
      <c r="EJ47979"/>
      <c r="EK47979"/>
    </row>
    <row r="47980" spans="1:141" s="116" customFormat="1">
      <c r="A47980" s="136"/>
      <c r="CM47980" s="111"/>
      <c r="CQ47980" s="111"/>
      <c r="EF47980"/>
      <c r="EG47980"/>
      <c r="EH47980"/>
      <c r="EI47980"/>
      <c r="EJ47980"/>
      <c r="EK47980"/>
    </row>
    <row r="47981" spans="1:141" s="116" customFormat="1">
      <c r="A47981" s="136"/>
      <c r="CM47981" s="111"/>
      <c r="CQ47981" s="111"/>
      <c r="EF47981"/>
      <c r="EG47981"/>
      <c r="EH47981"/>
      <c r="EI47981"/>
      <c r="EJ47981"/>
      <c r="EK47981"/>
    </row>
    <row r="47982" spans="1:141" s="116" customFormat="1">
      <c r="A47982" s="136"/>
      <c r="CM47982" s="111"/>
      <c r="CQ47982" s="111"/>
      <c r="EF47982"/>
      <c r="EG47982"/>
      <c r="EH47982"/>
      <c r="EI47982"/>
      <c r="EJ47982"/>
      <c r="EK47982"/>
    </row>
    <row r="47983" spans="1:141" s="116" customFormat="1">
      <c r="A47983" s="136"/>
      <c r="CM47983" s="111"/>
      <c r="CQ47983" s="111"/>
      <c r="EF47983"/>
      <c r="EG47983"/>
      <c r="EH47983"/>
      <c r="EI47983"/>
      <c r="EJ47983"/>
      <c r="EK47983"/>
    </row>
    <row r="47984" spans="1:141" s="116" customFormat="1">
      <c r="A47984" s="136"/>
      <c r="CM47984" s="111"/>
      <c r="CQ47984" s="111"/>
      <c r="EF47984"/>
      <c r="EG47984"/>
      <c r="EH47984"/>
      <c r="EI47984"/>
      <c r="EJ47984"/>
      <c r="EK47984"/>
    </row>
    <row r="47985" spans="1:141" s="116" customFormat="1">
      <c r="A47985" s="136"/>
      <c r="CM47985" s="111"/>
      <c r="CQ47985" s="111"/>
      <c r="EF47985"/>
      <c r="EG47985"/>
      <c r="EH47985"/>
      <c r="EI47985"/>
      <c r="EJ47985"/>
      <c r="EK47985"/>
    </row>
    <row r="47986" spans="1:141" s="116" customFormat="1">
      <c r="A47986" s="136"/>
      <c r="CM47986" s="111"/>
      <c r="CQ47986" s="111"/>
      <c r="EF47986"/>
      <c r="EG47986"/>
      <c r="EH47986"/>
      <c r="EI47986"/>
      <c r="EJ47986"/>
      <c r="EK47986"/>
    </row>
    <row r="47987" spans="1:141" s="116" customFormat="1">
      <c r="A47987" s="136"/>
      <c r="CM47987" s="111"/>
      <c r="CQ47987" s="111"/>
      <c r="EF47987"/>
      <c r="EG47987"/>
      <c r="EH47987"/>
      <c r="EI47987"/>
      <c r="EJ47987"/>
      <c r="EK47987"/>
    </row>
    <row r="47988" spans="1:141" s="116" customFormat="1">
      <c r="A47988" s="136"/>
      <c r="CM47988" s="111"/>
      <c r="CQ47988" s="111"/>
      <c r="EF47988"/>
      <c r="EG47988"/>
      <c r="EH47988"/>
      <c r="EI47988"/>
      <c r="EJ47988"/>
      <c r="EK47988"/>
    </row>
    <row r="47989" spans="1:141" s="116" customFormat="1">
      <c r="A47989" s="136"/>
      <c r="CM47989" s="111"/>
      <c r="CQ47989" s="111"/>
      <c r="EF47989"/>
      <c r="EG47989"/>
      <c r="EH47989"/>
      <c r="EI47989"/>
      <c r="EJ47989"/>
      <c r="EK47989"/>
    </row>
    <row r="47990" spans="1:141" s="116" customFormat="1">
      <c r="A47990" s="136"/>
      <c r="CM47990" s="111"/>
      <c r="CQ47990" s="111"/>
      <c r="EF47990"/>
      <c r="EG47990"/>
      <c r="EH47990"/>
      <c r="EI47990"/>
      <c r="EJ47990"/>
      <c r="EK47990"/>
    </row>
    <row r="47991" spans="1:141" s="116" customFormat="1">
      <c r="A47991" s="136"/>
      <c r="CM47991" s="111"/>
      <c r="CQ47991" s="111"/>
      <c r="EF47991"/>
      <c r="EG47991"/>
      <c r="EH47991"/>
      <c r="EI47991"/>
      <c r="EJ47991"/>
      <c r="EK47991"/>
    </row>
    <row r="47992" spans="1:141" s="116" customFormat="1">
      <c r="A47992" s="136"/>
      <c r="CM47992" s="111"/>
      <c r="CQ47992" s="111"/>
      <c r="EF47992"/>
      <c r="EG47992"/>
      <c r="EH47992"/>
      <c r="EI47992"/>
      <c r="EJ47992"/>
      <c r="EK47992"/>
    </row>
    <row r="47993" spans="1:141" s="116" customFormat="1">
      <c r="A47993" s="136"/>
      <c r="CM47993" s="111"/>
      <c r="CQ47993" s="111"/>
      <c r="EF47993"/>
      <c r="EG47993"/>
      <c r="EH47993"/>
      <c r="EI47993"/>
      <c r="EJ47993"/>
      <c r="EK47993"/>
    </row>
    <row r="47994" spans="1:141" s="116" customFormat="1">
      <c r="A47994" s="136"/>
      <c r="CM47994" s="111"/>
      <c r="CQ47994" s="111"/>
      <c r="EF47994"/>
      <c r="EG47994"/>
      <c r="EH47994"/>
      <c r="EI47994"/>
      <c r="EJ47994"/>
      <c r="EK47994"/>
    </row>
    <row r="47995" spans="1:141" s="116" customFormat="1">
      <c r="A47995" s="136"/>
      <c r="CM47995" s="111"/>
      <c r="CQ47995" s="111"/>
      <c r="EF47995"/>
      <c r="EG47995"/>
      <c r="EH47995"/>
      <c r="EI47995"/>
      <c r="EJ47995"/>
      <c r="EK47995"/>
    </row>
    <row r="47996" spans="1:141" s="116" customFormat="1">
      <c r="A47996" s="136"/>
      <c r="CM47996" s="111"/>
      <c r="CQ47996" s="111"/>
      <c r="EF47996"/>
      <c r="EG47996"/>
      <c r="EH47996"/>
      <c r="EI47996"/>
      <c r="EJ47996"/>
      <c r="EK47996"/>
    </row>
    <row r="47997" spans="1:141" s="116" customFormat="1">
      <c r="A47997" s="136"/>
      <c r="CM47997" s="111"/>
      <c r="CQ47997" s="111"/>
      <c r="EF47997"/>
      <c r="EG47997"/>
      <c r="EH47997"/>
      <c r="EI47997"/>
      <c r="EJ47997"/>
      <c r="EK47997"/>
    </row>
    <row r="47998" spans="1:141" s="116" customFormat="1">
      <c r="A47998" s="136"/>
      <c r="CM47998" s="111"/>
      <c r="CQ47998" s="111"/>
      <c r="EF47998"/>
      <c r="EG47998"/>
      <c r="EH47998"/>
      <c r="EI47998"/>
      <c r="EJ47998"/>
      <c r="EK47998"/>
    </row>
    <row r="47999" spans="1:141" s="116" customFormat="1">
      <c r="A47999" s="136"/>
      <c r="CM47999" s="111"/>
      <c r="CQ47999" s="111"/>
      <c r="EF47999"/>
      <c r="EG47999"/>
      <c r="EH47999"/>
      <c r="EI47999"/>
      <c r="EJ47999"/>
      <c r="EK47999"/>
    </row>
    <row r="48000" spans="1:141" s="116" customFormat="1">
      <c r="A48000" s="136"/>
      <c r="CM48000" s="111"/>
      <c r="CQ48000" s="111"/>
      <c r="EF48000"/>
      <c r="EG48000"/>
      <c r="EH48000"/>
      <c r="EI48000"/>
      <c r="EJ48000"/>
      <c r="EK48000"/>
    </row>
    <row r="48001" spans="1:141" s="116" customFormat="1">
      <c r="A48001" s="136"/>
      <c r="CM48001" s="111"/>
      <c r="CQ48001" s="111"/>
      <c r="EF48001"/>
      <c r="EG48001"/>
      <c r="EH48001"/>
      <c r="EI48001"/>
      <c r="EJ48001"/>
      <c r="EK48001"/>
    </row>
    <row r="48002" spans="1:141" s="116" customFormat="1">
      <c r="A48002" s="136"/>
      <c r="CM48002" s="111"/>
      <c r="CQ48002" s="111"/>
      <c r="EF48002"/>
      <c r="EG48002"/>
      <c r="EH48002"/>
      <c r="EI48002"/>
      <c r="EJ48002"/>
      <c r="EK48002"/>
    </row>
    <row r="48003" spans="1:141" s="116" customFormat="1">
      <c r="A48003" s="136"/>
      <c r="CM48003" s="111"/>
      <c r="CQ48003" s="111"/>
      <c r="EF48003"/>
      <c r="EG48003"/>
      <c r="EH48003"/>
      <c r="EI48003"/>
      <c r="EJ48003"/>
      <c r="EK48003"/>
    </row>
    <row r="48004" spans="1:141" s="116" customFormat="1">
      <c r="A48004" s="136"/>
      <c r="CM48004" s="111"/>
      <c r="CQ48004" s="111"/>
      <c r="EF48004"/>
      <c r="EG48004"/>
      <c r="EH48004"/>
      <c r="EI48004"/>
      <c r="EJ48004"/>
      <c r="EK48004"/>
    </row>
    <row r="48005" spans="1:141" s="116" customFormat="1">
      <c r="A48005" s="136"/>
      <c r="CM48005" s="111"/>
      <c r="CQ48005" s="111"/>
      <c r="EF48005"/>
      <c r="EG48005"/>
      <c r="EH48005"/>
      <c r="EI48005"/>
      <c r="EJ48005"/>
      <c r="EK48005"/>
    </row>
    <row r="48006" spans="1:141" s="116" customFormat="1">
      <c r="A48006" s="136"/>
      <c r="CM48006" s="111"/>
      <c r="CQ48006" s="111"/>
      <c r="EF48006"/>
      <c r="EG48006"/>
      <c r="EH48006"/>
      <c r="EI48006"/>
      <c r="EJ48006"/>
      <c r="EK48006"/>
    </row>
    <row r="48007" spans="1:141" s="116" customFormat="1">
      <c r="A48007" s="136"/>
      <c r="CM48007" s="111"/>
      <c r="CQ48007" s="111"/>
      <c r="EF48007"/>
      <c r="EG48007"/>
      <c r="EH48007"/>
      <c r="EI48007"/>
      <c r="EJ48007"/>
      <c r="EK48007"/>
    </row>
    <row r="48008" spans="1:141" s="116" customFormat="1">
      <c r="A48008" s="136"/>
      <c r="CM48008" s="111"/>
      <c r="CQ48008" s="111"/>
      <c r="EF48008"/>
      <c r="EG48008"/>
      <c r="EH48008"/>
      <c r="EI48008"/>
      <c r="EJ48008"/>
      <c r="EK48008"/>
    </row>
    <row r="48009" spans="1:141" s="116" customFormat="1">
      <c r="A48009" s="136"/>
      <c r="CM48009" s="111"/>
      <c r="CQ48009" s="111"/>
      <c r="EF48009"/>
      <c r="EG48009"/>
      <c r="EH48009"/>
      <c r="EI48009"/>
      <c r="EJ48009"/>
      <c r="EK48009"/>
    </row>
    <row r="48010" spans="1:141" s="116" customFormat="1">
      <c r="A48010" s="136"/>
      <c r="CM48010" s="111"/>
      <c r="CQ48010" s="111"/>
      <c r="EF48010"/>
      <c r="EG48010"/>
      <c r="EH48010"/>
      <c r="EI48010"/>
      <c r="EJ48010"/>
      <c r="EK48010"/>
    </row>
    <row r="48011" spans="1:141" s="116" customFormat="1">
      <c r="A48011" s="136"/>
      <c r="CM48011" s="111"/>
      <c r="CQ48011" s="111"/>
      <c r="EF48011"/>
      <c r="EG48011"/>
      <c r="EH48011"/>
      <c r="EI48011"/>
      <c r="EJ48011"/>
      <c r="EK48011"/>
    </row>
    <row r="48012" spans="1:141" s="116" customFormat="1">
      <c r="A48012" s="136"/>
      <c r="CM48012" s="111"/>
      <c r="CQ48012" s="111"/>
      <c r="EF48012"/>
      <c r="EG48012"/>
      <c r="EH48012"/>
      <c r="EI48012"/>
      <c r="EJ48012"/>
      <c r="EK48012"/>
    </row>
    <row r="48013" spans="1:141" s="116" customFormat="1">
      <c r="A48013" s="136"/>
      <c r="CM48013" s="111"/>
      <c r="CQ48013" s="111"/>
      <c r="EF48013"/>
      <c r="EG48013"/>
      <c r="EH48013"/>
      <c r="EI48013"/>
      <c r="EJ48013"/>
      <c r="EK48013"/>
    </row>
    <row r="48014" spans="1:141" s="116" customFormat="1">
      <c r="A48014" s="136"/>
      <c r="CM48014" s="111"/>
      <c r="CQ48014" s="111"/>
      <c r="EF48014"/>
      <c r="EG48014"/>
      <c r="EH48014"/>
      <c r="EI48014"/>
      <c r="EJ48014"/>
      <c r="EK48014"/>
    </row>
    <row r="48015" spans="1:141" s="116" customFormat="1">
      <c r="A48015" s="136"/>
      <c r="CM48015" s="111"/>
      <c r="CQ48015" s="111"/>
      <c r="EF48015"/>
      <c r="EG48015"/>
      <c r="EH48015"/>
      <c r="EI48015"/>
      <c r="EJ48015"/>
      <c r="EK48015"/>
    </row>
    <row r="48016" spans="1:141" s="116" customFormat="1">
      <c r="A48016" s="136"/>
      <c r="CM48016" s="111"/>
      <c r="CQ48016" s="111"/>
      <c r="EF48016"/>
      <c r="EG48016"/>
      <c r="EH48016"/>
      <c r="EI48016"/>
      <c r="EJ48016"/>
      <c r="EK48016"/>
    </row>
    <row r="48017" spans="1:141" s="116" customFormat="1">
      <c r="A48017" s="136"/>
      <c r="CM48017" s="111"/>
      <c r="CQ48017" s="111"/>
      <c r="EF48017"/>
      <c r="EG48017"/>
      <c r="EH48017"/>
      <c r="EI48017"/>
      <c r="EJ48017"/>
      <c r="EK48017"/>
    </row>
    <row r="48018" spans="1:141" s="116" customFormat="1">
      <c r="A48018" s="136"/>
      <c r="CM48018" s="111"/>
      <c r="CQ48018" s="111"/>
      <c r="EF48018"/>
      <c r="EG48018"/>
      <c r="EH48018"/>
      <c r="EI48018"/>
      <c r="EJ48018"/>
      <c r="EK48018"/>
    </row>
    <row r="48019" spans="1:141" s="116" customFormat="1">
      <c r="A48019" s="136"/>
      <c r="CM48019" s="111"/>
      <c r="CQ48019" s="111"/>
      <c r="EF48019"/>
      <c r="EG48019"/>
      <c r="EH48019"/>
      <c r="EI48019"/>
      <c r="EJ48019"/>
      <c r="EK48019"/>
    </row>
    <row r="48020" spans="1:141" s="116" customFormat="1">
      <c r="A48020" s="136"/>
      <c r="CM48020" s="111"/>
      <c r="CQ48020" s="111"/>
      <c r="EF48020"/>
      <c r="EG48020"/>
      <c r="EH48020"/>
      <c r="EI48020"/>
      <c r="EJ48020"/>
      <c r="EK48020"/>
    </row>
    <row r="48021" spans="1:141" s="116" customFormat="1">
      <c r="A48021" s="136"/>
      <c r="CM48021" s="111"/>
      <c r="CQ48021" s="111"/>
      <c r="EF48021"/>
      <c r="EG48021"/>
      <c r="EH48021"/>
      <c r="EI48021"/>
      <c r="EJ48021"/>
      <c r="EK48021"/>
    </row>
    <row r="48022" spans="1:141" s="116" customFormat="1">
      <c r="A48022" s="136"/>
      <c r="CM48022" s="111"/>
      <c r="CQ48022" s="111"/>
      <c r="EF48022"/>
      <c r="EG48022"/>
      <c r="EH48022"/>
      <c r="EI48022"/>
      <c r="EJ48022"/>
      <c r="EK48022"/>
    </row>
    <row r="48023" spans="1:141" s="116" customFormat="1">
      <c r="A48023" s="136"/>
      <c r="CM48023" s="111"/>
      <c r="CQ48023" s="111"/>
      <c r="EF48023"/>
      <c r="EG48023"/>
      <c r="EH48023"/>
      <c r="EI48023"/>
      <c r="EJ48023"/>
      <c r="EK48023"/>
    </row>
    <row r="48024" spans="1:141" s="116" customFormat="1">
      <c r="A48024" s="136"/>
      <c r="CM48024" s="111"/>
      <c r="CQ48024" s="111"/>
      <c r="EF48024"/>
      <c r="EG48024"/>
      <c r="EH48024"/>
      <c r="EI48024"/>
      <c r="EJ48024"/>
      <c r="EK48024"/>
    </row>
    <row r="48025" spans="1:141" s="116" customFormat="1">
      <c r="A48025" s="136"/>
      <c r="CM48025" s="111"/>
      <c r="CQ48025" s="111"/>
      <c r="EF48025"/>
      <c r="EG48025"/>
      <c r="EH48025"/>
      <c r="EI48025"/>
      <c r="EJ48025"/>
      <c r="EK48025"/>
    </row>
    <row r="48026" spans="1:141" s="116" customFormat="1">
      <c r="A48026" s="136"/>
      <c r="CM48026" s="111"/>
      <c r="CQ48026" s="111"/>
      <c r="EF48026"/>
      <c r="EG48026"/>
      <c r="EH48026"/>
      <c r="EI48026"/>
      <c r="EJ48026"/>
      <c r="EK48026"/>
    </row>
    <row r="48027" spans="1:141" s="116" customFormat="1">
      <c r="A48027" s="136"/>
      <c r="CM48027" s="111"/>
      <c r="CQ48027" s="111"/>
      <c r="EF48027"/>
      <c r="EG48027"/>
      <c r="EH48027"/>
      <c r="EI48027"/>
      <c r="EJ48027"/>
      <c r="EK48027"/>
    </row>
    <row r="48028" spans="1:141" s="116" customFormat="1">
      <c r="A48028" s="136"/>
      <c r="CM48028" s="111"/>
      <c r="CQ48028" s="111"/>
      <c r="EF48028"/>
      <c r="EG48028"/>
      <c r="EH48028"/>
      <c r="EI48028"/>
      <c r="EJ48028"/>
      <c r="EK48028"/>
    </row>
    <row r="48029" spans="1:141" s="116" customFormat="1">
      <c r="A48029" s="136"/>
      <c r="CM48029" s="111"/>
      <c r="CQ48029" s="111"/>
      <c r="EF48029"/>
      <c r="EG48029"/>
      <c r="EH48029"/>
      <c r="EI48029"/>
      <c r="EJ48029"/>
      <c r="EK48029"/>
    </row>
    <row r="48030" spans="1:141" s="116" customFormat="1">
      <c r="A48030" s="136"/>
      <c r="CM48030" s="111"/>
      <c r="CQ48030" s="111"/>
      <c r="EF48030"/>
      <c r="EG48030"/>
      <c r="EH48030"/>
      <c r="EI48030"/>
      <c r="EJ48030"/>
      <c r="EK48030"/>
    </row>
    <row r="48031" spans="1:141" s="116" customFormat="1">
      <c r="A48031" s="136"/>
      <c r="CM48031" s="111"/>
      <c r="CQ48031" s="111"/>
      <c r="EF48031"/>
      <c r="EG48031"/>
      <c r="EH48031"/>
      <c r="EI48031"/>
      <c r="EJ48031"/>
      <c r="EK48031"/>
    </row>
    <row r="48032" spans="1:141" s="116" customFormat="1">
      <c r="A48032" s="136"/>
      <c r="CM48032" s="111"/>
      <c r="CQ48032" s="111"/>
      <c r="EF48032"/>
      <c r="EG48032"/>
      <c r="EH48032"/>
      <c r="EI48032"/>
      <c r="EJ48032"/>
      <c r="EK48032"/>
    </row>
    <row r="48033" spans="1:141" s="116" customFormat="1">
      <c r="A48033" s="136"/>
      <c r="CM48033" s="111"/>
      <c r="CQ48033" s="111"/>
      <c r="EF48033"/>
      <c r="EG48033"/>
      <c r="EH48033"/>
      <c r="EI48033"/>
      <c r="EJ48033"/>
      <c r="EK48033"/>
    </row>
    <row r="48034" spans="1:141" s="116" customFormat="1">
      <c r="A48034" s="136"/>
      <c r="CM48034" s="111"/>
      <c r="CQ48034" s="111"/>
      <c r="EF48034"/>
      <c r="EG48034"/>
      <c r="EH48034"/>
      <c r="EI48034"/>
      <c r="EJ48034"/>
      <c r="EK48034"/>
    </row>
    <row r="48035" spans="1:141" s="116" customFormat="1">
      <c r="A48035" s="136"/>
      <c r="CM48035" s="111"/>
      <c r="CQ48035" s="111"/>
      <c r="EF48035"/>
      <c r="EG48035"/>
      <c r="EH48035"/>
      <c r="EI48035"/>
      <c r="EJ48035"/>
      <c r="EK48035"/>
    </row>
    <row r="48036" spans="1:141" s="116" customFormat="1">
      <c r="A48036" s="136"/>
      <c r="CM48036" s="111"/>
      <c r="CQ48036" s="111"/>
      <c r="EF48036"/>
      <c r="EG48036"/>
      <c r="EH48036"/>
      <c r="EI48036"/>
      <c r="EJ48036"/>
      <c r="EK48036"/>
    </row>
    <row r="48037" spans="1:141" s="116" customFormat="1">
      <c r="A48037" s="136"/>
      <c r="CM48037" s="111"/>
      <c r="CQ48037" s="111"/>
      <c r="EF48037"/>
      <c r="EG48037"/>
      <c r="EH48037"/>
      <c r="EI48037"/>
      <c r="EJ48037"/>
      <c r="EK48037"/>
    </row>
    <row r="48038" spans="1:141" s="116" customFormat="1">
      <c r="A48038" s="136"/>
      <c r="CM48038" s="111"/>
      <c r="CQ48038" s="111"/>
      <c r="EF48038"/>
      <c r="EG48038"/>
      <c r="EH48038"/>
      <c r="EI48038"/>
      <c r="EJ48038"/>
      <c r="EK48038"/>
    </row>
    <row r="48039" spans="1:141" s="116" customFormat="1">
      <c r="A48039" s="136"/>
      <c r="CM48039" s="111"/>
      <c r="CQ48039" s="111"/>
      <c r="EF48039"/>
      <c r="EG48039"/>
      <c r="EH48039"/>
      <c r="EI48039"/>
      <c r="EJ48039"/>
      <c r="EK48039"/>
    </row>
    <row r="48040" spans="1:141" s="116" customFormat="1">
      <c r="A48040" s="136"/>
      <c r="CM48040" s="111"/>
      <c r="CQ48040" s="111"/>
      <c r="EF48040"/>
      <c r="EG48040"/>
      <c r="EH48040"/>
      <c r="EI48040"/>
      <c r="EJ48040"/>
      <c r="EK48040"/>
    </row>
    <row r="48041" spans="1:141" s="116" customFormat="1">
      <c r="A48041" s="136"/>
      <c r="CM48041" s="111"/>
      <c r="CQ48041" s="111"/>
      <c r="EF48041"/>
      <c r="EG48041"/>
      <c r="EH48041"/>
      <c r="EI48041"/>
      <c r="EJ48041"/>
      <c r="EK48041"/>
    </row>
    <row r="48042" spans="1:141" s="116" customFormat="1">
      <c r="A48042" s="136"/>
      <c r="CM48042" s="111"/>
      <c r="CQ48042" s="111"/>
      <c r="EF48042"/>
      <c r="EG48042"/>
      <c r="EH48042"/>
      <c r="EI48042"/>
      <c r="EJ48042"/>
      <c r="EK48042"/>
    </row>
    <row r="48043" spans="1:141" s="116" customFormat="1">
      <c r="A48043" s="136"/>
      <c r="CM48043" s="111"/>
      <c r="CQ48043" s="111"/>
      <c r="EF48043"/>
      <c r="EG48043"/>
      <c r="EH48043"/>
      <c r="EI48043"/>
      <c r="EJ48043"/>
      <c r="EK48043"/>
    </row>
    <row r="48044" spans="1:141" s="116" customFormat="1">
      <c r="A48044" s="136"/>
      <c r="CM48044" s="111"/>
      <c r="CQ48044" s="111"/>
      <c r="EF48044"/>
      <c r="EG48044"/>
      <c r="EH48044"/>
      <c r="EI48044"/>
      <c r="EJ48044"/>
      <c r="EK48044"/>
    </row>
    <row r="48045" spans="1:141" s="116" customFormat="1">
      <c r="A48045" s="136"/>
      <c r="CM48045" s="111"/>
      <c r="CQ48045" s="111"/>
      <c r="EF48045"/>
      <c r="EG48045"/>
      <c r="EH48045"/>
      <c r="EI48045"/>
      <c r="EJ48045"/>
      <c r="EK48045"/>
    </row>
    <row r="48046" spans="1:141" s="116" customFormat="1">
      <c r="A48046" s="136"/>
      <c r="CM48046" s="111"/>
      <c r="CQ48046" s="111"/>
      <c r="EF48046"/>
      <c r="EG48046"/>
      <c r="EH48046"/>
      <c r="EI48046"/>
      <c r="EJ48046"/>
      <c r="EK48046"/>
    </row>
    <row r="48047" spans="1:141" s="116" customFormat="1">
      <c r="A48047" s="136"/>
      <c r="CM48047" s="111"/>
      <c r="CQ48047" s="111"/>
      <c r="EF48047"/>
      <c r="EG48047"/>
      <c r="EH48047"/>
      <c r="EI48047"/>
      <c r="EJ48047"/>
      <c r="EK48047"/>
    </row>
    <row r="48048" spans="1:141" s="116" customFormat="1">
      <c r="A48048" s="136"/>
      <c r="CM48048" s="111"/>
      <c r="CQ48048" s="111"/>
      <c r="EF48048"/>
      <c r="EG48048"/>
      <c r="EH48048"/>
      <c r="EI48048"/>
      <c r="EJ48048"/>
      <c r="EK48048"/>
    </row>
    <row r="48049" spans="1:141" s="116" customFormat="1">
      <c r="A48049" s="136"/>
      <c r="CM48049" s="111"/>
      <c r="CQ48049" s="111"/>
      <c r="EF48049"/>
      <c r="EG48049"/>
      <c r="EH48049"/>
      <c r="EI48049"/>
      <c r="EJ48049"/>
      <c r="EK48049"/>
    </row>
    <row r="48050" spans="1:141" s="116" customFormat="1">
      <c r="A48050" s="136"/>
      <c r="CM48050" s="111"/>
      <c r="CQ48050" s="111"/>
      <c r="EF48050"/>
      <c r="EG48050"/>
      <c r="EH48050"/>
      <c r="EI48050"/>
      <c r="EJ48050"/>
      <c r="EK48050"/>
    </row>
    <row r="48051" spans="1:141" s="116" customFormat="1">
      <c r="A48051" s="136"/>
      <c r="CM48051" s="111"/>
      <c r="CQ48051" s="111"/>
      <c r="EF48051"/>
      <c r="EG48051"/>
      <c r="EH48051"/>
      <c r="EI48051"/>
      <c r="EJ48051"/>
      <c r="EK48051"/>
    </row>
    <row r="48052" spans="1:141" s="116" customFormat="1">
      <c r="A48052" s="136"/>
      <c r="CM48052" s="111"/>
      <c r="CQ48052" s="111"/>
      <c r="EF48052"/>
      <c r="EG48052"/>
      <c r="EH48052"/>
      <c r="EI48052"/>
      <c r="EJ48052"/>
      <c r="EK48052"/>
    </row>
    <row r="48053" spans="1:141" s="116" customFormat="1">
      <c r="A48053" s="136"/>
      <c r="CM48053" s="111"/>
      <c r="CQ48053" s="111"/>
      <c r="EF48053"/>
      <c r="EG48053"/>
      <c r="EH48053"/>
      <c r="EI48053"/>
      <c r="EJ48053"/>
      <c r="EK48053"/>
    </row>
    <row r="48054" spans="1:141" s="116" customFormat="1">
      <c r="A48054" s="136"/>
      <c r="CM48054" s="111"/>
      <c r="CQ48054" s="111"/>
      <c r="EF48054"/>
      <c r="EG48054"/>
      <c r="EH48054"/>
      <c r="EI48054"/>
      <c r="EJ48054"/>
      <c r="EK48054"/>
    </row>
    <row r="48055" spans="1:141" s="116" customFormat="1">
      <c r="A48055" s="136"/>
      <c r="CM48055" s="111"/>
      <c r="CQ48055" s="111"/>
      <c r="EF48055"/>
      <c r="EG48055"/>
      <c r="EH48055"/>
      <c r="EI48055"/>
      <c r="EJ48055"/>
      <c r="EK48055"/>
    </row>
    <row r="48056" spans="1:141" s="116" customFormat="1">
      <c r="A48056" s="136"/>
      <c r="CM48056" s="111"/>
      <c r="CQ48056" s="111"/>
      <c r="EF48056"/>
      <c r="EG48056"/>
      <c r="EH48056"/>
      <c r="EI48056"/>
      <c r="EJ48056"/>
      <c r="EK48056"/>
    </row>
    <row r="48057" spans="1:141" s="116" customFormat="1">
      <c r="A48057" s="136"/>
      <c r="CM48057" s="111"/>
      <c r="CQ48057" s="111"/>
      <c r="EF48057"/>
      <c r="EG48057"/>
      <c r="EH48057"/>
      <c r="EI48057"/>
      <c r="EJ48057"/>
      <c r="EK48057"/>
    </row>
    <row r="48058" spans="1:141" s="116" customFormat="1">
      <c r="A48058" s="136"/>
      <c r="CM48058" s="111"/>
      <c r="CQ48058" s="111"/>
      <c r="EF48058"/>
      <c r="EG48058"/>
      <c r="EH48058"/>
      <c r="EI48058"/>
      <c r="EJ48058"/>
      <c r="EK48058"/>
    </row>
    <row r="48059" spans="1:141" s="116" customFormat="1">
      <c r="A48059" s="136"/>
      <c r="CM48059" s="111"/>
      <c r="CQ48059" s="111"/>
      <c r="EF48059"/>
      <c r="EG48059"/>
      <c r="EH48059"/>
      <c r="EI48059"/>
      <c r="EJ48059"/>
      <c r="EK48059"/>
    </row>
    <row r="48060" spans="1:141" s="116" customFormat="1">
      <c r="A48060" s="136"/>
      <c r="CM48060" s="111"/>
      <c r="CQ48060" s="111"/>
      <c r="EF48060"/>
      <c r="EG48060"/>
      <c r="EH48060"/>
      <c r="EI48060"/>
      <c r="EJ48060"/>
      <c r="EK48060"/>
    </row>
    <row r="48061" spans="1:141" s="116" customFormat="1">
      <c r="A48061" s="136"/>
      <c r="CM48061" s="111"/>
      <c r="CQ48061" s="111"/>
      <c r="EF48061"/>
      <c r="EG48061"/>
      <c r="EH48061"/>
      <c r="EI48061"/>
      <c r="EJ48061"/>
      <c r="EK48061"/>
    </row>
    <row r="48062" spans="1:141" s="116" customFormat="1">
      <c r="A48062" s="136"/>
      <c r="CM48062" s="111"/>
      <c r="CQ48062" s="111"/>
      <c r="EF48062"/>
      <c r="EG48062"/>
      <c r="EH48062"/>
      <c r="EI48062"/>
      <c r="EJ48062"/>
      <c r="EK48062"/>
    </row>
    <row r="48063" spans="1:141" s="116" customFormat="1">
      <c r="A48063" s="136"/>
      <c r="CM48063" s="111"/>
      <c r="CQ48063" s="111"/>
      <c r="EF48063"/>
      <c r="EG48063"/>
      <c r="EH48063"/>
      <c r="EI48063"/>
      <c r="EJ48063"/>
      <c r="EK48063"/>
    </row>
    <row r="48064" spans="1:141" s="116" customFormat="1">
      <c r="A48064" s="136"/>
      <c r="CM48064" s="111"/>
      <c r="CQ48064" s="111"/>
      <c r="EF48064"/>
      <c r="EG48064"/>
      <c r="EH48064"/>
      <c r="EI48064"/>
      <c r="EJ48064"/>
      <c r="EK48064"/>
    </row>
    <row r="48065" spans="1:141" s="116" customFormat="1">
      <c r="A48065" s="136"/>
      <c r="CM48065" s="111"/>
      <c r="CQ48065" s="111"/>
      <c r="EF48065"/>
      <c r="EG48065"/>
      <c r="EH48065"/>
      <c r="EI48065"/>
      <c r="EJ48065"/>
      <c r="EK48065"/>
    </row>
    <row r="48066" spans="1:141" s="116" customFormat="1">
      <c r="A48066" s="136"/>
      <c r="CM48066" s="111"/>
      <c r="CQ48066" s="111"/>
      <c r="EF48066"/>
      <c r="EG48066"/>
      <c r="EH48066"/>
      <c r="EI48066"/>
      <c r="EJ48066"/>
      <c r="EK48066"/>
    </row>
    <row r="48067" spans="1:141" s="116" customFormat="1">
      <c r="A48067" s="136"/>
      <c r="CM48067" s="111"/>
      <c r="CQ48067" s="111"/>
      <c r="EF48067"/>
      <c r="EG48067"/>
      <c r="EH48067"/>
      <c r="EI48067"/>
      <c r="EJ48067"/>
      <c r="EK48067"/>
    </row>
    <row r="48068" spans="1:141" s="116" customFormat="1">
      <c r="A48068" s="136"/>
      <c r="CM48068" s="111"/>
      <c r="CQ48068" s="111"/>
      <c r="EF48068"/>
      <c r="EG48068"/>
      <c r="EH48068"/>
      <c r="EI48068"/>
      <c r="EJ48068"/>
      <c r="EK48068"/>
    </row>
    <row r="48069" spans="1:141" s="116" customFormat="1">
      <c r="A48069" s="136"/>
      <c r="CM48069" s="111"/>
      <c r="CQ48069" s="111"/>
      <c r="EF48069"/>
      <c r="EG48069"/>
      <c r="EH48069"/>
      <c r="EI48069"/>
      <c r="EJ48069"/>
      <c r="EK48069"/>
    </row>
    <row r="48070" spans="1:141" s="116" customFormat="1">
      <c r="A48070" s="136"/>
      <c r="CM48070" s="111"/>
      <c r="CQ48070" s="111"/>
      <c r="EF48070"/>
      <c r="EG48070"/>
      <c r="EH48070"/>
      <c r="EI48070"/>
      <c r="EJ48070"/>
      <c r="EK48070"/>
    </row>
    <row r="48071" spans="1:141" s="116" customFormat="1">
      <c r="A48071" s="136"/>
      <c r="CM48071" s="111"/>
      <c r="CQ48071" s="111"/>
      <c r="EF48071"/>
      <c r="EG48071"/>
      <c r="EH48071"/>
      <c r="EI48071"/>
      <c r="EJ48071"/>
      <c r="EK48071"/>
    </row>
    <row r="48072" spans="1:141" s="116" customFormat="1">
      <c r="A48072" s="136"/>
      <c r="CM48072" s="111"/>
      <c r="CQ48072" s="111"/>
      <c r="EF48072"/>
      <c r="EG48072"/>
      <c r="EH48072"/>
      <c r="EI48072"/>
      <c r="EJ48072"/>
      <c r="EK48072"/>
    </row>
    <row r="48073" spans="1:141" s="116" customFormat="1">
      <c r="A48073" s="136"/>
      <c r="CM48073" s="111"/>
      <c r="CQ48073" s="111"/>
      <c r="EF48073"/>
      <c r="EG48073"/>
      <c r="EH48073"/>
      <c r="EI48073"/>
      <c r="EJ48073"/>
      <c r="EK48073"/>
    </row>
    <row r="48074" spans="1:141" s="116" customFormat="1">
      <c r="A48074" s="136"/>
      <c r="CM48074" s="111"/>
      <c r="CQ48074" s="111"/>
      <c r="EF48074"/>
      <c r="EG48074"/>
      <c r="EH48074"/>
      <c r="EI48074"/>
      <c r="EJ48074"/>
      <c r="EK48074"/>
    </row>
    <row r="48075" spans="1:141" s="116" customFormat="1">
      <c r="A48075" s="136"/>
      <c r="CM48075" s="111"/>
      <c r="CQ48075" s="111"/>
      <c r="EF48075"/>
      <c r="EG48075"/>
      <c r="EH48075"/>
      <c r="EI48075"/>
      <c r="EJ48075"/>
      <c r="EK48075"/>
    </row>
    <row r="48076" spans="1:141" s="116" customFormat="1">
      <c r="A48076" s="136"/>
      <c r="CM48076" s="111"/>
      <c r="CQ48076" s="111"/>
      <c r="EF48076"/>
      <c r="EG48076"/>
      <c r="EH48076"/>
      <c r="EI48076"/>
      <c r="EJ48076"/>
      <c r="EK48076"/>
    </row>
    <row r="48077" spans="1:141" s="116" customFormat="1">
      <c r="A48077" s="136"/>
      <c r="CM48077" s="111"/>
      <c r="CQ48077" s="111"/>
      <c r="EF48077"/>
      <c r="EG48077"/>
      <c r="EH48077"/>
      <c r="EI48077"/>
      <c r="EJ48077"/>
      <c r="EK48077"/>
    </row>
    <row r="48078" spans="1:141" s="116" customFormat="1">
      <c r="A48078" s="136"/>
      <c r="CM48078" s="111"/>
      <c r="CQ48078" s="111"/>
      <c r="EF48078"/>
      <c r="EG48078"/>
      <c r="EH48078"/>
      <c r="EI48078"/>
      <c r="EJ48078"/>
      <c r="EK48078"/>
    </row>
    <row r="48079" spans="1:141" s="116" customFormat="1">
      <c r="A48079" s="136"/>
      <c r="CM48079" s="111"/>
      <c r="CQ48079" s="111"/>
      <c r="EF48079"/>
      <c r="EG48079"/>
      <c r="EH48079"/>
      <c r="EI48079"/>
      <c r="EJ48079"/>
      <c r="EK48079"/>
    </row>
    <row r="48080" spans="1:141" s="116" customFormat="1">
      <c r="A48080" s="136"/>
      <c r="CM48080" s="111"/>
      <c r="CQ48080" s="111"/>
      <c r="EF48080"/>
      <c r="EG48080"/>
      <c r="EH48080"/>
      <c r="EI48080"/>
      <c r="EJ48080"/>
      <c r="EK48080"/>
    </row>
    <row r="48081" spans="1:141" s="116" customFormat="1">
      <c r="A48081" s="136"/>
      <c r="CM48081" s="111"/>
      <c r="CQ48081" s="111"/>
      <c r="EF48081"/>
      <c r="EG48081"/>
      <c r="EH48081"/>
      <c r="EI48081"/>
      <c r="EJ48081"/>
      <c r="EK48081"/>
    </row>
    <row r="48082" spans="1:141" s="116" customFormat="1">
      <c r="A48082" s="136"/>
      <c r="CM48082" s="111"/>
      <c r="CQ48082" s="111"/>
      <c r="EF48082"/>
      <c r="EG48082"/>
      <c r="EH48082"/>
      <c r="EI48082"/>
      <c r="EJ48082"/>
      <c r="EK48082"/>
    </row>
    <row r="48083" spans="1:141" s="116" customFormat="1">
      <c r="A48083" s="136"/>
      <c r="CM48083" s="111"/>
      <c r="CQ48083" s="111"/>
      <c r="EF48083"/>
      <c r="EG48083"/>
      <c r="EH48083"/>
      <c r="EI48083"/>
      <c r="EJ48083"/>
      <c r="EK48083"/>
    </row>
    <row r="48084" spans="1:141" s="116" customFormat="1">
      <c r="A48084" s="136"/>
      <c r="CM48084" s="111"/>
      <c r="CQ48084" s="111"/>
      <c r="EF48084"/>
      <c r="EG48084"/>
      <c r="EH48084"/>
      <c r="EI48084"/>
      <c r="EJ48084"/>
      <c r="EK48084"/>
    </row>
    <row r="48085" spans="1:141" s="116" customFormat="1">
      <c r="A48085" s="136"/>
      <c r="CM48085" s="111"/>
      <c r="CQ48085" s="111"/>
      <c r="EF48085"/>
      <c r="EG48085"/>
      <c r="EH48085"/>
      <c r="EI48085"/>
      <c r="EJ48085"/>
      <c r="EK48085"/>
    </row>
    <row r="48086" spans="1:141" s="116" customFormat="1">
      <c r="A48086" s="136"/>
      <c r="CM48086" s="111"/>
      <c r="CQ48086" s="111"/>
      <c r="EF48086"/>
      <c r="EG48086"/>
      <c r="EH48086"/>
      <c r="EI48086"/>
      <c r="EJ48086"/>
      <c r="EK48086"/>
    </row>
    <row r="48087" spans="1:141" s="116" customFormat="1">
      <c r="A48087" s="136"/>
      <c r="CM48087" s="111"/>
      <c r="CQ48087" s="111"/>
      <c r="EF48087"/>
      <c r="EG48087"/>
      <c r="EH48087"/>
      <c r="EI48087"/>
      <c r="EJ48087"/>
      <c r="EK48087"/>
    </row>
    <row r="48088" spans="1:141" s="116" customFormat="1">
      <c r="A48088" s="136"/>
      <c r="CM48088" s="111"/>
      <c r="CQ48088" s="111"/>
      <c r="EF48088"/>
      <c r="EG48088"/>
      <c r="EH48088"/>
      <c r="EI48088"/>
      <c r="EJ48088"/>
      <c r="EK48088"/>
    </row>
    <row r="48089" spans="1:141" s="116" customFormat="1">
      <c r="A48089" s="136"/>
      <c r="CM48089" s="111"/>
      <c r="CQ48089" s="111"/>
      <c r="EF48089"/>
      <c r="EG48089"/>
      <c r="EH48089"/>
      <c r="EI48089"/>
      <c r="EJ48089"/>
      <c r="EK48089"/>
    </row>
    <row r="48090" spans="1:141" s="116" customFormat="1">
      <c r="A48090" s="136"/>
      <c r="CM48090" s="111"/>
      <c r="CQ48090" s="111"/>
      <c r="EF48090"/>
      <c r="EG48090"/>
      <c r="EH48090"/>
      <c r="EI48090"/>
      <c r="EJ48090"/>
      <c r="EK48090"/>
    </row>
    <row r="48091" spans="1:141" s="116" customFormat="1">
      <c r="A48091" s="136"/>
      <c r="CM48091" s="111"/>
      <c r="CQ48091" s="111"/>
      <c r="EF48091"/>
      <c r="EG48091"/>
      <c r="EH48091"/>
      <c r="EI48091"/>
      <c r="EJ48091"/>
      <c r="EK48091"/>
    </row>
    <row r="48092" spans="1:141" s="116" customFormat="1">
      <c r="A48092" s="136"/>
      <c r="CM48092" s="111"/>
      <c r="CQ48092" s="111"/>
      <c r="EF48092"/>
      <c r="EG48092"/>
      <c r="EH48092"/>
      <c r="EI48092"/>
      <c r="EJ48092"/>
      <c r="EK48092"/>
    </row>
    <row r="48093" spans="1:141" s="116" customFormat="1">
      <c r="A48093" s="136"/>
      <c r="CM48093" s="111"/>
      <c r="CQ48093" s="111"/>
      <c r="EF48093"/>
      <c r="EG48093"/>
      <c r="EH48093"/>
      <c r="EI48093"/>
      <c r="EJ48093"/>
      <c r="EK48093"/>
    </row>
    <row r="48094" spans="1:141" s="116" customFormat="1">
      <c r="A48094" s="136"/>
      <c r="CM48094" s="111"/>
      <c r="CQ48094" s="111"/>
      <c r="EF48094"/>
      <c r="EG48094"/>
      <c r="EH48094"/>
      <c r="EI48094"/>
      <c r="EJ48094"/>
      <c r="EK48094"/>
    </row>
    <row r="48095" spans="1:141" s="116" customFormat="1">
      <c r="A48095" s="136"/>
      <c r="CM48095" s="111"/>
      <c r="CQ48095" s="111"/>
      <c r="EF48095"/>
      <c r="EG48095"/>
      <c r="EH48095"/>
      <c r="EI48095"/>
      <c r="EJ48095"/>
      <c r="EK48095"/>
    </row>
    <row r="48096" spans="1:141" s="116" customFormat="1">
      <c r="A48096" s="136"/>
      <c r="CM48096" s="111"/>
      <c r="CQ48096" s="111"/>
      <c r="EF48096"/>
      <c r="EG48096"/>
      <c r="EH48096"/>
      <c r="EI48096"/>
      <c r="EJ48096"/>
      <c r="EK48096"/>
    </row>
    <row r="48097" spans="1:141" s="116" customFormat="1">
      <c r="A48097" s="136"/>
      <c r="CM48097" s="111"/>
      <c r="CQ48097" s="111"/>
      <c r="EF48097"/>
      <c r="EG48097"/>
      <c r="EH48097"/>
      <c r="EI48097"/>
      <c r="EJ48097"/>
      <c r="EK48097"/>
    </row>
    <row r="48098" spans="1:141" s="116" customFormat="1">
      <c r="A48098" s="136"/>
      <c r="CM48098" s="111"/>
      <c r="CQ48098" s="111"/>
      <c r="EF48098"/>
      <c r="EG48098"/>
      <c r="EH48098"/>
      <c r="EI48098"/>
      <c r="EJ48098"/>
      <c r="EK48098"/>
    </row>
    <row r="48099" spans="1:141" s="116" customFormat="1">
      <c r="A48099" s="136"/>
      <c r="CM48099" s="111"/>
      <c r="CQ48099" s="111"/>
      <c r="EF48099"/>
      <c r="EG48099"/>
      <c r="EH48099"/>
      <c r="EI48099"/>
      <c r="EJ48099"/>
      <c r="EK48099"/>
    </row>
    <row r="48100" spans="1:141" s="116" customFormat="1">
      <c r="A48100" s="136"/>
      <c r="CM48100" s="111"/>
      <c r="CQ48100" s="111"/>
      <c r="EF48100"/>
      <c r="EG48100"/>
      <c r="EH48100"/>
      <c r="EI48100"/>
      <c r="EJ48100"/>
      <c r="EK48100"/>
    </row>
    <row r="48101" spans="1:141" s="116" customFormat="1">
      <c r="A48101" s="136"/>
      <c r="CM48101" s="111"/>
      <c r="CQ48101" s="111"/>
      <c r="EF48101"/>
      <c r="EG48101"/>
      <c r="EH48101"/>
      <c r="EI48101"/>
      <c r="EJ48101"/>
      <c r="EK48101"/>
    </row>
    <row r="48102" spans="1:141" s="116" customFormat="1">
      <c r="A48102" s="136"/>
      <c r="CM48102" s="111"/>
      <c r="CQ48102" s="111"/>
      <c r="EF48102"/>
      <c r="EG48102"/>
      <c r="EH48102"/>
      <c r="EI48102"/>
      <c r="EJ48102"/>
      <c r="EK48102"/>
    </row>
    <row r="48103" spans="1:141" s="116" customFormat="1">
      <c r="A48103" s="136"/>
      <c r="CM48103" s="111"/>
      <c r="CQ48103" s="111"/>
      <c r="EF48103"/>
      <c r="EG48103"/>
      <c r="EH48103"/>
      <c r="EI48103"/>
      <c r="EJ48103"/>
      <c r="EK48103"/>
    </row>
    <row r="48104" spans="1:141" s="116" customFormat="1">
      <c r="A48104" s="136"/>
      <c r="CM48104" s="111"/>
      <c r="CQ48104" s="111"/>
      <c r="EF48104"/>
      <c r="EG48104"/>
      <c r="EH48104"/>
      <c r="EI48104"/>
      <c r="EJ48104"/>
      <c r="EK48104"/>
    </row>
    <row r="48105" spans="1:141" s="116" customFormat="1">
      <c r="A48105" s="136"/>
      <c r="CM48105" s="111"/>
      <c r="CQ48105" s="111"/>
      <c r="EF48105"/>
      <c r="EG48105"/>
      <c r="EH48105"/>
      <c r="EI48105"/>
      <c r="EJ48105"/>
      <c r="EK48105"/>
    </row>
    <row r="48106" spans="1:141" s="116" customFormat="1">
      <c r="A48106" s="136"/>
      <c r="CM48106" s="111"/>
      <c r="CQ48106" s="111"/>
      <c r="EF48106"/>
      <c r="EG48106"/>
      <c r="EH48106"/>
      <c r="EI48106"/>
      <c r="EJ48106"/>
      <c r="EK48106"/>
    </row>
    <row r="48107" spans="1:141" s="116" customFormat="1">
      <c r="A48107" s="136"/>
      <c r="CM48107" s="111"/>
      <c r="CQ48107" s="111"/>
      <c r="EF48107"/>
      <c r="EG48107"/>
      <c r="EH48107"/>
      <c r="EI48107"/>
      <c r="EJ48107"/>
      <c r="EK48107"/>
    </row>
    <row r="48108" spans="1:141" s="116" customFormat="1">
      <c r="A48108" s="136"/>
      <c r="CM48108" s="111"/>
      <c r="CQ48108" s="111"/>
      <c r="EF48108"/>
      <c r="EG48108"/>
      <c r="EH48108"/>
      <c r="EI48108"/>
      <c r="EJ48108"/>
      <c r="EK48108"/>
    </row>
    <row r="48109" spans="1:141" s="116" customFormat="1">
      <c r="A48109" s="136"/>
      <c r="CM48109" s="111"/>
      <c r="CQ48109" s="111"/>
      <c r="EF48109"/>
      <c r="EG48109"/>
      <c r="EH48109"/>
      <c r="EI48109"/>
      <c r="EJ48109"/>
      <c r="EK48109"/>
    </row>
    <row r="48110" spans="1:141" s="116" customFormat="1">
      <c r="A48110" s="136"/>
      <c r="CM48110" s="111"/>
      <c r="CQ48110" s="111"/>
      <c r="EF48110"/>
      <c r="EG48110"/>
      <c r="EH48110"/>
      <c r="EI48110"/>
      <c r="EJ48110"/>
      <c r="EK48110"/>
    </row>
    <row r="48111" spans="1:141" s="116" customFormat="1">
      <c r="A48111" s="136"/>
      <c r="CM48111" s="111"/>
      <c r="CQ48111" s="111"/>
      <c r="EF48111"/>
      <c r="EG48111"/>
      <c r="EH48111"/>
      <c r="EI48111"/>
      <c r="EJ48111"/>
      <c r="EK48111"/>
    </row>
    <row r="48112" spans="1:141" s="116" customFormat="1">
      <c r="A48112" s="136"/>
      <c r="CM48112" s="111"/>
      <c r="CQ48112" s="111"/>
      <c r="EF48112"/>
      <c r="EG48112"/>
      <c r="EH48112"/>
      <c r="EI48112"/>
      <c r="EJ48112"/>
      <c r="EK48112"/>
    </row>
    <row r="48113" spans="1:141" s="116" customFormat="1">
      <c r="A48113" s="136"/>
      <c r="CM48113" s="111"/>
      <c r="CQ48113" s="111"/>
      <c r="EF48113"/>
      <c r="EG48113"/>
      <c r="EH48113"/>
      <c r="EI48113"/>
      <c r="EJ48113"/>
      <c r="EK48113"/>
    </row>
    <row r="48114" spans="1:141" s="116" customFormat="1">
      <c r="A48114" s="136"/>
      <c r="CM48114" s="111"/>
      <c r="CQ48114" s="111"/>
      <c r="EF48114"/>
      <c r="EG48114"/>
      <c r="EH48114"/>
      <c r="EI48114"/>
      <c r="EJ48114"/>
      <c r="EK48114"/>
    </row>
    <row r="48115" spans="1:141" s="116" customFormat="1">
      <c r="A48115" s="136"/>
      <c r="CM48115" s="111"/>
      <c r="CQ48115" s="111"/>
      <c r="EF48115"/>
      <c r="EG48115"/>
      <c r="EH48115"/>
      <c r="EI48115"/>
      <c r="EJ48115"/>
      <c r="EK48115"/>
    </row>
    <row r="48116" spans="1:141" s="116" customFormat="1">
      <c r="A48116" s="136"/>
      <c r="CM48116" s="111"/>
      <c r="CQ48116" s="111"/>
      <c r="EF48116"/>
      <c r="EG48116"/>
      <c r="EH48116"/>
      <c r="EI48116"/>
      <c r="EJ48116"/>
      <c r="EK48116"/>
    </row>
    <row r="48117" spans="1:141" s="116" customFormat="1">
      <c r="A48117" s="136"/>
      <c r="CM48117" s="111"/>
      <c r="CQ48117" s="111"/>
      <c r="EF48117"/>
      <c r="EG48117"/>
      <c r="EH48117"/>
      <c r="EI48117"/>
      <c r="EJ48117"/>
      <c r="EK48117"/>
    </row>
    <row r="48118" spans="1:141" s="116" customFormat="1">
      <c r="A48118" s="136"/>
      <c r="CM48118" s="111"/>
      <c r="CQ48118" s="111"/>
      <c r="EF48118"/>
      <c r="EG48118"/>
      <c r="EH48118"/>
      <c r="EI48118"/>
      <c r="EJ48118"/>
      <c r="EK48118"/>
    </row>
    <row r="48119" spans="1:141" s="116" customFormat="1">
      <c r="A48119" s="136"/>
      <c r="CM48119" s="111"/>
      <c r="CQ48119" s="111"/>
      <c r="EF48119"/>
      <c r="EG48119"/>
      <c r="EH48119"/>
      <c r="EI48119"/>
      <c r="EJ48119"/>
      <c r="EK48119"/>
    </row>
    <row r="48120" spans="1:141" s="116" customFormat="1">
      <c r="A48120" s="136"/>
      <c r="CM48120" s="111"/>
      <c r="CQ48120" s="111"/>
      <c r="EF48120"/>
      <c r="EG48120"/>
      <c r="EH48120"/>
      <c r="EI48120"/>
      <c r="EJ48120"/>
      <c r="EK48120"/>
    </row>
    <row r="48121" spans="1:141" s="116" customFormat="1">
      <c r="A48121" s="136"/>
      <c r="CM48121" s="111"/>
      <c r="CQ48121" s="111"/>
      <c r="EF48121"/>
      <c r="EG48121"/>
      <c r="EH48121"/>
      <c r="EI48121"/>
      <c r="EJ48121"/>
      <c r="EK48121"/>
    </row>
    <row r="48122" spans="1:141" s="116" customFormat="1">
      <c r="A48122" s="136"/>
      <c r="CM48122" s="111"/>
      <c r="CQ48122" s="111"/>
      <c r="EF48122"/>
      <c r="EG48122"/>
      <c r="EH48122"/>
      <c r="EI48122"/>
      <c r="EJ48122"/>
      <c r="EK48122"/>
    </row>
    <row r="48123" spans="1:141" s="116" customFormat="1">
      <c r="A48123" s="136"/>
      <c r="CM48123" s="111"/>
      <c r="CQ48123" s="111"/>
      <c r="EF48123"/>
      <c r="EG48123"/>
      <c r="EH48123"/>
      <c r="EI48123"/>
      <c r="EJ48123"/>
      <c r="EK48123"/>
    </row>
    <row r="48124" spans="1:141" s="116" customFormat="1">
      <c r="A48124" s="136"/>
      <c r="CM48124" s="111"/>
      <c r="CQ48124" s="111"/>
      <c r="EF48124"/>
      <c r="EG48124"/>
      <c r="EH48124"/>
      <c r="EI48124"/>
      <c r="EJ48124"/>
      <c r="EK48124"/>
    </row>
    <row r="48125" spans="1:141" s="116" customFormat="1">
      <c r="A48125" s="136"/>
      <c r="CM48125" s="111"/>
      <c r="CQ48125" s="111"/>
      <c r="EF48125"/>
      <c r="EG48125"/>
      <c r="EH48125"/>
      <c r="EI48125"/>
      <c r="EJ48125"/>
      <c r="EK48125"/>
    </row>
    <row r="48126" spans="1:141" s="116" customFormat="1">
      <c r="A48126" s="136"/>
      <c r="CM48126" s="111"/>
      <c r="CQ48126" s="111"/>
      <c r="EF48126"/>
      <c r="EG48126"/>
      <c r="EH48126"/>
      <c r="EI48126"/>
      <c r="EJ48126"/>
      <c r="EK48126"/>
    </row>
    <row r="48127" spans="1:141" s="116" customFormat="1">
      <c r="A48127" s="136"/>
      <c r="CM48127" s="111"/>
      <c r="CQ48127" s="111"/>
      <c r="EF48127"/>
      <c r="EG48127"/>
      <c r="EH48127"/>
      <c r="EI48127"/>
      <c r="EJ48127"/>
      <c r="EK48127"/>
    </row>
    <row r="48128" spans="1:141" s="116" customFormat="1">
      <c r="A48128" s="136"/>
      <c r="CM48128" s="111"/>
      <c r="CQ48128" s="111"/>
      <c r="EF48128"/>
      <c r="EG48128"/>
      <c r="EH48128"/>
      <c r="EI48128"/>
      <c r="EJ48128"/>
      <c r="EK48128"/>
    </row>
    <row r="48129" spans="1:141" s="116" customFormat="1">
      <c r="A48129" s="136"/>
      <c r="CM48129" s="111"/>
      <c r="CQ48129" s="111"/>
      <c r="EF48129"/>
      <c r="EG48129"/>
      <c r="EH48129"/>
      <c r="EI48129"/>
      <c r="EJ48129"/>
      <c r="EK48129"/>
    </row>
    <row r="48130" spans="1:141" s="116" customFormat="1">
      <c r="A48130" s="136"/>
      <c r="CM48130" s="111"/>
      <c r="CQ48130" s="111"/>
      <c r="EF48130"/>
      <c r="EG48130"/>
      <c r="EH48130"/>
      <c r="EI48130"/>
      <c r="EJ48130"/>
      <c r="EK48130"/>
    </row>
    <row r="48131" spans="1:141" s="116" customFormat="1">
      <c r="A48131" s="136"/>
      <c r="CM48131" s="111"/>
      <c r="CQ48131" s="111"/>
      <c r="EF48131"/>
      <c r="EG48131"/>
      <c r="EH48131"/>
      <c r="EI48131"/>
      <c r="EJ48131"/>
      <c r="EK48131"/>
    </row>
    <row r="48132" spans="1:141" s="116" customFormat="1">
      <c r="A48132" s="136"/>
      <c r="CM48132" s="111"/>
      <c r="CQ48132" s="111"/>
      <c r="EF48132"/>
      <c r="EG48132"/>
      <c r="EH48132"/>
      <c r="EI48132"/>
      <c r="EJ48132"/>
      <c r="EK48132"/>
    </row>
    <row r="48133" spans="1:141" s="116" customFormat="1">
      <c r="A48133" s="136"/>
      <c r="CM48133" s="111"/>
      <c r="CQ48133" s="111"/>
      <c r="EF48133"/>
      <c r="EG48133"/>
      <c r="EH48133"/>
      <c r="EI48133"/>
      <c r="EJ48133"/>
      <c r="EK48133"/>
    </row>
    <row r="48134" spans="1:141" s="116" customFormat="1">
      <c r="A48134" s="136"/>
      <c r="CM48134" s="111"/>
      <c r="CQ48134" s="111"/>
      <c r="EF48134"/>
      <c r="EG48134"/>
      <c r="EH48134"/>
      <c r="EI48134"/>
      <c r="EJ48134"/>
      <c r="EK48134"/>
    </row>
    <row r="48135" spans="1:141" s="116" customFormat="1">
      <c r="A48135" s="136"/>
      <c r="CM48135" s="111"/>
      <c r="CQ48135" s="111"/>
      <c r="EF48135"/>
      <c r="EG48135"/>
      <c r="EH48135"/>
      <c r="EI48135"/>
      <c r="EJ48135"/>
      <c r="EK48135"/>
    </row>
    <row r="48136" spans="1:141" s="116" customFormat="1">
      <c r="A48136" s="136"/>
      <c r="CM48136" s="111"/>
      <c r="CQ48136" s="111"/>
      <c r="EF48136"/>
      <c r="EG48136"/>
      <c r="EH48136"/>
      <c r="EI48136"/>
      <c r="EJ48136"/>
      <c r="EK48136"/>
    </row>
    <row r="48137" spans="1:141" s="116" customFormat="1">
      <c r="A48137" s="136"/>
      <c r="CM48137" s="111"/>
      <c r="CQ48137" s="111"/>
      <c r="EF48137"/>
      <c r="EG48137"/>
      <c r="EH48137"/>
      <c r="EI48137"/>
      <c r="EJ48137"/>
      <c r="EK48137"/>
    </row>
    <row r="48138" spans="1:141" s="116" customFormat="1">
      <c r="A48138" s="136"/>
      <c r="CM48138" s="111"/>
      <c r="CQ48138" s="111"/>
      <c r="EF48138"/>
      <c r="EG48138"/>
      <c r="EH48138"/>
      <c r="EI48138"/>
      <c r="EJ48138"/>
      <c r="EK48138"/>
    </row>
    <row r="48139" spans="1:141" s="116" customFormat="1">
      <c r="A48139" s="136"/>
      <c r="CM48139" s="111"/>
      <c r="CQ48139" s="111"/>
      <c r="EF48139"/>
      <c r="EG48139"/>
      <c r="EH48139"/>
      <c r="EI48139"/>
      <c r="EJ48139"/>
      <c r="EK48139"/>
    </row>
    <row r="48140" spans="1:141" s="116" customFormat="1">
      <c r="A48140" s="136"/>
      <c r="CM48140" s="111"/>
      <c r="CQ48140" s="111"/>
      <c r="EF48140"/>
      <c r="EG48140"/>
      <c r="EH48140"/>
      <c r="EI48140"/>
      <c r="EJ48140"/>
      <c r="EK48140"/>
    </row>
    <row r="48141" spans="1:141" s="116" customFormat="1">
      <c r="A48141" s="136"/>
      <c r="CM48141" s="111"/>
      <c r="CQ48141" s="111"/>
      <c r="EF48141"/>
      <c r="EG48141"/>
      <c r="EH48141"/>
      <c r="EI48141"/>
      <c r="EJ48141"/>
      <c r="EK48141"/>
    </row>
    <row r="48142" spans="1:141" s="116" customFormat="1">
      <c r="A48142" s="136"/>
      <c r="CM48142" s="111"/>
      <c r="CQ48142" s="111"/>
      <c r="EF48142"/>
      <c r="EG48142"/>
      <c r="EH48142"/>
      <c r="EI48142"/>
      <c r="EJ48142"/>
      <c r="EK48142"/>
    </row>
    <row r="48143" spans="1:141" s="116" customFormat="1">
      <c r="A48143" s="136"/>
      <c r="CM48143" s="111"/>
      <c r="CQ48143" s="111"/>
      <c r="EF48143"/>
      <c r="EG48143"/>
      <c r="EH48143"/>
      <c r="EI48143"/>
      <c r="EJ48143"/>
      <c r="EK48143"/>
    </row>
    <row r="48144" spans="1:141" s="116" customFormat="1">
      <c r="A48144" s="136"/>
      <c r="CM48144" s="111"/>
      <c r="CQ48144" s="111"/>
      <c r="EF48144"/>
      <c r="EG48144"/>
      <c r="EH48144"/>
      <c r="EI48144"/>
      <c r="EJ48144"/>
      <c r="EK48144"/>
    </row>
    <row r="48145" spans="1:141" s="116" customFormat="1">
      <c r="A48145" s="136"/>
      <c r="CM48145" s="111"/>
      <c r="CQ48145" s="111"/>
      <c r="EF48145"/>
      <c r="EG48145"/>
      <c r="EH48145"/>
      <c r="EI48145"/>
      <c r="EJ48145"/>
      <c r="EK48145"/>
    </row>
    <row r="48146" spans="1:141" s="116" customFormat="1">
      <c r="A48146" s="136"/>
      <c r="CM48146" s="111"/>
      <c r="CQ48146" s="111"/>
      <c r="EF48146"/>
      <c r="EG48146"/>
      <c r="EH48146"/>
      <c r="EI48146"/>
      <c r="EJ48146"/>
      <c r="EK48146"/>
    </row>
    <row r="48147" spans="1:141" s="116" customFormat="1">
      <c r="A48147" s="136"/>
      <c r="CM48147" s="111"/>
      <c r="CQ48147" s="111"/>
      <c r="EF48147"/>
      <c r="EG48147"/>
      <c r="EH48147"/>
      <c r="EI48147"/>
      <c r="EJ48147"/>
      <c r="EK48147"/>
    </row>
    <row r="48148" spans="1:141" s="116" customFormat="1">
      <c r="A48148" s="136"/>
      <c r="CM48148" s="111"/>
      <c r="CQ48148" s="111"/>
      <c r="EF48148"/>
      <c r="EG48148"/>
      <c r="EH48148"/>
      <c r="EI48148"/>
      <c r="EJ48148"/>
      <c r="EK48148"/>
    </row>
    <row r="48149" spans="1:141" s="116" customFormat="1">
      <c r="A48149" s="136"/>
      <c r="CM48149" s="111"/>
      <c r="CQ48149" s="111"/>
      <c r="EF48149"/>
      <c r="EG48149"/>
      <c r="EH48149"/>
      <c r="EI48149"/>
      <c r="EJ48149"/>
      <c r="EK48149"/>
    </row>
    <row r="48150" spans="1:141" s="116" customFormat="1">
      <c r="A48150" s="136"/>
      <c r="CM48150" s="111"/>
      <c r="CQ48150" s="111"/>
      <c r="EF48150"/>
      <c r="EG48150"/>
      <c r="EH48150"/>
      <c r="EI48150"/>
      <c r="EJ48150"/>
      <c r="EK48150"/>
    </row>
    <row r="48151" spans="1:141" s="116" customFormat="1">
      <c r="A48151" s="136"/>
      <c r="CM48151" s="111"/>
      <c r="CQ48151" s="111"/>
      <c r="EF48151"/>
      <c r="EG48151"/>
      <c r="EH48151"/>
      <c r="EI48151"/>
      <c r="EJ48151"/>
      <c r="EK48151"/>
    </row>
    <row r="48152" spans="1:141" s="116" customFormat="1">
      <c r="A48152" s="136"/>
      <c r="CM48152" s="111"/>
      <c r="CQ48152" s="111"/>
      <c r="EF48152"/>
      <c r="EG48152"/>
      <c r="EH48152"/>
      <c r="EI48152"/>
      <c r="EJ48152"/>
      <c r="EK48152"/>
    </row>
    <row r="48153" spans="1:141" s="116" customFormat="1">
      <c r="A48153" s="136"/>
      <c r="CM48153" s="111"/>
      <c r="CQ48153" s="111"/>
      <c r="EF48153"/>
      <c r="EG48153"/>
      <c r="EH48153"/>
      <c r="EI48153"/>
      <c r="EJ48153"/>
      <c r="EK48153"/>
    </row>
    <row r="48154" spans="1:141" s="116" customFormat="1">
      <c r="A48154" s="136"/>
      <c r="CM48154" s="111"/>
      <c r="CQ48154" s="111"/>
      <c r="EF48154"/>
      <c r="EG48154"/>
      <c r="EH48154"/>
      <c r="EI48154"/>
      <c r="EJ48154"/>
      <c r="EK48154"/>
    </row>
    <row r="48155" spans="1:141" s="116" customFormat="1">
      <c r="A48155" s="136"/>
      <c r="CM48155" s="111"/>
      <c r="CQ48155" s="111"/>
      <c r="EF48155"/>
      <c r="EG48155"/>
      <c r="EH48155"/>
      <c r="EI48155"/>
      <c r="EJ48155"/>
      <c r="EK48155"/>
    </row>
    <row r="48156" spans="1:141" s="116" customFormat="1">
      <c r="A48156" s="136"/>
      <c r="CM48156" s="111"/>
      <c r="CQ48156" s="111"/>
      <c r="EF48156"/>
      <c r="EG48156"/>
      <c r="EH48156"/>
      <c r="EI48156"/>
      <c r="EJ48156"/>
      <c r="EK48156"/>
    </row>
    <row r="48157" spans="1:141" s="116" customFormat="1">
      <c r="A48157" s="136"/>
      <c r="CM48157" s="111"/>
      <c r="CQ48157" s="111"/>
      <c r="EF48157"/>
      <c r="EG48157"/>
      <c r="EH48157"/>
      <c r="EI48157"/>
      <c r="EJ48157"/>
      <c r="EK48157"/>
    </row>
    <row r="48158" spans="1:141" s="116" customFormat="1">
      <c r="A48158" s="136"/>
      <c r="CM48158" s="111"/>
      <c r="CQ48158" s="111"/>
      <c r="EF48158"/>
      <c r="EG48158"/>
      <c r="EH48158"/>
      <c r="EI48158"/>
      <c r="EJ48158"/>
      <c r="EK48158"/>
    </row>
    <row r="48159" spans="1:141" s="116" customFormat="1">
      <c r="A48159" s="136"/>
      <c r="CM48159" s="111"/>
      <c r="CQ48159" s="111"/>
      <c r="EF48159"/>
      <c r="EG48159"/>
      <c r="EH48159"/>
      <c r="EI48159"/>
      <c r="EJ48159"/>
      <c r="EK48159"/>
    </row>
    <row r="48160" spans="1:141" s="116" customFormat="1">
      <c r="A48160" s="136"/>
      <c r="CM48160" s="111"/>
      <c r="CQ48160" s="111"/>
      <c r="EF48160"/>
      <c r="EG48160"/>
      <c r="EH48160"/>
      <c r="EI48160"/>
      <c r="EJ48160"/>
      <c r="EK48160"/>
    </row>
    <row r="48161" spans="1:141" s="116" customFormat="1">
      <c r="A48161" s="136"/>
      <c r="CM48161" s="111"/>
      <c r="CQ48161" s="111"/>
      <c r="EF48161"/>
      <c r="EG48161"/>
      <c r="EH48161"/>
      <c r="EI48161"/>
      <c r="EJ48161"/>
      <c r="EK48161"/>
    </row>
    <row r="48162" spans="1:141" s="116" customFormat="1">
      <c r="A48162" s="136"/>
      <c r="CM48162" s="111"/>
      <c r="CQ48162" s="111"/>
      <c r="EF48162"/>
      <c r="EG48162"/>
      <c r="EH48162"/>
      <c r="EI48162"/>
      <c r="EJ48162"/>
      <c r="EK48162"/>
    </row>
    <row r="48163" spans="1:141" s="116" customFormat="1">
      <c r="A48163" s="136"/>
      <c r="CM48163" s="111"/>
      <c r="CQ48163" s="111"/>
      <c r="EF48163"/>
      <c r="EG48163"/>
      <c r="EH48163"/>
      <c r="EI48163"/>
      <c r="EJ48163"/>
      <c r="EK48163"/>
    </row>
    <row r="48164" spans="1:141" s="116" customFormat="1">
      <c r="A48164" s="136"/>
      <c r="CM48164" s="111"/>
      <c r="CQ48164" s="111"/>
      <c r="EF48164"/>
      <c r="EG48164"/>
      <c r="EH48164"/>
      <c r="EI48164"/>
      <c r="EJ48164"/>
      <c r="EK48164"/>
    </row>
    <row r="48165" spans="1:141" s="116" customFormat="1">
      <c r="A48165" s="136"/>
      <c r="CM48165" s="111"/>
      <c r="CQ48165" s="111"/>
      <c r="EF48165"/>
      <c r="EG48165"/>
      <c r="EH48165"/>
      <c r="EI48165"/>
      <c r="EJ48165"/>
      <c r="EK48165"/>
    </row>
    <row r="48166" spans="1:141" s="116" customFormat="1">
      <c r="A48166" s="136"/>
      <c r="CM48166" s="111"/>
      <c r="CQ48166" s="111"/>
      <c r="EF48166"/>
      <c r="EG48166"/>
      <c r="EH48166"/>
      <c r="EI48166"/>
      <c r="EJ48166"/>
      <c r="EK48166"/>
    </row>
    <row r="48167" spans="1:141" s="116" customFormat="1">
      <c r="A48167" s="136"/>
      <c r="CM48167" s="111"/>
      <c r="CQ48167" s="111"/>
      <c r="EF48167"/>
      <c r="EG48167"/>
      <c r="EH48167"/>
      <c r="EI48167"/>
      <c r="EJ48167"/>
      <c r="EK48167"/>
    </row>
    <row r="48168" spans="1:141" s="116" customFormat="1">
      <c r="A48168" s="136"/>
      <c r="CM48168" s="111"/>
      <c r="CQ48168" s="111"/>
      <c r="EF48168"/>
      <c r="EG48168"/>
      <c r="EH48168"/>
      <c r="EI48168"/>
      <c r="EJ48168"/>
      <c r="EK48168"/>
    </row>
    <row r="48169" spans="1:141" s="116" customFormat="1">
      <c r="A48169" s="136"/>
      <c r="CM48169" s="111"/>
      <c r="CQ48169" s="111"/>
      <c r="EF48169"/>
      <c r="EG48169"/>
      <c r="EH48169"/>
      <c r="EI48169"/>
      <c r="EJ48169"/>
      <c r="EK48169"/>
    </row>
    <row r="48170" spans="1:141" s="116" customFormat="1">
      <c r="A48170" s="136"/>
      <c r="CM48170" s="111"/>
      <c r="CQ48170" s="111"/>
      <c r="EF48170"/>
      <c r="EG48170"/>
      <c r="EH48170"/>
      <c r="EI48170"/>
      <c r="EJ48170"/>
      <c r="EK48170"/>
    </row>
    <row r="48171" spans="1:141" s="116" customFormat="1">
      <c r="A48171" s="136"/>
      <c r="CM48171" s="111"/>
      <c r="CQ48171" s="111"/>
      <c r="EF48171"/>
      <c r="EG48171"/>
      <c r="EH48171"/>
      <c r="EI48171"/>
      <c r="EJ48171"/>
      <c r="EK48171"/>
    </row>
    <row r="48172" spans="1:141" s="116" customFormat="1">
      <c r="A48172" s="136"/>
      <c r="CM48172" s="111"/>
      <c r="CQ48172" s="111"/>
      <c r="EF48172"/>
      <c r="EG48172"/>
      <c r="EH48172"/>
      <c r="EI48172"/>
      <c r="EJ48172"/>
      <c r="EK48172"/>
    </row>
    <row r="48173" spans="1:141" s="116" customFormat="1">
      <c r="A48173" s="136"/>
      <c r="CM48173" s="111"/>
      <c r="CQ48173" s="111"/>
      <c r="EF48173"/>
      <c r="EG48173"/>
      <c r="EH48173"/>
      <c r="EI48173"/>
      <c r="EJ48173"/>
      <c r="EK48173"/>
    </row>
    <row r="48174" spans="1:141" s="116" customFormat="1">
      <c r="A48174" s="136"/>
      <c r="CM48174" s="111"/>
      <c r="CQ48174" s="111"/>
      <c r="EF48174"/>
      <c r="EG48174"/>
      <c r="EH48174"/>
      <c r="EI48174"/>
      <c r="EJ48174"/>
      <c r="EK48174"/>
    </row>
    <row r="48175" spans="1:141" s="116" customFormat="1">
      <c r="A48175" s="136"/>
      <c r="CM48175" s="111"/>
      <c r="CQ48175" s="111"/>
      <c r="EF48175"/>
      <c r="EG48175"/>
      <c r="EH48175"/>
      <c r="EI48175"/>
      <c r="EJ48175"/>
      <c r="EK48175"/>
    </row>
    <row r="48176" spans="1:141" s="116" customFormat="1">
      <c r="A48176" s="136"/>
      <c r="CM48176" s="111"/>
      <c r="CQ48176" s="111"/>
      <c r="EF48176"/>
      <c r="EG48176"/>
      <c r="EH48176"/>
      <c r="EI48176"/>
      <c r="EJ48176"/>
      <c r="EK48176"/>
    </row>
    <row r="48177" spans="1:141" s="116" customFormat="1">
      <c r="A48177" s="136"/>
      <c r="CM48177" s="111"/>
      <c r="CQ48177" s="111"/>
      <c r="EF48177"/>
      <c r="EG48177"/>
      <c r="EH48177"/>
      <c r="EI48177"/>
      <c r="EJ48177"/>
      <c r="EK48177"/>
    </row>
    <row r="48178" spans="1:141" s="116" customFormat="1">
      <c r="A48178" s="136"/>
      <c r="CM48178" s="111"/>
      <c r="CQ48178" s="111"/>
      <c r="EF48178"/>
      <c r="EG48178"/>
      <c r="EH48178"/>
      <c r="EI48178"/>
      <c r="EJ48178"/>
      <c r="EK48178"/>
    </row>
    <row r="48179" spans="1:141" s="116" customFormat="1">
      <c r="A48179" s="136"/>
      <c r="CM48179" s="111"/>
      <c r="CQ48179" s="111"/>
      <c r="EF48179"/>
      <c r="EG48179"/>
      <c r="EH48179"/>
      <c r="EI48179"/>
      <c r="EJ48179"/>
      <c r="EK48179"/>
    </row>
    <row r="48180" spans="1:141" s="116" customFormat="1">
      <c r="A48180" s="136"/>
      <c r="CM48180" s="111"/>
      <c r="CQ48180" s="111"/>
      <c r="EF48180"/>
      <c r="EG48180"/>
      <c r="EH48180"/>
      <c r="EI48180"/>
      <c r="EJ48180"/>
      <c r="EK48180"/>
    </row>
    <row r="48181" spans="1:141" s="116" customFormat="1">
      <c r="A48181" s="136"/>
      <c r="CM48181" s="111"/>
      <c r="CQ48181" s="111"/>
      <c r="EF48181"/>
      <c r="EG48181"/>
      <c r="EH48181"/>
      <c r="EI48181"/>
      <c r="EJ48181"/>
      <c r="EK48181"/>
    </row>
    <row r="48182" spans="1:141" s="116" customFormat="1">
      <c r="A48182" s="136"/>
      <c r="CM48182" s="111"/>
      <c r="CQ48182" s="111"/>
      <c r="EF48182"/>
      <c r="EG48182"/>
      <c r="EH48182"/>
      <c r="EI48182"/>
      <c r="EJ48182"/>
      <c r="EK48182"/>
    </row>
    <row r="48183" spans="1:141" s="116" customFormat="1">
      <c r="A48183" s="136"/>
      <c r="CM48183" s="111"/>
      <c r="CQ48183" s="111"/>
      <c r="EF48183"/>
      <c r="EG48183"/>
      <c r="EH48183"/>
      <c r="EI48183"/>
      <c r="EJ48183"/>
      <c r="EK48183"/>
    </row>
    <row r="48184" spans="1:141" s="116" customFormat="1">
      <c r="A48184" s="136"/>
      <c r="CM48184" s="111"/>
      <c r="CQ48184" s="111"/>
      <c r="EF48184"/>
      <c r="EG48184"/>
      <c r="EH48184"/>
      <c r="EI48184"/>
      <c r="EJ48184"/>
      <c r="EK48184"/>
    </row>
    <row r="48185" spans="1:141" s="116" customFormat="1">
      <c r="A48185" s="136"/>
      <c r="CM48185" s="111"/>
      <c r="CQ48185" s="111"/>
      <c r="EF48185"/>
      <c r="EG48185"/>
      <c r="EH48185"/>
      <c r="EI48185"/>
      <c r="EJ48185"/>
      <c r="EK48185"/>
    </row>
    <row r="48186" spans="1:141" s="116" customFormat="1">
      <c r="A48186" s="136"/>
      <c r="CM48186" s="111"/>
      <c r="CQ48186" s="111"/>
      <c r="EF48186"/>
      <c r="EG48186"/>
      <c r="EH48186"/>
      <c r="EI48186"/>
      <c r="EJ48186"/>
      <c r="EK48186"/>
    </row>
    <row r="48187" spans="1:141" s="116" customFormat="1">
      <c r="A48187" s="136"/>
      <c r="CM48187" s="111"/>
      <c r="CQ48187" s="111"/>
      <c r="EF48187"/>
      <c r="EG48187"/>
      <c r="EH48187"/>
      <c r="EI48187"/>
      <c r="EJ48187"/>
      <c r="EK48187"/>
    </row>
    <row r="48188" spans="1:141" s="116" customFormat="1">
      <c r="A48188" s="136"/>
      <c r="CM48188" s="111"/>
      <c r="CQ48188" s="111"/>
      <c r="EF48188"/>
      <c r="EG48188"/>
      <c r="EH48188"/>
      <c r="EI48188"/>
      <c r="EJ48188"/>
      <c r="EK48188"/>
    </row>
    <row r="48189" spans="1:141" s="116" customFormat="1">
      <c r="A48189" s="136"/>
      <c r="CM48189" s="111"/>
      <c r="CQ48189" s="111"/>
      <c r="EF48189"/>
      <c r="EG48189"/>
      <c r="EH48189"/>
      <c r="EI48189"/>
      <c r="EJ48189"/>
      <c r="EK48189"/>
    </row>
    <row r="48190" spans="1:141" s="116" customFormat="1">
      <c r="A48190" s="136"/>
      <c r="CM48190" s="111"/>
      <c r="CQ48190" s="111"/>
      <c r="EF48190"/>
      <c r="EG48190"/>
      <c r="EH48190"/>
      <c r="EI48190"/>
      <c r="EJ48190"/>
      <c r="EK48190"/>
    </row>
    <row r="48191" spans="1:141" s="116" customFormat="1">
      <c r="A48191" s="136"/>
      <c r="CM48191" s="111"/>
      <c r="CQ48191" s="111"/>
      <c r="EF48191"/>
      <c r="EG48191"/>
      <c r="EH48191"/>
      <c r="EI48191"/>
      <c r="EJ48191"/>
      <c r="EK48191"/>
    </row>
    <row r="48192" spans="1:141" s="116" customFormat="1">
      <c r="A48192" s="136"/>
      <c r="CM48192" s="111"/>
      <c r="CQ48192" s="111"/>
      <c r="EF48192"/>
      <c r="EG48192"/>
      <c r="EH48192"/>
      <c r="EI48192"/>
      <c r="EJ48192"/>
      <c r="EK48192"/>
    </row>
    <row r="48193" spans="1:141" s="116" customFormat="1">
      <c r="A48193" s="136"/>
      <c r="CM48193" s="111"/>
      <c r="CQ48193" s="111"/>
      <c r="EF48193"/>
      <c r="EG48193"/>
      <c r="EH48193"/>
      <c r="EI48193"/>
      <c r="EJ48193"/>
      <c r="EK48193"/>
    </row>
    <row r="48194" spans="1:141" s="116" customFormat="1">
      <c r="A48194" s="136"/>
      <c r="CM48194" s="111"/>
      <c r="CQ48194" s="111"/>
      <c r="EF48194"/>
      <c r="EG48194"/>
      <c r="EH48194"/>
      <c r="EI48194"/>
      <c r="EJ48194"/>
      <c r="EK48194"/>
    </row>
    <row r="48195" spans="1:141" s="116" customFormat="1">
      <c r="A48195" s="136"/>
      <c r="CM48195" s="111"/>
      <c r="CQ48195" s="111"/>
      <c r="EF48195"/>
      <c r="EG48195"/>
      <c r="EH48195"/>
      <c r="EI48195"/>
      <c r="EJ48195"/>
      <c r="EK48195"/>
    </row>
    <row r="48196" spans="1:141" s="116" customFormat="1">
      <c r="A48196" s="136"/>
      <c r="CM48196" s="111"/>
      <c r="CQ48196" s="111"/>
      <c r="EF48196"/>
      <c r="EG48196"/>
      <c r="EH48196"/>
      <c r="EI48196"/>
      <c r="EJ48196"/>
      <c r="EK48196"/>
    </row>
    <row r="48197" spans="1:141" s="116" customFormat="1">
      <c r="A48197" s="136"/>
      <c r="CM48197" s="111"/>
      <c r="CQ48197" s="111"/>
      <c r="EF48197"/>
      <c r="EG48197"/>
      <c r="EH48197"/>
      <c r="EI48197"/>
      <c r="EJ48197"/>
      <c r="EK48197"/>
    </row>
    <row r="48198" spans="1:141" s="116" customFormat="1">
      <c r="A48198" s="136"/>
      <c r="CM48198" s="111"/>
      <c r="CQ48198" s="111"/>
      <c r="EF48198"/>
      <c r="EG48198"/>
      <c r="EH48198"/>
      <c r="EI48198"/>
      <c r="EJ48198"/>
      <c r="EK48198"/>
    </row>
    <row r="48199" spans="1:141" s="116" customFormat="1">
      <c r="A48199" s="136"/>
      <c r="CM48199" s="111"/>
      <c r="CQ48199" s="111"/>
      <c r="EF48199"/>
      <c r="EG48199"/>
      <c r="EH48199"/>
      <c r="EI48199"/>
      <c r="EJ48199"/>
      <c r="EK48199"/>
    </row>
    <row r="48200" spans="1:141" s="116" customFormat="1">
      <c r="A48200" s="136"/>
      <c r="CM48200" s="111"/>
      <c r="CQ48200" s="111"/>
      <c r="EF48200"/>
      <c r="EG48200"/>
      <c r="EH48200"/>
      <c r="EI48200"/>
      <c r="EJ48200"/>
      <c r="EK48200"/>
    </row>
    <row r="48201" spans="1:141" s="116" customFormat="1">
      <c r="A48201" s="136"/>
      <c r="CM48201" s="111"/>
      <c r="CQ48201" s="111"/>
      <c r="EF48201"/>
      <c r="EG48201"/>
      <c r="EH48201"/>
      <c r="EI48201"/>
      <c r="EJ48201"/>
      <c r="EK48201"/>
    </row>
    <row r="48202" spans="1:141" s="116" customFormat="1">
      <c r="A48202" s="136"/>
      <c r="CM48202" s="111"/>
      <c r="CQ48202" s="111"/>
      <c r="EF48202"/>
      <c r="EG48202"/>
      <c r="EH48202"/>
      <c r="EI48202"/>
      <c r="EJ48202"/>
      <c r="EK48202"/>
    </row>
    <row r="48203" spans="1:141" s="116" customFormat="1">
      <c r="A48203" s="136"/>
      <c r="CM48203" s="111"/>
      <c r="CQ48203" s="111"/>
      <c r="EF48203"/>
      <c r="EG48203"/>
      <c r="EH48203"/>
      <c r="EI48203"/>
      <c r="EJ48203"/>
      <c r="EK48203"/>
    </row>
    <row r="48204" spans="1:141" s="116" customFormat="1">
      <c r="A48204" s="136"/>
      <c r="CM48204" s="111"/>
      <c r="CQ48204" s="111"/>
      <c r="EF48204"/>
      <c r="EG48204"/>
      <c r="EH48204"/>
      <c r="EI48204"/>
      <c r="EJ48204"/>
      <c r="EK48204"/>
    </row>
    <row r="48205" spans="1:141" s="116" customFormat="1">
      <c r="A48205" s="136"/>
      <c r="CM48205" s="111"/>
      <c r="CQ48205" s="111"/>
      <c r="EF48205"/>
      <c r="EG48205"/>
      <c r="EH48205"/>
      <c r="EI48205"/>
      <c r="EJ48205"/>
      <c r="EK48205"/>
    </row>
    <row r="48206" spans="1:141" s="116" customFormat="1">
      <c r="A48206" s="136"/>
      <c r="CM48206" s="111"/>
      <c r="CQ48206" s="111"/>
      <c r="EF48206"/>
      <c r="EG48206"/>
      <c r="EH48206"/>
      <c r="EI48206"/>
      <c r="EJ48206"/>
      <c r="EK48206"/>
    </row>
    <row r="48207" spans="1:141" s="116" customFormat="1">
      <c r="A48207" s="136"/>
      <c r="CM48207" s="111"/>
      <c r="CQ48207" s="111"/>
      <c r="EF48207"/>
      <c r="EG48207"/>
      <c r="EH48207"/>
      <c r="EI48207"/>
      <c r="EJ48207"/>
      <c r="EK48207"/>
    </row>
    <row r="48208" spans="1:141" s="116" customFormat="1">
      <c r="A48208" s="136"/>
      <c r="CM48208" s="111"/>
      <c r="CQ48208" s="111"/>
      <c r="EF48208"/>
      <c r="EG48208"/>
      <c r="EH48208"/>
      <c r="EI48208"/>
      <c r="EJ48208"/>
      <c r="EK48208"/>
    </row>
    <row r="48209" spans="1:141" s="116" customFormat="1">
      <c r="A48209" s="136"/>
      <c r="CM48209" s="111"/>
      <c r="CQ48209" s="111"/>
      <c r="EF48209"/>
      <c r="EG48209"/>
      <c r="EH48209"/>
      <c r="EI48209"/>
      <c r="EJ48209"/>
      <c r="EK48209"/>
    </row>
    <row r="48210" spans="1:141" s="116" customFormat="1">
      <c r="A48210" s="136"/>
      <c r="CM48210" s="111"/>
      <c r="CQ48210" s="111"/>
      <c r="EF48210"/>
      <c r="EG48210"/>
      <c r="EH48210"/>
      <c r="EI48210"/>
      <c r="EJ48210"/>
      <c r="EK48210"/>
    </row>
    <row r="48211" spans="1:141" s="116" customFormat="1">
      <c r="A48211" s="136"/>
      <c r="CM48211" s="111"/>
      <c r="CQ48211" s="111"/>
      <c r="EF48211"/>
      <c r="EG48211"/>
      <c r="EH48211"/>
      <c r="EI48211"/>
      <c r="EJ48211"/>
      <c r="EK48211"/>
    </row>
    <row r="48212" spans="1:141" s="116" customFormat="1">
      <c r="A48212" s="136"/>
      <c r="CM48212" s="111"/>
      <c r="CQ48212" s="111"/>
      <c r="EF48212"/>
      <c r="EG48212"/>
      <c r="EH48212"/>
      <c r="EI48212"/>
      <c r="EJ48212"/>
      <c r="EK48212"/>
    </row>
    <row r="48213" spans="1:141" s="116" customFormat="1">
      <c r="A48213" s="136"/>
      <c r="CM48213" s="111"/>
      <c r="CQ48213" s="111"/>
      <c r="EF48213"/>
      <c r="EG48213"/>
      <c r="EH48213"/>
      <c r="EI48213"/>
      <c r="EJ48213"/>
      <c r="EK48213"/>
    </row>
    <row r="48214" spans="1:141" s="116" customFormat="1">
      <c r="A48214" s="136"/>
      <c r="CM48214" s="111"/>
      <c r="CQ48214" s="111"/>
      <c r="EF48214"/>
      <c r="EG48214"/>
      <c r="EH48214"/>
      <c r="EI48214"/>
      <c r="EJ48214"/>
      <c r="EK48214"/>
    </row>
    <row r="48215" spans="1:141" s="116" customFormat="1">
      <c r="A48215" s="136"/>
      <c r="CM48215" s="111"/>
      <c r="CQ48215" s="111"/>
      <c r="EF48215"/>
      <c r="EG48215"/>
      <c r="EH48215"/>
      <c r="EI48215"/>
      <c r="EJ48215"/>
      <c r="EK48215"/>
    </row>
    <row r="48216" spans="1:141" s="116" customFormat="1">
      <c r="A48216" s="136"/>
      <c r="CM48216" s="111"/>
      <c r="CQ48216" s="111"/>
      <c r="EF48216"/>
      <c r="EG48216"/>
      <c r="EH48216"/>
      <c r="EI48216"/>
      <c r="EJ48216"/>
      <c r="EK48216"/>
    </row>
    <row r="48217" spans="1:141" s="116" customFormat="1">
      <c r="A48217" s="136"/>
      <c r="CM48217" s="111"/>
      <c r="CQ48217" s="111"/>
      <c r="EF48217"/>
      <c r="EG48217"/>
      <c r="EH48217"/>
      <c r="EI48217"/>
      <c r="EJ48217"/>
      <c r="EK48217"/>
    </row>
    <row r="48218" spans="1:141" s="116" customFormat="1">
      <c r="A48218" s="136"/>
      <c r="CM48218" s="111"/>
      <c r="CQ48218" s="111"/>
      <c r="EF48218"/>
      <c r="EG48218"/>
      <c r="EH48218"/>
      <c r="EI48218"/>
      <c r="EJ48218"/>
      <c r="EK48218"/>
    </row>
    <row r="48219" spans="1:141" s="116" customFormat="1">
      <c r="A48219" s="136"/>
      <c r="CM48219" s="111"/>
      <c r="CQ48219" s="111"/>
      <c r="EF48219"/>
      <c r="EG48219"/>
      <c r="EH48219"/>
      <c r="EI48219"/>
      <c r="EJ48219"/>
      <c r="EK48219"/>
    </row>
    <row r="48220" spans="1:141" s="116" customFormat="1">
      <c r="A48220" s="136"/>
      <c r="CM48220" s="111"/>
      <c r="CQ48220" s="111"/>
      <c r="EF48220"/>
      <c r="EG48220"/>
      <c r="EH48220"/>
      <c r="EI48220"/>
      <c r="EJ48220"/>
      <c r="EK48220"/>
    </row>
    <row r="48221" spans="1:141" s="116" customFormat="1">
      <c r="A48221" s="136"/>
      <c r="CM48221" s="111"/>
      <c r="CQ48221" s="111"/>
      <c r="EF48221"/>
      <c r="EG48221"/>
      <c r="EH48221"/>
      <c r="EI48221"/>
      <c r="EJ48221"/>
      <c r="EK48221"/>
    </row>
    <row r="48222" spans="1:141" s="116" customFormat="1">
      <c r="A48222" s="136"/>
      <c r="CM48222" s="111"/>
      <c r="CQ48222" s="111"/>
      <c r="EF48222"/>
      <c r="EG48222"/>
      <c r="EH48222"/>
      <c r="EI48222"/>
      <c r="EJ48222"/>
      <c r="EK48222"/>
    </row>
    <row r="48223" spans="1:141" s="116" customFormat="1">
      <c r="A48223" s="136"/>
      <c r="CM48223" s="111"/>
      <c r="CQ48223" s="111"/>
      <c r="EF48223"/>
      <c r="EG48223"/>
      <c r="EH48223"/>
      <c r="EI48223"/>
      <c r="EJ48223"/>
      <c r="EK48223"/>
    </row>
    <row r="48224" spans="1:141" s="116" customFormat="1">
      <c r="A48224" s="136"/>
      <c r="CM48224" s="111"/>
      <c r="CQ48224" s="111"/>
      <c r="EF48224"/>
      <c r="EG48224"/>
      <c r="EH48224"/>
      <c r="EI48224"/>
      <c r="EJ48224"/>
      <c r="EK48224"/>
    </row>
    <row r="48225" spans="1:141" s="116" customFormat="1">
      <c r="A48225" s="136"/>
      <c r="CM48225" s="111"/>
      <c r="CQ48225" s="111"/>
      <c r="EF48225"/>
      <c r="EG48225"/>
      <c r="EH48225"/>
      <c r="EI48225"/>
      <c r="EJ48225"/>
      <c r="EK48225"/>
    </row>
    <row r="48226" spans="1:141" s="116" customFormat="1">
      <c r="A48226" s="136"/>
      <c r="CM48226" s="111"/>
      <c r="CQ48226" s="111"/>
      <c r="EF48226"/>
      <c r="EG48226"/>
      <c r="EH48226"/>
      <c r="EI48226"/>
      <c r="EJ48226"/>
      <c r="EK48226"/>
    </row>
    <row r="48227" spans="1:141" s="116" customFormat="1">
      <c r="A48227" s="136"/>
      <c r="CM48227" s="111"/>
      <c r="CQ48227" s="111"/>
      <c r="EF48227"/>
      <c r="EG48227"/>
      <c r="EH48227"/>
      <c r="EI48227"/>
      <c r="EJ48227"/>
      <c r="EK48227"/>
    </row>
    <row r="48228" spans="1:141" s="116" customFormat="1">
      <c r="A48228" s="136"/>
      <c r="CM48228" s="111"/>
      <c r="CQ48228" s="111"/>
      <c r="EF48228"/>
      <c r="EG48228"/>
      <c r="EH48228"/>
      <c r="EI48228"/>
      <c r="EJ48228"/>
      <c r="EK48228"/>
    </row>
    <row r="48229" spans="1:141" s="116" customFormat="1">
      <c r="A48229" s="136"/>
      <c r="CM48229" s="111"/>
      <c r="CQ48229" s="111"/>
      <c r="EF48229"/>
      <c r="EG48229"/>
      <c r="EH48229"/>
      <c r="EI48229"/>
      <c r="EJ48229"/>
      <c r="EK48229"/>
    </row>
    <row r="48230" spans="1:141" s="116" customFormat="1">
      <c r="A48230" s="136"/>
      <c r="CM48230" s="111"/>
      <c r="CQ48230" s="111"/>
      <c r="EF48230"/>
      <c r="EG48230"/>
      <c r="EH48230"/>
      <c r="EI48230"/>
      <c r="EJ48230"/>
      <c r="EK48230"/>
    </row>
    <row r="48231" spans="1:141" s="116" customFormat="1">
      <c r="A48231" s="136"/>
      <c r="CM48231" s="111"/>
      <c r="CQ48231" s="111"/>
      <c r="EF48231"/>
      <c r="EG48231"/>
      <c r="EH48231"/>
      <c r="EI48231"/>
      <c r="EJ48231"/>
      <c r="EK48231"/>
    </row>
    <row r="48232" spans="1:141" s="116" customFormat="1">
      <c r="A48232" s="136"/>
      <c r="CM48232" s="111"/>
      <c r="CQ48232" s="111"/>
      <c r="EF48232"/>
      <c r="EG48232"/>
      <c r="EH48232"/>
      <c r="EI48232"/>
      <c r="EJ48232"/>
      <c r="EK48232"/>
    </row>
    <row r="48233" spans="1:141" s="116" customFormat="1">
      <c r="A48233" s="136"/>
      <c r="CM48233" s="111"/>
      <c r="CQ48233" s="111"/>
      <c r="EF48233"/>
      <c r="EG48233"/>
      <c r="EH48233"/>
      <c r="EI48233"/>
      <c r="EJ48233"/>
      <c r="EK48233"/>
    </row>
    <row r="48234" spans="1:141" s="116" customFormat="1">
      <c r="A48234" s="136"/>
      <c r="CM48234" s="111"/>
      <c r="CQ48234" s="111"/>
      <c r="EF48234"/>
      <c r="EG48234"/>
      <c r="EH48234"/>
      <c r="EI48234"/>
      <c r="EJ48234"/>
      <c r="EK48234"/>
    </row>
    <row r="48235" spans="1:141" s="116" customFormat="1">
      <c r="A48235" s="136"/>
      <c r="CM48235" s="111"/>
      <c r="CQ48235" s="111"/>
      <c r="EF48235"/>
      <c r="EG48235"/>
      <c r="EH48235"/>
      <c r="EI48235"/>
      <c r="EJ48235"/>
      <c r="EK48235"/>
    </row>
    <row r="48236" spans="1:141" s="116" customFormat="1">
      <c r="A48236" s="136"/>
      <c r="CM48236" s="111"/>
      <c r="CQ48236" s="111"/>
      <c r="EF48236"/>
      <c r="EG48236"/>
      <c r="EH48236"/>
      <c r="EI48236"/>
      <c r="EJ48236"/>
      <c r="EK48236"/>
    </row>
    <row r="48237" spans="1:141" s="116" customFormat="1">
      <c r="A48237" s="136"/>
      <c r="CM48237" s="111"/>
      <c r="CQ48237" s="111"/>
      <c r="EF48237"/>
      <c r="EG48237"/>
      <c r="EH48237"/>
      <c r="EI48237"/>
      <c r="EJ48237"/>
      <c r="EK48237"/>
    </row>
    <row r="48238" spans="1:141" s="116" customFormat="1">
      <c r="A48238" s="136"/>
      <c r="CM48238" s="111"/>
      <c r="CQ48238" s="111"/>
      <c r="EF48238"/>
      <c r="EG48238"/>
      <c r="EH48238"/>
      <c r="EI48238"/>
      <c r="EJ48238"/>
      <c r="EK48238"/>
    </row>
    <row r="48239" spans="1:141" s="116" customFormat="1">
      <c r="A48239" s="136"/>
      <c r="CM48239" s="111"/>
      <c r="CQ48239" s="111"/>
      <c r="EF48239"/>
      <c r="EG48239"/>
      <c r="EH48239"/>
      <c r="EI48239"/>
      <c r="EJ48239"/>
      <c r="EK48239"/>
    </row>
    <row r="48240" spans="1:141" s="116" customFormat="1">
      <c r="A48240" s="136"/>
      <c r="CM48240" s="111"/>
      <c r="CQ48240" s="111"/>
      <c r="EF48240"/>
      <c r="EG48240"/>
      <c r="EH48240"/>
      <c r="EI48240"/>
      <c r="EJ48240"/>
      <c r="EK48240"/>
    </row>
    <row r="48241" spans="1:141" s="116" customFormat="1">
      <c r="A48241" s="136"/>
      <c r="CM48241" s="111"/>
      <c r="CQ48241" s="111"/>
      <c r="EF48241"/>
      <c r="EG48241"/>
      <c r="EH48241"/>
      <c r="EI48241"/>
      <c r="EJ48241"/>
      <c r="EK48241"/>
    </row>
    <row r="48242" spans="1:141" s="116" customFormat="1">
      <c r="A48242" s="136"/>
      <c r="CM48242" s="111"/>
      <c r="CQ48242" s="111"/>
      <c r="EF48242"/>
      <c r="EG48242"/>
      <c r="EH48242"/>
      <c r="EI48242"/>
      <c r="EJ48242"/>
      <c r="EK48242"/>
    </row>
    <row r="48243" spans="1:141" s="116" customFormat="1">
      <c r="A48243" s="136"/>
      <c r="CM48243" s="111"/>
      <c r="CQ48243" s="111"/>
      <c r="EF48243"/>
      <c r="EG48243"/>
      <c r="EH48243"/>
      <c r="EI48243"/>
      <c r="EJ48243"/>
      <c r="EK48243"/>
    </row>
    <row r="48244" spans="1:141" s="116" customFormat="1">
      <c r="A48244" s="136"/>
      <c r="CM48244" s="111"/>
      <c r="CQ48244" s="111"/>
      <c r="EF48244"/>
      <c r="EG48244"/>
      <c r="EH48244"/>
      <c r="EI48244"/>
      <c r="EJ48244"/>
      <c r="EK48244"/>
    </row>
    <row r="48245" spans="1:141" s="116" customFormat="1">
      <c r="A48245" s="136"/>
      <c r="CM48245" s="111"/>
      <c r="CQ48245" s="111"/>
      <c r="EF48245"/>
      <c r="EG48245"/>
      <c r="EH48245"/>
      <c r="EI48245"/>
      <c r="EJ48245"/>
      <c r="EK48245"/>
    </row>
    <row r="48246" spans="1:141" s="116" customFormat="1">
      <c r="A48246" s="136"/>
      <c r="CM48246" s="111"/>
      <c r="CQ48246" s="111"/>
      <c r="EF48246"/>
      <c r="EG48246"/>
      <c r="EH48246"/>
      <c r="EI48246"/>
      <c r="EJ48246"/>
      <c r="EK48246"/>
    </row>
    <row r="48247" spans="1:141" s="116" customFormat="1">
      <c r="A48247" s="136"/>
      <c r="CM48247" s="111"/>
      <c r="CQ48247" s="111"/>
      <c r="EF48247"/>
      <c r="EG48247"/>
      <c r="EH48247"/>
      <c r="EI48247"/>
      <c r="EJ48247"/>
      <c r="EK48247"/>
    </row>
    <row r="48248" spans="1:141" s="116" customFormat="1">
      <c r="A48248" s="136"/>
      <c r="CM48248" s="111"/>
      <c r="CQ48248" s="111"/>
      <c r="EF48248"/>
      <c r="EG48248"/>
      <c r="EH48248"/>
      <c r="EI48248"/>
      <c r="EJ48248"/>
      <c r="EK48248"/>
    </row>
    <row r="48249" spans="1:141" s="116" customFormat="1">
      <c r="A48249" s="136"/>
      <c r="CM48249" s="111"/>
      <c r="CQ48249" s="111"/>
      <c r="EF48249"/>
      <c r="EG48249"/>
      <c r="EH48249"/>
      <c r="EI48249"/>
      <c r="EJ48249"/>
      <c r="EK48249"/>
    </row>
    <row r="48250" spans="1:141" s="116" customFormat="1">
      <c r="A48250" s="136"/>
      <c r="CM48250" s="111"/>
      <c r="CQ48250" s="111"/>
      <c r="EF48250"/>
      <c r="EG48250"/>
      <c r="EH48250"/>
      <c r="EI48250"/>
      <c r="EJ48250"/>
      <c r="EK48250"/>
    </row>
    <row r="48251" spans="1:141" s="116" customFormat="1">
      <c r="A48251" s="136"/>
      <c r="CM48251" s="111"/>
      <c r="CQ48251" s="111"/>
      <c r="EF48251"/>
      <c r="EG48251"/>
      <c r="EH48251"/>
      <c r="EI48251"/>
      <c r="EJ48251"/>
      <c r="EK48251"/>
    </row>
    <row r="48252" spans="1:141" s="116" customFormat="1">
      <c r="A48252" s="136"/>
      <c r="CM48252" s="111"/>
      <c r="CQ48252" s="111"/>
      <c r="EF48252"/>
      <c r="EG48252"/>
      <c r="EH48252"/>
      <c r="EI48252"/>
      <c r="EJ48252"/>
      <c r="EK48252"/>
    </row>
    <row r="48253" spans="1:141" s="116" customFormat="1">
      <c r="A48253" s="136"/>
      <c r="CM48253" s="111"/>
      <c r="CQ48253" s="111"/>
      <c r="EF48253"/>
      <c r="EG48253"/>
      <c r="EH48253"/>
      <c r="EI48253"/>
      <c r="EJ48253"/>
      <c r="EK48253"/>
    </row>
    <row r="48254" spans="1:141" s="116" customFormat="1">
      <c r="A48254" s="136"/>
      <c r="CM48254" s="111"/>
      <c r="CQ48254" s="111"/>
      <c r="EF48254"/>
      <c r="EG48254"/>
      <c r="EH48254"/>
      <c r="EI48254"/>
      <c r="EJ48254"/>
      <c r="EK48254"/>
    </row>
    <row r="48255" spans="1:141" s="116" customFormat="1">
      <c r="A48255" s="136"/>
      <c r="CM48255" s="111"/>
      <c r="CQ48255" s="111"/>
      <c r="EF48255"/>
      <c r="EG48255"/>
      <c r="EH48255"/>
      <c r="EI48255"/>
      <c r="EJ48255"/>
      <c r="EK48255"/>
    </row>
    <row r="48256" spans="1:141" s="116" customFormat="1">
      <c r="A48256" s="136"/>
      <c r="CM48256" s="111"/>
      <c r="CQ48256" s="111"/>
      <c r="EF48256"/>
      <c r="EG48256"/>
      <c r="EH48256"/>
      <c r="EI48256"/>
      <c r="EJ48256"/>
      <c r="EK48256"/>
    </row>
    <row r="48257" spans="1:141" s="116" customFormat="1">
      <c r="A48257" s="136"/>
      <c r="CM48257" s="111"/>
      <c r="CQ48257" s="111"/>
      <c r="EF48257"/>
      <c r="EG48257"/>
      <c r="EH48257"/>
      <c r="EI48257"/>
      <c r="EJ48257"/>
      <c r="EK48257"/>
    </row>
    <row r="48258" spans="1:141" s="116" customFormat="1">
      <c r="A48258" s="136"/>
      <c r="CM48258" s="111"/>
      <c r="CQ48258" s="111"/>
      <c r="EF48258"/>
      <c r="EG48258"/>
      <c r="EH48258"/>
      <c r="EI48258"/>
      <c r="EJ48258"/>
      <c r="EK48258"/>
    </row>
    <row r="48259" spans="1:141" s="116" customFormat="1">
      <c r="A48259" s="136"/>
      <c r="CM48259" s="111"/>
      <c r="CQ48259" s="111"/>
      <c r="EF48259"/>
      <c r="EG48259"/>
      <c r="EH48259"/>
      <c r="EI48259"/>
      <c r="EJ48259"/>
      <c r="EK48259"/>
    </row>
    <row r="48260" spans="1:141" s="116" customFormat="1">
      <c r="A48260" s="136"/>
      <c r="CM48260" s="111"/>
      <c r="CQ48260" s="111"/>
      <c r="EF48260"/>
      <c r="EG48260"/>
      <c r="EH48260"/>
      <c r="EI48260"/>
      <c r="EJ48260"/>
      <c r="EK48260"/>
    </row>
    <row r="48261" spans="1:141" s="116" customFormat="1">
      <c r="A48261" s="136"/>
      <c r="CM48261" s="111"/>
      <c r="CQ48261" s="111"/>
      <c r="EF48261"/>
      <c r="EG48261"/>
      <c r="EH48261"/>
      <c r="EI48261"/>
      <c r="EJ48261"/>
      <c r="EK48261"/>
    </row>
    <row r="48262" spans="1:141" s="116" customFormat="1">
      <c r="A48262" s="136"/>
      <c r="CM48262" s="111"/>
      <c r="CQ48262" s="111"/>
      <c r="EF48262"/>
      <c r="EG48262"/>
      <c r="EH48262"/>
      <c r="EI48262"/>
      <c r="EJ48262"/>
      <c r="EK48262"/>
    </row>
    <row r="48263" spans="1:141" s="116" customFormat="1">
      <c r="A48263" s="136"/>
      <c r="CM48263" s="111"/>
      <c r="CQ48263" s="111"/>
      <c r="EF48263"/>
      <c r="EG48263"/>
      <c r="EH48263"/>
      <c r="EI48263"/>
      <c r="EJ48263"/>
      <c r="EK48263"/>
    </row>
    <row r="48264" spans="1:141" s="116" customFormat="1">
      <c r="A48264" s="136"/>
      <c r="CM48264" s="111"/>
      <c r="CQ48264" s="111"/>
      <c r="EF48264"/>
      <c r="EG48264"/>
      <c r="EH48264"/>
      <c r="EI48264"/>
      <c r="EJ48264"/>
      <c r="EK48264"/>
    </row>
    <row r="48265" spans="1:141" s="116" customFormat="1">
      <c r="A48265" s="136"/>
      <c r="CM48265" s="111"/>
      <c r="CQ48265" s="111"/>
      <c r="EF48265"/>
      <c r="EG48265"/>
      <c r="EH48265"/>
      <c r="EI48265"/>
      <c r="EJ48265"/>
      <c r="EK48265"/>
    </row>
    <row r="48266" spans="1:141" s="116" customFormat="1">
      <c r="A48266" s="136"/>
      <c r="CM48266" s="111"/>
      <c r="CQ48266" s="111"/>
      <c r="EF48266"/>
      <c r="EG48266"/>
      <c r="EH48266"/>
      <c r="EI48266"/>
      <c r="EJ48266"/>
      <c r="EK48266"/>
    </row>
    <row r="48267" spans="1:141" s="116" customFormat="1">
      <c r="A48267" s="136"/>
      <c r="CM48267" s="111"/>
      <c r="CQ48267" s="111"/>
      <c r="EF48267"/>
      <c r="EG48267"/>
      <c r="EH48267"/>
      <c r="EI48267"/>
      <c r="EJ48267"/>
      <c r="EK48267"/>
    </row>
    <row r="48268" spans="1:141" s="116" customFormat="1">
      <c r="A48268" s="136"/>
      <c r="CM48268" s="111"/>
      <c r="CQ48268" s="111"/>
      <c r="EF48268"/>
      <c r="EG48268"/>
      <c r="EH48268"/>
      <c r="EI48268"/>
      <c r="EJ48268"/>
      <c r="EK48268"/>
    </row>
    <row r="48269" spans="1:141" s="116" customFormat="1">
      <c r="A48269" s="136"/>
      <c r="CM48269" s="111"/>
      <c r="CQ48269" s="111"/>
      <c r="EF48269"/>
      <c r="EG48269"/>
      <c r="EH48269"/>
      <c r="EI48269"/>
      <c r="EJ48269"/>
      <c r="EK48269"/>
    </row>
    <row r="48270" spans="1:141" s="116" customFormat="1">
      <c r="A48270" s="136"/>
      <c r="CM48270" s="111"/>
      <c r="CQ48270" s="111"/>
      <c r="EF48270"/>
      <c r="EG48270"/>
      <c r="EH48270"/>
      <c r="EI48270"/>
      <c r="EJ48270"/>
      <c r="EK48270"/>
    </row>
    <row r="48271" spans="1:141" s="116" customFormat="1">
      <c r="A48271" s="136"/>
      <c r="CM48271" s="111"/>
      <c r="CQ48271" s="111"/>
      <c r="EF48271"/>
      <c r="EG48271"/>
      <c r="EH48271"/>
      <c r="EI48271"/>
      <c r="EJ48271"/>
      <c r="EK48271"/>
    </row>
    <row r="48272" spans="1:141" s="116" customFormat="1">
      <c r="A48272" s="136"/>
      <c r="CM48272" s="111"/>
      <c r="CQ48272" s="111"/>
      <c r="EF48272"/>
      <c r="EG48272"/>
      <c r="EH48272"/>
      <c r="EI48272"/>
      <c r="EJ48272"/>
      <c r="EK48272"/>
    </row>
    <row r="48273" spans="1:141" s="116" customFormat="1">
      <c r="A48273" s="136"/>
      <c r="CM48273" s="111"/>
      <c r="CQ48273" s="111"/>
      <c r="EF48273"/>
      <c r="EG48273"/>
      <c r="EH48273"/>
      <c r="EI48273"/>
      <c r="EJ48273"/>
      <c r="EK48273"/>
    </row>
    <row r="48274" spans="1:141" s="116" customFormat="1">
      <c r="A48274" s="136"/>
      <c r="CM48274" s="111"/>
      <c r="CQ48274" s="111"/>
      <c r="EF48274"/>
      <c r="EG48274"/>
      <c r="EH48274"/>
      <c r="EI48274"/>
      <c r="EJ48274"/>
      <c r="EK48274"/>
    </row>
    <row r="48275" spans="1:141" s="116" customFormat="1">
      <c r="A48275" s="136"/>
      <c r="CM48275" s="111"/>
      <c r="CQ48275" s="111"/>
      <c r="EF48275"/>
      <c r="EG48275"/>
      <c r="EH48275"/>
      <c r="EI48275"/>
      <c r="EJ48275"/>
      <c r="EK48275"/>
    </row>
    <row r="48276" spans="1:141" s="116" customFormat="1">
      <c r="A48276" s="136"/>
      <c r="CM48276" s="111"/>
      <c r="CQ48276" s="111"/>
      <c r="EF48276"/>
      <c r="EG48276"/>
      <c r="EH48276"/>
      <c r="EI48276"/>
      <c r="EJ48276"/>
      <c r="EK48276"/>
    </row>
    <row r="48277" spans="1:141" s="116" customFormat="1">
      <c r="A48277" s="136"/>
      <c r="CM48277" s="111"/>
      <c r="CQ48277" s="111"/>
      <c r="EF48277"/>
      <c r="EG48277"/>
      <c r="EH48277"/>
      <c r="EI48277"/>
      <c r="EJ48277"/>
      <c r="EK48277"/>
    </row>
    <row r="48278" spans="1:141" s="116" customFormat="1">
      <c r="A48278" s="136"/>
      <c r="CM48278" s="111"/>
      <c r="CQ48278" s="111"/>
      <c r="EF48278"/>
      <c r="EG48278"/>
      <c r="EH48278"/>
      <c r="EI48278"/>
      <c r="EJ48278"/>
      <c r="EK48278"/>
    </row>
    <row r="48279" spans="1:141" s="116" customFormat="1">
      <c r="A48279" s="136"/>
      <c r="CM48279" s="111"/>
      <c r="CQ48279" s="111"/>
      <c r="EF48279"/>
      <c r="EG48279"/>
      <c r="EH48279"/>
      <c r="EI48279"/>
      <c r="EJ48279"/>
      <c r="EK48279"/>
    </row>
    <row r="48280" spans="1:141" s="116" customFormat="1">
      <c r="A48280" s="136"/>
      <c r="CM48280" s="111"/>
      <c r="CQ48280" s="111"/>
      <c r="EF48280"/>
      <c r="EG48280"/>
      <c r="EH48280"/>
      <c r="EI48280"/>
      <c r="EJ48280"/>
      <c r="EK48280"/>
    </row>
    <row r="48281" spans="1:141" s="116" customFormat="1">
      <c r="A48281" s="136"/>
      <c r="CM48281" s="111"/>
      <c r="CQ48281" s="111"/>
      <c r="EF48281"/>
      <c r="EG48281"/>
      <c r="EH48281"/>
      <c r="EI48281"/>
      <c r="EJ48281"/>
      <c r="EK48281"/>
    </row>
    <row r="48282" spans="1:141" s="116" customFormat="1">
      <c r="A48282" s="136"/>
      <c r="CM48282" s="111"/>
      <c r="CQ48282" s="111"/>
      <c r="EF48282"/>
      <c r="EG48282"/>
      <c r="EH48282"/>
      <c r="EI48282"/>
      <c r="EJ48282"/>
      <c r="EK48282"/>
    </row>
    <row r="48283" spans="1:141" s="116" customFormat="1">
      <c r="A48283" s="136"/>
      <c r="CM48283" s="111"/>
      <c r="CQ48283" s="111"/>
      <c r="EF48283"/>
      <c r="EG48283"/>
      <c r="EH48283"/>
      <c r="EI48283"/>
      <c r="EJ48283"/>
      <c r="EK48283"/>
    </row>
    <row r="48284" spans="1:141" s="116" customFormat="1">
      <c r="A48284" s="136"/>
      <c r="CM48284" s="111"/>
      <c r="CQ48284" s="111"/>
      <c r="EF48284"/>
      <c r="EG48284"/>
      <c r="EH48284"/>
      <c r="EI48284"/>
      <c r="EJ48284"/>
      <c r="EK48284"/>
    </row>
    <row r="48285" spans="1:141" s="116" customFormat="1">
      <c r="A48285" s="136"/>
      <c r="CM48285" s="111"/>
      <c r="CQ48285" s="111"/>
      <c r="EF48285"/>
      <c r="EG48285"/>
      <c r="EH48285"/>
      <c r="EI48285"/>
      <c r="EJ48285"/>
      <c r="EK48285"/>
    </row>
    <row r="48286" spans="1:141" s="116" customFormat="1">
      <c r="A48286" s="136"/>
      <c r="CM48286" s="111"/>
      <c r="CQ48286" s="111"/>
      <c r="EF48286"/>
      <c r="EG48286"/>
      <c r="EH48286"/>
      <c r="EI48286"/>
      <c r="EJ48286"/>
      <c r="EK48286"/>
    </row>
    <row r="48287" spans="1:141" s="116" customFormat="1">
      <c r="A48287" s="136"/>
      <c r="CM48287" s="111"/>
      <c r="CQ48287" s="111"/>
      <c r="EF48287"/>
      <c r="EG48287"/>
      <c r="EH48287"/>
      <c r="EI48287"/>
      <c r="EJ48287"/>
      <c r="EK48287"/>
    </row>
    <row r="48288" spans="1:141" s="116" customFormat="1">
      <c r="A48288" s="136"/>
      <c r="CM48288" s="111"/>
      <c r="CQ48288" s="111"/>
      <c r="EF48288"/>
      <c r="EG48288"/>
      <c r="EH48288"/>
      <c r="EI48288"/>
      <c r="EJ48288"/>
      <c r="EK48288"/>
    </row>
    <row r="48289" spans="1:141" s="116" customFormat="1">
      <c r="A48289" s="136"/>
      <c r="CM48289" s="111"/>
      <c r="CQ48289" s="111"/>
      <c r="EF48289"/>
      <c r="EG48289"/>
      <c r="EH48289"/>
      <c r="EI48289"/>
      <c r="EJ48289"/>
      <c r="EK48289"/>
    </row>
    <row r="48290" spans="1:141" s="116" customFormat="1">
      <c r="A48290" s="136"/>
      <c r="CM48290" s="111"/>
      <c r="CQ48290" s="111"/>
      <c r="EF48290"/>
      <c r="EG48290"/>
      <c r="EH48290"/>
      <c r="EI48290"/>
      <c r="EJ48290"/>
      <c r="EK48290"/>
    </row>
    <row r="48291" spans="1:141" s="116" customFormat="1">
      <c r="A48291" s="136"/>
      <c r="CM48291" s="111"/>
      <c r="CQ48291" s="111"/>
      <c r="EF48291"/>
      <c r="EG48291"/>
      <c r="EH48291"/>
      <c r="EI48291"/>
      <c r="EJ48291"/>
      <c r="EK48291"/>
    </row>
    <row r="48292" spans="1:141" s="116" customFormat="1">
      <c r="A48292" s="136"/>
      <c r="CM48292" s="111"/>
      <c r="CQ48292" s="111"/>
      <c r="EF48292"/>
      <c r="EG48292"/>
      <c r="EH48292"/>
      <c r="EI48292"/>
      <c r="EJ48292"/>
      <c r="EK48292"/>
    </row>
    <row r="48293" spans="1:141" s="116" customFormat="1">
      <c r="A48293" s="136"/>
      <c r="CM48293" s="111"/>
      <c r="CQ48293" s="111"/>
      <c r="EF48293"/>
      <c r="EG48293"/>
      <c r="EH48293"/>
      <c r="EI48293"/>
      <c r="EJ48293"/>
      <c r="EK48293"/>
    </row>
    <row r="48294" spans="1:141" s="116" customFormat="1">
      <c r="A48294" s="136"/>
      <c r="CM48294" s="111"/>
      <c r="CQ48294" s="111"/>
      <c r="EF48294"/>
      <c r="EG48294"/>
      <c r="EH48294"/>
      <c r="EI48294"/>
      <c r="EJ48294"/>
      <c r="EK48294"/>
    </row>
    <row r="48295" spans="1:141" s="116" customFormat="1">
      <c r="A48295" s="136"/>
      <c r="CM48295" s="111"/>
      <c r="CQ48295" s="111"/>
      <c r="EF48295"/>
      <c r="EG48295"/>
      <c r="EH48295"/>
      <c r="EI48295"/>
      <c r="EJ48295"/>
      <c r="EK48295"/>
    </row>
    <row r="48296" spans="1:141" s="116" customFormat="1">
      <c r="A48296" s="136"/>
      <c r="CM48296" s="111"/>
      <c r="CQ48296" s="111"/>
      <c r="EF48296"/>
      <c r="EG48296"/>
      <c r="EH48296"/>
      <c r="EI48296"/>
      <c r="EJ48296"/>
      <c r="EK48296"/>
    </row>
    <row r="48297" spans="1:141" s="116" customFormat="1">
      <c r="A48297" s="136"/>
      <c r="CM48297" s="111"/>
      <c r="CQ48297" s="111"/>
      <c r="EF48297"/>
      <c r="EG48297"/>
      <c r="EH48297"/>
      <c r="EI48297"/>
      <c r="EJ48297"/>
      <c r="EK48297"/>
    </row>
    <row r="48298" spans="1:141" s="116" customFormat="1">
      <c r="A48298" s="136"/>
      <c r="CM48298" s="111"/>
      <c r="CQ48298" s="111"/>
      <c r="EF48298"/>
      <c r="EG48298"/>
      <c r="EH48298"/>
      <c r="EI48298"/>
      <c r="EJ48298"/>
      <c r="EK48298"/>
    </row>
    <row r="48299" spans="1:141" s="116" customFormat="1">
      <c r="A48299" s="136"/>
      <c r="CM48299" s="111"/>
      <c r="CQ48299" s="111"/>
      <c r="EF48299"/>
      <c r="EG48299"/>
      <c r="EH48299"/>
      <c r="EI48299"/>
      <c r="EJ48299"/>
      <c r="EK48299"/>
    </row>
    <row r="48300" spans="1:141" s="116" customFormat="1">
      <c r="A48300" s="136"/>
      <c r="CM48300" s="111"/>
      <c r="CQ48300" s="111"/>
      <c r="EF48300"/>
      <c r="EG48300"/>
      <c r="EH48300"/>
      <c r="EI48300"/>
      <c r="EJ48300"/>
      <c r="EK48300"/>
    </row>
    <row r="48301" spans="1:141" s="116" customFormat="1">
      <c r="A48301" s="136"/>
      <c r="CM48301" s="111"/>
      <c r="CQ48301" s="111"/>
      <c r="EF48301"/>
      <c r="EG48301"/>
      <c r="EH48301"/>
      <c r="EI48301"/>
      <c r="EJ48301"/>
      <c r="EK48301"/>
    </row>
    <row r="48302" spans="1:141" s="116" customFormat="1">
      <c r="A48302" s="136"/>
      <c r="CM48302" s="111"/>
      <c r="CQ48302" s="111"/>
      <c r="EF48302"/>
      <c r="EG48302"/>
      <c r="EH48302"/>
      <c r="EI48302"/>
      <c r="EJ48302"/>
      <c r="EK48302"/>
    </row>
    <row r="48303" spans="1:141" s="116" customFormat="1">
      <c r="A48303" s="136"/>
      <c r="CM48303" s="111"/>
      <c r="CQ48303" s="111"/>
      <c r="EF48303"/>
      <c r="EG48303"/>
      <c r="EH48303"/>
      <c r="EI48303"/>
      <c r="EJ48303"/>
      <c r="EK48303"/>
    </row>
    <row r="48304" spans="1:141" s="116" customFormat="1">
      <c r="A48304" s="136"/>
      <c r="CM48304" s="111"/>
      <c r="CQ48304" s="111"/>
      <c r="EF48304"/>
      <c r="EG48304"/>
      <c r="EH48304"/>
      <c r="EI48304"/>
      <c r="EJ48304"/>
      <c r="EK48304"/>
    </row>
    <row r="48305" spans="1:141" s="116" customFormat="1">
      <c r="A48305" s="136"/>
      <c r="CM48305" s="111"/>
      <c r="CQ48305" s="111"/>
      <c r="EF48305"/>
      <c r="EG48305"/>
      <c r="EH48305"/>
      <c r="EI48305"/>
      <c r="EJ48305"/>
      <c r="EK48305"/>
    </row>
    <row r="48306" spans="1:141" s="116" customFormat="1">
      <c r="A48306" s="136"/>
      <c r="CM48306" s="111"/>
      <c r="CQ48306" s="111"/>
      <c r="EF48306"/>
      <c r="EG48306"/>
      <c r="EH48306"/>
      <c r="EI48306"/>
      <c r="EJ48306"/>
      <c r="EK48306"/>
    </row>
    <row r="48307" spans="1:141" s="116" customFormat="1">
      <c r="A48307" s="136"/>
      <c r="CM48307" s="111"/>
      <c r="CQ48307" s="111"/>
      <c r="EF48307"/>
      <c r="EG48307"/>
      <c r="EH48307"/>
      <c r="EI48307"/>
      <c r="EJ48307"/>
      <c r="EK48307"/>
    </row>
    <row r="48308" spans="1:141" s="116" customFormat="1">
      <c r="A48308" s="136"/>
      <c r="CM48308" s="111"/>
      <c r="CQ48308" s="111"/>
      <c r="EF48308"/>
      <c r="EG48308"/>
      <c r="EH48308"/>
      <c r="EI48308"/>
      <c r="EJ48308"/>
      <c r="EK48308"/>
    </row>
    <row r="48309" spans="1:141" s="116" customFormat="1">
      <c r="A48309" s="136"/>
      <c r="CM48309" s="111"/>
      <c r="CQ48309" s="111"/>
      <c r="EF48309"/>
      <c r="EG48309"/>
      <c r="EH48309"/>
      <c r="EI48309"/>
      <c r="EJ48309"/>
      <c r="EK48309"/>
    </row>
    <row r="48310" spans="1:141" s="116" customFormat="1">
      <c r="A48310" s="136"/>
      <c r="CM48310" s="111"/>
      <c r="CQ48310" s="111"/>
      <c r="EF48310"/>
      <c r="EG48310"/>
      <c r="EH48310"/>
      <c r="EI48310"/>
      <c r="EJ48310"/>
      <c r="EK48310"/>
    </row>
    <row r="48311" spans="1:141" s="116" customFormat="1">
      <c r="A48311" s="136"/>
      <c r="CM48311" s="111"/>
      <c r="CQ48311" s="111"/>
      <c r="EF48311"/>
      <c r="EG48311"/>
      <c r="EH48311"/>
      <c r="EI48311"/>
      <c r="EJ48311"/>
      <c r="EK48311"/>
    </row>
    <row r="48312" spans="1:141" s="116" customFormat="1">
      <c r="A48312" s="136"/>
      <c r="CM48312" s="111"/>
      <c r="CQ48312" s="111"/>
      <c r="EF48312"/>
      <c r="EG48312"/>
      <c r="EH48312"/>
      <c r="EI48312"/>
      <c r="EJ48312"/>
      <c r="EK48312"/>
    </row>
    <row r="48313" spans="1:141" s="116" customFormat="1">
      <c r="A48313" s="136"/>
      <c r="CM48313" s="111"/>
      <c r="CQ48313" s="111"/>
      <c r="EF48313"/>
      <c r="EG48313"/>
      <c r="EH48313"/>
      <c r="EI48313"/>
      <c r="EJ48313"/>
      <c r="EK48313"/>
    </row>
    <row r="48314" spans="1:141" s="116" customFormat="1">
      <c r="A48314" s="136"/>
      <c r="CM48314" s="111"/>
      <c r="CQ48314" s="111"/>
      <c r="EF48314"/>
      <c r="EG48314"/>
      <c r="EH48314"/>
      <c r="EI48314"/>
      <c r="EJ48314"/>
      <c r="EK48314"/>
    </row>
    <row r="48315" spans="1:141" s="116" customFormat="1">
      <c r="A48315" s="136"/>
      <c r="CM48315" s="111"/>
      <c r="CQ48315" s="111"/>
      <c r="EF48315"/>
      <c r="EG48315"/>
      <c r="EH48315"/>
      <c r="EI48315"/>
      <c r="EJ48315"/>
      <c r="EK48315"/>
    </row>
    <row r="48316" spans="1:141" s="116" customFormat="1">
      <c r="A48316" s="136"/>
      <c r="CM48316" s="111"/>
      <c r="CQ48316" s="111"/>
      <c r="EF48316"/>
      <c r="EG48316"/>
      <c r="EH48316"/>
      <c r="EI48316"/>
      <c r="EJ48316"/>
      <c r="EK48316"/>
    </row>
    <row r="48317" spans="1:141" s="116" customFormat="1">
      <c r="A48317" s="136"/>
      <c r="CM48317" s="111"/>
      <c r="CQ48317" s="111"/>
      <c r="EF48317"/>
      <c r="EG48317"/>
      <c r="EH48317"/>
      <c r="EI48317"/>
      <c r="EJ48317"/>
      <c r="EK48317"/>
    </row>
    <row r="48318" spans="1:141" s="116" customFormat="1">
      <c r="A48318" s="136"/>
      <c r="CM48318" s="111"/>
      <c r="CQ48318" s="111"/>
      <c r="EF48318"/>
      <c r="EG48318"/>
      <c r="EH48318"/>
      <c r="EI48318"/>
      <c r="EJ48318"/>
      <c r="EK48318"/>
    </row>
    <row r="48319" spans="1:141" s="116" customFormat="1">
      <c r="A48319" s="136"/>
      <c r="CM48319" s="111"/>
      <c r="CQ48319" s="111"/>
      <c r="EF48319"/>
      <c r="EG48319"/>
      <c r="EH48319"/>
      <c r="EI48319"/>
      <c r="EJ48319"/>
      <c r="EK48319"/>
    </row>
    <row r="48320" spans="1:141" s="116" customFormat="1">
      <c r="A48320" s="136"/>
      <c r="CM48320" s="111"/>
      <c r="CQ48320" s="111"/>
      <c r="EF48320"/>
      <c r="EG48320"/>
      <c r="EH48320"/>
      <c r="EI48320"/>
      <c r="EJ48320"/>
      <c r="EK48320"/>
    </row>
    <row r="48321" spans="1:141" s="116" customFormat="1">
      <c r="A48321" s="136"/>
      <c r="CM48321" s="111"/>
      <c r="CQ48321" s="111"/>
      <c r="EF48321"/>
      <c r="EG48321"/>
      <c r="EH48321"/>
      <c r="EI48321"/>
      <c r="EJ48321"/>
      <c r="EK48321"/>
    </row>
    <row r="48322" spans="1:141" s="116" customFormat="1">
      <c r="A48322" s="136"/>
      <c r="CM48322" s="111"/>
      <c r="CQ48322" s="111"/>
      <c r="EF48322"/>
      <c r="EG48322"/>
      <c r="EH48322"/>
      <c r="EI48322"/>
      <c r="EJ48322"/>
      <c r="EK48322"/>
    </row>
    <row r="48323" spans="1:141" s="116" customFormat="1">
      <c r="A48323" s="136"/>
      <c r="CM48323" s="111"/>
      <c r="CQ48323" s="111"/>
      <c r="EF48323"/>
      <c r="EG48323"/>
      <c r="EH48323"/>
      <c r="EI48323"/>
      <c r="EJ48323"/>
      <c r="EK48323"/>
    </row>
    <row r="48324" spans="1:141" s="116" customFormat="1">
      <c r="A48324" s="136"/>
      <c r="CM48324" s="111"/>
      <c r="CQ48324" s="111"/>
      <c r="EF48324"/>
      <c r="EG48324"/>
      <c r="EH48324"/>
      <c r="EI48324"/>
      <c r="EJ48324"/>
      <c r="EK48324"/>
    </row>
    <row r="48325" spans="1:141" s="116" customFormat="1">
      <c r="A48325" s="136"/>
      <c r="CM48325" s="111"/>
      <c r="CQ48325" s="111"/>
      <c r="EF48325"/>
      <c r="EG48325"/>
      <c r="EH48325"/>
      <c r="EI48325"/>
      <c r="EJ48325"/>
      <c r="EK48325"/>
    </row>
    <row r="48326" spans="1:141" s="116" customFormat="1">
      <c r="A48326" s="136"/>
      <c r="CM48326" s="111"/>
      <c r="CQ48326" s="111"/>
      <c r="EF48326"/>
      <c r="EG48326"/>
      <c r="EH48326"/>
      <c r="EI48326"/>
      <c r="EJ48326"/>
      <c r="EK48326"/>
    </row>
    <row r="48327" spans="1:141" s="116" customFormat="1">
      <c r="A48327" s="136"/>
      <c r="CM48327" s="111"/>
      <c r="CQ48327" s="111"/>
      <c r="EF48327"/>
      <c r="EG48327"/>
      <c r="EH48327"/>
      <c r="EI48327"/>
      <c r="EJ48327"/>
      <c r="EK48327"/>
    </row>
    <row r="48328" spans="1:141" s="116" customFormat="1">
      <c r="A48328" s="136"/>
      <c r="CM48328" s="111"/>
      <c r="CQ48328" s="111"/>
      <c r="EF48328"/>
      <c r="EG48328"/>
      <c r="EH48328"/>
      <c r="EI48328"/>
      <c r="EJ48328"/>
      <c r="EK48328"/>
    </row>
    <row r="48329" spans="1:141" s="116" customFormat="1">
      <c r="A48329" s="136"/>
      <c r="CM48329" s="111"/>
      <c r="CQ48329" s="111"/>
      <c r="EF48329"/>
      <c r="EG48329"/>
      <c r="EH48329"/>
      <c r="EI48329"/>
      <c r="EJ48329"/>
      <c r="EK48329"/>
    </row>
    <row r="48330" spans="1:141" s="116" customFormat="1">
      <c r="A48330" s="136"/>
      <c r="CM48330" s="111"/>
      <c r="CQ48330" s="111"/>
      <c r="EF48330"/>
      <c r="EG48330"/>
      <c r="EH48330"/>
      <c r="EI48330"/>
      <c r="EJ48330"/>
      <c r="EK48330"/>
    </row>
    <row r="48331" spans="1:141" s="116" customFormat="1">
      <c r="A48331" s="136"/>
      <c r="CM48331" s="111"/>
      <c r="CQ48331" s="111"/>
      <c r="EF48331"/>
      <c r="EG48331"/>
      <c r="EH48331"/>
      <c r="EI48331"/>
      <c r="EJ48331"/>
      <c r="EK48331"/>
    </row>
    <row r="48332" spans="1:141" s="116" customFormat="1">
      <c r="A48332" s="136"/>
      <c r="CM48332" s="111"/>
      <c r="CQ48332" s="111"/>
      <c r="EF48332"/>
      <c r="EG48332"/>
      <c r="EH48332"/>
      <c r="EI48332"/>
      <c r="EJ48332"/>
      <c r="EK48332"/>
    </row>
    <row r="48333" spans="1:141" s="116" customFormat="1">
      <c r="A48333" s="136"/>
      <c r="CM48333" s="111"/>
      <c r="CQ48333" s="111"/>
      <c r="EF48333"/>
      <c r="EG48333"/>
      <c r="EH48333"/>
      <c r="EI48333"/>
      <c r="EJ48333"/>
      <c r="EK48333"/>
    </row>
    <row r="48334" spans="1:141" s="116" customFormat="1">
      <c r="A48334" s="136"/>
      <c r="CM48334" s="111"/>
      <c r="CQ48334" s="111"/>
      <c r="EF48334"/>
      <c r="EG48334"/>
      <c r="EH48334"/>
      <c r="EI48334"/>
      <c r="EJ48334"/>
      <c r="EK48334"/>
    </row>
    <row r="48335" spans="1:141" s="116" customFormat="1">
      <c r="A48335" s="136"/>
      <c r="CM48335" s="111"/>
      <c r="CQ48335" s="111"/>
      <c r="EF48335"/>
      <c r="EG48335"/>
      <c r="EH48335"/>
      <c r="EI48335"/>
      <c r="EJ48335"/>
      <c r="EK48335"/>
    </row>
    <row r="48336" spans="1:141" s="116" customFormat="1">
      <c r="A48336" s="136"/>
      <c r="CM48336" s="111"/>
      <c r="CQ48336" s="111"/>
      <c r="EF48336"/>
      <c r="EG48336"/>
      <c r="EH48336"/>
      <c r="EI48336"/>
      <c r="EJ48336"/>
      <c r="EK48336"/>
    </row>
    <row r="48337" spans="1:141" s="116" customFormat="1">
      <c r="A48337" s="136"/>
      <c r="CM48337" s="111"/>
      <c r="CQ48337" s="111"/>
      <c r="EF48337"/>
      <c r="EG48337"/>
      <c r="EH48337"/>
      <c r="EI48337"/>
      <c r="EJ48337"/>
      <c r="EK48337"/>
    </row>
    <row r="48338" spans="1:141" s="116" customFormat="1">
      <c r="A48338" s="136"/>
      <c r="CM48338" s="111"/>
      <c r="CQ48338" s="111"/>
      <c r="EF48338"/>
      <c r="EG48338"/>
      <c r="EH48338"/>
      <c r="EI48338"/>
      <c r="EJ48338"/>
      <c r="EK48338"/>
    </row>
    <row r="48339" spans="1:141" s="116" customFormat="1">
      <c r="A48339" s="136"/>
      <c r="CM48339" s="111"/>
      <c r="CQ48339" s="111"/>
      <c r="EF48339"/>
      <c r="EG48339"/>
      <c r="EH48339"/>
      <c r="EI48339"/>
      <c r="EJ48339"/>
      <c r="EK48339"/>
    </row>
    <row r="48340" spans="1:141" s="116" customFormat="1">
      <c r="A48340" s="136"/>
      <c r="CM48340" s="111"/>
      <c r="CQ48340" s="111"/>
      <c r="EF48340"/>
      <c r="EG48340"/>
      <c r="EH48340"/>
      <c r="EI48340"/>
      <c r="EJ48340"/>
      <c r="EK48340"/>
    </row>
    <row r="48341" spans="1:141" s="116" customFormat="1">
      <c r="A48341" s="136"/>
      <c r="CM48341" s="111"/>
      <c r="CQ48341" s="111"/>
      <c r="EF48341"/>
      <c r="EG48341"/>
      <c r="EH48341"/>
      <c r="EI48341"/>
      <c r="EJ48341"/>
      <c r="EK48341"/>
    </row>
    <row r="48342" spans="1:141" s="116" customFormat="1">
      <c r="A48342" s="136"/>
      <c r="CM48342" s="111"/>
      <c r="CQ48342" s="111"/>
      <c r="EF48342"/>
      <c r="EG48342"/>
      <c r="EH48342"/>
      <c r="EI48342"/>
      <c r="EJ48342"/>
      <c r="EK48342"/>
    </row>
    <row r="48343" spans="1:141" s="116" customFormat="1">
      <c r="A48343" s="136"/>
      <c r="CM48343" s="111"/>
      <c r="CQ48343" s="111"/>
      <c r="EF48343"/>
      <c r="EG48343"/>
      <c r="EH48343"/>
      <c r="EI48343"/>
      <c r="EJ48343"/>
      <c r="EK48343"/>
    </row>
    <row r="48344" spans="1:141" s="116" customFormat="1">
      <c r="A48344" s="136"/>
      <c r="CM48344" s="111"/>
      <c r="CQ48344" s="111"/>
      <c r="EF48344"/>
      <c r="EG48344"/>
      <c r="EH48344"/>
      <c r="EI48344"/>
      <c r="EJ48344"/>
      <c r="EK48344"/>
    </row>
    <row r="48345" spans="1:141" s="116" customFormat="1">
      <c r="A48345" s="136"/>
      <c r="CM48345" s="111"/>
      <c r="CQ48345" s="111"/>
      <c r="EF48345"/>
      <c r="EG48345"/>
      <c r="EH48345"/>
      <c r="EI48345"/>
      <c r="EJ48345"/>
      <c r="EK48345"/>
    </row>
    <row r="48346" spans="1:141" s="116" customFormat="1">
      <c r="A48346" s="136"/>
      <c r="CM48346" s="111"/>
      <c r="CQ48346" s="111"/>
      <c r="EF48346"/>
      <c r="EG48346"/>
      <c r="EH48346"/>
      <c r="EI48346"/>
      <c r="EJ48346"/>
      <c r="EK48346"/>
    </row>
    <row r="48347" spans="1:141" s="116" customFormat="1">
      <c r="A48347" s="136"/>
      <c r="CM48347" s="111"/>
      <c r="CQ48347" s="111"/>
      <c r="EF48347"/>
      <c r="EG48347"/>
      <c r="EH48347"/>
      <c r="EI48347"/>
      <c r="EJ48347"/>
      <c r="EK48347"/>
    </row>
    <row r="48348" spans="1:141" s="116" customFormat="1">
      <c r="A48348" s="136"/>
      <c r="CM48348" s="111"/>
      <c r="CQ48348" s="111"/>
      <c r="EF48348"/>
      <c r="EG48348"/>
      <c r="EH48348"/>
      <c r="EI48348"/>
      <c r="EJ48348"/>
      <c r="EK48348"/>
    </row>
    <row r="48349" spans="1:141" s="116" customFormat="1">
      <c r="A48349" s="136"/>
      <c r="CM48349" s="111"/>
      <c r="CQ48349" s="111"/>
      <c r="EF48349"/>
      <c r="EG48349"/>
      <c r="EH48349"/>
      <c r="EI48349"/>
      <c r="EJ48349"/>
      <c r="EK48349"/>
    </row>
    <row r="48350" spans="1:141" s="116" customFormat="1">
      <c r="A48350" s="136"/>
      <c r="CM48350" s="111"/>
      <c r="CQ48350" s="111"/>
      <c r="EF48350"/>
      <c r="EG48350"/>
      <c r="EH48350"/>
      <c r="EI48350"/>
      <c r="EJ48350"/>
      <c r="EK48350"/>
    </row>
    <row r="48351" spans="1:141" s="116" customFormat="1">
      <c r="A48351" s="136"/>
      <c r="CM48351" s="111"/>
      <c r="CQ48351" s="111"/>
      <c r="EF48351"/>
      <c r="EG48351"/>
      <c r="EH48351"/>
      <c r="EI48351"/>
      <c r="EJ48351"/>
      <c r="EK48351"/>
    </row>
    <row r="48352" spans="1:141" s="116" customFormat="1">
      <c r="A48352" s="136"/>
      <c r="CM48352" s="111"/>
      <c r="CQ48352" s="111"/>
      <c r="EF48352"/>
      <c r="EG48352"/>
      <c r="EH48352"/>
      <c r="EI48352"/>
      <c r="EJ48352"/>
      <c r="EK48352"/>
    </row>
    <row r="48353" spans="1:141" s="116" customFormat="1">
      <c r="A48353" s="136"/>
      <c r="CM48353" s="111"/>
      <c r="CQ48353" s="111"/>
      <c r="EF48353"/>
      <c r="EG48353"/>
      <c r="EH48353"/>
      <c r="EI48353"/>
      <c r="EJ48353"/>
      <c r="EK48353"/>
    </row>
    <row r="48354" spans="1:141" s="116" customFormat="1">
      <c r="A48354" s="136"/>
      <c r="CM48354" s="111"/>
      <c r="CQ48354" s="111"/>
      <c r="EF48354"/>
      <c r="EG48354"/>
      <c r="EH48354"/>
      <c r="EI48354"/>
      <c r="EJ48354"/>
      <c r="EK48354"/>
    </row>
    <row r="48355" spans="1:141" s="116" customFormat="1">
      <c r="A48355" s="136"/>
      <c r="CM48355" s="111"/>
      <c r="CQ48355" s="111"/>
      <c r="EF48355"/>
      <c r="EG48355"/>
      <c r="EH48355"/>
      <c r="EI48355"/>
      <c r="EJ48355"/>
      <c r="EK48355"/>
    </row>
    <row r="48356" spans="1:141" s="116" customFormat="1">
      <c r="A48356" s="136"/>
      <c r="CM48356" s="111"/>
      <c r="CQ48356" s="111"/>
      <c r="EF48356"/>
      <c r="EG48356"/>
      <c r="EH48356"/>
      <c r="EI48356"/>
      <c r="EJ48356"/>
      <c r="EK48356"/>
    </row>
    <row r="48357" spans="1:141" s="116" customFormat="1">
      <c r="A48357" s="136"/>
      <c r="CM48357" s="111"/>
      <c r="CQ48357" s="111"/>
      <c r="EF48357"/>
      <c r="EG48357"/>
      <c r="EH48357"/>
      <c r="EI48357"/>
      <c r="EJ48357"/>
      <c r="EK48357"/>
    </row>
    <row r="48358" spans="1:141" s="116" customFormat="1">
      <c r="A48358" s="136"/>
      <c r="CM48358" s="111"/>
      <c r="CQ48358" s="111"/>
      <c r="EF48358"/>
      <c r="EG48358"/>
      <c r="EH48358"/>
      <c r="EI48358"/>
      <c r="EJ48358"/>
      <c r="EK48358"/>
    </row>
    <row r="48359" spans="1:141" s="116" customFormat="1">
      <c r="A48359" s="136"/>
      <c r="CM48359" s="111"/>
      <c r="CQ48359" s="111"/>
      <c r="EF48359"/>
      <c r="EG48359"/>
      <c r="EH48359"/>
      <c r="EI48359"/>
      <c r="EJ48359"/>
      <c r="EK48359"/>
    </row>
    <row r="48360" spans="1:141" s="116" customFormat="1">
      <c r="A48360" s="136"/>
      <c r="CM48360" s="111"/>
      <c r="CQ48360" s="111"/>
      <c r="EF48360"/>
      <c r="EG48360"/>
      <c r="EH48360"/>
      <c r="EI48360"/>
      <c r="EJ48360"/>
      <c r="EK48360"/>
    </row>
    <row r="48361" spans="1:141" s="116" customFormat="1">
      <c r="A48361" s="136"/>
      <c r="CM48361" s="111"/>
      <c r="CQ48361" s="111"/>
      <c r="EF48361"/>
      <c r="EG48361"/>
      <c r="EH48361"/>
      <c r="EI48361"/>
      <c r="EJ48361"/>
      <c r="EK48361"/>
    </row>
    <row r="48362" spans="1:141" s="116" customFormat="1">
      <c r="A48362" s="136"/>
      <c r="CM48362" s="111"/>
      <c r="CQ48362" s="111"/>
      <c r="EF48362"/>
      <c r="EG48362"/>
      <c r="EH48362"/>
      <c r="EI48362"/>
      <c r="EJ48362"/>
      <c r="EK48362"/>
    </row>
    <row r="48363" spans="1:141" s="116" customFormat="1">
      <c r="A48363" s="136"/>
      <c r="CM48363" s="111"/>
      <c r="CQ48363" s="111"/>
      <c r="EF48363"/>
      <c r="EG48363"/>
      <c r="EH48363"/>
      <c r="EI48363"/>
      <c r="EJ48363"/>
      <c r="EK48363"/>
    </row>
    <row r="48364" spans="1:141" s="116" customFormat="1">
      <c r="A48364" s="136"/>
      <c r="CM48364" s="111"/>
      <c r="CQ48364" s="111"/>
      <c r="EF48364"/>
      <c r="EG48364"/>
      <c r="EH48364"/>
      <c r="EI48364"/>
      <c r="EJ48364"/>
      <c r="EK48364"/>
    </row>
    <row r="48365" spans="1:141" s="116" customFormat="1">
      <c r="A48365" s="136"/>
      <c r="CM48365" s="111"/>
      <c r="CQ48365" s="111"/>
      <c r="EF48365"/>
      <c r="EG48365"/>
      <c r="EH48365"/>
      <c r="EI48365"/>
      <c r="EJ48365"/>
      <c r="EK48365"/>
    </row>
    <row r="48366" spans="1:141" s="116" customFormat="1">
      <c r="A48366" s="136"/>
      <c r="CM48366" s="111"/>
      <c r="CQ48366" s="111"/>
      <c r="EF48366"/>
      <c r="EG48366"/>
      <c r="EH48366"/>
      <c r="EI48366"/>
      <c r="EJ48366"/>
      <c r="EK48366"/>
    </row>
    <row r="48367" spans="1:141" s="116" customFormat="1">
      <c r="A48367" s="136"/>
      <c r="CM48367" s="111"/>
      <c r="CQ48367" s="111"/>
      <c r="EF48367"/>
      <c r="EG48367"/>
      <c r="EH48367"/>
      <c r="EI48367"/>
      <c r="EJ48367"/>
      <c r="EK48367"/>
    </row>
    <row r="48368" spans="1:141" s="116" customFormat="1">
      <c r="A48368" s="136"/>
      <c r="CM48368" s="111"/>
      <c r="CQ48368" s="111"/>
      <c r="EF48368"/>
      <c r="EG48368"/>
      <c r="EH48368"/>
      <c r="EI48368"/>
      <c r="EJ48368"/>
      <c r="EK48368"/>
    </row>
    <row r="48369" spans="1:141" s="116" customFormat="1">
      <c r="A48369" s="136"/>
      <c r="CM48369" s="111"/>
      <c r="CQ48369" s="111"/>
      <c r="EF48369"/>
      <c r="EG48369"/>
      <c r="EH48369"/>
      <c r="EI48369"/>
      <c r="EJ48369"/>
      <c r="EK48369"/>
    </row>
    <row r="48370" spans="1:141" s="116" customFormat="1">
      <c r="A48370" s="136"/>
      <c r="CM48370" s="111"/>
      <c r="CQ48370" s="111"/>
      <c r="EF48370"/>
      <c r="EG48370"/>
      <c r="EH48370"/>
      <c r="EI48370"/>
      <c r="EJ48370"/>
      <c r="EK48370"/>
    </row>
    <row r="48371" spans="1:141" s="116" customFormat="1">
      <c r="A48371" s="136"/>
      <c r="CM48371" s="111"/>
      <c r="CQ48371" s="111"/>
      <c r="EF48371"/>
      <c r="EG48371"/>
      <c r="EH48371"/>
      <c r="EI48371"/>
      <c r="EJ48371"/>
      <c r="EK48371"/>
    </row>
    <row r="48372" spans="1:141" s="116" customFormat="1">
      <c r="A48372" s="136"/>
      <c r="CM48372" s="111"/>
      <c r="CQ48372" s="111"/>
      <c r="EF48372"/>
      <c r="EG48372"/>
      <c r="EH48372"/>
      <c r="EI48372"/>
      <c r="EJ48372"/>
      <c r="EK48372"/>
    </row>
    <row r="48373" spans="1:141" s="116" customFormat="1">
      <c r="A48373" s="136"/>
      <c r="CM48373" s="111"/>
      <c r="CQ48373" s="111"/>
      <c r="EF48373"/>
      <c r="EG48373"/>
      <c r="EH48373"/>
      <c r="EI48373"/>
      <c r="EJ48373"/>
      <c r="EK48373"/>
    </row>
    <row r="48374" spans="1:141" s="116" customFormat="1">
      <c r="A48374" s="136"/>
      <c r="CM48374" s="111"/>
      <c r="CQ48374" s="111"/>
      <c r="EF48374"/>
      <c r="EG48374"/>
      <c r="EH48374"/>
      <c r="EI48374"/>
      <c r="EJ48374"/>
      <c r="EK48374"/>
    </row>
    <row r="48375" spans="1:141" s="116" customFormat="1">
      <c r="A48375" s="136"/>
      <c r="CM48375" s="111"/>
      <c r="CQ48375" s="111"/>
      <c r="EF48375"/>
      <c r="EG48375"/>
      <c r="EH48375"/>
      <c r="EI48375"/>
      <c r="EJ48375"/>
      <c r="EK48375"/>
    </row>
    <row r="48376" spans="1:141" s="116" customFormat="1">
      <c r="A48376" s="136"/>
      <c r="CM48376" s="111"/>
      <c r="CQ48376" s="111"/>
      <c r="EF48376"/>
      <c r="EG48376"/>
      <c r="EH48376"/>
      <c r="EI48376"/>
      <c r="EJ48376"/>
      <c r="EK48376"/>
    </row>
    <row r="48377" spans="1:141" s="116" customFormat="1">
      <c r="A48377" s="136"/>
      <c r="CM48377" s="111"/>
      <c r="CQ48377" s="111"/>
      <c r="EF48377"/>
      <c r="EG48377"/>
      <c r="EH48377"/>
      <c r="EI48377"/>
      <c r="EJ48377"/>
      <c r="EK48377"/>
    </row>
    <row r="48378" spans="1:141" s="116" customFormat="1">
      <c r="A48378" s="136"/>
      <c r="CM48378" s="111"/>
      <c r="CQ48378" s="111"/>
      <c r="EF48378"/>
      <c r="EG48378"/>
      <c r="EH48378"/>
      <c r="EI48378"/>
      <c r="EJ48378"/>
      <c r="EK48378"/>
    </row>
    <row r="48379" spans="1:141" s="116" customFormat="1">
      <c r="A48379" s="136"/>
      <c r="CM48379" s="111"/>
      <c r="CQ48379" s="111"/>
      <c r="EF48379"/>
      <c r="EG48379"/>
      <c r="EH48379"/>
      <c r="EI48379"/>
      <c r="EJ48379"/>
      <c r="EK48379"/>
    </row>
    <row r="48380" spans="1:141" s="116" customFormat="1">
      <c r="A48380" s="136"/>
      <c r="CM48380" s="111"/>
      <c r="CQ48380" s="111"/>
      <c r="EF48380"/>
      <c r="EG48380"/>
      <c r="EH48380"/>
      <c r="EI48380"/>
      <c r="EJ48380"/>
      <c r="EK48380"/>
    </row>
    <row r="48381" spans="1:141" s="116" customFormat="1">
      <c r="A48381" s="136"/>
      <c r="CM48381" s="111"/>
      <c r="CQ48381" s="111"/>
      <c r="EF48381"/>
      <c r="EG48381"/>
      <c r="EH48381"/>
      <c r="EI48381"/>
      <c r="EJ48381"/>
      <c r="EK48381"/>
    </row>
    <row r="48382" spans="1:141" s="116" customFormat="1">
      <c r="A48382" s="136"/>
      <c r="CM48382" s="111"/>
      <c r="CQ48382" s="111"/>
      <c r="EF48382"/>
      <c r="EG48382"/>
      <c r="EH48382"/>
      <c r="EI48382"/>
      <c r="EJ48382"/>
      <c r="EK48382"/>
    </row>
    <row r="48383" spans="1:141" s="116" customFormat="1">
      <c r="A48383" s="136"/>
      <c r="CM48383" s="111"/>
      <c r="CQ48383" s="111"/>
      <c r="EF48383"/>
      <c r="EG48383"/>
      <c r="EH48383"/>
      <c r="EI48383"/>
      <c r="EJ48383"/>
      <c r="EK48383"/>
    </row>
    <row r="48384" spans="1:141" s="116" customFormat="1">
      <c r="A48384" s="136"/>
      <c r="CM48384" s="111"/>
      <c r="CQ48384" s="111"/>
      <c r="EF48384"/>
      <c r="EG48384"/>
      <c r="EH48384"/>
      <c r="EI48384"/>
      <c r="EJ48384"/>
      <c r="EK48384"/>
    </row>
    <row r="48385" spans="1:141" s="116" customFormat="1">
      <c r="A48385" s="136"/>
      <c r="CM48385" s="111"/>
      <c r="CQ48385" s="111"/>
      <c r="EF48385"/>
      <c r="EG48385"/>
      <c r="EH48385"/>
      <c r="EI48385"/>
      <c r="EJ48385"/>
      <c r="EK48385"/>
    </row>
    <row r="48386" spans="1:141" s="116" customFormat="1">
      <c r="A48386" s="136"/>
      <c r="CM48386" s="111"/>
      <c r="CQ48386" s="111"/>
      <c r="EF48386"/>
      <c r="EG48386"/>
      <c r="EH48386"/>
      <c r="EI48386"/>
      <c r="EJ48386"/>
      <c r="EK48386"/>
    </row>
    <row r="48387" spans="1:141" s="116" customFormat="1">
      <c r="A48387" s="136"/>
      <c r="CM48387" s="111"/>
      <c r="CQ48387" s="111"/>
      <c r="EF48387"/>
      <c r="EG48387"/>
      <c r="EH48387"/>
      <c r="EI48387"/>
      <c r="EJ48387"/>
      <c r="EK48387"/>
    </row>
    <row r="48388" spans="1:141" s="116" customFormat="1">
      <c r="A48388" s="136"/>
      <c r="CM48388" s="111"/>
      <c r="CQ48388" s="111"/>
      <c r="EF48388"/>
      <c r="EG48388"/>
      <c r="EH48388"/>
      <c r="EI48388"/>
      <c r="EJ48388"/>
      <c r="EK48388"/>
    </row>
    <row r="48389" spans="1:141" s="116" customFormat="1">
      <c r="A48389" s="136"/>
      <c r="CM48389" s="111"/>
      <c r="CQ48389" s="111"/>
      <c r="EF48389"/>
      <c r="EG48389"/>
      <c r="EH48389"/>
      <c r="EI48389"/>
      <c r="EJ48389"/>
      <c r="EK48389"/>
    </row>
    <row r="48390" spans="1:141" s="116" customFormat="1">
      <c r="A48390" s="136"/>
      <c r="CM48390" s="111"/>
      <c r="CQ48390" s="111"/>
      <c r="EF48390"/>
      <c r="EG48390"/>
      <c r="EH48390"/>
      <c r="EI48390"/>
      <c r="EJ48390"/>
      <c r="EK48390"/>
    </row>
    <row r="48391" spans="1:141" s="116" customFormat="1">
      <c r="A48391" s="136"/>
      <c r="CM48391" s="111"/>
      <c r="CQ48391" s="111"/>
      <c r="EF48391"/>
      <c r="EG48391"/>
      <c r="EH48391"/>
      <c r="EI48391"/>
      <c r="EJ48391"/>
      <c r="EK48391"/>
    </row>
    <row r="48392" spans="1:141" s="116" customFormat="1">
      <c r="A48392" s="136"/>
      <c r="CM48392" s="111"/>
      <c r="CQ48392" s="111"/>
      <c r="EF48392"/>
      <c r="EG48392"/>
      <c r="EH48392"/>
      <c r="EI48392"/>
      <c r="EJ48392"/>
      <c r="EK48392"/>
    </row>
    <row r="48393" spans="1:141" s="116" customFormat="1">
      <c r="A48393" s="136"/>
      <c r="CM48393" s="111"/>
      <c r="CQ48393" s="111"/>
      <c r="EF48393"/>
      <c r="EG48393"/>
      <c r="EH48393"/>
      <c r="EI48393"/>
      <c r="EJ48393"/>
      <c r="EK48393"/>
    </row>
    <row r="48394" spans="1:141" s="116" customFormat="1">
      <c r="A48394" s="136"/>
      <c r="CM48394" s="111"/>
      <c r="CQ48394" s="111"/>
      <c r="EF48394"/>
      <c r="EG48394"/>
      <c r="EH48394"/>
      <c r="EI48394"/>
      <c r="EJ48394"/>
      <c r="EK48394"/>
    </row>
    <row r="48395" spans="1:141" s="116" customFormat="1">
      <c r="A48395" s="136"/>
      <c r="CM48395" s="111"/>
      <c r="CQ48395" s="111"/>
      <c r="EF48395"/>
      <c r="EG48395"/>
      <c r="EH48395"/>
      <c r="EI48395"/>
      <c r="EJ48395"/>
      <c r="EK48395"/>
    </row>
    <row r="48396" spans="1:141" s="116" customFormat="1">
      <c r="A48396" s="136"/>
      <c r="CM48396" s="111"/>
      <c r="CQ48396" s="111"/>
      <c r="EF48396"/>
      <c r="EG48396"/>
      <c r="EH48396"/>
      <c r="EI48396"/>
      <c r="EJ48396"/>
      <c r="EK48396"/>
    </row>
    <row r="48397" spans="1:141" s="116" customFormat="1">
      <c r="A48397" s="136"/>
      <c r="CM48397" s="111"/>
      <c r="CQ48397" s="111"/>
      <c r="EF48397"/>
      <c r="EG48397"/>
      <c r="EH48397"/>
      <c r="EI48397"/>
      <c r="EJ48397"/>
      <c r="EK48397"/>
    </row>
    <row r="48398" spans="1:141" s="116" customFormat="1">
      <c r="A48398" s="136"/>
      <c r="CM48398" s="111"/>
      <c r="CQ48398" s="111"/>
      <c r="EF48398"/>
      <c r="EG48398"/>
      <c r="EH48398"/>
      <c r="EI48398"/>
      <c r="EJ48398"/>
      <c r="EK48398"/>
    </row>
    <row r="48399" spans="1:141" s="116" customFormat="1">
      <c r="A48399" s="136"/>
      <c r="CM48399" s="111"/>
      <c r="CQ48399" s="111"/>
      <c r="EF48399"/>
      <c r="EG48399"/>
      <c r="EH48399"/>
      <c r="EI48399"/>
      <c r="EJ48399"/>
      <c r="EK48399"/>
    </row>
    <row r="48400" spans="1:141" s="116" customFormat="1">
      <c r="A48400" s="136"/>
      <c r="CM48400" s="111"/>
      <c r="CQ48400" s="111"/>
      <c r="EF48400"/>
      <c r="EG48400"/>
      <c r="EH48400"/>
      <c r="EI48400"/>
      <c r="EJ48400"/>
      <c r="EK48400"/>
    </row>
    <row r="48401" spans="1:141" s="116" customFormat="1">
      <c r="A48401" s="136"/>
      <c r="CM48401" s="111"/>
      <c r="CQ48401" s="111"/>
      <c r="EF48401"/>
      <c r="EG48401"/>
      <c r="EH48401"/>
      <c r="EI48401"/>
      <c r="EJ48401"/>
      <c r="EK48401"/>
    </row>
    <row r="48402" spans="1:141" s="116" customFormat="1">
      <c r="A48402" s="136"/>
      <c r="CM48402" s="111"/>
      <c r="CQ48402" s="111"/>
      <c r="EF48402"/>
      <c r="EG48402"/>
      <c r="EH48402"/>
      <c r="EI48402"/>
      <c r="EJ48402"/>
      <c r="EK48402"/>
    </row>
    <row r="48403" spans="1:141" s="116" customFormat="1">
      <c r="A48403" s="136"/>
      <c r="CM48403" s="111"/>
      <c r="CQ48403" s="111"/>
      <c r="EF48403"/>
      <c r="EG48403"/>
      <c r="EH48403"/>
      <c r="EI48403"/>
      <c r="EJ48403"/>
      <c r="EK48403"/>
    </row>
    <row r="48404" spans="1:141" s="116" customFormat="1">
      <c r="A48404" s="136"/>
      <c r="CM48404" s="111"/>
      <c r="CQ48404" s="111"/>
      <c r="EF48404"/>
      <c r="EG48404"/>
      <c r="EH48404"/>
      <c r="EI48404"/>
      <c r="EJ48404"/>
      <c r="EK48404"/>
    </row>
    <row r="48405" spans="1:141" s="116" customFormat="1">
      <c r="A48405" s="136"/>
      <c r="CM48405" s="111"/>
      <c r="CQ48405" s="111"/>
      <c r="EF48405"/>
      <c r="EG48405"/>
      <c r="EH48405"/>
      <c r="EI48405"/>
      <c r="EJ48405"/>
      <c r="EK48405"/>
    </row>
    <row r="48406" spans="1:141" s="116" customFormat="1">
      <c r="A48406" s="136"/>
      <c r="CM48406" s="111"/>
      <c r="CQ48406" s="111"/>
      <c r="EF48406"/>
      <c r="EG48406"/>
      <c r="EH48406"/>
      <c r="EI48406"/>
      <c r="EJ48406"/>
      <c r="EK48406"/>
    </row>
    <row r="48407" spans="1:141" s="116" customFormat="1">
      <c r="A48407" s="136"/>
      <c r="CM48407" s="111"/>
      <c r="CQ48407" s="111"/>
      <c r="EF48407"/>
      <c r="EG48407"/>
      <c r="EH48407"/>
      <c r="EI48407"/>
      <c r="EJ48407"/>
      <c r="EK48407"/>
    </row>
    <row r="48408" spans="1:141" s="116" customFormat="1">
      <c r="A48408" s="136"/>
      <c r="CM48408" s="111"/>
      <c r="CQ48408" s="111"/>
      <c r="EF48408"/>
      <c r="EG48408"/>
      <c r="EH48408"/>
      <c r="EI48408"/>
      <c r="EJ48408"/>
      <c r="EK48408"/>
    </row>
    <row r="48409" spans="1:141" s="116" customFormat="1">
      <c r="A48409" s="136"/>
      <c r="CM48409" s="111"/>
      <c r="CQ48409" s="111"/>
      <c r="EF48409"/>
      <c r="EG48409"/>
      <c r="EH48409"/>
      <c r="EI48409"/>
      <c r="EJ48409"/>
      <c r="EK48409"/>
    </row>
    <row r="48410" spans="1:141" s="116" customFormat="1">
      <c r="A48410" s="136"/>
      <c r="CM48410" s="111"/>
      <c r="CQ48410" s="111"/>
      <c r="EF48410"/>
      <c r="EG48410"/>
      <c r="EH48410"/>
      <c r="EI48410"/>
      <c r="EJ48410"/>
      <c r="EK48410"/>
    </row>
    <row r="48411" spans="1:141" s="116" customFormat="1">
      <c r="A48411" s="136"/>
      <c r="CM48411" s="111"/>
      <c r="CQ48411" s="111"/>
      <c r="EF48411"/>
      <c r="EG48411"/>
      <c r="EH48411"/>
      <c r="EI48411"/>
      <c r="EJ48411"/>
      <c r="EK48411"/>
    </row>
    <row r="48412" spans="1:141" s="116" customFormat="1">
      <c r="A48412" s="136"/>
      <c r="CM48412" s="111"/>
      <c r="CQ48412" s="111"/>
      <c r="EF48412"/>
      <c r="EG48412"/>
      <c r="EH48412"/>
      <c r="EI48412"/>
      <c r="EJ48412"/>
      <c r="EK48412"/>
    </row>
    <row r="48413" spans="1:141" s="116" customFormat="1">
      <c r="A48413" s="136"/>
      <c r="CM48413" s="111"/>
      <c r="CQ48413" s="111"/>
      <c r="EF48413"/>
      <c r="EG48413"/>
      <c r="EH48413"/>
      <c r="EI48413"/>
      <c r="EJ48413"/>
      <c r="EK48413"/>
    </row>
    <row r="48414" spans="1:141" s="116" customFormat="1">
      <c r="A48414" s="136"/>
      <c r="CM48414" s="111"/>
      <c r="CQ48414" s="111"/>
      <c r="EF48414"/>
      <c r="EG48414"/>
      <c r="EH48414"/>
      <c r="EI48414"/>
      <c r="EJ48414"/>
      <c r="EK48414"/>
    </row>
    <row r="48415" spans="1:141" s="116" customFormat="1">
      <c r="A48415" s="136"/>
      <c r="CM48415" s="111"/>
      <c r="CQ48415" s="111"/>
      <c r="EF48415"/>
      <c r="EG48415"/>
      <c r="EH48415"/>
      <c r="EI48415"/>
      <c r="EJ48415"/>
      <c r="EK48415"/>
    </row>
    <row r="48416" spans="1:141" s="116" customFormat="1">
      <c r="A48416" s="136"/>
      <c r="CM48416" s="111"/>
      <c r="CQ48416" s="111"/>
      <c r="EF48416"/>
      <c r="EG48416"/>
      <c r="EH48416"/>
      <c r="EI48416"/>
      <c r="EJ48416"/>
      <c r="EK48416"/>
    </row>
    <row r="48417" spans="1:141" s="116" customFormat="1">
      <c r="A48417" s="136"/>
      <c r="CM48417" s="111"/>
      <c r="CQ48417" s="111"/>
      <c r="EF48417"/>
      <c r="EG48417"/>
      <c r="EH48417"/>
      <c r="EI48417"/>
      <c r="EJ48417"/>
      <c r="EK48417"/>
    </row>
    <row r="48418" spans="1:141" s="116" customFormat="1">
      <c r="A48418" s="136"/>
      <c r="CM48418" s="111"/>
      <c r="CQ48418" s="111"/>
      <c r="EF48418"/>
      <c r="EG48418"/>
      <c r="EH48418"/>
      <c r="EI48418"/>
      <c r="EJ48418"/>
      <c r="EK48418"/>
    </row>
    <row r="48419" spans="1:141" s="116" customFormat="1">
      <c r="A48419" s="136"/>
      <c r="CM48419" s="111"/>
      <c r="CQ48419" s="111"/>
      <c r="EF48419"/>
      <c r="EG48419"/>
      <c r="EH48419"/>
      <c r="EI48419"/>
      <c r="EJ48419"/>
      <c r="EK48419"/>
    </row>
    <row r="48420" spans="1:141" s="116" customFormat="1">
      <c r="A48420" s="136"/>
      <c r="CM48420" s="111"/>
      <c r="CQ48420" s="111"/>
      <c r="EF48420"/>
      <c r="EG48420"/>
      <c r="EH48420"/>
      <c r="EI48420"/>
      <c r="EJ48420"/>
      <c r="EK48420"/>
    </row>
    <row r="48421" spans="1:141" s="116" customFormat="1">
      <c r="A48421" s="136"/>
      <c r="CM48421" s="111"/>
      <c r="CQ48421" s="111"/>
      <c r="EF48421"/>
      <c r="EG48421"/>
      <c r="EH48421"/>
      <c r="EI48421"/>
      <c r="EJ48421"/>
      <c r="EK48421"/>
    </row>
    <row r="48422" spans="1:141" s="116" customFormat="1">
      <c r="A48422" s="136"/>
      <c r="CM48422" s="111"/>
      <c r="CQ48422" s="111"/>
      <c r="EF48422"/>
      <c r="EG48422"/>
      <c r="EH48422"/>
      <c r="EI48422"/>
      <c r="EJ48422"/>
      <c r="EK48422"/>
    </row>
    <row r="48423" spans="1:141" s="116" customFormat="1">
      <c r="A48423" s="136"/>
      <c r="CM48423" s="111"/>
      <c r="CQ48423" s="111"/>
      <c r="EF48423"/>
      <c r="EG48423"/>
      <c r="EH48423"/>
      <c r="EI48423"/>
      <c r="EJ48423"/>
      <c r="EK48423"/>
    </row>
    <row r="48424" spans="1:141" s="116" customFormat="1">
      <c r="A48424" s="136"/>
      <c r="CM48424" s="111"/>
      <c r="CQ48424" s="111"/>
      <c r="EF48424"/>
      <c r="EG48424"/>
      <c r="EH48424"/>
      <c r="EI48424"/>
      <c r="EJ48424"/>
      <c r="EK48424"/>
    </row>
    <row r="48425" spans="1:141" s="116" customFormat="1">
      <c r="A48425" s="136"/>
      <c r="CM48425" s="111"/>
      <c r="CQ48425" s="111"/>
      <c r="EF48425"/>
      <c r="EG48425"/>
      <c r="EH48425"/>
      <c r="EI48425"/>
      <c r="EJ48425"/>
      <c r="EK48425"/>
    </row>
    <row r="48426" spans="1:141" s="116" customFormat="1">
      <c r="A48426" s="136"/>
      <c r="CM48426" s="111"/>
      <c r="CQ48426" s="111"/>
      <c r="EF48426"/>
      <c r="EG48426"/>
      <c r="EH48426"/>
      <c r="EI48426"/>
      <c r="EJ48426"/>
      <c r="EK48426"/>
    </row>
    <row r="48427" spans="1:141" s="116" customFormat="1">
      <c r="A48427" s="136"/>
      <c r="CM48427" s="111"/>
      <c r="CQ48427" s="111"/>
      <c r="EF48427"/>
      <c r="EG48427"/>
      <c r="EH48427"/>
      <c r="EI48427"/>
      <c r="EJ48427"/>
      <c r="EK48427"/>
    </row>
    <row r="48428" spans="1:141" s="116" customFormat="1">
      <c r="A48428" s="136"/>
      <c r="CM48428" s="111"/>
      <c r="CQ48428" s="111"/>
      <c r="EF48428"/>
      <c r="EG48428"/>
      <c r="EH48428"/>
      <c r="EI48428"/>
      <c r="EJ48428"/>
      <c r="EK48428"/>
    </row>
    <row r="48429" spans="1:141" s="116" customFormat="1">
      <c r="A48429" s="136"/>
      <c r="CM48429" s="111"/>
      <c r="CQ48429" s="111"/>
      <c r="EF48429"/>
      <c r="EG48429"/>
      <c r="EH48429"/>
      <c r="EI48429"/>
      <c r="EJ48429"/>
      <c r="EK48429"/>
    </row>
    <row r="48430" spans="1:141" s="116" customFormat="1">
      <c r="A48430" s="136"/>
      <c r="CM48430" s="111"/>
      <c r="CQ48430" s="111"/>
      <c r="EF48430"/>
      <c r="EG48430"/>
      <c r="EH48430"/>
      <c r="EI48430"/>
      <c r="EJ48430"/>
      <c r="EK48430"/>
    </row>
    <row r="48431" spans="1:141" s="116" customFormat="1">
      <c r="A48431" s="136"/>
      <c r="CM48431" s="111"/>
      <c r="CQ48431" s="111"/>
      <c r="EF48431"/>
      <c r="EG48431"/>
      <c r="EH48431"/>
      <c r="EI48431"/>
      <c r="EJ48431"/>
      <c r="EK48431"/>
    </row>
    <row r="48432" spans="1:141" s="116" customFormat="1">
      <c r="A48432" s="136"/>
      <c r="CM48432" s="111"/>
      <c r="CQ48432" s="111"/>
      <c r="EF48432"/>
      <c r="EG48432"/>
      <c r="EH48432"/>
      <c r="EI48432"/>
      <c r="EJ48432"/>
      <c r="EK48432"/>
    </row>
    <row r="48433" spans="1:141" s="116" customFormat="1">
      <c r="A48433" s="136"/>
      <c r="CM48433" s="111"/>
      <c r="CQ48433" s="111"/>
      <c r="EF48433"/>
      <c r="EG48433"/>
      <c r="EH48433"/>
      <c r="EI48433"/>
      <c r="EJ48433"/>
      <c r="EK48433"/>
    </row>
    <row r="48434" spans="1:141" s="116" customFormat="1">
      <c r="A48434" s="136"/>
      <c r="CM48434" s="111"/>
      <c r="CQ48434" s="111"/>
      <c r="EF48434"/>
      <c r="EG48434"/>
      <c r="EH48434"/>
      <c r="EI48434"/>
      <c r="EJ48434"/>
      <c r="EK48434"/>
    </row>
    <row r="48435" spans="1:141" s="116" customFormat="1">
      <c r="A48435" s="136"/>
      <c r="CM48435" s="111"/>
      <c r="CQ48435" s="111"/>
      <c r="EF48435"/>
      <c r="EG48435"/>
      <c r="EH48435"/>
      <c r="EI48435"/>
      <c r="EJ48435"/>
      <c r="EK48435"/>
    </row>
    <row r="48436" spans="1:141" s="116" customFormat="1">
      <c r="A48436" s="136"/>
      <c r="CM48436" s="111"/>
      <c r="CQ48436" s="111"/>
      <c r="EF48436"/>
      <c r="EG48436"/>
      <c r="EH48436"/>
      <c r="EI48436"/>
      <c r="EJ48436"/>
      <c r="EK48436"/>
    </row>
    <row r="48437" spans="1:141" s="116" customFormat="1">
      <c r="A48437" s="136"/>
      <c r="CM48437" s="111"/>
      <c r="CQ48437" s="111"/>
      <c r="EF48437"/>
      <c r="EG48437"/>
      <c r="EH48437"/>
      <c r="EI48437"/>
      <c r="EJ48437"/>
      <c r="EK48437"/>
    </row>
    <row r="48438" spans="1:141" s="116" customFormat="1">
      <c r="A48438" s="136"/>
      <c r="CM48438" s="111"/>
      <c r="CQ48438" s="111"/>
      <c r="EF48438"/>
      <c r="EG48438"/>
      <c r="EH48438"/>
      <c r="EI48438"/>
      <c r="EJ48438"/>
      <c r="EK48438"/>
    </row>
    <row r="48439" spans="1:141" s="116" customFormat="1">
      <c r="A48439" s="136"/>
      <c r="CM48439" s="111"/>
      <c r="CQ48439" s="111"/>
      <c r="EF48439"/>
      <c r="EG48439"/>
      <c r="EH48439"/>
      <c r="EI48439"/>
      <c r="EJ48439"/>
      <c r="EK48439"/>
    </row>
    <row r="48440" spans="1:141" s="116" customFormat="1">
      <c r="A48440" s="136"/>
      <c r="CM48440" s="111"/>
      <c r="CQ48440" s="111"/>
      <c r="EF48440"/>
      <c r="EG48440"/>
      <c r="EH48440"/>
      <c r="EI48440"/>
      <c r="EJ48440"/>
      <c r="EK48440"/>
    </row>
    <row r="48441" spans="1:141" s="116" customFormat="1">
      <c r="A48441" s="136"/>
      <c r="CM48441" s="111"/>
      <c r="CQ48441" s="111"/>
      <c r="EF48441"/>
      <c r="EG48441"/>
      <c r="EH48441"/>
      <c r="EI48441"/>
      <c r="EJ48441"/>
      <c r="EK48441"/>
    </row>
    <row r="48442" spans="1:141" s="116" customFormat="1">
      <c r="A48442" s="136"/>
      <c r="CM48442" s="111"/>
      <c r="CQ48442" s="111"/>
      <c r="EF48442"/>
      <c r="EG48442"/>
      <c r="EH48442"/>
      <c r="EI48442"/>
      <c r="EJ48442"/>
      <c r="EK48442"/>
    </row>
    <row r="48443" spans="1:141" s="116" customFormat="1">
      <c r="A48443" s="136"/>
      <c r="CM48443" s="111"/>
      <c r="CQ48443" s="111"/>
      <c r="EF48443"/>
      <c r="EG48443"/>
      <c r="EH48443"/>
      <c r="EI48443"/>
      <c r="EJ48443"/>
      <c r="EK48443"/>
    </row>
    <row r="48444" spans="1:141" s="116" customFormat="1">
      <c r="A48444" s="136"/>
      <c r="CM48444" s="111"/>
      <c r="CQ48444" s="111"/>
      <c r="EF48444"/>
      <c r="EG48444"/>
      <c r="EH48444"/>
      <c r="EI48444"/>
      <c r="EJ48444"/>
      <c r="EK48444"/>
    </row>
    <row r="48445" spans="1:141" s="116" customFormat="1">
      <c r="A48445" s="136"/>
      <c r="CM48445" s="111"/>
      <c r="CQ48445" s="111"/>
      <c r="EF48445"/>
      <c r="EG48445"/>
      <c r="EH48445"/>
      <c r="EI48445"/>
      <c r="EJ48445"/>
      <c r="EK48445"/>
    </row>
    <row r="48446" spans="1:141" s="116" customFormat="1">
      <c r="A48446" s="136"/>
      <c r="CM48446" s="111"/>
      <c r="CQ48446" s="111"/>
      <c r="EF48446"/>
      <c r="EG48446"/>
      <c r="EH48446"/>
      <c r="EI48446"/>
      <c r="EJ48446"/>
      <c r="EK48446"/>
    </row>
    <row r="48447" spans="1:141" s="116" customFormat="1">
      <c r="A48447" s="136"/>
      <c r="CM48447" s="111"/>
      <c r="CQ48447" s="111"/>
      <c r="EF48447"/>
      <c r="EG48447"/>
      <c r="EH48447"/>
      <c r="EI48447"/>
      <c r="EJ48447"/>
      <c r="EK48447"/>
    </row>
    <row r="48448" spans="1:141" s="116" customFormat="1">
      <c r="A48448" s="136"/>
      <c r="CM48448" s="111"/>
      <c r="CQ48448" s="111"/>
      <c r="EF48448"/>
      <c r="EG48448"/>
      <c r="EH48448"/>
      <c r="EI48448"/>
      <c r="EJ48448"/>
      <c r="EK48448"/>
    </row>
    <row r="48449" spans="1:141" s="116" customFormat="1">
      <c r="A48449" s="136"/>
      <c r="CM48449" s="111"/>
      <c r="CQ48449" s="111"/>
      <c r="EF48449"/>
      <c r="EG48449"/>
      <c r="EH48449"/>
      <c r="EI48449"/>
      <c r="EJ48449"/>
      <c r="EK48449"/>
    </row>
    <row r="48450" spans="1:141" s="116" customFormat="1">
      <c r="A48450" s="136"/>
      <c r="CM48450" s="111"/>
      <c r="CQ48450" s="111"/>
      <c r="EF48450"/>
      <c r="EG48450"/>
      <c r="EH48450"/>
      <c r="EI48450"/>
      <c r="EJ48450"/>
      <c r="EK48450"/>
    </row>
    <row r="48451" spans="1:141" s="116" customFormat="1">
      <c r="A48451" s="136"/>
      <c r="CM48451" s="111"/>
      <c r="CQ48451" s="111"/>
      <c r="EF48451"/>
      <c r="EG48451"/>
      <c r="EH48451"/>
      <c r="EI48451"/>
      <c r="EJ48451"/>
      <c r="EK48451"/>
    </row>
    <row r="48452" spans="1:141" s="116" customFormat="1">
      <c r="A48452" s="136"/>
      <c r="CM48452" s="111"/>
      <c r="CQ48452" s="111"/>
      <c r="EF48452"/>
      <c r="EG48452"/>
      <c r="EH48452"/>
      <c r="EI48452"/>
      <c r="EJ48452"/>
      <c r="EK48452"/>
    </row>
    <row r="48453" spans="1:141" s="116" customFormat="1">
      <c r="A48453" s="136"/>
      <c r="CM48453" s="111"/>
      <c r="CQ48453" s="111"/>
      <c r="EF48453"/>
      <c r="EG48453"/>
      <c r="EH48453"/>
      <c r="EI48453"/>
      <c r="EJ48453"/>
      <c r="EK48453"/>
    </row>
    <row r="48454" spans="1:141" s="116" customFormat="1">
      <c r="A48454" s="136"/>
      <c r="CM48454" s="111"/>
      <c r="CQ48454" s="111"/>
      <c r="EF48454"/>
      <c r="EG48454"/>
      <c r="EH48454"/>
      <c r="EI48454"/>
      <c r="EJ48454"/>
      <c r="EK48454"/>
    </row>
    <row r="48455" spans="1:141" s="116" customFormat="1">
      <c r="A48455" s="136"/>
      <c r="CM48455" s="111"/>
      <c r="CQ48455" s="111"/>
      <c r="EF48455"/>
      <c r="EG48455"/>
      <c r="EH48455"/>
      <c r="EI48455"/>
      <c r="EJ48455"/>
      <c r="EK48455"/>
    </row>
    <row r="48456" spans="1:141" s="116" customFormat="1">
      <c r="A48456" s="136"/>
      <c r="CM48456" s="111"/>
      <c r="CQ48456" s="111"/>
      <c r="EF48456"/>
      <c r="EG48456"/>
      <c r="EH48456"/>
      <c r="EI48456"/>
      <c r="EJ48456"/>
      <c r="EK48456"/>
    </row>
    <row r="48457" spans="1:141" s="116" customFormat="1">
      <c r="A48457" s="136"/>
      <c r="CM48457" s="111"/>
      <c r="CQ48457" s="111"/>
      <c r="EF48457"/>
      <c r="EG48457"/>
      <c r="EH48457"/>
      <c r="EI48457"/>
      <c r="EJ48457"/>
      <c r="EK48457"/>
    </row>
    <row r="48458" spans="1:141" s="116" customFormat="1">
      <c r="A48458" s="136"/>
      <c r="CM48458" s="111"/>
      <c r="CQ48458" s="111"/>
      <c r="EF48458"/>
      <c r="EG48458"/>
      <c r="EH48458"/>
      <c r="EI48458"/>
      <c r="EJ48458"/>
      <c r="EK48458"/>
    </row>
    <row r="48459" spans="1:141" s="116" customFormat="1">
      <c r="A48459" s="136"/>
      <c r="CM48459" s="111"/>
      <c r="CQ48459" s="111"/>
      <c r="EF48459"/>
      <c r="EG48459"/>
      <c r="EH48459"/>
      <c r="EI48459"/>
      <c r="EJ48459"/>
      <c r="EK48459"/>
    </row>
    <row r="48460" spans="1:141" s="116" customFormat="1">
      <c r="A48460" s="136"/>
      <c r="CM48460" s="111"/>
      <c r="CQ48460" s="111"/>
      <c r="EF48460"/>
      <c r="EG48460"/>
      <c r="EH48460"/>
      <c r="EI48460"/>
      <c r="EJ48460"/>
      <c r="EK48460"/>
    </row>
    <row r="48461" spans="1:141" s="116" customFormat="1">
      <c r="A48461" s="136"/>
      <c r="CM48461" s="111"/>
      <c r="CQ48461" s="111"/>
      <c r="EF48461"/>
      <c r="EG48461"/>
      <c r="EH48461"/>
      <c r="EI48461"/>
      <c r="EJ48461"/>
      <c r="EK48461"/>
    </row>
    <row r="48462" spans="1:141" s="116" customFormat="1">
      <c r="A48462" s="136"/>
      <c r="CM48462" s="111"/>
      <c r="CQ48462" s="111"/>
      <c r="EF48462"/>
      <c r="EG48462"/>
      <c r="EH48462"/>
      <c r="EI48462"/>
      <c r="EJ48462"/>
      <c r="EK48462"/>
    </row>
    <row r="48463" spans="1:141" s="116" customFormat="1">
      <c r="A48463" s="136"/>
      <c r="CM48463" s="111"/>
      <c r="CQ48463" s="111"/>
      <c r="EF48463"/>
      <c r="EG48463"/>
      <c r="EH48463"/>
      <c r="EI48463"/>
      <c r="EJ48463"/>
      <c r="EK48463"/>
    </row>
    <row r="48464" spans="1:141" s="116" customFormat="1">
      <c r="A48464" s="136"/>
      <c r="CM48464" s="111"/>
      <c r="CQ48464" s="111"/>
      <c r="EF48464"/>
      <c r="EG48464"/>
      <c r="EH48464"/>
      <c r="EI48464"/>
      <c r="EJ48464"/>
      <c r="EK48464"/>
    </row>
    <row r="48465" spans="1:141" s="116" customFormat="1">
      <c r="A48465" s="136"/>
      <c r="CM48465" s="111"/>
      <c r="CQ48465" s="111"/>
      <c r="EF48465"/>
      <c r="EG48465"/>
      <c r="EH48465"/>
      <c r="EI48465"/>
      <c r="EJ48465"/>
      <c r="EK48465"/>
    </row>
    <row r="48466" spans="1:141" s="116" customFormat="1">
      <c r="A48466" s="136"/>
      <c r="CM48466" s="111"/>
      <c r="CQ48466" s="111"/>
      <c r="EF48466"/>
      <c r="EG48466"/>
      <c r="EH48466"/>
      <c r="EI48466"/>
      <c r="EJ48466"/>
      <c r="EK48466"/>
    </row>
    <row r="48467" spans="1:141" s="116" customFormat="1">
      <c r="A48467" s="136"/>
      <c r="CM48467" s="111"/>
      <c r="CQ48467" s="111"/>
      <c r="EF48467"/>
      <c r="EG48467"/>
      <c r="EH48467"/>
      <c r="EI48467"/>
      <c r="EJ48467"/>
      <c r="EK48467"/>
    </row>
    <row r="48468" spans="1:141" s="116" customFormat="1">
      <c r="A48468" s="136"/>
      <c r="CM48468" s="111"/>
      <c r="CQ48468" s="111"/>
      <c r="EF48468"/>
      <c r="EG48468"/>
      <c r="EH48468"/>
      <c r="EI48468"/>
      <c r="EJ48468"/>
      <c r="EK48468"/>
    </row>
    <row r="48469" spans="1:141" s="116" customFormat="1">
      <c r="A48469" s="136"/>
      <c r="CM48469" s="111"/>
      <c r="CQ48469" s="111"/>
      <c r="EF48469"/>
      <c r="EG48469"/>
      <c r="EH48469"/>
      <c r="EI48469"/>
      <c r="EJ48469"/>
      <c r="EK48469"/>
    </row>
    <row r="48470" spans="1:141" s="116" customFormat="1">
      <c r="A48470" s="136"/>
      <c r="CM48470" s="111"/>
      <c r="CQ48470" s="111"/>
      <c r="EF48470"/>
      <c r="EG48470"/>
      <c r="EH48470"/>
      <c r="EI48470"/>
      <c r="EJ48470"/>
      <c r="EK48470"/>
    </row>
    <row r="48471" spans="1:141" s="116" customFormat="1">
      <c r="A48471" s="136"/>
      <c r="CM48471" s="111"/>
      <c r="CQ48471" s="111"/>
      <c r="EF48471"/>
      <c r="EG48471"/>
      <c r="EH48471"/>
      <c r="EI48471"/>
      <c r="EJ48471"/>
      <c r="EK48471"/>
    </row>
    <row r="48472" spans="1:141" s="116" customFormat="1">
      <c r="A48472" s="136"/>
      <c r="CM48472" s="111"/>
      <c r="CQ48472" s="111"/>
      <c r="EF48472"/>
      <c r="EG48472"/>
      <c r="EH48472"/>
      <c r="EI48472"/>
      <c r="EJ48472"/>
      <c r="EK48472"/>
    </row>
    <row r="48473" spans="1:141" s="116" customFormat="1">
      <c r="A48473" s="136"/>
      <c r="CM48473" s="111"/>
      <c r="CQ48473" s="111"/>
      <c r="EF48473"/>
      <c r="EG48473"/>
      <c r="EH48473"/>
      <c r="EI48473"/>
      <c r="EJ48473"/>
      <c r="EK48473"/>
    </row>
    <row r="48474" spans="1:141" s="116" customFormat="1">
      <c r="A48474" s="136"/>
      <c r="CM48474" s="111"/>
      <c r="CQ48474" s="111"/>
      <c r="EF48474"/>
      <c r="EG48474"/>
      <c r="EH48474"/>
      <c r="EI48474"/>
      <c r="EJ48474"/>
      <c r="EK48474"/>
    </row>
    <row r="48475" spans="1:141" s="116" customFormat="1">
      <c r="A48475" s="136"/>
      <c r="CM48475" s="111"/>
      <c r="CQ48475" s="111"/>
      <c r="EF48475"/>
      <c r="EG48475"/>
      <c r="EH48475"/>
      <c r="EI48475"/>
      <c r="EJ48475"/>
      <c r="EK48475"/>
    </row>
    <row r="48476" spans="1:141" s="116" customFormat="1">
      <c r="A48476" s="136"/>
      <c r="CM48476" s="111"/>
      <c r="CQ48476" s="111"/>
      <c r="EF48476"/>
      <c r="EG48476"/>
      <c r="EH48476"/>
      <c r="EI48476"/>
      <c r="EJ48476"/>
      <c r="EK48476"/>
    </row>
    <row r="48477" spans="1:141" s="116" customFormat="1">
      <c r="A48477" s="136"/>
      <c r="CM48477" s="111"/>
      <c r="CQ48477" s="111"/>
      <c r="EF48477"/>
      <c r="EG48477"/>
      <c r="EH48477"/>
      <c r="EI48477"/>
      <c r="EJ48477"/>
      <c r="EK48477"/>
    </row>
    <row r="48478" spans="1:141" s="116" customFormat="1">
      <c r="A48478" s="136"/>
      <c r="CM48478" s="111"/>
      <c r="CQ48478" s="111"/>
      <c r="EF48478"/>
      <c r="EG48478"/>
      <c r="EH48478"/>
      <c r="EI48478"/>
      <c r="EJ48478"/>
      <c r="EK48478"/>
    </row>
    <row r="48479" spans="1:141" s="116" customFormat="1">
      <c r="A48479" s="136"/>
      <c r="CM48479" s="111"/>
      <c r="CQ48479" s="111"/>
      <c r="EF48479"/>
      <c r="EG48479"/>
      <c r="EH48479"/>
      <c r="EI48479"/>
      <c r="EJ48479"/>
      <c r="EK48479"/>
    </row>
    <row r="48480" spans="1:141" s="116" customFormat="1">
      <c r="A48480" s="136"/>
      <c r="CM48480" s="111"/>
      <c r="CQ48480" s="111"/>
      <c r="EF48480"/>
      <c r="EG48480"/>
      <c r="EH48480"/>
      <c r="EI48480"/>
      <c r="EJ48480"/>
      <c r="EK48480"/>
    </row>
    <row r="48481" spans="1:141" s="116" customFormat="1">
      <c r="A48481" s="136"/>
      <c r="CM48481" s="111"/>
      <c r="CQ48481" s="111"/>
      <c r="EF48481"/>
      <c r="EG48481"/>
      <c r="EH48481"/>
      <c r="EI48481"/>
      <c r="EJ48481"/>
      <c r="EK48481"/>
    </row>
    <row r="48482" spans="1:141" s="116" customFormat="1">
      <c r="A48482" s="136"/>
      <c r="CM48482" s="111"/>
      <c r="CQ48482" s="111"/>
      <c r="EF48482"/>
      <c r="EG48482"/>
      <c r="EH48482"/>
      <c r="EI48482"/>
      <c r="EJ48482"/>
      <c r="EK48482"/>
    </row>
    <row r="48483" spans="1:141" s="116" customFormat="1">
      <c r="A48483" s="136"/>
      <c r="CM48483" s="111"/>
      <c r="CQ48483" s="111"/>
      <c r="EF48483"/>
      <c r="EG48483"/>
      <c r="EH48483"/>
      <c r="EI48483"/>
      <c r="EJ48483"/>
      <c r="EK48483"/>
    </row>
    <row r="48484" spans="1:141" s="116" customFormat="1">
      <c r="A48484" s="136"/>
      <c r="CM48484" s="111"/>
      <c r="CQ48484" s="111"/>
      <c r="EF48484"/>
      <c r="EG48484"/>
      <c r="EH48484"/>
      <c r="EI48484"/>
      <c r="EJ48484"/>
      <c r="EK48484"/>
    </row>
    <row r="48485" spans="1:141" s="116" customFormat="1">
      <c r="A48485" s="136"/>
      <c r="CM48485" s="111"/>
      <c r="CQ48485" s="111"/>
      <c r="EF48485"/>
      <c r="EG48485"/>
      <c r="EH48485"/>
      <c r="EI48485"/>
      <c r="EJ48485"/>
      <c r="EK48485"/>
    </row>
    <row r="48486" spans="1:141" s="116" customFormat="1">
      <c r="A48486" s="136"/>
      <c r="CM48486" s="111"/>
      <c r="CQ48486" s="111"/>
      <c r="EF48486"/>
      <c r="EG48486"/>
      <c r="EH48486"/>
      <c r="EI48486"/>
      <c r="EJ48486"/>
      <c r="EK48486"/>
    </row>
    <row r="48487" spans="1:141" s="116" customFormat="1">
      <c r="A48487" s="136"/>
      <c r="CM48487" s="111"/>
      <c r="CQ48487" s="111"/>
      <c r="EF48487"/>
      <c r="EG48487"/>
      <c r="EH48487"/>
      <c r="EI48487"/>
      <c r="EJ48487"/>
      <c r="EK48487"/>
    </row>
    <row r="48488" spans="1:141" s="116" customFormat="1">
      <c r="A48488" s="136"/>
      <c r="CM48488" s="111"/>
      <c r="CQ48488" s="111"/>
      <c r="EF48488"/>
      <c r="EG48488"/>
      <c r="EH48488"/>
      <c r="EI48488"/>
      <c r="EJ48488"/>
      <c r="EK48488"/>
    </row>
    <row r="48489" spans="1:141" s="116" customFormat="1">
      <c r="A48489" s="136"/>
      <c r="CM48489" s="111"/>
      <c r="CQ48489" s="111"/>
      <c r="EF48489"/>
      <c r="EG48489"/>
      <c r="EH48489"/>
      <c r="EI48489"/>
      <c r="EJ48489"/>
      <c r="EK48489"/>
    </row>
    <row r="48490" spans="1:141" s="116" customFormat="1">
      <c r="A48490" s="136"/>
      <c r="CM48490" s="111"/>
      <c r="CQ48490" s="111"/>
      <c r="EF48490"/>
      <c r="EG48490"/>
      <c r="EH48490"/>
      <c r="EI48490"/>
      <c r="EJ48490"/>
      <c r="EK48490"/>
    </row>
    <row r="48491" spans="1:141" s="116" customFormat="1">
      <c r="A48491" s="136"/>
      <c r="CM48491" s="111"/>
      <c r="CQ48491" s="111"/>
      <c r="EF48491"/>
      <c r="EG48491"/>
      <c r="EH48491"/>
      <c r="EI48491"/>
      <c r="EJ48491"/>
      <c r="EK48491"/>
    </row>
    <row r="48492" spans="1:141" s="116" customFormat="1">
      <c r="A48492" s="136"/>
      <c r="CM48492" s="111"/>
      <c r="CQ48492" s="111"/>
      <c r="EF48492"/>
      <c r="EG48492"/>
      <c r="EH48492"/>
      <c r="EI48492"/>
      <c r="EJ48492"/>
      <c r="EK48492"/>
    </row>
    <row r="48493" spans="1:141" s="116" customFormat="1">
      <c r="A48493" s="136"/>
      <c r="CM48493" s="111"/>
      <c r="CQ48493" s="111"/>
      <c r="EF48493"/>
      <c r="EG48493"/>
      <c r="EH48493"/>
      <c r="EI48493"/>
      <c r="EJ48493"/>
      <c r="EK48493"/>
    </row>
    <row r="48494" spans="1:141" s="116" customFormat="1">
      <c r="A48494" s="136"/>
      <c r="CM48494" s="111"/>
      <c r="CQ48494" s="111"/>
      <c r="EF48494"/>
      <c r="EG48494"/>
      <c r="EH48494"/>
      <c r="EI48494"/>
      <c r="EJ48494"/>
      <c r="EK48494"/>
    </row>
    <row r="48495" spans="1:141" s="116" customFormat="1">
      <c r="A48495" s="136"/>
      <c r="CM48495" s="111"/>
      <c r="CQ48495" s="111"/>
      <c r="EF48495"/>
      <c r="EG48495"/>
      <c r="EH48495"/>
      <c r="EI48495"/>
      <c r="EJ48495"/>
      <c r="EK48495"/>
    </row>
    <row r="48496" spans="1:141" s="116" customFormat="1">
      <c r="A48496" s="136"/>
      <c r="CM48496" s="111"/>
      <c r="CQ48496" s="111"/>
      <c r="EF48496"/>
      <c r="EG48496"/>
      <c r="EH48496"/>
      <c r="EI48496"/>
      <c r="EJ48496"/>
      <c r="EK48496"/>
    </row>
    <row r="48497" spans="1:141" s="116" customFormat="1">
      <c r="A48497" s="136"/>
      <c r="CM48497" s="111"/>
      <c r="CQ48497" s="111"/>
      <c r="EF48497"/>
      <c r="EG48497"/>
      <c r="EH48497"/>
      <c r="EI48497"/>
      <c r="EJ48497"/>
      <c r="EK48497"/>
    </row>
    <row r="48498" spans="1:141" s="116" customFormat="1">
      <c r="A48498" s="136"/>
      <c r="CM48498" s="111"/>
      <c r="CQ48498" s="111"/>
      <c r="EF48498"/>
      <c r="EG48498"/>
      <c r="EH48498"/>
      <c r="EI48498"/>
      <c r="EJ48498"/>
      <c r="EK48498"/>
    </row>
    <row r="48499" spans="1:141" s="116" customFormat="1">
      <c r="A48499" s="136"/>
      <c r="CM48499" s="111"/>
      <c r="CQ48499" s="111"/>
      <c r="EF48499"/>
      <c r="EG48499"/>
      <c r="EH48499"/>
      <c r="EI48499"/>
      <c r="EJ48499"/>
      <c r="EK48499"/>
    </row>
    <row r="48500" spans="1:141" s="116" customFormat="1">
      <c r="A48500" s="136"/>
      <c r="CM48500" s="111"/>
      <c r="CQ48500" s="111"/>
      <c r="EF48500"/>
      <c r="EG48500"/>
      <c r="EH48500"/>
      <c r="EI48500"/>
      <c r="EJ48500"/>
      <c r="EK48500"/>
    </row>
    <row r="48501" spans="1:141" s="116" customFormat="1">
      <c r="A48501" s="136"/>
      <c r="CM48501" s="111"/>
      <c r="CQ48501" s="111"/>
      <c r="EF48501"/>
      <c r="EG48501"/>
      <c r="EH48501"/>
      <c r="EI48501"/>
      <c r="EJ48501"/>
      <c r="EK48501"/>
    </row>
    <row r="48502" spans="1:141" s="116" customFormat="1">
      <c r="A48502" s="136"/>
      <c r="CM48502" s="111"/>
      <c r="CQ48502" s="111"/>
      <c r="EF48502"/>
      <c r="EG48502"/>
      <c r="EH48502"/>
      <c r="EI48502"/>
      <c r="EJ48502"/>
      <c r="EK48502"/>
    </row>
    <row r="48503" spans="1:141" s="116" customFormat="1">
      <c r="A48503" s="136"/>
      <c r="CM48503" s="111"/>
      <c r="CQ48503" s="111"/>
      <c r="EF48503"/>
      <c r="EG48503"/>
      <c r="EH48503"/>
      <c r="EI48503"/>
      <c r="EJ48503"/>
      <c r="EK48503"/>
    </row>
    <row r="48504" spans="1:141" s="116" customFormat="1">
      <c r="A48504" s="136"/>
      <c r="CM48504" s="111"/>
      <c r="CQ48504" s="111"/>
      <c r="EF48504"/>
      <c r="EG48504"/>
      <c r="EH48504"/>
      <c r="EI48504"/>
      <c r="EJ48504"/>
      <c r="EK48504"/>
    </row>
    <row r="48505" spans="1:141" s="116" customFormat="1">
      <c r="A48505" s="136"/>
      <c r="CM48505" s="111"/>
      <c r="CQ48505" s="111"/>
      <c r="EF48505"/>
      <c r="EG48505"/>
      <c r="EH48505"/>
      <c r="EI48505"/>
      <c r="EJ48505"/>
      <c r="EK48505"/>
    </row>
    <row r="48506" spans="1:141" s="116" customFormat="1">
      <c r="A48506" s="136"/>
      <c r="CM48506" s="111"/>
      <c r="CQ48506" s="111"/>
      <c r="EF48506"/>
      <c r="EG48506"/>
      <c r="EH48506"/>
      <c r="EI48506"/>
      <c r="EJ48506"/>
      <c r="EK48506"/>
    </row>
    <row r="48507" spans="1:141" s="116" customFormat="1">
      <c r="A48507" s="136"/>
      <c r="CM48507" s="111"/>
      <c r="CQ48507" s="111"/>
      <c r="EF48507"/>
      <c r="EG48507"/>
      <c r="EH48507"/>
      <c r="EI48507"/>
      <c r="EJ48507"/>
      <c r="EK48507"/>
    </row>
    <row r="48508" spans="1:141" s="116" customFormat="1">
      <c r="A48508" s="136"/>
      <c r="CM48508" s="111"/>
      <c r="CQ48508" s="111"/>
      <c r="EF48508"/>
      <c r="EG48508"/>
      <c r="EH48508"/>
      <c r="EI48508"/>
      <c r="EJ48508"/>
      <c r="EK48508"/>
    </row>
    <row r="48509" spans="1:141" s="116" customFormat="1">
      <c r="A48509" s="136"/>
      <c r="CM48509" s="111"/>
      <c r="CQ48509" s="111"/>
      <c r="EF48509"/>
      <c r="EG48509"/>
      <c r="EH48509"/>
      <c r="EI48509"/>
      <c r="EJ48509"/>
      <c r="EK48509"/>
    </row>
    <row r="48510" spans="1:141" s="116" customFormat="1">
      <c r="A48510" s="136"/>
      <c r="CM48510" s="111"/>
      <c r="CQ48510" s="111"/>
      <c r="EF48510"/>
      <c r="EG48510"/>
      <c r="EH48510"/>
      <c r="EI48510"/>
      <c r="EJ48510"/>
      <c r="EK48510"/>
    </row>
    <row r="48511" spans="1:141" s="116" customFormat="1">
      <c r="A48511" s="136"/>
      <c r="CM48511" s="111"/>
      <c r="CQ48511" s="111"/>
      <c r="EF48511"/>
      <c r="EG48511"/>
      <c r="EH48511"/>
      <c r="EI48511"/>
      <c r="EJ48511"/>
      <c r="EK48511"/>
    </row>
    <row r="48512" spans="1:141" s="116" customFormat="1">
      <c r="A48512" s="136"/>
      <c r="CM48512" s="111"/>
      <c r="CQ48512" s="111"/>
      <c r="EF48512"/>
      <c r="EG48512"/>
      <c r="EH48512"/>
      <c r="EI48512"/>
      <c r="EJ48512"/>
      <c r="EK48512"/>
    </row>
    <row r="48513" spans="1:141" s="116" customFormat="1">
      <c r="A48513" s="136"/>
      <c r="CM48513" s="111"/>
      <c r="CQ48513" s="111"/>
      <c r="EF48513"/>
      <c r="EG48513"/>
      <c r="EH48513"/>
      <c r="EI48513"/>
      <c r="EJ48513"/>
      <c r="EK48513"/>
    </row>
    <row r="48514" spans="1:141" s="116" customFormat="1">
      <c r="A48514" s="136"/>
      <c r="CM48514" s="111"/>
      <c r="CQ48514" s="111"/>
      <c r="EF48514"/>
      <c r="EG48514"/>
      <c r="EH48514"/>
      <c r="EI48514"/>
      <c r="EJ48514"/>
      <c r="EK48514"/>
    </row>
    <row r="48515" spans="1:141" s="116" customFormat="1">
      <c r="A48515" s="136"/>
      <c r="CM48515" s="111"/>
      <c r="CQ48515" s="111"/>
      <c r="EF48515"/>
      <c r="EG48515"/>
      <c r="EH48515"/>
      <c r="EI48515"/>
      <c r="EJ48515"/>
      <c r="EK48515"/>
    </row>
    <row r="48516" spans="1:141" s="116" customFormat="1">
      <c r="A48516" s="136"/>
      <c r="CM48516" s="111"/>
      <c r="CQ48516" s="111"/>
      <c r="EF48516"/>
      <c r="EG48516"/>
      <c r="EH48516"/>
      <c r="EI48516"/>
      <c r="EJ48516"/>
      <c r="EK48516"/>
    </row>
    <row r="48517" spans="1:141" s="116" customFormat="1">
      <c r="A48517" s="136"/>
      <c r="CM48517" s="111"/>
      <c r="CQ48517" s="111"/>
      <c r="EF48517"/>
      <c r="EG48517"/>
      <c r="EH48517"/>
      <c r="EI48517"/>
      <c r="EJ48517"/>
      <c r="EK48517"/>
    </row>
    <row r="48518" spans="1:141" s="116" customFormat="1">
      <c r="A48518" s="136"/>
      <c r="CM48518" s="111"/>
      <c r="CQ48518" s="111"/>
      <c r="EF48518"/>
      <c r="EG48518"/>
      <c r="EH48518"/>
      <c r="EI48518"/>
      <c r="EJ48518"/>
      <c r="EK48518"/>
    </row>
    <row r="48519" spans="1:141" s="116" customFormat="1">
      <c r="A48519" s="136"/>
      <c r="CM48519" s="111"/>
      <c r="CQ48519" s="111"/>
      <c r="EF48519"/>
      <c r="EG48519"/>
      <c r="EH48519"/>
      <c r="EI48519"/>
      <c r="EJ48519"/>
      <c r="EK48519"/>
    </row>
    <row r="48520" spans="1:141" s="116" customFormat="1">
      <c r="A48520" s="136"/>
      <c r="CM48520" s="111"/>
      <c r="CQ48520" s="111"/>
      <c r="EF48520"/>
      <c r="EG48520"/>
      <c r="EH48520"/>
      <c r="EI48520"/>
      <c r="EJ48520"/>
      <c r="EK48520"/>
    </row>
    <row r="48521" spans="1:141" s="116" customFormat="1">
      <c r="A48521" s="136"/>
      <c r="CM48521" s="111"/>
      <c r="CQ48521" s="111"/>
      <c r="EF48521"/>
      <c r="EG48521"/>
      <c r="EH48521"/>
      <c r="EI48521"/>
      <c r="EJ48521"/>
      <c r="EK48521"/>
    </row>
    <row r="48522" spans="1:141" s="116" customFormat="1">
      <c r="A48522" s="136"/>
      <c r="CM48522" s="111"/>
      <c r="CQ48522" s="111"/>
      <c r="EF48522"/>
      <c r="EG48522"/>
      <c r="EH48522"/>
      <c r="EI48522"/>
      <c r="EJ48522"/>
      <c r="EK48522"/>
    </row>
    <row r="48523" spans="1:141" s="116" customFormat="1">
      <c r="A48523" s="136"/>
      <c r="CM48523" s="111"/>
      <c r="CQ48523" s="111"/>
      <c r="EF48523"/>
      <c r="EG48523"/>
      <c r="EH48523"/>
      <c r="EI48523"/>
      <c r="EJ48523"/>
      <c r="EK48523"/>
    </row>
    <row r="48524" spans="1:141" s="116" customFormat="1">
      <c r="A48524" s="136"/>
      <c r="CM48524" s="111"/>
      <c r="CQ48524" s="111"/>
      <c r="EF48524"/>
      <c r="EG48524"/>
      <c r="EH48524"/>
      <c r="EI48524"/>
      <c r="EJ48524"/>
      <c r="EK48524"/>
    </row>
    <row r="48525" spans="1:141" s="116" customFormat="1">
      <c r="A48525" s="136"/>
      <c r="CM48525" s="111"/>
      <c r="CQ48525" s="111"/>
      <c r="EF48525"/>
      <c r="EG48525"/>
      <c r="EH48525"/>
      <c r="EI48525"/>
      <c r="EJ48525"/>
      <c r="EK48525"/>
    </row>
    <row r="48526" spans="1:141" s="116" customFormat="1">
      <c r="A48526" s="136"/>
      <c r="CM48526" s="111"/>
      <c r="CQ48526" s="111"/>
      <c r="EF48526"/>
      <c r="EG48526"/>
      <c r="EH48526"/>
      <c r="EI48526"/>
      <c r="EJ48526"/>
      <c r="EK48526"/>
    </row>
    <row r="48527" spans="1:141" s="116" customFormat="1">
      <c r="A48527" s="136"/>
      <c r="CM48527" s="111"/>
      <c r="CQ48527" s="111"/>
      <c r="EF48527"/>
      <c r="EG48527"/>
      <c r="EH48527"/>
      <c r="EI48527"/>
      <c r="EJ48527"/>
      <c r="EK48527"/>
    </row>
    <row r="48528" spans="1:141" s="116" customFormat="1">
      <c r="A48528" s="136"/>
      <c r="CM48528" s="111"/>
      <c r="CQ48528" s="111"/>
      <c r="EF48528"/>
      <c r="EG48528"/>
      <c r="EH48528"/>
      <c r="EI48528"/>
      <c r="EJ48528"/>
      <c r="EK48528"/>
    </row>
    <row r="48529" spans="1:141" s="116" customFormat="1">
      <c r="A48529" s="136"/>
      <c r="CM48529" s="111"/>
      <c r="CQ48529" s="111"/>
      <c r="EF48529"/>
      <c r="EG48529"/>
      <c r="EH48529"/>
      <c r="EI48529"/>
      <c r="EJ48529"/>
      <c r="EK48529"/>
    </row>
    <row r="48530" spans="1:141" s="116" customFormat="1">
      <c r="A48530" s="136"/>
      <c r="CM48530" s="111"/>
      <c r="CQ48530" s="111"/>
      <c r="EF48530"/>
      <c r="EG48530"/>
      <c r="EH48530"/>
      <c r="EI48530"/>
      <c r="EJ48530"/>
      <c r="EK48530"/>
    </row>
    <row r="48531" spans="1:141" s="116" customFormat="1">
      <c r="A48531" s="136"/>
      <c r="CM48531" s="111"/>
      <c r="CQ48531" s="111"/>
      <c r="EF48531"/>
      <c r="EG48531"/>
      <c r="EH48531"/>
      <c r="EI48531"/>
      <c r="EJ48531"/>
      <c r="EK48531"/>
    </row>
    <row r="48532" spans="1:141" s="116" customFormat="1">
      <c r="A48532" s="136"/>
      <c r="CM48532" s="111"/>
      <c r="CQ48532" s="111"/>
      <c r="EF48532"/>
      <c r="EG48532"/>
      <c r="EH48532"/>
      <c r="EI48532"/>
      <c r="EJ48532"/>
      <c r="EK48532"/>
    </row>
    <row r="48533" spans="1:141" s="116" customFormat="1">
      <c r="A48533" s="136"/>
      <c r="CM48533" s="111"/>
      <c r="CQ48533" s="111"/>
      <c r="EF48533"/>
      <c r="EG48533"/>
      <c r="EH48533"/>
      <c r="EI48533"/>
      <c r="EJ48533"/>
      <c r="EK48533"/>
    </row>
    <row r="48534" spans="1:141" s="116" customFormat="1">
      <c r="A48534" s="136"/>
      <c r="CM48534" s="111"/>
      <c r="CQ48534" s="111"/>
      <c r="EF48534"/>
      <c r="EG48534"/>
      <c r="EH48534"/>
      <c r="EI48534"/>
      <c r="EJ48534"/>
      <c r="EK48534"/>
    </row>
    <row r="48535" spans="1:141" s="116" customFormat="1">
      <c r="A48535" s="136"/>
      <c r="CM48535" s="111"/>
      <c r="CQ48535" s="111"/>
      <c r="EF48535"/>
      <c r="EG48535"/>
      <c r="EH48535"/>
      <c r="EI48535"/>
      <c r="EJ48535"/>
      <c r="EK48535"/>
    </row>
    <row r="48536" spans="1:141" s="116" customFormat="1">
      <c r="A48536" s="136"/>
      <c r="CM48536" s="111"/>
      <c r="CQ48536" s="111"/>
      <c r="EF48536"/>
      <c r="EG48536"/>
      <c r="EH48536"/>
      <c r="EI48536"/>
      <c r="EJ48536"/>
      <c r="EK48536"/>
    </row>
    <row r="48537" spans="1:141" s="116" customFormat="1">
      <c r="A48537" s="136"/>
      <c r="CM48537" s="111"/>
      <c r="CQ48537" s="111"/>
      <c r="EF48537"/>
      <c r="EG48537"/>
      <c r="EH48537"/>
      <c r="EI48537"/>
      <c r="EJ48537"/>
      <c r="EK48537"/>
    </row>
    <row r="48538" spans="1:141" s="116" customFormat="1">
      <c r="A48538" s="136"/>
      <c r="CM48538" s="111"/>
      <c r="CQ48538" s="111"/>
      <c r="EF48538"/>
      <c r="EG48538"/>
      <c r="EH48538"/>
      <c r="EI48538"/>
      <c r="EJ48538"/>
      <c r="EK48538"/>
    </row>
    <row r="48539" spans="1:141" s="116" customFormat="1">
      <c r="A48539" s="136"/>
      <c r="CM48539" s="111"/>
      <c r="CQ48539" s="111"/>
      <c r="EF48539"/>
      <c r="EG48539"/>
      <c r="EH48539"/>
      <c r="EI48539"/>
      <c r="EJ48539"/>
      <c r="EK48539"/>
    </row>
    <row r="48540" spans="1:141" s="116" customFormat="1">
      <c r="A48540" s="136"/>
      <c r="CM48540" s="111"/>
      <c r="CQ48540" s="111"/>
      <c r="EF48540"/>
      <c r="EG48540"/>
      <c r="EH48540"/>
      <c r="EI48540"/>
      <c r="EJ48540"/>
      <c r="EK48540"/>
    </row>
    <row r="48541" spans="1:141" s="116" customFormat="1">
      <c r="A48541" s="136"/>
      <c r="CM48541" s="111"/>
      <c r="CQ48541" s="111"/>
      <c r="EF48541"/>
      <c r="EG48541"/>
      <c r="EH48541"/>
      <c r="EI48541"/>
      <c r="EJ48541"/>
      <c r="EK48541"/>
    </row>
    <row r="48542" spans="1:141" s="116" customFormat="1">
      <c r="A48542" s="136"/>
      <c r="CM48542" s="111"/>
      <c r="CQ48542" s="111"/>
      <c r="EF48542"/>
      <c r="EG48542"/>
      <c r="EH48542"/>
      <c r="EI48542"/>
      <c r="EJ48542"/>
      <c r="EK48542"/>
    </row>
    <row r="48543" spans="1:141" s="116" customFormat="1">
      <c r="A48543" s="136"/>
      <c r="CM48543" s="111"/>
      <c r="CQ48543" s="111"/>
      <c r="EF48543"/>
      <c r="EG48543"/>
      <c r="EH48543"/>
      <c r="EI48543"/>
      <c r="EJ48543"/>
      <c r="EK48543"/>
    </row>
    <row r="48544" spans="1:141" s="116" customFormat="1">
      <c r="A48544" s="136"/>
      <c r="CM48544" s="111"/>
      <c r="CQ48544" s="111"/>
      <c r="EF48544"/>
      <c r="EG48544"/>
      <c r="EH48544"/>
      <c r="EI48544"/>
      <c r="EJ48544"/>
      <c r="EK48544"/>
    </row>
    <row r="48545" spans="1:141" s="116" customFormat="1">
      <c r="A48545" s="136"/>
      <c r="CM48545" s="111"/>
      <c r="CQ48545" s="111"/>
      <c r="EF48545"/>
      <c r="EG48545"/>
      <c r="EH48545"/>
      <c r="EI48545"/>
      <c r="EJ48545"/>
      <c r="EK48545"/>
    </row>
    <row r="48546" spans="1:141" s="116" customFormat="1">
      <c r="A48546" s="136"/>
      <c r="CM48546" s="111"/>
      <c r="CQ48546" s="111"/>
      <c r="EF48546"/>
      <c r="EG48546"/>
      <c r="EH48546"/>
      <c r="EI48546"/>
      <c r="EJ48546"/>
      <c r="EK48546"/>
    </row>
    <row r="48547" spans="1:141" s="116" customFormat="1">
      <c r="A48547" s="136"/>
      <c r="CM48547" s="111"/>
      <c r="CQ48547" s="111"/>
      <c r="EF48547"/>
      <c r="EG48547"/>
      <c r="EH48547"/>
      <c r="EI48547"/>
      <c r="EJ48547"/>
      <c r="EK48547"/>
    </row>
    <row r="48548" spans="1:141" s="116" customFormat="1">
      <c r="A48548" s="136"/>
      <c r="CM48548" s="111"/>
      <c r="CQ48548" s="111"/>
      <c r="EF48548"/>
      <c r="EG48548"/>
      <c r="EH48548"/>
      <c r="EI48548"/>
      <c r="EJ48548"/>
      <c r="EK48548"/>
    </row>
    <row r="48549" spans="1:141" s="116" customFormat="1">
      <c r="A48549" s="136"/>
      <c r="CM48549" s="111"/>
      <c r="CQ48549" s="111"/>
      <c r="EF48549"/>
      <c r="EG48549"/>
      <c r="EH48549"/>
      <c r="EI48549"/>
      <c r="EJ48549"/>
      <c r="EK48549"/>
    </row>
    <row r="48550" spans="1:141" s="116" customFormat="1">
      <c r="A48550" s="136"/>
      <c r="CM48550" s="111"/>
      <c r="CQ48550" s="111"/>
      <c r="EF48550"/>
      <c r="EG48550"/>
      <c r="EH48550"/>
      <c r="EI48550"/>
      <c r="EJ48550"/>
      <c r="EK48550"/>
    </row>
    <row r="48551" spans="1:141" s="116" customFormat="1">
      <c r="A48551" s="136"/>
      <c r="CM48551" s="111"/>
      <c r="CQ48551" s="111"/>
      <c r="EF48551"/>
      <c r="EG48551"/>
      <c r="EH48551"/>
      <c r="EI48551"/>
      <c r="EJ48551"/>
      <c r="EK48551"/>
    </row>
    <row r="48552" spans="1:141" s="116" customFormat="1">
      <c r="A48552" s="136"/>
      <c r="CM48552" s="111"/>
      <c r="CQ48552" s="111"/>
      <c r="EF48552"/>
      <c r="EG48552"/>
      <c r="EH48552"/>
      <c r="EI48552"/>
      <c r="EJ48552"/>
      <c r="EK48552"/>
    </row>
    <row r="48553" spans="1:141" s="116" customFormat="1">
      <c r="A48553" s="136"/>
      <c r="CM48553" s="111"/>
      <c r="CQ48553" s="111"/>
      <c r="EF48553"/>
      <c r="EG48553"/>
      <c r="EH48553"/>
      <c r="EI48553"/>
      <c r="EJ48553"/>
      <c r="EK48553"/>
    </row>
    <row r="48554" spans="1:141" s="116" customFormat="1">
      <c r="A48554" s="136"/>
      <c r="CM48554" s="111"/>
      <c r="CQ48554" s="111"/>
      <c r="EF48554"/>
      <c r="EG48554"/>
      <c r="EH48554"/>
      <c r="EI48554"/>
      <c r="EJ48554"/>
      <c r="EK48554"/>
    </row>
    <row r="48555" spans="1:141" s="116" customFormat="1">
      <c r="A48555" s="136"/>
      <c r="CM48555" s="111"/>
      <c r="CQ48555" s="111"/>
      <c r="EF48555"/>
      <c r="EG48555"/>
      <c r="EH48555"/>
      <c r="EI48555"/>
      <c r="EJ48555"/>
      <c r="EK48555"/>
    </row>
    <row r="48556" spans="1:141" s="116" customFormat="1">
      <c r="A48556" s="136"/>
      <c r="CM48556" s="111"/>
      <c r="CQ48556" s="111"/>
      <c r="EF48556"/>
      <c r="EG48556"/>
      <c r="EH48556"/>
      <c r="EI48556"/>
      <c r="EJ48556"/>
      <c r="EK48556"/>
    </row>
    <row r="48557" spans="1:141" s="116" customFormat="1">
      <c r="A48557" s="136"/>
      <c r="CM48557" s="111"/>
      <c r="CQ48557" s="111"/>
      <c r="EF48557"/>
      <c r="EG48557"/>
      <c r="EH48557"/>
      <c r="EI48557"/>
      <c r="EJ48557"/>
      <c r="EK48557"/>
    </row>
    <row r="48558" spans="1:141" s="116" customFormat="1">
      <c r="A48558" s="136"/>
      <c r="CM48558" s="111"/>
      <c r="CQ48558" s="111"/>
      <c r="EF48558"/>
      <c r="EG48558"/>
      <c r="EH48558"/>
      <c r="EI48558"/>
      <c r="EJ48558"/>
      <c r="EK48558"/>
    </row>
    <row r="48559" spans="1:141" s="116" customFormat="1">
      <c r="A48559" s="136"/>
      <c r="CM48559" s="111"/>
      <c r="CQ48559" s="111"/>
      <c r="EF48559"/>
      <c r="EG48559"/>
      <c r="EH48559"/>
      <c r="EI48559"/>
      <c r="EJ48559"/>
      <c r="EK48559"/>
    </row>
    <row r="48560" spans="1:141" s="116" customFormat="1">
      <c r="A48560" s="136"/>
      <c r="CM48560" s="111"/>
      <c r="CQ48560" s="111"/>
      <c r="EF48560"/>
      <c r="EG48560"/>
      <c r="EH48560"/>
      <c r="EI48560"/>
      <c r="EJ48560"/>
      <c r="EK48560"/>
    </row>
    <row r="48561" spans="1:141" s="116" customFormat="1">
      <c r="A48561" s="136"/>
      <c r="CM48561" s="111"/>
      <c r="CQ48561" s="111"/>
      <c r="EF48561"/>
      <c r="EG48561"/>
      <c r="EH48561"/>
      <c r="EI48561"/>
      <c r="EJ48561"/>
      <c r="EK48561"/>
    </row>
    <row r="48562" spans="1:141" s="116" customFormat="1">
      <c r="A48562" s="136"/>
      <c r="CM48562" s="111"/>
      <c r="CQ48562" s="111"/>
      <c r="EF48562"/>
      <c r="EG48562"/>
      <c r="EH48562"/>
      <c r="EI48562"/>
      <c r="EJ48562"/>
      <c r="EK48562"/>
    </row>
    <row r="48563" spans="1:141" s="116" customFormat="1">
      <c r="A48563" s="136"/>
      <c r="CM48563" s="111"/>
      <c r="CQ48563" s="111"/>
      <c r="EF48563"/>
      <c r="EG48563"/>
      <c r="EH48563"/>
      <c r="EI48563"/>
      <c r="EJ48563"/>
      <c r="EK48563"/>
    </row>
    <row r="48564" spans="1:141" s="116" customFormat="1">
      <c r="A48564" s="136"/>
      <c r="CM48564" s="111"/>
      <c r="CQ48564" s="111"/>
      <c r="EF48564"/>
      <c r="EG48564"/>
      <c r="EH48564"/>
      <c r="EI48564"/>
      <c r="EJ48564"/>
      <c r="EK48564"/>
    </row>
    <row r="48565" spans="1:141" s="116" customFormat="1">
      <c r="A48565" s="136"/>
      <c r="CM48565" s="111"/>
      <c r="CQ48565" s="111"/>
      <c r="EF48565"/>
      <c r="EG48565"/>
      <c r="EH48565"/>
      <c r="EI48565"/>
      <c r="EJ48565"/>
      <c r="EK48565"/>
    </row>
    <row r="48566" spans="1:141" s="116" customFormat="1">
      <c r="A48566" s="136"/>
      <c r="CM48566" s="111"/>
      <c r="CQ48566" s="111"/>
      <c r="EF48566"/>
      <c r="EG48566"/>
      <c r="EH48566"/>
      <c r="EI48566"/>
      <c r="EJ48566"/>
      <c r="EK48566"/>
    </row>
    <row r="48567" spans="1:141" s="116" customFormat="1">
      <c r="A48567" s="136"/>
      <c r="CM48567" s="111"/>
      <c r="CQ48567" s="111"/>
      <c r="EF48567"/>
      <c r="EG48567"/>
      <c r="EH48567"/>
      <c r="EI48567"/>
      <c r="EJ48567"/>
      <c r="EK48567"/>
    </row>
    <row r="48568" spans="1:141" s="116" customFormat="1">
      <c r="A48568" s="136"/>
      <c r="CM48568" s="111"/>
      <c r="CQ48568" s="111"/>
      <c r="EF48568"/>
      <c r="EG48568"/>
      <c r="EH48568"/>
      <c r="EI48568"/>
      <c r="EJ48568"/>
      <c r="EK48568"/>
    </row>
    <row r="48569" spans="1:141" s="116" customFormat="1">
      <c r="A48569" s="136"/>
      <c r="CM48569" s="111"/>
      <c r="CQ48569" s="111"/>
      <c r="EF48569"/>
      <c r="EG48569"/>
      <c r="EH48569"/>
      <c r="EI48569"/>
      <c r="EJ48569"/>
      <c r="EK48569"/>
    </row>
    <row r="48570" spans="1:141" s="116" customFormat="1">
      <c r="A48570" s="136"/>
      <c r="CM48570" s="111"/>
      <c r="CQ48570" s="111"/>
      <c r="EF48570"/>
      <c r="EG48570"/>
      <c r="EH48570"/>
      <c r="EI48570"/>
      <c r="EJ48570"/>
      <c r="EK48570"/>
    </row>
    <row r="48571" spans="1:141" s="116" customFormat="1">
      <c r="A48571" s="136"/>
      <c r="CM48571" s="111"/>
      <c r="CQ48571" s="111"/>
      <c r="EF48571"/>
      <c r="EG48571"/>
      <c r="EH48571"/>
      <c r="EI48571"/>
      <c r="EJ48571"/>
      <c r="EK48571"/>
    </row>
    <row r="48572" spans="1:141" s="116" customFormat="1">
      <c r="A48572" s="136"/>
      <c r="CM48572" s="111"/>
      <c r="CQ48572" s="111"/>
      <c r="EF48572"/>
      <c r="EG48572"/>
      <c r="EH48572"/>
      <c r="EI48572"/>
      <c r="EJ48572"/>
      <c r="EK48572"/>
    </row>
    <row r="48573" spans="1:141" s="116" customFormat="1">
      <c r="A48573" s="136"/>
      <c r="CM48573" s="111"/>
      <c r="CQ48573" s="111"/>
      <c r="EF48573"/>
      <c r="EG48573"/>
      <c r="EH48573"/>
      <c r="EI48573"/>
      <c r="EJ48573"/>
      <c r="EK48573"/>
    </row>
    <row r="48574" spans="1:141" s="116" customFormat="1">
      <c r="A48574" s="136"/>
      <c r="CM48574" s="111"/>
      <c r="CQ48574" s="111"/>
      <c r="EF48574"/>
      <c r="EG48574"/>
      <c r="EH48574"/>
      <c r="EI48574"/>
      <c r="EJ48574"/>
      <c r="EK48574"/>
    </row>
    <row r="48575" spans="1:141" s="116" customFormat="1">
      <c r="A48575" s="136"/>
      <c r="CM48575" s="111"/>
      <c r="CQ48575" s="111"/>
      <c r="EF48575"/>
      <c r="EG48575"/>
      <c r="EH48575"/>
      <c r="EI48575"/>
      <c r="EJ48575"/>
      <c r="EK48575"/>
    </row>
    <row r="48576" spans="1:141" s="116" customFormat="1">
      <c r="A48576" s="136"/>
      <c r="CM48576" s="111"/>
      <c r="CQ48576" s="111"/>
      <c r="EF48576"/>
      <c r="EG48576"/>
      <c r="EH48576"/>
      <c r="EI48576"/>
      <c r="EJ48576"/>
      <c r="EK48576"/>
    </row>
    <row r="48577" spans="1:141" s="116" customFormat="1">
      <c r="A48577" s="136"/>
      <c r="CM48577" s="111"/>
      <c r="CQ48577" s="111"/>
      <c r="EF48577"/>
      <c r="EG48577"/>
      <c r="EH48577"/>
      <c r="EI48577"/>
      <c r="EJ48577"/>
      <c r="EK48577"/>
    </row>
    <row r="48578" spans="1:141" s="116" customFormat="1">
      <c r="A48578" s="136"/>
      <c r="CM48578" s="111"/>
      <c r="CQ48578" s="111"/>
      <c r="EF48578"/>
      <c r="EG48578"/>
      <c r="EH48578"/>
      <c r="EI48578"/>
      <c r="EJ48578"/>
      <c r="EK48578"/>
    </row>
    <row r="48579" spans="1:141" s="116" customFormat="1">
      <c r="A48579" s="136"/>
      <c r="CM48579" s="111"/>
      <c r="CQ48579" s="111"/>
      <c r="EF48579"/>
      <c r="EG48579"/>
      <c r="EH48579"/>
      <c r="EI48579"/>
      <c r="EJ48579"/>
      <c r="EK48579"/>
    </row>
    <row r="48580" spans="1:141" s="116" customFormat="1">
      <c r="A48580" s="136"/>
      <c r="CM48580" s="111"/>
      <c r="CQ48580" s="111"/>
      <c r="EF48580"/>
      <c r="EG48580"/>
      <c r="EH48580"/>
      <c r="EI48580"/>
      <c r="EJ48580"/>
      <c r="EK48580"/>
    </row>
    <row r="48581" spans="1:141" s="116" customFormat="1">
      <c r="A48581" s="136"/>
      <c r="CM48581" s="111"/>
      <c r="CQ48581" s="111"/>
      <c r="EF48581"/>
      <c r="EG48581"/>
      <c r="EH48581"/>
      <c r="EI48581"/>
      <c r="EJ48581"/>
      <c r="EK48581"/>
    </row>
    <row r="48582" spans="1:141" s="116" customFormat="1">
      <c r="A48582" s="136"/>
      <c r="CM48582" s="111"/>
      <c r="CQ48582" s="111"/>
      <c r="EF48582"/>
      <c r="EG48582"/>
      <c r="EH48582"/>
      <c r="EI48582"/>
      <c r="EJ48582"/>
      <c r="EK48582"/>
    </row>
    <row r="48583" spans="1:141" s="116" customFormat="1">
      <c r="A48583" s="136"/>
      <c r="CM48583" s="111"/>
      <c r="CQ48583" s="111"/>
      <c r="EF48583"/>
      <c r="EG48583"/>
      <c r="EH48583"/>
      <c r="EI48583"/>
      <c r="EJ48583"/>
      <c r="EK48583"/>
    </row>
    <row r="48584" spans="1:141" s="116" customFormat="1">
      <c r="A48584" s="136"/>
      <c r="CM48584" s="111"/>
      <c r="CQ48584" s="111"/>
      <c r="EF48584"/>
      <c r="EG48584"/>
      <c r="EH48584"/>
      <c r="EI48584"/>
      <c r="EJ48584"/>
      <c r="EK48584"/>
    </row>
    <row r="48585" spans="1:141" s="116" customFormat="1">
      <c r="A48585" s="136"/>
      <c r="CM48585" s="111"/>
      <c r="CQ48585" s="111"/>
      <c r="EF48585"/>
      <c r="EG48585"/>
      <c r="EH48585"/>
      <c r="EI48585"/>
      <c r="EJ48585"/>
      <c r="EK48585"/>
    </row>
    <row r="48586" spans="1:141" s="116" customFormat="1">
      <c r="A48586" s="136"/>
      <c r="CM48586" s="111"/>
      <c r="CQ48586" s="111"/>
      <c r="EF48586"/>
      <c r="EG48586"/>
      <c r="EH48586"/>
      <c r="EI48586"/>
      <c r="EJ48586"/>
      <c r="EK48586"/>
    </row>
    <row r="48587" spans="1:141" s="116" customFormat="1">
      <c r="A48587" s="136"/>
      <c r="CM48587" s="111"/>
      <c r="CQ48587" s="111"/>
      <c r="EF48587"/>
      <c r="EG48587"/>
      <c r="EH48587"/>
      <c r="EI48587"/>
      <c r="EJ48587"/>
      <c r="EK48587"/>
    </row>
    <row r="48588" spans="1:141" s="116" customFormat="1">
      <c r="A48588" s="136"/>
      <c r="CM48588" s="111"/>
      <c r="CQ48588" s="111"/>
      <c r="EF48588"/>
      <c r="EG48588"/>
      <c r="EH48588"/>
      <c r="EI48588"/>
      <c r="EJ48588"/>
      <c r="EK48588"/>
    </row>
    <row r="48589" spans="1:141" s="116" customFormat="1">
      <c r="A48589" s="136"/>
      <c r="CM48589" s="111"/>
      <c r="CQ48589" s="111"/>
      <c r="EF48589"/>
      <c r="EG48589"/>
      <c r="EH48589"/>
      <c r="EI48589"/>
      <c r="EJ48589"/>
      <c r="EK48589"/>
    </row>
    <row r="48590" spans="1:141" s="116" customFormat="1">
      <c r="A48590" s="136"/>
      <c r="CM48590" s="111"/>
      <c r="CQ48590" s="111"/>
      <c r="EF48590"/>
      <c r="EG48590"/>
      <c r="EH48590"/>
      <c r="EI48590"/>
      <c r="EJ48590"/>
      <c r="EK48590"/>
    </row>
    <row r="48591" spans="1:141" s="116" customFormat="1">
      <c r="A48591" s="136"/>
      <c r="CM48591" s="111"/>
      <c r="CQ48591" s="111"/>
      <c r="EF48591"/>
      <c r="EG48591"/>
      <c r="EH48591"/>
      <c r="EI48591"/>
      <c r="EJ48591"/>
      <c r="EK48591"/>
    </row>
    <row r="48592" spans="1:141" s="116" customFormat="1">
      <c r="A48592" s="136"/>
      <c r="CM48592" s="111"/>
      <c r="CQ48592" s="111"/>
      <c r="EF48592"/>
      <c r="EG48592"/>
      <c r="EH48592"/>
      <c r="EI48592"/>
      <c r="EJ48592"/>
      <c r="EK48592"/>
    </row>
    <row r="48593" spans="1:141" s="116" customFormat="1">
      <c r="A48593" s="136"/>
      <c r="CM48593" s="111"/>
      <c r="CQ48593" s="111"/>
      <c r="EF48593"/>
      <c r="EG48593"/>
      <c r="EH48593"/>
      <c r="EI48593"/>
      <c r="EJ48593"/>
      <c r="EK48593"/>
    </row>
    <row r="48594" spans="1:141" s="116" customFormat="1">
      <c r="A48594" s="136"/>
      <c r="CM48594" s="111"/>
      <c r="CQ48594" s="111"/>
      <c r="EF48594"/>
      <c r="EG48594"/>
      <c r="EH48594"/>
      <c r="EI48594"/>
      <c r="EJ48594"/>
      <c r="EK48594"/>
    </row>
    <row r="48595" spans="1:141" s="116" customFormat="1">
      <c r="A48595" s="136"/>
      <c r="CM48595" s="111"/>
      <c r="CQ48595" s="111"/>
      <c r="EF48595"/>
      <c r="EG48595"/>
      <c r="EH48595"/>
      <c r="EI48595"/>
      <c r="EJ48595"/>
      <c r="EK48595"/>
    </row>
    <row r="48596" spans="1:141" s="116" customFormat="1">
      <c r="A48596" s="136"/>
      <c r="CM48596" s="111"/>
      <c r="CQ48596" s="111"/>
      <c r="EF48596"/>
      <c r="EG48596"/>
      <c r="EH48596"/>
      <c r="EI48596"/>
      <c r="EJ48596"/>
      <c r="EK48596"/>
    </row>
    <row r="48597" spans="1:141" s="116" customFormat="1">
      <c r="A48597" s="136"/>
      <c r="CM48597" s="111"/>
      <c r="CQ48597" s="111"/>
      <c r="EF48597"/>
      <c r="EG48597"/>
      <c r="EH48597"/>
      <c r="EI48597"/>
      <c r="EJ48597"/>
      <c r="EK48597"/>
    </row>
    <row r="48598" spans="1:141" s="116" customFormat="1">
      <c r="A48598" s="136"/>
      <c r="CM48598" s="111"/>
      <c r="CQ48598" s="111"/>
      <c r="EF48598"/>
      <c r="EG48598"/>
      <c r="EH48598"/>
      <c r="EI48598"/>
      <c r="EJ48598"/>
      <c r="EK48598"/>
    </row>
    <row r="48599" spans="1:141" s="116" customFormat="1">
      <c r="A48599" s="136"/>
      <c r="CM48599" s="111"/>
      <c r="CQ48599" s="111"/>
      <c r="EF48599"/>
      <c r="EG48599"/>
      <c r="EH48599"/>
      <c r="EI48599"/>
      <c r="EJ48599"/>
      <c r="EK48599"/>
    </row>
    <row r="48600" spans="1:141" s="116" customFormat="1">
      <c r="A48600" s="136"/>
      <c r="CM48600" s="111"/>
      <c r="CQ48600" s="111"/>
      <c r="EF48600"/>
      <c r="EG48600"/>
      <c r="EH48600"/>
      <c r="EI48600"/>
      <c r="EJ48600"/>
      <c r="EK48600"/>
    </row>
    <row r="48601" spans="1:141" s="116" customFormat="1">
      <c r="A48601" s="136"/>
      <c r="CM48601" s="111"/>
      <c r="CQ48601" s="111"/>
      <c r="EF48601"/>
      <c r="EG48601"/>
      <c r="EH48601"/>
      <c r="EI48601"/>
      <c r="EJ48601"/>
      <c r="EK48601"/>
    </row>
    <row r="48602" spans="1:141" s="116" customFormat="1">
      <c r="A48602" s="136"/>
      <c r="CM48602" s="111"/>
      <c r="CQ48602" s="111"/>
      <c r="EF48602"/>
      <c r="EG48602"/>
      <c r="EH48602"/>
      <c r="EI48602"/>
      <c r="EJ48602"/>
      <c r="EK48602"/>
    </row>
    <row r="48603" spans="1:141" s="116" customFormat="1">
      <c r="A48603" s="136"/>
      <c r="CM48603" s="111"/>
      <c r="CQ48603" s="111"/>
      <c r="EF48603"/>
      <c r="EG48603"/>
      <c r="EH48603"/>
      <c r="EI48603"/>
      <c r="EJ48603"/>
      <c r="EK48603"/>
    </row>
    <row r="48604" spans="1:141" s="116" customFormat="1">
      <c r="A48604" s="136"/>
      <c r="CM48604" s="111"/>
      <c r="CQ48604" s="111"/>
      <c r="EF48604"/>
      <c r="EG48604"/>
      <c r="EH48604"/>
      <c r="EI48604"/>
      <c r="EJ48604"/>
      <c r="EK48604"/>
    </row>
    <row r="48605" spans="1:141" s="116" customFormat="1">
      <c r="A48605" s="136"/>
      <c r="CM48605" s="111"/>
      <c r="CQ48605" s="111"/>
      <c r="EF48605"/>
      <c r="EG48605"/>
      <c r="EH48605"/>
      <c r="EI48605"/>
      <c r="EJ48605"/>
      <c r="EK48605"/>
    </row>
    <row r="48606" spans="1:141" s="116" customFormat="1">
      <c r="A48606" s="136"/>
      <c r="CM48606" s="111"/>
      <c r="CQ48606" s="111"/>
      <c r="EF48606"/>
      <c r="EG48606"/>
      <c r="EH48606"/>
      <c r="EI48606"/>
      <c r="EJ48606"/>
      <c r="EK48606"/>
    </row>
    <row r="48607" spans="1:141" s="116" customFormat="1">
      <c r="A48607" s="136"/>
      <c r="CM48607" s="111"/>
      <c r="CQ48607" s="111"/>
      <c r="EF48607"/>
      <c r="EG48607"/>
      <c r="EH48607"/>
      <c r="EI48607"/>
      <c r="EJ48607"/>
      <c r="EK48607"/>
    </row>
    <row r="48608" spans="1:141" s="116" customFormat="1">
      <c r="A48608" s="136"/>
      <c r="CM48608" s="111"/>
      <c r="CQ48608" s="111"/>
      <c r="EF48608"/>
      <c r="EG48608"/>
      <c r="EH48608"/>
      <c r="EI48608"/>
      <c r="EJ48608"/>
      <c r="EK48608"/>
    </row>
    <row r="48609" spans="1:141" s="116" customFormat="1">
      <c r="A48609" s="136"/>
      <c r="CM48609" s="111"/>
      <c r="CQ48609" s="111"/>
      <c r="EF48609"/>
      <c r="EG48609"/>
      <c r="EH48609"/>
      <c r="EI48609"/>
      <c r="EJ48609"/>
      <c r="EK48609"/>
    </row>
    <row r="48610" spans="1:141" s="116" customFormat="1">
      <c r="A48610" s="136"/>
      <c r="CM48610" s="111"/>
      <c r="CQ48610" s="111"/>
      <c r="EF48610"/>
      <c r="EG48610"/>
      <c r="EH48610"/>
      <c r="EI48610"/>
      <c r="EJ48610"/>
      <c r="EK48610"/>
    </row>
    <row r="48611" spans="1:141" s="116" customFormat="1">
      <c r="A48611" s="136"/>
      <c r="CM48611" s="111"/>
      <c r="CQ48611" s="111"/>
      <c r="EF48611"/>
      <c r="EG48611"/>
      <c r="EH48611"/>
      <c r="EI48611"/>
      <c r="EJ48611"/>
      <c r="EK48611"/>
    </row>
    <row r="48612" spans="1:141" s="116" customFormat="1">
      <c r="A48612" s="136"/>
      <c r="CM48612" s="111"/>
      <c r="CQ48612" s="111"/>
      <c r="EF48612"/>
      <c r="EG48612"/>
      <c r="EH48612"/>
      <c r="EI48612"/>
      <c r="EJ48612"/>
      <c r="EK48612"/>
    </row>
    <row r="48613" spans="1:141" s="116" customFormat="1">
      <c r="A48613" s="136"/>
      <c r="CM48613" s="111"/>
      <c r="CQ48613" s="111"/>
      <c r="EF48613"/>
      <c r="EG48613"/>
      <c r="EH48613"/>
      <c r="EI48613"/>
      <c r="EJ48613"/>
      <c r="EK48613"/>
    </row>
    <row r="48614" spans="1:141" s="116" customFormat="1">
      <c r="A48614" s="136"/>
      <c r="CM48614" s="111"/>
      <c r="CQ48614" s="111"/>
      <c r="EF48614"/>
      <c r="EG48614"/>
      <c r="EH48614"/>
      <c r="EI48614"/>
      <c r="EJ48614"/>
      <c r="EK48614"/>
    </row>
    <row r="48615" spans="1:141" s="116" customFormat="1">
      <c r="A48615" s="136"/>
      <c r="CM48615" s="111"/>
      <c r="CQ48615" s="111"/>
      <c r="EF48615"/>
      <c r="EG48615"/>
      <c r="EH48615"/>
      <c r="EI48615"/>
      <c r="EJ48615"/>
      <c r="EK48615"/>
    </row>
    <row r="48616" spans="1:141" s="116" customFormat="1">
      <c r="A48616" s="136"/>
      <c r="CM48616" s="111"/>
      <c r="CQ48616" s="111"/>
      <c r="EF48616"/>
      <c r="EG48616"/>
      <c r="EH48616"/>
      <c r="EI48616"/>
      <c r="EJ48616"/>
      <c r="EK48616"/>
    </row>
    <row r="48617" spans="1:141" s="116" customFormat="1">
      <c r="A48617" s="136"/>
      <c r="CM48617" s="111"/>
      <c r="CQ48617" s="111"/>
      <c r="EF48617"/>
      <c r="EG48617"/>
      <c r="EH48617"/>
      <c r="EI48617"/>
      <c r="EJ48617"/>
      <c r="EK48617"/>
    </row>
    <row r="48618" spans="1:141" s="116" customFormat="1">
      <c r="A48618" s="136"/>
      <c r="CM48618" s="111"/>
      <c r="CQ48618" s="111"/>
      <c r="EF48618"/>
      <c r="EG48618"/>
      <c r="EH48618"/>
      <c r="EI48618"/>
      <c r="EJ48618"/>
      <c r="EK48618"/>
    </row>
    <row r="48619" spans="1:141" s="116" customFormat="1">
      <c r="A48619" s="136"/>
      <c r="CM48619" s="111"/>
      <c r="CQ48619" s="111"/>
      <c r="EF48619"/>
      <c r="EG48619"/>
      <c r="EH48619"/>
      <c r="EI48619"/>
      <c r="EJ48619"/>
      <c r="EK48619"/>
    </row>
    <row r="48620" spans="1:141" s="116" customFormat="1">
      <c r="A48620" s="136"/>
      <c r="CM48620" s="111"/>
      <c r="CQ48620" s="111"/>
      <c r="EF48620"/>
      <c r="EG48620"/>
      <c r="EH48620"/>
      <c r="EI48620"/>
      <c r="EJ48620"/>
      <c r="EK48620"/>
    </row>
    <row r="48621" spans="1:141" s="116" customFormat="1">
      <c r="A48621" s="136"/>
      <c r="CM48621" s="111"/>
      <c r="CQ48621" s="111"/>
      <c r="EF48621"/>
      <c r="EG48621"/>
      <c r="EH48621"/>
      <c r="EI48621"/>
      <c r="EJ48621"/>
      <c r="EK48621"/>
    </row>
    <row r="48622" spans="1:141" s="116" customFormat="1">
      <c r="A48622" s="136"/>
      <c r="CM48622" s="111"/>
      <c r="CQ48622" s="111"/>
      <c r="EF48622"/>
      <c r="EG48622"/>
      <c r="EH48622"/>
      <c r="EI48622"/>
      <c r="EJ48622"/>
      <c r="EK48622"/>
    </row>
    <row r="48623" spans="1:141" s="116" customFormat="1">
      <c r="A48623" s="136"/>
      <c r="CM48623" s="111"/>
      <c r="CQ48623" s="111"/>
      <c r="EF48623"/>
      <c r="EG48623"/>
      <c r="EH48623"/>
      <c r="EI48623"/>
      <c r="EJ48623"/>
      <c r="EK48623"/>
    </row>
    <row r="48624" spans="1:141" s="116" customFormat="1">
      <c r="A48624" s="136"/>
      <c r="CM48624" s="111"/>
      <c r="CQ48624" s="111"/>
      <c r="EF48624"/>
      <c r="EG48624"/>
      <c r="EH48624"/>
      <c r="EI48624"/>
      <c r="EJ48624"/>
      <c r="EK48624"/>
    </row>
    <row r="48625" spans="1:141" s="116" customFormat="1">
      <c r="A48625" s="136"/>
      <c r="CM48625" s="111"/>
      <c r="CQ48625" s="111"/>
      <c r="EF48625"/>
      <c r="EG48625"/>
      <c r="EH48625"/>
      <c r="EI48625"/>
      <c r="EJ48625"/>
      <c r="EK48625"/>
    </row>
    <row r="48626" spans="1:141" s="116" customFormat="1">
      <c r="A48626" s="136"/>
      <c r="CM48626" s="111"/>
      <c r="CQ48626" s="111"/>
      <c r="EF48626"/>
      <c r="EG48626"/>
      <c r="EH48626"/>
      <c r="EI48626"/>
      <c r="EJ48626"/>
      <c r="EK48626"/>
    </row>
    <row r="48627" spans="1:141" s="116" customFormat="1">
      <c r="A48627" s="136"/>
      <c r="CM48627" s="111"/>
      <c r="CQ48627" s="111"/>
      <c r="EF48627"/>
      <c r="EG48627"/>
      <c r="EH48627"/>
      <c r="EI48627"/>
      <c r="EJ48627"/>
      <c r="EK48627"/>
    </row>
    <row r="48628" spans="1:141" s="116" customFormat="1">
      <c r="A48628" s="136"/>
      <c r="CM48628" s="111"/>
      <c r="CQ48628" s="111"/>
      <c r="EF48628"/>
      <c r="EG48628"/>
      <c r="EH48628"/>
      <c r="EI48628"/>
      <c r="EJ48628"/>
      <c r="EK48628"/>
    </row>
    <row r="48629" spans="1:141" s="116" customFormat="1">
      <c r="A48629" s="136"/>
      <c r="CM48629" s="111"/>
      <c r="CQ48629" s="111"/>
      <c r="EF48629"/>
      <c r="EG48629"/>
      <c r="EH48629"/>
      <c r="EI48629"/>
      <c r="EJ48629"/>
      <c r="EK48629"/>
    </row>
    <row r="48630" spans="1:141" s="116" customFormat="1">
      <c r="A48630" s="136"/>
      <c r="CM48630" s="111"/>
      <c r="CQ48630" s="111"/>
      <c r="EF48630"/>
      <c r="EG48630"/>
      <c r="EH48630"/>
      <c r="EI48630"/>
      <c r="EJ48630"/>
      <c r="EK48630"/>
    </row>
    <row r="48631" spans="1:141" s="116" customFormat="1">
      <c r="A48631" s="136"/>
      <c r="CM48631" s="111"/>
      <c r="CQ48631" s="111"/>
      <c r="EF48631"/>
      <c r="EG48631"/>
      <c r="EH48631"/>
      <c r="EI48631"/>
      <c r="EJ48631"/>
      <c r="EK48631"/>
    </row>
    <row r="48632" spans="1:141" s="116" customFormat="1">
      <c r="A48632" s="136"/>
      <c r="CM48632" s="111"/>
      <c r="CQ48632" s="111"/>
      <c r="EF48632"/>
      <c r="EG48632"/>
      <c r="EH48632"/>
      <c r="EI48632"/>
      <c r="EJ48632"/>
      <c r="EK48632"/>
    </row>
    <row r="48633" spans="1:141" s="116" customFormat="1">
      <c r="A48633" s="136"/>
      <c r="CM48633" s="111"/>
      <c r="CQ48633" s="111"/>
      <c r="EF48633"/>
      <c r="EG48633"/>
      <c r="EH48633"/>
      <c r="EI48633"/>
      <c r="EJ48633"/>
      <c r="EK48633"/>
    </row>
    <row r="48634" spans="1:141" s="116" customFormat="1">
      <c r="A48634" s="136"/>
      <c r="CM48634" s="111"/>
      <c r="CQ48634" s="111"/>
      <c r="EF48634"/>
      <c r="EG48634"/>
      <c r="EH48634"/>
      <c r="EI48634"/>
      <c r="EJ48634"/>
      <c r="EK48634"/>
    </row>
    <row r="48635" spans="1:141" s="116" customFormat="1">
      <c r="A48635" s="136"/>
      <c r="CM48635" s="111"/>
      <c r="CQ48635" s="111"/>
      <c r="EF48635"/>
      <c r="EG48635"/>
      <c r="EH48635"/>
      <c r="EI48635"/>
      <c r="EJ48635"/>
      <c r="EK48635"/>
    </row>
    <row r="48636" spans="1:141" s="116" customFormat="1">
      <c r="A48636" s="136"/>
      <c r="CM48636" s="111"/>
      <c r="CQ48636" s="111"/>
      <c r="EF48636"/>
      <c r="EG48636"/>
      <c r="EH48636"/>
      <c r="EI48636"/>
      <c r="EJ48636"/>
      <c r="EK48636"/>
    </row>
    <row r="48637" spans="1:141" s="116" customFormat="1">
      <c r="A48637" s="136"/>
      <c r="CM48637" s="111"/>
      <c r="CQ48637" s="111"/>
      <c r="EF48637"/>
      <c r="EG48637"/>
      <c r="EH48637"/>
      <c r="EI48637"/>
      <c r="EJ48637"/>
      <c r="EK48637"/>
    </row>
    <row r="48638" spans="1:141" s="116" customFormat="1">
      <c r="A48638" s="136"/>
      <c r="CM48638" s="111"/>
      <c r="CQ48638" s="111"/>
      <c r="EF48638"/>
      <c r="EG48638"/>
      <c r="EH48638"/>
      <c r="EI48638"/>
      <c r="EJ48638"/>
      <c r="EK48638"/>
    </row>
    <row r="48639" spans="1:141" s="116" customFormat="1">
      <c r="A48639" s="136"/>
      <c r="CM48639" s="111"/>
      <c r="CQ48639" s="111"/>
      <c r="EF48639"/>
      <c r="EG48639"/>
      <c r="EH48639"/>
      <c r="EI48639"/>
      <c r="EJ48639"/>
      <c r="EK48639"/>
    </row>
    <row r="48640" spans="1:141" s="116" customFormat="1">
      <c r="A48640" s="136"/>
      <c r="CM48640" s="111"/>
      <c r="CQ48640" s="111"/>
      <c r="EF48640"/>
      <c r="EG48640"/>
      <c r="EH48640"/>
      <c r="EI48640"/>
      <c r="EJ48640"/>
      <c r="EK48640"/>
    </row>
    <row r="48641" spans="1:141" s="116" customFormat="1">
      <c r="A48641" s="136"/>
      <c r="CM48641" s="111"/>
      <c r="CQ48641" s="111"/>
      <c r="EF48641"/>
      <c r="EG48641"/>
      <c r="EH48641"/>
      <c r="EI48641"/>
      <c r="EJ48641"/>
      <c r="EK48641"/>
    </row>
    <row r="48642" spans="1:141" s="116" customFormat="1">
      <c r="A48642" s="136"/>
      <c r="CM48642" s="111"/>
      <c r="CQ48642" s="111"/>
      <c r="EF48642"/>
      <c r="EG48642"/>
      <c r="EH48642"/>
      <c r="EI48642"/>
      <c r="EJ48642"/>
      <c r="EK48642"/>
    </row>
    <row r="48643" spans="1:141" s="116" customFormat="1">
      <c r="A48643" s="136"/>
      <c r="CM48643" s="111"/>
      <c r="CQ48643" s="111"/>
      <c r="EF48643"/>
      <c r="EG48643"/>
      <c r="EH48643"/>
      <c r="EI48643"/>
      <c r="EJ48643"/>
      <c r="EK48643"/>
    </row>
    <row r="48644" spans="1:141" s="116" customFormat="1">
      <c r="A48644" s="136"/>
      <c r="CM48644" s="111"/>
      <c r="CQ48644" s="111"/>
      <c r="EF48644"/>
      <c r="EG48644"/>
      <c r="EH48644"/>
      <c r="EI48644"/>
      <c r="EJ48644"/>
      <c r="EK48644"/>
    </row>
    <row r="48645" spans="1:141" s="116" customFormat="1">
      <c r="A48645" s="136"/>
      <c r="CM48645" s="111"/>
      <c r="CQ48645" s="111"/>
      <c r="EF48645"/>
      <c r="EG48645"/>
      <c r="EH48645"/>
      <c r="EI48645"/>
      <c r="EJ48645"/>
      <c r="EK48645"/>
    </row>
    <row r="48646" spans="1:141" s="116" customFormat="1">
      <c r="A48646" s="136"/>
      <c r="CM48646" s="111"/>
      <c r="CQ48646" s="111"/>
      <c r="EF48646"/>
      <c r="EG48646"/>
      <c r="EH48646"/>
      <c r="EI48646"/>
      <c r="EJ48646"/>
      <c r="EK48646"/>
    </row>
    <row r="48647" spans="1:141" s="116" customFormat="1">
      <c r="A48647" s="136"/>
      <c r="CM48647" s="111"/>
      <c r="CQ48647" s="111"/>
      <c r="EF48647"/>
      <c r="EG48647"/>
      <c r="EH48647"/>
      <c r="EI48647"/>
      <c r="EJ48647"/>
      <c r="EK48647"/>
    </row>
    <row r="48648" spans="1:141" s="116" customFormat="1">
      <c r="A48648" s="136"/>
      <c r="CM48648" s="111"/>
      <c r="CQ48648" s="111"/>
      <c r="EF48648"/>
      <c r="EG48648"/>
      <c r="EH48648"/>
      <c r="EI48648"/>
      <c r="EJ48648"/>
      <c r="EK48648"/>
    </row>
    <row r="48649" spans="1:141" s="116" customFormat="1">
      <c r="A48649" s="136"/>
      <c r="CM48649" s="111"/>
      <c r="CQ48649" s="111"/>
      <c r="EF48649"/>
      <c r="EG48649"/>
      <c r="EH48649"/>
      <c r="EI48649"/>
      <c r="EJ48649"/>
      <c r="EK48649"/>
    </row>
    <row r="48650" spans="1:141" s="116" customFormat="1">
      <c r="A48650" s="136"/>
      <c r="CM48650" s="111"/>
      <c r="CQ48650" s="111"/>
      <c r="EF48650"/>
      <c r="EG48650"/>
      <c r="EH48650"/>
      <c r="EI48650"/>
      <c r="EJ48650"/>
      <c r="EK48650"/>
    </row>
    <row r="48651" spans="1:141" s="116" customFormat="1">
      <c r="A48651" s="136"/>
      <c r="CM48651" s="111"/>
      <c r="CQ48651" s="111"/>
      <c r="EF48651"/>
      <c r="EG48651"/>
      <c r="EH48651"/>
      <c r="EI48651"/>
      <c r="EJ48651"/>
      <c r="EK48651"/>
    </row>
    <row r="48652" spans="1:141" s="116" customFormat="1">
      <c r="A48652" s="136"/>
      <c r="CM48652" s="111"/>
      <c r="CQ48652" s="111"/>
      <c r="EF48652"/>
      <c r="EG48652"/>
      <c r="EH48652"/>
      <c r="EI48652"/>
      <c r="EJ48652"/>
      <c r="EK48652"/>
    </row>
    <row r="48653" spans="1:141" s="116" customFormat="1">
      <c r="A48653" s="136"/>
      <c r="CM48653" s="111"/>
      <c r="CQ48653" s="111"/>
      <c r="EF48653"/>
      <c r="EG48653"/>
      <c r="EH48653"/>
      <c r="EI48653"/>
      <c r="EJ48653"/>
      <c r="EK48653"/>
    </row>
    <row r="48654" spans="1:141" s="116" customFormat="1">
      <c r="A48654" s="136"/>
      <c r="CM48654" s="111"/>
      <c r="CQ48654" s="111"/>
      <c r="EF48654"/>
      <c r="EG48654"/>
      <c r="EH48654"/>
      <c r="EI48654"/>
      <c r="EJ48654"/>
      <c r="EK48654"/>
    </row>
    <row r="48655" spans="1:141" s="116" customFormat="1">
      <c r="A48655" s="136"/>
      <c r="CM48655" s="111"/>
      <c r="CQ48655" s="111"/>
      <c r="EF48655"/>
      <c r="EG48655"/>
      <c r="EH48655"/>
      <c r="EI48655"/>
      <c r="EJ48655"/>
      <c r="EK48655"/>
    </row>
    <row r="48656" spans="1:141" s="116" customFormat="1">
      <c r="A48656" s="136"/>
      <c r="CM48656" s="111"/>
      <c r="CQ48656" s="111"/>
      <c r="EF48656"/>
      <c r="EG48656"/>
      <c r="EH48656"/>
      <c r="EI48656"/>
      <c r="EJ48656"/>
      <c r="EK48656"/>
    </row>
    <row r="48657" spans="1:141" s="116" customFormat="1">
      <c r="A48657" s="136"/>
      <c r="CM48657" s="111"/>
      <c r="CQ48657" s="111"/>
      <c r="EF48657"/>
      <c r="EG48657"/>
      <c r="EH48657"/>
      <c r="EI48657"/>
      <c r="EJ48657"/>
      <c r="EK48657"/>
    </row>
    <row r="48658" spans="1:141" s="116" customFormat="1">
      <c r="A48658" s="136"/>
      <c r="CM48658" s="111"/>
      <c r="CQ48658" s="111"/>
      <c r="EF48658"/>
      <c r="EG48658"/>
      <c r="EH48658"/>
      <c r="EI48658"/>
      <c r="EJ48658"/>
      <c r="EK48658"/>
    </row>
    <row r="48659" spans="1:141" s="116" customFormat="1">
      <c r="A48659" s="136"/>
      <c r="CM48659" s="111"/>
      <c r="CQ48659" s="111"/>
      <c r="EF48659"/>
      <c r="EG48659"/>
      <c r="EH48659"/>
      <c r="EI48659"/>
      <c r="EJ48659"/>
      <c r="EK48659"/>
    </row>
    <row r="48660" spans="1:141" s="116" customFormat="1">
      <c r="A48660" s="136"/>
      <c r="CM48660" s="111"/>
      <c r="CQ48660" s="111"/>
      <c r="EF48660"/>
      <c r="EG48660"/>
      <c r="EH48660"/>
      <c r="EI48660"/>
      <c r="EJ48660"/>
      <c r="EK48660"/>
    </row>
    <row r="48661" spans="1:141" s="116" customFormat="1">
      <c r="A48661" s="136"/>
      <c r="CM48661" s="111"/>
      <c r="CQ48661" s="111"/>
      <c r="EF48661"/>
      <c r="EG48661"/>
      <c r="EH48661"/>
      <c r="EI48661"/>
      <c r="EJ48661"/>
      <c r="EK48661"/>
    </row>
    <row r="48662" spans="1:141" s="116" customFormat="1">
      <c r="A48662" s="136"/>
      <c r="CM48662" s="111"/>
      <c r="CQ48662" s="111"/>
      <c r="EF48662"/>
      <c r="EG48662"/>
      <c r="EH48662"/>
      <c r="EI48662"/>
      <c r="EJ48662"/>
      <c r="EK48662"/>
    </row>
    <row r="48663" spans="1:141" s="116" customFormat="1">
      <c r="A48663" s="136"/>
      <c r="CM48663" s="111"/>
      <c r="CQ48663" s="111"/>
      <c r="EF48663"/>
      <c r="EG48663"/>
      <c r="EH48663"/>
      <c r="EI48663"/>
      <c r="EJ48663"/>
      <c r="EK48663"/>
    </row>
    <row r="48664" spans="1:141" s="116" customFormat="1">
      <c r="A48664" s="136"/>
      <c r="CM48664" s="111"/>
      <c r="CQ48664" s="111"/>
      <c r="EF48664"/>
      <c r="EG48664"/>
      <c r="EH48664"/>
      <c r="EI48664"/>
      <c r="EJ48664"/>
      <c r="EK48664"/>
    </row>
    <row r="48665" spans="1:141" s="116" customFormat="1">
      <c r="A48665" s="136"/>
      <c r="CM48665" s="111"/>
      <c r="CQ48665" s="111"/>
      <c r="EF48665"/>
      <c r="EG48665"/>
      <c r="EH48665"/>
      <c r="EI48665"/>
      <c r="EJ48665"/>
      <c r="EK48665"/>
    </row>
    <row r="48666" spans="1:141" s="116" customFormat="1">
      <c r="A48666" s="136"/>
      <c r="CM48666" s="111"/>
      <c r="CQ48666" s="111"/>
      <c r="EF48666"/>
      <c r="EG48666"/>
      <c r="EH48666"/>
      <c r="EI48666"/>
      <c r="EJ48666"/>
      <c r="EK48666"/>
    </row>
    <row r="48667" spans="1:141" s="116" customFormat="1">
      <c r="A48667" s="136"/>
      <c r="CM48667" s="111"/>
      <c r="CQ48667" s="111"/>
      <c r="EF48667"/>
      <c r="EG48667"/>
      <c r="EH48667"/>
      <c r="EI48667"/>
      <c r="EJ48667"/>
      <c r="EK48667"/>
    </row>
    <row r="48668" spans="1:141" s="116" customFormat="1">
      <c r="A48668" s="136"/>
      <c r="CM48668" s="111"/>
      <c r="CQ48668" s="111"/>
      <c r="EF48668"/>
      <c r="EG48668"/>
      <c r="EH48668"/>
      <c r="EI48668"/>
      <c r="EJ48668"/>
      <c r="EK48668"/>
    </row>
    <row r="48669" spans="1:141" s="116" customFormat="1">
      <c r="A48669" s="136"/>
      <c r="CM48669" s="111"/>
      <c r="CQ48669" s="111"/>
      <c r="EF48669"/>
      <c r="EG48669"/>
      <c r="EH48669"/>
      <c r="EI48669"/>
      <c r="EJ48669"/>
      <c r="EK48669"/>
    </row>
    <row r="48670" spans="1:141" s="116" customFormat="1">
      <c r="A48670" s="136"/>
      <c r="CM48670" s="111"/>
      <c r="CQ48670" s="111"/>
      <c r="EF48670"/>
      <c r="EG48670"/>
      <c r="EH48670"/>
      <c r="EI48670"/>
      <c r="EJ48670"/>
      <c r="EK48670"/>
    </row>
    <row r="48671" spans="1:141" s="116" customFormat="1">
      <c r="A48671" s="136"/>
      <c r="CM48671" s="111"/>
      <c r="CQ48671" s="111"/>
      <c r="EF48671"/>
      <c r="EG48671"/>
      <c r="EH48671"/>
      <c r="EI48671"/>
      <c r="EJ48671"/>
      <c r="EK48671"/>
    </row>
    <row r="48672" spans="1:141" s="116" customFormat="1">
      <c r="A48672" s="136"/>
      <c r="CM48672" s="111"/>
      <c r="CQ48672" s="111"/>
      <c r="EF48672"/>
      <c r="EG48672"/>
      <c r="EH48672"/>
      <c r="EI48672"/>
      <c r="EJ48672"/>
      <c r="EK48672"/>
    </row>
    <row r="48673" spans="1:141" s="116" customFormat="1">
      <c r="A48673" s="136"/>
      <c r="CM48673" s="111"/>
      <c r="CQ48673" s="111"/>
      <c r="EF48673"/>
      <c r="EG48673"/>
      <c r="EH48673"/>
      <c r="EI48673"/>
      <c r="EJ48673"/>
      <c r="EK48673"/>
    </row>
    <row r="48674" spans="1:141" s="116" customFormat="1">
      <c r="A48674" s="136"/>
      <c r="CM48674" s="111"/>
      <c r="CQ48674" s="111"/>
      <c r="EF48674"/>
      <c r="EG48674"/>
      <c r="EH48674"/>
      <c r="EI48674"/>
      <c r="EJ48674"/>
      <c r="EK48674"/>
    </row>
    <row r="48675" spans="1:141" s="116" customFormat="1">
      <c r="A48675" s="136"/>
      <c r="CM48675" s="111"/>
      <c r="CQ48675" s="111"/>
      <c r="EF48675"/>
      <c r="EG48675"/>
      <c r="EH48675"/>
      <c r="EI48675"/>
      <c r="EJ48675"/>
      <c r="EK48675"/>
    </row>
    <row r="48676" spans="1:141" s="116" customFormat="1">
      <c r="A48676" s="136"/>
      <c r="CM48676" s="111"/>
      <c r="CQ48676" s="111"/>
      <c r="EF48676"/>
      <c r="EG48676"/>
      <c r="EH48676"/>
      <c r="EI48676"/>
      <c r="EJ48676"/>
      <c r="EK48676"/>
    </row>
    <row r="48677" spans="1:141" s="116" customFormat="1">
      <c r="A48677" s="136"/>
      <c r="CM48677" s="111"/>
      <c r="CQ48677" s="111"/>
      <c r="EF48677"/>
      <c r="EG48677"/>
      <c r="EH48677"/>
      <c r="EI48677"/>
      <c r="EJ48677"/>
      <c r="EK48677"/>
    </row>
    <row r="48678" spans="1:141" s="116" customFormat="1">
      <c r="A48678" s="136"/>
      <c r="CM48678" s="111"/>
      <c r="CQ48678" s="111"/>
      <c r="EF48678"/>
      <c r="EG48678"/>
      <c r="EH48678"/>
      <c r="EI48678"/>
      <c r="EJ48678"/>
      <c r="EK48678"/>
    </row>
    <row r="48679" spans="1:141" s="116" customFormat="1">
      <c r="A48679" s="136"/>
      <c r="CM48679" s="111"/>
      <c r="CQ48679" s="111"/>
      <c r="EF48679"/>
      <c r="EG48679"/>
      <c r="EH48679"/>
      <c r="EI48679"/>
      <c r="EJ48679"/>
      <c r="EK48679"/>
    </row>
    <row r="48680" spans="1:141" s="116" customFormat="1">
      <c r="A48680" s="136"/>
      <c r="CM48680" s="111"/>
      <c r="CQ48680" s="111"/>
      <c r="EF48680"/>
      <c r="EG48680"/>
      <c r="EH48680"/>
      <c r="EI48680"/>
      <c r="EJ48680"/>
      <c r="EK48680"/>
    </row>
    <row r="48681" spans="1:141" s="116" customFormat="1">
      <c r="A48681" s="136"/>
      <c r="CM48681" s="111"/>
      <c r="CQ48681" s="111"/>
      <c r="EF48681"/>
      <c r="EG48681"/>
      <c r="EH48681"/>
      <c r="EI48681"/>
      <c r="EJ48681"/>
      <c r="EK48681"/>
    </row>
    <row r="48682" spans="1:141" s="116" customFormat="1">
      <c r="A48682" s="136"/>
      <c r="CM48682" s="111"/>
      <c r="CQ48682" s="111"/>
      <c r="EF48682"/>
      <c r="EG48682"/>
      <c r="EH48682"/>
      <c r="EI48682"/>
      <c r="EJ48682"/>
      <c r="EK48682"/>
    </row>
    <row r="48683" spans="1:141" s="116" customFormat="1">
      <c r="A48683" s="136"/>
      <c r="CM48683" s="111"/>
      <c r="CQ48683" s="111"/>
      <c r="EF48683"/>
      <c r="EG48683"/>
      <c r="EH48683"/>
      <c r="EI48683"/>
      <c r="EJ48683"/>
      <c r="EK48683"/>
    </row>
    <row r="48684" spans="1:141" s="116" customFormat="1">
      <c r="A48684" s="136"/>
      <c r="CM48684" s="111"/>
      <c r="CQ48684" s="111"/>
      <c r="EF48684"/>
      <c r="EG48684"/>
      <c r="EH48684"/>
      <c r="EI48684"/>
      <c r="EJ48684"/>
      <c r="EK48684"/>
    </row>
    <row r="48685" spans="1:141" s="116" customFormat="1">
      <c r="A48685" s="136"/>
      <c r="CM48685" s="111"/>
      <c r="CQ48685" s="111"/>
      <c r="EF48685"/>
      <c r="EG48685"/>
      <c r="EH48685"/>
      <c r="EI48685"/>
      <c r="EJ48685"/>
      <c r="EK48685"/>
    </row>
    <row r="48686" spans="1:141" s="116" customFormat="1">
      <c r="A48686" s="136"/>
      <c r="CM48686" s="111"/>
      <c r="CQ48686" s="111"/>
      <c r="EF48686"/>
      <c r="EG48686"/>
      <c r="EH48686"/>
      <c r="EI48686"/>
      <c r="EJ48686"/>
      <c r="EK48686"/>
    </row>
    <row r="48687" spans="1:141" s="116" customFormat="1">
      <c r="A48687" s="136"/>
      <c r="CM48687" s="111"/>
      <c r="CQ48687" s="111"/>
      <c r="EF48687"/>
      <c r="EG48687"/>
      <c r="EH48687"/>
      <c r="EI48687"/>
      <c r="EJ48687"/>
      <c r="EK48687"/>
    </row>
    <row r="48688" spans="1:141" s="116" customFormat="1">
      <c r="A48688" s="136"/>
      <c r="CM48688" s="111"/>
      <c r="CQ48688" s="111"/>
      <c r="EF48688"/>
      <c r="EG48688"/>
      <c r="EH48688"/>
      <c r="EI48688"/>
      <c r="EJ48688"/>
      <c r="EK48688"/>
    </row>
    <row r="48689" spans="1:141" s="116" customFormat="1">
      <c r="A48689" s="136"/>
      <c r="CM48689" s="111"/>
      <c r="CQ48689" s="111"/>
      <c r="EF48689"/>
      <c r="EG48689"/>
      <c r="EH48689"/>
      <c r="EI48689"/>
      <c r="EJ48689"/>
      <c r="EK48689"/>
    </row>
    <row r="48690" spans="1:141" s="116" customFormat="1">
      <c r="A48690" s="136"/>
      <c r="CM48690" s="111"/>
      <c r="CQ48690" s="111"/>
      <c r="EF48690"/>
      <c r="EG48690"/>
      <c r="EH48690"/>
      <c r="EI48690"/>
      <c r="EJ48690"/>
      <c r="EK48690"/>
    </row>
    <row r="48691" spans="1:141" s="116" customFormat="1">
      <c r="A48691" s="136"/>
      <c r="CM48691" s="111"/>
      <c r="CQ48691" s="111"/>
      <c r="EF48691"/>
      <c r="EG48691"/>
      <c r="EH48691"/>
      <c r="EI48691"/>
      <c r="EJ48691"/>
      <c r="EK48691"/>
    </row>
    <row r="48692" spans="1:141" s="116" customFormat="1">
      <c r="A48692" s="136"/>
      <c r="CM48692" s="111"/>
      <c r="CQ48692" s="111"/>
      <c r="EF48692"/>
      <c r="EG48692"/>
      <c r="EH48692"/>
      <c r="EI48692"/>
      <c r="EJ48692"/>
      <c r="EK48692"/>
    </row>
    <row r="48693" spans="1:141" s="116" customFormat="1">
      <c r="A48693" s="136"/>
      <c r="CM48693" s="111"/>
      <c r="CQ48693" s="111"/>
      <c r="EF48693"/>
      <c r="EG48693"/>
      <c r="EH48693"/>
      <c r="EI48693"/>
      <c r="EJ48693"/>
      <c r="EK48693"/>
    </row>
    <row r="48694" spans="1:141" s="116" customFormat="1">
      <c r="A48694" s="136"/>
      <c r="CM48694" s="111"/>
      <c r="CQ48694" s="111"/>
      <c r="EF48694"/>
      <c r="EG48694"/>
      <c r="EH48694"/>
      <c r="EI48694"/>
      <c r="EJ48694"/>
      <c r="EK48694"/>
    </row>
    <row r="48695" spans="1:141" s="116" customFormat="1">
      <c r="A48695" s="136"/>
      <c r="CM48695" s="111"/>
      <c r="CQ48695" s="111"/>
      <c r="EF48695"/>
      <c r="EG48695"/>
      <c r="EH48695"/>
      <c r="EI48695"/>
      <c r="EJ48695"/>
      <c r="EK48695"/>
    </row>
    <row r="48696" spans="1:141" s="116" customFormat="1">
      <c r="A48696" s="136"/>
      <c r="CM48696" s="111"/>
      <c r="CQ48696" s="111"/>
      <c r="EF48696"/>
      <c r="EG48696"/>
      <c r="EH48696"/>
      <c r="EI48696"/>
      <c r="EJ48696"/>
      <c r="EK48696"/>
    </row>
    <row r="48697" spans="1:141" s="116" customFormat="1">
      <c r="A48697" s="136"/>
      <c r="CM48697" s="111"/>
      <c r="CQ48697" s="111"/>
      <c r="EF48697"/>
      <c r="EG48697"/>
      <c r="EH48697"/>
      <c r="EI48697"/>
      <c r="EJ48697"/>
      <c r="EK48697"/>
    </row>
    <row r="48698" spans="1:141" s="116" customFormat="1">
      <c r="A48698" s="136"/>
      <c r="CM48698" s="111"/>
      <c r="CQ48698" s="111"/>
      <c r="EF48698"/>
      <c r="EG48698"/>
      <c r="EH48698"/>
      <c r="EI48698"/>
      <c r="EJ48698"/>
      <c r="EK48698"/>
    </row>
    <row r="48699" spans="1:141" s="116" customFormat="1">
      <c r="A48699" s="136"/>
      <c r="CM48699" s="111"/>
      <c r="CQ48699" s="111"/>
      <c r="EF48699"/>
      <c r="EG48699"/>
      <c r="EH48699"/>
      <c r="EI48699"/>
      <c r="EJ48699"/>
      <c r="EK48699"/>
    </row>
    <row r="48700" spans="1:141" s="116" customFormat="1">
      <c r="A48700" s="136"/>
      <c r="CM48700" s="111"/>
      <c r="CQ48700" s="111"/>
      <c r="EF48700"/>
      <c r="EG48700"/>
      <c r="EH48700"/>
      <c r="EI48700"/>
      <c r="EJ48700"/>
      <c r="EK48700"/>
    </row>
    <row r="48701" spans="1:141" s="116" customFormat="1">
      <c r="A48701" s="136"/>
      <c r="CM48701" s="111"/>
      <c r="CQ48701" s="111"/>
      <c r="EF48701"/>
      <c r="EG48701"/>
      <c r="EH48701"/>
      <c r="EI48701"/>
      <c r="EJ48701"/>
      <c r="EK48701"/>
    </row>
    <row r="48702" spans="1:141" s="116" customFormat="1">
      <c r="A48702" s="136"/>
      <c r="CM48702" s="111"/>
      <c r="CQ48702" s="111"/>
      <c r="EF48702"/>
      <c r="EG48702"/>
      <c r="EH48702"/>
      <c r="EI48702"/>
      <c r="EJ48702"/>
      <c r="EK48702"/>
    </row>
    <row r="48703" spans="1:141" s="116" customFormat="1">
      <c r="A48703" s="136"/>
      <c r="CM48703" s="111"/>
      <c r="CQ48703" s="111"/>
      <c r="EF48703"/>
      <c r="EG48703"/>
      <c r="EH48703"/>
      <c r="EI48703"/>
      <c r="EJ48703"/>
      <c r="EK48703"/>
    </row>
    <row r="48704" spans="1:141" s="116" customFormat="1">
      <c r="A48704" s="136"/>
      <c r="CM48704" s="111"/>
      <c r="CQ48704" s="111"/>
      <c r="EF48704"/>
      <c r="EG48704"/>
      <c r="EH48704"/>
      <c r="EI48704"/>
      <c r="EJ48704"/>
      <c r="EK48704"/>
    </row>
    <row r="48705" spans="1:141" s="116" customFormat="1">
      <c r="A48705" s="136"/>
      <c r="CM48705" s="111"/>
      <c r="CQ48705" s="111"/>
      <c r="EF48705"/>
      <c r="EG48705"/>
      <c r="EH48705"/>
      <c r="EI48705"/>
      <c r="EJ48705"/>
      <c r="EK48705"/>
    </row>
    <row r="48706" spans="1:141" s="116" customFormat="1">
      <c r="A48706" s="136"/>
      <c r="CM48706" s="111"/>
      <c r="CQ48706" s="111"/>
      <c r="EF48706"/>
      <c r="EG48706"/>
      <c r="EH48706"/>
      <c r="EI48706"/>
      <c r="EJ48706"/>
      <c r="EK48706"/>
    </row>
    <row r="48707" spans="1:141" s="116" customFormat="1">
      <c r="A48707" s="136"/>
      <c r="CM48707" s="111"/>
      <c r="CQ48707" s="111"/>
      <c r="EF48707"/>
      <c r="EG48707"/>
      <c r="EH48707"/>
      <c r="EI48707"/>
      <c r="EJ48707"/>
      <c r="EK48707"/>
    </row>
    <row r="48708" spans="1:141" s="116" customFormat="1">
      <c r="A48708" s="136"/>
      <c r="CM48708" s="111"/>
      <c r="CQ48708" s="111"/>
      <c r="EF48708"/>
      <c r="EG48708"/>
      <c r="EH48708"/>
      <c r="EI48708"/>
      <c r="EJ48708"/>
      <c r="EK48708"/>
    </row>
    <row r="48709" spans="1:141" s="116" customFormat="1">
      <c r="A48709" s="136"/>
      <c r="CM48709" s="111"/>
      <c r="CQ48709" s="111"/>
      <c r="EF48709"/>
      <c r="EG48709"/>
      <c r="EH48709"/>
      <c r="EI48709"/>
      <c r="EJ48709"/>
      <c r="EK48709"/>
    </row>
    <row r="48710" spans="1:141" s="116" customFormat="1">
      <c r="A48710" s="136"/>
      <c r="CM48710" s="111"/>
      <c r="CQ48710" s="111"/>
      <c r="EF48710"/>
      <c r="EG48710"/>
      <c r="EH48710"/>
      <c r="EI48710"/>
      <c r="EJ48710"/>
      <c r="EK48710"/>
    </row>
    <row r="48711" spans="1:141" s="116" customFormat="1">
      <c r="A48711" s="136"/>
      <c r="CM48711" s="111"/>
      <c r="CQ48711" s="111"/>
      <c r="EF48711"/>
      <c r="EG48711"/>
      <c r="EH48711"/>
      <c r="EI48711"/>
      <c r="EJ48711"/>
      <c r="EK48711"/>
    </row>
    <row r="48712" spans="1:141" s="116" customFormat="1">
      <c r="A48712" s="136"/>
      <c r="CM48712" s="111"/>
      <c r="CQ48712" s="111"/>
      <c r="EF48712"/>
      <c r="EG48712"/>
      <c r="EH48712"/>
      <c r="EI48712"/>
      <c r="EJ48712"/>
      <c r="EK48712"/>
    </row>
    <row r="48713" spans="1:141" s="116" customFormat="1">
      <c r="A48713" s="136"/>
      <c r="CM48713" s="111"/>
      <c r="CQ48713" s="111"/>
      <c r="EF48713"/>
      <c r="EG48713"/>
      <c r="EH48713"/>
      <c r="EI48713"/>
      <c r="EJ48713"/>
      <c r="EK48713"/>
    </row>
    <row r="48714" spans="1:141" s="116" customFormat="1">
      <c r="A48714" s="136"/>
      <c r="CM48714" s="111"/>
      <c r="CQ48714" s="111"/>
      <c r="EF48714"/>
      <c r="EG48714"/>
      <c r="EH48714"/>
      <c r="EI48714"/>
      <c r="EJ48714"/>
      <c r="EK48714"/>
    </row>
    <row r="48715" spans="1:141" s="116" customFormat="1">
      <c r="A48715" s="136"/>
      <c r="CM48715" s="111"/>
      <c r="CQ48715" s="111"/>
      <c r="EF48715"/>
      <c r="EG48715"/>
      <c r="EH48715"/>
      <c r="EI48715"/>
      <c r="EJ48715"/>
      <c r="EK48715"/>
    </row>
    <row r="48716" spans="1:141" s="116" customFormat="1">
      <c r="A48716" s="136"/>
      <c r="CM48716" s="111"/>
      <c r="CQ48716" s="111"/>
      <c r="EF48716"/>
      <c r="EG48716"/>
      <c r="EH48716"/>
      <c r="EI48716"/>
      <c r="EJ48716"/>
      <c r="EK48716"/>
    </row>
    <row r="48717" spans="1:141" s="116" customFormat="1">
      <c r="A48717" s="136"/>
      <c r="CM48717" s="111"/>
      <c r="CQ48717" s="111"/>
      <c r="EF48717"/>
      <c r="EG48717"/>
      <c r="EH48717"/>
      <c r="EI48717"/>
      <c r="EJ48717"/>
      <c r="EK48717"/>
    </row>
    <row r="48718" spans="1:141" s="116" customFormat="1">
      <c r="A48718" s="136"/>
      <c r="CM48718" s="111"/>
      <c r="CQ48718" s="111"/>
      <c r="EF48718"/>
      <c r="EG48718"/>
      <c r="EH48718"/>
      <c r="EI48718"/>
      <c r="EJ48718"/>
      <c r="EK48718"/>
    </row>
    <row r="48719" spans="1:141" s="116" customFormat="1">
      <c r="A48719" s="136"/>
      <c r="CM48719" s="111"/>
      <c r="CQ48719" s="111"/>
      <c r="EF48719"/>
      <c r="EG48719"/>
      <c r="EH48719"/>
      <c r="EI48719"/>
      <c r="EJ48719"/>
      <c r="EK48719"/>
    </row>
    <row r="48720" spans="1:141" s="116" customFormat="1">
      <c r="A48720" s="136"/>
      <c r="CM48720" s="111"/>
      <c r="CQ48720" s="111"/>
      <c r="EF48720"/>
      <c r="EG48720"/>
      <c r="EH48720"/>
      <c r="EI48720"/>
      <c r="EJ48720"/>
      <c r="EK48720"/>
    </row>
    <row r="48721" spans="1:141" s="116" customFormat="1">
      <c r="A48721" s="136"/>
      <c r="CM48721" s="111"/>
      <c r="CQ48721" s="111"/>
      <c r="EF48721"/>
      <c r="EG48721"/>
      <c r="EH48721"/>
      <c r="EI48721"/>
      <c r="EJ48721"/>
      <c r="EK48721"/>
    </row>
    <row r="48722" spans="1:141" s="116" customFormat="1">
      <c r="A48722" s="136"/>
      <c r="CM48722" s="111"/>
      <c r="CQ48722" s="111"/>
      <c r="EF48722"/>
      <c r="EG48722"/>
      <c r="EH48722"/>
      <c r="EI48722"/>
      <c r="EJ48722"/>
      <c r="EK48722"/>
    </row>
    <row r="48723" spans="1:141" s="116" customFormat="1">
      <c r="A48723" s="136"/>
      <c r="CM48723" s="111"/>
      <c r="CQ48723" s="111"/>
      <c r="EF48723"/>
      <c r="EG48723"/>
      <c r="EH48723"/>
      <c r="EI48723"/>
      <c r="EJ48723"/>
      <c r="EK48723"/>
    </row>
    <row r="48724" spans="1:141" s="116" customFormat="1">
      <c r="A48724" s="136"/>
      <c r="CM48724" s="111"/>
      <c r="CQ48724" s="111"/>
      <c r="EF48724"/>
      <c r="EG48724"/>
      <c r="EH48724"/>
      <c r="EI48724"/>
      <c r="EJ48724"/>
      <c r="EK48724"/>
    </row>
    <row r="48725" spans="1:141" s="116" customFormat="1">
      <c r="A48725" s="136"/>
      <c r="CM48725" s="111"/>
      <c r="CQ48725" s="111"/>
      <c r="EF48725"/>
      <c r="EG48725"/>
      <c r="EH48725"/>
      <c r="EI48725"/>
      <c r="EJ48725"/>
      <c r="EK48725"/>
    </row>
    <row r="48726" spans="1:141" s="116" customFormat="1">
      <c r="A48726" s="136"/>
      <c r="CM48726" s="111"/>
      <c r="CQ48726" s="111"/>
      <c r="EF48726"/>
      <c r="EG48726"/>
      <c r="EH48726"/>
      <c r="EI48726"/>
      <c r="EJ48726"/>
      <c r="EK48726"/>
    </row>
    <row r="48727" spans="1:141" s="116" customFormat="1">
      <c r="A48727" s="136"/>
      <c r="CM48727" s="111"/>
      <c r="CQ48727" s="111"/>
      <c r="EF48727"/>
      <c r="EG48727"/>
      <c r="EH48727"/>
      <c r="EI48727"/>
      <c r="EJ48727"/>
      <c r="EK48727"/>
    </row>
    <row r="48728" spans="1:141" s="116" customFormat="1">
      <c r="A48728" s="136"/>
      <c r="CM48728" s="111"/>
      <c r="CQ48728" s="111"/>
      <c r="EF48728"/>
      <c r="EG48728"/>
      <c r="EH48728"/>
      <c r="EI48728"/>
      <c r="EJ48728"/>
      <c r="EK48728"/>
    </row>
    <row r="48729" spans="1:141" s="116" customFormat="1">
      <c r="A48729" s="136"/>
      <c r="CM48729" s="111"/>
      <c r="CQ48729" s="111"/>
      <c r="EF48729"/>
      <c r="EG48729"/>
      <c r="EH48729"/>
      <c r="EI48729"/>
      <c r="EJ48729"/>
      <c r="EK48729"/>
    </row>
    <row r="48730" spans="1:141" s="116" customFormat="1">
      <c r="A48730" s="136"/>
      <c r="CM48730" s="111"/>
      <c r="CQ48730" s="111"/>
      <c r="EF48730"/>
      <c r="EG48730"/>
      <c r="EH48730"/>
      <c r="EI48730"/>
      <c r="EJ48730"/>
      <c r="EK48730"/>
    </row>
    <row r="48731" spans="1:141" s="116" customFormat="1">
      <c r="A48731" s="136"/>
      <c r="CM48731" s="111"/>
      <c r="CQ48731" s="111"/>
      <c r="EF48731"/>
      <c r="EG48731"/>
      <c r="EH48731"/>
      <c r="EI48731"/>
      <c r="EJ48731"/>
      <c r="EK48731"/>
    </row>
    <row r="48732" spans="1:141" s="116" customFormat="1">
      <c r="A48732" s="136"/>
      <c r="CM48732" s="111"/>
      <c r="CQ48732" s="111"/>
      <c r="EF48732"/>
      <c r="EG48732"/>
      <c r="EH48732"/>
      <c r="EI48732"/>
      <c r="EJ48732"/>
      <c r="EK48732"/>
    </row>
    <row r="48733" spans="1:141" s="116" customFormat="1">
      <c r="A48733" s="136"/>
      <c r="CM48733" s="111"/>
      <c r="CQ48733" s="111"/>
      <c r="EF48733"/>
      <c r="EG48733"/>
      <c r="EH48733"/>
      <c r="EI48733"/>
      <c r="EJ48733"/>
      <c r="EK48733"/>
    </row>
    <row r="48734" spans="1:141" s="116" customFormat="1">
      <c r="A48734" s="136"/>
      <c r="CM48734" s="111"/>
      <c r="CQ48734" s="111"/>
      <c r="EF48734"/>
      <c r="EG48734"/>
      <c r="EH48734"/>
      <c r="EI48734"/>
      <c r="EJ48734"/>
      <c r="EK48734"/>
    </row>
    <row r="48735" spans="1:141" s="116" customFormat="1">
      <c r="A48735" s="136"/>
      <c r="CM48735" s="111"/>
      <c r="CQ48735" s="111"/>
      <c r="EF48735"/>
      <c r="EG48735"/>
      <c r="EH48735"/>
      <c r="EI48735"/>
      <c r="EJ48735"/>
      <c r="EK48735"/>
    </row>
    <row r="48736" spans="1:141" s="116" customFormat="1">
      <c r="A48736" s="136"/>
      <c r="CM48736" s="111"/>
      <c r="CQ48736" s="111"/>
      <c r="EF48736"/>
      <c r="EG48736"/>
      <c r="EH48736"/>
      <c r="EI48736"/>
      <c r="EJ48736"/>
      <c r="EK48736"/>
    </row>
    <row r="48737" spans="1:141" s="116" customFormat="1">
      <c r="A48737" s="136"/>
      <c r="CM48737" s="111"/>
      <c r="CQ48737" s="111"/>
      <c r="EF48737"/>
      <c r="EG48737"/>
      <c r="EH48737"/>
      <c r="EI48737"/>
      <c r="EJ48737"/>
      <c r="EK48737"/>
    </row>
    <row r="48738" spans="1:141" s="116" customFormat="1">
      <c r="A48738" s="136"/>
      <c r="CM48738" s="111"/>
      <c r="CQ48738" s="111"/>
      <c r="EF48738"/>
      <c r="EG48738"/>
      <c r="EH48738"/>
      <c r="EI48738"/>
      <c r="EJ48738"/>
      <c r="EK48738"/>
    </row>
    <row r="48739" spans="1:141" s="116" customFormat="1">
      <c r="A48739" s="136"/>
      <c r="CM48739" s="111"/>
      <c r="CQ48739" s="111"/>
      <c r="EF48739"/>
      <c r="EG48739"/>
      <c r="EH48739"/>
      <c r="EI48739"/>
      <c r="EJ48739"/>
      <c r="EK48739"/>
    </row>
    <row r="48740" spans="1:141" s="116" customFormat="1">
      <c r="A48740" s="136"/>
      <c r="CM48740" s="111"/>
      <c r="CQ48740" s="111"/>
      <c r="EF48740"/>
      <c r="EG48740"/>
      <c r="EH48740"/>
      <c r="EI48740"/>
      <c r="EJ48740"/>
      <c r="EK48740"/>
    </row>
    <row r="48741" spans="1:141" s="116" customFormat="1">
      <c r="A48741" s="136"/>
      <c r="CM48741" s="111"/>
      <c r="CQ48741" s="111"/>
      <c r="EF48741"/>
      <c r="EG48741"/>
      <c r="EH48741"/>
      <c r="EI48741"/>
      <c r="EJ48741"/>
      <c r="EK48741"/>
    </row>
    <row r="48742" spans="1:141" s="116" customFormat="1">
      <c r="A48742" s="136"/>
      <c r="CM48742" s="111"/>
      <c r="CQ48742" s="111"/>
      <c r="EF48742"/>
      <c r="EG48742"/>
      <c r="EH48742"/>
      <c r="EI48742"/>
      <c r="EJ48742"/>
      <c r="EK48742"/>
    </row>
    <row r="48743" spans="1:141" s="116" customFormat="1">
      <c r="A48743" s="136"/>
      <c r="CM48743" s="111"/>
      <c r="CQ48743" s="111"/>
      <c r="EF48743"/>
      <c r="EG48743"/>
      <c r="EH48743"/>
      <c r="EI48743"/>
      <c r="EJ48743"/>
      <c r="EK48743"/>
    </row>
    <row r="48744" spans="1:141" s="116" customFormat="1">
      <c r="A48744" s="136"/>
      <c r="CM48744" s="111"/>
      <c r="CQ48744" s="111"/>
      <c r="EF48744"/>
      <c r="EG48744"/>
      <c r="EH48744"/>
      <c r="EI48744"/>
      <c r="EJ48744"/>
      <c r="EK48744"/>
    </row>
    <row r="48745" spans="1:141" s="116" customFormat="1">
      <c r="A48745" s="136"/>
      <c r="CM48745" s="111"/>
      <c r="CQ48745" s="111"/>
      <c r="EF48745"/>
      <c r="EG48745"/>
      <c r="EH48745"/>
      <c r="EI48745"/>
      <c r="EJ48745"/>
      <c r="EK48745"/>
    </row>
    <row r="48746" spans="1:141" s="116" customFormat="1">
      <c r="A48746" s="136"/>
      <c r="CM48746" s="111"/>
      <c r="CQ48746" s="111"/>
      <c r="EF48746"/>
      <c r="EG48746"/>
      <c r="EH48746"/>
      <c r="EI48746"/>
      <c r="EJ48746"/>
      <c r="EK48746"/>
    </row>
    <row r="48747" spans="1:141" s="116" customFormat="1">
      <c r="A48747" s="136"/>
      <c r="CM48747" s="111"/>
      <c r="CQ48747" s="111"/>
      <c r="EF48747"/>
      <c r="EG48747"/>
      <c r="EH48747"/>
      <c r="EI48747"/>
      <c r="EJ48747"/>
      <c r="EK48747"/>
    </row>
    <row r="48748" spans="1:141" s="116" customFormat="1">
      <c r="A48748" s="136"/>
      <c r="CM48748" s="111"/>
      <c r="CQ48748" s="111"/>
      <c r="EF48748"/>
      <c r="EG48748"/>
      <c r="EH48748"/>
      <c r="EI48748"/>
      <c r="EJ48748"/>
      <c r="EK48748"/>
    </row>
    <row r="48749" spans="1:141" s="116" customFormat="1">
      <c r="A48749" s="136"/>
      <c r="CM48749" s="111"/>
      <c r="CQ48749" s="111"/>
      <c r="EF48749"/>
      <c r="EG48749"/>
      <c r="EH48749"/>
      <c r="EI48749"/>
      <c r="EJ48749"/>
      <c r="EK48749"/>
    </row>
    <row r="48750" spans="1:141" s="116" customFormat="1">
      <c r="A48750" s="136"/>
      <c r="CM48750" s="111"/>
      <c r="CQ48750" s="111"/>
      <c r="EF48750"/>
      <c r="EG48750"/>
      <c r="EH48750"/>
      <c r="EI48750"/>
      <c r="EJ48750"/>
      <c r="EK48750"/>
    </row>
    <row r="48751" spans="1:141" s="116" customFormat="1">
      <c r="A48751" s="136"/>
      <c r="CM48751" s="111"/>
      <c r="CQ48751" s="111"/>
      <c r="EF48751"/>
      <c r="EG48751"/>
      <c r="EH48751"/>
      <c r="EI48751"/>
      <c r="EJ48751"/>
      <c r="EK48751"/>
    </row>
    <row r="48752" spans="1:141" s="116" customFormat="1">
      <c r="A48752" s="136"/>
      <c r="CM48752" s="111"/>
      <c r="CQ48752" s="111"/>
      <c r="EF48752"/>
      <c r="EG48752"/>
      <c r="EH48752"/>
      <c r="EI48752"/>
      <c r="EJ48752"/>
      <c r="EK48752"/>
    </row>
    <row r="48753" spans="1:141" s="116" customFormat="1">
      <c r="A48753" s="136"/>
      <c r="CM48753" s="111"/>
      <c r="CQ48753" s="111"/>
      <c r="EF48753"/>
      <c r="EG48753"/>
      <c r="EH48753"/>
      <c r="EI48753"/>
      <c r="EJ48753"/>
      <c r="EK48753"/>
    </row>
    <row r="48754" spans="1:141" s="116" customFormat="1">
      <c r="A48754" s="136"/>
      <c r="CM48754" s="111"/>
      <c r="CQ48754" s="111"/>
      <c r="EF48754"/>
      <c r="EG48754"/>
      <c r="EH48754"/>
      <c r="EI48754"/>
      <c r="EJ48754"/>
      <c r="EK48754"/>
    </row>
    <row r="48755" spans="1:141" s="116" customFormat="1">
      <c r="A48755" s="136"/>
      <c r="CM48755" s="111"/>
      <c r="CQ48755" s="111"/>
      <c r="EF48755"/>
      <c r="EG48755"/>
      <c r="EH48755"/>
      <c r="EI48755"/>
      <c r="EJ48755"/>
      <c r="EK48755"/>
    </row>
    <row r="48756" spans="1:141" s="116" customFormat="1">
      <c r="A48756" s="136"/>
      <c r="CM48756" s="111"/>
      <c r="CQ48756" s="111"/>
      <c r="EF48756"/>
      <c r="EG48756"/>
      <c r="EH48756"/>
      <c r="EI48756"/>
      <c r="EJ48756"/>
      <c r="EK48756"/>
    </row>
    <row r="48757" spans="1:141" s="116" customFormat="1">
      <c r="A48757" s="136"/>
      <c r="CM48757" s="111"/>
      <c r="CQ48757" s="111"/>
      <c r="EF48757"/>
      <c r="EG48757"/>
      <c r="EH48757"/>
      <c r="EI48757"/>
      <c r="EJ48757"/>
      <c r="EK48757"/>
    </row>
    <row r="48758" spans="1:141" s="116" customFormat="1">
      <c r="A48758" s="136"/>
      <c r="CM48758" s="111"/>
      <c r="CQ48758" s="111"/>
      <c r="EF48758"/>
      <c r="EG48758"/>
      <c r="EH48758"/>
      <c r="EI48758"/>
      <c r="EJ48758"/>
      <c r="EK48758"/>
    </row>
    <row r="48759" spans="1:141" s="116" customFormat="1">
      <c r="A48759" s="136"/>
      <c r="CM48759" s="111"/>
      <c r="CQ48759" s="111"/>
      <c r="EF48759"/>
      <c r="EG48759"/>
      <c r="EH48759"/>
      <c r="EI48759"/>
      <c r="EJ48759"/>
      <c r="EK48759"/>
    </row>
    <row r="48760" spans="1:141" s="116" customFormat="1">
      <c r="A48760" s="136"/>
      <c r="CM48760" s="111"/>
      <c r="CQ48760" s="111"/>
      <c r="EF48760"/>
      <c r="EG48760"/>
      <c r="EH48760"/>
      <c r="EI48760"/>
      <c r="EJ48760"/>
      <c r="EK48760"/>
    </row>
    <row r="48761" spans="1:141" s="116" customFormat="1">
      <c r="A48761" s="136"/>
      <c r="CM48761" s="111"/>
      <c r="CQ48761" s="111"/>
      <c r="EF48761"/>
      <c r="EG48761"/>
      <c r="EH48761"/>
      <c r="EI48761"/>
      <c r="EJ48761"/>
      <c r="EK48761"/>
    </row>
    <row r="48762" spans="1:141" s="116" customFormat="1">
      <c r="A48762" s="136"/>
      <c r="CM48762" s="111"/>
      <c r="CQ48762" s="111"/>
      <c r="EF48762"/>
      <c r="EG48762"/>
      <c r="EH48762"/>
      <c r="EI48762"/>
      <c r="EJ48762"/>
      <c r="EK48762"/>
    </row>
    <row r="48763" spans="1:141" s="116" customFormat="1">
      <c r="A48763" s="136"/>
      <c r="CM48763" s="111"/>
      <c r="CQ48763" s="111"/>
      <c r="EF48763"/>
      <c r="EG48763"/>
      <c r="EH48763"/>
      <c r="EI48763"/>
      <c r="EJ48763"/>
      <c r="EK48763"/>
    </row>
    <row r="48764" spans="1:141" s="116" customFormat="1">
      <c r="A48764" s="136"/>
      <c r="CM48764" s="111"/>
      <c r="CQ48764" s="111"/>
      <c r="EF48764"/>
      <c r="EG48764"/>
      <c r="EH48764"/>
      <c r="EI48764"/>
      <c r="EJ48764"/>
      <c r="EK48764"/>
    </row>
    <row r="48765" spans="1:141" s="116" customFormat="1">
      <c r="A48765" s="136"/>
      <c r="CM48765" s="111"/>
      <c r="CQ48765" s="111"/>
      <c r="EF48765"/>
      <c r="EG48765"/>
      <c r="EH48765"/>
      <c r="EI48765"/>
      <c r="EJ48765"/>
      <c r="EK48765"/>
    </row>
    <row r="48766" spans="1:141" s="116" customFormat="1">
      <c r="A48766" s="136"/>
      <c r="CM48766" s="111"/>
      <c r="CQ48766" s="111"/>
      <c r="EF48766"/>
      <c r="EG48766"/>
      <c r="EH48766"/>
      <c r="EI48766"/>
      <c r="EJ48766"/>
      <c r="EK48766"/>
    </row>
    <row r="48767" spans="1:141" s="116" customFormat="1">
      <c r="A48767" s="136"/>
      <c r="CM48767" s="111"/>
      <c r="CQ48767" s="111"/>
      <c r="EF48767"/>
      <c r="EG48767"/>
      <c r="EH48767"/>
      <c r="EI48767"/>
      <c r="EJ48767"/>
      <c r="EK48767"/>
    </row>
    <row r="48768" spans="1:141" s="116" customFormat="1">
      <c r="A48768" s="136"/>
      <c r="CM48768" s="111"/>
      <c r="CQ48768" s="111"/>
      <c r="EF48768"/>
      <c r="EG48768"/>
      <c r="EH48768"/>
      <c r="EI48768"/>
      <c r="EJ48768"/>
      <c r="EK48768"/>
    </row>
    <row r="48769" spans="1:141" s="116" customFormat="1">
      <c r="A48769" s="136"/>
      <c r="CM48769" s="111"/>
      <c r="CQ48769" s="111"/>
      <c r="EF48769"/>
      <c r="EG48769"/>
      <c r="EH48769"/>
      <c r="EI48769"/>
      <c r="EJ48769"/>
      <c r="EK48769"/>
    </row>
    <row r="48770" spans="1:141" s="116" customFormat="1">
      <c r="A48770" s="136"/>
      <c r="CM48770" s="111"/>
      <c r="CQ48770" s="111"/>
      <c r="EF48770"/>
      <c r="EG48770"/>
      <c r="EH48770"/>
      <c r="EI48770"/>
      <c r="EJ48770"/>
      <c r="EK48770"/>
    </row>
    <row r="48771" spans="1:141" s="116" customFormat="1">
      <c r="A48771" s="136"/>
      <c r="CM48771" s="111"/>
      <c r="CQ48771" s="111"/>
      <c r="EF48771"/>
      <c r="EG48771"/>
      <c r="EH48771"/>
      <c r="EI48771"/>
      <c r="EJ48771"/>
      <c r="EK48771"/>
    </row>
    <row r="48772" spans="1:141" s="116" customFormat="1">
      <c r="A48772" s="136"/>
      <c r="CM48772" s="111"/>
      <c r="CQ48772" s="111"/>
      <c r="EF48772"/>
      <c r="EG48772"/>
      <c r="EH48772"/>
      <c r="EI48772"/>
      <c r="EJ48772"/>
      <c r="EK48772"/>
    </row>
    <row r="48773" spans="1:141" s="116" customFormat="1">
      <c r="A48773" s="136"/>
      <c r="CM48773" s="111"/>
      <c r="CQ48773" s="111"/>
      <c r="EF48773"/>
      <c r="EG48773"/>
      <c r="EH48773"/>
      <c r="EI48773"/>
      <c r="EJ48773"/>
      <c r="EK48773"/>
    </row>
    <row r="48774" spans="1:141" s="116" customFormat="1">
      <c r="A48774" s="136"/>
      <c r="CM48774" s="111"/>
      <c r="CQ48774" s="111"/>
      <c r="EF48774"/>
      <c r="EG48774"/>
      <c r="EH48774"/>
      <c r="EI48774"/>
      <c r="EJ48774"/>
      <c r="EK48774"/>
    </row>
    <row r="48775" spans="1:141" s="116" customFormat="1">
      <c r="A48775" s="136"/>
      <c r="CM48775" s="111"/>
      <c r="CQ48775" s="111"/>
      <c r="EF48775"/>
      <c r="EG48775"/>
      <c r="EH48775"/>
      <c r="EI48775"/>
      <c r="EJ48775"/>
      <c r="EK48775"/>
    </row>
    <row r="48776" spans="1:141" s="116" customFormat="1">
      <c r="A48776" s="136"/>
      <c r="CM48776" s="111"/>
      <c r="CQ48776" s="111"/>
      <c r="EF48776"/>
      <c r="EG48776"/>
      <c r="EH48776"/>
      <c r="EI48776"/>
      <c r="EJ48776"/>
      <c r="EK48776"/>
    </row>
    <row r="48777" spans="1:141" s="116" customFormat="1">
      <c r="A48777" s="136"/>
      <c r="CM48777" s="111"/>
      <c r="CQ48777" s="111"/>
      <c r="EF48777"/>
      <c r="EG48777"/>
      <c r="EH48777"/>
      <c r="EI48777"/>
      <c r="EJ48777"/>
      <c r="EK48777"/>
    </row>
    <row r="48778" spans="1:141" s="116" customFormat="1">
      <c r="A48778" s="136"/>
      <c r="CM48778" s="111"/>
      <c r="CQ48778" s="111"/>
      <c r="EF48778"/>
      <c r="EG48778"/>
      <c r="EH48778"/>
      <c r="EI48778"/>
      <c r="EJ48778"/>
      <c r="EK48778"/>
    </row>
    <row r="48779" spans="1:141" s="116" customFormat="1">
      <c r="A48779" s="136"/>
      <c r="CM48779" s="111"/>
      <c r="CQ48779" s="111"/>
      <c r="EF48779"/>
      <c r="EG48779"/>
      <c r="EH48779"/>
      <c r="EI48779"/>
      <c r="EJ48779"/>
      <c r="EK48779"/>
    </row>
    <row r="48780" spans="1:141" s="116" customFormat="1">
      <c r="A48780" s="136"/>
      <c r="CM48780" s="111"/>
      <c r="CQ48780" s="111"/>
      <c r="EF48780"/>
      <c r="EG48780"/>
      <c r="EH48780"/>
      <c r="EI48780"/>
      <c r="EJ48780"/>
      <c r="EK48780"/>
    </row>
    <row r="48781" spans="1:141" s="116" customFormat="1">
      <c r="A48781" s="136"/>
      <c r="CM48781" s="111"/>
      <c r="CQ48781" s="111"/>
      <c r="EF48781"/>
      <c r="EG48781"/>
      <c r="EH48781"/>
      <c r="EI48781"/>
      <c r="EJ48781"/>
      <c r="EK48781"/>
    </row>
    <row r="48782" spans="1:141" s="116" customFormat="1">
      <c r="A48782" s="136"/>
      <c r="CM48782" s="111"/>
      <c r="CQ48782" s="111"/>
      <c r="EF48782"/>
      <c r="EG48782"/>
      <c r="EH48782"/>
      <c r="EI48782"/>
      <c r="EJ48782"/>
      <c r="EK48782"/>
    </row>
    <row r="48783" spans="1:141" s="116" customFormat="1">
      <c r="A48783" s="136"/>
      <c r="CM48783" s="111"/>
      <c r="CQ48783" s="111"/>
      <c r="EF48783"/>
      <c r="EG48783"/>
      <c r="EH48783"/>
      <c r="EI48783"/>
      <c r="EJ48783"/>
      <c r="EK48783"/>
    </row>
    <row r="48784" spans="1:141" s="116" customFormat="1">
      <c r="A48784" s="136"/>
      <c r="CM48784" s="111"/>
      <c r="CQ48784" s="111"/>
      <c r="EF48784"/>
      <c r="EG48784"/>
      <c r="EH48784"/>
      <c r="EI48784"/>
      <c r="EJ48784"/>
      <c r="EK48784"/>
    </row>
    <row r="48785" spans="1:141" s="116" customFormat="1">
      <c r="A48785" s="136"/>
      <c r="CM48785" s="111"/>
      <c r="CQ48785" s="111"/>
      <c r="EF48785"/>
      <c r="EG48785"/>
      <c r="EH48785"/>
      <c r="EI48785"/>
      <c r="EJ48785"/>
      <c r="EK48785"/>
    </row>
    <row r="48786" spans="1:141" s="116" customFormat="1">
      <c r="A48786" s="136"/>
      <c r="CM48786" s="111"/>
      <c r="CQ48786" s="111"/>
      <c r="EF48786"/>
      <c r="EG48786"/>
      <c r="EH48786"/>
      <c r="EI48786"/>
      <c r="EJ48786"/>
      <c r="EK48786"/>
    </row>
    <row r="48787" spans="1:141" s="116" customFormat="1">
      <c r="A48787" s="136"/>
      <c r="CM48787" s="111"/>
      <c r="CQ48787" s="111"/>
      <c r="EF48787"/>
      <c r="EG48787"/>
      <c r="EH48787"/>
      <c r="EI48787"/>
      <c r="EJ48787"/>
      <c r="EK48787"/>
    </row>
    <row r="48788" spans="1:141" s="116" customFormat="1">
      <c r="A48788" s="136"/>
      <c r="CM48788" s="111"/>
      <c r="CQ48788" s="111"/>
      <c r="EF48788"/>
      <c r="EG48788"/>
      <c r="EH48788"/>
      <c r="EI48788"/>
      <c r="EJ48788"/>
      <c r="EK48788"/>
    </row>
    <row r="48789" spans="1:141" s="116" customFormat="1">
      <c r="A48789" s="136"/>
      <c r="CM48789" s="111"/>
      <c r="CQ48789" s="111"/>
      <c r="EF48789"/>
      <c r="EG48789"/>
      <c r="EH48789"/>
      <c r="EI48789"/>
      <c r="EJ48789"/>
      <c r="EK48789"/>
    </row>
    <row r="48790" spans="1:141" s="116" customFormat="1">
      <c r="A48790" s="136"/>
      <c r="CM48790" s="111"/>
      <c r="CQ48790" s="111"/>
      <c r="EF48790"/>
      <c r="EG48790"/>
      <c r="EH48790"/>
      <c r="EI48790"/>
      <c r="EJ48790"/>
      <c r="EK48790"/>
    </row>
    <row r="48791" spans="1:141" s="116" customFormat="1">
      <c r="A48791" s="136"/>
      <c r="CM48791" s="111"/>
      <c r="CQ48791" s="111"/>
      <c r="EF48791"/>
      <c r="EG48791"/>
      <c r="EH48791"/>
      <c r="EI48791"/>
      <c r="EJ48791"/>
      <c r="EK48791"/>
    </row>
    <row r="48792" spans="1:141" s="116" customFormat="1">
      <c r="A48792" s="136"/>
      <c r="CM48792" s="111"/>
      <c r="CQ48792" s="111"/>
      <c r="EF48792"/>
      <c r="EG48792"/>
      <c r="EH48792"/>
      <c r="EI48792"/>
      <c r="EJ48792"/>
      <c r="EK48792"/>
    </row>
    <row r="48793" spans="1:141" s="116" customFormat="1">
      <c r="A48793" s="136"/>
      <c r="CM48793" s="111"/>
      <c r="CQ48793" s="111"/>
      <c r="EF48793"/>
      <c r="EG48793"/>
      <c r="EH48793"/>
      <c r="EI48793"/>
      <c r="EJ48793"/>
      <c r="EK48793"/>
    </row>
    <row r="48794" spans="1:141" s="116" customFormat="1">
      <c r="A48794" s="136"/>
      <c r="CM48794" s="111"/>
      <c r="CQ48794" s="111"/>
      <c r="EF48794"/>
      <c r="EG48794"/>
      <c r="EH48794"/>
      <c r="EI48794"/>
      <c r="EJ48794"/>
      <c r="EK48794"/>
    </row>
    <row r="48795" spans="1:141" s="116" customFormat="1">
      <c r="A48795" s="136"/>
      <c r="CM48795" s="111"/>
      <c r="CQ48795" s="111"/>
      <c r="EF48795"/>
      <c r="EG48795"/>
      <c r="EH48795"/>
      <c r="EI48795"/>
      <c r="EJ48795"/>
      <c r="EK48795"/>
    </row>
    <row r="48796" spans="1:141" s="116" customFormat="1">
      <c r="A48796" s="136"/>
      <c r="CM48796" s="111"/>
      <c r="CQ48796" s="111"/>
      <c r="EF48796"/>
      <c r="EG48796"/>
      <c r="EH48796"/>
      <c r="EI48796"/>
      <c r="EJ48796"/>
      <c r="EK48796"/>
    </row>
    <row r="48797" spans="1:141" s="116" customFormat="1">
      <c r="A48797" s="136"/>
      <c r="CM48797" s="111"/>
      <c r="CQ48797" s="111"/>
      <c r="EF48797"/>
      <c r="EG48797"/>
      <c r="EH48797"/>
      <c r="EI48797"/>
      <c r="EJ48797"/>
      <c r="EK48797"/>
    </row>
    <row r="48798" spans="1:141" s="116" customFormat="1">
      <c r="A48798" s="136"/>
      <c r="CM48798" s="111"/>
      <c r="CQ48798" s="111"/>
      <c r="EF48798"/>
      <c r="EG48798"/>
      <c r="EH48798"/>
      <c r="EI48798"/>
      <c r="EJ48798"/>
      <c r="EK48798"/>
    </row>
    <row r="48799" spans="1:141" s="116" customFormat="1">
      <c r="A48799" s="136"/>
      <c r="CM48799" s="111"/>
      <c r="CQ48799" s="111"/>
      <c r="EF48799"/>
      <c r="EG48799"/>
      <c r="EH48799"/>
      <c r="EI48799"/>
      <c r="EJ48799"/>
      <c r="EK48799"/>
    </row>
    <row r="48800" spans="1:141" s="116" customFormat="1">
      <c r="A48800" s="136"/>
      <c r="CM48800" s="111"/>
      <c r="CQ48800" s="111"/>
      <c r="EF48800"/>
      <c r="EG48800"/>
      <c r="EH48800"/>
      <c r="EI48800"/>
      <c r="EJ48800"/>
      <c r="EK48800"/>
    </row>
    <row r="48801" spans="1:141" s="116" customFormat="1">
      <c r="A48801" s="136"/>
      <c r="CM48801" s="111"/>
      <c r="CQ48801" s="111"/>
      <c r="EF48801"/>
      <c r="EG48801"/>
      <c r="EH48801"/>
      <c r="EI48801"/>
      <c r="EJ48801"/>
      <c r="EK48801"/>
    </row>
    <row r="48802" spans="1:141" s="116" customFormat="1">
      <c r="A48802" s="136"/>
      <c r="CM48802" s="111"/>
      <c r="CQ48802" s="111"/>
      <c r="EF48802"/>
      <c r="EG48802"/>
      <c r="EH48802"/>
      <c r="EI48802"/>
      <c r="EJ48802"/>
      <c r="EK48802"/>
    </row>
    <row r="48803" spans="1:141" s="116" customFormat="1">
      <c r="A48803" s="136"/>
      <c r="CM48803" s="111"/>
      <c r="CQ48803" s="111"/>
      <c r="EF48803"/>
      <c r="EG48803"/>
      <c r="EH48803"/>
      <c r="EI48803"/>
      <c r="EJ48803"/>
      <c r="EK48803"/>
    </row>
    <row r="48804" spans="1:141" s="116" customFormat="1">
      <c r="A48804" s="136"/>
      <c r="CM48804" s="111"/>
      <c r="CQ48804" s="111"/>
      <c r="EF48804"/>
      <c r="EG48804"/>
      <c r="EH48804"/>
      <c r="EI48804"/>
      <c r="EJ48804"/>
      <c r="EK48804"/>
    </row>
    <row r="48805" spans="1:141" s="116" customFormat="1">
      <c r="A48805" s="136"/>
      <c r="CM48805" s="111"/>
      <c r="CQ48805" s="111"/>
      <c r="EF48805"/>
      <c r="EG48805"/>
      <c r="EH48805"/>
      <c r="EI48805"/>
      <c r="EJ48805"/>
      <c r="EK48805"/>
    </row>
    <row r="48806" spans="1:141" s="116" customFormat="1">
      <c r="A48806" s="136"/>
      <c r="CM48806" s="111"/>
      <c r="CQ48806" s="111"/>
      <c r="EF48806"/>
      <c r="EG48806"/>
      <c r="EH48806"/>
      <c r="EI48806"/>
      <c r="EJ48806"/>
      <c r="EK48806"/>
    </row>
    <row r="48807" spans="1:141" s="116" customFormat="1">
      <c r="A48807" s="136"/>
      <c r="CM48807" s="111"/>
      <c r="CQ48807" s="111"/>
      <c r="EF48807"/>
      <c r="EG48807"/>
      <c r="EH48807"/>
      <c r="EI48807"/>
      <c r="EJ48807"/>
      <c r="EK48807"/>
    </row>
    <row r="48808" spans="1:141" s="116" customFormat="1">
      <c r="A48808" s="136"/>
      <c r="CM48808" s="111"/>
      <c r="CQ48808" s="111"/>
      <c r="EF48808"/>
      <c r="EG48808"/>
      <c r="EH48808"/>
      <c r="EI48808"/>
      <c r="EJ48808"/>
      <c r="EK48808"/>
    </row>
    <row r="48809" spans="1:141" s="116" customFormat="1">
      <c r="A48809" s="136"/>
      <c r="CM48809" s="111"/>
      <c r="CQ48809" s="111"/>
      <c r="EF48809"/>
      <c r="EG48809"/>
      <c r="EH48809"/>
      <c r="EI48809"/>
      <c r="EJ48809"/>
      <c r="EK48809"/>
    </row>
    <row r="48810" spans="1:141" s="116" customFormat="1">
      <c r="A48810" s="136"/>
      <c r="CM48810" s="111"/>
      <c r="CQ48810" s="111"/>
      <c r="EF48810"/>
      <c r="EG48810"/>
      <c r="EH48810"/>
      <c r="EI48810"/>
      <c r="EJ48810"/>
      <c r="EK48810"/>
    </row>
    <row r="48811" spans="1:141" s="116" customFormat="1">
      <c r="A48811" s="136"/>
      <c r="CM48811" s="111"/>
      <c r="CQ48811" s="111"/>
      <c r="EF48811"/>
      <c r="EG48811"/>
      <c r="EH48811"/>
      <c r="EI48811"/>
      <c r="EJ48811"/>
      <c r="EK48811"/>
    </row>
    <row r="48812" spans="1:141" s="116" customFormat="1">
      <c r="A48812" s="136"/>
      <c r="CM48812" s="111"/>
      <c r="CQ48812" s="111"/>
      <c r="EF48812"/>
      <c r="EG48812"/>
      <c r="EH48812"/>
      <c r="EI48812"/>
      <c r="EJ48812"/>
      <c r="EK48812"/>
    </row>
    <row r="48813" spans="1:141" s="116" customFormat="1">
      <c r="A48813" s="136"/>
      <c r="CM48813" s="111"/>
      <c r="CQ48813" s="111"/>
      <c r="EF48813"/>
      <c r="EG48813"/>
      <c r="EH48813"/>
      <c r="EI48813"/>
      <c r="EJ48813"/>
      <c r="EK48813"/>
    </row>
    <row r="48814" spans="1:141" s="116" customFormat="1">
      <c r="A48814" s="136"/>
      <c r="CM48814" s="111"/>
      <c r="CQ48814" s="111"/>
      <c r="EF48814"/>
      <c r="EG48814"/>
      <c r="EH48814"/>
      <c r="EI48814"/>
      <c r="EJ48814"/>
      <c r="EK48814"/>
    </row>
    <row r="48815" spans="1:141" s="116" customFormat="1">
      <c r="A48815" s="136"/>
      <c r="CM48815" s="111"/>
      <c r="CQ48815" s="111"/>
      <c r="EF48815"/>
      <c r="EG48815"/>
      <c r="EH48815"/>
      <c r="EI48815"/>
      <c r="EJ48815"/>
      <c r="EK48815"/>
    </row>
    <row r="48816" spans="1:141" s="116" customFormat="1">
      <c r="A48816" s="136"/>
      <c r="CM48816" s="111"/>
      <c r="CQ48816" s="111"/>
      <c r="EF48816"/>
      <c r="EG48816"/>
      <c r="EH48816"/>
      <c r="EI48816"/>
      <c r="EJ48816"/>
      <c r="EK48816"/>
    </row>
    <row r="48817" spans="1:141" s="116" customFormat="1">
      <c r="A48817" s="136"/>
      <c r="CM48817" s="111"/>
      <c r="CQ48817" s="111"/>
      <c r="EF48817"/>
      <c r="EG48817"/>
      <c r="EH48817"/>
      <c r="EI48817"/>
      <c r="EJ48817"/>
      <c r="EK48817"/>
    </row>
    <row r="48818" spans="1:141" s="116" customFormat="1">
      <c r="A48818" s="136"/>
      <c r="CM48818" s="111"/>
      <c r="CQ48818" s="111"/>
      <c r="EF48818"/>
      <c r="EG48818"/>
      <c r="EH48818"/>
      <c r="EI48818"/>
      <c r="EJ48818"/>
      <c r="EK48818"/>
    </row>
    <row r="48819" spans="1:141" s="116" customFormat="1">
      <c r="A48819" s="136"/>
      <c r="CM48819" s="111"/>
      <c r="CQ48819" s="111"/>
      <c r="EF48819"/>
      <c r="EG48819"/>
      <c r="EH48819"/>
      <c r="EI48819"/>
      <c r="EJ48819"/>
      <c r="EK48819"/>
    </row>
    <row r="48820" spans="1:141" s="116" customFormat="1">
      <c r="A48820" s="136"/>
      <c r="CM48820" s="111"/>
      <c r="CQ48820" s="111"/>
      <c r="EF48820"/>
      <c r="EG48820"/>
      <c r="EH48820"/>
      <c r="EI48820"/>
      <c r="EJ48820"/>
      <c r="EK48820"/>
    </row>
    <row r="48821" spans="1:141" s="116" customFormat="1">
      <c r="A48821" s="136"/>
      <c r="CM48821" s="111"/>
      <c r="CQ48821" s="111"/>
      <c r="EF48821"/>
      <c r="EG48821"/>
      <c r="EH48821"/>
      <c r="EI48821"/>
      <c r="EJ48821"/>
      <c r="EK48821"/>
    </row>
    <row r="48822" spans="1:141" s="116" customFormat="1">
      <c r="A48822" s="136"/>
      <c r="CM48822" s="111"/>
      <c r="CQ48822" s="111"/>
      <c r="EF48822"/>
      <c r="EG48822"/>
      <c r="EH48822"/>
      <c r="EI48822"/>
      <c r="EJ48822"/>
      <c r="EK48822"/>
    </row>
    <row r="48823" spans="1:141" s="116" customFormat="1">
      <c r="A48823" s="136"/>
      <c r="CM48823" s="111"/>
      <c r="CQ48823" s="111"/>
      <c r="EF48823"/>
      <c r="EG48823"/>
      <c r="EH48823"/>
      <c r="EI48823"/>
      <c r="EJ48823"/>
      <c r="EK48823"/>
    </row>
    <row r="48824" spans="1:141" s="116" customFormat="1">
      <c r="A48824" s="136"/>
      <c r="CM48824" s="111"/>
      <c r="CQ48824" s="111"/>
      <c r="EF48824"/>
      <c r="EG48824"/>
      <c r="EH48824"/>
      <c r="EI48824"/>
      <c r="EJ48824"/>
      <c r="EK48824"/>
    </row>
    <row r="48825" spans="1:141" s="116" customFormat="1">
      <c r="A48825" s="136"/>
      <c r="CM48825" s="111"/>
      <c r="CQ48825" s="111"/>
      <c r="EF48825"/>
      <c r="EG48825"/>
      <c r="EH48825"/>
      <c r="EI48825"/>
      <c r="EJ48825"/>
      <c r="EK48825"/>
    </row>
    <row r="48826" spans="1:141" s="116" customFormat="1">
      <c r="A48826" s="136"/>
      <c r="CM48826" s="111"/>
      <c r="CQ48826" s="111"/>
      <c r="EF48826"/>
      <c r="EG48826"/>
      <c r="EH48826"/>
      <c r="EI48826"/>
      <c r="EJ48826"/>
      <c r="EK48826"/>
    </row>
    <row r="48827" spans="1:141" s="116" customFormat="1">
      <c r="A48827" s="136"/>
      <c r="CM48827" s="111"/>
      <c r="CQ48827" s="111"/>
      <c r="EF48827"/>
      <c r="EG48827"/>
      <c r="EH48827"/>
      <c r="EI48827"/>
      <c r="EJ48827"/>
      <c r="EK48827"/>
    </row>
    <row r="48828" spans="1:141" s="116" customFormat="1">
      <c r="A48828" s="136"/>
      <c r="CM48828" s="111"/>
      <c r="CQ48828" s="111"/>
      <c r="EF48828"/>
      <c r="EG48828"/>
      <c r="EH48828"/>
      <c r="EI48828"/>
      <c r="EJ48828"/>
      <c r="EK48828"/>
    </row>
    <row r="48829" spans="1:141" s="116" customFormat="1">
      <c r="A48829" s="136"/>
      <c r="CM48829" s="111"/>
      <c r="CQ48829" s="111"/>
      <c r="EF48829"/>
      <c r="EG48829"/>
      <c r="EH48829"/>
      <c r="EI48829"/>
      <c r="EJ48829"/>
      <c r="EK48829"/>
    </row>
    <row r="48830" spans="1:141" s="116" customFormat="1">
      <c r="A48830" s="136"/>
      <c r="CM48830" s="111"/>
      <c r="CQ48830" s="111"/>
      <c r="EF48830"/>
      <c r="EG48830"/>
      <c r="EH48830"/>
      <c r="EI48830"/>
      <c r="EJ48830"/>
      <c r="EK48830"/>
    </row>
    <row r="48831" spans="1:141" s="116" customFormat="1">
      <c r="A48831" s="136"/>
      <c r="CM48831" s="111"/>
      <c r="CQ48831" s="111"/>
      <c r="EF48831"/>
      <c r="EG48831"/>
      <c r="EH48831"/>
      <c r="EI48831"/>
      <c r="EJ48831"/>
      <c r="EK48831"/>
    </row>
    <row r="48832" spans="1:141" s="116" customFormat="1">
      <c r="A48832" s="136"/>
      <c r="CM48832" s="111"/>
      <c r="CQ48832" s="111"/>
      <c r="EF48832"/>
      <c r="EG48832"/>
      <c r="EH48832"/>
      <c r="EI48832"/>
      <c r="EJ48832"/>
      <c r="EK48832"/>
    </row>
    <row r="48833" spans="1:141" s="116" customFormat="1">
      <c r="A48833" s="136"/>
      <c r="CM48833" s="111"/>
      <c r="CQ48833" s="111"/>
      <c r="EF48833"/>
      <c r="EG48833"/>
      <c r="EH48833"/>
      <c r="EI48833"/>
      <c r="EJ48833"/>
      <c r="EK48833"/>
    </row>
    <row r="48834" spans="1:141" s="116" customFormat="1">
      <c r="A48834" s="136"/>
      <c r="CM48834" s="111"/>
      <c r="CQ48834" s="111"/>
      <c r="EF48834"/>
      <c r="EG48834"/>
      <c r="EH48834"/>
      <c r="EI48834"/>
      <c r="EJ48834"/>
      <c r="EK48834"/>
    </row>
    <row r="48835" spans="1:141" s="116" customFormat="1">
      <c r="A48835" s="136"/>
      <c r="CM48835" s="111"/>
      <c r="CQ48835" s="111"/>
      <c r="EF48835"/>
      <c r="EG48835"/>
      <c r="EH48835"/>
      <c r="EI48835"/>
      <c r="EJ48835"/>
      <c r="EK48835"/>
    </row>
    <row r="48836" spans="1:141" s="116" customFormat="1">
      <c r="A48836" s="136"/>
      <c r="CM48836" s="111"/>
      <c r="CQ48836" s="111"/>
      <c r="EF48836"/>
      <c r="EG48836"/>
      <c r="EH48836"/>
      <c r="EI48836"/>
      <c r="EJ48836"/>
      <c r="EK48836"/>
    </row>
    <row r="48837" spans="1:141" s="116" customFormat="1">
      <c r="A48837" s="136"/>
      <c r="CM48837" s="111"/>
      <c r="CQ48837" s="111"/>
      <c r="EF48837"/>
      <c r="EG48837"/>
      <c r="EH48837"/>
      <c r="EI48837"/>
      <c r="EJ48837"/>
      <c r="EK48837"/>
    </row>
    <row r="48838" spans="1:141" s="116" customFormat="1">
      <c r="A48838" s="136"/>
      <c r="CM48838" s="111"/>
      <c r="CQ48838" s="111"/>
      <c r="EF48838"/>
      <c r="EG48838"/>
      <c r="EH48838"/>
      <c r="EI48838"/>
      <c r="EJ48838"/>
      <c r="EK48838"/>
    </row>
    <row r="48839" spans="1:141" s="116" customFormat="1">
      <c r="A48839" s="136"/>
      <c r="CM48839" s="111"/>
      <c r="CQ48839" s="111"/>
      <c r="EF48839"/>
      <c r="EG48839"/>
      <c r="EH48839"/>
      <c r="EI48839"/>
      <c r="EJ48839"/>
      <c r="EK48839"/>
    </row>
    <row r="48840" spans="1:141" s="116" customFormat="1">
      <c r="A48840" s="136"/>
      <c r="CM48840" s="111"/>
      <c r="CQ48840" s="111"/>
      <c r="EF48840"/>
      <c r="EG48840"/>
      <c r="EH48840"/>
      <c r="EI48840"/>
      <c r="EJ48840"/>
      <c r="EK48840"/>
    </row>
    <row r="48841" spans="1:141" s="116" customFormat="1">
      <c r="A48841" s="136"/>
      <c r="CM48841" s="111"/>
      <c r="CQ48841" s="111"/>
      <c r="EF48841"/>
      <c r="EG48841"/>
      <c r="EH48841"/>
      <c r="EI48841"/>
      <c r="EJ48841"/>
      <c r="EK48841"/>
    </row>
    <row r="48842" spans="1:141" s="116" customFormat="1">
      <c r="A48842" s="136"/>
      <c r="CM48842" s="111"/>
      <c r="CQ48842" s="111"/>
      <c r="EF48842"/>
      <c r="EG48842"/>
      <c r="EH48842"/>
      <c r="EI48842"/>
      <c r="EJ48842"/>
      <c r="EK48842"/>
    </row>
    <row r="48843" spans="1:141" s="116" customFormat="1">
      <c r="A48843" s="136"/>
      <c r="CM48843" s="111"/>
      <c r="CQ48843" s="111"/>
      <c r="EF48843"/>
      <c r="EG48843"/>
      <c r="EH48843"/>
      <c r="EI48843"/>
      <c r="EJ48843"/>
      <c r="EK48843"/>
    </row>
    <row r="48844" spans="1:141" s="116" customFormat="1">
      <c r="A48844" s="136"/>
      <c r="CM48844" s="111"/>
      <c r="CQ48844" s="111"/>
      <c r="EF48844"/>
      <c r="EG48844"/>
      <c r="EH48844"/>
      <c r="EI48844"/>
      <c r="EJ48844"/>
      <c r="EK48844"/>
    </row>
    <row r="48845" spans="1:141" s="116" customFormat="1">
      <c r="A48845" s="136"/>
      <c r="CM48845" s="111"/>
      <c r="CQ48845" s="111"/>
      <c r="EF48845"/>
      <c r="EG48845"/>
      <c r="EH48845"/>
      <c r="EI48845"/>
      <c r="EJ48845"/>
      <c r="EK48845"/>
    </row>
    <row r="48846" spans="1:141" s="116" customFormat="1">
      <c r="A48846" s="136"/>
      <c r="CM48846" s="111"/>
      <c r="CQ48846" s="111"/>
      <c r="EF48846"/>
      <c r="EG48846"/>
      <c r="EH48846"/>
      <c r="EI48846"/>
      <c r="EJ48846"/>
      <c r="EK48846"/>
    </row>
    <row r="48847" spans="1:141" s="116" customFormat="1">
      <c r="A48847" s="136"/>
      <c r="CM48847" s="111"/>
      <c r="CQ48847" s="111"/>
      <c r="EF48847"/>
      <c r="EG48847"/>
      <c r="EH48847"/>
      <c r="EI48847"/>
      <c r="EJ48847"/>
      <c r="EK48847"/>
    </row>
    <row r="48848" spans="1:141" s="116" customFormat="1">
      <c r="A48848" s="136"/>
      <c r="CM48848" s="111"/>
      <c r="CQ48848" s="111"/>
      <c r="EF48848"/>
      <c r="EG48848"/>
      <c r="EH48848"/>
      <c r="EI48848"/>
      <c r="EJ48848"/>
      <c r="EK48848"/>
    </row>
    <row r="48849" spans="1:141" s="116" customFormat="1">
      <c r="A48849" s="136"/>
      <c r="CM48849" s="111"/>
      <c r="CQ48849" s="111"/>
      <c r="EF48849"/>
      <c r="EG48849"/>
      <c r="EH48849"/>
      <c r="EI48849"/>
      <c r="EJ48849"/>
      <c r="EK48849"/>
    </row>
    <row r="48850" spans="1:141" s="116" customFormat="1">
      <c r="A48850" s="136"/>
      <c r="CM48850" s="111"/>
      <c r="CQ48850" s="111"/>
      <c r="EF48850"/>
      <c r="EG48850"/>
      <c r="EH48850"/>
      <c r="EI48850"/>
      <c r="EJ48850"/>
      <c r="EK48850"/>
    </row>
    <row r="48851" spans="1:141" s="116" customFormat="1">
      <c r="A48851" s="136"/>
      <c r="CM48851" s="111"/>
      <c r="CQ48851" s="111"/>
      <c r="EF48851"/>
      <c r="EG48851"/>
      <c r="EH48851"/>
      <c r="EI48851"/>
      <c r="EJ48851"/>
      <c r="EK48851"/>
    </row>
    <row r="48852" spans="1:141" s="116" customFormat="1">
      <c r="A48852" s="136"/>
      <c r="CM48852" s="111"/>
      <c r="CQ48852" s="111"/>
      <c r="EF48852"/>
      <c r="EG48852"/>
      <c r="EH48852"/>
      <c r="EI48852"/>
      <c r="EJ48852"/>
      <c r="EK48852"/>
    </row>
    <row r="48853" spans="1:141" s="116" customFormat="1">
      <c r="A48853" s="136"/>
      <c r="CM48853" s="111"/>
      <c r="CQ48853" s="111"/>
      <c r="EF48853"/>
      <c r="EG48853"/>
      <c r="EH48853"/>
      <c r="EI48853"/>
      <c r="EJ48853"/>
      <c r="EK48853"/>
    </row>
    <row r="48854" spans="1:141" s="116" customFormat="1">
      <c r="A48854" s="136"/>
      <c r="CM48854" s="111"/>
      <c r="CQ48854" s="111"/>
      <c r="EF48854"/>
      <c r="EG48854"/>
      <c r="EH48854"/>
      <c r="EI48854"/>
      <c r="EJ48854"/>
      <c r="EK48854"/>
    </row>
    <row r="48855" spans="1:141" s="116" customFormat="1">
      <c r="A48855" s="136"/>
      <c r="CM48855" s="111"/>
      <c r="CQ48855" s="111"/>
      <c r="EF48855"/>
      <c r="EG48855"/>
      <c r="EH48855"/>
      <c r="EI48855"/>
      <c r="EJ48855"/>
      <c r="EK48855"/>
    </row>
    <row r="48856" spans="1:141" s="116" customFormat="1">
      <c r="A48856" s="136"/>
      <c r="CM48856" s="111"/>
      <c r="CQ48856" s="111"/>
      <c r="EF48856"/>
      <c r="EG48856"/>
      <c r="EH48856"/>
      <c r="EI48856"/>
      <c r="EJ48856"/>
      <c r="EK48856"/>
    </row>
    <row r="48857" spans="1:141" s="116" customFormat="1">
      <c r="A48857" s="136"/>
      <c r="CM48857" s="111"/>
      <c r="CQ48857" s="111"/>
      <c r="EF48857"/>
      <c r="EG48857"/>
      <c r="EH48857"/>
      <c r="EI48857"/>
      <c r="EJ48857"/>
      <c r="EK48857"/>
    </row>
    <row r="48858" spans="1:141" s="116" customFormat="1">
      <c r="A48858" s="136"/>
      <c r="CM48858" s="111"/>
      <c r="CQ48858" s="111"/>
      <c r="EF48858"/>
      <c r="EG48858"/>
      <c r="EH48858"/>
      <c r="EI48858"/>
      <c r="EJ48858"/>
      <c r="EK48858"/>
    </row>
    <row r="48859" spans="1:141" s="116" customFormat="1">
      <c r="A48859" s="136"/>
      <c r="CM48859" s="111"/>
      <c r="CQ48859" s="111"/>
      <c r="EF48859"/>
      <c r="EG48859"/>
      <c r="EH48859"/>
      <c r="EI48859"/>
      <c r="EJ48859"/>
      <c r="EK48859"/>
    </row>
    <row r="48860" spans="1:141" s="116" customFormat="1">
      <c r="A48860" s="136"/>
      <c r="CM48860" s="111"/>
      <c r="CQ48860" s="111"/>
      <c r="EF48860"/>
      <c r="EG48860"/>
      <c r="EH48860"/>
      <c r="EI48860"/>
      <c r="EJ48860"/>
      <c r="EK48860"/>
    </row>
    <row r="48861" spans="1:141" s="116" customFormat="1">
      <c r="A48861" s="136"/>
      <c r="CM48861" s="111"/>
      <c r="CQ48861" s="111"/>
      <c r="EF48861"/>
      <c r="EG48861"/>
      <c r="EH48861"/>
      <c r="EI48861"/>
      <c r="EJ48861"/>
      <c r="EK48861"/>
    </row>
    <row r="48862" spans="1:141" s="116" customFormat="1">
      <c r="A48862" s="136"/>
      <c r="CM48862" s="111"/>
      <c r="CQ48862" s="111"/>
      <c r="EF48862"/>
      <c r="EG48862"/>
      <c r="EH48862"/>
      <c r="EI48862"/>
      <c r="EJ48862"/>
      <c r="EK48862"/>
    </row>
    <row r="48863" spans="1:141" s="116" customFormat="1">
      <c r="A48863" s="136"/>
      <c r="CM48863" s="111"/>
      <c r="CQ48863" s="111"/>
      <c r="EF48863"/>
      <c r="EG48863"/>
      <c r="EH48863"/>
      <c r="EI48863"/>
      <c r="EJ48863"/>
      <c r="EK48863"/>
    </row>
    <row r="48864" spans="1:141" s="116" customFormat="1">
      <c r="A48864" s="136"/>
      <c r="CM48864" s="111"/>
      <c r="CQ48864" s="111"/>
      <c r="EF48864"/>
      <c r="EG48864"/>
      <c r="EH48864"/>
      <c r="EI48864"/>
      <c r="EJ48864"/>
      <c r="EK48864"/>
    </row>
    <row r="48865" spans="1:141" s="116" customFormat="1">
      <c r="A48865" s="136"/>
      <c r="CM48865" s="111"/>
      <c r="CQ48865" s="111"/>
      <c r="EF48865"/>
      <c r="EG48865"/>
      <c r="EH48865"/>
      <c r="EI48865"/>
      <c r="EJ48865"/>
      <c r="EK48865"/>
    </row>
    <row r="48866" spans="1:141" s="116" customFormat="1">
      <c r="A48866" s="136"/>
      <c r="CM48866" s="111"/>
      <c r="CQ48866" s="111"/>
      <c r="EF48866"/>
      <c r="EG48866"/>
      <c r="EH48866"/>
      <c r="EI48866"/>
      <c r="EJ48866"/>
      <c r="EK48866"/>
    </row>
    <row r="48867" spans="1:141" s="116" customFormat="1">
      <c r="A48867" s="136"/>
      <c r="CM48867" s="111"/>
      <c r="CQ48867" s="111"/>
      <c r="EF48867"/>
      <c r="EG48867"/>
      <c r="EH48867"/>
      <c r="EI48867"/>
      <c r="EJ48867"/>
      <c r="EK48867"/>
    </row>
    <row r="48868" spans="1:141" s="116" customFormat="1">
      <c r="A48868" s="136"/>
      <c r="CM48868" s="111"/>
      <c r="CQ48868" s="111"/>
      <c r="EF48868"/>
      <c r="EG48868"/>
      <c r="EH48868"/>
      <c r="EI48868"/>
      <c r="EJ48868"/>
      <c r="EK48868"/>
    </row>
    <row r="48869" spans="1:141" s="116" customFormat="1">
      <c r="A48869" s="136"/>
      <c r="CM48869" s="111"/>
      <c r="CQ48869" s="111"/>
      <c r="EF48869"/>
      <c r="EG48869"/>
      <c r="EH48869"/>
      <c r="EI48869"/>
      <c r="EJ48869"/>
      <c r="EK48869"/>
    </row>
    <row r="48870" spans="1:141" s="116" customFormat="1">
      <c r="A48870" s="136"/>
      <c r="CM48870" s="111"/>
      <c r="CQ48870" s="111"/>
      <c r="EF48870"/>
      <c r="EG48870"/>
      <c r="EH48870"/>
      <c r="EI48870"/>
      <c r="EJ48870"/>
      <c r="EK48870"/>
    </row>
    <row r="48871" spans="1:141" s="116" customFormat="1">
      <c r="A48871" s="136"/>
      <c r="CM48871" s="111"/>
      <c r="CQ48871" s="111"/>
      <c r="EF48871"/>
      <c r="EG48871"/>
      <c r="EH48871"/>
      <c r="EI48871"/>
      <c r="EJ48871"/>
      <c r="EK48871"/>
    </row>
    <row r="48872" spans="1:141" s="116" customFormat="1">
      <c r="A48872" s="136"/>
      <c r="CM48872" s="111"/>
      <c r="CQ48872" s="111"/>
      <c r="EF48872"/>
      <c r="EG48872"/>
      <c r="EH48872"/>
      <c r="EI48872"/>
      <c r="EJ48872"/>
      <c r="EK48872"/>
    </row>
    <row r="48873" spans="1:141" s="116" customFormat="1">
      <c r="A48873" s="136"/>
      <c r="CM48873" s="111"/>
      <c r="CQ48873" s="111"/>
      <c r="EF48873"/>
      <c r="EG48873"/>
      <c r="EH48873"/>
      <c r="EI48873"/>
      <c r="EJ48873"/>
      <c r="EK48873"/>
    </row>
    <row r="48874" spans="1:141" s="116" customFormat="1">
      <c r="A48874" s="136"/>
      <c r="CM48874" s="111"/>
      <c r="CQ48874" s="111"/>
      <c r="EF48874"/>
      <c r="EG48874"/>
      <c r="EH48874"/>
      <c r="EI48874"/>
      <c r="EJ48874"/>
      <c r="EK48874"/>
    </row>
    <row r="48875" spans="1:141" s="116" customFormat="1">
      <c r="A48875" s="136"/>
      <c r="CM48875" s="111"/>
      <c r="CQ48875" s="111"/>
      <c r="EF48875"/>
      <c r="EG48875"/>
      <c r="EH48875"/>
      <c r="EI48875"/>
      <c r="EJ48875"/>
      <c r="EK48875"/>
    </row>
    <row r="48876" spans="1:141" s="116" customFormat="1">
      <c r="A48876" s="136"/>
      <c r="CM48876" s="111"/>
      <c r="CQ48876" s="111"/>
      <c r="EF48876"/>
      <c r="EG48876"/>
      <c r="EH48876"/>
      <c r="EI48876"/>
      <c r="EJ48876"/>
      <c r="EK48876"/>
    </row>
    <row r="48877" spans="1:141" s="116" customFormat="1">
      <c r="A48877" s="136"/>
      <c r="CM48877" s="111"/>
      <c r="CQ48877" s="111"/>
      <c r="EF48877"/>
      <c r="EG48877"/>
      <c r="EH48877"/>
      <c r="EI48877"/>
      <c r="EJ48877"/>
      <c r="EK48877"/>
    </row>
    <row r="48878" spans="1:141" s="116" customFormat="1">
      <c r="A48878" s="136"/>
      <c r="CM48878" s="111"/>
      <c r="CQ48878" s="111"/>
      <c r="EF48878"/>
      <c r="EG48878"/>
      <c r="EH48878"/>
      <c r="EI48878"/>
      <c r="EJ48878"/>
      <c r="EK48878"/>
    </row>
    <row r="48879" spans="1:141" s="116" customFormat="1">
      <c r="A48879" s="136"/>
      <c r="CM48879" s="111"/>
      <c r="CQ48879" s="111"/>
      <c r="EF48879"/>
      <c r="EG48879"/>
      <c r="EH48879"/>
      <c r="EI48879"/>
      <c r="EJ48879"/>
      <c r="EK48879"/>
    </row>
    <row r="48880" spans="1:141" s="116" customFormat="1">
      <c r="A48880" s="136"/>
      <c r="CM48880" s="111"/>
      <c r="CQ48880" s="111"/>
      <c r="EF48880"/>
      <c r="EG48880"/>
      <c r="EH48880"/>
      <c r="EI48880"/>
      <c r="EJ48880"/>
      <c r="EK48880"/>
    </row>
    <row r="48881" spans="1:141" s="116" customFormat="1">
      <c r="A48881" s="136"/>
      <c r="CM48881" s="111"/>
      <c r="CQ48881" s="111"/>
      <c r="EF48881"/>
      <c r="EG48881"/>
      <c r="EH48881"/>
      <c r="EI48881"/>
      <c r="EJ48881"/>
      <c r="EK48881"/>
    </row>
    <row r="48882" spans="1:141" s="116" customFormat="1">
      <c r="A48882" s="136"/>
      <c r="CM48882" s="111"/>
      <c r="CQ48882" s="111"/>
      <c r="EF48882"/>
      <c r="EG48882"/>
      <c r="EH48882"/>
      <c r="EI48882"/>
      <c r="EJ48882"/>
      <c r="EK48882"/>
    </row>
    <row r="48883" spans="1:141" s="116" customFormat="1">
      <c r="A48883" s="136"/>
      <c r="CM48883" s="111"/>
      <c r="CQ48883" s="111"/>
      <c r="EF48883"/>
      <c r="EG48883"/>
      <c r="EH48883"/>
      <c r="EI48883"/>
      <c r="EJ48883"/>
      <c r="EK48883"/>
    </row>
    <row r="48884" spans="1:141" s="116" customFormat="1">
      <c r="A48884" s="136"/>
      <c r="CM48884" s="111"/>
      <c r="CQ48884" s="111"/>
      <c r="EF48884"/>
      <c r="EG48884"/>
      <c r="EH48884"/>
      <c r="EI48884"/>
      <c r="EJ48884"/>
      <c r="EK48884"/>
    </row>
    <row r="48885" spans="1:141" s="116" customFormat="1">
      <c r="A48885" s="136"/>
      <c r="CM48885" s="111"/>
      <c r="CQ48885" s="111"/>
      <c r="EF48885"/>
      <c r="EG48885"/>
      <c r="EH48885"/>
      <c r="EI48885"/>
      <c r="EJ48885"/>
      <c r="EK48885"/>
    </row>
    <row r="48886" spans="1:141" s="116" customFormat="1">
      <c r="A48886" s="136"/>
      <c r="CM48886" s="111"/>
      <c r="CQ48886" s="111"/>
      <c r="EF48886"/>
      <c r="EG48886"/>
      <c r="EH48886"/>
      <c r="EI48886"/>
      <c r="EJ48886"/>
      <c r="EK48886"/>
    </row>
    <row r="48887" spans="1:141" s="116" customFormat="1">
      <c r="A48887" s="136"/>
      <c r="CM48887" s="111"/>
      <c r="CQ48887" s="111"/>
      <c r="EF48887"/>
      <c r="EG48887"/>
      <c r="EH48887"/>
      <c r="EI48887"/>
      <c r="EJ48887"/>
      <c r="EK48887"/>
    </row>
    <row r="48888" spans="1:141" s="116" customFormat="1">
      <c r="A48888" s="136"/>
      <c r="CM48888" s="111"/>
      <c r="CQ48888" s="111"/>
      <c r="EF48888"/>
      <c r="EG48888"/>
      <c r="EH48888"/>
      <c r="EI48888"/>
      <c r="EJ48888"/>
      <c r="EK48888"/>
    </row>
    <row r="48889" spans="1:141" s="116" customFormat="1">
      <c r="A48889" s="136"/>
      <c r="CM48889" s="111"/>
      <c r="CQ48889" s="111"/>
      <c r="EF48889"/>
      <c r="EG48889"/>
      <c r="EH48889"/>
      <c r="EI48889"/>
      <c r="EJ48889"/>
      <c r="EK48889"/>
    </row>
    <row r="48890" spans="1:141" s="116" customFormat="1">
      <c r="A48890" s="136"/>
      <c r="CM48890" s="111"/>
      <c r="CQ48890" s="111"/>
      <c r="EF48890"/>
      <c r="EG48890"/>
      <c r="EH48890"/>
      <c r="EI48890"/>
      <c r="EJ48890"/>
      <c r="EK48890"/>
    </row>
    <row r="48891" spans="1:141" s="116" customFormat="1">
      <c r="A48891" s="136"/>
      <c r="CM48891" s="111"/>
      <c r="CQ48891" s="111"/>
      <c r="EF48891"/>
      <c r="EG48891"/>
      <c r="EH48891"/>
      <c r="EI48891"/>
      <c r="EJ48891"/>
      <c r="EK48891"/>
    </row>
    <row r="48892" spans="1:141" s="116" customFormat="1">
      <c r="A48892" s="136"/>
      <c r="CM48892" s="111"/>
      <c r="CQ48892" s="111"/>
      <c r="EF48892"/>
      <c r="EG48892"/>
      <c r="EH48892"/>
      <c r="EI48892"/>
      <c r="EJ48892"/>
      <c r="EK48892"/>
    </row>
    <row r="48893" spans="1:141" s="116" customFormat="1">
      <c r="A48893" s="136"/>
      <c r="CM48893" s="111"/>
      <c r="CQ48893" s="111"/>
      <c r="EF48893"/>
      <c r="EG48893"/>
      <c r="EH48893"/>
      <c r="EI48893"/>
      <c r="EJ48893"/>
      <c r="EK48893"/>
    </row>
    <row r="48894" spans="1:141" s="116" customFormat="1">
      <c r="A48894" s="136"/>
      <c r="CM48894" s="111"/>
      <c r="CQ48894" s="111"/>
      <c r="EF48894"/>
      <c r="EG48894"/>
      <c r="EH48894"/>
      <c r="EI48894"/>
      <c r="EJ48894"/>
      <c r="EK48894"/>
    </row>
    <row r="48895" spans="1:141" s="116" customFormat="1">
      <c r="A48895" s="136"/>
      <c r="CM48895" s="111"/>
      <c r="CQ48895" s="111"/>
      <c r="EF48895"/>
      <c r="EG48895"/>
      <c r="EH48895"/>
      <c r="EI48895"/>
      <c r="EJ48895"/>
      <c r="EK48895"/>
    </row>
    <row r="48896" spans="1:141" s="116" customFormat="1">
      <c r="A48896" s="136"/>
      <c r="CM48896" s="111"/>
      <c r="CQ48896" s="111"/>
      <c r="EF48896"/>
      <c r="EG48896"/>
      <c r="EH48896"/>
      <c r="EI48896"/>
      <c r="EJ48896"/>
      <c r="EK48896"/>
    </row>
    <row r="48897" spans="1:141" s="116" customFormat="1">
      <c r="A48897" s="136"/>
      <c r="CM48897" s="111"/>
      <c r="CQ48897" s="111"/>
      <c r="EF48897"/>
      <c r="EG48897"/>
      <c r="EH48897"/>
      <c r="EI48897"/>
      <c r="EJ48897"/>
      <c r="EK48897"/>
    </row>
    <row r="48898" spans="1:141" s="116" customFormat="1">
      <c r="A48898" s="136"/>
      <c r="CM48898" s="111"/>
      <c r="CQ48898" s="111"/>
      <c r="EF48898"/>
      <c r="EG48898"/>
      <c r="EH48898"/>
      <c r="EI48898"/>
      <c r="EJ48898"/>
      <c r="EK48898"/>
    </row>
    <row r="48899" spans="1:141" s="116" customFormat="1">
      <c r="A48899" s="136"/>
      <c r="CM48899" s="111"/>
      <c r="CQ48899" s="111"/>
      <c r="EF48899"/>
      <c r="EG48899"/>
      <c r="EH48899"/>
      <c r="EI48899"/>
      <c r="EJ48899"/>
      <c r="EK48899"/>
    </row>
    <row r="48900" spans="1:141" s="116" customFormat="1">
      <c r="A48900" s="136"/>
      <c r="CM48900" s="111"/>
      <c r="CQ48900" s="111"/>
      <c r="EF48900"/>
      <c r="EG48900"/>
      <c r="EH48900"/>
      <c r="EI48900"/>
      <c r="EJ48900"/>
      <c r="EK48900"/>
    </row>
    <row r="48901" spans="1:141" s="116" customFormat="1">
      <c r="A48901" s="136"/>
      <c r="CM48901" s="111"/>
      <c r="CQ48901" s="111"/>
      <c r="EF48901"/>
      <c r="EG48901"/>
      <c r="EH48901"/>
      <c r="EI48901"/>
      <c r="EJ48901"/>
      <c r="EK48901"/>
    </row>
    <row r="48902" spans="1:141" s="116" customFormat="1">
      <c r="A48902" s="136"/>
      <c r="CM48902" s="111"/>
      <c r="CQ48902" s="111"/>
      <c r="EF48902"/>
      <c r="EG48902"/>
      <c r="EH48902"/>
      <c r="EI48902"/>
      <c r="EJ48902"/>
      <c r="EK48902"/>
    </row>
    <row r="48903" spans="1:141" s="116" customFormat="1">
      <c r="A48903" s="136"/>
      <c r="CM48903" s="111"/>
      <c r="CQ48903" s="111"/>
      <c r="EF48903"/>
      <c r="EG48903"/>
      <c r="EH48903"/>
      <c r="EI48903"/>
      <c r="EJ48903"/>
      <c r="EK48903"/>
    </row>
    <row r="48904" spans="1:141" s="116" customFormat="1">
      <c r="A48904" s="136"/>
      <c r="CM48904" s="111"/>
      <c r="CQ48904" s="111"/>
      <c r="EF48904"/>
      <c r="EG48904"/>
      <c r="EH48904"/>
      <c r="EI48904"/>
      <c r="EJ48904"/>
      <c r="EK48904"/>
    </row>
    <row r="48905" spans="1:141" s="116" customFormat="1">
      <c r="A48905" s="136"/>
      <c r="CM48905" s="111"/>
      <c r="CQ48905" s="111"/>
      <c r="EF48905"/>
      <c r="EG48905"/>
      <c r="EH48905"/>
      <c r="EI48905"/>
      <c r="EJ48905"/>
      <c r="EK48905"/>
    </row>
    <row r="48906" spans="1:141" s="116" customFormat="1">
      <c r="A48906" s="136"/>
      <c r="CM48906" s="111"/>
      <c r="CQ48906" s="111"/>
      <c r="EF48906"/>
      <c r="EG48906"/>
      <c r="EH48906"/>
      <c r="EI48906"/>
      <c r="EJ48906"/>
      <c r="EK48906"/>
    </row>
    <row r="48907" spans="1:141" s="116" customFormat="1">
      <c r="A48907" s="136"/>
      <c r="CM48907" s="111"/>
      <c r="CQ48907" s="111"/>
      <c r="EF48907"/>
      <c r="EG48907"/>
      <c r="EH48907"/>
      <c r="EI48907"/>
      <c r="EJ48907"/>
      <c r="EK48907"/>
    </row>
    <row r="48908" spans="1:141" s="116" customFormat="1">
      <c r="A48908" s="136"/>
      <c r="CM48908" s="111"/>
      <c r="CQ48908" s="111"/>
      <c r="EF48908"/>
      <c r="EG48908"/>
      <c r="EH48908"/>
      <c r="EI48908"/>
      <c r="EJ48908"/>
      <c r="EK48908"/>
    </row>
    <row r="48909" spans="1:141" s="116" customFormat="1">
      <c r="A48909" s="136"/>
      <c r="CM48909" s="111"/>
      <c r="CQ48909" s="111"/>
      <c r="EF48909"/>
      <c r="EG48909"/>
      <c r="EH48909"/>
      <c r="EI48909"/>
      <c r="EJ48909"/>
      <c r="EK48909"/>
    </row>
    <row r="48910" spans="1:141" s="116" customFormat="1">
      <c r="A48910" s="136"/>
      <c r="CM48910" s="111"/>
      <c r="CQ48910" s="111"/>
      <c r="EF48910"/>
      <c r="EG48910"/>
      <c r="EH48910"/>
      <c r="EI48910"/>
      <c r="EJ48910"/>
      <c r="EK48910"/>
    </row>
    <row r="48911" spans="1:141" s="116" customFormat="1">
      <c r="A48911" s="136"/>
      <c r="CM48911" s="111"/>
      <c r="CQ48911" s="111"/>
      <c r="EF48911"/>
      <c r="EG48911"/>
      <c r="EH48911"/>
      <c r="EI48911"/>
      <c r="EJ48911"/>
      <c r="EK48911"/>
    </row>
    <row r="48912" spans="1:141" s="116" customFormat="1">
      <c r="A48912" s="136"/>
      <c r="CM48912" s="111"/>
      <c r="CQ48912" s="111"/>
      <c r="EF48912"/>
      <c r="EG48912"/>
      <c r="EH48912"/>
      <c r="EI48912"/>
      <c r="EJ48912"/>
      <c r="EK48912"/>
    </row>
    <row r="48913" spans="1:141" s="116" customFormat="1">
      <c r="A48913" s="136"/>
      <c r="CM48913" s="111"/>
      <c r="CQ48913" s="111"/>
      <c r="EF48913"/>
      <c r="EG48913"/>
      <c r="EH48913"/>
      <c r="EI48913"/>
      <c r="EJ48913"/>
      <c r="EK48913"/>
    </row>
    <row r="48914" spans="1:141" s="116" customFormat="1">
      <c r="A48914" s="136"/>
      <c r="CM48914" s="111"/>
      <c r="CQ48914" s="111"/>
      <c r="EF48914"/>
      <c r="EG48914"/>
      <c r="EH48914"/>
      <c r="EI48914"/>
      <c r="EJ48914"/>
      <c r="EK48914"/>
    </row>
    <row r="48915" spans="1:141" s="116" customFormat="1">
      <c r="A48915" s="136"/>
      <c r="CM48915" s="111"/>
      <c r="CQ48915" s="111"/>
      <c r="EF48915"/>
      <c r="EG48915"/>
      <c r="EH48915"/>
      <c r="EI48915"/>
      <c r="EJ48915"/>
      <c r="EK48915"/>
    </row>
    <row r="48916" spans="1:141" s="116" customFormat="1">
      <c r="A48916" s="136"/>
      <c r="CM48916" s="111"/>
      <c r="CQ48916" s="111"/>
      <c r="EF48916"/>
      <c r="EG48916"/>
      <c r="EH48916"/>
      <c r="EI48916"/>
      <c r="EJ48916"/>
      <c r="EK48916"/>
    </row>
    <row r="48917" spans="1:141" s="116" customFormat="1">
      <c r="A48917" s="136"/>
      <c r="CM48917" s="111"/>
      <c r="CQ48917" s="111"/>
      <c r="EF48917"/>
      <c r="EG48917"/>
      <c r="EH48917"/>
      <c r="EI48917"/>
      <c r="EJ48917"/>
      <c r="EK48917"/>
    </row>
    <row r="48918" spans="1:141" s="116" customFormat="1">
      <c r="A48918" s="136"/>
      <c r="CM48918" s="111"/>
      <c r="CQ48918" s="111"/>
      <c r="EF48918"/>
      <c r="EG48918"/>
      <c r="EH48918"/>
      <c r="EI48918"/>
      <c r="EJ48918"/>
      <c r="EK48918"/>
    </row>
    <row r="48919" spans="1:141" s="116" customFormat="1">
      <c r="A48919" s="136"/>
      <c r="CM48919" s="111"/>
      <c r="CQ48919" s="111"/>
      <c r="EF48919"/>
      <c r="EG48919"/>
      <c r="EH48919"/>
      <c r="EI48919"/>
      <c r="EJ48919"/>
      <c r="EK48919"/>
    </row>
    <row r="48920" spans="1:141" s="116" customFormat="1">
      <c r="A48920" s="136"/>
      <c r="CM48920" s="111"/>
      <c r="CQ48920" s="111"/>
      <c r="EF48920"/>
      <c r="EG48920"/>
      <c r="EH48920"/>
      <c r="EI48920"/>
      <c r="EJ48920"/>
      <c r="EK48920"/>
    </row>
    <row r="48921" spans="1:141" s="116" customFormat="1">
      <c r="A48921" s="136"/>
      <c r="CM48921" s="111"/>
      <c r="CQ48921" s="111"/>
      <c r="EF48921"/>
      <c r="EG48921"/>
      <c r="EH48921"/>
      <c r="EI48921"/>
      <c r="EJ48921"/>
      <c r="EK48921"/>
    </row>
    <row r="48922" spans="1:141" s="116" customFormat="1">
      <c r="A48922" s="136"/>
      <c r="CM48922" s="111"/>
      <c r="CQ48922" s="111"/>
      <c r="EF48922"/>
      <c r="EG48922"/>
      <c r="EH48922"/>
      <c r="EI48922"/>
      <c r="EJ48922"/>
      <c r="EK48922"/>
    </row>
    <row r="48923" spans="1:141" s="116" customFormat="1">
      <c r="A48923" s="136"/>
      <c r="CM48923" s="111"/>
      <c r="CQ48923" s="111"/>
      <c r="EF48923"/>
      <c r="EG48923"/>
      <c r="EH48923"/>
      <c r="EI48923"/>
      <c r="EJ48923"/>
      <c r="EK48923"/>
    </row>
    <row r="48924" spans="1:141" s="116" customFormat="1">
      <c r="A48924" s="136"/>
      <c r="CM48924" s="111"/>
      <c r="CQ48924" s="111"/>
      <c r="EF48924"/>
      <c r="EG48924"/>
      <c r="EH48924"/>
      <c r="EI48924"/>
      <c r="EJ48924"/>
      <c r="EK48924"/>
    </row>
    <row r="48925" spans="1:141" s="116" customFormat="1">
      <c r="A48925" s="136"/>
      <c r="CM48925" s="111"/>
      <c r="CQ48925" s="111"/>
      <c r="EF48925"/>
      <c r="EG48925"/>
      <c r="EH48925"/>
      <c r="EI48925"/>
      <c r="EJ48925"/>
      <c r="EK48925"/>
    </row>
    <row r="48926" spans="1:141" s="116" customFormat="1">
      <c r="A48926" s="136"/>
      <c r="CM48926" s="111"/>
      <c r="CQ48926" s="111"/>
      <c r="EF48926"/>
      <c r="EG48926"/>
      <c r="EH48926"/>
      <c r="EI48926"/>
      <c r="EJ48926"/>
      <c r="EK48926"/>
    </row>
    <row r="48927" spans="1:141" s="116" customFormat="1">
      <c r="A48927" s="136"/>
      <c r="CM48927" s="111"/>
      <c r="CQ48927" s="111"/>
      <c r="EF48927"/>
      <c r="EG48927"/>
      <c r="EH48927"/>
      <c r="EI48927"/>
      <c r="EJ48927"/>
      <c r="EK48927"/>
    </row>
    <row r="48928" spans="1:141" s="116" customFormat="1">
      <c r="A48928" s="136"/>
      <c r="CM48928" s="111"/>
      <c r="CQ48928" s="111"/>
      <c r="EF48928"/>
      <c r="EG48928"/>
      <c r="EH48928"/>
      <c r="EI48928"/>
      <c r="EJ48928"/>
      <c r="EK48928"/>
    </row>
    <row r="48929" spans="1:141" s="116" customFormat="1">
      <c r="A48929" s="136"/>
      <c r="CM48929" s="111"/>
      <c r="CQ48929" s="111"/>
      <c r="EF48929"/>
      <c r="EG48929"/>
      <c r="EH48929"/>
      <c r="EI48929"/>
      <c r="EJ48929"/>
      <c r="EK48929"/>
    </row>
    <row r="48930" spans="1:141" s="116" customFormat="1">
      <c r="A48930" s="136"/>
      <c r="CM48930" s="111"/>
      <c r="CQ48930" s="111"/>
      <c r="EF48930"/>
      <c r="EG48930"/>
      <c r="EH48930"/>
      <c r="EI48930"/>
      <c r="EJ48930"/>
      <c r="EK48930"/>
    </row>
    <row r="48931" spans="1:141" s="116" customFormat="1">
      <c r="A48931" s="136"/>
      <c r="CM48931" s="111"/>
      <c r="CQ48931" s="111"/>
      <c r="EF48931"/>
      <c r="EG48931"/>
      <c r="EH48931"/>
      <c r="EI48931"/>
      <c r="EJ48931"/>
      <c r="EK48931"/>
    </row>
    <row r="48932" spans="1:141" s="116" customFormat="1">
      <c r="A48932" s="136"/>
      <c r="CM48932" s="111"/>
      <c r="CQ48932" s="111"/>
      <c r="EF48932"/>
      <c r="EG48932"/>
      <c r="EH48932"/>
      <c r="EI48932"/>
      <c r="EJ48932"/>
      <c r="EK48932"/>
    </row>
    <row r="48933" spans="1:141" s="116" customFormat="1">
      <c r="A48933" s="136"/>
      <c r="CM48933" s="111"/>
      <c r="CQ48933" s="111"/>
      <c r="EF48933"/>
      <c r="EG48933"/>
      <c r="EH48933"/>
      <c r="EI48933"/>
      <c r="EJ48933"/>
      <c r="EK48933"/>
    </row>
    <row r="48934" spans="1:141" s="116" customFormat="1">
      <c r="A48934" s="136"/>
      <c r="CM48934" s="111"/>
      <c r="CQ48934" s="111"/>
      <c r="EF48934"/>
      <c r="EG48934"/>
      <c r="EH48934"/>
      <c r="EI48934"/>
      <c r="EJ48934"/>
      <c r="EK48934"/>
    </row>
    <row r="48935" spans="1:141" s="116" customFormat="1">
      <c r="A48935" s="136"/>
      <c r="CM48935" s="111"/>
      <c r="CQ48935" s="111"/>
      <c r="EF48935"/>
      <c r="EG48935"/>
      <c r="EH48935"/>
      <c r="EI48935"/>
      <c r="EJ48935"/>
      <c r="EK48935"/>
    </row>
    <row r="48936" spans="1:141" s="116" customFormat="1">
      <c r="A48936" s="136"/>
      <c r="CM48936" s="111"/>
      <c r="CQ48936" s="111"/>
      <c r="EF48936"/>
      <c r="EG48936"/>
      <c r="EH48936"/>
      <c r="EI48936"/>
      <c r="EJ48936"/>
      <c r="EK48936"/>
    </row>
    <row r="48937" spans="1:141" s="116" customFormat="1">
      <c r="A48937" s="136"/>
      <c r="CM48937" s="111"/>
      <c r="CQ48937" s="111"/>
      <c r="EF48937"/>
      <c r="EG48937"/>
      <c r="EH48937"/>
      <c r="EI48937"/>
      <c r="EJ48937"/>
      <c r="EK48937"/>
    </row>
    <row r="48938" spans="1:141" s="116" customFormat="1">
      <c r="A48938" s="136"/>
      <c r="CM48938" s="111"/>
      <c r="CQ48938" s="111"/>
      <c r="EF48938"/>
      <c r="EG48938"/>
      <c r="EH48938"/>
      <c r="EI48938"/>
      <c r="EJ48938"/>
      <c r="EK48938"/>
    </row>
    <row r="48939" spans="1:141" s="116" customFormat="1">
      <c r="A48939" s="136"/>
      <c r="CM48939" s="111"/>
      <c r="CQ48939" s="111"/>
      <c r="EF48939"/>
      <c r="EG48939"/>
      <c r="EH48939"/>
      <c r="EI48939"/>
      <c r="EJ48939"/>
      <c r="EK48939"/>
    </row>
    <row r="48940" spans="1:141" s="116" customFormat="1">
      <c r="A48940" s="136"/>
      <c r="CM48940" s="111"/>
      <c r="CQ48940" s="111"/>
      <c r="EF48940"/>
      <c r="EG48940"/>
      <c r="EH48940"/>
      <c r="EI48940"/>
      <c r="EJ48940"/>
      <c r="EK48940"/>
    </row>
    <row r="48941" spans="1:141" s="116" customFormat="1">
      <c r="A48941" s="136"/>
      <c r="CM48941" s="111"/>
      <c r="CQ48941" s="111"/>
      <c r="EF48941"/>
      <c r="EG48941"/>
      <c r="EH48941"/>
      <c r="EI48941"/>
      <c r="EJ48941"/>
      <c r="EK48941"/>
    </row>
    <row r="48942" spans="1:141" s="116" customFormat="1">
      <c r="A48942" s="136"/>
      <c r="CM48942" s="111"/>
      <c r="CQ48942" s="111"/>
      <c r="EF48942"/>
      <c r="EG48942"/>
      <c r="EH48942"/>
      <c r="EI48942"/>
      <c r="EJ48942"/>
      <c r="EK48942"/>
    </row>
    <row r="48943" spans="1:141" s="116" customFormat="1">
      <c r="A48943" s="136"/>
      <c r="CM48943" s="111"/>
      <c r="CQ48943" s="111"/>
      <c r="EF48943"/>
      <c r="EG48943"/>
      <c r="EH48943"/>
      <c r="EI48943"/>
      <c r="EJ48943"/>
      <c r="EK48943"/>
    </row>
    <row r="48944" spans="1:141" s="116" customFormat="1">
      <c r="A48944" s="136"/>
      <c r="CM48944" s="111"/>
      <c r="CQ48944" s="111"/>
      <c r="EF48944"/>
      <c r="EG48944"/>
      <c r="EH48944"/>
      <c r="EI48944"/>
      <c r="EJ48944"/>
      <c r="EK48944"/>
    </row>
    <row r="48945" spans="1:141" s="116" customFormat="1">
      <c r="A48945" s="136"/>
      <c r="CM48945" s="111"/>
      <c r="CQ48945" s="111"/>
      <c r="EF48945"/>
      <c r="EG48945"/>
      <c r="EH48945"/>
      <c r="EI48945"/>
      <c r="EJ48945"/>
      <c r="EK48945"/>
    </row>
    <row r="48946" spans="1:141" s="116" customFormat="1">
      <c r="A48946" s="136"/>
      <c r="CM48946" s="111"/>
      <c r="CQ48946" s="111"/>
      <c r="EF48946"/>
      <c r="EG48946"/>
      <c r="EH48946"/>
      <c r="EI48946"/>
      <c r="EJ48946"/>
      <c r="EK48946"/>
    </row>
    <row r="48947" spans="1:141" s="116" customFormat="1">
      <c r="A48947" s="136"/>
      <c r="CM48947" s="111"/>
      <c r="CQ48947" s="111"/>
      <c r="EF48947"/>
      <c r="EG48947"/>
      <c r="EH48947"/>
      <c r="EI48947"/>
      <c r="EJ48947"/>
      <c r="EK48947"/>
    </row>
    <row r="48948" spans="1:141" s="116" customFormat="1">
      <c r="A48948" s="136"/>
      <c r="CM48948" s="111"/>
      <c r="CQ48948" s="111"/>
      <c r="EF48948"/>
      <c r="EG48948"/>
      <c r="EH48948"/>
      <c r="EI48948"/>
      <c r="EJ48948"/>
      <c r="EK48948"/>
    </row>
    <row r="48949" spans="1:141" s="116" customFormat="1">
      <c r="A48949" s="136"/>
      <c r="CM48949" s="111"/>
      <c r="CQ48949" s="111"/>
      <c r="EF48949"/>
      <c r="EG48949"/>
      <c r="EH48949"/>
      <c r="EI48949"/>
      <c r="EJ48949"/>
      <c r="EK48949"/>
    </row>
    <row r="48950" spans="1:141" s="116" customFormat="1">
      <c r="A48950" s="136"/>
      <c r="CM48950" s="111"/>
      <c r="CQ48950" s="111"/>
      <c r="EF48950"/>
      <c r="EG48950"/>
      <c r="EH48950"/>
      <c r="EI48950"/>
      <c r="EJ48950"/>
      <c r="EK48950"/>
    </row>
    <row r="48951" spans="1:141" s="116" customFormat="1">
      <c r="A48951" s="136"/>
      <c r="CM48951" s="111"/>
      <c r="CQ48951" s="111"/>
      <c r="EF48951"/>
      <c r="EG48951"/>
      <c r="EH48951"/>
      <c r="EI48951"/>
      <c r="EJ48951"/>
      <c r="EK48951"/>
    </row>
    <row r="48952" spans="1:141" s="116" customFormat="1">
      <c r="A48952" s="136"/>
      <c r="CM48952" s="111"/>
      <c r="CQ48952" s="111"/>
      <c r="EF48952"/>
      <c r="EG48952"/>
      <c r="EH48952"/>
      <c r="EI48952"/>
      <c r="EJ48952"/>
      <c r="EK48952"/>
    </row>
    <row r="48953" spans="1:141" s="116" customFormat="1">
      <c r="A48953" s="136"/>
      <c r="CM48953" s="111"/>
      <c r="CQ48953" s="111"/>
      <c r="EF48953"/>
      <c r="EG48953"/>
      <c r="EH48953"/>
      <c r="EI48953"/>
      <c r="EJ48953"/>
      <c r="EK48953"/>
    </row>
    <row r="48954" spans="1:141" s="116" customFormat="1">
      <c r="A48954" s="136"/>
      <c r="CM48954" s="111"/>
      <c r="CQ48954" s="111"/>
      <c r="EF48954"/>
      <c r="EG48954"/>
      <c r="EH48954"/>
      <c r="EI48954"/>
      <c r="EJ48954"/>
      <c r="EK48954"/>
    </row>
    <row r="48955" spans="1:141" s="116" customFormat="1">
      <c r="A48955" s="136"/>
      <c r="CM48955" s="111"/>
      <c r="CQ48955" s="111"/>
      <c r="EF48955"/>
      <c r="EG48955"/>
      <c r="EH48955"/>
      <c r="EI48955"/>
      <c r="EJ48955"/>
      <c r="EK48955"/>
    </row>
    <row r="48956" spans="1:141" s="116" customFormat="1">
      <c r="A48956" s="136"/>
      <c r="CM48956" s="111"/>
      <c r="CQ48956" s="111"/>
      <c r="EF48956"/>
      <c r="EG48956"/>
      <c r="EH48956"/>
      <c r="EI48956"/>
      <c r="EJ48956"/>
      <c r="EK48956"/>
    </row>
    <row r="48957" spans="1:141" s="116" customFormat="1">
      <c r="A48957" s="136"/>
      <c r="CM48957" s="111"/>
      <c r="CQ48957" s="111"/>
      <c r="EF48957"/>
      <c r="EG48957"/>
      <c r="EH48957"/>
      <c r="EI48957"/>
      <c r="EJ48957"/>
      <c r="EK48957"/>
    </row>
    <row r="48958" spans="1:141" s="116" customFormat="1">
      <c r="A48958" s="136"/>
      <c r="CM48958" s="111"/>
      <c r="CQ48958" s="111"/>
      <c r="EF48958"/>
      <c r="EG48958"/>
      <c r="EH48958"/>
      <c r="EI48958"/>
      <c r="EJ48958"/>
      <c r="EK48958"/>
    </row>
    <row r="48959" spans="1:141" s="116" customFormat="1">
      <c r="A48959" s="136"/>
      <c r="CM48959" s="111"/>
      <c r="CQ48959" s="111"/>
      <c r="EF48959"/>
      <c r="EG48959"/>
      <c r="EH48959"/>
      <c r="EI48959"/>
      <c r="EJ48959"/>
      <c r="EK48959"/>
    </row>
    <row r="48960" spans="1:141" s="116" customFormat="1">
      <c r="A48960" s="136"/>
      <c r="CM48960" s="111"/>
      <c r="CQ48960" s="111"/>
      <c r="EF48960"/>
      <c r="EG48960"/>
      <c r="EH48960"/>
      <c r="EI48960"/>
      <c r="EJ48960"/>
      <c r="EK48960"/>
    </row>
    <row r="48961" spans="1:141" s="116" customFormat="1">
      <c r="A48961" s="136"/>
      <c r="CM48961" s="111"/>
      <c r="CQ48961" s="111"/>
      <c r="EF48961"/>
      <c r="EG48961"/>
      <c r="EH48961"/>
      <c r="EI48961"/>
      <c r="EJ48961"/>
      <c r="EK48961"/>
    </row>
    <row r="48962" spans="1:141" s="116" customFormat="1">
      <c r="A48962" s="136"/>
      <c r="CM48962" s="111"/>
      <c r="CQ48962" s="111"/>
      <c r="EF48962"/>
      <c r="EG48962"/>
      <c r="EH48962"/>
      <c r="EI48962"/>
      <c r="EJ48962"/>
      <c r="EK48962"/>
    </row>
    <row r="48963" spans="1:141" s="116" customFormat="1">
      <c r="A48963" s="136"/>
      <c r="CM48963" s="111"/>
      <c r="CQ48963" s="111"/>
      <c r="EF48963"/>
      <c r="EG48963"/>
      <c r="EH48963"/>
      <c r="EI48963"/>
      <c r="EJ48963"/>
      <c r="EK48963"/>
    </row>
    <row r="48964" spans="1:141" s="116" customFormat="1">
      <c r="A48964" s="136"/>
      <c r="CM48964" s="111"/>
      <c r="CQ48964" s="111"/>
      <c r="EF48964"/>
      <c r="EG48964"/>
      <c r="EH48964"/>
      <c r="EI48964"/>
      <c r="EJ48964"/>
      <c r="EK48964"/>
    </row>
    <row r="48965" spans="1:141" s="116" customFormat="1">
      <c r="A48965" s="136"/>
      <c r="CM48965" s="111"/>
      <c r="CQ48965" s="111"/>
      <c r="EF48965"/>
      <c r="EG48965"/>
      <c r="EH48965"/>
      <c r="EI48965"/>
      <c r="EJ48965"/>
      <c r="EK48965"/>
    </row>
    <row r="48966" spans="1:141" s="116" customFormat="1">
      <c r="A48966" s="136"/>
      <c r="CM48966" s="111"/>
      <c r="CQ48966" s="111"/>
      <c r="EF48966"/>
      <c r="EG48966"/>
      <c r="EH48966"/>
      <c r="EI48966"/>
      <c r="EJ48966"/>
      <c r="EK48966"/>
    </row>
    <row r="48967" spans="1:141" s="116" customFormat="1">
      <c r="A48967" s="136"/>
      <c r="CM48967" s="111"/>
      <c r="CQ48967" s="111"/>
      <c r="EF48967"/>
      <c r="EG48967"/>
      <c r="EH48967"/>
      <c r="EI48967"/>
      <c r="EJ48967"/>
      <c r="EK48967"/>
    </row>
    <row r="48968" spans="1:141" s="116" customFormat="1">
      <c r="A48968" s="136"/>
      <c r="CM48968" s="111"/>
      <c r="CQ48968" s="111"/>
      <c r="EF48968"/>
      <c r="EG48968"/>
      <c r="EH48968"/>
      <c r="EI48968"/>
      <c r="EJ48968"/>
      <c r="EK48968"/>
    </row>
    <row r="48969" spans="1:141" s="116" customFormat="1">
      <c r="A48969" s="136"/>
      <c r="CM48969" s="111"/>
      <c r="CQ48969" s="111"/>
      <c r="EF48969"/>
      <c r="EG48969"/>
      <c r="EH48969"/>
      <c r="EI48969"/>
      <c r="EJ48969"/>
      <c r="EK48969"/>
    </row>
    <row r="48970" spans="1:141" s="116" customFormat="1">
      <c r="A48970" s="136"/>
      <c r="CM48970" s="111"/>
      <c r="CQ48970" s="111"/>
      <c r="EF48970"/>
      <c r="EG48970"/>
      <c r="EH48970"/>
      <c r="EI48970"/>
      <c r="EJ48970"/>
      <c r="EK48970"/>
    </row>
    <row r="48971" spans="1:141" s="116" customFormat="1">
      <c r="A48971" s="136"/>
      <c r="CM48971" s="111"/>
      <c r="CQ48971" s="111"/>
      <c r="EF48971"/>
      <c r="EG48971"/>
      <c r="EH48971"/>
      <c r="EI48971"/>
      <c r="EJ48971"/>
      <c r="EK48971"/>
    </row>
    <row r="48972" spans="1:141" s="116" customFormat="1">
      <c r="A48972" s="136"/>
      <c r="CM48972" s="111"/>
      <c r="CQ48972" s="111"/>
      <c r="EF48972"/>
      <c r="EG48972"/>
      <c r="EH48972"/>
      <c r="EI48972"/>
      <c r="EJ48972"/>
      <c r="EK48972"/>
    </row>
    <row r="48973" spans="1:141" s="116" customFormat="1">
      <c r="A48973" s="136"/>
      <c r="CM48973" s="111"/>
      <c r="CQ48973" s="111"/>
      <c r="EF48973"/>
      <c r="EG48973"/>
      <c r="EH48973"/>
      <c r="EI48973"/>
      <c r="EJ48973"/>
      <c r="EK48973"/>
    </row>
    <row r="48974" spans="1:141" s="116" customFormat="1">
      <c r="A48974" s="136"/>
      <c r="CM48974" s="111"/>
      <c r="CQ48974" s="111"/>
      <c r="EF48974"/>
      <c r="EG48974"/>
      <c r="EH48974"/>
      <c r="EI48974"/>
      <c r="EJ48974"/>
      <c r="EK48974"/>
    </row>
    <row r="48975" spans="1:141" s="116" customFormat="1">
      <c r="A48975" s="136"/>
      <c r="CM48975" s="111"/>
      <c r="CQ48975" s="111"/>
      <c r="EF48975"/>
      <c r="EG48975"/>
      <c r="EH48975"/>
      <c r="EI48975"/>
      <c r="EJ48975"/>
      <c r="EK48975"/>
    </row>
    <row r="48976" spans="1:141" s="116" customFormat="1">
      <c r="A48976" s="136"/>
      <c r="CM48976" s="111"/>
      <c r="CQ48976" s="111"/>
      <c r="EF48976"/>
      <c r="EG48976"/>
      <c r="EH48976"/>
      <c r="EI48976"/>
      <c r="EJ48976"/>
      <c r="EK48976"/>
    </row>
    <row r="48977" spans="1:141" s="116" customFormat="1">
      <c r="A48977" s="136"/>
      <c r="CM48977" s="111"/>
      <c r="CQ48977" s="111"/>
      <c r="EF48977"/>
      <c r="EG48977"/>
      <c r="EH48977"/>
      <c r="EI48977"/>
      <c r="EJ48977"/>
      <c r="EK48977"/>
    </row>
    <row r="48978" spans="1:141" s="116" customFormat="1">
      <c r="A48978" s="136"/>
      <c r="CM48978" s="111"/>
      <c r="CQ48978" s="111"/>
      <c r="EF48978"/>
      <c r="EG48978"/>
      <c r="EH48978"/>
      <c r="EI48978"/>
      <c r="EJ48978"/>
      <c r="EK48978"/>
    </row>
    <row r="48979" spans="1:141" s="116" customFormat="1">
      <c r="A48979" s="136"/>
      <c r="CM48979" s="111"/>
      <c r="CQ48979" s="111"/>
      <c r="EF48979"/>
      <c r="EG48979"/>
      <c r="EH48979"/>
      <c r="EI48979"/>
      <c r="EJ48979"/>
      <c r="EK48979"/>
    </row>
    <row r="48980" spans="1:141" s="116" customFormat="1">
      <c r="A48980" s="136"/>
      <c r="CM48980" s="111"/>
      <c r="CQ48980" s="111"/>
      <c r="EF48980"/>
      <c r="EG48980"/>
      <c r="EH48980"/>
      <c r="EI48980"/>
      <c r="EJ48980"/>
      <c r="EK48980"/>
    </row>
    <row r="48981" spans="1:141" s="116" customFormat="1">
      <c r="A48981" s="136"/>
      <c r="CM48981" s="111"/>
      <c r="CQ48981" s="111"/>
      <c r="EF48981"/>
      <c r="EG48981"/>
      <c r="EH48981"/>
      <c r="EI48981"/>
      <c r="EJ48981"/>
      <c r="EK48981"/>
    </row>
    <row r="48982" spans="1:141" s="116" customFormat="1">
      <c r="A48982" s="136"/>
      <c r="CM48982" s="111"/>
      <c r="CQ48982" s="111"/>
      <c r="EF48982"/>
      <c r="EG48982"/>
      <c r="EH48982"/>
      <c r="EI48982"/>
      <c r="EJ48982"/>
      <c r="EK48982"/>
    </row>
    <row r="48983" spans="1:141" s="116" customFormat="1">
      <c r="A48983" s="136"/>
      <c r="CM48983" s="111"/>
      <c r="CQ48983" s="111"/>
      <c r="EF48983"/>
      <c r="EG48983"/>
      <c r="EH48983"/>
      <c r="EI48983"/>
      <c r="EJ48983"/>
      <c r="EK48983"/>
    </row>
    <row r="48984" spans="1:141" s="116" customFormat="1">
      <c r="A48984" s="136"/>
      <c r="CM48984" s="111"/>
      <c r="CQ48984" s="111"/>
      <c r="EF48984"/>
      <c r="EG48984"/>
      <c r="EH48984"/>
      <c r="EI48984"/>
      <c r="EJ48984"/>
      <c r="EK48984"/>
    </row>
    <row r="48985" spans="1:141" s="116" customFormat="1">
      <c r="A48985" s="136"/>
      <c r="CM48985" s="111"/>
      <c r="CQ48985" s="111"/>
      <c r="EF48985"/>
      <c r="EG48985"/>
      <c r="EH48985"/>
      <c r="EI48985"/>
      <c r="EJ48985"/>
      <c r="EK48985"/>
    </row>
    <row r="48986" spans="1:141" s="116" customFormat="1">
      <c r="A48986" s="136"/>
      <c r="CM48986" s="111"/>
      <c r="CQ48986" s="111"/>
      <c r="EF48986"/>
      <c r="EG48986"/>
      <c r="EH48986"/>
      <c r="EI48986"/>
      <c r="EJ48986"/>
      <c r="EK48986"/>
    </row>
    <row r="48987" spans="1:141" s="116" customFormat="1">
      <c r="A48987" s="136"/>
      <c r="CM48987" s="111"/>
      <c r="CQ48987" s="111"/>
      <c r="EF48987"/>
      <c r="EG48987"/>
      <c r="EH48987"/>
      <c r="EI48987"/>
      <c r="EJ48987"/>
      <c r="EK48987"/>
    </row>
    <row r="48988" spans="1:141" s="116" customFormat="1">
      <c r="A48988" s="136"/>
      <c r="CM48988" s="111"/>
      <c r="CQ48988" s="111"/>
      <c r="EF48988"/>
      <c r="EG48988"/>
      <c r="EH48988"/>
      <c r="EI48988"/>
      <c r="EJ48988"/>
      <c r="EK48988"/>
    </row>
    <row r="48989" spans="1:141" s="116" customFormat="1">
      <c r="A48989" s="136"/>
      <c r="CM48989" s="111"/>
      <c r="CQ48989" s="111"/>
      <c r="EF48989"/>
      <c r="EG48989"/>
      <c r="EH48989"/>
      <c r="EI48989"/>
      <c r="EJ48989"/>
      <c r="EK48989"/>
    </row>
    <row r="48990" spans="1:141" s="116" customFormat="1">
      <c r="A48990" s="136"/>
      <c r="CM48990" s="111"/>
      <c r="CQ48990" s="111"/>
      <c r="EF48990"/>
      <c r="EG48990"/>
      <c r="EH48990"/>
      <c r="EI48990"/>
      <c r="EJ48990"/>
      <c r="EK48990"/>
    </row>
    <row r="48991" spans="1:141" s="116" customFormat="1">
      <c r="A48991" s="136"/>
      <c r="CM48991" s="111"/>
      <c r="CQ48991" s="111"/>
      <c r="EF48991"/>
      <c r="EG48991"/>
      <c r="EH48991"/>
      <c r="EI48991"/>
      <c r="EJ48991"/>
      <c r="EK48991"/>
    </row>
    <row r="48992" spans="1:141" s="116" customFormat="1">
      <c r="A48992" s="136"/>
      <c r="CM48992" s="111"/>
      <c r="CQ48992" s="111"/>
      <c r="EF48992"/>
      <c r="EG48992"/>
      <c r="EH48992"/>
      <c r="EI48992"/>
      <c r="EJ48992"/>
      <c r="EK48992"/>
    </row>
    <row r="48993" spans="1:141" s="116" customFormat="1">
      <c r="A48993" s="136"/>
      <c r="CM48993" s="111"/>
      <c r="CQ48993" s="111"/>
      <c r="EF48993"/>
      <c r="EG48993"/>
      <c r="EH48993"/>
      <c r="EI48993"/>
      <c r="EJ48993"/>
      <c r="EK48993"/>
    </row>
    <row r="48994" spans="1:141" s="116" customFormat="1">
      <c r="A48994" s="136"/>
      <c r="CM48994" s="111"/>
      <c r="CQ48994" s="111"/>
      <c r="EF48994"/>
      <c r="EG48994"/>
      <c r="EH48994"/>
      <c r="EI48994"/>
      <c r="EJ48994"/>
      <c r="EK48994"/>
    </row>
    <row r="48995" spans="1:141" s="116" customFormat="1">
      <c r="A48995" s="136"/>
      <c r="CM48995" s="111"/>
      <c r="CQ48995" s="111"/>
      <c r="EF48995"/>
      <c r="EG48995"/>
      <c r="EH48995"/>
      <c r="EI48995"/>
      <c r="EJ48995"/>
      <c r="EK48995"/>
    </row>
    <row r="48996" spans="1:141" s="116" customFormat="1">
      <c r="A48996" s="136"/>
      <c r="CM48996" s="111"/>
      <c r="CQ48996" s="111"/>
      <c r="EF48996"/>
      <c r="EG48996"/>
      <c r="EH48996"/>
      <c r="EI48996"/>
      <c r="EJ48996"/>
      <c r="EK48996"/>
    </row>
    <row r="48997" spans="1:141" s="116" customFormat="1">
      <c r="A48997" s="136"/>
      <c r="CM48997" s="111"/>
      <c r="CQ48997" s="111"/>
      <c r="EF48997"/>
      <c r="EG48997"/>
      <c r="EH48997"/>
      <c r="EI48997"/>
      <c r="EJ48997"/>
      <c r="EK48997"/>
    </row>
    <row r="48998" spans="1:141" s="116" customFormat="1">
      <c r="A48998" s="136"/>
      <c r="CM48998" s="111"/>
      <c r="CQ48998" s="111"/>
      <c r="EF48998"/>
      <c r="EG48998"/>
      <c r="EH48998"/>
      <c r="EI48998"/>
      <c r="EJ48998"/>
      <c r="EK48998"/>
    </row>
    <row r="48999" spans="1:141" s="116" customFormat="1">
      <c r="A48999" s="136"/>
      <c r="CM48999" s="111"/>
      <c r="CQ48999" s="111"/>
      <c r="EF48999"/>
      <c r="EG48999"/>
      <c r="EH48999"/>
      <c r="EI48999"/>
      <c r="EJ48999"/>
      <c r="EK48999"/>
    </row>
    <row r="49000" spans="1:141" s="116" customFormat="1">
      <c r="A49000" s="136"/>
      <c r="CM49000" s="111"/>
      <c r="CQ49000" s="111"/>
      <c r="EF49000"/>
      <c r="EG49000"/>
      <c r="EH49000"/>
      <c r="EI49000"/>
      <c r="EJ49000"/>
      <c r="EK49000"/>
    </row>
    <row r="49001" spans="1:141" s="116" customFormat="1">
      <c r="A49001" s="136"/>
      <c r="CM49001" s="111"/>
      <c r="CQ49001" s="111"/>
      <c r="EF49001"/>
      <c r="EG49001"/>
      <c r="EH49001"/>
      <c r="EI49001"/>
      <c r="EJ49001"/>
      <c r="EK49001"/>
    </row>
    <row r="49002" spans="1:141" s="116" customFormat="1">
      <c r="A49002" s="136"/>
      <c r="CM49002" s="111"/>
      <c r="CQ49002" s="111"/>
      <c r="EF49002"/>
      <c r="EG49002"/>
      <c r="EH49002"/>
      <c r="EI49002"/>
      <c r="EJ49002"/>
      <c r="EK49002"/>
    </row>
    <row r="49003" spans="1:141" s="116" customFormat="1">
      <c r="A49003" s="136"/>
      <c r="CM49003" s="111"/>
      <c r="CQ49003" s="111"/>
      <c r="EF49003"/>
      <c r="EG49003"/>
      <c r="EH49003"/>
      <c r="EI49003"/>
      <c r="EJ49003"/>
      <c r="EK49003"/>
    </row>
    <row r="49004" spans="1:141" s="116" customFormat="1">
      <c r="A49004" s="136"/>
      <c r="CM49004" s="111"/>
      <c r="CQ49004" s="111"/>
      <c r="EF49004"/>
      <c r="EG49004"/>
      <c r="EH49004"/>
      <c r="EI49004"/>
      <c r="EJ49004"/>
      <c r="EK49004"/>
    </row>
    <row r="49005" spans="1:141" s="116" customFormat="1">
      <c r="A49005" s="136"/>
      <c r="CM49005" s="111"/>
      <c r="CQ49005" s="111"/>
      <c r="EF49005"/>
      <c r="EG49005"/>
      <c r="EH49005"/>
      <c r="EI49005"/>
      <c r="EJ49005"/>
      <c r="EK49005"/>
    </row>
    <row r="49006" spans="1:141" s="116" customFormat="1">
      <c r="A49006" s="136"/>
      <c r="CM49006" s="111"/>
      <c r="CQ49006" s="111"/>
      <c r="EF49006"/>
      <c r="EG49006"/>
      <c r="EH49006"/>
      <c r="EI49006"/>
      <c r="EJ49006"/>
      <c r="EK49006"/>
    </row>
    <row r="49007" spans="1:141" s="116" customFormat="1">
      <c r="A49007" s="136"/>
      <c r="CM49007" s="111"/>
      <c r="CQ49007" s="111"/>
      <c r="EF49007"/>
      <c r="EG49007"/>
      <c r="EH49007"/>
      <c r="EI49007"/>
      <c r="EJ49007"/>
      <c r="EK49007"/>
    </row>
    <row r="49008" spans="1:141" s="116" customFormat="1">
      <c r="A49008" s="136"/>
      <c r="CM49008" s="111"/>
      <c r="CQ49008" s="111"/>
      <c r="EF49008"/>
      <c r="EG49008"/>
      <c r="EH49008"/>
      <c r="EI49008"/>
      <c r="EJ49008"/>
      <c r="EK49008"/>
    </row>
    <row r="49009" spans="1:141" s="116" customFormat="1">
      <c r="A49009" s="136"/>
      <c r="CM49009" s="111"/>
      <c r="CQ49009" s="111"/>
      <c r="EF49009"/>
      <c r="EG49009"/>
      <c r="EH49009"/>
      <c r="EI49009"/>
      <c r="EJ49009"/>
      <c r="EK49009"/>
    </row>
    <row r="49010" spans="1:141" s="116" customFormat="1">
      <c r="A49010" s="136"/>
      <c r="CM49010" s="111"/>
      <c r="CQ49010" s="111"/>
      <c r="EF49010"/>
      <c r="EG49010"/>
      <c r="EH49010"/>
      <c r="EI49010"/>
      <c r="EJ49010"/>
      <c r="EK49010"/>
    </row>
    <row r="49011" spans="1:141" s="116" customFormat="1">
      <c r="A49011" s="136"/>
      <c r="CM49011" s="111"/>
      <c r="CQ49011" s="111"/>
      <c r="EF49011"/>
      <c r="EG49011"/>
      <c r="EH49011"/>
      <c r="EI49011"/>
      <c r="EJ49011"/>
      <c r="EK49011"/>
    </row>
    <row r="49012" spans="1:141" s="116" customFormat="1">
      <c r="A49012" s="136"/>
      <c r="CM49012" s="111"/>
      <c r="CQ49012" s="111"/>
      <c r="EF49012"/>
      <c r="EG49012"/>
      <c r="EH49012"/>
      <c r="EI49012"/>
      <c r="EJ49012"/>
      <c r="EK49012"/>
    </row>
    <row r="49013" spans="1:141" s="116" customFormat="1">
      <c r="A49013" s="136"/>
      <c r="CM49013" s="111"/>
      <c r="CQ49013" s="111"/>
      <c r="EF49013"/>
      <c r="EG49013"/>
      <c r="EH49013"/>
      <c r="EI49013"/>
      <c r="EJ49013"/>
      <c r="EK49013"/>
    </row>
    <row r="49014" spans="1:141" s="116" customFormat="1">
      <c r="A49014" s="136"/>
      <c r="CM49014" s="111"/>
      <c r="CQ49014" s="111"/>
      <c r="EF49014"/>
      <c r="EG49014"/>
      <c r="EH49014"/>
      <c r="EI49014"/>
      <c r="EJ49014"/>
      <c r="EK49014"/>
    </row>
    <row r="49015" spans="1:141" s="116" customFormat="1">
      <c r="A49015" s="136"/>
      <c r="CM49015" s="111"/>
      <c r="CQ49015" s="111"/>
      <c r="EF49015"/>
      <c r="EG49015"/>
      <c r="EH49015"/>
      <c r="EI49015"/>
      <c r="EJ49015"/>
      <c r="EK49015"/>
    </row>
    <row r="49016" spans="1:141" s="116" customFormat="1">
      <c r="A49016" s="136"/>
      <c r="CM49016" s="111"/>
      <c r="CQ49016" s="111"/>
      <c r="EF49016"/>
      <c r="EG49016"/>
      <c r="EH49016"/>
      <c r="EI49016"/>
      <c r="EJ49016"/>
      <c r="EK49016"/>
    </row>
    <row r="49017" spans="1:141" s="116" customFormat="1">
      <c r="A49017" s="136"/>
      <c r="CM49017" s="111"/>
      <c r="CQ49017" s="111"/>
      <c r="EF49017"/>
      <c r="EG49017"/>
      <c r="EH49017"/>
      <c r="EI49017"/>
      <c r="EJ49017"/>
      <c r="EK49017"/>
    </row>
    <row r="49018" spans="1:141" s="116" customFormat="1">
      <c r="A49018" s="136"/>
      <c r="CM49018" s="111"/>
      <c r="CQ49018" s="111"/>
      <c r="EF49018"/>
      <c r="EG49018"/>
      <c r="EH49018"/>
      <c r="EI49018"/>
      <c r="EJ49018"/>
      <c r="EK49018"/>
    </row>
    <row r="49019" spans="1:141" s="116" customFormat="1">
      <c r="A49019" s="136"/>
      <c r="CM49019" s="111"/>
      <c r="CQ49019" s="111"/>
      <c r="EF49019"/>
      <c r="EG49019"/>
      <c r="EH49019"/>
      <c r="EI49019"/>
      <c r="EJ49019"/>
      <c r="EK49019"/>
    </row>
    <row r="49020" spans="1:141" s="116" customFormat="1">
      <c r="A49020" s="136"/>
      <c r="CM49020" s="111"/>
      <c r="CQ49020" s="111"/>
      <c r="EF49020"/>
      <c r="EG49020"/>
      <c r="EH49020"/>
      <c r="EI49020"/>
      <c r="EJ49020"/>
      <c r="EK49020"/>
    </row>
    <row r="49021" spans="1:141" s="116" customFormat="1">
      <c r="A49021" s="136"/>
      <c r="CM49021" s="111"/>
      <c r="CQ49021" s="111"/>
      <c r="EF49021"/>
      <c r="EG49021"/>
      <c r="EH49021"/>
      <c r="EI49021"/>
      <c r="EJ49021"/>
      <c r="EK49021"/>
    </row>
    <row r="49022" spans="1:141" s="116" customFormat="1">
      <c r="A49022" s="136"/>
      <c r="CM49022" s="111"/>
      <c r="CQ49022" s="111"/>
      <c r="EF49022"/>
      <c r="EG49022"/>
      <c r="EH49022"/>
      <c r="EI49022"/>
      <c r="EJ49022"/>
      <c r="EK49022"/>
    </row>
    <row r="49023" spans="1:141" s="116" customFormat="1">
      <c r="A49023" s="136"/>
      <c r="CM49023" s="111"/>
      <c r="CQ49023" s="111"/>
      <c r="EF49023"/>
      <c r="EG49023"/>
      <c r="EH49023"/>
      <c r="EI49023"/>
      <c r="EJ49023"/>
      <c r="EK49023"/>
    </row>
    <row r="49024" spans="1:141" s="116" customFormat="1">
      <c r="A49024" s="136"/>
      <c r="CM49024" s="111"/>
      <c r="CQ49024" s="111"/>
      <c r="EF49024"/>
      <c r="EG49024"/>
      <c r="EH49024"/>
      <c r="EI49024"/>
      <c r="EJ49024"/>
      <c r="EK49024"/>
    </row>
    <row r="49025" spans="1:141" s="116" customFormat="1">
      <c r="A49025" s="136"/>
      <c r="CM49025" s="111"/>
      <c r="CQ49025" s="111"/>
      <c r="EF49025"/>
      <c r="EG49025"/>
      <c r="EH49025"/>
      <c r="EI49025"/>
      <c r="EJ49025"/>
      <c r="EK49025"/>
    </row>
    <row r="49026" spans="1:141" s="116" customFormat="1">
      <c r="A49026" s="136"/>
      <c r="CM49026" s="111"/>
      <c r="CQ49026" s="111"/>
      <c r="EF49026"/>
      <c r="EG49026"/>
      <c r="EH49026"/>
      <c r="EI49026"/>
      <c r="EJ49026"/>
      <c r="EK49026"/>
    </row>
    <row r="49027" spans="1:141" s="116" customFormat="1">
      <c r="A49027" s="136"/>
      <c r="CM49027" s="111"/>
      <c r="CQ49027" s="111"/>
      <c r="EF49027"/>
      <c r="EG49027"/>
      <c r="EH49027"/>
      <c r="EI49027"/>
      <c r="EJ49027"/>
      <c r="EK49027"/>
    </row>
    <row r="49028" spans="1:141" s="116" customFormat="1">
      <c r="A49028" s="136"/>
      <c r="CM49028" s="111"/>
      <c r="CQ49028" s="111"/>
      <c r="EF49028"/>
      <c r="EG49028"/>
      <c r="EH49028"/>
      <c r="EI49028"/>
      <c r="EJ49028"/>
      <c r="EK49028"/>
    </row>
    <row r="49029" spans="1:141" s="116" customFormat="1">
      <c r="A49029" s="136"/>
      <c r="CM49029" s="111"/>
      <c r="CQ49029" s="111"/>
      <c r="EF49029"/>
      <c r="EG49029"/>
      <c r="EH49029"/>
      <c r="EI49029"/>
      <c r="EJ49029"/>
      <c r="EK49029"/>
    </row>
    <row r="49030" spans="1:141" s="116" customFormat="1">
      <c r="A49030" s="136"/>
      <c r="CM49030" s="111"/>
      <c r="CQ49030" s="111"/>
      <c r="EF49030"/>
      <c r="EG49030"/>
      <c r="EH49030"/>
      <c r="EI49030"/>
      <c r="EJ49030"/>
      <c r="EK49030"/>
    </row>
    <row r="49031" spans="1:141" s="116" customFormat="1">
      <c r="A49031" s="136"/>
      <c r="CM49031" s="111"/>
      <c r="CQ49031" s="111"/>
      <c r="EF49031"/>
      <c r="EG49031"/>
      <c r="EH49031"/>
      <c r="EI49031"/>
      <c r="EJ49031"/>
      <c r="EK49031"/>
    </row>
    <row r="49032" spans="1:141" s="116" customFormat="1">
      <c r="A49032" s="136"/>
      <c r="CM49032" s="111"/>
      <c r="CQ49032" s="111"/>
      <c r="EF49032"/>
      <c r="EG49032"/>
      <c r="EH49032"/>
      <c r="EI49032"/>
      <c r="EJ49032"/>
      <c r="EK49032"/>
    </row>
    <row r="49033" spans="1:141" s="116" customFormat="1">
      <c r="A49033" s="136"/>
      <c r="CM49033" s="111"/>
      <c r="CQ49033" s="111"/>
      <c r="EF49033"/>
      <c r="EG49033"/>
      <c r="EH49033"/>
      <c r="EI49033"/>
      <c r="EJ49033"/>
      <c r="EK49033"/>
    </row>
    <row r="49034" spans="1:141" s="116" customFormat="1">
      <c r="A49034" s="136"/>
      <c r="CM49034" s="111"/>
      <c r="CQ49034" s="111"/>
      <c r="EF49034"/>
      <c r="EG49034"/>
      <c r="EH49034"/>
      <c r="EI49034"/>
      <c r="EJ49034"/>
      <c r="EK49034"/>
    </row>
    <row r="49035" spans="1:141" s="116" customFormat="1">
      <c r="A49035" s="136"/>
      <c r="CM49035" s="111"/>
      <c r="CQ49035" s="111"/>
      <c r="EF49035"/>
      <c r="EG49035"/>
      <c r="EH49035"/>
      <c r="EI49035"/>
      <c r="EJ49035"/>
      <c r="EK49035"/>
    </row>
    <row r="49036" spans="1:141" s="116" customFormat="1">
      <c r="A49036" s="136"/>
      <c r="CM49036" s="111"/>
      <c r="CQ49036" s="111"/>
      <c r="EF49036"/>
      <c r="EG49036"/>
      <c r="EH49036"/>
      <c r="EI49036"/>
      <c r="EJ49036"/>
      <c r="EK49036"/>
    </row>
    <row r="49037" spans="1:141" s="116" customFormat="1">
      <c r="A49037" s="136"/>
      <c r="CM49037" s="111"/>
      <c r="CQ49037" s="111"/>
      <c r="EF49037"/>
      <c r="EG49037"/>
      <c r="EH49037"/>
      <c r="EI49037"/>
      <c r="EJ49037"/>
      <c r="EK49037"/>
    </row>
    <row r="49038" spans="1:141" s="116" customFormat="1">
      <c r="A49038" s="136"/>
      <c r="CM49038" s="111"/>
      <c r="CQ49038" s="111"/>
      <c r="EF49038"/>
      <c r="EG49038"/>
      <c r="EH49038"/>
      <c r="EI49038"/>
      <c r="EJ49038"/>
      <c r="EK49038"/>
    </row>
    <row r="49039" spans="1:141" s="116" customFormat="1">
      <c r="A49039" s="136"/>
      <c r="CM49039" s="111"/>
      <c r="CQ49039" s="111"/>
      <c r="EF49039"/>
      <c r="EG49039"/>
      <c r="EH49039"/>
      <c r="EI49039"/>
      <c r="EJ49039"/>
      <c r="EK49039"/>
    </row>
    <row r="49040" spans="1:141" s="116" customFormat="1">
      <c r="A49040" s="136"/>
      <c r="CM49040" s="111"/>
      <c r="CQ49040" s="111"/>
      <c r="EF49040"/>
      <c r="EG49040"/>
      <c r="EH49040"/>
      <c r="EI49040"/>
      <c r="EJ49040"/>
      <c r="EK49040"/>
    </row>
    <row r="49041" spans="1:141" s="116" customFormat="1">
      <c r="A49041" s="136"/>
      <c r="CM49041" s="111"/>
      <c r="CQ49041" s="111"/>
      <c r="EF49041"/>
      <c r="EG49041"/>
      <c r="EH49041"/>
      <c r="EI49041"/>
      <c r="EJ49041"/>
      <c r="EK49041"/>
    </row>
    <row r="49042" spans="1:141" s="116" customFormat="1">
      <c r="A49042" s="136"/>
      <c r="CM49042" s="111"/>
      <c r="CQ49042" s="111"/>
      <c r="EF49042"/>
      <c r="EG49042"/>
      <c r="EH49042"/>
      <c r="EI49042"/>
      <c r="EJ49042"/>
      <c r="EK49042"/>
    </row>
    <row r="49043" spans="1:141" s="116" customFormat="1">
      <c r="A49043" s="136"/>
      <c r="CM49043" s="111"/>
      <c r="CQ49043" s="111"/>
      <c r="EF49043"/>
      <c r="EG49043"/>
      <c r="EH49043"/>
      <c r="EI49043"/>
      <c r="EJ49043"/>
      <c r="EK49043"/>
    </row>
    <row r="49044" spans="1:141" s="116" customFormat="1">
      <c r="A49044" s="136"/>
      <c r="CM49044" s="111"/>
      <c r="CQ49044" s="111"/>
      <c r="EF49044"/>
      <c r="EG49044"/>
      <c r="EH49044"/>
      <c r="EI49044"/>
      <c r="EJ49044"/>
      <c r="EK49044"/>
    </row>
    <row r="49045" spans="1:141" s="116" customFormat="1">
      <c r="A49045" s="136"/>
      <c r="CM49045" s="111"/>
      <c r="CQ49045" s="111"/>
      <c r="EF49045"/>
      <c r="EG49045"/>
      <c r="EH49045"/>
      <c r="EI49045"/>
      <c r="EJ49045"/>
      <c r="EK49045"/>
    </row>
    <row r="49046" spans="1:141" s="116" customFormat="1">
      <c r="A49046" s="136"/>
      <c r="CM49046" s="111"/>
      <c r="CQ49046" s="111"/>
      <c r="EF49046"/>
      <c r="EG49046"/>
      <c r="EH49046"/>
      <c r="EI49046"/>
      <c r="EJ49046"/>
      <c r="EK49046"/>
    </row>
    <row r="49047" spans="1:141" s="116" customFormat="1">
      <c r="A49047" s="136"/>
      <c r="CM49047" s="111"/>
      <c r="CQ49047" s="111"/>
      <c r="EF49047"/>
      <c r="EG49047"/>
      <c r="EH49047"/>
      <c r="EI49047"/>
      <c r="EJ49047"/>
      <c r="EK49047"/>
    </row>
    <row r="49048" spans="1:141" s="116" customFormat="1">
      <c r="A49048" s="136"/>
      <c r="CM49048" s="111"/>
      <c r="CQ49048" s="111"/>
      <c r="EF49048"/>
      <c r="EG49048"/>
      <c r="EH49048"/>
      <c r="EI49048"/>
      <c r="EJ49048"/>
      <c r="EK49048"/>
    </row>
    <row r="49049" spans="1:141" s="116" customFormat="1">
      <c r="A49049" s="136"/>
      <c r="CM49049" s="111"/>
      <c r="CQ49049" s="111"/>
      <c r="EF49049"/>
      <c r="EG49049"/>
      <c r="EH49049"/>
      <c r="EI49049"/>
      <c r="EJ49049"/>
      <c r="EK49049"/>
    </row>
    <row r="49050" spans="1:141" s="116" customFormat="1">
      <c r="A49050" s="136"/>
      <c r="CM49050" s="111"/>
      <c r="CQ49050" s="111"/>
      <c r="EF49050"/>
      <c r="EG49050"/>
      <c r="EH49050"/>
      <c r="EI49050"/>
      <c r="EJ49050"/>
      <c r="EK49050"/>
    </row>
    <row r="49051" spans="1:141" s="116" customFormat="1">
      <c r="A49051" s="136"/>
      <c r="CM49051" s="111"/>
      <c r="CQ49051" s="111"/>
      <c r="EF49051"/>
      <c r="EG49051"/>
      <c r="EH49051"/>
      <c r="EI49051"/>
      <c r="EJ49051"/>
      <c r="EK49051"/>
    </row>
    <row r="49052" spans="1:141" s="116" customFormat="1">
      <c r="A49052" s="136"/>
      <c r="CM49052" s="111"/>
      <c r="CQ49052" s="111"/>
      <c r="EF49052"/>
      <c r="EG49052"/>
      <c r="EH49052"/>
      <c r="EI49052"/>
      <c r="EJ49052"/>
      <c r="EK49052"/>
    </row>
    <row r="49053" spans="1:141" s="116" customFormat="1">
      <c r="A49053" s="136"/>
      <c r="CM49053" s="111"/>
      <c r="CQ49053" s="111"/>
      <c r="EF49053"/>
      <c r="EG49053"/>
      <c r="EH49053"/>
      <c r="EI49053"/>
      <c r="EJ49053"/>
      <c r="EK49053"/>
    </row>
    <row r="49054" spans="1:141" s="116" customFormat="1">
      <c r="A49054" s="136"/>
      <c r="CM49054" s="111"/>
      <c r="CQ49054" s="111"/>
      <c r="EF49054"/>
      <c r="EG49054"/>
      <c r="EH49054"/>
      <c r="EI49054"/>
      <c r="EJ49054"/>
      <c r="EK49054"/>
    </row>
    <row r="49055" spans="1:141" s="116" customFormat="1">
      <c r="A49055" s="136"/>
      <c r="CM49055" s="111"/>
      <c r="CQ49055" s="111"/>
      <c r="EF49055"/>
      <c r="EG49055"/>
      <c r="EH49055"/>
      <c r="EI49055"/>
      <c r="EJ49055"/>
      <c r="EK49055"/>
    </row>
    <row r="49056" spans="1:141" s="116" customFormat="1">
      <c r="A49056" s="136"/>
      <c r="CM49056" s="111"/>
      <c r="CQ49056" s="111"/>
      <c r="EF49056"/>
      <c r="EG49056"/>
      <c r="EH49056"/>
      <c r="EI49056"/>
      <c r="EJ49056"/>
      <c r="EK49056"/>
    </row>
    <row r="49057" spans="1:141" s="116" customFormat="1">
      <c r="A49057" s="136"/>
      <c r="CM49057" s="111"/>
      <c r="CQ49057" s="111"/>
      <c r="EF49057"/>
      <c r="EG49057"/>
      <c r="EH49057"/>
      <c r="EI49057"/>
      <c r="EJ49057"/>
      <c r="EK49057"/>
    </row>
    <row r="49058" spans="1:141" s="116" customFormat="1">
      <c r="A49058" s="136"/>
      <c r="CM49058" s="111"/>
      <c r="CQ49058" s="111"/>
      <c r="EF49058"/>
      <c r="EG49058"/>
      <c r="EH49058"/>
      <c r="EI49058"/>
      <c r="EJ49058"/>
      <c r="EK49058"/>
    </row>
    <row r="49059" spans="1:141" s="116" customFormat="1">
      <c r="A49059" s="136"/>
      <c r="CM49059" s="111"/>
      <c r="CQ49059" s="111"/>
      <c r="EF49059"/>
      <c r="EG49059"/>
      <c r="EH49059"/>
      <c r="EI49059"/>
      <c r="EJ49059"/>
      <c r="EK49059"/>
    </row>
    <row r="49060" spans="1:141" s="116" customFormat="1">
      <c r="A49060" s="136"/>
      <c r="CM49060" s="111"/>
      <c r="CQ49060" s="111"/>
      <c r="EF49060"/>
      <c r="EG49060"/>
      <c r="EH49060"/>
      <c r="EI49060"/>
      <c r="EJ49060"/>
      <c r="EK49060"/>
    </row>
    <row r="49061" spans="1:141" s="116" customFormat="1">
      <c r="A49061" s="136"/>
      <c r="CM49061" s="111"/>
      <c r="CQ49061" s="111"/>
      <c r="EF49061"/>
      <c r="EG49061"/>
      <c r="EH49061"/>
      <c r="EI49061"/>
      <c r="EJ49061"/>
      <c r="EK49061"/>
    </row>
    <row r="49062" spans="1:141" s="116" customFormat="1">
      <c r="A49062" s="136"/>
      <c r="CM49062" s="111"/>
      <c r="CQ49062" s="111"/>
      <c r="EF49062"/>
      <c r="EG49062"/>
      <c r="EH49062"/>
      <c r="EI49062"/>
      <c r="EJ49062"/>
      <c r="EK49062"/>
    </row>
    <row r="49063" spans="1:141" s="116" customFormat="1">
      <c r="A49063" s="136"/>
      <c r="CM49063" s="111"/>
      <c r="CQ49063" s="111"/>
      <c r="EF49063"/>
      <c r="EG49063"/>
      <c r="EH49063"/>
      <c r="EI49063"/>
      <c r="EJ49063"/>
      <c r="EK49063"/>
    </row>
    <row r="49064" spans="1:141" s="116" customFormat="1">
      <c r="A49064" s="136"/>
      <c r="CM49064" s="111"/>
      <c r="CQ49064" s="111"/>
      <c r="EF49064"/>
      <c r="EG49064"/>
      <c r="EH49064"/>
      <c r="EI49064"/>
      <c r="EJ49064"/>
      <c r="EK49064"/>
    </row>
    <row r="49065" spans="1:141" s="116" customFormat="1">
      <c r="A49065" s="136"/>
      <c r="CM49065" s="111"/>
      <c r="CQ49065" s="111"/>
      <c r="EF49065"/>
      <c r="EG49065"/>
      <c r="EH49065"/>
      <c r="EI49065"/>
      <c r="EJ49065"/>
      <c r="EK49065"/>
    </row>
    <row r="49066" spans="1:141" s="116" customFormat="1">
      <c r="A49066" s="136"/>
      <c r="CM49066" s="111"/>
      <c r="CQ49066" s="111"/>
      <c r="EF49066"/>
      <c r="EG49066"/>
      <c r="EH49066"/>
      <c r="EI49066"/>
      <c r="EJ49066"/>
      <c r="EK49066"/>
    </row>
    <row r="49067" spans="1:141" s="116" customFormat="1">
      <c r="A49067" s="136"/>
      <c r="CM49067" s="111"/>
      <c r="CQ49067" s="111"/>
      <c r="EF49067"/>
      <c r="EG49067"/>
      <c r="EH49067"/>
      <c r="EI49067"/>
      <c r="EJ49067"/>
      <c r="EK49067"/>
    </row>
    <row r="49068" spans="1:141" s="116" customFormat="1">
      <c r="A49068" s="136"/>
      <c r="CM49068" s="111"/>
      <c r="CQ49068" s="111"/>
      <c r="EF49068"/>
      <c r="EG49068"/>
      <c r="EH49068"/>
      <c r="EI49068"/>
      <c r="EJ49068"/>
      <c r="EK49068"/>
    </row>
    <row r="49069" spans="1:141" s="116" customFormat="1">
      <c r="A49069" s="136"/>
      <c r="CM49069" s="111"/>
      <c r="CQ49069" s="111"/>
      <c r="EF49069"/>
      <c r="EG49069"/>
      <c r="EH49069"/>
      <c r="EI49069"/>
      <c r="EJ49069"/>
      <c r="EK49069"/>
    </row>
    <row r="49070" spans="1:141" s="116" customFormat="1">
      <c r="A49070" s="136"/>
      <c r="CM49070" s="111"/>
      <c r="CQ49070" s="111"/>
      <c r="EF49070"/>
      <c r="EG49070"/>
      <c r="EH49070"/>
      <c r="EI49070"/>
      <c r="EJ49070"/>
      <c r="EK49070"/>
    </row>
    <row r="49071" spans="1:141" s="116" customFormat="1">
      <c r="A49071" s="136"/>
      <c r="CM49071" s="111"/>
      <c r="CQ49071" s="111"/>
      <c r="EF49071"/>
      <c r="EG49071"/>
      <c r="EH49071"/>
      <c r="EI49071"/>
      <c r="EJ49071"/>
      <c r="EK49071"/>
    </row>
    <row r="49072" spans="1:141" s="116" customFormat="1">
      <c r="A49072" s="136"/>
      <c r="CM49072" s="111"/>
      <c r="CQ49072" s="111"/>
      <c r="EF49072"/>
      <c r="EG49072"/>
      <c r="EH49072"/>
      <c r="EI49072"/>
      <c r="EJ49072"/>
      <c r="EK49072"/>
    </row>
    <row r="49073" spans="1:141" s="116" customFormat="1">
      <c r="A49073" s="136"/>
      <c r="CM49073" s="111"/>
      <c r="CQ49073" s="111"/>
      <c r="EF49073"/>
      <c r="EG49073"/>
      <c r="EH49073"/>
      <c r="EI49073"/>
      <c r="EJ49073"/>
      <c r="EK49073"/>
    </row>
    <row r="49074" spans="1:141" s="116" customFormat="1">
      <c r="A49074" s="136"/>
      <c r="CM49074" s="111"/>
      <c r="CQ49074" s="111"/>
      <c r="EF49074"/>
      <c r="EG49074"/>
      <c r="EH49074"/>
      <c r="EI49074"/>
      <c r="EJ49074"/>
      <c r="EK49074"/>
    </row>
    <row r="49075" spans="1:141" s="116" customFormat="1">
      <c r="A49075" s="136"/>
      <c r="CM49075" s="111"/>
      <c r="CQ49075" s="111"/>
      <c r="EF49075"/>
      <c r="EG49075"/>
      <c r="EH49075"/>
      <c r="EI49075"/>
      <c r="EJ49075"/>
      <c r="EK49075"/>
    </row>
    <row r="49076" spans="1:141" s="116" customFormat="1">
      <c r="A49076" s="136"/>
      <c r="CM49076" s="111"/>
      <c r="CQ49076" s="111"/>
      <c r="EF49076"/>
      <c r="EG49076"/>
      <c r="EH49076"/>
      <c r="EI49076"/>
      <c r="EJ49076"/>
      <c r="EK49076"/>
    </row>
    <row r="49077" spans="1:141" s="116" customFormat="1">
      <c r="A49077" s="136"/>
      <c r="CM49077" s="111"/>
      <c r="CQ49077" s="111"/>
      <c r="EF49077"/>
      <c r="EG49077"/>
      <c r="EH49077"/>
      <c r="EI49077"/>
      <c r="EJ49077"/>
      <c r="EK49077"/>
    </row>
    <row r="49078" spans="1:141" s="116" customFormat="1">
      <c r="A49078" s="136"/>
      <c r="CM49078" s="111"/>
      <c r="CQ49078" s="111"/>
      <c r="EF49078"/>
      <c r="EG49078"/>
      <c r="EH49078"/>
      <c r="EI49078"/>
      <c r="EJ49078"/>
      <c r="EK49078"/>
    </row>
    <row r="49079" spans="1:141" s="116" customFormat="1">
      <c r="A49079" s="136"/>
      <c r="CM49079" s="111"/>
      <c r="CQ49079" s="111"/>
      <c r="EF49079"/>
      <c r="EG49079"/>
      <c r="EH49079"/>
      <c r="EI49079"/>
      <c r="EJ49079"/>
      <c r="EK49079"/>
    </row>
    <row r="49080" spans="1:141" s="116" customFormat="1">
      <c r="A49080" s="136"/>
      <c r="CM49080" s="111"/>
      <c r="CQ49080" s="111"/>
      <c r="EF49080"/>
      <c r="EG49080"/>
      <c r="EH49080"/>
      <c r="EI49080"/>
      <c r="EJ49080"/>
      <c r="EK49080"/>
    </row>
    <row r="49081" spans="1:141" s="116" customFormat="1">
      <c r="A49081" s="136"/>
      <c r="CM49081" s="111"/>
      <c r="CQ49081" s="111"/>
      <c r="EF49081"/>
      <c r="EG49081"/>
      <c r="EH49081"/>
      <c r="EI49081"/>
      <c r="EJ49081"/>
      <c r="EK49081"/>
    </row>
    <row r="49082" spans="1:141" s="116" customFormat="1">
      <c r="A49082" s="136"/>
      <c r="CM49082" s="111"/>
      <c r="CQ49082" s="111"/>
      <c r="EF49082"/>
      <c r="EG49082"/>
      <c r="EH49082"/>
      <c r="EI49082"/>
      <c r="EJ49082"/>
      <c r="EK49082"/>
    </row>
    <row r="49083" spans="1:141" s="116" customFormat="1">
      <c r="A49083" s="136"/>
      <c r="CM49083" s="111"/>
      <c r="CQ49083" s="111"/>
      <c r="EF49083"/>
      <c r="EG49083"/>
      <c r="EH49083"/>
      <c r="EI49083"/>
      <c r="EJ49083"/>
      <c r="EK49083"/>
    </row>
    <row r="49084" spans="1:141" s="116" customFormat="1">
      <c r="A49084" s="136"/>
      <c r="CM49084" s="111"/>
      <c r="CQ49084" s="111"/>
      <c r="EF49084"/>
      <c r="EG49084"/>
      <c r="EH49084"/>
      <c r="EI49084"/>
      <c r="EJ49084"/>
      <c r="EK49084"/>
    </row>
    <row r="49085" spans="1:141" s="116" customFormat="1">
      <c r="A49085" s="136"/>
      <c r="CM49085" s="111"/>
      <c r="CQ49085" s="111"/>
      <c r="EF49085"/>
      <c r="EG49085"/>
      <c r="EH49085"/>
      <c r="EI49085"/>
      <c r="EJ49085"/>
      <c r="EK49085"/>
    </row>
    <row r="49086" spans="1:141" s="116" customFormat="1">
      <c r="A49086" s="136"/>
      <c r="CM49086" s="111"/>
      <c r="CQ49086" s="111"/>
      <c r="EF49086"/>
      <c r="EG49086"/>
      <c r="EH49086"/>
      <c r="EI49086"/>
      <c r="EJ49086"/>
      <c r="EK49086"/>
    </row>
    <row r="49087" spans="1:141" s="116" customFormat="1">
      <c r="A49087" s="136"/>
      <c r="CM49087" s="111"/>
      <c r="CQ49087" s="111"/>
      <c r="EF49087"/>
      <c r="EG49087"/>
      <c r="EH49087"/>
      <c r="EI49087"/>
      <c r="EJ49087"/>
      <c r="EK49087"/>
    </row>
    <row r="49088" spans="1:141" s="116" customFormat="1">
      <c r="A49088" s="136"/>
      <c r="CM49088" s="111"/>
      <c r="CQ49088" s="111"/>
      <c r="EF49088"/>
      <c r="EG49088"/>
      <c r="EH49088"/>
      <c r="EI49088"/>
      <c r="EJ49088"/>
      <c r="EK49088"/>
    </row>
    <row r="49089" spans="1:141" s="116" customFormat="1">
      <c r="A49089" s="136"/>
      <c r="CM49089" s="111"/>
      <c r="CQ49089" s="111"/>
      <c r="EF49089"/>
      <c r="EG49089"/>
      <c r="EH49089"/>
      <c r="EI49089"/>
      <c r="EJ49089"/>
      <c r="EK49089"/>
    </row>
    <row r="49090" spans="1:141" s="116" customFormat="1">
      <c r="A49090" s="136"/>
      <c r="CM49090" s="111"/>
      <c r="CQ49090" s="111"/>
      <c r="EF49090"/>
      <c r="EG49090"/>
      <c r="EH49090"/>
      <c r="EI49090"/>
      <c r="EJ49090"/>
      <c r="EK49090"/>
    </row>
    <row r="49091" spans="1:141" s="116" customFormat="1">
      <c r="A49091" s="136"/>
      <c r="CM49091" s="111"/>
      <c r="CQ49091" s="111"/>
      <c r="EF49091"/>
      <c r="EG49091"/>
      <c r="EH49091"/>
      <c r="EI49091"/>
      <c r="EJ49091"/>
      <c r="EK49091"/>
    </row>
    <row r="49092" spans="1:141" s="116" customFormat="1">
      <c r="A49092" s="136"/>
      <c r="CM49092" s="111"/>
      <c r="CQ49092" s="111"/>
      <c r="EF49092"/>
      <c r="EG49092"/>
      <c r="EH49092"/>
      <c r="EI49092"/>
      <c r="EJ49092"/>
      <c r="EK49092"/>
    </row>
    <row r="49093" spans="1:141" s="116" customFormat="1">
      <c r="A49093" s="136"/>
      <c r="CM49093" s="111"/>
      <c r="CQ49093" s="111"/>
      <c r="EF49093"/>
      <c r="EG49093"/>
      <c r="EH49093"/>
      <c r="EI49093"/>
      <c r="EJ49093"/>
      <c r="EK49093"/>
    </row>
    <row r="49094" spans="1:141" s="116" customFormat="1">
      <c r="A49094" s="136"/>
      <c r="CM49094" s="111"/>
      <c r="CQ49094" s="111"/>
      <c r="EF49094"/>
      <c r="EG49094"/>
      <c r="EH49094"/>
      <c r="EI49094"/>
      <c r="EJ49094"/>
      <c r="EK49094"/>
    </row>
    <row r="49095" spans="1:141" s="116" customFormat="1">
      <c r="A49095" s="136"/>
      <c r="CM49095" s="111"/>
      <c r="CQ49095" s="111"/>
      <c r="EF49095"/>
      <c r="EG49095"/>
      <c r="EH49095"/>
      <c r="EI49095"/>
      <c r="EJ49095"/>
      <c r="EK49095"/>
    </row>
    <row r="49096" spans="1:141" s="116" customFormat="1">
      <c r="A49096" s="136"/>
      <c r="CM49096" s="111"/>
      <c r="CQ49096" s="111"/>
      <c r="EF49096"/>
      <c r="EG49096"/>
      <c r="EH49096"/>
      <c r="EI49096"/>
      <c r="EJ49096"/>
      <c r="EK49096"/>
    </row>
    <row r="49097" spans="1:141" s="116" customFormat="1">
      <c r="A49097" s="136"/>
      <c r="CM49097" s="111"/>
      <c r="CQ49097" s="111"/>
      <c r="EF49097"/>
      <c r="EG49097"/>
      <c r="EH49097"/>
      <c r="EI49097"/>
      <c r="EJ49097"/>
      <c r="EK49097"/>
    </row>
    <row r="49098" spans="1:141" s="116" customFormat="1">
      <c r="A49098" s="136"/>
      <c r="CM49098" s="111"/>
      <c r="CQ49098" s="111"/>
      <c r="EF49098"/>
      <c r="EG49098"/>
      <c r="EH49098"/>
      <c r="EI49098"/>
      <c r="EJ49098"/>
      <c r="EK49098"/>
    </row>
    <row r="49099" spans="1:141" s="116" customFormat="1">
      <c r="A49099" s="136"/>
      <c r="CM49099" s="111"/>
      <c r="CQ49099" s="111"/>
      <c r="EF49099"/>
      <c r="EG49099"/>
      <c r="EH49099"/>
      <c r="EI49099"/>
      <c r="EJ49099"/>
      <c r="EK49099"/>
    </row>
    <row r="49100" spans="1:141" s="116" customFormat="1">
      <c r="A49100" s="136"/>
      <c r="CM49100" s="111"/>
      <c r="CQ49100" s="111"/>
      <c r="EF49100"/>
      <c r="EG49100"/>
      <c r="EH49100"/>
      <c r="EI49100"/>
      <c r="EJ49100"/>
      <c r="EK49100"/>
    </row>
    <row r="49101" spans="1:141" s="116" customFormat="1">
      <c r="A49101" s="136"/>
      <c r="CM49101" s="111"/>
      <c r="CQ49101" s="111"/>
      <c r="EF49101"/>
      <c r="EG49101"/>
      <c r="EH49101"/>
      <c r="EI49101"/>
      <c r="EJ49101"/>
      <c r="EK49101"/>
    </row>
    <row r="49102" spans="1:141" s="116" customFormat="1">
      <c r="A49102" s="136"/>
      <c r="CM49102" s="111"/>
      <c r="CQ49102" s="111"/>
      <c r="EF49102"/>
      <c r="EG49102"/>
      <c r="EH49102"/>
      <c r="EI49102"/>
      <c r="EJ49102"/>
      <c r="EK49102"/>
    </row>
    <row r="49103" spans="1:141" s="116" customFormat="1">
      <c r="A49103" s="136"/>
      <c r="CM49103" s="111"/>
      <c r="CQ49103" s="111"/>
      <c r="EF49103"/>
      <c r="EG49103"/>
      <c r="EH49103"/>
      <c r="EI49103"/>
      <c r="EJ49103"/>
      <c r="EK49103"/>
    </row>
    <row r="49104" spans="1:141" s="116" customFormat="1">
      <c r="A49104" s="136"/>
      <c r="CM49104" s="111"/>
      <c r="CQ49104" s="111"/>
      <c r="EF49104"/>
      <c r="EG49104"/>
      <c r="EH49104"/>
      <c r="EI49104"/>
      <c r="EJ49104"/>
      <c r="EK49104"/>
    </row>
    <row r="49105" spans="1:141" s="116" customFormat="1">
      <c r="A49105" s="136"/>
      <c r="CM49105" s="111"/>
      <c r="CQ49105" s="111"/>
      <c r="EF49105"/>
      <c r="EG49105"/>
      <c r="EH49105"/>
      <c r="EI49105"/>
      <c r="EJ49105"/>
      <c r="EK49105"/>
    </row>
    <row r="49106" spans="1:141" s="116" customFormat="1">
      <c r="A49106" s="136"/>
      <c r="CM49106" s="111"/>
      <c r="CQ49106" s="111"/>
      <c r="EF49106"/>
      <c r="EG49106"/>
      <c r="EH49106"/>
      <c r="EI49106"/>
      <c r="EJ49106"/>
      <c r="EK49106"/>
    </row>
    <row r="49107" spans="1:141" s="116" customFormat="1">
      <c r="A49107" s="136"/>
      <c r="CM49107" s="111"/>
      <c r="CQ49107" s="111"/>
      <c r="EF49107"/>
      <c r="EG49107"/>
      <c r="EH49107"/>
      <c r="EI49107"/>
      <c r="EJ49107"/>
      <c r="EK49107"/>
    </row>
    <row r="49108" spans="1:141" s="116" customFormat="1">
      <c r="A49108" s="136"/>
      <c r="CM49108" s="111"/>
      <c r="CQ49108" s="111"/>
      <c r="EF49108"/>
      <c r="EG49108"/>
      <c r="EH49108"/>
      <c r="EI49108"/>
      <c r="EJ49108"/>
      <c r="EK49108"/>
    </row>
    <row r="49109" spans="1:141" s="116" customFormat="1">
      <c r="A49109" s="136"/>
      <c r="CM49109" s="111"/>
      <c r="CQ49109" s="111"/>
      <c r="EF49109"/>
      <c r="EG49109"/>
      <c r="EH49109"/>
      <c r="EI49109"/>
      <c r="EJ49109"/>
      <c r="EK49109"/>
    </row>
    <row r="49110" spans="1:141" s="116" customFormat="1">
      <c r="A49110" s="136"/>
      <c r="CM49110" s="111"/>
      <c r="CQ49110" s="111"/>
      <c r="EF49110"/>
      <c r="EG49110"/>
      <c r="EH49110"/>
      <c r="EI49110"/>
      <c r="EJ49110"/>
      <c r="EK49110"/>
    </row>
    <row r="49111" spans="1:141" s="116" customFormat="1">
      <c r="A49111" s="136"/>
      <c r="CM49111" s="111"/>
      <c r="CQ49111" s="111"/>
      <c r="EF49111"/>
      <c r="EG49111"/>
      <c r="EH49111"/>
      <c r="EI49111"/>
      <c r="EJ49111"/>
      <c r="EK49111"/>
    </row>
    <row r="49112" spans="1:141" s="116" customFormat="1">
      <c r="A49112" s="136"/>
      <c r="CM49112" s="111"/>
      <c r="CQ49112" s="111"/>
      <c r="EF49112"/>
      <c r="EG49112"/>
      <c r="EH49112"/>
      <c r="EI49112"/>
      <c r="EJ49112"/>
      <c r="EK49112"/>
    </row>
    <row r="49113" spans="1:141" s="116" customFormat="1">
      <c r="A49113" s="136"/>
      <c r="CM49113" s="111"/>
      <c r="CQ49113" s="111"/>
      <c r="EF49113"/>
      <c r="EG49113"/>
      <c r="EH49113"/>
      <c r="EI49113"/>
      <c r="EJ49113"/>
      <c r="EK49113"/>
    </row>
    <row r="49114" spans="1:141" s="116" customFormat="1">
      <c r="A49114" s="136"/>
      <c r="CM49114" s="111"/>
      <c r="CQ49114" s="111"/>
      <c r="EF49114"/>
      <c r="EG49114"/>
      <c r="EH49114"/>
      <c r="EI49114"/>
      <c r="EJ49114"/>
      <c r="EK49114"/>
    </row>
    <row r="49115" spans="1:141" s="116" customFormat="1">
      <c r="A49115" s="136"/>
      <c r="CM49115" s="111"/>
      <c r="CQ49115" s="111"/>
      <c r="EF49115"/>
      <c r="EG49115"/>
      <c r="EH49115"/>
      <c r="EI49115"/>
      <c r="EJ49115"/>
      <c r="EK49115"/>
    </row>
    <row r="49116" spans="1:141" s="116" customFormat="1">
      <c r="A49116" s="136"/>
      <c r="CM49116" s="111"/>
      <c r="CQ49116" s="111"/>
      <c r="EF49116"/>
      <c r="EG49116"/>
      <c r="EH49116"/>
      <c r="EI49116"/>
      <c r="EJ49116"/>
      <c r="EK49116"/>
    </row>
    <row r="49117" spans="1:141" s="116" customFormat="1">
      <c r="A49117" s="136"/>
      <c r="CM49117" s="111"/>
      <c r="CQ49117" s="111"/>
      <c r="EF49117"/>
      <c r="EG49117"/>
      <c r="EH49117"/>
      <c r="EI49117"/>
      <c r="EJ49117"/>
      <c r="EK49117"/>
    </row>
    <row r="49118" spans="1:141" s="116" customFormat="1">
      <c r="A49118" s="136"/>
      <c r="CM49118" s="111"/>
      <c r="CQ49118" s="111"/>
      <c r="EF49118"/>
      <c r="EG49118"/>
      <c r="EH49118"/>
      <c r="EI49118"/>
      <c r="EJ49118"/>
      <c r="EK49118"/>
    </row>
    <row r="49119" spans="1:141" s="116" customFormat="1">
      <c r="A49119" s="136"/>
      <c r="CM49119" s="111"/>
      <c r="CQ49119" s="111"/>
      <c r="EF49119"/>
      <c r="EG49119"/>
      <c r="EH49119"/>
      <c r="EI49119"/>
      <c r="EJ49119"/>
      <c r="EK49119"/>
    </row>
    <row r="49120" spans="1:141" s="116" customFormat="1">
      <c r="A49120" s="136"/>
      <c r="CM49120" s="111"/>
      <c r="CQ49120" s="111"/>
      <c r="EF49120"/>
      <c r="EG49120"/>
      <c r="EH49120"/>
      <c r="EI49120"/>
      <c r="EJ49120"/>
      <c r="EK49120"/>
    </row>
    <row r="49121" spans="1:141" s="116" customFormat="1">
      <c r="A49121" s="136"/>
      <c r="CM49121" s="111"/>
      <c r="CQ49121" s="111"/>
      <c r="EF49121"/>
      <c r="EG49121"/>
      <c r="EH49121"/>
      <c r="EI49121"/>
      <c r="EJ49121"/>
      <c r="EK49121"/>
    </row>
    <row r="49122" spans="1:141" s="116" customFormat="1">
      <c r="A49122" s="136"/>
      <c r="CM49122" s="111"/>
      <c r="CQ49122" s="111"/>
      <c r="EF49122"/>
      <c r="EG49122"/>
      <c r="EH49122"/>
      <c r="EI49122"/>
      <c r="EJ49122"/>
      <c r="EK49122"/>
    </row>
    <row r="49123" spans="1:141" s="116" customFormat="1">
      <c r="A49123" s="136"/>
      <c r="CM49123" s="111"/>
      <c r="CQ49123" s="111"/>
      <c r="EF49123"/>
      <c r="EG49123"/>
      <c r="EH49123"/>
      <c r="EI49123"/>
      <c r="EJ49123"/>
      <c r="EK49123"/>
    </row>
    <row r="49124" spans="1:141" s="116" customFormat="1">
      <c r="A49124" s="136"/>
      <c r="CM49124" s="111"/>
      <c r="CQ49124" s="111"/>
      <c r="EF49124"/>
      <c r="EG49124"/>
      <c r="EH49124"/>
      <c r="EI49124"/>
      <c r="EJ49124"/>
      <c r="EK49124"/>
    </row>
    <row r="49125" spans="1:141" s="116" customFormat="1">
      <c r="A49125" s="136"/>
      <c r="CM49125" s="111"/>
      <c r="CQ49125" s="111"/>
      <c r="EF49125"/>
      <c r="EG49125"/>
      <c r="EH49125"/>
      <c r="EI49125"/>
      <c r="EJ49125"/>
      <c r="EK49125"/>
    </row>
    <row r="49126" spans="1:141" s="116" customFormat="1">
      <c r="A49126" s="136"/>
      <c r="CM49126" s="111"/>
      <c r="CQ49126" s="111"/>
      <c r="EF49126"/>
      <c r="EG49126"/>
      <c r="EH49126"/>
      <c r="EI49126"/>
      <c r="EJ49126"/>
      <c r="EK49126"/>
    </row>
    <row r="49127" spans="1:141" s="116" customFormat="1">
      <c r="A49127" s="136"/>
      <c r="CM49127" s="111"/>
      <c r="CQ49127" s="111"/>
      <c r="EF49127"/>
      <c r="EG49127"/>
      <c r="EH49127"/>
      <c r="EI49127"/>
      <c r="EJ49127"/>
      <c r="EK49127"/>
    </row>
    <row r="49128" spans="1:141" s="116" customFormat="1">
      <c r="A49128" s="136"/>
      <c r="CM49128" s="111"/>
      <c r="CQ49128" s="111"/>
      <c r="EF49128"/>
      <c r="EG49128"/>
      <c r="EH49128"/>
      <c r="EI49128"/>
      <c r="EJ49128"/>
      <c r="EK49128"/>
    </row>
    <row r="49129" spans="1:141" s="116" customFormat="1">
      <c r="A49129" s="136"/>
      <c r="CM49129" s="111"/>
      <c r="CQ49129" s="111"/>
      <c r="EF49129"/>
      <c r="EG49129"/>
      <c r="EH49129"/>
      <c r="EI49129"/>
      <c r="EJ49129"/>
      <c r="EK49129"/>
    </row>
    <row r="49130" spans="1:141" s="116" customFormat="1">
      <c r="A49130" s="136"/>
      <c r="CM49130" s="111"/>
      <c r="CQ49130" s="111"/>
      <c r="EF49130"/>
      <c r="EG49130"/>
      <c r="EH49130"/>
      <c r="EI49130"/>
      <c r="EJ49130"/>
      <c r="EK49130"/>
    </row>
    <row r="49131" spans="1:141" s="116" customFormat="1">
      <c r="A49131" s="136"/>
      <c r="CM49131" s="111"/>
      <c r="CQ49131" s="111"/>
      <c r="EF49131"/>
      <c r="EG49131"/>
      <c r="EH49131"/>
      <c r="EI49131"/>
      <c r="EJ49131"/>
      <c r="EK49131"/>
    </row>
    <row r="49132" spans="1:141" s="116" customFormat="1">
      <c r="A49132" s="136"/>
      <c r="CM49132" s="111"/>
      <c r="CQ49132" s="111"/>
      <c r="EF49132"/>
      <c r="EG49132"/>
      <c r="EH49132"/>
      <c r="EI49132"/>
      <c r="EJ49132"/>
      <c r="EK49132"/>
    </row>
    <row r="49133" spans="1:141" s="116" customFormat="1">
      <c r="A49133" s="136"/>
      <c r="CM49133" s="111"/>
      <c r="CQ49133" s="111"/>
      <c r="EF49133"/>
      <c r="EG49133"/>
      <c r="EH49133"/>
      <c r="EI49133"/>
      <c r="EJ49133"/>
      <c r="EK49133"/>
    </row>
    <row r="49134" spans="1:141" s="116" customFormat="1">
      <c r="A49134" s="136"/>
      <c r="CM49134" s="111"/>
      <c r="CQ49134" s="111"/>
      <c r="EF49134"/>
      <c r="EG49134"/>
      <c r="EH49134"/>
      <c r="EI49134"/>
      <c r="EJ49134"/>
      <c r="EK49134"/>
    </row>
    <row r="49135" spans="1:141" s="116" customFormat="1">
      <c r="A49135" s="136"/>
      <c r="CM49135" s="111"/>
      <c r="CQ49135" s="111"/>
      <c r="EF49135"/>
      <c r="EG49135"/>
      <c r="EH49135"/>
      <c r="EI49135"/>
      <c r="EJ49135"/>
      <c r="EK49135"/>
    </row>
    <row r="49136" spans="1:141" s="116" customFormat="1">
      <c r="A49136" s="136"/>
      <c r="CM49136" s="111"/>
      <c r="CQ49136" s="111"/>
      <c r="EF49136"/>
      <c r="EG49136"/>
      <c r="EH49136"/>
      <c r="EI49136"/>
      <c r="EJ49136"/>
      <c r="EK49136"/>
    </row>
    <row r="49137" spans="1:141" s="116" customFormat="1">
      <c r="A49137" s="136"/>
      <c r="CM49137" s="111"/>
      <c r="CQ49137" s="111"/>
      <c r="EF49137"/>
      <c r="EG49137"/>
      <c r="EH49137"/>
      <c r="EI49137"/>
      <c r="EJ49137"/>
      <c r="EK49137"/>
    </row>
    <row r="49138" spans="1:141" s="116" customFormat="1">
      <c r="A49138" s="136"/>
      <c r="CM49138" s="111"/>
      <c r="CQ49138" s="111"/>
      <c r="EF49138"/>
      <c r="EG49138"/>
      <c r="EH49138"/>
      <c r="EI49138"/>
      <c r="EJ49138"/>
      <c r="EK49138"/>
    </row>
    <row r="49139" spans="1:141" s="116" customFormat="1">
      <c r="A49139" s="136"/>
      <c r="CM49139" s="111"/>
      <c r="CQ49139" s="111"/>
      <c r="EF49139"/>
      <c r="EG49139"/>
      <c r="EH49139"/>
      <c r="EI49139"/>
      <c r="EJ49139"/>
      <c r="EK49139"/>
    </row>
    <row r="49140" spans="1:141" s="116" customFormat="1">
      <c r="A49140" s="136"/>
      <c r="CM49140" s="111"/>
      <c r="CQ49140" s="111"/>
      <c r="EF49140"/>
      <c r="EG49140"/>
      <c r="EH49140"/>
      <c r="EI49140"/>
      <c r="EJ49140"/>
      <c r="EK49140"/>
    </row>
    <row r="49141" spans="1:141" s="116" customFormat="1">
      <c r="A49141" s="136"/>
      <c r="CM49141" s="111"/>
      <c r="CQ49141" s="111"/>
      <c r="EF49141"/>
      <c r="EG49141"/>
      <c r="EH49141"/>
      <c r="EI49141"/>
      <c r="EJ49141"/>
      <c r="EK49141"/>
    </row>
    <row r="49142" spans="1:141" s="116" customFormat="1">
      <c r="A49142" s="136"/>
      <c r="CM49142" s="111"/>
      <c r="CQ49142" s="111"/>
      <c r="EF49142"/>
      <c r="EG49142"/>
      <c r="EH49142"/>
      <c r="EI49142"/>
      <c r="EJ49142"/>
      <c r="EK49142"/>
    </row>
    <row r="49143" spans="1:141" s="116" customFormat="1">
      <c r="A49143" s="136"/>
      <c r="CM49143" s="111"/>
      <c r="CQ49143" s="111"/>
      <c r="EF49143"/>
      <c r="EG49143"/>
      <c r="EH49143"/>
      <c r="EI49143"/>
      <c r="EJ49143"/>
      <c r="EK49143"/>
    </row>
    <row r="49144" spans="1:141" s="116" customFormat="1">
      <c r="A49144" s="136"/>
      <c r="CM49144" s="111"/>
      <c r="CQ49144" s="111"/>
      <c r="EF49144"/>
      <c r="EG49144"/>
      <c r="EH49144"/>
      <c r="EI49144"/>
      <c r="EJ49144"/>
      <c r="EK49144"/>
    </row>
    <row r="49145" spans="1:141" s="116" customFormat="1">
      <c r="A49145" s="136"/>
      <c r="CM49145" s="111"/>
      <c r="CQ49145" s="111"/>
      <c r="EF49145"/>
      <c r="EG49145"/>
      <c r="EH49145"/>
      <c r="EI49145"/>
      <c r="EJ49145"/>
      <c r="EK49145"/>
    </row>
    <row r="49146" spans="1:141" s="116" customFormat="1">
      <c r="A49146" s="136"/>
      <c r="CM49146" s="111"/>
      <c r="CQ49146" s="111"/>
      <c r="EF49146"/>
      <c r="EG49146"/>
      <c r="EH49146"/>
      <c r="EI49146"/>
      <c r="EJ49146"/>
      <c r="EK49146"/>
    </row>
    <row r="49147" spans="1:141" s="116" customFormat="1">
      <c r="A49147" s="136"/>
      <c r="CM49147" s="111"/>
      <c r="CQ49147" s="111"/>
      <c r="EF49147"/>
      <c r="EG49147"/>
      <c r="EH49147"/>
      <c r="EI49147"/>
      <c r="EJ49147"/>
      <c r="EK49147"/>
    </row>
    <row r="49148" spans="1:141" s="116" customFormat="1">
      <c r="A49148" s="136"/>
      <c r="CM49148" s="111"/>
      <c r="CQ49148" s="111"/>
      <c r="EF49148"/>
      <c r="EG49148"/>
      <c r="EH49148"/>
      <c r="EI49148"/>
      <c r="EJ49148"/>
      <c r="EK49148"/>
    </row>
    <row r="49149" spans="1:141" s="116" customFormat="1">
      <c r="A49149" s="136"/>
      <c r="CM49149" s="111"/>
      <c r="CQ49149" s="111"/>
      <c r="EF49149"/>
      <c r="EG49149"/>
      <c r="EH49149"/>
      <c r="EI49149"/>
      <c r="EJ49149"/>
      <c r="EK49149"/>
    </row>
    <row r="49150" spans="1:141" s="116" customFormat="1">
      <c r="A49150" s="136"/>
      <c r="CM49150" s="111"/>
      <c r="CQ49150" s="111"/>
      <c r="EF49150"/>
      <c r="EG49150"/>
      <c r="EH49150"/>
      <c r="EI49150"/>
      <c r="EJ49150"/>
      <c r="EK49150"/>
    </row>
    <row r="49151" spans="1:141" s="116" customFormat="1">
      <c r="A49151" s="136"/>
      <c r="CM49151" s="111"/>
      <c r="CQ49151" s="111"/>
      <c r="EF49151"/>
      <c r="EG49151"/>
      <c r="EH49151"/>
      <c r="EI49151"/>
      <c r="EJ49151"/>
      <c r="EK49151"/>
    </row>
    <row r="49152" spans="1:141" s="116" customFormat="1">
      <c r="A49152" s="136"/>
      <c r="CM49152" s="111"/>
      <c r="CQ49152" s="111"/>
      <c r="EF49152"/>
      <c r="EG49152"/>
      <c r="EH49152"/>
      <c r="EI49152"/>
      <c r="EJ49152"/>
      <c r="EK49152"/>
    </row>
    <row r="49153" spans="1:141" s="116" customFormat="1">
      <c r="A49153" s="136"/>
      <c r="CM49153" s="111"/>
      <c r="CQ49153" s="111"/>
      <c r="EF49153"/>
      <c r="EG49153"/>
      <c r="EH49153"/>
      <c r="EI49153"/>
      <c r="EJ49153"/>
      <c r="EK49153"/>
    </row>
    <row r="49154" spans="1:141" s="116" customFormat="1">
      <c r="A49154" s="136"/>
      <c r="CM49154" s="111"/>
      <c r="CQ49154" s="111"/>
      <c r="EF49154"/>
      <c r="EG49154"/>
      <c r="EH49154"/>
      <c r="EI49154"/>
      <c r="EJ49154"/>
      <c r="EK49154"/>
    </row>
    <row r="49155" spans="1:141" s="116" customFormat="1">
      <c r="A49155" s="136"/>
      <c r="CM49155" s="111"/>
      <c r="CQ49155" s="111"/>
      <c r="EF49155"/>
      <c r="EG49155"/>
      <c r="EH49155"/>
      <c r="EI49155"/>
      <c r="EJ49155"/>
      <c r="EK49155"/>
    </row>
    <row r="49156" spans="1:141" s="116" customFormat="1">
      <c r="A49156" s="136"/>
      <c r="CM49156" s="111"/>
      <c r="CQ49156" s="111"/>
      <c r="EF49156"/>
      <c r="EG49156"/>
      <c r="EH49156"/>
      <c r="EI49156"/>
      <c r="EJ49156"/>
      <c r="EK49156"/>
    </row>
    <row r="49157" spans="1:141" s="116" customFormat="1">
      <c r="A49157" s="136"/>
      <c r="CM49157" s="111"/>
      <c r="CQ49157" s="111"/>
      <c r="EF49157"/>
      <c r="EG49157"/>
      <c r="EH49157"/>
      <c r="EI49157"/>
      <c r="EJ49157"/>
      <c r="EK49157"/>
    </row>
    <row r="49158" spans="1:141" s="116" customFormat="1">
      <c r="A49158" s="136"/>
      <c r="CM49158" s="111"/>
      <c r="CQ49158" s="111"/>
      <c r="EF49158"/>
      <c r="EG49158"/>
      <c r="EH49158"/>
      <c r="EI49158"/>
      <c r="EJ49158"/>
      <c r="EK49158"/>
    </row>
    <row r="49159" spans="1:141" s="116" customFormat="1">
      <c r="A49159" s="136"/>
      <c r="CM49159" s="111"/>
      <c r="CQ49159" s="111"/>
      <c r="EF49159"/>
      <c r="EG49159"/>
      <c r="EH49159"/>
      <c r="EI49159"/>
      <c r="EJ49159"/>
      <c r="EK49159"/>
    </row>
    <row r="49160" spans="1:141" s="116" customFormat="1">
      <c r="A49160" s="136"/>
      <c r="CM49160" s="111"/>
      <c r="CQ49160" s="111"/>
      <c r="EF49160"/>
      <c r="EG49160"/>
      <c r="EH49160"/>
      <c r="EI49160"/>
      <c r="EJ49160"/>
      <c r="EK49160"/>
    </row>
    <row r="49161" spans="1:141" s="116" customFormat="1">
      <c r="A49161" s="136"/>
      <c r="CM49161" s="111"/>
      <c r="CQ49161" s="111"/>
      <c r="EF49161"/>
      <c r="EG49161"/>
      <c r="EH49161"/>
      <c r="EI49161"/>
      <c r="EJ49161"/>
      <c r="EK49161"/>
    </row>
    <row r="49162" spans="1:141" s="116" customFormat="1">
      <c r="A49162" s="136"/>
      <c r="CM49162" s="111"/>
      <c r="CQ49162" s="111"/>
      <c r="EF49162"/>
      <c r="EG49162"/>
      <c r="EH49162"/>
      <c r="EI49162"/>
      <c r="EJ49162"/>
      <c r="EK49162"/>
    </row>
    <row r="49163" spans="1:141" s="116" customFormat="1">
      <c r="A49163" s="136"/>
      <c r="CM49163" s="111"/>
      <c r="CQ49163" s="111"/>
      <c r="EF49163"/>
      <c r="EG49163"/>
      <c r="EH49163"/>
      <c r="EI49163"/>
      <c r="EJ49163"/>
      <c r="EK49163"/>
    </row>
    <row r="49164" spans="1:141" s="116" customFormat="1">
      <c r="A49164" s="136"/>
      <c r="CM49164" s="111"/>
      <c r="CQ49164" s="111"/>
      <c r="EF49164"/>
      <c r="EG49164"/>
      <c r="EH49164"/>
      <c r="EI49164"/>
      <c r="EJ49164"/>
      <c r="EK49164"/>
    </row>
    <row r="49165" spans="1:141" s="116" customFormat="1">
      <c r="A49165" s="136"/>
      <c r="CM49165" s="111"/>
      <c r="CQ49165" s="111"/>
      <c r="EF49165"/>
      <c r="EG49165"/>
      <c r="EH49165"/>
      <c r="EI49165"/>
      <c r="EJ49165"/>
      <c r="EK49165"/>
    </row>
    <row r="49166" spans="1:141" s="116" customFormat="1">
      <c r="A49166" s="136"/>
      <c r="CM49166" s="111"/>
      <c r="CQ49166" s="111"/>
      <c r="EF49166"/>
      <c r="EG49166"/>
      <c r="EH49166"/>
      <c r="EI49166"/>
      <c r="EJ49166"/>
      <c r="EK49166"/>
    </row>
    <row r="49167" spans="1:141" s="116" customFormat="1">
      <c r="A49167" s="136"/>
      <c r="CM49167" s="111"/>
      <c r="CQ49167" s="111"/>
      <c r="EF49167"/>
      <c r="EG49167"/>
      <c r="EH49167"/>
      <c r="EI49167"/>
      <c r="EJ49167"/>
      <c r="EK49167"/>
    </row>
    <row r="49168" spans="1:141" s="116" customFormat="1">
      <c r="A49168" s="136"/>
      <c r="CM49168" s="111"/>
      <c r="CQ49168" s="111"/>
      <c r="EF49168"/>
      <c r="EG49168"/>
      <c r="EH49168"/>
      <c r="EI49168"/>
      <c r="EJ49168"/>
      <c r="EK49168"/>
    </row>
    <row r="49169" spans="1:141" s="116" customFormat="1">
      <c r="A49169" s="136"/>
      <c r="CM49169" s="111"/>
      <c r="CQ49169" s="111"/>
      <c r="EF49169"/>
      <c r="EG49169"/>
      <c r="EH49169"/>
      <c r="EI49169"/>
      <c r="EJ49169"/>
      <c r="EK49169"/>
    </row>
    <row r="49170" spans="1:141" s="116" customFormat="1">
      <c r="A49170" s="136"/>
      <c r="CM49170" s="111"/>
      <c r="CQ49170" s="111"/>
      <c r="EF49170"/>
      <c r="EG49170"/>
      <c r="EH49170"/>
      <c r="EI49170"/>
      <c r="EJ49170"/>
      <c r="EK49170"/>
    </row>
    <row r="49171" spans="1:141" s="116" customFormat="1">
      <c r="A49171" s="136"/>
      <c r="CM49171" s="111"/>
      <c r="CQ49171" s="111"/>
      <c r="EF49171"/>
      <c r="EG49171"/>
      <c r="EH49171"/>
      <c r="EI49171"/>
      <c r="EJ49171"/>
      <c r="EK49171"/>
    </row>
    <row r="49172" spans="1:141" s="116" customFormat="1">
      <c r="A49172" s="136"/>
      <c r="CM49172" s="111"/>
      <c r="CQ49172" s="111"/>
      <c r="EF49172"/>
      <c r="EG49172"/>
      <c r="EH49172"/>
      <c r="EI49172"/>
      <c r="EJ49172"/>
      <c r="EK49172"/>
    </row>
    <row r="49173" spans="1:141" s="116" customFormat="1">
      <c r="A49173" s="136"/>
      <c r="CM49173" s="111"/>
      <c r="CQ49173" s="111"/>
      <c r="EF49173"/>
      <c r="EG49173"/>
      <c r="EH49173"/>
      <c r="EI49173"/>
      <c r="EJ49173"/>
      <c r="EK49173"/>
    </row>
    <row r="49174" spans="1:141" s="116" customFormat="1">
      <c r="A49174" s="136"/>
      <c r="CM49174" s="111"/>
      <c r="CQ49174" s="111"/>
      <c r="EF49174"/>
      <c r="EG49174"/>
      <c r="EH49174"/>
      <c r="EI49174"/>
      <c r="EJ49174"/>
      <c r="EK49174"/>
    </row>
    <row r="49175" spans="1:141" s="116" customFormat="1">
      <c r="A49175" s="136"/>
      <c r="CM49175" s="111"/>
      <c r="CQ49175" s="111"/>
      <c r="EF49175"/>
      <c r="EG49175"/>
      <c r="EH49175"/>
      <c r="EI49175"/>
      <c r="EJ49175"/>
      <c r="EK49175"/>
    </row>
    <row r="49176" spans="1:141" s="116" customFormat="1">
      <c r="A49176" s="136"/>
      <c r="CM49176" s="111"/>
      <c r="CQ49176" s="111"/>
      <c r="EF49176"/>
      <c r="EG49176"/>
      <c r="EH49176"/>
      <c r="EI49176"/>
      <c r="EJ49176"/>
      <c r="EK49176"/>
    </row>
    <row r="49177" spans="1:141" s="116" customFormat="1">
      <c r="A49177" s="136"/>
      <c r="CM49177" s="111"/>
      <c r="CQ49177" s="111"/>
      <c r="EF49177"/>
      <c r="EG49177"/>
      <c r="EH49177"/>
      <c r="EI49177"/>
      <c r="EJ49177"/>
      <c r="EK49177"/>
    </row>
    <row r="49178" spans="1:141" s="116" customFormat="1">
      <c r="A49178" s="136"/>
      <c r="CM49178" s="111"/>
      <c r="CQ49178" s="111"/>
      <c r="EF49178"/>
      <c r="EG49178"/>
      <c r="EH49178"/>
      <c r="EI49178"/>
      <c r="EJ49178"/>
      <c r="EK49178"/>
    </row>
    <row r="49179" spans="1:141" s="116" customFormat="1">
      <c r="A49179" s="136"/>
      <c r="CM49179" s="111"/>
      <c r="CQ49179" s="111"/>
      <c r="EF49179"/>
      <c r="EG49179"/>
      <c r="EH49179"/>
      <c r="EI49179"/>
      <c r="EJ49179"/>
      <c r="EK49179"/>
    </row>
    <row r="49180" spans="1:141" s="116" customFormat="1">
      <c r="A49180" s="136"/>
      <c r="CM49180" s="111"/>
      <c r="CQ49180" s="111"/>
      <c r="EF49180"/>
      <c r="EG49180"/>
      <c r="EH49180"/>
      <c r="EI49180"/>
      <c r="EJ49180"/>
      <c r="EK49180"/>
    </row>
    <row r="49181" spans="1:141" s="116" customFormat="1">
      <c r="A49181" s="136"/>
      <c r="CM49181" s="111"/>
      <c r="CQ49181" s="111"/>
      <c r="EF49181"/>
      <c r="EG49181"/>
      <c r="EH49181"/>
      <c r="EI49181"/>
      <c r="EJ49181"/>
      <c r="EK49181"/>
    </row>
    <row r="49182" spans="1:141" s="116" customFormat="1">
      <c r="A49182" s="136"/>
      <c r="CM49182" s="111"/>
      <c r="CQ49182" s="111"/>
      <c r="EF49182"/>
      <c r="EG49182"/>
      <c r="EH49182"/>
      <c r="EI49182"/>
      <c r="EJ49182"/>
      <c r="EK49182"/>
    </row>
    <row r="49183" spans="1:141" s="116" customFormat="1">
      <c r="A49183" s="136"/>
      <c r="CM49183" s="111"/>
      <c r="CQ49183" s="111"/>
      <c r="EF49183"/>
      <c r="EG49183"/>
      <c r="EH49183"/>
      <c r="EI49183"/>
      <c r="EJ49183"/>
      <c r="EK49183"/>
    </row>
    <row r="49184" spans="1:141" s="116" customFormat="1">
      <c r="A49184" s="136"/>
      <c r="CM49184" s="111"/>
      <c r="CQ49184" s="111"/>
      <c r="EF49184"/>
      <c r="EG49184"/>
      <c r="EH49184"/>
      <c r="EI49184"/>
      <c r="EJ49184"/>
      <c r="EK49184"/>
    </row>
    <row r="49185" spans="1:141" s="116" customFormat="1">
      <c r="A49185" s="136"/>
      <c r="CM49185" s="111"/>
      <c r="CQ49185" s="111"/>
      <c r="EF49185"/>
      <c r="EG49185"/>
      <c r="EH49185"/>
      <c r="EI49185"/>
      <c r="EJ49185"/>
      <c r="EK49185"/>
    </row>
    <row r="49186" spans="1:141" s="116" customFormat="1">
      <c r="A49186" s="136"/>
      <c r="CM49186" s="111"/>
      <c r="CQ49186" s="111"/>
      <c r="EF49186"/>
      <c r="EG49186"/>
      <c r="EH49186"/>
      <c r="EI49186"/>
      <c r="EJ49186"/>
      <c r="EK49186"/>
    </row>
    <row r="49187" spans="1:141" s="116" customFormat="1">
      <c r="A49187" s="136"/>
      <c r="CM49187" s="111"/>
      <c r="CQ49187" s="111"/>
      <c r="EF49187"/>
      <c r="EG49187"/>
      <c r="EH49187"/>
      <c r="EI49187"/>
      <c r="EJ49187"/>
      <c r="EK49187"/>
    </row>
    <row r="49188" spans="1:141" s="116" customFormat="1">
      <c r="A49188" s="136"/>
      <c r="CM49188" s="111"/>
      <c r="CQ49188" s="111"/>
      <c r="EF49188"/>
      <c r="EG49188"/>
      <c r="EH49188"/>
      <c r="EI49188"/>
      <c r="EJ49188"/>
      <c r="EK49188"/>
    </row>
    <row r="49189" spans="1:141" s="116" customFormat="1">
      <c r="A49189" s="136"/>
      <c r="CM49189" s="111"/>
      <c r="CQ49189" s="111"/>
      <c r="EF49189"/>
      <c r="EG49189"/>
      <c r="EH49189"/>
      <c r="EI49189"/>
      <c r="EJ49189"/>
      <c r="EK49189"/>
    </row>
    <row r="49190" spans="1:141" s="116" customFormat="1">
      <c r="A49190" s="136"/>
      <c r="CM49190" s="111"/>
      <c r="CQ49190" s="111"/>
      <c r="EF49190"/>
      <c r="EG49190"/>
      <c r="EH49190"/>
      <c r="EI49190"/>
      <c r="EJ49190"/>
      <c r="EK49190"/>
    </row>
    <row r="49191" spans="1:141" s="116" customFormat="1">
      <c r="A49191" s="136"/>
      <c r="CM49191" s="111"/>
      <c r="CQ49191" s="111"/>
      <c r="EF49191"/>
      <c r="EG49191"/>
      <c r="EH49191"/>
      <c r="EI49191"/>
      <c r="EJ49191"/>
      <c r="EK49191"/>
    </row>
    <row r="49192" spans="1:141" s="116" customFormat="1">
      <c r="A49192" s="136"/>
      <c r="CM49192" s="111"/>
      <c r="CQ49192" s="111"/>
      <c r="EF49192"/>
      <c r="EG49192"/>
      <c r="EH49192"/>
      <c r="EI49192"/>
      <c r="EJ49192"/>
      <c r="EK49192"/>
    </row>
    <row r="49193" spans="1:141" s="116" customFormat="1">
      <c r="A49193" s="136"/>
      <c r="CM49193" s="111"/>
      <c r="CQ49193" s="111"/>
      <c r="EF49193"/>
      <c r="EG49193"/>
      <c r="EH49193"/>
      <c r="EI49193"/>
      <c r="EJ49193"/>
      <c r="EK49193"/>
    </row>
    <row r="49194" spans="1:141" s="116" customFormat="1">
      <c r="A49194" s="136"/>
      <c r="CM49194" s="111"/>
      <c r="CQ49194" s="111"/>
      <c r="EF49194"/>
      <c r="EG49194"/>
      <c r="EH49194"/>
      <c r="EI49194"/>
      <c r="EJ49194"/>
      <c r="EK49194"/>
    </row>
    <row r="49195" spans="1:141" s="116" customFormat="1">
      <c r="A49195" s="136"/>
      <c r="CM49195" s="111"/>
      <c r="CQ49195" s="111"/>
      <c r="EF49195"/>
      <c r="EG49195"/>
      <c r="EH49195"/>
      <c r="EI49195"/>
      <c r="EJ49195"/>
      <c r="EK49195"/>
    </row>
    <row r="49196" spans="1:141" s="116" customFormat="1">
      <c r="A49196" s="136"/>
      <c r="CM49196" s="111"/>
      <c r="CQ49196" s="111"/>
      <c r="EF49196"/>
      <c r="EG49196"/>
      <c r="EH49196"/>
      <c r="EI49196"/>
      <c r="EJ49196"/>
      <c r="EK49196"/>
    </row>
    <row r="49197" spans="1:141" s="116" customFormat="1">
      <c r="A49197" s="136"/>
      <c r="CM49197" s="111"/>
      <c r="CQ49197" s="111"/>
      <c r="EF49197"/>
      <c r="EG49197"/>
      <c r="EH49197"/>
      <c r="EI49197"/>
      <c r="EJ49197"/>
      <c r="EK49197"/>
    </row>
    <row r="49198" spans="1:141" s="116" customFormat="1">
      <c r="A49198" s="136"/>
      <c r="CM49198" s="111"/>
      <c r="CQ49198" s="111"/>
      <c r="EF49198"/>
      <c r="EG49198"/>
      <c r="EH49198"/>
      <c r="EI49198"/>
      <c r="EJ49198"/>
      <c r="EK49198"/>
    </row>
    <row r="49199" spans="1:141" s="116" customFormat="1">
      <c r="A49199" s="136"/>
      <c r="CM49199" s="111"/>
      <c r="CQ49199" s="111"/>
      <c r="EF49199"/>
      <c r="EG49199"/>
      <c r="EH49199"/>
      <c r="EI49199"/>
      <c r="EJ49199"/>
      <c r="EK49199"/>
    </row>
    <row r="49200" spans="1:141" s="116" customFormat="1">
      <c r="A49200" s="136"/>
      <c r="CM49200" s="111"/>
      <c r="CQ49200" s="111"/>
      <c r="EF49200"/>
      <c r="EG49200"/>
      <c r="EH49200"/>
      <c r="EI49200"/>
      <c r="EJ49200"/>
      <c r="EK49200"/>
    </row>
    <row r="49201" spans="1:141" s="116" customFormat="1">
      <c r="A49201" s="136"/>
      <c r="CM49201" s="111"/>
      <c r="CQ49201" s="111"/>
      <c r="EF49201"/>
      <c r="EG49201"/>
      <c r="EH49201"/>
      <c r="EI49201"/>
      <c r="EJ49201"/>
      <c r="EK49201"/>
    </row>
    <row r="49202" spans="1:141" s="116" customFormat="1">
      <c r="A49202" s="136"/>
      <c r="CM49202" s="111"/>
      <c r="CQ49202" s="111"/>
      <c r="EF49202"/>
      <c r="EG49202"/>
      <c r="EH49202"/>
      <c r="EI49202"/>
      <c r="EJ49202"/>
      <c r="EK49202"/>
    </row>
    <row r="49203" spans="1:141" s="116" customFormat="1">
      <c r="A49203" s="136"/>
      <c r="CM49203" s="111"/>
      <c r="CQ49203" s="111"/>
      <c r="EF49203"/>
      <c r="EG49203"/>
      <c r="EH49203"/>
      <c r="EI49203"/>
      <c r="EJ49203"/>
      <c r="EK49203"/>
    </row>
    <row r="49204" spans="1:141" s="116" customFormat="1">
      <c r="A49204" s="136"/>
      <c r="CM49204" s="111"/>
      <c r="CQ49204" s="111"/>
      <c r="EF49204"/>
      <c r="EG49204"/>
      <c r="EH49204"/>
      <c r="EI49204"/>
      <c r="EJ49204"/>
      <c r="EK49204"/>
    </row>
    <row r="49205" spans="1:141" s="116" customFormat="1">
      <c r="A49205" s="136"/>
      <c r="CM49205" s="111"/>
      <c r="CQ49205" s="111"/>
      <c r="EF49205"/>
      <c r="EG49205"/>
      <c r="EH49205"/>
      <c r="EI49205"/>
      <c r="EJ49205"/>
      <c r="EK49205"/>
    </row>
    <row r="49206" spans="1:141" s="116" customFormat="1">
      <c r="A49206" s="136"/>
      <c r="CM49206" s="111"/>
      <c r="CQ49206" s="111"/>
      <c r="EF49206"/>
      <c r="EG49206"/>
      <c r="EH49206"/>
      <c r="EI49206"/>
      <c r="EJ49206"/>
      <c r="EK49206"/>
    </row>
    <row r="49207" spans="1:141" s="116" customFormat="1">
      <c r="A49207" s="136"/>
      <c r="CM49207" s="111"/>
      <c r="CQ49207" s="111"/>
      <c r="EF49207"/>
      <c r="EG49207"/>
      <c r="EH49207"/>
      <c r="EI49207"/>
      <c r="EJ49207"/>
      <c r="EK49207"/>
    </row>
    <row r="49208" spans="1:141" s="116" customFormat="1">
      <c r="A49208" s="136"/>
      <c r="CM49208" s="111"/>
      <c r="CQ49208" s="111"/>
      <c r="EF49208"/>
      <c r="EG49208"/>
      <c r="EH49208"/>
      <c r="EI49208"/>
      <c r="EJ49208"/>
      <c r="EK49208"/>
    </row>
    <row r="49209" spans="1:141" s="116" customFormat="1">
      <c r="A49209" s="136"/>
      <c r="CM49209" s="111"/>
      <c r="CQ49209" s="111"/>
      <c r="EF49209"/>
      <c r="EG49209"/>
      <c r="EH49209"/>
      <c r="EI49209"/>
      <c r="EJ49209"/>
      <c r="EK49209"/>
    </row>
    <row r="49210" spans="1:141" s="116" customFormat="1">
      <c r="A49210" s="136"/>
      <c r="CM49210" s="111"/>
      <c r="CQ49210" s="111"/>
      <c r="EF49210"/>
      <c r="EG49210"/>
      <c r="EH49210"/>
      <c r="EI49210"/>
      <c r="EJ49210"/>
      <c r="EK49210"/>
    </row>
    <row r="49211" spans="1:141" s="116" customFormat="1">
      <c r="A49211" s="136"/>
      <c r="CM49211" s="111"/>
      <c r="CQ49211" s="111"/>
      <c r="EF49211"/>
      <c r="EG49211"/>
      <c r="EH49211"/>
      <c r="EI49211"/>
      <c r="EJ49211"/>
      <c r="EK49211"/>
    </row>
    <row r="49212" spans="1:141" s="116" customFormat="1">
      <c r="A49212" s="136"/>
      <c r="CM49212" s="111"/>
      <c r="CQ49212" s="111"/>
      <c r="EF49212"/>
      <c r="EG49212"/>
      <c r="EH49212"/>
      <c r="EI49212"/>
      <c r="EJ49212"/>
      <c r="EK49212"/>
    </row>
    <row r="49213" spans="1:141" s="116" customFormat="1">
      <c r="A49213" s="136"/>
      <c r="CM49213" s="111"/>
      <c r="CQ49213" s="111"/>
      <c r="EF49213"/>
      <c r="EG49213"/>
      <c r="EH49213"/>
      <c r="EI49213"/>
      <c r="EJ49213"/>
      <c r="EK49213"/>
    </row>
    <row r="49214" spans="1:141" s="116" customFormat="1">
      <c r="A49214" s="136"/>
      <c r="CM49214" s="111"/>
      <c r="CQ49214" s="111"/>
      <c r="EF49214"/>
      <c r="EG49214"/>
      <c r="EH49214"/>
      <c r="EI49214"/>
      <c r="EJ49214"/>
      <c r="EK49214"/>
    </row>
    <row r="49215" spans="1:141" s="116" customFormat="1">
      <c r="A49215" s="136"/>
      <c r="CM49215" s="111"/>
      <c r="CQ49215" s="111"/>
      <c r="EF49215"/>
      <c r="EG49215"/>
      <c r="EH49215"/>
      <c r="EI49215"/>
      <c r="EJ49215"/>
      <c r="EK49215"/>
    </row>
    <row r="49216" spans="1:141" s="116" customFormat="1">
      <c r="A49216" s="136"/>
      <c r="CM49216" s="111"/>
      <c r="CQ49216" s="111"/>
      <c r="EF49216"/>
      <c r="EG49216"/>
      <c r="EH49216"/>
      <c r="EI49216"/>
      <c r="EJ49216"/>
      <c r="EK49216"/>
    </row>
    <row r="49217" spans="1:141" s="116" customFormat="1">
      <c r="A49217" s="136"/>
      <c r="CM49217" s="111"/>
      <c r="CQ49217" s="111"/>
      <c r="EF49217"/>
      <c r="EG49217"/>
      <c r="EH49217"/>
      <c r="EI49217"/>
      <c r="EJ49217"/>
      <c r="EK49217"/>
    </row>
    <row r="49218" spans="1:141" s="116" customFormat="1">
      <c r="A49218" s="136"/>
      <c r="CM49218" s="111"/>
      <c r="CQ49218" s="111"/>
      <c r="EF49218"/>
      <c r="EG49218"/>
      <c r="EH49218"/>
      <c r="EI49218"/>
      <c r="EJ49218"/>
      <c r="EK49218"/>
    </row>
    <row r="49219" spans="1:141" s="116" customFormat="1">
      <c r="A49219" s="136"/>
      <c r="CM49219" s="111"/>
      <c r="CQ49219" s="111"/>
      <c r="EF49219"/>
      <c r="EG49219"/>
      <c r="EH49219"/>
      <c r="EI49219"/>
      <c r="EJ49219"/>
      <c r="EK49219"/>
    </row>
    <row r="49220" spans="1:141" s="116" customFormat="1">
      <c r="A49220" s="136"/>
      <c r="CM49220" s="111"/>
      <c r="CQ49220" s="111"/>
      <c r="EF49220"/>
      <c r="EG49220"/>
      <c r="EH49220"/>
      <c r="EI49220"/>
      <c r="EJ49220"/>
      <c r="EK49220"/>
    </row>
    <row r="49221" spans="1:141" s="116" customFormat="1">
      <c r="A49221" s="136"/>
      <c r="CM49221" s="111"/>
      <c r="CQ49221" s="111"/>
      <c r="EF49221"/>
      <c r="EG49221"/>
      <c r="EH49221"/>
      <c r="EI49221"/>
      <c r="EJ49221"/>
      <c r="EK49221"/>
    </row>
    <row r="49222" spans="1:141" s="116" customFormat="1">
      <c r="A49222" s="136"/>
      <c r="CM49222" s="111"/>
      <c r="CQ49222" s="111"/>
      <c r="EF49222"/>
      <c r="EG49222"/>
      <c r="EH49222"/>
      <c r="EI49222"/>
      <c r="EJ49222"/>
      <c r="EK49222"/>
    </row>
    <row r="49223" spans="1:141" s="116" customFormat="1">
      <c r="A49223" s="136"/>
      <c r="CM49223" s="111"/>
      <c r="CQ49223" s="111"/>
      <c r="EF49223"/>
      <c r="EG49223"/>
      <c r="EH49223"/>
      <c r="EI49223"/>
      <c r="EJ49223"/>
      <c r="EK49223"/>
    </row>
    <row r="49224" spans="1:141" s="116" customFormat="1">
      <c r="A49224" s="136"/>
      <c r="CM49224" s="111"/>
      <c r="CQ49224" s="111"/>
      <c r="EF49224"/>
      <c r="EG49224"/>
      <c r="EH49224"/>
      <c r="EI49224"/>
      <c r="EJ49224"/>
      <c r="EK49224"/>
    </row>
    <row r="49225" spans="1:141" s="116" customFormat="1">
      <c r="A49225" s="136"/>
      <c r="CM49225" s="111"/>
      <c r="CQ49225" s="111"/>
      <c r="EF49225"/>
      <c r="EG49225"/>
      <c r="EH49225"/>
      <c r="EI49225"/>
      <c r="EJ49225"/>
      <c r="EK49225"/>
    </row>
    <row r="49226" spans="1:141" s="116" customFormat="1">
      <c r="A49226" s="136"/>
      <c r="CM49226" s="111"/>
      <c r="CQ49226" s="111"/>
      <c r="EF49226"/>
      <c r="EG49226"/>
      <c r="EH49226"/>
      <c r="EI49226"/>
      <c r="EJ49226"/>
      <c r="EK49226"/>
    </row>
    <row r="49227" spans="1:141" s="116" customFormat="1">
      <c r="A49227" s="136"/>
      <c r="CM49227" s="111"/>
      <c r="CQ49227" s="111"/>
      <c r="EF49227"/>
      <c r="EG49227"/>
      <c r="EH49227"/>
      <c r="EI49227"/>
      <c r="EJ49227"/>
      <c r="EK49227"/>
    </row>
    <row r="49228" spans="1:141" s="116" customFormat="1">
      <c r="A49228" s="136"/>
      <c r="CM49228" s="111"/>
      <c r="CQ49228" s="111"/>
      <c r="EF49228"/>
      <c r="EG49228"/>
      <c r="EH49228"/>
      <c r="EI49228"/>
      <c r="EJ49228"/>
      <c r="EK49228"/>
    </row>
    <row r="49229" spans="1:141" s="116" customFormat="1">
      <c r="A49229" s="136"/>
      <c r="CM49229" s="111"/>
      <c r="CQ49229" s="111"/>
      <c r="EF49229"/>
      <c r="EG49229"/>
      <c r="EH49229"/>
      <c r="EI49229"/>
      <c r="EJ49229"/>
      <c r="EK49229"/>
    </row>
    <row r="49230" spans="1:141" s="116" customFormat="1">
      <c r="A49230" s="136"/>
      <c r="CM49230" s="111"/>
      <c r="CQ49230" s="111"/>
      <c r="EF49230"/>
      <c r="EG49230"/>
      <c r="EH49230"/>
      <c r="EI49230"/>
      <c r="EJ49230"/>
      <c r="EK49230"/>
    </row>
    <row r="49231" spans="1:141" s="116" customFormat="1">
      <c r="A49231" s="136"/>
      <c r="CM49231" s="111"/>
      <c r="CQ49231" s="111"/>
      <c r="EF49231"/>
      <c r="EG49231"/>
      <c r="EH49231"/>
      <c r="EI49231"/>
      <c r="EJ49231"/>
      <c r="EK49231"/>
    </row>
    <row r="49232" spans="1:141" s="116" customFormat="1">
      <c r="A49232" s="136"/>
      <c r="CM49232" s="111"/>
      <c r="CQ49232" s="111"/>
      <c r="EF49232"/>
      <c r="EG49232"/>
      <c r="EH49232"/>
      <c r="EI49232"/>
      <c r="EJ49232"/>
      <c r="EK49232"/>
    </row>
    <row r="49233" spans="1:141" s="116" customFormat="1">
      <c r="A49233" s="136"/>
      <c r="CM49233" s="111"/>
      <c r="CQ49233" s="111"/>
      <c r="EF49233"/>
      <c r="EG49233"/>
      <c r="EH49233"/>
      <c r="EI49233"/>
      <c r="EJ49233"/>
      <c r="EK49233"/>
    </row>
    <row r="49234" spans="1:141" s="116" customFormat="1">
      <c r="A49234" s="136"/>
      <c r="CM49234" s="111"/>
      <c r="CQ49234" s="111"/>
      <c r="EF49234"/>
      <c r="EG49234"/>
      <c r="EH49234"/>
      <c r="EI49234"/>
      <c r="EJ49234"/>
      <c r="EK49234"/>
    </row>
    <row r="49235" spans="1:141" s="116" customFormat="1">
      <c r="A49235" s="136"/>
      <c r="CM49235" s="111"/>
      <c r="CQ49235" s="111"/>
      <c r="EF49235"/>
      <c r="EG49235"/>
      <c r="EH49235"/>
      <c r="EI49235"/>
      <c r="EJ49235"/>
      <c r="EK49235"/>
    </row>
    <row r="49236" spans="1:141" s="116" customFormat="1">
      <c r="A49236" s="136"/>
      <c r="CM49236" s="111"/>
      <c r="CQ49236" s="111"/>
      <c r="EF49236"/>
      <c r="EG49236"/>
      <c r="EH49236"/>
      <c r="EI49236"/>
      <c r="EJ49236"/>
      <c r="EK49236"/>
    </row>
    <row r="49237" spans="1:141" s="116" customFormat="1">
      <c r="A49237" s="136"/>
      <c r="CM49237" s="111"/>
      <c r="CQ49237" s="111"/>
      <c r="EF49237"/>
      <c r="EG49237"/>
      <c r="EH49237"/>
      <c r="EI49237"/>
      <c r="EJ49237"/>
      <c r="EK49237"/>
    </row>
    <row r="49238" spans="1:141" s="116" customFormat="1">
      <c r="A49238" s="136"/>
      <c r="CM49238" s="111"/>
      <c r="CQ49238" s="111"/>
      <c r="EF49238"/>
      <c r="EG49238"/>
      <c r="EH49238"/>
      <c r="EI49238"/>
      <c r="EJ49238"/>
      <c r="EK49238"/>
    </row>
    <row r="49239" spans="1:141" s="116" customFormat="1">
      <c r="A49239" s="136"/>
      <c r="CM49239" s="111"/>
      <c r="CQ49239" s="111"/>
      <c r="EF49239"/>
      <c r="EG49239"/>
      <c r="EH49239"/>
      <c r="EI49239"/>
      <c r="EJ49239"/>
      <c r="EK49239"/>
    </row>
    <row r="49240" spans="1:141" s="116" customFormat="1">
      <c r="A49240" s="136"/>
      <c r="CM49240" s="111"/>
      <c r="CQ49240" s="111"/>
      <c r="EF49240"/>
      <c r="EG49240"/>
      <c r="EH49240"/>
      <c r="EI49240"/>
      <c r="EJ49240"/>
      <c r="EK49240"/>
    </row>
    <row r="49241" spans="1:141" s="116" customFormat="1">
      <c r="A49241" s="136"/>
      <c r="CM49241" s="111"/>
      <c r="CQ49241" s="111"/>
      <c r="EF49241"/>
      <c r="EG49241"/>
      <c r="EH49241"/>
      <c r="EI49241"/>
      <c r="EJ49241"/>
      <c r="EK49241"/>
    </row>
    <row r="49242" spans="1:141" s="116" customFormat="1">
      <c r="A49242" s="136"/>
      <c r="CM49242" s="111"/>
      <c r="CQ49242" s="111"/>
      <c r="EF49242"/>
      <c r="EG49242"/>
      <c r="EH49242"/>
      <c r="EI49242"/>
      <c r="EJ49242"/>
      <c r="EK49242"/>
    </row>
    <row r="49243" spans="1:141" s="116" customFormat="1">
      <c r="A49243" s="136"/>
      <c r="CM49243" s="111"/>
      <c r="CQ49243" s="111"/>
      <c r="EF49243"/>
      <c r="EG49243"/>
      <c r="EH49243"/>
      <c r="EI49243"/>
      <c r="EJ49243"/>
      <c r="EK49243"/>
    </row>
    <row r="49244" spans="1:141" s="116" customFormat="1">
      <c r="A49244" s="136"/>
      <c r="CM49244" s="111"/>
      <c r="CQ49244" s="111"/>
      <c r="EF49244"/>
      <c r="EG49244"/>
      <c r="EH49244"/>
      <c r="EI49244"/>
      <c r="EJ49244"/>
      <c r="EK49244"/>
    </row>
    <row r="49245" spans="1:141" s="116" customFormat="1">
      <c r="A49245" s="136"/>
      <c r="CM49245" s="111"/>
      <c r="CQ49245" s="111"/>
      <c r="EF49245"/>
      <c r="EG49245"/>
      <c r="EH49245"/>
      <c r="EI49245"/>
      <c r="EJ49245"/>
      <c r="EK49245"/>
    </row>
    <row r="49246" spans="1:141" s="116" customFormat="1">
      <c r="A49246" s="136"/>
      <c r="CM49246" s="111"/>
      <c r="CQ49246" s="111"/>
      <c r="EF49246"/>
      <c r="EG49246"/>
      <c r="EH49246"/>
      <c r="EI49246"/>
      <c r="EJ49246"/>
      <c r="EK49246"/>
    </row>
    <row r="49247" spans="1:141" s="116" customFormat="1">
      <c r="A49247" s="136"/>
      <c r="CM49247" s="111"/>
      <c r="CQ49247" s="111"/>
      <c r="EF49247"/>
      <c r="EG49247"/>
      <c r="EH49247"/>
      <c r="EI49247"/>
      <c r="EJ49247"/>
      <c r="EK49247"/>
    </row>
    <row r="49248" spans="1:141" s="116" customFormat="1">
      <c r="A49248" s="136"/>
      <c r="CM49248" s="111"/>
      <c r="CQ49248" s="111"/>
      <c r="EF49248"/>
      <c r="EG49248"/>
      <c r="EH49248"/>
      <c r="EI49248"/>
      <c r="EJ49248"/>
      <c r="EK49248"/>
    </row>
    <row r="49249" spans="1:141" s="116" customFormat="1">
      <c r="A49249" s="136"/>
      <c r="CM49249" s="111"/>
      <c r="CQ49249" s="111"/>
      <c r="EF49249"/>
      <c r="EG49249"/>
      <c r="EH49249"/>
      <c r="EI49249"/>
      <c r="EJ49249"/>
      <c r="EK49249"/>
    </row>
    <row r="49250" spans="1:141" s="116" customFormat="1">
      <c r="A49250" s="136"/>
      <c r="CM49250" s="111"/>
      <c r="CQ49250" s="111"/>
      <c r="EF49250"/>
      <c r="EG49250"/>
      <c r="EH49250"/>
      <c r="EI49250"/>
      <c r="EJ49250"/>
      <c r="EK49250"/>
    </row>
    <row r="49251" spans="1:141" s="116" customFormat="1">
      <c r="A49251" s="136"/>
      <c r="CM49251" s="111"/>
      <c r="CQ49251" s="111"/>
      <c r="EF49251"/>
      <c r="EG49251"/>
      <c r="EH49251"/>
      <c r="EI49251"/>
      <c r="EJ49251"/>
      <c r="EK49251"/>
    </row>
    <row r="49252" spans="1:141" s="116" customFormat="1">
      <c r="A49252" s="136"/>
      <c r="CM49252" s="111"/>
      <c r="CQ49252" s="111"/>
      <c r="EF49252"/>
      <c r="EG49252"/>
      <c r="EH49252"/>
      <c r="EI49252"/>
      <c r="EJ49252"/>
      <c r="EK49252"/>
    </row>
    <row r="49253" spans="1:141" s="116" customFormat="1">
      <c r="A49253" s="136"/>
      <c r="CM49253" s="111"/>
      <c r="CQ49253" s="111"/>
      <c r="EF49253"/>
      <c r="EG49253"/>
      <c r="EH49253"/>
      <c r="EI49253"/>
      <c r="EJ49253"/>
      <c r="EK49253"/>
    </row>
    <row r="49254" spans="1:141" s="116" customFormat="1">
      <c r="A49254" s="136"/>
      <c r="CM49254" s="111"/>
      <c r="CQ49254" s="111"/>
      <c r="EF49254"/>
      <c r="EG49254"/>
      <c r="EH49254"/>
      <c r="EI49254"/>
      <c r="EJ49254"/>
      <c r="EK49254"/>
    </row>
    <row r="49255" spans="1:141" s="116" customFormat="1">
      <c r="A49255" s="136"/>
      <c r="CM49255" s="111"/>
      <c r="CQ49255" s="111"/>
      <c r="EF49255"/>
      <c r="EG49255"/>
      <c r="EH49255"/>
      <c r="EI49255"/>
      <c r="EJ49255"/>
      <c r="EK49255"/>
    </row>
    <row r="49256" spans="1:141" s="116" customFormat="1">
      <c r="A49256" s="136"/>
      <c r="CM49256" s="111"/>
      <c r="CQ49256" s="111"/>
      <c r="EF49256"/>
      <c r="EG49256"/>
      <c r="EH49256"/>
      <c r="EI49256"/>
      <c r="EJ49256"/>
      <c r="EK49256"/>
    </row>
    <row r="49257" spans="1:141" s="116" customFormat="1">
      <c r="A49257" s="136"/>
      <c r="CM49257" s="111"/>
      <c r="CQ49257" s="111"/>
      <c r="EF49257"/>
      <c r="EG49257"/>
      <c r="EH49257"/>
      <c r="EI49257"/>
      <c r="EJ49257"/>
      <c r="EK49257"/>
    </row>
    <row r="49258" spans="1:141" s="116" customFormat="1">
      <c r="A49258" s="136"/>
      <c r="CM49258" s="111"/>
      <c r="CQ49258" s="111"/>
      <c r="EF49258"/>
      <c r="EG49258"/>
      <c r="EH49258"/>
      <c r="EI49258"/>
      <c r="EJ49258"/>
      <c r="EK49258"/>
    </row>
    <row r="49259" spans="1:141" s="116" customFormat="1">
      <c r="A49259" s="136"/>
      <c r="CM49259" s="111"/>
      <c r="CQ49259" s="111"/>
      <c r="EF49259"/>
      <c r="EG49259"/>
      <c r="EH49259"/>
      <c r="EI49259"/>
      <c r="EJ49259"/>
      <c r="EK49259"/>
    </row>
    <row r="49260" spans="1:141" s="116" customFormat="1">
      <c r="A49260" s="136"/>
      <c r="CM49260" s="111"/>
      <c r="CQ49260" s="111"/>
      <c r="EF49260"/>
      <c r="EG49260"/>
      <c r="EH49260"/>
      <c r="EI49260"/>
      <c r="EJ49260"/>
      <c r="EK49260"/>
    </row>
    <row r="49261" spans="1:141" s="116" customFormat="1">
      <c r="A49261" s="136"/>
      <c r="CM49261" s="111"/>
      <c r="CQ49261" s="111"/>
      <c r="EF49261"/>
      <c r="EG49261"/>
      <c r="EH49261"/>
      <c r="EI49261"/>
      <c r="EJ49261"/>
      <c r="EK49261"/>
    </row>
    <row r="49262" spans="1:141" s="116" customFormat="1">
      <c r="A49262" s="136"/>
      <c r="CM49262" s="111"/>
      <c r="CQ49262" s="111"/>
      <c r="EF49262"/>
      <c r="EG49262"/>
      <c r="EH49262"/>
      <c r="EI49262"/>
      <c r="EJ49262"/>
      <c r="EK49262"/>
    </row>
    <row r="49263" spans="1:141" s="116" customFormat="1">
      <c r="A49263" s="136"/>
      <c r="CM49263" s="111"/>
      <c r="CQ49263" s="111"/>
      <c r="EF49263"/>
      <c r="EG49263"/>
      <c r="EH49263"/>
      <c r="EI49263"/>
      <c r="EJ49263"/>
      <c r="EK49263"/>
    </row>
    <row r="49264" spans="1:141" s="116" customFormat="1">
      <c r="A49264" s="136"/>
      <c r="CM49264" s="111"/>
      <c r="CQ49264" s="111"/>
      <c r="EF49264"/>
      <c r="EG49264"/>
      <c r="EH49264"/>
      <c r="EI49264"/>
      <c r="EJ49264"/>
      <c r="EK49264"/>
    </row>
    <row r="49265" spans="1:141" s="116" customFormat="1">
      <c r="A49265" s="136"/>
      <c r="CM49265" s="111"/>
      <c r="CQ49265" s="111"/>
      <c r="EF49265"/>
      <c r="EG49265"/>
      <c r="EH49265"/>
      <c r="EI49265"/>
      <c r="EJ49265"/>
      <c r="EK49265"/>
    </row>
    <row r="49266" spans="1:141" s="116" customFormat="1">
      <c r="A49266" s="136"/>
      <c r="CM49266" s="111"/>
      <c r="CQ49266" s="111"/>
      <c r="EF49266"/>
      <c r="EG49266"/>
      <c r="EH49266"/>
      <c r="EI49266"/>
      <c r="EJ49266"/>
      <c r="EK49266"/>
    </row>
    <row r="49267" spans="1:141" s="116" customFormat="1">
      <c r="A49267" s="136"/>
      <c r="CM49267" s="111"/>
      <c r="CQ49267" s="111"/>
      <c r="EF49267"/>
      <c r="EG49267"/>
      <c r="EH49267"/>
      <c r="EI49267"/>
      <c r="EJ49267"/>
      <c r="EK49267"/>
    </row>
    <row r="49268" spans="1:141" s="116" customFormat="1">
      <c r="A49268" s="136"/>
      <c r="CM49268" s="111"/>
      <c r="CQ49268" s="111"/>
      <c r="EF49268"/>
      <c r="EG49268"/>
      <c r="EH49268"/>
      <c r="EI49268"/>
      <c r="EJ49268"/>
      <c r="EK49268"/>
    </row>
    <row r="49269" spans="1:141" s="116" customFormat="1">
      <c r="A49269" s="136"/>
      <c r="CM49269" s="111"/>
      <c r="CQ49269" s="111"/>
      <c r="EF49269"/>
      <c r="EG49269"/>
      <c r="EH49269"/>
      <c r="EI49269"/>
      <c r="EJ49269"/>
      <c r="EK49269"/>
    </row>
    <row r="49270" spans="1:141" s="116" customFormat="1">
      <c r="A49270" s="136"/>
      <c r="CM49270" s="111"/>
      <c r="CQ49270" s="111"/>
      <c r="EF49270"/>
      <c r="EG49270"/>
      <c r="EH49270"/>
      <c r="EI49270"/>
      <c r="EJ49270"/>
      <c r="EK49270"/>
    </row>
    <row r="49271" spans="1:141" s="116" customFormat="1">
      <c r="A49271" s="136"/>
      <c r="CM49271" s="111"/>
      <c r="CQ49271" s="111"/>
      <c r="EF49271"/>
      <c r="EG49271"/>
      <c r="EH49271"/>
      <c r="EI49271"/>
      <c r="EJ49271"/>
      <c r="EK49271"/>
    </row>
    <row r="49272" spans="1:141" s="116" customFormat="1">
      <c r="A49272" s="136"/>
      <c r="CM49272" s="111"/>
      <c r="CQ49272" s="111"/>
      <c r="EF49272"/>
      <c r="EG49272"/>
      <c r="EH49272"/>
      <c r="EI49272"/>
      <c r="EJ49272"/>
      <c r="EK49272"/>
    </row>
    <row r="49273" spans="1:141" s="116" customFormat="1">
      <c r="A49273" s="136"/>
      <c r="CM49273" s="111"/>
      <c r="CQ49273" s="111"/>
      <c r="EF49273"/>
      <c r="EG49273"/>
      <c r="EH49273"/>
      <c r="EI49273"/>
      <c r="EJ49273"/>
      <c r="EK49273"/>
    </row>
    <row r="49274" spans="1:141" s="116" customFormat="1">
      <c r="A49274" s="136"/>
      <c r="CM49274" s="111"/>
      <c r="CQ49274" s="111"/>
      <c r="EF49274"/>
      <c r="EG49274"/>
      <c r="EH49274"/>
      <c r="EI49274"/>
      <c r="EJ49274"/>
      <c r="EK49274"/>
    </row>
    <row r="49275" spans="1:141" s="116" customFormat="1">
      <c r="A49275" s="136"/>
      <c r="CM49275" s="111"/>
      <c r="CQ49275" s="111"/>
      <c r="EF49275"/>
      <c r="EG49275"/>
      <c r="EH49275"/>
      <c r="EI49275"/>
      <c r="EJ49275"/>
      <c r="EK49275"/>
    </row>
    <row r="49276" spans="1:141" s="116" customFormat="1">
      <c r="A49276" s="136"/>
      <c r="CM49276" s="111"/>
      <c r="CQ49276" s="111"/>
      <c r="EF49276"/>
      <c r="EG49276"/>
      <c r="EH49276"/>
      <c r="EI49276"/>
      <c r="EJ49276"/>
      <c r="EK49276"/>
    </row>
    <row r="49277" spans="1:141" s="116" customFormat="1">
      <c r="A49277" s="136"/>
      <c r="CM49277" s="111"/>
      <c r="CQ49277" s="111"/>
      <c r="EF49277"/>
      <c r="EG49277"/>
      <c r="EH49277"/>
      <c r="EI49277"/>
      <c r="EJ49277"/>
      <c r="EK49277"/>
    </row>
    <row r="49278" spans="1:141" s="116" customFormat="1">
      <c r="A49278" s="136"/>
      <c r="CM49278" s="111"/>
      <c r="CQ49278" s="111"/>
      <c r="EF49278"/>
      <c r="EG49278"/>
      <c r="EH49278"/>
      <c r="EI49278"/>
      <c r="EJ49278"/>
      <c r="EK49278"/>
    </row>
    <row r="49279" spans="1:141" s="116" customFormat="1">
      <c r="A49279" s="136"/>
      <c r="CM49279" s="111"/>
      <c r="CQ49279" s="111"/>
      <c r="EF49279"/>
      <c r="EG49279"/>
      <c r="EH49279"/>
      <c r="EI49279"/>
      <c r="EJ49279"/>
      <c r="EK49279"/>
    </row>
    <row r="49280" spans="1:141" s="116" customFormat="1">
      <c r="A49280" s="136"/>
      <c r="CM49280" s="111"/>
      <c r="CQ49280" s="111"/>
      <c r="EF49280"/>
      <c r="EG49280"/>
      <c r="EH49280"/>
      <c r="EI49280"/>
      <c r="EJ49280"/>
      <c r="EK49280"/>
    </row>
    <row r="49281" spans="1:141" s="116" customFormat="1">
      <c r="A49281" s="136"/>
      <c r="CM49281" s="111"/>
      <c r="CQ49281" s="111"/>
      <c r="EF49281"/>
      <c r="EG49281"/>
      <c r="EH49281"/>
      <c r="EI49281"/>
      <c r="EJ49281"/>
      <c r="EK49281"/>
    </row>
    <row r="49282" spans="1:141" s="116" customFormat="1">
      <c r="A49282" s="136"/>
      <c r="CM49282" s="111"/>
      <c r="CQ49282" s="111"/>
      <c r="EF49282"/>
      <c r="EG49282"/>
      <c r="EH49282"/>
      <c r="EI49282"/>
      <c r="EJ49282"/>
      <c r="EK49282"/>
    </row>
    <row r="49283" spans="1:141" s="116" customFormat="1">
      <c r="A49283" s="136"/>
      <c r="CM49283" s="111"/>
      <c r="CQ49283" s="111"/>
      <c r="EF49283"/>
      <c r="EG49283"/>
      <c r="EH49283"/>
      <c r="EI49283"/>
      <c r="EJ49283"/>
      <c r="EK49283"/>
    </row>
    <row r="49284" spans="1:141" s="116" customFormat="1">
      <c r="A49284" s="136"/>
      <c r="CM49284" s="111"/>
      <c r="CQ49284" s="111"/>
      <c r="EF49284"/>
      <c r="EG49284"/>
      <c r="EH49284"/>
      <c r="EI49284"/>
      <c r="EJ49284"/>
      <c r="EK49284"/>
    </row>
    <row r="49285" spans="1:141" s="116" customFormat="1">
      <c r="A49285" s="136"/>
      <c r="CM49285" s="111"/>
      <c r="CQ49285" s="111"/>
      <c r="EF49285"/>
      <c r="EG49285"/>
      <c r="EH49285"/>
      <c r="EI49285"/>
      <c r="EJ49285"/>
      <c r="EK49285"/>
    </row>
    <row r="49286" spans="1:141" s="116" customFormat="1">
      <c r="A49286" s="136"/>
      <c r="CM49286" s="111"/>
      <c r="CQ49286" s="111"/>
      <c r="EF49286"/>
      <c r="EG49286"/>
      <c r="EH49286"/>
      <c r="EI49286"/>
      <c r="EJ49286"/>
      <c r="EK49286"/>
    </row>
    <row r="49287" spans="1:141" s="116" customFormat="1">
      <c r="A49287" s="136"/>
      <c r="CM49287" s="111"/>
      <c r="CQ49287" s="111"/>
      <c r="EF49287"/>
      <c r="EG49287"/>
      <c r="EH49287"/>
      <c r="EI49287"/>
      <c r="EJ49287"/>
      <c r="EK49287"/>
    </row>
    <row r="49288" spans="1:141" s="116" customFormat="1">
      <c r="A49288" s="136"/>
      <c r="CM49288" s="111"/>
      <c r="CQ49288" s="111"/>
      <c r="EF49288"/>
      <c r="EG49288"/>
      <c r="EH49288"/>
      <c r="EI49288"/>
      <c r="EJ49288"/>
      <c r="EK49288"/>
    </row>
    <row r="49289" spans="1:141" s="116" customFormat="1">
      <c r="A49289" s="136"/>
      <c r="CM49289" s="111"/>
      <c r="CQ49289" s="111"/>
      <c r="EF49289"/>
      <c r="EG49289"/>
      <c r="EH49289"/>
      <c r="EI49289"/>
      <c r="EJ49289"/>
      <c r="EK49289"/>
    </row>
    <row r="49290" spans="1:141" s="116" customFormat="1">
      <c r="A49290" s="136"/>
      <c r="CM49290" s="111"/>
      <c r="CQ49290" s="111"/>
      <c r="EF49290"/>
      <c r="EG49290"/>
      <c r="EH49290"/>
      <c r="EI49290"/>
      <c r="EJ49290"/>
      <c r="EK49290"/>
    </row>
    <row r="49291" spans="1:141" s="116" customFormat="1">
      <c r="A49291" s="136"/>
      <c r="CM49291" s="111"/>
      <c r="CQ49291" s="111"/>
      <c r="EF49291"/>
      <c r="EG49291"/>
      <c r="EH49291"/>
      <c r="EI49291"/>
      <c r="EJ49291"/>
      <c r="EK49291"/>
    </row>
    <row r="49292" spans="1:141" s="116" customFormat="1">
      <c r="A49292" s="136"/>
      <c r="CM49292" s="111"/>
      <c r="CQ49292" s="111"/>
      <c r="EF49292"/>
      <c r="EG49292"/>
      <c r="EH49292"/>
      <c r="EI49292"/>
      <c r="EJ49292"/>
      <c r="EK49292"/>
    </row>
    <row r="49293" spans="1:141" s="116" customFormat="1">
      <c r="A49293" s="136"/>
      <c r="CM49293" s="111"/>
      <c r="CQ49293" s="111"/>
      <c r="EF49293"/>
      <c r="EG49293"/>
      <c r="EH49293"/>
      <c r="EI49293"/>
      <c r="EJ49293"/>
      <c r="EK49293"/>
    </row>
    <row r="49294" spans="1:141" s="116" customFormat="1">
      <c r="A49294" s="136"/>
      <c r="CM49294" s="111"/>
      <c r="CQ49294" s="111"/>
      <c r="EF49294"/>
      <c r="EG49294"/>
      <c r="EH49294"/>
      <c r="EI49294"/>
      <c r="EJ49294"/>
      <c r="EK49294"/>
    </row>
    <row r="49295" spans="1:141" s="116" customFormat="1">
      <c r="A49295" s="136"/>
      <c r="CM49295" s="111"/>
      <c r="CQ49295" s="111"/>
      <c r="EF49295"/>
      <c r="EG49295"/>
      <c r="EH49295"/>
      <c r="EI49295"/>
      <c r="EJ49295"/>
      <c r="EK49295"/>
    </row>
    <row r="49296" spans="1:141" s="116" customFormat="1">
      <c r="A49296" s="136"/>
      <c r="CM49296" s="111"/>
      <c r="CQ49296" s="111"/>
      <c r="EF49296"/>
      <c r="EG49296"/>
      <c r="EH49296"/>
      <c r="EI49296"/>
      <c r="EJ49296"/>
      <c r="EK49296"/>
    </row>
    <row r="49297" spans="1:141" s="116" customFormat="1">
      <c r="A49297" s="136"/>
      <c r="CM49297" s="111"/>
      <c r="CQ49297" s="111"/>
      <c r="EF49297"/>
      <c r="EG49297"/>
      <c r="EH49297"/>
      <c r="EI49297"/>
      <c r="EJ49297"/>
      <c r="EK49297"/>
    </row>
    <row r="49298" spans="1:141" s="116" customFormat="1">
      <c r="A49298" s="136"/>
      <c r="CM49298" s="111"/>
      <c r="CQ49298" s="111"/>
      <c r="EF49298"/>
      <c r="EG49298"/>
      <c r="EH49298"/>
      <c r="EI49298"/>
      <c r="EJ49298"/>
      <c r="EK49298"/>
    </row>
    <row r="49299" spans="1:141" s="116" customFormat="1">
      <c r="A49299" s="136"/>
      <c r="CM49299" s="111"/>
      <c r="CQ49299" s="111"/>
      <c r="EF49299"/>
      <c r="EG49299"/>
      <c r="EH49299"/>
      <c r="EI49299"/>
      <c r="EJ49299"/>
      <c r="EK49299"/>
    </row>
    <row r="49300" spans="1:141" s="116" customFormat="1">
      <c r="A49300" s="136"/>
      <c r="CM49300" s="111"/>
      <c r="CQ49300" s="111"/>
      <c r="EF49300"/>
      <c r="EG49300"/>
      <c r="EH49300"/>
      <c r="EI49300"/>
      <c r="EJ49300"/>
      <c r="EK49300"/>
    </row>
    <row r="49301" spans="1:141" s="116" customFormat="1">
      <c r="A49301" s="136"/>
      <c r="CM49301" s="111"/>
      <c r="CQ49301" s="111"/>
      <c r="EF49301"/>
      <c r="EG49301"/>
      <c r="EH49301"/>
      <c r="EI49301"/>
      <c r="EJ49301"/>
      <c r="EK49301"/>
    </row>
    <row r="49302" spans="1:141" s="116" customFormat="1">
      <c r="A49302" s="136"/>
      <c r="CM49302" s="111"/>
      <c r="CQ49302" s="111"/>
      <c r="EF49302"/>
      <c r="EG49302"/>
      <c r="EH49302"/>
      <c r="EI49302"/>
      <c r="EJ49302"/>
      <c r="EK49302"/>
    </row>
    <row r="49303" spans="1:141" s="116" customFormat="1">
      <c r="A49303" s="136"/>
      <c r="CM49303" s="111"/>
      <c r="CQ49303" s="111"/>
      <c r="EF49303"/>
      <c r="EG49303"/>
      <c r="EH49303"/>
      <c r="EI49303"/>
      <c r="EJ49303"/>
      <c r="EK49303"/>
    </row>
    <row r="49304" spans="1:141" s="116" customFormat="1">
      <c r="A49304" s="136"/>
      <c r="CM49304" s="111"/>
      <c r="CQ49304" s="111"/>
      <c r="EF49304"/>
      <c r="EG49304"/>
      <c r="EH49304"/>
      <c r="EI49304"/>
      <c r="EJ49304"/>
      <c r="EK49304"/>
    </row>
    <row r="49305" spans="1:141" s="116" customFormat="1">
      <c r="A49305" s="136"/>
      <c r="CM49305" s="111"/>
      <c r="CQ49305" s="111"/>
      <c r="EF49305"/>
      <c r="EG49305"/>
      <c r="EH49305"/>
      <c r="EI49305"/>
      <c r="EJ49305"/>
      <c r="EK49305"/>
    </row>
    <row r="49306" spans="1:141" s="116" customFormat="1">
      <c r="A49306" s="136"/>
      <c r="CM49306" s="111"/>
      <c r="CQ49306" s="111"/>
      <c r="EF49306"/>
      <c r="EG49306"/>
      <c r="EH49306"/>
      <c r="EI49306"/>
      <c r="EJ49306"/>
      <c r="EK49306"/>
    </row>
    <row r="49307" spans="1:141" s="116" customFormat="1">
      <c r="A49307" s="136"/>
      <c r="CM49307" s="111"/>
      <c r="CQ49307" s="111"/>
      <c r="EF49307"/>
      <c r="EG49307"/>
      <c r="EH49307"/>
      <c r="EI49307"/>
      <c r="EJ49307"/>
      <c r="EK49307"/>
    </row>
    <row r="49308" spans="1:141" s="116" customFormat="1">
      <c r="A49308" s="136"/>
      <c r="CM49308" s="111"/>
      <c r="CQ49308" s="111"/>
      <c r="EF49308"/>
      <c r="EG49308"/>
      <c r="EH49308"/>
      <c r="EI49308"/>
      <c r="EJ49308"/>
      <c r="EK49308"/>
    </row>
    <row r="49309" spans="1:141" s="116" customFormat="1">
      <c r="A49309" s="136"/>
      <c r="CM49309" s="111"/>
      <c r="CQ49309" s="111"/>
      <c r="EF49309"/>
      <c r="EG49309"/>
      <c r="EH49309"/>
      <c r="EI49309"/>
      <c r="EJ49309"/>
      <c r="EK49309"/>
    </row>
    <row r="49310" spans="1:141" s="116" customFormat="1">
      <c r="A49310" s="136"/>
      <c r="CM49310" s="111"/>
      <c r="CQ49310" s="111"/>
      <c r="EF49310"/>
      <c r="EG49310"/>
      <c r="EH49310"/>
      <c r="EI49310"/>
      <c r="EJ49310"/>
      <c r="EK49310"/>
    </row>
    <row r="49311" spans="1:141" s="116" customFormat="1">
      <c r="A49311" s="136"/>
      <c r="CM49311" s="111"/>
      <c r="CQ49311" s="111"/>
      <c r="EF49311"/>
      <c r="EG49311"/>
      <c r="EH49311"/>
      <c r="EI49311"/>
      <c r="EJ49311"/>
      <c r="EK49311"/>
    </row>
    <row r="49312" spans="1:141" s="116" customFormat="1">
      <c r="A49312" s="136"/>
      <c r="CM49312" s="111"/>
      <c r="CQ49312" s="111"/>
      <c r="EF49312"/>
      <c r="EG49312"/>
      <c r="EH49312"/>
      <c r="EI49312"/>
      <c r="EJ49312"/>
      <c r="EK49312"/>
    </row>
    <row r="49313" spans="1:141" s="116" customFormat="1">
      <c r="A49313" s="136"/>
      <c r="CM49313" s="111"/>
      <c r="CQ49313" s="111"/>
      <c r="EF49313"/>
      <c r="EG49313"/>
      <c r="EH49313"/>
      <c r="EI49313"/>
      <c r="EJ49313"/>
      <c r="EK49313"/>
    </row>
    <row r="49314" spans="1:141" s="116" customFormat="1">
      <c r="A49314" s="136"/>
      <c r="CM49314" s="111"/>
      <c r="CQ49314" s="111"/>
      <c r="EF49314"/>
      <c r="EG49314"/>
      <c r="EH49314"/>
      <c r="EI49314"/>
      <c r="EJ49314"/>
      <c r="EK49314"/>
    </row>
    <row r="49315" spans="1:141" s="116" customFormat="1">
      <c r="A49315" s="136"/>
      <c r="CM49315" s="111"/>
      <c r="CQ49315" s="111"/>
      <c r="EF49315"/>
      <c r="EG49315"/>
      <c r="EH49315"/>
      <c r="EI49315"/>
      <c r="EJ49315"/>
      <c r="EK49315"/>
    </row>
    <row r="49316" spans="1:141" s="116" customFormat="1">
      <c r="A49316" s="136"/>
      <c r="CM49316" s="111"/>
      <c r="CQ49316" s="111"/>
      <c r="EF49316"/>
      <c r="EG49316"/>
      <c r="EH49316"/>
      <c r="EI49316"/>
      <c r="EJ49316"/>
      <c r="EK49316"/>
    </row>
    <row r="49317" spans="1:141" s="116" customFormat="1">
      <c r="A49317" s="136"/>
      <c r="CM49317" s="111"/>
      <c r="CQ49317" s="111"/>
      <c r="EF49317"/>
      <c r="EG49317"/>
      <c r="EH49317"/>
      <c r="EI49317"/>
      <c r="EJ49317"/>
      <c r="EK49317"/>
    </row>
    <row r="49318" spans="1:141" s="116" customFormat="1">
      <c r="A49318" s="136"/>
      <c r="CM49318" s="111"/>
      <c r="CQ49318" s="111"/>
      <c r="EF49318"/>
      <c r="EG49318"/>
      <c r="EH49318"/>
      <c r="EI49318"/>
      <c r="EJ49318"/>
      <c r="EK49318"/>
    </row>
    <row r="49319" spans="1:141" s="116" customFormat="1">
      <c r="A49319" s="136"/>
      <c r="CM49319" s="111"/>
      <c r="CQ49319" s="111"/>
      <c r="EF49319"/>
      <c r="EG49319"/>
      <c r="EH49319"/>
      <c r="EI49319"/>
      <c r="EJ49319"/>
      <c r="EK49319"/>
    </row>
    <row r="49320" spans="1:141" s="116" customFormat="1">
      <c r="A49320" s="136"/>
      <c r="CM49320" s="111"/>
      <c r="CQ49320" s="111"/>
      <c r="EF49320"/>
      <c r="EG49320"/>
      <c r="EH49320"/>
      <c r="EI49320"/>
      <c r="EJ49320"/>
      <c r="EK49320"/>
    </row>
    <row r="49321" spans="1:141" s="116" customFormat="1">
      <c r="A49321" s="136"/>
      <c r="CM49321" s="111"/>
      <c r="CQ49321" s="111"/>
      <c r="EF49321"/>
      <c r="EG49321"/>
      <c r="EH49321"/>
      <c r="EI49321"/>
      <c r="EJ49321"/>
      <c r="EK49321"/>
    </row>
    <row r="49322" spans="1:141" s="116" customFormat="1">
      <c r="A49322" s="136"/>
      <c r="CM49322" s="111"/>
      <c r="CQ49322" s="111"/>
      <c r="EF49322"/>
      <c r="EG49322"/>
      <c r="EH49322"/>
      <c r="EI49322"/>
      <c r="EJ49322"/>
      <c r="EK49322"/>
    </row>
    <row r="49323" spans="1:141" s="116" customFormat="1">
      <c r="A49323" s="136"/>
      <c r="CM49323" s="111"/>
      <c r="CQ49323" s="111"/>
      <c r="EF49323"/>
      <c r="EG49323"/>
      <c r="EH49323"/>
      <c r="EI49323"/>
      <c r="EJ49323"/>
      <c r="EK49323"/>
    </row>
    <row r="49324" spans="1:141" s="116" customFormat="1">
      <c r="A49324" s="136"/>
      <c r="CM49324" s="111"/>
      <c r="CQ49324" s="111"/>
      <c r="EF49324"/>
      <c r="EG49324"/>
      <c r="EH49324"/>
      <c r="EI49324"/>
      <c r="EJ49324"/>
      <c r="EK49324"/>
    </row>
    <row r="49325" spans="1:141" s="116" customFormat="1">
      <c r="A49325" s="136"/>
      <c r="CM49325" s="111"/>
      <c r="CQ49325" s="111"/>
      <c r="EF49325"/>
      <c r="EG49325"/>
      <c r="EH49325"/>
      <c r="EI49325"/>
      <c r="EJ49325"/>
      <c r="EK49325"/>
    </row>
    <row r="49326" spans="1:141" s="116" customFormat="1">
      <c r="A49326" s="136"/>
      <c r="CM49326" s="111"/>
      <c r="CQ49326" s="111"/>
      <c r="EF49326"/>
      <c r="EG49326"/>
      <c r="EH49326"/>
      <c r="EI49326"/>
      <c r="EJ49326"/>
      <c r="EK49326"/>
    </row>
    <row r="49327" spans="1:141" s="116" customFormat="1">
      <c r="A49327" s="136"/>
      <c r="CM49327" s="111"/>
      <c r="CQ49327" s="111"/>
      <c r="EF49327"/>
      <c r="EG49327"/>
      <c r="EH49327"/>
      <c r="EI49327"/>
      <c r="EJ49327"/>
      <c r="EK49327"/>
    </row>
    <row r="49328" spans="1:141" s="116" customFormat="1">
      <c r="A49328" s="136"/>
      <c r="CM49328" s="111"/>
      <c r="CQ49328" s="111"/>
      <c r="EF49328"/>
      <c r="EG49328"/>
      <c r="EH49328"/>
      <c r="EI49328"/>
      <c r="EJ49328"/>
      <c r="EK49328"/>
    </row>
    <row r="49329" spans="1:141" s="116" customFormat="1">
      <c r="A49329" s="136"/>
      <c r="CM49329" s="111"/>
      <c r="CQ49329" s="111"/>
      <c r="EF49329"/>
      <c r="EG49329"/>
      <c r="EH49329"/>
      <c r="EI49329"/>
      <c r="EJ49329"/>
      <c r="EK49329"/>
    </row>
    <row r="49330" spans="1:141" s="116" customFormat="1">
      <c r="A49330" s="136"/>
      <c r="CM49330" s="111"/>
      <c r="CQ49330" s="111"/>
      <c r="EF49330"/>
      <c r="EG49330"/>
      <c r="EH49330"/>
      <c r="EI49330"/>
      <c r="EJ49330"/>
      <c r="EK49330"/>
    </row>
    <row r="49331" spans="1:141" s="116" customFormat="1">
      <c r="A49331" s="136"/>
      <c r="CM49331" s="111"/>
      <c r="CQ49331" s="111"/>
      <c r="EF49331"/>
      <c r="EG49331"/>
      <c r="EH49331"/>
      <c r="EI49331"/>
      <c r="EJ49331"/>
      <c r="EK49331"/>
    </row>
    <row r="49332" spans="1:141" s="116" customFormat="1">
      <c r="A49332" s="136"/>
      <c r="CM49332" s="111"/>
      <c r="CQ49332" s="111"/>
      <c r="EF49332"/>
      <c r="EG49332"/>
      <c r="EH49332"/>
      <c r="EI49332"/>
      <c r="EJ49332"/>
      <c r="EK49332"/>
    </row>
    <row r="49333" spans="1:141" s="116" customFormat="1">
      <c r="A49333" s="136"/>
      <c r="CM49333" s="111"/>
      <c r="CQ49333" s="111"/>
      <c r="EF49333"/>
      <c r="EG49333"/>
      <c r="EH49333"/>
      <c r="EI49333"/>
      <c r="EJ49333"/>
      <c r="EK49333"/>
    </row>
    <row r="49334" spans="1:141" s="116" customFormat="1">
      <c r="A49334" s="136"/>
      <c r="CM49334" s="111"/>
      <c r="CQ49334" s="111"/>
      <c r="EF49334"/>
      <c r="EG49334"/>
      <c r="EH49334"/>
      <c r="EI49334"/>
      <c r="EJ49334"/>
      <c r="EK49334"/>
    </row>
    <row r="49335" spans="1:141" s="116" customFormat="1">
      <c r="A49335" s="136"/>
      <c r="CM49335" s="111"/>
      <c r="CQ49335" s="111"/>
      <c r="EF49335"/>
      <c r="EG49335"/>
      <c r="EH49335"/>
      <c r="EI49335"/>
      <c r="EJ49335"/>
      <c r="EK49335"/>
    </row>
    <row r="49336" spans="1:141" s="116" customFormat="1">
      <c r="A49336" s="136"/>
      <c r="CM49336" s="111"/>
      <c r="CQ49336" s="111"/>
      <c r="EF49336"/>
      <c r="EG49336"/>
      <c r="EH49336"/>
      <c r="EI49336"/>
      <c r="EJ49336"/>
      <c r="EK49336"/>
    </row>
    <row r="49337" spans="1:141" s="116" customFormat="1">
      <c r="A49337" s="136"/>
      <c r="CM49337" s="111"/>
      <c r="CQ49337" s="111"/>
      <c r="EF49337"/>
      <c r="EG49337"/>
      <c r="EH49337"/>
      <c r="EI49337"/>
      <c r="EJ49337"/>
      <c r="EK49337"/>
    </row>
    <row r="49338" spans="1:141" s="116" customFormat="1">
      <c r="A49338" s="136"/>
      <c r="CM49338" s="111"/>
      <c r="CQ49338" s="111"/>
      <c r="EF49338"/>
      <c r="EG49338"/>
      <c r="EH49338"/>
      <c r="EI49338"/>
      <c r="EJ49338"/>
      <c r="EK49338"/>
    </row>
    <row r="49339" spans="1:141" s="116" customFormat="1">
      <c r="A49339" s="136"/>
      <c r="CM49339" s="111"/>
      <c r="CQ49339" s="111"/>
      <c r="EF49339"/>
      <c r="EG49339"/>
      <c r="EH49339"/>
      <c r="EI49339"/>
      <c r="EJ49339"/>
      <c r="EK49339"/>
    </row>
    <row r="49340" spans="1:141" s="116" customFormat="1">
      <c r="A49340" s="136"/>
      <c r="CM49340" s="111"/>
      <c r="CQ49340" s="111"/>
      <c r="EF49340"/>
      <c r="EG49340"/>
      <c r="EH49340"/>
      <c r="EI49340"/>
      <c r="EJ49340"/>
      <c r="EK49340"/>
    </row>
    <row r="49341" spans="1:141" s="116" customFormat="1">
      <c r="A49341" s="136"/>
      <c r="CM49341" s="111"/>
      <c r="CQ49341" s="111"/>
      <c r="EF49341"/>
      <c r="EG49341"/>
      <c r="EH49341"/>
      <c r="EI49341"/>
      <c r="EJ49341"/>
      <c r="EK49341"/>
    </row>
    <row r="49342" spans="1:141" s="116" customFormat="1">
      <c r="A49342" s="136"/>
      <c r="CM49342" s="111"/>
      <c r="CQ49342" s="111"/>
      <c r="EF49342"/>
      <c r="EG49342"/>
      <c r="EH49342"/>
      <c r="EI49342"/>
      <c r="EJ49342"/>
      <c r="EK49342"/>
    </row>
    <row r="49343" spans="1:141" s="116" customFormat="1">
      <c r="A49343" s="136"/>
      <c r="CM49343" s="111"/>
      <c r="CQ49343" s="111"/>
      <c r="EF49343"/>
      <c r="EG49343"/>
      <c r="EH49343"/>
      <c r="EI49343"/>
      <c r="EJ49343"/>
      <c r="EK49343"/>
    </row>
    <row r="49344" spans="1:141" s="116" customFormat="1">
      <c r="A49344" s="136"/>
      <c r="CM49344" s="111"/>
      <c r="CQ49344" s="111"/>
      <c r="EF49344"/>
      <c r="EG49344"/>
      <c r="EH49344"/>
      <c r="EI49344"/>
      <c r="EJ49344"/>
      <c r="EK49344"/>
    </row>
    <row r="49345" spans="1:141" s="116" customFormat="1">
      <c r="A49345" s="136"/>
      <c r="CM49345" s="111"/>
      <c r="CQ49345" s="111"/>
      <c r="EF49345"/>
      <c r="EG49345"/>
      <c r="EH49345"/>
      <c r="EI49345"/>
      <c r="EJ49345"/>
      <c r="EK49345"/>
    </row>
    <row r="49346" spans="1:141" s="116" customFormat="1">
      <c r="A49346" s="136"/>
      <c r="CM49346" s="111"/>
      <c r="CQ49346" s="111"/>
      <c r="EF49346"/>
      <c r="EG49346"/>
      <c r="EH49346"/>
      <c r="EI49346"/>
      <c r="EJ49346"/>
      <c r="EK49346"/>
    </row>
    <row r="49347" spans="1:141" s="116" customFormat="1">
      <c r="A49347" s="136"/>
      <c r="CM49347" s="111"/>
      <c r="CQ49347" s="111"/>
      <c r="EF49347"/>
      <c r="EG49347"/>
      <c r="EH49347"/>
      <c r="EI49347"/>
      <c r="EJ49347"/>
      <c r="EK49347"/>
    </row>
    <row r="49348" spans="1:141" s="116" customFormat="1">
      <c r="A49348" s="136"/>
      <c r="CM49348" s="111"/>
      <c r="CQ49348" s="111"/>
      <c r="EF49348"/>
      <c r="EG49348"/>
      <c r="EH49348"/>
      <c r="EI49348"/>
      <c r="EJ49348"/>
      <c r="EK49348"/>
    </row>
    <row r="49349" spans="1:141" s="116" customFormat="1">
      <c r="A49349" s="136"/>
      <c r="CM49349" s="111"/>
      <c r="CQ49349" s="111"/>
      <c r="EF49349"/>
      <c r="EG49349"/>
      <c r="EH49349"/>
      <c r="EI49349"/>
      <c r="EJ49349"/>
      <c r="EK49349"/>
    </row>
    <row r="49350" spans="1:141" s="116" customFormat="1">
      <c r="A49350" s="136"/>
      <c r="CM49350" s="111"/>
      <c r="CQ49350" s="111"/>
      <c r="EF49350"/>
      <c r="EG49350"/>
      <c r="EH49350"/>
      <c r="EI49350"/>
      <c r="EJ49350"/>
      <c r="EK49350"/>
    </row>
    <row r="49351" spans="1:141" s="116" customFormat="1">
      <c r="A49351" s="136"/>
      <c r="CM49351" s="111"/>
      <c r="CQ49351" s="111"/>
      <c r="EF49351"/>
      <c r="EG49351"/>
      <c r="EH49351"/>
      <c r="EI49351"/>
      <c r="EJ49351"/>
      <c r="EK49351"/>
    </row>
    <row r="49352" spans="1:141" s="116" customFormat="1">
      <c r="A49352" s="136"/>
      <c r="CM49352" s="111"/>
      <c r="CQ49352" s="111"/>
      <c r="EF49352"/>
      <c r="EG49352"/>
      <c r="EH49352"/>
      <c r="EI49352"/>
      <c r="EJ49352"/>
      <c r="EK49352"/>
    </row>
    <row r="49353" spans="1:141" s="116" customFormat="1">
      <c r="A49353" s="136"/>
      <c r="CM49353" s="111"/>
      <c r="CQ49353" s="111"/>
      <c r="EF49353"/>
      <c r="EG49353"/>
      <c r="EH49353"/>
      <c r="EI49353"/>
      <c r="EJ49353"/>
      <c r="EK49353"/>
    </row>
    <row r="49354" spans="1:141" s="116" customFormat="1">
      <c r="A49354" s="136"/>
      <c r="CM49354" s="111"/>
      <c r="CQ49354" s="111"/>
      <c r="EF49354"/>
      <c r="EG49354"/>
      <c r="EH49354"/>
      <c r="EI49354"/>
      <c r="EJ49354"/>
      <c r="EK49354"/>
    </row>
    <row r="49355" spans="1:141" s="116" customFormat="1">
      <c r="A49355" s="136"/>
      <c r="CM49355" s="111"/>
      <c r="CQ49355" s="111"/>
      <c r="EF49355"/>
      <c r="EG49355"/>
      <c r="EH49355"/>
      <c r="EI49355"/>
      <c r="EJ49355"/>
      <c r="EK49355"/>
    </row>
    <row r="49356" spans="1:141" s="116" customFormat="1">
      <c r="A49356" s="136"/>
      <c r="CM49356" s="111"/>
      <c r="CQ49356" s="111"/>
      <c r="EF49356"/>
      <c r="EG49356"/>
      <c r="EH49356"/>
      <c r="EI49356"/>
      <c r="EJ49356"/>
      <c r="EK49356"/>
    </row>
    <row r="49357" spans="1:141" s="116" customFormat="1">
      <c r="A49357" s="136"/>
      <c r="CM49357" s="111"/>
      <c r="CQ49357" s="111"/>
      <c r="EF49357"/>
      <c r="EG49357"/>
      <c r="EH49357"/>
      <c r="EI49357"/>
      <c r="EJ49357"/>
      <c r="EK49357"/>
    </row>
    <row r="49358" spans="1:141" s="116" customFormat="1">
      <c r="A49358" s="136"/>
      <c r="CM49358" s="111"/>
      <c r="CQ49358" s="111"/>
      <c r="EF49358"/>
      <c r="EG49358"/>
      <c r="EH49358"/>
      <c r="EI49358"/>
      <c r="EJ49358"/>
      <c r="EK49358"/>
    </row>
    <row r="49359" spans="1:141" s="116" customFormat="1">
      <c r="A49359" s="136"/>
      <c r="CM49359" s="111"/>
      <c r="CQ49359" s="111"/>
      <c r="EF49359"/>
      <c r="EG49359"/>
      <c r="EH49359"/>
      <c r="EI49359"/>
      <c r="EJ49359"/>
      <c r="EK49359"/>
    </row>
    <row r="49360" spans="1:141" s="116" customFormat="1">
      <c r="A49360" s="136"/>
      <c r="CM49360" s="111"/>
      <c r="CQ49360" s="111"/>
      <c r="EF49360"/>
      <c r="EG49360"/>
      <c r="EH49360"/>
      <c r="EI49360"/>
      <c r="EJ49360"/>
      <c r="EK49360"/>
    </row>
    <row r="49361" spans="1:141" s="116" customFormat="1">
      <c r="A49361" s="136"/>
      <c r="CM49361" s="111"/>
      <c r="CQ49361" s="111"/>
      <c r="EF49361"/>
      <c r="EG49361"/>
      <c r="EH49361"/>
      <c r="EI49361"/>
      <c r="EJ49361"/>
      <c r="EK49361"/>
    </row>
    <row r="49362" spans="1:141" s="116" customFormat="1">
      <c r="A49362" s="136"/>
      <c r="CM49362" s="111"/>
      <c r="CQ49362" s="111"/>
      <c r="EF49362"/>
      <c r="EG49362"/>
      <c r="EH49362"/>
      <c r="EI49362"/>
      <c r="EJ49362"/>
      <c r="EK49362"/>
    </row>
    <row r="49363" spans="1:141" s="116" customFormat="1">
      <c r="A49363" s="136"/>
      <c r="CM49363" s="111"/>
      <c r="CQ49363" s="111"/>
      <c r="EF49363"/>
      <c r="EG49363"/>
      <c r="EH49363"/>
      <c r="EI49363"/>
      <c r="EJ49363"/>
      <c r="EK49363"/>
    </row>
    <row r="49364" spans="1:141" s="116" customFormat="1">
      <c r="A49364" s="136"/>
      <c r="CM49364" s="111"/>
      <c r="CQ49364" s="111"/>
      <c r="EF49364"/>
      <c r="EG49364"/>
      <c r="EH49364"/>
      <c r="EI49364"/>
      <c r="EJ49364"/>
      <c r="EK49364"/>
    </row>
    <row r="49365" spans="1:141" s="116" customFormat="1">
      <c r="A49365" s="136"/>
      <c r="CM49365" s="111"/>
      <c r="CQ49365" s="111"/>
      <c r="EF49365"/>
      <c r="EG49365"/>
      <c r="EH49365"/>
      <c r="EI49365"/>
      <c r="EJ49365"/>
      <c r="EK49365"/>
    </row>
    <row r="49366" spans="1:141" s="116" customFormat="1">
      <c r="A49366" s="136"/>
      <c r="CM49366" s="111"/>
      <c r="CQ49366" s="111"/>
      <c r="EF49366"/>
      <c r="EG49366"/>
      <c r="EH49366"/>
      <c r="EI49366"/>
      <c r="EJ49366"/>
      <c r="EK49366"/>
    </row>
    <row r="49367" spans="1:141" s="116" customFormat="1">
      <c r="A49367" s="136"/>
      <c r="CM49367" s="111"/>
      <c r="CQ49367" s="111"/>
      <c r="EF49367"/>
      <c r="EG49367"/>
      <c r="EH49367"/>
      <c r="EI49367"/>
      <c r="EJ49367"/>
      <c r="EK49367"/>
    </row>
    <row r="49368" spans="1:141" s="116" customFormat="1">
      <c r="A49368" s="136"/>
      <c r="CM49368" s="111"/>
      <c r="CQ49368" s="111"/>
      <c r="EF49368"/>
      <c r="EG49368"/>
      <c r="EH49368"/>
      <c r="EI49368"/>
      <c r="EJ49368"/>
      <c r="EK49368"/>
    </row>
    <row r="49369" spans="1:141" s="116" customFormat="1">
      <c r="A49369" s="136"/>
      <c r="CM49369" s="111"/>
      <c r="CQ49369" s="111"/>
      <c r="EF49369"/>
      <c r="EG49369"/>
      <c r="EH49369"/>
      <c r="EI49369"/>
      <c r="EJ49369"/>
      <c r="EK49369"/>
    </row>
    <row r="49370" spans="1:141" s="116" customFormat="1">
      <c r="A49370" s="136"/>
      <c r="CM49370" s="111"/>
      <c r="CQ49370" s="111"/>
      <c r="EF49370"/>
      <c r="EG49370"/>
      <c r="EH49370"/>
      <c r="EI49370"/>
      <c r="EJ49370"/>
      <c r="EK49370"/>
    </row>
    <row r="49371" spans="1:141" s="116" customFormat="1">
      <c r="A49371" s="136"/>
      <c r="CM49371" s="111"/>
      <c r="CQ49371" s="111"/>
      <c r="EF49371"/>
      <c r="EG49371"/>
      <c r="EH49371"/>
      <c r="EI49371"/>
      <c r="EJ49371"/>
      <c r="EK49371"/>
    </row>
    <row r="49372" spans="1:141" s="116" customFormat="1">
      <c r="A49372" s="136"/>
      <c r="CM49372" s="111"/>
      <c r="CQ49372" s="111"/>
      <c r="EF49372"/>
      <c r="EG49372"/>
      <c r="EH49372"/>
      <c r="EI49372"/>
      <c r="EJ49372"/>
      <c r="EK49372"/>
    </row>
    <row r="49373" spans="1:141" s="116" customFormat="1">
      <c r="A49373" s="136"/>
      <c r="CM49373" s="111"/>
      <c r="CQ49373" s="111"/>
      <c r="EF49373"/>
      <c r="EG49373"/>
      <c r="EH49373"/>
      <c r="EI49373"/>
      <c r="EJ49373"/>
      <c r="EK49373"/>
    </row>
    <row r="49374" spans="1:141" s="116" customFormat="1">
      <c r="A49374" s="136"/>
      <c r="CM49374" s="111"/>
      <c r="CQ49374" s="111"/>
      <c r="EF49374"/>
      <c r="EG49374"/>
      <c r="EH49374"/>
      <c r="EI49374"/>
      <c r="EJ49374"/>
      <c r="EK49374"/>
    </row>
    <row r="49375" spans="1:141" s="116" customFormat="1">
      <c r="A49375" s="136"/>
      <c r="CM49375" s="111"/>
      <c r="CQ49375" s="111"/>
      <c r="EF49375"/>
      <c r="EG49375"/>
      <c r="EH49375"/>
      <c r="EI49375"/>
      <c r="EJ49375"/>
      <c r="EK49375"/>
    </row>
    <row r="49376" spans="1:141" s="116" customFormat="1">
      <c r="A49376" s="136"/>
      <c r="CM49376" s="111"/>
      <c r="CQ49376" s="111"/>
      <c r="EF49376"/>
      <c r="EG49376"/>
      <c r="EH49376"/>
      <c r="EI49376"/>
      <c r="EJ49376"/>
      <c r="EK49376"/>
    </row>
    <row r="49377" spans="1:141" s="116" customFormat="1">
      <c r="A49377" s="136"/>
      <c r="CM49377" s="111"/>
      <c r="CQ49377" s="111"/>
      <c r="EF49377"/>
      <c r="EG49377"/>
      <c r="EH49377"/>
      <c r="EI49377"/>
      <c r="EJ49377"/>
      <c r="EK49377"/>
    </row>
    <row r="49378" spans="1:141" s="116" customFormat="1">
      <c r="A49378" s="136"/>
      <c r="CM49378" s="111"/>
      <c r="CQ49378" s="111"/>
      <c r="EF49378"/>
      <c r="EG49378"/>
      <c r="EH49378"/>
      <c r="EI49378"/>
      <c r="EJ49378"/>
      <c r="EK49378"/>
    </row>
    <row r="49379" spans="1:141" s="116" customFormat="1">
      <c r="A49379" s="136"/>
      <c r="CM49379" s="111"/>
      <c r="CQ49379" s="111"/>
      <c r="EF49379"/>
      <c r="EG49379"/>
      <c r="EH49379"/>
      <c r="EI49379"/>
      <c r="EJ49379"/>
      <c r="EK49379"/>
    </row>
    <row r="49380" spans="1:141" s="116" customFormat="1">
      <c r="A49380" s="136"/>
      <c r="CM49380" s="111"/>
      <c r="CQ49380" s="111"/>
      <c r="EF49380"/>
      <c r="EG49380"/>
      <c r="EH49380"/>
      <c r="EI49380"/>
      <c r="EJ49380"/>
      <c r="EK49380"/>
    </row>
    <row r="49381" spans="1:141" s="116" customFormat="1">
      <c r="A49381" s="136"/>
      <c r="CM49381" s="111"/>
      <c r="CQ49381" s="111"/>
      <c r="EF49381"/>
      <c r="EG49381"/>
      <c r="EH49381"/>
      <c r="EI49381"/>
      <c r="EJ49381"/>
      <c r="EK49381"/>
    </row>
    <row r="49382" spans="1:141" s="116" customFormat="1">
      <c r="A49382" s="136"/>
      <c r="CM49382" s="111"/>
      <c r="CQ49382" s="111"/>
      <c r="EF49382"/>
      <c r="EG49382"/>
      <c r="EH49382"/>
      <c r="EI49382"/>
      <c r="EJ49382"/>
      <c r="EK49382"/>
    </row>
    <row r="49383" spans="1:141" s="116" customFormat="1">
      <c r="A49383" s="136"/>
      <c r="CM49383" s="111"/>
      <c r="CQ49383" s="111"/>
      <c r="EF49383"/>
      <c r="EG49383"/>
      <c r="EH49383"/>
      <c r="EI49383"/>
      <c r="EJ49383"/>
      <c r="EK49383"/>
    </row>
    <row r="49384" spans="1:141" s="116" customFormat="1">
      <c r="A49384" s="136"/>
      <c r="CM49384" s="111"/>
      <c r="CQ49384" s="111"/>
      <c r="EF49384"/>
      <c r="EG49384"/>
      <c r="EH49384"/>
      <c r="EI49384"/>
      <c r="EJ49384"/>
      <c r="EK49384"/>
    </row>
    <row r="49385" spans="1:141" s="116" customFormat="1">
      <c r="A49385" s="136"/>
      <c r="CM49385" s="111"/>
      <c r="CQ49385" s="111"/>
      <c r="EF49385"/>
      <c r="EG49385"/>
      <c r="EH49385"/>
      <c r="EI49385"/>
      <c r="EJ49385"/>
      <c r="EK49385"/>
    </row>
    <row r="49386" spans="1:141" s="116" customFormat="1">
      <c r="A49386" s="136"/>
      <c r="CM49386" s="111"/>
      <c r="CQ49386" s="111"/>
      <c r="EF49386"/>
      <c r="EG49386"/>
      <c r="EH49386"/>
      <c r="EI49386"/>
      <c r="EJ49386"/>
      <c r="EK49386"/>
    </row>
    <row r="49387" spans="1:141" s="116" customFormat="1">
      <c r="A49387" s="136"/>
      <c r="CM49387" s="111"/>
      <c r="CQ49387" s="111"/>
      <c r="EF49387"/>
      <c r="EG49387"/>
      <c r="EH49387"/>
      <c r="EI49387"/>
      <c r="EJ49387"/>
      <c r="EK49387"/>
    </row>
    <row r="49388" spans="1:141" s="116" customFormat="1">
      <c r="A49388" s="136"/>
      <c r="CM49388" s="111"/>
      <c r="CQ49388" s="111"/>
      <c r="EF49388"/>
      <c r="EG49388"/>
      <c r="EH49388"/>
      <c r="EI49388"/>
      <c r="EJ49388"/>
      <c r="EK49388"/>
    </row>
    <row r="49389" spans="1:141" s="116" customFormat="1">
      <c r="A49389" s="136"/>
      <c r="CM49389" s="111"/>
      <c r="CQ49389" s="111"/>
      <c r="EF49389"/>
      <c r="EG49389"/>
      <c r="EH49389"/>
      <c r="EI49389"/>
      <c r="EJ49389"/>
      <c r="EK49389"/>
    </row>
    <row r="49390" spans="1:141" s="116" customFormat="1">
      <c r="A49390" s="136"/>
      <c r="CM49390" s="111"/>
      <c r="CQ49390" s="111"/>
      <c r="EF49390"/>
      <c r="EG49390"/>
      <c r="EH49390"/>
      <c r="EI49390"/>
      <c r="EJ49390"/>
      <c r="EK49390"/>
    </row>
    <row r="49391" spans="1:141" s="116" customFormat="1">
      <c r="A49391" s="136"/>
      <c r="CM49391" s="111"/>
      <c r="CQ49391" s="111"/>
      <c r="EF49391"/>
      <c r="EG49391"/>
      <c r="EH49391"/>
      <c r="EI49391"/>
      <c r="EJ49391"/>
      <c r="EK49391"/>
    </row>
    <row r="49392" spans="1:141" s="116" customFormat="1">
      <c r="A49392" s="136"/>
      <c r="CM49392" s="111"/>
      <c r="CQ49392" s="111"/>
      <c r="EF49392"/>
      <c r="EG49392"/>
      <c r="EH49392"/>
      <c r="EI49392"/>
      <c r="EJ49392"/>
      <c r="EK49392"/>
    </row>
    <row r="49393" spans="1:141" s="116" customFormat="1">
      <c r="A49393" s="136"/>
      <c r="CM49393" s="111"/>
      <c r="CQ49393" s="111"/>
      <c r="EF49393"/>
      <c r="EG49393"/>
      <c r="EH49393"/>
      <c r="EI49393"/>
      <c r="EJ49393"/>
      <c r="EK49393"/>
    </row>
    <row r="49394" spans="1:141" s="116" customFormat="1">
      <c r="A49394" s="136"/>
      <c r="CM49394" s="111"/>
      <c r="CQ49394" s="111"/>
      <c r="EF49394"/>
      <c r="EG49394"/>
      <c r="EH49394"/>
      <c r="EI49394"/>
      <c r="EJ49394"/>
      <c r="EK49394"/>
    </row>
    <row r="49395" spans="1:141" s="116" customFormat="1">
      <c r="A49395" s="136"/>
      <c r="CM49395" s="111"/>
      <c r="CQ49395" s="111"/>
      <c r="EF49395"/>
      <c r="EG49395"/>
      <c r="EH49395"/>
      <c r="EI49395"/>
      <c r="EJ49395"/>
      <c r="EK49395"/>
    </row>
    <row r="49396" spans="1:141" s="116" customFormat="1">
      <c r="A49396" s="136"/>
      <c r="CM49396" s="111"/>
      <c r="CQ49396" s="111"/>
      <c r="EF49396"/>
      <c r="EG49396"/>
      <c r="EH49396"/>
      <c r="EI49396"/>
      <c r="EJ49396"/>
      <c r="EK49396"/>
    </row>
    <row r="49397" spans="1:141" s="116" customFormat="1">
      <c r="A49397" s="136"/>
      <c r="CM49397" s="111"/>
      <c r="CQ49397" s="111"/>
      <c r="EF49397"/>
      <c r="EG49397"/>
      <c r="EH49397"/>
      <c r="EI49397"/>
      <c r="EJ49397"/>
      <c r="EK49397"/>
    </row>
    <row r="49398" spans="1:141" s="116" customFormat="1">
      <c r="A49398" s="136"/>
      <c r="CM49398" s="111"/>
      <c r="CQ49398" s="111"/>
      <c r="EF49398"/>
      <c r="EG49398"/>
      <c r="EH49398"/>
      <c r="EI49398"/>
      <c r="EJ49398"/>
      <c r="EK49398"/>
    </row>
    <row r="49399" spans="1:141" s="116" customFormat="1">
      <c r="A49399" s="136"/>
      <c r="CM49399" s="111"/>
      <c r="CQ49399" s="111"/>
      <c r="EF49399"/>
      <c r="EG49399"/>
      <c r="EH49399"/>
      <c r="EI49399"/>
      <c r="EJ49399"/>
      <c r="EK49399"/>
    </row>
    <row r="49400" spans="1:141" s="116" customFormat="1">
      <c r="A49400" s="136"/>
      <c r="CM49400" s="111"/>
      <c r="CQ49400" s="111"/>
      <c r="EF49400"/>
      <c r="EG49400"/>
      <c r="EH49400"/>
      <c r="EI49400"/>
      <c r="EJ49400"/>
      <c r="EK49400"/>
    </row>
    <row r="49401" spans="1:141" s="116" customFormat="1">
      <c r="A49401" s="136"/>
      <c r="CM49401" s="111"/>
      <c r="CQ49401" s="111"/>
      <c r="EF49401"/>
      <c r="EG49401"/>
      <c r="EH49401"/>
      <c r="EI49401"/>
      <c r="EJ49401"/>
      <c r="EK49401"/>
    </row>
    <row r="49402" spans="1:141" s="116" customFormat="1">
      <c r="A49402" s="136"/>
      <c r="CM49402" s="111"/>
      <c r="CQ49402" s="111"/>
      <c r="EF49402"/>
      <c r="EG49402"/>
      <c r="EH49402"/>
      <c r="EI49402"/>
      <c r="EJ49402"/>
      <c r="EK49402"/>
    </row>
    <row r="49403" spans="1:141" s="116" customFormat="1">
      <c r="A49403" s="136"/>
      <c r="CM49403" s="111"/>
      <c r="CQ49403" s="111"/>
      <c r="EF49403"/>
      <c r="EG49403"/>
      <c r="EH49403"/>
      <c r="EI49403"/>
      <c r="EJ49403"/>
      <c r="EK49403"/>
    </row>
    <row r="49404" spans="1:141" s="116" customFormat="1">
      <c r="A49404" s="136"/>
      <c r="CM49404" s="111"/>
      <c r="CQ49404" s="111"/>
      <c r="EF49404"/>
      <c r="EG49404"/>
      <c r="EH49404"/>
      <c r="EI49404"/>
      <c r="EJ49404"/>
      <c r="EK49404"/>
    </row>
    <row r="49405" spans="1:141" s="116" customFormat="1">
      <c r="A49405" s="136"/>
      <c r="CM49405" s="111"/>
      <c r="CQ49405" s="111"/>
      <c r="EF49405"/>
      <c r="EG49405"/>
      <c r="EH49405"/>
      <c r="EI49405"/>
      <c r="EJ49405"/>
      <c r="EK49405"/>
    </row>
    <row r="49406" spans="1:141" s="116" customFormat="1">
      <c r="A49406" s="136"/>
      <c r="CM49406" s="111"/>
      <c r="CQ49406" s="111"/>
      <c r="EF49406"/>
      <c r="EG49406"/>
      <c r="EH49406"/>
      <c r="EI49406"/>
      <c r="EJ49406"/>
      <c r="EK49406"/>
    </row>
    <row r="49407" spans="1:141" s="116" customFormat="1">
      <c r="A49407" s="136"/>
      <c r="CM49407" s="111"/>
      <c r="CQ49407" s="111"/>
      <c r="EF49407"/>
      <c r="EG49407"/>
      <c r="EH49407"/>
      <c r="EI49407"/>
      <c r="EJ49407"/>
      <c r="EK49407"/>
    </row>
    <row r="49408" spans="1:141" s="116" customFormat="1">
      <c r="A49408" s="136"/>
      <c r="CM49408" s="111"/>
      <c r="CQ49408" s="111"/>
      <c r="EF49408"/>
      <c r="EG49408"/>
      <c r="EH49408"/>
      <c r="EI49408"/>
      <c r="EJ49408"/>
      <c r="EK49408"/>
    </row>
    <row r="49409" spans="1:141" s="116" customFormat="1">
      <c r="A49409" s="136"/>
      <c r="CM49409" s="111"/>
      <c r="CQ49409" s="111"/>
      <c r="EF49409"/>
      <c r="EG49409"/>
      <c r="EH49409"/>
      <c r="EI49409"/>
      <c r="EJ49409"/>
      <c r="EK49409"/>
    </row>
    <row r="49410" spans="1:141" s="116" customFormat="1">
      <c r="A49410" s="136"/>
      <c r="CM49410" s="111"/>
      <c r="CQ49410" s="111"/>
      <c r="EF49410"/>
      <c r="EG49410"/>
      <c r="EH49410"/>
      <c r="EI49410"/>
      <c r="EJ49410"/>
      <c r="EK49410"/>
    </row>
    <row r="49411" spans="1:141" s="116" customFormat="1">
      <c r="A49411" s="136"/>
      <c r="CM49411" s="111"/>
      <c r="CQ49411" s="111"/>
      <c r="EF49411"/>
      <c r="EG49411"/>
      <c r="EH49411"/>
      <c r="EI49411"/>
      <c r="EJ49411"/>
      <c r="EK49411"/>
    </row>
    <row r="49412" spans="1:141" s="116" customFormat="1">
      <c r="A49412" s="136"/>
      <c r="CM49412" s="111"/>
      <c r="CQ49412" s="111"/>
      <c r="EF49412"/>
      <c r="EG49412"/>
      <c r="EH49412"/>
      <c r="EI49412"/>
      <c r="EJ49412"/>
      <c r="EK49412"/>
    </row>
    <row r="49413" spans="1:141" s="116" customFormat="1">
      <c r="A49413" s="136"/>
      <c r="CM49413" s="111"/>
      <c r="CQ49413" s="111"/>
      <c r="EF49413"/>
      <c r="EG49413"/>
      <c r="EH49413"/>
      <c r="EI49413"/>
      <c r="EJ49413"/>
      <c r="EK49413"/>
    </row>
    <row r="49414" spans="1:141" s="116" customFormat="1">
      <c r="A49414" s="136"/>
      <c r="CM49414" s="111"/>
      <c r="CQ49414" s="111"/>
      <c r="EF49414"/>
      <c r="EG49414"/>
      <c r="EH49414"/>
      <c r="EI49414"/>
      <c r="EJ49414"/>
      <c r="EK49414"/>
    </row>
    <row r="49415" spans="1:141" s="116" customFormat="1">
      <c r="A49415" s="136"/>
      <c r="CM49415" s="111"/>
      <c r="CQ49415" s="111"/>
      <c r="EF49415"/>
      <c r="EG49415"/>
      <c r="EH49415"/>
      <c r="EI49415"/>
      <c r="EJ49415"/>
      <c r="EK49415"/>
    </row>
    <row r="49416" spans="1:141" s="116" customFormat="1">
      <c r="A49416" s="136"/>
      <c r="CM49416" s="111"/>
      <c r="CQ49416" s="111"/>
      <c r="EF49416"/>
      <c r="EG49416"/>
      <c r="EH49416"/>
      <c r="EI49416"/>
      <c r="EJ49416"/>
      <c r="EK49416"/>
    </row>
    <row r="49417" spans="1:141" s="116" customFormat="1">
      <c r="A49417" s="136"/>
      <c r="CM49417" s="111"/>
      <c r="CQ49417" s="111"/>
      <c r="EF49417"/>
      <c r="EG49417"/>
      <c r="EH49417"/>
      <c r="EI49417"/>
      <c r="EJ49417"/>
      <c r="EK49417"/>
    </row>
    <row r="49418" spans="1:141" s="116" customFormat="1">
      <c r="A49418" s="136"/>
      <c r="CM49418" s="111"/>
      <c r="CQ49418" s="111"/>
      <c r="EF49418"/>
      <c r="EG49418"/>
      <c r="EH49418"/>
      <c r="EI49418"/>
      <c r="EJ49418"/>
      <c r="EK49418"/>
    </row>
    <row r="49419" spans="1:141" s="116" customFormat="1">
      <c r="A49419" s="136"/>
      <c r="CM49419" s="111"/>
      <c r="CQ49419" s="111"/>
      <c r="EF49419"/>
      <c r="EG49419"/>
      <c r="EH49419"/>
      <c r="EI49419"/>
      <c r="EJ49419"/>
      <c r="EK49419"/>
    </row>
    <row r="49420" spans="1:141" s="116" customFormat="1">
      <c r="A49420" s="136"/>
      <c r="CM49420" s="111"/>
      <c r="CQ49420" s="111"/>
      <c r="EF49420"/>
      <c r="EG49420"/>
      <c r="EH49420"/>
      <c r="EI49420"/>
      <c r="EJ49420"/>
      <c r="EK49420"/>
    </row>
    <row r="49421" spans="1:141" s="116" customFormat="1">
      <c r="A49421" s="136"/>
      <c r="CM49421" s="111"/>
      <c r="CQ49421" s="111"/>
      <c r="EF49421"/>
      <c r="EG49421"/>
      <c r="EH49421"/>
      <c r="EI49421"/>
      <c r="EJ49421"/>
      <c r="EK49421"/>
    </row>
    <row r="49422" spans="1:141" s="116" customFormat="1">
      <c r="A49422" s="136"/>
      <c r="CM49422" s="111"/>
      <c r="CQ49422" s="111"/>
      <c r="EF49422"/>
      <c r="EG49422"/>
      <c r="EH49422"/>
      <c r="EI49422"/>
      <c r="EJ49422"/>
      <c r="EK49422"/>
    </row>
    <row r="49423" spans="1:141" s="116" customFormat="1">
      <c r="A49423" s="136"/>
      <c r="CM49423" s="111"/>
      <c r="CQ49423" s="111"/>
      <c r="EF49423"/>
      <c r="EG49423"/>
      <c r="EH49423"/>
      <c r="EI49423"/>
      <c r="EJ49423"/>
      <c r="EK49423"/>
    </row>
    <row r="49424" spans="1:141" s="116" customFormat="1">
      <c r="A49424" s="136"/>
      <c r="CM49424" s="111"/>
      <c r="CQ49424" s="111"/>
      <c r="EF49424"/>
      <c r="EG49424"/>
      <c r="EH49424"/>
      <c r="EI49424"/>
      <c r="EJ49424"/>
      <c r="EK49424"/>
    </row>
    <row r="49425" spans="1:141" s="116" customFormat="1">
      <c r="A49425" s="136"/>
      <c r="CM49425" s="111"/>
      <c r="CQ49425" s="111"/>
      <c r="EF49425"/>
      <c r="EG49425"/>
      <c r="EH49425"/>
      <c r="EI49425"/>
      <c r="EJ49425"/>
      <c r="EK49425"/>
    </row>
    <row r="49426" spans="1:141" s="116" customFormat="1">
      <c r="A49426" s="136"/>
      <c r="CM49426" s="111"/>
      <c r="CQ49426" s="111"/>
      <c r="EF49426"/>
      <c r="EG49426"/>
      <c r="EH49426"/>
      <c r="EI49426"/>
      <c r="EJ49426"/>
      <c r="EK49426"/>
    </row>
    <row r="49427" spans="1:141" s="116" customFormat="1">
      <c r="A49427" s="136"/>
      <c r="CM49427" s="111"/>
      <c r="CQ49427" s="111"/>
      <c r="EF49427"/>
      <c r="EG49427"/>
      <c r="EH49427"/>
      <c r="EI49427"/>
      <c r="EJ49427"/>
      <c r="EK49427"/>
    </row>
    <row r="49428" spans="1:141" s="116" customFormat="1">
      <c r="A49428" s="136"/>
      <c r="CM49428" s="111"/>
      <c r="CQ49428" s="111"/>
      <c r="EF49428"/>
      <c r="EG49428"/>
      <c r="EH49428"/>
      <c r="EI49428"/>
      <c r="EJ49428"/>
      <c r="EK49428"/>
    </row>
    <row r="49429" spans="1:141" s="116" customFormat="1">
      <c r="A49429" s="136"/>
      <c r="CM49429" s="111"/>
      <c r="CQ49429" s="111"/>
      <c r="EF49429"/>
      <c r="EG49429"/>
      <c r="EH49429"/>
      <c r="EI49429"/>
      <c r="EJ49429"/>
      <c r="EK49429"/>
    </row>
    <row r="49430" spans="1:141" s="116" customFormat="1">
      <c r="A49430" s="136"/>
      <c r="CM49430" s="111"/>
      <c r="CQ49430" s="111"/>
      <c r="EF49430"/>
      <c r="EG49430"/>
      <c r="EH49430"/>
      <c r="EI49430"/>
      <c r="EJ49430"/>
      <c r="EK49430"/>
    </row>
    <row r="49431" spans="1:141" s="116" customFormat="1">
      <c r="A49431" s="136"/>
      <c r="CM49431" s="111"/>
      <c r="CQ49431" s="111"/>
      <c r="EF49431"/>
      <c r="EG49431"/>
      <c r="EH49431"/>
      <c r="EI49431"/>
      <c r="EJ49431"/>
      <c r="EK49431"/>
    </row>
    <row r="49432" spans="1:141" s="116" customFormat="1">
      <c r="A49432" s="136"/>
      <c r="CM49432" s="111"/>
      <c r="CQ49432" s="111"/>
      <c r="EF49432"/>
      <c r="EG49432"/>
      <c r="EH49432"/>
      <c r="EI49432"/>
      <c r="EJ49432"/>
      <c r="EK49432"/>
    </row>
    <row r="49433" spans="1:141" s="116" customFormat="1">
      <c r="A49433" s="136"/>
      <c r="CM49433" s="111"/>
      <c r="CQ49433" s="111"/>
      <c r="EF49433"/>
      <c r="EG49433"/>
      <c r="EH49433"/>
      <c r="EI49433"/>
      <c r="EJ49433"/>
      <c r="EK49433"/>
    </row>
    <row r="49434" spans="1:141" s="116" customFormat="1">
      <c r="A49434" s="136"/>
      <c r="CM49434" s="111"/>
      <c r="CQ49434" s="111"/>
      <c r="EF49434"/>
      <c r="EG49434"/>
      <c r="EH49434"/>
      <c r="EI49434"/>
      <c r="EJ49434"/>
      <c r="EK49434"/>
    </row>
    <row r="49435" spans="1:141" s="116" customFormat="1">
      <c r="A49435" s="136"/>
      <c r="CM49435" s="111"/>
      <c r="CQ49435" s="111"/>
      <c r="EF49435"/>
      <c r="EG49435"/>
      <c r="EH49435"/>
      <c r="EI49435"/>
      <c r="EJ49435"/>
      <c r="EK49435"/>
    </row>
    <row r="49436" spans="1:141" s="116" customFormat="1">
      <c r="A49436" s="136"/>
      <c r="CM49436" s="111"/>
      <c r="CQ49436" s="111"/>
      <c r="EF49436"/>
      <c r="EG49436"/>
      <c r="EH49436"/>
      <c r="EI49436"/>
      <c r="EJ49436"/>
      <c r="EK49436"/>
    </row>
    <row r="49437" spans="1:141" s="116" customFormat="1">
      <c r="A49437" s="136"/>
      <c r="CM49437" s="111"/>
      <c r="CQ49437" s="111"/>
      <c r="EF49437"/>
      <c r="EG49437"/>
      <c r="EH49437"/>
      <c r="EI49437"/>
      <c r="EJ49437"/>
      <c r="EK49437"/>
    </row>
    <row r="49438" spans="1:141" s="116" customFormat="1">
      <c r="A49438" s="136"/>
      <c r="CM49438" s="111"/>
      <c r="CQ49438" s="111"/>
      <c r="EF49438"/>
      <c r="EG49438"/>
      <c r="EH49438"/>
      <c r="EI49438"/>
      <c r="EJ49438"/>
      <c r="EK49438"/>
    </row>
    <row r="49439" spans="1:141" s="116" customFormat="1">
      <c r="A49439" s="136"/>
      <c r="CM49439" s="111"/>
      <c r="CQ49439" s="111"/>
      <c r="EF49439"/>
      <c r="EG49439"/>
      <c r="EH49439"/>
      <c r="EI49439"/>
      <c r="EJ49439"/>
      <c r="EK49439"/>
    </row>
    <row r="49440" spans="1:141" s="116" customFormat="1">
      <c r="A49440" s="136"/>
      <c r="CM49440" s="111"/>
      <c r="CQ49440" s="111"/>
      <c r="EF49440"/>
      <c r="EG49440"/>
      <c r="EH49440"/>
      <c r="EI49440"/>
      <c r="EJ49440"/>
      <c r="EK49440"/>
    </row>
    <row r="49441" spans="1:141" s="116" customFormat="1">
      <c r="A49441" s="136"/>
      <c r="CM49441" s="111"/>
      <c r="CQ49441" s="111"/>
      <c r="EF49441"/>
      <c r="EG49441"/>
      <c r="EH49441"/>
      <c r="EI49441"/>
      <c r="EJ49441"/>
      <c r="EK49441"/>
    </row>
    <row r="49442" spans="1:141" s="116" customFormat="1">
      <c r="A49442" s="136"/>
      <c r="CM49442" s="111"/>
      <c r="CQ49442" s="111"/>
      <c r="EF49442"/>
      <c r="EG49442"/>
      <c r="EH49442"/>
      <c r="EI49442"/>
      <c r="EJ49442"/>
      <c r="EK49442"/>
    </row>
    <row r="49443" spans="1:141" s="116" customFormat="1">
      <c r="A49443" s="136"/>
      <c r="CM49443" s="111"/>
      <c r="CQ49443" s="111"/>
      <c r="EF49443"/>
      <c r="EG49443"/>
      <c r="EH49443"/>
      <c r="EI49443"/>
      <c r="EJ49443"/>
      <c r="EK49443"/>
    </row>
    <row r="49444" spans="1:141" s="116" customFormat="1">
      <c r="A49444" s="136"/>
      <c r="CM49444" s="111"/>
      <c r="CQ49444" s="111"/>
      <c r="EF49444"/>
      <c r="EG49444"/>
      <c r="EH49444"/>
      <c r="EI49444"/>
      <c r="EJ49444"/>
      <c r="EK49444"/>
    </row>
    <row r="49445" spans="1:141" s="116" customFormat="1">
      <c r="A49445" s="136"/>
      <c r="CM49445" s="111"/>
      <c r="CQ49445" s="111"/>
      <c r="EF49445"/>
      <c r="EG49445"/>
      <c r="EH49445"/>
      <c r="EI49445"/>
      <c r="EJ49445"/>
      <c r="EK49445"/>
    </row>
    <row r="49446" spans="1:141" s="116" customFormat="1">
      <c r="A49446" s="136"/>
      <c r="CM49446" s="111"/>
      <c r="CQ49446" s="111"/>
      <c r="EF49446"/>
      <c r="EG49446"/>
      <c r="EH49446"/>
      <c r="EI49446"/>
      <c r="EJ49446"/>
      <c r="EK49446"/>
    </row>
    <row r="49447" spans="1:141" s="116" customFormat="1">
      <c r="A49447" s="136"/>
      <c r="CM49447" s="111"/>
      <c r="CQ49447" s="111"/>
      <c r="EF49447"/>
      <c r="EG49447"/>
      <c r="EH49447"/>
      <c r="EI49447"/>
      <c r="EJ49447"/>
      <c r="EK49447"/>
    </row>
    <row r="49448" spans="1:141" s="116" customFormat="1">
      <c r="A49448" s="136"/>
      <c r="CM49448" s="111"/>
      <c r="CQ49448" s="111"/>
      <c r="EF49448"/>
      <c r="EG49448"/>
      <c r="EH49448"/>
      <c r="EI49448"/>
      <c r="EJ49448"/>
      <c r="EK49448"/>
    </row>
    <row r="49449" spans="1:141" s="116" customFormat="1">
      <c r="A49449" s="136"/>
      <c r="CM49449" s="111"/>
      <c r="CQ49449" s="111"/>
      <c r="EF49449"/>
      <c r="EG49449"/>
      <c r="EH49449"/>
      <c r="EI49449"/>
      <c r="EJ49449"/>
      <c r="EK49449"/>
    </row>
    <row r="49450" spans="1:141" s="116" customFormat="1">
      <c r="A49450" s="136"/>
      <c r="CM49450" s="111"/>
      <c r="CQ49450" s="111"/>
      <c r="EF49450"/>
      <c r="EG49450"/>
      <c r="EH49450"/>
      <c r="EI49450"/>
      <c r="EJ49450"/>
      <c r="EK49450"/>
    </row>
    <row r="49451" spans="1:141" s="116" customFormat="1">
      <c r="A49451" s="136"/>
      <c r="CM49451" s="111"/>
      <c r="CQ49451" s="111"/>
      <c r="EF49451"/>
      <c r="EG49451"/>
      <c r="EH49451"/>
      <c r="EI49451"/>
      <c r="EJ49451"/>
      <c r="EK49451"/>
    </row>
    <row r="49452" spans="1:141" s="116" customFormat="1">
      <c r="A49452" s="136"/>
      <c r="CM49452" s="111"/>
      <c r="CQ49452" s="111"/>
      <c r="EF49452"/>
      <c r="EG49452"/>
      <c r="EH49452"/>
      <c r="EI49452"/>
      <c r="EJ49452"/>
      <c r="EK49452"/>
    </row>
    <row r="49453" spans="1:141" s="116" customFormat="1">
      <c r="A49453" s="136"/>
      <c r="CM49453" s="111"/>
      <c r="CQ49453" s="111"/>
      <c r="EF49453"/>
      <c r="EG49453"/>
      <c r="EH49453"/>
      <c r="EI49453"/>
      <c r="EJ49453"/>
      <c r="EK49453"/>
    </row>
    <row r="49454" spans="1:141" s="116" customFormat="1">
      <c r="A49454" s="136"/>
      <c r="CM49454" s="111"/>
      <c r="CQ49454" s="111"/>
      <c r="EF49454"/>
      <c r="EG49454"/>
      <c r="EH49454"/>
      <c r="EI49454"/>
      <c r="EJ49454"/>
      <c r="EK49454"/>
    </row>
    <row r="49455" spans="1:141" s="116" customFormat="1">
      <c r="A49455" s="136"/>
      <c r="CM49455" s="111"/>
      <c r="CQ49455" s="111"/>
      <c r="EF49455"/>
      <c r="EG49455"/>
      <c r="EH49455"/>
      <c r="EI49455"/>
      <c r="EJ49455"/>
      <c r="EK49455"/>
    </row>
    <row r="49456" spans="1:141" s="116" customFormat="1">
      <c r="A49456" s="136"/>
      <c r="CM49456" s="111"/>
      <c r="CQ49456" s="111"/>
      <c r="EF49456"/>
      <c r="EG49456"/>
      <c r="EH49456"/>
      <c r="EI49456"/>
      <c r="EJ49456"/>
      <c r="EK49456"/>
    </row>
    <row r="49457" spans="1:141" s="116" customFormat="1">
      <c r="A49457" s="136"/>
      <c r="CM49457" s="111"/>
      <c r="CQ49457" s="111"/>
      <c r="EF49457"/>
      <c r="EG49457"/>
      <c r="EH49457"/>
      <c r="EI49457"/>
      <c r="EJ49457"/>
      <c r="EK49457"/>
    </row>
    <row r="49458" spans="1:141" s="116" customFormat="1">
      <c r="A49458" s="136"/>
      <c r="CM49458" s="111"/>
      <c r="CQ49458" s="111"/>
      <c r="EF49458"/>
      <c r="EG49458"/>
      <c r="EH49458"/>
      <c r="EI49458"/>
      <c r="EJ49458"/>
      <c r="EK49458"/>
    </row>
    <row r="49459" spans="1:141" s="116" customFormat="1">
      <c r="A49459" s="136"/>
      <c r="CM49459" s="111"/>
      <c r="CQ49459" s="111"/>
      <c r="EF49459"/>
      <c r="EG49459"/>
      <c r="EH49459"/>
      <c r="EI49459"/>
      <c r="EJ49459"/>
      <c r="EK49459"/>
    </row>
    <row r="49460" spans="1:141" s="116" customFormat="1">
      <c r="A49460" s="136"/>
      <c r="CM49460" s="111"/>
      <c r="CQ49460" s="111"/>
      <c r="EF49460"/>
      <c r="EG49460"/>
      <c r="EH49460"/>
      <c r="EI49460"/>
      <c r="EJ49460"/>
      <c r="EK49460"/>
    </row>
    <row r="49461" spans="1:141" s="116" customFormat="1">
      <c r="A49461" s="136"/>
      <c r="CM49461" s="111"/>
      <c r="CQ49461" s="111"/>
      <c r="EF49461"/>
      <c r="EG49461"/>
      <c r="EH49461"/>
      <c r="EI49461"/>
      <c r="EJ49461"/>
      <c r="EK49461"/>
    </row>
    <row r="49462" spans="1:141" s="116" customFormat="1">
      <c r="A49462" s="136"/>
      <c r="CM49462" s="111"/>
      <c r="CQ49462" s="111"/>
      <c r="EF49462"/>
      <c r="EG49462"/>
      <c r="EH49462"/>
      <c r="EI49462"/>
      <c r="EJ49462"/>
      <c r="EK49462"/>
    </row>
    <row r="49463" spans="1:141" s="116" customFormat="1">
      <c r="A49463" s="136"/>
      <c r="CM49463" s="111"/>
      <c r="CQ49463" s="111"/>
      <c r="EF49463"/>
      <c r="EG49463"/>
      <c r="EH49463"/>
      <c r="EI49463"/>
      <c r="EJ49463"/>
      <c r="EK49463"/>
    </row>
    <row r="49464" spans="1:141" s="116" customFormat="1">
      <c r="A49464" s="136"/>
      <c r="CM49464" s="111"/>
      <c r="CQ49464" s="111"/>
      <c r="EF49464"/>
      <c r="EG49464"/>
      <c r="EH49464"/>
      <c r="EI49464"/>
      <c r="EJ49464"/>
      <c r="EK49464"/>
    </row>
    <row r="49465" spans="1:141" s="116" customFormat="1">
      <c r="A49465" s="136"/>
      <c r="CM49465" s="111"/>
      <c r="CQ49465" s="111"/>
      <c r="EF49465"/>
      <c r="EG49465"/>
      <c r="EH49465"/>
      <c r="EI49465"/>
      <c r="EJ49465"/>
      <c r="EK49465"/>
    </row>
    <row r="49466" spans="1:141" s="116" customFormat="1">
      <c r="A49466" s="136"/>
      <c r="CM49466" s="111"/>
      <c r="CQ49466" s="111"/>
      <c r="EF49466"/>
      <c r="EG49466"/>
      <c r="EH49466"/>
      <c r="EI49466"/>
      <c r="EJ49466"/>
      <c r="EK49466"/>
    </row>
    <row r="49467" spans="1:141" s="116" customFormat="1">
      <c r="A49467" s="136"/>
      <c r="CM49467" s="111"/>
      <c r="CQ49467" s="111"/>
      <c r="EF49467"/>
      <c r="EG49467"/>
      <c r="EH49467"/>
      <c r="EI49467"/>
      <c r="EJ49467"/>
      <c r="EK49467"/>
    </row>
    <row r="49468" spans="1:141" s="116" customFormat="1">
      <c r="A49468" s="136"/>
      <c r="CM49468" s="111"/>
      <c r="CQ49468" s="111"/>
      <c r="EF49468"/>
      <c r="EG49468"/>
      <c r="EH49468"/>
      <c r="EI49468"/>
      <c r="EJ49468"/>
      <c r="EK49468"/>
    </row>
    <row r="49469" spans="1:141" s="116" customFormat="1">
      <c r="A49469" s="136"/>
      <c r="CM49469" s="111"/>
      <c r="CQ49469" s="111"/>
      <c r="EF49469"/>
      <c r="EG49469"/>
      <c r="EH49469"/>
      <c r="EI49469"/>
      <c r="EJ49469"/>
      <c r="EK49469"/>
    </row>
    <row r="49470" spans="1:141" s="116" customFormat="1">
      <c r="A49470" s="136"/>
      <c r="CM49470" s="111"/>
      <c r="CQ49470" s="111"/>
      <c r="EF49470"/>
      <c r="EG49470"/>
      <c r="EH49470"/>
      <c r="EI49470"/>
      <c r="EJ49470"/>
      <c r="EK49470"/>
    </row>
    <row r="49471" spans="1:141" s="116" customFormat="1">
      <c r="A49471" s="136"/>
      <c r="CM49471" s="111"/>
      <c r="CQ49471" s="111"/>
      <c r="EF49471"/>
      <c r="EG49471"/>
      <c r="EH49471"/>
      <c r="EI49471"/>
      <c r="EJ49471"/>
      <c r="EK49471"/>
    </row>
    <row r="49472" spans="1:141" s="116" customFormat="1">
      <c r="A49472" s="136"/>
      <c r="CM49472" s="111"/>
      <c r="CQ49472" s="111"/>
      <c r="EF49472"/>
      <c r="EG49472"/>
      <c r="EH49472"/>
      <c r="EI49472"/>
      <c r="EJ49472"/>
      <c r="EK49472"/>
    </row>
    <row r="49473" spans="1:141" s="116" customFormat="1">
      <c r="A49473" s="136"/>
      <c r="CM49473" s="111"/>
      <c r="CQ49473" s="111"/>
      <c r="EF49473"/>
      <c r="EG49473"/>
      <c r="EH49473"/>
      <c r="EI49473"/>
      <c r="EJ49473"/>
      <c r="EK49473"/>
    </row>
    <row r="49474" spans="1:141" s="116" customFormat="1">
      <c r="A49474" s="136"/>
      <c r="CM49474" s="111"/>
      <c r="CQ49474" s="111"/>
      <c r="EF49474"/>
      <c r="EG49474"/>
      <c r="EH49474"/>
      <c r="EI49474"/>
      <c r="EJ49474"/>
      <c r="EK49474"/>
    </row>
    <row r="49475" spans="1:141" s="116" customFormat="1">
      <c r="A49475" s="136"/>
      <c r="CM49475" s="111"/>
      <c r="CQ49475" s="111"/>
      <c r="EF49475"/>
      <c r="EG49475"/>
      <c r="EH49475"/>
      <c r="EI49475"/>
      <c r="EJ49475"/>
      <c r="EK49475"/>
    </row>
    <row r="49476" spans="1:141" s="116" customFormat="1">
      <c r="A49476" s="136"/>
      <c r="CM49476" s="111"/>
      <c r="CQ49476" s="111"/>
      <c r="EF49476"/>
      <c r="EG49476"/>
      <c r="EH49476"/>
      <c r="EI49476"/>
      <c r="EJ49476"/>
      <c r="EK49476"/>
    </row>
    <row r="49477" spans="1:141" s="116" customFormat="1">
      <c r="A49477" s="136"/>
      <c r="CM49477" s="111"/>
      <c r="CQ49477" s="111"/>
      <c r="EF49477"/>
      <c r="EG49477"/>
      <c r="EH49477"/>
      <c r="EI49477"/>
      <c r="EJ49477"/>
      <c r="EK49477"/>
    </row>
    <row r="49478" spans="1:141" s="116" customFormat="1">
      <c r="A49478" s="136"/>
      <c r="CM49478" s="111"/>
      <c r="CQ49478" s="111"/>
      <c r="EF49478"/>
      <c r="EG49478"/>
      <c r="EH49478"/>
      <c r="EI49478"/>
      <c r="EJ49478"/>
      <c r="EK49478"/>
    </row>
    <row r="49479" spans="1:141" s="116" customFormat="1">
      <c r="A49479" s="136"/>
      <c r="CM49479" s="111"/>
      <c r="CQ49479" s="111"/>
      <c r="EF49479"/>
      <c r="EG49479"/>
      <c r="EH49479"/>
      <c r="EI49479"/>
      <c r="EJ49479"/>
      <c r="EK49479"/>
    </row>
    <row r="49480" spans="1:141" s="116" customFormat="1">
      <c r="A49480" s="136"/>
      <c r="CM49480" s="111"/>
      <c r="CQ49480" s="111"/>
      <c r="EF49480"/>
      <c r="EG49480"/>
      <c r="EH49480"/>
      <c r="EI49480"/>
      <c r="EJ49480"/>
      <c r="EK49480"/>
    </row>
    <row r="49481" spans="1:141" s="116" customFormat="1">
      <c r="A49481" s="136"/>
      <c r="CM49481" s="111"/>
      <c r="CQ49481" s="111"/>
      <c r="EF49481"/>
      <c r="EG49481"/>
      <c r="EH49481"/>
      <c r="EI49481"/>
      <c r="EJ49481"/>
      <c r="EK49481"/>
    </row>
    <row r="49482" spans="1:141" s="116" customFormat="1">
      <c r="A49482" s="136"/>
      <c r="CM49482" s="111"/>
      <c r="CQ49482" s="111"/>
      <c r="EF49482"/>
      <c r="EG49482"/>
      <c r="EH49482"/>
      <c r="EI49482"/>
      <c r="EJ49482"/>
      <c r="EK49482"/>
    </row>
    <row r="49483" spans="1:141" s="116" customFormat="1">
      <c r="A49483" s="136"/>
      <c r="CM49483" s="111"/>
      <c r="CQ49483" s="111"/>
      <c r="EF49483"/>
      <c r="EG49483"/>
      <c r="EH49483"/>
      <c r="EI49483"/>
      <c r="EJ49483"/>
      <c r="EK49483"/>
    </row>
    <row r="49484" spans="1:141" s="116" customFormat="1">
      <c r="A49484" s="136"/>
      <c r="CM49484" s="111"/>
      <c r="CQ49484" s="111"/>
      <c r="EF49484"/>
      <c r="EG49484"/>
      <c r="EH49484"/>
      <c r="EI49484"/>
      <c r="EJ49484"/>
      <c r="EK49484"/>
    </row>
    <row r="49485" spans="1:141" s="116" customFormat="1">
      <c r="A49485" s="136"/>
      <c r="CM49485" s="111"/>
      <c r="CQ49485" s="111"/>
      <c r="EF49485"/>
      <c r="EG49485"/>
      <c r="EH49485"/>
      <c r="EI49485"/>
      <c r="EJ49485"/>
      <c r="EK49485"/>
    </row>
    <row r="49486" spans="1:141" s="116" customFormat="1">
      <c r="A49486" s="136"/>
      <c r="CM49486" s="111"/>
      <c r="CQ49486" s="111"/>
      <c r="EF49486"/>
      <c r="EG49486"/>
      <c r="EH49486"/>
      <c r="EI49486"/>
      <c r="EJ49486"/>
      <c r="EK49486"/>
    </row>
    <row r="49487" spans="1:141" s="116" customFormat="1">
      <c r="A49487" s="136"/>
      <c r="CM49487" s="111"/>
      <c r="CQ49487" s="111"/>
      <c r="EF49487"/>
      <c r="EG49487"/>
      <c r="EH49487"/>
      <c r="EI49487"/>
      <c r="EJ49487"/>
      <c r="EK49487"/>
    </row>
    <row r="49488" spans="1:141" s="116" customFormat="1">
      <c r="A49488" s="136"/>
      <c r="CM49488" s="111"/>
      <c r="CQ49488" s="111"/>
      <c r="EF49488"/>
      <c r="EG49488"/>
      <c r="EH49488"/>
      <c r="EI49488"/>
      <c r="EJ49488"/>
      <c r="EK49488"/>
    </row>
    <row r="49489" spans="1:141" s="116" customFormat="1">
      <c r="A49489" s="136"/>
      <c r="CM49489" s="111"/>
      <c r="CQ49489" s="111"/>
      <c r="EF49489"/>
      <c r="EG49489"/>
      <c r="EH49489"/>
      <c r="EI49489"/>
      <c r="EJ49489"/>
      <c r="EK49489"/>
    </row>
    <row r="49490" spans="1:141" s="116" customFormat="1">
      <c r="A49490" s="136"/>
      <c r="CM49490" s="111"/>
      <c r="CQ49490" s="111"/>
      <c r="EF49490"/>
      <c r="EG49490"/>
      <c r="EH49490"/>
      <c r="EI49490"/>
      <c r="EJ49490"/>
      <c r="EK49490"/>
    </row>
    <row r="49491" spans="1:141" s="116" customFormat="1">
      <c r="A49491" s="136"/>
      <c r="CM49491" s="111"/>
      <c r="CQ49491" s="111"/>
      <c r="EF49491"/>
      <c r="EG49491"/>
      <c r="EH49491"/>
      <c r="EI49491"/>
      <c r="EJ49491"/>
      <c r="EK49491"/>
    </row>
    <row r="49492" spans="1:141" s="116" customFormat="1">
      <c r="A49492" s="136"/>
      <c r="CM49492" s="111"/>
      <c r="CQ49492" s="111"/>
      <c r="EF49492"/>
      <c r="EG49492"/>
      <c r="EH49492"/>
      <c r="EI49492"/>
      <c r="EJ49492"/>
      <c r="EK49492"/>
    </row>
    <row r="49493" spans="1:141" s="116" customFormat="1">
      <c r="A49493" s="136"/>
      <c r="CM49493" s="111"/>
      <c r="CQ49493" s="111"/>
      <c r="EF49493"/>
      <c r="EG49493"/>
      <c r="EH49493"/>
      <c r="EI49493"/>
      <c r="EJ49493"/>
      <c r="EK49493"/>
    </row>
    <row r="49494" spans="1:141" s="116" customFormat="1">
      <c r="A49494" s="136"/>
      <c r="CM49494" s="111"/>
      <c r="CQ49494" s="111"/>
      <c r="EF49494"/>
      <c r="EG49494"/>
      <c r="EH49494"/>
      <c r="EI49494"/>
      <c r="EJ49494"/>
      <c r="EK49494"/>
    </row>
    <row r="49495" spans="1:141" s="116" customFormat="1">
      <c r="A49495" s="136"/>
      <c r="CM49495" s="111"/>
      <c r="CQ49495" s="111"/>
      <c r="EF49495"/>
      <c r="EG49495"/>
      <c r="EH49495"/>
      <c r="EI49495"/>
      <c r="EJ49495"/>
      <c r="EK49495"/>
    </row>
    <row r="49496" spans="1:141" s="116" customFormat="1">
      <c r="A49496" s="136"/>
      <c r="CM49496" s="111"/>
      <c r="CQ49496" s="111"/>
      <c r="EF49496"/>
      <c r="EG49496"/>
      <c r="EH49496"/>
      <c r="EI49496"/>
      <c r="EJ49496"/>
      <c r="EK49496"/>
    </row>
    <row r="49497" spans="1:141" s="116" customFormat="1">
      <c r="A49497" s="136"/>
      <c r="CM49497" s="111"/>
      <c r="CQ49497" s="111"/>
      <c r="EF49497"/>
      <c r="EG49497"/>
      <c r="EH49497"/>
      <c r="EI49497"/>
      <c r="EJ49497"/>
      <c r="EK49497"/>
    </row>
    <row r="49498" spans="1:141" s="116" customFormat="1">
      <c r="A49498" s="136"/>
      <c r="CM49498" s="111"/>
      <c r="CQ49498" s="111"/>
      <c r="EF49498"/>
      <c r="EG49498"/>
      <c r="EH49498"/>
      <c r="EI49498"/>
      <c r="EJ49498"/>
      <c r="EK49498"/>
    </row>
    <row r="49499" spans="1:141" s="116" customFormat="1">
      <c r="A49499" s="136"/>
      <c r="CM49499" s="111"/>
      <c r="CQ49499" s="111"/>
      <c r="EF49499"/>
      <c r="EG49499"/>
      <c r="EH49499"/>
      <c r="EI49499"/>
      <c r="EJ49499"/>
      <c r="EK49499"/>
    </row>
    <row r="49500" spans="1:141" s="116" customFormat="1">
      <c r="A49500" s="136"/>
      <c r="CM49500" s="111"/>
      <c r="CQ49500" s="111"/>
      <c r="EF49500"/>
      <c r="EG49500"/>
      <c r="EH49500"/>
      <c r="EI49500"/>
      <c r="EJ49500"/>
      <c r="EK49500"/>
    </row>
    <row r="49501" spans="1:141" s="116" customFormat="1">
      <c r="A49501" s="136"/>
      <c r="CM49501" s="111"/>
      <c r="CQ49501" s="111"/>
      <c r="EF49501"/>
      <c r="EG49501"/>
      <c r="EH49501"/>
      <c r="EI49501"/>
      <c r="EJ49501"/>
      <c r="EK49501"/>
    </row>
    <row r="49502" spans="1:141" s="116" customFormat="1">
      <c r="A49502" s="136"/>
      <c r="CM49502" s="111"/>
      <c r="CQ49502" s="111"/>
      <c r="EF49502"/>
      <c r="EG49502"/>
      <c r="EH49502"/>
      <c r="EI49502"/>
      <c r="EJ49502"/>
      <c r="EK49502"/>
    </row>
    <row r="49503" spans="1:141" s="116" customFormat="1">
      <c r="A49503" s="136"/>
      <c r="CM49503" s="111"/>
      <c r="CQ49503" s="111"/>
      <c r="EF49503"/>
      <c r="EG49503"/>
      <c r="EH49503"/>
      <c r="EI49503"/>
      <c r="EJ49503"/>
      <c r="EK49503"/>
    </row>
    <row r="49504" spans="1:141" s="116" customFormat="1">
      <c r="A49504" s="136"/>
      <c r="CM49504" s="111"/>
      <c r="CQ49504" s="111"/>
      <c r="EF49504"/>
      <c r="EG49504"/>
      <c r="EH49504"/>
      <c r="EI49504"/>
      <c r="EJ49504"/>
      <c r="EK49504"/>
    </row>
    <row r="49505" spans="1:141" s="116" customFormat="1">
      <c r="A49505" s="136"/>
      <c r="CM49505" s="111"/>
      <c r="CQ49505" s="111"/>
      <c r="EF49505"/>
      <c r="EG49505"/>
      <c r="EH49505"/>
      <c r="EI49505"/>
      <c r="EJ49505"/>
      <c r="EK49505"/>
    </row>
    <row r="49506" spans="1:141" s="116" customFormat="1">
      <c r="A49506" s="136"/>
      <c r="CM49506" s="111"/>
      <c r="CQ49506" s="111"/>
      <c r="EF49506"/>
      <c r="EG49506"/>
      <c r="EH49506"/>
      <c r="EI49506"/>
      <c r="EJ49506"/>
      <c r="EK49506"/>
    </row>
    <row r="49507" spans="1:141" s="116" customFormat="1">
      <c r="A49507" s="136"/>
      <c r="CM49507" s="111"/>
      <c r="CQ49507" s="111"/>
      <c r="EF49507"/>
      <c r="EG49507"/>
      <c r="EH49507"/>
      <c r="EI49507"/>
      <c r="EJ49507"/>
      <c r="EK49507"/>
    </row>
    <row r="49508" spans="1:141" s="116" customFormat="1">
      <c r="A49508" s="136"/>
      <c r="CM49508" s="111"/>
      <c r="CQ49508" s="111"/>
      <c r="EF49508"/>
      <c r="EG49508"/>
      <c r="EH49508"/>
      <c r="EI49508"/>
      <c r="EJ49508"/>
      <c r="EK49508"/>
    </row>
    <row r="49509" spans="1:141" s="116" customFormat="1">
      <c r="A49509" s="136"/>
      <c r="CM49509" s="111"/>
      <c r="CQ49509" s="111"/>
      <c r="EF49509"/>
      <c r="EG49509"/>
      <c r="EH49509"/>
      <c r="EI49509"/>
      <c r="EJ49509"/>
      <c r="EK49509"/>
    </row>
    <row r="49510" spans="1:141" s="116" customFormat="1">
      <c r="A49510" s="136"/>
      <c r="CM49510" s="111"/>
      <c r="CQ49510" s="111"/>
      <c r="EF49510"/>
      <c r="EG49510"/>
      <c r="EH49510"/>
      <c r="EI49510"/>
      <c r="EJ49510"/>
      <c r="EK49510"/>
    </row>
    <row r="49511" spans="1:141" s="116" customFormat="1">
      <c r="A49511" s="136"/>
      <c r="CM49511" s="111"/>
      <c r="CQ49511" s="111"/>
      <c r="EF49511"/>
      <c r="EG49511"/>
      <c r="EH49511"/>
      <c r="EI49511"/>
      <c r="EJ49511"/>
      <c r="EK49511"/>
    </row>
    <row r="49512" spans="1:141" s="116" customFormat="1">
      <c r="A49512" s="136"/>
      <c r="CM49512" s="111"/>
      <c r="CQ49512" s="111"/>
      <c r="EF49512"/>
      <c r="EG49512"/>
      <c r="EH49512"/>
      <c r="EI49512"/>
      <c r="EJ49512"/>
      <c r="EK49512"/>
    </row>
    <row r="49513" spans="1:141" s="116" customFormat="1">
      <c r="A49513" s="136"/>
      <c r="CM49513" s="111"/>
      <c r="CQ49513" s="111"/>
      <c r="EF49513"/>
      <c r="EG49513"/>
      <c r="EH49513"/>
      <c r="EI49513"/>
      <c r="EJ49513"/>
      <c r="EK49513"/>
    </row>
    <row r="49514" spans="1:141" s="116" customFormat="1">
      <c r="A49514" s="136"/>
      <c r="CM49514" s="111"/>
      <c r="CQ49514" s="111"/>
      <c r="EF49514"/>
      <c r="EG49514"/>
      <c r="EH49514"/>
      <c r="EI49514"/>
      <c r="EJ49514"/>
      <c r="EK49514"/>
    </row>
    <row r="49515" spans="1:141" s="116" customFormat="1">
      <c r="A49515" s="136"/>
      <c r="CM49515" s="111"/>
      <c r="CQ49515" s="111"/>
      <c r="EF49515"/>
      <c r="EG49515"/>
      <c r="EH49515"/>
      <c r="EI49515"/>
      <c r="EJ49515"/>
      <c r="EK49515"/>
    </row>
    <row r="49516" spans="1:141" s="116" customFormat="1">
      <c r="A49516" s="136"/>
      <c r="CM49516" s="111"/>
      <c r="CQ49516" s="111"/>
      <c r="EF49516"/>
      <c r="EG49516"/>
      <c r="EH49516"/>
      <c r="EI49516"/>
      <c r="EJ49516"/>
      <c r="EK49516"/>
    </row>
    <row r="49517" spans="1:141" s="116" customFormat="1">
      <c r="A49517" s="136"/>
      <c r="CM49517" s="111"/>
      <c r="CQ49517" s="111"/>
      <c r="EF49517"/>
      <c r="EG49517"/>
      <c r="EH49517"/>
      <c r="EI49517"/>
      <c r="EJ49517"/>
      <c r="EK49517"/>
    </row>
    <row r="49518" spans="1:141" s="116" customFormat="1">
      <c r="A49518" s="136"/>
      <c r="CM49518" s="111"/>
      <c r="CQ49518" s="111"/>
      <c r="EF49518"/>
      <c r="EG49518"/>
      <c r="EH49518"/>
      <c r="EI49518"/>
      <c r="EJ49518"/>
      <c r="EK49518"/>
    </row>
    <row r="49519" spans="1:141" s="116" customFormat="1">
      <c r="A49519" s="136"/>
      <c r="CM49519" s="111"/>
      <c r="CQ49519" s="111"/>
      <c r="EF49519"/>
      <c r="EG49519"/>
      <c r="EH49519"/>
      <c r="EI49519"/>
      <c r="EJ49519"/>
      <c r="EK49519"/>
    </row>
    <row r="49520" spans="1:141" s="116" customFormat="1">
      <c r="A49520" s="136"/>
      <c r="CM49520" s="111"/>
      <c r="CQ49520" s="111"/>
      <c r="EF49520"/>
      <c r="EG49520"/>
      <c r="EH49520"/>
      <c r="EI49520"/>
      <c r="EJ49520"/>
      <c r="EK49520"/>
    </row>
    <row r="49521" spans="1:141" s="116" customFormat="1">
      <c r="A49521" s="136"/>
      <c r="CM49521" s="111"/>
      <c r="CQ49521" s="111"/>
      <c r="EF49521"/>
      <c r="EG49521"/>
      <c r="EH49521"/>
      <c r="EI49521"/>
      <c r="EJ49521"/>
      <c r="EK49521"/>
    </row>
    <row r="49522" spans="1:141" s="116" customFormat="1">
      <c r="A49522" s="136"/>
      <c r="CM49522" s="111"/>
      <c r="CQ49522" s="111"/>
      <c r="EF49522"/>
      <c r="EG49522"/>
      <c r="EH49522"/>
      <c r="EI49522"/>
      <c r="EJ49522"/>
      <c r="EK49522"/>
    </row>
    <row r="49523" spans="1:141" s="116" customFormat="1">
      <c r="A49523" s="136"/>
      <c r="CM49523" s="111"/>
      <c r="CQ49523" s="111"/>
      <c r="EF49523"/>
      <c r="EG49523"/>
      <c r="EH49523"/>
      <c r="EI49523"/>
      <c r="EJ49523"/>
      <c r="EK49523"/>
    </row>
    <row r="49524" spans="1:141" s="116" customFormat="1">
      <c r="A49524" s="136"/>
      <c r="CM49524" s="111"/>
      <c r="CQ49524" s="111"/>
      <c r="EF49524"/>
      <c r="EG49524"/>
      <c r="EH49524"/>
      <c r="EI49524"/>
      <c r="EJ49524"/>
      <c r="EK49524"/>
    </row>
    <row r="49525" spans="1:141" s="116" customFormat="1">
      <c r="A49525" s="136"/>
      <c r="CM49525" s="111"/>
      <c r="CQ49525" s="111"/>
      <c r="EF49525"/>
      <c r="EG49525"/>
      <c r="EH49525"/>
      <c r="EI49525"/>
      <c r="EJ49525"/>
      <c r="EK49525"/>
    </row>
    <row r="49526" spans="1:141" s="116" customFormat="1">
      <c r="A49526" s="136"/>
      <c r="CM49526" s="111"/>
      <c r="CQ49526" s="111"/>
      <c r="EF49526"/>
      <c r="EG49526"/>
      <c r="EH49526"/>
      <c r="EI49526"/>
      <c r="EJ49526"/>
      <c r="EK49526"/>
    </row>
    <row r="49527" spans="1:141" s="116" customFormat="1">
      <c r="A49527" s="136"/>
      <c r="CM49527" s="111"/>
      <c r="CQ49527" s="111"/>
      <c r="EF49527"/>
      <c r="EG49527"/>
      <c r="EH49527"/>
      <c r="EI49527"/>
      <c r="EJ49527"/>
      <c r="EK49527"/>
    </row>
    <row r="49528" spans="1:141" s="116" customFormat="1">
      <c r="A49528" s="136"/>
      <c r="CM49528" s="111"/>
      <c r="CQ49528" s="111"/>
      <c r="EF49528"/>
      <c r="EG49528"/>
      <c r="EH49528"/>
      <c r="EI49528"/>
      <c r="EJ49528"/>
      <c r="EK49528"/>
    </row>
    <row r="49529" spans="1:141" s="116" customFormat="1">
      <c r="A49529" s="136"/>
      <c r="CM49529" s="111"/>
      <c r="CQ49529" s="111"/>
      <c r="EF49529"/>
      <c r="EG49529"/>
      <c r="EH49529"/>
      <c r="EI49529"/>
      <c r="EJ49529"/>
      <c r="EK49529"/>
    </row>
    <row r="49530" spans="1:141" s="116" customFormat="1">
      <c r="A49530" s="136"/>
      <c r="CM49530" s="111"/>
      <c r="CQ49530" s="111"/>
      <c r="EF49530"/>
      <c r="EG49530"/>
      <c r="EH49530"/>
      <c r="EI49530"/>
      <c r="EJ49530"/>
      <c r="EK49530"/>
    </row>
    <row r="49531" spans="1:141" s="116" customFormat="1">
      <c r="A49531" s="136"/>
      <c r="CM49531" s="111"/>
      <c r="CQ49531" s="111"/>
      <c r="EF49531"/>
      <c r="EG49531"/>
      <c r="EH49531"/>
      <c r="EI49531"/>
      <c r="EJ49531"/>
      <c r="EK49531"/>
    </row>
    <row r="49532" spans="1:141" s="116" customFormat="1">
      <c r="A49532" s="136"/>
      <c r="CM49532" s="111"/>
      <c r="CQ49532" s="111"/>
      <c r="EF49532"/>
      <c r="EG49532"/>
      <c r="EH49532"/>
      <c r="EI49532"/>
      <c r="EJ49532"/>
      <c r="EK49532"/>
    </row>
    <row r="49533" spans="1:141" s="116" customFormat="1">
      <c r="A49533" s="136"/>
      <c r="CM49533" s="111"/>
      <c r="CQ49533" s="111"/>
      <c r="EF49533"/>
      <c r="EG49533"/>
      <c r="EH49533"/>
      <c r="EI49533"/>
      <c r="EJ49533"/>
      <c r="EK49533"/>
    </row>
    <row r="49534" spans="1:141" s="116" customFormat="1">
      <c r="A49534" s="136"/>
      <c r="CM49534" s="111"/>
      <c r="CQ49534" s="111"/>
      <c r="EF49534"/>
      <c r="EG49534"/>
      <c r="EH49534"/>
      <c r="EI49534"/>
      <c r="EJ49534"/>
      <c r="EK49534"/>
    </row>
    <row r="49535" spans="1:141" s="116" customFormat="1">
      <c r="A49535" s="136"/>
      <c r="CM49535" s="111"/>
      <c r="CQ49535" s="111"/>
      <c r="EF49535"/>
      <c r="EG49535"/>
      <c r="EH49535"/>
      <c r="EI49535"/>
      <c r="EJ49535"/>
      <c r="EK49535"/>
    </row>
    <row r="49536" spans="1:141" s="116" customFormat="1">
      <c r="A49536" s="136"/>
      <c r="CM49536" s="111"/>
      <c r="CQ49536" s="111"/>
      <c r="EF49536"/>
      <c r="EG49536"/>
      <c r="EH49536"/>
      <c r="EI49536"/>
      <c r="EJ49536"/>
      <c r="EK49536"/>
    </row>
    <row r="49537" spans="1:141" s="116" customFormat="1">
      <c r="A49537" s="136"/>
      <c r="CM49537" s="111"/>
      <c r="CQ49537" s="111"/>
      <c r="EF49537"/>
      <c r="EG49537"/>
      <c r="EH49537"/>
      <c r="EI49537"/>
      <c r="EJ49537"/>
      <c r="EK49537"/>
    </row>
    <row r="49538" spans="1:141" s="116" customFormat="1">
      <c r="A49538" s="136"/>
      <c r="CM49538" s="111"/>
      <c r="CQ49538" s="111"/>
      <c r="EF49538"/>
      <c r="EG49538"/>
      <c r="EH49538"/>
      <c r="EI49538"/>
      <c r="EJ49538"/>
      <c r="EK49538"/>
    </row>
    <row r="49539" spans="1:141" s="116" customFormat="1">
      <c r="A49539" s="136"/>
      <c r="CM49539" s="111"/>
      <c r="CQ49539" s="111"/>
      <c r="EF49539"/>
      <c r="EG49539"/>
      <c r="EH49539"/>
      <c r="EI49539"/>
      <c r="EJ49539"/>
      <c r="EK49539"/>
    </row>
    <row r="49540" spans="1:141" s="116" customFormat="1">
      <c r="A49540" s="136"/>
      <c r="CM49540" s="111"/>
      <c r="CQ49540" s="111"/>
      <c r="EF49540"/>
      <c r="EG49540"/>
      <c r="EH49540"/>
      <c r="EI49540"/>
      <c r="EJ49540"/>
      <c r="EK49540"/>
    </row>
    <row r="49541" spans="1:141" s="116" customFormat="1">
      <c r="A49541" s="136"/>
      <c r="CM49541" s="111"/>
      <c r="CQ49541" s="111"/>
      <c r="EF49541"/>
      <c r="EG49541"/>
      <c r="EH49541"/>
      <c r="EI49541"/>
      <c r="EJ49541"/>
      <c r="EK49541"/>
    </row>
    <row r="49542" spans="1:141" s="116" customFormat="1">
      <c r="A49542" s="136"/>
      <c r="CM49542" s="111"/>
      <c r="CQ49542" s="111"/>
      <c r="EF49542"/>
      <c r="EG49542"/>
      <c r="EH49542"/>
      <c r="EI49542"/>
      <c r="EJ49542"/>
      <c r="EK49542"/>
    </row>
    <row r="49543" spans="1:141" s="116" customFormat="1">
      <c r="A49543" s="136"/>
      <c r="CM49543" s="111"/>
      <c r="CQ49543" s="111"/>
      <c r="EF49543"/>
      <c r="EG49543"/>
      <c r="EH49543"/>
      <c r="EI49543"/>
      <c r="EJ49543"/>
      <c r="EK49543"/>
    </row>
    <row r="49544" spans="1:141" s="116" customFormat="1">
      <c r="A49544" s="136"/>
      <c r="CM49544" s="111"/>
      <c r="CQ49544" s="111"/>
      <c r="EF49544"/>
      <c r="EG49544"/>
      <c r="EH49544"/>
      <c r="EI49544"/>
      <c r="EJ49544"/>
      <c r="EK49544"/>
    </row>
    <row r="49545" spans="1:141" s="116" customFormat="1">
      <c r="A49545" s="136"/>
      <c r="CM49545" s="111"/>
      <c r="CQ49545" s="111"/>
      <c r="EF49545"/>
      <c r="EG49545"/>
      <c r="EH49545"/>
      <c r="EI49545"/>
      <c r="EJ49545"/>
      <c r="EK49545"/>
    </row>
    <row r="49546" spans="1:141" s="116" customFormat="1">
      <c r="A49546" s="136"/>
      <c r="CM49546" s="111"/>
      <c r="CQ49546" s="111"/>
      <c r="EF49546"/>
      <c r="EG49546"/>
      <c r="EH49546"/>
      <c r="EI49546"/>
      <c r="EJ49546"/>
      <c r="EK49546"/>
    </row>
    <row r="49547" spans="1:141" s="116" customFormat="1">
      <c r="A49547" s="136"/>
      <c r="CM49547" s="111"/>
      <c r="CQ49547" s="111"/>
      <c r="EF49547"/>
      <c r="EG49547"/>
      <c r="EH49547"/>
      <c r="EI49547"/>
      <c r="EJ49547"/>
      <c r="EK49547"/>
    </row>
    <row r="49548" spans="1:141" s="116" customFormat="1">
      <c r="A49548" s="136"/>
      <c r="CM49548" s="111"/>
      <c r="CQ49548" s="111"/>
      <c r="EF49548"/>
      <c r="EG49548"/>
      <c r="EH49548"/>
      <c r="EI49548"/>
      <c r="EJ49548"/>
      <c r="EK49548"/>
    </row>
    <row r="49549" spans="1:141" s="116" customFormat="1">
      <c r="A49549" s="136"/>
      <c r="CM49549" s="111"/>
      <c r="CQ49549" s="111"/>
      <c r="EF49549"/>
      <c r="EG49549"/>
      <c r="EH49549"/>
      <c r="EI49549"/>
      <c r="EJ49549"/>
      <c r="EK49549"/>
    </row>
    <row r="49550" spans="1:141" s="116" customFormat="1">
      <c r="A49550" s="136"/>
      <c r="CM49550" s="111"/>
      <c r="CQ49550" s="111"/>
      <c r="EF49550"/>
      <c r="EG49550"/>
      <c r="EH49550"/>
      <c r="EI49550"/>
      <c r="EJ49550"/>
      <c r="EK49550"/>
    </row>
    <row r="49551" spans="1:141" s="116" customFormat="1">
      <c r="A49551" s="136"/>
      <c r="CM49551" s="111"/>
      <c r="CQ49551" s="111"/>
      <c r="EF49551"/>
      <c r="EG49551"/>
      <c r="EH49551"/>
      <c r="EI49551"/>
      <c r="EJ49551"/>
      <c r="EK49551"/>
    </row>
    <row r="49552" spans="1:141" s="116" customFormat="1">
      <c r="A49552" s="136"/>
      <c r="CM49552" s="111"/>
      <c r="CQ49552" s="111"/>
      <c r="EF49552"/>
      <c r="EG49552"/>
      <c r="EH49552"/>
      <c r="EI49552"/>
      <c r="EJ49552"/>
      <c r="EK49552"/>
    </row>
    <row r="49553" spans="1:141" s="116" customFormat="1">
      <c r="A49553" s="136"/>
      <c r="CM49553" s="111"/>
      <c r="CQ49553" s="111"/>
      <c r="EF49553"/>
      <c r="EG49553"/>
      <c r="EH49553"/>
      <c r="EI49553"/>
      <c r="EJ49553"/>
      <c r="EK49553"/>
    </row>
    <row r="49554" spans="1:141" s="116" customFormat="1">
      <c r="A49554" s="136"/>
      <c r="CM49554" s="111"/>
      <c r="CQ49554" s="111"/>
      <c r="EF49554"/>
      <c r="EG49554"/>
      <c r="EH49554"/>
      <c r="EI49554"/>
      <c r="EJ49554"/>
      <c r="EK49554"/>
    </row>
    <row r="49555" spans="1:141" s="116" customFormat="1">
      <c r="A49555" s="136"/>
      <c r="CM49555" s="111"/>
      <c r="CQ49555" s="111"/>
      <c r="EF49555"/>
      <c r="EG49555"/>
      <c r="EH49555"/>
      <c r="EI49555"/>
      <c r="EJ49555"/>
      <c r="EK49555"/>
    </row>
    <row r="49556" spans="1:141" s="116" customFormat="1">
      <c r="A49556" s="136"/>
      <c r="CM49556" s="111"/>
      <c r="CQ49556" s="111"/>
      <c r="EF49556"/>
      <c r="EG49556"/>
      <c r="EH49556"/>
      <c r="EI49556"/>
      <c r="EJ49556"/>
      <c r="EK49556"/>
    </row>
    <row r="49557" spans="1:141" s="116" customFormat="1">
      <c r="A49557" s="136"/>
      <c r="CM49557" s="111"/>
      <c r="CQ49557" s="111"/>
      <c r="EF49557"/>
      <c r="EG49557"/>
      <c r="EH49557"/>
      <c r="EI49557"/>
      <c r="EJ49557"/>
      <c r="EK49557"/>
    </row>
    <row r="49558" spans="1:141" s="116" customFormat="1">
      <c r="A49558" s="136"/>
      <c r="CM49558" s="111"/>
      <c r="CQ49558" s="111"/>
      <c r="EF49558"/>
      <c r="EG49558"/>
      <c r="EH49558"/>
      <c r="EI49558"/>
      <c r="EJ49558"/>
      <c r="EK49558"/>
    </row>
    <row r="49559" spans="1:141" s="116" customFormat="1">
      <c r="A49559" s="136"/>
      <c r="CM49559" s="111"/>
      <c r="CQ49559" s="111"/>
      <c r="EF49559"/>
      <c r="EG49559"/>
      <c r="EH49559"/>
      <c r="EI49559"/>
      <c r="EJ49559"/>
      <c r="EK49559"/>
    </row>
    <row r="49560" spans="1:141" s="116" customFormat="1">
      <c r="A49560" s="136"/>
      <c r="CM49560" s="111"/>
      <c r="CQ49560" s="111"/>
      <c r="EF49560"/>
      <c r="EG49560"/>
      <c r="EH49560"/>
      <c r="EI49560"/>
      <c r="EJ49560"/>
      <c r="EK49560"/>
    </row>
    <row r="49561" spans="1:141" s="116" customFormat="1">
      <c r="A49561" s="136"/>
      <c r="CM49561" s="111"/>
      <c r="CQ49561" s="111"/>
      <c r="EF49561"/>
      <c r="EG49561"/>
      <c r="EH49561"/>
      <c r="EI49561"/>
      <c r="EJ49561"/>
      <c r="EK49561"/>
    </row>
    <row r="49562" spans="1:141" s="116" customFormat="1">
      <c r="A49562" s="136"/>
      <c r="CM49562" s="111"/>
      <c r="CQ49562" s="111"/>
      <c r="EF49562"/>
      <c r="EG49562"/>
      <c r="EH49562"/>
      <c r="EI49562"/>
      <c r="EJ49562"/>
      <c r="EK49562"/>
    </row>
    <row r="49563" spans="1:141" s="116" customFormat="1">
      <c r="A49563" s="136"/>
      <c r="CM49563" s="111"/>
      <c r="CQ49563" s="111"/>
      <c r="EF49563"/>
      <c r="EG49563"/>
      <c r="EH49563"/>
      <c r="EI49563"/>
      <c r="EJ49563"/>
      <c r="EK49563"/>
    </row>
    <row r="49564" spans="1:141" s="116" customFormat="1">
      <c r="A49564" s="136"/>
      <c r="CM49564" s="111"/>
      <c r="CQ49564" s="111"/>
      <c r="EF49564"/>
      <c r="EG49564"/>
      <c r="EH49564"/>
      <c r="EI49564"/>
      <c r="EJ49564"/>
      <c r="EK49564"/>
    </row>
    <row r="49565" spans="1:141" s="116" customFormat="1">
      <c r="A49565" s="136"/>
      <c r="CM49565" s="111"/>
      <c r="CQ49565" s="111"/>
      <c r="EF49565"/>
      <c r="EG49565"/>
      <c r="EH49565"/>
      <c r="EI49565"/>
      <c r="EJ49565"/>
      <c r="EK49565"/>
    </row>
    <row r="49566" spans="1:141" s="116" customFormat="1">
      <c r="A49566" s="136"/>
      <c r="CM49566" s="111"/>
      <c r="CQ49566" s="111"/>
      <c r="EF49566"/>
      <c r="EG49566"/>
      <c r="EH49566"/>
      <c r="EI49566"/>
      <c r="EJ49566"/>
      <c r="EK49566"/>
    </row>
    <row r="49567" spans="1:141" s="116" customFormat="1">
      <c r="A49567" s="136"/>
      <c r="CM49567" s="111"/>
      <c r="CQ49567" s="111"/>
      <c r="EF49567"/>
      <c r="EG49567"/>
      <c r="EH49567"/>
      <c r="EI49567"/>
      <c r="EJ49567"/>
      <c r="EK49567"/>
    </row>
    <row r="49568" spans="1:141" s="116" customFormat="1">
      <c r="A49568" s="136"/>
      <c r="CM49568" s="111"/>
      <c r="CQ49568" s="111"/>
      <c r="EF49568"/>
      <c r="EG49568"/>
      <c r="EH49568"/>
      <c r="EI49568"/>
      <c r="EJ49568"/>
      <c r="EK49568"/>
    </row>
    <row r="49569" spans="1:141" s="116" customFormat="1">
      <c r="A49569" s="136"/>
      <c r="CM49569" s="111"/>
      <c r="CQ49569" s="111"/>
      <c r="EF49569"/>
      <c r="EG49569"/>
      <c r="EH49569"/>
      <c r="EI49569"/>
      <c r="EJ49569"/>
      <c r="EK49569"/>
    </row>
    <row r="49570" spans="1:141" s="116" customFormat="1">
      <c r="A49570" s="136"/>
      <c r="CM49570" s="111"/>
      <c r="CQ49570" s="111"/>
      <c r="EF49570"/>
      <c r="EG49570"/>
      <c r="EH49570"/>
      <c r="EI49570"/>
      <c r="EJ49570"/>
      <c r="EK49570"/>
    </row>
    <row r="49571" spans="1:141" s="116" customFormat="1">
      <c r="A49571" s="136"/>
      <c r="CM49571" s="111"/>
      <c r="CQ49571" s="111"/>
      <c r="EF49571"/>
      <c r="EG49571"/>
      <c r="EH49571"/>
      <c r="EI49571"/>
      <c r="EJ49571"/>
      <c r="EK49571"/>
    </row>
    <row r="49572" spans="1:141" s="116" customFormat="1">
      <c r="A49572" s="136"/>
      <c r="CM49572" s="111"/>
      <c r="CQ49572" s="111"/>
      <c r="EF49572"/>
      <c r="EG49572"/>
      <c r="EH49572"/>
      <c r="EI49572"/>
      <c r="EJ49572"/>
      <c r="EK49572"/>
    </row>
    <row r="49573" spans="1:141" s="116" customFormat="1">
      <c r="A49573" s="136"/>
      <c r="CM49573" s="111"/>
      <c r="CQ49573" s="111"/>
      <c r="EF49573"/>
      <c r="EG49573"/>
      <c r="EH49573"/>
      <c r="EI49573"/>
      <c r="EJ49573"/>
      <c r="EK49573"/>
    </row>
    <row r="49574" spans="1:141" s="116" customFormat="1">
      <c r="A49574" s="136"/>
      <c r="CM49574" s="111"/>
      <c r="CQ49574" s="111"/>
      <c r="EF49574"/>
      <c r="EG49574"/>
      <c r="EH49574"/>
      <c r="EI49574"/>
      <c r="EJ49574"/>
      <c r="EK49574"/>
    </row>
    <row r="49575" spans="1:141" s="116" customFormat="1">
      <c r="A49575" s="136"/>
      <c r="CM49575" s="111"/>
      <c r="CQ49575" s="111"/>
      <c r="EF49575"/>
      <c r="EG49575"/>
      <c r="EH49575"/>
      <c r="EI49575"/>
      <c r="EJ49575"/>
      <c r="EK49575"/>
    </row>
    <row r="49576" spans="1:141" s="116" customFormat="1">
      <c r="A49576" s="136"/>
      <c r="CM49576" s="111"/>
      <c r="CQ49576" s="111"/>
      <c r="EF49576"/>
      <c r="EG49576"/>
      <c r="EH49576"/>
      <c r="EI49576"/>
      <c r="EJ49576"/>
      <c r="EK49576"/>
    </row>
    <row r="49577" spans="1:141" s="116" customFormat="1">
      <c r="A49577" s="136"/>
      <c r="CM49577" s="111"/>
      <c r="CQ49577" s="111"/>
      <c r="EF49577"/>
      <c r="EG49577"/>
      <c r="EH49577"/>
      <c r="EI49577"/>
      <c r="EJ49577"/>
      <c r="EK49577"/>
    </row>
    <row r="49578" spans="1:141" s="116" customFormat="1">
      <c r="A49578" s="136"/>
      <c r="CM49578" s="111"/>
      <c r="CQ49578" s="111"/>
      <c r="EF49578"/>
      <c r="EG49578"/>
      <c r="EH49578"/>
      <c r="EI49578"/>
      <c r="EJ49578"/>
      <c r="EK49578"/>
    </row>
    <row r="49579" spans="1:141" s="116" customFormat="1">
      <c r="A49579" s="136"/>
      <c r="CM49579" s="111"/>
      <c r="CQ49579" s="111"/>
      <c r="EF49579"/>
      <c r="EG49579"/>
      <c r="EH49579"/>
      <c r="EI49579"/>
      <c r="EJ49579"/>
      <c r="EK49579"/>
    </row>
    <row r="49580" spans="1:141" s="116" customFormat="1">
      <c r="A49580" s="136"/>
      <c r="CM49580" s="111"/>
      <c r="CQ49580" s="111"/>
      <c r="EF49580"/>
      <c r="EG49580"/>
      <c r="EH49580"/>
      <c r="EI49580"/>
      <c r="EJ49580"/>
      <c r="EK49580"/>
    </row>
    <row r="49581" spans="1:141" s="116" customFormat="1">
      <c r="A49581" s="136"/>
      <c r="CM49581" s="111"/>
      <c r="CQ49581" s="111"/>
      <c r="EF49581"/>
      <c r="EG49581"/>
      <c r="EH49581"/>
      <c r="EI49581"/>
      <c r="EJ49581"/>
      <c r="EK49581"/>
    </row>
    <row r="49582" spans="1:141" s="116" customFormat="1">
      <c r="A49582" s="136"/>
      <c r="CM49582" s="111"/>
      <c r="CQ49582" s="111"/>
      <c r="EF49582"/>
      <c r="EG49582"/>
      <c r="EH49582"/>
      <c r="EI49582"/>
      <c r="EJ49582"/>
      <c r="EK49582"/>
    </row>
    <row r="49583" spans="1:141" s="116" customFormat="1">
      <c r="A49583" s="136"/>
      <c r="CM49583" s="111"/>
      <c r="CQ49583" s="111"/>
      <c r="EF49583"/>
      <c r="EG49583"/>
      <c r="EH49583"/>
      <c r="EI49583"/>
      <c r="EJ49583"/>
      <c r="EK49583"/>
    </row>
    <row r="49584" spans="1:141" s="116" customFormat="1">
      <c r="A49584" s="136"/>
      <c r="CM49584" s="111"/>
      <c r="CQ49584" s="111"/>
      <c r="EF49584"/>
      <c r="EG49584"/>
      <c r="EH49584"/>
      <c r="EI49584"/>
      <c r="EJ49584"/>
      <c r="EK49584"/>
    </row>
    <row r="49585" spans="1:141" s="116" customFormat="1">
      <c r="A49585" s="136"/>
      <c r="CM49585" s="111"/>
      <c r="CQ49585" s="111"/>
      <c r="EF49585"/>
      <c r="EG49585"/>
      <c r="EH49585"/>
      <c r="EI49585"/>
      <c r="EJ49585"/>
      <c r="EK49585"/>
    </row>
    <row r="49586" spans="1:141" s="116" customFormat="1">
      <c r="A49586" s="136"/>
      <c r="CM49586" s="111"/>
      <c r="CQ49586" s="111"/>
      <c r="EF49586"/>
      <c r="EG49586"/>
      <c r="EH49586"/>
      <c r="EI49586"/>
      <c r="EJ49586"/>
      <c r="EK49586"/>
    </row>
    <row r="49587" spans="1:141" s="116" customFormat="1">
      <c r="A49587" s="136"/>
      <c r="CM49587" s="111"/>
      <c r="CQ49587" s="111"/>
      <c r="EF49587"/>
      <c r="EG49587"/>
      <c r="EH49587"/>
      <c r="EI49587"/>
      <c r="EJ49587"/>
      <c r="EK49587"/>
    </row>
    <row r="49588" spans="1:141" s="116" customFormat="1">
      <c r="A49588" s="136"/>
      <c r="CM49588" s="111"/>
      <c r="CQ49588" s="111"/>
      <c r="EF49588"/>
      <c r="EG49588"/>
      <c r="EH49588"/>
      <c r="EI49588"/>
      <c r="EJ49588"/>
      <c r="EK49588"/>
    </row>
    <row r="49589" spans="1:141" s="116" customFormat="1">
      <c r="A49589" s="136"/>
      <c r="CM49589" s="111"/>
      <c r="CQ49589" s="111"/>
      <c r="EF49589"/>
      <c r="EG49589"/>
      <c r="EH49589"/>
      <c r="EI49589"/>
      <c r="EJ49589"/>
      <c r="EK49589"/>
    </row>
    <row r="49590" spans="1:141" s="116" customFormat="1">
      <c r="A49590" s="136"/>
      <c r="CM49590" s="111"/>
      <c r="CQ49590" s="111"/>
      <c r="EF49590"/>
      <c r="EG49590"/>
      <c r="EH49590"/>
      <c r="EI49590"/>
      <c r="EJ49590"/>
      <c r="EK49590"/>
    </row>
    <row r="49591" spans="1:141" s="116" customFormat="1">
      <c r="A49591" s="136"/>
      <c r="CM49591" s="111"/>
      <c r="CQ49591" s="111"/>
      <c r="EF49591"/>
      <c r="EG49591"/>
      <c r="EH49591"/>
      <c r="EI49591"/>
      <c r="EJ49591"/>
      <c r="EK49591"/>
    </row>
    <row r="49592" spans="1:141" s="116" customFormat="1">
      <c r="A49592" s="136"/>
      <c r="CM49592" s="111"/>
      <c r="CQ49592" s="111"/>
      <c r="EF49592"/>
      <c r="EG49592"/>
      <c r="EH49592"/>
      <c r="EI49592"/>
      <c r="EJ49592"/>
      <c r="EK49592"/>
    </row>
    <row r="49593" spans="1:141" s="116" customFormat="1">
      <c r="A49593" s="136"/>
      <c r="CM49593" s="111"/>
      <c r="CQ49593" s="111"/>
      <c r="EF49593"/>
      <c r="EG49593"/>
      <c r="EH49593"/>
      <c r="EI49593"/>
      <c r="EJ49593"/>
      <c r="EK49593"/>
    </row>
    <row r="49594" spans="1:141" s="116" customFormat="1">
      <c r="A49594" s="136"/>
      <c r="CM49594" s="111"/>
      <c r="CQ49594" s="111"/>
      <c r="EF49594"/>
      <c r="EG49594"/>
      <c r="EH49594"/>
      <c r="EI49594"/>
      <c r="EJ49594"/>
      <c r="EK49594"/>
    </row>
    <row r="49595" spans="1:141" s="116" customFormat="1">
      <c r="A49595" s="136"/>
      <c r="CM49595" s="111"/>
      <c r="CQ49595" s="111"/>
      <c r="EF49595"/>
      <c r="EG49595"/>
      <c r="EH49595"/>
      <c r="EI49595"/>
      <c r="EJ49595"/>
      <c r="EK49595"/>
    </row>
    <row r="49596" spans="1:141" s="116" customFormat="1">
      <c r="A49596" s="136"/>
      <c r="CM49596" s="111"/>
      <c r="CQ49596" s="111"/>
      <c r="EF49596"/>
      <c r="EG49596"/>
      <c r="EH49596"/>
      <c r="EI49596"/>
      <c r="EJ49596"/>
      <c r="EK49596"/>
    </row>
    <row r="49597" spans="1:141" s="116" customFormat="1">
      <c r="A49597" s="136"/>
      <c r="CM49597" s="111"/>
      <c r="CQ49597" s="111"/>
      <c r="EF49597"/>
      <c r="EG49597"/>
      <c r="EH49597"/>
      <c r="EI49597"/>
      <c r="EJ49597"/>
      <c r="EK49597"/>
    </row>
    <row r="49598" spans="1:141" s="116" customFormat="1">
      <c r="A49598" s="136"/>
      <c r="CM49598" s="111"/>
      <c r="CQ49598" s="111"/>
      <c r="EF49598"/>
      <c r="EG49598"/>
      <c r="EH49598"/>
      <c r="EI49598"/>
      <c r="EJ49598"/>
      <c r="EK49598"/>
    </row>
    <row r="49599" spans="1:141" s="116" customFormat="1">
      <c r="A49599" s="136"/>
      <c r="CM49599" s="111"/>
      <c r="CQ49599" s="111"/>
      <c r="EF49599"/>
      <c r="EG49599"/>
      <c r="EH49599"/>
      <c r="EI49599"/>
      <c r="EJ49599"/>
      <c r="EK49599"/>
    </row>
    <row r="49600" spans="1:141" s="116" customFormat="1">
      <c r="A49600" s="136"/>
      <c r="CM49600" s="111"/>
      <c r="CQ49600" s="111"/>
      <c r="EF49600"/>
      <c r="EG49600"/>
      <c r="EH49600"/>
      <c r="EI49600"/>
      <c r="EJ49600"/>
      <c r="EK49600"/>
    </row>
    <row r="49601" spans="1:141" s="116" customFormat="1">
      <c r="A49601" s="136"/>
      <c r="CM49601" s="111"/>
      <c r="CQ49601" s="111"/>
      <c r="EF49601"/>
      <c r="EG49601"/>
      <c r="EH49601"/>
      <c r="EI49601"/>
      <c r="EJ49601"/>
      <c r="EK49601"/>
    </row>
    <row r="49602" spans="1:141" s="116" customFormat="1">
      <c r="A49602" s="136"/>
      <c r="CM49602" s="111"/>
      <c r="CQ49602" s="111"/>
      <c r="EF49602"/>
      <c r="EG49602"/>
      <c r="EH49602"/>
      <c r="EI49602"/>
      <c r="EJ49602"/>
      <c r="EK49602"/>
    </row>
    <row r="49603" spans="1:141" s="116" customFormat="1">
      <c r="A49603" s="136"/>
      <c r="CM49603" s="111"/>
      <c r="CQ49603" s="111"/>
      <c r="EF49603"/>
      <c r="EG49603"/>
      <c r="EH49603"/>
      <c r="EI49603"/>
      <c r="EJ49603"/>
      <c r="EK49603"/>
    </row>
    <row r="49604" spans="1:141" s="116" customFormat="1">
      <c r="A49604" s="136"/>
      <c r="CM49604" s="111"/>
      <c r="CQ49604" s="111"/>
      <c r="EF49604"/>
      <c r="EG49604"/>
      <c r="EH49604"/>
      <c r="EI49604"/>
      <c r="EJ49604"/>
      <c r="EK49604"/>
    </row>
    <row r="49605" spans="1:141" s="116" customFormat="1">
      <c r="A49605" s="136"/>
      <c r="CM49605" s="111"/>
      <c r="CQ49605" s="111"/>
      <c r="EF49605"/>
      <c r="EG49605"/>
      <c r="EH49605"/>
      <c r="EI49605"/>
      <c r="EJ49605"/>
      <c r="EK49605"/>
    </row>
    <row r="49606" spans="1:141" s="116" customFormat="1">
      <c r="A49606" s="136"/>
      <c r="CM49606" s="111"/>
      <c r="CQ49606" s="111"/>
      <c r="EF49606"/>
      <c r="EG49606"/>
      <c r="EH49606"/>
      <c r="EI49606"/>
      <c r="EJ49606"/>
      <c r="EK49606"/>
    </row>
    <row r="49607" spans="1:141" s="116" customFormat="1">
      <c r="A49607" s="136"/>
      <c r="CM49607" s="111"/>
      <c r="CQ49607" s="111"/>
      <c r="EF49607"/>
      <c r="EG49607"/>
      <c r="EH49607"/>
      <c r="EI49607"/>
      <c r="EJ49607"/>
      <c r="EK49607"/>
    </row>
    <row r="49608" spans="1:141" s="116" customFormat="1">
      <c r="A49608" s="136"/>
      <c r="CM49608" s="111"/>
      <c r="CQ49608" s="111"/>
      <c r="EF49608"/>
      <c r="EG49608"/>
      <c r="EH49608"/>
      <c r="EI49608"/>
      <c r="EJ49608"/>
      <c r="EK49608"/>
    </row>
    <row r="49609" spans="1:141" s="116" customFormat="1">
      <c r="A49609" s="136"/>
      <c r="CM49609" s="111"/>
      <c r="CQ49609" s="111"/>
      <c r="EF49609"/>
      <c r="EG49609"/>
      <c r="EH49609"/>
      <c r="EI49609"/>
      <c r="EJ49609"/>
      <c r="EK49609"/>
    </row>
    <row r="49610" spans="1:141" s="116" customFormat="1">
      <c r="A49610" s="136"/>
      <c r="CM49610" s="111"/>
      <c r="CQ49610" s="111"/>
      <c r="EF49610"/>
      <c r="EG49610"/>
      <c r="EH49610"/>
      <c r="EI49610"/>
      <c r="EJ49610"/>
      <c r="EK49610"/>
    </row>
    <row r="49611" spans="1:141" s="116" customFormat="1">
      <c r="A49611" s="136"/>
      <c r="CM49611" s="111"/>
      <c r="CQ49611" s="111"/>
      <c r="EF49611"/>
      <c r="EG49611"/>
      <c r="EH49611"/>
      <c r="EI49611"/>
      <c r="EJ49611"/>
      <c r="EK49611"/>
    </row>
    <row r="49612" spans="1:141" s="116" customFormat="1">
      <c r="A49612" s="136"/>
      <c r="CM49612" s="111"/>
      <c r="CQ49612" s="111"/>
      <c r="EF49612"/>
      <c r="EG49612"/>
      <c r="EH49612"/>
      <c r="EI49612"/>
      <c r="EJ49612"/>
      <c r="EK49612"/>
    </row>
    <row r="49613" spans="1:141" s="116" customFormat="1">
      <c r="A49613" s="136"/>
      <c r="CM49613" s="111"/>
      <c r="CQ49613" s="111"/>
      <c r="EF49613"/>
      <c r="EG49613"/>
      <c r="EH49613"/>
      <c r="EI49613"/>
      <c r="EJ49613"/>
      <c r="EK49613"/>
    </row>
    <row r="49614" spans="1:141" s="116" customFormat="1">
      <c r="A49614" s="136"/>
      <c r="CM49614" s="111"/>
      <c r="CQ49614" s="111"/>
      <c r="EF49614"/>
      <c r="EG49614"/>
      <c r="EH49614"/>
      <c r="EI49614"/>
      <c r="EJ49614"/>
      <c r="EK49614"/>
    </row>
    <row r="49615" spans="1:141" s="116" customFormat="1">
      <c r="A49615" s="136"/>
      <c r="CM49615" s="111"/>
      <c r="CQ49615" s="111"/>
      <c r="EF49615"/>
      <c r="EG49615"/>
      <c r="EH49615"/>
      <c r="EI49615"/>
      <c r="EJ49615"/>
      <c r="EK49615"/>
    </row>
    <row r="49616" spans="1:141" s="116" customFormat="1">
      <c r="A49616" s="136"/>
      <c r="CM49616" s="111"/>
      <c r="CQ49616" s="111"/>
      <c r="EF49616"/>
      <c r="EG49616"/>
      <c r="EH49616"/>
      <c r="EI49616"/>
      <c r="EJ49616"/>
      <c r="EK49616"/>
    </row>
    <row r="49617" spans="1:141" s="116" customFormat="1">
      <c r="A49617" s="136"/>
      <c r="CM49617" s="111"/>
      <c r="CQ49617" s="111"/>
      <c r="EF49617"/>
      <c r="EG49617"/>
      <c r="EH49617"/>
      <c r="EI49617"/>
      <c r="EJ49617"/>
      <c r="EK49617"/>
    </row>
    <row r="49618" spans="1:141" s="116" customFormat="1">
      <c r="A49618" s="136"/>
      <c r="CM49618" s="111"/>
      <c r="CQ49618" s="111"/>
      <c r="EF49618"/>
      <c r="EG49618"/>
      <c r="EH49618"/>
      <c r="EI49618"/>
      <c r="EJ49618"/>
      <c r="EK49618"/>
    </row>
    <row r="49619" spans="1:141" s="116" customFormat="1">
      <c r="A49619" s="136"/>
      <c r="CM49619" s="111"/>
      <c r="CQ49619" s="111"/>
      <c r="EF49619"/>
      <c r="EG49619"/>
      <c r="EH49619"/>
      <c r="EI49619"/>
      <c r="EJ49619"/>
      <c r="EK49619"/>
    </row>
    <row r="49620" spans="1:141" s="116" customFormat="1">
      <c r="A49620" s="136"/>
      <c r="CM49620" s="111"/>
      <c r="CQ49620" s="111"/>
      <c r="EF49620"/>
      <c r="EG49620"/>
      <c r="EH49620"/>
      <c r="EI49620"/>
      <c r="EJ49620"/>
      <c r="EK49620"/>
    </row>
    <row r="49621" spans="1:141" s="116" customFormat="1">
      <c r="A49621" s="136"/>
      <c r="CM49621" s="111"/>
      <c r="CQ49621" s="111"/>
      <c r="EF49621"/>
      <c r="EG49621"/>
      <c r="EH49621"/>
      <c r="EI49621"/>
      <c r="EJ49621"/>
      <c r="EK49621"/>
    </row>
    <row r="49622" spans="1:141" s="116" customFormat="1">
      <c r="A49622" s="136"/>
      <c r="CM49622" s="111"/>
      <c r="CQ49622" s="111"/>
      <c r="EF49622"/>
      <c r="EG49622"/>
      <c r="EH49622"/>
      <c r="EI49622"/>
      <c r="EJ49622"/>
      <c r="EK49622"/>
    </row>
    <row r="49623" spans="1:141" s="116" customFormat="1">
      <c r="A49623" s="136"/>
      <c r="CM49623" s="111"/>
      <c r="CQ49623" s="111"/>
      <c r="EF49623"/>
      <c r="EG49623"/>
      <c r="EH49623"/>
      <c r="EI49623"/>
      <c r="EJ49623"/>
      <c r="EK49623"/>
    </row>
    <row r="49624" spans="1:141" s="116" customFormat="1">
      <c r="A49624" s="136"/>
      <c r="CM49624" s="111"/>
      <c r="CQ49624" s="111"/>
      <c r="EF49624"/>
      <c r="EG49624"/>
      <c r="EH49624"/>
      <c r="EI49624"/>
      <c r="EJ49624"/>
      <c r="EK49624"/>
    </row>
    <row r="49625" spans="1:141" s="116" customFormat="1">
      <c r="A49625" s="136"/>
      <c r="CM49625" s="111"/>
      <c r="CQ49625" s="111"/>
      <c r="EF49625"/>
      <c r="EG49625"/>
      <c r="EH49625"/>
      <c r="EI49625"/>
      <c r="EJ49625"/>
      <c r="EK49625"/>
    </row>
    <row r="49626" spans="1:141" s="116" customFormat="1">
      <c r="A49626" s="136"/>
      <c r="CM49626" s="111"/>
      <c r="CQ49626" s="111"/>
      <c r="EF49626"/>
      <c r="EG49626"/>
      <c r="EH49626"/>
      <c r="EI49626"/>
      <c r="EJ49626"/>
      <c r="EK49626"/>
    </row>
    <row r="49627" spans="1:141" s="116" customFormat="1">
      <c r="A49627" s="136"/>
      <c r="CM49627" s="111"/>
      <c r="CQ49627" s="111"/>
      <c r="EF49627"/>
      <c r="EG49627"/>
      <c r="EH49627"/>
      <c r="EI49627"/>
      <c r="EJ49627"/>
      <c r="EK49627"/>
    </row>
    <row r="49628" spans="1:141" s="116" customFormat="1">
      <c r="A49628" s="136"/>
      <c r="CM49628" s="111"/>
      <c r="CQ49628" s="111"/>
      <c r="EF49628"/>
      <c r="EG49628"/>
      <c r="EH49628"/>
      <c r="EI49628"/>
      <c r="EJ49628"/>
      <c r="EK49628"/>
    </row>
    <row r="49629" spans="1:141" s="116" customFormat="1">
      <c r="A49629" s="136"/>
      <c r="CM49629" s="111"/>
      <c r="CQ49629" s="111"/>
      <c r="EF49629"/>
      <c r="EG49629"/>
      <c r="EH49629"/>
      <c r="EI49629"/>
      <c r="EJ49629"/>
      <c r="EK49629"/>
    </row>
    <row r="49630" spans="1:141" s="116" customFormat="1">
      <c r="A49630" s="136"/>
      <c r="CM49630" s="111"/>
      <c r="CQ49630" s="111"/>
      <c r="EF49630"/>
      <c r="EG49630"/>
      <c r="EH49630"/>
      <c r="EI49630"/>
      <c r="EJ49630"/>
      <c r="EK49630"/>
    </row>
    <row r="49631" spans="1:141" s="116" customFormat="1">
      <c r="A49631" s="136"/>
      <c r="CM49631" s="111"/>
      <c r="CQ49631" s="111"/>
      <c r="EF49631"/>
      <c r="EG49631"/>
      <c r="EH49631"/>
      <c r="EI49631"/>
      <c r="EJ49631"/>
      <c r="EK49631"/>
    </row>
    <row r="49632" spans="1:141" s="116" customFormat="1">
      <c r="A49632" s="136"/>
      <c r="CM49632" s="111"/>
      <c r="CQ49632" s="111"/>
      <c r="EF49632"/>
      <c r="EG49632"/>
      <c r="EH49632"/>
      <c r="EI49632"/>
      <c r="EJ49632"/>
      <c r="EK49632"/>
    </row>
    <row r="49633" spans="1:141" s="116" customFormat="1">
      <c r="A49633" s="136"/>
      <c r="CM49633" s="111"/>
      <c r="CQ49633" s="111"/>
      <c r="EF49633"/>
      <c r="EG49633"/>
      <c r="EH49633"/>
      <c r="EI49633"/>
      <c r="EJ49633"/>
      <c r="EK49633"/>
    </row>
    <row r="49634" spans="1:141" s="116" customFormat="1">
      <c r="A49634" s="136"/>
      <c r="CM49634" s="111"/>
      <c r="CQ49634" s="111"/>
      <c r="EF49634"/>
      <c r="EG49634"/>
      <c r="EH49634"/>
      <c r="EI49634"/>
      <c r="EJ49634"/>
      <c r="EK49634"/>
    </row>
    <row r="49635" spans="1:141" s="116" customFormat="1">
      <c r="A49635" s="136"/>
      <c r="CM49635" s="111"/>
      <c r="CQ49635" s="111"/>
      <c r="EF49635"/>
      <c r="EG49635"/>
      <c r="EH49635"/>
      <c r="EI49635"/>
      <c r="EJ49635"/>
      <c r="EK49635"/>
    </row>
    <row r="49636" spans="1:141" s="116" customFormat="1">
      <c r="A49636" s="136"/>
      <c r="CM49636" s="111"/>
      <c r="CQ49636" s="111"/>
      <c r="EF49636"/>
      <c r="EG49636"/>
      <c r="EH49636"/>
      <c r="EI49636"/>
      <c r="EJ49636"/>
      <c r="EK49636"/>
    </row>
    <row r="49637" spans="1:141" s="116" customFormat="1">
      <c r="A49637" s="136"/>
      <c r="CM49637" s="111"/>
      <c r="CQ49637" s="111"/>
      <c r="EF49637"/>
      <c r="EG49637"/>
      <c r="EH49637"/>
      <c r="EI49637"/>
      <c r="EJ49637"/>
      <c r="EK49637"/>
    </row>
    <row r="49638" spans="1:141" s="116" customFormat="1">
      <c r="A49638" s="136"/>
      <c r="CM49638" s="111"/>
      <c r="CQ49638" s="111"/>
      <c r="EF49638"/>
      <c r="EG49638"/>
      <c r="EH49638"/>
      <c r="EI49638"/>
      <c r="EJ49638"/>
      <c r="EK49638"/>
    </row>
    <row r="49639" spans="1:141" s="116" customFormat="1">
      <c r="A49639" s="136"/>
      <c r="CM49639" s="111"/>
      <c r="CQ49639" s="111"/>
      <c r="EF49639"/>
      <c r="EG49639"/>
      <c r="EH49639"/>
      <c r="EI49639"/>
      <c r="EJ49639"/>
      <c r="EK49639"/>
    </row>
    <row r="49640" spans="1:141" s="116" customFormat="1">
      <c r="A49640" s="136"/>
      <c r="CM49640" s="111"/>
      <c r="CQ49640" s="111"/>
      <c r="EF49640"/>
      <c r="EG49640"/>
      <c r="EH49640"/>
      <c r="EI49640"/>
      <c r="EJ49640"/>
      <c r="EK49640"/>
    </row>
    <row r="49641" spans="1:141" s="116" customFormat="1">
      <c r="A49641" s="136"/>
      <c r="CM49641" s="111"/>
      <c r="CQ49641" s="111"/>
      <c r="EF49641"/>
      <c r="EG49641"/>
      <c r="EH49641"/>
      <c r="EI49641"/>
      <c r="EJ49641"/>
      <c r="EK49641"/>
    </row>
    <row r="49642" spans="1:141" s="116" customFormat="1">
      <c r="A49642" s="136"/>
      <c r="CM49642" s="111"/>
      <c r="CQ49642" s="111"/>
      <c r="EF49642"/>
      <c r="EG49642"/>
      <c r="EH49642"/>
      <c r="EI49642"/>
      <c r="EJ49642"/>
      <c r="EK49642"/>
    </row>
    <row r="49643" spans="1:141" s="116" customFormat="1">
      <c r="A49643" s="136"/>
      <c r="CM49643" s="111"/>
      <c r="CQ49643" s="111"/>
      <c r="EF49643"/>
      <c r="EG49643"/>
      <c r="EH49643"/>
      <c r="EI49643"/>
      <c r="EJ49643"/>
      <c r="EK49643"/>
    </row>
    <row r="49644" spans="1:141" s="116" customFormat="1">
      <c r="A49644" s="136"/>
      <c r="CM49644" s="111"/>
      <c r="CQ49644" s="111"/>
      <c r="EF49644"/>
      <c r="EG49644"/>
      <c r="EH49644"/>
      <c r="EI49644"/>
      <c r="EJ49644"/>
      <c r="EK49644"/>
    </row>
    <row r="49645" spans="1:141" s="116" customFormat="1">
      <c r="A49645" s="136"/>
      <c r="CM49645" s="111"/>
      <c r="CQ49645" s="111"/>
      <c r="EF49645"/>
      <c r="EG49645"/>
      <c r="EH49645"/>
      <c r="EI49645"/>
      <c r="EJ49645"/>
      <c r="EK49645"/>
    </row>
    <row r="49646" spans="1:141" s="116" customFormat="1">
      <c r="A49646" s="136"/>
      <c r="CM49646" s="111"/>
      <c r="CQ49646" s="111"/>
      <c r="EF49646"/>
      <c r="EG49646"/>
      <c r="EH49646"/>
      <c r="EI49646"/>
      <c r="EJ49646"/>
      <c r="EK49646"/>
    </row>
    <row r="49647" spans="1:141" s="116" customFormat="1">
      <c r="A49647" s="136"/>
      <c r="CM49647" s="111"/>
      <c r="CQ49647" s="111"/>
      <c r="EF49647"/>
      <c r="EG49647"/>
      <c r="EH49647"/>
      <c r="EI49647"/>
      <c r="EJ49647"/>
      <c r="EK49647"/>
    </row>
    <row r="49648" spans="1:141" s="116" customFormat="1">
      <c r="A49648" s="136"/>
      <c r="CM49648" s="111"/>
      <c r="CQ49648" s="111"/>
      <c r="EF49648"/>
      <c r="EG49648"/>
      <c r="EH49648"/>
      <c r="EI49648"/>
      <c r="EJ49648"/>
      <c r="EK49648"/>
    </row>
    <row r="49649" spans="1:141" s="116" customFormat="1">
      <c r="A49649" s="136"/>
      <c r="CM49649" s="111"/>
      <c r="CQ49649" s="111"/>
      <c r="EF49649"/>
      <c r="EG49649"/>
      <c r="EH49649"/>
      <c r="EI49649"/>
      <c r="EJ49649"/>
      <c r="EK49649"/>
    </row>
    <row r="49650" spans="1:141" s="116" customFormat="1">
      <c r="A49650" s="136"/>
      <c r="CM49650" s="111"/>
      <c r="CQ49650" s="111"/>
      <c r="EF49650"/>
      <c r="EG49650"/>
      <c r="EH49650"/>
      <c r="EI49650"/>
      <c r="EJ49650"/>
      <c r="EK49650"/>
    </row>
    <row r="49651" spans="1:141" s="116" customFormat="1">
      <c r="A49651" s="136"/>
      <c r="CM49651" s="111"/>
      <c r="CQ49651" s="111"/>
      <c r="EF49651"/>
      <c r="EG49651"/>
      <c r="EH49651"/>
      <c r="EI49651"/>
      <c r="EJ49651"/>
      <c r="EK49651"/>
    </row>
    <row r="49652" spans="1:141" s="116" customFormat="1">
      <c r="A49652" s="136"/>
      <c r="CM49652" s="111"/>
      <c r="CQ49652" s="111"/>
      <c r="EF49652"/>
      <c r="EG49652"/>
      <c r="EH49652"/>
      <c r="EI49652"/>
      <c r="EJ49652"/>
      <c r="EK49652"/>
    </row>
    <row r="49653" spans="1:141" s="116" customFormat="1">
      <c r="A49653" s="136"/>
      <c r="CM49653" s="111"/>
      <c r="CQ49653" s="111"/>
      <c r="EF49653"/>
      <c r="EG49653"/>
      <c r="EH49653"/>
      <c r="EI49653"/>
      <c r="EJ49653"/>
      <c r="EK49653"/>
    </row>
    <row r="49654" spans="1:141" s="116" customFormat="1">
      <c r="A49654" s="136"/>
      <c r="CM49654" s="111"/>
      <c r="CQ49654" s="111"/>
      <c r="EF49654"/>
      <c r="EG49654"/>
      <c r="EH49654"/>
      <c r="EI49654"/>
      <c r="EJ49654"/>
      <c r="EK49654"/>
    </row>
    <row r="49655" spans="1:141" s="116" customFormat="1">
      <c r="A49655" s="136"/>
      <c r="CM49655" s="111"/>
      <c r="CQ49655" s="111"/>
      <c r="EF49655"/>
      <c r="EG49655"/>
      <c r="EH49655"/>
      <c r="EI49655"/>
      <c r="EJ49655"/>
      <c r="EK49655"/>
    </row>
    <row r="49656" spans="1:141" s="116" customFormat="1">
      <c r="A49656" s="136"/>
      <c r="CM49656" s="111"/>
      <c r="CQ49656" s="111"/>
      <c r="EF49656"/>
      <c r="EG49656"/>
      <c r="EH49656"/>
      <c r="EI49656"/>
      <c r="EJ49656"/>
      <c r="EK49656"/>
    </row>
    <row r="49657" spans="1:141" s="116" customFormat="1">
      <c r="A49657" s="136"/>
      <c r="CM49657" s="111"/>
      <c r="CQ49657" s="111"/>
      <c r="EF49657"/>
      <c r="EG49657"/>
      <c r="EH49657"/>
      <c r="EI49657"/>
      <c r="EJ49657"/>
      <c r="EK49657"/>
    </row>
    <row r="49658" spans="1:141" s="116" customFormat="1">
      <c r="A49658" s="136"/>
      <c r="CM49658" s="111"/>
      <c r="CQ49658" s="111"/>
      <c r="EF49658"/>
      <c r="EG49658"/>
      <c r="EH49658"/>
      <c r="EI49658"/>
      <c r="EJ49658"/>
      <c r="EK49658"/>
    </row>
    <row r="49659" spans="1:141" s="116" customFormat="1">
      <c r="A49659" s="136"/>
      <c r="CM49659" s="111"/>
      <c r="CQ49659" s="111"/>
      <c r="EF49659"/>
      <c r="EG49659"/>
      <c r="EH49659"/>
      <c r="EI49659"/>
      <c r="EJ49659"/>
      <c r="EK49659"/>
    </row>
    <row r="49660" spans="1:141" s="116" customFormat="1">
      <c r="A49660" s="136"/>
      <c r="CM49660" s="111"/>
      <c r="CQ49660" s="111"/>
      <c r="EF49660"/>
      <c r="EG49660"/>
      <c r="EH49660"/>
      <c r="EI49660"/>
      <c r="EJ49660"/>
      <c r="EK49660"/>
    </row>
    <row r="49661" spans="1:141" s="116" customFormat="1">
      <c r="A49661" s="136"/>
      <c r="CM49661" s="111"/>
      <c r="CQ49661" s="111"/>
      <c r="EF49661"/>
      <c r="EG49661"/>
      <c r="EH49661"/>
      <c r="EI49661"/>
      <c r="EJ49661"/>
      <c r="EK49661"/>
    </row>
    <row r="49662" spans="1:141" s="116" customFormat="1">
      <c r="A49662" s="136"/>
      <c r="CM49662" s="111"/>
      <c r="CQ49662" s="111"/>
      <c r="EF49662"/>
      <c r="EG49662"/>
      <c r="EH49662"/>
      <c r="EI49662"/>
      <c r="EJ49662"/>
      <c r="EK49662"/>
    </row>
    <row r="49663" spans="1:141" s="116" customFormat="1">
      <c r="A49663" s="136"/>
      <c r="CM49663" s="111"/>
      <c r="CQ49663" s="111"/>
      <c r="EF49663"/>
      <c r="EG49663"/>
      <c r="EH49663"/>
      <c r="EI49663"/>
      <c r="EJ49663"/>
      <c r="EK49663"/>
    </row>
    <row r="49664" spans="1:141" s="116" customFormat="1">
      <c r="A49664" s="136"/>
      <c r="CM49664" s="111"/>
      <c r="CQ49664" s="111"/>
      <c r="EF49664"/>
      <c r="EG49664"/>
      <c r="EH49664"/>
      <c r="EI49664"/>
      <c r="EJ49664"/>
      <c r="EK49664"/>
    </row>
    <row r="49665" spans="1:141" s="116" customFormat="1">
      <c r="A49665" s="136"/>
      <c r="CM49665" s="111"/>
      <c r="CQ49665" s="111"/>
      <c r="EF49665"/>
      <c r="EG49665"/>
      <c r="EH49665"/>
      <c r="EI49665"/>
      <c r="EJ49665"/>
      <c r="EK49665"/>
    </row>
    <row r="49666" spans="1:141" s="116" customFormat="1">
      <c r="A49666" s="136"/>
      <c r="CM49666" s="111"/>
      <c r="CQ49666" s="111"/>
      <c r="EF49666"/>
      <c r="EG49666"/>
      <c r="EH49666"/>
      <c r="EI49666"/>
      <c r="EJ49666"/>
      <c r="EK49666"/>
    </row>
    <row r="49667" spans="1:141" s="116" customFormat="1">
      <c r="A49667" s="136"/>
      <c r="CM49667" s="111"/>
      <c r="CQ49667" s="111"/>
      <c r="EF49667"/>
      <c r="EG49667"/>
      <c r="EH49667"/>
      <c r="EI49667"/>
      <c r="EJ49667"/>
      <c r="EK49667"/>
    </row>
    <row r="49668" spans="1:141" s="116" customFormat="1">
      <c r="A49668" s="136"/>
      <c r="CM49668" s="111"/>
      <c r="CQ49668" s="111"/>
      <c r="EF49668"/>
      <c r="EG49668"/>
      <c r="EH49668"/>
      <c r="EI49668"/>
      <c r="EJ49668"/>
      <c r="EK49668"/>
    </row>
    <row r="49669" spans="1:141" s="116" customFormat="1">
      <c r="A49669" s="136"/>
      <c r="CM49669" s="111"/>
      <c r="CQ49669" s="111"/>
      <c r="EF49669"/>
      <c r="EG49669"/>
      <c r="EH49669"/>
      <c r="EI49669"/>
      <c r="EJ49669"/>
      <c r="EK49669"/>
    </row>
    <row r="49670" spans="1:141" s="116" customFormat="1">
      <c r="A49670" s="136"/>
      <c r="CM49670" s="111"/>
      <c r="CQ49670" s="111"/>
      <c r="EF49670"/>
      <c r="EG49670"/>
      <c r="EH49670"/>
      <c r="EI49670"/>
      <c r="EJ49670"/>
      <c r="EK49670"/>
    </row>
    <row r="49671" spans="1:141" s="116" customFormat="1">
      <c r="A49671" s="136"/>
      <c r="CM49671" s="111"/>
      <c r="CQ49671" s="111"/>
      <c r="EF49671"/>
      <c r="EG49671"/>
      <c r="EH49671"/>
      <c r="EI49671"/>
      <c r="EJ49671"/>
      <c r="EK49671"/>
    </row>
    <row r="49672" spans="1:141" s="116" customFormat="1">
      <c r="A49672" s="136"/>
      <c r="CM49672" s="111"/>
      <c r="CQ49672" s="111"/>
      <c r="EF49672"/>
      <c r="EG49672"/>
      <c r="EH49672"/>
      <c r="EI49672"/>
      <c r="EJ49672"/>
      <c r="EK49672"/>
    </row>
    <row r="49673" spans="1:141" s="116" customFormat="1">
      <c r="A49673" s="136"/>
      <c r="CM49673" s="111"/>
      <c r="CQ49673" s="111"/>
      <c r="EF49673"/>
      <c r="EG49673"/>
      <c r="EH49673"/>
      <c r="EI49673"/>
      <c r="EJ49673"/>
      <c r="EK49673"/>
    </row>
    <row r="49674" spans="1:141" s="116" customFormat="1">
      <c r="A49674" s="136"/>
      <c r="CM49674" s="111"/>
      <c r="CQ49674" s="111"/>
      <c r="EF49674"/>
      <c r="EG49674"/>
      <c r="EH49674"/>
      <c r="EI49674"/>
      <c r="EJ49674"/>
      <c r="EK49674"/>
    </row>
    <row r="49675" spans="1:141" s="116" customFormat="1">
      <c r="A49675" s="136"/>
      <c r="CM49675" s="111"/>
      <c r="CQ49675" s="111"/>
      <c r="EF49675"/>
      <c r="EG49675"/>
      <c r="EH49675"/>
      <c r="EI49675"/>
      <c r="EJ49675"/>
      <c r="EK49675"/>
    </row>
    <row r="49676" spans="1:141" s="116" customFormat="1">
      <c r="A49676" s="136"/>
      <c r="CM49676" s="111"/>
      <c r="CQ49676" s="111"/>
      <c r="EF49676"/>
      <c r="EG49676"/>
      <c r="EH49676"/>
      <c r="EI49676"/>
      <c r="EJ49676"/>
      <c r="EK49676"/>
    </row>
    <row r="49677" spans="1:141" s="116" customFormat="1">
      <c r="A49677" s="136"/>
      <c r="CM49677" s="111"/>
      <c r="CQ49677" s="111"/>
      <c r="EF49677"/>
      <c r="EG49677"/>
      <c r="EH49677"/>
      <c r="EI49677"/>
      <c r="EJ49677"/>
      <c r="EK49677"/>
    </row>
    <row r="49678" spans="1:141" s="116" customFormat="1">
      <c r="A49678" s="136"/>
      <c r="CM49678" s="111"/>
      <c r="CQ49678" s="111"/>
      <c r="EF49678"/>
      <c r="EG49678"/>
      <c r="EH49678"/>
      <c r="EI49678"/>
      <c r="EJ49678"/>
      <c r="EK49678"/>
    </row>
    <row r="49679" spans="1:141" s="116" customFormat="1">
      <c r="A49679" s="136"/>
      <c r="CM49679" s="111"/>
      <c r="CQ49679" s="111"/>
      <c r="EF49679"/>
      <c r="EG49679"/>
      <c r="EH49679"/>
      <c r="EI49679"/>
      <c r="EJ49679"/>
      <c r="EK49679"/>
    </row>
    <row r="49680" spans="1:141" s="116" customFormat="1">
      <c r="A49680" s="136"/>
      <c r="CM49680" s="111"/>
      <c r="CQ49680" s="111"/>
      <c r="EF49680"/>
      <c r="EG49680"/>
      <c r="EH49680"/>
      <c r="EI49680"/>
      <c r="EJ49680"/>
      <c r="EK49680"/>
    </row>
    <row r="49681" spans="1:141" s="116" customFormat="1">
      <c r="A49681" s="136"/>
      <c r="CM49681" s="111"/>
      <c r="CQ49681" s="111"/>
      <c r="EF49681"/>
      <c r="EG49681"/>
      <c r="EH49681"/>
      <c r="EI49681"/>
      <c r="EJ49681"/>
      <c r="EK49681"/>
    </row>
    <row r="49682" spans="1:141" s="116" customFormat="1">
      <c r="A49682" s="136"/>
      <c r="CM49682" s="111"/>
      <c r="CQ49682" s="111"/>
      <c r="EF49682"/>
      <c r="EG49682"/>
      <c r="EH49682"/>
      <c r="EI49682"/>
      <c r="EJ49682"/>
      <c r="EK49682"/>
    </row>
    <row r="49683" spans="1:141" s="116" customFormat="1">
      <c r="A49683" s="136"/>
      <c r="CM49683" s="111"/>
      <c r="CQ49683" s="111"/>
      <c r="EF49683"/>
      <c r="EG49683"/>
      <c r="EH49683"/>
      <c r="EI49683"/>
      <c r="EJ49683"/>
      <c r="EK49683"/>
    </row>
    <row r="49684" spans="1:141" s="116" customFormat="1">
      <c r="A49684" s="136"/>
      <c r="CM49684" s="111"/>
      <c r="CQ49684" s="111"/>
      <c r="EF49684"/>
      <c r="EG49684"/>
      <c r="EH49684"/>
      <c r="EI49684"/>
      <c r="EJ49684"/>
      <c r="EK49684"/>
    </row>
    <row r="49685" spans="1:141" s="116" customFormat="1">
      <c r="A49685" s="136"/>
      <c r="CM49685" s="111"/>
      <c r="CQ49685" s="111"/>
      <c r="EF49685"/>
      <c r="EG49685"/>
      <c r="EH49685"/>
      <c r="EI49685"/>
      <c r="EJ49685"/>
      <c r="EK49685"/>
    </row>
    <row r="49686" spans="1:141" s="116" customFormat="1">
      <c r="A49686" s="136"/>
      <c r="CM49686" s="111"/>
      <c r="CQ49686" s="111"/>
      <c r="EF49686"/>
      <c r="EG49686"/>
      <c r="EH49686"/>
      <c r="EI49686"/>
      <c r="EJ49686"/>
      <c r="EK49686"/>
    </row>
    <row r="49687" spans="1:141" s="116" customFormat="1">
      <c r="A49687" s="136"/>
      <c r="CM49687" s="111"/>
      <c r="CQ49687" s="111"/>
      <c r="EF49687"/>
      <c r="EG49687"/>
      <c r="EH49687"/>
      <c r="EI49687"/>
      <c r="EJ49687"/>
      <c r="EK49687"/>
    </row>
    <row r="49688" spans="1:141" s="116" customFormat="1">
      <c r="A49688" s="136"/>
      <c r="CM49688" s="111"/>
      <c r="CQ49688" s="111"/>
      <c r="EF49688"/>
      <c r="EG49688"/>
      <c r="EH49688"/>
      <c r="EI49688"/>
      <c r="EJ49688"/>
      <c r="EK49688"/>
    </row>
    <row r="49689" spans="1:141" s="116" customFormat="1">
      <c r="A49689" s="136"/>
      <c r="CM49689" s="111"/>
      <c r="CQ49689" s="111"/>
      <c r="EF49689"/>
      <c r="EG49689"/>
      <c r="EH49689"/>
      <c r="EI49689"/>
      <c r="EJ49689"/>
      <c r="EK49689"/>
    </row>
    <row r="49690" spans="1:141" s="116" customFormat="1">
      <c r="A49690" s="136"/>
      <c r="CM49690" s="111"/>
      <c r="CQ49690" s="111"/>
      <c r="EF49690"/>
      <c r="EG49690"/>
      <c r="EH49690"/>
      <c r="EI49690"/>
      <c r="EJ49690"/>
      <c r="EK49690"/>
    </row>
    <row r="49691" spans="1:141" s="116" customFormat="1">
      <c r="A49691" s="136"/>
      <c r="CM49691" s="111"/>
      <c r="CQ49691" s="111"/>
      <c r="EF49691"/>
      <c r="EG49691"/>
      <c r="EH49691"/>
      <c r="EI49691"/>
      <c r="EJ49691"/>
      <c r="EK49691"/>
    </row>
    <row r="49692" spans="1:141" s="116" customFormat="1">
      <c r="A49692" s="136"/>
      <c r="CM49692" s="111"/>
      <c r="CQ49692" s="111"/>
      <c r="EF49692"/>
      <c r="EG49692"/>
      <c r="EH49692"/>
      <c r="EI49692"/>
      <c r="EJ49692"/>
      <c r="EK49692"/>
    </row>
    <row r="49693" spans="1:141" s="116" customFormat="1">
      <c r="A49693" s="136"/>
      <c r="CM49693" s="111"/>
      <c r="CQ49693" s="111"/>
      <c r="EF49693"/>
      <c r="EG49693"/>
      <c r="EH49693"/>
      <c r="EI49693"/>
      <c r="EJ49693"/>
      <c r="EK49693"/>
    </row>
    <row r="49694" spans="1:141" s="116" customFormat="1">
      <c r="A49694" s="136"/>
      <c r="CM49694" s="111"/>
      <c r="CQ49694" s="111"/>
      <c r="EF49694"/>
      <c r="EG49694"/>
      <c r="EH49694"/>
      <c r="EI49694"/>
      <c r="EJ49694"/>
      <c r="EK49694"/>
    </row>
    <row r="49695" spans="1:141" s="116" customFormat="1">
      <c r="A49695" s="136"/>
      <c r="CM49695" s="111"/>
      <c r="CQ49695" s="111"/>
      <c r="EF49695"/>
      <c r="EG49695"/>
      <c r="EH49695"/>
      <c r="EI49695"/>
      <c r="EJ49695"/>
      <c r="EK49695"/>
    </row>
    <row r="49696" spans="1:141" s="116" customFormat="1">
      <c r="A49696" s="136"/>
      <c r="CM49696" s="111"/>
      <c r="CQ49696" s="111"/>
      <c r="EF49696"/>
      <c r="EG49696"/>
      <c r="EH49696"/>
      <c r="EI49696"/>
      <c r="EJ49696"/>
      <c r="EK49696"/>
    </row>
    <row r="49697" spans="1:141" s="116" customFormat="1">
      <c r="A49697" s="136"/>
      <c r="CM49697" s="111"/>
      <c r="CQ49697" s="111"/>
      <c r="EF49697"/>
      <c r="EG49697"/>
      <c r="EH49697"/>
      <c r="EI49697"/>
      <c r="EJ49697"/>
      <c r="EK49697"/>
    </row>
    <row r="49698" spans="1:141" s="116" customFormat="1">
      <c r="A49698" s="136"/>
      <c r="CM49698" s="111"/>
      <c r="CQ49698" s="111"/>
      <c r="EF49698"/>
      <c r="EG49698"/>
      <c r="EH49698"/>
      <c r="EI49698"/>
      <c r="EJ49698"/>
      <c r="EK49698"/>
    </row>
    <row r="49699" spans="1:141" s="116" customFormat="1">
      <c r="A49699" s="136"/>
      <c r="CM49699" s="111"/>
      <c r="CQ49699" s="111"/>
      <c r="EF49699"/>
      <c r="EG49699"/>
      <c r="EH49699"/>
      <c r="EI49699"/>
      <c r="EJ49699"/>
      <c r="EK49699"/>
    </row>
    <row r="49700" spans="1:141" s="116" customFormat="1">
      <c r="A49700" s="136"/>
      <c r="CM49700" s="111"/>
      <c r="CQ49700" s="111"/>
      <c r="EF49700"/>
      <c r="EG49700"/>
      <c r="EH49700"/>
      <c r="EI49700"/>
      <c r="EJ49700"/>
      <c r="EK49700"/>
    </row>
    <row r="49701" spans="1:141" s="116" customFormat="1">
      <c r="A49701" s="136"/>
      <c r="CM49701" s="111"/>
      <c r="CQ49701" s="111"/>
      <c r="EF49701"/>
      <c r="EG49701"/>
      <c r="EH49701"/>
      <c r="EI49701"/>
      <c r="EJ49701"/>
      <c r="EK49701"/>
    </row>
    <row r="49702" spans="1:141" s="116" customFormat="1">
      <c r="A49702" s="136"/>
      <c r="CM49702" s="111"/>
      <c r="CQ49702" s="111"/>
      <c r="EF49702"/>
      <c r="EG49702"/>
      <c r="EH49702"/>
      <c r="EI49702"/>
      <c r="EJ49702"/>
      <c r="EK49702"/>
    </row>
    <row r="49703" spans="1:141" s="116" customFormat="1">
      <c r="A49703" s="136"/>
      <c r="CM49703" s="111"/>
      <c r="CQ49703" s="111"/>
      <c r="EF49703"/>
      <c r="EG49703"/>
      <c r="EH49703"/>
      <c r="EI49703"/>
      <c r="EJ49703"/>
      <c r="EK49703"/>
    </row>
    <row r="49704" spans="1:141" s="116" customFormat="1">
      <c r="A49704" s="136"/>
      <c r="CM49704" s="111"/>
      <c r="CQ49704" s="111"/>
      <c r="EF49704"/>
      <c r="EG49704"/>
      <c r="EH49704"/>
      <c r="EI49704"/>
      <c r="EJ49704"/>
      <c r="EK49704"/>
    </row>
    <row r="49705" spans="1:141" s="116" customFormat="1">
      <c r="A49705" s="136"/>
      <c r="CM49705" s="111"/>
      <c r="CQ49705" s="111"/>
      <c r="EF49705"/>
      <c r="EG49705"/>
      <c r="EH49705"/>
      <c r="EI49705"/>
      <c r="EJ49705"/>
      <c r="EK49705"/>
    </row>
    <row r="49706" spans="1:141" s="116" customFormat="1">
      <c r="A49706" s="136"/>
      <c r="CM49706" s="111"/>
      <c r="CQ49706" s="111"/>
      <c r="EF49706"/>
      <c r="EG49706"/>
      <c r="EH49706"/>
      <c r="EI49706"/>
      <c r="EJ49706"/>
      <c r="EK49706"/>
    </row>
    <row r="49707" spans="1:141" s="116" customFormat="1">
      <c r="A49707" s="136"/>
      <c r="CM49707" s="111"/>
      <c r="CQ49707" s="111"/>
      <c r="EF49707"/>
      <c r="EG49707"/>
      <c r="EH49707"/>
      <c r="EI49707"/>
      <c r="EJ49707"/>
      <c r="EK49707"/>
    </row>
    <row r="49708" spans="1:141" s="116" customFormat="1">
      <c r="A49708" s="136"/>
      <c r="CM49708" s="111"/>
      <c r="CQ49708" s="111"/>
      <c r="EF49708"/>
      <c r="EG49708"/>
      <c r="EH49708"/>
      <c r="EI49708"/>
      <c r="EJ49708"/>
      <c r="EK49708"/>
    </row>
    <row r="49709" spans="1:141" s="116" customFormat="1">
      <c r="A49709" s="136"/>
      <c r="CM49709" s="111"/>
      <c r="CQ49709" s="111"/>
      <c r="EF49709"/>
      <c r="EG49709"/>
      <c r="EH49709"/>
      <c r="EI49709"/>
      <c r="EJ49709"/>
      <c r="EK49709"/>
    </row>
    <row r="49710" spans="1:141" s="116" customFormat="1">
      <c r="A49710" s="136"/>
      <c r="CM49710" s="111"/>
      <c r="CQ49710" s="111"/>
      <c r="EF49710"/>
      <c r="EG49710"/>
      <c r="EH49710"/>
      <c r="EI49710"/>
      <c r="EJ49710"/>
      <c r="EK49710"/>
    </row>
    <row r="49711" spans="1:141" s="116" customFormat="1">
      <c r="A49711" s="136"/>
      <c r="CM49711" s="111"/>
      <c r="CQ49711" s="111"/>
      <c r="EF49711"/>
      <c r="EG49711"/>
      <c r="EH49711"/>
      <c r="EI49711"/>
      <c r="EJ49711"/>
      <c r="EK49711"/>
    </row>
    <row r="49712" spans="1:141" s="116" customFormat="1">
      <c r="A49712" s="136"/>
      <c r="CM49712" s="111"/>
      <c r="CQ49712" s="111"/>
      <c r="EF49712"/>
      <c r="EG49712"/>
      <c r="EH49712"/>
      <c r="EI49712"/>
      <c r="EJ49712"/>
      <c r="EK49712"/>
    </row>
    <row r="49713" spans="1:141" s="116" customFormat="1">
      <c r="A49713" s="136"/>
      <c r="CM49713" s="111"/>
      <c r="CQ49713" s="111"/>
      <c r="EF49713"/>
      <c r="EG49713"/>
      <c r="EH49713"/>
      <c r="EI49713"/>
      <c r="EJ49713"/>
      <c r="EK49713"/>
    </row>
    <row r="49714" spans="1:141" s="116" customFormat="1">
      <c r="A49714" s="136"/>
      <c r="CM49714" s="111"/>
      <c r="CQ49714" s="111"/>
      <c r="EF49714"/>
      <c r="EG49714"/>
      <c r="EH49714"/>
      <c r="EI49714"/>
      <c r="EJ49714"/>
      <c r="EK49714"/>
    </row>
    <row r="49715" spans="1:141" s="116" customFormat="1">
      <c r="A49715" s="136"/>
      <c r="CM49715" s="111"/>
      <c r="CQ49715" s="111"/>
      <c r="EF49715"/>
      <c r="EG49715"/>
      <c r="EH49715"/>
      <c r="EI49715"/>
      <c r="EJ49715"/>
      <c r="EK49715"/>
    </row>
    <row r="49716" spans="1:141" s="116" customFormat="1">
      <c r="A49716" s="136"/>
      <c r="CM49716" s="111"/>
      <c r="CQ49716" s="111"/>
      <c r="EF49716"/>
      <c r="EG49716"/>
      <c r="EH49716"/>
      <c r="EI49716"/>
      <c r="EJ49716"/>
      <c r="EK49716"/>
    </row>
    <row r="49717" spans="1:141" s="116" customFormat="1">
      <c r="A49717" s="136"/>
      <c r="CM49717" s="111"/>
      <c r="CQ49717" s="111"/>
      <c r="EF49717"/>
      <c r="EG49717"/>
      <c r="EH49717"/>
      <c r="EI49717"/>
      <c r="EJ49717"/>
      <c r="EK49717"/>
    </row>
    <row r="49718" spans="1:141" s="116" customFormat="1">
      <c r="A49718" s="136"/>
      <c r="CM49718" s="111"/>
      <c r="CQ49718" s="111"/>
      <c r="EF49718"/>
      <c r="EG49718"/>
      <c r="EH49718"/>
      <c r="EI49718"/>
      <c r="EJ49718"/>
      <c r="EK49718"/>
    </row>
    <row r="49719" spans="1:141" s="116" customFormat="1">
      <c r="A49719" s="136"/>
      <c r="CM49719" s="111"/>
      <c r="CQ49719" s="111"/>
      <c r="EF49719"/>
      <c r="EG49719"/>
      <c r="EH49719"/>
      <c r="EI49719"/>
      <c r="EJ49719"/>
      <c r="EK49719"/>
    </row>
    <row r="49720" spans="1:141" s="116" customFormat="1">
      <c r="A49720" s="136"/>
      <c r="CM49720" s="111"/>
      <c r="CQ49720" s="111"/>
      <c r="EF49720"/>
      <c r="EG49720"/>
      <c r="EH49720"/>
      <c r="EI49720"/>
      <c r="EJ49720"/>
      <c r="EK49720"/>
    </row>
    <row r="49721" spans="1:141" s="116" customFormat="1">
      <c r="A49721" s="136"/>
      <c r="CM49721" s="111"/>
      <c r="CQ49721" s="111"/>
      <c r="EF49721"/>
      <c r="EG49721"/>
      <c r="EH49721"/>
      <c r="EI49721"/>
      <c r="EJ49721"/>
      <c r="EK49721"/>
    </row>
    <row r="49722" spans="1:141" s="116" customFormat="1">
      <c r="A49722" s="136"/>
      <c r="CM49722" s="111"/>
      <c r="CQ49722" s="111"/>
      <c r="EF49722"/>
      <c r="EG49722"/>
      <c r="EH49722"/>
      <c r="EI49722"/>
      <c r="EJ49722"/>
      <c r="EK49722"/>
    </row>
    <row r="49723" spans="1:141" s="116" customFormat="1">
      <c r="A49723" s="136"/>
      <c r="CM49723" s="111"/>
      <c r="CQ49723" s="111"/>
      <c r="EF49723"/>
      <c r="EG49723"/>
      <c r="EH49723"/>
      <c r="EI49723"/>
      <c r="EJ49723"/>
      <c r="EK49723"/>
    </row>
    <row r="49724" spans="1:141" s="116" customFormat="1">
      <c r="A49724" s="136"/>
      <c r="CM49724" s="111"/>
      <c r="CQ49724" s="111"/>
      <c r="EF49724"/>
      <c r="EG49724"/>
      <c r="EH49724"/>
      <c r="EI49724"/>
      <c r="EJ49724"/>
      <c r="EK49724"/>
    </row>
    <row r="49725" spans="1:141" s="116" customFormat="1">
      <c r="A49725" s="136"/>
      <c r="CM49725" s="111"/>
      <c r="CQ49725" s="111"/>
      <c r="EF49725"/>
      <c r="EG49725"/>
      <c r="EH49725"/>
      <c r="EI49725"/>
      <c r="EJ49725"/>
      <c r="EK49725"/>
    </row>
    <row r="49726" spans="1:141" s="116" customFormat="1">
      <c r="A49726" s="136"/>
      <c r="CM49726" s="111"/>
      <c r="CQ49726" s="111"/>
      <c r="EF49726"/>
      <c r="EG49726"/>
      <c r="EH49726"/>
      <c r="EI49726"/>
      <c r="EJ49726"/>
      <c r="EK49726"/>
    </row>
    <row r="49727" spans="1:141" s="116" customFormat="1">
      <c r="A49727" s="136"/>
      <c r="CM49727" s="111"/>
      <c r="CQ49727" s="111"/>
      <c r="EF49727"/>
      <c r="EG49727"/>
      <c r="EH49727"/>
      <c r="EI49727"/>
      <c r="EJ49727"/>
      <c r="EK49727"/>
    </row>
    <row r="49728" spans="1:141" s="116" customFormat="1">
      <c r="A49728" s="136"/>
      <c r="CM49728" s="111"/>
      <c r="CQ49728" s="111"/>
      <c r="EF49728"/>
      <c r="EG49728"/>
      <c r="EH49728"/>
      <c r="EI49728"/>
      <c r="EJ49728"/>
      <c r="EK49728"/>
    </row>
    <row r="49729" spans="1:141" s="116" customFormat="1">
      <c r="A49729" s="136"/>
      <c r="CM49729" s="111"/>
      <c r="CQ49729" s="111"/>
      <c r="EF49729"/>
      <c r="EG49729"/>
      <c r="EH49729"/>
      <c r="EI49729"/>
      <c r="EJ49729"/>
      <c r="EK49729"/>
    </row>
    <row r="49730" spans="1:141" s="116" customFormat="1">
      <c r="A49730" s="136"/>
      <c r="CM49730" s="111"/>
      <c r="CQ49730" s="111"/>
      <c r="EF49730"/>
      <c r="EG49730"/>
      <c r="EH49730"/>
      <c r="EI49730"/>
      <c r="EJ49730"/>
      <c r="EK49730"/>
    </row>
    <row r="49731" spans="1:141" s="116" customFormat="1">
      <c r="A49731" s="136"/>
      <c r="CM49731" s="111"/>
      <c r="CQ49731" s="111"/>
      <c r="EF49731"/>
      <c r="EG49731"/>
      <c r="EH49731"/>
      <c r="EI49731"/>
      <c r="EJ49731"/>
      <c r="EK49731"/>
    </row>
    <row r="49732" spans="1:141" s="116" customFormat="1">
      <c r="A49732" s="136"/>
      <c r="CM49732" s="111"/>
      <c r="CQ49732" s="111"/>
      <c r="EF49732"/>
      <c r="EG49732"/>
      <c r="EH49732"/>
      <c r="EI49732"/>
      <c r="EJ49732"/>
      <c r="EK49732"/>
    </row>
    <row r="49733" spans="1:141" s="116" customFormat="1">
      <c r="A49733" s="136"/>
      <c r="CM49733" s="111"/>
      <c r="CQ49733" s="111"/>
      <c r="EF49733"/>
      <c r="EG49733"/>
      <c r="EH49733"/>
      <c r="EI49733"/>
      <c r="EJ49733"/>
      <c r="EK49733"/>
    </row>
    <row r="49734" spans="1:141" s="116" customFormat="1">
      <c r="A49734" s="136"/>
      <c r="CM49734" s="111"/>
      <c r="CQ49734" s="111"/>
      <c r="EF49734"/>
      <c r="EG49734"/>
      <c r="EH49734"/>
      <c r="EI49734"/>
      <c r="EJ49734"/>
      <c r="EK49734"/>
    </row>
    <row r="49735" spans="1:141" s="116" customFormat="1">
      <c r="A49735" s="136"/>
      <c r="CM49735" s="111"/>
      <c r="CQ49735" s="111"/>
      <c r="EF49735"/>
      <c r="EG49735"/>
      <c r="EH49735"/>
      <c r="EI49735"/>
      <c r="EJ49735"/>
      <c r="EK49735"/>
    </row>
    <row r="49736" spans="1:141" s="116" customFormat="1">
      <c r="A49736" s="136"/>
      <c r="CM49736" s="111"/>
      <c r="CQ49736" s="111"/>
      <c r="EF49736"/>
      <c r="EG49736"/>
      <c r="EH49736"/>
      <c r="EI49736"/>
      <c r="EJ49736"/>
      <c r="EK49736"/>
    </row>
    <row r="49737" spans="1:141" s="116" customFormat="1">
      <c r="A49737" s="136"/>
      <c r="CM49737" s="111"/>
      <c r="CQ49737" s="111"/>
      <c r="EF49737"/>
      <c r="EG49737"/>
      <c r="EH49737"/>
      <c r="EI49737"/>
      <c r="EJ49737"/>
      <c r="EK49737"/>
    </row>
    <row r="49738" spans="1:141" s="116" customFormat="1">
      <c r="A49738" s="136"/>
      <c r="CM49738" s="111"/>
      <c r="CQ49738" s="111"/>
      <c r="EF49738"/>
      <c r="EG49738"/>
      <c r="EH49738"/>
      <c r="EI49738"/>
      <c r="EJ49738"/>
      <c r="EK49738"/>
    </row>
    <row r="49739" spans="1:141" s="116" customFormat="1">
      <c r="A49739" s="136"/>
      <c r="CM49739" s="111"/>
      <c r="CQ49739" s="111"/>
      <c r="EF49739"/>
      <c r="EG49739"/>
      <c r="EH49739"/>
      <c r="EI49739"/>
      <c r="EJ49739"/>
      <c r="EK49739"/>
    </row>
    <row r="49740" spans="1:141" s="116" customFormat="1">
      <c r="A49740" s="136"/>
      <c r="CM49740" s="111"/>
      <c r="CQ49740" s="111"/>
      <c r="EF49740"/>
      <c r="EG49740"/>
      <c r="EH49740"/>
      <c r="EI49740"/>
      <c r="EJ49740"/>
      <c r="EK49740"/>
    </row>
    <row r="49741" spans="1:141" s="116" customFormat="1">
      <c r="A49741" s="136"/>
      <c r="CM49741" s="111"/>
      <c r="CQ49741" s="111"/>
      <c r="EF49741"/>
      <c r="EG49741"/>
      <c r="EH49741"/>
      <c r="EI49741"/>
      <c r="EJ49741"/>
      <c r="EK49741"/>
    </row>
    <row r="49742" spans="1:141" s="116" customFormat="1">
      <c r="A49742" s="136"/>
      <c r="CM49742" s="111"/>
      <c r="CQ49742" s="111"/>
      <c r="EF49742"/>
      <c r="EG49742"/>
      <c r="EH49742"/>
      <c r="EI49742"/>
      <c r="EJ49742"/>
      <c r="EK49742"/>
    </row>
    <row r="49743" spans="1:141" s="116" customFormat="1">
      <c r="A49743" s="136"/>
      <c r="CM49743" s="111"/>
      <c r="CQ49743" s="111"/>
      <c r="EF49743"/>
      <c r="EG49743"/>
      <c r="EH49743"/>
      <c r="EI49743"/>
      <c r="EJ49743"/>
      <c r="EK49743"/>
    </row>
    <row r="49744" spans="1:141" s="116" customFormat="1">
      <c r="A49744" s="136"/>
      <c r="CM49744" s="111"/>
      <c r="CQ49744" s="111"/>
      <c r="EF49744"/>
      <c r="EG49744"/>
      <c r="EH49744"/>
      <c r="EI49744"/>
      <c r="EJ49744"/>
      <c r="EK49744"/>
    </row>
    <row r="49745" spans="1:141" s="116" customFormat="1">
      <c r="A49745" s="136"/>
      <c r="CM49745" s="111"/>
      <c r="CQ49745" s="111"/>
      <c r="EF49745"/>
      <c r="EG49745"/>
      <c r="EH49745"/>
      <c r="EI49745"/>
      <c r="EJ49745"/>
      <c r="EK49745"/>
    </row>
    <row r="49746" spans="1:141" s="116" customFormat="1">
      <c r="A49746" s="136"/>
      <c r="CM49746" s="111"/>
      <c r="CQ49746" s="111"/>
      <c r="EF49746"/>
      <c r="EG49746"/>
      <c r="EH49746"/>
      <c r="EI49746"/>
      <c r="EJ49746"/>
      <c r="EK49746"/>
    </row>
    <row r="49747" spans="1:141" s="116" customFormat="1">
      <c r="A49747" s="136"/>
      <c r="CM49747" s="111"/>
      <c r="CQ49747" s="111"/>
      <c r="EF49747"/>
      <c r="EG49747"/>
      <c r="EH49747"/>
      <c r="EI49747"/>
      <c r="EJ49747"/>
      <c r="EK49747"/>
    </row>
    <row r="49748" spans="1:141" s="116" customFormat="1">
      <c r="A49748" s="136"/>
      <c r="CM49748" s="111"/>
      <c r="CQ49748" s="111"/>
      <c r="EF49748"/>
      <c r="EG49748"/>
      <c r="EH49748"/>
      <c r="EI49748"/>
      <c r="EJ49748"/>
      <c r="EK49748"/>
    </row>
    <row r="49749" spans="1:141" s="116" customFormat="1">
      <c r="A49749" s="136"/>
      <c r="CM49749" s="111"/>
      <c r="CQ49749" s="111"/>
      <c r="EF49749"/>
      <c r="EG49749"/>
      <c r="EH49749"/>
      <c r="EI49749"/>
      <c r="EJ49749"/>
      <c r="EK49749"/>
    </row>
    <row r="49750" spans="1:141" s="116" customFormat="1">
      <c r="A49750" s="136"/>
      <c r="CM49750" s="111"/>
      <c r="CQ49750" s="111"/>
      <c r="EF49750"/>
      <c r="EG49750"/>
      <c r="EH49750"/>
      <c r="EI49750"/>
      <c r="EJ49750"/>
      <c r="EK49750"/>
    </row>
    <row r="49751" spans="1:141" s="116" customFormat="1">
      <c r="A49751" s="136"/>
      <c r="CM49751" s="111"/>
      <c r="CQ49751" s="111"/>
      <c r="EF49751"/>
      <c r="EG49751"/>
      <c r="EH49751"/>
      <c r="EI49751"/>
      <c r="EJ49751"/>
      <c r="EK49751"/>
    </row>
    <row r="49752" spans="1:141" s="116" customFormat="1">
      <c r="A49752" s="136"/>
      <c r="CM49752" s="111"/>
      <c r="CQ49752" s="111"/>
      <c r="EF49752"/>
      <c r="EG49752"/>
      <c r="EH49752"/>
      <c r="EI49752"/>
      <c r="EJ49752"/>
      <c r="EK49752"/>
    </row>
    <row r="49753" spans="1:141" s="116" customFormat="1">
      <c r="A49753" s="136"/>
      <c r="CM49753" s="111"/>
      <c r="CQ49753" s="111"/>
      <c r="EF49753"/>
      <c r="EG49753"/>
      <c r="EH49753"/>
      <c r="EI49753"/>
      <c r="EJ49753"/>
      <c r="EK49753"/>
    </row>
    <row r="49754" spans="1:141" s="116" customFormat="1">
      <c r="A49754" s="136"/>
      <c r="CM49754" s="111"/>
      <c r="CQ49754" s="111"/>
      <c r="EF49754"/>
      <c r="EG49754"/>
      <c r="EH49754"/>
      <c r="EI49754"/>
      <c r="EJ49754"/>
      <c r="EK49754"/>
    </row>
    <row r="49755" spans="1:141" s="116" customFormat="1">
      <c r="A49755" s="136"/>
      <c r="CM49755" s="111"/>
      <c r="CQ49755" s="111"/>
      <c r="EF49755"/>
      <c r="EG49755"/>
      <c r="EH49755"/>
      <c r="EI49755"/>
      <c r="EJ49755"/>
      <c r="EK49755"/>
    </row>
    <row r="49756" spans="1:141" s="116" customFormat="1">
      <c r="A49756" s="136"/>
      <c r="CM49756" s="111"/>
      <c r="CQ49756" s="111"/>
      <c r="EF49756"/>
      <c r="EG49756"/>
      <c r="EH49756"/>
      <c r="EI49756"/>
      <c r="EJ49756"/>
      <c r="EK49756"/>
    </row>
    <row r="49757" spans="1:141" s="116" customFormat="1">
      <c r="A49757" s="136"/>
      <c r="CM49757" s="111"/>
      <c r="CQ49757" s="111"/>
      <c r="EF49757"/>
      <c r="EG49757"/>
      <c r="EH49757"/>
      <c r="EI49757"/>
      <c r="EJ49757"/>
      <c r="EK49757"/>
    </row>
    <row r="49758" spans="1:141" s="116" customFormat="1">
      <c r="A49758" s="136"/>
      <c r="CM49758" s="111"/>
      <c r="CQ49758" s="111"/>
      <c r="EF49758"/>
      <c r="EG49758"/>
      <c r="EH49758"/>
      <c r="EI49758"/>
      <c r="EJ49758"/>
      <c r="EK49758"/>
    </row>
    <row r="49759" spans="1:141" s="116" customFormat="1">
      <c r="A49759" s="136"/>
      <c r="CM49759" s="111"/>
      <c r="CQ49759" s="111"/>
      <c r="EF49759"/>
      <c r="EG49759"/>
      <c r="EH49759"/>
      <c r="EI49759"/>
      <c r="EJ49759"/>
      <c r="EK49759"/>
    </row>
    <row r="49760" spans="1:141" s="116" customFormat="1">
      <c r="A49760" s="136"/>
      <c r="CM49760" s="111"/>
      <c r="CQ49760" s="111"/>
      <c r="EF49760"/>
      <c r="EG49760"/>
      <c r="EH49760"/>
      <c r="EI49760"/>
      <c r="EJ49760"/>
      <c r="EK49760"/>
    </row>
    <row r="49761" spans="1:141" s="116" customFormat="1">
      <c r="A49761" s="136"/>
      <c r="CM49761" s="111"/>
      <c r="CQ49761" s="111"/>
      <c r="EF49761"/>
      <c r="EG49761"/>
      <c r="EH49761"/>
      <c r="EI49761"/>
      <c r="EJ49761"/>
      <c r="EK49761"/>
    </row>
    <row r="49762" spans="1:141" s="116" customFormat="1">
      <c r="A49762" s="136"/>
      <c r="CM49762" s="111"/>
      <c r="CQ49762" s="111"/>
      <c r="EF49762"/>
      <c r="EG49762"/>
      <c r="EH49762"/>
      <c r="EI49762"/>
      <c r="EJ49762"/>
      <c r="EK49762"/>
    </row>
    <row r="49763" spans="1:141" s="116" customFormat="1">
      <c r="A49763" s="136"/>
      <c r="CM49763" s="111"/>
      <c r="CQ49763" s="111"/>
      <c r="EF49763"/>
      <c r="EG49763"/>
      <c r="EH49763"/>
      <c r="EI49763"/>
      <c r="EJ49763"/>
      <c r="EK49763"/>
    </row>
    <row r="49764" spans="1:141" s="116" customFormat="1">
      <c r="A49764" s="136"/>
      <c r="CM49764" s="111"/>
      <c r="CQ49764" s="111"/>
      <c r="EF49764"/>
      <c r="EG49764"/>
      <c r="EH49764"/>
      <c r="EI49764"/>
      <c r="EJ49764"/>
      <c r="EK49764"/>
    </row>
    <row r="49765" spans="1:141" s="116" customFormat="1">
      <c r="A49765" s="136"/>
      <c r="CM49765" s="111"/>
      <c r="CQ49765" s="111"/>
      <c r="EF49765"/>
      <c r="EG49765"/>
      <c r="EH49765"/>
      <c r="EI49765"/>
      <c r="EJ49765"/>
      <c r="EK49765"/>
    </row>
    <row r="49766" spans="1:141" s="116" customFormat="1">
      <c r="A49766" s="136"/>
      <c r="CM49766" s="111"/>
      <c r="CQ49766" s="111"/>
      <c r="EF49766"/>
      <c r="EG49766"/>
      <c r="EH49766"/>
      <c r="EI49766"/>
      <c r="EJ49766"/>
      <c r="EK49766"/>
    </row>
    <row r="49767" spans="1:141" s="116" customFormat="1">
      <c r="A49767" s="136"/>
      <c r="CM49767" s="111"/>
      <c r="CQ49767" s="111"/>
      <c r="EF49767"/>
      <c r="EG49767"/>
      <c r="EH49767"/>
      <c r="EI49767"/>
      <c r="EJ49767"/>
      <c r="EK49767"/>
    </row>
    <row r="49768" spans="1:141" s="116" customFormat="1">
      <c r="A49768" s="136"/>
      <c r="CM49768" s="111"/>
      <c r="CQ49768" s="111"/>
      <c r="EF49768"/>
      <c r="EG49768"/>
      <c r="EH49768"/>
      <c r="EI49768"/>
      <c r="EJ49768"/>
      <c r="EK49768"/>
    </row>
    <row r="49769" spans="1:141" s="116" customFormat="1">
      <c r="A49769" s="136"/>
      <c r="CM49769" s="111"/>
      <c r="CQ49769" s="111"/>
      <c r="EF49769"/>
      <c r="EG49769"/>
      <c r="EH49769"/>
      <c r="EI49769"/>
      <c r="EJ49769"/>
      <c r="EK49769"/>
    </row>
    <row r="49770" spans="1:141" s="116" customFormat="1">
      <c r="A49770" s="136"/>
      <c r="CM49770" s="111"/>
      <c r="CQ49770" s="111"/>
      <c r="EF49770"/>
      <c r="EG49770"/>
      <c r="EH49770"/>
      <c r="EI49770"/>
      <c r="EJ49770"/>
      <c r="EK49770"/>
    </row>
    <row r="49771" spans="1:141" s="116" customFormat="1">
      <c r="A49771" s="136"/>
      <c r="CM49771" s="111"/>
      <c r="CQ49771" s="111"/>
      <c r="EF49771"/>
      <c r="EG49771"/>
      <c r="EH49771"/>
      <c r="EI49771"/>
      <c r="EJ49771"/>
      <c r="EK49771"/>
    </row>
    <row r="49772" spans="1:141" s="116" customFormat="1">
      <c r="A49772" s="136"/>
      <c r="CM49772" s="111"/>
      <c r="CQ49772" s="111"/>
      <c r="EF49772"/>
      <c r="EG49772"/>
      <c r="EH49772"/>
      <c r="EI49772"/>
      <c r="EJ49772"/>
      <c r="EK49772"/>
    </row>
    <row r="49773" spans="1:141" s="116" customFormat="1">
      <c r="A49773" s="136"/>
      <c r="CM49773" s="111"/>
      <c r="CQ49773" s="111"/>
      <c r="EF49773"/>
      <c r="EG49773"/>
      <c r="EH49773"/>
      <c r="EI49773"/>
      <c r="EJ49773"/>
      <c r="EK49773"/>
    </row>
    <row r="49774" spans="1:141" s="116" customFormat="1">
      <c r="A49774" s="136"/>
      <c r="CM49774" s="111"/>
      <c r="CQ49774" s="111"/>
      <c r="EF49774"/>
      <c r="EG49774"/>
      <c r="EH49774"/>
      <c r="EI49774"/>
      <c r="EJ49774"/>
      <c r="EK49774"/>
    </row>
    <row r="49775" spans="1:141" s="116" customFormat="1">
      <c r="A49775" s="136"/>
      <c r="CM49775" s="111"/>
      <c r="CQ49775" s="111"/>
      <c r="EF49775"/>
      <c r="EG49775"/>
      <c r="EH49775"/>
      <c r="EI49775"/>
      <c r="EJ49775"/>
      <c r="EK49775"/>
    </row>
    <row r="49776" spans="1:141" s="116" customFormat="1">
      <c r="A49776" s="136"/>
      <c r="CM49776" s="111"/>
      <c r="CQ49776" s="111"/>
      <c r="EF49776"/>
      <c r="EG49776"/>
      <c r="EH49776"/>
      <c r="EI49776"/>
      <c r="EJ49776"/>
      <c r="EK49776"/>
    </row>
    <row r="49777" spans="1:141" s="116" customFormat="1">
      <c r="A49777" s="136"/>
      <c r="CM49777" s="111"/>
      <c r="CQ49777" s="111"/>
      <c r="EF49777"/>
      <c r="EG49777"/>
      <c r="EH49777"/>
      <c r="EI49777"/>
      <c r="EJ49777"/>
      <c r="EK49777"/>
    </row>
    <row r="49778" spans="1:141" s="116" customFormat="1">
      <c r="A49778" s="136"/>
      <c r="CM49778" s="111"/>
      <c r="CQ49778" s="111"/>
      <c r="EF49778"/>
      <c r="EG49778"/>
      <c r="EH49778"/>
      <c r="EI49778"/>
      <c r="EJ49778"/>
      <c r="EK49778"/>
    </row>
    <row r="49779" spans="1:141" s="116" customFormat="1">
      <c r="A49779" s="136"/>
      <c r="CM49779" s="111"/>
      <c r="CQ49779" s="111"/>
      <c r="EF49779"/>
      <c r="EG49779"/>
      <c r="EH49779"/>
      <c r="EI49779"/>
      <c r="EJ49779"/>
      <c r="EK49779"/>
    </row>
    <row r="49780" spans="1:141" s="116" customFormat="1">
      <c r="A49780" s="136"/>
      <c r="CM49780" s="111"/>
      <c r="CQ49780" s="111"/>
      <c r="EF49780"/>
      <c r="EG49780"/>
      <c r="EH49780"/>
      <c r="EI49780"/>
      <c r="EJ49780"/>
      <c r="EK49780"/>
    </row>
    <row r="49781" spans="1:141" s="116" customFormat="1">
      <c r="A49781" s="136"/>
      <c r="CM49781" s="111"/>
      <c r="CQ49781" s="111"/>
      <c r="EF49781"/>
      <c r="EG49781"/>
      <c r="EH49781"/>
      <c r="EI49781"/>
      <c r="EJ49781"/>
      <c r="EK49781"/>
    </row>
    <row r="49782" spans="1:141" s="116" customFormat="1">
      <c r="A49782" s="136"/>
      <c r="CM49782" s="111"/>
      <c r="CQ49782" s="111"/>
      <c r="EF49782"/>
      <c r="EG49782"/>
      <c r="EH49782"/>
      <c r="EI49782"/>
      <c r="EJ49782"/>
      <c r="EK49782"/>
    </row>
    <row r="49783" spans="1:141" s="116" customFormat="1">
      <c r="A49783" s="136"/>
      <c r="CM49783" s="111"/>
      <c r="CQ49783" s="111"/>
      <c r="EF49783"/>
      <c r="EG49783"/>
      <c r="EH49783"/>
      <c r="EI49783"/>
      <c r="EJ49783"/>
      <c r="EK49783"/>
    </row>
    <row r="49784" spans="1:141" s="116" customFormat="1">
      <c r="A49784" s="136"/>
      <c r="CM49784" s="111"/>
      <c r="CQ49784" s="111"/>
      <c r="EF49784"/>
      <c r="EG49784"/>
      <c r="EH49784"/>
      <c r="EI49784"/>
      <c r="EJ49784"/>
      <c r="EK49784"/>
    </row>
    <row r="49785" spans="1:141" s="116" customFormat="1">
      <c r="A49785" s="136"/>
      <c r="CM49785" s="111"/>
      <c r="CQ49785" s="111"/>
      <c r="EF49785"/>
      <c r="EG49785"/>
      <c r="EH49785"/>
      <c r="EI49785"/>
      <c r="EJ49785"/>
      <c r="EK49785"/>
    </row>
    <row r="49786" spans="1:141" s="116" customFormat="1">
      <c r="A49786" s="136"/>
      <c r="CM49786" s="111"/>
      <c r="CQ49786" s="111"/>
      <c r="EF49786"/>
      <c r="EG49786"/>
      <c r="EH49786"/>
      <c r="EI49786"/>
      <c r="EJ49786"/>
      <c r="EK49786"/>
    </row>
    <row r="49787" spans="1:141" s="116" customFormat="1">
      <c r="A49787" s="136"/>
      <c r="CM49787" s="111"/>
      <c r="CQ49787" s="111"/>
      <c r="EF49787"/>
      <c r="EG49787"/>
      <c r="EH49787"/>
      <c r="EI49787"/>
      <c r="EJ49787"/>
      <c r="EK49787"/>
    </row>
    <row r="49788" spans="1:141" s="116" customFormat="1">
      <c r="A49788" s="136"/>
      <c r="CM49788" s="111"/>
      <c r="CQ49788" s="111"/>
      <c r="EF49788"/>
      <c r="EG49788"/>
      <c r="EH49788"/>
      <c r="EI49788"/>
      <c r="EJ49788"/>
      <c r="EK49788"/>
    </row>
    <row r="49789" spans="1:141" s="116" customFormat="1">
      <c r="A49789" s="136"/>
      <c r="CM49789" s="111"/>
      <c r="CQ49789" s="111"/>
      <c r="EF49789"/>
      <c r="EG49789"/>
      <c r="EH49789"/>
      <c r="EI49789"/>
      <c r="EJ49789"/>
      <c r="EK49789"/>
    </row>
    <row r="49790" spans="1:141" s="116" customFormat="1">
      <c r="A49790" s="136"/>
      <c r="CM49790" s="111"/>
      <c r="CQ49790" s="111"/>
      <c r="EF49790"/>
      <c r="EG49790"/>
      <c r="EH49790"/>
      <c r="EI49790"/>
      <c r="EJ49790"/>
      <c r="EK49790"/>
    </row>
    <row r="49791" spans="1:141" s="116" customFormat="1">
      <c r="A49791" s="136"/>
      <c r="CM49791" s="111"/>
      <c r="CQ49791" s="111"/>
      <c r="EF49791"/>
      <c r="EG49791"/>
      <c r="EH49791"/>
      <c r="EI49791"/>
      <c r="EJ49791"/>
      <c r="EK49791"/>
    </row>
    <row r="49792" spans="1:141" s="116" customFormat="1">
      <c r="A49792" s="136"/>
      <c r="CM49792" s="111"/>
      <c r="CQ49792" s="111"/>
      <c r="EF49792"/>
      <c r="EG49792"/>
      <c r="EH49792"/>
      <c r="EI49792"/>
      <c r="EJ49792"/>
      <c r="EK49792"/>
    </row>
    <row r="49793" spans="1:141" s="116" customFormat="1">
      <c r="A49793" s="136"/>
      <c r="CM49793" s="111"/>
      <c r="CQ49793" s="111"/>
      <c r="EF49793"/>
      <c r="EG49793"/>
      <c r="EH49793"/>
      <c r="EI49793"/>
      <c r="EJ49793"/>
      <c r="EK49793"/>
    </row>
    <row r="49794" spans="1:141" s="116" customFormat="1">
      <c r="A49794" s="136"/>
      <c r="CM49794" s="111"/>
      <c r="CQ49794" s="111"/>
      <c r="EF49794"/>
      <c r="EG49794"/>
      <c r="EH49794"/>
      <c r="EI49794"/>
      <c r="EJ49794"/>
      <c r="EK49794"/>
    </row>
    <row r="49795" spans="1:141" s="116" customFormat="1">
      <c r="A49795" s="136"/>
      <c r="CM49795" s="111"/>
      <c r="CQ49795" s="111"/>
      <c r="EF49795"/>
      <c r="EG49795"/>
      <c r="EH49795"/>
      <c r="EI49795"/>
      <c r="EJ49795"/>
      <c r="EK49795"/>
    </row>
    <row r="49796" spans="1:141" s="116" customFormat="1">
      <c r="A49796" s="136"/>
      <c r="CM49796" s="111"/>
      <c r="CQ49796" s="111"/>
      <c r="EF49796"/>
      <c r="EG49796"/>
      <c r="EH49796"/>
      <c r="EI49796"/>
      <c r="EJ49796"/>
      <c r="EK49796"/>
    </row>
    <row r="49797" spans="1:141" s="116" customFormat="1">
      <c r="A49797" s="136"/>
      <c r="CM49797" s="111"/>
      <c r="CQ49797" s="111"/>
      <c r="EF49797"/>
      <c r="EG49797"/>
      <c r="EH49797"/>
      <c r="EI49797"/>
      <c r="EJ49797"/>
      <c r="EK49797"/>
    </row>
    <row r="49798" spans="1:141" s="116" customFormat="1">
      <c r="A49798" s="136"/>
      <c r="CM49798" s="111"/>
      <c r="CQ49798" s="111"/>
      <c r="EF49798"/>
      <c r="EG49798"/>
      <c r="EH49798"/>
      <c r="EI49798"/>
      <c r="EJ49798"/>
      <c r="EK49798"/>
    </row>
    <row r="49799" spans="1:141" s="116" customFormat="1">
      <c r="A49799" s="136"/>
      <c r="CM49799" s="111"/>
      <c r="CQ49799" s="111"/>
      <c r="EF49799"/>
      <c r="EG49799"/>
      <c r="EH49799"/>
      <c r="EI49799"/>
      <c r="EJ49799"/>
      <c r="EK49799"/>
    </row>
    <row r="49800" spans="1:141" s="116" customFormat="1">
      <c r="A49800" s="136"/>
      <c r="CM49800" s="111"/>
      <c r="CQ49800" s="111"/>
      <c r="EF49800"/>
      <c r="EG49800"/>
      <c r="EH49800"/>
      <c r="EI49800"/>
      <c r="EJ49800"/>
      <c r="EK49800"/>
    </row>
    <row r="49801" spans="1:141" s="116" customFormat="1">
      <c r="A49801" s="136"/>
      <c r="CM49801" s="111"/>
      <c r="CQ49801" s="111"/>
      <c r="EF49801"/>
      <c r="EG49801"/>
      <c r="EH49801"/>
      <c r="EI49801"/>
      <c r="EJ49801"/>
      <c r="EK49801"/>
    </row>
    <row r="49802" spans="1:141" s="116" customFormat="1">
      <c r="A49802" s="136"/>
      <c r="CM49802" s="111"/>
      <c r="CQ49802" s="111"/>
      <c r="EF49802"/>
      <c r="EG49802"/>
      <c r="EH49802"/>
      <c r="EI49802"/>
      <c r="EJ49802"/>
      <c r="EK49802"/>
    </row>
    <row r="49803" spans="1:141" s="116" customFormat="1">
      <c r="A49803" s="136"/>
      <c r="CM49803" s="111"/>
      <c r="CQ49803" s="111"/>
      <c r="EF49803"/>
      <c r="EG49803"/>
      <c r="EH49803"/>
      <c r="EI49803"/>
      <c r="EJ49803"/>
      <c r="EK49803"/>
    </row>
    <row r="49804" spans="1:141" s="116" customFormat="1">
      <c r="A49804" s="136"/>
      <c r="CM49804" s="111"/>
      <c r="CQ49804" s="111"/>
      <c r="EF49804"/>
      <c r="EG49804"/>
      <c r="EH49804"/>
      <c r="EI49804"/>
      <c r="EJ49804"/>
      <c r="EK49804"/>
    </row>
    <row r="49805" spans="1:141" s="116" customFormat="1">
      <c r="A49805" s="136"/>
      <c r="CM49805" s="111"/>
      <c r="CQ49805" s="111"/>
      <c r="EF49805"/>
      <c r="EG49805"/>
      <c r="EH49805"/>
      <c r="EI49805"/>
      <c r="EJ49805"/>
      <c r="EK49805"/>
    </row>
    <row r="49806" spans="1:141" s="116" customFormat="1">
      <c r="A49806" s="136"/>
      <c r="CM49806" s="111"/>
      <c r="CQ49806" s="111"/>
      <c r="EF49806"/>
      <c r="EG49806"/>
      <c r="EH49806"/>
      <c r="EI49806"/>
      <c r="EJ49806"/>
      <c r="EK49806"/>
    </row>
    <row r="49807" spans="1:141" s="116" customFormat="1">
      <c r="A49807" s="136"/>
      <c r="CM49807" s="111"/>
      <c r="CQ49807" s="111"/>
      <c r="EF49807"/>
      <c r="EG49807"/>
      <c r="EH49807"/>
      <c r="EI49807"/>
      <c r="EJ49807"/>
      <c r="EK49807"/>
    </row>
    <row r="49808" spans="1:141" s="116" customFormat="1">
      <c r="A49808" s="136"/>
      <c r="CM49808" s="111"/>
      <c r="CQ49808" s="111"/>
      <c r="EF49808"/>
      <c r="EG49808"/>
      <c r="EH49808"/>
      <c r="EI49808"/>
      <c r="EJ49808"/>
      <c r="EK49808"/>
    </row>
    <row r="49809" spans="1:141" s="116" customFormat="1">
      <c r="A49809" s="136"/>
      <c r="CM49809" s="111"/>
      <c r="CQ49809" s="111"/>
      <c r="EF49809"/>
      <c r="EG49809"/>
      <c r="EH49809"/>
      <c r="EI49809"/>
      <c r="EJ49809"/>
      <c r="EK49809"/>
    </row>
    <row r="49810" spans="1:141" s="116" customFormat="1">
      <c r="A49810" s="136"/>
      <c r="CM49810" s="111"/>
      <c r="CQ49810" s="111"/>
      <c r="EF49810"/>
      <c r="EG49810"/>
      <c r="EH49810"/>
      <c r="EI49810"/>
      <c r="EJ49810"/>
      <c r="EK49810"/>
    </row>
    <row r="49811" spans="1:141" s="116" customFormat="1">
      <c r="A49811" s="136"/>
      <c r="CM49811" s="111"/>
      <c r="CQ49811" s="111"/>
      <c r="EF49811"/>
      <c r="EG49811"/>
      <c r="EH49811"/>
      <c r="EI49811"/>
      <c r="EJ49811"/>
      <c r="EK49811"/>
    </row>
    <row r="49812" spans="1:141" s="116" customFormat="1">
      <c r="A49812" s="136"/>
      <c r="CM49812" s="111"/>
      <c r="CQ49812" s="111"/>
      <c r="EF49812"/>
      <c r="EG49812"/>
      <c r="EH49812"/>
      <c r="EI49812"/>
      <c r="EJ49812"/>
      <c r="EK49812"/>
    </row>
    <row r="49813" spans="1:141" s="116" customFormat="1">
      <c r="A49813" s="136"/>
      <c r="CM49813" s="111"/>
      <c r="CQ49813" s="111"/>
      <c r="EF49813"/>
      <c r="EG49813"/>
      <c r="EH49813"/>
      <c r="EI49813"/>
      <c r="EJ49813"/>
      <c r="EK49813"/>
    </row>
    <row r="49814" spans="1:141" s="116" customFormat="1">
      <c r="A49814" s="136"/>
      <c r="CM49814" s="111"/>
      <c r="CQ49814" s="111"/>
      <c r="EF49814"/>
      <c r="EG49814"/>
      <c r="EH49814"/>
      <c r="EI49814"/>
      <c r="EJ49814"/>
      <c r="EK49814"/>
    </row>
    <row r="49815" spans="1:141" s="116" customFormat="1">
      <c r="A49815" s="136"/>
      <c r="CM49815" s="111"/>
      <c r="CQ49815" s="111"/>
      <c r="EF49815"/>
      <c r="EG49815"/>
      <c r="EH49815"/>
      <c r="EI49815"/>
      <c r="EJ49815"/>
      <c r="EK49815"/>
    </row>
    <row r="49816" spans="1:141" s="116" customFormat="1">
      <c r="A49816" s="136"/>
      <c r="CM49816" s="111"/>
      <c r="CQ49816" s="111"/>
      <c r="EF49816"/>
      <c r="EG49816"/>
      <c r="EH49816"/>
      <c r="EI49816"/>
      <c r="EJ49816"/>
      <c r="EK49816"/>
    </row>
    <row r="49817" spans="1:141" s="116" customFormat="1">
      <c r="A49817" s="136"/>
      <c r="CM49817" s="111"/>
      <c r="CQ49817" s="111"/>
      <c r="EF49817"/>
      <c r="EG49817"/>
      <c r="EH49817"/>
      <c r="EI49817"/>
      <c r="EJ49817"/>
      <c r="EK49817"/>
    </row>
    <row r="49818" spans="1:141" s="116" customFormat="1">
      <c r="A49818" s="136"/>
      <c r="CM49818" s="111"/>
      <c r="CQ49818" s="111"/>
      <c r="EF49818"/>
      <c r="EG49818"/>
      <c r="EH49818"/>
      <c r="EI49818"/>
      <c r="EJ49818"/>
      <c r="EK49818"/>
    </row>
    <row r="49819" spans="1:141" s="116" customFormat="1">
      <c r="A49819" s="136"/>
      <c r="CM49819" s="111"/>
      <c r="CQ49819" s="111"/>
      <c r="EF49819"/>
      <c r="EG49819"/>
      <c r="EH49819"/>
      <c r="EI49819"/>
      <c r="EJ49819"/>
      <c r="EK49819"/>
    </row>
    <row r="49820" spans="1:141" s="116" customFormat="1">
      <c r="A49820" s="136"/>
      <c r="CM49820" s="111"/>
      <c r="CQ49820" s="111"/>
      <c r="EF49820"/>
      <c r="EG49820"/>
      <c r="EH49820"/>
      <c r="EI49820"/>
      <c r="EJ49820"/>
      <c r="EK49820"/>
    </row>
    <row r="49821" spans="1:141" s="116" customFormat="1">
      <c r="A49821" s="136"/>
      <c r="CM49821" s="111"/>
      <c r="CQ49821" s="111"/>
      <c r="EF49821"/>
      <c r="EG49821"/>
      <c r="EH49821"/>
      <c r="EI49821"/>
      <c r="EJ49821"/>
      <c r="EK49821"/>
    </row>
    <row r="49822" spans="1:141" s="116" customFormat="1">
      <c r="A49822" s="136"/>
      <c r="CM49822" s="111"/>
      <c r="CQ49822" s="111"/>
      <c r="EF49822"/>
      <c r="EG49822"/>
      <c r="EH49822"/>
      <c r="EI49822"/>
      <c r="EJ49822"/>
      <c r="EK49822"/>
    </row>
    <row r="49823" spans="1:141" s="116" customFormat="1">
      <c r="A49823" s="136"/>
      <c r="CM49823" s="111"/>
      <c r="CQ49823" s="111"/>
      <c r="EF49823"/>
      <c r="EG49823"/>
      <c r="EH49823"/>
      <c r="EI49823"/>
      <c r="EJ49823"/>
      <c r="EK49823"/>
    </row>
    <row r="49824" spans="1:141" s="116" customFormat="1">
      <c r="A49824" s="136"/>
      <c r="CM49824" s="111"/>
      <c r="CQ49824" s="111"/>
      <c r="EF49824"/>
      <c r="EG49824"/>
      <c r="EH49824"/>
      <c r="EI49824"/>
      <c r="EJ49824"/>
      <c r="EK49824"/>
    </row>
    <row r="49825" spans="1:141" s="116" customFormat="1">
      <c r="A49825" s="136"/>
      <c r="CM49825" s="111"/>
      <c r="CQ49825" s="111"/>
      <c r="EF49825"/>
      <c r="EG49825"/>
      <c r="EH49825"/>
      <c r="EI49825"/>
      <c r="EJ49825"/>
      <c r="EK49825"/>
    </row>
    <row r="49826" spans="1:141" s="116" customFormat="1">
      <c r="A49826" s="136"/>
      <c r="CM49826" s="111"/>
      <c r="CQ49826" s="111"/>
      <c r="EF49826"/>
      <c r="EG49826"/>
      <c r="EH49826"/>
      <c r="EI49826"/>
      <c r="EJ49826"/>
      <c r="EK49826"/>
    </row>
    <row r="49827" spans="1:141" s="116" customFormat="1">
      <c r="A49827" s="136"/>
      <c r="CM49827" s="111"/>
      <c r="CQ49827" s="111"/>
      <c r="EF49827"/>
      <c r="EG49827"/>
      <c r="EH49827"/>
      <c r="EI49827"/>
      <c r="EJ49827"/>
      <c r="EK49827"/>
    </row>
    <row r="49828" spans="1:141" s="116" customFormat="1">
      <c r="A49828" s="136"/>
      <c r="CM49828" s="111"/>
      <c r="CQ49828" s="111"/>
      <c r="EF49828"/>
      <c r="EG49828"/>
      <c r="EH49828"/>
      <c r="EI49828"/>
      <c r="EJ49828"/>
      <c r="EK49828"/>
    </row>
    <row r="49829" spans="1:141" s="116" customFormat="1">
      <c r="A49829" s="136"/>
      <c r="CM49829" s="111"/>
      <c r="CQ49829" s="111"/>
      <c r="EF49829"/>
      <c r="EG49829"/>
      <c r="EH49829"/>
      <c r="EI49829"/>
      <c r="EJ49829"/>
      <c r="EK49829"/>
    </row>
    <row r="49830" spans="1:141" s="116" customFormat="1">
      <c r="A49830" s="136"/>
      <c r="CM49830" s="111"/>
      <c r="CQ49830" s="111"/>
      <c r="EF49830"/>
      <c r="EG49830"/>
      <c r="EH49830"/>
      <c r="EI49830"/>
      <c r="EJ49830"/>
      <c r="EK49830"/>
    </row>
    <row r="49831" spans="1:141" s="116" customFormat="1">
      <c r="A49831" s="136"/>
      <c r="CM49831" s="111"/>
      <c r="CQ49831" s="111"/>
      <c r="EF49831"/>
      <c r="EG49831"/>
      <c r="EH49831"/>
      <c r="EI49831"/>
      <c r="EJ49831"/>
      <c r="EK49831"/>
    </row>
    <row r="49832" spans="1:141" s="116" customFormat="1">
      <c r="A49832" s="136"/>
      <c r="CM49832" s="111"/>
      <c r="CQ49832" s="111"/>
      <c r="EF49832"/>
      <c r="EG49832"/>
      <c r="EH49832"/>
      <c r="EI49832"/>
      <c r="EJ49832"/>
      <c r="EK49832"/>
    </row>
    <row r="49833" spans="1:141" s="116" customFormat="1">
      <c r="A49833" s="136"/>
      <c r="CM49833" s="111"/>
      <c r="CQ49833" s="111"/>
      <c r="EF49833"/>
      <c r="EG49833"/>
      <c r="EH49833"/>
      <c r="EI49833"/>
      <c r="EJ49833"/>
      <c r="EK49833"/>
    </row>
    <row r="49834" spans="1:141" s="116" customFormat="1">
      <c r="A49834" s="136"/>
      <c r="CM49834" s="111"/>
      <c r="CQ49834" s="111"/>
      <c r="EF49834"/>
      <c r="EG49834"/>
      <c r="EH49834"/>
      <c r="EI49834"/>
      <c r="EJ49834"/>
      <c r="EK49834"/>
    </row>
    <row r="49835" spans="1:141" s="116" customFormat="1">
      <c r="A49835" s="136"/>
      <c r="CM49835" s="111"/>
      <c r="CQ49835" s="111"/>
      <c r="EF49835"/>
      <c r="EG49835"/>
      <c r="EH49835"/>
      <c r="EI49835"/>
      <c r="EJ49835"/>
      <c r="EK49835"/>
    </row>
    <row r="49836" spans="1:141" s="116" customFormat="1">
      <c r="A49836" s="136"/>
      <c r="CM49836" s="111"/>
      <c r="CQ49836" s="111"/>
      <c r="EF49836"/>
      <c r="EG49836"/>
      <c r="EH49836"/>
      <c r="EI49836"/>
      <c r="EJ49836"/>
      <c r="EK49836"/>
    </row>
    <row r="49837" spans="1:141" s="116" customFormat="1">
      <c r="A49837" s="136"/>
      <c r="CM49837" s="111"/>
      <c r="CQ49837" s="111"/>
      <c r="EF49837"/>
      <c r="EG49837"/>
      <c r="EH49837"/>
      <c r="EI49837"/>
      <c r="EJ49837"/>
      <c r="EK49837"/>
    </row>
    <row r="49838" spans="1:141" s="116" customFormat="1">
      <c r="A49838" s="136"/>
      <c r="CM49838" s="111"/>
      <c r="CQ49838" s="111"/>
      <c r="EF49838"/>
      <c r="EG49838"/>
      <c r="EH49838"/>
      <c r="EI49838"/>
      <c r="EJ49838"/>
      <c r="EK49838"/>
    </row>
    <row r="49839" spans="1:141" s="116" customFormat="1">
      <c r="A49839" s="136"/>
      <c r="CM49839" s="111"/>
      <c r="CQ49839" s="111"/>
      <c r="EF49839"/>
      <c r="EG49839"/>
      <c r="EH49839"/>
      <c r="EI49839"/>
      <c r="EJ49839"/>
      <c r="EK49839"/>
    </row>
    <row r="49840" spans="1:141" s="116" customFormat="1">
      <c r="A49840" s="136"/>
      <c r="CM49840" s="111"/>
      <c r="CQ49840" s="111"/>
      <c r="EF49840"/>
      <c r="EG49840"/>
      <c r="EH49840"/>
      <c r="EI49840"/>
      <c r="EJ49840"/>
      <c r="EK49840"/>
    </row>
    <row r="49841" spans="1:141" s="116" customFormat="1">
      <c r="A49841" s="136"/>
      <c r="CM49841" s="111"/>
      <c r="CQ49841" s="111"/>
      <c r="EF49841"/>
      <c r="EG49841"/>
      <c r="EH49841"/>
      <c r="EI49841"/>
      <c r="EJ49841"/>
      <c r="EK49841"/>
    </row>
    <row r="49842" spans="1:141" s="116" customFormat="1">
      <c r="A49842" s="136"/>
      <c r="CM49842" s="111"/>
      <c r="CQ49842" s="111"/>
      <c r="EF49842"/>
      <c r="EG49842"/>
      <c r="EH49842"/>
      <c r="EI49842"/>
      <c r="EJ49842"/>
      <c r="EK49842"/>
    </row>
    <row r="49843" spans="1:141" s="116" customFormat="1">
      <c r="A49843" s="136"/>
      <c r="CM49843" s="111"/>
      <c r="CQ49843" s="111"/>
      <c r="EF49843"/>
      <c r="EG49843"/>
      <c r="EH49843"/>
      <c r="EI49843"/>
      <c r="EJ49843"/>
      <c r="EK49843"/>
    </row>
    <row r="49844" spans="1:141" s="116" customFormat="1">
      <c r="A49844" s="136"/>
      <c r="CM49844" s="111"/>
      <c r="CQ49844" s="111"/>
      <c r="EF49844"/>
      <c r="EG49844"/>
      <c r="EH49844"/>
      <c r="EI49844"/>
      <c r="EJ49844"/>
      <c r="EK49844"/>
    </row>
    <row r="49845" spans="1:141" s="116" customFormat="1">
      <c r="A49845" s="136"/>
      <c r="CM49845" s="111"/>
      <c r="CQ49845" s="111"/>
      <c r="EF49845"/>
      <c r="EG49845"/>
      <c r="EH49845"/>
      <c r="EI49845"/>
      <c r="EJ49845"/>
      <c r="EK49845"/>
    </row>
    <row r="49846" spans="1:141" s="116" customFormat="1">
      <c r="A49846" s="136"/>
      <c r="CM49846" s="111"/>
      <c r="CQ49846" s="111"/>
      <c r="EF49846"/>
      <c r="EG49846"/>
      <c r="EH49846"/>
      <c r="EI49846"/>
      <c r="EJ49846"/>
      <c r="EK49846"/>
    </row>
    <row r="49847" spans="1:141" s="116" customFormat="1">
      <c r="A49847" s="136"/>
      <c r="CM49847" s="111"/>
      <c r="CQ49847" s="111"/>
      <c r="EF49847"/>
      <c r="EG49847"/>
      <c r="EH49847"/>
      <c r="EI49847"/>
      <c r="EJ49847"/>
      <c r="EK49847"/>
    </row>
    <row r="49848" spans="1:141" s="116" customFormat="1">
      <c r="A49848" s="136"/>
      <c r="CM49848" s="111"/>
      <c r="CQ49848" s="111"/>
      <c r="EF49848"/>
      <c r="EG49848"/>
      <c r="EH49848"/>
      <c r="EI49848"/>
      <c r="EJ49848"/>
      <c r="EK49848"/>
    </row>
    <row r="49849" spans="1:141" s="116" customFormat="1">
      <c r="A49849" s="136"/>
      <c r="CM49849" s="111"/>
      <c r="CQ49849" s="111"/>
      <c r="EF49849"/>
      <c r="EG49849"/>
      <c r="EH49849"/>
      <c r="EI49849"/>
      <c r="EJ49849"/>
      <c r="EK49849"/>
    </row>
    <row r="49850" spans="1:141" s="116" customFormat="1">
      <c r="A49850" s="136"/>
      <c r="CM49850" s="111"/>
      <c r="CQ49850" s="111"/>
      <c r="EF49850"/>
      <c r="EG49850"/>
      <c r="EH49850"/>
      <c r="EI49850"/>
      <c r="EJ49850"/>
      <c r="EK49850"/>
    </row>
    <row r="49851" spans="1:141" s="116" customFormat="1">
      <c r="A49851" s="136"/>
      <c r="CM49851" s="111"/>
      <c r="CQ49851" s="111"/>
      <c r="EF49851"/>
      <c r="EG49851"/>
      <c r="EH49851"/>
      <c r="EI49851"/>
      <c r="EJ49851"/>
      <c r="EK49851"/>
    </row>
    <row r="49852" spans="1:141" s="116" customFormat="1">
      <c r="A49852" s="136"/>
      <c r="CM49852" s="111"/>
      <c r="CQ49852" s="111"/>
      <c r="EF49852"/>
      <c r="EG49852"/>
      <c r="EH49852"/>
      <c r="EI49852"/>
      <c r="EJ49852"/>
      <c r="EK49852"/>
    </row>
    <row r="49853" spans="1:141" s="116" customFormat="1">
      <c r="A49853" s="136"/>
      <c r="CM49853" s="111"/>
      <c r="CQ49853" s="111"/>
      <c r="EF49853"/>
      <c r="EG49853"/>
      <c r="EH49853"/>
      <c r="EI49853"/>
      <c r="EJ49853"/>
      <c r="EK49853"/>
    </row>
    <row r="49854" spans="1:141" s="116" customFormat="1">
      <c r="A49854" s="136"/>
      <c r="CM49854" s="111"/>
      <c r="CQ49854" s="111"/>
      <c r="EF49854"/>
      <c r="EG49854"/>
      <c r="EH49854"/>
      <c r="EI49854"/>
      <c r="EJ49854"/>
      <c r="EK49854"/>
    </row>
    <row r="49855" spans="1:141" s="116" customFormat="1">
      <c r="A49855" s="136"/>
      <c r="CM49855" s="111"/>
      <c r="CQ49855" s="111"/>
      <c r="EF49855"/>
      <c r="EG49855"/>
      <c r="EH49855"/>
      <c r="EI49855"/>
      <c r="EJ49855"/>
      <c r="EK49855"/>
    </row>
    <row r="49856" spans="1:141" s="116" customFormat="1">
      <c r="A49856" s="136"/>
      <c r="CM49856" s="111"/>
      <c r="CQ49856" s="111"/>
      <c r="EF49856"/>
      <c r="EG49856"/>
      <c r="EH49856"/>
      <c r="EI49856"/>
      <c r="EJ49856"/>
      <c r="EK49856"/>
    </row>
    <row r="49857" spans="1:141" s="116" customFormat="1">
      <c r="A49857" s="136"/>
      <c r="CM49857" s="111"/>
      <c r="CQ49857" s="111"/>
      <c r="EF49857"/>
      <c r="EG49857"/>
      <c r="EH49857"/>
      <c r="EI49857"/>
      <c r="EJ49857"/>
      <c r="EK49857"/>
    </row>
    <row r="49858" spans="1:141" s="116" customFormat="1">
      <c r="A49858" s="136"/>
      <c r="CM49858" s="111"/>
      <c r="CQ49858" s="111"/>
      <c r="EF49858"/>
      <c r="EG49858"/>
      <c r="EH49858"/>
      <c r="EI49858"/>
      <c r="EJ49858"/>
      <c r="EK49858"/>
    </row>
    <row r="49859" spans="1:141" s="116" customFormat="1">
      <c r="A49859" s="136"/>
      <c r="CM49859" s="111"/>
      <c r="CQ49859" s="111"/>
      <c r="EF49859"/>
      <c r="EG49859"/>
      <c r="EH49859"/>
      <c r="EI49859"/>
      <c r="EJ49859"/>
      <c r="EK49859"/>
    </row>
    <row r="49860" spans="1:141" s="116" customFormat="1">
      <c r="A49860" s="136"/>
      <c r="CM49860" s="111"/>
      <c r="CQ49860" s="111"/>
      <c r="EF49860"/>
      <c r="EG49860"/>
      <c r="EH49860"/>
      <c r="EI49860"/>
      <c r="EJ49860"/>
      <c r="EK49860"/>
    </row>
    <row r="49861" spans="1:141" s="116" customFormat="1">
      <c r="A49861" s="136"/>
      <c r="CM49861" s="111"/>
      <c r="CQ49861" s="111"/>
      <c r="EF49861"/>
      <c r="EG49861"/>
      <c r="EH49861"/>
      <c r="EI49861"/>
      <c r="EJ49861"/>
      <c r="EK49861"/>
    </row>
    <row r="49862" spans="1:141" s="116" customFormat="1">
      <c r="A49862" s="136"/>
      <c r="CM49862" s="111"/>
      <c r="CQ49862" s="111"/>
      <c r="EF49862"/>
      <c r="EG49862"/>
      <c r="EH49862"/>
      <c r="EI49862"/>
      <c r="EJ49862"/>
      <c r="EK49862"/>
    </row>
    <row r="49863" spans="1:141" s="116" customFormat="1">
      <c r="A49863" s="136"/>
      <c r="CM49863" s="111"/>
      <c r="CQ49863" s="111"/>
      <c r="EF49863"/>
      <c r="EG49863"/>
      <c r="EH49863"/>
      <c r="EI49863"/>
      <c r="EJ49863"/>
      <c r="EK49863"/>
    </row>
    <row r="49864" spans="1:141" s="116" customFormat="1">
      <c r="A49864" s="136"/>
      <c r="CM49864" s="111"/>
      <c r="CQ49864" s="111"/>
      <c r="EF49864"/>
      <c r="EG49864"/>
      <c r="EH49864"/>
      <c r="EI49864"/>
      <c r="EJ49864"/>
      <c r="EK49864"/>
    </row>
    <row r="49865" spans="1:141" s="116" customFormat="1">
      <c r="A49865" s="136"/>
      <c r="CM49865" s="111"/>
      <c r="CQ49865" s="111"/>
      <c r="EF49865"/>
      <c r="EG49865"/>
      <c r="EH49865"/>
      <c r="EI49865"/>
      <c r="EJ49865"/>
      <c r="EK49865"/>
    </row>
    <row r="49866" spans="1:141" s="116" customFormat="1">
      <c r="A49866" s="136"/>
      <c r="CM49866" s="111"/>
      <c r="CQ49866" s="111"/>
      <c r="EF49866"/>
      <c r="EG49866"/>
      <c r="EH49866"/>
      <c r="EI49866"/>
      <c r="EJ49866"/>
      <c r="EK49866"/>
    </row>
    <row r="49867" spans="1:141" s="116" customFormat="1">
      <c r="A49867" s="136"/>
      <c r="CM49867" s="111"/>
      <c r="CQ49867" s="111"/>
      <c r="EF49867"/>
      <c r="EG49867"/>
      <c r="EH49867"/>
      <c r="EI49867"/>
      <c r="EJ49867"/>
      <c r="EK49867"/>
    </row>
    <row r="49868" spans="1:141" s="116" customFormat="1">
      <c r="A49868" s="136"/>
      <c r="CM49868" s="111"/>
      <c r="CQ49868" s="111"/>
      <c r="EF49868"/>
      <c r="EG49868"/>
      <c r="EH49868"/>
      <c r="EI49868"/>
      <c r="EJ49868"/>
      <c r="EK49868"/>
    </row>
    <row r="49869" spans="1:141" s="116" customFormat="1">
      <c r="A49869" s="136"/>
      <c r="CM49869" s="111"/>
      <c r="CQ49869" s="111"/>
      <c r="EF49869"/>
      <c r="EG49869"/>
      <c r="EH49869"/>
      <c r="EI49869"/>
      <c r="EJ49869"/>
      <c r="EK49869"/>
    </row>
    <row r="49870" spans="1:141" s="116" customFormat="1">
      <c r="A49870" s="136"/>
      <c r="CM49870" s="111"/>
      <c r="CQ49870" s="111"/>
      <c r="EF49870"/>
      <c r="EG49870"/>
      <c r="EH49870"/>
      <c r="EI49870"/>
      <c r="EJ49870"/>
      <c r="EK49870"/>
    </row>
    <row r="49871" spans="1:141" s="116" customFormat="1">
      <c r="A49871" s="136"/>
      <c r="CM49871" s="111"/>
      <c r="CQ49871" s="111"/>
      <c r="EF49871"/>
      <c r="EG49871"/>
      <c r="EH49871"/>
      <c r="EI49871"/>
      <c r="EJ49871"/>
      <c r="EK49871"/>
    </row>
    <row r="49872" spans="1:141" s="116" customFormat="1">
      <c r="A49872" s="136"/>
      <c r="CM49872" s="111"/>
      <c r="CQ49872" s="111"/>
      <c r="EF49872"/>
      <c r="EG49872"/>
      <c r="EH49872"/>
      <c r="EI49872"/>
      <c r="EJ49872"/>
      <c r="EK49872"/>
    </row>
    <row r="49873" spans="1:141" s="116" customFormat="1">
      <c r="A49873" s="136"/>
      <c r="CM49873" s="111"/>
      <c r="CQ49873" s="111"/>
      <c r="EF49873"/>
      <c r="EG49873"/>
      <c r="EH49873"/>
      <c r="EI49873"/>
      <c r="EJ49873"/>
      <c r="EK49873"/>
    </row>
    <row r="49874" spans="1:141" s="116" customFormat="1">
      <c r="A49874" s="136"/>
      <c r="CM49874" s="111"/>
      <c r="CQ49874" s="111"/>
      <c r="EF49874"/>
      <c r="EG49874"/>
      <c r="EH49874"/>
      <c r="EI49874"/>
      <c r="EJ49874"/>
      <c r="EK49874"/>
    </row>
    <row r="49875" spans="1:141" s="116" customFormat="1">
      <c r="A49875" s="136"/>
      <c r="CM49875" s="111"/>
      <c r="CQ49875" s="111"/>
      <c r="EF49875"/>
      <c r="EG49875"/>
      <c r="EH49875"/>
      <c r="EI49875"/>
      <c r="EJ49875"/>
      <c r="EK49875"/>
    </row>
    <row r="49876" spans="1:141" s="116" customFormat="1">
      <c r="A49876" s="136"/>
      <c r="CM49876" s="111"/>
      <c r="CQ49876" s="111"/>
      <c r="EF49876"/>
      <c r="EG49876"/>
      <c r="EH49876"/>
      <c r="EI49876"/>
      <c r="EJ49876"/>
      <c r="EK49876"/>
    </row>
    <row r="49877" spans="1:141" s="116" customFormat="1">
      <c r="A49877" s="136"/>
      <c r="CM49877" s="111"/>
      <c r="CQ49877" s="111"/>
      <c r="EF49877"/>
      <c r="EG49877"/>
      <c r="EH49877"/>
      <c r="EI49877"/>
      <c r="EJ49877"/>
      <c r="EK49877"/>
    </row>
    <row r="49878" spans="1:141" s="116" customFormat="1">
      <c r="A49878" s="136"/>
      <c r="CM49878" s="111"/>
      <c r="CQ49878" s="111"/>
      <c r="EF49878"/>
      <c r="EG49878"/>
      <c r="EH49878"/>
      <c r="EI49878"/>
      <c r="EJ49878"/>
      <c r="EK49878"/>
    </row>
    <row r="49879" spans="1:141" s="116" customFormat="1">
      <c r="A49879" s="136"/>
      <c r="CM49879" s="111"/>
      <c r="CQ49879" s="111"/>
      <c r="EF49879"/>
      <c r="EG49879"/>
      <c r="EH49879"/>
      <c r="EI49879"/>
      <c r="EJ49879"/>
      <c r="EK49879"/>
    </row>
    <row r="49880" spans="1:141" s="116" customFormat="1">
      <c r="A49880" s="136"/>
      <c r="CM49880" s="111"/>
      <c r="CQ49880" s="111"/>
      <c r="EF49880"/>
      <c r="EG49880"/>
      <c r="EH49880"/>
      <c r="EI49880"/>
      <c r="EJ49880"/>
      <c r="EK49880"/>
    </row>
    <row r="49881" spans="1:141" s="116" customFormat="1">
      <c r="A49881" s="136"/>
      <c r="CM49881" s="111"/>
      <c r="CQ49881" s="111"/>
      <c r="EF49881"/>
      <c r="EG49881"/>
      <c r="EH49881"/>
      <c r="EI49881"/>
      <c r="EJ49881"/>
      <c r="EK49881"/>
    </row>
    <row r="49882" spans="1:141" s="116" customFormat="1">
      <c r="A49882" s="136"/>
      <c r="CM49882" s="111"/>
      <c r="CQ49882" s="111"/>
      <c r="EF49882"/>
      <c r="EG49882"/>
      <c r="EH49882"/>
      <c r="EI49882"/>
      <c r="EJ49882"/>
      <c r="EK49882"/>
    </row>
    <row r="49883" spans="1:141" s="116" customFormat="1">
      <c r="A49883" s="136"/>
      <c r="CM49883" s="111"/>
      <c r="CQ49883" s="111"/>
      <c r="EF49883"/>
      <c r="EG49883"/>
      <c r="EH49883"/>
      <c r="EI49883"/>
      <c r="EJ49883"/>
      <c r="EK49883"/>
    </row>
    <row r="49884" spans="1:141" s="116" customFormat="1">
      <c r="A49884" s="136"/>
      <c r="CM49884" s="111"/>
      <c r="CQ49884" s="111"/>
      <c r="EF49884"/>
      <c r="EG49884"/>
      <c r="EH49884"/>
      <c r="EI49884"/>
      <c r="EJ49884"/>
      <c r="EK49884"/>
    </row>
    <row r="49885" spans="1:141" s="116" customFormat="1">
      <c r="A49885" s="136"/>
      <c r="CM49885" s="111"/>
      <c r="CQ49885" s="111"/>
      <c r="EF49885"/>
      <c r="EG49885"/>
      <c r="EH49885"/>
      <c r="EI49885"/>
      <c r="EJ49885"/>
      <c r="EK49885"/>
    </row>
    <row r="49886" spans="1:141" s="116" customFormat="1">
      <c r="A49886" s="136"/>
      <c r="CM49886" s="111"/>
      <c r="CQ49886" s="111"/>
      <c r="EF49886"/>
      <c r="EG49886"/>
      <c r="EH49886"/>
      <c r="EI49886"/>
      <c r="EJ49886"/>
      <c r="EK49886"/>
    </row>
    <row r="49887" spans="1:141" s="116" customFormat="1">
      <c r="A49887" s="136"/>
      <c r="CM49887" s="111"/>
      <c r="CQ49887" s="111"/>
      <c r="EF49887"/>
      <c r="EG49887"/>
      <c r="EH49887"/>
      <c r="EI49887"/>
      <c r="EJ49887"/>
      <c r="EK49887"/>
    </row>
    <row r="49888" spans="1:141" s="116" customFormat="1">
      <c r="A49888" s="136"/>
      <c r="CM49888" s="111"/>
      <c r="CQ49888" s="111"/>
      <c r="EF49888"/>
      <c r="EG49888"/>
      <c r="EH49888"/>
      <c r="EI49888"/>
      <c r="EJ49888"/>
      <c r="EK49888"/>
    </row>
    <row r="49889" spans="1:141" s="116" customFormat="1">
      <c r="A49889" s="136"/>
      <c r="CM49889" s="111"/>
      <c r="CQ49889" s="111"/>
      <c r="EF49889"/>
      <c r="EG49889"/>
      <c r="EH49889"/>
      <c r="EI49889"/>
      <c r="EJ49889"/>
      <c r="EK49889"/>
    </row>
    <row r="49890" spans="1:141" s="116" customFormat="1">
      <c r="A49890" s="136"/>
      <c r="CM49890" s="111"/>
      <c r="CQ49890" s="111"/>
      <c r="EF49890"/>
      <c r="EG49890"/>
      <c r="EH49890"/>
      <c r="EI49890"/>
      <c r="EJ49890"/>
      <c r="EK49890"/>
    </row>
    <row r="49891" spans="1:141" s="116" customFormat="1">
      <c r="A49891" s="136"/>
      <c r="CM49891" s="111"/>
      <c r="CQ49891" s="111"/>
      <c r="EF49891"/>
      <c r="EG49891"/>
      <c r="EH49891"/>
      <c r="EI49891"/>
      <c r="EJ49891"/>
      <c r="EK49891"/>
    </row>
    <row r="49892" spans="1:141" s="116" customFormat="1">
      <c r="A49892" s="136"/>
      <c r="CM49892" s="111"/>
      <c r="CQ49892" s="111"/>
      <c r="EF49892"/>
      <c r="EG49892"/>
      <c r="EH49892"/>
      <c r="EI49892"/>
      <c r="EJ49892"/>
      <c r="EK49892"/>
    </row>
    <row r="49893" spans="1:141" s="116" customFormat="1">
      <c r="A49893" s="136"/>
      <c r="CM49893" s="111"/>
      <c r="CQ49893" s="111"/>
      <c r="EF49893"/>
      <c r="EG49893"/>
      <c r="EH49893"/>
      <c r="EI49893"/>
      <c r="EJ49893"/>
      <c r="EK49893"/>
    </row>
    <row r="49894" spans="1:141" s="116" customFormat="1">
      <c r="A49894" s="136"/>
      <c r="CM49894" s="111"/>
      <c r="CQ49894" s="111"/>
      <c r="EF49894"/>
      <c r="EG49894"/>
      <c r="EH49894"/>
      <c r="EI49894"/>
      <c r="EJ49894"/>
      <c r="EK49894"/>
    </row>
    <row r="49895" spans="1:141" s="116" customFormat="1">
      <c r="A49895" s="136"/>
      <c r="CM49895" s="111"/>
      <c r="CQ49895" s="111"/>
      <c r="EF49895"/>
      <c r="EG49895"/>
      <c r="EH49895"/>
      <c r="EI49895"/>
      <c r="EJ49895"/>
      <c r="EK49895"/>
    </row>
    <row r="49896" spans="1:141" s="116" customFormat="1">
      <c r="A49896" s="136"/>
      <c r="CM49896" s="111"/>
      <c r="CQ49896" s="111"/>
      <c r="EF49896"/>
      <c r="EG49896"/>
      <c r="EH49896"/>
      <c r="EI49896"/>
      <c r="EJ49896"/>
      <c r="EK49896"/>
    </row>
    <row r="49897" spans="1:141" s="116" customFormat="1">
      <c r="A49897" s="136"/>
      <c r="CM49897" s="111"/>
      <c r="CQ49897" s="111"/>
      <c r="EF49897"/>
      <c r="EG49897"/>
      <c r="EH49897"/>
      <c r="EI49897"/>
      <c r="EJ49897"/>
      <c r="EK49897"/>
    </row>
    <row r="49898" spans="1:141" s="116" customFormat="1">
      <c r="A49898" s="136"/>
      <c r="CM49898" s="111"/>
      <c r="CQ49898" s="111"/>
      <c r="EF49898"/>
      <c r="EG49898"/>
      <c r="EH49898"/>
      <c r="EI49898"/>
      <c r="EJ49898"/>
      <c r="EK49898"/>
    </row>
    <row r="49899" spans="1:141" s="116" customFormat="1">
      <c r="A49899" s="136"/>
      <c r="CM49899" s="111"/>
      <c r="CQ49899" s="111"/>
      <c r="EF49899"/>
      <c r="EG49899"/>
      <c r="EH49899"/>
      <c r="EI49899"/>
      <c r="EJ49899"/>
      <c r="EK49899"/>
    </row>
    <row r="49900" spans="1:141" s="116" customFormat="1">
      <c r="A49900" s="136"/>
      <c r="CM49900" s="111"/>
      <c r="CQ49900" s="111"/>
      <c r="EF49900"/>
      <c r="EG49900"/>
      <c r="EH49900"/>
      <c r="EI49900"/>
      <c r="EJ49900"/>
      <c r="EK49900"/>
    </row>
    <row r="49901" spans="1:141" s="116" customFormat="1">
      <c r="A49901" s="136"/>
      <c r="CM49901" s="111"/>
      <c r="CQ49901" s="111"/>
      <c r="EF49901"/>
      <c r="EG49901"/>
      <c r="EH49901"/>
      <c r="EI49901"/>
      <c r="EJ49901"/>
      <c r="EK49901"/>
    </row>
    <row r="49902" spans="1:141" s="116" customFormat="1">
      <c r="A49902" s="136"/>
      <c r="CM49902" s="111"/>
      <c r="CQ49902" s="111"/>
      <c r="EF49902"/>
      <c r="EG49902"/>
      <c r="EH49902"/>
      <c r="EI49902"/>
      <c r="EJ49902"/>
      <c r="EK49902"/>
    </row>
    <row r="49903" spans="1:141" s="116" customFormat="1">
      <c r="A49903" s="136"/>
      <c r="CM49903" s="111"/>
      <c r="CQ49903" s="111"/>
      <c r="EF49903"/>
      <c r="EG49903"/>
      <c r="EH49903"/>
      <c r="EI49903"/>
      <c r="EJ49903"/>
      <c r="EK49903"/>
    </row>
    <row r="49904" spans="1:141" s="116" customFormat="1">
      <c r="A49904" s="136"/>
      <c r="CM49904" s="111"/>
      <c r="CQ49904" s="111"/>
      <c r="EF49904"/>
      <c r="EG49904"/>
      <c r="EH49904"/>
      <c r="EI49904"/>
      <c r="EJ49904"/>
      <c r="EK49904"/>
    </row>
    <row r="49905" spans="1:141" s="116" customFormat="1">
      <c r="A49905" s="136"/>
      <c r="CM49905" s="111"/>
      <c r="CQ49905" s="111"/>
      <c r="EF49905"/>
      <c r="EG49905"/>
      <c r="EH49905"/>
      <c r="EI49905"/>
      <c r="EJ49905"/>
      <c r="EK49905"/>
    </row>
    <row r="49906" spans="1:141" s="116" customFormat="1">
      <c r="A49906" s="136"/>
      <c r="CM49906" s="111"/>
      <c r="CQ49906" s="111"/>
      <c r="EF49906"/>
      <c r="EG49906"/>
      <c r="EH49906"/>
      <c r="EI49906"/>
      <c r="EJ49906"/>
      <c r="EK49906"/>
    </row>
    <row r="49907" spans="1:141" s="116" customFormat="1">
      <c r="A49907" s="136"/>
      <c r="CM49907" s="111"/>
      <c r="CQ49907" s="111"/>
      <c r="EF49907"/>
      <c r="EG49907"/>
      <c r="EH49907"/>
      <c r="EI49907"/>
      <c r="EJ49907"/>
      <c r="EK49907"/>
    </row>
    <row r="49908" spans="1:141" s="116" customFormat="1">
      <c r="A49908" s="136"/>
      <c r="CM49908" s="111"/>
      <c r="CQ49908" s="111"/>
      <c r="EF49908"/>
      <c r="EG49908"/>
      <c r="EH49908"/>
      <c r="EI49908"/>
      <c r="EJ49908"/>
      <c r="EK49908"/>
    </row>
    <row r="49909" spans="1:141" s="116" customFormat="1">
      <c r="A49909" s="136"/>
      <c r="CM49909" s="111"/>
      <c r="CQ49909" s="111"/>
      <c r="EF49909"/>
      <c r="EG49909"/>
      <c r="EH49909"/>
      <c r="EI49909"/>
      <c r="EJ49909"/>
      <c r="EK49909"/>
    </row>
    <row r="49910" spans="1:141" s="116" customFormat="1">
      <c r="A49910" s="136"/>
      <c r="CM49910" s="111"/>
      <c r="CQ49910" s="111"/>
      <c r="EF49910"/>
      <c r="EG49910"/>
      <c r="EH49910"/>
      <c r="EI49910"/>
      <c r="EJ49910"/>
      <c r="EK49910"/>
    </row>
    <row r="49911" spans="1:141" s="116" customFormat="1">
      <c r="A49911" s="136"/>
      <c r="CM49911" s="111"/>
      <c r="CQ49911" s="111"/>
      <c r="EF49911"/>
      <c r="EG49911"/>
      <c r="EH49911"/>
      <c r="EI49911"/>
      <c r="EJ49911"/>
      <c r="EK49911"/>
    </row>
    <row r="49912" spans="1:141" s="116" customFormat="1">
      <c r="A49912" s="136"/>
      <c r="CM49912" s="111"/>
      <c r="CQ49912" s="111"/>
      <c r="EF49912"/>
      <c r="EG49912"/>
      <c r="EH49912"/>
      <c r="EI49912"/>
      <c r="EJ49912"/>
      <c r="EK49912"/>
    </row>
    <row r="49913" spans="1:141" s="116" customFormat="1">
      <c r="A49913" s="136"/>
      <c r="CM49913" s="111"/>
      <c r="CQ49913" s="111"/>
      <c r="EF49913"/>
      <c r="EG49913"/>
      <c r="EH49913"/>
      <c r="EI49913"/>
      <c r="EJ49913"/>
      <c r="EK49913"/>
    </row>
    <row r="49914" spans="1:141" s="116" customFormat="1">
      <c r="A49914" s="136"/>
      <c r="CM49914" s="111"/>
      <c r="CQ49914" s="111"/>
      <c r="EF49914"/>
      <c r="EG49914"/>
      <c r="EH49914"/>
      <c r="EI49914"/>
      <c r="EJ49914"/>
      <c r="EK49914"/>
    </row>
    <row r="49915" spans="1:141" s="116" customFormat="1">
      <c r="A49915" s="136"/>
      <c r="CM49915" s="111"/>
      <c r="CQ49915" s="111"/>
      <c r="EF49915"/>
      <c r="EG49915"/>
      <c r="EH49915"/>
      <c r="EI49915"/>
      <c r="EJ49915"/>
      <c r="EK49915"/>
    </row>
    <row r="49916" spans="1:141" s="116" customFormat="1">
      <c r="A49916" s="136"/>
      <c r="CM49916" s="111"/>
      <c r="CQ49916" s="111"/>
      <c r="EF49916"/>
      <c r="EG49916"/>
      <c r="EH49916"/>
      <c r="EI49916"/>
      <c r="EJ49916"/>
      <c r="EK49916"/>
    </row>
    <row r="49917" spans="1:141" s="116" customFormat="1">
      <c r="A49917" s="136"/>
      <c r="CM49917" s="111"/>
      <c r="CQ49917" s="111"/>
      <c r="EF49917"/>
      <c r="EG49917"/>
      <c r="EH49917"/>
      <c r="EI49917"/>
      <c r="EJ49917"/>
      <c r="EK49917"/>
    </row>
    <row r="49918" spans="1:141" s="116" customFormat="1">
      <c r="A49918" s="136"/>
      <c r="CM49918" s="111"/>
      <c r="CQ49918" s="111"/>
      <c r="EF49918"/>
      <c r="EG49918"/>
      <c r="EH49918"/>
      <c r="EI49918"/>
      <c r="EJ49918"/>
      <c r="EK49918"/>
    </row>
    <row r="49919" spans="1:141" s="116" customFormat="1">
      <c r="A49919" s="136"/>
      <c r="CM49919" s="111"/>
      <c r="CQ49919" s="111"/>
      <c r="EF49919"/>
      <c r="EG49919"/>
      <c r="EH49919"/>
      <c r="EI49919"/>
      <c r="EJ49919"/>
      <c r="EK49919"/>
    </row>
    <row r="49920" spans="1:141" s="116" customFormat="1">
      <c r="A49920" s="136"/>
      <c r="CM49920" s="111"/>
      <c r="CQ49920" s="111"/>
      <c r="EF49920"/>
      <c r="EG49920"/>
      <c r="EH49920"/>
      <c r="EI49920"/>
      <c r="EJ49920"/>
      <c r="EK49920"/>
    </row>
    <row r="49921" spans="1:141" s="116" customFormat="1">
      <c r="A49921" s="136"/>
      <c r="CM49921" s="111"/>
      <c r="CQ49921" s="111"/>
      <c r="EF49921"/>
      <c r="EG49921"/>
      <c r="EH49921"/>
      <c r="EI49921"/>
      <c r="EJ49921"/>
      <c r="EK49921"/>
    </row>
    <row r="49922" spans="1:141" s="116" customFormat="1">
      <c r="A49922" s="136"/>
      <c r="CM49922" s="111"/>
      <c r="CQ49922" s="111"/>
      <c r="EF49922"/>
      <c r="EG49922"/>
      <c r="EH49922"/>
      <c r="EI49922"/>
      <c r="EJ49922"/>
      <c r="EK49922"/>
    </row>
    <row r="49923" spans="1:141" s="116" customFormat="1">
      <c r="A49923" s="136"/>
      <c r="CM49923" s="111"/>
      <c r="CQ49923" s="111"/>
      <c r="EF49923"/>
      <c r="EG49923"/>
      <c r="EH49923"/>
      <c r="EI49923"/>
      <c r="EJ49923"/>
      <c r="EK49923"/>
    </row>
    <row r="49924" spans="1:141" s="116" customFormat="1">
      <c r="A49924" s="136"/>
      <c r="CM49924" s="111"/>
      <c r="CQ49924" s="111"/>
      <c r="EF49924"/>
      <c r="EG49924"/>
      <c r="EH49924"/>
      <c r="EI49924"/>
      <c r="EJ49924"/>
      <c r="EK49924"/>
    </row>
    <row r="49925" spans="1:141" s="116" customFormat="1">
      <c r="A49925" s="136"/>
      <c r="CM49925" s="111"/>
      <c r="CQ49925" s="111"/>
      <c r="EF49925"/>
      <c r="EG49925"/>
      <c r="EH49925"/>
      <c r="EI49925"/>
      <c r="EJ49925"/>
      <c r="EK49925"/>
    </row>
    <row r="49926" spans="1:141" s="116" customFormat="1">
      <c r="A49926" s="136"/>
      <c r="CM49926" s="111"/>
      <c r="CQ49926" s="111"/>
      <c r="EF49926"/>
      <c r="EG49926"/>
      <c r="EH49926"/>
      <c r="EI49926"/>
      <c r="EJ49926"/>
      <c r="EK49926"/>
    </row>
    <row r="49927" spans="1:141" s="116" customFormat="1">
      <c r="A49927" s="136"/>
      <c r="CM49927" s="111"/>
      <c r="CQ49927" s="111"/>
      <c r="EF49927"/>
      <c r="EG49927"/>
      <c r="EH49927"/>
      <c r="EI49927"/>
      <c r="EJ49927"/>
      <c r="EK49927"/>
    </row>
    <row r="49928" spans="1:141" s="116" customFormat="1">
      <c r="A49928" s="136"/>
      <c r="CM49928" s="111"/>
      <c r="CQ49928" s="111"/>
      <c r="EF49928"/>
      <c r="EG49928"/>
      <c r="EH49928"/>
      <c r="EI49928"/>
      <c r="EJ49928"/>
      <c r="EK49928"/>
    </row>
    <row r="49929" spans="1:141" s="116" customFormat="1">
      <c r="A49929" s="136"/>
      <c r="CM49929" s="111"/>
      <c r="CQ49929" s="111"/>
      <c r="EF49929"/>
      <c r="EG49929"/>
      <c r="EH49929"/>
      <c r="EI49929"/>
      <c r="EJ49929"/>
      <c r="EK49929"/>
    </row>
    <row r="49930" spans="1:141" s="116" customFormat="1">
      <c r="A49930" s="136"/>
      <c r="CM49930" s="111"/>
      <c r="CQ49930" s="111"/>
      <c r="EF49930"/>
      <c r="EG49930"/>
      <c r="EH49930"/>
      <c r="EI49930"/>
      <c r="EJ49930"/>
      <c r="EK49930"/>
    </row>
    <row r="49931" spans="1:141" s="116" customFormat="1">
      <c r="A49931" s="136"/>
      <c r="CM49931" s="111"/>
      <c r="CQ49931" s="111"/>
      <c r="EF49931"/>
      <c r="EG49931"/>
      <c r="EH49931"/>
      <c r="EI49931"/>
      <c r="EJ49931"/>
      <c r="EK49931"/>
    </row>
    <row r="49932" spans="1:141" s="116" customFormat="1">
      <c r="A49932" s="136"/>
      <c r="CM49932" s="111"/>
      <c r="CQ49932" s="111"/>
      <c r="EF49932"/>
      <c r="EG49932"/>
      <c r="EH49932"/>
      <c r="EI49932"/>
      <c r="EJ49932"/>
      <c r="EK49932"/>
    </row>
    <row r="49933" spans="1:141" s="116" customFormat="1">
      <c r="A49933" s="136"/>
      <c r="CM49933" s="111"/>
      <c r="CQ49933" s="111"/>
      <c r="EF49933"/>
      <c r="EG49933"/>
      <c r="EH49933"/>
      <c r="EI49933"/>
      <c r="EJ49933"/>
      <c r="EK49933"/>
    </row>
    <row r="49934" spans="1:141" s="116" customFormat="1">
      <c r="A49934" s="136"/>
      <c r="CM49934" s="111"/>
      <c r="CQ49934" s="111"/>
      <c r="EF49934"/>
      <c r="EG49934"/>
      <c r="EH49934"/>
      <c r="EI49934"/>
      <c r="EJ49934"/>
      <c r="EK49934"/>
    </row>
    <row r="49935" spans="1:141" s="116" customFormat="1">
      <c r="A49935" s="136"/>
      <c r="CM49935" s="111"/>
      <c r="CQ49935" s="111"/>
      <c r="EF49935"/>
      <c r="EG49935"/>
      <c r="EH49935"/>
      <c r="EI49935"/>
      <c r="EJ49935"/>
      <c r="EK49935"/>
    </row>
    <row r="49936" spans="1:141" s="116" customFormat="1">
      <c r="A49936" s="136"/>
      <c r="CM49936" s="111"/>
      <c r="CQ49936" s="111"/>
      <c r="EF49936"/>
      <c r="EG49936"/>
      <c r="EH49936"/>
      <c r="EI49936"/>
      <c r="EJ49936"/>
      <c r="EK49936"/>
    </row>
    <row r="49937" spans="1:141" s="116" customFormat="1">
      <c r="A49937" s="136"/>
      <c r="CM49937" s="111"/>
      <c r="CQ49937" s="111"/>
      <c r="EF49937"/>
      <c r="EG49937"/>
      <c r="EH49937"/>
      <c r="EI49937"/>
      <c r="EJ49937"/>
      <c r="EK49937"/>
    </row>
    <row r="49938" spans="1:141" s="116" customFormat="1">
      <c r="A49938" s="136"/>
      <c r="CM49938" s="111"/>
      <c r="CQ49938" s="111"/>
      <c r="EF49938"/>
      <c r="EG49938"/>
      <c r="EH49938"/>
      <c r="EI49938"/>
      <c r="EJ49938"/>
      <c r="EK49938"/>
    </row>
    <row r="49939" spans="1:141" s="116" customFormat="1">
      <c r="A49939" s="136"/>
      <c r="CM49939" s="111"/>
      <c r="CQ49939" s="111"/>
      <c r="EF49939"/>
      <c r="EG49939"/>
      <c r="EH49939"/>
      <c r="EI49939"/>
      <c r="EJ49939"/>
      <c r="EK49939"/>
    </row>
    <row r="49940" spans="1:141" s="116" customFormat="1">
      <c r="A49940" s="136"/>
      <c r="CM49940" s="111"/>
      <c r="CQ49940" s="111"/>
      <c r="EF49940"/>
      <c r="EG49940"/>
      <c r="EH49940"/>
      <c r="EI49940"/>
      <c r="EJ49940"/>
      <c r="EK49940"/>
    </row>
    <row r="49941" spans="1:141" s="116" customFormat="1">
      <c r="A49941" s="136"/>
      <c r="CM49941" s="111"/>
      <c r="CQ49941" s="111"/>
      <c r="EF49941"/>
      <c r="EG49941"/>
      <c r="EH49941"/>
      <c r="EI49941"/>
      <c r="EJ49941"/>
      <c r="EK49941"/>
    </row>
    <row r="49942" spans="1:141" s="116" customFormat="1">
      <c r="A49942" s="136"/>
      <c r="CM49942" s="111"/>
      <c r="CQ49942" s="111"/>
      <c r="EF49942"/>
      <c r="EG49942"/>
      <c r="EH49942"/>
      <c r="EI49942"/>
      <c r="EJ49942"/>
      <c r="EK49942"/>
    </row>
    <row r="49943" spans="1:141" s="116" customFormat="1">
      <c r="A49943" s="136"/>
      <c r="CM49943" s="111"/>
      <c r="CQ49943" s="111"/>
      <c r="EF49943"/>
      <c r="EG49943"/>
      <c r="EH49943"/>
      <c r="EI49943"/>
      <c r="EJ49943"/>
      <c r="EK49943"/>
    </row>
    <row r="49944" spans="1:141" s="116" customFormat="1">
      <c r="A49944" s="136"/>
      <c r="CM49944" s="111"/>
      <c r="CQ49944" s="111"/>
      <c r="EF49944"/>
      <c r="EG49944"/>
      <c r="EH49944"/>
      <c r="EI49944"/>
      <c r="EJ49944"/>
      <c r="EK49944"/>
    </row>
    <row r="49945" spans="1:141" s="116" customFormat="1">
      <c r="A49945" s="136"/>
      <c r="CM49945" s="111"/>
      <c r="CQ49945" s="111"/>
      <c r="EF49945"/>
      <c r="EG49945"/>
      <c r="EH49945"/>
      <c r="EI49945"/>
      <c r="EJ49945"/>
      <c r="EK49945"/>
    </row>
    <row r="49946" spans="1:141" s="116" customFormat="1">
      <c r="A49946" s="136"/>
      <c r="CM49946" s="111"/>
      <c r="CQ49946" s="111"/>
      <c r="EF49946"/>
      <c r="EG49946"/>
      <c r="EH49946"/>
      <c r="EI49946"/>
      <c r="EJ49946"/>
      <c r="EK49946"/>
    </row>
    <row r="49947" spans="1:141" s="116" customFormat="1">
      <c r="A49947" s="136"/>
      <c r="CM49947" s="111"/>
      <c r="CQ49947" s="111"/>
      <c r="EF49947"/>
      <c r="EG49947"/>
      <c r="EH49947"/>
      <c r="EI49947"/>
      <c r="EJ49947"/>
      <c r="EK49947"/>
    </row>
    <row r="49948" spans="1:141" s="116" customFormat="1">
      <c r="A49948" s="136"/>
      <c r="CM49948" s="111"/>
      <c r="CQ49948" s="111"/>
      <c r="EF49948"/>
      <c r="EG49948"/>
      <c r="EH49948"/>
      <c r="EI49948"/>
      <c r="EJ49948"/>
      <c r="EK49948"/>
    </row>
    <row r="49949" spans="1:141" s="116" customFormat="1">
      <c r="A49949" s="136"/>
      <c r="CM49949" s="111"/>
      <c r="CQ49949" s="111"/>
      <c r="EF49949"/>
      <c r="EG49949"/>
      <c r="EH49949"/>
      <c r="EI49949"/>
      <c r="EJ49949"/>
      <c r="EK49949"/>
    </row>
    <row r="49950" spans="1:141" s="116" customFormat="1">
      <c r="A49950" s="136"/>
      <c r="CM49950" s="111"/>
      <c r="CQ49950" s="111"/>
      <c r="EF49950"/>
      <c r="EG49950"/>
      <c r="EH49950"/>
      <c r="EI49950"/>
      <c r="EJ49950"/>
      <c r="EK49950"/>
    </row>
    <row r="49951" spans="1:141" s="116" customFormat="1">
      <c r="A49951" s="136"/>
      <c r="CM49951" s="111"/>
      <c r="CQ49951" s="111"/>
      <c r="EF49951"/>
      <c r="EG49951"/>
      <c r="EH49951"/>
      <c r="EI49951"/>
      <c r="EJ49951"/>
      <c r="EK49951"/>
    </row>
    <row r="49952" spans="1:141" s="116" customFormat="1">
      <c r="A49952" s="136"/>
      <c r="CM49952" s="111"/>
      <c r="CQ49952" s="111"/>
      <c r="EF49952"/>
      <c r="EG49952"/>
      <c r="EH49952"/>
      <c r="EI49952"/>
      <c r="EJ49952"/>
      <c r="EK49952"/>
    </row>
    <row r="49953" spans="1:141" s="116" customFormat="1">
      <c r="A49953" s="136"/>
      <c r="CM49953" s="111"/>
      <c r="CQ49953" s="111"/>
      <c r="EF49953"/>
      <c r="EG49953"/>
      <c r="EH49953"/>
      <c r="EI49953"/>
      <c r="EJ49953"/>
      <c r="EK49953"/>
    </row>
    <row r="49954" spans="1:141" s="116" customFormat="1">
      <c r="A49954" s="136"/>
      <c r="CM49954" s="111"/>
      <c r="CQ49954" s="111"/>
      <c r="EF49954"/>
      <c r="EG49954"/>
      <c r="EH49954"/>
      <c r="EI49954"/>
      <c r="EJ49954"/>
      <c r="EK49954"/>
    </row>
    <row r="49955" spans="1:141" s="116" customFormat="1">
      <c r="A49955" s="136"/>
      <c r="CM49955" s="111"/>
      <c r="CQ49955" s="111"/>
      <c r="EF49955"/>
      <c r="EG49955"/>
      <c r="EH49955"/>
      <c r="EI49955"/>
      <c r="EJ49955"/>
      <c r="EK49955"/>
    </row>
    <row r="49956" spans="1:141" s="116" customFormat="1">
      <c r="A49956" s="136"/>
      <c r="CM49956" s="111"/>
      <c r="CQ49956" s="111"/>
      <c r="EF49956"/>
      <c r="EG49956"/>
      <c r="EH49956"/>
      <c r="EI49956"/>
      <c r="EJ49956"/>
      <c r="EK49956"/>
    </row>
    <row r="49957" spans="1:141" s="116" customFormat="1">
      <c r="A49957" s="136"/>
      <c r="CM49957" s="111"/>
      <c r="CQ49957" s="111"/>
      <c r="EF49957"/>
      <c r="EG49957"/>
      <c r="EH49957"/>
      <c r="EI49957"/>
      <c r="EJ49957"/>
      <c r="EK49957"/>
    </row>
    <row r="49958" spans="1:141" s="116" customFormat="1">
      <c r="A49958" s="136"/>
      <c r="CM49958" s="111"/>
      <c r="CQ49958" s="111"/>
      <c r="EF49958"/>
      <c r="EG49958"/>
      <c r="EH49958"/>
      <c r="EI49958"/>
      <c r="EJ49958"/>
      <c r="EK49958"/>
    </row>
    <row r="49959" spans="1:141" s="116" customFormat="1">
      <c r="A49959" s="136"/>
      <c r="CM49959" s="111"/>
      <c r="CQ49959" s="111"/>
      <c r="EF49959"/>
      <c r="EG49959"/>
      <c r="EH49959"/>
      <c r="EI49959"/>
      <c r="EJ49959"/>
      <c r="EK49959"/>
    </row>
    <row r="49960" spans="1:141" s="116" customFormat="1">
      <c r="A49960" s="136"/>
      <c r="CM49960" s="111"/>
      <c r="CQ49960" s="111"/>
      <c r="EF49960"/>
      <c r="EG49960"/>
      <c r="EH49960"/>
      <c r="EI49960"/>
      <c r="EJ49960"/>
      <c r="EK49960"/>
    </row>
    <row r="49961" spans="1:141" s="116" customFormat="1">
      <c r="A49961" s="136"/>
      <c r="CM49961" s="111"/>
      <c r="CQ49961" s="111"/>
      <c r="EF49961"/>
      <c r="EG49961"/>
      <c r="EH49961"/>
      <c r="EI49961"/>
      <c r="EJ49961"/>
      <c r="EK49961"/>
    </row>
    <row r="49962" spans="1:141" s="116" customFormat="1">
      <c r="A49962" s="136"/>
      <c r="CM49962" s="111"/>
      <c r="CQ49962" s="111"/>
      <c r="EF49962"/>
      <c r="EG49962"/>
      <c r="EH49962"/>
      <c r="EI49962"/>
      <c r="EJ49962"/>
      <c r="EK49962"/>
    </row>
    <row r="49963" spans="1:141" s="116" customFormat="1">
      <c r="A49963" s="136"/>
      <c r="CM49963" s="111"/>
      <c r="CQ49963" s="111"/>
      <c r="EF49963"/>
      <c r="EG49963"/>
      <c r="EH49963"/>
      <c r="EI49963"/>
      <c r="EJ49963"/>
      <c r="EK49963"/>
    </row>
    <row r="49964" spans="1:141" s="116" customFormat="1">
      <c r="A49964" s="136"/>
      <c r="CM49964" s="111"/>
      <c r="CQ49964" s="111"/>
      <c r="EF49964"/>
      <c r="EG49964"/>
      <c r="EH49964"/>
      <c r="EI49964"/>
      <c r="EJ49964"/>
      <c r="EK49964"/>
    </row>
    <row r="49965" spans="1:141" s="116" customFormat="1">
      <c r="A49965" s="136"/>
      <c r="CM49965" s="111"/>
      <c r="CQ49965" s="111"/>
      <c r="EF49965"/>
      <c r="EG49965"/>
      <c r="EH49965"/>
      <c r="EI49965"/>
      <c r="EJ49965"/>
      <c r="EK49965"/>
    </row>
    <row r="49966" spans="1:141" s="116" customFormat="1">
      <c r="A49966" s="136"/>
      <c r="CM49966" s="111"/>
      <c r="CQ49966" s="111"/>
      <c r="EF49966"/>
      <c r="EG49966"/>
      <c r="EH49966"/>
      <c r="EI49966"/>
      <c r="EJ49966"/>
      <c r="EK49966"/>
    </row>
    <row r="49967" spans="1:141" s="116" customFormat="1">
      <c r="A49967" s="136"/>
      <c r="CM49967" s="111"/>
      <c r="CQ49967" s="111"/>
      <c r="EF49967"/>
      <c r="EG49967"/>
      <c r="EH49967"/>
      <c r="EI49967"/>
      <c r="EJ49967"/>
      <c r="EK49967"/>
    </row>
    <row r="49968" spans="1:141" s="116" customFormat="1">
      <c r="A49968" s="136"/>
      <c r="CM49968" s="111"/>
      <c r="CQ49968" s="111"/>
      <c r="EF49968"/>
      <c r="EG49968"/>
      <c r="EH49968"/>
      <c r="EI49968"/>
      <c r="EJ49968"/>
      <c r="EK49968"/>
    </row>
    <row r="49969" spans="1:141" s="116" customFormat="1">
      <c r="A49969" s="136"/>
      <c r="CM49969" s="111"/>
      <c r="CQ49969" s="111"/>
      <c r="EF49969"/>
      <c r="EG49969"/>
      <c r="EH49969"/>
      <c r="EI49969"/>
      <c r="EJ49969"/>
      <c r="EK49969"/>
    </row>
    <row r="49970" spans="1:141" s="116" customFormat="1">
      <c r="A49970" s="136"/>
      <c r="CM49970" s="111"/>
      <c r="CQ49970" s="111"/>
      <c r="EF49970"/>
      <c r="EG49970"/>
      <c r="EH49970"/>
      <c r="EI49970"/>
      <c r="EJ49970"/>
      <c r="EK49970"/>
    </row>
    <row r="49971" spans="1:141" s="116" customFormat="1">
      <c r="A49971" s="136"/>
      <c r="CM49971" s="111"/>
      <c r="CQ49971" s="111"/>
      <c r="EF49971"/>
      <c r="EG49971"/>
      <c r="EH49971"/>
      <c r="EI49971"/>
      <c r="EJ49971"/>
      <c r="EK49971"/>
    </row>
    <row r="49972" spans="1:141" s="116" customFormat="1">
      <c r="A49972" s="136"/>
      <c r="CM49972" s="111"/>
      <c r="CQ49972" s="111"/>
      <c r="EF49972"/>
      <c r="EG49972"/>
      <c r="EH49972"/>
      <c r="EI49972"/>
      <c r="EJ49972"/>
      <c r="EK49972"/>
    </row>
    <row r="49973" spans="1:141" s="116" customFormat="1">
      <c r="A49973" s="136"/>
      <c r="CM49973" s="111"/>
      <c r="CQ49973" s="111"/>
      <c r="EF49973"/>
      <c r="EG49973"/>
      <c r="EH49973"/>
      <c r="EI49973"/>
      <c r="EJ49973"/>
      <c r="EK49973"/>
    </row>
    <row r="49974" spans="1:141" s="116" customFormat="1">
      <c r="A49974" s="136"/>
      <c r="CM49974" s="111"/>
      <c r="CQ49974" s="111"/>
      <c r="EF49974"/>
      <c r="EG49974"/>
      <c r="EH49974"/>
      <c r="EI49974"/>
      <c r="EJ49974"/>
      <c r="EK49974"/>
    </row>
    <row r="49975" spans="1:141" s="116" customFormat="1">
      <c r="A49975" s="136"/>
      <c r="CM49975" s="111"/>
      <c r="CQ49975" s="111"/>
      <c r="EF49975"/>
      <c r="EG49975"/>
      <c r="EH49975"/>
      <c r="EI49975"/>
      <c r="EJ49975"/>
      <c r="EK49975"/>
    </row>
    <row r="49976" spans="1:141" s="116" customFormat="1">
      <c r="A49976" s="136"/>
      <c r="CM49976" s="111"/>
      <c r="CQ49976" s="111"/>
      <c r="EF49976"/>
      <c r="EG49976"/>
      <c r="EH49976"/>
      <c r="EI49976"/>
      <c r="EJ49976"/>
      <c r="EK49976"/>
    </row>
    <row r="49977" spans="1:141" s="116" customFormat="1">
      <c r="A49977" s="136"/>
      <c r="CM49977" s="111"/>
      <c r="CQ49977" s="111"/>
      <c r="EF49977"/>
      <c r="EG49977"/>
      <c r="EH49977"/>
      <c r="EI49977"/>
      <c r="EJ49977"/>
      <c r="EK49977"/>
    </row>
    <row r="49978" spans="1:141" s="116" customFormat="1">
      <c r="A49978" s="136"/>
      <c r="CM49978" s="111"/>
      <c r="CQ49978" s="111"/>
      <c r="EF49978"/>
      <c r="EG49978"/>
      <c r="EH49978"/>
      <c r="EI49978"/>
      <c r="EJ49978"/>
      <c r="EK49978"/>
    </row>
    <row r="49979" spans="1:141" s="116" customFormat="1">
      <c r="A49979" s="136"/>
      <c r="CM49979" s="111"/>
      <c r="CQ49979" s="111"/>
      <c r="EF49979"/>
      <c r="EG49979"/>
      <c r="EH49979"/>
      <c r="EI49979"/>
      <c r="EJ49979"/>
      <c r="EK49979"/>
    </row>
    <row r="49980" spans="1:141" s="116" customFormat="1">
      <c r="A49980" s="136"/>
      <c r="CM49980" s="111"/>
      <c r="CQ49980" s="111"/>
      <c r="EF49980"/>
      <c r="EG49980"/>
      <c r="EH49980"/>
      <c r="EI49980"/>
      <c r="EJ49980"/>
      <c r="EK49980"/>
    </row>
    <row r="49981" spans="1:141" s="116" customFormat="1">
      <c r="A49981" s="136"/>
      <c r="CM49981" s="111"/>
      <c r="CQ49981" s="111"/>
      <c r="EF49981"/>
      <c r="EG49981"/>
      <c r="EH49981"/>
      <c r="EI49981"/>
      <c r="EJ49981"/>
      <c r="EK49981"/>
    </row>
    <row r="49982" spans="1:141" s="116" customFormat="1">
      <c r="A49982" s="136"/>
      <c r="CM49982" s="111"/>
      <c r="CQ49982" s="111"/>
      <c r="EF49982"/>
      <c r="EG49982"/>
      <c r="EH49982"/>
      <c r="EI49982"/>
      <c r="EJ49982"/>
      <c r="EK49982"/>
    </row>
    <row r="49983" spans="1:141" s="116" customFormat="1">
      <c r="A49983" s="136"/>
      <c r="CM49983" s="111"/>
      <c r="CQ49983" s="111"/>
      <c r="EF49983"/>
      <c r="EG49983"/>
      <c r="EH49983"/>
      <c r="EI49983"/>
      <c r="EJ49983"/>
      <c r="EK49983"/>
    </row>
    <row r="49984" spans="1:141" s="116" customFormat="1">
      <c r="A49984" s="136"/>
      <c r="CM49984" s="111"/>
      <c r="CQ49984" s="111"/>
      <c r="EF49984"/>
      <c r="EG49984"/>
      <c r="EH49984"/>
      <c r="EI49984"/>
      <c r="EJ49984"/>
      <c r="EK49984"/>
    </row>
    <row r="49985" spans="1:141" s="116" customFormat="1">
      <c r="A49985" s="136"/>
      <c r="CM49985" s="111"/>
      <c r="CQ49985" s="111"/>
      <c r="EF49985"/>
      <c r="EG49985"/>
      <c r="EH49985"/>
      <c r="EI49985"/>
      <c r="EJ49985"/>
      <c r="EK49985"/>
    </row>
    <row r="49986" spans="1:141" s="116" customFormat="1">
      <c r="A49986" s="136"/>
      <c r="CM49986" s="111"/>
      <c r="CQ49986" s="111"/>
      <c r="EF49986"/>
      <c r="EG49986"/>
      <c r="EH49986"/>
      <c r="EI49986"/>
      <c r="EJ49986"/>
      <c r="EK49986"/>
    </row>
    <row r="49987" spans="1:141" s="116" customFormat="1">
      <c r="A49987" s="136"/>
      <c r="CM49987" s="111"/>
      <c r="CQ49987" s="111"/>
      <c r="EF49987"/>
      <c r="EG49987"/>
      <c r="EH49987"/>
      <c r="EI49987"/>
      <c r="EJ49987"/>
      <c r="EK49987"/>
    </row>
    <row r="49988" spans="1:141" s="116" customFormat="1">
      <c r="A49988" s="136"/>
      <c r="CM49988" s="111"/>
      <c r="CQ49988" s="111"/>
      <c r="EF49988"/>
      <c r="EG49988"/>
      <c r="EH49988"/>
      <c r="EI49988"/>
      <c r="EJ49988"/>
      <c r="EK49988"/>
    </row>
    <row r="49989" spans="1:141" s="116" customFormat="1">
      <c r="A49989" s="136"/>
      <c r="CM49989" s="111"/>
      <c r="CQ49989" s="111"/>
      <c r="EF49989"/>
      <c r="EG49989"/>
      <c r="EH49989"/>
      <c r="EI49989"/>
      <c r="EJ49989"/>
      <c r="EK49989"/>
    </row>
    <row r="49990" spans="1:141" s="116" customFormat="1">
      <c r="A49990" s="136"/>
      <c r="CM49990" s="111"/>
      <c r="CQ49990" s="111"/>
      <c r="EF49990"/>
      <c r="EG49990"/>
      <c r="EH49990"/>
      <c r="EI49990"/>
      <c r="EJ49990"/>
      <c r="EK49990"/>
    </row>
    <row r="49991" spans="1:141" s="116" customFormat="1">
      <c r="A49991" s="136"/>
      <c r="CM49991" s="111"/>
      <c r="CQ49991" s="111"/>
      <c r="EF49991"/>
      <c r="EG49991"/>
      <c r="EH49991"/>
      <c r="EI49991"/>
      <c r="EJ49991"/>
      <c r="EK49991"/>
    </row>
    <row r="49992" spans="1:141" s="116" customFormat="1">
      <c r="A49992" s="136"/>
      <c r="CM49992" s="111"/>
      <c r="CQ49992" s="111"/>
      <c r="EF49992"/>
      <c r="EG49992"/>
      <c r="EH49992"/>
      <c r="EI49992"/>
      <c r="EJ49992"/>
      <c r="EK49992"/>
    </row>
    <row r="49993" spans="1:141" s="116" customFormat="1">
      <c r="A49993" s="136"/>
      <c r="CM49993" s="111"/>
      <c r="CQ49993" s="111"/>
      <c r="EF49993"/>
      <c r="EG49993"/>
      <c r="EH49993"/>
      <c r="EI49993"/>
      <c r="EJ49993"/>
      <c r="EK49993"/>
    </row>
    <row r="49994" spans="1:141" s="116" customFormat="1">
      <c r="A49994" s="136"/>
      <c r="CM49994" s="111"/>
      <c r="CQ49994" s="111"/>
      <c r="EF49994"/>
      <c r="EG49994"/>
      <c r="EH49994"/>
      <c r="EI49994"/>
      <c r="EJ49994"/>
      <c r="EK49994"/>
    </row>
    <row r="49995" spans="1:141" s="116" customFormat="1">
      <c r="A49995" s="136"/>
      <c r="CM49995" s="111"/>
      <c r="CQ49995" s="111"/>
      <c r="EF49995"/>
      <c r="EG49995"/>
      <c r="EH49995"/>
      <c r="EI49995"/>
      <c r="EJ49995"/>
      <c r="EK49995"/>
    </row>
    <row r="49996" spans="1:141" s="116" customFormat="1">
      <c r="A49996" s="136"/>
      <c r="CM49996" s="111"/>
      <c r="CQ49996" s="111"/>
      <c r="EF49996"/>
      <c r="EG49996"/>
      <c r="EH49996"/>
      <c r="EI49996"/>
      <c r="EJ49996"/>
      <c r="EK49996"/>
    </row>
    <row r="49997" spans="1:141" s="116" customFormat="1">
      <c r="A49997" s="136"/>
      <c r="CM49997" s="111"/>
      <c r="CQ49997" s="111"/>
      <c r="EF49997"/>
      <c r="EG49997"/>
      <c r="EH49997"/>
      <c r="EI49997"/>
      <c r="EJ49997"/>
      <c r="EK49997"/>
    </row>
    <row r="49998" spans="1:141" s="116" customFormat="1">
      <c r="A49998" s="136"/>
      <c r="CM49998" s="111"/>
      <c r="CQ49998" s="111"/>
      <c r="EF49998"/>
      <c r="EG49998"/>
      <c r="EH49998"/>
      <c r="EI49998"/>
      <c r="EJ49998"/>
      <c r="EK49998"/>
    </row>
    <row r="49999" spans="1:141" s="116" customFormat="1">
      <c r="A49999" s="136"/>
      <c r="CM49999" s="111"/>
      <c r="CQ49999" s="111"/>
      <c r="EF49999"/>
      <c r="EG49999"/>
      <c r="EH49999"/>
      <c r="EI49999"/>
      <c r="EJ49999"/>
      <c r="EK49999"/>
    </row>
    <row r="50000" spans="1:141" s="116" customFormat="1">
      <c r="A50000" s="136"/>
      <c r="CM50000" s="111"/>
      <c r="CQ50000" s="111"/>
      <c r="EF50000"/>
      <c r="EG50000"/>
      <c r="EH50000"/>
      <c r="EI50000"/>
      <c r="EJ50000"/>
      <c r="EK50000"/>
    </row>
    <row r="50001" spans="1:141" s="116" customFormat="1">
      <c r="A50001" s="136"/>
      <c r="CM50001" s="111"/>
      <c r="CQ50001" s="111"/>
      <c r="EF50001"/>
      <c r="EG50001"/>
      <c r="EH50001"/>
      <c r="EI50001"/>
      <c r="EJ50001"/>
      <c r="EK50001"/>
    </row>
    <row r="50002" spans="1:141" s="116" customFormat="1">
      <c r="A50002" s="136"/>
      <c r="CM50002" s="111"/>
      <c r="CQ50002" s="111"/>
      <c r="EF50002"/>
      <c r="EG50002"/>
      <c r="EH50002"/>
      <c r="EI50002"/>
      <c r="EJ50002"/>
      <c r="EK50002"/>
    </row>
    <row r="50003" spans="1:141" s="116" customFormat="1">
      <c r="A50003" s="136"/>
      <c r="CM50003" s="111"/>
      <c r="CQ50003" s="111"/>
      <c r="EF50003"/>
      <c r="EG50003"/>
      <c r="EH50003"/>
      <c r="EI50003"/>
      <c r="EJ50003"/>
      <c r="EK50003"/>
    </row>
    <row r="50004" spans="1:141" s="116" customFormat="1">
      <c r="A50004" s="136"/>
      <c r="CM50004" s="111"/>
      <c r="CQ50004" s="111"/>
      <c r="EF50004"/>
      <c r="EG50004"/>
      <c r="EH50004"/>
      <c r="EI50004"/>
      <c r="EJ50004"/>
      <c r="EK50004"/>
    </row>
    <row r="50005" spans="1:141" s="116" customFormat="1">
      <c r="A50005" s="136"/>
      <c r="CM50005" s="111"/>
      <c r="CQ50005" s="111"/>
      <c r="EF50005"/>
      <c r="EG50005"/>
      <c r="EH50005"/>
      <c r="EI50005"/>
      <c r="EJ50005"/>
      <c r="EK50005"/>
    </row>
    <row r="50006" spans="1:141" s="116" customFormat="1">
      <c r="A50006" s="136"/>
      <c r="CM50006" s="111"/>
      <c r="CQ50006" s="111"/>
      <c r="EF50006"/>
      <c r="EG50006"/>
      <c r="EH50006"/>
      <c r="EI50006"/>
      <c r="EJ50006"/>
      <c r="EK50006"/>
    </row>
    <row r="50007" spans="1:141" s="116" customFormat="1">
      <c r="A50007" s="136"/>
      <c r="CM50007" s="111"/>
      <c r="CQ50007" s="111"/>
      <c r="EF50007"/>
      <c r="EG50007"/>
      <c r="EH50007"/>
      <c r="EI50007"/>
      <c r="EJ50007"/>
      <c r="EK50007"/>
    </row>
    <row r="50008" spans="1:141" s="116" customFormat="1">
      <c r="A50008" s="136"/>
      <c r="CM50008" s="111"/>
      <c r="CQ50008" s="111"/>
      <c r="EF50008"/>
      <c r="EG50008"/>
      <c r="EH50008"/>
      <c r="EI50008"/>
      <c r="EJ50008"/>
      <c r="EK50008"/>
    </row>
    <row r="50009" spans="1:141" s="116" customFormat="1">
      <c r="A50009" s="136"/>
      <c r="CM50009" s="111"/>
      <c r="CQ50009" s="111"/>
      <c r="EF50009"/>
      <c r="EG50009"/>
      <c r="EH50009"/>
      <c r="EI50009"/>
      <c r="EJ50009"/>
      <c r="EK50009"/>
    </row>
    <row r="50010" spans="1:141" s="116" customFormat="1">
      <c r="A50010" s="136"/>
      <c r="CM50010" s="111"/>
      <c r="CQ50010" s="111"/>
      <c r="EF50010"/>
      <c r="EG50010"/>
      <c r="EH50010"/>
      <c r="EI50010"/>
      <c r="EJ50010"/>
      <c r="EK50010"/>
    </row>
    <row r="50011" spans="1:141" s="116" customFormat="1">
      <c r="A50011" s="136"/>
      <c r="CM50011" s="111"/>
      <c r="CQ50011" s="111"/>
      <c r="EF50011"/>
      <c r="EG50011"/>
      <c r="EH50011"/>
      <c r="EI50011"/>
      <c r="EJ50011"/>
      <c r="EK50011"/>
    </row>
    <row r="50012" spans="1:141" s="116" customFormat="1">
      <c r="A50012" s="136"/>
      <c r="CM50012" s="111"/>
      <c r="CQ50012" s="111"/>
      <c r="EF50012"/>
      <c r="EG50012"/>
      <c r="EH50012"/>
      <c r="EI50012"/>
      <c r="EJ50012"/>
      <c r="EK50012"/>
    </row>
    <row r="50013" spans="1:141" s="116" customFormat="1">
      <c r="A50013" s="136"/>
      <c r="CM50013" s="111"/>
      <c r="CQ50013" s="111"/>
      <c r="EF50013"/>
      <c r="EG50013"/>
      <c r="EH50013"/>
      <c r="EI50013"/>
      <c r="EJ50013"/>
      <c r="EK50013"/>
    </row>
    <row r="50014" spans="1:141" s="116" customFormat="1">
      <c r="A50014" s="136"/>
      <c r="CM50014" s="111"/>
      <c r="CQ50014" s="111"/>
      <c r="EF50014"/>
      <c r="EG50014"/>
      <c r="EH50014"/>
      <c r="EI50014"/>
      <c r="EJ50014"/>
      <c r="EK50014"/>
    </row>
    <row r="50015" spans="1:141" s="116" customFormat="1">
      <c r="A50015" s="136"/>
      <c r="CM50015" s="111"/>
      <c r="CQ50015" s="111"/>
      <c r="EF50015"/>
      <c r="EG50015"/>
      <c r="EH50015"/>
      <c r="EI50015"/>
      <c r="EJ50015"/>
      <c r="EK50015"/>
    </row>
    <row r="50016" spans="1:141" s="116" customFormat="1">
      <c r="A50016" s="136"/>
      <c r="CM50016" s="111"/>
      <c r="CQ50016" s="111"/>
      <c r="EF50016"/>
      <c r="EG50016"/>
      <c r="EH50016"/>
      <c r="EI50016"/>
      <c r="EJ50016"/>
      <c r="EK50016"/>
    </row>
    <row r="50017" spans="1:141" s="116" customFormat="1">
      <c r="A50017" s="136"/>
      <c r="CM50017" s="111"/>
      <c r="CQ50017" s="111"/>
      <c r="EF50017"/>
      <c r="EG50017"/>
      <c r="EH50017"/>
      <c r="EI50017"/>
      <c r="EJ50017"/>
      <c r="EK50017"/>
    </row>
    <row r="50018" spans="1:141" s="116" customFormat="1">
      <c r="A50018" s="136"/>
      <c r="CM50018" s="111"/>
      <c r="CQ50018" s="111"/>
      <c r="EF50018"/>
      <c r="EG50018"/>
      <c r="EH50018"/>
      <c r="EI50018"/>
      <c r="EJ50018"/>
      <c r="EK50018"/>
    </row>
    <row r="50019" spans="1:141" s="116" customFormat="1">
      <c r="A50019" s="136"/>
      <c r="CM50019" s="111"/>
      <c r="CQ50019" s="111"/>
      <c r="EF50019"/>
      <c r="EG50019"/>
      <c r="EH50019"/>
      <c r="EI50019"/>
      <c r="EJ50019"/>
      <c r="EK50019"/>
    </row>
    <row r="50020" spans="1:141" s="116" customFormat="1">
      <c r="A50020" s="136"/>
      <c r="CM50020" s="111"/>
      <c r="CQ50020" s="111"/>
      <c r="EF50020"/>
      <c r="EG50020"/>
      <c r="EH50020"/>
      <c r="EI50020"/>
      <c r="EJ50020"/>
      <c r="EK50020"/>
    </row>
    <row r="50021" spans="1:141" s="116" customFormat="1">
      <c r="A50021" s="136"/>
      <c r="CM50021" s="111"/>
      <c r="CQ50021" s="111"/>
      <c r="EF50021"/>
      <c r="EG50021"/>
      <c r="EH50021"/>
      <c r="EI50021"/>
      <c r="EJ50021"/>
      <c r="EK50021"/>
    </row>
    <row r="50022" spans="1:141" s="116" customFormat="1">
      <c r="A50022" s="136"/>
      <c r="CM50022" s="111"/>
      <c r="CQ50022" s="111"/>
      <c r="EF50022"/>
      <c r="EG50022"/>
      <c r="EH50022"/>
      <c r="EI50022"/>
      <c r="EJ50022"/>
      <c r="EK50022"/>
    </row>
    <row r="50023" spans="1:141" s="116" customFormat="1">
      <c r="A50023" s="136"/>
      <c r="CM50023" s="111"/>
      <c r="CQ50023" s="111"/>
      <c r="EF50023"/>
      <c r="EG50023"/>
      <c r="EH50023"/>
      <c r="EI50023"/>
      <c r="EJ50023"/>
      <c r="EK50023"/>
    </row>
    <row r="50024" spans="1:141" s="116" customFormat="1">
      <c r="A50024" s="136"/>
      <c r="CM50024" s="111"/>
      <c r="CQ50024" s="111"/>
      <c r="EF50024"/>
      <c r="EG50024"/>
      <c r="EH50024"/>
      <c r="EI50024"/>
      <c r="EJ50024"/>
      <c r="EK50024"/>
    </row>
    <row r="50025" spans="1:141" s="116" customFormat="1">
      <c r="A50025" s="136"/>
      <c r="CM50025" s="111"/>
      <c r="CQ50025" s="111"/>
      <c r="EF50025"/>
      <c r="EG50025"/>
      <c r="EH50025"/>
      <c r="EI50025"/>
      <c r="EJ50025"/>
      <c r="EK50025"/>
    </row>
    <row r="50026" spans="1:141" s="116" customFormat="1">
      <c r="A50026" s="136"/>
      <c r="CM50026" s="111"/>
      <c r="CQ50026" s="111"/>
      <c r="EF50026"/>
      <c r="EG50026"/>
      <c r="EH50026"/>
      <c r="EI50026"/>
      <c r="EJ50026"/>
      <c r="EK50026"/>
    </row>
    <row r="50027" spans="1:141" s="116" customFormat="1">
      <c r="A50027" s="136"/>
      <c r="CM50027" s="111"/>
      <c r="CQ50027" s="111"/>
      <c r="EF50027"/>
      <c r="EG50027"/>
      <c r="EH50027"/>
      <c r="EI50027"/>
      <c r="EJ50027"/>
      <c r="EK50027"/>
    </row>
    <row r="50028" spans="1:141" s="116" customFormat="1">
      <c r="A50028" s="136"/>
      <c r="CM50028" s="111"/>
      <c r="CQ50028" s="111"/>
      <c r="EF50028"/>
      <c r="EG50028"/>
      <c r="EH50028"/>
      <c r="EI50028"/>
      <c r="EJ50028"/>
      <c r="EK50028"/>
    </row>
    <row r="50029" spans="1:141" s="116" customFormat="1">
      <c r="A50029" s="136"/>
      <c r="CM50029" s="111"/>
      <c r="CQ50029" s="111"/>
      <c r="EF50029"/>
      <c r="EG50029"/>
      <c r="EH50029"/>
      <c r="EI50029"/>
      <c r="EJ50029"/>
      <c r="EK50029"/>
    </row>
    <row r="50030" spans="1:141" s="116" customFormat="1">
      <c r="A50030" s="136"/>
      <c r="CM50030" s="111"/>
      <c r="CQ50030" s="111"/>
      <c r="EF50030"/>
      <c r="EG50030"/>
      <c r="EH50030"/>
      <c r="EI50030"/>
      <c r="EJ50030"/>
      <c r="EK50030"/>
    </row>
    <row r="50031" spans="1:141" s="116" customFormat="1">
      <c r="A50031" s="136"/>
      <c r="CM50031" s="111"/>
      <c r="CQ50031" s="111"/>
      <c r="EF50031"/>
      <c r="EG50031"/>
      <c r="EH50031"/>
      <c r="EI50031"/>
      <c r="EJ50031"/>
      <c r="EK50031"/>
    </row>
    <row r="50032" spans="1:141" s="116" customFormat="1">
      <c r="A50032" s="136"/>
      <c r="CM50032" s="111"/>
      <c r="CQ50032" s="111"/>
      <c r="EF50032"/>
      <c r="EG50032"/>
      <c r="EH50032"/>
      <c r="EI50032"/>
      <c r="EJ50032"/>
      <c r="EK50032"/>
    </row>
    <row r="50033" spans="1:141" s="116" customFormat="1">
      <c r="A50033" s="136"/>
      <c r="CM50033" s="111"/>
      <c r="CQ50033" s="111"/>
      <c r="EF50033"/>
      <c r="EG50033"/>
      <c r="EH50033"/>
      <c r="EI50033"/>
      <c r="EJ50033"/>
      <c r="EK50033"/>
    </row>
    <row r="50034" spans="1:141" s="116" customFormat="1">
      <c r="A50034" s="136"/>
      <c r="CM50034" s="111"/>
      <c r="CQ50034" s="111"/>
      <c r="EF50034"/>
      <c r="EG50034"/>
      <c r="EH50034"/>
      <c r="EI50034"/>
      <c r="EJ50034"/>
      <c r="EK50034"/>
    </row>
    <row r="50035" spans="1:141" s="116" customFormat="1">
      <c r="A50035" s="136"/>
      <c r="CM50035" s="111"/>
      <c r="CQ50035" s="111"/>
      <c r="EF50035"/>
      <c r="EG50035"/>
      <c r="EH50035"/>
      <c r="EI50035"/>
      <c r="EJ50035"/>
      <c r="EK50035"/>
    </row>
    <row r="50036" spans="1:141" s="116" customFormat="1">
      <c r="A50036" s="136"/>
      <c r="CM50036" s="111"/>
      <c r="CQ50036" s="111"/>
      <c r="EF50036"/>
      <c r="EG50036"/>
      <c r="EH50036"/>
      <c r="EI50036"/>
      <c r="EJ50036"/>
      <c r="EK50036"/>
    </row>
    <row r="50037" spans="1:141" s="116" customFormat="1">
      <c r="A50037" s="136"/>
      <c r="CM50037" s="111"/>
      <c r="CQ50037" s="111"/>
      <c r="EF50037"/>
      <c r="EG50037"/>
      <c r="EH50037"/>
      <c r="EI50037"/>
      <c r="EJ50037"/>
      <c r="EK50037"/>
    </row>
    <row r="50038" spans="1:141" s="116" customFormat="1">
      <c r="A50038" s="136"/>
      <c r="CM50038" s="111"/>
      <c r="CQ50038" s="111"/>
      <c r="EF50038"/>
      <c r="EG50038"/>
      <c r="EH50038"/>
      <c r="EI50038"/>
      <c r="EJ50038"/>
      <c r="EK50038"/>
    </row>
    <row r="50039" spans="1:141" s="116" customFormat="1">
      <c r="A50039" s="136"/>
      <c r="CM50039" s="111"/>
      <c r="CQ50039" s="111"/>
      <c r="EF50039"/>
      <c r="EG50039"/>
      <c r="EH50039"/>
      <c r="EI50039"/>
      <c r="EJ50039"/>
      <c r="EK50039"/>
    </row>
    <row r="50040" spans="1:141" s="116" customFormat="1">
      <c r="A50040" s="136"/>
      <c r="CM50040" s="111"/>
      <c r="CQ50040" s="111"/>
      <c r="EF50040"/>
      <c r="EG50040"/>
      <c r="EH50040"/>
      <c r="EI50040"/>
      <c r="EJ50040"/>
      <c r="EK50040"/>
    </row>
    <row r="50041" spans="1:141" s="116" customFormat="1">
      <c r="A50041" s="136"/>
      <c r="CM50041" s="111"/>
      <c r="CQ50041" s="111"/>
      <c r="EF50041"/>
      <c r="EG50041"/>
      <c r="EH50041"/>
      <c r="EI50041"/>
      <c r="EJ50041"/>
      <c r="EK50041"/>
    </row>
    <row r="50042" spans="1:141" s="116" customFormat="1">
      <c r="A50042" s="136"/>
      <c r="CM50042" s="111"/>
      <c r="CQ50042" s="111"/>
      <c r="EF50042"/>
      <c r="EG50042"/>
      <c r="EH50042"/>
      <c r="EI50042"/>
      <c r="EJ50042"/>
      <c r="EK50042"/>
    </row>
    <row r="50043" spans="1:141" s="116" customFormat="1">
      <c r="A50043" s="136"/>
      <c r="CM50043" s="111"/>
      <c r="CQ50043" s="111"/>
      <c r="EF50043"/>
      <c r="EG50043"/>
      <c r="EH50043"/>
      <c r="EI50043"/>
      <c r="EJ50043"/>
      <c r="EK50043"/>
    </row>
    <row r="50044" spans="1:141" s="116" customFormat="1">
      <c r="A50044" s="136"/>
      <c r="CM50044" s="111"/>
      <c r="CQ50044" s="111"/>
      <c r="EF50044"/>
      <c r="EG50044"/>
      <c r="EH50044"/>
      <c r="EI50044"/>
      <c r="EJ50044"/>
      <c r="EK50044"/>
    </row>
    <row r="50045" spans="1:141" s="116" customFormat="1">
      <c r="A50045" s="136"/>
      <c r="CM50045" s="111"/>
      <c r="CQ50045" s="111"/>
      <c r="EF50045"/>
      <c r="EG50045"/>
      <c r="EH50045"/>
      <c r="EI50045"/>
      <c r="EJ50045"/>
      <c r="EK50045"/>
    </row>
    <row r="50046" spans="1:141" s="116" customFormat="1">
      <c r="A50046" s="136"/>
      <c r="CM50046" s="111"/>
      <c r="CQ50046" s="111"/>
      <c r="EF50046"/>
      <c r="EG50046"/>
      <c r="EH50046"/>
      <c r="EI50046"/>
      <c r="EJ50046"/>
      <c r="EK50046"/>
    </row>
    <row r="50047" spans="1:141" s="116" customFormat="1">
      <c r="A50047" s="136"/>
      <c r="CM50047" s="111"/>
      <c r="CQ50047" s="111"/>
      <c r="EF50047"/>
      <c r="EG50047"/>
      <c r="EH50047"/>
      <c r="EI50047"/>
      <c r="EJ50047"/>
      <c r="EK50047"/>
    </row>
    <row r="50048" spans="1:141" s="116" customFormat="1">
      <c r="A50048" s="136"/>
      <c r="CM50048" s="111"/>
      <c r="CQ50048" s="111"/>
      <c r="EF50048"/>
      <c r="EG50048"/>
      <c r="EH50048"/>
      <c r="EI50048"/>
      <c r="EJ50048"/>
      <c r="EK50048"/>
    </row>
    <row r="50049" spans="1:141" s="116" customFormat="1">
      <c r="A50049" s="136"/>
      <c r="CM50049" s="111"/>
      <c r="CQ50049" s="111"/>
      <c r="EF50049"/>
      <c r="EG50049"/>
      <c r="EH50049"/>
      <c r="EI50049"/>
      <c r="EJ50049"/>
      <c r="EK50049"/>
    </row>
    <row r="50050" spans="1:141" s="116" customFormat="1">
      <c r="A50050" s="136"/>
      <c r="CM50050" s="111"/>
      <c r="CQ50050" s="111"/>
      <c r="EF50050"/>
      <c r="EG50050"/>
      <c r="EH50050"/>
      <c r="EI50050"/>
      <c r="EJ50050"/>
      <c r="EK50050"/>
    </row>
    <row r="50051" spans="1:141" s="116" customFormat="1">
      <c r="A50051" s="136"/>
      <c r="CM50051" s="111"/>
      <c r="CQ50051" s="111"/>
      <c r="EF50051"/>
      <c r="EG50051"/>
      <c r="EH50051"/>
      <c r="EI50051"/>
      <c r="EJ50051"/>
      <c r="EK50051"/>
    </row>
    <row r="50052" spans="1:141" s="116" customFormat="1">
      <c r="A50052" s="136"/>
      <c r="CM50052" s="111"/>
      <c r="CQ50052" s="111"/>
      <c r="EF50052"/>
      <c r="EG50052"/>
      <c r="EH50052"/>
      <c r="EI50052"/>
      <c r="EJ50052"/>
      <c r="EK50052"/>
    </row>
    <row r="50053" spans="1:141" s="116" customFormat="1">
      <c r="A50053" s="136"/>
      <c r="CM50053" s="111"/>
      <c r="CQ50053" s="111"/>
      <c r="EF50053"/>
      <c r="EG50053"/>
      <c r="EH50053"/>
      <c r="EI50053"/>
      <c r="EJ50053"/>
      <c r="EK50053"/>
    </row>
    <row r="50054" spans="1:141" s="116" customFormat="1">
      <c r="A50054" s="136"/>
      <c r="CM50054" s="111"/>
      <c r="CQ50054" s="111"/>
      <c r="EF50054"/>
      <c r="EG50054"/>
      <c r="EH50054"/>
      <c r="EI50054"/>
      <c r="EJ50054"/>
      <c r="EK50054"/>
    </row>
    <row r="50055" spans="1:141" s="116" customFormat="1">
      <c r="A50055" s="136"/>
      <c r="CM50055" s="111"/>
      <c r="CQ50055" s="111"/>
      <c r="EF50055"/>
      <c r="EG50055"/>
      <c r="EH50055"/>
      <c r="EI50055"/>
      <c r="EJ50055"/>
      <c r="EK50055"/>
    </row>
    <row r="50056" spans="1:141" s="116" customFormat="1">
      <c r="A50056" s="136"/>
      <c r="CM50056" s="111"/>
      <c r="CQ50056" s="111"/>
      <c r="EF50056"/>
      <c r="EG50056"/>
      <c r="EH50056"/>
      <c r="EI50056"/>
      <c r="EJ50056"/>
      <c r="EK50056"/>
    </row>
    <row r="50057" spans="1:141" s="116" customFormat="1">
      <c r="A50057" s="136"/>
      <c r="CM50057" s="111"/>
      <c r="CQ50057" s="111"/>
      <c r="EF50057"/>
      <c r="EG50057"/>
      <c r="EH50057"/>
      <c r="EI50057"/>
      <c r="EJ50057"/>
      <c r="EK50057"/>
    </row>
    <row r="50058" spans="1:141" s="116" customFormat="1">
      <c r="A50058" s="136"/>
      <c r="CM50058" s="111"/>
      <c r="CQ50058" s="111"/>
      <c r="EF50058"/>
      <c r="EG50058"/>
      <c r="EH50058"/>
      <c r="EI50058"/>
      <c r="EJ50058"/>
      <c r="EK50058"/>
    </row>
    <row r="50059" spans="1:141" s="116" customFormat="1">
      <c r="A50059" s="136"/>
      <c r="CM50059" s="111"/>
      <c r="CQ50059" s="111"/>
      <c r="EF50059"/>
      <c r="EG50059"/>
      <c r="EH50059"/>
      <c r="EI50059"/>
      <c r="EJ50059"/>
      <c r="EK50059"/>
    </row>
    <row r="50060" spans="1:141" s="116" customFormat="1">
      <c r="A50060" s="136"/>
      <c r="CM50060" s="111"/>
      <c r="CQ50060" s="111"/>
      <c r="EF50060"/>
      <c r="EG50060"/>
      <c r="EH50060"/>
      <c r="EI50060"/>
      <c r="EJ50060"/>
      <c r="EK50060"/>
    </row>
    <row r="50061" spans="1:141" s="116" customFormat="1">
      <c r="A50061" s="136"/>
      <c r="CM50061" s="111"/>
      <c r="CQ50061" s="111"/>
      <c r="EF50061"/>
      <c r="EG50061"/>
      <c r="EH50061"/>
      <c r="EI50061"/>
      <c r="EJ50061"/>
      <c r="EK50061"/>
    </row>
    <row r="50062" spans="1:141" s="116" customFormat="1">
      <c r="A50062" s="136"/>
      <c r="CM50062" s="111"/>
      <c r="CQ50062" s="111"/>
      <c r="EF50062"/>
      <c r="EG50062"/>
      <c r="EH50062"/>
      <c r="EI50062"/>
      <c r="EJ50062"/>
      <c r="EK50062"/>
    </row>
    <row r="50063" spans="1:141" s="116" customFormat="1">
      <c r="A50063" s="136"/>
      <c r="CM50063" s="111"/>
      <c r="CQ50063" s="111"/>
      <c r="EF50063"/>
      <c r="EG50063"/>
      <c r="EH50063"/>
      <c r="EI50063"/>
      <c r="EJ50063"/>
      <c r="EK50063"/>
    </row>
    <row r="50064" spans="1:141" s="116" customFormat="1">
      <c r="A50064" s="136"/>
      <c r="CM50064" s="111"/>
      <c r="CQ50064" s="111"/>
      <c r="EF50064"/>
      <c r="EG50064"/>
      <c r="EH50064"/>
      <c r="EI50064"/>
      <c r="EJ50064"/>
      <c r="EK50064"/>
    </row>
    <row r="50065" spans="1:141" s="116" customFormat="1">
      <c r="A50065" s="136"/>
      <c r="CM50065" s="111"/>
      <c r="CQ50065" s="111"/>
      <c r="EF50065"/>
      <c r="EG50065"/>
      <c r="EH50065"/>
      <c r="EI50065"/>
      <c r="EJ50065"/>
      <c r="EK50065"/>
    </row>
    <row r="50066" spans="1:141" s="116" customFormat="1">
      <c r="A50066" s="136"/>
      <c r="CM50066" s="111"/>
      <c r="CQ50066" s="111"/>
      <c r="EF50066"/>
      <c r="EG50066"/>
      <c r="EH50066"/>
      <c r="EI50066"/>
      <c r="EJ50066"/>
      <c r="EK50066"/>
    </row>
    <row r="50067" spans="1:141" s="116" customFormat="1">
      <c r="A50067" s="136"/>
      <c r="CM50067" s="111"/>
      <c r="CQ50067" s="111"/>
      <c r="EF50067"/>
      <c r="EG50067"/>
      <c r="EH50067"/>
      <c r="EI50067"/>
      <c r="EJ50067"/>
      <c r="EK50067"/>
    </row>
    <row r="50068" spans="1:141" s="116" customFormat="1">
      <c r="A50068" s="136"/>
      <c r="CM50068" s="111"/>
      <c r="CQ50068" s="111"/>
      <c r="EF50068"/>
      <c r="EG50068"/>
      <c r="EH50068"/>
      <c r="EI50068"/>
      <c r="EJ50068"/>
      <c r="EK50068"/>
    </row>
    <row r="50069" spans="1:141" s="116" customFormat="1">
      <c r="A50069" s="136"/>
      <c r="CM50069" s="111"/>
      <c r="CQ50069" s="111"/>
      <c r="EF50069"/>
      <c r="EG50069"/>
      <c r="EH50069"/>
      <c r="EI50069"/>
      <c r="EJ50069"/>
      <c r="EK50069"/>
    </row>
    <row r="50070" spans="1:141" s="116" customFormat="1">
      <c r="A50070" s="136"/>
      <c r="CM50070" s="111"/>
      <c r="CQ50070" s="111"/>
      <c r="EF50070"/>
      <c r="EG50070"/>
      <c r="EH50070"/>
      <c r="EI50070"/>
      <c r="EJ50070"/>
      <c r="EK50070"/>
    </row>
    <row r="50071" spans="1:141" s="116" customFormat="1">
      <c r="A50071" s="136"/>
      <c r="CM50071" s="111"/>
      <c r="CQ50071" s="111"/>
      <c r="EF50071"/>
      <c r="EG50071"/>
      <c r="EH50071"/>
      <c r="EI50071"/>
      <c r="EJ50071"/>
      <c r="EK50071"/>
    </row>
    <row r="50072" spans="1:141" s="116" customFormat="1">
      <c r="A50072" s="136"/>
      <c r="CM50072" s="111"/>
      <c r="CQ50072" s="111"/>
      <c r="EF50072"/>
      <c r="EG50072"/>
      <c r="EH50072"/>
      <c r="EI50072"/>
      <c r="EJ50072"/>
      <c r="EK50072"/>
    </row>
    <row r="50073" spans="1:141" s="116" customFormat="1">
      <c r="A50073" s="136"/>
      <c r="CM50073" s="111"/>
      <c r="CQ50073" s="111"/>
      <c r="EF50073"/>
      <c r="EG50073"/>
      <c r="EH50073"/>
      <c r="EI50073"/>
      <c r="EJ50073"/>
      <c r="EK50073"/>
    </row>
    <row r="50074" spans="1:141" s="116" customFormat="1">
      <c r="A50074" s="136"/>
      <c r="CM50074" s="111"/>
      <c r="CQ50074" s="111"/>
      <c r="EF50074"/>
      <c r="EG50074"/>
      <c r="EH50074"/>
      <c r="EI50074"/>
      <c r="EJ50074"/>
      <c r="EK50074"/>
    </row>
    <row r="50075" spans="1:141" s="116" customFormat="1">
      <c r="A50075" s="136"/>
      <c r="CM50075" s="111"/>
      <c r="CQ50075" s="111"/>
      <c r="EF50075"/>
      <c r="EG50075"/>
      <c r="EH50075"/>
      <c r="EI50075"/>
      <c r="EJ50075"/>
      <c r="EK50075"/>
    </row>
    <row r="50076" spans="1:141" s="116" customFormat="1">
      <c r="A50076" s="136"/>
      <c r="CM50076" s="111"/>
      <c r="CQ50076" s="111"/>
      <c r="EF50076"/>
      <c r="EG50076"/>
      <c r="EH50076"/>
      <c r="EI50076"/>
      <c r="EJ50076"/>
      <c r="EK50076"/>
    </row>
    <row r="50077" spans="1:141" s="116" customFormat="1">
      <c r="A50077" s="136"/>
      <c r="CM50077" s="111"/>
      <c r="CQ50077" s="111"/>
      <c r="EF50077"/>
      <c r="EG50077"/>
      <c r="EH50077"/>
      <c r="EI50077"/>
      <c r="EJ50077"/>
      <c r="EK50077"/>
    </row>
    <row r="50078" spans="1:141" s="116" customFormat="1">
      <c r="A50078" s="136"/>
      <c r="CM50078" s="111"/>
      <c r="CQ50078" s="111"/>
      <c r="EF50078"/>
      <c r="EG50078"/>
      <c r="EH50078"/>
      <c r="EI50078"/>
      <c r="EJ50078"/>
      <c r="EK50078"/>
    </row>
    <row r="50079" spans="1:141" s="116" customFormat="1">
      <c r="A50079" s="136"/>
      <c r="CM50079" s="111"/>
      <c r="CQ50079" s="111"/>
      <c r="EF50079"/>
      <c r="EG50079"/>
      <c r="EH50079"/>
      <c r="EI50079"/>
      <c r="EJ50079"/>
      <c r="EK50079"/>
    </row>
    <row r="50080" spans="1:141" s="116" customFormat="1">
      <c r="A50080" s="136"/>
      <c r="CM50080" s="111"/>
      <c r="CQ50080" s="111"/>
      <c r="EF50080"/>
      <c r="EG50080"/>
      <c r="EH50080"/>
      <c r="EI50080"/>
      <c r="EJ50080"/>
      <c r="EK50080"/>
    </row>
    <row r="50081" spans="1:141" s="116" customFormat="1">
      <c r="A50081" s="136"/>
      <c r="CM50081" s="111"/>
      <c r="CQ50081" s="111"/>
      <c r="EF50081"/>
      <c r="EG50081"/>
      <c r="EH50081"/>
      <c r="EI50081"/>
      <c r="EJ50081"/>
      <c r="EK50081"/>
    </row>
    <row r="50082" spans="1:141" s="116" customFormat="1">
      <c r="A50082" s="136"/>
      <c r="CM50082" s="111"/>
      <c r="CQ50082" s="111"/>
      <c r="EF50082"/>
      <c r="EG50082"/>
      <c r="EH50082"/>
      <c r="EI50082"/>
      <c r="EJ50082"/>
      <c r="EK50082"/>
    </row>
    <row r="50083" spans="1:141" s="116" customFormat="1">
      <c r="A50083" s="136"/>
      <c r="CM50083" s="111"/>
      <c r="CQ50083" s="111"/>
      <c r="EF50083"/>
      <c r="EG50083"/>
      <c r="EH50083"/>
      <c r="EI50083"/>
      <c r="EJ50083"/>
      <c r="EK50083"/>
    </row>
    <row r="50084" spans="1:141" s="116" customFormat="1">
      <c r="A50084" s="136"/>
      <c r="CM50084" s="111"/>
      <c r="CQ50084" s="111"/>
      <c r="EF50084"/>
      <c r="EG50084"/>
      <c r="EH50084"/>
      <c r="EI50084"/>
      <c r="EJ50084"/>
      <c r="EK50084"/>
    </row>
    <row r="50085" spans="1:141" s="116" customFormat="1">
      <c r="A50085" s="136"/>
      <c r="CM50085" s="111"/>
      <c r="CQ50085" s="111"/>
      <c r="EF50085"/>
      <c r="EG50085"/>
      <c r="EH50085"/>
      <c r="EI50085"/>
      <c r="EJ50085"/>
      <c r="EK50085"/>
    </row>
    <row r="50086" spans="1:141" s="116" customFormat="1">
      <c r="A50086" s="136"/>
      <c r="CM50086" s="111"/>
      <c r="CQ50086" s="111"/>
      <c r="EF50086"/>
      <c r="EG50086"/>
      <c r="EH50086"/>
      <c r="EI50086"/>
      <c r="EJ50086"/>
      <c r="EK50086"/>
    </row>
    <row r="50087" spans="1:141" s="116" customFormat="1">
      <c r="A50087" s="136"/>
      <c r="CM50087" s="111"/>
      <c r="CQ50087" s="111"/>
      <c r="EF50087"/>
      <c r="EG50087"/>
      <c r="EH50087"/>
      <c r="EI50087"/>
      <c r="EJ50087"/>
      <c r="EK50087"/>
    </row>
    <row r="50088" spans="1:141" s="116" customFormat="1">
      <c r="A50088" s="136"/>
      <c r="CM50088" s="111"/>
      <c r="CQ50088" s="111"/>
      <c r="EF50088"/>
      <c r="EG50088"/>
      <c r="EH50088"/>
      <c r="EI50088"/>
      <c r="EJ50088"/>
      <c r="EK50088"/>
    </row>
    <row r="50089" spans="1:141" s="116" customFormat="1">
      <c r="A50089" s="136"/>
      <c r="CM50089" s="111"/>
      <c r="CQ50089" s="111"/>
      <c r="EF50089"/>
      <c r="EG50089"/>
      <c r="EH50089"/>
      <c r="EI50089"/>
      <c r="EJ50089"/>
      <c r="EK50089"/>
    </row>
    <row r="50090" spans="1:141" s="116" customFormat="1">
      <c r="A50090" s="136"/>
      <c r="CM50090" s="111"/>
      <c r="CQ50090" s="111"/>
      <c r="EF50090"/>
      <c r="EG50090"/>
      <c r="EH50090"/>
      <c r="EI50090"/>
      <c r="EJ50090"/>
      <c r="EK50090"/>
    </row>
    <row r="50091" spans="1:141" s="116" customFormat="1">
      <c r="A50091" s="136"/>
      <c r="CM50091" s="111"/>
      <c r="CQ50091" s="111"/>
      <c r="EF50091"/>
      <c r="EG50091"/>
      <c r="EH50091"/>
      <c r="EI50091"/>
      <c r="EJ50091"/>
      <c r="EK50091"/>
    </row>
    <row r="50092" spans="1:141" s="116" customFormat="1">
      <c r="A50092" s="136"/>
      <c r="CM50092" s="111"/>
      <c r="CQ50092" s="111"/>
      <c r="EF50092"/>
      <c r="EG50092"/>
      <c r="EH50092"/>
      <c r="EI50092"/>
      <c r="EJ50092"/>
      <c r="EK50092"/>
    </row>
    <row r="50093" spans="1:141" s="116" customFormat="1">
      <c r="A50093" s="136"/>
      <c r="CM50093" s="111"/>
      <c r="CQ50093" s="111"/>
      <c r="EF50093"/>
      <c r="EG50093"/>
      <c r="EH50093"/>
      <c r="EI50093"/>
      <c r="EJ50093"/>
      <c r="EK50093"/>
    </row>
    <row r="50094" spans="1:141" s="116" customFormat="1">
      <c r="A50094" s="136"/>
      <c r="CM50094" s="111"/>
      <c r="CQ50094" s="111"/>
      <c r="EF50094"/>
      <c r="EG50094"/>
      <c r="EH50094"/>
      <c r="EI50094"/>
      <c r="EJ50094"/>
      <c r="EK50094"/>
    </row>
    <row r="50095" spans="1:141" s="116" customFormat="1">
      <c r="A50095" s="136"/>
      <c r="CM50095" s="111"/>
      <c r="CQ50095" s="111"/>
      <c r="EF50095"/>
      <c r="EG50095"/>
      <c r="EH50095"/>
      <c r="EI50095"/>
      <c r="EJ50095"/>
      <c r="EK50095"/>
    </row>
    <row r="50096" spans="1:141" s="116" customFormat="1">
      <c r="A50096" s="136"/>
      <c r="CM50096" s="111"/>
      <c r="CQ50096" s="111"/>
      <c r="EF50096"/>
      <c r="EG50096"/>
      <c r="EH50096"/>
      <c r="EI50096"/>
      <c r="EJ50096"/>
      <c r="EK50096"/>
    </row>
    <row r="50097" spans="1:141" s="116" customFormat="1">
      <c r="A50097" s="136"/>
      <c r="CM50097" s="111"/>
      <c r="CQ50097" s="111"/>
      <c r="EF50097"/>
      <c r="EG50097"/>
      <c r="EH50097"/>
      <c r="EI50097"/>
      <c r="EJ50097"/>
      <c r="EK50097"/>
    </row>
    <row r="50098" spans="1:141" s="116" customFormat="1">
      <c r="A50098" s="136"/>
      <c r="CM50098" s="111"/>
      <c r="CQ50098" s="111"/>
      <c r="EF50098"/>
      <c r="EG50098"/>
      <c r="EH50098"/>
      <c r="EI50098"/>
      <c r="EJ50098"/>
      <c r="EK50098"/>
    </row>
    <row r="50099" spans="1:141" s="116" customFormat="1">
      <c r="A50099" s="136"/>
      <c r="CM50099" s="111"/>
      <c r="CQ50099" s="111"/>
      <c r="EF50099"/>
      <c r="EG50099"/>
      <c r="EH50099"/>
      <c r="EI50099"/>
      <c r="EJ50099"/>
      <c r="EK50099"/>
    </row>
    <row r="50100" spans="1:141" s="116" customFormat="1">
      <c r="A50100" s="136"/>
      <c r="CM50100" s="111"/>
      <c r="CQ50100" s="111"/>
      <c r="EF50100"/>
      <c r="EG50100"/>
      <c r="EH50100"/>
      <c r="EI50100"/>
      <c r="EJ50100"/>
      <c r="EK50100"/>
    </row>
    <row r="50101" spans="1:141" s="116" customFormat="1">
      <c r="A50101" s="136"/>
      <c r="CM50101" s="111"/>
      <c r="CQ50101" s="111"/>
      <c r="EF50101"/>
      <c r="EG50101"/>
      <c r="EH50101"/>
      <c r="EI50101"/>
      <c r="EJ50101"/>
      <c r="EK50101"/>
    </row>
    <row r="50102" spans="1:141" s="116" customFormat="1">
      <c r="A50102" s="136"/>
      <c r="CM50102" s="111"/>
      <c r="CQ50102" s="111"/>
      <c r="EF50102"/>
      <c r="EG50102"/>
      <c r="EH50102"/>
      <c r="EI50102"/>
      <c r="EJ50102"/>
      <c r="EK50102"/>
    </row>
    <row r="50103" spans="1:141" s="116" customFormat="1">
      <c r="A50103" s="136"/>
      <c r="CM50103" s="111"/>
      <c r="CQ50103" s="111"/>
      <c r="EF50103"/>
      <c r="EG50103"/>
      <c r="EH50103"/>
      <c r="EI50103"/>
      <c r="EJ50103"/>
      <c r="EK50103"/>
    </row>
    <row r="50104" spans="1:141" s="116" customFormat="1">
      <c r="A50104" s="136"/>
      <c r="CM50104" s="111"/>
      <c r="CQ50104" s="111"/>
      <c r="EF50104"/>
      <c r="EG50104"/>
      <c r="EH50104"/>
      <c r="EI50104"/>
      <c r="EJ50104"/>
      <c r="EK50104"/>
    </row>
    <row r="50105" spans="1:141" s="116" customFormat="1">
      <c r="A50105" s="136"/>
      <c r="CM50105" s="111"/>
      <c r="CQ50105" s="111"/>
      <c r="EF50105"/>
      <c r="EG50105"/>
      <c r="EH50105"/>
      <c r="EI50105"/>
      <c r="EJ50105"/>
      <c r="EK50105"/>
    </row>
    <row r="50106" spans="1:141" s="116" customFormat="1">
      <c r="A50106" s="136"/>
      <c r="CM50106" s="111"/>
      <c r="CQ50106" s="111"/>
      <c r="EF50106"/>
      <c r="EG50106"/>
      <c r="EH50106"/>
      <c r="EI50106"/>
      <c r="EJ50106"/>
      <c r="EK50106"/>
    </row>
    <row r="50107" spans="1:141" s="116" customFormat="1">
      <c r="A50107" s="136"/>
      <c r="CM50107" s="111"/>
      <c r="CQ50107" s="111"/>
      <c r="EF50107"/>
      <c r="EG50107"/>
      <c r="EH50107"/>
      <c r="EI50107"/>
      <c r="EJ50107"/>
      <c r="EK50107"/>
    </row>
    <row r="50108" spans="1:141" s="116" customFormat="1">
      <c r="A50108" s="136"/>
      <c r="CM50108" s="111"/>
      <c r="CQ50108" s="111"/>
      <c r="EF50108"/>
      <c r="EG50108"/>
      <c r="EH50108"/>
      <c r="EI50108"/>
      <c r="EJ50108"/>
      <c r="EK50108"/>
    </row>
    <row r="50109" spans="1:141" s="116" customFormat="1">
      <c r="A50109" s="136"/>
      <c r="CM50109" s="111"/>
      <c r="CQ50109" s="111"/>
      <c r="EF50109"/>
      <c r="EG50109"/>
      <c r="EH50109"/>
      <c r="EI50109"/>
      <c r="EJ50109"/>
      <c r="EK50109"/>
    </row>
    <row r="50110" spans="1:141" s="116" customFormat="1">
      <c r="A50110" s="136"/>
      <c r="CM50110" s="111"/>
      <c r="CQ50110" s="111"/>
      <c r="EF50110"/>
      <c r="EG50110"/>
      <c r="EH50110"/>
      <c r="EI50110"/>
      <c r="EJ50110"/>
      <c r="EK50110"/>
    </row>
    <row r="50111" spans="1:141" s="116" customFormat="1">
      <c r="A50111" s="136"/>
      <c r="CM50111" s="111"/>
      <c r="CQ50111" s="111"/>
      <c r="EF50111"/>
      <c r="EG50111"/>
      <c r="EH50111"/>
      <c r="EI50111"/>
      <c r="EJ50111"/>
      <c r="EK50111"/>
    </row>
    <row r="50112" spans="1:141" s="116" customFormat="1">
      <c r="A50112" s="136"/>
      <c r="CM50112" s="111"/>
      <c r="CQ50112" s="111"/>
      <c r="EF50112"/>
      <c r="EG50112"/>
      <c r="EH50112"/>
      <c r="EI50112"/>
      <c r="EJ50112"/>
      <c r="EK50112"/>
    </row>
    <row r="50113" spans="1:141" s="116" customFormat="1">
      <c r="A50113" s="136"/>
      <c r="CM50113" s="111"/>
      <c r="CQ50113" s="111"/>
      <c r="EF50113"/>
      <c r="EG50113"/>
      <c r="EH50113"/>
      <c r="EI50113"/>
      <c r="EJ50113"/>
      <c r="EK50113"/>
    </row>
    <row r="50114" spans="1:141" s="116" customFormat="1">
      <c r="A50114" s="136"/>
      <c r="CM50114" s="111"/>
      <c r="CQ50114" s="111"/>
      <c r="EF50114"/>
      <c r="EG50114"/>
      <c r="EH50114"/>
      <c r="EI50114"/>
      <c r="EJ50114"/>
      <c r="EK50114"/>
    </row>
    <row r="50115" spans="1:141" s="116" customFormat="1">
      <c r="A50115" s="136"/>
      <c r="CM50115" s="111"/>
      <c r="CQ50115" s="111"/>
      <c r="EF50115"/>
      <c r="EG50115"/>
      <c r="EH50115"/>
      <c r="EI50115"/>
      <c r="EJ50115"/>
      <c r="EK50115"/>
    </row>
    <row r="50116" spans="1:141" s="116" customFormat="1">
      <c r="A50116" s="136"/>
      <c r="CM50116" s="111"/>
      <c r="CQ50116" s="111"/>
      <c r="EF50116"/>
      <c r="EG50116"/>
      <c r="EH50116"/>
      <c r="EI50116"/>
      <c r="EJ50116"/>
      <c r="EK50116"/>
    </row>
    <row r="50117" spans="1:141" s="116" customFormat="1">
      <c r="A50117" s="136"/>
      <c r="CM50117" s="111"/>
      <c r="CQ50117" s="111"/>
      <c r="EF50117"/>
      <c r="EG50117"/>
      <c r="EH50117"/>
      <c r="EI50117"/>
      <c r="EJ50117"/>
      <c r="EK50117"/>
    </row>
    <row r="50118" spans="1:141" s="116" customFormat="1">
      <c r="A50118" s="136"/>
      <c r="CM50118" s="111"/>
      <c r="CQ50118" s="111"/>
      <c r="EF50118"/>
      <c r="EG50118"/>
      <c r="EH50118"/>
      <c r="EI50118"/>
      <c r="EJ50118"/>
      <c r="EK50118"/>
    </row>
    <row r="50119" spans="1:141" s="116" customFormat="1">
      <c r="A50119" s="136"/>
      <c r="CM50119" s="111"/>
      <c r="CQ50119" s="111"/>
      <c r="EF50119"/>
      <c r="EG50119"/>
      <c r="EH50119"/>
      <c r="EI50119"/>
      <c r="EJ50119"/>
      <c r="EK50119"/>
    </row>
    <row r="50120" spans="1:141" s="116" customFormat="1">
      <c r="A50120" s="136"/>
      <c r="CM50120" s="111"/>
      <c r="CQ50120" s="111"/>
      <c r="EF50120"/>
      <c r="EG50120"/>
      <c r="EH50120"/>
      <c r="EI50120"/>
      <c r="EJ50120"/>
      <c r="EK50120"/>
    </row>
    <row r="50121" spans="1:141" s="116" customFormat="1">
      <c r="A50121" s="136"/>
      <c r="CM50121" s="111"/>
      <c r="CQ50121" s="111"/>
      <c r="EF50121"/>
      <c r="EG50121"/>
      <c r="EH50121"/>
      <c r="EI50121"/>
      <c r="EJ50121"/>
      <c r="EK50121"/>
    </row>
    <row r="50122" spans="1:141" s="116" customFormat="1">
      <c r="A50122" s="136"/>
      <c r="CM50122" s="111"/>
      <c r="CQ50122" s="111"/>
      <c r="EF50122"/>
      <c r="EG50122"/>
      <c r="EH50122"/>
      <c r="EI50122"/>
      <c r="EJ50122"/>
      <c r="EK50122"/>
    </row>
    <row r="50123" spans="1:141" s="116" customFormat="1">
      <c r="A50123" s="136"/>
      <c r="CM50123" s="111"/>
      <c r="CQ50123" s="111"/>
      <c r="EF50123"/>
      <c r="EG50123"/>
      <c r="EH50123"/>
      <c r="EI50123"/>
      <c r="EJ50123"/>
      <c r="EK50123"/>
    </row>
    <row r="50124" spans="1:141" s="116" customFormat="1">
      <c r="A50124" s="136"/>
      <c r="CM50124" s="111"/>
      <c r="CQ50124" s="111"/>
      <c r="EF50124"/>
      <c r="EG50124"/>
      <c r="EH50124"/>
      <c r="EI50124"/>
      <c r="EJ50124"/>
      <c r="EK50124"/>
    </row>
    <row r="50125" spans="1:141" s="116" customFormat="1">
      <c r="A50125" s="136"/>
      <c r="CM50125" s="111"/>
      <c r="CQ50125" s="111"/>
      <c r="EF50125"/>
      <c r="EG50125"/>
      <c r="EH50125"/>
      <c r="EI50125"/>
      <c r="EJ50125"/>
      <c r="EK50125"/>
    </row>
    <row r="50126" spans="1:141" s="116" customFormat="1">
      <c r="A50126" s="136"/>
      <c r="CM50126" s="111"/>
      <c r="CQ50126" s="111"/>
      <c r="EF50126"/>
      <c r="EG50126"/>
      <c r="EH50126"/>
      <c r="EI50126"/>
      <c r="EJ50126"/>
      <c r="EK50126"/>
    </row>
    <row r="50127" spans="1:141" s="116" customFormat="1">
      <c r="A50127" s="136"/>
      <c r="CM50127" s="111"/>
      <c r="CQ50127" s="111"/>
      <c r="EF50127"/>
      <c r="EG50127"/>
      <c r="EH50127"/>
      <c r="EI50127"/>
      <c r="EJ50127"/>
      <c r="EK50127"/>
    </row>
    <row r="50128" spans="1:141" s="116" customFormat="1">
      <c r="A50128" s="136"/>
      <c r="CM50128" s="111"/>
      <c r="CQ50128" s="111"/>
      <c r="EF50128"/>
      <c r="EG50128"/>
      <c r="EH50128"/>
      <c r="EI50128"/>
      <c r="EJ50128"/>
      <c r="EK50128"/>
    </row>
    <row r="50129" spans="1:141" s="116" customFormat="1">
      <c r="A50129" s="136"/>
      <c r="CM50129" s="111"/>
      <c r="CQ50129" s="111"/>
      <c r="EF50129"/>
      <c r="EG50129"/>
      <c r="EH50129"/>
      <c r="EI50129"/>
      <c r="EJ50129"/>
      <c r="EK50129"/>
    </row>
    <row r="50130" spans="1:141" s="116" customFormat="1">
      <c r="A50130" s="136"/>
      <c r="CM50130" s="111"/>
      <c r="CQ50130" s="111"/>
      <c r="EF50130"/>
      <c r="EG50130"/>
      <c r="EH50130"/>
      <c r="EI50130"/>
      <c r="EJ50130"/>
      <c r="EK50130"/>
    </row>
    <row r="50131" spans="1:141" s="116" customFormat="1">
      <c r="A50131" s="136"/>
      <c r="CM50131" s="111"/>
      <c r="CQ50131" s="111"/>
      <c r="EF50131"/>
      <c r="EG50131"/>
      <c r="EH50131"/>
      <c r="EI50131"/>
      <c r="EJ50131"/>
      <c r="EK50131"/>
    </row>
    <row r="50132" spans="1:141" s="116" customFormat="1">
      <c r="A50132" s="136"/>
      <c r="CM50132" s="111"/>
      <c r="CQ50132" s="111"/>
      <c r="EF50132"/>
      <c r="EG50132"/>
      <c r="EH50132"/>
      <c r="EI50132"/>
      <c r="EJ50132"/>
      <c r="EK50132"/>
    </row>
    <row r="50133" spans="1:141" s="116" customFormat="1">
      <c r="A50133" s="136"/>
      <c r="CM50133" s="111"/>
      <c r="CQ50133" s="111"/>
      <c r="EF50133"/>
      <c r="EG50133"/>
      <c r="EH50133"/>
      <c r="EI50133"/>
      <c r="EJ50133"/>
      <c r="EK50133"/>
    </row>
    <row r="50134" spans="1:141" s="116" customFormat="1">
      <c r="A50134" s="136"/>
      <c r="CM50134" s="111"/>
      <c r="CQ50134" s="111"/>
      <c r="EF50134"/>
      <c r="EG50134"/>
      <c r="EH50134"/>
      <c r="EI50134"/>
      <c r="EJ50134"/>
      <c r="EK50134"/>
    </row>
    <row r="50135" spans="1:141" s="116" customFormat="1">
      <c r="A50135" s="136"/>
      <c r="CM50135" s="111"/>
      <c r="CQ50135" s="111"/>
      <c r="EF50135"/>
      <c r="EG50135"/>
      <c r="EH50135"/>
      <c r="EI50135"/>
      <c r="EJ50135"/>
      <c r="EK50135"/>
    </row>
    <row r="50136" spans="1:141" s="116" customFormat="1">
      <c r="A50136" s="136"/>
      <c r="CM50136" s="111"/>
      <c r="CQ50136" s="111"/>
      <c r="EF50136"/>
      <c r="EG50136"/>
      <c r="EH50136"/>
      <c r="EI50136"/>
      <c r="EJ50136"/>
      <c r="EK50136"/>
    </row>
    <row r="50137" spans="1:141" s="116" customFormat="1">
      <c r="A50137" s="136"/>
      <c r="CM50137" s="111"/>
      <c r="CQ50137" s="111"/>
      <c r="EF50137"/>
      <c r="EG50137"/>
      <c r="EH50137"/>
      <c r="EI50137"/>
      <c r="EJ50137"/>
      <c r="EK50137"/>
    </row>
    <row r="50138" spans="1:141" s="116" customFormat="1">
      <c r="A50138" s="136"/>
      <c r="CM50138" s="111"/>
      <c r="CQ50138" s="111"/>
      <c r="EF50138"/>
      <c r="EG50138"/>
      <c r="EH50138"/>
      <c r="EI50138"/>
      <c r="EJ50138"/>
      <c r="EK50138"/>
    </row>
    <row r="50139" spans="1:141" s="116" customFormat="1">
      <c r="A50139" s="136"/>
      <c r="CM50139" s="111"/>
      <c r="CQ50139" s="111"/>
      <c r="EF50139"/>
      <c r="EG50139"/>
      <c r="EH50139"/>
      <c r="EI50139"/>
      <c r="EJ50139"/>
      <c r="EK50139"/>
    </row>
    <row r="50140" spans="1:141" s="116" customFormat="1">
      <c r="A50140" s="136"/>
      <c r="CM50140" s="111"/>
      <c r="CQ50140" s="111"/>
      <c r="EF50140"/>
      <c r="EG50140"/>
      <c r="EH50140"/>
      <c r="EI50140"/>
      <c r="EJ50140"/>
      <c r="EK50140"/>
    </row>
    <row r="50141" spans="1:141" s="116" customFormat="1">
      <c r="A50141" s="136"/>
      <c r="CM50141" s="111"/>
      <c r="CQ50141" s="111"/>
      <c r="EF50141"/>
      <c r="EG50141"/>
      <c r="EH50141"/>
      <c r="EI50141"/>
      <c r="EJ50141"/>
      <c r="EK50141"/>
    </row>
    <row r="50142" spans="1:141" s="116" customFormat="1">
      <c r="A50142" s="136"/>
      <c r="CM50142" s="111"/>
      <c r="CQ50142" s="111"/>
      <c r="EF50142"/>
      <c r="EG50142"/>
      <c r="EH50142"/>
      <c r="EI50142"/>
      <c r="EJ50142"/>
      <c r="EK50142"/>
    </row>
    <row r="50143" spans="1:141" s="116" customFormat="1">
      <c r="A50143" s="136"/>
      <c r="CM50143" s="111"/>
      <c r="CQ50143" s="111"/>
      <c r="EF50143"/>
      <c r="EG50143"/>
      <c r="EH50143"/>
      <c r="EI50143"/>
      <c r="EJ50143"/>
      <c r="EK50143"/>
    </row>
    <row r="50144" spans="1:141" s="116" customFormat="1">
      <c r="A50144" s="136"/>
      <c r="CM50144" s="111"/>
      <c r="CQ50144" s="111"/>
      <c r="EF50144"/>
      <c r="EG50144"/>
      <c r="EH50144"/>
      <c r="EI50144"/>
      <c r="EJ50144"/>
      <c r="EK50144"/>
    </row>
    <row r="50145" spans="1:141" s="116" customFormat="1">
      <c r="A50145" s="136"/>
      <c r="CM50145" s="111"/>
      <c r="CQ50145" s="111"/>
      <c r="EF50145"/>
      <c r="EG50145"/>
      <c r="EH50145"/>
      <c r="EI50145"/>
      <c r="EJ50145"/>
      <c r="EK50145"/>
    </row>
    <row r="50146" spans="1:141" s="116" customFormat="1">
      <c r="A50146" s="136"/>
      <c r="CM50146" s="111"/>
      <c r="CQ50146" s="111"/>
      <c r="EF50146"/>
      <c r="EG50146"/>
      <c r="EH50146"/>
      <c r="EI50146"/>
      <c r="EJ50146"/>
      <c r="EK50146"/>
    </row>
    <row r="50147" spans="1:141" s="116" customFormat="1">
      <c r="A50147" s="136"/>
      <c r="CM50147" s="111"/>
      <c r="CQ50147" s="111"/>
      <c r="EF50147"/>
      <c r="EG50147"/>
      <c r="EH50147"/>
      <c r="EI50147"/>
      <c r="EJ50147"/>
      <c r="EK50147"/>
    </row>
    <row r="50148" spans="1:141" s="116" customFormat="1">
      <c r="A50148" s="136"/>
      <c r="CM50148" s="111"/>
      <c r="CQ50148" s="111"/>
      <c r="EF50148"/>
      <c r="EG50148"/>
      <c r="EH50148"/>
      <c r="EI50148"/>
      <c r="EJ50148"/>
      <c r="EK50148"/>
    </row>
    <row r="50149" spans="1:141" s="116" customFormat="1">
      <c r="A50149" s="136"/>
      <c r="CM50149" s="111"/>
      <c r="CQ50149" s="111"/>
      <c r="EF50149"/>
      <c r="EG50149"/>
      <c r="EH50149"/>
      <c r="EI50149"/>
      <c r="EJ50149"/>
      <c r="EK50149"/>
    </row>
    <row r="50150" spans="1:141" s="116" customFormat="1">
      <c r="A50150" s="136"/>
      <c r="CM50150" s="111"/>
      <c r="CQ50150" s="111"/>
      <c r="EF50150"/>
      <c r="EG50150"/>
      <c r="EH50150"/>
      <c r="EI50150"/>
      <c r="EJ50150"/>
      <c r="EK50150"/>
    </row>
    <row r="50151" spans="1:141" s="116" customFormat="1">
      <c r="A50151" s="136"/>
      <c r="CM50151" s="111"/>
      <c r="CQ50151" s="111"/>
      <c r="EF50151"/>
      <c r="EG50151"/>
      <c r="EH50151"/>
      <c r="EI50151"/>
      <c r="EJ50151"/>
      <c r="EK50151"/>
    </row>
    <row r="50152" spans="1:141" s="116" customFormat="1">
      <c r="A50152" s="136"/>
      <c r="CM50152" s="111"/>
      <c r="CQ50152" s="111"/>
      <c r="EF50152"/>
      <c r="EG50152"/>
      <c r="EH50152"/>
      <c r="EI50152"/>
      <c r="EJ50152"/>
      <c r="EK50152"/>
    </row>
    <row r="50153" spans="1:141" s="116" customFormat="1">
      <c r="A50153" s="136"/>
      <c r="CM50153" s="111"/>
      <c r="CQ50153" s="111"/>
      <c r="EF50153"/>
      <c r="EG50153"/>
      <c r="EH50153"/>
      <c r="EI50153"/>
      <c r="EJ50153"/>
      <c r="EK50153"/>
    </row>
    <row r="50154" spans="1:141" s="116" customFormat="1">
      <c r="A50154" s="136"/>
      <c r="CM50154" s="111"/>
      <c r="CQ50154" s="111"/>
      <c r="EF50154"/>
      <c r="EG50154"/>
      <c r="EH50154"/>
      <c r="EI50154"/>
      <c r="EJ50154"/>
      <c r="EK50154"/>
    </row>
    <row r="50155" spans="1:141" s="116" customFormat="1">
      <c r="A50155" s="136"/>
      <c r="CM50155" s="111"/>
      <c r="CQ50155" s="111"/>
      <c r="EF50155"/>
      <c r="EG50155"/>
      <c r="EH50155"/>
      <c r="EI50155"/>
      <c r="EJ50155"/>
      <c r="EK50155"/>
    </row>
    <row r="50156" spans="1:141" s="116" customFormat="1">
      <c r="A50156" s="136"/>
      <c r="CM50156" s="111"/>
      <c r="CQ50156" s="111"/>
      <c r="EF50156"/>
      <c r="EG50156"/>
      <c r="EH50156"/>
      <c r="EI50156"/>
      <c r="EJ50156"/>
      <c r="EK50156"/>
    </row>
    <row r="50157" spans="1:141" s="116" customFormat="1">
      <c r="A50157" s="136"/>
      <c r="CM50157" s="111"/>
      <c r="CQ50157" s="111"/>
      <c r="EF50157"/>
      <c r="EG50157"/>
      <c r="EH50157"/>
      <c r="EI50157"/>
      <c r="EJ50157"/>
      <c r="EK50157"/>
    </row>
    <row r="50158" spans="1:141" s="116" customFormat="1">
      <c r="A50158" s="136"/>
      <c r="CM50158" s="111"/>
      <c r="CQ50158" s="111"/>
      <c r="EF50158"/>
      <c r="EG50158"/>
      <c r="EH50158"/>
      <c r="EI50158"/>
      <c r="EJ50158"/>
      <c r="EK50158"/>
    </row>
    <row r="50159" spans="1:141" s="116" customFormat="1">
      <c r="A50159" s="136"/>
      <c r="CM50159" s="111"/>
      <c r="CQ50159" s="111"/>
      <c r="EF50159"/>
      <c r="EG50159"/>
      <c r="EH50159"/>
      <c r="EI50159"/>
      <c r="EJ50159"/>
      <c r="EK50159"/>
    </row>
    <row r="50160" spans="1:141" s="116" customFormat="1">
      <c r="A50160" s="136"/>
      <c r="CM50160" s="111"/>
      <c r="CQ50160" s="111"/>
      <c r="EF50160"/>
      <c r="EG50160"/>
      <c r="EH50160"/>
      <c r="EI50160"/>
      <c r="EJ50160"/>
      <c r="EK50160"/>
    </row>
    <row r="50161" spans="1:141" s="116" customFormat="1">
      <c r="A50161" s="136"/>
      <c r="CM50161" s="111"/>
      <c r="CQ50161" s="111"/>
      <c r="EF50161"/>
      <c r="EG50161"/>
      <c r="EH50161"/>
      <c r="EI50161"/>
      <c r="EJ50161"/>
      <c r="EK50161"/>
    </row>
    <row r="50162" spans="1:141" s="116" customFormat="1">
      <c r="A50162" s="136"/>
      <c r="CM50162" s="111"/>
      <c r="CQ50162" s="111"/>
      <c r="EF50162"/>
      <c r="EG50162"/>
      <c r="EH50162"/>
      <c r="EI50162"/>
      <c r="EJ50162"/>
      <c r="EK50162"/>
    </row>
    <row r="50163" spans="1:141" s="116" customFormat="1">
      <c r="A50163" s="136"/>
      <c r="CM50163" s="111"/>
      <c r="CQ50163" s="111"/>
      <c r="EF50163"/>
      <c r="EG50163"/>
      <c r="EH50163"/>
      <c r="EI50163"/>
      <c r="EJ50163"/>
      <c r="EK50163"/>
    </row>
    <row r="50164" spans="1:141" s="116" customFormat="1">
      <c r="A50164" s="136"/>
      <c r="CM50164" s="111"/>
      <c r="CQ50164" s="111"/>
      <c r="EF50164"/>
      <c r="EG50164"/>
      <c r="EH50164"/>
      <c r="EI50164"/>
      <c r="EJ50164"/>
      <c r="EK50164"/>
    </row>
    <row r="50165" spans="1:141" s="116" customFormat="1">
      <c r="A50165" s="136"/>
      <c r="CM50165" s="111"/>
      <c r="CQ50165" s="111"/>
      <c r="EF50165"/>
      <c r="EG50165"/>
      <c r="EH50165"/>
      <c r="EI50165"/>
      <c r="EJ50165"/>
      <c r="EK50165"/>
    </row>
    <row r="50166" spans="1:141" s="116" customFormat="1">
      <c r="A50166" s="136"/>
      <c r="CM50166" s="111"/>
      <c r="CQ50166" s="111"/>
      <c r="EF50166"/>
      <c r="EG50166"/>
      <c r="EH50166"/>
      <c r="EI50166"/>
      <c r="EJ50166"/>
      <c r="EK50166"/>
    </row>
    <row r="50167" spans="1:141" s="116" customFormat="1">
      <c r="A50167" s="136"/>
      <c r="CM50167" s="111"/>
      <c r="CQ50167" s="111"/>
      <c r="EF50167"/>
      <c r="EG50167"/>
      <c r="EH50167"/>
      <c r="EI50167"/>
      <c r="EJ50167"/>
      <c r="EK50167"/>
    </row>
    <row r="50168" spans="1:141" s="116" customFormat="1">
      <c r="A50168" s="136"/>
      <c r="CM50168" s="111"/>
      <c r="CQ50168" s="111"/>
      <c r="EF50168"/>
      <c r="EG50168"/>
      <c r="EH50168"/>
      <c r="EI50168"/>
      <c r="EJ50168"/>
      <c r="EK50168"/>
    </row>
    <row r="50169" spans="1:141" s="116" customFormat="1">
      <c r="A50169" s="136"/>
      <c r="CM50169" s="111"/>
      <c r="CQ50169" s="111"/>
      <c r="EF50169"/>
      <c r="EG50169"/>
      <c r="EH50169"/>
      <c r="EI50169"/>
      <c r="EJ50169"/>
      <c r="EK50169"/>
    </row>
    <row r="50170" spans="1:141" s="116" customFormat="1">
      <c r="A50170" s="136"/>
      <c r="CM50170" s="111"/>
      <c r="CQ50170" s="111"/>
      <c r="EF50170"/>
      <c r="EG50170"/>
      <c r="EH50170"/>
      <c r="EI50170"/>
      <c r="EJ50170"/>
      <c r="EK50170"/>
    </row>
    <row r="50171" spans="1:141" s="116" customFormat="1">
      <c r="A50171" s="136"/>
      <c r="CM50171" s="111"/>
      <c r="CQ50171" s="111"/>
      <c r="EF50171"/>
      <c r="EG50171"/>
      <c r="EH50171"/>
      <c r="EI50171"/>
      <c r="EJ50171"/>
      <c r="EK50171"/>
    </row>
    <row r="50172" spans="1:141" s="116" customFormat="1">
      <c r="A50172" s="136"/>
      <c r="CM50172" s="111"/>
      <c r="CQ50172" s="111"/>
      <c r="EF50172"/>
      <c r="EG50172"/>
      <c r="EH50172"/>
      <c r="EI50172"/>
      <c r="EJ50172"/>
      <c r="EK50172"/>
    </row>
    <row r="50173" spans="1:141" s="116" customFormat="1">
      <c r="A50173" s="136"/>
      <c r="CM50173" s="111"/>
      <c r="CQ50173" s="111"/>
      <c r="EF50173"/>
      <c r="EG50173"/>
      <c r="EH50173"/>
      <c r="EI50173"/>
      <c r="EJ50173"/>
      <c r="EK50173"/>
    </row>
    <row r="50174" spans="1:141" s="116" customFormat="1">
      <c r="A50174" s="136"/>
      <c r="CM50174" s="111"/>
      <c r="CQ50174" s="111"/>
      <c r="EF50174"/>
      <c r="EG50174"/>
      <c r="EH50174"/>
      <c r="EI50174"/>
      <c r="EJ50174"/>
      <c r="EK50174"/>
    </row>
    <row r="50175" spans="1:141" s="116" customFormat="1">
      <c r="A50175" s="136"/>
      <c r="CM50175" s="111"/>
      <c r="CQ50175" s="111"/>
      <c r="EF50175"/>
      <c r="EG50175"/>
      <c r="EH50175"/>
      <c r="EI50175"/>
      <c r="EJ50175"/>
      <c r="EK50175"/>
    </row>
    <row r="50176" spans="1:141" s="116" customFormat="1">
      <c r="A50176" s="136"/>
      <c r="CM50176" s="111"/>
      <c r="CQ50176" s="111"/>
      <c r="EF50176"/>
      <c r="EG50176"/>
      <c r="EH50176"/>
      <c r="EI50176"/>
      <c r="EJ50176"/>
      <c r="EK50176"/>
    </row>
    <row r="50177" spans="1:141" s="116" customFormat="1">
      <c r="A50177" s="136"/>
      <c r="CM50177" s="111"/>
      <c r="CQ50177" s="111"/>
      <c r="EF50177"/>
      <c r="EG50177"/>
      <c r="EH50177"/>
      <c r="EI50177"/>
      <c r="EJ50177"/>
      <c r="EK50177"/>
    </row>
    <row r="50178" spans="1:141" s="116" customFormat="1">
      <c r="A50178" s="136"/>
      <c r="CM50178" s="111"/>
      <c r="CQ50178" s="111"/>
      <c r="EF50178"/>
      <c r="EG50178"/>
      <c r="EH50178"/>
      <c r="EI50178"/>
      <c r="EJ50178"/>
      <c r="EK50178"/>
    </row>
    <row r="50179" spans="1:141" s="116" customFormat="1">
      <c r="A50179" s="136"/>
      <c r="CM50179" s="111"/>
      <c r="CQ50179" s="111"/>
      <c r="EF50179"/>
      <c r="EG50179"/>
      <c r="EH50179"/>
      <c r="EI50179"/>
      <c r="EJ50179"/>
      <c r="EK50179"/>
    </row>
    <row r="50180" spans="1:141" s="116" customFormat="1">
      <c r="A50180" s="136"/>
      <c r="CM50180" s="111"/>
      <c r="CQ50180" s="111"/>
      <c r="EF50180"/>
      <c r="EG50180"/>
      <c r="EH50180"/>
      <c r="EI50180"/>
      <c r="EJ50180"/>
      <c r="EK50180"/>
    </row>
    <row r="50181" spans="1:141" s="116" customFormat="1">
      <c r="A50181" s="136"/>
      <c r="CM50181" s="111"/>
      <c r="CQ50181" s="111"/>
      <c r="EF50181"/>
      <c r="EG50181"/>
      <c r="EH50181"/>
      <c r="EI50181"/>
      <c r="EJ50181"/>
      <c r="EK50181"/>
    </row>
    <row r="50182" spans="1:141" s="116" customFormat="1">
      <c r="A50182" s="136"/>
      <c r="CM50182" s="111"/>
      <c r="CQ50182" s="111"/>
      <c r="EF50182"/>
      <c r="EG50182"/>
      <c r="EH50182"/>
      <c r="EI50182"/>
      <c r="EJ50182"/>
      <c r="EK50182"/>
    </row>
    <row r="50183" spans="1:141" s="116" customFormat="1">
      <c r="A50183" s="136"/>
      <c r="CM50183" s="111"/>
      <c r="CQ50183" s="111"/>
      <c r="EF50183"/>
      <c r="EG50183"/>
      <c r="EH50183"/>
      <c r="EI50183"/>
      <c r="EJ50183"/>
      <c r="EK50183"/>
    </row>
    <row r="50184" spans="1:141" s="116" customFormat="1">
      <c r="A50184" s="136"/>
      <c r="CM50184" s="111"/>
      <c r="CQ50184" s="111"/>
      <c r="EF50184"/>
      <c r="EG50184"/>
      <c r="EH50184"/>
      <c r="EI50184"/>
      <c r="EJ50184"/>
      <c r="EK50184"/>
    </row>
    <row r="50185" spans="1:141" s="116" customFormat="1">
      <c r="A50185" s="136"/>
      <c r="CM50185" s="111"/>
      <c r="CQ50185" s="111"/>
      <c r="EF50185"/>
      <c r="EG50185"/>
      <c r="EH50185"/>
      <c r="EI50185"/>
      <c r="EJ50185"/>
      <c r="EK50185"/>
    </row>
    <row r="50186" spans="1:141" s="116" customFormat="1">
      <c r="A50186" s="136"/>
      <c r="CM50186" s="111"/>
      <c r="CQ50186" s="111"/>
      <c r="EF50186"/>
      <c r="EG50186"/>
      <c r="EH50186"/>
      <c r="EI50186"/>
      <c r="EJ50186"/>
      <c r="EK50186"/>
    </row>
    <row r="50187" spans="1:141" s="116" customFormat="1">
      <c r="A50187" s="136"/>
      <c r="CM50187" s="111"/>
      <c r="CQ50187" s="111"/>
      <c r="EF50187"/>
      <c r="EG50187"/>
      <c r="EH50187"/>
      <c r="EI50187"/>
      <c r="EJ50187"/>
      <c r="EK50187"/>
    </row>
    <row r="50188" spans="1:141" s="116" customFormat="1">
      <c r="A50188" s="136"/>
      <c r="CM50188" s="111"/>
      <c r="CQ50188" s="111"/>
      <c r="EF50188"/>
      <c r="EG50188"/>
      <c r="EH50188"/>
      <c r="EI50188"/>
      <c r="EJ50188"/>
      <c r="EK50188"/>
    </row>
    <row r="50189" spans="1:141" s="116" customFormat="1">
      <c r="A50189" s="136"/>
      <c r="CM50189" s="111"/>
      <c r="CQ50189" s="111"/>
      <c r="EF50189"/>
      <c r="EG50189"/>
      <c r="EH50189"/>
      <c r="EI50189"/>
      <c r="EJ50189"/>
      <c r="EK50189"/>
    </row>
    <row r="50190" spans="1:141" s="116" customFormat="1">
      <c r="A50190" s="136"/>
      <c r="CM50190" s="111"/>
      <c r="CQ50190" s="111"/>
      <c r="EF50190"/>
      <c r="EG50190"/>
      <c r="EH50190"/>
      <c r="EI50190"/>
      <c r="EJ50190"/>
      <c r="EK50190"/>
    </row>
    <row r="50191" spans="1:141" s="116" customFormat="1">
      <c r="A50191" s="136"/>
      <c r="CM50191" s="111"/>
      <c r="CQ50191" s="111"/>
      <c r="EF50191"/>
      <c r="EG50191"/>
      <c r="EH50191"/>
      <c r="EI50191"/>
      <c r="EJ50191"/>
      <c r="EK50191"/>
    </row>
    <row r="50192" spans="1:141" s="116" customFormat="1">
      <c r="A50192" s="136"/>
      <c r="CM50192" s="111"/>
      <c r="CQ50192" s="111"/>
      <c r="EF50192"/>
      <c r="EG50192"/>
      <c r="EH50192"/>
      <c r="EI50192"/>
      <c r="EJ50192"/>
      <c r="EK50192"/>
    </row>
    <row r="50193" spans="1:141" s="116" customFormat="1">
      <c r="A50193" s="136"/>
      <c r="CM50193" s="111"/>
      <c r="CQ50193" s="111"/>
      <c r="EF50193"/>
      <c r="EG50193"/>
      <c r="EH50193"/>
      <c r="EI50193"/>
      <c r="EJ50193"/>
      <c r="EK50193"/>
    </row>
    <row r="50194" spans="1:141" s="116" customFormat="1">
      <c r="A50194" s="136"/>
      <c r="CM50194" s="111"/>
      <c r="CQ50194" s="111"/>
      <c r="EF50194"/>
      <c r="EG50194"/>
      <c r="EH50194"/>
      <c r="EI50194"/>
      <c r="EJ50194"/>
      <c r="EK50194"/>
    </row>
    <row r="50195" spans="1:141" s="116" customFormat="1">
      <c r="A50195" s="136"/>
      <c r="CM50195" s="111"/>
      <c r="CQ50195" s="111"/>
      <c r="EF50195"/>
      <c r="EG50195"/>
      <c r="EH50195"/>
      <c r="EI50195"/>
      <c r="EJ50195"/>
      <c r="EK50195"/>
    </row>
    <row r="50196" spans="1:141" s="116" customFormat="1">
      <c r="A50196" s="136"/>
      <c r="CM50196" s="111"/>
      <c r="CQ50196" s="111"/>
      <c r="EF50196"/>
      <c r="EG50196"/>
      <c r="EH50196"/>
      <c r="EI50196"/>
      <c r="EJ50196"/>
      <c r="EK50196"/>
    </row>
    <row r="50197" spans="1:141" s="116" customFormat="1">
      <c r="A50197" s="136"/>
      <c r="CM50197" s="111"/>
      <c r="CQ50197" s="111"/>
      <c r="EF50197"/>
      <c r="EG50197"/>
      <c r="EH50197"/>
      <c r="EI50197"/>
      <c r="EJ50197"/>
      <c r="EK50197"/>
    </row>
    <row r="50198" spans="1:141" s="116" customFormat="1">
      <c r="A50198" s="136"/>
      <c r="CM50198" s="111"/>
      <c r="CQ50198" s="111"/>
      <c r="EF50198"/>
      <c r="EG50198"/>
      <c r="EH50198"/>
      <c r="EI50198"/>
      <c r="EJ50198"/>
      <c r="EK50198"/>
    </row>
    <row r="50199" spans="1:141" s="116" customFormat="1">
      <c r="A50199" s="136"/>
      <c r="CM50199" s="111"/>
      <c r="CQ50199" s="111"/>
      <c r="EF50199"/>
      <c r="EG50199"/>
      <c r="EH50199"/>
      <c r="EI50199"/>
      <c r="EJ50199"/>
      <c r="EK50199"/>
    </row>
    <row r="50200" spans="1:141" s="116" customFormat="1">
      <c r="A50200" s="136"/>
      <c r="CM50200" s="111"/>
      <c r="CQ50200" s="111"/>
      <c r="EF50200"/>
      <c r="EG50200"/>
      <c r="EH50200"/>
      <c r="EI50200"/>
      <c r="EJ50200"/>
      <c r="EK50200"/>
    </row>
    <row r="50201" spans="1:141" s="116" customFormat="1">
      <c r="A50201" s="136"/>
      <c r="CM50201" s="111"/>
      <c r="CQ50201" s="111"/>
      <c r="EF50201"/>
      <c r="EG50201"/>
      <c r="EH50201"/>
      <c r="EI50201"/>
      <c r="EJ50201"/>
      <c r="EK50201"/>
    </row>
    <row r="50202" spans="1:141" s="116" customFormat="1">
      <c r="A50202" s="136"/>
      <c r="CM50202" s="111"/>
      <c r="CQ50202" s="111"/>
      <c r="EF50202"/>
      <c r="EG50202"/>
      <c r="EH50202"/>
      <c r="EI50202"/>
      <c r="EJ50202"/>
      <c r="EK50202"/>
    </row>
    <row r="50203" spans="1:141" s="116" customFormat="1">
      <c r="A50203" s="136"/>
      <c r="CM50203" s="111"/>
      <c r="CQ50203" s="111"/>
      <c r="EF50203"/>
      <c r="EG50203"/>
      <c r="EH50203"/>
      <c r="EI50203"/>
      <c r="EJ50203"/>
      <c r="EK50203"/>
    </row>
    <row r="50204" spans="1:141" s="116" customFormat="1">
      <c r="A50204" s="136"/>
      <c r="CM50204" s="111"/>
      <c r="CQ50204" s="111"/>
      <c r="EF50204"/>
      <c r="EG50204"/>
      <c r="EH50204"/>
      <c r="EI50204"/>
      <c r="EJ50204"/>
      <c r="EK50204"/>
    </row>
    <row r="50205" spans="1:141" s="116" customFormat="1">
      <c r="A50205" s="136"/>
      <c r="CM50205" s="111"/>
      <c r="CQ50205" s="111"/>
      <c r="EF50205"/>
      <c r="EG50205"/>
      <c r="EH50205"/>
      <c r="EI50205"/>
      <c r="EJ50205"/>
      <c r="EK50205"/>
    </row>
    <row r="50206" spans="1:141" s="116" customFormat="1">
      <c r="A50206" s="136"/>
      <c r="CM50206" s="111"/>
      <c r="CQ50206" s="111"/>
      <c r="EF50206"/>
      <c r="EG50206"/>
      <c r="EH50206"/>
      <c r="EI50206"/>
      <c r="EJ50206"/>
      <c r="EK50206"/>
    </row>
    <row r="50207" spans="1:141" s="116" customFormat="1">
      <c r="A50207" s="136"/>
      <c r="CM50207" s="111"/>
      <c r="CQ50207" s="111"/>
      <c r="EF50207"/>
      <c r="EG50207"/>
      <c r="EH50207"/>
      <c r="EI50207"/>
      <c r="EJ50207"/>
      <c r="EK50207"/>
    </row>
    <row r="50208" spans="1:141" s="116" customFormat="1">
      <c r="A50208" s="136"/>
      <c r="CM50208" s="111"/>
      <c r="CQ50208" s="111"/>
      <c r="EF50208"/>
      <c r="EG50208"/>
      <c r="EH50208"/>
      <c r="EI50208"/>
      <c r="EJ50208"/>
      <c r="EK50208"/>
    </row>
    <row r="50209" spans="1:141" s="116" customFormat="1">
      <c r="A50209" s="136"/>
      <c r="CM50209" s="111"/>
      <c r="CQ50209" s="111"/>
      <c r="EF50209"/>
      <c r="EG50209"/>
      <c r="EH50209"/>
      <c r="EI50209"/>
      <c r="EJ50209"/>
      <c r="EK50209"/>
    </row>
    <row r="50210" spans="1:141" s="116" customFormat="1">
      <c r="A50210" s="136"/>
      <c r="CM50210" s="111"/>
      <c r="CQ50210" s="111"/>
      <c r="EF50210"/>
      <c r="EG50210"/>
      <c r="EH50210"/>
      <c r="EI50210"/>
      <c r="EJ50210"/>
      <c r="EK50210"/>
    </row>
    <row r="50211" spans="1:141" s="116" customFormat="1">
      <c r="A50211" s="136"/>
      <c r="CM50211" s="111"/>
      <c r="CQ50211" s="111"/>
      <c r="EF50211"/>
      <c r="EG50211"/>
      <c r="EH50211"/>
      <c r="EI50211"/>
      <c r="EJ50211"/>
      <c r="EK50211"/>
    </row>
    <row r="50212" spans="1:141" s="116" customFormat="1">
      <c r="A50212" s="136"/>
      <c r="CM50212" s="111"/>
      <c r="CQ50212" s="111"/>
      <c r="EF50212"/>
      <c r="EG50212"/>
      <c r="EH50212"/>
      <c r="EI50212"/>
      <c r="EJ50212"/>
      <c r="EK50212"/>
    </row>
    <row r="50213" spans="1:141" s="116" customFormat="1">
      <c r="A50213" s="136"/>
      <c r="CM50213" s="111"/>
      <c r="CQ50213" s="111"/>
      <c r="EF50213"/>
      <c r="EG50213"/>
      <c r="EH50213"/>
      <c r="EI50213"/>
      <c r="EJ50213"/>
      <c r="EK50213"/>
    </row>
    <row r="50214" spans="1:141" s="116" customFormat="1">
      <c r="A50214" s="136"/>
      <c r="CM50214" s="111"/>
      <c r="CQ50214" s="111"/>
      <c r="EF50214"/>
      <c r="EG50214"/>
      <c r="EH50214"/>
      <c r="EI50214"/>
      <c r="EJ50214"/>
      <c r="EK50214"/>
    </row>
    <row r="50215" spans="1:141" s="116" customFormat="1">
      <c r="A50215" s="136"/>
      <c r="CM50215" s="111"/>
      <c r="CQ50215" s="111"/>
      <c r="EF50215"/>
      <c r="EG50215"/>
      <c r="EH50215"/>
      <c r="EI50215"/>
      <c r="EJ50215"/>
      <c r="EK50215"/>
    </row>
    <row r="50216" spans="1:141" s="116" customFormat="1">
      <c r="A50216" s="136"/>
      <c r="CM50216" s="111"/>
      <c r="CQ50216" s="111"/>
      <c r="EF50216"/>
      <c r="EG50216"/>
      <c r="EH50216"/>
      <c r="EI50216"/>
      <c r="EJ50216"/>
      <c r="EK50216"/>
    </row>
    <row r="50217" spans="1:141" s="116" customFormat="1">
      <c r="A50217" s="136"/>
      <c r="CM50217" s="111"/>
      <c r="CQ50217" s="111"/>
      <c r="EF50217"/>
      <c r="EG50217"/>
      <c r="EH50217"/>
      <c r="EI50217"/>
      <c r="EJ50217"/>
      <c r="EK50217"/>
    </row>
    <row r="50218" spans="1:141" s="116" customFormat="1">
      <c r="A50218" s="136"/>
      <c r="CM50218" s="111"/>
      <c r="CQ50218" s="111"/>
      <c r="EF50218"/>
      <c r="EG50218"/>
      <c r="EH50218"/>
      <c r="EI50218"/>
      <c r="EJ50218"/>
      <c r="EK50218"/>
    </row>
    <row r="50219" spans="1:141" s="116" customFormat="1">
      <c r="A50219" s="136"/>
      <c r="CM50219" s="111"/>
      <c r="CQ50219" s="111"/>
      <c r="EF50219"/>
      <c r="EG50219"/>
      <c r="EH50219"/>
      <c r="EI50219"/>
      <c r="EJ50219"/>
      <c r="EK50219"/>
    </row>
    <row r="50220" spans="1:141" s="116" customFormat="1">
      <c r="A50220" s="136"/>
      <c r="CM50220" s="111"/>
      <c r="CQ50220" s="111"/>
      <c r="EF50220"/>
      <c r="EG50220"/>
      <c r="EH50220"/>
      <c r="EI50220"/>
      <c r="EJ50220"/>
      <c r="EK50220"/>
    </row>
    <row r="50221" spans="1:141" s="116" customFormat="1">
      <c r="A50221" s="136"/>
      <c r="CM50221" s="111"/>
      <c r="CQ50221" s="111"/>
      <c r="EF50221"/>
      <c r="EG50221"/>
      <c r="EH50221"/>
      <c r="EI50221"/>
      <c r="EJ50221"/>
      <c r="EK50221"/>
    </row>
    <row r="50222" spans="1:141" s="116" customFormat="1">
      <c r="A50222" s="136"/>
      <c r="CM50222" s="111"/>
      <c r="CQ50222" s="111"/>
      <c r="EF50222"/>
      <c r="EG50222"/>
      <c r="EH50222"/>
      <c r="EI50222"/>
      <c r="EJ50222"/>
      <c r="EK50222"/>
    </row>
    <row r="50223" spans="1:141" s="116" customFormat="1">
      <c r="A50223" s="136"/>
      <c r="CM50223" s="111"/>
      <c r="CQ50223" s="111"/>
      <c r="EF50223"/>
      <c r="EG50223"/>
      <c r="EH50223"/>
      <c r="EI50223"/>
      <c r="EJ50223"/>
      <c r="EK50223"/>
    </row>
    <row r="50224" spans="1:141" s="116" customFormat="1">
      <c r="A50224" s="136"/>
      <c r="CM50224" s="111"/>
      <c r="CQ50224" s="111"/>
      <c r="EF50224"/>
      <c r="EG50224"/>
      <c r="EH50224"/>
      <c r="EI50224"/>
      <c r="EJ50224"/>
      <c r="EK50224"/>
    </row>
    <row r="50225" spans="1:141" s="116" customFormat="1">
      <c r="A50225" s="136"/>
      <c r="CM50225" s="111"/>
      <c r="CQ50225" s="111"/>
      <c r="EF50225"/>
      <c r="EG50225"/>
      <c r="EH50225"/>
      <c r="EI50225"/>
      <c r="EJ50225"/>
      <c r="EK50225"/>
    </row>
    <row r="50226" spans="1:141" s="116" customFormat="1">
      <c r="A50226" s="136"/>
      <c r="CM50226" s="111"/>
      <c r="CQ50226" s="111"/>
      <c r="EF50226"/>
      <c r="EG50226"/>
      <c r="EH50226"/>
      <c r="EI50226"/>
      <c r="EJ50226"/>
      <c r="EK50226"/>
    </row>
    <row r="50227" spans="1:141" s="116" customFormat="1">
      <c r="A50227" s="136"/>
      <c r="CM50227" s="111"/>
      <c r="CQ50227" s="111"/>
      <c r="EF50227"/>
      <c r="EG50227"/>
      <c r="EH50227"/>
      <c r="EI50227"/>
      <c r="EJ50227"/>
      <c r="EK50227"/>
    </row>
    <row r="50228" spans="1:141" s="116" customFormat="1">
      <c r="A50228" s="136"/>
      <c r="CM50228" s="111"/>
      <c r="CQ50228" s="111"/>
      <c r="EF50228"/>
      <c r="EG50228"/>
      <c r="EH50228"/>
      <c r="EI50228"/>
      <c r="EJ50228"/>
      <c r="EK50228"/>
    </row>
    <row r="50229" spans="1:141" s="116" customFormat="1">
      <c r="A50229" s="136"/>
      <c r="CM50229" s="111"/>
      <c r="CQ50229" s="111"/>
      <c r="EF50229"/>
      <c r="EG50229"/>
      <c r="EH50229"/>
      <c r="EI50229"/>
      <c r="EJ50229"/>
      <c r="EK50229"/>
    </row>
    <row r="50230" spans="1:141" s="116" customFormat="1">
      <c r="A50230" s="136"/>
      <c r="CM50230" s="111"/>
      <c r="CQ50230" s="111"/>
      <c r="EF50230"/>
      <c r="EG50230"/>
      <c r="EH50230"/>
      <c r="EI50230"/>
      <c r="EJ50230"/>
      <c r="EK50230"/>
    </row>
    <row r="50231" spans="1:141" s="116" customFormat="1">
      <c r="A50231" s="136"/>
      <c r="CM50231" s="111"/>
      <c r="CQ50231" s="111"/>
      <c r="EF50231"/>
      <c r="EG50231"/>
      <c r="EH50231"/>
      <c r="EI50231"/>
      <c r="EJ50231"/>
      <c r="EK50231"/>
    </row>
    <row r="50232" spans="1:141" s="116" customFormat="1">
      <c r="A50232" s="136"/>
      <c r="CM50232" s="111"/>
      <c r="CQ50232" s="111"/>
      <c r="EF50232"/>
      <c r="EG50232"/>
      <c r="EH50232"/>
      <c r="EI50232"/>
      <c r="EJ50232"/>
      <c r="EK50232"/>
    </row>
    <row r="50233" spans="1:141" s="116" customFormat="1">
      <c r="A50233" s="136"/>
      <c r="CM50233" s="111"/>
      <c r="CQ50233" s="111"/>
      <c r="EF50233"/>
      <c r="EG50233"/>
      <c r="EH50233"/>
      <c r="EI50233"/>
      <c r="EJ50233"/>
      <c r="EK50233"/>
    </row>
    <row r="50234" spans="1:141" s="116" customFormat="1">
      <c r="A50234" s="136"/>
      <c r="CM50234" s="111"/>
      <c r="CQ50234" s="111"/>
      <c r="EF50234"/>
      <c r="EG50234"/>
      <c r="EH50234"/>
      <c r="EI50234"/>
      <c r="EJ50234"/>
      <c r="EK50234"/>
    </row>
    <row r="50235" spans="1:141" s="116" customFormat="1">
      <c r="A50235" s="136"/>
      <c r="CM50235" s="111"/>
      <c r="CQ50235" s="111"/>
      <c r="EF50235"/>
      <c r="EG50235"/>
      <c r="EH50235"/>
      <c r="EI50235"/>
      <c r="EJ50235"/>
      <c r="EK50235"/>
    </row>
    <row r="50236" spans="1:141" s="116" customFormat="1">
      <c r="A50236" s="136"/>
      <c r="CM50236" s="111"/>
      <c r="CQ50236" s="111"/>
      <c r="EF50236"/>
      <c r="EG50236"/>
      <c r="EH50236"/>
      <c r="EI50236"/>
      <c r="EJ50236"/>
      <c r="EK50236"/>
    </row>
    <row r="50237" spans="1:141" s="116" customFormat="1">
      <c r="A50237" s="136"/>
      <c r="CM50237" s="111"/>
      <c r="CQ50237" s="111"/>
      <c r="EF50237"/>
      <c r="EG50237"/>
      <c r="EH50237"/>
      <c r="EI50237"/>
      <c r="EJ50237"/>
      <c r="EK50237"/>
    </row>
    <row r="50238" spans="1:141" s="116" customFormat="1">
      <c r="A50238" s="136"/>
      <c r="CM50238" s="111"/>
      <c r="CQ50238" s="111"/>
      <c r="EF50238"/>
      <c r="EG50238"/>
      <c r="EH50238"/>
      <c r="EI50238"/>
      <c r="EJ50238"/>
      <c r="EK50238"/>
    </row>
    <row r="50239" spans="1:141" s="116" customFormat="1">
      <c r="A50239" s="136"/>
      <c r="CM50239" s="111"/>
      <c r="CQ50239" s="111"/>
      <c r="EF50239"/>
      <c r="EG50239"/>
      <c r="EH50239"/>
      <c r="EI50239"/>
      <c r="EJ50239"/>
      <c r="EK50239"/>
    </row>
    <row r="50240" spans="1:141" s="116" customFormat="1">
      <c r="A50240" s="136"/>
      <c r="CM50240" s="111"/>
      <c r="CQ50240" s="111"/>
      <c r="EF50240"/>
      <c r="EG50240"/>
      <c r="EH50240"/>
      <c r="EI50240"/>
      <c r="EJ50240"/>
      <c r="EK50240"/>
    </row>
    <row r="50241" spans="1:141" s="116" customFormat="1">
      <c r="A50241" s="136"/>
      <c r="CM50241" s="111"/>
      <c r="CQ50241" s="111"/>
      <c r="EF50241"/>
      <c r="EG50241"/>
      <c r="EH50241"/>
      <c r="EI50241"/>
      <c r="EJ50241"/>
      <c r="EK50241"/>
    </row>
    <row r="50242" spans="1:141" s="116" customFormat="1">
      <c r="A50242" s="136"/>
      <c r="CM50242" s="111"/>
      <c r="CQ50242" s="111"/>
      <c r="EF50242"/>
      <c r="EG50242"/>
      <c r="EH50242"/>
      <c r="EI50242"/>
      <c r="EJ50242"/>
      <c r="EK50242"/>
    </row>
    <row r="50243" spans="1:141" s="116" customFormat="1">
      <c r="A50243" s="136"/>
      <c r="CM50243" s="111"/>
      <c r="CQ50243" s="111"/>
      <c r="EF50243"/>
      <c r="EG50243"/>
      <c r="EH50243"/>
      <c r="EI50243"/>
      <c r="EJ50243"/>
      <c r="EK50243"/>
    </row>
    <row r="50244" spans="1:141" s="116" customFormat="1">
      <c r="A50244" s="136"/>
      <c r="CM50244" s="111"/>
      <c r="CQ50244" s="111"/>
      <c r="EF50244"/>
      <c r="EG50244"/>
      <c r="EH50244"/>
      <c r="EI50244"/>
      <c r="EJ50244"/>
      <c r="EK50244"/>
    </row>
    <row r="50245" spans="1:141" s="116" customFormat="1">
      <c r="A50245" s="136"/>
      <c r="CM50245" s="111"/>
      <c r="CQ50245" s="111"/>
      <c r="EF50245"/>
      <c r="EG50245"/>
      <c r="EH50245"/>
      <c r="EI50245"/>
      <c r="EJ50245"/>
      <c r="EK50245"/>
    </row>
    <row r="50246" spans="1:141" s="116" customFormat="1">
      <c r="A50246" s="136"/>
      <c r="CM50246" s="111"/>
      <c r="CQ50246" s="111"/>
      <c r="EF50246"/>
      <c r="EG50246"/>
      <c r="EH50246"/>
      <c r="EI50246"/>
      <c r="EJ50246"/>
      <c r="EK50246"/>
    </row>
    <row r="50247" spans="1:141" s="116" customFormat="1">
      <c r="A50247" s="136"/>
      <c r="CM50247" s="111"/>
      <c r="CQ50247" s="111"/>
      <c r="EF50247"/>
      <c r="EG50247"/>
      <c r="EH50247"/>
      <c r="EI50247"/>
      <c r="EJ50247"/>
      <c r="EK50247"/>
    </row>
    <row r="50248" spans="1:141" s="116" customFormat="1">
      <c r="A50248" s="136"/>
      <c r="CM50248" s="111"/>
      <c r="CQ50248" s="111"/>
      <c r="EF50248"/>
      <c r="EG50248"/>
      <c r="EH50248"/>
      <c r="EI50248"/>
      <c r="EJ50248"/>
      <c r="EK50248"/>
    </row>
    <row r="50249" spans="1:141" s="116" customFormat="1">
      <c r="A50249" s="136"/>
      <c r="CM50249" s="111"/>
      <c r="CQ50249" s="111"/>
      <c r="EF50249"/>
      <c r="EG50249"/>
      <c r="EH50249"/>
      <c r="EI50249"/>
      <c r="EJ50249"/>
      <c r="EK50249"/>
    </row>
    <row r="50250" spans="1:141" s="116" customFormat="1">
      <c r="A50250" s="136"/>
      <c r="CM50250" s="111"/>
      <c r="CQ50250" s="111"/>
      <c r="EF50250"/>
      <c r="EG50250"/>
      <c r="EH50250"/>
      <c r="EI50250"/>
      <c r="EJ50250"/>
      <c r="EK50250"/>
    </row>
    <row r="50251" spans="1:141" s="116" customFormat="1">
      <c r="A50251" s="136"/>
      <c r="CM50251" s="111"/>
      <c r="CQ50251" s="111"/>
      <c r="EF50251"/>
      <c r="EG50251"/>
      <c r="EH50251"/>
      <c r="EI50251"/>
      <c r="EJ50251"/>
      <c r="EK50251"/>
    </row>
    <row r="50252" spans="1:141" s="116" customFormat="1">
      <c r="A50252" s="136"/>
      <c r="CM50252" s="111"/>
      <c r="CQ50252" s="111"/>
      <c r="EF50252"/>
      <c r="EG50252"/>
      <c r="EH50252"/>
      <c r="EI50252"/>
      <c r="EJ50252"/>
      <c r="EK50252"/>
    </row>
    <row r="50253" spans="1:141" s="116" customFormat="1">
      <c r="A50253" s="136"/>
      <c r="CM50253" s="111"/>
      <c r="CQ50253" s="111"/>
      <c r="EF50253"/>
      <c r="EG50253"/>
      <c r="EH50253"/>
      <c r="EI50253"/>
      <c r="EJ50253"/>
      <c r="EK50253"/>
    </row>
    <row r="50254" spans="1:141" s="116" customFormat="1">
      <c r="A50254" s="136"/>
      <c r="CM50254" s="111"/>
      <c r="CQ50254" s="111"/>
      <c r="EF50254"/>
      <c r="EG50254"/>
      <c r="EH50254"/>
      <c r="EI50254"/>
      <c r="EJ50254"/>
      <c r="EK50254"/>
    </row>
    <row r="50255" spans="1:141" s="116" customFormat="1">
      <c r="A50255" s="136"/>
      <c r="CM50255" s="111"/>
      <c r="CQ50255" s="111"/>
      <c r="EF50255"/>
      <c r="EG50255"/>
      <c r="EH50255"/>
      <c r="EI50255"/>
      <c r="EJ50255"/>
      <c r="EK50255"/>
    </row>
    <row r="50256" spans="1:141" s="116" customFormat="1">
      <c r="A50256" s="136"/>
      <c r="CM50256" s="111"/>
      <c r="CQ50256" s="111"/>
      <c r="EF50256"/>
      <c r="EG50256"/>
      <c r="EH50256"/>
      <c r="EI50256"/>
      <c r="EJ50256"/>
      <c r="EK50256"/>
    </row>
    <row r="50257" spans="1:141" s="116" customFormat="1">
      <c r="A50257" s="136"/>
      <c r="CM50257" s="111"/>
      <c r="CQ50257" s="111"/>
      <c r="EF50257"/>
      <c r="EG50257"/>
      <c r="EH50257"/>
      <c r="EI50257"/>
      <c r="EJ50257"/>
      <c r="EK50257"/>
    </row>
    <row r="50258" spans="1:141" s="116" customFormat="1">
      <c r="A50258" s="136"/>
      <c r="CM50258" s="111"/>
      <c r="CQ50258" s="111"/>
      <c r="EF50258"/>
      <c r="EG50258"/>
      <c r="EH50258"/>
      <c r="EI50258"/>
      <c r="EJ50258"/>
      <c r="EK50258"/>
    </row>
    <row r="50259" spans="1:141" s="116" customFormat="1">
      <c r="A50259" s="136"/>
      <c r="CM50259" s="111"/>
      <c r="CQ50259" s="111"/>
      <c r="EF50259"/>
      <c r="EG50259"/>
      <c r="EH50259"/>
      <c r="EI50259"/>
      <c r="EJ50259"/>
      <c r="EK50259"/>
    </row>
    <row r="50260" spans="1:141" s="116" customFormat="1">
      <c r="A50260" s="136"/>
      <c r="CM50260" s="111"/>
      <c r="CQ50260" s="111"/>
      <c r="EF50260"/>
      <c r="EG50260"/>
      <c r="EH50260"/>
      <c r="EI50260"/>
      <c r="EJ50260"/>
      <c r="EK50260"/>
    </row>
    <row r="50261" spans="1:141" s="116" customFormat="1">
      <c r="A50261" s="136"/>
      <c r="CM50261" s="111"/>
      <c r="CQ50261" s="111"/>
      <c r="EF50261"/>
      <c r="EG50261"/>
      <c r="EH50261"/>
      <c r="EI50261"/>
      <c r="EJ50261"/>
      <c r="EK50261"/>
    </row>
    <row r="50262" spans="1:141" s="116" customFormat="1">
      <c r="A50262" s="136"/>
      <c r="CM50262" s="111"/>
      <c r="CQ50262" s="111"/>
      <c r="EF50262"/>
      <c r="EG50262"/>
      <c r="EH50262"/>
      <c r="EI50262"/>
      <c r="EJ50262"/>
      <c r="EK50262"/>
    </row>
    <row r="50263" spans="1:141" s="116" customFormat="1">
      <c r="A50263" s="136"/>
      <c r="CM50263" s="111"/>
      <c r="CQ50263" s="111"/>
      <c r="EF50263"/>
      <c r="EG50263"/>
      <c r="EH50263"/>
      <c r="EI50263"/>
      <c r="EJ50263"/>
      <c r="EK50263"/>
    </row>
    <row r="50264" spans="1:141" s="116" customFormat="1">
      <c r="A50264" s="136"/>
      <c r="CM50264" s="111"/>
      <c r="CQ50264" s="111"/>
      <c r="EF50264"/>
      <c r="EG50264"/>
      <c r="EH50264"/>
      <c r="EI50264"/>
      <c r="EJ50264"/>
      <c r="EK50264"/>
    </row>
    <row r="50265" spans="1:141" s="116" customFormat="1">
      <c r="A50265" s="136"/>
      <c r="CM50265" s="111"/>
      <c r="CQ50265" s="111"/>
      <c r="EF50265"/>
      <c r="EG50265"/>
      <c r="EH50265"/>
      <c r="EI50265"/>
      <c r="EJ50265"/>
      <c r="EK50265"/>
    </row>
    <row r="50266" spans="1:141" s="116" customFormat="1">
      <c r="A50266" s="136"/>
      <c r="CM50266" s="111"/>
      <c r="CQ50266" s="111"/>
      <c r="EF50266"/>
      <c r="EG50266"/>
      <c r="EH50266"/>
      <c r="EI50266"/>
      <c r="EJ50266"/>
      <c r="EK50266"/>
    </row>
    <row r="50267" spans="1:141" s="116" customFormat="1">
      <c r="A50267" s="136"/>
      <c r="CM50267" s="111"/>
      <c r="CQ50267" s="111"/>
      <c r="EF50267"/>
      <c r="EG50267"/>
      <c r="EH50267"/>
      <c r="EI50267"/>
      <c r="EJ50267"/>
      <c r="EK50267"/>
    </row>
    <row r="50268" spans="1:141" s="116" customFormat="1">
      <c r="A50268" s="136"/>
      <c r="CM50268" s="111"/>
      <c r="CQ50268" s="111"/>
      <c r="EF50268"/>
      <c r="EG50268"/>
      <c r="EH50268"/>
      <c r="EI50268"/>
      <c r="EJ50268"/>
      <c r="EK50268"/>
    </row>
    <row r="50269" spans="1:141" s="116" customFormat="1">
      <c r="A50269" s="136"/>
      <c r="CM50269" s="111"/>
      <c r="CQ50269" s="111"/>
      <c r="EF50269"/>
      <c r="EG50269"/>
      <c r="EH50269"/>
      <c r="EI50269"/>
      <c r="EJ50269"/>
      <c r="EK50269"/>
    </row>
    <row r="50270" spans="1:141" s="116" customFormat="1">
      <c r="A50270" s="136"/>
      <c r="CM50270" s="111"/>
      <c r="CQ50270" s="111"/>
      <c r="EF50270"/>
      <c r="EG50270"/>
      <c r="EH50270"/>
      <c r="EI50270"/>
      <c r="EJ50270"/>
      <c r="EK50270"/>
    </row>
    <row r="50271" spans="1:141" s="116" customFormat="1">
      <c r="A50271" s="136"/>
      <c r="CM50271" s="111"/>
      <c r="CQ50271" s="111"/>
      <c r="EF50271"/>
      <c r="EG50271"/>
      <c r="EH50271"/>
      <c r="EI50271"/>
      <c r="EJ50271"/>
      <c r="EK50271"/>
    </row>
    <row r="50272" spans="1:141" s="116" customFormat="1">
      <c r="A50272" s="136"/>
      <c r="CM50272" s="111"/>
      <c r="CQ50272" s="111"/>
      <c r="EF50272"/>
      <c r="EG50272"/>
      <c r="EH50272"/>
      <c r="EI50272"/>
      <c r="EJ50272"/>
      <c r="EK50272"/>
    </row>
    <row r="50273" spans="1:141" s="116" customFormat="1">
      <c r="A50273" s="136"/>
      <c r="CM50273" s="111"/>
      <c r="CQ50273" s="111"/>
      <c r="EF50273"/>
      <c r="EG50273"/>
      <c r="EH50273"/>
      <c r="EI50273"/>
      <c r="EJ50273"/>
      <c r="EK50273"/>
    </row>
    <row r="50274" spans="1:141" s="116" customFormat="1">
      <c r="A50274" s="136"/>
      <c r="CM50274" s="111"/>
      <c r="CQ50274" s="111"/>
      <c r="EF50274"/>
      <c r="EG50274"/>
      <c r="EH50274"/>
      <c r="EI50274"/>
      <c r="EJ50274"/>
      <c r="EK50274"/>
    </row>
    <row r="50275" spans="1:141" s="116" customFormat="1">
      <c r="A50275" s="136"/>
      <c r="CM50275" s="111"/>
      <c r="CQ50275" s="111"/>
      <c r="EF50275"/>
      <c r="EG50275"/>
      <c r="EH50275"/>
      <c r="EI50275"/>
      <c r="EJ50275"/>
      <c r="EK50275"/>
    </row>
    <row r="50276" spans="1:141" s="116" customFormat="1">
      <c r="A50276" s="136"/>
      <c r="CM50276" s="111"/>
      <c r="CQ50276" s="111"/>
      <c r="EF50276"/>
      <c r="EG50276"/>
      <c r="EH50276"/>
      <c r="EI50276"/>
      <c r="EJ50276"/>
      <c r="EK50276"/>
    </row>
    <row r="50277" spans="1:141" s="116" customFormat="1">
      <c r="A50277" s="136"/>
      <c r="CM50277" s="111"/>
      <c r="CQ50277" s="111"/>
      <c r="EF50277"/>
      <c r="EG50277"/>
      <c r="EH50277"/>
      <c r="EI50277"/>
      <c r="EJ50277"/>
      <c r="EK50277"/>
    </row>
    <row r="50278" spans="1:141" s="116" customFormat="1">
      <c r="A50278" s="136"/>
      <c r="CM50278" s="111"/>
      <c r="CQ50278" s="111"/>
      <c r="EF50278"/>
      <c r="EG50278"/>
      <c r="EH50278"/>
      <c r="EI50278"/>
      <c r="EJ50278"/>
      <c r="EK50278"/>
    </row>
    <row r="50279" spans="1:141" s="116" customFormat="1">
      <c r="A50279" s="136"/>
      <c r="CM50279" s="111"/>
      <c r="CQ50279" s="111"/>
      <c r="EF50279"/>
      <c r="EG50279"/>
      <c r="EH50279"/>
      <c r="EI50279"/>
      <c r="EJ50279"/>
      <c r="EK50279"/>
    </row>
    <row r="50280" spans="1:141" s="116" customFormat="1">
      <c r="A50280" s="136"/>
      <c r="CM50280" s="111"/>
      <c r="CQ50280" s="111"/>
      <c r="EF50280"/>
      <c r="EG50280"/>
      <c r="EH50280"/>
      <c r="EI50280"/>
      <c r="EJ50280"/>
      <c r="EK50280"/>
    </row>
    <row r="50281" spans="1:141" s="116" customFormat="1">
      <c r="A50281" s="136"/>
      <c r="CM50281" s="111"/>
      <c r="CQ50281" s="111"/>
      <c r="EF50281"/>
      <c r="EG50281"/>
      <c r="EH50281"/>
      <c r="EI50281"/>
      <c r="EJ50281"/>
      <c r="EK50281"/>
    </row>
    <row r="50282" spans="1:141" s="116" customFormat="1">
      <c r="A50282" s="136"/>
      <c r="CM50282" s="111"/>
      <c r="CQ50282" s="111"/>
      <c r="EF50282"/>
      <c r="EG50282"/>
      <c r="EH50282"/>
      <c r="EI50282"/>
      <c r="EJ50282"/>
      <c r="EK50282"/>
    </row>
    <row r="50283" spans="1:141" s="116" customFormat="1">
      <c r="A50283" s="136"/>
      <c r="CM50283" s="111"/>
      <c r="CQ50283" s="111"/>
      <c r="EF50283"/>
      <c r="EG50283"/>
      <c r="EH50283"/>
      <c r="EI50283"/>
      <c r="EJ50283"/>
      <c r="EK50283"/>
    </row>
    <row r="50284" spans="1:141" s="116" customFormat="1">
      <c r="A50284" s="136"/>
      <c r="CM50284" s="111"/>
      <c r="CQ50284" s="111"/>
      <c r="EF50284"/>
      <c r="EG50284"/>
      <c r="EH50284"/>
      <c r="EI50284"/>
      <c r="EJ50284"/>
      <c r="EK50284"/>
    </row>
    <row r="50285" spans="1:141" s="116" customFormat="1">
      <c r="A50285" s="136"/>
      <c r="CM50285" s="111"/>
      <c r="CQ50285" s="111"/>
      <c r="EF50285"/>
      <c r="EG50285"/>
      <c r="EH50285"/>
      <c r="EI50285"/>
      <c r="EJ50285"/>
      <c r="EK50285"/>
    </row>
    <row r="50286" spans="1:141" s="116" customFormat="1">
      <c r="A50286" s="136"/>
      <c r="CM50286" s="111"/>
      <c r="CQ50286" s="111"/>
      <c r="EF50286"/>
      <c r="EG50286"/>
      <c r="EH50286"/>
      <c r="EI50286"/>
      <c r="EJ50286"/>
      <c r="EK50286"/>
    </row>
    <row r="50287" spans="1:141" s="116" customFormat="1">
      <c r="A50287" s="136"/>
      <c r="CM50287" s="111"/>
      <c r="CQ50287" s="111"/>
      <c r="EF50287"/>
      <c r="EG50287"/>
      <c r="EH50287"/>
      <c r="EI50287"/>
      <c r="EJ50287"/>
      <c r="EK50287"/>
    </row>
    <row r="50288" spans="1:141" s="116" customFormat="1">
      <c r="A50288" s="136"/>
      <c r="CM50288" s="111"/>
      <c r="CQ50288" s="111"/>
      <c r="EF50288"/>
      <c r="EG50288"/>
      <c r="EH50288"/>
      <c r="EI50288"/>
      <c r="EJ50288"/>
      <c r="EK50288"/>
    </row>
    <row r="50289" spans="1:141" s="116" customFormat="1">
      <c r="A50289" s="136"/>
      <c r="CM50289" s="111"/>
      <c r="CQ50289" s="111"/>
      <c r="EF50289"/>
      <c r="EG50289"/>
      <c r="EH50289"/>
      <c r="EI50289"/>
      <c r="EJ50289"/>
      <c r="EK50289"/>
    </row>
    <row r="50290" spans="1:141" s="116" customFormat="1">
      <c r="A50290" s="136"/>
      <c r="CM50290" s="111"/>
      <c r="CQ50290" s="111"/>
      <c r="EF50290"/>
      <c r="EG50290"/>
      <c r="EH50290"/>
      <c r="EI50290"/>
      <c r="EJ50290"/>
      <c r="EK50290"/>
    </row>
    <row r="50291" spans="1:141" s="116" customFormat="1">
      <c r="A50291" s="136"/>
      <c r="CM50291" s="111"/>
      <c r="CQ50291" s="111"/>
      <c r="EF50291"/>
      <c r="EG50291"/>
      <c r="EH50291"/>
      <c r="EI50291"/>
      <c r="EJ50291"/>
      <c r="EK50291"/>
    </row>
    <row r="50292" spans="1:141" s="116" customFormat="1">
      <c r="A50292" s="136"/>
      <c r="CM50292" s="111"/>
      <c r="CQ50292" s="111"/>
      <c r="EF50292"/>
      <c r="EG50292"/>
      <c r="EH50292"/>
      <c r="EI50292"/>
      <c r="EJ50292"/>
      <c r="EK50292"/>
    </row>
    <row r="50293" spans="1:141" s="116" customFormat="1">
      <c r="A50293" s="136"/>
      <c r="CM50293" s="111"/>
      <c r="CQ50293" s="111"/>
      <c r="EF50293"/>
      <c r="EG50293"/>
      <c r="EH50293"/>
      <c r="EI50293"/>
      <c r="EJ50293"/>
      <c r="EK50293"/>
    </row>
    <row r="50294" spans="1:141" s="116" customFormat="1">
      <c r="A50294" s="136"/>
      <c r="CM50294" s="111"/>
      <c r="CQ50294" s="111"/>
      <c r="EF50294"/>
      <c r="EG50294"/>
      <c r="EH50294"/>
      <c r="EI50294"/>
      <c r="EJ50294"/>
      <c r="EK50294"/>
    </row>
    <row r="50295" spans="1:141" s="116" customFormat="1">
      <c r="A50295" s="136"/>
      <c r="CM50295" s="111"/>
      <c r="CQ50295" s="111"/>
      <c r="EF50295"/>
      <c r="EG50295"/>
      <c r="EH50295"/>
      <c r="EI50295"/>
      <c r="EJ50295"/>
      <c r="EK50295"/>
    </row>
    <row r="50296" spans="1:141" s="116" customFormat="1">
      <c r="A50296" s="136"/>
      <c r="CM50296" s="111"/>
      <c r="CQ50296" s="111"/>
      <c r="EF50296"/>
      <c r="EG50296"/>
      <c r="EH50296"/>
      <c r="EI50296"/>
      <c r="EJ50296"/>
      <c r="EK50296"/>
    </row>
    <row r="50297" spans="1:141" s="116" customFormat="1">
      <c r="A50297" s="136"/>
      <c r="CM50297" s="111"/>
      <c r="CQ50297" s="111"/>
      <c r="EF50297"/>
      <c r="EG50297"/>
      <c r="EH50297"/>
      <c r="EI50297"/>
      <c r="EJ50297"/>
      <c r="EK50297"/>
    </row>
    <row r="50298" spans="1:141" s="116" customFormat="1">
      <c r="A50298" s="136"/>
      <c r="CM50298" s="111"/>
      <c r="CQ50298" s="111"/>
      <c r="EF50298"/>
      <c r="EG50298"/>
      <c r="EH50298"/>
      <c r="EI50298"/>
      <c r="EJ50298"/>
      <c r="EK50298"/>
    </row>
    <row r="50299" spans="1:141" s="116" customFormat="1">
      <c r="A50299" s="136"/>
      <c r="CM50299" s="111"/>
      <c r="CQ50299" s="111"/>
      <c r="EF50299"/>
      <c r="EG50299"/>
      <c r="EH50299"/>
      <c r="EI50299"/>
      <c r="EJ50299"/>
      <c r="EK50299"/>
    </row>
    <row r="50300" spans="1:141" s="116" customFormat="1">
      <c r="A50300" s="136"/>
      <c r="CM50300" s="111"/>
      <c r="CQ50300" s="111"/>
      <c r="EF50300"/>
      <c r="EG50300"/>
      <c r="EH50300"/>
      <c r="EI50300"/>
      <c r="EJ50300"/>
      <c r="EK50300"/>
    </row>
    <row r="50301" spans="1:141" s="116" customFormat="1">
      <c r="A50301" s="136"/>
      <c r="CM50301" s="111"/>
      <c r="CQ50301" s="111"/>
      <c r="EF50301"/>
      <c r="EG50301"/>
      <c r="EH50301"/>
      <c r="EI50301"/>
      <c r="EJ50301"/>
      <c r="EK50301"/>
    </row>
    <row r="50302" spans="1:141" s="116" customFormat="1">
      <c r="A50302" s="136"/>
      <c r="CM50302" s="111"/>
      <c r="CQ50302" s="111"/>
      <c r="EF50302"/>
      <c r="EG50302"/>
      <c r="EH50302"/>
      <c r="EI50302"/>
      <c r="EJ50302"/>
      <c r="EK50302"/>
    </row>
    <row r="50303" spans="1:141" s="116" customFormat="1">
      <c r="A50303" s="136"/>
      <c r="CM50303" s="111"/>
      <c r="CQ50303" s="111"/>
      <c r="EF50303"/>
      <c r="EG50303"/>
      <c r="EH50303"/>
      <c r="EI50303"/>
      <c r="EJ50303"/>
      <c r="EK50303"/>
    </row>
    <row r="50304" spans="1:141" s="116" customFormat="1">
      <c r="A50304" s="136"/>
      <c r="CM50304" s="111"/>
      <c r="CQ50304" s="111"/>
      <c r="EF50304"/>
      <c r="EG50304"/>
      <c r="EH50304"/>
      <c r="EI50304"/>
      <c r="EJ50304"/>
      <c r="EK50304"/>
    </row>
    <row r="50305" spans="1:141" s="116" customFormat="1">
      <c r="A50305" s="136"/>
      <c r="CM50305" s="111"/>
      <c r="CQ50305" s="111"/>
      <c r="EF50305"/>
      <c r="EG50305"/>
      <c r="EH50305"/>
      <c r="EI50305"/>
      <c r="EJ50305"/>
      <c r="EK50305"/>
    </row>
    <row r="50306" spans="1:141" s="116" customFormat="1">
      <c r="A50306" s="136"/>
      <c r="CM50306" s="111"/>
      <c r="CQ50306" s="111"/>
      <c r="EF50306"/>
      <c r="EG50306"/>
      <c r="EH50306"/>
      <c r="EI50306"/>
      <c r="EJ50306"/>
      <c r="EK50306"/>
    </row>
    <row r="50307" spans="1:141" s="116" customFormat="1">
      <c r="A50307" s="136"/>
      <c r="CM50307" s="111"/>
      <c r="CQ50307" s="111"/>
      <c r="EF50307"/>
      <c r="EG50307"/>
      <c r="EH50307"/>
      <c r="EI50307"/>
      <c r="EJ50307"/>
      <c r="EK50307"/>
    </row>
    <row r="50308" spans="1:141" s="116" customFormat="1">
      <c r="A50308" s="136"/>
      <c r="CM50308" s="111"/>
      <c r="CQ50308" s="111"/>
      <c r="EF50308"/>
      <c r="EG50308"/>
      <c r="EH50308"/>
      <c r="EI50308"/>
      <c r="EJ50308"/>
      <c r="EK50308"/>
    </row>
    <row r="50309" spans="1:141" s="116" customFormat="1">
      <c r="A50309" s="136"/>
      <c r="CM50309" s="111"/>
      <c r="CQ50309" s="111"/>
      <c r="EF50309"/>
      <c r="EG50309"/>
      <c r="EH50309"/>
      <c r="EI50309"/>
      <c r="EJ50309"/>
      <c r="EK50309"/>
    </row>
    <row r="50310" spans="1:141" s="116" customFormat="1">
      <c r="A50310" s="136"/>
      <c r="CM50310" s="111"/>
      <c r="CQ50310" s="111"/>
      <c r="EF50310"/>
      <c r="EG50310"/>
      <c r="EH50310"/>
      <c r="EI50310"/>
      <c r="EJ50310"/>
      <c r="EK50310"/>
    </row>
    <row r="50311" spans="1:141" s="116" customFormat="1">
      <c r="A50311" s="136"/>
      <c r="CM50311" s="111"/>
      <c r="CQ50311" s="111"/>
      <c r="EF50311"/>
      <c r="EG50311"/>
      <c r="EH50311"/>
      <c r="EI50311"/>
      <c r="EJ50311"/>
      <c r="EK50311"/>
    </row>
    <row r="50312" spans="1:141" s="116" customFormat="1">
      <c r="A50312" s="136"/>
      <c r="CM50312" s="111"/>
      <c r="CQ50312" s="111"/>
      <c r="EF50312"/>
      <c r="EG50312"/>
      <c r="EH50312"/>
      <c r="EI50312"/>
      <c r="EJ50312"/>
      <c r="EK50312"/>
    </row>
    <row r="50313" spans="1:141" s="116" customFormat="1">
      <c r="A50313" s="136"/>
      <c r="CM50313" s="111"/>
      <c r="CQ50313" s="111"/>
      <c r="EF50313"/>
      <c r="EG50313"/>
      <c r="EH50313"/>
      <c r="EI50313"/>
      <c r="EJ50313"/>
      <c r="EK50313"/>
    </row>
    <row r="50314" spans="1:141" s="116" customFormat="1">
      <c r="A50314" s="136"/>
      <c r="CM50314" s="111"/>
      <c r="CQ50314" s="111"/>
      <c r="EF50314"/>
      <c r="EG50314"/>
      <c r="EH50314"/>
      <c r="EI50314"/>
      <c r="EJ50314"/>
      <c r="EK50314"/>
    </row>
    <row r="50315" spans="1:141" s="116" customFormat="1">
      <c r="A50315" s="136"/>
      <c r="CM50315" s="111"/>
      <c r="CQ50315" s="111"/>
      <c r="EF50315"/>
      <c r="EG50315"/>
      <c r="EH50315"/>
      <c r="EI50315"/>
      <c r="EJ50315"/>
      <c r="EK50315"/>
    </row>
    <row r="50316" spans="1:141" s="116" customFormat="1">
      <c r="A50316" s="136"/>
      <c r="CM50316" s="111"/>
      <c r="CQ50316" s="111"/>
      <c r="EF50316"/>
      <c r="EG50316"/>
      <c r="EH50316"/>
      <c r="EI50316"/>
      <c r="EJ50316"/>
      <c r="EK50316"/>
    </row>
    <row r="50317" spans="1:141" s="116" customFormat="1">
      <c r="A50317" s="136"/>
      <c r="CM50317" s="111"/>
      <c r="CQ50317" s="111"/>
      <c r="EF50317"/>
      <c r="EG50317"/>
      <c r="EH50317"/>
      <c r="EI50317"/>
      <c r="EJ50317"/>
      <c r="EK50317"/>
    </row>
    <row r="50318" spans="1:141" s="116" customFormat="1">
      <c r="A50318" s="136"/>
      <c r="CM50318" s="111"/>
      <c r="CQ50318" s="111"/>
      <c r="EF50318"/>
      <c r="EG50318"/>
      <c r="EH50318"/>
      <c r="EI50318"/>
      <c r="EJ50318"/>
      <c r="EK50318"/>
    </row>
    <row r="50319" spans="1:141" s="116" customFormat="1">
      <c r="A50319" s="136"/>
      <c r="CM50319" s="111"/>
      <c r="CQ50319" s="111"/>
      <c r="EF50319"/>
      <c r="EG50319"/>
      <c r="EH50319"/>
      <c r="EI50319"/>
      <c r="EJ50319"/>
      <c r="EK50319"/>
    </row>
    <row r="50320" spans="1:141" s="116" customFormat="1">
      <c r="A50320" s="136"/>
      <c r="CM50320" s="111"/>
      <c r="CQ50320" s="111"/>
      <c r="EF50320"/>
      <c r="EG50320"/>
      <c r="EH50320"/>
      <c r="EI50320"/>
      <c r="EJ50320"/>
      <c r="EK50320"/>
    </row>
    <row r="50321" spans="1:141" s="116" customFormat="1">
      <c r="A50321" s="136"/>
      <c r="CM50321" s="111"/>
      <c r="CQ50321" s="111"/>
      <c r="EF50321"/>
      <c r="EG50321"/>
      <c r="EH50321"/>
      <c r="EI50321"/>
      <c r="EJ50321"/>
      <c r="EK50321"/>
    </row>
    <row r="50322" spans="1:141" s="116" customFormat="1">
      <c r="A50322" s="136"/>
      <c r="CM50322" s="111"/>
      <c r="CQ50322" s="111"/>
      <c r="EF50322"/>
      <c r="EG50322"/>
      <c r="EH50322"/>
      <c r="EI50322"/>
      <c r="EJ50322"/>
      <c r="EK50322"/>
    </row>
    <row r="50323" spans="1:141" s="116" customFormat="1">
      <c r="A50323" s="136"/>
      <c r="CM50323" s="111"/>
      <c r="CQ50323" s="111"/>
      <c r="EF50323"/>
      <c r="EG50323"/>
      <c r="EH50323"/>
      <c r="EI50323"/>
      <c r="EJ50323"/>
      <c r="EK50323"/>
    </row>
    <row r="50324" spans="1:141" s="116" customFormat="1">
      <c r="A50324" s="136"/>
      <c r="CM50324" s="111"/>
      <c r="CQ50324" s="111"/>
      <c r="EF50324"/>
      <c r="EG50324"/>
      <c r="EH50324"/>
      <c r="EI50324"/>
      <c r="EJ50324"/>
      <c r="EK50324"/>
    </row>
    <row r="50325" spans="1:141" s="116" customFormat="1">
      <c r="A50325" s="136"/>
      <c r="CM50325" s="111"/>
      <c r="CQ50325" s="111"/>
      <c r="EF50325"/>
      <c r="EG50325"/>
      <c r="EH50325"/>
      <c r="EI50325"/>
      <c r="EJ50325"/>
      <c r="EK50325"/>
    </row>
    <row r="50326" spans="1:141" s="116" customFormat="1">
      <c r="A50326" s="136"/>
      <c r="CM50326" s="111"/>
      <c r="CQ50326" s="111"/>
      <c r="EF50326"/>
      <c r="EG50326"/>
      <c r="EH50326"/>
      <c r="EI50326"/>
      <c r="EJ50326"/>
      <c r="EK50326"/>
    </row>
    <row r="50327" spans="1:141" s="116" customFormat="1">
      <c r="A50327" s="136"/>
      <c r="CM50327" s="111"/>
      <c r="CQ50327" s="111"/>
      <c r="EF50327"/>
      <c r="EG50327"/>
      <c r="EH50327"/>
      <c r="EI50327"/>
      <c r="EJ50327"/>
      <c r="EK50327"/>
    </row>
    <row r="50328" spans="1:141" s="116" customFormat="1">
      <c r="A50328" s="136"/>
      <c r="CM50328" s="111"/>
      <c r="CQ50328" s="111"/>
      <c r="EF50328"/>
      <c r="EG50328"/>
      <c r="EH50328"/>
      <c r="EI50328"/>
      <c r="EJ50328"/>
      <c r="EK50328"/>
    </row>
    <row r="50329" spans="1:141" s="116" customFormat="1">
      <c r="A50329" s="136"/>
      <c r="CM50329" s="111"/>
      <c r="CQ50329" s="111"/>
      <c r="EF50329"/>
      <c r="EG50329"/>
      <c r="EH50329"/>
      <c r="EI50329"/>
      <c r="EJ50329"/>
      <c r="EK50329"/>
    </row>
    <row r="50330" spans="1:141" s="116" customFormat="1">
      <c r="A50330" s="136"/>
      <c r="CM50330" s="111"/>
      <c r="CQ50330" s="111"/>
      <c r="EF50330"/>
      <c r="EG50330"/>
      <c r="EH50330"/>
      <c r="EI50330"/>
      <c r="EJ50330"/>
      <c r="EK50330"/>
    </row>
    <row r="50331" spans="1:141" s="116" customFormat="1">
      <c r="A50331" s="136"/>
      <c r="CM50331" s="111"/>
      <c r="CQ50331" s="111"/>
      <c r="EF50331"/>
      <c r="EG50331"/>
      <c r="EH50331"/>
      <c r="EI50331"/>
      <c r="EJ50331"/>
      <c r="EK50331"/>
    </row>
    <row r="50332" spans="1:141" s="116" customFormat="1">
      <c r="A50332" s="136"/>
      <c r="CM50332" s="111"/>
      <c r="CQ50332" s="111"/>
      <c r="EF50332"/>
      <c r="EG50332"/>
      <c r="EH50332"/>
      <c r="EI50332"/>
      <c r="EJ50332"/>
      <c r="EK50332"/>
    </row>
    <row r="50333" spans="1:141" s="116" customFormat="1">
      <c r="A50333" s="136"/>
      <c r="CM50333" s="111"/>
      <c r="CQ50333" s="111"/>
      <c r="EF50333"/>
      <c r="EG50333"/>
      <c r="EH50333"/>
      <c r="EI50333"/>
      <c r="EJ50333"/>
      <c r="EK50333"/>
    </row>
    <row r="50334" spans="1:141" s="116" customFormat="1">
      <c r="A50334" s="136"/>
      <c r="CM50334" s="111"/>
      <c r="CQ50334" s="111"/>
      <c r="EF50334"/>
      <c r="EG50334"/>
      <c r="EH50334"/>
      <c r="EI50334"/>
      <c r="EJ50334"/>
      <c r="EK50334"/>
    </row>
    <row r="50335" spans="1:141" s="116" customFormat="1">
      <c r="A50335" s="136"/>
      <c r="CM50335" s="111"/>
      <c r="CQ50335" s="111"/>
      <c r="EF50335"/>
      <c r="EG50335"/>
      <c r="EH50335"/>
      <c r="EI50335"/>
      <c r="EJ50335"/>
      <c r="EK50335"/>
    </row>
    <row r="50336" spans="1:141" s="116" customFormat="1">
      <c r="A50336" s="136"/>
      <c r="CM50336" s="111"/>
      <c r="CQ50336" s="111"/>
      <c r="EF50336"/>
      <c r="EG50336"/>
      <c r="EH50336"/>
      <c r="EI50336"/>
      <c r="EJ50336"/>
      <c r="EK50336"/>
    </row>
    <row r="50337" spans="1:141" s="116" customFormat="1">
      <c r="A50337" s="136"/>
      <c r="CM50337" s="111"/>
      <c r="CQ50337" s="111"/>
      <c r="EF50337"/>
      <c r="EG50337"/>
      <c r="EH50337"/>
      <c r="EI50337"/>
      <c r="EJ50337"/>
      <c r="EK50337"/>
    </row>
    <row r="50338" spans="1:141" s="116" customFormat="1">
      <c r="A50338" s="136"/>
      <c r="CM50338" s="111"/>
      <c r="CQ50338" s="111"/>
      <c r="EF50338"/>
      <c r="EG50338"/>
      <c r="EH50338"/>
      <c r="EI50338"/>
      <c r="EJ50338"/>
      <c r="EK50338"/>
    </row>
    <row r="50339" spans="1:141" s="116" customFormat="1">
      <c r="A50339" s="136"/>
      <c r="CM50339" s="111"/>
      <c r="CQ50339" s="111"/>
      <c r="EF50339"/>
      <c r="EG50339"/>
      <c r="EH50339"/>
      <c r="EI50339"/>
      <c r="EJ50339"/>
      <c r="EK50339"/>
    </row>
    <row r="50340" spans="1:141" s="116" customFormat="1">
      <c r="A50340" s="136"/>
      <c r="CM50340" s="111"/>
      <c r="CQ50340" s="111"/>
      <c r="EF50340"/>
      <c r="EG50340"/>
      <c r="EH50340"/>
      <c r="EI50340"/>
      <c r="EJ50340"/>
      <c r="EK50340"/>
    </row>
    <row r="50341" spans="1:141" s="116" customFormat="1">
      <c r="A50341" s="136"/>
      <c r="CM50341" s="111"/>
      <c r="CQ50341" s="111"/>
      <c r="EF50341"/>
      <c r="EG50341"/>
      <c r="EH50341"/>
      <c r="EI50341"/>
      <c r="EJ50341"/>
      <c r="EK50341"/>
    </row>
    <row r="50342" spans="1:141" s="116" customFormat="1">
      <c r="A50342" s="136"/>
      <c r="CM50342" s="111"/>
      <c r="CQ50342" s="111"/>
      <c r="EF50342"/>
      <c r="EG50342"/>
      <c r="EH50342"/>
      <c r="EI50342"/>
      <c r="EJ50342"/>
      <c r="EK50342"/>
    </row>
    <row r="50343" spans="1:141" s="116" customFormat="1">
      <c r="A50343" s="136"/>
      <c r="CM50343" s="111"/>
      <c r="CQ50343" s="111"/>
      <c r="EF50343"/>
      <c r="EG50343"/>
      <c r="EH50343"/>
      <c r="EI50343"/>
      <c r="EJ50343"/>
      <c r="EK50343"/>
    </row>
    <row r="50344" spans="1:141" s="116" customFormat="1">
      <c r="A50344" s="136"/>
      <c r="CM50344" s="111"/>
      <c r="CQ50344" s="111"/>
      <c r="EF50344"/>
      <c r="EG50344"/>
      <c r="EH50344"/>
      <c r="EI50344"/>
      <c r="EJ50344"/>
      <c r="EK50344"/>
    </row>
    <row r="50345" spans="1:141" s="116" customFormat="1">
      <c r="A50345" s="136"/>
      <c r="CM50345" s="111"/>
      <c r="CQ50345" s="111"/>
      <c r="EF50345"/>
      <c r="EG50345"/>
      <c r="EH50345"/>
      <c r="EI50345"/>
      <c r="EJ50345"/>
      <c r="EK50345"/>
    </row>
    <row r="50346" spans="1:141" s="116" customFormat="1">
      <c r="A50346" s="136"/>
      <c r="CM50346" s="111"/>
      <c r="CQ50346" s="111"/>
      <c r="EF50346"/>
      <c r="EG50346"/>
      <c r="EH50346"/>
      <c r="EI50346"/>
      <c r="EJ50346"/>
      <c r="EK50346"/>
    </row>
    <row r="50347" spans="1:141" s="116" customFormat="1">
      <c r="A50347" s="136"/>
      <c r="CM50347" s="111"/>
      <c r="CQ50347" s="111"/>
      <c r="EF50347"/>
      <c r="EG50347"/>
      <c r="EH50347"/>
      <c r="EI50347"/>
      <c r="EJ50347"/>
      <c r="EK50347"/>
    </row>
    <row r="50348" spans="1:141" s="116" customFormat="1">
      <c r="A50348" s="136"/>
      <c r="CM50348" s="111"/>
      <c r="CQ50348" s="111"/>
      <c r="EF50348"/>
      <c r="EG50348"/>
      <c r="EH50348"/>
      <c r="EI50348"/>
      <c r="EJ50348"/>
      <c r="EK50348"/>
    </row>
    <row r="50349" spans="1:141" s="116" customFormat="1">
      <c r="A50349" s="136"/>
      <c r="CM50349" s="111"/>
      <c r="CQ50349" s="111"/>
      <c r="EF50349"/>
      <c r="EG50349"/>
      <c r="EH50349"/>
      <c r="EI50349"/>
      <c r="EJ50349"/>
      <c r="EK50349"/>
    </row>
    <row r="50350" spans="1:141" s="116" customFormat="1">
      <c r="A50350" s="136"/>
      <c r="CM50350" s="111"/>
      <c r="CQ50350" s="111"/>
      <c r="EF50350"/>
      <c r="EG50350"/>
      <c r="EH50350"/>
      <c r="EI50350"/>
      <c r="EJ50350"/>
      <c r="EK50350"/>
    </row>
    <row r="50351" spans="1:141" s="116" customFormat="1">
      <c r="A50351" s="136"/>
      <c r="CM50351" s="111"/>
      <c r="CQ50351" s="111"/>
      <c r="EF50351"/>
      <c r="EG50351"/>
      <c r="EH50351"/>
      <c r="EI50351"/>
      <c r="EJ50351"/>
      <c r="EK50351"/>
    </row>
    <row r="50352" spans="1:141" s="116" customFormat="1">
      <c r="A50352" s="136"/>
      <c r="CM50352" s="111"/>
      <c r="CQ50352" s="111"/>
      <c r="EF50352"/>
      <c r="EG50352"/>
      <c r="EH50352"/>
      <c r="EI50352"/>
      <c r="EJ50352"/>
      <c r="EK50352"/>
    </row>
    <row r="50353" spans="1:141" s="116" customFormat="1">
      <c r="A50353" s="136"/>
      <c r="CM50353" s="111"/>
      <c r="CQ50353" s="111"/>
      <c r="EF50353"/>
      <c r="EG50353"/>
      <c r="EH50353"/>
      <c r="EI50353"/>
      <c r="EJ50353"/>
      <c r="EK50353"/>
    </row>
    <row r="50354" spans="1:141" s="116" customFormat="1">
      <c r="A50354" s="136"/>
      <c r="CM50354" s="111"/>
      <c r="CQ50354" s="111"/>
      <c r="EF50354"/>
      <c r="EG50354"/>
      <c r="EH50354"/>
      <c r="EI50354"/>
      <c r="EJ50354"/>
      <c r="EK50354"/>
    </row>
    <row r="50355" spans="1:141" s="116" customFormat="1">
      <c r="A50355" s="136"/>
      <c r="CM50355" s="111"/>
      <c r="CQ50355" s="111"/>
      <c r="EF50355"/>
      <c r="EG50355"/>
      <c r="EH50355"/>
      <c r="EI50355"/>
      <c r="EJ50355"/>
      <c r="EK50355"/>
    </row>
    <row r="50356" spans="1:141" s="116" customFormat="1">
      <c r="A50356" s="136"/>
      <c r="CM50356" s="111"/>
      <c r="CQ50356" s="111"/>
      <c r="EF50356"/>
      <c r="EG50356"/>
      <c r="EH50356"/>
      <c r="EI50356"/>
      <c r="EJ50356"/>
      <c r="EK50356"/>
    </row>
    <row r="50357" spans="1:141" s="116" customFormat="1">
      <c r="A50357" s="136"/>
      <c r="CM50357" s="111"/>
      <c r="CQ50357" s="111"/>
      <c r="EF50357"/>
      <c r="EG50357"/>
      <c r="EH50357"/>
      <c r="EI50357"/>
      <c r="EJ50357"/>
      <c r="EK50357"/>
    </row>
    <row r="50358" spans="1:141" s="116" customFormat="1">
      <c r="A50358" s="136"/>
      <c r="CM50358" s="111"/>
      <c r="CQ50358" s="111"/>
      <c r="EF50358"/>
      <c r="EG50358"/>
      <c r="EH50358"/>
      <c r="EI50358"/>
      <c r="EJ50358"/>
      <c r="EK50358"/>
    </row>
    <row r="50359" spans="1:141" s="116" customFormat="1">
      <c r="A50359" s="136"/>
      <c r="CM50359" s="111"/>
      <c r="CQ50359" s="111"/>
      <c r="EF50359"/>
      <c r="EG50359"/>
      <c r="EH50359"/>
      <c r="EI50359"/>
      <c r="EJ50359"/>
      <c r="EK50359"/>
    </row>
    <row r="50360" spans="1:141" s="116" customFormat="1">
      <c r="A50360" s="136"/>
      <c r="CM50360" s="111"/>
      <c r="CQ50360" s="111"/>
      <c r="EF50360"/>
      <c r="EG50360"/>
      <c r="EH50360"/>
      <c r="EI50360"/>
      <c r="EJ50360"/>
      <c r="EK50360"/>
    </row>
    <row r="50361" spans="1:141" s="116" customFormat="1">
      <c r="A50361" s="136"/>
      <c r="CM50361" s="111"/>
      <c r="CQ50361" s="111"/>
      <c r="EF50361"/>
      <c r="EG50361"/>
      <c r="EH50361"/>
      <c r="EI50361"/>
      <c r="EJ50361"/>
      <c r="EK50361"/>
    </row>
    <row r="50362" spans="1:141" s="116" customFormat="1">
      <c r="A50362" s="136"/>
      <c r="CM50362" s="111"/>
      <c r="CQ50362" s="111"/>
      <c r="EF50362"/>
      <c r="EG50362"/>
      <c r="EH50362"/>
      <c r="EI50362"/>
      <c r="EJ50362"/>
      <c r="EK50362"/>
    </row>
    <row r="50363" spans="1:141" s="116" customFormat="1">
      <c r="A50363" s="136"/>
      <c r="CM50363" s="111"/>
      <c r="CQ50363" s="111"/>
      <c r="EF50363"/>
      <c r="EG50363"/>
      <c r="EH50363"/>
      <c r="EI50363"/>
      <c r="EJ50363"/>
      <c r="EK50363"/>
    </row>
    <row r="50364" spans="1:141" s="116" customFormat="1">
      <c r="A50364" s="136"/>
      <c r="CM50364" s="111"/>
      <c r="CQ50364" s="111"/>
      <c r="EF50364"/>
      <c r="EG50364"/>
      <c r="EH50364"/>
      <c r="EI50364"/>
      <c r="EJ50364"/>
      <c r="EK50364"/>
    </row>
    <row r="50365" spans="1:141" s="116" customFormat="1">
      <c r="A50365" s="136"/>
      <c r="CM50365" s="111"/>
      <c r="CQ50365" s="111"/>
      <c r="EF50365"/>
      <c r="EG50365"/>
      <c r="EH50365"/>
      <c r="EI50365"/>
      <c r="EJ50365"/>
      <c r="EK50365"/>
    </row>
    <row r="50366" spans="1:141" s="116" customFormat="1">
      <c r="A50366" s="136"/>
      <c r="CM50366" s="111"/>
      <c r="CQ50366" s="111"/>
      <c r="EF50366"/>
      <c r="EG50366"/>
      <c r="EH50366"/>
      <c r="EI50366"/>
      <c r="EJ50366"/>
      <c r="EK50366"/>
    </row>
    <row r="50367" spans="1:141" s="116" customFormat="1">
      <c r="A50367" s="136"/>
      <c r="CM50367" s="111"/>
      <c r="CQ50367" s="111"/>
      <c r="EF50367"/>
      <c r="EG50367"/>
      <c r="EH50367"/>
      <c r="EI50367"/>
      <c r="EJ50367"/>
      <c r="EK50367"/>
    </row>
    <row r="50368" spans="1:141" s="116" customFormat="1">
      <c r="A50368" s="136"/>
      <c r="CM50368" s="111"/>
      <c r="CQ50368" s="111"/>
      <c r="EF50368"/>
      <c r="EG50368"/>
      <c r="EH50368"/>
      <c r="EI50368"/>
      <c r="EJ50368"/>
      <c r="EK50368"/>
    </row>
    <row r="50369" spans="1:141" s="116" customFormat="1">
      <c r="A50369" s="136"/>
      <c r="CM50369" s="111"/>
      <c r="CQ50369" s="111"/>
      <c r="EF50369"/>
      <c r="EG50369"/>
      <c r="EH50369"/>
      <c r="EI50369"/>
      <c r="EJ50369"/>
      <c r="EK50369"/>
    </row>
    <row r="50370" spans="1:141" s="116" customFormat="1">
      <c r="A50370" s="136"/>
      <c r="CM50370" s="111"/>
      <c r="CQ50370" s="111"/>
      <c r="EF50370"/>
      <c r="EG50370"/>
      <c r="EH50370"/>
      <c r="EI50370"/>
      <c r="EJ50370"/>
      <c r="EK50370"/>
    </row>
    <row r="50371" spans="1:141" s="116" customFormat="1">
      <c r="A50371" s="136"/>
      <c r="CM50371" s="111"/>
      <c r="CQ50371" s="111"/>
      <c r="EF50371"/>
      <c r="EG50371"/>
      <c r="EH50371"/>
      <c r="EI50371"/>
      <c r="EJ50371"/>
      <c r="EK50371"/>
    </row>
    <row r="50372" spans="1:141" s="116" customFormat="1">
      <c r="A50372" s="136"/>
      <c r="CM50372" s="111"/>
      <c r="CQ50372" s="111"/>
      <c r="EF50372"/>
      <c r="EG50372"/>
      <c r="EH50372"/>
      <c r="EI50372"/>
      <c r="EJ50372"/>
      <c r="EK50372"/>
    </row>
    <row r="50373" spans="1:141" s="116" customFormat="1">
      <c r="A50373" s="136"/>
      <c r="CM50373" s="111"/>
      <c r="CQ50373" s="111"/>
      <c r="EF50373"/>
      <c r="EG50373"/>
      <c r="EH50373"/>
      <c r="EI50373"/>
      <c r="EJ50373"/>
      <c r="EK50373"/>
    </row>
    <row r="50374" spans="1:141" s="116" customFormat="1">
      <c r="A50374" s="136"/>
      <c r="CM50374" s="111"/>
      <c r="CQ50374" s="111"/>
      <c r="EF50374"/>
      <c r="EG50374"/>
      <c r="EH50374"/>
      <c r="EI50374"/>
      <c r="EJ50374"/>
      <c r="EK50374"/>
    </row>
    <row r="50375" spans="1:141" s="116" customFormat="1">
      <c r="A50375" s="136"/>
      <c r="CM50375" s="111"/>
      <c r="CQ50375" s="111"/>
      <c r="EF50375"/>
      <c r="EG50375"/>
      <c r="EH50375"/>
      <c r="EI50375"/>
      <c r="EJ50375"/>
      <c r="EK50375"/>
    </row>
    <row r="50376" spans="1:141" s="116" customFormat="1">
      <c r="A50376" s="136"/>
      <c r="CM50376" s="111"/>
      <c r="CQ50376" s="111"/>
      <c r="EF50376"/>
      <c r="EG50376"/>
      <c r="EH50376"/>
      <c r="EI50376"/>
      <c r="EJ50376"/>
      <c r="EK50376"/>
    </row>
    <row r="50377" spans="1:141" s="116" customFormat="1">
      <c r="A50377" s="136"/>
      <c r="CM50377" s="111"/>
      <c r="CQ50377" s="111"/>
      <c r="EF50377"/>
      <c r="EG50377"/>
      <c r="EH50377"/>
      <c r="EI50377"/>
      <c r="EJ50377"/>
      <c r="EK50377"/>
    </row>
    <row r="50378" spans="1:141" s="116" customFormat="1">
      <c r="A50378" s="136"/>
      <c r="CM50378" s="111"/>
      <c r="CQ50378" s="111"/>
      <c r="EF50378"/>
      <c r="EG50378"/>
      <c r="EH50378"/>
      <c r="EI50378"/>
      <c r="EJ50378"/>
      <c r="EK50378"/>
    </row>
    <row r="50379" spans="1:141" s="116" customFormat="1">
      <c r="A50379" s="136"/>
      <c r="CM50379" s="111"/>
      <c r="CQ50379" s="111"/>
      <c r="EF50379"/>
      <c r="EG50379"/>
      <c r="EH50379"/>
      <c r="EI50379"/>
      <c r="EJ50379"/>
      <c r="EK50379"/>
    </row>
    <row r="50380" spans="1:141" s="116" customFormat="1">
      <c r="A50380" s="136"/>
      <c r="CM50380" s="111"/>
      <c r="CQ50380" s="111"/>
      <c r="EF50380"/>
      <c r="EG50380"/>
      <c r="EH50380"/>
      <c r="EI50380"/>
      <c r="EJ50380"/>
      <c r="EK50380"/>
    </row>
    <row r="50381" spans="1:141" s="116" customFormat="1">
      <c r="A50381" s="136"/>
      <c r="CM50381" s="111"/>
      <c r="CQ50381" s="111"/>
      <c r="EF50381"/>
      <c r="EG50381"/>
      <c r="EH50381"/>
      <c r="EI50381"/>
      <c r="EJ50381"/>
      <c r="EK50381"/>
    </row>
    <row r="50382" spans="1:141" s="116" customFormat="1">
      <c r="A50382" s="136"/>
      <c r="CM50382" s="111"/>
      <c r="CQ50382" s="111"/>
      <c r="EF50382"/>
      <c r="EG50382"/>
      <c r="EH50382"/>
      <c r="EI50382"/>
      <c r="EJ50382"/>
      <c r="EK50382"/>
    </row>
    <row r="50383" spans="1:141" s="116" customFormat="1">
      <c r="A50383" s="136"/>
      <c r="CM50383" s="111"/>
      <c r="CQ50383" s="111"/>
      <c r="EF50383"/>
      <c r="EG50383"/>
      <c r="EH50383"/>
      <c r="EI50383"/>
      <c r="EJ50383"/>
      <c r="EK50383"/>
    </row>
    <row r="50384" spans="1:141" s="116" customFormat="1">
      <c r="A50384" s="136"/>
      <c r="CM50384" s="111"/>
      <c r="CQ50384" s="111"/>
      <c r="EF50384"/>
      <c r="EG50384"/>
      <c r="EH50384"/>
      <c r="EI50384"/>
      <c r="EJ50384"/>
      <c r="EK50384"/>
    </row>
    <row r="50385" spans="1:141" s="116" customFormat="1">
      <c r="A50385" s="136"/>
      <c r="CM50385" s="111"/>
      <c r="CQ50385" s="111"/>
      <c r="EF50385"/>
      <c r="EG50385"/>
      <c r="EH50385"/>
      <c r="EI50385"/>
      <c r="EJ50385"/>
      <c r="EK50385"/>
    </row>
    <row r="50386" spans="1:141" s="116" customFormat="1">
      <c r="A50386" s="136"/>
      <c r="CM50386" s="111"/>
      <c r="CQ50386" s="111"/>
      <c r="EF50386"/>
      <c r="EG50386"/>
      <c r="EH50386"/>
      <c r="EI50386"/>
      <c r="EJ50386"/>
      <c r="EK50386"/>
    </row>
    <row r="50387" spans="1:141" s="116" customFormat="1">
      <c r="A50387" s="136"/>
      <c r="CM50387" s="111"/>
      <c r="CQ50387" s="111"/>
      <c r="EF50387"/>
      <c r="EG50387"/>
      <c r="EH50387"/>
      <c r="EI50387"/>
      <c r="EJ50387"/>
      <c r="EK50387"/>
    </row>
    <row r="50388" spans="1:141" s="116" customFormat="1">
      <c r="A50388" s="136"/>
      <c r="CM50388" s="111"/>
      <c r="CQ50388" s="111"/>
      <c r="EF50388"/>
      <c r="EG50388"/>
      <c r="EH50388"/>
      <c r="EI50388"/>
      <c r="EJ50388"/>
      <c r="EK50388"/>
    </row>
    <row r="50389" spans="1:141" s="116" customFormat="1">
      <c r="A50389" s="136"/>
      <c r="CM50389" s="111"/>
      <c r="CQ50389" s="111"/>
      <c r="EF50389"/>
      <c r="EG50389"/>
      <c r="EH50389"/>
      <c r="EI50389"/>
      <c r="EJ50389"/>
      <c r="EK50389"/>
    </row>
    <row r="50390" spans="1:141" s="116" customFormat="1">
      <c r="A50390" s="136"/>
      <c r="CM50390" s="111"/>
      <c r="CQ50390" s="111"/>
      <c r="EF50390"/>
      <c r="EG50390"/>
      <c r="EH50390"/>
      <c r="EI50390"/>
      <c r="EJ50390"/>
      <c r="EK50390"/>
    </row>
    <row r="50391" spans="1:141" s="116" customFormat="1">
      <c r="A50391" s="136"/>
      <c r="CM50391" s="111"/>
      <c r="CQ50391" s="111"/>
      <c r="EF50391"/>
      <c r="EG50391"/>
      <c r="EH50391"/>
      <c r="EI50391"/>
      <c r="EJ50391"/>
      <c r="EK50391"/>
    </row>
    <row r="50392" spans="1:141" s="116" customFormat="1">
      <c r="A50392" s="136"/>
      <c r="CM50392" s="111"/>
      <c r="CQ50392" s="111"/>
      <c r="EF50392"/>
      <c r="EG50392"/>
      <c r="EH50392"/>
      <c r="EI50392"/>
      <c r="EJ50392"/>
      <c r="EK50392"/>
    </row>
    <row r="50393" spans="1:141" s="116" customFormat="1">
      <c r="A50393" s="136"/>
      <c r="CM50393" s="111"/>
      <c r="CQ50393" s="111"/>
      <c r="EF50393"/>
      <c r="EG50393"/>
      <c r="EH50393"/>
      <c r="EI50393"/>
      <c r="EJ50393"/>
      <c r="EK50393"/>
    </row>
    <row r="50394" spans="1:141" s="116" customFormat="1">
      <c r="A50394" s="136"/>
      <c r="CM50394" s="111"/>
      <c r="CQ50394" s="111"/>
      <c r="EF50394"/>
      <c r="EG50394"/>
      <c r="EH50394"/>
      <c r="EI50394"/>
      <c r="EJ50394"/>
      <c r="EK50394"/>
    </row>
    <row r="50395" spans="1:141" s="116" customFormat="1">
      <c r="A50395" s="136"/>
      <c r="CM50395" s="111"/>
      <c r="CQ50395" s="111"/>
      <c r="EF50395"/>
      <c r="EG50395"/>
      <c r="EH50395"/>
      <c r="EI50395"/>
      <c r="EJ50395"/>
      <c r="EK50395"/>
    </row>
    <row r="50396" spans="1:141" s="116" customFormat="1">
      <c r="A50396" s="136"/>
      <c r="CM50396" s="111"/>
      <c r="CQ50396" s="111"/>
      <c r="EF50396"/>
      <c r="EG50396"/>
      <c r="EH50396"/>
      <c r="EI50396"/>
      <c r="EJ50396"/>
      <c r="EK50396"/>
    </row>
    <row r="50397" spans="1:141" s="116" customFormat="1">
      <c r="A50397" s="136"/>
      <c r="CM50397" s="111"/>
      <c r="CQ50397" s="111"/>
      <c r="EF50397"/>
      <c r="EG50397"/>
      <c r="EH50397"/>
      <c r="EI50397"/>
      <c r="EJ50397"/>
      <c r="EK50397"/>
    </row>
    <row r="50398" spans="1:141" s="116" customFormat="1">
      <c r="A50398" s="136"/>
      <c r="CM50398" s="111"/>
      <c r="CQ50398" s="111"/>
      <c r="EF50398"/>
      <c r="EG50398"/>
      <c r="EH50398"/>
      <c r="EI50398"/>
      <c r="EJ50398"/>
      <c r="EK50398"/>
    </row>
    <row r="50399" spans="1:141" s="116" customFormat="1">
      <c r="A50399" s="136"/>
      <c r="CM50399" s="111"/>
      <c r="CQ50399" s="111"/>
      <c r="EF50399"/>
      <c r="EG50399"/>
      <c r="EH50399"/>
      <c r="EI50399"/>
      <c r="EJ50399"/>
      <c r="EK50399"/>
    </row>
    <row r="50400" spans="1:141" s="116" customFormat="1">
      <c r="A50400" s="136"/>
      <c r="CM50400" s="111"/>
      <c r="CQ50400" s="111"/>
      <c r="EF50400"/>
      <c r="EG50400"/>
      <c r="EH50400"/>
      <c r="EI50400"/>
      <c r="EJ50400"/>
      <c r="EK50400"/>
    </row>
    <row r="50401" spans="1:141" s="116" customFormat="1">
      <c r="A50401" s="136"/>
      <c r="CM50401" s="111"/>
      <c r="CQ50401" s="111"/>
      <c r="EF50401"/>
      <c r="EG50401"/>
      <c r="EH50401"/>
      <c r="EI50401"/>
      <c r="EJ50401"/>
      <c r="EK50401"/>
    </row>
    <row r="50402" spans="1:141" s="116" customFormat="1">
      <c r="A50402" s="136"/>
      <c r="CM50402" s="111"/>
      <c r="CQ50402" s="111"/>
      <c r="EF50402"/>
      <c r="EG50402"/>
      <c r="EH50402"/>
      <c r="EI50402"/>
      <c r="EJ50402"/>
      <c r="EK50402"/>
    </row>
    <row r="50403" spans="1:141" s="116" customFormat="1">
      <c r="A50403" s="136"/>
      <c r="CM50403" s="111"/>
      <c r="CQ50403" s="111"/>
      <c r="EF50403"/>
      <c r="EG50403"/>
      <c r="EH50403"/>
      <c r="EI50403"/>
      <c r="EJ50403"/>
      <c r="EK50403"/>
    </row>
    <row r="50404" spans="1:141" s="116" customFormat="1">
      <c r="A50404" s="136"/>
      <c r="CM50404" s="111"/>
      <c r="CQ50404" s="111"/>
      <c r="EF50404"/>
      <c r="EG50404"/>
      <c r="EH50404"/>
      <c r="EI50404"/>
      <c r="EJ50404"/>
      <c r="EK50404"/>
    </row>
    <row r="50405" spans="1:141" s="116" customFormat="1">
      <c r="A50405" s="136"/>
      <c r="CM50405" s="111"/>
      <c r="CQ50405" s="111"/>
      <c r="EF50405"/>
      <c r="EG50405"/>
      <c r="EH50405"/>
      <c r="EI50405"/>
      <c r="EJ50405"/>
      <c r="EK50405"/>
    </row>
    <row r="50406" spans="1:141" s="116" customFormat="1">
      <c r="A50406" s="136"/>
      <c r="CM50406" s="111"/>
      <c r="CQ50406" s="111"/>
      <c r="EF50406"/>
      <c r="EG50406"/>
      <c r="EH50406"/>
      <c r="EI50406"/>
      <c r="EJ50406"/>
      <c r="EK50406"/>
    </row>
    <row r="50407" spans="1:141" s="116" customFormat="1">
      <c r="A50407" s="136"/>
      <c r="CM50407" s="111"/>
      <c r="CQ50407" s="111"/>
      <c r="EF50407"/>
      <c r="EG50407"/>
      <c r="EH50407"/>
      <c r="EI50407"/>
      <c r="EJ50407"/>
      <c r="EK50407"/>
    </row>
    <row r="50408" spans="1:141" s="116" customFormat="1">
      <c r="A50408" s="136"/>
      <c r="CM50408" s="111"/>
      <c r="CQ50408" s="111"/>
      <c r="EF50408"/>
      <c r="EG50408"/>
      <c r="EH50408"/>
      <c r="EI50408"/>
      <c r="EJ50408"/>
      <c r="EK50408"/>
    </row>
    <row r="50409" spans="1:141" s="116" customFormat="1">
      <c r="A50409" s="136"/>
      <c r="CM50409" s="111"/>
      <c r="CQ50409" s="111"/>
      <c r="EF50409"/>
      <c r="EG50409"/>
      <c r="EH50409"/>
      <c r="EI50409"/>
      <c r="EJ50409"/>
      <c r="EK50409"/>
    </row>
    <row r="50410" spans="1:141" s="116" customFormat="1">
      <c r="A50410" s="136"/>
      <c r="CM50410" s="111"/>
      <c r="CQ50410" s="111"/>
      <c r="EF50410"/>
      <c r="EG50410"/>
      <c r="EH50410"/>
      <c r="EI50410"/>
      <c r="EJ50410"/>
      <c r="EK50410"/>
    </row>
    <row r="50411" spans="1:141" s="116" customFormat="1">
      <c r="A50411" s="136"/>
      <c r="CM50411" s="111"/>
      <c r="CQ50411" s="111"/>
      <c r="EF50411"/>
      <c r="EG50411"/>
      <c r="EH50411"/>
      <c r="EI50411"/>
      <c r="EJ50411"/>
      <c r="EK50411"/>
    </row>
    <row r="50412" spans="1:141" s="116" customFormat="1">
      <c r="A50412" s="136"/>
      <c r="CM50412" s="111"/>
      <c r="CQ50412" s="111"/>
      <c r="EF50412"/>
      <c r="EG50412"/>
      <c r="EH50412"/>
      <c r="EI50412"/>
      <c r="EJ50412"/>
      <c r="EK50412"/>
    </row>
    <row r="50413" spans="1:141" s="116" customFormat="1">
      <c r="A50413" s="136"/>
      <c r="CM50413" s="111"/>
      <c r="CQ50413" s="111"/>
      <c r="EF50413"/>
      <c r="EG50413"/>
      <c r="EH50413"/>
      <c r="EI50413"/>
      <c r="EJ50413"/>
      <c r="EK50413"/>
    </row>
    <row r="50414" spans="1:141" s="116" customFormat="1">
      <c r="A50414" s="136"/>
      <c r="CM50414" s="111"/>
      <c r="CQ50414" s="111"/>
      <c r="EF50414"/>
      <c r="EG50414"/>
      <c r="EH50414"/>
      <c r="EI50414"/>
      <c r="EJ50414"/>
      <c r="EK50414"/>
    </row>
    <row r="50415" spans="1:141" s="116" customFormat="1">
      <c r="A50415" s="136"/>
      <c r="CM50415" s="111"/>
      <c r="CQ50415" s="111"/>
      <c r="EF50415"/>
      <c r="EG50415"/>
      <c r="EH50415"/>
      <c r="EI50415"/>
      <c r="EJ50415"/>
      <c r="EK50415"/>
    </row>
    <row r="50416" spans="1:141" s="116" customFormat="1">
      <c r="A50416" s="136"/>
      <c r="CM50416" s="111"/>
      <c r="CQ50416" s="111"/>
      <c r="EF50416"/>
      <c r="EG50416"/>
      <c r="EH50416"/>
      <c r="EI50416"/>
      <c r="EJ50416"/>
      <c r="EK50416"/>
    </row>
    <row r="50417" spans="1:141" s="116" customFormat="1">
      <c r="A50417" s="136"/>
      <c r="CM50417" s="111"/>
      <c r="CQ50417" s="111"/>
      <c r="EF50417"/>
      <c r="EG50417"/>
      <c r="EH50417"/>
      <c r="EI50417"/>
      <c r="EJ50417"/>
      <c r="EK50417"/>
    </row>
    <row r="50418" spans="1:141" s="116" customFormat="1">
      <c r="A50418" s="136"/>
      <c r="CM50418" s="111"/>
      <c r="CQ50418" s="111"/>
      <c r="EF50418"/>
      <c r="EG50418"/>
      <c r="EH50418"/>
      <c r="EI50418"/>
      <c r="EJ50418"/>
      <c r="EK50418"/>
    </row>
    <row r="50419" spans="1:141" s="116" customFormat="1">
      <c r="A50419" s="136"/>
      <c r="CM50419" s="111"/>
      <c r="CQ50419" s="111"/>
      <c r="EF50419"/>
      <c r="EG50419"/>
      <c r="EH50419"/>
      <c r="EI50419"/>
      <c r="EJ50419"/>
      <c r="EK50419"/>
    </row>
    <row r="50420" spans="1:141" s="116" customFormat="1">
      <c r="A50420" s="136"/>
      <c r="CM50420" s="111"/>
      <c r="CQ50420" s="111"/>
      <c r="EF50420"/>
      <c r="EG50420"/>
      <c r="EH50420"/>
      <c r="EI50420"/>
      <c r="EJ50420"/>
      <c r="EK50420"/>
    </row>
    <row r="50421" spans="1:141" s="116" customFormat="1">
      <c r="A50421" s="136"/>
      <c r="CM50421" s="111"/>
      <c r="CQ50421" s="111"/>
      <c r="EF50421"/>
      <c r="EG50421"/>
      <c r="EH50421"/>
      <c r="EI50421"/>
      <c r="EJ50421"/>
      <c r="EK50421"/>
    </row>
    <row r="50422" spans="1:141" s="116" customFormat="1">
      <c r="A50422" s="136"/>
      <c r="CM50422" s="111"/>
      <c r="CQ50422" s="111"/>
      <c r="EF50422"/>
      <c r="EG50422"/>
      <c r="EH50422"/>
      <c r="EI50422"/>
      <c r="EJ50422"/>
      <c r="EK50422"/>
    </row>
    <row r="50423" spans="1:141" s="116" customFormat="1">
      <c r="A50423" s="136"/>
      <c r="CM50423" s="111"/>
      <c r="CQ50423" s="111"/>
      <c r="EF50423"/>
      <c r="EG50423"/>
      <c r="EH50423"/>
      <c r="EI50423"/>
      <c r="EJ50423"/>
      <c r="EK50423"/>
    </row>
    <row r="50424" spans="1:141" s="116" customFormat="1">
      <c r="A50424" s="136"/>
      <c r="CM50424" s="111"/>
      <c r="CQ50424" s="111"/>
      <c r="EF50424"/>
      <c r="EG50424"/>
      <c r="EH50424"/>
      <c r="EI50424"/>
      <c r="EJ50424"/>
      <c r="EK50424"/>
    </row>
    <row r="50425" spans="1:141" s="116" customFormat="1">
      <c r="A50425" s="136"/>
      <c r="CM50425" s="111"/>
      <c r="CQ50425" s="111"/>
      <c r="EF50425"/>
      <c r="EG50425"/>
      <c r="EH50425"/>
      <c r="EI50425"/>
      <c r="EJ50425"/>
      <c r="EK50425"/>
    </row>
    <row r="50426" spans="1:141" s="116" customFormat="1">
      <c r="A50426" s="136"/>
      <c r="CM50426" s="111"/>
      <c r="CQ50426" s="111"/>
      <c r="EF50426"/>
      <c r="EG50426"/>
      <c r="EH50426"/>
      <c r="EI50426"/>
      <c r="EJ50426"/>
      <c r="EK50426"/>
    </row>
    <row r="50427" spans="1:141" s="116" customFormat="1">
      <c r="A50427" s="136"/>
      <c r="CM50427" s="111"/>
      <c r="CQ50427" s="111"/>
      <c r="EF50427"/>
      <c r="EG50427"/>
      <c r="EH50427"/>
      <c r="EI50427"/>
      <c r="EJ50427"/>
      <c r="EK50427"/>
    </row>
    <row r="50428" spans="1:141" s="116" customFormat="1">
      <c r="A50428" s="136"/>
      <c r="CM50428" s="111"/>
      <c r="CQ50428" s="111"/>
      <c r="EF50428"/>
      <c r="EG50428"/>
      <c r="EH50428"/>
      <c r="EI50428"/>
      <c r="EJ50428"/>
      <c r="EK50428"/>
    </row>
    <row r="50429" spans="1:141" s="116" customFormat="1">
      <c r="A50429" s="136"/>
      <c r="CM50429" s="111"/>
      <c r="CQ50429" s="111"/>
      <c r="EF50429"/>
      <c r="EG50429"/>
      <c r="EH50429"/>
      <c r="EI50429"/>
      <c r="EJ50429"/>
      <c r="EK50429"/>
    </row>
    <row r="50430" spans="1:141" s="116" customFormat="1">
      <c r="A50430" s="136"/>
      <c r="CM50430" s="111"/>
      <c r="CQ50430" s="111"/>
      <c r="EF50430"/>
      <c r="EG50430"/>
      <c r="EH50430"/>
      <c r="EI50430"/>
      <c r="EJ50430"/>
      <c r="EK50430"/>
    </row>
    <row r="50431" spans="1:141" s="116" customFormat="1">
      <c r="A50431" s="136"/>
      <c r="CM50431" s="111"/>
      <c r="CQ50431" s="111"/>
      <c r="EF50431"/>
      <c r="EG50431"/>
      <c r="EH50431"/>
      <c r="EI50431"/>
      <c r="EJ50431"/>
      <c r="EK50431"/>
    </row>
    <row r="50432" spans="1:141" s="116" customFormat="1">
      <c r="A50432" s="136"/>
      <c r="CM50432" s="111"/>
      <c r="CQ50432" s="111"/>
      <c r="EF50432"/>
      <c r="EG50432"/>
      <c r="EH50432"/>
      <c r="EI50432"/>
      <c r="EJ50432"/>
      <c r="EK50432"/>
    </row>
    <row r="50433" spans="1:141" s="116" customFormat="1">
      <c r="A50433" s="136"/>
      <c r="CM50433" s="111"/>
      <c r="CQ50433" s="111"/>
      <c r="EF50433"/>
      <c r="EG50433"/>
      <c r="EH50433"/>
      <c r="EI50433"/>
      <c r="EJ50433"/>
      <c r="EK50433"/>
    </row>
    <row r="50434" spans="1:141" s="116" customFormat="1">
      <c r="A50434" s="136"/>
      <c r="CM50434" s="111"/>
      <c r="CQ50434" s="111"/>
      <c r="EF50434"/>
      <c r="EG50434"/>
      <c r="EH50434"/>
      <c r="EI50434"/>
      <c r="EJ50434"/>
      <c r="EK50434"/>
    </row>
    <row r="50435" spans="1:141" s="116" customFormat="1">
      <c r="A50435" s="136"/>
      <c r="CM50435" s="111"/>
      <c r="CQ50435" s="111"/>
      <c r="EF50435"/>
      <c r="EG50435"/>
      <c r="EH50435"/>
      <c r="EI50435"/>
      <c r="EJ50435"/>
      <c r="EK50435"/>
    </row>
    <row r="50436" spans="1:141" s="116" customFormat="1">
      <c r="A50436" s="136"/>
      <c r="CM50436" s="111"/>
      <c r="CQ50436" s="111"/>
      <c r="EF50436"/>
      <c r="EG50436"/>
      <c r="EH50436"/>
      <c r="EI50436"/>
      <c r="EJ50436"/>
      <c r="EK50436"/>
    </row>
    <row r="50437" spans="1:141" s="116" customFormat="1">
      <c r="A50437" s="136"/>
      <c r="CM50437" s="111"/>
      <c r="CQ50437" s="111"/>
      <c r="EF50437"/>
      <c r="EG50437"/>
      <c r="EH50437"/>
      <c r="EI50437"/>
      <c r="EJ50437"/>
      <c r="EK50437"/>
    </row>
    <row r="50438" spans="1:141" s="116" customFormat="1">
      <c r="A50438" s="136"/>
      <c r="CM50438" s="111"/>
      <c r="CQ50438" s="111"/>
      <c r="EF50438"/>
      <c r="EG50438"/>
      <c r="EH50438"/>
      <c r="EI50438"/>
      <c r="EJ50438"/>
      <c r="EK50438"/>
    </row>
    <row r="50439" spans="1:141" s="116" customFormat="1">
      <c r="A50439" s="136"/>
      <c r="CM50439" s="111"/>
      <c r="CQ50439" s="111"/>
      <c r="EF50439"/>
      <c r="EG50439"/>
      <c r="EH50439"/>
      <c r="EI50439"/>
      <c r="EJ50439"/>
      <c r="EK50439"/>
    </row>
    <row r="50440" spans="1:141" s="116" customFormat="1">
      <c r="A50440" s="136"/>
      <c r="CM50440" s="111"/>
      <c r="CQ50440" s="111"/>
      <c r="EF50440"/>
      <c r="EG50440"/>
      <c r="EH50440"/>
      <c r="EI50440"/>
      <c r="EJ50440"/>
      <c r="EK50440"/>
    </row>
    <row r="50441" spans="1:141" s="116" customFormat="1">
      <c r="A50441" s="136"/>
      <c r="CM50441" s="111"/>
      <c r="CQ50441" s="111"/>
      <c r="EF50441"/>
      <c r="EG50441"/>
      <c r="EH50441"/>
      <c r="EI50441"/>
      <c r="EJ50441"/>
      <c r="EK50441"/>
    </row>
    <row r="50442" spans="1:141" s="116" customFormat="1">
      <c r="A50442" s="136"/>
      <c r="CM50442" s="111"/>
      <c r="CQ50442" s="111"/>
      <c r="EF50442"/>
      <c r="EG50442"/>
      <c r="EH50442"/>
      <c r="EI50442"/>
      <c r="EJ50442"/>
      <c r="EK50442"/>
    </row>
    <row r="50443" spans="1:141" s="116" customFormat="1">
      <c r="A50443" s="136"/>
      <c r="CM50443" s="111"/>
      <c r="CQ50443" s="111"/>
      <c r="EF50443"/>
      <c r="EG50443"/>
      <c r="EH50443"/>
      <c r="EI50443"/>
      <c r="EJ50443"/>
      <c r="EK50443"/>
    </row>
    <row r="50444" spans="1:141" s="116" customFormat="1">
      <c r="A50444" s="136"/>
      <c r="CM50444" s="111"/>
      <c r="CQ50444" s="111"/>
      <c r="EF50444"/>
      <c r="EG50444"/>
      <c r="EH50444"/>
      <c r="EI50444"/>
      <c r="EJ50444"/>
      <c r="EK50444"/>
    </row>
    <row r="50445" spans="1:141" s="116" customFormat="1">
      <c r="A50445" s="136"/>
      <c r="CM50445" s="111"/>
      <c r="CQ50445" s="111"/>
      <c r="EF50445"/>
      <c r="EG50445"/>
      <c r="EH50445"/>
      <c r="EI50445"/>
      <c r="EJ50445"/>
      <c r="EK50445"/>
    </row>
    <row r="50446" spans="1:141" s="116" customFormat="1">
      <c r="A50446" s="136"/>
      <c r="CM50446" s="111"/>
      <c r="CQ50446" s="111"/>
      <c r="EF50446"/>
      <c r="EG50446"/>
      <c r="EH50446"/>
      <c r="EI50446"/>
      <c r="EJ50446"/>
      <c r="EK50446"/>
    </row>
    <row r="50447" spans="1:141" s="116" customFormat="1">
      <c r="A50447" s="136"/>
      <c r="CM50447" s="111"/>
      <c r="CQ50447" s="111"/>
      <c r="EF50447"/>
      <c r="EG50447"/>
      <c r="EH50447"/>
      <c r="EI50447"/>
      <c r="EJ50447"/>
      <c r="EK50447"/>
    </row>
    <row r="50448" spans="1:141" s="116" customFormat="1">
      <c r="A50448" s="136"/>
      <c r="CM50448" s="111"/>
      <c r="CQ50448" s="111"/>
      <c r="EF50448"/>
      <c r="EG50448"/>
      <c r="EH50448"/>
      <c r="EI50448"/>
      <c r="EJ50448"/>
      <c r="EK50448"/>
    </row>
    <row r="50449" spans="1:141" s="116" customFormat="1">
      <c r="A50449" s="136"/>
      <c r="CM50449" s="111"/>
      <c r="CQ50449" s="111"/>
      <c r="EF50449"/>
      <c r="EG50449"/>
      <c r="EH50449"/>
      <c r="EI50449"/>
      <c r="EJ50449"/>
      <c r="EK50449"/>
    </row>
    <row r="50450" spans="1:141" s="116" customFormat="1">
      <c r="A50450" s="136"/>
      <c r="CM50450" s="111"/>
      <c r="CQ50450" s="111"/>
      <c r="EF50450"/>
      <c r="EG50450"/>
      <c r="EH50450"/>
      <c r="EI50450"/>
      <c r="EJ50450"/>
      <c r="EK50450"/>
    </row>
    <row r="50451" spans="1:141" s="116" customFormat="1">
      <c r="A50451" s="136"/>
      <c r="CM50451" s="111"/>
      <c r="CQ50451" s="111"/>
      <c r="EF50451"/>
      <c r="EG50451"/>
      <c r="EH50451"/>
      <c r="EI50451"/>
      <c r="EJ50451"/>
      <c r="EK50451"/>
    </row>
    <row r="50452" spans="1:141" s="116" customFormat="1">
      <c r="A50452" s="136"/>
      <c r="CM50452" s="111"/>
      <c r="CQ50452" s="111"/>
      <c r="EF50452"/>
      <c r="EG50452"/>
      <c r="EH50452"/>
      <c r="EI50452"/>
      <c r="EJ50452"/>
      <c r="EK50452"/>
    </row>
    <row r="50453" spans="1:141" s="116" customFormat="1">
      <c r="A50453" s="136"/>
      <c r="CM50453" s="111"/>
      <c r="CQ50453" s="111"/>
      <c r="EF50453"/>
      <c r="EG50453"/>
      <c r="EH50453"/>
      <c r="EI50453"/>
      <c r="EJ50453"/>
      <c r="EK50453"/>
    </row>
    <row r="50454" spans="1:141" s="116" customFormat="1">
      <c r="A50454" s="136"/>
      <c r="CM50454" s="111"/>
      <c r="CQ50454" s="111"/>
      <c r="EF50454"/>
      <c r="EG50454"/>
      <c r="EH50454"/>
      <c r="EI50454"/>
      <c r="EJ50454"/>
      <c r="EK50454"/>
    </row>
    <row r="50455" spans="1:141" s="116" customFormat="1">
      <c r="A50455" s="136"/>
      <c r="CM50455" s="111"/>
      <c r="CQ50455" s="111"/>
      <c r="EF50455"/>
      <c r="EG50455"/>
      <c r="EH50455"/>
      <c r="EI50455"/>
      <c r="EJ50455"/>
      <c r="EK50455"/>
    </row>
    <row r="50456" spans="1:141" s="116" customFormat="1">
      <c r="A50456" s="136"/>
      <c r="CM50456" s="111"/>
      <c r="CQ50456" s="111"/>
      <c r="EF50456"/>
      <c r="EG50456"/>
      <c r="EH50456"/>
      <c r="EI50456"/>
      <c r="EJ50456"/>
      <c r="EK50456"/>
    </row>
    <row r="50457" spans="1:141" s="116" customFormat="1">
      <c r="A50457" s="136"/>
      <c r="CM50457" s="111"/>
      <c r="CQ50457" s="111"/>
      <c r="EF50457"/>
      <c r="EG50457"/>
      <c r="EH50457"/>
      <c r="EI50457"/>
      <c r="EJ50457"/>
      <c r="EK50457"/>
    </row>
    <row r="50458" spans="1:141" s="116" customFormat="1">
      <c r="A50458" s="136"/>
      <c r="CM50458" s="111"/>
      <c r="CQ50458" s="111"/>
      <c r="EF50458"/>
      <c r="EG50458"/>
      <c r="EH50458"/>
      <c r="EI50458"/>
      <c r="EJ50458"/>
      <c r="EK50458"/>
    </row>
    <row r="50459" spans="1:141" s="116" customFormat="1">
      <c r="A50459" s="136"/>
      <c r="CM50459" s="111"/>
      <c r="CQ50459" s="111"/>
      <c r="EF50459"/>
      <c r="EG50459"/>
      <c r="EH50459"/>
      <c r="EI50459"/>
      <c r="EJ50459"/>
      <c r="EK50459"/>
    </row>
    <row r="50460" spans="1:141" s="116" customFormat="1">
      <c r="A50460" s="136"/>
      <c r="CM50460" s="111"/>
      <c r="CQ50460" s="111"/>
      <c r="EF50460"/>
      <c r="EG50460"/>
      <c r="EH50460"/>
      <c r="EI50460"/>
      <c r="EJ50460"/>
      <c r="EK50460"/>
    </row>
    <row r="50461" spans="1:141" s="116" customFormat="1">
      <c r="A50461" s="136"/>
      <c r="CM50461" s="111"/>
      <c r="CQ50461" s="111"/>
      <c r="EF50461"/>
      <c r="EG50461"/>
      <c r="EH50461"/>
      <c r="EI50461"/>
      <c r="EJ50461"/>
      <c r="EK50461"/>
    </row>
    <row r="50462" spans="1:141" s="116" customFormat="1">
      <c r="A50462" s="136"/>
      <c r="CM50462" s="111"/>
      <c r="CQ50462" s="111"/>
      <c r="EF50462"/>
      <c r="EG50462"/>
      <c r="EH50462"/>
      <c r="EI50462"/>
      <c r="EJ50462"/>
      <c r="EK50462"/>
    </row>
    <row r="50463" spans="1:141" s="116" customFormat="1">
      <c r="A50463" s="136"/>
      <c r="CM50463" s="111"/>
      <c r="CQ50463" s="111"/>
      <c r="EF50463"/>
      <c r="EG50463"/>
      <c r="EH50463"/>
      <c r="EI50463"/>
      <c r="EJ50463"/>
      <c r="EK50463"/>
    </row>
    <row r="50464" spans="1:141" s="116" customFormat="1">
      <c r="A50464" s="136"/>
      <c r="CM50464" s="111"/>
      <c r="CQ50464" s="111"/>
      <c r="EF50464"/>
      <c r="EG50464"/>
      <c r="EH50464"/>
      <c r="EI50464"/>
      <c r="EJ50464"/>
      <c r="EK50464"/>
    </row>
    <row r="50465" spans="1:141" s="116" customFormat="1">
      <c r="A50465" s="136"/>
      <c r="CM50465" s="111"/>
      <c r="CQ50465" s="111"/>
      <c r="EF50465"/>
      <c r="EG50465"/>
      <c r="EH50465"/>
      <c r="EI50465"/>
      <c r="EJ50465"/>
      <c r="EK50465"/>
    </row>
    <row r="50466" spans="1:141" s="116" customFormat="1">
      <c r="A50466" s="136"/>
      <c r="CM50466" s="111"/>
      <c r="CQ50466" s="111"/>
      <c r="EF50466"/>
      <c r="EG50466"/>
      <c r="EH50466"/>
      <c r="EI50466"/>
      <c r="EJ50466"/>
      <c r="EK50466"/>
    </row>
    <row r="50467" spans="1:141" s="116" customFormat="1">
      <c r="A50467" s="136"/>
      <c r="CM50467" s="111"/>
      <c r="CQ50467" s="111"/>
      <c r="EF50467"/>
      <c r="EG50467"/>
      <c r="EH50467"/>
      <c r="EI50467"/>
      <c r="EJ50467"/>
      <c r="EK50467"/>
    </row>
    <row r="50468" spans="1:141" s="116" customFormat="1">
      <c r="A50468" s="136"/>
      <c r="CM50468" s="111"/>
      <c r="CQ50468" s="111"/>
      <c r="EF50468"/>
      <c r="EG50468"/>
      <c r="EH50468"/>
      <c r="EI50468"/>
      <c r="EJ50468"/>
      <c r="EK50468"/>
    </row>
    <row r="50469" spans="1:141" s="116" customFormat="1">
      <c r="A50469" s="136"/>
      <c r="CM50469" s="111"/>
      <c r="CQ50469" s="111"/>
      <c r="EF50469"/>
      <c r="EG50469"/>
      <c r="EH50469"/>
      <c r="EI50469"/>
      <c r="EJ50469"/>
      <c r="EK50469"/>
    </row>
    <row r="50470" spans="1:141" s="116" customFormat="1">
      <c r="A50470" s="136"/>
      <c r="CM50470" s="111"/>
      <c r="CQ50470" s="111"/>
      <c r="EF50470"/>
      <c r="EG50470"/>
      <c r="EH50470"/>
      <c r="EI50470"/>
      <c r="EJ50470"/>
      <c r="EK50470"/>
    </row>
    <row r="50471" spans="1:141" s="116" customFormat="1">
      <c r="A50471" s="136"/>
      <c r="CM50471" s="111"/>
      <c r="CQ50471" s="111"/>
      <c r="EF50471"/>
      <c r="EG50471"/>
      <c r="EH50471"/>
      <c r="EI50471"/>
      <c r="EJ50471"/>
      <c r="EK50471"/>
    </row>
    <row r="50472" spans="1:141" s="116" customFormat="1">
      <c r="A50472" s="136"/>
      <c r="CM50472" s="111"/>
      <c r="CQ50472" s="111"/>
      <c r="EF50472"/>
      <c r="EG50472"/>
      <c r="EH50472"/>
      <c r="EI50472"/>
      <c r="EJ50472"/>
      <c r="EK50472"/>
    </row>
    <row r="50473" spans="1:141" s="116" customFormat="1">
      <c r="A50473" s="136"/>
      <c r="CM50473" s="111"/>
      <c r="CQ50473" s="111"/>
      <c r="EF50473"/>
      <c r="EG50473"/>
      <c r="EH50473"/>
      <c r="EI50473"/>
      <c r="EJ50473"/>
      <c r="EK50473"/>
    </row>
    <row r="50474" spans="1:141" s="116" customFormat="1">
      <c r="A50474" s="136"/>
      <c r="CM50474" s="111"/>
      <c r="CQ50474" s="111"/>
      <c r="EF50474"/>
      <c r="EG50474"/>
      <c r="EH50474"/>
      <c r="EI50474"/>
      <c r="EJ50474"/>
      <c r="EK50474"/>
    </row>
    <row r="50475" spans="1:141" s="116" customFormat="1">
      <c r="A50475" s="136"/>
      <c r="CM50475" s="111"/>
      <c r="CQ50475" s="111"/>
      <c r="EF50475"/>
      <c r="EG50475"/>
      <c r="EH50475"/>
      <c r="EI50475"/>
      <c r="EJ50475"/>
      <c r="EK50475"/>
    </row>
    <row r="50476" spans="1:141" s="116" customFormat="1">
      <c r="A50476" s="136"/>
      <c r="CM50476" s="111"/>
      <c r="CQ50476" s="111"/>
      <c r="EF50476"/>
      <c r="EG50476"/>
      <c r="EH50476"/>
      <c r="EI50476"/>
      <c r="EJ50476"/>
      <c r="EK50476"/>
    </row>
    <row r="50477" spans="1:141" s="116" customFormat="1">
      <c r="A50477" s="136"/>
      <c r="CM50477" s="111"/>
      <c r="CQ50477" s="111"/>
      <c r="EF50477"/>
      <c r="EG50477"/>
      <c r="EH50477"/>
      <c r="EI50477"/>
      <c r="EJ50477"/>
      <c r="EK50477"/>
    </row>
    <row r="50478" spans="1:141" s="116" customFormat="1">
      <c r="A50478" s="136"/>
      <c r="CM50478" s="111"/>
      <c r="CQ50478" s="111"/>
      <c r="EF50478"/>
      <c r="EG50478"/>
      <c r="EH50478"/>
      <c r="EI50478"/>
      <c r="EJ50478"/>
      <c r="EK50478"/>
    </row>
    <row r="50479" spans="1:141" s="116" customFormat="1">
      <c r="A50479" s="136"/>
      <c r="CM50479" s="111"/>
      <c r="CQ50479" s="111"/>
      <c r="EF50479"/>
      <c r="EG50479"/>
      <c r="EH50479"/>
      <c r="EI50479"/>
      <c r="EJ50479"/>
      <c r="EK50479"/>
    </row>
    <row r="50480" spans="1:141" s="116" customFormat="1">
      <c r="A50480" s="136"/>
      <c r="CM50480" s="111"/>
      <c r="CQ50480" s="111"/>
      <c r="EF50480"/>
      <c r="EG50480"/>
      <c r="EH50480"/>
      <c r="EI50480"/>
      <c r="EJ50480"/>
      <c r="EK50480"/>
    </row>
    <row r="50481" spans="1:141" s="116" customFormat="1">
      <c r="A50481" s="136"/>
      <c r="CM50481" s="111"/>
      <c r="CQ50481" s="111"/>
      <c r="EF50481"/>
      <c r="EG50481"/>
      <c r="EH50481"/>
      <c r="EI50481"/>
      <c r="EJ50481"/>
      <c r="EK50481"/>
    </row>
    <row r="50482" spans="1:141" s="116" customFormat="1">
      <c r="A50482" s="136"/>
      <c r="CM50482" s="111"/>
      <c r="CQ50482" s="111"/>
      <c r="EF50482"/>
      <c r="EG50482"/>
      <c r="EH50482"/>
      <c r="EI50482"/>
      <c r="EJ50482"/>
      <c r="EK50482"/>
    </row>
    <row r="50483" spans="1:141" s="116" customFormat="1">
      <c r="A50483" s="136"/>
      <c r="CM50483" s="111"/>
      <c r="CQ50483" s="111"/>
      <c r="EF50483"/>
      <c r="EG50483"/>
      <c r="EH50483"/>
      <c r="EI50483"/>
      <c r="EJ50483"/>
      <c r="EK50483"/>
    </row>
    <row r="50484" spans="1:141" s="116" customFormat="1">
      <c r="A50484" s="136"/>
      <c r="CM50484" s="111"/>
      <c r="CQ50484" s="111"/>
      <c r="EF50484"/>
      <c r="EG50484"/>
      <c r="EH50484"/>
      <c r="EI50484"/>
      <c r="EJ50484"/>
      <c r="EK50484"/>
    </row>
    <row r="50485" spans="1:141" s="116" customFormat="1">
      <c r="A50485" s="136"/>
      <c r="CM50485" s="111"/>
      <c r="CQ50485" s="111"/>
      <c r="EF50485"/>
      <c r="EG50485"/>
      <c r="EH50485"/>
      <c r="EI50485"/>
      <c r="EJ50485"/>
      <c r="EK50485"/>
    </row>
    <row r="50486" spans="1:141" s="116" customFormat="1">
      <c r="A50486" s="136"/>
      <c r="CM50486" s="111"/>
      <c r="CQ50486" s="111"/>
      <c r="EF50486"/>
      <c r="EG50486"/>
      <c r="EH50486"/>
      <c r="EI50486"/>
      <c r="EJ50486"/>
      <c r="EK50486"/>
    </row>
    <row r="50487" spans="1:141" s="116" customFormat="1">
      <c r="A50487" s="136"/>
      <c r="CM50487" s="111"/>
      <c r="CQ50487" s="111"/>
      <c r="EF50487"/>
      <c r="EG50487"/>
      <c r="EH50487"/>
      <c r="EI50487"/>
      <c r="EJ50487"/>
      <c r="EK50487"/>
    </row>
    <row r="50488" spans="1:141" s="116" customFormat="1">
      <c r="A50488" s="136"/>
      <c r="CM50488" s="111"/>
      <c r="CQ50488" s="111"/>
      <c r="EF50488"/>
      <c r="EG50488"/>
      <c r="EH50488"/>
      <c r="EI50488"/>
      <c r="EJ50488"/>
      <c r="EK50488"/>
    </row>
    <row r="50489" spans="1:141" s="116" customFormat="1">
      <c r="A50489" s="136"/>
      <c r="CM50489" s="111"/>
      <c r="CQ50489" s="111"/>
      <c r="EF50489"/>
      <c r="EG50489"/>
      <c r="EH50489"/>
      <c r="EI50489"/>
      <c r="EJ50489"/>
      <c r="EK50489"/>
    </row>
    <row r="50490" spans="1:141" s="116" customFormat="1">
      <c r="A50490" s="136"/>
      <c r="CM50490" s="111"/>
      <c r="CQ50490" s="111"/>
      <c r="EF50490"/>
      <c r="EG50490"/>
      <c r="EH50490"/>
      <c r="EI50490"/>
      <c r="EJ50490"/>
      <c r="EK50490"/>
    </row>
    <row r="50491" spans="1:141" s="116" customFormat="1">
      <c r="A50491" s="136"/>
      <c r="CM50491" s="111"/>
      <c r="CQ50491" s="111"/>
      <c r="EF50491"/>
      <c r="EG50491"/>
      <c r="EH50491"/>
      <c r="EI50491"/>
      <c r="EJ50491"/>
      <c r="EK50491"/>
    </row>
    <row r="50492" spans="1:141" s="116" customFormat="1">
      <c r="A50492" s="136"/>
      <c r="CM50492" s="111"/>
      <c r="CQ50492" s="111"/>
      <c r="EF50492"/>
      <c r="EG50492"/>
      <c r="EH50492"/>
      <c r="EI50492"/>
      <c r="EJ50492"/>
      <c r="EK50492"/>
    </row>
    <row r="50493" spans="1:141" s="116" customFormat="1">
      <c r="A50493" s="136"/>
      <c r="CM50493" s="111"/>
      <c r="CQ50493" s="111"/>
      <c r="EF50493"/>
      <c r="EG50493"/>
      <c r="EH50493"/>
      <c r="EI50493"/>
      <c r="EJ50493"/>
      <c r="EK50493"/>
    </row>
    <row r="50494" spans="1:141" s="116" customFormat="1">
      <c r="A50494" s="136"/>
      <c r="CM50494" s="111"/>
      <c r="CQ50494" s="111"/>
      <c r="EF50494"/>
      <c r="EG50494"/>
      <c r="EH50494"/>
      <c r="EI50494"/>
      <c r="EJ50494"/>
      <c r="EK50494"/>
    </row>
    <row r="50495" spans="1:141" s="116" customFormat="1">
      <c r="A50495" s="136"/>
      <c r="CM50495" s="111"/>
      <c r="CQ50495" s="111"/>
      <c r="EF50495"/>
      <c r="EG50495"/>
      <c r="EH50495"/>
      <c r="EI50495"/>
      <c r="EJ50495"/>
      <c r="EK50495"/>
    </row>
    <row r="50496" spans="1:141" s="116" customFormat="1">
      <c r="A50496" s="136"/>
      <c r="CM50496" s="111"/>
      <c r="CQ50496" s="111"/>
      <c r="EF50496"/>
      <c r="EG50496"/>
      <c r="EH50496"/>
      <c r="EI50496"/>
      <c r="EJ50496"/>
      <c r="EK50496"/>
    </row>
    <row r="50497" spans="1:141" s="116" customFormat="1">
      <c r="A50497" s="136"/>
      <c r="CM50497" s="111"/>
      <c r="CQ50497" s="111"/>
      <c r="EF50497"/>
      <c r="EG50497"/>
      <c r="EH50497"/>
      <c r="EI50497"/>
      <c r="EJ50497"/>
      <c r="EK50497"/>
    </row>
    <row r="50498" spans="1:141" s="116" customFormat="1">
      <c r="A50498" s="136"/>
      <c r="CM50498" s="111"/>
      <c r="CQ50498" s="111"/>
      <c r="EF50498"/>
      <c r="EG50498"/>
      <c r="EH50498"/>
      <c r="EI50498"/>
      <c r="EJ50498"/>
      <c r="EK50498"/>
    </row>
    <row r="50499" spans="1:141" s="116" customFormat="1">
      <c r="A50499" s="136"/>
      <c r="CM50499" s="111"/>
      <c r="CQ50499" s="111"/>
      <c r="EF50499"/>
      <c r="EG50499"/>
      <c r="EH50499"/>
      <c r="EI50499"/>
      <c r="EJ50499"/>
      <c r="EK50499"/>
    </row>
    <row r="50500" spans="1:141" s="116" customFormat="1">
      <c r="A50500" s="136"/>
      <c r="CM50500" s="111"/>
      <c r="CQ50500" s="111"/>
      <c r="EF50500"/>
      <c r="EG50500"/>
      <c r="EH50500"/>
      <c r="EI50500"/>
      <c r="EJ50500"/>
      <c r="EK50500"/>
    </row>
    <row r="50501" spans="1:141" s="116" customFormat="1">
      <c r="A50501" s="136"/>
      <c r="CM50501" s="111"/>
      <c r="CQ50501" s="111"/>
      <c r="EF50501"/>
      <c r="EG50501"/>
      <c r="EH50501"/>
      <c r="EI50501"/>
      <c r="EJ50501"/>
      <c r="EK50501"/>
    </row>
    <row r="50502" spans="1:141" s="116" customFormat="1">
      <c r="A50502" s="136"/>
      <c r="CM50502" s="111"/>
      <c r="CQ50502" s="111"/>
      <c r="EF50502"/>
      <c r="EG50502"/>
      <c r="EH50502"/>
      <c r="EI50502"/>
      <c r="EJ50502"/>
      <c r="EK50502"/>
    </row>
    <row r="50503" spans="1:141" s="116" customFormat="1">
      <c r="A50503" s="136"/>
      <c r="CM50503" s="111"/>
      <c r="CQ50503" s="111"/>
      <c r="EF50503"/>
      <c r="EG50503"/>
      <c r="EH50503"/>
      <c r="EI50503"/>
      <c r="EJ50503"/>
      <c r="EK50503"/>
    </row>
    <row r="50504" spans="1:141" s="116" customFormat="1">
      <c r="A50504" s="136"/>
      <c r="CM50504" s="111"/>
      <c r="CQ50504" s="111"/>
      <c r="EF50504"/>
      <c r="EG50504"/>
      <c r="EH50504"/>
      <c r="EI50504"/>
      <c r="EJ50504"/>
      <c r="EK50504"/>
    </row>
    <row r="50505" spans="1:141" s="116" customFormat="1">
      <c r="A50505" s="136"/>
      <c r="CM50505" s="111"/>
      <c r="CQ50505" s="111"/>
      <c r="EF50505"/>
      <c r="EG50505"/>
      <c r="EH50505"/>
      <c r="EI50505"/>
      <c r="EJ50505"/>
      <c r="EK50505"/>
    </row>
    <row r="50506" spans="1:141" s="116" customFormat="1">
      <c r="A50506" s="136"/>
      <c r="CM50506" s="111"/>
      <c r="CQ50506" s="111"/>
      <c r="EF50506"/>
      <c r="EG50506"/>
      <c r="EH50506"/>
      <c r="EI50506"/>
      <c r="EJ50506"/>
      <c r="EK50506"/>
    </row>
    <row r="50507" spans="1:141" s="116" customFormat="1">
      <c r="A50507" s="136"/>
      <c r="CM50507" s="111"/>
      <c r="CQ50507" s="111"/>
      <c r="EF50507"/>
      <c r="EG50507"/>
      <c r="EH50507"/>
      <c r="EI50507"/>
      <c r="EJ50507"/>
      <c r="EK50507"/>
    </row>
    <row r="50508" spans="1:141" s="116" customFormat="1">
      <c r="A50508" s="136"/>
      <c r="CM50508" s="111"/>
      <c r="CQ50508" s="111"/>
      <c r="EF50508"/>
      <c r="EG50508"/>
      <c r="EH50508"/>
      <c r="EI50508"/>
      <c r="EJ50508"/>
      <c r="EK50508"/>
    </row>
    <row r="50509" spans="1:141" s="116" customFormat="1">
      <c r="A50509" s="136"/>
      <c r="CM50509" s="111"/>
      <c r="CQ50509" s="111"/>
      <c r="EF50509"/>
      <c r="EG50509"/>
      <c r="EH50509"/>
      <c r="EI50509"/>
      <c r="EJ50509"/>
      <c r="EK50509"/>
    </row>
    <row r="50510" spans="1:141" s="116" customFormat="1">
      <c r="A50510" s="136"/>
      <c r="CM50510" s="111"/>
      <c r="CQ50510" s="111"/>
      <c r="EF50510"/>
      <c r="EG50510"/>
      <c r="EH50510"/>
      <c r="EI50510"/>
      <c r="EJ50510"/>
      <c r="EK50510"/>
    </row>
    <row r="50511" spans="1:141" s="116" customFormat="1">
      <c r="A50511" s="136"/>
      <c r="CM50511" s="111"/>
      <c r="CQ50511" s="111"/>
      <c r="EF50511"/>
      <c r="EG50511"/>
      <c r="EH50511"/>
      <c r="EI50511"/>
      <c r="EJ50511"/>
      <c r="EK50511"/>
    </row>
    <row r="50512" spans="1:141" s="116" customFormat="1">
      <c r="A50512" s="136"/>
      <c r="CM50512" s="111"/>
      <c r="CQ50512" s="111"/>
      <c r="EF50512"/>
      <c r="EG50512"/>
      <c r="EH50512"/>
      <c r="EI50512"/>
      <c r="EJ50512"/>
      <c r="EK50512"/>
    </row>
    <row r="50513" spans="1:141" s="116" customFormat="1">
      <c r="A50513" s="136"/>
      <c r="CM50513" s="111"/>
      <c r="CQ50513" s="111"/>
      <c r="EF50513"/>
      <c r="EG50513"/>
      <c r="EH50513"/>
      <c r="EI50513"/>
      <c r="EJ50513"/>
      <c r="EK50513"/>
    </row>
    <row r="50514" spans="1:141" s="116" customFormat="1">
      <c r="A50514" s="136"/>
      <c r="CM50514" s="111"/>
      <c r="CQ50514" s="111"/>
      <c r="EF50514"/>
      <c r="EG50514"/>
      <c r="EH50514"/>
      <c r="EI50514"/>
      <c r="EJ50514"/>
      <c r="EK50514"/>
    </row>
    <row r="50515" spans="1:141" s="116" customFormat="1">
      <c r="A50515" s="136"/>
      <c r="CM50515" s="111"/>
      <c r="CQ50515" s="111"/>
      <c r="EF50515"/>
      <c r="EG50515"/>
      <c r="EH50515"/>
      <c r="EI50515"/>
      <c r="EJ50515"/>
      <c r="EK50515"/>
    </row>
    <row r="50516" spans="1:141" s="116" customFormat="1">
      <c r="A50516" s="136"/>
      <c r="CM50516" s="111"/>
      <c r="CQ50516" s="111"/>
      <c r="EF50516"/>
      <c r="EG50516"/>
      <c r="EH50516"/>
      <c r="EI50516"/>
      <c r="EJ50516"/>
      <c r="EK50516"/>
    </row>
    <row r="50517" spans="1:141" s="116" customFormat="1">
      <c r="A50517" s="136"/>
      <c r="CM50517" s="111"/>
      <c r="CQ50517" s="111"/>
      <c r="EF50517"/>
      <c r="EG50517"/>
      <c r="EH50517"/>
      <c r="EI50517"/>
      <c r="EJ50517"/>
      <c r="EK50517"/>
    </row>
    <row r="50518" spans="1:141" s="116" customFormat="1">
      <c r="A50518" s="136"/>
      <c r="CM50518" s="111"/>
      <c r="CQ50518" s="111"/>
      <c r="EF50518"/>
      <c r="EG50518"/>
      <c r="EH50518"/>
      <c r="EI50518"/>
      <c r="EJ50518"/>
      <c r="EK50518"/>
    </row>
    <row r="50519" spans="1:141" s="116" customFormat="1">
      <c r="A50519" s="136"/>
      <c r="CM50519" s="111"/>
      <c r="CQ50519" s="111"/>
      <c r="EF50519"/>
      <c r="EG50519"/>
      <c r="EH50519"/>
      <c r="EI50519"/>
      <c r="EJ50519"/>
      <c r="EK50519"/>
    </row>
    <row r="50520" spans="1:141" s="116" customFormat="1">
      <c r="A50520" s="136"/>
      <c r="CM50520" s="111"/>
      <c r="CQ50520" s="111"/>
      <c r="EF50520"/>
      <c r="EG50520"/>
      <c r="EH50520"/>
      <c r="EI50520"/>
      <c r="EJ50520"/>
      <c r="EK50520"/>
    </row>
    <row r="50521" spans="1:141" s="116" customFormat="1">
      <c r="A50521" s="136"/>
      <c r="CM50521" s="111"/>
      <c r="CQ50521" s="111"/>
      <c r="EF50521"/>
      <c r="EG50521"/>
      <c r="EH50521"/>
      <c r="EI50521"/>
      <c r="EJ50521"/>
      <c r="EK50521"/>
    </row>
    <row r="50522" spans="1:141" s="116" customFormat="1">
      <c r="A50522" s="136"/>
      <c r="CM50522" s="111"/>
      <c r="CQ50522" s="111"/>
      <c r="EF50522"/>
      <c r="EG50522"/>
      <c r="EH50522"/>
      <c r="EI50522"/>
      <c r="EJ50522"/>
      <c r="EK50522"/>
    </row>
    <row r="50523" spans="1:141" s="116" customFormat="1">
      <c r="A50523" s="136"/>
      <c r="CM50523" s="111"/>
      <c r="CQ50523" s="111"/>
      <c r="EF50523"/>
      <c r="EG50523"/>
      <c r="EH50523"/>
      <c r="EI50523"/>
      <c r="EJ50523"/>
      <c r="EK50523"/>
    </row>
    <row r="50524" spans="1:141" s="116" customFormat="1">
      <c r="A50524" s="136"/>
      <c r="CM50524" s="111"/>
      <c r="CQ50524" s="111"/>
      <c r="EF50524"/>
      <c r="EG50524"/>
      <c r="EH50524"/>
      <c r="EI50524"/>
      <c r="EJ50524"/>
      <c r="EK50524"/>
    </row>
    <row r="50525" spans="1:141" s="116" customFormat="1">
      <c r="A50525" s="136"/>
      <c r="CM50525" s="111"/>
      <c r="CQ50525" s="111"/>
      <c r="EF50525"/>
      <c r="EG50525"/>
      <c r="EH50525"/>
      <c r="EI50525"/>
      <c r="EJ50525"/>
      <c r="EK50525"/>
    </row>
    <row r="50526" spans="1:141" s="116" customFormat="1">
      <c r="A50526" s="136"/>
      <c r="CM50526" s="111"/>
      <c r="CQ50526" s="111"/>
      <c r="EF50526"/>
      <c r="EG50526"/>
      <c r="EH50526"/>
      <c r="EI50526"/>
      <c r="EJ50526"/>
      <c r="EK50526"/>
    </row>
    <row r="50527" spans="1:141" s="116" customFormat="1">
      <c r="A50527" s="136"/>
      <c r="CM50527" s="111"/>
      <c r="CQ50527" s="111"/>
      <c r="EF50527"/>
      <c r="EG50527"/>
      <c r="EH50527"/>
      <c r="EI50527"/>
      <c r="EJ50527"/>
      <c r="EK50527"/>
    </row>
    <row r="50528" spans="1:141" s="116" customFormat="1">
      <c r="A50528" s="136"/>
      <c r="CM50528" s="111"/>
      <c r="CQ50528" s="111"/>
      <c r="EF50528"/>
      <c r="EG50528"/>
      <c r="EH50528"/>
      <c r="EI50528"/>
      <c r="EJ50528"/>
      <c r="EK50528"/>
    </row>
    <row r="50529" spans="1:141" s="116" customFormat="1">
      <c r="A50529" s="136"/>
      <c r="CM50529" s="111"/>
      <c r="CQ50529" s="111"/>
      <c r="EF50529"/>
      <c r="EG50529"/>
      <c r="EH50529"/>
      <c r="EI50529"/>
      <c r="EJ50529"/>
      <c r="EK50529"/>
    </row>
    <row r="50530" spans="1:141" s="116" customFormat="1">
      <c r="A50530" s="136"/>
      <c r="CM50530" s="111"/>
      <c r="CQ50530" s="111"/>
      <c r="EF50530"/>
      <c r="EG50530"/>
      <c r="EH50530"/>
      <c r="EI50530"/>
      <c r="EJ50530"/>
      <c r="EK50530"/>
    </row>
    <row r="50531" spans="1:141" s="116" customFormat="1">
      <c r="A50531" s="136"/>
      <c r="CM50531" s="111"/>
      <c r="CQ50531" s="111"/>
      <c r="EF50531"/>
      <c r="EG50531"/>
      <c r="EH50531"/>
      <c r="EI50531"/>
      <c r="EJ50531"/>
      <c r="EK50531"/>
    </row>
    <row r="50532" spans="1:141" s="116" customFormat="1">
      <c r="A50532" s="136"/>
      <c r="CM50532" s="111"/>
      <c r="CQ50532" s="111"/>
      <c r="EF50532"/>
      <c r="EG50532"/>
      <c r="EH50532"/>
      <c r="EI50532"/>
      <c r="EJ50532"/>
      <c r="EK50532"/>
    </row>
    <row r="50533" spans="1:141" s="116" customFormat="1">
      <c r="A50533" s="136"/>
      <c r="CM50533" s="111"/>
      <c r="CQ50533" s="111"/>
      <c r="EF50533"/>
      <c r="EG50533"/>
      <c r="EH50533"/>
      <c r="EI50533"/>
      <c r="EJ50533"/>
      <c r="EK50533"/>
    </row>
    <row r="50534" spans="1:141" s="116" customFormat="1">
      <c r="A50534" s="136"/>
      <c r="CM50534" s="111"/>
      <c r="CQ50534" s="111"/>
      <c r="EF50534"/>
      <c r="EG50534"/>
      <c r="EH50534"/>
      <c r="EI50534"/>
      <c r="EJ50534"/>
      <c r="EK50534"/>
    </row>
    <row r="50535" spans="1:141" s="116" customFormat="1">
      <c r="A50535" s="136"/>
      <c r="CM50535" s="111"/>
      <c r="CQ50535" s="111"/>
      <c r="EF50535"/>
      <c r="EG50535"/>
      <c r="EH50535"/>
      <c r="EI50535"/>
      <c r="EJ50535"/>
      <c r="EK50535"/>
    </row>
    <row r="50536" spans="1:141" s="116" customFormat="1">
      <c r="A50536" s="136"/>
      <c r="CM50536" s="111"/>
      <c r="CQ50536" s="111"/>
      <c r="EF50536"/>
      <c r="EG50536"/>
      <c r="EH50536"/>
      <c r="EI50536"/>
      <c r="EJ50536"/>
      <c r="EK50536"/>
    </row>
    <row r="50537" spans="1:141" s="116" customFormat="1">
      <c r="A50537" s="136"/>
      <c r="CM50537" s="111"/>
      <c r="CQ50537" s="111"/>
      <c r="EF50537"/>
      <c r="EG50537"/>
      <c r="EH50537"/>
      <c r="EI50537"/>
      <c r="EJ50537"/>
      <c r="EK50537"/>
    </row>
    <row r="50538" spans="1:141" s="116" customFormat="1">
      <c r="A50538" s="136"/>
      <c r="CM50538" s="111"/>
      <c r="CQ50538" s="111"/>
      <c r="EF50538"/>
      <c r="EG50538"/>
      <c r="EH50538"/>
      <c r="EI50538"/>
      <c r="EJ50538"/>
      <c r="EK50538"/>
    </row>
    <row r="50539" spans="1:141" s="116" customFormat="1">
      <c r="A50539" s="136"/>
      <c r="CM50539" s="111"/>
      <c r="CQ50539" s="111"/>
      <c r="EF50539"/>
      <c r="EG50539"/>
      <c r="EH50539"/>
      <c r="EI50539"/>
      <c r="EJ50539"/>
      <c r="EK50539"/>
    </row>
    <row r="50540" spans="1:141" s="116" customFormat="1">
      <c r="A50540" s="136"/>
      <c r="CM50540" s="111"/>
      <c r="CQ50540" s="111"/>
      <c r="EF50540"/>
      <c r="EG50540"/>
      <c r="EH50540"/>
      <c r="EI50540"/>
      <c r="EJ50540"/>
      <c r="EK50540"/>
    </row>
    <row r="50541" spans="1:141" s="116" customFormat="1">
      <c r="A50541" s="136"/>
      <c r="CM50541" s="111"/>
      <c r="CQ50541" s="111"/>
      <c r="EF50541"/>
      <c r="EG50541"/>
      <c r="EH50541"/>
      <c r="EI50541"/>
      <c r="EJ50541"/>
      <c r="EK50541"/>
    </row>
    <row r="50542" spans="1:141" s="116" customFormat="1">
      <c r="A50542" s="136"/>
      <c r="CM50542" s="111"/>
      <c r="CQ50542" s="111"/>
      <c r="EF50542"/>
      <c r="EG50542"/>
      <c r="EH50542"/>
      <c r="EI50542"/>
      <c r="EJ50542"/>
      <c r="EK50542"/>
    </row>
    <row r="50543" spans="1:141" s="116" customFormat="1">
      <c r="A50543" s="136"/>
      <c r="CM50543" s="111"/>
      <c r="CQ50543" s="111"/>
      <c r="EF50543"/>
      <c r="EG50543"/>
      <c r="EH50543"/>
      <c r="EI50543"/>
      <c r="EJ50543"/>
      <c r="EK50543"/>
    </row>
    <row r="50544" spans="1:141" s="116" customFormat="1">
      <c r="A50544" s="136"/>
      <c r="CM50544" s="111"/>
      <c r="CQ50544" s="111"/>
      <c r="EF50544"/>
      <c r="EG50544"/>
      <c r="EH50544"/>
      <c r="EI50544"/>
      <c r="EJ50544"/>
      <c r="EK50544"/>
    </row>
    <row r="50545" spans="1:141" s="116" customFormat="1">
      <c r="A50545" s="136"/>
      <c r="CM50545" s="111"/>
      <c r="CQ50545" s="111"/>
      <c r="EF50545"/>
      <c r="EG50545"/>
      <c r="EH50545"/>
      <c r="EI50545"/>
      <c r="EJ50545"/>
      <c r="EK50545"/>
    </row>
    <row r="50546" spans="1:141" s="116" customFormat="1">
      <c r="A50546" s="136"/>
      <c r="CM50546" s="111"/>
      <c r="CQ50546" s="111"/>
      <c r="EF50546"/>
      <c r="EG50546"/>
      <c r="EH50546"/>
      <c r="EI50546"/>
      <c r="EJ50546"/>
      <c r="EK50546"/>
    </row>
    <row r="50547" spans="1:141" s="116" customFormat="1">
      <c r="A50547" s="136"/>
      <c r="CM50547" s="111"/>
      <c r="CQ50547" s="111"/>
      <c r="EF50547"/>
      <c r="EG50547"/>
      <c r="EH50547"/>
      <c r="EI50547"/>
      <c r="EJ50547"/>
      <c r="EK50547"/>
    </row>
    <row r="50548" spans="1:141" s="116" customFormat="1">
      <c r="A50548" s="136"/>
      <c r="CM50548" s="111"/>
      <c r="CQ50548" s="111"/>
      <c r="EF50548"/>
      <c r="EG50548"/>
      <c r="EH50548"/>
      <c r="EI50548"/>
      <c r="EJ50548"/>
      <c r="EK50548"/>
    </row>
    <row r="50549" spans="1:141" s="116" customFormat="1">
      <c r="A50549" s="136"/>
      <c r="CM50549" s="111"/>
      <c r="CQ50549" s="111"/>
      <c r="EF50549"/>
      <c r="EG50549"/>
      <c r="EH50549"/>
      <c r="EI50549"/>
      <c r="EJ50549"/>
      <c r="EK50549"/>
    </row>
    <row r="50550" spans="1:141" s="116" customFormat="1">
      <c r="A50550" s="136"/>
      <c r="CM50550" s="111"/>
      <c r="CQ50550" s="111"/>
      <c r="EF50550"/>
      <c r="EG50550"/>
      <c r="EH50550"/>
      <c r="EI50550"/>
      <c r="EJ50550"/>
      <c r="EK50550"/>
    </row>
    <row r="50551" spans="1:141" s="116" customFormat="1">
      <c r="A50551" s="136"/>
      <c r="CM50551" s="111"/>
      <c r="CQ50551" s="111"/>
      <c r="EF50551"/>
      <c r="EG50551"/>
      <c r="EH50551"/>
      <c r="EI50551"/>
      <c r="EJ50551"/>
      <c r="EK50551"/>
    </row>
    <row r="50552" spans="1:141" s="116" customFormat="1">
      <c r="A50552" s="136"/>
      <c r="CM50552" s="111"/>
      <c r="CQ50552" s="111"/>
      <c r="EF50552"/>
      <c r="EG50552"/>
      <c r="EH50552"/>
      <c r="EI50552"/>
      <c r="EJ50552"/>
      <c r="EK50552"/>
    </row>
    <row r="50553" spans="1:141" s="116" customFormat="1">
      <c r="A50553" s="136"/>
      <c r="CM50553" s="111"/>
      <c r="CQ50553" s="111"/>
      <c r="EF50553"/>
      <c r="EG50553"/>
      <c r="EH50553"/>
      <c r="EI50553"/>
      <c r="EJ50553"/>
      <c r="EK50553"/>
    </row>
    <row r="50554" spans="1:141" s="116" customFormat="1">
      <c r="A50554" s="136"/>
      <c r="CM50554" s="111"/>
      <c r="CQ50554" s="111"/>
      <c r="EF50554"/>
      <c r="EG50554"/>
      <c r="EH50554"/>
      <c r="EI50554"/>
      <c r="EJ50554"/>
      <c r="EK50554"/>
    </row>
    <row r="50555" spans="1:141" s="116" customFormat="1">
      <c r="A50555" s="136"/>
      <c r="CM50555" s="111"/>
      <c r="CQ50555" s="111"/>
      <c r="EF50555"/>
      <c r="EG50555"/>
      <c r="EH50555"/>
      <c r="EI50555"/>
      <c r="EJ50555"/>
      <c r="EK50555"/>
    </row>
    <row r="50556" spans="1:141" s="116" customFormat="1">
      <c r="A50556" s="136"/>
      <c r="CM50556" s="111"/>
      <c r="CQ50556" s="111"/>
      <c r="EF50556"/>
      <c r="EG50556"/>
      <c r="EH50556"/>
      <c r="EI50556"/>
      <c r="EJ50556"/>
      <c r="EK50556"/>
    </row>
    <row r="50557" spans="1:141" s="116" customFormat="1">
      <c r="A50557" s="136"/>
      <c r="CM50557" s="111"/>
      <c r="CQ50557" s="111"/>
      <c r="EF50557"/>
      <c r="EG50557"/>
      <c r="EH50557"/>
      <c r="EI50557"/>
      <c r="EJ50557"/>
      <c r="EK50557"/>
    </row>
    <row r="50558" spans="1:141" s="116" customFormat="1">
      <c r="A50558" s="136"/>
      <c r="CM50558" s="111"/>
      <c r="CQ50558" s="111"/>
      <c r="EF50558"/>
      <c r="EG50558"/>
      <c r="EH50558"/>
      <c r="EI50558"/>
      <c r="EJ50558"/>
      <c r="EK50558"/>
    </row>
    <row r="50559" spans="1:141" s="116" customFormat="1">
      <c r="A50559" s="136"/>
      <c r="CM50559" s="111"/>
      <c r="CQ50559" s="111"/>
      <c r="EF50559"/>
      <c r="EG50559"/>
      <c r="EH50559"/>
      <c r="EI50559"/>
      <c r="EJ50559"/>
      <c r="EK50559"/>
    </row>
    <row r="50560" spans="1:141" s="116" customFormat="1">
      <c r="A50560" s="136"/>
      <c r="CM50560" s="111"/>
      <c r="CQ50560" s="111"/>
      <c r="EF50560"/>
      <c r="EG50560"/>
      <c r="EH50560"/>
      <c r="EI50560"/>
      <c r="EJ50560"/>
      <c r="EK50560"/>
    </row>
    <row r="50561" spans="1:141" s="116" customFormat="1">
      <c r="A50561" s="136"/>
      <c r="CM50561" s="111"/>
      <c r="CQ50561" s="111"/>
      <c r="EF50561"/>
      <c r="EG50561"/>
      <c r="EH50561"/>
      <c r="EI50561"/>
      <c r="EJ50561"/>
      <c r="EK50561"/>
    </row>
    <row r="50562" spans="1:141" s="116" customFormat="1">
      <c r="A50562" s="136"/>
      <c r="CM50562" s="111"/>
      <c r="CQ50562" s="111"/>
      <c r="EF50562"/>
      <c r="EG50562"/>
      <c r="EH50562"/>
      <c r="EI50562"/>
      <c r="EJ50562"/>
      <c r="EK50562"/>
    </row>
    <row r="50563" spans="1:141" s="116" customFormat="1">
      <c r="A50563" s="136"/>
      <c r="CM50563" s="111"/>
      <c r="CQ50563" s="111"/>
      <c r="EF50563"/>
      <c r="EG50563"/>
      <c r="EH50563"/>
      <c r="EI50563"/>
      <c r="EJ50563"/>
      <c r="EK50563"/>
    </row>
    <row r="50564" spans="1:141" s="116" customFormat="1">
      <c r="A50564" s="136"/>
      <c r="CM50564" s="111"/>
      <c r="CQ50564" s="111"/>
      <c r="EF50564"/>
      <c r="EG50564"/>
      <c r="EH50564"/>
      <c r="EI50564"/>
      <c r="EJ50564"/>
      <c r="EK50564"/>
    </row>
    <row r="50565" spans="1:141" s="116" customFormat="1">
      <c r="A50565" s="136"/>
      <c r="CM50565" s="111"/>
      <c r="CQ50565" s="111"/>
      <c r="EF50565"/>
      <c r="EG50565"/>
      <c r="EH50565"/>
      <c r="EI50565"/>
      <c r="EJ50565"/>
      <c r="EK50565"/>
    </row>
    <row r="50566" spans="1:141" s="116" customFormat="1">
      <c r="A50566" s="136"/>
      <c r="CM50566" s="111"/>
      <c r="CQ50566" s="111"/>
      <c r="EF50566"/>
      <c r="EG50566"/>
      <c r="EH50566"/>
      <c r="EI50566"/>
      <c r="EJ50566"/>
      <c r="EK50566"/>
    </row>
    <row r="50567" spans="1:141" s="116" customFormat="1">
      <c r="A50567" s="136"/>
      <c r="CM50567" s="111"/>
      <c r="CQ50567" s="111"/>
      <c r="EF50567"/>
      <c r="EG50567"/>
      <c r="EH50567"/>
      <c r="EI50567"/>
      <c r="EJ50567"/>
      <c r="EK50567"/>
    </row>
    <row r="50568" spans="1:141" s="116" customFormat="1">
      <c r="A50568" s="136"/>
      <c r="CM50568" s="111"/>
      <c r="CQ50568" s="111"/>
      <c r="EF50568"/>
      <c r="EG50568"/>
      <c r="EH50568"/>
      <c r="EI50568"/>
      <c r="EJ50568"/>
      <c r="EK50568"/>
    </row>
    <row r="50569" spans="1:141" s="116" customFormat="1">
      <c r="A50569" s="136"/>
      <c r="CM50569" s="111"/>
      <c r="CQ50569" s="111"/>
      <c r="EF50569"/>
      <c r="EG50569"/>
      <c r="EH50569"/>
      <c r="EI50569"/>
      <c r="EJ50569"/>
      <c r="EK50569"/>
    </row>
    <row r="50570" spans="1:141" s="116" customFormat="1">
      <c r="A50570" s="136"/>
      <c r="CM50570" s="111"/>
      <c r="CQ50570" s="111"/>
      <c r="EF50570"/>
      <c r="EG50570"/>
      <c r="EH50570"/>
      <c r="EI50570"/>
      <c r="EJ50570"/>
      <c r="EK50570"/>
    </row>
    <row r="50571" spans="1:141" s="116" customFormat="1">
      <c r="A50571" s="136"/>
      <c r="CM50571" s="111"/>
      <c r="CQ50571" s="111"/>
      <c r="EF50571"/>
      <c r="EG50571"/>
      <c r="EH50571"/>
      <c r="EI50571"/>
      <c r="EJ50571"/>
      <c r="EK50571"/>
    </row>
    <row r="50572" spans="1:141" s="116" customFormat="1">
      <c r="A50572" s="136"/>
      <c r="CM50572" s="111"/>
      <c r="CQ50572" s="111"/>
      <c r="EF50572"/>
      <c r="EG50572"/>
      <c r="EH50572"/>
      <c r="EI50572"/>
      <c r="EJ50572"/>
      <c r="EK50572"/>
    </row>
    <row r="50573" spans="1:141" s="116" customFormat="1">
      <c r="A50573" s="136"/>
      <c r="CM50573" s="111"/>
      <c r="CQ50573" s="111"/>
      <c r="EF50573"/>
      <c r="EG50573"/>
      <c r="EH50573"/>
      <c r="EI50573"/>
      <c r="EJ50573"/>
      <c r="EK50573"/>
    </row>
    <row r="50574" spans="1:141" s="116" customFormat="1">
      <c r="A50574" s="136"/>
      <c r="CM50574" s="111"/>
      <c r="CQ50574" s="111"/>
      <c r="EF50574"/>
      <c r="EG50574"/>
      <c r="EH50574"/>
      <c r="EI50574"/>
      <c r="EJ50574"/>
      <c r="EK50574"/>
    </row>
    <row r="50575" spans="1:141" s="116" customFormat="1">
      <c r="A50575" s="136"/>
      <c r="CM50575" s="111"/>
      <c r="CQ50575" s="111"/>
      <c r="EF50575"/>
      <c r="EG50575"/>
      <c r="EH50575"/>
      <c r="EI50575"/>
      <c r="EJ50575"/>
      <c r="EK50575"/>
    </row>
    <row r="50576" spans="1:141" s="116" customFormat="1">
      <c r="A50576" s="136"/>
      <c r="CM50576" s="111"/>
      <c r="CQ50576" s="111"/>
      <c r="EF50576"/>
      <c r="EG50576"/>
      <c r="EH50576"/>
      <c r="EI50576"/>
      <c r="EJ50576"/>
      <c r="EK50576"/>
    </row>
    <row r="50577" spans="1:141" s="116" customFormat="1">
      <c r="A50577" s="136"/>
      <c r="CM50577" s="111"/>
      <c r="CQ50577" s="111"/>
      <c r="EF50577"/>
      <c r="EG50577"/>
      <c r="EH50577"/>
      <c r="EI50577"/>
      <c r="EJ50577"/>
      <c r="EK50577"/>
    </row>
    <row r="50578" spans="1:141" s="116" customFormat="1">
      <c r="A50578" s="136"/>
      <c r="CM50578" s="111"/>
      <c r="CQ50578" s="111"/>
      <c r="EF50578"/>
      <c r="EG50578"/>
      <c r="EH50578"/>
      <c r="EI50578"/>
      <c r="EJ50578"/>
      <c r="EK50578"/>
    </row>
    <row r="50579" spans="1:141" s="116" customFormat="1">
      <c r="A50579" s="136"/>
      <c r="CM50579" s="111"/>
      <c r="CQ50579" s="111"/>
      <c r="EF50579"/>
      <c r="EG50579"/>
      <c r="EH50579"/>
      <c r="EI50579"/>
      <c r="EJ50579"/>
      <c r="EK50579"/>
    </row>
    <row r="50580" spans="1:141" s="116" customFormat="1">
      <c r="A50580" s="136"/>
      <c r="CM50580" s="111"/>
      <c r="CQ50580" s="111"/>
      <c r="EF50580"/>
      <c r="EG50580"/>
      <c r="EH50580"/>
      <c r="EI50580"/>
      <c r="EJ50580"/>
      <c r="EK50580"/>
    </row>
    <row r="50581" spans="1:141" s="116" customFormat="1">
      <c r="A50581" s="136"/>
      <c r="CM50581" s="111"/>
      <c r="CQ50581" s="111"/>
      <c r="EF50581"/>
      <c r="EG50581"/>
      <c r="EH50581"/>
      <c r="EI50581"/>
      <c r="EJ50581"/>
      <c r="EK50581"/>
    </row>
    <row r="50582" spans="1:141" s="116" customFormat="1">
      <c r="A50582" s="136"/>
      <c r="CM50582" s="111"/>
      <c r="CQ50582" s="111"/>
      <c r="EF50582"/>
      <c r="EG50582"/>
      <c r="EH50582"/>
      <c r="EI50582"/>
      <c r="EJ50582"/>
      <c r="EK50582"/>
    </row>
    <row r="50583" spans="1:141" s="116" customFormat="1">
      <c r="A50583" s="136"/>
      <c r="CM50583" s="111"/>
      <c r="CQ50583" s="111"/>
      <c r="EF50583"/>
      <c r="EG50583"/>
      <c r="EH50583"/>
      <c r="EI50583"/>
      <c r="EJ50583"/>
      <c r="EK50583"/>
    </row>
    <row r="50584" spans="1:141" s="116" customFormat="1">
      <c r="A50584" s="136"/>
      <c r="CM50584" s="111"/>
      <c r="CQ50584" s="111"/>
      <c r="EF50584"/>
      <c r="EG50584"/>
      <c r="EH50584"/>
      <c r="EI50584"/>
      <c r="EJ50584"/>
      <c r="EK50584"/>
    </row>
    <row r="50585" spans="1:141" s="116" customFormat="1">
      <c r="A50585" s="136"/>
      <c r="CM50585" s="111"/>
      <c r="CQ50585" s="111"/>
      <c r="EF50585"/>
      <c r="EG50585"/>
      <c r="EH50585"/>
      <c r="EI50585"/>
      <c r="EJ50585"/>
      <c r="EK50585"/>
    </row>
    <row r="50586" spans="1:141" s="116" customFormat="1">
      <c r="A50586" s="136"/>
      <c r="CM50586" s="111"/>
      <c r="CQ50586" s="111"/>
      <c r="EF50586"/>
      <c r="EG50586"/>
      <c r="EH50586"/>
      <c r="EI50586"/>
      <c r="EJ50586"/>
      <c r="EK50586"/>
    </row>
    <row r="50587" spans="1:141" s="116" customFormat="1">
      <c r="A50587" s="136"/>
      <c r="CM50587" s="111"/>
      <c r="CQ50587" s="111"/>
      <c r="EF50587"/>
      <c r="EG50587"/>
      <c r="EH50587"/>
      <c r="EI50587"/>
      <c r="EJ50587"/>
      <c r="EK50587"/>
    </row>
    <row r="50588" spans="1:141" s="116" customFormat="1">
      <c r="A50588" s="136"/>
      <c r="CM50588" s="111"/>
      <c r="CQ50588" s="111"/>
      <c r="EF50588"/>
      <c r="EG50588"/>
      <c r="EH50588"/>
      <c r="EI50588"/>
      <c r="EJ50588"/>
      <c r="EK50588"/>
    </row>
    <row r="50589" spans="1:141" s="116" customFormat="1">
      <c r="A50589" s="136"/>
      <c r="CM50589" s="111"/>
      <c r="CQ50589" s="111"/>
      <c r="EF50589"/>
      <c r="EG50589"/>
      <c r="EH50589"/>
      <c r="EI50589"/>
      <c r="EJ50589"/>
      <c r="EK50589"/>
    </row>
    <row r="50590" spans="1:141" s="116" customFormat="1">
      <c r="A50590" s="136"/>
      <c r="CM50590" s="111"/>
      <c r="CQ50590" s="111"/>
      <c r="EF50590"/>
      <c r="EG50590"/>
      <c r="EH50590"/>
      <c r="EI50590"/>
      <c r="EJ50590"/>
      <c r="EK50590"/>
    </row>
    <row r="50591" spans="1:141" s="116" customFormat="1">
      <c r="A50591" s="136"/>
      <c r="CM50591" s="111"/>
      <c r="CQ50591" s="111"/>
      <c r="EF50591"/>
      <c r="EG50591"/>
      <c r="EH50591"/>
      <c r="EI50591"/>
      <c r="EJ50591"/>
      <c r="EK50591"/>
    </row>
    <row r="50592" spans="1:141" s="116" customFormat="1">
      <c r="A50592" s="136"/>
      <c r="CM50592" s="111"/>
      <c r="CQ50592" s="111"/>
      <c r="EF50592"/>
      <c r="EG50592"/>
      <c r="EH50592"/>
      <c r="EI50592"/>
      <c r="EJ50592"/>
      <c r="EK50592"/>
    </row>
    <row r="50593" spans="1:141" s="116" customFormat="1">
      <c r="A50593" s="136"/>
      <c r="CM50593" s="111"/>
      <c r="CQ50593" s="111"/>
      <c r="EF50593"/>
      <c r="EG50593"/>
      <c r="EH50593"/>
      <c r="EI50593"/>
      <c r="EJ50593"/>
      <c r="EK50593"/>
    </row>
    <row r="50594" spans="1:141" s="116" customFormat="1">
      <c r="A50594" s="136"/>
      <c r="CM50594" s="111"/>
      <c r="CQ50594" s="111"/>
      <c r="EF50594"/>
      <c r="EG50594"/>
      <c r="EH50594"/>
      <c r="EI50594"/>
      <c r="EJ50594"/>
      <c r="EK50594"/>
    </row>
    <row r="50595" spans="1:141" s="116" customFormat="1">
      <c r="A50595" s="136"/>
      <c r="CM50595" s="111"/>
      <c r="CQ50595" s="111"/>
      <c r="EF50595"/>
      <c r="EG50595"/>
      <c r="EH50595"/>
      <c r="EI50595"/>
      <c r="EJ50595"/>
      <c r="EK50595"/>
    </row>
    <row r="50596" spans="1:141" s="116" customFormat="1">
      <c r="A50596" s="136"/>
      <c r="CM50596" s="111"/>
      <c r="CQ50596" s="111"/>
      <c r="EF50596"/>
      <c r="EG50596"/>
      <c r="EH50596"/>
      <c r="EI50596"/>
      <c r="EJ50596"/>
      <c r="EK50596"/>
    </row>
    <row r="50597" spans="1:141" s="116" customFormat="1">
      <c r="A50597" s="136"/>
      <c r="CM50597" s="111"/>
      <c r="CQ50597" s="111"/>
      <c r="EF50597"/>
      <c r="EG50597"/>
      <c r="EH50597"/>
      <c r="EI50597"/>
      <c r="EJ50597"/>
      <c r="EK50597"/>
    </row>
    <row r="50598" spans="1:141" s="116" customFormat="1">
      <c r="A50598" s="136"/>
      <c r="CM50598" s="111"/>
      <c r="CQ50598" s="111"/>
      <c r="EF50598"/>
      <c r="EG50598"/>
      <c r="EH50598"/>
      <c r="EI50598"/>
      <c r="EJ50598"/>
      <c r="EK50598"/>
    </row>
    <row r="50599" spans="1:141" s="116" customFormat="1">
      <c r="A50599" s="136"/>
      <c r="CM50599" s="111"/>
      <c r="CQ50599" s="111"/>
      <c r="EF50599"/>
      <c r="EG50599"/>
      <c r="EH50599"/>
      <c r="EI50599"/>
      <c r="EJ50599"/>
      <c r="EK50599"/>
    </row>
    <row r="50600" spans="1:141" s="116" customFormat="1">
      <c r="A50600" s="136"/>
      <c r="CM50600" s="111"/>
      <c r="CQ50600" s="111"/>
      <c r="EF50600"/>
      <c r="EG50600"/>
      <c r="EH50600"/>
      <c r="EI50600"/>
      <c r="EJ50600"/>
      <c r="EK50600"/>
    </row>
    <row r="50601" spans="1:141" s="116" customFormat="1">
      <c r="A50601" s="136"/>
      <c r="CM50601" s="111"/>
      <c r="CQ50601" s="111"/>
      <c r="EF50601"/>
      <c r="EG50601"/>
      <c r="EH50601"/>
      <c r="EI50601"/>
      <c r="EJ50601"/>
      <c r="EK50601"/>
    </row>
    <row r="50602" spans="1:141" s="116" customFormat="1">
      <c r="A50602" s="136"/>
      <c r="CM50602" s="111"/>
      <c r="CQ50602" s="111"/>
      <c r="EF50602"/>
      <c r="EG50602"/>
      <c r="EH50602"/>
      <c r="EI50602"/>
      <c r="EJ50602"/>
      <c r="EK50602"/>
    </row>
    <row r="50603" spans="1:141" s="116" customFormat="1">
      <c r="A50603" s="136"/>
      <c r="CM50603" s="111"/>
      <c r="CQ50603" s="111"/>
      <c r="EF50603"/>
      <c r="EG50603"/>
      <c r="EH50603"/>
      <c r="EI50603"/>
      <c r="EJ50603"/>
      <c r="EK50603"/>
    </row>
    <row r="50604" spans="1:141" s="116" customFormat="1">
      <c r="A50604" s="136"/>
      <c r="CM50604" s="111"/>
      <c r="CQ50604" s="111"/>
      <c r="EF50604"/>
      <c r="EG50604"/>
      <c r="EH50604"/>
      <c r="EI50604"/>
      <c r="EJ50604"/>
      <c r="EK50604"/>
    </row>
    <row r="50605" spans="1:141" s="116" customFormat="1">
      <c r="A50605" s="136"/>
      <c r="CM50605" s="111"/>
      <c r="CQ50605" s="111"/>
      <c r="EF50605"/>
      <c r="EG50605"/>
      <c r="EH50605"/>
      <c r="EI50605"/>
      <c r="EJ50605"/>
      <c r="EK50605"/>
    </row>
    <row r="50606" spans="1:141" s="116" customFormat="1">
      <c r="A50606" s="136"/>
      <c r="CM50606" s="111"/>
      <c r="CQ50606" s="111"/>
      <c r="EF50606"/>
      <c r="EG50606"/>
      <c r="EH50606"/>
      <c r="EI50606"/>
      <c r="EJ50606"/>
      <c r="EK50606"/>
    </row>
    <row r="50607" spans="1:141" s="116" customFormat="1">
      <c r="A50607" s="136"/>
      <c r="CM50607" s="111"/>
      <c r="CQ50607" s="111"/>
      <c r="EF50607"/>
      <c r="EG50607"/>
      <c r="EH50607"/>
      <c r="EI50607"/>
      <c r="EJ50607"/>
      <c r="EK50607"/>
    </row>
    <row r="50608" spans="1:141" s="116" customFormat="1">
      <c r="A50608" s="136"/>
      <c r="CM50608" s="111"/>
      <c r="CQ50608" s="111"/>
      <c r="EF50608"/>
      <c r="EG50608"/>
      <c r="EH50608"/>
      <c r="EI50608"/>
      <c r="EJ50608"/>
      <c r="EK50608"/>
    </row>
    <row r="50609" spans="1:141" s="116" customFormat="1">
      <c r="A50609" s="136"/>
      <c r="CM50609" s="111"/>
      <c r="CQ50609" s="111"/>
      <c r="EF50609"/>
      <c r="EG50609"/>
      <c r="EH50609"/>
      <c r="EI50609"/>
      <c r="EJ50609"/>
      <c r="EK50609"/>
    </row>
    <row r="50610" spans="1:141" s="116" customFormat="1">
      <c r="A50610" s="136"/>
      <c r="CM50610" s="111"/>
      <c r="CQ50610" s="111"/>
      <c r="EF50610"/>
      <c r="EG50610"/>
      <c r="EH50610"/>
      <c r="EI50610"/>
      <c r="EJ50610"/>
      <c r="EK50610"/>
    </row>
    <row r="50611" spans="1:141" s="116" customFormat="1">
      <c r="A50611" s="136"/>
      <c r="CM50611" s="111"/>
      <c r="CQ50611" s="111"/>
      <c r="EF50611"/>
      <c r="EG50611"/>
      <c r="EH50611"/>
      <c r="EI50611"/>
      <c r="EJ50611"/>
      <c r="EK50611"/>
    </row>
    <row r="50612" spans="1:141" s="116" customFormat="1">
      <c r="A50612" s="136"/>
      <c r="CM50612" s="111"/>
      <c r="CQ50612" s="111"/>
      <c r="EF50612"/>
      <c r="EG50612"/>
      <c r="EH50612"/>
      <c r="EI50612"/>
      <c r="EJ50612"/>
      <c r="EK50612"/>
    </row>
    <row r="50613" spans="1:141" s="116" customFormat="1">
      <c r="A50613" s="136"/>
      <c r="CM50613" s="111"/>
      <c r="CQ50613" s="111"/>
      <c r="EF50613"/>
      <c r="EG50613"/>
      <c r="EH50613"/>
      <c r="EI50613"/>
      <c r="EJ50613"/>
      <c r="EK50613"/>
    </row>
    <row r="50614" spans="1:141" s="116" customFormat="1">
      <c r="A50614" s="136"/>
      <c r="CM50614" s="111"/>
      <c r="CQ50614" s="111"/>
      <c r="EF50614"/>
      <c r="EG50614"/>
      <c r="EH50614"/>
      <c r="EI50614"/>
      <c r="EJ50614"/>
      <c r="EK50614"/>
    </row>
    <row r="50615" spans="1:141" s="116" customFormat="1">
      <c r="A50615" s="136"/>
      <c r="CM50615" s="111"/>
      <c r="CQ50615" s="111"/>
      <c r="EF50615"/>
      <c r="EG50615"/>
      <c r="EH50615"/>
      <c r="EI50615"/>
      <c r="EJ50615"/>
      <c r="EK50615"/>
    </row>
    <row r="50616" spans="1:141" s="116" customFormat="1">
      <c r="A50616" s="136"/>
      <c r="CM50616" s="111"/>
      <c r="CQ50616" s="111"/>
      <c r="EF50616"/>
      <c r="EG50616"/>
      <c r="EH50616"/>
      <c r="EI50616"/>
      <c r="EJ50616"/>
      <c r="EK50616"/>
    </row>
    <row r="50617" spans="1:141" s="116" customFormat="1">
      <c r="A50617" s="136"/>
      <c r="CM50617" s="111"/>
      <c r="CQ50617" s="111"/>
      <c r="EF50617"/>
      <c r="EG50617"/>
      <c r="EH50617"/>
      <c r="EI50617"/>
      <c r="EJ50617"/>
      <c r="EK50617"/>
    </row>
    <row r="50618" spans="1:141" s="116" customFormat="1">
      <c r="A50618" s="136"/>
      <c r="CM50618" s="111"/>
      <c r="CQ50618" s="111"/>
      <c r="EF50618"/>
      <c r="EG50618"/>
      <c r="EH50618"/>
      <c r="EI50618"/>
      <c r="EJ50618"/>
      <c r="EK50618"/>
    </row>
    <row r="50619" spans="1:141" s="116" customFormat="1">
      <c r="A50619" s="136"/>
      <c r="CM50619" s="111"/>
      <c r="CQ50619" s="111"/>
      <c r="EF50619"/>
      <c r="EG50619"/>
      <c r="EH50619"/>
      <c r="EI50619"/>
      <c r="EJ50619"/>
      <c r="EK50619"/>
    </row>
    <row r="50620" spans="1:141" s="116" customFormat="1">
      <c r="A50620" s="136"/>
      <c r="CM50620" s="111"/>
      <c r="CQ50620" s="111"/>
      <c r="EF50620"/>
      <c r="EG50620"/>
      <c r="EH50620"/>
      <c r="EI50620"/>
      <c r="EJ50620"/>
      <c r="EK50620"/>
    </row>
    <row r="50621" spans="1:141" s="116" customFormat="1">
      <c r="A50621" s="136"/>
      <c r="CM50621" s="111"/>
      <c r="CQ50621" s="111"/>
      <c r="EF50621"/>
      <c r="EG50621"/>
      <c r="EH50621"/>
      <c r="EI50621"/>
      <c r="EJ50621"/>
      <c r="EK50621"/>
    </row>
    <row r="50622" spans="1:141" s="116" customFormat="1">
      <c r="A50622" s="136"/>
      <c r="CM50622" s="111"/>
      <c r="CQ50622" s="111"/>
      <c r="EF50622"/>
      <c r="EG50622"/>
      <c r="EH50622"/>
      <c r="EI50622"/>
      <c r="EJ50622"/>
      <c r="EK50622"/>
    </row>
    <row r="50623" spans="1:141" s="116" customFormat="1">
      <c r="A50623" s="136"/>
      <c r="CM50623" s="111"/>
      <c r="CQ50623" s="111"/>
      <c r="EF50623"/>
      <c r="EG50623"/>
      <c r="EH50623"/>
      <c r="EI50623"/>
      <c r="EJ50623"/>
      <c r="EK50623"/>
    </row>
    <row r="50624" spans="1:141" s="116" customFormat="1">
      <c r="A50624" s="136"/>
      <c r="CM50624" s="111"/>
      <c r="CQ50624" s="111"/>
      <c r="EF50624"/>
      <c r="EG50624"/>
      <c r="EH50624"/>
      <c r="EI50624"/>
      <c r="EJ50624"/>
      <c r="EK50624"/>
    </row>
    <row r="50625" spans="1:141" s="116" customFormat="1">
      <c r="A50625" s="136"/>
      <c r="CM50625" s="111"/>
      <c r="CQ50625" s="111"/>
      <c r="EF50625"/>
      <c r="EG50625"/>
      <c r="EH50625"/>
      <c r="EI50625"/>
      <c r="EJ50625"/>
      <c r="EK50625"/>
    </row>
    <row r="50626" spans="1:141" s="116" customFormat="1">
      <c r="A50626" s="136"/>
      <c r="CM50626" s="111"/>
      <c r="CQ50626" s="111"/>
      <c r="EF50626"/>
      <c r="EG50626"/>
      <c r="EH50626"/>
      <c r="EI50626"/>
      <c r="EJ50626"/>
      <c r="EK50626"/>
    </row>
    <row r="50627" spans="1:141" s="116" customFormat="1">
      <c r="A50627" s="136"/>
      <c r="CM50627" s="111"/>
      <c r="CQ50627" s="111"/>
      <c r="EF50627"/>
      <c r="EG50627"/>
      <c r="EH50627"/>
      <c r="EI50627"/>
      <c r="EJ50627"/>
      <c r="EK50627"/>
    </row>
    <row r="50628" spans="1:141" s="116" customFormat="1">
      <c r="A50628" s="136"/>
      <c r="CM50628" s="111"/>
      <c r="CQ50628" s="111"/>
      <c r="EF50628"/>
      <c r="EG50628"/>
      <c r="EH50628"/>
      <c r="EI50628"/>
      <c r="EJ50628"/>
      <c r="EK50628"/>
    </row>
    <row r="50629" spans="1:141" s="116" customFormat="1">
      <c r="A50629" s="136"/>
      <c r="CM50629" s="111"/>
      <c r="CQ50629" s="111"/>
      <c r="EF50629"/>
      <c r="EG50629"/>
      <c r="EH50629"/>
      <c r="EI50629"/>
      <c r="EJ50629"/>
      <c r="EK50629"/>
    </row>
    <row r="50630" spans="1:141" s="116" customFormat="1">
      <c r="A50630" s="136"/>
      <c r="CM50630" s="111"/>
      <c r="CQ50630" s="111"/>
      <c r="EF50630"/>
      <c r="EG50630"/>
      <c r="EH50630"/>
      <c r="EI50630"/>
      <c r="EJ50630"/>
      <c r="EK50630"/>
    </row>
    <row r="50631" spans="1:141" s="116" customFormat="1">
      <c r="A50631" s="136"/>
      <c r="CM50631" s="111"/>
      <c r="CQ50631" s="111"/>
      <c r="EF50631"/>
      <c r="EG50631"/>
      <c r="EH50631"/>
      <c r="EI50631"/>
      <c r="EJ50631"/>
      <c r="EK50631"/>
    </row>
    <row r="50632" spans="1:141" s="116" customFormat="1">
      <c r="A50632" s="136"/>
      <c r="CM50632" s="111"/>
      <c r="CQ50632" s="111"/>
      <c r="EF50632"/>
      <c r="EG50632"/>
      <c r="EH50632"/>
      <c r="EI50632"/>
      <c r="EJ50632"/>
      <c r="EK50632"/>
    </row>
    <row r="50633" spans="1:141" s="116" customFormat="1">
      <c r="A50633" s="136"/>
      <c r="CM50633" s="111"/>
      <c r="CQ50633" s="111"/>
      <c r="EF50633"/>
      <c r="EG50633"/>
      <c r="EH50633"/>
      <c r="EI50633"/>
      <c r="EJ50633"/>
      <c r="EK50633"/>
    </row>
    <row r="50634" spans="1:141" s="116" customFormat="1">
      <c r="A50634" s="136"/>
      <c r="CM50634" s="111"/>
      <c r="CQ50634" s="111"/>
      <c r="EF50634"/>
      <c r="EG50634"/>
      <c r="EH50634"/>
      <c r="EI50634"/>
      <c r="EJ50634"/>
      <c r="EK50634"/>
    </row>
    <row r="50635" spans="1:141" s="116" customFormat="1">
      <c r="A50635" s="136"/>
      <c r="CM50635" s="111"/>
      <c r="CQ50635" s="111"/>
      <c r="EF50635"/>
      <c r="EG50635"/>
      <c r="EH50635"/>
      <c r="EI50635"/>
      <c r="EJ50635"/>
      <c r="EK50635"/>
    </row>
    <row r="50636" spans="1:141" s="116" customFormat="1">
      <c r="A50636" s="136"/>
      <c r="CM50636" s="111"/>
      <c r="CQ50636" s="111"/>
      <c r="EF50636"/>
      <c r="EG50636"/>
      <c r="EH50636"/>
      <c r="EI50636"/>
      <c r="EJ50636"/>
      <c r="EK50636"/>
    </row>
    <row r="50637" spans="1:141" s="116" customFormat="1">
      <c r="A50637" s="136"/>
      <c r="CM50637" s="111"/>
      <c r="CQ50637" s="111"/>
      <c r="EF50637"/>
      <c r="EG50637"/>
      <c r="EH50637"/>
      <c r="EI50637"/>
      <c r="EJ50637"/>
      <c r="EK50637"/>
    </row>
    <row r="50638" spans="1:141" s="116" customFormat="1">
      <c r="A50638" s="136"/>
      <c r="CM50638" s="111"/>
      <c r="CQ50638" s="111"/>
      <c r="EF50638"/>
      <c r="EG50638"/>
      <c r="EH50638"/>
      <c r="EI50638"/>
      <c r="EJ50638"/>
      <c r="EK50638"/>
    </row>
    <row r="50639" spans="1:141" s="116" customFormat="1">
      <c r="A50639" s="136"/>
      <c r="CM50639" s="111"/>
      <c r="CQ50639" s="111"/>
      <c r="EF50639"/>
      <c r="EG50639"/>
      <c r="EH50639"/>
      <c r="EI50639"/>
      <c r="EJ50639"/>
      <c r="EK50639"/>
    </row>
    <row r="50640" spans="1:141" s="116" customFormat="1">
      <c r="A50640" s="136"/>
      <c r="CM50640" s="111"/>
      <c r="CQ50640" s="111"/>
      <c r="EF50640"/>
      <c r="EG50640"/>
      <c r="EH50640"/>
      <c r="EI50640"/>
      <c r="EJ50640"/>
      <c r="EK50640"/>
    </row>
    <row r="50641" spans="1:141" s="116" customFormat="1">
      <c r="A50641" s="136"/>
      <c r="CM50641" s="111"/>
      <c r="CQ50641" s="111"/>
      <c r="EF50641"/>
      <c r="EG50641"/>
      <c r="EH50641"/>
      <c r="EI50641"/>
      <c r="EJ50641"/>
      <c r="EK50641"/>
    </row>
    <row r="50642" spans="1:141" s="116" customFormat="1">
      <c r="A50642" s="136"/>
      <c r="CM50642" s="111"/>
      <c r="CQ50642" s="111"/>
      <c r="EF50642"/>
      <c r="EG50642"/>
      <c r="EH50642"/>
      <c r="EI50642"/>
      <c r="EJ50642"/>
      <c r="EK50642"/>
    </row>
    <row r="50643" spans="1:141" s="116" customFormat="1">
      <c r="A50643" s="136"/>
      <c r="CM50643" s="111"/>
      <c r="CQ50643" s="111"/>
      <c r="EF50643"/>
      <c r="EG50643"/>
      <c r="EH50643"/>
      <c r="EI50643"/>
      <c r="EJ50643"/>
      <c r="EK50643"/>
    </row>
    <row r="50644" spans="1:141" s="116" customFormat="1">
      <c r="A50644" s="136"/>
      <c r="CM50644" s="111"/>
      <c r="CQ50644" s="111"/>
      <c r="EF50644"/>
      <c r="EG50644"/>
      <c r="EH50644"/>
      <c r="EI50644"/>
      <c r="EJ50644"/>
      <c r="EK50644"/>
    </row>
    <row r="50645" spans="1:141" s="116" customFormat="1">
      <c r="A50645" s="136"/>
      <c r="CM50645" s="111"/>
      <c r="CQ50645" s="111"/>
      <c r="EF50645"/>
      <c r="EG50645"/>
      <c r="EH50645"/>
      <c r="EI50645"/>
      <c r="EJ50645"/>
      <c r="EK50645"/>
    </row>
    <row r="50646" spans="1:141" s="116" customFormat="1">
      <c r="A50646" s="136"/>
      <c r="CM50646" s="111"/>
      <c r="CQ50646" s="111"/>
      <c r="EF50646"/>
      <c r="EG50646"/>
      <c r="EH50646"/>
      <c r="EI50646"/>
      <c r="EJ50646"/>
      <c r="EK50646"/>
    </row>
    <row r="50647" spans="1:141" s="116" customFormat="1">
      <c r="A50647" s="136"/>
      <c r="CM50647" s="111"/>
      <c r="CQ50647" s="111"/>
      <c r="EF50647"/>
      <c r="EG50647"/>
      <c r="EH50647"/>
      <c r="EI50647"/>
      <c r="EJ50647"/>
      <c r="EK50647"/>
    </row>
    <row r="50648" spans="1:141" s="116" customFormat="1">
      <c r="A50648" s="136"/>
      <c r="CM50648" s="111"/>
      <c r="CQ50648" s="111"/>
      <c r="EF50648"/>
      <c r="EG50648"/>
      <c r="EH50648"/>
      <c r="EI50648"/>
      <c r="EJ50648"/>
      <c r="EK50648"/>
    </row>
    <row r="50649" spans="1:141" s="116" customFormat="1">
      <c r="A50649" s="136"/>
      <c r="CM50649" s="111"/>
      <c r="CQ50649" s="111"/>
      <c r="EF50649"/>
      <c r="EG50649"/>
      <c r="EH50649"/>
      <c r="EI50649"/>
      <c r="EJ50649"/>
      <c r="EK50649"/>
    </row>
    <row r="50650" spans="1:141" s="116" customFormat="1">
      <c r="A50650" s="136"/>
      <c r="CM50650" s="111"/>
      <c r="CQ50650" s="111"/>
      <c r="EF50650"/>
      <c r="EG50650"/>
      <c r="EH50650"/>
      <c r="EI50650"/>
      <c r="EJ50650"/>
      <c r="EK50650"/>
    </row>
    <row r="50651" spans="1:141" s="116" customFormat="1">
      <c r="A50651" s="136"/>
      <c r="CM50651" s="111"/>
      <c r="CQ50651" s="111"/>
      <c r="EF50651"/>
      <c r="EG50651"/>
      <c r="EH50651"/>
      <c r="EI50651"/>
      <c r="EJ50651"/>
      <c r="EK50651"/>
    </row>
    <row r="50652" spans="1:141" s="116" customFormat="1">
      <c r="A50652" s="136"/>
      <c r="CM50652" s="111"/>
      <c r="CQ50652" s="111"/>
      <c r="EF50652"/>
      <c r="EG50652"/>
      <c r="EH50652"/>
      <c r="EI50652"/>
      <c r="EJ50652"/>
      <c r="EK50652"/>
    </row>
    <row r="50653" spans="1:141" s="116" customFormat="1">
      <c r="A50653" s="136"/>
      <c r="CM50653" s="111"/>
      <c r="CQ50653" s="111"/>
      <c r="EF50653"/>
      <c r="EG50653"/>
      <c r="EH50653"/>
      <c r="EI50653"/>
      <c r="EJ50653"/>
      <c r="EK50653"/>
    </row>
    <row r="50654" spans="1:141" s="116" customFormat="1">
      <c r="A50654" s="136"/>
      <c r="CM50654" s="111"/>
      <c r="CQ50654" s="111"/>
      <c r="EF50654"/>
      <c r="EG50654"/>
      <c r="EH50654"/>
      <c r="EI50654"/>
      <c r="EJ50654"/>
      <c r="EK50654"/>
    </row>
    <row r="50655" spans="1:141" s="116" customFormat="1">
      <c r="A50655" s="136"/>
      <c r="CM50655" s="111"/>
      <c r="CQ50655" s="111"/>
      <c r="EF50655"/>
      <c r="EG50655"/>
      <c r="EH50655"/>
      <c r="EI50655"/>
      <c r="EJ50655"/>
      <c r="EK50655"/>
    </row>
    <row r="50656" spans="1:141" s="116" customFormat="1">
      <c r="A50656" s="136"/>
      <c r="CM50656" s="111"/>
      <c r="CQ50656" s="111"/>
      <c r="EF50656"/>
      <c r="EG50656"/>
      <c r="EH50656"/>
      <c r="EI50656"/>
      <c r="EJ50656"/>
      <c r="EK50656"/>
    </row>
    <row r="50657" spans="1:141" s="116" customFormat="1">
      <c r="A50657" s="136"/>
      <c r="CM50657" s="111"/>
      <c r="CQ50657" s="111"/>
      <c r="EF50657"/>
      <c r="EG50657"/>
      <c r="EH50657"/>
      <c r="EI50657"/>
      <c r="EJ50657"/>
      <c r="EK50657"/>
    </row>
    <row r="50658" spans="1:141" s="116" customFormat="1">
      <c r="A50658" s="136"/>
      <c r="CM50658" s="111"/>
      <c r="CQ50658" s="111"/>
      <c r="EF50658"/>
      <c r="EG50658"/>
      <c r="EH50658"/>
      <c r="EI50658"/>
      <c r="EJ50658"/>
      <c r="EK50658"/>
    </row>
    <row r="50659" spans="1:141" s="116" customFormat="1">
      <c r="A50659" s="136"/>
      <c r="CM50659" s="111"/>
      <c r="CQ50659" s="111"/>
      <c r="EF50659"/>
      <c r="EG50659"/>
      <c r="EH50659"/>
      <c r="EI50659"/>
      <c r="EJ50659"/>
      <c r="EK50659"/>
    </row>
    <row r="50660" spans="1:141" s="116" customFormat="1">
      <c r="A50660" s="136"/>
      <c r="CM50660" s="111"/>
      <c r="CQ50660" s="111"/>
      <c r="EF50660"/>
      <c r="EG50660"/>
      <c r="EH50660"/>
      <c r="EI50660"/>
      <c r="EJ50660"/>
      <c r="EK50660"/>
    </row>
    <row r="50661" spans="1:141" s="116" customFormat="1">
      <c r="A50661" s="136"/>
      <c r="CM50661" s="111"/>
      <c r="CQ50661" s="111"/>
      <c r="EF50661"/>
      <c r="EG50661"/>
      <c r="EH50661"/>
      <c r="EI50661"/>
      <c r="EJ50661"/>
      <c r="EK50661"/>
    </row>
    <row r="50662" spans="1:141" s="116" customFormat="1">
      <c r="A50662" s="136"/>
      <c r="CM50662" s="111"/>
      <c r="CQ50662" s="111"/>
      <c r="EF50662"/>
      <c r="EG50662"/>
      <c r="EH50662"/>
      <c r="EI50662"/>
      <c r="EJ50662"/>
      <c r="EK50662"/>
    </row>
    <row r="50663" spans="1:141" s="116" customFormat="1">
      <c r="A50663" s="136"/>
      <c r="CM50663" s="111"/>
      <c r="CQ50663" s="111"/>
      <c r="EF50663"/>
      <c r="EG50663"/>
      <c r="EH50663"/>
      <c r="EI50663"/>
      <c r="EJ50663"/>
      <c r="EK50663"/>
    </row>
    <row r="50664" spans="1:141" s="116" customFormat="1">
      <c r="A50664" s="136"/>
      <c r="CM50664" s="111"/>
      <c r="CQ50664" s="111"/>
      <c r="EF50664"/>
      <c r="EG50664"/>
      <c r="EH50664"/>
      <c r="EI50664"/>
      <c r="EJ50664"/>
      <c r="EK50664"/>
    </row>
    <row r="50665" spans="1:141" s="116" customFormat="1">
      <c r="A50665" s="136"/>
      <c r="CM50665" s="111"/>
      <c r="CQ50665" s="111"/>
      <c r="EF50665"/>
      <c r="EG50665"/>
      <c r="EH50665"/>
      <c r="EI50665"/>
      <c r="EJ50665"/>
      <c r="EK50665"/>
    </row>
    <row r="50666" spans="1:141" s="116" customFormat="1">
      <c r="A50666" s="136"/>
      <c r="CM50666" s="111"/>
      <c r="CQ50666" s="111"/>
      <c r="EF50666"/>
      <c r="EG50666"/>
      <c r="EH50666"/>
      <c r="EI50666"/>
      <c r="EJ50666"/>
      <c r="EK50666"/>
    </row>
    <row r="50667" spans="1:141" s="116" customFormat="1">
      <c r="A50667" s="136"/>
      <c r="CM50667" s="111"/>
      <c r="CQ50667" s="111"/>
      <c r="EF50667"/>
      <c r="EG50667"/>
      <c r="EH50667"/>
      <c r="EI50667"/>
      <c r="EJ50667"/>
      <c r="EK50667"/>
    </row>
    <row r="50668" spans="1:141" s="116" customFormat="1">
      <c r="A50668" s="136"/>
      <c r="CM50668" s="111"/>
      <c r="CQ50668" s="111"/>
      <c r="EF50668"/>
      <c r="EG50668"/>
      <c r="EH50668"/>
      <c r="EI50668"/>
      <c r="EJ50668"/>
      <c r="EK50668"/>
    </row>
    <row r="50669" spans="1:141" s="116" customFormat="1">
      <c r="A50669" s="136"/>
      <c r="CM50669" s="111"/>
      <c r="CQ50669" s="111"/>
      <c r="EF50669"/>
      <c r="EG50669"/>
      <c r="EH50669"/>
      <c r="EI50669"/>
      <c r="EJ50669"/>
      <c r="EK50669"/>
    </row>
    <row r="50670" spans="1:141" s="116" customFormat="1">
      <c r="A50670" s="136"/>
      <c r="CM50670" s="111"/>
      <c r="CQ50670" s="111"/>
      <c r="EF50670"/>
      <c r="EG50670"/>
      <c r="EH50670"/>
      <c r="EI50670"/>
      <c r="EJ50670"/>
      <c r="EK50670"/>
    </row>
    <row r="50671" spans="1:141" s="116" customFormat="1">
      <c r="A50671" s="136"/>
      <c r="CM50671" s="111"/>
      <c r="CQ50671" s="111"/>
      <c r="EF50671"/>
      <c r="EG50671"/>
      <c r="EH50671"/>
      <c r="EI50671"/>
      <c r="EJ50671"/>
      <c r="EK50671"/>
    </row>
    <row r="50672" spans="1:141" s="116" customFormat="1">
      <c r="A50672" s="136"/>
      <c r="CM50672" s="111"/>
      <c r="CQ50672" s="111"/>
      <c r="EF50672"/>
      <c r="EG50672"/>
      <c r="EH50672"/>
      <c r="EI50672"/>
      <c r="EJ50672"/>
      <c r="EK50672"/>
    </row>
    <row r="50673" spans="1:141" s="116" customFormat="1">
      <c r="A50673" s="136"/>
      <c r="CM50673" s="111"/>
      <c r="CQ50673" s="111"/>
      <c r="EF50673"/>
      <c r="EG50673"/>
      <c r="EH50673"/>
      <c r="EI50673"/>
      <c r="EJ50673"/>
      <c r="EK50673"/>
    </row>
    <row r="50674" spans="1:141" s="116" customFormat="1">
      <c r="A50674" s="136"/>
      <c r="CM50674" s="111"/>
      <c r="CQ50674" s="111"/>
      <c r="EF50674"/>
      <c r="EG50674"/>
      <c r="EH50674"/>
      <c r="EI50674"/>
      <c r="EJ50674"/>
      <c r="EK50674"/>
    </row>
    <row r="50675" spans="1:141" s="116" customFormat="1">
      <c r="A50675" s="136"/>
      <c r="CM50675" s="111"/>
      <c r="CQ50675" s="111"/>
      <c r="EF50675"/>
      <c r="EG50675"/>
      <c r="EH50675"/>
      <c r="EI50675"/>
      <c r="EJ50675"/>
      <c r="EK50675"/>
    </row>
    <row r="50676" spans="1:141" s="116" customFormat="1">
      <c r="A50676" s="136"/>
      <c r="CM50676" s="111"/>
      <c r="CQ50676" s="111"/>
      <c r="EF50676"/>
      <c r="EG50676"/>
      <c r="EH50676"/>
      <c r="EI50676"/>
      <c r="EJ50676"/>
      <c r="EK50676"/>
    </row>
    <row r="50677" spans="1:141" s="116" customFormat="1">
      <c r="A50677" s="136"/>
      <c r="CM50677" s="111"/>
      <c r="CQ50677" s="111"/>
      <c r="EF50677"/>
      <c r="EG50677"/>
      <c r="EH50677"/>
      <c r="EI50677"/>
      <c r="EJ50677"/>
      <c r="EK50677"/>
    </row>
    <row r="50678" spans="1:141" s="116" customFormat="1">
      <c r="A50678" s="136"/>
      <c r="CM50678" s="111"/>
      <c r="CQ50678" s="111"/>
      <c r="EF50678"/>
      <c r="EG50678"/>
      <c r="EH50678"/>
      <c r="EI50678"/>
      <c r="EJ50678"/>
      <c r="EK50678"/>
    </row>
    <row r="50679" spans="1:141" s="116" customFormat="1">
      <c r="A50679" s="136"/>
      <c r="CM50679" s="111"/>
      <c r="CQ50679" s="111"/>
      <c r="EF50679"/>
      <c r="EG50679"/>
      <c r="EH50679"/>
      <c r="EI50679"/>
      <c r="EJ50679"/>
      <c r="EK50679"/>
    </row>
    <row r="50680" spans="1:141" s="116" customFormat="1">
      <c r="A50680" s="136"/>
      <c r="CM50680" s="111"/>
      <c r="CQ50680" s="111"/>
      <c r="EF50680"/>
      <c r="EG50680"/>
      <c r="EH50680"/>
      <c r="EI50680"/>
      <c r="EJ50680"/>
      <c r="EK50680"/>
    </row>
    <row r="50681" spans="1:141" s="116" customFormat="1">
      <c r="A50681" s="136"/>
      <c r="CM50681" s="111"/>
      <c r="CQ50681" s="111"/>
      <c r="EF50681"/>
      <c r="EG50681"/>
      <c r="EH50681"/>
      <c r="EI50681"/>
      <c r="EJ50681"/>
      <c r="EK50681"/>
    </row>
    <row r="50682" spans="1:141" s="116" customFormat="1">
      <c r="A50682" s="136"/>
      <c r="CM50682" s="111"/>
      <c r="CQ50682" s="111"/>
      <c r="EF50682"/>
      <c r="EG50682"/>
      <c r="EH50682"/>
      <c r="EI50682"/>
      <c r="EJ50682"/>
      <c r="EK50682"/>
    </row>
    <row r="50683" spans="1:141" s="116" customFormat="1">
      <c r="A50683" s="136"/>
      <c r="CM50683" s="111"/>
      <c r="CQ50683" s="111"/>
      <c r="EF50683"/>
      <c r="EG50683"/>
      <c r="EH50683"/>
      <c r="EI50683"/>
      <c r="EJ50683"/>
      <c r="EK50683"/>
    </row>
    <row r="50684" spans="1:141" s="116" customFormat="1">
      <c r="A50684" s="136"/>
      <c r="CM50684" s="111"/>
      <c r="CQ50684" s="111"/>
      <c r="EF50684"/>
      <c r="EG50684"/>
      <c r="EH50684"/>
      <c r="EI50684"/>
      <c r="EJ50684"/>
      <c r="EK50684"/>
    </row>
    <row r="50685" spans="1:141" s="116" customFormat="1">
      <c r="A50685" s="136"/>
      <c r="CM50685" s="111"/>
      <c r="CQ50685" s="111"/>
      <c r="EF50685"/>
      <c r="EG50685"/>
      <c r="EH50685"/>
      <c r="EI50685"/>
      <c r="EJ50685"/>
      <c r="EK50685"/>
    </row>
    <row r="50686" spans="1:141" s="116" customFormat="1">
      <c r="A50686" s="136"/>
      <c r="CM50686" s="111"/>
      <c r="CQ50686" s="111"/>
      <c r="EF50686"/>
      <c r="EG50686"/>
      <c r="EH50686"/>
      <c r="EI50686"/>
      <c r="EJ50686"/>
      <c r="EK50686"/>
    </row>
    <row r="50687" spans="1:141" s="116" customFormat="1">
      <c r="A50687" s="136"/>
      <c r="CM50687" s="111"/>
      <c r="CQ50687" s="111"/>
      <c r="EF50687"/>
      <c r="EG50687"/>
      <c r="EH50687"/>
      <c r="EI50687"/>
      <c r="EJ50687"/>
      <c r="EK50687"/>
    </row>
    <row r="50688" spans="1:141" s="116" customFormat="1">
      <c r="A50688" s="136"/>
      <c r="CM50688" s="111"/>
      <c r="CQ50688" s="111"/>
      <c r="EF50688"/>
      <c r="EG50688"/>
      <c r="EH50688"/>
      <c r="EI50688"/>
      <c r="EJ50688"/>
      <c r="EK50688"/>
    </row>
    <row r="50689" spans="1:141" s="116" customFormat="1">
      <c r="A50689" s="136"/>
      <c r="CM50689" s="111"/>
      <c r="CQ50689" s="111"/>
      <c r="EF50689"/>
      <c r="EG50689"/>
      <c r="EH50689"/>
      <c r="EI50689"/>
      <c r="EJ50689"/>
      <c r="EK50689"/>
    </row>
    <row r="50690" spans="1:141" s="116" customFormat="1">
      <c r="A50690" s="136"/>
      <c r="CM50690" s="111"/>
      <c r="CQ50690" s="111"/>
      <c r="EF50690"/>
      <c r="EG50690"/>
      <c r="EH50690"/>
      <c r="EI50690"/>
      <c r="EJ50690"/>
      <c r="EK50690"/>
    </row>
    <row r="50691" spans="1:141" s="116" customFormat="1">
      <c r="A50691" s="136"/>
      <c r="CM50691" s="111"/>
      <c r="CQ50691" s="111"/>
      <c r="EF50691"/>
      <c r="EG50691"/>
      <c r="EH50691"/>
      <c r="EI50691"/>
      <c r="EJ50691"/>
      <c r="EK50691"/>
    </row>
    <row r="50692" spans="1:141" s="116" customFormat="1">
      <c r="A50692" s="136"/>
      <c r="CM50692" s="111"/>
      <c r="CQ50692" s="111"/>
      <c r="EF50692"/>
      <c r="EG50692"/>
      <c r="EH50692"/>
      <c r="EI50692"/>
      <c r="EJ50692"/>
      <c r="EK50692"/>
    </row>
    <row r="50693" spans="1:141" s="116" customFormat="1">
      <c r="A50693" s="136"/>
      <c r="CM50693" s="111"/>
      <c r="CQ50693" s="111"/>
      <c r="EF50693"/>
      <c r="EG50693"/>
      <c r="EH50693"/>
      <c r="EI50693"/>
      <c r="EJ50693"/>
      <c r="EK50693"/>
    </row>
    <row r="50694" spans="1:141" s="116" customFormat="1">
      <c r="A50694" s="136"/>
      <c r="CM50694" s="111"/>
      <c r="CQ50694" s="111"/>
      <c r="EF50694"/>
      <c r="EG50694"/>
      <c r="EH50694"/>
      <c r="EI50694"/>
      <c r="EJ50694"/>
      <c r="EK50694"/>
    </row>
    <row r="50695" spans="1:141" s="116" customFormat="1">
      <c r="A50695" s="136"/>
      <c r="CM50695" s="111"/>
      <c r="CQ50695" s="111"/>
      <c r="EF50695"/>
      <c r="EG50695"/>
      <c r="EH50695"/>
      <c r="EI50695"/>
      <c r="EJ50695"/>
      <c r="EK50695"/>
    </row>
    <row r="50696" spans="1:141" s="116" customFormat="1">
      <c r="A50696" s="136"/>
      <c r="CM50696" s="111"/>
      <c r="CQ50696" s="111"/>
      <c r="EF50696"/>
      <c r="EG50696"/>
      <c r="EH50696"/>
      <c r="EI50696"/>
      <c r="EJ50696"/>
      <c r="EK50696"/>
    </row>
    <row r="50697" spans="1:141" s="116" customFormat="1">
      <c r="A50697" s="136"/>
      <c r="CM50697" s="111"/>
      <c r="CQ50697" s="111"/>
      <c r="EF50697"/>
      <c r="EG50697"/>
      <c r="EH50697"/>
      <c r="EI50697"/>
      <c r="EJ50697"/>
      <c r="EK50697"/>
    </row>
    <row r="50698" spans="1:141" s="116" customFormat="1">
      <c r="A50698" s="136"/>
      <c r="CM50698" s="111"/>
      <c r="CQ50698" s="111"/>
      <c r="EF50698"/>
      <c r="EG50698"/>
      <c r="EH50698"/>
      <c r="EI50698"/>
      <c r="EJ50698"/>
      <c r="EK50698"/>
    </row>
    <row r="50699" spans="1:141" s="116" customFormat="1">
      <c r="A50699" s="136"/>
      <c r="CM50699" s="111"/>
      <c r="CQ50699" s="111"/>
      <c r="EF50699"/>
      <c r="EG50699"/>
      <c r="EH50699"/>
      <c r="EI50699"/>
      <c r="EJ50699"/>
      <c r="EK50699"/>
    </row>
    <row r="50700" spans="1:141" s="116" customFormat="1">
      <c r="A50700" s="136"/>
      <c r="CM50700" s="111"/>
      <c r="CQ50700" s="111"/>
      <c r="EF50700"/>
      <c r="EG50700"/>
      <c r="EH50700"/>
      <c r="EI50700"/>
      <c r="EJ50700"/>
      <c r="EK50700"/>
    </row>
    <row r="50701" spans="1:141" s="116" customFormat="1">
      <c r="A50701" s="136"/>
      <c r="CM50701" s="111"/>
      <c r="CQ50701" s="111"/>
      <c r="EF50701"/>
      <c r="EG50701"/>
      <c r="EH50701"/>
      <c r="EI50701"/>
      <c r="EJ50701"/>
      <c r="EK50701"/>
    </row>
    <row r="50702" spans="1:141" s="116" customFormat="1">
      <c r="A50702" s="136"/>
      <c r="CM50702" s="111"/>
      <c r="CQ50702" s="111"/>
      <c r="EF50702"/>
      <c r="EG50702"/>
      <c r="EH50702"/>
      <c r="EI50702"/>
      <c r="EJ50702"/>
      <c r="EK50702"/>
    </row>
    <row r="50703" spans="1:141" s="116" customFormat="1">
      <c r="A50703" s="136"/>
      <c r="CM50703" s="111"/>
      <c r="CQ50703" s="111"/>
      <c r="EF50703"/>
      <c r="EG50703"/>
      <c r="EH50703"/>
      <c r="EI50703"/>
      <c r="EJ50703"/>
      <c r="EK50703"/>
    </row>
    <row r="50704" spans="1:141" s="116" customFormat="1">
      <c r="A50704" s="136"/>
      <c r="CM50704" s="111"/>
      <c r="CQ50704" s="111"/>
      <c r="EF50704"/>
      <c r="EG50704"/>
      <c r="EH50704"/>
      <c r="EI50704"/>
      <c r="EJ50704"/>
      <c r="EK50704"/>
    </row>
    <row r="50705" spans="1:141" s="116" customFormat="1">
      <c r="A50705" s="136"/>
      <c r="CM50705" s="111"/>
      <c r="CQ50705" s="111"/>
      <c r="EF50705"/>
      <c r="EG50705"/>
      <c r="EH50705"/>
      <c r="EI50705"/>
      <c r="EJ50705"/>
      <c r="EK50705"/>
    </row>
    <row r="50706" spans="1:141" s="116" customFormat="1">
      <c r="A50706" s="136"/>
      <c r="CM50706" s="111"/>
      <c r="CQ50706" s="111"/>
      <c r="EF50706"/>
      <c r="EG50706"/>
      <c r="EH50706"/>
      <c r="EI50706"/>
      <c r="EJ50706"/>
      <c r="EK50706"/>
    </row>
    <row r="50707" spans="1:141" s="116" customFormat="1">
      <c r="A50707" s="136"/>
      <c r="CM50707" s="111"/>
      <c r="CQ50707" s="111"/>
      <c r="EF50707"/>
      <c r="EG50707"/>
      <c r="EH50707"/>
      <c r="EI50707"/>
      <c r="EJ50707"/>
      <c r="EK50707"/>
    </row>
    <row r="50708" spans="1:141" s="116" customFormat="1">
      <c r="A50708" s="136"/>
      <c r="CM50708" s="111"/>
      <c r="CQ50708" s="111"/>
      <c r="EF50708"/>
      <c r="EG50708"/>
      <c r="EH50708"/>
      <c r="EI50708"/>
      <c r="EJ50708"/>
      <c r="EK50708"/>
    </row>
    <row r="50709" spans="1:141" s="116" customFormat="1">
      <c r="A50709" s="136"/>
      <c r="CM50709" s="111"/>
      <c r="CQ50709" s="111"/>
      <c r="EF50709"/>
      <c r="EG50709"/>
      <c r="EH50709"/>
      <c r="EI50709"/>
      <c r="EJ50709"/>
      <c r="EK50709"/>
    </row>
    <row r="50710" spans="1:141" s="116" customFormat="1">
      <c r="A50710" s="136"/>
      <c r="CM50710" s="111"/>
      <c r="CQ50710" s="111"/>
      <c r="EF50710"/>
      <c r="EG50710"/>
      <c r="EH50710"/>
      <c r="EI50710"/>
      <c r="EJ50710"/>
      <c r="EK50710"/>
    </row>
    <row r="50711" spans="1:141" s="116" customFormat="1">
      <c r="A50711" s="136"/>
      <c r="CM50711" s="111"/>
      <c r="CQ50711" s="111"/>
      <c r="EF50711"/>
      <c r="EG50711"/>
      <c r="EH50711"/>
      <c r="EI50711"/>
      <c r="EJ50711"/>
      <c r="EK50711"/>
    </row>
    <row r="50712" spans="1:141" s="116" customFormat="1">
      <c r="A50712" s="136"/>
      <c r="CM50712" s="111"/>
      <c r="CQ50712" s="111"/>
      <c r="EF50712"/>
      <c r="EG50712"/>
      <c r="EH50712"/>
      <c r="EI50712"/>
      <c r="EJ50712"/>
      <c r="EK50712"/>
    </row>
    <row r="50713" spans="1:141" s="116" customFormat="1">
      <c r="A50713" s="136"/>
      <c r="CM50713" s="111"/>
      <c r="CQ50713" s="111"/>
      <c r="EF50713"/>
      <c r="EG50713"/>
      <c r="EH50713"/>
      <c r="EI50713"/>
      <c r="EJ50713"/>
      <c r="EK50713"/>
    </row>
    <row r="50714" spans="1:141" s="116" customFormat="1">
      <c r="A50714" s="136"/>
      <c r="CM50714" s="111"/>
      <c r="CQ50714" s="111"/>
      <c r="EF50714"/>
      <c r="EG50714"/>
      <c r="EH50714"/>
      <c r="EI50714"/>
      <c r="EJ50714"/>
      <c r="EK50714"/>
    </row>
    <row r="50715" spans="1:141" s="116" customFormat="1">
      <c r="A50715" s="136"/>
      <c r="CM50715" s="111"/>
      <c r="CQ50715" s="111"/>
      <c r="EF50715"/>
      <c r="EG50715"/>
      <c r="EH50715"/>
      <c r="EI50715"/>
      <c r="EJ50715"/>
      <c r="EK50715"/>
    </row>
    <row r="50716" spans="1:141" s="116" customFormat="1">
      <c r="A50716" s="136"/>
      <c r="CM50716" s="111"/>
      <c r="CQ50716" s="111"/>
      <c r="EF50716"/>
      <c r="EG50716"/>
      <c r="EH50716"/>
      <c r="EI50716"/>
      <c r="EJ50716"/>
      <c r="EK50716"/>
    </row>
    <row r="50717" spans="1:141" s="116" customFormat="1">
      <c r="A50717" s="136"/>
      <c r="CM50717" s="111"/>
      <c r="CQ50717" s="111"/>
      <c r="EF50717"/>
      <c r="EG50717"/>
      <c r="EH50717"/>
      <c r="EI50717"/>
      <c r="EJ50717"/>
      <c r="EK50717"/>
    </row>
    <row r="50718" spans="1:141" s="116" customFormat="1">
      <c r="A50718" s="136"/>
      <c r="CM50718" s="111"/>
      <c r="CQ50718" s="111"/>
      <c r="EF50718"/>
      <c r="EG50718"/>
      <c r="EH50718"/>
      <c r="EI50718"/>
      <c r="EJ50718"/>
      <c r="EK50718"/>
    </row>
    <row r="50719" spans="1:141" s="116" customFormat="1">
      <c r="A50719" s="136"/>
      <c r="CM50719" s="111"/>
      <c r="CQ50719" s="111"/>
      <c r="EF50719"/>
      <c r="EG50719"/>
      <c r="EH50719"/>
      <c r="EI50719"/>
      <c r="EJ50719"/>
      <c r="EK50719"/>
    </row>
    <row r="50720" spans="1:141" s="116" customFormat="1">
      <c r="A50720" s="136"/>
      <c r="CM50720" s="111"/>
      <c r="CQ50720" s="111"/>
      <c r="EF50720"/>
      <c r="EG50720"/>
      <c r="EH50720"/>
      <c r="EI50720"/>
      <c r="EJ50720"/>
      <c r="EK50720"/>
    </row>
    <row r="50721" spans="1:141" s="116" customFormat="1">
      <c r="A50721" s="136"/>
      <c r="CM50721" s="111"/>
      <c r="CQ50721" s="111"/>
      <c r="EF50721"/>
      <c r="EG50721"/>
      <c r="EH50721"/>
      <c r="EI50721"/>
      <c r="EJ50721"/>
      <c r="EK50721"/>
    </row>
    <row r="50722" spans="1:141" s="116" customFormat="1">
      <c r="A50722" s="136"/>
      <c r="CM50722" s="111"/>
      <c r="CQ50722" s="111"/>
      <c r="EF50722"/>
      <c r="EG50722"/>
      <c r="EH50722"/>
      <c r="EI50722"/>
      <c r="EJ50722"/>
      <c r="EK50722"/>
    </row>
    <row r="50723" spans="1:141" s="116" customFormat="1">
      <c r="A50723" s="136"/>
      <c r="CM50723" s="111"/>
      <c r="CQ50723" s="111"/>
      <c r="EF50723"/>
      <c r="EG50723"/>
      <c r="EH50723"/>
      <c r="EI50723"/>
      <c r="EJ50723"/>
      <c r="EK50723"/>
    </row>
    <row r="50724" spans="1:141" s="116" customFormat="1">
      <c r="A50724" s="136"/>
      <c r="CM50724" s="111"/>
      <c r="CQ50724" s="111"/>
      <c r="EF50724"/>
      <c r="EG50724"/>
      <c r="EH50724"/>
      <c r="EI50724"/>
      <c r="EJ50724"/>
      <c r="EK50724"/>
    </row>
    <row r="50725" spans="1:141" s="116" customFormat="1">
      <c r="A50725" s="136"/>
      <c r="CM50725" s="111"/>
      <c r="CQ50725" s="111"/>
      <c r="EF50725"/>
      <c r="EG50725"/>
      <c r="EH50725"/>
      <c r="EI50725"/>
      <c r="EJ50725"/>
      <c r="EK50725"/>
    </row>
    <row r="50726" spans="1:141" s="116" customFormat="1">
      <c r="A50726" s="136"/>
      <c r="CM50726" s="111"/>
      <c r="CQ50726" s="111"/>
      <c r="EF50726"/>
      <c r="EG50726"/>
      <c r="EH50726"/>
      <c r="EI50726"/>
      <c r="EJ50726"/>
      <c r="EK50726"/>
    </row>
    <row r="50727" spans="1:141" s="116" customFormat="1">
      <c r="A50727" s="136"/>
      <c r="CM50727" s="111"/>
      <c r="CQ50727" s="111"/>
      <c r="EF50727"/>
      <c r="EG50727"/>
      <c r="EH50727"/>
      <c r="EI50727"/>
      <c r="EJ50727"/>
      <c r="EK50727"/>
    </row>
    <row r="50728" spans="1:141" s="116" customFormat="1">
      <c r="A50728" s="136"/>
      <c r="CM50728" s="111"/>
      <c r="CQ50728" s="111"/>
      <c r="EF50728"/>
      <c r="EG50728"/>
      <c r="EH50728"/>
      <c r="EI50728"/>
      <c r="EJ50728"/>
      <c r="EK50728"/>
    </row>
    <row r="50729" spans="1:141" s="116" customFormat="1">
      <c r="A50729" s="136"/>
      <c r="CM50729" s="111"/>
      <c r="CQ50729" s="111"/>
      <c r="EF50729"/>
      <c r="EG50729"/>
      <c r="EH50729"/>
      <c r="EI50729"/>
      <c r="EJ50729"/>
      <c r="EK50729"/>
    </row>
    <row r="50730" spans="1:141" s="116" customFormat="1">
      <c r="A50730" s="136"/>
      <c r="CM50730" s="111"/>
      <c r="CQ50730" s="111"/>
      <c r="EF50730"/>
      <c r="EG50730"/>
      <c r="EH50730"/>
      <c r="EI50730"/>
      <c r="EJ50730"/>
      <c r="EK50730"/>
    </row>
    <row r="50731" spans="1:141" s="116" customFormat="1">
      <c r="A50731" s="136"/>
      <c r="CM50731" s="111"/>
      <c r="CQ50731" s="111"/>
      <c r="EF50731"/>
      <c r="EG50731"/>
      <c r="EH50731"/>
      <c r="EI50731"/>
      <c r="EJ50731"/>
      <c r="EK50731"/>
    </row>
    <row r="50732" spans="1:141" s="116" customFormat="1">
      <c r="A50732" s="136"/>
      <c r="CM50732" s="111"/>
      <c r="CQ50732" s="111"/>
      <c r="EF50732"/>
      <c r="EG50732"/>
      <c r="EH50732"/>
      <c r="EI50732"/>
      <c r="EJ50732"/>
      <c r="EK50732"/>
    </row>
    <row r="50733" spans="1:141" s="116" customFormat="1">
      <c r="A50733" s="136"/>
      <c r="CM50733" s="111"/>
      <c r="CQ50733" s="111"/>
      <c r="EF50733"/>
      <c r="EG50733"/>
      <c r="EH50733"/>
      <c r="EI50733"/>
      <c r="EJ50733"/>
      <c r="EK50733"/>
    </row>
    <row r="50734" spans="1:141" s="116" customFormat="1">
      <c r="A50734" s="136"/>
      <c r="CM50734" s="111"/>
      <c r="CQ50734" s="111"/>
      <c r="EF50734"/>
      <c r="EG50734"/>
      <c r="EH50734"/>
      <c r="EI50734"/>
      <c r="EJ50734"/>
      <c r="EK50734"/>
    </row>
    <row r="50735" spans="1:141" s="116" customFormat="1">
      <c r="A50735" s="136"/>
      <c r="CM50735" s="111"/>
      <c r="CQ50735" s="111"/>
      <c r="EF50735"/>
      <c r="EG50735"/>
      <c r="EH50735"/>
      <c r="EI50735"/>
      <c r="EJ50735"/>
      <c r="EK50735"/>
    </row>
    <row r="50736" spans="1:141" s="116" customFormat="1">
      <c r="A50736" s="136"/>
      <c r="CM50736" s="111"/>
      <c r="CQ50736" s="111"/>
      <c r="EF50736"/>
      <c r="EG50736"/>
      <c r="EH50736"/>
      <c r="EI50736"/>
      <c r="EJ50736"/>
      <c r="EK50736"/>
    </row>
    <row r="50737" spans="1:141" s="116" customFormat="1">
      <c r="A50737" s="136"/>
      <c r="CM50737" s="111"/>
      <c r="CQ50737" s="111"/>
      <c r="EF50737"/>
      <c r="EG50737"/>
      <c r="EH50737"/>
      <c r="EI50737"/>
      <c r="EJ50737"/>
      <c r="EK50737"/>
    </row>
    <row r="50738" spans="1:141" s="116" customFormat="1">
      <c r="A50738" s="136"/>
      <c r="CM50738" s="111"/>
      <c r="CQ50738" s="111"/>
      <c r="EF50738"/>
      <c r="EG50738"/>
      <c r="EH50738"/>
      <c r="EI50738"/>
      <c r="EJ50738"/>
      <c r="EK50738"/>
    </row>
    <row r="50739" spans="1:141" s="116" customFormat="1">
      <c r="A50739" s="136"/>
      <c r="CM50739" s="111"/>
      <c r="CQ50739" s="111"/>
      <c r="EF50739"/>
      <c r="EG50739"/>
      <c r="EH50739"/>
      <c r="EI50739"/>
      <c r="EJ50739"/>
      <c r="EK50739"/>
    </row>
    <row r="50740" spans="1:141" s="116" customFormat="1">
      <c r="A50740" s="136"/>
      <c r="CM50740" s="111"/>
      <c r="CQ50740" s="111"/>
      <c r="EF50740"/>
      <c r="EG50740"/>
      <c r="EH50740"/>
      <c r="EI50740"/>
      <c r="EJ50740"/>
      <c r="EK50740"/>
    </row>
    <row r="50741" spans="1:141" s="116" customFormat="1">
      <c r="A50741" s="136"/>
      <c r="CM50741" s="111"/>
      <c r="CQ50741" s="111"/>
      <c r="EF50741"/>
      <c r="EG50741"/>
      <c r="EH50741"/>
      <c r="EI50741"/>
      <c r="EJ50741"/>
      <c r="EK50741"/>
    </row>
    <row r="50742" spans="1:141" s="116" customFormat="1">
      <c r="A50742" s="136"/>
      <c r="CM50742" s="111"/>
      <c r="CQ50742" s="111"/>
      <c r="EF50742"/>
      <c r="EG50742"/>
      <c r="EH50742"/>
      <c r="EI50742"/>
      <c r="EJ50742"/>
      <c r="EK50742"/>
    </row>
    <row r="50743" spans="1:141" s="116" customFormat="1">
      <c r="A50743" s="136"/>
      <c r="CM50743" s="111"/>
      <c r="CQ50743" s="111"/>
      <c r="EF50743"/>
      <c r="EG50743"/>
      <c r="EH50743"/>
      <c r="EI50743"/>
      <c r="EJ50743"/>
      <c r="EK50743"/>
    </row>
    <row r="50744" spans="1:141" s="116" customFormat="1">
      <c r="A50744" s="136"/>
      <c r="CM50744" s="111"/>
      <c r="CQ50744" s="111"/>
      <c r="EF50744"/>
      <c r="EG50744"/>
      <c r="EH50744"/>
      <c r="EI50744"/>
      <c r="EJ50744"/>
      <c r="EK50744"/>
    </row>
    <row r="50745" spans="1:141" s="116" customFormat="1">
      <c r="A50745" s="136"/>
      <c r="CM50745" s="111"/>
      <c r="CQ50745" s="111"/>
      <c r="EF50745"/>
      <c r="EG50745"/>
      <c r="EH50745"/>
      <c r="EI50745"/>
      <c r="EJ50745"/>
      <c r="EK50745"/>
    </row>
    <row r="50746" spans="1:141" s="116" customFormat="1">
      <c r="A50746" s="136"/>
      <c r="CM50746" s="111"/>
      <c r="CQ50746" s="111"/>
      <c r="EF50746"/>
      <c r="EG50746"/>
      <c r="EH50746"/>
      <c r="EI50746"/>
      <c r="EJ50746"/>
      <c r="EK50746"/>
    </row>
    <row r="50747" spans="1:141" s="116" customFormat="1">
      <c r="A50747" s="136"/>
      <c r="CM50747" s="111"/>
      <c r="CQ50747" s="111"/>
      <c r="EF50747"/>
      <c r="EG50747"/>
      <c r="EH50747"/>
      <c r="EI50747"/>
      <c r="EJ50747"/>
      <c r="EK50747"/>
    </row>
    <row r="50748" spans="1:141" s="116" customFormat="1">
      <c r="A50748" s="136"/>
      <c r="CM50748" s="111"/>
      <c r="CQ50748" s="111"/>
      <c r="EF50748"/>
      <c r="EG50748"/>
      <c r="EH50748"/>
      <c r="EI50748"/>
      <c r="EJ50748"/>
      <c r="EK50748"/>
    </row>
    <row r="50749" spans="1:141" s="116" customFormat="1">
      <c r="A50749" s="136"/>
      <c r="CM50749" s="111"/>
      <c r="CQ50749" s="111"/>
      <c r="EF50749"/>
      <c r="EG50749"/>
      <c r="EH50749"/>
      <c r="EI50749"/>
      <c r="EJ50749"/>
      <c r="EK50749"/>
    </row>
    <row r="50750" spans="1:141" s="116" customFormat="1">
      <c r="A50750" s="136"/>
      <c r="CM50750" s="111"/>
      <c r="CQ50750" s="111"/>
      <c r="EF50750"/>
      <c r="EG50750"/>
      <c r="EH50750"/>
      <c r="EI50750"/>
      <c r="EJ50750"/>
      <c r="EK50750"/>
    </row>
    <row r="50751" spans="1:141" s="116" customFormat="1">
      <c r="A50751" s="136"/>
      <c r="CM50751" s="111"/>
      <c r="CQ50751" s="111"/>
      <c r="EF50751"/>
      <c r="EG50751"/>
      <c r="EH50751"/>
      <c r="EI50751"/>
      <c r="EJ50751"/>
      <c r="EK50751"/>
    </row>
    <row r="50752" spans="1:141" s="116" customFormat="1">
      <c r="A50752" s="136"/>
      <c r="CM50752" s="111"/>
      <c r="CQ50752" s="111"/>
      <c r="EF50752"/>
      <c r="EG50752"/>
      <c r="EH50752"/>
      <c r="EI50752"/>
      <c r="EJ50752"/>
      <c r="EK50752"/>
    </row>
    <row r="50753" spans="1:141" s="116" customFormat="1">
      <c r="A50753" s="136"/>
      <c r="CM50753" s="111"/>
      <c r="CQ50753" s="111"/>
      <c r="EF50753"/>
      <c r="EG50753"/>
      <c r="EH50753"/>
      <c r="EI50753"/>
      <c r="EJ50753"/>
      <c r="EK50753"/>
    </row>
    <row r="50754" spans="1:141" s="116" customFormat="1">
      <c r="A50754" s="136"/>
      <c r="CM50754" s="111"/>
      <c r="CQ50754" s="111"/>
      <c r="EF50754"/>
      <c r="EG50754"/>
      <c r="EH50754"/>
      <c r="EI50754"/>
      <c r="EJ50754"/>
      <c r="EK50754"/>
    </row>
    <row r="50755" spans="1:141" s="116" customFormat="1">
      <c r="A50755" s="136"/>
      <c r="CM50755" s="111"/>
      <c r="CQ50755" s="111"/>
      <c r="EF50755"/>
      <c r="EG50755"/>
      <c r="EH50755"/>
      <c r="EI50755"/>
      <c r="EJ50755"/>
      <c r="EK50755"/>
    </row>
    <row r="50756" spans="1:141" s="116" customFormat="1">
      <c r="A50756" s="136"/>
      <c r="CM50756" s="111"/>
      <c r="CQ50756" s="111"/>
      <c r="EF50756"/>
      <c r="EG50756"/>
      <c r="EH50756"/>
      <c r="EI50756"/>
      <c r="EJ50756"/>
      <c r="EK50756"/>
    </row>
    <row r="50757" spans="1:141" s="116" customFormat="1">
      <c r="A50757" s="136"/>
      <c r="CM50757" s="111"/>
      <c r="CQ50757" s="111"/>
      <c r="EF50757"/>
      <c r="EG50757"/>
      <c r="EH50757"/>
      <c r="EI50757"/>
      <c r="EJ50757"/>
      <c r="EK50757"/>
    </row>
    <row r="50758" spans="1:141" s="116" customFormat="1">
      <c r="A50758" s="136"/>
      <c r="CM50758" s="111"/>
      <c r="CQ50758" s="111"/>
      <c r="EF50758"/>
      <c r="EG50758"/>
      <c r="EH50758"/>
      <c r="EI50758"/>
      <c r="EJ50758"/>
      <c r="EK50758"/>
    </row>
    <row r="50759" spans="1:141" s="116" customFormat="1">
      <c r="A50759" s="136"/>
      <c r="CM50759" s="111"/>
      <c r="CQ50759" s="111"/>
      <c r="EF50759"/>
      <c r="EG50759"/>
      <c r="EH50759"/>
      <c r="EI50759"/>
      <c r="EJ50759"/>
      <c r="EK50759"/>
    </row>
    <row r="50760" spans="1:141" s="116" customFormat="1">
      <c r="A50760" s="136"/>
      <c r="CM50760" s="111"/>
      <c r="CQ50760" s="111"/>
      <c r="EF50760"/>
      <c r="EG50760"/>
      <c r="EH50760"/>
      <c r="EI50760"/>
      <c r="EJ50760"/>
      <c r="EK50760"/>
    </row>
    <row r="50761" spans="1:141" s="116" customFormat="1">
      <c r="A50761" s="136"/>
      <c r="CM50761" s="111"/>
      <c r="CQ50761" s="111"/>
      <c r="EF50761"/>
      <c r="EG50761"/>
      <c r="EH50761"/>
      <c r="EI50761"/>
      <c r="EJ50761"/>
      <c r="EK50761"/>
    </row>
    <row r="50762" spans="1:141" s="116" customFormat="1">
      <c r="A50762" s="136"/>
      <c r="CM50762" s="111"/>
      <c r="CQ50762" s="111"/>
      <c r="EF50762"/>
      <c r="EG50762"/>
      <c r="EH50762"/>
      <c r="EI50762"/>
      <c r="EJ50762"/>
      <c r="EK50762"/>
    </row>
    <row r="50763" spans="1:141" s="116" customFormat="1">
      <c r="A50763" s="136"/>
      <c r="CM50763" s="111"/>
      <c r="CQ50763" s="111"/>
      <c r="EF50763"/>
      <c r="EG50763"/>
      <c r="EH50763"/>
      <c r="EI50763"/>
      <c r="EJ50763"/>
      <c r="EK50763"/>
    </row>
    <row r="50764" spans="1:141" s="116" customFormat="1">
      <c r="A50764" s="136"/>
      <c r="CM50764" s="111"/>
      <c r="CQ50764" s="111"/>
      <c r="EF50764"/>
      <c r="EG50764"/>
      <c r="EH50764"/>
      <c r="EI50764"/>
      <c r="EJ50764"/>
      <c r="EK50764"/>
    </row>
    <row r="50765" spans="1:141" s="116" customFormat="1">
      <c r="A50765" s="136"/>
      <c r="CM50765" s="111"/>
      <c r="CQ50765" s="111"/>
      <c r="EF50765"/>
      <c r="EG50765"/>
      <c r="EH50765"/>
      <c r="EI50765"/>
      <c r="EJ50765"/>
      <c r="EK50765"/>
    </row>
    <row r="50766" spans="1:141" s="116" customFormat="1">
      <c r="A50766" s="136"/>
      <c r="CM50766" s="111"/>
      <c r="CQ50766" s="111"/>
      <c r="EF50766"/>
      <c r="EG50766"/>
      <c r="EH50766"/>
      <c r="EI50766"/>
      <c r="EJ50766"/>
      <c r="EK50766"/>
    </row>
    <row r="50767" spans="1:141" s="116" customFormat="1">
      <c r="A50767" s="136"/>
      <c r="CM50767" s="111"/>
      <c r="CQ50767" s="111"/>
      <c r="EF50767"/>
      <c r="EG50767"/>
      <c r="EH50767"/>
      <c r="EI50767"/>
      <c r="EJ50767"/>
      <c r="EK50767"/>
    </row>
    <row r="50768" spans="1:141" s="116" customFormat="1">
      <c r="A50768" s="136"/>
      <c r="CM50768" s="111"/>
      <c r="CQ50768" s="111"/>
      <c r="EF50768"/>
      <c r="EG50768"/>
      <c r="EH50768"/>
      <c r="EI50768"/>
      <c r="EJ50768"/>
      <c r="EK50768"/>
    </row>
    <row r="50769" spans="1:141" s="116" customFormat="1">
      <c r="A50769" s="136"/>
      <c r="CM50769" s="111"/>
      <c r="CQ50769" s="111"/>
      <c r="EF50769"/>
      <c r="EG50769"/>
      <c r="EH50769"/>
      <c r="EI50769"/>
      <c r="EJ50769"/>
      <c r="EK50769"/>
    </row>
    <row r="50770" spans="1:141" s="116" customFormat="1">
      <c r="A50770" s="136"/>
      <c r="CM50770" s="111"/>
      <c r="CQ50770" s="111"/>
      <c r="EF50770"/>
      <c r="EG50770"/>
      <c r="EH50770"/>
      <c r="EI50770"/>
      <c r="EJ50770"/>
      <c r="EK50770"/>
    </row>
    <row r="50771" spans="1:141" s="116" customFormat="1">
      <c r="A50771" s="136"/>
      <c r="CM50771" s="111"/>
      <c r="CQ50771" s="111"/>
      <c r="EF50771"/>
      <c r="EG50771"/>
      <c r="EH50771"/>
      <c r="EI50771"/>
      <c r="EJ50771"/>
      <c r="EK50771"/>
    </row>
    <row r="50772" spans="1:141" s="116" customFormat="1">
      <c r="A50772" s="136"/>
      <c r="CM50772" s="111"/>
      <c r="CQ50772" s="111"/>
      <c r="EF50772"/>
      <c r="EG50772"/>
      <c r="EH50772"/>
      <c r="EI50772"/>
      <c r="EJ50772"/>
      <c r="EK50772"/>
    </row>
    <row r="50773" spans="1:141" s="116" customFormat="1">
      <c r="A50773" s="136"/>
      <c r="CM50773" s="111"/>
      <c r="CQ50773" s="111"/>
      <c r="EF50773"/>
      <c r="EG50773"/>
      <c r="EH50773"/>
      <c r="EI50773"/>
      <c r="EJ50773"/>
      <c r="EK50773"/>
    </row>
    <row r="50774" spans="1:141" s="116" customFormat="1">
      <c r="A50774" s="136"/>
      <c r="CM50774" s="111"/>
      <c r="CQ50774" s="111"/>
      <c r="EF50774"/>
      <c r="EG50774"/>
      <c r="EH50774"/>
      <c r="EI50774"/>
      <c r="EJ50774"/>
      <c r="EK50774"/>
    </row>
    <row r="50775" spans="1:141" s="116" customFormat="1">
      <c r="A50775" s="136"/>
      <c r="CM50775" s="111"/>
      <c r="CQ50775" s="111"/>
      <c r="EF50775"/>
      <c r="EG50775"/>
      <c r="EH50775"/>
      <c r="EI50775"/>
      <c r="EJ50775"/>
      <c r="EK50775"/>
    </row>
    <row r="50776" spans="1:141" s="116" customFormat="1">
      <c r="A50776" s="136"/>
      <c r="CM50776" s="111"/>
      <c r="CQ50776" s="111"/>
      <c r="EF50776"/>
      <c r="EG50776"/>
      <c r="EH50776"/>
      <c r="EI50776"/>
      <c r="EJ50776"/>
      <c r="EK50776"/>
    </row>
    <row r="50777" spans="1:141" s="116" customFormat="1">
      <c r="A50777" s="136"/>
      <c r="CM50777" s="111"/>
      <c r="CQ50777" s="111"/>
      <c r="EF50777"/>
      <c r="EG50777"/>
      <c r="EH50777"/>
      <c r="EI50777"/>
      <c r="EJ50777"/>
      <c r="EK50777"/>
    </row>
    <row r="50778" spans="1:141" s="116" customFormat="1">
      <c r="A50778" s="136"/>
      <c r="CM50778" s="111"/>
      <c r="CQ50778" s="111"/>
      <c r="EF50778"/>
      <c r="EG50778"/>
      <c r="EH50778"/>
      <c r="EI50778"/>
      <c r="EJ50778"/>
      <c r="EK50778"/>
    </row>
    <row r="50779" spans="1:141" s="116" customFormat="1">
      <c r="A50779" s="136"/>
      <c r="CM50779" s="111"/>
      <c r="CQ50779" s="111"/>
      <c r="EF50779"/>
      <c r="EG50779"/>
      <c r="EH50779"/>
      <c r="EI50779"/>
      <c r="EJ50779"/>
      <c r="EK50779"/>
    </row>
    <row r="50780" spans="1:141" s="116" customFormat="1">
      <c r="A50780" s="136"/>
      <c r="CM50780" s="111"/>
      <c r="CQ50780" s="111"/>
      <c r="EF50780"/>
      <c r="EG50780"/>
      <c r="EH50780"/>
      <c r="EI50780"/>
      <c r="EJ50780"/>
      <c r="EK50780"/>
    </row>
    <row r="50781" spans="1:141" s="116" customFormat="1">
      <c r="A50781" s="136"/>
      <c r="CM50781" s="111"/>
      <c r="CQ50781" s="111"/>
      <c r="EF50781"/>
      <c r="EG50781"/>
      <c r="EH50781"/>
      <c r="EI50781"/>
      <c r="EJ50781"/>
      <c r="EK50781"/>
    </row>
    <row r="50782" spans="1:141" s="116" customFormat="1">
      <c r="A50782" s="136"/>
      <c r="CM50782" s="111"/>
      <c r="CQ50782" s="111"/>
      <c r="EF50782"/>
      <c r="EG50782"/>
      <c r="EH50782"/>
      <c r="EI50782"/>
      <c r="EJ50782"/>
      <c r="EK50782"/>
    </row>
    <row r="50783" spans="1:141" s="116" customFormat="1">
      <c r="A50783" s="136"/>
      <c r="CM50783" s="111"/>
      <c r="CQ50783" s="111"/>
      <c r="EF50783"/>
      <c r="EG50783"/>
      <c r="EH50783"/>
      <c r="EI50783"/>
      <c r="EJ50783"/>
      <c r="EK50783"/>
    </row>
    <row r="50784" spans="1:141" s="116" customFormat="1">
      <c r="A50784" s="136"/>
      <c r="CM50784" s="111"/>
      <c r="CQ50784" s="111"/>
      <c r="EF50784"/>
      <c r="EG50784"/>
      <c r="EH50784"/>
      <c r="EI50784"/>
      <c r="EJ50784"/>
      <c r="EK50784"/>
    </row>
    <row r="50785" spans="1:141" s="116" customFormat="1">
      <c r="A50785" s="136"/>
      <c r="CM50785" s="111"/>
      <c r="CQ50785" s="111"/>
      <c r="EF50785"/>
      <c r="EG50785"/>
      <c r="EH50785"/>
      <c r="EI50785"/>
      <c r="EJ50785"/>
      <c r="EK50785"/>
    </row>
    <row r="50786" spans="1:141" s="116" customFormat="1">
      <c r="A50786" s="136"/>
      <c r="CM50786" s="111"/>
      <c r="CQ50786" s="111"/>
      <c r="EF50786"/>
      <c r="EG50786"/>
      <c r="EH50786"/>
      <c r="EI50786"/>
      <c r="EJ50786"/>
      <c r="EK50786"/>
    </row>
    <row r="50787" spans="1:141" s="116" customFormat="1">
      <c r="A50787" s="136"/>
      <c r="CM50787" s="111"/>
      <c r="CQ50787" s="111"/>
      <c r="EF50787"/>
      <c r="EG50787"/>
      <c r="EH50787"/>
      <c r="EI50787"/>
      <c r="EJ50787"/>
      <c r="EK50787"/>
    </row>
    <row r="50788" spans="1:141" s="116" customFormat="1">
      <c r="A50788" s="136"/>
      <c r="CM50788" s="111"/>
      <c r="CQ50788" s="111"/>
      <c r="EF50788"/>
      <c r="EG50788"/>
      <c r="EH50788"/>
      <c r="EI50788"/>
      <c r="EJ50788"/>
      <c r="EK50788"/>
    </row>
    <row r="50789" spans="1:141" s="116" customFormat="1">
      <c r="A50789" s="136"/>
      <c r="CM50789" s="111"/>
      <c r="CQ50789" s="111"/>
      <c r="EF50789"/>
      <c r="EG50789"/>
      <c r="EH50789"/>
      <c r="EI50789"/>
      <c r="EJ50789"/>
      <c r="EK50789"/>
    </row>
    <row r="50790" spans="1:141" s="116" customFormat="1">
      <c r="A50790" s="136"/>
      <c r="CM50790" s="111"/>
      <c r="CQ50790" s="111"/>
      <c r="EF50790"/>
      <c r="EG50790"/>
      <c r="EH50790"/>
      <c r="EI50790"/>
      <c r="EJ50790"/>
      <c r="EK50790"/>
    </row>
    <row r="50791" spans="1:141" s="116" customFormat="1">
      <c r="A50791" s="136"/>
      <c r="CM50791" s="111"/>
      <c r="CQ50791" s="111"/>
      <c r="EF50791"/>
      <c r="EG50791"/>
      <c r="EH50791"/>
      <c r="EI50791"/>
      <c r="EJ50791"/>
      <c r="EK50791"/>
    </row>
    <row r="50792" spans="1:141" s="116" customFormat="1">
      <c r="A50792" s="136"/>
      <c r="CM50792" s="111"/>
      <c r="CQ50792" s="111"/>
      <c r="EF50792"/>
      <c r="EG50792"/>
      <c r="EH50792"/>
      <c r="EI50792"/>
      <c r="EJ50792"/>
      <c r="EK50792"/>
    </row>
    <row r="50793" spans="1:141" s="116" customFormat="1">
      <c r="A50793" s="136"/>
      <c r="CM50793" s="111"/>
      <c r="CQ50793" s="111"/>
      <c r="EF50793"/>
      <c r="EG50793"/>
      <c r="EH50793"/>
      <c r="EI50793"/>
      <c r="EJ50793"/>
      <c r="EK50793"/>
    </row>
    <row r="50794" spans="1:141" s="116" customFormat="1">
      <c r="A50794" s="136"/>
      <c r="CM50794" s="111"/>
      <c r="CQ50794" s="111"/>
      <c r="EF50794"/>
      <c r="EG50794"/>
      <c r="EH50794"/>
      <c r="EI50794"/>
      <c r="EJ50794"/>
      <c r="EK50794"/>
    </row>
    <row r="50795" spans="1:141" s="116" customFormat="1">
      <c r="A50795" s="136"/>
      <c r="CM50795" s="111"/>
      <c r="CQ50795" s="111"/>
      <c r="EF50795"/>
      <c r="EG50795"/>
      <c r="EH50795"/>
      <c r="EI50795"/>
      <c r="EJ50795"/>
      <c r="EK50795"/>
    </row>
    <row r="50796" spans="1:141" s="116" customFormat="1">
      <c r="A50796" s="136"/>
      <c r="CM50796" s="111"/>
      <c r="CQ50796" s="111"/>
      <c r="EF50796"/>
      <c r="EG50796"/>
      <c r="EH50796"/>
      <c r="EI50796"/>
      <c r="EJ50796"/>
      <c r="EK50796"/>
    </row>
    <row r="50797" spans="1:141" s="116" customFormat="1">
      <c r="A50797" s="136"/>
      <c r="CM50797" s="111"/>
      <c r="CQ50797" s="111"/>
      <c r="EF50797"/>
      <c r="EG50797"/>
      <c r="EH50797"/>
      <c r="EI50797"/>
      <c r="EJ50797"/>
      <c r="EK50797"/>
    </row>
    <row r="50798" spans="1:141" s="116" customFormat="1">
      <c r="A50798" s="136"/>
      <c r="CM50798" s="111"/>
      <c r="CQ50798" s="111"/>
      <c r="EF50798"/>
      <c r="EG50798"/>
      <c r="EH50798"/>
      <c r="EI50798"/>
      <c r="EJ50798"/>
      <c r="EK50798"/>
    </row>
    <row r="50799" spans="1:141" s="116" customFormat="1">
      <c r="A50799" s="136"/>
      <c r="CM50799" s="111"/>
      <c r="CQ50799" s="111"/>
      <c r="EF50799"/>
      <c r="EG50799"/>
      <c r="EH50799"/>
      <c r="EI50799"/>
      <c r="EJ50799"/>
      <c r="EK50799"/>
    </row>
    <row r="50800" spans="1:141" s="116" customFormat="1">
      <c r="A50800" s="136"/>
      <c r="CM50800" s="111"/>
      <c r="CQ50800" s="111"/>
      <c r="EF50800"/>
      <c r="EG50800"/>
      <c r="EH50800"/>
      <c r="EI50800"/>
      <c r="EJ50800"/>
      <c r="EK50800"/>
    </row>
    <row r="50801" spans="1:141" s="116" customFormat="1">
      <c r="A50801" s="136"/>
      <c r="CM50801" s="111"/>
      <c r="CQ50801" s="111"/>
      <c r="EF50801"/>
      <c r="EG50801"/>
      <c r="EH50801"/>
      <c r="EI50801"/>
      <c r="EJ50801"/>
      <c r="EK50801"/>
    </row>
    <row r="50802" spans="1:141" s="116" customFormat="1">
      <c r="A50802" s="136"/>
      <c r="CM50802" s="111"/>
      <c r="CQ50802" s="111"/>
      <c r="EF50802"/>
      <c r="EG50802"/>
      <c r="EH50802"/>
      <c r="EI50802"/>
      <c r="EJ50802"/>
      <c r="EK50802"/>
    </row>
    <row r="50803" spans="1:141" s="116" customFormat="1">
      <c r="A50803" s="136"/>
      <c r="CM50803" s="111"/>
      <c r="CQ50803" s="111"/>
      <c r="EF50803"/>
      <c r="EG50803"/>
      <c r="EH50803"/>
      <c r="EI50803"/>
      <c r="EJ50803"/>
      <c r="EK50803"/>
    </row>
    <row r="50804" spans="1:141" s="116" customFormat="1">
      <c r="A50804" s="136"/>
      <c r="CM50804" s="111"/>
      <c r="CQ50804" s="111"/>
      <c r="EF50804"/>
      <c r="EG50804"/>
      <c r="EH50804"/>
      <c r="EI50804"/>
      <c r="EJ50804"/>
      <c r="EK50804"/>
    </row>
    <row r="50805" spans="1:141" s="116" customFormat="1">
      <c r="A50805" s="136"/>
      <c r="CM50805" s="111"/>
      <c r="CQ50805" s="111"/>
      <c r="EF50805"/>
      <c r="EG50805"/>
      <c r="EH50805"/>
      <c r="EI50805"/>
      <c r="EJ50805"/>
      <c r="EK50805"/>
    </row>
    <row r="50806" spans="1:141" s="116" customFormat="1">
      <c r="A50806" s="136"/>
      <c r="CM50806" s="111"/>
      <c r="CQ50806" s="111"/>
      <c r="EF50806"/>
      <c r="EG50806"/>
      <c r="EH50806"/>
      <c r="EI50806"/>
      <c r="EJ50806"/>
      <c r="EK50806"/>
    </row>
    <row r="50807" spans="1:141" s="116" customFormat="1">
      <c r="A50807" s="136"/>
      <c r="CM50807" s="111"/>
      <c r="CQ50807" s="111"/>
      <c r="EF50807"/>
      <c r="EG50807"/>
      <c r="EH50807"/>
      <c r="EI50807"/>
      <c r="EJ50807"/>
      <c r="EK50807"/>
    </row>
    <row r="50808" spans="1:141" s="116" customFormat="1">
      <c r="A50808" s="136"/>
      <c r="CM50808" s="111"/>
      <c r="CQ50808" s="111"/>
      <c r="EF50808"/>
      <c r="EG50808"/>
      <c r="EH50808"/>
      <c r="EI50808"/>
      <c r="EJ50808"/>
      <c r="EK50808"/>
    </row>
    <row r="50809" spans="1:141" s="116" customFormat="1">
      <c r="A50809" s="136"/>
      <c r="CM50809" s="111"/>
      <c r="CQ50809" s="111"/>
      <c r="EF50809"/>
      <c r="EG50809"/>
      <c r="EH50809"/>
      <c r="EI50809"/>
      <c r="EJ50809"/>
      <c r="EK50809"/>
    </row>
    <row r="50810" spans="1:141" s="116" customFormat="1">
      <c r="A50810" s="136"/>
      <c r="CM50810" s="111"/>
      <c r="CQ50810" s="111"/>
      <c r="EF50810"/>
      <c r="EG50810"/>
      <c r="EH50810"/>
      <c r="EI50810"/>
      <c r="EJ50810"/>
      <c r="EK50810"/>
    </row>
    <row r="50811" spans="1:141" s="116" customFormat="1">
      <c r="A50811" s="136"/>
      <c r="CM50811" s="111"/>
      <c r="CQ50811" s="111"/>
      <c r="EF50811"/>
      <c r="EG50811"/>
      <c r="EH50811"/>
      <c r="EI50811"/>
      <c r="EJ50811"/>
      <c r="EK50811"/>
    </row>
    <row r="50812" spans="1:141" s="116" customFormat="1">
      <c r="A50812" s="136"/>
      <c r="CM50812" s="111"/>
      <c r="CQ50812" s="111"/>
      <c r="EF50812"/>
      <c r="EG50812"/>
      <c r="EH50812"/>
      <c r="EI50812"/>
      <c r="EJ50812"/>
      <c r="EK50812"/>
    </row>
    <row r="50813" spans="1:141" s="116" customFormat="1">
      <c r="A50813" s="136"/>
      <c r="CM50813" s="111"/>
      <c r="CQ50813" s="111"/>
      <c r="EF50813"/>
      <c r="EG50813"/>
      <c r="EH50813"/>
      <c r="EI50813"/>
      <c r="EJ50813"/>
      <c r="EK50813"/>
    </row>
    <row r="50814" spans="1:141" s="116" customFormat="1">
      <c r="A50814" s="136"/>
      <c r="CM50814" s="111"/>
      <c r="CQ50814" s="111"/>
      <c r="EF50814"/>
      <c r="EG50814"/>
      <c r="EH50814"/>
      <c r="EI50814"/>
      <c r="EJ50814"/>
      <c r="EK50814"/>
    </row>
    <row r="50815" spans="1:141" s="116" customFormat="1">
      <c r="A50815" s="136"/>
      <c r="CM50815" s="111"/>
      <c r="CQ50815" s="111"/>
      <c r="EF50815"/>
      <c r="EG50815"/>
      <c r="EH50815"/>
      <c r="EI50815"/>
      <c r="EJ50815"/>
      <c r="EK50815"/>
    </row>
    <row r="50816" spans="1:141" s="116" customFormat="1">
      <c r="A50816" s="136"/>
      <c r="CM50816" s="111"/>
      <c r="CQ50816" s="111"/>
      <c r="EF50816"/>
      <c r="EG50816"/>
      <c r="EH50816"/>
      <c r="EI50816"/>
      <c r="EJ50816"/>
      <c r="EK50816"/>
    </row>
    <row r="50817" spans="1:141" s="116" customFormat="1">
      <c r="A50817" s="136"/>
      <c r="CM50817" s="111"/>
      <c r="CQ50817" s="111"/>
      <c r="EF50817"/>
      <c r="EG50817"/>
      <c r="EH50817"/>
      <c r="EI50817"/>
      <c r="EJ50817"/>
      <c r="EK50817"/>
    </row>
    <row r="50818" spans="1:141" s="116" customFormat="1">
      <c r="A50818" s="136"/>
      <c r="CM50818" s="111"/>
      <c r="CQ50818" s="111"/>
      <c r="EF50818"/>
      <c r="EG50818"/>
      <c r="EH50818"/>
      <c r="EI50818"/>
      <c r="EJ50818"/>
      <c r="EK50818"/>
    </row>
    <row r="50819" spans="1:141" s="116" customFormat="1">
      <c r="A50819" s="136"/>
      <c r="CM50819" s="111"/>
      <c r="CQ50819" s="111"/>
      <c r="EF50819"/>
      <c r="EG50819"/>
      <c r="EH50819"/>
      <c r="EI50819"/>
      <c r="EJ50819"/>
      <c r="EK50819"/>
    </row>
    <row r="50820" spans="1:141" s="116" customFormat="1">
      <c r="A50820" s="136"/>
      <c r="CM50820" s="111"/>
      <c r="CQ50820" s="111"/>
      <c r="EF50820"/>
      <c r="EG50820"/>
      <c r="EH50820"/>
      <c r="EI50820"/>
      <c r="EJ50820"/>
      <c r="EK50820"/>
    </row>
    <row r="50821" spans="1:141" s="116" customFormat="1">
      <c r="A50821" s="136"/>
      <c r="CM50821" s="111"/>
      <c r="CQ50821" s="111"/>
      <c r="EF50821"/>
      <c r="EG50821"/>
      <c r="EH50821"/>
      <c r="EI50821"/>
      <c r="EJ50821"/>
      <c r="EK50821"/>
    </row>
    <row r="50822" spans="1:141" s="116" customFormat="1">
      <c r="A50822" s="136"/>
      <c r="CM50822" s="111"/>
      <c r="CQ50822" s="111"/>
      <c r="EF50822"/>
      <c r="EG50822"/>
      <c r="EH50822"/>
      <c r="EI50822"/>
      <c r="EJ50822"/>
      <c r="EK50822"/>
    </row>
    <row r="50823" spans="1:141" s="116" customFormat="1">
      <c r="A50823" s="136"/>
      <c r="CM50823" s="111"/>
      <c r="CQ50823" s="111"/>
      <c r="EF50823"/>
      <c r="EG50823"/>
      <c r="EH50823"/>
      <c r="EI50823"/>
      <c r="EJ50823"/>
      <c r="EK50823"/>
    </row>
    <row r="50824" spans="1:141" s="116" customFormat="1">
      <c r="A50824" s="136"/>
      <c r="CM50824" s="111"/>
      <c r="CQ50824" s="111"/>
      <c r="EF50824"/>
      <c r="EG50824"/>
      <c r="EH50824"/>
      <c r="EI50824"/>
      <c r="EJ50824"/>
      <c r="EK50824"/>
    </row>
    <row r="50825" spans="1:141" s="116" customFormat="1">
      <c r="A50825" s="136"/>
      <c r="CM50825" s="111"/>
      <c r="CQ50825" s="111"/>
      <c r="EF50825"/>
      <c r="EG50825"/>
      <c r="EH50825"/>
      <c r="EI50825"/>
      <c r="EJ50825"/>
      <c r="EK50825"/>
    </row>
    <row r="50826" spans="1:141" s="116" customFormat="1">
      <c r="A50826" s="136"/>
      <c r="CM50826" s="111"/>
      <c r="CQ50826" s="111"/>
      <c r="EF50826"/>
      <c r="EG50826"/>
      <c r="EH50826"/>
      <c r="EI50826"/>
      <c r="EJ50826"/>
      <c r="EK50826"/>
    </row>
    <row r="50827" spans="1:141" s="116" customFormat="1">
      <c r="A50827" s="136"/>
      <c r="CM50827" s="111"/>
      <c r="CQ50827" s="111"/>
      <c r="EF50827"/>
      <c r="EG50827"/>
      <c r="EH50827"/>
      <c r="EI50827"/>
      <c r="EJ50827"/>
      <c r="EK50827"/>
    </row>
    <row r="50828" spans="1:141" s="116" customFormat="1">
      <c r="A50828" s="136"/>
      <c r="CM50828" s="111"/>
      <c r="CQ50828" s="111"/>
      <c r="EF50828"/>
      <c r="EG50828"/>
      <c r="EH50828"/>
      <c r="EI50828"/>
      <c r="EJ50828"/>
      <c r="EK50828"/>
    </row>
    <row r="50829" spans="1:141" s="116" customFormat="1">
      <c r="A50829" s="136"/>
      <c r="CM50829" s="111"/>
      <c r="CQ50829" s="111"/>
      <c r="EF50829"/>
      <c r="EG50829"/>
      <c r="EH50829"/>
      <c r="EI50829"/>
      <c r="EJ50829"/>
      <c r="EK50829"/>
    </row>
    <row r="50830" spans="1:141" s="116" customFormat="1">
      <c r="A50830" s="136"/>
      <c r="CM50830" s="111"/>
      <c r="CQ50830" s="111"/>
      <c r="EF50830"/>
      <c r="EG50830"/>
      <c r="EH50830"/>
      <c r="EI50830"/>
      <c r="EJ50830"/>
      <c r="EK50830"/>
    </row>
    <row r="50831" spans="1:141" s="116" customFormat="1">
      <c r="A50831" s="136"/>
      <c r="CM50831" s="111"/>
      <c r="CQ50831" s="111"/>
      <c r="EF50831"/>
      <c r="EG50831"/>
      <c r="EH50831"/>
      <c r="EI50831"/>
      <c r="EJ50831"/>
      <c r="EK50831"/>
    </row>
    <row r="50832" spans="1:141" s="116" customFormat="1">
      <c r="A50832" s="136"/>
      <c r="CM50832" s="111"/>
      <c r="CQ50832" s="111"/>
      <c r="EF50832"/>
      <c r="EG50832"/>
      <c r="EH50832"/>
      <c r="EI50832"/>
      <c r="EJ50832"/>
      <c r="EK50832"/>
    </row>
    <row r="50833" spans="1:141" s="116" customFormat="1">
      <c r="A50833" s="136"/>
      <c r="CM50833" s="111"/>
      <c r="CQ50833" s="111"/>
      <c r="EF50833"/>
      <c r="EG50833"/>
      <c r="EH50833"/>
      <c r="EI50833"/>
      <c r="EJ50833"/>
      <c r="EK50833"/>
    </row>
    <row r="50834" spans="1:141" s="116" customFormat="1">
      <c r="A50834" s="136"/>
      <c r="CM50834" s="111"/>
      <c r="CQ50834" s="111"/>
      <c r="EF50834"/>
      <c r="EG50834"/>
      <c r="EH50834"/>
      <c r="EI50834"/>
      <c r="EJ50834"/>
      <c r="EK50834"/>
    </row>
    <row r="50835" spans="1:141" s="116" customFormat="1">
      <c r="A50835" s="136"/>
      <c r="CM50835" s="111"/>
      <c r="CQ50835" s="111"/>
      <c r="EF50835"/>
      <c r="EG50835"/>
      <c r="EH50835"/>
      <c r="EI50835"/>
      <c r="EJ50835"/>
      <c r="EK50835"/>
    </row>
    <row r="50836" spans="1:141" s="116" customFormat="1">
      <c r="A50836" s="136"/>
      <c r="CM50836" s="111"/>
      <c r="CQ50836" s="111"/>
      <c r="EF50836"/>
      <c r="EG50836"/>
      <c r="EH50836"/>
      <c r="EI50836"/>
      <c r="EJ50836"/>
      <c r="EK50836"/>
    </row>
    <row r="50837" spans="1:141" s="116" customFormat="1">
      <c r="A50837" s="136"/>
      <c r="CM50837" s="111"/>
      <c r="CQ50837" s="111"/>
      <c r="EF50837"/>
      <c r="EG50837"/>
      <c r="EH50837"/>
      <c r="EI50837"/>
      <c r="EJ50837"/>
      <c r="EK50837"/>
    </row>
    <row r="50838" spans="1:141" s="116" customFormat="1">
      <c r="A50838" s="136"/>
      <c r="CM50838" s="111"/>
      <c r="CQ50838" s="111"/>
      <c r="EF50838"/>
      <c r="EG50838"/>
      <c r="EH50838"/>
      <c r="EI50838"/>
      <c r="EJ50838"/>
      <c r="EK50838"/>
    </row>
    <row r="50839" spans="1:141" s="116" customFormat="1">
      <c r="A50839" s="136"/>
      <c r="CM50839" s="111"/>
      <c r="CQ50839" s="111"/>
      <c r="EF50839"/>
      <c r="EG50839"/>
      <c r="EH50839"/>
      <c r="EI50839"/>
      <c r="EJ50839"/>
      <c r="EK50839"/>
    </row>
    <row r="50840" spans="1:141" s="116" customFormat="1">
      <c r="A50840" s="136"/>
      <c r="CM50840" s="111"/>
      <c r="CQ50840" s="111"/>
      <c r="EF50840"/>
      <c r="EG50840"/>
      <c r="EH50840"/>
      <c r="EI50840"/>
      <c r="EJ50840"/>
      <c r="EK50840"/>
    </row>
    <row r="50841" spans="1:141" s="116" customFormat="1">
      <c r="A50841" s="136"/>
      <c r="CM50841" s="111"/>
      <c r="CQ50841" s="111"/>
      <c r="EF50841"/>
      <c r="EG50841"/>
      <c r="EH50841"/>
      <c r="EI50841"/>
      <c r="EJ50841"/>
      <c r="EK50841"/>
    </row>
    <row r="50842" spans="1:141" s="116" customFormat="1">
      <c r="A50842" s="136"/>
      <c r="CM50842" s="111"/>
      <c r="CQ50842" s="111"/>
      <c r="EF50842"/>
      <c r="EG50842"/>
      <c r="EH50842"/>
      <c r="EI50842"/>
      <c r="EJ50842"/>
      <c r="EK50842"/>
    </row>
    <row r="50843" spans="1:141" s="116" customFormat="1">
      <c r="A50843" s="136"/>
      <c r="CM50843" s="111"/>
      <c r="CQ50843" s="111"/>
      <c r="EF50843"/>
      <c r="EG50843"/>
      <c r="EH50843"/>
      <c r="EI50843"/>
      <c r="EJ50843"/>
      <c r="EK50843"/>
    </row>
    <row r="50844" spans="1:141" s="116" customFormat="1">
      <c r="A50844" s="136"/>
      <c r="CM50844" s="111"/>
      <c r="CQ50844" s="111"/>
      <c r="EF50844"/>
      <c r="EG50844"/>
      <c r="EH50844"/>
      <c r="EI50844"/>
      <c r="EJ50844"/>
      <c r="EK50844"/>
    </row>
    <row r="50845" spans="1:141" s="116" customFormat="1">
      <c r="A50845" s="136"/>
      <c r="CM50845" s="111"/>
      <c r="CQ50845" s="111"/>
      <c r="EF50845"/>
      <c r="EG50845"/>
      <c r="EH50845"/>
      <c r="EI50845"/>
      <c r="EJ50845"/>
      <c r="EK50845"/>
    </row>
    <row r="50846" spans="1:141" s="116" customFormat="1">
      <c r="A50846" s="136"/>
      <c r="CM50846" s="111"/>
      <c r="CQ50846" s="111"/>
      <c r="EF50846"/>
      <c r="EG50846"/>
      <c r="EH50846"/>
      <c r="EI50846"/>
      <c r="EJ50846"/>
      <c r="EK50846"/>
    </row>
    <row r="50847" spans="1:141" s="116" customFormat="1">
      <c r="A50847" s="136"/>
      <c r="CM50847" s="111"/>
      <c r="CQ50847" s="111"/>
      <c r="EF50847"/>
      <c r="EG50847"/>
      <c r="EH50847"/>
      <c r="EI50847"/>
      <c r="EJ50847"/>
      <c r="EK50847"/>
    </row>
    <row r="50848" spans="1:141" s="116" customFormat="1">
      <c r="A50848" s="136"/>
      <c r="CM50848" s="111"/>
      <c r="CQ50848" s="111"/>
      <c r="EF50848"/>
      <c r="EG50848"/>
      <c r="EH50848"/>
      <c r="EI50848"/>
      <c r="EJ50848"/>
      <c r="EK50848"/>
    </row>
    <row r="50849" spans="1:141" s="116" customFormat="1">
      <c r="A50849" s="136"/>
      <c r="CM50849" s="111"/>
      <c r="CQ50849" s="111"/>
      <c r="EF50849"/>
      <c r="EG50849"/>
      <c r="EH50849"/>
      <c r="EI50849"/>
      <c r="EJ50849"/>
      <c r="EK50849"/>
    </row>
    <row r="50850" spans="1:141" s="116" customFormat="1">
      <c r="A50850" s="136"/>
      <c r="CM50850" s="111"/>
      <c r="CQ50850" s="111"/>
      <c r="EF50850"/>
      <c r="EG50850"/>
      <c r="EH50850"/>
      <c r="EI50850"/>
      <c r="EJ50850"/>
      <c r="EK50850"/>
    </row>
    <row r="50851" spans="1:141" s="116" customFormat="1">
      <c r="A50851" s="136"/>
      <c r="CM50851" s="111"/>
      <c r="CQ50851" s="111"/>
      <c r="EF50851"/>
      <c r="EG50851"/>
      <c r="EH50851"/>
      <c r="EI50851"/>
      <c r="EJ50851"/>
      <c r="EK50851"/>
    </row>
    <row r="50852" spans="1:141" s="116" customFormat="1">
      <c r="A50852" s="136"/>
      <c r="CM50852" s="111"/>
      <c r="CQ50852" s="111"/>
      <c r="EF50852"/>
      <c r="EG50852"/>
      <c r="EH50852"/>
      <c r="EI50852"/>
      <c r="EJ50852"/>
      <c r="EK50852"/>
    </row>
    <row r="50853" spans="1:141" s="116" customFormat="1">
      <c r="A50853" s="136"/>
      <c r="CM50853" s="111"/>
      <c r="CQ50853" s="111"/>
      <c r="EF50853"/>
      <c r="EG50853"/>
      <c r="EH50853"/>
      <c r="EI50853"/>
      <c r="EJ50853"/>
      <c r="EK50853"/>
    </row>
    <row r="50854" spans="1:141" s="116" customFormat="1">
      <c r="A50854" s="136"/>
      <c r="CM50854" s="111"/>
      <c r="CQ50854" s="111"/>
      <c r="EF50854"/>
      <c r="EG50854"/>
      <c r="EH50854"/>
      <c r="EI50854"/>
      <c r="EJ50854"/>
      <c r="EK50854"/>
    </row>
    <row r="50855" spans="1:141" s="116" customFormat="1">
      <c r="A50855" s="136"/>
      <c r="CM50855" s="111"/>
      <c r="CQ50855" s="111"/>
      <c r="EF50855"/>
      <c r="EG50855"/>
      <c r="EH50855"/>
      <c r="EI50855"/>
      <c r="EJ50855"/>
      <c r="EK50855"/>
    </row>
    <row r="50856" spans="1:141" s="116" customFormat="1">
      <c r="A50856" s="136"/>
      <c r="CM50856" s="111"/>
      <c r="CQ50856" s="111"/>
      <c r="EF50856"/>
      <c r="EG50856"/>
      <c r="EH50856"/>
      <c r="EI50856"/>
      <c r="EJ50856"/>
      <c r="EK50856"/>
    </row>
    <row r="50857" spans="1:141" s="116" customFormat="1">
      <c r="A50857" s="136"/>
      <c r="CM50857" s="111"/>
      <c r="CQ50857" s="111"/>
      <c r="EF50857"/>
      <c r="EG50857"/>
      <c r="EH50857"/>
      <c r="EI50857"/>
      <c r="EJ50857"/>
      <c r="EK50857"/>
    </row>
    <row r="50858" spans="1:141" s="116" customFormat="1">
      <c r="A50858" s="136"/>
      <c r="CM50858" s="111"/>
      <c r="CQ50858" s="111"/>
      <c r="EF50858"/>
      <c r="EG50858"/>
      <c r="EH50858"/>
      <c r="EI50858"/>
      <c r="EJ50858"/>
      <c r="EK50858"/>
    </row>
    <row r="50859" spans="1:141" s="116" customFormat="1">
      <c r="A50859" s="136"/>
      <c r="CM50859" s="111"/>
      <c r="CQ50859" s="111"/>
      <c r="EF50859"/>
      <c r="EG50859"/>
      <c r="EH50859"/>
      <c r="EI50859"/>
      <c r="EJ50859"/>
      <c r="EK50859"/>
    </row>
    <row r="50860" spans="1:141" s="116" customFormat="1">
      <c r="A50860" s="136"/>
      <c r="CM50860" s="111"/>
      <c r="CQ50860" s="111"/>
      <c r="EF50860"/>
      <c r="EG50860"/>
      <c r="EH50860"/>
      <c r="EI50860"/>
      <c r="EJ50860"/>
      <c r="EK50860"/>
    </row>
    <row r="50861" spans="1:141" s="116" customFormat="1">
      <c r="A50861" s="136"/>
      <c r="CM50861" s="111"/>
      <c r="CQ50861" s="111"/>
      <c r="EF50861"/>
      <c r="EG50861"/>
      <c r="EH50861"/>
      <c r="EI50861"/>
      <c r="EJ50861"/>
      <c r="EK50861"/>
    </row>
    <row r="50862" spans="1:141" s="116" customFormat="1">
      <c r="A50862" s="136"/>
      <c r="CM50862" s="111"/>
      <c r="CQ50862" s="111"/>
      <c r="EF50862"/>
      <c r="EG50862"/>
      <c r="EH50862"/>
      <c r="EI50862"/>
      <c r="EJ50862"/>
      <c r="EK50862"/>
    </row>
    <row r="50863" spans="1:141" s="116" customFormat="1">
      <c r="A50863" s="136"/>
      <c r="CM50863" s="111"/>
      <c r="CQ50863" s="111"/>
      <c r="EF50863"/>
      <c r="EG50863"/>
      <c r="EH50863"/>
      <c r="EI50863"/>
      <c r="EJ50863"/>
      <c r="EK50863"/>
    </row>
    <row r="50864" spans="1:141" s="116" customFormat="1">
      <c r="A50864" s="136"/>
      <c r="CM50864" s="111"/>
      <c r="CQ50864" s="111"/>
      <c r="EF50864"/>
      <c r="EG50864"/>
      <c r="EH50864"/>
      <c r="EI50864"/>
      <c r="EJ50864"/>
      <c r="EK50864"/>
    </row>
    <row r="50865" spans="1:141" s="116" customFormat="1">
      <c r="A50865" s="136"/>
      <c r="CM50865" s="111"/>
      <c r="CQ50865" s="111"/>
      <c r="EF50865"/>
      <c r="EG50865"/>
      <c r="EH50865"/>
      <c r="EI50865"/>
      <c r="EJ50865"/>
      <c r="EK50865"/>
    </row>
    <row r="50866" spans="1:141" s="116" customFormat="1">
      <c r="A50866" s="136"/>
      <c r="CM50866" s="111"/>
      <c r="CQ50866" s="111"/>
      <c r="EF50866"/>
      <c r="EG50866"/>
      <c r="EH50866"/>
      <c r="EI50866"/>
      <c r="EJ50866"/>
      <c r="EK50866"/>
    </row>
    <row r="50867" spans="1:141" s="116" customFormat="1">
      <c r="A50867" s="136"/>
      <c r="CM50867" s="111"/>
      <c r="CQ50867" s="111"/>
      <c r="EF50867"/>
      <c r="EG50867"/>
      <c r="EH50867"/>
      <c r="EI50867"/>
      <c r="EJ50867"/>
      <c r="EK50867"/>
    </row>
    <row r="50868" spans="1:141" s="116" customFormat="1">
      <c r="A50868" s="136"/>
      <c r="CM50868" s="111"/>
      <c r="CQ50868" s="111"/>
      <c r="EF50868"/>
      <c r="EG50868"/>
      <c r="EH50868"/>
      <c r="EI50868"/>
      <c r="EJ50868"/>
      <c r="EK50868"/>
    </row>
    <row r="50869" spans="1:141" s="116" customFormat="1">
      <c r="A50869" s="136"/>
      <c r="CM50869" s="111"/>
      <c r="CQ50869" s="111"/>
      <c r="EF50869"/>
      <c r="EG50869"/>
      <c r="EH50869"/>
      <c r="EI50869"/>
      <c r="EJ50869"/>
      <c r="EK50869"/>
    </row>
    <row r="50870" spans="1:141" s="116" customFormat="1">
      <c r="A50870" s="136"/>
      <c r="CM50870" s="111"/>
      <c r="CQ50870" s="111"/>
      <c r="EF50870"/>
      <c r="EG50870"/>
      <c r="EH50870"/>
      <c r="EI50870"/>
      <c r="EJ50870"/>
      <c r="EK50870"/>
    </row>
    <row r="50871" spans="1:141" s="116" customFormat="1">
      <c r="A50871" s="136"/>
      <c r="CM50871" s="111"/>
      <c r="CQ50871" s="111"/>
      <c r="EF50871"/>
      <c r="EG50871"/>
      <c r="EH50871"/>
      <c r="EI50871"/>
      <c r="EJ50871"/>
      <c r="EK50871"/>
    </row>
    <row r="50872" spans="1:141" s="116" customFormat="1">
      <c r="A50872" s="136"/>
      <c r="CM50872" s="111"/>
      <c r="CQ50872" s="111"/>
      <c r="EF50872"/>
      <c r="EG50872"/>
      <c r="EH50872"/>
      <c r="EI50872"/>
      <c r="EJ50872"/>
      <c r="EK50872"/>
    </row>
    <row r="50873" spans="1:141" s="116" customFormat="1">
      <c r="A50873" s="136"/>
      <c r="CM50873" s="111"/>
      <c r="CQ50873" s="111"/>
      <c r="EF50873"/>
      <c r="EG50873"/>
      <c r="EH50873"/>
      <c r="EI50873"/>
      <c r="EJ50873"/>
      <c r="EK50873"/>
    </row>
    <row r="50874" spans="1:141" s="116" customFormat="1">
      <c r="A50874" s="136"/>
      <c r="CM50874" s="111"/>
      <c r="CQ50874" s="111"/>
      <c r="EF50874"/>
      <c r="EG50874"/>
      <c r="EH50874"/>
      <c r="EI50874"/>
      <c r="EJ50874"/>
      <c r="EK50874"/>
    </row>
    <row r="50875" spans="1:141" s="116" customFormat="1">
      <c r="A50875" s="136"/>
      <c r="CM50875" s="111"/>
      <c r="CQ50875" s="111"/>
      <c r="EF50875"/>
      <c r="EG50875"/>
      <c r="EH50875"/>
      <c r="EI50875"/>
      <c r="EJ50875"/>
      <c r="EK50875"/>
    </row>
    <row r="50876" spans="1:141" s="116" customFormat="1">
      <c r="A50876" s="136"/>
      <c r="CM50876" s="111"/>
      <c r="CQ50876" s="111"/>
      <c r="EF50876"/>
      <c r="EG50876"/>
      <c r="EH50876"/>
      <c r="EI50876"/>
      <c r="EJ50876"/>
      <c r="EK50876"/>
    </row>
    <row r="50877" spans="1:141" s="116" customFormat="1">
      <c r="A50877" s="136"/>
      <c r="CM50877" s="111"/>
      <c r="CQ50877" s="111"/>
      <c r="EF50877"/>
      <c r="EG50877"/>
      <c r="EH50877"/>
      <c r="EI50877"/>
      <c r="EJ50877"/>
      <c r="EK50877"/>
    </row>
    <row r="50878" spans="1:141" s="116" customFormat="1">
      <c r="A50878" s="136"/>
      <c r="CM50878" s="111"/>
      <c r="CQ50878" s="111"/>
      <c r="EF50878"/>
      <c r="EG50878"/>
      <c r="EH50878"/>
      <c r="EI50878"/>
      <c r="EJ50878"/>
      <c r="EK50878"/>
    </row>
    <row r="50879" spans="1:141" s="116" customFormat="1">
      <c r="A50879" s="136"/>
      <c r="CM50879" s="111"/>
      <c r="CQ50879" s="111"/>
      <c r="EF50879"/>
      <c r="EG50879"/>
      <c r="EH50879"/>
      <c r="EI50879"/>
      <c r="EJ50879"/>
      <c r="EK50879"/>
    </row>
    <row r="50880" spans="1:141" s="116" customFormat="1">
      <c r="A50880" s="136"/>
      <c r="CM50880" s="111"/>
      <c r="CQ50880" s="111"/>
      <c r="EF50880"/>
      <c r="EG50880"/>
      <c r="EH50880"/>
      <c r="EI50880"/>
      <c r="EJ50880"/>
      <c r="EK50880"/>
    </row>
    <row r="50881" spans="1:141" s="116" customFormat="1">
      <c r="A50881" s="136"/>
      <c r="CM50881" s="111"/>
      <c r="CQ50881" s="111"/>
      <c r="EF50881"/>
      <c r="EG50881"/>
      <c r="EH50881"/>
      <c r="EI50881"/>
      <c r="EJ50881"/>
      <c r="EK50881"/>
    </row>
    <row r="50882" spans="1:141" s="116" customFormat="1">
      <c r="A50882" s="136"/>
      <c r="CM50882" s="111"/>
      <c r="CQ50882" s="111"/>
      <c r="EF50882"/>
      <c r="EG50882"/>
      <c r="EH50882"/>
      <c r="EI50882"/>
      <c r="EJ50882"/>
      <c r="EK50882"/>
    </row>
    <row r="50883" spans="1:141" s="116" customFormat="1">
      <c r="A50883" s="136"/>
      <c r="CM50883" s="111"/>
      <c r="CQ50883" s="111"/>
      <c r="EF50883"/>
      <c r="EG50883"/>
      <c r="EH50883"/>
      <c r="EI50883"/>
      <c r="EJ50883"/>
      <c r="EK50883"/>
    </row>
    <row r="50884" spans="1:141" s="116" customFormat="1">
      <c r="A50884" s="136"/>
      <c r="CM50884" s="111"/>
      <c r="CQ50884" s="111"/>
      <c r="EF50884"/>
      <c r="EG50884"/>
      <c r="EH50884"/>
      <c r="EI50884"/>
      <c r="EJ50884"/>
      <c r="EK50884"/>
    </row>
    <row r="50885" spans="1:141" s="116" customFormat="1">
      <c r="A50885" s="136"/>
      <c r="CM50885" s="111"/>
      <c r="CQ50885" s="111"/>
      <c r="EF50885"/>
      <c r="EG50885"/>
      <c r="EH50885"/>
      <c r="EI50885"/>
      <c r="EJ50885"/>
      <c r="EK50885"/>
    </row>
    <row r="50886" spans="1:141" s="116" customFormat="1">
      <c r="A50886" s="136"/>
      <c r="CM50886" s="111"/>
      <c r="CQ50886" s="111"/>
      <c r="EF50886"/>
      <c r="EG50886"/>
      <c r="EH50886"/>
      <c r="EI50886"/>
      <c r="EJ50886"/>
      <c r="EK50886"/>
    </row>
    <row r="50887" spans="1:141" s="116" customFormat="1">
      <c r="A50887" s="136"/>
      <c r="CM50887" s="111"/>
      <c r="CQ50887" s="111"/>
      <c r="EF50887"/>
      <c r="EG50887"/>
      <c r="EH50887"/>
      <c r="EI50887"/>
      <c r="EJ50887"/>
      <c r="EK50887"/>
    </row>
    <row r="50888" spans="1:141" s="116" customFormat="1">
      <c r="A50888" s="136"/>
      <c r="CM50888" s="111"/>
      <c r="CQ50888" s="111"/>
      <c r="EF50888"/>
      <c r="EG50888"/>
      <c r="EH50888"/>
      <c r="EI50888"/>
      <c r="EJ50888"/>
      <c r="EK50888"/>
    </row>
    <row r="50889" spans="1:141" s="116" customFormat="1">
      <c r="A50889" s="136"/>
      <c r="CM50889" s="111"/>
      <c r="CQ50889" s="111"/>
      <c r="EF50889"/>
      <c r="EG50889"/>
      <c r="EH50889"/>
      <c r="EI50889"/>
      <c r="EJ50889"/>
      <c r="EK50889"/>
    </row>
    <row r="50890" spans="1:141" s="116" customFormat="1">
      <c r="A50890" s="136"/>
      <c r="CM50890" s="111"/>
      <c r="CQ50890" s="111"/>
      <c r="EF50890"/>
      <c r="EG50890"/>
      <c r="EH50890"/>
      <c r="EI50890"/>
      <c r="EJ50890"/>
      <c r="EK50890"/>
    </row>
    <row r="50891" spans="1:141" s="116" customFormat="1">
      <c r="A50891" s="136"/>
      <c r="CM50891" s="111"/>
      <c r="CQ50891" s="111"/>
      <c r="EF50891"/>
      <c r="EG50891"/>
      <c r="EH50891"/>
      <c r="EI50891"/>
      <c r="EJ50891"/>
      <c r="EK50891"/>
    </row>
    <row r="50892" spans="1:141" s="116" customFormat="1">
      <c r="A50892" s="136"/>
      <c r="CM50892" s="111"/>
      <c r="CQ50892" s="111"/>
      <c r="EF50892"/>
      <c r="EG50892"/>
      <c r="EH50892"/>
      <c r="EI50892"/>
      <c r="EJ50892"/>
      <c r="EK50892"/>
    </row>
    <row r="50893" spans="1:141" s="116" customFormat="1">
      <c r="A50893" s="136"/>
      <c r="CM50893" s="111"/>
      <c r="CQ50893" s="111"/>
      <c r="EF50893"/>
      <c r="EG50893"/>
      <c r="EH50893"/>
      <c r="EI50893"/>
      <c r="EJ50893"/>
      <c r="EK50893"/>
    </row>
    <row r="50894" spans="1:141" s="116" customFormat="1">
      <c r="A50894" s="136"/>
      <c r="CM50894" s="111"/>
      <c r="CQ50894" s="111"/>
      <c r="EF50894"/>
      <c r="EG50894"/>
      <c r="EH50894"/>
      <c r="EI50894"/>
      <c r="EJ50894"/>
      <c r="EK50894"/>
    </row>
    <row r="50895" spans="1:141" s="116" customFormat="1">
      <c r="A50895" s="136"/>
      <c r="CM50895" s="111"/>
      <c r="CQ50895" s="111"/>
      <c r="EF50895"/>
      <c r="EG50895"/>
      <c r="EH50895"/>
      <c r="EI50895"/>
      <c r="EJ50895"/>
      <c r="EK50895"/>
    </row>
    <row r="50896" spans="1:141" s="116" customFormat="1">
      <c r="A50896" s="136"/>
      <c r="CM50896" s="111"/>
      <c r="CQ50896" s="111"/>
      <c r="EF50896"/>
      <c r="EG50896"/>
      <c r="EH50896"/>
      <c r="EI50896"/>
      <c r="EJ50896"/>
      <c r="EK50896"/>
    </row>
    <row r="50897" spans="1:141" s="116" customFormat="1">
      <c r="A50897" s="136"/>
      <c r="CM50897" s="111"/>
      <c r="CQ50897" s="111"/>
      <c r="EF50897"/>
      <c r="EG50897"/>
      <c r="EH50897"/>
      <c r="EI50897"/>
      <c r="EJ50897"/>
      <c r="EK50897"/>
    </row>
    <row r="50898" spans="1:141" s="116" customFormat="1">
      <c r="A50898" s="136"/>
      <c r="CM50898" s="111"/>
      <c r="CQ50898" s="111"/>
      <c r="EF50898"/>
      <c r="EG50898"/>
      <c r="EH50898"/>
      <c r="EI50898"/>
      <c r="EJ50898"/>
      <c r="EK50898"/>
    </row>
    <row r="50899" spans="1:141" s="116" customFormat="1">
      <c r="A50899" s="136"/>
      <c r="CM50899" s="111"/>
      <c r="CQ50899" s="111"/>
      <c r="EF50899"/>
      <c r="EG50899"/>
      <c r="EH50899"/>
      <c r="EI50899"/>
      <c r="EJ50899"/>
      <c r="EK50899"/>
    </row>
    <row r="50900" spans="1:141" s="116" customFormat="1">
      <c r="A50900" s="136"/>
      <c r="CM50900" s="111"/>
      <c r="CQ50900" s="111"/>
      <c r="EF50900"/>
      <c r="EG50900"/>
      <c r="EH50900"/>
      <c r="EI50900"/>
      <c r="EJ50900"/>
      <c r="EK50900"/>
    </row>
    <row r="50901" spans="1:141" s="116" customFormat="1">
      <c r="A50901" s="136"/>
      <c r="CM50901" s="111"/>
      <c r="CQ50901" s="111"/>
      <c r="EF50901"/>
      <c r="EG50901"/>
      <c r="EH50901"/>
      <c r="EI50901"/>
      <c r="EJ50901"/>
      <c r="EK50901"/>
    </row>
    <row r="50902" spans="1:141" s="116" customFormat="1">
      <c r="A50902" s="136"/>
      <c r="CM50902" s="111"/>
      <c r="CQ50902" s="111"/>
      <c r="EF50902"/>
      <c r="EG50902"/>
      <c r="EH50902"/>
      <c r="EI50902"/>
      <c r="EJ50902"/>
      <c r="EK50902"/>
    </row>
    <row r="50903" spans="1:141" s="116" customFormat="1">
      <c r="A50903" s="136"/>
      <c r="CM50903" s="111"/>
      <c r="CQ50903" s="111"/>
      <c r="EF50903"/>
      <c r="EG50903"/>
      <c r="EH50903"/>
      <c r="EI50903"/>
      <c r="EJ50903"/>
      <c r="EK50903"/>
    </row>
    <row r="50904" spans="1:141" s="116" customFormat="1">
      <c r="A50904" s="136"/>
      <c r="CM50904" s="111"/>
      <c r="CQ50904" s="111"/>
      <c r="EF50904"/>
      <c r="EG50904"/>
      <c r="EH50904"/>
      <c r="EI50904"/>
      <c r="EJ50904"/>
      <c r="EK50904"/>
    </row>
    <row r="50905" spans="1:141" s="116" customFormat="1">
      <c r="A50905" s="136"/>
      <c r="CM50905" s="111"/>
      <c r="CQ50905" s="111"/>
      <c r="EF50905"/>
      <c r="EG50905"/>
      <c r="EH50905"/>
      <c r="EI50905"/>
      <c r="EJ50905"/>
      <c r="EK50905"/>
    </row>
    <row r="50906" spans="1:141" s="116" customFormat="1">
      <c r="A50906" s="136"/>
      <c r="CM50906" s="111"/>
      <c r="CQ50906" s="111"/>
      <c r="EF50906"/>
      <c r="EG50906"/>
      <c r="EH50906"/>
      <c r="EI50906"/>
      <c r="EJ50906"/>
      <c r="EK50906"/>
    </row>
    <row r="50907" spans="1:141" s="116" customFormat="1">
      <c r="A50907" s="136"/>
      <c r="CM50907" s="111"/>
      <c r="CQ50907" s="111"/>
      <c r="EF50907"/>
      <c r="EG50907"/>
      <c r="EH50907"/>
      <c r="EI50907"/>
      <c r="EJ50907"/>
      <c r="EK50907"/>
    </row>
    <row r="50908" spans="1:141" s="116" customFormat="1">
      <c r="A50908" s="136"/>
      <c r="CM50908" s="111"/>
      <c r="CQ50908" s="111"/>
      <c r="EF50908"/>
      <c r="EG50908"/>
      <c r="EH50908"/>
      <c r="EI50908"/>
      <c r="EJ50908"/>
      <c r="EK50908"/>
    </row>
    <row r="50909" spans="1:141" s="116" customFormat="1">
      <c r="A50909" s="136"/>
      <c r="CM50909" s="111"/>
      <c r="CQ50909" s="111"/>
      <c r="EF50909"/>
      <c r="EG50909"/>
      <c r="EH50909"/>
      <c r="EI50909"/>
      <c r="EJ50909"/>
      <c r="EK50909"/>
    </row>
    <row r="50910" spans="1:141" s="116" customFormat="1">
      <c r="A50910" s="136"/>
      <c r="CM50910" s="111"/>
      <c r="CQ50910" s="111"/>
      <c r="EF50910"/>
      <c r="EG50910"/>
      <c r="EH50910"/>
      <c r="EI50910"/>
      <c r="EJ50910"/>
      <c r="EK50910"/>
    </row>
    <row r="50911" spans="1:141" s="116" customFormat="1">
      <c r="A50911" s="136"/>
      <c r="CM50911" s="111"/>
      <c r="CQ50911" s="111"/>
      <c r="EF50911"/>
      <c r="EG50911"/>
      <c r="EH50911"/>
      <c r="EI50911"/>
      <c r="EJ50911"/>
      <c r="EK50911"/>
    </row>
    <row r="50912" spans="1:141" s="116" customFormat="1">
      <c r="A50912" s="136"/>
      <c r="CM50912" s="111"/>
      <c r="CQ50912" s="111"/>
      <c r="EF50912"/>
      <c r="EG50912"/>
      <c r="EH50912"/>
      <c r="EI50912"/>
      <c r="EJ50912"/>
      <c r="EK50912"/>
    </row>
    <row r="50913" spans="1:141" s="116" customFormat="1">
      <c r="A50913" s="136"/>
      <c r="CM50913" s="111"/>
      <c r="CQ50913" s="111"/>
      <c r="EF50913"/>
      <c r="EG50913"/>
      <c r="EH50913"/>
      <c r="EI50913"/>
      <c r="EJ50913"/>
      <c r="EK50913"/>
    </row>
    <row r="50914" spans="1:141" s="116" customFormat="1">
      <c r="A50914" s="136"/>
      <c r="CM50914" s="111"/>
      <c r="CQ50914" s="111"/>
      <c r="EF50914"/>
      <c r="EG50914"/>
      <c r="EH50914"/>
      <c r="EI50914"/>
      <c r="EJ50914"/>
      <c r="EK50914"/>
    </row>
    <row r="50915" spans="1:141" s="116" customFormat="1">
      <c r="A50915" s="136"/>
      <c r="CM50915" s="111"/>
      <c r="CQ50915" s="111"/>
      <c r="EF50915"/>
      <c r="EG50915"/>
      <c r="EH50915"/>
      <c r="EI50915"/>
      <c r="EJ50915"/>
      <c r="EK50915"/>
    </row>
    <row r="50916" spans="1:141" s="116" customFormat="1">
      <c r="A50916" s="136"/>
      <c r="CM50916" s="111"/>
      <c r="CQ50916" s="111"/>
      <c r="EF50916"/>
      <c r="EG50916"/>
      <c r="EH50916"/>
      <c r="EI50916"/>
      <c r="EJ50916"/>
      <c r="EK50916"/>
    </row>
    <row r="50917" spans="1:141" s="116" customFormat="1">
      <c r="A50917" s="136"/>
      <c r="CM50917" s="111"/>
      <c r="CQ50917" s="111"/>
      <c r="EF50917"/>
      <c r="EG50917"/>
      <c r="EH50917"/>
      <c r="EI50917"/>
      <c r="EJ50917"/>
      <c r="EK50917"/>
    </row>
    <row r="50918" spans="1:141" s="116" customFormat="1">
      <c r="A50918" s="136"/>
      <c r="CM50918" s="111"/>
      <c r="CQ50918" s="111"/>
      <c r="EF50918"/>
      <c r="EG50918"/>
      <c r="EH50918"/>
      <c r="EI50918"/>
      <c r="EJ50918"/>
      <c r="EK50918"/>
    </row>
    <row r="50919" spans="1:141" s="116" customFormat="1">
      <c r="A50919" s="136"/>
      <c r="CM50919" s="111"/>
      <c r="CQ50919" s="111"/>
      <c r="EF50919"/>
      <c r="EG50919"/>
      <c r="EH50919"/>
      <c r="EI50919"/>
      <c r="EJ50919"/>
      <c r="EK50919"/>
    </row>
    <row r="50920" spans="1:141" s="116" customFormat="1">
      <c r="A50920" s="136"/>
      <c r="CM50920" s="111"/>
      <c r="CQ50920" s="111"/>
      <c r="EF50920"/>
      <c r="EG50920"/>
      <c r="EH50920"/>
      <c r="EI50920"/>
      <c r="EJ50920"/>
      <c r="EK50920"/>
    </row>
    <row r="50921" spans="1:141" s="116" customFormat="1">
      <c r="A50921" s="136"/>
      <c r="CM50921" s="111"/>
      <c r="CQ50921" s="111"/>
      <c r="EF50921"/>
      <c r="EG50921"/>
      <c r="EH50921"/>
      <c r="EI50921"/>
      <c r="EJ50921"/>
      <c r="EK50921"/>
    </row>
    <row r="50922" spans="1:141" s="116" customFormat="1">
      <c r="A50922" s="136"/>
      <c r="CM50922" s="111"/>
      <c r="CQ50922" s="111"/>
      <c r="EF50922"/>
      <c r="EG50922"/>
      <c r="EH50922"/>
      <c r="EI50922"/>
      <c r="EJ50922"/>
      <c r="EK50922"/>
    </row>
    <row r="50923" spans="1:141" s="116" customFormat="1">
      <c r="A50923" s="136"/>
      <c r="CM50923" s="111"/>
      <c r="CQ50923" s="111"/>
      <c r="EF50923"/>
      <c r="EG50923"/>
      <c r="EH50923"/>
      <c r="EI50923"/>
      <c r="EJ50923"/>
      <c r="EK50923"/>
    </row>
    <row r="50924" spans="1:141" s="116" customFormat="1">
      <c r="A50924" s="136"/>
      <c r="CM50924" s="111"/>
      <c r="CQ50924" s="111"/>
      <c r="EF50924"/>
      <c r="EG50924"/>
      <c r="EH50924"/>
      <c r="EI50924"/>
      <c r="EJ50924"/>
      <c r="EK50924"/>
    </row>
    <row r="50925" spans="1:141" s="116" customFormat="1">
      <c r="A50925" s="136"/>
      <c r="CM50925" s="111"/>
      <c r="CQ50925" s="111"/>
      <c r="EF50925"/>
      <c r="EG50925"/>
      <c r="EH50925"/>
      <c r="EI50925"/>
      <c r="EJ50925"/>
      <c r="EK50925"/>
    </row>
    <row r="50926" spans="1:141" s="116" customFormat="1">
      <c r="A50926" s="136"/>
      <c r="CM50926" s="111"/>
      <c r="CQ50926" s="111"/>
      <c r="EF50926"/>
      <c r="EG50926"/>
      <c r="EH50926"/>
      <c r="EI50926"/>
      <c r="EJ50926"/>
      <c r="EK50926"/>
    </row>
    <row r="50927" spans="1:141" s="116" customFormat="1">
      <c r="A50927" s="136"/>
      <c r="CM50927" s="111"/>
      <c r="CQ50927" s="111"/>
      <c r="EF50927"/>
      <c r="EG50927"/>
      <c r="EH50927"/>
      <c r="EI50927"/>
      <c r="EJ50927"/>
      <c r="EK50927"/>
    </row>
    <row r="50928" spans="1:141" s="116" customFormat="1">
      <c r="A50928" s="136"/>
      <c r="CM50928" s="111"/>
      <c r="CQ50928" s="111"/>
      <c r="EF50928"/>
      <c r="EG50928"/>
      <c r="EH50928"/>
      <c r="EI50928"/>
      <c r="EJ50928"/>
      <c r="EK50928"/>
    </row>
    <row r="50929" spans="1:141" s="116" customFormat="1">
      <c r="A50929" s="136"/>
      <c r="CM50929" s="111"/>
      <c r="CQ50929" s="111"/>
      <c r="EF50929"/>
      <c r="EG50929"/>
      <c r="EH50929"/>
      <c r="EI50929"/>
      <c r="EJ50929"/>
      <c r="EK50929"/>
    </row>
    <row r="50930" spans="1:141" s="116" customFormat="1">
      <c r="A50930" s="136"/>
      <c r="CM50930" s="111"/>
      <c r="CQ50930" s="111"/>
      <c r="EF50930"/>
      <c r="EG50930"/>
      <c r="EH50930"/>
      <c r="EI50930"/>
      <c r="EJ50930"/>
      <c r="EK50930"/>
    </row>
    <row r="50931" spans="1:141" s="116" customFormat="1">
      <c r="A50931" s="136"/>
      <c r="CM50931" s="111"/>
      <c r="CQ50931" s="111"/>
      <c r="EF50931"/>
      <c r="EG50931"/>
      <c r="EH50931"/>
      <c r="EI50931"/>
      <c r="EJ50931"/>
      <c r="EK50931"/>
    </row>
    <row r="50932" spans="1:141" s="116" customFormat="1">
      <c r="A50932" s="136"/>
      <c r="CM50932" s="111"/>
      <c r="CQ50932" s="111"/>
      <c r="EF50932"/>
      <c r="EG50932"/>
      <c r="EH50932"/>
      <c r="EI50932"/>
      <c r="EJ50932"/>
      <c r="EK50932"/>
    </row>
    <row r="50933" spans="1:141" s="116" customFormat="1">
      <c r="A50933" s="136"/>
      <c r="CM50933" s="111"/>
      <c r="CQ50933" s="111"/>
      <c r="EF50933"/>
      <c r="EG50933"/>
      <c r="EH50933"/>
      <c r="EI50933"/>
      <c r="EJ50933"/>
      <c r="EK50933"/>
    </row>
    <row r="50934" spans="1:141" s="116" customFormat="1">
      <c r="A50934" s="136"/>
      <c r="CM50934" s="111"/>
      <c r="CQ50934" s="111"/>
      <c r="EF50934"/>
      <c r="EG50934"/>
      <c r="EH50934"/>
      <c r="EI50934"/>
      <c r="EJ50934"/>
      <c r="EK50934"/>
    </row>
    <row r="50935" spans="1:141" s="116" customFormat="1">
      <c r="A50935" s="136"/>
      <c r="CM50935" s="111"/>
      <c r="CQ50935" s="111"/>
      <c r="EF50935"/>
      <c r="EG50935"/>
      <c r="EH50935"/>
      <c r="EI50935"/>
      <c r="EJ50935"/>
      <c r="EK50935"/>
    </row>
    <row r="50936" spans="1:141" s="116" customFormat="1">
      <c r="A50936" s="136"/>
      <c r="CM50936" s="111"/>
      <c r="CQ50936" s="111"/>
      <c r="EF50936"/>
      <c r="EG50936"/>
      <c r="EH50936"/>
      <c r="EI50936"/>
      <c r="EJ50936"/>
      <c r="EK50936"/>
    </row>
    <row r="50937" spans="1:141" s="116" customFormat="1">
      <c r="A50937" s="136"/>
      <c r="CM50937" s="111"/>
      <c r="CQ50937" s="111"/>
      <c r="EF50937"/>
      <c r="EG50937"/>
      <c r="EH50937"/>
      <c r="EI50937"/>
      <c r="EJ50937"/>
      <c r="EK50937"/>
    </row>
    <row r="50938" spans="1:141" s="116" customFormat="1">
      <c r="A50938" s="136"/>
      <c r="CM50938" s="111"/>
      <c r="CQ50938" s="111"/>
      <c r="EF50938"/>
      <c r="EG50938"/>
      <c r="EH50938"/>
      <c r="EI50938"/>
      <c r="EJ50938"/>
      <c r="EK50938"/>
    </row>
    <row r="50939" spans="1:141" s="116" customFormat="1">
      <c r="A50939" s="136"/>
      <c r="CM50939" s="111"/>
      <c r="CQ50939" s="111"/>
      <c r="EF50939"/>
      <c r="EG50939"/>
      <c r="EH50939"/>
      <c r="EI50939"/>
      <c r="EJ50939"/>
      <c r="EK50939"/>
    </row>
    <row r="50940" spans="1:141" s="116" customFormat="1">
      <c r="A50940" s="136"/>
      <c r="CM50940" s="111"/>
      <c r="CQ50940" s="111"/>
      <c r="EF50940"/>
      <c r="EG50940"/>
      <c r="EH50940"/>
      <c r="EI50940"/>
      <c r="EJ50940"/>
      <c r="EK50940"/>
    </row>
    <row r="50941" spans="1:141" s="116" customFormat="1">
      <c r="A50941" s="136"/>
      <c r="CM50941" s="111"/>
      <c r="CQ50941" s="111"/>
      <c r="EF50941"/>
      <c r="EG50941"/>
      <c r="EH50941"/>
      <c r="EI50941"/>
      <c r="EJ50941"/>
      <c r="EK50941"/>
    </row>
    <row r="50942" spans="1:141" s="116" customFormat="1">
      <c r="A50942" s="136"/>
      <c r="CM50942" s="111"/>
      <c r="CQ50942" s="111"/>
      <c r="EF50942"/>
      <c r="EG50942"/>
      <c r="EH50942"/>
      <c r="EI50942"/>
      <c r="EJ50942"/>
      <c r="EK50942"/>
    </row>
    <row r="50943" spans="1:141" s="116" customFormat="1">
      <c r="A50943" s="136"/>
      <c r="CM50943" s="111"/>
      <c r="CQ50943" s="111"/>
      <c r="EF50943"/>
      <c r="EG50943"/>
      <c r="EH50943"/>
      <c r="EI50943"/>
      <c r="EJ50943"/>
      <c r="EK50943"/>
    </row>
    <row r="50944" spans="1:141" s="116" customFormat="1">
      <c r="A50944" s="136"/>
      <c r="CM50944" s="111"/>
      <c r="CQ50944" s="111"/>
      <c r="EF50944"/>
      <c r="EG50944"/>
      <c r="EH50944"/>
      <c r="EI50944"/>
      <c r="EJ50944"/>
      <c r="EK50944"/>
    </row>
    <row r="50945" spans="1:141" s="116" customFormat="1">
      <c r="A50945" s="136"/>
      <c r="CM50945" s="111"/>
      <c r="CQ50945" s="111"/>
      <c r="EF50945"/>
      <c r="EG50945"/>
      <c r="EH50945"/>
      <c r="EI50945"/>
      <c r="EJ50945"/>
      <c r="EK50945"/>
    </row>
    <row r="50946" spans="1:141" s="116" customFormat="1">
      <c r="A50946" s="136"/>
      <c r="CM50946" s="111"/>
      <c r="CQ50946" s="111"/>
      <c r="EF50946"/>
      <c r="EG50946"/>
      <c r="EH50946"/>
      <c r="EI50946"/>
      <c r="EJ50946"/>
      <c r="EK50946"/>
    </row>
    <row r="50947" spans="1:141" s="116" customFormat="1">
      <c r="A50947" s="136"/>
      <c r="CM50947" s="111"/>
      <c r="CQ50947" s="111"/>
      <c r="EF50947"/>
      <c r="EG50947"/>
      <c r="EH50947"/>
      <c r="EI50947"/>
      <c r="EJ50947"/>
      <c r="EK50947"/>
    </row>
    <row r="50948" spans="1:141" s="116" customFormat="1">
      <c r="A50948" s="136"/>
      <c r="CM50948" s="111"/>
      <c r="CQ50948" s="111"/>
      <c r="EF50948"/>
      <c r="EG50948"/>
      <c r="EH50948"/>
      <c r="EI50948"/>
      <c r="EJ50948"/>
      <c r="EK50948"/>
    </row>
    <row r="50949" spans="1:141" s="116" customFormat="1">
      <c r="A50949" s="136"/>
      <c r="CM50949" s="111"/>
      <c r="CQ50949" s="111"/>
      <c r="EF50949"/>
      <c r="EG50949"/>
      <c r="EH50949"/>
      <c r="EI50949"/>
      <c r="EJ50949"/>
      <c r="EK50949"/>
    </row>
    <row r="50950" spans="1:141" s="116" customFormat="1">
      <c r="A50950" s="136"/>
      <c r="CM50950" s="111"/>
      <c r="CQ50950" s="111"/>
      <c r="EF50950"/>
      <c r="EG50950"/>
      <c r="EH50950"/>
      <c r="EI50950"/>
      <c r="EJ50950"/>
      <c r="EK50950"/>
    </row>
    <row r="50951" spans="1:141" s="116" customFormat="1">
      <c r="A50951" s="136"/>
      <c r="CM50951" s="111"/>
      <c r="CQ50951" s="111"/>
      <c r="EF50951"/>
      <c r="EG50951"/>
      <c r="EH50951"/>
      <c r="EI50951"/>
      <c r="EJ50951"/>
      <c r="EK50951"/>
    </row>
    <row r="50952" spans="1:141" s="116" customFormat="1">
      <c r="A50952" s="136"/>
      <c r="CM50952" s="111"/>
      <c r="CQ50952" s="111"/>
      <c r="EF50952"/>
      <c r="EG50952"/>
      <c r="EH50952"/>
      <c r="EI50952"/>
      <c r="EJ50952"/>
      <c r="EK50952"/>
    </row>
    <row r="50953" spans="1:141" s="116" customFormat="1">
      <c r="A50953" s="136"/>
      <c r="CM50953" s="111"/>
      <c r="CQ50953" s="111"/>
      <c r="EF50953"/>
      <c r="EG50953"/>
      <c r="EH50953"/>
      <c r="EI50953"/>
      <c r="EJ50953"/>
      <c r="EK50953"/>
    </row>
    <row r="50954" spans="1:141" s="116" customFormat="1">
      <c r="A50954" s="136"/>
      <c r="CM50954" s="111"/>
      <c r="CQ50954" s="111"/>
      <c r="EF50954"/>
      <c r="EG50954"/>
      <c r="EH50954"/>
      <c r="EI50954"/>
      <c r="EJ50954"/>
      <c r="EK50954"/>
    </row>
    <row r="50955" spans="1:141" s="116" customFormat="1">
      <c r="A50955" s="136"/>
      <c r="CM50955" s="111"/>
      <c r="CQ50955" s="111"/>
      <c r="EF50955"/>
      <c r="EG50955"/>
      <c r="EH50955"/>
      <c r="EI50955"/>
      <c r="EJ50955"/>
      <c r="EK50955"/>
    </row>
    <row r="50956" spans="1:141" s="116" customFormat="1">
      <c r="A50956" s="136"/>
      <c r="CM50956" s="111"/>
      <c r="CQ50956" s="111"/>
      <c r="EF50956"/>
      <c r="EG50956"/>
      <c r="EH50956"/>
      <c r="EI50956"/>
      <c r="EJ50956"/>
      <c r="EK50956"/>
    </row>
    <row r="50957" spans="1:141" s="116" customFormat="1">
      <c r="A50957" s="136"/>
      <c r="CM50957" s="111"/>
      <c r="CQ50957" s="111"/>
      <c r="EF50957"/>
      <c r="EG50957"/>
      <c r="EH50957"/>
      <c r="EI50957"/>
      <c r="EJ50957"/>
      <c r="EK50957"/>
    </row>
    <row r="50958" spans="1:141" s="116" customFormat="1">
      <c r="A50958" s="136"/>
      <c r="CM50958" s="111"/>
      <c r="CQ50958" s="111"/>
      <c r="EF50958"/>
      <c r="EG50958"/>
      <c r="EH50958"/>
      <c r="EI50958"/>
      <c r="EJ50958"/>
      <c r="EK50958"/>
    </row>
    <row r="50959" spans="1:141" s="116" customFormat="1">
      <c r="A50959" s="136"/>
      <c r="CM50959" s="111"/>
      <c r="CQ50959" s="111"/>
      <c r="EF50959"/>
      <c r="EG50959"/>
      <c r="EH50959"/>
      <c r="EI50959"/>
      <c r="EJ50959"/>
      <c r="EK50959"/>
    </row>
    <row r="50960" spans="1:141" s="116" customFormat="1">
      <c r="A50960" s="136"/>
      <c r="CM50960" s="111"/>
      <c r="CQ50960" s="111"/>
      <c r="EF50960"/>
      <c r="EG50960"/>
      <c r="EH50960"/>
      <c r="EI50960"/>
      <c r="EJ50960"/>
      <c r="EK50960"/>
    </row>
    <row r="50961" spans="1:141" s="116" customFormat="1">
      <c r="A50961" s="136"/>
      <c r="CM50961" s="111"/>
      <c r="CQ50961" s="111"/>
      <c r="EF50961"/>
      <c r="EG50961"/>
      <c r="EH50961"/>
      <c r="EI50961"/>
      <c r="EJ50961"/>
      <c r="EK50961"/>
    </row>
    <row r="50962" spans="1:141" s="116" customFormat="1">
      <c r="A50962" s="136"/>
      <c r="CM50962" s="111"/>
      <c r="CQ50962" s="111"/>
      <c r="EF50962"/>
      <c r="EG50962"/>
      <c r="EH50962"/>
      <c r="EI50962"/>
      <c r="EJ50962"/>
      <c r="EK50962"/>
    </row>
    <row r="50963" spans="1:141" s="116" customFormat="1">
      <c r="A50963" s="136"/>
      <c r="CM50963" s="111"/>
      <c r="CQ50963" s="111"/>
      <c r="EF50963"/>
      <c r="EG50963"/>
      <c r="EH50963"/>
      <c r="EI50963"/>
      <c r="EJ50963"/>
      <c r="EK50963"/>
    </row>
    <row r="50964" spans="1:141" s="116" customFormat="1">
      <c r="A50964" s="136"/>
      <c r="CM50964" s="111"/>
      <c r="CQ50964" s="111"/>
      <c r="EF50964"/>
      <c r="EG50964"/>
      <c r="EH50964"/>
      <c r="EI50964"/>
      <c r="EJ50964"/>
      <c r="EK50964"/>
    </row>
    <row r="50965" spans="1:141" s="116" customFormat="1">
      <c r="A50965" s="136"/>
      <c r="CM50965" s="111"/>
      <c r="CQ50965" s="111"/>
      <c r="EF50965"/>
      <c r="EG50965"/>
      <c r="EH50965"/>
      <c r="EI50965"/>
      <c r="EJ50965"/>
      <c r="EK50965"/>
    </row>
    <row r="50966" spans="1:141" s="116" customFormat="1">
      <c r="A50966" s="136"/>
      <c r="CM50966" s="111"/>
      <c r="CQ50966" s="111"/>
      <c r="EF50966"/>
      <c r="EG50966"/>
      <c r="EH50966"/>
      <c r="EI50966"/>
      <c r="EJ50966"/>
      <c r="EK50966"/>
    </row>
    <row r="50967" spans="1:141" s="116" customFormat="1">
      <c r="A50967" s="136"/>
      <c r="CM50967" s="111"/>
      <c r="CQ50967" s="111"/>
      <c r="EF50967"/>
      <c r="EG50967"/>
      <c r="EH50967"/>
      <c r="EI50967"/>
      <c r="EJ50967"/>
      <c r="EK50967"/>
    </row>
    <row r="50968" spans="1:141" s="116" customFormat="1">
      <c r="A50968" s="136"/>
      <c r="CM50968" s="111"/>
      <c r="CQ50968" s="111"/>
      <c r="EF50968"/>
      <c r="EG50968"/>
      <c r="EH50968"/>
      <c r="EI50968"/>
      <c r="EJ50968"/>
      <c r="EK50968"/>
    </row>
    <row r="50969" spans="1:141" s="116" customFormat="1">
      <c r="A50969" s="136"/>
      <c r="CM50969" s="111"/>
      <c r="CQ50969" s="111"/>
      <c r="EF50969"/>
      <c r="EG50969"/>
      <c r="EH50969"/>
      <c r="EI50969"/>
      <c r="EJ50969"/>
      <c r="EK50969"/>
    </row>
    <row r="50970" spans="1:141" s="116" customFormat="1">
      <c r="A50970" s="136"/>
      <c r="CM50970" s="111"/>
      <c r="CQ50970" s="111"/>
      <c r="EF50970"/>
      <c r="EG50970"/>
      <c r="EH50970"/>
      <c r="EI50970"/>
      <c r="EJ50970"/>
      <c r="EK50970"/>
    </row>
    <row r="50971" spans="1:141" s="116" customFormat="1">
      <c r="A50971" s="136"/>
      <c r="CM50971" s="111"/>
      <c r="CQ50971" s="111"/>
      <c r="EF50971"/>
      <c r="EG50971"/>
      <c r="EH50971"/>
      <c r="EI50971"/>
      <c r="EJ50971"/>
      <c r="EK50971"/>
    </row>
    <row r="50972" spans="1:141" s="116" customFormat="1">
      <c r="A50972" s="136"/>
      <c r="CM50972" s="111"/>
      <c r="CQ50972" s="111"/>
      <c r="EF50972"/>
      <c r="EG50972"/>
      <c r="EH50972"/>
      <c r="EI50972"/>
      <c r="EJ50972"/>
      <c r="EK50972"/>
    </row>
    <row r="50973" spans="1:141" s="116" customFormat="1">
      <c r="A50973" s="136"/>
      <c r="CM50973" s="111"/>
      <c r="CQ50973" s="111"/>
      <c r="EF50973"/>
      <c r="EG50973"/>
      <c r="EH50973"/>
      <c r="EI50973"/>
      <c r="EJ50973"/>
      <c r="EK50973"/>
    </row>
    <row r="50974" spans="1:141" s="116" customFormat="1">
      <c r="A50974" s="136"/>
      <c r="CM50974" s="111"/>
      <c r="CQ50974" s="111"/>
      <c r="EF50974"/>
      <c r="EG50974"/>
      <c r="EH50974"/>
      <c r="EI50974"/>
      <c r="EJ50974"/>
      <c r="EK50974"/>
    </row>
    <row r="50975" spans="1:141" s="116" customFormat="1">
      <c r="A50975" s="136"/>
      <c r="CM50975" s="111"/>
      <c r="CQ50975" s="111"/>
      <c r="EF50975"/>
      <c r="EG50975"/>
      <c r="EH50975"/>
      <c r="EI50975"/>
      <c r="EJ50975"/>
      <c r="EK50975"/>
    </row>
    <row r="50976" spans="1:141" s="116" customFormat="1">
      <c r="A50976" s="136"/>
      <c r="CM50976" s="111"/>
      <c r="CQ50976" s="111"/>
      <c r="EF50976"/>
      <c r="EG50976"/>
      <c r="EH50976"/>
      <c r="EI50976"/>
      <c r="EJ50976"/>
      <c r="EK50976"/>
    </row>
    <row r="50977" spans="1:141" s="116" customFormat="1">
      <c r="A50977" s="136"/>
      <c r="CM50977" s="111"/>
      <c r="CQ50977" s="111"/>
      <c r="EF50977"/>
      <c r="EG50977"/>
      <c r="EH50977"/>
      <c r="EI50977"/>
      <c r="EJ50977"/>
      <c r="EK50977"/>
    </row>
    <row r="50978" spans="1:141" s="116" customFormat="1">
      <c r="A50978" s="136"/>
      <c r="CM50978" s="111"/>
      <c r="CQ50978" s="111"/>
      <c r="EF50978"/>
      <c r="EG50978"/>
      <c r="EH50978"/>
      <c r="EI50978"/>
      <c r="EJ50978"/>
      <c r="EK50978"/>
    </row>
    <row r="50979" spans="1:141" s="116" customFormat="1">
      <c r="A50979" s="136"/>
      <c r="CM50979" s="111"/>
      <c r="CQ50979" s="111"/>
      <c r="EF50979"/>
      <c r="EG50979"/>
      <c r="EH50979"/>
      <c r="EI50979"/>
      <c r="EJ50979"/>
      <c r="EK50979"/>
    </row>
    <row r="50980" spans="1:141" s="116" customFormat="1">
      <c r="A50980" s="136"/>
      <c r="CM50980" s="111"/>
      <c r="CQ50980" s="111"/>
      <c r="EF50980"/>
      <c r="EG50980"/>
      <c r="EH50980"/>
      <c r="EI50980"/>
      <c r="EJ50980"/>
      <c r="EK50980"/>
    </row>
    <row r="50981" spans="1:141" s="116" customFormat="1">
      <c r="A50981" s="136"/>
      <c r="CM50981" s="111"/>
      <c r="CQ50981" s="111"/>
      <c r="EF50981"/>
      <c r="EG50981"/>
      <c r="EH50981"/>
      <c r="EI50981"/>
      <c r="EJ50981"/>
      <c r="EK50981"/>
    </row>
    <row r="50982" spans="1:141" s="116" customFormat="1">
      <c r="A50982" s="136"/>
      <c r="CM50982" s="111"/>
      <c r="CQ50982" s="111"/>
      <c r="EF50982"/>
      <c r="EG50982"/>
      <c r="EH50982"/>
      <c r="EI50982"/>
      <c r="EJ50982"/>
      <c r="EK50982"/>
    </row>
    <row r="50983" spans="1:141" s="116" customFormat="1">
      <c r="A50983" s="136"/>
      <c r="CM50983" s="111"/>
      <c r="CQ50983" s="111"/>
      <c r="EF50983"/>
      <c r="EG50983"/>
      <c r="EH50983"/>
      <c r="EI50983"/>
      <c r="EJ50983"/>
      <c r="EK50983"/>
    </row>
    <row r="50984" spans="1:141" s="116" customFormat="1">
      <c r="A50984" s="136"/>
      <c r="CM50984" s="111"/>
      <c r="CQ50984" s="111"/>
      <c r="EF50984"/>
      <c r="EG50984"/>
      <c r="EH50984"/>
      <c r="EI50984"/>
      <c r="EJ50984"/>
      <c r="EK50984"/>
    </row>
    <row r="50985" spans="1:141" s="116" customFormat="1">
      <c r="A50985" s="136"/>
      <c r="CM50985" s="111"/>
      <c r="CQ50985" s="111"/>
      <c r="EF50985"/>
      <c r="EG50985"/>
      <c r="EH50985"/>
      <c r="EI50985"/>
      <c r="EJ50985"/>
      <c r="EK50985"/>
    </row>
    <row r="50986" spans="1:141" s="116" customFormat="1">
      <c r="A50986" s="136"/>
      <c r="CM50986" s="111"/>
      <c r="CQ50986" s="111"/>
      <c r="EF50986"/>
      <c r="EG50986"/>
      <c r="EH50986"/>
      <c r="EI50986"/>
      <c r="EJ50986"/>
      <c r="EK50986"/>
    </row>
    <row r="50987" spans="1:141" s="116" customFormat="1">
      <c r="A50987" s="136"/>
      <c r="CM50987" s="111"/>
      <c r="CQ50987" s="111"/>
      <c r="EF50987"/>
      <c r="EG50987"/>
      <c r="EH50987"/>
      <c r="EI50987"/>
      <c r="EJ50987"/>
      <c r="EK50987"/>
    </row>
    <row r="50988" spans="1:141" s="116" customFormat="1">
      <c r="A50988" s="136"/>
      <c r="CM50988" s="111"/>
      <c r="CQ50988" s="111"/>
      <c r="EF50988"/>
      <c r="EG50988"/>
      <c r="EH50988"/>
      <c r="EI50988"/>
      <c r="EJ50988"/>
      <c r="EK50988"/>
    </row>
    <row r="50989" spans="1:141" s="116" customFormat="1">
      <c r="A50989" s="136"/>
      <c r="CM50989" s="111"/>
      <c r="CQ50989" s="111"/>
      <c r="EF50989"/>
      <c r="EG50989"/>
      <c r="EH50989"/>
      <c r="EI50989"/>
      <c r="EJ50989"/>
      <c r="EK50989"/>
    </row>
    <row r="50990" spans="1:141" s="116" customFormat="1">
      <c r="A50990" s="136"/>
      <c r="CM50990" s="111"/>
      <c r="CQ50990" s="111"/>
      <c r="EF50990"/>
      <c r="EG50990"/>
      <c r="EH50990"/>
      <c r="EI50990"/>
      <c r="EJ50990"/>
      <c r="EK50990"/>
    </row>
    <row r="50991" spans="1:141" s="116" customFormat="1">
      <c r="A50991" s="136"/>
      <c r="CM50991" s="111"/>
      <c r="CQ50991" s="111"/>
      <c r="EF50991"/>
      <c r="EG50991"/>
      <c r="EH50991"/>
      <c r="EI50991"/>
      <c r="EJ50991"/>
      <c r="EK50991"/>
    </row>
    <row r="50992" spans="1:141" s="116" customFormat="1">
      <c r="A50992" s="136"/>
      <c r="CM50992" s="111"/>
      <c r="CQ50992" s="111"/>
      <c r="EF50992"/>
      <c r="EG50992"/>
      <c r="EH50992"/>
      <c r="EI50992"/>
      <c r="EJ50992"/>
      <c r="EK50992"/>
    </row>
    <row r="50993" spans="1:141" s="116" customFormat="1">
      <c r="A50993" s="136"/>
      <c r="CM50993" s="111"/>
      <c r="CQ50993" s="111"/>
      <c r="EF50993"/>
      <c r="EG50993"/>
      <c r="EH50993"/>
      <c r="EI50993"/>
      <c r="EJ50993"/>
      <c r="EK50993"/>
    </row>
    <row r="50994" spans="1:141" s="116" customFormat="1">
      <c r="A50994" s="136"/>
      <c r="CM50994" s="111"/>
      <c r="CQ50994" s="111"/>
      <c r="EF50994"/>
      <c r="EG50994"/>
      <c r="EH50994"/>
      <c r="EI50994"/>
      <c r="EJ50994"/>
      <c r="EK50994"/>
    </row>
    <row r="50995" spans="1:141" s="116" customFormat="1">
      <c r="A50995" s="136"/>
      <c r="CM50995" s="111"/>
      <c r="CQ50995" s="111"/>
      <c r="EF50995"/>
      <c r="EG50995"/>
      <c r="EH50995"/>
      <c r="EI50995"/>
      <c r="EJ50995"/>
      <c r="EK50995"/>
    </row>
    <row r="50996" spans="1:141" s="116" customFormat="1">
      <c r="A50996" s="136"/>
      <c r="CM50996" s="111"/>
      <c r="CQ50996" s="111"/>
      <c r="EF50996"/>
      <c r="EG50996"/>
      <c r="EH50996"/>
      <c r="EI50996"/>
      <c r="EJ50996"/>
      <c r="EK50996"/>
    </row>
    <row r="50997" spans="1:141" s="116" customFormat="1">
      <c r="A50997" s="136"/>
      <c r="CM50997" s="111"/>
      <c r="CQ50997" s="111"/>
      <c r="EF50997"/>
      <c r="EG50997"/>
      <c r="EH50997"/>
      <c r="EI50997"/>
      <c r="EJ50997"/>
      <c r="EK50997"/>
    </row>
    <row r="50998" spans="1:141" s="116" customFormat="1">
      <c r="A50998" s="136"/>
      <c r="CM50998" s="111"/>
      <c r="CQ50998" s="111"/>
      <c r="EF50998"/>
      <c r="EG50998"/>
      <c r="EH50998"/>
      <c r="EI50998"/>
      <c r="EJ50998"/>
      <c r="EK50998"/>
    </row>
    <row r="50999" spans="1:141" s="116" customFormat="1">
      <c r="A50999" s="136"/>
      <c r="CM50999" s="111"/>
      <c r="CQ50999" s="111"/>
      <c r="EF50999"/>
      <c r="EG50999"/>
      <c r="EH50999"/>
      <c r="EI50999"/>
      <c r="EJ50999"/>
      <c r="EK50999"/>
    </row>
    <row r="51000" spans="1:141" s="116" customFormat="1">
      <c r="A51000" s="136"/>
      <c r="CM51000" s="111"/>
      <c r="CQ51000" s="111"/>
      <c r="EF51000"/>
      <c r="EG51000"/>
      <c r="EH51000"/>
      <c r="EI51000"/>
      <c r="EJ51000"/>
      <c r="EK51000"/>
    </row>
    <row r="51001" spans="1:141" s="116" customFormat="1">
      <c r="A51001" s="136"/>
      <c r="CM51001" s="111"/>
      <c r="CQ51001" s="111"/>
      <c r="EF51001"/>
      <c r="EG51001"/>
      <c r="EH51001"/>
      <c r="EI51001"/>
      <c r="EJ51001"/>
      <c r="EK51001"/>
    </row>
    <row r="51002" spans="1:141" s="116" customFormat="1">
      <c r="A51002" s="136"/>
      <c r="CM51002" s="111"/>
      <c r="CQ51002" s="111"/>
      <c r="EF51002"/>
      <c r="EG51002"/>
      <c r="EH51002"/>
      <c r="EI51002"/>
      <c r="EJ51002"/>
      <c r="EK51002"/>
    </row>
    <row r="51003" spans="1:141" s="116" customFormat="1">
      <c r="A51003" s="136"/>
      <c r="CM51003" s="111"/>
      <c r="CQ51003" s="111"/>
      <c r="EF51003"/>
      <c r="EG51003"/>
      <c r="EH51003"/>
      <c r="EI51003"/>
      <c r="EJ51003"/>
      <c r="EK51003"/>
    </row>
    <row r="51004" spans="1:141" s="116" customFormat="1">
      <c r="A51004" s="136"/>
      <c r="CM51004" s="111"/>
      <c r="CQ51004" s="111"/>
      <c r="EF51004"/>
      <c r="EG51004"/>
      <c r="EH51004"/>
      <c r="EI51004"/>
      <c r="EJ51004"/>
      <c r="EK51004"/>
    </row>
    <row r="51005" spans="1:141" s="116" customFormat="1">
      <c r="A51005" s="136"/>
      <c r="CM51005" s="111"/>
      <c r="CQ51005" s="111"/>
      <c r="EF51005"/>
      <c r="EG51005"/>
      <c r="EH51005"/>
      <c r="EI51005"/>
      <c r="EJ51005"/>
      <c r="EK51005"/>
    </row>
    <row r="51006" spans="1:141" s="116" customFormat="1">
      <c r="A51006" s="136"/>
      <c r="CM51006" s="111"/>
      <c r="CQ51006" s="111"/>
      <c r="EF51006"/>
      <c r="EG51006"/>
      <c r="EH51006"/>
      <c r="EI51006"/>
      <c r="EJ51006"/>
      <c r="EK51006"/>
    </row>
    <row r="51007" spans="1:141" s="116" customFormat="1">
      <c r="A51007" s="136"/>
      <c r="CM51007" s="111"/>
      <c r="CQ51007" s="111"/>
      <c r="EF51007"/>
      <c r="EG51007"/>
      <c r="EH51007"/>
      <c r="EI51007"/>
      <c r="EJ51007"/>
      <c r="EK51007"/>
    </row>
    <row r="51008" spans="1:141" s="116" customFormat="1">
      <c r="A51008" s="136"/>
      <c r="CM51008" s="111"/>
      <c r="CQ51008" s="111"/>
      <c r="EF51008"/>
      <c r="EG51008"/>
      <c r="EH51008"/>
      <c r="EI51008"/>
      <c r="EJ51008"/>
      <c r="EK51008"/>
    </row>
    <row r="51009" spans="1:141" s="116" customFormat="1">
      <c r="A51009" s="136"/>
      <c r="CM51009" s="111"/>
      <c r="CQ51009" s="111"/>
      <c r="EF51009"/>
      <c r="EG51009"/>
      <c r="EH51009"/>
      <c r="EI51009"/>
      <c r="EJ51009"/>
      <c r="EK51009"/>
    </row>
    <row r="51010" spans="1:141" s="116" customFormat="1">
      <c r="A51010" s="136"/>
      <c r="CM51010" s="111"/>
      <c r="CQ51010" s="111"/>
      <c r="EF51010"/>
      <c r="EG51010"/>
      <c r="EH51010"/>
      <c r="EI51010"/>
      <c r="EJ51010"/>
      <c r="EK51010"/>
    </row>
    <row r="51011" spans="1:141" s="116" customFormat="1">
      <c r="A51011" s="136"/>
      <c r="CM51011" s="111"/>
      <c r="CQ51011" s="111"/>
      <c r="EF51011"/>
      <c r="EG51011"/>
      <c r="EH51011"/>
      <c r="EI51011"/>
      <c r="EJ51011"/>
      <c r="EK51011"/>
    </row>
    <row r="51012" spans="1:141" s="116" customFormat="1">
      <c r="A51012" s="136"/>
      <c r="CM51012" s="111"/>
      <c r="CQ51012" s="111"/>
      <c r="EF51012"/>
      <c r="EG51012"/>
      <c r="EH51012"/>
      <c r="EI51012"/>
      <c r="EJ51012"/>
      <c r="EK51012"/>
    </row>
    <row r="51013" spans="1:141" s="116" customFormat="1">
      <c r="A51013" s="136"/>
      <c r="CM51013" s="111"/>
      <c r="CQ51013" s="111"/>
      <c r="EF51013"/>
      <c r="EG51013"/>
      <c r="EH51013"/>
      <c r="EI51013"/>
      <c r="EJ51013"/>
      <c r="EK51013"/>
    </row>
    <row r="51014" spans="1:141" s="116" customFormat="1">
      <c r="A51014" s="136"/>
      <c r="CM51014" s="111"/>
      <c r="CQ51014" s="111"/>
      <c r="EF51014"/>
      <c r="EG51014"/>
      <c r="EH51014"/>
      <c r="EI51014"/>
      <c r="EJ51014"/>
      <c r="EK51014"/>
    </row>
    <row r="51015" spans="1:141" s="116" customFormat="1">
      <c r="A51015" s="136"/>
      <c r="CM51015" s="111"/>
      <c r="CQ51015" s="111"/>
      <c r="EF51015"/>
      <c r="EG51015"/>
      <c r="EH51015"/>
      <c r="EI51015"/>
      <c r="EJ51015"/>
      <c r="EK51015"/>
    </row>
    <row r="51016" spans="1:141" s="116" customFormat="1">
      <c r="A51016" s="136"/>
      <c r="CM51016" s="111"/>
      <c r="CQ51016" s="111"/>
      <c r="EF51016"/>
      <c r="EG51016"/>
      <c r="EH51016"/>
      <c r="EI51016"/>
      <c r="EJ51016"/>
      <c r="EK51016"/>
    </row>
    <row r="51017" spans="1:141" s="116" customFormat="1">
      <c r="A51017" s="136"/>
      <c r="CM51017" s="111"/>
      <c r="CQ51017" s="111"/>
      <c r="EF51017"/>
      <c r="EG51017"/>
      <c r="EH51017"/>
      <c r="EI51017"/>
      <c r="EJ51017"/>
      <c r="EK51017"/>
    </row>
    <row r="51018" spans="1:141" s="116" customFormat="1">
      <c r="A51018" s="136"/>
      <c r="CM51018" s="111"/>
      <c r="CQ51018" s="111"/>
      <c r="EF51018"/>
      <c r="EG51018"/>
      <c r="EH51018"/>
      <c r="EI51018"/>
      <c r="EJ51018"/>
      <c r="EK51018"/>
    </row>
    <row r="51019" spans="1:141" s="116" customFormat="1">
      <c r="A51019" s="136"/>
      <c r="CM51019" s="111"/>
      <c r="CQ51019" s="111"/>
      <c r="EF51019"/>
      <c r="EG51019"/>
      <c r="EH51019"/>
      <c r="EI51019"/>
      <c r="EJ51019"/>
      <c r="EK51019"/>
    </row>
    <row r="51020" spans="1:141" s="116" customFormat="1">
      <c r="A51020" s="136"/>
      <c r="CM51020" s="111"/>
      <c r="CQ51020" s="111"/>
      <c r="EF51020"/>
      <c r="EG51020"/>
      <c r="EH51020"/>
      <c r="EI51020"/>
      <c r="EJ51020"/>
      <c r="EK51020"/>
    </row>
    <row r="51021" spans="1:141" s="116" customFormat="1">
      <c r="A51021" s="136"/>
      <c r="CM51021" s="111"/>
      <c r="CQ51021" s="111"/>
      <c r="EF51021"/>
      <c r="EG51021"/>
      <c r="EH51021"/>
      <c r="EI51021"/>
      <c r="EJ51021"/>
      <c r="EK51021"/>
    </row>
    <row r="51022" spans="1:141" s="116" customFormat="1">
      <c r="A51022" s="136"/>
      <c r="CM51022" s="111"/>
      <c r="CQ51022" s="111"/>
      <c r="EF51022"/>
      <c r="EG51022"/>
      <c r="EH51022"/>
      <c r="EI51022"/>
      <c r="EJ51022"/>
      <c r="EK51022"/>
    </row>
    <row r="51023" spans="1:141" s="116" customFormat="1">
      <c r="A51023" s="136"/>
      <c r="CM51023" s="111"/>
      <c r="CQ51023" s="111"/>
      <c r="EF51023"/>
      <c r="EG51023"/>
      <c r="EH51023"/>
      <c r="EI51023"/>
      <c r="EJ51023"/>
      <c r="EK51023"/>
    </row>
    <row r="51024" spans="1:141" s="116" customFormat="1">
      <c r="A51024" s="136"/>
      <c r="CM51024" s="111"/>
      <c r="CQ51024" s="111"/>
      <c r="EF51024"/>
      <c r="EG51024"/>
      <c r="EH51024"/>
      <c r="EI51024"/>
      <c r="EJ51024"/>
      <c r="EK51024"/>
    </row>
    <row r="51025" spans="1:141" s="116" customFormat="1">
      <c r="A51025" s="136"/>
      <c r="CM51025" s="111"/>
      <c r="CQ51025" s="111"/>
      <c r="EF51025"/>
      <c r="EG51025"/>
      <c r="EH51025"/>
      <c r="EI51025"/>
      <c r="EJ51025"/>
      <c r="EK51025"/>
    </row>
    <row r="51026" spans="1:141" s="116" customFormat="1">
      <c r="A51026" s="136"/>
      <c r="CM51026" s="111"/>
      <c r="CQ51026" s="111"/>
      <c r="EF51026"/>
      <c r="EG51026"/>
      <c r="EH51026"/>
      <c r="EI51026"/>
      <c r="EJ51026"/>
      <c r="EK51026"/>
    </row>
    <row r="51027" spans="1:141" s="116" customFormat="1">
      <c r="A51027" s="136"/>
      <c r="CM51027" s="111"/>
      <c r="CQ51027" s="111"/>
      <c r="EF51027"/>
      <c r="EG51027"/>
      <c r="EH51027"/>
      <c r="EI51027"/>
      <c r="EJ51027"/>
      <c r="EK51027"/>
    </row>
    <row r="51028" spans="1:141" s="116" customFormat="1">
      <c r="A51028" s="136"/>
      <c r="CM51028" s="111"/>
      <c r="CQ51028" s="111"/>
      <c r="EF51028"/>
      <c r="EG51028"/>
      <c r="EH51028"/>
      <c r="EI51028"/>
      <c r="EJ51028"/>
      <c r="EK51028"/>
    </row>
    <row r="51029" spans="1:141" s="116" customFormat="1">
      <c r="A51029" s="136"/>
      <c r="CM51029" s="111"/>
      <c r="CQ51029" s="111"/>
      <c r="EF51029"/>
      <c r="EG51029"/>
      <c r="EH51029"/>
      <c r="EI51029"/>
      <c r="EJ51029"/>
      <c r="EK51029"/>
    </row>
    <row r="51030" spans="1:141" s="116" customFormat="1">
      <c r="A51030" s="136"/>
      <c r="CM51030" s="111"/>
      <c r="CQ51030" s="111"/>
      <c r="EF51030"/>
      <c r="EG51030"/>
      <c r="EH51030"/>
      <c r="EI51030"/>
      <c r="EJ51030"/>
      <c r="EK51030"/>
    </row>
    <row r="51031" spans="1:141" s="116" customFormat="1">
      <c r="A51031" s="136"/>
      <c r="CM51031" s="111"/>
      <c r="CQ51031" s="111"/>
      <c r="EF51031"/>
      <c r="EG51031"/>
      <c r="EH51031"/>
      <c r="EI51031"/>
      <c r="EJ51031"/>
      <c r="EK51031"/>
    </row>
    <row r="51032" spans="1:141" s="116" customFormat="1">
      <c r="A51032" s="136"/>
      <c r="CM51032" s="111"/>
      <c r="CQ51032" s="111"/>
      <c r="EF51032"/>
      <c r="EG51032"/>
      <c r="EH51032"/>
      <c r="EI51032"/>
      <c r="EJ51032"/>
      <c r="EK51032"/>
    </row>
    <row r="51033" spans="1:141" s="116" customFormat="1">
      <c r="A51033" s="136"/>
      <c r="CM51033" s="111"/>
      <c r="CQ51033" s="111"/>
      <c r="EF51033"/>
      <c r="EG51033"/>
      <c r="EH51033"/>
      <c r="EI51033"/>
      <c r="EJ51033"/>
      <c r="EK51033"/>
    </row>
    <row r="51034" spans="1:141" s="116" customFormat="1">
      <c r="A51034" s="136"/>
      <c r="CM51034" s="111"/>
      <c r="CQ51034" s="111"/>
      <c r="EF51034"/>
      <c r="EG51034"/>
      <c r="EH51034"/>
      <c r="EI51034"/>
      <c r="EJ51034"/>
      <c r="EK51034"/>
    </row>
    <row r="51035" spans="1:141" s="116" customFormat="1">
      <c r="A51035" s="136"/>
      <c r="CM51035" s="111"/>
      <c r="CQ51035" s="111"/>
      <c r="EF51035"/>
      <c r="EG51035"/>
      <c r="EH51035"/>
      <c r="EI51035"/>
      <c r="EJ51035"/>
      <c r="EK51035"/>
    </row>
    <row r="51036" spans="1:141" s="116" customFormat="1">
      <c r="A51036" s="136"/>
      <c r="CM51036" s="111"/>
      <c r="CQ51036" s="111"/>
      <c r="EF51036"/>
      <c r="EG51036"/>
      <c r="EH51036"/>
      <c r="EI51036"/>
      <c r="EJ51036"/>
      <c r="EK51036"/>
    </row>
    <row r="51037" spans="1:141" s="116" customFormat="1">
      <c r="A51037" s="136"/>
      <c r="CM51037" s="111"/>
      <c r="CQ51037" s="111"/>
      <c r="EF51037"/>
      <c r="EG51037"/>
      <c r="EH51037"/>
      <c r="EI51037"/>
      <c r="EJ51037"/>
      <c r="EK51037"/>
    </row>
    <row r="51038" spans="1:141" s="116" customFormat="1">
      <c r="A51038" s="136"/>
      <c r="CM51038" s="111"/>
      <c r="CQ51038" s="111"/>
      <c r="EF51038"/>
      <c r="EG51038"/>
      <c r="EH51038"/>
      <c r="EI51038"/>
      <c r="EJ51038"/>
      <c r="EK51038"/>
    </row>
    <row r="51039" spans="1:141" s="116" customFormat="1">
      <c r="A51039" s="136"/>
      <c r="CM51039" s="111"/>
      <c r="CQ51039" s="111"/>
      <c r="EF51039"/>
      <c r="EG51039"/>
      <c r="EH51039"/>
      <c r="EI51039"/>
      <c r="EJ51039"/>
      <c r="EK51039"/>
    </row>
    <row r="51040" spans="1:141" s="116" customFormat="1">
      <c r="A51040" s="136"/>
      <c r="CM51040" s="111"/>
      <c r="CQ51040" s="111"/>
      <c r="EF51040"/>
      <c r="EG51040"/>
      <c r="EH51040"/>
      <c r="EI51040"/>
      <c r="EJ51040"/>
      <c r="EK51040"/>
    </row>
    <row r="51041" spans="1:141" s="116" customFormat="1">
      <c r="A51041" s="136"/>
      <c r="CM51041" s="111"/>
      <c r="CQ51041" s="111"/>
      <c r="EF51041"/>
      <c r="EG51041"/>
      <c r="EH51041"/>
      <c r="EI51041"/>
      <c r="EJ51041"/>
      <c r="EK51041"/>
    </row>
    <row r="51042" spans="1:141" s="116" customFormat="1">
      <c r="A51042" s="136"/>
      <c r="CM51042" s="111"/>
      <c r="CQ51042" s="111"/>
      <c r="EF51042"/>
      <c r="EG51042"/>
      <c r="EH51042"/>
      <c r="EI51042"/>
      <c r="EJ51042"/>
      <c r="EK51042"/>
    </row>
    <row r="51043" spans="1:141" s="116" customFormat="1">
      <c r="A51043" s="136"/>
      <c r="CM51043" s="111"/>
      <c r="CQ51043" s="111"/>
      <c r="EF51043"/>
      <c r="EG51043"/>
      <c r="EH51043"/>
      <c r="EI51043"/>
      <c r="EJ51043"/>
      <c r="EK51043"/>
    </row>
    <row r="51044" spans="1:141" s="116" customFormat="1">
      <c r="A51044" s="136"/>
      <c r="CM51044" s="111"/>
      <c r="CQ51044" s="111"/>
      <c r="EF51044"/>
      <c r="EG51044"/>
      <c r="EH51044"/>
      <c r="EI51044"/>
      <c r="EJ51044"/>
      <c r="EK51044"/>
    </row>
    <row r="51045" spans="1:141" s="116" customFormat="1">
      <c r="A51045" s="136"/>
      <c r="CM51045" s="111"/>
      <c r="CQ51045" s="111"/>
      <c r="EF51045"/>
      <c r="EG51045"/>
      <c r="EH51045"/>
      <c r="EI51045"/>
      <c r="EJ51045"/>
      <c r="EK51045"/>
    </row>
    <row r="51046" spans="1:141" s="116" customFormat="1">
      <c r="A51046" s="136"/>
      <c r="CM51046" s="111"/>
      <c r="CQ51046" s="111"/>
      <c r="EF51046"/>
      <c r="EG51046"/>
      <c r="EH51046"/>
      <c r="EI51046"/>
      <c r="EJ51046"/>
      <c r="EK51046"/>
    </row>
    <row r="51047" spans="1:141" s="116" customFormat="1">
      <c r="A51047" s="136"/>
      <c r="CM51047" s="111"/>
      <c r="CQ51047" s="111"/>
      <c r="EF51047"/>
      <c r="EG51047"/>
      <c r="EH51047"/>
      <c r="EI51047"/>
      <c r="EJ51047"/>
      <c r="EK51047"/>
    </row>
    <row r="51048" spans="1:141" s="116" customFormat="1">
      <c r="A51048" s="136"/>
      <c r="CM51048" s="111"/>
      <c r="CQ51048" s="111"/>
      <c r="EF51048"/>
      <c r="EG51048"/>
      <c r="EH51048"/>
      <c r="EI51048"/>
      <c r="EJ51048"/>
      <c r="EK51048"/>
    </row>
    <row r="51049" spans="1:141" s="116" customFormat="1">
      <c r="A51049" s="136"/>
      <c r="CM51049" s="111"/>
      <c r="CQ51049" s="111"/>
      <c r="EF51049"/>
      <c r="EG51049"/>
      <c r="EH51049"/>
      <c r="EI51049"/>
      <c r="EJ51049"/>
      <c r="EK51049"/>
    </row>
    <row r="51050" spans="1:141" s="116" customFormat="1">
      <c r="A51050" s="136"/>
      <c r="CM51050" s="111"/>
      <c r="CQ51050" s="111"/>
      <c r="EF51050"/>
      <c r="EG51050"/>
      <c r="EH51050"/>
      <c r="EI51050"/>
      <c r="EJ51050"/>
      <c r="EK51050"/>
    </row>
    <row r="51051" spans="1:141" s="116" customFormat="1">
      <c r="A51051" s="136"/>
      <c r="CM51051" s="111"/>
      <c r="CQ51051" s="111"/>
      <c r="EF51051"/>
      <c r="EG51051"/>
      <c r="EH51051"/>
      <c r="EI51051"/>
      <c r="EJ51051"/>
      <c r="EK51051"/>
    </row>
    <row r="51052" spans="1:141" s="116" customFormat="1">
      <c r="A51052" s="136"/>
      <c r="CM51052" s="111"/>
      <c r="CQ51052" s="111"/>
      <c r="EF51052"/>
      <c r="EG51052"/>
      <c r="EH51052"/>
      <c r="EI51052"/>
      <c r="EJ51052"/>
      <c r="EK51052"/>
    </row>
    <row r="51053" spans="1:141" s="116" customFormat="1">
      <c r="A51053" s="136"/>
      <c r="CM51053" s="111"/>
      <c r="CQ51053" s="111"/>
      <c r="EF51053"/>
      <c r="EG51053"/>
      <c r="EH51053"/>
      <c r="EI51053"/>
      <c r="EJ51053"/>
      <c r="EK51053"/>
    </row>
    <row r="51054" spans="1:141" s="116" customFormat="1">
      <c r="A51054" s="136"/>
      <c r="CM51054" s="111"/>
      <c r="CQ51054" s="111"/>
      <c r="EF51054"/>
      <c r="EG51054"/>
      <c r="EH51054"/>
      <c r="EI51054"/>
      <c r="EJ51054"/>
      <c r="EK51054"/>
    </row>
    <row r="51055" spans="1:141" s="116" customFormat="1">
      <c r="A51055" s="136"/>
      <c r="CM51055" s="111"/>
      <c r="CQ51055" s="111"/>
      <c r="EF51055"/>
      <c r="EG51055"/>
      <c r="EH51055"/>
      <c r="EI51055"/>
      <c r="EJ51055"/>
      <c r="EK51055"/>
    </row>
    <row r="51056" spans="1:141" s="116" customFormat="1">
      <c r="A51056" s="136"/>
      <c r="CM51056" s="111"/>
      <c r="CQ51056" s="111"/>
      <c r="EF51056"/>
      <c r="EG51056"/>
      <c r="EH51056"/>
      <c r="EI51056"/>
      <c r="EJ51056"/>
      <c r="EK51056"/>
    </row>
    <row r="51057" spans="1:141" s="116" customFormat="1">
      <c r="A51057" s="136"/>
      <c r="CM51057" s="111"/>
      <c r="CQ51057" s="111"/>
      <c r="EF51057"/>
      <c r="EG51057"/>
      <c r="EH51057"/>
      <c r="EI51057"/>
      <c r="EJ51057"/>
      <c r="EK51057"/>
    </row>
    <row r="51058" spans="1:141" s="116" customFormat="1">
      <c r="A51058" s="136"/>
      <c r="CM51058" s="111"/>
      <c r="CQ51058" s="111"/>
      <c r="EF51058"/>
      <c r="EG51058"/>
      <c r="EH51058"/>
      <c r="EI51058"/>
      <c r="EJ51058"/>
      <c r="EK51058"/>
    </row>
    <row r="51059" spans="1:141" s="116" customFormat="1">
      <c r="A51059" s="136"/>
      <c r="CM51059" s="111"/>
      <c r="CQ51059" s="111"/>
      <c r="EF51059"/>
      <c r="EG51059"/>
      <c r="EH51059"/>
      <c r="EI51059"/>
      <c r="EJ51059"/>
      <c r="EK51059"/>
    </row>
    <row r="51060" spans="1:141" s="116" customFormat="1">
      <c r="A51060" s="136"/>
      <c r="CM51060" s="111"/>
      <c r="CQ51060" s="111"/>
      <c r="EF51060"/>
      <c r="EG51060"/>
      <c r="EH51060"/>
      <c r="EI51060"/>
      <c r="EJ51060"/>
      <c r="EK51060"/>
    </row>
    <row r="51061" spans="1:141" s="116" customFormat="1">
      <c r="A51061" s="136"/>
      <c r="CM51061" s="111"/>
      <c r="CQ51061" s="111"/>
      <c r="EF51061"/>
      <c r="EG51061"/>
      <c r="EH51061"/>
      <c r="EI51061"/>
      <c r="EJ51061"/>
      <c r="EK51061"/>
    </row>
    <row r="51062" spans="1:141" s="116" customFormat="1">
      <c r="A51062" s="136"/>
      <c r="CM51062" s="111"/>
      <c r="CQ51062" s="111"/>
      <c r="EF51062"/>
      <c r="EG51062"/>
      <c r="EH51062"/>
      <c r="EI51062"/>
      <c r="EJ51062"/>
      <c r="EK51062"/>
    </row>
    <row r="51063" spans="1:141" s="116" customFormat="1">
      <c r="A51063" s="136"/>
      <c r="CM51063" s="111"/>
      <c r="CQ51063" s="111"/>
      <c r="EF51063"/>
      <c r="EG51063"/>
      <c r="EH51063"/>
      <c r="EI51063"/>
      <c r="EJ51063"/>
      <c r="EK51063"/>
    </row>
    <row r="51064" spans="1:141" s="116" customFormat="1">
      <c r="A51064" s="136"/>
      <c r="CM51064" s="111"/>
      <c r="CQ51064" s="111"/>
      <c r="EF51064"/>
      <c r="EG51064"/>
      <c r="EH51064"/>
      <c r="EI51064"/>
      <c r="EJ51064"/>
      <c r="EK51064"/>
    </row>
    <row r="51065" spans="1:141" s="116" customFormat="1">
      <c r="A51065" s="136"/>
      <c r="CM51065" s="111"/>
      <c r="CQ51065" s="111"/>
      <c r="EF51065"/>
      <c r="EG51065"/>
      <c r="EH51065"/>
      <c r="EI51065"/>
      <c r="EJ51065"/>
      <c r="EK51065"/>
    </row>
    <row r="51066" spans="1:141" s="116" customFormat="1">
      <c r="A51066" s="136"/>
      <c r="CM51066" s="111"/>
      <c r="CQ51066" s="111"/>
      <c r="EF51066"/>
      <c r="EG51066"/>
      <c r="EH51066"/>
      <c r="EI51066"/>
      <c r="EJ51066"/>
      <c r="EK51066"/>
    </row>
    <row r="51067" spans="1:141" s="116" customFormat="1">
      <c r="A51067" s="136"/>
      <c r="CM51067" s="111"/>
      <c r="CQ51067" s="111"/>
      <c r="EF51067"/>
      <c r="EG51067"/>
      <c r="EH51067"/>
      <c r="EI51067"/>
      <c r="EJ51067"/>
      <c r="EK51067"/>
    </row>
    <row r="51068" spans="1:141" s="116" customFormat="1">
      <c r="A51068" s="136"/>
      <c r="CM51068" s="111"/>
      <c r="CQ51068" s="111"/>
      <c r="EF51068"/>
      <c r="EG51068"/>
      <c r="EH51068"/>
      <c r="EI51068"/>
      <c r="EJ51068"/>
      <c r="EK51068"/>
    </row>
    <row r="51069" spans="1:141" s="116" customFormat="1">
      <c r="A51069" s="136"/>
      <c r="CM51069" s="111"/>
      <c r="CQ51069" s="111"/>
      <c r="EF51069"/>
      <c r="EG51069"/>
      <c r="EH51069"/>
      <c r="EI51069"/>
      <c r="EJ51069"/>
      <c r="EK51069"/>
    </row>
    <row r="51070" spans="1:141" s="116" customFormat="1">
      <c r="A51070" s="136"/>
      <c r="CM51070" s="111"/>
      <c r="CQ51070" s="111"/>
      <c r="EF51070"/>
      <c r="EG51070"/>
      <c r="EH51070"/>
      <c r="EI51070"/>
      <c r="EJ51070"/>
      <c r="EK51070"/>
    </row>
    <row r="51071" spans="1:141" s="116" customFormat="1">
      <c r="A51071" s="136"/>
      <c r="CM51071" s="111"/>
      <c r="CQ51071" s="111"/>
      <c r="EF51071"/>
      <c r="EG51071"/>
      <c r="EH51071"/>
      <c r="EI51071"/>
      <c r="EJ51071"/>
      <c r="EK51071"/>
    </row>
    <row r="51072" spans="1:141" s="116" customFormat="1">
      <c r="A51072" s="136"/>
      <c r="CM51072" s="111"/>
      <c r="CQ51072" s="111"/>
      <c r="EF51072"/>
      <c r="EG51072"/>
      <c r="EH51072"/>
      <c r="EI51072"/>
      <c r="EJ51072"/>
      <c r="EK51072"/>
    </row>
    <row r="51073" spans="1:141" s="116" customFormat="1">
      <c r="A51073" s="136"/>
      <c r="CM51073" s="111"/>
      <c r="CQ51073" s="111"/>
      <c r="EF51073"/>
      <c r="EG51073"/>
      <c r="EH51073"/>
      <c r="EI51073"/>
      <c r="EJ51073"/>
      <c r="EK51073"/>
    </row>
    <row r="51074" spans="1:141" s="116" customFormat="1">
      <c r="A51074" s="136"/>
      <c r="CM51074" s="111"/>
      <c r="CQ51074" s="111"/>
      <c r="EF51074"/>
      <c r="EG51074"/>
      <c r="EH51074"/>
      <c r="EI51074"/>
      <c r="EJ51074"/>
      <c r="EK51074"/>
    </row>
    <row r="51075" spans="1:141" s="116" customFormat="1">
      <c r="A51075" s="136"/>
      <c r="CM51075" s="111"/>
      <c r="CQ51075" s="111"/>
      <c r="EF51075"/>
      <c r="EG51075"/>
      <c r="EH51075"/>
      <c r="EI51075"/>
      <c r="EJ51075"/>
      <c r="EK51075"/>
    </row>
    <row r="51076" spans="1:141" s="116" customFormat="1">
      <c r="A51076" s="136"/>
      <c r="CM51076" s="111"/>
      <c r="CQ51076" s="111"/>
      <c r="EF51076"/>
      <c r="EG51076"/>
      <c r="EH51076"/>
      <c r="EI51076"/>
      <c r="EJ51076"/>
      <c r="EK51076"/>
    </row>
    <row r="51077" spans="1:141" s="116" customFormat="1">
      <c r="A51077" s="136"/>
      <c r="CM51077" s="111"/>
      <c r="CQ51077" s="111"/>
      <c r="EF51077"/>
      <c r="EG51077"/>
      <c r="EH51077"/>
      <c r="EI51077"/>
      <c r="EJ51077"/>
      <c r="EK51077"/>
    </row>
    <row r="51078" spans="1:141" s="116" customFormat="1">
      <c r="A51078" s="136"/>
      <c r="CM51078" s="111"/>
      <c r="CQ51078" s="111"/>
      <c r="EF51078"/>
      <c r="EG51078"/>
      <c r="EH51078"/>
      <c r="EI51078"/>
      <c r="EJ51078"/>
      <c r="EK51078"/>
    </row>
    <row r="51079" spans="1:141" s="116" customFormat="1">
      <c r="A51079" s="136"/>
      <c r="CM51079" s="111"/>
      <c r="CQ51079" s="111"/>
      <c r="EF51079"/>
      <c r="EG51079"/>
      <c r="EH51079"/>
      <c r="EI51079"/>
      <c r="EJ51079"/>
      <c r="EK51079"/>
    </row>
    <row r="51080" spans="1:141" s="116" customFormat="1">
      <c r="A51080" s="136"/>
      <c r="CM51080" s="111"/>
      <c r="CQ51080" s="111"/>
      <c r="EF51080"/>
      <c r="EG51080"/>
      <c r="EH51080"/>
      <c r="EI51080"/>
      <c r="EJ51080"/>
      <c r="EK51080"/>
    </row>
    <row r="51081" spans="1:141" s="116" customFormat="1">
      <c r="A51081" s="136"/>
      <c r="CM51081" s="111"/>
      <c r="CQ51081" s="111"/>
      <c r="EF51081"/>
      <c r="EG51081"/>
      <c r="EH51081"/>
      <c r="EI51081"/>
      <c r="EJ51081"/>
      <c r="EK51081"/>
    </row>
    <row r="51082" spans="1:141" s="116" customFormat="1">
      <c r="A51082" s="136"/>
      <c r="CM51082" s="111"/>
      <c r="CQ51082" s="111"/>
      <c r="EF51082"/>
      <c r="EG51082"/>
      <c r="EH51082"/>
      <c r="EI51082"/>
      <c r="EJ51082"/>
      <c r="EK51082"/>
    </row>
    <row r="51083" spans="1:141" s="116" customFormat="1">
      <c r="A51083" s="136"/>
      <c r="CM51083" s="111"/>
      <c r="CQ51083" s="111"/>
      <c r="EF51083"/>
      <c r="EG51083"/>
      <c r="EH51083"/>
      <c r="EI51083"/>
      <c r="EJ51083"/>
      <c r="EK51083"/>
    </row>
    <row r="51084" spans="1:141" s="116" customFormat="1">
      <c r="A51084" s="136"/>
      <c r="CM51084" s="111"/>
      <c r="CQ51084" s="111"/>
      <c r="EF51084"/>
      <c r="EG51084"/>
      <c r="EH51084"/>
      <c r="EI51084"/>
      <c r="EJ51084"/>
      <c r="EK51084"/>
    </row>
    <row r="51085" spans="1:141" s="116" customFormat="1">
      <c r="A51085" s="136"/>
      <c r="CM51085" s="111"/>
      <c r="CQ51085" s="111"/>
      <c r="EF51085"/>
      <c r="EG51085"/>
      <c r="EH51085"/>
      <c r="EI51085"/>
      <c r="EJ51085"/>
      <c r="EK51085"/>
    </row>
    <row r="51086" spans="1:141" s="116" customFormat="1">
      <c r="A51086" s="136"/>
      <c r="CM51086" s="111"/>
      <c r="CQ51086" s="111"/>
      <c r="EF51086"/>
      <c r="EG51086"/>
      <c r="EH51086"/>
      <c r="EI51086"/>
      <c r="EJ51086"/>
      <c r="EK51086"/>
    </row>
    <row r="51087" spans="1:141" s="116" customFormat="1">
      <c r="A51087" s="136"/>
      <c r="CM51087" s="111"/>
      <c r="CQ51087" s="111"/>
      <c r="EF51087"/>
      <c r="EG51087"/>
      <c r="EH51087"/>
      <c r="EI51087"/>
      <c r="EJ51087"/>
      <c r="EK51087"/>
    </row>
    <row r="51088" spans="1:141" s="116" customFormat="1">
      <c r="A51088" s="136"/>
      <c r="CM51088" s="111"/>
      <c r="CQ51088" s="111"/>
      <c r="EF51088"/>
      <c r="EG51088"/>
      <c r="EH51088"/>
      <c r="EI51088"/>
      <c r="EJ51088"/>
      <c r="EK51088"/>
    </row>
    <row r="51089" spans="1:141" s="116" customFormat="1">
      <c r="A51089" s="136"/>
      <c r="CM51089" s="111"/>
      <c r="CQ51089" s="111"/>
      <c r="EF51089"/>
      <c r="EG51089"/>
      <c r="EH51089"/>
      <c r="EI51089"/>
      <c r="EJ51089"/>
      <c r="EK51089"/>
    </row>
    <row r="51090" spans="1:141" s="116" customFormat="1">
      <c r="A51090" s="136"/>
      <c r="CM51090" s="111"/>
      <c r="CQ51090" s="111"/>
      <c r="EF51090"/>
      <c r="EG51090"/>
      <c r="EH51090"/>
      <c r="EI51090"/>
      <c r="EJ51090"/>
      <c r="EK51090"/>
    </row>
    <row r="51091" spans="1:141" s="116" customFormat="1">
      <c r="A51091" s="136"/>
      <c r="CM51091" s="111"/>
      <c r="CQ51091" s="111"/>
      <c r="EF51091"/>
      <c r="EG51091"/>
      <c r="EH51091"/>
      <c r="EI51091"/>
      <c r="EJ51091"/>
      <c r="EK51091"/>
    </row>
    <row r="51092" spans="1:141" s="116" customFormat="1">
      <c r="A51092" s="136"/>
      <c r="CM51092" s="111"/>
      <c r="CQ51092" s="111"/>
      <c r="EF51092"/>
      <c r="EG51092"/>
      <c r="EH51092"/>
      <c r="EI51092"/>
      <c r="EJ51092"/>
      <c r="EK51092"/>
    </row>
    <row r="51093" spans="1:141" s="116" customFormat="1">
      <c r="A51093" s="136"/>
      <c r="CM51093" s="111"/>
      <c r="CQ51093" s="111"/>
      <c r="EF51093"/>
      <c r="EG51093"/>
      <c r="EH51093"/>
      <c r="EI51093"/>
      <c r="EJ51093"/>
      <c r="EK51093"/>
    </row>
    <row r="51094" spans="1:141" s="116" customFormat="1">
      <c r="A51094" s="136"/>
      <c r="CM51094" s="111"/>
      <c r="CQ51094" s="111"/>
      <c r="EF51094"/>
      <c r="EG51094"/>
      <c r="EH51094"/>
      <c r="EI51094"/>
      <c r="EJ51094"/>
      <c r="EK51094"/>
    </row>
    <row r="51095" spans="1:141" s="116" customFormat="1">
      <c r="A51095" s="136"/>
      <c r="CM51095" s="111"/>
      <c r="CQ51095" s="111"/>
      <c r="EF51095"/>
      <c r="EG51095"/>
      <c r="EH51095"/>
      <c r="EI51095"/>
      <c r="EJ51095"/>
      <c r="EK51095"/>
    </row>
    <row r="51096" spans="1:141" s="116" customFormat="1">
      <c r="A51096" s="136"/>
      <c r="CM51096" s="111"/>
      <c r="CQ51096" s="111"/>
      <c r="EF51096"/>
      <c r="EG51096"/>
      <c r="EH51096"/>
      <c r="EI51096"/>
      <c r="EJ51096"/>
      <c r="EK51096"/>
    </row>
    <row r="51097" spans="1:141" s="116" customFormat="1">
      <c r="A51097" s="136"/>
      <c r="CM51097" s="111"/>
      <c r="CQ51097" s="111"/>
      <c r="EF51097"/>
      <c r="EG51097"/>
      <c r="EH51097"/>
      <c r="EI51097"/>
      <c r="EJ51097"/>
      <c r="EK51097"/>
    </row>
    <row r="51098" spans="1:141" s="116" customFormat="1">
      <c r="A51098" s="136"/>
      <c r="CM51098" s="111"/>
      <c r="CQ51098" s="111"/>
      <c r="EF51098"/>
      <c r="EG51098"/>
      <c r="EH51098"/>
      <c r="EI51098"/>
      <c r="EJ51098"/>
      <c r="EK51098"/>
    </row>
    <row r="51099" spans="1:141" s="116" customFormat="1">
      <c r="A51099" s="136"/>
      <c r="CM51099" s="111"/>
      <c r="CQ51099" s="111"/>
      <c r="EF51099"/>
      <c r="EG51099"/>
      <c r="EH51099"/>
      <c r="EI51099"/>
      <c r="EJ51099"/>
      <c r="EK51099"/>
    </row>
    <row r="51100" spans="1:141" s="116" customFormat="1">
      <c r="A51100" s="136"/>
      <c r="CM51100" s="111"/>
      <c r="CQ51100" s="111"/>
      <c r="EF51100"/>
      <c r="EG51100"/>
      <c r="EH51100"/>
      <c r="EI51100"/>
      <c r="EJ51100"/>
      <c r="EK51100"/>
    </row>
    <row r="51101" spans="1:141" s="116" customFormat="1">
      <c r="A51101" s="136"/>
      <c r="CM51101" s="111"/>
      <c r="CQ51101" s="111"/>
      <c r="EF51101"/>
      <c r="EG51101"/>
      <c r="EH51101"/>
      <c r="EI51101"/>
      <c r="EJ51101"/>
      <c r="EK51101"/>
    </row>
    <row r="51102" spans="1:141" s="116" customFormat="1">
      <c r="A51102" s="136"/>
      <c r="CM51102" s="111"/>
      <c r="CQ51102" s="111"/>
      <c r="EF51102"/>
      <c r="EG51102"/>
      <c r="EH51102"/>
      <c r="EI51102"/>
      <c r="EJ51102"/>
      <c r="EK51102"/>
    </row>
    <row r="51103" spans="1:141" s="116" customFormat="1">
      <c r="A51103" s="136"/>
      <c r="CM51103" s="111"/>
      <c r="CQ51103" s="111"/>
      <c r="EF51103"/>
      <c r="EG51103"/>
      <c r="EH51103"/>
      <c r="EI51103"/>
      <c r="EJ51103"/>
      <c r="EK51103"/>
    </row>
    <row r="51104" spans="1:141" s="116" customFormat="1">
      <c r="A51104" s="136"/>
      <c r="CM51104" s="111"/>
      <c r="CQ51104" s="111"/>
      <c r="EF51104"/>
      <c r="EG51104"/>
      <c r="EH51104"/>
      <c r="EI51104"/>
      <c r="EJ51104"/>
      <c r="EK51104"/>
    </row>
    <row r="51105" spans="1:141" s="116" customFormat="1">
      <c r="A51105" s="136"/>
      <c r="CM51105" s="111"/>
      <c r="CQ51105" s="111"/>
      <c r="EF51105"/>
      <c r="EG51105"/>
      <c r="EH51105"/>
      <c r="EI51105"/>
      <c r="EJ51105"/>
      <c r="EK51105"/>
    </row>
    <row r="51106" spans="1:141" s="116" customFormat="1">
      <c r="A51106" s="136"/>
      <c r="CM51106" s="111"/>
      <c r="CQ51106" s="111"/>
      <c r="EF51106"/>
      <c r="EG51106"/>
      <c r="EH51106"/>
      <c r="EI51106"/>
      <c r="EJ51106"/>
      <c r="EK51106"/>
    </row>
    <row r="51107" spans="1:141" s="116" customFormat="1">
      <c r="A51107" s="136"/>
      <c r="CM51107" s="111"/>
      <c r="CQ51107" s="111"/>
      <c r="EF51107"/>
      <c r="EG51107"/>
      <c r="EH51107"/>
      <c r="EI51107"/>
      <c r="EJ51107"/>
      <c r="EK51107"/>
    </row>
    <row r="51108" spans="1:141" s="116" customFormat="1">
      <c r="A51108" s="136"/>
      <c r="CM51108" s="111"/>
      <c r="CQ51108" s="111"/>
      <c r="EF51108"/>
      <c r="EG51108"/>
      <c r="EH51108"/>
      <c r="EI51108"/>
      <c r="EJ51108"/>
      <c r="EK51108"/>
    </row>
    <row r="51109" spans="1:141" s="116" customFormat="1">
      <c r="A51109" s="136"/>
      <c r="CM51109" s="111"/>
      <c r="CQ51109" s="111"/>
      <c r="EF51109"/>
      <c r="EG51109"/>
      <c r="EH51109"/>
      <c r="EI51109"/>
      <c r="EJ51109"/>
      <c r="EK51109"/>
    </row>
    <row r="51110" spans="1:141" s="116" customFormat="1">
      <c r="A51110" s="136"/>
      <c r="CM51110" s="111"/>
      <c r="CQ51110" s="111"/>
      <c r="EF51110"/>
      <c r="EG51110"/>
      <c r="EH51110"/>
      <c r="EI51110"/>
      <c r="EJ51110"/>
      <c r="EK51110"/>
    </row>
    <row r="51111" spans="1:141" s="116" customFormat="1">
      <c r="A51111" s="136"/>
      <c r="CM51111" s="111"/>
      <c r="CQ51111" s="111"/>
      <c r="EF51111"/>
      <c r="EG51111"/>
      <c r="EH51111"/>
      <c r="EI51111"/>
      <c r="EJ51111"/>
      <c r="EK51111"/>
    </row>
    <row r="51112" spans="1:141" s="116" customFormat="1">
      <c r="A51112" s="136"/>
      <c r="CM51112" s="111"/>
      <c r="CQ51112" s="111"/>
      <c r="EF51112"/>
      <c r="EG51112"/>
      <c r="EH51112"/>
      <c r="EI51112"/>
      <c r="EJ51112"/>
      <c r="EK51112"/>
    </row>
    <row r="51113" spans="1:141" s="116" customFormat="1">
      <c r="A51113" s="136"/>
      <c r="CM51113" s="111"/>
      <c r="CQ51113" s="111"/>
      <c r="EF51113"/>
      <c r="EG51113"/>
      <c r="EH51113"/>
      <c r="EI51113"/>
      <c r="EJ51113"/>
      <c r="EK51113"/>
    </row>
    <row r="51114" spans="1:141" s="116" customFormat="1">
      <c r="A51114" s="136"/>
      <c r="CM51114" s="111"/>
      <c r="CQ51114" s="111"/>
      <c r="EF51114"/>
      <c r="EG51114"/>
      <c r="EH51114"/>
      <c r="EI51114"/>
      <c r="EJ51114"/>
      <c r="EK51114"/>
    </row>
    <row r="51115" spans="1:141" s="116" customFormat="1">
      <c r="A51115" s="136"/>
      <c r="CM51115" s="111"/>
      <c r="CQ51115" s="111"/>
      <c r="EF51115"/>
      <c r="EG51115"/>
      <c r="EH51115"/>
      <c r="EI51115"/>
      <c r="EJ51115"/>
      <c r="EK51115"/>
    </row>
    <row r="51116" spans="1:141" s="116" customFormat="1">
      <c r="A51116" s="136"/>
      <c r="CM51116" s="111"/>
      <c r="CQ51116" s="111"/>
      <c r="EF51116"/>
      <c r="EG51116"/>
      <c r="EH51116"/>
      <c r="EI51116"/>
      <c r="EJ51116"/>
      <c r="EK51116"/>
    </row>
    <row r="51117" spans="1:141" s="116" customFormat="1">
      <c r="A51117" s="136"/>
      <c r="CM51117" s="111"/>
      <c r="CQ51117" s="111"/>
      <c r="EF51117"/>
      <c r="EG51117"/>
      <c r="EH51117"/>
      <c r="EI51117"/>
      <c r="EJ51117"/>
      <c r="EK51117"/>
    </row>
    <row r="51118" spans="1:141" s="116" customFormat="1">
      <c r="A51118" s="136"/>
      <c r="CM51118" s="111"/>
      <c r="CQ51118" s="111"/>
      <c r="EF51118"/>
      <c r="EG51118"/>
      <c r="EH51118"/>
      <c r="EI51118"/>
      <c r="EJ51118"/>
      <c r="EK51118"/>
    </row>
    <row r="51119" spans="1:141" s="116" customFormat="1">
      <c r="A51119" s="136"/>
      <c r="CM51119" s="111"/>
      <c r="CQ51119" s="111"/>
      <c r="EF51119"/>
      <c r="EG51119"/>
      <c r="EH51119"/>
      <c r="EI51119"/>
      <c r="EJ51119"/>
      <c r="EK51119"/>
    </row>
    <row r="51120" spans="1:141" s="116" customFormat="1">
      <c r="A51120" s="136"/>
      <c r="CM51120" s="111"/>
      <c r="CQ51120" s="111"/>
      <c r="EF51120"/>
      <c r="EG51120"/>
      <c r="EH51120"/>
      <c r="EI51120"/>
      <c r="EJ51120"/>
      <c r="EK51120"/>
    </row>
    <row r="51121" spans="1:141" s="116" customFormat="1">
      <c r="A51121" s="136"/>
      <c r="CM51121" s="111"/>
      <c r="CQ51121" s="111"/>
      <c r="EF51121"/>
      <c r="EG51121"/>
      <c r="EH51121"/>
      <c r="EI51121"/>
      <c r="EJ51121"/>
      <c r="EK51121"/>
    </row>
    <row r="51122" spans="1:141" s="116" customFormat="1">
      <c r="A51122" s="136"/>
      <c r="CM51122" s="111"/>
      <c r="CQ51122" s="111"/>
      <c r="EF51122"/>
      <c r="EG51122"/>
      <c r="EH51122"/>
      <c r="EI51122"/>
      <c r="EJ51122"/>
      <c r="EK51122"/>
    </row>
    <row r="51123" spans="1:141" s="116" customFormat="1">
      <c r="A51123" s="136"/>
      <c r="CM51123" s="111"/>
      <c r="CQ51123" s="111"/>
      <c r="EF51123"/>
      <c r="EG51123"/>
      <c r="EH51123"/>
      <c r="EI51123"/>
      <c r="EJ51123"/>
      <c r="EK51123"/>
    </row>
    <row r="51124" spans="1:141" s="116" customFormat="1">
      <c r="A51124" s="136"/>
      <c r="CM51124" s="111"/>
      <c r="CQ51124" s="111"/>
      <c r="EF51124"/>
      <c r="EG51124"/>
      <c r="EH51124"/>
      <c r="EI51124"/>
      <c r="EJ51124"/>
      <c r="EK51124"/>
    </row>
    <row r="51125" spans="1:141" s="116" customFormat="1">
      <c r="A51125" s="136"/>
      <c r="CM51125" s="111"/>
      <c r="CQ51125" s="111"/>
      <c r="EF51125"/>
      <c r="EG51125"/>
      <c r="EH51125"/>
      <c r="EI51125"/>
      <c r="EJ51125"/>
      <c r="EK51125"/>
    </row>
    <row r="51126" spans="1:141" s="116" customFormat="1">
      <c r="A51126" s="136"/>
      <c r="CM51126" s="111"/>
      <c r="CQ51126" s="111"/>
      <c r="EF51126"/>
      <c r="EG51126"/>
      <c r="EH51126"/>
      <c r="EI51126"/>
      <c r="EJ51126"/>
      <c r="EK51126"/>
    </row>
    <row r="51127" spans="1:141" s="116" customFormat="1">
      <c r="A51127" s="136"/>
      <c r="CM51127" s="111"/>
      <c r="CQ51127" s="111"/>
      <c r="EF51127"/>
      <c r="EG51127"/>
      <c r="EH51127"/>
      <c r="EI51127"/>
      <c r="EJ51127"/>
      <c r="EK51127"/>
    </row>
    <row r="51128" spans="1:141" s="116" customFormat="1">
      <c r="A51128" s="136"/>
      <c r="CM51128" s="111"/>
      <c r="CQ51128" s="111"/>
      <c r="EF51128"/>
      <c r="EG51128"/>
      <c r="EH51128"/>
      <c r="EI51128"/>
      <c r="EJ51128"/>
      <c r="EK51128"/>
    </row>
    <row r="51129" spans="1:141" s="116" customFormat="1">
      <c r="A51129" s="136"/>
      <c r="CM51129" s="111"/>
      <c r="CQ51129" s="111"/>
      <c r="EF51129"/>
      <c r="EG51129"/>
      <c r="EH51129"/>
      <c r="EI51129"/>
      <c r="EJ51129"/>
      <c r="EK51129"/>
    </row>
    <row r="51130" spans="1:141" s="116" customFormat="1">
      <c r="A51130" s="136"/>
      <c r="CM51130" s="111"/>
      <c r="CQ51130" s="111"/>
      <c r="EF51130"/>
      <c r="EG51130"/>
      <c r="EH51130"/>
      <c r="EI51130"/>
      <c r="EJ51130"/>
      <c r="EK51130"/>
    </row>
    <row r="51131" spans="1:141" s="116" customFormat="1">
      <c r="A51131" s="136"/>
      <c r="CM51131" s="111"/>
      <c r="CQ51131" s="111"/>
      <c r="EF51131"/>
      <c r="EG51131"/>
      <c r="EH51131"/>
      <c r="EI51131"/>
      <c r="EJ51131"/>
      <c r="EK51131"/>
    </row>
    <row r="51132" spans="1:141" s="116" customFormat="1">
      <c r="A51132" s="136"/>
      <c r="CM51132" s="111"/>
      <c r="CQ51132" s="111"/>
      <c r="EF51132"/>
      <c r="EG51132"/>
      <c r="EH51132"/>
      <c r="EI51132"/>
      <c r="EJ51132"/>
      <c r="EK51132"/>
    </row>
    <row r="51133" spans="1:141" s="116" customFormat="1">
      <c r="A51133" s="136"/>
      <c r="CM51133" s="111"/>
      <c r="CQ51133" s="111"/>
      <c r="EF51133"/>
      <c r="EG51133"/>
      <c r="EH51133"/>
      <c r="EI51133"/>
      <c r="EJ51133"/>
      <c r="EK51133"/>
    </row>
    <row r="51134" spans="1:141" s="116" customFormat="1">
      <c r="A51134" s="136"/>
      <c r="CM51134" s="111"/>
      <c r="CQ51134" s="111"/>
      <c r="EF51134"/>
      <c r="EG51134"/>
      <c r="EH51134"/>
      <c r="EI51134"/>
      <c r="EJ51134"/>
      <c r="EK51134"/>
    </row>
    <row r="51135" spans="1:141" s="116" customFormat="1">
      <c r="A51135" s="136"/>
      <c r="CM51135" s="111"/>
      <c r="CQ51135" s="111"/>
      <c r="EF51135"/>
      <c r="EG51135"/>
      <c r="EH51135"/>
      <c r="EI51135"/>
      <c r="EJ51135"/>
      <c r="EK51135"/>
    </row>
    <row r="51136" spans="1:141" s="116" customFormat="1">
      <c r="A51136" s="136"/>
      <c r="CM51136" s="111"/>
      <c r="CQ51136" s="111"/>
      <c r="EF51136"/>
      <c r="EG51136"/>
      <c r="EH51136"/>
      <c r="EI51136"/>
      <c r="EJ51136"/>
      <c r="EK51136"/>
    </row>
    <row r="51137" spans="1:141" s="116" customFormat="1">
      <c r="A51137" s="136"/>
      <c r="CM51137" s="111"/>
      <c r="CQ51137" s="111"/>
      <c r="EF51137"/>
      <c r="EG51137"/>
      <c r="EH51137"/>
      <c r="EI51137"/>
      <c r="EJ51137"/>
      <c r="EK51137"/>
    </row>
    <row r="51138" spans="1:141" s="116" customFormat="1">
      <c r="A51138" s="136"/>
      <c r="CM51138" s="111"/>
      <c r="CQ51138" s="111"/>
      <c r="EF51138"/>
      <c r="EG51138"/>
      <c r="EH51138"/>
      <c r="EI51138"/>
      <c r="EJ51138"/>
      <c r="EK51138"/>
    </row>
    <row r="51139" spans="1:141" s="116" customFormat="1">
      <c r="A51139" s="136"/>
      <c r="CM51139" s="111"/>
      <c r="CQ51139" s="111"/>
      <c r="EF51139"/>
      <c r="EG51139"/>
      <c r="EH51139"/>
      <c r="EI51139"/>
      <c r="EJ51139"/>
      <c r="EK51139"/>
    </row>
    <row r="51140" spans="1:141" s="116" customFormat="1">
      <c r="A51140" s="136"/>
      <c r="CM51140" s="111"/>
      <c r="CQ51140" s="111"/>
      <c r="EF51140"/>
      <c r="EG51140"/>
      <c r="EH51140"/>
      <c r="EI51140"/>
      <c r="EJ51140"/>
      <c r="EK51140"/>
    </row>
    <row r="51141" spans="1:141" s="116" customFormat="1">
      <c r="A51141" s="136"/>
      <c r="CM51141" s="111"/>
      <c r="CQ51141" s="111"/>
      <c r="EF51141"/>
      <c r="EG51141"/>
      <c r="EH51141"/>
      <c r="EI51141"/>
      <c r="EJ51141"/>
      <c r="EK51141"/>
    </row>
    <row r="51142" spans="1:141" s="116" customFormat="1">
      <c r="A51142" s="136"/>
      <c r="CM51142" s="111"/>
      <c r="CQ51142" s="111"/>
      <c r="EF51142"/>
      <c r="EG51142"/>
      <c r="EH51142"/>
      <c r="EI51142"/>
      <c r="EJ51142"/>
      <c r="EK51142"/>
    </row>
    <row r="51143" spans="1:141" s="116" customFormat="1">
      <c r="A51143" s="136"/>
      <c r="CM51143" s="111"/>
      <c r="CQ51143" s="111"/>
      <c r="EF51143"/>
      <c r="EG51143"/>
      <c r="EH51143"/>
      <c r="EI51143"/>
      <c r="EJ51143"/>
      <c r="EK51143"/>
    </row>
    <row r="51144" spans="1:141" s="116" customFormat="1">
      <c r="A51144" s="136"/>
      <c r="CM51144" s="111"/>
      <c r="CQ51144" s="111"/>
      <c r="EF51144"/>
      <c r="EG51144"/>
      <c r="EH51144"/>
      <c r="EI51144"/>
      <c r="EJ51144"/>
      <c r="EK51144"/>
    </row>
    <row r="51145" spans="1:141" s="116" customFormat="1">
      <c r="A51145" s="136"/>
      <c r="CM51145" s="111"/>
      <c r="CQ51145" s="111"/>
      <c r="EF51145"/>
      <c r="EG51145"/>
      <c r="EH51145"/>
      <c r="EI51145"/>
      <c r="EJ51145"/>
      <c r="EK51145"/>
    </row>
    <row r="51146" spans="1:141" s="116" customFormat="1">
      <c r="A51146" s="136"/>
      <c r="CM51146" s="111"/>
      <c r="CQ51146" s="111"/>
      <c r="EF51146"/>
      <c r="EG51146"/>
      <c r="EH51146"/>
      <c r="EI51146"/>
      <c r="EJ51146"/>
      <c r="EK51146"/>
    </row>
    <row r="51147" spans="1:141" s="116" customFormat="1">
      <c r="A51147" s="136"/>
      <c r="CM51147" s="111"/>
      <c r="CQ51147" s="111"/>
      <c r="EF51147"/>
      <c r="EG51147"/>
      <c r="EH51147"/>
      <c r="EI51147"/>
      <c r="EJ51147"/>
      <c r="EK51147"/>
    </row>
    <row r="51148" spans="1:141" s="116" customFormat="1">
      <c r="A51148" s="136"/>
      <c r="CM51148" s="111"/>
      <c r="CQ51148" s="111"/>
      <c r="EF51148"/>
      <c r="EG51148"/>
      <c r="EH51148"/>
      <c r="EI51148"/>
      <c r="EJ51148"/>
      <c r="EK51148"/>
    </row>
    <row r="51149" spans="1:141" s="116" customFormat="1">
      <c r="A51149" s="136"/>
      <c r="CM51149" s="111"/>
      <c r="CQ51149" s="111"/>
      <c r="EF51149"/>
      <c r="EG51149"/>
      <c r="EH51149"/>
      <c r="EI51149"/>
      <c r="EJ51149"/>
      <c r="EK51149"/>
    </row>
    <row r="51150" spans="1:141" s="116" customFormat="1">
      <c r="A51150" s="136"/>
      <c r="CM51150" s="111"/>
      <c r="CQ51150" s="111"/>
      <c r="EF51150"/>
      <c r="EG51150"/>
      <c r="EH51150"/>
      <c r="EI51150"/>
      <c r="EJ51150"/>
      <c r="EK51150"/>
    </row>
    <row r="51151" spans="1:141" s="116" customFormat="1">
      <c r="A51151" s="136"/>
      <c r="CM51151" s="111"/>
      <c r="CQ51151" s="111"/>
      <c r="EF51151"/>
      <c r="EG51151"/>
      <c r="EH51151"/>
      <c r="EI51151"/>
      <c r="EJ51151"/>
      <c r="EK51151"/>
    </row>
    <row r="51152" spans="1:141" s="116" customFormat="1">
      <c r="A51152" s="136"/>
      <c r="CM51152" s="111"/>
      <c r="CQ51152" s="111"/>
      <c r="EF51152"/>
      <c r="EG51152"/>
      <c r="EH51152"/>
      <c r="EI51152"/>
      <c r="EJ51152"/>
      <c r="EK51152"/>
    </row>
    <row r="51153" spans="1:141" s="116" customFormat="1">
      <c r="A51153" s="136"/>
      <c r="CM51153" s="111"/>
      <c r="CQ51153" s="111"/>
      <c r="EF51153"/>
      <c r="EG51153"/>
      <c r="EH51153"/>
      <c r="EI51153"/>
      <c r="EJ51153"/>
      <c r="EK51153"/>
    </row>
    <row r="51154" spans="1:141" s="116" customFormat="1">
      <c r="A51154" s="136"/>
      <c r="CM51154" s="111"/>
      <c r="CQ51154" s="111"/>
      <c r="EF51154"/>
      <c r="EG51154"/>
      <c r="EH51154"/>
      <c r="EI51154"/>
      <c r="EJ51154"/>
      <c r="EK51154"/>
    </row>
    <row r="51155" spans="1:141" s="116" customFormat="1">
      <c r="A51155" s="136"/>
      <c r="CM51155" s="111"/>
      <c r="CQ51155" s="111"/>
      <c r="EF51155"/>
      <c r="EG51155"/>
      <c r="EH51155"/>
      <c r="EI51155"/>
      <c r="EJ51155"/>
      <c r="EK51155"/>
    </row>
    <row r="51156" spans="1:141" s="116" customFormat="1">
      <c r="A51156" s="136"/>
      <c r="CM51156" s="111"/>
      <c r="CQ51156" s="111"/>
      <c r="EF51156"/>
      <c r="EG51156"/>
      <c r="EH51156"/>
      <c r="EI51156"/>
      <c r="EJ51156"/>
      <c r="EK51156"/>
    </row>
    <row r="51157" spans="1:141" s="116" customFormat="1">
      <c r="A51157" s="136"/>
      <c r="CM51157" s="111"/>
      <c r="CQ51157" s="111"/>
      <c r="EF51157"/>
      <c r="EG51157"/>
      <c r="EH51157"/>
      <c r="EI51157"/>
      <c r="EJ51157"/>
      <c r="EK51157"/>
    </row>
    <row r="51158" spans="1:141" s="116" customFormat="1">
      <c r="A51158" s="136"/>
      <c r="CM51158" s="111"/>
      <c r="CQ51158" s="111"/>
      <c r="EF51158"/>
      <c r="EG51158"/>
      <c r="EH51158"/>
      <c r="EI51158"/>
      <c r="EJ51158"/>
      <c r="EK51158"/>
    </row>
    <row r="51159" spans="1:141" s="116" customFormat="1">
      <c r="A51159" s="136"/>
      <c r="CM51159" s="111"/>
      <c r="CQ51159" s="111"/>
      <c r="EF51159"/>
      <c r="EG51159"/>
      <c r="EH51159"/>
      <c r="EI51159"/>
      <c r="EJ51159"/>
      <c r="EK51159"/>
    </row>
    <row r="51160" spans="1:141" s="116" customFormat="1">
      <c r="A51160" s="136"/>
      <c r="CM51160" s="111"/>
      <c r="CQ51160" s="111"/>
      <c r="EF51160"/>
      <c r="EG51160"/>
      <c r="EH51160"/>
      <c r="EI51160"/>
      <c r="EJ51160"/>
      <c r="EK51160"/>
    </row>
    <row r="51161" spans="1:141" s="116" customFormat="1">
      <c r="A51161" s="136"/>
      <c r="CM51161" s="111"/>
      <c r="CQ51161" s="111"/>
      <c r="EF51161"/>
      <c r="EG51161"/>
      <c r="EH51161"/>
      <c r="EI51161"/>
      <c r="EJ51161"/>
      <c r="EK51161"/>
    </row>
    <row r="51162" spans="1:141" s="116" customFormat="1">
      <c r="A51162" s="136"/>
      <c r="CM51162" s="111"/>
      <c r="CQ51162" s="111"/>
      <c r="EF51162"/>
      <c r="EG51162"/>
      <c r="EH51162"/>
      <c r="EI51162"/>
      <c r="EJ51162"/>
      <c r="EK51162"/>
    </row>
    <row r="51163" spans="1:141" s="116" customFormat="1">
      <c r="A51163" s="136"/>
      <c r="CM51163" s="111"/>
      <c r="CQ51163" s="111"/>
      <c r="EF51163"/>
      <c r="EG51163"/>
      <c r="EH51163"/>
      <c r="EI51163"/>
      <c r="EJ51163"/>
      <c r="EK51163"/>
    </row>
    <row r="51164" spans="1:141" s="116" customFormat="1">
      <c r="A51164" s="136"/>
      <c r="CM51164" s="111"/>
      <c r="CQ51164" s="111"/>
      <c r="EF51164"/>
      <c r="EG51164"/>
      <c r="EH51164"/>
      <c r="EI51164"/>
      <c r="EJ51164"/>
      <c r="EK51164"/>
    </row>
    <row r="51165" spans="1:141" s="116" customFormat="1">
      <c r="A51165" s="136"/>
      <c r="CM51165" s="111"/>
      <c r="CQ51165" s="111"/>
      <c r="EF51165"/>
      <c r="EG51165"/>
      <c r="EH51165"/>
      <c r="EI51165"/>
      <c r="EJ51165"/>
      <c r="EK51165"/>
    </row>
    <row r="51166" spans="1:141" s="116" customFormat="1">
      <c r="A51166" s="136"/>
      <c r="CM51166" s="111"/>
      <c r="CQ51166" s="111"/>
      <c r="EF51166"/>
      <c r="EG51166"/>
      <c r="EH51166"/>
      <c r="EI51166"/>
      <c r="EJ51166"/>
      <c r="EK51166"/>
    </row>
    <row r="51167" spans="1:141" s="116" customFormat="1">
      <c r="A51167" s="136"/>
      <c r="CM51167" s="111"/>
      <c r="CQ51167" s="111"/>
      <c r="EF51167"/>
      <c r="EG51167"/>
      <c r="EH51167"/>
      <c r="EI51167"/>
      <c r="EJ51167"/>
      <c r="EK51167"/>
    </row>
    <row r="51168" spans="1:141" s="116" customFormat="1">
      <c r="A51168" s="136"/>
      <c r="CM51168" s="111"/>
      <c r="CQ51168" s="111"/>
      <c r="EF51168"/>
      <c r="EG51168"/>
      <c r="EH51168"/>
      <c r="EI51168"/>
      <c r="EJ51168"/>
      <c r="EK51168"/>
    </row>
    <row r="51169" spans="1:141" s="116" customFormat="1">
      <c r="A51169" s="136"/>
      <c r="CM51169" s="111"/>
      <c r="CQ51169" s="111"/>
      <c r="EF51169"/>
      <c r="EG51169"/>
      <c r="EH51169"/>
      <c r="EI51169"/>
      <c r="EJ51169"/>
      <c r="EK51169"/>
    </row>
    <row r="51170" spans="1:141" s="116" customFormat="1">
      <c r="A51170" s="136"/>
      <c r="CM51170" s="111"/>
      <c r="CQ51170" s="111"/>
      <c r="EF51170"/>
      <c r="EG51170"/>
      <c r="EH51170"/>
      <c r="EI51170"/>
      <c r="EJ51170"/>
      <c r="EK51170"/>
    </row>
    <row r="51171" spans="1:141" s="116" customFormat="1">
      <c r="A51171" s="136"/>
      <c r="CM51171" s="111"/>
      <c r="CQ51171" s="111"/>
      <c r="EF51171"/>
      <c r="EG51171"/>
      <c r="EH51171"/>
      <c r="EI51171"/>
      <c r="EJ51171"/>
      <c r="EK51171"/>
    </row>
    <row r="51172" spans="1:141" s="116" customFormat="1">
      <c r="A51172" s="136"/>
      <c r="CM51172" s="111"/>
      <c r="CQ51172" s="111"/>
      <c r="EF51172"/>
      <c r="EG51172"/>
      <c r="EH51172"/>
      <c r="EI51172"/>
      <c r="EJ51172"/>
      <c r="EK51172"/>
    </row>
    <row r="51173" spans="1:141" s="116" customFormat="1">
      <c r="A51173" s="136"/>
      <c r="CM51173" s="111"/>
      <c r="CQ51173" s="111"/>
      <c r="EF51173"/>
      <c r="EG51173"/>
      <c r="EH51173"/>
      <c r="EI51173"/>
      <c r="EJ51173"/>
      <c r="EK51173"/>
    </row>
    <row r="51174" spans="1:141" s="116" customFormat="1">
      <c r="A51174" s="136"/>
      <c r="CM51174" s="111"/>
      <c r="CQ51174" s="111"/>
      <c r="EF51174"/>
      <c r="EG51174"/>
      <c r="EH51174"/>
      <c r="EI51174"/>
      <c r="EJ51174"/>
      <c r="EK51174"/>
    </row>
    <row r="51175" spans="1:141" s="116" customFormat="1">
      <c r="A51175" s="136"/>
      <c r="CM51175" s="111"/>
      <c r="CQ51175" s="111"/>
      <c r="EF51175"/>
      <c r="EG51175"/>
      <c r="EH51175"/>
      <c r="EI51175"/>
      <c r="EJ51175"/>
      <c r="EK51175"/>
    </row>
    <row r="51176" spans="1:141" s="116" customFormat="1">
      <c r="A51176" s="136"/>
      <c r="CM51176" s="111"/>
      <c r="CQ51176" s="111"/>
      <c r="EF51176"/>
      <c r="EG51176"/>
      <c r="EH51176"/>
      <c r="EI51176"/>
      <c r="EJ51176"/>
      <c r="EK51176"/>
    </row>
    <row r="51177" spans="1:141" s="116" customFormat="1">
      <c r="A51177" s="136"/>
      <c r="CM51177" s="111"/>
      <c r="CQ51177" s="111"/>
      <c r="EF51177"/>
      <c r="EG51177"/>
      <c r="EH51177"/>
      <c r="EI51177"/>
      <c r="EJ51177"/>
      <c r="EK51177"/>
    </row>
    <row r="51178" spans="1:141" s="116" customFormat="1">
      <c r="A51178" s="136"/>
      <c r="CM51178" s="111"/>
      <c r="CQ51178" s="111"/>
      <c r="EF51178"/>
      <c r="EG51178"/>
      <c r="EH51178"/>
      <c r="EI51178"/>
      <c r="EJ51178"/>
      <c r="EK51178"/>
    </row>
    <row r="51179" spans="1:141" s="116" customFormat="1">
      <c r="A51179" s="136"/>
      <c r="CM51179" s="111"/>
      <c r="CQ51179" s="111"/>
      <c r="EF51179"/>
      <c r="EG51179"/>
      <c r="EH51179"/>
      <c r="EI51179"/>
      <c r="EJ51179"/>
      <c r="EK51179"/>
    </row>
    <row r="51180" spans="1:141" s="116" customFormat="1">
      <c r="A51180" s="136"/>
      <c r="CM51180" s="111"/>
      <c r="CQ51180" s="111"/>
      <c r="EF51180"/>
      <c r="EG51180"/>
      <c r="EH51180"/>
      <c r="EI51180"/>
      <c r="EJ51180"/>
      <c r="EK51180"/>
    </row>
    <row r="51181" spans="1:141" s="116" customFormat="1">
      <c r="A51181" s="136"/>
      <c r="CM51181" s="111"/>
      <c r="CQ51181" s="111"/>
      <c r="EF51181"/>
      <c r="EG51181"/>
      <c r="EH51181"/>
      <c r="EI51181"/>
      <c r="EJ51181"/>
      <c r="EK51181"/>
    </row>
    <row r="51182" spans="1:141" s="116" customFormat="1">
      <c r="A51182" s="136"/>
      <c r="CM51182" s="111"/>
      <c r="CQ51182" s="111"/>
      <c r="EF51182"/>
      <c r="EG51182"/>
      <c r="EH51182"/>
      <c r="EI51182"/>
      <c r="EJ51182"/>
      <c r="EK51182"/>
    </row>
    <row r="51183" spans="1:141" s="116" customFormat="1">
      <c r="A51183" s="136"/>
      <c r="CM51183" s="111"/>
      <c r="CQ51183" s="111"/>
      <c r="EF51183"/>
      <c r="EG51183"/>
      <c r="EH51183"/>
      <c r="EI51183"/>
      <c r="EJ51183"/>
      <c r="EK51183"/>
    </row>
    <row r="51184" spans="1:141" s="116" customFormat="1">
      <c r="A51184" s="136"/>
      <c r="CM51184" s="111"/>
      <c r="CQ51184" s="111"/>
      <c r="EF51184"/>
      <c r="EG51184"/>
      <c r="EH51184"/>
      <c r="EI51184"/>
      <c r="EJ51184"/>
      <c r="EK51184"/>
    </row>
    <row r="51185" spans="1:141" s="116" customFormat="1">
      <c r="A51185" s="136"/>
      <c r="CM51185" s="111"/>
      <c r="CQ51185" s="111"/>
      <c r="EF51185"/>
      <c r="EG51185"/>
      <c r="EH51185"/>
      <c r="EI51185"/>
      <c r="EJ51185"/>
      <c r="EK51185"/>
    </row>
    <row r="51186" spans="1:141" s="116" customFormat="1">
      <c r="A51186" s="136"/>
      <c r="CM51186" s="111"/>
      <c r="CQ51186" s="111"/>
      <c r="EF51186"/>
      <c r="EG51186"/>
      <c r="EH51186"/>
      <c r="EI51186"/>
      <c r="EJ51186"/>
      <c r="EK51186"/>
    </row>
    <row r="51187" spans="1:141" s="116" customFormat="1">
      <c r="A51187" s="136"/>
      <c r="CM51187" s="111"/>
      <c r="CQ51187" s="111"/>
      <c r="EF51187"/>
      <c r="EG51187"/>
      <c r="EH51187"/>
      <c r="EI51187"/>
      <c r="EJ51187"/>
      <c r="EK51187"/>
    </row>
    <row r="51188" spans="1:141" s="116" customFormat="1">
      <c r="A51188" s="136"/>
      <c r="CM51188" s="111"/>
      <c r="CQ51188" s="111"/>
      <c r="EF51188"/>
      <c r="EG51188"/>
      <c r="EH51188"/>
      <c r="EI51188"/>
      <c r="EJ51188"/>
      <c r="EK51188"/>
    </row>
    <row r="51189" spans="1:141" s="116" customFormat="1">
      <c r="A51189" s="136"/>
      <c r="CM51189" s="111"/>
      <c r="CQ51189" s="111"/>
      <c r="EF51189"/>
      <c r="EG51189"/>
      <c r="EH51189"/>
      <c r="EI51189"/>
      <c r="EJ51189"/>
      <c r="EK51189"/>
    </row>
    <row r="51190" spans="1:141" s="116" customFormat="1">
      <c r="A51190" s="136"/>
      <c r="CM51190" s="111"/>
      <c r="CQ51190" s="111"/>
      <c r="EF51190"/>
      <c r="EG51190"/>
      <c r="EH51190"/>
      <c r="EI51190"/>
      <c r="EJ51190"/>
      <c r="EK51190"/>
    </row>
    <row r="51191" spans="1:141" s="116" customFormat="1">
      <c r="A51191" s="136"/>
      <c r="CM51191" s="111"/>
      <c r="CQ51191" s="111"/>
      <c r="EF51191"/>
      <c r="EG51191"/>
      <c r="EH51191"/>
      <c r="EI51191"/>
      <c r="EJ51191"/>
      <c r="EK51191"/>
    </row>
    <row r="51192" spans="1:141" s="116" customFormat="1">
      <c r="A51192" s="136"/>
      <c r="CM51192" s="111"/>
      <c r="CQ51192" s="111"/>
      <c r="EF51192"/>
      <c r="EG51192"/>
      <c r="EH51192"/>
      <c r="EI51192"/>
      <c r="EJ51192"/>
      <c r="EK51192"/>
    </row>
    <row r="51193" spans="1:141" s="116" customFormat="1">
      <c r="A51193" s="136"/>
      <c r="CM51193" s="111"/>
      <c r="CQ51193" s="111"/>
      <c r="EF51193"/>
      <c r="EG51193"/>
      <c r="EH51193"/>
      <c r="EI51193"/>
      <c r="EJ51193"/>
      <c r="EK51193"/>
    </row>
    <row r="51194" spans="1:141" s="116" customFormat="1">
      <c r="A51194" s="136"/>
      <c r="CM51194" s="111"/>
      <c r="CQ51194" s="111"/>
      <c r="EF51194"/>
      <c r="EG51194"/>
      <c r="EH51194"/>
      <c r="EI51194"/>
      <c r="EJ51194"/>
      <c r="EK51194"/>
    </row>
    <row r="51195" spans="1:141" s="116" customFormat="1">
      <c r="A51195" s="136"/>
      <c r="CM51195" s="111"/>
      <c r="CQ51195" s="111"/>
      <c r="EF51195"/>
      <c r="EG51195"/>
      <c r="EH51195"/>
      <c r="EI51195"/>
      <c r="EJ51195"/>
      <c r="EK51195"/>
    </row>
    <row r="51196" spans="1:141" s="116" customFormat="1">
      <c r="A51196" s="136"/>
      <c r="CM51196" s="111"/>
      <c r="CQ51196" s="111"/>
      <c r="EF51196"/>
      <c r="EG51196"/>
      <c r="EH51196"/>
      <c r="EI51196"/>
      <c r="EJ51196"/>
      <c r="EK51196"/>
    </row>
    <row r="51197" spans="1:141" s="116" customFormat="1">
      <c r="A51197" s="136"/>
      <c r="CM51197" s="111"/>
      <c r="CQ51197" s="111"/>
      <c r="EF51197"/>
      <c r="EG51197"/>
      <c r="EH51197"/>
      <c r="EI51197"/>
      <c r="EJ51197"/>
      <c r="EK51197"/>
    </row>
    <row r="51198" spans="1:141" s="116" customFormat="1">
      <c r="A51198" s="136"/>
      <c r="CM51198" s="111"/>
      <c r="CQ51198" s="111"/>
      <c r="EF51198"/>
      <c r="EG51198"/>
      <c r="EH51198"/>
      <c r="EI51198"/>
      <c r="EJ51198"/>
      <c r="EK51198"/>
    </row>
    <row r="51199" spans="1:141" s="116" customFormat="1">
      <c r="A51199" s="136"/>
      <c r="CM51199" s="111"/>
      <c r="CQ51199" s="111"/>
      <c r="EF51199"/>
      <c r="EG51199"/>
      <c r="EH51199"/>
      <c r="EI51199"/>
      <c r="EJ51199"/>
      <c r="EK51199"/>
    </row>
    <row r="51200" spans="1:141" s="116" customFormat="1">
      <c r="A51200" s="136"/>
      <c r="CM51200" s="111"/>
      <c r="CQ51200" s="111"/>
      <c r="EF51200"/>
      <c r="EG51200"/>
      <c r="EH51200"/>
      <c r="EI51200"/>
      <c r="EJ51200"/>
      <c r="EK51200"/>
    </row>
    <row r="51201" spans="1:141" s="116" customFormat="1">
      <c r="A51201" s="136"/>
      <c r="CM51201" s="111"/>
      <c r="CQ51201" s="111"/>
      <c r="EF51201"/>
      <c r="EG51201"/>
      <c r="EH51201"/>
      <c r="EI51201"/>
      <c r="EJ51201"/>
      <c r="EK51201"/>
    </row>
    <row r="51202" spans="1:141" s="116" customFormat="1">
      <c r="A51202" s="136"/>
      <c r="CM51202" s="111"/>
      <c r="CQ51202" s="111"/>
      <c r="EF51202"/>
      <c r="EG51202"/>
      <c r="EH51202"/>
      <c r="EI51202"/>
      <c r="EJ51202"/>
      <c r="EK51202"/>
    </row>
    <row r="51203" spans="1:141" s="116" customFormat="1">
      <c r="A51203" s="136"/>
      <c r="CM51203" s="111"/>
      <c r="CQ51203" s="111"/>
      <c r="EF51203"/>
      <c r="EG51203"/>
      <c r="EH51203"/>
      <c r="EI51203"/>
      <c r="EJ51203"/>
      <c r="EK51203"/>
    </row>
    <row r="51204" spans="1:141" s="116" customFormat="1">
      <c r="A51204" s="136"/>
      <c r="CM51204" s="111"/>
      <c r="CQ51204" s="111"/>
      <c r="EF51204"/>
      <c r="EG51204"/>
      <c r="EH51204"/>
      <c r="EI51204"/>
      <c r="EJ51204"/>
      <c r="EK51204"/>
    </row>
    <row r="51205" spans="1:141" s="116" customFormat="1">
      <c r="A51205" s="136"/>
      <c r="CM51205" s="111"/>
      <c r="CQ51205" s="111"/>
      <c r="EF51205"/>
      <c r="EG51205"/>
      <c r="EH51205"/>
      <c r="EI51205"/>
      <c r="EJ51205"/>
      <c r="EK51205"/>
    </row>
    <row r="51206" spans="1:141" s="116" customFormat="1">
      <c r="A51206" s="136"/>
      <c r="CM51206" s="111"/>
      <c r="CQ51206" s="111"/>
      <c r="EF51206"/>
      <c r="EG51206"/>
      <c r="EH51206"/>
      <c r="EI51206"/>
      <c r="EJ51206"/>
      <c r="EK51206"/>
    </row>
    <row r="51207" spans="1:141" s="116" customFormat="1">
      <c r="A51207" s="136"/>
      <c r="CM51207" s="111"/>
      <c r="CQ51207" s="111"/>
      <c r="EF51207"/>
      <c r="EG51207"/>
      <c r="EH51207"/>
      <c r="EI51207"/>
      <c r="EJ51207"/>
      <c r="EK51207"/>
    </row>
    <row r="51208" spans="1:141" s="116" customFormat="1">
      <c r="A51208" s="136"/>
      <c r="CM51208" s="111"/>
      <c r="CQ51208" s="111"/>
      <c r="EF51208"/>
      <c r="EG51208"/>
      <c r="EH51208"/>
      <c r="EI51208"/>
      <c r="EJ51208"/>
      <c r="EK51208"/>
    </row>
    <row r="51209" spans="1:141" s="116" customFormat="1">
      <c r="A51209" s="136"/>
      <c r="CM51209" s="111"/>
      <c r="CQ51209" s="111"/>
      <c r="EF51209"/>
      <c r="EG51209"/>
      <c r="EH51209"/>
      <c r="EI51209"/>
      <c r="EJ51209"/>
      <c r="EK51209"/>
    </row>
    <row r="51210" spans="1:141" s="116" customFormat="1">
      <c r="A51210" s="136"/>
      <c r="CM51210" s="111"/>
      <c r="CQ51210" s="111"/>
      <c r="EF51210"/>
      <c r="EG51210"/>
      <c r="EH51210"/>
      <c r="EI51210"/>
      <c r="EJ51210"/>
      <c r="EK51210"/>
    </row>
    <row r="51211" spans="1:141" s="116" customFormat="1">
      <c r="A51211" s="136"/>
      <c r="CM51211" s="111"/>
      <c r="CQ51211" s="111"/>
      <c r="EF51211"/>
      <c r="EG51211"/>
      <c r="EH51211"/>
      <c r="EI51211"/>
      <c r="EJ51211"/>
      <c r="EK51211"/>
    </row>
    <row r="51212" spans="1:141" s="116" customFormat="1">
      <c r="A51212" s="136"/>
      <c r="CM51212" s="111"/>
      <c r="CQ51212" s="111"/>
      <c r="EF51212"/>
      <c r="EG51212"/>
      <c r="EH51212"/>
      <c r="EI51212"/>
      <c r="EJ51212"/>
      <c r="EK51212"/>
    </row>
    <row r="51213" spans="1:141" s="116" customFormat="1">
      <c r="A51213" s="136"/>
      <c r="CM51213" s="111"/>
      <c r="CQ51213" s="111"/>
      <c r="EF51213"/>
      <c r="EG51213"/>
      <c r="EH51213"/>
      <c r="EI51213"/>
      <c r="EJ51213"/>
      <c r="EK51213"/>
    </row>
    <row r="51214" spans="1:141" s="116" customFormat="1">
      <c r="A51214" s="136"/>
      <c r="CM51214" s="111"/>
      <c r="CQ51214" s="111"/>
      <c r="EF51214"/>
      <c r="EG51214"/>
      <c r="EH51214"/>
      <c r="EI51214"/>
      <c r="EJ51214"/>
      <c r="EK51214"/>
    </row>
    <row r="51215" spans="1:141" s="116" customFormat="1">
      <c r="A51215" s="136"/>
      <c r="CM51215" s="111"/>
      <c r="CQ51215" s="111"/>
      <c r="EF51215"/>
      <c r="EG51215"/>
      <c r="EH51215"/>
      <c r="EI51215"/>
      <c r="EJ51215"/>
      <c r="EK51215"/>
    </row>
    <row r="51216" spans="1:141" s="116" customFormat="1">
      <c r="A51216" s="136"/>
      <c r="CM51216" s="111"/>
      <c r="CQ51216" s="111"/>
      <c r="EF51216"/>
      <c r="EG51216"/>
      <c r="EH51216"/>
      <c r="EI51216"/>
      <c r="EJ51216"/>
      <c r="EK51216"/>
    </row>
    <row r="51217" spans="1:141" s="116" customFormat="1">
      <c r="A51217" s="136"/>
      <c r="CM51217" s="111"/>
      <c r="CQ51217" s="111"/>
      <c r="EF51217"/>
      <c r="EG51217"/>
      <c r="EH51217"/>
      <c r="EI51217"/>
      <c r="EJ51217"/>
      <c r="EK51217"/>
    </row>
    <row r="51218" spans="1:141" s="116" customFormat="1">
      <c r="A51218" s="136"/>
      <c r="CM51218" s="111"/>
      <c r="CQ51218" s="111"/>
      <c r="EF51218"/>
      <c r="EG51218"/>
      <c r="EH51218"/>
      <c r="EI51218"/>
      <c r="EJ51218"/>
      <c r="EK51218"/>
    </row>
    <row r="51219" spans="1:141" s="116" customFormat="1">
      <c r="A51219" s="136"/>
      <c r="CM51219" s="111"/>
      <c r="CQ51219" s="111"/>
      <c r="EF51219"/>
      <c r="EG51219"/>
      <c r="EH51219"/>
      <c r="EI51219"/>
      <c r="EJ51219"/>
      <c r="EK51219"/>
    </row>
    <row r="51220" spans="1:141" s="116" customFormat="1">
      <c r="A51220" s="136"/>
      <c r="CM51220" s="111"/>
      <c r="CQ51220" s="111"/>
      <c r="EF51220"/>
      <c r="EG51220"/>
      <c r="EH51220"/>
      <c r="EI51220"/>
      <c r="EJ51220"/>
      <c r="EK51220"/>
    </row>
    <row r="51221" spans="1:141" s="116" customFormat="1">
      <c r="A51221" s="136"/>
      <c r="CM51221" s="111"/>
      <c r="CQ51221" s="111"/>
      <c r="EF51221"/>
      <c r="EG51221"/>
      <c r="EH51221"/>
      <c r="EI51221"/>
      <c r="EJ51221"/>
      <c r="EK51221"/>
    </row>
    <row r="51222" spans="1:141" s="116" customFormat="1">
      <c r="A51222" s="136"/>
      <c r="CM51222" s="111"/>
      <c r="CQ51222" s="111"/>
      <c r="EF51222"/>
      <c r="EG51222"/>
      <c r="EH51222"/>
      <c r="EI51222"/>
      <c r="EJ51222"/>
      <c r="EK51222"/>
    </row>
    <row r="51223" spans="1:141" s="116" customFormat="1">
      <c r="A51223" s="136"/>
      <c r="CM51223" s="111"/>
      <c r="CQ51223" s="111"/>
      <c r="EF51223"/>
      <c r="EG51223"/>
      <c r="EH51223"/>
      <c r="EI51223"/>
      <c r="EJ51223"/>
      <c r="EK51223"/>
    </row>
    <row r="51224" spans="1:141" s="116" customFormat="1">
      <c r="A51224" s="136"/>
      <c r="CM51224" s="111"/>
      <c r="CQ51224" s="111"/>
      <c r="EF51224"/>
      <c r="EG51224"/>
      <c r="EH51224"/>
      <c r="EI51224"/>
      <c r="EJ51224"/>
      <c r="EK51224"/>
    </row>
    <row r="51225" spans="1:141" s="116" customFormat="1">
      <c r="A51225" s="136"/>
      <c r="CM51225" s="111"/>
      <c r="CQ51225" s="111"/>
      <c r="EF51225"/>
      <c r="EG51225"/>
      <c r="EH51225"/>
      <c r="EI51225"/>
      <c r="EJ51225"/>
      <c r="EK51225"/>
    </row>
    <row r="51226" spans="1:141" s="116" customFormat="1">
      <c r="A51226" s="136"/>
      <c r="CM51226" s="111"/>
      <c r="CQ51226" s="111"/>
      <c r="EF51226"/>
      <c r="EG51226"/>
      <c r="EH51226"/>
      <c r="EI51226"/>
      <c r="EJ51226"/>
      <c r="EK51226"/>
    </row>
    <row r="51227" spans="1:141" s="116" customFormat="1">
      <c r="A51227" s="136"/>
      <c r="CM51227" s="111"/>
      <c r="CQ51227" s="111"/>
      <c r="EF51227"/>
      <c r="EG51227"/>
      <c r="EH51227"/>
      <c r="EI51227"/>
      <c r="EJ51227"/>
      <c r="EK51227"/>
    </row>
    <row r="51228" spans="1:141" s="116" customFormat="1">
      <c r="A51228" s="136"/>
      <c r="CM51228" s="111"/>
      <c r="CQ51228" s="111"/>
      <c r="EF51228"/>
      <c r="EG51228"/>
      <c r="EH51228"/>
      <c r="EI51228"/>
      <c r="EJ51228"/>
      <c r="EK51228"/>
    </row>
    <row r="51229" spans="1:141" s="116" customFormat="1">
      <c r="A51229" s="136"/>
      <c r="CM51229" s="111"/>
      <c r="CQ51229" s="111"/>
      <c r="EF51229"/>
      <c r="EG51229"/>
      <c r="EH51229"/>
      <c r="EI51229"/>
      <c r="EJ51229"/>
      <c r="EK51229"/>
    </row>
    <row r="51230" spans="1:141" s="116" customFormat="1">
      <c r="A51230" s="136"/>
      <c r="CM51230" s="111"/>
      <c r="CQ51230" s="111"/>
      <c r="EF51230"/>
      <c r="EG51230"/>
      <c r="EH51230"/>
      <c r="EI51230"/>
      <c r="EJ51230"/>
      <c r="EK51230"/>
    </row>
    <row r="51231" spans="1:141" s="116" customFormat="1">
      <c r="A51231" s="136"/>
      <c r="CM51231" s="111"/>
      <c r="CQ51231" s="111"/>
      <c r="EF51231"/>
      <c r="EG51231"/>
      <c r="EH51231"/>
      <c r="EI51231"/>
      <c r="EJ51231"/>
      <c r="EK51231"/>
    </row>
    <row r="51232" spans="1:141" s="116" customFormat="1">
      <c r="A51232" s="136"/>
      <c r="CM51232" s="111"/>
      <c r="CQ51232" s="111"/>
      <c r="EF51232"/>
      <c r="EG51232"/>
      <c r="EH51232"/>
      <c r="EI51232"/>
      <c r="EJ51232"/>
      <c r="EK51232"/>
    </row>
    <row r="51233" spans="1:141" s="116" customFormat="1">
      <c r="A51233" s="136"/>
      <c r="CM51233" s="111"/>
      <c r="CQ51233" s="111"/>
      <c r="EF51233"/>
      <c r="EG51233"/>
      <c r="EH51233"/>
      <c r="EI51233"/>
      <c r="EJ51233"/>
      <c r="EK51233"/>
    </row>
    <row r="51234" spans="1:141" s="116" customFormat="1">
      <c r="A51234" s="136"/>
      <c r="CM51234" s="111"/>
      <c r="CQ51234" s="111"/>
      <c r="EF51234"/>
      <c r="EG51234"/>
      <c r="EH51234"/>
      <c r="EI51234"/>
      <c r="EJ51234"/>
      <c r="EK51234"/>
    </row>
    <row r="51235" spans="1:141" s="116" customFormat="1">
      <c r="A51235" s="136"/>
      <c r="CM51235" s="111"/>
      <c r="CQ51235" s="111"/>
      <c r="EF51235"/>
      <c r="EG51235"/>
      <c r="EH51235"/>
      <c r="EI51235"/>
      <c r="EJ51235"/>
      <c r="EK51235"/>
    </row>
    <row r="51236" spans="1:141" s="116" customFormat="1">
      <c r="A51236" s="136"/>
      <c r="CM51236" s="111"/>
      <c r="CQ51236" s="111"/>
      <c r="EF51236"/>
      <c r="EG51236"/>
      <c r="EH51236"/>
      <c r="EI51236"/>
      <c r="EJ51236"/>
      <c r="EK51236"/>
    </row>
    <row r="51237" spans="1:141" s="116" customFormat="1">
      <c r="A51237" s="136"/>
      <c r="CM51237" s="111"/>
      <c r="CQ51237" s="111"/>
      <c r="EF51237"/>
      <c r="EG51237"/>
      <c r="EH51237"/>
      <c r="EI51237"/>
      <c r="EJ51237"/>
      <c r="EK51237"/>
    </row>
    <row r="51238" spans="1:141" s="116" customFormat="1">
      <c r="A51238" s="136"/>
      <c r="CM51238" s="111"/>
      <c r="CQ51238" s="111"/>
      <c r="EF51238"/>
      <c r="EG51238"/>
      <c r="EH51238"/>
      <c r="EI51238"/>
      <c r="EJ51238"/>
      <c r="EK51238"/>
    </row>
    <row r="51239" spans="1:141" s="116" customFormat="1">
      <c r="A51239" s="136"/>
      <c r="CM51239" s="111"/>
      <c r="CQ51239" s="111"/>
      <c r="EF51239"/>
      <c r="EG51239"/>
      <c r="EH51239"/>
      <c r="EI51239"/>
      <c r="EJ51239"/>
      <c r="EK51239"/>
    </row>
    <row r="51240" spans="1:141" s="116" customFormat="1">
      <c r="A51240" s="136"/>
      <c r="CM51240" s="111"/>
      <c r="CQ51240" s="111"/>
      <c r="EF51240"/>
      <c r="EG51240"/>
      <c r="EH51240"/>
      <c r="EI51240"/>
      <c r="EJ51240"/>
      <c r="EK51240"/>
    </row>
    <row r="51241" spans="1:141" s="116" customFormat="1">
      <c r="A51241" s="136"/>
      <c r="CM51241" s="111"/>
      <c r="CQ51241" s="111"/>
      <c r="EF51241"/>
      <c r="EG51241"/>
      <c r="EH51241"/>
      <c r="EI51241"/>
      <c r="EJ51241"/>
      <c r="EK51241"/>
    </row>
    <row r="51242" spans="1:141" s="116" customFormat="1">
      <c r="A51242" s="136"/>
      <c r="CM51242" s="111"/>
      <c r="CQ51242" s="111"/>
      <c r="EF51242"/>
      <c r="EG51242"/>
      <c r="EH51242"/>
      <c r="EI51242"/>
      <c r="EJ51242"/>
      <c r="EK51242"/>
    </row>
    <row r="51243" spans="1:141" s="116" customFormat="1">
      <c r="A51243" s="136"/>
      <c r="CM51243" s="111"/>
      <c r="CQ51243" s="111"/>
      <c r="EF51243"/>
      <c r="EG51243"/>
      <c r="EH51243"/>
      <c r="EI51243"/>
      <c r="EJ51243"/>
      <c r="EK51243"/>
    </row>
    <row r="51244" spans="1:141" s="116" customFormat="1">
      <c r="A51244" s="136"/>
      <c r="CM51244" s="111"/>
      <c r="CQ51244" s="111"/>
      <c r="EF51244"/>
      <c r="EG51244"/>
      <c r="EH51244"/>
      <c r="EI51244"/>
      <c r="EJ51244"/>
      <c r="EK51244"/>
    </row>
    <row r="51245" spans="1:141" s="116" customFormat="1">
      <c r="A51245" s="136"/>
      <c r="CM51245" s="111"/>
      <c r="CQ51245" s="111"/>
      <c r="EF51245"/>
      <c r="EG51245"/>
      <c r="EH51245"/>
      <c r="EI51245"/>
      <c r="EJ51245"/>
      <c r="EK51245"/>
    </row>
    <row r="51246" spans="1:141" s="116" customFormat="1">
      <c r="A51246" s="136"/>
      <c r="CM51246" s="111"/>
      <c r="CQ51246" s="111"/>
      <c r="EF51246"/>
      <c r="EG51246"/>
      <c r="EH51246"/>
      <c r="EI51246"/>
      <c r="EJ51246"/>
      <c r="EK51246"/>
    </row>
    <row r="51247" spans="1:141" s="116" customFormat="1">
      <c r="A51247" s="136"/>
      <c r="CM51247" s="111"/>
      <c r="CQ51247" s="111"/>
      <c r="EF51247"/>
      <c r="EG51247"/>
      <c r="EH51247"/>
      <c r="EI51247"/>
      <c r="EJ51247"/>
      <c r="EK51247"/>
    </row>
    <row r="51248" spans="1:141" s="116" customFormat="1">
      <c r="A51248" s="136"/>
      <c r="CM51248" s="111"/>
      <c r="CQ51248" s="111"/>
      <c r="EF51248"/>
      <c r="EG51248"/>
      <c r="EH51248"/>
      <c r="EI51248"/>
      <c r="EJ51248"/>
      <c r="EK51248"/>
    </row>
    <row r="51249" spans="1:141" s="116" customFormat="1">
      <c r="A51249" s="136"/>
      <c r="CM51249" s="111"/>
      <c r="CQ51249" s="111"/>
      <c r="EF51249"/>
      <c r="EG51249"/>
      <c r="EH51249"/>
      <c r="EI51249"/>
      <c r="EJ51249"/>
      <c r="EK51249"/>
    </row>
    <row r="51250" spans="1:141" s="116" customFormat="1">
      <c r="A51250" s="136"/>
      <c r="CM51250" s="111"/>
      <c r="CQ51250" s="111"/>
      <c r="EF51250"/>
      <c r="EG51250"/>
      <c r="EH51250"/>
      <c r="EI51250"/>
      <c r="EJ51250"/>
      <c r="EK51250"/>
    </row>
    <row r="51251" spans="1:141" s="116" customFormat="1">
      <c r="A51251" s="136"/>
      <c r="CM51251" s="111"/>
      <c r="CQ51251" s="111"/>
      <c r="EF51251"/>
      <c r="EG51251"/>
      <c r="EH51251"/>
      <c r="EI51251"/>
      <c r="EJ51251"/>
      <c r="EK51251"/>
    </row>
    <row r="51252" spans="1:141" s="116" customFormat="1">
      <c r="A51252" s="136"/>
      <c r="CM51252" s="111"/>
      <c r="CQ51252" s="111"/>
      <c r="EF51252"/>
      <c r="EG51252"/>
      <c r="EH51252"/>
      <c r="EI51252"/>
      <c r="EJ51252"/>
      <c r="EK51252"/>
    </row>
    <row r="51253" spans="1:141" s="116" customFormat="1">
      <c r="A51253" s="136"/>
      <c r="CM51253" s="111"/>
      <c r="CQ51253" s="111"/>
      <c r="EF51253"/>
      <c r="EG51253"/>
      <c r="EH51253"/>
      <c r="EI51253"/>
      <c r="EJ51253"/>
      <c r="EK51253"/>
    </row>
    <row r="51254" spans="1:141" s="116" customFormat="1">
      <c r="A51254" s="136"/>
      <c r="CM51254" s="111"/>
      <c r="CQ51254" s="111"/>
      <c r="EF51254"/>
      <c r="EG51254"/>
      <c r="EH51254"/>
      <c r="EI51254"/>
      <c r="EJ51254"/>
      <c r="EK51254"/>
    </row>
    <row r="51255" spans="1:141" s="116" customFormat="1">
      <c r="A51255" s="136"/>
      <c r="CM51255" s="111"/>
      <c r="CQ51255" s="111"/>
      <c r="EF51255"/>
      <c r="EG51255"/>
      <c r="EH51255"/>
      <c r="EI51255"/>
      <c r="EJ51255"/>
      <c r="EK51255"/>
    </row>
    <row r="51256" spans="1:141" s="116" customFormat="1">
      <c r="A51256" s="136"/>
      <c r="CM51256" s="111"/>
      <c r="CQ51256" s="111"/>
      <c r="EF51256"/>
      <c r="EG51256"/>
      <c r="EH51256"/>
      <c r="EI51256"/>
      <c r="EJ51256"/>
      <c r="EK51256"/>
    </row>
    <row r="51257" spans="1:141" s="116" customFormat="1">
      <c r="A51257" s="136"/>
      <c r="CM51257" s="111"/>
      <c r="CQ51257" s="111"/>
      <c r="EF51257"/>
      <c r="EG51257"/>
      <c r="EH51257"/>
      <c r="EI51257"/>
      <c r="EJ51257"/>
      <c r="EK51257"/>
    </row>
    <row r="51258" spans="1:141" s="116" customFormat="1">
      <c r="A51258" s="136"/>
      <c r="CM51258" s="111"/>
      <c r="CQ51258" s="111"/>
      <c r="EF51258"/>
      <c r="EG51258"/>
      <c r="EH51258"/>
      <c r="EI51258"/>
      <c r="EJ51258"/>
      <c r="EK51258"/>
    </row>
    <row r="51259" spans="1:141" s="116" customFormat="1">
      <c r="A51259" s="136"/>
      <c r="CM51259" s="111"/>
      <c r="CQ51259" s="111"/>
      <c r="EF51259"/>
      <c r="EG51259"/>
      <c r="EH51259"/>
      <c r="EI51259"/>
      <c r="EJ51259"/>
      <c r="EK51259"/>
    </row>
    <row r="51260" spans="1:141" s="116" customFormat="1">
      <c r="A51260" s="136"/>
      <c r="CM51260" s="111"/>
      <c r="CQ51260" s="111"/>
      <c r="EF51260"/>
      <c r="EG51260"/>
      <c r="EH51260"/>
      <c r="EI51260"/>
      <c r="EJ51260"/>
      <c r="EK51260"/>
    </row>
    <row r="51261" spans="1:141" s="116" customFormat="1">
      <c r="A51261" s="136"/>
      <c r="CM51261" s="111"/>
      <c r="CQ51261" s="111"/>
      <c r="EF51261"/>
      <c r="EG51261"/>
      <c r="EH51261"/>
      <c r="EI51261"/>
      <c r="EJ51261"/>
      <c r="EK51261"/>
    </row>
    <row r="51262" spans="1:141" s="116" customFormat="1">
      <c r="A51262" s="136"/>
      <c r="CM51262" s="111"/>
      <c r="CQ51262" s="111"/>
      <c r="EF51262"/>
      <c r="EG51262"/>
      <c r="EH51262"/>
      <c r="EI51262"/>
      <c r="EJ51262"/>
      <c r="EK51262"/>
    </row>
    <row r="51263" spans="1:141" s="116" customFormat="1">
      <c r="A51263" s="136"/>
      <c r="CM51263" s="111"/>
      <c r="CQ51263" s="111"/>
      <c r="EF51263"/>
      <c r="EG51263"/>
      <c r="EH51263"/>
      <c r="EI51263"/>
      <c r="EJ51263"/>
      <c r="EK51263"/>
    </row>
    <row r="51264" spans="1:141" s="116" customFormat="1">
      <c r="A51264" s="136"/>
      <c r="CM51264" s="111"/>
      <c r="CQ51264" s="111"/>
      <c r="EF51264"/>
      <c r="EG51264"/>
      <c r="EH51264"/>
      <c r="EI51264"/>
      <c r="EJ51264"/>
      <c r="EK51264"/>
    </row>
    <row r="51265" spans="1:141" s="116" customFormat="1">
      <c r="A51265" s="136"/>
      <c r="CM51265" s="111"/>
      <c r="CQ51265" s="111"/>
      <c r="EF51265"/>
      <c r="EG51265"/>
      <c r="EH51265"/>
      <c r="EI51265"/>
      <c r="EJ51265"/>
      <c r="EK51265"/>
    </row>
    <row r="51266" spans="1:141" s="116" customFormat="1">
      <c r="A51266" s="136"/>
      <c r="CM51266" s="111"/>
      <c r="CQ51266" s="111"/>
      <c r="EF51266"/>
      <c r="EG51266"/>
      <c r="EH51266"/>
      <c r="EI51266"/>
      <c r="EJ51266"/>
      <c r="EK51266"/>
    </row>
    <row r="51267" spans="1:141" s="116" customFormat="1">
      <c r="A51267" s="136"/>
      <c r="CM51267" s="111"/>
      <c r="CQ51267" s="111"/>
      <c r="EF51267"/>
      <c r="EG51267"/>
      <c r="EH51267"/>
      <c r="EI51267"/>
      <c r="EJ51267"/>
      <c r="EK51267"/>
    </row>
    <row r="51268" spans="1:141" s="116" customFormat="1">
      <c r="A51268" s="136"/>
      <c r="CM51268" s="111"/>
      <c r="CQ51268" s="111"/>
      <c r="EF51268"/>
      <c r="EG51268"/>
      <c r="EH51268"/>
      <c r="EI51268"/>
      <c r="EJ51268"/>
      <c r="EK51268"/>
    </row>
    <row r="51269" spans="1:141" s="116" customFormat="1">
      <c r="A51269" s="136"/>
      <c r="CM51269" s="111"/>
      <c r="CQ51269" s="111"/>
      <c r="EF51269"/>
      <c r="EG51269"/>
      <c r="EH51269"/>
      <c r="EI51269"/>
      <c r="EJ51269"/>
      <c r="EK51269"/>
    </row>
    <row r="51270" spans="1:141" s="116" customFormat="1">
      <c r="A51270" s="136"/>
      <c r="CM51270" s="111"/>
      <c r="CQ51270" s="111"/>
      <c r="EF51270"/>
      <c r="EG51270"/>
      <c r="EH51270"/>
      <c r="EI51270"/>
      <c r="EJ51270"/>
      <c r="EK51270"/>
    </row>
    <row r="51271" spans="1:141" s="116" customFormat="1">
      <c r="A51271" s="136"/>
      <c r="CM51271" s="111"/>
      <c r="CQ51271" s="111"/>
      <c r="EF51271"/>
      <c r="EG51271"/>
      <c r="EH51271"/>
      <c r="EI51271"/>
      <c r="EJ51271"/>
      <c r="EK51271"/>
    </row>
    <row r="51272" spans="1:141" s="116" customFormat="1">
      <c r="A51272" s="136"/>
      <c r="CM51272" s="111"/>
      <c r="CQ51272" s="111"/>
      <c r="EF51272"/>
      <c r="EG51272"/>
      <c r="EH51272"/>
      <c r="EI51272"/>
      <c r="EJ51272"/>
      <c r="EK51272"/>
    </row>
    <row r="51273" spans="1:141" s="116" customFormat="1">
      <c r="A51273" s="136"/>
      <c r="CM51273" s="111"/>
      <c r="CQ51273" s="111"/>
      <c r="EF51273"/>
      <c r="EG51273"/>
      <c r="EH51273"/>
      <c r="EI51273"/>
      <c r="EJ51273"/>
      <c r="EK51273"/>
    </row>
    <row r="51274" spans="1:141" s="116" customFormat="1">
      <c r="A51274" s="136"/>
      <c r="CM51274" s="111"/>
      <c r="CQ51274" s="111"/>
      <c r="EF51274"/>
      <c r="EG51274"/>
      <c r="EH51274"/>
      <c r="EI51274"/>
      <c r="EJ51274"/>
      <c r="EK51274"/>
    </row>
    <row r="51275" spans="1:141" s="116" customFormat="1">
      <c r="A51275" s="136"/>
      <c r="CM51275" s="111"/>
      <c r="CQ51275" s="111"/>
      <c r="EF51275"/>
      <c r="EG51275"/>
      <c r="EH51275"/>
      <c r="EI51275"/>
      <c r="EJ51275"/>
      <c r="EK51275"/>
    </row>
    <row r="51276" spans="1:141" s="116" customFormat="1">
      <c r="A51276" s="136"/>
      <c r="CM51276" s="111"/>
      <c r="CQ51276" s="111"/>
      <c r="EF51276"/>
      <c r="EG51276"/>
      <c r="EH51276"/>
      <c r="EI51276"/>
      <c r="EJ51276"/>
      <c r="EK51276"/>
    </row>
    <row r="51277" spans="1:141" s="116" customFormat="1">
      <c r="A51277" s="136"/>
      <c r="CM51277" s="111"/>
      <c r="CQ51277" s="111"/>
      <c r="EF51277"/>
      <c r="EG51277"/>
      <c r="EH51277"/>
      <c r="EI51277"/>
      <c r="EJ51277"/>
      <c r="EK51277"/>
    </row>
    <row r="51278" spans="1:141" s="116" customFormat="1">
      <c r="A51278" s="136"/>
      <c r="CM51278" s="111"/>
      <c r="CQ51278" s="111"/>
      <c r="EF51278"/>
      <c r="EG51278"/>
      <c r="EH51278"/>
      <c r="EI51278"/>
      <c r="EJ51278"/>
      <c r="EK51278"/>
    </row>
    <row r="51279" spans="1:141" s="116" customFormat="1">
      <c r="A51279" s="136"/>
      <c r="CM51279" s="111"/>
      <c r="CQ51279" s="111"/>
      <c r="EF51279"/>
      <c r="EG51279"/>
      <c r="EH51279"/>
      <c r="EI51279"/>
      <c r="EJ51279"/>
      <c r="EK51279"/>
    </row>
    <row r="51280" spans="1:141" s="116" customFormat="1">
      <c r="A51280" s="136"/>
      <c r="CM51280" s="111"/>
      <c r="CQ51280" s="111"/>
      <c r="EF51280"/>
      <c r="EG51280"/>
      <c r="EH51280"/>
      <c r="EI51280"/>
      <c r="EJ51280"/>
      <c r="EK51280"/>
    </row>
    <row r="51281" spans="1:141" s="116" customFormat="1">
      <c r="A51281" s="136"/>
      <c r="CM51281" s="111"/>
      <c r="CQ51281" s="111"/>
      <c r="EF51281"/>
      <c r="EG51281"/>
      <c r="EH51281"/>
      <c r="EI51281"/>
      <c r="EJ51281"/>
      <c r="EK51281"/>
    </row>
    <row r="51282" spans="1:141" s="116" customFormat="1">
      <c r="A51282" s="136"/>
      <c r="CM51282" s="111"/>
      <c r="CQ51282" s="111"/>
      <c r="EF51282"/>
      <c r="EG51282"/>
      <c r="EH51282"/>
      <c r="EI51282"/>
      <c r="EJ51282"/>
      <c r="EK51282"/>
    </row>
    <row r="51283" spans="1:141" s="116" customFormat="1">
      <c r="A51283" s="136"/>
      <c r="CM51283" s="111"/>
      <c r="CQ51283" s="111"/>
      <c r="EF51283"/>
      <c r="EG51283"/>
      <c r="EH51283"/>
      <c r="EI51283"/>
      <c r="EJ51283"/>
      <c r="EK51283"/>
    </row>
    <row r="51284" spans="1:141" s="116" customFormat="1">
      <c r="A51284" s="136"/>
      <c r="CM51284" s="111"/>
      <c r="CQ51284" s="111"/>
      <c r="EF51284"/>
      <c r="EG51284"/>
      <c r="EH51284"/>
      <c r="EI51284"/>
      <c r="EJ51284"/>
      <c r="EK51284"/>
    </row>
    <row r="51285" spans="1:141" s="116" customFormat="1">
      <c r="A51285" s="136"/>
      <c r="CM51285" s="111"/>
      <c r="CQ51285" s="111"/>
      <c r="EF51285"/>
      <c r="EG51285"/>
      <c r="EH51285"/>
      <c r="EI51285"/>
      <c r="EJ51285"/>
      <c r="EK51285"/>
    </row>
    <row r="51286" spans="1:141" s="116" customFormat="1">
      <c r="A51286" s="136"/>
      <c r="CM51286" s="111"/>
      <c r="CQ51286" s="111"/>
      <c r="EF51286"/>
      <c r="EG51286"/>
      <c r="EH51286"/>
      <c r="EI51286"/>
      <c r="EJ51286"/>
      <c r="EK51286"/>
    </row>
    <row r="51287" spans="1:141" s="116" customFormat="1">
      <c r="A51287" s="136"/>
      <c r="CM51287" s="111"/>
      <c r="CQ51287" s="111"/>
      <c r="EF51287"/>
      <c r="EG51287"/>
      <c r="EH51287"/>
      <c r="EI51287"/>
      <c r="EJ51287"/>
      <c r="EK51287"/>
    </row>
    <row r="51288" spans="1:141" s="116" customFormat="1">
      <c r="A51288" s="136"/>
      <c r="CM51288" s="111"/>
      <c r="CQ51288" s="111"/>
      <c r="EF51288"/>
      <c r="EG51288"/>
      <c r="EH51288"/>
      <c r="EI51288"/>
      <c r="EJ51288"/>
      <c r="EK51288"/>
    </row>
    <row r="51289" spans="1:141" s="116" customFormat="1">
      <c r="A51289" s="136"/>
      <c r="CM51289" s="111"/>
      <c r="CQ51289" s="111"/>
      <c r="EF51289"/>
      <c r="EG51289"/>
      <c r="EH51289"/>
      <c r="EI51289"/>
      <c r="EJ51289"/>
      <c r="EK51289"/>
    </row>
    <row r="51290" spans="1:141" s="116" customFormat="1">
      <c r="A51290" s="136"/>
      <c r="CM51290" s="111"/>
      <c r="CQ51290" s="111"/>
      <c r="EF51290"/>
      <c r="EG51290"/>
      <c r="EH51290"/>
      <c r="EI51290"/>
      <c r="EJ51290"/>
      <c r="EK51290"/>
    </row>
    <row r="51291" spans="1:141" s="116" customFormat="1">
      <c r="A51291" s="136"/>
      <c r="CM51291" s="111"/>
      <c r="CQ51291" s="111"/>
      <c r="EF51291"/>
      <c r="EG51291"/>
      <c r="EH51291"/>
      <c r="EI51291"/>
      <c r="EJ51291"/>
      <c r="EK51291"/>
    </row>
    <row r="51292" spans="1:141" s="116" customFormat="1">
      <c r="A51292" s="136"/>
      <c r="CM51292" s="111"/>
      <c r="CQ51292" s="111"/>
      <c r="EF51292"/>
      <c r="EG51292"/>
      <c r="EH51292"/>
      <c r="EI51292"/>
      <c r="EJ51292"/>
      <c r="EK51292"/>
    </row>
    <row r="51293" spans="1:141" s="116" customFormat="1">
      <c r="A51293" s="136"/>
      <c r="CM51293" s="111"/>
      <c r="CQ51293" s="111"/>
      <c r="EF51293"/>
      <c r="EG51293"/>
      <c r="EH51293"/>
      <c r="EI51293"/>
      <c r="EJ51293"/>
      <c r="EK51293"/>
    </row>
    <row r="51294" spans="1:141" s="116" customFormat="1">
      <c r="A51294" s="136"/>
      <c r="CM51294" s="111"/>
      <c r="CQ51294" s="111"/>
      <c r="EF51294"/>
      <c r="EG51294"/>
      <c r="EH51294"/>
      <c r="EI51294"/>
      <c r="EJ51294"/>
      <c r="EK51294"/>
    </row>
    <row r="51295" spans="1:141" s="116" customFormat="1">
      <c r="A51295" s="136"/>
      <c r="CM51295" s="111"/>
      <c r="CQ51295" s="111"/>
      <c r="EF51295"/>
      <c r="EG51295"/>
      <c r="EH51295"/>
      <c r="EI51295"/>
      <c r="EJ51295"/>
      <c r="EK51295"/>
    </row>
    <row r="51296" spans="1:141" s="116" customFormat="1">
      <c r="A51296" s="136"/>
      <c r="CM51296" s="111"/>
      <c r="CQ51296" s="111"/>
      <c r="EF51296"/>
      <c r="EG51296"/>
      <c r="EH51296"/>
      <c r="EI51296"/>
      <c r="EJ51296"/>
      <c r="EK51296"/>
    </row>
    <row r="51297" spans="1:141" s="116" customFormat="1">
      <c r="A51297" s="136"/>
      <c r="CM51297" s="111"/>
      <c r="CQ51297" s="111"/>
      <c r="EF51297"/>
      <c r="EG51297"/>
      <c r="EH51297"/>
      <c r="EI51297"/>
      <c r="EJ51297"/>
      <c r="EK51297"/>
    </row>
    <row r="51298" spans="1:141" s="116" customFormat="1">
      <c r="A51298" s="136"/>
      <c r="CM51298" s="111"/>
      <c r="CQ51298" s="111"/>
      <c r="EF51298"/>
      <c r="EG51298"/>
      <c r="EH51298"/>
      <c r="EI51298"/>
      <c r="EJ51298"/>
      <c r="EK51298"/>
    </row>
    <row r="51299" spans="1:141" s="116" customFormat="1">
      <c r="A51299" s="136"/>
      <c r="CM51299" s="111"/>
      <c r="CQ51299" s="111"/>
      <c r="EF51299"/>
      <c r="EG51299"/>
      <c r="EH51299"/>
      <c r="EI51299"/>
      <c r="EJ51299"/>
      <c r="EK51299"/>
    </row>
    <row r="51300" spans="1:141" s="116" customFormat="1">
      <c r="A51300" s="136"/>
      <c r="CM51300" s="111"/>
      <c r="CQ51300" s="111"/>
      <c r="EF51300"/>
      <c r="EG51300"/>
      <c r="EH51300"/>
      <c r="EI51300"/>
      <c r="EJ51300"/>
      <c r="EK51300"/>
    </row>
    <row r="51301" spans="1:141" s="116" customFormat="1">
      <c r="A51301" s="136"/>
      <c r="CM51301" s="111"/>
      <c r="CQ51301" s="111"/>
      <c r="EF51301"/>
      <c r="EG51301"/>
      <c r="EH51301"/>
      <c r="EI51301"/>
      <c r="EJ51301"/>
      <c r="EK51301"/>
    </row>
    <row r="51302" spans="1:141" s="116" customFormat="1">
      <c r="A51302" s="136"/>
      <c r="CM51302" s="111"/>
      <c r="CQ51302" s="111"/>
      <c r="EF51302"/>
      <c r="EG51302"/>
      <c r="EH51302"/>
      <c r="EI51302"/>
      <c r="EJ51302"/>
      <c r="EK51302"/>
    </row>
    <row r="51303" spans="1:141" s="116" customFormat="1">
      <c r="A51303" s="136"/>
      <c r="CM51303" s="111"/>
      <c r="CQ51303" s="111"/>
      <c r="EF51303"/>
      <c r="EG51303"/>
      <c r="EH51303"/>
      <c r="EI51303"/>
      <c r="EJ51303"/>
      <c r="EK51303"/>
    </row>
    <row r="51304" spans="1:141" s="116" customFormat="1">
      <c r="A51304" s="136"/>
      <c r="CM51304" s="111"/>
      <c r="CQ51304" s="111"/>
      <c r="EF51304"/>
      <c r="EG51304"/>
      <c r="EH51304"/>
      <c r="EI51304"/>
      <c r="EJ51304"/>
      <c r="EK51304"/>
    </row>
    <row r="51305" spans="1:141" s="116" customFormat="1">
      <c r="A51305" s="136"/>
      <c r="CM51305" s="111"/>
      <c r="CQ51305" s="111"/>
      <c r="EF51305"/>
      <c r="EG51305"/>
      <c r="EH51305"/>
      <c r="EI51305"/>
      <c r="EJ51305"/>
      <c r="EK51305"/>
    </row>
    <row r="51306" spans="1:141" s="116" customFormat="1">
      <c r="A51306" s="136"/>
      <c r="CM51306" s="111"/>
      <c r="CQ51306" s="111"/>
      <c r="EF51306"/>
      <c r="EG51306"/>
      <c r="EH51306"/>
      <c r="EI51306"/>
      <c r="EJ51306"/>
      <c r="EK51306"/>
    </row>
    <row r="51307" spans="1:141" s="116" customFormat="1">
      <c r="A51307" s="136"/>
      <c r="CM51307" s="111"/>
      <c r="CQ51307" s="111"/>
      <c r="EF51307"/>
      <c r="EG51307"/>
      <c r="EH51307"/>
      <c r="EI51307"/>
      <c r="EJ51307"/>
      <c r="EK51307"/>
    </row>
    <row r="51308" spans="1:141" s="116" customFormat="1">
      <c r="A51308" s="136"/>
      <c r="CM51308" s="111"/>
      <c r="CQ51308" s="111"/>
      <c r="EF51308"/>
      <c r="EG51308"/>
      <c r="EH51308"/>
      <c r="EI51308"/>
      <c r="EJ51308"/>
      <c r="EK51308"/>
    </row>
    <row r="51309" spans="1:141" s="116" customFormat="1">
      <c r="A51309" s="136"/>
      <c r="CM51309" s="111"/>
      <c r="CQ51309" s="111"/>
      <c r="EF51309"/>
      <c r="EG51309"/>
      <c r="EH51309"/>
      <c r="EI51309"/>
      <c r="EJ51309"/>
      <c r="EK51309"/>
    </row>
    <row r="51310" spans="1:141" s="116" customFormat="1">
      <c r="A51310" s="136"/>
      <c r="CM51310" s="111"/>
      <c r="CQ51310" s="111"/>
      <c r="EF51310"/>
      <c r="EG51310"/>
      <c r="EH51310"/>
      <c r="EI51310"/>
      <c r="EJ51310"/>
      <c r="EK51310"/>
    </row>
    <row r="51311" spans="1:141" s="116" customFormat="1">
      <c r="A51311" s="136"/>
      <c r="CM51311" s="111"/>
      <c r="CQ51311" s="111"/>
      <c r="EF51311"/>
      <c r="EG51311"/>
      <c r="EH51311"/>
      <c r="EI51311"/>
      <c r="EJ51311"/>
      <c r="EK51311"/>
    </row>
    <row r="51312" spans="1:141" s="116" customFormat="1">
      <c r="A51312" s="136"/>
      <c r="CM51312" s="111"/>
      <c r="CQ51312" s="111"/>
      <c r="EF51312"/>
      <c r="EG51312"/>
      <c r="EH51312"/>
      <c r="EI51312"/>
      <c r="EJ51312"/>
      <c r="EK51312"/>
    </row>
    <row r="51313" spans="1:141" s="116" customFormat="1">
      <c r="A51313" s="136"/>
      <c r="CM51313" s="111"/>
      <c r="CQ51313" s="111"/>
      <c r="EF51313"/>
      <c r="EG51313"/>
      <c r="EH51313"/>
      <c r="EI51313"/>
      <c r="EJ51313"/>
      <c r="EK51313"/>
    </row>
    <row r="51314" spans="1:141" s="116" customFormat="1">
      <c r="A51314" s="136"/>
      <c r="CM51314" s="111"/>
      <c r="CQ51314" s="111"/>
      <c r="EF51314"/>
      <c r="EG51314"/>
      <c r="EH51314"/>
      <c r="EI51314"/>
      <c r="EJ51314"/>
      <c r="EK51314"/>
    </row>
    <row r="51315" spans="1:141" s="116" customFormat="1">
      <c r="A51315" s="136"/>
      <c r="CM51315" s="111"/>
      <c r="CQ51315" s="111"/>
      <c r="EF51315"/>
      <c r="EG51315"/>
      <c r="EH51315"/>
      <c r="EI51315"/>
      <c r="EJ51315"/>
      <c r="EK51315"/>
    </row>
    <row r="51316" spans="1:141" s="116" customFormat="1">
      <c r="A51316" s="136"/>
      <c r="CM51316" s="111"/>
      <c r="CQ51316" s="111"/>
      <c r="EF51316"/>
      <c r="EG51316"/>
      <c r="EH51316"/>
      <c r="EI51316"/>
      <c r="EJ51316"/>
      <c r="EK51316"/>
    </row>
    <row r="51317" spans="1:141" s="116" customFormat="1">
      <c r="A51317" s="136"/>
      <c r="CM51317" s="111"/>
      <c r="CQ51317" s="111"/>
      <c r="EF51317"/>
      <c r="EG51317"/>
      <c r="EH51317"/>
      <c r="EI51317"/>
      <c r="EJ51317"/>
      <c r="EK51317"/>
    </row>
    <row r="51318" spans="1:141" s="116" customFormat="1">
      <c r="A51318" s="136"/>
      <c r="CM51318" s="111"/>
      <c r="CQ51318" s="111"/>
      <c r="EF51318"/>
      <c r="EG51318"/>
      <c r="EH51318"/>
      <c r="EI51318"/>
      <c r="EJ51318"/>
      <c r="EK51318"/>
    </row>
    <row r="51319" spans="1:141" s="116" customFormat="1">
      <c r="A51319" s="136"/>
      <c r="CM51319" s="111"/>
      <c r="CQ51319" s="111"/>
      <c r="EF51319"/>
      <c r="EG51319"/>
      <c r="EH51319"/>
      <c r="EI51319"/>
      <c r="EJ51319"/>
      <c r="EK51319"/>
    </row>
    <row r="51320" spans="1:141" s="116" customFormat="1">
      <c r="A51320" s="136"/>
      <c r="CM51320" s="111"/>
      <c r="CQ51320" s="111"/>
      <c r="EF51320"/>
      <c r="EG51320"/>
      <c r="EH51320"/>
      <c r="EI51320"/>
      <c r="EJ51320"/>
      <c r="EK51320"/>
    </row>
    <row r="51321" spans="1:141" s="116" customFormat="1">
      <c r="A51321" s="136"/>
      <c r="CM51321" s="111"/>
      <c r="CQ51321" s="111"/>
      <c r="EF51321"/>
      <c r="EG51321"/>
      <c r="EH51321"/>
      <c r="EI51321"/>
      <c r="EJ51321"/>
      <c r="EK51321"/>
    </row>
    <row r="51322" spans="1:141" s="116" customFormat="1">
      <c r="A51322" s="136"/>
      <c r="CM51322" s="111"/>
      <c r="CQ51322" s="111"/>
      <c r="EF51322"/>
      <c r="EG51322"/>
      <c r="EH51322"/>
      <c r="EI51322"/>
      <c r="EJ51322"/>
      <c r="EK51322"/>
    </row>
    <row r="51323" spans="1:141" s="116" customFormat="1">
      <c r="A51323" s="136"/>
      <c r="CM51323" s="111"/>
      <c r="CQ51323" s="111"/>
      <c r="EF51323"/>
      <c r="EG51323"/>
      <c r="EH51323"/>
      <c r="EI51323"/>
      <c r="EJ51323"/>
      <c r="EK51323"/>
    </row>
    <row r="51324" spans="1:141" s="116" customFormat="1">
      <c r="A51324" s="136"/>
      <c r="CM51324" s="111"/>
      <c r="CQ51324" s="111"/>
      <c r="EF51324"/>
      <c r="EG51324"/>
      <c r="EH51324"/>
      <c r="EI51324"/>
      <c r="EJ51324"/>
      <c r="EK51324"/>
    </row>
    <row r="51325" spans="1:141" s="116" customFormat="1">
      <c r="A51325" s="136"/>
      <c r="CM51325" s="111"/>
      <c r="CQ51325" s="111"/>
      <c r="EF51325"/>
      <c r="EG51325"/>
      <c r="EH51325"/>
      <c r="EI51325"/>
      <c r="EJ51325"/>
      <c r="EK51325"/>
    </row>
    <row r="51326" spans="1:141" s="116" customFormat="1">
      <c r="A51326" s="136"/>
      <c r="CM51326" s="111"/>
      <c r="CQ51326" s="111"/>
      <c r="EF51326"/>
      <c r="EG51326"/>
      <c r="EH51326"/>
      <c r="EI51326"/>
      <c r="EJ51326"/>
      <c r="EK51326"/>
    </row>
    <row r="51327" spans="1:141" s="116" customFormat="1">
      <c r="A51327" s="136"/>
      <c r="CM51327" s="111"/>
      <c r="CQ51327" s="111"/>
      <c r="EF51327"/>
      <c r="EG51327"/>
      <c r="EH51327"/>
      <c r="EI51327"/>
      <c r="EJ51327"/>
      <c r="EK51327"/>
    </row>
    <row r="51328" spans="1:141" s="116" customFormat="1">
      <c r="A51328" s="136"/>
      <c r="CM51328" s="111"/>
      <c r="CQ51328" s="111"/>
      <c r="EF51328"/>
      <c r="EG51328"/>
      <c r="EH51328"/>
      <c r="EI51328"/>
      <c r="EJ51328"/>
      <c r="EK51328"/>
    </row>
    <row r="51329" spans="1:141" s="116" customFormat="1">
      <c r="A51329" s="136"/>
      <c r="CM51329" s="111"/>
      <c r="CQ51329" s="111"/>
      <c r="EF51329"/>
      <c r="EG51329"/>
      <c r="EH51329"/>
      <c r="EI51329"/>
      <c r="EJ51329"/>
      <c r="EK51329"/>
    </row>
    <row r="51330" spans="1:141" s="116" customFormat="1">
      <c r="A51330" s="136"/>
      <c r="CM51330" s="111"/>
      <c r="CQ51330" s="111"/>
      <c r="EF51330"/>
      <c r="EG51330"/>
      <c r="EH51330"/>
      <c r="EI51330"/>
      <c r="EJ51330"/>
      <c r="EK51330"/>
    </row>
    <row r="51331" spans="1:141" s="116" customFormat="1">
      <c r="A51331" s="136"/>
      <c r="CM51331" s="111"/>
      <c r="CQ51331" s="111"/>
      <c r="EF51331"/>
      <c r="EG51331"/>
      <c r="EH51331"/>
      <c r="EI51331"/>
      <c r="EJ51331"/>
      <c r="EK51331"/>
    </row>
    <row r="51332" spans="1:141" s="116" customFormat="1">
      <c r="A51332" s="136"/>
      <c r="CM51332" s="111"/>
      <c r="CQ51332" s="111"/>
      <c r="EF51332"/>
      <c r="EG51332"/>
      <c r="EH51332"/>
      <c r="EI51332"/>
      <c r="EJ51332"/>
      <c r="EK51332"/>
    </row>
    <row r="51333" spans="1:141" s="116" customFormat="1">
      <c r="A51333" s="136"/>
      <c r="CM51333" s="111"/>
      <c r="CQ51333" s="111"/>
      <c r="EF51333"/>
      <c r="EG51333"/>
      <c r="EH51333"/>
      <c r="EI51333"/>
      <c r="EJ51333"/>
      <c r="EK51333"/>
    </row>
    <row r="51334" spans="1:141" s="116" customFormat="1">
      <c r="A51334" s="136"/>
      <c r="CM51334" s="111"/>
      <c r="CQ51334" s="111"/>
      <c r="EF51334"/>
      <c r="EG51334"/>
      <c r="EH51334"/>
      <c r="EI51334"/>
      <c r="EJ51334"/>
      <c r="EK51334"/>
    </row>
    <row r="51335" spans="1:141" s="116" customFormat="1">
      <c r="A51335" s="136"/>
      <c r="CM51335" s="111"/>
      <c r="CQ51335" s="111"/>
      <c r="EF51335"/>
      <c r="EG51335"/>
      <c r="EH51335"/>
      <c r="EI51335"/>
      <c r="EJ51335"/>
      <c r="EK51335"/>
    </row>
    <row r="51336" spans="1:141" s="116" customFormat="1">
      <c r="A51336" s="136"/>
      <c r="CM51336" s="111"/>
      <c r="CQ51336" s="111"/>
      <c r="EF51336"/>
      <c r="EG51336"/>
      <c r="EH51336"/>
      <c r="EI51336"/>
      <c r="EJ51336"/>
      <c r="EK51336"/>
    </row>
    <row r="51337" spans="1:141" s="116" customFormat="1">
      <c r="A51337" s="136"/>
      <c r="CM51337" s="111"/>
      <c r="CQ51337" s="111"/>
      <c r="EF51337"/>
      <c r="EG51337"/>
      <c r="EH51337"/>
      <c r="EI51337"/>
      <c r="EJ51337"/>
      <c r="EK51337"/>
    </row>
    <row r="51338" spans="1:141" s="116" customFormat="1">
      <c r="A51338" s="136"/>
      <c r="CM51338" s="111"/>
      <c r="CQ51338" s="111"/>
      <c r="EF51338"/>
      <c r="EG51338"/>
      <c r="EH51338"/>
      <c r="EI51338"/>
      <c r="EJ51338"/>
      <c r="EK51338"/>
    </row>
    <row r="51339" spans="1:141" s="116" customFormat="1">
      <c r="A51339" s="136"/>
      <c r="CM51339" s="111"/>
      <c r="CQ51339" s="111"/>
      <c r="EF51339"/>
      <c r="EG51339"/>
      <c r="EH51339"/>
      <c r="EI51339"/>
      <c r="EJ51339"/>
      <c r="EK51339"/>
    </row>
    <row r="51340" spans="1:141" s="116" customFormat="1">
      <c r="A51340" s="136"/>
      <c r="CM51340" s="111"/>
      <c r="CQ51340" s="111"/>
      <c r="EF51340"/>
      <c r="EG51340"/>
      <c r="EH51340"/>
      <c r="EI51340"/>
      <c r="EJ51340"/>
      <c r="EK51340"/>
    </row>
    <row r="51341" spans="1:141" s="116" customFormat="1">
      <c r="A51341" s="136"/>
      <c r="CM51341" s="111"/>
      <c r="CQ51341" s="111"/>
      <c r="EF51341"/>
      <c r="EG51341"/>
      <c r="EH51341"/>
      <c r="EI51341"/>
      <c r="EJ51341"/>
      <c r="EK51341"/>
    </row>
    <row r="51342" spans="1:141" s="116" customFormat="1">
      <c r="A51342" s="136"/>
      <c r="CM51342" s="111"/>
      <c r="CQ51342" s="111"/>
      <c r="EF51342"/>
      <c r="EG51342"/>
      <c r="EH51342"/>
      <c r="EI51342"/>
      <c r="EJ51342"/>
      <c r="EK51342"/>
    </row>
    <row r="51343" spans="1:141" s="116" customFormat="1">
      <c r="A51343" s="136"/>
      <c r="CM51343" s="111"/>
      <c r="CQ51343" s="111"/>
      <c r="EF51343"/>
      <c r="EG51343"/>
      <c r="EH51343"/>
      <c r="EI51343"/>
      <c r="EJ51343"/>
      <c r="EK51343"/>
    </row>
    <row r="51344" spans="1:141" s="116" customFormat="1">
      <c r="A51344" s="136"/>
      <c r="CM51344" s="111"/>
      <c r="CQ51344" s="111"/>
      <c r="EF51344"/>
      <c r="EG51344"/>
      <c r="EH51344"/>
      <c r="EI51344"/>
      <c r="EJ51344"/>
      <c r="EK51344"/>
    </row>
    <row r="51345" spans="1:141" s="116" customFormat="1">
      <c r="A51345" s="136"/>
      <c r="CM51345" s="111"/>
      <c r="CQ51345" s="111"/>
      <c r="EF51345"/>
      <c r="EG51345"/>
      <c r="EH51345"/>
      <c r="EI51345"/>
      <c r="EJ51345"/>
      <c r="EK51345"/>
    </row>
    <row r="51346" spans="1:141" s="116" customFormat="1">
      <c r="A51346" s="136"/>
      <c r="CM51346" s="111"/>
      <c r="CQ51346" s="111"/>
      <c r="EF51346"/>
      <c r="EG51346"/>
      <c r="EH51346"/>
      <c r="EI51346"/>
      <c r="EJ51346"/>
      <c r="EK51346"/>
    </row>
    <row r="51347" spans="1:141" s="116" customFormat="1">
      <c r="A51347" s="136"/>
      <c r="CM51347" s="111"/>
      <c r="CQ51347" s="111"/>
      <c r="EF51347"/>
      <c r="EG51347"/>
      <c r="EH51347"/>
      <c r="EI51347"/>
      <c r="EJ51347"/>
      <c r="EK51347"/>
    </row>
    <row r="51348" spans="1:141" s="116" customFormat="1">
      <c r="A51348" s="136"/>
      <c r="CM51348" s="111"/>
      <c r="CQ51348" s="111"/>
      <c r="EF51348"/>
      <c r="EG51348"/>
      <c r="EH51348"/>
      <c r="EI51348"/>
      <c r="EJ51348"/>
      <c r="EK51348"/>
    </row>
    <row r="51349" spans="1:141" s="116" customFormat="1">
      <c r="A51349" s="136"/>
      <c r="CM51349" s="111"/>
      <c r="CQ51349" s="111"/>
      <c r="EF51349"/>
      <c r="EG51349"/>
      <c r="EH51349"/>
      <c r="EI51349"/>
      <c r="EJ51349"/>
      <c r="EK51349"/>
    </row>
    <row r="51350" spans="1:141" s="116" customFormat="1">
      <c r="A51350" s="136"/>
      <c r="CM51350" s="111"/>
      <c r="CQ51350" s="111"/>
      <c r="EF51350"/>
      <c r="EG51350"/>
      <c r="EH51350"/>
      <c r="EI51350"/>
      <c r="EJ51350"/>
      <c r="EK51350"/>
    </row>
    <row r="51351" spans="1:141" s="116" customFormat="1">
      <c r="A51351" s="136"/>
      <c r="CM51351" s="111"/>
      <c r="CQ51351" s="111"/>
      <c r="EF51351"/>
      <c r="EG51351"/>
      <c r="EH51351"/>
      <c r="EI51351"/>
      <c r="EJ51351"/>
      <c r="EK51351"/>
    </row>
    <row r="51352" spans="1:141" s="116" customFormat="1">
      <c r="A51352" s="136"/>
      <c r="CM51352" s="111"/>
      <c r="CQ51352" s="111"/>
      <c r="EF51352"/>
      <c r="EG51352"/>
      <c r="EH51352"/>
      <c r="EI51352"/>
      <c r="EJ51352"/>
      <c r="EK51352"/>
    </row>
    <row r="51353" spans="1:141" s="116" customFormat="1">
      <c r="A51353" s="136"/>
      <c r="CM51353" s="111"/>
      <c r="CQ51353" s="111"/>
      <c r="EF51353"/>
      <c r="EG51353"/>
      <c r="EH51353"/>
      <c r="EI51353"/>
      <c r="EJ51353"/>
      <c r="EK51353"/>
    </row>
    <row r="51354" spans="1:141" s="116" customFormat="1">
      <c r="A51354" s="136"/>
      <c r="CM51354" s="111"/>
      <c r="CQ51354" s="111"/>
      <c r="EF51354"/>
      <c r="EG51354"/>
      <c r="EH51354"/>
      <c r="EI51354"/>
      <c r="EJ51354"/>
      <c r="EK51354"/>
    </row>
    <row r="51355" spans="1:141" s="116" customFormat="1">
      <c r="A51355" s="136"/>
      <c r="CM51355" s="111"/>
      <c r="CQ51355" s="111"/>
      <c r="EF51355"/>
      <c r="EG51355"/>
      <c r="EH51355"/>
      <c r="EI51355"/>
      <c r="EJ51355"/>
      <c r="EK51355"/>
    </row>
    <row r="51356" spans="1:141" s="116" customFormat="1">
      <c r="A51356" s="136"/>
      <c r="CM51356" s="111"/>
      <c r="CQ51356" s="111"/>
      <c r="EF51356"/>
      <c r="EG51356"/>
      <c r="EH51356"/>
      <c r="EI51356"/>
      <c r="EJ51356"/>
      <c r="EK51356"/>
    </row>
    <row r="51357" spans="1:141" s="116" customFormat="1">
      <c r="A51357" s="136"/>
      <c r="CM51357" s="111"/>
      <c r="CQ51357" s="111"/>
      <c r="EF51357"/>
      <c r="EG51357"/>
      <c r="EH51357"/>
      <c r="EI51357"/>
      <c r="EJ51357"/>
      <c r="EK51357"/>
    </row>
    <row r="51358" spans="1:141" s="116" customFormat="1">
      <c r="A51358" s="136"/>
      <c r="CM51358" s="111"/>
      <c r="CQ51358" s="111"/>
      <c r="EF51358"/>
      <c r="EG51358"/>
      <c r="EH51358"/>
      <c r="EI51358"/>
      <c r="EJ51358"/>
      <c r="EK51358"/>
    </row>
    <row r="51359" spans="1:141" s="116" customFormat="1">
      <c r="A51359" s="136"/>
      <c r="CM51359" s="111"/>
      <c r="CQ51359" s="111"/>
      <c r="EF51359"/>
      <c r="EG51359"/>
      <c r="EH51359"/>
      <c r="EI51359"/>
      <c r="EJ51359"/>
      <c r="EK51359"/>
    </row>
    <row r="51360" spans="1:141" s="116" customFormat="1">
      <c r="A51360" s="136"/>
      <c r="CM51360" s="111"/>
      <c r="CQ51360" s="111"/>
      <c r="EF51360"/>
      <c r="EG51360"/>
      <c r="EH51360"/>
      <c r="EI51360"/>
      <c r="EJ51360"/>
      <c r="EK51360"/>
    </row>
    <row r="51361" spans="1:141" s="116" customFormat="1">
      <c r="A51361" s="136"/>
      <c r="CM51361" s="111"/>
      <c r="CQ51361" s="111"/>
      <c r="EF51361"/>
      <c r="EG51361"/>
      <c r="EH51361"/>
      <c r="EI51361"/>
      <c r="EJ51361"/>
      <c r="EK51361"/>
    </row>
    <row r="51362" spans="1:141" s="116" customFormat="1">
      <c r="A51362" s="136"/>
      <c r="CM51362" s="111"/>
      <c r="CQ51362" s="111"/>
      <c r="EF51362"/>
      <c r="EG51362"/>
      <c r="EH51362"/>
      <c r="EI51362"/>
      <c r="EJ51362"/>
      <c r="EK51362"/>
    </row>
    <row r="51363" spans="1:141" s="116" customFormat="1">
      <c r="A51363" s="136"/>
      <c r="CM51363" s="111"/>
      <c r="CQ51363" s="111"/>
      <c r="EF51363"/>
      <c r="EG51363"/>
      <c r="EH51363"/>
      <c r="EI51363"/>
      <c r="EJ51363"/>
      <c r="EK51363"/>
    </row>
    <row r="51364" spans="1:141" s="116" customFormat="1">
      <c r="A51364" s="136"/>
      <c r="CM51364" s="111"/>
      <c r="CQ51364" s="111"/>
      <c r="EF51364"/>
      <c r="EG51364"/>
      <c r="EH51364"/>
      <c r="EI51364"/>
      <c r="EJ51364"/>
      <c r="EK51364"/>
    </row>
    <row r="51365" spans="1:141" s="116" customFormat="1">
      <c r="A51365" s="136"/>
      <c r="CM51365" s="111"/>
      <c r="CQ51365" s="111"/>
      <c r="EF51365"/>
      <c r="EG51365"/>
      <c r="EH51365"/>
      <c r="EI51365"/>
      <c r="EJ51365"/>
      <c r="EK51365"/>
    </row>
    <row r="51366" spans="1:141" s="116" customFormat="1">
      <c r="A51366" s="136"/>
      <c r="CM51366" s="111"/>
      <c r="CQ51366" s="111"/>
      <c r="EF51366"/>
      <c r="EG51366"/>
      <c r="EH51366"/>
      <c r="EI51366"/>
      <c r="EJ51366"/>
      <c r="EK51366"/>
    </row>
    <row r="51367" spans="1:141" s="116" customFormat="1">
      <c r="A51367" s="136"/>
      <c r="CM51367" s="111"/>
      <c r="CQ51367" s="111"/>
      <c r="EF51367"/>
      <c r="EG51367"/>
      <c r="EH51367"/>
      <c r="EI51367"/>
      <c r="EJ51367"/>
      <c r="EK51367"/>
    </row>
    <row r="51368" spans="1:141" s="116" customFormat="1">
      <c r="A51368" s="136"/>
      <c r="CM51368" s="111"/>
      <c r="CQ51368" s="111"/>
      <c r="EF51368"/>
      <c r="EG51368"/>
      <c r="EH51368"/>
      <c r="EI51368"/>
      <c r="EJ51368"/>
      <c r="EK51368"/>
    </row>
    <row r="51369" spans="1:141" s="116" customFormat="1">
      <c r="A51369" s="136"/>
      <c r="CM51369" s="111"/>
      <c r="CQ51369" s="111"/>
      <c r="EF51369"/>
      <c r="EG51369"/>
      <c r="EH51369"/>
      <c r="EI51369"/>
      <c r="EJ51369"/>
      <c r="EK51369"/>
    </row>
    <row r="51370" spans="1:141" s="116" customFormat="1">
      <c r="A51370" s="136"/>
      <c r="CM51370" s="111"/>
      <c r="CQ51370" s="111"/>
      <c r="EF51370"/>
      <c r="EG51370"/>
      <c r="EH51370"/>
      <c r="EI51370"/>
      <c r="EJ51370"/>
      <c r="EK51370"/>
    </row>
    <row r="51371" spans="1:141" s="116" customFormat="1">
      <c r="A51371" s="136"/>
      <c r="CM51371" s="111"/>
      <c r="CQ51371" s="111"/>
      <c r="EF51371"/>
      <c r="EG51371"/>
      <c r="EH51371"/>
      <c r="EI51371"/>
      <c r="EJ51371"/>
      <c r="EK51371"/>
    </row>
    <row r="51372" spans="1:141" s="116" customFormat="1">
      <c r="A51372" s="136"/>
      <c r="CM51372" s="111"/>
      <c r="CQ51372" s="111"/>
      <c r="EF51372"/>
      <c r="EG51372"/>
      <c r="EH51372"/>
      <c r="EI51372"/>
      <c r="EJ51372"/>
      <c r="EK51372"/>
    </row>
    <row r="51373" spans="1:141" s="116" customFormat="1">
      <c r="A51373" s="136"/>
      <c r="CM51373" s="111"/>
      <c r="CQ51373" s="111"/>
      <c r="EF51373"/>
      <c r="EG51373"/>
      <c r="EH51373"/>
      <c r="EI51373"/>
      <c r="EJ51373"/>
      <c r="EK51373"/>
    </row>
    <row r="51374" spans="1:141" s="116" customFormat="1">
      <c r="A51374" s="136"/>
      <c r="CM51374" s="111"/>
      <c r="CQ51374" s="111"/>
      <c r="EF51374"/>
      <c r="EG51374"/>
      <c r="EH51374"/>
      <c r="EI51374"/>
      <c r="EJ51374"/>
      <c r="EK51374"/>
    </row>
    <row r="51375" spans="1:141" s="116" customFormat="1">
      <c r="A51375" s="136"/>
      <c r="CM51375" s="111"/>
      <c r="CQ51375" s="111"/>
      <c r="EF51375"/>
      <c r="EG51375"/>
      <c r="EH51375"/>
      <c r="EI51375"/>
      <c r="EJ51375"/>
      <c r="EK51375"/>
    </row>
    <row r="51376" spans="1:141" s="116" customFormat="1">
      <c r="A51376" s="136"/>
      <c r="CM51376" s="111"/>
      <c r="CQ51376" s="111"/>
      <c r="EF51376"/>
      <c r="EG51376"/>
      <c r="EH51376"/>
      <c r="EI51376"/>
      <c r="EJ51376"/>
      <c r="EK51376"/>
    </row>
    <row r="51377" spans="1:141" s="116" customFormat="1">
      <c r="A51377" s="136"/>
      <c r="CM51377" s="111"/>
      <c r="CQ51377" s="111"/>
      <c r="EF51377"/>
      <c r="EG51377"/>
      <c r="EH51377"/>
      <c r="EI51377"/>
      <c r="EJ51377"/>
      <c r="EK51377"/>
    </row>
    <row r="51378" spans="1:141" s="116" customFormat="1">
      <c r="A51378" s="136"/>
      <c r="CM51378" s="111"/>
      <c r="CQ51378" s="111"/>
      <c r="EF51378"/>
      <c r="EG51378"/>
      <c r="EH51378"/>
      <c r="EI51378"/>
      <c r="EJ51378"/>
      <c r="EK51378"/>
    </row>
    <row r="51379" spans="1:141" s="116" customFormat="1">
      <c r="A51379" s="136"/>
      <c r="CM51379" s="111"/>
      <c r="CQ51379" s="111"/>
      <c r="EF51379"/>
      <c r="EG51379"/>
      <c r="EH51379"/>
      <c r="EI51379"/>
      <c r="EJ51379"/>
      <c r="EK51379"/>
    </row>
    <row r="51380" spans="1:141" s="116" customFormat="1">
      <c r="A51380" s="136"/>
      <c r="CM51380" s="111"/>
      <c r="CQ51380" s="111"/>
      <c r="EF51380"/>
      <c r="EG51380"/>
      <c r="EH51380"/>
      <c r="EI51380"/>
      <c r="EJ51380"/>
      <c r="EK51380"/>
    </row>
    <row r="51381" spans="1:141" s="116" customFormat="1">
      <c r="A51381" s="136"/>
      <c r="CM51381" s="111"/>
      <c r="CQ51381" s="111"/>
      <c r="EF51381"/>
      <c r="EG51381"/>
      <c r="EH51381"/>
      <c r="EI51381"/>
      <c r="EJ51381"/>
      <c r="EK51381"/>
    </row>
    <row r="51382" spans="1:141" s="116" customFormat="1">
      <c r="A51382" s="136"/>
      <c r="CM51382" s="111"/>
      <c r="CQ51382" s="111"/>
      <c r="EF51382"/>
      <c r="EG51382"/>
      <c r="EH51382"/>
      <c r="EI51382"/>
      <c r="EJ51382"/>
      <c r="EK51382"/>
    </row>
    <row r="51383" spans="1:141" s="116" customFormat="1">
      <c r="A51383" s="136"/>
      <c r="CM51383" s="111"/>
      <c r="CQ51383" s="111"/>
      <c r="EF51383"/>
      <c r="EG51383"/>
      <c r="EH51383"/>
      <c r="EI51383"/>
      <c r="EJ51383"/>
      <c r="EK51383"/>
    </row>
    <row r="51384" spans="1:141" s="116" customFormat="1">
      <c r="A51384" s="136"/>
      <c r="CM51384" s="111"/>
      <c r="CQ51384" s="111"/>
      <c r="EF51384"/>
      <c r="EG51384"/>
      <c r="EH51384"/>
      <c r="EI51384"/>
      <c r="EJ51384"/>
      <c r="EK51384"/>
    </row>
    <row r="51385" spans="1:141" s="116" customFormat="1">
      <c r="A51385" s="136"/>
      <c r="CM51385" s="111"/>
      <c r="CQ51385" s="111"/>
      <c r="EF51385"/>
      <c r="EG51385"/>
      <c r="EH51385"/>
      <c r="EI51385"/>
      <c r="EJ51385"/>
      <c r="EK51385"/>
    </row>
    <row r="51386" spans="1:141" s="116" customFormat="1">
      <c r="A51386" s="136"/>
      <c r="CM51386" s="111"/>
      <c r="CQ51386" s="111"/>
      <c r="EF51386"/>
      <c r="EG51386"/>
      <c r="EH51386"/>
      <c r="EI51386"/>
      <c r="EJ51386"/>
      <c r="EK51386"/>
    </row>
    <row r="51387" spans="1:141" s="116" customFormat="1">
      <c r="A51387" s="136"/>
      <c r="CM51387" s="111"/>
      <c r="CQ51387" s="111"/>
      <c r="EF51387"/>
      <c r="EG51387"/>
      <c r="EH51387"/>
      <c r="EI51387"/>
      <c r="EJ51387"/>
      <c r="EK51387"/>
    </row>
    <row r="51388" spans="1:141" s="116" customFormat="1">
      <c r="A51388" s="136"/>
      <c r="CM51388" s="111"/>
      <c r="CQ51388" s="111"/>
      <c r="EF51388"/>
      <c r="EG51388"/>
      <c r="EH51388"/>
      <c r="EI51388"/>
      <c r="EJ51388"/>
      <c r="EK51388"/>
    </row>
    <row r="51389" spans="1:141" s="116" customFormat="1">
      <c r="A51389" s="136"/>
      <c r="CM51389" s="111"/>
      <c r="CQ51389" s="111"/>
      <c r="EF51389"/>
      <c r="EG51389"/>
      <c r="EH51389"/>
      <c r="EI51389"/>
      <c r="EJ51389"/>
      <c r="EK51389"/>
    </row>
    <row r="51390" spans="1:141" s="116" customFormat="1">
      <c r="A51390" s="136"/>
      <c r="CM51390" s="111"/>
      <c r="CQ51390" s="111"/>
      <c r="EF51390"/>
      <c r="EG51390"/>
      <c r="EH51390"/>
      <c r="EI51390"/>
      <c r="EJ51390"/>
      <c r="EK51390"/>
    </row>
    <row r="51391" spans="1:141" s="116" customFormat="1">
      <c r="A51391" s="136"/>
      <c r="CM51391" s="111"/>
      <c r="CQ51391" s="111"/>
      <c r="EF51391"/>
      <c r="EG51391"/>
      <c r="EH51391"/>
      <c r="EI51391"/>
      <c r="EJ51391"/>
      <c r="EK51391"/>
    </row>
    <row r="51392" spans="1:141" s="116" customFormat="1">
      <c r="A51392" s="136"/>
      <c r="CM51392" s="111"/>
      <c r="CQ51392" s="111"/>
      <c r="EF51392"/>
      <c r="EG51392"/>
      <c r="EH51392"/>
      <c r="EI51392"/>
      <c r="EJ51392"/>
      <c r="EK51392"/>
    </row>
    <row r="51393" spans="1:141" s="116" customFormat="1">
      <c r="A51393" s="136"/>
      <c r="CM51393" s="111"/>
      <c r="CQ51393" s="111"/>
      <c r="EF51393"/>
      <c r="EG51393"/>
      <c r="EH51393"/>
      <c r="EI51393"/>
      <c r="EJ51393"/>
      <c r="EK51393"/>
    </row>
    <row r="51394" spans="1:141" s="116" customFormat="1">
      <c r="A51394" s="136"/>
      <c r="CM51394" s="111"/>
      <c r="CQ51394" s="111"/>
      <c r="EF51394"/>
      <c r="EG51394"/>
      <c r="EH51394"/>
      <c r="EI51394"/>
      <c r="EJ51394"/>
      <c r="EK51394"/>
    </row>
    <row r="51395" spans="1:141" s="116" customFormat="1">
      <c r="A51395" s="136"/>
      <c r="CM51395" s="111"/>
      <c r="CQ51395" s="111"/>
      <c r="EF51395"/>
      <c r="EG51395"/>
      <c r="EH51395"/>
      <c r="EI51395"/>
      <c r="EJ51395"/>
      <c r="EK51395"/>
    </row>
    <row r="51396" spans="1:141" s="116" customFormat="1">
      <c r="A51396" s="136"/>
      <c r="CM51396" s="111"/>
      <c r="CQ51396" s="111"/>
      <c r="EF51396"/>
      <c r="EG51396"/>
      <c r="EH51396"/>
      <c r="EI51396"/>
      <c r="EJ51396"/>
      <c r="EK51396"/>
    </row>
    <row r="51397" spans="1:141" s="116" customFormat="1">
      <c r="A51397" s="136"/>
      <c r="CM51397" s="111"/>
      <c r="CQ51397" s="111"/>
      <c r="EF51397"/>
      <c r="EG51397"/>
      <c r="EH51397"/>
      <c r="EI51397"/>
      <c r="EJ51397"/>
      <c r="EK51397"/>
    </row>
    <row r="51398" spans="1:141" s="116" customFormat="1">
      <c r="A51398" s="136"/>
      <c r="CM51398" s="111"/>
      <c r="CQ51398" s="111"/>
      <c r="EF51398"/>
      <c r="EG51398"/>
      <c r="EH51398"/>
      <c r="EI51398"/>
      <c r="EJ51398"/>
      <c r="EK51398"/>
    </row>
    <row r="51399" spans="1:141" s="116" customFormat="1">
      <c r="A51399" s="136"/>
      <c r="CM51399" s="111"/>
      <c r="CQ51399" s="111"/>
      <c r="EF51399"/>
      <c r="EG51399"/>
      <c r="EH51399"/>
      <c r="EI51399"/>
      <c r="EJ51399"/>
      <c r="EK51399"/>
    </row>
    <row r="51400" spans="1:141" s="116" customFormat="1">
      <c r="A51400" s="136"/>
      <c r="CM51400" s="111"/>
      <c r="CQ51400" s="111"/>
      <c r="EF51400"/>
      <c r="EG51400"/>
      <c r="EH51400"/>
      <c r="EI51400"/>
      <c r="EJ51400"/>
      <c r="EK51400"/>
    </row>
    <row r="51401" spans="1:141" s="116" customFormat="1">
      <c r="A51401" s="136"/>
      <c r="CM51401" s="111"/>
      <c r="CQ51401" s="111"/>
      <c r="EF51401"/>
      <c r="EG51401"/>
      <c r="EH51401"/>
      <c r="EI51401"/>
      <c r="EJ51401"/>
      <c r="EK51401"/>
    </row>
    <row r="51402" spans="1:141" s="116" customFormat="1">
      <c r="A51402" s="136"/>
      <c r="CM51402" s="111"/>
      <c r="CQ51402" s="111"/>
      <c r="EF51402"/>
      <c r="EG51402"/>
      <c r="EH51402"/>
      <c r="EI51402"/>
      <c r="EJ51402"/>
      <c r="EK51402"/>
    </row>
    <row r="51403" spans="1:141" s="116" customFormat="1">
      <c r="A51403" s="136"/>
      <c r="CM51403" s="111"/>
      <c r="CQ51403" s="111"/>
      <c r="EF51403"/>
      <c r="EG51403"/>
      <c r="EH51403"/>
      <c r="EI51403"/>
      <c r="EJ51403"/>
      <c r="EK51403"/>
    </row>
    <row r="51404" spans="1:141" s="116" customFormat="1">
      <c r="A51404" s="136"/>
      <c r="CM51404" s="111"/>
      <c r="CQ51404" s="111"/>
      <c r="EF51404"/>
      <c r="EG51404"/>
      <c r="EH51404"/>
      <c r="EI51404"/>
      <c r="EJ51404"/>
      <c r="EK51404"/>
    </row>
    <row r="51405" spans="1:141" s="116" customFormat="1">
      <c r="A51405" s="136"/>
      <c r="CM51405" s="111"/>
      <c r="CQ51405" s="111"/>
      <c r="EF51405"/>
      <c r="EG51405"/>
      <c r="EH51405"/>
      <c r="EI51405"/>
      <c r="EJ51405"/>
      <c r="EK51405"/>
    </row>
    <row r="51406" spans="1:141" s="116" customFormat="1">
      <c r="A51406" s="136"/>
      <c r="CM51406" s="111"/>
      <c r="CQ51406" s="111"/>
      <c r="EF51406"/>
      <c r="EG51406"/>
      <c r="EH51406"/>
      <c r="EI51406"/>
      <c r="EJ51406"/>
      <c r="EK51406"/>
    </row>
    <row r="51407" spans="1:141" s="116" customFormat="1">
      <c r="A51407" s="136"/>
      <c r="CM51407" s="111"/>
      <c r="CQ51407" s="111"/>
      <c r="EF51407"/>
      <c r="EG51407"/>
      <c r="EH51407"/>
      <c r="EI51407"/>
      <c r="EJ51407"/>
      <c r="EK51407"/>
    </row>
    <row r="51408" spans="1:141" s="116" customFormat="1">
      <c r="A51408" s="136"/>
      <c r="CM51408" s="111"/>
      <c r="CQ51408" s="111"/>
      <c r="EF51408"/>
      <c r="EG51408"/>
      <c r="EH51408"/>
      <c r="EI51408"/>
      <c r="EJ51408"/>
      <c r="EK51408"/>
    </row>
    <row r="51409" spans="1:141" s="116" customFormat="1">
      <c r="A51409" s="136"/>
      <c r="CM51409" s="111"/>
      <c r="CQ51409" s="111"/>
      <c r="EF51409"/>
      <c r="EG51409"/>
      <c r="EH51409"/>
      <c r="EI51409"/>
      <c r="EJ51409"/>
      <c r="EK51409"/>
    </row>
    <row r="51410" spans="1:141" s="116" customFormat="1">
      <c r="A51410" s="136"/>
      <c r="CM51410" s="111"/>
      <c r="CQ51410" s="111"/>
      <c r="EF51410"/>
      <c r="EG51410"/>
      <c r="EH51410"/>
      <c r="EI51410"/>
      <c r="EJ51410"/>
      <c r="EK51410"/>
    </row>
    <row r="51411" spans="1:141" s="116" customFormat="1">
      <c r="A51411" s="136"/>
      <c r="CM51411" s="111"/>
      <c r="CQ51411" s="111"/>
      <c r="EF51411"/>
      <c r="EG51411"/>
      <c r="EH51411"/>
      <c r="EI51411"/>
      <c r="EJ51411"/>
      <c r="EK51411"/>
    </row>
    <row r="51412" spans="1:141" s="116" customFormat="1">
      <c r="A51412" s="136"/>
      <c r="CM51412" s="111"/>
      <c r="CQ51412" s="111"/>
      <c r="EF51412"/>
      <c r="EG51412"/>
      <c r="EH51412"/>
      <c r="EI51412"/>
      <c r="EJ51412"/>
      <c r="EK51412"/>
    </row>
    <row r="51413" spans="1:141" s="116" customFormat="1">
      <c r="A51413" s="136"/>
      <c r="CM51413" s="111"/>
      <c r="CQ51413" s="111"/>
      <c r="EF51413"/>
      <c r="EG51413"/>
      <c r="EH51413"/>
      <c r="EI51413"/>
      <c r="EJ51413"/>
      <c r="EK51413"/>
    </row>
    <row r="51414" spans="1:141" s="116" customFormat="1">
      <c r="A51414" s="136"/>
      <c r="CM51414" s="111"/>
      <c r="CQ51414" s="111"/>
      <c r="EF51414"/>
      <c r="EG51414"/>
      <c r="EH51414"/>
      <c r="EI51414"/>
      <c r="EJ51414"/>
      <c r="EK51414"/>
    </row>
    <row r="51415" spans="1:141" s="116" customFormat="1">
      <c r="A51415" s="136"/>
      <c r="CM51415" s="111"/>
      <c r="CQ51415" s="111"/>
      <c r="EF51415"/>
      <c r="EG51415"/>
      <c r="EH51415"/>
      <c r="EI51415"/>
      <c r="EJ51415"/>
      <c r="EK51415"/>
    </row>
    <row r="51416" spans="1:141" s="116" customFormat="1">
      <c r="A51416" s="136"/>
      <c r="CM51416" s="111"/>
      <c r="CQ51416" s="111"/>
      <c r="EF51416"/>
      <c r="EG51416"/>
      <c r="EH51416"/>
      <c r="EI51416"/>
      <c r="EJ51416"/>
      <c r="EK51416"/>
    </row>
    <row r="51417" spans="1:141" s="116" customFormat="1">
      <c r="A51417" s="136"/>
      <c r="CM51417" s="111"/>
      <c r="CQ51417" s="111"/>
      <c r="EF51417"/>
      <c r="EG51417"/>
      <c r="EH51417"/>
      <c r="EI51417"/>
      <c r="EJ51417"/>
      <c r="EK51417"/>
    </row>
    <row r="51418" spans="1:141" s="116" customFormat="1">
      <c r="A51418" s="136"/>
      <c r="CM51418" s="111"/>
      <c r="CQ51418" s="111"/>
      <c r="EF51418"/>
      <c r="EG51418"/>
      <c r="EH51418"/>
      <c r="EI51418"/>
      <c r="EJ51418"/>
      <c r="EK51418"/>
    </row>
    <row r="51419" spans="1:141" s="116" customFormat="1">
      <c r="A51419" s="136"/>
      <c r="CM51419" s="111"/>
      <c r="CQ51419" s="111"/>
      <c r="EF51419"/>
      <c r="EG51419"/>
      <c r="EH51419"/>
      <c r="EI51419"/>
      <c r="EJ51419"/>
      <c r="EK51419"/>
    </row>
    <row r="51420" spans="1:141" s="116" customFormat="1">
      <c r="A51420" s="136"/>
      <c r="CM51420" s="111"/>
      <c r="CQ51420" s="111"/>
      <c r="EF51420"/>
      <c r="EG51420"/>
      <c r="EH51420"/>
      <c r="EI51420"/>
      <c r="EJ51420"/>
      <c r="EK51420"/>
    </row>
    <row r="51421" spans="1:141" s="116" customFormat="1">
      <c r="A51421" s="136"/>
      <c r="CM51421" s="111"/>
      <c r="CQ51421" s="111"/>
      <c r="EF51421"/>
      <c r="EG51421"/>
      <c r="EH51421"/>
      <c r="EI51421"/>
      <c r="EJ51421"/>
      <c r="EK51421"/>
    </row>
    <row r="51422" spans="1:141" s="116" customFormat="1">
      <c r="A51422" s="136"/>
      <c r="CM51422" s="111"/>
      <c r="CQ51422" s="111"/>
      <c r="EF51422"/>
      <c r="EG51422"/>
      <c r="EH51422"/>
      <c r="EI51422"/>
      <c r="EJ51422"/>
      <c r="EK51422"/>
    </row>
    <row r="51423" spans="1:141" s="116" customFormat="1">
      <c r="A51423" s="136"/>
      <c r="CM51423" s="111"/>
      <c r="CQ51423" s="111"/>
      <c r="EF51423"/>
      <c r="EG51423"/>
      <c r="EH51423"/>
      <c r="EI51423"/>
      <c r="EJ51423"/>
      <c r="EK51423"/>
    </row>
    <row r="51424" spans="1:141" s="116" customFormat="1">
      <c r="A51424" s="136"/>
      <c r="CM51424" s="111"/>
      <c r="CQ51424" s="111"/>
      <c r="EF51424"/>
      <c r="EG51424"/>
      <c r="EH51424"/>
      <c r="EI51424"/>
      <c r="EJ51424"/>
      <c r="EK51424"/>
    </row>
    <row r="51425" spans="1:141" s="116" customFormat="1">
      <c r="A51425" s="136"/>
      <c r="CM51425" s="111"/>
      <c r="CQ51425" s="111"/>
      <c r="EF51425"/>
      <c r="EG51425"/>
      <c r="EH51425"/>
      <c r="EI51425"/>
      <c r="EJ51425"/>
      <c r="EK51425"/>
    </row>
    <row r="51426" spans="1:141" s="116" customFormat="1">
      <c r="A51426" s="136"/>
      <c r="CM51426" s="111"/>
      <c r="CQ51426" s="111"/>
      <c r="EF51426"/>
      <c r="EG51426"/>
      <c r="EH51426"/>
      <c r="EI51426"/>
      <c r="EJ51426"/>
      <c r="EK51426"/>
    </row>
    <row r="51427" spans="1:141" s="116" customFormat="1">
      <c r="A51427" s="136"/>
      <c r="CM51427" s="111"/>
      <c r="CQ51427" s="111"/>
      <c r="EF51427"/>
      <c r="EG51427"/>
      <c r="EH51427"/>
      <c r="EI51427"/>
      <c r="EJ51427"/>
      <c r="EK51427"/>
    </row>
    <row r="51428" spans="1:141" s="116" customFormat="1">
      <c r="A51428" s="136"/>
      <c r="CM51428" s="111"/>
      <c r="CQ51428" s="111"/>
      <c r="EF51428"/>
      <c r="EG51428"/>
      <c r="EH51428"/>
      <c r="EI51428"/>
      <c r="EJ51428"/>
      <c r="EK51428"/>
    </row>
    <row r="51429" spans="1:141" s="116" customFormat="1">
      <c r="A51429" s="136"/>
      <c r="CM51429" s="111"/>
      <c r="CQ51429" s="111"/>
      <c r="EF51429"/>
      <c r="EG51429"/>
      <c r="EH51429"/>
      <c r="EI51429"/>
      <c r="EJ51429"/>
      <c r="EK51429"/>
    </row>
    <row r="51430" spans="1:141" s="116" customFormat="1">
      <c r="A51430" s="136"/>
      <c r="CM51430" s="111"/>
      <c r="CQ51430" s="111"/>
      <c r="EF51430"/>
      <c r="EG51430"/>
      <c r="EH51430"/>
      <c r="EI51430"/>
      <c r="EJ51430"/>
      <c r="EK51430"/>
    </row>
    <row r="51431" spans="1:141" s="116" customFormat="1">
      <c r="A51431" s="136"/>
      <c r="CM51431" s="111"/>
      <c r="CQ51431" s="111"/>
      <c r="EF51431"/>
      <c r="EG51431"/>
      <c r="EH51431"/>
      <c r="EI51431"/>
      <c r="EJ51431"/>
      <c r="EK51431"/>
    </row>
    <row r="51432" spans="1:141" s="116" customFormat="1">
      <c r="A51432" s="136"/>
      <c r="CM51432" s="111"/>
      <c r="CQ51432" s="111"/>
      <c r="EF51432"/>
      <c r="EG51432"/>
      <c r="EH51432"/>
      <c r="EI51432"/>
      <c r="EJ51432"/>
      <c r="EK51432"/>
    </row>
    <row r="51433" spans="1:141" s="116" customFormat="1">
      <c r="A51433" s="136"/>
      <c r="CM51433" s="111"/>
      <c r="CQ51433" s="111"/>
      <c r="EF51433"/>
      <c r="EG51433"/>
      <c r="EH51433"/>
      <c r="EI51433"/>
      <c r="EJ51433"/>
      <c r="EK51433"/>
    </row>
    <row r="51434" spans="1:141" s="116" customFormat="1">
      <c r="A51434" s="136"/>
      <c r="CM51434" s="111"/>
      <c r="CQ51434" s="111"/>
      <c r="EF51434"/>
      <c r="EG51434"/>
      <c r="EH51434"/>
      <c r="EI51434"/>
      <c r="EJ51434"/>
      <c r="EK51434"/>
    </row>
    <row r="51435" spans="1:141" s="116" customFormat="1">
      <c r="A51435" s="136"/>
      <c r="CM51435" s="111"/>
      <c r="CQ51435" s="111"/>
      <c r="EF51435"/>
      <c r="EG51435"/>
      <c r="EH51435"/>
      <c r="EI51435"/>
      <c r="EJ51435"/>
      <c r="EK51435"/>
    </row>
    <row r="51436" spans="1:141" s="116" customFormat="1">
      <c r="A51436" s="136"/>
      <c r="CM51436" s="111"/>
      <c r="CQ51436" s="111"/>
      <c r="EF51436"/>
      <c r="EG51436"/>
      <c r="EH51436"/>
      <c r="EI51436"/>
      <c r="EJ51436"/>
      <c r="EK51436"/>
    </row>
    <row r="51437" spans="1:141" s="116" customFormat="1">
      <c r="A51437" s="136"/>
      <c r="CM51437" s="111"/>
      <c r="CQ51437" s="111"/>
      <c r="EF51437"/>
      <c r="EG51437"/>
      <c r="EH51437"/>
      <c r="EI51437"/>
      <c r="EJ51437"/>
      <c r="EK51437"/>
    </row>
    <row r="51438" spans="1:141" s="116" customFormat="1">
      <c r="A51438" s="136"/>
      <c r="CM51438" s="111"/>
      <c r="CQ51438" s="111"/>
      <c r="EF51438"/>
      <c r="EG51438"/>
      <c r="EH51438"/>
      <c r="EI51438"/>
      <c r="EJ51438"/>
      <c r="EK51438"/>
    </row>
    <row r="51439" spans="1:141" s="116" customFormat="1">
      <c r="A51439" s="136"/>
      <c r="CM51439" s="111"/>
      <c r="CQ51439" s="111"/>
      <c r="EF51439"/>
      <c r="EG51439"/>
      <c r="EH51439"/>
      <c r="EI51439"/>
      <c r="EJ51439"/>
      <c r="EK51439"/>
    </row>
    <row r="51440" spans="1:141" s="116" customFormat="1">
      <c r="A51440" s="136"/>
      <c r="CM51440" s="111"/>
      <c r="CQ51440" s="111"/>
      <c r="EF51440"/>
      <c r="EG51440"/>
      <c r="EH51440"/>
      <c r="EI51440"/>
      <c r="EJ51440"/>
      <c r="EK51440"/>
    </row>
    <row r="51441" spans="1:141" s="116" customFormat="1">
      <c r="A51441" s="136"/>
      <c r="CM51441" s="111"/>
      <c r="CQ51441" s="111"/>
      <c r="EF51441"/>
      <c r="EG51441"/>
      <c r="EH51441"/>
      <c r="EI51441"/>
      <c r="EJ51441"/>
      <c r="EK51441"/>
    </row>
    <row r="51442" spans="1:141" s="116" customFormat="1">
      <c r="A51442" s="136"/>
      <c r="CM51442" s="111"/>
      <c r="CQ51442" s="111"/>
      <c r="EF51442"/>
      <c r="EG51442"/>
      <c r="EH51442"/>
      <c r="EI51442"/>
      <c r="EJ51442"/>
      <c r="EK51442"/>
    </row>
    <row r="51443" spans="1:141" s="116" customFormat="1">
      <c r="A51443" s="136"/>
      <c r="CM51443" s="111"/>
      <c r="CQ51443" s="111"/>
      <c r="EF51443"/>
      <c r="EG51443"/>
      <c r="EH51443"/>
      <c r="EI51443"/>
      <c r="EJ51443"/>
      <c r="EK51443"/>
    </row>
    <row r="51444" spans="1:141" s="116" customFormat="1">
      <c r="A51444" s="136"/>
      <c r="CM51444" s="111"/>
      <c r="CQ51444" s="111"/>
      <c r="EF51444"/>
      <c r="EG51444"/>
      <c r="EH51444"/>
      <c r="EI51444"/>
      <c r="EJ51444"/>
      <c r="EK51444"/>
    </row>
    <row r="51445" spans="1:141" s="116" customFormat="1">
      <c r="A51445" s="136"/>
      <c r="CM51445" s="111"/>
      <c r="CQ51445" s="111"/>
      <c r="EF51445"/>
      <c r="EG51445"/>
      <c r="EH51445"/>
      <c r="EI51445"/>
      <c r="EJ51445"/>
      <c r="EK51445"/>
    </row>
    <row r="51446" spans="1:141" s="116" customFormat="1">
      <c r="A51446" s="136"/>
      <c r="CM51446" s="111"/>
      <c r="CQ51446" s="111"/>
      <c r="EF51446"/>
      <c r="EG51446"/>
      <c r="EH51446"/>
      <c r="EI51446"/>
      <c r="EJ51446"/>
      <c r="EK51446"/>
    </row>
    <row r="51447" spans="1:141" s="116" customFormat="1">
      <c r="A51447" s="136"/>
      <c r="CM51447" s="111"/>
      <c r="CQ51447" s="111"/>
      <c r="EF51447"/>
      <c r="EG51447"/>
      <c r="EH51447"/>
      <c r="EI51447"/>
      <c r="EJ51447"/>
      <c r="EK51447"/>
    </row>
    <row r="51448" spans="1:141" s="116" customFormat="1">
      <c r="A51448" s="136"/>
      <c r="CM51448" s="111"/>
      <c r="CQ51448" s="111"/>
      <c r="EF51448"/>
      <c r="EG51448"/>
      <c r="EH51448"/>
      <c r="EI51448"/>
      <c r="EJ51448"/>
      <c r="EK51448"/>
    </row>
    <row r="51449" spans="1:141" s="116" customFormat="1">
      <c r="A51449" s="136"/>
      <c r="CM51449" s="111"/>
      <c r="CQ51449" s="111"/>
      <c r="EF51449"/>
      <c r="EG51449"/>
      <c r="EH51449"/>
      <c r="EI51449"/>
      <c r="EJ51449"/>
      <c r="EK51449"/>
    </row>
    <row r="51450" spans="1:141" s="116" customFormat="1">
      <c r="A51450" s="136"/>
      <c r="CM51450" s="111"/>
      <c r="CQ51450" s="111"/>
      <c r="EF51450"/>
      <c r="EG51450"/>
      <c r="EH51450"/>
      <c r="EI51450"/>
      <c r="EJ51450"/>
      <c r="EK51450"/>
    </row>
    <row r="51451" spans="1:141" s="116" customFormat="1">
      <c r="A51451" s="136"/>
      <c r="CM51451" s="111"/>
      <c r="CQ51451" s="111"/>
      <c r="EF51451"/>
      <c r="EG51451"/>
      <c r="EH51451"/>
      <c r="EI51451"/>
      <c r="EJ51451"/>
      <c r="EK51451"/>
    </row>
    <row r="51452" spans="1:141" s="116" customFormat="1">
      <c r="A51452" s="136"/>
      <c r="CM51452" s="111"/>
      <c r="CQ51452" s="111"/>
      <c r="EF51452"/>
      <c r="EG51452"/>
      <c r="EH51452"/>
      <c r="EI51452"/>
      <c r="EJ51452"/>
      <c r="EK51452"/>
    </row>
    <row r="51453" spans="1:141" s="116" customFormat="1">
      <c r="A51453" s="136"/>
      <c r="CM51453" s="111"/>
      <c r="CQ51453" s="111"/>
      <c r="EF51453"/>
      <c r="EG51453"/>
      <c r="EH51453"/>
      <c r="EI51453"/>
      <c r="EJ51453"/>
      <c r="EK51453"/>
    </row>
    <row r="51454" spans="1:141" s="116" customFormat="1">
      <c r="A51454" s="136"/>
      <c r="CM51454" s="111"/>
      <c r="CQ51454" s="111"/>
      <c r="EF51454"/>
      <c r="EG51454"/>
      <c r="EH51454"/>
      <c r="EI51454"/>
      <c r="EJ51454"/>
      <c r="EK51454"/>
    </row>
    <row r="51455" spans="1:141" s="116" customFormat="1">
      <c r="A51455" s="136"/>
      <c r="CM51455" s="111"/>
      <c r="CQ51455" s="111"/>
      <c r="EF51455"/>
      <c r="EG51455"/>
      <c r="EH51455"/>
      <c r="EI51455"/>
      <c r="EJ51455"/>
      <c r="EK51455"/>
    </row>
    <row r="51456" spans="1:141" s="116" customFormat="1">
      <c r="A51456" s="136"/>
      <c r="CM51456" s="111"/>
      <c r="CQ51456" s="111"/>
      <c r="EF51456"/>
      <c r="EG51456"/>
      <c r="EH51456"/>
      <c r="EI51456"/>
      <c r="EJ51456"/>
      <c r="EK51456"/>
    </row>
    <row r="51457" spans="1:141" s="116" customFormat="1">
      <c r="A51457" s="136"/>
      <c r="CM51457" s="111"/>
      <c r="CQ51457" s="111"/>
      <c r="EF51457"/>
      <c r="EG51457"/>
      <c r="EH51457"/>
      <c r="EI51457"/>
      <c r="EJ51457"/>
      <c r="EK51457"/>
    </row>
    <row r="51458" spans="1:141" s="116" customFormat="1">
      <c r="A51458" s="136"/>
      <c r="CM51458" s="111"/>
      <c r="CQ51458" s="111"/>
      <c r="EF51458"/>
      <c r="EG51458"/>
      <c r="EH51458"/>
      <c r="EI51458"/>
      <c r="EJ51458"/>
      <c r="EK51458"/>
    </row>
    <row r="51459" spans="1:141" s="116" customFormat="1">
      <c r="A51459" s="136"/>
      <c r="CM51459" s="111"/>
      <c r="CQ51459" s="111"/>
      <c r="EF51459"/>
      <c r="EG51459"/>
      <c r="EH51459"/>
      <c r="EI51459"/>
      <c r="EJ51459"/>
      <c r="EK51459"/>
    </row>
    <row r="51460" spans="1:141" s="116" customFormat="1">
      <c r="A51460" s="136"/>
      <c r="CM51460" s="111"/>
      <c r="CQ51460" s="111"/>
      <c r="EF51460"/>
      <c r="EG51460"/>
      <c r="EH51460"/>
      <c r="EI51460"/>
      <c r="EJ51460"/>
      <c r="EK51460"/>
    </row>
    <row r="51461" spans="1:141" s="116" customFormat="1">
      <c r="A51461" s="136"/>
      <c r="CM51461" s="111"/>
      <c r="CQ51461" s="111"/>
      <c r="EF51461"/>
      <c r="EG51461"/>
      <c r="EH51461"/>
      <c r="EI51461"/>
      <c r="EJ51461"/>
      <c r="EK51461"/>
    </row>
    <row r="51462" spans="1:141" s="116" customFormat="1">
      <c r="A51462" s="136"/>
      <c r="CM51462" s="111"/>
      <c r="CQ51462" s="111"/>
      <c r="EF51462"/>
      <c r="EG51462"/>
      <c r="EH51462"/>
      <c r="EI51462"/>
      <c r="EJ51462"/>
      <c r="EK51462"/>
    </row>
    <row r="51463" spans="1:141" s="116" customFormat="1">
      <c r="A51463" s="136"/>
      <c r="CM51463" s="111"/>
      <c r="CQ51463" s="111"/>
      <c r="EF51463"/>
      <c r="EG51463"/>
      <c r="EH51463"/>
      <c r="EI51463"/>
      <c r="EJ51463"/>
      <c r="EK51463"/>
    </row>
    <row r="51464" spans="1:141" s="116" customFormat="1">
      <c r="A51464" s="136"/>
      <c r="CM51464" s="111"/>
      <c r="CQ51464" s="111"/>
      <c r="EF51464"/>
      <c r="EG51464"/>
      <c r="EH51464"/>
      <c r="EI51464"/>
      <c r="EJ51464"/>
      <c r="EK51464"/>
    </row>
    <row r="51465" spans="1:141" s="116" customFormat="1">
      <c r="A51465" s="136"/>
      <c r="CM51465" s="111"/>
      <c r="CQ51465" s="111"/>
      <c r="EF51465"/>
      <c r="EG51465"/>
      <c r="EH51465"/>
      <c r="EI51465"/>
      <c r="EJ51465"/>
      <c r="EK51465"/>
    </row>
    <row r="51466" spans="1:141" s="116" customFormat="1">
      <c r="A51466" s="136"/>
      <c r="CM51466" s="111"/>
      <c r="CQ51466" s="111"/>
      <c r="EF51466"/>
      <c r="EG51466"/>
      <c r="EH51466"/>
      <c r="EI51466"/>
      <c r="EJ51466"/>
      <c r="EK51466"/>
    </row>
    <row r="51467" spans="1:141" s="116" customFormat="1">
      <c r="A51467" s="136"/>
      <c r="CM51467" s="111"/>
      <c r="CQ51467" s="111"/>
      <c r="EF51467"/>
      <c r="EG51467"/>
      <c r="EH51467"/>
      <c r="EI51467"/>
      <c r="EJ51467"/>
      <c r="EK51467"/>
    </row>
    <row r="51468" spans="1:141" s="116" customFormat="1">
      <c r="A51468" s="136"/>
      <c r="CM51468" s="111"/>
      <c r="CQ51468" s="111"/>
      <c r="EF51468"/>
      <c r="EG51468"/>
      <c r="EH51468"/>
      <c r="EI51468"/>
      <c r="EJ51468"/>
      <c r="EK51468"/>
    </row>
    <row r="51469" spans="1:141" s="116" customFormat="1">
      <c r="A51469" s="136"/>
      <c r="CM51469" s="111"/>
      <c r="CQ51469" s="111"/>
      <c r="EF51469"/>
      <c r="EG51469"/>
      <c r="EH51469"/>
      <c r="EI51469"/>
      <c r="EJ51469"/>
      <c r="EK51469"/>
    </row>
    <row r="51470" spans="1:141" s="116" customFormat="1">
      <c r="A51470" s="136"/>
      <c r="CM51470" s="111"/>
      <c r="CQ51470" s="111"/>
      <c r="EF51470"/>
      <c r="EG51470"/>
      <c r="EH51470"/>
      <c r="EI51470"/>
      <c r="EJ51470"/>
      <c r="EK51470"/>
    </row>
    <row r="51471" spans="1:141" s="116" customFormat="1">
      <c r="A51471" s="136"/>
      <c r="CM51471" s="111"/>
      <c r="CQ51471" s="111"/>
      <c r="EF51471"/>
      <c r="EG51471"/>
      <c r="EH51471"/>
      <c r="EI51471"/>
      <c r="EJ51471"/>
      <c r="EK51471"/>
    </row>
    <row r="51472" spans="1:141" s="116" customFormat="1">
      <c r="A51472" s="136"/>
      <c r="CM51472" s="111"/>
      <c r="CQ51472" s="111"/>
      <c r="EF51472"/>
      <c r="EG51472"/>
      <c r="EH51472"/>
      <c r="EI51472"/>
      <c r="EJ51472"/>
      <c r="EK51472"/>
    </row>
    <row r="51473" spans="1:141" s="116" customFormat="1">
      <c r="A51473" s="136"/>
      <c r="CM51473" s="111"/>
      <c r="CQ51473" s="111"/>
      <c r="EF51473"/>
      <c r="EG51473"/>
      <c r="EH51473"/>
      <c r="EI51473"/>
      <c r="EJ51473"/>
      <c r="EK51473"/>
    </row>
    <row r="51474" spans="1:141" s="116" customFormat="1">
      <c r="A51474" s="136"/>
      <c r="CM51474" s="111"/>
      <c r="CQ51474" s="111"/>
      <c r="EF51474"/>
      <c r="EG51474"/>
      <c r="EH51474"/>
      <c r="EI51474"/>
      <c r="EJ51474"/>
      <c r="EK51474"/>
    </row>
    <row r="51475" spans="1:141" s="116" customFormat="1">
      <c r="A51475" s="136"/>
      <c r="CM51475" s="111"/>
      <c r="CQ51475" s="111"/>
      <c r="EF51475"/>
      <c r="EG51475"/>
      <c r="EH51475"/>
      <c r="EI51475"/>
      <c r="EJ51475"/>
      <c r="EK51475"/>
    </row>
    <row r="51476" spans="1:141" s="116" customFormat="1">
      <c r="A51476" s="136"/>
      <c r="CM51476" s="111"/>
      <c r="CQ51476" s="111"/>
      <c r="EF51476"/>
      <c r="EG51476"/>
      <c r="EH51476"/>
      <c r="EI51476"/>
      <c r="EJ51476"/>
      <c r="EK51476"/>
    </row>
    <row r="51477" spans="1:141" s="116" customFormat="1">
      <c r="A51477" s="136"/>
      <c r="CM51477" s="111"/>
      <c r="CQ51477" s="111"/>
      <c r="EF51477"/>
      <c r="EG51477"/>
      <c r="EH51477"/>
      <c r="EI51477"/>
      <c r="EJ51477"/>
      <c r="EK51477"/>
    </row>
    <row r="51478" spans="1:141" s="116" customFormat="1">
      <c r="A51478" s="136"/>
      <c r="CM51478" s="111"/>
      <c r="CQ51478" s="111"/>
      <c r="EF51478"/>
      <c r="EG51478"/>
      <c r="EH51478"/>
      <c r="EI51478"/>
      <c r="EJ51478"/>
      <c r="EK51478"/>
    </row>
    <row r="51479" spans="1:141" s="116" customFormat="1">
      <c r="A51479" s="136"/>
      <c r="CM51479" s="111"/>
      <c r="CQ51479" s="111"/>
      <c r="EF51479"/>
      <c r="EG51479"/>
      <c r="EH51479"/>
      <c r="EI51479"/>
      <c r="EJ51479"/>
      <c r="EK51479"/>
    </row>
    <row r="51480" spans="1:141" s="116" customFormat="1">
      <c r="A51480" s="136"/>
      <c r="CM51480" s="111"/>
      <c r="CQ51480" s="111"/>
      <c r="EF51480"/>
      <c r="EG51480"/>
      <c r="EH51480"/>
      <c r="EI51480"/>
      <c r="EJ51480"/>
      <c r="EK51480"/>
    </row>
    <row r="51481" spans="1:141" s="116" customFormat="1">
      <c r="A51481" s="136"/>
      <c r="CM51481" s="111"/>
      <c r="CQ51481" s="111"/>
      <c r="EF51481"/>
      <c r="EG51481"/>
      <c r="EH51481"/>
      <c r="EI51481"/>
      <c r="EJ51481"/>
      <c r="EK51481"/>
    </row>
    <row r="51482" spans="1:141" s="116" customFormat="1">
      <c r="A51482" s="136"/>
      <c r="CM51482" s="111"/>
      <c r="CQ51482" s="111"/>
      <c r="EF51482"/>
      <c r="EG51482"/>
      <c r="EH51482"/>
      <c r="EI51482"/>
      <c r="EJ51482"/>
      <c r="EK51482"/>
    </row>
    <row r="51483" spans="1:141" s="116" customFormat="1">
      <c r="A51483" s="136"/>
      <c r="CM51483" s="111"/>
      <c r="CQ51483" s="111"/>
      <c r="EF51483"/>
      <c r="EG51483"/>
      <c r="EH51483"/>
      <c r="EI51483"/>
      <c r="EJ51483"/>
      <c r="EK51483"/>
    </row>
    <row r="51484" spans="1:141" s="116" customFormat="1">
      <c r="A51484" s="136"/>
      <c r="CM51484" s="111"/>
      <c r="CQ51484" s="111"/>
      <c r="EF51484"/>
      <c r="EG51484"/>
      <c r="EH51484"/>
      <c r="EI51484"/>
      <c r="EJ51484"/>
      <c r="EK51484"/>
    </row>
    <row r="51485" spans="1:141" s="116" customFormat="1">
      <c r="A51485" s="136"/>
      <c r="CM51485" s="111"/>
      <c r="CQ51485" s="111"/>
      <c r="EF51485"/>
      <c r="EG51485"/>
      <c r="EH51485"/>
      <c r="EI51485"/>
      <c r="EJ51485"/>
      <c r="EK51485"/>
    </row>
    <row r="51486" spans="1:141" s="116" customFormat="1">
      <c r="A51486" s="136"/>
      <c r="CM51486" s="111"/>
      <c r="CQ51486" s="111"/>
      <c r="EF51486"/>
      <c r="EG51486"/>
      <c r="EH51486"/>
      <c r="EI51486"/>
      <c r="EJ51486"/>
      <c r="EK51486"/>
    </row>
    <row r="51487" spans="1:141" s="116" customFormat="1">
      <c r="A51487" s="136"/>
      <c r="CM51487" s="111"/>
      <c r="CQ51487" s="111"/>
      <c r="EF51487"/>
      <c r="EG51487"/>
      <c r="EH51487"/>
      <c r="EI51487"/>
      <c r="EJ51487"/>
      <c r="EK51487"/>
    </row>
    <row r="51488" spans="1:141" s="116" customFormat="1">
      <c r="A51488" s="136"/>
      <c r="CM51488" s="111"/>
      <c r="CQ51488" s="111"/>
      <c r="EF51488"/>
      <c r="EG51488"/>
      <c r="EH51488"/>
      <c r="EI51488"/>
      <c r="EJ51488"/>
      <c r="EK51488"/>
    </row>
    <row r="51489" spans="1:141" s="116" customFormat="1">
      <c r="A51489" s="136"/>
      <c r="CM51489" s="111"/>
      <c r="CQ51489" s="111"/>
      <c r="EF51489"/>
      <c r="EG51489"/>
      <c r="EH51489"/>
      <c r="EI51489"/>
      <c r="EJ51489"/>
      <c r="EK51489"/>
    </row>
    <row r="51490" spans="1:141" s="116" customFormat="1">
      <c r="A51490" s="136"/>
      <c r="CM51490" s="111"/>
      <c r="CQ51490" s="111"/>
      <c r="EF51490"/>
      <c r="EG51490"/>
      <c r="EH51490"/>
      <c r="EI51490"/>
      <c r="EJ51490"/>
      <c r="EK51490"/>
    </row>
    <row r="51491" spans="1:141" s="116" customFormat="1">
      <c r="A51491" s="136"/>
      <c r="CM51491" s="111"/>
      <c r="CQ51491" s="111"/>
      <c r="EF51491"/>
      <c r="EG51491"/>
      <c r="EH51491"/>
      <c r="EI51491"/>
      <c r="EJ51491"/>
      <c r="EK51491"/>
    </row>
    <row r="51492" spans="1:141" s="116" customFormat="1">
      <c r="A51492" s="136"/>
      <c r="CM51492" s="111"/>
      <c r="CQ51492" s="111"/>
      <c r="EF51492"/>
      <c r="EG51492"/>
      <c r="EH51492"/>
      <c r="EI51492"/>
      <c r="EJ51492"/>
      <c r="EK51492"/>
    </row>
    <row r="51493" spans="1:141" s="116" customFormat="1">
      <c r="A51493" s="136"/>
      <c r="CM51493" s="111"/>
      <c r="CQ51493" s="111"/>
      <c r="EF51493"/>
      <c r="EG51493"/>
      <c r="EH51493"/>
      <c r="EI51493"/>
      <c r="EJ51493"/>
      <c r="EK51493"/>
    </row>
    <row r="51494" spans="1:141" s="116" customFormat="1">
      <c r="A51494" s="136"/>
      <c r="CM51494" s="111"/>
      <c r="CQ51494" s="111"/>
      <c r="EF51494"/>
      <c r="EG51494"/>
      <c r="EH51494"/>
      <c r="EI51494"/>
      <c r="EJ51494"/>
      <c r="EK51494"/>
    </row>
    <row r="51495" spans="1:141" s="116" customFormat="1">
      <c r="A51495" s="136"/>
      <c r="CM51495" s="111"/>
      <c r="CQ51495" s="111"/>
      <c r="EF51495"/>
      <c r="EG51495"/>
      <c r="EH51495"/>
      <c r="EI51495"/>
      <c r="EJ51495"/>
      <c r="EK51495"/>
    </row>
    <row r="51496" spans="1:141" s="116" customFormat="1">
      <c r="A51496" s="136"/>
      <c r="CM51496" s="111"/>
      <c r="CQ51496" s="111"/>
      <c r="EF51496"/>
      <c r="EG51496"/>
      <c r="EH51496"/>
      <c r="EI51496"/>
      <c r="EJ51496"/>
      <c r="EK51496"/>
    </row>
    <row r="51497" spans="1:141" s="116" customFormat="1">
      <c r="A51497" s="136"/>
      <c r="CM51497" s="111"/>
      <c r="CQ51497" s="111"/>
      <c r="EF51497"/>
      <c r="EG51497"/>
      <c r="EH51497"/>
      <c r="EI51497"/>
      <c r="EJ51497"/>
      <c r="EK51497"/>
    </row>
    <row r="51498" spans="1:141" s="116" customFormat="1">
      <c r="A51498" s="136"/>
      <c r="CM51498" s="111"/>
      <c r="CQ51498" s="111"/>
      <c r="EF51498"/>
      <c r="EG51498"/>
      <c r="EH51498"/>
      <c r="EI51498"/>
      <c r="EJ51498"/>
      <c r="EK51498"/>
    </row>
    <row r="51499" spans="1:141" s="116" customFormat="1">
      <c r="A51499" s="136"/>
      <c r="CM51499" s="111"/>
      <c r="CQ51499" s="111"/>
      <c r="EF51499"/>
      <c r="EG51499"/>
      <c r="EH51499"/>
      <c r="EI51499"/>
      <c r="EJ51499"/>
      <c r="EK51499"/>
    </row>
    <row r="51500" spans="1:141" s="116" customFormat="1">
      <c r="A51500" s="136"/>
      <c r="CM51500" s="111"/>
      <c r="CQ51500" s="111"/>
      <c r="EF51500"/>
      <c r="EG51500"/>
      <c r="EH51500"/>
      <c r="EI51500"/>
      <c r="EJ51500"/>
      <c r="EK51500"/>
    </row>
    <row r="51501" spans="1:141" s="116" customFormat="1">
      <c r="A51501" s="136"/>
      <c r="CM51501" s="111"/>
      <c r="CQ51501" s="111"/>
      <c r="EF51501"/>
      <c r="EG51501"/>
      <c r="EH51501"/>
      <c r="EI51501"/>
      <c r="EJ51501"/>
      <c r="EK51501"/>
    </row>
    <row r="51502" spans="1:141" s="116" customFormat="1">
      <c r="A51502" s="136"/>
      <c r="CM51502" s="111"/>
      <c r="CQ51502" s="111"/>
      <c r="EF51502"/>
      <c r="EG51502"/>
      <c r="EH51502"/>
      <c r="EI51502"/>
      <c r="EJ51502"/>
      <c r="EK51502"/>
    </row>
    <row r="51503" spans="1:141" s="116" customFormat="1">
      <c r="A51503" s="136"/>
      <c r="CM51503" s="111"/>
      <c r="CQ51503" s="111"/>
      <c r="EF51503"/>
      <c r="EG51503"/>
      <c r="EH51503"/>
      <c r="EI51503"/>
      <c r="EJ51503"/>
      <c r="EK51503"/>
    </row>
    <row r="51504" spans="1:141" s="116" customFormat="1">
      <c r="A51504" s="136"/>
      <c r="CM51504" s="111"/>
      <c r="CQ51504" s="111"/>
      <c r="EF51504"/>
      <c r="EG51504"/>
      <c r="EH51504"/>
      <c r="EI51504"/>
      <c r="EJ51504"/>
      <c r="EK51504"/>
    </row>
    <row r="51505" spans="1:141" s="116" customFormat="1">
      <c r="A51505" s="136"/>
      <c r="CM51505" s="111"/>
      <c r="CQ51505" s="111"/>
      <c r="EF51505"/>
      <c r="EG51505"/>
      <c r="EH51505"/>
      <c r="EI51505"/>
      <c r="EJ51505"/>
      <c r="EK51505"/>
    </row>
    <row r="51506" spans="1:141" s="116" customFormat="1">
      <c r="A51506" s="136"/>
      <c r="CM51506" s="111"/>
      <c r="CQ51506" s="111"/>
      <c r="EF51506"/>
      <c r="EG51506"/>
      <c r="EH51506"/>
      <c r="EI51506"/>
      <c r="EJ51506"/>
      <c r="EK51506"/>
    </row>
    <row r="51507" spans="1:141" s="116" customFormat="1">
      <c r="A51507" s="136"/>
      <c r="CM51507" s="111"/>
      <c r="CQ51507" s="111"/>
      <c r="EF51507"/>
      <c r="EG51507"/>
      <c r="EH51507"/>
      <c r="EI51507"/>
      <c r="EJ51507"/>
      <c r="EK51507"/>
    </row>
    <row r="51508" spans="1:141" s="116" customFormat="1">
      <c r="A51508" s="136"/>
      <c r="CM51508" s="111"/>
      <c r="CQ51508" s="111"/>
      <c r="EF51508"/>
      <c r="EG51508"/>
      <c r="EH51508"/>
      <c r="EI51508"/>
      <c r="EJ51508"/>
      <c r="EK51508"/>
    </row>
    <row r="51509" spans="1:141" s="116" customFormat="1">
      <c r="A51509" s="136"/>
      <c r="CM51509" s="111"/>
      <c r="CQ51509" s="111"/>
      <c r="EF51509"/>
      <c r="EG51509"/>
      <c r="EH51509"/>
      <c r="EI51509"/>
      <c r="EJ51509"/>
      <c r="EK51509"/>
    </row>
    <row r="51510" spans="1:141" s="116" customFormat="1">
      <c r="A51510" s="136"/>
      <c r="CM51510" s="111"/>
      <c r="CQ51510" s="111"/>
      <c r="EF51510"/>
      <c r="EG51510"/>
      <c r="EH51510"/>
      <c r="EI51510"/>
      <c r="EJ51510"/>
      <c r="EK51510"/>
    </row>
    <row r="51511" spans="1:141" s="116" customFormat="1">
      <c r="A51511" s="136"/>
      <c r="CM51511" s="111"/>
      <c r="CQ51511" s="111"/>
      <c r="EF51511"/>
      <c r="EG51511"/>
      <c r="EH51511"/>
      <c r="EI51511"/>
      <c r="EJ51511"/>
      <c r="EK51511"/>
    </row>
    <row r="51512" spans="1:141" s="116" customFormat="1">
      <c r="A51512" s="136"/>
      <c r="CM51512" s="111"/>
      <c r="CQ51512" s="111"/>
      <c r="EF51512"/>
      <c r="EG51512"/>
      <c r="EH51512"/>
      <c r="EI51512"/>
      <c r="EJ51512"/>
      <c r="EK51512"/>
    </row>
    <row r="51513" spans="1:141" s="116" customFormat="1">
      <c r="A51513" s="136"/>
      <c r="CM51513" s="111"/>
      <c r="CQ51513" s="111"/>
      <c r="EF51513"/>
      <c r="EG51513"/>
      <c r="EH51513"/>
      <c r="EI51513"/>
      <c r="EJ51513"/>
      <c r="EK51513"/>
    </row>
    <row r="51514" spans="1:141" s="116" customFormat="1">
      <c r="A51514" s="136"/>
      <c r="CM51514" s="111"/>
      <c r="CQ51514" s="111"/>
      <c r="EF51514"/>
      <c r="EG51514"/>
      <c r="EH51514"/>
      <c r="EI51514"/>
      <c r="EJ51514"/>
      <c r="EK51514"/>
    </row>
    <row r="51515" spans="1:141" s="116" customFormat="1">
      <c r="A51515" s="136"/>
      <c r="CM51515" s="111"/>
      <c r="CQ51515" s="111"/>
      <c r="EF51515"/>
      <c r="EG51515"/>
      <c r="EH51515"/>
      <c r="EI51515"/>
      <c r="EJ51515"/>
      <c r="EK51515"/>
    </row>
    <row r="51516" spans="1:141" s="116" customFormat="1">
      <c r="A51516" s="136"/>
      <c r="CM51516" s="111"/>
      <c r="CQ51516" s="111"/>
      <c r="EF51516"/>
      <c r="EG51516"/>
      <c r="EH51516"/>
      <c r="EI51516"/>
      <c r="EJ51516"/>
      <c r="EK51516"/>
    </row>
    <row r="51517" spans="1:141" s="116" customFormat="1">
      <c r="A51517" s="136"/>
      <c r="CM51517" s="111"/>
      <c r="CQ51517" s="111"/>
      <c r="EF51517"/>
      <c r="EG51517"/>
      <c r="EH51517"/>
      <c r="EI51517"/>
      <c r="EJ51517"/>
      <c r="EK51517"/>
    </row>
    <row r="51518" spans="1:141" s="116" customFormat="1">
      <c r="A51518" s="136"/>
      <c r="CM51518" s="111"/>
      <c r="CQ51518" s="111"/>
      <c r="EF51518"/>
      <c r="EG51518"/>
      <c r="EH51518"/>
      <c r="EI51518"/>
      <c r="EJ51518"/>
      <c r="EK51518"/>
    </row>
    <row r="51519" spans="1:141" s="116" customFormat="1">
      <c r="A51519" s="136"/>
      <c r="CM51519" s="111"/>
      <c r="CQ51519" s="111"/>
      <c r="EF51519"/>
      <c r="EG51519"/>
      <c r="EH51519"/>
      <c r="EI51519"/>
      <c r="EJ51519"/>
      <c r="EK51519"/>
    </row>
    <row r="51520" spans="1:141" s="116" customFormat="1">
      <c r="A51520" s="136"/>
      <c r="CM51520" s="111"/>
      <c r="CQ51520" s="111"/>
      <c r="EF51520"/>
      <c r="EG51520"/>
      <c r="EH51520"/>
      <c r="EI51520"/>
      <c r="EJ51520"/>
      <c r="EK51520"/>
    </row>
    <row r="51521" spans="1:141" s="116" customFormat="1">
      <c r="A51521" s="136"/>
      <c r="CM51521" s="111"/>
      <c r="CQ51521" s="111"/>
      <c r="EF51521"/>
      <c r="EG51521"/>
      <c r="EH51521"/>
      <c r="EI51521"/>
      <c r="EJ51521"/>
      <c r="EK51521"/>
    </row>
    <row r="51522" spans="1:141" s="116" customFormat="1">
      <c r="A51522" s="136"/>
      <c r="CM51522" s="111"/>
      <c r="CQ51522" s="111"/>
      <c r="EF51522"/>
      <c r="EG51522"/>
      <c r="EH51522"/>
      <c r="EI51522"/>
      <c r="EJ51522"/>
      <c r="EK51522"/>
    </row>
    <row r="51523" spans="1:141" s="116" customFormat="1">
      <c r="A51523" s="136"/>
      <c r="CM51523" s="111"/>
      <c r="CQ51523" s="111"/>
      <c r="EF51523"/>
      <c r="EG51523"/>
      <c r="EH51523"/>
      <c r="EI51523"/>
      <c r="EJ51523"/>
      <c r="EK51523"/>
    </row>
    <row r="51524" spans="1:141" s="116" customFormat="1">
      <c r="A51524" s="136"/>
      <c r="CM51524" s="111"/>
      <c r="CQ51524" s="111"/>
      <c r="EF51524"/>
      <c r="EG51524"/>
      <c r="EH51524"/>
      <c r="EI51524"/>
      <c r="EJ51524"/>
      <c r="EK51524"/>
    </row>
    <row r="51525" spans="1:141" s="116" customFormat="1">
      <c r="A51525" s="136"/>
      <c r="CM51525" s="111"/>
      <c r="CQ51525" s="111"/>
      <c r="EF51525"/>
      <c r="EG51525"/>
      <c r="EH51525"/>
      <c r="EI51525"/>
      <c r="EJ51525"/>
      <c r="EK51525"/>
    </row>
    <row r="51526" spans="1:141" s="116" customFormat="1">
      <c r="A51526" s="136"/>
      <c r="CM51526" s="111"/>
      <c r="CQ51526" s="111"/>
      <c r="EF51526"/>
      <c r="EG51526"/>
      <c r="EH51526"/>
      <c r="EI51526"/>
      <c r="EJ51526"/>
      <c r="EK51526"/>
    </row>
    <row r="51527" spans="1:141" s="116" customFormat="1">
      <c r="A51527" s="136"/>
      <c r="CM51527" s="111"/>
      <c r="CQ51527" s="111"/>
      <c r="EF51527"/>
      <c r="EG51527"/>
      <c r="EH51527"/>
      <c r="EI51527"/>
      <c r="EJ51527"/>
      <c r="EK51527"/>
    </row>
    <row r="51528" spans="1:141" s="116" customFormat="1">
      <c r="A51528" s="136"/>
      <c r="CM51528" s="111"/>
      <c r="CQ51528" s="111"/>
      <c r="EF51528"/>
      <c r="EG51528"/>
      <c r="EH51528"/>
      <c r="EI51528"/>
      <c r="EJ51528"/>
      <c r="EK51528"/>
    </row>
    <row r="51529" spans="1:141" s="116" customFormat="1">
      <c r="A51529" s="136"/>
      <c r="CM51529" s="111"/>
      <c r="CQ51529" s="111"/>
      <c r="EF51529"/>
      <c r="EG51529"/>
      <c r="EH51529"/>
      <c r="EI51529"/>
      <c r="EJ51529"/>
      <c r="EK51529"/>
    </row>
    <row r="51530" spans="1:141" s="116" customFormat="1">
      <c r="A51530" s="136"/>
      <c r="CM51530" s="111"/>
      <c r="CQ51530" s="111"/>
      <c r="EF51530"/>
      <c r="EG51530"/>
      <c r="EH51530"/>
      <c r="EI51530"/>
      <c r="EJ51530"/>
      <c r="EK51530"/>
    </row>
    <row r="51531" spans="1:141" s="116" customFormat="1">
      <c r="A51531" s="136"/>
      <c r="CM51531" s="111"/>
      <c r="CQ51531" s="111"/>
      <c r="EF51531"/>
      <c r="EG51531"/>
      <c r="EH51531"/>
      <c r="EI51531"/>
      <c r="EJ51531"/>
      <c r="EK51531"/>
    </row>
    <row r="51532" spans="1:141" s="116" customFormat="1">
      <c r="A51532" s="136"/>
      <c r="CM51532" s="111"/>
      <c r="CQ51532" s="111"/>
      <c r="EF51532"/>
      <c r="EG51532"/>
      <c r="EH51532"/>
      <c r="EI51532"/>
      <c r="EJ51532"/>
      <c r="EK51532"/>
    </row>
    <row r="51533" spans="1:141" s="116" customFormat="1">
      <c r="A51533" s="136"/>
      <c r="CM51533" s="111"/>
      <c r="CQ51533" s="111"/>
      <c r="EF51533"/>
      <c r="EG51533"/>
      <c r="EH51533"/>
      <c r="EI51533"/>
      <c r="EJ51533"/>
      <c r="EK51533"/>
    </row>
    <row r="51534" spans="1:141" s="116" customFormat="1">
      <c r="A51534" s="136"/>
      <c r="CM51534" s="111"/>
      <c r="CQ51534" s="111"/>
      <c r="EF51534"/>
      <c r="EG51534"/>
      <c r="EH51534"/>
      <c r="EI51534"/>
      <c r="EJ51534"/>
      <c r="EK51534"/>
    </row>
    <row r="51535" spans="1:141" s="116" customFormat="1">
      <c r="A51535" s="136"/>
      <c r="CM51535" s="111"/>
      <c r="CQ51535" s="111"/>
      <c r="EF51535"/>
      <c r="EG51535"/>
      <c r="EH51535"/>
      <c r="EI51535"/>
      <c r="EJ51535"/>
      <c r="EK51535"/>
    </row>
    <row r="51536" spans="1:141" s="116" customFormat="1">
      <c r="A51536" s="136"/>
      <c r="CM51536" s="111"/>
      <c r="CQ51536" s="111"/>
      <c r="EF51536"/>
      <c r="EG51536"/>
      <c r="EH51536"/>
      <c r="EI51536"/>
      <c r="EJ51536"/>
      <c r="EK51536"/>
    </row>
    <row r="51537" spans="1:141" s="116" customFormat="1">
      <c r="A51537" s="136"/>
      <c r="CM51537" s="111"/>
      <c r="CQ51537" s="111"/>
      <c r="EF51537"/>
      <c r="EG51537"/>
      <c r="EH51537"/>
      <c r="EI51537"/>
      <c r="EJ51537"/>
      <c r="EK51537"/>
    </row>
    <row r="51538" spans="1:141" s="116" customFormat="1">
      <c r="A51538" s="136"/>
      <c r="CM51538" s="111"/>
      <c r="CQ51538" s="111"/>
      <c r="EF51538"/>
      <c r="EG51538"/>
      <c r="EH51538"/>
      <c r="EI51538"/>
      <c r="EJ51538"/>
      <c r="EK51538"/>
    </row>
    <row r="51539" spans="1:141" s="116" customFormat="1">
      <c r="A51539" s="136"/>
      <c r="CM51539" s="111"/>
      <c r="CQ51539" s="111"/>
      <c r="EF51539"/>
      <c r="EG51539"/>
      <c r="EH51539"/>
      <c r="EI51539"/>
      <c r="EJ51539"/>
      <c r="EK51539"/>
    </row>
    <row r="51540" spans="1:141" s="116" customFormat="1">
      <c r="A51540" s="136"/>
      <c r="CM51540" s="111"/>
      <c r="CQ51540" s="111"/>
      <c r="EF51540"/>
      <c r="EG51540"/>
      <c r="EH51540"/>
      <c r="EI51540"/>
      <c r="EJ51540"/>
      <c r="EK51540"/>
    </row>
    <row r="51541" spans="1:141" s="116" customFormat="1">
      <c r="A51541" s="136"/>
      <c r="CM51541" s="111"/>
      <c r="CQ51541" s="111"/>
      <c r="EF51541"/>
      <c r="EG51541"/>
      <c r="EH51541"/>
      <c r="EI51541"/>
      <c r="EJ51541"/>
      <c r="EK51541"/>
    </row>
    <row r="51542" spans="1:141" s="116" customFormat="1">
      <c r="A51542" s="136"/>
      <c r="CM51542" s="111"/>
      <c r="CQ51542" s="111"/>
      <c r="EF51542"/>
      <c r="EG51542"/>
      <c r="EH51542"/>
      <c r="EI51542"/>
      <c r="EJ51542"/>
      <c r="EK51542"/>
    </row>
    <row r="51543" spans="1:141" s="116" customFormat="1">
      <c r="A51543" s="136"/>
      <c r="CM51543" s="111"/>
      <c r="CQ51543" s="111"/>
      <c r="EF51543"/>
      <c r="EG51543"/>
      <c r="EH51543"/>
      <c r="EI51543"/>
      <c r="EJ51543"/>
      <c r="EK51543"/>
    </row>
    <row r="51544" spans="1:141" s="116" customFormat="1">
      <c r="A51544" s="136"/>
      <c r="CM51544" s="111"/>
      <c r="CQ51544" s="111"/>
      <c r="EF51544"/>
      <c r="EG51544"/>
      <c r="EH51544"/>
      <c r="EI51544"/>
      <c r="EJ51544"/>
      <c r="EK51544"/>
    </row>
    <row r="51545" spans="1:141" s="116" customFormat="1">
      <c r="A51545" s="136"/>
      <c r="CM51545" s="111"/>
      <c r="CQ51545" s="111"/>
      <c r="EF51545"/>
      <c r="EG51545"/>
      <c r="EH51545"/>
      <c r="EI51545"/>
      <c r="EJ51545"/>
      <c r="EK51545"/>
    </row>
    <row r="51546" spans="1:141" s="116" customFormat="1">
      <c r="A51546" s="136"/>
      <c r="CM51546" s="111"/>
      <c r="CQ51546" s="111"/>
      <c r="EF51546"/>
      <c r="EG51546"/>
      <c r="EH51546"/>
      <c r="EI51546"/>
      <c r="EJ51546"/>
      <c r="EK51546"/>
    </row>
    <row r="51547" spans="1:141" s="116" customFormat="1">
      <c r="A51547" s="136"/>
      <c r="CM51547" s="111"/>
      <c r="CQ51547" s="111"/>
      <c r="EF51547"/>
      <c r="EG51547"/>
      <c r="EH51547"/>
      <c r="EI51547"/>
      <c r="EJ51547"/>
      <c r="EK51547"/>
    </row>
    <row r="51548" spans="1:141" s="116" customFormat="1">
      <c r="A51548" s="136"/>
      <c r="CM51548" s="111"/>
      <c r="CQ51548" s="111"/>
      <c r="EF51548"/>
      <c r="EG51548"/>
      <c r="EH51548"/>
      <c r="EI51548"/>
      <c r="EJ51548"/>
      <c r="EK51548"/>
    </row>
    <row r="51549" spans="1:141" s="116" customFormat="1">
      <c r="A51549" s="136"/>
      <c r="CM51549" s="111"/>
      <c r="CQ51549" s="111"/>
      <c r="EF51549"/>
      <c r="EG51549"/>
      <c r="EH51549"/>
      <c r="EI51549"/>
      <c r="EJ51549"/>
      <c r="EK51549"/>
    </row>
    <row r="51550" spans="1:141" s="116" customFormat="1">
      <c r="A51550" s="136"/>
      <c r="CM51550" s="111"/>
      <c r="CQ51550" s="111"/>
      <c r="EF51550"/>
      <c r="EG51550"/>
      <c r="EH51550"/>
      <c r="EI51550"/>
      <c r="EJ51550"/>
      <c r="EK51550"/>
    </row>
    <row r="51551" spans="1:141" s="116" customFormat="1">
      <c r="A51551" s="136"/>
      <c r="CM51551" s="111"/>
      <c r="CQ51551" s="111"/>
      <c r="EF51551"/>
      <c r="EG51551"/>
      <c r="EH51551"/>
      <c r="EI51551"/>
      <c r="EJ51551"/>
      <c r="EK51551"/>
    </row>
    <row r="51552" spans="1:141" s="116" customFormat="1">
      <c r="A51552" s="136"/>
      <c r="CM51552" s="111"/>
      <c r="CQ51552" s="111"/>
      <c r="EF51552"/>
      <c r="EG51552"/>
      <c r="EH51552"/>
      <c r="EI51552"/>
      <c r="EJ51552"/>
      <c r="EK51552"/>
    </row>
    <row r="51553" spans="1:141" s="116" customFormat="1">
      <c r="A51553" s="136"/>
      <c r="CM51553" s="111"/>
      <c r="CQ51553" s="111"/>
      <c r="EF51553"/>
      <c r="EG51553"/>
      <c r="EH51553"/>
      <c r="EI51553"/>
      <c r="EJ51553"/>
      <c r="EK51553"/>
    </row>
    <row r="51554" spans="1:141" s="116" customFormat="1">
      <c r="A51554" s="136"/>
      <c r="CM51554" s="111"/>
      <c r="CQ51554" s="111"/>
      <c r="EF51554"/>
      <c r="EG51554"/>
      <c r="EH51554"/>
      <c r="EI51554"/>
      <c r="EJ51554"/>
      <c r="EK51554"/>
    </row>
    <row r="51555" spans="1:141" s="116" customFormat="1">
      <c r="A51555" s="136"/>
      <c r="CM51555" s="111"/>
      <c r="CQ51555" s="111"/>
      <c r="EF51555"/>
      <c r="EG51555"/>
      <c r="EH51555"/>
      <c r="EI51555"/>
      <c r="EJ51555"/>
      <c r="EK51555"/>
    </row>
    <row r="51556" spans="1:141" s="116" customFormat="1">
      <c r="A51556" s="136"/>
      <c r="CM51556" s="111"/>
      <c r="CQ51556" s="111"/>
      <c r="EF51556"/>
      <c r="EG51556"/>
      <c r="EH51556"/>
      <c r="EI51556"/>
      <c r="EJ51556"/>
      <c r="EK51556"/>
    </row>
    <row r="51557" spans="1:141" s="116" customFormat="1">
      <c r="A51557" s="136"/>
      <c r="CM51557" s="111"/>
      <c r="CQ51557" s="111"/>
      <c r="EF51557"/>
      <c r="EG51557"/>
      <c r="EH51557"/>
      <c r="EI51557"/>
      <c r="EJ51557"/>
      <c r="EK51557"/>
    </row>
    <row r="51558" spans="1:141" s="116" customFormat="1">
      <c r="A51558" s="136"/>
      <c r="CM51558" s="111"/>
      <c r="CQ51558" s="111"/>
      <c r="EF51558"/>
      <c r="EG51558"/>
      <c r="EH51558"/>
      <c r="EI51558"/>
      <c r="EJ51558"/>
      <c r="EK51558"/>
    </row>
    <row r="51559" spans="1:141" s="116" customFormat="1">
      <c r="A51559" s="136"/>
      <c r="CM51559" s="111"/>
      <c r="CQ51559" s="111"/>
      <c r="EF51559"/>
      <c r="EG51559"/>
      <c r="EH51559"/>
      <c r="EI51559"/>
      <c r="EJ51559"/>
      <c r="EK51559"/>
    </row>
    <row r="51560" spans="1:141" s="116" customFormat="1">
      <c r="A51560" s="136"/>
      <c r="CM51560" s="111"/>
      <c r="CQ51560" s="111"/>
      <c r="EF51560"/>
      <c r="EG51560"/>
      <c r="EH51560"/>
      <c r="EI51560"/>
      <c r="EJ51560"/>
      <c r="EK51560"/>
    </row>
    <row r="51561" spans="1:141" s="116" customFormat="1">
      <c r="A51561" s="136"/>
      <c r="CM51561" s="111"/>
      <c r="CQ51561" s="111"/>
      <c r="EF51561"/>
      <c r="EG51561"/>
      <c r="EH51561"/>
      <c r="EI51561"/>
      <c r="EJ51561"/>
      <c r="EK51561"/>
    </row>
    <row r="51562" spans="1:141" s="116" customFormat="1">
      <c r="A51562" s="136"/>
      <c r="CM51562" s="111"/>
      <c r="CQ51562" s="111"/>
      <c r="EF51562"/>
      <c r="EG51562"/>
      <c r="EH51562"/>
      <c r="EI51562"/>
      <c r="EJ51562"/>
      <c r="EK51562"/>
    </row>
    <row r="51563" spans="1:141" s="116" customFormat="1">
      <c r="A51563" s="136"/>
      <c r="CM51563" s="111"/>
      <c r="CQ51563" s="111"/>
      <c r="EF51563"/>
      <c r="EG51563"/>
      <c r="EH51563"/>
      <c r="EI51563"/>
      <c r="EJ51563"/>
      <c r="EK51563"/>
    </row>
    <row r="51564" spans="1:141" s="116" customFormat="1">
      <c r="A51564" s="136"/>
      <c r="CM51564" s="111"/>
      <c r="CQ51564" s="111"/>
      <c r="EF51564"/>
      <c r="EG51564"/>
      <c r="EH51564"/>
      <c r="EI51564"/>
      <c r="EJ51564"/>
      <c r="EK51564"/>
    </row>
    <row r="51565" spans="1:141" s="116" customFormat="1">
      <c r="A51565" s="136"/>
      <c r="CM51565" s="111"/>
      <c r="CQ51565" s="111"/>
      <c r="EF51565"/>
      <c r="EG51565"/>
      <c r="EH51565"/>
      <c r="EI51565"/>
      <c r="EJ51565"/>
      <c r="EK51565"/>
    </row>
    <row r="51566" spans="1:141" s="116" customFormat="1">
      <c r="A51566" s="136"/>
      <c r="CM51566" s="111"/>
      <c r="CQ51566" s="111"/>
      <c r="EF51566"/>
      <c r="EG51566"/>
      <c r="EH51566"/>
      <c r="EI51566"/>
      <c r="EJ51566"/>
      <c r="EK51566"/>
    </row>
    <row r="51567" spans="1:141" s="116" customFormat="1">
      <c r="A51567" s="136"/>
      <c r="CM51567" s="111"/>
      <c r="CQ51567" s="111"/>
      <c r="EF51567"/>
      <c r="EG51567"/>
      <c r="EH51567"/>
      <c r="EI51567"/>
      <c r="EJ51567"/>
      <c r="EK51567"/>
    </row>
    <row r="51568" spans="1:141" s="116" customFormat="1">
      <c r="A51568" s="136"/>
      <c r="CM51568" s="111"/>
      <c r="CQ51568" s="111"/>
      <c r="EF51568"/>
      <c r="EG51568"/>
      <c r="EH51568"/>
      <c r="EI51568"/>
      <c r="EJ51568"/>
      <c r="EK51568"/>
    </row>
    <row r="51569" spans="1:141" s="116" customFormat="1">
      <c r="A51569" s="136"/>
      <c r="CM51569" s="111"/>
      <c r="CQ51569" s="111"/>
      <c r="EF51569"/>
      <c r="EG51569"/>
      <c r="EH51569"/>
      <c r="EI51569"/>
      <c r="EJ51569"/>
      <c r="EK51569"/>
    </row>
    <row r="51570" spans="1:141" s="116" customFormat="1">
      <c r="A51570" s="136"/>
      <c r="CM51570" s="111"/>
      <c r="CQ51570" s="111"/>
      <c r="EF51570"/>
      <c r="EG51570"/>
      <c r="EH51570"/>
      <c r="EI51570"/>
      <c r="EJ51570"/>
      <c r="EK51570"/>
    </row>
    <row r="51571" spans="1:141" s="116" customFormat="1">
      <c r="A51571" s="136"/>
      <c r="CM51571" s="111"/>
      <c r="CQ51571" s="111"/>
      <c r="EF51571"/>
      <c r="EG51571"/>
      <c r="EH51571"/>
      <c r="EI51571"/>
      <c r="EJ51571"/>
      <c r="EK51571"/>
    </row>
    <row r="51572" spans="1:141" s="116" customFormat="1">
      <c r="A51572" s="136"/>
      <c r="CM51572" s="111"/>
      <c r="CQ51572" s="111"/>
      <c r="EF51572"/>
      <c r="EG51572"/>
      <c r="EH51572"/>
      <c r="EI51572"/>
      <c r="EJ51572"/>
      <c r="EK51572"/>
    </row>
    <row r="51573" spans="1:141" s="116" customFormat="1">
      <c r="A51573" s="136"/>
      <c r="CM51573" s="111"/>
      <c r="CQ51573" s="111"/>
      <c r="EF51573"/>
      <c r="EG51573"/>
      <c r="EH51573"/>
      <c r="EI51573"/>
      <c r="EJ51573"/>
      <c r="EK51573"/>
    </row>
    <row r="51574" spans="1:141" s="116" customFormat="1">
      <c r="A51574" s="136"/>
      <c r="CM51574" s="111"/>
      <c r="CQ51574" s="111"/>
      <c r="EF51574"/>
      <c r="EG51574"/>
      <c r="EH51574"/>
      <c r="EI51574"/>
      <c r="EJ51574"/>
      <c r="EK51574"/>
    </row>
    <row r="51575" spans="1:141" s="116" customFormat="1">
      <c r="A51575" s="136"/>
      <c r="CM51575" s="111"/>
      <c r="CQ51575" s="111"/>
      <c r="EF51575"/>
      <c r="EG51575"/>
      <c r="EH51575"/>
      <c r="EI51575"/>
      <c r="EJ51575"/>
      <c r="EK51575"/>
    </row>
    <row r="51576" spans="1:141" s="116" customFormat="1">
      <c r="A51576" s="136"/>
      <c r="CM51576" s="111"/>
      <c r="CQ51576" s="111"/>
      <c r="EF51576"/>
      <c r="EG51576"/>
      <c r="EH51576"/>
      <c r="EI51576"/>
      <c r="EJ51576"/>
      <c r="EK51576"/>
    </row>
    <row r="51577" spans="1:141" s="116" customFormat="1">
      <c r="A51577" s="136"/>
      <c r="CM51577" s="111"/>
      <c r="CQ51577" s="111"/>
      <c r="EF51577"/>
      <c r="EG51577"/>
      <c r="EH51577"/>
      <c r="EI51577"/>
      <c r="EJ51577"/>
      <c r="EK51577"/>
    </row>
    <row r="51578" spans="1:141" s="116" customFormat="1">
      <c r="A51578" s="136"/>
      <c r="CM51578" s="111"/>
      <c r="CQ51578" s="111"/>
      <c r="EF51578"/>
      <c r="EG51578"/>
      <c r="EH51578"/>
      <c r="EI51578"/>
      <c r="EJ51578"/>
      <c r="EK51578"/>
    </row>
    <row r="51579" spans="1:141" s="116" customFormat="1">
      <c r="A51579" s="136"/>
      <c r="CM51579" s="111"/>
      <c r="CQ51579" s="111"/>
      <c r="EF51579"/>
      <c r="EG51579"/>
      <c r="EH51579"/>
      <c r="EI51579"/>
      <c r="EJ51579"/>
      <c r="EK51579"/>
    </row>
    <row r="51580" spans="1:141" s="116" customFormat="1">
      <c r="A51580" s="136"/>
      <c r="CM51580" s="111"/>
      <c r="CQ51580" s="111"/>
      <c r="EF51580"/>
      <c r="EG51580"/>
      <c r="EH51580"/>
      <c r="EI51580"/>
      <c r="EJ51580"/>
      <c r="EK51580"/>
    </row>
    <row r="51581" spans="1:141" s="116" customFormat="1">
      <c r="A51581" s="136"/>
      <c r="CM51581" s="111"/>
      <c r="CQ51581" s="111"/>
      <c r="EF51581"/>
      <c r="EG51581"/>
      <c r="EH51581"/>
      <c r="EI51581"/>
      <c r="EJ51581"/>
      <c r="EK51581"/>
    </row>
    <row r="51582" spans="1:141" s="116" customFormat="1">
      <c r="A51582" s="136"/>
      <c r="CM51582" s="111"/>
      <c r="CQ51582" s="111"/>
      <c r="EF51582"/>
      <c r="EG51582"/>
      <c r="EH51582"/>
      <c r="EI51582"/>
      <c r="EJ51582"/>
      <c r="EK51582"/>
    </row>
    <row r="51583" spans="1:141" s="116" customFormat="1">
      <c r="A51583" s="136"/>
      <c r="CM51583" s="111"/>
      <c r="CQ51583" s="111"/>
      <c r="EF51583"/>
      <c r="EG51583"/>
      <c r="EH51583"/>
      <c r="EI51583"/>
      <c r="EJ51583"/>
      <c r="EK51583"/>
    </row>
    <row r="51584" spans="1:141" s="116" customFormat="1">
      <c r="A51584" s="136"/>
      <c r="CM51584" s="111"/>
      <c r="CQ51584" s="111"/>
      <c r="EF51584"/>
      <c r="EG51584"/>
      <c r="EH51584"/>
      <c r="EI51584"/>
      <c r="EJ51584"/>
      <c r="EK51584"/>
    </row>
    <row r="51585" spans="1:141" s="116" customFormat="1">
      <c r="A51585" s="136"/>
      <c r="CM51585" s="111"/>
      <c r="CQ51585" s="111"/>
      <c r="EF51585"/>
      <c r="EG51585"/>
      <c r="EH51585"/>
      <c r="EI51585"/>
      <c r="EJ51585"/>
      <c r="EK51585"/>
    </row>
    <row r="51586" spans="1:141" s="116" customFormat="1">
      <c r="A51586" s="136"/>
      <c r="CM51586" s="111"/>
      <c r="CQ51586" s="111"/>
      <c r="EF51586"/>
      <c r="EG51586"/>
      <c r="EH51586"/>
      <c r="EI51586"/>
      <c r="EJ51586"/>
      <c r="EK51586"/>
    </row>
    <row r="51587" spans="1:141" s="116" customFormat="1">
      <c r="A51587" s="136"/>
      <c r="CM51587" s="111"/>
      <c r="CQ51587" s="111"/>
      <c r="EF51587"/>
      <c r="EG51587"/>
      <c r="EH51587"/>
      <c r="EI51587"/>
      <c r="EJ51587"/>
      <c r="EK51587"/>
    </row>
    <row r="51588" spans="1:141" s="116" customFormat="1">
      <c r="A51588" s="136"/>
      <c r="CM51588" s="111"/>
      <c r="CQ51588" s="111"/>
      <c r="EF51588"/>
      <c r="EG51588"/>
      <c r="EH51588"/>
      <c r="EI51588"/>
      <c r="EJ51588"/>
      <c r="EK51588"/>
    </row>
    <row r="51589" spans="1:141" s="116" customFormat="1">
      <c r="A51589" s="136"/>
      <c r="CM51589" s="111"/>
      <c r="CQ51589" s="111"/>
      <c r="EF51589"/>
      <c r="EG51589"/>
      <c r="EH51589"/>
      <c r="EI51589"/>
      <c r="EJ51589"/>
      <c r="EK51589"/>
    </row>
    <row r="51590" spans="1:141" s="116" customFormat="1">
      <c r="A51590" s="136"/>
      <c r="CM51590" s="111"/>
      <c r="CQ51590" s="111"/>
      <c r="EF51590"/>
      <c r="EG51590"/>
      <c r="EH51590"/>
      <c r="EI51590"/>
      <c r="EJ51590"/>
      <c r="EK51590"/>
    </row>
    <row r="51591" spans="1:141" s="116" customFormat="1">
      <c r="A51591" s="136"/>
      <c r="CM51591" s="111"/>
      <c r="CQ51591" s="111"/>
      <c r="EF51591"/>
      <c r="EG51591"/>
      <c r="EH51591"/>
      <c r="EI51591"/>
      <c r="EJ51591"/>
      <c r="EK51591"/>
    </row>
    <row r="51592" spans="1:141" s="116" customFormat="1">
      <c r="A51592" s="136"/>
      <c r="CM51592" s="111"/>
      <c r="CQ51592" s="111"/>
      <c r="EF51592"/>
      <c r="EG51592"/>
      <c r="EH51592"/>
      <c r="EI51592"/>
      <c r="EJ51592"/>
      <c r="EK51592"/>
    </row>
    <row r="51593" spans="1:141" s="116" customFormat="1">
      <c r="A51593" s="136"/>
      <c r="CM51593" s="111"/>
      <c r="CQ51593" s="111"/>
      <c r="EF51593"/>
      <c r="EG51593"/>
      <c r="EH51593"/>
      <c r="EI51593"/>
      <c r="EJ51593"/>
      <c r="EK51593"/>
    </row>
    <row r="51594" spans="1:141" s="116" customFormat="1">
      <c r="A51594" s="136"/>
      <c r="CM51594" s="111"/>
      <c r="CQ51594" s="111"/>
      <c r="EF51594"/>
      <c r="EG51594"/>
      <c r="EH51594"/>
      <c r="EI51594"/>
      <c r="EJ51594"/>
      <c r="EK51594"/>
    </row>
    <row r="51595" spans="1:141" s="116" customFormat="1">
      <c r="A51595" s="136"/>
      <c r="CM51595" s="111"/>
      <c r="CQ51595" s="111"/>
      <c r="EF51595"/>
      <c r="EG51595"/>
      <c r="EH51595"/>
      <c r="EI51595"/>
      <c r="EJ51595"/>
      <c r="EK51595"/>
    </row>
    <row r="51596" spans="1:141" s="116" customFormat="1">
      <c r="A51596" s="136"/>
      <c r="CM51596" s="111"/>
      <c r="CQ51596" s="111"/>
      <c r="EF51596"/>
      <c r="EG51596"/>
      <c r="EH51596"/>
      <c r="EI51596"/>
      <c r="EJ51596"/>
      <c r="EK51596"/>
    </row>
    <row r="51597" spans="1:141" s="116" customFormat="1">
      <c r="A51597" s="136"/>
      <c r="CM51597" s="111"/>
      <c r="CQ51597" s="111"/>
      <c r="EF51597"/>
      <c r="EG51597"/>
      <c r="EH51597"/>
      <c r="EI51597"/>
      <c r="EJ51597"/>
      <c r="EK51597"/>
    </row>
    <row r="51598" spans="1:141" s="116" customFormat="1">
      <c r="A51598" s="136"/>
      <c r="CM51598" s="111"/>
      <c r="CQ51598" s="111"/>
      <c r="EF51598"/>
      <c r="EG51598"/>
      <c r="EH51598"/>
      <c r="EI51598"/>
      <c r="EJ51598"/>
      <c r="EK51598"/>
    </row>
    <row r="51599" spans="1:141" s="116" customFormat="1">
      <c r="A51599" s="136"/>
      <c r="CM51599" s="111"/>
      <c r="CQ51599" s="111"/>
      <c r="EF51599"/>
      <c r="EG51599"/>
      <c r="EH51599"/>
      <c r="EI51599"/>
      <c r="EJ51599"/>
      <c r="EK51599"/>
    </row>
    <row r="51600" spans="1:141" s="116" customFormat="1">
      <c r="A51600" s="136"/>
      <c r="CM51600" s="111"/>
      <c r="CQ51600" s="111"/>
      <c r="EF51600"/>
      <c r="EG51600"/>
      <c r="EH51600"/>
      <c r="EI51600"/>
      <c r="EJ51600"/>
      <c r="EK51600"/>
    </row>
    <row r="51601" spans="1:141" s="116" customFormat="1">
      <c r="A51601" s="136"/>
      <c r="CM51601" s="111"/>
      <c r="CQ51601" s="111"/>
      <c r="EF51601"/>
      <c r="EG51601"/>
      <c r="EH51601"/>
      <c r="EI51601"/>
      <c r="EJ51601"/>
      <c r="EK51601"/>
    </row>
    <row r="51602" spans="1:141" s="116" customFormat="1">
      <c r="A51602" s="136"/>
      <c r="CM51602" s="111"/>
      <c r="CQ51602" s="111"/>
      <c r="EF51602"/>
      <c r="EG51602"/>
      <c r="EH51602"/>
      <c r="EI51602"/>
      <c r="EJ51602"/>
      <c r="EK51602"/>
    </row>
    <row r="51603" spans="1:141" s="116" customFormat="1">
      <c r="A51603" s="136"/>
      <c r="CM51603" s="111"/>
      <c r="CQ51603" s="111"/>
      <c r="EF51603"/>
      <c r="EG51603"/>
      <c r="EH51603"/>
      <c r="EI51603"/>
      <c r="EJ51603"/>
      <c r="EK51603"/>
    </row>
    <row r="51604" spans="1:141" s="116" customFormat="1">
      <c r="A51604" s="136"/>
      <c r="CM51604" s="111"/>
      <c r="CQ51604" s="111"/>
      <c r="EF51604"/>
      <c r="EG51604"/>
      <c r="EH51604"/>
      <c r="EI51604"/>
      <c r="EJ51604"/>
      <c r="EK51604"/>
    </row>
    <row r="51605" spans="1:141" s="116" customFormat="1">
      <c r="A51605" s="136"/>
      <c r="CM51605" s="111"/>
      <c r="CQ51605" s="111"/>
      <c r="EF51605"/>
      <c r="EG51605"/>
      <c r="EH51605"/>
      <c r="EI51605"/>
      <c r="EJ51605"/>
      <c r="EK51605"/>
    </row>
    <row r="51606" spans="1:141" s="116" customFormat="1">
      <c r="A51606" s="136"/>
      <c r="CM51606" s="111"/>
      <c r="CQ51606" s="111"/>
      <c r="EF51606"/>
      <c r="EG51606"/>
      <c r="EH51606"/>
      <c r="EI51606"/>
      <c r="EJ51606"/>
      <c r="EK51606"/>
    </row>
    <row r="51607" spans="1:141" s="116" customFormat="1">
      <c r="A51607" s="136"/>
      <c r="CM51607" s="111"/>
      <c r="CQ51607" s="111"/>
      <c r="EF51607"/>
      <c r="EG51607"/>
      <c r="EH51607"/>
      <c r="EI51607"/>
      <c r="EJ51607"/>
      <c r="EK51607"/>
    </row>
    <row r="51608" spans="1:141" s="116" customFormat="1">
      <c r="A51608" s="136"/>
      <c r="CM51608" s="111"/>
      <c r="CQ51608" s="111"/>
      <c r="EF51608"/>
      <c r="EG51608"/>
      <c r="EH51608"/>
      <c r="EI51608"/>
      <c r="EJ51608"/>
      <c r="EK51608"/>
    </row>
    <row r="51609" spans="1:141" s="116" customFormat="1">
      <c r="A51609" s="136"/>
      <c r="CM51609" s="111"/>
      <c r="CQ51609" s="111"/>
      <c r="EF51609"/>
      <c r="EG51609"/>
      <c r="EH51609"/>
      <c r="EI51609"/>
      <c r="EJ51609"/>
      <c r="EK51609"/>
    </row>
    <row r="51610" spans="1:141" s="116" customFormat="1">
      <c r="A51610" s="136"/>
      <c r="CM51610" s="111"/>
      <c r="CQ51610" s="111"/>
      <c r="EF51610"/>
      <c r="EG51610"/>
      <c r="EH51610"/>
      <c r="EI51610"/>
      <c r="EJ51610"/>
      <c r="EK51610"/>
    </row>
    <row r="51611" spans="1:141" s="116" customFormat="1">
      <c r="A51611" s="136"/>
      <c r="CM51611" s="111"/>
      <c r="CQ51611" s="111"/>
      <c r="EF51611"/>
      <c r="EG51611"/>
      <c r="EH51611"/>
      <c r="EI51611"/>
      <c r="EJ51611"/>
      <c r="EK51611"/>
    </row>
    <row r="51612" spans="1:141" s="116" customFormat="1">
      <c r="A51612" s="136"/>
      <c r="CM51612" s="111"/>
      <c r="CQ51612" s="111"/>
      <c r="EF51612"/>
      <c r="EG51612"/>
      <c r="EH51612"/>
      <c r="EI51612"/>
      <c r="EJ51612"/>
      <c r="EK51612"/>
    </row>
    <row r="51613" spans="1:141" s="116" customFormat="1">
      <c r="A51613" s="136"/>
      <c r="CM51613" s="111"/>
      <c r="CQ51613" s="111"/>
      <c r="EF51613"/>
      <c r="EG51613"/>
      <c r="EH51613"/>
      <c r="EI51613"/>
      <c r="EJ51613"/>
      <c r="EK51613"/>
    </row>
    <row r="51614" spans="1:141" s="116" customFormat="1">
      <c r="A51614" s="136"/>
      <c r="CM51614" s="111"/>
      <c r="CQ51614" s="111"/>
      <c r="EF51614"/>
      <c r="EG51614"/>
      <c r="EH51614"/>
      <c r="EI51614"/>
      <c r="EJ51614"/>
      <c r="EK51614"/>
    </row>
    <row r="51615" spans="1:141" s="116" customFormat="1">
      <c r="A51615" s="136"/>
      <c r="CM51615" s="111"/>
      <c r="CQ51615" s="111"/>
      <c r="EF51615"/>
      <c r="EG51615"/>
      <c r="EH51615"/>
      <c r="EI51615"/>
      <c r="EJ51615"/>
      <c r="EK51615"/>
    </row>
    <row r="51616" spans="1:141" s="116" customFormat="1">
      <c r="A51616" s="136"/>
      <c r="CM51616" s="111"/>
      <c r="CQ51616" s="111"/>
      <c r="EF51616"/>
      <c r="EG51616"/>
      <c r="EH51616"/>
      <c r="EI51616"/>
      <c r="EJ51616"/>
      <c r="EK51616"/>
    </row>
    <row r="51617" spans="1:141" s="116" customFormat="1">
      <c r="A51617" s="136"/>
      <c r="CM51617" s="111"/>
      <c r="CQ51617" s="111"/>
      <c r="EF51617"/>
      <c r="EG51617"/>
      <c r="EH51617"/>
      <c r="EI51617"/>
      <c r="EJ51617"/>
      <c r="EK51617"/>
    </row>
    <row r="51618" spans="1:141" s="116" customFormat="1">
      <c r="A51618" s="136"/>
      <c r="CM51618" s="111"/>
      <c r="CQ51618" s="111"/>
      <c r="EF51618"/>
      <c r="EG51618"/>
      <c r="EH51618"/>
      <c r="EI51618"/>
      <c r="EJ51618"/>
      <c r="EK51618"/>
    </row>
    <row r="51619" spans="1:141" s="116" customFormat="1">
      <c r="A51619" s="136"/>
      <c r="CM51619" s="111"/>
      <c r="CQ51619" s="111"/>
      <c r="EF51619"/>
      <c r="EG51619"/>
      <c r="EH51619"/>
      <c r="EI51619"/>
      <c r="EJ51619"/>
      <c r="EK51619"/>
    </row>
    <row r="51620" spans="1:141" s="116" customFormat="1">
      <c r="A51620" s="136"/>
      <c r="CM51620" s="111"/>
      <c r="CQ51620" s="111"/>
      <c r="EF51620"/>
      <c r="EG51620"/>
      <c r="EH51620"/>
      <c r="EI51620"/>
      <c r="EJ51620"/>
      <c r="EK51620"/>
    </row>
    <row r="51621" spans="1:141" s="116" customFormat="1">
      <c r="A51621" s="136"/>
      <c r="CM51621" s="111"/>
      <c r="CQ51621" s="111"/>
      <c r="EF51621"/>
      <c r="EG51621"/>
      <c r="EH51621"/>
      <c r="EI51621"/>
      <c r="EJ51621"/>
      <c r="EK51621"/>
    </row>
    <row r="51622" spans="1:141" s="116" customFormat="1">
      <c r="A51622" s="136"/>
      <c r="CM51622" s="111"/>
      <c r="CQ51622" s="111"/>
      <c r="EF51622"/>
      <c r="EG51622"/>
      <c r="EH51622"/>
      <c r="EI51622"/>
      <c r="EJ51622"/>
      <c r="EK51622"/>
    </row>
    <row r="51623" spans="1:141" s="116" customFormat="1">
      <c r="A51623" s="136"/>
      <c r="CM51623" s="111"/>
      <c r="CQ51623" s="111"/>
      <c r="EF51623"/>
      <c r="EG51623"/>
      <c r="EH51623"/>
      <c r="EI51623"/>
      <c r="EJ51623"/>
      <c r="EK51623"/>
    </row>
    <row r="51624" spans="1:141" s="116" customFormat="1">
      <c r="A51624" s="136"/>
      <c r="CM51624" s="111"/>
      <c r="CQ51624" s="111"/>
      <c r="EF51624"/>
      <c r="EG51624"/>
      <c r="EH51624"/>
      <c r="EI51624"/>
      <c r="EJ51624"/>
      <c r="EK51624"/>
    </row>
    <row r="51625" spans="1:141" s="116" customFormat="1">
      <c r="A51625" s="136"/>
      <c r="CM51625" s="111"/>
      <c r="CQ51625" s="111"/>
      <c r="EF51625"/>
      <c r="EG51625"/>
      <c r="EH51625"/>
      <c r="EI51625"/>
      <c r="EJ51625"/>
      <c r="EK51625"/>
    </row>
    <row r="51626" spans="1:141" s="116" customFormat="1">
      <c r="A51626" s="136"/>
      <c r="CM51626" s="111"/>
      <c r="CQ51626" s="111"/>
      <c r="EF51626"/>
      <c r="EG51626"/>
      <c r="EH51626"/>
      <c r="EI51626"/>
      <c r="EJ51626"/>
      <c r="EK51626"/>
    </row>
    <row r="51627" spans="1:141" s="116" customFormat="1">
      <c r="A51627" s="136"/>
      <c r="CM51627" s="111"/>
      <c r="CQ51627" s="111"/>
      <c r="EF51627"/>
      <c r="EG51627"/>
      <c r="EH51627"/>
      <c r="EI51627"/>
      <c r="EJ51627"/>
      <c r="EK51627"/>
    </row>
    <row r="51628" spans="1:141" s="116" customFormat="1">
      <c r="A51628" s="136"/>
      <c r="CM51628" s="111"/>
      <c r="CQ51628" s="111"/>
      <c r="EF51628"/>
      <c r="EG51628"/>
      <c r="EH51628"/>
      <c r="EI51628"/>
      <c r="EJ51628"/>
      <c r="EK51628"/>
    </row>
    <row r="51629" spans="1:141" s="116" customFormat="1">
      <c r="A51629" s="136"/>
      <c r="CM51629" s="111"/>
      <c r="CQ51629" s="111"/>
      <c r="EF51629"/>
      <c r="EG51629"/>
      <c r="EH51629"/>
      <c r="EI51629"/>
      <c r="EJ51629"/>
      <c r="EK51629"/>
    </row>
    <row r="51630" spans="1:141" s="116" customFormat="1">
      <c r="A51630" s="136"/>
      <c r="CM51630" s="111"/>
      <c r="CQ51630" s="111"/>
      <c r="EF51630"/>
      <c r="EG51630"/>
      <c r="EH51630"/>
      <c r="EI51630"/>
      <c r="EJ51630"/>
      <c r="EK51630"/>
    </row>
    <row r="51631" spans="1:141" s="116" customFormat="1">
      <c r="A51631" s="136"/>
      <c r="CM51631" s="111"/>
      <c r="CQ51631" s="111"/>
      <c r="EF51631"/>
      <c r="EG51631"/>
      <c r="EH51631"/>
      <c r="EI51631"/>
      <c r="EJ51631"/>
      <c r="EK51631"/>
    </row>
    <row r="51632" spans="1:141" s="116" customFormat="1">
      <c r="A51632" s="136"/>
      <c r="CM51632" s="111"/>
      <c r="CQ51632" s="111"/>
      <c r="EF51632"/>
      <c r="EG51632"/>
      <c r="EH51632"/>
      <c r="EI51632"/>
      <c r="EJ51632"/>
      <c r="EK51632"/>
    </row>
    <row r="51633" spans="1:141" s="116" customFormat="1">
      <c r="A51633" s="136"/>
      <c r="CM51633" s="111"/>
      <c r="CQ51633" s="111"/>
      <c r="EF51633"/>
      <c r="EG51633"/>
      <c r="EH51633"/>
      <c r="EI51633"/>
      <c r="EJ51633"/>
      <c r="EK51633"/>
    </row>
    <row r="51634" spans="1:141" s="116" customFormat="1">
      <c r="A51634" s="136"/>
      <c r="CM51634" s="111"/>
      <c r="CQ51634" s="111"/>
      <c r="EF51634"/>
      <c r="EG51634"/>
      <c r="EH51634"/>
      <c r="EI51634"/>
      <c r="EJ51634"/>
      <c r="EK51634"/>
    </row>
    <row r="51635" spans="1:141" s="116" customFormat="1">
      <c r="A51635" s="136"/>
      <c r="CM51635" s="111"/>
      <c r="CQ51635" s="111"/>
      <c r="EF51635"/>
      <c r="EG51635"/>
      <c r="EH51635"/>
      <c r="EI51635"/>
      <c r="EJ51635"/>
      <c r="EK51635"/>
    </row>
    <row r="51636" spans="1:141" s="116" customFormat="1">
      <c r="A51636" s="136"/>
      <c r="CM51636" s="111"/>
      <c r="CQ51636" s="111"/>
      <c r="EF51636"/>
      <c r="EG51636"/>
      <c r="EH51636"/>
      <c r="EI51636"/>
      <c r="EJ51636"/>
      <c r="EK51636"/>
    </row>
    <row r="51637" spans="1:141" s="116" customFormat="1">
      <c r="A51637" s="136"/>
      <c r="CM51637" s="111"/>
      <c r="CQ51637" s="111"/>
      <c r="EF51637"/>
      <c r="EG51637"/>
      <c r="EH51637"/>
      <c r="EI51637"/>
      <c r="EJ51637"/>
      <c r="EK51637"/>
    </row>
    <row r="51638" spans="1:141" s="116" customFormat="1">
      <c r="A51638" s="136"/>
      <c r="CM51638" s="111"/>
      <c r="CQ51638" s="111"/>
      <c r="EF51638"/>
      <c r="EG51638"/>
      <c r="EH51638"/>
      <c r="EI51638"/>
      <c r="EJ51638"/>
      <c r="EK51638"/>
    </row>
    <row r="51639" spans="1:141" s="116" customFormat="1">
      <c r="A51639" s="136"/>
      <c r="CM51639" s="111"/>
      <c r="CQ51639" s="111"/>
      <c r="EF51639"/>
      <c r="EG51639"/>
      <c r="EH51639"/>
      <c r="EI51639"/>
      <c r="EJ51639"/>
      <c r="EK51639"/>
    </row>
    <row r="51640" spans="1:141" s="116" customFormat="1">
      <c r="A51640" s="136"/>
      <c r="CM51640" s="111"/>
      <c r="CQ51640" s="111"/>
      <c r="EF51640"/>
      <c r="EG51640"/>
      <c r="EH51640"/>
      <c r="EI51640"/>
      <c r="EJ51640"/>
      <c r="EK51640"/>
    </row>
    <row r="51641" spans="1:141" s="116" customFormat="1">
      <c r="A51641" s="136"/>
      <c r="CM51641" s="111"/>
      <c r="CQ51641" s="111"/>
      <c r="EF51641"/>
      <c r="EG51641"/>
      <c r="EH51641"/>
      <c r="EI51641"/>
      <c r="EJ51641"/>
      <c r="EK51641"/>
    </row>
    <row r="51642" spans="1:141" s="116" customFormat="1">
      <c r="A51642" s="136"/>
      <c r="CM51642" s="111"/>
      <c r="CQ51642" s="111"/>
      <c r="EF51642"/>
      <c r="EG51642"/>
      <c r="EH51642"/>
      <c r="EI51642"/>
      <c r="EJ51642"/>
      <c r="EK51642"/>
    </row>
    <row r="51643" spans="1:141" s="116" customFormat="1">
      <c r="A51643" s="136"/>
      <c r="CM51643" s="111"/>
      <c r="CQ51643" s="111"/>
      <c r="EF51643"/>
      <c r="EG51643"/>
      <c r="EH51643"/>
      <c r="EI51643"/>
      <c r="EJ51643"/>
      <c r="EK51643"/>
    </row>
    <row r="51644" spans="1:141" s="116" customFormat="1">
      <c r="A51644" s="136"/>
      <c r="CM51644" s="111"/>
      <c r="CQ51644" s="111"/>
      <c r="EF51644"/>
      <c r="EG51644"/>
      <c r="EH51644"/>
      <c r="EI51644"/>
      <c r="EJ51644"/>
      <c r="EK51644"/>
    </row>
    <row r="51645" spans="1:141" s="116" customFormat="1">
      <c r="A51645" s="136"/>
      <c r="CM51645" s="111"/>
      <c r="CQ51645" s="111"/>
      <c r="EF51645"/>
      <c r="EG51645"/>
      <c r="EH51645"/>
      <c r="EI51645"/>
      <c r="EJ51645"/>
      <c r="EK51645"/>
    </row>
    <row r="51646" spans="1:141" s="116" customFormat="1">
      <c r="A51646" s="136"/>
      <c r="CM51646" s="111"/>
      <c r="CQ51646" s="111"/>
      <c r="EF51646"/>
      <c r="EG51646"/>
      <c r="EH51646"/>
      <c r="EI51646"/>
      <c r="EJ51646"/>
      <c r="EK51646"/>
    </row>
    <row r="51647" spans="1:141" s="116" customFormat="1">
      <c r="A51647" s="136"/>
      <c r="CM51647" s="111"/>
      <c r="CQ51647" s="111"/>
      <c r="EF51647"/>
      <c r="EG51647"/>
      <c r="EH51647"/>
      <c r="EI51647"/>
      <c r="EJ51647"/>
      <c r="EK51647"/>
    </row>
    <row r="51648" spans="1:141" s="116" customFormat="1">
      <c r="A51648" s="136"/>
      <c r="CM51648" s="111"/>
      <c r="CQ51648" s="111"/>
      <c r="EF51648"/>
      <c r="EG51648"/>
      <c r="EH51648"/>
      <c r="EI51648"/>
      <c r="EJ51648"/>
      <c r="EK51648"/>
    </row>
    <row r="51649" spans="1:141" s="116" customFormat="1">
      <c r="A51649" s="136"/>
      <c r="CM51649" s="111"/>
      <c r="CQ51649" s="111"/>
      <c r="EF51649"/>
      <c r="EG51649"/>
      <c r="EH51649"/>
      <c r="EI51649"/>
      <c r="EJ51649"/>
      <c r="EK51649"/>
    </row>
    <row r="51650" spans="1:141" s="116" customFormat="1">
      <c r="A51650" s="136"/>
      <c r="CM51650" s="111"/>
      <c r="CQ51650" s="111"/>
      <c r="EF51650"/>
      <c r="EG51650"/>
      <c r="EH51650"/>
      <c r="EI51650"/>
      <c r="EJ51650"/>
      <c r="EK51650"/>
    </row>
    <row r="51651" spans="1:141" s="116" customFormat="1">
      <c r="A51651" s="136"/>
      <c r="CM51651" s="111"/>
      <c r="CQ51651" s="111"/>
      <c r="EF51651"/>
      <c r="EG51651"/>
      <c r="EH51651"/>
      <c r="EI51651"/>
      <c r="EJ51651"/>
      <c r="EK51651"/>
    </row>
    <row r="51652" spans="1:141" s="116" customFormat="1">
      <c r="A51652" s="136"/>
      <c r="CM51652" s="111"/>
      <c r="CQ51652" s="111"/>
      <c r="EF51652"/>
      <c r="EG51652"/>
      <c r="EH51652"/>
      <c r="EI51652"/>
      <c r="EJ51652"/>
      <c r="EK51652"/>
    </row>
    <row r="51653" spans="1:141" s="116" customFormat="1">
      <c r="A51653" s="136"/>
      <c r="CM51653" s="111"/>
      <c r="CQ51653" s="111"/>
      <c r="EF51653"/>
      <c r="EG51653"/>
      <c r="EH51653"/>
      <c r="EI51653"/>
      <c r="EJ51653"/>
      <c r="EK51653"/>
    </row>
    <row r="51654" spans="1:141" s="116" customFormat="1">
      <c r="A51654" s="136"/>
      <c r="CM51654" s="111"/>
      <c r="CQ51654" s="111"/>
      <c r="EF51654"/>
      <c r="EG51654"/>
      <c r="EH51654"/>
      <c r="EI51654"/>
      <c r="EJ51654"/>
      <c r="EK51654"/>
    </row>
    <row r="51655" spans="1:141" s="116" customFormat="1">
      <c r="A51655" s="136"/>
      <c r="CM51655" s="111"/>
      <c r="CQ51655" s="111"/>
      <c r="EF51655"/>
      <c r="EG51655"/>
      <c r="EH51655"/>
      <c r="EI51655"/>
      <c r="EJ51655"/>
      <c r="EK51655"/>
    </row>
    <row r="51656" spans="1:141" s="116" customFormat="1">
      <c r="A51656" s="136"/>
      <c r="CM51656" s="111"/>
      <c r="CQ51656" s="111"/>
      <c r="EF51656"/>
      <c r="EG51656"/>
      <c r="EH51656"/>
      <c r="EI51656"/>
      <c r="EJ51656"/>
      <c r="EK51656"/>
    </row>
    <row r="51657" spans="1:141" s="116" customFormat="1">
      <c r="A51657" s="136"/>
      <c r="CM51657" s="111"/>
      <c r="CQ51657" s="111"/>
      <c r="EF51657"/>
      <c r="EG51657"/>
      <c r="EH51657"/>
      <c r="EI51657"/>
      <c r="EJ51657"/>
      <c r="EK51657"/>
    </row>
    <row r="51658" spans="1:141" s="116" customFormat="1">
      <c r="A51658" s="136"/>
      <c r="CM51658" s="111"/>
      <c r="CQ51658" s="111"/>
      <c r="EF51658"/>
      <c r="EG51658"/>
      <c r="EH51658"/>
      <c r="EI51658"/>
      <c r="EJ51658"/>
      <c r="EK51658"/>
    </row>
    <row r="51659" spans="1:141" s="116" customFormat="1">
      <c r="A51659" s="136"/>
      <c r="CM51659" s="111"/>
      <c r="CQ51659" s="111"/>
      <c r="EF51659"/>
      <c r="EG51659"/>
      <c r="EH51659"/>
      <c r="EI51659"/>
      <c r="EJ51659"/>
      <c r="EK51659"/>
    </row>
    <row r="51660" spans="1:141" s="116" customFormat="1">
      <c r="A51660" s="136"/>
      <c r="CM51660" s="111"/>
      <c r="CQ51660" s="111"/>
      <c r="EF51660"/>
      <c r="EG51660"/>
      <c r="EH51660"/>
      <c r="EI51660"/>
      <c r="EJ51660"/>
      <c r="EK51660"/>
    </row>
    <row r="51661" spans="1:141" s="116" customFormat="1">
      <c r="A51661" s="136"/>
      <c r="CM51661" s="111"/>
      <c r="CQ51661" s="111"/>
      <c r="EF51661"/>
      <c r="EG51661"/>
      <c r="EH51661"/>
      <c r="EI51661"/>
      <c r="EJ51661"/>
      <c r="EK51661"/>
    </row>
    <row r="51662" spans="1:141" s="116" customFormat="1">
      <c r="A51662" s="136"/>
      <c r="CM51662" s="111"/>
      <c r="CQ51662" s="111"/>
      <c r="EF51662"/>
      <c r="EG51662"/>
      <c r="EH51662"/>
      <c r="EI51662"/>
      <c r="EJ51662"/>
      <c r="EK51662"/>
    </row>
    <row r="51663" spans="1:141" s="116" customFormat="1">
      <c r="A51663" s="136"/>
      <c r="CM51663" s="111"/>
      <c r="CQ51663" s="111"/>
      <c r="EF51663"/>
      <c r="EG51663"/>
      <c r="EH51663"/>
      <c r="EI51663"/>
      <c r="EJ51663"/>
      <c r="EK51663"/>
    </row>
    <row r="51664" spans="1:141" s="116" customFormat="1">
      <c r="A51664" s="136"/>
      <c r="CM51664" s="111"/>
      <c r="CQ51664" s="111"/>
      <c r="EF51664"/>
      <c r="EG51664"/>
      <c r="EH51664"/>
      <c r="EI51664"/>
      <c r="EJ51664"/>
      <c r="EK51664"/>
    </row>
    <row r="51665" spans="1:141" s="116" customFormat="1">
      <c r="A51665" s="136"/>
      <c r="CM51665" s="111"/>
      <c r="CQ51665" s="111"/>
      <c r="EF51665"/>
      <c r="EG51665"/>
      <c r="EH51665"/>
      <c r="EI51665"/>
      <c r="EJ51665"/>
      <c r="EK51665"/>
    </row>
    <row r="51666" spans="1:141" s="116" customFormat="1">
      <c r="A51666" s="136"/>
      <c r="CM51666" s="111"/>
      <c r="CQ51666" s="111"/>
      <c r="EF51666"/>
      <c r="EG51666"/>
      <c r="EH51666"/>
      <c r="EI51666"/>
      <c r="EJ51666"/>
      <c r="EK51666"/>
    </row>
    <row r="51667" spans="1:141" s="116" customFormat="1">
      <c r="A51667" s="136"/>
      <c r="CM51667" s="111"/>
      <c r="CQ51667" s="111"/>
      <c r="EF51667"/>
      <c r="EG51667"/>
      <c r="EH51667"/>
      <c r="EI51667"/>
      <c r="EJ51667"/>
      <c r="EK51667"/>
    </row>
    <row r="51668" spans="1:141" s="116" customFormat="1">
      <c r="A51668" s="136"/>
      <c r="CM51668" s="111"/>
      <c r="CQ51668" s="111"/>
      <c r="EF51668"/>
      <c r="EG51668"/>
      <c r="EH51668"/>
      <c r="EI51668"/>
      <c r="EJ51668"/>
      <c r="EK51668"/>
    </row>
    <row r="51669" spans="1:141" s="116" customFormat="1">
      <c r="A51669" s="136"/>
      <c r="CM51669" s="111"/>
      <c r="CQ51669" s="111"/>
      <c r="EF51669"/>
      <c r="EG51669"/>
      <c r="EH51669"/>
      <c r="EI51669"/>
      <c r="EJ51669"/>
      <c r="EK51669"/>
    </row>
    <row r="51670" spans="1:141" s="116" customFormat="1">
      <c r="A51670" s="136"/>
      <c r="CM51670" s="111"/>
      <c r="CQ51670" s="111"/>
      <c r="EF51670"/>
      <c r="EG51670"/>
      <c r="EH51670"/>
      <c r="EI51670"/>
      <c r="EJ51670"/>
      <c r="EK51670"/>
    </row>
    <row r="51671" spans="1:141" s="116" customFormat="1">
      <c r="A51671" s="136"/>
      <c r="CM51671" s="111"/>
      <c r="CQ51671" s="111"/>
      <c r="EF51671"/>
      <c r="EG51671"/>
      <c r="EH51671"/>
      <c r="EI51671"/>
      <c r="EJ51671"/>
      <c r="EK51671"/>
    </row>
    <row r="51672" spans="1:141" s="116" customFormat="1">
      <c r="A51672" s="136"/>
      <c r="CM51672" s="111"/>
      <c r="CQ51672" s="111"/>
      <c r="EF51672"/>
      <c r="EG51672"/>
      <c r="EH51672"/>
      <c r="EI51672"/>
      <c r="EJ51672"/>
      <c r="EK51672"/>
    </row>
    <row r="51673" spans="1:141" s="116" customFormat="1">
      <c r="A51673" s="136"/>
      <c r="CM51673" s="111"/>
      <c r="CQ51673" s="111"/>
      <c r="EF51673"/>
      <c r="EG51673"/>
      <c r="EH51673"/>
      <c r="EI51673"/>
      <c r="EJ51673"/>
      <c r="EK51673"/>
    </row>
    <row r="51674" spans="1:141" s="116" customFormat="1">
      <c r="A51674" s="136"/>
      <c r="CM51674" s="111"/>
      <c r="CQ51674" s="111"/>
      <c r="EF51674"/>
      <c r="EG51674"/>
      <c r="EH51674"/>
      <c r="EI51674"/>
      <c r="EJ51674"/>
      <c r="EK51674"/>
    </row>
    <row r="51675" spans="1:141" s="116" customFormat="1">
      <c r="A51675" s="136"/>
      <c r="CM51675" s="111"/>
      <c r="CQ51675" s="111"/>
      <c r="EF51675"/>
      <c r="EG51675"/>
      <c r="EH51675"/>
      <c r="EI51675"/>
      <c r="EJ51675"/>
      <c r="EK51675"/>
    </row>
    <row r="51676" spans="1:141" s="116" customFormat="1">
      <c r="A51676" s="136"/>
      <c r="CM51676" s="111"/>
      <c r="CQ51676" s="111"/>
      <c r="EF51676"/>
      <c r="EG51676"/>
      <c r="EH51676"/>
      <c r="EI51676"/>
      <c r="EJ51676"/>
      <c r="EK51676"/>
    </row>
    <row r="51677" spans="1:141" s="116" customFormat="1">
      <c r="A51677" s="136"/>
      <c r="CM51677" s="111"/>
      <c r="CQ51677" s="111"/>
      <c r="EF51677"/>
      <c r="EG51677"/>
      <c r="EH51677"/>
      <c r="EI51677"/>
      <c r="EJ51677"/>
      <c r="EK51677"/>
    </row>
    <row r="51678" spans="1:141" s="116" customFormat="1">
      <c r="A51678" s="136"/>
      <c r="CM51678" s="111"/>
      <c r="CQ51678" s="111"/>
      <c r="EF51678"/>
      <c r="EG51678"/>
      <c r="EH51678"/>
      <c r="EI51678"/>
      <c r="EJ51678"/>
      <c r="EK51678"/>
    </row>
    <row r="51679" spans="1:141" s="116" customFormat="1">
      <c r="A51679" s="136"/>
      <c r="CM51679" s="111"/>
      <c r="CQ51679" s="111"/>
      <c r="EF51679"/>
      <c r="EG51679"/>
      <c r="EH51679"/>
      <c r="EI51679"/>
      <c r="EJ51679"/>
      <c r="EK51679"/>
    </row>
    <row r="51680" spans="1:141" s="116" customFormat="1">
      <c r="A51680" s="136"/>
      <c r="CM51680" s="111"/>
      <c r="CQ51680" s="111"/>
      <c r="EF51680"/>
      <c r="EG51680"/>
      <c r="EH51680"/>
      <c r="EI51680"/>
      <c r="EJ51680"/>
      <c r="EK51680"/>
    </row>
    <row r="51681" spans="1:141" s="116" customFormat="1">
      <c r="A51681" s="136"/>
      <c r="CM51681" s="111"/>
      <c r="CQ51681" s="111"/>
      <c r="EF51681"/>
      <c r="EG51681"/>
      <c r="EH51681"/>
      <c r="EI51681"/>
      <c r="EJ51681"/>
      <c r="EK51681"/>
    </row>
    <row r="51682" spans="1:141" s="116" customFormat="1">
      <c r="A51682" s="136"/>
      <c r="CM51682" s="111"/>
      <c r="CQ51682" s="111"/>
      <c r="EF51682"/>
      <c r="EG51682"/>
      <c r="EH51682"/>
      <c r="EI51682"/>
      <c r="EJ51682"/>
      <c r="EK51682"/>
    </row>
    <row r="51683" spans="1:141" s="116" customFormat="1">
      <c r="A51683" s="136"/>
      <c r="CM51683" s="111"/>
      <c r="CQ51683" s="111"/>
      <c r="EF51683"/>
      <c r="EG51683"/>
      <c r="EH51683"/>
      <c r="EI51683"/>
      <c r="EJ51683"/>
      <c r="EK51683"/>
    </row>
    <row r="51684" spans="1:141" s="116" customFormat="1">
      <c r="A51684" s="136"/>
      <c r="CM51684" s="111"/>
      <c r="CQ51684" s="111"/>
      <c r="EF51684"/>
      <c r="EG51684"/>
      <c r="EH51684"/>
      <c r="EI51684"/>
      <c r="EJ51684"/>
      <c r="EK51684"/>
    </row>
    <row r="51685" spans="1:141" s="116" customFormat="1">
      <c r="A51685" s="136"/>
      <c r="CM51685" s="111"/>
      <c r="CQ51685" s="111"/>
      <c r="EF51685"/>
      <c r="EG51685"/>
      <c r="EH51685"/>
      <c r="EI51685"/>
      <c r="EJ51685"/>
      <c r="EK51685"/>
    </row>
    <row r="51686" spans="1:141" s="116" customFormat="1">
      <c r="A51686" s="136"/>
      <c r="CM51686" s="111"/>
      <c r="CQ51686" s="111"/>
      <c r="EF51686"/>
      <c r="EG51686"/>
      <c r="EH51686"/>
      <c r="EI51686"/>
      <c r="EJ51686"/>
      <c r="EK51686"/>
    </row>
    <row r="51687" spans="1:141" s="116" customFormat="1">
      <c r="A51687" s="136"/>
      <c r="CM51687" s="111"/>
      <c r="CQ51687" s="111"/>
      <c r="EF51687"/>
      <c r="EG51687"/>
      <c r="EH51687"/>
      <c r="EI51687"/>
      <c r="EJ51687"/>
      <c r="EK51687"/>
    </row>
    <row r="51688" spans="1:141" s="116" customFormat="1">
      <c r="A51688" s="136"/>
      <c r="CM51688" s="111"/>
      <c r="CQ51688" s="111"/>
      <c r="EF51688"/>
      <c r="EG51688"/>
      <c r="EH51688"/>
      <c r="EI51688"/>
      <c r="EJ51688"/>
      <c r="EK51688"/>
    </row>
    <row r="51689" spans="1:141" s="116" customFormat="1">
      <c r="A51689" s="136"/>
      <c r="CM51689" s="111"/>
      <c r="CQ51689" s="111"/>
      <c r="EF51689"/>
      <c r="EG51689"/>
      <c r="EH51689"/>
      <c r="EI51689"/>
      <c r="EJ51689"/>
      <c r="EK51689"/>
    </row>
    <row r="51690" spans="1:141" s="116" customFormat="1">
      <c r="A51690" s="136"/>
      <c r="CM51690" s="111"/>
      <c r="CQ51690" s="111"/>
      <c r="EF51690"/>
      <c r="EG51690"/>
      <c r="EH51690"/>
      <c r="EI51690"/>
      <c r="EJ51690"/>
      <c r="EK51690"/>
    </row>
    <row r="51691" spans="1:141" s="116" customFormat="1">
      <c r="A51691" s="136"/>
      <c r="CM51691" s="111"/>
      <c r="CQ51691" s="111"/>
      <c r="EF51691"/>
      <c r="EG51691"/>
      <c r="EH51691"/>
      <c r="EI51691"/>
      <c r="EJ51691"/>
      <c r="EK51691"/>
    </row>
    <row r="51692" spans="1:141" s="116" customFormat="1">
      <c r="A51692" s="136"/>
      <c r="CM51692" s="111"/>
      <c r="CQ51692" s="111"/>
      <c r="EF51692"/>
      <c r="EG51692"/>
      <c r="EH51692"/>
      <c r="EI51692"/>
      <c r="EJ51692"/>
      <c r="EK51692"/>
    </row>
    <row r="51693" spans="1:141" s="116" customFormat="1">
      <c r="A51693" s="136"/>
      <c r="CM51693" s="111"/>
      <c r="CQ51693" s="111"/>
      <c r="EF51693"/>
      <c r="EG51693"/>
      <c r="EH51693"/>
      <c r="EI51693"/>
      <c r="EJ51693"/>
      <c r="EK51693"/>
    </row>
    <row r="51694" spans="1:141" s="116" customFormat="1">
      <c r="A51694" s="136"/>
      <c r="CM51694" s="111"/>
      <c r="CQ51694" s="111"/>
      <c r="EF51694"/>
      <c r="EG51694"/>
      <c r="EH51694"/>
      <c r="EI51694"/>
      <c r="EJ51694"/>
      <c r="EK51694"/>
    </row>
    <row r="51695" spans="1:141" s="116" customFormat="1">
      <c r="A51695" s="136"/>
      <c r="CM51695" s="111"/>
      <c r="CQ51695" s="111"/>
      <c r="EF51695"/>
      <c r="EG51695"/>
      <c r="EH51695"/>
      <c r="EI51695"/>
      <c r="EJ51695"/>
      <c r="EK51695"/>
    </row>
    <row r="51696" spans="1:141" s="116" customFormat="1">
      <c r="A51696" s="136"/>
      <c r="CM51696" s="111"/>
      <c r="CQ51696" s="111"/>
      <c r="EF51696"/>
      <c r="EG51696"/>
      <c r="EH51696"/>
      <c r="EI51696"/>
      <c r="EJ51696"/>
      <c r="EK51696"/>
    </row>
    <row r="51697" spans="1:141" s="116" customFormat="1">
      <c r="A51697" s="136"/>
      <c r="CM51697" s="111"/>
      <c r="CQ51697" s="111"/>
      <c r="EF51697"/>
      <c r="EG51697"/>
      <c r="EH51697"/>
      <c r="EI51697"/>
      <c r="EJ51697"/>
      <c r="EK51697"/>
    </row>
    <row r="51698" spans="1:141" s="116" customFormat="1">
      <c r="A51698" s="136"/>
      <c r="CM51698" s="111"/>
      <c r="CQ51698" s="111"/>
      <c r="EF51698"/>
      <c r="EG51698"/>
      <c r="EH51698"/>
      <c r="EI51698"/>
      <c r="EJ51698"/>
      <c r="EK51698"/>
    </row>
    <row r="51699" spans="1:141" s="116" customFormat="1">
      <c r="A51699" s="136"/>
      <c r="CM51699" s="111"/>
      <c r="CQ51699" s="111"/>
      <c r="EF51699"/>
      <c r="EG51699"/>
      <c r="EH51699"/>
      <c r="EI51699"/>
      <c r="EJ51699"/>
      <c r="EK51699"/>
    </row>
    <row r="51700" spans="1:141" s="116" customFormat="1">
      <c r="A51700" s="136"/>
      <c r="CM51700" s="111"/>
      <c r="CQ51700" s="111"/>
      <c r="EF51700"/>
      <c r="EG51700"/>
      <c r="EH51700"/>
      <c r="EI51700"/>
      <c r="EJ51700"/>
      <c r="EK51700"/>
    </row>
    <row r="51701" spans="1:141" s="116" customFormat="1">
      <c r="A51701" s="136"/>
      <c r="CM51701" s="111"/>
      <c r="CQ51701" s="111"/>
      <c r="EF51701"/>
      <c r="EG51701"/>
      <c r="EH51701"/>
      <c r="EI51701"/>
      <c r="EJ51701"/>
      <c r="EK51701"/>
    </row>
    <row r="51702" spans="1:141" s="116" customFormat="1">
      <c r="A51702" s="136"/>
      <c r="CM51702" s="111"/>
      <c r="CQ51702" s="111"/>
      <c r="EF51702"/>
      <c r="EG51702"/>
      <c r="EH51702"/>
      <c r="EI51702"/>
      <c r="EJ51702"/>
      <c r="EK51702"/>
    </row>
    <row r="51703" spans="1:141" s="116" customFormat="1">
      <c r="A51703" s="136"/>
      <c r="CM51703" s="111"/>
      <c r="CQ51703" s="111"/>
      <c r="EF51703"/>
      <c r="EG51703"/>
      <c r="EH51703"/>
      <c r="EI51703"/>
      <c r="EJ51703"/>
      <c r="EK51703"/>
    </row>
    <row r="51704" spans="1:141" s="116" customFormat="1">
      <c r="A51704" s="136"/>
      <c r="CM51704" s="111"/>
      <c r="CQ51704" s="111"/>
      <c r="EF51704"/>
      <c r="EG51704"/>
      <c r="EH51704"/>
      <c r="EI51704"/>
      <c r="EJ51704"/>
      <c r="EK51704"/>
    </row>
    <row r="51705" spans="1:141" s="116" customFormat="1">
      <c r="A51705" s="136"/>
      <c r="CM51705" s="111"/>
      <c r="CQ51705" s="111"/>
      <c r="EF51705"/>
      <c r="EG51705"/>
      <c r="EH51705"/>
      <c r="EI51705"/>
      <c r="EJ51705"/>
      <c r="EK51705"/>
    </row>
    <row r="51706" spans="1:141" s="116" customFormat="1">
      <c r="A51706" s="136"/>
      <c r="CM51706" s="111"/>
      <c r="CQ51706" s="111"/>
      <c r="EF51706"/>
      <c r="EG51706"/>
      <c r="EH51706"/>
      <c r="EI51706"/>
      <c r="EJ51706"/>
      <c r="EK51706"/>
    </row>
    <row r="51707" spans="1:141" s="116" customFormat="1">
      <c r="A51707" s="136"/>
      <c r="CM51707" s="111"/>
      <c r="CQ51707" s="111"/>
      <c r="EF51707"/>
      <c r="EG51707"/>
      <c r="EH51707"/>
      <c r="EI51707"/>
      <c r="EJ51707"/>
      <c r="EK51707"/>
    </row>
    <row r="51708" spans="1:141" s="116" customFormat="1">
      <c r="A51708" s="136"/>
      <c r="CM51708" s="111"/>
      <c r="CQ51708" s="111"/>
      <c r="EF51708"/>
      <c r="EG51708"/>
      <c r="EH51708"/>
      <c r="EI51708"/>
      <c r="EJ51708"/>
      <c r="EK51708"/>
    </row>
    <row r="51709" spans="1:141" s="116" customFormat="1">
      <c r="A51709" s="136"/>
      <c r="CM51709" s="111"/>
      <c r="CQ51709" s="111"/>
      <c r="EF51709"/>
      <c r="EG51709"/>
      <c r="EH51709"/>
      <c r="EI51709"/>
      <c r="EJ51709"/>
      <c r="EK51709"/>
    </row>
    <row r="51710" spans="1:141" s="116" customFormat="1">
      <c r="A51710" s="136"/>
      <c r="CM51710" s="111"/>
      <c r="CQ51710" s="111"/>
      <c r="EF51710"/>
      <c r="EG51710"/>
      <c r="EH51710"/>
      <c r="EI51710"/>
      <c r="EJ51710"/>
      <c r="EK51710"/>
    </row>
    <row r="51711" spans="1:141" s="116" customFormat="1">
      <c r="A51711" s="136"/>
      <c r="CM51711" s="111"/>
      <c r="CQ51711" s="111"/>
      <c r="EF51711"/>
      <c r="EG51711"/>
      <c r="EH51711"/>
      <c r="EI51711"/>
      <c r="EJ51711"/>
      <c r="EK51711"/>
    </row>
    <row r="51712" spans="1:141" s="116" customFormat="1">
      <c r="A51712" s="136"/>
      <c r="CM51712" s="111"/>
      <c r="CQ51712" s="111"/>
      <c r="EF51712"/>
      <c r="EG51712"/>
      <c r="EH51712"/>
      <c r="EI51712"/>
      <c r="EJ51712"/>
      <c r="EK51712"/>
    </row>
    <row r="51713" spans="1:141" s="116" customFormat="1">
      <c r="A51713" s="136"/>
      <c r="CM51713" s="111"/>
      <c r="CQ51713" s="111"/>
      <c r="EF51713"/>
      <c r="EG51713"/>
      <c r="EH51713"/>
      <c r="EI51713"/>
      <c r="EJ51713"/>
      <c r="EK51713"/>
    </row>
    <row r="51714" spans="1:141" s="116" customFormat="1">
      <c r="A51714" s="136"/>
      <c r="CM51714" s="111"/>
      <c r="CQ51714" s="111"/>
      <c r="EF51714"/>
      <c r="EG51714"/>
      <c r="EH51714"/>
      <c r="EI51714"/>
      <c r="EJ51714"/>
      <c r="EK51714"/>
    </row>
    <row r="51715" spans="1:141" s="116" customFormat="1">
      <c r="A51715" s="136"/>
      <c r="CM51715" s="111"/>
      <c r="CQ51715" s="111"/>
      <c r="EF51715"/>
      <c r="EG51715"/>
      <c r="EH51715"/>
      <c r="EI51715"/>
      <c r="EJ51715"/>
      <c r="EK51715"/>
    </row>
    <row r="51716" spans="1:141" s="116" customFormat="1">
      <c r="A51716" s="136"/>
      <c r="CM51716" s="111"/>
      <c r="CQ51716" s="111"/>
      <c r="EF51716"/>
      <c r="EG51716"/>
      <c r="EH51716"/>
      <c r="EI51716"/>
      <c r="EJ51716"/>
      <c r="EK51716"/>
    </row>
    <row r="51717" spans="1:141" s="116" customFormat="1">
      <c r="A51717" s="136"/>
      <c r="CM51717" s="111"/>
      <c r="CQ51717" s="111"/>
      <c r="EF51717"/>
      <c r="EG51717"/>
      <c r="EH51717"/>
      <c r="EI51717"/>
      <c r="EJ51717"/>
      <c r="EK51717"/>
    </row>
    <row r="51718" spans="1:141" s="116" customFormat="1">
      <c r="A51718" s="136"/>
      <c r="CM51718" s="111"/>
      <c r="CQ51718" s="111"/>
      <c r="EF51718"/>
      <c r="EG51718"/>
      <c r="EH51718"/>
      <c r="EI51718"/>
      <c r="EJ51718"/>
      <c r="EK51718"/>
    </row>
    <row r="51719" spans="1:141" s="116" customFormat="1">
      <c r="A51719" s="136"/>
      <c r="CM51719" s="111"/>
      <c r="CQ51719" s="111"/>
      <c r="EF51719"/>
      <c r="EG51719"/>
      <c r="EH51719"/>
      <c r="EI51719"/>
      <c r="EJ51719"/>
      <c r="EK51719"/>
    </row>
    <row r="51720" spans="1:141" s="116" customFormat="1">
      <c r="A51720" s="136"/>
      <c r="CM51720" s="111"/>
      <c r="CQ51720" s="111"/>
      <c r="EF51720"/>
      <c r="EG51720"/>
      <c r="EH51720"/>
      <c r="EI51720"/>
      <c r="EJ51720"/>
      <c r="EK51720"/>
    </row>
    <row r="51721" spans="1:141" s="116" customFormat="1">
      <c r="A51721" s="136"/>
      <c r="CM51721" s="111"/>
      <c r="CQ51721" s="111"/>
      <c r="EF51721"/>
      <c r="EG51721"/>
      <c r="EH51721"/>
      <c r="EI51721"/>
      <c r="EJ51721"/>
      <c r="EK51721"/>
    </row>
    <row r="51722" spans="1:141" s="116" customFormat="1">
      <c r="A51722" s="136"/>
      <c r="CM51722" s="111"/>
      <c r="CQ51722" s="111"/>
      <c r="EF51722"/>
      <c r="EG51722"/>
      <c r="EH51722"/>
      <c r="EI51722"/>
      <c r="EJ51722"/>
      <c r="EK51722"/>
    </row>
    <row r="51723" spans="1:141" s="116" customFormat="1">
      <c r="A51723" s="136"/>
      <c r="CM51723" s="111"/>
      <c r="CQ51723" s="111"/>
      <c r="EF51723"/>
      <c r="EG51723"/>
      <c r="EH51723"/>
      <c r="EI51723"/>
      <c r="EJ51723"/>
      <c r="EK51723"/>
    </row>
    <row r="51724" spans="1:141" s="116" customFormat="1">
      <c r="A51724" s="136"/>
      <c r="CM51724" s="111"/>
      <c r="CQ51724" s="111"/>
      <c r="EF51724"/>
      <c r="EG51724"/>
      <c r="EH51724"/>
      <c r="EI51724"/>
      <c r="EJ51724"/>
      <c r="EK51724"/>
    </row>
    <row r="51725" spans="1:141" s="116" customFormat="1">
      <c r="A51725" s="136"/>
      <c r="CM51725" s="111"/>
      <c r="CQ51725" s="111"/>
      <c r="EF51725"/>
      <c r="EG51725"/>
      <c r="EH51725"/>
      <c r="EI51725"/>
      <c r="EJ51725"/>
      <c r="EK51725"/>
    </row>
    <row r="51726" spans="1:141" s="116" customFormat="1">
      <c r="A51726" s="136"/>
      <c r="CM51726" s="111"/>
      <c r="CQ51726" s="111"/>
      <c r="EF51726"/>
      <c r="EG51726"/>
      <c r="EH51726"/>
      <c r="EI51726"/>
      <c r="EJ51726"/>
      <c r="EK51726"/>
    </row>
    <row r="51727" spans="1:141" s="116" customFormat="1">
      <c r="A51727" s="136"/>
      <c r="CM51727" s="111"/>
      <c r="CQ51727" s="111"/>
      <c r="EF51727"/>
      <c r="EG51727"/>
      <c r="EH51727"/>
      <c r="EI51727"/>
      <c r="EJ51727"/>
      <c r="EK51727"/>
    </row>
    <row r="51728" spans="1:141" s="116" customFormat="1">
      <c r="A51728" s="136"/>
      <c r="CM51728" s="111"/>
      <c r="CQ51728" s="111"/>
      <c r="EF51728"/>
      <c r="EG51728"/>
      <c r="EH51728"/>
      <c r="EI51728"/>
      <c r="EJ51728"/>
      <c r="EK51728"/>
    </row>
    <row r="51729" spans="1:141" s="116" customFormat="1">
      <c r="A51729" s="136"/>
      <c r="CM51729" s="111"/>
      <c r="CQ51729" s="111"/>
      <c r="EF51729"/>
      <c r="EG51729"/>
      <c r="EH51729"/>
      <c r="EI51729"/>
      <c r="EJ51729"/>
      <c r="EK51729"/>
    </row>
    <row r="51730" spans="1:141" s="116" customFormat="1">
      <c r="A51730" s="136"/>
      <c r="CM51730" s="111"/>
      <c r="CQ51730" s="111"/>
      <c r="EF51730"/>
      <c r="EG51730"/>
      <c r="EH51730"/>
      <c r="EI51730"/>
      <c r="EJ51730"/>
      <c r="EK51730"/>
    </row>
    <row r="51731" spans="1:141" s="116" customFormat="1">
      <c r="A51731" s="136"/>
      <c r="CM51731" s="111"/>
      <c r="CQ51731" s="111"/>
      <c r="EF51731"/>
      <c r="EG51731"/>
      <c r="EH51731"/>
      <c r="EI51731"/>
      <c r="EJ51731"/>
      <c r="EK51731"/>
    </row>
    <row r="51732" spans="1:141" s="116" customFormat="1">
      <c r="A51732" s="136"/>
      <c r="CM51732" s="111"/>
      <c r="CQ51732" s="111"/>
      <c r="EF51732"/>
      <c r="EG51732"/>
      <c r="EH51732"/>
      <c r="EI51732"/>
      <c r="EJ51732"/>
      <c r="EK51732"/>
    </row>
    <row r="51733" spans="1:141" s="116" customFormat="1">
      <c r="A51733" s="136"/>
      <c r="CM51733" s="111"/>
      <c r="CQ51733" s="111"/>
      <c r="EF51733"/>
      <c r="EG51733"/>
      <c r="EH51733"/>
      <c r="EI51733"/>
      <c r="EJ51733"/>
      <c r="EK51733"/>
    </row>
    <row r="51734" spans="1:141" s="116" customFormat="1">
      <c r="A51734" s="136"/>
      <c r="CM51734" s="111"/>
      <c r="CQ51734" s="111"/>
      <c r="EF51734"/>
      <c r="EG51734"/>
      <c r="EH51734"/>
      <c r="EI51734"/>
      <c r="EJ51734"/>
      <c r="EK51734"/>
    </row>
    <row r="51735" spans="1:141" s="116" customFormat="1">
      <c r="A51735" s="136"/>
      <c r="CM51735" s="111"/>
      <c r="CQ51735" s="111"/>
      <c r="EF51735"/>
      <c r="EG51735"/>
      <c r="EH51735"/>
      <c r="EI51735"/>
      <c r="EJ51735"/>
      <c r="EK51735"/>
    </row>
    <row r="51736" spans="1:141" s="116" customFormat="1">
      <c r="A51736" s="136"/>
      <c r="CM51736" s="111"/>
      <c r="CQ51736" s="111"/>
      <c r="EF51736"/>
      <c r="EG51736"/>
      <c r="EH51736"/>
      <c r="EI51736"/>
      <c r="EJ51736"/>
      <c r="EK51736"/>
    </row>
    <row r="51737" spans="1:141" s="116" customFormat="1">
      <c r="A51737" s="136"/>
      <c r="CM51737" s="111"/>
      <c r="CQ51737" s="111"/>
      <c r="EF51737"/>
      <c r="EG51737"/>
      <c r="EH51737"/>
      <c r="EI51737"/>
      <c r="EJ51737"/>
      <c r="EK51737"/>
    </row>
    <row r="51738" spans="1:141" s="116" customFormat="1">
      <c r="A51738" s="136"/>
      <c r="CM51738" s="111"/>
      <c r="CQ51738" s="111"/>
      <c r="EF51738"/>
      <c r="EG51738"/>
      <c r="EH51738"/>
      <c r="EI51738"/>
      <c r="EJ51738"/>
      <c r="EK51738"/>
    </row>
    <row r="51739" spans="1:141" s="116" customFormat="1">
      <c r="A51739" s="136"/>
      <c r="CM51739" s="111"/>
      <c r="CQ51739" s="111"/>
      <c r="EF51739"/>
      <c r="EG51739"/>
      <c r="EH51739"/>
      <c r="EI51739"/>
      <c r="EJ51739"/>
      <c r="EK51739"/>
    </row>
    <row r="51740" spans="1:141" s="116" customFormat="1">
      <c r="A51740" s="136"/>
      <c r="CM51740" s="111"/>
      <c r="CQ51740" s="111"/>
      <c r="EF51740"/>
      <c r="EG51740"/>
      <c r="EH51740"/>
      <c r="EI51740"/>
      <c r="EJ51740"/>
      <c r="EK51740"/>
    </row>
    <row r="51741" spans="1:141" s="116" customFormat="1">
      <c r="A51741" s="136"/>
      <c r="CM51741" s="111"/>
      <c r="CQ51741" s="111"/>
      <c r="EF51741"/>
      <c r="EG51741"/>
      <c r="EH51741"/>
      <c r="EI51741"/>
      <c r="EJ51741"/>
      <c r="EK51741"/>
    </row>
    <row r="51742" spans="1:141" s="116" customFormat="1">
      <c r="A51742" s="136"/>
      <c r="CM51742" s="111"/>
      <c r="CQ51742" s="111"/>
      <c r="EF51742"/>
      <c r="EG51742"/>
      <c r="EH51742"/>
      <c r="EI51742"/>
      <c r="EJ51742"/>
      <c r="EK51742"/>
    </row>
    <row r="51743" spans="1:141" s="116" customFormat="1">
      <c r="A51743" s="136"/>
      <c r="CM51743" s="111"/>
      <c r="CQ51743" s="111"/>
      <c r="EF51743"/>
      <c r="EG51743"/>
      <c r="EH51743"/>
      <c r="EI51743"/>
      <c r="EJ51743"/>
      <c r="EK51743"/>
    </row>
    <row r="51744" spans="1:141" s="116" customFormat="1">
      <c r="A51744" s="136"/>
      <c r="CM51744" s="111"/>
      <c r="CQ51744" s="111"/>
      <c r="EF51744"/>
      <c r="EG51744"/>
      <c r="EH51744"/>
      <c r="EI51744"/>
      <c r="EJ51744"/>
      <c r="EK51744"/>
    </row>
    <row r="51745" spans="1:141" s="116" customFormat="1">
      <c r="A51745" s="136"/>
      <c r="CM51745" s="111"/>
      <c r="CQ51745" s="111"/>
      <c r="EF51745"/>
      <c r="EG51745"/>
      <c r="EH51745"/>
      <c r="EI51745"/>
      <c r="EJ51745"/>
      <c r="EK51745"/>
    </row>
    <row r="51746" spans="1:141" s="116" customFormat="1">
      <c r="A51746" s="136"/>
      <c r="CM51746" s="111"/>
      <c r="CQ51746" s="111"/>
      <c r="EF51746"/>
      <c r="EG51746"/>
      <c r="EH51746"/>
      <c r="EI51746"/>
      <c r="EJ51746"/>
      <c r="EK51746"/>
    </row>
    <row r="51747" spans="1:141" s="116" customFormat="1">
      <c r="A51747" s="136"/>
      <c r="CM51747" s="111"/>
      <c r="CQ51747" s="111"/>
      <c r="EF51747"/>
      <c r="EG51747"/>
      <c r="EH51747"/>
      <c r="EI51747"/>
      <c r="EJ51747"/>
      <c r="EK51747"/>
    </row>
    <row r="51748" spans="1:141" s="116" customFormat="1">
      <c r="A51748" s="136"/>
      <c r="CM51748" s="111"/>
      <c r="CQ51748" s="111"/>
      <c r="EF51748"/>
      <c r="EG51748"/>
      <c r="EH51748"/>
      <c r="EI51748"/>
      <c r="EJ51748"/>
      <c r="EK51748"/>
    </row>
    <row r="51749" spans="1:141" s="116" customFormat="1">
      <c r="A51749" s="136"/>
      <c r="CM51749" s="111"/>
      <c r="CQ51749" s="111"/>
      <c r="EF51749"/>
      <c r="EG51749"/>
      <c r="EH51749"/>
      <c r="EI51749"/>
      <c r="EJ51749"/>
      <c r="EK51749"/>
    </row>
    <row r="51750" spans="1:141" s="116" customFormat="1">
      <c r="A51750" s="136"/>
      <c r="CM51750" s="111"/>
      <c r="CQ51750" s="111"/>
      <c r="EF51750"/>
      <c r="EG51750"/>
      <c r="EH51750"/>
      <c r="EI51750"/>
      <c r="EJ51750"/>
      <c r="EK51750"/>
    </row>
    <row r="51751" spans="1:141" s="116" customFormat="1">
      <c r="A51751" s="136"/>
      <c r="CM51751" s="111"/>
      <c r="CQ51751" s="111"/>
      <c r="EF51751"/>
      <c r="EG51751"/>
      <c r="EH51751"/>
      <c r="EI51751"/>
      <c r="EJ51751"/>
      <c r="EK51751"/>
    </row>
    <row r="51752" spans="1:141" s="116" customFormat="1">
      <c r="A51752" s="136"/>
      <c r="CM51752" s="111"/>
      <c r="CQ51752" s="111"/>
      <c r="EF51752"/>
      <c r="EG51752"/>
      <c r="EH51752"/>
      <c r="EI51752"/>
      <c r="EJ51752"/>
      <c r="EK51752"/>
    </row>
    <row r="51753" spans="1:141" s="116" customFormat="1">
      <c r="A51753" s="136"/>
      <c r="CM51753" s="111"/>
      <c r="CQ51753" s="111"/>
      <c r="EF51753"/>
      <c r="EG51753"/>
      <c r="EH51753"/>
      <c r="EI51753"/>
      <c r="EJ51753"/>
      <c r="EK51753"/>
    </row>
    <row r="51754" spans="1:141" s="116" customFormat="1">
      <c r="A51754" s="136"/>
      <c r="CM51754" s="111"/>
      <c r="CQ51754" s="111"/>
      <c r="EF51754"/>
      <c r="EG51754"/>
      <c r="EH51754"/>
      <c r="EI51754"/>
      <c r="EJ51754"/>
      <c r="EK51754"/>
    </row>
    <row r="51755" spans="1:141" s="116" customFormat="1">
      <c r="A51755" s="136"/>
      <c r="CM51755" s="111"/>
      <c r="CQ51755" s="111"/>
      <c r="EF51755"/>
      <c r="EG51755"/>
      <c r="EH51755"/>
      <c r="EI51755"/>
      <c r="EJ51755"/>
      <c r="EK51755"/>
    </row>
    <row r="51756" spans="1:141" s="116" customFormat="1">
      <c r="A51756" s="136"/>
      <c r="CM51756" s="111"/>
      <c r="CQ51756" s="111"/>
      <c r="EF51756"/>
      <c r="EG51756"/>
      <c r="EH51756"/>
      <c r="EI51756"/>
      <c r="EJ51756"/>
      <c r="EK51756"/>
    </row>
    <row r="51757" spans="1:141" s="116" customFormat="1">
      <c r="A51757" s="136"/>
      <c r="CM51757" s="111"/>
      <c r="CQ51757" s="111"/>
      <c r="EF51757"/>
      <c r="EG51757"/>
      <c r="EH51757"/>
      <c r="EI51757"/>
      <c r="EJ51757"/>
      <c r="EK51757"/>
    </row>
    <row r="51758" spans="1:141" s="116" customFormat="1">
      <c r="A51758" s="136"/>
      <c r="CM51758" s="111"/>
      <c r="CQ51758" s="111"/>
      <c r="EF51758"/>
      <c r="EG51758"/>
      <c r="EH51758"/>
      <c r="EI51758"/>
      <c r="EJ51758"/>
      <c r="EK51758"/>
    </row>
    <row r="51759" spans="1:141" s="116" customFormat="1">
      <c r="A51759" s="136"/>
      <c r="CM51759" s="111"/>
      <c r="CQ51759" s="111"/>
      <c r="EF51759"/>
      <c r="EG51759"/>
      <c r="EH51759"/>
      <c r="EI51759"/>
      <c r="EJ51759"/>
      <c r="EK51759"/>
    </row>
    <row r="51760" spans="1:141" s="116" customFormat="1">
      <c r="A51760" s="136"/>
      <c r="CM51760" s="111"/>
      <c r="CQ51760" s="111"/>
      <c r="EF51760"/>
      <c r="EG51760"/>
      <c r="EH51760"/>
      <c r="EI51760"/>
      <c r="EJ51760"/>
      <c r="EK51760"/>
    </row>
    <row r="51761" spans="1:141" s="116" customFormat="1">
      <c r="A51761" s="136"/>
      <c r="CM51761" s="111"/>
      <c r="CQ51761" s="111"/>
      <c r="EF51761"/>
      <c r="EG51761"/>
      <c r="EH51761"/>
      <c r="EI51761"/>
      <c r="EJ51761"/>
      <c r="EK51761"/>
    </row>
    <row r="51762" spans="1:141" s="116" customFormat="1">
      <c r="A51762" s="136"/>
      <c r="CM51762" s="111"/>
      <c r="CQ51762" s="111"/>
      <c r="EF51762"/>
      <c r="EG51762"/>
      <c r="EH51762"/>
      <c r="EI51762"/>
      <c r="EJ51762"/>
      <c r="EK51762"/>
    </row>
    <row r="51763" spans="1:141" s="116" customFormat="1">
      <c r="A51763" s="136"/>
      <c r="CM51763" s="111"/>
      <c r="CQ51763" s="111"/>
      <c r="EF51763"/>
      <c r="EG51763"/>
      <c r="EH51763"/>
      <c r="EI51763"/>
      <c r="EJ51763"/>
      <c r="EK51763"/>
    </row>
    <row r="51764" spans="1:141" s="116" customFormat="1">
      <c r="A51764" s="136"/>
      <c r="CM51764" s="111"/>
      <c r="CQ51764" s="111"/>
      <c r="EF51764"/>
      <c r="EG51764"/>
      <c r="EH51764"/>
      <c r="EI51764"/>
      <c r="EJ51764"/>
      <c r="EK51764"/>
    </row>
    <row r="51765" spans="1:141" s="116" customFormat="1">
      <c r="A51765" s="136"/>
      <c r="CM51765" s="111"/>
      <c r="CQ51765" s="111"/>
      <c r="EF51765"/>
      <c r="EG51765"/>
      <c r="EH51765"/>
      <c r="EI51765"/>
      <c r="EJ51765"/>
      <c r="EK51765"/>
    </row>
    <row r="51766" spans="1:141" s="116" customFormat="1">
      <c r="A51766" s="136"/>
      <c r="CM51766" s="111"/>
      <c r="CQ51766" s="111"/>
      <c r="EF51766"/>
      <c r="EG51766"/>
      <c r="EH51766"/>
      <c r="EI51766"/>
      <c r="EJ51766"/>
      <c r="EK51766"/>
    </row>
    <row r="51767" spans="1:141" s="116" customFormat="1">
      <c r="A51767" s="136"/>
      <c r="CM51767" s="111"/>
      <c r="CQ51767" s="111"/>
      <c r="EF51767"/>
      <c r="EG51767"/>
      <c r="EH51767"/>
      <c r="EI51767"/>
      <c r="EJ51767"/>
      <c r="EK51767"/>
    </row>
    <row r="51768" spans="1:141" s="116" customFormat="1">
      <c r="A51768" s="136"/>
      <c r="CM51768" s="111"/>
      <c r="CQ51768" s="111"/>
      <c r="EF51768"/>
      <c r="EG51768"/>
      <c r="EH51768"/>
      <c r="EI51768"/>
      <c r="EJ51768"/>
      <c r="EK51768"/>
    </row>
    <row r="51769" spans="1:141" s="116" customFormat="1">
      <c r="A51769" s="136"/>
      <c r="CM51769" s="111"/>
      <c r="CQ51769" s="111"/>
      <c r="EF51769"/>
      <c r="EG51769"/>
      <c r="EH51769"/>
      <c r="EI51769"/>
      <c r="EJ51769"/>
      <c r="EK51769"/>
    </row>
    <row r="51770" spans="1:141" s="116" customFormat="1">
      <c r="A51770" s="136"/>
      <c r="CM51770" s="111"/>
      <c r="CQ51770" s="111"/>
      <c r="EF51770"/>
      <c r="EG51770"/>
      <c r="EH51770"/>
      <c r="EI51770"/>
      <c r="EJ51770"/>
      <c r="EK51770"/>
    </row>
    <row r="51771" spans="1:141" s="116" customFormat="1">
      <c r="A51771" s="136"/>
      <c r="CM51771" s="111"/>
      <c r="CQ51771" s="111"/>
      <c r="EF51771"/>
      <c r="EG51771"/>
      <c r="EH51771"/>
      <c r="EI51771"/>
      <c r="EJ51771"/>
      <c r="EK51771"/>
    </row>
    <row r="51772" spans="1:141" s="116" customFormat="1">
      <c r="A51772" s="136"/>
      <c r="CM51772" s="111"/>
      <c r="CQ51772" s="111"/>
      <c r="EF51772"/>
      <c r="EG51772"/>
      <c r="EH51772"/>
      <c r="EI51772"/>
      <c r="EJ51772"/>
      <c r="EK51772"/>
    </row>
    <row r="51773" spans="1:141" s="116" customFormat="1">
      <c r="A51773" s="136"/>
      <c r="CM51773" s="111"/>
      <c r="CQ51773" s="111"/>
      <c r="EF51773"/>
      <c r="EG51773"/>
      <c r="EH51773"/>
      <c r="EI51773"/>
      <c r="EJ51773"/>
      <c r="EK51773"/>
    </row>
    <row r="51774" spans="1:141" s="116" customFormat="1">
      <c r="A51774" s="136"/>
      <c r="CM51774" s="111"/>
      <c r="CQ51774" s="111"/>
      <c r="EF51774"/>
      <c r="EG51774"/>
      <c r="EH51774"/>
      <c r="EI51774"/>
      <c r="EJ51774"/>
      <c r="EK51774"/>
    </row>
    <row r="51775" spans="1:141" s="116" customFormat="1">
      <c r="A51775" s="136"/>
      <c r="CM51775" s="111"/>
      <c r="CQ51775" s="111"/>
      <c r="EF51775"/>
      <c r="EG51775"/>
      <c r="EH51775"/>
      <c r="EI51775"/>
      <c r="EJ51775"/>
      <c r="EK51775"/>
    </row>
    <row r="51776" spans="1:141" s="116" customFormat="1">
      <c r="A51776" s="136"/>
      <c r="CM51776" s="111"/>
      <c r="CQ51776" s="111"/>
      <c r="EF51776"/>
      <c r="EG51776"/>
      <c r="EH51776"/>
      <c r="EI51776"/>
      <c r="EJ51776"/>
      <c r="EK51776"/>
    </row>
    <row r="51777" spans="1:141" s="116" customFormat="1">
      <c r="A51777" s="136"/>
      <c r="CM51777" s="111"/>
      <c r="CQ51777" s="111"/>
      <c r="EF51777"/>
      <c r="EG51777"/>
      <c r="EH51777"/>
      <c r="EI51777"/>
      <c r="EJ51777"/>
      <c r="EK51777"/>
    </row>
    <row r="51778" spans="1:141" s="116" customFormat="1">
      <c r="A51778" s="136"/>
      <c r="CM51778" s="111"/>
      <c r="CQ51778" s="111"/>
      <c r="EF51778"/>
      <c r="EG51778"/>
      <c r="EH51778"/>
      <c r="EI51778"/>
      <c r="EJ51778"/>
      <c r="EK51778"/>
    </row>
    <row r="51779" spans="1:141" s="116" customFormat="1">
      <c r="A51779" s="136"/>
      <c r="CM51779" s="111"/>
      <c r="CQ51779" s="111"/>
      <c r="EF51779"/>
      <c r="EG51779"/>
      <c r="EH51779"/>
      <c r="EI51779"/>
      <c r="EJ51779"/>
      <c r="EK51779"/>
    </row>
    <row r="51780" spans="1:141" s="116" customFormat="1">
      <c r="A51780" s="136"/>
      <c r="CM51780" s="111"/>
      <c r="CQ51780" s="111"/>
      <c r="EF51780"/>
      <c r="EG51780"/>
      <c r="EH51780"/>
      <c r="EI51780"/>
      <c r="EJ51780"/>
      <c r="EK51780"/>
    </row>
    <row r="51781" spans="1:141" s="116" customFormat="1">
      <c r="A51781" s="136"/>
      <c r="CM51781" s="111"/>
      <c r="CQ51781" s="111"/>
      <c r="EF51781"/>
      <c r="EG51781"/>
      <c r="EH51781"/>
      <c r="EI51781"/>
      <c r="EJ51781"/>
      <c r="EK51781"/>
    </row>
    <row r="51782" spans="1:141" s="116" customFormat="1">
      <c r="A51782" s="136"/>
      <c r="CM51782" s="111"/>
      <c r="CQ51782" s="111"/>
      <c r="EF51782"/>
      <c r="EG51782"/>
      <c r="EH51782"/>
      <c r="EI51782"/>
      <c r="EJ51782"/>
      <c r="EK51782"/>
    </row>
    <row r="51783" spans="1:141" s="116" customFormat="1">
      <c r="A51783" s="136"/>
      <c r="CM51783" s="111"/>
      <c r="CQ51783" s="111"/>
      <c r="EF51783"/>
      <c r="EG51783"/>
      <c r="EH51783"/>
      <c r="EI51783"/>
      <c r="EJ51783"/>
      <c r="EK51783"/>
    </row>
    <row r="51784" spans="1:141" s="116" customFormat="1">
      <c r="A51784" s="136"/>
      <c r="CM51784" s="111"/>
      <c r="CQ51784" s="111"/>
      <c r="EF51784"/>
      <c r="EG51784"/>
      <c r="EH51784"/>
      <c r="EI51784"/>
      <c r="EJ51784"/>
      <c r="EK51784"/>
    </row>
    <row r="51785" spans="1:141" s="116" customFormat="1">
      <c r="A51785" s="136"/>
      <c r="CM51785" s="111"/>
      <c r="CQ51785" s="111"/>
      <c r="EF51785"/>
      <c r="EG51785"/>
      <c r="EH51785"/>
      <c r="EI51785"/>
      <c r="EJ51785"/>
      <c r="EK51785"/>
    </row>
    <row r="51786" spans="1:141" s="116" customFormat="1">
      <c r="A51786" s="136"/>
      <c r="CM51786" s="111"/>
      <c r="CQ51786" s="111"/>
      <c r="EF51786"/>
      <c r="EG51786"/>
      <c r="EH51786"/>
      <c r="EI51786"/>
      <c r="EJ51786"/>
      <c r="EK51786"/>
    </row>
    <row r="51787" spans="1:141" s="116" customFormat="1">
      <c r="A51787" s="136"/>
      <c r="CM51787" s="111"/>
      <c r="CQ51787" s="111"/>
      <c r="EF51787"/>
      <c r="EG51787"/>
      <c r="EH51787"/>
      <c r="EI51787"/>
      <c r="EJ51787"/>
      <c r="EK51787"/>
    </row>
    <row r="51788" spans="1:141" s="116" customFormat="1">
      <c r="A51788" s="136"/>
      <c r="CM51788" s="111"/>
      <c r="CQ51788" s="111"/>
      <c r="EF51788"/>
      <c r="EG51788"/>
      <c r="EH51788"/>
      <c r="EI51788"/>
      <c r="EJ51788"/>
      <c r="EK51788"/>
    </row>
    <row r="51789" spans="1:141" s="116" customFormat="1">
      <c r="A51789" s="136"/>
      <c r="CM51789" s="111"/>
      <c r="CQ51789" s="111"/>
      <c r="EF51789"/>
      <c r="EG51789"/>
      <c r="EH51789"/>
      <c r="EI51789"/>
      <c r="EJ51789"/>
      <c r="EK51789"/>
    </row>
    <row r="51790" spans="1:141" s="116" customFormat="1">
      <c r="A51790" s="136"/>
      <c r="CM51790" s="111"/>
      <c r="CQ51790" s="111"/>
      <c r="EF51790"/>
      <c r="EG51790"/>
      <c r="EH51790"/>
      <c r="EI51790"/>
      <c r="EJ51790"/>
      <c r="EK51790"/>
    </row>
    <row r="51791" spans="1:141" s="116" customFormat="1">
      <c r="A51791" s="136"/>
      <c r="CM51791" s="111"/>
      <c r="CQ51791" s="111"/>
      <c r="EF51791"/>
      <c r="EG51791"/>
      <c r="EH51791"/>
      <c r="EI51791"/>
      <c r="EJ51791"/>
      <c r="EK51791"/>
    </row>
    <row r="51792" spans="1:141" s="116" customFormat="1">
      <c r="A51792" s="136"/>
      <c r="CM51792" s="111"/>
      <c r="CQ51792" s="111"/>
      <c r="EF51792"/>
      <c r="EG51792"/>
      <c r="EH51792"/>
      <c r="EI51792"/>
      <c r="EJ51792"/>
      <c r="EK51792"/>
    </row>
    <row r="51793" spans="1:141" s="116" customFormat="1">
      <c r="A51793" s="136"/>
      <c r="CM51793" s="111"/>
      <c r="CQ51793" s="111"/>
      <c r="EF51793"/>
      <c r="EG51793"/>
      <c r="EH51793"/>
      <c r="EI51793"/>
      <c r="EJ51793"/>
      <c r="EK51793"/>
    </row>
    <row r="51794" spans="1:141" s="116" customFormat="1">
      <c r="A51794" s="136"/>
      <c r="CM51794" s="111"/>
      <c r="CQ51794" s="111"/>
      <c r="EF51794"/>
      <c r="EG51794"/>
      <c r="EH51794"/>
      <c r="EI51794"/>
      <c r="EJ51794"/>
      <c r="EK51794"/>
    </row>
    <row r="51795" spans="1:141" s="116" customFormat="1">
      <c r="A51795" s="136"/>
      <c r="CM51795" s="111"/>
      <c r="CQ51795" s="111"/>
      <c r="EF51795"/>
      <c r="EG51795"/>
      <c r="EH51795"/>
      <c r="EI51795"/>
      <c r="EJ51795"/>
      <c r="EK51795"/>
    </row>
    <row r="51796" spans="1:141" s="116" customFormat="1">
      <c r="A51796" s="136"/>
      <c r="CM51796" s="111"/>
      <c r="CQ51796" s="111"/>
      <c r="EF51796"/>
      <c r="EG51796"/>
      <c r="EH51796"/>
      <c r="EI51796"/>
      <c r="EJ51796"/>
      <c r="EK51796"/>
    </row>
    <row r="51797" spans="1:141" s="116" customFormat="1">
      <c r="A51797" s="136"/>
      <c r="CM51797" s="111"/>
      <c r="CQ51797" s="111"/>
      <c r="EF51797"/>
      <c r="EG51797"/>
      <c r="EH51797"/>
      <c r="EI51797"/>
      <c r="EJ51797"/>
      <c r="EK51797"/>
    </row>
    <row r="51798" spans="1:141" s="116" customFormat="1">
      <c r="A51798" s="136"/>
      <c r="CM51798" s="111"/>
      <c r="CQ51798" s="111"/>
      <c r="EF51798"/>
      <c r="EG51798"/>
      <c r="EH51798"/>
      <c r="EI51798"/>
      <c r="EJ51798"/>
      <c r="EK51798"/>
    </row>
    <row r="51799" spans="1:141" s="116" customFormat="1">
      <c r="A51799" s="136"/>
      <c r="CM51799" s="111"/>
      <c r="CQ51799" s="111"/>
      <c r="EF51799"/>
      <c r="EG51799"/>
      <c r="EH51799"/>
      <c r="EI51799"/>
      <c r="EJ51799"/>
      <c r="EK51799"/>
    </row>
    <row r="51800" spans="1:141" s="116" customFormat="1">
      <c r="A51800" s="136"/>
      <c r="CM51800" s="111"/>
      <c r="CQ51800" s="111"/>
      <c r="EF51800"/>
      <c r="EG51800"/>
      <c r="EH51800"/>
      <c r="EI51800"/>
      <c r="EJ51800"/>
      <c r="EK51800"/>
    </row>
    <row r="51801" spans="1:141" s="116" customFormat="1">
      <c r="A51801" s="136"/>
      <c r="CM51801" s="111"/>
      <c r="CQ51801" s="111"/>
      <c r="EF51801"/>
      <c r="EG51801"/>
      <c r="EH51801"/>
      <c r="EI51801"/>
      <c r="EJ51801"/>
      <c r="EK51801"/>
    </row>
    <row r="51802" spans="1:141" s="116" customFormat="1">
      <c r="A51802" s="136"/>
      <c r="CM51802" s="111"/>
      <c r="CQ51802" s="111"/>
      <c r="EF51802"/>
      <c r="EG51802"/>
      <c r="EH51802"/>
      <c r="EI51802"/>
      <c r="EJ51802"/>
      <c r="EK51802"/>
    </row>
    <row r="51803" spans="1:141" s="116" customFormat="1">
      <c r="A51803" s="136"/>
      <c r="CM51803" s="111"/>
      <c r="CQ51803" s="111"/>
      <c r="EF51803"/>
      <c r="EG51803"/>
      <c r="EH51803"/>
      <c r="EI51803"/>
      <c r="EJ51803"/>
      <c r="EK51803"/>
    </row>
    <row r="51804" spans="1:141" s="116" customFormat="1">
      <c r="A51804" s="136"/>
      <c r="CM51804" s="111"/>
      <c r="CQ51804" s="111"/>
      <c r="EF51804"/>
      <c r="EG51804"/>
      <c r="EH51804"/>
      <c r="EI51804"/>
      <c r="EJ51804"/>
      <c r="EK51804"/>
    </row>
    <row r="51805" spans="1:141" s="116" customFormat="1">
      <c r="A51805" s="136"/>
      <c r="CM51805" s="111"/>
      <c r="CQ51805" s="111"/>
      <c r="EF51805"/>
      <c r="EG51805"/>
      <c r="EH51805"/>
      <c r="EI51805"/>
      <c r="EJ51805"/>
      <c r="EK51805"/>
    </row>
    <row r="51806" spans="1:141" s="116" customFormat="1">
      <c r="A51806" s="136"/>
      <c r="CM51806" s="111"/>
      <c r="CQ51806" s="111"/>
      <c r="EF51806"/>
      <c r="EG51806"/>
      <c r="EH51806"/>
      <c r="EI51806"/>
      <c r="EJ51806"/>
      <c r="EK51806"/>
    </row>
    <row r="51807" spans="1:141" s="116" customFormat="1">
      <c r="A51807" s="136"/>
      <c r="CM51807" s="111"/>
      <c r="CQ51807" s="111"/>
      <c r="EF51807"/>
      <c r="EG51807"/>
      <c r="EH51807"/>
      <c r="EI51807"/>
      <c r="EJ51807"/>
      <c r="EK51807"/>
    </row>
    <row r="51808" spans="1:141" s="116" customFormat="1">
      <c r="A51808" s="136"/>
      <c r="CM51808" s="111"/>
      <c r="CQ51808" s="111"/>
      <c r="EF51808"/>
      <c r="EG51808"/>
      <c r="EH51808"/>
      <c r="EI51808"/>
      <c r="EJ51808"/>
      <c r="EK51808"/>
    </row>
    <row r="51809" spans="1:141" s="116" customFormat="1">
      <c r="A51809" s="136"/>
      <c r="CM51809" s="111"/>
      <c r="CQ51809" s="111"/>
      <c r="EF51809"/>
      <c r="EG51809"/>
      <c r="EH51809"/>
      <c r="EI51809"/>
      <c r="EJ51809"/>
      <c r="EK51809"/>
    </row>
    <row r="51810" spans="1:141" s="116" customFormat="1">
      <c r="A51810" s="136"/>
      <c r="CM51810" s="111"/>
      <c r="CQ51810" s="111"/>
      <c r="EF51810"/>
      <c r="EG51810"/>
      <c r="EH51810"/>
      <c r="EI51810"/>
      <c r="EJ51810"/>
      <c r="EK51810"/>
    </row>
    <row r="51811" spans="1:141" s="116" customFormat="1">
      <c r="A51811" s="136"/>
      <c r="CM51811" s="111"/>
      <c r="CQ51811" s="111"/>
      <c r="EF51811"/>
      <c r="EG51811"/>
      <c r="EH51811"/>
      <c r="EI51811"/>
      <c r="EJ51811"/>
      <c r="EK51811"/>
    </row>
    <row r="51812" spans="1:141" s="116" customFormat="1">
      <c r="A51812" s="136"/>
      <c r="CM51812" s="111"/>
      <c r="CQ51812" s="111"/>
      <c r="EF51812"/>
      <c r="EG51812"/>
      <c r="EH51812"/>
      <c r="EI51812"/>
      <c r="EJ51812"/>
      <c r="EK51812"/>
    </row>
    <row r="51813" spans="1:141" s="116" customFormat="1">
      <c r="A51813" s="136"/>
      <c r="CM51813" s="111"/>
      <c r="CQ51813" s="111"/>
      <c r="EF51813"/>
      <c r="EG51813"/>
      <c r="EH51813"/>
      <c r="EI51813"/>
      <c r="EJ51813"/>
      <c r="EK51813"/>
    </row>
    <row r="51814" spans="1:141" s="116" customFormat="1">
      <c r="A51814" s="136"/>
      <c r="CM51814" s="111"/>
      <c r="CQ51814" s="111"/>
      <c r="EF51814"/>
      <c r="EG51814"/>
      <c r="EH51814"/>
      <c r="EI51814"/>
      <c r="EJ51814"/>
      <c r="EK51814"/>
    </row>
    <row r="51815" spans="1:141" s="116" customFormat="1">
      <c r="A51815" s="136"/>
      <c r="CM51815" s="111"/>
      <c r="CQ51815" s="111"/>
      <c r="EF51815"/>
      <c r="EG51815"/>
      <c r="EH51815"/>
      <c r="EI51815"/>
      <c r="EJ51815"/>
      <c r="EK51815"/>
    </row>
    <row r="51816" spans="1:141" s="116" customFormat="1">
      <c r="A51816" s="136"/>
      <c r="CM51816" s="111"/>
      <c r="CQ51816" s="111"/>
      <c r="EF51816"/>
      <c r="EG51816"/>
      <c r="EH51816"/>
      <c r="EI51816"/>
      <c r="EJ51816"/>
      <c r="EK51816"/>
    </row>
    <row r="51817" spans="1:141" s="116" customFormat="1">
      <c r="A51817" s="136"/>
      <c r="CM51817" s="111"/>
      <c r="CQ51817" s="111"/>
      <c r="EF51817"/>
      <c r="EG51817"/>
      <c r="EH51817"/>
      <c r="EI51817"/>
      <c r="EJ51817"/>
      <c r="EK51817"/>
    </row>
    <row r="51818" spans="1:141" s="116" customFormat="1">
      <c r="A51818" s="136"/>
      <c r="CM51818" s="111"/>
      <c r="CQ51818" s="111"/>
      <c r="EF51818"/>
      <c r="EG51818"/>
      <c r="EH51818"/>
      <c r="EI51818"/>
      <c r="EJ51818"/>
      <c r="EK51818"/>
    </row>
    <row r="51819" spans="1:141" s="116" customFormat="1">
      <c r="A51819" s="136"/>
      <c r="CM51819" s="111"/>
      <c r="CQ51819" s="111"/>
      <c r="EF51819"/>
      <c r="EG51819"/>
      <c r="EH51819"/>
      <c r="EI51819"/>
      <c r="EJ51819"/>
      <c r="EK51819"/>
    </row>
    <row r="51820" spans="1:141" s="116" customFormat="1">
      <c r="A51820" s="136"/>
      <c r="CM51820" s="111"/>
      <c r="CQ51820" s="111"/>
      <c r="EF51820"/>
      <c r="EG51820"/>
      <c r="EH51820"/>
      <c r="EI51820"/>
      <c r="EJ51820"/>
      <c r="EK51820"/>
    </row>
    <row r="51821" spans="1:141" s="116" customFormat="1">
      <c r="A51821" s="136"/>
      <c r="CM51821" s="111"/>
      <c r="CQ51821" s="111"/>
      <c r="EF51821"/>
      <c r="EG51821"/>
      <c r="EH51821"/>
      <c r="EI51821"/>
      <c r="EJ51821"/>
      <c r="EK51821"/>
    </row>
    <row r="51822" spans="1:141" s="116" customFormat="1">
      <c r="A51822" s="136"/>
      <c r="CM51822" s="111"/>
      <c r="CQ51822" s="111"/>
      <c r="EF51822"/>
      <c r="EG51822"/>
      <c r="EH51822"/>
      <c r="EI51822"/>
      <c r="EJ51822"/>
      <c r="EK51822"/>
    </row>
    <row r="51823" spans="1:141" s="116" customFormat="1">
      <c r="A51823" s="136"/>
      <c r="CM51823" s="111"/>
      <c r="CQ51823" s="111"/>
      <c r="EF51823"/>
      <c r="EG51823"/>
      <c r="EH51823"/>
      <c r="EI51823"/>
      <c r="EJ51823"/>
      <c r="EK51823"/>
    </row>
    <row r="51824" spans="1:141" s="116" customFormat="1">
      <c r="A51824" s="136"/>
      <c r="CM51824" s="111"/>
      <c r="CQ51824" s="111"/>
      <c r="EF51824"/>
      <c r="EG51824"/>
      <c r="EH51824"/>
      <c r="EI51824"/>
      <c r="EJ51824"/>
      <c r="EK51824"/>
    </row>
    <row r="51825" spans="1:141" s="116" customFormat="1">
      <c r="A51825" s="136"/>
      <c r="CM51825" s="111"/>
      <c r="CQ51825" s="111"/>
      <c r="EF51825"/>
      <c r="EG51825"/>
      <c r="EH51825"/>
      <c r="EI51825"/>
      <c r="EJ51825"/>
      <c r="EK51825"/>
    </row>
    <row r="51826" spans="1:141" s="116" customFormat="1">
      <c r="A51826" s="136"/>
      <c r="CM51826" s="111"/>
      <c r="CQ51826" s="111"/>
      <c r="EF51826"/>
      <c r="EG51826"/>
      <c r="EH51826"/>
      <c r="EI51826"/>
      <c r="EJ51826"/>
      <c r="EK51826"/>
    </row>
    <row r="51827" spans="1:141" s="116" customFormat="1">
      <c r="A51827" s="136"/>
      <c r="CM51827" s="111"/>
      <c r="CQ51827" s="111"/>
      <c r="EF51827"/>
      <c r="EG51827"/>
      <c r="EH51827"/>
      <c r="EI51827"/>
      <c r="EJ51827"/>
      <c r="EK51827"/>
    </row>
    <row r="51828" spans="1:141" s="116" customFormat="1">
      <c r="A51828" s="136"/>
      <c r="CM51828" s="111"/>
      <c r="CQ51828" s="111"/>
      <c r="EF51828"/>
      <c r="EG51828"/>
      <c r="EH51828"/>
      <c r="EI51828"/>
      <c r="EJ51828"/>
      <c r="EK51828"/>
    </row>
    <row r="51829" spans="1:141" s="116" customFormat="1">
      <c r="A51829" s="136"/>
      <c r="CM51829" s="111"/>
      <c r="CQ51829" s="111"/>
      <c r="EF51829"/>
      <c r="EG51829"/>
      <c r="EH51829"/>
      <c r="EI51829"/>
      <c r="EJ51829"/>
      <c r="EK51829"/>
    </row>
    <row r="51830" spans="1:141" s="116" customFormat="1">
      <c r="A51830" s="136"/>
      <c r="CM51830" s="111"/>
      <c r="CQ51830" s="111"/>
      <c r="EF51830"/>
      <c r="EG51830"/>
      <c r="EH51830"/>
      <c r="EI51830"/>
      <c r="EJ51830"/>
      <c r="EK51830"/>
    </row>
    <row r="51831" spans="1:141" s="116" customFormat="1">
      <c r="A51831" s="136"/>
      <c r="CM51831" s="111"/>
      <c r="CQ51831" s="111"/>
      <c r="EF51831"/>
      <c r="EG51831"/>
      <c r="EH51831"/>
      <c r="EI51831"/>
      <c r="EJ51831"/>
      <c r="EK51831"/>
    </row>
    <row r="51832" spans="1:141" s="116" customFormat="1">
      <c r="A51832" s="136"/>
      <c r="CM51832" s="111"/>
      <c r="CQ51832" s="111"/>
      <c r="EF51832"/>
      <c r="EG51832"/>
      <c r="EH51832"/>
      <c r="EI51832"/>
      <c r="EJ51832"/>
      <c r="EK51832"/>
    </row>
    <row r="51833" spans="1:141" s="116" customFormat="1">
      <c r="A51833" s="136"/>
      <c r="CM51833" s="111"/>
      <c r="CQ51833" s="111"/>
      <c r="EF51833"/>
      <c r="EG51833"/>
      <c r="EH51833"/>
      <c r="EI51833"/>
      <c r="EJ51833"/>
      <c r="EK51833"/>
    </row>
    <row r="51834" spans="1:141" s="116" customFormat="1">
      <c r="A51834" s="136"/>
      <c r="CM51834" s="111"/>
      <c r="CQ51834" s="111"/>
      <c r="EF51834"/>
      <c r="EG51834"/>
      <c r="EH51834"/>
      <c r="EI51834"/>
      <c r="EJ51834"/>
      <c r="EK51834"/>
    </row>
    <row r="51835" spans="1:141" s="116" customFormat="1">
      <c r="A51835" s="136"/>
      <c r="CM51835" s="111"/>
      <c r="CQ51835" s="111"/>
      <c r="EF51835"/>
      <c r="EG51835"/>
      <c r="EH51835"/>
      <c r="EI51835"/>
      <c r="EJ51835"/>
      <c r="EK51835"/>
    </row>
    <row r="51836" spans="1:141" s="116" customFormat="1">
      <c r="A51836" s="136"/>
      <c r="CM51836" s="111"/>
      <c r="CQ51836" s="111"/>
      <c r="EF51836"/>
      <c r="EG51836"/>
      <c r="EH51836"/>
      <c r="EI51836"/>
      <c r="EJ51836"/>
      <c r="EK51836"/>
    </row>
    <row r="51837" spans="1:141" s="116" customFormat="1">
      <c r="A51837" s="136"/>
      <c r="CM51837" s="111"/>
      <c r="CQ51837" s="111"/>
      <c r="EF51837"/>
      <c r="EG51837"/>
      <c r="EH51837"/>
      <c r="EI51837"/>
      <c r="EJ51837"/>
      <c r="EK51837"/>
    </row>
    <row r="51838" spans="1:141" s="116" customFormat="1">
      <c r="A51838" s="136"/>
      <c r="CM51838" s="111"/>
      <c r="CQ51838" s="111"/>
      <c r="EF51838"/>
      <c r="EG51838"/>
      <c r="EH51838"/>
      <c r="EI51838"/>
      <c r="EJ51838"/>
      <c r="EK51838"/>
    </row>
    <row r="51839" spans="1:141" s="116" customFormat="1">
      <c r="A51839" s="136"/>
      <c r="CM51839" s="111"/>
      <c r="CQ51839" s="111"/>
      <c r="EF51839"/>
      <c r="EG51839"/>
      <c r="EH51839"/>
      <c r="EI51839"/>
      <c r="EJ51839"/>
      <c r="EK51839"/>
    </row>
    <row r="51840" spans="1:141" s="116" customFormat="1">
      <c r="A51840" s="136"/>
      <c r="CM51840" s="111"/>
      <c r="CQ51840" s="111"/>
      <c r="EF51840"/>
      <c r="EG51840"/>
      <c r="EH51840"/>
      <c r="EI51840"/>
      <c r="EJ51840"/>
      <c r="EK51840"/>
    </row>
    <row r="51841" spans="1:141" s="116" customFormat="1">
      <c r="A51841" s="136"/>
      <c r="CM51841" s="111"/>
      <c r="CQ51841" s="111"/>
      <c r="EF51841"/>
      <c r="EG51841"/>
      <c r="EH51841"/>
      <c r="EI51841"/>
      <c r="EJ51841"/>
      <c r="EK51841"/>
    </row>
    <row r="51842" spans="1:141" s="116" customFormat="1">
      <c r="A51842" s="136"/>
      <c r="CM51842" s="111"/>
      <c r="CQ51842" s="111"/>
      <c r="EF51842"/>
      <c r="EG51842"/>
      <c r="EH51842"/>
      <c r="EI51842"/>
      <c r="EJ51842"/>
      <c r="EK51842"/>
    </row>
    <row r="51843" spans="1:141" s="116" customFormat="1">
      <c r="A51843" s="136"/>
      <c r="CM51843" s="111"/>
      <c r="CQ51843" s="111"/>
      <c r="EF51843"/>
      <c r="EG51843"/>
      <c r="EH51843"/>
      <c r="EI51843"/>
      <c r="EJ51843"/>
      <c r="EK51843"/>
    </row>
    <row r="51844" spans="1:141" s="116" customFormat="1">
      <c r="A51844" s="136"/>
      <c r="CM51844" s="111"/>
      <c r="CQ51844" s="111"/>
      <c r="EF51844"/>
      <c r="EG51844"/>
      <c r="EH51844"/>
      <c r="EI51844"/>
      <c r="EJ51844"/>
      <c r="EK51844"/>
    </row>
    <row r="51845" spans="1:141" s="116" customFormat="1">
      <c r="A51845" s="136"/>
      <c r="CM51845" s="111"/>
      <c r="CQ51845" s="111"/>
      <c r="EF51845"/>
      <c r="EG51845"/>
      <c r="EH51845"/>
      <c r="EI51845"/>
      <c r="EJ51845"/>
      <c r="EK51845"/>
    </row>
    <row r="51846" spans="1:141" s="116" customFormat="1">
      <c r="A51846" s="136"/>
      <c r="CM51846" s="111"/>
      <c r="CQ51846" s="111"/>
      <c r="EF51846"/>
      <c r="EG51846"/>
      <c r="EH51846"/>
      <c r="EI51846"/>
      <c r="EJ51846"/>
      <c r="EK51846"/>
    </row>
    <row r="51847" spans="1:141" s="116" customFormat="1">
      <c r="A51847" s="136"/>
      <c r="CM51847" s="111"/>
      <c r="CQ51847" s="111"/>
      <c r="EF51847"/>
      <c r="EG51847"/>
      <c r="EH51847"/>
      <c r="EI51847"/>
      <c r="EJ51847"/>
      <c r="EK51847"/>
    </row>
    <row r="51848" spans="1:141" s="116" customFormat="1">
      <c r="A51848" s="136"/>
      <c r="CM51848" s="111"/>
      <c r="CQ51848" s="111"/>
      <c r="EF51848"/>
      <c r="EG51848"/>
      <c r="EH51848"/>
      <c r="EI51848"/>
      <c r="EJ51848"/>
      <c r="EK51848"/>
    </row>
    <row r="51849" spans="1:141" s="116" customFormat="1">
      <c r="A51849" s="136"/>
      <c r="CM51849" s="111"/>
      <c r="CQ51849" s="111"/>
      <c r="EF51849"/>
      <c r="EG51849"/>
      <c r="EH51849"/>
      <c r="EI51849"/>
      <c r="EJ51849"/>
      <c r="EK51849"/>
    </row>
    <row r="51850" spans="1:141" s="116" customFormat="1">
      <c r="A51850" s="136"/>
      <c r="CM51850" s="111"/>
      <c r="CQ51850" s="111"/>
      <c r="EF51850"/>
      <c r="EG51850"/>
      <c r="EH51850"/>
      <c r="EI51850"/>
      <c r="EJ51850"/>
      <c r="EK51850"/>
    </row>
    <row r="51851" spans="1:141" s="116" customFormat="1">
      <c r="A51851" s="136"/>
      <c r="CM51851" s="111"/>
      <c r="CQ51851" s="111"/>
      <c r="EF51851"/>
      <c r="EG51851"/>
      <c r="EH51851"/>
      <c r="EI51851"/>
      <c r="EJ51851"/>
      <c r="EK51851"/>
    </row>
    <row r="51852" spans="1:141" s="116" customFormat="1">
      <c r="A51852" s="136"/>
      <c r="CM51852" s="111"/>
      <c r="CQ51852" s="111"/>
      <c r="EF51852"/>
      <c r="EG51852"/>
      <c r="EH51852"/>
      <c r="EI51852"/>
      <c r="EJ51852"/>
      <c r="EK51852"/>
    </row>
    <row r="51853" spans="1:141" s="116" customFormat="1">
      <c r="A51853" s="136"/>
      <c r="CM51853" s="111"/>
      <c r="CQ51853" s="111"/>
      <c r="EF51853"/>
      <c r="EG51853"/>
      <c r="EH51853"/>
      <c r="EI51853"/>
      <c r="EJ51853"/>
      <c r="EK51853"/>
    </row>
    <row r="51854" spans="1:141" s="116" customFormat="1">
      <c r="A51854" s="136"/>
      <c r="CM51854" s="111"/>
      <c r="CQ51854" s="111"/>
      <c r="EF51854"/>
      <c r="EG51854"/>
      <c r="EH51854"/>
      <c r="EI51854"/>
      <c r="EJ51854"/>
      <c r="EK51854"/>
    </row>
    <row r="51855" spans="1:141" s="116" customFormat="1">
      <c r="A51855" s="136"/>
      <c r="CM51855" s="111"/>
      <c r="CQ51855" s="111"/>
      <c r="EF51855"/>
      <c r="EG51855"/>
      <c r="EH51855"/>
      <c r="EI51855"/>
      <c r="EJ51855"/>
      <c r="EK51855"/>
    </row>
    <row r="51856" spans="1:141" s="116" customFormat="1">
      <c r="A51856" s="136"/>
      <c r="CM51856" s="111"/>
      <c r="CQ51856" s="111"/>
      <c r="EF51856"/>
      <c r="EG51856"/>
      <c r="EH51856"/>
      <c r="EI51856"/>
      <c r="EJ51856"/>
      <c r="EK51856"/>
    </row>
    <row r="51857" spans="1:141" s="116" customFormat="1">
      <c r="A51857" s="136"/>
      <c r="CM51857" s="111"/>
      <c r="CQ51857" s="111"/>
      <c r="EF51857"/>
      <c r="EG51857"/>
      <c r="EH51857"/>
      <c r="EI51857"/>
      <c r="EJ51857"/>
      <c r="EK51857"/>
    </row>
    <row r="51858" spans="1:141" s="116" customFormat="1">
      <c r="A51858" s="136"/>
      <c r="CM51858" s="111"/>
      <c r="CQ51858" s="111"/>
      <c r="EF51858"/>
      <c r="EG51858"/>
      <c r="EH51858"/>
      <c r="EI51858"/>
      <c r="EJ51858"/>
      <c r="EK51858"/>
    </row>
    <row r="51859" spans="1:141" s="116" customFormat="1">
      <c r="A51859" s="136"/>
      <c r="CM51859" s="111"/>
      <c r="CQ51859" s="111"/>
      <c r="EF51859"/>
      <c r="EG51859"/>
      <c r="EH51859"/>
      <c r="EI51859"/>
      <c r="EJ51859"/>
      <c r="EK51859"/>
    </row>
    <row r="51860" spans="1:141" s="116" customFormat="1">
      <c r="A51860" s="136"/>
      <c r="CM51860" s="111"/>
      <c r="CQ51860" s="111"/>
      <c r="EF51860"/>
      <c r="EG51860"/>
      <c r="EH51860"/>
      <c r="EI51860"/>
      <c r="EJ51860"/>
      <c r="EK51860"/>
    </row>
    <row r="51861" spans="1:141" s="116" customFormat="1">
      <c r="A51861" s="136"/>
      <c r="CM51861" s="111"/>
      <c r="CQ51861" s="111"/>
      <c r="EF51861"/>
      <c r="EG51861"/>
      <c r="EH51861"/>
      <c r="EI51861"/>
      <c r="EJ51861"/>
      <c r="EK51861"/>
    </row>
    <row r="51862" spans="1:141" s="116" customFormat="1">
      <c r="A51862" s="136"/>
      <c r="CM51862" s="111"/>
      <c r="CQ51862" s="111"/>
      <c r="EF51862"/>
      <c r="EG51862"/>
      <c r="EH51862"/>
      <c r="EI51862"/>
      <c r="EJ51862"/>
      <c r="EK51862"/>
    </row>
    <row r="51863" spans="1:141" s="116" customFormat="1">
      <c r="A51863" s="136"/>
      <c r="CM51863" s="111"/>
      <c r="CQ51863" s="111"/>
      <c r="EF51863"/>
      <c r="EG51863"/>
      <c r="EH51863"/>
      <c r="EI51863"/>
      <c r="EJ51863"/>
      <c r="EK51863"/>
    </row>
    <row r="51864" spans="1:141" s="116" customFormat="1">
      <c r="A51864" s="136"/>
      <c r="CM51864" s="111"/>
      <c r="CQ51864" s="111"/>
      <c r="EF51864"/>
      <c r="EG51864"/>
      <c r="EH51864"/>
      <c r="EI51864"/>
      <c r="EJ51864"/>
      <c r="EK51864"/>
    </row>
    <row r="51865" spans="1:141" s="116" customFormat="1">
      <c r="A51865" s="136"/>
      <c r="CM51865" s="111"/>
      <c r="CQ51865" s="111"/>
      <c r="EF51865"/>
      <c r="EG51865"/>
      <c r="EH51865"/>
      <c r="EI51865"/>
      <c r="EJ51865"/>
      <c r="EK51865"/>
    </row>
    <row r="51866" spans="1:141" s="116" customFormat="1">
      <c r="A51866" s="136"/>
      <c r="CM51866" s="111"/>
      <c r="CQ51866" s="111"/>
      <c r="EF51866"/>
      <c r="EG51866"/>
      <c r="EH51866"/>
      <c r="EI51866"/>
      <c r="EJ51866"/>
      <c r="EK51866"/>
    </row>
    <row r="51867" spans="1:141" s="116" customFormat="1">
      <c r="A51867" s="136"/>
      <c r="CM51867" s="111"/>
      <c r="CQ51867" s="111"/>
      <c r="EF51867"/>
      <c r="EG51867"/>
      <c r="EH51867"/>
      <c r="EI51867"/>
      <c r="EJ51867"/>
      <c r="EK51867"/>
    </row>
    <row r="51868" spans="1:141" s="116" customFormat="1">
      <c r="A51868" s="136"/>
      <c r="CM51868" s="111"/>
      <c r="CQ51868" s="111"/>
      <c r="EF51868"/>
      <c r="EG51868"/>
      <c r="EH51868"/>
      <c r="EI51868"/>
      <c r="EJ51868"/>
      <c r="EK51868"/>
    </row>
    <row r="51869" spans="1:141" s="116" customFormat="1">
      <c r="A51869" s="136"/>
      <c r="CM51869" s="111"/>
      <c r="CQ51869" s="111"/>
      <c r="EF51869"/>
      <c r="EG51869"/>
      <c r="EH51869"/>
      <c r="EI51869"/>
      <c r="EJ51869"/>
      <c r="EK51869"/>
    </row>
    <row r="51870" spans="1:141" s="116" customFormat="1">
      <c r="A51870" s="136"/>
      <c r="CM51870" s="111"/>
      <c r="CQ51870" s="111"/>
      <c r="EF51870"/>
      <c r="EG51870"/>
      <c r="EH51870"/>
      <c r="EI51870"/>
      <c r="EJ51870"/>
      <c r="EK51870"/>
    </row>
    <row r="51871" spans="1:141" s="116" customFormat="1">
      <c r="A51871" s="136"/>
      <c r="CM51871" s="111"/>
      <c r="CQ51871" s="111"/>
      <c r="EF51871"/>
      <c r="EG51871"/>
      <c r="EH51871"/>
      <c r="EI51871"/>
      <c r="EJ51871"/>
      <c r="EK51871"/>
    </row>
    <row r="51872" spans="1:141" s="116" customFormat="1">
      <c r="A51872" s="136"/>
      <c r="CM51872" s="111"/>
      <c r="CQ51872" s="111"/>
      <c r="EF51872"/>
      <c r="EG51872"/>
      <c r="EH51872"/>
      <c r="EI51872"/>
      <c r="EJ51872"/>
      <c r="EK51872"/>
    </row>
    <row r="51873" spans="1:141" s="116" customFormat="1">
      <c r="A51873" s="136"/>
      <c r="CM51873" s="111"/>
      <c r="CQ51873" s="111"/>
      <c r="EF51873"/>
      <c r="EG51873"/>
      <c r="EH51873"/>
      <c r="EI51873"/>
      <c r="EJ51873"/>
      <c r="EK51873"/>
    </row>
    <row r="51874" spans="1:141" s="116" customFormat="1">
      <c r="A51874" s="136"/>
      <c r="CM51874" s="111"/>
      <c r="CQ51874" s="111"/>
      <c r="EF51874"/>
      <c r="EG51874"/>
      <c r="EH51874"/>
      <c r="EI51874"/>
      <c r="EJ51874"/>
      <c r="EK51874"/>
    </row>
    <row r="51875" spans="1:141" s="116" customFormat="1">
      <c r="A51875" s="136"/>
      <c r="CM51875" s="111"/>
      <c r="CQ51875" s="111"/>
      <c r="EF51875"/>
      <c r="EG51875"/>
      <c r="EH51875"/>
      <c r="EI51875"/>
      <c r="EJ51875"/>
      <c r="EK51875"/>
    </row>
    <row r="51876" spans="1:141" s="116" customFormat="1">
      <c r="A51876" s="136"/>
      <c r="CM51876" s="111"/>
      <c r="CQ51876" s="111"/>
      <c r="EF51876"/>
      <c r="EG51876"/>
      <c r="EH51876"/>
      <c r="EI51876"/>
      <c r="EJ51876"/>
      <c r="EK51876"/>
    </row>
    <row r="51877" spans="1:141" s="116" customFormat="1">
      <c r="A51877" s="136"/>
      <c r="CM51877" s="111"/>
      <c r="CQ51877" s="111"/>
      <c r="EF51877"/>
      <c r="EG51877"/>
      <c r="EH51877"/>
      <c r="EI51877"/>
      <c r="EJ51877"/>
      <c r="EK51877"/>
    </row>
    <row r="51878" spans="1:141" s="116" customFormat="1">
      <c r="A51878" s="136"/>
      <c r="CM51878" s="111"/>
      <c r="CQ51878" s="111"/>
      <c r="EF51878"/>
      <c r="EG51878"/>
      <c r="EH51878"/>
      <c r="EI51878"/>
      <c r="EJ51878"/>
      <c r="EK51878"/>
    </row>
    <row r="51879" spans="1:141" s="116" customFormat="1">
      <c r="A51879" s="136"/>
      <c r="CM51879" s="111"/>
      <c r="CQ51879" s="111"/>
      <c r="EF51879"/>
      <c r="EG51879"/>
      <c r="EH51879"/>
      <c r="EI51879"/>
      <c r="EJ51879"/>
      <c r="EK51879"/>
    </row>
    <row r="51880" spans="1:141" s="116" customFormat="1">
      <c r="A51880" s="136"/>
      <c r="CM51880" s="111"/>
      <c r="CQ51880" s="111"/>
      <c r="EF51880"/>
      <c r="EG51880"/>
      <c r="EH51880"/>
      <c r="EI51880"/>
      <c r="EJ51880"/>
      <c r="EK51880"/>
    </row>
    <row r="51881" spans="1:141" s="116" customFormat="1">
      <c r="A51881" s="136"/>
      <c r="CM51881" s="111"/>
      <c r="CQ51881" s="111"/>
      <c r="EF51881"/>
      <c r="EG51881"/>
      <c r="EH51881"/>
      <c r="EI51881"/>
      <c r="EJ51881"/>
      <c r="EK51881"/>
    </row>
    <row r="51882" spans="1:141" s="116" customFormat="1">
      <c r="A51882" s="136"/>
      <c r="CM51882" s="111"/>
      <c r="CQ51882" s="111"/>
      <c r="EF51882"/>
      <c r="EG51882"/>
      <c r="EH51882"/>
      <c r="EI51882"/>
      <c r="EJ51882"/>
      <c r="EK51882"/>
    </row>
    <row r="51883" spans="1:141" s="116" customFormat="1">
      <c r="A51883" s="136"/>
      <c r="CM51883" s="111"/>
      <c r="CQ51883" s="111"/>
      <c r="EF51883"/>
      <c r="EG51883"/>
      <c r="EH51883"/>
      <c r="EI51883"/>
      <c r="EJ51883"/>
      <c r="EK51883"/>
    </row>
    <row r="51884" spans="1:141" s="116" customFormat="1">
      <c r="A51884" s="136"/>
      <c r="CM51884" s="111"/>
      <c r="CQ51884" s="111"/>
      <c r="EF51884"/>
      <c r="EG51884"/>
      <c r="EH51884"/>
      <c r="EI51884"/>
      <c r="EJ51884"/>
      <c r="EK51884"/>
    </row>
    <row r="51885" spans="1:141" s="116" customFormat="1">
      <c r="A51885" s="136"/>
      <c r="CM51885" s="111"/>
      <c r="CQ51885" s="111"/>
      <c r="EF51885"/>
      <c r="EG51885"/>
      <c r="EH51885"/>
      <c r="EI51885"/>
      <c r="EJ51885"/>
      <c r="EK51885"/>
    </row>
    <row r="51886" spans="1:141" s="116" customFormat="1">
      <c r="A51886" s="136"/>
      <c r="CM51886" s="111"/>
      <c r="CQ51886" s="111"/>
      <c r="EF51886"/>
      <c r="EG51886"/>
      <c r="EH51886"/>
      <c r="EI51886"/>
      <c r="EJ51886"/>
      <c r="EK51886"/>
    </row>
    <row r="51887" spans="1:141" s="116" customFormat="1">
      <c r="A51887" s="136"/>
      <c r="CM51887" s="111"/>
      <c r="CQ51887" s="111"/>
      <c r="EF51887"/>
      <c r="EG51887"/>
      <c r="EH51887"/>
      <c r="EI51887"/>
      <c r="EJ51887"/>
      <c r="EK51887"/>
    </row>
    <row r="51888" spans="1:141" s="116" customFormat="1">
      <c r="A51888" s="136"/>
      <c r="CM51888" s="111"/>
      <c r="CQ51888" s="111"/>
      <c r="EF51888"/>
      <c r="EG51888"/>
      <c r="EH51888"/>
      <c r="EI51888"/>
      <c r="EJ51888"/>
      <c r="EK51888"/>
    </row>
    <row r="51889" spans="1:141" s="116" customFormat="1">
      <c r="A51889" s="136"/>
      <c r="CM51889" s="111"/>
      <c r="CQ51889" s="111"/>
      <c r="EF51889"/>
      <c r="EG51889"/>
      <c r="EH51889"/>
      <c r="EI51889"/>
      <c r="EJ51889"/>
      <c r="EK51889"/>
    </row>
    <row r="51890" spans="1:141" s="116" customFormat="1">
      <c r="A51890" s="136"/>
      <c r="CM51890" s="111"/>
      <c r="CQ51890" s="111"/>
      <c r="EF51890"/>
      <c r="EG51890"/>
      <c r="EH51890"/>
      <c r="EI51890"/>
      <c r="EJ51890"/>
      <c r="EK51890"/>
    </row>
    <row r="51891" spans="1:141" s="116" customFormat="1">
      <c r="A51891" s="136"/>
      <c r="CM51891" s="111"/>
      <c r="CQ51891" s="111"/>
      <c r="EF51891"/>
      <c r="EG51891"/>
      <c r="EH51891"/>
      <c r="EI51891"/>
      <c r="EJ51891"/>
      <c r="EK51891"/>
    </row>
    <row r="51892" spans="1:141" s="116" customFormat="1">
      <c r="A51892" s="136"/>
      <c r="CM51892" s="111"/>
      <c r="CQ51892" s="111"/>
      <c r="EF51892"/>
      <c r="EG51892"/>
      <c r="EH51892"/>
      <c r="EI51892"/>
      <c r="EJ51892"/>
      <c r="EK51892"/>
    </row>
    <row r="51893" spans="1:141" s="116" customFormat="1">
      <c r="A51893" s="136"/>
      <c r="CM51893" s="111"/>
      <c r="CQ51893" s="111"/>
      <c r="EF51893"/>
      <c r="EG51893"/>
      <c r="EH51893"/>
      <c r="EI51893"/>
      <c r="EJ51893"/>
      <c r="EK51893"/>
    </row>
    <row r="51894" spans="1:141" s="116" customFormat="1">
      <c r="A51894" s="136"/>
      <c r="CM51894" s="111"/>
      <c r="CQ51894" s="111"/>
      <c r="EF51894"/>
      <c r="EG51894"/>
      <c r="EH51894"/>
      <c r="EI51894"/>
      <c r="EJ51894"/>
      <c r="EK51894"/>
    </row>
    <row r="51895" spans="1:141" s="116" customFormat="1">
      <c r="A51895" s="136"/>
      <c r="CM51895" s="111"/>
      <c r="CQ51895" s="111"/>
      <c r="EF51895"/>
      <c r="EG51895"/>
      <c r="EH51895"/>
      <c r="EI51895"/>
      <c r="EJ51895"/>
      <c r="EK51895"/>
    </row>
    <row r="51896" spans="1:141" s="116" customFormat="1">
      <c r="A51896" s="136"/>
      <c r="CM51896" s="111"/>
      <c r="CQ51896" s="111"/>
      <c r="EF51896"/>
      <c r="EG51896"/>
      <c r="EH51896"/>
      <c r="EI51896"/>
      <c r="EJ51896"/>
      <c r="EK51896"/>
    </row>
    <row r="51897" spans="1:141" s="116" customFormat="1">
      <c r="A51897" s="136"/>
      <c r="CM51897" s="111"/>
      <c r="CQ51897" s="111"/>
      <c r="EF51897"/>
      <c r="EG51897"/>
      <c r="EH51897"/>
      <c r="EI51897"/>
      <c r="EJ51897"/>
      <c r="EK51897"/>
    </row>
    <row r="51898" spans="1:141" s="116" customFormat="1">
      <c r="A51898" s="136"/>
      <c r="CM51898" s="111"/>
      <c r="CQ51898" s="111"/>
      <c r="EF51898"/>
      <c r="EG51898"/>
      <c r="EH51898"/>
      <c r="EI51898"/>
      <c r="EJ51898"/>
      <c r="EK51898"/>
    </row>
    <row r="51899" spans="1:141" s="116" customFormat="1">
      <c r="A51899" s="136"/>
      <c r="CM51899" s="111"/>
      <c r="CQ51899" s="111"/>
      <c r="EF51899"/>
      <c r="EG51899"/>
      <c r="EH51899"/>
      <c r="EI51899"/>
      <c r="EJ51899"/>
      <c r="EK51899"/>
    </row>
    <row r="51900" spans="1:141" s="116" customFormat="1">
      <c r="A51900" s="136"/>
      <c r="CM51900" s="111"/>
      <c r="CQ51900" s="111"/>
      <c r="EF51900"/>
      <c r="EG51900"/>
      <c r="EH51900"/>
      <c r="EI51900"/>
      <c r="EJ51900"/>
      <c r="EK51900"/>
    </row>
    <row r="51901" spans="1:141" s="116" customFormat="1">
      <c r="A51901" s="136"/>
      <c r="CM51901" s="111"/>
      <c r="CQ51901" s="111"/>
      <c r="EF51901"/>
      <c r="EG51901"/>
      <c r="EH51901"/>
      <c r="EI51901"/>
      <c r="EJ51901"/>
      <c r="EK51901"/>
    </row>
    <row r="51902" spans="1:141" s="116" customFormat="1">
      <c r="A51902" s="136"/>
      <c r="CM51902" s="111"/>
      <c r="CQ51902" s="111"/>
      <c r="EF51902"/>
      <c r="EG51902"/>
      <c r="EH51902"/>
      <c r="EI51902"/>
      <c r="EJ51902"/>
      <c r="EK51902"/>
    </row>
    <row r="51903" spans="1:141" s="116" customFormat="1">
      <c r="A51903" s="136"/>
      <c r="CM51903" s="111"/>
      <c r="CQ51903" s="111"/>
      <c r="EF51903"/>
      <c r="EG51903"/>
      <c r="EH51903"/>
      <c r="EI51903"/>
      <c r="EJ51903"/>
      <c r="EK51903"/>
    </row>
    <row r="51904" spans="1:141" s="116" customFormat="1">
      <c r="A51904" s="136"/>
      <c r="CM51904" s="111"/>
      <c r="CQ51904" s="111"/>
      <c r="EF51904"/>
      <c r="EG51904"/>
      <c r="EH51904"/>
      <c r="EI51904"/>
      <c r="EJ51904"/>
      <c r="EK51904"/>
    </row>
    <row r="51905" spans="1:141" s="116" customFormat="1">
      <c r="A51905" s="136"/>
      <c r="CM51905" s="111"/>
      <c r="CQ51905" s="111"/>
      <c r="EF51905"/>
      <c r="EG51905"/>
      <c r="EH51905"/>
      <c r="EI51905"/>
      <c r="EJ51905"/>
      <c r="EK51905"/>
    </row>
    <row r="51906" spans="1:141" s="116" customFormat="1">
      <c r="A51906" s="136"/>
      <c r="CM51906" s="111"/>
      <c r="CQ51906" s="111"/>
      <c r="EF51906"/>
      <c r="EG51906"/>
      <c r="EH51906"/>
      <c r="EI51906"/>
      <c r="EJ51906"/>
      <c r="EK51906"/>
    </row>
    <row r="51907" spans="1:141" s="116" customFormat="1">
      <c r="A51907" s="136"/>
      <c r="CM51907" s="111"/>
      <c r="CQ51907" s="111"/>
      <c r="EF51907"/>
      <c r="EG51907"/>
      <c r="EH51907"/>
      <c r="EI51907"/>
      <c r="EJ51907"/>
      <c r="EK51907"/>
    </row>
    <row r="51908" spans="1:141" s="116" customFormat="1">
      <c r="A51908" s="136"/>
      <c r="CM51908" s="111"/>
      <c r="CQ51908" s="111"/>
      <c r="EF51908"/>
      <c r="EG51908"/>
      <c r="EH51908"/>
      <c r="EI51908"/>
      <c r="EJ51908"/>
      <c r="EK51908"/>
    </row>
    <row r="51909" spans="1:141" s="116" customFormat="1">
      <c r="A51909" s="136"/>
      <c r="CM51909" s="111"/>
      <c r="CQ51909" s="111"/>
      <c r="EF51909"/>
      <c r="EG51909"/>
      <c r="EH51909"/>
      <c r="EI51909"/>
      <c r="EJ51909"/>
      <c r="EK51909"/>
    </row>
    <row r="51910" spans="1:141" s="116" customFormat="1">
      <c r="A51910" s="136"/>
      <c r="CM51910" s="111"/>
      <c r="CQ51910" s="111"/>
      <c r="EF51910"/>
      <c r="EG51910"/>
      <c r="EH51910"/>
      <c r="EI51910"/>
      <c r="EJ51910"/>
      <c r="EK51910"/>
    </row>
    <row r="51911" spans="1:141" s="116" customFormat="1">
      <c r="A51911" s="136"/>
      <c r="CM51911" s="111"/>
      <c r="CQ51911" s="111"/>
      <c r="EF51911"/>
      <c r="EG51911"/>
      <c r="EH51911"/>
      <c r="EI51911"/>
      <c r="EJ51911"/>
      <c r="EK51911"/>
    </row>
    <row r="51912" spans="1:141" s="116" customFormat="1">
      <c r="A51912" s="136"/>
      <c r="CM51912" s="111"/>
      <c r="CQ51912" s="111"/>
      <c r="EF51912"/>
      <c r="EG51912"/>
      <c r="EH51912"/>
      <c r="EI51912"/>
      <c r="EJ51912"/>
      <c r="EK51912"/>
    </row>
    <row r="51913" spans="1:141" s="116" customFormat="1">
      <c r="A51913" s="136"/>
      <c r="CM51913" s="111"/>
      <c r="CQ51913" s="111"/>
      <c r="EF51913"/>
      <c r="EG51913"/>
      <c r="EH51913"/>
      <c r="EI51913"/>
      <c r="EJ51913"/>
      <c r="EK51913"/>
    </row>
    <row r="51914" spans="1:141" s="116" customFormat="1">
      <c r="A51914" s="136"/>
      <c r="CM51914" s="111"/>
      <c r="CQ51914" s="111"/>
      <c r="EF51914"/>
      <c r="EG51914"/>
      <c r="EH51914"/>
      <c r="EI51914"/>
      <c r="EJ51914"/>
      <c r="EK51914"/>
    </row>
    <row r="51915" spans="1:141" s="116" customFormat="1">
      <c r="A51915" s="136"/>
      <c r="CM51915" s="111"/>
      <c r="CQ51915" s="111"/>
      <c r="EF51915"/>
      <c r="EG51915"/>
      <c r="EH51915"/>
      <c r="EI51915"/>
      <c r="EJ51915"/>
      <c r="EK51915"/>
    </row>
    <row r="51916" spans="1:141" s="116" customFormat="1">
      <c r="A51916" s="136"/>
      <c r="CM51916" s="111"/>
      <c r="CQ51916" s="111"/>
      <c r="EF51916"/>
      <c r="EG51916"/>
      <c r="EH51916"/>
      <c r="EI51916"/>
      <c r="EJ51916"/>
      <c r="EK51916"/>
    </row>
    <row r="51917" spans="1:141" s="116" customFormat="1">
      <c r="A51917" s="136"/>
      <c r="CM51917" s="111"/>
      <c r="CQ51917" s="111"/>
      <c r="EF51917"/>
      <c r="EG51917"/>
      <c r="EH51917"/>
      <c r="EI51917"/>
      <c r="EJ51917"/>
      <c r="EK51917"/>
    </row>
    <row r="51918" spans="1:141" s="116" customFormat="1">
      <c r="A51918" s="136"/>
      <c r="CM51918" s="111"/>
      <c r="CQ51918" s="111"/>
      <c r="EF51918"/>
      <c r="EG51918"/>
      <c r="EH51918"/>
      <c r="EI51918"/>
      <c r="EJ51918"/>
      <c r="EK51918"/>
    </row>
    <row r="51919" spans="1:141" s="116" customFormat="1">
      <c r="A51919" s="136"/>
      <c r="CM51919" s="111"/>
      <c r="CQ51919" s="111"/>
      <c r="EF51919"/>
      <c r="EG51919"/>
      <c r="EH51919"/>
      <c r="EI51919"/>
      <c r="EJ51919"/>
      <c r="EK51919"/>
    </row>
    <row r="51920" spans="1:141" s="116" customFormat="1">
      <c r="A51920" s="136"/>
      <c r="CM51920" s="111"/>
      <c r="CQ51920" s="111"/>
      <c r="EF51920"/>
      <c r="EG51920"/>
      <c r="EH51920"/>
      <c r="EI51920"/>
      <c r="EJ51920"/>
      <c r="EK51920"/>
    </row>
    <row r="51921" spans="1:141" s="116" customFormat="1">
      <c r="A51921" s="136"/>
      <c r="CM51921" s="111"/>
      <c r="CQ51921" s="111"/>
      <c r="EF51921"/>
      <c r="EG51921"/>
      <c r="EH51921"/>
      <c r="EI51921"/>
      <c r="EJ51921"/>
      <c r="EK51921"/>
    </row>
    <row r="51922" spans="1:141" s="116" customFormat="1">
      <c r="A51922" s="136"/>
      <c r="CM51922" s="111"/>
      <c r="CQ51922" s="111"/>
      <c r="EF51922"/>
      <c r="EG51922"/>
      <c r="EH51922"/>
      <c r="EI51922"/>
      <c r="EJ51922"/>
      <c r="EK51922"/>
    </row>
    <row r="51923" spans="1:141" s="116" customFormat="1">
      <c r="A51923" s="136"/>
      <c r="CM51923" s="111"/>
      <c r="CQ51923" s="111"/>
      <c r="EF51923"/>
      <c r="EG51923"/>
      <c r="EH51923"/>
      <c r="EI51923"/>
      <c r="EJ51923"/>
      <c r="EK51923"/>
    </row>
    <row r="51924" spans="1:141" s="116" customFormat="1">
      <c r="A51924" s="136"/>
      <c r="CM51924" s="111"/>
      <c r="CQ51924" s="111"/>
      <c r="EF51924"/>
      <c r="EG51924"/>
      <c r="EH51924"/>
      <c r="EI51924"/>
      <c r="EJ51924"/>
      <c r="EK51924"/>
    </row>
    <row r="51925" spans="1:141" s="116" customFormat="1">
      <c r="A51925" s="136"/>
      <c r="CM51925" s="111"/>
      <c r="CQ51925" s="111"/>
      <c r="EF51925"/>
      <c r="EG51925"/>
      <c r="EH51925"/>
      <c r="EI51925"/>
      <c r="EJ51925"/>
      <c r="EK51925"/>
    </row>
    <row r="51926" spans="1:141" s="116" customFormat="1">
      <c r="A51926" s="136"/>
      <c r="CM51926" s="111"/>
      <c r="CQ51926" s="111"/>
      <c r="EF51926"/>
      <c r="EG51926"/>
      <c r="EH51926"/>
      <c r="EI51926"/>
      <c r="EJ51926"/>
      <c r="EK51926"/>
    </row>
    <row r="51927" spans="1:141" s="116" customFormat="1">
      <c r="A51927" s="136"/>
      <c r="CM51927" s="111"/>
      <c r="CQ51927" s="111"/>
      <c r="EF51927"/>
      <c r="EG51927"/>
      <c r="EH51927"/>
      <c r="EI51927"/>
      <c r="EJ51927"/>
      <c r="EK51927"/>
    </row>
    <row r="51928" spans="1:141" s="116" customFormat="1">
      <c r="A51928" s="136"/>
      <c r="CM51928" s="111"/>
      <c r="CQ51928" s="111"/>
      <c r="EF51928"/>
      <c r="EG51928"/>
      <c r="EH51928"/>
      <c r="EI51928"/>
      <c r="EJ51928"/>
      <c r="EK51928"/>
    </row>
    <row r="51929" spans="1:141" s="116" customFormat="1">
      <c r="A51929" s="136"/>
      <c r="CM51929" s="111"/>
      <c r="CQ51929" s="111"/>
      <c r="EF51929"/>
      <c r="EG51929"/>
      <c r="EH51929"/>
      <c r="EI51929"/>
      <c r="EJ51929"/>
      <c r="EK51929"/>
    </row>
    <row r="51930" spans="1:141" s="116" customFormat="1">
      <c r="A51930" s="136"/>
      <c r="CM51930" s="111"/>
      <c r="CQ51930" s="111"/>
      <c r="EF51930"/>
      <c r="EG51930"/>
      <c r="EH51930"/>
      <c r="EI51930"/>
      <c r="EJ51930"/>
      <c r="EK51930"/>
    </row>
    <row r="51931" spans="1:141" s="116" customFormat="1">
      <c r="A51931" s="136"/>
      <c r="CM51931" s="111"/>
      <c r="CQ51931" s="111"/>
      <c r="EF51931"/>
      <c r="EG51931"/>
      <c r="EH51931"/>
      <c r="EI51931"/>
      <c r="EJ51931"/>
      <c r="EK51931"/>
    </row>
    <row r="51932" spans="1:141" s="116" customFormat="1">
      <c r="A51932" s="136"/>
      <c r="CM51932" s="111"/>
      <c r="CQ51932" s="111"/>
      <c r="EF51932"/>
      <c r="EG51932"/>
      <c r="EH51932"/>
      <c r="EI51932"/>
      <c r="EJ51932"/>
      <c r="EK51932"/>
    </row>
    <row r="51933" spans="1:141" s="116" customFormat="1">
      <c r="A51933" s="136"/>
      <c r="CM51933" s="111"/>
      <c r="CQ51933" s="111"/>
      <c r="EF51933"/>
      <c r="EG51933"/>
      <c r="EH51933"/>
      <c r="EI51933"/>
      <c r="EJ51933"/>
      <c r="EK51933"/>
    </row>
    <row r="51934" spans="1:141" s="116" customFormat="1">
      <c r="A51934" s="136"/>
      <c r="CM51934" s="111"/>
      <c r="CQ51934" s="111"/>
      <c r="EF51934"/>
      <c r="EG51934"/>
      <c r="EH51934"/>
      <c r="EI51934"/>
      <c r="EJ51934"/>
      <c r="EK51934"/>
    </row>
    <row r="51935" spans="1:141" s="116" customFormat="1">
      <c r="A51935" s="136"/>
      <c r="CM51935" s="111"/>
      <c r="CQ51935" s="111"/>
      <c r="EF51935"/>
      <c r="EG51935"/>
      <c r="EH51935"/>
      <c r="EI51935"/>
      <c r="EJ51935"/>
      <c r="EK51935"/>
    </row>
    <row r="51936" spans="1:141" s="116" customFormat="1">
      <c r="A51936" s="136"/>
      <c r="CM51936" s="111"/>
      <c r="CQ51936" s="111"/>
      <c r="EF51936"/>
      <c r="EG51936"/>
      <c r="EH51936"/>
      <c r="EI51936"/>
      <c r="EJ51936"/>
      <c r="EK51936"/>
    </row>
    <row r="51937" spans="1:141" s="116" customFormat="1">
      <c r="A51937" s="136"/>
      <c r="CM51937" s="111"/>
      <c r="CQ51937" s="111"/>
      <c r="EF51937"/>
      <c r="EG51937"/>
      <c r="EH51937"/>
      <c r="EI51937"/>
      <c r="EJ51937"/>
      <c r="EK51937"/>
    </row>
    <row r="51938" spans="1:141" s="116" customFormat="1">
      <c r="A51938" s="136"/>
      <c r="CM51938" s="111"/>
      <c r="CQ51938" s="111"/>
      <c r="EF51938"/>
      <c r="EG51938"/>
      <c r="EH51938"/>
      <c r="EI51938"/>
      <c r="EJ51938"/>
      <c r="EK51938"/>
    </row>
    <row r="51939" spans="1:141" s="116" customFormat="1">
      <c r="A51939" s="136"/>
      <c r="CM51939" s="111"/>
      <c r="CQ51939" s="111"/>
      <c r="EF51939"/>
      <c r="EG51939"/>
      <c r="EH51939"/>
      <c r="EI51939"/>
      <c r="EJ51939"/>
      <c r="EK51939"/>
    </row>
    <row r="51940" spans="1:141" s="116" customFormat="1">
      <c r="A51940" s="136"/>
      <c r="CM51940" s="111"/>
      <c r="CQ51940" s="111"/>
      <c r="EF51940"/>
      <c r="EG51940"/>
      <c r="EH51940"/>
      <c r="EI51940"/>
      <c r="EJ51940"/>
      <c r="EK51940"/>
    </row>
    <row r="51941" spans="1:141" s="116" customFormat="1">
      <c r="A51941" s="136"/>
      <c r="CM51941" s="111"/>
      <c r="CQ51941" s="111"/>
      <c r="EF51941"/>
      <c r="EG51941"/>
      <c r="EH51941"/>
      <c r="EI51941"/>
      <c r="EJ51941"/>
      <c r="EK51941"/>
    </row>
    <row r="51942" spans="1:141" s="116" customFormat="1">
      <c r="A51942" s="136"/>
      <c r="CM51942" s="111"/>
      <c r="CQ51942" s="111"/>
      <c r="EF51942"/>
      <c r="EG51942"/>
      <c r="EH51942"/>
      <c r="EI51942"/>
      <c r="EJ51942"/>
      <c r="EK51942"/>
    </row>
    <row r="51943" spans="1:141" s="116" customFormat="1">
      <c r="A51943" s="136"/>
      <c r="CM51943" s="111"/>
      <c r="CQ51943" s="111"/>
      <c r="EF51943"/>
      <c r="EG51943"/>
      <c r="EH51943"/>
      <c r="EI51943"/>
      <c r="EJ51943"/>
      <c r="EK51943"/>
    </row>
    <row r="51944" spans="1:141" s="116" customFormat="1">
      <c r="A51944" s="136"/>
      <c r="CM51944" s="111"/>
      <c r="CQ51944" s="111"/>
      <c r="EF51944"/>
      <c r="EG51944"/>
      <c r="EH51944"/>
      <c r="EI51944"/>
      <c r="EJ51944"/>
      <c r="EK51944"/>
    </row>
    <row r="51945" spans="1:141" s="116" customFormat="1">
      <c r="A51945" s="136"/>
      <c r="CM51945" s="111"/>
      <c r="CQ51945" s="111"/>
      <c r="EF51945"/>
      <c r="EG51945"/>
      <c r="EH51945"/>
      <c r="EI51945"/>
      <c r="EJ51945"/>
      <c r="EK51945"/>
    </row>
    <row r="51946" spans="1:141" s="116" customFormat="1">
      <c r="A51946" s="136"/>
      <c r="CM51946" s="111"/>
      <c r="CQ51946" s="111"/>
      <c r="EF51946"/>
      <c r="EG51946"/>
      <c r="EH51946"/>
      <c r="EI51946"/>
      <c r="EJ51946"/>
      <c r="EK51946"/>
    </row>
    <row r="51947" spans="1:141" s="116" customFormat="1">
      <c r="A51947" s="136"/>
      <c r="CM51947" s="111"/>
      <c r="CQ51947" s="111"/>
      <c r="EF51947"/>
      <c r="EG51947"/>
      <c r="EH51947"/>
      <c r="EI51947"/>
      <c r="EJ51947"/>
      <c r="EK51947"/>
    </row>
    <row r="51948" spans="1:141" s="116" customFormat="1">
      <c r="A51948" s="136"/>
      <c r="CM51948" s="111"/>
      <c r="CQ51948" s="111"/>
      <c r="EF51948"/>
      <c r="EG51948"/>
      <c r="EH51948"/>
      <c r="EI51948"/>
      <c r="EJ51948"/>
      <c r="EK51948"/>
    </row>
    <row r="51949" spans="1:141" s="116" customFormat="1">
      <c r="A51949" s="136"/>
      <c r="CM51949" s="111"/>
      <c r="CQ51949" s="111"/>
      <c r="EF51949"/>
      <c r="EG51949"/>
      <c r="EH51949"/>
      <c r="EI51949"/>
      <c r="EJ51949"/>
      <c r="EK51949"/>
    </row>
    <row r="51950" spans="1:141" s="116" customFormat="1">
      <c r="A51950" s="136"/>
      <c r="CM51950" s="111"/>
      <c r="CQ51950" s="111"/>
      <c r="EF51950"/>
      <c r="EG51950"/>
      <c r="EH51950"/>
      <c r="EI51950"/>
      <c r="EJ51950"/>
      <c r="EK51950"/>
    </row>
    <row r="51951" spans="1:141" s="116" customFormat="1">
      <c r="A51951" s="136"/>
      <c r="CM51951" s="111"/>
      <c r="CQ51951" s="111"/>
      <c r="EF51951"/>
      <c r="EG51951"/>
      <c r="EH51951"/>
      <c r="EI51951"/>
      <c r="EJ51951"/>
      <c r="EK51951"/>
    </row>
    <row r="51952" spans="1:141" s="116" customFormat="1">
      <c r="A51952" s="136"/>
      <c r="CM51952" s="111"/>
      <c r="CQ51952" s="111"/>
      <c r="EF51952"/>
      <c r="EG51952"/>
      <c r="EH51952"/>
      <c r="EI51952"/>
      <c r="EJ51952"/>
      <c r="EK51952"/>
    </row>
    <row r="51953" spans="1:141" s="116" customFormat="1">
      <c r="A51953" s="136"/>
      <c r="CM51953" s="111"/>
      <c r="CQ51953" s="111"/>
      <c r="EF51953"/>
      <c r="EG51953"/>
      <c r="EH51953"/>
      <c r="EI51953"/>
      <c r="EJ51953"/>
      <c r="EK51953"/>
    </row>
    <row r="51954" spans="1:141" s="116" customFormat="1">
      <c r="A51954" s="136"/>
      <c r="CM51954" s="111"/>
      <c r="CQ51954" s="111"/>
      <c r="EF51954"/>
      <c r="EG51954"/>
      <c r="EH51954"/>
      <c r="EI51954"/>
      <c r="EJ51954"/>
      <c r="EK51954"/>
    </row>
    <row r="51955" spans="1:141" s="116" customFormat="1">
      <c r="A51955" s="136"/>
      <c r="CM51955" s="111"/>
      <c r="CQ51955" s="111"/>
      <c r="EF51955"/>
      <c r="EG51955"/>
      <c r="EH51955"/>
      <c r="EI51955"/>
      <c r="EJ51955"/>
      <c r="EK51955"/>
    </row>
    <row r="51956" spans="1:141" s="116" customFormat="1">
      <c r="A51956" s="136"/>
      <c r="CM51956" s="111"/>
      <c r="CQ51956" s="111"/>
      <c r="EF51956"/>
      <c r="EG51956"/>
      <c r="EH51956"/>
      <c r="EI51956"/>
      <c r="EJ51956"/>
      <c r="EK51956"/>
    </row>
    <row r="51957" spans="1:141" s="116" customFormat="1">
      <c r="A51957" s="136"/>
      <c r="CM51957" s="111"/>
      <c r="CQ51957" s="111"/>
      <c r="EF51957"/>
      <c r="EG51957"/>
      <c r="EH51957"/>
      <c r="EI51957"/>
      <c r="EJ51957"/>
      <c r="EK51957"/>
    </row>
    <row r="51958" spans="1:141" s="116" customFormat="1">
      <c r="A51958" s="136"/>
      <c r="CM51958" s="111"/>
      <c r="CQ51958" s="111"/>
      <c r="EF51958"/>
      <c r="EG51958"/>
      <c r="EH51958"/>
      <c r="EI51958"/>
      <c r="EJ51958"/>
      <c r="EK51958"/>
    </row>
    <row r="51959" spans="1:141" s="116" customFormat="1">
      <c r="A51959" s="136"/>
      <c r="CM51959" s="111"/>
      <c r="CQ51959" s="111"/>
      <c r="EF51959"/>
      <c r="EG51959"/>
      <c r="EH51959"/>
      <c r="EI51959"/>
      <c r="EJ51959"/>
      <c r="EK51959"/>
    </row>
    <row r="51960" spans="1:141" s="116" customFormat="1">
      <c r="A51960" s="136"/>
      <c r="CM51960" s="111"/>
      <c r="CQ51960" s="111"/>
      <c r="EF51960"/>
      <c r="EG51960"/>
      <c r="EH51960"/>
      <c r="EI51960"/>
      <c r="EJ51960"/>
      <c r="EK51960"/>
    </row>
    <row r="51961" spans="1:141" s="116" customFormat="1">
      <c r="A51961" s="136"/>
      <c r="CM51961" s="111"/>
      <c r="CQ51961" s="111"/>
      <c r="EF51961"/>
      <c r="EG51961"/>
      <c r="EH51961"/>
      <c r="EI51961"/>
      <c r="EJ51961"/>
      <c r="EK51961"/>
    </row>
    <row r="51962" spans="1:141" s="116" customFormat="1">
      <c r="A51962" s="136"/>
      <c r="CM51962" s="111"/>
      <c r="CQ51962" s="111"/>
      <c r="EF51962"/>
      <c r="EG51962"/>
      <c r="EH51962"/>
      <c r="EI51962"/>
      <c r="EJ51962"/>
      <c r="EK51962"/>
    </row>
    <row r="51963" spans="1:141" s="116" customFormat="1">
      <c r="A51963" s="136"/>
      <c r="CM51963" s="111"/>
      <c r="CQ51963" s="111"/>
      <c r="EF51963"/>
      <c r="EG51963"/>
      <c r="EH51963"/>
      <c r="EI51963"/>
      <c r="EJ51963"/>
      <c r="EK51963"/>
    </row>
    <row r="51964" spans="1:141" s="116" customFormat="1">
      <c r="A51964" s="136"/>
      <c r="CM51964" s="111"/>
      <c r="CQ51964" s="111"/>
      <c r="EF51964"/>
      <c r="EG51964"/>
      <c r="EH51964"/>
      <c r="EI51964"/>
      <c r="EJ51964"/>
      <c r="EK51964"/>
    </row>
    <row r="51965" spans="1:141" s="116" customFormat="1">
      <c r="A51965" s="136"/>
      <c r="CM51965" s="111"/>
      <c r="CQ51965" s="111"/>
      <c r="EF51965"/>
      <c r="EG51965"/>
      <c r="EH51965"/>
      <c r="EI51965"/>
      <c r="EJ51965"/>
      <c r="EK51965"/>
    </row>
    <row r="51966" spans="1:141" s="116" customFormat="1">
      <c r="A51966" s="136"/>
      <c r="CM51966" s="111"/>
      <c r="CQ51966" s="111"/>
      <c r="EF51966"/>
      <c r="EG51966"/>
      <c r="EH51966"/>
      <c r="EI51966"/>
      <c r="EJ51966"/>
      <c r="EK51966"/>
    </row>
    <row r="51967" spans="1:141" s="116" customFormat="1">
      <c r="A51967" s="136"/>
      <c r="CM51967" s="111"/>
      <c r="CQ51967" s="111"/>
      <c r="EF51967"/>
      <c r="EG51967"/>
      <c r="EH51967"/>
      <c r="EI51967"/>
      <c r="EJ51967"/>
      <c r="EK51967"/>
    </row>
    <row r="51968" spans="1:141" s="116" customFormat="1">
      <c r="A51968" s="136"/>
      <c r="CM51968" s="111"/>
      <c r="CQ51968" s="111"/>
      <c r="EF51968"/>
      <c r="EG51968"/>
      <c r="EH51968"/>
      <c r="EI51968"/>
      <c r="EJ51968"/>
      <c r="EK51968"/>
    </row>
    <row r="51969" spans="1:141" s="116" customFormat="1">
      <c r="A51969" s="136"/>
      <c r="CM51969" s="111"/>
      <c r="CQ51969" s="111"/>
      <c r="EF51969"/>
      <c r="EG51969"/>
      <c r="EH51969"/>
      <c r="EI51969"/>
      <c r="EJ51969"/>
      <c r="EK51969"/>
    </row>
    <row r="51970" spans="1:141" s="116" customFormat="1">
      <c r="A51970" s="136"/>
      <c r="CM51970" s="111"/>
      <c r="CQ51970" s="111"/>
      <c r="EF51970"/>
      <c r="EG51970"/>
      <c r="EH51970"/>
      <c r="EI51970"/>
      <c r="EJ51970"/>
      <c r="EK51970"/>
    </row>
    <row r="51971" spans="1:141" s="116" customFormat="1">
      <c r="A51971" s="136"/>
      <c r="CM51971" s="111"/>
      <c r="CQ51971" s="111"/>
      <c r="EF51971"/>
      <c r="EG51971"/>
      <c r="EH51971"/>
      <c r="EI51971"/>
      <c r="EJ51971"/>
      <c r="EK51971"/>
    </row>
    <row r="51972" spans="1:141" s="116" customFormat="1">
      <c r="A51972" s="136"/>
      <c r="CM51972" s="111"/>
      <c r="CQ51972" s="111"/>
      <c r="EF51972"/>
      <c r="EG51972"/>
      <c r="EH51972"/>
      <c r="EI51972"/>
      <c r="EJ51972"/>
      <c r="EK51972"/>
    </row>
    <row r="51973" spans="1:141" s="116" customFormat="1">
      <c r="A51973" s="136"/>
      <c r="CM51973" s="111"/>
      <c r="CQ51973" s="111"/>
      <c r="EF51973"/>
      <c r="EG51973"/>
      <c r="EH51973"/>
      <c r="EI51973"/>
      <c r="EJ51973"/>
      <c r="EK51973"/>
    </row>
    <row r="51974" spans="1:141" s="116" customFormat="1">
      <c r="A51974" s="136"/>
      <c r="CM51974" s="111"/>
      <c r="CQ51974" s="111"/>
      <c r="EF51974"/>
      <c r="EG51974"/>
      <c r="EH51974"/>
      <c r="EI51974"/>
      <c r="EJ51974"/>
      <c r="EK51974"/>
    </row>
    <row r="51975" spans="1:141" s="116" customFormat="1">
      <c r="A51975" s="136"/>
      <c r="CM51975" s="111"/>
      <c r="CQ51975" s="111"/>
      <c r="EF51975"/>
      <c r="EG51975"/>
      <c r="EH51975"/>
      <c r="EI51975"/>
      <c r="EJ51975"/>
      <c r="EK51975"/>
    </row>
    <row r="51976" spans="1:141" s="116" customFormat="1">
      <c r="A51976" s="136"/>
      <c r="CM51976" s="111"/>
      <c r="CQ51976" s="111"/>
      <c r="EF51976"/>
      <c r="EG51976"/>
      <c r="EH51976"/>
      <c r="EI51976"/>
      <c r="EJ51976"/>
      <c r="EK51976"/>
    </row>
    <row r="51977" spans="1:141" s="116" customFormat="1">
      <c r="A51977" s="136"/>
      <c r="CM51977" s="111"/>
      <c r="CQ51977" s="111"/>
      <c r="EF51977"/>
      <c r="EG51977"/>
      <c r="EH51977"/>
      <c r="EI51977"/>
      <c r="EJ51977"/>
      <c r="EK51977"/>
    </row>
    <row r="51978" spans="1:141" s="116" customFormat="1">
      <c r="A51978" s="136"/>
      <c r="CM51978" s="111"/>
      <c r="CQ51978" s="111"/>
      <c r="EF51978"/>
      <c r="EG51978"/>
      <c r="EH51978"/>
      <c r="EI51978"/>
      <c r="EJ51978"/>
      <c r="EK51978"/>
    </row>
    <row r="51979" spans="1:141" s="116" customFormat="1">
      <c r="A51979" s="136"/>
      <c r="CM51979" s="111"/>
      <c r="CQ51979" s="111"/>
      <c r="EF51979"/>
      <c r="EG51979"/>
      <c r="EH51979"/>
      <c r="EI51979"/>
      <c r="EJ51979"/>
      <c r="EK51979"/>
    </row>
    <row r="51980" spans="1:141" s="116" customFormat="1">
      <c r="A51980" s="136"/>
      <c r="CM51980" s="111"/>
      <c r="CQ51980" s="111"/>
      <c r="EF51980"/>
      <c r="EG51980"/>
      <c r="EH51980"/>
      <c r="EI51980"/>
      <c r="EJ51980"/>
      <c r="EK51980"/>
    </row>
    <row r="51981" spans="1:141" s="116" customFormat="1">
      <c r="A51981" s="136"/>
      <c r="CM51981" s="111"/>
      <c r="CQ51981" s="111"/>
      <c r="EF51981"/>
      <c r="EG51981"/>
      <c r="EH51981"/>
      <c r="EI51981"/>
      <c r="EJ51981"/>
      <c r="EK51981"/>
    </row>
    <row r="51982" spans="1:141" s="116" customFormat="1">
      <c r="A51982" s="136"/>
      <c r="CM51982" s="111"/>
      <c r="CQ51982" s="111"/>
      <c r="EF51982"/>
      <c r="EG51982"/>
      <c r="EH51982"/>
      <c r="EI51982"/>
      <c r="EJ51982"/>
      <c r="EK51982"/>
    </row>
    <row r="51983" spans="1:141" s="116" customFormat="1">
      <c r="A51983" s="136"/>
      <c r="CM51983" s="111"/>
      <c r="CQ51983" s="111"/>
      <c r="EF51983"/>
      <c r="EG51983"/>
      <c r="EH51983"/>
      <c r="EI51983"/>
      <c r="EJ51983"/>
      <c r="EK51983"/>
    </row>
    <row r="51984" spans="1:141" s="116" customFormat="1">
      <c r="A51984" s="136"/>
      <c r="CM51984" s="111"/>
      <c r="CQ51984" s="111"/>
      <c r="EF51984"/>
      <c r="EG51984"/>
      <c r="EH51984"/>
      <c r="EI51984"/>
      <c r="EJ51984"/>
      <c r="EK51984"/>
    </row>
    <row r="51985" spans="1:141" s="116" customFormat="1">
      <c r="A51985" s="136"/>
      <c r="CM51985" s="111"/>
      <c r="CQ51985" s="111"/>
      <c r="EF51985"/>
      <c r="EG51985"/>
      <c r="EH51985"/>
      <c r="EI51985"/>
      <c r="EJ51985"/>
      <c r="EK51985"/>
    </row>
    <row r="51986" spans="1:141" s="116" customFormat="1">
      <c r="A51986" s="136"/>
      <c r="CM51986" s="111"/>
      <c r="CQ51986" s="111"/>
      <c r="EF51986"/>
      <c r="EG51986"/>
      <c r="EH51986"/>
      <c r="EI51986"/>
      <c r="EJ51986"/>
      <c r="EK51986"/>
    </row>
    <row r="51987" spans="1:141" s="116" customFormat="1">
      <c r="A51987" s="136"/>
      <c r="CM51987" s="111"/>
      <c r="CQ51987" s="111"/>
      <c r="EF51987"/>
      <c r="EG51987"/>
      <c r="EH51987"/>
      <c r="EI51987"/>
      <c r="EJ51987"/>
      <c r="EK51987"/>
    </row>
    <row r="51988" spans="1:141" s="116" customFormat="1">
      <c r="A51988" s="136"/>
      <c r="CM51988" s="111"/>
      <c r="CQ51988" s="111"/>
      <c r="EF51988"/>
      <c r="EG51988"/>
      <c r="EH51988"/>
      <c r="EI51988"/>
      <c r="EJ51988"/>
      <c r="EK51988"/>
    </row>
    <row r="51989" spans="1:141" s="116" customFormat="1">
      <c r="A51989" s="136"/>
      <c r="CM51989" s="111"/>
      <c r="CQ51989" s="111"/>
      <c r="EF51989"/>
      <c r="EG51989"/>
      <c r="EH51989"/>
      <c r="EI51989"/>
      <c r="EJ51989"/>
      <c r="EK51989"/>
    </row>
    <row r="51990" spans="1:141" s="116" customFormat="1">
      <c r="A51990" s="136"/>
      <c r="CM51990" s="111"/>
      <c r="CQ51990" s="111"/>
      <c r="EF51990"/>
      <c r="EG51990"/>
      <c r="EH51990"/>
      <c r="EI51990"/>
      <c r="EJ51990"/>
      <c r="EK51990"/>
    </row>
    <row r="51991" spans="1:141" s="116" customFormat="1">
      <c r="A51991" s="136"/>
      <c r="CM51991" s="111"/>
      <c r="CQ51991" s="111"/>
      <c r="EF51991"/>
      <c r="EG51991"/>
      <c r="EH51991"/>
      <c r="EI51991"/>
      <c r="EJ51991"/>
      <c r="EK51991"/>
    </row>
    <row r="51992" spans="1:141" s="116" customFormat="1">
      <c r="A51992" s="136"/>
      <c r="CM51992" s="111"/>
      <c r="CQ51992" s="111"/>
      <c r="EF51992"/>
      <c r="EG51992"/>
      <c r="EH51992"/>
      <c r="EI51992"/>
      <c r="EJ51992"/>
      <c r="EK51992"/>
    </row>
    <row r="51993" spans="1:141" s="116" customFormat="1">
      <c r="A51993" s="136"/>
      <c r="CM51993" s="111"/>
      <c r="CQ51993" s="111"/>
      <c r="EF51993"/>
      <c r="EG51993"/>
      <c r="EH51993"/>
      <c r="EI51993"/>
      <c r="EJ51993"/>
      <c r="EK51993"/>
    </row>
    <row r="51994" spans="1:141" s="116" customFormat="1">
      <c r="A51994" s="136"/>
      <c r="CM51994" s="111"/>
      <c r="CQ51994" s="111"/>
      <c r="EF51994"/>
      <c r="EG51994"/>
      <c r="EH51994"/>
      <c r="EI51994"/>
      <c r="EJ51994"/>
      <c r="EK51994"/>
    </row>
    <row r="51995" spans="1:141" s="116" customFormat="1">
      <c r="A51995" s="136"/>
      <c r="CM51995" s="111"/>
      <c r="CQ51995" s="111"/>
      <c r="EF51995"/>
      <c r="EG51995"/>
      <c r="EH51995"/>
      <c r="EI51995"/>
      <c r="EJ51995"/>
      <c r="EK51995"/>
    </row>
    <row r="51996" spans="1:141" s="116" customFormat="1">
      <c r="A51996" s="136"/>
      <c r="CM51996" s="111"/>
      <c r="CQ51996" s="111"/>
      <c r="EF51996"/>
      <c r="EG51996"/>
      <c r="EH51996"/>
      <c r="EI51996"/>
      <c r="EJ51996"/>
      <c r="EK51996"/>
    </row>
    <row r="51997" spans="1:141" s="116" customFormat="1">
      <c r="A51997" s="136"/>
      <c r="CM51997" s="111"/>
      <c r="CQ51997" s="111"/>
      <c r="EF51997"/>
      <c r="EG51997"/>
      <c r="EH51997"/>
      <c r="EI51997"/>
      <c r="EJ51997"/>
      <c r="EK51997"/>
    </row>
    <row r="51998" spans="1:141" s="116" customFormat="1">
      <c r="A51998" s="136"/>
      <c r="CM51998" s="111"/>
      <c r="CQ51998" s="111"/>
      <c r="EF51998"/>
      <c r="EG51998"/>
      <c r="EH51998"/>
      <c r="EI51998"/>
      <c r="EJ51998"/>
      <c r="EK51998"/>
    </row>
    <row r="51999" spans="1:141" s="116" customFormat="1">
      <c r="A51999" s="136"/>
      <c r="CM51999" s="111"/>
      <c r="CQ51999" s="111"/>
      <c r="EF51999"/>
      <c r="EG51999"/>
      <c r="EH51999"/>
      <c r="EI51999"/>
      <c r="EJ51999"/>
      <c r="EK51999"/>
    </row>
    <row r="52000" spans="1:141" s="116" customFormat="1">
      <c r="A52000" s="136"/>
      <c r="CM52000" s="111"/>
      <c r="CQ52000" s="111"/>
      <c r="EF52000"/>
      <c r="EG52000"/>
      <c r="EH52000"/>
      <c r="EI52000"/>
      <c r="EJ52000"/>
      <c r="EK52000"/>
    </row>
    <row r="52001" spans="1:141" s="116" customFormat="1">
      <c r="A52001" s="136"/>
      <c r="CM52001" s="111"/>
      <c r="CQ52001" s="111"/>
      <c r="EF52001"/>
      <c r="EG52001"/>
      <c r="EH52001"/>
      <c r="EI52001"/>
      <c r="EJ52001"/>
      <c r="EK52001"/>
    </row>
    <row r="52002" spans="1:141" s="116" customFormat="1">
      <c r="A52002" s="136"/>
      <c r="CM52002" s="111"/>
      <c r="CQ52002" s="111"/>
      <c r="EF52002"/>
      <c r="EG52002"/>
      <c r="EH52002"/>
      <c r="EI52002"/>
      <c r="EJ52002"/>
      <c r="EK52002"/>
    </row>
    <row r="52003" spans="1:141" s="116" customFormat="1">
      <c r="A52003" s="136"/>
      <c r="CM52003" s="111"/>
      <c r="CQ52003" s="111"/>
      <c r="EF52003"/>
      <c r="EG52003"/>
      <c r="EH52003"/>
      <c r="EI52003"/>
      <c r="EJ52003"/>
      <c r="EK52003"/>
    </row>
    <row r="52004" spans="1:141" s="116" customFormat="1">
      <c r="A52004" s="136"/>
      <c r="CM52004" s="111"/>
      <c r="CQ52004" s="111"/>
      <c r="EF52004"/>
      <c r="EG52004"/>
      <c r="EH52004"/>
      <c r="EI52004"/>
      <c r="EJ52004"/>
      <c r="EK52004"/>
    </row>
    <row r="52005" spans="1:141" s="116" customFormat="1">
      <c r="A52005" s="136"/>
      <c r="CM52005" s="111"/>
      <c r="CQ52005" s="111"/>
      <c r="EF52005"/>
      <c r="EG52005"/>
      <c r="EH52005"/>
      <c r="EI52005"/>
      <c r="EJ52005"/>
      <c r="EK52005"/>
    </row>
    <row r="52006" spans="1:141" s="116" customFormat="1">
      <c r="A52006" s="136"/>
      <c r="CM52006" s="111"/>
      <c r="CQ52006" s="111"/>
      <c r="EF52006"/>
      <c r="EG52006"/>
      <c r="EH52006"/>
      <c r="EI52006"/>
      <c r="EJ52006"/>
      <c r="EK52006"/>
    </row>
    <row r="52007" spans="1:141" s="116" customFormat="1">
      <c r="A52007" s="136"/>
      <c r="CM52007" s="111"/>
      <c r="CQ52007" s="111"/>
      <c r="EF52007"/>
      <c r="EG52007"/>
      <c r="EH52007"/>
      <c r="EI52007"/>
      <c r="EJ52007"/>
      <c r="EK52007"/>
    </row>
    <row r="52008" spans="1:141" s="116" customFormat="1">
      <c r="A52008" s="136"/>
      <c r="CM52008" s="111"/>
      <c r="CQ52008" s="111"/>
      <c r="EF52008"/>
      <c r="EG52008"/>
      <c r="EH52008"/>
      <c r="EI52008"/>
      <c r="EJ52008"/>
      <c r="EK52008"/>
    </row>
    <row r="52009" spans="1:141" s="116" customFormat="1">
      <c r="A52009" s="136"/>
      <c r="CM52009" s="111"/>
      <c r="CQ52009" s="111"/>
      <c r="EF52009"/>
      <c r="EG52009"/>
      <c r="EH52009"/>
      <c r="EI52009"/>
      <c r="EJ52009"/>
      <c r="EK52009"/>
    </row>
    <row r="52010" spans="1:141" s="116" customFormat="1">
      <c r="A52010" s="136"/>
      <c r="CM52010" s="111"/>
      <c r="CQ52010" s="111"/>
      <c r="EF52010"/>
      <c r="EG52010"/>
      <c r="EH52010"/>
      <c r="EI52010"/>
      <c r="EJ52010"/>
      <c r="EK52010"/>
    </row>
    <row r="52011" spans="1:141" s="116" customFormat="1">
      <c r="A52011" s="136"/>
      <c r="CM52011" s="111"/>
      <c r="CQ52011" s="111"/>
      <c r="EF52011"/>
      <c r="EG52011"/>
      <c r="EH52011"/>
      <c r="EI52011"/>
      <c r="EJ52011"/>
      <c r="EK52011"/>
    </row>
    <row r="52012" spans="1:141" s="116" customFormat="1">
      <c r="A52012" s="136"/>
      <c r="CM52012" s="111"/>
      <c r="CQ52012" s="111"/>
      <c r="EF52012"/>
      <c r="EG52012"/>
      <c r="EH52012"/>
      <c r="EI52012"/>
      <c r="EJ52012"/>
      <c r="EK52012"/>
    </row>
    <row r="52013" spans="1:141" s="116" customFormat="1">
      <c r="A52013" s="136"/>
      <c r="CM52013" s="111"/>
      <c r="CQ52013" s="111"/>
      <c r="EF52013"/>
      <c r="EG52013"/>
      <c r="EH52013"/>
      <c r="EI52013"/>
      <c r="EJ52013"/>
      <c r="EK52013"/>
    </row>
    <row r="52014" spans="1:141" s="116" customFormat="1">
      <c r="A52014" s="136"/>
      <c r="CM52014" s="111"/>
      <c r="CQ52014" s="111"/>
      <c r="EF52014"/>
      <c r="EG52014"/>
      <c r="EH52014"/>
      <c r="EI52014"/>
      <c r="EJ52014"/>
      <c r="EK52014"/>
    </row>
    <row r="52015" spans="1:141" s="116" customFormat="1">
      <c r="A52015" s="136"/>
      <c r="CM52015" s="111"/>
      <c r="CQ52015" s="111"/>
      <c r="EF52015"/>
      <c r="EG52015"/>
      <c r="EH52015"/>
      <c r="EI52015"/>
      <c r="EJ52015"/>
      <c r="EK52015"/>
    </row>
    <row r="52016" spans="1:141" s="116" customFormat="1">
      <c r="A52016" s="136"/>
      <c r="CM52016" s="111"/>
      <c r="CQ52016" s="111"/>
      <c r="EF52016"/>
      <c r="EG52016"/>
      <c r="EH52016"/>
      <c r="EI52016"/>
      <c r="EJ52016"/>
      <c r="EK52016"/>
    </row>
    <row r="52017" spans="1:141" s="116" customFormat="1">
      <c r="A52017" s="136"/>
      <c r="CM52017" s="111"/>
      <c r="CQ52017" s="111"/>
      <c r="EF52017"/>
      <c r="EG52017"/>
      <c r="EH52017"/>
      <c r="EI52017"/>
      <c r="EJ52017"/>
      <c r="EK52017"/>
    </row>
    <row r="52018" spans="1:141" s="116" customFormat="1">
      <c r="A52018" s="136"/>
      <c r="CM52018" s="111"/>
      <c r="CQ52018" s="111"/>
      <c r="EF52018"/>
      <c r="EG52018"/>
      <c r="EH52018"/>
      <c r="EI52018"/>
      <c r="EJ52018"/>
      <c r="EK52018"/>
    </row>
    <row r="52019" spans="1:141" s="116" customFormat="1">
      <c r="A52019" s="136"/>
      <c r="CM52019" s="111"/>
      <c r="CQ52019" s="111"/>
      <c r="EF52019"/>
      <c r="EG52019"/>
      <c r="EH52019"/>
      <c r="EI52019"/>
      <c r="EJ52019"/>
      <c r="EK52019"/>
    </row>
    <row r="52020" spans="1:141" s="116" customFormat="1">
      <c r="A52020" s="136"/>
      <c r="CM52020" s="111"/>
      <c r="CQ52020" s="111"/>
      <c r="EF52020"/>
      <c r="EG52020"/>
      <c r="EH52020"/>
      <c r="EI52020"/>
      <c r="EJ52020"/>
      <c r="EK52020"/>
    </row>
    <row r="52021" spans="1:141" s="116" customFormat="1">
      <c r="A52021" s="136"/>
      <c r="CM52021" s="111"/>
      <c r="CQ52021" s="111"/>
      <c r="EF52021"/>
      <c r="EG52021"/>
      <c r="EH52021"/>
      <c r="EI52021"/>
      <c r="EJ52021"/>
      <c r="EK52021"/>
    </row>
    <row r="52022" spans="1:141" s="116" customFormat="1">
      <c r="A52022" s="136"/>
      <c r="CM52022" s="111"/>
      <c r="CQ52022" s="111"/>
      <c r="EF52022"/>
      <c r="EG52022"/>
      <c r="EH52022"/>
      <c r="EI52022"/>
      <c r="EJ52022"/>
      <c r="EK52022"/>
    </row>
    <row r="52023" spans="1:141" s="116" customFormat="1">
      <c r="A52023" s="136"/>
      <c r="CM52023" s="111"/>
      <c r="CQ52023" s="111"/>
      <c r="EF52023"/>
      <c r="EG52023"/>
      <c r="EH52023"/>
      <c r="EI52023"/>
      <c r="EJ52023"/>
      <c r="EK52023"/>
    </row>
    <row r="52024" spans="1:141" s="116" customFormat="1">
      <c r="A52024" s="136"/>
      <c r="CM52024" s="111"/>
      <c r="CQ52024" s="111"/>
      <c r="EF52024"/>
      <c r="EG52024"/>
      <c r="EH52024"/>
      <c r="EI52024"/>
      <c r="EJ52024"/>
      <c r="EK52024"/>
    </row>
    <row r="52025" spans="1:141" s="116" customFormat="1">
      <c r="A52025" s="136"/>
      <c r="CM52025" s="111"/>
      <c r="CQ52025" s="111"/>
      <c r="EF52025"/>
      <c r="EG52025"/>
      <c r="EH52025"/>
      <c r="EI52025"/>
      <c r="EJ52025"/>
      <c r="EK52025"/>
    </row>
    <row r="52026" spans="1:141" s="116" customFormat="1">
      <c r="A52026" s="136"/>
      <c r="CM52026" s="111"/>
      <c r="CQ52026" s="111"/>
      <c r="EF52026"/>
      <c r="EG52026"/>
      <c r="EH52026"/>
      <c r="EI52026"/>
      <c r="EJ52026"/>
      <c r="EK52026"/>
    </row>
    <row r="52027" spans="1:141" s="116" customFormat="1">
      <c r="A52027" s="136"/>
      <c r="CM52027" s="111"/>
      <c r="CQ52027" s="111"/>
      <c r="EF52027"/>
      <c r="EG52027"/>
      <c r="EH52027"/>
      <c r="EI52027"/>
      <c r="EJ52027"/>
      <c r="EK52027"/>
    </row>
    <row r="52028" spans="1:141" s="116" customFormat="1">
      <c r="A52028" s="136"/>
      <c r="CM52028" s="111"/>
      <c r="CQ52028" s="111"/>
      <c r="EF52028"/>
      <c r="EG52028"/>
      <c r="EH52028"/>
      <c r="EI52028"/>
      <c r="EJ52028"/>
      <c r="EK52028"/>
    </row>
    <row r="52029" spans="1:141" s="116" customFormat="1">
      <c r="A52029" s="136"/>
      <c r="CM52029" s="111"/>
      <c r="CQ52029" s="111"/>
      <c r="EF52029"/>
      <c r="EG52029"/>
      <c r="EH52029"/>
      <c r="EI52029"/>
      <c r="EJ52029"/>
      <c r="EK52029"/>
    </row>
    <row r="52030" spans="1:141" s="116" customFormat="1">
      <c r="A52030" s="136"/>
      <c r="CM52030" s="111"/>
      <c r="CQ52030" s="111"/>
      <c r="EF52030"/>
      <c r="EG52030"/>
      <c r="EH52030"/>
      <c r="EI52030"/>
      <c r="EJ52030"/>
      <c r="EK52030"/>
    </row>
    <row r="52031" spans="1:141" s="116" customFormat="1">
      <c r="A52031" s="136"/>
      <c r="CM52031" s="111"/>
      <c r="CQ52031" s="111"/>
      <c r="EF52031"/>
      <c r="EG52031"/>
      <c r="EH52031"/>
      <c r="EI52031"/>
      <c r="EJ52031"/>
      <c r="EK52031"/>
    </row>
    <row r="52032" spans="1:141" s="116" customFormat="1">
      <c r="A52032" s="136"/>
      <c r="CM52032" s="111"/>
      <c r="CQ52032" s="111"/>
      <c r="EF52032"/>
      <c r="EG52032"/>
      <c r="EH52032"/>
      <c r="EI52032"/>
      <c r="EJ52032"/>
      <c r="EK52032"/>
    </row>
    <row r="52033" spans="1:141" s="116" customFormat="1">
      <c r="A52033" s="136"/>
      <c r="CM52033" s="111"/>
      <c r="CQ52033" s="111"/>
      <c r="EF52033"/>
      <c r="EG52033"/>
      <c r="EH52033"/>
      <c r="EI52033"/>
      <c r="EJ52033"/>
      <c r="EK52033"/>
    </row>
    <row r="52034" spans="1:141" s="116" customFormat="1">
      <c r="A52034" s="136"/>
      <c r="CM52034" s="111"/>
      <c r="CQ52034" s="111"/>
      <c r="EF52034"/>
      <c r="EG52034"/>
      <c r="EH52034"/>
      <c r="EI52034"/>
      <c r="EJ52034"/>
      <c r="EK52034"/>
    </row>
    <row r="52035" spans="1:141" s="116" customFormat="1">
      <c r="A52035" s="136"/>
      <c r="CM52035" s="111"/>
      <c r="CQ52035" s="111"/>
      <c r="EF52035"/>
      <c r="EG52035"/>
      <c r="EH52035"/>
      <c r="EI52035"/>
      <c r="EJ52035"/>
      <c r="EK52035"/>
    </row>
    <row r="52036" spans="1:141" s="116" customFormat="1">
      <c r="A52036" s="136"/>
      <c r="CM52036" s="111"/>
      <c r="CQ52036" s="111"/>
      <c r="EF52036"/>
      <c r="EG52036"/>
      <c r="EH52036"/>
      <c r="EI52036"/>
      <c r="EJ52036"/>
      <c r="EK52036"/>
    </row>
    <row r="52037" spans="1:141" s="116" customFormat="1">
      <c r="A52037" s="136"/>
      <c r="CM52037" s="111"/>
      <c r="CQ52037" s="111"/>
      <c r="EF52037"/>
      <c r="EG52037"/>
      <c r="EH52037"/>
      <c r="EI52037"/>
      <c r="EJ52037"/>
      <c r="EK52037"/>
    </row>
    <row r="52038" spans="1:141" s="116" customFormat="1">
      <c r="A52038" s="136"/>
      <c r="CM52038" s="111"/>
      <c r="CQ52038" s="111"/>
      <c r="EF52038"/>
      <c r="EG52038"/>
      <c r="EH52038"/>
      <c r="EI52038"/>
      <c r="EJ52038"/>
      <c r="EK52038"/>
    </row>
    <row r="52039" spans="1:141" s="116" customFormat="1">
      <c r="A52039" s="136"/>
      <c r="CM52039" s="111"/>
      <c r="CQ52039" s="111"/>
      <c r="EF52039"/>
      <c r="EG52039"/>
      <c r="EH52039"/>
      <c r="EI52039"/>
      <c r="EJ52039"/>
      <c r="EK52039"/>
    </row>
    <row r="52040" spans="1:141" s="116" customFormat="1">
      <c r="A52040" s="136"/>
      <c r="CM52040" s="111"/>
      <c r="CQ52040" s="111"/>
      <c r="EF52040"/>
      <c r="EG52040"/>
      <c r="EH52040"/>
      <c r="EI52040"/>
      <c r="EJ52040"/>
      <c r="EK52040"/>
    </row>
    <row r="52041" spans="1:141" s="116" customFormat="1">
      <c r="A52041" s="136"/>
      <c r="CM52041" s="111"/>
      <c r="CQ52041" s="111"/>
      <c r="EF52041"/>
      <c r="EG52041"/>
      <c r="EH52041"/>
      <c r="EI52041"/>
      <c r="EJ52041"/>
      <c r="EK52041"/>
    </row>
    <row r="52042" spans="1:141" s="116" customFormat="1">
      <c r="A52042" s="136"/>
      <c r="CM52042" s="111"/>
      <c r="CQ52042" s="111"/>
      <c r="EF52042"/>
      <c r="EG52042"/>
      <c r="EH52042"/>
      <c r="EI52042"/>
      <c r="EJ52042"/>
      <c r="EK52042"/>
    </row>
    <row r="52043" spans="1:141" s="116" customFormat="1">
      <c r="A52043" s="136"/>
      <c r="CM52043" s="111"/>
      <c r="CQ52043" s="111"/>
      <c r="EF52043"/>
      <c r="EG52043"/>
      <c r="EH52043"/>
      <c r="EI52043"/>
      <c r="EJ52043"/>
      <c r="EK52043"/>
    </row>
    <row r="52044" spans="1:141" s="116" customFormat="1">
      <c r="A52044" s="136"/>
      <c r="CM52044" s="111"/>
      <c r="CQ52044" s="111"/>
      <c r="EF52044"/>
      <c r="EG52044"/>
      <c r="EH52044"/>
      <c r="EI52044"/>
      <c r="EJ52044"/>
      <c r="EK52044"/>
    </row>
    <row r="52045" spans="1:141" s="116" customFormat="1">
      <c r="A52045" s="136"/>
      <c r="CM52045" s="111"/>
      <c r="CQ52045" s="111"/>
      <c r="EF52045"/>
      <c r="EG52045"/>
      <c r="EH52045"/>
      <c r="EI52045"/>
      <c r="EJ52045"/>
      <c r="EK52045"/>
    </row>
    <row r="52046" spans="1:141" s="116" customFormat="1">
      <c r="A52046" s="136"/>
      <c r="CM52046" s="111"/>
      <c r="CQ52046" s="111"/>
      <c r="EF52046"/>
      <c r="EG52046"/>
      <c r="EH52046"/>
      <c r="EI52046"/>
      <c r="EJ52046"/>
      <c r="EK52046"/>
    </row>
    <row r="52047" spans="1:141" s="116" customFormat="1">
      <c r="A52047" s="136"/>
      <c r="CM52047" s="111"/>
      <c r="CQ52047" s="111"/>
      <c r="EF52047"/>
      <c r="EG52047"/>
      <c r="EH52047"/>
      <c r="EI52047"/>
      <c r="EJ52047"/>
      <c r="EK52047"/>
    </row>
    <row r="52048" spans="1:141" s="116" customFormat="1">
      <c r="A52048" s="136"/>
      <c r="CM52048" s="111"/>
      <c r="CQ52048" s="111"/>
      <c r="EF52048"/>
      <c r="EG52048"/>
      <c r="EH52048"/>
      <c r="EI52048"/>
      <c r="EJ52048"/>
      <c r="EK52048"/>
    </row>
    <row r="52049" spans="1:141" s="116" customFormat="1">
      <c r="A52049" s="136"/>
      <c r="CM52049" s="111"/>
      <c r="CQ52049" s="111"/>
      <c r="EF52049"/>
      <c r="EG52049"/>
      <c r="EH52049"/>
      <c r="EI52049"/>
      <c r="EJ52049"/>
      <c r="EK52049"/>
    </row>
    <row r="52050" spans="1:141" s="116" customFormat="1">
      <c r="A52050" s="136"/>
      <c r="CM52050" s="111"/>
      <c r="CQ52050" s="111"/>
      <c r="EF52050"/>
      <c r="EG52050"/>
      <c r="EH52050"/>
      <c r="EI52050"/>
      <c r="EJ52050"/>
      <c r="EK52050"/>
    </row>
    <row r="52051" spans="1:141" s="116" customFormat="1">
      <c r="A52051" s="136"/>
      <c r="CM52051" s="111"/>
      <c r="CQ52051" s="111"/>
      <c r="EF52051"/>
      <c r="EG52051"/>
      <c r="EH52051"/>
      <c r="EI52051"/>
      <c r="EJ52051"/>
      <c r="EK52051"/>
    </row>
    <row r="52052" spans="1:141" s="116" customFormat="1">
      <c r="A52052" s="136"/>
      <c r="CM52052" s="111"/>
      <c r="CQ52052" s="111"/>
      <c r="EF52052"/>
      <c r="EG52052"/>
      <c r="EH52052"/>
      <c r="EI52052"/>
      <c r="EJ52052"/>
      <c r="EK52052"/>
    </row>
    <row r="52053" spans="1:141" s="116" customFormat="1">
      <c r="A52053" s="136"/>
      <c r="CM52053" s="111"/>
      <c r="CQ52053" s="111"/>
      <c r="EF52053"/>
      <c r="EG52053"/>
      <c r="EH52053"/>
      <c r="EI52053"/>
      <c r="EJ52053"/>
      <c r="EK52053"/>
    </row>
    <row r="52054" spans="1:141" s="116" customFormat="1">
      <c r="A52054" s="136"/>
      <c r="CM52054" s="111"/>
      <c r="CQ52054" s="111"/>
      <c r="EF52054"/>
      <c r="EG52054"/>
      <c r="EH52054"/>
      <c r="EI52054"/>
      <c r="EJ52054"/>
      <c r="EK52054"/>
    </row>
    <row r="52055" spans="1:141" s="116" customFormat="1">
      <c r="A52055" s="136"/>
      <c r="CM52055" s="111"/>
      <c r="CQ52055" s="111"/>
      <c r="EF52055"/>
      <c r="EG52055"/>
      <c r="EH52055"/>
      <c r="EI52055"/>
      <c r="EJ52055"/>
      <c r="EK52055"/>
    </row>
    <row r="52056" spans="1:141" s="116" customFormat="1">
      <c r="A52056" s="136"/>
      <c r="CM52056" s="111"/>
      <c r="CQ52056" s="111"/>
      <c r="EF52056"/>
      <c r="EG52056"/>
      <c r="EH52056"/>
      <c r="EI52056"/>
      <c r="EJ52056"/>
      <c r="EK52056"/>
    </row>
    <row r="52057" spans="1:141" s="116" customFormat="1">
      <c r="A52057" s="136"/>
      <c r="CM52057" s="111"/>
      <c r="CQ52057" s="111"/>
      <c r="EF52057"/>
      <c r="EG52057"/>
      <c r="EH52057"/>
      <c r="EI52057"/>
      <c r="EJ52057"/>
      <c r="EK52057"/>
    </row>
    <row r="52058" spans="1:141" s="116" customFormat="1">
      <c r="A52058" s="136"/>
      <c r="CM52058" s="111"/>
      <c r="CQ52058" s="111"/>
      <c r="EF52058"/>
      <c r="EG52058"/>
      <c r="EH52058"/>
      <c r="EI52058"/>
      <c r="EJ52058"/>
      <c r="EK52058"/>
    </row>
    <row r="52059" spans="1:141" s="116" customFormat="1">
      <c r="A52059" s="136"/>
      <c r="CM52059" s="111"/>
      <c r="CQ52059" s="111"/>
      <c r="EF52059"/>
      <c r="EG52059"/>
      <c r="EH52059"/>
      <c r="EI52059"/>
      <c r="EJ52059"/>
      <c r="EK52059"/>
    </row>
    <row r="52060" spans="1:141" s="116" customFormat="1">
      <c r="A52060" s="136"/>
      <c r="CM52060" s="111"/>
      <c r="CQ52060" s="111"/>
      <c r="EF52060"/>
      <c r="EG52060"/>
      <c r="EH52060"/>
      <c r="EI52060"/>
      <c r="EJ52060"/>
      <c r="EK52060"/>
    </row>
    <row r="52061" spans="1:141" s="116" customFormat="1">
      <c r="A52061" s="136"/>
      <c r="CM52061" s="111"/>
      <c r="CQ52061" s="111"/>
      <c r="EF52061"/>
      <c r="EG52061"/>
      <c r="EH52061"/>
      <c r="EI52061"/>
      <c r="EJ52061"/>
      <c r="EK52061"/>
    </row>
    <row r="52062" spans="1:141" s="116" customFormat="1">
      <c r="A52062" s="136"/>
      <c r="CM52062" s="111"/>
      <c r="CQ52062" s="111"/>
      <c r="EF52062"/>
      <c r="EG52062"/>
      <c r="EH52062"/>
      <c r="EI52062"/>
      <c r="EJ52062"/>
      <c r="EK52062"/>
    </row>
    <row r="52063" spans="1:141" s="116" customFormat="1">
      <c r="A52063" s="136"/>
      <c r="CM52063" s="111"/>
      <c r="CQ52063" s="111"/>
      <c r="EF52063"/>
      <c r="EG52063"/>
      <c r="EH52063"/>
      <c r="EI52063"/>
      <c r="EJ52063"/>
      <c r="EK52063"/>
    </row>
    <row r="52064" spans="1:141" s="116" customFormat="1">
      <c r="A52064" s="136"/>
      <c r="CM52064" s="111"/>
      <c r="CQ52064" s="111"/>
      <c r="EF52064"/>
      <c r="EG52064"/>
      <c r="EH52064"/>
      <c r="EI52064"/>
      <c r="EJ52064"/>
      <c r="EK52064"/>
    </row>
    <row r="52065" spans="1:141" s="116" customFormat="1">
      <c r="A52065" s="136"/>
      <c r="CM52065" s="111"/>
      <c r="CQ52065" s="111"/>
      <c r="EF52065"/>
      <c r="EG52065"/>
      <c r="EH52065"/>
      <c r="EI52065"/>
      <c r="EJ52065"/>
      <c r="EK52065"/>
    </row>
    <row r="52066" spans="1:141" s="116" customFormat="1">
      <c r="A52066" s="136"/>
      <c r="CM52066" s="111"/>
      <c r="CQ52066" s="111"/>
      <c r="EF52066"/>
      <c r="EG52066"/>
      <c r="EH52066"/>
      <c r="EI52066"/>
      <c r="EJ52066"/>
      <c r="EK52066"/>
    </row>
    <row r="52067" spans="1:141" s="116" customFormat="1">
      <c r="A52067" s="136"/>
      <c r="CM52067" s="111"/>
      <c r="CQ52067" s="111"/>
      <c r="EF52067"/>
      <c r="EG52067"/>
      <c r="EH52067"/>
      <c r="EI52067"/>
      <c r="EJ52067"/>
      <c r="EK52067"/>
    </row>
    <row r="52068" spans="1:141" s="116" customFormat="1">
      <c r="A52068" s="136"/>
      <c r="CM52068" s="111"/>
      <c r="CQ52068" s="111"/>
      <c r="EF52068"/>
      <c r="EG52068"/>
      <c r="EH52068"/>
      <c r="EI52068"/>
      <c r="EJ52068"/>
      <c r="EK52068"/>
    </row>
    <row r="52069" spans="1:141" s="116" customFormat="1">
      <c r="A52069" s="136"/>
      <c r="CM52069" s="111"/>
      <c r="CQ52069" s="111"/>
      <c r="EF52069"/>
      <c r="EG52069"/>
      <c r="EH52069"/>
      <c r="EI52069"/>
      <c r="EJ52069"/>
      <c r="EK52069"/>
    </row>
    <row r="52070" spans="1:141" s="116" customFormat="1">
      <c r="A52070" s="136"/>
      <c r="CM52070" s="111"/>
      <c r="CQ52070" s="111"/>
      <c r="EF52070"/>
      <c r="EG52070"/>
      <c r="EH52070"/>
      <c r="EI52070"/>
      <c r="EJ52070"/>
      <c r="EK52070"/>
    </row>
    <row r="52071" spans="1:141" s="116" customFormat="1">
      <c r="A52071" s="136"/>
      <c r="CM52071" s="111"/>
      <c r="CQ52071" s="111"/>
      <c r="EF52071"/>
      <c r="EG52071"/>
      <c r="EH52071"/>
      <c r="EI52071"/>
      <c r="EJ52071"/>
      <c r="EK52071"/>
    </row>
    <row r="52072" spans="1:141" s="116" customFormat="1">
      <c r="A52072" s="136"/>
      <c r="CM52072" s="111"/>
      <c r="CQ52072" s="111"/>
      <c r="EF52072"/>
      <c r="EG52072"/>
      <c r="EH52072"/>
      <c r="EI52072"/>
      <c r="EJ52072"/>
      <c r="EK52072"/>
    </row>
    <row r="52073" spans="1:141" s="116" customFormat="1">
      <c r="A52073" s="136"/>
      <c r="CM52073" s="111"/>
      <c r="CQ52073" s="111"/>
      <c r="EF52073"/>
      <c r="EG52073"/>
      <c r="EH52073"/>
      <c r="EI52073"/>
      <c r="EJ52073"/>
      <c r="EK52073"/>
    </row>
    <row r="52074" spans="1:141" s="116" customFormat="1">
      <c r="A52074" s="136"/>
      <c r="CM52074" s="111"/>
      <c r="CQ52074" s="111"/>
      <c r="EF52074"/>
      <c r="EG52074"/>
      <c r="EH52074"/>
      <c r="EI52074"/>
      <c r="EJ52074"/>
      <c r="EK52074"/>
    </row>
    <row r="52075" spans="1:141" s="116" customFormat="1">
      <c r="A52075" s="136"/>
      <c r="CM52075" s="111"/>
      <c r="CQ52075" s="111"/>
      <c r="EF52075"/>
      <c r="EG52075"/>
      <c r="EH52075"/>
      <c r="EI52075"/>
      <c r="EJ52075"/>
      <c r="EK52075"/>
    </row>
    <row r="52076" spans="1:141" s="116" customFormat="1">
      <c r="A52076" s="136"/>
      <c r="CM52076" s="111"/>
      <c r="CQ52076" s="111"/>
      <c r="EF52076"/>
      <c r="EG52076"/>
      <c r="EH52076"/>
      <c r="EI52076"/>
      <c r="EJ52076"/>
      <c r="EK52076"/>
    </row>
    <row r="52077" spans="1:141" s="116" customFormat="1">
      <c r="A52077" s="136"/>
      <c r="CM52077" s="111"/>
      <c r="CQ52077" s="111"/>
      <c r="EF52077"/>
      <c r="EG52077"/>
      <c r="EH52077"/>
      <c r="EI52077"/>
      <c r="EJ52077"/>
      <c r="EK52077"/>
    </row>
    <row r="52078" spans="1:141" s="116" customFormat="1">
      <c r="A52078" s="136"/>
      <c r="CM52078" s="111"/>
      <c r="CQ52078" s="111"/>
      <c r="EF52078"/>
      <c r="EG52078"/>
      <c r="EH52078"/>
      <c r="EI52078"/>
      <c r="EJ52078"/>
      <c r="EK52078"/>
    </row>
    <row r="52079" spans="1:141" s="116" customFormat="1">
      <c r="A52079" s="136"/>
      <c r="CM52079" s="111"/>
      <c r="CQ52079" s="111"/>
      <c r="EF52079"/>
      <c r="EG52079"/>
      <c r="EH52079"/>
      <c r="EI52079"/>
      <c r="EJ52079"/>
      <c r="EK52079"/>
    </row>
    <row r="52080" spans="1:141" s="116" customFormat="1">
      <c r="A52080" s="136"/>
      <c r="CM52080" s="111"/>
      <c r="CQ52080" s="111"/>
      <c r="EF52080"/>
      <c r="EG52080"/>
      <c r="EH52080"/>
      <c r="EI52080"/>
      <c r="EJ52080"/>
      <c r="EK52080"/>
    </row>
    <row r="52081" spans="1:141" s="116" customFormat="1">
      <c r="A52081" s="136"/>
      <c r="CM52081" s="111"/>
      <c r="CQ52081" s="111"/>
      <c r="EF52081"/>
      <c r="EG52081"/>
      <c r="EH52081"/>
      <c r="EI52081"/>
      <c r="EJ52081"/>
      <c r="EK52081"/>
    </row>
    <row r="52082" spans="1:141" s="116" customFormat="1">
      <c r="A52082" s="136"/>
      <c r="CM52082" s="111"/>
      <c r="CQ52082" s="111"/>
      <c r="EF52082"/>
      <c r="EG52082"/>
      <c r="EH52082"/>
      <c r="EI52082"/>
      <c r="EJ52082"/>
      <c r="EK52082"/>
    </row>
    <row r="52083" spans="1:141" s="116" customFormat="1">
      <c r="A52083" s="136"/>
      <c r="CM52083" s="111"/>
      <c r="CQ52083" s="111"/>
      <c r="EF52083"/>
      <c r="EG52083"/>
      <c r="EH52083"/>
      <c r="EI52083"/>
      <c r="EJ52083"/>
      <c r="EK52083"/>
    </row>
    <row r="52084" spans="1:141" s="116" customFormat="1">
      <c r="A52084" s="136"/>
      <c r="CM52084" s="111"/>
      <c r="CQ52084" s="111"/>
      <c r="EF52084"/>
      <c r="EG52084"/>
      <c r="EH52084"/>
      <c r="EI52084"/>
      <c r="EJ52084"/>
      <c r="EK52084"/>
    </row>
    <row r="52085" spans="1:141" s="116" customFormat="1">
      <c r="A52085" s="136"/>
      <c r="CM52085" s="111"/>
      <c r="CQ52085" s="111"/>
      <c r="EF52085"/>
      <c r="EG52085"/>
      <c r="EH52085"/>
      <c r="EI52085"/>
      <c r="EJ52085"/>
      <c r="EK52085"/>
    </row>
    <row r="52086" spans="1:141" s="116" customFormat="1">
      <c r="A52086" s="136"/>
      <c r="CM52086" s="111"/>
      <c r="CQ52086" s="111"/>
      <c r="EF52086"/>
      <c r="EG52086"/>
      <c r="EH52086"/>
      <c r="EI52086"/>
      <c r="EJ52086"/>
      <c r="EK52086"/>
    </row>
    <row r="52087" spans="1:141" s="116" customFormat="1">
      <c r="A52087" s="136"/>
      <c r="CM52087" s="111"/>
      <c r="CQ52087" s="111"/>
      <c r="EF52087"/>
      <c r="EG52087"/>
      <c r="EH52087"/>
      <c r="EI52087"/>
      <c r="EJ52087"/>
      <c r="EK52087"/>
    </row>
    <row r="52088" spans="1:141" s="116" customFormat="1">
      <c r="A52088" s="136"/>
      <c r="CM52088" s="111"/>
      <c r="CQ52088" s="111"/>
      <c r="EF52088"/>
      <c r="EG52088"/>
      <c r="EH52088"/>
      <c r="EI52088"/>
      <c r="EJ52088"/>
      <c r="EK52088"/>
    </row>
    <row r="52089" spans="1:141" s="116" customFormat="1">
      <c r="A52089" s="136"/>
      <c r="CM52089" s="111"/>
      <c r="CQ52089" s="111"/>
      <c r="EF52089"/>
      <c r="EG52089"/>
      <c r="EH52089"/>
      <c r="EI52089"/>
      <c r="EJ52089"/>
      <c r="EK52089"/>
    </row>
    <row r="52090" spans="1:141" s="116" customFormat="1">
      <c r="A52090" s="136"/>
      <c r="CM52090" s="111"/>
      <c r="CQ52090" s="111"/>
      <c r="EF52090"/>
      <c r="EG52090"/>
      <c r="EH52090"/>
      <c r="EI52090"/>
      <c r="EJ52090"/>
      <c r="EK52090"/>
    </row>
    <row r="52091" spans="1:141" s="116" customFormat="1">
      <c r="A52091" s="136"/>
      <c r="CM52091" s="111"/>
      <c r="CQ52091" s="111"/>
      <c r="EF52091"/>
      <c r="EG52091"/>
      <c r="EH52091"/>
      <c r="EI52091"/>
      <c r="EJ52091"/>
      <c r="EK52091"/>
    </row>
    <row r="52092" spans="1:141" s="116" customFormat="1">
      <c r="A52092" s="136"/>
      <c r="CM52092" s="111"/>
      <c r="CQ52092" s="111"/>
      <c r="EF52092"/>
      <c r="EG52092"/>
      <c r="EH52092"/>
      <c r="EI52092"/>
      <c r="EJ52092"/>
      <c r="EK52092"/>
    </row>
    <row r="52093" spans="1:141" s="116" customFormat="1">
      <c r="A52093" s="136"/>
      <c r="CM52093" s="111"/>
      <c r="CQ52093" s="111"/>
      <c r="EF52093"/>
      <c r="EG52093"/>
      <c r="EH52093"/>
      <c r="EI52093"/>
      <c r="EJ52093"/>
      <c r="EK52093"/>
    </row>
    <row r="52094" spans="1:141" s="116" customFormat="1">
      <c r="A52094" s="136"/>
      <c r="CM52094" s="111"/>
      <c r="CQ52094" s="111"/>
      <c r="EF52094"/>
      <c r="EG52094"/>
      <c r="EH52094"/>
      <c r="EI52094"/>
      <c r="EJ52094"/>
      <c r="EK52094"/>
    </row>
    <row r="52095" spans="1:141" s="116" customFormat="1">
      <c r="A52095" s="136"/>
      <c r="CM52095" s="111"/>
      <c r="CQ52095" s="111"/>
      <c r="EF52095"/>
      <c r="EG52095"/>
      <c r="EH52095"/>
      <c r="EI52095"/>
      <c r="EJ52095"/>
      <c r="EK52095"/>
    </row>
    <row r="52096" spans="1:141" s="116" customFormat="1">
      <c r="A52096" s="136"/>
      <c r="CM52096" s="111"/>
      <c r="CQ52096" s="111"/>
      <c r="EF52096"/>
      <c r="EG52096"/>
      <c r="EH52096"/>
      <c r="EI52096"/>
      <c r="EJ52096"/>
      <c r="EK52096"/>
    </row>
    <row r="52097" spans="1:141" s="116" customFormat="1">
      <c r="A52097" s="136"/>
      <c r="CM52097" s="111"/>
      <c r="CQ52097" s="111"/>
      <c r="EF52097"/>
      <c r="EG52097"/>
      <c r="EH52097"/>
      <c r="EI52097"/>
      <c r="EJ52097"/>
      <c r="EK52097"/>
    </row>
    <row r="52098" spans="1:141" s="116" customFormat="1">
      <c r="A52098" s="136"/>
      <c r="CM52098" s="111"/>
      <c r="CQ52098" s="111"/>
      <c r="EF52098"/>
      <c r="EG52098"/>
      <c r="EH52098"/>
      <c r="EI52098"/>
      <c r="EJ52098"/>
      <c r="EK52098"/>
    </row>
    <row r="52099" spans="1:141" s="116" customFormat="1">
      <c r="A52099" s="136"/>
      <c r="CM52099" s="111"/>
      <c r="CQ52099" s="111"/>
      <c r="EF52099"/>
      <c r="EG52099"/>
      <c r="EH52099"/>
      <c r="EI52099"/>
      <c r="EJ52099"/>
      <c r="EK52099"/>
    </row>
    <row r="52100" spans="1:141" s="116" customFormat="1">
      <c r="A52100" s="136"/>
      <c r="CM52100" s="111"/>
      <c r="CQ52100" s="111"/>
      <c r="EF52100"/>
      <c r="EG52100"/>
      <c r="EH52100"/>
      <c r="EI52100"/>
      <c r="EJ52100"/>
      <c r="EK52100"/>
    </row>
    <row r="52101" spans="1:141" s="116" customFormat="1">
      <c r="A52101" s="136"/>
      <c r="CM52101" s="111"/>
      <c r="CQ52101" s="111"/>
      <c r="EF52101"/>
      <c r="EG52101"/>
      <c r="EH52101"/>
      <c r="EI52101"/>
      <c r="EJ52101"/>
      <c r="EK52101"/>
    </row>
    <row r="52102" spans="1:141" s="116" customFormat="1">
      <c r="A52102" s="136"/>
      <c r="CM52102" s="111"/>
      <c r="CQ52102" s="111"/>
      <c r="EF52102"/>
      <c r="EG52102"/>
      <c r="EH52102"/>
      <c r="EI52102"/>
      <c r="EJ52102"/>
      <c r="EK52102"/>
    </row>
    <row r="52103" spans="1:141" s="116" customFormat="1">
      <c r="A52103" s="136"/>
      <c r="CM52103" s="111"/>
      <c r="CQ52103" s="111"/>
      <c r="EF52103"/>
      <c r="EG52103"/>
      <c r="EH52103"/>
      <c r="EI52103"/>
      <c r="EJ52103"/>
      <c r="EK52103"/>
    </row>
    <row r="52104" spans="1:141" s="116" customFormat="1">
      <c r="A52104" s="136"/>
      <c r="CM52104" s="111"/>
      <c r="CQ52104" s="111"/>
      <c r="EF52104"/>
      <c r="EG52104"/>
      <c r="EH52104"/>
      <c r="EI52104"/>
      <c r="EJ52104"/>
      <c r="EK52104"/>
    </row>
    <row r="52105" spans="1:141" s="116" customFormat="1">
      <c r="A52105" s="136"/>
      <c r="CM52105" s="111"/>
      <c r="CQ52105" s="111"/>
      <c r="EF52105"/>
      <c r="EG52105"/>
      <c r="EH52105"/>
      <c r="EI52105"/>
      <c r="EJ52105"/>
      <c r="EK52105"/>
    </row>
    <row r="52106" spans="1:141" s="116" customFormat="1">
      <c r="A52106" s="136"/>
      <c r="CM52106" s="111"/>
      <c r="CQ52106" s="111"/>
      <c r="EF52106"/>
      <c r="EG52106"/>
      <c r="EH52106"/>
      <c r="EI52106"/>
      <c r="EJ52106"/>
      <c r="EK52106"/>
    </row>
    <row r="52107" spans="1:141" s="116" customFormat="1">
      <c r="A52107" s="136"/>
      <c r="CM52107" s="111"/>
      <c r="CQ52107" s="111"/>
      <c r="EF52107"/>
      <c r="EG52107"/>
      <c r="EH52107"/>
      <c r="EI52107"/>
      <c r="EJ52107"/>
      <c r="EK52107"/>
    </row>
    <row r="52108" spans="1:141" s="116" customFormat="1">
      <c r="A52108" s="136"/>
      <c r="CM52108" s="111"/>
      <c r="CQ52108" s="111"/>
      <c r="EF52108"/>
      <c r="EG52108"/>
      <c r="EH52108"/>
      <c r="EI52108"/>
      <c r="EJ52108"/>
      <c r="EK52108"/>
    </row>
    <row r="52109" spans="1:141" s="116" customFormat="1">
      <c r="A52109" s="136"/>
      <c r="CM52109" s="111"/>
      <c r="CQ52109" s="111"/>
      <c r="EF52109"/>
      <c r="EG52109"/>
      <c r="EH52109"/>
      <c r="EI52109"/>
      <c r="EJ52109"/>
      <c r="EK52109"/>
    </row>
    <row r="52110" spans="1:141" s="116" customFormat="1">
      <c r="A52110" s="136"/>
      <c r="CM52110" s="111"/>
      <c r="CQ52110" s="111"/>
      <c r="EF52110"/>
      <c r="EG52110"/>
      <c r="EH52110"/>
      <c r="EI52110"/>
      <c r="EJ52110"/>
      <c r="EK52110"/>
    </row>
    <row r="52111" spans="1:141" s="116" customFormat="1">
      <c r="A52111" s="136"/>
      <c r="CM52111" s="111"/>
      <c r="CQ52111" s="111"/>
      <c r="EF52111"/>
      <c r="EG52111"/>
      <c r="EH52111"/>
      <c r="EI52111"/>
      <c r="EJ52111"/>
      <c r="EK52111"/>
    </row>
    <row r="52112" spans="1:141" s="116" customFormat="1">
      <c r="A52112" s="136"/>
      <c r="CM52112" s="111"/>
      <c r="CQ52112" s="111"/>
      <c r="EF52112"/>
      <c r="EG52112"/>
      <c r="EH52112"/>
      <c r="EI52112"/>
      <c r="EJ52112"/>
      <c r="EK52112"/>
    </row>
    <row r="52113" spans="1:141" s="116" customFormat="1">
      <c r="A52113" s="136"/>
      <c r="CM52113" s="111"/>
      <c r="CQ52113" s="111"/>
      <c r="EF52113"/>
      <c r="EG52113"/>
      <c r="EH52113"/>
      <c r="EI52113"/>
      <c r="EJ52113"/>
      <c r="EK52113"/>
    </row>
    <row r="52114" spans="1:141" s="116" customFormat="1">
      <c r="A52114" s="136"/>
      <c r="CM52114" s="111"/>
      <c r="CQ52114" s="111"/>
      <c r="EF52114"/>
      <c r="EG52114"/>
      <c r="EH52114"/>
      <c r="EI52114"/>
      <c r="EJ52114"/>
      <c r="EK52114"/>
    </row>
    <row r="52115" spans="1:141" s="116" customFormat="1">
      <c r="A52115" s="136"/>
      <c r="CM52115" s="111"/>
      <c r="CQ52115" s="111"/>
      <c r="EF52115"/>
      <c r="EG52115"/>
      <c r="EH52115"/>
      <c r="EI52115"/>
      <c r="EJ52115"/>
      <c r="EK52115"/>
    </row>
    <row r="52116" spans="1:141" s="116" customFormat="1">
      <c r="A52116" s="136"/>
      <c r="CM52116" s="111"/>
      <c r="CQ52116" s="111"/>
      <c r="EF52116"/>
      <c r="EG52116"/>
      <c r="EH52116"/>
      <c r="EI52116"/>
      <c r="EJ52116"/>
      <c r="EK52116"/>
    </row>
    <row r="52117" spans="1:141" s="116" customFormat="1">
      <c r="A52117" s="136"/>
      <c r="CM52117" s="111"/>
      <c r="CQ52117" s="111"/>
      <c r="EF52117"/>
      <c r="EG52117"/>
      <c r="EH52117"/>
      <c r="EI52117"/>
      <c r="EJ52117"/>
      <c r="EK52117"/>
    </row>
    <row r="52118" spans="1:141" s="116" customFormat="1">
      <c r="A52118" s="136"/>
      <c r="CM52118" s="111"/>
      <c r="CQ52118" s="111"/>
      <c r="EF52118"/>
      <c r="EG52118"/>
      <c r="EH52118"/>
      <c r="EI52118"/>
      <c r="EJ52118"/>
      <c r="EK52118"/>
    </row>
    <row r="52119" spans="1:141" s="116" customFormat="1">
      <c r="A52119" s="136"/>
      <c r="CM52119" s="111"/>
      <c r="CQ52119" s="111"/>
      <c r="EF52119"/>
      <c r="EG52119"/>
      <c r="EH52119"/>
      <c r="EI52119"/>
      <c r="EJ52119"/>
      <c r="EK52119"/>
    </row>
    <row r="52120" spans="1:141" s="116" customFormat="1">
      <c r="A52120" s="136"/>
      <c r="CM52120" s="111"/>
      <c r="CQ52120" s="111"/>
      <c r="EF52120"/>
      <c r="EG52120"/>
      <c r="EH52120"/>
      <c r="EI52120"/>
      <c r="EJ52120"/>
      <c r="EK52120"/>
    </row>
    <row r="52121" spans="1:141" s="116" customFormat="1">
      <c r="A52121" s="136"/>
      <c r="CM52121" s="111"/>
      <c r="CQ52121" s="111"/>
      <c r="EF52121"/>
      <c r="EG52121"/>
      <c r="EH52121"/>
      <c r="EI52121"/>
      <c r="EJ52121"/>
      <c r="EK52121"/>
    </row>
    <row r="52122" spans="1:141" s="116" customFormat="1">
      <c r="A52122" s="136"/>
      <c r="CM52122" s="111"/>
      <c r="CQ52122" s="111"/>
      <c r="EF52122"/>
      <c r="EG52122"/>
      <c r="EH52122"/>
      <c r="EI52122"/>
      <c r="EJ52122"/>
      <c r="EK52122"/>
    </row>
    <row r="52123" spans="1:141" s="116" customFormat="1">
      <c r="A52123" s="136"/>
      <c r="CM52123" s="111"/>
      <c r="CQ52123" s="111"/>
      <c r="EF52123"/>
      <c r="EG52123"/>
      <c r="EH52123"/>
      <c r="EI52123"/>
      <c r="EJ52123"/>
      <c r="EK52123"/>
    </row>
    <row r="52124" spans="1:141" s="116" customFormat="1">
      <c r="A52124" s="136"/>
      <c r="CM52124" s="111"/>
      <c r="CQ52124" s="111"/>
      <c r="EF52124"/>
      <c r="EG52124"/>
      <c r="EH52124"/>
      <c r="EI52124"/>
      <c r="EJ52124"/>
      <c r="EK52124"/>
    </row>
    <row r="52125" spans="1:141" s="116" customFormat="1">
      <c r="A52125" s="136"/>
      <c r="CM52125" s="111"/>
      <c r="CQ52125" s="111"/>
      <c r="EF52125"/>
      <c r="EG52125"/>
      <c r="EH52125"/>
      <c r="EI52125"/>
      <c r="EJ52125"/>
      <c r="EK52125"/>
    </row>
    <row r="52126" spans="1:141" s="116" customFormat="1">
      <c r="A52126" s="136"/>
      <c r="CM52126" s="111"/>
      <c r="CQ52126" s="111"/>
      <c r="EF52126"/>
      <c r="EG52126"/>
      <c r="EH52126"/>
      <c r="EI52126"/>
      <c r="EJ52126"/>
      <c r="EK52126"/>
    </row>
    <row r="52127" spans="1:141" s="116" customFormat="1">
      <c r="A52127" s="136"/>
      <c r="CM52127" s="111"/>
      <c r="CQ52127" s="111"/>
      <c r="EF52127"/>
      <c r="EG52127"/>
      <c r="EH52127"/>
      <c r="EI52127"/>
      <c r="EJ52127"/>
      <c r="EK52127"/>
    </row>
    <row r="52128" spans="1:141" s="116" customFormat="1">
      <c r="A52128" s="136"/>
      <c r="CM52128" s="111"/>
      <c r="CQ52128" s="111"/>
      <c r="EF52128"/>
      <c r="EG52128"/>
      <c r="EH52128"/>
      <c r="EI52128"/>
      <c r="EJ52128"/>
      <c r="EK52128"/>
    </row>
    <row r="52129" spans="1:141" s="116" customFormat="1">
      <c r="A52129" s="136"/>
      <c r="CM52129" s="111"/>
      <c r="CQ52129" s="111"/>
      <c r="EF52129"/>
      <c r="EG52129"/>
      <c r="EH52129"/>
      <c r="EI52129"/>
      <c r="EJ52129"/>
      <c r="EK52129"/>
    </row>
    <row r="52130" spans="1:141" s="116" customFormat="1">
      <c r="A52130" s="136"/>
      <c r="CM52130" s="111"/>
      <c r="CQ52130" s="111"/>
      <c r="EF52130"/>
      <c r="EG52130"/>
      <c r="EH52130"/>
      <c r="EI52130"/>
      <c r="EJ52130"/>
      <c r="EK52130"/>
    </row>
    <row r="52131" spans="1:141" s="116" customFormat="1">
      <c r="A52131" s="136"/>
      <c r="CM52131" s="111"/>
      <c r="CQ52131" s="111"/>
      <c r="EF52131"/>
      <c r="EG52131"/>
      <c r="EH52131"/>
      <c r="EI52131"/>
      <c r="EJ52131"/>
      <c r="EK52131"/>
    </row>
    <row r="52132" spans="1:141" s="116" customFormat="1">
      <c r="A52132" s="136"/>
      <c r="CM52132" s="111"/>
      <c r="CQ52132" s="111"/>
      <c r="EF52132"/>
      <c r="EG52132"/>
      <c r="EH52132"/>
      <c r="EI52132"/>
      <c r="EJ52132"/>
      <c r="EK52132"/>
    </row>
    <row r="52133" spans="1:141" s="116" customFormat="1">
      <c r="A52133" s="136"/>
      <c r="CM52133" s="111"/>
      <c r="CQ52133" s="111"/>
      <c r="EF52133"/>
      <c r="EG52133"/>
      <c r="EH52133"/>
      <c r="EI52133"/>
      <c r="EJ52133"/>
      <c r="EK52133"/>
    </row>
    <row r="52134" spans="1:141" s="116" customFormat="1">
      <c r="A52134" s="136"/>
      <c r="CM52134" s="111"/>
      <c r="CQ52134" s="111"/>
      <c r="EF52134"/>
      <c r="EG52134"/>
      <c r="EH52134"/>
      <c r="EI52134"/>
      <c r="EJ52134"/>
      <c r="EK52134"/>
    </row>
    <row r="52135" spans="1:141" s="116" customFormat="1">
      <c r="A52135" s="136"/>
      <c r="CM52135" s="111"/>
      <c r="CQ52135" s="111"/>
      <c r="EF52135"/>
      <c r="EG52135"/>
      <c r="EH52135"/>
      <c r="EI52135"/>
      <c r="EJ52135"/>
      <c r="EK52135"/>
    </row>
    <row r="52136" spans="1:141" s="116" customFormat="1">
      <c r="A52136" s="136"/>
      <c r="CM52136" s="111"/>
      <c r="CQ52136" s="111"/>
      <c r="EF52136"/>
      <c r="EG52136"/>
      <c r="EH52136"/>
      <c r="EI52136"/>
      <c r="EJ52136"/>
      <c r="EK52136"/>
    </row>
    <row r="52137" spans="1:141" s="116" customFormat="1">
      <c r="A52137" s="136"/>
      <c r="CM52137" s="111"/>
      <c r="CQ52137" s="111"/>
      <c r="EF52137"/>
      <c r="EG52137"/>
      <c r="EH52137"/>
      <c r="EI52137"/>
      <c r="EJ52137"/>
      <c r="EK52137"/>
    </row>
    <row r="52138" spans="1:141" s="116" customFormat="1">
      <c r="A52138" s="136"/>
      <c r="CM52138" s="111"/>
      <c r="CQ52138" s="111"/>
      <c r="EF52138"/>
      <c r="EG52138"/>
      <c r="EH52138"/>
      <c r="EI52138"/>
      <c r="EJ52138"/>
      <c r="EK52138"/>
    </row>
    <row r="52139" spans="1:141" s="116" customFormat="1">
      <c r="A52139" s="136"/>
      <c r="CM52139" s="111"/>
      <c r="CQ52139" s="111"/>
      <c r="EF52139"/>
      <c r="EG52139"/>
      <c r="EH52139"/>
      <c r="EI52139"/>
      <c r="EJ52139"/>
      <c r="EK52139"/>
    </row>
    <row r="52140" spans="1:141" s="116" customFormat="1">
      <c r="A52140" s="136"/>
      <c r="CM52140" s="111"/>
      <c r="CQ52140" s="111"/>
      <c r="EF52140"/>
      <c r="EG52140"/>
      <c r="EH52140"/>
      <c r="EI52140"/>
      <c r="EJ52140"/>
      <c r="EK52140"/>
    </row>
    <row r="52141" spans="1:141" s="116" customFormat="1">
      <c r="A52141" s="136"/>
      <c r="CM52141" s="111"/>
      <c r="CQ52141" s="111"/>
      <c r="EF52141"/>
      <c r="EG52141"/>
      <c r="EH52141"/>
      <c r="EI52141"/>
      <c r="EJ52141"/>
      <c r="EK52141"/>
    </row>
    <row r="52142" spans="1:141" s="116" customFormat="1">
      <c r="A52142" s="136"/>
      <c r="CM52142" s="111"/>
      <c r="CQ52142" s="111"/>
      <c r="EF52142"/>
      <c r="EG52142"/>
      <c r="EH52142"/>
      <c r="EI52142"/>
      <c r="EJ52142"/>
      <c r="EK52142"/>
    </row>
    <row r="52143" spans="1:141" s="116" customFormat="1">
      <c r="A52143" s="136"/>
      <c r="CM52143" s="111"/>
      <c r="CQ52143" s="111"/>
      <c r="EF52143"/>
      <c r="EG52143"/>
      <c r="EH52143"/>
      <c r="EI52143"/>
      <c r="EJ52143"/>
      <c r="EK52143"/>
    </row>
    <row r="52144" spans="1:141" s="116" customFormat="1">
      <c r="A52144" s="136"/>
      <c r="CM52144" s="111"/>
      <c r="CQ52144" s="111"/>
      <c r="EF52144"/>
      <c r="EG52144"/>
      <c r="EH52144"/>
      <c r="EI52144"/>
      <c r="EJ52144"/>
      <c r="EK52144"/>
    </row>
    <row r="52145" spans="1:141" s="116" customFormat="1">
      <c r="A52145" s="136"/>
      <c r="CM52145" s="111"/>
      <c r="CQ52145" s="111"/>
      <c r="EF52145"/>
      <c r="EG52145"/>
      <c r="EH52145"/>
      <c r="EI52145"/>
      <c r="EJ52145"/>
      <c r="EK52145"/>
    </row>
    <row r="52146" spans="1:141" s="116" customFormat="1">
      <c r="A52146" s="136"/>
      <c r="CM52146" s="111"/>
      <c r="CQ52146" s="111"/>
      <c r="EF52146"/>
      <c r="EG52146"/>
      <c r="EH52146"/>
      <c r="EI52146"/>
      <c r="EJ52146"/>
      <c r="EK52146"/>
    </row>
    <row r="52147" spans="1:141" s="116" customFormat="1">
      <c r="A52147" s="136"/>
      <c r="CM52147" s="111"/>
      <c r="CQ52147" s="111"/>
      <c r="EF52147"/>
      <c r="EG52147"/>
      <c r="EH52147"/>
      <c r="EI52147"/>
      <c r="EJ52147"/>
      <c r="EK52147"/>
    </row>
    <row r="52148" spans="1:141" s="116" customFormat="1">
      <c r="A52148" s="136"/>
      <c r="CM52148" s="111"/>
      <c r="CQ52148" s="111"/>
      <c r="EF52148"/>
      <c r="EG52148"/>
      <c r="EH52148"/>
      <c r="EI52148"/>
      <c r="EJ52148"/>
      <c r="EK52148"/>
    </row>
    <row r="52149" spans="1:141" s="116" customFormat="1">
      <c r="A52149" s="136"/>
      <c r="CM52149" s="111"/>
      <c r="CQ52149" s="111"/>
      <c r="EF52149"/>
      <c r="EG52149"/>
      <c r="EH52149"/>
      <c r="EI52149"/>
      <c r="EJ52149"/>
      <c r="EK52149"/>
    </row>
    <row r="52150" spans="1:141" s="116" customFormat="1">
      <c r="A52150" s="136"/>
      <c r="CM52150" s="111"/>
      <c r="CQ52150" s="111"/>
      <c r="EF52150"/>
      <c r="EG52150"/>
      <c r="EH52150"/>
      <c r="EI52150"/>
      <c r="EJ52150"/>
      <c r="EK52150"/>
    </row>
    <row r="52151" spans="1:141" s="116" customFormat="1">
      <c r="A52151" s="136"/>
      <c r="CM52151" s="111"/>
      <c r="CQ52151" s="111"/>
      <c r="EF52151"/>
      <c r="EG52151"/>
      <c r="EH52151"/>
      <c r="EI52151"/>
      <c r="EJ52151"/>
      <c r="EK52151"/>
    </row>
    <row r="52152" spans="1:141" s="116" customFormat="1">
      <c r="A52152" s="136"/>
      <c r="CM52152" s="111"/>
      <c r="CQ52152" s="111"/>
      <c r="EF52152"/>
      <c r="EG52152"/>
      <c r="EH52152"/>
      <c r="EI52152"/>
      <c r="EJ52152"/>
      <c r="EK52152"/>
    </row>
    <row r="52153" spans="1:141" s="116" customFormat="1">
      <c r="A52153" s="136"/>
      <c r="CM52153" s="111"/>
      <c r="CQ52153" s="111"/>
      <c r="EF52153"/>
      <c r="EG52153"/>
      <c r="EH52153"/>
      <c r="EI52153"/>
      <c r="EJ52153"/>
      <c r="EK52153"/>
    </row>
    <row r="52154" spans="1:141" s="116" customFormat="1">
      <c r="A52154" s="136"/>
      <c r="CM52154" s="111"/>
      <c r="CQ52154" s="111"/>
      <c r="EF52154"/>
      <c r="EG52154"/>
      <c r="EH52154"/>
      <c r="EI52154"/>
      <c r="EJ52154"/>
      <c r="EK52154"/>
    </row>
    <row r="52155" spans="1:141" s="116" customFormat="1">
      <c r="A52155" s="136"/>
      <c r="CM52155" s="111"/>
      <c r="CQ52155" s="111"/>
      <c r="EF52155"/>
      <c r="EG52155"/>
      <c r="EH52155"/>
      <c r="EI52155"/>
      <c r="EJ52155"/>
      <c r="EK52155"/>
    </row>
    <row r="52156" spans="1:141" s="116" customFormat="1">
      <c r="A52156" s="136"/>
      <c r="CM52156" s="111"/>
      <c r="CQ52156" s="111"/>
      <c r="EF52156"/>
      <c r="EG52156"/>
      <c r="EH52156"/>
      <c r="EI52156"/>
      <c r="EJ52156"/>
      <c r="EK52156"/>
    </row>
    <row r="52157" spans="1:141" s="116" customFormat="1">
      <c r="A52157" s="136"/>
      <c r="CM52157" s="111"/>
      <c r="CQ52157" s="111"/>
      <c r="EF52157"/>
      <c r="EG52157"/>
      <c r="EH52157"/>
      <c r="EI52157"/>
      <c r="EJ52157"/>
      <c r="EK52157"/>
    </row>
    <row r="52158" spans="1:141" s="116" customFormat="1">
      <c r="A52158" s="136"/>
      <c r="CM52158" s="111"/>
      <c r="CQ52158" s="111"/>
      <c r="EF52158"/>
      <c r="EG52158"/>
      <c r="EH52158"/>
      <c r="EI52158"/>
      <c r="EJ52158"/>
      <c r="EK52158"/>
    </row>
    <row r="52159" spans="1:141" s="116" customFormat="1">
      <c r="A52159" s="136"/>
      <c r="CM52159" s="111"/>
      <c r="CQ52159" s="111"/>
      <c r="EF52159"/>
      <c r="EG52159"/>
      <c r="EH52159"/>
      <c r="EI52159"/>
      <c r="EJ52159"/>
      <c r="EK52159"/>
    </row>
    <row r="52160" spans="1:141" s="116" customFormat="1">
      <c r="A52160" s="136"/>
      <c r="CM52160" s="111"/>
      <c r="CQ52160" s="111"/>
      <c r="EF52160"/>
      <c r="EG52160"/>
      <c r="EH52160"/>
      <c r="EI52160"/>
      <c r="EJ52160"/>
      <c r="EK52160"/>
    </row>
    <row r="52161" spans="1:141" s="116" customFormat="1">
      <c r="A52161" s="136"/>
      <c r="CM52161" s="111"/>
      <c r="CQ52161" s="111"/>
      <c r="EF52161"/>
      <c r="EG52161"/>
      <c r="EH52161"/>
      <c r="EI52161"/>
      <c r="EJ52161"/>
      <c r="EK52161"/>
    </row>
    <row r="52162" spans="1:141" s="116" customFormat="1">
      <c r="A52162" s="136"/>
      <c r="CM52162" s="111"/>
      <c r="CQ52162" s="111"/>
      <c r="EF52162"/>
      <c r="EG52162"/>
      <c r="EH52162"/>
      <c r="EI52162"/>
      <c r="EJ52162"/>
      <c r="EK52162"/>
    </row>
    <row r="52163" spans="1:141" s="116" customFormat="1">
      <c r="A52163" s="136"/>
      <c r="CM52163" s="111"/>
      <c r="CQ52163" s="111"/>
      <c r="EF52163"/>
      <c r="EG52163"/>
      <c r="EH52163"/>
      <c r="EI52163"/>
      <c r="EJ52163"/>
      <c r="EK52163"/>
    </row>
    <row r="52164" spans="1:141" s="116" customFormat="1">
      <c r="A52164" s="136"/>
      <c r="CM52164" s="111"/>
      <c r="CQ52164" s="111"/>
      <c r="EF52164"/>
      <c r="EG52164"/>
      <c r="EH52164"/>
      <c r="EI52164"/>
      <c r="EJ52164"/>
      <c r="EK52164"/>
    </row>
    <row r="52165" spans="1:141" s="116" customFormat="1">
      <c r="A52165" s="136"/>
      <c r="CM52165" s="111"/>
      <c r="CQ52165" s="111"/>
      <c r="EF52165"/>
      <c r="EG52165"/>
      <c r="EH52165"/>
      <c r="EI52165"/>
      <c r="EJ52165"/>
      <c r="EK52165"/>
    </row>
    <row r="52166" spans="1:141" s="116" customFormat="1">
      <c r="A52166" s="136"/>
      <c r="CM52166" s="111"/>
      <c r="CQ52166" s="111"/>
      <c r="EF52166"/>
      <c r="EG52166"/>
      <c r="EH52166"/>
      <c r="EI52166"/>
      <c r="EJ52166"/>
      <c r="EK52166"/>
    </row>
    <row r="52167" spans="1:141" s="116" customFormat="1">
      <c r="A52167" s="136"/>
      <c r="CM52167" s="111"/>
      <c r="CQ52167" s="111"/>
      <c r="EF52167"/>
      <c r="EG52167"/>
      <c r="EH52167"/>
      <c r="EI52167"/>
      <c r="EJ52167"/>
      <c r="EK52167"/>
    </row>
    <row r="52168" spans="1:141" s="116" customFormat="1">
      <c r="A52168" s="136"/>
      <c r="CM52168" s="111"/>
      <c r="CQ52168" s="111"/>
      <c r="EF52168"/>
      <c r="EG52168"/>
      <c r="EH52168"/>
      <c r="EI52168"/>
      <c r="EJ52168"/>
      <c r="EK52168"/>
    </row>
    <row r="52169" spans="1:141" s="116" customFormat="1">
      <c r="A52169" s="136"/>
      <c r="CM52169" s="111"/>
      <c r="CQ52169" s="111"/>
      <c r="EF52169"/>
      <c r="EG52169"/>
      <c r="EH52169"/>
      <c r="EI52169"/>
      <c r="EJ52169"/>
      <c r="EK52169"/>
    </row>
    <row r="52170" spans="1:141" s="116" customFormat="1">
      <c r="A52170" s="136"/>
      <c r="CM52170" s="111"/>
      <c r="CQ52170" s="111"/>
      <c r="EF52170"/>
      <c r="EG52170"/>
      <c r="EH52170"/>
      <c r="EI52170"/>
      <c r="EJ52170"/>
      <c r="EK52170"/>
    </row>
    <row r="52171" spans="1:141" s="116" customFormat="1">
      <c r="A52171" s="136"/>
      <c r="CM52171" s="111"/>
      <c r="CQ52171" s="111"/>
      <c r="EF52171"/>
      <c r="EG52171"/>
      <c r="EH52171"/>
      <c r="EI52171"/>
      <c r="EJ52171"/>
      <c r="EK52171"/>
    </row>
    <row r="52172" spans="1:141" s="116" customFormat="1">
      <c r="A52172" s="136"/>
      <c r="CM52172" s="111"/>
      <c r="CQ52172" s="111"/>
      <c r="EF52172"/>
      <c r="EG52172"/>
      <c r="EH52172"/>
      <c r="EI52172"/>
      <c r="EJ52172"/>
      <c r="EK52172"/>
    </row>
    <row r="52173" spans="1:141" s="116" customFormat="1">
      <c r="A52173" s="136"/>
      <c r="CM52173" s="111"/>
      <c r="CQ52173" s="111"/>
      <c r="EF52173"/>
      <c r="EG52173"/>
      <c r="EH52173"/>
      <c r="EI52173"/>
      <c r="EJ52173"/>
      <c r="EK52173"/>
    </row>
    <row r="52174" spans="1:141" s="116" customFormat="1">
      <c r="A52174" s="136"/>
      <c r="CM52174" s="111"/>
      <c r="CQ52174" s="111"/>
      <c r="EF52174"/>
      <c r="EG52174"/>
      <c r="EH52174"/>
      <c r="EI52174"/>
      <c r="EJ52174"/>
      <c r="EK52174"/>
    </row>
    <row r="52175" spans="1:141" s="116" customFormat="1">
      <c r="A52175" s="136"/>
      <c r="CM52175" s="111"/>
      <c r="CQ52175" s="111"/>
      <c r="EF52175"/>
      <c r="EG52175"/>
      <c r="EH52175"/>
      <c r="EI52175"/>
      <c r="EJ52175"/>
      <c r="EK52175"/>
    </row>
    <row r="52176" spans="1:141" s="116" customFormat="1">
      <c r="A52176" s="136"/>
      <c r="CM52176" s="111"/>
      <c r="CQ52176" s="111"/>
      <c r="EF52176"/>
      <c r="EG52176"/>
      <c r="EH52176"/>
      <c r="EI52176"/>
      <c r="EJ52176"/>
      <c r="EK52176"/>
    </row>
    <row r="52177" spans="1:141" s="116" customFormat="1">
      <c r="A52177" s="136"/>
      <c r="CM52177" s="111"/>
      <c r="CQ52177" s="111"/>
      <c r="EF52177"/>
      <c r="EG52177"/>
      <c r="EH52177"/>
      <c r="EI52177"/>
      <c r="EJ52177"/>
      <c r="EK52177"/>
    </row>
    <row r="52178" spans="1:141" s="116" customFormat="1">
      <c r="A52178" s="136"/>
      <c r="CM52178" s="111"/>
      <c r="CQ52178" s="111"/>
      <c r="EF52178"/>
      <c r="EG52178"/>
      <c r="EH52178"/>
      <c r="EI52178"/>
      <c r="EJ52178"/>
      <c r="EK52178"/>
    </row>
    <row r="52179" spans="1:141" s="116" customFormat="1">
      <c r="A52179" s="136"/>
      <c r="CM52179" s="111"/>
      <c r="CQ52179" s="111"/>
      <c r="EF52179"/>
      <c r="EG52179"/>
      <c r="EH52179"/>
      <c r="EI52179"/>
      <c r="EJ52179"/>
      <c r="EK52179"/>
    </row>
    <row r="52180" spans="1:141" s="116" customFormat="1">
      <c r="A52180" s="136"/>
      <c r="CM52180" s="111"/>
      <c r="CQ52180" s="111"/>
      <c r="EF52180"/>
      <c r="EG52180"/>
      <c r="EH52180"/>
      <c r="EI52180"/>
      <c r="EJ52180"/>
      <c r="EK52180"/>
    </row>
    <row r="52181" spans="1:141" s="116" customFormat="1">
      <c r="A52181" s="136"/>
      <c r="CM52181" s="111"/>
      <c r="CQ52181" s="111"/>
      <c r="EF52181"/>
      <c r="EG52181"/>
      <c r="EH52181"/>
      <c r="EI52181"/>
      <c r="EJ52181"/>
      <c r="EK52181"/>
    </row>
    <row r="52182" spans="1:141" s="116" customFormat="1">
      <c r="A52182" s="136"/>
      <c r="CM52182" s="111"/>
      <c r="CQ52182" s="111"/>
      <c r="EF52182"/>
      <c r="EG52182"/>
      <c r="EH52182"/>
      <c r="EI52182"/>
      <c r="EJ52182"/>
      <c r="EK52182"/>
    </row>
    <row r="52183" spans="1:141" s="116" customFormat="1">
      <c r="A52183" s="136"/>
      <c r="CM52183" s="111"/>
      <c r="CQ52183" s="111"/>
      <c r="EF52183"/>
      <c r="EG52183"/>
      <c r="EH52183"/>
      <c r="EI52183"/>
      <c r="EJ52183"/>
      <c r="EK52183"/>
    </row>
    <row r="52184" spans="1:141" s="116" customFormat="1">
      <c r="A52184" s="136"/>
      <c r="CM52184" s="111"/>
      <c r="CQ52184" s="111"/>
      <c r="EF52184"/>
      <c r="EG52184"/>
      <c r="EH52184"/>
      <c r="EI52184"/>
      <c r="EJ52184"/>
      <c r="EK52184"/>
    </row>
    <row r="52185" spans="1:141" s="116" customFormat="1">
      <c r="A52185" s="136"/>
      <c r="CM52185" s="111"/>
      <c r="CQ52185" s="111"/>
      <c r="EF52185"/>
      <c r="EG52185"/>
      <c r="EH52185"/>
      <c r="EI52185"/>
      <c r="EJ52185"/>
      <c r="EK52185"/>
    </row>
    <row r="52186" spans="1:141" s="116" customFormat="1">
      <c r="A52186" s="136"/>
      <c r="CM52186" s="111"/>
      <c r="CQ52186" s="111"/>
      <c r="EF52186"/>
      <c r="EG52186"/>
      <c r="EH52186"/>
      <c r="EI52186"/>
      <c r="EJ52186"/>
      <c r="EK52186"/>
    </row>
    <row r="52187" spans="1:141" s="116" customFormat="1">
      <c r="A52187" s="136"/>
      <c r="CM52187" s="111"/>
      <c r="CQ52187" s="111"/>
      <c r="EF52187"/>
      <c r="EG52187"/>
      <c r="EH52187"/>
      <c r="EI52187"/>
      <c r="EJ52187"/>
      <c r="EK52187"/>
    </row>
    <row r="52188" spans="1:141" s="116" customFormat="1">
      <c r="A52188" s="136"/>
      <c r="CM52188" s="111"/>
      <c r="CQ52188" s="111"/>
      <c r="EF52188"/>
      <c r="EG52188"/>
      <c r="EH52188"/>
      <c r="EI52188"/>
      <c r="EJ52188"/>
      <c r="EK52188"/>
    </row>
    <row r="52189" spans="1:141" s="116" customFormat="1">
      <c r="A52189" s="136"/>
      <c r="CM52189" s="111"/>
      <c r="CQ52189" s="111"/>
      <c r="EF52189"/>
      <c r="EG52189"/>
      <c r="EH52189"/>
      <c r="EI52189"/>
      <c r="EJ52189"/>
      <c r="EK52189"/>
    </row>
    <row r="52190" spans="1:141" s="116" customFormat="1">
      <c r="A52190" s="136"/>
      <c r="CM52190" s="111"/>
      <c r="CQ52190" s="111"/>
      <c r="EF52190"/>
      <c r="EG52190"/>
      <c r="EH52190"/>
      <c r="EI52190"/>
      <c r="EJ52190"/>
      <c r="EK52190"/>
    </row>
    <row r="52191" spans="1:141" s="116" customFormat="1">
      <c r="A52191" s="136"/>
      <c r="CM52191" s="111"/>
      <c r="CQ52191" s="111"/>
      <c r="EF52191"/>
      <c r="EG52191"/>
      <c r="EH52191"/>
      <c r="EI52191"/>
      <c r="EJ52191"/>
      <c r="EK52191"/>
    </row>
    <row r="52192" spans="1:141" s="116" customFormat="1">
      <c r="A52192" s="136"/>
      <c r="CM52192" s="111"/>
      <c r="CQ52192" s="111"/>
      <c r="EF52192"/>
      <c r="EG52192"/>
      <c r="EH52192"/>
      <c r="EI52192"/>
      <c r="EJ52192"/>
      <c r="EK52192"/>
    </row>
    <row r="52193" spans="1:141" s="116" customFormat="1">
      <c r="A52193" s="136"/>
      <c r="CM52193" s="111"/>
      <c r="CQ52193" s="111"/>
      <c r="EF52193"/>
      <c r="EG52193"/>
      <c r="EH52193"/>
      <c r="EI52193"/>
      <c r="EJ52193"/>
      <c r="EK52193"/>
    </row>
    <row r="52194" spans="1:141" s="116" customFormat="1">
      <c r="A52194" s="136"/>
      <c r="CM52194" s="111"/>
      <c r="CQ52194" s="111"/>
      <c r="EF52194"/>
      <c r="EG52194"/>
      <c r="EH52194"/>
      <c r="EI52194"/>
      <c r="EJ52194"/>
      <c r="EK52194"/>
    </row>
    <row r="52195" spans="1:141" s="116" customFormat="1">
      <c r="A52195" s="136"/>
      <c r="CM52195" s="111"/>
      <c r="CQ52195" s="111"/>
      <c r="EF52195"/>
      <c r="EG52195"/>
      <c r="EH52195"/>
      <c r="EI52195"/>
      <c r="EJ52195"/>
      <c r="EK52195"/>
    </row>
    <row r="52196" spans="1:141" s="116" customFormat="1">
      <c r="A52196" s="136"/>
      <c r="CM52196" s="111"/>
      <c r="CQ52196" s="111"/>
      <c r="EF52196"/>
      <c r="EG52196"/>
      <c r="EH52196"/>
      <c r="EI52196"/>
      <c r="EJ52196"/>
      <c r="EK52196"/>
    </row>
    <row r="52197" spans="1:141" s="116" customFormat="1">
      <c r="A52197" s="136"/>
      <c r="CM52197" s="111"/>
      <c r="CQ52197" s="111"/>
      <c r="EF52197"/>
      <c r="EG52197"/>
      <c r="EH52197"/>
      <c r="EI52197"/>
      <c r="EJ52197"/>
      <c r="EK52197"/>
    </row>
    <row r="52198" spans="1:141" s="116" customFormat="1">
      <c r="A52198" s="136"/>
      <c r="CM52198" s="111"/>
      <c r="CQ52198" s="111"/>
      <c r="EF52198"/>
      <c r="EG52198"/>
      <c r="EH52198"/>
      <c r="EI52198"/>
      <c r="EJ52198"/>
      <c r="EK52198"/>
    </row>
    <row r="52199" spans="1:141" s="116" customFormat="1">
      <c r="A52199" s="136"/>
      <c r="CM52199" s="111"/>
      <c r="CQ52199" s="111"/>
      <c r="EF52199"/>
      <c r="EG52199"/>
      <c r="EH52199"/>
      <c r="EI52199"/>
      <c r="EJ52199"/>
      <c r="EK52199"/>
    </row>
    <row r="52200" spans="1:141" s="116" customFormat="1">
      <c r="A52200" s="136"/>
      <c r="CM52200" s="111"/>
      <c r="CQ52200" s="111"/>
      <c r="EF52200"/>
      <c r="EG52200"/>
      <c r="EH52200"/>
      <c r="EI52200"/>
      <c r="EJ52200"/>
      <c r="EK52200"/>
    </row>
    <row r="52201" spans="1:141" s="116" customFormat="1">
      <c r="A52201" s="136"/>
      <c r="CM52201" s="111"/>
      <c r="CQ52201" s="111"/>
      <c r="EF52201"/>
      <c r="EG52201"/>
      <c r="EH52201"/>
      <c r="EI52201"/>
      <c r="EJ52201"/>
      <c r="EK52201"/>
    </row>
    <row r="52202" spans="1:141" s="116" customFormat="1">
      <c r="A52202" s="136"/>
      <c r="CM52202" s="111"/>
      <c r="CQ52202" s="111"/>
      <c r="EF52202"/>
      <c r="EG52202"/>
      <c r="EH52202"/>
      <c r="EI52202"/>
      <c r="EJ52202"/>
      <c r="EK52202"/>
    </row>
    <row r="52203" spans="1:141" s="116" customFormat="1">
      <c r="A52203" s="136"/>
      <c r="CM52203" s="111"/>
      <c r="CQ52203" s="111"/>
      <c r="EF52203"/>
      <c r="EG52203"/>
      <c r="EH52203"/>
      <c r="EI52203"/>
      <c r="EJ52203"/>
      <c r="EK52203"/>
    </row>
    <row r="52204" spans="1:141" s="116" customFormat="1">
      <c r="A52204" s="136"/>
      <c r="CM52204" s="111"/>
      <c r="CQ52204" s="111"/>
      <c r="EF52204"/>
      <c r="EG52204"/>
      <c r="EH52204"/>
      <c r="EI52204"/>
      <c r="EJ52204"/>
      <c r="EK52204"/>
    </row>
    <row r="52205" spans="1:141" s="116" customFormat="1">
      <c r="A52205" s="136"/>
      <c r="CM52205" s="111"/>
      <c r="CQ52205" s="111"/>
      <c r="EF52205"/>
      <c r="EG52205"/>
      <c r="EH52205"/>
      <c r="EI52205"/>
      <c r="EJ52205"/>
      <c r="EK52205"/>
    </row>
    <row r="52206" spans="1:141" s="116" customFormat="1">
      <c r="A52206" s="136"/>
      <c r="CM52206" s="111"/>
      <c r="CQ52206" s="111"/>
      <c r="EF52206"/>
      <c r="EG52206"/>
      <c r="EH52206"/>
      <c r="EI52206"/>
      <c r="EJ52206"/>
      <c r="EK52206"/>
    </row>
    <row r="52207" spans="1:141" s="116" customFormat="1">
      <c r="A52207" s="136"/>
      <c r="CM52207" s="111"/>
      <c r="CQ52207" s="111"/>
      <c r="EF52207"/>
      <c r="EG52207"/>
      <c r="EH52207"/>
      <c r="EI52207"/>
      <c r="EJ52207"/>
      <c r="EK52207"/>
    </row>
    <row r="52208" spans="1:141" s="116" customFormat="1">
      <c r="A52208" s="136"/>
      <c r="CM52208" s="111"/>
      <c r="CQ52208" s="111"/>
      <c r="EF52208"/>
      <c r="EG52208"/>
      <c r="EH52208"/>
      <c r="EI52208"/>
      <c r="EJ52208"/>
      <c r="EK52208"/>
    </row>
    <row r="52209" spans="1:141" s="116" customFormat="1">
      <c r="A52209" s="136"/>
      <c r="CM52209" s="111"/>
      <c r="CQ52209" s="111"/>
      <c r="EF52209"/>
      <c r="EG52209"/>
      <c r="EH52209"/>
      <c r="EI52209"/>
      <c r="EJ52209"/>
      <c r="EK52209"/>
    </row>
    <row r="52210" spans="1:141" s="116" customFormat="1">
      <c r="A52210" s="136"/>
      <c r="CM52210" s="111"/>
      <c r="CQ52210" s="111"/>
      <c r="EF52210"/>
      <c r="EG52210"/>
      <c r="EH52210"/>
      <c r="EI52210"/>
      <c r="EJ52210"/>
      <c r="EK52210"/>
    </row>
    <row r="52211" spans="1:141" s="116" customFormat="1">
      <c r="A52211" s="136"/>
      <c r="CM52211" s="111"/>
      <c r="CQ52211" s="111"/>
      <c r="EF52211"/>
      <c r="EG52211"/>
      <c r="EH52211"/>
      <c r="EI52211"/>
      <c r="EJ52211"/>
      <c r="EK52211"/>
    </row>
    <row r="52212" spans="1:141" s="116" customFormat="1">
      <c r="A52212" s="136"/>
      <c r="CM52212" s="111"/>
      <c r="CQ52212" s="111"/>
      <c r="EF52212"/>
      <c r="EG52212"/>
      <c r="EH52212"/>
      <c r="EI52212"/>
      <c r="EJ52212"/>
      <c r="EK52212"/>
    </row>
    <row r="52213" spans="1:141" s="116" customFormat="1">
      <c r="A52213" s="136"/>
      <c r="CM52213" s="111"/>
      <c r="CQ52213" s="111"/>
      <c r="EF52213"/>
      <c r="EG52213"/>
      <c r="EH52213"/>
      <c r="EI52213"/>
      <c r="EJ52213"/>
      <c r="EK52213"/>
    </row>
    <row r="52214" spans="1:141" s="116" customFormat="1">
      <c r="A52214" s="136"/>
      <c r="CM52214" s="111"/>
      <c r="CQ52214" s="111"/>
      <c r="EF52214"/>
      <c r="EG52214"/>
      <c r="EH52214"/>
      <c r="EI52214"/>
      <c r="EJ52214"/>
      <c r="EK52214"/>
    </row>
    <row r="52215" spans="1:141" s="116" customFormat="1">
      <c r="A52215" s="136"/>
      <c r="CM52215" s="111"/>
      <c r="CQ52215" s="111"/>
      <c r="EF52215"/>
      <c r="EG52215"/>
      <c r="EH52215"/>
      <c r="EI52215"/>
      <c r="EJ52215"/>
      <c r="EK52215"/>
    </row>
    <row r="52216" spans="1:141" s="116" customFormat="1">
      <c r="A52216" s="136"/>
      <c r="CM52216" s="111"/>
      <c r="CQ52216" s="111"/>
      <c r="EF52216"/>
      <c r="EG52216"/>
      <c r="EH52216"/>
      <c r="EI52216"/>
      <c r="EJ52216"/>
      <c r="EK52216"/>
    </row>
    <row r="52217" spans="1:141" s="116" customFormat="1">
      <c r="A52217" s="136"/>
      <c r="CM52217" s="111"/>
      <c r="CQ52217" s="111"/>
      <c r="EF52217"/>
      <c r="EG52217"/>
      <c r="EH52217"/>
      <c r="EI52217"/>
      <c r="EJ52217"/>
      <c r="EK52217"/>
    </row>
    <row r="52218" spans="1:141" s="116" customFormat="1">
      <c r="A52218" s="136"/>
      <c r="CM52218" s="111"/>
      <c r="CQ52218" s="111"/>
      <c r="EF52218"/>
      <c r="EG52218"/>
      <c r="EH52218"/>
      <c r="EI52218"/>
      <c r="EJ52218"/>
      <c r="EK52218"/>
    </row>
    <row r="52219" spans="1:141" s="116" customFormat="1">
      <c r="A52219" s="136"/>
      <c r="CM52219" s="111"/>
      <c r="CQ52219" s="111"/>
      <c r="EF52219"/>
      <c r="EG52219"/>
      <c r="EH52219"/>
      <c r="EI52219"/>
      <c r="EJ52219"/>
      <c r="EK52219"/>
    </row>
    <row r="52220" spans="1:141" s="116" customFormat="1">
      <c r="A52220" s="136"/>
      <c r="CM52220" s="111"/>
      <c r="CQ52220" s="111"/>
      <c r="EF52220"/>
      <c r="EG52220"/>
      <c r="EH52220"/>
      <c r="EI52220"/>
      <c r="EJ52220"/>
      <c r="EK52220"/>
    </row>
    <row r="52221" spans="1:141" s="116" customFormat="1">
      <c r="A52221" s="136"/>
      <c r="CM52221" s="111"/>
      <c r="CQ52221" s="111"/>
      <c r="EF52221"/>
      <c r="EG52221"/>
      <c r="EH52221"/>
      <c r="EI52221"/>
      <c r="EJ52221"/>
      <c r="EK52221"/>
    </row>
    <row r="52222" spans="1:141" s="116" customFormat="1">
      <c r="A52222" s="136"/>
      <c r="CM52222" s="111"/>
      <c r="CQ52222" s="111"/>
      <c r="EF52222"/>
      <c r="EG52222"/>
      <c r="EH52222"/>
      <c r="EI52222"/>
      <c r="EJ52222"/>
      <c r="EK52222"/>
    </row>
    <row r="52223" spans="1:141" s="116" customFormat="1">
      <c r="A52223" s="136"/>
      <c r="CM52223" s="111"/>
      <c r="CQ52223" s="111"/>
      <c r="EF52223"/>
      <c r="EG52223"/>
      <c r="EH52223"/>
      <c r="EI52223"/>
      <c r="EJ52223"/>
      <c r="EK52223"/>
    </row>
    <row r="52224" spans="1:141" s="116" customFormat="1">
      <c r="A52224" s="136"/>
      <c r="CM52224" s="111"/>
      <c r="CQ52224" s="111"/>
      <c r="EF52224"/>
      <c r="EG52224"/>
      <c r="EH52224"/>
      <c r="EI52224"/>
      <c r="EJ52224"/>
      <c r="EK52224"/>
    </row>
    <row r="52225" spans="1:141" s="116" customFormat="1">
      <c r="A52225" s="136"/>
      <c r="CM52225" s="111"/>
      <c r="CQ52225" s="111"/>
      <c r="EF52225"/>
      <c r="EG52225"/>
      <c r="EH52225"/>
      <c r="EI52225"/>
      <c r="EJ52225"/>
      <c r="EK52225"/>
    </row>
    <row r="52226" spans="1:141" s="116" customFormat="1">
      <c r="A52226" s="136"/>
      <c r="CM52226" s="111"/>
      <c r="CQ52226" s="111"/>
      <c r="EF52226"/>
      <c r="EG52226"/>
      <c r="EH52226"/>
      <c r="EI52226"/>
      <c r="EJ52226"/>
      <c r="EK52226"/>
    </row>
    <row r="52227" spans="1:141" s="116" customFormat="1">
      <c r="A52227" s="136"/>
      <c r="CM52227" s="111"/>
      <c r="CQ52227" s="111"/>
      <c r="EF52227"/>
      <c r="EG52227"/>
      <c r="EH52227"/>
      <c r="EI52227"/>
      <c r="EJ52227"/>
      <c r="EK52227"/>
    </row>
    <row r="52228" spans="1:141" s="116" customFormat="1">
      <c r="A52228" s="136"/>
      <c r="CM52228" s="111"/>
      <c r="CQ52228" s="111"/>
      <c r="EF52228"/>
      <c r="EG52228"/>
      <c r="EH52228"/>
      <c r="EI52228"/>
      <c r="EJ52228"/>
      <c r="EK52228"/>
    </row>
    <row r="52229" spans="1:141" s="116" customFormat="1">
      <c r="A52229" s="136"/>
      <c r="CM52229" s="111"/>
      <c r="CQ52229" s="111"/>
      <c r="EF52229"/>
      <c r="EG52229"/>
      <c r="EH52229"/>
      <c r="EI52229"/>
      <c r="EJ52229"/>
      <c r="EK52229"/>
    </row>
    <row r="52230" spans="1:141" s="116" customFormat="1">
      <c r="A52230" s="136"/>
      <c r="CM52230" s="111"/>
      <c r="CQ52230" s="111"/>
      <c r="EF52230"/>
      <c r="EG52230"/>
      <c r="EH52230"/>
      <c r="EI52230"/>
      <c r="EJ52230"/>
      <c r="EK52230"/>
    </row>
    <row r="52231" spans="1:141" s="116" customFormat="1">
      <c r="A52231" s="136"/>
      <c r="CM52231" s="111"/>
      <c r="CQ52231" s="111"/>
      <c r="EF52231"/>
      <c r="EG52231"/>
      <c r="EH52231"/>
      <c r="EI52231"/>
      <c r="EJ52231"/>
      <c r="EK52231"/>
    </row>
    <row r="52232" spans="1:141" s="116" customFormat="1">
      <c r="A52232" s="136"/>
      <c r="CM52232" s="111"/>
      <c r="CQ52232" s="111"/>
      <c r="EF52232"/>
      <c r="EG52232"/>
      <c r="EH52232"/>
      <c r="EI52232"/>
      <c r="EJ52232"/>
      <c r="EK52232"/>
    </row>
    <row r="52233" spans="1:141" s="116" customFormat="1">
      <c r="A52233" s="136"/>
      <c r="CM52233" s="111"/>
      <c r="CQ52233" s="111"/>
      <c r="EF52233"/>
      <c r="EG52233"/>
      <c r="EH52233"/>
      <c r="EI52233"/>
      <c r="EJ52233"/>
      <c r="EK52233"/>
    </row>
    <row r="52234" spans="1:141" s="116" customFormat="1">
      <c r="A52234" s="136"/>
      <c r="CM52234" s="111"/>
      <c r="CQ52234" s="111"/>
      <c r="EF52234"/>
      <c r="EG52234"/>
      <c r="EH52234"/>
      <c r="EI52234"/>
      <c r="EJ52234"/>
      <c r="EK52234"/>
    </row>
    <row r="52235" spans="1:141" s="116" customFormat="1">
      <c r="A52235" s="136"/>
      <c r="CM52235" s="111"/>
      <c r="CQ52235" s="111"/>
      <c r="EF52235"/>
      <c r="EG52235"/>
      <c r="EH52235"/>
      <c r="EI52235"/>
      <c r="EJ52235"/>
      <c r="EK52235"/>
    </row>
    <row r="52236" spans="1:141" s="116" customFormat="1">
      <c r="A52236" s="136"/>
      <c r="CM52236" s="111"/>
      <c r="CQ52236" s="111"/>
      <c r="EF52236"/>
      <c r="EG52236"/>
      <c r="EH52236"/>
      <c r="EI52236"/>
      <c r="EJ52236"/>
      <c r="EK52236"/>
    </row>
    <row r="52237" spans="1:141" s="116" customFormat="1">
      <c r="A52237" s="136"/>
      <c r="CM52237" s="111"/>
      <c r="CQ52237" s="111"/>
      <c r="EF52237"/>
      <c r="EG52237"/>
      <c r="EH52237"/>
      <c r="EI52237"/>
      <c r="EJ52237"/>
      <c r="EK52237"/>
    </row>
    <row r="52238" spans="1:141" s="116" customFormat="1">
      <c r="A52238" s="136"/>
      <c r="CM52238" s="111"/>
      <c r="CQ52238" s="111"/>
      <c r="EF52238"/>
      <c r="EG52238"/>
      <c r="EH52238"/>
      <c r="EI52238"/>
      <c r="EJ52238"/>
      <c r="EK52238"/>
    </row>
    <row r="52239" spans="1:141" s="116" customFormat="1">
      <c r="A52239" s="136"/>
      <c r="CM52239" s="111"/>
      <c r="CQ52239" s="111"/>
      <c r="EF52239"/>
      <c r="EG52239"/>
      <c r="EH52239"/>
      <c r="EI52239"/>
      <c r="EJ52239"/>
      <c r="EK52239"/>
    </row>
    <row r="52240" spans="1:141" s="116" customFormat="1">
      <c r="A52240" s="136"/>
      <c r="CM52240" s="111"/>
      <c r="CQ52240" s="111"/>
      <c r="EF52240"/>
      <c r="EG52240"/>
      <c r="EH52240"/>
      <c r="EI52240"/>
      <c r="EJ52240"/>
      <c r="EK52240"/>
    </row>
    <row r="52241" spans="1:141" s="116" customFormat="1">
      <c r="A52241" s="136"/>
      <c r="CM52241" s="111"/>
      <c r="CQ52241" s="111"/>
      <c r="EF52241"/>
      <c r="EG52241"/>
      <c r="EH52241"/>
      <c r="EI52241"/>
      <c r="EJ52241"/>
      <c r="EK52241"/>
    </row>
    <row r="52242" spans="1:141" s="116" customFormat="1">
      <c r="A52242" s="136"/>
      <c r="CM52242" s="111"/>
      <c r="CQ52242" s="111"/>
      <c r="EF52242"/>
      <c r="EG52242"/>
      <c r="EH52242"/>
      <c r="EI52242"/>
      <c r="EJ52242"/>
      <c r="EK52242"/>
    </row>
    <row r="52243" spans="1:141" s="116" customFormat="1">
      <c r="A52243" s="136"/>
      <c r="CM52243" s="111"/>
      <c r="CQ52243" s="111"/>
      <c r="EF52243"/>
      <c r="EG52243"/>
      <c r="EH52243"/>
      <c r="EI52243"/>
      <c r="EJ52243"/>
      <c r="EK52243"/>
    </row>
    <row r="52244" spans="1:141" s="116" customFormat="1">
      <c r="A52244" s="136"/>
      <c r="CM52244" s="111"/>
      <c r="CQ52244" s="111"/>
      <c r="EF52244"/>
      <c r="EG52244"/>
      <c r="EH52244"/>
      <c r="EI52244"/>
      <c r="EJ52244"/>
      <c r="EK52244"/>
    </row>
    <row r="52245" spans="1:141" s="116" customFormat="1">
      <c r="A52245" s="136"/>
      <c r="CM52245" s="111"/>
      <c r="CQ52245" s="111"/>
      <c r="EF52245"/>
      <c r="EG52245"/>
      <c r="EH52245"/>
      <c r="EI52245"/>
      <c r="EJ52245"/>
      <c r="EK52245"/>
    </row>
    <row r="52246" spans="1:141" s="116" customFormat="1">
      <c r="A52246" s="136"/>
      <c r="CM52246" s="111"/>
      <c r="CQ52246" s="111"/>
      <c r="EF52246"/>
      <c r="EG52246"/>
      <c r="EH52246"/>
      <c r="EI52246"/>
      <c r="EJ52246"/>
      <c r="EK52246"/>
    </row>
    <row r="52247" spans="1:141" s="116" customFormat="1">
      <c r="A52247" s="136"/>
      <c r="CM52247" s="111"/>
      <c r="CQ52247" s="111"/>
      <c r="EF52247"/>
      <c r="EG52247"/>
      <c r="EH52247"/>
      <c r="EI52247"/>
      <c r="EJ52247"/>
      <c r="EK52247"/>
    </row>
    <row r="52248" spans="1:141" s="116" customFormat="1">
      <c r="A52248" s="136"/>
      <c r="CM52248" s="111"/>
      <c r="CQ52248" s="111"/>
      <c r="EF52248"/>
      <c r="EG52248"/>
      <c r="EH52248"/>
      <c r="EI52248"/>
      <c r="EJ52248"/>
      <c r="EK52248"/>
    </row>
    <row r="52249" spans="1:141" s="116" customFormat="1">
      <c r="A52249" s="136"/>
      <c r="CM52249" s="111"/>
      <c r="CQ52249" s="111"/>
      <c r="EF52249"/>
      <c r="EG52249"/>
      <c r="EH52249"/>
      <c r="EI52249"/>
      <c r="EJ52249"/>
      <c r="EK52249"/>
    </row>
    <row r="52250" spans="1:141" s="116" customFormat="1">
      <c r="A52250" s="136"/>
      <c r="CM52250" s="111"/>
      <c r="CQ52250" s="111"/>
      <c r="EF52250"/>
      <c r="EG52250"/>
      <c r="EH52250"/>
      <c r="EI52250"/>
      <c r="EJ52250"/>
      <c r="EK52250"/>
    </row>
    <row r="52251" spans="1:141" s="116" customFormat="1">
      <c r="A52251" s="136"/>
      <c r="CM52251" s="111"/>
      <c r="CQ52251" s="111"/>
      <c r="EF52251"/>
      <c r="EG52251"/>
      <c r="EH52251"/>
      <c r="EI52251"/>
      <c r="EJ52251"/>
      <c r="EK52251"/>
    </row>
    <row r="52252" spans="1:141" s="116" customFormat="1">
      <c r="A52252" s="136"/>
      <c r="CM52252" s="111"/>
      <c r="CQ52252" s="111"/>
      <c r="EF52252"/>
      <c r="EG52252"/>
      <c r="EH52252"/>
      <c r="EI52252"/>
      <c r="EJ52252"/>
      <c r="EK52252"/>
    </row>
    <row r="52253" spans="1:141" s="116" customFormat="1">
      <c r="A52253" s="136"/>
      <c r="CM52253" s="111"/>
      <c r="CQ52253" s="111"/>
      <c r="EF52253"/>
      <c r="EG52253"/>
      <c r="EH52253"/>
      <c r="EI52253"/>
      <c r="EJ52253"/>
      <c r="EK52253"/>
    </row>
    <row r="52254" spans="1:141" s="116" customFormat="1">
      <c r="A52254" s="136"/>
      <c r="CM52254" s="111"/>
      <c r="CQ52254" s="111"/>
      <c r="EF52254"/>
      <c r="EG52254"/>
      <c r="EH52254"/>
      <c r="EI52254"/>
      <c r="EJ52254"/>
      <c r="EK52254"/>
    </row>
    <row r="52255" spans="1:141" s="116" customFormat="1">
      <c r="A52255" s="136"/>
      <c r="CM52255" s="111"/>
      <c r="CQ52255" s="111"/>
      <c r="EF52255"/>
      <c r="EG52255"/>
      <c r="EH52255"/>
      <c r="EI52255"/>
      <c r="EJ52255"/>
      <c r="EK52255"/>
    </row>
    <row r="52256" spans="1:141" s="116" customFormat="1">
      <c r="A52256" s="136"/>
      <c r="CM52256" s="111"/>
      <c r="CQ52256" s="111"/>
      <c r="EF52256"/>
      <c r="EG52256"/>
      <c r="EH52256"/>
      <c r="EI52256"/>
      <c r="EJ52256"/>
      <c r="EK52256"/>
    </row>
    <row r="52257" spans="1:141" s="116" customFormat="1">
      <c r="A52257" s="136"/>
      <c r="CM52257" s="111"/>
      <c r="CQ52257" s="111"/>
      <c r="EF52257"/>
      <c r="EG52257"/>
      <c r="EH52257"/>
      <c r="EI52257"/>
      <c r="EJ52257"/>
      <c r="EK52257"/>
    </row>
    <row r="52258" spans="1:141" s="116" customFormat="1">
      <c r="A52258" s="136"/>
      <c r="CM52258" s="111"/>
      <c r="CQ52258" s="111"/>
      <c r="EF52258"/>
      <c r="EG52258"/>
      <c r="EH52258"/>
      <c r="EI52258"/>
      <c r="EJ52258"/>
      <c r="EK52258"/>
    </row>
    <row r="52259" spans="1:141" s="116" customFormat="1">
      <c r="A52259" s="136"/>
      <c r="CM52259" s="111"/>
      <c r="CQ52259" s="111"/>
      <c r="EF52259"/>
      <c r="EG52259"/>
      <c r="EH52259"/>
      <c r="EI52259"/>
      <c r="EJ52259"/>
      <c r="EK52259"/>
    </row>
    <row r="52260" spans="1:141" s="116" customFormat="1">
      <c r="A52260" s="136"/>
      <c r="CM52260" s="111"/>
      <c r="CQ52260" s="111"/>
      <c r="EF52260"/>
      <c r="EG52260"/>
      <c r="EH52260"/>
      <c r="EI52260"/>
      <c r="EJ52260"/>
      <c r="EK52260"/>
    </row>
    <row r="52261" spans="1:141" s="116" customFormat="1">
      <c r="A52261" s="136"/>
      <c r="CM52261" s="111"/>
      <c r="CQ52261" s="111"/>
      <c r="EF52261"/>
      <c r="EG52261"/>
      <c r="EH52261"/>
      <c r="EI52261"/>
      <c r="EJ52261"/>
      <c r="EK52261"/>
    </row>
    <row r="52262" spans="1:141" s="116" customFormat="1">
      <c r="A52262" s="136"/>
      <c r="CM52262" s="111"/>
      <c r="CQ52262" s="111"/>
      <c r="EF52262"/>
      <c r="EG52262"/>
      <c r="EH52262"/>
      <c r="EI52262"/>
      <c r="EJ52262"/>
      <c r="EK52262"/>
    </row>
    <row r="52263" spans="1:141" s="116" customFormat="1">
      <c r="A52263" s="136"/>
      <c r="CM52263" s="111"/>
      <c r="CQ52263" s="111"/>
      <c r="EF52263"/>
      <c r="EG52263"/>
      <c r="EH52263"/>
      <c r="EI52263"/>
      <c r="EJ52263"/>
      <c r="EK52263"/>
    </row>
    <row r="52264" spans="1:141" s="116" customFormat="1">
      <c r="A52264" s="136"/>
      <c r="CM52264" s="111"/>
      <c r="CQ52264" s="111"/>
      <c r="EF52264"/>
      <c r="EG52264"/>
      <c r="EH52264"/>
      <c r="EI52264"/>
      <c r="EJ52264"/>
      <c r="EK52264"/>
    </row>
    <row r="52265" spans="1:141" s="116" customFormat="1">
      <c r="A52265" s="136"/>
      <c r="CM52265" s="111"/>
      <c r="CQ52265" s="111"/>
      <c r="EF52265"/>
      <c r="EG52265"/>
      <c r="EH52265"/>
      <c r="EI52265"/>
      <c r="EJ52265"/>
      <c r="EK52265"/>
    </row>
    <row r="52266" spans="1:141" s="116" customFormat="1">
      <c r="A52266" s="136"/>
      <c r="CM52266" s="111"/>
      <c r="CQ52266" s="111"/>
      <c r="EF52266"/>
      <c r="EG52266"/>
      <c r="EH52266"/>
      <c r="EI52266"/>
      <c r="EJ52266"/>
      <c r="EK52266"/>
    </row>
    <row r="52267" spans="1:141" s="116" customFormat="1">
      <c r="A52267" s="136"/>
      <c r="CM52267" s="111"/>
      <c r="CQ52267" s="111"/>
      <c r="EF52267"/>
      <c r="EG52267"/>
      <c r="EH52267"/>
      <c r="EI52267"/>
      <c r="EJ52267"/>
      <c r="EK52267"/>
    </row>
    <row r="52268" spans="1:141" s="116" customFormat="1">
      <c r="A52268" s="136"/>
      <c r="CM52268" s="111"/>
      <c r="CQ52268" s="111"/>
      <c r="EF52268"/>
      <c r="EG52268"/>
      <c r="EH52268"/>
      <c r="EI52268"/>
      <c r="EJ52268"/>
      <c r="EK52268"/>
    </row>
    <row r="52269" spans="1:141" s="116" customFormat="1">
      <c r="A52269" s="136"/>
      <c r="CM52269" s="111"/>
      <c r="CQ52269" s="111"/>
      <c r="EF52269"/>
      <c r="EG52269"/>
      <c r="EH52269"/>
      <c r="EI52269"/>
      <c r="EJ52269"/>
      <c r="EK52269"/>
    </row>
    <row r="52270" spans="1:141" s="116" customFormat="1">
      <c r="A52270" s="136"/>
      <c r="CM52270" s="111"/>
      <c r="CQ52270" s="111"/>
      <c r="EF52270"/>
      <c r="EG52270"/>
      <c r="EH52270"/>
      <c r="EI52270"/>
      <c r="EJ52270"/>
      <c r="EK52270"/>
    </row>
    <row r="52271" spans="1:141" s="116" customFormat="1">
      <c r="A52271" s="136"/>
      <c r="CM52271" s="111"/>
      <c r="CQ52271" s="111"/>
      <c r="EF52271"/>
      <c r="EG52271"/>
      <c r="EH52271"/>
      <c r="EI52271"/>
      <c r="EJ52271"/>
      <c r="EK52271"/>
    </row>
    <row r="52272" spans="1:141" s="116" customFormat="1">
      <c r="A52272" s="136"/>
      <c r="CM52272" s="111"/>
      <c r="CQ52272" s="111"/>
      <c r="EF52272"/>
      <c r="EG52272"/>
      <c r="EH52272"/>
      <c r="EI52272"/>
      <c r="EJ52272"/>
      <c r="EK52272"/>
    </row>
    <row r="52273" spans="1:141" s="116" customFormat="1">
      <c r="A52273" s="136"/>
      <c r="CM52273" s="111"/>
      <c r="CQ52273" s="111"/>
      <c r="EF52273"/>
      <c r="EG52273"/>
      <c r="EH52273"/>
      <c r="EI52273"/>
      <c r="EJ52273"/>
      <c r="EK52273"/>
    </row>
    <row r="52274" spans="1:141" s="116" customFormat="1">
      <c r="A52274" s="136"/>
      <c r="CM52274" s="111"/>
      <c r="CQ52274" s="111"/>
      <c r="EF52274"/>
      <c r="EG52274"/>
      <c r="EH52274"/>
      <c r="EI52274"/>
      <c r="EJ52274"/>
      <c r="EK52274"/>
    </row>
    <row r="52275" spans="1:141" s="116" customFormat="1">
      <c r="A52275" s="136"/>
      <c r="CM52275" s="111"/>
      <c r="CQ52275" s="111"/>
      <c r="EF52275"/>
      <c r="EG52275"/>
      <c r="EH52275"/>
      <c r="EI52275"/>
      <c r="EJ52275"/>
      <c r="EK52275"/>
    </row>
    <row r="52276" spans="1:141" s="116" customFormat="1">
      <c r="A52276" s="136"/>
      <c r="CM52276" s="111"/>
      <c r="CQ52276" s="111"/>
      <c r="EF52276"/>
      <c r="EG52276"/>
      <c r="EH52276"/>
      <c r="EI52276"/>
      <c r="EJ52276"/>
      <c r="EK52276"/>
    </row>
    <row r="52277" spans="1:141" s="116" customFormat="1">
      <c r="A52277" s="136"/>
      <c r="CM52277" s="111"/>
      <c r="CQ52277" s="111"/>
      <c r="EF52277"/>
      <c r="EG52277"/>
      <c r="EH52277"/>
      <c r="EI52277"/>
      <c r="EJ52277"/>
      <c r="EK52277"/>
    </row>
    <row r="52278" spans="1:141" s="116" customFormat="1">
      <c r="A52278" s="136"/>
      <c r="CM52278" s="111"/>
      <c r="CQ52278" s="111"/>
      <c r="EF52278"/>
      <c r="EG52278"/>
      <c r="EH52278"/>
      <c r="EI52278"/>
      <c r="EJ52278"/>
      <c r="EK52278"/>
    </row>
    <row r="52279" spans="1:141" s="116" customFormat="1">
      <c r="A52279" s="136"/>
      <c r="CM52279" s="111"/>
      <c r="CQ52279" s="111"/>
      <c r="EF52279"/>
      <c r="EG52279"/>
      <c r="EH52279"/>
      <c r="EI52279"/>
      <c r="EJ52279"/>
      <c r="EK52279"/>
    </row>
    <row r="52280" spans="1:141" s="116" customFormat="1">
      <c r="A52280" s="136"/>
      <c r="CM52280" s="111"/>
      <c r="CQ52280" s="111"/>
      <c r="EF52280"/>
      <c r="EG52280"/>
      <c r="EH52280"/>
      <c r="EI52280"/>
      <c r="EJ52280"/>
      <c r="EK52280"/>
    </row>
    <row r="52281" spans="1:141" s="116" customFormat="1">
      <c r="A52281" s="136"/>
      <c r="CM52281" s="111"/>
      <c r="CQ52281" s="111"/>
      <c r="EF52281"/>
      <c r="EG52281"/>
      <c r="EH52281"/>
      <c r="EI52281"/>
      <c r="EJ52281"/>
      <c r="EK52281"/>
    </row>
    <row r="52282" spans="1:141" s="116" customFormat="1">
      <c r="A52282" s="136"/>
      <c r="CM52282" s="111"/>
      <c r="CQ52282" s="111"/>
      <c r="EF52282"/>
      <c r="EG52282"/>
      <c r="EH52282"/>
      <c r="EI52282"/>
      <c r="EJ52282"/>
      <c r="EK52282"/>
    </row>
    <row r="52283" spans="1:141" s="116" customFormat="1">
      <c r="A52283" s="136"/>
      <c r="CM52283" s="111"/>
      <c r="CQ52283" s="111"/>
      <c r="EF52283"/>
      <c r="EG52283"/>
      <c r="EH52283"/>
      <c r="EI52283"/>
      <c r="EJ52283"/>
      <c r="EK52283"/>
    </row>
    <row r="52284" spans="1:141" s="116" customFormat="1">
      <c r="A52284" s="136"/>
      <c r="CM52284" s="111"/>
      <c r="CQ52284" s="111"/>
      <c r="EF52284"/>
      <c r="EG52284"/>
      <c r="EH52284"/>
      <c r="EI52284"/>
      <c r="EJ52284"/>
      <c r="EK52284"/>
    </row>
    <row r="52285" spans="1:141" s="116" customFormat="1">
      <c r="A52285" s="136"/>
      <c r="CM52285" s="111"/>
      <c r="CQ52285" s="111"/>
      <c r="EF52285"/>
      <c r="EG52285"/>
      <c r="EH52285"/>
      <c r="EI52285"/>
      <c r="EJ52285"/>
      <c r="EK52285"/>
    </row>
    <row r="52286" spans="1:141" s="116" customFormat="1">
      <c r="A52286" s="136"/>
      <c r="CM52286" s="111"/>
      <c r="CQ52286" s="111"/>
      <c r="EF52286"/>
      <c r="EG52286"/>
      <c r="EH52286"/>
      <c r="EI52286"/>
      <c r="EJ52286"/>
      <c r="EK52286"/>
    </row>
    <row r="52287" spans="1:141" s="116" customFormat="1">
      <c r="A52287" s="136"/>
      <c r="CM52287" s="111"/>
      <c r="CQ52287" s="111"/>
      <c r="EF52287"/>
      <c r="EG52287"/>
      <c r="EH52287"/>
      <c r="EI52287"/>
      <c r="EJ52287"/>
      <c r="EK52287"/>
    </row>
    <row r="52288" spans="1:141" s="116" customFormat="1">
      <c r="A52288" s="136"/>
      <c r="CM52288" s="111"/>
      <c r="CQ52288" s="111"/>
      <c r="EF52288"/>
      <c r="EG52288"/>
      <c r="EH52288"/>
      <c r="EI52288"/>
      <c r="EJ52288"/>
      <c r="EK52288"/>
    </row>
    <row r="52289" spans="1:141" s="116" customFormat="1">
      <c r="A52289" s="136"/>
      <c r="CM52289" s="111"/>
      <c r="CQ52289" s="111"/>
      <c r="EF52289"/>
      <c r="EG52289"/>
      <c r="EH52289"/>
      <c r="EI52289"/>
      <c r="EJ52289"/>
      <c r="EK52289"/>
    </row>
    <row r="52290" spans="1:141" s="116" customFormat="1">
      <c r="A52290" s="136"/>
      <c r="CM52290" s="111"/>
      <c r="CQ52290" s="111"/>
      <c r="EF52290"/>
      <c r="EG52290"/>
      <c r="EH52290"/>
      <c r="EI52290"/>
      <c r="EJ52290"/>
      <c r="EK52290"/>
    </row>
    <row r="52291" spans="1:141" s="116" customFormat="1">
      <c r="A52291" s="136"/>
      <c r="CM52291" s="111"/>
      <c r="CQ52291" s="111"/>
      <c r="EF52291"/>
      <c r="EG52291"/>
      <c r="EH52291"/>
      <c r="EI52291"/>
      <c r="EJ52291"/>
      <c r="EK52291"/>
    </row>
    <row r="52292" spans="1:141" s="116" customFormat="1">
      <c r="A52292" s="136"/>
      <c r="CM52292" s="111"/>
      <c r="CQ52292" s="111"/>
      <c r="EF52292"/>
      <c r="EG52292"/>
      <c r="EH52292"/>
      <c r="EI52292"/>
      <c r="EJ52292"/>
      <c r="EK52292"/>
    </row>
    <row r="52293" spans="1:141" s="116" customFormat="1">
      <c r="A52293" s="136"/>
      <c r="CM52293" s="111"/>
      <c r="CQ52293" s="111"/>
      <c r="EF52293"/>
      <c r="EG52293"/>
      <c r="EH52293"/>
      <c r="EI52293"/>
      <c r="EJ52293"/>
      <c r="EK52293"/>
    </row>
    <row r="52294" spans="1:141" s="116" customFormat="1">
      <c r="A52294" s="136"/>
      <c r="CM52294" s="111"/>
      <c r="CQ52294" s="111"/>
      <c r="EF52294"/>
      <c r="EG52294"/>
      <c r="EH52294"/>
      <c r="EI52294"/>
      <c r="EJ52294"/>
      <c r="EK52294"/>
    </row>
    <row r="52295" spans="1:141" s="116" customFormat="1">
      <c r="A52295" s="136"/>
      <c r="CM52295" s="111"/>
      <c r="CQ52295" s="111"/>
      <c r="EF52295"/>
      <c r="EG52295"/>
      <c r="EH52295"/>
      <c r="EI52295"/>
      <c r="EJ52295"/>
      <c r="EK52295"/>
    </row>
    <row r="52296" spans="1:141" s="116" customFormat="1">
      <c r="A52296" s="136"/>
      <c r="CM52296" s="111"/>
      <c r="CQ52296" s="111"/>
      <c r="EF52296"/>
      <c r="EG52296"/>
      <c r="EH52296"/>
      <c r="EI52296"/>
      <c r="EJ52296"/>
      <c r="EK52296"/>
    </row>
    <row r="52297" spans="1:141" s="116" customFormat="1">
      <c r="A52297" s="136"/>
      <c r="CM52297" s="111"/>
      <c r="CQ52297" s="111"/>
      <c r="EF52297"/>
      <c r="EG52297"/>
      <c r="EH52297"/>
      <c r="EI52297"/>
      <c r="EJ52297"/>
      <c r="EK52297"/>
    </row>
    <row r="52298" spans="1:141" s="116" customFormat="1">
      <c r="A52298" s="136"/>
      <c r="CM52298" s="111"/>
      <c r="CQ52298" s="111"/>
      <c r="EF52298"/>
      <c r="EG52298"/>
      <c r="EH52298"/>
      <c r="EI52298"/>
      <c r="EJ52298"/>
      <c r="EK52298"/>
    </row>
    <row r="52299" spans="1:141" s="116" customFormat="1">
      <c r="A52299" s="136"/>
      <c r="CM52299" s="111"/>
      <c r="CQ52299" s="111"/>
      <c r="EF52299"/>
      <c r="EG52299"/>
      <c r="EH52299"/>
      <c r="EI52299"/>
      <c r="EJ52299"/>
      <c r="EK52299"/>
    </row>
    <row r="52300" spans="1:141" s="116" customFormat="1">
      <c r="A52300" s="136"/>
      <c r="CM52300" s="111"/>
      <c r="CQ52300" s="111"/>
      <c r="EF52300"/>
      <c r="EG52300"/>
      <c r="EH52300"/>
      <c r="EI52300"/>
      <c r="EJ52300"/>
      <c r="EK52300"/>
    </row>
    <row r="52301" spans="1:141" s="116" customFormat="1">
      <c r="A52301" s="136"/>
      <c r="CM52301" s="111"/>
      <c r="CQ52301" s="111"/>
      <c r="EF52301"/>
      <c r="EG52301"/>
      <c r="EH52301"/>
      <c r="EI52301"/>
      <c r="EJ52301"/>
      <c r="EK52301"/>
    </row>
    <row r="52302" spans="1:141" s="116" customFormat="1">
      <c r="A52302" s="136"/>
      <c r="CM52302" s="111"/>
      <c r="CQ52302" s="111"/>
      <c r="EF52302"/>
      <c r="EG52302"/>
      <c r="EH52302"/>
      <c r="EI52302"/>
      <c r="EJ52302"/>
      <c r="EK52302"/>
    </row>
    <row r="52303" spans="1:141" s="116" customFormat="1">
      <c r="A52303" s="136"/>
      <c r="CM52303" s="111"/>
      <c r="CQ52303" s="111"/>
      <c r="EF52303"/>
      <c r="EG52303"/>
      <c r="EH52303"/>
      <c r="EI52303"/>
      <c r="EJ52303"/>
      <c r="EK52303"/>
    </row>
    <row r="52304" spans="1:141" s="116" customFormat="1">
      <c r="A52304" s="136"/>
      <c r="CM52304" s="111"/>
      <c r="CQ52304" s="111"/>
      <c r="EF52304"/>
      <c r="EG52304"/>
      <c r="EH52304"/>
      <c r="EI52304"/>
      <c r="EJ52304"/>
      <c r="EK52304"/>
    </row>
    <row r="52305" spans="1:141" s="116" customFormat="1">
      <c r="A52305" s="136"/>
      <c r="CM52305" s="111"/>
      <c r="CQ52305" s="111"/>
      <c r="EF52305"/>
      <c r="EG52305"/>
      <c r="EH52305"/>
      <c r="EI52305"/>
      <c r="EJ52305"/>
      <c r="EK52305"/>
    </row>
    <row r="52306" spans="1:141" s="116" customFormat="1">
      <c r="A52306" s="136"/>
      <c r="CM52306" s="111"/>
      <c r="CQ52306" s="111"/>
      <c r="EF52306"/>
      <c r="EG52306"/>
      <c r="EH52306"/>
      <c r="EI52306"/>
      <c r="EJ52306"/>
      <c r="EK52306"/>
    </row>
    <row r="52307" spans="1:141" s="116" customFormat="1">
      <c r="A52307" s="136"/>
      <c r="CM52307" s="111"/>
      <c r="CQ52307" s="111"/>
      <c r="EF52307"/>
      <c r="EG52307"/>
      <c r="EH52307"/>
      <c r="EI52307"/>
      <c r="EJ52307"/>
      <c r="EK52307"/>
    </row>
    <row r="52308" spans="1:141" s="116" customFormat="1">
      <c r="A52308" s="136"/>
      <c r="CM52308" s="111"/>
      <c r="CQ52308" s="111"/>
      <c r="EF52308"/>
      <c r="EG52308"/>
      <c r="EH52308"/>
      <c r="EI52308"/>
      <c r="EJ52308"/>
      <c r="EK52308"/>
    </row>
    <row r="52309" spans="1:141" s="116" customFormat="1">
      <c r="A52309" s="136"/>
      <c r="CM52309" s="111"/>
      <c r="CQ52309" s="111"/>
      <c r="EF52309"/>
      <c r="EG52309"/>
      <c r="EH52309"/>
      <c r="EI52309"/>
      <c r="EJ52309"/>
      <c r="EK52309"/>
    </row>
    <row r="52310" spans="1:141" s="116" customFormat="1">
      <c r="A52310" s="136"/>
      <c r="CM52310" s="111"/>
      <c r="CQ52310" s="111"/>
      <c r="EF52310"/>
      <c r="EG52310"/>
      <c r="EH52310"/>
      <c r="EI52310"/>
      <c r="EJ52310"/>
      <c r="EK52310"/>
    </row>
    <row r="52311" spans="1:141" s="116" customFormat="1">
      <c r="A52311" s="136"/>
      <c r="CM52311" s="111"/>
      <c r="CQ52311" s="111"/>
      <c r="EF52311"/>
      <c r="EG52311"/>
      <c r="EH52311"/>
      <c r="EI52311"/>
      <c r="EJ52311"/>
      <c r="EK52311"/>
    </row>
    <row r="52312" spans="1:141" s="116" customFormat="1">
      <c r="A52312" s="136"/>
      <c r="CM52312" s="111"/>
      <c r="CQ52312" s="111"/>
      <c r="EF52312"/>
      <c r="EG52312"/>
      <c r="EH52312"/>
      <c r="EI52312"/>
      <c r="EJ52312"/>
      <c r="EK52312"/>
    </row>
    <row r="52313" spans="1:141" s="116" customFormat="1">
      <c r="A52313" s="136"/>
      <c r="CM52313" s="111"/>
      <c r="CQ52313" s="111"/>
      <c r="EF52313"/>
      <c r="EG52313"/>
      <c r="EH52313"/>
      <c r="EI52313"/>
      <c r="EJ52313"/>
      <c r="EK52313"/>
    </row>
    <row r="52314" spans="1:141" s="116" customFormat="1">
      <c r="A52314" s="136"/>
      <c r="CM52314" s="111"/>
      <c r="CQ52314" s="111"/>
      <c r="EF52314"/>
      <c r="EG52314"/>
      <c r="EH52314"/>
      <c r="EI52314"/>
      <c r="EJ52314"/>
      <c r="EK52314"/>
    </row>
    <row r="52315" spans="1:141" s="116" customFormat="1">
      <c r="A52315" s="136"/>
      <c r="CM52315" s="111"/>
      <c r="CQ52315" s="111"/>
      <c r="EF52315"/>
      <c r="EG52315"/>
      <c r="EH52315"/>
      <c r="EI52315"/>
      <c r="EJ52315"/>
      <c r="EK52315"/>
    </row>
    <row r="52316" spans="1:141" s="116" customFormat="1">
      <c r="A52316" s="136"/>
      <c r="CM52316" s="111"/>
      <c r="CQ52316" s="111"/>
      <c r="EF52316"/>
      <c r="EG52316"/>
      <c r="EH52316"/>
      <c r="EI52316"/>
      <c r="EJ52316"/>
      <c r="EK52316"/>
    </row>
    <row r="52317" spans="1:141" s="116" customFormat="1">
      <c r="A52317" s="136"/>
      <c r="CM52317" s="111"/>
      <c r="CQ52317" s="111"/>
      <c r="EF52317"/>
      <c r="EG52317"/>
      <c r="EH52317"/>
      <c r="EI52317"/>
      <c r="EJ52317"/>
      <c r="EK52317"/>
    </row>
    <row r="52318" spans="1:141" s="116" customFormat="1">
      <c r="A52318" s="136"/>
      <c r="CM52318" s="111"/>
      <c r="CQ52318" s="111"/>
      <c r="EF52318"/>
      <c r="EG52318"/>
      <c r="EH52318"/>
      <c r="EI52318"/>
      <c r="EJ52318"/>
      <c r="EK52318"/>
    </row>
    <row r="52319" spans="1:141" s="116" customFormat="1">
      <c r="A52319" s="136"/>
      <c r="CM52319" s="111"/>
      <c r="CQ52319" s="111"/>
      <c r="EF52319"/>
      <c r="EG52319"/>
      <c r="EH52319"/>
      <c r="EI52319"/>
      <c r="EJ52319"/>
      <c r="EK52319"/>
    </row>
    <row r="52320" spans="1:141" s="116" customFormat="1">
      <c r="A52320" s="136"/>
      <c r="CM52320" s="111"/>
      <c r="CQ52320" s="111"/>
      <c r="EF52320"/>
      <c r="EG52320"/>
      <c r="EH52320"/>
      <c r="EI52320"/>
      <c r="EJ52320"/>
      <c r="EK52320"/>
    </row>
    <row r="52321" spans="1:141" s="116" customFormat="1">
      <c r="A52321" s="136"/>
      <c r="CM52321" s="111"/>
      <c r="CQ52321" s="111"/>
      <c r="EF52321"/>
      <c r="EG52321"/>
      <c r="EH52321"/>
      <c r="EI52321"/>
      <c r="EJ52321"/>
      <c r="EK52321"/>
    </row>
    <row r="52322" spans="1:141" s="116" customFormat="1">
      <c r="A52322" s="136"/>
      <c r="CM52322" s="111"/>
      <c r="CQ52322" s="111"/>
      <c r="EF52322"/>
      <c r="EG52322"/>
      <c r="EH52322"/>
      <c r="EI52322"/>
      <c r="EJ52322"/>
      <c r="EK52322"/>
    </row>
    <row r="52323" spans="1:141" s="116" customFormat="1">
      <c r="A52323" s="136"/>
      <c r="CM52323" s="111"/>
      <c r="CQ52323" s="111"/>
      <c r="EF52323"/>
      <c r="EG52323"/>
      <c r="EH52323"/>
      <c r="EI52323"/>
      <c r="EJ52323"/>
      <c r="EK52323"/>
    </row>
    <row r="52324" spans="1:141" s="116" customFormat="1">
      <c r="A52324" s="136"/>
      <c r="CM52324" s="111"/>
      <c r="CQ52324" s="111"/>
      <c r="EF52324"/>
      <c r="EG52324"/>
      <c r="EH52324"/>
      <c r="EI52324"/>
      <c r="EJ52324"/>
      <c r="EK52324"/>
    </row>
    <row r="52325" spans="1:141" s="116" customFormat="1">
      <c r="A52325" s="136"/>
      <c r="CM52325" s="111"/>
      <c r="CQ52325" s="111"/>
      <c r="EF52325"/>
      <c r="EG52325"/>
      <c r="EH52325"/>
      <c r="EI52325"/>
      <c r="EJ52325"/>
      <c r="EK52325"/>
    </row>
    <row r="52326" spans="1:141" s="116" customFormat="1">
      <c r="A52326" s="136"/>
      <c r="CM52326" s="111"/>
      <c r="CQ52326" s="111"/>
      <c r="EF52326"/>
      <c r="EG52326"/>
      <c r="EH52326"/>
      <c r="EI52326"/>
      <c r="EJ52326"/>
      <c r="EK52326"/>
    </row>
    <row r="52327" spans="1:141" s="116" customFormat="1">
      <c r="A52327" s="136"/>
      <c r="CM52327" s="111"/>
      <c r="CQ52327" s="111"/>
      <c r="EF52327"/>
      <c r="EG52327"/>
      <c r="EH52327"/>
      <c r="EI52327"/>
      <c r="EJ52327"/>
      <c r="EK52327"/>
    </row>
    <row r="52328" spans="1:141" s="116" customFormat="1">
      <c r="A52328" s="136"/>
      <c r="CM52328" s="111"/>
      <c r="CQ52328" s="111"/>
      <c r="EF52328"/>
      <c r="EG52328"/>
      <c r="EH52328"/>
      <c r="EI52328"/>
      <c r="EJ52328"/>
      <c r="EK52328"/>
    </row>
    <row r="52329" spans="1:141" s="116" customFormat="1">
      <c r="A52329" s="136"/>
      <c r="CM52329" s="111"/>
      <c r="CQ52329" s="111"/>
      <c r="EF52329"/>
      <c r="EG52329"/>
      <c r="EH52329"/>
      <c r="EI52329"/>
      <c r="EJ52329"/>
      <c r="EK52329"/>
    </row>
    <row r="52330" spans="1:141" s="116" customFormat="1">
      <c r="A52330" s="136"/>
      <c r="CM52330" s="111"/>
      <c r="CQ52330" s="111"/>
      <c r="EF52330"/>
      <c r="EG52330"/>
      <c r="EH52330"/>
      <c r="EI52330"/>
      <c r="EJ52330"/>
      <c r="EK52330"/>
    </row>
    <row r="52331" spans="1:141" s="116" customFormat="1">
      <c r="A52331" s="136"/>
      <c r="CM52331" s="111"/>
      <c r="CQ52331" s="111"/>
      <c r="EF52331"/>
      <c r="EG52331"/>
      <c r="EH52331"/>
      <c r="EI52331"/>
      <c r="EJ52331"/>
      <c r="EK52331"/>
    </row>
    <row r="52332" spans="1:141" s="116" customFormat="1">
      <c r="A52332" s="136"/>
      <c r="CM52332" s="111"/>
      <c r="CQ52332" s="111"/>
      <c r="EF52332"/>
      <c r="EG52332"/>
      <c r="EH52332"/>
      <c r="EI52332"/>
      <c r="EJ52332"/>
      <c r="EK52332"/>
    </row>
    <row r="52333" spans="1:141" s="116" customFormat="1">
      <c r="A52333" s="136"/>
      <c r="CM52333" s="111"/>
      <c r="CQ52333" s="111"/>
      <c r="EF52333"/>
      <c r="EG52333"/>
      <c r="EH52333"/>
      <c r="EI52333"/>
      <c r="EJ52333"/>
      <c r="EK52333"/>
    </row>
    <row r="52334" spans="1:141" s="116" customFormat="1">
      <c r="A52334" s="136"/>
      <c r="CM52334" s="111"/>
      <c r="CQ52334" s="111"/>
      <c r="EF52334"/>
      <c r="EG52334"/>
      <c r="EH52334"/>
      <c r="EI52334"/>
      <c r="EJ52334"/>
      <c r="EK52334"/>
    </row>
    <row r="52335" spans="1:141" s="116" customFormat="1">
      <c r="A52335" s="136"/>
      <c r="CM52335" s="111"/>
      <c r="CQ52335" s="111"/>
      <c r="EF52335"/>
      <c r="EG52335"/>
      <c r="EH52335"/>
      <c r="EI52335"/>
      <c r="EJ52335"/>
      <c r="EK52335"/>
    </row>
    <row r="52336" spans="1:141" s="116" customFormat="1">
      <c r="A52336" s="136"/>
      <c r="CM52336" s="111"/>
      <c r="CQ52336" s="111"/>
      <c r="EF52336"/>
      <c r="EG52336"/>
      <c r="EH52336"/>
      <c r="EI52336"/>
      <c r="EJ52336"/>
      <c r="EK52336"/>
    </row>
    <row r="52337" spans="1:141" s="116" customFormat="1">
      <c r="A52337" s="136"/>
      <c r="CM52337" s="111"/>
      <c r="CQ52337" s="111"/>
      <c r="EF52337"/>
      <c r="EG52337"/>
      <c r="EH52337"/>
      <c r="EI52337"/>
      <c r="EJ52337"/>
      <c r="EK52337"/>
    </row>
    <row r="52338" spans="1:141" s="116" customFormat="1">
      <c r="A52338" s="136"/>
      <c r="CM52338" s="111"/>
      <c r="CQ52338" s="111"/>
      <c r="EF52338"/>
      <c r="EG52338"/>
      <c r="EH52338"/>
      <c r="EI52338"/>
      <c r="EJ52338"/>
      <c r="EK52338"/>
    </row>
    <row r="52339" spans="1:141" s="116" customFormat="1">
      <c r="A52339" s="136"/>
      <c r="CM52339" s="111"/>
      <c r="CQ52339" s="111"/>
      <c r="EF52339"/>
      <c r="EG52339"/>
      <c r="EH52339"/>
      <c r="EI52339"/>
      <c r="EJ52339"/>
      <c r="EK52339"/>
    </row>
    <row r="52340" spans="1:141" s="116" customFormat="1">
      <c r="A52340" s="136"/>
      <c r="CM52340" s="111"/>
      <c r="CQ52340" s="111"/>
      <c r="EF52340"/>
      <c r="EG52340"/>
      <c r="EH52340"/>
      <c r="EI52340"/>
      <c r="EJ52340"/>
      <c r="EK52340"/>
    </row>
    <row r="52341" spans="1:141" s="116" customFormat="1">
      <c r="A52341" s="136"/>
      <c r="CM52341" s="111"/>
      <c r="CQ52341" s="111"/>
      <c r="EF52341"/>
      <c r="EG52341"/>
      <c r="EH52341"/>
      <c r="EI52341"/>
      <c r="EJ52341"/>
      <c r="EK52341"/>
    </row>
    <row r="52342" spans="1:141" s="116" customFormat="1">
      <c r="A52342" s="136"/>
      <c r="CM52342" s="111"/>
      <c r="CQ52342" s="111"/>
      <c r="EF52342"/>
      <c r="EG52342"/>
      <c r="EH52342"/>
      <c r="EI52342"/>
      <c r="EJ52342"/>
      <c r="EK52342"/>
    </row>
    <row r="52343" spans="1:141" s="116" customFormat="1">
      <c r="A52343" s="136"/>
      <c r="CM52343" s="111"/>
      <c r="CQ52343" s="111"/>
      <c r="EF52343"/>
      <c r="EG52343"/>
      <c r="EH52343"/>
      <c r="EI52343"/>
      <c r="EJ52343"/>
      <c r="EK52343"/>
    </row>
    <row r="52344" spans="1:141" s="116" customFormat="1">
      <c r="A52344" s="136"/>
      <c r="CM52344" s="111"/>
      <c r="CQ52344" s="111"/>
      <c r="EF52344"/>
      <c r="EG52344"/>
      <c r="EH52344"/>
      <c r="EI52344"/>
      <c r="EJ52344"/>
      <c r="EK52344"/>
    </row>
    <row r="52345" spans="1:141" s="116" customFormat="1">
      <c r="A52345" s="136"/>
      <c r="CM52345" s="111"/>
      <c r="CQ52345" s="111"/>
      <c r="EF52345"/>
      <c r="EG52345"/>
      <c r="EH52345"/>
      <c r="EI52345"/>
      <c r="EJ52345"/>
      <c r="EK52345"/>
    </row>
    <row r="52346" spans="1:141" s="116" customFormat="1">
      <c r="A52346" s="136"/>
      <c r="CM52346" s="111"/>
      <c r="CQ52346" s="111"/>
      <c r="EF52346"/>
      <c r="EG52346"/>
      <c r="EH52346"/>
      <c r="EI52346"/>
      <c r="EJ52346"/>
      <c r="EK52346"/>
    </row>
    <row r="52347" spans="1:141" s="116" customFormat="1">
      <c r="A52347" s="136"/>
      <c r="CM52347" s="111"/>
      <c r="CQ52347" s="111"/>
      <c r="EF52347"/>
      <c r="EG52347"/>
      <c r="EH52347"/>
      <c r="EI52347"/>
      <c r="EJ52347"/>
      <c r="EK52347"/>
    </row>
    <row r="52348" spans="1:141" s="116" customFormat="1">
      <c r="A52348" s="136"/>
      <c r="CM52348" s="111"/>
      <c r="CQ52348" s="111"/>
      <c r="EF52348"/>
      <c r="EG52348"/>
      <c r="EH52348"/>
      <c r="EI52348"/>
      <c r="EJ52348"/>
      <c r="EK52348"/>
    </row>
    <row r="52349" spans="1:141" s="116" customFormat="1">
      <c r="A52349" s="136"/>
      <c r="CM52349" s="111"/>
      <c r="CQ52349" s="111"/>
      <c r="EF52349"/>
      <c r="EG52349"/>
      <c r="EH52349"/>
      <c r="EI52349"/>
      <c r="EJ52349"/>
      <c r="EK52349"/>
    </row>
    <row r="52350" spans="1:141" s="116" customFormat="1">
      <c r="A52350" s="136"/>
      <c r="CM52350" s="111"/>
      <c r="CQ52350" s="111"/>
      <c r="EF52350"/>
      <c r="EG52350"/>
      <c r="EH52350"/>
      <c r="EI52350"/>
      <c r="EJ52350"/>
      <c r="EK52350"/>
    </row>
    <row r="52351" spans="1:141" s="116" customFormat="1">
      <c r="A52351" s="136"/>
      <c r="CM52351" s="111"/>
      <c r="CQ52351" s="111"/>
      <c r="EF52351"/>
      <c r="EG52351"/>
      <c r="EH52351"/>
      <c r="EI52351"/>
      <c r="EJ52351"/>
      <c r="EK52351"/>
    </row>
    <row r="52352" spans="1:141" s="116" customFormat="1">
      <c r="A52352" s="136"/>
      <c r="CM52352" s="111"/>
      <c r="CQ52352" s="111"/>
      <c r="EF52352"/>
      <c r="EG52352"/>
      <c r="EH52352"/>
      <c r="EI52352"/>
      <c r="EJ52352"/>
      <c r="EK52352"/>
    </row>
    <row r="52353" spans="1:141" s="116" customFormat="1">
      <c r="A52353" s="136"/>
      <c r="CM52353" s="111"/>
      <c r="CQ52353" s="111"/>
      <c r="EF52353"/>
      <c r="EG52353"/>
      <c r="EH52353"/>
      <c r="EI52353"/>
      <c r="EJ52353"/>
      <c r="EK52353"/>
    </row>
    <row r="52354" spans="1:141" s="116" customFormat="1">
      <c r="A52354" s="136"/>
      <c r="CM52354" s="111"/>
      <c r="CQ52354" s="111"/>
      <c r="EF52354"/>
      <c r="EG52354"/>
      <c r="EH52354"/>
      <c r="EI52354"/>
      <c r="EJ52354"/>
      <c r="EK52354"/>
    </row>
    <row r="52355" spans="1:141" s="116" customFormat="1">
      <c r="A52355" s="136"/>
      <c r="CM52355" s="111"/>
      <c r="CQ52355" s="111"/>
      <c r="EF52355"/>
      <c r="EG52355"/>
      <c r="EH52355"/>
      <c r="EI52355"/>
      <c r="EJ52355"/>
      <c r="EK52355"/>
    </row>
    <row r="52356" spans="1:141" s="116" customFormat="1">
      <c r="A52356" s="136"/>
      <c r="CM52356" s="111"/>
      <c r="CQ52356" s="111"/>
      <c r="EF52356"/>
      <c r="EG52356"/>
      <c r="EH52356"/>
      <c r="EI52356"/>
      <c r="EJ52356"/>
      <c r="EK52356"/>
    </row>
    <row r="52357" spans="1:141" s="116" customFormat="1">
      <c r="A52357" s="136"/>
      <c r="CM52357" s="111"/>
      <c r="CQ52357" s="111"/>
      <c r="EF52357"/>
      <c r="EG52357"/>
      <c r="EH52357"/>
      <c r="EI52357"/>
      <c r="EJ52357"/>
      <c r="EK52357"/>
    </row>
    <row r="52358" spans="1:141" s="116" customFormat="1">
      <c r="A52358" s="136"/>
      <c r="CM52358" s="111"/>
      <c r="CQ52358" s="111"/>
      <c r="EF52358"/>
      <c r="EG52358"/>
      <c r="EH52358"/>
      <c r="EI52358"/>
      <c r="EJ52358"/>
      <c r="EK52358"/>
    </row>
    <row r="52359" spans="1:141" s="116" customFormat="1">
      <c r="A52359" s="136"/>
      <c r="CM52359" s="111"/>
      <c r="CQ52359" s="111"/>
      <c r="EF52359"/>
      <c r="EG52359"/>
      <c r="EH52359"/>
      <c r="EI52359"/>
      <c r="EJ52359"/>
      <c r="EK52359"/>
    </row>
    <row r="52360" spans="1:141" s="116" customFormat="1">
      <c r="A52360" s="136"/>
      <c r="CM52360" s="111"/>
      <c r="CQ52360" s="111"/>
      <c r="EF52360"/>
      <c r="EG52360"/>
      <c r="EH52360"/>
      <c r="EI52360"/>
      <c r="EJ52360"/>
      <c r="EK52360"/>
    </row>
    <row r="52361" spans="1:141" s="116" customFormat="1">
      <c r="A52361" s="136"/>
      <c r="CM52361" s="111"/>
      <c r="CQ52361" s="111"/>
      <c r="EF52361"/>
      <c r="EG52361"/>
      <c r="EH52361"/>
      <c r="EI52361"/>
      <c r="EJ52361"/>
      <c r="EK52361"/>
    </row>
    <row r="52362" spans="1:141" s="116" customFormat="1">
      <c r="A52362" s="136"/>
      <c r="CM52362" s="111"/>
      <c r="CQ52362" s="111"/>
      <c r="EF52362"/>
      <c r="EG52362"/>
      <c r="EH52362"/>
      <c r="EI52362"/>
      <c r="EJ52362"/>
      <c r="EK52362"/>
    </row>
    <row r="52363" spans="1:141" s="116" customFormat="1">
      <c r="A52363" s="136"/>
      <c r="CM52363" s="111"/>
      <c r="CQ52363" s="111"/>
      <c r="EF52363"/>
      <c r="EG52363"/>
      <c r="EH52363"/>
      <c r="EI52363"/>
      <c r="EJ52363"/>
      <c r="EK52363"/>
    </row>
    <row r="52364" spans="1:141" s="116" customFormat="1">
      <c r="A52364" s="136"/>
      <c r="CM52364" s="111"/>
      <c r="CQ52364" s="111"/>
      <c r="EF52364"/>
      <c r="EG52364"/>
      <c r="EH52364"/>
      <c r="EI52364"/>
      <c r="EJ52364"/>
      <c r="EK52364"/>
    </row>
    <row r="52365" spans="1:141" s="116" customFormat="1">
      <c r="A52365" s="136"/>
      <c r="CM52365" s="111"/>
      <c r="CQ52365" s="111"/>
      <c r="EF52365"/>
      <c r="EG52365"/>
      <c r="EH52365"/>
      <c r="EI52365"/>
      <c r="EJ52365"/>
      <c r="EK52365"/>
    </row>
    <row r="52366" spans="1:141" s="116" customFormat="1">
      <c r="A52366" s="136"/>
      <c r="CM52366" s="111"/>
      <c r="CQ52366" s="111"/>
      <c r="EF52366"/>
      <c r="EG52366"/>
      <c r="EH52366"/>
      <c r="EI52366"/>
      <c r="EJ52366"/>
      <c r="EK52366"/>
    </row>
    <row r="52367" spans="1:141" s="116" customFormat="1">
      <c r="A52367" s="136"/>
      <c r="CM52367" s="111"/>
      <c r="CQ52367" s="111"/>
      <c r="EF52367"/>
      <c r="EG52367"/>
      <c r="EH52367"/>
      <c r="EI52367"/>
      <c r="EJ52367"/>
      <c r="EK52367"/>
    </row>
    <row r="52368" spans="1:141" s="116" customFormat="1">
      <c r="A52368" s="136"/>
      <c r="CM52368" s="111"/>
      <c r="CQ52368" s="111"/>
      <c r="EF52368"/>
      <c r="EG52368"/>
      <c r="EH52368"/>
      <c r="EI52368"/>
      <c r="EJ52368"/>
      <c r="EK52368"/>
    </row>
    <row r="52369" spans="1:141" s="116" customFormat="1">
      <c r="A52369" s="136"/>
      <c r="CM52369" s="111"/>
      <c r="CQ52369" s="111"/>
      <c r="EF52369"/>
      <c r="EG52369"/>
      <c r="EH52369"/>
      <c r="EI52369"/>
      <c r="EJ52369"/>
      <c r="EK52369"/>
    </row>
    <row r="52370" spans="1:141" s="116" customFormat="1">
      <c r="A52370" s="136"/>
      <c r="CM52370" s="111"/>
      <c r="CQ52370" s="111"/>
      <c r="EF52370"/>
      <c r="EG52370"/>
      <c r="EH52370"/>
      <c r="EI52370"/>
      <c r="EJ52370"/>
      <c r="EK52370"/>
    </row>
    <row r="52371" spans="1:141" s="116" customFormat="1">
      <c r="A52371" s="136"/>
      <c r="CM52371" s="111"/>
      <c r="CQ52371" s="111"/>
      <c r="EF52371"/>
      <c r="EG52371"/>
      <c r="EH52371"/>
      <c r="EI52371"/>
      <c r="EJ52371"/>
      <c r="EK52371"/>
    </row>
    <row r="52372" spans="1:141" s="116" customFormat="1">
      <c r="A52372" s="136"/>
      <c r="CM52372" s="111"/>
      <c r="CQ52372" s="111"/>
      <c r="EF52372"/>
      <c r="EG52372"/>
      <c r="EH52372"/>
      <c r="EI52372"/>
      <c r="EJ52372"/>
      <c r="EK52372"/>
    </row>
    <row r="52373" spans="1:141" s="116" customFormat="1">
      <c r="A52373" s="136"/>
      <c r="CM52373" s="111"/>
      <c r="CQ52373" s="111"/>
      <c r="EF52373"/>
      <c r="EG52373"/>
      <c r="EH52373"/>
      <c r="EI52373"/>
      <c r="EJ52373"/>
      <c r="EK52373"/>
    </row>
    <row r="52374" spans="1:141" s="116" customFormat="1">
      <c r="A52374" s="136"/>
      <c r="CM52374" s="111"/>
      <c r="CQ52374" s="111"/>
      <c r="EF52374"/>
      <c r="EG52374"/>
      <c r="EH52374"/>
      <c r="EI52374"/>
      <c r="EJ52374"/>
      <c r="EK52374"/>
    </row>
    <row r="52375" spans="1:141" s="116" customFormat="1">
      <c r="A52375" s="136"/>
      <c r="CM52375" s="111"/>
      <c r="CQ52375" s="111"/>
      <c r="EF52375"/>
      <c r="EG52375"/>
      <c r="EH52375"/>
      <c r="EI52375"/>
      <c r="EJ52375"/>
      <c r="EK52375"/>
    </row>
    <row r="52376" spans="1:141" s="116" customFormat="1">
      <c r="A52376" s="136"/>
      <c r="CM52376" s="111"/>
      <c r="CQ52376" s="111"/>
      <c r="EF52376"/>
      <c r="EG52376"/>
      <c r="EH52376"/>
      <c r="EI52376"/>
      <c r="EJ52376"/>
      <c r="EK52376"/>
    </row>
    <row r="52377" spans="1:141" s="116" customFormat="1">
      <c r="A52377" s="136"/>
      <c r="CM52377" s="111"/>
      <c r="CQ52377" s="111"/>
      <c r="EF52377"/>
      <c r="EG52377"/>
      <c r="EH52377"/>
      <c r="EI52377"/>
      <c r="EJ52377"/>
      <c r="EK52377"/>
    </row>
    <row r="52378" spans="1:141" s="116" customFormat="1">
      <c r="A52378" s="136"/>
      <c r="CM52378" s="111"/>
      <c r="CQ52378" s="111"/>
      <c r="EF52378"/>
      <c r="EG52378"/>
      <c r="EH52378"/>
      <c r="EI52378"/>
      <c r="EJ52378"/>
      <c r="EK52378"/>
    </row>
    <row r="52379" spans="1:141" s="116" customFormat="1">
      <c r="A52379" s="136"/>
      <c r="CM52379" s="111"/>
      <c r="CQ52379" s="111"/>
      <c r="EF52379"/>
      <c r="EG52379"/>
      <c r="EH52379"/>
      <c r="EI52379"/>
      <c r="EJ52379"/>
      <c r="EK52379"/>
    </row>
    <row r="52380" spans="1:141" s="116" customFormat="1">
      <c r="A52380" s="136"/>
      <c r="CM52380" s="111"/>
      <c r="CQ52380" s="111"/>
      <c r="EF52380"/>
      <c r="EG52380"/>
      <c r="EH52380"/>
      <c r="EI52380"/>
      <c r="EJ52380"/>
      <c r="EK52380"/>
    </row>
    <row r="52381" spans="1:141" s="116" customFormat="1">
      <c r="A52381" s="136"/>
      <c r="CM52381" s="111"/>
      <c r="CQ52381" s="111"/>
      <c r="EF52381"/>
      <c r="EG52381"/>
      <c r="EH52381"/>
      <c r="EI52381"/>
      <c r="EJ52381"/>
      <c r="EK52381"/>
    </row>
    <row r="52382" spans="1:141" s="116" customFormat="1">
      <c r="A52382" s="136"/>
      <c r="CM52382" s="111"/>
      <c r="CQ52382" s="111"/>
      <c r="EF52382"/>
      <c r="EG52382"/>
      <c r="EH52382"/>
      <c r="EI52382"/>
      <c r="EJ52382"/>
      <c r="EK52382"/>
    </row>
    <row r="52383" spans="1:141" s="116" customFormat="1">
      <c r="A52383" s="136"/>
      <c r="CM52383" s="111"/>
      <c r="CQ52383" s="111"/>
      <c r="EF52383"/>
      <c r="EG52383"/>
      <c r="EH52383"/>
      <c r="EI52383"/>
      <c r="EJ52383"/>
      <c r="EK52383"/>
    </row>
    <row r="52384" spans="1:141" s="116" customFormat="1">
      <c r="A52384" s="136"/>
      <c r="CM52384" s="111"/>
      <c r="CQ52384" s="111"/>
      <c r="EF52384"/>
      <c r="EG52384"/>
      <c r="EH52384"/>
      <c r="EI52384"/>
      <c r="EJ52384"/>
      <c r="EK52384"/>
    </row>
    <row r="52385" spans="1:141" s="116" customFormat="1">
      <c r="A52385" s="136"/>
      <c r="CM52385" s="111"/>
      <c r="CQ52385" s="111"/>
      <c r="EF52385"/>
      <c r="EG52385"/>
      <c r="EH52385"/>
      <c r="EI52385"/>
      <c r="EJ52385"/>
      <c r="EK52385"/>
    </row>
    <row r="52386" spans="1:141" s="116" customFormat="1">
      <c r="A52386" s="136"/>
      <c r="CM52386" s="111"/>
      <c r="CQ52386" s="111"/>
      <c r="EF52386"/>
      <c r="EG52386"/>
      <c r="EH52386"/>
      <c r="EI52386"/>
      <c r="EJ52386"/>
      <c r="EK52386"/>
    </row>
    <row r="52387" spans="1:141" s="116" customFormat="1">
      <c r="A52387" s="136"/>
      <c r="CM52387" s="111"/>
      <c r="CQ52387" s="111"/>
      <c r="EF52387"/>
      <c r="EG52387"/>
      <c r="EH52387"/>
      <c r="EI52387"/>
      <c r="EJ52387"/>
      <c r="EK52387"/>
    </row>
    <row r="52388" spans="1:141" s="116" customFormat="1">
      <c r="A52388" s="136"/>
      <c r="CM52388" s="111"/>
      <c r="CQ52388" s="111"/>
      <c r="EF52388"/>
      <c r="EG52388"/>
      <c r="EH52388"/>
      <c r="EI52388"/>
      <c r="EJ52388"/>
      <c r="EK52388"/>
    </row>
    <row r="52389" spans="1:141" s="116" customFormat="1">
      <c r="A52389" s="136"/>
      <c r="CM52389" s="111"/>
      <c r="CQ52389" s="111"/>
      <c r="EF52389"/>
      <c r="EG52389"/>
      <c r="EH52389"/>
      <c r="EI52389"/>
      <c r="EJ52389"/>
      <c r="EK52389"/>
    </row>
    <row r="52390" spans="1:141" s="116" customFormat="1">
      <c r="A52390" s="136"/>
      <c r="CM52390" s="111"/>
      <c r="CQ52390" s="111"/>
      <c r="EF52390"/>
      <c r="EG52390"/>
      <c r="EH52390"/>
      <c r="EI52390"/>
      <c r="EJ52390"/>
      <c r="EK52390"/>
    </row>
    <row r="52391" spans="1:141" s="116" customFormat="1">
      <c r="A52391" s="136"/>
      <c r="CM52391" s="111"/>
      <c r="CQ52391" s="111"/>
      <c r="EF52391"/>
      <c r="EG52391"/>
      <c r="EH52391"/>
      <c r="EI52391"/>
      <c r="EJ52391"/>
      <c r="EK52391"/>
    </row>
    <row r="52392" spans="1:141" s="116" customFormat="1">
      <c r="A52392" s="136"/>
      <c r="CM52392" s="111"/>
      <c r="CQ52392" s="111"/>
      <c r="EF52392"/>
      <c r="EG52392"/>
      <c r="EH52392"/>
      <c r="EI52392"/>
      <c r="EJ52392"/>
      <c r="EK52392"/>
    </row>
    <row r="52393" spans="1:141" s="116" customFormat="1">
      <c r="A52393" s="136"/>
      <c r="CM52393" s="111"/>
      <c r="CQ52393" s="111"/>
      <c r="EF52393"/>
      <c r="EG52393"/>
      <c r="EH52393"/>
      <c r="EI52393"/>
      <c r="EJ52393"/>
      <c r="EK52393"/>
    </row>
    <row r="52394" spans="1:141" s="116" customFormat="1">
      <c r="A52394" s="136"/>
      <c r="CM52394" s="111"/>
      <c r="CQ52394" s="111"/>
      <c r="EF52394"/>
      <c r="EG52394"/>
      <c r="EH52394"/>
      <c r="EI52394"/>
      <c r="EJ52394"/>
      <c r="EK52394"/>
    </row>
    <row r="52395" spans="1:141" s="116" customFormat="1">
      <c r="A52395" s="136"/>
      <c r="CM52395" s="111"/>
      <c r="CQ52395" s="111"/>
      <c r="EF52395"/>
      <c r="EG52395"/>
      <c r="EH52395"/>
      <c r="EI52395"/>
      <c r="EJ52395"/>
      <c r="EK52395"/>
    </row>
    <row r="52396" spans="1:141" s="116" customFormat="1">
      <c r="A52396" s="136"/>
      <c r="CM52396" s="111"/>
      <c r="CQ52396" s="111"/>
      <c r="EF52396"/>
      <c r="EG52396"/>
      <c r="EH52396"/>
      <c r="EI52396"/>
      <c r="EJ52396"/>
      <c r="EK52396"/>
    </row>
    <row r="52397" spans="1:141" s="116" customFormat="1">
      <c r="A52397" s="136"/>
      <c r="CM52397" s="111"/>
      <c r="CQ52397" s="111"/>
      <c r="EF52397"/>
      <c r="EG52397"/>
      <c r="EH52397"/>
      <c r="EI52397"/>
      <c r="EJ52397"/>
      <c r="EK52397"/>
    </row>
    <row r="52398" spans="1:141" s="116" customFormat="1">
      <c r="A52398" s="136"/>
      <c r="CM52398" s="111"/>
      <c r="CQ52398" s="111"/>
      <c r="EF52398"/>
      <c r="EG52398"/>
      <c r="EH52398"/>
      <c r="EI52398"/>
      <c r="EJ52398"/>
      <c r="EK52398"/>
    </row>
    <row r="52399" spans="1:141" s="116" customFormat="1">
      <c r="A52399" s="136"/>
      <c r="CM52399" s="111"/>
      <c r="CQ52399" s="111"/>
      <c r="EF52399"/>
      <c r="EG52399"/>
      <c r="EH52399"/>
      <c r="EI52399"/>
      <c r="EJ52399"/>
      <c r="EK52399"/>
    </row>
    <row r="52400" spans="1:141" s="116" customFormat="1">
      <c r="A52400" s="136"/>
      <c r="CM52400" s="111"/>
      <c r="CQ52400" s="111"/>
      <c r="EF52400"/>
      <c r="EG52400"/>
      <c r="EH52400"/>
      <c r="EI52400"/>
      <c r="EJ52400"/>
      <c r="EK52400"/>
    </row>
    <row r="52401" spans="1:141" s="116" customFormat="1">
      <c r="A52401" s="136"/>
      <c r="CM52401" s="111"/>
      <c r="CQ52401" s="111"/>
      <c r="EF52401"/>
      <c r="EG52401"/>
      <c r="EH52401"/>
      <c r="EI52401"/>
      <c r="EJ52401"/>
      <c r="EK52401"/>
    </row>
    <row r="52402" spans="1:141" s="116" customFormat="1">
      <c r="A52402" s="136"/>
      <c r="CM52402" s="111"/>
      <c r="CQ52402" s="111"/>
      <c r="EF52402"/>
      <c r="EG52402"/>
      <c r="EH52402"/>
      <c r="EI52402"/>
      <c r="EJ52402"/>
      <c r="EK52402"/>
    </row>
    <row r="52403" spans="1:141" s="116" customFormat="1">
      <c r="A52403" s="136"/>
      <c r="CM52403" s="111"/>
      <c r="CQ52403" s="111"/>
      <c r="EF52403"/>
      <c r="EG52403"/>
      <c r="EH52403"/>
      <c r="EI52403"/>
      <c r="EJ52403"/>
      <c r="EK52403"/>
    </row>
    <row r="52404" spans="1:141" s="116" customFormat="1">
      <c r="A52404" s="136"/>
      <c r="CM52404" s="111"/>
      <c r="CQ52404" s="111"/>
      <c r="EF52404"/>
      <c r="EG52404"/>
      <c r="EH52404"/>
      <c r="EI52404"/>
      <c r="EJ52404"/>
      <c r="EK52404"/>
    </row>
    <row r="52405" spans="1:141" s="116" customFormat="1">
      <c r="A52405" s="136"/>
      <c r="CM52405" s="111"/>
      <c r="CQ52405" s="111"/>
      <c r="EF52405"/>
      <c r="EG52405"/>
      <c r="EH52405"/>
      <c r="EI52405"/>
      <c r="EJ52405"/>
      <c r="EK52405"/>
    </row>
    <row r="52406" spans="1:141" s="116" customFormat="1">
      <c r="A52406" s="136"/>
      <c r="CM52406" s="111"/>
      <c r="CQ52406" s="111"/>
      <c r="EF52406"/>
      <c r="EG52406"/>
      <c r="EH52406"/>
      <c r="EI52406"/>
      <c r="EJ52406"/>
      <c r="EK52406"/>
    </row>
    <row r="52407" spans="1:141" s="116" customFormat="1">
      <c r="A52407" s="136"/>
      <c r="CM52407" s="111"/>
      <c r="CQ52407" s="111"/>
      <c r="EF52407"/>
      <c r="EG52407"/>
      <c r="EH52407"/>
      <c r="EI52407"/>
      <c r="EJ52407"/>
      <c r="EK52407"/>
    </row>
    <row r="52408" spans="1:141" s="116" customFormat="1">
      <c r="A52408" s="136"/>
      <c r="CM52408" s="111"/>
      <c r="CQ52408" s="111"/>
      <c r="EF52408"/>
      <c r="EG52408"/>
      <c r="EH52408"/>
      <c r="EI52408"/>
      <c r="EJ52408"/>
      <c r="EK52408"/>
    </row>
    <row r="52409" spans="1:141" s="116" customFormat="1">
      <c r="A52409" s="136"/>
      <c r="CM52409" s="111"/>
      <c r="CQ52409" s="111"/>
      <c r="EF52409"/>
      <c r="EG52409"/>
      <c r="EH52409"/>
      <c r="EI52409"/>
      <c r="EJ52409"/>
      <c r="EK52409"/>
    </row>
    <row r="52410" spans="1:141" s="116" customFormat="1">
      <c r="A52410" s="136"/>
      <c r="CM52410" s="111"/>
      <c r="CQ52410" s="111"/>
      <c r="EF52410"/>
      <c r="EG52410"/>
      <c r="EH52410"/>
      <c r="EI52410"/>
      <c r="EJ52410"/>
      <c r="EK52410"/>
    </row>
    <row r="52411" spans="1:141" s="116" customFormat="1">
      <c r="A52411" s="136"/>
      <c r="CM52411" s="111"/>
      <c r="CQ52411" s="111"/>
      <c r="EF52411"/>
      <c r="EG52411"/>
      <c r="EH52411"/>
      <c r="EI52411"/>
      <c r="EJ52411"/>
      <c r="EK52411"/>
    </row>
    <row r="52412" spans="1:141" s="116" customFormat="1">
      <c r="A52412" s="136"/>
      <c r="CM52412" s="111"/>
      <c r="CQ52412" s="111"/>
      <c r="EF52412"/>
      <c r="EG52412"/>
      <c r="EH52412"/>
      <c r="EI52412"/>
      <c r="EJ52412"/>
      <c r="EK52412"/>
    </row>
    <row r="52413" spans="1:141" s="116" customFormat="1">
      <c r="A52413" s="136"/>
      <c r="CM52413" s="111"/>
      <c r="CQ52413" s="111"/>
      <c r="EF52413"/>
      <c r="EG52413"/>
      <c r="EH52413"/>
      <c r="EI52413"/>
      <c r="EJ52413"/>
      <c r="EK52413"/>
    </row>
    <row r="52414" spans="1:141" s="116" customFormat="1">
      <c r="A52414" s="136"/>
      <c r="CM52414" s="111"/>
      <c r="CQ52414" s="111"/>
      <c r="EF52414"/>
      <c r="EG52414"/>
      <c r="EH52414"/>
      <c r="EI52414"/>
      <c r="EJ52414"/>
      <c r="EK52414"/>
    </row>
    <row r="52415" spans="1:141" s="116" customFormat="1">
      <c r="A52415" s="136"/>
      <c r="CM52415" s="111"/>
      <c r="CQ52415" s="111"/>
      <c r="EF52415"/>
      <c r="EG52415"/>
      <c r="EH52415"/>
      <c r="EI52415"/>
      <c r="EJ52415"/>
      <c r="EK52415"/>
    </row>
    <row r="52416" spans="1:141" s="116" customFormat="1">
      <c r="A52416" s="136"/>
      <c r="CM52416" s="111"/>
      <c r="CQ52416" s="111"/>
      <c r="EF52416"/>
      <c r="EG52416"/>
      <c r="EH52416"/>
      <c r="EI52416"/>
      <c r="EJ52416"/>
      <c r="EK52416"/>
    </row>
    <row r="52417" spans="1:141" s="116" customFormat="1">
      <c r="A52417" s="136"/>
      <c r="CM52417" s="111"/>
      <c r="CQ52417" s="111"/>
      <c r="EF52417"/>
      <c r="EG52417"/>
      <c r="EH52417"/>
      <c r="EI52417"/>
      <c r="EJ52417"/>
      <c r="EK52417"/>
    </row>
    <row r="52418" spans="1:141" s="116" customFormat="1">
      <c r="A52418" s="136"/>
      <c r="CM52418" s="111"/>
      <c r="CQ52418" s="111"/>
      <c r="EF52418"/>
      <c r="EG52418"/>
      <c r="EH52418"/>
      <c r="EI52418"/>
      <c r="EJ52418"/>
      <c r="EK52418"/>
    </row>
    <row r="52419" spans="1:141" s="116" customFormat="1">
      <c r="A52419" s="136"/>
      <c r="CM52419" s="111"/>
      <c r="CQ52419" s="111"/>
      <c r="EF52419"/>
      <c r="EG52419"/>
      <c r="EH52419"/>
      <c r="EI52419"/>
      <c r="EJ52419"/>
      <c r="EK52419"/>
    </row>
    <row r="52420" spans="1:141" s="116" customFormat="1">
      <c r="A52420" s="136"/>
      <c r="CM52420" s="111"/>
      <c r="CQ52420" s="111"/>
      <c r="EF52420"/>
      <c r="EG52420"/>
      <c r="EH52420"/>
      <c r="EI52420"/>
      <c r="EJ52420"/>
      <c r="EK52420"/>
    </row>
    <row r="52421" spans="1:141" s="116" customFormat="1">
      <c r="A52421" s="136"/>
      <c r="CM52421" s="111"/>
      <c r="CQ52421" s="111"/>
      <c r="EF52421"/>
      <c r="EG52421"/>
      <c r="EH52421"/>
      <c r="EI52421"/>
      <c r="EJ52421"/>
      <c r="EK52421"/>
    </row>
    <row r="52422" spans="1:141" s="116" customFormat="1">
      <c r="A52422" s="136"/>
      <c r="CM52422" s="111"/>
      <c r="CQ52422" s="111"/>
      <c r="EF52422"/>
      <c r="EG52422"/>
      <c r="EH52422"/>
      <c r="EI52422"/>
      <c r="EJ52422"/>
      <c r="EK52422"/>
    </row>
    <row r="52423" spans="1:141" s="116" customFormat="1">
      <c r="A52423" s="136"/>
      <c r="CM52423" s="111"/>
      <c r="CQ52423" s="111"/>
      <c r="EF52423"/>
      <c r="EG52423"/>
      <c r="EH52423"/>
      <c r="EI52423"/>
      <c r="EJ52423"/>
      <c r="EK52423"/>
    </row>
    <row r="52424" spans="1:141" s="116" customFormat="1">
      <c r="A52424" s="136"/>
      <c r="CM52424" s="111"/>
      <c r="CQ52424" s="111"/>
      <c r="EF52424"/>
      <c r="EG52424"/>
      <c r="EH52424"/>
      <c r="EI52424"/>
      <c r="EJ52424"/>
      <c r="EK52424"/>
    </row>
    <row r="52425" spans="1:141" s="116" customFormat="1">
      <c r="A52425" s="136"/>
      <c r="CM52425" s="111"/>
      <c r="CQ52425" s="111"/>
      <c r="EF52425"/>
      <c r="EG52425"/>
      <c r="EH52425"/>
      <c r="EI52425"/>
      <c r="EJ52425"/>
      <c r="EK52425"/>
    </row>
    <row r="52426" spans="1:141" s="116" customFormat="1">
      <c r="A52426" s="136"/>
      <c r="CM52426" s="111"/>
      <c r="CQ52426" s="111"/>
      <c r="EF52426"/>
      <c r="EG52426"/>
      <c r="EH52426"/>
      <c r="EI52426"/>
      <c r="EJ52426"/>
      <c r="EK52426"/>
    </row>
    <row r="52427" spans="1:141" s="116" customFormat="1">
      <c r="A52427" s="136"/>
      <c r="CM52427" s="111"/>
      <c r="CQ52427" s="111"/>
      <c r="EF52427"/>
      <c r="EG52427"/>
      <c r="EH52427"/>
      <c r="EI52427"/>
      <c r="EJ52427"/>
      <c r="EK52427"/>
    </row>
    <row r="52428" spans="1:141" s="116" customFormat="1">
      <c r="A52428" s="136"/>
      <c r="CM52428" s="111"/>
      <c r="CQ52428" s="111"/>
      <c r="EF52428"/>
      <c r="EG52428"/>
      <c r="EH52428"/>
      <c r="EI52428"/>
      <c r="EJ52428"/>
      <c r="EK52428"/>
    </row>
    <row r="52429" spans="1:141" s="116" customFormat="1">
      <c r="A52429" s="136"/>
      <c r="CM52429" s="111"/>
      <c r="CQ52429" s="111"/>
      <c r="EF52429"/>
      <c r="EG52429"/>
      <c r="EH52429"/>
      <c r="EI52429"/>
      <c r="EJ52429"/>
      <c r="EK52429"/>
    </row>
    <row r="52430" spans="1:141" s="116" customFormat="1">
      <c r="A52430" s="136"/>
      <c r="CM52430" s="111"/>
      <c r="CQ52430" s="111"/>
      <c r="EF52430"/>
      <c r="EG52430"/>
      <c r="EH52430"/>
      <c r="EI52430"/>
      <c r="EJ52430"/>
      <c r="EK52430"/>
    </row>
    <row r="52431" spans="1:141" s="116" customFormat="1">
      <c r="A52431" s="136"/>
      <c r="CM52431" s="111"/>
      <c r="CQ52431" s="111"/>
      <c r="EF52431"/>
      <c r="EG52431"/>
      <c r="EH52431"/>
      <c r="EI52431"/>
      <c r="EJ52431"/>
      <c r="EK52431"/>
    </row>
    <row r="52432" spans="1:141" s="116" customFormat="1">
      <c r="A52432" s="136"/>
      <c r="CM52432" s="111"/>
      <c r="CQ52432" s="111"/>
      <c r="EF52432"/>
      <c r="EG52432"/>
      <c r="EH52432"/>
      <c r="EI52432"/>
      <c r="EJ52432"/>
      <c r="EK52432"/>
    </row>
    <row r="52433" spans="1:141" s="116" customFormat="1">
      <c r="A52433" s="136"/>
      <c r="CM52433" s="111"/>
      <c r="CQ52433" s="111"/>
      <c r="EF52433"/>
      <c r="EG52433"/>
      <c r="EH52433"/>
      <c r="EI52433"/>
      <c r="EJ52433"/>
      <c r="EK52433"/>
    </row>
    <row r="52434" spans="1:141" s="116" customFormat="1">
      <c r="A52434" s="136"/>
      <c r="CM52434" s="111"/>
      <c r="CQ52434" s="111"/>
      <c r="EF52434"/>
      <c r="EG52434"/>
      <c r="EH52434"/>
      <c r="EI52434"/>
      <c r="EJ52434"/>
      <c r="EK52434"/>
    </row>
    <row r="52435" spans="1:141" s="116" customFormat="1">
      <c r="A52435" s="136"/>
      <c r="CM52435" s="111"/>
      <c r="CQ52435" s="111"/>
      <c r="EF52435"/>
      <c r="EG52435"/>
      <c r="EH52435"/>
      <c r="EI52435"/>
      <c r="EJ52435"/>
      <c r="EK52435"/>
    </row>
    <row r="52436" spans="1:141" s="116" customFormat="1">
      <c r="A52436" s="136"/>
      <c r="CM52436" s="111"/>
      <c r="CQ52436" s="111"/>
      <c r="EF52436"/>
      <c r="EG52436"/>
      <c r="EH52436"/>
      <c r="EI52436"/>
      <c r="EJ52436"/>
      <c r="EK52436"/>
    </row>
    <row r="52437" spans="1:141" s="116" customFormat="1">
      <c r="A52437" s="136"/>
      <c r="CM52437" s="111"/>
      <c r="CQ52437" s="111"/>
      <c r="EF52437"/>
      <c r="EG52437"/>
      <c r="EH52437"/>
      <c r="EI52437"/>
      <c r="EJ52437"/>
      <c r="EK52437"/>
    </row>
    <row r="52438" spans="1:141" s="116" customFormat="1">
      <c r="A52438" s="136"/>
      <c r="CM52438" s="111"/>
      <c r="CQ52438" s="111"/>
      <c r="EF52438"/>
      <c r="EG52438"/>
      <c r="EH52438"/>
      <c r="EI52438"/>
      <c r="EJ52438"/>
      <c r="EK52438"/>
    </row>
    <row r="52439" spans="1:141" s="116" customFormat="1">
      <c r="A52439" s="136"/>
      <c r="CM52439" s="111"/>
      <c r="CQ52439" s="111"/>
      <c r="EF52439"/>
      <c r="EG52439"/>
      <c r="EH52439"/>
      <c r="EI52439"/>
      <c r="EJ52439"/>
      <c r="EK52439"/>
    </row>
    <row r="52440" spans="1:141" s="116" customFormat="1">
      <c r="A52440" s="136"/>
      <c r="CM52440" s="111"/>
      <c r="CQ52440" s="111"/>
      <c r="EF52440"/>
      <c r="EG52440"/>
      <c r="EH52440"/>
      <c r="EI52440"/>
      <c r="EJ52440"/>
      <c r="EK52440"/>
    </row>
    <row r="52441" spans="1:141" s="116" customFormat="1">
      <c r="A52441" s="136"/>
      <c r="CM52441" s="111"/>
      <c r="CQ52441" s="111"/>
      <c r="EF52441"/>
      <c r="EG52441"/>
      <c r="EH52441"/>
      <c r="EI52441"/>
      <c r="EJ52441"/>
      <c r="EK52441"/>
    </row>
    <row r="52442" spans="1:141" s="116" customFormat="1">
      <c r="A52442" s="136"/>
      <c r="CM52442" s="111"/>
      <c r="CQ52442" s="111"/>
      <c r="EF52442"/>
      <c r="EG52442"/>
      <c r="EH52442"/>
      <c r="EI52442"/>
      <c r="EJ52442"/>
      <c r="EK52442"/>
    </row>
    <row r="52443" spans="1:141" s="116" customFormat="1">
      <c r="A52443" s="136"/>
      <c r="CM52443" s="111"/>
      <c r="CQ52443" s="111"/>
      <c r="EF52443"/>
      <c r="EG52443"/>
      <c r="EH52443"/>
      <c r="EI52443"/>
      <c r="EJ52443"/>
      <c r="EK52443"/>
    </row>
    <row r="52444" spans="1:141" s="116" customFormat="1">
      <c r="A52444" s="136"/>
      <c r="CM52444" s="111"/>
      <c r="CQ52444" s="111"/>
      <c r="EF52444"/>
      <c r="EG52444"/>
      <c r="EH52444"/>
      <c r="EI52444"/>
      <c r="EJ52444"/>
      <c r="EK52444"/>
    </row>
    <row r="52445" spans="1:141" s="116" customFormat="1">
      <c r="A52445" s="136"/>
      <c r="CM52445" s="111"/>
      <c r="CQ52445" s="111"/>
      <c r="EF52445"/>
      <c r="EG52445"/>
      <c r="EH52445"/>
      <c r="EI52445"/>
      <c r="EJ52445"/>
      <c r="EK52445"/>
    </row>
    <row r="52446" spans="1:141" s="116" customFormat="1">
      <c r="A52446" s="136"/>
      <c r="CM52446" s="111"/>
      <c r="CQ52446" s="111"/>
      <c r="EF52446"/>
      <c r="EG52446"/>
      <c r="EH52446"/>
      <c r="EI52446"/>
      <c r="EJ52446"/>
      <c r="EK52446"/>
    </row>
    <row r="52447" spans="1:141" s="116" customFormat="1">
      <c r="A52447" s="136"/>
      <c r="CM52447" s="111"/>
      <c r="CQ52447" s="111"/>
      <c r="EF52447"/>
      <c r="EG52447"/>
      <c r="EH52447"/>
      <c r="EI52447"/>
      <c r="EJ52447"/>
      <c r="EK52447"/>
    </row>
    <row r="52448" spans="1:141" s="116" customFormat="1">
      <c r="A52448" s="136"/>
      <c r="CM52448" s="111"/>
      <c r="CQ52448" s="111"/>
      <c r="EF52448"/>
      <c r="EG52448"/>
      <c r="EH52448"/>
      <c r="EI52448"/>
      <c r="EJ52448"/>
      <c r="EK52448"/>
    </row>
    <row r="52449" spans="1:141" s="116" customFormat="1">
      <c r="A52449" s="136"/>
      <c r="CM52449" s="111"/>
      <c r="CQ52449" s="111"/>
      <c r="EF52449"/>
      <c r="EG52449"/>
      <c r="EH52449"/>
      <c r="EI52449"/>
      <c r="EJ52449"/>
      <c r="EK52449"/>
    </row>
    <row r="52450" spans="1:141" s="116" customFormat="1">
      <c r="A52450" s="136"/>
      <c r="CM52450" s="111"/>
      <c r="CQ52450" s="111"/>
      <c r="EF52450"/>
      <c r="EG52450"/>
      <c r="EH52450"/>
      <c r="EI52450"/>
      <c r="EJ52450"/>
      <c r="EK52450"/>
    </row>
    <row r="52451" spans="1:141" s="116" customFormat="1">
      <c r="A52451" s="136"/>
      <c r="CM52451" s="111"/>
      <c r="CQ52451" s="111"/>
      <c r="EF52451"/>
      <c r="EG52451"/>
      <c r="EH52451"/>
      <c r="EI52451"/>
      <c r="EJ52451"/>
      <c r="EK52451"/>
    </row>
    <row r="52452" spans="1:141" s="116" customFormat="1">
      <c r="A52452" s="136"/>
      <c r="CM52452" s="111"/>
      <c r="CQ52452" s="111"/>
      <c r="EF52452"/>
      <c r="EG52452"/>
      <c r="EH52452"/>
      <c r="EI52452"/>
      <c r="EJ52452"/>
      <c r="EK52452"/>
    </row>
    <row r="52453" spans="1:141" s="116" customFormat="1">
      <c r="A52453" s="136"/>
      <c r="CM52453" s="111"/>
      <c r="CQ52453" s="111"/>
      <c r="EF52453"/>
      <c r="EG52453"/>
      <c r="EH52453"/>
      <c r="EI52453"/>
      <c r="EJ52453"/>
      <c r="EK52453"/>
    </row>
    <row r="52454" spans="1:141" s="116" customFormat="1">
      <c r="A52454" s="136"/>
      <c r="CM52454" s="111"/>
      <c r="CQ52454" s="111"/>
      <c r="EF52454"/>
      <c r="EG52454"/>
      <c r="EH52454"/>
      <c r="EI52454"/>
      <c r="EJ52454"/>
      <c r="EK52454"/>
    </row>
    <row r="52455" spans="1:141" s="116" customFormat="1">
      <c r="A52455" s="136"/>
      <c r="CM52455" s="111"/>
      <c r="CQ52455" s="111"/>
      <c r="EF52455"/>
      <c r="EG52455"/>
      <c r="EH52455"/>
      <c r="EI52455"/>
      <c r="EJ52455"/>
      <c r="EK52455"/>
    </row>
    <row r="52456" spans="1:141" s="116" customFormat="1">
      <c r="A52456" s="136"/>
      <c r="CM52456" s="111"/>
      <c r="CQ52456" s="111"/>
      <c r="EF52456"/>
      <c r="EG52456"/>
      <c r="EH52456"/>
      <c r="EI52456"/>
      <c r="EJ52456"/>
      <c r="EK52456"/>
    </row>
    <row r="52457" spans="1:141" s="116" customFormat="1">
      <c r="A52457" s="136"/>
      <c r="CM52457" s="111"/>
      <c r="CQ52457" s="111"/>
      <c r="EF52457"/>
      <c r="EG52457"/>
      <c r="EH52457"/>
      <c r="EI52457"/>
      <c r="EJ52457"/>
      <c r="EK52457"/>
    </row>
    <row r="52458" spans="1:141" s="116" customFormat="1">
      <c r="A52458" s="136"/>
      <c r="CM52458" s="111"/>
      <c r="CQ52458" s="111"/>
      <c r="EF52458"/>
      <c r="EG52458"/>
      <c r="EH52458"/>
      <c r="EI52458"/>
      <c r="EJ52458"/>
      <c r="EK52458"/>
    </row>
    <row r="52459" spans="1:141" s="116" customFormat="1">
      <c r="A52459" s="136"/>
      <c r="CM52459" s="111"/>
      <c r="CQ52459" s="111"/>
      <c r="EF52459"/>
      <c r="EG52459"/>
      <c r="EH52459"/>
      <c r="EI52459"/>
      <c r="EJ52459"/>
      <c r="EK52459"/>
    </row>
    <row r="52460" spans="1:141" s="116" customFormat="1">
      <c r="A52460" s="136"/>
      <c r="CM52460" s="111"/>
      <c r="CQ52460" s="111"/>
      <c r="EF52460"/>
      <c r="EG52460"/>
      <c r="EH52460"/>
      <c r="EI52460"/>
      <c r="EJ52460"/>
      <c r="EK52460"/>
    </row>
    <row r="52461" spans="1:141" s="116" customFormat="1">
      <c r="A52461" s="136"/>
      <c r="CM52461" s="111"/>
      <c r="CQ52461" s="111"/>
      <c r="EF52461"/>
      <c r="EG52461"/>
      <c r="EH52461"/>
      <c r="EI52461"/>
      <c r="EJ52461"/>
      <c r="EK52461"/>
    </row>
    <row r="52462" spans="1:141" s="116" customFormat="1">
      <c r="A52462" s="136"/>
      <c r="CM52462" s="111"/>
      <c r="CQ52462" s="111"/>
      <c r="EF52462"/>
      <c r="EG52462"/>
      <c r="EH52462"/>
      <c r="EI52462"/>
      <c r="EJ52462"/>
      <c r="EK52462"/>
    </row>
    <row r="52463" spans="1:141" s="116" customFormat="1">
      <c r="A52463" s="136"/>
      <c r="CM52463" s="111"/>
      <c r="CQ52463" s="111"/>
      <c r="EF52463"/>
      <c r="EG52463"/>
      <c r="EH52463"/>
      <c r="EI52463"/>
      <c r="EJ52463"/>
      <c r="EK52463"/>
    </row>
    <row r="52464" spans="1:141" s="116" customFormat="1">
      <c r="A52464" s="136"/>
      <c r="CM52464" s="111"/>
      <c r="CQ52464" s="111"/>
      <c r="EF52464"/>
      <c r="EG52464"/>
      <c r="EH52464"/>
      <c r="EI52464"/>
      <c r="EJ52464"/>
      <c r="EK52464"/>
    </row>
    <row r="52465" spans="1:141" s="116" customFormat="1">
      <c r="A52465" s="136"/>
      <c r="CM52465" s="111"/>
      <c r="CQ52465" s="111"/>
      <c r="EF52465"/>
      <c r="EG52465"/>
      <c r="EH52465"/>
      <c r="EI52465"/>
      <c r="EJ52465"/>
      <c r="EK52465"/>
    </row>
    <row r="52466" spans="1:141" s="116" customFormat="1">
      <c r="A52466" s="136"/>
      <c r="CM52466" s="111"/>
      <c r="CQ52466" s="111"/>
      <c r="EF52466"/>
      <c r="EG52466"/>
      <c r="EH52466"/>
      <c r="EI52466"/>
      <c r="EJ52466"/>
      <c r="EK52466"/>
    </row>
    <row r="52467" spans="1:141" s="116" customFormat="1">
      <c r="A52467" s="136"/>
      <c r="CM52467" s="111"/>
      <c r="CQ52467" s="111"/>
      <c r="EF52467"/>
      <c r="EG52467"/>
      <c r="EH52467"/>
      <c r="EI52467"/>
      <c r="EJ52467"/>
      <c r="EK52467"/>
    </row>
    <row r="52468" spans="1:141" s="116" customFormat="1">
      <c r="A52468" s="136"/>
      <c r="CM52468" s="111"/>
      <c r="CQ52468" s="111"/>
      <c r="EF52468"/>
      <c r="EG52468"/>
      <c r="EH52468"/>
      <c r="EI52468"/>
      <c r="EJ52468"/>
      <c r="EK52468"/>
    </row>
    <row r="52469" spans="1:141" s="116" customFormat="1">
      <c r="A52469" s="136"/>
      <c r="CM52469" s="111"/>
      <c r="CQ52469" s="111"/>
      <c r="EF52469"/>
      <c r="EG52469"/>
      <c r="EH52469"/>
      <c r="EI52469"/>
      <c r="EJ52469"/>
      <c r="EK52469"/>
    </row>
    <row r="52470" spans="1:141" s="116" customFormat="1">
      <c r="A52470" s="136"/>
      <c r="CM52470" s="111"/>
      <c r="CQ52470" s="111"/>
      <c r="EF52470"/>
      <c r="EG52470"/>
      <c r="EH52470"/>
      <c r="EI52470"/>
      <c r="EJ52470"/>
      <c r="EK52470"/>
    </row>
    <row r="52471" spans="1:141" s="116" customFormat="1">
      <c r="A52471" s="136"/>
      <c r="CM52471" s="111"/>
      <c r="CQ52471" s="111"/>
      <c r="EF52471"/>
      <c r="EG52471"/>
      <c r="EH52471"/>
      <c r="EI52471"/>
      <c r="EJ52471"/>
      <c r="EK52471"/>
    </row>
    <row r="52472" spans="1:141" s="116" customFormat="1">
      <c r="A52472" s="136"/>
      <c r="CM52472" s="111"/>
      <c r="CQ52472" s="111"/>
      <c r="EF52472"/>
      <c r="EG52472"/>
      <c r="EH52472"/>
      <c r="EI52472"/>
      <c r="EJ52472"/>
      <c r="EK52472"/>
    </row>
    <row r="52473" spans="1:141" s="116" customFormat="1">
      <c r="A52473" s="136"/>
      <c r="CM52473" s="111"/>
      <c r="CQ52473" s="111"/>
      <c r="EF52473"/>
      <c r="EG52473"/>
      <c r="EH52473"/>
      <c r="EI52473"/>
      <c r="EJ52473"/>
      <c r="EK52473"/>
    </row>
    <row r="52474" spans="1:141" s="116" customFormat="1">
      <c r="A52474" s="136"/>
      <c r="CM52474" s="111"/>
      <c r="CQ52474" s="111"/>
      <c r="EF52474"/>
      <c r="EG52474"/>
      <c r="EH52474"/>
      <c r="EI52474"/>
      <c r="EJ52474"/>
      <c r="EK52474"/>
    </row>
    <row r="52475" spans="1:141" s="116" customFormat="1">
      <c r="A52475" s="136"/>
      <c r="CM52475" s="111"/>
      <c r="CQ52475" s="111"/>
      <c r="EF52475"/>
      <c r="EG52475"/>
      <c r="EH52475"/>
      <c r="EI52475"/>
      <c r="EJ52475"/>
      <c r="EK52475"/>
    </row>
    <row r="52476" spans="1:141" s="116" customFormat="1">
      <c r="A52476" s="136"/>
      <c r="CM52476" s="111"/>
      <c r="CQ52476" s="111"/>
      <c r="EF52476"/>
      <c r="EG52476"/>
      <c r="EH52476"/>
      <c r="EI52476"/>
      <c r="EJ52476"/>
      <c r="EK52476"/>
    </row>
    <row r="52477" spans="1:141" s="116" customFormat="1">
      <c r="A52477" s="136"/>
      <c r="CM52477" s="111"/>
      <c r="CQ52477" s="111"/>
      <c r="EF52477"/>
      <c r="EG52477"/>
      <c r="EH52477"/>
      <c r="EI52477"/>
      <c r="EJ52477"/>
      <c r="EK52477"/>
    </row>
    <row r="52478" spans="1:141" s="116" customFormat="1">
      <c r="A52478" s="136"/>
      <c r="CM52478" s="111"/>
      <c r="CQ52478" s="111"/>
      <c r="EF52478"/>
      <c r="EG52478"/>
      <c r="EH52478"/>
      <c r="EI52478"/>
      <c r="EJ52478"/>
      <c r="EK52478"/>
    </row>
    <row r="52479" spans="1:141" s="116" customFormat="1">
      <c r="A52479" s="136"/>
      <c r="CM52479" s="111"/>
      <c r="CQ52479" s="111"/>
      <c r="EF52479"/>
      <c r="EG52479"/>
      <c r="EH52479"/>
      <c r="EI52479"/>
      <c r="EJ52479"/>
      <c r="EK52479"/>
    </row>
    <row r="52480" spans="1:141" s="116" customFormat="1">
      <c r="A52480" s="136"/>
      <c r="CM52480" s="111"/>
      <c r="CQ52480" s="111"/>
      <c r="EF52480"/>
      <c r="EG52480"/>
      <c r="EH52480"/>
      <c r="EI52480"/>
      <c r="EJ52480"/>
      <c r="EK52480"/>
    </row>
    <row r="52481" spans="1:141" s="116" customFormat="1">
      <c r="A52481" s="136"/>
      <c r="CM52481" s="111"/>
      <c r="CQ52481" s="111"/>
      <c r="EF52481"/>
      <c r="EG52481"/>
      <c r="EH52481"/>
      <c r="EI52481"/>
      <c r="EJ52481"/>
      <c r="EK52481"/>
    </row>
    <row r="52482" spans="1:141" s="116" customFormat="1">
      <c r="A52482" s="136"/>
      <c r="CM52482" s="111"/>
      <c r="CQ52482" s="111"/>
      <c r="EF52482"/>
      <c r="EG52482"/>
      <c r="EH52482"/>
      <c r="EI52482"/>
      <c r="EJ52482"/>
      <c r="EK52482"/>
    </row>
    <row r="52483" spans="1:141" s="116" customFormat="1">
      <c r="A52483" s="136"/>
      <c r="CM52483" s="111"/>
      <c r="CQ52483" s="111"/>
      <c r="EF52483"/>
      <c r="EG52483"/>
      <c r="EH52483"/>
      <c r="EI52483"/>
      <c r="EJ52483"/>
      <c r="EK52483"/>
    </row>
    <row r="52484" spans="1:141" s="116" customFormat="1">
      <c r="A52484" s="136"/>
      <c r="CM52484" s="111"/>
      <c r="CQ52484" s="111"/>
      <c r="EF52484"/>
      <c r="EG52484"/>
      <c r="EH52484"/>
      <c r="EI52484"/>
      <c r="EJ52484"/>
      <c r="EK52484"/>
    </row>
    <row r="52485" spans="1:141" s="116" customFormat="1">
      <c r="A52485" s="136"/>
      <c r="CM52485" s="111"/>
      <c r="CQ52485" s="111"/>
      <c r="EF52485"/>
      <c r="EG52485"/>
      <c r="EH52485"/>
      <c r="EI52485"/>
      <c r="EJ52485"/>
      <c r="EK52485"/>
    </row>
    <row r="52486" spans="1:141" s="116" customFormat="1">
      <c r="A52486" s="136"/>
      <c r="CM52486" s="111"/>
      <c r="CQ52486" s="111"/>
      <c r="EF52486"/>
      <c r="EG52486"/>
      <c r="EH52486"/>
      <c r="EI52486"/>
      <c r="EJ52486"/>
      <c r="EK52486"/>
    </row>
    <row r="52487" spans="1:141" s="116" customFormat="1">
      <c r="A52487" s="136"/>
      <c r="CM52487" s="111"/>
      <c r="CQ52487" s="111"/>
      <c r="EF52487"/>
      <c r="EG52487"/>
      <c r="EH52487"/>
      <c r="EI52487"/>
      <c r="EJ52487"/>
      <c r="EK52487"/>
    </row>
    <row r="52488" spans="1:141" s="116" customFormat="1">
      <c r="A52488" s="136"/>
      <c r="CM52488" s="111"/>
      <c r="CQ52488" s="111"/>
      <c r="EF52488"/>
      <c r="EG52488"/>
      <c r="EH52488"/>
      <c r="EI52488"/>
      <c r="EJ52488"/>
      <c r="EK52488"/>
    </row>
    <row r="52489" spans="1:141" s="116" customFormat="1">
      <c r="A52489" s="136"/>
      <c r="CM52489" s="111"/>
      <c r="CQ52489" s="111"/>
      <c r="EF52489"/>
      <c r="EG52489"/>
      <c r="EH52489"/>
      <c r="EI52489"/>
      <c r="EJ52489"/>
      <c r="EK52489"/>
    </row>
    <row r="52490" spans="1:141" s="116" customFormat="1">
      <c r="A52490" s="136"/>
      <c r="CM52490" s="111"/>
      <c r="CQ52490" s="111"/>
      <c r="EF52490"/>
      <c r="EG52490"/>
      <c r="EH52490"/>
      <c r="EI52490"/>
      <c r="EJ52490"/>
      <c r="EK52490"/>
    </row>
    <row r="52491" spans="1:141" s="116" customFormat="1">
      <c r="A52491" s="136"/>
      <c r="CM52491" s="111"/>
      <c r="CQ52491" s="111"/>
      <c r="EF52491"/>
      <c r="EG52491"/>
      <c r="EH52491"/>
      <c r="EI52491"/>
      <c r="EJ52491"/>
      <c r="EK52491"/>
    </row>
    <row r="52492" spans="1:141" s="116" customFormat="1">
      <c r="A52492" s="136"/>
      <c r="CM52492" s="111"/>
      <c r="CQ52492" s="111"/>
      <c r="EF52492"/>
      <c r="EG52492"/>
      <c r="EH52492"/>
      <c r="EI52492"/>
      <c r="EJ52492"/>
      <c r="EK52492"/>
    </row>
    <row r="52493" spans="1:141" s="116" customFormat="1">
      <c r="A52493" s="136"/>
      <c r="CM52493" s="111"/>
      <c r="CQ52493" s="111"/>
      <c r="EF52493"/>
      <c r="EG52493"/>
      <c r="EH52493"/>
      <c r="EI52493"/>
      <c r="EJ52493"/>
      <c r="EK52493"/>
    </row>
    <row r="52494" spans="1:141" s="116" customFormat="1">
      <c r="A52494" s="136"/>
      <c r="CM52494" s="111"/>
      <c r="CQ52494" s="111"/>
      <c r="EF52494"/>
      <c r="EG52494"/>
      <c r="EH52494"/>
      <c r="EI52494"/>
      <c r="EJ52494"/>
      <c r="EK52494"/>
    </row>
    <row r="52495" spans="1:141" s="116" customFormat="1">
      <c r="A52495" s="136"/>
      <c r="CM52495" s="111"/>
      <c r="CQ52495" s="111"/>
      <c r="EF52495"/>
      <c r="EG52495"/>
      <c r="EH52495"/>
      <c r="EI52495"/>
      <c r="EJ52495"/>
      <c r="EK52495"/>
    </row>
    <row r="52496" spans="1:141" s="116" customFormat="1">
      <c r="A52496" s="136"/>
      <c r="CM52496" s="111"/>
      <c r="CQ52496" s="111"/>
      <c r="EF52496"/>
      <c r="EG52496"/>
      <c r="EH52496"/>
      <c r="EI52496"/>
      <c r="EJ52496"/>
      <c r="EK52496"/>
    </row>
    <row r="52497" spans="1:141" s="116" customFormat="1">
      <c r="A52497" s="136"/>
      <c r="CM52497" s="111"/>
      <c r="CQ52497" s="111"/>
      <c r="EF52497"/>
      <c r="EG52497"/>
      <c r="EH52497"/>
      <c r="EI52497"/>
      <c r="EJ52497"/>
      <c r="EK52497"/>
    </row>
    <row r="52498" spans="1:141" s="116" customFormat="1">
      <c r="A52498" s="136"/>
      <c r="CM52498" s="111"/>
      <c r="CQ52498" s="111"/>
      <c r="EF52498"/>
      <c r="EG52498"/>
      <c r="EH52498"/>
      <c r="EI52498"/>
      <c r="EJ52498"/>
      <c r="EK52498"/>
    </row>
    <row r="52499" spans="1:141" s="116" customFormat="1">
      <c r="A52499" s="136"/>
      <c r="CM52499" s="111"/>
      <c r="CQ52499" s="111"/>
      <c r="EF52499"/>
      <c r="EG52499"/>
      <c r="EH52499"/>
      <c r="EI52499"/>
      <c r="EJ52499"/>
      <c r="EK52499"/>
    </row>
    <row r="52500" spans="1:141" s="116" customFormat="1">
      <c r="A52500" s="136"/>
      <c r="CM52500" s="111"/>
      <c r="CQ52500" s="111"/>
      <c r="EF52500"/>
      <c r="EG52500"/>
      <c r="EH52500"/>
      <c r="EI52500"/>
      <c r="EJ52500"/>
      <c r="EK52500"/>
    </row>
    <row r="52501" spans="1:141" s="116" customFormat="1">
      <c r="A52501" s="136"/>
      <c r="CM52501" s="111"/>
      <c r="CQ52501" s="111"/>
      <c r="EF52501"/>
      <c r="EG52501"/>
      <c r="EH52501"/>
      <c r="EI52501"/>
      <c r="EJ52501"/>
      <c r="EK52501"/>
    </row>
    <row r="52502" spans="1:141" s="116" customFormat="1">
      <c r="A52502" s="136"/>
      <c r="CM52502" s="111"/>
      <c r="CQ52502" s="111"/>
      <c r="EF52502"/>
      <c r="EG52502"/>
      <c r="EH52502"/>
      <c r="EI52502"/>
      <c r="EJ52502"/>
      <c r="EK52502"/>
    </row>
    <row r="52503" spans="1:141" s="116" customFormat="1">
      <c r="A52503" s="136"/>
      <c r="CM52503" s="111"/>
      <c r="CQ52503" s="111"/>
      <c r="EF52503"/>
      <c r="EG52503"/>
      <c r="EH52503"/>
      <c r="EI52503"/>
      <c r="EJ52503"/>
      <c r="EK52503"/>
    </row>
    <row r="52504" spans="1:141" s="116" customFormat="1">
      <c r="A52504" s="136"/>
      <c r="CM52504" s="111"/>
      <c r="CQ52504" s="111"/>
      <c r="EF52504"/>
      <c r="EG52504"/>
      <c r="EH52504"/>
      <c r="EI52504"/>
      <c r="EJ52504"/>
      <c r="EK52504"/>
    </row>
    <row r="52505" spans="1:141" s="116" customFormat="1">
      <c r="A52505" s="136"/>
      <c r="CM52505" s="111"/>
      <c r="CQ52505" s="111"/>
      <c r="EF52505"/>
      <c r="EG52505"/>
      <c r="EH52505"/>
      <c r="EI52505"/>
      <c r="EJ52505"/>
      <c r="EK52505"/>
    </row>
    <row r="52506" spans="1:141" s="116" customFormat="1">
      <c r="A52506" s="136"/>
      <c r="CM52506" s="111"/>
      <c r="CQ52506" s="111"/>
      <c r="EF52506"/>
      <c r="EG52506"/>
      <c r="EH52506"/>
      <c r="EI52506"/>
      <c r="EJ52506"/>
      <c r="EK52506"/>
    </row>
    <row r="52507" spans="1:141" s="116" customFormat="1">
      <c r="A52507" s="136"/>
      <c r="CM52507" s="111"/>
      <c r="CQ52507" s="111"/>
      <c r="EF52507"/>
      <c r="EG52507"/>
      <c r="EH52507"/>
      <c r="EI52507"/>
      <c r="EJ52507"/>
      <c r="EK52507"/>
    </row>
    <row r="52508" spans="1:141" s="116" customFormat="1">
      <c r="A52508" s="136"/>
      <c r="CM52508" s="111"/>
      <c r="CQ52508" s="111"/>
      <c r="EF52508"/>
      <c r="EG52508"/>
      <c r="EH52508"/>
      <c r="EI52508"/>
      <c r="EJ52508"/>
      <c r="EK52508"/>
    </row>
    <row r="52509" spans="1:141" s="116" customFormat="1">
      <c r="A52509" s="136"/>
      <c r="CM52509" s="111"/>
      <c r="CQ52509" s="111"/>
      <c r="EF52509"/>
      <c r="EG52509"/>
      <c r="EH52509"/>
      <c r="EI52509"/>
      <c r="EJ52509"/>
      <c r="EK52509"/>
    </row>
    <row r="52510" spans="1:141" s="116" customFormat="1">
      <c r="A52510" s="136"/>
      <c r="CM52510" s="111"/>
      <c r="CQ52510" s="111"/>
      <c r="EF52510"/>
      <c r="EG52510"/>
      <c r="EH52510"/>
      <c r="EI52510"/>
      <c r="EJ52510"/>
      <c r="EK52510"/>
    </row>
    <row r="52511" spans="1:141" s="116" customFormat="1">
      <c r="A52511" s="136"/>
      <c r="CM52511" s="111"/>
      <c r="CQ52511" s="111"/>
      <c r="EF52511"/>
      <c r="EG52511"/>
      <c r="EH52511"/>
      <c r="EI52511"/>
      <c r="EJ52511"/>
      <c r="EK52511"/>
    </row>
    <row r="52512" spans="1:141" s="116" customFormat="1">
      <c r="A52512" s="136"/>
      <c r="CM52512" s="111"/>
      <c r="CQ52512" s="111"/>
      <c r="EF52512"/>
      <c r="EG52512"/>
      <c r="EH52512"/>
      <c r="EI52512"/>
      <c r="EJ52512"/>
      <c r="EK52512"/>
    </row>
    <row r="52513" spans="1:141" s="116" customFormat="1">
      <c r="A52513" s="136"/>
      <c r="CM52513" s="111"/>
      <c r="CQ52513" s="111"/>
      <c r="EF52513"/>
      <c r="EG52513"/>
      <c r="EH52513"/>
      <c r="EI52513"/>
      <c r="EJ52513"/>
      <c r="EK52513"/>
    </row>
    <row r="52514" spans="1:141" s="116" customFormat="1">
      <c r="A52514" s="136"/>
      <c r="CM52514" s="111"/>
      <c r="CQ52514" s="111"/>
      <c r="EF52514"/>
      <c r="EG52514"/>
      <c r="EH52514"/>
      <c r="EI52514"/>
      <c r="EJ52514"/>
      <c r="EK52514"/>
    </row>
    <row r="52515" spans="1:141" s="116" customFormat="1">
      <c r="A52515" s="136"/>
      <c r="CM52515" s="111"/>
      <c r="CQ52515" s="111"/>
      <c r="EF52515"/>
      <c r="EG52515"/>
      <c r="EH52515"/>
      <c r="EI52515"/>
      <c r="EJ52515"/>
      <c r="EK52515"/>
    </row>
    <row r="52516" spans="1:141" s="116" customFormat="1">
      <c r="A52516" s="136"/>
      <c r="CM52516" s="111"/>
      <c r="CQ52516" s="111"/>
      <c r="EF52516"/>
      <c r="EG52516"/>
      <c r="EH52516"/>
      <c r="EI52516"/>
      <c r="EJ52516"/>
      <c r="EK52516"/>
    </row>
    <row r="52517" spans="1:141" s="116" customFormat="1">
      <c r="A52517" s="136"/>
      <c r="CM52517" s="111"/>
      <c r="CQ52517" s="111"/>
      <c r="EF52517"/>
      <c r="EG52517"/>
      <c r="EH52517"/>
      <c r="EI52517"/>
      <c r="EJ52517"/>
      <c r="EK52517"/>
    </row>
    <row r="52518" spans="1:141" s="116" customFormat="1">
      <c r="A52518" s="136"/>
      <c r="CM52518" s="111"/>
      <c r="CQ52518" s="111"/>
      <c r="EF52518"/>
      <c r="EG52518"/>
      <c r="EH52518"/>
      <c r="EI52518"/>
      <c r="EJ52518"/>
      <c r="EK52518"/>
    </row>
    <row r="52519" spans="1:141" s="116" customFormat="1">
      <c r="A52519" s="136"/>
      <c r="CM52519" s="111"/>
      <c r="CQ52519" s="111"/>
      <c r="EF52519"/>
      <c r="EG52519"/>
      <c r="EH52519"/>
      <c r="EI52519"/>
      <c r="EJ52519"/>
      <c r="EK52519"/>
    </row>
    <row r="52520" spans="1:141" s="116" customFormat="1">
      <c r="A52520" s="136"/>
      <c r="CM52520" s="111"/>
      <c r="CQ52520" s="111"/>
      <c r="EF52520"/>
      <c r="EG52520"/>
      <c r="EH52520"/>
      <c r="EI52520"/>
      <c r="EJ52520"/>
      <c r="EK52520"/>
    </row>
    <row r="52521" spans="1:141" s="116" customFormat="1">
      <c r="A52521" s="136"/>
      <c r="CM52521" s="111"/>
      <c r="CQ52521" s="111"/>
      <c r="EF52521"/>
      <c r="EG52521"/>
      <c r="EH52521"/>
      <c r="EI52521"/>
      <c r="EJ52521"/>
      <c r="EK52521"/>
    </row>
    <row r="52522" spans="1:141" s="116" customFormat="1">
      <c r="A52522" s="136"/>
      <c r="CM52522" s="111"/>
      <c r="CQ52522" s="111"/>
      <c r="EF52522"/>
      <c r="EG52522"/>
      <c r="EH52522"/>
      <c r="EI52522"/>
      <c r="EJ52522"/>
      <c r="EK52522"/>
    </row>
    <row r="52523" spans="1:141" s="116" customFormat="1">
      <c r="A52523" s="136"/>
      <c r="CM52523" s="111"/>
      <c r="CQ52523" s="111"/>
      <c r="EF52523"/>
      <c r="EG52523"/>
      <c r="EH52523"/>
      <c r="EI52523"/>
      <c r="EJ52523"/>
      <c r="EK52523"/>
    </row>
    <row r="52524" spans="1:141" s="116" customFormat="1">
      <c r="A52524" s="136"/>
      <c r="CM52524" s="111"/>
      <c r="CQ52524" s="111"/>
      <c r="EF52524"/>
      <c r="EG52524"/>
      <c r="EH52524"/>
      <c r="EI52524"/>
      <c r="EJ52524"/>
      <c r="EK52524"/>
    </row>
    <row r="52525" spans="1:141" s="116" customFormat="1">
      <c r="A52525" s="136"/>
      <c r="CM52525" s="111"/>
      <c r="CQ52525" s="111"/>
      <c r="EF52525"/>
      <c r="EG52525"/>
      <c r="EH52525"/>
      <c r="EI52525"/>
      <c r="EJ52525"/>
      <c r="EK52525"/>
    </row>
    <row r="52526" spans="1:141" s="116" customFormat="1">
      <c r="A52526" s="136"/>
      <c r="CM52526" s="111"/>
      <c r="CQ52526" s="111"/>
      <c r="EF52526"/>
      <c r="EG52526"/>
      <c r="EH52526"/>
      <c r="EI52526"/>
      <c r="EJ52526"/>
      <c r="EK52526"/>
    </row>
    <row r="52527" spans="1:141" s="116" customFormat="1">
      <c r="A52527" s="136"/>
      <c r="CM52527" s="111"/>
      <c r="CQ52527" s="111"/>
      <c r="EF52527"/>
      <c r="EG52527"/>
      <c r="EH52527"/>
      <c r="EI52527"/>
      <c r="EJ52527"/>
      <c r="EK52527"/>
    </row>
    <row r="52528" spans="1:141" s="116" customFormat="1">
      <c r="A52528" s="136"/>
      <c r="CM52528" s="111"/>
      <c r="CQ52528" s="111"/>
      <c r="EF52528"/>
      <c r="EG52528"/>
      <c r="EH52528"/>
      <c r="EI52528"/>
      <c r="EJ52528"/>
      <c r="EK52528"/>
    </row>
    <row r="52529" spans="1:141" s="116" customFormat="1">
      <c r="A52529" s="136"/>
      <c r="CM52529" s="111"/>
      <c r="CQ52529" s="111"/>
      <c r="EF52529"/>
      <c r="EG52529"/>
      <c r="EH52529"/>
      <c r="EI52529"/>
      <c r="EJ52529"/>
      <c r="EK52529"/>
    </row>
    <row r="52530" spans="1:141" s="116" customFormat="1">
      <c r="A52530" s="136"/>
      <c r="CM52530" s="111"/>
      <c r="CQ52530" s="111"/>
      <c r="EF52530"/>
      <c r="EG52530"/>
      <c r="EH52530"/>
      <c r="EI52530"/>
      <c r="EJ52530"/>
      <c r="EK52530"/>
    </row>
    <row r="52531" spans="1:141" s="116" customFormat="1">
      <c r="A52531" s="136"/>
      <c r="CM52531" s="111"/>
      <c r="CQ52531" s="111"/>
      <c r="EF52531"/>
      <c r="EG52531"/>
      <c r="EH52531"/>
      <c r="EI52531"/>
      <c r="EJ52531"/>
      <c r="EK52531"/>
    </row>
    <row r="52532" spans="1:141" s="116" customFormat="1">
      <c r="A52532" s="136"/>
      <c r="CM52532" s="111"/>
      <c r="CQ52532" s="111"/>
      <c r="EF52532"/>
      <c r="EG52532"/>
      <c r="EH52532"/>
      <c r="EI52532"/>
      <c r="EJ52532"/>
      <c r="EK52532"/>
    </row>
    <row r="52533" spans="1:141" s="116" customFormat="1">
      <c r="A52533" s="136"/>
      <c r="CM52533" s="111"/>
      <c r="CQ52533" s="111"/>
      <c r="EF52533"/>
      <c r="EG52533"/>
      <c r="EH52533"/>
      <c r="EI52533"/>
      <c r="EJ52533"/>
      <c r="EK52533"/>
    </row>
    <row r="52534" spans="1:141" s="116" customFormat="1">
      <c r="A52534" s="136"/>
      <c r="CM52534" s="111"/>
      <c r="CQ52534" s="111"/>
      <c r="EF52534"/>
      <c r="EG52534"/>
      <c r="EH52534"/>
      <c r="EI52534"/>
      <c r="EJ52534"/>
      <c r="EK52534"/>
    </row>
    <row r="52535" spans="1:141" s="116" customFormat="1">
      <c r="A52535" s="136"/>
      <c r="CM52535" s="111"/>
      <c r="CQ52535" s="111"/>
      <c r="EF52535"/>
      <c r="EG52535"/>
      <c r="EH52535"/>
      <c r="EI52535"/>
      <c r="EJ52535"/>
      <c r="EK52535"/>
    </row>
    <row r="52536" spans="1:141" s="116" customFormat="1">
      <c r="A52536" s="136"/>
      <c r="CM52536" s="111"/>
      <c r="CQ52536" s="111"/>
      <c r="EF52536"/>
      <c r="EG52536"/>
      <c r="EH52536"/>
      <c r="EI52536"/>
      <c r="EJ52536"/>
      <c r="EK52536"/>
    </row>
    <row r="52537" spans="1:141" s="116" customFormat="1">
      <c r="A52537" s="136"/>
      <c r="CM52537" s="111"/>
      <c r="CQ52537" s="111"/>
      <c r="EF52537"/>
      <c r="EG52537"/>
      <c r="EH52537"/>
      <c r="EI52537"/>
      <c r="EJ52537"/>
      <c r="EK52537"/>
    </row>
    <row r="52538" spans="1:141" s="116" customFormat="1">
      <c r="A52538" s="136"/>
      <c r="CM52538" s="111"/>
      <c r="CQ52538" s="111"/>
      <c r="EF52538"/>
      <c r="EG52538"/>
      <c r="EH52538"/>
      <c r="EI52538"/>
      <c r="EJ52538"/>
      <c r="EK52538"/>
    </row>
    <row r="52539" spans="1:141" s="116" customFormat="1">
      <c r="A52539" s="136"/>
      <c r="CM52539" s="111"/>
      <c r="CQ52539" s="111"/>
      <c r="EF52539"/>
      <c r="EG52539"/>
      <c r="EH52539"/>
      <c r="EI52539"/>
      <c r="EJ52539"/>
      <c r="EK52539"/>
    </row>
    <row r="52540" spans="1:141" s="116" customFormat="1">
      <c r="A52540" s="136"/>
      <c r="CM52540" s="111"/>
      <c r="CQ52540" s="111"/>
      <c r="EF52540"/>
      <c r="EG52540"/>
      <c r="EH52540"/>
      <c r="EI52540"/>
      <c r="EJ52540"/>
      <c r="EK52540"/>
    </row>
    <row r="52541" spans="1:141" s="116" customFormat="1">
      <c r="A52541" s="136"/>
      <c r="CM52541" s="111"/>
      <c r="CQ52541" s="111"/>
      <c r="EF52541"/>
      <c r="EG52541"/>
      <c r="EH52541"/>
      <c r="EI52541"/>
      <c r="EJ52541"/>
      <c r="EK52541"/>
    </row>
    <row r="52542" spans="1:141" s="116" customFormat="1">
      <c r="A52542" s="136"/>
      <c r="CM52542" s="111"/>
      <c r="CQ52542" s="111"/>
      <c r="EF52542"/>
      <c r="EG52542"/>
      <c r="EH52542"/>
      <c r="EI52542"/>
      <c r="EJ52542"/>
      <c r="EK52542"/>
    </row>
    <row r="52543" spans="1:141" s="116" customFormat="1">
      <c r="A52543" s="136"/>
      <c r="CM52543" s="111"/>
      <c r="CQ52543" s="111"/>
      <c r="EF52543"/>
      <c r="EG52543"/>
      <c r="EH52543"/>
      <c r="EI52543"/>
      <c r="EJ52543"/>
      <c r="EK52543"/>
    </row>
    <row r="52544" spans="1:141" s="116" customFormat="1">
      <c r="A52544" s="136"/>
      <c r="CM52544" s="111"/>
      <c r="CQ52544" s="111"/>
      <c r="EF52544"/>
      <c r="EG52544"/>
      <c r="EH52544"/>
      <c r="EI52544"/>
      <c r="EJ52544"/>
      <c r="EK52544"/>
    </row>
    <row r="52545" spans="1:141" s="116" customFormat="1">
      <c r="A52545" s="136"/>
      <c r="CM52545" s="111"/>
      <c r="CQ52545" s="111"/>
      <c r="EF52545"/>
      <c r="EG52545"/>
      <c r="EH52545"/>
      <c r="EI52545"/>
      <c r="EJ52545"/>
      <c r="EK52545"/>
    </row>
    <row r="52546" spans="1:141" s="116" customFormat="1">
      <c r="A52546" s="136"/>
      <c r="CM52546" s="111"/>
      <c r="CQ52546" s="111"/>
      <c r="EF52546"/>
      <c r="EG52546"/>
      <c r="EH52546"/>
      <c r="EI52546"/>
      <c r="EJ52546"/>
      <c r="EK52546"/>
    </row>
    <row r="52547" spans="1:141" s="116" customFormat="1">
      <c r="A52547" s="136"/>
      <c r="CM52547" s="111"/>
      <c r="CQ52547" s="111"/>
      <c r="EF52547"/>
      <c r="EG52547"/>
      <c r="EH52547"/>
      <c r="EI52547"/>
      <c r="EJ52547"/>
      <c r="EK52547"/>
    </row>
    <row r="52548" spans="1:141" s="116" customFormat="1">
      <c r="A52548" s="136"/>
      <c r="CM52548" s="111"/>
      <c r="CQ52548" s="111"/>
      <c r="EF52548"/>
      <c r="EG52548"/>
      <c r="EH52548"/>
      <c r="EI52548"/>
      <c r="EJ52548"/>
      <c r="EK52548"/>
    </row>
    <row r="52549" spans="1:141" s="116" customFormat="1">
      <c r="A52549" s="136"/>
      <c r="CM52549" s="111"/>
      <c r="CQ52549" s="111"/>
      <c r="EF52549"/>
      <c r="EG52549"/>
      <c r="EH52549"/>
      <c r="EI52549"/>
      <c r="EJ52549"/>
      <c r="EK52549"/>
    </row>
    <row r="52550" spans="1:141" s="116" customFormat="1">
      <c r="A52550" s="136"/>
      <c r="CM52550" s="111"/>
      <c r="CQ52550" s="111"/>
      <c r="EF52550"/>
      <c r="EG52550"/>
      <c r="EH52550"/>
      <c r="EI52550"/>
      <c r="EJ52550"/>
      <c r="EK52550"/>
    </row>
    <row r="52551" spans="1:141" s="116" customFormat="1">
      <c r="A52551" s="136"/>
      <c r="CM52551" s="111"/>
      <c r="CQ52551" s="111"/>
      <c r="EF52551"/>
      <c r="EG52551"/>
      <c r="EH52551"/>
      <c r="EI52551"/>
      <c r="EJ52551"/>
      <c r="EK52551"/>
    </row>
    <row r="52552" spans="1:141" s="116" customFormat="1">
      <c r="A52552" s="136"/>
      <c r="CM52552" s="111"/>
      <c r="CQ52552" s="111"/>
      <c r="EF52552"/>
      <c r="EG52552"/>
      <c r="EH52552"/>
      <c r="EI52552"/>
      <c r="EJ52552"/>
      <c r="EK52552"/>
    </row>
    <row r="52553" spans="1:141" s="116" customFormat="1">
      <c r="A52553" s="136"/>
      <c r="CM52553" s="111"/>
      <c r="CQ52553" s="111"/>
      <c r="EF52553"/>
      <c r="EG52553"/>
      <c r="EH52553"/>
      <c r="EI52553"/>
      <c r="EJ52553"/>
      <c r="EK52553"/>
    </row>
    <row r="52554" spans="1:141" s="116" customFormat="1">
      <c r="A52554" s="136"/>
      <c r="CM52554" s="111"/>
      <c r="CQ52554" s="111"/>
      <c r="EF52554"/>
      <c r="EG52554"/>
      <c r="EH52554"/>
      <c r="EI52554"/>
      <c r="EJ52554"/>
      <c r="EK52554"/>
    </row>
    <row r="52555" spans="1:141" s="116" customFormat="1">
      <c r="A52555" s="136"/>
      <c r="CM52555" s="111"/>
      <c r="CQ52555" s="111"/>
      <c r="EF52555"/>
      <c r="EG52555"/>
      <c r="EH52555"/>
      <c r="EI52555"/>
      <c r="EJ52555"/>
      <c r="EK52555"/>
    </row>
    <row r="52556" spans="1:141" s="116" customFormat="1">
      <c r="A52556" s="136"/>
      <c r="CM52556" s="111"/>
      <c r="CQ52556" s="111"/>
      <c r="EF52556"/>
      <c r="EG52556"/>
      <c r="EH52556"/>
      <c r="EI52556"/>
      <c r="EJ52556"/>
      <c r="EK52556"/>
    </row>
    <row r="52557" spans="1:141" s="116" customFormat="1">
      <c r="A52557" s="136"/>
      <c r="CM52557" s="111"/>
      <c r="CQ52557" s="111"/>
      <c r="EF52557"/>
      <c r="EG52557"/>
      <c r="EH52557"/>
      <c r="EI52557"/>
      <c r="EJ52557"/>
      <c r="EK52557"/>
    </row>
    <row r="52558" spans="1:141" s="116" customFormat="1">
      <c r="A52558" s="136"/>
      <c r="CM52558" s="111"/>
      <c r="CQ52558" s="111"/>
      <c r="EF52558"/>
      <c r="EG52558"/>
      <c r="EH52558"/>
      <c r="EI52558"/>
      <c r="EJ52558"/>
      <c r="EK52558"/>
    </row>
    <row r="52559" spans="1:141" s="116" customFormat="1">
      <c r="A52559" s="136"/>
      <c r="CM52559" s="111"/>
      <c r="CQ52559" s="111"/>
      <c r="EF52559"/>
      <c r="EG52559"/>
      <c r="EH52559"/>
      <c r="EI52559"/>
      <c r="EJ52559"/>
      <c r="EK52559"/>
    </row>
    <row r="52560" spans="1:141" s="116" customFormat="1">
      <c r="A52560" s="136"/>
      <c r="CM52560" s="111"/>
      <c r="CQ52560" s="111"/>
      <c r="EF52560"/>
      <c r="EG52560"/>
      <c r="EH52560"/>
      <c r="EI52560"/>
      <c r="EJ52560"/>
      <c r="EK52560"/>
    </row>
    <row r="52561" spans="1:141" s="116" customFormat="1">
      <c r="A52561" s="136"/>
      <c r="CM52561" s="111"/>
      <c r="CQ52561" s="111"/>
      <c r="EF52561"/>
      <c r="EG52561"/>
      <c r="EH52561"/>
      <c r="EI52561"/>
      <c r="EJ52561"/>
      <c r="EK52561"/>
    </row>
    <row r="52562" spans="1:141" s="116" customFormat="1">
      <c r="A52562" s="136"/>
      <c r="CM52562" s="111"/>
      <c r="CQ52562" s="111"/>
      <c r="EF52562"/>
      <c r="EG52562"/>
      <c r="EH52562"/>
      <c r="EI52562"/>
      <c r="EJ52562"/>
      <c r="EK52562"/>
    </row>
    <row r="52563" spans="1:141" s="116" customFormat="1">
      <c r="A52563" s="136"/>
      <c r="CM52563" s="111"/>
      <c r="CQ52563" s="111"/>
      <c r="EF52563"/>
      <c r="EG52563"/>
      <c r="EH52563"/>
      <c r="EI52563"/>
      <c r="EJ52563"/>
      <c r="EK52563"/>
    </row>
    <row r="52564" spans="1:141" s="116" customFormat="1">
      <c r="A52564" s="136"/>
      <c r="CM52564" s="111"/>
      <c r="CQ52564" s="111"/>
      <c r="EF52564"/>
      <c r="EG52564"/>
      <c r="EH52564"/>
      <c r="EI52564"/>
      <c r="EJ52564"/>
      <c r="EK52564"/>
    </row>
    <row r="52565" spans="1:141" s="116" customFormat="1">
      <c r="A52565" s="136"/>
      <c r="CM52565" s="111"/>
      <c r="CQ52565" s="111"/>
      <c r="EF52565"/>
      <c r="EG52565"/>
      <c r="EH52565"/>
      <c r="EI52565"/>
      <c r="EJ52565"/>
      <c r="EK52565"/>
    </row>
    <row r="52566" spans="1:141" s="116" customFormat="1">
      <c r="A52566" s="136"/>
      <c r="CM52566" s="111"/>
      <c r="CQ52566" s="111"/>
      <c r="EF52566"/>
      <c r="EG52566"/>
      <c r="EH52566"/>
      <c r="EI52566"/>
      <c r="EJ52566"/>
      <c r="EK52566"/>
    </row>
    <row r="52567" spans="1:141" s="116" customFormat="1">
      <c r="A52567" s="136"/>
      <c r="CM52567" s="111"/>
      <c r="CQ52567" s="111"/>
      <c r="EF52567"/>
      <c r="EG52567"/>
      <c r="EH52567"/>
      <c r="EI52567"/>
      <c r="EJ52567"/>
      <c r="EK52567"/>
    </row>
    <row r="52568" spans="1:141" s="116" customFormat="1">
      <c r="A52568" s="136"/>
      <c r="CM52568" s="111"/>
      <c r="CQ52568" s="111"/>
      <c r="EF52568"/>
      <c r="EG52568"/>
      <c r="EH52568"/>
      <c r="EI52568"/>
      <c r="EJ52568"/>
      <c r="EK52568"/>
    </row>
    <row r="52569" spans="1:141" s="116" customFormat="1">
      <c r="A52569" s="136"/>
      <c r="CM52569" s="111"/>
      <c r="CQ52569" s="111"/>
      <c r="EF52569"/>
      <c r="EG52569"/>
      <c r="EH52569"/>
      <c r="EI52569"/>
      <c r="EJ52569"/>
      <c r="EK52569"/>
    </row>
    <row r="52570" spans="1:141" s="116" customFormat="1">
      <c r="A52570" s="136"/>
      <c r="CM52570" s="111"/>
      <c r="CQ52570" s="111"/>
      <c r="EF52570"/>
      <c r="EG52570"/>
      <c r="EH52570"/>
      <c r="EI52570"/>
      <c r="EJ52570"/>
      <c r="EK52570"/>
    </row>
    <row r="52571" spans="1:141" s="116" customFormat="1">
      <c r="A52571" s="136"/>
      <c r="CM52571" s="111"/>
      <c r="CQ52571" s="111"/>
      <c r="EF52571"/>
      <c r="EG52571"/>
      <c r="EH52571"/>
      <c r="EI52571"/>
      <c r="EJ52571"/>
      <c r="EK52571"/>
    </row>
    <row r="52572" spans="1:141" s="116" customFormat="1">
      <c r="A52572" s="136"/>
      <c r="CM52572" s="111"/>
      <c r="CQ52572" s="111"/>
      <c r="EF52572"/>
      <c r="EG52572"/>
      <c r="EH52572"/>
      <c r="EI52572"/>
      <c r="EJ52572"/>
      <c r="EK52572"/>
    </row>
    <row r="52573" spans="1:141" s="116" customFormat="1">
      <c r="A52573" s="136"/>
      <c r="CM52573" s="111"/>
      <c r="CQ52573" s="111"/>
      <c r="EF52573"/>
      <c r="EG52573"/>
      <c r="EH52573"/>
      <c r="EI52573"/>
      <c r="EJ52573"/>
      <c r="EK52573"/>
    </row>
    <row r="52574" spans="1:141" s="116" customFormat="1">
      <c r="A52574" s="136"/>
      <c r="CM52574" s="111"/>
      <c r="CQ52574" s="111"/>
      <c r="EF52574"/>
      <c r="EG52574"/>
      <c r="EH52574"/>
      <c r="EI52574"/>
      <c r="EJ52574"/>
      <c r="EK52574"/>
    </row>
    <row r="52575" spans="1:141" s="116" customFormat="1">
      <c r="A52575" s="136"/>
      <c r="CM52575" s="111"/>
      <c r="CQ52575" s="111"/>
      <c r="EF52575"/>
      <c r="EG52575"/>
      <c r="EH52575"/>
      <c r="EI52575"/>
      <c r="EJ52575"/>
      <c r="EK52575"/>
    </row>
    <row r="52576" spans="1:141" s="116" customFormat="1">
      <c r="A52576" s="136"/>
      <c r="CM52576" s="111"/>
      <c r="CQ52576" s="111"/>
      <c r="EF52576"/>
      <c r="EG52576"/>
      <c r="EH52576"/>
      <c r="EI52576"/>
      <c r="EJ52576"/>
      <c r="EK52576"/>
    </row>
    <row r="52577" spans="1:141" s="116" customFormat="1">
      <c r="A52577" s="136"/>
      <c r="CM52577" s="111"/>
      <c r="CQ52577" s="111"/>
      <c r="EF52577"/>
      <c r="EG52577"/>
      <c r="EH52577"/>
      <c r="EI52577"/>
      <c r="EJ52577"/>
      <c r="EK52577"/>
    </row>
    <row r="52578" spans="1:141" s="116" customFormat="1">
      <c r="A52578" s="136"/>
      <c r="CM52578" s="111"/>
      <c r="CQ52578" s="111"/>
      <c r="EF52578"/>
      <c r="EG52578"/>
      <c r="EH52578"/>
      <c r="EI52578"/>
      <c r="EJ52578"/>
      <c r="EK52578"/>
    </row>
    <row r="52579" spans="1:141" s="116" customFormat="1">
      <c r="A52579" s="136"/>
      <c r="CM52579" s="111"/>
      <c r="CQ52579" s="111"/>
      <c r="EF52579"/>
      <c r="EG52579"/>
      <c r="EH52579"/>
      <c r="EI52579"/>
      <c r="EJ52579"/>
      <c r="EK52579"/>
    </row>
    <row r="52580" spans="1:141" s="116" customFormat="1">
      <c r="A52580" s="136"/>
      <c r="CM52580" s="111"/>
      <c r="CQ52580" s="111"/>
      <c r="EF52580"/>
      <c r="EG52580"/>
      <c r="EH52580"/>
      <c r="EI52580"/>
      <c r="EJ52580"/>
      <c r="EK52580"/>
    </row>
    <row r="52581" spans="1:141" s="116" customFormat="1">
      <c r="A52581" s="136"/>
      <c r="CM52581" s="111"/>
      <c r="CQ52581" s="111"/>
      <c r="EF52581"/>
      <c r="EG52581"/>
      <c r="EH52581"/>
      <c r="EI52581"/>
      <c r="EJ52581"/>
      <c r="EK52581"/>
    </row>
    <row r="52582" spans="1:141" s="116" customFormat="1">
      <c r="A52582" s="136"/>
      <c r="CM52582" s="111"/>
      <c r="CQ52582" s="111"/>
      <c r="EF52582"/>
      <c r="EG52582"/>
      <c r="EH52582"/>
      <c r="EI52582"/>
      <c r="EJ52582"/>
      <c r="EK52582"/>
    </row>
    <row r="52583" spans="1:141" s="116" customFormat="1">
      <c r="A52583" s="136"/>
      <c r="CM52583" s="111"/>
      <c r="CQ52583" s="111"/>
      <c r="EF52583"/>
      <c r="EG52583"/>
      <c r="EH52583"/>
      <c r="EI52583"/>
      <c r="EJ52583"/>
      <c r="EK52583"/>
    </row>
    <row r="52584" spans="1:141" s="116" customFormat="1">
      <c r="A52584" s="136"/>
      <c r="CM52584" s="111"/>
      <c r="CQ52584" s="111"/>
      <c r="EF52584"/>
      <c r="EG52584"/>
      <c r="EH52584"/>
      <c r="EI52584"/>
      <c r="EJ52584"/>
      <c r="EK52584"/>
    </row>
    <row r="52585" spans="1:141" s="116" customFormat="1">
      <c r="A52585" s="136"/>
      <c r="CM52585" s="111"/>
      <c r="CQ52585" s="111"/>
      <c r="EF52585"/>
      <c r="EG52585"/>
      <c r="EH52585"/>
      <c r="EI52585"/>
      <c r="EJ52585"/>
      <c r="EK52585"/>
    </row>
    <row r="52586" spans="1:141" s="116" customFormat="1">
      <c r="A52586" s="136"/>
      <c r="CM52586" s="111"/>
      <c r="CQ52586" s="111"/>
      <c r="EF52586"/>
      <c r="EG52586"/>
      <c r="EH52586"/>
      <c r="EI52586"/>
      <c r="EJ52586"/>
      <c r="EK52586"/>
    </row>
    <row r="52587" spans="1:141" s="116" customFormat="1">
      <c r="A52587" s="136"/>
      <c r="CM52587" s="111"/>
      <c r="CQ52587" s="111"/>
      <c r="EF52587"/>
      <c r="EG52587"/>
      <c r="EH52587"/>
      <c r="EI52587"/>
      <c r="EJ52587"/>
      <c r="EK52587"/>
    </row>
    <row r="52588" spans="1:141" s="116" customFormat="1">
      <c r="A52588" s="136"/>
      <c r="CM52588" s="111"/>
      <c r="CQ52588" s="111"/>
      <c r="EF52588"/>
      <c r="EG52588"/>
      <c r="EH52588"/>
      <c r="EI52588"/>
      <c r="EJ52588"/>
      <c r="EK52588"/>
    </row>
    <row r="52589" spans="1:141" s="116" customFormat="1">
      <c r="A52589" s="136"/>
      <c r="CM52589" s="111"/>
      <c r="CQ52589" s="111"/>
      <c r="EF52589"/>
      <c r="EG52589"/>
      <c r="EH52589"/>
      <c r="EI52589"/>
      <c r="EJ52589"/>
      <c r="EK52589"/>
    </row>
    <row r="52590" spans="1:141" s="116" customFormat="1">
      <c r="A52590" s="136"/>
      <c r="CM52590" s="111"/>
      <c r="CQ52590" s="111"/>
      <c r="EF52590"/>
      <c r="EG52590"/>
      <c r="EH52590"/>
      <c r="EI52590"/>
      <c r="EJ52590"/>
      <c r="EK52590"/>
    </row>
    <row r="52591" spans="1:141" s="116" customFormat="1">
      <c r="A52591" s="136"/>
      <c r="CM52591" s="111"/>
      <c r="CQ52591" s="111"/>
      <c r="EF52591"/>
      <c r="EG52591"/>
      <c r="EH52591"/>
      <c r="EI52591"/>
      <c r="EJ52591"/>
      <c r="EK52591"/>
    </row>
    <row r="52592" spans="1:141" s="116" customFormat="1">
      <c r="A52592" s="136"/>
      <c r="CM52592" s="111"/>
      <c r="CQ52592" s="111"/>
      <c r="EF52592"/>
      <c r="EG52592"/>
      <c r="EH52592"/>
      <c r="EI52592"/>
      <c r="EJ52592"/>
      <c r="EK52592"/>
    </row>
    <row r="52593" spans="1:141" s="116" customFormat="1">
      <c r="A52593" s="136"/>
      <c r="CM52593" s="111"/>
      <c r="CQ52593" s="111"/>
      <c r="EF52593"/>
      <c r="EG52593"/>
      <c r="EH52593"/>
      <c r="EI52593"/>
      <c r="EJ52593"/>
      <c r="EK52593"/>
    </row>
    <row r="52594" spans="1:141" s="116" customFormat="1">
      <c r="A52594" s="136"/>
      <c r="CM52594" s="111"/>
      <c r="CQ52594" s="111"/>
      <c r="EF52594"/>
      <c r="EG52594"/>
      <c r="EH52594"/>
      <c r="EI52594"/>
      <c r="EJ52594"/>
      <c r="EK52594"/>
    </row>
    <row r="52595" spans="1:141" s="116" customFormat="1">
      <c r="A52595" s="136"/>
      <c r="CM52595" s="111"/>
      <c r="CQ52595" s="111"/>
      <c r="EF52595"/>
      <c r="EG52595"/>
      <c r="EH52595"/>
      <c r="EI52595"/>
      <c r="EJ52595"/>
      <c r="EK52595"/>
    </row>
    <row r="52596" spans="1:141" s="116" customFormat="1">
      <c r="A52596" s="136"/>
      <c r="CM52596" s="111"/>
      <c r="CQ52596" s="111"/>
      <c r="EF52596"/>
      <c r="EG52596"/>
      <c r="EH52596"/>
      <c r="EI52596"/>
      <c r="EJ52596"/>
      <c r="EK52596"/>
    </row>
    <row r="52597" spans="1:141" s="116" customFormat="1">
      <c r="A52597" s="136"/>
      <c r="CM52597" s="111"/>
      <c r="CQ52597" s="111"/>
      <c r="EF52597"/>
      <c r="EG52597"/>
      <c r="EH52597"/>
      <c r="EI52597"/>
      <c r="EJ52597"/>
      <c r="EK52597"/>
    </row>
    <row r="52598" spans="1:141" s="116" customFormat="1">
      <c r="A52598" s="136"/>
      <c r="CM52598" s="111"/>
      <c r="CQ52598" s="111"/>
      <c r="EF52598"/>
      <c r="EG52598"/>
      <c r="EH52598"/>
      <c r="EI52598"/>
      <c r="EJ52598"/>
      <c r="EK52598"/>
    </row>
    <row r="52599" spans="1:141" s="116" customFormat="1">
      <c r="A52599" s="136"/>
      <c r="CM52599" s="111"/>
      <c r="CQ52599" s="111"/>
      <c r="EF52599"/>
      <c r="EG52599"/>
      <c r="EH52599"/>
      <c r="EI52599"/>
      <c r="EJ52599"/>
      <c r="EK52599"/>
    </row>
    <row r="52600" spans="1:141" s="116" customFormat="1">
      <c r="A52600" s="136"/>
      <c r="CM52600" s="111"/>
      <c r="CQ52600" s="111"/>
      <c r="EF52600"/>
      <c r="EG52600"/>
      <c r="EH52600"/>
      <c r="EI52600"/>
      <c r="EJ52600"/>
      <c r="EK52600"/>
    </row>
    <row r="52601" spans="1:141" s="116" customFormat="1">
      <c r="A52601" s="136"/>
      <c r="CM52601" s="111"/>
      <c r="CQ52601" s="111"/>
      <c r="EF52601"/>
      <c r="EG52601"/>
      <c r="EH52601"/>
      <c r="EI52601"/>
      <c r="EJ52601"/>
      <c r="EK52601"/>
    </row>
    <row r="52602" spans="1:141" s="116" customFormat="1">
      <c r="A52602" s="136"/>
      <c r="CM52602" s="111"/>
      <c r="CQ52602" s="111"/>
      <c r="EF52602"/>
      <c r="EG52602"/>
      <c r="EH52602"/>
      <c r="EI52602"/>
      <c r="EJ52602"/>
      <c r="EK52602"/>
    </row>
    <row r="52603" spans="1:141" s="116" customFormat="1">
      <c r="A52603" s="136"/>
      <c r="CM52603" s="111"/>
      <c r="CQ52603" s="111"/>
      <c r="EF52603"/>
      <c r="EG52603"/>
      <c r="EH52603"/>
      <c r="EI52603"/>
      <c r="EJ52603"/>
      <c r="EK52603"/>
    </row>
    <row r="52604" spans="1:141" s="116" customFormat="1">
      <c r="A52604" s="136"/>
      <c r="CM52604" s="111"/>
      <c r="CQ52604" s="111"/>
      <c r="EF52604"/>
      <c r="EG52604"/>
      <c r="EH52604"/>
      <c r="EI52604"/>
      <c r="EJ52604"/>
      <c r="EK52604"/>
    </row>
    <row r="52605" spans="1:141" s="116" customFormat="1">
      <c r="A52605" s="136"/>
      <c r="CM52605" s="111"/>
      <c r="CQ52605" s="111"/>
      <c r="EF52605"/>
      <c r="EG52605"/>
      <c r="EH52605"/>
      <c r="EI52605"/>
      <c r="EJ52605"/>
      <c r="EK52605"/>
    </row>
    <row r="52606" spans="1:141" s="116" customFormat="1">
      <c r="A52606" s="136"/>
      <c r="CM52606" s="111"/>
      <c r="CQ52606" s="111"/>
      <c r="EF52606"/>
      <c r="EG52606"/>
      <c r="EH52606"/>
      <c r="EI52606"/>
      <c r="EJ52606"/>
      <c r="EK52606"/>
    </row>
    <row r="52607" spans="1:141" s="116" customFormat="1">
      <c r="A52607" s="136"/>
      <c r="CM52607" s="111"/>
      <c r="CQ52607" s="111"/>
      <c r="EF52607"/>
      <c r="EG52607"/>
      <c r="EH52607"/>
      <c r="EI52607"/>
      <c r="EJ52607"/>
      <c r="EK52607"/>
    </row>
    <row r="52608" spans="1:141" s="116" customFormat="1">
      <c r="A52608" s="136"/>
      <c r="CM52608" s="111"/>
      <c r="CQ52608" s="111"/>
      <c r="EF52608"/>
      <c r="EG52608"/>
      <c r="EH52608"/>
      <c r="EI52608"/>
      <c r="EJ52608"/>
      <c r="EK52608"/>
    </row>
    <row r="52609" spans="1:141" s="116" customFormat="1">
      <c r="A52609" s="136"/>
      <c r="CM52609" s="111"/>
      <c r="CQ52609" s="111"/>
      <c r="EF52609"/>
      <c r="EG52609"/>
      <c r="EH52609"/>
      <c r="EI52609"/>
      <c r="EJ52609"/>
      <c r="EK52609"/>
    </row>
    <row r="52610" spans="1:141" s="116" customFormat="1">
      <c r="A52610" s="136"/>
      <c r="CM52610" s="111"/>
      <c r="CQ52610" s="111"/>
      <c r="EF52610"/>
      <c r="EG52610"/>
      <c r="EH52610"/>
      <c r="EI52610"/>
      <c r="EJ52610"/>
      <c r="EK52610"/>
    </row>
    <row r="52611" spans="1:141" s="116" customFormat="1">
      <c r="A52611" s="136"/>
      <c r="CM52611" s="111"/>
      <c r="CQ52611" s="111"/>
      <c r="EF52611"/>
      <c r="EG52611"/>
      <c r="EH52611"/>
      <c r="EI52611"/>
      <c r="EJ52611"/>
      <c r="EK52611"/>
    </row>
    <row r="52612" spans="1:141" s="116" customFormat="1">
      <c r="A52612" s="136"/>
      <c r="CM52612" s="111"/>
      <c r="CQ52612" s="111"/>
      <c r="EF52612"/>
      <c r="EG52612"/>
      <c r="EH52612"/>
      <c r="EI52612"/>
      <c r="EJ52612"/>
      <c r="EK52612"/>
    </row>
    <row r="52613" spans="1:141" s="116" customFormat="1">
      <c r="A52613" s="136"/>
      <c r="CM52613" s="111"/>
      <c r="CQ52613" s="111"/>
      <c r="EF52613"/>
      <c r="EG52613"/>
      <c r="EH52613"/>
      <c r="EI52613"/>
      <c r="EJ52613"/>
      <c r="EK52613"/>
    </row>
    <row r="52614" spans="1:141" s="116" customFormat="1">
      <c r="A52614" s="136"/>
      <c r="CM52614" s="111"/>
      <c r="CQ52614" s="111"/>
      <c r="EF52614"/>
      <c r="EG52614"/>
      <c r="EH52614"/>
      <c r="EI52614"/>
      <c r="EJ52614"/>
      <c r="EK52614"/>
    </row>
    <row r="52615" spans="1:141" s="116" customFormat="1">
      <c r="A52615" s="136"/>
      <c r="CM52615" s="111"/>
      <c r="CQ52615" s="111"/>
      <c r="EF52615"/>
      <c r="EG52615"/>
      <c r="EH52615"/>
      <c r="EI52615"/>
      <c r="EJ52615"/>
      <c r="EK52615"/>
    </row>
    <row r="52616" spans="1:141" s="116" customFormat="1">
      <c r="A52616" s="136"/>
      <c r="CM52616" s="111"/>
      <c r="CQ52616" s="111"/>
      <c r="EF52616"/>
      <c r="EG52616"/>
      <c r="EH52616"/>
      <c r="EI52616"/>
      <c r="EJ52616"/>
      <c r="EK52616"/>
    </row>
    <row r="52617" spans="1:141" s="116" customFormat="1">
      <c r="A52617" s="136"/>
      <c r="CM52617" s="111"/>
      <c r="CQ52617" s="111"/>
      <c r="EF52617"/>
      <c r="EG52617"/>
      <c r="EH52617"/>
      <c r="EI52617"/>
      <c r="EJ52617"/>
      <c r="EK52617"/>
    </row>
    <row r="52618" spans="1:141" s="116" customFormat="1">
      <c r="A52618" s="136"/>
      <c r="CM52618" s="111"/>
      <c r="CQ52618" s="111"/>
      <c r="EF52618"/>
      <c r="EG52618"/>
      <c r="EH52618"/>
      <c r="EI52618"/>
      <c r="EJ52618"/>
      <c r="EK52618"/>
    </row>
    <row r="52619" spans="1:141" s="116" customFormat="1">
      <c r="A52619" s="136"/>
      <c r="CM52619" s="111"/>
      <c r="CQ52619" s="111"/>
      <c r="EF52619"/>
      <c r="EG52619"/>
      <c r="EH52619"/>
      <c r="EI52619"/>
      <c r="EJ52619"/>
      <c r="EK52619"/>
    </row>
    <row r="52620" spans="1:141" s="116" customFormat="1">
      <c r="A52620" s="136"/>
      <c r="CM52620" s="111"/>
      <c r="CQ52620" s="111"/>
      <c r="EF52620"/>
      <c r="EG52620"/>
      <c r="EH52620"/>
      <c r="EI52620"/>
      <c r="EJ52620"/>
      <c r="EK52620"/>
    </row>
    <row r="52621" spans="1:141" s="116" customFormat="1">
      <c r="A52621" s="136"/>
      <c r="CM52621" s="111"/>
      <c r="CQ52621" s="111"/>
      <c r="EF52621"/>
      <c r="EG52621"/>
      <c r="EH52621"/>
      <c r="EI52621"/>
      <c r="EJ52621"/>
      <c r="EK52621"/>
    </row>
    <row r="52622" spans="1:141" s="116" customFormat="1">
      <c r="A52622" s="136"/>
      <c r="CM52622" s="111"/>
      <c r="CQ52622" s="111"/>
      <c r="EF52622"/>
      <c r="EG52622"/>
      <c r="EH52622"/>
      <c r="EI52622"/>
      <c r="EJ52622"/>
      <c r="EK52622"/>
    </row>
    <row r="52623" spans="1:141" s="116" customFormat="1">
      <c r="A52623" s="136"/>
      <c r="CM52623" s="111"/>
      <c r="CQ52623" s="111"/>
      <c r="EF52623"/>
      <c r="EG52623"/>
      <c r="EH52623"/>
      <c r="EI52623"/>
      <c r="EJ52623"/>
      <c r="EK52623"/>
    </row>
    <row r="52624" spans="1:141" s="116" customFormat="1">
      <c r="A52624" s="136"/>
      <c r="CM52624" s="111"/>
      <c r="CQ52624" s="111"/>
      <c r="EF52624"/>
      <c r="EG52624"/>
      <c r="EH52624"/>
      <c r="EI52624"/>
      <c r="EJ52624"/>
      <c r="EK52624"/>
    </row>
    <row r="52625" spans="1:141" s="116" customFormat="1">
      <c r="A52625" s="136"/>
      <c r="CM52625" s="111"/>
      <c r="CQ52625" s="111"/>
      <c r="EF52625"/>
      <c r="EG52625"/>
      <c r="EH52625"/>
      <c r="EI52625"/>
      <c r="EJ52625"/>
      <c r="EK52625"/>
    </row>
    <row r="52626" spans="1:141" s="116" customFormat="1">
      <c r="A52626" s="136"/>
      <c r="CM52626" s="111"/>
      <c r="CQ52626" s="111"/>
      <c r="EF52626"/>
      <c r="EG52626"/>
      <c r="EH52626"/>
      <c r="EI52626"/>
      <c r="EJ52626"/>
      <c r="EK52626"/>
    </row>
    <row r="52627" spans="1:141" s="116" customFormat="1">
      <c r="A52627" s="136"/>
      <c r="CM52627" s="111"/>
      <c r="CQ52627" s="111"/>
      <c r="EF52627"/>
      <c r="EG52627"/>
      <c r="EH52627"/>
      <c r="EI52627"/>
      <c r="EJ52627"/>
      <c r="EK52627"/>
    </row>
    <row r="52628" spans="1:141" s="116" customFormat="1">
      <c r="A52628" s="136"/>
      <c r="CM52628" s="111"/>
      <c r="CQ52628" s="111"/>
      <c r="EF52628"/>
      <c r="EG52628"/>
      <c r="EH52628"/>
      <c r="EI52628"/>
      <c r="EJ52628"/>
      <c r="EK52628"/>
    </row>
    <row r="52629" spans="1:141" s="116" customFormat="1">
      <c r="A52629" s="136"/>
      <c r="CM52629" s="111"/>
      <c r="CQ52629" s="111"/>
      <c r="EF52629"/>
      <c r="EG52629"/>
      <c r="EH52629"/>
      <c r="EI52629"/>
      <c r="EJ52629"/>
      <c r="EK52629"/>
    </row>
    <row r="52630" spans="1:141" s="116" customFormat="1">
      <c r="A52630" s="136"/>
      <c r="CM52630" s="111"/>
      <c r="CQ52630" s="111"/>
      <c r="EF52630"/>
      <c r="EG52630"/>
      <c r="EH52630"/>
      <c r="EI52630"/>
      <c r="EJ52630"/>
      <c r="EK52630"/>
    </row>
    <row r="52631" spans="1:141" s="116" customFormat="1">
      <c r="A52631" s="136"/>
      <c r="CM52631" s="111"/>
      <c r="CQ52631" s="111"/>
      <c r="EF52631"/>
      <c r="EG52631"/>
      <c r="EH52631"/>
      <c r="EI52631"/>
      <c r="EJ52631"/>
      <c r="EK52631"/>
    </row>
    <row r="52632" spans="1:141" s="116" customFormat="1">
      <c r="A52632" s="136"/>
      <c r="CM52632" s="111"/>
      <c r="CQ52632" s="111"/>
      <c r="EF52632"/>
      <c r="EG52632"/>
      <c r="EH52632"/>
      <c r="EI52632"/>
      <c r="EJ52632"/>
      <c r="EK52632"/>
    </row>
    <row r="52633" spans="1:141" s="116" customFormat="1">
      <c r="A52633" s="136"/>
      <c r="CM52633" s="111"/>
      <c r="CQ52633" s="111"/>
      <c r="EF52633"/>
      <c r="EG52633"/>
      <c r="EH52633"/>
      <c r="EI52633"/>
      <c r="EJ52633"/>
      <c r="EK52633"/>
    </row>
    <row r="52634" spans="1:141" s="116" customFormat="1">
      <c r="A52634" s="136"/>
      <c r="CM52634" s="111"/>
      <c r="CQ52634" s="111"/>
      <c r="EF52634"/>
      <c r="EG52634"/>
      <c r="EH52634"/>
      <c r="EI52634"/>
      <c r="EJ52634"/>
      <c r="EK52634"/>
    </row>
    <row r="52635" spans="1:141" s="116" customFormat="1">
      <c r="A52635" s="136"/>
      <c r="CM52635" s="111"/>
      <c r="CQ52635" s="111"/>
      <c r="EF52635"/>
      <c r="EG52635"/>
      <c r="EH52635"/>
      <c r="EI52635"/>
      <c r="EJ52635"/>
      <c r="EK52635"/>
    </row>
    <row r="52636" spans="1:141" s="116" customFormat="1">
      <c r="A52636" s="136"/>
      <c r="CM52636" s="111"/>
      <c r="CQ52636" s="111"/>
      <c r="EF52636"/>
      <c r="EG52636"/>
      <c r="EH52636"/>
      <c r="EI52636"/>
      <c r="EJ52636"/>
      <c r="EK52636"/>
    </row>
    <row r="52637" spans="1:141" s="116" customFormat="1">
      <c r="A52637" s="136"/>
      <c r="CM52637" s="111"/>
      <c r="CQ52637" s="111"/>
      <c r="EF52637"/>
      <c r="EG52637"/>
      <c r="EH52637"/>
      <c r="EI52637"/>
      <c r="EJ52637"/>
      <c r="EK52637"/>
    </row>
    <row r="52638" spans="1:141" s="116" customFormat="1">
      <c r="A52638" s="136"/>
      <c r="CM52638" s="111"/>
      <c r="CQ52638" s="111"/>
      <c r="EF52638"/>
      <c r="EG52638"/>
      <c r="EH52638"/>
      <c r="EI52638"/>
      <c r="EJ52638"/>
      <c r="EK52638"/>
    </row>
    <row r="52639" spans="1:141" s="116" customFormat="1">
      <c r="A52639" s="136"/>
      <c r="CM52639" s="111"/>
      <c r="CQ52639" s="111"/>
      <c r="EF52639"/>
      <c r="EG52639"/>
      <c r="EH52639"/>
      <c r="EI52639"/>
      <c r="EJ52639"/>
      <c r="EK52639"/>
    </row>
    <row r="52640" spans="1:141" s="116" customFormat="1">
      <c r="A52640" s="136"/>
      <c r="CM52640" s="111"/>
      <c r="CQ52640" s="111"/>
      <c r="EF52640"/>
      <c r="EG52640"/>
      <c r="EH52640"/>
      <c r="EI52640"/>
      <c r="EJ52640"/>
      <c r="EK52640"/>
    </row>
    <row r="52641" spans="1:141" s="116" customFormat="1">
      <c r="A52641" s="136"/>
      <c r="CM52641" s="111"/>
      <c r="CQ52641" s="111"/>
      <c r="EF52641"/>
      <c r="EG52641"/>
      <c r="EH52641"/>
      <c r="EI52641"/>
      <c r="EJ52641"/>
      <c r="EK52641"/>
    </row>
    <row r="52642" spans="1:141" s="116" customFormat="1">
      <c r="A52642" s="136"/>
      <c r="CM52642" s="111"/>
      <c r="CQ52642" s="111"/>
      <c r="EF52642"/>
      <c r="EG52642"/>
      <c r="EH52642"/>
      <c r="EI52642"/>
      <c r="EJ52642"/>
      <c r="EK52642"/>
    </row>
    <row r="52643" spans="1:141" s="116" customFormat="1">
      <c r="A52643" s="136"/>
      <c r="CM52643" s="111"/>
      <c r="CQ52643" s="111"/>
      <c r="EF52643"/>
      <c r="EG52643"/>
      <c r="EH52643"/>
      <c r="EI52643"/>
      <c r="EJ52643"/>
      <c r="EK52643"/>
    </row>
    <row r="52644" spans="1:141" s="116" customFormat="1">
      <c r="A52644" s="136"/>
      <c r="CM52644" s="111"/>
      <c r="CQ52644" s="111"/>
      <c r="EF52644"/>
      <c r="EG52644"/>
      <c r="EH52644"/>
      <c r="EI52644"/>
      <c r="EJ52644"/>
      <c r="EK52644"/>
    </row>
    <row r="52645" spans="1:141" s="116" customFormat="1">
      <c r="A52645" s="136"/>
      <c r="CM52645" s="111"/>
      <c r="CQ52645" s="111"/>
      <c r="EF52645"/>
      <c r="EG52645"/>
      <c r="EH52645"/>
      <c r="EI52645"/>
      <c r="EJ52645"/>
      <c r="EK52645"/>
    </row>
    <row r="52646" spans="1:141" s="116" customFormat="1">
      <c r="A52646" s="136"/>
      <c r="CM52646" s="111"/>
      <c r="CQ52646" s="111"/>
      <c r="EF52646"/>
      <c r="EG52646"/>
      <c r="EH52646"/>
      <c r="EI52646"/>
      <c r="EJ52646"/>
      <c r="EK52646"/>
    </row>
    <row r="52647" spans="1:141" s="116" customFormat="1">
      <c r="A52647" s="136"/>
      <c r="CM52647" s="111"/>
      <c r="CQ52647" s="111"/>
      <c r="EF52647"/>
      <c r="EG52647"/>
      <c r="EH52647"/>
      <c r="EI52647"/>
      <c r="EJ52647"/>
      <c r="EK52647"/>
    </row>
    <row r="52648" spans="1:141" s="116" customFormat="1">
      <c r="A52648" s="136"/>
      <c r="CM52648" s="111"/>
      <c r="CQ52648" s="111"/>
      <c r="EF52648"/>
      <c r="EG52648"/>
      <c r="EH52648"/>
      <c r="EI52648"/>
      <c r="EJ52648"/>
      <c r="EK52648"/>
    </row>
    <row r="52649" spans="1:141" s="116" customFormat="1">
      <c r="A52649" s="136"/>
      <c r="CM52649" s="111"/>
      <c r="CQ52649" s="111"/>
      <c r="EF52649"/>
      <c r="EG52649"/>
      <c r="EH52649"/>
      <c r="EI52649"/>
      <c r="EJ52649"/>
      <c r="EK52649"/>
    </row>
    <row r="52650" spans="1:141" s="116" customFormat="1">
      <c r="A52650" s="136"/>
      <c r="CM52650" s="111"/>
      <c r="CQ52650" s="111"/>
      <c r="EF52650"/>
      <c r="EG52650"/>
      <c r="EH52650"/>
      <c r="EI52650"/>
      <c r="EJ52650"/>
      <c r="EK52650"/>
    </row>
    <row r="52651" spans="1:141" s="116" customFormat="1">
      <c r="A52651" s="136"/>
      <c r="CM52651" s="111"/>
      <c r="CQ52651" s="111"/>
      <c r="EF52651"/>
      <c r="EG52651"/>
      <c r="EH52651"/>
      <c r="EI52651"/>
      <c r="EJ52651"/>
      <c r="EK52651"/>
    </row>
    <row r="52652" spans="1:141" s="116" customFormat="1">
      <c r="A52652" s="136"/>
      <c r="CM52652" s="111"/>
      <c r="CQ52652" s="111"/>
      <c r="EF52652"/>
      <c r="EG52652"/>
      <c r="EH52652"/>
      <c r="EI52652"/>
      <c r="EJ52652"/>
      <c r="EK52652"/>
    </row>
    <row r="52653" spans="1:141" s="116" customFormat="1">
      <c r="A52653" s="136"/>
      <c r="CM52653" s="111"/>
      <c r="CQ52653" s="111"/>
      <c r="EF52653"/>
      <c r="EG52653"/>
      <c r="EH52653"/>
      <c r="EI52653"/>
      <c r="EJ52653"/>
      <c r="EK52653"/>
    </row>
    <row r="52654" spans="1:141" s="116" customFormat="1">
      <c r="A52654" s="136"/>
      <c r="CM52654" s="111"/>
      <c r="CQ52654" s="111"/>
      <c r="EF52654"/>
      <c r="EG52654"/>
      <c r="EH52654"/>
      <c r="EI52654"/>
      <c r="EJ52654"/>
      <c r="EK52654"/>
    </row>
    <row r="52655" spans="1:141" s="116" customFormat="1">
      <c r="A52655" s="136"/>
      <c r="CM52655" s="111"/>
      <c r="CQ52655" s="111"/>
      <c r="EF52655"/>
      <c r="EG52655"/>
      <c r="EH52655"/>
      <c r="EI52655"/>
      <c r="EJ52655"/>
      <c r="EK52655"/>
    </row>
    <row r="52656" spans="1:141" s="116" customFormat="1">
      <c r="A52656" s="136"/>
      <c r="CM52656" s="111"/>
      <c r="CQ52656" s="111"/>
      <c r="EF52656"/>
      <c r="EG52656"/>
      <c r="EH52656"/>
      <c r="EI52656"/>
      <c r="EJ52656"/>
      <c r="EK52656"/>
    </row>
    <row r="52657" spans="1:141" s="116" customFormat="1">
      <c r="A52657" s="136"/>
      <c r="CM52657" s="111"/>
      <c r="CQ52657" s="111"/>
      <c r="EF52657"/>
      <c r="EG52657"/>
      <c r="EH52657"/>
      <c r="EI52657"/>
      <c r="EJ52657"/>
      <c r="EK52657"/>
    </row>
    <row r="52658" spans="1:141" s="116" customFormat="1">
      <c r="A52658" s="136"/>
      <c r="CM52658" s="111"/>
      <c r="CQ52658" s="111"/>
      <c r="EF52658"/>
      <c r="EG52658"/>
      <c r="EH52658"/>
      <c r="EI52658"/>
      <c r="EJ52658"/>
      <c r="EK52658"/>
    </row>
    <row r="52659" spans="1:141" s="116" customFormat="1">
      <c r="A52659" s="136"/>
      <c r="CM52659" s="111"/>
      <c r="CQ52659" s="111"/>
      <c r="EF52659"/>
      <c r="EG52659"/>
      <c r="EH52659"/>
      <c r="EI52659"/>
      <c r="EJ52659"/>
      <c r="EK52659"/>
    </row>
    <row r="52660" spans="1:141" s="116" customFormat="1">
      <c r="A52660" s="136"/>
      <c r="CM52660" s="111"/>
      <c r="CQ52660" s="111"/>
      <c r="EF52660"/>
      <c r="EG52660"/>
      <c r="EH52660"/>
      <c r="EI52660"/>
      <c r="EJ52660"/>
      <c r="EK52660"/>
    </row>
    <row r="52661" spans="1:141" s="116" customFormat="1">
      <c r="A52661" s="136"/>
      <c r="CM52661" s="111"/>
      <c r="CQ52661" s="111"/>
      <c r="EF52661"/>
      <c r="EG52661"/>
      <c r="EH52661"/>
      <c r="EI52661"/>
      <c r="EJ52661"/>
      <c r="EK52661"/>
    </row>
    <row r="52662" spans="1:141" s="116" customFormat="1">
      <c r="A52662" s="136"/>
      <c r="CM52662" s="111"/>
      <c r="CQ52662" s="111"/>
      <c r="EF52662"/>
      <c r="EG52662"/>
      <c r="EH52662"/>
      <c r="EI52662"/>
      <c r="EJ52662"/>
      <c r="EK52662"/>
    </row>
    <row r="52663" spans="1:141" s="116" customFormat="1">
      <c r="A52663" s="136"/>
      <c r="CM52663" s="111"/>
      <c r="CQ52663" s="111"/>
      <c r="EF52663"/>
      <c r="EG52663"/>
      <c r="EH52663"/>
      <c r="EI52663"/>
      <c r="EJ52663"/>
      <c r="EK52663"/>
    </row>
    <row r="52664" spans="1:141" s="116" customFormat="1">
      <c r="A52664" s="136"/>
      <c r="CM52664" s="111"/>
      <c r="CQ52664" s="111"/>
      <c r="EF52664"/>
      <c r="EG52664"/>
      <c r="EH52664"/>
      <c r="EI52664"/>
      <c r="EJ52664"/>
      <c r="EK52664"/>
    </row>
    <row r="52665" spans="1:141" s="116" customFormat="1">
      <c r="A52665" s="136"/>
      <c r="CM52665" s="111"/>
      <c r="CQ52665" s="111"/>
      <c r="EF52665"/>
      <c r="EG52665"/>
      <c r="EH52665"/>
      <c r="EI52665"/>
      <c r="EJ52665"/>
      <c r="EK52665"/>
    </row>
    <row r="52666" spans="1:141" s="116" customFormat="1">
      <c r="A52666" s="136"/>
      <c r="CM52666" s="111"/>
      <c r="CQ52666" s="111"/>
      <c r="EF52666"/>
      <c r="EG52666"/>
      <c r="EH52666"/>
      <c r="EI52666"/>
      <c r="EJ52666"/>
      <c r="EK52666"/>
    </row>
    <row r="52667" spans="1:141" s="116" customFormat="1">
      <c r="A52667" s="136"/>
      <c r="CM52667" s="111"/>
      <c r="CQ52667" s="111"/>
      <c r="EF52667"/>
      <c r="EG52667"/>
      <c r="EH52667"/>
      <c r="EI52667"/>
      <c r="EJ52667"/>
      <c r="EK52667"/>
    </row>
    <row r="52668" spans="1:141" s="116" customFormat="1">
      <c r="A52668" s="136"/>
      <c r="CM52668" s="111"/>
      <c r="CQ52668" s="111"/>
      <c r="EF52668"/>
      <c r="EG52668"/>
      <c r="EH52668"/>
      <c r="EI52668"/>
      <c r="EJ52668"/>
      <c r="EK52668"/>
    </row>
    <row r="52669" spans="1:141" s="116" customFormat="1">
      <c r="A52669" s="136"/>
      <c r="CM52669" s="111"/>
      <c r="CQ52669" s="111"/>
      <c r="EF52669"/>
      <c r="EG52669"/>
      <c r="EH52669"/>
      <c r="EI52669"/>
      <c r="EJ52669"/>
      <c r="EK52669"/>
    </row>
    <row r="52670" spans="1:141" s="116" customFormat="1">
      <c r="A52670" s="136"/>
      <c r="CM52670" s="111"/>
      <c r="CQ52670" s="111"/>
      <c r="EF52670"/>
      <c r="EG52670"/>
      <c r="EH52670"/>
      <c r="EI52670"/>
      <c r="EJ52670"/>
      <c r="EK52670"/>
    </row>
    <row r="52671" spans="1:141" s="116" customFormat="1">
      <c r="A52671" s="136"/>
      <c r="CM52671" s="111"/>
      <c r="CQ52671" s="111"/>
      <c r="EF52671"/>
      <c r="EG52671"/>
      <c r="EH52671"/>
      <c r="EI52671"/>
      <c r="EJ52671"/>
      <c r="EK52671"/>
    </row>
    <row r="52672" spans="1:141" s="116" customFormat="1">
      <c r="A52672" s="136"/>
      <c r="CM52672" s="111"/>
      <c r="CQ52672" s="111"/>
      <c r="EF52672"/>
      <c r="EG52672"/>
      <c r="EH52672"/>
      <c r="EI52672"/>
      <c r="EJ52672"/>
      <c r="EK52672"/>
    </row>
    <row r="52673" spans="1:141" s="116" customFormat="1">
      <c r="A52673" s="136"/>
      <c r="CM52673" s="111"/>
      <c r="CQ52673" s="111"/>
      <c r="EF52673"/>
      <c r="EG52673"/>
      <c r="EH52673"/>
      <c r="EI52673"/>
      <c r="EJ52673"/>
      <c r="EK52673"/>
    </row>
    <row r="52674" spans="1:141" s="116" customFormat="1">
      <c r="A52674" s="136"/>
      <c r="CM52674" s="111"/>
      <c r="CQ52674" s="111"/>
      <c r="EF52674"/>
      <c r="EG52674"/>
      <c r="EH52674"/>
      <c r="EI52674"/>
      <c r="EJ52674"/>
      <c r="EK52674"/>
    </row>
    <row r="52675" spans="1:141" s="116" customFormat="1">
      <c r="A52675" s="136"/>
      <c r="CM52675" s="111"/>
      <c r="CQ52675" s="111"/>
      <c r="EF52675"/>
      <c r="EG52675"/>
      <c r="EH52675"/>
      <c r="EI52675"/>
      <c r="EJ52675"/>
      <c r="EK52675"/>
    </row>
    <row r="52676" spans="1:141" s="116" customFormat="1">
      <c r="A52676" s="136"/>
      <c r="CM52676" s="111"/>
      <c r="CQ52676" s="111"/>
      <c r="EF52676"/>
      <c r="EG52676"/>
      <c r="EH52676"/>
      <c r="EI52676"/>
      <c r="EJ52676"/>
      <c r="EK52676"/>
    </row>
    <row r="52677" spans="1:141" s="116" customFormat="1">
      <c r="A52677" s="136"/>
      <c r="CM52677" s="111"/>
      <c r="CQ52677" s="111"/>
      <c r="EF52677"/>
      <c r="EG52677"/>
      <c r="EH52677"/>
      <c r="EI52677"/>
      <c r="EJ52677"/>
      <c r="EK52677"/>
    </row>
    <row r="52678" spans="1:141" s="116" customFormat="1">
      <c r="A52678" s="136"/>
      <c r="CM52678" s="111"/>
      <c r="CQ52678" s="111"/>
      <c r="EF52678"/>
      <c r="EG52678"/>
      <c r="EH52678"/>
      <c r="EI52678"/>
      <c r="EJ52678"/>
      <c r="EK52678"/>
    </row>
    <row r="52679" spans="1:141" s="116" customFormat="1">
      <c r="A52679" s="136"/>
      <c r="CM52679" s="111"/>
      <c r="CQ52679" s="111"/>
      <c r="EF52679"/>
      <c r="EG52679"/>
      <c r="EH52679"/>
      <c r="EI52679"/>
      <c r="EJ52679"/>
      <c r="EK52679"/>
    </row>
    <row r="52680" spans="1:141" s="116" customFormat="1">
      <c r="A52680" s="136"/>
      <c r="CM52680" s="111"/>
      <c r="CQ52680" s="111"/>
      <c r="EF52680"/>
      <c r="EG52680"/>
      <c r="EH52680"/>
      <c r="EI52680"/>
      <c r="EJ52680"/>
      <c r="EK52680"/>
    </row>
    <row r="52681" spans="1:141" s="116" customFormat="1">
      <c r="A52681" s="136"/>
      <c r="CM52681" s="111"/>
      <c r="CQ52681" s="111"/>
      <c r="EF52681"/>
      <c r="EG52681"/>
      <c r="EH52681"/>
      <c r="EI52681"/>
      <c r="EJ52681"/>
      <c r="EK52681"/>
    </row>
    <row r="52682" spans="1:141" s="116" customFormat="1">
      <c r="A52682" s="136"/>
      <c r="CM52682" s="111"/>
      <c r="CQ52682" s="111"/>
      <c r="EF52682"/>
      <c r="EG52682"/>
      <c r="EH52682"/>
      <c r="EI52682"/>
      <c r="EJ52682"/>
      <c r="EK52682"/>
    </row>
    <row r="52683" spans="1:141" s="116" customFormat="1">
      <c r="A52683" s="136"/>
      <c r="CM52683" s="111"/>
      <c r="CQ52683" s="111"/>
      <c r="EF52683"/>
      <c r="EG52683"/>
      <c r="EH52683"/>
      <c r="EI52683"/>
      <c r="EJ52683"/>
      <c r="EK52683"/>
    </row>
    <row r="52684" spans="1:141" s="116" customFormat="1">
      <c r="A52684" s="136"/>
      <c r="CM52684" s="111"/>
      <c r="CQ52684" s="111"/>
      <c r="EF52684"/>
      <c r="EG52684"/>
      <c r="EH52684"/>
      <c r="EI52684"/>
      <c r="EJ52684"/>
      <c r="EK52684"/>
    </row>
    <row r="52685" spans="1:141" s="116" customFormat="1">
      <c r="A52685" s="136"/>
      <c r="CM52685" s="111"/>
      <c r="CQ52685" s="111"/>
      <c r="EF52685"/>
      <c r="EG52685"/>
      <c r="EH52685"/>
      <c r="EI52685"/>
      <c r="EJ52685"/>
      <c r="EK52685"/>
    </row>
    <row r="52686" spans="1:141" s="116" customFormat="1">
      <c r="A52686" s="136"/>
      <c r="CM52686" s="111"/>
      <c r="CQ52686" s="111"/>
      <c r="EF52686"/>
      <c r="EG52686"/>
      <c r="EH52686"/>
      <c r="EI52686"/>
      <c r="EJ52686"/>
      <c r="EK52686"/>
    </row>
    <row r="52687" spans="1:141" s="116" customFormat="1">
      <c r="A52687" s="136"/>
      <c r="CM52687" s="111"/>
      <c r="CQ52687" s="111"/>
      <c r="EF52687"/>
      <c r="EG52687"/>
      <c r="EH52687"/>
      <c r="EI52687"/>
      <c r="EJ52687"/>
      <c r="EK52687"/>
    </row>
    <row r="52688" spans="1:141" s="116" customFormat="1">
      <c r="A52688" s="136"/>
      <c r="CM52688" s="111"/>
      <c r="CQ52688" s="111"/>
      <c r="EF52688"/>
      <c r="EG52688"/>
      <c r="EH52688"/>
      <c r="EI52688"/>
      <c r="EJ52688"/>
      <c r="EK52688"/>
    </row>
    <row r="52689" spans="1:141" s="116" customFormat="1">
      <c r="A52689" s="136"/>
      <c r="CM52689" s="111"/>
      <c r="CQ52689" s="111"/>
      <c r="EF52689"/>
      <c r="EG52689"/>
      <c r="EH52689"/>
      <c r="EI52689"/>
      <c r="EJ52689"/>
      <c r="EK52689"/>
    </row>
    <row r="52690" spans="1:141" s="116" customFormat="1">
      <c r="A52690" s="136"/>
      <c r="CM52690" s="111"/>
      <c r="CQ52690" s="111"/>
      <c r="EF52690"/>
      <c r="EG52690"/>
      <c r="EH52690"/>
      <c r="EI52690"/>
      <c r="EJ52690"/>
      <c r="EK52690"/>
    </row>
    <row r="52691" spans="1:141" s="116" customFormat="1">
      <c r="A52691" s="136"/>
      <c r="CM52691" s="111"/>
      <c r="CQ52691" s="111"/>
      <c r="EF52691"/>
      <c r="EG52691"/>
      <c r="EH52691"/>
      <c r="EI52691"/>
      <c r="EJ52691"/>
      <c r="EK52691"/>
    </row>
    <row r="52692" spans="1:141" s="116" customFormat="1">
      <c r="A52692" s="136"/>
      <c r="CM52692" s="111"/>
      <c r="CQ52692" s="111"/>
      <c r="EF52692"/>
      <c r="EG52692"/>
      <c r="EH52692"/>
      <c r="EI52692"/>
      <c r="EJ52692"/>
      <c r="EK52692"/>
    </row>
    <row r="52693" spans="1:141" s="116" customFormat="1">
      <c r="A52693" s="136"/>
      <c r="CM52693" s="111"/>
      <c r="CQ52693" s="111"/>
      <c r="EF52693"/>
      <c r="EG52693"/>
      <c r="EH52693"/>
      <c r="EI52693"/>
      <c r="EJ52693"/>
      <c r="EK52693"/>
    </row>
    <row r="52694" spans="1:141" s="116" customFormat="1">
      <c r="A52694" s="136"/>
      <c r="CM52694" s="111"/>
      <c r="CQ52694" s="111"/>
      <c r="EF52694"/>
      <c r="EG52694"/>
      <c r="EH52694"/>
      <c r="EI52694"/>
      <c r="EJ52694"/>
      <c r="EK52694"/>
    </row>
    <row r="52695" spans="1:141" s="116" customFormat="1">
      <c r="A52695" s="136"/>
      <c r="CM52695" s="111"/>
      <c r="CQ52695" s="111"/>
      <c r="EF52695"/>
      <c r="EG52695"/>
      <c r="EH52695"/>
      <c r="EI52695"/>
      <c r="EJ52695"/>
      <c r="EK52695"/>
    </row>
    <row r="52696" spans="1:141" s="116" customFormat="1">
      <c r="A52696" s="136"/>
      <c r="CM52696" s="111"/>
      <c r="CQ52696" s="111"/>
      <c r="EF52696"/>
      <c r="EG52696"/>
      <c r="EH52696"/>
      <c r="EI52696"/>
      <c r="EJ52696"/>
      <c r="EK52696"/>
    </row>
    <row r="52697" spans="1:141" s="116" customFormat="1">
      <c r="A52697" s="136"/>
      <c r="CM52697" s="111"/>
      <c r="CQ52697" s="111"/>
      <c r="EF52697"/>
      <c r="EG52697"/>
      <c r="EH52697"/>
      <c r="EI52697"/>
      <c r="EJ52697"/>
      <c r="EK52697"/>
    </row>
    <row r="52698" spans="1:141" s="116" customFormat="1">
      <c r="A52698" s="136"/>
      <c r="CM52698" s="111"/>
      <c r="CQ52698" s="111"/>
      <c r="EF52698"/>
      <c r="EG52698"/>
      <c r="EH52698"/>
      <c r="EI52698"/>
      <c r="EJ52698"/>
      <c r="EK52698"/>
    </row>
    <row r="52699" spans="1:141" s="116" customFormat="1">
      <c r="A52699" s="136"/>
      <c r="CM52699" s="111"/>
      <c r="CQ52699" s="111"/>
      <c r="EF52699"/>
      <c r="EG52699"/>
      <c r="EH52699"/>
      <c r="EI52699"/>
      <c r="EJ52699"/>
      <c r="EK52699"/>
    </row>
    <row r="52700" spans="1:141" s="116" customFormat="1">
      <c r="A52700" s="136"/>
      <c r="CM52700" s="111"/>
      <c r="CQ52700" s="111"/>
      <c r="EF52700"/>
      <c r="EG52700"/>
      <c r="EH52700"/>
      <c r="EI52700"/>
      <c r="EJ52700"/>
      <c r="EK52700"/>
    </row>
    <row r="52701" spans="1:141" s="116" customFormat="1">
      <c r="A52701" s="136"/>
      <c r="CM52701" s="111"/>
      <c r="CQ52701" s="111"/>
      <c r="EF52701"/>
      <c r="EG52701"/>
      <c r="EH52701"/>
      <c r="EI52701"/>
      <c r="EJ52701"/>
      <c r="EK52701"/>
    </row>
    <row r="52702" spans="1:141" s="116" customFormat="1">
      <c r="A52702" s="136"/>
      <c r="CM52702" s="111"/>
      <c r="CQ52702" s="111"/>
      <c r="EF52702"/>
      <c r="EG52702"/>
      <c r="EH52702"/>
      <c r="EI52702"/>
      <c r="EJ52702"/>
      <c r="EK52702"/>
    </row>
    <row r="52703" spans="1:141" s="116" customFormat="1">
      <c r="A52703" s="136"/>
      <c r="CM52703" s="111"/>
      <c r="CQ52703" s="111"/>
      <c r="EF52703"/>
      <c r="EG52703"/>
      <c r="EH52703"/>
      <c r="EI52703"/>
      <c r="EJ52703"/>
      <c r="EK52703"/>
    </row>
    <row r="52704" spans="1:141" s="116" customFormat="1">
      <c r="A52704" s="136"/>
      <c r="CM52704" s="111"/>
      <c r="CQ52704" s="111"/>
      <c r="EF52704"/>
      <c r="EG52704"/>
      <c r="EH52704"/>
      <c r="EI52704"/>
      <c r="EJ52704"/>
      <c r="EK52704"/>
    </row>
    <row r="52705" spans="1:141" s="116" customFormat="1">
      <c r="A52705" s="136"/>
      <c r="CM52705" s="111"/>
      <c r="CQ52705" s="111"/>
      <c r="EF52705"/>
      <c r="EG52705"/>
      <c r="EH52705"/>
      <c r="EI52705"/>
      <c r="EJ52705"/>
      <c r="EK52705"/>
    </row>
    <row r="52706" spans="1:141" s="116" customFormat="1">
      <c r="A52706" s="136"/>
      <c r="CM52706" s="111"/>
      <c r="CQ52706" s="111"/>
      <c r="EF52706"/>
      <c r="EG52706"/>
      <c r="EH52706"/>
      <c r="EI52706"/>
      <c r="EJ52706"/>
      <c r="EK52706"/>
    </row>
    <row r="52707" spans="1:141" s="116" customFormat="1">
      <c r="A52707" s="136"/>
      <c r="CM52707" s="111"/>
      <c r="CQ52707" s="111"/>
      <c r="EF52707"/>
      <c r="EG52707"/>
      <c r="EH52707"/>
      <c r="EI52707"/>
      <c r="EJ52707"/>
      <c r="EK52707"/>
    </row>
    <row r="52708" spans="1:141" s="116" customFormat="1">
      <c r="A52708" s="136"/>
      <c r="CM52708" s="111"/>
      <c r="CQ52708" s="111"/>
      <c r="EF52708"/>
      <c r="EG52708"/>
      <c r="EH52708"/>
      <c r="EI52708"/>
      <c r="EJ52708"/>
      <c r="EK52708"/>
    </row>
    <row r="52709" spans="1:141" s="116" customFormat="1">
      <c r="A52709" s="136"/>
      <c r="CM52709" s="111"/>
      <c r="CQ52709" s="111"/>
      <c r="EF52709"/>
      <c r="EG52709"/>
      <c r="EH52709"/>
      <c r="EI52709"/>
      <c r="EJ52709"/>
      <c r="EK52709"/>
    </row>
    <row r="52710" spans="1:141" s="116" customFormat="1">
      <c r="A52710" s="136"/>
      <c r="CM52710" s="111"/>
      <c r="CQ52710" s="111"/>
      <c r="EF52710"/>
      <c r="EG52710"/>
      <c r="EH52710"/>
      <c r="EI52710"/>
      <c r="EJ52710"/>
      <c r="EK52710"/>
    </row>
    <row r="52711" spans="1:141" s="116" customFormat="1">
      <c r="A52711" s="136"/>
      <c r="CM52711" s="111"/>
      <c r="CQ52711" s="111"/>
      <c r="EF52711"/>
      <c r="EG52711"/>
      <c r="EH52711"/>
      <c r="EI52711"/>
      <c r="EJ52711"/>
      <c r="EK52711"/>
    </row>
    <row r="52712" spans="1:141" s="116" customFormat="1">
      <c r="A52712" s="136"/>
      <c r="CM52712" s="111"/>
      <c r="CQ52712" s="111"/>
      <c r="EF52712"/>
      <c r="EG52712"/>
      <c r="EH52712"/>
      <c r="EI52712"/>
      <c r="EJ52712"/>
      <c r="EK52712"/>
    </row>
    <row r="52713" spans="1:141" s="116" customFormat="1">
      <c r="A52713" s="136"/>
      <c r="CM52713" s="111"/>
      <c r="CQ52713" s="111"/>
      <c r="EF52713"/>
      <c r="EG52713"/>
      <c r="EH52713"/>
      <c r="EI52713"/>
      <c r="EJ52713"/>
      <c r="EK52713"/>
    </row>
    <row r="52714" spans="1:141" s="116" customFormat="1">
      <c r="A52714" s="136"/>
      <c r="CM52714" s="111"/>
      <c r="CQ52714" s="111"/>
      <c r="EF52714"/>
      <c r="EG52714"/>
      <c r="EH52714"/>
      <c r="EI52714"/>
      <c r="EJ52714"/>
      <c r="EK52714"/>
    </row>
    <row r="52715" spans="1:141" s="116" customFormat="1">
      <c r="A52715" s="136"/>
      <c r="CM52715" s="111"/>
      <c r="CQ52715" s="111"/>
      <c r="EF52715"/>
      <c r="EG52715"/>
      <c r="EH52715"/>
      <c r="EI52715"/>
      <c r="EJ52715"/>
      <c r="EK52715"/>
    </row>
    <row r="52716" spans="1:141" s="116" customFormat="1">
      <c r="A52716" s="136"/>
      <c r="CM52716" s="111"/>
      <c r="CQ52716" s="111"/>
      <c r="EF52716"/>
      <c r="EG52716"/>
      <c r="EH52716"/>
      <c r="EI52716"/>
      <c r="EJ52716"/>
      <c r="EK52716"/>
    </row>
    <row r="52717" spans="1:141" s="116" customFormat="1">
      <c r="A52717" s="136"/>
      <c r="CM52717" s="111"/>
      <c r="CQ52717" s="111"/>
      <c r="EF52717"/>
      <c r="EG52717"/>
      <c r="EH52717"/>
      <c r="EI52717"/>
      <c r="EJ52717"/>
      <c r="EK52717"/>
    </row>
    <row r="52718" spans="1:141" s="116" customFormat="1">
      <c r="A52718" s="136"/>
      <c r="CM52718" s="111"/>
      <c r="CQ52718" s="111"/>
      <c r="EF52718"/>
      <c r="EG52718"/>
      <c r="EH52718"/>
      <c r="EI52718"/>
      <c r="EJ52718"/>
      <c r="EK52718"/>
    </row>
    <row r="52719" spans="1:141" s="116" customFormat="1">
      <c r="A52719" s="136"/>
      <c r="CM52719" s="111"/>
      <c r="CQ52719" s="111"/>
      <c r="EF52719"/>
      <c r="EG52719"/>
      <c r="EH52719"/>
      <c r="EI52719"/>
      <c r="EJ52719"/>
      <c r="EK52719"/>
    </row>
    <row r="52720" spans="1:141" s="116" customFormat="1">
      <c r="A52720" s="136"/>
      <c r="CM52720" s="111"/>
      <c r="CQ52720" s="111"/>
      <c r="EF52720"/>
      <c r="EG52720"/>
      <c r="EH52720"/>
      <c r="EI52720"/>
      <c r="EJ52720"/>
      <c r="EK52720"/>
    </row>
    <row r="52721" spans="1:141" s="116" customFormat="1">
      <c r="A52721" s="136"/>
      <c r="CM52721" s="111"/>
      <c r="CQ52721" s="111"/>
      <c r="EF52721"/>
      <c r="EG52721"/>
      <c r="EH52721"/>
      <c r="EI52721"/>
      <c r="EJ52721"/>
      <c r="EK52721"/>
    </row>
    <row r="52722" spans="1:141" s="116" customFormat="1">
      <c r="A52722" s="136"/>
      <c r="CM52722" s="111"/>
      <c r="CQ52722" s="111"/>
      <c r="EF52722"/>
      <c r="EG52722"/>
      <c r="EH52722"/>
      <c r="EI52722"/>
      <c r="EJ52722"/>
      <c r="EK52722"/>
    </row>
    <row r="52723" spans="1:141" s="116" customFormat="1">
      <c r="A52723" s="136"/>
      <c r="CM52723" s="111"/>
      <c r="CQ52723" s="111"/>
      <c r="EF52723"/>
      <c r="EG52723"/>
      <c r="EH52723"/>
      <c r="EI52723"/>
      <c r="EJ52723"/>
      <c r="EK52723"/>
    </row>
    <row r="52724" spans="1:141" s="116" customFormat="1">
      <c r="A52724" s="136"/>
      <c r="CM52724" s="111"/>
      <c r="CQ52724" s="111"/>
      <c r="EF52724"/>
      <c r="EG52724"/>
      <c r="EH52724"/>
      <c r="EI52724"/>
      <c r="EJ52724"/>
      <c r="EK52724"/>
    </row>
    <row r="52725" spans="1:141" s="116" customFormat="1">
      <c r="A52725" s="136"/>
      <c r="CM52725" s="111"/>
      <c r="CQ52725" s="111"/>
      <c r="EF52725"/>
      <c r="EG52725"/>
      <c r="EH52725"/>
      <c r="EI52725"/>
      <c r="EJ52725"/>
      <c r="EK52725"/>
    </row>
    <row r="52726" spans="1:141" s="116" customFormat="1">
      <c r="A52726" s="136"/>
      <c r="CM52726" s="111"/>
      <c r="CQ52726" s="111"/>
      <c r="EF52726"/>
      <c r="EG52726"/>
      <c r="EH52726"/>
      <c r="EI52726"/>
      <c r="EJ52726"/>
      <c r="EK52726"/>
    </row>
    <row r="52727" spans="1:141" s="116" customFormat="1">
      <c r="A52727" s="136"/>
      <c r="CM52727" s="111"/>
      <c r="CQ52727" s="111"/>
      <c r="EF52727"/>
      <c r="EG52727"/>
      <c r="EH52727"/>
      <c r="EI52727"/>
      <c r="EJ52727"/>
      <c r="EK52727"/>
    </row>
    <row r="52728" spans="1:141" s="116" customFormat="1">
      <c r="A52728" s="136"/>
      <c r="CM52728" s="111"/>
      <c r="CQ52728" s="111"/>
      <c r="EF52728"/>
      <c r="EG52728"/>
      <c r="EH52728"/>
      <c r="EI52728"/>
      <c r="EJ52728"/>
      <c r="EK52728"/>
    </row>
    <row r="52729" spans="1:141" s="116" customFormat="1">
      <c r="A52729" s="136"/>
      <c r="CM52729" s="111"/>
      <c r="CQ52729" s="111"/>
      <c r="EF52729"/>
      <c r="EG52729"/>
      <c r="EH52729"/>
      <c r="EI52729"/>
      <c r="EJ52729"/>
      <c r="EK52729"/>
    </row>
    <row r="52730" spans="1:141" s="116" customFormat="1">
      <c r="A52730" s="136"/>
      <c r="CM52730" s="111"/>
      <c r="CQ52730" s="111"/>
      <c r="EF52730"/>
      <c r="EG52730"/>
      <c r="EH52730"/>
      <c r="EI52730"/>
      <c r="EJ52730"/>
      <c r="EK52730"/>
    </row>
    <row r="52731" spans="1:141" s="116" customFormat="1">
      <c r="A52731" s="136"/>
      <c r="CM52731" s="111"/>
      <c r="CQ52731" s="111"/>
      <c r="EF52731"/>
      <c r="EG52731"/>
      <c r="EH52731"/>
      <c r="EI52731"/>
      <c r="EJ52731"/>
      <c r="EK52731"/>
    </row>
    <row r="52732" spans="1:141" s="116" customFormat="1">
      <c r="A52732" s="136"/>
      <c r="CM52732" s="111"/>
      <c r="CQ52732" s="111"/>
      <c r="EF52732"/>
      <c r="EG52732"/>
      <c r="EH52732"/>
      <c r="EI52732"/>
      <c r="EJ52732"/>
      <c r="EK52732"/>
    </row>
    <row r="52733" spans="1:141" s="116" customFormat="1">
      <c r="A52733" s="136"/>
      <c r="CM52733" s="111"/>
      <c r="CQ52733" s="111"/>
      <c r="EF52733"/>
      <c r="EG52733"/>
      <c r="EH52733"/>
      <c r="EI52733"/>
      <c r="EJ52733"/>
      <c r="EK52733"/>
    </row>
    <row r="52734" spans="1:141" s="116" customFormat="1">
      <c r="A52734" s="136"/>
      <c r="CM52734" s="111"/>
      <c r="CQ52734" s="111"/>
      <c r="EF52734"/>
      <c r="EG52734"/>
      <c r="EH52734"/>
      <c r="EI52734"/>
      <c r="EJ52734"/>
      <c r="EK52734"/>
    </row>
    <row r="52735" spans="1:141" s="116" customFormat="1">
      <c r="A52735" s="136"/>
      <c r="CM52735" s="111"/>
      <c r="CQ52735" s="111"/>
      <c r="EF52735"/>
      <c r="EG52735"/>
      <c r="EH52735"/>
      <c r="EI52735"/>
      <c r="EJ52735"/>
      <c r="EK52735"/>
    </row>
    <row r="52736" spans="1:141" s="116" customFormat="1">
      <c r="A52736" s="136"/>
      <c r="CM52736" s="111"/>
      <c r="CQ52736" s="111"/>
      <c r="EF52736"/>
      <c r="EG52736"/>
      <c r="EH52736"/>
      <c r="EI52736"/>
      <c r="EJ52736"/>
      <c r="EK52736"/>
    </row>
    <row r="52737" spans="1:141" s="116" customFormat="1">
      <c r="A52737" s="136"/>
      <c r="CM52737" s="111"/>
      <c r="CQ52737" s="111"/>
      <c r="EF52737"/>
      <c r="EG52737"/>
      <c r="EH52737"/>
      <c r="EI52737"/>
      <c r="EJ52737"/>
      <c r="EK52737"/>
    </row>
    <row r="52738" spans="1:141" s="116" customFormat="1">
      <c r="A52738" s="136"/>
      <c r="CM52738" s="111"/>
      <c r="CQ52738" s="111"/>
      <c r="EF52738"/>
      <c r="EG52738"/>
      <c r="EH52738"/>
      <c r="EI52738"/>
      <c r="EJ52738"/>
      <c r="EK52738"/>
    </row>
    <row r="52739" spans="1:141" s="116" customFormat="1">
      <c r="A52739" s="136"/>
      <c r="CM52739" s="111"/>
      <c r="CQ52739" s="111"/>
      <c r="EF52739"/>
      <c r="EG52739"/>
      <c r="EH52739"/>
      <c r="EI52739"/>
      <c r="EJ52739"/>
      <c r="EK52739"/>
    </row>
    <row r="52740" spans="1:141" s="116" customFormat="1">
      <c r="A52740" s="136"/>
      <c r="CM52740" s="111"/>
      <c r="CQ52740" s="111"/>
      <c r="EF52740"/>
      <c r="EG52740"/>
      <c r="EH52740"/>
      <c r="EI52740"/>
      <c r="EJ52740"/>
      <c r="EK52740"/>
    </row>
    <row r="52741" spans="1:141" s="116" customFormat="1">
      <c r="A52741" s="136"/>
      <c r="CM52741" s="111"/>
      <c r="CQ52741" s="111"/>
      <c r="EF52741"/>
      <c r="EG52741"/>
      <c r="EH52741"/>
      <c r="EI52741"/>
      <c r="EJ52741"/>
      <c r="EK52741"/>
    </row>
    <row r="52742" spans="1:141" s="116" customFormat="1">
      <c r="A52742" s="136"/>
      <c r="CM52742" s="111"/>
      <c r="CQ52742" s="111"/>
      <c r="EF52742"/>
      <c r="EG52742"/>
      <c r="EH52742"/>
      <c r="EI52742"/>
      <c r="EJ52742"/>
      <c r="EK52742"/>
    </row>
    <row r="52743" spans="1:141" s="116" customFormat="1">
      <c r="A52743" s="136"/>
      <c r="CM52743" s="111"/>
      <c r="CQ52743" s="111"/>
      <c r="EF52743"/>
      <c r="EG52743"/>
      <c r="EH52743"/>
      <c r="EI52743"/>
      <c r="EJ52743"/>
      <c r="EK52743"/>
    </row>
    <row r="52744" spans="1:141" s="116" customFormat="1">
      <c r="A52744" s="136"/>
      <c r="CM52744" s="111"/>
      <c r="CQ52744" s="111"/>
      <c r="EF52744"/>
      <c r="EG52744"/>
      <c r="EH52744"/>
      <c r="EI52744"/>
      <c r="EJ52744"/>
      <c r="EK52744"/>
    </row>
    <row r="52745" spans="1:141" s="116" customFormat="1">
      <c r="A52745" s="136"/>
      <c r="CM52745" s="111"/>
      <c r="CQ52745" s="111"/>
      <c r="EF52745"/>
      <c r="EG52745"/>
      <c r="EH52745"/>
      <c r="EI52745"/>
      <c r="EJ52745"/>
      <c r="EK52745"/>
    </row>
    <row r="52746" spans="1:141" s="116" customFormat="1">
      <c r="A52746" s="136"/>
      <c r="CM52746" s="111"/>
      <c r="CQ52746" s="111"/>
      <c r="EF52746"/>
      <c r="EG52746"/>
      <c r="EH52746"/>
      <c r="EI52746"/>
      <c r="EJ52746"/>
      <c r="EK52746"/>
    </row>
    <row r="52747" spans="1:141" s="116" customFormat="1">
      <c r="A52747" s="136"/>
      <c r="CM52747" s="111"/>
      <c r="CQ52747" s="111"/>
      <c r="EF52747"/>
      <c r="EG52747"/>
      <c r="EH52747"/>
      <c r="EI52747"/>
      <c r="EJ52747"/>
      <c r="EK52747"/>
    </row>
    <row r="52748" spans="1:141" s="116" customFormat="1">
      <c r="A52748" s="136"/>
      <c r="CM52748" s="111"/>
      <c r="CQ52748" s="111"/>
      <c r="EF52748"/>
      <c r="EG52748"/>
      <c r="EH52748"/>
      <c r="EI52748"/>
      <c r="EJ52748"/>
      <c r="EK52748"/>
    </row>
    <row r="52749" spans="1:141" s="116" customFormat="1">
      <c r="A52749" s="136"/>
      <c r="CM52749" s="111"/>
      <c r="CQ52749" s="111"/>
      <c r="EF52749"/>
      <c r="EG52749"/>
      <c r="EH52749"/>
      <c r="EI52749"/>
      <c r="EJ52749"/>
      <c r="EK52749"/>
    </row>
    <row r="52750" spans="1:141" s="116" customFormat="1">
      <c r="A52750" s="136"/>
      <c r="CM52750" s="111"/>
      <c r="CQ52750" s="111"/>
      <c r="EF52750"/>
      <c r="EG52750"/>
      <c r="EH52750"/>
      <c r="EI52750"/>
      <c r="EJ52750"/>
      <c r="EK52750"/>
    </row>
    <row r="52751" spans="1:141" s="116" customFormat="1">
      <c r="A52751" s="136"/>
      <c r="CM52751" s="111"/>
      <c r="CQ52751" s="111"/>
      <c r="EF52751"/>
      <c r="EG52751"/>
      <c r="EH52751"/>
      <c r="EI52751"/>
      <c r="EJ52751"/>
      <c r="EK52751"/>
    </row>
    <row r="52752" spans="1:141" s="116" customFormat="1">
      <c r="A52752" s="136"/>
      <c r="CM52752" s="111"/>
      <c r="CQ52752" s="111"/>
      <c r="EF52752"/>
      <c r="EG52752"/>
      <c r="EH52752"/>
      <c r="EI52752"/>
      <c r="EJ52752"/>
      <c r="EK52752"/>
    </row>
    <row r="52753" spans="1:141" s="116" customFormat="1">
      <c r="A52753" s="136"/>
      <c r="CM52753" s="111"/>
      <c r="CQ52753" s="111"/>
      <c r="EF52753"/>
      <c r="EG52753"/>
      <c r="EH52753"/>
      <c r="EI52753"/>
      <c r="EJ52753"/>
      <c r="EK52753"/>
    </row>
    <row r="52754" spans="1:141" s="116" customFormat="1">
      <c r="A52754" s="136"/>
      <c r="CM52754" s="111"/>
      <c r="CQ52754" s="111"/>
      <c r="EF52754"/>
      <c r="EG52754"/>
      <c r="EH52754"/>
      <c r="EI52754"/>
      <c r="EJ52754"/>
      <c r="EK52754"/>
    </row>
    <row r="52755" spans="1:141" s="116" customFormat="1">
      <c r="A52755" s="136"/>
      <c r="CM52755" s="111"/>
      <c r="CQ52755" s="111"/>
      <c r="EF52755"/>
      <c r="EG52755"/>
      <c r="EH52755"/>
      <c r="EI52755"/>
      <c r="EJ52755"/>
      <c r="EK52755"/>
    </row>
    <row r="52756" spans="1:141" s="116" customFormat="1">
      <c r="A52756" s="136"/>
      <c r="CM52756" s="111"/>
      <c r="CQ52756" s="111"/>
      <c r="EF52756"/>
      <c r="EG52756"/>
      <c r="EH52756"/>
      <c r="EI52756"/>
      <c r="EJ52756"/>
      <c r="EK52756"/>
    </row>
    <row r="52757" spans="1:141" s="116" customFormat="1">
      <c r="A52757" s="136"/>
      <c r="CM52757" s="111"/>
      <c r="CQ52757" s="111"/>
      <c r="EF52757"/>
      <c r="EG52757"/>
      <c r="EH52757"/>
      <c r="EI52757"/>
      <c r="EJ52757"/>
      <c r="EK52757"/>
    </row>
    <row r="52758" spans="1:141" s="116" customFormat="1">
      <c r="A52758" s="136"/>
      <c r="CM52758" s="111"/>
      <c r="CQ52758" s="111"/>
      <c r="EF52758"/>
      <c r="EG52758"/>
      <c r="EH52758"/>
      <c r="EI52758"/>
      <c r="EJ52758"/>
      <c r="EK52758"/>
    </row>
    <row r="52759" spans="1:141" s="116" customFormat="1">
      <c r="A52759" s="136"/>
      <c r="CM52759" s="111"/>
      <c r="CQ52759" s="111"/>
      <c r="EF52759"/>
      <c r="EG52759"/>
      <c r="EH52759"/>
      <c r="EI52759"/>
      <c r="EJ52759"/>
      <c r="EK52759"/>
    </row>
    <row r="52760" spans="1:141" s="116" customFormat="1">
      <c r="A52760" s="136"/>
      <c r="CM52760" s="111"/>
      <c r="CQ52760" s="111"/>
      <c r="EF52760"/>
      <c r="EG52760"/>
      <c r="EH52760"/>
      <c r="EI52760"/>
      <c r="EJ52760"/>
      <c r="EK52760"/>
    </row>
    <row r="52761" spans="1:141" s="116" customFormat="1">
      <c r="A52761" s="136"/>
      <c r="CM52761" s="111"/>
      <c r="CQ52761" s="111"/>
      <c r="EF52761"/>
      <c r="EG52761"/>
      <c r="EH52761"/>
      <c r="EI52761"/>
      <c r="EJ52761"/>
      <c r="EK52761"/>
    </row>
    <row r="52762" spans="1:141" s="116" customFormat="1">
      <c r="A52762" s="136"/>
      <c r="CM52762" s="111"/>
      <c r="CQ52762" s="111"/>
      <c r="EF52762"/>
      <c r="EG52762"/>
      <c r="EH52762"/>
      <c r="EI52762"/>
      <c r="EJ52762"/>
      <c r="EK52762"/>
    </row>
    <row r="52763" spans="1:141" s="116" customFormat="1">
      <c r="A52763" s="136"/>
      <c r="CM52763" s="111"/>
      <c r="CQ52763" s="111"/>
      <c r="EF52763"/>
      <c r="EG52763"/>
      <c r="EH52763"/>
      <c r="EI52763"/>
      <c r="EJ52763"/>
      <c r="EK52763"/>
    </row>
    <row r="52764" spans="1:141" s="116" customFormat="1">
      <c r="A52764" s="136"/>
      <c r="CM52764" s="111"/>
      <c r="CQ52764" s="111"/>
      <c r="EF52764"/>
      <c r="EG52764"/>
      <c r="EH52764"/>
      <c r="EI52764"/>
      <c r="EJ52764"/>
      <c r="EK52764"/>
    </row>
    <row r="52765" spans="1:141" s="116" customFormat="1">
      <c r="A52765" s="136"/>
      <c r="CM52765" s="111"/>
      <c r="CQ52765" s="111"/>
      <c r="EF52765"/>
      <c r="EG52765"/>
      <c r="EH52765"/>
      <c r="EI52765"/>
      <c r="EJ52765"/>
      <c r="EK52765"/>
    </row>
    <row r="52766" spans="1:141" s="116" customFormat="1">
      <c r="A52766" s="136"/>
      <c r="CM52766" s="111"/>
      <c r="CQ52766" s="111"/>
      <c r="EF52766"/>
      <c r="EG52766"/>
      <c r="EH52766"/>
      <c r="EI52766"/>
      <c r="EJ52766"/>
      <c r="EK52766"/>
    </row>
    <row r="52767" spans="1:141" s="116" customFormat="1">
      <c r="A52767" s="136"/>
      <c r="CM52767" s="111"/>
      <c r="CQ52767" s="111"/>
      <c r="EF52767"/>
      <c r="EG52767"/>
      <c r="EH52767"/>
      <c r="EI52767"/>
      <c r="EJ52767"/>
      <c r="EK52767"/>
    </row>
    <row r="52768" spans="1:141" s="116" customFormat="1">
      <c r="A52768" s="136"/>
      <c r="CM52768" s="111"/>
      <c r="CQ52768" s="111"/>
      <c r="EF52768"/>
      <c r="EG52768"/>
      <c r="EH52768"/>
      <c r="EI52768"/>
      <c r="EJ52768"/>
      <c r="EK52768"/>
    </row>
    <row r="52769" spans="1:141" s="116" customFormat="1">
      <c r="A52769" s="136"/>
      <c r="CM52769" s="111"/>
      <c r="CQ52769" s="111"/>
      <c r="EF52769"/>
      <c r="EG52769"/>
      <c r="EH52769"/>
      <c r="EI52769"/>
      <c r="EJ52769"/>
      <c r="EK52769"/>
    </row>
    <row r="52770" spans="1:141" s="116" customFormat="1">
      <c r="A52770" s="136"/>
      <c r="CM52770" s="111"/>
      <c r="CQ52770" s="111"/>
      <c r="EF52770"/>
      <c r="EG52770"/>
      <c r="EH52770"/>
      <c r="EI52770"/>
      <c r="EJ52770"/>
      <c r="EK52770"/>
    </row>
    <row r="52771" spans="1:141" s="116" customFormat="1">
      <c r="A52771" s="136"/>
      <c r="CM52771" s="111"/>
      <c r="CQ52771" s="111"/>
      <c r="EF52771"/>
      <c r="EG52771"/>
      <c r="EH52771"/>
      <c r="EI52771"/>
      <c r="EJ52771"/>
      <c r="EK52771"/>
    </row>
    <row r="52772" spans="1:141" s="116" customFormat="1">
      <c r="A52772" s="136"/>
      <c r="CM52772" s="111"/>
      <c r="CQ52772" s="111"/>
      <c r="EF52772"/>
      <c r="EG52772"/>
      <c r="EH52772"/>
      <c r="EI52772"/>
      <c r="EJ52772"/>
      <c r="EK52772"/>
    </row>
    <row r="52773" spans="1:141" s="116" customFormat="1">
      <c r="A52773" s="136"/>
      <c r="CM52773" s="111"/>
      <c r="CQ52773" s="111"/>
      <c r="EF52773"/>
      <c r="EG52773"/>
      <c r="EH52773"/>
      <c r="EI52773"/>
      <c r="EJ52773"/>
      <c r="EK52773"/>
    </row>
    <row r="52774" spans="1:141" s="116" customFormat="1">
      <c r="A52774" s="136"/>
      <c r="CM52774" s="111"/>
      <c r="CQ52774" s="111"/>
      <c r="EF52774"/>
      <c r="EG52774"/>
      <c r="EH52774"/>
      <c r="EI52774"/>
      <c r="EJ52774"/>
      <c r="EK52774"/>
    </row>
    <row r="52775" spans="1:141" s="116" customFormat="1">
      <c r="A52775" s="136"/>
      <c r="CM52775" s="111"/>
      <c r="CQ52775" s="111"/>
      <c r="EF52775"/>
      <c r="EG52775"/>
      <c r="EH52775"/>
      <c r="EI52775"/>
      <c r="EJ52775"/>
      <c r="EK52775"/>
    </row>
    <row r="52776" spans="1:141" s="116" customFormat="1">
      <c r="A52776" s="136"/>
      <c r="CM52776" s="111"/>
      <c r="CQ52776" s="111"/>
      <c r="EF52776"/>
      <c r="EG52776"/>
      <c r="EH52776"/>
      <c r="EI52776"/>
      <c r="EJ52776"/>
      <c r="EK52776"/>
    </row>
    <row r="52777" spans="1:141" s="116" customFormat="1">
      <c r="A52777" s="136"/>
      <c r="CM52777" s="111"/>
      <c r="CQ52777" s="111"/>
      <c r="EF52777"/>
      <c r="EG52777"/>
      <c r="EH52777"/>
      <c r="EI52777"/>
      <c r="EJ52777"/>
      <c r="EK52777"/>
    </row>
    <row r="52778" spans="1:141" s="116" customFormat="1">
      <c r="A52778" s="136"/>
      <c r="CM52778" s="111"/>
      <c r="CQ52778" s="111"/>
      <c r="EF52778"/>
      <c r="EG52778"/>
      <c r="EH52778"/>
      <c r="EI52778"/>
      <c r="EJ52778"/>
      <c r="EK52778"/>
    </row>
    <row r="52779" spans="1:141" s="116" customFormat="1">
      <c r="A52779" s="136"/>
      <c r="CM52779" s="111"/>
      <c r="CQ52779" s="111"/>
      <c r="EF52779"/>
      <c r="EG52779"/>
      <c r="EH52779"/>
      <c r="EI52779"/>
      <c r="EJ52779"/>
      <c r="EK52779"/>
    </row>
    <row r="52780" spans="1:141" s="116" customFormat="1">
      <c r="A52780" s="136"/>
      <c r="CM52780" s="111"/>
      <c r="CQ52780" s="111"/>
      <c r="EF52780"/>
      <c r="EG52780"/>
      <c r="EH52780"/>
      <c r="EI52780"/>
      <c r="EJ52780"/>
      <c r="EK52780"/>
    </row>
    <row r="52781" spans="1:141" s="116" customFormat="1">
      <c r="A52781" s="136"/>
      <c r="CM52781" s="111"/>
      <c r="CQ52781" s="111"/>
      <c r="EF52781"/>
      <c r="EG52781"/>
      <c r="EH52781"/>
      <c r="EI52781"/>
      <c r="EJ52781"/>
      <c r="EK52781"/>
    </row>
    <row r="52782" spans="1:141" s="116" customFormat="1">
      <c r="A52782" s="136"/>
      <c r="CM52782" s="111"/>
      <c r="CQ52782" s="111"/>
      <c r="EF52782"/>
      <c r="EG52782"/>
      <c r="EH52782"/>
      <c r="EI52782"/>
      <c r="EJ52782"/>
      <c r="EK52782"/>
    </row>
    <row r="52783" spans="1:141" s="116" customFormat="1">
      <c r="A52783" s="136"/>
      <c r="CM52783" s="111"/>
      <c r="CQ52783" s="111"/>
      <c r="EF52783"/>
      <c r="EG52783"/>
      <c r="EH52783"/>
      <c r="EI52783"/>
      <c r="EJ52783"/>
      <c r="EK52783"/>
    </row>
    <row r="52784" spans="1:141" s="116" customFormat="1">
      <c r="A52784" s="136"/>
      <c r="CM52784" s="111"/>
      <c r="CQ52784" s="111"/>
      <c r="EF52784"/>
      <c r="EG52784"/>
      <c r="EH52784"/>
      <c r="EI52784"/>
      <c r="EJ52784"/>
      <c r="EK52784"/>
    </row>
    <row r="52785" spans="1:141" s="116" customFormat="1">
      <c r="A52785" s="136"/>
      <c r="CM52785" s="111"/>
      <c r="CQ52785" s="111"/>
      <c r="EF52785"/>
      <c r="EG52785"/>
      <c r="EH52785"/>
      <c r="EI52785"/>
      <c r="EJ52785"/>
      <c r="EK52785"/>
    </row>
    <row r="52786" spans="1:141" s="116" customFormat="1">
      <c r="A52786" s="136"/>
      <c r="CM52786" s="111"/>
      <c r="CQ52786" s="111"/>
      <c r="EF52786"/>
      <c r="EG52786"/>
      <c r="EH52786"/>
      <c r="EI52786"/>
      <c r="EJ52786"/>
      <c r="EK52786"/>
    </row>
    <row r="52787" spans="1:141" s="116" customFormat="1">
      <c r="A52787" s="136"/>
      <c r="CM52787" s="111"/>
      <c r="CQ52787" s="111"/>
      <c r="EF52787"/>
      <c r="EG52787"/>
      <c r="EH52787"/>
      <c r="EI52787"/>
      <c r="EJ52787"/>
      <c r="EK52787"/>
    </row>
    <row r="52788" spans="1:141" s="116" customFormat="1">
      <c r="A52788" s="136"/>
      <c r="CM52788" s="111"/>
      <c r="CQ52788" s="111"/>
      <c r="EF52788"/>
      <c r="EG52788"/>
      <c r="EH52788"/>
      <c r="EI52788"/>
      <c r="EJ52788"/>
      <c r="EK52788"/>
    </row>
    <row r="52789" spans="1:141" s="116" customFormat="1">
      <c r="A52789" s="136"/>
      <c r="CM52789" s="111"/>
      <c r="CQ52789" s="111"/>
      <c r="EF52789"/>
      <c r="EG52789"/>
      <c r="EH52789"/>
      <c r="EI52789"/>
      <c r="EJ52789"/>
      <c r="EK52789"/>
    </row>
    <row r="52790" spans="1:141" s="116" customFormat="1">
      <c r="A52790" s="136"/>
      <c r="CM52790" s="111"/>
      <c r="CQ52790" s="111"/>
      <c r="EF52790"/>
      <c r="EG52790"/>
      <c r="EH52790"/>
      <c r="EI52790"/>
      <c r="EJ52790"/>
      <c r="EK52790"/>
    </row>
    <row r="52791" spans="1:141" s="116" customFormat="1">
      <c r="A52791" s="136"/>
      <c r="CM52791" s="111"/>
      <c r="CQ52791" s="111"/>
      <c r="EF52791"/>
      <c r="EG52791"/>
      <c r="EH52791"/>
      <c r="EI52791"/>
      <c r="EJ52791"/>
      <c r="EK52791"/>
    </row>
    <row r="52792" spans="1:141" s="116" customFormat="1">
      <c r="A52792" s="136"/>
      <c r="CM52792" s="111"/>
      <c r="CQ52792" s="111"/>
      <c r="EF52792"/>
      <c r="EG52792"/>
      <c r="EH52792"/>
      <c r="EI52792"/>
      <c r="EJ52792"/>
      <c r="EK52792"/>
    </row>
    <row r="52793" spans="1:141" s="116" customFormat="1">
      <c r="A52793" s="136"/>
      <c r="CM52793" s="111"/>
      <c r="CQ52793" s="111"/>
      <c r="EF52793"/>
      <c r="EG52793"/>
      <c r="EH52793"/>
      <c r="EI52793"/>
      <c r="EJ52793"/>
      <c r="EK52793"/>
    </row>
    <row r="52794" spans="1:141" s="116" customFormat="1">
      <c r="A52794" s="136"/>
      <c r="CM52794" s="111"/>
      <c r="CQ52794" s="111"/>
      <c r="EF52794"/>
      <c r="EG52794"/>
      <c r="EH52794"/>
      <c r="EI52794"/>
      <c r="EJ52794"/>
      <c r="EK52794"/>
    </row>
    <row r="52795" spans="1:141" s="116" customFormat="1">
      <c r="A52795" s="136"/>
      <c r="CM52795" s="111"/>
      <c r="CQ52795" s="111"/>
      <c r="EF52795"/>
      <c r="EG52795"/>
      <c r="EH52795"/>
      <c r="EI52795"/>
      <c r="EJ52795"/>
      <c r="EK52795"/>
    </row>
    <row r="52796" spans="1:141" s="116" customFormat="1">
      <c r="A52796" s="136"/>
      <c r="CM52796" s="111"/>
      <c r="CQ52796" s="111"/>
      <c r="EF52796"/>
      <c r="EG52796"/>
      <c r="EH52796"/>
      <c r="EI52796"/>
      <c r="EJ52796"/>
      <c r="EK52796"/>
    </row>
    <row r="52797" spans="1:141" s="116" customFormat="1">
      <c r="A52797" s="136"/>
      <c r="CM52797" s="111"/>
      <c r="CQ52797" s="111"/>
      <c r="EF52797"/>
      <c r="EG52797"/>
      <c r="EH52797"/>
      <c r="EI52797"/>
      <c r="EJ52797"/>
      <c r="EK52797"/>
    </row>
    <row r="52798" spans="1:141" s="116" customFormat="1">
      <c r="A52798" s="136"/>
      <c r="CM52798" s="111"/>
      <c r="CQ52798" s="111"/>
      <c r="EF52798"/>
      <c r="EG52798"/>
      <c r="EH52798"/>
      <c r="EI52798"/>
      <c r="EJ52798"/>
      <c r="EK52798"/>
    </row>
    <row r="52799" spans="1:141" s="116" customFormat="1">
      <c r="A52799" s="136"/>
      <c r="CM52799" s="111"/>
      <c r="CQ52799" s="111"/>
      <c r="EF52799"/>
      <c r="EG52799"/>
      <c r="EH52799"/>
      <c r="EI52799"/>
      <c r="EJ52799"/>
      <c r="EK52799"/>
    </row>
    <row r="52800" spans="1:141" s="116" customFormat="1">
      <c r="A52800" s="136"/>
      <c r="CM52800" s="111"/>
      <c r="CQ52800" s="111"/>
      <c r="EF52800"/>
      <c r="EG52800"/>
      <c r="EH52800"/>
      <c r="EI52800"/>
      <c r="EJ52800"/>
      <c r="EK52800"/>
    </row>
    <row r="52801" spans="1:141" s="116" customFormat="1">
      <c r="A52801" s="136"/>
      <c r="CM52801" s="111"/>
      <c r="CQ52801" s="111"/>
      <c r="EF52801"/>
      <c r="EG52801"/>
      <c r="EH52801"/>
      <c r="EI52801"/>
      <c r="EJ52801"/>
      <c r="EK52801"/>
    </row>
    <row r="52802" spans="1:141" s="116" customFormat="1">
      <c r="A52802" s="136"/>
      <c r="CM52802" s="111"/>
      <c r="CQ52802" s="111"/>
      <c r="EF52802"/>
      <c r="EG52802"/>
      <c r="EH52802"/>
      <c r="EI52802"/>
      <c r="EJ52802"/>
      <c r="EK52802"/>
    </row>
    <row r="52803" spans="1:141" s="116" customFormat="1">
      <c r="A52803" s="136"/>
      <c r="CM52803" s="111"/>
      <c r="CQ52803" s="111"/>
      <c r="EF52803"/>
      <c r="EG52803"/>
      <c r="EH52803"/>
      <c r="EI52803"/>
      <c r="EJ52803"/>
      <c r="EK52803"/>
    </row>
    <row r="52804" spans="1:141" s="116" customFormat="1">
      <c r="A52804" s="136"/>
      <c r="CM52804" s="111"/>
      <c r="CQ52804" s="111"/>
      <c r="EF52804"/>
      <c r="EG52804"/>
      <c r="EH52804"/>
      <c r="EI52804"/>
      <c r="EJ52804"/>
      <c r="EK52804"/>
    </row>
    <row r="52805" spans="1:141" s="116" customFormat="1">
      <c r="A52805" s="136"/>
      <c r="CM52805" s="111"/>
      <c r="CQ52805" s="111"/>
      <c r="EF52805"/>
      <c r="EG52805"/>
      <c r="EH52805"/>
      <c r="EI52805"/>
      <c r="EJ52805"/>
      <c r="EK52805"/>
    </row>
    <row r="52806" spans="1:141" s="116" customFormat="1">
      <c r="A52806" s="136"/>
      <c r="CM52806" s="111"/>
      <c r="CQ52806" s="111"/>
      <c r="EF52806"/>
      <c r="EG52806"/>
      <c r="EH52806"/>
      <c r="EI52806"/>
      <c r="EJ52806"/>
      <c r="EK52806"/>
    </row>
    <row r="52807" spans="1:141" s="116" customFormat="1">
      <c r="A52807" s="136"/>
      <c r="CM52807" s="111"/>
      <c r="CQ52807" s="111"/>
      <c r="EF52807"/>
      <c r="EG52807"/>
      <c r="EH52807"/>
      <c r="EI52807"/>
      <c r="EJ52807"/>
      <c r="EK52807"/>
    </row>
    <row r="52808" spans="1:141" s="116" customFormat="1">
      <c r="A52808" s="136"/>
      <c r="CM52808" s="111"/>
      <c r="CQ52808" s="111"/>
      <c r="EF52808"/>
      <c r="EG52808"/>
      <c r="EH52808"/>
      <c r="EI52808"/>
      <c r="EJ52808"/>
      <c r="EK52808"/>
    </row>
    <row r="52809" spans="1:141" s="116" customFormat="1">
      <c r="A52809" s="136"/>
      <c r="CM52809" s="111"/>
      <c r="CQ52809" s="111"/>
      <c r="EF52809"/>
      <c r="EG52809"/>
      <c r="EH52809"/>
      <c r="EI52809"/>
      <c r="EJ52809"/>
      <c r="EK52809"/>
    </row>
    <row r="52810" spans="1:141" s="116" customFormat="1">
      <c r="A52810" s="136"/>
      <c r="CM52810" s="111"/>
      <c r="CQ52810" s="111"/>
      <c r="EF52810"/>
      <c r="EG52810"/>
      <c r="EH52810"/>
      <c r="EI52810"/>
      <c r="EJ52810"/>
      <c r="EK52810"/>
    </row>
    <row r="52811" spans="1:141" s="116" customFormat="1">
      <c r="A52811" s="136"/>
      <c r="CM52811" s="111"/>
      <c r="CQ52811" s="111"/>
      <c r="EF52811"/>
      <c r="EG52811"/>
      <c r="EH52811"/>
      <c r="EI52811"/>
      <c r="EJ52811"/>
      <c r="EK52811"/>
    </row>
    <row r="52812" spans="1:141" s="116" customFormat="1">
      <c r="A52812" s="136"/>
      <c r="CM52812" s="111"/>
      <c r="CQ52812" s="111"/>
      <c r="EF52812"/>
      <c r="EG52812"/>
      <c r="EH52812"/>
      <c r="EI52812"/>
      <c r="EJ52812"/>
      <c r="EK52812"/>
    </row>
    <row r="52813" spans="1:141" s="116" customFormat="1">
      <c r="A52813" s="136"/>
      <c r="CM52813" s="111"/>
      <c r="CQ52813" s="111"/>
      <c r="EF52813"/>
      <c r="EG52813"/>
      <c r="EH52813"/>
      <c r="EI52813"/>
      <c r="EJ52813"/>
      <c r="EK52813"/>
    </row>
    <row r="52814" spans="1:141" s="116" customFormat="1">
      <c r="A52814" s="136"/>
      <c r="CM52814" s="111"/>
      <c r="CQ52814" s="111"/>
      <c r="EF52814"/>
      <c r="EG52814"/>
      <c r="EH52814"/>
      <c r="EI52814"/>
      <c r="EJ52814"/>
      <c r="EK52814"/>
    </row>
    <row r="52815" spans="1:141" s="116" customFormat="1">
      <c r="A52815" s="136"/>
      <c r="CM52815" s="111"/>
      <c r="CQ52815" s="111"/>
      <c r="EF52815"/>
      <c r="EG52815"/>
      <c r="EH52815"/>
      <c r="EI52815"/>
      <c r="EJ52815"/>
      <c r="EK52815"/>
    </row>
    <row r="52816" spans="1:141" s="116" customFormat="1">
      <c r="A52816" s="136"/>
      <c r="CM52816" s="111"/>
      <c r="CQ52816" s="111"/>
      <c r="EF52816"/>
      <c r="EG52816"/>
      <c r="EH52816"/>
      <c r="EI52816"/>
      <c r="EJ52816"/>
      <c r="EK52816"/>
    </row>
    <row r="52817" spans="1:141" s="116" customFormat="1">
      <c r="A52817" s="136"/>
      <c r="CM52817" s="111"/>
      <c r="CQ52817" s="111"/>
      <c r="EF52817"/>
      <c r="EG52817"/>
      <c r="EH52817"/>
      <c r="EI52817"/>
      <c r="EJ52817"/>
      <c r="EK52817"/>
    </row>
    <row r="52818" spans="1:141" s="116" customFormat="1">
      <c r="A52818" s="136"/>
      <c r="CM52818" s="111"/>
      <c r="CQ52818" s="111"/>
      <c r="EF52818"/>
      <c r="EG52818"/>
      <c r="EH52818"/>
      <c r="EI52818"/>
      <c r="EJ52818"/>
      <c r="EK52818"/>
    </row>
    <row r="52819" spans="1:141" s="116" customFormat="1">
      <c r="A52819" s="136"/>
      <c r="CM52819" s="111"/>
      <c r="CQ52819" s="111"/>
      <c r="EF52819"/>
      <c r="EG52819"/>
      <c r="EH52819"/>
      <c r="EI52819"/>
      <c r="EJ52819"/>
      <c r="EK52819"/>
    </row>
    <row r="52820" spans="1:141" s="116" customFormat="1">
      <c r="A52820" s="136"/>
      <c r="CM52820" s="111"/>
      <c r="CQ52820" s="111"/>
      <c r="EF52820"/>
      <c r="EG52820"/>
      <c r="EH52820"/>
      <c r="EI52820"/>
      <c r="EJ52820"/>
      <c r="EK52820"/>
    </row>
    <row r="52821" spans="1:141" s="116" customFormat="1">
      <c r="A52821" s="136"/>
      <c r="CM52821" s="111"/>
      <c r="CQ52821" s="111"/>
      <c r="EF52821"/>
      <c r="EG52821"/>
      <c r="EH52821"/>
      <c r="EI52821"/>
      <c r="EJ52821"/>
      <c r="EK52821"/>
    </row>
    <row r="52822" spans="1:141" s="116" customFormat="1">
      <c r="A52822" s="136"/>
      <c r="CM52822" s="111"/>
      <c r="CQ52822" s="111"/>
      <c r="EF52822"/>
      <c r="EG52822"/>
      <c r="EH52822"/>
      <c r="EI52822"/>
      <c r="EJ52822"/>
      <c r="EK52822"/>
    </row>
    <row r="52823" spans="1:141" s="116" customFormat="1">
      <c r="A52823" s="136"/>
      <c r="CM52823" s="111"/>
      <c r="CQ52823" s="111"/>
      <c r="EF52823"/>
      <c r="EG52823"/>
      <c r="EH52823"/>
      <c r="EI52823"/>
      <c r="EJ52823"/>
      <c r="EK52823"/>
    </row>
    <row r="52824" spans="1:141" s="116" customFormat="1">
      <c r="A52824" s="136"/>
      <c r="CM52824" s="111"/>
      <c r="CQ52824" s="111"/>
      <c r="EF52824"/>
      <c r="EG52824"/>
      <c r="EH52824"/>
      <c r="EI52824"/>
      <c r="EJ52824"/>
      <c r="EK52824"/>
    </row>
    <row r="52825" spans="1:141" s="116" customFormat="1">
      <c r="A52825" s="136"/>
      <c r="CM52825" s="111"/>
      <c r="CQ52825" s="111"/>
      <c r="EF52825"/>
      <c r="EG52825"/>
      <c r="EH52825"/>
      <c r="EI52825"/>
      <c r="EJ52825"/>
      <c r="EK52825"/>
    </row>
    <row r="52826" spans="1:141" s="116" customFormat="1">
      <c r="A52826" s="136"/>
      <c r="CM52826" s="111"/>
      <c r="CQ52826" s="111"/>
      <c r="EF52826"/>
      <c r="EG52826"/>
      <c r="EH52826"/>
      <c r="EI52826"/>
      <c r="EJ52826"/>
      <c r="EK52826"/>
    </row>
    <row r="52827" spans="1:141" s="116" customFormat="1">
      <c r="A52827" s="136"/>
      <c r="CM52827" s="111"/>
      <c r="CQ52827" s="111"/>
      <c r="EF52827"/>
      <c r="EG52827"/>
      <c r="EH52827"/>
      <c r="EI52827"/>
      <c r="EJ52827"/>
      <c r="EK52827"/>
    </row>
    <row r="52828" spans="1:141" s="116" customFormat="1">
      <c r="A52828" s="136"/>
      <c r="CM52828" s="111"/>
      <c r="CQ52828" s="111"/>
      <c r="EF52828"/>
      <c r="EG52828"/>
      <c r="EH52828"/>
      <c r="EI52828"/>
      <c r="EJ52828"/>
      <c r="EK52828"/>
    </row>
    <row r="52829" spans="1:141" s="116" customFormat="1">
      <c r="A52829" s="136"/>
      <c r="CM52829" s="111"/>
      <c r="CQ52829" s="111"/>
      <c r="EF52829"/>
      <c r="EG52829"/>
      <c r="EH52829"/>
      <c r="EI52829"/>
      <c r="EJ52829"/>
      <c r="EK52829"/>
    </row>
    <row r="52830" spans="1:141" s="116" customFormat="1">
      <c r="A52830" s="136"/>
      <c r="CM52830" s="111"/>
      <c r="CQ52830" s="111"/>
      <c r="EF52830"/>
      <c r="EG52830"/>
      <c r="EH52830"/>
      <c r="EI52830"/>
      <c r="EJ52830"/>
      <c r="EK52830"/>
    </row>
    <row r="52831" spans="1:141" s="116" customFormat="1">
      <c r="A52831" s="136"/>
      <c r="CM52831" s="111"/>
      <c r="CQ52831" s="111"/>
      <c r="EF52831"/>
      <c r="EG52831"/>
      <c r="EH52831"/>
      <c r="EI52831"/>
      <c r="EJ52831"/>
      <c r="EK52831"/>
    </row>
    <row r="52832" spans="1:141" s="116" customFormat="1">
      <c r="A52832" s="136"/>
      <c r="CM52832" s="111"/>
      <c r="CQ52832" s="111"/>
      <c r="EF52832"/>
      <c r="EG52832"/>
      <c r="EH52832"/>
      <c r="EI52832"/>
      <c r="EJ52832"/>
      <c r="EK52832"/>
    </row>
    <row r="52833" spans="1:141" s="116" customFormat="1">
      <c r="A52833" s="136"/>
      <c r="CM52833" s="111"/>
      <c r="CQ52833" s="111"/>
      <c r="EF52833"/>
      <c r="EG52833"/>
      <c r="EH52833"/>
      <c r="EI52833"/>
      <c r="EJ52833"/>
      <c r="EK52833"/>
    </row>
    <row r="52834" spans="1:141" s="116" customFormat="1">
      <c r="A52834" s="136"/>
      <c r="CM52834" s="111"/>
      <c r="CQ52834" s="111"/>
      <c r="EF52834"/>
      <c r="EG52834"/>
      <c r="EH52834"/>
      <c r="EI52834"/>
      <c r="EJ52834"/>
      <c r="EK52834"/>
    </row>
    <row r="52835" spans="1:141" s="116" customFormat="1">
      <c r="A52835" s="136"/>
      <c r="CM52835" s="111"/>
      <c r="CQ52835" s="111"/>
      <c r="EF52835"/>
      <c r="EG52835"/>
      <c r="EH52835"/>
      <c r="EI52835"/>
      <c r="EJ52835"/>
      <c r="EK52835"/>
    </row>
    <row r="52836" spans="1:141" s="116" customFormat="1">
      <c r="A52836" s="136"/>
      <c r="CM52836" s="111"/>
      <c r="CQ52836" s="111"/>
      <c r="EF52836"/>
      <c r="EG52836"/>
      <c r="EH52836"/>
      <c r="EI52836"/>
      <c r="EJ52836"/>
      <c r="EK52836"/>
    </row>
    <row r="52837" spans="1:141" s="116" customFormat="1">
      <c r="A52837" s="136"/>
      <c r="CM52837" s="111"/>
      <c r="CQ52837" s="111"/>
      <c r="EF52837"/>
      <c r="EG52837"/>
      <c r="EH52837"/>
      <c r="EI52837"/>
      <c r="EJ52837"/>
      <c r="EK52837"/>
    </row>
    <row r="52838" spans="1:141" s="116" customFormat="1">
      <c r="A52838" s="136"/>
      <c r="CM52838" s="111"/>
      <c r="CQ52838" s="111"/>
      <c r="EF52838"/>
      <c r="EG52838"/>
      <c r="EH52838"/>
      <c r="EI52838"/>
      <c r="EJ52838"/>
      <c r="EK52838"/>
    </row>
    <row r="52839" spans="1:141" s="116" customFormat="1">
      <c r="A52839" s="136"/>
      <c r="CM52839" s="111"/>
      <c r="CQ52839" s="111"/>
      <c r="EF52839"/>
      <c r="EG52839"/>
      <c r="EH52839"/>
      <c r="EI52839"/>
      <c r="EJ52839"/>
      <c r="EK52839"/>
    </row>
    <row r="52840" spans="1:141" s="116" customFormat="1">
      <c r="A52840" s="136"/>
      <c r="CM52840" s="111"/>
      <c r="CQ52840" s="111"/>
      <c r="EF52840"/>
      <c r="EG52840"/>
      <c r="EH52840"/>
      <c r="EI52840"/>
      <c r="EJ52840"/>
      <c r="EK52840"/>
    </row>
    <row r="52841" spans="1:141" s="116" customFormat="1">
      <c r="A52841" s="136"/>
      <c r="CM52841" s="111"/>
      <c r="CQ52841" s="111"/>
      <c r="EF52841"/>
      <c r="EG52841"/>
      <c r="EH52841"/>
      <c r="EI52841"/>
      <c r="EJ52841"/>
      <c r="EK52841"/>
    </row>
    <row r="52842" spans="1:141" s="116" customFormat="1">
      <c r="A52842" s="136"/>
      <c r="CM52842" s="111"/>
      <c r="CQ52842" s="111"/>
      <c r="EF52842"/>
      <c r="EG52842"/>
      <c r="EH52842"/>
      <c r="EI52842"/>
      <c r="EJ52842"/>
      <c r="EK52842"/>
    </row>
    <row r="52843" spans="1:141" s="116" customFormat="1">
      <c r="A52843" s="136"/>
      <c r="CM52843" s="111"/>
      <c r="CQ52843" s="111"/>
      <c r="EF52843"/>
      <c r="EG52843"/>
      <c r="EH52843"/>
      <c r="EI52843"/>
      <c r="EJ52843"/>
      <c r="EK52843"/>
    </row>
    <row r="52844" spans="1:141" s="116" customFormat="1">
      <c r="A52844" s="136"/>
      <c r="CM52844" s="111"/>
      <c r="CQ52844" s="111"/>
      <c r="EF52844"/>
      <c r="EG52844"/>
      <c r="EH52844"/>
      <c r="EI52844"/>
      <c r="EJ52844"/>
      <c r="EK52844"/>
    </row>
    <row r="52845" spans="1:141" s="116" customFormat="1">
      <c r="A52845" s="136"/>
      <c r="CM52845" s="111"/>
      <c r="CQ52845" s="111"/>
      <c r="EF52845"/>
      <c r="EG52845"/>
      <c r="EH52845"/>
      <c r="EI52845"/>
      <c r="EJ52845"/>
      <c r="EK52845"/>
    </row>
    <row r="52846" spans="1:141" s="116" customFormat="1">
      <c r="A52846" s="136"/>
      <c r="CM52846" s="111"/>
      <c r="CQ52846" s="111"/>
      <c r="EF52846"/>
      <c r="EG52846"/>
      <c r="EH52846"/>
      <c r="EI52846"/>
      <c r="EJ52846"/>
      <c r="EK52846"/>
    </row>
    <row r="52847" spans="1:141" s="116" customFormat="1">
      <c r="A52847" s="136"/>
      <c r="CM52847" s="111"/>
      <c r="CQ52847" s="111"/>
      <c r="EF52847"/>
      <c r="EG52847"/>
      <c r="EH52847"/>
      <c r="EI52847"/>
      <c r="EJ52847"/>
      <c r="EK52847"/>
    </row>
    <row r="52848" spans="1:141" s="116" customFormat="1">
      <c r="A52848" s="136"/>
      <c r="CM52848" s="111"/>
      <c r="CQ52848" s="111"/>
      <c r="EF52848"/>
      <c r="EG52848"/>
      <c r="EH52848"/>
      <c r="EI52848"/>
      <c r="EJ52848"/>
      <c r="EK52848"/>
    </row>
    <row r="52849" spans="1:141" s="116" customFormat="1">
      <c r="A52849" s="136"/>
      <c r="CM52849" s="111"/>
      <c r="CQ52849" s="111"/>
      <c r="EF52849"/>
      <c r="EG52849"/>
      <c r="EH52849"/>
      <c r="EI52849"/>
      <c r="EJ52849"/>
      <c r="EK52849"/>
    </row>
    <row r="52850" spans="1:141" s="116" customFormat="1">
      <c r="A52850" s="136"/>
      <c r="CM52850" s="111"/>
      <c r="CQ52850" s="111"/>
      <c r="EF52850"/>
      <c r="EG52850"/>
      <c r="EH52850"/>
      <c r="EI52850"/>
      <c r="EJ52850"/>
      <c r="EK52850"/>
    </row>
    <row r="52851" spans="1:141" s="116" customFormat="1">
      <c r="A52851" s="136"/>
      <c r="CM52851" s="111"/>
      <c r="CQ52851" s="111"/>
      <c r="EF52851"/>
      <c r="EG52851"/>
      <c r="EH52851"/>
      <c r="EI52851"/>
      <c r="EJ52851"/>
      <c r="EK52851"/>
    </row>
    <row r="52852" spans="1:141" s="116" customFormat="1">
      <c r="A52852" s="136"/>
      <c r="CM52852" s="111"/>
      <c r="CQ52852" s="111"/>
      <c r="EF52852"/>
      <c r="EG52852"/>
      <c r="EH52852"/>
      <c r="EI52852"/>
      <c r="EJ52852"/>
      <c r="EK52852"/>
    </row>
    <row r="52853" spans="1:141" s="116" customFormat="1">
      <c r="A52853" s="136"/>
      <c r="CM52853" s="111"/>
      <c r="CQ52853" s="111"/>
      <c r="EF52853"/>
      <c r="EG52853"/>
      <c r="EH52853"/>
      <c r="EI52853"/>
      <c r="EJ52853"/>
      <c r="EK52853"/>
    </row>
    <row r="52854" spans="1:141" s="116" customFormat="1">
      <c r="A52854" s="136"/>
      <c r="CM52854" s="111"/>
      <c r="CQ52854" s="111"/>
      <c r="EF52854"/>
      <c r="EG52854"/>
      <c r="EH52854"/>
      <c r="EI52854"/>
      <c r="EJ52854"/>
      <c r="EK52854"/>
    </row>
    <row r="52855" spans="1:141" s="116" customFormat="1">
      <c r="A52855" s="136"/>
      <c r="CM52855" s="111"/>
      <c r="CQ52855" s="111"/>
      <c r="EF52855"/>
      <c r="EG52855"/>
      <c r="EH52855"/>
      <c r="EI52855"/>
      <c r="EJ52855"/>
      <c r="EK52855"/>
    </row>
    <row r="52856" spans="1:141" s="116" customFormat="1">
      <c r="A52856" s="136"/>
      <c r="CM52856" s="111"/>
      <c r="CQ52856" s="111"/>
      <c r="EF52856"/>
      <c r="EG52856"/>
      <c r="EH52856"/>
      <c r="EI52856"/>
      <c r="EJ52856"/>
      <c r="EK52856"/>
    </row>
    <row r="52857" spans="1:141" s="116" customFormat="1">
      <c r="A52857" s="136"/>
      <c r="CM52857" s="111"/>
      <c r="CQ52857" s="111"/>
      <c r="EF52857"/>
      <c r="EG52857"/>
      <c r="EH52857"/>
      <c r="EI52857"/>
      <c r="EJ52857"/>
      <c r="EK52857"/>
    </row>
    <row r="52858" spans="1:141" s="116" customFormat="1">
      <c r="A52858" s="136"/>
      <c r="CM52858" s="111"/>
      <c r="CQ52858" s="111"/>
      <c r="EF52858"/>
      <c r="EG52858"/>
      <c r="EH52858"/>
      <c r="EI52858"/>
      <c r="EJ52858"/>
      <c r="EK52858"/>
    </row>
    <row r="52859" spans="1:141" s="116" customFormat="1">
      <c r="A52859" s="136"/>
      <c r="CM52859" s="111"/>
      <c r="CQ52859" s="111"/>
      <c r="EF52859"/>
      <c r="EG52859"/>
      <c r="EH52859"/>
      <c r="EI52859"/>
      <c r="EJ52859"/>
      <c r="EK52859"/>
    </row>
    <row r="52860" spans="1:141" s="116" customFormat="1">
      <c r="A52860" s="136"/>
      <c r="CM52860" s="111"/>
      <c r="CQ52860" s="111"/>
      <c r="EF52860"/>
      <c r="EG52860"/>
      <c r="EH52860"/>
      <c r="EI52860"/>
      <c r="EJ52860"/>
      <c r="EK52860"/>
    </row>
    <row r="52861" spans="1:141" s="116" customFormat="1">
      <c r="A52861" s="136"/>
      <c r="CM52861" s="111"/>
      <c r="CQ52861" s="111"/>
      <c r="EF52861"/>
      <c r="EG52861"/>
      <c r="EH52861"/>
      <c r="EI52861"/>
      <c r="EJ52861"/>
      <c r="EK52861"/>
    </row>
    <row r="52862" spans="1:141" s="116" customFormat="1">
      <c r="A52862" s="136"/>
      <c r="CM52862" s="111"/>
      <c r="CQ52862" s="111"/>
      <c r="EF52862"/>
      <c r="EG52862"/>
      <c r="EH52862"/>
      <c r="EI52862"/>
      <c r="EJ52862"/>
      <c r="EK52862"/>
    </row>
    <row r="52863" spans="1:141" s="116" customFormat="1">
      <c r="A52863" s="136"/>
      <c r="CM52863" s="111"/>
      <c r="CQ52863" s="111"/>
      <c r="EF52863"/>
      <c r="EG52863"/>
      <c r="EH52863"/>
      <c r="EI52863"/>
      <c r="EJ52863"/>
      <c r="EK52863"/>
    </row>
    <row r="52864" spans="1:141" s="116" customFormat="1">
      <c r="A52864" s="136"/>
      <c r="CM52864" s="111"/>
      <c r="CQ52864" s="111"/>
      <c r="EF52864"/>
      <c r="EG52864"/>
      <c r="EH52864"/>
      <c r="EI52864"/>
      <c r="EJ52864"/>
      <c r="EK52864"/>
    </row>
    <row r="52865" spans="1:141" s="116" customFormat="1">
      <c r="A52865" s="136"/>
      <c r="CM52865" s="111"/>
      <c r="CQ52865" s="111"/>
      <c r="EF52865"/>
      <c r="EG52865"/>
      <c r="EH52865"/>
      <c r="EI52865"/>
      <c r="EJ52865"/>
      <c r="EK52865"/>
    </row>
    <row r="52866" spans="1:141" s="116" customFormat="1">
      <c r="A52866" s="136"/>
      <c r="CM52866" s="111"/>
      <c r="CQ52866" s="111"/>
      <c r="EF52866"/>
      <c r="EG52866"/>
      <c r="EH52866"/>
      <c r="EI52866"/>
      <c r="EJ52866"/>
      <c r="EK52866"/>
    </row>
    <row r="52867" spans="1:141" s="116" customFormat="1">
      <c r="A52867" s="136"/>
      <c r="CM52867" s="111"/>
      <c r="CQ52867" s="111"/>
      <c r="EF52867"/>
      <c r="EG52867"/>
      <c r="EH52867"/>
      <c r="EI52867"/>
      <c r="EJ52867"/>
      <c r="EK52867"/>
    </row>
    <row r="52868" spans="1:141" s="116" customFormat="1">
      <c r="A52868" s="136"/>
      <c r="CM52868" s="111"/>
      <c r="CQ52868" s="111"/>
      <c r="EF52868"/>
      <c r="EG52868"/>
      <c r="EH52868"/>
      <c r="EI52868"/>
      <c r="EJ52868"/>
      <c r="EK52868"/>
    </row>
    <row r="52869" spans="1:141" s="116" customFormat="1">
      <c r="A52869" s="136"/>
      <c r="CM52869" s="111"/>
      <c r="CQ52869" s="111"/>
      <c r="EF52869"/>
      <c r="EG52869"/>
      <c r="EH52869"/>
      <c r="EI52869"/>
      <c r="EJ52869"/>
      <c r="EK52869"/>
    </row>
    <row r="52870" spans="1:141" s="116" customFormat="1">
      <c r="A52870" s="136"/>
      <c r="CM52870" s="111"/>
      <c r="CQ52870" s="111"/>
      <c r="EF52870"/>
      <c r="EG52870"/>
      <c r="EH52870"/>
      <c r="EI52870"/>
      <c r="EJ52870"/>
      <c r="EK52870"/>
    </row>
    <row r="52871" spans="1:141" s="116" customFormat="1">
      <c r="A52871" s="136"/>
      <c r="CM52871" s="111"/>
      <c r="CQ52871" s="111"/>
      <c r="EF52871"/>
      <c r="EG52871"/>
      <c r="EH52871"/>
      <c r="EI52871"/>
      <c r="EJ52871"/>
      <c r="EK52871"/>
    </row>
    <row r="52872" spans="1:141" s="116" customFormat="1">
      <c r="A52872" s="136"/>
      <c r="CM52872" s="111"/>
      <c r="CQ52872" s="111"/>
      <c r="EF52872"/>
      <c r="EG52872"/>
      <c r="EH52872"/>
      <c r="EI52872"/>
      <c r="EJ52872"/>
      <c r="EK52872"/>
    </row>
    <row r="52873" spans="1:141" s="116" customFormat="1">
      <c r="A52873" s="136"/>
      <c r="CM52873" s="111"/>
      <c r="CQ52873" s="111"/>
      <c r="EF52873"/>
      <c r="EG52873"/>
      <c r="EH52873"/>
      <c r="EI52873"/>
      <c r="EJ52873"/>
      <c r="EK52873"/>
    </row>
    <row r="52874" spans="1:141" s="116" customFormat="1">
      <c r="A52874" s="136"/>
      <c r="CM52874" s="111"/>
      <c r="CQ52874" s="111"/>
      <c r="EF52874"/>
      <c r="EG52874"/>
      <c r="EH52874"/>
      <c r="EI52874"/>
      <c r="EJ52874"/>
      <c r="EK52874"/>
    </row>
    <row r="52875" spans="1:141" s="116" customFormat="1">
      <c r="A52875" s="136"/>
      <c r="CM52875" s="111"/>
      <c r="CQ52875" s="111"/>
      <c r="EF52875"/>
      <c r="EG52875"/>
      <c r="EH52875"/>
      <c r="EI52875"/>
      <c r="EJ52875"/>
      <c r="EK52875"/>
    </row>
    <row r="52876" spans="1:141" s="116" customFormat="1">
      <c r="A52876" s="136"/>
      <c r="CM52876" s="111"/>
      <c r="CQ52876" s="111"/>
      <c r="EF52876"/>
      <c r="EG52876"/>
      <c r="EH52876"/>
      <c r="EI52876"/>
      <c r="EJ52876"/>
      <c r="EK52876"/>
    </row>
    <row r="52877" spans="1:141" s="116" customFormat="1">
      <c r="A52877" s="136"/>
      <c r="CM52877" s="111"/>
      <c r="CQ52877" s="111"/>
      <c r="EF52877"/>
      <c r="EG52877"/>
      <c r="EH52877"/>
      <c r="EI52877"/>
      <c r="EJ52877"/>
      <c r="EK52877"/>
    </row>
    <row r="52878" spans="1:141" s="116" customFormat="1">
      <c r="A52878" s="136"/>
      <c r="CM52878" s="111"/>
      <c r="CQ52878" s="111"/>
      <c r="EF52878"/>
      <c r="EG52878"/>
      <c r="EH52878"/>
      <c r="EI52878"/>
      <c r="EJ52878"/>
      <c r="EK52878"/>
    </row>
    <row r="52879" spans="1:141" s="116" customFormat="1">
      <c r="A52879" s="136"/>
      <c r="CM52879" s="111"/>
      <c r="CQ52879" s="111"/>
      <c r="EF52879"/>
      <c r="EG52879"/>
      <c r="EH52879"/>
      <c r="EI52879"/>
      <c r="EJ52879"/>
      <c r="EK52879"/>
    </row>
    <row r="52880" spans="1:141" s="116" customFormat="1">
      <c r="A52880" s="136"/>
      <c r="CM52880" s="111"/>
      <c r="CQ52880" s="111"/>
      <c r="EF52880"/>
      <c r="EG52880"/>
      <c r="EH52880"/>
      <c r="EI52880"/>
      <c r="EJ52880"/>
      <c r="EK52880"/>
    </row>
    <row r="52881" spans="1:141" s="116" customFormat="1">
      <c r="A52881" s="136"/>
      <c r="CM52881" s="111"/>
      <c r="CQ52881" s="111"/>
      <c r="EF52881"/>
      <c r="EG52881"/>
      <c r="EH52881"/>
      <c r="EI52881"/>
      <c r="EJ52881"/>
      <c r="EK52881"/>
    </row>
    <row r="52882" spans="1:141" s="116" customFormat="1">
      <c r="A52882" s="136"/>
      <c r="CM52882" s="111"/>
      <c r="CQ52882" s="111"/>
      <c r="EF52882"/>
      <c r="EG52882"/>
      <c r="EH52882"/>
      <c r="EI52882"/>
      <c r="EJ52882"/>
      <c r="EK52882"/>
    </row>
    <row r="52883" spans="1:141" s="116" customFormat="1">
      <c r="A52883" s="136"/>
      <c r="CM52883" s="111"/>
      <c r="CQ52883" s="111"/>
      <c r="EF52883"/>
      <c r="EG52883"/>
      <c r="EH52883"/>
      <c r="EI52883"/>
      <c r="EJ52883"/>
      <c r="EK52883"/>
    </row>
    <row r="52884" spans="1:141" s="116" customFormat="1">
      <c r="A52884" s="136"/>
      <c r="CM52884" s="111"/>
      <c r="CQ52884" s="111"/>
      <c r="EF52884"/>
      <c r="EG52884"/>
      <c r="EH52884"/>
      <c r="EI52884"/>
      <c r="EJ52884"/>
      <c r="EK52884"/>
    </row>
    <row r="52885" spans="1:141" s="116" customFormat="1">
      <c r="A52885" s="136"/>
      <c r="CM52885" s="111"/>
      <c r="CQ52885" s="111"/>
      <c r="EF52885"/>
      <c r="EG52885"/>
      <c r="EH52885"/>
      <c r="EI52885"/>
      <c r="EJ52885"/>
      <c r="EK52885"/>
    </row>
    <row r="52886" spans="1:141" s="116" customFormat="1">
      <c r="A52886" s="136"/>
      <c r="CM52886" s="111"/>
      <c r="CQ52886" s="111"/>
      <c r="EF52886"/>
      <c r="EG52886"/>
      <c r="EH52886"/>
      <c r="EI52886"/>
      <c r="EJ52886"/>
      <c r="EK52886"/>
    </row>
    <row r="52887" spans="1:141" s="116" customFormat="1">
      <c r="A52887" s="136"/>
      <c r="CM52887" s="111"/>
      <c r="CQ52887" s="111"/>
      <c r="EF52887"/>
      <c r="EG52887"/>
      <c r="EH52887"/>
      <c r="EI52887"/>
      <c r="EJ52887"/>
      <c r="EK52887"/>
    </row>
    <row r="52888" spans="1:141" s="116" customFormat="1">
      <c r="A52888" s="136"/>
      <c r="CM52888" s="111"/>
      <c r="CQ52888" s="111"/>
      <c r="EF52888"/>
      <c r="EG52888"/>
      <c r="EH52888"/>
      <c r="EI52888"/>
      <c r="EJ52888"/>
      <c r="EK52888"/>
    </row>
    <row r="52889" spans="1:141" s="116" customFormat="1">
      <c r="A52889" s="136"/>
      <c r="CM52889" s="111"/>
      <c r="CQ52889" s="111"/>
      <c r="EF52889"/>
      <c r="EG52889"/>
      <c r="EH52889"/>
      <c r="EI52889"/>
      <c r="EJ52889"/>
      <c r="EK52889"/>
    </row>
    <row r="52890" spans="1:141" s="116" customFormat="1">
      <c r="A52890" s="136"/>
      <c r="CM52890" s="111"/>
      <c r="CQ52890" s="111"/>
      <c r="EF52890"/>
      <c r="EG52890"/>
      <c r="EH52890"/>
      <c r="EI52890"/>
      <c r="EJ52890"/>
      <c r="EK52890"/>
    </row>
    <row r="52891" spans="1:141" s="116" customFormat="1">
      <c r="A52891" s="136"/>
      <c r="CM52891" s="111"/>
      <c r="CQ52891" s="111"/>
      <c r="EF52891"/>
      <c r="EG52891"/>
      <c r="EH52891"/>
      <c r="EI52891"/>
      <c r="EJ52891"/>
      <c r="EK52891"/>
    </row>
    <row r="52892" spans="1:141" s="116" customFormat="1">
      <c r="A52892" s="136"/>
      <c r="CM52892" s="111"/>
      <c r="CQ52892" s="111"/>
      <c r="EF52892"/>
      <c r="EG52892"/>
      <c r="EH52892"/>
      <c r="EI52892"/>
      <c r="EJ52892"/>
      <c r="EK52892"/>
    </row>
    <row r="52893" spans="1:141" s="116" customFormat="1">
      <c r="A52893" s="136"/>
      <c r="CM52893" s="111"/>
      <c r="CQ52893" s="111"/>
      <c r="EF52893"/>
      <c r="EG52893"/>
      <c r="EH52893"/>
      <c r="EI52893"/>
      <c r="EJ52893"/>
      <c r="EK52893"/>
    </row>
    <row r="52894" spans="1:141" s="116" customFormat="1">
      <c r="A52894" s="136"/>
      <c r="CM52894" s="111"/>
      <c r="CQ52894" s="111"/>
      <c r="EF52894"/>
      <c r="EG52894"/>
      <c r="EH52894"/>
      <c r="EI52894"/>
      <c r="EJ52894"/>
      <c r="EK52894"/>
    </row>
    <row r="52895" spans="1:141" s="116" customFormat="1">
      <c r="A52895" s="136"/>
      <c r="CM52895" s="111"/>
      <c r="CQ52895" s="111"/>
      <c r="EF52895"/>
      <c r="EG52895"/>
      <c r="EH52895"/>
      <c r="EI52895"/>
      <c r="EJ52895"/>
      <c r="EK52895"/>
    </row>
    <row r="52896" spans="1:141" s="116" customFormat="1">
      <c r="A52896" s="136"/>
      <c r="CM52896" s="111"/>
      <c r="CQ52896" s="111"/>
      <c r="EF52896"/>
      <c r="EG52896"/>
      <c r="EH52896"/>
      <c r="EI52896"/>
      <c r="EJ52896"/>
      <c r="EK52896"/>
    </row>
    <row r="52897" spans="1:141" s="116" customFormat="1">
      <c r="A52897" s="136"/>
      <c r="CM52897" s="111"/>
      <c r="CQ52897" s="111"/>
      <c r="EF52897"/>
      <c r="EG52897"/>
      <c r="EH52897"/>
      <c r="EI52897"/>
      <c r="EJ52897"/>
      <c r="EK52897"/>
    </row>
    <row r="52898" spans="1:141" s="116" customFormat="1">
      <c r="A52898" s="136"/>
      <c r="CM52898" s="111"/>
      <c r="CQ52898" s="111"/>
      <c r="EF52898"/>
      <c r="EG52898"/>
      <c r="EH52898"/>
      <c r="EI52898"/>
      <c r="EJ52898"/>
      <c r="EK52898"/>
    </row>
    <row r="52899" spans="1:141" s="116" customFormat="1">
      <c r="A52899" s="136"/>
      <c r="CM52899" s="111"/>
      <c r="CQ52899" s="111"/>
      <c r="EF52899"/>
      <c r="EG52899"/>
      <c r="EH52899"/>
      <c r="EI52899"/>
      <c r="EJ52899"/>
      <c r="EK52899"/>
    </row>
    <row r="52900" spans="1:141" s="116" customFormat="1">
      <c r="A52900" s="136"/>
      <c r="CM52900" s="111"/>
      <c r="CQ52900" s="111"/>
      <c r="EF52900"/>
      <c r="EG52900"/>
      <c r="EH52900"/>
      <c r="EI52900"/>
      <c r="EJ52900"/>
      <c r="EK52900"/>
    </row>
    <row r="52901" spans="1:141" s="116" customFormat="1">
      <c r="A52901" s="136"/>
      <c r="CM52901" s="111"/>
      <c r="CQ52901" s="111"/>
      <c r="EF52901"/>
      <c r="EG52901"/>
      <c r="EH52901"/>
      <c r="EI52901"/>
      <c r="EJ52901"/>
      <c r="EK52901"/>
    </row>
    <row r="52902" spans="1:141" s="116" customFormat="1">
      <c r="A52902" s="136"/>
      <c r="CM52902" s="111"/>
      <c r="CQ52902" s="111"/>
      <c r="EF52902"/>
      <c r="EG52902"/>
      <c r="EH52902"/>
      <c r="EI52902"/>
      <c r="EJ52902"/>
      <c r="EK52902"/>
    </row>
    <row r="52903" spans="1:141" s="116" customFormat="1">
      <c r="A52903" s="136"/>
      <c r="CM52903" s="111"/>
      <c r="CQ52903" s="111"/>
      <c r="EF52903"/>
      <c r="EG52903"/>
      <c r="EH52903"/>
      <c r="EI52903"/>
      <c r="EJ52903"/>
      <c r="EK52903"/>
    </row>
    <row r="52904" spans="1:141" s="116" customFormat="1">
      <c r="A52904" s="136"/>
      <c r="CM52904" s="111"/>
      <c r="CQ52904" s="111"/>
      <c r="EF52904"/>
      <c r="EG52904"/>
      <c r="EH52904"/>
      <c r="EI52904"/>
      <c r="EJ52904"/>
      <c r="EK52904"/>
    </row>
    <row r="52905" spans="1:141" s="116" customFormat="1">
      <c r="A52905" s="136"/>
      <c r="CM52905" s="111"/>
      <c r="CQ52905" s="111"/>
      <c r="EF52905"/>
      <c r="EG52905"/>
      <c r="EH52905"/>
      <c r="EI52905"/>
      <c r="EJ52905"/>
      <c r="EK52905"/>
    </row>
    <row r="52906" spans="1:141" s="116" customFormat="1">
      <c r="A52906" s="136"/>
      <c r="CM52906" s="111"/>
      <c r="CQ52906" s="111"/>
      <c r="EF52906"/>
      <c r="EG52906"/>
      <c r="EH52906"/>
      <c r="EI52906"/>
      <c r="EJ52906"/>
      <c r="EK52906"/>
    </row>
    <row r="52907" spans="1:141" s="116" customFormat="1">
      <c r="A52907" s="136"/>
      <c r="CM52907" s="111"/>
      <c r="CQ52907" s="111"/>
      <c r="EF52907"/>
      <c r="EG52907"/>
      <c r="EH52907"/>
      <c r="EI52907"/>
      <c r="EJ52907"/>
      <c r="EK52907"/>
    </row>
    <row r="52908" spans="1:141" s="116" customFormat="1">
      <c r="A52908" s="136"/>
      <c r="CM52908" s="111"/>
      <c r="CQ52908" s="111"/>
      <c r="EF52908"/>
      <c r="EG52908"/>
      <c r="EH52908"/>
      <c r="EI52908"/>
      <c r="EJ52908"/>
      <c r="EK52908"/>
    </row>
    <row r="52909" spans="1:141" s="116" customFormat="1">
      <c r="A52909" s="136"/>
      <c r="CM52909" s="111"/>
      <c r="CQ52909" s="111"/>
      <c r="EF52909"/>
      <c r="EG52909"/>
      <c r="EH52909"/>
      <c r="EI52909"/>
      <c r="EJ52909"/>
      <c r="EK52909"/>
    </row>
    <row r="52910" spans="1:141" s="116" customFormat="1">
      <c r="A52910" s="136"/>
      <c r="CM52910" s="111"/>
      <c r="CQ52910" s="111"/>
      <c r="EF52910"/>
      <c r="EG52910"/>
      <c r="EH52910"/>
      <c r="EI52910"/>
      <c r="EJ52910"/>
      <c r="EK52910"/>
    </row>
    <row r="52911" spans="1:141" s="116" customFormat="1">
      <c r="A52911" s="136"/>
      <c r="CM52911" s="111"/>
      <c r="CQ52911" s="111"/>
      <c r="EF52911"/>
      <c r="EG52911"/>
      <c r="EH52911"/>
      <c r="EI52911"/>
      <c r="EJ52911"/>
      <c r="EK52911"/>
    </row>
    <row r="52912" spans="1:141" s="116" customFormat="1">
      <c r="A52912" s="136"/>
      <c r="CM52912" s="111"/>
      <c r="CQ52912" s="111"/>
      <c r="EF52912"/>
      <c r="EG52912"/>
      <c r="EH52912"/>
      <c r="EI52912"/>
      <c r="EJ52912"/>
      <c r="EK52912"/>
    </row>
    <row r="52913" spans="1:141" s="116" customFormat="1">
      <c r="A52913" s="136"/>
      <c r="CM52913" s="111"/>
      <c r="CQ52913" s="111"/>
      <c r="EF52913"/>
      <c r="EG52913"/>
      <c r="EH52913"/>
      <c r="EI52913"/>
      <c r="EJ52913"/>
      <c r="EK52913"/>
    </row>
    <row r="52914" spans="1:141" s="116" customFormat="1">
      <c r="A52914" s="136"/>
      <c r="CM52914" s="111"/>
      <c r="CQ52914" s="111"/>
      <c r="EF52914"/>
      <c r="EG52914"/>
      <c r="EH52914"/>
      <c r="EI52914"/>
      <c r="EJ52914"/>
      <c r="EK52914"/>
    </row>
    <row r="52915" spans="1:141" s="116" customFormat="1">
      <c r="A52915" s="136"/>
      <c r="CM52915" s="111"/>
      <c r="CQ52915" s="111"/>
      <c r="EF52915"/>
      <c r="EG52915"/>
      <c r="EH52915"/>
      <c r="EI52915"/>
      <c r="EJ52915"/>
      <c r="EK52915"/>
    </row>
    <row r="52916" spans="1:141" s="116" customFormat="1">
      <c r="A52916" s="136"/>
      <c r="CM52916" s="111"/>
      <c r="CQ52916" s="111"/>
      <c r="EF52916"/>
      <c r="EG52916"/>
      <c r="EH52916"/>
      <c r="EI52916"/>
      <c r="EJ52916"/>
      <c r="EK52916"/>
    </row>
    <row r="52917" spans="1:141" s="116" customFormat="1">
      <c r="A52917" s="136"/>
      <c r="CM52917" s="111"/>
      <c r="CQ52917" s="111"/>
      <c r="EF52917"/>
      <c r="EG52917"/>
      <c r="EH52917"/>
      <c r="EI52917"/>
      <c r="EJ52917"/>
      <c r="EK52917"/>
    </row>
    <row r="52918" spans="1:141" s="116" customFormat="1">
      <c r="A52918" s="136"/>
      <c r="CM52918" s="111"/>
      <c r="CQ52918" s="111"/>
      <c r="EF52918"/>
      <c r="EG52918"/>
      <c r="EH52918"/>
      <c r="EI52918"/>
      <c r="EJ52918"/>
      <c r="EK52918"/>
    </row>
    <row r="52919" spans="1:141" s="116" customFormat="1">
      <c r="A52919" s="136"/>
      <c r="CM52919" s="111"/>
      <c r="CQ52919" s="111"/>
      <c r="EF52919"/>
      <c r="EG52919"/>
      <c r="EH52919"/>
      <c r="EI52919"/>
      <c r="EJ52919"/>
      <c r="EK52919"/>
    </row>
    <row r="52920" spans="1:141" s="116" customFormat="1">
      <c r="A52920" s="136"/>
      <c r="CM52920" s="111"/>
      <c r="CQ52920" s="111"/>
      <c r="EF52920"/>
      <c r="EG52920"/>
      <c r="EH52920"/>
      <c r="EI52920"/>
      <c r="EJ52920"/>
      <c r="EK52920"/>
    </row>
    <row r="52921" spans="1:141" s="116" customFormat="1">
      <c r="A52921" s="136"/>
      <c r="CM52921" s="111"/>
      <c r="CQ52921" s="111"/>
      <c r="EF52921"/>
      <c r="EG52921"/>
      <c r="EH52921"/>
      <c r="EI52921"/>
      <c r="EJ52921"/>
      <c r="EK52921"/>
    </row>
    <row r="52922" spans="1:141" s="116" customFormat="1">
      <c r="A52922" s="136"/>
      <c r="CM52922" s="111"/>
      <c r="CQ52922" s="111"/>
      <c r="EF52922"/>
      <c r="EG52922"/>
      <c r="EH52922"/>
      <c r="EI52922"/>
      <c r="EJ52922"/>
      <c r="EK52922"/>
    </row>
    <row r="52923" spans="1:141" s="116" customFormat="1">
      <c r="A52923" s="136"/>
      <c r="CM52923" s="111"/>
      <c r="CQ52923" s="111"/>
      <c r="EF52923"/>
      <c r="EG52923"/>
      <c r="EH52923"/>
      <c r="EI52923"/>
      <c r="EJ52923"/>
      <c r="EK52923"/>
    </row>
    <row r="52924" spans="1:141" s="116" customFormat="1">
      <c r="A52924" s="136"/>
      <c r="CM52924" s="111"/>
      <c r="CQ52924" s="111"/>
      <c r="EF52924"/>
      <c r="EG52924"/>
      <c r="EH52924"/>
      <c r="EI52924"/>
      <c r="EJ52924"/>
      <c r="EK52924"/>
    </row>
    <row r="52925" spans="1:141" s="116" customFormat="1">
      <c r="A52925" s="136"/>
      <c r="CM52925" s="111"/>
      <c r="CQ52925" s="111"/>
      <c r="EF52925"/>
      <c r="EG52925"/>
      <c r="EH52925"/>
      <c r="EI52925"/>
      <c r="EJ52925"/>
      <c r="EK52925"/>
    </row>
    <row r="52926" spans="1:141" s="116" customFormat="1">
      <c r="A52926" s="136"/>
      <c r="CM52926" s="111"/>
      <c r="CQ52926" s="111"/>
      <c r="EF52926"/>
      <c r="EG52926"/>
      <c r="EH52926"/>
      <c r="EI52926"/>
      <c r="EJ52926"/>
      <c r="EK52926"/>
    </row>
    <row r="52927" spans="1:141" s="116" customFormat="1">
      <c r="A52927" s="136"/>
      <c r="CM52927" s="111"/>
      <c r="CQ52927" s="111"/>
      <c r="EF52927"/>
      <c r="EG52927"/>
      <c r="EH52927"/>
      <c r="EI52927"/>
      <c r="EJ52927"/>
      <c r="EK52927"/>
    </row>
    <row r="52928" spans="1:141" s="116" customFormat="1">
      <c r="A52928" s="136"/>
      <c r="CM52928" s="111"/>
      <c r="CQ52928" s="111"/>
      <c r="EF52928"/>
      <c r="EG52928"/>
      <c r="EH52928"/>
      <c r="EI52928"/>
      <c r="EJ52928"/>
      <c r="EK52928"/>
    </row>
    <row r="52929" spans="1:141" s="116" customFormat="1">
      <c r="A52929" s="136"/>
      <c r="CM52929" s="111"/>
      <c r="CQ52929" s="111"/>
      <c r="EF52929"/>
      <c r="EG52929"/>
      <c r="EH52929"/>
      <c r="EI52929"/>
      <c r="EJ52929"/>
      <c r="EK52929"/>
    </row>
    <row r="52930" spans="1:141" s="116" customFormat="1">
      <c r="A52930" s="136"/>
      <c r="CM52930" s="111"/>
      <c r="CQ52930" s="111"/>
      <c r="EF52930"/>
      <c r="EG52930"/>
      <c r="EH52930"/>
      <c r="EI52930"/>
      <c r="EJ52930"/>
      <c r="EK52930"/>
    </row>
    <row r="52931" spans="1:141" s="116" customFormat="1">
      <c r="A52931" s="136"/>
      <c r="CM52931" s="111"/>
      <c r="CQ52931" s="111"/>
      <c r="EF52931"/>
      <c r="EG52931"/>
      <c r="EH52931"/>
      <c r="EI52931"/>
      <c r="EJ52931"/>
      <c r="EK52931"/>
    </row>
    <row r="52932" spans="1:141" s="116" customFormat="1">
      <c r="A52932" s="136"/>
      <c r="CM52932" s="111"/>
      <c r="CQ52932" s="111"/>
      <c r="EF52932"/>
      <c r="EG52932"/>
      <c r="EH52932"/>
      <c r="EI52932"/>
      <c r="EJ52932"/>
      <c r="EK52932"/>
    </row>
    <row r="52933" spans="1:141" s="116" customFormat="1">
      <c r="A52933" s="136"/>
      <c r="CM52933" s="111"/>
      <c r="CQ52933" s="111"/>
      <c r="EF52933"/>
      <c r="EG52933"/>
      <c r="EH52933"/>
      <c r="EI52933"/>
      <c r="EJ52933"/>
      <c r="EK52933"/>
    </row>
    <row r="52934" spans="1:141" s="116" customFormat="1">
      <c r="A52934" s="136"/>
      <c r="CM52934" s="111"/>
      <c r="CQ52934" s="111"/>
      <c r="EF52934"/>
      <c r="EG52934"/>
      <c r="EH52934"/>
      <c r="EI52934"/>
      <c r="EJ52934"/>
      <c r="EK52934"/>
    </row>
    <row r="52935" spans="1:141" s="116" customFormat="1">
      <c r="A52935" s="136"/>
      <c r="CM52935" s="111"/>
      <c r="CQ52935" s="111"/>
      <c r="EF52935"/>
      <c r="EG52935"/>
      <c r="EH52935"/>
      <c r="EI52935"/>
      <c r="EJ52935"/>
      <c r="EK52935"/>
    </row>
    <row r="52936" spans="1:141" s="116" customFormat="1">
      <c r="A52936" s="136"/>
      <c r="CM52936" s="111"/>
      <c r="CQ52936" s="111"/>
      <c r="EF52936"/>
      <c r="EG52936"/>
      <c r="EH52936"/>
      <c r="EI52936"/>
      <c r="EJ52936"/>
      <c r="EK52936"/>
    </row>
    <row r="52937" spans="1:141" s="116" customFormat="1">
      <c r="A52937" s="136"/>
      <c r="CM52937" s="111"/>
      <c r="CQ52937" s="111"/>
      <c r="EF52937"/>
      <c r="EG52937"/>
      <c r="EH52937"/>
      <c r="EI52937"/>
      <c r="EJ52937"/>
      <c r="EK52937"/>
    </row>
    <row r="52938" spans="1:141" s="116" customFormat="1">
      <c r="A52938" s="136"/>
      <c r="CM52938" s="111"/>
      <c r="CQ52938" s="111"/>
      <c r="EF52938"/>
      <c r="EG52938"/>
      <c r="EH52938"/>
      <c r="EI52938"/>
      <c r="EJ52938"/>
      <c r="EK52938"/>
    </row>
    <row r="52939" spans="1:141" s="116" customFormat="1">
      <c r="A52939" s="136"/>
      <c r="CM52939" s="111"/>
      <c r="CQ52939" s="111"/>
      <c r="EF52939"/>
      <c r="EG52939"/>
      <c r="EH52939"/>
      <c r="EI52939"/>
      <c r="EJ52939"/>
      <c r="EK52939"/>
    </row>
    <row r="52940" spans="1:141" s="116" customFormat="1">
      <c r="A52940" s="136"/>
      <c r="CM52940" s="111"/>
      <c r="CQ52940" s="111"/>
      <c r="EF52940"/>
      <c r="EG52940"/>
      <c r="EH52940"/>
      <c r="EI52940"/>
      <c r="EJ52940"/>
      <c r="EK52940"/>
    </row>
    <row r="52941" spans="1:141" s="116" customFormat="1">
      <c r="A52941" s="136"/>
      <c r="CM52941" s="111"/>
      <c r="CQ52941" s="111"/>
      <c r="EF52941"/>
      <c r="EG52941"/>
      <c r="EH52941"/>
      <c r="EI52941"/>
      <c r="EJ52941"/>
      <c r="EK52941"/>
    </row>
    <row r="52942" spans="1:141" s="116" customFormat="1">
      <c r="A52942" s="136"/>
      <c r="CM52942" s="111"/>
      <c r="CQ52942" s="111"/>
      <c r="EF52942"/>
      <c r="EG52942"/>
      <c r="EH52942"/>
      <c r="EI52942"/>
      <c r="EJ52942"/>
      <c r="EK52942"/>
    </row>
    <row r="52943" spans="1:141" s="116" customFormat="1">
      <c r="A52943" s="136"/>
      <c r="CM52943" s="111"/>
      <c r="CQ52943" s="111"/>
      <c r="EF52943"/>
      <c r="EG52943"/>
      <c r="EH52943"/>
      <c r="EI52943"/>
      <c r="EJ52943"/>
      <c r="EK52943"/>
    </row>
    <row r="52944" spans="1:141" s="116" customFormat="1">
      <c r="A52944" s="136"/>
      <c r="CM52944" s="111"/>
      <c r="CQ52944" s="111"/>
      <c r="EF52944"/>
      <c r="EG52944"/>
      <c r="EH52944"/>
      <c r="EI52944"/>
      <c r="EJ52944"/>
      <c r="EK52944"/>
    </row>
    <row r="52945" spans="1:141" s="116" customFormat="1">
      <c r="A52945" s="136"/>
      <c r="CM52945" s="111"/>
      <c r="CQ52945" s="111"/>
      <c r="EF52945"/>
      <c r="EG52945"/>
      <c r="EH52945"/>
      <c r="EI52945"/>
      <c r="EJ52945"/>
      <c r="EK52945"/>
    </row>
    <row r="52946" spans="1:141" s="116" customFormat="1">
      <c r="A52946" s="136"/>
      <c r="CM52946" s="111"/>
      <c r="CQ52946" s="111"/>
      <c r="EF52946"/>
      <c r="EG52946"/>
      <c r="EH52946"/>
      <c r="EI52946"/>
      <c r="EJ52946"/>
      <c r="EK52946"/>
    </row>
    <row r="52947" spans="1:141" s="116" customFormat="1">
      <c r="A52947" s="136"/>
      <c r="CM52947" s="111"/>
      <c r="CQ52947" s="111"/>
      <c r="EF52947"/>
      <c r="EG52947"/>
      <c r="EH52947"/>
      <c r="EI52947"/>
      <c r="EJ52947"/>
      <c r="EK52947"/>
    </row>
    <row r="52948" spans="1:141" s="116" customFormat="1">
      <c r="A52948" s="136"/>
      <c r="CM52948" s="111"/>
      <c r="CQ52948" s="111"/>
      <c r="EF52948"/>
      <c r="EG52948"/>
      <c r="EH52948"/>
      <c r="EI52948"/>
      <c r="EJ52948"/>
      <c r="EK52948"/>
    </row>
    <row r="52949" spans="1:141" s="116" customFormat="1">
      <c r="A52949" s="136"/>
      <c r="CM52949" s="111"/>
      <c r="CQ52949" s="111"/>
      <c r="EF52949"/>
      <c r="EG52949"/>
      <c r="EH52949"/>
      <c r="EI52949"/>
      <c r="EJ52949"/>
      <c r="EK52949"/>
    </row>
    <row r="52950" spans="1:141" s="116" customFormat="1">
      <c r="A52950" s="136"/>
      <c r="CM52950" s="111"/>
      <c r="CQ52950" s="111"/>
      <c r="EF52950"/>
      <c r="EG52950"/>
      <c r="EH52950"/>
      <c r="EI52950"/>
      <c r="EJ52950"/>
      <c r="EK52950"/>
    </row>
    <row r="52951" spans="1:141" s="116" customFormat="1">
      <c r="A52951" s="136"/>
      <c r="CM52951" s="111"/>
      <c r="CQ52951" s="111"/>
      <c r="EF52951"/>
      <c r="EG52951"/>
      <c r="EH52951"/>
      <c r="EI52951"/>
      <c r="EJ52951"/>
      <c r="EK52951"/>
    </row>
    <row r="52952" spans="1:141" s="116" customFormat="1">
      <c r="A52952" s="136"/>
      <c r="CM52952" s="111"/>
      <c r="CQ52952" s="111"/>
      <c r="EF52952"/>
      <c r="EG52952"/>
      <c r="EH52952"/>
      <c r="EI52952"/>
      <c r="EJ52952"/>
      <c r="EK52952"/>
    </row>
    <row r="52953" spans="1:141" s="116" customFormat="1">
      <c r="A52953" s="136"/>
      <c r="CM52953" s="111"/>
      <c r="CQ52953" s="111"/>
      <c r="EF52953"/>
      <c r="EG52953"/>
      <c r="EH52953"/>
      <c r="EI52953"/>
      <c r="EJ52953"/>
      <c r="EK52953"/>
    </row>
    <row r="52954" spans="1:141" s="116" customFormat="1">
      <c r="A52954" s="136"/>
      <c r="CM52954" s="111"/>
      <c r="CQ52954" s="111"/>
      <c r="EF52954"/>
      <c r="EG52954"/>
      <c r="EH52954"/>
      <c r="EI52954"/>
      <c r="EJ52954"/>
      <c r="EK52954"/>
    </row>
    <row r="52955" spans="1:141" s="116" customFormat="1">
      <c r="A52955" s="136"/>
      <c r="CM52955" s="111"/>
      <c r="CQ52955" s="111"/>
      <c r="EF52955"/>
      <c r="EG52955"/>
      <c r="EH52955"/>
      <c r="EI52955"/>
      <c r="EJ52955"/>
      <c r="EK52955"/>
    </row>
    <row r="52956" spans="1:141" s="116" customFormat="1">
      <c r="A52956" s="136"/>
      <c r="CM52956" s="111"/>
      <c r="CQ52956" s="111"/>
      <c r="EF52956"/>
      <c r="EG52956"/>
      <c r="EH52956"/>
      <c r="EI52956"/>
      <c r="EJ52956"/>
      <c r="EK52956"/>
    </row>
    <row r="52957" spans="1:141" s="116" customFormat="1">
      <c r="A52957" s="136"/>
      <c r="CM52957" s="111"/>
      <c r="CQ52957" s="111"/>
      <c r="EF52957"/>
      <c r="EG52957"/>
      <c r="EH52957"/>
      <c r="EI52957"/>
      <c r="EJ52957"/>
      <c r="EK52957"/>
    </row>
    <row r="52958" spans="1:141" s="116" customFormat="1">
      <c r="A52958" s="136"/>
      <c r="CM52958" s="111"/>
      <c r="CQ52958" s="111"/>
      <c r="EF52958"/>
      <c r="EG52958"/>
      <c r="EH52958"/>
      <c r="EI52958"/>
      <c r="EJ52958"/>
      <c r="EK52958"/>
    </row>
    <row r="52959" spans="1:141" s="116" customFormat="1">
      <c r="A52959" s="136"/>
      <c r="CM52959" s="111"/>
      <c r="CQ52959" s="111"/>
      <c r="EF52959"/>
      <c r="EG52959"/>
      <c r="EH52959"/>
      <c r="EI52959"/>
      <c r="EJ52959"/>
      <c r="EK52959"/>
    </row>
    <row r="52960" spans="1:141" s="116" customFormat="1">
      <c r="A52960" s="136"/>
      <c r="CM52960" s="111"/>
      <c r="CQ52960" s="111"/>
      <c r="EF52960"/>
      <c r="EG52960"/>
      <c r="EH52960"/>
      <c r="EI52960"/>
      <c r="EJ52960"/>
      <c r="EK52960"/>
    </row>
    <row r="52961" spans="1:141" s="116" customFormat="1">
      <c r="A52961" s="136"/>
      <c r="CM52961" s="111"/>
      <c r="CQ52961" s="111"/>
      <c r="EF52961"/>
      <c r="EG52961"/>
      <c r="EH52961"/>
      <c r="EI52961"/>
      <c r="EJ52961"/>
      <c r="EK52961"/>
    </row>
    <row r="52962" spans="1:141" s="116" customFormat="1">
      <c r="A52962" s="136"/>
      <c r="CM52962" s="111"/>
      <c r="CQ52962" s="111"/>
      <c r="EF52962"/>
      <c r="EG52962"/>
      <c r="EH52962"/>
      <c r="EI52962"/>
      <c r="EJ52962"/>
      <c r="EK52962"/>
    </row>
    <row r="52963" spans="1:141" s="116" customFormat="1">
      <c r="A52963" s="136"/>
      <c r="CM52963" s="111"/>
      <c r="CQ52963" s="111"/>
      <c r="EF52963"/>
      <c r="EG52963"/>
      <c r="EH52963"/>
      <c r="EI52963"/>
      <c r="EJ52963"/>
      <c r="EK52963"/>
    </row>
    <row r="52964" spans="1:141" s="116" customFormat="1">
      <c r="A52964" s="136"/>
      <c r="CM52964" s="111"/>
      <c r="CQ52964" s="111"/>
      <c r="EF52964"/>
      <c r="EG52964"/>
      <c r="EH52964"/>
      <c r="EI52964"/>
      <c r="EJ52964"/>
      <c r="EK52964"/>
    </row>
    <row r="52965" spans="1:141" s="116" customFormat="1">
      <c r="A52965" s="136"/>
      <c r="CM52965" s="111"/>
      <c r="CQ52965" s="111"/>
      <c r="EF52965"/>
      <c r="EG52965"/>
      <c r="EH52965"/>
      <c r="EI52965"/>
      <c r="EJ52965"/>
      <c r="EK52965"/>
    </row>
    <row r="52966" spans="1:141" s="116" customFormat="1">
      <c r="A52966" s="136"/>
      <c r="CM52966" s="111"/>
      <c r="CQ52966" s="111"/>
      <c r="EF52966"/>
      <c r="EG52966"/>
      <c r="EH52966"/>
      <c r="EI52966"/>
      <c r="EJ52966"/>
      <c r="EK52966"/>
    </row>
    <row r="52967" spans="1:141" s="116" customFormat="1">
      <c r="A52967" s="136"/>
      <c r="CM52967" s="111"/>
      <c r="CQ52967" s="111"/>
      <c r="EF52967"/>
      <c r="EG52967"/>
      <c r="EH52967"/>
      <c r="EI52967"/>
      <c r="EJ52967"/>
      <c r="EK52967"/>
    </row>
    <row r="52968" spans="1:141" s="116" customFormat="1">
      <c r="A52968" s="136"/>
      <c r="CM52968" s="111"/>
      <c r="CQ52968" s="111"/>
      <c r="EF52968"/>
      <c r="EG52968"/>
      <c r="EH52968"/>
      <c r="EI52968"/>
      <c r="EJ52968"/>
      <c r="EK52968"/>
    </row>
    <row r="52969" spans="1:141" s="116" customFormat="1">
      <c r="A52969" s="136"/>
      <c r="CM52969" s="111"/>
      <c r="CQ52969" s="111"/>
      <c r="EF52969"/>
      <c r="EG52969"/>
      <c r="EH52969"/>
      <c r="EI52969"/>
      <c r="EJ52969"/>
      <c r="EK52969"/>
    </row>
    <row r="52970" spans="1:141" s="116" customFormat="1">
      <c r="A52970" s="136"/>
      <c r="CM52970" s="111"/>
      <c r="CQ52970" s="111"/>
      <c r="EF52970"/>
      <c r="EG52970"/>
      <c r="EH52970"/>
      <c r="EI52970"/>
      <c r="EJ52970"/>
      <c r="EK52970"/>
    </row>
    <row r="52971" spans="1:141" s="116" customFormat="1">
      <c r="A52971" s="136"/>
      <c r="CM52971" s="111"/>
      <c r="CQ52971" s="111"/>
      <c r="EF52971"/>
      <c r="EG52971"/>
      <c r="EH52971"/>
      <c r="EI52971"/>
      <c r="EJ52971"/>
      <c r="EK52971"/>
    </row>
    <row r="52972" spans="1:141" s="116" customFormat="1">
      <c r="A52972" s="136"/>
      <c r="CM52972" s="111"/>
      <c r="CQ52972" s="111"/>
      <c r="EF52972"/>
      <c r="EG52972"/>
      <c r="EH52972"/>
      <c r="EI52972"/>
      <c r="EJ52972"/>
      <c r="EK52972"/>
    </row>
    <row r="52973" spans="1:141" s="116" customFormat="1">
      <c r="A52973" s="136"/>
      <c r="CM52973" s="111"/>
      <c r="CQ52973" s="111"/>
      <c r="EF52973"/>
      <c r="EG52973"/>
      <c r="EH52973"/>
      <c r="EI52973"/>
      <c r="EJ52973"/>
      <c r="EK52973"/>
    </row>
    <row r="52974" spans="1:141" s="116" customFormat="1">
      <c r="A52974" s="136"/>
      <c r="CM52974" s="111"/>
      <c r="CQ52974" s="111"/>
      <c r="EF52974"/>
      <c r="EG52974"/>
      <c r="EH52974"/>
      <c r="EI52974"/>
      <c r="EJ52974"/>
      <c r="EK52974"/>
    </row>
    <row r="52975" spans="1:141" s="116" customFormat="1">
      <c r="A52975" s="136"/>
      <c r="CM52975" s="111"/>
      <c r="CQ52975" s="111"/>
      <c r="EF52975"/>
      <c r="EG52975"/>
      <c r="EH52975"/>
      <c r="EI52975"/>
      <c r="EJ52975"/>
      <c r="EK52975"/>
    </row>
    <row r="52976" spans="1:141" s="116" customFormat="1">
      <c r="A52976" s="136"/>
      <c r="CM52976" s="111"/>
      <c r="CQ52976" s="111"/>
      <c r="EF52976"/>
      <c r="EG52976"/>
      <c r="EH52976"/>
      <c r="EI52976"/>
      <c r="EJ52976"/>
      <c r="EK52976"/>
    </row>
    <row r="52977" spans="1:141" s="116" customFormat="1">
      <c r="A52977" s="136"/>
      <c r="CM52977" s="111"/>
      <c r="CQ52977" s="111"/>
      <c r="EF52977"/>
      <c r="EG52977"/>
      <c r="EH52977"/>
      <c r="EI52977"/>
      <c r="EJ52977"/>
      <c r="EK52977"/>
    </row>
    <row r="52978" spans="1:141" s="116" customFormat="1">
      <c r="A52978" s="136"/>
      <c r="CM52978" s="111"/>
      <c r="CQ52978" s="111"/>
      <c r="EF52978"/>
      <c r="EG52978"/>
      <c r="EH52978"/>
      <c r="EI52978"/>
      <c r="EJ52978"/>
      <c r="EK52978"/>
    </row>
    <row r="52979" spans="1:141" s="116" customFormat="1">
      <c r="A52979" s="136"/>
      <c r="CM52979" s="111"/>
      <c r="CQ52979" s="111"/>
      <c r="EF52979"/>
      <c r="EG52979"/>
      <c r="EH52979"/>
      <c r="EI52979"/>
      <c r="EJ52979"/>
      <c r="EK52979"/>
    </row>
    <row r="52980" spans="1:141" s="116" customFormat="1">
      <c r="A52980" s="136"/>
      <c r="CM52980" s="111"/>
      <c r="CQ52980" s="111"/>
      <c r="EF52980"/>
      <c r="EG52980"/>
      <c r="EH52980"/>
      <c r="EI52980"/>
      <c r="EJ52980"/>
      <c r="EK52980"/>
    </row>
    <row r="52981" spans="1:141" s="116" customFormat="1">
      <c r="A52981" s="136"/>
      <c r="CM52981" s="111"/>
      <c r="CQ52981" s="111"/>
      <c r="EF52981"/>
      <c r="EG52981"/>
      <c r="EH52981"/>
      <c r="EI52981"/>
      <c r="EJ52981"/>
      <c r="EK52981"/>
    </row>
    <row r="52982" spans="1:141" s="116" customFormat="1">
      <c r="A52982" s="136"/>
      <c r="CM52982" s="111"/>
      <c r="CQ52982" s="111"/>
      <c r="EF52982"/>
      <c r="EG52982"/>
      <c r="EH52982"/>
      <c r="EI52982"/>
      <c r="EJ52982"/>
      <c r="EK52982"/>
    </row>
    <row r="52983" spans="1:141" s="116" customFormat="1">
      <c r="A52983" s="136"/>
      <c r="CM52983" s="111"/>
      <c r="CQ52983" s="111"/>
      <c r="EF52983"/>
      <c r="EG52983"/>
      <c r="EH52983"/>
      <c r="EI52983"/>
      <c r="EJ52983"/>
      <c r="EK52983"/>
    </row>
    <row r="52984" spans="1:141" s="116" customFormat="1">
      <c r="A52984" s="136"/>
      <c r="CM52984" s="111"/>
      <c r="CQ52984" s="111"/>
      <c r="EF52984"/>
      <c r="EG52984"/>
      <c r="EH52984"/>
      <c r="EI52984"/>
      <c r="EJ52984"/>
      <c r="EK52984"/>
    </row>
    <row r="52985" spans="1:141" s="116" customFormat="1">
      <c r="A52985" s="136"/>
      <c r="CM52985" s="111"/>
      <c r="CQ52985" s="111"/>
      <c r="EF52985"/>
      <c r="EG52985"/>
      <c r="EH52985"/>
      <c r="EI52985"/>
      <c r="EJ52985"/>
      <c r="EK52985"/>
    </row>
    <row r="52986" spans="1:141" s="116" customFormat="1">
      <c r="A52986" s="136"/>
      <c r="CM52986" s="111"/>
      <c r="CQ52986" s="111"/>
      <c r="EF52986"/>
      <c r="EG52986"/>
      <c r="EH52986"/>
      <c r="EI52986"/>
      <c r="EJ52986"/>
      <c r="EK52986"/>
    </row>
    <row r="52987" spans="1:141" s="116" customFormat="1">
      <c r="A52987" s="136"/>
      <c r="CM52987" s="111"/>
      <c r="CQ52987" s="111"/>
      <c r="EF52987"/>
      <c r="EG52987"/>
      <c r="EH52987"/>
      <c r="EI52987"/>
      <c r="EJ52987"/>
      <c r="EK52987"/>
    </row>
    <row r="52988" spans="1:141" s="116" customFormat="1">
      <c r="A52988" s="136"/>
      <c r="CM52988" s="111"/>
      <c r="CQ52988" s="111"/>
      <c r="EF52988"/>
      <c r="EG52988"/>
      <c r="EH52988"/>
      <c r="EI52988"/>
      <c r="EJ52988"/>
      <c r="EK52988"/>
    </row>
    <row r="52989" spans="1:141" s="116" customFormat="1">
      <c r="A52989" s="136"/>
      <c r="CM52989" s="111"/>
      <c r="CQ52989" s="111"/>
      <c r="EF52989"/>
      <c r="EG52989"/>
      <c r="EH52989"/>
      <c r="EI52989"/>
      <c r="EJ52989"/>
      <c r="EK52989"/>
    </row>
    <row r="52990" spans="1:141" s="116" customFormat="1">
      <c r="A52990" s="136"/>
      <c r="CM52990" s="111"/>
      <c r="CQ52990" s="111"/>
      <c r="EF52990"/>
      <c r="EG52990"/>
      <c r="EH52990"/>
      <c r="EI52990"/>
      <c r="EJ52990"/>
      <c r="EK52990"/>
    </row>
    <row r="52991" spans="1:141" s="116" customFormat="1">
      <c r="A52991" s="136"/>
      <c r="CM52991" s="111"/>
      <c r="CQ52991" s="111"/>
      <c r="EF52991"/>
      <c r="EG52991"/>
      <c r="EH52991"/>
      <c r="EI52991"/>
      <c r="EJ52991"/>
      <c r="EK52991"/>
    </row>
    <row r="52992" spans="1:141" s="116" customFormat="1">
      <c r="A52992" s="136"/>
      <c r="CM52992" s="111"/>
      <c r="CQ52992" s="111"/>
      <c r="EF52992"/>
      <c r="EG52992"/>
      <c r="EH52992"/>
      <c r="EI52992"/>
      <c r="EJ52992"/>
      <c r="EK52992"/>
    </row>
    <row r="52993" spans="1:141" s="116" customFormat="1">
      <c r="A52993" s="136"/>
      <c r="CM52993" s="111"/>
      <c r="CQ52993" s="111"/>
      <c r="EF52993"/>
      <c r="EG52993"/>
      <c r="EH52993"/>
      <c r="EI52993"/>
      <c r="EJ52993"/>
      <c r="EK52993"/>
    </row>
    <row r="52994" spans="1:141" s="116" customFormat="1">
      <c r="A52994" s="136"/>
      <c r="CM52994" s="111"/>
      <c r="CQ52994" s="111"/>
      <c r="EF52994"/>
      <c r="EG52994"/>
      <c r="EH52994"/>
      <c r="EI52994"/>
      <c r="EJ52994"/>
      <c r="EK52994"/>
    </row>
    <row r="52995" spans="1:141" s="116" customFormat="1">
      <c r="A52995" s="136"/>
      <c r="CM52995" s="111"/>
      <c r="CQ52995" s="111"/>
      <c r="EF52995"/>
      <c r="EG52995"/>
      <c r="EH52995"/>
      <c r="EI52995"/>
      <c r="EJ52995"/>
      <c r="EK52995"/>
    </row>
    <row r="52996" spans="1:141" s="116" customFormat="1">
      <c r="A52996" s="136"/>
      <c r="CM52996" s="111"/>
      <c r="CQ52996" s="111"/>
      <c r="EF52996"/>
      <c r="EG52996"/>
      <c r="EH52996"/>
      <c r="EI52996"/>
      <c r="EJ52996"/>
      <c r="EK52996"/>
    </row>
    <row r="52997" spans="1:141" s="116" customFormat="1">
      <c r="A52997" s="136"/>
      <c r="CM52997" s="111"/>
      <c r="CQ52997" s="111"/>
      <c r="EF52997"/>
      <c r="EG52997"/>
      <c r="EH52997"/>
      <c r="EI52997"/>
      <c r="EJ52997"/>
      <c r="EK52997"/>
    </row>
    <row r="52998" spans="1:141" s="116" customFormat="1">
      <c r="A52998" s="136"/>
      <c r="CM52998" s="111"/>
      <c r="CQ52998" s="111"/>
      <c r="EF52998"/>
      <c r="EG52998"/>
      <c r="EH52998"/>
      <c r="EI52998"/>
      <c r="EJ52998"/>
      <c r="EK52998"/>
    </row>
    <row r="52999" spans="1:141" s="116" customFormat="1">
      <c r="A52999" s="136"/>
      <c r="CM52999" s="111"/>
      <c r="CQ52999" s="111"/>
      <c r="EF52999"/>
      <c r="EG52999"/>
      <c r="EH52999"/>
      <c r="EI52999"/>
      <c r="EJ52999"/>
      <c r="EK52999"/>
    </row>
    <row r="53000" spans="1:141" s="116" customFormat="1">
      <c r="A53000" s="136"/>
      <c r="CM53000" s="111"/>
      <c r="CQ53000" s="111"/>
      <c r="EF53000"/>
      <c r="EG53000"/>
      <c r="EH53000"/>
      <c r="EI53000"/>
      <c r="EJ53000"/>
      <c r="EK53000"/>
    </row>
    <row r="53001" spans="1:141" s="116" customFormat="1">
      <c r="A53001" s="136"/>
      <c r="CM53001" s="111"/>
      <c r="CQ53001" s="111"/>
      <c r="EF53001"/>
      <c r="EG53001"/>
      <c r="EH53001"/>
      <c r="EI53001"/>
      <c r="EJ53001"/>
      <c r="EK53001"/>
    </row>
    <row r="53002" spans="1:141" s="116" customFormat="1">
      <c r="A53002" s="136"/>
      <c r="CM53002" s="111"/>
      <c r="CQ53002" s="111"/>
      <c r="EF53002"/>
      <c r="EG53002"/>
      <c r="EH53002"/>
      <c r="EI53002"/>
      <c r="EJ53002"/>
      <c r="EK53002"/>
    </row>
    <row r="53003" spans="1:141" s="116" customFormat="1">
      <c r="A53003" s="136"/>
      <c r="CM53003" s="111"/>
      <c r="CQ53003" s="111"/>
      <c r="EF53003"/>
      <c r="EG53003"/>
      <c r="EH53003"/>
      <c r="EI53003"/>
      <c r="EJ53003"/>
      <c r="EK53003"/>
    </row>
    <row r="53004" spans="1:141" s="116" customFormat="1">
      <c r="A53004" s="136"/>
      <c r="CM53004" s="111"/>
      <c r="CQ53004" s="111"/>
      <c r="EF53004"/>
      <c r="EG53004"/>
      <c r="EH53004"/>
      <c r="EI53004"/>
      <c r="EJ53004"/>
      <c r="EK53004"/>
    </row>
    <row r="53005" spans="1:141" s="116" customFormat="1">
      <c r="A53005" s="136"/>
      <c r="CM53005" s="111"/>
      <c r="CQ53005" s="111"/>
      <c r="EF53005"/>
      <c r="EG53005"/>
      <c r="EH53005"/>
      <c r="EI53005"/>
      <c r="EJ53005"/>
      <c r="EK53005"/>
    </row>
    <row r="53006" spans="1:141" s="116" customFormat="1">
      <c r="A53006" s="136"/>
      <c r="CM53006" s="111"/>
      <c r="CQ53006" s="111"/>
      <c r="EF53006"/>
      <c r="EG53006"/>
      <c r="EH53006"/>
      <c r="EI53006"/>
      <c r="EJ53006"/>
      <c r="EK53006"/>
    </row>
    <row r="53007" spans="1:141" s="116" customFormat="1">
      <c r="A53007" s="136"/>
      <c r="CM53007" s="111"/>
      <c r="CQ53007" s="111"/>
      <c r="EF53007"/>
      <c r="EG53007"/>
      <c r="EH53007"/>
      <c r="EI53007"/>
      <c r="EJ53007"/>
      <c r="EK53007"/>
    </row>
    <row r="53008" spans="1:141" s="116" customFormat="1">
      <c r="A53008" s="136"/>
      <c r="CM53008" s="111"/>
      <c r="CQ53008" s="111"/>
      <c r="EF53008"/>
      <c r="EG53008"/>
      <c r="EH53008"/>
      <c r="EI53008"/>
      <c r="EJ53008"/>
      <c r="EK53008"/>
    </row>
    <row r="53009" spans="1:141" s="116" customFormat="1">
      <c r="A53009" s="136"/>
      <c r="CM53009" s="111"/>
      <c r="CQ53009" s="111"/>
      <c r="EF53009"/>
      <c r="EG53009"/>
      <c r="EH53009"/>
      <c r="EI53009"/>
      <c r="EJ53009"/>
      <c r="EK53009"/>
    </row>
    <row r="53010" spans="1:141" s="116" customFormat="1">
      <c r="A53010" s="136"/>
      <c r="CM53010" s="111"/>
      <c r="CQ53010" s="111"/>
      <c r="EF53010"/>
      <c r="EG53010"/>
      <c r="EH53010"/>
      <c r="EI53010"/>
      <c r="EJ53010"/>
      <c r="EK53010"/>
    </row>
    <row r="53011" spans="1:141" s="116" customFormat="1">
      <c r="A53011" s="136"/>
      <c r="CM53011" s="111"/>
      <c r="CQ53011" s="111"/>
      <c r="EF53011"/>
      <c r="EG53011"/>
      <c r="EH53011"/>
      <c r="EI53011"/>
      <c r="EJ53011"/>
      <c r="EK53011"/>
    </row>
    <row r="53012" spans="1:141" s="116" customFormat="1">
      <c r="A53012" s="136"/>
      <c r="CM53012" s="111"/>
      <c r="CQ53012" s="111"/>
      <c r="EF53012"/>
      <c r="EG53012"/>
      <c r="EH53012"/>
      <c r="EI53012"/>
      <c r="EJ53012"/>
      <c r="EK53012"/>
    </row>
    <row r="53013" spans="1:141" s="116" customFormat="1">
      <c r="A53013" s="136"/>
      <c r="CM53013" s="111"/>
      <c r="CQ53013" s="111"/>
      <c r="EF53013"/>
      <c r="EG53013"/>
      <c r="EH53013"/>
      <c r="EI53013"/>
      <c r="EJ53013"/>
      <c r="EK53013"/>
    </row>
    <row r="53014" spans="1:141" s="116" customFormat="1">
      <c r="A53014" s="136"/>
      <c r="CM53014" s="111"/>
      <c r="CQ53014" s="111"/>
      <c r="EF53014"/>
      <c r="EG53014"/>
      <c r="EH53014"/>
      <c r="EI53014"/>
      <c r="EJ53014"/>
      <c r="EK53014"/>
    </row>
    <row r="53015" spans="1:141" s="116" customFormat="1">
      <c r="A53015" s="136"/>
      <c r="CM53015" s="111"/>
      <c r="CQ53015" s="111"/>
      <c r="EF53015"/>
      <c r="EG53015"/>
      <c r="EH53015"/>
      <c r="EI53015"/>
      <c r="EJ53015"/>
      <c r="EK53015"/>
    </row>
    <row r="53016" spans="1:141" s="116" customFormat="1">
      <c r="A53016" s="136"/>
      <c r="CM53016" s="111"/>
      <c r="CQ53016" s="111"/>
      <c r="EF53016"/>
      <c r="EG53016"/>
      <c r="EH53016"/>
      <c r="EI53016"/>
      <c r="EJ53016"/>
      <c r="EK53016"/>
    </row>
    <row r="53017" spans="1:141" s="116" customFormat="1">
      <c r="A53017" s="136"/>
      <c r="CM53017" s="111"/>
      <c r="CQ53017" s="111"/>
      <c r="EF53017"/>
      <c r="EG53017"/>
      <c r="EH53017"/>
      <c r="EI53017"/>
      <c r="EJ53017"/>
      <c r="EK53017"/>
    </row>
    <row r="53018" spans="1:141" s="116" customFormat="1">
      <c r="A53018" s="136"/>
      <c r="CM53018" s="111"/>
      <c r="CQ53018" s="111"/>
      <c r="EF53018"/>
      <c r="EG53018"/>
      <c r="EH53018"/>
      <c r="EI53018"/>
      <c r="EJ53018"/>
      <c r="EK53018"/>
    </row>
    <row r="53019" spans="1:141" s="116" customFormat="1">
      <c r="A53019" s="136"/>
      <c r="CM53019" s="111"/>
      <c r="CQ53019" s="111"/>
      <c r="EF53019"/>
      <c r="EG53019"/>
      <c r="EH53019"/>
      <c r="EI53019"/>
      <c r="EJ53019"/>
      <c r="EK53019"/>
    </row>
    <row r="53020" spans="1:141" s="116" customFormat="1">
      <c r="A53020" s="136"/>
      <c r="CM53020" s="111"/>
      <c r="CQ53020" s="111"/>
      <c r="EF53020"/>
      <c r="EG53020"/>
      <c r="EH53020"/>
      <c r="EI53020"/>
      <c r="EJ53020"/>
      <c r="EK53020"/>
    </row>
    <row r="53021" spans="1:141" s="116" customFormat="1">
      <c r="A53021" s="136"/>
      <c r="CM53021" s="111"/>
      <c r="CQ53021" s="111"/>
      <c r="EF53021"/>
      <c r="EG53021"/>
      <c r="EH53021"/>
      <c r="EI53021"/>
      <c r="EJ53021"/>
      <c r="EK53021"/>
    </row>
    <row r="53022" spans="1:141" s="116" customFormat="1">
      <c r="A53022" s="136"/>
      <c r="CM53022" s="111"/>
      <c r="CQ53022" s="111"/>
      <c r="EF53022"/>
      <c r="EG53022"/>
      <c r="EH53022"/>
      <c r="EI53022"/>
      <c r="EJ53022"/>
      <c r="EK53022"/>
    </row>
    <row r="53023" spans="1:141" s="116" customFormat="1">
      <c r="A53023" s="136"/>
      <c r="CM53023" s="111"/>
      <c r="CQ53023" s="111"/>
      <c r="EF53023"/>
      <c r="EG53023"/>
      <c r="EH53023"/>
      <c r="EI53023"/>
      <c r="EJ53023"/>
      <c r="EK53023"/>
    </row>
    <row r="53024" spans="1:141" s="116" customFormat="1">
      <c r="A53024" s="136"/>
      <c r="CM53024" s="111"/>
      <c r="CQ53024" s="111"/>
      <c r="EF53024"/>
      <c r="EG53024"/>
      <c r="EH53024"/>
      <c r="EI53024"/>
      <c r="EJ53024"/>
      <c r="EK53024"/>
    </row>
    <row r="53025" spans="1:141" s="116" customFormat="1">
      <c r="A53025" s="136"/>
      <c r="CM53025" s="111"/>
      <c r="CQ53025" s="111"/>
      <c r="EF53025"/>
      <c r="EG53025"/>
      <c r="EH53025"/>
      <c r="EI53025"/>
      <c r="EJ53025"/>
      <c r="EK53025"/>
    </row>
    <row r="53026" spans="1:141" s="116" customFormat="1">
      <c r="A53026" s="136"/>
      <c r="CM53026" s="111"/>
      <c r="CQ53026" s="111"/>
      <c r="EF53026"/>
      <c r="EG53026"/>
      <c r="EH53026"/>
      <c r="EI53026"/>
      <c r="EJ53026"/>
      <c r="EK53026"/>
    </row>
    <row r="53027" spans="1:141" s="116" customFormat="1">
      <c r="A53027" s="136"/>
      <c r="CM53027" s="111"/>
      <c r="CQ53027" s="111"/>
      <c r="EF53027"/>
      <c r="EG53027"/>
      <c r="EH53027"/>
      <c r="EI53027"/>
      <c r="EJ53027"/>
      <c r="EK53027"/>
    </row>
    <row r="53028" spans="1:141" s="116" customFormat="1">
      <c r="A53028" s="136"/>
      <c r="CM53028" s="111"/>
      <c r="CQ53028" s="111"/>
      <c r="EF53028"/>
      <c r="EG53028"/>
      <c r="EH53028"/>
      <c r="EI53028"/>
      <c r="EJ53028"/>
      <c r="EK53028"/>
    </row>
    <row r="53029" spans="1:141" s="116" customFormat="1">
      <c r="A53029" s="136"/>
      <c r="CM53029" s="111"/>
      <c r="CQ53029" s="111"/>
      <c r="EF53029"/>
      <c r="EG53029"/>
      <c r="EH53029"/>
      <c r="EI53029"/>
      <c r="EJ53029"/>
      <c r="EK53029"/>
    </row>
    <row r="53030" spans="1:141" s="116" customFormat="1">
      <c r="A53030" s="136"/>
      <c r="CM53030" s="111"/>
      <c r="CQ53030" s="111"/>
      <c r="EF53030"/>
      <c r="EG53030"/>
      <c r="EH53030"/>
      <c r="EI53030"/>
      <c r="EJ53030"/>
      <c r="EK53030"/>
    </row>
    <row r="53031" spans="1:141" s="116" customFormat="1">
      <c r="A53031" s="136"/>
      <c r="CM53031" s="111"/>
      <c r="CQ53031" s="111"/>
      <c r="EF53031"/>
      <c r="EG53031"/>
      <c r="EH53031"/>
      <c r="EI53031"/>
      <c r="EJ53031"/>
      <c r="EK53031"/>
    </row>
    <row r="53032" spans="1:141" s="116" customFormat="1">
      <c r="A53032" s="136"/>
      <c r="CM53032" s="111"/>
      <c r="CQ53032" s="111"/>
      <c r="EF53032"/>
      <c r="EG53032"/>
      <c r="EH53032"/>
      <c r="EI53032"/>
      <c r="EJ53032"/>
      <c r="EK53032"/>
    </row>
    <row r="53033" spans="1:141" s="116" customFormat="1">
      <c r="A53033" s="136"/>
      <c r="CM53033" s="111"/>
      <c r="CQ53033" s="111"/>
      <c r="EF53033"/>
      <c r="EG53033"/>
      <c r="EH53033"/>
      <c r="EI53033"/>
      <c r="EJ53033"/>
      <c r="EK53033"/>
    </row>
    <row r="53034" spans="1:141" s="116" customFormat="1">
      <c r="A53034" s="136"/>
      <c r="CM53034" s="111"/>
      <c r="CQ53034" s="111"/>
      <c r="EF53034"/>
      <c r="EG53034"/>
      <c r="EH53034"/>
      <c r="EI53034"/>
      <c r="EJ53034"/>
      <c r="EK53034"/>
    </row>
    <row r="53035" spans="1:141" s="116" customFormat="1">
      <c r="A53035" s="136"/>
      <c r="CM53035" s="111"/>
      <c r="CQ53035" s="111"/>
      <c r="EF53035"/>
      <c r="EG53035"/>
      <c r="EH53035"/>
      <c r="EI53035"/>
      <c r="EJ53035"/>
      <c r="EK53035"/>
    </row>
    <row r="53036" spans="1:141" s="116" customFormat="1">
      <c r="A53036" s="136"/>
      <c r="CM53036" s="111"/>
      <c r="CQ53036" s="111"/>
      <c r="EF53036"/>
      <c r="EG53036"/>
      <c r="EH53036"/>
      <c r="EI53036"/>
      <c r="EJ53036"/>
      <c r="EK53036"/>
    </row>
    <row r="53037" spans="1:141" s="116" customFormat="1">
      <c r="A53037" s="136"/>
      <c r="CM53037" s="111"/>
      <c r="CQ53037" s="111"/>
      <c r="EF53037"/>
      <c r="EG53037"/>
      <c r="EH53037"/>
      <c r="EI53037"/>
      <c r="EJ53037"/>
      <c r="EK53037"/>
    </row>
    <row r="53038" spans="1:141" s="116" customFormat="1">
      <c r="A53038" s="136"/>
      <c r="CM53038" s="111"/>
      <c r="CQ53038" s="111"/>
      <c r="EF53038"/>
      <c r="EG53038"/>
      <c r="EH53038"/>
      <c r="EI53038"/>
      <c r="EJ53038"/>
      <c r="EK53038"/>
    </row>
    <row r="53039" spans="1:141" s="116" customFormat="1">
      <c r="A53039" s="136"/>
      <c r="CM53039" s="111"/>
      <c r="CQ53039" s="111"/>
      <c r="EF53039"/>
      <c r="EG53039"/>
      <c r="EH53039"/>
      <c r="EI53039"/>
      <c r="EJ53039"/>
      <c r="EK53039"/>
    </row>
    <row r="53040" spans="1:141" s="116" customFormat="1">
      <c r="A53040" s="136"/>
      <c r="CM53040" s="111"/>
      <c r="CQ53040" s="111"/>
      <c r="EF53040"/>
      <c r="EG53040"/>
      <c r="EH53040"/>
      <c r="EI53040"/>
      <c r="EJ53040"/>
      <c r="EK53040"/>
    </row>
    <row r="53041" spans="1:141" s="116" customFormat="1">
      <c r="A53041" s="136"/>
      <c r="CM53041" s="111"/>
      <c r="CQ53041" s="111"/>
      <c r="EF53041"/>
      <c r="EG53041"/>
      <c r="EH53041"/>
      <c r="EI53041"/>
      <c r="EJ53041"/>
      <c r="EK53041"/>
    </row>
    <row r="53042" spans="1:141" s="116" customFormat="1">
      <c r="A53042" s="136"/>
      <c r="CM53042" s="111"/>
      <c r="CQ53042" s="111"/>
      <c r="EF53042"/>
      <c r="EG53042"/>
      <c r="EH53042"/>
      <c r="EI53042"/>
      <c r="EJ53042"/>
      <c r="EK53042"/>
    </row>
    <row r="53043" spans="1:141" s="116" customFormat="1">
      <c r="A53043" s="136"/>
      <c r="CM53043" s="111"/>
      <c r="CQ53043" s="111"/>
      <c r="EF53043"/>
      <c r="EG53043"/>
      <c r="EH53043"/>
      <c r="EI53043"/>
      <c r="EJ53043"/>
      <c r="EK53043"/>
    </row>
    <row r="53044" spans="1:141" s="116" customFormat="1">
      <c r="A53044" s="136"/>
      <c r="CM53044" s="111"/>
      <c r="CQ53044" s="111"/>
      <c r="EF53044"/>
      <c r="EG53044"/>
      <c r="EH53044"/>
      <c r="EI53044"/>
      <c r="EJ53044"/>
      <c r="EK53044"/>
    </row>
    <row r="53045" spans="1:141" s="116" customFormat="1">
      <c r="A53045" s="136"/>
      <c r="CM53045" s="111"/>
      <c r="CQ53045" s="111"/>
      <c r="EF53045"/>
      <c r="EG53045"/>
      <c r="EH53045"/>
      <c r="EI53045"/>
      <c r="EJ53045"/>
      <c r="EK53045"/>
    </row>
    <row r="53046" spans="1:141" s="116" customFormat="1">
      <c r="A53046" s="136"/>
      <c r="CM53046" s="111"/>
      <c r="CQ53046" s="111"/>
      <c r="EF53046"/>
      <c r="EG53046"/>
      <c r="EH53046"/>
      <c r="EI53046"/>
      <c r="EJ53046"/>
      <c r="EK53046"/>
    </row>
    <row r="53047" spans="1:141" s="116" customFormat="1">
      <c r="A53047" s="136"/>
      <c r="CM53047" s="111"/>
      <c r="CQ53047" s="111"/>
      <c r="EF53047"/>
      <c r="EG53047"/>
      <c r="EH53047"/>
      <c r="EI53047"/>
      <c r="EJ53047"/>
      <c r="EK53047"/>
    </row>
    <row r="53048" spans="1:141" s="116" customFormat="1">
      <c r="A53048" s="136"/>
      <c r="CM53048" s="111"/>
      <c r="CQ53048" s="111"/>
      <c r="EF53048"/>
      <c r="EG53048"/>
      <c r="EH53048"/>
      <c r="EI53048"/>
      <c r="EJ53048"/>
      <c r="EK53048"/>
    </row>
    <row r="53049" spans="1:141" s="116" customFormat="1">
      <c r="A53049" s="136"/>
      <c r="CM53049" s="111"/>
      <c r="CQ53049" s="111"/>
      <c r="EF53049"/>
      <c r="EG53049"/>
      <c r="EH53049"/>
      <c r="EI53049"/>
      <c r="EJ53049"/>
      <c r="EK53049"/>
    </row>
    <row r="53050" spans="1:141" s="116" customFormat="1">
      <c r="A53050" s="136"/>
      <c r="CM53050" s="111"/>
      <c r="CQ53050" s="111"/>
      <c r="EF53050"/>
      <c r="EG53050"/>
      <c r="EH53050"/>
      <c r="EI53050"/>
      <c r="EJ53050"/>
      <c r="EK53050"/>
    </row>
    <row r="53051" spans="1:141" s="116" customFormat="1">
      <c r="A53051" s="136"/>
      <c r="CM53051" s="111"/>
      <c r="CQ53051" s="111"/>
      <c r="EF53051"/>
      <c r="EG53051"/>
      <c r="EH53051"/>
      <c r="EI53051"/>
      <c r="EJ53051"/>
      <c r="EK53051"/>
    </row>
    <row r="53052" spans="1:141" s="116" customFormat="1">
      <c r="A53052" s="136"/>
      <c r="CM53052" s="111"/>
      <c r="CQ53052" s="111"/>
      <c r="EF53052"/>
      <c r="EG53052"/>
      <c r="EH53052"/>
      <c r="EI53052"/>
      <c r="EJ53052"/>
      <c r="EK53052"/>
    </row>
    <row r="53053" spans="1:141" s="116" customFormat="1">
      <c r="A53053" s="136"/>
      <c r="CM53053" s="111"/>
      <c r="CQ53053" s="111"/>
      <c r="EF53053"/>
      <c r="EG53053"/>
      <c r="EH53053"/>
      <c r="EI53053"/>
      <c r="EJ53053"/>
      <c r="EK53053"/>
    </row>
    <row r="53054" spans="1:141" s="116" customFormat="1">
      <c r="A53054" s="136"/>
      <c r="CM53054" s="111"/>
      <c r="CQ53054" s="111"/>
      <c r="EF53054"/>
      <c r="EG53054"/>
      <c r="EH53054"/>
      <c r="EI53054"/>
      <c r="EJ53054"/>
      <c r="EK53054"/>
    </row>
    <row r="53055" spans="1:141" s="116" customFormat="1">
      <c r="A53055" s="136"/>
      <c r="CM53055" s="111"/>
      <c r="CQ53055" s="111"/>
      <c r="EF53055"/>
      <c r="EG53055"/>
      <c r="EH53055"/>
      <c r="EI53055"/>
      <c r="EJ53055"/>
      <c r="EK53055"/>
    </row>
    <row r="53056" spans="1:141" s="116" customFormat="1">
      <c r="A53056" s="136"/>
      <c r="CM53056" s="111"/>
      <c r="CQ53056" s="111"/>
      <c r="EF53056"/>
      <c r="EG53056"/>
      <c r="EH53056"/>
      <c r="EI53056"/>
      <c r="EJ53056"/>
      <c r="EK53056"/>
    </row>
    <row r="53057" spans="1:141" s="116" customFormat="1">
      <c r="A53057" s="136"/>
      <c r="CM53057" s="111"/>
      <c r="CQ53057" s="111"/>
      <c r="EF53057"/>
      <c r="EG53057"/>
      <c r="EH53057"/>
      <c r="EI53057"/>
      <c r="EJ53057"/>
      <c r="EK53057"/>
    </row>
    <row r="53058" spans="1:141" s="116" customFormat="1">
      <c r="A53058" s="136"/>
      <c r="CM53058" s="111"/>
      <c r="CQ53058" s="111"/>
      <c r="EF53058"/>
      <c r="EG53058"/>
      <c r="EH53058"/>
      <c r="EI53058"/>
      <c r="EJ53058"/>
      <c r="EK53058"/>
    </row>
    <row r="53059" spans="1:141" s="116" customFormat="1">
      <c r="A53059" s="136"/>
      <c r="CM53059" s="111"/>
      <c r="CQ53059" s="111"/>
      <c r="EF53059"/>
      <c r="EG53059"/>
      <c r="EH53059"/>
      <c r="EI53059"/>
      <c r="EJ53059"/>
      <c r="EK53059"/>
    </row>
    <row r="53060" spans="1:141" s="116" customFormat="1">
      <c r="A53060" s="136"/>
      <c r="CM53060" s="111"/>
      <c r="CQ53060" s="111"/>
      <c r="EF53060"/>
      <c r="EG53060"/>
      <c r="EH53060"/>
      <c r="EI53060"/>
      <c r="EJ53060"/>
      <c r="EK53060"/>
    </row>
    <row r="53061" spans="1:141" s="116" customFormat="1">
      <c r="A53061" s="136"/>
      <c r="CM53061" s="111"/>
      <c r="CQ53061" s="111"/>
      <c r="EF53061"/>
      <c r="EG53061"/>
      <c r="EH53061"/>
      <c r="EI53061"/>
      <c r="EJ53061"/>
      <c r="EK53061"/>
    </row>
    <row r="53062" spans="1:141" s="116" customFormat="1">
      <c r="A53062" s="136"/>
      <c r="CM53062" s="111"/>
      <c r="CQ53062" s="111"/>
      <c r="EF53062"/>
      <c r="EG53062"/>
      <c r="EH53062"/>
      <c r="EI53062"/>
      <c r="EJ53062"/>
      <c r="EK53062"/>
    </row>
    <row r="53063" spans="1:141" s="116" customFormat="1">
      <c r="A53063" s="136"/>
      <c r="CM53063" s="111"/>
      <c r="CQ53063" s="111"/>
      <c r="EF53063"/>
      <c r="EG53063"/>
      <c r="EH53063"/>
      <c r="EI53063"/>
      <c r="EJ53063"/>
      <c r="EK53063"/>
    </row>
    <row r="53064" spans="1:141" s="116" customFormat="1">
      <c r="A53064" s="136"/>
      <c r="CM53064" s="111"/>
      <c r="CQ53064" s="111"/>
      <c r="EF53064"/>
      <c r="EG53064"/>
      <c r="EH53064"/>
      <c r="EI53064"/>
      <c r="EJ53064"/>
      <c r="EK53064"/>
    </row>
    <row r="53065" spans="1:141" s="116" customFormat="1">
      <c r="A53065" s="136"/>
      <c r="CM53065" s="111"/>
      <c r="CQ53065" s="111"/>
      <c r="EF53065"/>
      <c r="EG53065"/>
      <c r="EH53065"/>
      <c r="EI53065"/>
      <c r="EJ53065"/>
      <c r="EK53065"/>
    </row>
    <row r="53066" spans="1:141" s="116" customFormat="1">
      <c r="A53066" s="136"/>
      <c r="CM53066" s="111"/>
      <c r="CQ53066" s="111"/>
      <c r="EF53066"/>
      <c r="EG53066"/>
      <c r="EH53066"/>
      <c r="EI53066"/>
      <c r="EJ53066"/>
      <c r="EK53066"/>
    </row>
    <row r="53067" spans="1:141" s="116" customFormat="1">
      <c r="A53067" s="136"/>
      <c r="CM53067" s="111"/>
      <c r="CQ53067" s="111"/>
      <c r="EF53067"/>
      <c r="EG53067"/>
      <c r="EH53067"/>
      <c r="EI53067"/>
      <c r="EJ53067"/>
      <c r="EK53067"/>
    </row>
    <row r="53068" spans="1:141" s="116" customFormat="1">
      <c r="A53068" s="136"/>
      <c r="CM53068" s="111"/>
      <c r="CQ53068" s="111"/>
      <c r="EF53068"/>
      <c r="EG53068"/>
      <c r="EH53068"/>
      <c r="EI53068"/>
      <c r="EJ53068"/>
      <c r="EK53068"/>
    </row>
    <row r="53069" spans="1:141" s="116" customFormat="1">
      <c r="A53069" s="136"/>
      <c r="CM53069" s="111"/>
      <c r="CQ53069" s="111"/>
      <c r="EF53069"/>
      <c r="EG53069"/>
      <c r="EH53069"/>
      <c r="EI53069"/>
      <c r="EJ53069"/>
      <c r="EK53069"/>
    </row>
    <row r="53070" spans="1:141" s="116" customFormat="1">
      <c r="A53070" s="136"/>
      <c r="CM53070" s="111"/>
      <c r="CQ53070" s="111"/>
      <c r="EF53070"/>
      <c r="EG53070"/>
      <c r="EH53070"/>
      <c r="EI53070"/>
      <c r="EJ53070"/>
      <c r="EK53070"/>
    </row>
    <row r="53071" spans="1:141" s="116" customFormat="1">
      <c r="A53071" s="136"/>
      <c r="CM53071" s="111"/>
      <c r="CQ53071" s="111"/>
      <c r="EF53071"/>
      <c r="EG53071"/>
      <c r="EH53071"/>
      <c r="EI53071"/>
      <c r="EJ53071"/>
      <c r="EK53071"/>
    </row>
    <row r="53072" spans="1:141" s="116" customFormat="1">
      <c r="A53072" s="136"/>
      <c r="CM53072" s="111"/>
      <c r="CQ53072" s="111"/>
      <c r="EF53072"/>
      <c r="EG53072"/>
      <c r="EH53072"/>
      <c r="EI53072"/>
      <c r="EJ53072"/>
      <c r="EK53072"/>
    </row>
    <row r="53073" spans="1:141" s="116" customFormat="1">
      <c r="A53073" s="136"/>
      <c r="CM53073" s="111"/>
      <c r="CQ53073" s="111"/>
      <c r="EF53073"/>
      <c r="EG53073"/>
      <c r="EH53073"/>
      <c r="EI53073"/>
      <c r="EJ53073"/>
      <c r="EK53073"/>
    </row>
    <row r="53074" spans="1:141" s="116" customFormat="1">
      <c r="A53074" s="136"/>
      <c r="CM53074" s="111"/>
      <c r="CQ53074" s="111"/>
      <c r="EF53074"/>
      <c r="EG53074"/>
      <c r="EH53074"/>
      <c r="EI53074"/>
      <c r="EJ53074"/>
      <c r="EK53074"/>
    </row>
    <row r="53075" spans="1:141" s="116" customFormat="1">
      <c r="A53075" s="136"/>
      <c r="CM53075" s="111"/>
      <c r="CQ53075" s="111"/>
      <c r="EF53075"/>
      <c r="EG53075"/>
      <c r="EH53075"/>
      <c r="EI53075"/>
      <c r="EJ53075"/>
      <c r="EK53075"/>
    </row>
    <row r="53076" spans="1:141" s="116" customFormat="1">
      <c r="A53076" s="136"/>
      <c r="CM53076" s="111"/>
      <c r="CQ53076" s="111"/>
      <c r="EF53076"/>
      <c r="EG53076"/>
      <c r="EH53076"/>
      <c r="EI53076"/>
      <c r="EJ53076"/>
      <c r="EK53076"/>
    </row>
    <row r="53077" spans="1:141" s="116" customFormat="1">
      <c r="A53077" s="136"/>
      <c r="CM53077" s="111"/>
      <c r="CQ53077" s="111"/>
      <c r="EF53077"/>
      <c r="EG53077"/>
      <c r="EH53077"/>
      <c r="EI53077"/>
      <c r="EJ53077"/>
      <c r="EK53077"/>
    </row>
    <row r="53078" spans="1:141" s="116" customFormat="1">
      <c r="A53078" s="136"/>
      <c r="CM53078" s="111"/>
      <c r="CQ53078" s="111"/>
      <c r="EF53078"/>
      <c r="EG53078"/>
      <c r="EH53078"/>
      <c r="EI53078"/>
      <c r="EJ53078"/>
      <c r="EK53078"/>
    </row>
    <row r="53079" spans="1:141" s="116" customFormat="1">
      <c r="A53079" s="136"/>
      <c r="CM53079" s="111"/>
      <c r="CQ53079" s="111"/>
      <c r="EF53079"/>
      <c r="EG53079"/>
      <c r="EH53079"/>
      <c r="EI53079"/>
      <c r="EJ53079"/>
      <c r="EK53079"/>
    </row>
    <row r="53080" spans="1:141" s="116" customFormat="1">
      <c r="A53080" s="136"/>
      <c r="CM53080" s="111"/>
      <c r="CQ53080" s="111"/>
      <c r="EF53080"/>
      <c r="EG53080"/>
      <c r="EH53080"/>
      <c r="EI53080"/>
      <c r="EJ53080"/>
      <c r="EK53080"/>
    </row>
    <row r="53081" spans="1:141" s="116" customFormat="1">
      <c r="A53081" s="136"/>
      <c r="CM53081" s="111"/>
      <c r="CQ53081" s="111"/>
      <c r="EF53081"/>
      <c r="EG53081"/>
      <c r="EH53081"/>
      <c r="EI53081"/>
      <c r="EJ53081"/>
      <c r="EK53081"/>
    </row>
    <row r="53082" spans="1:141" s="116" customFormat="1">
      <c r="A53082" s="136"/>
      <c r="CM53082" s="111"/>
      <c r="CQ53082" s="111"/>
      <c r="EF53082"/>
      <c r="EG53082"/>
      <c r="EH53082"/>
      <c r="EI53082"/>
      <c r="EJ53082"/>
      <c r="EK53082"/>
    </row>
    <row r="53083" spans="1:141" s="116" customFormat="1">
      <c r="A53083" s="136"/>
      <c r="CM53083" s="111"/>
      <c r="CQ53083" s="111"/>
      <c r="EF53083"/>
      <c r="EG53083"/>
      <c r="EH53083"/>
      <c r="EI53083"/>
      <c r="EJ53083"/>
      <c r="EK53083"/>
    </row>
    <row r="53084" spans="1:141" s="116" customFormat="1">
      <c r="A53084" s="136"/>
      <c r="CM53084" s="111"/>
      <c r="CQ53084" s="111"/>
      <c r="EF53084"/>
      <c r="EG53084"/>
      <c r="EH53084"/>
      <c r="EI53084"/>
      <c r="EJ53084"/>
      <c r="EK53084"/>
    </row>
    <row r="53085" spans="1:141" s="116" customFormat="1">
      <c r="A53085" s="136"/>
      <c r="CM53085" s="111"/>
      <c r="CQ53085" s="111"/>
      <c r="EF53085"/>
      <c r="EG53085"/>
      <c r="EH53085"/>
      <c r="EI53085"/>
      <c r="EJ53085"/>
      <c r="EK53085"/>
    </row>
    <row r="53086" spans="1:141" s="116" customFormat="1">
      <c r="A53086" s="136"/>
      <c r="CM53086" s="111"/>
      <c r="CQ53086" s="111"/>
      <c r="EF53086"/>
      <c r="EG53086"/>
      <c r="EH53086"/>
      <c r="EI53086"/>
      <c r="EJ53086"/>
      <c r="EK53086"/>
    </row>
    <row r="53087" spans="1:141" s="116" customFormat="1">
      <c r="A53087" s="136"/>
      <c r="CM53087" s="111"/>
      <c r="CQ53087" s="111"/>
      <c r="EF53087"/>
      <c r="EG53087"/>
      <c r="EH53087"/>
      <c r="EI53087"/>
      <c r="EJ53087"/>
      <c r="EK53087"/>
    </row>
    <row r="53088" spans="1:141" s="116" customFormat="1">
      <c r="A53088" s="136"/>
      <c r="CM53088" s="111"/>
      <c r="CQ53088" s="111"/>
      <c r="EF53088"/>
      <c r="EG53088"/>
      <c r="EH53088"/>
      <c r="EI53088"/>
      <c r="EJ53088"/>
      <c r="EK53088"/>
    </row>
    <row r="53089" spans="1:141" s="116" customFormat="1">
      <c r="A53089" s="136"/>
      <c r="CM53089" s="111"/>
      <c r="CQ53089" s="111"/>
      <c r="EF53089"/>
      <c r="EG53089"/>
      <c r="EH53089"/>
      <c r="EI53089"/>
      <c r="EJ53089"/>
      <c r="EK53089"/>
    </row>
    <row r="53090" spans="1:141" s="116" customFormat="1">
      <c r="A53090" s="136"/>
      <c r="CM53090" s="111"/>
      <c r="CQ53090" s="111"/>
      <c r="EF53090"/>
      <c r="EG53090"/>
      <c r="EH53090"/>
      <c r="EI53090"/>
      <c r="EJ53090"/>
      <c r="EK53090"/>
    </row>
    <row r="53091" spans="1:141" s="116" customFormat="1">
      <c r="A53091" s="136"/>
      <c r="CM53091" s="111"/>
      <c r="CQ53091" s="111"/>
      <c r="EF53091"/>
      <c r="EG53091"/>
      <c r="EH53091"/>
      <c r="EI53091"/>
      <c r="EJ53091"/>
      <c r="EK53091"/>
    </row>
    <row r="53092" spans="1:141" s="116" customFormat="1">
      <c r="A53092" s="136"/>
      <c r="CM53092" s="111"/>
      <c r="CQ53092" s="111"/>
      <c r="EF53092"/>
      <c r="EG53092"/>
      <c r="EH53092"/>
      <c r="EI53092"/>
      <c r="EJ53092"/>
      <c r="EK53092"/>
    </row>
    <row r="53093" spans="1:141" s="116" customFormat="1">
      <c r="A53093" s="136"/>
      <c r="CM53093" s="111"/>
      <c r="CQ53093" s="111"/>
      <c r="EF53093"/>
      <c r="EG53093"/>
      <c r="EH53093"/>
      <c r="EI53093"/>
      <c r="EJ53093"/>
      <c r="EK53093"/>
    </row>
    <row r="53094" spans="1:141" s="116" customFormat="1">
      <c r="A53094" s="136"/>
      <c r="CM53094" s="111"/>
      <c r="CQ53094" s="111"/>
      <c r="EF53094"/>
      <c r="EG53094"/>
      <c r="EH53094"/>
      <c r="EI53094"/>
      <c r="EJ53094"/>
      <c r="EK53094"/>
    </row>
    <row r="53095" spans="1:141" s="116" customFormat="1">
      <c r="A53095" s="136"/>
      <c r="CM53095" s="111"/>
      <c r="CQ53095" s="111"/>
      <c r="EF53095"/>
      <c r="EG53095"/>
      <c r="EH53095"/>
      <c r="EI53095"/>
      <c r="EJ53095"/>
      <c r="EK53095"/>
    </row>
    <row r="53096" spans="1:141" s="116" customFormat="1">
      <c r="A53096" s="136"/>
      <c r="CM53096" s="111"/>
      <c r="CQ53096" s="111"/>
      <c r="EF53096"/>
      <c r="EG53096"/>
      <c r="EH53096"/>
      <c r="EI53096"/>
      <c r="EJ53096"/>
      <c r="EK53096"/>
    </row>
    <row r="53097" spans="1:141" s="116" customFormat="1">
      <c r="A53097" s="136"/>
      <c r="CM53097" s="111"/>
      <c r="CQ53097" s="111"/>
      <c r="EF53097"/>
      <c r="EG53097"/>
      <c r="EH53097"/>
      <c r="EI53097"/>
      <c r="EJ53097"/>
      <c r="EK53097"/>
    </row>
    <row r="53098" spans="1:141" s="116" customFormat="1">
      <c r="A53098" s="136"/>
      <c r="CM53098" s="111"/>
      <c r="CQ53098" s="111"/>
      <c r="EF53098"/>
      <c r="EG53098"/>
      <c r="EH53098"/>
      <c r="EI53098"/>
      <c r="EJ53098"/>
      <c r="EK53098"/>
    </row>
    <row r="53099" spans="1:141" s="116" customFormat="1">
      <c r="A53099" s="136"/>
      <c r="CM53099" s="111"/>
      <c r="CQ53099" s="111"/>
      <c r="EF53099"/>
      <c r="EG53099"/>
      <c r="EH53099"/>
      <c r="EI53099"/>
      <c r="EJ53099"/>
      <c r="EK53099"/>
    </row>
    <row r="53100" spans="1:141" s="116" customFormat="1">
      <c r="A53100" s="136"/>
      <c r="CM53100" s="111"/>
      <c r="CQ53100" s="111"/>
      <c r="EF53100"/>
      <c r="EG53100"/>
      <c r="EH53100"/>
      <c r="EI53100"/>
      <c r="EJ53100"/>
      <c r="EK53100"/>
    </row>
    <row r="53101" spans="1:141" s="116" customFormat="1">
      <c r="A53101" s="136"/>
      <c r="CM53101" s="111"/>
      <c r="CQ53101" s="111"/>
      <c r="EF53101"/>
      <c r="EG53101"/>
      <c r="EH53101"/>
      <c r="EI53101"/>
      <c r="EJ53101"/>
      <c r="EK53101"/>
    </row>
    <row r="53102" spans="1:141" s="116" customFormat="1">
      <c r="A53102" s="136"/>
      <c r="CM53102" s="111"/>
      <c r="CQ53102" s="111"/>
      <c r="EF53102"/>
      <c r="EG53102"/>
      <c r="EH53102"/>
      <c r="EI53102"/>
      <c r="EJ53102"/>
      <c r="EK53102"/>
    </row>
    <row r="53103" spans="1:141" s="116" customFormat="1">
      <c r="A53103" s="136"/>
      <c r="CM53103" s="111"/>
      <c r="CQ53103" s="111"/>
      <c r="EF53103"/>
      <c r="EG53103"/>
      <c r="EH53103"/>
      <c r="EI53103"/>
      <c r="EJ53103"/>
      <c r="EK53103"/>
    </row>
    <row r="53104" spans="1:141" s="116" customFormat="1">
      <c r="A53104" s="136"/>
      <c r="CM53104" s="111"/>
      <c r="CQ53104" s="111"/>
      <c r="EF53104"/>
      <c r="EG53104"/>
      <c r="EH53104"/>
      <c r="EI53104"/>
      <c r="EJ53104"/>
      <c r="EK53104"/>
    </row>
    <row r="53105" spans="1:141" s="116" customFormat="1">
      <c r="A53105" s="136"/>
      <c r="CM53105" s="111"/>
      <c r="CQ53105" s="111"/>
      <c r="EF53105"/>
      <c r="EG53105"/>
      <c r="EH53105"/>
      <c r="EI53105"/>
      <c r="EJ53105"/>
      <c r="EK53105"/>
    </row>
    <row r="53106" spans="1:141" s="116" customFormat="1">
      <c r="A53106" s="136"/>
      <c r="CM53106" s="111"/>
      <c r="CQ53106" s="111"/>
      <c r="EF53106"/>
      <c r="EG53106"/>
      <c r="EH53106"/>
      <c r="EI53106"/>
      <c r="EJ53106"/>
      <c r="EK53106"/>
    </row>
    <row r="53107" spans="1:141" s="116" customFormat="1">
      <c r="A53107" s="136"/>
      <c r="CM53107" s="111"/>
      <c r="CQ53107" s="111"/>
      <c r="EF53107"/>
      <c r="EG53107"/>
      <c r="EH53107"/>
      <c r="EI53107"/>
      <c r="EJ53107"/>
      <c r="EK53107"/>
    </row>
    <row r="53108" spans="1:141" s="116" customFormat="1">
      <c r="A53108" s="136"/>
      <c r="CM53108" s="111"/>
      <c r="CQ53108" s="111"/>
      <c r="EF53108"/>
      <c r="EG53108"/>
      <c r="EH53108"/>
      <c r="EI53108"/>
      <c r="EJ53108"/>
      <c r="EK53108"/>
    </row>
    <row r="53109" spans="1:141" s="116" customFormat="1">
      <c r="A53109" s="136"/>
      <c r="CM53109" s="111"/>
      <c r="CQ53109" s="111"/>
      <c r="EF53109"/>
      <c r="EG53109"/>
      <c r="EH53109"/>
      <c r="EI53109"/>
      <c r="EJ53109"/>
      <c r="EK53109"/>
    </row>
    <row r="53110" spans="1:141" s="116" customFormat="1">
      <c r="A53110" s="136"/>
      <c r="CM53110" s="111"/>
      <c r="CQ53110" s="111"/>
      <c r="EF53110"/>
      <c r="EG53110"/>
      <c r="EH53110"/>
      <c r="EI53110"/>
      <c r="EJ53110"/>
      <c r="EK53110"/>
    </row>
    <row r="53111" spans="1:141" s="116" customFormat="1">
      <c r="A53111" s="136"/>
      <c r="CM53111" s="111"/>
      <c r="CQ53111" s="111"/>
      <c r="EF53111"/>
      <c r="EG53111"/>
      <c r="EH53111"/>
      <c r="EI53111"/>
      <c r="EJ53111"/>
      <c r="EK53111"/>
    </row>
    <row r="53112" spans="1:141" s="116" customFormat="1">
      <c r="A53112" s="136"/>
      <c r="CM53112" s="111"/>
      <c r="CQ53112" s="111"/>
      <c r="EF53112"/>
      <c r="EG53112"/>
      <c r="EH53112"/>
      <c r="EI53112"/>
      <c r="EJ53112"/>
      <c r="EK53112"/>
    </row>
    <row r="53113" spans="1:141" s="116" customFormat="1">
      <c r="A53113" s="136"/>
      <c r="CM53113" s="111"/>
      <c r="CQ53113" s="111"/>
      <c r="EF53113"/>
      <c r="EG53113"/>
      <c r="EH53113"/>
      <c r="EI53113"/>
      <c r="EJ53113"/>
      <c r="EK53113"/>
    </row>
    <row r="53114" spans="1:141" s="116" customFormat="1">
      <c r="A53114" s="136"/>
      <c r="CM53114" s="111"/>
      <c r="CQ53114" s="111"/>
      <c r="EF53114"/>
      <c r="EG53114"/>
      <c r="EH53114"/>
      <c r="EI53114"/>
      <c r="EJ53114"/>
      <c r="EK53114"/>
    </row>
    <row r="53115" spans="1:141" s="116" customFormat="1">
      <c r="A53115" s="136"/>
      <c r="CM53115" s="111"/>
      <c r="CQ53115" s="111"/>
      <c r="EF53115"/>
      <c r="EG53115"/>
      <c r="EH53115"/>
      <c r="EI53115"/>
      <c r="EJ53115"/>
      <c r="EK53115"/>
    </row>
    <row r="53116" spans="1:141" s="116" customFormat="1">
      <c r="A53116" s="136"/>
      <c r="CM53116" s="111"/>
      <c r="CQ53116" s="111"/>
      <c r="EF53116"/>
      <c r="EG53116"/>
      <c r="EH53116"/>
      <c r="EI53116"/>
      <c r="EJ53116"/>
      <c r="EK53116"/>
    </row>
    <row r="53117" spans="1:141" s="116" customFormat="1">
      <c r="A53117" s="136"/>
      <c r="CM53117" s="111"/>
      <c r="CQ53117" s="111"/>
      <c r="EF53117"/>
      <c r="EG53117"/>
      <c r="EH53117"/>
      <c r="EI53117"/>
      <c r="EJ53117"/>
      <c r="EK53117"/>
    </row>
    <row r="53118" spans="1:141" s="116" customFormat="1">
      <c r="A53118" s="136"/>
      <c r="CM53118" s="111"/>
      <c r="CQ53118" s="111"/>
      <c r="EF53118"/>
      <c r="EG53118"/>
      <c r="EH53118"/>
      <c r="EI53118"/>
      <c r="EJ53118"/>
      <c r="EK53118"/>
    </row>
    <row r="53119" spans="1:141" s="116" customFormat="1">
      <c r="A53119" s="136"/>
      <c r="CM53119" s="111"/>
      <c r="CQ53119" s="111"/>
      <c r="EF53119"/>
      <c r="EG53119"/>
      <c r="EH53119"/>
      <c r="EI53119"/>
      <c r="EJ53119"/>
      <c r="EK53119"/>
    </row>
    <row r="53120" spans="1:141" s="116" customFormat="1">
      <c r="A53120" s="136"/>
      <c r="CM53120" s="111"/>
      <c r="CQ53120" s="111"/>
      <c r="EF53120"/>
      <c r="EG53120"/>
      <c r="EH53120"/>
      <c r="EI53120"/>
      <c r="EJ53120"/>
      <c r="EK53120"/>
    </row>
    <row r="53121" spans="1:141" s="116" customFormat="1">
      <c r="A53121" s="136"/>
      <c r="CM53121" s="111"/>
      <c r="CQ53121" s="111"/>
      <c r="EF53121"/>
      <c r="EG53121"/>
      <c r="EH53121"/>
      <c r="EI53121"/>
      <c r="EJ53121"/>
      <c r="EK53121"/>
    </row>
    <row r="53122" spans="1:141" s="116" customFormat="1">
      <c r="A53122" s="136"/>
      <c r="CM53122" s="111"/>
      <c r="CQ53122" s="111"/>
      <c r="EF53122"/>
      <c r="EG53122"/>
      <c r="EH53122"/>
      <c r="EI53122"/>
      <c r="EJ53122"/>
      <c r="EK53122"/>
    </row>
    <row r="53123" spans="1:141" s="116" customFormat="1">
      <c r="A53123" s="136"/>
      <c r="CM53123" s="111"/>
      <c r="CQ53123" s="111"/>
      <c r="EF53123"/>
      <c r="EG53123"/>
      <c r="EH53123"/>
      <c r="EI53123"/>
      <c r="EJ53123"/>
      <c r="EK53123"/>
    </row>
    <row r="53124" spans="1:141" s="116" customFormat="1">
      <c r="A53124" s="136"/>
      <c r="CM53124" s="111"/>
      <c r="CQ53124" s="111"/>
      <c r="EF53124"/>
      <c r="EG53124"/>
      <c r="EH53124"/>
      <c r="EI53124"/>
      <c r="EJ53124"/>
      <c r="EK53124"/>
    </row>
    <row r="53125" spans="1:141" s="116" customFormat="1">
      <c r="A53125" s="136"/>
      <c r="CM53125" s="111"/>
      <c r="CQ53125" s="111"/>
      <c r="EF53125"/>
      <c r="EG53125"/>
      <c r="EH53125"/>
      <c r="EI53125"/>
      <c r="EJ53125"/>
      <c r="EK53125"/>
    </row>
    <row r="53126" spans="1:141" s="116" customFormat="1">
      <c r="A53126" s="136"/>
      <c r="CM53126" s="111"/>
      <c r="CQ53126" s="111"/>
      <c r="EF53126"/>
      <c r="EG53126"/>
      <c r="EH53126"/>
      <c r="EI53126"/>
      <c r="EJ53126"/>
      <c r="EK53126"/>
    </row>
    <row r="53127" spans="1:141" s="116" customFormat="1">
      <c r="A53127" s="136"/>
      <c r="CM53127" s="111"/>
      <c r="CQ53127" s="111"/>
      <c r="EF53127"/>
      <c r="EG53127"/>
      <c r="EH53127"/>
      <c r="EI53127"/>
      <c r="EJ53127"/>
      <c r="EK53127"/>
    </row>
    <row r="53128" spans="1:141" s="116" customFormat="1">
      <c r="A53128" s="136"/>
      <c r="CM53128" s="111"/>
      <c r="CQ53128" s="111"/>
      <c r="EF53128"/>
      <c r="EG53128"/>
      <c r="EH53128"/>
      <c r="EI53128"/>
      <c r="EJ53128"/>
      <c r="EK53128"/>
    </row>
    <row r="53129" spans="1:141" s="116" customFormat="1">
      <c r="A53129" s="136"/>
      <c r="CM53129" s="111"/>
      <c r="CQ53129" s="111"/>
      <c r="EF53129"/>
      <c r="EG53129"/>
      <c r="EH53129"/>
      <c r="EI53129"/>
      <c r="EJ53129"/>
      <c r="EK53129"/>
    </row>
    <row r="53130" spans="1:141" s="116" customFormat="1">
      <c r="A53130" s="136"/>
      <c r="CM53130" s="111"/>
      <c r="CQ53130" s="111"/>
      <c r="EF53130"/>
      <c r="EG53130"/>
      <c r="EH53130"/>
      <c r="EI53130"/>
      <c r="EJ53130"/>
      <c r="EK53130"/>
    </row>
    <row r="53131" spans="1:141" s="116" customFormat="1">
      <c r="A53131" s="136"/>
      <c r="CM53131" s="111"/>
      <c r="CQ53131" s="111"/>
      <c r="EF53131"/>
      <c r="EG53131"/>
      <c r="EH53131"/>
      <c r="EI53131"/>
      <c r="EJ53131"/>
      <c r="EK53131"/>
    </row>
    <row r="53132" spans="1:141" s="116" customFormat="1">
      <c r="A53132" s="136"/>
      <c r="CM53132" s="111"/>
      <c r="CQ53132" s="111"/>
      <c r="EF53132"/>
      <c r="EG53132"/>
      <c r="EH53132"/>
      <c r="EI53132"/>
      <c r="EJ53132"/>
      <c r="EK53132"/>
    </row>
    <row r="53133" spans="1:141" s="116" customFormat="1">
      <c r="A53133" s="136"/>
      <c r="CM53133" s="111"/>
      <c r="CQ53133" s="111"/>
      <c r="EF53133"/>
      <c r="EG53133"/>
      <c r="EH53133"/>
      <c r="EI53133"/>
      <c r="EJ53133"/>
      <c r="EK53133"/>
    </row>
    <row r="53134" spans="1:141" s="116" customFormat="1">
      <c r="A53134" s="136"/>
      <c r="CM53134" s="111"/>
      <c r="CQ53134" s="111"/>
      <c r="EF53134"/>
      <c r="EG53134"/>
      <c r="EH53134"/>
      <c r="EI53134"/>
      <c r="EJ53134"/>
      <c r="EK53134"/>
    </row>
    <row r="53135" spans="1:141" s="116" customFormat="1">
      <c r="A53135" s="136"/>
      <c r="CM53135" s="111"/>
      <c r="CQ53135" s="111"/>
      <c r="EF53135"/>
      <c r="EG53135"/>
      <c r="EH53135"/>
      <c r="EI53135"/>
      <c r="EJ53135"/>
      <c r="EK53135"/>
    </row>
    <row r="53136" spans="1:141" s="116" customFormat="1">
      <c r="A53136" s="136"/>
      <c r="CM53136" s="111"/>
      <c r="CQ53136" s="111"/>
      <c r="EF53136"/>
      <c r="EG53136"/>
      <c r="EH53136"/>
      <c r="EI53136"/>
      <c r="EJ53136"/>
      <c r="EK53136"/>
    </row>
    <row r="53137" spans="1:141" s="116" customFormat="1">
      <c r="A53137" s="136"/>
      <c r="CM53137" s="111"/>
      <c r="CQ53137" s="111"/>
      <c r="EF53137"/>
      <c r="EG53137"/>
      <c r="EH53137"/>
      <c r="EI53137"/>
      <c r="EJ53137"/>
      <c r="EK53137"/>
    </row>
    <row r="53138" spans="1:141" s="116" customFormat="1">
      <c r="A53138" s="136"/>
      <c r="CM53138" s="111"/>
      <c r="CQ53138" s="111"/>
      <c r="EF53138"/>
      <c r="EG53138"/>
      <c r="EH53138"/>
      <c r="EI53138"/>
      <c r="EJ53138"/>
      <c r="EK53138"/>
    </row>
    <row r="53139" spans="1:141" s="116" customFormat="1">
      <c r="A53139" s="136"/>
      <c r="CM53139" s="111"/>
      <c r="CQ53139" s="111"/>
      <c r="EF53139"/>
      <c r="EG53139"/>
      <c r="EH53139"/>
      <c r="EI53139"/>
      <c r="EJ53139"/>
      <c r="EK53139"/>
    </row>
    <row r="53140" spans="1:141" s="116" customFormat="1">
      <c r="A53140" s="136"/>
      <c r="CM53140" s="111"/>
      <c r="CQ53140" s="111"/>
      <c r="EF53140"/>
      <c r="EG53140"/>
      <c r="EH53140"/>
      <c r="EI53140"/>
      <c r="EJ53140"/>
      <c r="EK53140"/>
    </row>
    <row r="53141" spans="1:141" s="116" customFormat="1">
      <c r="A53141" s="136"/>
      <c r="CM53141" s="111"/>
      <c r="CQ53141" s="111"/>
      <c r="EF53141"/>
      <c r="EG53141"/>
      <c r="EH53141"/>
      <c r="EI53141"/>
      <c r="EJ53141"/>
      <c r="EK53141"/>
    </row>
    <row r="53142" spans="1:141" s="116" customFormat="1">
      <c r="A53142" s="136"/>
      <c r="CM53142" s="111"/>
      <c r="CQ53142" s="111"/>
      <c r="EF53142"/>
      <c r="EG53142"/>
      <c r="EH53142"/>
      <c r="EI53142"/>
      <c r="EJ53142"/>
      <c r="EK53142"/>
    </row>
    <row r="53143" spans="1:141" s="116" customFormat="1">
      <c r="A53143" s="136"/>
      <c r="CM53143" s="111"/>
      <c r="CQ53143" s="111"/>
      <c r="EF53143"/>
      <c r="EG53143"/>
      <c r="EH53143"/>
      <c r="EI53143"/>
      <c r="EJ53143"/>
      <c r="EK53143"/>
    </row>
    <row r="53144" spans="1:141" s="116" customFormat="1">
      <c r="A53144" s="136"/>
      <c r="CM53144" s="111"/>
      <c r="CQ53144" s="111"/>
      <c r="EF53144"/>
      <c r="EG53144"/>
      <c r="EH53144"/>
      <c r="EI53144"/>
      <c r="EJ53144"/>
      <c r="EK53144"/>
    </row>
    <row r="53145" spans="1:141" s="116" customFormat="1">
      <c r="A53145" s="136"/>
      <c r="CM53145" s="111"/>
      <c r="CQ53145" s="111"/>
      <c r="EF53145"/>
      <c r="EG53145"/>
      <c r="EH53145"/>
      <c r="EI53145"/>
      <c r="EJ53145"/>
      <c r="EK53145"/>
    </row>
    <row r="53146" spans="1:141" s="116" customFormat="1">
      <c r="A53146" s="136"/>
      <c r="CM53146" s="111"/>
      <c r="CQ53146" s="111"/>
      <c r="EF53146"/>
      <c r="EG53146"/>
      <c r="EH53146"/>
      <c r="EI53146"/>
      <c r="EJ53146"/>
      <c r="EK53146"/>
    </row>
    <row r="53147" spans="1:141" s="116" customFormat="1">
      <c r="A53147" s="136"/>
      <c r="CM53147" s="111"/>
      <c r="CQ53147" s="111"/>
      <c r="EF53147"/>
      <c r="EG53147"/>
      <c r="EH53147"/>
      <c r="EI53147"/>
      <c r="EJ53147"/>
      <c r="EK53147"/>
    </row>
    <row r="53148" spans="1:141" s="116" customFormat="1">
      <c r="A53148" s="136"/>
      <c r="CM53148" s="111"/>
      <c r="CQ53148" s="111"/>
      <c r="EF53148"/>
      <c r="EG53148"/>
      <c r="EH53148"/>
      <c r="EI53148"/>
      <c r="EJ53148"/>
      <c r="EK53148"/>
    </row>
    <row r="53149" spans="1:141" s="116" customFormat="1">
      <c r="A53149" s="136"/>
      <c r="CM53149" s="111"/>
      <c r="CQ53149" s="111"/>
      <c r="EF53149"/>
      <c r="EG53149"/>
      <c r="EH53149"/>
      <c r="EI53149"/>
      <c r="EJ53149"/>
      <c r="EK53149"/>
    </row>
    <row r="53150" spans="1:141" s="116" customFormat="1">
      <c r="A53150" s="136"/>
      <c r="CM53150" s="111"/>
      <c r="CQ53150" s="111"/>
      <c r="EF53150"/>
      <c r="EG53150"/>
      <c r="EH53150"/>
      <c r="EI53150"/>
      <c r="EJ53150"/>
      <c r="EK53150"/>
    </row>
    <row r="53151" spans="1:141" s="116" customFormat="1">
      <c r="A53151" s="136"/>
      <c r="CM53151" s="111"/>
      <c r="CQ53151" s="111"/>
      <c r="EF53151"/>
      <c r="EG53151"/>
      <c r="EH53151"/>
      <c r="EI53151"/>
      <c r="EJ53151"/>
      <c r="EK53151"/>
    </row>
    <row r="53152" spans="1:141" s="116" customFormat="1">
      <c r="A53152" s="136"/>
      <c r="CM53152" s="111"/>
      <c r="CQ53152" s="111"/>
      <c r="EF53152"/>
      <c r="EG53152"/>
      <c r="EH53152"/>
      <c r="EI53152"/>
      <c r="EJ53152"/>
      <c r="EK53152"/>
    </row>
    <row r="53153" spans="1:141" s="116" customFormat="1">
      <c r="A53153" s="136"/>
      <c r="CM53153" s="111"/>
      <c r="CQ53153" s="111"/>
      <c r="EF53153"/>
      <c r="EG53153"/>
      <c r="EH53153"/>
      <c r="EI53153"/>
      <c r="EJ53153"/>
      <c r="EK53153"/>
    </row>
    <row r="53154" spans="1:141" s="116" customFormat="1">
      <c r="A53154" s="136"/>
      <c r="CM53154" s="111"/>
      <c r="CQ53154" s="111"/>
      <c r="EF53154"/>
      <c r="EG53154"/>
      <c r="EH53154"/>
      <c r="EI53154"/>
      <c r="EJ53154"/>
      <c r="EK53154"/>
    </row>
    <row r="53155" spans="1:141" s="116" customFormat="1">
      <c r="A53155" s="136"/>
      <c r="CM53155" s="111"/>
      <c r="CQ53155" s="111"/>
      <c r="EF53155"/>
      <c r="EG53155"/>
      <c r="EH53155"/>
      <c r="EI53155"/>
      <c r="EJ53155"/>
      <c r="EK53155"/>
    </row>
    <row r="53156" spans="1:141" s="116" customFormat="1">
      <c r="A53156" s="136"/>
      <c r="CM53156" s="111"/>
      <c r="CQ53156" s="111"/>
      <c r="EF53156"/>
      <c r="EG53156"/>
      <c r="EH53156"/>
      <c r="EI53156"/>
      <c r="EJ53156"/>
      <c r="EK53156"/>
    </row>
    <row r="53157" spans="1:141" s="116" customFormat="1">
      <c r="A53157" s="136"/>
      <c r="CM53157" s="111"/>
      <c r="CQ53157" s="111"/>
      <c r="EF53157"/>
      <c r="EG53157"/>
      <c r="EH53157"/>
      <c r="EI53157"/>
      <c r="EJ53157"/>
      <c r="EK53157"/>
    </row>
    <row r="53158" spans="1:141" s="116" customFormat="1">
      <c r="A53158" s="136"/>
      <c r="CM53158" s="111"/>
      <c r="CQ53158" s="111"/>
      <c r="EF53158"/>
      <c r="EG53158"/>
      <c r="EH53158"/>
      <c r="EI53158"/>
      <c r="EJ53158"/>
      <c r="EK53158"/>
    </row>
    <row r="53159" spans="1:141" s="116" customFormat="1">
      <c r="A53159" s="136"/>
      <c r="CM53159" s="111"/>
      <c r="CQ53159" s="111"/>
      <c r="EF53159"/>
      <c r="EG53159"/>
      <c r="EH53159"/>
      <c r="EI53159"/>
      <c r="EJ53159"/>
      <c r="EK53159"/>
    </row>
    <row r="53160" spans="1:141" s="116" customFormat="1">
      <c r="A53160" s="136"/>
      <c r="CM53160" s="111"/>
      <c r="CQ53160" s="111"/>
      <c r="EF53160"/>
      <c r="EG53160"/>
      <c r="EH53160"/>
      <c r="EI53160"/>
      <c r="EJ53160"/>
      <c r="EK53160"/>
    </row>
    <row r="53161" spans="1:141" s="116" customFormat="1">
      <c r="A53161" s="136"/>
      <c r="CM53161" s="111"/>
      <c r="CQ53161" s="111"/>
      <c r="EF53161"/>
      <c r="EG53161"/>
      <c r="EH53161"/>
      <c r="EI53161"/>
      <c r="EJ53161"/>
      <c r="EK53161"/>
    </row>
    <row r="53162" spans="1:141" s="116" customFormat="1">
      <c r="A53162" s="136"/>
      <c r="CM53162" s="111"/>
      <c r="CQ53162" s="111"/>
      <c r="EF53162"/>
      <c r="EG53162"/>
      <c r="EH53162"/>
      <c r="EI53162"/>
      <c r="EJ53162"/>
      <c r="EK53162"/>
    </row>
    <row r="53163" spans="1:141" s="116" customFormat="1">
      <c r="A53163" s="136"/>
      <c r="CM53163" s="111"/>
      <c r="CQ53163" s="111"/>
      <c r="EF53163"/>
      <c r="EG53163"/>
      <c r="EH53163"/>
      <c r="EI53163"/>
      <c r="EJ53163"/>
      <c r="EK53163"/>
    </row>
    <row r="53164" spans="1:141" s="116" customFormat="1">
      <c r="A53164" s="136"/>
      <c r="CM53164" s="111"/>
      <c r="CQ53164" s="111"/>
      <c r="EF53164"/>
      <c r="EG53164"/>
      <c r="EH53164"/>
      <c r="EI53164"/>
      <c r="EJ53164"/>
      <c r="EK53164"/>
    </row>
    <row r="53165" spans="1:141" s="116" customFormat="1">
      <c r="A53165" s="136"/>
      <c r="CM53165" s="111"/>
      <c r="CQ53165" s="111"/>
      <c r="EF53165"/>
      <c r="EG53165"/>
      <c r="EH53165"/>
      <c r="EI53165"/>
      <c r="EJ53165"/>
      <c r="EK53165"/>
    </row>
    <row r="53166" spans="1:141" s="116" customFormat="1">
      <c r="A53166" s="136"/>
      <c r="CM53166" s="111"/>
      <c r="CQ53166" s="111"/>
      <c r="EF53166"/>
      <c r="EG53166"/>
      <c r="EH53166"/>
      <c r="EI53166"/>
      <c r="EJ53166"/>
      <c r="EK53166"/>
    </row>
    <row r="53167" spans="1:141" s="116" customFormat="1">
      <c r="A53167" s="136"/>
      <c r="CM53167" s="111"/>
      <c r="CQ53167" s="111"/>
      <c r="EF53167"/>
      <c r="EG53167"/>
      <c r="EH53167"/>
      <c r="EI53167"/>
      <c r="EJ53167"/>
      <c r="EK53167"/>
    </row>
    <row r="53168" spans="1:141" s="116" customFormat="1">
      <c r="A53168" s="136"/>
      <c r="CM53168" s="111"/>
      <c r="CQ53168" s="111"/>
      <c r="EF53168"/>
      <c r="EG53168"/>
      <c r="EH53168"/>
      <c r="EI53168"/>
      <c r="EJ53168"/>
      <c r="EK53168"/>
    </row>
    <row r="53169" spans="1:141" s="116" customFormat="1">
      <c r="A53169" s="136"/>
      <c r="CM53169" s="111"/>
      <c r="CQ53169" s="111"/>
      <c r="EF53169"/>
      <c r="EG53169"/>
      <c r="EH53169"/>
      <c r="EI53169"/>
      <c r="EJ53169"/>
      <c r="EK53169"/>
    </row>
    <row r="53170" spans="1:141" s="116" customFormat="1">
      <c r="A53170" s="136"/>
      <c r="CM53170" s="111"/>
      <c r="CQ53170" s="111"/>
      <c r="EF53170"/>
      <c r="EG53170"/>
      <c r="EH53170"/>
      <c r="EI53170"/>
      <c r="EJ53170"/>
      <c r="EK53170"/>
    </row>
    <row r="53171" spans="1:141" s="116" customFormat="1">
      <c r="A53171" s="136"/>
      <c r="CM53171" s="111"/>
      <c r="CQ53171" s="111"/>
      <c r="EF53171"/>
      <c r="EG53171"/>
      <c r="EH53171"/>
      <c r="EI53171"/>
      <c r="EJ53171"/>
      <c r="EK53171"/>
    </row>
    <row r="53172" spans="1:141" s="116" customFormat="1">
      <c r="A53172" s="136"/>
      <c r="CM53172" s="111"/>
      <c r="CQ53172" s="111"/>
      <c r="EF53172"/>
      <c r="EG53172"/>
      <c r="EH53172"/>
      <c r="EI53172"/>
      <c r="EJ53172"/>
      <c r="EK53172"/>
    </row>
    <row r="53173" spans="1:141" s="116" customFormat="1">
      <c r="A53173" s="136"/>
      <c r="CM53173" s="111"/>
      <c r="CQ53173" s="111"/>
      <c r="EF53173"/>
      <c r="EG53173"/>
      <c r="EH53173"/>
      <c r="EI53173"/>
      <c r="EJ53173"/>
      <c r="EK53173"/>
    </row>
    <row r="53174" spans="1:141" s="116" customFormat="1">
      <c r="A53174" s="136"/>
      <c r="CM53174" s="111"/>
      <c r="CQ53174" s="111"/>
      <c r="EF53174"/>
      <c r="EG53174"/>
      <c r="EH53174"/>
      <c r="EI53174"/>
      <c r="EJ53174"/>
      <c r="EK53174"/>
    </row>
    <row r="53175" spans="1:141" s="116" customFormat="1">
      <c r="A53175" s="136"/>
      <c r="CM53175" s="111"/>
      <c r="CQ53175" s="111"/>
      <c r="EF53175"/>
      <c r="EG53175"/>
      <c r="EH53175"/>
      <c r="EI53175"/>
      <c r="EJ53175"/>
      <c r="EK53175"/>
    </row>
    <row r="53176" spans="1:141" s="116" customFormat="1">
      <c r="A53176" s="136"/>
      <c r="CM53176" s="111"/>
      <c r="CQ53176" s="111"/>
      <c r="EF53176"/>
      <c r="EG53176"/>
      <c r="EH53176"/>
      <c r="EI53176"/>
      <c r="EJ53176"/>
      <c r="EK53176"/>
    </row>
    <row r="53177" spans="1:141" s="116" customFormat="1">
      <c r="A53177" s="136"/>
      <c r="CM53177" s="111"/>
      <c r="CQ53177" s="111"/>
      <c r="EF53177"/>
      <c r="EG53177"/>
      <c r="EH53177"/>
      <c r="EI53177"/>
      <c r="EJ53177"/>
      <c r="EK53177"/>
    </row>
    <row r="53178" spans="1:141" s="116" customFormat="1">
      <c r="A53178" s="136"/>
      <c r="CM53178" s="111"/>
      <c r="CQ53178" s="111"/>
      <c r="EF53178"/>
      <c r="EG53178"/>
      <c r="EH53178"/>
      <c r="EI53178"/>
      <c r="EJ53178"/>
      <c r="EK53178"/>
    </row>
    <row r="53179" spans="1:141" s="116" customFormat="1">
      <c r="A53179" s="136"/>
      <c r="CM53179" s="111"/>
      <c r="CQ53179" s="111"/>
      <c r="EF53179"/>
      <c r="EG53179"/>
      <c r="EH53179"/>
      <c r="EI53179"/>
      <c r="EJ53179"/>
      <c r="EK53179"/>
    </row>
    <row r="53180" spans="1:141" s="116" customFormat="1">
      <c r="A53180" s="136"/>
      <c r="CM53180" s="111"/>
      <c r="CQ53180" s="111"/>
      <c r="EF53180"/>
      <c r="EG53180"/>
      <c r="EH53180"/>
      <c r="EI53180"/>
      <c r="EJ53180"/>
      <c r="EK53180"/>
    </row>
    <row r="53181" spans="1:141" s="116" customFormat="1">
      <c r="A53181" s="136"/>
      <c r="CM53181" s="111"/>
      <c r="CQ53181" s="111"/>
      <c r="EF53181"/>
      <c r="EG53181"/>
      <c r="EH53181"/>
      <c r="EI53181"/>
      <c r="EJ53181"/>
      <c r="EK53181"/>
    </row>
    <row r="53182" spans="1:141" s="116" customFormat="1">
      <c r="A53182" s="136"/>
      <c r="CM53182" s="111"/>
      <c r="CQ53182" s="111"/>
      <c r="EF53182"/>
      <c r="EG53182"/>
      <c r="EH53182"/>
      <c r="EI53182"/>
      <c r="EJ53182"/>
      <c r="EK53182"/>
    </row>
    <row r="53183" spans="1:141" s="116" customFormat="1">
      <c r="A53183" s="136"/>
      <c r="CM53183" s="111"/>
      <c r="CQ53183" s="111"/>
      <c r="EF53183"/>
      <c r="EG53183"/>
      <c r="EH53183"/>
      <c r="EI53183"/>
      <c r="EJ53183"/>
      <c r="EK53183"/>
    </row>
    <row r="53184" spans="1:141" s="116" customFormat="1">
      <c r="A53184" s="136"/>
      <c r="CM53184" s="111"/>
      <c r="CQ53184" s="111"/>
      <c r="EF53184"/>
      <c r="EG53184"/>
      <c r="EH53184"/>
      <c r="EI53184"/>
      <c r="EJ53184"/>
      <c r="EK53184"/>
    </row>
    <row r="53185" spans="1:141" s="116" customFormat="1">
      <c r="A53185" s="136"/>
      <c r="CM53185" s="111"/>
      <c r="CQ53185" s="111"/>
      <c r="EF53185"/>
      <c r="EG53185"/>
      <c r="EH53185"/>
      <c r="EI53185"/>
      <c r="EJ53185"/>
      <c r="EK53185"/>
    </row>
    <row r="53186" spans="1:141" s="116" customFormat="1">
      <c r="A53186" s="136"/>
      <c r="CM53186" s="111"/>
      <c r="CQ53186" s="111"/>
      <c r="EF53186"/>
      <c r="EG53186"/>
      <c r="EH53186"/>
      <c r="EI53186"/>
      <c r="EJ53186"/>
      <c r="EK53186"/>
    </row>
    <row r="53187" spans="1:141" s="116" customFormat="1">
      <c r="A53187" s="136"/>
      <c r="CM53187" s="111"/>
      <c r="CQ53187" s="111"/>
      <c r="EF53187"/>
      <c r="EG53187"/>
      <c r="EH53187"/>
      <c r="EI53187"/>
      <c r="EJ53187"/>
      <c r="EK53187"/>
    </row>
    <row r="53188" spans="1:141" s="116" customFormat="1">
      <c r="A53188" s="136"/>
      <c r="CM53188" s="111"/>
      <c r="CQ53188" s="111"/>
      <c r="EF53188"/>
      <c r="EG53188"/>
      <c r="EH53188"/>
      <c r="EI53188"/>
      <c r="EJ53188"/>
      <c r="EK53188"/>
    </row>
    <row r="53189" spans="1:141" s="116" customFormat="1">
      <c r="A53189" s="136"/>
      <c r="CM53189" s="111"/>
      <c r="CQ53189" s="111"/>
      <c r="EF53189"/>
      <c r="EG53189"/>
      <c r="EH53189"/>
      <c r="EI53189"/>
      <c r="EJ53189"/>
      <c r="EK53189"/>
    </row>
    <row r="53190" spans="1:141" s="116" customFormat="1">
      <c r="A53190" s="136"/>
      <c r="CM53190" s="111"/>
      <c r="CQ53190" s="111"/>
      <c r="EF53190"/>
      <c r="EG53190"/>
      <c r="EH53190"/>
      <c r="EI53190"/>
      <c r="EJ53190"/>
      <c r="EK53190"/>
    </row>
    <row r="53191" spans="1:141" s="116" customFormat="1">
      <c r="A53191" s="136"/>
      <c r="CM53191" s="111"/>
      <c r="CQ53191" s="111"/>
      <c r="EF53191"/>
      <c r="EG53191"/>
      <c r="EH53191"/>
      <c r="EI53191"/>
      <c r="EJ53191"/>
      <c r="EK53191"/>
    </row>
    <row r="53192" spans="1:141" s="116" customFormat="1">
      <c r="A53192" s="136"/>
      <c r="CM53192" s="111"/>
      <c r="CQ53192" s="111"/>
      <c r="EF53192"/>
      <c r="EG53192"/>
      <c r="EH53192"/>
      <c r="EI53192"/>
      <c r="EJ53192"/>
      <c r="EK53192"/>
    </row>
    <row r="53193" spans="1:141" s="116" customFormat="1">
      <c r="A53193" s="136"/>
      <c r="CM53193" s="111"/>
      <c r="CQ53193" s="111"/>
      <c r="EF53193"/>
      <c r="EG53193"/>
      <c r="EH53193"/>
      <c r="EI53193"/>
      <c r="EJ53193"/>
      <c r="EK53193"/>
    </row>
    <row r="53194" spans="1:141" s="116" customFormat="1">
      <c r="A53194" s="136"/>
      <c r="CM53194" s="111"/>
      <c r="CQ53194" s="111"/>
      <c r="EF53194"/>
      <c r="EG53194"/>
      <c r="EH53194"/>
      <c r="EI53194"/>
      <c r="EJ53194"/>
      <c r="EK53194"/>
    </row>
    <row r="53195" spans="1:141" s="116" customFormat="1">
      <c r="A53195" s="136"/>
      <c r="CM53195" s="111"/>
      <c r="CQ53195" s="111"/>
      <c r="EF53195"/>
      <c r="EG53195"/>
      <c r="EH53195"/>
      <c r="EI53195"/>
      <c r="EJ53195"/>
      <c r="EK53195"/>
    </row>
    <row r="53196" spans="1:141" s="116" customFormat="1">
      <c r="A53196" s="136"/>
      <c r="CM53196" s="111"/>
      <c r="CQ53196" s="111"/>
      <c r="EF53196"/>
      <c r="EG53196"/>
      <c r="EH53196"/>
      <c r="EI53196"/>
      <c r="EJ53196"/>
      <c r="EK53196"/>
    </row>
    <row r="53197" spans="1:141" s="116" customFormat="1">
      <c r="A53197" s="136"/>
      <c r="CM53197" s="111"/>
      <c r="CQ53197" s="111"/>
      <c r="EF53197"/>
      <c r="EG53197"/>
      <c r="EH53197"/>
      <c r="EI53197"/>
      <c r="EJ53197"/>
      <c r="EK53197"/>
    </row>
    <row r="53198" spans="1:141" s="116" customFormat="1">
      <c r="A53198" s="136"/>
      <c r="CM53198" s="111"/>
      <c r="CQ53198" s="111"/>
      <c r="EF53198"/>
      <c r="EG53198"/>
      <c r="EH53198"/>
      <c r="EI53198"/>
      <c r="EJ53198"/>
      <c r="EK53198"/>
    </row>
    <row r="53199" spans="1:141" s="116" customFormat="1">
      <c r="A53199" s="136"/>
      <c r="CM53199" s="111"/>
      <c r="CQ53199" s="111"/>
      <c r="EF53199"/>
      <c r="EG53199"/>
      <c r="EH53199"/>
      <c r="EI53199"/>
      <c r="EJ53199"/>
      <c r="EK53199"/>
    </row>
    <row r="53200" spans="1:141" s="116" customFormat="1">
      <c r="A53200" s="136"/>
      <c r="CM53200" s="111"/>
      <c r="CQ53200" s="111"/>
      <c r="EF53200"/>
      <c r="EG53200"/>
      <c r="EH53200"/>
      <c r="EI53200"/>
      <c r="EJ53200"/>
      <c r="EK53200"/>
    </row>
    <row r="53201" spans="1:141" s="116" customFormat="1">
      <c r="A53201" s="136"/>
      <c r="CM53201" s="111"/>
      <c r="CQ53201" s="111"/>
      <c r="EF53201"/>
      <c r="EG53201"/>
      <c r="EH53201"/>
      <c r="EI53201"/>
      <c r="EJ53201"/>
      <c r="EK53201"/>
    </row>
    <row r="53202" spans="1:141" s="116" customFormat="1">
      <c r="A53202" s="136"/>
      <c r="CM53202" s="111"/>
      <c r="CQ53202" s="111"/>
      <c r="EF53202"/>
      <c r="EG53202"/>
      <c r="EH53202"/>
      <c r="EI53202"/>
      <c r="EJ53202"/>
      <c r="EK53202"/>
    </row>
    <row r="53203" spans="1:141" s="116" customFormat="1">
      <c r="A53203" s="136"/>
      <c r="CM53203" s="111"/>
      <c r="CQ53203" s="111"/>
      <c r="EF53203"/>
      <c r="EG53203"/>
      <c r="EH53203"/>
      <c r="EI53203"/>
      <c r="EJ53203"/>
      <c r="EK53203"/>
    </row>
    <row r="53204" spans="1:141" s="116" customFormat="1">
      <c r="A53204" s="136"/>
      <c r="CM53204" s="111"/>
      <c r="CQ53204" s="111"/>
      <c r="EF53204"/>
      <c r="EG53204"/>
      <c r="EH53204"/>
      <c r="EI53204"/>
      <c r="EJ53204"/>
      <c r="EK53204"/>
    </row>
    <row r="53205" spans="1:141" s="116" customFormat="1">
      <c r="A53205" s="136"/>
      <c r="CM53205" s="111"/>
      <c r="CQ53205" s="111"/>
      <c r="EF53205"/>
      <c r="EG53205"/>
      <c r="EH53205"/>
      <c r="EI53205"/>
      <c r="EJ53205"/>
      <c r="EK53205"/>
    </row>
    <row r="53206" spans="1:141" s="116" customFormat="1">
      <c r="A53206" s="136"/>
      <c r="CM53206" s="111"/>
      <c r="CQ53206" s="111"/>
      <c r="EF53206"/>
      <c r="EG53206"/>
      <c r="EH53206"/>
      <c r="EI53206"/>
      <c r="EJ53206"/>
      <c r="EK53206"/>
    </row>
    <row r="53207" spans="1:141" s="116" customFormat="1">
      <c r="A53207" s="136"/>
      <c r="CM53207" s="111"/>
      <c r="CQ53207" s="111"/>
      <c r="EF53207"/>
      <c r="EG53207"/>
      <c r="EH53207"/>
      <c r="EI53207"/>
      <c r="EJ53207"/>
      <c r="EK53207"/>
    </row>
    <row r="53208" spans="1:141" s="116" customFormat="1">
      <c r="A53208" s="136"/>
      <c r="CM53208" s="111"/>
      <c r="CQ53208" s="111"/>
      <c r="EF53208"/>
      <c r="EG53208"/>
      <c r="EH53208"/>
      <c r="EI53208"/>
      <c r="EJ53208"/>
      <c r="EK53208"/>
    </row>
    <row r="53209" spans="1:141" s="116" customFormat="1">
      <c r="A53209" s="136"/>
      <c r="CM53209" s="111"/>
      <c r="CQ53209" s="111"/>
      <c r="EF53209"/>
      <c r="EG53209"/>
      <c r="EH53209"/>
      <c r="EI53209"/>
      <c r="EJ53209"/>
      <c r="EK53209"/>
    </row>
    <row r="53210" spans="1:141" s="116" customFormat="1">
      <c r="A53210" s="136"/>
      <c r="CM53210" s="111"/>
      <c r="CQ53210" s="111"/>
      <c r="EF53210"/>
      <c r="EG53210"/>
      <c r="EH53210"/>
      <c r="EI53210"/>
      <c r="EJ53210"/>
      <c r="EK53210"/>
    </row>
    <row r="53211" spans="1:141" s="116" customFormat="1">
      <c r="A53211" s="136"/>
      <c r="CM53211" s="111"/>
      <c r="CQ53211" s="111"/>
      <c r="EF53211"/>
      <c r="EG53211"/>
      <c r="EH53211"/>
      <c r="EI53211"/>
      <c r="EJ53211"/>
      <c r="EK53211"/>
    </row>
    <row r="53212" spans="1:141" s="116" customFormat="1">
      <c r="A53212" s="136"/>
      <c r="CM53212" s="111"/>
      <c r="CQ53212" s="111"/>
      <c r="EF53212"/>
      <c r="EG53212"/>
      <c r="EH53212"/>
      <c r="EI53212"/>
      <c r="EJ53212"/>
      <c r="EK53212"/>
    </row>
    <row r="53213" spans="1:141" s="116" customFormat="1">
      <c r="A53213" s="136"/>
      <c r="CM53213" s="111"/>
      <c r="CQ53213" s="111"/>
      <c r="EF53213"/>
      <c r="EG53213"/>
      <c r="EH53213"/>
      <c r="EI53213"/>
      <c r="EJ53213"/>
      <c r="EK53213"/>
    </row>
    <row r="53214" spans="1:141" s="116" customFormat="1">
      <c r="A53214" s="136"/>
      <c r="CM53214" s="111"/>
      <c r="CQ53214" s="111"/>
      <c r="EF53214"/>
      <c r="EG53214"/>
      <c r="EH53214"/>
      <c r="EI53214"/>
      <c r="EJ53214"/>
      <c r="EK53214"/>
    </row>
    <row r="53215" spans="1:141" s="116" customFormat="1">
      <c r="A53215" s="136"/>
      <c r="CM53215" s="111"/>
      <c r="CQ53215" s="111"/>
      <c r="EF53215"/>
      <c r="EG53215"/>
      <c r="EH53215"/>
      <c r="EI53215"/>
      <c r="EJ53215"/>
      <c r="EK53215"/>
    </row>
    <row r="53216" spans="1:141" s="116" customFormat="1">
      <c r="A53216" s="136"/>
      <c r="CM53216" s="111"/>
      <c r="CQ53216" s="111"/>
      <c r="EF53216"/>
      <c r="EG53216"/>
      <c r="EH53216"/>
      <c r="EI53216"/>
      <c r="EJ53216"/>
      <c r="EK53216"/>
    </row>
    <row r="53217" spans="1:141" s="116" customFormat="1">
      <c r="A53217" s="136"/>
      <c r="CM53217" s="111"/>
      <c r="CQ53217" s="111"/>
      <c r="EF53217"/>
      <c r="EG53217"/>
      <c r="EH53217"/>
      <c r="EI53217"/>
      <c r="EJ53217"/>
      <c r="EK53217"/>
    </row>
    <row r="53218" spans="1:141" s="116" customFormat="1">
      <c r="A53218" s="136"/>
      <c r="CM53218" s="111"/>
      <c r="CQ53218" s="111"/>
      <c r="EF53218"/>
      <c r="EG53218"/>
      <c r="EH53218"/>
      <c r="EI53218"/>
      <c r="EJ53218"/>
      <c r="EK53218"/>
    </row>
    <row r="53219" spans="1:141" s="116" customFormat="1">
      <c r="A53219" s="136"/>
      <c r="CM53219" s="111"/>
      <c r="CQ53219" s="111"/>
      <c r="EF53219"/>
      <c r="EG53219"/>
      <c r="EH53219"/>
      <c r="EI53219"/>
      <c r="EJ53219"/>
      <c r="EK53219"/>
    </row>
    <row r="53220" spans="1:141" s="116" customFormat="1">
      <c r="A53220" s="136"/>
      <c r="CM53220" s="111"/>
      <c r="CQ53220" s="111"/>
      <c r="EF53220"/>
      <c r="EG53220"/>
      <c r="EH53220"/>
      <c r="EI53220"/>
      <c r="EJ53220"/>
      <c r="EK53220"/>
    </row>
    <row r="53221" spans="1:141" s="116" customFormat="1">
      <c r="A53221" s="136"/>
      <c r="CM53221" s="111"/>
      <c r="CQ53221" s="111"/>
      <c r="EF53221"/>
      <c r="EG53221"/>
      <c r="EH53221"/>
      <c r="EI53221"/>
      <c r="EJ53221"/>
      <c r="EK53221"/>
    </row>
    <row r="53222" spans="1:141" s="116" customFormat="1">
      <c r="A53222" s="136"/>
      <c r="CM53222" s="111"/>
      <c r="CQ53222" s="111"/>
      <c r="EF53222"/>
      <c r="EG53222"/>
      <c r="EH53222"/>
      <c r="EI53222"/>
      <c r="EJ53222"/>
      <c r="EK53222"/>
    </row>
    <row r="53223" spans="1:141" s="116" customFormat="1">
      <c r="A53223" s="136"/>
      <c r="CM53223" s="111"/>
      <c r="CQ53223" s="111"/>
      <c r="EF53223"/>
      <c r="EG53223"/>
      <c r="EH53223"/>
      <c r="EI53223"/>
      <c r="EJ53223"/>
      <c r="EK53223"/>
    </row>
    <row r="53224" spans="1:141" s="116" customFormat="1">
      <c r="A53224" s="136"/>
      <c r="CM53224" s="111"/>
      <c r="CQ53224" s="111"/>
      <c r="EF53224"/>
      <c r="EG53224"/>
      <c r="EH53224"/>
      <c r="EI53224"/>
      <c r="EJ53224"/>
      <c r="EK53224"/>
    </row>
    <row r="53225" spans="1:141" s="116" customFormat="1">
      <c r="A53225" s="136"/>
      <c r="CM53225" s="111"/>
      <c r="CQ53225" s="111"/>
      <c r="EF53225"/>
      <c r="EG53225"/>
      <c r="EH53225"/>
      <c r="EI53225"/>
      <c r="EJ53225"/>
      <c r="EK53225"/>
    </row>
    <row r="53226" spans="1:141" s="116" customFormat="1">
      <c r="A53226" s="136"/>
      <c r="CM53226" s="111"/>
      <c r="CQ53226" s="111"/>
      <c r="EF53226"/>
      <c r="EG53226"/>
      <c r="EH53226"/>
      <c r="EI53226"/>
      <c r="EJ53226"/>
      <c r="EK53226"/>
    </row>
    <row r="53227" spans="1:141" s="116" customFormat="1">
      <c r="A53227" s="136"/>
      <c r="CM53227" s="111"/>
      <c r="CQ53227" s="111"/>
      <c r="EF53227"/>
      <c r="EG53227"/>
      <c r="EH53227"/>
      <c r="EI53227"/>
      <c r="EJ53227"/>
      <c r="EK53227"/>
    </row>
    <row r="53228" spans="1:141" s="116" customFormat="1">
      <c r="A53228" s="136"/>
      <c r="CM53228" s="111"/>
      <c r="CQ53228" s="111"/>
      <c r="EF53228"/>
      <c r="EG53228"/>
      <c r="EH53228"/>
      <c r="EI53228"/>
      <c r="EJ53228"/>
      <c r="EK53228"/>
    </row>
    <row r="53229" spans="1:141" s="116" customFormat="1">
      <c r="A53229" s="136"/>
      <c r="CM53229" s="111"/>
      <c r="CQ53229" s="111"/>
      <c r="EF53229"/>
      <c r="EG53229"/>
      <c r="EH53229"/>
      <c r="EI53229"/>
      <c r="EJ53229"/>
      <c r="EK53229"/>
    </row>
    <row r="53230" spans="1:141" s="116" customFormat="1">
      <c r="A53230" s="136"/>
      <c r="CM53230" s="111"/>
      <c r="CQ53230" s="111"/>
      <c r="EF53230"/>
      <c r="EG53230"/>
      <c r="EH53230"/>
      <c r="EI53230"/>
      <c r="EJ53230"/>
      <c r="EK53230"/>
    </row>
    <row r="53231" spans="1:141" s="116" customFormat="1">
      <c r="A53231" s="136"/>
      <c r="CM53231" s="111"/>
      <c r="CQ53231" s="111"/>
      <c r="EF53231"/>
      <c r="EG53231"/>
      <c r="EH53231"/>
      <c r="EI53231"/>
      <c r="EJ53231"/>
      <c r="EK53231"/>
    </row>
    <row r="53232" spans="1:141" s="116" customFormat="1">
      <c r="A53232" s="136"/>
      <c r="CM53232" s="111"/>
      <c r="CQ53232" s="111"/>
      <c r="EF53232"/>
      <c r="EG53232"/>
      <c r="EH53232"/>
      <c r="EI53232"/>
      <c r="EJ53232"/>
      <c r="EK53232"/>
    </row>
    <row r="53233" spans="1:141" s="116" customFormat="1">
      <c r="A53233" s="136"/>
      <c r="CM53233" s="111"/>
      <c r="CQ53233" s="111"/>
      <c r="EF53233"/>
      <c r="EG53233"/>
      <c r="EH53233"/>
      <c r="EI53233"/>
      <c r="EJ53233"/>
      <c r="EK53233"/>
    </row>
    <row r="53234" spans="1:141" s="116" customFormat="1">
      <c r="A53234" s="136"/>
      <c r="CM53234" s="111"/>
      <c r="CQ53234" s="111"/>
      <c r="EF53234"/>
      <c r="EG53234"/>
      <c r="EH53234"/>
      <c r="EI53234"/>
      <c r="EJ53234"/>
      <c r="EK53234"/>
    </row>
    <row r="53235" spans="1:141" s="116" customFormat="1">
      <c r="A53235" s="136"/>
      <c r="CM53235" s="111"/>
      <c r="CQ53235" s="111"/>
      <c r="EF53235"/>
      <c r="EG53235"/>
      <c r="EH53235"/>
      <c r="EI53235"/>
      <c r="EJ53235"/>
      <c r="EK53235"/>
    </row>
    <row r="53236" spans="1:141" s="116" customFormat="1">
      <c r="A53236" s="136"/>
      <c r="CM53236" s="111"/>
      <c r="CQ53236" s="111"/>
      <c r="EF53236"/>
      <c r="EG53236"/>
      <c r="EH53236"/>
      <c r="EI53236"/>
      <c r="EJ53236"/>
      <c r="EK53236"/>
    </row>
    <row r="53237" spans="1:141" s="116" customFormat="1">
      <c r="A53237" s="136"/>
      <c r="CM53237" s="111"/>
      <c r="CQ53237" s="111"/>
      <c r="EF53237"/>
      <c r="EG53237"/>
      <c r="EH53237"/>
      <c r="EI53237"/>
      <c r="EJ53237"/>
      <c r="EK53237"/>
    </row>
    <row r="53238" spans="1:141" s="116" customFormat="1">
      <c r="A53238" s="136"/>
      <c r="CM53238" s="111"/>
      <c r="CQ53238" s="111"/>
      <c r="EF53238"/>
      <c r="EG53238"/>
      <c r="EH53238"/>
      <c r="EI53238"/>
      <c r="EJ53238"/>
      <c r="EK53238"/>
    </row>
    <row r="53239" spans="1:141" s="116" customFormat="1">
      <c r="A53239" s="136"/>
      <c r="CM53239" s="111"/>
      <c r="CQ53239" s="111"/>
      <c r="EF53239"/>
      <c r="EG53239"/>
      <c r="EH53239"/>
      <c r="EI53239"/>
      <c r="EJ53239"/>
      <c r="EK53239"/>
    </row>
    <row r="53240" spans="1:141" s="116" customFormat="1">
      <c r="A53240" s="136"/>
      <c r="CM53240" s="111"/>
      <c r="CQ53240" s="111"/>
      <c r="EF53240"/>
      <c r="EG53240"/>
      <c r="EH53240"/>
      <c r="EI53240"/>
      <c r="EJ53240"/>
      <c r="EK53240"/>
    </row>
    <row r="53241" spans="1:141" s="116" customFormat="1">
      <c r="A53241" s="136"/>
      <c r="CM53241" s="111"/>
      <c r="CQ53241" s="111"/>
      <c r="EF53241"/>
      <c r="EG53241"/>
      <c r="EH53241"/>
      <c r="EI53241"/>
      <c r="EJ53241"/>
      <c r="EK53241"/>
    </row>
    <row r="53242" spans="1:141" s="116" customFormat="1">
      <c r="A53242" s="136"/>
      <c r="CM53242" s="111"/>
      <c r="CQ53242" s="111"/>
      <c r="EF53242"/>
      <c r="EG53242"/>
      <c r="EH53242"/>
      <c r="EI53242"/>
      <c r="EJ53242"/>
      <c r="EK53242"/>
    </row>
    <row r="53243" spans="1:141" s="116" customFormat="1">
      <c r="A53243" s="136"/>
      <c r="CM53243" s="111"/>
      <c r="CQ53243" s="111"/>
      <c r="EF53243"/>
      <c r="EG53243"/>
      <c r="EH53243"/>
      <c r="EI53243"/>
      <c r="EJ53243"/>
      <c r="EK53243"/>
    </row>
    <row r="53244" spans="1:141" s="116" customFormat="1">
      <c r="A53244" s="136"/>
      <c r="CM53244" s="111"/>
      <c r="CQ53244" s="111"/>
      <c r="EF53244"/>
      <c r="EG53244"/>
      <c r="EH53244"/>
      <c r="EI53244"/>
      <c r="EJ53244"/>
      <c r="EK53244"/>
    </row>
    <row r="53245" spans="1:141" s="116" customFormat="1">
      <c r="A53245" s="136"/>
      <c r="CM53245" s="111"/>
      <c r="CQ53245" s="111"/>
      <c r="EF53245"/>
      <c r="EG53245"/>
      <c r="EH53245"/>
      <c r="EI53245"/>
      <c r="EJ53245"/>
      <c r="EK53245"/>
    </row>
    <row r="53246" spans="1:141" s="116" customFormat="1">
      <c r="A53246" s="136"/>
      <c r="CM53246" s="111"/>
      <c r="CQ53246" s="111"/>
      <c r="EF53246"/>
      <c r="EG53246"/>
      <c r="EH53246"/>
      <c r="EI53246"/>
      <c r="EJ53246"/>
      <c r="EK53246"/>
    </row>
    <row r="53247" spans="1:141" s="116" customFormat="1">
      <c r="A53247" s="136"/>
      <c r="CM53247" s="111"/>
      <c r="CQ53247" s="111"/>
      <c r="EF53247"/>
      <c r="EG53247"/>
      <c r="EH53247"/>
      <c r="EI53247"/>
      <c r="EJ53247"/>
      <c r="EK53247"/>
    </row>
    <row r="53248" spans="1:141" s="116" customFormat="1">
      <c r="A53248" s="136"/>
      <c r="CM53248" s="111"/>
      <c r="CQ53248" s="111"/>
      <c r="EF53248"/>
      <c r="EG53248"/>
      <c r="EH53248"/>
      <c r="EI53248"/>
      <c r="EJ53248"/>
      <c r="EK53248"/>
    </row>
    <row r="53249" spans="1:141" s="116" customFormat="1">
      <c r="A53249" s="136"/>
      <c r="CM53249" s="111"/>
      <c r="CQ53249" s="111"/>
      <c r="EF53249"/>
      <c r="EG53249"/>
      <c r="EH53249"/>
      <c r="EI53249"/>
      <c r="EJ53249"/>
      <c r="EK53249"/>
    </row>
    <row r="53250" spans="1:141" s="116" customFormat="1">
      <c r="A53250" s="136"/>
      <c r="CM53250" s="111"/>
      <c r="CQ53250" s="111"/>
      <c r="EF53250"/>
      <c r="EG53250"/>
      <c r="EH53250"/>
      <c r="EI53250"/>
      <c r="EJ53250"/>
      <c r="EK53250"/>
    </row>
    <row r="53251" spans="1:141" s="116" customFormat="1">
      <c r="A53251" s="136"/>
      <c r="CM53251" s="111"/>
      <c r="CQ53251" s="111"/>
      <c r="EF53251"/>
      <c r="EG53251"/>
      <c r="EH53251"/>
      <c r="EI53251"/>
      <c r="EJ53251"/>
      <c r="EK53251"/>
    </row>
    <row r="53252" spans="1:141" s="116" customFormat="1">
      <c r="A53252" s="136"/>
      <c r="CM53252" s="111"/>
      <c r="CQ53252" s="111"/>
      <c r="EF53252"/>
      <c r="EG53252"/>
      <c r="EH53252"/>
      <c r="EI53252"/>
      <c r="EJ53252"/>
      <c r="EK53252"/>
    </row>
    <row r="53253" spans="1:141" s="116" customFormat="1">
      <c r="A53253" s="136"/>
      <c r="CM53253" s="111"/>
      <c r="CQ53253" s="111"/>
      <c r="EF53253"/>
      <c r="EG53253"/>
      <c r="EH53253"/>
      <c r="EI53253"/>
      <c r="EJ53253"/>
      <c r="EK53253"/>
    </row>
    <row r="53254" spans="1:141" s="116" customFormat="1">
      <c r="A53254" s="136"/>
      <c r="CM53254" s="111"/>
      <c r="CQ53254" s="111"/>
      <c r="EF53254"/>
      <c r="EG53254"/>
      <c r="EH53254"/>
      <c r="EI53254"/>
      <c r="EJ53254"/>
      <c r="EK53254"/>
    </row>
    <row r="53255" spans="1:141" s="116" customFormat="1">
      <c r="A53255" s="136"/>
      <c r="CM53255" s="111"/>
      <c r="CQ53255" s="111"/>
      <c r="EF53255"/>
      <c r="EG53255"/>
      <c r="EH53255"/>
      <c r="EI53255"/>
      <c r="EJ53255"/>
      <c r="EK53255"/>
    </row>
    <row r="53256" spans="1:141" s="116" customFormat="1">
      <c r="A53256" s="136"/>
      <c r="CM53256" s="111"/>
      <c r="CQ53256" s="111"/>
      <c r="EF53256"/>
      <c r="EG53256"/>
      <c r="EH53256"/>
      <c r="EI53256"/>
      <c r="EJ53256"/>
      <c r="EK53256"/>
    </row>
    <row r="53257" spans="1:141" s="116" customFormat="1">
      <c r="A53257" s="136"/>
      <c r="CM53257" s="111"/>
      <c r="CQ53257" s="111"/>
      <c r="EF53257"/>
      <c r="EG53257"/>
      <c r="EH53257"/>
      <c r="EI53257"/>
      <c r="EJ53257"/>
      <c r="EK53257"/>
    </row>
    <row r="53258" spans="1:141" s="116" customFormat="1">
      <c r="A53258" s="136"/>
      <c r="CM53258" s="111"/>
      <c r="CQ53258" s="111"/>
      <c r="EF53258"/>
      <c r="EG53258"/>
      <c r="EH53258"/>
      <c r="EI53258"/>
      <c r="EJ53258"/>
      <c r="EK53258"/>
    </row>
    <row r="53259" spans="1:141" s="116" customFormat="1">
      <c r="A53259" s="136"/>
      <c r="CM53259" s="111"/>
      <c r="CQ53259" s="111"/>
      <c r="EF53259"/>
      <c r="EG53259"/>
      <c r="EH53259"/>
      <c r="EI53259"/>
      <c r="EJ53259"/>
      <c r="EK53259"/>
    </row>
    <row r="53260" spans="1:141" s="116" customFormat="1">
      <c r="A53260" s="136"/>
      <c r="CM53260" s="111"/>
      <c r="CQ53260" s="111"/>
      <c r="EF53260"/>
      <c r="EG53260"/>
      <c r="EH53260"/>
      <c r="EI53260"/>
      <c r="EJ53260"/>
      <c r="EK53260"/>
    </row>
    <row r="53261" spans="1:141" s="116" customFormat="1">
      <c r="A53261" s="136"/>
      <c r="CM53261" s="111"/>
      <c r="CQ53261" s="111"/>
      <c r="EF53261"/>
      <c r="EG53261"/>
      <c r="EH53261"/>
      <c r="EI53261"/>
      <c r="EJ53261"/>
      <c r="EK53261"/>
    </row>
    <row r="53262" spans="1:141" s="116" customFormat="1">
      <c r="A53262" s="136"/>
      <c r="CM53262" s="111"/>
      <c r="CQ53262" s="111"/>
      <c r="EF53262"/>
      <c r="EG53262"/>
      <c r="EH53262"/>
      <c r="EI53262"/>
      <c r="EJ53262"/>
      <c r="EK53262"/>
    </row>
    <row r="53263" spans="1:141" s="116" customFormat="1">
      <c r="A53263" s="136"/>
      <c r="CM53263" s="111"/>
      <c r="CQ53263" s="111"/>
      <c r="EF53263"/>
      <c r="EG53263"/>
      <c r="EH53263"/>
      <c r="EI53263"/>
      <c r="EJ53263"/>
      <c r="EK53263"/>
    </row>
    <row r="53264" spans="1:141" s="116" customFormat="1">
      <c r="A53264" s="136"/>
      <c r="CM53264" s="111"/>
      <c r="CQ53264" s="111"/>
      <c r="EF53264"/>
      <c r="EG53264"/>
      <c r="EH53264"/>
      <c r="EI53264"/>
      <c r="EJ53264"/>
      <c r="EK53264"/>
    </row>
    <row r="53265" spans="1:141" s="116" customFormat="1">
      <c r="A53265" s="136"/>
      <c r="CM53265" s="111"/>
      <c r="CQ53265" s="111"/>
      <c r="EF53265"/>
      <c r="EG53265"/>
      <c r="EH53265"/>
      <c r="EI53265"/>
      <c r="EJ53265"/>
      <c r="EK53265"/>
    </row>
    <row r="53266" spans="1:141" s="116" customFormat="1">
      <c r="A53266" s="136"/>
      <c r="CM53266" s="111"/>
      <c r="CQ53266" s="111"/>
      <c r="EF53266"/>
      <c r="EG53266"/>
      <c r="EH53266"/>
      <c r="EI53266"/>
      <c r="EJ53266"/>
      <c r="EK53266"/>
    </row>
    <row r="53267" spans="1:141" s="116" customFormat="1">
      <c r="A53267" s="136"/>
      <c r="CM53267" s="111"/>
      <c r="CQ53267" s="111"/>
      <c r="EF53267"/>
      <c r="EG53267"/>
      <c r="EH53267"/>
      <c r="EI53267"/>
      <c r="EJ53267"/>
      <c r="EK53267"/>
    </row>
    <row r="53268" spans="1:141" s="116" customFormat="1">
      <c r="A53268" s="136"/>
      <c r="CM53268" s="111"/>
      <c r="CQ53268" s="111"/>
      <c r="EF53268"/>
      <c r="EG53268"/>
      <c r="EH53268"/>
      <c r="EI53268"/>
      <c r="EJ53268"/>
      <c r="EK53268"/>
    </row>
    <row r="53269" spans="1:141" s="116" customFormat="1">
      <c r="A53269" s="136"/>
      <c r="CM53269" s="111"/>
      <c r="CQ53269" s="111"/>
      <c r="EF53269"/>
      <c r="EG53269"/>
      <c r="EH53269"/>
      <c r="EI53269"/>
      <c r="EJ53269"/>
      <c r="EK53269"/>
    </row>
    <row r="53270" spans="1:141" s="116" customFormat="1">
      <c r="A53270" s="136"/>
      <c r="CM53270" s="111"/>
      <c r="CQ53270" s="111"/>
      <c r="EF53270"/>
      <c r="EG53270"/>
      <c r="EH53270"/>
      <c r="EI53270"/>
      <c r="EJ53270"/>
      <c r="EK53270"/>
    </row>
    <row r="53271" spans="1:141" s="116" customFormat="1">
      <c r="A53271" s="136"/>
      <c r="CM53271" s="111"/>
      <c r="CQ53271" s="111"/>
      <c r="EF53271"/>
      <c r="EG53271"/>
      <c r="EH53271"/>
      <c r="EI53271"/>
      <c r="EJ53271"/>
      <c r="EK53271"/>
    </row>
    <row r="53272" spans="1:141" s="116" customFormat="1">
      <c r="A53272" s="136"/>
      <c r="CM53272" s="111"/>
      <c r="CQ53272" s="111"/>
      <c r="EF53272"/>
      <c r="EG53272"/>
      <c r="EH53272"/>
      <c r="EI53272"/>
      <c r="EJ53272"/>
      <c r="EK53272"/>
    </row>
    <row r="53273" spans="1:141" s="116" customFormat="1">
      <c r="A53273" s="136"/>
      <c r="CM53273" s="111"/>
      <c r="CQ53273" s="111"/>
      <c r="EF53273"/>
      <c r="EG53273"/>
      <c r="EH53273"/>
      <c r="EI53273"/>
      <c r="EJ53273"/>
      <c r="EK53273"/>
    </row>
    <row r="53274" spans="1:141" s="116" customFormat="1">
      <c r="A53274" s="136"/>
      <c r="CM53274" s="111"/>
      <c r="CQ53274" s="111"/>
      <c r="EF53274"/>
      <c r="EG53274"/>
      <c r="EH53274"/>
      <c r="EI53274"/>
      <c r="EJ53274"/>
      <c r="EK53274"/>
    </row>
    <row r="53275" spans="1:141" s="116" customFormat="1">
      <c r="A53275" s="136"/>
      <c r="CM53275" s="111"/>
      <c r="CQ53275" s="111"/>
      <c r="EF53275"/>
      <c r="EG53275"/>
      <c r="EH53275"/>
      <c r="EI53275"/>
      <c r="EJ53275"/>
      <c r="EK53275"/>
    </row>
    <row r="53276" spans="1:141" s="116" customFormat="1">
      <c r="A53276" s="136"/>
      <c r="CM53276" s="111"/>
      <c r="CQ53276" s="111"/>
      <c r="EF53276"/>
      <c r="EG53276"/>
      <c r="EH53276"/>
      <c r="EI53276"/>
      <c r="EJ53276"/>
      <c r="EK53276"/>
    </row>
    <row r="53277" spans="1:141" s="116" customFormat="1">
      <c r="A53277" s="136"/>
      <c r="CM53277" s="111"/>
      <c r="CQ53277" s="111"/>
      <c r="EF53277"/>
      <c r="EG53277"/>
      <c r="EH53277"/>
      <c r="EI53277"/>
      <c r="EJ53277"/>
      <c r="EK53277"/>
    </row>
    <row r="53278" spans="1:141" s="116" customFormat="1">
      <c r="A53278" s="136"/>
      <c r="CM53278" s="111"/>
      <c r="CQ53278" s="111"/>
      <c r="EF53278"/>
      <c r="EG53278"/>
      <c r="EH53278"/>
      <c r="EI53278"/>
      <c r="EJ53278"/>
      <c r="EK53278"/>
    </row>
    <row r="53279" spans="1:141" s="116" customFormat="1">
      <c r="A53279" s="136"/>
      <c r="CM53279" s="111"/>
      <c r="CQ53279" s="111"/>
      <c r="EF53279"/>
      <c r="EG53279"/>
      <c r="EH53279"/>
      <c r="EI53279"/>
      <c r="EJ53279"/>
      <c r="EK53279"/>
    </row>
    <row r="53280" spans="1:141" s="116" customFormat="1">
      <c r="A53280" s="136"/>
      <c r="CM53280" s="111"/>
      <c r="CQ53280" s="111"/>
      <c r="EF53280"/>
      <c r="EG53280"/>
      <c r="EH53280"/>
      <c r="EI53280"/>
      <c r="EJ53280"/>
      <c r="EK53280"/>
    </row>
    <row r="53281" spans="1:141" s="116" customFormat="1">
      <c r="A53281" s="136"/>
      <c r="CM53281" s="111"/>
      <c r="CQ53281" s="111"/>
      <c r="EF53281"/>
      <c r="EG53281"/>
      <c r="EH53281"/>
      <c r="EI53281"/>
      <c r="EJ53281"/>
      <c r="EK53281"/>
    </row>
    <row r="53282" spans="1:141" s="116" customFormat="1">
      <c r="A53282" s="136"/>
      <c r="CM53282" s="111"/>
      <c r="CQ53282" s="111"/>
      <c r="EF53282"/>
      <c r="EG53282"/>
      <c r="EH53282"/>
      <c r="EI53282"/>
      <c r="EJ53282"/>
      <c r="EK53282"/>
    </row>
    <row r="53283" spans="1:141" s="116" customFormat="1">
      <c r="A53283" s="136"/>
      <c r="CM53283" s="111"/>
      <c r="CQ53283" s="111"/>
      <c r="EF53283"/>
      <c r="EG53283"/>
      <c r="EH53283"/>
      <c r="EI53283"/>
      <c r="EJ53283"/>
      <c r="EK53283"/>
    </row>
    <row r="53284" spans="1:141" s="116" customFormat="1">
      <c r="A53284" s="136"/>
      <c r="CM53284" s="111"/>
      <c r="CQ53284" s="111"/>
      <c r="EF53284"/>
      <c r="EG53284"/>
      <c r="EH53284"/>
      <c r="EI53284"/>
      <c r="EJ53284"/>
      <c r="EK53284"/>
    </row>
    <row r="53285" spans="1:141" s="116" customFormat="1">
      <c r="A53285" s="136"/>
      <c r="CM53285" s="111"/>
      <c r="CQ53285" s="111"/>
      <c r="EF53285"/>
      <c r="EG53285"/>
      <c r="EH53285"/>
      <c r="EI53285"/>
      <c r="EJ53285"/>
      <c r="EK53285"/>
    </row>
    <row r="53286" spans="1:141" s="116" customFormat="1">
      <c r="A53286" s="136"/>
      <c r="CM53286" s="111"/>
      <c r="CQ53286" s="111"/>
      <c r="EF53286"/>
      <c r="EG53286"/>
      <c r="EH53286"/>
      <c r="EI53286"/>
      <c r="EJ53286"/>
      <c r="EK53286"/>
    </row>
    <row r="53287" spans="1:141" s="116" customFormat="1">
      <c r="A53287" s="136"/>
      <c r="CM53287" s="111"/>
      <c r="CQ53287" s="111"/>
      <c r="EF53287"/>
      <c r="EG53287"/>
      <c r="EH53287"/>
      <c r="EI53287"/>
      <c r="EJ53287"/>
      <c r="EK53287"/>
    </row>
    <row r="53288" spans="1:141" s="116" customFormat="1">
      <c r="A53288" s="136"/>
      <c r="CM53288" s="111"/>
      <c r="CQ53288" s="111"/>
      <c r="EF53288"/>
      <c r="EG53288"/>
      <c r="EH53288"/>
      <c r="EI53288"/>
      <c r="EJ53288"/>
      <c r="EK53288"/>
    </row>
    <row r="53289" spans="1:141" s="116" customFormat="1">
      <c r="A53289" s="136"/>
      <c r="CM53289" s="111"/>
      <c r="CQ53289" s="111"/>
      <c r="EF53289"/>
      <c r="EG53289"/>
      <c r="EH53289"/>
      <c r="EI53289"/>
      <c r="EJ53289"/>
      <c r="EK53289"/>
    </row>
    <row r="53290" spans="1:141" s="116" customFormat="1">
      <c r="A53290" s="136"/>
      <c r="CM53290" s="111"/>
      <c r="CQ53290" s="111"/>
      <c r="EF53290"/>
      <c r="EG53290"/>
      <c r="EH53290"/>
      <c r="EI53290"/>
      <c r="EJ53290"/>
      <c r="EK53290"/>
    </row>
    <row r="53291" spans="1:141" s="116" customFormat="1">
      <c r="A53291" s="136"/>
      <c r="CM53291" s="111"/>
      <c r="CQ53291" s="111"/>
      <c r="EF53291"/>
      <c r="EG53291"/>
      <c r="EH53291"/>
      <c r="EI53291"/>
      <c r="EJ53291"/>
      <c r="EK53291"/>
    </row>
    <row r="53292" spans="1:141" s="116" customFormat="1">
      <c r="A53292" s="136"/>
      <c r="CM53292" s="111"/>
      <c r="CQ53292" s="111"/>
      <c r="EF53292"/>
      <c r="EG53292"/>
      <c r="EH53292"/>
      <c r="EI53292"/>
      <c r="EJ53292"/>
      <c r="EK53292"/>
    </row>
    <row r="53293" spans="1:141" s="116" customFormat="1">
      <c r="A53293" s="136"/>
      <c r="CM53293" s="111"/>
      <c r="CQ53293" s="111"/>
      <c r="EF53293"/>
      <c r="EG53293"/>
      <c r="EH53293"/>
      <c r="EI53293"/>
      <c r="EJ53293"/>
      <c r="EK53293"/>
    </row>
    <row r="53294" spans="1:141" s="116" customFormat="1">
      <c r="A53294" s="136"/>
      <c r="CM53294" s="111"/>
      <c r="CQ53294" s="111"/>
      <c r="EF53294"/>
      <c r="EG53294"/>
      <c r="EH53294"/>
      <c r="EI53294"/>
      <c r="EJ53294"/>
      <c r="EK53294"/>
    </row>
    <row r="53295" spans="1:141" s="116" customFormat="1">
      <c r="A53295" s="136"/>
      <c r="CM53295" s="111"/>
      <c r="CQ53295" s="111"/>
      <c r="EF53295"/>
      <c r="EG53295"/>
      <c r="EH53295"/>
      <c r="EI53295"/>
      <c r="EJ53295"/>
      <c r="EK53295"/>
    </row>
    <row r="53296" spans="1:141" s="116" customFormat="1">
      <c r="A53296" s="136"/>
      <c r="CM53296" s="111"/>
      <c r="CQ53296" s="111"/>
      <c r="EF53296"/>
      <c r="EG53296"/>
      <c r="EH53296"/>
      <c r="EI53296"/>
      <c r="EJ53296"/>
      <c r="EK53296"/>
    </row>
    <row r="53297" spans="1:141" s="116" customFormat="1">
      <c r="A53297" s="136"/>
      <c r="CM53297" s="111"/>
      <c r="CQ53297" s="111"/>
      <c r="EF53297"/>
      <c r="EG53297"/>
      <c r="EH53297"/>
      <c r="EI53297"/>
      <c r="EJ53297"/>
      <c r="EK53297"/>
    </row>
    <row r="53298" spans="1:141" s="116" customFormat="1">
      <c r="A53298" s="136"/>
      <c r="CM53298" s="111"/>
      <c r="CQ53298" s="111"/>
      <c r="EF53298"/>
      <c r="EG53298"/>
      <c r="EH53298"/>
      <c r="EI53298"/>
      <c r="EJ53298"/>
      <c r="EK53298"/>
    </row>
    <row r="53299" spans="1:141" s="116" customFormat="1">
      <c r="A53299" s="136"/>
      <c r="CM53299" s="111"/>
      <c r="CQ53299" s="111"/>
      <c r="EF53299"/>
      <c r="EG53299"/>
      <c r="EH53299"/>
      <c r="EI53299"/>
      <c r="EJ53299"/>
      <c r="EK53299"/>
    </row>
    <row r="53300" spans="1:141" s="116" customFormat="1">
      <c r="A53300" s="136"/>
      <c r="CM53300" s="111"/>
      <c r="CQ53300" s="111"/>
      <c r="EF53300"/>
      <c r="EG53300"/>
      <c r="EH53300"/>
      <c r="EI53300"/>
      <c r="EJ53300"/>
      <c r="EK53300"/>
    </row>
    <row r="53301" spans="1:141" s="116" customFormat="1">
      <c r="A53301" s="136"/>
      <c r="CM53301" s="111"/>
      <c r="CQ53301" s="111"/>
      <c r="EF53301"/>
      <c r="EG53301"/>
      <c r="EH53301"/>
      <c r="EI53301"/>
      <c r="EJ53301"/>
      <c r="EK53301"/>
    </row>
    <row r="53302" spans="1:141" s="116" customFormat="1">
      <c r="A53302" s="136"/>
      <c r="CM53302" s="111"/>
      <c r="CQ53302" s="111"/>
      <c r="EF53302"/>
      <c r="EG53302"/>
      <c r="EH53302"/>
      <c r="EI53302"/>
      <c r="EJ53302"/>
      <c r="EK53302"/>
    </row>
    <row r="53303" spans="1:141" s="116" customFormat="1">
      <c r="A53303" s="136"/>
      <c r="CM53303" s="111"/>
      <c r="CQ53303" s="111"/>
      <c r="EF53303"/>
      <c r="EG53303"/>
      <c r="EH53303"/>
      <c r="EI53303"/>
      <c r="EJ53303"/>
      <c r="EK53303"/>
    </row>
    <row r="53304" spans="1:141" s="116" customFormat="1">
      <c r="A53304" s="136"/>
      <c r="CM53304" s="111"/>
      <c r="CQ53304" s="111"/>
      <c r="EF53304"/>
      <c r="EG53304"/>
      <c r="EH53304"/>
      <c r="EI53304"/>
      <c r="EJ53304"/>
      <c r="EK53304"/>
    </row>
    <row r="53305" spans="1:141" s="116" customFormat="1">
      <c r="A53305" s="136"/>
      <c r="CM53305" s="111"/>
      <c r="CQ53305" s="111"/>
      <c r="EF53305"/>
      <c r="EG53305"/>
      <c r="EH53305"/>
      <c r="EI53305"/>
      <c r="EJ53305"/>
      <c r="EK53305"/>
    </row>
    <row r="53306" spans="1:141" s="116" customFormat="1">
      <c r="A53306" s="136"/>
      <c r="CM53306" s="111"/>
      <c r="CQ53306" s="111"/>
      <c r="EF53306"/>
      <c r="EG53306"/>
      <c r="EH53306"/>
      <c r="EI53306"/>
      <c r="EJ53306"/>
      <c r="EK53306"/>
    </row>
    <row r="53307" spans="1:141" s="116" customFormat="1">
      <c r="A53307" s="136"/>
      <c r="CM53307" s="111"/>
      <c r="CQ53307" s="111"/>
      <c r="EF53307"/>
      <c r="EG53307"/>
      <c r="EH53307"/>
      <c r="EI53307"/>
      <c r="EJ53307"/>
      <c r="EK53307"/>
    </row>
    <row r="53308" spans="1:141" s="116" customFormat="1">
      <c r="A53308" s="136"/>
      <c r="CM53308" s="111"/>
      <c r="CQ53308" s="111"/>
      <c r="EF53308"/>
      <c r="EG53308"/>
      <c r="EH53308"/>
      <c r="EI53308"/>
      <c r="EJ53308"/>
      <c r="EK53308"/>
    </row>
    <row r="53309" spans="1:141" s="116" customFormat="1">
      <c r="A53309" s="136"/>
      <c r="CM53309" s="111"/>
      <c r="CQ53309" s="111"/>
      <c r="EF53309"/>
      <c r="EG53309"/>
      <c r="EH53309"/>
      <c r="EI53309"/>
      <c r="EJ53309"/>
      <c r="EK53309"/>
    </row>
    <row r="53310" spans="1:141" s="116" customFormat="1">
      <c r="A53310" s="136"/>
      <c r="CM53310" s="111"/>
      <c r="CQ53310" s="111"/>
      <c r="EF53310"/>
      <c r="EG53310"/>
      <c r="EH53310"/>
      <c r="EI53310"/>
      <c r="EJ53310"/>
      <c r="EK53310"/>
    </row>
    <row r="53311" spans="1:141" s="116" customFormat="1">
      <c r="A53311" s="136"/>
      <c r="CM53311" s="111"/>
      <c r="CQ53311" s="111"/>
      <c r="EF53311"/>
      <c r="EG53311"/>
      <c r="EH53311"/>
      <c r="EI53311"/>
      <c r="EJ53311"/>
      <c r="EK53311"/>
    </row>
    <row r="53312" spans="1:141" s="116" customFormat="1">
      <c r="A53312" s="136"/>
      <c r="CM53312" s="111"/>
      <c r="CQ53312" s="111"/>
      <c r="EF53312"/>
      <c r="EG53312"/>
      <c r="EH53312"/>
      <c r="EI53312"/>
      <c r="EJ53312"/>
      <c r="EK53312"/>
    </row>
    <row r="53313" spans="1:141" s="116" customFormat="1">
      <c r="A53313" s="136"/>
      <c r="CM53313" s="111"/>
      <c r="CQ53313" s="111"/>
      <c r="EF53313"/>
      <c r="EG53313"/>
      <c r="EH53313"/>
      <c r="EI53313"/>
      <c r="EJ53313"/>
      <c r="EK53313"/>
    </row>
    <row r="53314" spans="1:141" s="116" customFormat="1">
      <c r="A53314" s="136"/>
      <c r="CM53314" s="111"/>
      <c r="CQ53314" s="111"/>
      <c r="EF53314"/>
      <c r="EG53314"/>
      <c r="EH53314"/>
      <c r="EI53314"/>
      <c r="EJ53314"/>
      <c r="EK53314"/>
    </row>
    <row r="53315" spans="1:141" s="116" customFormat="1">
      <c r="A53315" s="136"/>
      <c r="CM53315" s="111"/>
      <c r="CQ53315" s="111"/>
      <c r="EF53315"/>
      <c r="EG53315"/>
      <c r="EH53315"/>
      <c r="EI53315"/>
      <c r="EJ53315"/>
      <c r="EK53315"/>
    </row>
    <row r="53316" spans="1:141" s="116" customFormat="1">
      <c r="A53316" s="136"/>
      <c r="CM53316" s="111"/>
      <c r="CQ53316" s="111"/>
      <c r="EF53316"/>
      <c r="EG53316"/>
      <c r="EH53316"/>
      <c r="EI53316"/>
      <c r="EJ53316"/>
      <c r="EK53316"/>
    </row>
    <row r="53317" spans="1:141" s="116" customFormat="1">
      <c r="A53317" s="136"/>
      <c r="CM53317" s="111"/>
      <c r="CQ53317" s="111"/>
      <c r="EF53317"/>
      <c r="EG53317"/>
      <c r="EH53317"/>
      <c r="EI53317"/>
      <c r="EJ53317"/>
      <c r="EK53317"/>
    </row>
    <row r="53318" spans="1:141" s="116" customFormat="1">
      <c r="A53318" s="136"/>
      <c r="CM53318" s="111"/>
      <c r="CQ53318" s="111"/>
      <c r="EF53318"/>
      <c r="EG53318"/>
      <c r="EH53318"/>
      <c r="EI53318"/>
      <c r="EJ53318"/>
      <c r="EK53318"/>
    </row>
    <row r="53319" spans="1:141" s="116" customFormat="1">
      <c r="A53319" s="136"/>
      <c r="CM53319" s="111"/>
      <c r="CQ53319" s="111"/>
      <c r="EF53319"/>
      <c r="EG53319"/>
      <c r="EH53319"/>
      <c r="EI53319"/>
      <c r="EJ53319"/>
      <c r="EK53319"/>
    </row>
    <row r="53320" spans="1:141" s="116" customFormat="1">
      <c r="A53320" s="136"/>
      <c r="CM53320" s="111"/>
      <c r="CQ53320" s="111"/>
      <c r="EF53320"/>
      <c r="EG53320"/>
      <c r="EH53320"/>
      <c r="EI53320"/>
      <c r="EJ53320"/>
      <c r="EK53320"/>
    </row>
    <row r="53321" spans="1:141" s="116" customFormat="1">
      <c r="A53321" s="136"/>
      <c r="CM53321" s="111"/>
      <c r="CQ53321" s="111"/>
      <c r="EF53321"/>
      <c r="EG53321"/>
      <c r="EH53321"/>
      <c r="EI53321"/>
      <c r="EJ53321"/>
      <c r="EK53321"/>
    </row>
    <row r="53322" spans="1:141" s="116" customFormat="1">
      <c r="A53322" s="136"/>
      <c r="CM53322" s="111"/>
      <c r="CQ53322" s="111"/>
      <c r="EF53322"/>
      <c r="EG53322"/>
      <c r="EH53322"/>
      <c r="EI53322"/>
      <c r="EJ53322"/>
      <c r="EK53322"/>
    </row>
    <row r="53323" spans="1:141" s="116" customFormat="1">
      <c r="A53323" s="136"/>
      <c r="CM53323" s="111"/>
      <c r="CQ53323" s="111"/>
      <c r="EF53323"/>
      <c r="EG53323"/>
      <c r="EH53323"/>
      <c r="EI53323"/>
      <c r="EJ53323"/>
      <c r="EK53323"/>
    </row>
    <row r="53324" spans="1:141" s="116" customFormat="1">
      <c r="A53324" s="136"/>
      <c r="CM53324" s="111"/>
      <c r="CQ53324" s="111"/>
      <c r="EF53324"/>
      <c r="EG53324"/>
      <c r="EH53324"/>
      <c r="EI53324"/>
      <c r="EJ53324"/>
      <c r="EK53324"/>
    </row>
    <row r="53325" spans="1:141" s="116" customFormat="1">
      <c r="A53325" s="136"/>
      <c r="CM53325" s="111"/>
      <c r="CQ53325" s="111"/>
      <c r="EF53325"/>
      <c r="EG53325"/>
      <c r="EH53325"/>
      <c r="EI53325"/>
      <c r="EJ53325"/>
      <c r="EK53325"/>
    </row>
    <row r="53326" spans="1:141" s="116" customFormat="1">
      <c r="A53326" s="136"/>
      <c r="CM53326" s="111"/>
      <c r="CQ53326" s="111"/>
      <c r="EF53326"/>
      <c r="EG53326"/>
      <c r="EH53326"/>
      <c r="EI53326"/>
      <c r="EJ53326"/>
      <c r="EK53326"/>
    </row>
    <row r="53327" spans="1:141" s="116" customFormat="1">
      <c r="A53327" s="136"/>
      <c r="CM53327" s="111"/>
      <c r="CQ53327" s="111"/>
      <c r="EF53327"/>
      <c r="EG53327"/>
      <c r="EH53327"/>
      <c r="EI53327"/>
      <c r="EJ53327"/>
      <c r="EK53327"/>
    </row>
    <row r="53328" spans="1:141" s="116" customFormat="1">
      <c r="A53328" s="136"/>
      <c r="CM53328" s="111"/>
      <c r="CQ53328" s="111"/>
      <c r="EF53328"/>
      <c r="EG53328"/>
      <c r="EH53328"/>
      <c r="EI53328"/>
      <c r="EJ53328"/>
      <c r="EK53328"/>
    </row>
    <row r="53329" spans="1:141" s="116" customFormat="1">
      <c r="A53329" s="136"/>
      <c r="CM53329" s="111"/>
      <c r="CQ53329" s="111"/>
      <c r="EF53329"/>
      <c r="EG53329"/>
      <c r="EH53329"/>
      <c r="EI53329"/>
      <c r="EJ53329"/>
      <c r="EK53329"/>
    </row>
    <row r="53330" spans="1:141" s="116" customFormat="1">
      <c r="A53330" s="136"/>
      <c r="CM53330" s="111"/>
      <c r="CQ53330" s="111"/>
      <c r="EF53330"/>
      <c r="EG53330"/>
      <c r="EH53330"/>
      <c r="EI53330"/>
      <c r="EJ53330"/>
      <c r="EK53330"/>
    </row>
    <row r="53331" spans="1:141" s="116" customFormat="1">
      <c r="A53331" s="136"/>
      <c r="CM53331" s="111"/>
      <c r="CQ53331" s="111"/>
      <c r="EF53331"/>
      <c r="EG53331"/>
      <c r="EH53331"/>
      <c r="EI53331"/>
      <c r="EJ53331"/>
      <c r="EK53331"/>
    </row>
    <row r="53332" spans="1:141" s="116" customFormat="1">
      <c r="A53332" s="136"/>
      <c r="CM53332" s="111"/>
      <c r="CQ53332" s="111"/>
      <c r="EF53332"/>
      <c r="EG53332"/>
      <c r="EH53332"/>
      <c r="EI53332"/>
      <c r="EJ53332"/>
      <c r="EK53332"/>
    </row>
    <row r="53333" spans="1:141" s="116" customFormat="1">
      <c r="A53333" s="136"/>
      <c r="CM53333" s="111"/>
      <c r="CQ53333" s="111"/>
      <c r="EF53333"/>
      <c r="EG53333"/>
      <c r="EH53333"/>
      <c r="EI53333"/>
      <c r="EJ53333"/>
      <c r="EK53333"/>
    </row>
    <row r="53334" spans="1:141" s="116" customFormat="1">
      <c r="A53334" s="136"/>
      <c r="CM53334" s="111"/>
      <c r="CQ53334" s="111"/>
      <c r="EF53334"/>
      <c r="EG53334"/>
      <c r="EH53334"/>
      <c r="EI53334"/>
      <c r="EJ53334"/>
      <c r="EK53334"/>
    </row>
    <row r="53335" spans="1:141" s="116" customFormat="1">
      <c r="A53335" s="136"/>
      <c r="CM53335" s="111"/>
      <c r="CQ53335" s="111"/>
      <c r="EF53335"/>
      <c r="EG53335"/>
      <c r="EH53335"/>
      <c r="EI53335"/>
      <c r="EJ53335"/>
      <c r="EK53335"/>
    </row>
    <row r="53336" spans="1:141" s="116" customFormat="1">
      <c r="A53336" s="136"/>
      <c r="CM53336" s="111"/>
      <c r="CQ53336" s="111"/>
      <c r="EF53336"/>
      <c r="EG53336"/>
      <c r="EH53336"/>
      <c r="EI53336"/>
      <c r="EJ53336"/>
      <c r="EK53336"/>
    </row>
    <row r="53337" spans="1:141" s="116" customFormat="1">
      <c r="A53337" s="136"/>
      <c r="CM53337" s="111"/>
      <c r="CQ53337" s="111"/>
      <c r="EF53337"/>
      <c r="EG53337"/>
      <c r="EH53337"/>
      <c r="EI53337"/>
      <c r="EJ53337"/>
      <c r="EK53337"/>
    </row>
    <row r="53338" spans="1:141" s="116" customFormat="1">
      <c r="A53338" s="136"/>
      <c r="CM53338" s="111"/>
      <c r="CQ53338" s="111"/>
      <c r="EF53338"/>
      <c r="EG53338"/>
      <c r="EH53338"/>
      <c r="EI53338"/>
      <c r="EJ53338"/>
      <c r="EK53338"/>
    </row>
    <row r="53339" spans="1:141" s="116" customFormat="1">
      <c r="A53339" s="136"/>
      <c r="CM53339" s="111"/>
      <c r="CQ53339" s="111"/>
      <c r="EF53339"/>
      <c r="EG53339"/>
      <c r="EH53339"/>
      <c r="EI53339"/>
      <c r="EJ53339"/>
      <c r="EK53339"/>
    </row>
    <row r="53340" spans="1:141" s="116" customFormat="1">
      <c r="A53340" s="136"/>
      <c r="CM53340" s="111"/>
      <c r="CQ53340" s="111"/>
      <c r="EF53340"/>
      <c r="EG53340"/>
      <c r="EH53340"/>
      <c r="EI53340"/>
      <c r="EJ53340"/>
      <c r="EK53340"/>
    </row>
    <row r="53341" spans="1:141" s="116" customFormat="1">
      <c r="A53341" s="136"/>
      <c r="CM53341" s="111"/>
      <c r="CQ53341" s="111"/>
      <c r="EF53341"/>
      <c r="EG53341"/>
      <c r="EH53341"/>
      <c r="EI53341"/>
      <c r="EJ53341"/>
      <c r="EK53341"/>
    </row>
    <row r="53342" spans="1:141" s="116" customFormat="1">
      <c r="A53342" s="136"/>
      <c r="CM53342" s="111"/>
      <c r="CQ53342" s="111"/>
      <c r="EF53342"/>
      <c r="EG53342"/>
      <c r="EH53342"/>
      <c r="EI53342"/>
      <c r="EJ53342"/>
      <c r="EK53342"/>
    </row>
    <row r="53343" spans="1:141" s="116" customFormat="1">
      <c r="A53343" s="136"/>
      <c r="CM53343" s="111"/>
      <c r="CQ53343" s="111"/>
      <c r="EF53343"/>
      <c r="EG53343"/>
      <c r="EH53343"/>
      <c r="EI53343"/>
      <c r="EJ53343"/>
      <c r="EK53343"/>
    </row>
    <row r="53344" spans="1:141" s="116" customFormat="1">
      <c r="A53344" s="136"/>
      <c r="CM53344" s="111"/>
      <c r="CQ53344" s="111"/>
      <c r="EF53344"/>
      <c r="EG53344"/>
      <c r="EH53344"/>
      <c r="EI53344"/>
      <c r="EJ53344"/>
      <c r="EK53344"/>
    </row>
    <row r="53345" spans="1:141" s="116" customFormat="1">
      <c r="A53345" s="136"/>
      <c r="CM53345" s="111"/>
      <c r="CQ53345" s="111"/>
      <c r="EF53345"/>
      <c r="EG53345"/>
      <c r="EH53345"/>
      <c r="EI53345"/>
      <c r="EJ53345"/>
      <c r="EK53345"/>
    </row>
    <row r="53346" spans="1:141" s="116" customFormat="1">
      <c r="A53346" s="136"/>
      <c r="CM53346" s="111"/>
      <c r="CQ53346" s="111"/>
      <c r="EF53346"/>
      <c r="EG53346"/>
      <c r="EH53346"/>
      <c r="EI53346"/>
      <c r="EJ53346"/>
      <c r="EK53346"/>
    </row>
    <row r="53347" spans="1:141" s="116" customFormat="1">
      <c r="A53347" s="136"/>
      <c r="CM53347" s="111"/>
      <c r="CQ53347" s="111"/>
      <c r="EF53347"/>
      <c r="EG53347"/>
      <c r="EH53347"/>
      <c r="EI53347"/>
      <c r="EJ53347"/>
      <c r="EK53347"/>
    </row>
    <row r="53348" spans="1:141" s="116" customFormat="1">
      <c r="A53348" s="136"/>
      <c r="CM53348" s="111"/>
      <c r="CQ53348" s="111"/>
      <c r="EF53348"/>
      <c r="EG53348"/>
      <c r="EH53348"/>
      <c r="EI53348"/>
      <c r="EJ53348"/>
      <c r="EK53348"/>
    </row>
    <row r="53349" spans="1:141" s="116" customFormat="1">
      <c r="A53349" s="136"/>
      <c r="CM53349" s="111"/>
      <c r="CQ53349" s="111"/>
      <c r="EF53349"/>
      <c r="EG53349"/>
      <c r="EH53349"/>
      <c r="EI53349"/>
      <c r="EJ53349"/>
      <c r="EK53349"/>
    </row>
    <row r="53350" spans="1:141" s="116" customFormat="1">
      <c r="A53350" s="136"/>
      <c r="CM53350" s="111"/>
      <c r="CQ53350" s="111"/>
      <c r="EF53350"/>
      <c r="EG53350"/>
      <c r="EH53350"/>
      <c r="EI53350"/>
      <c r="EJ53350"/>
      <c r="EK53350"/>
    </row>
    <row r="53351" spans="1:141" s="116" customFormat="1">
      <c r="A53351" s="136"/>
      <c r="CM53351" s="111"/>
      <c r="CQ53351" s="111"/>
      <c r="EF53351"/>
      <c r="EG53351"/>
      <c r="EH53351"/>
      <c r="EI53351"/>
      <c r="EJ53351"/>
      <c r="EK53351"/>
    </row>
    <row r="53352" spans="1:141" s="116" customFormat="1">
      <c r="A53352" s="136"/>
      <c r="CM53352" s="111"/>
      <c r="CQ53352" s="111"/>
      <c r="EF53352"/>
      <c r="EG53352"/>
      <c r="EH53352"/>
      <c r="EI53352"/>
      <c r="EJ53352"/>
      <c r="EK53352"/>
    </row>
    <row r="53353" spans="1:141" s="116" customFormat="1">
      <c r="A53353" s="136"/>
      <c r="CM53353" s="111"/>
      <c r="CQ53353" s="111"/>
      <c r="EF53353"/>
      <c r="EG53353"/>
      <c r="EH53353"/>
      <c r="EI53353"/>
      <c r="EJ53353"/>
      <c r="EK53353"/>
    </row>
    <row r="53354" spans="1:141" s="116" customFormat="1">
      <c r="A53354" s="136"/>
      <c r="CM53354" s="111"/>
      <c r="CQ53354" s="111"/>
      <c r="EF53354"/>
      <c r="EG53354"/>
      <c r="EH53354"/>
      <c r="EI53354"/>
      <c r="EJ53354"/>
      <c r="EK53354"/>
    </row>
    <row r="53355" spans="1:141" s="116" customFormat="1">
      <c r="A53355" s="136"/>
      <c r="CM53355" s="111"/>
      <c r="CQ53355" s="111"/>
      <c r="EF53355"/>
      <c r="EG53355"/>
      <c r="EH53355"/>
      <c r="EI53355"/>
      <c r="EJ53355"/>
      <c r="EK53355"/>
    </row>
    <row r="53356" spans="1:141" s="116" customFormat="1">
      <c r="A53356" s="136"/>
      <c r="CM53356" s="111"/>
      <c r="CQ53356" s="111"/>
      <c r="EF53356"/>
      <c r="EG53356"/>
      <c r="EH53356"/>
      <c r="EI53356"/>
      <c r="EJ53356"/>
      <c r="EK53356"/>
    </row>
    <row r="53357" spans="1:141" s="116" customFormat="1">
      <c r="A53357" s="136"/>
      <c r="CM53357" s="111"/>
      <c r="CQ53357" s="111"/>
      <c r="EF53357"/>
      <c r="EG53357"/>
      <c r="EH53357"/>
      <c r="EI53357"/>
      <c r="EJ53357"/>
      <c r="EK53357"/>
    </row>
    <row r="53358" spans="1:141" s="116" customFormat="1">
      <c r="A53358" s="136"/>
      <c r="CM53358" s="111"/>
      <c r="CQ53358" s="111"/>
      <c r="EF53358"/>
      <c r="EG53358"/>
      <c r="EH53358"/>
      <c r="EI53358"/>
      <c r="EJ53358"/>
      <c r="EK53358"/>
    </row>
    <row r="53359" spans="1:141" s="116" customFormat="1">
      <c r="A53359" s="136"/>
      <c r="CM53359" s="111"/>
      <c r="CQ53359" s="111"/>
      <c r="EF53359"/>
      <c r="EG53359"/>
      <c r="EH53359"/>
      <c r="EI53359"/>
      <c r="EJ53359"/>
      <c r="EK53359"/>
    </row>
    <row r="53360" spans="1:141" s="116" customFormat="1">
      <c r="A53360" s="136"/>
      <c r="CM53360" s="111"/>
      <c r="CQ53360" s="111"/>
      <c r="EF53360"/>
      <c r="EG53360"/>
      <c r="EH53360"/>
      <c r="EI53360"/>
      <c r="EJ53360"/>
      <c r="EK53360"/>
    </row>
    <row r="53361" spans="1:141" s="116" customFormat="1">
      <c r="A53361" s="136"/>
      <c r="CM53361" s="111"/>
      <c r="CQ53361" s="111"/>
      <c r="EF53361"/>
      <c r="EG53361"/>
      <c r="EH53361"/>
      <c r="EI53361"/>
      <c r="EJ53361"/>
      <c r="EK53361"/>
    </row>
    <row r="53362" spans="1:141" s="116" customFormat="1">
      <c r="A53362" s="136"/>
      <c r="CM53362" s="111"/>
      <c r="CQ53362" s="111"/>
      <c r="EF53362"/>
      <c r="EG53362"/>
      <c r="EH53362"/>
      <c r="EI53362"/>
      <c r="EJ53362"/>
      <c r="EK53362"/>
    </row>
    <row r="53363" spans="1:141" s="116" customFormat="1">
      <c r="A53363" s="136"/>
      <c r="CM53363" s="111"/>
      <c r="CQ53363" s="111"/>
      <c r="EF53363"/>
      <c r="EG53363"/>
      <c r="EH53363"/>
      <c r="EI53363"/>
      <c r="EJ53363"/>
      <c r="EK53363"/>
    </row>
    <row r="53364" spans="1:141" s="116" customFormat="1">
      <c r="A53364" s="136"/>
      <c r="CM53364" s="111"/>
      <c r="CQ53364" s="111"/>
      <c r="EF53364"/>
      <c r="EG53364"/>
      <c r="EH53364"/>
      <c r="EI53364"/>
      <c r="EJ53364"/>
      <c r="EK53364"/>
    </row>
    <row r="53365" spans="1:141" s="116" customFormat="1">
      <c r="A53365" s="136"/>
      <c r="CM53365" s="111"/>
      <c r="CQ53365" s="111"/>
      <c r="EF53365"/>
      <c r="EG53365"/>
      <c r="EH53365"/>
      <c r="EI53365"/>
      <c r="EJ53365"/>
      <c r="EK53365"/>
    </row>
    <row r="53366" spans="1:141" s="116" customFormat="1">
      <c r="A53366" s="136"/>
      <c r="CM53366" s="111"/>
      <c r="CQ53366" s="111"/>
      <c r="EF53366"/>
      <c r="EG53366"/>
      <c r="EH53366"/>
      <c r="EI53366"/>
      <c r="EJ53366"/>
      <c r="EK53366"/>
    </row>
    <row r="53367" spans="1:141" s="116" customFormat="1">
      <c r="A53367" s="136"/>
      <c r="CM53367" s="111"/>
      <c r="CQ53367" s="111"/>
      <c r="EF53367"/>
      <c r="EG53367"/>
      <c r="EH53367"/>
      <c r="EI53367"/>
      <c r="EJ53367"/>
      <c r="EK53367"/>
    </row>
    <row r="53368" spans="1:141" s="116" customFormat="1">
      <c r="A53368" s="136"/>
      <c r="CM53368" s="111"/>
      <c r="CQ53368" s="111"/>
      <c r="EF53368"/>
      <c r="EG53368"/>
      <c r="EH53368"/>
      <c r="EI53368"/>
      <c r="EJ53368"/>
      <c r="EK53368"/>
    </row>
    <row r="53369" spans="1:141" s="116" customFormat="1">
      <c r="A53369" s="136"/>
      <c r="CM53369" s="111"/>
      <c r="CQ53369" s="111"/>
      <c r="EF53369"/>
      <c r="EG53369"/>
      <c r="EH53369"/>
      <c r="EI53369"/>
      <c r="EJ53369"/>
      <c r="EK53369"/>
    </row>
    <row r="53370" spans="1:141" s="116" customFormat="1">
      <c r="A53370" s="136"/>
      <c r="CM53370" s="111"/>
      <c r="CQ53370" s="111"/>
      <c r="EF53370"/>
      <c r="EG53370"/>
      <c r="EH53370"/>
      <c r="EI53370"/>
      <c r="EJ53370"/>
      <c r="EK53370"/>
    </row>
    <row r="53371" spans="1:141" s="116" customFormat="1">
      <c r="A53371" s="136"/>
      <c r="CM53371" s="111"/>
      <c r="CQ53371" s="111"/>
      <c r="EF53371"/>
      <c r="EG53371"/>
      <c r="EH53371"/>
      <c r="EI53371"/>
      <c r="EJ53371"/>
      <c r="EK53371"/>
    </row>
    <row r="53372" spans="1:141" s="116" customFormat="1">
      <c r="A53372" s="136"/>
      <c r="CM53372" s="111"/>
      <c r="CQ53372" s="111"/>
      <c r="EF53372"/>
      <c r="EG53372"/>
      <c r="EH53372"/>
      <c r="EI53372"/>
      <c r="EJ53372"/>
      <c r="EK53372"/>
    </row>
    <row r="53373" spans="1:141" s="116" customFormat="1">
      <c r="A53373" s="136"/>
      <c r="CM53373" s="111"/>
      <c r="CQ53373" s="111"/>
      <c r="EF53373"/>
      <c r="EG53373"/>
      <c r="EH53373"/>
      <c r="EI53373"/>
      <c r="EJ53373"/>
      <c r="EK53373"/>
    </row>
    <row r="53374" spans="1:141" s="116" customFormat="1">
      <c r="A53374" s="136"/>
      <c r="CM53374" s="111"/>
      <c r="CQ53374" s="111"/>
      <c r="EF53374"/>
      <c r="EG53374"/>
      <c r="EH53374"/>
      <c r="EI53374"/>
      <c r="EJ53374"/>
      <c r="EK53374"/>
    </row>
    <row r="53375" spans="1:141" s="116" customFormat="1">
      <c r="A53375" s="136"/>
      <c r="CM53375" s="111"/>
      <c r="CQ53375" s="111"/>
      <c r="EF53375"/>
      <c r="EG53375"/>
      <c r="EH53375"/>
      <c r="EI53375"/>
      <c r="EJ53375"/>
      <c r="EK53375"/>
    </row>
    <row r="53376" spans="1:141" s="116" customFormat="1">
      <c r="A53376" s="136"/>
      <c r="CM53376" s="111"/>
      <c r="CQ53376" s="111"/>
      <c r="EF53376"/>
      <c r="EG53376"/>
      <c r="EH53376"/>
      <c r="EI53376"/>
      <c r="EJ53376"/>
      <c r="EK53376"/>
    </row>
    <row r="53377" spans="1:141" s="116" customFormat="1">
      <c r="A53377" s="136"/>
      <c r="CM53377" s="111"/>
      <c r="CQ53377" s="111"/>
      <c r="EF53377"/>
      <c r="EG53377"/>
      <c r="EH53377"/>
      <c r="EI53377"/>
      <c r="EJ53377"/>
      <c r="EK53377"/>
    </row>
    <row r="53378" spans="1:141" s="116" customFormat="1">
      <c r="A53378" s="136"/>
      <c r="CM53378" s="111"/>
      <c r="CQ53378" s="111"/>
      <c r="EF53378"/>
      <c r="EG53378"/>
      <c r="EH53378"/>
      <c r="EI53378"/>
      <c r="EJ53378"/>
      <c r="EK53378"/>
    </row>
    <row r="53379" spans="1:141" s="116" customFormat="1">
      <c r="A53379" s="136"/>
      <c r="CM53379" s="111"/>
      <c r="CQ53379" s="111"/>
      <c r="EF53379"/>
      <c r="EG53379"/>
      <c r="EH53379"/>
      <c r="EI53379"/>
      <c r="EJ53379"/>
      <c r="EK53379"/>
    </row>
    <row r="53380" spans="1:141" s="116" customFormat="1">
      <c r="A53380" s="136"/>
      <c r="CM53380" s="111"/>
      <c r="CQ53380" s="111"/>
      <c r="EF53380"/>
      <c r="EG53380"/>
      <c r="EH53380"/>
      <c r="EI53380"/>
      <c r="EJ53380"/>
      <c r="EK53380"/>
    </row>
    <row r="53381" spans="1:141" s="116" customFormat="1">
      <c r="A53381" s="136"/>
      <c r="CM53381" s="111"/>
      <c r="CQ53381" s="111"/>
      <c r="EF53381"/>
      <c r="EG53381"/>
      <c r="EH53381"/>
      <c r="EI53381"/>
      <c r="EJ53381"/>
      <c r="EK53381"/>
    </row>
    <row r="53382" spans="1:141" s="116" customFormat="1">
      <c r="A53382" s="136"/>
      <c r="CM53382" s="111"/>
      <c r="CQ53382" s="111"/>
      <c r="EF53382"/>
      <c r="EG53382"/>
      <c r="EH53382"/>
      <c r="EI53382"/>
      <c r="EJ53382"/>
      <c r="EK53382"/>
    </row>
    <row r="53383" spans="1:141" s="116" customFormat="1">
      <c r="A53383" s="136"/>
      <c r="CM53383" s="111"/>
      <c r="CQ53383" s="111"/>
      <c r="EF53383"/>
      <c r="EG53383"/>
      <c r="EH53383"/>
      <c r="EI53383"/>
      <c r="EJ53383"/>
      <c r="EK53383"/>
    </row>
    <row r="53384" spans="1:141" s="116" customFormat="1">
      <c r="A53384" s="136"/>
      <c r="CM53384" s="111"/>
      <c r="CQ53384" s="111"/>
      <c r="EF53384"/>
      <c r="EG53384"/>
      <c r="EH53384"/>
      <c r="EI53384"/>
      <c r="EJ53384"/>
      <c r="EK53384"/>
    </row>
    <row r="53385" spans="1:141" s="116" customFormat="1">
      <c r="A53385" s="136"/>
      <c r="CM53385" s="111"/>
      <c r="CQ53385" s="111"/>
      <c r="EF53385"/>
      <c r="EG53385"/>
      <c r="EH53385"/>
      <c r="EI53385"/>
      <c r="EJ53385"/>
      <c r="EK53385"/>
    </row>
    <row r="53386" spans="1:141" s="116" customFormat="1">
      <c r="A53386" s="136"/>
      <c r="CM53386" s="111"/>
      <c r="CQ53386" s="111"/>
      <c r="EF53386"/>
      <c r="EG53386"/>
      <c r="EH53386"/>
      <c r="EI53386"/>
      <c r="EJ53386"/>
      <c r="EK53386"/>
    </row>
    <row r="53387" spans="1:141" s="116" customFormat="1">
      <c r="A53387" s="136"/>
      <c r="CM53387" s="111"/>
      <c r="CQ53387" s="111"/>
      <c r="EF53387"/>
      <c r="EG53387"/>
      <c r="EH53387"/>
      <c r="EI53387"/>
      <c r="EJ53387"/>
      <c r="EK53387"/>
    </row>
    <row r="53388" spans="1:141" s="116" customFormat="1">
      <c r="A53388" s="136"/>
      <c r="CM53388" s="111"/>
      <c r="CQ53388" s="111"/>
      <c r="EF53388"/>
      <c r="EG53388"/>
      <c r="EH53388"/>
      <c r="EI53388"/>
      <c r="EJ53388"/>
      <c r="EK53388"/>
    </row>
    <row r="53389" spans="1:141" s="116" customFormat="1">
      <c r="A53389" s="136"/>
      <c r="CM53389" s="111"/>
      <c r="CQ53389" s="111"/>
      <c r="EF53389"/>
      <c r="EG53389"/>
      <c r="EH53389"/>
      <c r="EI53389"/>
      <c r="EJ53389"/>
      <c r="EK53389"/>
    </row>
    <row r="53390" spans="1:141" s="116" customFormat="1">
      <c r="A53390" s="136"/>
      <c r="CM53390" s="111"/>
      <c r="CQ53390" s="111"/>
      <c r="EF53390"/>
      <c r="EG53390"/>
      <c r="EH53390"/>
      <c r="EI53390"/>
      <c r="EJ53390"/>
      <c r="EK53390"/>
    </row>
    <row r="53391" spans="1:141" s="116" customFormat="1">
      <c r="A53391" s="136"/>
      <c r="CM53391" s="111"/>
      <c r="CQ53391" s="111"/>
      <c r="EF53391"/>
      <c r="EG53391"/>
      <c r="EH53391"/>
      <c r="EI53391"/>
      <c r="EJ53391"/>
      <c r="EK53391"/>
    </row>
    <row r="53392" spans="1:141" s="116" customFormat="1">
      <c r="A53392" s="136"/>
      <c r="CM53392" s="111"/>
      <c r="CQ53392" s="111"/>
      <c r="EF53392"/>
      <c r="EG53392"/>
      <c r="EH53392"/>
      <c r="EI53392"/>
      <c r="EJ53392"/>
      <c r="EK53392"/>
    </row>
    <row r="53393" spans="1:141" s="116" customFormat="1">
      <c r="A53393" s="136"/>
      <c r="CM53393" s="111"/>
      <c r="CQ53393" s="111"/>
      <c r="EF53393"/>
      <c r="EG53393"/>
      <c r="EH53393"/>
      <c r="EI53393"/>
      <c r="EJ53393"/>
      <c r="EK53393"/>
    </row>
    <row r="53394" spans="1:141" s="116" customFormat="1">
      <c r="A53394" s="136"/>
      <c r="CM53394" s="111"/>
      <c r="CQ53394" s="111"/>
      <c r="EF53394"/>
      <c r="EG53394"/>
      <c r="EH53394"/>
      <c r="EI53394"/>
      <c r="EJ53394"/>
      <c r="EK53394"/>
    </row>
    <row r="53395" spans="1:141" s="116" customFormat="1">
      <c r="A53395" s="136"/>
      <c r="CM53395" s="111"/>
      <c r="CQ53395" s="111"/>
      <c r="EF53395"/>
      <c r="EG53395"/>
      <c r="EH53395"/>
      <c r="EI53395"/>
      <c r="EJ53395"/>
      <c r="EK53395"/>
    </row>
    <row r="53396" spans="1:141" s="116" customFormat="1">
      <c r="A53396" s="136"/>
      <c r="CM53396" s="111"/>
      <c r="CQ53396" s="111"/>
      <c r="EF53396"/>
      <c r="EG53396"/>
      <c r="EH53396"/>
      <c r="EI53396"/>
      <c r="EJ53396"/>
      <c r="EK53396"/>
    </row>
    <row r="53397" spans="1:141" s="116" customFormat="1">
      <c r="A53397" s="136"/>
      <c r="CM53397" s="111"/>
      <c r="CQ53397" s="111"/>
      <c r="EF53397"/>
      <c r="EG53397"/>
      <c r="EH53397"/>
      <c r="EI53397"/>
      <c r="EJ53397"/>
      <c r="EK53397"/>
    </row>
    <row r="53398" spans="1:141" s="116" customFormat="1">
      <c r="A53398" s="136"/>
      <c r="CM53398" s="111"/>
      <c r="CQ53398" s="111"/>
      <c r="EF53398"/>
      <c r="EG53398"/>
      <c r="EH53398"/>
      <c r="EI53398"/>
      <c r="EJ53398"/>
      <c r="EK53398"/>
    </row>
    <row r="53399" spans="1:141" s="116" customFormat="1">
      <c r="A53399" s="136"/>
      <c r="CM53399" s="111"/>
      <c r="CQ53399" s="111"/>
      <c r="EF53399"/>
      <c r="EG53399"/>
      <c r="EH53399"/>
      <c r="EI53399"/>
      <c r="EJ53399"/>
      <c r="EK53399"/>
    </row>
    <row r="53400" spans="1:141" s="116" customFormat="1">
      <c r="A53400" s="136"/>
      <c r="CM53400" s="111"/>
      <c r="CQ53400" s="111"/>
      <c r="EF53400"/>
      <c r="EG53400"/>
      <c r="EH53400"/>
      <c r="EI53400"/>
      <c r="EJ53400"/>
      <c r="EK53400"/>
    </row>
    <row r="53401" spans="1:141" s="116" customFormat="1">
      <c r="A53401" s="136"/>
      <c r="CM53401" s="111"/>
      <c r="CQ53401" s="111"/>
      <c r="EF53401"/>
      <c r="EG53401"/>
      <c r="EH53401"/>
      <c r="EI53401"/>
      <c r="EJ53401"/>
      <c r="EK53401"/>
    </row>
    <row r="53402" spans="1:141" s="116" customFormat="1">
      <c r="A53402" s="136"/>
      <c r="CM53402" s="111"/>
      <c r="CQ53402" s="111"/>
      <c r="EF53402"/>
      <c r="EG53402"/>
      <c r="EH53402"/>
      <c r="EI53402"/>
      <c r="EJ53402"/>
      <c r="EK53402"/>
    </row>
    <row r="53403" spans="1:141" s="116" customFormat="1">
      <c r="A53403" s="136"/>
      <c r="CM53403" s="111"/>
      <c r="CQ53403" s="111"/>
      <c r="EF53403"/>
      <c r="EG53403"/>
      <c r="EH53403"/>
      <c r="EI53403"/>
      <c r="EJ53403"/>
      <c r="EK53403"/>
    </row>
    <row r="53404" spans="1:141" s="116" customFormat="1">
      <c r="A53404" s="136"/>
      <c r="CM53404" s="111"/>
      <c r="CQ53404" s="111"/>
      <c r="EF53404"/>
      <c r="EG53404"/>
      <c r="EH53404"/>
      <c r="EI53404"/>
      <c r="EJ53404"/>
      <c r="EK53404"/>
    </row>
    <row r="53405" spans="1:141" s="116" customFormat="1">
      <c r="A53405" s="136"/>
      <c r="CM53405" s="111"/>
      <c r="CQ53405" s="111"/>
      <c r="EF53405"/>
      <c r="EG53405"/>
      <c r="EH53405"/>
      <c r="EI53405"/>
      <c r="EJ53405"/>
      <c r="EK53405"/>
    </row>
    <row r="53406" spans="1:141" s="116" customFormat="1">
      <c r="A53406" s="136"/>
      <c r="CM53406" s="111"/>
      <c r="CQ53406" s="111"/>
      <c r="EF53406"/>
      <c r="EG53406"/>
      <c r="EH53406"/>
      <c r="EI53406"/>
      <c r="EJ53406"/>
      <c r="EK53406"/>
    </row>
    <row r="53407" spans="1:141" s="116" customFormat="1">
      <c r="A53407" s="136"/>
      <c r="CM53407" s="111"/>
      <c r="CQ53407" s="111"/>
      <c r="EF53407"/>
      <c r="EG53407"/>
      <c r="EH53407"/>
      <c r="EI53407"/>
      <c r="EJ53407"/>
      <c r="EK53407"/>
    </row>
    <row r="53408" spans="1:141" s="116" customFormat="1">
      <c r="A53408" s="136"/>
      <c r="CM53408" s="111"/>
      <c r="CQ53408" s="111"/>
      <c r="EF53408"/>
      <c r="EG53408"/>
      <c r="EH53408"/>
      <c r="EI53408"/>
      <c r="EJ53408"/>
      <c r="EK53408"/>
    </row>
    <row r="53409" spans="1:141" s="116" customFormat="1">
      <c r="A53409" s="136"/>
      <c r="CM53409" s="111"/>
      <c r="CQ53409" s="111"/>
      <c r="EF53409"/>
      <c r="EG53409"/>
      <c r="EH53409"/>
      <c r="EI53409"/>
      <c r="EJ53409"/>
      <c r="EK53409"/>
    </row>
    <row r="53410" spans="1:141" s="116" customFormat="1">
      <c r="A53410" s="136"/>
      <c r="CM53410" s="111"/>
      <c r="CQ53410" s="111"/>
      <c r="EF53410"/>
      <c r="EG53410"/>
      <c r="EH53410"/>
      <c r="EI53410"/>
      <c r="EJ53410"/>
      <c r="EK53410"/>
    </row>
    <row r="53411" spans="1:141" s="116" customFormat="1">
      <c r="A53411" s="136"/>
      <c r="CM53411" s="111"/>
      <c r="CQ53411" s="111"/>
      <c r="EF53411"/>
      <c r="EG53411"/>
      <c r="EH53411"/>
      <c r="EI53411"/>
      <c r="EJ53411"/>
      <c r="EK53411"/>
    </row>
    <row r="53412" spans="1:141" s="116" customFormat="1">
      <c r="A53412" s="136"/>
      <c r="CM53412" s="111"/>
      <c r="CQ53412" s="111"/>
      <c r="EF53412"/>
      <c r="EG53412"/>
      <c r="EH53412"/>
      <c r="EI53412"/>
      <c r="EJ53412"/>
      <c r="EK53412"/>
    </row>
    <row r="53413" spans="1:141" s="116" customFormat="1">
      <c r="A53413" s="136"/>
      <c r="CM53413" s="111"/>
      <c r="CQ53413" s="111"/>
      <c r="EF53413"/>
      <c r="EG53413"/>
      <c r="EH53413"/>
      <c r="EI53413"/>
      <c r="EJ53413"/>
      <c r="EK53413"/>
    </row>
    <row r="53414" spans="1:141" s="116" customFormat="1">
      <c r="A53414" s="136"/>
      <c r="CM53414" s="111"/>
      <c r="CQ53414" s="111"/>
      <c r="EF53414"/>
      <c r="EG53414"/>
      <c r="EH53414"/>
      <c r="EI53414"/>
      <c r="EJ53414"/>
      <c r="EK53414"/>
    </row>
    <row r="53415" spans="1:141" s="116" customFormat="1">
      <c r="A53415" s="136"/>
      <c r="CM53415" s="111"/>
      <c r="CQ53415" s="111"/>
      <c r="EF53415"/>
      <c r="EG53415"/>
      <c r="EH53415"/>
      <c r="EI53415"/>
      <c r="EJ53415"/>
      <c r="EK53415"/>
    </row>
    <row r="53416" spans="1:141" s="116" customFormat="1">
      <c r="A53416" s="136"/>
      <c r="CM53416" s="111"/>
      <c r="CQ53416" s="111"/>
      <c r="EF53416"/>
      <c r="EG53416"/>
      <c r="EH53416"/>
      <c r="EI53416"/>
      <c r="EJ53416"/>
      <c r="EK53416"/>
    </row>
    <row r="53417" spans="1:141" s="116" customFormat="1">
      <c r="A53417" s="136"/>
      <c r="CM53417" s="111"/>
      <c r="CQ53417" s="111"/>
      <c r="EF53417"/>
      <c r="EG53417"/>
      <c r="EH53417"/>
      <c r="EI53417"/>
      <c r="EJ53417"/>
      <c r="EK53417"/>
    </row>
    <row r="53418" spans="1:141" s="116" customFormat="1">
      <c r="A53418" s="136"/>
      <c r="CM53418" s="111"/>
      <c r="CQ53418" s="111"/>
      <c r="EF53418"/>
      <c r="EG53418"/>
      <c r="EH53418"/>
      <c r="EI53418"/>
      <c r="EJ53418"/>
      <c r="EK53418"/>
    </row>
    <row r="53419" spans="1:141" s="116" customFormat="1">
      <c r="A53419" s="136"/>
      <c r="CM53419" s="111"/>
      <c r="CQ53419" s="111"/>
      <c r="EF53419"/>
      <c r="EG53419"/>
      <c r="EH53419"/>
      <c r="EI53419"/>
      <c r="EJ53419"/>
      <c r="EK53419"/>
    </row>
    <row r="53420" spans="1:141" s="116" customFormat="1">
      <c r="A53420" s="136"/>
      <c r="CM53420" s="111"/>
      <c r="CQ53420" s="111"/>
      <c r="EF53420"/>
      <c r="EG53420"/>
      <c r="EH53420"/>
      <c r="EI53420"/>
      <c r="EJ53420"/>
      <c r="EK53420"/>
    </row>
    <row r="53421" spans="1:141" s="116" customFormat="1">
      <c r="A53421" s="136"/>
      <c r="CM53421" s="111"/>
      <c r="CQ53421" s="111"/>
      <c r="EF53421"/>
      <c r="EG53421"/>
      <c r="EH53421"/>
      <c r="EI53421"/>
      <c r="EJ53421"/>
      <c r="EK53421"/>
    </row>
    <row r="53422" spans="1:141" s="116" customFormat="1">
      <c r="A53422" s="136"/>
      <c r="CM53422" s="111"/>
      <c r="CQ53422" s="111"/>
      <c r="EF53422"/>
      <c r="EG53422"/>
      <c r="EH53422"/>
      <c r="EI53422"/>
      <c r="EJ53422"/>
      <c r="EK53422"/>
    </row>
    <row r="53423" spans="1:141" s="116" customFormat="1">
      <c r="A53423" s="136"/>
      <c r="CM53423" s="111"/>
      <c r="CQ53423" s="111"/>
      <c r="EF53423"/>
      <c r="EG53423"/>
      <c r="EH53423"/>
      <c r="EI53423"/>
      <c r="EJ53423"/>
      <c r="EK53423"/>
    </row>
    <row r="53424" spans="1:141" s="116" customFormat="1">
      <c r="A53424" s="136"/>
      <c r="CM53424" s="111"/>
      <c r="CQ53424" s="111"/>
      <c r="EF53424"/>
      <c r="EG53424"/>
      <c r="EH53424"/>
      <c r="EI53424"/>
      <c r="EJ53424"/>
      <c r="EK53424"/>
    </row>
    <row r="53425" spans="1:141" s="116" customFormat="1">
      <c r="A53425" s="136"/>
      <c r="CM53425" s="111"/>
      <c r="CQ53425" s="111"/>
      <c r="EF53425"/>
      <c r="EG53425"/>
      <c r="EH53425"/>
      <c r="EI53425"/>
      <c r="EJ53425"/>
      <c r="EK53425"/>
    </row>
    <row r="53426" spans="1:141" s="116" customFormat="1">
      <c r="A53426" s="136"/>
      <c r="CM53426" s="111"/>
      <c r="CQ53426" s="111"/>
      <c r="EF53426"/>
      <c r="EG53426"/>
      <c r="EH53426"/>
      <c r="EI53426"/>
      <c r="EJ53426"/>
      <c r="EK53426"/>
    </row>
    <row r="53427" spans="1:141" s="116" customFormat="1">
      <c r="A53427" s="136"/>
      <c r="CM53427" s="111"/>
      <c r="CQ53427" s="111"/>
      <c r="EF53427"/>
      <c r="EG53427"/>
      <c r="EH53427"/>
      <c r="EI53427"/>
      <c r="EJ53427"/>
      <c r="EK53427"/>
    </row>
    <row r="53428" spans="1:141" s="116" customFormat="1">
      <c r="A53428" s="136"/>
      <c r="CM53428" s="111"/>
      <c r="CQ53428" s="111"/>
      <c r="EF53428"/>
      <c r="EG53428"/>
      <c r="EH53428"/>
      <c r="EI53428"/>
      <c r="EJ53428"/>
      <c r="EK53428"/>
    </row>
    <row r="53429" spans="1:141" s="116" customFormat="1">
      <c r="A53429" s="136"/>
      <c r="CM53429" s="111"/>
      <c r="CQ53429" s="111"/>
      <c r="EF53429"/>
      <c r="EG53429"/>
      <c r="EH53429"/>
      <c r="EI53429"/>
      <c r="EJ53429"/>
      <c r="EK53429"/>
    </row>
    <row r="53430" spans="1:141" s="116" customFormat="1">
      <c r="A53430" s="136"/>
      <c r="CM53430" s="111"/>
      <c r="CQ53430" s="111"/>
      <c r="EF53430"/>
      <c r="EG53430"/>
      <c r="EH53430"/>
      <c r="EI53430"/>
      <c r="EJ53430"/>
      <c r="EK53430"/>
    </row>
    <row r="53431" spans="1:141" s="116" customFormat="1">
      <c r="A53431" s="136"/>
      <c r="CM53431" s="111"/>
      <c r="CQ53431" s="111"/>
      <c r="EF53431"/>
      <c r="EG53431"/>
      <c r="EH53431"/>
      <c r="EI53431"/>
      <c r="EJ53431"/>
      <c r="EK53431"/>
    </row>
    <row r="53432" spans="1:141" s="116" customFormat="1">
      <c r="A53432" s="136"/>
      <c r="CM53432" s="111"/>
      <c r="CQ53432" s="111"/>
      <c r="EF53432"/>
      <c r="EG53432"/>
      <c r="EH53432"/>
      <c r="EI53432"/>
      <c r="EJ53432"/>
      <c r="EK53432"/>
    </row>
    <row r="53433" spans="1:141" s="116" customFormat="1">
      <c r="A53433" s="136"/>
      <c r="CM53433" s="111"/>
      <c r="CQ53433" s="111"/>
      <c r="EF53433"/>
      <c r="EG53433"/>
      <c r="EH53433"/>
      <c r="EI53433"/>
      <c r="EJ53433"/>
      <c r="EK53433"/>
    </row>
    <row r="53434" spans="1:141" s="116" customFormat="1">
      <c r="A53434" s="136"/>
      <c r="CM53434" s="111"/>
      <c r="CQ53434" s="111"/>
      <c r="EF53434"/>
      <c r="EG53434"/>
      <c r="EH53434"/>
      <c r="EI53434"/>
      <c r="EJ53434"/>
      <c r="EK53434"/>
    </row>
    <row r="53435" spans="1:141" s="116" customFormat="1">
      <c r="A53435" s="136"/>
      <c r="CM53435" s="111"/>
      <c r="CQ53435" s="111"/>
      <c r="EF53435"/>
      <c r="EG53435"/>
      <c r="EH53435"/>
      <c r="EI53435"/>
      <c r="EJ53435"/>
      <c r="EK53435"/>
    </row>
    <row r="53436" spans="1:141" s="116" customFormat="1">
      <c r="A53436" s="136"/>
      <c r="CM53436" s="111"/>
      <c r="CQ53436" s="111"/>
      <c r="EF53436"/>
      <c r="EG53436"/>
      <c r="EH53436"/>
      <c r="EI53436"/>
      <c r="EJ53436"/>
      <c r="EK53436"/>
    </row>
    <row r="53437" spans="1:141" s="116" customFormat="1">
      <c r="A53437" s="136"/>
      <c r="CM53437" s="111"/>
      <c r="CQ53437" s="111"/>
      <c r="EF53437"/>
      <c r="EG53437"/>
      <c r="EH53437"/>
      <c r="EI53437"/>
      <c r="EJ53437"/>
      <c r="EK53437"/>
    </row>
    <row r="53438" spans="1:141" s="116" customFormat="1">
      <c r="A53438" s="136"/>
      <c r="CM53438" s="111"/>
      <c r="CQ53438" s="111"/>
      <c r="EF53438"/>
      <c r="EG53438"/>
      <c r="EH53438"/>
      <c r="EI53438"/>
      <c r="EJ53438"/>
      <c r="EK53438"/>
    </row>
    <row r="53439" spans="1:141" s="116" customFormat="1">
      <c r="A53439" s="136"/>
      <c r="CM53439" s="111"/>
      <c r="CQ53439" s="111"/>
      <c r="EF53439"/>
      <c r="EG53439"/>
      <c r="EH53439"/>
      <c r="EI53439"/>
      <c r="EJ53439"/>
      <c r="EK53439"/>
    </row>
    <row r="53440" spans="1:141" s="116" customFormat="1">
      <c r="A53440" s="136"/>
      <c r="CM53440" s="111"/>
      <c r="CQ53440" s="111"/>
      <c r="EF53440"/>
      <c r="EG53440"/>
      <c r="EH53440"/>
      <c r="EI53440"/>
      <c r="EJ53440"/>
      <c r="EK53440"/>
    </row>
    <row r="53441" spans="1:141" s="116" customFormat="1">
      <c r="A53441" s="136"/>
      <c r="CM53441" s="111"/>
      <c r="CQ53441" s="111"/>
      <c r="EF53441"/>
      <c r="EG53441"/>
      <c r="EH53441"/>
      <c r="EI53441"/>
      <c r="EJ53441"/>
      <c r="EK53441"/>
    </row>
    <row r="53442" spans="1:141" s="116" customFormat="1">
      <c r="A53442" s="136"/>
      <c r="CM53442" s="111"/>
      <c r="CQ53442" s="111"/>
      <c r="EF53442"/>
      <c r="EG53442"/>
      <c r="EH53442"/>
      <c r="EI53442"/>
      <c r="EJ53442"/>
      <c r="EK53442"/>
    </row>
    <row r="53443" spans="1:141" s="116" customFormat="1">
      <c r="A53443" s="136"/>
      <c r="CM53443" s="111"/>
      <c r="CQ53443" s="111"/>
      <c r="EF53443"/>
      <c r="EG53443"/>
      <c r="EH53443"/>
      <c r="EI53443"/>
      <c r="EJ53443"/>
      <c r="EK53443"/>
    </row>
    <row r="53444" spans="1:141" s="116" customFormat="1">
      <c r="A53444" s="136"/>
      <c r="CM53444" s="111"/>
      <c r="CQ53444" s="111"/>
      <c r="EF53444"/>
      <c r="EG53444"/>
      <c r="EH53444"/>
      <c r="EI53444"/>
      <c r="EJ53444"/>
      <c r="EK53444"/>
    </row>
    <row r="53445" spans="1:141" s="116" customFormat="1">
      <c r="A53445" s="136"/>
      <c r="CM53445" s="111"/>
      <c r="CQ53445" s="111"/>
      <c r="EF53445"/>
      <c r="EG53445"/>
      <c r="EH53445"/>
      <c r="EI53445"/>
      <c r="EJ53445"/>
      <c r="EK53445"/>
    </row>
    <row r="53446" spans="1:141" s="116" customFormat="1">
      <c r="A53446" s="136"/>
      <c r="CM53446" s="111"/>
      <c r="CQ53446" s="111"/>
      <c r="EF53446"/>
      <c r="EG53446"/>
      <c r="EH53446"/>
      <c r="EI53446"/>
      <c r="EJ53446"/>
      <c r="EK53446"/>
    </row>
    <row r="53447" spans="1:141" s="116" customFormat="1">
      <c r="A53447" s="136"/>
      <c r="CM53447" s="111"/>
      <c r="CQ53447" s="111"/>
      <c r="EF53447"/>
      <c r="EG53447"/>
      <c r="EH53447"/>
      <c r="EI53447"/>
      <c r="EJ53447"/>
      <c r="EK53447"/>
    </row>
    <row r="53448" spans="1:141" s="116" customFormat="1">
      <c r="A53448" s="136"/>
      <c r="CM53448" s="111"/>
      <c r="CQ53448" s="111"/>
      <c r="EF53448"/>
      <c r="EG53448"/>
      <c r="EH53448"/>
      <c r="EI53448"/>
      <c r="EJ53448"/>
      <c r="EK53448"/>
    </row>
    <row r="53449" spans="1:141" s="116" customFormat="1">
      <c r="A53449" s="136"/>
      <c r="CM53449" s="111"/>
      <c r="CQ53449" s="111"/>
      <c r="EF53449"/>
      <c r="EG53449"/>
      <c r="EH53449"/>
      <c r="EI53449"/>
      <c r="EJ53449"/>
      <c r="EK53449"/>
    </row>
    <row r="53450" spans="1:141" s="116" customFormat="1">
      <c r="A53450" s="136"/>
      <c r="CM53450" s="111"/>
      <c r="CQ53450" s="111"/>
      <c r="EF53450"/>
      <c r="EG53450"/>
      <c r="EH53450"/>
      <c r="EI53450"/>
      <c r="EJ53450"/>
      <c r="EK53450"/>
    </row>
    <row r="53451" spans="1:141" s="116" customFormat="1">
      <c r="A53451" s="136"/>
      <c r="CM53451" s="111"/>
      <c r="CQ53451" s="111"/>
      <c r="EF53451"/>
      <c r="EG53451"/>
      <c r="EH53451"/>
      <c r="EI53451"/>
      <c r="EJ53451"/>
      <c r="EK53451"/>
    </row>
    <row r="53452" spans="1:141" s="116" customFormat="1">
      <c r="A53452" s="136"/>
      <c r="CM53452" s="111"/>
      <c r="CQ53452" s="111"/>
      <c r="EF53452"/>
      <c r="EG53452"/>
      <c r="EH53452"/>
      <c r="EI53452"/>
      <c r="EJ53452"/>
      <c r="EK53452"/>
    </row>
    <row r="53453" spans="1:141" s="116" customFormat="1">
      <c r="A53453" s="136"/>
      <c r="CM53453" s="111"/>
      <c r="CQ53453" s="111"/>
      <c r="EF53453"/>
      <c r="EG53453"/>
      <c r="EH53453"/>
      <c r="EI53453"/>
      <c r="EJ53453"/>
      <c r="EK53453"/>
    </row>
    <row r="53454" spans="1:141" s="116" customFormat="1">
      <c r="A53454" s="136"/>
      <c r="CM53454" s="111"/>
      <c r="CQ53454" s="111"/>
      <c r="EF53454"/>
      <c r="EG53454"/>
      <c r="EH53454"/>
      <c r="EI53454"/>
      <c r="EJ53454"/>
      <c r="EK53454"/>
    </row>
    <row r="53455" spans="1:141" s="116" customFormat="1">
      <c r="A53455" s="136"/>
      <c r="CM53455" s="111"/>
      <c r="CQ53455" s="111"/>
      <c r="EF53455"/>
      <c r="EG53455"/>
      <c r="EH53455"/>
      <c r="EI53455"/>
      <c r="EJ53455"/>
      <c r="EK53455"/>
    </row>
    <row r="53456" spans="1:141" s="116" customFormat="1">
      <c r="A53456" s="136"/>
      <c r="CM53456" s="111"/>
      <c r="CQ53456" s="111"/>
      <c r="EF53456"/>
      <c r="EG53456"/>
      <c r="EH53456"/>
      <c r="EI53456"/>
      <c r="EJ53456"/>
      <c r="EK53456"/>
    </row>
    <row r="53457" spans="1:141" s="116" customFormat="1">
      <c r="A53457" s="136"/>
      <c r="CM53457" s="111"/>
      <c r="CQ53457" s="111"/>
      <c r="EF53457"/>
      <c r="EG53457"/>
      <c r="EH53457"/>
      <c r="EI53457"/>
      <c r="EJ53457"/>
      <c r="EK53457"/>
    </row>
    <row r="53458" spans="1:141" s="116" customFormat="1">
      <c r="A53458" s="136"/>
      <c r="CM53458" s="111"/>
      <c r="CQ53458" s="111"/>
      <c r="EF53458"/>
      <c r="EG53458"/>
      <c r="EH53458"/>
      <c r="EI53458"/>
      <c r="EJ53458"/>
      <c r="EK53458"/>
    </row>
    <row r="53459" spans="1:141" s="116" customFormat="1">
      <c r="A53459" s="136"/>
      <c r="CM53459" s="111"/>
      <c r="CQ53459" s="111"/>
      <c r="EF53459"/>
      <c r="EG53459"/>
      <c r="EH53459"/>
      <c r="EI53459"/>
      <c r="EJ53459"/>
      <c r="EK53459"/>
    </row>
    <row r="53460" spans="1:141" s="116" customFormat="1">
      <c r="A53460" s="136"/>
      <c r="CM53460" s="111"/>
      <c r="CQ53460" s="111"/>
      <c r="EF53460"/>
      <c r="EG53460"/>
      <c r="EH53460"/>
      <c r="EI53460"/>
      <c r="EJ53460"/>
      <c r="EK53460"/>
    </row>
    <row r="53461" spans="1:141" s="116" customFormat="1">
      <c r="A53461" s="136"/>
      <c r="CM53461" s="111"/>
      <c r="CQ53461" s="111"/>
      <c r="EF53461"/>
      <c r="EG53461"/>
      <c r="EH53461"/>
      <c r="EI53461"/>
      <c r="EJ53461"/>
      <c r="EK53461"/>
    </row>
    <row r="53462" spans="1:141" s="116" customFormat="1">
      <c r="A53462" s="136"/>
      <c r="CM53462" s="111"/>
      <c r="CQ53462" s="111"/>
      <c r="EF53462"/>
      <c r="EG53462"/>
      <c r="EH53462"/>
      <c r="EI53462"/>
      <c r="EJ53462"/>
      <c r="EK53462"/>
    </row>
    <row r="53463" spans="1:141" s="116" customFormat="1">
      <c r="A53463" s="136"/>
      <c r="CM53463" s="111"/>
      <c r="CQ53463" s="111"/>
      <c r="EF53463"/>
      <c r="EG53463"/>
      <c r="EH53463"/>
      <c r="EI53463"/>
      <c r="EJ53463"/>
      <c r="EK53463"/>
    </row>
    <row r="53464" spans="1:141" s="116" customFormat="1">
      <c r="A53464" s="136"/>
      <c r="CM53464" s="111"/>
      <c r="CQ53464" s="111"/>
      <c r="EF53464"/>
      <c r="EG53464"/>
      <c r="EH53464"/>
      <c r="EI53464"/>
      <c r="EJ53464"/>
      <c r="EK53464"/>
    </row>
    <row r="53465" spans="1:141" s="116" customFormat="1">
      <c r="A53465" s="136"/>
      <c r="CM53465" s="111"/>
      <c r="CQ53465" s="111"/>
      <c r="EF53465"/>
      <c r="EG53465"/>
      <c r="EH53465"/>
      <c r="EI53465"/>
      <c r="EJ53465"/>
      <c r="EK53465"/>
    </row>
    <row r="53466" spans="1:141" s="116" customFormat="1">
      <c r="A53466" s="136"/>
      <c r="CM53466" s="111"/>
      <c r="CQ53466" s="111"/>
      <c r="EF53466"/>
      <c r="EG53466"/>
      <c r="EH53466"/>
      <c r="EI53466"/>
      <c r="EJ53466"/>
      <c r="EK53466"/>
    </row>
    <row r="53467" spans="1:141" s="116" customFormat="1">
      <c r="A53467" s="136"/>
      <c r="CM53467" s="111"/>
      <c r="CQ53467" s="111"/>
      <c r="EF53467"/>
      <c r="EG53467"/>
      <c r="EH53467"/>
      <c r="EI53467"/>
      <c r="EJ53467"/>
      <c r="EK53467"/>
    </row>
    <row r="53468" spans="1:141" s="116" customFormat="1">
      <c r="A53468" s="136"/>
      <c r="CM53468" s="111"/>
      <c r="CQ53468" s="111"/>
      <c r="EF53468"/>
      <c r="EG53468"/>
      <c r="EH53468"/>
      <c r="EI53468"/>
      <c r="EJ53468"/>
      <c r="EK53468"/>
    </row>
    <row r="53469" spans="1:141" s="116" customFormat="1">
      <c r="A53469" s="136"/>
      <c r="CM53469" s="111"/>
      <c r="CQ53469" s="111"/>
      <c r="EF53469"/>
      <c r="EG53469"/>
      <c r="EH53469"/>
      <c r="EI53469"/>
      <c r="EJ53469"/>
      <c r="EK53469"/>
    </row>
    <row r="53470" spans="1:141" s="116" customFormat="1">
      <c r="A53470" s="136"/>
      <c r="CM53470" s="111"/>
      <c r="CQ53470" s="111"/>
      <c r="EF53470"/>
      <c r="EG53470"/>
      <c r="EH53470"/>
      <c r="EI53470"/>
      <c r="EJ53470"/>
      <c r="EK53470"/>
    </row>
    <row r="53471" spans="1:141" s="116" customFormat="1">
      <c r="A53471" s="136"/>
      <c r="CM53471" s="111"/>
      <c r="CQ53471" s="111"/>
      <c r="EF53471"/>
      <c r="EG53471"/>
      <c r="EH53471"/>
      <c r="EI53471"/>
      <c r="EJ53471"/>
      <c r="EK53471"/>
    </row>
    <row r="53472" spans="1:141" s="116" customFormat="1">
      <c r="A53472" s="136"/>
      <c r="CM53472" s="111"/>
      <c r="CQ53472" s="111"/>
      <c r="EF53472"/>
      <c r="EG53472"/>
      <c r="EH53472"/>
      <c r="EI53472"/>
      <c r="EJ53472"/>
      <c r="EK53472"/>
    </row>
    <row r="53473" spans="1:141" s="116" customFormat="1">
      <c r="A53473" s="136"/>
      <c r="CM53473" s="111"/>
      <c r="CQ53473" s="111"/>
      <c r="EF53473"/>
      <c r="EG53473"/>
      <c r="EH53473"/>
      <c r="EI53473"/>
      <c r="EJ53473"/>
      <c r="EK53473"/>
    </row>
    <row r="53474" spans="1:141" s="116" customFormat="1">
      <c r="A53474" s="136"/>
      <c r="CM53474" s="111"/>
      <c r="CQ53474" s="111"/>
      <c r="EF53474"/>
      <c r="EG53474"/>
      <c r="EH53474"/>
      <c r="EI53474"/>
      <c r="EJ53474"/>
      <c r="EK53474"/>
    </row>
    <row r="53475" spans="1:141" s="116" customFormat="1">
      <c r="A53475" s="136"/>
      <c r="CM53475" s="111"/>
      <c r="CQ53475" s="111"/>
      <c r="EF53475"/>
      <c r="EG53475"/>
      <c r="EH53475"/>
      <c r="EI53475"/>
      <c r="EJ53475"/>
      <c r="EK53475"/>
    </row>
    <row r="53476" spans="1:141" s="116" customFormat="1">
      <c r="A53476" s="136"/>
      <c r="CM53476" s="111"/>
      <c r="CQ53476" s="111"/>
      <c r="EF53476"/>
      <c r="EG53476"/>
      <c r="EH53476"/>
      <c r="EI53476"/>
      <c r="EJ53476"/>
      <c r="EK53476"/>
    </row>
    <row r="53477" spans="1:141" s="116" customFormat="1">
      <c r="A53477" s="136"/>
      <c r="CM53477" s="111"/>
      <c r="CQ53477" s="111"/>
      <c r="EF53477"/>
      <c r="EG53477"/>
      <c r="EH53477"/>
      <c r="EI53477"/>
      <c r="EJ53477"/>
      <c r="EK53477"/>
    </row>
    <row r="53478" spans="1:141" s="116" customFormat="1">
      <c r="A53478" s="136"/>
      <c r="CM53478" s="111"/>
      <c r="CQ53478" s="111"/>
      <c r="EF53478"/>
      <c r="EG53478"/>
      <c r="EH53478"/>
      <c r="EI53478"/>
      <c r="EJ53478"/>
      <c r="EK53478"/>
    </row>
    <row r="53479" spans="1:141" s="116" customFormat="1">
      <c r="A53479" s="136"/>
      <c r="CM53479" s="111"/>
      <c r="CQ53479" s="111"/>
      <c r="EF53479"/>
      <c r="EG53479"/>
      <c r="EH53479"/>
      <c r="EI53479"/>
      <c r="EJ53479"/>
      <c r="EK53479"/>
    </row>
    <row r="53480" spans="1:141" s="116" customFormat="1">
      <c r="A53480" s="136"/>
      <c r="CM53480" s="111"/>
      <c r="CQ53480" s="111"/>
      <c r="EF53480"/>
      <c r="EG53480"/>
      <c r="EH53480"/>
      <c r="EI53480"/>
      <c r="EJ53480"/>
      <c r="EK53480"/>
    </row>
    <row r="53481" spans="1:141" s="116" customFormat="1">
      <c r="A53481" s="136"/>
      <c r="CM53481" s="111"/>
      <c r="CQ53481" s="111"/>
      <c r="EF53481"/>
      <c r="EG53481"/>
      <c r="EH53481"/>
      <c r="EI53481"/>
      <c r="EJ53481"/>
      <c r="EK53481"/>
    </row>
    <row r="53482" spans="1:141" s="116" customFormat="1">
      <c r="A53482" s="136"/>
      <c r="CM53482" s="111"/>
      <c r="CQ53482" s="111"/>
      <c r="EF53482"/>
      <c r="EG53482"/>
      <c r="EH53482"/>
      <c r="EI53482"/>
      <c r="EJ53482"/>
      <c r="EK53482"/>
    </row>
    <row r="53483" spans="1:141" s="116" customFormat="1">
      <c r="A53483" s="136"/>
      <c r="CM53483" s="111"/>
      <c r="CQ53483" s="111"/>
      <c r="EF53483"/>
      <c r="EG53483"/>
      <c r="EH53483"/>
      <c r="EI53483"/>
      <c r="EJ53483"/>
      <c r="EK53483"/>
    </row>
    <row r="53484" spans="1:141" s="116" customFormat="1">
      <c r="A53484" s="136"/>
      <c r="CM53484" s="111"/>
      <c r="CQ53484" s="111"/>
      <c r="EF53484"/>
      <c r="EG53484"/>
      <c r="EH53484"/>
      <c r="EI53484"/>
      <c r="EJ53484"/>
      <c r="EK53484"/>
    </row>
    <row r="53485" spans="1:141" s="116" customFormat="1">
      <c r="A53485" s="136"/>
      <c r="CM53485" s="111"/>
      <c r="CQ53485" s="111"/>
      <c r="EF53485"/>
      <c r="EG53485"/>
      <c r="EH53485"/>
      <c r="EI53485"/>
      <c r="EJ53485"/>
      <c r="EK53485"/>
    </row>
    <row r="53486" spans="1:141" s="116" customFormat="1">
      <c r="A53486" s="136"/>
      <c r="CM53486" s="111"/>
      <c r="CQ53486" s="111"/>
      <c r="EF53486"/>
      <c r="EG53486"/>
      <c r="EH53486"/>
      <c r="EI53486"/>
      <c r="EJ53486"/>
      <c r="EK53486"/>
    </row>
    <row r="53487" spans="1:141" s="116" customFormat="1">
      <c r="A53487" s="136"/>
      <c r="CM53487" s="111"/>
      <c r="CQ53487" s="111"/>
      <c r="EF53487"/>
      <c r="EG53487"/>
      <c r="EH53487"/>
      <c r="EI53487"/>
      <c r="EJ53487"/>
      <c r="EK53487"/>
    </row>
    <row r="53488" spans="1:141" s="116" customFormat="1">
      <c r="A53488" s="136"/>
      <c r="CM53488" s="111"/>
      <c r="CQ53488" s="111"/>
      <c r="EF53488"/>
      <c r="EG53488"/>
      <c r="EH53488"/>
      <c r="EI53488"/>
      <c r="EJ53488"/>
      <c r="EK53488"/>
    </row>
    <row r="53489" spans="1:141" s="116" customFormat="1">
      <c r="A53489" s="136"/>
      <c r="CM53489" s="111"/>
      <c r="CQ53489" s="111"/>
      <c r="EF53489"/>
      <c r="EG53489"/>
      <c r="EH53489"/>
      <c r="EI53489"/>
      <c r="EJ53489"/>
      <c r="EK53489"/>
    </row>
    <row r="53490" spans="1:141" s="116" customFormat="1">
      <c r="A53490" s="136"/>
      <c r="CM53490" s="111"/>
      <c r="CQ53490" s="111"/>
      <c r="EF53490"/>
      <c r="EG53490"/>
      <c r="EH53490"/>
      <c r="EI53490"/>
      <c r="EJ53490"/>
      <c r="EK53490"/>
    </row>
    <row r="53491" spans="1:141" s="116" customFormat="1">
      <c r="A53491" s="136"/>
      <c r="CM53491" s="111"/>
      <c r="CQ53491" s="111"/>
      <c r="EF53491"/>
      <c r="EG53491"/>
      <c r="EH53491"/>
      <c r="EI53491"/>
      <c r="EJ53491"/>
      <c r="EK53491"/>
    </row>
    <row r="53492" spans="1:141" s="116" customFormat="1">
      <c r="A53492" s="136"/>
      <c r="CM53492" s="111"/>
      <c r="CQ53492" s="111"/>
      <c r="EF53492"/>
      <c r="EG53492"/>
      <c r="EH53492"/>
      <c r="EI53492"/>
      <c r="EJ53492"/>
      <c r="EK53492"/>
    </row>
    <row r="53493" spans="1:141" s="116" customFormat="1">
      <c r="A53493" s="136"/>
      <c r="CM53493" s="111"/>
      <c r="CQ53493" s="111"/>
      <c r="EF53493"/>
      <c r="EG53493"/>
      <c r="EH53493"/>
      <c r="EI53493"/>
      <c r="EJ53493"/>
      <c r="EK53493"/>
    </row>
    <row r="53494" spans="1:141" s="116" customFormat="1">
      <c r="A53494" s="136"/>
      <c r="CM53494" s="111"/>
      <c r="CQ53494" s="111"/>
      <c r="EF53494"/>
      <c r="EG53494"/>
      <c r="EH53494"/>
      <c r="EI53494"/>
      <c r="EJ53494"/>
      <c r="EK53494"/>
    </row>
    <row r="53495" spans="1:141" s="116" customFormat="1">
      <c r="A53495" s="136"/>
      <c r="CM53495" s="111"/>
      <c r="CQ53495" s="111"/>
      <c r="EF53495"/>
      <c r="EG53495"/>
      <c r="EH53495"/>
      <c r="EI53495"/>
      <c r="EJ53495"/>
      <c r="EK53495"/>
    </row>
    <row r="53496" spans="1:141" s="116" customFormat="1">
      <c r="A53496" s="136"/>
      <c r="CM53496" s="111"/>
      <c r="CQ53496" s="111"/>
      <c r="EF53496"/>
      <c r="EG53496"/>
      <c r="EH53496"/>
      <c r="EI53496"/>
      <c r="EJ53496"/>
      <c r="EK53496"/>
    </row>
    <row r="53497" spans="1:141" s="116" customFormat="1">
      <c r="A53497" s="136"/>
      <c r="CM53497" s="111"/>
      <c r="CQ53497" s="111"/>
      <c r="EF53497"/>
      <c r="EG53497"/>
      <c r="EH53497"/>
      <c r="EI53497"/>
      <c r="EJ53497"/>
      <c r="EK53497"/>
    </row>
    <row r="53498" spans="1:141" s="116" customFormat="1">
      <c r="A53498" s="136"/>
      <c r="CM53498" s="111"/>
      <c r="CQ53498" s="111"/>
      <c r="EF53498"/>
      <c r="EG53498"/>
      <c r="EH53498"/>
      <c r="EI53498"/>
      <c r="EJ53498"/>
      <c r="EK53498"/>
    </row>
    <row r="53499" spans="1:141" s="116" customFormat="1">
      <c r="A53499" s="136"/>
      <c r="CM53499" s="111"/>
      <c r="CQ53499" s="111"/>
      <c r="EF53499"/>
      <c r="EG53499"/>
      <c r="EH53499"/>
      <c r="EI53499"/>
      <c r="EJ53499"/>
      <c r="EK53499"/>
    </row>
    <row r="53500" spans="1:141" s="116" customFormat="1">
      <c r="A53500" s="136"/>
      <c r="CM53500" s="111"/>
      <c r="CQ53500" s="111"/>
      <c r="EF53500"/>
      <c r="EG53500"/>
      <c r="EH53500"/>
      <c r="EI53500"/>
      <c r="EJ53500"/>
      <c r="EK53500"/>
    </row>
    <row r="53501" spans="1:141" s="116" customFormat="1">
      <c r="A53501" s="136"/>
      <c r="CM53501" s="111"/>
      <c r="CQ53501" s="111"/>
      <c r="EF53501"/>
      <c r="EG53501"/>
      <c r="EH53501"/>
      <c r="EI53501"/>
      <c r="EJ53501"/>
      <c r="EK53501"/>
    </row>
    <row r="53502" spans="1:141" s="116" customFormat="1">
      <c r="A53502" s="136"/>
      <c r="CM53502" s="111"/>
      <c r="CQ53502" s="111"/>
      <c r="EF53502"/>
      <c r="EG53502"/>
      <c r="EH53502"/>
      <c r="EI53502"/>
      <c r="EJ53502"/>
      <c r="EK53502"/>
    </row>
    <row r="53503" spans="1:141" s="116" customFormat="1">
      <c r="A53503" s="136"/>
      <c r="CM53503" s="111"/>
      <c r="CQ53503" s="111"/>
      <c r="EF53503"/>
      <c r="EG53503"/>
      <c r="EH53503"/>
      <c r="EI53503"/>
      <c r="EJ53503"/>
      <c r="EK53503"/>
    </row>
    <row r="53504" spans="1:141" s="116" customFormat="1">
      <c r="A53504" s="136"/>
      <c r="CM53504" s="111"/>
      <c r="CQ53504" s="111"/>
      <c r="EF53504"/>
      <c r="EG53504"/>
      <c r="EH53504"/>
      <c r="EI53504"/>
      <c r="EJ53504"/>
      <c r="EK53504"/>
    </row>
    <row r="53505" spans="1:141" s="116" customFormat="1">
      <c r="A53505" s="136"/>
      <c r="CM53505" s="111"/>
      <c r="CQ53505" s="111"/>
      <c r="EF53505"/>
      <c r="EG53505"/>
      <c r="EH53505"/>
      <c r="EI53505"/>
      <c r="EJ53505"/>
      <c r="EK53505"/>
    </row>
    <row r="53506" spans="1:141" s="116" customFormat="1">
      <c r="A53506" s="136"/>
      <c r="CM53506" s="111"/>
      <c r="CQ53506" s="111"/>
      <c r="EF53506"/>
      <c r="EG53506"/>
      <c r="EH53506"/>
      <c r="EI53506"/>
      <c r="EJ53506"/>
      <c r="EK53506"/>
    </row>
    <row r="53507" spans="1:141" s="116" customFormat="1">
      <c r="A53507" s="136"/>
      <c r="CM53507" s="111"/>
      <c r="CQ53507" s="111"/>
      <c r="EF53507"/>
      <c r="EG53507"/>
      <c r="EH53507"/>
      <c r="EI53507"/>
      <c r="EJ53507"/>
      <c r="EK53507"/>
    </row>
    <row r="53508" spans="1:141" s="116" customFormat="1">
      <c r="A53508" s="136"/>
      <c r="CM53508" s="111"/>
      <c r="CQ53508" s="111"/>
      <c r="EF53508"/>
      <c r="EG53508"/>
      <c r="EH53508"/>
      <c r="EI53508"/>
      <c r="EJ53508"/>
      <c r="EK53508"/>
    </row>
    <row r="53509" spans="1:141" s="116" customFormat="1">
      <c r="A53509" s="136"/>
      <c r="CM53509" s="111"/>
      <c r="CQ53509" s="111"/>
      <c r="EF53509"/>
      <c r="EG53509"/>
      <c r="EH53509"/>
      <c r="EI53509"/>
      <c r="EJ53509"/>
      <c r="EK53509"/>
    </row>
    <row r="53510" spans="1:141" s="116" customFormat="1">
      <c r="A53510" s="136"/>
      <c r="CM53510" s="111"/>
      <c r="CQ53510" s="111"/>
      <c r="EF53510"/>
      <c r="EG53510"/>
      <c r="EH53510"/>
      <c r="EI53510"/>
      <c r="EJ53510"/>
      <c r="EK53510"/>
    </row>
    <row r="53511" spans="1:141" s="116" customFormat="1">
      <c r="A53511" s="136"/>
      <c r="CM53511" s="111"/>
      <c r="CQ53511" s="111"/>
      <c r="EF53511"/>
      <c r="EG53511"/>
      <c r="EH53511"/>
      <c r="EI53511"/>
      <c r="EJ53511"/>
      <c r="EK53511"/>
    </row>
    <row r="53512" spans="1:141" s="116" customFormat="1">
      <c r="A53512" s="136"/>
      <c r="CM53512" s="111"/>
      <c r="CQ53512" s="111"/>
      <c r="EF53512"/>
      <c r="EG53512"/>
      <c r="EH53512"/>
      <c r="EI53512"/>
      <c r="EJ53512"/>
      <c r="EK53512"/>
    </row>
    <row r="53513" spans="1:141" s="116" customFormat="1">
      <c r="A53513" s="136"/>
      <c r="CM53513" s="111"/>
      <c r="CQ53513" s="111"/>
      <c r="EF53513"/>
      <c r="EG53513"/>
      <c r="EH53513"/>
      <c r="EI53513"/>
      <c r="EJ53513"/>
      <c r="EK53513"/>
    </row>
    <row r="53514" spans="1:141" s="116" customFormat="1">
      <c r="A53514" s="136"/>
      <c r="CM53514" s="111"/>
      <c r="CQ53514" s="111"/>
      <c r="EF53514"/>
      <c r="EG53514"/>
      <c r="EH53514"/>
      <c r="EI53514"/>
      <c r="EJ53514"/>
      <c r="EK53514"/>
    </row>
    <row r="53515" spans="1:141" s="116" customFormat="1">
      <c r="A53515" s="136"/>
      <c r="CM53515" s="111"/>
      <c r="CQ53515" s="111"/>
      <c r="EF53515"/>
      <c r="EG53515"/>
      <c r="EH53515"/>
      <c r="EI53515"/>
      <c r="EJ53515"/>
      <c r="EK53515"/>
    </row>
    <row r="53516" spans="1:141" s="116" customFormat="1">
      <c r="A53516" s="136"/>
      <c r="CM53516" s="111"/>
      <c r="CQ53516" s="111"/>
      <c r="EF53516"/>
      <c r="EG53516"/>
      <c r="EH53516"/>
      <c r="EI53516"/>
      <c r="EJ53516"/>
      <c r="EK53516"/>
    </row>
    <row r="53517" spans="1:141" s="116" customFormat="1">
      <c r="A53517" s="136"/>
      <c r="CM53517" s="111"/>
      <c r="CQ53517" s="111"/>
      <c r="EF53517"/>
      <c r="EG53517"/>
      <c r="EH53517"/>
      <c r="EI53517"/>
      <c r="EJ53517"/>
      <c r="EK53517"/>
    </row>
    <row r="53518" spans="1:141" s="116" customFormat="1">
      <c r="A53518" s="136"/>
      <c r="CM53518" s="111"/>
      <c r="CQ53518" s="111"/>
      <c r="EF53518"/>
      <c r="EG53518"/>
      <c r="EH53518"/>
      <c r="EI53518"/>
      <c r="EJ53518"/>
      <c r="EK53518"/>
    </row>
    <row r="53519" spans="1:141" s="116" customFormat="1">
      <c r="A53519" s="136"/>
      <c r="CM53519" s="111"/>
      <c r="CQ53519" s="111"/>
      <c r="EF53519"/>
      <c r="EG53519"/>
      <c r="EH53519"/>
      <c r="EI53519"/>
      <c r="EJ53519"/>
      <c r="EK53519"/>
    </row>
    <row r="53520" spans="1:141" s="116" customFormat="1">
      <c r="A53520" s="136"/>
      <c r="CM53520" s="111"/>
      <c r="CQ53520" s="111"/>
      <c r="EF53520"/>
      <c r="EG53520"/>
      <c r="EH53520"/>
      <c r="EI53520"/>
      <c r="EJ53520"/>
      <c r="EK53520"/>
    </row>
    <row r="53521" spans="1:141" s="116" customFormat="1">
      <c r="A53521" s="136"/>
      <c r="CM53521" s="111"/>
      <c r="CQ53521" s="111"/>
      <c r="EF53521"/>
      <c r="EG53521"/>
      <c r="EH53521"/>
      <c r="EI53521"/>
      <c r="EJ53521"/>
      <c r="EK53521"/>
    </row>
    <row r="53522" spans="1:141" s="116" customFormat="1">
      <c r="A53522" s="136"/>
      <c r="CM53522" s="111"/>
      <c r="CQ53522" s="111"/>
      <c r="EF53522"/>
      <c r="EG53522"/>
      <c r="EH53522"/>
      <c r="EI53522"/>
      <c r="EJ53522"/>
      <c r="EK53522"/>
    </row>
    <row r="53523" spans="1:141" s="116" customFormat="1">
      <c r="A53523" s="136"/>
      <c r="CM53523" s="111"/>
      <c r="CQ53523" s="111"/>
      <c r="EF53523"/>
      <c r="EG53523"/>
      <c r="EH53523"/>
      <c r="EI53523"/>
      <c r="EJ53523"/>
      <c r="EK53523"/>
    </row>
    <row r="53524" spans="1:141" s="116" customFormat="1">
      <c r="A53524" s="136"/>
      <c r="CM53524" s="111"/>
      <c r="CQ53524" s="111"/>
      <c r="EF53524"/>
      <c r="EG53524"/>
      <c r="EH53524"/>
      <c r="EI53524"/>
      <c r="EJ53524"/>
      <c r="EK53524"/>
    </row>
    <row r="53525" spans="1:141" s="116" customFormat="1">
      <c r="A53525" s="136"/>
      <c r="CM53525" s="111"/>
      <c r="CQ53525" s="111"/>
      <c r="EF53525"/>
      <c r="EG53525"/>
      <c r="EH53525"/>
      <c r="EI53525"/>
      <c r="EJ53525"/>
      <c r="EK53525"/>
    </row>
    <row r="53526" spans="1:141" s="116" customFormat="1">
      <c r="A53526" s="136"/>
      <c r="CM53526" s="111"/>
      <c r="CQ53526" s="111"/>
      <c r="EF53526"/>
      <c r="EG53526"/>
      <c r="EH53526"/>
      <c r="EI53526"/>
      <c r="EJ53526"/>
      <c r="EK53526"/>
    </row>
    <row r="53527" spans="1:141" s="116" customFormat="1">
      <c r="A53527" s="136"/>
      <c r="CM53527" s="111"/>
      <c r="CQ53527" s="111"/>
      <c r="EF53527"/>
      <c r="EG53527"/>
      <c r="EH53527"/>
      <c r="EI53527"/>
      <c r="EJ53527"/>
      <c r="EK53527"/>
    </row>
    <row r="53528" spans="1:141" s="116" customFormat="1">
      <c r="A53528" s="136"/>
      <c r="CM53528" s="111"/>
      <c r="CQ53528" s="111"/>
      <c r="EF53528"/>
      <c r="EG53528"/>
      <c r="EH53528"/>
      <c r="EI53528"/>
      <c r="EJ53528"/>
      <c r="EK53528"/>
    </row>
    <row r="53529" spans="1:141" s="116" customFormat="1">
      <c r="A53529" s="136"/>
      <c r="CM53529" s="111"/>
      <c r="CQ53529" s="111"/>
      <c r="EF53529"/>
      <c r="EG53529"/>
      <c r="EH53529"/>
      <c r="EI53529"/>
      <c r="EJ53529"/>
      <c r="EK53529"/>
    </row>
    <row r="53530" spans="1:141" s="116" customFormat="1">
      <c r="A53530" s="136"/>
      <c r="CM53530" s="111"/>
      <c r="CQ53530" s="111"/>
      <c r="EF53530"/>
      <c r="EG53530"/>
      <c r="EH53530"/>
      <c r="EI53530"/>
      <c r="EJ53530"/>
      <c r="EK53530"/>
    </row>
    <row r="53531" spans="1:141" s="116" customFormat="1">
      <c r="A53531" s="136"/>
      <c r="CM53531" s="111"/>
      <c r="CQ53531" s="111"/>
      <c r="EF53531"/>
      <c r="EG53531"/>
      <c r="EH53531"/>
      <c r="EI53531"/>
      <c r="EJ53531"/>
      <c r="EK53531"/>
    </row>
    <row r="53532" spans="1:141" s="116" customFormat="1">
      <c r="A53532" s="136"/>
      <c r="CM53532" s="111"/>
      <c r="CQ53532" s="111"/>
      <c r="EF53532"/>
      <c r="EG53532"/>
      <c r="EH53532"/>
      <c r="EI53532"/>
      <c r="EJ53532"/>
      <c r="EK53532"/>
    </row>
    <row r="53533" spans="1:141" s="116" customFormat="1">
      <c r="A53533" s="136"/>
      <c r="CM53533" s="111"/>
      <c r="CQ53533" s="111"/>
      <c r="EF53533"/>
      <c r="EG53533"/>
      <c r="EH53533"/>
      <c r="EI53533"/>
      <c r="EJ53533"/>
      <c r="EK53533"/>
    </row>
    <row r="53534" spans="1:141" s="116" customFormat="1">
      <c r="A53534" s="136"/>
      <c r="CM53534" s="111"/>
      <c r="CQ53534" s="111"/>
      <c r="EF53534"/>
      <c r="EG53534"/>
      <c r="EH53534"/>
      <c r="EI53534"/>
      <c r="EJ53534"/>
      <c r="EK53534"/>
    </row>
    <row r="53535" spans="1:141" s="116" customFormat="1">
      <c r="A53535" s="136"/>
      <c r="CM53535" s="111"/>
      <c r="CQ53535" s="111"/>
      <c r="EF53535"/>
      <c r="EG53535"/>
      <c r="EH53535"/>
      <c r="EI53535"/>
      <c r="EJ53535"/>
      <c r="EK53535"/>
    </row>
    <row r="53536" spans="1:141" s="116" customFormat="1">
      <c r="A53536" s="136"/>
      <c r="CM53536" s="111"/>
      <c r="CQ53536" s="111"/>
      <c r="EF53536"/>
      <c r="EG53536"/>
      <c r="EH53536"/>
      <c r="EI53536"/>
      <c r="EJ53536"/>
      <c r="EK53536"/>
    </row>
    <row r="53537" spans="1:141" s="116" customFormat="1">
      <c r="A53537" s="136"/>
      <c r="CM53537" s="111"/>
      <c r="CQ53537" s="111"/>
      <c r="EF53537"/>
      <c r="EG53537"/>
      <c r="EH53537"/>
      <c r="EI53537"/>
      <c r="EJ53537"/>
      <c r="EK53537"/>
    </row>
    <row r="53538" spans="1:141" s="116" customFormat="1">
      <c r="A53538" s="136"/>
      <c r="CM53538" s="111"/>
      <c r="CQ53538" s="111"/>
      <c r="EF53538"/>
      <c r="EG53538"/>
      <c r="EH53538"/>
      <c r="EI53538"/>
      <c r="EJ53538"/>
      <c r="EK53538"/>
    </row>
    <row r="53539" spans="1:141" s="116" customFormat="1">
      <c r="A53539" s="136"/>
      <c r="CM53539" s="111"/>
      <c r="CQ53539" s="111"/>
      <c r="EF53539"/>
      <c r="EG53539"/>
      <c r="EH53539"/>
      <c r="EI53539"/>
      <c r="EJ53539"/>
      <c r="EK53539"/>
    </row>
    <row r="53540" spans="1:141" s="116" customFormat="1">
      <c r="A53540" s="136"/>
      <c r="CM53540" s="111"/>
      <c r="CQ53540" s="111"/>
      <c r="EF53540"/>
      <c r="EG53540"/>
      <c r="EH53540"/>
      <c r="EI53540"/>
      <c r="EJ53540"/>
      <c r="EK53540"/>
    </row>
    <row r="53541" spans="1:141" s="116" customFormat="1">
      <c r="A53541" s="136"/>
      <c r="CM53541" s="111"/>
      <c r="CQ53541" s="111"/>
      <c r="EF53541"/>
      <c r="EG53541"/>
      <c r="EH53541"/>
      <c r="EI53541"/>
      <c r="EJ53541"/>
      <c r="EK53541"/>
    </row>
    <row r="53542" spans="1:141" s="116" customFormat="1">
      <c r="A53542" s="136"/>
      <c r="CM53542" s="111"/>
      <c r="CQ53542" s="111"/>
      <c r="EF53542"/>
      <c r="EG53542"/>
      <c r="EH53542"/>
      <c r="EI53542"/>
      <c r="EJ53542"/>
      <c r="EK53542"/>
    </row>
    <row r="53543" spans="1:141" s="116" customFormat="1">
      <c r="A53543" s="136"/>
      <c r="CM53543" s="111"/>
      <c r="CQ53543" s="111"/>
      <c r="EF53543"/>
      <c r="EG53543"/>
      <c r="EH53543"/>
      <c r="EI53543"/>
      <c r="EJ53543"/>
      <c r="EK53543"/>
    </row>
    <row r="53544" spans="1:141" s="116" customFormat="1">
      <c r="A53544" s="136"/>
      <c r="CM53544" s="111"/>
      <c r="CQ53544" s="111"/>
      <c r="EF53544"/>
      <c r="EG53544"/>
      <c r="EH53544"/>
      <c r="EI53544"/>
      <c r="EJ53544"/>
      <c r="EK53544"/>
    </row>
    <row r="53545" spans="1:141" s="116" customFormat="1">
      <c r="A53545" s="136"/>
      <c r="CM53545" s="111"/>
      <c r="CQ53545" s="111"/>
      <c r="EF53545"/>
      <c r="EG53545"/>
      <c r="EH53545"/>
      <c r="EI53545"/>
      <c r="EJ53545"/>
      <c r="EK53545"/>
    </row>
    <row r="53546" spans="1:141" s="116" customFormat="1">
      <c r="A53546" s="136"/>
      <c r="CM53546" s="111"/>
      <c r="CQ53546" s="111"/>
      <c r="EF53546"/>
      <c r="EG53546"/>
      <c r="EH53546"/>
      <c r="EI53546"/>
      <c r="EJ53546"/>
      <c r="EK53546"/>
    </row>
    <row r="53547" spans="1:141" s="116" customFormat="1">
      <c r="A53547" s="136"/>
      <c r="CM53547" s="111"/>
      <c r="CQ53547" s="111"/>
      <c r="EF53547"/>
      <c r="EG53547"/>
      <c r="EH53547"/>
      <c r="EI53547"/>
      <c r="EJ53547"/>
      <c r="EK53547"/>
    </row>
    <row r="53548" spans="1:141" s="116" customFormat="1">
      <c r="A53548" s="136"/>
      <c r="CM53548" s="111"/>
      <c r="CQ53548" s="111"/>
      <c r="EF53548"/>
      <c r="EG53548"/>
      <c r="EH53548"/>
      <c r="EI53548"/>
      <c r="EJ53548"/>
      <c r="EK53548"/>
    </row>
    <row r="53549" spans="1:141" s="116" customFormat="1">
      <c r="A53549" s="136"/>
      <c r="CM53549" s="111"/>
      <c r="CQ53549" s="111"/>
      <c r="EF53549"/>
      <c r="EG53549"/>
      <c r="EH53549"/>
      <c r="EI53549"/>
      <c r="EJ53549"/>
      <c r="EK53549"/>
    </row>
    <row r="53550" spans="1:141" s="116" customFormat="1">
      <c r="A53550" s="136"/>
      <c r="CM53550" s="111"/>
      <c r="CQ53550" s="111"/>
      <c r="EF53550"/>
      <c r="EG53550"/>
      <c r="EH53550"/>
      <c r="EI53550"/>
      <c r="EJ53550"/>
      <c r="EK53550"/>
    </row>
    <row r="53551" spans="1:141" s="116" customFormat="1">
      <c r="A53551" s="136"/>
      <c r="CM53551" s="111"/>
      <c r="CQ53551" s="111"/>
      <c r="EF53551"/>
      <c r="EG53551"/>
      <c r="EH53551"/>
      <c r="EI53551"/>
      <c r="EJ53551"/>
      <c r="EK53551"/>
    </row>
    <row r="53552" spans="1:141" s="116" customFormat="1">
      <c r="A53552" s="136"/>
      <c r="CM53552" s="111"/>
      <c r="CQ53552" s="111"/>
      <c r="EF53552"/>
      <c r="EG53552"/>
      <c r="EH53552"/>
      <c r="EI53552"/>
      <c r="EJ53552"/>
      <c r="EK53552"/>
    </row>
    <row r="53553" spans="1:141" s="116" customFormat="1">
      <c r="A53553" s="136"/>
      <c r="CM53553" s="111"/>
      <c r="CQ53553" s="111"/>
      <c r="EF53553"/>
      <c r="EG53553"/>
      <c r="EH53553"/>
      <c r="EI53553"/>
      <c r="EJ53553"/>
      <c r="EK53553"/>
    </row>
    <row r="53554" spans="1:141" s="116" customFormat="1">
      <c r="A53554" s="136"/>
      <c r="CM53554" s="111"/>
      <c r="CQ53554" s="111"/>
      <c r="EF53554"/>
      <c r="EG53554"/>
      <c r="EH53554"/>
      <c r="EI53554"/>
      <c r="EJ53554"/>
      <c r="EK53554"/>
    </row>
    <row r="53555" spans="1:141" s="116" customFormat="1">
      <c r="A53555" s="136"/>
      <c r="CM53555" s="111"/>
      <c r="CQ53555" s="111"/>
      <c r="EF53555"/>
      <c r="EG53555"/>
      <c r="EH53555"/>
      <c r="EI53555"/>
      <c r="EJ53555"/>
      <c r="EK53555"/>
    </row>
    <row r="53556" spans="1:141" s="116" customFormat="1">
      <c r="A53556" s="136"/>
      <c r="CM53556" s="111"/>
      <c r="CQ53556" s="111"/>
      <c r="EF53556"/>
      <c r="EG53556"/>
      <c r="EH53556"/>
      <c r="EI53556"/>
      <c r="EJ53556"/>
      <c r="EK53556"/>
    </row>
    <row r="53557" spans="1:141" s="116" customFormat="1">
      <c r="A53557" s="136"/>
      <c r="CM53557" s="111"/>
      <c r="CQ53557" s="111"/>
      <c r="EF53557"/>
      <c r="EG53557"/>
      <c r="EH53557"/>
      <c r="EI53557"/>
      <c r="EJ53557"/>
      <c r="EK53557"/>
    </row>
    <row r="53558" spans="1:141" s="116" customFormat="1">
      <c r="A53558" s="136"/>
      <c r="CM53558" s="111"/>
      <c r="CQ53558" s="111"/>
      <c r="EF53558"/>
      <c r="EG53558"/>
      <c r="EH53558"/>
      <c r="EI53558"/>
      <c r="EJ53558"/>
      <c r="EK53558"/>
    </row>
    <row r="53559" spans="1:141" s="116" customFormat="1">
      <c r="A53559" s="136"/>
      <c r="CM53559" s="111"/>
      <c r="CQ53559" s="111"/>
      <c r="EF53559"/>
      <c r="EG53559"/>
      <c r="EH53559"/>
      <c r="EI53559"/>
      <c r="EJ53559"/>
      <c r="EK53559"/>
    </row>
    <row r="53560" spans="1:141" s="116" customFormat="1">
      <c r="A53560" s="136"/>
      <c r="CM53560" s="111"/>
      <c r="CQ53560" s="111"/>
      <c r="EF53560"/>
      <c r="EG53560"/>
      <c r="EH53560"/>
      <c r="EI53560"/>
      <c r="EJ53560"/>
      <c r="EK53560"/>
    </row>
    <row r="53561" spans="1:141" s="116" customFormat="1">
      <c r="A53561" s="136"/>
      <c r="CM53561" s="111"/>
      <c r="CQ53561" s="111"/>
      <c r="EF53561"/>
      <c r="EG53561"/>
      <c r="EH53561"/>
      <c r="EI53561"/>
      <c r="EJ53561"/>
      <c r="EK53561"/>
    </row>
    <row r="53562" spans="1:141" s="116" customFormat="1">
      <c r="A53562" s="136"/>
      <c r="CM53562" s="111"/>
      <c r="CQ53562" s="111"/>
      <c r="EF53562"/>
      <c r="EG53562"/>
      <c r="EH53562"/>
      <c r="EI53562"/>
      <c r="EJ53562"/>
      <c r="EK53562"/>
    </row>
    <row r="53563" spans="1:141" s="116" customFormat="1">
      <c r="A53563" s="136"/>
      <c r="CM53563" s="111"/>
      <c r="CQ53563" s="111"/>
      <c r="EF53563"/>
      <c r="EG53563"/>
      <c r="EH53563"/>
      <c r="EI53563"/>
      <c r="EJ53563"/>
      <c r="EK53563"/>
    </row>
    <row r="53564" spans="1:141" s="116" customFormat="1">
      <c r="A53564" s="136"/>
      <c r="CM53564" s="111"/>
      <c r="CQ53564" s="111"/>
      <c r="EF53564"/>
      <c r="EG53564"/>
      <c r="EH53564"/>
      <c r="EI53564"/>
      <c r="EJ53564"/>
      <c r="EK53564"/>
    </row>
    <row r="53565" spans="1:141" s="116" customFormat="1">
      <c r="A53565" s="136"/>
      <c r="CM53565" s="111"/>
      <c r="CQ53565" s="111"/>
      <c r="EF53565"/>
      <c r="EG53565"/>
      <c r="EH53565"/>
      <c r="EI53565"/>
      <c r="EJ53565"/>
      <c r="EK53565"/>
    </row>
    <row r="53566" spans="1:141" s="116" customFormat="1">
      <c r="A53566" s="136"/>
      <c r="CM53566" s="111"/>
      <c r="CQ53566" s="111"/>
      <c r="EF53566"/>
      <c r="EG53566"/>
      <c r="EH53566"/>
      <c r="EI53566"/>
      <c r="EJ53566"/>
      <c r="EK53566"/>
    </row>
    <row r="53567" spans="1:141" s="116" customFormat="1">
      <c r="A53567" s="136"/>
      <c r="CM53567" s="111"/>
      <c r="CQ53567" s="111"/>
      <c r="EF53567"/>
      <c r="EG53567"/>
      <c r="EH53567"/>
      <c r="EI53567"/>
      <c r="EJ53567"/>
      <c r="EK53567"/>
    </row>
    <row r="53568" spans="1:141" s="116" customFormat="1">
      <c r="A53568" s="136"/>
      <c r="CM53568" s="111"/>
      <c r="CQ53568" s="111"/>
      <c r="EF53568"/>
      <c r="EG53568"/>
      <c r="EH53568"/>
      <c r="EI53568"/>
      <c r="EJ53568"/>
      <c r="EK53568"/>
    </row>
    <row r="53569" spans="1:141" s="116" customFormat="1">
      <c r="A53569" s="136"/>
      <c r="CM53569" s="111"/>
      <c r="CQ53569" s="111"/>
      <c r="EF53569"/>
      <c r="EG53569"/>
      <c r="EH53569"/>
      <c r="EI53569"/>
      <c r="EJ53569"/>
      <c r="EK53569"/>
    </row>
    <row r="53570" spans="1:141" s="116" customFormat="1">
      <c r="A53570" s="136"/>
      <c r="CM53570" s="111"/>
      <c r="CQ53570" s="111"/>
      <c r="EF53570"/>
      <c r="EG53570"/>
      <c r="EH53570"/>
      <c r="EI53570"/>
      <c r="EJ53570"/>
      <c r="EK53570"/>
    </row>
    <row r="53571" spans="1:141" s="116" customFormat="1">
      <c r="A53571" s="136"/>
      <c r="CM53571" s="111"/>
      <c r="CQ53571" s="111"/>
      <c r="EF53571"/>
      <c r="EG53571"/>
      <c r="EH53571"/>
      <c r="EI53571"/>
      <c r="EJ53571"/>
      <c r="EK53571"/>
    </row>
    <row r="53572" spans="1:141" s="116" customFormat="1">
      <c r="A53572" s="136"/>
      <c r="CM53572" s="111"/>
      <c r="CQ53572" s="111"/>
      <c r="EF53572"/>
      <c r="EG53572"/>
      <c r="EH53572"/>
      <c r="EI53572"/>
      <c r="EJ53572"/>
      <c r="EK53572"/>
    </row>
    <row r="53573" spans="1:141" s="116" customFormat="1">
      <c r="A53573" s="136"/>
      <c r="CM53573" s="111"/>
      <c r="CQ53573" s="111"/>
      <c r="EF53573"/>
      <c r="EG53573"/>
      <c r="EH53573"/>
      <c r="EI53573"/>
      <c r="EJ53573"/>
      <c r="EK53573"/>
    </row>
    <row r="53574" spans="1:141" s="116" customFormat="1">
      <c r="A53574" s="136"/>
      <c r="CM53574" s="111"/>
      <c r="CQ53574" s="111"/>
      <c r="EF53574"/>
      <c r="EG53574"/>
      <c r="EH53574"/>
      <c r="EI53574"/>
      <c r="EJ53574"/>
      <c r="EK53574"/>
    </row>
    <row r="53575" spans="1:141" s="116" customFormat="1">
      <c r="A53575" s="136"/>
      <c r="CM53575" s="111"/>
      <c r="CQ53575" s="111"/>
      <c r="EF53575"/>
      <c r="EG53575"/>
      <c r="EH53575"/>
      <c r="EI53575"/>
      <c r="EJ53575"/>
      <c r="EK53575"/>
    </row>
    <row r="53576" spans="1:141" s="116" customFormat="1">
      <c r="A53576" s="136"/>
      <c r="CM53576" s="111"/>
      <c r="CQ53576" s="111"/>
      <c r="EF53576"/>
      <c r="EG53576"/>
      <c r="EH53576"/>
      <c r="EI53576"/>
      <c r="EJ53576"/>
      <c r="EK53576"/>
    </row>
    <row r="53577" spans="1:141" s="116" customFormat="1">
      <c r="A53577" s="136"/>
      <c r="CM53577" s="111"/>
      <c r="CQ53577" s="111"/>
      <c r="EF53577"/>
      <c r="EG53577"/>
      <c r="EH53577"/>
      <c r="EI53577"/>
      <c r="EJ53577"/>
      <c r="EK53577"/>
    </row>
    <row r="53578" spans="1:141" s="116" customFormat="1">
      <c r="A53578" s="136"/>
      <c r="CM53578" s="111"/>
      <c r="CQ53578" s="111"/>
      <c r="EF53578"/>
      <c r="EG53578"/>
      <c r="EH53578"/>
      <c r="EI53578"/>
      <c r="EJ53578"/>
      <c r="EK53578"/>
    </row>
    <row r="53579" spans="1:141" s="116" customFormat="1">
      <c r="A53579" s="136"/>
      <c r="CM53579" s="111"/>
      <c r="CQ53579" s="111"/>
      <c r="EF53579"/>
      <c r="EG53579"/>
      <c r="EH53579"/>
      <c r="EI53579"/>
      <c r="EJ53579"/>
      <c r="EK53579"/>
    </row>
    <row r="53580" spans="1:141" s="116" customFormat="1">
      <c r="A53580" s="136"/>
      <c r="CM53580" s="111"/>
      <c r="CQ53580" s="111"/>
      <c r="EF53580"/>
      <c r="EG53580"/>
      <c r="EH53580"/>
      <c r="EI53580"/>
      <c r="EJ53580"/>
      <c r="EK53580"/>
    </row>
    <row r="53581" spans="1:141" s="116" customFormat="1">
      <c r="A53581" s="136"/>
      <c r="CM53581" s="111"/>
      <c r="CQ53581" s="111"/>
      <c r="EF53581"/>
      <c r="EG53581"/>
      <c r="EH53581"/>
      <c r="EI53581"/>
      <c r="EJ53581"/>
      <c r="EK53581"/>
    </row>
    <row r="53582" spans="1:141" s="116" customFormat="1">
      <c r="A53582" s="136"/>
      <c r="CM53582" s="111"/>
      <c r="CQ53582" s="111"/>
      <c r="EF53582"/>
      <c r="EG53582"/>
      <c r="EH53582"/>
      <c r="EI53582"/>
      <c r="EJ53582"/>
      <c r="EK53582"/>
    </row>
    <row r="53583" spans="1:141" s="116" customFormat="1">
      <c r="A53583" s="136"/>
      <c r="CM53583" s="111"/>
      <c r="CQ53583" s="111"/>
      <c r="EF53583"/>
      <c r="EG53583"/>
      <c r="EH53583"/>
      <c r="EI53583"/>
      <c r="EJ53583"/>
      <c r="EK53583"/>
    </row>
    <row r="53584" spans="1:141" s="116" customFormat="1">
      <c r="A53584" s="136"/>
      <c r="CM53584" s="111"/>
      <c r="CQ53584" s="111"/>
      <c r="EF53584"/>
      <c r="EG53584"/>
      <c r="EH53584"/>
      <c r="EI53584"/>
      <c r="EJ53584"/>
      <c r="EK53584"/>
    </row>
    <row r="53585" spans="1:141" s="116" customFormat="1">
      <c r="A53585" s="136"/>
      <c r="CM53585" s="111"/>
      <c r="CQ53585" s="111"/>
      <c r="EF53585"/>
      <c r="EG53585"/>
      <c r="EH53585"/>
      <c r="EI53585"/>
      <c r="EJ53585"/>
      <c r="EK53585"/>
    </row>
    <row r="53586" spans="1:141" s="116" customFormat="1">
      <c r="A53586" s="136"/>
      <c r="CM53586" s="111"/>
      <c r="CQ53586" s="111"/>
      <c r="EF53586"/>
      <c r="EG53586"/>
      <c r="EH53586"/>
      <c r="EI53586"/>
      <c r="EJ53586"/>
      <c r="EK53586"/>
    </row>
    <row r="53587" spans="1:141" s="116" customFormat="1">
      <c r="A53587" s="136"/>
      <c r="CM53587" s="111"/>
      <c r="CQ53587" s="111"/>
      <c r="EF53587"/>
      <c r="EG53587"/>
      <c r="EH53587"/>
      <c r="EI53587"/>
      <c r="EJ53587"/>
      <c r="EK53587"/>
    </row>
    <row r="53588" spans="1:141" s="116" customFormat="1">
      <c r="A53588" s="136"/>
      <c r="CM53588" s="111"/>
      <c r="CQ53588" s="111"/>
      <c r="EF53588"/>
      <c r="EG53588"/>
      <c r="EH53588"/>
      <c r="EI53588"/>
      <c r="EJ53588"/>
      <c r="EK53588"/>
    </row>
    <row r="53589" spans="1:141" s="116" customFormat="1">
      <c r="A53589" s="136"/>
      <c r="CM53589" s="111"/>
      <c r="CQ53589" s="111"/>
      <c r="EF53589"/>
      <c r="EG53589"/>
      <c r="EH53589"/>
      <c r="EI53589"/>
      <c r="EJ53589"/>
      <c r="EK53589"/>
    </row>
    <row r="53590" spans="1:141" s="116" customFormat="1">
      <c r="A53590" s="136"/>
      <c r="CM53590" s="111"/>
      <c r="CQ53590" s="111"/>
      <c r="EF53590"/>
      <c r="EG53590"/>
      <c r="EH53590"/>
      <c r="EI53590"/>
      <c r="EJ53590"/>
      <c r="EK53590"/>
    </row>
    <row r="53591" spans="1:141" s="116" customFormat="1">
      <c r="A53591" s="136"/>
      <c r="CM53591" s="111"/>
      <c r="CQ53591" s="111"/>
      <c r="EF53591"/>
      <c r="EG53591"/>
      <c r="EH53591"/>
      <c r="EI53591"/>
      <c r="EJ53591"/>
      <c r="EK53591"/>
    </row>
    <row r="53592" spans="1:141" s="116" customFormat="1">
      <c r="A53592" s="136"/>
      <c r="CM53592" s="111"/>
      <c r="CQ53592" s="111"/>
      <c r="EF53592"/>
      <c r="EG53592"/>
      <c r="EH53592"/>
      <c r="EI53592"/>
      <c r="EJ53592"/>
      <c r="EK53592"/>
    </row>
    <row r="53593" spans="1:141" s="116" customFormat="1">
      <c r="A53593" s="136"/>
      <c r="CM53593" s="111"/>
      <c r="CQ53593" s="111"/>
      <c r="EF53593"/>
      <c r="EG53593"/>
      <c r="EH53593"/>
      <c r="EI53593"/>
      <c r="EJ53593"/>
      <c r="EK53593"/>
    </row>
    <row r="53594" spans="1:141" s="116" customFormat="1">
      <c r="A53594" s="136"/>
      <c r="CM53594" s="111"/>
      <c r="CQ53594" s="111"/>
      <c r="EF53594"/>
      <c r="EG53594"/>
      <c r="EH53594"/>
      <c r="EI53594"/>
      <c r="EJ53594"/>
      <c r="EK53594"/>
    </row>
    <row r="53595" spans="1:141" s="116" customFormat="1">
      <c r="A53595" s="136"/>
      <c r="CM53595" s="111"/>
      <c r="CQ53595" s="111"/>
      <c r="EF53595"/>
      <c r="EG53595"/>
      <c r="EH53595"/>
      <c r="EI53595"/>
      <c r="EJ53595"/>
      <c r="EK53595"/>
    </row>
    <row r="53596" spans="1:141" s="116" customFormat="1">
      <c r="A53596" s="136"/>
      <c r="CM53596" s="111"/>
      <c r="CQ53596" s="111"/>
      <c r="EF53596"/>
      <c r="EG53596"/>
      <c r="EH53596"/>
      <c r="EI53596"/>
      <c r="EJ53596"/>
      <c r="EK53596"/>
    </row>
    <row r="53597" spans="1:141" s="116" customFormat="1">
      <c r="A53597" s="136"/>
      <c r="CM53597" s="111"/>
      <c r="CQ53597" s="111"/>
      <c r="EF53597"/>
      <c r="EG53597"/>
      <c r="EH53597"/>
      <c r="EI53597"/>
      <c r="EJ53597"/>
      <c r="EK53597"/>
    </row>
    <row r="53598" spans="1:141" s="116" customFormat="1">
      <c r="A53598" s="136"/>
      <c r="CM53598" s="111"/>
      <c r="CQ53598" s="111"/>
      <c r="EF53598"/>
      <c r="EG53598"/>
      <c r="EH53598"/>
      <c r="EI53598"/>
      <c r="EJ53598"/>
      <c r="EK53598"/>
    </row>
    <row r="53599" spans="1:141" s="116" customFormat="1">
      <c r="A53599" s="136"/>
      <c r="CM53599" s="111"/>
      <c r="CQ53599" s="111"/>
      <c r="EF53599"/>
      <c r="EG53599"/>
      <c r="EH53599"/>
      <c r="EI53599"/>
      <c r="EJ53599"/>
      <c r="EK53599"/>
    </row>
    <row r="53600" spans="1:141" s="116" customFormat="1">
      <c r="A53600" s="136"/>
      <c r="CM53600" s="111"/>
      <c r="CQ53600" s="111"/>
      <c r="EF53600"/>
      <c r="EG53600"/>
      <c r="EH53600"/>
      <c r="EI53600"/>
      <c r="EJ53600"/>
      <c r="EK53600"/>
    </row>
    <row r="53601" spans="1:141" s="116" customFormat="1">
      <c r="A53601" s="136"/>
      <c r="CM53601" s="111"/>
      <c r="CQ53601" s="111"/>
      <c r="EF53601"/>
      <c r="EG53601"/>
      <c r="EH53601"/>
      <c r="EI53601"/>
      <c r="EJ53601"/>
      <c r="EK53601"/>
    </row>
    <row r="53602" spans="1:141" s="116" customFormat="1">
      <c r="A53602" s="136"/>
      <c r="CM53602" s="111"/>
      <c r="CQ53602" s="111"/>
      <c r="EF53602"/>
      <c r="EG53602"/>
      <c r="EH53602"/>
      <c r="EI53602"/>
      <c r="EJ53602"/>
      <c r="EK53602"/>
    </row>
    <row r="53603" spans="1:141" s="116" customFormat="1">
      <c r="A53603" s="136"/>
      <c r="CM53603" s="111"/>
      <c r="CQ53603" s="111"/>
      <c r="EF53603"/>
      <c r="EG53603"/>
      <c r="EH53603"/>
      <c r="EI53603"/>
      <c r="EJ53603"/>
      <c r="EK53603"/>
    </row>
    <row r="53604" spans="1:141" s="116" customFormat="1">
      <c r="A53604" s="136"/>
      <c r="CM53604" s="111"/>
      <c r="CQ53604" s="111"/>
      <c r="EF53604"/>
      <c r="EG53604"/>
      <c r="EH53604"/>
      <c r="EI53604"/>
      <c r="EJ53604"/>
      <c r="EK53604"/>
    </row>
    <row r="53605" spans="1:141" s="116" customFormat="1">
      <c r="A53605" s="136"/>
      <c r="CM53605" s="111"/>
      <c r="CQ53605" s="111"/>
      <c r="EF53605"/>
      <c r="EG53605"/>
      <c r="EH53605"/>
      <c r="EI53605"/>
      <c r="EJ53605"/>
      <c r="EK53605"/>
    </row>
    <row r="53606" spans="1:141" s="116" customFormat="1">
      <c r="A53606" s="136"/>
      <c r="CM53606" s="111"/>
      <c r="CQ53606" s="111"/>
      <c r="EF53606"/>
      <c r="EG53606"/>
      <c r="EH53606"/>
      <c r="EI53606"/>
      <c r="EJ53606"/>
      <c r="EK53606"/>
    </row>
    <row r="53607" spans="1:141" s="116" customFormat="1">
      <c r="A53607" s="136"/>
      <c r="CM53607" s="111"/>
      <c r="CQ53607" s="111"/>
      <c r="EF53607"/>
      <c r="EG53607"/>
      <c r="EH53607"/>
      <c r="EI53607"/>
      <c r="EJ53607"/>
      <c r="EK53607"/>
    </row>
    <row r="53608" spans="1:141" s="116" customFormat="1">
      <c r="A53608" s="136"/>
      <c r="CM53608" s="111"/>
      <c r="CQ53608" s="111"/>
      <c r="EF53608"/>
      <c r="EG53608"/>
      <c r="EH53608"/>
      <c r="EI53608"/>
      <c r="EJ53608"/>
      <c r="EK53608"/>
    </row>
    <row r="53609" spans="1:141" s="116" customFormat="1">
      <c r="A53609" s="136"/>
      <c r="CM53609" s="111"/>
      <c r="CQ53609" s="111"/>
      <c r="EF53609"/>
      <c r="EG53609"/>
      <c r="EH53609"/>
      <c r="EI53609"/>
      <c r="EJ53609"/>
      <c r="EK53609"/>
    </row>
    <row r="53610" spans="1:141" s="116" customFormat="1">
      <c r="A53610" s="136"/>
      <c r="CM53610" s="111"/>
      <c r="CQ53610" s="111"/>
      <c r="EF53610"/>
      <c r="EG53610"/>
      <c r="EH53610"/>
      <c r="EI53610"/>
      <c r="EJ53610"/>
      <c r="EK53610"/>
    </row>
    <row r="53611" spans="1:141" s="116" customFormat="1">
      <c r="A53611" s="136"/>
      <c r="CM53611" s="111"/>
      <c r="CQ53611" s="111"/>
      <c r="EF53611"/>
      <c r="EG53611"/>
      <c r="EH53611"/>
      <c r="EI53611"/>
      <c r="EJ53611"/>
      <c r="EK53611"/>
    </row>
    <row r="53612" spans="1:141" s="116" customFormat="1">
      <c r="A53612" s="136"/>
      <c r="CM53612" s="111"/>
      <c r="CQ53612" s="111"/>
      <c r="EF53612"/>
      <c r="EG53612"/>
      <c r="EH53612"/>
      <c r="EI53612"/>
      <c r="EJ53612"/>
      <c r="EK53612"/>
    </row>
    <row r="53613" spans="1:141" s="116" customFormat="1">
      <c r="A53613" s="136"/>
      <c r="CM53613" s="111"/>
      <c r="CQ53613" s="111"/>
      <c r="EF53613"/>
      <c r="EG53613"/>
      <c r="EH53613"/>
      <c r="EI53613"/>
      <c r="EJ53613"/>
      <c r="EK53613"/>
    </row>
    <row r="53614" spans="1:141" s="116" customFormat="1">
      <c r="A53614" s="136"/>
      <c r="CM53614" s="111"/>
      <c r="CQ53614" s="111"/>
      <c r="EF53614"/>
      <c r="EG53614"/>
      <c r="EH53614"/>
      <c r="EI53614"/>
      <c r="EJ53614"/>
      <c r="EK53614"/>
    </row>
    <row r="53615" spans="1:141" s="116" customFormat="1">
      <c r="A53615" s="136"/>
      <c r="CM53615" s="111"/>
      <c r="CQ53615" s="111"/>
      <c r="EF53615"/>
      <c r="EG53615"/>
      <c r="EH53615"/>
      <c r="EI53615"/>
      <c r="EJ53615"/>
      <c r="EK53615"/>
    </row>
    <row r="53616" spans="1:141" s="116" customFormat="1">
      <c r="A53616" s="136"/>
      <c r="CM53616" s="111"/>
      <c r="CQ53616" s="111"/>
      <c r="EF53616"/>
      <c r="EG53616"/>
      <c r="EH53616"/>
      <c r="EI53616"/>
      <c r="EJ53616"/>
      <c r="EK53616"/>
    </row>
    <row r="53617" spans="1:141" s="116" customFormat="1">
      <c r="A53617" s="136"/>
      <c r="CM53617" s="111"/>
      <c r="CQ53617" s="111"/>
      <c r="EF53617"/>
      <c r="EG53617"/>
      <c r="EH53617"/>
      <c r="EI53617"/>
      <c r="EJ53617"/>
      <c r="EK53617"/>
    </row>
    <row r="53618" spans="1:141" s="116" customFormat="1">
      <c r="A53618" s="136"/>
      <c r="CM53618" s="111"/>
      <c r="CQ53618" s="111"/>
      <c r="EF53618"/>
      <c r="EG53618"/>
      <c r="EH53618"/>
      <c r="EI53618"/>
      <c r="EJ53618"/>
      <c r="EK53618"/>
    </row>
    <row r="53619" spans="1:141" s="116" customFormat="1">
      <c r="A53619" s="136"/>
      <c r="CM53619" s="111"/>
      <c r="CQ53619" s="111"/>
      <c r="EF53619"/>
      <c r="EG53619"/>
      <c r="EH53619"/>
      <c r="EI53619"/>
      <c r="EJ53619"/>
      <c r="EK53619"/>
    </row>
    <row r="53620" spans="1:141" s="116" customFormat="1">
      <c r="A53620" s="136"/>
      <c r="CM53620" s="111"/>
      <c r="CQ53620" s="111"/>
      <c r="EF53620"/>
      <c r="EG53620"/>
      <c r="EH53620"/>
      <c r="EI53620"/>
      <c r="EJ53620"/>
      <c r="EK53620"/>
    </row>
    <row r="53621" spans="1:141" s="116" customFormat="1">
      <c r="A53621" s="136"/>
      <c r="CM53621" s="111"/>
      <c r="CQ53621" s="111"/>
      <c r="EF53621"/>
      <c r="EG53621"/>
      <c r="EH53621"/>
      <c r="EI53621"/>
      <c r="EJ53621"/>
      <c r="EK53621"/>
    </row>
    <row r="53622" spans="1:141" s="116" customFormat="1">
      <c r="A53622" s="136"/>
      <c r="CM53622" s="111"/>
      <c r="CQ53622" s="111"/>
      <c r="EF53622"/>
      <c r="EG53622"/>
      <c r="EH53622"/>
      <c r="EI53622"/>
      <c r="EJ53622"/>
      <c r="EK53622"/>
    </row>
    <row r="53623" spans="1:141" s="116" customFormat="1">
      <c r="A53623" s="136"/>
      <c r="CM53623" s="111"/>
      <c r="CQ53623" s="111"/>
      <c r="EF53623"/>
      <c r="EG53623"/>
      <c r="EH53623"/>
      <c r="EI53623"/>
      <c r="EJ53623"/>
      <c r="EK53623"/>
    </row>
    <row r="53624" spans="1:141" s="116" customFormat="1">
      <c r="A53624" s="136"/>
      <c r="CM53624" s="111"/>
      <c r="CQ53624" s="111"/>
      <c r="EF53624"/>
      <c r="EG53624"/>
      <c r="EH53624"/>
      <c r="EI53624"/>
      <c r="EJ53624"/>
      <c r="EK53624"/>
    </row>
    <row r="53625" spans="1:141" s="116" customFormat="1">
      <c r="A53625" s="136"/>
      <c r="CM53625" s="111"/>
      <c r="CQ53625" s="111"/>
      <c r="EF53625"/>
      <c r="EG53625"/>
      <c r="EH53625"/>
      <c r="EI53625"/>
      <c r="EJ53625"/>
      <c r="EK53625"/>
    </row>
    <row r="53626" spans="1:141" s="116" customFormat="1">
      <c r="A53626" s="136"/>
      <c r="CM53626" s="111"/>
      <c r="CQ53626" s="111"/>
      <c r="EF53626"/>
      <c r="EG53626"/>
      <c r="EH53626"/>
      <c r="EI53626"/>
      <c r="EJ53626"/>
      <c r="EK53626"/>
    </row>
    <row r="53627" spans="1:141" s="116" customFormat="1">
      <c r="A53627" s="136"/>
      <c r="CM53627" s="111"/>
      <c r="CQ53627" s="111"/>
      <c r="EF53627"/>
      <c r="EG53627"/>
      <c r="EH53627"/>
      <c r="EI53627"/>
      <c r="EJ53627"/>
      <c r="EK53627"/>
    </row>
    <row r="53628" spans="1:141" s="116" customFormat="1">
      <c r="A53628" s="136"/>
      <c r="CM53628" s="111"/>
      <c r="CQ53628" s="111"/>
      <c r="EF53628"/>
      <c r="EG53628"/>
      <c r="EH53628"/>
      <c r="EI53628"/>
      <c r="EJ53628"/>
      <c r="EK53628"/>
    </row>
    <row r="53629" spans="1:141" s="116" customFormat="1">
      <c r="A53629" s="136"/>
      <c r="CM53629" s="111"/>
      <c r="CQ53629" s="111"/>
      <c r="EF53629"/>
      <c r="EG53629"/>
      <c r="EH53629"/>
      <c r="EI53629"/>
      <c r="EJ53629"/>
      <c r="EK53629"/>
    </row>
    <row r="53630" spans="1:141" s="116" customFormat="1">
      <c r="A53630" s="136"/>
      <c r="CM53630" s="111"/>
      <c r="CQ53630" s="111"/>
      <c r="EF53630"/>
      <c r="EG53630"/>
      <c r="EH53630"/>
      <c r="EI53630"/>
      <c r="EJ53630"/>
      <c r="EK53630"/>
    </row>
    <row r="53631" spans="1:141" s="116" customFormat="1">
      <c r="A53631" s="136"/>
      <c r="CM53631" s="111"/>
      <c r="CQ53631" s="111"/>
      <c r="EF53631"/>
      <c r="EG53631"/>
      <c r="EH53631"/>
      <c r="EI53631"/>
      <c r="EJ53631"/>
      <c r="EK53631"/>
    </row>
    <row r="53632" spans="1:141" s="116" customFormat="1">
      <c r="A53632" s="136"/>
      <c r="CM53632" s="111"/>
      <c r="CQ53632" s="111"/>
      <c r="EF53632"/>
      <c r="EG53632"/>
      <c r="EH53632"/>
      <c r="EI53632"/>
      <c r="EJ53632"/>
      <c r="EK53632"/>
    </row>
    <row r="53633" spans="1:141" s="116" customFormat="1">
      <c r="A53633" s="136"/>
      <c r="CM53633" s="111"/>
      <c r="CQ53633" s="111"/>
      <c r="EF53633"/>
      <c r="EG53633"/>
      <c r="EH53633"/>
      <c r="EI53633"/>
      <c r="EJ53633"/>
      <c r="EK53633"/>
    </row>
    <row r="53634" spans="1:141" s="116" customFormat="1">
      <c r="A53634" s="136"/>
      <c r="CM53634" s="111"/>
      <c r="CQ53634" s="111"/>
      <c r="EF53634"/>
      <c r="EG53634"/>
      <c r="EH53634"/>
      <c r="EI53634"/>
      <c r="EJ53634"/>
      <c r="EK53634"/>
    </row>
    <row r="53635" spans="1:141" s="116" customFormat="1">
      <c r="A53635" s="136"/>
      <c r="CM53635" s="111"/>
      <c r="CQ53635" s="111"/>
      <c r="EF53635"/>
      <c r="EG53635"/>
      <c r="EH53635"/>
      <c r="EI53635"/>
      <c r="EJ53635"/>
      <c r="EK53635"/>
    </row>
    <row r="53636" spans="1:141" s="116" customFormat="1">
      <c r="A53636" s="136"/>
      <c r="CM53636" s="111"/>
      <c r="CQ53636" s="111"/>
      <c r="EF53636"/>
      <c r="EG53636"/>
      <c r="EH53636"/>
      <c r="EI53636"/>
      <c r="EJ53636"/>
      <c r="EK53636"/>
    </row>
    <row r="53637" spans="1:141" s="116" customFormat="1">
      <c r="A53637" s="136"/>
      <c r="CM53637" s="111"/>
      <c r="CQ53637" s="111"/>
      <c r="EF53637"/>
      <c r="EG53637"/>
      <c r="EH53637"/>
      <c r="EI53637"/>
      <c r="EJ53637"/>
      <c r="EK53637"/>
    </row>
    <row r="53638" spans="1:141" s="116" customFormat="1">
      <c r="A53638" s="136"/>
      <c r="CM53638" s="111"/>
      <c r="CQ53638" s="111"/>
      <c r="EF53638"/>
      <c r="EG53638"/>
      <c r="EH53638"/>
      <c r="EI53638"/>
      <c r="EJ53638"/>
      <c r="EK53638"/>
    </row>
    <row r="53639" spans="1:141" s="116" customFormat="1">
      <c r="A53639" s="136"/>
      <c r="CM53639" s="111"/>
      <c r="CQ53639" s="111"/>
      <c r="EF53639"/>
      <c r="EG53639"/>
      <c r="EH53639"/>
      <c r="EI53639"/>
      <c r="EJ53639"/>
      <c r="EK53639"/>
    </row>
    <row r="53640" spans="1:141" s="116" customFormat="1">
      <c r="A53640" s="136"/>
      <c r="CM53640" s="111"/>
      <c r="CQ53640" s="111"/>
      <c r="EF53640"/>
      <c r="EG53640"/>
      <c r="EH53640"/>
      <c r="EI53640"/>
      <c r="EJ53640"/>
      <c r="EK53640"/>
    </row>
    <row r="53641" spans="1:141" s="116" customFormat="1">
      <c r="A53641" s="136"/>
      <c r="CM53641" s="111"/>
      <c r="CQ53641" s="111"/>
      <c r="EF53641"/>
      <c r="EG53641"/>
      <c r="EH53641"/>
      <c r="EI53641"/>
      <c r="EJ53641"/>
      <c r="EK53641"/>
    </row>
    <row r="53642" spans="1:141" s="116" customFormat="1">
      <c r="A53642" s="136"/>
      <c r="CM53642" s="111"/>
      <c r="CQ53642" s="111"/>
      <c r="EF53642"/>
      <c r="EG53642"/>
      <c r="EH53642"/>
      <c r="EI53642"/>
      <c r="EJ53642"/>
      <c r="EK53642"/>
    </row>
    <row r="53643" spans="1:141" s="116" customFormat="1">
      <c r="A53643" s="136"/>
      <c r="CM53643" s="111"/>
      <c r="CQ53643" s="111"/>
      <c r="EF53643"/>
      <c r="EG53643"/>
      <c r="EH53643"/>
      <c r="EI53643"/>
      <c r="EJ53643"/>
      <c r="EK53643"/>
    </row>
    <row r="53644" spans="1:141" s="116" customFormat="1">
      <c r="A53644" s="136"/>
      <c r="CM53644" s="111"/>
      <c r="CQ53644" s="111"/>
      <c r="EF53644"/>
      <c r="EG53644"/>
      <c r="EH53644"/>
      <c r="EI53644"/>
      <c r="EJ53644"/>
      <c r="EK53644"/>
    </row>
    <row r="53645" spans="1:141" s="116" customFormat="1">
      <c r="A53645" s="136"/>
      <c r="CM53645" s="111"/>
      <c r="CQ53645" s="111"/>
      <c r="EF53645"/>
      <c r="EG53645"/>
      <c r="EH53645"/>
      <c r="EI53645"/>
      <c r="EJ53645"/>
      <c r="EK53645"/>
    </row>
    <row r="53646" spans="1:141" s="116" customFormat="1">
      <c r="A53646" s="136"/>
      <c r="CM53646" s="111"/>
      <c r="CQ53646" s="111"/>
      <c r="EF53646"/>
      <c r="EG53646"/>
      <c r="EH53646"/>
      <c r="EI53646"/>
      <c r="EJ53646"/>
      <c r="EK53646"/>
    </row>
    <row r="53647" spans="1:141" s="116" customFormat="1">
      <c r="A53647" s="136"/>
      <c r="CM53647" s="111"/>
      <c r="CQ53647" s="111"/>
      <c r="EF53647"/>
      <c r="EG53647"/>
      <c r="EH53647"/>
      <c r="EI53647"/>
      <c r="EJ53647"/>
      <c r="EK53647"/>
    </row>
    <row r="53648" spans="1:141" s="116" customFormat="1">
      <c r="A53648" s="136"/>
      <c r="CM53648" s="111"/>
      <c r="CQ53648" s="111"/>
      <c r="EF53648"/>
      <c r="EG53648"/>
      <c r="EH53648"/>
      <c r="EI53648"/>
      <c r="EJ53648"/>
      <c r="EK53648"/>
    </row>
    <row r="53649" spans="1:141" s="116" customFormat="1">
      <c r="A53649" s="136"/>
      <c r="CM53649" s="111"/>
      <c r="CQ53649" s="111"/>
      <c r="EF53649"/>
      <c r="EG53649"/>
      <c r="EH53649"/>
      <c r="EI53649"/>
      <c r="EJ53649"/>
      <c r="EK53649"/>
    </row>
    <row r="53650" spans="1:141" s="116" customFormat="1">
      <c r="A53650" s="136"/>
      <c r="CM53650" s="111"/>
      <c r="CQ53650" s="111"/>
      <c r="EF53650"/>
      <c r="EG53650"/>
      <c r="EH53650"/>
      <c r="EI53650"/>
      <c r="EJ53650"/>
      <c r="EK53650"/>
    </row>
    <row r="53651" spans="1:141" s="116" customFormat="1">
      <c r="A53651" s="136"/>
      <c r="CM53651" s="111"/>
      <c r="CQ53651" s="111"/>
      <c r="EF53651"/>
      <c r="EG53651"/>
      <c r="EH53651"/>
      <c r="EI53651"/>
      <c r="EJ53651"/>
      <c r="EK53651"/>
    </row>
    <row r="53652" spans="1:141" s="116" customFormat="1">
      <c r="A53652" s="136"/>
      <c r="CM53652" s="111"/>
      <c r="CQ53652" s="111"/>
      <c r="EF53652"/>
      <c r="EG53652"/>
      <c r="EH53652"/>
      <c r="EI53652"/>
      <c r="EJ53652"/>
      <c r="EK53652"/>
    </row>
    <row r="53653" spans="1:141" s="116" customFormat="1">
      <c r="A53653" s="136"/>
      <c r="CM53653" s="111"/>
      <c r="CQ53653" s="111"/>
      <c r="EF53653"/>
      <c r="EG53653"/>
      <c r="EH53653"/>
      <c r="EI53653"/>
      <c r="EJ53653"/>
      <c r="EK53653"/>
    </row>
    <row r="53654" spans="1:141" s="116" customFormat="1">
      <c r="A53654" s="136"/>
      <c r="CM53654" s="111"/>
      <c r="CQ53654" s="111"/>
      <c r="EF53654"/>
      <c r="EG53654"/>
      <c r="EH53654"/>
      <c r="EI53654"/>
      <c r="EJ53654"/>
      <c r="EK53654"/>
    </row>
    <row r="53655" spans="1:141" s="116" customFormat="1">
      <c r="A53655" s="136"/>
      <c r="CM53655" s="111"/>
      <c r="CQ53655" s="111"/>
      <c r="EF53655"/>
      <c r="EG53655"/>
      <c r="EH53655"/>
      <c r="EI53655"/>
      <c r="EJ53655"/>
      <c r="EK53655"/>
    </row>
    <row r="53656" spans="1:141" s="116" customFormat="1">
      <c r="A53656" s="136"/>
      <c r="CM53656" s="111"/>
      <c r="CQ53656" s="111"/>
      <c r="EF53656"/>
      <c r="EG53656"/>
      <c r="EH53656"/>
      <c r="EI53656"/>
      <c r="EJ53656"/>
      <c r="EK53656"/>
    </row>
    <row r="53657" spans="1:141" s="116" customFormat="1">
      <c r="A53657" s="136"/>
      <c r="CM53657" s="111"/>
      <c r="CQ53657" s="111"/>
      <c r="EF53657"/>
      <c r="EG53657"/>
      <c r="EH53657"/>
      <c r="EI53657"/>
      <c r="EJ53657"/>
      <c r="EK53657"/>
    </row>
    <row r="53658" spans="1:141" s="116" customFormat="1">
      <c r="A53658" s="136"/>
      <c r="CM53658" s="111"/>
      <c r="CQ53658" s="111"/>
      <c r="EF53658"/>
      <c r="EG53658"/>
      <c r="EH53658"/>
      <c r="EI53658"/>
      <c r="EJ53658"/>
      <c r="EK53658"/>
    </row>
    <row r="53659" spans="1:141" s="116" customFormat="1">
      <c r="A53659" s="136"/>
      <c r="CM53659" s="111"/>
      <c r="CQ53659" s="111"/>
      <c r="EF53659"/>
      <c r="EG53659"/>
      <c r="EH53659"/>
      <c r="EI53659"/>
      <c r="EJ53659"/>
      <c r="EK53659"/>
    </row>
    <row r="53660" spans="1:141" s="116" customFormat="1">
      <c r="A53660" s="136"/>
      <c r="CM53660" s="111"/>
      <c r="CQ53660" s="111"/>
      <c r="EF53660"/>
      <c r="EG53660"/>
      <c r="EH53660"/>
      <c r="EI53660"/>
      <c r="EJ53660"/>
      <c r="EK53660"/>
    </row>
    <row r="53661" spans="1:141" s="116" customFormat="1">
      <c r="A53661" s="136"/>
      <c r="CM53661" s="111"/>
      <c r="CQ53661" s="111"/>
      <c r="EF53661"/>
      <c r="EG53661"/>
      <c r="EH53661"/>
      <c r="EI53661"/>
      <c r="EJ53661"/>
      <c r="EK53661"/>
    </row>
    <row r="53662" spans="1:141" s="116" customFormat="1">
      <c r="A53662" s="136"/>
      <c r="CM53662" s="111"/>
      <c r="CQ53662" s="111"/>
      <c r="EF53662"/>
      <c r="EG53662"/>
      <c r="EH53662"/>
      <c r="EI53662"/>
      <c r="EJ53662"/>
      <c r="EK53662"/>
    </row>
    <row r="53663" spans="1:141" s="116" customFormat="1">
      <c r="A53663" s="136"/>
      <c r="CM53663" s="111"/>
      <c r="CQ53663" s="111"/>
      <c r="EF53663"/>
      <c r="EG53663"/>
      <c r="EH53663"/>
      <c r="EI53663"/>
      <c r="EJ53663"/>
      <c r="EK53663"/>
    </row>
    <row r="53664" spans="1:141" s="116" customFormat="1">
      <c r="A53664" s="136"/>
      <c r="CM53664" s="111"/>
      <c r="CQ53664" s="111"/>
      <c r="EF53664"/>
      <c r="EG53664"/>
      <c r="EH53664"/>
      <c r="EI53664"/>
      <c r="EJ53664"/>
      <c r="EK53664"/>
    </row>
    <row r="53665" spans="1:141" s="116" customFormat="1">
      <c r="A53665" s="136"/>
      <c r="CM53665" s="111"/>
      <c r="CQ53665" s="111"/>
      <c r="EF53665"/>
      <c r="EG53665"/>
      <c r="EH53665"/>
      <c r="EI53665"/>
      <c r="EJ53665"/>
      <c r="EK53665"/>
    </row>
    <row r="53666" spans="1:141" s="116" customFormat="1">
      <c r="A53666" s="136"/>
      <c r="CM53666" s="111"/>
      <c r="CQ53666" s="111"/>
      <c r="EF53666"/>
      <c r="EG53666"/>
      <c r="EH53666"/>
      <c r="EI53666"/>
      <c r="EJ53666"/>
      <c r="EK53666"/>
    </row>
    <row r="53667" spans="1:141" s="116" customFormat="1">
      <c r="A53667" s="136"/>
      <c r="CM53667" s="111"/>
      <c r="CQ53667" s="111"/>
      <c r="EF53667"/>
      <c r="EG53667"/>
      <c r="EH53667"/>
      <c r="EI53667"/>
      <c r="EJ53667"/>
      <c r="EK53667"/>
    </row>
    <row r="53668" spans="1:141" s="116" customFormat="1">
      <c r="A53668" s="136"/>
      <c r="CM53668" s="111"/>
      <c r="CQ53668" s="111"/>
      <c r="EF53668"/>
      <c r="EG53668"/>
      <c r="EH53668"/>
      <c r="EI53668"/>
      <c r="EJ53668"/>
      <c r="EK53668"/>
    </row>
    <row r="53669" spans="1:141" s="116" customFormat="1">
      <c r="A53669" s="136"/>
      <c r="CM53669" s="111"/>
      <c r="CQ53669" s="111"/>
      <c r="EF53669"/>
      <c r="EG53669"/>
      <c r="EH53669"/>
      <c r="EI53669"/>
      <c r="EJ53669"/>
      <c r="EK53669"/>
    </row>
    <row r="53670" spans="1:141" s="116" customFormat="1">
      <c r="A53670" s="136"/>
      <c r="CM53670" s="111"/>
      <c r="CQ53670" s="111"/>
      <c r="EF53670"/>
      <c r="EG53670"/>
      <c r="EH53670"/>
      <c r="EI53670"/>
      <c r="EJ53670"/>
      <c r="EK53670"/>
    </row>
    <row r="53671" spans="1:141" s="116" customFormat="1">
      <c r="A53671" s="136"/>
      <c r="CM53671" s="111"/>
      <c r="CQ53671" s="111"/>
      <c r="EF53671"/>
      <c r="EG53671"/>
      <c r="EH53671"/>
      <c r="EI53671"/>
      <c r="EJ53671"/>
      <c r="EK53671"/>
    </row>
    <row r="53672" spans="1:141" s="116" customFormat="1">
      <c r="A53672" s="136"/>
      <c r="CM53672" s="111"/>
      <c r="CQ53672" s="111"/>
      <c r="EF53672"/>
      <c r="EG53672"/>
      <c r="EH53672"/>
      <c r="EI53672"/>
      <c r="EJ53672"/>
      <c r="EK53672"/>
    </row>
    <row r="53673" spans="1:141" s="116" customFormat="1">
      <c r="A53673" s="136"/>
      <c r="CM53673" s="111"/>
      <c r="CQ53673" s="111"/>
      <c r="EF53673"/>
      <c r="EG53673"/>
      <c r="EH53673"/>
      <c r="EI53673"/>
      <c r="EJ53673"/>
      <c r="EK53673"/>
    </row>
    <row r="53674" spans="1:141" s="116" customFormat="1">
      <c r="A53674" s="136"/>
      <c r="CM53674" s="111"/>
      <c r="CQ53674" s="111"/>
      <c r="EF53674"/>
      <c r="EG53674"/>
      <c r="EH53674"/>
      <c r="EI53674"/>
      <c r="EJ53674"/>
      <c r="EK53674"/>
    </row>
    <row r="53675" spans="1:141" s="116" customFormat="1">
      <c r="A53675" s="136"/>
      <c r="CM53675" s="111"/>
      <c r="CQ53675" s="111"/>
      <c r="EF53675"/>
      <c r="EG53675"/>
      <c r="EH53675"/>
      <c r="EI53675"/>
      <c r="EJ53675"/>
      <c r="EK53675"/>
    </row>
    <row r="53676" spans="1:141" s="116" customFormat="1">
      <c r="A53676" s="136"/>
      <c r="CM53676" s="111"/>
      <c r="CQ53676" s="111"/>
      <c r="EF53676"/>
      <c r="EG53676"/>
      <c r="EH53676"/>
      <c r="EI53676"/>
      <c r="EJ53676"/>
      <c r="EK53676"/>
    </row>
    <row r="53677" spans="1:141" s="116" customFormat="1">
      <c r="A53677" s="136"/>
      <c r="CM53677" s="111"/>
      <c r="CQ53677" s="111"/>
      <c r="EF53677"/>
      <c r="EG53677"/>
      <c r="EH53677"/>
      <c r="EI53677"/>
      <c r="EJ53677"/>
      <c r="EK53677"/>
    </row>
    <row r="53678" spans="1:141" s="116" customFormat="1">
      <c r="A53678" s="136"/>
      <c r="CM53678" s="111"/>
      <c r="CQ53678" s="111"/>
      <c r="EF53678"/>
      <c r="EG53678"/>
      <c r="EH53678"/>
      <c r="EI53678"/>
      <c r="EJ53678"/>
      <c r="EK53678"/>
    </row>
    <row r="53679" spans="1:141" s="116" customFormat="1">
      <c r="A53679" s="136"/>
      <c r="CM53679" s="111"/>
      <c r="CQ53679" s="111"/>
      <c r="EF53679"/>
      <c r="EG53679"/>
      <c r="EH53679"/>
      <c r="EI53679"/>
      <c r="EJ53679"/>
      <c r="EK53679"/>
    </row>
    <row r="53680" spans="1:141" s="116" customFormat="1">
      <c r="A53680" s="136"/>
      <c r="CM53680" s="111"/>
      <c r="CQ53680" s="111"/>
      <c r="EF53680"/>
      <c r="EG53680"/>
      <c r="EH53680"/>
      <c r="EI53680"/>
      <c r="EJ53680"/>
      <c r="EK53680"/>
    </row>
    <row r="53681" spans="1:141" s="116" customFormat="1">
      <c r="A53681" s="136"/>
      <c r="CM53681" s="111"/>
      <c r="CQ53681" s="111"/>
      <c r="EF53681"/>
      <c r="EG53681"/>
      <c r="EH53681"/>
      <c r="EI53681"/>
      <c r="EJ53681"/>
      <c r="EK53681"/>
    </row>
    <row r="53682" spans="1:141" s="116" customFormat="1">
      <c r="A53682" s="136"/>
      <c r="CM53682" s="111"/>
      <c r="CQ53682" s="111"/>
      <c r="EF53682"/>
      <c r="EG53682"/>
      <c r="EH53682"/>
      <c r="EI53682"/>
      <c r="EJ53682"/>
      <c r="EK53682"/>
    </row>
    <row r="53683" spans="1:141" s="116" customFormat="1">
      <c r="A53683" s="136"/>
      <c r="CM53683" s="111"/>
      <c r="CQ53683" s="111"/>
      <c r="EF53683"/>
      <c r="EG53683"/>
      <c r="EH53683"/>
      <c r="EI53683"/>
      <c r="EJ53683"/>
      <c r="EK53683"/>
    </row>
    <row r="53684" spans="1:141" s="116" customFormat="1">
      <c r="A53684" s="136"/>
      <c r="CM53684" s="111"/>
      <c r="CQ53684" s="111"/>
      <c r="EF53684"/>
      <c r="EG53684"/>
      <c r="EH53684"/>
      <c r="EI53684"/>
      <c r="EJ53684"/>
      <c r="EK53684"/>
    </row>
    <row r="53685" spans="1:141" s="116" customFormat="1">
      <c r="A53685" s="136"/>
      <c r="CM53685" s="111"/>
      <c r="CQ53685" s="111"/>
      <c r="EF53685"/>
      <c r="EG53685"/>
      <c r="EH53685"/>
      <c r="EI53685"/>
      <c r="EJ53685"/>
      <c r="EK53685"/>
    </row>
    <row r="53686" spans="1:141" s="116" customFormat="1">
      <c r="A53686" s="136"/>
      <c r="CM53686" s="111"/>
      <c r="CQ53686" s="111"/>
      <c r="EF53686"/>
      <c r="EG53686"/>
      <c r="EH53686"/>
      <c r="EI53686"/>
      <c r="EJ53686"/>
      <c r="EK53686"/>
    </row>
    <row r="53687" spans="1:141" s="116" customFormat="1">
      <c r="A53687" s="136"/>
      <c r="CM53687" s="111"/>
      <c r="CQ53687" s="111"/>
      <c r="EF53687"/>
      <c r="EG53687"/>
      <c r="EH53687"/>
      <c r="EI53687"/>
      <c r="EJ53687"/>
      <c r="EK53687"/>
    </row>
    <row r="53688" spans="1:141" s="116" customFormat="1">
      <c r="A53688" s="136"/>
      <c r="CM53688" s="111"/>
      <c r="CQ53688" s="111"/>
      <c r="EF53688"/>
      <c r="EG53688"/>
      <c r="EH53688"/>
      <c r="EI53688"/>
      <c r="EJ53688"/>
      <c r="EK53688"/>
    </row>
    <row r="53689" spans="1:141" s="116" customFormat="1">
      <c r="A53689" s="136"/>
      <c r="CM53689" s="111"/>
      <c r="CQ53689" s="111"/>
      <c r="EF53689"/>
      <c r="EG53689"/>
      <c r="EH53689"/>
      <c r="EI53689"/>
      <c r="EJ53689"/>
      <c r="EK53689"/>
    </row>
    <row r="53690" spans="1:141" s="116" customFormat="1">
      <c r="A53690" s="136"/>
      <c r="CM53690" s="111"/>
      <c r="CQ53690" s="111"/>
      <c r="EF53690"/>
      <c r="EG53690"/>
      <c r="EH53690"/>
      <c r="EI53690"/>
      <c r="EJ53690"/>
      <c r="EK53690"/>
    </row>
    <row r="53691" spans="1:141" s="116" customFormat="1">
      <c r="A53691" s="136"/>
      <c r="CM53691" s="111"/>
      <c r="CQ53691" s="111"/>
      <c r="EF53691"/>
      <c r="EG53691"/>
      <c r="EH53691"/>
      <c r="EI53691"/>
      <c r="EJ53691"/>
      <c r="EK53691"/>
    </row>
    <row r="53692" spans="1:141" s="116" customFormat="1">
      <c r="A53692" s="136"/>
      <c r="CM53692" s="111"/>
      <c r="CQ53692" s="111"/>
      <c r="EF53692"/>
      <c r="EG53692"/>
      <c r="EH53692"/>
      <c r="EI53692"/>
      <c r="EJ53692"/>
      <c r="EK53692"/>
    </row>
    <row r="53693" spans="1:141" s="116" customFormat="1">
      <c r="A53693" s="136"/>
      <c r="CM53693" s="111"/>
      <c r="CQ53693" s="111"/>
      <c r="EF53693"/>
      <c r="EG53693"/>
      <c r="EH53693"/>
      <c r="EI53693"/>
      <c r="EJ53693"/>
      <c r="EK53693"/>
    </row>
    <row r="53694" spans="1:141" s="116" customFormat="1">
      <c r="A53694" s="136"/>
      <c r="CM53694" s="111"/>
      <c r="CQ53694" s="111"/>
      <c r="EF53694"/>
      <c r="EG53694"/>
      <c r="EH53694"/>
      <c r="EI53694"/>
      <c r="EJ53694"/>
      <c r="EK53694"/>
    </row>
    <row r="53695" spans="1:141" s="116" customFormat="1">
      <c r="A53695" s="136"/>
      <c r="CM53695" s="111"/>
      <c r="CQ53695" s="111"/>
      <c r="EF53695"/>
      <c r="EG53695"/>
      <c r="EH53695"/>
      <c r="EI53695"/>
      <c r="EJ53695"/>
      <c r="EK53695"/>
    </row>
    <row r="53696" spans="1:141" s="116" customFormat="1">
      <c r="A53696" s="136"/>
      <c r="CM53696" s="111"/>
      <c r="CQ53696" s="111"/>
      <c r="EF53696"/>
      <c r="EG53696"/>
      <c r="EH53696"/>
      <c r="EI53696"/>
      <c r="EJ53696"/>
      <c r="EK53696"/>
    </row>
    <row r="53697" spans="1:141" s="116" customFormat="1">
      <c r="A53697" s="136"/>
      <c r="CM53697" s="111"/>
      <c r="CQ53697" s="111"/>
      <c r="EF53697"/>
      <c r="EG53697"/>
      <c r="EH53697"/>
      <c r="EI53697"/>
      <c r="EJ53697"/>
      <c r="EK53697"/>
    </row>
    <row r="53698" spans="1:141" s="116" customFormat="1">
      <c r="A53698" s="136"/>
      <c r="CM53698" s="111"/>
      <c r="CQ53698" s="111"/>
      <c r="EF53698"/>
      <c r="EG53698"/>
      <c r="EH53698"/>
      <c r="EI53698"/>
      <c r="EJ53698"/>
      <c r="EK53698"/>
    </row>
    <row r="53699" spans="1:141" s="116" customFormat="1">
      <c r="A53699" s="136"/>
      <c r="CM53699" s="111"/>
      <c r="CQ53699" s="111"/>
      <c r="EF53699"/>
      <c r="EG53699"/>
      <c r="EH53699"/>
      <c r="EI53699"/>
      <c r="EJ53699"/>
      <c r="EK53699"/>
    </row>
    <row r="53700" spans="1:141" s="116" customFormat="1">
      <c r="A53700" s="136"/>
      <c r="CM53700" s="111"/>
      <c r="CQ53700" s="111"/>
      <c r="EF53700"/>
      <c r="EG53700"/>
      <c r="EH53700"/>
      <c r="EI53700"/>
      <c r="EJ53700"/>
      <c r="EK53700"/>
    </row>
    <row r="53701" spans="1:141" s="116" customFormat="1">
      <c r="A53701" s="136"/>
      <c r="CM53701" s="111"/>
      <c r="CQ53701" s="111"/>
      <c r="EF53701"/>
      <c r="EG53701"/>
      <c r="EH53701"/>
      <c r="EI53701"/>
      <c r="EJ53701"/>
      <c r="EK53701"/>
    </row>
    <row r="53702" spans="1:141" s="116" customFormat="1">
      <c r="A53702" s="136"/>
      <c r="CM53702" s="111"/>
      <c r="CQ53702" s="111"/>
      <c r="EF53702"/>
      <c r="EG53702"/>
      <c r="EH53702"/>
      <c r="EI53702"/>
      <c r="EJ53702"/>
      <c r="EK53702"/>
    </row>
    <row r="53703" spans="1:141" s="116" customFormat="1">
      <c r="A53703" s="136"/>
      <c r="CM53703" s="111"/>
      <c r="CQ53703" s="111"/>
      <c r="EF53703"/>
      <c r="EG53703"/>
      <c r="EH53703"/>
      <c r="EI53703"/>
      <c r="EJ53703"/>
      <c r="EK53703"/>
    </row>
    <row r="53704" spans="1:141" s="116" customFormat="1">
      <c r="A53704" s="136"/>
      <c r="CM53704" s="111"/>
      <c r="CQ53704" s="111"/>
      <c r="EF53704"/>
      <c r="EG53704"/>
      <c r="EH53704"/>
      <c r="EI53704"/>
      <c r="EJ53704"/>
      <c r="EK53704"/>
    </row>
    <row r="53705" spans="1:141" s="116" customFormat="1">
      <c r="A53705" s="136"/>
      <c r="CM53705" s="111"/>
      <c r="CQ53705" s="111"/>
      <c r="EF53705"/>
      <c r="EG53705"/>
      <c r="EH53705"/>
      <c r="EI53705"/>
      <c r="EJ53705"/>
      <c r="EK53705"/>
    </row>
    <row r="53706" spans="1:141" s="116" customFormat="1">
      <c r="A53706" s="136"/>
      <c r="CM53706" s="111"/>
      <c r="CQ53706" s="111"/>
      <c r="EF53706"/>
      <c r="EG53706"/>
      <c r="EH53706"/>
      <c r="EI53706"/>
      <c r="EJ53706"/>
      <c r="EK53706"/>
    </row>
    <row r="53707" spans="1:141" s="116" customFormat="1">
      <c r="A53707" s="136"/>
      <c r="CM53707" s="111"/>
      <c r="CQ53707" s="111"/>
      <c r="EF53707"/>
      <c r="EG53707"/>
      <c r="EH53707"/>
      <c r="EI53707"/>
      <c r="EJ53707"/>
      <c r="EK53707"/>
    </row>
    <row r="53708" spans="1:141" s="116" customFormat="1">
      <c r="A53708" s="136"/>
      <c r="CM53708" s="111"/>
      <c r="CQ53708" s="111"/>
      <c r="EF53708"/>
      <c r="EG53708"/>
      <c r="EH53708"/>
      <c r="EI53708"/>
      <c r="EJ53708"/>
      <c r="EK53708"/>
    </row>
    <row r="53709" spans="1:141" s="116" customFormat="1">
      <c r="A53709" s="136"/>
      <c r="CM53709" s="111"/>
      <c r="CQ53709" s="111"/>
      <c r="EF53709"/>
      <c r="EG53709"/>
      <c r="EH53709"/>
      <c r="EI53709"/>
      <c r="EJ53709"/>
      <c r="EK53709"/>
    </row>
    <row r="53710" spans="1:141" s="116" customFormat="1">
      <c r="A53710" s="136"/>
      <c r="CM53710" s="111"/>
      <c r="CQ53710" s="111"/>
      <c r="EF53710"/>
      <c r="EG53710"/>
      <c r="EH53710"/>
      <c r="EI53710"/>
      <c r="EJ53710"/>
      <c r="EK53710"/>
    </row>
    <row r="53711" spans="1:141" s="116" customFormat="1">
      <c r="A53711" s="136"/>
      <c r="CM53711" s="111"/>
      <c r="CQ53711" s="111"/>
      <c r="EF53711"/>
      <c r="EG53711"/>
      <c r="EH53711"/>
      <c r="EI53711"/>
      <c r="EJ53711"/>
      <c r="EK53711"/>
    </row>
    <row r="53712" spans="1:141" s="116" customFormat="1">
      <c r="A53712" s="136"/>
      <c r="CM53712" s="111"/>
      <c r="CQ53712" s="111"/>
      <c r="EF53712"/>
      <c r="EG53712"/>
      <c r="EH53712"/>
      <c r="EI53712"/>
      <c r="EJ53712"/>
      <c r="EK53712"/>
    </row>
    <row r="53713" spans="1:141" s="116" customFormat="1">
      <c r="A53713" s="136"/>
      <c r="CM53713" s="111"/>
      <c r="CQ53713" s="111"/>
      <c r="EF53713"/>
      <c r="EG53713"/>
      <c r="EH53713"/>
      <c r="EI53713"/>
      <c r="EJ53713"/>
      <c r="EK53713"/>
    </row>
    <row r="53714" spans="1:141" s="116" customFormat="1">
      <c r="A53714" s="136"/>
      <c r="CM53714" s="111"/>
      <c r="CQ53714" s="111"/>
      <c r="EF53714"/>
      <c r="EG53714"/>
      <c r="EH53714"/>
      <c r="EI53714"/>
      <c r="EJ53714"/>
      <c r="EK53714"/>
    </row>
    <row r="53715" spans="1:141" s="116" customFormat="1">
      <c r="A53715" s="136"/>
      <c r="CM53715" s="111"/>
      <c r="CQ53715" s="111"/>
      <c r="EF53715"/>
      <c r="EG53715"/>
      <c r="EH53715"/>
      <c r="EI53715"/>
      <c r="EJ53715"/>
      <c r="EK53715"/>
    </row>
    <row r="53716" spans="1:141" s="116" customFormat="1">
      <c r="A53716" s="136"/>
      <c r="CM53716" s="111"/>
      <c r="CQ53716" s="111"/>
      <c r="EF53716"/>
      <c r="EG53716"/>
      <c r="EH53716"/>
      <c r="EI53716"/>
      <c r="EJ53716"/>
      <c r="EK53716"/>
    </row>
    <row r="53717" spans="1:141" s="116" customFormat="1">
      <c r="A53717" s="136"/>
      <c r="CM53717" s="111"/>
      <c r="CQ53717" s="111"/>
      <c r="EF53717"/>
      <c r="EG53717"/>
      <c r="EH53717"/>
      <c r="EI53717"/>
      <c r="EJ53717"/>
      <c r="EK53717"/>
    </row>
    <row r="53718" spans="1:141" s="116" customFormat="1">
      <c r="A53718" s="136"/>
      <c r="CM53718" s="111"/>
      <c r="CQ53718" s="111"/>
      <c r="EF53718"/>
      <c r="EG53718"/>
      <c r="EH53718"/>
      <c r="EI53718"/>
      <c r="EJ53718"/>
      <c r="EK53718"/>
    </row>
    <row r="53719" spans="1:141" s="116" customFormat="1">
      <c r="A53719" s="136"/>
      <c r="CM53719" s="111"/>
      <c r="CQ53719" s="111"/>
      <c r="EF53719"/>
      <c r="EG53719"/>
      <c r="EH53719"/>
      <c r="EI53719"/>
      <c r="EJ53719"/>
      <c r="EK53719"/>
    </row>
    <row r="53720" spans="1:141" s="116" customFormat="1">
      <c r="A53720" s="136"/>
      <c r="CM53720" s="111"/>
      <c r="CQ53720" s="111"/>
      <c r="EF53720"/>
      <c r="EG53720"/>
      <c r="EH53720"/>
      <c r="EI53720"/>
      <c r="EJ53720"/>
      <c r="EK53720"/>
    </row>
    <row r="53721" spans="1:141" s="116" customFormat="1">
      <c r="A53721" s="136"/>
      <c r="CM53721" s="111"/>
      <c r="CQ53721" s="111"/>
      <c r="EF53721"/>
      <c r="EG53721"/>
      <c r="EH53721"/>
      <c r="EI53721"/>
      <c r="EJ53721"/>
      <c r="EK53721"/>
    </row>
    <row r="53722" spans="1:141" s="116" customFormat="1">
      <c r="A53722" s="136"/>
      <c r="CM53722" s="111"/>
      <c r="CQ53722" s="111"/>
      <c r="EF53722"/>
      <c r="EG53722"/>
      <c r="EH53722"/>
      <c r="EI53722"/>
      <c r="EJ53722"/>
      <c r="EK53722"/>
    </row>
    <row r="53723" spans="1:141" s="116" customFormat="1">
      <c r="A53723" s="136"/>
      <c r="CM53723" s="111"/>
      <c r="CQ53723" s="111"/>
      <c r="EF53723"/>
      <c r="EG53723"/>
      <c r="EH53723"/>
      <c r="EI53723"/>
      <c r="EJ53723"/>
      <c r="EK53723"/>
    </row>
    <row r="53724" spans="1:141" s="116" customFormat="1">
      <c r="A53724" s="136"/>
      <c r="CM53724" s="111"/>
      <c r="CQ53724" s="111"/>
      <c r="EF53724"/>
      <c r="EG53724"/>
      <c r="EH53724"/>
      <c r="EI53724"/>
      <c r="EJ53724"/>
      <c r="EK53724"/>
    </row>
    <row r="53725" spans="1:141" s="116" customFormat="1">
      <c r="A53725" s="136"/>
      <c r="CM53725" s="111"/>
      <c r="CQ53725" s="111"/>
      <c r="EF53725"/>
      <c r="EG53725"/>
      <c r="EH53725"/>
      <c r="EI53725"/>
      <c r="EJ53725"/>
      <c r="EK53725"/>
    </row>
    <row r="53726" spans="1:141" s="116" customFormat="1">
      <c r="A53726" s="136"/>
      <c r="CM53726" s="111"/>
      <c r="CQ53726" s="111"/>
      <c r="EF53726"/>
      <c r="EG53726"/>
      <c r="EH53726"/>
      <c r="EI53726"/>
      <c r="EJ53726"/>
      <c r="EK53726"/>
    </row>
    <row r="53727" spans="1:141" s="116" customFormat="1">
      <c r="A53727" s="136"/>
      <c r="CM53727" s="111"/>
      <c r="CQ53727" s="111"/>
      <c r="EF53727"/>
      <c r="EG53727"/>
      <c r="EH53727"/>
      <c r="EI53727"/>
      <c r="EJ53727"/>
      <c r="EK53727"/>
    </row>
    <row r="53728" spans="1:141" s="116" customFormat="1">
      <c r="A53728" s="136"/>
      <c r="CM53728" s="111"/>
      <c r="CQ53728" s="111"/>
      <c r="EF53728"/>
      <c r="EG53728"/>
      <c r="EH53728"/>
      <c r="EI53728"/>
      <c r="EJ53728"/>
      <c r="EK53728"/>
    </row>
    <row r="53729" spans="1:141" s="116" customFormat="1">
      <c r="A53729" s="136"/>
      <c r="CM53729" s="111"/>
      <c r="CQ53729" s="111"/>
      <c r="EF53729"/>
      <c r="EG53729"/>
      <c r="EH53729"/>
      <c r="EI53729"/>
      <c r="EJ53729"/>
      <c r="EK53729"/>
    </row>
    <row r="53730" spans="1:141" s="116" customFormat="1">
      <c r="A53730" s="136"/>
      <c r="CM53730" s="111"/>
      <c r="CQ53730" s="111"/>
      <c r="EF53730"/>
      <c r="EG53730"/>
      <c r="EH53730"/>
      <c r="EI53730"/>
      <c r="EJ53730"/>
      <c r="EK53730"/>
    </row>
    <row r="53731" spans="1:141" s="116" customFormat="1">
      <c r="A53731" s="136"/>
      <c r="CM53731" s="111"/>
      <c r="CQ53731" s="111"/>
      <c r="EF53731"/>
      <c r="EG53731"/>
      <c r="EH53731"/>
      <c r="EI53731"/>
      <c r="EJ53731"/>
      <c r="EK53731"/>
    </row>
    <row r="53732" spans="1:141" s="116" customFormat="1">
      <c r="A53732" s="136"/>
      <c r="CM53732" s="111"/>
      <c r="CQ53732" s="111"/>
      <c r="EF53732"/>
      <c r="EG53732"/>
      <c r="EH53732"/>
      <c r="EI53732"/>
      <c r="EJ53732"/>
      <c r="EK53732"/>
    </row>
    <row r="53733" spans="1:141" s="116" customFormat="1">
      <c r="A53733" s="136"/>
      <c r="CM53733" s="111"/>
      <c r="CQ53733" s="111"/>
      <c r="EF53733"/>
      <c r="EG53733"/>
      <c r="EH53733"/>
      <c r="EI53733"/>
      <c r="EJ53733"/>
      <c r="EK53733"/>
    </row>
    <row r="53734" spans="1:141" s="116" customFormat="1">
      <c r="A53734" s="136"/>
      <c r="CM53734" s="111"/>
      <c r="CQ53734" s="111"/>
      <c r="EF53734"/>
      <c r="EG53734"/>
      <c r="EH53734"/>
      <c r="EI53734"/>
      <c r="EJ53734"/>
      <c r="EK53734"/>
    </row>
    <row r="53735" spans="1:141" s="116" customFormat="1">
      <c r="A53735" s="136"/>
      <c r="CM53735" s="111"/>
      <c r="CQ53735" s="111"/>
      <c r="EF53735"/>
      <c r="EG53735"/>
      <c r="EH53735"/>
      <c r="EI53735"/>
      <c r="EJ53735"/>
      <c r="EK53735"/>
    </row>
    <row r="53736" spans="1:141" s="116" customFormat="1">
      <c r="A53736" s="136"/>
      <c r="CM53736" s="111"/>
      <c r="CQ53736" s="111"/>
      <c r="EF53736"/>
      <c r="EG53736"/>
      <c r="EH53736"/>
      <c r="EI53736"/>
      <c r="EJ53736"/>
      <c r="EK53736"/>
    </row>
    <row r="53737" spans="1:141" s="116" customFormat="1">
      <c r="A53737" s="136"/>
      <c r="CM53737" s="111"/>
      <c r="CQ53737" s="111"/>
      <c r="EF53737"/>
      <c r="EG53737"/>
      <c r="EH53737"/>
      <c r="EI53737"/>
      <c r="EJ53737"/>
      <c r="EK53737"/>
    </row>
    <row r="53738" spans="1:141" s="116" customFormat="1">
      <c r="A53738" s="136"/>
      <c r="CM53738" s="111"/>
      <c r="CQ53738" s="111"/>
      <c r="EF53738"/>
      <c r="EG53738"/>
      <c r="EH53738"/>
      <c r="EI53738"/>
      <c r="EJ53738"/>
      <c r="EK53738"/>
    </row>
    <row r="53739" spans="1:141" s="116" customFormat="1">
      <c r="A53739" s="136"/>
      <c r="CM53739" s="111"/>
      <c r="CQ53739" s="111"/>
      <c r="EF53739"/>
      <c r="EG53739"/>
      <c r="EH53739"/>
      <c r="EI53739"/>
      <c r="EJ53739"/>
      <c r="EK53739"/>
    </row>
    <row r="53740" spans="1:141" s="116" customFormat="1">
      <c r="A53740" s="136"/>
      <c r="CM53740" s="111"/>
      <c r="CQ53740" s="111"/>
      <c r="EF53740"/>
      <c r="EG53740"/>
      <c r="EH53740"/>
      <c r="EI53740"/>
      <c r="EJ53740"/>
      <c r="EK53740"/>
    </row>
    <row r="53741" spans="1:141" s="116" customFormat="1">
      <c r="A53741" s="136"/>
      <c r="CM53741" s="111"/>
      <c r="CQ53741" s="111"/>
      <c r="EF53741"/>
      <c r="EG53741"/>
      <c r="EH53741"/>
      <c r="EI53741"/>
      <c r="EJ53741"/>
      <c r="EK53741"/>
    </row>
    <row r="53742" spans="1:141" s="116" customFormat="1">
      <c r="A53742" s="136"/>
      <c r="CM53742" s="111"/>
      <c r="CQ53742" s="111"/>
      <c r="EF53742"/>
      <c r="EG53742"/>
      <c r="EH53742"/>
      <c r="EI53742"/>
      <c r="EJ53742"/>
      <c r="EK53742"/>
    </row>
    <row r="53743" spans="1:141" s="116" customFormat="1">
      <c r="A53743" s="136"/>
      <c r="CM53743" s="111"/>
      <c r="CQ53743" s="111"/>
      <c r="EF53743"/>
      <c r="EG53743"/>
      <c r="EH53743"/>
      <c r="EI53743"/>
      <c r="EJ53743"/>
      <c r="EK53743"/>
    </row>
    <row r="53744" spans="1:141" s="116" customFormat="1">
      <c r="A53744" s="136"/>
      <c r="CM53744" s="111"/>
      <c r="CQ53744" s="111"/>
      <c r="EF53744"/>
      <c r="EG53744"/>
      <c r="EH53744"/>
      <c r="EI53744"/>
      <c r="EJ53744"/>
      <c r="EK53744"/>
    </row>
    <row r="53745" spans="1:141" s="116" customFormat="1">
      <c r="A53745" s="136"/>
      <c r="CM53745" s="111"/>
      <c r="CQ53745" s="111"/>
      <c r="EF53745"/>
      <c r="EG53745"/>
      <c r="EH53745"/>
      <c r="EI53745"/>
      <c r="EJ53745"/>
      <c r="EK53745"/>
    </row>
    <row r="53746" spans="1:141" s="116" customFormat="1">
      <c r="A53746" s="136"/>
      <c r="CM53746" s="111"/>
      <c r="CQ53746" s="111"/>
      <c r="EF53746"/>
      <c r="EG53746"/>
      <c r="EH53746"/>
      <c r="EI53746"/>
      <c r="EJ53746"/>
      <c r="EK53746"/>
    </row>
    <row r="53747" spans="1:141" s="116" customFormat="1">
      <c r="A53747" s="136"/>
      <c r="CM53747" s="111"/>
      <c r="CQ53747" s="111"/>
      <c r="EF53747"/>
      <c r="EG53747"/>
      <c r="EH53747"/>
      <c r="EI53747"/>
      <c r="EJ53747"/>
      <c r="EK53747"/>
    </row>
    <row r="53748" spans="1:141" s="116" customFormat="1">
      <c r="A53748" s="136"/>
      <c r="CM53748" s="111"/>
      <c r="CQ53748" s="111"/>
      <c r="EF53748"/>
      <c r="EG53748"/>
      <c r="EH53748"/>
      <c r="EI53748"/>
      <c r="EJ53748"/>
      <c r="EK53748"/>
    </row>
    <row r="53749" spans="1:141" s="116" customFormat="1">
      <c r="A53749" s="136"/>
      <c r="CM53749" s="111"/>
      <c r="CQ53749" s="111"/>
      <c r="EF53749"/>
      <c r="EG53749"/>
      <c r="EH53749"/>
      <c r="EI53749"/>
      <c r="EJ53749"/>
      <c r="EK53749"/>
    </row>
    <row r="53750" spans="1:141" s="116" customFormat="1">
      <c r="A53750" s="136"/>
      <c r="CM53750" s="111"/>
      <c r="CQ53750" s="111"/>
      <c r="EF53750"/>
      <c r="EG53750"/>
      <c r="EH53750"/>
      <c r="EI53750"/>
      <c r="EJ53750"/>
      <c r="EK53750"/>
    </row>
    <row r="53751" spans="1:141" s="116" customFormat="1">
      <c r="A53751" s="136"/>
      <c r="CM53751" s="111"/>
      <c r="CQ53751" s="111"/>
      <c r="EF53751"/>
      <c r="EG53751"/>
      <c r="EH53751"/>
      <c r="EI53751"/>
      <c r="EJ53751"/>
      <c r="EK53751"/>
    </row>
    <row r="53752" spans="1:141" s="116" customFormat="1">
      <c r="A53752" s="136"/>
      <c r="CM53752" s="111"/>
      <c r="CQ53752" s="111"/>
      <c r="EF53752"/>
      <c r="EG53752"/>
      <c r="EH53752"/>
      <c r="EI53752"/>
      <c r="EJ53752"/>
      <c r="EK53752"/>
    </row>
    <row r="53753" spans="1:141" s="116" customFormat="1">
      <c r="A53753" s="136"/>
      <c r="CM53753" s="111"/>
      <c r="CQ53753" s="111"/>
      <c r="EF53753"/>
      <c r="EG53753"/>
      <c r="EH53753"/>
      <c r="EI53753"/>
      <c r="EJ53753"/>
      <c r="EK53753"/>
    </row>
    <row r="53754" spans="1:141" s="116" customFormat="1">
      <c r="A53754" s="136"/>
      <c r="CM53754" s="111"/>
      <c r="CQ53754" s="111"/>
      <c r="EF53754"/>
      <c r="EG53754"/>
      <c r="EH53754"/>
      <c r="EI53754"/>
      <c r="EJ53754"/>
      <c r="EK53754"/>
    </row>
    <row r="53755" spans="1:141" s="116" customFormat="1">
      <c r="A53755" s="136"/>
      <c r="CM53755" s="111"/>
      <c r="CQ53755" s="111"/>
      <c r="EF53755"/>
      <c r="EG53755"/>
      <c r="EH53755"/>
      <c r="EI53755"/>
      <c r="EJ53755"/>
      <c r="EK53755"/>
    </row>
    <row r="53756" spans="1:141" s="116" customFormat="1">
      <c r="A53756" s="136"/>
      <c r="CM53756" s="111"/>
      <c r="CQ53756" s="111"/>
      <c r="EF53756"/>
      <c r="EG53756"/>
      <c r="EH53756"/>
      <c r="EI53756"/>
      <c r="EJ53756"/>
      <c r="EK53756"/>
    </row>
    <row r="53757" spans="1:141" s="116" customFormat="1">
      <c r="A53757" s="136"/>
      <c r="CM53757" s="111"/>
      <c r="CQ53757" s="111"/>
      <c r="EF53757"/>
      <c r="EG53757"/>
      <c r="EH53757"/>
      <c r="EI53757"/>
      <c r="EJ53757"/>
      <c r="EK53757"/>
    </row>
    <row r="53758" spans="1:141" s="116" customFormat="1">
      <c r="A53758" s="136"/>
      <c r="CM53758" s="111"/>
      <c r="CQ53758" s="111"/>
      <c r="EF53758"/>
      <c r="EG53758"/>
      <c r="EH53758"/>
      <c r="EI53758"/>
      <c r="EJ53758"/>
      <c r="EK53758"/>
    </row>
    <row r="53759" spans="1:141" s="116" customFormat="1">
      <c r="A53759" s="136"/>
      <c r="CM53759" s="111"/>
      <c r="CQ53759" s="111"/>
      <c r="EF53759"/>
      <c r="EG53759"/>
      <c r="EH53759"/>
      <c r="EI53759"/>
      <c r="EJ53759"/>
      <c r="EK53759"/>
    </row>
    <row r="53760" spans="1:141" s="116" customFormat="1">
      <c r="A53760" s="136"/>
      <c r="CM53760" s="111"/>
      <c r="CQ53760" s="111"/>
      <c r="EF53760"/>
      <c r="EG53760"/>
      <c r="EH53760"/>
      <c r="EI53760"/>
      <c r="EJ53760"/>
      <c r="EK53760"/>
    </row>
    <row r="53761" spans="1:141" s="116" customFormat="1">
      <c r="A53761" s="136"/>
      <c r="CM53761" s="111"/>
      <c r="CQ53761" s="111"/>
      <c r="EF53761"/>
      <c r="EG53761"/>
      <c r="EH53761"/>
      <c r="EI53761"/>
      <c r="EJ53761"/>
      <c r="EK53761"/>
    </row>
    <row r="53762" spans="1:141" s="116" customFormat="1">
      <c r="A53762" s="136"/>
      <c r="CM53762" s="111"/>
      <c r="CQ53762" s="111"/>
      <c r="EF53762"/>
      <c r="EG53762"/>
      <c r="EH53762"/>
      <c r="EI53762"/>
      <c r="EJ53762"/>
      <c r="EK53762"/>
    </row>
    <row r="53763" spans="1:141" s="116" customFormat="1">
      <c r="A53763" s="136"/>
      <c r="CM53763" s="111"/>
      <c r="CQ53763" s="111"/>
      <c r="EF53763"/>
      <c r="EG53763"/>
      <c r="EH53763"/>
      <c r="EI53763"/>
      <c r="EJ53763"/>
      <c r="EK53763"/>
    </row>
    <row r="53764" spans="1:141" s="116" customFormat="1">
      <c r="A53764" s="136"/>
      <c r="CM53764" s="111"/>
      <c r="CQ53764" s="111"/>
      <c r="EF53764"/>
      <c r="EG53764"/>
      <c r="EH53764"/>
      <c r="EI53764"/>
      <c r="EJ53764"/>
      <c r="EK53764"/>
    </row>
    <row r="53765" spans="1:141" s="116" customFormat="1">
      <c r="A53765" s="136"/>
      <c r="CM53765" s="111"/>
      <c r="CQ53765" s="111"/>
      <c r="EF53765"/>
      <c r="EG53765"/>
      <c r="EH53765"/>
      <c r="EI53765"/>
      <c r="EJ53765"/>
      <c r="EK53765"/>
    </row>
    <row r="53766" spans="1:141" s="116" customFormat="1">
      <c r="A53766" s="136"/>
      <c r="CM53766" s="111"/>
      <c r="CQ53766" s="111"/>
      <c r="EF53766"/>
      <c r="EG53766"/>
      <c r="EH53766"/>
      <c r="EI53766"/>
      <c r="EJ53766"/>
      <c r="EK53766"/>
    </row>
    <row r="53767" spans="1:141" s="116" customFormat="1">
      <c r="A53767" s="136"/>
      <c r="CM53767" s="111"/>
      <c r="CQ53767" s="111"/>
      <c r="EF53767"/>
      <c r="EG53767"/>
      <c r="EH53767"/>
      <c r="EI53767"/>
      <c r="EJ53767"/>
      <c r="EK53767"/>
    </row>
    <row r="53768" spans="1:141" s="116" customFormat="1">
      <c r="A53768" s="136"/>
      <c r="CM53768" s="111"/>
      <c r="CQ53768" s="111"/>
      <c r="EF53768"/>
      <c r="EG53768"/>
      <c r="EH53768"/>
      <c r="EI53768"/>
      <c r="EJ53768"/>
      <c r="EK53768"/>
    </row>
    <row r="53769" spans="1:141" s="116" customFormat="1">
      <c r="A53769" s="136"/>
      <c r="CM53769" s="111"/>
      <c r="CQ53769" s="111"/>
      <c r="EF53769"/>
      <c r="EG53769"/>
      <c r="EH53769"/>
      <c r="EI53769"/>
      <c r="EJ53769"/>
      <c r="EK53769"/>
    </row>
    <row r="53770" spans="1:141" s="116" customFormat="1">
      <c r="A53770" s="136"/>
      <c r="CM53770" s="111"/>
      <c r="CQ53770" s="111"/>
      <c r="EF53770"/>
      <c r="EG53770"/>
      <c r="EH53770"/>
      <c r="EI53770"/>
      <c r="EJ53770"/>
      <c r="EK53770"/>
    </row>
    <row r="53771" spans="1:141" s="116" customFormat="1">
      <c r="A53771" s="136"/>
      <c r="CM53771" s="111"/>
      <c r="CQ53771" s="111"/>
      <c r="EF53771"/>
      <c r="EG53771"/>
      <c r="EH53771"/>
      <c r="EI53771"/>
      <c r="EJ53771"/>
      <c r="EK53771"/>
    </row>
    <row r="53772" spans="1:141" s="116" customFormat="1">
      <c r="A53772" s="136"/>
      <c r="CM53772" s="111"/>
      <c r="CQ53772" s="111"/>
      <c r="EF53772"/>
      <c r="EG53772"/>
      <c r="EH53772"/>
      <c r="EI53772"/>
      <c r="EJ53772"/>
      <c r="EK53772"/>
    </row>
    <row r="53773" spans="1:141" s="116" customFormat="1">
      <c r="A53773" s="136"/>
      <c r="CM53773" s="111"/>
      <c r="CQ53773" s="111"/>
      <c r="EF53773"/>
      <c r="EG53773"/>
      <c r="EH53773"/>
      <c r="EI53773"/>
      <c r="EJ53773"/>
      <c r="EK53773"/>
    </row>
    <row r="53774" spans="1:141" s="116" customFormat="1">
      <c r="A53774" s="136"/>
      <c r="CM53774" s="111"/>
      <c r="CQ53774" s="111"/>
      <c r="EF53774"/>
      <c r="EG53774"/>
      <c r="EH53774"/>
      <c r="EI53774"/>
      <c r="EJ53774"/>
      <c r="EK53774"/>
    </row>
    <row r="53775" spans="1:141" s="116" customFormat="1">
      <c r="A53775" s="136"/>
      <c r="CM53775" s="111"/>
      <c r="CQ53775" s="111"/>
      <c r="EF53775"/>
      <c r="EG53775"/>
      <c r="EH53775"/>
      <c r="EI53775"/>
      <c r="EJ53775"/>
      <c r="EK53775"/>
    </row>
    <row r="53776" spans="1:141" s="116" customFormat="1">
      <c r="A53776" s="136"/>
      <c r="CM53776" s="111"/>
      <c r="CQ53776" s="111"/>
      <c r="EF53776"/>
      <c r="EG53776"/>
      <c r="EH53776"/>
      <c r="EI53776"/>
      <c r="EJ53776"/>
      <c r="EK53776"/>
    </row>
    <row r="53777" spans="1:141" s="116" customFormat="1">
      <c r="A53777" s="136"/>
      <c r="CM53777" s="111"/>
      <c r="CQ53777" s="111"/>
      <c r="EF53777"/>
      <c r="EG53777"/>
      <c r="EH53777"/>
      <c r="EI53777"/>
      <c r="EJ53777"/>
      <c r="EK53777"/>
    </row>
    <row r="53778" spans="1:141" s="116" customFormat="1">
      <c r="A53778" s="136"/>
      <c r="CM53778" s="111"/>
      <c r="CQ53778" s="111"/>
      <c r="EF53778"/>
      <c r="EG53778"/>
      <c r="EH53778"/>
      <c r="EI53778"/>
      <c r="EJ53778"/>
      <c r="EK53778"/>
    </row>
    <row r="53779" spans="1:141" s="116" customFormat="1">
      <c r="A53779" s="136"/>
      <c r="CM53779" s="111"/>
      <c r="CQ53779" s="111"/>
      <c r="EF53779"/>
      <c r="EG53779"/>
      <c r="EH53779"/>
      <c r="EI53779"/>
      <c r="EJ53779"/>
      <c r="EK53779"/>
    </row>
    <row r="53780" spans="1:141" s="116" customFormat="1">
      <c r="A53780" s="136"/>
      <c r="CM53780" s="111"/>
      <c r="CQ53780" s="111"/>
      <c r="EF53780"/>
      <c r="EG53780"/>
      <c r="EH53780"/>
      <c r="EI53780"/>
      <c r="EJ53780"/>
      <c r="EK53780"/>
    </row>
    <row r="53781" spans="1:141" s="116" customFormat="1">
      <c r="A53781" s="136"/>
      <c r="CM53781" s="111"/>
      <c r="CQ53781" s="111"/>
      <c r="EF53781"/>
      <c r="EG53781"/>
      <c r="EH53781"/>
      <c r="EI53781"/>
      <c r="EJ53781"/>
      <c r="EK53781"/>
    </row>
    <row r="53782" spans="1:141" s="116" customFormat="1">
      <c r="A53782" s="136"/>
      <c r="CM53782" s="111"/>
      <c r="CQ53782" s="111"/>
      <c r="EF53782"/>
      <c r="EG53782"/>
      <c r="EH53782"/>
      <c r="EI53782"/>
      <c r="EJ53782"/>
      <c r="EK53782"/>
    </row>
    <row r="53783" spans="1:141" s="116" customFormat="1">
      <c r="A53783" s="136"/>
      <c r="CM53783" s="111"/>
      <c r="CQ53783" s="111"/>
      <c r="EF53783"/>
      <c r="EG53783"/>
      <c r="EH53783"/>
      <c r="EI53783"/>
      <c r="EJ53783"/>
      <c r="EK53783"/>
    </row>
    <row r="53784" spans="1:141" s="116" customFormat="1">
      <c r="A53784" s="136"/>
      <c r="CM53784" s="111"/>
      <c r="CQ53784" s="111"/>
      <c r="EF53784"/>
      <c r="EG53784"/>
      <c r="EH53784"/>
      <c r="EI53784"/>
      <c r="EJ53784"/>
      <c r="EK53784"/>
    </row>
    <row r="53785" spans="1:141" s="116" customFormat="1">
      <c r="A53785" s="136"/>
      <c r="CM53785" s="111"/>
      <c r="CQ53785" s="111"/>
      <c r="EF53785"/>
      <c r="EG53785"/>
      <c r="EH53785"/>
      <c r="EI53785"/>
      <c r="EJ53785"/>
      <c r="EK53785"/>
    </row>
    <row r="53786" spans="1:141" s="116" customFormat="1">
      <c r="A53786" s="136"/>
      <c r="CM53786" s="111"/>
      <c r="CQ53786" s="111"/>
      <c r="EF53786"/>
      <c r="EG53786"/>
      <c r="EH53786"/>
      <c r="EI53786"/>
      <c r="EJ53786"/>
      <c r="EK53786"/>
    </row>
    <row r="53787" spans="1:141" s="116" customFormat="1">
      <c r="A53787" s="136"/>
      <c r="CM53787" s="111"/>
      <c r="CQ53787" s="111"/>
      <c r="EF53787"/>
      <c r="EG53787"/>
      <c r="EH53787"/>
      <c r="EI53787"/>
      <c r="EJ53787"/>
      <c r="EK53787"/>
    </row>
    <row r="53788" spans="1:141" s="116" customFormat="1">
      <c r="A53788" s="136"/>
      <c r="CM53788" s="111"/>
      <c r="CQ53788" s="111"/>
      <c r="EF53788"/>
      <c r="EG53788"/>
      <c r="EH53788"/>
      <c r="EI53788"/>
      <c r="EJ53788"/>
      <c r="EK53788"/>
    </row>
    <row r="53789" spans="1:141" s="116" customFormat="1">
      <c r="A53789" s="136"/>
      <c r="CM53789" s="111"/>
      <c r="CQ53789" s="111"/>
      <c r="EF53789"/>
      <c r="EG53789"/>
      <c r="EH53789"/>
      <c r="EI53789"/>
      <c r="EJ53789"/>
      <c r="EK53789"/>
    </row>
    <row r="53790" spans="1:141" s="116" customFormat="1">
      <c r="A53790" s="136"/>
      <c r="CM53790" s="111"/>
      <c r="CQ53790" s="111"/>
      <c r="EF53790"/>
      <c r="EG53790"/>
      <c r="EH53790"/>
      <c r="EI53790"/>
      <c r="EJ53790"/>
      <c r="EK53790"/>
    </row>
    <row r="53791" spans="1:141" s="116" customFormat="1">
      <c r="A53791" s="136"/>
      <c r="CM53791" s="111"/>
      <c r="CQ53791" s="111"/>
      <c r="EF53791"/>
      <c r="EG53791"/>
      <c r="EH53791"/>
      <c r="EI53791"/>
      <c r="EJ53791"/>
      <c r="EK53791"/>
    </row>
    <row r="53792" spans="1:141" s="116" customFormat="1">
      <c r="A53792" s="136"/>
      <c r="CM53792" s="111"/>
      <c r="CQ53792" s="111"/>
      <c r="EF53792"/>
      <c r="EG53792"/>
      <c r="EH53792"/>
      <c r="EI53792"/>
      <c r="EJ53792"/>
      <c r="EK53792"/>
    </row>
    <row r="53793" spans="1:141" s="116" customFormat="1">
      <c r="A53793" s="136"/>
      <c r="CM53793" s="111"/>
      <c r="CQ53793" s="111"/>
      <c r="EF53793"/>
      <c r="EG53793"/>
      <c r="EH53793"/>
      <c r="EI53793"/>
      <c r="EJ53793"/>
      <c r="EK53793"/>
    </row>
    <row r="53794" spans="1:141" s="116" customFormat="1">
      <c r="A53794" s="136"/>
      <c r="CM53794" s="111"/>
      <c r="CQ53794" s="111"/>
      <c r="EF53794"/>
      <c r="EG53794"/>
      <c r="EH53794"/>
      <c r="EI53794"/>
      <c r="EJ53794"/>
      <c r="EK53794"/>
    </row>
    <row r="53795" spans="1:141" s="116" customFormat="1">
      <c r="A53795" s="136"/>
      <c r="CM53795" s="111"/>
      <c r="CQ53795" s="111"/>
      <c r="EF53795"/>
      <c r="EG53795"/>
      <c r="EH53795"/>
      <c r="EI53795"/>
      <c r="EJ53795"/>
      <c r="EK53795"/>
    </row>
    <row r="53796" spans="1:141" s="116" customFormat="1">
      <c r="A53796" s="136"/>
      <c r="CM53796" s="111"/>
      <c r="CQ53796" s="111"/>
      <c r="EF53796"/>
      <c r="EG53796"/>
      <c r="EH53796"/>
      <c r="EI53796"/>
      <c r="EJ53796"/>
      <c r="EK53796"/>
    </row>
    <row r="53797" spans="1:141" s="116" customFormat="1">
      <c r="A53797" s="136"/>
      <c r="CM53797" s="111"/>
      <c r="CQ53797" s="111"/>
      <c r="EF53797"/>
      <c r="EG53797"/>
      <c r="EH53797"/>
      <c r="EI53797"/>
      <c r="EJ53797"/>
      <c r="EK53797"/>
    </row>
    <row r="53798" spans="1:141" s="116" customFormat="1">
      <c r="A53798" s="136"/>
      <c r="CM53798" s="111"/>
      <c r="CQ53798" s="111"/>
      <c r="EF53798"/>
      <c r="EG53798"/>
      <c r="EH53798"/>
      <c r="EI53798"/>
      <c r="EJ53798"/>
      <c r="EK53798"/>
    </row>
    <row r="53799" spans="1:141" s="116" customFormat="1">
      <c r="A53799" s="136"/>
      <c r="CM53799" s="111"/>
      <c r="CQ53799" s="111"/>
      <c r="EF53799"/>
      <c r="EG53799"/>
      <c r="EH53799"/>
      <c r="EI53799"/>
      <c r="EJ53799"/>
      <c r="EK53799"/>
    </row>
    <row r="53800" spans="1:141" s="116" customFormat="1">
      <c r="A53800" s="136"/>
      <c r="CM53800" s="111"/>
      <c r="CQ53800" s="111"/>
      <c r="EF53800"/>
      <c r="EG53800"/>
      <c r="EH53800"/>
      <c r="EI53800"/>
      <c r="EJ53800"/>
      <c r="EK53800"/>
    </row>
    <row r="53801" spans="1:141" s="116" customFormat="1">
      <c r="A53801" s="136"/>
      <c r="CM53801" s="111"/>
      <c r="CQ53801" s="111"/>
      <c r="EF53801"/>
      <c r="EG53801"/>
      <c r="EH53801"/>
      <c r="EI53801"/>
      <c r="EJ53801"/>
      <c r="EK53801"/>
    </row>
    <row r="53802" spans="1:141" s="116" customFormat="1">
      <c r="A53802" s="136"/>
      <c r="CM53802" s="111"/>
      <c r="CQ53802" s="111"/>
      <c r="EF53802"/>
      <c r="EG53802"/>
      <c r="EH53802"/>
      <c r="EI53802"/>
      <c r="EJ53802"/>
      <c r="EK53802"/>
    </row>
    <row r="53803" spans="1:141" s="116" customFormat="1">
      <c r="A53803" s="136"/>
      <c r="CM53803" s="111"/>
      <c r="CQ53803" s="111"/>
      <c r="EF53803"/>
      <c r="EG53803"/>
      <c r="EH53803"/>
      <c r="EI53803"/>
      <c r="EJ53803"/>
      <c r="EK53803"/>
    </row>
    <row r="53804" spans="1:141" s="116" customFormat="1">
      <c r="A53804" s="136"/>
      <c r="CM53804" s="111"/>
      <c r="CQ53804" s="111"/>
      <c r="EF53804"/>
      <c r="EG53804"/>
      <c r="EH53804"/>
      <c r="EI53804"/>
      <c r="EJ53804"/>
      <c r="EK53804"/>
    </row>
    <row r="53805" spans="1:141" s="116" customFormat="1">
      <c r="A53805" s="136"/>
      <c r="CM53805" s="111"/>
      <c r="CQ53805" s="111"/>
      <c r="EF53805"/>
      <c r="EG53805"/>
      <c r="EH53805"/>
      <c r="EI53805"/>
      <c r="EJ53805"/>
      <c r="EK53805"/>
    </row>
    <row r="53806" spans="1:141" s="116" customFormat="1">
      <c r="A53806" s="136"/>
      <c r="CM53806" s="111"/>
      <c r="CQ53806" s="111"/>
      <c r="EF53806"/>
      <c r="EG53806"/>
      <c r="EH53806"/>
      <c r="EI53806"/>
      <c r="EJ53806"/>
      <c r="EK53806"/>
    </row>
    <row r="53807" spans="1:141" s="116" customFormat="1">
      <c r="A53807" s="136"/>
      <c r="CM53807" s="111"/>
      <c r="CQ53807" s="111"/>
      <c r="EF53807"/>
      <c r="EG53807"/>
      <c r="EH53807"/>
      <c r="EI53807"/>
      <c r="EJ53807"/>
      <c r="EK53807"/>
    </row>
    <row r="53808" spans="1:141" s="116" customFormat="1">
      <c r="A53808" s="136"/>
      <c r="CM53808" s="111"/>
      <c r="CQ53808" s="111"/>
      <c r="EF53808"/>
      <c r="EG53808"/>
      <c r="EH53808"/>
      <c r="EI53808"/>
      <c r="EJ53808"/>
      <c r="EK53808"/>
    </row>
    <row r="53809" spans="1:141" s="116" customFormat="1">
      <c r="A53809" s="136"/>
      <c r="CM53809" s="111"/>
      <c r="CQ53809" s="111"/>
      <c r="EF53809"/>
      <c r="EG53809"/>
      <c r="EH53809"/>
      <c r="EI53809"/>
      <c r="EJ53809"/>
      <c r="EK53809"/>
    </row>
    <row r="53810" spans="1:141" s="116" customFormat="1">
      <c r="A53810" s="136"/>
      <c r="CM53810" s="111"/>
      <c r="CQ53810" s="111"/>
      <c r="EF53810"/>
      <c r="EG53810"/>
      <c r="EH53810"/>
      <c r="EI53810"/>
      <c r="EJ53810"/>
      <c r="EK53810"/>
    </row>
    <row r="53811" spans="1:141" s="116" customFormat="1">
      <c r="A53811" s="136"/>
      <c r="CM53811" s="111"/>
      <c r="CQ53811" s="111"/>
      <c r="EF53811"/>
      <c r="EG53811"/>
      <c r="EH53811"/>
      <c r="EI53811"/>
      <c r="EJ53811"/>
      <c r="EK53811"/>
    </row>
    <row r="53812" spans="1:141" s="116" customFormat="1">
      <c r="A53812" s="136"/>
      <c r="CM53812" s="111"/>
      <c r="CQ53812" s="111"/>
      <c r="EF53812"/>
      <c r="EG53812"/>
      <c r="EH53812"/>
      <c r="EI53812"/>
      <c r="EJ53812"/>
      <c r="EK53812"/>
    </row>
    <row r="53813" spans="1:141" s="116" customFormat="1">
      <c r="A53813" s="136"/>
      <c r="CM53813" s="111"/>
      <c r="CQ53813" s="111"/>
      <c r="EF53813"/>
      <c r="EG53813"/>
      <c r="EH53813"/>
      <c r="EI53813"/>
      <c r="EJ53813"/>
      <c r="EK53813"/>
    </row>
    <row r="53814" spans="1:141" s="116" customFormat="1">
      <c r="A53814" s="136"/>
      <c r="CM53814" s="111"/>
      <c r="CQ53814" s="111"/>
      <c r="EF53814"/>
      <c r="EG53814"/>
      <c r="EH53814"/>
      <c r="EI53814"/>
      <c r="EJ53814"/>
      <c r="EK53814"/>
    </row>
    <row r="53815" spans="1:141" s="116" customFormat="1">
      <c r="A53815" s="136"/>
      <c r="CM53815" s="111"/>
      <c r="CQ53815" s="111"/>
      <c r="EF53815"/>
      <c r="EG53815"/>
      <c r="EH53815"/>
      <c r="EI53815"/>
      <c r="EJ53815"/>
      <c r="EK53815"/>
    </row>
    <row r="53816" spans="1:141" s="116" customFormat="1">
      <c r="A53816" s="136"/>
      <c r="CM53816" s="111"/>
      <c r="CQ53816" s="111"/>
      <c r="EF53816"/>
      <c r="EG53816"/>
      <c r="EH53816"/>
      <c r="EI53816"/>
      <c r="EJ53816"/>
      <c r="EK53816"/>
    </row>
    <row r="53817" spans="1:141" s="116" customFormat="1">
      <c r="A53817" s="136"/>
      <c r="CM53817" s="111"/>
      <c r="CQ53817" s="111"/>
      <c r="EF53817"/>
      <c r="EG53817"/>
      <c r="EH53817"/>
      <c r="EI53817"/>
      <c r="EJ53817"/>
      <c r="EK53817"/>
    </row>
    <row r="53818" spans="1:141" s="116" customFormat="1">
      <c r="A53818" s="136"/>
      <c r="CM53818" s="111"/>
      <c r="CQ53818" s="111"/>
      <c r="EF53818"/>
      <c r="EG53818"/>
      <c r="EH53818"/>
      <c r="EI53818"/>
      <c r="EJ53818"/>
      <c r="EK53818"/>
    </row>
    <row r="53819" spans="1:141" s="116" customFormat="1">
      <c r="A53819" s="136"/>
      <c r="CM53819" s="111"/>
      <c r="CQ53819" s="111"/>
      <c r="EF53819"/>
      <c r="EG53819"/>
      <c r="EH53819"/>
      <c r="EI53819"/>
      <c r="EJ53819"/>
      <c r="EK53819"/>
    </row>
    <row r="53820" spans="1:141" s="116" customFormat="1">
      <c r="A53820" s="136"/>
      <c r="CM53820" s="111"/>
      <c r="CQ53820" s="111"/>
      <c r="EF53820"/>
      <c r="EG53820"/>
      <c r="EH53820"/>
      <c r="EI53820"/>
      <c r="EJ53820"/>
      <c r="EK53820"/>
    </row>
    <row r="53821" spans="1:141" s="116" customFormat="1">
      <c r="A53821" s="136"/>
      <c r="CM53821" s="111"/>
      <c r="CQ53821" s="111"/>
      <c r="EF53821"/>
      <c r="EG53821"/>
      <c r="EH53821"/>
      <c r="EI53821"/>
      <c r="EJ53821"/>
      <c r="EK53821"/>
    </row>
    <row r="53822" spans="1:141" s="116" customFormat="1">
      <c r="A53822" s="136"/>
      <c r="CM53822" s="111"/>
      <c r="CQ53822" s="111"/>
      <c r="EF53822"/>
      <c r="EG53822"/>
      <c r="EH53822"/>
      <c r="EI53822"/>
      <c r="EJ53822"/>
      <c r="EK53822"/>
    </row>
    <row r="53823" spans="1:141" s="116" customFormat="1">
      <c r="A53823" s="136"/>
      <c r="CM53823" s="111"/>
      <c r="CQ53823" s="111"/>
      <c r="EF53823"/>
      <c r="EG53823"/>
      <c r="EH53823"/>
      <c r="EI53823"/>
      <c r="EJ53823"/>
      <c r="EK53823"/>
    </row>
    <row r="53824" spans="1:141" s="116" customFormat="1">
      <c r="A53824" s="136"/>
      <c r="CM53824" s="111"/>
      <c r="CQ53824" s="111"/>
      <c r="EF53824"/>
      <c r="EG53824"/>
      <c r="EH53824"/>
      <c r="EI53824"/>
      <c r="EJ53824"/>
      <c r="EK53824"/>
    </row>
    <row r="53825" spans="1:141" s="116" customFormat="1">
      <c r="A53825" s="136"/>
      <c r="CM53825" s="111"/>
      <c r="CQ53825" s="111"/>
      <c r="EF53825"/>
      <c r="EG53825"/>
      <c r="EH53825"/>
      <c r="EI53825"/>
      <c r="EJ53825"/>
      <c r="EK53825"/>
    </row>
    <row r="53826" spans="1:141" s="116" customFormat="1">
      <c r="A53826" s="136"/>
      <c r="CM53826" s="111"/>
      <c r="CQ53826" s="111"/>
      <c r="EF53826"/>
      <c r="EG53826"/>
      <c r="EH53826"/>
      <c r="EI53826"/>
      <c r="EJ53826"/>
      <c r="EK53826"/>
    </row>
    <row r="53827" spans="1:141" s="116" customFormat="1">
      <c r="A53827" s="136"/>
      <c r="CM53827" s="111"/>
      <c r="CQ53827" s="111"/>
      <c r="EF53827"/>
      <c r="EG53827"/>
      <c r="EH53827"/>
      <c r="EI53827"/>
      <c r="EJ53827"/>
      <c r="EK53827"/>
    </row>
    <row r="53828" spans="1:141" s="116" customFormat="1">
      <c r="A53828" s="136"/>
      <c r="CM53828" s="111"/>
      <c r="CQ53828" s="111"/>
      <c r="EF53828"/>
      <c r="EG53828"/>
      <c r="EH53828"/>
      <c r="EI53828"/>
      <c r="EJ53828"/>
      <c r="EK53828"/>
    </row>
    <row r="53829" spans="1:141" s="116" customFormat="1">
      <c r="A53829" s="136"/>
      <c r="CM53829" s="111"/>
      <c r="CQ53829" s="111"/>
      <c r="EF53829"/>
      <c r="EG53829"/>
      <c r="EH53829"/>
      <c r="EI53829"/>
      <c r="EJ53829"/>
      <c r="EK53829"/>
    </row>
    <row r="53830" spans="1:141" s="116" customFormat="1">
      <c r="A53830" s="136"/>
      <c r="CM53830" s="111"/>
      <c r="CQ53830" s="111"/>
      <c r="EF53830"/>
      <c r="EG53830"/>
      <c r="EH53830"/>
      <c r="EI53830"/>
      <c r="EJ53830"/>
      <c r="EK53830"/>
    </row>
    <row r="53831" spans="1:141" s="116" customFormat="1">
      <c r="A53831" s="136"/>
      <c r="CM53831" s="111"/>
      <c r="CQ53831" s="111"/>
      <c r="EF53831"/>
      <c r="EG53831"/>
      <c r="EH53831"/>
      <c r="EI53831"/>
      <c r="EJ53831"/>
      <c r="EK53831"/>
    </row>
    <row r="53832" spans="1:141" s="116" customFormat="1">
      <c r="A53832" s="136"/>
      <c r="CM53832" s="111"/>
      <c r="CQ53832" s="111"/>
      <c r="EF53832"/>
      <c r="EG53832"/>
      <c r="EH53832"/>
      <c r="EI53832"/>
      <c r="EJ53832"/>
      <c r="EK53832"/>
    </row>
    <row r="53833" spans="1:141" s="116" customFormat="1">
      <c r="A53833" s="136"/>
      <c r="CM53833" s="111"/>
      <c r="CQ53833" s="111"/>
      <c r="EF53833"/>
      <c r="EG53833"/>
      <c r="EH53833"/>
      <c r="EI53833"/>
      <c r="EJ53833"/>
      <c r="EK53833"/>
    </row>
    <row r="53834" spans="1:141" s="116" customFormat="1">
      <c r="A53834" s="136"/>
      <c r="CM53834" s="111"/>
      <c r="CQ53834" s="111"/>
      <c r="EF53834"/>
      <c r="EG53834"/>
      <c r="EH53834"/>
      <c r="EI53834"/>
      <c r="EJ53834"/>
      <c r="EK53834"/>
    </row>
    <row r="53835" spans="1:141" s="116" customFormat="1">
      <c r="A53835" s="136"/>
      <c r="CM53835" s="111"/>
      <c r="CQ53835" s="111"/>
      <c r="EF53835"/>
      <c r="EG53835"/>
      <c r="EH53835"/>
      <c r="EI53835"/>
      <c r="EJ53835"/>
      <c r="EK53835"/>
    </row>
    <row r="53836" spans="1:141" s="116" customFormat="1">
      <c r="A53836" s="136"/>
      <c r="CM53836" s="111"/>
      <c r="CQ53836" s="111"/>
      <c r="EF53836"/>
      <c r="EG53836"/>
      <c r="EH53836"/>
      <c r="EI53836"/>
      <c r="EJ53836"/>
      <c r="EK53836"/>
    </row>
    <row r="53837" spans="1:141" s="116" customFormat="1">
      <c r="A53837" s="136"/>
      <c r="CM53837" s="111"/>
      <c r="CQ53837" s="111"/>
      <c r="EF53837"/>
      <c r="EG53837"/>
      <c r="EH53837"/>
      <c r="EI53837"/>
      <c r="EJ53837"/>
      <c r="EK53837"/>
    </row>
    <row r="53838" spans="1:141" s="116" customFormat="1">
      <c r="A53838" s="136"/>
      <c r="CM53838" s="111"/>
      <c r="CQ53838" s="111"/>
      <c r="EF53838"/>
      <c r="EG53838"/>
      <c r="EH53838"/>
      <c r="EI53838"/>
      <c r="EJ53838"/>
      <c r="EK53838"/>
    </row>
    <row r="53839" spans="1:141" s="116" customFormat="1">
      <c r="A53839" s="136"/>
      <c r="CM53839" s="111"/>
      <c r="CQ53839" s="111"/>
      <c r="EF53839"/>
      <c r="EG53839"/>
      <c r="EH53839"/>
      <c r="EI53839"/>
      <c r="EJ53839"/>
      <c r="EK53839"/>
    </row>
    <row r="53840" spans="1:141" s="116" customFormat="1">
      <c r="A53840" s="136"/>
      <c r="CM53840" s="111"/>
      <c r="CQ53840" s="111"/>
      <c r="EF53840"/>
      <c r="EG53840"/>
      <c r="EH53840"/>
      <c r="EI53840"/>
      <c r="EJ53840"/>
      <c r="EK53840"/>
    </row>
    <row r="53841" spans="1:141" s="116" customFormat="1">
      <c r="A53841" s="136"/>
      <c r="CM53841" s="111"/>
      <c r="CQ53841" s="111"/>
      <c r="EF53841"/>
      <c r="EG53841"/>
      <c r="EH53841"/>
      <c r="EI53841"/>
      <c r="EJ53841"/>
      <c r="EK53841"/>
    </row>
    <row r="53842" spans="1:141" s="116" customFormat="1">
      <c r="A53842" s="136"/>
      <c r="CM53842" s="111"/>
      <c r="CQ53842" s="111"/>
      <c r="EF53842"/>
      <c r="EG53842"/>
      <c r="EH53842"/>
      <c r="EI53842"/>
      <c r="EJ53842"/>
      <c r="EK53842"/>
    </row>
    <row r="53843" spans="1:141" s="116" customFormat="1">
      <c r="A53843" s="136"/>
      <c r="CM53843" s="111"/>
      <c r="CQ53843" s="111"/>
      <c r="EF53843"/>
      <c r="EG53843"/>
      <c r="EH53843"/>
      <c r="EI53843"/>
      <c r="EJ53843"/>
      <c r="EK53843"/>
    </row>
    <row r="53844" spans="1:141" s="116" customFormat="1">
      <c r="A53844" s="136"/>
      <c r="CM53844" s="111"/>
      <c r="CQ53844" s="111"/>
      <c r="EF53844"/>
      <c r="EG53844"/>
      <c r="EH53844"/>
      <c r="EI53844"/>
      <c r="EJ53844"/>
      <c r="EK53844"/>
    </row>
    <row r="53845" spans="1:141" s="116" customFormat="1">
      <c r="A53845" s="136"/>
      <c r="CM53845" s="111"/>
      <c r="CQ53845" s="111"/>
      <c r="EF53845"/>
      <c r="EG53845"/>
      <c r="EH53845"/>
      <c r="EI53845"/>
      <c r="EJ53845"/>
      <c r="EK53845"/>
    </row>
    <row r="53846" spans="1:141" s="116" customFormat="1">
      <c r="A53846" s="136"/>
      <c r="CM53846" s="111"/>
      <c r="CQ53846" s="111"/>
      <c r="EF53846"/>
      <c r="EG53846"/>
      <c r="EH53846"/>
      <c r="EI53846"/>
      <c r="EJ53846"/>
      <c r="EK53846"/>
    </row>
    <row r="53847" spans="1:141" s="116" customFormat="1">
      <c r="A53847" s="136"/>
      <c r="CM53847" s="111"/>
      <c r="CQ53847" s="111"/>
      <c r="EF53847"/>
      <c r="EG53847"/>
      <c r="EH53847"/>
      <c r="EI53847"/>
      <c r="EJ53847"/>
      <c r="EK53847"/>
    </row>
    <row r="53848" spans="1:141" s="116" customFormat="1">
      <c r="A53848" s="136"/>
      <c r="CM53848" s="111"/>
      <c r="CQ53848" s="111"/>
      <c r="EF53848"/>
      <c r="EG53848"/>
      <c r="EH53848"/>
      <c r="EI53848"/>
      <c r="EJ53848"/>
      <c r="EK53848"/>
    </row>
    <row r="53849" spans="1:141" s="116" customFormat="1">
      <c r="A53849" s="136"/>
      <c r="CM53849" s="111"/>
      <c r="CQ53849" s="111"/>
      <c r="EF53849"/>
      <c r="EG53849"/>
      <c r="EH53849"/>
      <c r="EI53849"/>
      <c r="EJ53849"/>
      <c r="EK53849"/>
    </row>
    <row r="53850" spans="1:141" s="116" customFormat="1">
      <c r="A53850" s="136"/>
      <c r="CM53850" s="111"/>
      <c r="CQ53850" s="111"/>
      <c r="EF53850"/>
      <c r="EG53850"/>
      <c r="EH53850"/>
      <c r="EI53850"/>
      <c r="EJ53850"/>
      <c r="EK53850"/>
    </row>
    <row r="53851" spans="1:141" s="116" customFormat="1">
      <c r="A53851" s="136"/>
      <c r="CM53851" s="111"/>
      <c r="CQ53851" s="111"/>
      <c r="EF53851"/>
      <c r="EG53851"/>
      <c r="EH53851"/>
      <c r="EI53851"/>
      <c r="EJ53851"/>
      <c r="EK53851"/>
    </row>
    <row r="53852" spans="1:141" s="116" customFormat="1">
      <c r="A53852" s="136"/>
      <c r="CM53852" s="111"/>
      <c r="CQ53852" s="111"/>
      <c r="EF53852"/>
      <c r="EG53852"/>
      <c r="EH53852"/>
      <c r="EI53852"/>
      <c r="EJ53852"/>
      <c r="EK53852"/>
    </row>
    <row r="53853" spans="1:141" s="116" customFormat="1">
      <c r="A53853" s="136"/>
      <c r="CM53853" s="111"/>
      <c r="CQ53853" s="111"/>
      <c r="EF53853"/>
      <c r="EG53853"/>
      <c r="EH53853"/>
      <c r="EI53853"/>
      <c r="EJ53853"/>
      <c r="EK53853"/>
    </row>
    <row r="53854" spans="1:141" s="116" customFormat="1">
      <c r="A53854" s="136"/>
      <c r="CM53854" s="111"/>
      <c r="CQ53854" s="111"/>
      <c r="EF53854"/>
      <c r="EG53854"/>
      <c r="EH53854"/>
      <c r="EI53854"/>
      <c r="EJ53854"/>
      <c r="EK53854"/>
    </row>
    <row r="53855" spans="1:141" s="116" customFormat="1">
      <c r="A53855" s="136"/>
      <c r="CM53855" s="111"/>
      <c r="CQ53855" s="111"/>
      <c r="EF53855"/>
      <c r="EG53855"/>
      <c r="EH53855"/>
      <c r="EI53855"/>
      <c r="EJ53855"/>
      <c r="EK53855"/>
    </row>
    <row r="53856" spans="1:141" s="116" customFormat="1">
      <c r="A53856" s="136"/>
      <c r="CM53856" s="111"/>
      <c r="CQ53856" s="111"/>
      <c r="EF53856"/>
      <c r="EG53856"/>
      <c r="EH53856"/>
      <c r="EI53856"/>
      <c r="EJ53856"/>
      <c r="EK53856"/>
    </row>
    <row r="53857" spans="1:141" s="116" customFormat="1">
      <c r="A53857" s="136"/>
      <c r="CM53857" s="111"/>
      <c r="CQ53857" s="111"/>
      <c r="EF53857"/>
      <c r="EG53857"/>
      <c r="EH53857"/>
      <c r="EI53857"/>
      <c r="EJ53857"/>
      <c r="EK53857"/>
    </row>
    <row r="53858" spans="1:141" s="116" customFormat="1">
      <c r="A53858" s="136"/>
      <c r="CM53858" s="111"/>
      <c r="CQ53858" s="111"/>
      <c r="EF53858"/>
      <c r="EG53858"/>
      <c r="EH53858"/>
      <c r="EI53858"/>
      <c r="EJ53858"/>
      <c r="EK53858"/>
    </row>
    <row r="53859" spans="1:141" s="116" customFormat="1">
      <c r="A53859" s="136"/>
      <c r="CM53859" s="111"/>
      <c r="CQ53859" s="111"/>
      <c r="EF53859"/>
      <c r="EG53859"/>
      <c r="EH53859"/>
      <c r="EI53859"/>
      <c r="EJ53859"/>
      <c r="EK53859"/>
    </row>
    <row r="53860" spans="1:141" s="116" customFormat="1">
      <c r="A53860" s="136"/>
      <c r="CM53860" s="111"/>
      <c r="CQ53860" s="111"/>
      <c r="EF53860"/>
      <c r="EG53860"/>
      <c r="EH53860"/>
      <c r="EI53860"/>
      <c r="EJ53860"/>
      <c r="EK53860"/>
    </row>
    <row r="53861" spans="1:141" s="116" customFormat="1">
      <c r="A53861" s="136"/>
      <c r="CM53861" s="111"/>
      <c r="CQ53861" s="111"/>
      <c r="EF53861"/>
      <c r="EG53861"/>
      <c r="EH53861"/>
      <c r="EI53861"/>
      <c r="EJ53861"/>
      <c r="EK53861"/>
    </row>
    <row r="53862" spans="1:141" s="116" customFormat="1">
      <c r="A53862" s="136"/>
      <c r="CM53862" s="111"/>
      <c r="CQ53862" s="111"/>
      <c r="EF53862"/>
      <c r="EG53862"/>
      <c r="EH53862"/>
      <c r="EI53862"/>
      <c r="EJ53862"/>
      <c r="EK53862"/>
    </row>
    <row r="53863" spans="1:141" s="116" customFormat="1">
      <c r="A53863" s="136"/>
      <c r="CM53863" s="111"/>
      <c r="CQ53863" s="111"/>
      <c r="EF53863"/>
      <c r="EG53863"/>
      <c r="EH53863"/>
      <c r="EI53863"/>
      <c r="EJ53863"/>
      <c r="EK53863"/>
    </row>
    <row r="53864" spans="1:141" s="116" customFormat="1">
      <c r="A53864" s="136"/>
      <c r="CM53864" s="111"/>
      <c r="CQ53864" s="111"/>
      <c r="EF53864"/>
      <c r="EG53864"/>
      <c r="EH53864"/>
      <c r="EI53864"/>
      <c r="EJ53864"/>
      <c r="EK53864"/>
    </row>
    <row r="53865" spans="1:141" s="116" customFormat="1">
      <c r="A53865" s="136"/>
      <c r="CM53865" s="111"/>
      <c r="CQ53865" s="111"/>
      <c r="EF53865"/>
      <c r="EG53865"/>
      <c r="EH53865"/>
      <c r="EI53865"/>
      <c r="EJ53865"/>
      <c r="EK53865"/>
    </row>
    <row r="53866" spans="1:141" s="116" customFormat="1">
      <c r="A53866" s="136"/>
      <c r="CM53866" s="111"/>
      <c r="CQ53866" s="111"/>
      <c r="EF53866"/>
      <c r="EG53866"/>
      <c r="EH53866"/>
      <c r="EI53866"/>
      <c r="EJ53866"/>
      <c r="EK53866"/>
    </row>
    <row r="53867" spans="1:141" s="116" customFormat="1">
      <c r="A53867" s="136"/>
      <c r="CM53867" s="111"/>
      <c r="CQ53867" s="111"/>
      <c r="EF53867"/>
      <c r="EG53867"/>
      <c r="EH53867"/>
      <c r="EI53867"/>
      <c r="EJ53867"/>
      <c r="EK53867"/>
    </row>
    <row r="53868" spans="1:141" s="116" customFormat="1">
      <c r="A53868" s="136"/>
      <c r="CM53868" s="111"/>
      <c r="CQ53868" s="111"/>
      <c r="EF53868"/>
      <c r="EG53868"/>
      <c r="EH53868"/>
      <c r="EI53868"/>
      <c r="EJ53868"/>
      <c r="EK53868"/>
    </row>
    <row r="53869" spans="1:141" s="116" customFormat="1">
      <c r="A53869" s="136"/>
      <c r="CM53869" s="111"/>
      <c r="CQ53869" s="111"/>
      <c r="EF53869"/>
      <c r="EG53869"/>
      <c r="EH53869"/>
      <c r="EI53869"/>
      <c r="EJ53869"/>
      <c r="EK53869"/>
    </row>
    <row r="53870" spans="1:141" s="116" customFormat="1">
      <c r="A53870" s="136"/>
      <c r="CM53870" s="111"/>
      <c r="CQ53870" s="111"/>
      <c r="EF53870"/>
      <c r="EG53870"/>
      <c r="EH53870"/>
      <c r="EI53870"/>
      <c r="EJ53870"/>
      <c r="EK53870"/>
    </row>
    <row r="53871" spans="1:141" s="116" customFormat="1">
      <c r="A53871" s="136"/>
      <c r="CM53871" s="111"/>
      <c r="CQ53871" s="111"/>
      <c r="EF53871"/>
      <c r="EG53871"/>
      <c r="EH53871"/>
      <c r="EI53871"/>
      <c r="EJ53871"/>
      <c r="EK53871"/>
    </row>
    <row r="53872" spans="1:141" s="116" customFormat="1">
      <c r="A53872" s="136"/>
      <c r="CM53872" s="111"/>
      <c r="CQ53872" s="111"/>
      <c r="EF53872"/>
      <c r="EG53872"/>
      <c r="EH53872"/>
      <c r="EI53872"/>
      <c r="EJ53872"/>
      <c r="EK53872"/>
    </row>
    <row r="53873" spans="1:141" s="116" customFormat="1">
      <c r="A53873" s="136"/>
      <c r="CM53873" s="111"/>
      <c r="CQ53873" s="111"/>
      <c r="EF53873"/>
      <c r="EG53873"/>
      <c r="EH53873"/>
      <c r="EI53873"/>
      <c r="EJ53873"/>
      <c r="EK53873"/>
    </row>
    <row r="53874" spans="1:141" s="116" customFormat="1">
      <c r="A53874" s="136"/>
      <c r="CM53874" s="111"/>
      <c r="CQ53874" s="111"/>
      <c r="EF53874"/>
      <c r="EG53874"/>
      <c r="EH53874"/>
      <c r="EI53874"/>
      <c r="EJ53874"/>
      <c r="EK53874"/>
    </row>
    <row r="53875" spans="1:141" s="116" customFormat="1">
      <c r="A53875" s="136"/>
      <c r="CM53875" s="111"/>
      <c r="CQ53875" s="111"/>
      <c r="EF53875"/>
      <c r="EG53875"/>
      <c r="EH53875"/>
      <c r="EI53875"/>
      <c r="EJ53875"/>
      <c r="EK53875"/>
    </row>
    <row r="53876" spans="1:141" s="116" customFormat="1">
      <c r="A53876" s="136"/>
      <c r="CM53876" s="111"/>
      <c r="CQ53876" s="111"/>
      <c r="EF53876"/>
      <c r="EG53876"/>
      <c r="EH53876"/>
      <c r="EI53876"/>
      <c r="EJ53876"/>
      <c r="EK53876"/>
    </row>
    <row r="53877" spans="1:141" s="116" customFormat="1">
      <c r="A53877" s="136"/>
      <c r="CM53877" s="111"/>
      <c r="CQ53877" s="111"/>
      <c r="EF53877"/>
      <c r="EG53877"/>
      <c r="EH53877"/>
      <c r="EI53877"/>
      <c r="EJ53877"/>
      <c r="EK53877"/>
    </row>
    <row r="53878" spans="1:141" s="116" customFormat="1">
      <c r="A53878" s="136"/>
      <c r="CM53878" s="111"/>
      <c r="CQ53878" s="111"/>
      <c r="EF53878"/>
      <c r="EG53878"/>
      <c r="EH53878"/>
      <c r="EI53878"/>
      <c r="EJ53878"/>
      <c r="EK53878"/>
    </row>
    <row r="53879" spans="1:141" s="116" customFormat="1">
      <c r="A53879" s="136"/>
      <c r="CM53879" s="111"/>
      <c r="CQ53879" s="111"/>
      <c r="EF53879"/>
      <c r="EG53879"/>
      <c r="EH53879"/>
      <c r="EI53879"/>
      <c r="EJ53879"/>
      <c r="EK53879"/>
    </row>
    <row r="53880" spans="1:141" s="116" customFormat="1">
      <c r="A53880" s="136"/>
      <c r="CM53880" s="111"/>
      <c r="CQ53880" s="111"/>
      <c r="EF53880"/>
      <c r="EG53880"/>
      <c r="EH53880"/>
      <c r="EI53880"/>
      <c r="EJ53880"/>
      <c r="EK53880"/>
    </row>
    <row r="53881" spans="1:141" s="116" customFormat="1">
      <c r="A53881" s="136"/>
      <c r="CM53881" s="111"/>
      <c r="CQ53881" s="111"/>
      <c r="EF53881"/>
      <c r="EG53881"/>
      <c r="EH53881"/>
      <c r="EI53881"/>
      <c r="EJ53881"/>
      <c r="EK53881"/>
    </row>
    <row r="53882" spans="1:141" s="116" customFormat="1">
      <c r="A53882" s="136"/>
      <c r="CM53882" s="111"/>
      <c r="CQ53882" s="111"/>
      <c r="EF53882"/>
      <c r="EG53882"/>
      <c r="EH53882"/>
      <c r="EI53882"/>
      <c r="EJ53882"/>
      <c r="EK53882"/>
    </row>
    <row r="53883" spans="1:141" s="116" customFormat="1">
      <c r="A53883" s="136"/>
      <c r="CM53883" s="111"/>
      <c r="CQ53883" s="111"/>
      <c r="EF53883"/>
      <c r="EG53883"/>
      <c r="EH53883"/>
      <c r="EI53883"/>
      <c r="EJ53883"/>
      <c r="EK53883"/>
    </row>
    <row r="53884" spans="1:141" s="116" customFormat="1">
      <c r="A53884" s="136"/>
      <c r="CM53884" s="111"/>
      <c r="CQ53884" s="111"/>
      <c r="EF53884"/>
      <c r="EG53884"/>
      <c r="EH53884"/>
      <c r="EI53884"/>
      <c r="EJ53884"/>
      <c r="EK53884"/>
    </row>
    <row r="53885" spans="1:141" s="116" customFormat="1">
      <c r="A53885" s="136"/>
      <c r="CM53885" s="111"/>
      <c r="CQ53885" s="111"/>
      <c r="EF53885"/>
      <c r="EG53885"/>
      <c r="EH53885"/>
      <c r="EI53885"/>
      <c r="EJ53885"/>
      <c r="EK53885"/>
    </row>
    <row r="53886" spans="1:141" s="116" customFormat="1">
      <c r="A53886" s="136"/>
      <c r="CM53886" s="111"/>
      <c r="CQ53886" s="111"/>
      <c r="EF53886"/>
      <c r="EG53886"/>
      <c r="EH53886"/>
      <c r="EI53886"/>
      <c r="EJ53886"/>
      <c r="EK53886"/>
    </row>
    <row r="53887" spans="1:141" s="116" customFormat="1">
      <c r="A53887" s="136"/>
      <c r="CM53887" s="111"/>
      <c r="CQ53887" s="111"/>
      <c r="EF53887"/>
      <c r="EG53887"/>
      <c r="EH53887"/>
      <c r="EI53887"/>
      <c r="EJ53887"/>
      <c r="EK53887"/>
    </row>
    <row r="53888" spans="1:141" s="116" customFormat="1">
      <c r="A53888" s="136"/>
      <c r="CM53888" s="111"/>
      <c r="CQ53888" s="111"/>
      <c r="EF53888"/>
      <c r="EG53888"/>
      <c r="EH53888"/>
      <c r="EI53888"/>
      <c r="EJ53888"/>
      <c r="EK53888"/>
    </row>
    <row r="53889" spans="1:141" s="116" customFormat="1">
      <c r="A53889" s="136"/>
      <c r="CM53889" s="111"/>
      <c r="CQ53889" s="111"/>
      <c r="EF53889"/>
      <c r="EG53889"/>
      <c r="EH53889"/>
      <c r="EI53889"/>
      <c r="EJ53889"/>
      <c r="EK53889"/>
    </row>
    <row r="53890" spans="1:141" s="116" customFormat="1">
      <c r="A53890" s="136"/>
      <c r="CM53890" s="111"/>
      <c r="CQ53890" s="111"/>
      <c r="EF53890"/>
      <c r="EG53890"/>
      <c r="EH53890"/>
      <c r="EI53890"/>
      <c r="EJ53890"/>
      <c r="EK53890"/>
    </row>
    <row r="53891" spans="1:141" s="116" customFormat="1">
      <c r="A53891" s="136"/>
      <c r="CM53891" s="111"/>
      <c r="CQ53891" s="111"/>
      <c r="EF53891"/>
      <c r="EG53891"/>
      <c r="EH53891"/>
      <c r="EI53891"/>
      <c r="EJ53891"/>
      <c r="EK53891"/>
    </row>
    <row r="53892" spans="1:141" s="116" customFormat="1">
      <c r="A53892" s="136"/>
      <c r="CM53892" s="111"/>
      <c r="CQ53892" s="111"/>
      <c r="EF53892"/>
      <c r="EG53892"/>
      <c r="EH53892"/>
      <c r="EI53892"/>
      <c r="EJ53892"/>
      <c r="EK53892"/>
    </row>
    <row r="53893" spans="1:141" s="116" customFormat="1">
      <c r="A53893" s="136"/>
      <c r="CM53893" s="111"/>
      <c r="CQ53893" s="111"/>
      <c r="EF53893"/>
      <c r="EG53893"/>
      <c r="EH53893"/>
      <c r="EI53893"/>
      <c r="EJ53893"/>
      <c r="EK53893"/>
    </row>
    <row r="53894" spans="1:141" s="116" customFormat="1">
      <c r="A53894" s="136"/>
      <c r="CM53894" s="111"/>
      <c r="CQ53894" s="111"/>
      <c r="EF53894"/>
      <c r="EG53894"/>
      <c r="EH53894"/>
      <c r="EI53894"/>
      <c r="EJ53894"/>
      <c r="EK53894"/>
    </row>
    <row r="53895" spans="1:141" s="116" customFormat="1">
      <c r="A53895" s="136"/>
      <c r="CM53895" s="111"/>
      <c r="CQ53895" s="111"/>
      <c r="EF53895"/>
      <c r="EG53895"/>
      <c r="EH53895"/>
      <c r="EI53895"/>
      <c r="EJ53895"/>
      <c r="EK53895"/>
    </row>
    <row r="53896" spans="1:141" s="116" customFormat="1">
      <c r="A53896" s="136"/>
      <c r="CM53896" s="111"/>
      <c r="CQ53896" s="111"/>
      <c r="EF53896"/>
      <c r="EG53896"/>
      <c r="EH53896"/>
      <c r="EI53896"/>
      <c r="EJ53896"/>
      <c r="EK53896"/>
    </row>
    <row r="53897" spans="1:141" s="116" customFormat="1">
      <c r="A53897" s="136"/>
      <c r="CM53897" s="111"/>
      <c r="CQ53897" s="111"/>
      <c r="EF53897"/>
      <c r="EG53897"/>
      <c r="EH53897"/>
      <c r="EI53897"/>
      <c r="EJ53897"/>
      <c r="EK53897"/>
    </row>
    <row r="53898" spans="1:141" s="116" customFormat="1">
      <c r="A53898" s="136"/>
      <c r="CM53898" s="111"/>
      <c r="CQ53898" s="111"/>
      <c r="EF53898"/>
      <c r="EG53898"/>
      <c r="EH53898"/>
      <c r="EI53898"/>
      <c r="EJ53898"/>
      <c r="EK53898"/>
    </row>
    <row r="53899" spans="1:141" s="116" customFormat="1">
      <c r="A53899" s="136"/>
      <c r="CM53899" s="111"/>
      <c r="CQ53899" s="111"/>
      <c r="EF53899"/>
      <c r="EG53899"/>
      <c r="EH53899"/>
      <c r="EI53899"/>
      <c r="EJ53899"/>
      <c r="EK53899"/>
    </row>
    <row r="53900" spans="1:141" s="116" customFormat="1">
      <c r="A53900" s="136"/>
      <c r="CM53900" s="111"/>
      <c r="CQ53900" s="111"/>
      <c r="EF53900"/>
      <c r="EG53900"/>
      <c r="EH53900"/>
      <c r="EI53900"/>
      <c r="EJ53900"/>
      <c r="EK53900"/>
    </row>
    <row r="53901" spans="1:141" s="116" customFormat="1">
      <c r="A53901" s="136"/>
      <c r="CM53901" s="111"/>
      <c r="CQ53901" s="111"/>
      <c r="EF53901"/>
      <c r="EG53901"/>
      <c r="EH53901"/>
      <c r="EI53901"/>
      <c r="EJ53901"/>
      <c r="EK53901"/>
    </row>
    <row r="53902" spans="1:141" s="116" customFormat="1">
      <c r="A53902" s="136"/>
      <c r="CM53902" s="111"/>
      <c r="CQ53902" s="111"/>
      <c r="EF53902"/>
      <c r="EG53902"/>
      <c r="EH53902"/>
      <c r="EI53902"/>
      <c r="EJ53902"/>
      <c r="EK53902"/>
    </row>
    <row r="53903" spans="1:141" s="116" customFormat="1">
      <c r="A53903" s="136"/>
      <c r="CM53903" s="111"/>
      <c r="CQ53903" s="111"/>
      <c r="EF53903"/>
      <c r="EG53903"/>
      <c r="EH53903"/>
      <c r="EI53903"/>
      <c r="EJ53903"/>
      <c r="EK53903"/>
    </row>
    <row r="53904" spans="1:141" s="116" customFormat="1">
      <c r="A53904" s="136"/>
      <c r="CM53904" s="111"/>
      <c r="CQ53904" s="111"/>
      <c r="EF53904"/>
      <c r="EG53904"/>
      <c r="EH53904"/>
      <c r="EI53904"/>
      <c r="EJ53904"/>
      <c r="EK53904"/>
    </row>
    <row r="53905" spans="1:141" s="116" customFormat="1">
      <c r="A53905" s="136"/>
      <c r="CM53905" s="111"/>
      <c r="CQ53905" s="111"/>
      <c r="EF53905"/>
      <c r="EG53905"/>
      <c r="EH53905"/>
      <c r="EI53905"/>
      <c r="EJ53905"/>
      <c r="EK53905"/>
    </row>
    <row r="53906" spans="1:141" s="116" customFormat="1">
      <c r="A53906" s="136"/>
      <c r="CM53906" s="111"/>
      <c r="CQ53906" s="111"/>
      <c r="EF53906"/>
      <c r="EG53906"/>
      <c r="EH53906"/>
      <c r="EI53906"/>
      <c r="EJ53906"/>
      <c r="EK53906"/>
    </row>
    <row r="53907" spans="1:141" s="116" customFormat="1">
      <c r="A53907" s="136"/>
      <c r="CM53907" s="111"/>
      <c r="CQ53907" s="111"/>
      <c r="EF53907"/>
      <c r="EG53907"/>
      <c r="EH53907"/>
      <c r="EI53907"/>
      <c r="EJ53907"/>
      <c r="EK53907"/>
    </row>
    <row r="53908" spans="1:141" s="116" customFormat="1">
      <c r="A53908" s="136"/>
      <c r="CM53908" s="111"/>
      <c r="CQ53908" s="111"/>
      <c r="EF53908"/>
      <c r="EG53908"/>
      <c r="EH53908"/>
      <c r="EI53908"/>
      <c r="EJ53908"/>
      <c r="EK53908"/>
    </row>
    <row r="53909" spans="1:141" s="116" customFormat="1">
      <c r="A53909" s="136"/>
      <c r="CM53909" s="111"/>
      <c r="CQ53909" s="111"/>
      <c r="EF53909"/>
      <c r="EG53909"/>
      <c r="EH53909"/>
      <c r="EI53909"/>
      <c r="EJ53909"/>
      <c r="EK53909"/>
    </row>
    <row r="53910" spans="1:141" s="116" customFormat="1">
      <c r="A53910" s="136"/>
      <c r="CM53910" s="111"/>
      <c r="CQ53910" s="111"/>
      <c r="EF53910"/>
      <c r="EG53910"/>
      <c r="EH53910"/>
      <c r="EI53910"/>
      <c r="EJ53910"/>
      <c r="EK53910"/>
    </row>
    <row r="53911" spans="1:141" s="116" customFormat="1">
      <c r="A53911" s="136"/>
      <c r="CM53911" s="111"/>
      <c r="CQ53911" s="111"/>
      <c r="EF53911"/>
      <c r="EG53911"/>
      <c r="EH53911"/>
      <c r="EI53911"/>
      <c r="EJ53911"/>
      <c r="EK53911"/>
    </row>
    <row r="53912" spans="1:141" s="116" customFormat="1">
      <c r="A53912" s="136"/>
      <c r="CM53912" s="111"/>
      <c r="CQ53912" s="111"/>
      <c r="EF53912"/>
      <c r="EG53912"/>
      <c r="EH53912"/>
      <c r="EI53912"/>
      <c r="EJ53912"/>
      <c r="EK53912"/>
    </row>
    <row r="53913" spans="1:141" s="116" customFormat="1">
      <c r="A53913" s="136"/>
      <c r="CM53913" s="111"/>
      <c r="CQ53913" s="111"/>
      <c r="EF53913"/>
      <c r="EG53913"/>
      <c r="EH53913"/>
      <c r="EI53913"/>
      <c r="EJ53913"/>
      <c r="EK53913"/>
    </row>
    <row r="53914" spans="1:141" s="116" customFormat="1">
      <c r="A53914" s="136"/>
      <c r="CM53914" s="111"/>
      <c r="CQ53914" s="111"/>
      <c r="EF53914"/>
      <c r="EG53914"/>
      <c r="EH53914"/>
      <c r="EI53914"/>
      <c r="EJ53914"/>
      <c r="EK53914"/>
    </row>
    <row r="53915" spans="1:141" s="116" customFormat="1">
      <c r="A53915" s="136"/>
      <c r="CM53915" s="111"/>
      <c r="CQ53915" s="111"/>
      <c r="EF53915"/>
      <c r="EG53915"/>
      <c r="EH53915"/>
      <c r="EI53915"/>
      <c r="EJ53915"/>
      <c r="EK53915"/>
    </row>
    <row r="53916" spans="1:141" s="116" customFormat="1">
      <c r="A53916" s="136"/>
      <c r="CM53916" s="111"/>
      <c r="CQ53916" s="111"/>
      <c r="EF53916"/>
      <c r="EG53916"/>
      <c r="EH53916"/>
      <c r="EI53916"/>
      <c r="EJ53916"/>
      <c r="EK53916"/>
    </row>
    <row r="53917" spans="1:141" s="116" customFormat="1">
      <c r="A53917" s="136"/>
      <c r="CM53917" s="111"/>
      <c r="CQ53917" s="111"/>
      <c r="EF53917"/>
      <c r="EG53917"/>
      <c r="EH53917"/>
      <c r="EI53917"/>
      <c r="EJ53917"/>
      <c r="EK53917"/>
    </row>
    <row r="53918" spans="1:141" s="116" customFormat="1">
      <c r="A53918" s="136"/>
      <c r="CM53918" s="111"/>
      <c r="CQ53918" s="111"/>
      <c r="EF53918"/>
      <c r="EG53918"/>
      <c r="EH53918"/>
      <c r="EI53918"/>
      <c r="EJ53918"/>
      <c r="EK53918"/>
    </row>
    <row r="53919" spans="1:141" s="116" customFormat="1">
      <c r="A53919" s="136"/>
      <c r="CM53919" s="111"/>
      <c r="CQ53919" s="111"/>
      <c r="EF53919"/>
      <c r="EG53919"/>
      <c r="EH53919"/>
      <c r="EI53919"/>
      <c r="EJ53919"/>
      <c r="EK53919"/>
    </row>
    <row r="53920" spans="1:141" s="116" customFormat="1">
      <c r="A53920" s="136"/>
      <c r="CM53920" s="111"/>
      <c r="CQ53920" s="111"/>
      <c r="EF53920"/>
      <c r="EG53920"/>
      <c r="EH53920"/>
      <c r="EI53920"/>
      <c r="EJ53920"/>
      <c r="EK53920"/>
    </row>
    <row r="53921" spans="1:141" s="116" customFormat="1">
      <c r="A53921" s="136"/>
      <c r="CM53921" s="111"/>
      <c r="CQ53921" s="111"/>
      <c r="EF53921"/>
      <c r="EG53921"/>
      <c r="EH53921"/>
      <c r="EI53921"/>
      <c r="EJ53921"/>
      <c r="EK53921"/>
    </row>
    <row r="53922" spans="1:141" s="116" customFormat="1">
      <c r="A53922" s="136"/>
      <c r="CM53922" s="111"/>
      <c r="CQ53922" s="111"/>
      <c r="EF53922"/>
      <c r="EG53922"/>
      <c r="EH53922"/>
      <c r="EI53922"/>
      <c r="EJ53922"/>
      <c r="EK53922"/>
    </row>
    <row r="53923" spans="1:141" s="116" customFormat="1">
      <c r="A53923" s="136"/>
      <c r="CM53923" s="111"/>
      <c r="CQ53923" s="111"/>
      <c r="EF53923"/>
      <c r="EG53923"/>
      <c r="EH53923"/>
      <c r="EI53923"/>
      <c r="EJ53923"/>
      <c r="EK53923"/>
    </row>
    <row r="53924" spans="1:141" s="116" customFormat="1">
      <c r="A53924" s="136"/>
      <c r="CM53924" s="111"/>
      <c r="CQ53924" s="111"/>
      <c r="EF53924"/>
      <c r="EG53924"/>
      <c r="EH53924"/>
      <c r="EI53924"/>
      <c r="EJ53924"/>
      <c r="EK53924"/>
    </row>
    <row r="53925" spans="1:141" s="116" customFormat="1">
      <c r="A53925" s="136"/>
      <c r="CM53925" s="111"/>
      <c r="CQ53925" s="111"/>
      <c r="EF53925"/>
      <c r="EG53925"/>
      <c r="EH53925"/>
      <c r="EI53925"/>
      <c r="EJ53925"/>
      <c r="EK53925"/>
    </row>
    <row r="53926" spans="1:141" s="116" customFormat="1">
      <c r="A53926" s="136"/>
      <c r="CM53926" s="111"/>
      <c r="CQ53926" s="111"/>
      <c r="EF53926"/>
      <c r="EG53926"/>
      <c r="EH53926"/>
      <c r="EI53926"/>
      <c r="EJ53926"/>
      <c r="EK53926"/>
    </row>
    <row r="53927" spans="1:141" s="116" customFormat="1">
      <c r="A53927" s="136"/>
      <c r="CM53927" s="111"/>
      <c r="CQ53927" s="111"/>
      <c r="EF53927"/>
      <c r="EG53927"/>
      <c r="EH53927"/>
      <c r="EI53927"/>
      <c r="EJ53927"/>
      <c r="EK53927"/>
    </row>
    <row r="53928" spans="1:141" s="116" customFormat="1">
      <c r="A53928" s="136"/>
      <c r="CM53928" s="111"/>
      <c r="CQ53928" s="111"/>
      <c r="EF53928"/>
      <c r="EG53928"/>
      <c r="EH53928"/>
      <c r="EI53928"/>
      <c r="EJ53928"/>
      <c r="EK53928"/>
    </row>
    <row r="53929" spans="1:141" s="116" customFormat="1">
      <c r="A53929" s="136"/>
      <c r="CM53929" s="111"/>
      <c r="CQ53929" s="111"/>
      <c r="EF53929"/>
      <c r="EG53929"/>
      <c r="EH53929"/>
      <c r="EI53929"/>
      <c r="EJ53929"/>
      <c r="EK53929"/>
    </row>
    <row r="53930" spans="1:141" s="116" customFormat="1">
      <c r="A53930" s="136"/>
      <c r="CM53930" s="111"/>
      <c r="CQ53930" s="111"/>
      <c r="EF53930"/>
      <c r="EG53930"/>
      <c r="EH53930"/>
      <c r="EI53930"/>
      <c r="EJ53930"/>
      <c r="EK53930"/>
    </row>
    <row r="53931" spans="1:141" s="116" customFormat="1">
      <c r="A53931" s="136"/>
      <c r="CM53931" s="111"/>
      <c r="CQ53931" s="111"/>
      <c r="EF53931"/>
      <c r="EG53931"/>
      <c r="EH53931"/>
      <c r="EI53931"/>
      <c r="EJ53931"/>
      <c r="EK53931"/>
    </row>
    <row r="53932" spans="1:141" s="116" customFormat="1">
      <c r="A53932" s="136"/>
      <c r="CM53932" s="111"/>
      <c r="CQ53932" s="111"/>
      <c r="EF53932"/>
      <c r="EG53932"/>
      <c r="EH53932"/>
      <c r="EI53932"/>
      <c r="EJ53932"/>
      <c r="EK53932"/>
    </row>
    <row r="53933" spans="1:141" s="116" customFormat="1">
      <c r="A53933" s="136"/>
      <c r="CM53933" s="111"/>
      <c r="CQ53933" s="111"/>
      <c r="EF53933"/>
      <c r="EG53933"/>
      <c r="EH53933"/>
      <c r="EI53933"/>
      <c r="EJ53933"/>
      <c r="EK53933"/>
    </row>
    <row r="53934" spans="1:141" s="116" customFormat="1">
      <c r="A53934" s="136"/>
      <c r="CM53934" s="111"/>
      <c r="CQ53934" s="111"/>
      <c r="EF53934"/>
      <c r="EG53934"/>
      <c r="EH53934"/>
      <c r="EI53934"/>
      <c r="EJ53934"/>
      <c r="EK53934"/>
    </row>
    <row r="53935" spans="1:141" s="116" customFormat="1">
      <c r="A53935" s="136"/>
      <c r="CM53935" s="111"/>
      <c r="CQ53935" s="111"/>
      <c r="EF53935"/>
      <c r="EG53935"/>
      <c r="EH53935"/>
      <c r="EI53935"/>
      <c r="EJ53935"/>
      <c r="EK53935"/>
    </row>
    <row r="53936" spans="1:141" s="116" customFormat="1">
      <c r="A53936" s="136"/>
      <c r="CM53936" s="111"/>
      <c r="CQ53936" s="111"/>
      <c r="EF53936"/>
      <c r="EG53936"/>
      <c r="EH53936"/>
      <c r="EI53936"/>
      <c r="EJ53936"/>
      <c r="EK53936"/>
    </row>
    <row r="53937" spans="1:141" s="116" customFormat="1">
      <c r="A53937" s="136"/>
      <c r="CM53937" s="111"/>
      <c r="CQ53937" s="111"/>
      <c r="EF53937"/>
      <c r="EG53937"/>
      <c r="EH53937"/>
      <c r="EI53937"/>
      <c r="EJ53937"/>
      <c r="EK53937"/>
    </row>
    <row r="53938" spans="1:141" s="116" customFormat="1">
      <c r="A53938" s="136"/>
      <c r="CM53938" s="111"/>
      <c r="CQ53938" s="111"/>
      <c r="EF53938"/>
      <c r="EG53938"/>
      <c r="EH53938"/>
      <c r="EI53938"/>
      <c r="EJ53938"/>
      <c r="EK53938"/>
    </row>
    <row r="53939" spans="1:141" s="116" customFormat="1">
      <c r="A53939" s="136"/>
      <c r="CM53939" s="111"/>
      <c r="CQ53939" s="111"/>
      <c r="EF53939"/>
      <c r="EG53939"/>
      <c r="EH53939"/>
      <c r="EI53939"/>
      <c r="EJ53939"/>
      <c r="EK53939"/>
    </row>
    <row r="53940" spans="1:141" s="116" customFormat="1">
      <c r="A53940" s="136"/>
      <c r="CM53940" s="111"/>
      <c r="CQ53940" s="111"/>
      <c r="EF53940"/>
      <c r="EG53940"/>
      <c r="EH53940"/>
      <c r="EI53940"/>
      <c r="EJ53940"/>
      <c r="EK53940"/>
    </row>
    <row r="53941" spans="1:141" s="116" customFormat="1">
      <c r="A53941" s="136"/>
      <c r="CM53941" s="111"/>
      <c r="CQ53941" s="111"/>
      <c r="EF53941"/>
      <c r="EG53941"/>
      <c r="EH53941"/>
      <c r="EI53941"/>
      <c r="EJ53941"/>
      <c r="EK53941"/>
    </row>
    <row r="53942" spans="1:141" s="116" customFormat="1">
      <c r="A53942" s="136"/>
      <c r="CM53942" s="111"/>
      <c r="CQ53942" s="111"/>
      <c r="EF53942"/>
      <c r="EG53942"/>
      <c r="EH53942"/>
      <c r="EI53942"/>
      <c r="EJ53942"/>
      <c r="EK53942"/>
    </row>
    <row r="53943" spans="1:141" s="116" customFormat="1">
      <c r="A53943" s="136"/>
      <c r="CM53943" s="111"/>
      <c r="CQ53943" s="111"/>
      <c r="EF53943"/>
      <c r="EG53943"/>
      <c r="EH53943"/>
      <c r="EI53943"/>
      <c r="EJ53943"/>
      <c r="EK53943"/>
    </row>
    <row r="53944" spans="1:141" s="116" customFormat="1">
      <c r="A53944" s="136"/>
      <c r="CM53944" s="111"/>
      <c r="CQ53944" s="111"/>
      <c r="EF53944"/>
      <c r="EG53944"/>
      <c r="EH53944"/>
      <c r="EI53944"/>
      <c r="EJ53944"/>
      <c r="EK53944"/>
    </row>
    <row r="53945" spans="1:141" s="116" customFormat="1">
      <c r="A53945" s="136"/>
      <c r="CM53945" s="111"/>
      <c r="CQ53945" s="111"/>
      <c r="EF53945"/>
      <c r="EG53945"/>
      <c r="EH53945"/>
      <c r="EI53945"/>
      <c r="EJ53945"/>
      <c r="EK53945"/>
    </row>
    <row r="53946" spans="1:141" s="116" customFormat="1">
      <c r="A53946" s="136"/>
      <c r="CM53946" s="111"/>
      <c r="CQ53946" s="111"/>
      <c r="EF53946"/>
      <c r="EG53946"/>
      <c r="EH53946"/>
      <c r="EI53946"/>
      <c r="EJ53946"/>
      <c r="EK53946"/>
    </row>
    <row r="53947" spans="1:141" s="116" customFormat="1">
      <c r="A53947" s="136"/>
      <c r="CM53947" s="111"/>
      <c r="CQ53947" s="111"/>
      <c r="EF53947"/>
      <c r="EG53947"/>
      <c r="EH53947"/>
      <c r="EI53947"/>
      <c r="EJ53947"/>
      <c r="EK53947"/>
    </row>
    <row r="53948" spans="1:141" s="116" customFormat="1">
      <c r="A53948" s="136"/>
      <c r="CM53948" s="111"/>
      <c r="CQ53948" s="111"/>
      <c r="EF53948"/>
      <c r="EG53948"/>
      <c r="EH53948"/>
      <c r="EI53948"/>
      <c r="EJ53948"/>
      <c r="EK53948"/>
    </row>
    <row r="53949" spans="1:141" s="116" customFormat="1">
      <c r="A53949" s="136"/>
      <c r="CM53949" s="111"/>
      <c r="CQ53949" s="111"/>
      <c r="EF53949"/>
      <c r="EG53949"/>
      <c r="EH53949"/>
      <c r="EI53949"/>
      <c r="EJ53949"/>
      <c r="EK53949"/>
    </row>
    <row r="53950" spans="1:141" s="116" customFormat="1">
      <c r="A53950" s="136"/>
      <c r="CM53950" s="111"/>
      <c r="CQ53950" s="111"/>
      <c r="EF53950"/>
      <c r="EG53950"/>
      <c r="EH53950"/>
      <c r="EI53950"/>
      <c r="EJ53950"/>
      <c r="EK53950"/>
    </row>
    <row r="53951" spans="1:141" s="116" customFormat="1">
      <c r="A53951" s="136"/>
      <c r="CM53951" s="111"/>
      <c r="CQ53951" s="111"/>
      <c r="EF53951"/>
      <c r="EG53951"/>
      <c r="EH53951"/>
      <c r="EI53951"/>
      <c r="EJ53951"/>
      <c r="EK53951"/>
    </row>
    <row r="53952" spans="1:141" s="116" customFormat="1">
      <c r="A53952" s="136"/>
      <c r="CM53952" s="111"/>
      <c r="CQ53952" s="111"/>
      <c r="EF53952"/>
      <c r="EG53952"/>
      <c r="EH53952"/>
      <c r="EI53952"/>
      <c r="EJ53952"/>
      <c r="EK53952"/>
    </row>
    <row r="53953" spans="1:141" s="116" customFormat="1">
      <c r="A53953" s="136"/>
      <c r="CM53953" s="111"/>
      <c r="CQ53953" s="111"/>
      <c r="EF53953"/>
      <c r="EG53953"/>
      <c r="EH53953"/>
      <c r="EI53953"/>
      <c r="EJ53953"/>
      <c r="EK53953"/>
    </row>
    <row r="53954" spans="1:141" s="116" customFormat="1">
      <c r="A53954" s="136"/>
      <c r="CM53954" s="111"/>
      <c r="CQ53954" s="111"/>
      <c r="EF53954"/>
      <c r="EG53954"/>
      <c r="EH53954"/>
      <c r="EI53954"/>
      <c r="EJ53954"/>
      <c r="EK53954"/>
    </row>
    <row r="53955" spans="1:141" s="116" customFormat="1">
      <c r="A53955" s="136"/>
      <c r="CM53955" s="111"/>
      <c r="CQ53955" s="111"/>
      <c r="EF53955"/>
      <c r="EG53955"/>
      <c r="EH53955"/>
      <c r="EI53955"/>
      <c r="EJ53955"/>
      <c r="EK53955"/>
    </row>
    <row r="53956" spans="1:141" s="116" customFormat="1">
      <c r="A53956" s="136"/>
      <c r="CM53956" s="111"/>
      <c r="CQ53956" s="111"/>
      <c r="EF53956"/>
      <c r="EG53956"/>
      <c r="EH53956"/>
      <c r="EI53956"/>
      <c r="EJ53956"/>
      <c r="EK53956"/>
    </row>
    <row r="53957" spans="1:141" s="116" customFormat="1">
      <c r="A53957" s="136"/>
      <c r="CM53957" s="111"/>
      <c r="CQ53957" s="111"/>
      <c r="EF53957"/>
      <c r="EG53957"/>
      <c r="EH53957"/>
      <c r="EI53957"/>
      <c r="EJ53957"/>
      <c r="EK53957"/>
    </row>
    <row r="53958" spans="1:141" s="116" customFormat="1">
      <c r="A53958" s="136"/>
      <c r="CM53958" s="111"/>
      <c r="CQ53958" s="111"/>
      <c r="EF53958"/>
      <c r="EG53958"/>
      <c r="EH53958"/>
      <c r="EI53958"/>
      <c r="EJ53958"/>
      <c r="EK53958"/>
    </row>
    <row r="53959" spans="1:141" s="116" customFormat="1">
      <c r="A53959" s="136"/>
      <c r="CM53959" s="111"/>
      <c r="CQ53959" s="111"/>
      <c r="EF53959"/>
      <c r="EG53959"/>
      <c r="EH53959"/>
      <c r="EI53959"/>
      <c r="EJ53959"/>
      <c r="EK53959"/>
    </row>
    <row r="53960" spans="1:141" s="116" customFormat="1">
      <c r="A53960" s="136"/>
      <c r="CM53960" s="111"/>
      <c r="CQ53960" s="111"/>
      <c r="EF53960"/>
      <c r="EG53960"/>
      <c r="EH53960"/>
      <c r="EI53960"/>
      <c r="EJ53960"/>
      <c r="EK53960"/>
    </row>
    <row r="53961" spans="1:141" s="116" customFormat="1">
      <c r="A53961" s="136"/>
      <c r="CM53961" s="111"/>
      <c r="CQ53961" s="111"/>
      <c r="EF53961"/>
      <c r="EG53961"/>
      <c r="EH53961"/>
      <c r="EI53961"/>
      <c r="EJ53961"/>
      <c r="EK53961"/>
    </row>
    <row r="53962" spans="1:141" s="116" customFormat="1">
      <c r="A53962" s="136"/>
      <c r="CM53962" s="111"/>
      <c r="CQ53962" s="111"/>
      <c r="EF53962"/>
      <c r="EG53962"/>
      <c r="EH53962"/>
      <c r="EI53962"/>
      <c r="EJ53962"/>
      <c r="EK53962"/>
    </row>
    <row r="53963" spans="1:141" s="116" customFormat="1">
      <c r="A53963" s="136"/>
      <c r="CM53963" s="111"/>
      <c r="CQ53963" s="111"/>
      <c r="EF53963"/>
      <c r="EG53963"/>
      <c r="EH53963"/>
      <c r="EI53963"/>
      <c r="EJ53963"/>
      <c r="EK53963"/>
    </row>
    <row r="53964" spans="1:141" s="116" customFormat="1">
      <c r="A53964" s="136"/>
      <c r="CM53964" s="111"/>
      <c r="CQ53964" s="111"/>
      <c r="EF53964"/>
      <c r="EG53964"/>
      <c r="EH53964"/>
      <c r="EI53964"/>
      <c r="EJ53964"/>
      <c r="EK53964"/>
    </row>
    <row r="53965" spans="1:141" s="116" customFormat="1">
      <c r="A53965" s="136"/>
      <c r="CM53965" s="111"/>
      <c r="CQ53965" s="111"/>
      <c r="EF53965"/>
      <c r="EG53965"/>
      <c r="EH53965"/>
      <c r="EI53965"/>
      <c r="EJ53965"/>
      <c r="EK53965"/>
    </row>
    <row r="53966" spans="1:141" s="116" customFormat="1">
      <c r="A53966" s="136"/>
      <c r="CM53966" s="111"/>
      <c r="CQ53966" s="111"/>
      <c r="EF53966"/>
      <c r="EG53966"/>
      <c r="EH53966"/>
      <c r="EI53966"/>
      <c r="EJ53966"/>
      <c r="EK53966"/>
    </row>
    <row r="53967" spans="1:141" s="116" customFormat="1">
      <c r="A53967" s="136"/>
      <c r="CM53967" s="111"/>
      <c r="CQ53967" s="111"/>
      <c r="EF53967"/>
      <c r="EG53967"/>
      <c r="EH53967"/>
      <c r="EI53967"/>
      <c r="EJ53967"/>
      <c r="EK53967"/>
    </row>
    <row r="53968" spans="1:141" s="116" customFormat="1">
      <c r="A53968" s="136"/>
      <c r="CM53968" s="111"/>
      <c r="CQ53968" s="111"/>
      <c r="EF53968"/>
      <c r="EG53968"/>
      <c r="EH53968"/>
      <c r="EI53968"/>
      <c r="EJ53968"/>
      <c r="EK53968"/>
    </row>
    <row r="53969" spans="1:141" s="116" customFormat="1">
      <c r="A53969" s="136"/>
      <c r="CM53969" s="111"/>
      <c r="CQ53969" s="111"/>
      <c r="EF53969"/>
      <c r="EG53969"/>
      <c r="EH53969"/>
      <c r="EI53969"/>
      <c r="EJ53969"/>
      <c r="EK53969"/>
    </row>
    <row r="53970" spans="1:141" s="116" customFormat="1">
      <c r="A53970" s="136"/>
      <c r="CM53970" s="111"/>
      <c r="CQ53970" s="111"/>
      <c r="EF53970"/>
      <c r="EG53970"/>
      <c r="EH53970"/>
      <c r="EI53970"/>
      <c r="EJ53970"/>
      <c r="EK53970"/>
    </row>
    <row r="53971" spans="1:141" s="116" customFormat="1">
      <c r="A53971" s="136"/>
      <c r="CM53971" s="111"/>
      <c r="CQ53971" s="111"/>
      <c r="EF53971"/>
      <c r="EG53971"/>
      <c r="EH53971"/>
      <c r="EI53971"/>
      <c r="EJ53971"/>
      <c r="EK53971"/>
    </row>
    <row r="53972" spans="1:141" s="116" customFormat="1">
      <c r="A53972" s="136"/>
      <c r="CM53972" s="111"/>
      <c r="CQ53972" s="111"/>
      <c r="EF53972"/>
      <c r="EG53972"/>
      <c r="EH53972"/>
      <c r="EI53972"/>
      <c r="EJ53972"/>
      <c r="EK53972"/>
    </row>
    <row r="53973" spans="1:141" s="116" customFormat="1">
      <c r="A53973" s="136"/>
      <c r="CM53973" s="111"/>
      <c r="CQ53973" s="111"/>
      <c r="EF53973"/>
      <c r="EG53973"/>
      <c r="EH53973"/>
      <c r="EI53973"/>
      <c r="EJ53973"/>
      <c r="EK53973"/>
    </row>
    <row r="53974" spans="1:141" s="116" customFormat="1">
      <c r="A53974" s="136"/>
      <c r="CM53974" s="111"/>
      <c r="CQ53974" s="111"/>
      <c r="EF53974"/>
      <c r="EG53974"/>
      <c r="EH53974"/>
      <c r="EI53974"/>
      <c r="EJ53974"/>
      <c r="EK53974"/>
    </row>
    <row r="53975" spans="1:141" s="116" customFormat="1">
      <c r="A53975" s="136"/>
      <c r="CM53975" s="111"/>
      <c r="CQ53975" s="111"/>
      <c r="EF53975"/>
      <c r="EG53975"/>
      <c r="EH53975"/>
      <c r="EI53975"/>
      <c r="EJ53975"/>
      <c r="EK53975"/>
    </row>
    <row r="53976" spans="1:141" s="116" customFormat="1">
      <c r="A53976" s="136"/>
      <c r="CM53976" s="111"/>
      <c r="CQ53976" s="111"/>
      <c r="EF53976"/>
      <c r="EG53976"/>
      <c r="EH53976"/>
      <c r="EI53976"/>
      <c r="EJ53976"/>
      <c r="EK53976"/>
    </row>
    <row r="53977" spans="1:141" s="116" customFormat="1">
      <c r="A53977" s="136"/>
      <c r="CM53977" s="111"/>
      <c r="CQ53977" s="111"/>
      <c r="EF53977"/>
      <c r="EG53977"/>
      <c r="EH53977"/>
      <c r="EI53977"/>
      <c r="EJ53977"/>
      <c r="EK53977"/>
    </row>
    <row r="53978" spans="1:141" s="116" customFormat="1">
      <c r="A53978" s="136"/>
      <c r="CM53978" s="111"/>
      <c r="CQ53978" s="111"/>
      <c r="EF53978"/>
      <c r="EG53978"/>
      <c r="EH53978"/>
      <c r="EI53978"/>
      <c r="EJ53978"/>
      <c r="EK53978"/>
    </row>
    <row r="53979" spans="1:141" s="116" customFormat="1">
      <c r="A53979" s="136"/>
      <c r="CM53979" s="111"/>
      <c r="CQ53979" s="111"/>
      <c r="EF53979"/>
      <c r="EG53979"/>
      <c r="EH53979"/>
      <c r="EI53979"/>
      <c r="EJ53979"/>
      <c r="EK53979"/>
    </row>
    <row r="53980" spans="1:141" s="116" customFormat="1">
      <c r="A53980" s="136"/>
      <c r="CM53980" s="111"/>
      <c r="CQ53980" s="111"/>
      <c r="EF53980"/>
      <c r="EG53980"/>
      <c r="EH53980"/>
      <c r="EI53980"/>
      <c r="EJ53980"/>
      <c r="EK53980"/>
    </row>
    <row r="53981" spans="1:141" s="116" customFormat="1">
      <c r="A53981" s="136"/>
      <c r="CM53981" s="111"/>
      <c r="CQ53981" s="111"/>
      <c r="EF53981"/>
      <c r="EG53981"/>
      <c r="EH53981"/>
      <c r="EI53981"/>
      <c r="EJ53981"/>
      <c r="EK53981"/>
    </row>
    <row r="53982" spans="1:141" s="116" customFormat="1">
      <c r="A53982" s="136"/>
      <c r="CM53982" s="111"/>
      <c r="CQ53982" s="111"/>
      <c r="EF53982"/>
      <c r="EG53982"/>
      <c r="EH53982"/>
      <c r="EI53982"/>
      <c r="EJ53982"/>
      <c r="EK53982"/>
    </row>
    <row r="53983" spans="1:141" s="116" customFormat="1">
      <c r="A53983" s="136"/>
      <c r="CM53983" s="111"/>
      <c r="CQ53983" s="111"/>
      <c r="EF53983"/>
      <c r="EG53983"/>
      <c r="EH53983"/>
      <c r="EI53983"/>
      <c r="EJ53983"/>
      <c r="EK53983"/>
    </row>
    <row r="53984" spans="1:141" s="116" customFormat="1">
      <c r="A53984" s="136"/>
      <c r="CM53984" s="111"/>
      <c r="CQ53984" s="111"/>
      <c r="EF53984"/>
      <c r="EG53984"/>
      <c r="EH53984"/>
      <c r="EI53984"/>
      <c r="EJ53984"/>
      <c r="EK53984"/>
    </row>
    <row r="53985" spans="1:141" s="116" customFormat="1">
      <c r="A53985" s="136"/>
      <c r="CM53985" s="111"/>
      <c r="CQ53985" s="111"/>
      <c r="EF53985"/>
      <c r="EG53985"/>
      <c r="EH53985"/>
      <c r="EI53985"/>
      <c r="EJ53985"/>
      <c r="EK53985"/>
    </row>
    <row r="53986" spans="1:141" s="116" customFormat="1">
      <c r="A53986" s="136"/>
      <c r="CM53986" s="111"/>
      <c r="CQ53986" s="111"/>
      <c r="EF53986"/>
      <c r="EG53986"/>
      <c r="EH53986"/>
      <c r="EI53986"/>
      <c r="EJ53986"/>
      <c r="EK53986"/>
    </row>
    <row r="53987" spans="1:141" s="116" customFormat="1">
      <c r="A53987" s="136"/>
      <c r="CM53987" s="111"/>
      <c r="CQ53987" s="111"/>
      <c r="EF53987"/>
      <c r="EG53987"/>
      <c r="EH53987"/>
      <c r="EI53987"/>
      <c r="EJ53987"/>
      <c r="EK53987"/>
    </row>
    <row r="53988" spans="1:141" s="116" customFormat="1">
      <c r="A53988" s="136"/>
      <c r="CM53988" s="111"/>
      <c r="CQ53988" s="111"/>
      <c r="EF53988"/>
      <c r="EG53988"/>
      <c r="EH53988"/>
      <c r="EI53988"/>
      <c r="EJ53988"/>
      <c r="EK53988"/>
    </row>
    <row r="53989" spans="1:141" s="116" customFormat="1">
      <c r="A53989" s="136"/>
      <c r="CM53989" s="111"/>
      <c r="CQ53989" s="111"/>
      <c r="EF53989"/>
      <c r="EG53989"/>
      <c r="EH53989"/>
      <c r="EI53989"/>
      <c r="EJ53989"/>
      <c r="EK53989"/>
    </row>
    <row r="53990" spans="1:141" s="116" customFormat="1">
      <c r="A53990" s="136"/>
      <c r="CM53990" s="111"/>
      <c r="CQ53990" s="111"/>
      <c r="EF53990"/>
      <c r="EG53990"/>
      <c r="EH53990"/>
      <c r="EI53990"/>
      <c r="EJ53990"/>
      <c r="EK53990"/>
    </row>
    <row r="53991" spans="1:141" s="116" customFormat="1">
      <c r="A53991" s="136"/>
      <c r="CM53991" s="111"/>
      <c r="CQ53991" s="111"/>
      <c r="EF53991"/>
      <c r="EG53991"/>
      <c r="EH53991"/>
      <c r="EI53991"/>
      <c r="EJ53991"/>
      <c r="EK53991"/>
    </row>
    <row r="53992" spans="1:141" s="116" customFormat="1">
      <c r="A53992" s="136"/>
      <c r="CM53992" s="111"/>
      <c r="CQ53992" s="111"/>
      <c r="EF53992"/>
      <c r="EG53992"/>
      <c r="EH53992"/>
      <c r="EI53992"/>
      <c r="EJ53992"/>
      <c r="EK53992"/>
    </row>
    <row r="53993" spans="1:141" s="116" customFormat="1">
      <c r="A53993" s="136"/>
      <c r="CM53993" s="111"/>
      <c r="CQ53993" s="111"/>
      <c r="EF53993"/>
      <c r="EG53993"/>
      <c r="EH53993"/>
      <c r="EI53993"/>
      <c r="EJ53993"/>
      <c r="EK53993"/>
    </row>
    <row r="53994" spans="1:141" s="116" customFormat="1">
      <c r="A53994" s="136"/>
      <c r="CM53994" s="111"/>
      <c r="CQ53994" s="111"/>
      <c r="EF53994"/>
      <c r="EG53994"/>
      <c r="EH53994"/>
      <c r="EI53994"/>
      <c r="EJ53994"/>
      <c r="EK53994"/>
    </row>
    <row r="53995" spans="1:141" s="116" customFormat="1">
      <c r="A53995" s="136"/>
      <c r="CM53995" s="111"/>
      <c r="CQ53995" s="111"/>
      <c r="EF53995"/>
      <c r="EG53995"/>
      <c r="EH53995"/>
      <c r="EI53995"/>
      <c r="EJ53995"/>
      <c r="EK53995"/>
    </row>
    <row r="53996" spans="1:141" s="116" customFormat="1">
      <c r="A53996" s="136"/>
      <c r="CM53996" s="111"/>
      <c r="CQ53996" s="111"/>
      <c r="EF53996"/>
      <c r="EG53996"/>
      <c r="EH53996"/>
      <c r="EI53996"/>
      <c r="EJ53996"/>
      <c r="EK53996"/>
    </row>
    <row r="53997" spans="1:141" s="116" customFormat="1">
      <c r="A53997" s="136"/>
      <c r="CM53997" s="111"/>
      <c r="CQ53997" s="111"/>
      <c r="EF53997"/>
      <c r="EG53997"/>
      <c r="EH53997"/>
      <c r="EI53997"/>
      <c r="EJ53997"/>
      <c r="EK53997"/>
    </row>
    <row r="53998" spans="1:141" s="116" customFormat="1">
      <c r="A53998" s="136"/>
      <c r="CM53998" s="111"/>
      <c r="CQ53998" s="111"/>
      <c r="EF53998"/>
      <c r="EG53998"/>
      <c r="EH53998"/>
      <c r="EI53998"/>
      <c r="EJ53998"/>
      <c r="EK53998"/>
    </row>
    <row r="53999" spans="1:141" s="116" customFormat="1">
      <c r="A53999" s="136"/>
      <c r="CM53999" s="111"/>
      <c r="CQ53999" s="111"/>
      <c r="EF53999"/>
      <c r="EG53999"/>
      <c r="EH53999"/>
      <c r="EI53999"/>
      <c r="EJ53999"/>
      <c r="EK53999"/>
    </row>
    <row r="54000" spans="1:141" s="116" customFormat="1">
      <c r="A54000" s="136"/>
      <c r="CM54000" s="111"/>
      <c r="CQ54000" s="111"/>
      <c r="EF54000"/>
      <c r="EG54000"/>
      <c r="EH54000"/>
      <c r="EI54000"/>
      <c r="EJ54000"/>
      <c r="EK54000"/>
    </row>
    <row r="54001" spans="1:141" s="116" customFormat="1">
      <c r="A54001" s="136"/>
      <c r="CM54001" s="111"/>
      <c r="CQ54001" s="111"/>
      <c r="EF54001"/>
      <c r="EG54001"/>
      <c r="EH54001"/>
      <c r="EI54001"/>
      <c r="EJ54001"/>
      <c r="EK54001"/>
    </row>
    <row r="54002" spans="1:141" s="116" customFormat="1">
      <c r="A54002" s="136"/>
      <c r="CM54002" s="111"/>
      <c r="CQ54002" s="111"/>
      <c r="EF54002"/>
      <c r="EG54002"/>
      <c r="EH54002"/>
      <c r="EI54002"/>
      <c r="EJ54002"/>
      <c r="EK54002"/>
    </row>
    <row r="54003" spans="1:141" s="116" customFormat="1">
      <c r="A54003" s="136"/>
      <c r="CM54003" s="111"/>
      <c r="CQ54003" s="111"/>
      <c r="EF54003"/>
      <c r="EG54003"/>
      <c r="EH54003"/>
      <c r="EI54003"/>
      <c r="EJ54003"/>
      <c r="EK54003"/>
    </row>
    <row r="54004" spans="1:141" s="116" customFormat="1">
      <c r="A54004" s="136"/>
      <c r="CM54004" s="111"/>
      <c r="CQ54004" s="111"/>
      <c r="EF54004"/>
      <c r="EG54004"/>
      <c r="EH54004"/>
      <c r="EI54004"/>
      <c r="EJ54004"/>
      <c r="EK54004"/>
    </row>
    <row r="54005" spans="1:141" s="116" customFormat="1">
      <c r="A54005" s="136"/>
      <c r="CM54005" s="111"/>
      <c r="CQ54005" s="111"/>
      <c r="EF54005"/>
      <c r="EG54005"/>
      <c r="EH54005"/>
      <c r="EI54005"/>
      <c r="EJ54005"/>
      <c r="EK54005"/>
    </row>
    <row r="54006" spans="1:141" s="116" customFormat="1">
      <c r="A54006" s="136"/>
      <c r="CM54006" s="111"/>
      <c r="CQ54006" s="111"/>
      <c r="EF54006"/>
      <c r="EG54006"/>
      <c r="EH54006"/>
      <c r="EI54006"/>
      <c r="EJ54006"/>
      <c r="EK54006"/>
    </row>
    <row r="54007" spans="1:141" s="116" customFormat="1">
      <c r="A54007" s="136"/>
      <c r="CM54007" s="111"/>
      <c r="CQ54007" s="111"/>
      <c r="EF54007"/>
      <c r="EG54007"/>
      <c r="EH54007"/>
      <c r="EI54007"/>
      <c r="EJ54007"/>
      <c r="EK54007"/>
    </row>
    <row r="54008" spans="1:141" s="116" customFormat="1">
      <c r="A54008" s="136"/>
      <c r="CM54008" s="111"/>
      <c r="CQ54008" s="111"/>
      <c r="EF54008"/>
      <c r="EG54008"/>
      <c r="EH54008"/>
      <c r="EI54008"/>
      <c r="EJ54008"/>
      <c r="EK54008"/>
    </row>
    <row r="54009" spans="1:141" s="116" customFormat="1">
      <c r="A54009" s="136"/>
      <c r="CM54009" s="111"/>
      <c r="CQ54009" s="111"/>
      <c r="EF54009"/>
      <c r="EG54009"/>
      <c r="EH54009"/>
      <c r="EI54009"/>
      <c r="EJ54009"/>
      <c r="EK54009"/>
    </row>
    <row r="54010" spans="1:141" s="116" customFormat="1">
      <c r="A54010" s="136"/>
      <c r="CM54010" s="111"/>
      <c r="CQ54010" s="111"/>
      <c r="EF54010"/>
      <c r="EG54010"/>
      <c r="EH54010"/>
      <c r="EI54010"/>
      <c r="EJ54010"/>
      <c r="EK54010"/>
    </row>
    <row r="54011" spans="1:141" s="116" customFormat="1">
      <c r="A54011" s="136"/>
      <c r="CM54011" s="111"/>
      <c r="CQ54011" s="111"/>
      <c r="EF54011"/>
      <c r="EG54011"/>
      <c r="EH54011"/>
      <c r="EI54011"/>
      <c r="EJ54011"/>
      <c r="EK54011"/>
    </row>
    <row r="54012" spans="1:141" s="116" customFormat="1">
      <c r="A54012" s="136"/>
      <c r="CM54012" s="111"/>
      <c r="CQ54012" s="111"/>
      <c r="EF54012"/>
      <c r="EG54012"/>
      <c r="EH54012"/>
      <c r="EI54012"/>
      <c r="EJ54012"/>
      <c r="EK54012"/>
    </row>
    <row r="54013" spans="1:141" s="116" customFormat="1">
      <c r="A54013" s="136"/>
      <c r="CM54013" s="111"/>
      <c r="CQ54013" s="111"/>
      <c r="EF54013"/>
      <c r="EG54013"/>
      <c r="EH54013"/>
      <c r="EI54013"/>
      <c r="EJ54013"/>
      <c r="EK54013"/>
    </row>
    <row r="54014" spans="1:141" s="116" customFormat="1">
      <c r="A54014" s="136"/>
      <c r="CM54014" s="111"/>
      <c r="CQ54014" s="111"/>
      <c r="EF54014"/>
      <c r="EG54014"/>
      <c r="EH54014"/>
      <c r="EI54014"/>
      <c r="EJ54014"/>
      <c r="EK54014"/>
    </row>
    <row r="54015" spans="1:141" s="116" customFormat="1">
      <c r="A54015" s="136"/>
      <c r="CM54015" s="111"/>
      <c r="CQ54015" s="111"/>
      <c r="EF54015"/>
      <c r="EG54015"/>
      <c r="EH54015"/>
      <c r="EI54015"/>
      <c r="EJ54015"/>
      <c r="EK54015"/>
    </row>
    <row r="54016" spans="1:141" s="116" customFormat="1">
      <c r="A54016" s="136"/>
      <c r="CM54016" s="111"/>
      <c r="CQ54016" s="111"/>
      <c r="EF54016"/>
      <c r="EG54016"/>
      <c r="EH54016"/>
      <c r="EI54016"/>
      <c r="EJ54016"/>
      <c r="EK54016"/>
    </row>
    <row r="54017" spans="1:141" s="116" customFormat="1">
      <c r="A54017" s="136"/>
      <c r="CM54017" s="111"/>
      <c r="CQ54017" s="111"/>
      <c r="EF54017"/>
      <c r="EG54017"/>
      <c r="EH54017"/>
      <c r="EI54017"/>
      <c r="EJ54017"/>
      <c r="EK54017"/>
    </row>
    <row r="54018" spans="1:141" s="116" customFormat="1">
      <c r="A54018" s="136"/>
      <c r="CM54018" s="111"/>
      <c r="CQ54018" s="111"/>
      <c r="EF54018"/>
      <c r="EG54018"/>
      <c r="EH54018"/>
      <c r="EI54018"/>
      <c r="EJ54018"/>
      <c r="EK54018"/>
    </row>
    <row r="54019" spans="1:141" s="116" customFormat="1">
      <c r="A54019" s="136"/>
      <c r="CM54019" s="111"/>
      <c r="CQ54019" s="111"/>
      <c r="EF54019"/>
      <c r="EG54019"/>
      <c r="EH54019"/>
      <c r="EI54019"/>
      <c r="EJ54019"/>
      <c r="EK54019"/>
    </row>
    <row r="54020" spans="1:141" s="116" customFormat="1">
      <c r="A54020" s="136"/>
      <c r="CM54020" s="111"/>
      <c r="CQ54020" s="111"/>
      <c r="EF54020"/>
      <c r="EG54020"/>
      <c r="EH54020"/>
      <c r="EI54020"/>
      <c r="EJ54020"/>
      <c r="EK54020"/>
    </row>
    <row r="54021" spans="1:141" s="116" customFormat="1">
      <c r="A54021" s="136"/>
      <c r="CM54021" s="111"/>
      <c r="CQ54021" s="111"/>
      <c r="EF54021"/>
      <c r="EG54021"/>
      <c r="EH54021"/>
      <c r="EI54021"/>
      <c r="EJ54021"/>
      <c r="EK54021"/>
    </row>
    <row r="54022" spans="1:141" s="116" customFormat="1">
      <c r="A54022" s="136"/>
      <c r="CM54022" s="111"/>
      <c r="CQ54022" s="111"/>
      <c r="EF54022"/>
      <c r="EG54022"/>
      <c r="EH54022"/>
      <c r="EI54022"/>
      <c r="EJ54022"/>
      <c r="EK54022"/>
    </row>
    <row r="54023" spans="1:141" s="116" customFormat="1">
      <c r="A54023" s="136"/>
      <c r="CM54023" s="111"/>
      <c r="CQ54023" s="111"/>
      <c r="EF54023"/>
      <c r="EG54023"/>
      <c r="EH54023"/>
      <c r="EI54023"/>
      <c r="EJ54023"/>
      <c r="EK54023"/>
    </row>
    <row r="54024" spans="1:141" s="116" customFormat="1">
      <c r="A54024" s="136"/>
      <c r="CM54024" s="111"/>
      <c r="CQ54024" s="111"/>
      <c r="EF54024"/>
      <c r="EG54024"/>
      <c r="EH54024"/>
      <c r="EI54024"/>
      <c r="EJ54024"/>
      <c r="EK54024"/>
    </row>
    <row r="54025" spans="1:141" s="116" customFormat="1">
      <c r="A54025" s="136"/>
      <c r="CM54025" s="111"/>
      <c r="CQ54025" s="111"/>
      <c r="EF54025"/>
      <c r="EG54025"/>
      <c r="EH54025"/>
      <c r="EI54025"/>
      <c r="EJ54025"/>
      <c r="EK54025"/>
    </row>
    <row r="54026" spans="1:141" s="116" customFormat="1">
      <c r="A54026" s="136"/>
      <c r="CM54026" s="111"/>
      <c r="CQ54026" s="111"/>
      <c r="EF54026"/>
      <c r="EG54026"/>
      <c r="EH54026"/>
      <c r="EI54026"/>
      <c r="EJ54026"/>
      <c r="EK54026"/>
    </row>
    <row r="54027" spans="1:141" s="116" customFormat="1">
      <c r="A54027" s="136"/>
      <c r="CM54027" s="111"/>
      <c r="CQ54027" s="111"/>
      <c r="EF54027"/>
      <c r="EG54027"/>
      <c r="EH54027"/>
      <c r="EI54027"/>
      <c r="EJ54027"/>
      <c r="EK54027"/>
    </row>
    <row r="54028" spans="1:141" s="116" customFormat="1">
      <c r="A54028" s="136"/>
      <c r="CM54028" s="111"/>
      <c r="CQ54028" s="111"/>
      <c r="EF54028"/>
      <c r="EG54028"/>
      <c r="EH54028"/>
      <c r="EI54028"/>
      <c r="EJ54028"/>
      <c r="EK54028"/>
    </row>
    <row r="54029" spans="1:141" s="116" customFormat="1">
      <c r="A54029" s="136"/>
      <c r="CM54029" s="111"/>
      <c r="CQ54029" s="111"/>
      <c r="EF54029"/>
      <c r="EG54029"/>
      <c r="EH54029"/>
      <c r="EI54029"/>
      <c r="EJ54029"/>
      <c r="EK54029"/>
    </row>
    <row r="54030" spans="1:141" s="116" customFormat="1">
      <c r="A54030" s="136"/>
      <c r="CM54030" s="111"/>
      <c r="CQ54030" s="111"/>
      <c r="EF54030"/>
      <c r="EG54030"/>
      <c r="EH54030"/>
      <c r="EI54030"/>
      <c r="EJ54030"/>
      <c r="EK54030"/>
    </row>
    <row r="54031" spans="1:141" s="116" customFormat="1">
      <c r="A54031" s="136"/>
      <c r="CM54031" s="111"/>
      <c r="CQ54031" s="111"/>
      <c r="EF54031"/>
      <c r="EG54031"/>
      <c r="EH54031"/>
      <c r="EI54031"/>
      <c r="EJ54031"/>
      <c r="EK54031"/>
    </row>
    <row r="54032" spans="1:141" s="116" customFormat="1">
      <c r="A54032" s="136"/>
      <c r="CM54032" s="111"/>
      <c r="CQ54032" s="111"/>
      <c r="EF54032"/>
      <c r="EG54032"/>
      <c r="EH54032"/>
      <c r="EI54032"/>
      <c r="EJ54032"/>
      <c r="EK54032"/>
    </row>
    <row r="54033" spans="1:141" s="116" customFormat="1">
      <c r="A54033" s="136"/>
      <c r="CM54033" s="111"/>
      <c r="CQ54033" s="111"/>
      <c r="EF54033"/>
      <c r="EG54033"/>
      <c r="EH54033"/>
      <c r="EI54033"/>
      <c r="EJ54033"/>
      <c r="EK54033"/>
    </row>
    <row r="54034" spans="1:141" s="116" customFormat="1">
      <c r="A54034" s="136"/>
      <c r="CM54034" s="111"/>
      <c r="CQ54034" s="111"/>
      <c r="EF54034"/>
      <c r="EG54034"/>
      <c r="EH54034"/>
      <c r="EI54034"/>
      <c r="EJ54034"/>
      <c r="EK54034"/>
    </row>
    <row r="54035" spans="1:141" s="116" customFormat="1">
      <c r="A54035" s="136"/>
      <c r="CM54035" s="111"/>
      <c r="CQ54035" s="111"/>
      <c r="EF54035"/>
      <c r="EG54035"/>
      <c r="EH54035"/>
      <c r="EI54035"/>
      <c r="EJ54035"/>
      <c r="EK54035"/>
    </row>
    <row r="54036" spans="1:141" s="116" customFormat="1">
      <c r="A54036" s="136"/>
      <c r="CM54036" s="111"/>
      <c r="CQ54036" s="111"/>
      <c r="EF54036"/>
      <c r="EG54036"/>
      <c r="EH54036"/>
      <c r="EI54036"/>
      <c r="EJ54036"/>
      <c r="EK54036"/>
    </row>
    <row r="54037" spans="1:141" s="116" customFormat="1">
      <c r="A54037" s="136"/>
      <c r="CM54037" s="111"/>
      <c r="CQ54037" s="111"/>
      <c r="EF54037"/>
      <c r="EG54037"/>
      <c r="EH54037"/>
      <c r="EI54037"/>
      <c r="EJ54037"/>
      <c r="EK54037"/>
    </row>
    <row r="54038" spans="1:141" s="116" customFormat="1">
      <c r="A54038" s="136"/>
      <c r="CM54038" s="111"/>
      <c r="CQ54038" s="111"/>
      <c r="EF54038"/>
      <c r="EG54038"/>
      <c r="EH54038"/>
      <c r="EI54038"/>
      <c r="EJ54038"/>
      <c r="EK54038"/>
    </row>
    <row r="54039" spans="1:141" s="116" customFormat="1">
      <c r="A54039" s="136"/>
      <c r="CM54039" s="111"/>
      <c r="CQ54039" s="111"/>
      <c r="EF54039"/>
      <c r="EG54039"/>
      <c r="EH54039"/>
      <c r="EI54039"/>
      <c r="EJ54039"/>
      <c r="EK54039"/>
    </row>
    <row r="54040" spans="1:141" s="116" customFormat="1">
      <c r="A54040" s="136"/>
      <c r="CM54040" s="111"/>
      <c r="CQ54040" s="111"/>
      <c r="EF54040"/>
      <c r="EG54040"/>
      <c r="EH54040"/>
      <c r="EI54040"/>
      <c r="EJ54040"/>
      <c r="EK54040"/>
    </row>
    <row r="54041" spans="1:141" s="116" customFormat="1">
      <c r="A54041" s="136"/>
      <c r="CM54041" s="111"/>
      <c r="CQ54041" s="111"/>
      <c r="EF54041"/>
      <c r="EG54041"/>
      <c r="EH54041"/>
      <c r="EI54041"/>
      <c r="EJ54041"/>
      <c r="EK54041"/>
    </row>
    <row r="54042" spans="1:141" s="116" customFormat="1">
      <c r="A54042" s="136"/>
      <c r="CM54042" s="111"/>
      <c r="CQ54042" s="111"/>
      <c r="EF54042"/>
      <c r="EG54042"/>
      <c r="EH54042"/>
      <c r="EI54042"/>
      <c r="EJ54042"/>
      <c r="EK54042"/>
    </row>
    <row r="54043" spans="1:141" s="116" customFormat="1">
      <c r="A54043" s="136"/>
      <c r="CM54043" s="111"/>
      <c r="CQ54043" s="111"/>
      <c r="EF54043"/>
      <c r="EG54043"/>
      <c r="EH54043"/>
      <c r="EI54043"/>
      <c r="EJ54043"/>
      <c r="EK54043"/>
    </row>
    <row r="54044" spans="1:141" s="116" customFormat="1">
      <c r="A54044" s="136"/>
      <c r="CM54044" s="111"/>
      <c r="CQ54044" s="111"/>
      <c r="EF54044"/>
      <c r="EG54044"/>
      <c r="EH54044"/>
      <c r="EI54044"/>
      <c r="EJ54044"/>
      <c r="EK54044"/>
    </row>
    <row r="54045" spans="1:141" s="116" customFormat="1">
      <c r="A54045" s="136"/>
      <c r="CM54045" s="111"/>
      <c r="CQ54045" s="111"/>
      <c r="EF54045"/>
      <c r="EG54045"/>
      <c r="EH54045"/>
      <c r="EI54045"/>
      <c r="EJ54045"/>
      <c r="EK54045"/>
    </row>
    <row r="54046" spans="1:141" s="116" customFormat="1">
      <c r="A54046" s="136"/>
      <c r="CM54046" s="111"/>
      <c r="CQ54046" s="111"/>
      <c r="EF54046"/>
      <c r="EG54046"/>
      <c r="EH54046"/>
      <c r="EI54046"/>
      <c r="EJ54046"/>
      <c r="EK54046"/>
    </row>
    <row r="54047" spans="1:141" s="116" customFormat="1">
      <c r="A54047" s="136"/>
      <c r="CM54047" s="111"/>
      <c r="CQ54047" s="111"/>
      <c r="EF54047"/>
      <c r="EG54047"/>
      <c r="EH54047"/>
      <c r="EI54047"/>
      <c r="EJ54047"/>
      <c r="EK54047"/>
    </row>
    <row r="54048" spans="1:141" s="116" customFormat="1">
      <c r="A54048" s="136"/>
      <c r="CM54048" s="111"/>
      <c r="CQ54048" s="111"/>
      <c r="EF54048"/>
      <c r="EG54048"/>
      <c r="EH54048"/>
      <c r="EI54048"/>
      <c r="EJ54048"/>
      <c r="EK54048"/>
    </row>
    <row r="54049" spans="1:141" s="116" customFormat="1">
      <c r="A54049" s="136"/>
      <c r="CM54049" s="111"/>
      <c r="CQ54049" s="111"/>
      <c r="EF54049"/>
      <c r="EG54049"/>
      <c r="EH54049"/>
      <c r="EI54049"/>
      <c r="EJ54049"/>
      <c r="EK54049"/>
    </row>
    <row r="54050" spans="1:141" s="116" customFormat="1">
      <c r="A54050" s="136"/>
      <c r="CM54050" s="111"/>
      <c r="CQ54050" s="111"/>
      <c r="EF54050"/>
      <c r="EG54050"/>
      <c r="EH54050"/>
      <c r="EI54050"/>
      <c r="EJ54050"/>
      <c r="EK54050"/>
    </row>
    <row r="54051" spans="1:141" s="116" customFormat="1">
      <c r="A54051" s="136"/>
      <c r="CM54051" s="111"/>
      <c r="CQ54051" s="111"/>
      <c r="EF54051"/>
      <c r="EG54051"/>
      <c r="EH54051"/>
      <c r="EI54051"/>
      <c r="EJ54051"/>
      <c r="EK54051"/>
    </row>
    <row r="54052" spans="1:141" s="116" customFormat="1">
      <c r="A54052" s="136"/>
      <c r="CM54052" s="111"/>
      <c r="CQ54052" s="111"/>
      <c r="EF54052"/>
      <c r="EG54052"/>
      <c r="EH54052"/>
      <c r="EI54052"/>
      <c r="EJ54052"/>
      <c r="EK54052"/>
    </row>
    <row r="54053" spans="1:141" s="116" customFormat="1">
      <c r="A54053" s="136"/>
      <c r="CM54053" s="111"/>
      <c r="CQ54053" s="111"/>
      <c r="EF54053"/>
      <c r="EG54053"/>
      <c r="EH54053"/>
      <c r="EI54053"/>
      <c r="EJ54053"/>
      <c r="EK54053"/>
    </row>
    <row r="54054" spans="1:141" s="116" customFormat="1">
      <c r="A54054" s="136"/>
      <c r="CM54054" s="111"/>
      <c r="CQ54054" s="111"/>
      <c r="EF54054"/>
      <c r="EG54054"/>
      <c r="EH54054"/>
      <c r="EI54054"/>
      <c r="EJ54054"/>
      <c r="EK54054"/>
    </row>
    <row r="54055" spans="1:141" s="116" customFormat="1">
      <c r="A54055" s="136"/>
      <c r="CM54055" s="111"/>
      <c r="CQ54055" s="111"/>
      <c r="EF54055"/>
      <c r="EG54055"/>
      <c r="EH54055"/>
      <c r="EI54055"/>
      <c r="EJ54055"/>
      <c r="EK54055"/>
    </row>
    <row r="54056" spans="1:141" s="116" customFormat="1">
      <c r="A54056" s="136"/>
      <c r="CM54056" s="111"/>
      <c r="CQ54056" s="111"/>
      <c r="EF54056"/>
      <c r="EG54056"/>
      <c r="EH54056"/>
      <c r="EI54056"/>
      <c r="EJ54056"/>
      <c r="EK54056"/>
    </row>
    <row r="54057" spans="1:141" s="116" customFormat="1">
      <c r="A54057" s="136"/>
      <c r="CM54057" s="111"/>
      <c r="CQ54057" s="111"/>
      <c r="EF54057"/>
      <c r="EG54057"/>
      <c r="EH54057"/>
      <c r="EI54057"/>
      <c r="EJ54057"/>
      <c r="EK54057"/>
    </row>
    <row r="54058" spans="1:141" s="116" customFormat="1">
      <c r="A54058" s="136"/>
      <c r="CM54058" s="111"/>
      <c r="CQ54058" s="111"/>
      <c r="EF54058"/>
      <c r="EG54058"/>
      <c r="EH54058"/>
      <c r="EI54058"/>
      <c r="EJ54058"/>
      <c r="EK54058"/>
    </row>
    <row r="54059" spans="1:141" s="116" customFormat="1">
      <c r="A54059" s="136"/>
      <c r="CM54059" s="111"/>
      <c r="CQ54059" s="111"/>
      <c r="EF54059"/>
      <c r="EG54059"/>
      <c r="EH54059"/>
      <c r="EI54059"/>
      <c r="EJ54059"/>
      <c r="EK54059"/>
    </row>
    <row r="54060" spans="1:141" s="116" customFormat="1">
      <c r="A54060" s="136"/>
      <c r="CM54060" s="111"/>
      <c r="CQ54060" s="111"/>
      <c r="EF54060"/>
      <c r="EG54060"/>
      <c r="EH54060"/>
      <c r="EI54060"/>
      <c r="EJ54060"/>
      <c r="EK54060"/>
    </row>
    <row r="54061" spans="1:141" s="116" customFormat="1">
      <c r="A54061" s="136"/>
      <c r="CM54061" s="111"/>
      <c r="CQ54061" s="111"/>
      <c r="EF54061"/>
      <c r="EG54061"/>
      <c r="EH54061"/>
      <c r="EI54061"/>
      <c r="EJ54061"/>
      <c r="EK54061"/>
    </row>
    <row r="54062" spans="1:141" s="116" customFormat="1">
      <c r="A54062" s="136"/>
      <c r="CM54062" s="111"/>
      <c r="CQ54062" s="111"/>
      <c r="EF54062"/>
      <c r="EG54062"/>
      <c r="EH54062"/>
      <c r="EI54062"/>
      <c r="EJ54062"/>
      <c r="EK54062"/>
    </row>
    <row r="54063" spans="1:141" s="116" customFormat="1">
      <c r="A54063" s="136"/>
      <c r="CM54063" s="111"/>
      <c r="CQ54063" s="111"/>
      <c r="EF54063"/>
      <c r="EG54063"/>
      <c r="EH54063"/>
      <c r="EI54063"/>
      <c r="EJ54063"/>
      <c r="EK54063"/>
    </row>
    <row r="54064" spans="1:141" s="116" customFormat="1">
      <c r="A54064" s="136"/>
      <c r="CM54064" s="111"/>
      <c r="CQ54064" s="111"/>
      <c r="EF54064"/>
      <c r="EG54064"/>
      <c r="EH54064"/>
      <c r="EI54064"/>
      <c r="EJ54064"/>
      <c r="EK54064"/>
    </row>
    <row r="54065" spans="1:141" s="116" customFormat="1">
      <c r="A54065" s="136"/>
      <c r="CM54065" s="111"/>
      <c r="CQ54065" s="111"/>
      <c r="EF54065"/>
      <c r="EG54065"/>
      <c r="EH54065"/>
      <c r="EI54065"/>
      <c r="EJ54065"/>
      <c r="EK54065"/>
    </row>
    <row r="54066" spans="1:141" s="116" customFormat="1">
      <c r="A54066" s="136"/>
      <c r="CM54066" s="111"/>
      <c r="CQ54066" s="111"/>
      <c r="EF54066"/>
      <c r="EG54066"/>
      <c r="EH54066"/>
      <c r="EI54066"/>
      <c r="EJ54066"/>
      <c r="EK54066"/>
    </row>
    <row r="54067" spans="1:141" s="116" customFormat="1">
      <c r="A54067" s="136"/>
      <c r="CM54067" s="111"/>
      <c r="CQ54067" s="111"/>
      <c r="EF54067"/>
      <c r="EG54067"/>
      <c r="EH54067"/>
      <c r="EI54067"/>
      <c r="EJ54067"/>
      <c r="EK54067"/>
    </row>
    <row r="54068" spans="1:141" s="116" customFormat="1">
      <c r="A54068" s="136"/>
      <c r="CM54068" s="111"/>
      <c r="CQ54068" s="111"/>
      <c r="EF54068"/>
      <c r="EG54068"/>
      <c r="EH54068"/>
      <c r="EI54068"/>
      <c r="EJ54068"/>
      <c r="EK54068"/>
    </row>
    <row r="54069" spans="1:141" s="116" customFormat="1">
      <c r="A54069" s="136"/>
      <c r="CM54069" s="111"/>
      <c r="CQ54069" s="111"/>
      <c r="EF54069"/>
      <c r="EG54069"/>
      <c r="EH54069"/>
      <c r="EI54069"/>
      <c r="EJ54069"/>
      <c r="EK54069"/>
    </row>
    <row r="54070" spans="1:141" s="116" customFormat="1">
      <c r="A54070" s="136"/>
      <c r="CM54070" s="111"/>
      <c r="CQ54070" s="111"/>
      <c r="EF54070"/>
      <c r="EG54070"/>
      <c r="EH54070"/>
      <c r="EI54070"/>
      <c r="EJ54070"/>
      <c r="EK54070"/>
    </row>
    <row r="54071" spans="1:141" s="116" customFormat="1">
      <c r="A54071" s="136"/>
      <c r="CM54071" s="111"/>
      <c r="CQ54071" s="111"/>
      <c r="EF54071"/>
      <c r="EG54071"/>
      <c r="EH54071"/>
      <c r="EI54071"/>
      <c r="EJ54071"/>
      <c r="EK54071"/>
    </row>
    <row r="54072" spans="1:141" s="116" customFormat="1">
      <c r="A54072" s="136"/>
      <c r="CM54072" s="111"/>
      <c r="CQ54072" s="111"/>
      <c r="EF54072"/>
      <c r="EG54072"/>
      <c r="EH54072"/>
      <c r="EI54072"/>
      <c r="EJ54072"/>
      <c r="EK54072"/>
    </row>
    <row r="54073" spans="1:141" s="116" customFormat="1">
      <c r="A54073" s="136"/>
      <c r="CM54073" s="111"/>
      <c r="CQ54073" s="111"/>
      <c r="EF54073"/>
      <c r="EG54073"/>
      <c r="EH54073"/>
      <c r="EI54073"/>
      <c r="EJ54073"/>
      <c r="EK54073"/>
    </row>
    <row r="54074" spans="1:141" s="116" customFormat="1">
      <c r="A54074" s="136"/>
      <c r="CM54074" s="111"/>
      <c r="CQ54074" s="111"/>
      <c r="EF54074"/>
      <c r="EG54074"/>
      <c r="EH54074"/>
      <c r="EI54074"/>
      <c r="EJ54074"/>
      <c r="EK54074"/>
    </row>
    <row r="54075" spans="1:141" s="116" customFormat="1">
      <c r="A54075" s="136"/>
      <c r="CM54075" s="111"/>
      <c r="CQ54075" s="111"/>
      <c r="EF54075"/>
      <c r="EG54075"/>
      <c r="EH54075"/>
      <c r="EI54075"/>
      <c r="EJ54075"/>
      <c r="EK54075"/>
    </row>
    <row r="54076" spans="1:141" s="116" customFormat="1">
      <c r="A54076" s="136"/>
      <c r="CM54076" s="111"/>
      <c r="CQ54076" s="111"/>
      <c r="EF54076"/>
      <c r="EG54076"/>
      <c r="EH54076"/>
      <c r="EI54076"/>
      <c r="EJ54076"/>
      <c r="EK54076"/>
    </row>
    <row r="54077" spans="1:141" s="116" customFormat="1">
      <c r="A54077" s="136"/>
      <c r="CM54077" s="111"/>
      <c r="CQ54077" s="111"/>
      <c r="EF54077"/>
      <c r="EG54077"/>
      <c r="EH54077"/>
      <c r="EI54077"/>
      <c r="EJ54077"/>
      <c r="EK54077"/>
    </row>
    <row r="54078" spans="1:141" s="116" customFormat="1">
      <c r="A54078" s="136"/>
      <c r="CM54078" s="111"/>
      <c r="CQ54078" s="111"/>
      <c r="EF54078"/>
      <c r="EG54078"/>
      <c r="EH54078"/>
      <c r="EI54078"/>
      <c r="EJ54078"/>
      <c r="EK54078"/>
    </row>
    <row r="54079" spans="1:141" s="116" customFormat="1">
      <c r="A54079" s="136"/>
      <c r="CM54079" s="111"/>
      <c r="CQ54079" s="111"/>
      <c r="EF54079"/>
      <c r="EG54079"/>
      <c r="EH54079"/>
      <c r="EI54079"/>
      <c r="EJ54079"/>
      <c r="EK54079"/>
    </row>
    <row r="54080" spans="1:141" s="116" customFormat="1">
      <c r="A54080" s="136"/>
      <c r="CM54080" s="111"/>
      <c r="CQ54080" s="111"/>
      <c r="EF54080"/>
      <c r="EG54080"/>
      <c r="EH54080"/>
      <c r="EI54080"/>
      <c r="EJ54080"/>
      <c r="EK54080"/>
    </row>
    <row r="54081" spans="1:141" s="116" customFormat="1">
      <c r="A54081" s="136"/>
      <c r="CM54081" s="111"/>
      <c r="CQ54081" s="111"/>
      <c r="EF54081"/>
      <c r="EG54081"/>
      <c r="EH54081"/>
      <c r="EI54081"/>
      <c r="EJ54081"/>
      <c r="EK54081"/>
    </row>
    <row r="54082" spans="1:141" s="116" customFormat="1">
      <c r="A54082" s="136"/>
      <c r="CM54082" s="111"/>
      <c r="CQ54082" s="111"/>
      <c r="EF54082"/>
      <c r="EG54082"/>
      <c r="EH54082"/>
      <c r="EI54082"/>
      <c r="EJ54082"/>
      <c r="EK54082"/>
    </row>
    <row r="54083" spans="1:141" s="116" customFormat="1">
      <c r="A54083" s="136"/>
      <c r="CM54083" s="111"/>
      <c r="CQ54083" s="111"/>
      <c r="EF54083"/>
      <c r="EG54083"/>
      <c r="EH54083"/>
      <c r="EI54083"/>
      <c r="EJ54083"/>
      <c r="EK54083"/>
    </row>
    <row r="54084" spans="1:141" s="116" customFormat="1">
      <c r="A54084" s="136"/>
      <c r="CM54084" s="111"/>
      <c r="CQ54084" s="111"/>
      <c r="EF54084"/>
      <c r="EG54084"/>
      <c r="EH54084"/>
      <c r="EI54084"/>
      <c r="EJ54084"/>
      <c r="EK54084"/>
    </row>
    <row r="54085" spans="1:141" s="116" customFormat="1">
      <c r="A54085" s="136"/>
      <c r="CM54085" s="111"/>
      <c r="CQ54085" s="111"/>
      <c r="EF54085"/>
      <c r="EG54085"/>
      <c r="EH54085"/>
      <c r="EI54085"/>
      <c r="EJ54085"/>
      <c r="EK54085"/>
    </row>
    <row r="54086" spans="1:141" s="116" customFormat="1">
      <c r="A54086" s="136"/>
      <c r="CM54086" s="111"/>
      <c r="CQ54086" s="111"/>
      <c r="EF54086"/>
      <c r="EG54086"/>
      <c r="EH54086"/>
      <c r="EI54086"/>
      <c r="EJ54086"/>
      <c r="EK54086"/>
    </row>
    <row r="54087" spans="1:141" s="116" customFormat="1">
      <c r="A54087" s="136"/>
      <c r="CM54087" s="111"/>
      <c r="CQ54087" s="111"/>
      <c r="EF54087"/>
      <c r="EG54087"/>
      <c r="EH54087"/>
      <c r="EI54087"/>
      <c r="EJ54087"/>
      <c r="EK54087"/>
    </row>
    <row r="54088" spans="1:141" s="116" customFormat="1">
      <c r="A54088" s="136"/>
      <c r="CM54088" s="111"/>
      <c r="CQ54088" s="111"/>
      <c r="EF54088"/>
      <c r="EG54088"/>
      <c r="EH54088"/>
      <c r="EI54088"/>
      <c r="EJ54088"/>
      <c r="EK54088"/>
    </row>
    <row r="54089" spans="1:141" s="116" customFormat="1">
      <c r="A54089" s="136"/>
      <c r="CM54089" s="111"/>
      <c r="CQ54089" s="111"/>
      <c r="EF54089"/>
      <c r="EG54089"/>
      <c r="EH54089"/>
      <c r="EI54089"/>
      <c r="EJ54089"/>
      <c r="EK54089"/>
    </row>
    <row r="54090" spans="1:141" s="116" customFormat="1">
      <c r="A54090" s="136"/>
      <c r="CM54090" s="111"/>
      <c r="CQ54090" s="111"/>
      <c r="EF54090"/>
      <c r="EG54090"/>
      <c r="EH54090"/>
      <c r="EI54090"/>
      <c r="EJ54090"/>
      <c r="EK54090"/>
    </row>
    <row r="54091" spans="1:141" s="116" customFormat="1">
      <c r="A54091" s="136"/>
      <c r="CM54091" s="111"/>
      <c r="CQ54091" s="111"/>
      <c r="EF54091"/>
      <c r="EG54091"/>
      <c r="EH54091"/>
      <c r="EI54091"/>
      <c r="EJ54091"/>
      <c r="EK54091"/>
    </row>
    <row r="54092" spans="1:141" s="116" customFormat="1">
      <c r="A54092" s="136"/>
      <c r="CM54092" s="111"/>
      <c r="CQ54092" s="111"/>
      <c r="EF54092"/>
      <c r="EG54092"/>
      <c r="EH54092"/>
      <c r="EI54092"/>
      <c r="EJ54092"/>
      <c r="EK54092"/>
    </row>
    <row r="54093" spans="1:141" s="116" customFormat="1">
      <c r="A54093" s="136"/>
      <c r="CM54093" s="111"/>
      <c r="CQ54093" s="111"/>
      <c r="EF54093"/>
      <c r="EG54093"/>
      <c r="EH54093"/>
      <c r="EI54093"/>
      <c r="EJ54093"/>
      <c r="EK54093"/>
    </row>
    <row r="54094" spans="1:141" s="116" customFormat="1">
      <c r="A54094" s="136"/>
      <c r="CM54094" s="111"/>
      <c r="CQ54094" s="111"/>
      <c r="EF54094"/>
      <c r="EG54094"/>
      <c r="EH54094"/>
      <c r="EI54094"/>
      <c r="EJ54094"/>
      <c r="EK54094"/>
    </row>
    <row r="54095" spans="1:141" s="116" customFormat="1">
      <c r="A54095" s="136"/>
      <c r="CM54095" s="111"/>
      <c r="CQ54095" s="111"/>
      <c r="EF54095"/>
      <c r="EG54095"/>
      <c r="EH54095"/>
      <c r="EI54095"/>
      <c r="EJ54095"/>
      <c r="EK54095"/>
    </row>
    <row r="54096" spans="1:141" s="116" customFormat="1">
      <c r="A54096" s="136"/>
      <c r="CM54096" s="111"/>
      <c r="CQ54096" s="111"/>
      <c r="EF54096"/>
      <c r="EG54096"/>
      <c r="EH54096"/>
      <c r="EI54096"/>
      <c r="EJ54096"/>
      <c r="EK54096"/>
    </row>
    <row r="54097" spans="1:141" s="116" customFormat="1">
      <c r="A54097" s="136"/>
      <c r="CM54097" s="111"/>
      <c r="CQ54097" s="111"/>
      <c r="EF54097"/>
      <c r="EG54097"/>
      <c r="EH54097"/>
      <c r="EI54097"/>
      <c r="EJ54097"/>
      <c r="EK54097"/>
    </row>
    <row r="54098" spans="1:141" s="116" customFormat="1">
      <c r="A54098" s="136"/>
      <c r="CM54098" s="111"/>
      <c r="CQ54098" s="111"/>
      <c r="EF54098"/>
      <c r="EG54098"/>
      <c r="EH54098"/>
      <c r="EI54098"/>
      <c r="EJ54098"/>
      <c r="EK54098"/>
    </row>
    <row r="54099" spans="1:141" s="116" customFormat="1">
      <c r="A54099" s="136"/>
      <c r="CM54099" s="111"/>
      <c r="CQ54099" s="111"/>
      <c r="EF54099"/>
      <c r="EG54099"/>
      <c r="EH54099"/>
      <c r="EI54099"/>
      <c r="EJ54099"/>
      <c r="EK54099"/>
    </row>
    <row r="54100" spans="1:141" s="116" customFormat="1">
      <c r="A54100" s="136"/>
      <c r="CM54100" s="111"/>
      <c r="CQ54100" s="111"/>
      <c r="EF54100"/>
      <c r="EG54100"/>
      <c r="EH54100"/>
      <c r="EI54100"/>
      <c r="EJ54100"/>
      <c r="EK54100"/>
    </row>
    <row r="54101" spans="1:141" s="116" customFormat="1">
      <c r="A54101" s="136"/>
      <c r="CM54101" s="111"/>
      <c r="CQ54101" s="111"/>
      <c r="EF54101"/>
      <c r="EG54101"/>
      <c r="EH54101"/>
      <c r="EI54101"/>
      <c r="EJ54101"/>
      <c r="EK54101"/>
    </row>
    <row r="54102" spans="1:141" s="116" customFormat="1">
      <c r="A54102" s="136"/>
      <c r="CM54102" s="111"/>
      <c r="CQ54102" s="111"/>
      <c r="EF54102"/>
      <c r="EG54102"/>
      <c r="EH54102"/>
      <c r="EI54102"/>
      <c r="EJ54102"/>
      <c r="EK54102"/>
    </row>
    <row r="54103" spans="1:141" s="116" customFormat="1">
      <c r="A54103" s="136"/>
      <c r="CM54103" s="111"/>
      <c r="CQ54103" s="111"/>
      <c r="EF54103"/>
      <c r="EG54103"/>
      <c r="EH54103"/>
      <c r="EI54103"/>
      <c r="EJ54103"/>
      <c r="EK54103"/>
    </row>
    <row r="54104" spans="1:141" s="116" customFormat="1">
      <c r="A54104" s="136"/>
      <c r="CM54104" s="111"/>
      <c r="CQ54104" s="111"/>
      <c r="EF54104"/>
      <c r="EG54104"/>
      <c r="EH54104"/>
      <c r="EI54104"/>
      <c r="EJ54104"/>
      <c r="EK54104"/>
    </row>
    <row r="54105" spans="1:141" s="116" customFormat="1">
      <c r="A54105" s="136"/>
      <c r="CM54105" s="111"/>
      <c r="CQ54105" s="111"/>
      <c r="EF54105"/>
      <c r="EG54105"/>
      <c r="EH54105"/>
      <c r="EI54105"/>
      <c r="EJ54105"/>
      <c r="EK54105"/>
    </row>
    <row r="54106" spans="1:141" s="116" customFormat="1">
      <c r="A54106" s="136"/>
      <c r="CM54106" s="111"/>
      <c r="CQ54106" s="111"/>
      <c r="EF54106"/>
      <c r="EG54106"/>
      <c r="EH54106"/>
      <c r="EI54106"/>
      <c r="EJ54106"/>
      <c r="EK54106"/>
    </row>
    <row r="54107" spans="1:141" s="116" customFormat="1">
      <c r="A54107" s="136"/>
      <c r="CM54107" s="111"/>
      <c r="CQ54107" s="111"/>
      <c r="EF54107"/>
      <c r="EG54107"/>
      <c r="EH54107"/>
      <c r="EI54107"/>
      <c r="EJ54107"/>
      <c r="EK54107"/>
    </row>
    <row r="54108" spans="1:141" s="116" customFormat="1">
      <c r="A54108" s="136"/>
      <c r="CM54108" s="111"/>
      <c r="CQ54108" s="111"/>
      <c r="EF54108"/>
      <c r="EG54108"/>
      <c r="EH54108"/>
      <c r="EI54108"/>
      <c r="EJ54108"/>
      <c r="EK54108"/>
    </row>
    <row r="54109" spans="1:141" s="116" customFormat="1">
      <c r="A54109" s="136"/>
      <c r="CM54109" s="111"/>
      <c r="CQ54109" s="111"/>
      <c r="EF54109"/>
      <c r="EG54109"/>
      <c r="EH54109"/>
      <c r="EI54109"/>
      <c r="EJ54109"/>
      <c r="EK54109"/>
    </row>
    <row r="54110" spans="1:141" s="116" customFormat="1">
      <c r="A54110" s="136"/>
      <c r="CM54110" s="111"/>
      <c r="CQ54110" s="111"/>
      <c r="EF54110"/>
      <c r="EG54110"/>
      <c r="EH54110"/>
      <c r="EI54110"/>
      <c r="EJ54110"/>
      <c r="EK54110"/>
    </row>
    <row r="54111" spans="1:141" s="116" customFormat="1">
      <c r="A54111" s="136"/>
      <c r="CM54111" s="111"/>
      <c r="CQ54111" s="111"/>
      <c r="EF54111"/>
      <c r="EG54111"/>
      <c r="EH54111"/>
      <c r="EI54111"/>
      <c r="EJ54111"/>
      <c r="EK54111"/>
    </row>
    <row r="54112" spans="1:141" s="116" customFormat="1">
      <c r="A54112" s="136"/>
      <c r="CM54112" s="111"/>
      <c r="CQ54112" s="111"/>
      <c r="EF54112"/>
      <c r="EG54112"/>
      <c r="EH54112"/>
      <c r="EI54112"/>
      <c r="EJ54112"/>
      <c r="EK54112"/>
    </row>
    <row r="54113" spans="1:141" s="116" customFormat="1">
      <c r="A54113" s="136"/>
      <c r="CM54113" s="111"/>
      <c r="CQ54113" s="111"/>
      <c r="EF54113"/>
      <c r="EG54113"/>
      <c r="EH54113"/>
      <c r="EI54113"/>
      <c r="EJ54113"/>
      <c r="EK54113"/>
    </row>
    <row r="54114" spans="1:141" s="116" customFormat="1">
      <c r="A54114" s="136"/>
      <c r="CM54114" s="111"/>
      <c r="CQ54114" s="111"/>
      <c r="EF54114"/>
      <c r="EG54114"/>
      <c r="EH54114"/>
      <c r="EI54114"/>
      <c r="EJ54114"/>
      <c r="EK54114"/>
    </row>
    <row r="54115" spans="1:141" s="116" customFormat="1">
      <c r="A54115" s="136"/>
      <c r="CM54115" s="111"/>
      <c r="CQ54115" s="111"/>
      <c r="EF54115"/>
      <c r="EG54115"/>
      <c r="EH54115"/>
      <c r="EI54115"/>
      <c r="EJ54115"/>
      <c r="EK54115"/>
    </row>
    <row r="54116" spans="1:141" s="116" customFormat="1">
      <c r="A54116" s="136"/>
      <c r="CM54116" s="111"/>
      <c r="CQ54116" s="111"/>
      <c r="EF54116"/>
      <c r="EG54116"/>
      <c r="EH54116"/>
      <c r="EI54116"/>
      <c r="EJ54116"/>
      <c r="EK54116"/>
    </row>
    <row r="54117" spans="1:141" s="116" customFormat="1">
      <c r="A54117" s="136"/>
      <c r="CM54117" s="111"/>
      <c r="CQ54117" s="111"/>
      <c r="EF54117"/>
      <c r="EG54117"/>
      <c r="EH54117"/>
      <c r="EI54117"/>
      <c r="EJ54117"/>
      <c r="EK54117"/>
    </row>
    <row r="54118" spans="1:141" s="116" customFormat="1">
      <c r="A54118" s="136"/>
      <c r="CM54118" s="111"/>
      <c r="CQ54118" s="111"/>
      <c r="EF54118"/>
      <c r="EG54118"/>
      <c r="EH54118"/>
      <c r="EI54118"/>
      <c r="EJ54118"/>
      <c r="EK54118"/>
    </row>
    <row r="54119" spans="1:141" s="116" customFormat="1">
      <c r="A54119" s="136"/>
      <c r="CM54119" s="111"/>
      <c r="CQ54119" s="111"/>
      <c r="EF54119"/>
      <c r="EG54119"/>
      <c r="EH54119"/>
      <c r="EI54119"/>
      <c r="EJ54119"/>
      <c r="EK54119"/>
    </row>
    <row r="54120" spans="1:141" s="116" customFormat="1">
      <c r="A54120" s="136"/>
      <c r="CM54120" s="111"/>
      <c r="CQ54120" s="111"/>
      <c r="EF54120"/>
      <c r="EG54120"/>
      <c r="EH54120"/>
      <c r="EI54120"/>
      <c r="EJ54120"/>
      <c r="EK54120"/>
    </row>
    <row r="54121" spans="1:141" s="116" customFormat="1">
      <c r="A54121" s="136"/>
      <c r="CM54121" s="111"/>
      <c r="CQ54121" s="111"/>
      <c r="EF54121"/>
      <c r="EG54121"/>
      <c r="EH54121"/>
      <c r="EI54121"/>
      <c r="EJ54121"/>
      <c r="EK54121"/>
    </row>
    <row r="54122" spans="1:141" s="116" customFormat="1">
      <c r="A54122" s="136"/>
      <c r="CM54122" s="111"/>
      <c r="CQ54122" s="111"/>
      <c r="EF54122"/>
      <c r="EG54122"/>
      <c r="EH54122"/>
      <c r="EI54122"/>
      <c r="EJ54122"/>
      <c r="EK54122"/>
    </row>
    <row r="54123" spans="1:141" s="116" customFormat="1">
      <c r="A54123" s="136"/>
      <c r="CM54123" s="111"/>
      <c r="CQ54123" s="111"/>
      <c r="EF54123"/>
      <c r="EG54123"/>
      <c r="EH54123"/>
      <c r="EI54123"/>
      <c r="EJ54123"/>
      <c r="EK54123"/>
    </row>
    <row r="54124" spans="1:141" s="116" customFormat="1">
      <c r="A54124" s="136"/>
      <c r="CM54124" s="111"/>
      <c r="CQ54124" s="111"/>
      <c r="EF54124"/>
      <c r="EG54124"/>
      <c r="EH54124"/>
      <c r="EI54124"/>
      <c r="EJ54124"/>
      <c r="EK54124"/>
    </row>
    <row r="54125" spans="1:141" s="116" customFormat="1">
      <c r="A54125" s="136"/>
      <c r="CM54125" s="111"/>
      <c r="CQ54125" s="111"/>
      <c r="EF54125"/>
      <c r="EG54125"/>
      <c r="EH54125"/>
      <c r="EI54125"/>
      <c r="EJ54125"/>
      <c r="EK54125"/>
    </row>
    <row r="54126" spans="1:141" s="116" customFormat="1">
      <c r="A54126" s="136"/>
      <c r="CM54126" s="111"/>
      <c r="CQ54126" s="111"/>
      <c r="EF54126"/>
      <c r="EG54126"/>
      <c r="EH54126"/>
      <c r="EI54126"/>
      <c r="EJ54126"/>
      <c r="EK54126"/>
    </row>
    <row r="54127" spans="1:141" s="116" customFormat="1">
      <c r="A54127" s="136"/>
      <c r="CM54127" s="111"/>
      <c r="CQ54127" s="111"/>
      <c r="EF54127"/>
      <c r="EG54127"/>
      <c r="EH54127"/>
      <c r="EI54127"/>
      <c r="EJ54127"/>
      <c r="EK54127"/>
    </row>
    <row r="54128" spans="1:141" s="116" customFormat="1">
      <c r="A54128" s="136"/>
      <c r="CM54128" s="111"/>
      <c r="CQ54128" s="111"/>
      <c r="EF54128"/>
      <c r="EG54128"/>
      <c r="EH54128"/>
      <c r="EI54128"/>
      <c r="EJ54128"/>
      <c r="EK54128"/>
    </row>
    <row r="54129" spans="1:141" s="116" customFormat="1">
      <c r="A54129" s="136"/>
      <c r="CM54129" s="111"/>
      <c r="CQ54129" s="111"/>
      <c r="EF54129"/>
      <c r="EG54129"/>
      <c r="EH54129"/>
      <c r="EI54129"/>
      <c r="EJ54129"/>
      <c r="EK54129"/>
    </row>
    <row r="54130" spans="1:141" s="116" customFormat="1">
      <c r="A54130" s="136"/>
      <c r="CM54130" s="111"/>
      <c r="CQ54130" s="111"/>
      <c r="EF54130"/>
      <c r="EG54130"/>
      <c r="EH54130"/>
      <c r="EI54130"/>
      <c r="EJ54130"/>
      <c r="EK54130"/>
    </row>
    <row r="54131" spans="1:141" s="116" customFormat="1">
      <c r="A54131" s="136"/>
      <c r="CM54131" s="111"/>
      <c r="CQ54131" s="111"/>
      <c r="EF54131"/>
      <c r="EG54131"/>
      <c r="EH54131"/>
      <c r="EI54131"/>
      <c r="EJ54131"/>
      <c r="EK54131"/>
    </row>
    <row r="54132" spans="1:141" s="116" customFormat="1">
      <c r="A54132" s="136"/>
      <c r="CM54132" s="111"/>
      <c r="CQ54132" s="111"/>
      <c r="EF54132"/>
      <c r="EG54132"/>
      <c r="EH54132"/>
      <c r="EI54132"/>
      <c r="EJ54132"/>
      <c r="EK54132"/>
    </row>
    <row r="54133" spans="1:141" s="116" customFormat="1">
      <c r="A54133" s="136"/>
      <c r="CM54133" s="111"/>
      <c r="CQ54133" s="111"/>
      <c r="EF54133"/>
      <c r="EG54133"/>
      <c r="EH54133"/>
      <c r="EI54133"/>
      <c r="EJ54133"/>
      <c r="EK54133"/>
    </row>
    <row r="54134" spans="1:141" s="116" customFormat="1">
      <c r="A54134" s="136"/>
      <c r="CM54134" s="111"/>
      <c r="CQ54134" s="111"/>
      <c r="EF54134"/>
      <c r="EG54134"/>
      <c r="EH54134"/>
      <c r="EI54134"/>
      <c r="EJ54134"/>
      <c r="EK54134"/>
    </row>
    <row r="54135" spans="1:141" s="116" customFormat="1">
      <c r="A54135" s="136"/>
      <c r="CM54135" s="111"/>
      <c r="CQ54135" s="111"/>
      <c r="EF54135"/>
      <c r="EG54135"/>
      <c r="EH54135"/>
      <c r="EI54135"/>
      <c r="EJ54135"/>
      <c r="EK54135"/>
    </row>
    <row r="54136" spans="1:141" s="116" customFormat="1">
      <c r="A54136" s="136"/>
      <c r="CM54136" s="111"/>
      <c r="CQ54136" s="111"/>
      <c r="EF54136"/>
      <c r="EG54136"/>
      <c r="EH54136"/>
      <c r="EI54136"/>
      <c r="EJ54136"/>
      <c r="EK54136"/>
    </row>
    <row r="54137" spans="1:141" s="116" customFormat="1">
      <c r="A54137" s="136"/>
      <c r="CM54137" s="111"/>
      <c r="CQ54137" s="111"/>
      <c r="EF54137"/>
      <c r="EG54137"/>
      <c r="EH54137"/>
      <c r="EI54137"/>
      <c r="EJ54137"/>
      <c r="EK54137"/>
    </row>
    <row r="54138" spans="1:141" s="116" customFormat="1">
      <c r="A54138" s="136"/>
      <c r="CM54138" s="111"/>
      <c r="CQ54138" s="111"/>
      <c r="EF54138"/>
      <c r="EG54138"/>
      <c r="EH54138"/>
      <c r="EI54138"/>
      <c r="EJ54138"/>
      <c r="EK54138"/>
    </row>
    <row r="54139" spans="1:141" s="116" customFormat="1">
      <c r="A54139" s="136"/>
      <c r="CM54139" s="111"/>
      <c r="CQ54139" s="111"/>
      <c r="EF54139"/>
      <c r="EG54139"/>
      <c r="EH54139"/>
      <c r="EI54139"/>
      <c r="EJ54139"/>
      <c r="EK54139"/>
    </row>
    <row r="54140" spans="1:141" s="116" customFormat="1">
      <c r="A54140" s="136"/>
      <c r="CM54140" s="111"/>
      <c r="CQ54140" s="111"/>
      <c r="EF54140"/>
      <c r="EG54140"/>
      <c r="EH54140"/>
      <c r="EI54140"/>
      <c r="EJ54140"/>
      <c r="EK54140"/>
    </row>
    <row r="54141" spans="1:141" s="116" customFormat="1">
      <c r="A54141" s="136"/>
      <c r="CM54141" s="111"/>
      <c r="CQ54141" s="111"/>
      <c r="EF54141"/>
      <c r="EG54141"/>
      <c r="EH54141"/>
      <c r="EI54141"/>
      <c r="EJ54141"/>
      <c r="EK54141"/>
    </row>
    <row r="54142" spans="1:141" s="116" customFormat="1">
      <c r="A54142" s="136"/>
      <c r="CM54142" s="111"/>
      <c r="CQ54142" s="111"/>
      <c r="EF54142"/>
      <c r="EG54142"/>
      <c r="EH54142"/>
      <c r="EI54142"/>
      <c r="EJ54142"/>
      <c r="EK54142"/>
    </row>
    <row r="54143" spans="1:141" s="116" customFormat="1">
      <c r="A54143" s="136"/>
      <c r="CM54143" s="111"/>
      <c r="CQ54143" s="111"/>
      <c r="EF54143"/>
      <c r="EG54143"/>
      <c r="EH54143"/>
      <c r="EI54143"/>
      <c r="EJ54143"/>
      <c r="EK54143"/>
    </row>
    <row r="54144" spans="1:141" s="116" customFormat="1">
      <c r="A54144" s="136"/>
      <c r="CM54144" s="111"/>
      <c r="CQ54144" s="111"/>
      <c r="EF54144"/>
      <c r="EG54144"/>
      <c r="EH54144"/>
      <c r="EI54144"/>
      <c r="EJ54144"/>
      <c r="EK54144"/>
    </row>
    <row r="54145" spans="1:141" s="116" customFormat="1">
      <c r="A54145" s="136"/>
      <c r="CM54145" s="111"/>
      <c r="CQ54145" s="111"/>
      <c r="EF54145"/>
      <c r="EG54145"/>
      <c r="EH54145"/>
      <c r="EI54145"/>
      <c r="EJ54145"/>
      <c r="EK54145"/>
    </row>
    <row r="54146" spans="1:141" s="116" customFormat="1">
      <c r="A54146" s="136"/>
      <c r="CM54146" s="111"/>
      <c r="CQ54146" s="111"/>
      <c r="EF54146"/>
      <c r="EG54146"/>
      <c r="EH54146"/>
      <c r="EI54146"/>
      <c r="EJ54146"/>
      <c r="EK54146"/>
    </row>
    <row r="54147" spans="1:141" s="116" customFormat="1">
      <c r="A54147" s="136"/>
      <c r="CM54147" s="111"/>
      <c r="CQ54147" s="111"/>
      <c r="EF54147"/>
      <c r="EG54147"/>
      <c r="EH54147"/>
      <c r="EI54147"/>
      <c r="EJ54147"/>
      <c r="EK54147"/>
    </row>
    <row r="54148" spans="1:141" s="116" customFormat="1">
      <c r="A54148" s="136"/>
      <c r="CM54148" s="111"/>
      <c r="CQ54148" s="111"/>
      <c r="EF54148"/>
      <c r="EG54148"/>
      <c r="EH54148"/>
      <c r="EI54148"/>
      <c r="EJ54148"/>
      <c r="EK54148"/>
    </row>
    <row r="54149" spans="1:141" s="116" customFormat="1">
      <c r="A54149" s="136"/>
      <c r="CM54149" s="111"/>
      <c r="CQ54149" s="111"/>
      <c r="EF54149"/>
      <c r="EG54149"/>
      <c r="EH54149"/>
      <c r="EI54149"/>
      <c r="EJ54149"/>
      <c r="EK54149"/>
    </row>
    <row r="54150" spans="1:141" s="116" customFormat="1">
      <c r="A54150" s="136"/>
      <c r="CM54150" s="111"/>
      <c r="CQ54150" s="111"/>
      <c r="EF54150"/>
      <c r="EG54150"/>
      <c r="EH54150"/>
      <c r="EI54150"/>
      <c r="EJ54150"/>
      <c r="EK54150"/>
    </row>
    <row r="54151" spans="1:141" s="116" customFormat="1">
      <c r="A54151" s="136"/>
      <c r="CM54151" s="111"/>
      <c r="CQ54151" s="111"/>
      <c r="EF54151"/>
      <c r="EG54151"/>
      <c r="EH54151"/>
      <c r="EI54151"/>
      <c r="EJ54151"/>
      <c r="EK54151"/>
    </row>
    <row r="54152" spans="1:141" s="116" customFormat="1">
      <c r="A54152" s="136"/>
      <c r="CM54152" s="111"/>
      <c r="CQ54152" s="111"/>
      <c r="EF54152"/>
      <c r="EG54152"/>
      <c r="EH54152"/>
      <c r="EI54152"/>
      <c r="EJ54152"/>
      <c r="EK54152"/>
    </row>
    <row r="54153" spans="1:141" s="116" customFormat="1">
      <c r="A54153" s="136"/>
      <c r="CM54153" s="111"/>
      <c r="CQ54153" s="111"/>
      <c r="EF54153"/>
      <c r="EG54153"/>
      <c r="EH54153"/>
      <c r="EI54153"/>
      <c r="EJ54153"/>
      <c r="EK54153"/>
    </row>
    <row r="54154" spans="1:141" s="116" customFormat="1">
      <c r="A54154" s="136"/>
      <c r="CM54154" s="111"/>
      <c r="CQ54154" s="111"/>
      <c r="EF54154"/>
      <c r="EG54154"/>
      <c r="EH54154"/>
      <c r="EI54154"/>
      <c r="EJ54154"/>
      <c r="EK54154"/>
    </row>
    <row r="54155" spans="1:141" s="116" customFormat="1">
      <c r="A54155" s="136"/>
      <c r="CM54155" s="111"/>
      <c r="CQ54155" s="111"/>
      <c r="EF54155"/>
      <c r="EG54155"/>
      <c r="EH54155"/>
      <c r="EI54155"/>
      <c r="EJ54155"/>
      <c r="EK54155"/>
    </row>
    <row r="54156" spans="1:141" s="116" customFormat="1">
      <c r="A54156" s="136"/>
      <c r="CM54156" s="111"/>
      <c r="CQ54156" s="111"/>
      <c r="EF54156"/>
      <c r="EG54156"/>
      <c r="EH54156"/>
      <c r="EI54156"/>
      <c r="EJ54156"/>
      <c r="EK54156"/>
    </row>
    <row r="54157" spans="1:141" s="116" customFormat="1">
      <c r="A54157" s="136"/>
      <c r="CM54157" s="111"/>
      <c r="CQ54157" s="111"/>
      <c r="EF54157"/>
      <c r="EG54157"/>
      <c r="EH54157"/>
      <c r="EI54157"/>
      <c r="EJ54157"/>
      <c r="EK54157"/>
    </row>
    <row r="54158" spans="1:141" s="116" customFormat="1">
      <c r="A54158" s="136"/>
      <c r="CM54158" s="111"/>
      <c r="CQ54158" s="111"/>
      <c r="EF54158"/>
      <c r="EG54158"/>
      <c r="EH54158"/>
      <c r="EI54158"/>
      <c r="EJ54158"/>
      <c r="EK54158"/>
    </row>
    <row r="54159" spans="1:141" s="116" customFormat="1">
      <c r="A54159" s="136"/>
      <c r="CM54159" s="111"/>
      <c r="CQ54159" s="111"/>
      <c r="EF54159"/>
      <c r="EG54159"/>
      <c r="EH54159"/>
      <c r="EI54159"/>
      <c r="EJ54159"/>
      <c r="EK54159"/>
    </row>
    <row r="54160" spans="1:141" s="116" customFormat="1">
      <c r="A54160" s="136"/>
      <c r="CM54160" s="111"/>
      <c r="CQ54160" s="111"/>
      <c r="EF54160"/>
      <c r="EG54160"/>
      <c r="EH54160"/>
      <c r="EI54160"/>
      <c r="EJ54160"/>
      <c r="EK54160"/>
    </row>
    <row r="54161" spans="1:141" s="116" customFormat="1">
      <c r="A54161" s="136"/>
      <c r="CM54161" s="111"/>
      <c r="CQ54161" s="111"/>
      <c r="EF54161"/>
      <c r="EG54161"/>
      <c r="EH54161"/>
      <c r="EI54161"/>
      <c r="EJ54161"/>
      <c r="EK54161"/>
    </row>
    <row r="54162" spans="1:141" s="116" customFormat="1">
      <c r="A54162" s="136"/>
      <c r="CM54162" s="111"/>
      <c r="CQ54162" s="111"/>
      <c r="EF54162"/>
      <c r="EG54162"/>
      <c r="EH54162"/>
      <c r="EI54162"/>
      <c r="EJ54162"/>
      <c r="EK54162"/>
    </row>
    <row r="54163" spans="1:141" s="116" customFormat="1">
      <c r="A54163" s="136"/>
      <c r="CM54163" s="111"/>
      <c r="CQ54163" s="111"/>
      <c r="EF54163"/>
      <c r="EG54163"/>
      <c r="EH54163"/>
      <c r="EI54163"/>
      <c r="EJ54163"/>
      <c r="EK54163"/>
    </row>
    <row r="54164" spans="1:141" s="116" customFormat="1">
      <c r="A54164" s="136"/>
      <c r="CM54164" s="111"/>
      <c r="CQ54164" s="111"/>
      <c r="EF54164"/>
      <c r="EG54164"/>
      <c r="EH54164"/>
      <c r="EI54164"/>
      <c r="EJ54164"/>
      <c r="EK54164"/>
    </row>
    <row r="54165" spans="1:141" s="116" customFormat="1">
      <c r="A54165" s="136"/>
      <c r="CM54165" s="111"/>
      <c r="CQ54165" s="111"/>
      <c r="EF54165"/>
      <c r="EG54165"/>
      <c r="EH54165"/>
      <c r="EI54165"/>
      <c r="EJ54165"/>
      <c r="EK54165"/>
    </row>
    <row r="54166" spans="1:141" s="116" customFormat="1">
      <c r="A54166" s="136"/>
      <c r="CM54166" s="111"/>
      <c r="CQ54166" s="111"/>
      <c r="EF54166"/>
      <c r="EG54166"/>
      <c r="EH54166"/>
      <c r="EI54166"/>
      <c r="EJ54166"/>
      <c r="EK54166"/>
    </row>
    <row r="54167" spans="1:141" s="116" customFormat="1">
      <c r="A54167" s="136"/>
      <c r="CM54167" s="111"/>
      <c r="CQ54167" s="111"/>
      <c r="EF54167"/>
      <c r="EG54167"/>
      <c r="EH54167"/>
      <c r="EI54167"/>
      <c r="EJ54167"/>
      <c r="EK54167"/>
    </row>
    <row r="54168" spans="1:141" s="116" customFormat="1">
      <c r="A54168" s="136"/>
      <c r="CM54168" s="111"/>
      <c r="CQ54168" s="111"/>
      <c r="EF54168"/>
      <c r="EG54168"/>
      <c r="EH54168"/>
      <c r="EI54168"/>
      <c r="EJ54168"/>
      <c r="EK54168"/>
    </row>
    <row r="54169" spans="1:141" s="116" customFormat="1">
      <c r="A54169" s="136"/>
      <c r="CM54169" s="111"/>
      <c r="CQ54169" s="111"/>
      <c r="EF54169"/>
      <c r="EG54169"/>
      <c r="EH54169"/>
      <c r="EI54169"/>
      <c r="EJ54169"/>
      <c r="EK54169"/>
    </row>
    <row r="54170" spans="1:141" s="116" customFormat="1">
      <c r="A54170" s="136"/>
      <c r="CM54170" s="111"/>
      <c r="CQ54170" s="111"/>
      <c r="EF54170"/>
      <c r="EG54170"/>
      <c r="EH54170"/>
      <c r="EI54170"/>
      <c r="EJ54170"/>
      <c r="EK54170"/>
    </row>
    <row r="54171" spans="1:141" s="116" customFormat="1">
      <c r="A54171" s="136"/>
      <c r="CM54171" s="111"/>
      <c r="CQ54171" s="111"/>
      <c r="EF54171"/>
      <c r="EG54171"/>
      <c r="EH54171"/>
      <c r="EI54171"/>
      <c r="EJ54171"/>
      <c r="EK54171"/>
    </row>
    <row r="54172" spans="1:141" s="116" customFormat="1">
      <c r="A54172" s="136"/>
      <c r="CM54172" s="111"/>
      <c r="CQ54172" s="111"/>
      <c r="EF54172"/>
      <c r="EG54172"/>
      <c r="EH54172"/>
      <c r="EI54172"/>
      <c r="EJ54172"/>
      <c r="EK54172"/>
    </row>
    <row r="54173" spans="1:141" s="116" customFormat="1">
      <c r="A54173" s="136"/>
      <c r="CM54173" s="111"/>
      <c r="CQ54173" s="111"/>
      <c r="EF54173"/>
      <c r="EG54173"/>
      <c r="EH54173"/>
      <c r="EI54173"/>
      <c r="EJ54173"/>
      <c r="EK54173"/>
    </row>
    <row r="54174" spans="1:141" s="116" customFormat="1">
      <c r="A54174" s="136"/>
      <c r="CM54174" s="111"/>
      <c r="CQ54174" s="111"/>
      <c r="EF54174"/>
      <c r="EG54174"/>
      <c r="EH54174"/>
      <c r="EI54174"/>
      <c r="EJ54174"/>
      <c r="EK54174"/>
    </row>
    <row r="54175" spans="1:141" s="116" customFormat="1">
      <c r="A54175" s="136"/>
      <c r="CM54175" s="111"/>
      <c r="CQ54175" s="111"/>
      <c r="EF54175"/>
      <c r="EG54175"/>
      <c r="EH54175"/>
      <c r="EI54175"/>
      <c r="EJ54175"/>
      <c r="EK54175"/>
    </row>
    <row r="54176" spans="1:141" s="116" customFormat="1">
      <c r="A54176" s="136"/>
      <c r="CM54176" s="111"/>
      <c r="CQ54176" s="111"/>
      <c r="EF54176"/>
      <c r="EG54176"/>
      <c r="EH54176"/>
      <c r="EI54176"/>
      <c r="EJ54176"/>
      <c r="EK54176"/>
    </row>
    <row r="54177" spans="1:141" s="116" customFormat="1">
      <c r="A54177" s="136"/>
      <c r="CM54177" s="111"/>
      <c r="CQ54177" s="111"/>
      <c r="EF54177"/>
      <c r="EG54177"/>
      <c r="EH54177"/>
      <c r="EI54177"/>
      <c r="EJ54177"/>
      <c r="EK54177"/>
    </row>
    <row r="54178" spans="1:141" s="116" customFormat="1">
      <c r="A54178" s="136"/>
      <c r="CM54178" s="111"/>
      <c r="CQ54178" s="111"/>
      <c r="EF54178"/>
      <c r="EG54178"/>
      <c r="EH54178"/>
      <c r="EI54178"/>
      <c r="EJ54178"/>
      <c r="EK54178"/>
    </row>
    <row r="54179" spans="1:141" s="116" customFormat="1">
      <c r="A54179" s="136"/>
      <c r="CM54179" s="111"/>
      <c r="CQ54179" s="111"/>
      <c r="EF54179"/>
      <c r="EG54179"/>
      <c r="EH54179"/>
      <c r="EI54179"/>
      <c r="EJ54179"/>
      <c r="EK54179"/>
    </row>
    <row r="54180" spans="1:141" s="116" customFormat="1">
      <c r="A54180" s="136"/>
      <c r="CM54180" s="111"/>
      <c r="CQ54180" s="111"/>
      <c r="EF54180"/>
      <c r="EG54180"/>
      <c r="EH54180"/>
      <c r="EI54180"/>
      <c r="EJ54180"/>
      <c r="EK54180"/>
    </row>
    <row r="54181" spans="1:141" s="116" customFormat="1">
      <c r="A54181" s="136"/>
      <c r="CM54181" s="111"/>
      <c r="CQ54181" s="111"/>
      <c r="EF54181"/>
      <c r="EG54181"/>
      <c r="EH54181"/>
      <c r="EI54181"/>
      <c r="EJ54181"/>
      <c r="EK54181"/>
    </row>
    <row r="54182" spans="1:141" s="116" customFormat="1">
      <c r="A54182" s="136"/>
      <c r="CM54182" s="111"/>
      <c r="CQ54182" s="111"/>
      <c r="EF54182"/>
      <c r="EG54182"/>
      <c r="EH54182"/>
      <c r="EI54182"/>
      <c r="EJ54182"/>
      <c r="EK54182"/>
    </row>
    <row r="54183" spans="1:141" s="116" customFormat="1">
      <c r="A54183" s="136"/>
      <c r="CM54183" s="111"/>
      <c r="CQ54183" s="111"/>
      <c r="EF54183"/>
      <c r="EG54183"/>
      <c r="EH54183"/>
      <c r="EI54183"/>
      <c r="EJ54183"/>
      <c r="EK54183"/>
    </row>
    <row r="54184" spans="1:141" s="116" customFormat="1">
      <c r="A54184" s="136"/>
      <c r="CM54184" s="111"/>
      <c r="CQ54184" s="111"/>
      <c r="EF54184"/>
      <c r="EG54184"/>
      <c r="EH54184"/>
      <c r="EI54184"/>
      <c r="EJ54184"/>
      <c r="EK54184"/>
    </row>
    <row r="54185" spans="1:141" s="116" customFormat="1">
      <c r="A54185" s="136"/>
      <c r="CM54185" s="111"/>
      <c r="CQ54185" s="111"/>
      <c r="EF54185"/>
      <c r="EG54185"/>
      <c r="EH54185"/>
      <c r="EI54185"/>
      <c r="EJ54185"/>
      <c r="EK54185"/>
    </row>
    <row r="54186" spans="1:141" s="116" customFormat="1">
      <c r="A54186" s="136"/>
      <c r="CM54186" s="111"/>
      <c r="CQ54186" s="111"/>
      <c r="EF54186"/>
      <c r="EG54186"/>
      <c r="EH54186"/>
      <c r="EI54186"/>
      <c r="EJ54186"/>
      <c r="EK54186"/>
    </row>
    <row r="54187" spans="1:141" s="116" customFormat="1">
      <c r="A54187" s="136"/>
      <c r="CM54187" s="111"/>
      <c r="CQ54187" s="111"/>
      <c r="EF54187"/>
      <c r="EG54187"/>
      <c r="EH54187"/>
      <c r="EI54187"/>
      <c r="EJ54187"/>
      <c r="EK54187"/>
    </row>
    <row r="54188" spans="1:141" s="116" customFormat="1">
      <c r="A54188" s="136"/>
      <c r="CM54188" s="111"/>
      <c r="CQ54188" s="111"/>
      <c r="EF54188"/>
      <c r="EG54188"/>
      <c r="EH54188"/>
      <c r="EI54188"/>
      <c r="EJ54188"/>
      <c r="EK54188"/>
    </row>
    <row r="54189" spans="1:141" s="116" customFormat="1">
      <c r="A54189" s="136"/>
      <c r="CM54189" s="111"/>
      <c r="CQ54189" s="111"/>
      <c r="EF54189"/>
      <c r="EG54189"/>
      <c r="EH54189"/>
      <c r="EI54189"/>
      <c r="EJ54189"/>
      <c r="EK54189"/>
    </row>
    <row r="54190" spans="1:141" s="116" customFormat="1">
      <c r="A54190" s="136"/>
      <c r="CM54190" s="111"/>
      <c r="CQ54190" s="111"/>
      <c r="EF54190"/>
      <c r="EG54190"/>
      <c r="EH54190"/>
      <c r="EI54190"/>
      <c r="EJ54190"/>
      <c r="EK54190"/>
    </row>
    <row r="54191" spans="1:141" s="116" customFormat="1">
      <c r="A54191" s="136"/>
      <c r="CM54191" s="111"/>
      <c r="CQ54191" s="111"/>
      <c r="EF54191"/>
      <c r="EG54191"/>
      <c r="EH54191"/>
      <c r="EI54191"/>
      <c r="EJ54191"/>
      <c r="EK54191"/>
    </row>
    <row r="54192" spans="1:141" s="116" customFormat="1">
      <c r="A54192" s="136"/>
      <c r="CM54192" s="111"/>
      <c r="CQ54192" s="111"/>
      <c r="EF54192"/>
      <c r="EG54192"/>
      <c r="EH54192"/>
      <c r="EI54192"/>
      <c r="EJ54192"/>
      <c r="EK54192"/>
    </row>
    <row r="54193" spans="1:141" s="116" customFormat="1">
      <c r="A54193" s="136"/>
      <c r="CM54193" s="111"/>
      <c r="CQ54193" s="111"/>
      <c r="EF54193"/>
      <c r="EG54193"/>
      <c r="EH54193"/>
      <c r="EI54193"/>
      <c r="EJ54193"/>
      <c r="EK54193"/>
    </row>
    <row r="54194" spans="1:141" s="116" customFormat="1">
      <c r="A54194" s="136"/>
      <c r="CM54194" s="111"/>
      <c r="CQ54194" s="111"/>
      <c r="EF54194"/>
      <c r="EG54194"/>
      <c r="EH54194"/>
      <c r="EI54194"/>
      <c r="EJ54194"/>
      <c r="EK54194"/>
    </row>
    <row r="54195" spans="1:141" s="116" customFormat="1">
      <c r="A54195" s="136"/>
      <c r="CM54195" s="111"/>
      <c r="CQ54195" s="111"/>
      <c r="EF54195"/>
      <c r="EG54195"/>
      <c r="EH54195"/>
      <c r="EI54195"/>
      <c r="EJ54195"/>
      <c r="EK54195"/>
    </row>
    <row r="54196" spans="1:141" s="116" customFormat="1">
      <c r="A54196" s="136"/>
      <c r="CM54196" s="111"/>
      <c r="CQ54196" s="111"/>
      <c r="EF54196"/>
      <c r="EG54196"/>
      <c r="EH54196"/>
      <c r="EI54196"/>
      <c r="EJ54196"/>
      <c r="EK54196"/>
    </row>
    <row r="54197" spans="1:141" s="116" customFormat="1">
      <c r="A54197" s="136"/>
      <c r="CM54197" s="111"/>
      <c r="CQ54197" s="111"/>
      <c r="EF54197"/>
      <c r="EG54197"/>
      <c r="EH54197"/>
      <c r="EI54197"/>
      <c r="EJ54197"/>
      <c r="EK54197"/>
    </row>
    <row r="54198" spans="1:141" s="116" customFormat="1">
      <c r="A54198" s="136"/>
      <c r="CM54198" s="111"/>
      <c r="CQ54198" s="111"/>
      <c r="EF54198"/>
      <c r="EG54198"/>
      <c r="EH54198"/>
      <c r="EI54198"/>
      <c r="EJ54198"/>
      <c r="EK54198"/>
    </row>
    <row r="54199" spans="1:141" s="116" customFormat="1">
      <c r="A54199" s="136"/>
      <c r="CM54199" s="111"/>
      <c r="CQ54199" s="111"/>
      <c r="EF54199"/>
      <c r="EG54199"/>
      <c r="EH54199"/>
      <c r="EI54199"/>
      <c r="EJ54199"/>
      <c r="EK54199"/>
    </row>
    <row r="54200" spans="1:141" s="116" customFormat="1">
      <c r="A54200" s="136"/>
      <c r="CM54200" s="111"/>
      <c r="CQ54200" s="111"/>
      <c r="EF54200"/>
      <c r="EG54200"/>
      <c r="EH54200"/>
      <c r="EI54200"/>
      <c r="EJ54200"/>
      <c r="EK54200"/>
    </row>
    <row r="54201" spans="1:141" s="116" customFormat="1">
      <c r="A54201" s="136"/>
      <c r="CM54201" s="111"/>
      <c r="CQ54201" s="111"/>
      <c r="EF54201"/>
      <c r="EG54201"/>
      <c r="EH54201"/>
      <c r="EI54201"/>
      <c r="EJ54201"/>
      <c r="EK54201"/>
    </row>
    <row r="54202" spans="1:141" s="116" customFormat="1">
      <c r="A54202" s="136"/>
      <c r="CM54202" s="111"/>
      <c r="CQ54202" s="111"/>
      <c r="EF54202"/>
      <c r="EG54202"/>
      <c r="EH54202"/>
      <c r="EI54202"/>
      <c r="EJ54202"/>
      <c r="EK54202"/>
    </row>
    <row r="54203" spans="1:141" s="116" customFormat="1">
      <c r="A54203" s="136"/>
      <c r="CM54203" s="111"/>
      <c r="CQ54203" s="111"/>
      <c r="EF54203"/>
      <c r="EG54203"/>
      <c r="EH54203"/>
      <c r="EI54203"/>
      <c r="EJ54203"/>
      <c r="EK54203"/>
    </row>
    <row r="54204" spans="1:141" s="116" customFormat="1">
      <c r="A54204" s="136"/>
      <c r="CM54204" s="111"/>
      <c r="CQ54204" s="111"/>
      <c r="EF54204"/>
      <c r="EG54204"/>
      <c r="EH54204"/>
      <c r="EI54204"/>
      <c r="EJ54204"/>
      <c r="EK54204"/>
    </row>
    <row r="54205" spans="1:141" s="116" customFormat="1">
      <c r="A54205" s="136"/>
      <c r="CM54205" s="111"/>
      <c r="CQ54205" s="111"/>
      <c r="EF54205"/>
      <c r="EG54205"/>
      <c r="EH54205"/>
      <c r="EI54205"/>
      <c r="EJ54205"/>
      <c r="EK54205"/>
    </row>
    <row r="54206" spans="1:141" s="116" customFormat="1">
      <c r="A54206" s="136"/>
      <c r="CM54206" s="111"/>
      <c r="CQ54206" s="111"/>
      <c r="EF54206"/>
      <c r="EG54206"/>
      <c r="EH54206"/>
      <c r="EI54206"/>
      <c r="EJ54206"/>
      <c r="EK54206"/>
    </row>
    <row r="54207" spans="1:141" s="116" customFormat="1">
      <c r="A54207" s="136"/>
      <c r="CM54207" s="111"/>
      <c r="CQ54207" s="111"/>
      <c r="EF54207"/>
      <c r="EG54207"/>
      <c r="EH54207"/>
      <c r="EI54207"/>
      <c r="EJ54207"/>
      <c r="EK54207"/>
    </row>
    <row r="54208" spans="1:141" s="116" customFormat="1">
      <c r="A54208" s="136"/>
      <c r="CM54208" s="111"/>
      <c r="CQ54208" s="111"/>
      <c r="EF54208"/>
      <c r="EG54208"/>
      <c r="EH54208"/>
      <c r="EI54208"/>
      <c r="EJ54208"/>
      <c r="EK54208"/>
    </row>
    <row r="54209" spans="1:141" s="116" customFormat="1">
      <c r="A54209" s="136"/>
      <c r="CM54209" s="111"/>
      <c r="CQ54209" s="111"/>
      <c r="EF54209"/>
      <c r="EG54209"/>
      <c r="EH54209"/>
      <c r="EI54209"/>
      <c r="EJ54209"/>
      <c r="EK54209"/>
    </row>
    <row r="54210" spans="1:141" s="116" customFormat="1">
      <c r="A54210" s="136"/>
      <c r="CM54210" s="111"/>
      <c r="CQ54210" s="111"/>
      <c r="EF54210"/>
      <c r="EG54210"/>
      <c r="EH54210"/>
      <c r="EI54210"/>
      <c r="EJ54210"/>
      <c r="EK54210"/>
    </row>
    <row r="54211" spans="1:141" s="116" customFormat="1">
      <c r="A54211" s="136"/>
      <c r="CM54211" s="111"/>
      <c r="CQ54211" s="111"/>
      <c r="EF54211"/>
      <c r="EG54211"/>
      <c r="EH54211"/>
      <c r="EI54211"/>
      <c r="EJ54211"/>
      <c r="EK54211"/>
    </row>
    <row r="54212" spans="1:141" s="116" customFormat="1">
      <c r="A54212" s="136"/>
      <c r="CM54212" s="111"/>
      <c r="CQ54212" s="111"/>
      <c r="EF54212"/>
      <c r="EG54212"/>
      <c r="EH54212"/>
      <c r="EI54212"/>
      <c r="EJ54212"/>
      <c r="EK54212"/>
    </row>
    <row r="54213" spans="1:141" s="116" customFormat="1">
      <c r="A54213" s="136"/>
      <c r="CM54213" s="111"/>
      <c r="CQ54213" s="111"/>
      <c r="EF54213"/>
      <c r="EG54213"/>
      <c r="EH54213"/>
      <c r="EI54213"/>
      <c r="EJ54213"/>
      <c r="EK54213"/>
    </row>
    <row r="54214" spans="1:141" s="116" customFormat="1">
      <c r="A54214" s="136"/>
      <c r="CM54214" s="111"/>
      <c r="CQ54214" s="111"/>
      <c r="EF54214"/>
      <c r="EG54214"/>
      <c r="EH54214"/>
      <c r="EI54214"/>
      <c r="EJ54214"/>
      <c r="EK54214"/>
    </row>
    <row r="54215" spans="1:141" s="116" customFormat="1">
      <c r="A54215" s="136"/>
      <c r="CM54215" s="111"/>
      <c r="CQ54215" s="111"/>
      <c r="EF54215"/>
      <c r="EG54215"/>
      <c r="EH54215"/>
      <c r="EI54215"/>
      <c r="EJ54215"/>
      <c r="EK54215"/>
    </row>
    <row r="54216" spans="1:141" s="116" customFormat="1">
      <c r="A54216" s="136"/>
      <c r="CM54216" s="111"/>
      <c r="CQ54216" s="111"/>
      <c r="EF54216"/>
      <c r="EG54216"/>
      <c r="EH54216"/>
      <c r="EI54216"/>
      <c r="EJ54216"/>
      <c r="EK54216"/>
    </row>
    <row r="54217" spans="1:141" s="116" customFormat="1">
      <c r="A54217" s="136"/>
      <c r="CM54217" s="111"/>
      <c r="CQ54217" s="111"/>
      <c r="EF54217"/>
      <c r="EG54217"/>
      <c r="EH54217"/>
      <c r="EI54217"/>
      <c r="EJ54217"/>
      <c r="EK54217"/>
    </row>
    <row r="54218" spans="1:141" s="116" customFormat="1">
      <c r="A54218" s="136"/>
      <c r="CM54218" s="111"/>
      <c r="CQ54218" s="111"/>
      <c r="EF54218"/>
      <c r="EG54218"/>
      <c r="EH54218"/>
      <c r="EI54218"/>
      <c r="EJ54218"/>
      <c r="EK54218"/>
    </row>
    <row r="54219" spans="1:141" s="116" customFormat="1">
      <c r="A54219" s="136"/>
      <c r="CM54219" s="111"/>
      <c r="CQ54219" s="111"/>
      <c r="EF54219"/>
      <c r="EG54219"/>
      <c r="EH54219"/>
      <c r="EI54219"/>
      <c r="EJ54219"/>
      <c r="EK54219"/>
    </row>
    <row r="54220" spans="1:141" s="116" customFormat="1">
      <c r="A54220" s="136"/>
      <c r="CM54220" s="111"/>
      <c r="CQ54220" s="111"/>
      <c r="EF54220"/>
      <c r="EG54220"/>
      <c r="EH54220"/>
      <c r="EI54220"/>
      <c r="EJ54220"/>
      <c r="EK54220"/>
    </row>
    <row r="54221" spans="1:141" s="116" customFormat="1">
      <c r="A54221" s="136"/>
      <c r="CM54221" s="111"/>
      <c r="CQ54221" s="111"/>
      <c r="EF54221"/>
      <c r="EG54221"/>
      <c r="EH54221"/>
      <c r="EI54221"/>
      <c r="EJ54221"/>
      <c r="EK54221"/>
    </row>
    <row r="54222" spans="1:141" s="116" customFormat="1">
      <c r="A54222" s="136"/>
      <c r="CM54222" s="111"/>
      <c r="CQ54222" s="111"/>
      <c r="EF54222"/>
      <c r="EG54222"/>
      <c r="EH54222"/>
      <c r="EI54222"/>
      <c r="EJ54222"/>
      <c r="EK54222"/>
    </row>
    <row r="54223" spans="1:141" s="116" customFormat="1">
      <c r="A54223" s="136"/>
      <c r="CM54223" s="111"/>
      <c r="CQ54223" s="111"/>
      <c r="EF54223"/>
      <c r="EG54223"/>
      <c r="EH54223"/>
      <c r="EI54223"/>
      <c r="EJ54223"/>
      <c r="EK54223"/>
    </row>
    <row r="54224" spans="1:141" s="116" customFormat="1">
      <c r="A54224" s="136"/>
      <c r="CM54224" s="111"/>
      <c r="CQ54224" s="111"/>
      <c r="EF54224"/>
      <c r="EG54224"/>
      <c r="EH54224"/>
      <c r="EI54224"/>
      <c r="EJ54224"/>
      <c r="EK54224"/>
    </row>
    <row r="54225" spans="1:141" s="116" customFormat="1">
      <c r="A54225" s="136"/>
      <c r="CM54225" s="111"/>
      <c r="CQ54225" s="111"/>
      <c r="EF54225"/>
      <c r="EG54225"/>
      <c r="EH54225"/>
      <c r="EI54225"/>
      <c r="EJ54225"/>
      <c r="EK54225"/>
    </row>
    <row r="54226" spans="1:141" s="116" customFormat="1">
      <c r="A54226" s="136"/>
      <c r="CM54226" s="111"/>
      <c r="CQ54226" s="111"/>
      <c r="EF54226"/>
      <c r="EG54226"/>
      <c r="EH54226"/>
      <c r="EI54226"/>
      <c r="EJ54226"/>
      <c r="EK54226"/>
    </row>
    <row r="54227" spans="1:141" s="116" customFormat="1">
      <c r="A54227" s="136"/>
      <c r="CM54227" s="111"/>
      <c r="CQ54227" s="111"/>
      <c r="EF54227"/>
      <c r="EG54227"/>
      <c r="EH54227"/>
      <c r="EI54227"/>
      <c r="EJ54227"/>
      <c r="EK54227"/>
    </row>
    <row r="54228" spans="1:141" s="116" customFormat="1">
      <c r="A54228" s="136"/>
      <c r="CM54228" s="111"/>
      <c r="CQ54228" s="111"/>
      <c r="EF54228"/>
      <c r="EG54228"/>
      <c r="EH54228"/>
      <c r="EI54228"/>
      <c r="EJ54228"/>
      <c r="EK54228"/>
    </row>
    <row r="54229" spans="1:141" s="116" customFormat="1">
      <c r="A54229" s="136"/>
      <c r="CM54229" s="111"/>
      <c r="CQ54229" s="111"/>
      <c r="EF54229"/>
      <c r="EG54229"/>
      <c r="EH54229"/>
      <c r="EI54229"/>
      <c r="EJ54229"/>
      <c r="EK54229"/>
    </row>
    <row r="54230" spans="1:141" s="116" customFormat="1">
      <c r="A54230" s="136"/>
      <c r="CM54230" s="111"/>
      <c r="CQ54230" s="111"/>
      <c r="EF54230"/>
      <c r="EG54230"/>
      <c r="EH54230"/>
      <c r="EI54230"/>
      <c r="EJ54230"/>
      <c r="EK54230"/>
    </row>
    <row r="54231" spans="1:141" s="116" customFormat="1">
      <c r="A54231" s="136"/>
      <c r="CM54231" s="111"/>
      <c r="CQ54231" s="111"/>
      <c r="EF54231"/>
      <c r="EG54231"/>
      <c r="EH54231"/>
      <c r="EI54231"/>
      <c r="EJ54231"/>
      <c r="EK54231"/>
    </row>
    <row r="54232" spans="1:141" s="116" customFormat="1">
      <c r="A54232" s="136"/>
      <c r="CM54232" s="111"/>
      <c r="CQ54232" s="111"/>
      <c r="EF54232"/>
      <c r="EG54232"/>
      <c r="EH54232"/>
      <c r="EI54232"/>
      <c r="EJ54232"/>
      <c r="EK54232"/>
    </row>
    <row r="54233" spans="1:141" s="116" customFormat="1">
      <c r="A54233" s="136"/>
      <c r="CM54233" s="111"/>
      <c r="CQ54233" s="111"/>
      <c r="EF54233"/>
      <c r="EG54233"/>
      <c r="EH54233"/>
      <c r="EI54233"/>
      <c r="EJ54233"/>
      <c r="EK54233"/>
    </row>
    <row r="54234" spans="1:141" s="116" customFormat="1">
      <c r="A54234" s="136"/>
      <c r="CM54234" s="111"/>
      <c r="CQ54234" s="111"/>
      <c r="EF54234"/>
      <c r="EG54234"/>
      <c r="EH54234"/>
      <c r="EI54234"/>
      <c r="EJ54234"/>
      <c r="EK54234"/>
    </row>
    <row r="54235" spans="1:141" s="116" customFormat="1">
      <c r="A54235" s="136"/>
      <c r="CM54235" s="111"/>
      <c r="CQ54235" s="111"/>
      <c r="EF54235"/>
      <c r="EG54235"/>
      <c r="EH54235"/>
      <c r="EI54235"/>
      <c r="EJ54235"/>
      <c r="EK54235"/>
    </row>
    <row r="54236" spans="1:141" s="116" customFormat="1">
      <c r="A54236" s="136"/>
      <c r="CM54236" s="111"/>
      <c r="CQ54236" s="111"/>
      <c r="EF54236"/>
      <c r="EG54236"/>
      <c r="EH54236"/>
      <c r="EI54236"/>
      <c r="EJ54236"/>
      <c r="EK54236"/>
    </row>
    <row r="54237" spans="1:141" s="116" customFormat="1">
      <c r="A54237" s="136"/>
      <c r="CM54237" s="111"/>
      <c r="CQ54237" s="111"/>
      <c r="EF54237"/>
      <c r="EG54237"/>
      <c r="EH54237"/>
      <c r="EI54237"/>
      <c r="EJ54237"/>
      <c r="EK54237"/>
    </row>
    <row r="54238" spans="1:141" s="116" customFormat="1">
      <c r="A54238" s="136"/>
      <c r="CM54238" s="111"/>
      <c r="CQ54238" s="111"/>
      <c r="EF54238"/>
      <c r="EG54238"/>
      <c r="EH54238"/>
      <c r="EI54238"/>
      <c r="EJ54238"/>
      <c r="EK54238"/>
    </row>
    <row r="54239" spans="1:141" s="116" customFormat="1">
      <c r="A54239" s="136"/>
      <c r="CM54239" s="111"/>
      <c r="CQ54239" s="111"/>
      <c r="EF54239"/>
      <c r="EG54239"/>
      <c r="EH54239"/>
      <c r="EI54239"/>
      <c r="EJ54239"/>
      <c r="EK54239"/>
    </row>
    <row r="54240" spans="1:141" s="116" customFormat="1">
      <c r="A54240" s="136"/>
      <c r="CM54240" s="111"/>
      <c r="CQ54240" s="111"/>
      <c r="EF54240"/>
      <c r="EG54240"/>
      <c r="EH54240"/>
      <c r="EI54240"/>
      <c r="EJ54240"/>
      <c r="EK54240"/>
    </row>
    <row r="54241" spans="1:141" s="116" customFormat="1">
      <c r="A54241" s="136"/>
      <c r="CM54241" s="111"/>
      <c r="CQ54241" s="111"/>
      <c r="EF54241"/>
      <c r="EG54241"/>
      <c r="EH54241"/>
      <c r="EI54241"/>
      <c r="EJ54241"/>
      <c r="EK54241"/>
    </row>
    <row r="54242" spans="1:141" s="116" customFormat="1">
      <c r="A54242" s="136"/>
      <c r="CM54242" s="111"/>
      <c r="CQ54242" s="111"/>
      <c r="EF54242"/>
      <c r="EG54242"/>
      <c r="EH54242"/>
      <c r="EI54242"/>
      <c r="EJ54242"/>
      <c r="EK54242"/>
    </row>
    <row r="54243" spans="1:141" s="116" customFormat="1">
      <c r="A54243" s="136"/>
      <c r="CM54243" s="111"/>
      <c r="CQ54243" s="111"/>
      <c r="EF54243"/>
      <c r="EG54243"/>
      <c r="EH54243"/>
      <c r="EI54243"/>
      <c r="EJ54243"/>
      <c r="EK54243"/>
    </row>
    <row r="54244" spans="1:141" s="116" customFormat="1">
      <c r="A54244" s="136"/>
      <c r="CM54244" s="111"/>
      <c r="CQ54244" s="111"/>
      <c r="EF54244"/>
      <c r="EG54244"/>
      <c r="EH54244"/>
      <c r="EI54244"/>
      <c r="EJ54244"/>
      <c r="EK54244"/>
    </row>
    <row r="54245" spans="1:141" s="116" customFormat="1">
      <c r="A54245" s="136"/>
      <c r="CM54245" s="111"/>
      <c r="CQ54245" s="111"/>
      <c r="EF54245"/>
      <c r="EG54245"/>
      <c r="EH54245"/>
      <c r="EI54245"/>
      <c r="EJ54245"/>
      <c r="EK54245"/>
    </row>
    <row r="54246" spans="1:141" s="116" customFormat="1">
      <c r="A54246" s="136"/>
      <c r="CM54246" s="111"/>
      <c r="CQ54246" s="111"/>
      <c r="EF54246"/>
      <c r="EG54246"/>
      <c r="EH54246"/>
      <c r="EI54246"/>
      <c r="EJ54246"/>
      <c r="EK54246"/>
    </row>
    <row r="54247" spans="1:141" s="116" customFormat="1">
      <c r="A54247" s="136"/>
      <c r="CM54247" s="111"/>
      <c r="CQ54247" s="111"/>
      <c r="EF54247"/>
      <c r="EG54247"/>
      <c r="EH54247"/>
      <c r="EI54247"/>
      <c r="EJ54247"/>
      <c r="EK54247"/>
    </row>
    <row r="54248" spans="1:141" s="116" customFormat="1">
      <c r="A54248" s="136"/>
      <c r="CM54248" s="111"/>
      <c r="CQ54248" s="111"/>
      <c r="EF54248"/>
      <c r="EG54248"/>
      <c r="EH54248"/>
      <c r="EI54248"/>
      <c r="EJ54248"/>
      <c r="EK54248"/>
    </row>
    <row r="54249" spans="1:141" s="116" customFormat="1">
      <c r="A54249" s="136"/>
      <c r="CM54249" s="111"/>
      <c r="CQ54249" s="111"/>
      <c r="EF54249"/>
      <c r="EG54249"/>
      <c r="EH54249"/>
      <c r="EI54249"/>
      <c r="EJ54249"/>
      <c r="EK54249"/>
    </row>
    <row r="54250" spans="1:141" s="116" customFormat="1">
      <c r="A54250" s="136"/>
      <c r="CM54250" s="111"/>
      <c r="CQ54250" s="111"/>
      <c r="EF54250"/>
      <c r="EG54250"/>
      <c r="EH54250"/>
      <c r="EI54250"/>
      <c r="EJ54250"/>
      <c r="EK54250"/>
    </row>
    <row r="54251" spans="1:141" s="116" customFormat="1">
      <c r="A54251" s="136"/>
      <c r="CM54251" s="111"/>
      <c r="CQ54251" s="111"/>
      <c r="EF54251"/>
      <c r="EG54251"/>
      <c r="EH54251"/>
      <c r="EI54251"/>
      <c r="EJ54251"/>
      <c r="EK54251"/>
    </row>
    <row r="54252" spans="1:141" s="116" customFormat="1">
      <c r="A54252" s="136"/>
      <c r="CM54252" s="111"/>
      <c r="CQ54252" s="111"/>
      <c r="EF54252"/>
      <c r="EG54252"/>
      <c r="EH54252"/>
      <c r="EI54252"/>
      <c r="EJ54252"/>
      <c r="EK54252"/>
    </row>
    <row r="54253" spans="1:141" s="116" customFormat="1">
      <c r="A54253" s="136"/>
      <c r="CM54253" s="111"/>
      <c r="CQ54253" s="111"/>
      <c r="EF54253"/>
      <c r="EG54253"/>
      <c r="EH54253"/>
      <c r="EI54253"/>
      <c r="EJ54253"/>
      <c r="EK54253"/>
    </row>
    <row r="54254" spans="1:141" s="116" customFormat="1">
      <c r="A54254" s="136"/>
      <c r="CM54254" s="111"/>
      <c r="CQ54254" s="111"/>
      <c r="EF54254"/>
      <c r="EG54254"/>
      <c r="EH54254"/>
      <c r="EI54254"/>
      <c r="EJ54254"/>
      <c r="EK54254"/>
    </row>
    <row r="54255" spans="1:141" s="116" customFormat="1">
      <c r="A54255" s="136"/>
      <c r="CM54255" s="111"/>
      <c r="CQ54255" s="111"/>
      <c r="EF54255"/>
      <c r="EG54255"/>
      <c r="EH54255"/>
      <c r="EI54255"/>
      <c r="EJ54255"/>
      <c r="EK54255"/>
    </row>
    <row r="54256" spans="1:141" s="116" customFormat="1">
      <c r="A54256" s="136"/>
      <c r="CM54256" s="111"/>
      <c r="CQ54256" s="111"/>
      <c r="EF54256"/>
      <c r="EG54256"/>
      <c r="EH54256"/>
      <c r="EI54256"/>
      <c r="EJ54256"/>
      <c r="EK54256"/>
    </row>
    <row r="54257" spans="1:141" s="116" customFormat="1">
      <c r="A54257" s="136"/>
      <c r="CM54257" s="111"/>
      <c r="CQ54257" s="111"/>
      <c r="EF54257"/>
      <c r="EG54257"/>
      <c r="EH54257"/>
      <c r="EI54257"/>
      <c r="EJ54257"/>
      <c r="EK54257"/>
    </row>
    <row r="54258" spans="1:141" s="116" customFormat="1">
      <c r="A54258" s="136"/>
      <c r="CM54258" s="111"/>
      <c r="CQ54258" s="111"/>
      <c r="EF54258"/>
      <c r="EG54258"/>
      <c r="EH54258"/>
      <c r="EI54258"/>
      <c r="EJ54258"/>
      <c r="EK54258"/>
    </row>
    <row r="54259" spans="1:141" s="116" customFormat="1">
      <c r="A54259" s="136"/>
      <c r="CM54259" s="111"/>
      <c r="CQ54259" s="111"/>
      <c r="EF54259"/>
      <c r="EG54259"/>
      <c r="EH54259"/>
      <c r="EI54259"/>
      <c r="EJ54259"/>
      <c r="EK54259"/>
    </row>
    <row r="54260" spans="1:141" s="116" customFormat="1">
      <c r="A54260" s="136"/>
      <c r="CM54260" s="111"/>
      <c r="CQ54260" s="111"/>
      <c r="EF54260"/>
      <c r="EG54260"/>
      <c r="EH54260"/>
      <c r="EI54260"/>
      <c r="EJ54260"/>
      <c r="EK54260"/>
    </row>
    <row r="54261" spans="1:141" s="116" customFormat="1">
      <c r="A54261" s="136"/>
      <c r="CM54261" s="111"/>
      <c r="CQ54261" s="111"/>
      <c r="EF54261"/>
      <c r="EG54261"/>
      <c r="EH54261"/>
      <c r="EI54261"/>
      <c r="EJ54261"/>
      <c r="EK54261"/>
    </row>
    <row r="54262" spans="1:141" s="116" customFormat="1">
      <c r="A54262" s="136"/>
      <c r="CM54262" s="111"/>
      <c r="CQ54262" s="111"/>
      <c r="EF54262"/>
      <c r="EG54262"/>
      <c r="EH54262"/>
      <c r="EI54262"/>
      <c r="EJ54262"/>
      <c r="EK54262"/>
    </row>
    <row r="54263" spans="1:141" s="116" customFormat="1">
      <c r="A54263" s="136"/>
      <c r="CM54263" s="111"/>
      <c r="CQ54263" s="111"/>
      <c r="EF54263"/>
      <c r="EG54263"/>
      <c r="EH54263"/>
      <c r="EI54263"/>
      <c r="EJ54263"/>
      <c r="EK54263"/>
    </row>
    <row r="54264" spans="1:141" s="116" customFormat="1">
      <c r="A54264" s="136"/>
      <c r="CM54264" s="111"/>
      <c r="CQ54264" s="111"/>
      <c r="EF54264"/>
      <c r="EG54264"/>
      <c r="EH54264"/>
      <c r="EI54264"/>
      <c r="EJ54264"/>
      <c r="EK54264"/>
    </row>
    <row r="54265" spans="1:141" s="116" customFormat="1">
      <c r="A54265" s="136"/>
      <c r="CM54265" s="111"/>
      <c r="CQ54265" s="111"/>
      <c r="EF54265"/>
      <c r="EG54265"/>
      <c r="EH54265"/>
      <c r="EI54265"/>
      <c r="EJ54265"/>
      <c r="EK54265"/>
    </row>
    <row r="54266" spans="1:141" s="116" customFormat="1">
      <c r="A54266" s="136"/>
      <c r="CM54266" s="111"/>
      <c r="CQ54266" s="111"/>
      <c r="EF54266"/>
      <c r="EG54266"/>
      <c r="EH54266"/>
      <c r="EI54266"/>
      <c r="EJ54266"/>
      <c r="EK54266"/>
    </row>
    <row r="54267" spans="1:141" s="116" customFormat="1">
      <c r="A54267" s="136"/>
      <c r="CM54267" s="111"/>
      <c r="CQ54267" s="111"/>
      <c r="EF54267"/>
      <c r="EG54267"/>
      <c r="EH54267"/>
      <c r="EI54267"/>
      <c r="EJ54267"/>
      <c r="EK54267"/>
    </row>
    <row r="54268" spans="1:141" s="116" customFormat="1">
      <c r="A54268" s="136"/>
      <c r="CM54268" s="111"/>
      <c r="CQ54268" s="111"/>
      <c r="EF54268"/>
      <c r="EG54268"/>
      <c r="EH54268"/>
      <c r="EI54268"/>
      <c r="EJ54268"/>
      <c r="EK54268"/>
    </row>
    <row r="54269" spans="1:141" s="116" customFormat="1">
      <c r="A54269" s="136"/>
      <c r="CM54269" s="111"/>
      <c r="CQ54269" s="111"/>
      <c r="EF54269"/>
      <c r="EG54269"/>
      <c r="EH54269"/>
      <c r="EI54269"/>
      <c r="EJ54269"/>
      <c r="EK54269"/>
    </row>
    <row r="54270" spans="1:141" s="116" customFormat="1">
      <c r="A54270" s="136"/>
      <c r="CM54270" s="111"/>
      <c r="CQ54270" s="111"/>
      <c r="EF54270"/>
      <c r="EG54270"/>
      <c r="EH54270"/>
      <c r="EI54270"/>
      <c r="EJ54270"/>
      <c r="EK54270"/>
    </row>
    <row r="54271" spans="1:141" s="116" customFormat="1">
      <c r="A54271" s="136"/>
      <c r="CM54271" s="111"/>
      <c r="CQ54271" s="111"/>
      <c r="EF54271"/>
      <c r="EG54271"/>
      <c r="EH54271"/>
      <c r="EI54271"/>
      <c r="EJ54271"/>
      <c r="EK54271"/>
    </row>
    <row r="54272" spans="1:141" s="116" customFormat="1">
      <c r="A54272" s="136"/>
      <c r="CM54272" s="111"/>
      <c r="CQ54272" s="111"/>
      <c r="EF54272"/>
      <c r="EG54272"/>
      <c r="EH54272"/>
      <c r="EI54272"/>
      <c r="EJ54272"/>
      <c r="EK54272"/>
    </row>
    <row r="54273" spans="1:141" s="116" customFormat="1">
      <c r="A54273" s="136"/>
      <c r="CM54273" s="111"/>
      <c r="CQ54273" s="111"/>
      <c r="EF54273"/>
      <c r="EG54273"/>
      <c r="EH54273"/>
      <c r="EI54273"/>
      <c r="EJ54273"/>
      <c r="EK54273"/>
    </row>
    <row r="54274" spans="1:141" s="116" customFormat="1">
      <c r="A54274" s="136"/>
      <c r="CM54274" s="111"/>
      <c r="CQ54274" s="111"/>
      <c r="EF54274"/>
      <c r="EG54274"/>
      <c r="EH54274"/>
      <c r="EI54274"/>
      <c r="EJ54274"/>
      <c r="EK54274"/>
    </row>
    <row r="54275" spans="1:141" s="116" customFormat="1">
      <c r="A54275" s="136"/>
      <c r="CM54275" s="111"/>
      <c r="CQ54275" s="111"/>
      <c r="EF54275"/>
      <c r="EG54275"/>
      <c r="EH54275"/>
      <c r="EI54275"/>
      <c r="EJ54275"/>
      <c r="EK54275"/>
    </row>
    <row r="54276" spans="1:141" s="116" customFormat="1">
      <c r="A54276" s="136"/>
      <c r="CM54276" s="111"/>
      <c r="CQ54276" s="111"/>
      <c r="EF54276"/>
      <c r="EG54276"/>
      <c r="EH54276"/>
      <c r="EI54276"/>
      <c r="EJ54276"/>
      <c r="EK54276"/>
    </row>
    <row r="54277" spans="1:141" s="116" customFormat="1">
      <c r="A54277" s="136"/>
      <c r="CM54277" s="111"/>
      <c r="CQ54277" s="111"/>
      <c r="EF54277"/>
      <c r="EG54277"/>
      <c r="EH54277"/>
      <c r="EI54277"/>
      <c r="EJ54277"/>
      <c r="EK54277"/>
    </row>
    <row r="54278" spans="1:141" s="116" customFormat="1">
      <c r="A54278" s="136"/>
      <c r="CM54278" s="111"/>
      <c r="CQ54278" s="111"/>
      <c r="EF54278"/>
      <c r="EG54278"/>
      <c r="EH54278"/>
      <c r="EI54278"/>
      <c r="EJ54278"/>
      <c r="EK54278"/>
    </row>
    <row r="54279" spans="1:141" s="116" customFormat="1">
      <c r="A54279" s="136"/>
      <c r="CM54279" s="111"/>
      <c r="CQ54279" s="111"/>
      <c r="EF54279"/>
      <c r="EG54279"/>
      <c r="EH54279"/>
      <c r="EI54279"/>
      <c r="EJ54279"/>
      <c r="EK54279"/>
    </row>
    <row r="54280" spans="1:141" s="116" customFormat="1">
      <c r="A54280" s="136"/>
      <c r="CM54280" s="111"/>
      <c r="CQ54280" s="111"/>
      <c r="EF54280"/>
      <c r="EG54280"/>
      <c r="EH54280"/>
      <c r="EI54280"/>
      <c r="EJ54280"/>
      <c r="EK54280"/>
    </row>
    <row r="54281" spans="1:141" s="116" customFormat="1">
      <c r="A54281" s="136"/>
      <c r="CM54281" s="111"/>
      <c r="CQ54281" s="111"/>
      <c r="EF54281"/>
      <c r="EG54281"/>
      <c r="EH54281"/>
      <c r="EI54281"/>
      <c r="EJ54281"/>
      <c r="EK54281"/>
    </row>
    <row r="54282" spans="1:141" s="116" customFormat="1">
      <c r="A54282" s="136"/>
      <c r="CM54282" s="111"/>
      <c r="CQ54282" s="111"/>
      <c r="EF54282"/>
      <c r="EG54282"/>
      <c r="EH54282"/>
      <c r="EI54282"/>
      <c r="EJ54282"/>
      <c r="EK54282"/>
    </row>
    <row r="54283" spans="1:141" s="116" customFormat="1">
      <c r="A54283" s="136"/>
      <c r="CM54283" s="111"/>
      <c r="CQ54283" s="111"/>
      <c r="EF54283"/>
      <c r="EG54283"/>
      <c r="EH54283"/>
      <c r="EI54283"/>
      <c r="EJ54283"/>
      <c r="EK54283"/>
    </row>
    <row r="54284" spans="1:141" s="116" customFormat="1">
      <c r="A54284" s="136"/>
      <c r="CM54284" s="111"/>
      <c r="CQ54284" s="111"/>
      <c r="EF54284"/>
      <c r="EG54284"/>
      <c r="EH54284"/>
      <c r="EI54284"/>
      <c r="EJ54284"/>
      <c r="EK54284"/>
    </row>
    <row r="54285" spans="1:141" s="116" customFormat="1">
      <c r="A54285" s="136"/>
      <c r="CM54285" s="111"/>
      <c r="CQ54285" s="111"/>
      <c r="EF54285"/>
      <c r="EG54285"/>
      <c r="EH54285"/>
      <c r="EI54285"/>
      <c r="EJ54285"/>
      <c r="EK54285"/>
    </row>
    <row r="54286" spans="1:141" s="116" customFormat="1">
      <c r="A54286" s="136"/>
      <c r="CM54286" s="111"/>
      <c r="CQ54286" s="111"/>
      <c r="EF54286"/>
      <c r="EG54286"/>
      <c r="EH54286"/>
      <c r="EI54286"/>
      <c r="EJ54286"/>
      <c r="EK54286"/>
    </row>
    <row r="54287" spans="1:141" s="116" customFormat="1">
      <c r="A54287" s="136"/>
      <c r="CM54287" s="111"/>
      <c r="CQ54287" s="111"/>
      <c r="EF54287"/>
      <c r="EG54287"/>
      <c r="EH54287"/>
      <c r="EI54287"/>
      <c r="EJ54287"/>
      <c r="EK54287"/>
    </row>
    <row r="54288" spans="1:141" s="116" customFormat="1">
      <c r="A54288" s="136"/>
      <c r="CM54288" s="111"/>
      <c r="CQ54288" s="111"/>
      <c r="EF54288"/>
      <c r="EG54288"/>
      <c r="EH54288"/>
      <c r="EI54288"/>
      <c r="EJ54288"/>
      <c r="EK54288"/>
    </row>
    <row r="54289" spans="1:141" s="116" customFormat="1">
      <c r="A54289" s="136"/>
      <c r="CM54289" s="111"/>
      <c r="CQ54289" s="111"/>
      <c r="EF54289"/>
      <c r="EG54289"/>
      <c r="EH54289"/>
      <c r="EI54289"/>
      <c r="EJ54289"/>
      <c r="EK54289"/>
    </row>
    <row r="54290" spans="1:141" s="116" customFormat="1">
      <c r="A54290" s="136"/>
      <c r="CM54290" s="111"/>
      <c r="CQ54290" s="111"/>
      <c r="EF54290"/>
      <c r="EG54290"/>
      <c r="EH54290"/>
      <c r="EI54290"/>
      <c r="EJ54290"/>
      <c r="EK54290"/>
    </row>
    <row r="54291" spans="1:141" s="116" customFormat="1">
      <c r="A54291" s="136"/>
      <c r="CM54291" s="111"/>
      <c r="CQ54291" s="111"/>
      <c r="EF54291"/>
      <c r="EG54291"/>
      <c r="EH54291"/>
      <c r="EI54291"/>
      <c r="EJ54291"/>
      <c r="EK54291"/>
    </row>
    <row r="54292" spans="1:141" s="116" customFormat="1">
      <c r="A54292" s="136"/>
      <c r="CM54292" s="111"/>
      <c r="CQ54292" s="111"/>
      <c r="EF54292"/>
      <c r="EG54292"/>
      <c r="EH54292"/>
      <c r="EI54292"/>
      <c r="EJ54292"/>
      <c r="EK54292"/>
    </row>
    <row r="54293" spans="1:141" s="116" customFormat="1">
      <c r="A54293" s="136"/>
      <c r="CM54293" s="111"/>
      <c r="CQ54293" s="111"/>
      <c r="EF54293"/>
      <c r="EG54293"/>
      <c r="EH54293"/>
      <c r="EI54293"/>
      <c r="EJ54293"/>
      <c r="EK54293"/>
    </row>
    <row r="54294" spans="1:141" s="116" customFormat="1">
      <c r="A54294" s="136"/>
      <c r="CM54294" s="111"/>
      <c r="CQ54294" s="111"/>
      <c r="EF54294"/>
      <c r="EG54294"/>
      <c r="EH54294"/>
      <c r="EI54294"/>
      <c r="EJ54294"/>
      <c r="EK54294"/>
    </row>
    <row r="54295" spans="1:141" s="116" customFormat="1">
      <c r="A54295" s="136"/>
      <c r="CM54295" s="111"/>
      <c r="CQ54295" s="111"/>
      <c r="EF54295"/>
      <c r="EG54295"/>
      <c r="EH54295"/>
      <c r="EI54295"/>
      <c r="EJ54295"/>
      <c r="EK54295"/>
    </row>
    <row r="54296" spans="1:141" s="116" customFormat="1">
      <c r="A54296" s="136"/>
      <c r="CM54296" s="111"/>
      <c r="CQ54296" s="111"/>
      <c r="EF54296"/>
      <c r="EG54296"/>
      <c r="EH54296"/>
      <c r="EI54296"/>
      <c r="EJ54296"/>
      <c r="EK54296"/>
    </row>
    <row r="54297" spans="1:141" s="116" customFormat="1">
      <c r="A54297" s="136"/>
      <c r="CM54297" s="111"/>
      <c r="CQ54297" s="111"/>
      <c r="EF54297"/>
      <c r="EG54297"/>
      <c r="EH54297"/>
      <c r="EI54297"/>
      <c r="EJ54297"/>
      <c r="EK54297"/>
    </row>
    <row r="54298" spans="1:141" s="116" customFormat="1">
      <c r="A54298" s="136"/>
      <c r="CM54298" s="111"/>
      <c r="CQ54298" s="111"/>
      <c r="EF54298"/>
      <c r="EG54298"/>
      <c r="EH54298"/>
      <c r="EI54298"/>
      <c r="EJ54298"/>
      <c r="EK54298"/>
    </row>
    <row r="54299" spans="1:141" s="116" customFormat="1">
      <c r="A54299" s="136"/>
      <c r="CM54299" s="111"/>
      <c r="CQ54299" s="111"/>
      <c r="EF54299"/>
      <c r="EG54299"/>
      <c r="EH54299"/>
      <c r="EI54299"/>
      <c r="EJ54299"/>
      <c r="EK54299"/>
    </row>
    <row r="54300" spans="1:141" s="116" customFormat="1">
      <c r="A54300" s="136"/>
      <c r="CM54300" s="111"/>
      <c r="CQ54300" s="111"/>
      <c r="EF54300"/>
      <c r="EG54300"/>
      <c r="EH54300"/>
      <c r="EI54300"/>
      <c r="EJ54300"/>
      <c r="EK54300"/>
    </row>
    <row r="54301" spans="1:141" s="116" customFormat="1">
      <c r="A54301" s="136"/>
      <c r="CM54301" s="111"/>
      <c r="CQ54301" s="111"/>
      <c r="EF54301"/>
      <c r="EG54301"/>
      <c r="EH54301"/>
      <c r="EI54301"/>
      <c r="EJ54301"/>
      <c r="EK54301"/>
    </row>
    <row r="54302" spans="1:141" s="116" customFormat="1">
      <c r="A54302" s="136"/>
      <c r="CM54302" s="111"/>
      <c r="CQ54302" s="111"/>
      <c r="EF54302"/>
      <c r="EG54302"/>
      <c r="EH54302"/>
      <c r="EI54302"/>
      <c r="EJ54302"/>
      <c r="EK54302"/>
    </row>
    <row r="54303" spans="1:141" s="116" customFormat="1">
      <c r="A54303" s="136"/>
      <c r="CM54303" s="111"/>
      <c r="CQ54303" s="111"/>
      <c r="EF54303"/>
      <c r="EG54303"/>
      <c r="EH54303"/>
      <c r="EI54303"/>
      <c r="EJ54303"/>
      <c r="EK54303"/>
    </row>
    <row r="54304" spans="1:141" s="116" customFormat="1">
      <c r="A54304" s="136"/>
      <c r="CM54304" s="111"/>
      <c r="CQ54304" s="111"/>
      <c r="EF54304"/>
      <c r="EG54304"/>
      <c r="EH54304"/>
      <c r="EI54304"/>
      <c r="EJ54304"/>
      <c r="EK54304"/>
    </row>
    <row r="54305" spans="1:141" s="116" customFormat="1">
      <c r="A54305" s="136"/>
      <c r="CM54305" s="111"/>
      <c r="CQ54305" s="111"/>
      <c r="EF54305"/>
      <c r="EG54305"/>
      <c r="EH54305"/>
      <c r="EI54305"/>
      <c r="EJ54305"/>
      <c r="EK54305"/>
    </row>
    <row r="54306" spans="1:141" s="116" customFormat="1">
      <c r="A54306" s="136"/>
      <c r="CM54306" s="111"/>
      <c r="CQ54306" s="111"/>
      <c r="EF54306"/>
      <c r="EG54306"/>
      <c r="EH54306"/>
      <c r="EI54306"/>
      <c r="EJ54306"/>
      <c r="EK54306"/>
    </row>
    <row r="54307" spans="1:141" s="116" customFormat="1">
      <c r="A54307" s="136"/>
      <c r="CM54307" s="111"/>
      <c r="CQ54307" s="111"/>
      <c r="EF54307"/>
      <c r="EG54307"/>
      <c r="EH54307"/>
      <c r="EI54307"/>
      <c r="EJ54307"/>
      <c r="EK54307"/>
    </row>
    <row r="54308" spans="1:141" s="116" customFormat="1">
      <c r="A54308" s="136"/>
      <c r="CM54308" s="111"/>
      <c r="CQ54308" s="111"/>
      <c r="EF54308"/>
      <c r="EG54308"/>
      <c r="EH54308"/>
      <c r="EI54308"/>
      <c r="EJ54308"/>
      <c r="EK54308"/>
    </row>
    <row r="54309" spans="1:141" s="116" customFormat="1">
      <c r="A54309" s="136"/>
      <c r="CM54309" s="111"/>
      <c r="CQ54309" s="111"/>
      <c r="EF54309"/>
      <c r="EG54309"/>
      <c r="EH54309"/>
      <c r="EI54309"/>
      <c r="EJ54309"/>
      <c r="EK54309"/>
    </row>
    <row r="54310" spans="1:141" s="116" customFormat="1">
      <c r="A54310" s="136"/>
      <c r="CM54310" s="111"/>
      <c r="CQ54310" s="111"/>
      <c r="EF54310"/>
      <c r="EG54310"/>
      <c r="EH54310"/>
      <c r="EI54310"/>
      <c r="EJ54310"/>
      <c r="EK54310"/>
    </row>
    <row r="54311" spans="1:141" s="116" customFormat="1">
      <c r="A54311" s="136"/>
      <c r="CM54311" s="111"/>
      <c r="CQ54311" s="111"/>
      <c r="EF54311"/>
      <c r="EG54311"/>
      <c r="EH54311"/>
      <c r="EI54311"/>
      <c r="EJ54311"/>
      <c r="EK54311"/>
    </row>
    <row r="54312" spans="1:141" s="116" customFormat="1">
      <c r="A54312" s="136"/>
      <c r="CM54312" s="111"/>
      <c r="CQ54312" s="111"/>
      <c r="EF54312"/>
      <c r="EG54312"/>
      <c r="EH54312"/>
      <c r="EI54312"/>
      <c r="EJ54312"/>
      <c r="EK54312"/>
    </row>
    <row r="54313" spans="1:141" s="116" customFormat="1">
      <c r="A54313" s="136"/>
      <c r="CM54313" s="111"/>
      <c r="CQ54313" s="111"/>
      <c r="EF54313"/>
      <c r="EG54313"/>
      <c r="EH54313"/>
      <c r="EI54313"/>
      <c r="EJ54313"/>
      <c r="EK54313"/>
    </row>
    <row r="54314" spans="1:141" s="116" customFormat="1">
      <c r="A54314" s="136"/>
      <c r="CM54314" s="111"/>
      <c r="CQ54314" s="111"/>
      <c r="EF54314"/>
      <c r="EG54314"/>
      <c r="EH54314"/>
      <c r="EI54314"/>
      <c r="EJ54314"/>
      <c r="EK54314"/>
    </row>
    <row r="54315" spans="1:141" s="116" customFormat="1">
      <c r="A54315" s="136"/>
      <c r="CM54315" s="111"/>
      <c r="CQ54315" s="111"/>
      <c r="EF54315"/>
      <c r="EG54315"/>
      <c r="EH54315"/>
      <c r="EI54315"/>
      <c r="EJ54315"/>
      <c r="EK54315"/>
    </row>
    <row r="54316" spans="1:141" s="116" customFormat="1">
      <c r="A54316" s="136"/>
      <c r="CM54316" s="111"/>
      <c r="CQ54316" s="111"/>
      <c r="EF54316"/>
      <c r="EG54316"/>
      <c r="EH54316"/>
      <c r="EI54316"/>
      <c r="EJ54316"/>
      <c r="EK54316"/>
    </row>
    <row r="54317" spans="1:141" s="116" customFormat="1">
      <c r="A54317" s="136"/>
      <c r="CM54317" s="111"/>
      <c r="CQ54317" s="111"/>
      <c r="EF54317"/>
      <c r="EG54317"/>
      <c r="EH54317"/>
      <c r="EI54317"/>
      <c r="EJ54317"/>
      <c r="EK54317"/>
    </row>
    <row r="54318" spans="1:141" s="116" customFormat="1">
      <c r="A54318" s="136"/>
      <c r="CM54318" s="111"/>
      <c r="CQ54318" s="111"/>
      <c r="EF54318"/>
      <c r="EG54318"/>
      <c r="EH54318"/>
      <c r="EI54318"/>
      <c r="EJ54318"/>
      <c r="EK54318"/>
    </row>
    <row r="54319" spans="1:141" s="116" customFormat="1">
      <c r="A54319" s="136"/>
      <c r="CM54319" s="111"/>
      <c r="CQ54319" s="111"/>
      <c r="EF54319"/>
      <c r="EG54319"/>
      <c r="EH54319"/>
      <c r="EI54319"/>
      <c r="EJ54319"/>
      <c r="EK54319"/>
    </row>
    <row r="54320" spans="1:141" s="116" customFormat="1">
      <c r="A54320" s="136"/>
      <c r="CM54320" s="111"/>
      <c r="CQ54320" s="111"/>
      <c r="EF54320"/>
      <c r="EG54320"/>
      <c r="EH54320"/>
      <c r="EI54320"/>
      <c r="EJ54320"/>
      <c r="EK54320"/>
    </row>
    <row r="54321" spans="1:141" s="116" customFormat="1">
      <c r="A54321" s="136"/>
      <c r="CM54321" s="111"/>
      <c r="CQ54321" s="111"/>
      <c r="EF54321"/>
      <c r="EG54321"/>
      <c r="EH54321"/>
      <c r="EI54321"/>
      <c r="EJ54321"/>
      <c r="EK54321"/>
    </row>
    <row r="54322" spans="1:141" s="116" customFormat="1">
      <c r="A54322" s="136"/>
      <c r="CM54322" s="111"/>
      <c r="CQ54322" s="111"/>
      <c r="EF54322"/>
      <c r="EG54322"/>
      <c r="EH54322"/>
      <c r="EI54322"/>
      <c r="EJ54322"/>
      <c r="EK54322"/>
    </row>
    <row r="54323" spans="1:141" s="116" customFormat="1">
      <c r="A54323" s="136"/>
      <c r="CM54323" s="111"/>
      <c r="CQ54323" s="111"/>
      <c r="EF54323"/>
      <c r="EG54323"/>
      <c r="EH54323"/>
      <c r="EI54323"/>
      <c r="EJ54323"/>
      <c r="EK54323"/>
    </row>
    <row r="54324" spans="1:141" s="116" customFormat="1">
      <c r="A54324" s="136"/>
      <c r="CM54324" s="111"/>
      <c r="CQ54324" s="111"/>
      <c r="EF54324"/>
      <c r="EG54324"/>
      <c r="EH54324"/>
      <c r="EI54324"/>
      <c r="EJ54324"/>
      <c r="EK54324"/>
    </row>
    <row r="54325" spans="1:141" s="116" customFormat="1">
      <c r="A54325" s="136"/>
      <c r="CM54325" s="111"/>
      <c r="CQ54325" s="111"/>
      <c r="EF54325"/>
      <c r="EG54325"/>
      <c r="EH54325"/>
      <c r="EI54325"/>
      <c r="EJ54325"/>
      <c r="EK54325"/>
    </row>
    <row r="54326" spans="1:141" s="116" customFormat="1">
      <c r="A54326" s="136"/>
      <c r="CM54326" s="111"/>
      <c r="CQ54326" s="111"/>
      <c r="EF54326"/>
      <c r="EG54326"/>
      <c r="EH54326"/>
      <c r="EI54326"/>
      <c r="EJ54326"/>
      <c r="EK54326"/>
    </row>
    <row r="54327" spans="1:141" s="116" customFormat="1">
      <c r="A54327" s="136"/>
      <c r="CM54327" s="111"/>
      <c r="CQ54327" s="111"/>
      <c r="EF54327"/>
      <c r="EG54327"/>
      <c r="EH54327"/>
      <c r="EI54327"/>
      <c r="EJ54327"/>
      <c r="EK54327"/>
    </row>
    <row r="54328" spans="1:141" s="116" customFormat="1">
      <c r="A54328" s="136"/>
      <c r="CM54328" s="111"/>
      <c r="CQ54328" s="111"/>
      <c r="EF54328"/>
      <c r="EG54328"/>
      <c r="EH54328"/>
      <c r="EI54328"/>
      <c r="EJ54328"/>
      <c r="EK54328"/>
    </row>
    <row r="54329" spans="1:141" s="116" customFormat="1">
      <c r="A54329" s="136"/>
      <c r="CM54329" s="111"/>
      <c r="CQ54329" s="111"/>
      <c r="EF54329"/>
      <c r="EG54329"/>
      <c r="EH54329"/>
      <c r="EI54329"/>
      <c r="EJ54329"/>
      <c r="EK54329"/>
    </row>
    <row r="54330" spans="1:141" s="116" customFormat="1">
      <c r="A54330" s="136"/>
      <c r="CM54330" s="111"/>
      <c r="CQ54330" s="111"/>
      <c r="EF54330"/>
      <c r="EG54330"/>
      <c r="EH54330"/>
      <c r="EI54330"/>
      <c r="EJ54330"/>
      <c r="EK54330"/>
    </row>
    <row r="54331" spans="1:141" s="116" customFormat="1">
      <c r="A54331" s="136"/>
      <c r="CM54331" s="111"/>
      <c r="CQ54331" s="111"/>
      <c r="EF54331"/>
      <c r="EG54331"/>
      <c r="EH54331"/>
      <c r="EI54331"/>
      <c r="EJ54331"/>
      <c r="EK54331"/>
    </row>
    <row r="54332" spans="1:141" s="116" customFormat="1">
      <c r="A54332" s="136"/>
      <c r="CM54332" s="111"/>
      <c r="CQ54332" s="111"/>
      <c r="EF54332"/>
      <c r="EG54332"/>
      <c r="EH54332"/>
      <c r="EI54332"/>
      <c r="EJ54332"/>
      <c r="EK54332"/>
    </row>
    <row r="54333" spans="1:141" s="116" customFormat="1">
      <c r="A54333" s="136"/>
      <c r="CM54333" s="111"/>
      <c r="CQ54333" s="111"/>
      <c r="EF54333"/>
      <c r="EG54333"/>
      <c r="EH54333"/>
      <c r="EI54333"/>
      <c r="EJ54333"/>
      <c r="EK54333"/>
    </row>
    <row r="54334" spans="1:141" s="116" customFormat="1">
      <c r="A54334" s="136"/>
      <c r="CM54334" s="111"/>
      <c r="CQ54334" s="111"/>
      <c r="EF54334"/>
      <c r="EG54334"/>
      <c r="EH54334"/>
      <c r="EI54334"/>
      <c r="EJ54334"/>
      <c r="EK54334"/>
    </row>
    <row r="54335" spans="1:141" s="116" customFormat="1">
      <c r="A54335" s="136"/>
      <c r="CM54335" s="111"/>
      <c r="CQ54335" s="111"/>
      <c r="EF54335"/>
      <c r="EG54335"/>
      <c r="EH54335"/>
      <c r="EI54335"/>
      <c r="EJ54335"/>
      <c r="EK54335"/>
    </row>
    <row r="54336" spans="1:141" s="116" customFormat="1">
      <c r="A54336" s="136"/>
      <c r="CM54336" s="111"/>
      <c r="CQ54336" s="111"/>
      <c r="EF54336"/>
      <c r="EG54336"/>
      <c r="EH54336"/>
      <c r="EI54336"/>
      <c r="EJ54336"/>
      <c r="EK54336"/>
    </row>
    <row r="54337" spans="1:141" s="116" customFormat="1">
      <c r="A54337" s="136"/>
      <c r="CM54337" s="111"/>
      <c r="CQ54337" s="111"/>
      <c r="EF54337"/>
      <c r="EG54337"/>
      <c r="EH54337"/>
      <c r="EI54337"/>
      <c r="EJ54337"/>
      <c r="EK54337"/>
    </row>
    <row r="54338" spans="1:141" s="116" customFormat="1">
      <c r="A54338" s="136"/>
      <c r="CM54338" s="111"/>
      <c r="CQ54338" s="111"/>
      <c r="EF54338"/>
      <c r="EG54338"/>
      <c r="EH54338"/>
      <c r="EI54338"/>
      <c r="EJ54338"/>
      <c r="EK54338"/>
    </row>
    <row r="54339" spans="1:141" s="116" customFormat="1">
      <c r="A54339" s="136"/>
      <c r="CM54339" s="111"/>
      <c r="CQ54339" s="111"/>
      <c r="EF54339"/>
      <c r="EG54339"/>
      <c r="EH54339"/>
      <c r="EI54339"/>
      <c r="EJ54339"/>
      <c r="EK54339"/>
    </row>
    <row r="54340" spans="1:141" s="116" customFormat="1">
      <c r="A54340" s="136"/>
      <c r="CM54340" s="111"/>
      <c r="CQ54340" s="111"/>
      <c r="EF54340"/>
      <c r="EG54340"/>
      <c r="EH54340"/>
      <c r="EI54340"/>
      <c r="EJ54340"/>
      <c r="EK54340"/>
    </row>
    <row r="54341" spans="1:141" s="116" customFormat="1">
      <c r="A54341" s="136"/>
      <c r="CM54341" s="111"/>
      <c r="CQ54341" s="111"/>
      <c r="EF54341"/>
      <c r="EG54341"/>
      <c r="EH54341"/>
      <c r="EI54341"/>
      <c r="EJ54341"/>
      <c r="EK54341"/>
    </row>
    <row r="54342" spans="1:141" s="116" customFormat="1">
      <c r="A54342" s="136"/>
      <c r="CM54342" s="111"/>
      <c r="CQ54342" s="111"/>
      <c r="EF54342"/>
      <c r="EG54342"/>
      <c r="EH54342"/>
      <c r="EI54342"/>
      <c r="EJ54342"/>
      <c r="EK54342"/>
    </row>
    <row r="54343" spans="1:141" s="116" customFormat="1">
      <c r="A54343" s="136"/>
      <c r="CM54343" s="111"/>
      <c r="CQ54343" s="111"/>
      <c r="EF54343"/>
      <c r="EG54343"/>
      <c r="EH54343"/>
      <c r="EI54343"/>
      <c r="EJ54343"/>
      <c r="EK54343"/>
    </row>
    <row r="54344" spans="1:141" s="116" customFormat="1">
      <c r="A54344" s="136"/>
      <c r="CM54344" s="111"/>
      <c r="CQ54344" s="111"/>
      <c r="EF54344"/>
      <c r="EG54344"/>
      <c r="EH54344"/>
      <c r="EI54344"/>
      <c r="EJ54344"/>
      <c r="EK54344"/>
    </row>
    <row r="54345" spans="1:141" s="116" customFormat="1">
      <c r="A54345" s="136"/>
      <c r="CM54345" s="111"/>
      <c r="CQ54345" s="111"/>
      <c r="EF54345"/>
      <c r="EG54345"/>
      <c r="EH54345"/>
      <c r="EI54345"/>
      <c r="EJ54345"/>
      <c r="EK54345"/>
    </row>
    <row r="54346" spans="1:141" s="116" customFormat="1">
      <c r="A54346" s="136"/>
      <c r="CM54346" s="111"/>
      <c r="CQ54346" s="111"/>
      <c r="EF54346"/>
      <c r="EG54346"/>
      <c r="EH54346"/>
      <c r="EI54346"/>
      <c r="EJ54346"/>
      <c r="EK54346"/>
    </row>
    <row r="54347" spans="1:141" s="116" customFormat="1">
      <c r="A54347" s="136"/>
      <c r="CM54347" s="111"/>
      <c r="CQ54347" s="111"/>
      <c r="EF54347"/>
      <c r="EG54347"/>
      <c r="EH54347"/>
      <c r="EI54347"/>
      <c r="EJ54347"/>
      <c r="EK54347"/>
    </row>
    <row r="54348" spans="1:141" s="116" customFormat="1">
      <c r="A54348" s="136"/>
      <c r="CM54348" s="111"/>
      <c r="CQ54348" s="111"/>
      <c r="EF54348"/>
      <c r="EG54348"/>
      <c r="EH54348"/>
      <c r="EI54348"/>
      <c r="EJ54348"/>
      <c r="EK54348"/>
    </row>
    <row r="54349" spans="1:141" s="116" customFormat="1">
      <c r="A54349" s="136"/>
      <c r="CM54349" s="111"/>
      <c r="CQ54349" s="111"/>
      <c r="EF54349"/>
      <c r="EG54349"/>
      <c r="EH54349"/>
      <c r="EI54349"/>
      <c r="EJ54349"/>
      <c r="EK54349"/>
    </row>
    <row r="54350" spans="1:141" s="116" customFormat="1">
      <c r="A54350" s="136"/>
      <c r="CM54350" s="111"/>
      <c r="CQ54350" s="111"/>
      <c r="EF54350"/>
      <c r="EG54350"/>
      <c r="EH54350"/>
      <c r="EI54350"/>
      <c r="EJ54350"/>
      <c r="EK54350"/>
    </row>
    <row r="54351" spans="1:141" s="116" customFormat="1">
      <c r="A54351" s="136"/>
      <c r="CM54351" s="111"/>
      <c r="CQ54351" s="111"/>
      <c r="EF54351"/>
      <c r="EG54351"/>
      <c r="EH54351"/>
      <c r="EI54351"/>
      <c r="EJ54351"/>
      <c r="EK54351"/>
    </row>
    <row r="54352" spans="1:141" s="116" customFormat="1">
      <c r="A54352" s="136"/>
      <c r="CM54352" s="111"/>
      <c r="CQ54352" s="111"/>
      <c r="EF54352"/>
      <c r="EG54352"/>
      <c r="EH54352"/>
      <c r="EI54352"/>
      <c r="EJ54352"/>
      <c r="EK54352"/>
    </row>
    <row r="54353" spans="1:141" s="116" customFormat="1">
      <c r="A54353" s="136"/>
      <c r="CM54353" s="111"/>
      <c r="CQ54353" s="111"/>
      <c r="EF54353"/>
      <c r="EG54353"/>
      <c r="EH54353"/>
      <c r="EI54353"/>
      <c r="EJ54353"/>
      <c r="EK54353"/>
    </row>
    <row r="54354" spans="1:141" s="116" customFormat="1">
      <c r="A54354" s="136"/>
      <c r="CM54354" s="111"/>
      <c r="CQ54354" s="111"/>
      <c r="EF54354"/>
      <c r="EG54354"/>
      <c r="EH54354"/>
      <c r="EI54354"/>
      <c r="EJ54354"/>
      <c r="EK54354"/>
    </row>
    <row r="54355" spans="1:141" s="116" customFormat="1">
      <c r="A54355" s="136"/>
      <c r="CM54355" s="111"/>
      <c r="CQ54355" s="111"/>
      <c r="EF54355"/>
      <c r="EG54355"/>
      <c r="EH54355"/>
      <c r="EI54355"/>
      <c r="EJ54355"/>
      <c r="EK54355"/>
    </row>
    <row r="54356" spans="1:141" s="116" customFormat="1">
      <c r="A54356" s="136"/>
      <c r="CM54356" s="111"/>
      <c r="CQ54356" s="111"/>
      <c r="EF54356"/>
      <c r="EG54356"/>
      <c r="EH54356"/>
      <c r="EI54356"/>
      <c r="EJ54356"/>
      <c r="EK54356"/>
    </row>
    <row r="54357" spans="1:141" s="116" customFormat="1">
      <c r="A54357" s="136"/>
      <c r="CM54357" s="111"/>
      <c r="CQ54357" s="111"/>
      <c r="EF54357"/>
      <c r="EG54357"/>
      <c r="EH54357"/>
      <c r="EI54357"/>
      <c r="EJ54357"/>
      <c r="EK54357"/>
    </row>
    <row r="54358" spans="1:141" s="116" customFormat="1">
      <c r="A54358" s="136"/>
      <c r="CM54358" s="111"/>
      <c r="CQ54358" s="111"/>
      <c r="EF54358"/>
      <c r="EG54358"/>
      <c r="EH54358"/>
      <c r="EI54358"/>
      <c r="EJ54358"/>
      <c r="EK54358"/>
    </row>
    <row r="54359" spans="1:141" s="116" customFormat="1">
      <c r="A54359" s="136"/>
      <c r="CM54359" s="111"/>
      <c r="CQ54359" s="111"/>
      <c r="EF54359"/>
      <c r="EG54359"/>
      <c r="EH54359"/>
      <c r="EI54359"/>
      <c r="EJ54359"/>
      <c r="EK54359"/>
    </row>
    <row r="54360" spans="1:141" s="116" customFormat="1">
      <c r="A54360" s="136"/>
      <c r="CM54360" s="111"/>
      <c r="CQ54360" s="111"/>
      <c r="EF54360"/>
      <c r="EG54360"/>
      <c r="EH54360"/>
      <c r="EI54360"/>
      <c r="EJ54360"/>
      <c r="EK54360"/>
    </row>
    <row r="54361" spans="1:141" s="116" customFormat="1">
      <c r="A54361" s="136"/>
      <c r="CM54361" s="111"/>
      <c r="CQ54361" s="111"/>
      <c r="EF54361"/>
      <c r="EG54361"/>
      <c r="EH54361"/>
      <c r="EI54361"/>
      <c r="EJ54361"/>
      <c r="EK54361"/>
    </row>
    <row r="54362" spans="1:141" s="116" customFormat="1">
      <c r="A54362" s="136"/>
      <c r="CM54362" s="111"/>
      <c r="CQ54362" s="111"/>
      <c r="EF54362"/>
      <c r="EG54362"/>
      <c r="EH54362"/>
      <c r="EI54362"/>
      <c r="EJ54362"/>
      <c r="EK54362"/>
    </row>
    <row r="54363" spans="1:141" s="116" customFormat="1">
      <c r="A54363" s="136"/>
      <c r="CM54363" s="111"/>
      <c r="CQ54363" s="111"/>
      <c r="EF54363"/>
      <c r="EG54363"/>
      <c r="EH54363"/>
      <c r="EI54363"/>
      <c r="EJ54363"/>
      <c r="EK54363"/>
    </row>
    <row r="54364" spans="1:141" s="116" customFormat="1">
      <c r="A54364" s="136"/>
      <c r="CM54364" s="111"/>
      <c r="CQ54364" s="111"/>
      <c r="EF54364"/>
      <c r="EG54364"/>
      <c r="EH54364"/>
      <c r="EI54364"/>
      <c r="EJ54364"/>
      <c r="EK54364"/>
    </row>
    <row r="54365" spans="1:141" s="116" customFormat="1">
      <c r="A54365" s="136"/>
      <c r="CM54365" s="111"/>
      <c r="CQ54365" s="111"/>
      <c r="EF54365"/>
      <c r="EG54365"/>
      <c r="EH54365"/>
      <c r="EI54365"/>
      <c r="EJ54365"/>
      <c r="EK54365"/>
    </row>
    <row r="54366" spans="1:141" s="116" customFormat="1">
      <c r="A54366" s="136"/>
      <c r="CM54366" s="111"/>
      <c r="CQ54366" s="111"/>
      <c r="EF54366"/>
      <c r="EG54366"/>
      <c r="EH54366"/>
      <c r="EI54366"/>
      <c r="EJ54366"/>
      <c r="EK54366"/>
    </row>
    <row r="54367" spans="1:141" s="116" customFormat="1">
      <c r="A54367" s="136"/>
      <c r="CM54367" s="111"/>
      <c r="CQ54367" s="111"/>
      <c r="EF54367"/>
      <c r="EG54367"/>
      <c r="EH54367"/>
      <c r="EI54367"/>
      <c r="EJ54367"/>
      <c r="EK54367"/>
    </row>
    <row r="54368" spans="1:141" s="116" customFormat="1">
      <c r="A54368" s="136"/>
      <c r="CM54368" s="111"/>
      <c r="CQ54368" s="111"/>
      <c r="EF54368"/>
      <c r="EG54368"/>
      <c r="EH54368"/>
      <c r="EI54368"/>
      <c r="EJ54368"/>
      <c r="EK54368"/>
    </row>
    <row r="54369" spans="1:141" s="116" customFormat="1">
      <c r="A54369" s="136"/>
      <c r="CM54369" s="111"/>
      <c r="CQ54369" s="111"/>
      <c r="EF54369"/>
      <c r="EG54369"/>
      <c r="EH54369"/>
      <c r="EI54369"/>
      <c r="EJ54369"/>
      <c r="EK54369"/>
    </row>
    <row r="54370" spans="1:141" s="116" customFormat="1">
      <c r="A54370" s="136"/>
      <c r="CM54370" s="111"/>
      <c r="CQ54370" s="111"/>
      <c r="EF54370"/>
      <c r="EG54370"/>
      <c r="EH54370"/>
      <c r="EI54370"/>
      <c r="EJ54370"/>
      <c r="EK54370"/>
    </row>
    <row r="54371" spans="1:141" s="116" customFormat="1">
      <c r="A54371" s="136"/>
      <c r="CM54371" s="111"/>
      <c r="CQ54371" s="111"/>
      <c r="EF54371"/>
      <c r="EG54371"/>
      <c r="EH54371"/>
      <c r="EI54371"/>
      <c r="EJ54371"/>
      <c r="EK54371"/>
    </row>
    <row r="54372" spans="1:141" s="116" customFormat="1">
      <c r="A54372" s="136"/>
      <c r="CM54372" s="111"/>
      <c r="CQ54372" s="111"/>
      <c r="EF54372"/>
      <c r="EG54372"/>
      <c r="EH54372"/>
      <c r="EI54372"/>
      <c r="EJ54372"/>
      <c r="EK54372"/>
    </row>
    <row r="54373" spans="1:141" s="116" customFormat="1">
      <c r="A54373" s="136"/>
      <c r="CM54373" s="111"/>
      <c r="CQ54373" s="111"/>
      <c r="EF54373"/>
      <c r="EG54373"/>
      <c r="EH54373"/>
      <c r="EI54373"/>
      <c r="EJ54373"/>
      <c r="EK54373"/>
    </row>
    <row r="54374" spans="1:141" s="116" customFormat="1">
      <c r="A54374" s="136"/>
      <c r="CM54374" s="111"/>
      <c r="CQ54374" s="111"/>
      <c r="EF54374"/>
      <c r="EG54374"/>
      <c r="EH54374"/>
      <c r="EI54374"/>
      <c r="EJ54374"/>
      <c r="EK54374"/>
    </row>
    <row r="54375" spans="1:141" s="116" customFormat="1">
      <c r="A54375" s="136"/>
      <c r="CM54375" s="111"/>
      <c r="CQ54375" s="111"/>
      <c r="EF54375"/>
      <c r="EG54375"/>
      <c r="EH54375"/>
      <c r="EI54375"/>
      <c r="EJ54375"/>
      <c r="EK54375"/>
    </row>
    <row r="54376" spans="1:141" s="116" customFormat="1">
      <c r="A54376" s="136"/>
      <c r="CM54376" s="111"/>
      <c r="CQ54376" s="111"/>
      <c r="EF54376"/>
      <c r="EG54376"/>
      <c r="EH54376"/>
      <c r="EI54376"/>
      <c r="EJ54376"/>
      <c r="EK54376"/>
    </row>
    <row r="54377" spans="1:141" s="116" customFormat="1">
      <c r="A54377" s="136"/>
      <c r="CM54377" s="111"/>
      <c r="CQ54377" s="111"/>
      <c r="EF54377"/>
      <c r="EG54377"/>
      <c r="EH54377"/>
      <c r="EI54377"/>
      <c r="EJ54377"/>
      <c r="EK54377"/>
    </row>
    <row r="54378" spans="1:141" s="116" customFormat="1">
      <c r="A54378" s="136"/>
      <c r="CM54378" s="111"/>
      <c r="CQ54378" s="111"/>
      <c r="EF54378"/>
      <c r="EG54378"/>
      <c r="EH54378"/>
      <c r="EI54378"/>
      <c r="EJ54378"/>
      <c r="EK54378"/>
    </row>
    <row r="54379" spans="1:141" s="116" customFormat="1">
      <c r="A54379" s="136"/>
      <c r="CM54379" s="111"/>
      <c r="CQ54379" s="111"/>
      <c r="EF54379"/>
      <c r="EG54379"/>
      <c r="EH54379"/>
      <c r="EI54379"/>
      <c r="EJ54379"/>
      <c r="EK54379"/>
    </row>
    <row r="54380" spans="1:141" s="116" customFormat="1">
      <c r="A54380" s="136"/>
      <c r="CM54380" s="111"/>
      <c r="CQ54380" s="111"/>
      <c r="EF54380"/>
      <c r="EG54380"/>
      <c r="EH54380"/>
      <c r="EI54380"/>
      <c r="EJ54380"/>
      <c r="EK54380"/>
    </row>
    <row r="54381" spans="1:141" s="116" customFormat="1">
      <c r="A54381" s="136"/>
      <c r="CM54381" s="111"/>
      <c r="CQ54381" s="111"/>
      <c r="EF54381"/>
      <c r="EG54381"/>
      <c r="EH54381"/>
      <c r="EI54381"/>
      <c r="EJ54381"/>
      <c r="EK54381"/>
    </row>
    <row r="54382" spans="1:141" s="116" customFormat="1">
      <c r="A54382" s="136"/>
      <c r="CM54382" s="111"/>
      <c r="CQ54382" s="111"/>
      <c r="EF54382"/>
      <c r="EG54382"/>
      <c r="EH54382"/>
      <c r="EI54382"/>
      <c r="EJ54382"/>
      <c r="EK54382"/>
    </row>
    <row r="54383" spans="1:141" s="116" customFormat="1">
      <c r="A54383" s="136"/>
      <c r="CM54383" s="111"/>
      <c r="CQ54383" s="111"/>
      <c r="EF54383"/>
      <c r="EG54383"/>
      <c r="EH54383"/>
      <c r="EI54383"/>
      <c r="EJ54383"/>
      <c r="EK54383"/>
    </row>
    <row r="54384" spans="1:141" s="116" customFormat="1">
      <c r="A54384" s="136"/>
      <c r="CM54384" s="111"/>
      <c r="CQ54384" s="111"/>
      <c r="EF54384"/>
      <c r="EG54384"/>
      <c r="EH54384"/>
      <c r="EI54384"/>
      <c r="EJ54384"/>
      <c r="EK54384"/>
    </row>
    <row r="54385" spans="1:141" s="116" customFormat="1">
      <c r="A54385" s="136"/>
      <c r="CM54385" s="111"/>
      <c r="CQ54385" s="111"/>
      <c r="EF54385"/>
      <c r="EG54385"/>
      <c r="EH54385"/>
      <c r="EI54385"/>
      <c r="EJ54385"/>
      <c r="EK54385"/>
    </row>
    <row r="54386" spans="1:141" s="116" customFormat="1">
      <c r="A54386" s="136"/>
      <c r="CM54386" s="111"/>
      <c r="CQ54386" s="111"/>
      <c r="EF54386"/>
      <c r="EG54386"/>
      <c r="EH54386"/>
      <c r="EI54386"/>
      <c r="EJ54386"/>
      <c r="EK54386"/>
    </row>
    <row r="54387" spans="1:141" s="116" customFormat="1">
      <c r="A54387" s="136"/>
      <c r="CM54387" s="111"/>
      <c r="CQ54387" s="111"/>
      <c r="EF54387"/>
      <c r="EG54387"/>
      <c r="EH54387"/>
      <c r="EI54387"/>
      <c r="EJ54387"/>
      <c r="EK54387"/>
    </row>
    <row r="54388" spans="1:141" s="116" customFormat="1">
      <c r="A54388" s="136"/>
      <c r="CM54388" s="111"/>
      <c r="CQ54388" s="111"/>
      <c r="EF54388"/>
      <c r="EG54388"/>
      <c r="EH54388"/>
      <c r="EI54388"/>
      <c r="EJ54388"/>
      <c r="EK54388"/>
    </row>
    <row r="54389" spans="1:141" s="116" customFormat="1">
      <c r="A54389" s="136"/>
      <c r="CM54389" s="111"/>
      <c r="CQ54389" s="111"/>
      <c r="EF54389"/>
      <c r="EG54389"/>
      <c r="EH54389"/>
      <c r="EI54389"/>
      <c r="EJ54389"/>
      <c r="EK54389"/>
    </row>
    <row r="54390" spans="1:141" s="116" customFormat="1">
      <c r="A54390" s="136"/>
      <c r="CM54390" s="111"/>
      <c r="CQ54390" s="111"/>
      <c r="EF54390"/>
      <c r="EG54390"/>
      <c r="EH54390"/>
      <c r="EI54390"/>
      <c r="EJ54390"/>
      <c r="EK54390"/>
    </row>
    <row r="54391" spans="1:141" s="116" customFormat="1">
      <c r="A54391" s="136"/>
      <c r="CM54391" s="111"/>
      <c r="CQ54391" s="111"/>
      <c r="EF54391"/>
      <c r="EG54391"/>
      <c r="EH54391"/>
      <c r="EI54391"/>
      <c r="EJ54391"/>
      <c r="EK54391"/>
    </row>
    <row r="54392" spans="1:141" s="116" customFormat="1">
      <c r="A54392" s="136"/>
      <c r="CM54392" s="111"/>
      <c r="CQ54392" s="111"/>
      <c r="EF54392"/>
      <c r="EG54392"/>
      <c r="EH54392"/>
      <c r="EI54392"/>
      <c r="EJ54392"/>
      <c r="EK54392"/>
    </row>
    <row r="54393" spans="1:141" s="116" customFormat="1">
      <c r="A54393" s="136"/>
      <c r="CM54393" s="111"/>
      <c r="CQ54393" s="111"/>
      <c r="EF54393"/>
      <c r="EG54393"/>
      <c r="EH54393"/>
      <c r="EI54393"/>
      <c r="EJ54393"/>
      <c r="EK54393"/>
    </row>
    <row r="54394" spans="1:141" s="116" customFormat="1">
      <c r="A54394" s="136"/>
      <c r="CM54394" s="111"/>
      <c r="CQ54394" s="111"/>
      <c r="EF54394"/>
      <c r="EG54394"/>
      <c r="EH54394"/>
      <c r="EI54394"/>
      <c r="EJ54394"/>
      <c r="EK54394"/>
    </row>
    <row r="54395" spans="1:141" s="116" customFormat="1">
      <c r="A54395" s="136"/>
      <c r="CM54395" s="111"/>
      <c r="CQ54395" s="111"/>
      <c r="EF54395"/>
      <c r="EG54395"/>
      <c r="EH54395"/>
      <c r="EI54395"/>
      <c r="EJ54395"/>
      <c r="EK54395"/>
    </row>
    <row r="54396" spans="1:141" s="116" customFormat="1">
      <c r="A54396" s="136"/>
      <c r="CM54396" s="111"/>
      <c r="CQ54396" s="111"/>
      <c r="EF54396"/>
      <c r="EG54396"/>
      <c r="EH54396"/>
      <c r="EI54396"/>
      <c r="EJ54396"/>
      <c r="EK54396"/>
    </row>
    <row r="54397" spans="1:141" s="116" customFormat="1">
      <c r="A54397" s="136"/>
      <c r="CM54397" s="111"/>
      <c r="CQ54397" s="111"/>
      <c r="EF54397"/>
      <c r="EG54397"/>
      <c r="EH54397"/>
      <c r="EI54397"/>
      <c r="EJ54397"/>
      <c r="EK54397"/>
    </row>
    <row r="54398" spans="1:141" s="116" customFormat="1">
      <c r="A54398" s="136"/>
      <c r="CM54398" s="111"/>
      <c r="CQ54398" s="111"/>
      <c r="EF54398"/>
      <c r="EG54398"/>
      <c r="EH54398"/>
      <c r="EI54398"/>
      <c r="EJ54398"/>
      <c r="EK54398"/>
    </row>
    <row r="54399" spans="1:141" s="116" customFormat="1">
      <c r="A54399" s="136"/>
      <c r="CM54399" s="111"/>
      <c r="CQ54399" s="111"/>
      <c r="EF54399"/>
      <c r="EG54399"/>
      <c r="EH54399"/>
      <c r="EI54399"/>
      <c r="EJ54399"/>
      <c r="EK54399"/>
    </row>
    <row r="54400" spans="1:141" s="116" customFormat="1">
      <c r="A54400" s="136"/>
      <c r="CM54400" s="111"/>
      <c r="CQ54400" s="111"/>
      <c r="EF54400"/>
      <c r="EG54400"/>
      <c r="EH54400"/>
      <c r="EI54400"/>
      <c r="EJ54400"/>
      <c r="EK54400"/>
    </row>
    <row r="54401" spans="1:141" s="116" customFormat="1">
      <c r="A54401" s="136"/>
      <c r="CM54401" s="111"/>
      <c r="CQ54401" s="111"/>
      <c r="EF54401"/>
      <c r="EG54401"/>
      <c r="EH54401"/>
      <c r="EI54401"/>
      <c r="EJ54401"/>
      <c r="EK54401"/>
    </row>
    <row r="54402" spans="1:141" s="116" customFormat="1">
      <c r="A54402" s="136"/>
      <c r="CM54402" s="111"/>
      <c r="CQ54402" s="111"/>
      <c r="EF54402"/>
      <c r="EG54402"/>
      <c r="EH54402"/>
      <c r="EI54402"/>
      <c r="EJ54402"/>
      <c r="EK54402"/>
    </row>
    <row r="54403" spans="1:141" s="116" customFormat="1">
      <c r="A54403" s="136"/>
      <c r="CM54403" s="111"/>
      <c r="CQ54403" s="111"/>
      <c r="EF54403"/>
      <c r="EG54403"/>
      <c r="EH54403"/>
      <c r="EI54403"/>
      <c r="EJ54403"/>
      <c r="EK54403"/>
    </row>
    <row r="54404" spans="1:141" s="116" customFormat="1">
      <c r="A54404" s="136"/>
      <c r="CM54404" s="111"/>
      <c r="CQ54404" s="111"/>
      <c r="EF54404"/>
      <c r="EG54404"/>
      <c r="EH54404"/>
      <c r="EI54404"/>
      <c r="EJ54404"/>
      <c r="EK54404"/>
    </row>
    <row r="54405" spans="1:141" s="116" customFormat="1">
      <c r="A54405" s="136"/>
      <c r="CM54405" s="111"/>
      <c r="CQ54405" s="111"/>
      <c r="EF54405"/>
      <c r="EG54405"/>
      <c r="EH54405"/>
      <c r="EI54405"/>
      <c r="EJ54405"/>
      <c r="EK54405"/>
    </row>
    <row r="54406" spans="1:141" s="116" customFormat="1">
      <c r="A54406" s="136"/>
      <c r="CM54406" s="111"/>
      <c r="CQ54406" s="111"/>
      <c r="EF54406"/>
      <c r="EG54406"/>
      <c r="EH54406"/>
      <c r="EI54406"/>
      <c r="EJ54406"/>
      <c r="EK54406"/>
    </row>
    <row r="54407" spans="1:141" s="116" customFormat="1">
      <c r="A54407" s="136"/>
      <c r="CM54407" s="111"/>
      <c r="CQ54407" s="111"/>
      <c r="EF54407"/>
      <c r="EG54407"/>
      <c r="EH54407"/>
      <c r="EI54407"/>
      <c r="EJ54407"/>
      <c r="EK54407"/>
    </row>
    <row r="54408" spans="1:141" s="116" customFormat="1">
      <c r="A54408" s="136"/>
      <c r="CM54408" s="111"/>
      <c r="CQ54408" s="111"/>
      <c r="EF54408"/>
      <c r="EG54408"/>
      <c r="EH54408"/>
      <c r="EI54408"/>
      <c r="EJ54408"/>
      <c r="EK54408"/>
    </row>
    <row r="54409" spans="1:141" s="116" customFormat="1">
      <c r="A54409" s="136"/>
      <c r="CM54409" s="111"/>
      <c r="CQ54409" s="111"/>
      <c r="EF54409"/>
      <c r="EG54409"/>
      <c r="EH54409"/>
      <c r="EI54409"/>
      <c r="EJ54409"/>
      <c r="EK54409"/>
    </row>
    <row r="54410" spans="1:141" s="116" customFormat="1">
      <c r="A54410" s="136"/>
      <c r="CM54410" s="111"/>
      <c r="CQ54410" s="111"/>
      <c r="EF54410"/>
      <c r="EG54410"/>
      <c r="EH54410"/>
      <c r="EI54410"/>
      <c r="EJ54410"/>
      <c r="EK54410"/>
    </row>
    <row r="54411" spans="1:141" s="116" customFormat="1">
      <c r="A54411" s="136"/>
      <c r="CM54411" s="111"/>
      <c r="CQ54411" s="111"/>
      <c r="EF54411"/>
      <c r="EG54411"/>
      <c r="EH54411"/>
      <c r="EI54411"/>
      <c r="EJ54411"/>
      <c r="EK54411"/>
    </row>
    <row r="54412" spans="1:141" s="116" customFormat="1">
      <c r="A54412" s="136"/>
      <c r="CM54412" s="111"/>
      <c r="CQ54412" s="111"/>
      <c r="EF54412"/>
      <c r="EG54412"/>
      <c r="EH54412"/>
      <c r="EI54412"/>
      <c r="EJ54412"/>
      <c r="EK54412"/>
    </row>
    <row r="54413" spans="1:141" s="116" customFormat="1">
      <c r="A54413" s="136"/>
      <c r="CM54413" s="111"/>
      <c r="CQ54413" s="111"/>
      <c r="EF54413"/>
      <c r="EG54413"/>
      <c r="EH54413"/>
      <c r="EI54413"/>
      <c r="EJ54413"/>
      <c r="EK54413"/>
    </row>
    <row r="54414" spans="1:141" s="116" customFormat="1">
      <c r="A54414" s="136"/>
      <c r="CM54414" s="111"/>
      <c r="CQ54414" s="111"/>
      <c r="EF54414"/>
      <c r="EG54414"/>
      <c r="EH54414"/>
      <c r="EI54414"/>
      <c r="EJ54414"/>
      <c r="EK54414"/>
    </row>
    <row r="54415" spans="1:141" s="116" customFormat="1">
      <c r="A54415" s="136"/>
      <c r="CM54415" s="111"/>
      <c r="CQ54415" s="111"/>
      <c r="EF54415"/>
      <c r="EG54415"/>
      <c r="EH54415"/>
      <c r="EI54415"/>
      <c r="EJ54415"/>
      <c r="EK54415"/>
    </row>
    <row r="54416" spans="1:141" s="116" customFormat="1">
      <c r="A54416" s="136"/>
      <c r="CM54416" s="111"/>
      <c r="CQ54416" s="111"/>
      <c r="EF54416"/>
      <c r="EG54416"/>
      <c r="EH54416"/>
      <c r="EI54416"/>
      <c r="EJ54416"/>
      <c r="EK54416"/>
    </row>
    <row r="54417" spans="1:141" s="116" customFormat="1">
      <c r="A54417" s="136"/>
      <c r="CM54417" s="111"/>
      <c r="CQ54417" s="111"/>
      <c r="EF54417"/>
      <c r="EG54417"/>
      <c r="EH54417"/>
      <c r="EI54417"/>
      <c r="EJ54417"/>
      <c r="EK54417"/>
    </row>
    <row r="54418" spans="1:141" s="116" customFormat="1">
      <c r="A54418" s="136"/>
      <c r="CM54418" s="111"/>
      <c r="CQ54418" s="111"/>
      <c r="EF54418"/>
      <c r="EG54418"/>
      <c r="EH54418"/>
      <c r="EI54418"/>
      <c r="EJ54418"/>
      <c r="EK54418"/>
    </row>
    <row r="54419" spans="1:141" s="116" customFormat="1">
      <c r="A54419" s="136"/>
      <c r="CM54419" s="111"/>
      <c r="CQ54419" s="111"/>
      <c r="EF54419"/>
      <c r="EG54419"/>
      <c r="EH54419"/>
      <c r="EI54419"/>
      <c r="EJ54419"/>
      <c r="EK54419"/>
    </row>
    <row r="54420" spans="1:141" s="116" customFormat="1">
      <c r="A54420" s="136"/>
      <c r="CM54420" s="111"/>
      <c r="CQ54420" s="111"/>
      <c r="EF54420"/>
      <c r="EG54420"/>
      <c r="EH54420"/>
      <c r="EI54420"/>
      <c r="EJ54420"/>
      <c r="EK54420"/>
    </row>
    <row r="54421" spans="1:141" s="116" customFormat="1">
      <c r="A54421" s="136"/>
      <c r="CM54421" s="111"/>
      <c r="CQ54421" s="111"/>
      <c r="EF54421"/>
      <c r="EG54421"/>
      <c r="EH54421"/>
      <c r="EI54421"/>
      <c r="EJ54421"/>
      <c r="EK54421"/>
    </row>
    <row r="54422" spans="1:141" s="116" customFormat="1">
      <c r="A54422" s="136"/>
      <c r="CM54422" s="111"/>
      <c r="CQ54422" s="111"/>
      <c r="EF54422"/>
      <c r="EG54422"/>
      <c r="EH54422"/>
      <c r="EI54422"/>
      <c r="EJ54422"/>
      <c r="EK54422"/>
    </row>
    <row r="54423" spans="1:141" s="116" customFormat="1">
      <c r="A54423" s="136"/>
      <c r="CM54423" s="111"/>
      <c r="CQ54423" s="111"/>
      <c r="EF54423"/>
      <c r="EG54423"/>
      <c r="EH54423"/>
      <c r="EI54423"/>
      <c r="EJ54423"/>
      <c r="EK54423"/>
    </row>
    <row r="54424" spans="1:141" s="116" customFormat="1">
      <c r="A54424" s="136"/>
      <c r="CM54424" s="111"/>
      <c r="CQ54424" s="111"/>
      <c r="EF54424"/>
      <c r="EG54424"/>
      <c r="EH54424"/>
      <c r="EI54424"/>
      <c r="EJ54424"/>
      <c r="EK54424"/>
    </row>
    <row r="54425" spans="1:141" s="116" customFormat="1">
      <c r="A54425" s="136"/>
      <c r="CM54425" s="111"/>
      <c r="CQ54425" s="111"/>
      <c r="EF54425"/>
      <c r="EG54425"/>
      <c r="EH54425"/>
      <c r="EI54425"/>
      <c r="EJ54425"/>
      <c r="EK54425"/>
    </row>
    <row r="54426" spans="1:141" s="116" customFormat="1">
      <c r="A54426" s="136"/>
      <c r="CM54426" s="111"/>
      <c r="CQ54426" s="111"/>
      <c r="EF54426"/>
      <c r="EG54426"/>
      <c r="EH54426"/>
      <c r="EI54426"/>
      <c r="EJ54426"/>
      <c r="EK54426"/>
    </row>
    <row r="54427" spans="1:141" s="116" customFormat="1">
      <c r="A54427" s="136"/>
      <c r="CM54427" s="111"/>
      <c r="CQ54427" s="111"/>
      <c r="EF54427"/>
      <c r="EG54427"/>
      <c r="EH54427"/>
      <c r="EI54427"/>
      <c r="EJ54427"/>
      <c r="EK54427"/>
    </row>
    <row r="54428" spans="1:141" s="116" customFormat="1">
      <c r="A54428" s="136"/>
      <c r="CM54428" s="111"/>
      <c r="CQ54428" s="111"/>
      <c r="EF54428"/>
      <c r="EG54428"/>
      <c r="EH54428"/>
      <c r="EI54428"/>
      <c r="EJ54428"/>
      <c r="EK54428"/>
    </row>
    <row r="54429" spans="1:141" s="116" customFormat="1">
      <c r="A54429" s="136"/>
      <c r="CM54429" s="111"/>
      <c r="CQ54429" s="111"/>
      <c r="EF54429"/>
      <c r="EG54429"/>
      <c r="EH54429"/>
      <c r="EI54429"/>
      <c r="EJ54429"/>
      <c r="EK54429"/>
    </row>
    <row r="54430" spans="1:141" s="116" customFormat="1">
      <c r="A54430" s="136"/>
      <c r="CM54430" s="111"/>
      <c r="CQ54430" s="111"/>
      <c r="EF54430"/>
      <c r="EG54430"/>
      <c r="EH54430"/>
      <c r="EI54430"/>
      <c r="EJ54430"/>
      <c r="EK54430"/>
    </row>
    <row r="54431" spans="1:141" s="116" customFormat="1">
      <c r="A54431" s="136"/>
      <c r="CM54431" s="111"/>
      <c r="CQ54431" s="111"/>
      <c r="EF54431"/>
      <c r="EG54431"/>
      <c r="EH54431"/>
      <c r="EI54431"/>
      <c r="EJ54431"/>
      <c r="EK54431"/>
    </row>
    <row r="54432" spans="1:141" s="116" customFormat="1">
      <c r="A54432" s="136"/>
      <c r="CM54432" s="111"/>
      <c r="CQ54432" s="111"/>
      <c r="EF54432"/>
      <c r="EG54432"/>
      <c r="EH54432"/>
      <c r="EI54432"/>
      <c r="EJ54432"/>
      <c r="EK54432"/>
    </row>
    <row r="54433" spans="1:141" s="116" customFormat="1">
      <c r="A54433" s="136"/>
      <c r="CM54433" s="111"/>
      <c r="CQ54433" s="111"/>
      <c r="EF54433"/>
      <c r="EG54433"/>
      <c r="EH54433"/>
      <c r="EI54433"/>
      <c r="EJ54433"/>
      <c r="EK54433"/>
    </row>
    <row r="54434" spans="1:141" s="116" customFormat="1">
      <c r="A54434" s="136"/>
      <c r="CM54434" s="111"/>
      <c r="CQ54434" s="111"/>
      <c r="EF54434"/>
      <c r="EG54434"/>
      <c r="EH54434"/>
      <c r="EI54434"/>
      <c r="EJ54434"/>
      <c r="EK54434"/>
    </row>
    <row r="54435" spans="1:141" s="116" customFormat="1">
      <c r="A54435" s="136"/>
      <c r="CM54435" s="111"/>
      <c r="CQ54435" s="111"/>
      <c r="EF54435"/>
      <c r="EG54435"/>
      <c r="EH54435"/>
      <c r="EI54435"/>
      <c r="EJ54435"/>
      <c r="EK54435"/>
    </row>
    <row r="54436" spans="1:141" s="116" customFormat="1">
      <c r="A54436" s="136"/>
      <c r="CM54436" s="111"/>
      <c r="CQ54436" s="111"/>
      <c r="EF54436"/>
      <c r="EG54436"/>
      <c r="EH54436"/>
      <c r="EI54436"/>
      <c r="EJ54436"/>
      <c r="EK54436"/>
    </row>
    <row r="54437" spans="1:141" s="116" customFormat="1">
      <c r="A54437" s="136"/>
      <c r="CM54437" s="111"/>
      <c r="CQ54437" s="111"/>
      <c r="EF54437"/>
      <c r="EG54437"/>
      <c r="EH54437"/>
      <c r="EI54437"/>
      <c r="EJ54437"/>
      <c r="EK54437"/>
    </row>
    <row r="54438" spans="1:141" s="116" customFormat="1">
      <c r="A54438" s="136"/>
      <c r="CM54438" s="111"/>
      <c r="CQ54438" s="111"/>
      <c r="EF54438"/>
      <c r="EG54438"/>
      <c r="EH54438"/>
      <c r="EI54438"/>
      <c r="EJ54438"/>
      <c r="EK54438"/>
    </row>
    <row r="54439" spans="1:141" s="116" customFormat="1">
      <c r="A54439" s="136"/>
      <c r="CM54439" s="111"/>
      <c r="CQ54439" s="111"/>
      <c r="EF54439"/>
      <c r="EG54439"/>
      <c r="EH54439"/>
      <c r="EI54439"/>
      <c r="EJ54439"/>
      <c r="EK54439"/>
    </row>
    <row r="54440" spans="1:141" s="116" customFormat="1">
      <c r="A54440" s="136"/>
      <c r="CM54440" s="111"/>
      <c r="CQ54440" s="111"/>
      <c r="EF54440"/>
      <c r="EG54440"/>
      <c r="EH54440"/>
      <c r="EI54440"/>
      <c r="EJ54440"/>
      <c r="EK54440"/>
    </row>
    <row r="54441" spans="1:141" s="116" customFormat="1">
      <c r="A54441" s="136"/>
      <c r="CM54441" s="111"/>
      <c r="CQ54441" s="111"/>
      <c r="EF54441"/>
      <c r="EG54441"/>
      <c r="EH54441"/>
      <c r="EI54441"/>
      <c r="EJ54441"/>
      <c r="EK54441"/>
    </row>
    <row r="54442" spans="1:141" s="116" customFormat="1">
      <c r="A54442" s="136"/>
      <c r="CM54442" s="111"/>
      <c r="CQ54442" s="111"/>
      <c r="EF54442"/>
      <c r="EG54442"/>
      <c r="EH54442"/>
      <c r="EI54442"/>
      <c r="EJ54442"/>
      <c r="EK54442"/>
    </row>
    <row r="54443" spans="1:141" s="116" customFormat="1">
      <c r="A54443" s="136"/>
      <c r="CM54443" s="111"/>
      <c r="CQ54443" s="111"/>
      <c r="EF54443"/>
      <c r="EG54443"/>
      <c r="EH54443"/>
      <c r="EI54443"/>
      <c r="EJ54443"/>
      <c r="EK54443"/>
    </row>
    <row r="54444" spans="1:141" s="116" customFormat="1">
      <c r="A54444" s="136"/>
      <c r="CM54444" s="111"/>
      <c r="CQ54444" s="111"/>
      <c r="EF54444"/>
      <c r="EG54444"/>
      <c r="EH54444"/>
      <c r="EI54444"/>
      <c r="EJ54444"/>
      <c r="EK54444"/>
    </row>
    <row r="54445" spans="1:141" s="116" customFormat="1">
      <c r="A54445" s="136"/>
      <c r="CM54445" s="111"/>
      <c r="CQ54445" s="111"/>
      <c r="EF54445"/>
      <c r="EG54445"/>
      <c r="EH54445"/>
      <c r="EI54445"/>
      <c r="EJ54445"/>
      <c r="EK54445"/>
    </row>
    <row r="54446" spans="1:141" s="116" customFormat="1">
      <c r="A54446" s="136"/>
      <c r="CM54446" s="111"/>
      <c r="CQ54446" s="111"/>
      <c r="EF54446"/>
      <c r="EG54446"/>
      <c r="EH54446"/>
      <c r="EI54446"/>
      <c r="EJ54446"/>
      <c r="EK54446"/>
    </row>
    <row r="54447" spans="1:141" s="116" customFormat="1">
      <c r="A54447" s="136"/>
      <c r="CM54447" s="111"/>
      <c r="CQ54447" s="111"/>
      <c r="EF54447"/>
      <c r="EG54447"/>
      <c r="EH54447"/>
      <c r="EI54447"/>
      <c r="EJ54447"/>
      <c r="EK54447"/>
    </row>
    <row r="54448" spans="1:141" s="116" customFormat="1">
      <c r="A54448" s="136"/>
      <c r="CM54448" s="111"/>
      <c r="CQ54448" s="111"/>
      <c r="EF54448"/>
      <c r="EG54448"/>
      <c r="EH54448"/>
      <c r="EI54448"/>
      <c r="EJ54448"/>
      <c r="EK54448"/>
    </row>
    <row r="54449" spans="1:141" s="116" customFormat="1">
      <c r="A54449" s="136"/>
      <c r="CM54449" s="111"/>
      <c r="CQ54449" s="111"/>
      <c r="EF54449"/>
      <c r="EG54449"/>
      <c r="EH54449"/>
      <c r="EI54449"/>
      <c r="EJ54449"/>
      <c r="EK54449"/>
    </row>
    <row r="54450" spans="1:141" s="116" customFormat="1">
      <c r="A54450" s="136"/>
      <c r="CM54450" s="111"/>
      <c r="CQ54450" s="111"/>
      <c r="EF54450"/>
      <c r="EG54450"/>
      <c r="EH54450"/>
      <c r="EI54450"/>
      <c r="EJ54450"/>
      <c r="EK54450"/>
    </row>
    <row r="54451" spans="1:141" s="116" customFormat="1">
      <c r="A54451" s="136"/>
      <c r="CM54451" s="111"/>
      <c r="CQ54451" s="111"/>
      <c r="EF54451"/>
      <c r="EG54451"/>
      <c r="EH54451"/>
      <c r="EI54451"/>
      <c r="EJ54451"/>
      <c r="EK54451"/>
    </row>
    <row r="54452" spans="1:141" s="116" customFormat="1">
      <c r="A54452" s="136"/>
      <c r="CM54452" s="111"/>
      <c r="CQ54452" s="111"/>
      <c r="EF54452"/>
      <c r="EG54452"/>
      <c r="EH54452"/>
      <c r="EI54452"/>
      <c r="EJ54452"/>
      <c r="EK54452"/>
    </row>
    <row r="54453" spans="1:141" s="116" customFormat="1">
      <c r="A54453" s="136"/>
      <c r="CM54453" s="111"/>
      <c r="CQ54453" s="111"/>
      <c r="EF54453"/>
      <c r="EG54453"/>
      <c r="EH54453"/>
      <c r="EI54453"/>
      <c r="EJ54453"/>
      <c r="EK54453"/>
    </row>
    <row r="54454" spans="1:141" s="116" customFormat="1">
      <c r="A54454" s="136"/>
      <c r="CM54454" s="111"/>
      <c r="CQ54454" s="111"/>
      <c r="EF54454"/>
      <c r="EG54454"/>
      <c r="EH54454"/>
      <c r="EI54454"/>
      <c r="EJ54454"/>
      <c r="EK54454"/>
    </row>
    <row r="54455" spans="1:141" s="116" customFormat="1">
      <c r="A54455" s="136"/>
      <c r="CM54455" s="111"/>
      <c r="CQ54455" s="111"/>
      <c r="EF54455"/>
      <c r="EG54455"/>
      <c r="EH54455"/>
      <c r="EI54455"/>
      <c r="EJ54455"/>
      <c r="EK54455"/>
    </row>
    <row r="54456" spans="1:141" s="116" customFormat="1">
      <c r="A54456" s="136"/>
      <c r="CM54456" s="111"/>
      <c r="CQ54456" s="111"/>
      <c r="EF54456"/>
      <c r="EG54456"/>
      <c r="EH54456"/>
      <c r="EI54456"/>
      <c r="EJ54456"/>
      <c r="EK54456"/>
    </row>
    <row r="54457" spans="1:141" s="116" customFormat="1">
      <c r="A54457" s="136"/>
      <c r="CM54457" s="111"/>
      <c r="CQ54457" s="111"/>
      <c r="EF54457"/>
      <c r="EG54457"/>
      <c r="EH54457"/>
      <c r="EI54457"/>
      <c r="EJ54457"/>
      <c r="EK54457"/>
    </row>
    <row r="54458" spans="1:141" s="116" customFormat="1">
      <c r="A54458" s="136"/>
      <c r="CM54458" s="111"/>
      <c r="CQ54458" s="111"/>
      <c r="EF54458"/>
      <c r="EG54458"/>
      <c r="EH54458"/>
      <c r="EI54458"/>
      <c r="EJ54458"/>
      <c r="EK54458"/>
    </row>
    <row r="54459" spans="1:141" s="116" customFormat="1">
      <c r="A54459" s="136"/>
      <c r="CM54459" s="111"/>
      <c r="CQ54459" s="111"/>
      <c r="EF54459"/>
      <c r="EG54459"/>
      <c r="EH54459"/>
      <c r="EI54459"/>
      <c r="EJ54459"/>
      <c r="EK54459"/>
    </row>
    <row r="54460" spans="1:141" s="116" customFormat="1">
      <c r="A54460" s="136"/>
      <c r="CM54460" s="111"/>
      <c r="CQ54460" s="111"/>
      <c r="EF54460"/>
      <c r="EG54460"/>
      <c r="EH54460"/>
      <c r="EI54460"/>
      <c r="EJ54460"/>
      <c r="EK54460"/>
    </row>
    <row r="54461" spans="1:141" s="116" customFormat="1">
      <c r="A54461" s="136"/>
      <c r="CM54461" s="111"/>
      <c r="CQ54461" s="111"/>
      <c r="EF54461"/>
      <c r="EG54461"/>
      <c r="EH54461"/>
      <c r="EI54461"/>
      <c r="EJ54461"/>
      <c r="EK54461"/>
    </row>
    <row r="54462" spans="1:141" s="116" customFormat="1">
      <c r="A54462" s="136"/>
      <c r="CM54462" s="111"/>
      <c r="CQ54462" s="111"/>
      <c r="EF54462"/>
      <c r="EG54462"/>
      <c r="EH54462"/>
      <c r="EI54462"/>
      <c r="EJ54462"/>
      <c r="EK54462"/>
    </row>
    <row r="54463" spans="1:141" s="116" customFormat="1">
      <c r="A54463" s="136"/>
      <c r="CM54463" s="111"/>
      <c r="CQ54463" s="111"/>
      <c r="EF54463"/>
      <c r="EG54463"/>
      <c r="EH54463"/>
      <c r="EI54463"/>
      <c r="EJ54463"/>
      <c r="EK54463"/>
    </row>
    <row r="54464" spans="1:141" s="116" customFormat="1">
      <c r="A54464" s="136"/>
      <c r="CM54464" s="111"/>
      <c r="CQ54464" s="111"/>
      <c r="EF54464"/>
      <c r="EG54464"/>
      <c r="EH54464"/>
      <c r="EI54464"/>
      <c r="EJ54464"/>
      <c r="EK54464"/>
    </row>
    <row r="54465" spans="1:141" s="116" customFormat="1">
      <c r="A54465" s="136"/>
      <c r="CM54465" s="111"/>
      <c r="CQ54465" s="111"/>
      <c r="EF54465"/>
      <c r="EG54465"/>
      <c r="EH54465"/>
      <c r="EI54465"/>
      <c r="EJ54465"/>
      <c r="EK54465"/>
    </row>
    <row r="54466" spans="1:141" s="116" customFormat="1">
      <c r="A54466" s="136"/>
      <c r="CM54466" s="111"/>
      <c r="CQ54466" s="111"/>
      <c r="EF54466"/>
      <c r="EG54466"/>
      <c r="EH54466"/>
      <c r="EI54466"/>
      <c r="EJ54466"/>
      <c r="EK54466"/>
    </row>
    <row r="54467" spans="1:141" s="116" customFormat="1">
      <c r="A54467" s="136"/>
      <c r="CM54467" s="111"/>
      <c r="CQ54467" s="111"/>
      <c r="EF54467"/>
      <c r="EG54467"/>
      <c r="EH54467"/>
      <c r="EI54467"/>
      <c r="EJ54467"/>
      <c r="EK54467"/>
    </row>
    <row r="54468" spans="1:141" s="116" customFormat="1">
      <c r="A54468" s="136"/>
      <c r="CM54468" s="111"/>
      <c r="CQ54468" s="111"/>
      <c r="EF54468"/>
      <c r="EG54468"/>
      <c r="EH54468"/>
      <c r="EI54468"/>
      <c r="EJ54468"/>
      <c r="EK54468"/>
    </row>
    <row r="54469" spans="1:141" s="116" customFormat="1">
      <c r="A54469" s="136"/>
      <c r="CM54469" s="111"/>
      <c r="CQ54469" s="111"/>
      <c r="EF54469"/>
      <c r="EG54469"/>
      <c r="EH54469"/>
      <c r="EI54469"/>
      <c r="EJ54469"/>
      <c r="EK54469"/>
    </row>
    <row r="54470" spans="1:141" s="116" customFormat="1">
      <c r="A54470" s="136"/>
      <c r="CM54470" s="111"/>
      <c r="CQ54470" s="111"/>
      <c r="EF54470"/>
      <c r="EG54470"/>
      <c r="EH54470"/>
      <c r="EI54470"/>
      <c r="EJ54470"/>
      <c r="EK54470"/>
    </row>
    <row r="54471" spans="1:141" s="116" customFormat="1">
      <c r="A54471" s="136"/>
      <c r="CM54471" s="111"/>
      <c r="CQ54471" s="111"/>
      <c r="EF54471"/>
      <c r="EG54471"/>
      <c r="EH54471"/>
      <c r="EI54471"/>
      <c r="EJ54471"/>
      <c r="EK54471"/>
    </row>
    <row r="54472" spans="1:141" s="116" customFormat="1">
      <c r="A54472" s="136"/>
      <c r="CM54472" s="111"/>
      <c r="CQ54472" s="111"/>
      <c r="EF54472"/>
      <c r="EG54472"/>
      <c r="EH54472"/>
      <c r="EI54472"/>
      <c r="EJ54472"/>
      <c r="EK54472"/>
    </row>
    <row r="54473" spans="1:141" s="116" customFormat="1">
      <c r="A54473" s="136"/>
      <c r="CM54473" s="111"/>
      <c r="CQ54473" s="111"/>
      <c r="EF54473"/>
      <c r="EG54473"/>
      <c r="EH54473"/>
      <c r="EI54473"/>
      <c r="EJ54473"/>
      <c r="EK54473"/>
    </row>
    <row r="54474" spans="1:141" s="116" customFormat="1">
      <c r="A54474" s="136"/>
      <c r="CM54474" s="111"/>
      <c r="CQ54474" s="111"/>
      <c r="EF54474"/>
      <c r="EG54474"/>
      <c r="EH54474"/>
      <c r="EI54474"/>
      <c r="EJ54474"/>
      <c r="EK54474"/>
    </row>
    <row r="54475" spans="1:141" s="116" customFormat="1">
      <c r="A54475" s="136"/>
      <c r="CM54475" s="111"/>
      <c r="CQ54475" s="111"/>
      <c r="EF54475"/>
      <c r="EG54475"/>
      <c r="EH54475"/>
      <c r="EI54475"/>
      <c r="EJ54475"/>
      <c r="EK54475"/>
    </row>
    <row r="54476" spans="1:141" s="116" customFormat="1">
      <c r="A54476" s="136"/>
      <c r="CM54476" s="111"/>
      <c r="CQ54476" s="111"/>
      <c r="EF54476"/>
      <c r="EG54476"/>
      <c r="EH54476"/>
      <c r="EI54476"/>
      <c r="EJ54476"/>
      <c r="EK54476"/>
    </row>
    <row r="54477" spans="1:141" s="116" customFormat="1">
      <c r="A54477" s="136"/>
      <c r="CM54477" s="111"/>
      <c r="CQ54477" s="111"/>
      <c r="EF54477"/>
      <c r="EG54477"/>
      <c r="EH54477"/>
      <c r="EI54477"/>
      <c r="EJ54477"/>
      <c r="EK54477"/>
    </row>
    <row r="54478" spans="1:141" s="116" customFormat="1">
      <c r="A54478" s="136"/>
      <c r="CM54478" s="111"/>
      <c r="CQ54478" s="111"/>
      <c r="EF54478"/>
      <c r="EG54478"/>
      <c r="EH54478"/>
      <c r="EI54478"/>
      <c r="EJ54478"/>
      <c r="EK54478"/>
    </row>
    <row r="54479" spans="1:141" s="116" customFormat="1">
      <c r="A54479" s="136"/>
      <c r="CM54479" s="111"/>
      <c r="CQ54479" s="111"/>
      <c r="EF54479"/>
      <c r="EG54479"/>
      <c r="EH54479"/>
      <c r="EI54479"/>
      <c r="EJ54479"/>
      <c r="EK54479"/>
    </row>
    <row r="54480" spans="1:141" s="116" customFormat="1">
      <c r="A54480" s="136"/>
      <c r="CM54480" s="111"/>
      <c r="CQ54480" s="111"/>
      <c r="EF54480"/>
      <c r="EG54480"/>
      <c r="EH54480"/>
      <c r="EI54480"/>
      <c r="EJ54480"/>
      <c r="EK54480"/>
    </row>
    <row r="54481" spans="1:141" s="116" customFormat="1">
      <c r="A54481" s="136"/>
      <c r="CM54481" s="111"/>
      <c r="CQ54481" s="111"/>
      <c r="EF54481"/>
      <c r="EG54481"/>
      <c r="EH54481"/>
      <c r="EI54481"/>
      <c r="EJ54481"/>
      <c r="EK54481"/>
    </row>
    <row r="54482" spans="1:141" s="116" customFormat="1">
      <c r="A54482" s="136"/>
      <c r="CM54482" s="111"/>
      <c r="CQ54482" s="111"/>
      <c r="EF54482"/>
      <c r="EG54482"/>
      <c r="EH54482"/>
      <c r="EI54482"/>
      <c r="EJ54482"/>
      <c r="EK54482"/>
    </row>
    <row r="54483" spans="1:141" s="116" customFormat="1">
      <c r="A54483" s="136"/>
      <c r="CM54483" s="111"/>
      <c r="CQ54483" s="111"/>
      <c r="EF54483"/>
      <c r="EG54483"/>
      <c r="EH54483"/>
      <c r="EI54483"/>
      <c r="EJ54483"/>
      <c r="EK54483"/>
    </row>
    <row r="54484" spans="1:141" s="116" customFormat="1">
      <c r="A54484" s="136"/>
      <c r="CM54484" s="111"/>
      <c r="CQ54484" s="111"/>
      <c r="EF54484"/>
      <c r="EG54484"/>
      <c r="EH54484"/>
      <c r="EI54484"/>
      <c r="EJ54484"/>
      <c r="EK54484"/>
    </row>
    <row r="54485" spans="1:141" s="116" customFormat="1">
      <c r="A54485" s="136"/>
      <c r="CM54485" s="111"/>
      <c r="CQ54485" s="111"/>
      <c r="EF54485"/>
      <c r="EG54485"/>
      <c r="EH54485"/>
      <c r="EI54485"/>
      <c r="EJ54485"/>
      <c r="EK54485"/>
    </row>
    <row r="54486" spans="1:141" s="116" customFormat="1">
      <c r="A54486" s="136"/>
      <c r="CM54486" s="111"/>
      <c r="CQ54486" s="111"/>
      <c r="EF54486"/>
      <c r="EG54486"/>
      <c r="EH54486"/>
      <c r="EI54486"/>
      <c r="EJ54486"/>
      <c r="EK54486"/>
    </row>
    <row r="54487" spans="1:141" s="116" customFormat="1">
      <c r="A54487" s="136"/>
      <c r="CM54487" s="111"/>
      <c r="CQ54487" s="111"/>
      <c r="EF54487"/>
      <c r="EG54487"/>
      <c r="EH54487"/>
      <c r="EI54487"/>
      <c r="EJ54487"/>
      <c r="EK54487"/>
    </row>
    <row r="54488" spans="1:141" s="116" customFormat="1">
      <c r="A54488" s="136"/>
      <c r="CM54488" s="111"/>
      <c r="CQ54488" s="111"/>
      <c r="EF54488"/>
      <c r="EG54488"/>
      <c r="EH54488"/>
      <c r="EI54488"/>
      <c r="EJ54488"/>
      <c r="EK54488"/>
    </row>
    <row r="54489" spans="1:141" s="116" customFormat="1">
      <c r="A54489" s="136"/>
      <c r="CM54489" s="111"/>
      <c r="CQ54489" s="111"/>
      <c r="EF54489"/>
      <c r="EG54489"/>
      <c r="EH54489"/>
      <c r="EI54489"/>
      <c r="EJ54489"/>
      <c r="EK54489"/>
    </row>
    <row r="54490" spans="1:141" s="116" customFormat="1">
      <c r="A54490" s="136"/>
      <c r="CM54490" s="111"/>
      <c r="CQ54490" s="111"/>
      <c r="EF54490"/>
      <c r="EG54490"/>
      <c r="EH54490"/>
      <c r="EI54490"/>
      <c r="EJ54490"/>
      <c r="EK54490"/>
    </row>
    <row r="54491" spans="1:141" s="116" customFormat="1">
      <c r="A54491" s="136"/>
      <c r="CM54491" s="111"/>
      <c r="CQ54491" s="111"/>
      <c r="EF54491"/>
      <c r="EG54491"/>
      <c r="EH54491"/>
      <c r="EI54491"/>
      <c r="EJ54491"/>
      <c r="EK54491"/>
    </row>
    <row r="54492" spans="1:141" s="116" customFormat="1">
      <c r="A54492" s="136"/>
      <c r="CM54492" s="111"/>
      <c r="CQ54492" s="111"/>
      <c r="EF54492"/>
      <c r="EG54492"/>
      <c r="EH54492"/>
      <c r="EI54492"/>
      <c r="EJ54492"/>
      <c r="EK54492"/>
    </row>
    <row r="54493" spans="1:141" s="116" customFormat="1">
      <c r="A54493" s="136"/>
      <c r="CM54493" s="111"/>
      <c r="CQ54493" s="111"/>
      <c r="EF54493"/>
      <c r="EG54493"/>
      <c r="EH54493"/>
      <c r="EI54493"/>
      <c r="EJ54493"/>
      <c r="EK54493"/>
    </row>
    <row r="54494" spans="1:141" s="116" customFormat="1">
      <c r="A54494" s="136"/>
      <c r="CM54494" s="111"/>
      <c r="CQ54494" s="111"/>
      <c r="EF54494"/>
      <c r="EG54494"/>
      <c r="EH54494"/>
      <c r="EI54494"/>
      <c r="EJ54494"/>
      <c r="EK54494"/>
    </row>
    <row r="54495" spans="1:141" s="116" customFormat="1">
      <c r="A54495" s="136"/>
      <c r="CM54495" s="111"/>
      <c r="CQ54495" s="111"/>
      <c r="EF54495"/>
      <c r="EG54495"/>
      <c r="EH54495"/>
      <c r="EI54495"/>
      <c r="EJ54495"/>
      <c r="EK54495"/>
    </row>
    <row r="54496" spans="1:141" s="116" customFormat="1">
      <c r="A54496" s="136"/>
      <c r="CM54496" s="111"/>
      <c r="CQ54496" s="111"/>
      <c r="EF54496"/>
      <c r="EG54496"/>
      <c r="EH54496"/>
      <c r="EI54496"/>
      <c r="EJ54496"/>
      <c r="EK54496"/>
    </row>
    <row r="54497" spans="1:141" s="116" customFormat="1">
      <c r="A54497" s="136"/>
      <c r="CM54497" s="111"/>
      <c r="CQ54497" s="111"/>
      <c r="EF54497"/>
      <c r="EG54497"/>
      <c r="EH54497"/>
      <c r="EI54497"/>
      <c r="EJ54497"/>
      <c r="EK54497"/>
    </row>
    <row r="54498" spans="1:141" s="116" customFormat="1">
      <c r="A54498" s="136"/>
      <c r="CM54498" s="111"/>
      <c r="CQ54498" s="111"/>
      <c r="EF54498"/>
      <c r="EG54498"/>
      <c r="EH54498"/>
      <c r="EI54498"/>
      <c r="EJ54498"/>
      <c r="EK54498"/>
    </row>
    <row r="54499" spans="1:141" s="116" customFormat="1">
      <c r="A54499" s="136"/>
      <c r="CM54499" s="111"/>
      <c r="CQ54499" s="111"/>
      <c r="EF54499"/>
      <c r="EG54499"/>
      <c r="EH54499"/>
      <c r="EI54499"/>
      <c r="EJ54499"/>
      <c r="EK54499"/>
    </row>
    <row r="54500" spans="1:141" s="116" customFormat="1">
      <c r="A54500" s="136"/>
      <c r="CM54500" s="111"/>
      <c r="CQ54500" s="111"/>
      <c r="EF54500"/>
      <c r="EG54500"/>
      <c r="EH54500"/>
      <c r="EI54500"/>
      <c r="EJ54500"/>
      <c r="EK54500"/>
    </row>
    <row r="54501" spans="1:141" s="116" customFormat="1">
      <c r="A54501" s="136"/>
      <c r="CM54501" s="111"/>
      <c r="CQ54501" s="111"/>
      <c r="EF54501"/>
      <c r="EG54501"/>
      <c r="EH54501"/>
      <c r="EI54501"/>
      <c r="EJ54501"/>
      <c r="EK54501"/>
    </row>
    <row r="54502" spans="1:141" s="116" customFormat="1">
      <c r="A54502" s="136"/>
      <c r="CM54502" s="111"/>
      <c r="CQ54502" s="111"/>
      <c r="EF54502"/>
      <c r="EG54502"/>
      <c r="EH54502"/>
      <c r="EI54502"/>
      <c r="EJ54502"/>
      <c r="EK54502"/>
    </row>
    <row r="54503" spans="1:141" s="116" customFormat="1">
      <c r="A54503" s="136"/>
      <c r="CM54503" s="111"/>
      <c r="CQ54503" s="111"/>
      <c r="EF54503"/>
      <c r="EG54503"/>
      <c r="EH54503"/>
      <c r="EI54503"/>
      <c r="EJ54503"/>
      <c r="EK54503"/>
    </row>
    <row r="54504" spans="1:141" s="116" customFormat="1">
      <c r="A54504" s="136"/>
      <c r="CM54504" s="111"/>
      <c r="CQ54504" s="111"/>
      <c r="EF54504"/>
      <c r="EG54504"/>
      <c r="EH54504"/>
      <c r="EI54504"/>
      <c r="EJ54504"/>
      <c r="EK54504"/>
    </row>
    <row r="54505" spans="1:141" s="116" customFormat="1">
      <c r="A54505" s="136"/>
      <c r="CM54505" s="111"/>
      <c r="CQ54505" s="111"/>
      <c r="EF54505"/>
      <c r="EG54505"/>
      <c r="EH54505"/>
      <c r="EI54505"/>
      <c r="EJ54505"/>
      <c r="EK54505"/>
    </row>
    <row r="54506" spans="1:141" s="116" customFormat="1">
      <c r="A54506" s="136"/>
      <c r="CM54506" s="111"/>
      <c r="CQ54506" s="111"/>
      <c r="EF54506"/>
      <c r="EG54506"/>
      <c r="EH54506"/>
      <c r="EI54506"/>
      <c r="EJ54506"/>
      <c r="EK54506"/>
    </row>
    <row r="54507" spans="1:141" s="116" customFormat="1">
      <c r="A54507" s="136"/>
      <c r="CM54507" s="111"/>
      <c r="CQ54507" s="111"/>
      <c r="EF54507"/>
      <c r="EG54507"/>
      <c r="EH54507"/>
      <c r="EI54507"/>
      <c r="EJ54507"/>
      <c r="EK54507"/>
    </row>
    <row r="54508" spans="1:141" s="116" customFormat="1">
      <c r="A54508" s="136"/>
      <c r="CM54508" s="111"/>
      <c r="CQ54508" s="111"/>
      <c r="EF54508"/>
      <c r="EG54508"/>
      <c r="EH54508"/>
      <c r="EI54508"/>
      <c r="EJ54508"/>
      <c r="EK54508"/>
    </row>
    <row r="54509" spans="1:141" s="116" customFormat="1">
      <c r="A54509" s="136"/>
      <c r="CM54509" s="111"/>
      <c r="CQ54509" s="111"/>
      <c r="EF54509"/>
      <c r="EG54509"/>
      <c r="EH54509"/>
      <c r="EI54509"/>
      <c r="EJ54509"/>
      <c r="EK54509"/>
    </row>
    <row r="54510" spans="1:141" s="116" customFormat="1">
      <c r="A54510" s="136"/>
      <c r="CM54510" s="111"/>
      <c r="CQ54510" s="111"/>
      <c r="EF54510"/>
      <c r="EG54510"/>
      <c r="EH54510"/>
      <c r="EI54510"/>
      <c r="EJ54510"/>
      <c r="EK54510"/>
    </row>
    <row r="54511" spans="1:141" s="116" customFormat="1">
      <c r="A54511" s="136"/>
      <c r="CM54511" s="111"/>
      <c r="CQ54511" s="111"/>
      <c r="EF54511"/>
      <c r="EG54511"/>
      <c r="EH54511"/>
      <c r="EI54511"/>
      <c r="EJ54511"/>
      <c r="EK54511"/>
    </row>
    <row r="54512" spans="1:141" s="116" customFormat="1">
      <c r="A54512" s="136"/>
      <c r="CM54512" s="111"/>
      <c r="CQ54512" s="111"/>
      <c r="EF54512"/>
      <c r="EG54512"/>
      <c r="EH54512"/>
      <c r="EI54512"/>
      <c r="EJ54512"/>
      <c r="EK54512"/>
    </row>
    <row r="54513" spans="1:141" s="116" customFormat="1">
      <c r="A54513" s="136"/>
      <c r="CM54513" s="111"/>
      <c r="CQ54513" s="111"/>
      <c r="EF54513"/>
      <c r="EG54513"/>
      <c r="EH54513"/>
      <c r="EI54513"/>
      <c r="EJ54513"/>
      <c r="EK54513"/>
    </row>
    <row r="54514" spans="1:141" s="116" customFormat="1">
      <c r="A54514" s="136"/>
      <c r="CM54514" s="111"/>
      <c r="CQ54514" s="111"/>
      <c r="EF54514"/>
      <c r="EG54514"/>
      <c r="EH54514"/>
      <c r="EI54514"/>
      <c r="EJ54514"/>
      <c r="EK54514"/>
    </row>
    <row r="54515" spans="1:141" s="116" customFormat="1">
      <c r="A54515" s="136"/>
      <c r="CM54515" s="111"/>
      <c r="CQ54515" s="111"/>
      <c r="EF54515"/>
      <c r="EG54515"/>
      <c r="EH54515"/>
      <c r="EI54515"/>
      <c r="EJ54515"/>
      <c r="EK54515"/>
    </row>
    <row r="54516" spans="1:141" s="116" customFormat="1">
      <c r="A54516" s="136"/>
      <c r="CM54516" s="111"/>
      <c r="CQ54516" s="111"/>
      <c r="EF54516"/>
      <c r="EG54516"/>
      <c r="EH54516"/>
      <c r="EI54516"/>
      <c r="EJ54516"/>
      <c r="EK54516"/>
    </row>
    <row r="54517" spans="1:141" s="116" customFormat="1">
      <c r="A54517" s="136"/>
      <c r="CM54517" s="111"/>
      <c r="CQ54517" s="111"/>
      <c r="EF54517"/>
      <c r="EG54517"/>
      <c r="EH54517"/>
      <c r="EI54517"/>
      <c r="EJ54517"/>
      <c r="EK54517"/>
    </row>
    <row r="54518" spans="1:141" s="116" customFormat="1">
      <c r="A54518" s="136"/>
      <c r="CM54518" s="111"/>
      <c r="CQ54518" s="111"/>
      <c r="EF54518"/>
      <c r="EG54518"/>
      <c r="EH54518"/>
      <c r="EI54518"/>
      <c r="EJ54518"/>
      <c r="EK54518"/>
    </row>
    <row r="54519" spans="1:141" s="116" customFormat="1">
      <c r="A54519" s="136"/>
      <c r="CM54519" s="111"/>
      <c r="CQ54519" s="111"/>
      <c r="EF54519"/>
      <c r="EG54519"/>
      <c r="EH54519"/>
      <c r="EI54519"/>
      <c r="EJ54519"/>
      <c r="EK54519"/>
    </row>
    <row r="54520" spans="1:141" s="116" customFormat="1">
      <c r="A54520" s="136"/>
      <c r="CM54520" s="111"/>
      <c r="CQ54520" s="111"/>
      <c r="EF54520"/>
      <c r="EG54520"/>
      <c r="EH54520"/>
      <c r="EI54520"/>
      <c r="EJ54520"/>
      <c r="EK54520"/>
    </row>
    <row r="54521" spans="1:141" s="116" customFormat="1">
      <c r="A54521" s="136"/>
      <c r="CM54521" s="111"/>
      <c r="CQ54521" s="111"/>
      <c r="EF54521"/>
      <c r="EG54521"/>
      <c r="EH54521"/>
      <c r="EI54521"/>
      <c r="EJ54521"/>
      <c r="EK54521"/>
    </row>
    <row r="54522" spans="1:141" s="116" customFormat="1">
      <c r="A54522" s="136"/>
      <c r="CM54522" s="111"/>
      <c r="CQ54522" s="111"/>
      <c r="EF54522"/>
      <c r="EG54522"/>
      <c r="EH54522"/>
      <c r="EI54522"/>
      <c r="EJ54522"/>
      <c r="EK54522"/>
    </row>
    <row r="54523" spans="1:141" s="116" customFormat="1">
      <c r="A54523" s="136"/>
      <c r="CM54523" s="111"/>
      <c r="CQ54523" s="111"/>
      <c r="EF54523"/>
      <c r="EG54523"/>
      <c r="EH54523"/>
      <c r="EI54523"/>
      <c r="EJ54523"/>
      <c r="EK54523"/>
    </row>
    <row r="54524" spans="1:141" s="116" customFormat="1">
      <c r="A54524" s="136"/>
      <c r="CM54524" s="111"/>
      <c r="CQ54524" s="111"/>
      <c r="EF54524"/>
      <c r="EG54524"/>
      <c r="EH54524"/>
      <c r="EI54524"/>
      <c r="EJ54524"/>
      <c r="EK54524"/>
    </row>
    <row r="54525" spans="1:141" s="116" customFormat="1">
      <c r="A54525" s="136"/>
      <c r="CM54525" s="111"/>
      <c r="CQ54525" s="111"/>
      <c r="EF54525"/>
      <c r="EG54525"/>
      <c r="EH54525"/>
      <c r="EI54525"/>
      <c r="EJ54525"/>
      <c r="EK54525"/>
    </row>
    <row r="54526" spans="1:141" s="116" customFormat="1">
      <c r="A54526" s="136"/>
      <c r="CM54526" s="111"/>
      <c r="CQ54526" s="111"/>
      <c r="EF54526"/>
      <c r="EG54526"/>
      <c r="EH54526"/>
      <c r="EI54526"/>
      <c r="EJ54526"/>
      <c r="EK54526"/>
    </row>
    <row r="54527" spans="1:141" s="116" customFormat="1">
      <c r="A54527" s="136"/>
      <c r="CM54527" s="111"/>
      <c r="CQ54527" s="111"/>
      <c r="EF54527"/>
      <c r="EG54527"/>
      <c r="EH54527"/>
      <c r="EI54527"/>
      <c r="EJ54527"/>
      <c r="EK54527"/>
    </row>
    <row r="54528" spans="1:141" s="116" customFormat="1">
      <c r="A54528" s="136"/>
      <c r="CM54528" s="111"/>
      <c r="CQ54528" s="111"/>
      <c r="EF54528"/>
      <c r="EG54528"/>
      <c r="EH54528"/>
      <c r="EI54528"/>
      <c r="EJ54528"/>
      <c r="EK54528"/>
    </row>
    <row r="54529" spans="1:141" s="116" customFormat="1">
      <c r="A54529" s="136"/>
      <c r="CM54529" s="111"/>
      <c r="CQ54529" s="111"/>
      <c r="EF54529"/>
      <c r="EG54529"/>
      <c r="EH54529"/>
      <c r="EI54529"/>
      <c r="EJ54529"/>
      <c r="EK54529"/>
    </row>
    <row r="54530" spans="1:141" s="116" customFormat="1">
      <c r="A54530" s="136"/>
      <c r="CM54530" s="111"/>
      <c r="CQ54530" s="111"/>
      <c r="EF54530"/>
      <c r="EG54530"/>
      <c r="EH54530"/>
      <c r="EI54530"/>
      <c r="EJ54530"/>
      <c r="EK54530"/>
    </row>
    <row r="54531" spans="1:141" s="116" customFormat="1">
      <c r="A54531" s="136"/>
      <c r="CM54531" s="111"/>
      <c r="CQ54531" s="111"/>
      <c r="EF54531"/>
      <c r="EG54531"/>
      <c r="EH54531"/>
      <c r="EI54531"/>
      <c r="EJ54531"/>
      <c r="EK54531"/>
    </row>
    <row r="54532" spans="1:141" s="116" customFormat="1">
      <c r="A54532" s="136"/>
      <c r="CM54532" s="111"/>
      <c r="CQ54532" s="111"/>
      <c r="EF54532"/>
      <c r="EG54532"/>
      <c r="EH54532"/>
      <c r="EI54532"/>
      <c r="EJ54532"/>
      <c r="EK54532"/>
    </row>
    <row r="54533" spans="1:141" s="116" customFormat="1">
      <c r="A54533" s="136"/>
      <c r="CM54533" s="111"/>
      <c r="CQ54533" s="111"/>
      <c r="EF54533"/>
      <c r="EG54533"/>
      <c r="EH54533"/>
      <c r="EI54533"/>
      <c r="EJ54533"/>
      <c r="EK54533"/>
    </row>
    <row r="54534" spans="1:141" s="116" customFormat="1">
      <c r="A54534" s="136"/>
      <c r="CM54534" s="111"/>
      <c r="CQ54534" s="111"/>
      <c r="EF54534"/>
      <c r="EG54534"/>
      <c r="EH54534"/>
      <c r="EI54534"/>
      <c r="EJ54534"/>
      <c r="EK54534"/>
    </row>
    <row r="54535" spans="1:141" s="116" customFormat="1">
      <c r="A54535" s="136"/>
      <c r="CM54535" s="111"/>
      <c r="CQ54535" s="111"/>
      <c r="EF54535"/>
      <c r="EG54535"/>
      <c r="EH54535"/>
      <c r="EI54535"/>
      <c r="EJ54535"/>
      <c r="EK54535"/>
    </row>
    <row r="54536" spans="1:141" s="116" customFormat="1">
      <c r="A54536" s="136"/>
      <c r="CM54536" s="111"/>
      <c r="CQ54536" s="111"/>
      <c r="EF54536"/>
      <c r="EG54536"/>
      <c r="EH54536"/>
      <c r="EI54536"/>
      <c r="EJ54536"/>
      <c r="EK54536"/>
    </row>
    <row r="54537" spans="1:141" s="116" customFormat="1">
      <c r="A54537" s="136"/>
      <c r="CM54537" s="111"/>
      <c r="CQ54537" s="111"/>
      <c r="EF54537"/>
      <c r="EG54537"/>
      <c r="EH54537"/>
      <c r="EI54537"/>
      <c r="EJ54537"/>
      <c r="EK54537"/>
    </row>
    <row r="54538" spans="1:141" s="116" customFormat="1">
      <c r="A54538" s="136"/>
      <c r="CM54538" s="111"/>
      <c r="CQ54538" s="111"/>
      <c r="EF54538"/>
      <c r="EG54538"/>
      <c r="EH54538"/>
      <c r="EI54538"/>
      <c r="EJ54538"/>
      <c r="EK54538"/>
    </row>
    <row r="54539" spans="1:141" s="116" customFormat="1">
      <c r="A54539" s="136"/>
      <c r="CM54539" s="111"/>
      <c r="CQ54539" s="111"/>
      <c r="EF54539"/>
      <c r="EG54539"/>
      <c r="EH54539"/>
      <c r="EI54539"/>
      <c r="EJ54539"/>
      <c r="EK54539"/>
    </row>
    <row r="54540" spans="1:141" s="116" customFormat="1">
      <c r="A54540" s="136"/>
      <c r="CM54540" s="111"/>
      <c r="CQ54540" s="111"/>
      <c r="EF54540"/>
      <c r="EG54540"/>
      <c r="EH54540"/>
      <c r="EI54540"/>
      <c r="EJ54540"/>
      <c r="EK54540"/>
    </row>
    <row r="54541" spans="1:141" s="116" customFormat="1">
      <c r="A54541" s="136"/>
      <c r="CM54541" s="111"/>
      <c r="CQ54541" s="111"/>
      <c r="EF54541"/>
      <c r="EG54541"/>
      <c r="EH54541"/>
      <c r="EI54541"/>
      <c r="EJ54541"/>
      <c r="EK54541"/>
    </row>
    <row r="54542" spans="1:141" s="116" customFormat="1">
      <c r="A54542" s="136"/>
      <c r="CM54542" s="111"/>
      <c r="CQ54542" s="111"/>
      <c r="EF54542"/>
      <c r="EG54542"/>
      <c r="EH54542"/>
      <c r="EI54542"/>
      <c r="EJ54542"/>
      <c r="EK54542"/>
    </row>
    <row r="54543" spans="1:141" s="116" customFormat="1">
      <c r="A54543" s="136"/>
      <c r="CM54543" s="111"/>
      <c r="CQ54543" s="111"/>
      <c r="EF54543"/>
      <c r="EG54543"/>
      <c r="EH54543"/>
      <c r="EI54543"/>
      <c r="EJ54543"/>
      <c r="EK54543"/>
    </row>
    <row r="54544" spans="1:141" s="116" customFormat="1">
      <c r="A54544" s="136"/>
      <c r="CM54544" s="111"/>
      <c r="CQ54544" s="111"/>
      <c r="EF54544"/>
      <c r="EG54544"/>
      <c r="EH54544"/>
      <c r="EI54544"/>
      <c r="EJ54544"/>
      <c r="EK54544"/>
    </row>
    <row r="54545" spans="1:141" s="116" customFormat="1">
      <c r="A54545" s="136"/>
      <c r="CM54545" s="111"/>
      <c r="CQ54545" s="111"/>
      <c r="EF54545"/>
      <c r="EG54545"/>
      <c r="EH54545"/>
      <c r="EI54545"/>
      <c r="EJ54545"/>
      <c r="EK54545"/>
    </row>
    <row r="54546" spans="1:141" s="116" customFormat="1">
      <c r="A54546" s="136"/>
      <c r="CM54546" s="111"/>
      <c r="CQ54546" s="111"/>
      <c r="EF54546"/>
      <c r="EG54546"/>
      <c r="EH54546"/>
      <c r="EI54546"/>
      <c r="EJ54546"/>
      <c r="EK54546"/>
    </row>
    <row r="54547" spans="1:141" s="116" customFormat="1">
      <c r="A54547" s="136"/>
      <c r="CM54547" s="111"/>
      <c r="CQ54547" s="111"/>
      <c r="EF54547"/>
      <c r="EG54547"/>
      <c r="EH54547"/>
      <c r="EI54547"/>
      <c r="EJ54547"/>
      <c r="EK54547"/>
    </row>
    <row r="54548" spans="1:141" s="116" customFormat="1">
      <c r="A54548" s="136"/>
      <c r="CM54548" s="111"/>
      <c r="CQ54548" s="111"/>
      <c r="EF54548"/>
      <c r="EG54548"/>
      <c r="EH54548"/>
      <c r="EI54548"/>
      <c r="EJ54548"/>
      <c r="EK54548"/>
    </row>
    <row r="54549" spans="1:141" s="116" customFormat="1">
      <c r="A54549" s="136"/>
      <c r="CM54549" s="111"/>
      <c r="CQ54549" s="111"/>
      <c r="EF54549"/>
      <c r="EG54549"/>
      <c r="EH54549"/>
      <c r="EI54549"/>
      <c r="EJ54549"/>
      <c r="EK54549"/>
    </row>
    <row r="54550" spans="1:141" s="116" customFormat="1">
      <c r="A54550" s="136"/>
      <c r="CM54550" s="111"/>
      <c r="CQ54550" s="111"/>
      <c r="EF54550"/>
      <c r="EG54550"/>
      <c r="EH54550"/>
      <c r="EI54550"/>
      <c r="EJ54550"/>
      <c r="EK54550"/>
    </row>
    <row r="54551" spans="1:141" s="116" customFormat="1">
      <c r="A54551" s="136"/>
      <c r="CM54551" s="111"/>
      <c r="CQ54551" s="111"/>
      <c r="EF54551"/>
      <c r="EG54551"/>
      <c r="EH54551"/>
      <c r="EI54551"/>
      <c r="EJ54551"/>
      <c r="EK54551"/>
    </row>
    <row r="54552" spans="1:141" s="116" customFormat="1">
      <c r="A54552" s="136"/>
      <c r="CM54552" s="111"/>
      <c r="CQ54552" s="111"/>
      <c r="EF54552"/>
      <c r="EG54552"/>
      <c r="EH54552"/>
      <c r="EI54552"/>
      <c r="EJ54552"/>
      <c r="EK54552"/>
    </row>
    <row r="54553" spans="1:141" s="116" customFormat="1">
      <c r="A54553" s="136"/>
      <c r="CM54553" s="111"/>
      <c r="CQ54553" s="111"/>
      <c r="EF54553"/>
      <c r="EG54553"/>
      <c r="EH54553"/>
      <c r="EI54553"/>
      <c r="EJ54553"/>
      <c r="EK54553"/>
    </row>
    <row r="54554" spans="1:141" s="116" customFormat="1">
      <c r="A54554" s="136"/>
      <c r="CM54554" s="111"/>
      <c r="CQ54554" s="111"/>
      <c r="EF54554"/>
      <c r="EG54554"/>
      <c r="EH54554"/>
      <c r="EI54554"/>
      <c r="EJ54554"/>
      <c r="EK54554"/>
    </row>
    <row r="54555" spans="1:141" s="116" customFormat="1">
      <c r="A54555" s="136"/>
      <c r="CM54555" s="111"/>
      <c r="CQ54555" s="111"/>
      <c r="EF54555"/>
      <c r="EG54555"/>
      <c r="EH54555"/>
      <c r="EI54555"/>
      <c r="EJ54555"/>
      <c r="EK54555"/>
    </row>
    <row r="54556" spans="1:141" s="116" customFormat="1">
      <c r="A54556" s="136"/>
      <c r="CM54556" s="111"/>
      <c r="CQ54556" s="111"/>
      <c r="EF54556"/>
      <c r="EG54556"/>
      <c r="EH54556"/>
      <c r="EI54556"/>
      <c r="EJ54556"/>
      <c r="EK54556"/>
    </row>
    <row r="54557" spans="1:141" s="116" customFormat="1">
      <c r="A54557" s="136"/>
      <c r="CM54557" s="111"/>
      <c r="CQ54557" s="111"/>
      <c r="EF54557"/>
      <c r="EG54557"/>
      <c r="EH54557"/>
      <c r="EI54557"/>
      <c r="EJ54557"/>
      <c r="EK54557"/>
    </row>
    <row r="54558" spans="1:141" s="116" customFormat="1">
      <c r="A54558" s="136"/>
      <c r="CM54558" s="111"/>
      <c r="CQ54558" s="111"/>
      <c r="EF54558"/>
      <c r="EG54558"/>
      <c r="EH54558"/>
      <c r="EI54558"/>
      <c r="EJ54558"/>
      <c r="EK54558"/>
    </row>
    <row r="54559" spans="1:141" s="116" customFormat="1">
      <c r="A54559" s="136"/>
      <c r="CM54559" s="111"/>
      <c r="CQ54559" s="111"/>
      <c r="EF54559"/>
      <c r="EG54559"/>
      <c r="EH54559"/>
      <c r="EI54559"/>
      <c r="EJ54559"/>
      <c r="EK54559"/>
    </row>
    <row r="54560" spans="1:141" s="116" customFormat="1">
      <c r="A54560" s="136"/>
      <c r="CM54560" s="111"/>
      <c r="CQ54560" s="111"/>
      <c r="EF54560"/>
      <c r="EG54560"/>
      <c r="EH54560"/>
      <c r="EI54560"/>
      <c r="EJ54560"/>
      <c r="EK54560"/>
    </row>
    <row r="54561" spans="1:141" s="116" customFormat="1">
      <c r="A54561" s="136"/>
      <c r="CM54561" s="111"/>
      <c r="CQ54561" s="111"/>
      <c r="EF54561"/>
      <c r="EG54561"/>
      <c r="EH54561"/>
      <c r="EI54561"/>
      <c r="EJ54561"/>
      <c r="EK54561"/>
    </row>
    <row r="54562" spans="1:141" s="116" customFormat="1">
      <c r="A54562" s="136"/>
      <c r="CM54562" s="111"/>
      <c r="CQ54562" s="111"/>
      <c r="EF54562"/>
      <c r="EG54562"/>
      <c r="EH54562"/>
      <c r="EI54562"/>
      <c r="EJ54562"/>
      <c r="EK54562"/>
    </row>
    <row r="54563" spans="1:141" s="116" customFormat="1">
      <c r="A54563" s="136"/>
      <c r="CM54563" s="111"/>
      <c r="CQ54563" s="111"/>
      <c r="EF54563"/>
      <c r="EG54563"/>
      <c r="EH54563"/>
      <c r="EI54563"/>
      <c r="EJ54563"/>
      <c r="EK54563"/>
    </row>
    <row r="54564" spans="1:141" s="116" customFormat="1">
      <c r="A54564" s="136"/>
      <c r="CM54564" s="111"/>
      <c r="CQ54564" s="111"/>
      <c r="EF54564"/>
      <c r="EG54564"/>
      <c r="EH54564"/>
      <c r="EI54564"/>
      <c r="EJ54564"/>
      <c r="EK54564"/>
    </row>
    <row r="54565" spans="1:141" s="116" customFormat="1">
      <c r="A54565" s="136"/>
      <c r="CM54565" s="111"/>
      <c r="CQ54565" s="111"/>
      <c r="EF54565"/>
      <c r="EG54565"/>
      <c r="EH54565"/>
      <c r="EI54565"/>
      <c r="EJ54565"/>
      <c r="EK54565"/>
    </row>
    <row r="54566" spans="1:141" s="116" customFormat="1">
      <c r="A54566" s="136"/>
      <c r="CM54566" s="111"/>
      <c r="CQ54566" s="111"/>
      <c r="EF54566"/>
      <c r="EG54566"/>
      <c r="EH54566"/>
      <c r="EI54566"/>
      <c r="EJ54566"/>
      <c r="EK54566"/>
    </row>
    <row r="54567" spans="1:141" s="116" customFormat="1">
      <c r="A54567" s="136"/>
      <c r="CM54567" s="111"/>
      <c r="CQ54567" s="111"/>
      <c r="EF54567"/>
      <c r="EG54567"/>
      <c r="EH54567"/>
      <c r="EI54567"/>
      <c r="EJ54567"/>
      <c r="EK54567"/>
    </row>
    <row r="54568" spans="1:141" s="116" customFormat="1">
      <c r="A54568" s="136"/>
      <c r="CM54568" s="111"/>
      <c r="CQ54568" s="111"/>
      <c r="EF54568"/>
      <c r="EG54568"/>
      <c r="EH54568"/>
      <c r="EI54568"/>
      <c r="EJ54568"/>
      <c r="EK54568"/>
    </row>
    <row r="54569" spans="1:141" s="116" customFormat="1">
      <c r="A54569" s="136"/>
      <c r="CM54569" s="111"/>
      <c r="CQ54569" s="111"/>
      <c r="EF54569"/>
      <c r="EG54569"/>
      <c r="EH54569"/>
      <c r="EI54569"/>
      <c r="EJ54569"/>
      <c r="EK54569"/>
    </row>
    <row r="54570" spans="1:141" s="116" customFormat="1">
      <c r="A54570" s="136"/>
      <c r="CM54570" s="111"/>
      <c r="CQ54570" s="111"/>
      <c r="EF54570"/>
      <c r="EG54570"/>
      <c r="EH54570"/>
      <c r="EI54570"/>
      <c r="EJ54570"/>
      <c r="EK54570"/>
    </row>
    <row r="54571" spans="1:141" s="116" customFormat="1">
      <c r="A54571" s="136"/>
      <c r="CM54571" s="111"/>
      <c r="CQ54571" s="111"/>
      <c r="EF54571"/>
      <c r="EG54571"/>
      <c r="EH54571"/>
      <c r="EI54571"/>
      <c r="EJ54571"/>
      <c r="EK54571"/>
    </row>
    <row r="54572" spans="1:141" s="116" customFormat="1">
      <c r="A54572" s="136"/>
      <c r="CM54572" s="111"/>
      <c r="CQ54572" s="111"/>
      <c r="EF54572"/>
      <c r="EG54572"/>
      <c r="EH54572"/>
      <c r="EI54572"/>
      <c r="EJ54572"/>
      <c r="EK54572"/>
    </row>
    <row r="54573" spans="1:141" s="116" customFormat="1">
      <c r="A54573" s="136"/>
      <c r="CM54573" s="111"/>
      <c r="CQ54573" s="111"/>
      <c r="EF54573"/>
      <c r="EG54573"/>
      <c r="EH54573"/>
      <c r="EI54573"/>
      <c r="EJ54573"/>
      <c r="EK54573"/>
    </row>
    <row r="54574" spans="1:141" s="116" customFormat="1">
      <c r="A54574" s="136"/>
      <c r="CM54574" s="111"/>
      <c r="CQ54574" s="111"/>
      <c r="EF54574"/>
      <c r="EG54574"/>
      <c r="EH54574"/>
      <c r="EI54574"/>
      <c r="EJ54574"/>
      <c r="EK54574"/>
    </row>
    <row r="54575" spans="1:141" s="116" customFormat="1">
      <c r="A54575" s="136"/>
      <c r="CM54575" s="111"/>
      <c r="CQ54575" s="111"/>
      <c r="EF54575"/>
      <c r="EG54575"/>
      <c r="EH54575"/>
      <c r="EI54575"/>
      <c r="EJ54575"/>
      <c r="EK54575"/>
    </row>
    <row r="54576" spans="1:141" s="116" customFormat="1">
      <c r="A54576" s="136"/>
      <c r="CM54576" s="111"/>
      <c r="CQ54576" s="111"/>
      <c r="EF54576"/>
      <c r="EG54576"/>
      <c r="EH54576"/>
      <c r="EI54576"/>
      <c r="EJ54576"/>
      <c r="EK54576"/>
    </row>
    <row r="54577" spans="1:141" s="116" customFormat="1">
      <c r="A54577" s="136"/>
      <c r="CM54577" s="111"/>
      <c r="CQ54577" s="111"/>
      <c r="EF54577"/>
      <c r="EG54577"/>
      <c r="EH54577"/>
      <c r="EI54577"/>
      <c r="EJ54577"/>
      <c r="EK54577"/>
    </row>
    <row r="54578" spans="1:141" s="116" customFormat="1">
      <c r="A54578" s="136"/>
      <c r="CM54578" s="111"/>
      <c r="CQ54578" s="111"/>
      <c r="EF54578"/>
      <c r="EG54578"/>
      <c r="EH54578"/>
      <c r="EI54578"/>
      <c r="EJ54578"/>
      <c r="EK54578"/>
    </row>
    <row r="54579" spans="1:141" s="116" customFormat="1">
      <c r="A54579" s="136"/>
      <c r="CM54579" s="111"/>
      <c r="CQ54579" s="111"/>
      <c r="EF54579"/>
      <c r="EG54579"/>
      <c r="EH54579"/>
      <c r="EI54579"/>
      <c r="EJ54579"/>
      <c r="EK54579"/>
    </row>
    <row r="54580" spans="1:141" s="116" customFormat="1">
      <c r="A54580" s="136"/>
      <c r="CM54580" s="111"/>
      <c r="CQ54580" s="111"/>
      <c r="EF54580"/>
      <c r="EG54580"/>
      <c r="EH54580"/>
      <c r="EI54580"/>
      <c r="EJ54580"/>
      <c r="EK54580"/>
    </row>
    <row r="54581" spans="1:141" s="116" customFormat="1">
      <c r="A54581" s="136"/>
      <c r="CM54581" s="111"/>
      <c r="CQ54581" s="111"/>
      <c r="EF54581"/>
      <c r="EG54581"/>
      <c r="EH54581"/>
      <c r="EI54581"/>
      <c r="EJ54581"/>
      <c r="EK54581"/>
    </row>
    <row r="54582" spans="1:141" s="116" customFormat="1">
      <c r="A54582" s="136"/>
      <c r="CM54582" s="111"/>
      <c r="CQ54582" s="111"/>
      <c r="EF54582"/>
      <c r="EG54582"/>
      <c r="EH54582"/>
      <c r="EI54582"/>
      <c r="EJ54582"/>
      <c r="EK54582"/>
    </row>
    <row r="54583" spans="1:141" s="116" customFormat="1">
      <c r="A54583" s="136"/>
      <c r="CM54583" s="111"/>
      <c r="CQ54583" s="111"/>
      <c r="EF54583"/>
      <c r="EG54583"/>
      <c r="EH54583"/>
      <c r="EI54583"/>
      <c r="EJ54583"/>
      <c r="EK54583"/>
    </row>
    <row r="54584" spans="1:141" s="116" customFormat="1">
      <c r="A54584" s="136"/>
      <c r="CM54584" s="111"/>
      <c r="CQ54584" s="111"/>
      <c r="EF54584"/>
      <c r="EG54584"/>
      <c r="EH54584"/>
      <c r="EI54584"/>
      <c r="EJ54584"/>
      <c r="EK54584"/>
    </row>
    <row r="54585" spans="1:141" s="116" customFormat="1">
      <c r="A54585" s="136"/>
      <c r="CM54585" s="111"/>
      <c r="CQ54585" s="111"/>
      <c r="EF54585"/>
      <c r="EG54585"/>
      <c r="EH54585"/>
      <c r="EI54585"/>
      <c r="EJ54585"/>
      <c r="EK54585"/>
    </row>
    <row r="54586" spans="1:141" s="116" customFormat="1">
      <c r="A54586" s="136"/>
      <c r="CM54586" s="111"/>
      <c r="CQ54586" s="111"/>
      <c r="EF54586"/>
      <c r="EG54586"/>
      <c r="EH54586"/>
      <c r="EI54586"/>
      <c r="EJ54586"/>
      <c r="EK54586"/>
    </row>
    <row r="54587" spans="1:141" s="116" customFormat="1">
      <c r="A54587" s="136"/>
      <c r="CM54587" s="111"/>
      <c r="CQ54587" s="111"/>
      <c r="EF54587"/>
      <c r="EG54587"/>
      <c r="EH54587"/>
      <c r="EI54587"/>
      <c r="EJ54587"/>
      <c r="EK54587"/>
    </row>
    <row r="54588" spans="1:141" s="116" customFormat="1">
      <c r="A54588" s="136"/>
      <c r="CM54588" s="111"/>
      <c r="CQ54588" s="111"/>
      <c r="EF54588"/>
      <c r="EG54588"/>
      <c r="EH54588"/>
      <c r="EI54588"/>
      <c r="EJ54588"/>
      <c r="EK54588"/>
    </row>
    <row r="54589" spans="1:141" s="116" customFormat="1">
      <c r="A54589" s="136"/>
      <c r="CM54589" s="111"/>
      <c r="CQ54589" s="111"/>
      <c r="EF54589"/>
      <c r="EG54589"/>
      <c r="EH54589"/>
      <c r="EI54589"/>
      <c r="EJ54589"/>
      <c r="EK54589"/>
    </row>
    <row r="54590" spans="1:141" s="116" customFormat="1">
      <c r="A54590" s="136"/>
      <c r="CM54590" s="111"/>
      <c r="CQ54590" s="111"/>
      <c r="EF54590"/>
      <c r="EG54590"/>
      <c r="EH54590"/>
      <c r="EI54590"/>
      <c r="EJ54590"/>
      <c r="EK54590"/>
    </row>
    <row r="54591" spans="1:141" s="116" customFormat="1">
      <c r="A54591" s="136"/>
      <c r="CM54591" s="111"/>
      <c r="CQ54591" s="111"/>
      <c r="EF54591"/>
      <c r="EG54591"/>
      <c r="EH54591"/>
      <c r="EI54591"/>
      <c r="EJ54591"/>
      <c r="EK54591"/>
    </row>
    <row r="54592" spans="1:141" s="116" customFormat="1">
      <c r="A54592" s="136"/>
      <c r="CM54592" s="111"/>
      <c r="CQ54592" s="111"/>
      <c r="EF54592"/>
      <c r="EG54592"/>
      <c r="EH54592"/>
      <c r="EI54592"/>
      <c r="EJ54592"/>
      <c r="EK54592"/>
    </row>
    <row r="54593" spans="1:141" s="116" customFormat="1">
      <c r="A54593" s="136"/>
      <c r="CM54593" s="111"/>
      <c r="CQ54593" s="111"/>
      <c r="EF54593"/>
      <c r="EG54593"/>
      <c r="EH54593"/>
      <c r="EI54593"/>
      <c r="EJ54593"/>
      <c r="EK54593"/>
    </row>
    <row r="54594" spans="1:141" s="116" customFormat="1">
      <c r="A54594" s="136"/>
      <c r="CM54594" s="111"/>
      <c r="CQ54594" s="111"/>
      <c r="EF54594"/>
      <c r="EG54594"/>
      <c r="EH54594"/>
      <c r="EI54594"/>
      <c r="EJ54594"/>
      <c r="EK54594"/>
    </row>
    <row r="54595" spans="1:141" s="116" customFormat="1">
      <c r="A54595" s="136"/>
      <c r="CM54595" s="111"/>
      <c r="CQ54595" s="111"/>
      <c r="EF54595"/>
      <c r="EG54595"/>
      <c r="EH54595"/>
      <c r="EI54595"/>
      <c r="EJ54595"/>
      <c r="EK54595"/>
    </row>
    <row r="54596" spans="1:141" s="116" customFormat="1">
      <c r="A54596" s="136"/>
      <c r="CM54596" s="111"/>
      <c r="CQ54596" s="111"/>
      <c r="EF54596"/>
      <c r="EG54596"/>
      <c r="EH54596"/>
      <c r="EI54596"/>
      <c r="EJ54596"/>
      <c r="EK54596"/>
    </row>
    <row r="54597" spans="1:141" s="116" customFormat="1">
      <c r="A54597" s="136"/>
      <c r="CM54597" s="111"/>
      <c r="CQ54597" s="111"/>
      <c r="EF54597"/>
      <c r="EG54597"/>
      <c r="EH54597"/>
      <c r="EI54597"/>
      <c r="EJ54597"/>
      <c r="EK54597"/>
    </row>
    <row r="54598" spans="1:141" s="116" customFormat="1">
      <c r="A54598" s="136"/>
      <c r="CM54598" s="111"/>
      <c r="CQ54598" s="111"/>
      <c r="EF54598"/>
      <c r="EG54598"/>
      <c r="EH54598"/>
      <c r="EI54598"/>
      <c r="EJ54598"/>
      <c r="EK54598"/>
    </row>
    <row r="54599" spans="1:141" s="116" customFormat="1">
      <c r="A54599" s="136"/>
      <c r="CM54599" s="111"/>
      <c r="CQ54599" s="111"/>
      <c r="EF54599"/>
      <c r="EG54599"/>
      <c r="EH54599"/>
      <c r="EI54599"/>
      <c r="EJ54599"/>
      <c r="EK54599"/>
    </row>
    <row r="54600" spans="1:141" s="116" customFormat="1">
      <c r="A54600" s="136"/>
      <c r="CM54600" s="111"/>
      <c r="CQ54600" s="111"/>
      <c r="EF54600"/>
      <c r="EG54600"/>
      <c r="EH54600"/>
      <c r="EI54600"/>
      <c r="EJ54600"/>
      <c r="EK54600"/>
    </row>
    <row r="54601" spans="1:141" s="116" customFormat="1">
      <c r="A54601" s="136"/>
      <c r="CM54601" s="111"/>
      <c r="CQ54601" s="111"/>
      <c r="EF54601"/>
      <c r="EG54601"/>
      <c r="EH54601"/>
      <c r="EI54601"/>
      <c r="EJ54601"/>
      <c r="EK54601"/>
    </row>
    <row r="54602" spans="1:141" s="116" customFormat="1">
      <c r="A54602" s="136"/>
      <c r="CM54602" s="111"/>
      <c r="CQ54602" s="111"/>
      <c r="EF54602"/>
      <c r="EG54602"/>
      <c r="EH54602"/>
      <c r="EI54602"/>
      <c r="EJ54602"/>
      <c r="EK54602"/>
    </row>
    <row r="54603" spans="1:141" s="116" customFormat="1">
      <c r="A54603" s="136"/>
      <c r="CM54603" s="111"/>
      <c r="CQ54603" s="111"/>
      <c r="EF54603"/>
      <c r="EG54603"/>
      <c r="EH54603"/>
      <c r="EI54603"/>
      <c r="EJ54603"/>
      <c r="EK54603"/>
    </row>
    <row r="54604" spans="1:141" s="116" customFormat="1">
      <c r="A54604" s="136"/>
      <c r="CM54604" s="111"/>
      <c r="CQ54604" s="111"/>
      <c r="EF54604"/>
      <c r="EG54604"/>
      <c r="EH54604"/>
      <c r="EI54604"/>
      <c r="EJ54604"/>
      <c r="EK54604"/>
    </row>
    <row r="54605" spans="1:141" s="116" customFormat="1">
      <c r="A54605" s="136"/>
      <c r="CM54605" s="111"/>
      <c r="CQ54605" s="111"/>
      <c r="EF54605"/>
      <c r="EG54605"/>
      <c r="EH54605"/>
      <c r="EI54605"/>
      <c r="EJ54605"/>
      <c r="EK54605"/>
    </row>
    <row r="54606" spans="1:141" s="116" customFormat="1">
      <c r="A54606" s="136"/>
      <c r="CM54606" s="111"/>
      <c r="CQ54606" s="111"/>
      <c r="EF54606"/>
      <c r="EG54606"/>
      <c r="EH54606"/>
      <c r="EI54606"/>
      <c r="EJ54606"/>
      <c r="EK54606"/>
    </row>
    <row r="54607" spans="1:141" s="116" customFormat="1">
      <c r="A54607" s="136"/>
      <c r="CM54607" s="111"/>
      <c r="CQ54607" s="111"/>
      <c r="EF54607"/>
      <c r="EG54607"/>
      <c r="EH54607"/>
      <c r="EI54607"/>
      <c r="EJ54607"/>
      <c r="EK54607"/>
    </row>
    <row r="54608" spans="1:141" s="116" customFormat="1">
      <c r="A54608" s="136"/>
      <c r="CM54608" s="111"/>
      <c r="CQ54608" s="111"/>
      <c r="EF54608"/>
      <c r="EG54608"/>
      <c r="EH54608"/>
      <c r="EI54608"/>
      <c r="EJ54608"/>
      <c r="EK54608"/>
    </row>
    <row r="54609" spans="1:141" s="116" customFormat="1">
      <c r="A54609" s="136"/>
      <c r="CM54609" s="111"/>
      <c r="CQ54609" s="111"/>
      <c r="EF54609"/>
      <c r="EG54609"/>
      <c r="EH54609"/>
      <c r="EI54609"/>
      <c r="EJ54609"/>
      <c r="EK54609"/>
    </row>
    <row r="54610" spans="1:141" s="116" customFormat="1">
      <c r="A54610" s="136"/>
      <c r="CM54610" s="111"/>
      <c r="CQ54610" s="111"/>
      <c r="EF54610"/>
      <c r="EG54610"/>
      <c r="EH54610"/>
      <c r="EI54610"/>
      <c r="EJ54610"/>
      <c r="EK54610"/>
    </row>
    <row r="54611" spans="1:141" s="116" customFormat="1">
      <c r="A54611" s="136"/>
      <c r="CM54611" s="111"/>
      <c r="CQ54611" s="111"/>
      <c r="EF54611"/>
      <c r="EG54611"/>
      <c r="EH54611"/>
      <c r="EI54611"/>
      <c r="EJ54611"/>
      <c r="EK54611"/>
    </row>
    <row r="54612" spans="1:141" s="116" customFormat="1">
      <c r="A54612" s="136"/>
      <c r="CM54612" s="111"/>
      <c r="CQ54612" s="111"/>
      <c r="EF54612"/>
      <c r="EG54612"/>
      <c r="EH54612"/>
      <c r="EI54612"/>
      <c r="EJ54612"/>
      <c r="EK54612"/>
    </row>
    <row r="54613" spans="1:141" s="116" customFormat="1">
      <c r="A54613" s="136"/>
      <c r="CM54613" s="111"/>
      <c r="CQ54613" s="111"/>
      <c r="EF54613"/>
      <c r="EG54613"/>
      <c r="EH54613"/>
      <c r="EI54613"/>
      <c r="EJ54613"/>
      <c r="EK54613"/>
    </row>
    <row r="54614" spans="1:141" s="116" customFormat="1">
      <c r="A54614" s="136"/>
      <c r="CM54614" s="111"/>
      <c r="CQ54614" s="111"/>
      <c r="EF54614"/>
      <c r="EG54614"/>
      <c r="EH54614"/>
      <c r="EI54614"/>
      <c r="EJ54614"/>
      <c r="EK54614"/>
    </row>
    <row r="54615" spans="1:141" s="116" customFormat="1">
      <c r="A54615" s="136"/>
      <c r="CM54615" s="111"/>
      <c r="CQ54615" s="111"/>
      <c r="EF54615"/>
      <c r="EG54615"/>
      <c r="EH54615"/>
      <c r="EI54615"/>
      <c r="EJ54615"/>
      <c r="EK54615"/>
    </row>
    <row r="54616" spans="1:141" s="116" customFormat="1">
      <c r="A54616" s="136"/>
      <c r="CM54616" s="111"/>
      <c r="CQ54616" s="111"/>
      <c r="EF54616"/>
      <c r="EG54616"/>
      <c r="EH54616"/>
      <c r="EI54616"/>
      <c r="EJ54616"/>
      <c r="EK54616"/>
    </row>
    <row r="54617" spans="1:141" s="116" customFormat="1">
      <c r="A54617" s="136"/>
      <c r="CM54617" s="111"/>
      <c r="CQ54617" s="111"/>
      <c r="EF54617"/>
      <c r="EG54617"/>
      <c r="EH54617"/>
      <c r="EI54617"/>
      <c r="EJ54617"/>
      <c r="EK54617"/>
    </row>
    <row r="54618" spans="1:141" s="116" customFormat="1">
      <c r="A54618" s="136"/>
      <c r="CM54618" s="111"/>
      <c r="CQ54618" s="111"/>
      <c r="EF54618"/>
      <c r="EG54618"/>
      <c r="EH54618"/>
      <c r="EI54618"/>
      <c r="EJ54618"/>
      <c r="EK54618"/>
    </row>
    <row r="54619" spans="1:141" s="116" customFormat="1">
      <c r="A54619" s="136"/>
      <c r="CM54619" s="111"/>
      <c r="CQ54619" s="111"/>
      <c r="EF54619"/>
      <c r="EG54619"/>
      <c r="EH54619"/>
      <c r="EI54619"/>
      <c r="EJ54619"/>
      <c r="EK54619"/>
    </row>
    <row r="54620" spans="1:141" s="116" customFormat="1">
      <c r="A54620" s="136"/>
      <c r="CM54620" s="111"/>
      <c r="CQ54620" s="111"/>
      <c r="EF54620"/>
      <c r="EG54620"/>
      <c r="EH54620"/>
      <c r="EI54620"/>
      <c r="EJ54620"/>
      <c r="EK54620"/>
    </row>
    <row r="54621" spans="1:141" s="116" customFormat="1">
      <c r="A54621" s="136"/>
      <c r="CM54621" s="111"/>
      <c r="CQ54621" s="111"/>
      <c r="EF54621"/>
      <c r="EG54621"/>
      <c r="EH54621"/>
      <c r="EI54621"/>
      <c r="EJ54621"/>
      <c r="EK54621"/>
    </row>
    <row r="54622" spans="1:141" s="116" customFormat="1">
      <c r="A54622" s="136"/>
      <c r="CM54622" s="111"/>
      <c r="CQ54622" s="111"/>
      <c r="EF54622"/>
      <c r="EG54622"/>
      <c r="EH54622"/>
      <c r="EI54622"/>
      <c r="EJ54622"/>
      <c r="EK54622"/>
    </row>
    <row r="54623" spans="1:141" s="116" customFormat="1">
      <c r="A54623" s="136"/>
      <c r="CM54623" s="111"/>
      <c r="CQ54623" s="111"/>
      <c r="EF54623"/>
      <c r="EG54623"/>
      <c r="EH54623"/>
      <c r="EI54623"/>
      <c r="EJ54623"/>
      <c r="EK54623"/>
    </row>
    <row r="54624" spans="1:141" s="116" customFormat="1">
      <c r="A54624" s="136"/>
      <c r="CM54624" s="111"/>
      <c r="CQ54624" s="111"/>
      <c r="EF54624"/>
      <c r="EG54624"/>
      <c r="EH54624"/>
      <c r="EI54624"/>
      <c r="EJ54624"/>
      <c r="EK54624"/>
    </row>
    <row r="54625" spans="1:141" s="116" customFormat="1">
      <c r="A54625" s="136"/>
      <c r="CM54625" s="111"/>
      <c r="CQ54625" s="111"/>
      <c r="EF54625"/>
      <c r="EG54625"/>
      <c r="EH54625"/>
      <c r="EI54625"/>
      <c r="EJ54625"/>
      <c r="EK54625"/>
    </row>
    <row r="54626" spans="1:141" s="116" customFormat="1">
      <c r="A54626" s="136"/>
      <c r="CM54626" s="111"/>
      <c r="CQ54626" s="111"/>
      <c r="EF54626"/>
      <c r="EG54626"/>
      <c r="EH54626"/>
      <c r="EI54626"/>
      <c r="EJ54626"/>
      <c r="EK54626"/>
    </row>
    <row r="54627" spans="1:141" s="116" customFormat="1">
      <c r="A54627" s="136"/>
      <c r="CM54627" s="111"/>
      <c r="CQ54627" s="111"/>
      <c r="EF54627"/>
      <c r="EG54627"/>
      <c r="EH54627"/>
      <c r="EI54627"/>
      <c r="EJ54627"/>
      <c r="EK54627"/>
    </row>
    <row r="54628" spans="1:141" s="116" customFormat="1">
      <c r="A54628" s="136"/>
      <c r="CM54628" s="111"/>
      <c r="CQ54628" s="111"/>
      <c r="EF54628"/>
      <c r="EG54628"/>
      <c r="EH54628"/>
      <c r="EI54628"/>
      <c r="EJ54628"/>
      <c r="EK54628"/>
    </row>
    <row r="54629" spans="1:141" s="116" customFormat="1">
      <c r="A54629" s="136"/>
      <c r="CM54629" s="111"/>
      <c r="CQ54629" s="111"/>
      <c r="EF54629"/>
      <c r="EG54629"/>
      <c r="EH54629"/>
      <c r="EI54629"/>
      <c r="EJ54629"/>
      <c r="EK54629"/>
    </row>
    <row r="54630" spans="1:141" s="116" customFormat="1">
      <c r="A54630" s="136"/>
      <c r="CM54630" s="111"/>
      <c r="CQ54630" s="111"/>
      <c r="EF54630"/>
      <c r="EG54630"/>
      <c r="EH54630"/>
      <c r="EI54630"/>
      <c r="EJ54630"/>
      <c r="EK54630"/>
    </row>
    <row r="54631" spans="1:141" s="116" customFormat="1">
      <c r="A54631" s="136"/>
      <c r="CM54631" s="111"/>
      <c r="CQ54631" s="111"/>
      <c r="EF54631"/>
      <c r="EG54631"/>
      <c r="EH54631"/>
      <c r="EI54631"/>
      <c r="EJ54631"/>
      <c r="EK54631"/>
    </row>
    <row r="54632" spans="1:141" s="116" customFormat="1">
      <c r="A54632" s="136"/>
      <c r="CM54632" s="111"/>
      <c r="CQ54632" s="111"/>
      <c r="EF54632"/>
      <c r="EG54632"/>
      <c r="EH54632"/>
      <c r="EI54632"/>
      <c r="EJ54632"/>
      <c r="EK54632"/>
    </row>
    <row r="54633" spans="1:141" s="116" customFormat="1">
      <c r="A54633" s="136"/>
      <c r="CM54633" s="111"/>
      <c r="CQ54633" s="111"/>
      <c r="EF54633"/>
      <c r="EG54633"/>
      <c r="EH54633"/>
      <c r="EI54633"/>
      <c r="EJ54633"/>
      <c r="EK54633"/>
    </row>
    <row r="54634" spans="1:141" s="116" customFormat="1">
      <c r="A54634" s="136"/>
      <c r="CM54634" s="111"/>
      <c r="CQ54634" s="111"/>
      <c r="EF54634"/>
      <c r="EG54634"/>
      <c r="EH54634"/>
      <c r="EI54634"/>
      <c r="EJ54634"/>
      <c r="EK54634"/>
    </row>
    <row r="54635" spans="1:141" s="116" customFormat="1">
      <c r="A54635" s="136"/>
      <c r="CM54635" s="111"/>
      <c r="CQ54635" s="111"/>
      <c r="EF54635"/>
      <c r="EG54635"/>
      <c r="EH54635"/>
      <c r="EI54635"/>
      <c r="EJ54635"/>
      <c r="EK54635"/>
    </row>
    <row r="54636" spans="1:141" s="116" customFormat="1">
      <c r="A54636" s="136"/>
      <c r="CM54636" s="111"/>
      <c r="CQ54636" s="111"/>
      <c r="EF54636"/>
      <c r="EG54636"/>
      <c r="EH54636"/>
      <c r="EI54636"/>
      <c r="EJ54636"/>
      <c r="EK54636"/>
    </row>
    <row r="54637" spans="1:141" s="116" customFormat="1">
      <c r="A54637" s="136"/>
      <c r="CM54637" s="111"/>
      <c r="CQ54637" s="111"/>
      <c r="EF54637"/>
      <c r="EG54637"/>
      <c r="EH54637"/>
      <c r="EI54637"/>
      <c r="EJ54637"/>
      <c r="EK54637"/>
    </row>
    <row r="54638" spans="1:141" s="116" customFormat="1">
      <c r="A54638" s="136"/>
      <c r="CM54638" s="111"/>
      <c r="CQ54638" s="111"/>
      <c r="EF54638"/>
      <c r="EG54638"/>
      <c r="EH54638"/>
      <c r="EI54638"/>
      <c r="EJ54638"/>
      <c r="EK54638"/>
    </row>
    <row r="54639" spans="1:141" s="116" customFormat="1">
      <c r="A54639" s="136"/>
      <c r="CM54639" s="111"/>
      <c r="CQ54639" s="111"/>
      <c r="EF54639"/>
      <c r="EG54639"/>
      <c r="EH54639"/>
      <c r="EI54639"/>
      <c r="EJ54639"/>
      <c r="EK54639"/>
    </row>
    <row r="54640" spans="1:141" s="116" customFormat="1">
      <c r="A54640" s="136"/>
      <c r="CM54640" s="111"/>
      <c r="CQ54640" s="111"/>
      <c r="EF54640"/>
      <c r="EG54640"/>
      <c r="EH54640"/>
      <c r="EI54640"/>
      <c r="EJ54640"/>
      <c r="EK54640"/>
    </row>
    <row r="54641" spans="1:141" s="116" customFormat="1">
      <c r="A54641" s="136"/>
      <c r="CM54641" s="111"/>
      <c r="CQ54641" s="111"/>
      <c r="EF54641"/>
      <c r="EG54641"/>
      <c r="EH54641"/>
      <c r="EI54641"/>
      <c r="EJ54641"/>
      <c r="EK54641"/>
    </row>
    <row r="54642" spans="1:141" s="116" customFormat="1">
      <c r="A54642" s="136"/>
      <c r="CM54642" s="111"/>
      <c r="CQ54642" s="111"/>
      <c r="EF54642"/>
      <c r="EG54642"/>
      <c r="EH54642"/>
      <c r="EI54642"/>
      <c r="EJ54642"/>
      <c r="EK54642"/>
    </row>
    <row r="54643" spans="1:141" s="116" customFormat="1">
      <c r="A54643" s="136"/>
      <c r="CM54643" s="111"/>
      <c r="CQ54643" s="111"/>
      <c r="EF54643"/>
      <c r="EG54643"/>
      <c r="EH54643"/>
      <c r="EI54643"/>
      <c r="EJ54643"/>
      <c r="EK54643"/>
    </row>
    <row r="54644" spans="1:141" s="116" customFormat="1">
      <c r="A54644" s="136"/>
      <c r="CM54644" s="111"/>
      <c r="CQ54644" s="111"/>
      <c r="EF54644"/>
      <c r="EG54644"/>
      <c r="EH54644"/>
      <c r="EI54644"/>
      <c r="EJ54644"/>
      <c r="EK54644"/>
    </row>
    <row r="54645" spans="1:141" s="116" customFormat="1">
      <c r="A54645" s="136"/>
      <c r="CM54645" s="111"/>
      <c r="CQ54645" s="111"/>
      <c r="EF54645"/>
      <c r="EG54645"/>
      <c r="EH54645"/>
      <c r="EI54645"/>
      <c r="EJ54645"/>
      <c r="EK54645"/>
    </row>
    <row r="54646" spans="1:141" s="116" customFormat="1">
      <c r="A54646" s="136"/>
      <c r="CM54646" s="111"/>
      <c r="CQ54646" s="111"/>
      <c r="EF54646"/>
      <c r="EG54646"/>
      <c r="EH54646"/>
      <c r="EI54646"/>
      <c r="EJ54646"/>
      <c r="EK54646"/>
    </row>
    <row r="54647" spans="1:141" s="116" customFormat="1">
      <c r="A54647" s="136"/>
      <c r="CM54647" s="111"/>
      <c r="CQ54647" s="111"/>
      <c r="EF54647"/>
      <c r="EG54647"/>
      <c r="EH54647"/>
      <c r="EI54647"/>
      <c r="EJ54647"/>
      <c r="EK54647"/>
    </row>
    <row r="54648" spans="1:141" s="116" customFormat="1">
      <c r="A54648" s="136"/>
      <c r="CM54648" s="111"/>
      <c r="CQ54648" s="111"/>
      <c r="EF54648"/>
      <c r="EG54648"/>
      <c r="EH54648"/>
      <c r="EI54648"/>
      <c r="EJ54648"/>
      <c r="EK54648"/>
    </row>
    <row r="54649" spans="1:141" s="116" customFormat="1">
      <c r="A54649" s="136"/>
      <c r="CM54649" s="111"/>
      <c r="CQ54649" s="111"/>
      <c r="EF54649"/>
      <c r="EG54649"/>
      <c r="EH54649"/>
      <c r="EI54649"/>
      <c r="EJ54649"/>
      <c r="EK54649"/>
    </row>
    <row r="54650" spans="1:141" s="116" customFormat="1">
      <c r="A54650" s="136"/>
      <c r="CM54650" s="111"/>
      <c r="CQ54650" s="111"/>
      <c r="EF54650"/>
      <c r="EG54650"/>
      <c r="EH54650"/>
      <c r="EI54650"/>
      <c r="EJ54650"/>
      <c r="EK54650"/>
    </row>
    <row r="54651" spans="1:141" s="116" customFormat="1">
      <c r="A54651" s="136"/>
      <c r="CM54651" s="111"/>
      <c r="CQ54651" s="111"/>
      <c r="EF54651"/>
      <c r="EG54651"/>
      <c r="EH54651"/>
      <c r="EI54651"/>
      <c r="EJ54651"/>
      <c r="EK54651"/>
    </row>
    <row r="54652" spans="1:141" s="116" customFormat="1">
      <c r="A54652" s="136"/>
      <c r="CM54652" s="111"/>
      <c r="CQ54652" s="111"/>
      <c r="EF54652"/>
      <c r="EG54652"/>
      <c r="EH54652"/>
      <c r="EI54652"/>
      <c r="EJ54652"/>
      <c r="EK54652"/>
    </row>
    <row r="54653" spans="1:141" s="116" customFormat="1">
      <c r="A54653" s="136"/>
      <c r="CM54653" s="111"/>
      <c r="CQ54653" s="111"/>
      <c r="EF54653"/>
      <c r="EG54653"/>
      <c r="EH54653"/>
      <c r="EI54653"/>
      <c r="EJ54653"/>
      <c r="EK54653"/>
    </row>
    <row r="54654" spans="1:141" s="116" customFormat="1">
      <c r="A54654" s="136"/>
      <c r="CM54654" s="111"/>
      <c r="CQ54654" s="111"/>
      <c r="EF54654"/>
      <c r="EG54654"/>
      <c r="EH54654"/>
      <c r="EI54654"/>
      <c r="EJ54654"/>
      <c r="EK54654"/>
    </row>
    <row r="54655" spans="1:141" s="116" customFormat="1">
      <c r="A54655" s="136"/>
      <c r="CM54655" s="111"/>
      <c r="CQ54655" s="111"/>
      <c r="EF54655"/>
      <c r="EG54655"/>
      <c r="EH54655"/>
      <c r="EI54655"/>
      <c r="EJ54655"/>
      <c r="EK54655"/>
    </row>
    <row r="54656" spans="1:141" s="116" customFormat="1">
      <c r="A54656" s="136"/>
      <c r="CM54656" s="111"/>
      <c r="CQ54656" s="111"/>
      <c r="EF54656"/>
      <c r="EG54656"/>
      <c r="EH54656"/>
      <c r="EI54656"/>
      <c r="EJ54656"/>
      <c r="EK54656"/>
    </row>
    <row r="54657" spans="1:141" s="116" customFormat="1">
      <c r="A54657" s="136"/>
      <c r="CM54657" s="111"/>
      <c r="CQ54657" s="111"/>
      <c r="EF54657"/>
      <c r="EG54657"/>
      <c r="EH54657"/>
      <c r="EI54657"/>
      <c r="EJ54657"/>
      <c r="EK54657"/>
    </row>
    <row r="54658" spans="1:141" s="116" customFormat="1">
      <c r="A54658" s="136"/>
      <c r="CM54658" s="111"/>
      <c r="CQ54658" s="111"/>
      <c r="EF54658"/>
      <c r="EG54658"/>
      <c r="EH54658"/>
      <c r="EI54658"/>
      <c r="EJ54658"/>
      <c r="EK54658"/>
    </row>
    <row r="54659" spans="1:141" s="116" customFormat="1">
      <c r="A54659" s="136"/>
      <c r="CM54659" s="111"/>
      <c r="CQ54659" s="111"/>
      <c r="EF54659"/>
      <c r="EG54659"/>
      <c r="EH54659"/>
      <c r="EI54659"/>
      <c r="EJ54659"/>
      <c r="EK54659"/>
    </row>
    <row r="54660" spans="1:141" s="116" customFormat="1">
      <c r="A54660" s="136"/>
      <c r="CM54660" s="111"/>
      <c r="CQ54660" s="111"/>
      <c r="EF54660"/>
      <c r="EG54660"/>
      <c r="EH54660"/>
      <c r="EI54660"/>
      <c r="EJ54660"/>
      <c r="EK54660"/>
    </row>
    <row r="54661" spans="1:141" s="116" customFormat="1">
      <c r="A54661" s="136"/>
      <c r="CM54661" s="111"/>
      <c r="CQ54661" s="111"/>
      <c r="EF54661"/>
      <c r="EG54661"/>
      <c r="EH54661"/>
      <c r="EI54661"/>
      <c r="EJ54661"/>
      <c r="EK54661"/>
    </row>
    <row r="54662" spans="1:141" s="116" customFormat="1">
      <c r="A54662" s="136"/>
      <c r="CM54662" s="111"/>
      <c r="CQ54662" s="111"/>
      <c r="EF54662"/>
      <c r="EG54662"/>
      <c r="EH54662"/>
      <c r="EI54662"/>
      <c r="EJ54662"/>
      <c r="EK54662"/>
    </row>
    <row r="54663" spans="1:141" s="116" customFormat="1">
      <c r="A54663" s="136"/>
      <c r="CM54663" s="111"/>
      <c r="CQ54663" s="111"/>
      <c r="EF54663"/>
      <c r="EG54663"/>
      <c r="EH54663"/>
      <c r="EI54663"/>
      <c r="EJ54663"/>
      <c r="EK54663"/>
    </row>
    <row r="54664" spans="1:141" s="116" customFormat="1">
      <c r="A54664" s="136"/>
      <c r="CM54664" s="111"/>
      <c r="CQ54664" s="111"/>
      <c r="EF54664"/>
      <c r="EG54664"/>
      <c r="EH54664"/>
      <c r="EI54664"/>
      <c r="EJ54664"/>
      <c r="EK54664"/>
    </row>
    <row r="54665" spans="1:141" s="116" customFormat="1">
      <c r="A54665" s="136"/>
      <c r="CM54665" s="111"/>
      <c r="CQ54665" s="111"/>
      <c r="EF54665"/>
      <c r="EG54665"/>
      <c r="EH54665"/>
      <c r="EI54665"/>
      <c r="EJ54665"/>
      <c r="EK54665"/>
    </row>
    <row r="54666" spans="1:141" s="116" customFormat="1">
      <c r="A54666" s="136"/>
      <c r="CM54666" s="111"/>
      <c r="CQ54666" s="111"/>
      <c r="EF54666"/>
      <c r="EG54666"/>
      <c r="EH54666"/>
      <c r="EI54666"/>
      <c r="EJ54666"/>
      <c r="EK54666"/>
    </row>
    <row r="54667" spans="1:141" s="116" customFormat="1">
      <c r="A54667" s="136"/>
      <c r="CM54667" s="111"/>
      <c r="CQ54667" s="111"/>
      <c r="EF54667"/>
      <c r="EG54667"/>
      <c r="EH54667"/>
      <c r="EI54667"/>
      <c r="EJ54667"/>
      <c r="EK54667"/>
    </row>
    <row r="54668" spans="1:141" s="116" customFormat="1">
      <c r="A54668" s="136"/>
      <c r="CM54668" s="111"/>
      <c r="CQ54668" s="111"/>
      <c r="EF54668"/>
      <c r="EG54668"/>
      <c r="EH54668"/>
      <c r="EI54668"/>
      <c r="EJ54668"/>
      <c r="EK54668"/>
    </row>
    <row r="54669" spans="1:141" s="116" customFormat="1">
      <c r="A54669" s="136"/>
      <c r="CM54669" s="111"/>
      <c r="CQ54669" s="111"/>
      <c r="EF54669"/>
      <c r="EG54669"/>
      <c r="EH54669"/>
      <c r="EI54669"/>
      <c r="EJ54669"/>
      <c r="EK54669"/>
    </row>
    <row r="54670" spans="1:141" s="116" customFormat="1">
      <c r="A54670" s="136"/>
      <c r="CM54670" s="111"/>
      <c r="CQ54670" s="111"/>
      <c r="EF54670"/>
      <c r="EG54670"/>
      <c r="EH54670"/>
      <c r="EI54670"/>
      <c r="EJ54670"/>
      <c r="EK54670"/>
    </row>
    <row r="54671" spans="1:141" s="116" customFormat="1">
      <c r="A54671" s="136"/>
      <c r="CM54671" s="111"/>
      <c r="CQ54671" s="111"/>
      <c r="EF54671"/>
      <c r="EG54671"/>
      <c r="EH54671"/>
      <c r="EI54671"/>
      <c r="EJ54671"/>
      <c r="EK54671"/>
    </row>
    <row r="54672" spans="1:141" s="116" customFormat="1">
      <c r="A54672" s="136"/>
      <c r="CM54672" s="111"/>
      <c r="CQ54672" s="111"/>
      <c r="EF54672"/>
      <c r="EG54672"/>
      <c r="EH54672"/>
      <c r="EI54672"/>
      <c r="EJ54672"/>
      <c r="EK54672"/>
    </row>
    <row r="54673" spans="1:141" s="116" customFormat="1">
      <c r="A54673" s="136"/>
      <c r="CM54673" s="111"/>
      <c r="CQ54673" s="111"/>
      <c r="EF54673"/>
      <c r="EG54673"/>
      <c r="EH54673"/>
      <c r="EI54673"/>
      <c r="EJ54673"/>
      <c r="EK54673"/>
    </row>
    <row r="54674" spans="1:141" s="116" customFormat="1">
      <c r="A54674" s="136"/>
      <c r="CM54674" s="111"/>
      <c r="CQ54674" s="111"/>
      <c r="EF54674"/>
      <c r="EG54674"/>
      <c r="EH54674"/>
      <c r="EI54674"/>
      <c r="EJ54674"/>
      <c r="EK54674"/>
    </row>
    <row r="54675" spans="1:141" s="116" customFormat="1">
      <c r="A54675" s="136"/>
      <c r="CM54675" s="111"/>
      <c r="CQ54675" s="111"/>
      <c r="EF54675"/>
      <c r="EG54675"/>
      <c r="EH54675"/>
      <c r="EI54675"/>
      <c r="EJ54675"/>
      <c r="EK54675"/>
    </row>
    <row r="54676" spans="1:141" s="116" customFormat="1">
      <c r="A54676" s="136"/>
      <c r="CM54676" s="111"/>
      <c r="CQ54676" s="111"/>
      <c r="EF54676"/>
      <c r="EG54676"/>
      <c r="EH54676"/>
      <c r="EI54676"/>
      <c r="EJ54676"/>
      <c r="EK54676"/>
    </row>
    <row r="54677" spans="1:141" s="116" customFormat="1">
      <c r="A54677" s="136"/>
      <c r="CM54677" s="111"/>
      <c r="CQ54677" s="111"/>
      <c r="EF54677"/>
      <c r="EG54677"/>
      <c r="EH54677"/>
      <c r="EI54677"/>
      <c r="EJ54677"/>
      <c r="EK54677"/>
    </row>
    <row r="54678" spans="1:141" s="116" customFormat="1">
      <c r="A54678" s="136"/>
      <c r="CM54678" s="111"/>
      <c r="CQ54678" s="111"/>
      <c r="EF54678"/>
      <c r="EG54678"/>
      <c r="EH54678"/>
      <c r="EI54678"/>
      <c r="EJ54678"/>
      <c r="EK54678"/>
    </row>
    <row r="54679" spans="1:141" s="116" customFormat="1">
      <c r="A54679" s="136"/>
      <c r="CM54679" s="111"/>
      <c r="CQ54679" s="111"/>
      <c r="EF54679"/>
      <c r="EG54679"/>
      <c r="EH54679"/>
      <c r="EI54679"/>
      <c r="EJ54679"/>
      <c r="EK54679"/>
    </row>
    <row r="54680" spans="1:141" s="116" customFormat="1">
      <c r="A54680" s="136"/>
      <c r="CM54680" s="111"/>
      <c r="CQ54680" s="111"/>
      <c r="EF54680"/>
      <c r="EG54680"/>
      <c r="EH54680"/>
      <c r="EI54680"/>
      <c r="EJ54680"/>
      <c r="EK54680"/>
    </row>
    <row r="54681" spans="1:141" s="116" customFormat="1">
      <c r="A54681" s="136"/>
      <c r="CM54681" s="111"/>
      <c r="CQ54681" s="111"/>
      <c r="EF54681"/>
      <c r="EG54681"/>
      <c r="EH54681"/>
      <c r="EI54681"/>
      <c r="EJ54681"/>
      <c r="EK54681"/>
    </row>
    <row r="54682" spans="1:141" s="116" customFormat="1">
      <c r="A54682" s="136"/>
      <c r="CM54682" s="111"/>
      <c r="CQ54682" s="111"/>
      <c r="EF54682"/>
      <c r="EG54682"/>
      <c r="EH54682"/>
      <c r="EI54682"/>
      <c r="EJ54682"/>
      <c r="EK54682"/>
    </row>
    <row r="54683" spans="1:141" s="116" customFormat="1">
      <c r="A54683" s="136"/>
      <c r="CM54683" s="111"/>
      <c r="CQ54683" s="111"/>
      <c r="EF54683"/>
      <c r="EG54683"/>
      <c r="EH54683"/>
      <c r="EI54683"/>
      <c r="EJ54683"/>
      <c r="EK54683"/>
    </row>
    <row r="54684" spans="1:141" s="116" customFormat="1">
      <c r="A54684" s="136"/>
      <c r="CM54684" s="111"/>
      <c r="CQ54684" s="111"/>
      <c r="EF54684"/>
      <c r="EG54684"/>
      <c r="EH54684"/>
      <c r="EI54684"/>
      <c r="EJ54684"/>
      <c r="EK54684"/>
    </row>
    <row r="54685" spans="1:141" s="116" customFormat="1">
      <c r="A54685" s="136"/>
      <c r="CM54685" s="111"/>
      <c r="CQ54685" s="111"/>
      <c r="EF54685"/>
      <c r="EG54685"/>
      <c r="EH54685"/>
      <c r="EI54685"/>
      <c r="EJ54685"/>
      <c r="EK54685"/>
    </row>
    <row r="54686" spans="1:141" s="116" customFormat="1">
      <c r="A54686" s="136"/>
      <c r="CM54686" s="111"/>
      <c r="CQ54686" s="111"/>
      <c r="EF54686"/>
      <c r="EG54686"/>
      <c r="EH54686"/>
      <c r="EI54686"/>
      <c r="EJ54686"/>
      <c r="EK54686"/>
    </row>
    <row r="54687" spans="1:141" s="116" customFormat="1">
      <c r="A54687" s="136"/>
      <c r="CM54687" s="111"/>
      <c r="CQ54687" s="111"/>
      <c r="EF54687"/>
      <c r="EG54687"/>
      <c r="EH54687"/>
      <c r="EI54687"/>
      <c r="EJ54687"/>
      <c r="EK54687"/>
    </row>
    <row r="54688" spans="1:141" s="116" customFormat="1">
      <c r="A54688" s="136"/>
      <c r="CM54688" s="111"/>
      <c r="CQ54688" s="111"/>
      <c r="EF54688"/>
      <c r="EG54688"/>
      <c r="EH54688"/>
      <c r="EI54688"/>
      <c r="EJ54688"/>
      <c r="EK54688"/>
    </row>
    <row r="54689" spans="1:141" s="116" customFormat="1">
      <c r="A54689" s="136"/>
      <c r="CM54689" s="111"/>
      <c r="CQ54689" s="111"/>
      <c r="EF54689"/>
      <c r="EG54689"/>
      <c r="EH54689"/>
      <c r="EI54689"/>
      <c r="EJ54689"/>
      <c r="EK54689"/>
    </row>
    <row r="54690" spans="1:141" s="116" customFormat="1">
      <c r="A54690" s="136"/>
      <c r="CM54690" s="111"/>
      <c r="CQ54690" s="111"/>
      <c r="EF54690"/>
      <c r="EG54690"/>
      <c r="EH54690"/>
      <c r="EI54690"/>
      <c r="EJ54690"/>
      <c r="EK54690"/>
    </row>
    <row r="54691" spans="1:141" s="116" customFormat="1">
      <c r="A54691" s="136"/>
      <c r="CM54691" s="111"/>
      <c r="CQ54691" s="111"/>
      <c r="EF54691"/>
      <c r="EG54691"/>
      <c r="EH54691"/>
      <c r="EI54691"/>
      <c r="EJ54691"/>
      <c r="EK54691"/>
    </row>
    <row r="54692" spans="1:141" s="116" customFormat="1">
      <c r="A54692" s="136"/>
      <c r="CM54692" s="111"/>
      <c r="CQ54692" s="111"/>
      <c r="EF54692"/>
      <c r="EG54692"/>
      <c r="EH54692"/>
      <c r="EI54692"/>
      <c r="EJ54692"/>
      <c r="EK54692"/>
    </row>
    <row r="54693" spans="1:141" s="116" customFormat="1">
      <c r="A54693" s="136"/>
      <c r="CM54693" s="111"/>
      <c r="CQ54693" s="111"/>
      <c r="EF54693"/>
      <c r="EG54693"/>
      <c r="EH54693"/>
      <c r="EI54693"/>
      <c r="EJ54693"/>
      <c r="EK54693"/>
    </row>
    <row r="54694" spans="1:141" s="116" customFormat="1">
      <c r="A54694" s="136"/>
      <c r="CM54694" s="111"/>
      <c r="CQ54694" s="111"/>
      <c r="EF54694"/>
      <c r="EG54694"/>
      <c r="EH54694"/>
      <c r="EI54694"/>
      <c r="EJ54694"/>
      <c r="EK54694"/>
    </row>
    <row r="54695" spans="1:141" s="116" customFormat="1">
      <c r="A54695" s="136"/>
      <c r="CM54695" s="111"/>
      <c r="CQ54695" s="111"/>
      <c r="EF54695"/>
      <c r="EG54695"/>
      <c r="EH54695"/>
      <c r="EI54695"/>
      <c r="EJ54695"/>
      <c r="EK54695"/>
    </row>
    <row r="54696" spans="1:141" s="116" customFormat="1">
      <c r="A54696" s="136"/>
      <c r="CM54696" s="111"/>
      <c r="CQ54696" s="111"/>
      <c r="EF54696"/>
      <c r="EG54696"/>
      <c r="EH54696"/>
      <c r="EI54696"/>
      <c r="EJ54696"/>
      <c r="EK54696"/>
    </row>
    <row r="54697" spans="1:141" s="116" customFormat="1">
      <c r="A54697" s="136"/>
      <c r="CM54697" s="111"/>
      <c r="CQ54697" s="111"/>
      <c r="EF54697"/>
      <c r="EG54697"/>
      <c r="EH54697"/>
      <c r="EI54697"/>
      <c r="EJ54697"/>
      <c r="EK54697"/>
    </row>
    <row r="54698" spans="1:141" s="116" customFormat="1">
      <c r="A54698" s="136"/>
      <c r="CM54698" s="111"/>
      <c r="CQ54698" s="111"/>
      <c r="EF54698"/>
      <c r="EG54698"/>
      <c r="EH54698"/>
      <c r="EI54698"/>
      <c r="EJ54698"/>
      <c r="EK54698"/>
    </row>
    <row r="54699" spans="1:141" s="116" customFormat="1">
      <c r="A54699" s="136"/>
      <c r="CM54699" s="111"/>
      <c r="CQ54699" s="111"/>
      <c r="EF54699"/>
      <c r="EG54699"/>
      <c r="EH54699"/>
      <c r="EI54699"/>
      <c r="EJ54699"/>
      <c r="EK54699"/>
    </row>
    <row r="54700" spans="1:141" s="116" customFormat="1">
      <c r="A54700" s="136"/>
      <c r="CM54700" s="111"/>
      <c r="CQ54700" s="111"/>
      <c r="EF54700"/>
      <c r="EG54700"/>
      <c r="EH54700"/>
      <c r="EI54700"/>
      <c r="EJ54700"/>
      <c r="EK54700"/>
    </row>
    <row r="54701" spans="1:141" s="116" customFormat="1">
      <c r="A54701" s="136"/>
      <c r="CM54701" s="111"/>
      <c r="CQ54701" s="111"/>
      <c r="EF54701"/>
      <c r="EG54701"/>
      <c r="EH54701"/>
      <c r="EI54701"/>
      <c r="EJ54701"/>
      <c r="EK54701"/>
    </row>
    <row r="54702" spans="1:141" s="116" customFormat="1">
      <c r="A54702" s="136"/>
      <c r="CM54702" s="111"/>
      <c r="CQ54702" s="111"/>
      <c r="EF54702"/>
      <c r="EG54702"/>
      <c r="EH54702"/>
      <c r="EI54702"/>
      <c r="EJ54702"/>
      <c r="EK54702"/>
    </row>
    <row r="54703" spans="1:141" s="116" customFormat="1">
      <c r="A54703" s="136"/>
      <c r="CM54703" s="111"/>
      <c r="CQ54703" s="111"/>
      <c r="EF54703"/>
      <c r="EG54703"/>
      <c r="EH54703"/>
      <c r="EI54703"/>
      <c r="EJ54703"/>
      <c r="EK54703"/>
    </row>
    <row r="54704" spans="1:141" s="116" customFormat="1">
      <c r="A54704" s="136"/>
      <c r="CM54704" s="111"/>
      <c r="CQ54704" s="111"/>
      <c r="EF54704"/>
      <c r="EG54704"/>
      <c r="EH54704"/>
      <c r="EI54704"/>
      <c r="EJ54704"/>
      <c r="EK54704"/>
    </row>
    <row r="54705" spans="1:141" s="116" customFormat="1">
      <c r="A54705" s="136"/>
      <c r="CM54705" s="111"/>
      <c r="CQ54705" s="111"/>
      <c r="EF54705"/>
      <c r="EG54705"/>
      <c r="EH54705"/>
      <c r="EI54705"/>
      <c r="EJ54705"/>
      <c r="EK54705"/>
    </row>
    <row r="54706" spans="1:141" s="116" customFormat="1">
      <c r="A54706" s="136"/>
      <c r="CM54706" s="111"/>
      <c r="CQ54706" s="111"/>
      <c r="EF54706"/>
      <c r="EG54706"/>
      <c r="EH54706"/>
      <c r="EI54706"/>
      <c r="EJ54706"/>
      <c r="EK54706"/>
    </row>
    <row r="54707" spans="1:141" s="116" customFormat="1">
      <c r="A54707" s="136"/>
      <c r="CM54707" s="111"/>
      <c r="CQ54707" s="111"/>
      <c r="EF54707"/>
      <c r="EG54707"/>
      <c r="EH54707"/>
      <c r="EI54707"/>
      <c r="EJ54707"/>
      <c r="EK54707"/>
    </row>
    <row r="54708" spans="1:141" s="116" customFormat="1">
      <c r="A54708" s="136"/>
      <c r="CM54708" s="111"/>
      <c r="CQ54708" s="111"/>
      <c r="EF54708"/>
      <c r="EG54708"/>
      <c r="EH54708"/>
      <c r="EI54708"/>
      <c r="EJ54708"/>
      <c r="EK54708"/>
    </row>
    <row r="54709" spans="1:141" s="116" customFormat="1">
      <c r="A54709" s="136"/>
      <c r="CM54709" s="111"/>
      <c r="CQ54709" s="111"/>
      <c r="EF54709"/>
      <c r="EG54709"/>
      <c r="EH54709"/>
      <c r="EI54709"/>
      <c r="EJ54709"/>
      <c r="EK54709"/>
    </row>
    <row r="54710" spans="1:141" s="116" customFormat="1">
      <c r="A54710" s="136"/>
      <c r="CM54710" s="111"/>
      <c r="CQ54710" s="111"/>
      <c r="EF54710"/>
      <c r="EG54710"/>
      <c r="EH54710"/>
      <c r="EI54710"/>
      <c r="EJ54710"/>
      <c r="EK54710"/>
    </row>
    <row r="54711" spans="1:141" s="116" customFormat="1">
      <c r="A54711" s="136"/>
      <c r="CM54711" s="111"/>
      <c r="CQ54711" s="111"/>
      <c r="EF54711"/>
      <c r="EG54711"/>
      <c r="EH54711"/>
      <c r="EI54711"/>
      <c r="EJ54711"/>
      <c r="EK54711"/>
    </row>
    <row r="54712" spans="1:141" s="116" customFormat="1">
      <c r="A54712" s="136"/>
      <c r="CM54712" s="111"/>
      <c r="CQ54712" s="111"/>
      <c r="EF54712"/>
      <c r="EG54712"/>
      <c r="EH54712"/>
      <c r="EI54712"/>
      <c r="EJ54712"/>
      <c r="EK54712"/>
    </row>
    <row r="54713" spans="1:141" s="116" customFormat="1">
      <c r="A54713" s="136"/>
      <c r="CM54713" s="111"/>
      <c r="CQ54713" s="111"/>
      <c r="EF54713"/>
      <c r="EG54713"/>
      <c r="EH54713"/>
      <c r="EI54713"/>
      <c r="EJ54713"/>
      <c r="EK54713"/>
    </row>
    <row r="54714" spans="1:141" s="116" customFormat="1">
      <c r="A54714" s="136"/>
      <c r="CM54714" s="111"/>
      <c r="CQ54714" s="111"/>
      <c r="EF54714"/>
      <c r="EG54714"/>
      <c r="EH54714"/>
      <c r="EI54714"/>
      <c r="EJ54714"/>
      <c r="EK54714"/>
    </row>
    <row r="54715" spans="1:141" s="116" customFormat="1">
      <c r="A54715" s="136"/>
      <c r="CM54715" s="111"/>
      <c r="CQ54715" s="111"/>
      <c r="EF54715"/>
      <c r="EG54715"/>
      <c r="EH54715"/>
      <c r="EI54715"/>
      <c r="EJ54715"/>
      <c r="EK54715"/>
    </row>
    <row r="54716" spans="1:141" s="116" customFormat="1">
      <c r="A54716" s="136"/>
      <c r="CM54716" s="111"/>
      <c r="CQ54716" s="111"/>
      <c r="EF54716"/>
      <c r="EG54716"/>
      <c r="EH54716"/>
      <c r="EI54716"/>
      <c r="EJ54716"/>
      <c r="EK54716"/>
    </row>
    <row r="54717" spans="1:141" s="116" customFormat="1">
      <c r="A54717" s="136"/>
      <c r="CM54717" s="111"/>
      <c r="CQ54717" s="111"/>
      <c r="EF54717"/>
      <c r="EG54717"/>
      <c r="EH54717"/>
      <c r="EI54717"/>
      <c r="EJ54717"/>
      <c r="EK54717"/>
    </row>
    <row r="54718" spans="1:141" s="116" customFormat="1">
      <c r="A54718" s="136"/>
      <c r="CM54718" s="111"/>
      <c r="CQ54718" s="111"/>
      <c r="EF54718"/>
      <c r="EG54718"/>
      <c r="EH54718"/>
      <c r="EI54718"/>
      <c r="EJ54718"/>
      <c r="EK54718"/>
    </row>
    <row r="54719" spans="1:141" s="116" customFormat="1">
      <c r="A54719" s="136"/>
      <c r="CM54719" s="111"/>
      <c r="CQ54719" s="111"/>
      <c r="EF54719"/>
      <c r="EG54719"/>
      <c r="EH54719"/>
      <c r="EI54719"/>
      <c r="EJ54719"/>
      <c r="EK54719"/>
    </row>
    <row r="54720" spans="1:141" s="116" customFormat="1">
      <c r="A54720" s="136"/>
      <c r="CM54720" s="111"/>
      <c r="CQ54720" s="111"/>
      <c r="EF54720"/>
      <c r="EG54720"/>
      <c r="EH54720"/>
      <c r="EI54720"/>
      <c r="EJ54720"/>
      <c r="EK54720"/>
    </row>
    <row r="54721" spans="1:141" s="116" customFormat="1">
      <c r="A54721" s="136"/>
      <c r="CM54721" s="111"/>
      <c r="CQ54721" s="111"/>
      <c r="EF54721"/>
      <c r="EG54721"/>
      <c r="EH54721"/>
      <c r="EI54721"/>
      <c r="EJ54721"/>
      <c r="EK54721"/>
    </row>
    <row r="54722" spans="1:141" s="116" customFormat="1">
      <c r="A54722" s="136"/>
      <c r="CM54722" s="111"/>
      <c r="CQ54722" s="111"/>
      <c r="EF54722"/>
      <c r="EG54722"/>
      <c r="EH54722"/>
      <c r="EI54722"/>
      <c r="EJ54722"/>
      <c r="EK54722"/>
    </row>
    <row r="54723" spans="1:141" s="116" customFormat="1">
      <c r="A54723" s="136"/>
      <c r="CM54723" s="111"/>
      <c r="CQ54723" s="111"/>
      <c r="EF54723"/>
      <c r="EG54723"/>
      <c r="EH54723"/>
      <c r="EI54723"/>
      <c r="EJ54723"/>
      <c r="EK54723"/>
    </row>
    <row r="54724" spans="1:141" s="116" customFormat="1">
      <c r="A54724" s="136"/>
      <c r="CM54724" s="111"/>
      <c r="CQ54724" s="111"/>
      <c r="EF54724"/>
      <c r="EG54724"/>
      <c r="EH54724"/>
      <c r="EI54724"/>
      <c r="EJ54724"/>
      <c r="EK54724"/>
    </row>
    <row r="54725" spans="1:141" s="116" customFormat="1">
      <c r="A54725" s="136"/>
      <c r="CM54725" s="111"/>
      <c r="CQ54725" s="111"/>
      <c r="EF54725"/>
      <c r="EG54725"/>
      <c r="EH54725"/>
      <c r="EI54725"/>
      <c r="EJ54725"/>
      <c r="EK54725"/>
    </row>
    <row r="54726" spans="1:141" s="116" customFormat="1">
      <c r="A54726" s="136"/>
      <c r="CM54726" s="111"/>
      <c r="CQ54726" s="111"/>
      <c r="EF54726"/>
      <c r="EG54726"/>
      <c r="EH54726"/>
      <c r="EI54726"/>
      <c r="EJ54726"/>
      <c r="EK54726"/>
    </row>
    <row r="54727" spans="1:141" s="116" customFormat="1">
      <c r="A54727" s="136"/>
      <c r="CM54727" s="111"/>
      <c r="CQ54727" s="111"/>
      <c r="EF54727"/>
      <c r="EG54727"/>
      <c r="EH54727"/>
      <c r="EI54727"/>
      <c r="EJ54727"/>
      <c r="EK54727"/>
    </row>
    <row r="54728" spans="1:141" s="116" customFormat="1">
      <c r="A54728" s="136"/>
      <c r="CM54728" s="111"/>
      <c r="CQ54728" s="111"/>
      <c r="EF54728"/>
      <c r="EG54728"/>
      <c r="EH54728"/>
      <c r="EI54728"/>
      <c r="EJ54728"/>
      <c r="EK54728"/>
    </row>
    <row r="54729" spans="1:141" s="116" customFormat="1">
      <c r="A54729" s="136"/>
      <c r="CM54729" s="111"/>
      <c r="CQ54729" s="111"/>
      <c r="EF54729"/>
      <c r="EG54729"/>
      <c r="EH54729"/>
      <c r="EI54729"/>
      <c r="EJ54729"/>
      <c r="EK54729"/>
    </row>
    <row r="54730" spans="1:141" s="116" customFormat="1">
      <c r="A54730" s="136"/>
      <c r="CM54730" s="111"/>
      <c r="CQ54730" s="111"/>
      <c r="EF54730"/>
      <c r="EG54730"/>
      <c r="EH54730"/>
      <c r="EI54730"/>
      <c r="EJ54730"/>
      <c r="EK54730"/>
    </row>
    <row r="54731" spans="1:141" s="116" customFormat="1">
      <c r="A54731" s="136"/>
      <c r="CM54731" s="111"/>
      <c r="CQ54731" s="111"/>
      <c r="EF54731"/>
      <c r="EG54731"/>
      <c r="EH54731"/>
      <c r="EI54731"/>
      <c r="EJ54731"/>
      <c r="EK54731"/>
    </row>
    <row r="54732" spans="1:141" s="116" customFormat="1">
      <c r="A54732" s="136"/>
      <c r="CM54732" s="111"/>
      <c r="CQ54732" s="111"/>
      <c r="EF54732"/>
      <c r="EG54732"/>
      <c r="EH54732"/>
      <c r="EI54732"/>
      <c r="EJ54732"/>
      <c r="EK54732"/>
    </row>
    <row r="54733" spans="1:141" s="116" customFormat="1">
      <c r="A54733" s="136"/>
      <c r="CM54733" s="111"/>
      <c r="CQ54733" s="111"/>
      <c r="EF54733"/>
      <c r="EG54733"/>
      <c r="EH54733"/>
      <c r="EI54733"/>
      <c r="EJ54733"/>
      <c r="EK54733"/>
    </row>
    <row r="54734" spans="1:141" s="116" customFormat="1">
      <c r="A54734" s="136"/>
      <c r="CM54734" s="111"/>
      <c r="CQ54734" s="111"/>
      <c r="EF54734"/>
      <c r="EG54734"/>
      <c r="EH54734"/>
      <c r="EI54734"/>
      <c r="EJ54734"/>
      <c r="EK54734"/>
    </row>
    <row r="54735" spans="1:141" s="116" customFormat="1">
      <c r="A54735" s="136"/>
      <c r="CM54735" s="111"/>
      <c r="CQ54735" s="111"/>
      <c r="EF54735"/>
      <c r="EG54735"/>
      <c r="EH54735"/>
      <c r="EI54735"/>
      <c r="EJ54735"/>
      <c r="EK54735"/>
    </row>
    <row r="54736" spans="1:141" s="116" customFormat="1">
      <c r="A54736" s="136"/>
      <c r="CM54736" s="111"/>
      <c r="CQ54736" s="111"/>
      <c r="EF54736"/>
      <c r="EG54736"/>
      <c r="EH54736"/>
      <c r="EI54736"/>
      <c r="EJ54736"/>
      <c r="EK54736"/>
    </row>
    <row r="54737" spans="1:141" s="116" customFormat="1">
      <c r="A54737" s="136"/>
      <c r="CM54737" s="111"/>
      <c r="CQ54737" s="111"/>
      <c r="EF54737"/>
      <c r="EG54737"/>
      <c r="EH54737"/>
      <c r="EI54737"/>
      <c r="EJ54737"/>
      <c r="EK54737"/>
    </row>
    <row r="54738" spans="1:141" s="116" customFormat="1">
      <c r="A54738" s="136"/>
      <c r="CM54738" s="111"/>
      <c r="CQ54738" s="111"/>
      <c r="EF54738"/>
      <c r="EG54738"/>
      <c r="EH54738"/>
      <c r="EI54738"/>
      <c r="EJ54738"/>
      <c r="EK54738"/>
    </row>
    <row r="54739" spans="1:141" s="116" customFormat="1">
      <c r="A54739" s="136"/>
      <c r="CM54739" s="111"/>
      <c r="CQ54739" s="111"/>
      <c r="EF54739"/>
      <c r="EG54739"/>
      <c r="EH54739"/>
      <c r="EI54739"/>
      <c r="EJ54739"/>
      <c r="EK54739"/>
    </row>
    <row r="54740" spans="1:141" s="116" customFormat="1">
      <c r="A54740" s="136"/>
      <c r="CM54740" s="111"/>
      <c r="CQ54740" s="111"/>
      <c r="EF54740"/>
      <c r="EG54740"/>
      <c r="EH54740"/>
      <c r="EI54740"/>
      <c r="EJ54740"/>
      <c r="EK54740"/>
    </row>
    <row r="54741" spans="1:141" s="116" customFormat="1">
      <c r="A54741" s="136"/>
      <c r="CM54741" s="111"/>
      <c r="CQ54741" s="111"/>
      <c r="EF54741"/>
      <c r="EG54741"/>
      <c r="EH54741"/>
      <c r="EI54741"/>
      <c r="EJ54741"/>
      <c r="EK54741"/>
    </row>
    <row r="54742" spans="1:141" s="116" customFormat="1">
      <c r="A54742" s="136"/>
      <c r="CM54742" s="111"/>
      <c r="CQ54742" s="111"/>
      <c r="EF54742"/>
      <c r="EG54742"/>
      <c r="EH54742"/>
      <c r="EI54742"/>
      <c r="EJ54742"/>
      <c r="EK54742"/>
    </row>
    <row r="54743" spans="1:141" s="116" customFormat="1">
      <c r="A54743" s="136"/>
      <c r="CM54743" s="111"/>
      <c r="CQ54743" s="111"/>
      <c r="EF54743"/>
      <c r="EG54743"/>
      <c r="EH54743"/>
      <c r="EI54743"/>
      <c r="EJ54743"/>
      <c r="EK54743"/>
    </row>
    <row r="54744" spans="1:141" s="116" customFormat="1">
      <c r="A54744" s="136"/>
      <c r="CM54744" s="111"/>
      <c r="CQ54744" s="111"/>
      <c r="EF54744"/>
      <c r="EG54744"/>
      <c r="EH54744"/>
      <c r="EI54744"/>
      <c r="EJ54744"/>
      <c r="EK54744"/>
    </row>
    <row r="54745" spans="1:141" s="116" customFormat="1">
      <c r="A54745" s="136"/>
      <c r="CM54745" s="111"/>
      <c r="CQ54745" s="111"/>
      <c r="EF54745"/>
      <c r="EG54745"/>
      <c r="EH54745"/>
      <c r="EI54745"/>
      <c r="EJ54745"/>
      <c r="EK54745"/>
    </row>
    <row r="54746" spans="1:141" s="116" customFormat="1">
      <c r="A54746" s="136"/>
      <c r="CM54746" s="111"/>
      <c r="CQ54746" s="111"/>
      <c r="EF54746"/>
      <c r="EG54746"/>
      <c r="EH54746"/>
      <c r="EI54746"/>
      <c r="EJ54746"/>
      <c r="EK54746"/>
    </row>
    <row r="54747" spans="1:141" s="116" customFormat="1">
      <c r="A54747" s="136"/>
      <c r="CM54747" s="111"/>
      <c r="CQ54747" s="111"/>
      <c r="EF54747"/>
      <c r="EG54747"/>
      <c r="EH54747"/>
      <c r="EI54747"/>
      <c r="EJ54747"/>
      <c r="EK54747"/>
    </row>
    <row r="54748" spans="1:141" s="116" customFormat="1">
      <c r="A54748" s="136"/>
      <c r="CM54748" s="111"/>
      <c r="CQ54748" s="111"/>
      <c r="EF54748"/>
      <c r="EG54748"/>
      <c r="EH54748"/>
      <c r="EI54748"/>
      <c r="EJ54748"/>
      <c r="EK54748"/>
    </row>
    <row r="54749" spans="1:141" s="116" customFormat="1">
      <c r="A54749" s="136"/>
      <c r="CM54749" s="111"/>
      <c r="CQ54749" s="111"/>
      <c r="EF54749"/>
      <c r="EG54749"/>
      <c r="EH54749"/>
      <c r="EI54749"/>
      <c r="EJ54749"/>
      <c r="EK54749"/>
    </row>
    <row r="54750" spans="1:141" s="116" customFormat="1">
      <c r="A54750" s="136"/>
      <c r="CM54750" s="111"/>
      <c r="CQ54750" s="111"/>
      <c r="EF54750"/>
      <c r="EG54750"/>
      <c r="EH54750"/>
      <c r="EI54750"/>
      <c r="EJ54750"/>
      <c r="EK54750"/>
    </row>
    <row r="54751" spans="1:141" s="116" customFormat="1">
      <c r="A54751" s="136"/>
      <c r="CM54751" s="111"/>
      <c r="CQ54751" s="111"/>
      <c r="EF54751"/>
      <c r="EG54751"/>
      <c r="EH54751"/>
      <c r="EI54751"/>
      <c r="EJ54751"/>
      <c r="EK54751"/>
    </row>
    <row r="54752" spans="1:141" s="116" customFormat="1">
      <c r="A54752" s="136"/>
      <c r="CM54752" s="111"/>
      <c r="CQ54752" s="111"/>
      <c r="EF54752"/>
      <c r="EG54752"/>
      <c r="EH54752"/>
      <c r="EI54752"/>
      <c r="EJ54752"/>
      <c r="EK54752"/>
    </row>
    <row r="54753" spans="1:141" s="116" customFormat="1">
      <c r="A54753" s="136"/>
      <c r="CM54753" s="111"/>
      <c r="CQ54753" s="111"/>
      <c r="EF54753"/>
      <c r="EG54753"/>
      <c r="EH54753"/>
      <c r="EI54753"/>
      <c r="EJ54753"/>
      <c r="EK54753"/>
    </row>
    <row r="54754" spans="1:141" s="116" customFormat="1">
      <c r="A54754" s="136"/>
      <c r="CM54754" s="111"/>
      <c r="CQ54754" s="111"/>
      <c r="EF54754"/>
      <c r="EG54754"/>
      <c r="EH54754"/>
      <c r="EI54754"/>
      <c r="EJ54754"/>
      <c r="EK54754"/>
    </row>
    <row r="54755" spans="1:141" s="116" customFormat="1">
      <c r="A54755" s="136"/>
      <c r="CM54755" s="111"/>
      <c r="CQ54755" s="111"/>
      <c r="EF54755"/>
      <c r="EG54755"/>
      <c r="EH54755"/>
      <c r="EI54755"/>
      <c r="EJ54755"/>
      <c r="EK54755"/>
    </row>
    <row r="54756" spans="1:141" s="116" customFormat="1">
      <c r="A54756" s="136"/>
      <c r="CM54756" s="111"/>
      <c r="CQ54756" s="111"/>
      <c r="EF54756"/>
      <c r="EG54756"/>
      <c r="EH54756"/>
      <c r="EI54756"/>
      <c r="EJ54756"/>
      <c r="EK54756"/>
    </row>
    <row r="54757" spans="1:141" s="116" customFormat="1">
      <c r="A54757" s="136"/>
      <c r="CM54757" s="111"/>
      <c r="CQ54757" s="111"/>
      <c r="EF54757"/>
      <c r="EG54757"/>
      <c r="EH54757"/>
      <c r="EI54757"/>
      <c r="EJ54757"/>
      <c r="EK54757"/>
    </row>
    <row r="54758" spans="1:141" s="116" customFormat="1">
      <c r="A54758" s="136"/>
      <c r="CM54758" s="111"/>
      <c r="CQ54758" s="111"/>
      <c r="EF54758"/>
      <c r="EG54758"/>
      <c r="EH54758"/>
      <c r="EI54758"/>
      <c r="EJ54758"/>
      <c r="EK54758"/>
    </row>
    <row r="54759" spans="1:141" s="116" customFormat="1">
      <c r="A54759" s="136"/>
      <c r="CM54759" s="111"/>
      <c r="CQ54759" s="111"/>
      <c r="EF54759"/>
      <c r="EG54759"/>
      <c r="EH54759"/>
      <c r="EI54759"/>
      <c r="EJ54759"/>
      <c r="EK54759"/>
    </row>
    <row r="54760" spans="1:141" s="116" customFormat="1">
      <c r="A54760" s="136"/>
      <c r="CM54760" s="111"/>
      <c r="CQ54760" s="111"/>
      <c r="EF54760"/>
      <c r="EG54760"/>
      <c r="EH54760"/>
      <c r="EI54760"/>
      <c r="EJ54760"/>
      <c r="EK54760"/>
    </row>
    <row r="54761" spans="1:141" s="116" customFormat="1">
      <c r="A54761" s="136"/>
      <c r="CM54761" s="111"/>
      <c r="CQ54761" s="111"/>
      <c r="EF54761"/>
      <c r="EG54761"/>
      <c r="EH54761"/>
      <c r="EI54761"/>
      <c r="EJ54761"/>
      <c r="EK54761"/>
    </row>
    <row r="54762" spans="1:141" s="116" customFormat="1">
      <c r="A54762" s="136"/>
      <c r="CM54762" s="111"/>
      <c r="CQ54762" s="111"/>
      <c r="EF54762"/>
      <c r="EG54762"/>
      <c r="EH54762"/>
      <c r="EI54762"/>
      <c r="EJ54762"/>
      <c r="EK54762"/>
    </row>
    <row r="54763" spans="1:141" s="116" customFormat="1">
      <c r="A54763" s="136"/>
      <c r="CM54763" s="111"/>
      <c r="CQ54763" s="111"/>
      <c r="EF54763"/>
      <c r="EG54763"/>
      <c r="EH54763"/>
      <c r="EI54763"/>
      <c r="EJ54763"/>
      <c r="EK54763"/>
    </row>
    <row r="54764" spans="1:141" s="116" customFormat="1">
      <c r="A54764" s="136"/>
      <c r="CM54764" s="111"/>
      <c r="CQ54764" s="111"/>
      <c r="EF54764"/>
      <c r="EG54764"/>
      <c r="EH54764"/>
      <c r="EI54764"/>
      <c r="EJ54764"/>
      <c r="EK54764"/>
    </row>
    <row r="54765" spans="1:141" s="116" customFormat="1">
      <c r="A54765" s="136"/>
      <c r="CM54765" s="111"/>
      <c r="CQ54765" s="111"/>
      <c r="EF54765"/>
      <c r="EG54765"/>
      <c r="EH54765"/>
      <c r="EI54765"/>
      <c r="EJ54765"/>
      <c r="EK54765"/>
    </row>
    <row r="54766" spans="1:141" s="116" customFormat="1">
      <c r="A54766" s="136"/>
      <c r="CM54766" s="111"/>
      <c r="CQ54766" s="111"/>
      <c r="EF54766"/>
      <c r="EG54766"/>
      <c r="EH54766"/>
      <c r="EI54766"/>
      <c r="EJ54766"/>
      <c r="EK54766"/>
    </row>
    <row r="54767" spans="1:141" s="116" customFormat="1">
      <c r="A54767" s="136"/>
      <c r="CM54767" s="111"/>
      <c r="CQ54767" s="111"/>
      <c r="EF54767"/>
      <c r="EG54767"/>
      <c r="EH54767"/>
      <c r="EI54767"/>
      <c r="EJ54767"/>
      <c r="EK54767"/>
    </row>
    <row r="54768" spans="1:141" s="116" customFormat="1">
      <c r="A54768" s="136"/>
      <c r="CM54768" s="111"/>
      <c r="CQ54768" s="111"/>
      <c r="EF54768"/>
      <c r="EG54768"/>
      <c r="EH54768"/>
      <c r="EI54768"/>
      <c r="EJ54768"/>
      <c r="EK54768"/>
    </row>
    <row r="54769" spans="1:141" s="116" customFormat="1">
      <c r="A54769" s="136"/>
      <c r="CM54769" s="111"/>
      <c r="CQ54769" s="111"/>
      <c r="EF54769"/>
      <c r="EG54769"/>
      <c r="EH54769"/>
      <c r="EI54769"/>
      <c r="EJ54769"/>
      <c r="EK54769"/>
    </row>
    <row r="54770" spans="1:141" s="116" customFormat="1">
      <c r="A54770" s="136"/>
      <c r="CM54770" s="111"/>
      <c r="CQ54770" s="111"/>
      <c r="EF54770"/>
      <c r="EG54770"/>
      <c r="EH54770"/>
      <c r="EI54770"/>
      <c r="EJ54770"/>
      <c r="EK54770"/>
    </row>
    <row r="54771" spans="1:141" s="116" customFormat="1">
      <c r="A54771" s="136"/>
      <c r="CM54771" s="111"/>
      <c r="CQ54771" s="111"/>
      <c r="EF54771"/>
      <c r="EG54771"/>
      <c r="EH54771"/>
      <c r="EI54771"/>
      <c r="EJ54771"/>
      <c r="EK54771"/>
    </row>
    <row r="54772" spans="1:141" s="116" customFormat="1">
      <c r="A54772" s="136"/>
      <c r="CM54772" s="111"/>
      <c r="CQ54772" s="111"/>
      <c r="EF54772"/>
      <c r="EG54772"/>
      <c r="EH54772"/>
      <c r="EI54772"/>
      <c r="EJ54772"/>
      <c r="EK54772"/>
    </row>
    <row r="54773" spans="1:141" s="116" customFormat="1">
      <c r="A54773" s="136"/>
      <c r="CM54773" s="111"/>
      <c r="CQ54773" s="111"/>
      <c r="EF54773"/>
      <c r="EG54773"/>
      <c r="EH54773"/>
      <c r="EI54773"/>
      <c r="EJ54773"/>
      <c r="EK54773"/>
    </row>
    <row r="54774" spans="1:141" s="116" customFormat="1">
      <c r="A54774" s="136"/>
      <c r="CM54774" s="111"/>
      <c r="CQ54774" s="111"/>
      <c r="EF54774"/>
      <c r="EG54774"/>
      <c r="EH54774"/>
      <c r="EI54774"/>
      <c r="EJ54774"/>
      <c r="EK54774"/>
    </row>
    <row r="54775" spans="1:141" s="116" customFormat="1">
      <c r="A54775" s="136"/>
      <c r="CM54775" s="111"/>
      <c r="CQ54775" s="111"/>
      <c r="EF54775"/>
      <c r="EG54775"/>
      <c r="EH54775"/>
      <c r="EI54775"/>
      <c r="EJ54775"/>
      <c r="EK54775"/>
    </row>
    <row r="54776" spans="1:141" s="116" customFormat="1">
      <c r="A54776" s="136"/>
      <c r="CM54776" s="111"/>
      <c r="CQ54776" s="111"/>
      <c r="EF54776"/>
      <c r="EG54776"/>
      <c r="EH54776"/>
      <c r="EI54776"/>
      <c r="EJ54776"/>
      <c r="EK54776"/>
    </row>
    <row r="54777" spans="1:141" s="116" customFormat="1">
      <c r="A54777" s="136"/>
      <c r="CM54777" s="111"/>
      <c r="CQ54777" s="111"/>
      <c r="EF54777"/>
      <c r="EG54777"/>
      <c r="EH54777"/>
      <c r="EI54777"/>
      <c r="EJ54777"/>
      <c r="EK54777"/>
    </row>
    <row r="54778" spans="1:141" s="116" customFormat="1">
      <c r="A54778" s="136"/>
      <c r="CM54778" s="111"/>
      <c r="CQ54778" s="111"/>
      <c r="EF54778"/>
      <c r="EG54778"/>
      <c r="EH54778"/>
      <c r="EI54778"/>
      <c r="EJ54778"/>
      <c r="EK54778"/>
    </row>
    <row r="54779" spans="1:141" s="116" customFormat="1">
      <c r="A54779" s="136"/>
      <c r="CM54779" s="111"/>
      <c r="CQ54779" s="111"/>
      <c r="EF54779"/>
      <c r="EG54779"/>
      <c r="EH54779"/>
      <c r="EI54779"/>
      <c r="EJ54779"/>
      <c r="EK54779"/>
    </row>
    <row r="54780" spans="1:141" s="116" customFormat="1">
      <c r="A54780" s="136"/>
      <c r="CM54780" s="111"/>
      <c r="CQ54780" s="111"/>
      <c r="EF54780"/>
      <c r="EG54780"/>
      <c r="EH54780"/>
      <c r="EI54780"/>
      <c r="EJ54780"/>
      <c r="EK54780"/>
    </row>
    <row r="54781" spans="1:141" s="116" customFormat="1">
      <c r="A54781" s="136"/>
      <c r="CM54781" s="111"/>
      <c r="CQ54781" s="111"/>
      <c r="EF54781"/>
      <c r="EG54781"/>
      <c r="EH54781"/>
      <c r="EI54781"/>
      <c r="EJ54781"/>
      <c r="EK54781"/>
    </row>
    <row r="54782" spans="1:141" s="116" customFormat="1">
      <c r="A54782" s="136"/>
      <c r="CM54782" s="111"/>
      <c r="CQ54782" s="111"/>
      <c r="EF54782"/>
      <c r="EG54782"/>
      <c r="EH54782"/>
      <c r="EI54782"/>
      <c r="EJ54782"/>
      <c r="EK54782"/>
    </row>
    <row r="54783" spans="1:141" s="116" customFormat="1">
      <c r="A54783" s="136"/>
      <c r="CM54783" s="111"/>
      <c r="CQ54783" s="111"/>
      <c r="EF54783"/>
      <c r="EG54783"/>
      <c r="EH54783"/>
      <c r="EI54783"/>
      <c r="EJ54783"/>
      <c r="EK54783"/>
    </row>
    <row r="54784" spans="1:141" s="116" customFormat="1">
      <c r="A54784" s="136"/>
      <c r="CM54784" s="111"/>
      <c r="CQ54784" s="111"/>
      <c r="EF54784"/>
      <c r="EG54784"/>
      <c r="EH54784"/>
      <c r="EI54784"/>
      <c r="EJ54784"/>
      <c r="EK54784"/>
    </row>
    <row r="54785" spans="1:141" s="116" customFormat="1">
      <c r="A54785" s="136"/>
      <c r="CM54785" s="111"/>
      <c r="CQ54785" s="111"/>
      <c r="EF54785"/>
      <c r="EG54785"/>
      <c r="EH54785"/>
      <c r="EI54785"/>
      <c r="EJ54785"/>
      <c r="EK54785"/>
    </row>
    <row r="54786" spans="1:141" s="116" customFormat="1">
      <c r="A54786" s="136"/>
      <c r="CM54786" s="111"/>
      <c r="CQ54786" s="111"/>
      <c r="EF54786"/>
      <c r="EG54786"/>
      <c r="EH54786"/>
      <c r="EI54786"/>
      <c r="EJ54786"/>
      <c r="EK54786"/>
    </row>
    <row r="54787" spans="1:141" s="116" customFormat="1">
      <c r="A54787" s="136"/>
      <c r="CM54787" s="111"/>
      <c r="CQ54787" s="111"/>
      <c r="EF54787"/>
      <c r="EG54787"/>
      <c r="EH54787"/>
      <c r="EI54787"/>
      <c r="EJ54787"/>
      <c r="EK54787"/>
    </row>
    <row r="54788" spans="1:141" s="116" customFormat="1">
      <c r="A54788" s="136"/>
      <c r="CM54788" s="111"/>
      <c r="CQ54788" s="111"/>
      <c r="EF54788"/>
      <c r="EG54788"/>
      <c r="EH54788"/>
      <c r="EI54788"/>
      <c r="EJ54788"/>
      <c r="EK54788"/>
    </row>
    <row r="54789" spans="1:141" s="116" customFormat="1">
      <c r="A54789" s="136"/>
      <c r="CM54789" s="111"/>
      <c r="CQ54789" s="111"/>
      <c r="EF54789"/>
      <c r="EG54789"/>
      <c r="EH54789"/>
      <c r="EI54789"/>
      <c r="EJ54789"/>
      <c r="EK54789"/>
    </row>
    <row r="54790" spans="1:141" s="116" customFormat="1">
      <c r="A54790" s="136"/>
      <c r="CM54790" s="111"/>
      <c r="CQ54790" s="111"/>
      <c r="EF54790"/>
      <c r="EG54790"/>
      <c r="EH54790"/>
      <c r="EI54790"/>
      <c r="EJ54790"/>
      <c r="EK54790"/>
    </row>
    <row r="54791" spans="1:141" s="116" customFormat="1">
      <c r="A54791" s="136"/>
      <c r="CM54791" s="111"/>
      <c r="CQ54791" s="111"/>
      <c r="EF54791"/>
      <c r="EG54791"/>
      <c r="EH54791"/>
      <c r="EI54791"/>
      <c r="EJ54791"/>
      <c r="EK54791"/>
    </row>
    <row r="54792" spans="1:141" s="116" customFormat="1">
      <c r="A54792" s="136"/>
      <c r="CM54792" s="111"/>
      <c r="CQ54792" s="111"/>
      <c r="EF54792"/>
      <c r="EG54792"/>
      <c r="EH54792"/>
      <c r="EI54792"/>
      <c r="EJ54792"/>
      <c r="EK54792"/>
    </row>
    <row r="54793" spans="1:141" s="116" customFormat="1">
      <c r="A54793" s="136"/>
      <c r="CM54793" s="111"/>
      <c r="CQ54793" s="111"/>
      <c r="EF54793"/>
      <c r="EG54793"/>
      <c r="EH54793"/>
      <c r="EI54793"/>
      <c r="EJ54793"/>
      <c r="EK54793"/>
    </row>
    <row r="54794" spans="1:141" s="116" customFormat="1">
      <c r="A54794" s="136"/>
      <c r="CM54794" s="111"/>
      <c r="CQ54794" s="111"/>
      <c r="EF54794"/>
      <c r="EG54794"/>
      <c r="EH54794"/>
      <c r="EI54794"/>
      <c r="EJ54794"/>
      <c r="EK54794"/>
    </row>
    <row r="54795" spans="1:141" s="116" customFormat="1">
      <c r="A54795" s="136"/>
      <c r="CM54795" s="111"/>
      <c r="CQ54795" s="111"/>
      <c r="EF54795"/>
      <c r="EG54795"/>
      <c r="EH54795"/>
      <c r="EI54795"/>
      <c r="EJ54795"/>
      <c r="EK54795"/>
    </row>
    <row r="54796" spans="1:141" s="116" customFormat="1">
      <c r="A54796" s="136"/>
      <c r="CM54796" s="111"/>
      <c r="CQ54796" s="111"/>
      <c r="EF54796"/>
      <c r="EG54796"/>
      <c r="EH54796"/>
      <c r="EI54796"/>
      <c r="EJ54796"/>
      <c r="EK54796"/>
    </row>
    <row r="54797" spans="1:141" s="116" customFormat="1">
      <c r="A54797" s="136"/>
      <c r="CM54797" s="111"/>
      <c r="CQ54797" s="111"/>
      <c r="EF54797"/>
      <c r="EG54797"/>
      <c r="EH54797"/>
      <c r="EI54797"/>
      <c r="EJ54797"/>
      <c r="EK54797"/>
    </row>
    <row r="54798" spans="1:141" s="116" customFormat="1">
      <c r="A54798" s="136"/>
      <c r="CM54798" s="111"/>
      <c r="CQ54798" s="111"/>
      <c r="EF54798"/>
      <c r="EG54798"/>
      <c r="EH54798"/>
      <c r="EI54798"/>
      <c r="EJ54798"/>
      <c r="EK54798"/>
    </row>
    <row r="54799" spans="1:141" s="116" customFormat="1">
      <c r="A54799" s="136"/>
      <c r="CM54799" s="111"/>
      <c r="CQ54799" s="111"/>
      <c r="EF54799"/>
      <c r="EG54799"/>
      <c r="EH54799"/>
      <c r="EI54799"/>
      <c r="EJ54799"/>
      <c r="EK54799"/>
    </row>
    <row r="54800" spans="1:141" s="116" customFormat="1">
      <c r="A54800" s="136"/>
      <c r="CM54800" s="111"/>
      <c r="CQ54800" s="111"/>
      <c r="EF54800"/>
      <c r="EG54800"/>
      <c r="EH54800"/>
      <c r="EI54800"/>
      <c r="EJ54800"/>
      <c r="EK54800"/>
    </row>
    <row r="54801" spans="1:141" s="116" customFormat="1">
      <c r="A54801" s="136"/>
      <c r="CM54801" s="111"/>
      <c r="CQ54801" s="111"/>
      <c r="EF54801"/>
      <c r="EG54801"/>
      <c r="EH54801"/>
      <c r="EI54801"/>
      <c r="EJ54801"/>
      <c r="EK54801"/>
    </row>
    <row r="54802" spans="1:141" s="116" customFormat="1">
      <c r="A54802" s="136"/>
      <c r="CM54802" s="111"/>
      <c r="CQ54802" s="111"/>
      <c r="EF54802"/>
      <c r="EG54802"/>
      <c r="EH54802"/>
      <c r="EI54802"/>
      <c r="EJ54802"/>
      <c r="EK54802"/>
    </row>
    <row r="54803" spans="1:141" s="116" customFormat="1">
      <c r="A54803" s="136"/>
      <c r="CM54803" s="111"/>
      <c r="CQ54803" s="111"/>
      <c r="EF54803"/>
      <c r="EG54803"/>
      <c r="EH54803"/>
      <c r="EI54803"/>
      <c r="EJ54803"/>
      <c r="EK54803"/>
    </row>
    <row r="54804" spans="1:141" s="116" customFormat="1">
      <c r="A54804" s="136"/>
      <c r="CM54804" s="111"/>
      <c r="CQ54804" s="111"/>
      <c r="EF54804"/>
      <c r="EG54804"/>
      <c r="EH54804"/>
      <c r="EI54804"/>
      <c r="EJ54804"/>
      <c r="EK54804"/>
    </row>
    <row r="54805" spans="1:141" s="116" customFormat="1">
      <c r="A54805" s="136"/>
      <c r="CM54805" s="111"/>
      <c r="CQ54805" s="111"/>
      <c r="EF54805"/>
      <c r="EG54805"/>
      <c r="EH54805"/>
      <c r="EI54805"/>
      <c r="EJ54805"/>
      <c r="EK54805"/>
    </row>
    <row r="54806" spans="1:141" s="116" customFormat="1">
      <c r="A54806" s="136"/>
      <c r="CM54806" s="111"/>
      <c r="CQ54806" s="111"/>
      <c r="EF54806"/>
      <c r="EG54806"/>
      <c r="EH54806"/>
      <c r="EI54806"/>
      <c r="EJ54806"/>
      <c r="EK54806"/>
    </row>
    <row r="54807" spans="1:141" s="116" customFormat="1">
      <c r="A54807" s="136"/>
      <c r="CM54807" s="111"/>
      <c r="CQ54807" s="111"/>
      <c r="EF54807"/>
      <c r="EG54807"/>
      <c r="EH54807"/>
      <c r="EI54807"/>
      <c r="EJ54807"/>
      <c r="EK54807"/>
    </row>
    <row r="54808" spans="1:141" s="116" customFormat="1">
      <c r="A54808" s="136"/>
      <c r="CM54808" s="111"/>
      <c r="CQ54808" s="111"/>
      <c r="EF54808"/>
      <c r="EG54808"/>
      <c r="EH54808"/>
      <c r="EI54808"/>
      <c r="EJ54808"/>
      <c r="EK54808"/>
    </row>
    <row r="54809" spans="1:141" s="116" customFormat="1">
      <c r="A54809" s="136"/>
      <c r="CM54809" s="111"/>
      <c r="CQ54809" s="111"/>
      <c r="EF54809"/>
      <c r="EG54809"/>
      <c r="EH54809"/>
      <c r="EI54809"/>
      <c r="EJ54809"/>
      <c r="EK54809"/>
    </row>
    <row r="54810" spans="1:141" s="116" customFormat="1">
      <c r="A54810" s="136"/>
      <c r="CM54810" s="111"/>
      <c r="CQ54810" s="111"/>
      <c r="EF54810"/>
      <c r="EG54810"/>
      <c r="EH54810"/>
      <c r="EI54810"/>
      <c r="EJ54810"/>
      <c r="EK54810"/>
    </row>
    <row r="54811" spans="1:141" s="116" customFormat="1">
      <c r="A54811" s="136"/>
      <c r="CM54811" s="111"/>
      <c r="CQ54811" s="111"/>
      <c r="EF54811"/>
      <c r="EG54811"/>
      <c r="EH54811"/>
      <c r="EI54811"/>
      <c r="EJ54811"/>
      <c r="EK54811"/>
    </row>
    <row r="54812" spans="1:141" s="116" customFormat="1">
      <c r="A54812" s="136"/>
      <c r="CM54812" s="111"/>
      <c r="CQ54812" s="111"/>
      <c r="EF54812"/>
      <c r="EG54812"/>
      <c r="EH54812"/>
      <c r="EI54812"/>
      <c r="EJ54812"/>
      <c r="EK54812"/>
    </row>
    <row r="54813" spans="1:141" s="116" customFormat="1">
      <c r="A54813" s="136"/>
      <c r="CM54813" s="111"/>
      <c r="CQ54813" s="111"/>
      <c r="EF54813"/>
      <c r="EG54813"/>
      <c r="EH54813"/>
      <c r="EI54813"/>
      <c r="EJ54813"/>
      <c r="EK54813"/>
    </row>
    <row r="54814" spans="1:141" s="116" customFormat="1">
      <c r="A54814" s="136"/>
      <c r="CM54814" s="111"/>
      <c r="CQ54814" s="111"/>
      <c r="EF54814"/>
      <c r="EG54814"/>
      <c r="EH54814"/>
      <c r="EI54814"/>
      <c r="EJ54814"/>
      <c r="EK54814"/>
    </row>
    <row r="54815" spans="1:141" s="116" customFormat="1">
      <c r="A54815" s="136"/>
      <c r="CM54815" s="111"/>
      <c r="CQ54815" s="111"/>
      <c r="EF54815"/>
      <c r="EG54815"/>
      <c r="EH54815"/>
      <c r="EI54815"/>
      <c r="EJ54815"/>
      <c r="EK54815"/>
    </row>
    <row r="54816" spans="1:141" s="116" customFormat="1">
      <c r="A54816" s="136"/>
      <c r="CM54816" s="111"/>
      <c r="CQ54816" s="111"/>
      <c r="EF54816"/>
      <c r="EG54816"/>
      <c r="EH54816"/>
      <c r="EI54816"/>
      <c r="EJ54816"/>
      <c r="EK54816"/>
    </row>
    <row r="54817" spans="1:141" s="116" customFormat="1">
      <c r="A54817" s="136"/>
      <c r="CM54817" s="111"/>
      <c r="CQ54817" s="111"/>
      <c r="EF54817"/>
      <c r="EG54817"/>
      <c r="EH54817"/>
      <c r="EI54817"/>
      <c r="EJ54817"/>
      <c r="EK54817"/>
    </row>
    <row r="54818" spans="1:141" s="116" customFormat="1">
      <c r="A54818" s="136"/>
      <c r="CM54818" s="111"/>
      <c r="CQ54818" s="111"/>
      <c r="EF54818"/>
      <c r="EG54818"/>
      <c r="EH54818"/>
      <c r="EI54818"/>
      <c r="EJ54818"/>
      <c r="EK54818"/>
    </row>
    <row r="54819" spans="1:141" s="116" customFormat="1">
      <c r="A54819" s="136"/>
      <c r="CM54819" s="111"/>
      <c r="CQ54819" s="111"/>
      <c r="EF54819"/>
      <c r="EG54819"/>
      <c r="EH54819"/>
      <c r="EI54819"/>
      <c r="EJ54819"/>
      <c r="EK54819"/>
    </row>
    <row r="54820" spans="1:141" s="116" customFormat="1">
      <c r="A54820" s="136"/>
      <c r="CM54820" s="111"/>
      <c r="CQ54820" s="111"/>
      <c r="EF54820"/>
      <c r="EG54820"/>
      <c r="EH54820"/>
      <c r="EI54820"/>
      <c r="EJ54820"/>
      <c r="EK54820"/>
    </row>
    <row r="54821" spans="1:141" s="116" customFormat="1">
      <c r="A54821" s="136"/>
      <c r="CM54821" s="111"/>
      <c r="CQ54821" s="111"/>
      <c r="EF54821"/>
      <c r="EG54821"/>
      <c r="EH54821"/>
      <c r="EI54821"/>
      <c r="EJ54821"/>
      <c r="EK54821"/>
    </row>
    <row r="54822" spans="1:141" s="116" customFormat="1">
      <c r="A54822" s="136"/>
      <c r="CM54822" s="111"/>
      <c r="CQ54822" s="111"/>
      <c r="EF54822"/>
      <c r="EG54822"/>
      <c r="EH54822"/>
      <c r="EI54822"/>
      <c r="EJ54822"/>
      <c r="EK54822"/>
    </row>
    <row r="54823" spans="1:141" s="116" customFormat="1">
      <c r="A54823" s="136"/>
      <c r="CM54823" s="111"/>
      <c r="CQ54823" s="111"/>
      <c r="EF54823"/>
      <c r="EG54823"/>
      <c r="EH54823"/>
      <c r="EI54823"/>
      <c r="EJ54823"/>
      <c r="EK54823"/>
    </row>
    <row r="54824" spans="1:141" s="116" customFormat="1">
      <c r="A54824" s="136"/>
      <c r="CM54824" s="111"/>
      <c r="CQ54824" s="111"/>
      <c r="EF54824"/>
      <c r="EG54824"/>
      <c r="EH54824"/>
      <c r="EI54824"/>
      <c r="EJ54824"/>
      <c r="EK54824"/>
    </row>
    <row r="54825" spans="1:141" s="116" customFormat="1">
      <c r="A54825" s="136"/>
      <c r="CM54825" s="111"/>
      <c r="CQ54825" s="111"/>
      <c r="EF54825"/>
      <c r="EG54825"/>
      <c r="EH54825"/>
      <c r="EI54825"/>
      <c r="EJ54825"/>
      <c r="EK54825"/>
    </row>
    <row r="54826" spans="1:141" s="116" customFormat="1">
      <c r="A54826" s="136"/>
      <c r="CM54826" s="111"/>
      <c r="CQ54826" s="111"/>
      <c r="EF54826"/>
      <c r="EG54826"/>
      <c r="EH54826"/>
      <c r="EI54826"/>
      <c r="EJ54826"/>
      <c r="EK54826"/>
    </row>
    <row r="54827" spans="1:141" s="116" customFormat="1">
      <c r="A54827" s="136"/>
      <c r="CM54827" s="111"/>
      <c r="CQ54827" s="111"/>
      <c r="EF54827"/>
      <c r="EG54827"/>
      <c r="EH54827"/>
      <c r="EI54827"/>
      <c r="EJ54827"/>
      <c r="EK54827"/>
    </row>
    <row r="54828" spans="1:141" s="116" customFormat="1">
      <c r="A54828" s="136"/>
      <c r="CM54828" s="111"/>
      <c r="CQ54828" s="111"/>
      <c r="EF54828"/>
      <c r="EG54828"/>
      <c r="EH54828"/>
      <c r="EI54828"/>
      <c r="EJ54828"/>
      <c r="EK54828"/>
    </row>
    <row r="54829" spans="1:141" s="116" customFormat="1">
      <c r="A54829" s="136"/>
      <c r="CM54829" s="111"/>
      <c r="CQ54829" s="111"/>
      <c r="EF54829"/>
      <c r="EG54829"/>
      <c r="EH54829"/>
      <c r="EI54829"/>
      <c r="EJ54829"/>
      <c r="EK54829"/>
    </row>
    <row r="54830" spans="1:141" s="116" customFormat="1">
      <c r="A54830" s="136"/>
      <c r="CM54830" s="111"/>
      <c r="CQ54830" s="111"/>
      <c r="EF54830"/>
      <c r="EG54830"/>
      <c r="EH54830"/>
      <c r="EI54830"/>
      <c r="EJ54830"/>
      <c r="EK54830"/>
    </row>
    <row r="54831" spans="1:141" s="116" customFormat="1">
      <c r="A54831" s="136"/>
      <c r="CM54831" s="111"/>
      <c r="CQ54831" s="111"/>
      <c r="EF54831"/>
      <c r="EG54831"/>
      <c r="EH54831"/>
      <c r="EI54831"/>
      <c r="EJ54831"/>
      <c r="EK54831"/>
    </row>
    <row r="54832" spans="1:141" s="116" customFormat="1">
      <c r="A54832" s="136"/>
      <c r="CM54832" s="111"/>
      <c r="CQ54832" s="111"/>
      <c r="EF54832"/>
      <c r="EG54832"/>
      <c r="EH54832"/>
      <c r="EI54832"/>
      <c r="EJ54832"/>
      <c r="EK54832"/>
    </row>
    <row r="54833" spans="1:141" s="116" customFormat="1">
      <c r="A54833" s="136"/>
      <c r="CM54833" s="111"/>
      <c r="CQ54833" s="111"/>
      <c r="EF54833"/>
      <c r="EG54833"/>
      <c r="EH54833"/>
      <c r="EI54833"/>
      <c r="EJ54833"/>
      <c r="EK54833"/>
    </row>
    <row r="54834" spans="1:141" s="116" customFormat="1">
      <c r="A54834" s="136"/>
      <c r="CM54834" s="111"/>
      <c r="CQ54834" s="111"/>
      <c r="EF54834"/>
      <c r="EG54834"/>
      <c r="EH54834"/>
      <c r="EI54834"/>
      <c r="EJ54834"/>
      <c r="EK54834"/>
    </row>
    <row r="54835" spans="1:141" s="116" customFormat="1">
      <c r="A54835" s="136"/>
      <c r="CM54835" s="111"/>
      <c r="CQ54835" s="111"/>
      <c r="EF54835"/>
      <c r="EG54835"/>
      <c r="EH54835"/>
      <c r="EI54835"/>
      <c r="EJ54835"/>
      <c r="EK54835"/>
    </row>
    <row r="54836" spans="1:141" s="116" customFormat="1">
      <c r="A54836" s="136"/>
      <c r="CM54836" s="111"/>
      <c r="CQ54836" s="111"/>
      <c r="EF54836"/>
      <c r="EG54836"/>
      <c r="EH54836"/>
      <c r="EI54836"/>
      <c r="EJ54836"/>
      <c r="EK54836"/>
    </row>
    <row r="54837" spans="1:141" s="116" customFormat="1">
      <c r="A54837" s="136"/>
      <c r="CM54837" s="111"/>
      <c r="CQ54837" s="111"/>
      <c r="EF54837"/>
      <c r="EG54837"/>
      <c r="EH54837"/>
      <c r="EI54837"/>
      <c r="EJ54837"/>
      <c r="EK54837"/>
    </row>
    <row r="54838" spans="1:141" s="116" customFormat="1">
      <c r="A54838" s="136"/>
      <c r="CM54838" s="111"/>
      <c r="CQ54838" s="111"/>
      <c r="EF54838"/>
      <c r="EG54838"/>
      <c r="EH54838"/>
      <c r="EI54838"/>
      <c r="EJ54838"/>
      <c r="EK54838"/>
    </row>
    <row r="54839" spans="1:141" s="116" customFormat="1">
      <c r="A54839" s="136"/>
      <c r="CM54839" s="111"/>
      <c r="CQ54839" s="111"/>
      <c r="EF54839"/>
      <c r="EG54839"/>
      <c r="EH54839"/>
      <c r="EI54839"/>
      <c r="EJ54839"/>
      <c r="EK54839"/>
    </row>
    <row r="54840" spans="1:141" s="116" customFormat="1">
      <c r="A54840" s="136"/>
      <c r="CM54840" s="111"/>
      <c r="CQ54840" s="111"/>
      <c r="EF54840"/>
      <c r="EG54840"/>
      <c r="EH54840"/>
      <c r="EI54840"/>
      <c r="EJ54840"/>
      <c r="EK54840"/>
    </row>
    <row r="54841" spans="1:141" s="116" customFormat="1">
      <c r="A54841" s="136"/>
      <c r="CM54841" s="111"/>
      <c r="CQ54841" s="111"/>
      <c r="EF54841"/>
      <c r="EG54841"/>
      <c r="EH54841"/>
      <c r="EI54841"/>
      <c r="EJ54841"/>
      <c r="EK54841"/>
    </row>
    <row r="54842" spans="1:141" s="116" customFormat="1">
      <c r="A54842" s="136"/>
      <c r="CM54842" s="111"/>
      <c r="CQ54842" s="111"/>
      <c r="EF54842"/>
      <c r="EG54842"/>
      <c r="EH54842"/>
      <c r="EI54842"/>
      <c r="EJ54842"/>
      <c r="EK54842"/>
    </row>
    <row r="54843" spans="1:141" s="116" customFormat="1">
      <c r="A54843" s="136"/>
      <c r="CM54843" s="111"/>
      <c r="CQ54843" s="111"/>
      <c r="EF54843"/>
      <c r="EG54843"/>
      <c r="EH54843"/>
      <c r="EI54843"/>
      <c r="EJ54843"/>
      <c r="EK54843"/>
    </row>
    <row r="54844" spans="1:141" s="116" customFormat="1">
      <c r="A54844" s="136"/>
      <c r="CM54844" s="111"/>
      <c r="CQ54844" s="111"/>
      <c r="EF54844"/>
      <c r="EG54844"/>
      <c r="EH54844"/>
      <c r="EI54844"/>
      <c r="EJ54844"/>
      <c r="EK54844"/>
    </row>
    <row r="54845" spans="1:141" s="116" customFormat="1">
      <c r="A54845" s="136"/>
      <c r="CM54845" s="111"/>
      <c r="CQ54845" s="111"/>
      <c r="EF54845"/>
      <c r="EG54845"/>
      <c r="EH54845"/>
      <c r="EI54845"/>
      <c r="EJ54845"/>
      <c r="EK54845"/>
    </row>
    <row r="54846" spans="1:141" s="116" customFormat="1">
      <c r="A54846" s="136"/>
      <c r="CM54846" s="111"/>
      <c r="CQ54846" s="111"/>
      <c r="EF54846"/>
      <c r="EG54846"/>
      <c r="EH54846"/>
      <c r="EI54846"/>
      <c r="EJ54846"/>
      <c r="EK54846"/>
    </row>
    <row r="54847" spans="1:141" s="116" customFormat="1">
      <c r="A54847" s="136"/>
      <c r="CM54847" s="111"/>
      <c r="CQ54847" s="111"/>
      <c r="EF54847"/>
      <c r="EG54847"/>
      <c r="EH54847"/>
      <c r="EI54847"/>
      <c r="EJ54847"/>
      <c r="EK54847"/>
    </row>
    <row r="54848" spans="1:141" s="116" customFormat="1">
      <c r="A54848" s="136"/>
      <c r="CM54848" s="111"/>
      <c r="CQ54848" s="111"/>
      <c r="EF54848"/>
      <c r="EG54848"/>
      <c r="EH54848"/>
      <c r="EI54848"/>
      <c r="EJ54848"/>
      <c r="EK54848"/>
    </row>
    <row r="54849" spans="1:141" s="116" customFormat="1">
      <c r="A54849" s="136"/>
      <c r="CM54849" s="111"/>
      <c r="CQ54849" s="111"/>
      <c r="EF54849"/>
      <c r="EG54849"/>
      <c r="EH54849"/>
      <c r="EI54849"/>
      <c r="EJ54849"/>
      <c r="EK54849"/>
    </row>
    <row r="54850" spans="1:141" s="116" customFormat="1">
      <c r="A54850" s="136"/>
      <c r="CM54850" s="111"/>
      <c r="CQ54850" s="111"/>
      <c r="EF54850"/>
      <c r="EG54850"/>
      <c r="EH54850"/>
      <c r="EI54850"/>
      <c r="EJ54850"/>
      <c r="EK54850"/>
    </row>
    <row r="54851" spans="1:141" s="116" customFormat="1">
      <c r="A54851" s="136"/>
      <c r="CM54851" s="111"/>
      <c r="CQ54851" s="111"/>
      <c r="EF54851"/>
      <c r="EG54851"/>
      <c r="EH54851"/>
      <c r="EI54851"/>
      <c r="EJ54851"/>
      <c r="EK54851"/>
    </row>
    <row r="54852" spans="1:141" s="116" customFormat="1">
      <c r="A54852" s="136"/>
      <c r="CM54852" s="111"/>
      <c r="CQ54852" s="111"/>
      <c r="EF54852"/>
      <c r="EG54852"/>
      <c r="EH54852"/>
      <c r="EI54852"/>
      <c r="EJ54852"/>
      <c r="EK54852"/>
    </row>
    <row r="54853" spans="1:141" s="116" customFormat="1">
      <c r="A54853" s="136"/>
      <c r="CM54853" s="111"/>
      <c r="CQ54853" s="111"/>
      <c r="EF54853"/>
      <c r="EG54853"/>
      <c r="EH54853"/>
      <c r="EI54853"/>
      <c r="EJ54853"/>
      <c r="EK54853"/>
    </row>
    <row r="54854" spans="1:141" s="116" customFormat="1">
      <c r="A54854" s="136"/>
      <c r="CM54854" s="111"/>
      <c r="CQ54854" s="111"/>
      <c r="EF54854"/>
      <c r="EG54854"/>
      <c r="EH54854"/>
      <c r="EI54854"/>
      <c r="EJ54854"/>
      <c r="EK54854"/>
    </row>
    <row r="54855" spans="1:141" s="116" customFormat="1">
      <c r="A54855" s="136"/>
      <c r="CM54855" s="111"/>
      <c r="CQ54855" s="111"/>
      <c r="EF54855"/>
      <c r="EG54855"/>
      <c r="EH54855"/>
      <c r="EI54855"/>
      <c r="EJ54855"/>
      <c r="EK54855"/>
    </row>
    <row r="54856" spans="1:141" s="116" customFormat="1">
      <c r="A54856" s="136"/>
      <c r="CM54856" s="111"/>
      <c r="CQ54856" s="111"/>
      <c r="EF54856"/>
      <c r="EG54856"/>
      <c r="EH54856"/>
      <c r="EI54856"/>
      <c r="EJ54856"/>
      <c r="EK54856"/>
    </row>
    <row r="54857" spans="1:141" s="116" customFormat="1">
      <c r="A54857" s="136"/>
      <c r="CM54857" s="111"/>
      <c r="CQ54857" s="111"/>
      <c r="EF54857"/>
      <c r="EG54857"/>
      <c r="EH54857"/>
      <c r="EI54857"/>
      <c r="EJ54857"/>
      <c r="EK54857"/>
    </row>
    <row r="54858" spans="1:141" s="116" customFormat="1">
      <c r="A54858" s="136"/>
      <c r="CM54858" s="111"/>
      <c r="CQ54858" s="111"/>
      <c r="EF54858"/>
      <c r="EG54858"/>
      <c r="EH54858"/>
      <c r="EI54858"/>
      <c r="EJ54858"/>
      <c r="EK54858"/>
    </row>
    <row r="54859" spans="1:141" s="116" customFormat="1">
      <c r="A54859" s="136"/>
      <c r="CM54859" s="111"/>
      <c r="CQ54859" s="111"/>
      <c r="EF54859"/>
      <c r="EG54859"/>
      <c r="EH54859"/>
      <c r="EI54859"/>
      <c r="EJ54859"/>
      <c r="EK54859"/>
    </row>
    <row r="54860" spans="1:141" s="116" customFormat="1">
      <c r="A54860" s="136"/>
      <c r="CM54860" s="111"/>
      <c r="CQ54860" s="111"/>
      <c r="EF54860"/>
      <c r="EG54860"/>
      <c r="EH54860"/>
      <c r="EI54860"/>
      <c r="EJ54860"/>
      <c r="EK54860"/>
    </row>
    <row r="54861" spans="1:141" s="116" customFormat="1">
      <c r="A54861" s="136"/>
      <c r="CM54861" s="111"/>
      <c r="CQ54861" s="111"/>
      <c r="EF54861"/>
      <c r="EG54861"/>
      <c r="EH54861"/>
      <c r="EI54861"/>
      <c r="EJ54861"/>
      <c r="EK54861"/>
    </row>
    <row r="54862" spans="1:141" s="116" customFormat="1">
      <c r="A54862" s="136"/>
      <c r="CM54862" s="111"/>
      <c r="CQ54862" s="111"/>
      <c r="EF54862"/>
      <c r="EG54862"/>
      <c r="EH54862"/>
      <c r="EI54862"/>
      <c r="EJ54862"/>
      <c r="EK54862"/>
    </row>
    <row r="54863" spans="1:141" s="116" customFormat="1">
      <c r="A54863" s="136"/>
      <c r="CM54863" s="111"/>
      <c r="CQ54863" s="111"/>
      <c r="EF54863"/>
      <c r="EG54863"/>
      <c r="EH54863"/>
      <c r="EI54863"/>
      <c r="EJ54863"/>
      <c r="EK54863"/>
    </row>
    <row r="54864" spans="1:141" s="116" customFormat="1">
      <c r="A54864" s="136"/>
      <c r="CM54864" s="111"/>
      <c r="CQ54864" s="111"/>
      <c r="EF54864"/>
      <c r="EG54864"/>
      <c r="EH54864"/>
      <c r="EI54864"/>
      <c r="EJ54864"/>
      <c r="EK54864"/>
    </row>
    <row r="54865" spans="1:141" s="116" customFormat="1">
      <c r="A54865" s="136"/>
      <c r="CM54865" s="111"/>
      <c r="CQ54865" s="111"/>
      <c r="EF54865"/>
      <c r="EG54865"/>
      <c r="EH54865"/>
      <c r="EI54865"/>
      <c r="EJ54865"/>
      <c r="EK54865"/>
    </row>
    <row r="54866" spans="1:141" s="116" customFormat="1">
      <c r="A54866" s="136"/>
      <c r="CM54866" s="111"/>
      <c r="CQ54866" s="111"/>
      <c r="EF54866"/>
      <c r="EG54866"/>
      <c r="EH54866"/>
      <c r="EI54866"/>
      <c r="EJ54866"/>
      <c r="EK54866"/>
    </row>
    <row r="54867" spans="1:141" s="116" customFormat="1">
      <c r="A54867" s="136"/>
      <c r="CM54867" s="111"/>
      <c r="CQ54867" s="111"/>
      <c r="EF54867"/>
      <c r="EG54867"/>
      <c r="EH54867"/>
      <c r="EI54867"/>
      <c r="EJ54867"/>
      <c r="EK54867"/>
    </row>
    <row r="54868" spans="1:141" s="116" customFormat="1">
      <c r="A54868" s="136"/>
      <c r="CM54868" s="111"/>
      <c r="CQ54868" s="111"/>
      <c r="EF54868"/>
      <c r="EG54868"/>
      <c r="EH54868"/>
      <c r="EI54868"/>
      <c r="EJ54868"/>
      <c r="EK54868"/>
    </row>
    <row r="54869" spans="1:141" s="116" customFormat="1">
      <c r="A54869" s="136"/>
      <c r="CM54869" s="111"/>
      <c r="CQ54869" s="111"/>
      <c r="EF54869"/>
      <c r="EG54869"/>
      <c r="EH54869"/>
      <c r="EI54869"/>
      <c r="EJ54869"/>
      <c r="EK54869"/>
    </row>
    <row r="54870" spans="1:141" s="116" customFormat="1">
      <c r="A54870" s="136"/>
      <c r="CM54870" s="111"/>
      <c r="CQ54870" s="111"/>
      <c r="EF54870"/>
      <c r="EG54870"/>
      <c r="EH54870"/>
      <c r="EI54870"/>
      <c r="EJ54870"/>
      <c r="EK54870"/>
    </row>
    <row r="54871" spans="1:141" s="116" customFormat="1">
      <c r="A54871" s="136"/>
      <c r="CM54871" s="111"/>
      <c r="CQ54871" s="111"/>
      <c r="EF54871"/>
      <c r="EG54871"/>
      <c r="EH54871"/>
      <c r="EI54871"/>
      <c r="EJ54871"/>
      <c r="EK54871"/>
    </row>
    <row r="54872" spans="1:141" s="116" customFormat="1">
      <c r="A54872" s="136"/>
      <c r="CM54872" s="111"/>
      <c r="CQ54872" s="111"/>
      <c r="EF54872"/>
      <c r="EG54872"/>
      <c r="EH54872"/>
      <c r="EI54872"/>
      <c r="EJ54872"/>
      <c r="EK54872"/>
    </row>
    <row r="54873" spans="1:141" s="116" customFormat="1">
      <c r="A54873" s="136"/>
      <c r="CM54873" s="111"/>
      <c r="CQ54873" s="111"/>
      <c r="EF54873"/>
      <c r="EG54873"/>
      <c r="EH54873"/>
      <c r="EI54873"/>
      <c r="EJ54873"/>
      <c r="EK54873"/>
    </row>
    <row r="54874" spans="1:141" s="116" customFormat="1">
      <c r="A54874" s="136"/>
      <c r="CM54874" s="111"/>
      <c r="CQ54874" s="111"/>
      <c r="EF54874"/>
      <c r="EG54874"/>
      <c r="EH54874"/>
      <c r="EI54874"/>
      <c r="EJ54874"/>
      <c r="EK54874"/>
    </row>
    <row r="54875" spans="1:141" s="116" customFormat="1">
      <c r="A54875" s="136"/>
      <c r="CM54875" s="111"/>
      <c r="CQ54875" s="111"/>
      <c r="EF54875"/>
      <c r="EG54875"/>
      <c r="EH54875"/>
      <c r="EI54875"/>
      <c r="EJ54875"/>
      <c r="EK54875"/>
    </row>
    <row r="54876" spans="1:141" s="116" customFormat="1">
      <c r="A54876" s="136"/>
      <c r="CM54876" s="111"/>
      <c r="CQ54876" s="111"/>
      <c r="EF54876"/>
      <c r="EG54876"/>
      <c r="EH54876"/>
      <c r="EI54876"/>
      <c r="EJ54876"/>
      <c r="EK54876"/>
    </row>
    <row r="54877" spans="1:141" s="116" customFormat="1">
      <c r="A54877" s="136"/>
      <c r="CM54877" s="111"/>
      <c r="CQ54877" s="111"/>
      <c r="EF54877"/>
      <c r="EG54877"/>
      <c r="EH54877"/>
      <c r="EI54877"/>
      <c r="EJ54877"/>
      <c r="EK54877"/>
    </row>
    <row r="54878" spans="1:141" s="116" customFormat="1">
      <c r="A54878" s="136"/>
      <c r="CM54878" s="111"/>
      <c r="CQ54878" s="111"/>
      <c r="EF54878"/>
      <c r="EG54878"/>
      <c r="EH54878"/>
      <c r="EI54878"/>
      <c r="EJ54878"/>
      <c r="EK54878"/>
    </row>
    <row r="54879" spans="1:141" s="116" customFormat="1">
      <c r="A54879" s="136"/>
      <c r="CM54879" s="111"/>
      <c r="CQ54879" s="111"/>
      <c r="EF54879"/>
      <c r="EG54879"/>
      <c r="EH54879"/>
      <c r="EI54879"/>
      <c r="EJ54879"/>
      <c r="EK54879"/>
    </row>
    <row r="54880" spans="1:141" s="116" customFormat="1">
      <c r="A54880" s="136"/>
      <c r="CM54880" s="111"/>
      <c r="CQ54880" s="111"/>
      <c r="EF54880"/>
      <c r="EG54880"/>
      <c r="EH54880"/>
      <c r="EI54880"/>
      <c r="EJ54880"/>
      <c r="EK54880"/>
    </row>
    <row r="54881" spans="1:141" s="116" customFormat="1">
      <c r="A54881" s="136"/>
      <c r="CM54881" s="111"/>
      <c r="CQ54881" s="111"/>
      <c r="EF54881"/>
      <c r="EG54881"/>
      <c r="EH54881"/>
      <c r="EI54881"/>
      <c r="EJ54881"/>
      <c r="EK54881"/>
    </row>
    <row r="54882" spans="1:141" s="116" customFormat="1">
      <c r="A54882" s="136"/>
      <c r="CM54882" s="111"/>
      <c r="CQ54882" s="111"/>
      <c r="EF54882"/>
      <c r="EG54882"/>
      <c r="EH54882"/>
      <c r="EI54882"/>
      <c r="EJ54882"/>
      <c r="EK54882"/>
    </row>
    <row r="54883" spans="1:141" s="116" customFormat="1">
      <c r="A54883" s="136"/>
      <c r="CM54883" s="111"/>
      <c r="CQ54883" s="111"/>
      <c r="EF54883"/>
      <c r="EG54883"/>
      <c r="EH54883"/>
      <c r="EI54883"/>
      <c r="EJ54883"/>
      <c r="EK54883"/>
    </row>
    <row r="54884" spans="1:141" s="116" customFormat="1">
      <c r="A54884" s="136"/>
      <c r="CM54884" s="111"/>
      <c r="CQ54884" s="111"/>
      <c r="EF54884"/>
      <c r="EG54884"/>
      <c r="EH54884"/>
      <c r="EI54884"/>
      <c r="EJ54884"/>
      <c r="EK54884"/>
    </row>
    <row r="54885" spans="1:141" s="116" customFormat="1">
      <c r="A54885" s="136"/>
      <c r="CM54885" s="111"/>
      <c r="CQ54885" s="111"/>
      <c r="EF54885"/>
      <c r="EG54885"/>
      <c r="EH54885"/>
      <c r="EI54885"/>
      <c r="EJ54885"/>
      <c r="EK54885"/>
    </row>
    <row r="54886" spans="1:141" s="116" customFormat="1">
      <c r="A54886" s="136"/>
      <c r="CM54886" s="111"/>
      <c r="CQ54886" s="111"/>
      <c r="EF54886"/>
      <c r="EG54886"/>
      <c r="EH54886"/>
      <c r="EI54886"/>
      <c r="EJ54886"/>
      <c r="EK54886"/>
    </row>
    <row r="54887" spans="1:141" s="116" customFormat="1">
      <c r="A54887" s="136"/>
      <c r="CM54887" s="111"/>
      <c r="CQ54887" s="111"/>
      <c r="EF54887"/>
      <c r="EG54887"/>
      <c r="EH54887"/>
      <c r="EI54887"/>
      <c r="EJ54887"/>
      <c r="EK54887"/>
    </row>
    <row r="54888" spans="1:141" s="116" customFormat="1">
      <c r="A54888" s="136"/>
      <c r="CM54888" s="111"/>
      <c r="CQ54888" s="111"/>
      <c r="EF54888"/>
      <c r="EG54888"/>
      <c r="EH54888"/>
      <c r="EI54888"/>
      <c r="EJ54888"/>
      <c r="EK54888"/>
    </row>
    <row r="54889" spans="1:141" s="116" customFormat="1">
      <c r="A54889" s="136"/>
      <c r="CM54889" s="111"/>
      <c r="CQ54889" s="111"/>
      <c r="EF54889"/>
      <c r="EG54889"/>
      <c r="EH54889"/>
      <c r="EI54889"/>
      <c r="EJ54889"/>
      <c r="EK54889"/>
    </row>
    <row r="54890" spans="1:141" s="116" customFormat="1">
      <c r="A54890" s="136"/>
      <c r="CM54890" s="111"/>
      <c r="CQ54890" s="111"/>
      <c r="EF54890"/>
      <c r="EG54890"/>
      <c r="EH54890"/>
      <c r="EI54890"/>
      <c r="EJ54890"/>
      <c r="EK54890"/>
    </row>
    <row r="54891" spans="1:141" s="116" customFormat="1">
      <c r="A54891" s="136"/>
      <c r="CM54891" s="111"/>
      <c r="CQ54891" s="111"/>
      <c r="EF54891"/>
      <c r="EG54891"/>
      <c r="EH54891"/>
      <c r="EI54891"/>
      <c r="EJ54891"/>
      <c r="EK54891"/>
    </row>
    <row r="54892" spans="1:141" s="116" customFormat="1">
      <c r="A54892" s="136"/>
      <c r="CM54892" s="111"/>
      <c r="CQ54892" s="111"/>
      <c r="EF54892"/>
      <c r="EG54892"/>
      <c r="EH54892"/>
      <c r="EI54892"/>
      <c r="EJ54892"/>
      <c r="EK54892"/>
    </row>
    <row r="54893" spans="1:141" s="116" customFormat="1">
      <c r="A54893" s="136"/>
      <c r="CM54893" s="111"/>
      <c r="CQ54893" s="111"/>
      <c r="EF54893"/>
      <c r="EG54893"/>
      <c r="EH54893"/>
      <c r="EI54893"/>
      <c r="EJ54893"/>
      <c r="EK54893"/>
    </row>
    <row r="54894" spans="1:141" s="116" customFormat="1">
      <c r="A54894" s="136"/>
      <c r="CM54894" s="111"/>
      <c r="CQ54894" s="111"/>
      <c r="EF54894"/>
      <c r="EG54894"/>
      <c r="EH54894"/>
      <c r="EI54894"/>
      <c r="EJ54894"/>
      <c r="EK54894"/>
    </row>
    <row r="54895" spans="1:141" s="116" customFormat="1">
      <c r="A54895" s="136"/>
      <c r="CM54895" s="111"/>
      <c r="CQ54895" s="111"/>
      <c r="EF54895"/>
      <c r="EG54895"/>
      <c r="EH54895"/>
      <c r="EI54895"/>
      <c r="EJ54895"/>
      <c r="EK54895"/>
    </row>
    <row r="54896" spans="1:141" s="116" customFormat="1">
      <c r="A54896" s="136"/>
      <c r="CM54896" s="111"/>
      <c r="CQ54896" s="111"/>
      <c r="EF54896"/>
      <c r="EG54896"/>
      <c r="EH54896"/>
      <c r="EI54896"/>
      <c r="EJ54896"/>
      <c r="EK54896"/>
    </row>
    <row r="54897" spans="1:141" s="116" customFormat="1">
      <c r="A54897" s="136"/>
      <c r="CM54897" s="111"/>
      <c r="CQ54897" s="111"/>
      <c r="EF54897"/>
      <c r="EG54897"/>
      <c r="EH54897"/>
      <c r="EI54897"/>
      <c r="EJ54897"/>
      <c r="EK54897"/>
    </row>
    <row r="54898" spans="1:141" s="116" customFormat="1">
      <c r="A54898" s="136"/>
      <c r="CM54898" s="111"/>
      <c r="CQ54898" s="111"/>
      <c r="EF54898"/>
      <c r="EG54898"/>
      <c r="EH54898"/>
      <c r="EI54898"/>
      <c r="EJ54898"/>
      <c r="EK54898"/>
    </row>
    <row r="54899" spans="1:141" s="116" customFormat="1">
      <c r="A54899" s="136"/>
      <c r="CM54899" s="111"/>
      <c r="CQ54899" s="111"/>
      <c r="EF54899"/>
      <c r="EG54899"/>
      <c r="EH54899"/>
      <c r="EI54899"/>
      <c r="EJ54899"/>
      <c r="EK54899"/>
    </row>
    <row r="54900" spans="1:141" s="116" customFormat="1">
      <c r="A54900" s="136"/>
      <c r="CM54900" s="111"/>
      <c r="CQ54900" s="111"/>
      <c r="EF54900"/>
      <c r="EG54900"/>
      <c r="EH54900"/>
      <c r="EI54900"/>
      <c r="EJ54900"/>
      <c r="EK54900"/>
    </row>
    <row r="54901" spans="1:141" s="116" customFormat="1">
      <c r="A54901" s="136"/>
      <c r="CM54901" s="111"/>
      <c r="CQ54901" s="111"/>
      <c r="EF54901"/>
      <c r="EG54901"/>
      <c r="EH54901"/>
      <c r="EI54901"/>
      <c r="EJ54901"/>
      <c r="EK54901"/>
    </row>
    <row r="54902" spans="1:141" s="116" customFormat="1">
      <c r="A54902" s="136"/>
      <c r="CM54902" s="111"/>
      <c r="CQ54902" s="111"/>
      <c r="EF54902"/>
      <c r="EG54902"/>
      <c r="EH54902"/>
      <c r="EI54902"/>
      <c r="EJ54902"/>
      <c r="EK54902"/>
    </row>
    <row r="54903" spans="1:141" s="116" customFormat="1">
      <c r="A54903" s="136"/>
      <c r="CM54903" s="111"/>
      <c r="CQ54903" s="111"/>
      <c r="EF54903"/>
      <c r="EG54903"/>
      <c r="EH54903"/>
      <c r="EI54903"/>
      <c r="EJ54903"/>
      <c r="EK54903"/>
    </row>
    <row r="54904" spans="1:141" s="116" customFormat="1">
      <c r="A54904" s="136"/>
      <c r="CM54904" s="111"/>
      <c r="CQ54904" s="111"/>
      <c r="EF54904"/>
      <c r="EG54904"/>
      <c r="EH54904"/>
      <c r="EI54904"/>
      <c r="EJ54904"/>
      <c r="EK54904"/>
    </row>
    <row r="54905" spans="1:141" s="116" customFormat="1">
      <c r="A54905" s="136"/>
      <c r="CM54905" s="111"/>
      <c r="CQ54905" s="111"/>
      <c r="EF54905"/>
      <c r="EG54905"/>
      <c r="EH54905"/>
      <c r="EI54905"/>
      <c r="EJ54905"/>
      <c r="EK54905"/>
    </row>
    <row r="54906" spans="1:141" s="116" customFormat="1">
      <c r="A54906" s="136"/>
      <c r="CM54906" s="111"/>
      <c r="CQ54906" s="111"/>
      <c r="EF54906"/>
      <c r="EG54906"/>
      <c r="EH54906"/>
      <c r="EI54906"/>
      <c r="EJ54906"/>
      <c r="EK54906"/>
    </row>
    <row r="54907" spans="1:141" s="116" customFormat="1">
      <c r="A54907" s="136"/>
      <c r="CM54907" s="111"/>
      <c r="CQ54907" s="111"/>
      <c r="EF54907"/>
      <c r="EG54907"/>
      <c r="EH54907"/>
      <c r="EI54907"/>
      <c r="EJ54907"/>
      <c r="EK54907"/>
    </row>
    <row r="54908" spans="1:141" s="116" customFormat="1">
      <c r="A54908" s="136"/>
      <c r="CM54908" s="111"/>
      <c r="CQ54908" s="111"/>
      <c r="EF54908"/>
      <c r="EG54908"/>
      <c r="EH54908"/>
      <c r="EI54908"/>
      <c r="EJ54908"/>
      <c r="EK54908"/>
    </row>
    <row r="54909" spans="1:141" s="116" customFormat="1">
      <c r="A54909" s="136"/>
      <c r="CM54909" s="111"/>
      <c r="CQ54909" s="111"/>
      <c r="EF54909"/>
      <c r="EG54909"/>
      <c r="EH54909"/>
      <c r="EI54909"/>
      <c r="EJ54909"/>
      <c r="EK54909"/>
    </row>
    <row r="54910" spans="1:141" s="116" customFormat="1">
      <c r="A54910" s="136"/>
      <c r="CM54910" s="111"/>
      <c r="CQ54910" s="111"/>
      <c r="EF54910"/>
      <c r="EG54910"/>
      <c r="EH54910"/>
      <c r="EI54910"/>
      <c r="EJ54910"/>
      <c r="EK54910"/>
    </row>
    <row r="54911" spans="1:141" s="116" customFormat="1">
      <c r="A54911" s="136"/>
      <c r="CM54911" s="111"/>
      <c r="CQ54911" s="111"/>
      <c r="EF54911"/>
      <c r="EG54911"/>
      <c r="EH54911"/>
      <c r="EI54911"/>
      <c r="EJ54911"/>
      <c r="EK54911"/>
    </row>
    <row r="54912" spans="1:141" s="116" customFormat="1">
      <c r="A54912" s="136"/>
      <c r="CM54912" s="111"/>
      <c r="CQ54912" s="111"/>
      <c r="EF54912"/>
      <c r="EG54912"/>
      <c r="EH54912"/>
      <c r="EI54912"/>
      <c r="EJ54912"/>
      <c r="EK54912"/>
    </row>
    <row r="54913" spans="1:141" s="116" customFormat="1">
      <c r="A54913" s="136"/>
      <c r="CM54913" s="111"/>
      <c r="CQ54913" s="111"/>
      <c r="EF54913"/>
      <c r="EG54913"/>
      <c r="EH54913"/>
      <c r="EI54913"/>
      <c r="EJ54913"/>
      <c r="EK54913"/>
    </row>
    <row r="54914" spans="1:141" s="116" customFormat="1">
      <c r="A54914" s="136"/>
      <c r="CM54914" s="111"/>
      <c r="CQ54914" s="111"/>
      <c r="EF54914"/>
      <c r="EG54914"/>
      <c r="EH54914"/>
      <c r="EI54914"/>
      <c r="EJ54914"/>
      <c r="EK54914"/>
    </row>
    <row r="54915" spans="1:141" s="116" customFormat="1">
      <c r="A54915" s="136"/>
      <c r="CM54915" s="111"/>
      <c r="CQ54915" s="111"/>
      <c r="EF54915"/>
      <c r="EG54915"/>
      <c r="EH54915"/>
      <c r="EI54915"/>
      <c r="EJ54915"/>
      <c r="EK54915"/>
    </row>
    <row r="54916" spans="1:141" s="116" customFormat="1">
      <c r="A54916" s="136"/>
      <c r="CM54916" s="111"/>
      <c r="CQ54916" s="111"/>
      <c r="EF54916"/>
      <c r="EG54916"/>
      <c r="EH54916"/>
      <c r="EI54916"/>
      <c r="EJ54916"/>
      <c r="EK54916"/>
    </row>
    <row r="54917" spans="1:141" s="116" customFormat="1">
      <c r="A54917" s="136"/>
      <c r="CM54917" s="111"/>
      <c r="CQ54917" s="111"/>
      <c r="EF54917"/>
      <c r="EG54917"/>
      <c r="EH54917"/>
      <c r="EI54917"/>
      <c r="EJ54917"/>
      <c r="EK54917"/>
    </row>
    <row r="54918" spans="1:141" s="116" customFormat="1">
      <c r="A54918" s="136"/>
      <c r="CM54918" s="111"/>
      <c r="CQ54918" s="111"/>
      <c r="EF54918"/>
      <c r="EG54918"/>
      <c r="EH54918"/>
      <c r="EI54918"/>
      <c r="EJ54918"/>
      <c r="EK54918"/>
    </row>
    <row r="54919" spans="1:141" s="116" customFormat="1">
      <c r="A54919" s="136"/>
      <c r="CM54919" s="111"/>
      <c r="CQ54919" s="111"/>
      <c r="EF54919"/>
      <c r="EG54919"/>
      <c r="EH54919"/>
      <c r="EI54919"/>
      <c r="EJ54919"/>
      <c r="EK54919"/>
    </row>
    <row r="54920" spans="1:141" s="116" customFormat="1">
      <c r="A54920" s="136"/>
      <c r="CM54920" s="111"/>
      <c r="CQ54920" s="111"/>
      <c r="EF54920"/>
      <c r="EG54920"/>
      <c r="EH54920"/>
      <c r="EI54920"/>
      <c r="EJ54920"/>
      <c r="EK54920"/>
    </row>
    <row r="54921" spans="1:141" s="116" customFormat="1">
      <c r="A54921" s="136"/>
      <c r="CM54921" s="111"/>
      <c r="CQ54921" s="111"/>
      <c r="EF54921"/>
      <c r="EG54921"/>
      <c r="EH54921"/>
      <c r="EI54921"/>
      <c r="EJ54921"/>
      <c r="EK54921"/>
    </row>
    <row r="54922" spans="1:141" s="116" customFormat="1">
      <c r="A54922" s="136"/>
      <c r="CM54922" s="111"/>
      <c r="CQ54922" s="111"/>
      <c r="EF54922"/>
      <c r="EG54922"/>
      <c r="EH54922"/>
      <c r="EI54922"/>
      <c r="EJ54922"/>
      <c r="EK54922"/>
    </row>
    <row r="54923" spans="1:141" s="116" customFormat="1">
      <c r="A54923" s="136"/>
      <c r="CM54923" s="111"/>
      <c r="CQ54923" s="111"/>
      <c r="EF54923"/>
      <c r="EG54923"/>
      <c r="EH54923"/>
      <c r="EI54923"/>
      <c r="EJ54923"/>
      <c r="EK54923"/>
    </row>
    <row r="54924" spans="1:141" s="116" customFormat="1">
      <c r="A54924" s="136"/>
      <c r="CM54924" s="111"/>
      <c r="CQ54924" s="111"/>
      <c r="EF54924"/>
      <c r="EG54924"/>
      <c r="EH54924"/>
      <c r="EI54924"/>
      <c r="EJ54924"/>
      <c r="EK54924"/>
    </row>
    <row r="54925" spans="1:141" s="116" customFormat="1">
      <c r="A54925" s="136"/>
      <c r="CM54925" s="111"/>
      <c r="CQ54925" s="111"/>
      <c r="EF54925"/>
      <c r="EG54925"/>
      <c r="EH54925"/>
      <c r="EI54925"/>
      <c r="EJ54925"/>
      <c r="EK54925"/>
    </row>
    <row r="54926" spans="1:141" s="116" customFormat="1">
      <c r="A54926" s="136"/>
      <c r="CM54926" s="111"/>
      <c r="CQ54926" s="111"/>
      <c r="EF54926"/>
      <c r="EG54926"/>
      <c r="EH54926"/>
      <c r="EI54926"/>
      <c r="EJ54926"/>
      <c r="EK54926"/>
    </row>
    <row r="54927" spans="1:141" s="116" customFormat="1">
      <c r="A54927" s="136"/>
      <c r="CM54927" s="111"/>
      <c r="CQ54927" s="111"/>
      <c r="EF54927"/>
      <c r="EG54927"/>
      <c r="EH54927"/>
      <c r="EI54927"/>
      <c r="EJ54927"/>
      <c r="EK54927"/>
    </row>
    <row r="54928" spans="1:141" s="116" customFormat="1">
      <c r="A54928" s="136"/>
      <c r="CM54928" s="111"/>
      <c r="CQ54928" s="111"/>
      <c r="EF54928"/>
      <c r="EG54928"/>
      <c r="EH54928"/>
      <c r="EI54928"/>
      <c r="EJ54928"/>
      <c r="EK54928"/>
    </row>
    <row r="54929" spans="1:141" s="116" customFormat="1">
      <c r="A54929" s="136"/>
      <c r="CM54929" s="111"/>
      <c r="CQ54929" s="111"/>
      <c r="EF54929"/>
      <c r="EG54929"/>
      <c r="EH54929"/>
      <c r="EI54929"/>
      <c r="EJ54929"/>
      <c r="EK54929"/>
    </row>
    <row r="54930" spans="1:141" s="116" customFormat="1">
      <c r="A54930" s="136"/>
      <c r="CM54930" s="111"/>
      <c r="CQ54930" s="111"/>
      <c r="EF54930"/>
      <c r="EG54930"/>
      <c r="EH54930"/>
      <c r="EI54930"/>
      <c r="EJ54930"/>
      <c r="EK54930"/>
    </row>
    <row r="54931" spans="1:141" s="116" customFormat="1">
      <c r="A54931" s="136"/>
      <c r="CM54931" s="111"/>
      <c r="CQ54931" s="111"/>
      <c r="EF54931"/>
      <c r="EG54931"/>
      <c r="EH54931"/>
      <c r="EI54931"/>
      <c r="EJ54931"/>
      <c r="EK54931"/>
    </row>
    <row r="54932" spans="1:141" s="116" customFormat="1">
      <c r="A54932" s="136"/>
      <c r="CM54932" s="111"/>
      <c r="CQ54932" s="111"/>
      <c r="EF54932"/>
      <c r="EG54932"/>
      <c r="EH54932"/>
      <c r="EI54932"/>
      <c r="EJ54932"/>
      <c r="EK54932"/>
    </row>
    <row r="54933" spans="1:141" s="116" customFormat="1">
      <c r="A54933" s="136"/>
      <c r="CM54933" s="111"/>
      <c r="CQ54933" s="111"/>
      <c r="EF54933"/>
      <c r="EG54933"/>
      <c r="EH54933"/>
      <c r="EI54933"/>
      <c r="EJ54933"/>
      <c r="EK54933"/>
    </row>
    <row r="54934" spans="1:141" s="116" customFormat="1">
      <c r="A54934" s="136"/>
      <c r="CM54934" s="111"/>
      <c r="CQ54934" s="111"/>
      <c r="EF54934"/>
      <c r="EG54934"/>
      <c r="EH54934"/>
      <c r="EI54934"/>
      <c r="EJ54934"/>
      <c r="EK54934"/>
    </row>
    <row r="54935" spans="1:141" s="116" customFormat="1">
      <c r="A54935" s="136"/>
      <c r="CM54935" s="111"/>
      <c r="CQ54935" s="111"/>
      <c r="EF54935"/>
      <c r="EG54935"/>
      <c r="EH54935"/>
      <c r="EI54935"/>
      <c r="EJ54935"/>
      <c r="EK54935"/>
    </row>
    <row r="54936" spans="1:141" s="116" customFormat="1">
      <c r="A54936" s="136"/>
      <c r="CM54936" s="111"/>
      <c r="CQ54936" s="111"/>
      <c r="EF54936"/>
      <c r="EG54936"/>
      <c r="EH54936"/>
      <c r="EI54936"/>
      <c r="EJ54936"/>
      <c r="EK54936"/>
    </row>
    <row r="54937" spans="1:141" s="116" customFormat="1">
      <c r="A54937" s="136"/>
      <c r="CM54937" s="111"/>
      <c r="CQ54937" s="111"/>
      <c r="EF54937"/>
      <c r="EG54937"/>
      <c r="EH54937"/>
      <c r="EI54937"/>
      <c r="EJ54937"/>
      <c r="EK54937"/>
    </row>
    <row r="54938" spans="1:141" s="116" customFormat="1">
      <c r="A54938" s="136"/>
      <c r="CM54938" s="111"/>
      <c r="CQ54938" s="111"/>
      <c r="EF54938"/>
      <c r="EG54938"/>
      <c r="EH54938"/>
      <c r="EI54938"/>
      <c r="EJ54938"/>
      <c r="EK54938"/>
    </row>
    <row r="54939" spans="1:141" s="116" customFormat="1">
      <c r="A54939" s="136"/>
      <c r="CM54939" s="111"/>
      <c r="CQ54939" s="111"/>
      <c r="EF54939"/>
      <c r="EG54939"/>
      <c r="EH54939"/>
      <c r="EI54939"/>
      <c r="EJ54939"/>
      <c r="EK54939"/>
    </row>
    <row r="54940" spans="1:141" s="116" customFormat="1">
      <c r="A54940" s="136"/>
      <c r="CM54940" s="111"/>
      <c r="CQ54940" s="111"/>
      <c r="EF54940"/>
      <c r="EG54940"/>
      <c r="EH54940"/>
      <c r="EI54940"/>
      <c r="EJ54940"/>
      <c r="EK54940"/>
    </row>
    <row r="54941" spans="1:141" s="116" customFormat="1">
      <c r="A54941" s="136"/>
      <c r="CM54941" s="111"/>
      <c r="CQ54941" s="111"/>
      <c r="EF54941"/>
      <c r="EG54941"/>
      <c r="EH54941"/>
      <c r="EI54941"/>
      <c r="EJ54941"/>
      <c r="EK54941"/>
    </row>
    <row r="54942" spans="1:141" s="116" customFormat="1">
      <c r="A54942" s="136"/>
      <c r="CM54942" s="111"/>
      <c r="CQ54942" s="111"/>
      <c r="EF54942"/>
      <c r="EG54942"/>
      <c r="EH54942"/>
      <c r="EI54942"/>
      <c r="EJ54942"/>
      <c r="EK54942"/>
    </row>
    <row r="54943" spans="1:141" s="116" customFormat="1">
      <c r="A54943" s="136"/>
      <c r="CM54943" s="111"/>
      <c r="CQ54943" s="111"/>
      <c r="EF54943"/>
      <c r="EG54943"/>
      <c r="EH54943"/>
      <c r="EI54943"/>
      <c r="EJ54943"/>
      <c r="EK54943"/>
    </row>
    <row r="54944" spans="1:141" s="116" customFormat="1">
      <c r="A54944" s="136"/>
      <c r="CM54944" s="111"/>
      <c r="CQ54944" s="111"/>
      <c r="EF54944"/>
      <c r="EG54944"/>
      <c r="EH54944"/>
      <c r="EI54944"/>
      <c r="EJ54944"/>
      <c r="EK54944"/>
    </row>
    <row r="54945" spans="1:141" s="116" customFormat="1">
      <c r="A54945" s="136"/>
      <c r="CM54945" s="111"/>
      <c r="CQ54945" s="111"/>
      <c r="EF54945"/>
      <c r="EG54945"/>
      <c r="EH54945"/>
      <c r="EI54945"/>
      <c r="EJ54945"/>
      <c r="EK54945"/>
    </row>
    <row r="54946" spans="1:141" s="116" customFormat="1">
      <c r="A54946" s="136"/>
      <c r="CM54946" s="111"/>
      <c r="CQ54946" s="111"/>
      <c r="EF54946"/>
      <c r="EG54946"/>
      <c r="EH54946"/>
      <c r="EI54946"/>
      <c r="EJ54946"/>
      <c r="EK54946"/>
    </row>
    <row r="54947" spans="1:141" s="116" customFormat="1">
      <c r="A54947" s="136"/>
      <c r="CM54947" s="111"/>
      <c r="CQ54947" s="111"/>
      <c r="EF54947"/>
      <c r="EG54947"/>
      <c r="EH54947"/>
      <c r="EI54947"/>
      <c r="EJ54947"/>
      <c r="EK54947"/>
    </row>
    <row r="54948" spans="1:141" s="116" customFormat="1">
      <c r="A54948" s="136"/>
      <c r="CM54948" s="111"/>
      <c r="CQ54948" s="111"/>
      <c r="EF54948"/>
      <c r="EG54948"/>
      <c r="EH54948"/>
      <c r="EI54948"/>
      <c r="EJ54948"/>
      <c r="EK54948"/>
    </row>
    <row r="54949" spans="1:141" s="116" customFormat="1">
      <c r="A54949" s="136"/>
      <c r="CM54949" s="111"/>
      <c r="CQ54949" s="111"/>
      <c r="EF54949"/>
      <c r="EG54949"/>
      <c r="EH54949"/>
      <c r="EI54949"/>
      <c r="EJ54949"/>
      <c r="EK54949"/>
    </row>
    <row r="54950" spans="1:141" s="116" customFormat="1">
      <c r="A54950" s="136"/>
      <c r="CM54950" s="111"/>
      <c r="CQ54950" s="111"/>
      <c r="EF54950"/>
      <c r="EG54950"/>
      <c r="EH54950"/>
      <c r="EI54950"/>
      <c r="EJ54950"/>
      <c r="EK54950"/>
    </row>
    <row r="54951" spans="1:141" s="116" customFormat="1">
      <c r="A54951" s="136"/>
      <c r="CM54951" s="111"/>
      <c r="CQ54951" s="111"/>
      <c r="EF54951"/>
      <c r="EG54951"/>
      <c r="EH54951"/>
      <c r="EI54951"/>
      <c r="EJ54951"/>
      <c r="EK54951"/>
    </row>
    <row r="54952" spans="1:141" s="116" customFormat="1">
      <c r="A54952" s="136"/>
      <c r="CM54952" s="111"/>
      <c r="CQ54952" s="111"/>
      <c r="EF54952"/>
      <c r="EG54952"/>
      <c r="EH54952"/>
      <c r="EI54952"/>
      <c r="EJ54952"/>
      <c r="EK54952"/>
    </row>
    <row r="54953" spans="1:141" s="116" customFormat="1">
      <c r="A54953" s="136"/>
      <c r="CM54953" s="111"/>
      <c r="CQ54953" s="111"/>
      <c r="EF54953"/>
      <c r="EG54953"/>
      <c r="EH54953"/>
      <c r="EI54953"/>
      <c r="EJ54953"/>
      <c r="EK54953"/>
    </row>
    <row r="54954" spans="1:141" s="116" customFormat="1">
      <c r="A54954" s="136"/>
      <c r="CM54954" s="111"/>
      <c r="CQ54954" s="111"/>
      <c r="EF54954"/>
      <c r="EG54954"/>
      <c r="EH54954"/>
      <c r="EI54954"/>
      <c r="EJ54954"/>
      <c r="EK54954"/>
    </row>
    <row r="54955" spans="1:141" s="116" customFormat="1">
      <c r="A54955" s="136"/>
      <c r="CM54955" s="111"/>
      <c r="CQ54955" s="111"/>
      <c r="EF54955"/>
      <c r="EG54955"/>
      <c r="EH54955"/>
      <c r="EI54955"/>
      <c r="EJ54955"/>
      <c r="EK54955"/>
    </row>
    <row r="54956" spans="1:141" s="116" customFormat="1">
      <c r="A54956" s="136"/>
      <c r="CM54956" s="111"/>
      <c r="CQ54956" s="111"/>
      <c r="EF54956"/>
      <c r="EG54956"/>
      <c r="EH54956"/>
      <c r="EI54956"/>
      <c r="EJ54956"/>
      <c r="EK54956"/>
    </row>
    <row r="54957" spans="1:141" s="116" customFormat="1">
      <c r="A54957" s="136"/>
      <c r="CM54957" s="111"/>
      <c r="CQ54957" s="111"/>
      <c r="EF54957"/>
      <c r="EG54957"/>
      <c r="EH54957"/>
      <c r="EI54957"/>
      <c r="EJ54957"/>
      <c r="EK54957"/>
    </row>
    <row r="54958" spans="1:141" s="116" customFormat="1">
      <c r="A54958" s="136"/>
      <c r="CM54958" s="111"/>
      <c r="CQ54958" s="111"/>
      <c r="EF54958"/>
      <c r="EG54958"/>
      <c r="EH54958"/>
      <c r="EI54958"/>
      <c r="EJ54958"/>
      <c r="EK54958"/>
    </row>
    <row r="54959" spans="1:141" s="116" customFormat="1">
      <c r="A54959" s="136"/>
      <c r="CM54959" s="111"/>
      <c r="CQ54959" s="111"/>
      <c r="EF54959"/>
      <c r="EG54959"/>
      <c r="EH54959"/>
      <c r="EI54959"/>
      <c r="EJ54959"/>
      <c r="EK54959"/>
    </row>
    <row r="54960" spans="1:141" s="116" customFormat="1">
      <c r="A54960" s="136"/>
      <c r="CM54960" s="111"/>
      <c r="CQ54960" s="111"/>
      <c r="EF54960"/>
      <c r="EG54960"/>
      <c r="EH54960"/>
      <c r="EI54960"/>
      <c r="EJ54960"/>
      <c r="EK54960"/>
    </row>
    <row r="54961" spans="1:141" s="116" customFormat="1">
      <c r="A54961" s="136"/>
      <c r="CM54961" s="111"/>
      <c r="CQ54961" s="111"/>
      <c r="EF54961"/>
      <c r="EG54961"/>
      <c r="EH54961"/>
      <c r="EI54961"/>
      <c r="EJ54961"/>
      <c r="EK54961"/>
    </row>
    <row r="54962" spans="1:141" s="116" customFormat="1">
      <c r="A54962" s="136"/>
      <c r="CM54962" s="111"/>
      <c r="CQ54962" s="111"/>
      <c r="EF54962"/>
      <c r="EG54962"/>
      <c r="EH54962"/>
      <c r="EI54962"/>
      <c r="EJ54962"/>
      <c r="EK54962"/>
    </row>
    <row r="54963" spans="1:141" s="116" customFormat="1">
      <c r="A54963" s="136"/>
      <c r="CM54963" s="111"/>
      <c r="CQ54963" s="111"/>
      <c r="EF54963"/>
      <c r="EG54963"/>
      <c r="EH54963"/>
      <c r="EI54963"/>
      <c r="EJ54963"/>
      <c r="EK54963"/>
    </row>
    <row r="54964" spans="1:141" s="116" customFormat="1">
      <c r="A54964" s="136"/>
      <c r="CM54964" s="111"/>
      <c r="CQ54964" s="111"/>
      <c r="EF54964"/>
      <c r="EG54964"/>
      <c r="EH54964"/>
      <c r="EI54964"/>
      <c r="EJ54964"/>
      <c r="EK54964"/>
    </row>
    <row r="54965" spans="1:141" s="116" customFormat="1">
      <c r="A54965" s="136"/>
      <c r="CM54965" s="111"/>
      <c r="CQ54965" s="111"/>
      <c r="EF54965"/>
      <c r="EG54965"/>
      <c r="EH54965"/>
      <c r="EI54965"/>
      <c r="EJ54965"/>
      <c r="EK54965"/>
    </row>
    <row r="54966" spans="1:141" s="116" customFormat="1">
      <c r="A54966" s="136"/>
      <c r="CM54966" s="111"/>
      <c r="CQ54966" s="111"/>
      <c r="EF54966"/>
      <c r="EG54966"/>
      <c r="EH54966"/>
      <c r="EI54966"/>
      <c r="EJ54966"/>
      <c r="EK54966"/>
    </row>
    <row r="54967" spans="1:141" s="116" customFormat="1">
      <c r="A54967" s="136"/>
      <c r="CM54967" s="111"/>
      <c r="CQ54967" s="111"/>
      <c r="EF54967"/>
      <c r="EG54967"/>
      <c r="EH54967"/>
      <c r="EI54967"/>
      <c r="EJ54967"/>
      <c r="EK54967"/>
    </row>
    <row r="54968" spans="1:141" s="116" customFormat="1">
      <c r="A54968" s="136"/>
      <c r="CM54968" s="111"/>
      <c r="CQ54968" s="111"/>
      <c r="EF54968"/>
      <c r="EG54968"/>
      <c r="EH54968"/>
      <c r="EI54968"/>
      <c r="EJ54968"/>
      <c r="EK54968"/>
    </row>
    <row r="54969" spans="1:141" s="116" customFormat="1">
      <c r="A54969" s="136"/>
      <c r="CM54969" s="111"/>
      <c r="CQ54969" s="111"/>
      <c r="EF54969"/>
      <c r="EG54969"/>
      <c r="EH54969"/>
      <c r="EI54969"/>
      <c r="EJ54969"/>
      <c r="EK54969"/>
    </row>
    <row r="54970" spans="1:141" s="116" customFormat="1">
      <c r="A54970" s="136"/>
      <c r="CM54970" s="111"/>
      <c r="CQ54970" s="111"/>
      <c r="EF54970"/>
      <c r="EG54970"/>
      <c r="EH54970"/>
      <c r="EI54970"/>
      <c r="EJ54970"/>
      <c r="EK54970"/>
    </row>
    <row r="54971" spans="1:141" s="116" customFormat="1">
      <c r="A54971" s="136"/>
      <c r="CM54971" s="111"/>
      <c r="CQ54971" s="111"/>
      <c r="EF54971"/>
      <c r="EG54971"/>
      <c r="EH54971"/>
      <c r="EI54971"/>
      <c r="EJ54971"/>
      <c r="EK54971"/>
    </row>
    <row r="54972" spans="1:141" s="116" customFormat="1">
      <c r="A54972" s="136"/>
      <c r="CM54972" s="111"/>
      <c r="CQ54972" s="111"/>
      <c r="EF54972"/>
      <c r="EG54972"/>
      <c r="EH54972"/>
      <c r="EI54972"/>
      <c r="EJ54972"/>
      <c r="EK54972"/>
    </row>
    <row r="54973" spans="1:141" s="116" customFormat="1">
      <c r="A54973" s="136"/>
      <c r="CM54973" s="111"/>
      <c r="CQ54973" s="111"/>
      <c r="EF54973"/>
      <c r="EG54973"/>
      <c r="EH54973"/>
      <c r="EI54973"/>
      <c r="EJ54973"/>
      <c r="EK54973"/>
    </row>
    <row r="54974" spans="1:141" s="116" customFormat="1">
      <c r="A54974" s="136"/>
      <c r="CM54974" s="111"/>
      <c r="CQ54974" s="111"/>
      <c r="EF54974"/>
      <c r="EG54974"/>
      <c r="EH54974"/>
      <c r="EI54974"/>
      <c r="EJ54974"/>
      <c r="EK54974"/>
    </row>
    <row r="54975" spans="1:141" s="116" customFormat="1">
      <c r="A54975" s="136"/>
      <c r="CM54975" s="111"/>
      <c r="CQ54975" s="111"/>
      <c r="EF54975"/>
      <c r="EG54975"/>
      <c r="EH54975"/>
      <c r="EI54975"/>
      <c r="EJ54975"/>
      <c r="EK54975"/>
    </row>
    <row r="54976" spans="1:141" s="116" customFormat="1">
      <c r="A54976" s="136"/>
      <c r="CM54976" s="111"/>
      <c r="CQ54976" s="111"/>
      <c r="EF54976"/>
      <c r="EG54976"/>
      <c r="EH54976"/>
      <c r="EI54976"/>
      <c r="EJ54976"/>
      <c r="EK54976"/>
    </row>
    <row r="54977" spans="1:141" s="116" customFormat="1">
      <c r="A54977" s="136"/>
      <c r="CM54977" s="111"/>
      <c r="CQ54977" s="111"/>
      <c r="EF54977"/>
      <c r="EG54977"/>
      <c r="EH54977"/>
      <c r="EI54977"/>
      <c r="EJ54977"/>
      <c r="EK54977"/>
    </row>
    <row r="54978" spans="1:141" s="116" customFormat="1">
      <c r="A54978" s="136"/>
      <c r="CM54978" s="111"/>
      <c r="CQ54978" s="111"/>
      <c r="EF54978"/>
      <c r="EG54978"/>
      <c r="EH54978"/>
      <c r="EI54978"/>
      <c r="EJ54978"/>
      <c r="EK54978"/>
    </row>
    <row r="54979" spans="1:141" s="116" customFormat="1">
      <c r="A54979" s="136"/>
      <c r="CM54979" s="111"/>
      <c r="CQ54979" s="111"/>
      <c r="EF54979"/>
      <c r="EG54979"/>
      <c r="EH54979"/>
      <c r="EI54979"/>
      <c r="EJ54979"/>
      <c r="EK54979"/>
    </row>
    <row r="54980" spans="1:141" s="116" customFormat="1">
      <c r="A54980" s="136"/>
      <c r="CM54980" s="111"/>
      <c r="CQ54980" s="111"/>
      <c r="EF54980"/>
      <c r="EG54980"/>
      <c r="EH54980"/>
      <c r="EI54980"/>
      <c r="EJ54980"/>
      <c r="EK54980"/>
    </row>
    <row r="54981" spans="1:141" s="116" customFormat="1">
      <c r="A54981" s="136"/>
      <c r="CM54981" s="111"/>
      <c r="CQ54981" s="111"/>
      <c r="EF54981"/>
      <c r="EG54981"/>
      <c r="EH54981"/>
      <c r="EI54981"/>
      <c r="EJ54981"/>
      <c r="EK54981"/>
    </row>
    <row r="54982" spans="1:141" s="116" customFormat="1">
      <c r="A54982" s="136"/>
      <c r="CM54982" s="111"/>
      <c r="CQ54982" s="111"/>
      <c r="EF54982"/>
      <c r="EG54982"/>
      <c r="EH54982"/>
      <c r="EI54982"/>
      <c r="EJ54982"/>
      <c r="EK54982"/>
    </row>
    <row r="54983" spans="1:141" s="116" customFormat="1">
      <c r="A54983" s="136"/>
      <c r="CM54983" s="111"/>
      <c r="CQ54983" s="111"/>
      <c r="EF54983"/>
      <c r="EG54983"/>
      <c r="EH54983"/>
      <c r="EI54983"/>
      <c r="EJ54983"/>
      <c r="EK54983"/>
    </row>
    <row r="54984" spans="1:141" s="116" customFormat="1">
      <c r="A54984" s="136"/>
      <c r="CM54984" s="111"/>
      <c r="CQ54984" s="111"/>
      <c r="EF54984"/>
      <c r="EG54984"/>
      <c r="EH54984"/>
      <c r="EI54984"/>
      <c r="EJ54984"/>
      <c r="EK54984"/>
    </row>
    <row r="54985" spans="1:141" s="116" customFormat="1">
      <c r="A54985" s="136"/>
      <c r="CM54985" s="111"/>
      <c r="CQ54985" s="111"/>
      <c r="EF54985"/>
      <c r="EG54985"/>
      <c r="EH54985"/>
      <c r="EI54985"/>
      <c r="EJ54985"/>
      <c r="EK54985"/>
    </row>
    <row r="54986" spans="1:141" s="116" customFormat="1">
      <c r="A54986" s="136"/>
      <c r="CM54986" s="111"/>
      <c r="CQ54986" s="111"/>
      <c r="EF54986"/>
      <c r="EG54986"/>
      <c r="EH54986"/>
      <c r="EI54986"/>
      <c r="EJ54986"/>
      <c r="EK54986"/>
    </row>
    <row r="54987" spans="1:141" s="116" customFormat="1">
      <c r="A54987" s="136"/>
      <c r="CM54987" s="111"/>
      <c r="CQ54987" s="111"/>
      <c r="EF54987"/>
      <c r="EG54987"/>
      <c r="EH54987"/>
      <c r="EI54987"/>
      <c r="EJ54987"/>
      <c r="EK54987"/>
    </row>
    <row r="54988" spans="1:141" s="116" customFormat="1">
      <c r="A54988" s="136"/>
      <c r="CM54988" s="111"/>
      <c r="CQ54988" s="111"/>
      <c r="EF54988"/>
      <c r="EG54988"/>
      <c r="EH54988"/>
      <c r="EI54988"/>
      <c r="EJ54988"/>
      <c r="EK54988"/>
    </row>
    <row r="54989" spans="1:141" s="116" customFormat="1">
      <c r="A54989" s="136"/>
      <c r="CM54989" s="111"/>
      <c r="CQ54989" s="111"/>
      <c r="EF54989"/>
      <c r="EG54989"/>
      <c r="EH54989"/>
      <c r="EI54989"/>
      <c r="EJ54989"/>
      <c r="EK54989"/>
    </row>
    <row r="54990" spans="1:141" s="116" customFormat="1">
      <c r="A54990" s="136"/>
      <c r="CM54990" s="111"/>
      <c r="CQ54990" s="111"/>
      <c r="EF54990"/>
      <c r="EG54990"/>
      <c r="EH54990"/>
      <c r="EI54990"/>
      <c r="EJ54990"/>
      <c r="EK54990"/>
    </row>
    <row r="54991" spans="1:141" s="116" customFormat="1">
      <c r="A54991" s="136"/>
      <c r="CM54991" s="111"/>
      <c r="CQ54991" s="111"/>
      <c r="EF54991"/>
      <c r="EG54991"/>
      <c r="EH54991"/>
      <c r="EI54991"/>
      <c r="EJ54991"/>
      <c r="EK54991"/>
    </row>
    <row r="54992" spans="1:141" s="116" customFormat="1">
      <c r="A54992" s="136"/>
      <c r="CM54992" s="111"/>
      <c r="CQ54992" s="111"/>
      <c r="EF54992"/>
      <c r="EG54992"/>
      <c r="EH54992"/>
      <c r="EI54992"/>
      <c r="EJ54992"/>
      <c r="EK54992"/>
    </row>
    <row r="54993" spans="1:141" s="116" customFormat="1">
      <c r="A54993" s="136"/>
      <c r="CM54993" s="111"/>
      <c r="CQ54993" s="111"/>
      <c r="EF54993"/>
      <c r="EG54993"/>
      <c r="EH54993"/>
      <c r="EI54993"/>
      <c r="EJ54993"/>
      <c r="EK54993"/>
    </row>
    <row r="54994" spans="1:141" s="116" customFormat="1">
      <c r="A54994" s="136"/>
      <c r="CM54994" s="111"/>
      <c r="CQ54994" s="111"/>
      <c r="EF54994"/>
      <c r="EG54994"/>
      <c r="EH54994"/>
      <c r="EI54994"/>
      <c r="EJ54994"/>
      <c r="EK54994"/>
    </row>
    <row r="54995" spans="1:141" s="116" customFormat="1">
      <c r="A54995" s="136"/>
      <c r="CM54995" s="111"/>
      <c r="CQ54995" s="111"/>
      <c r="EF54995"/>
      <c r="EG54995"/>
      <c r="EH54995"/>
      <c r="EI54995"/>
      <c r="EJ54995"/>
      <c r="EK54995"/>
    </row>
    <row r="54996" spans="1:141" s="116" customFormat="1">
      <c r="A54996" s="136"/>
      <c r="CM54996" s="111"/>
      <c r="CQ54996" s="111"/>
      <c r="EF54996"/>
      <c r="EG54996"/>
      <c r="EH54996"/>
      <c r="EI54996"/>
      <c r="EJ54996"/>
      <c r="EK54996"/>
    </row>
    <row r="54997" spans="1:141" s="116" customFormat="1">
      <c r="A54997" s="136"/>
      <c r="CM54997" s="111"/>
      <c r="CQ54997" s="111"/>
      <c r="EF54997"/>
      <c r="EG54997"/>
      <c r="EH54997"/>
      <c r="EI54997"/>
      <c r="EJ54997"/>
      <c r="EK54997"/>
    </row>
    <row r="54998" spans="1:141" s="116" customFormat="1">
      <c r="A54998" s="136"/>
      <c r="CM54998" s="111"/>
      <c r="CQ54998" s="111"/>
      <c r="EF54998"/>
      <c r="EG54998"/>
      <c r="EH54998"/>
      <c r="EI54998"/>
      <c r="EJ54998"/>
      <c r="EK54998"/>
    </row>
    <row r="54999" spans="1:141" s="116" customFormat="1">
      <c r="A54999" s="136"/>
      <c r="CM54999" s="111"/>
      <c r="CQ54999" s="111"/>
      <c r="EF54999"/>
      <c r="EG54999"/>
      <c r="EH54999"/>
      <c r="EI54999"/>
      <c r="EJ54999"/>
      <c r="EK54999"/>
    </row>
    <row r="55000" spans="1:141" s="116" customFormat="1">
      <c r="A55000" s="136"/>
      <c r="CM55000" s="111"/>
      <c r="CQ55000" s="111"/>
      <c r="EF55000"/>
      <c r="EG55000"/>
      <c r="EH55000"/>
      <c r="EI55000"/>
      <c r="EJ55000"/>
      <c r="EK55000"/>
    </row>
    <row r="55001" spans="1:141" s="116" customFormat="1">
      <c r="A55001" s="136"/>
      <c r="CM55001" s="111"/>
      <c r="CQ55001" s="111"/>
      <c r="EF55001"/>
      <c r="EG55001"/>
      <c r="EH55001"/>
      <c r="EI55001"/>
      <c r="EJ55001"/>
      <c r="EK55001"/>
    </row>
    <row r="55002" spans="1:141" s="116" customFormat="1">
      <c r="A55002" s="136"/>
      <c r="CM55002" s="111"/>
      <c r="CQ55002" s="111"/>
      <c r="EF55002"/>
      <c r="EG55002"/>
      <c r="EH55002"/>
      <c r="EI55002"/>
      <c r="EJ55002"/>
      <c r="EK55002"/>
    </row>
    <row r="55003" spans="1:141" s="116" customFormat="1">
      <c r="A55003" s="136"/>
      <c r="CM55003" s="111"/>
      <c r="CQ55003" s="111"/>
      <c r="EF55003"/>
      <c r="EG55003"/>
      <c r="EH55003"/>
      <c r="EI55003"/>
      <c r="EJ55003"/>
      <c r="EK55003"/>
    </row>
    <row r="55004" spans="1:141" s="116" customFormat="1">
      <c r="A55004" s="136"/>
      <c r="CM55004" s="111"/>
      <c r="CQ55004" s="111"/>
      <c r="EF55004"/>
      <c r="EG55004"/>
      <c r="EH55004"/>
      <c r="EI55004"/>
      <c r="EJ55004"/>
      <c r="EK55004"/>
    </row>
    <row r="55005" spans="1:141" s="116" customFormat="1">
      <c r="A55005" s="136"/>
      <c r="CM55005" s="111"/>
      <c r="CQ55005" s="111"/>
      <c r="EF55005"/>
      <c r="EG55005"/>
      <c r="EH55005"/>
      <c r="EI55005"/>
      <c r="EJ55005"/>
      <c r="EK55005"/>
    </row>
    <row r="55006" spans="1:141" s="116" customFormat="1">
      <c r="A55006" s="136"/>
      <c r="CM55006" s="111"/>
      <c r="CQ55006" s="111"/>
      <c r="EF55006"/>
      <c r="EG55006"/>
      <c r="EH55006"/>
      <c r="EI55006"/>
      <c r="EJ55006"/>
      <c r="EK55006"/>
    </row>
    <row r="55007" spans="1:141" s="116" customFormat="1">
      <c r="A55007" s="136"/>
      <c r="CM55007" s="111"/>
      <c r="CQ55007" s="111"/>
      <c r="EF55007"/>
      <c r="EG55007"/>
      <c r="EH55007"/>
      <c r="EI55007"/>
      <c r="EJ55007"/>
      <c r="EK55007"/>
    </row>
    <row r="55008" spans="1:141" s="116" customFormat="1">
      <c r="A55008" s="136"/>
      <c r="CM55008" s="111"/>
      <c r="CQ55008" s="111"/>
      <c r="EF55008"/>
      <c r="EG55008"/>
      <c r="EH55008"/>
      <c r="EI55008"/>
      <c r="EJ55008"/>
      <c r="EK55008"/>
    </row>
    <row r="55009" spans="1:141" s="116" customFormat="1">
      <c r="A55009" s="136"/>
      <c r="CM55009" s="111"/>
      <c r="CQ55009" s="111"/>
      <c r="EF55009"/>
      <c r="EG55009"/>
      <c r="EH55009"/>
      <c r="EI55009"/>
      <c r="EJ55009"/>
      <c r="EK55009"/>
    </row>
    <row r="55010" spans="1:141" s="116" customFormat="1">
      <c r="A55010" s="136"/>
      <c r="CM55010" s="111"/>
      <c r="CQ55010" s="111"/>
      <c r="EF55010"/>
      <c r="EG55010"/>
      <c r="EH55010"/>
      <c r="EI55010"/>
      <c r="EJ55010"/>
      <c r="EK55010"/>
    </row>
    <row r="55011" spans="1:141" s="116" customFormat="1">
      <c r="A55011" s="136"/>
      <c r="CM55011" s="111"/>
      <c r="CQ55011" s="111"/>
      <c r="EF55011"/>
      <c r="EG55011"/>
      <c r="EH55011"/>
      <c r="EI55011"/>
      <c r="EJ55011"/>
      <c r="EK55011"/>
    </row>
    <row r="55012" spans="1:141" s="116" customFormat="1">
      <c r="A55012" s="136"/>
      <c r="CM55012" s="111"/>
      <c r="CQ55012" s="111"/>
      <c r="EF55012"/>
      <c r="EG55012"/>
      <c r="EH55012"/>
      <c r="EI55012"/>
      <c r="EJ55012"/>
      <c r="EK55012"/>
    </row>
    <row r="55013" spans="1:141" s="116" customFormat="1">
      <c r="A55013" s="136"/>
      <c r="CM55013" s="111"/>
      <c r="CQ55013" s="111"/>
      <c r="EF55013"/>
      <c r="EG55013"/>
      <c r="EH55013"/>
      <c r="EI55013"/>
      <c r="EJ55013"/>
      <c r="EK55013"/>
    </row>
    <row r="55014" spans="1:141" s="116" customFormat="1">
      <c r="A55014" s="136"/>
      <c r="CM55014" s="111"/>
      <c r="CQ55014" s="111"/>
      <c r="EF55014"/>
      <c r="EG55014"/>
      <c r="EH55014"/>
      <c r="EI55014"/>
      <c r="EJ55014"/>
      <c r="EK55014"/>
    </row>
    <row r="55015" spans="1:141" s="116" customFormat="1">
      <c r="A55015" s="136"/>
      <c r="CM55015" s="111"/>
      <c r="CQ55015" s="111"/>
      <c r="EF55015"/>
      <c r="EG55015"/>
      <c r="EH55015"/>
      <c r="EI55015"/>
      <c r="EJ55015"/>
      <c r="EK55015"/>
    </row>
    <row r="55016" spans="1:141" s="116" customFormat="1">
      <c r="A55016" s="136"/>
      <c r="CM55016" s="111"/>
      <c r="CQ55016" s="111"/>
      <c r="EF55016"/>
      <c r="EG55016"/>
      <c r="EH55016"/>
      <c r="EI55016"/>
      <c r="EJ55016"/>
      <c r="EK55016"/>
    </row>
    <row r="55017" spans="1:141" s="116" customFormat="1">
      <c r="A55017" s="136"/>
      <c r="CM55017" s="111"/>
      <c r="CQ55017" s="111"/>
      <c r="EF55017"/>
      <c r="EG55017"/>
      <c r="EH55017"/>
      <c r="EI55017"/>
      <c r="EJ55017"/>
      <c r="EK55017"/>
    </row>
    <row r="55018" spans="1:141" s="116" customFormat="1">
      <c r="A55018" s="136"/>
      <c r="CM55018" s="111"/>
      <c r="CQ55018" s="111"/>
      <c r="EF55018"/>
      <c r="EG55018"/>
      <c r="EH55018"/>
      <c r="EI55018"/>
      <c r="EJ55018"/>
      <c r="EK55018"/>
    </row>
    <row r="55019" spans="1:141" s="116" customFormat="1">
      <c r="A55019" s="136"/>
      <c r="CM55019" s="111"/>
      <c r="CQ55019" s="111"/>
      <c r="EF55019"/>
      <c r="EG55019"/>
      <c r="EH55019"/>
      <c r="EI55019"/>
      <c r="EJ55019"/>
      <c r="EK55019"/>
    </row>
    <row r="55020" spans="1:141" s="116" customFormat="1">
      <c r="A55020" s="136"/>
      <c r="CM55020" s="111"/>
      <c r="CQ55020" s="111"/>
      <c r="EF55020"/>
      <c r="EG55020"/>
      <c r="EH55020"/>
      <c r="EI55020"/>
      <c r="EJ55020"/>
      <c r="EK55020"/>
    </row>
    <row r="55021" spans="1:141" s="116" customFormat="1">
      <c r="A55021" s="136"/>
      <c r="CM55021" s="111"/>
      <c r="CQ55021" s="111"/>
      <c r="EF55021"/>
      <c r="EG55021"/>
      <c r="EH55021"/>
      <c r="EI55021"/>
      <c r="EJ55021"/>
      <c r="EK55021"/>
    </row>
    <row r="55022" spans="1:141" s="116" customFormat="1">
      <c r="A55022" s="136"/>
      <c r="CM55022" s="111"/>
      <c r="CQ55022" s="111"/>
      <c r="EF55022"/>
      <c r="EG55022"/>
      <c r="EH55022"/>
      <c r="EI55022"/>
      <c r="EJ55022"/>
      <c r="EK55022"/>
    </row>
    <row r="55023" spans="1:141" s="116" customFormat="1">
      <c r="A55023" s="136"/>
      <c r="CM55023" s="111"/>
      <c r="CQ55023" s="111"/>
      <c r="EF55023"/>
      <c r="EG55023"/>
      <c r="EH55023"/>
      <c r="EI55023"/>
      <c r="EJ55023"/>
      <c r="EK55023"/>
    </row>
    <row r="55024" spans="1:141" s="116" customFormat="1">
      <c r="A55024" s="136"/>
      <c r="CM55024" s="111"/>
      <c r="CQ55024" s="111"/>
      <c r="EF55024"/>
      <c r="EG55024"/>
      <c r="EH55024"/>
      <c r="EI55024"/>
      <c r="EJ55024"/>
      <c r="EK55024"/>
    </row>
    <row r="55025" spans="1:141" s="116" customFormat="1">
      <c r="A55025" s="136"/>
      <c r="CM55025" s="111"/>
      <c r="CQ55025" s="111"/>
      <c r="EF55025"/>
      <c r="EG55025"/>
      <c r="EH55025"/>
      <c r="EI55025"/>
      <c r="EJ55025"/>
      <c r="EK55025"/>
    </row>
    <row r="55026" spans="1:141" s="116" customFormat="1">
      <c r="A55026" s="136"/>
      <c r="CM55026" s="111"/>
      <c r="CQ55026" s="111"/>
      <c r="EF55026"/>
      <c r="EG55026"/>
      <c r="EH55026"/>
      <c r="EI55026"/>
      <c r="EJ55026"/>
      <c r="EK55026"/>
    </row>
    <row r="55027" spans="1:141" s="116" customFormat="1">
      <c r="A55027" s="136"/>
      <c r="CM55027" s="111"/>
      <c r="CQ55027" s="111"/>
      <c r="EF55027"/>
      <c r="EG55027"/>
      <c r="EH55027"/>
      <c r="EI55027"/>
      <c r="EJ55027"/>
      <c r="EK55027"/>
    </row>
    <row r="55028" spans="1:141" s="116" customFormat="1">
      <c r="A55028" s="136"/>
      <c r="CM55028" s="111"/>
      <c r="CQ55028" s="111"/>
      <c r="EF55028"/>
      <c r="EG55028"/>
      <c r="EH55028"/>
      <c r="EI55028"/>
      <c r="EJ55028"/>
      <c r="EK55028"/>
    </row>
    <row r="55029" spans="1:141" s="116" customFormat="1">
      <c r="A55029" s="136"/>
      <c r="CM55029" s="111"/>
      <c r="CQ55029" s="111"/>
      <c r="EF55029"/>
      <c r="EG55029"/>
      <c r="EH55029"/>
      <c r="EI55029"/>
      <c r="EJ55029"/>
      <c r="EK55029"/>
    </row>
    <row r="55030" spans="1:141" s="116" customFormat="1">
      <c r="A55030" s="136"/>
      <c r="CM55030" s="111"/>
      <c r="CQ55030" s="111"/>
      <c r="EF55030"/>
      <c r="EG55030"/>
      <c r="EH55030"/>
      <c r="EI55030"/>
      <c r="EJ55030"/>
      <c r="EK55030"/>
    </row>
    <row r="55031" spans="1:141" s="116" customFormat="1">
      <c r="A55031" s="136"/>
      <c r="CM55031" s="111"/>
      <c r="CQ55031" s="111"/>
      <c r="EF55031"/>
      <c r="EG55031"/>
      <c r="EH55031"/>
      <c r="EI55031"/>
      <c r="EJ55031"/>
      <c r="EK55031"/>
    </row>
    <row r="55032" spans="1:141" s="116" customFormat="1">
      <c r="A55032" s="136"/>
      <c r="CM55032" s="111"/>
      <c r="CQ55032" s="111"/>
      <c r="EF55032"/>
      <c r="EG55032"/>
      <c r="EH55032"/>
      <c r="EI55032"/>
      <c r="EJ55032"/>
      <c r="EK55032"/>
    </row>
    <row r="55033" spans="1:141" s="116" customFormat="1">
      <c r="A55033" s="136"/>
      <c r="CM55033" s="111"/>
      <c r="CQ55033" s="111"/>
      <c r="EF55033"/>
      <c r="EG55033"/>
      <c r="EH55033"/>
      <c r="EI55033"/>
      <c r="EJ55033"/>
      <c r="EK55033"/>
    </row>
    <row r="55034" spans="1:141" s="116" customFormat="1">
      <c r="A55034" s="136"/>
      <c r="CM55034" s="111"/>
      <c r="CQ55034" s="111"/>
      <c r="EF55034"/>
      <c r="EG55034"/>
      <c r="EH55034"/>
      <c r="EI55034"/>
      <c r="EJ55034"/>
      <c r="EK55034"/>
    </row>
    <row r="55035" spans="1:141" s="116" customFormat="1">
      <c r="A55035" s="136"/>
      <c r="CM55035" s="111"/>
      <c r="CQ55035" s="111"/>
      <c r="EF55035"/>
      <c r="EG55035"/>
      <c r="EH55035"/>
      <c r="EI55035"/>
      <c r="EJ55035"/>
      <c r="EK55035"/>
    </row>
    <row r="55036" spans="1:141" s="116" customFormat="1">
      <c r="A55036" s="136"/>
      <c r="CM55036" s="111"/>
      <c r="CQ55036" s="111"/>
      <c r="EF55036"/>
      <c r="EG55036"/>
      <c r="EH55036"/>
      <c r="EI55036"/>
      <c r="EJ55036"/>
      <c r="EK55036"/>
    </row>
    <row r="55037" spans="1:141" s="116" customFormat="1">
      <c r="A55037" s="136"/>
      <c r="CM55037" s="111"/>
      <c r="CQ55037" s="111"/>
      <c r="EF55037"/>
      <c r="EG55037"/>
      <c r="EH55037"/>
      <c r="EI55037"/>
      <c r="EJ55037"/>
      <c r="EK55037"/>
    </row>
    <row r="55038" spans="1:141" s="116" customFormat="1">
      <c r="A55038" s="136"/>
      <c r="CM55038" s="111"/>
      <c r="CQ55038" s="111"/>
      <c r="EF55038"/>
      <c r="EG55038"/>
      <c r="EH55038"/>
      <c r="EI55038"/>
      <c r="EJ55038"/>
      <c r="EK55038"/>
    </row>
    <row r="55039" spans="1:141" s="116" customFormat="1">
      <c r="A55039" s="136"/>
      <c r="CM55039" s="111"/>
      <c r="CQ55039" s="111"/>
      <c r="EF55039"/>
      <c r="EG55039"/>
      <c r="EH55039"/>
      <c r="EI55039"/>
      <c r="EJ55039"/>
      <c r="EK55039"/>
    </row>
    <row r="55040" spans="1:141" s="116" customFormat="1">
      <c r="A55040" s="136"/>
      <c r="CM55040" s="111"/>
      <c r="CQ55040" s="111"/>
      <c r="EF55040"/>
      <c r="EG55040"/>
      <c r="EH55040"/>
      <c r="EI55040"/>
      <c r="EJ55040"/>
      <c r="EK55040"/>
    </row>
    <row r="55041" spans="1:141" s="116" customFormat="1">
      <c r="A55041" s="136"/>
      <c r="CM55041" s="111"/>
      <c r="CQ55041" s="111"/>
      <c r="EF55041"/>
      <c r="EG55041"/>
      <c r="EH55041"/>
      <c r="EI55041"/>
      <c r="EJ55041"/>
      <c r="EK55041"/>
    </row>
    <row r="55042" spans="1:141" s="116" customFormat="1">
      <c r="A55042" s="136"/>
      <c r="CM55042" s="111"/>
      <c r="CQ55042" s="111"/>
      <c r="EF55042"/>
      <c r="EG55042"/>
      <c r="EH55042"/>
      <c r="EI55042"/>
      <c r="EJ55042"/>
      <c r="EK55042"/>
    </row>
    <row r="55043" spans="1:141" s="116" customFormat="1">
      <c r="A55043" s="136"/>
      <c r="CM55043" s="111"/>
      <c r="CQ55043" s="111"/>
      <c r="EF55043"/>
      <c r="EG55043"/>
      <c r="EH55043"/>
      <c r="EI55043"/>
      <c r="EJ55043"/>
      <c r="EK55043"/>
    </row>
    <row r="55044" spans="1:141" s="116" customFormat="1">
      <c r="A55044" s="136"/>
      <c r="CM55044" s="111"/>
      <c r="CQ55044" s="111"/>
      <c r="EF55044"/>
      <c r="EG55044"/>
      <c r="EH55044"/>
      <c r="EI55044"/>
      <c r="EJ55044"/>
      <c r="EK55044"/>
    </row>
    <row r="55045" spans="1:141" s="116" customFormat="1">
      <c r="A55045" s="136"/>
      <c r="CM55045" s="111"/>
      <c r="CQ55045" s="111"/>
      <c r="EF55045"/>
      <c r="EG55045"/>
      <c r="EH55045"/>
      <c r="EI55045"/>
      <c r="EJ55045"/>
      <c r="EK55045"/>
    </row>
    <row r="55046" spans="1:141" s="116" customFormat="1">
      <c r="A55046" s="136"/>
      <c r="CM55046" s="111"/>
      <c r="CQ55046" s="111"/>
      <c r="EF55046"/>
      <c r="EG55046"/>
      <c r="EH55046"/>
      <c r="EI55046"/>
      <c r="EJ55046"/>
      <c r="EK55046"/>
    </row>
    <row r="55047" spans="1:141" s="116" customFormat="1">
      <c r="A55047" s="136"/>
      <c r="CM55047" s="111"/>
      <c r="CQ55047" s="111"/>
      <c r="EF55047"/>
      <c r="EG55047"/>
      <c r="EH55047"/>
      <c r="EI55047"/>
      <c r="EJ55047"/>
      <c r="EK55047"/>
    </row>
    <row r="55048" spans="1:141" s="116" customFormat="1">
      <c r="A55048" s="136"/>
      <c r="CM55048" s="111"/>
      <c r="CQ55048" s="111"/>
      <c r="EF55048"/>
      <c r="EG55048"/>
      <c r="EH55048"/>
      <c r="EI55048"/>
      <c r="EJ55048"/>
      <c r="EK55048"/>
    </row>
    <row r="55049" spans="1:141" s="116" customFormat="1">
      <c r="A55049" s="136"/>
      <c r="CM55049" s="111"/>
      <c r="CQ55049" s="111"/>
      <c r="EF55049"/>
      <c r="EG55049"/>
      <c r="EH55049"/>
      <c r="EI55049"/>
      <c r="EJ55049"/>
      <c r="EK55049"/>
    </row>
    <row r="55050" spans="1:141" s="116" customFormat="1">
      <c r="A55050" s="136"/>
      <c r="CM55050" s="111"/>
      <c r="CQ55050" s="111"/>
      <c r="EF55050"/>
      <c r="EG55050"/>
      <c r="EH55050"/>
      <c r="EI55050"/>
      <c r="EJ55050"/>
      <c r="EK55050"/>
    </row>
    <row r="55051" spans="1:141" s="116" customFormat="1">
      <c r="A55051" s="136"/>
      <c r="CM55051" s="111"/>
      <c r="CQ55051" s="111"/>
      <c r="EF55051"/>
      <c r="EG55051"/>
      <c r="EH55051"/>
      <c r="EI55051"/>
      <c r="EJ55051"/>
      <c r="EK55051"/>
    </row>
    <row r="55052" spans="1:141" s="116" customFormat="1">
      <c r="A55052" s="136"/>
      <c r="CM55052" s="111"/>
      <c r="CQ55052" s="111"/>
      <c r="EF55052"/>
      <c r="EG55052"/>
      <c r="EH55052"/>
      <c r="EI55052"/>
      <c r="EJ55052"/>
      <c r="EK55052"/>
    </row>
    <row r="55053" spans="1:141" s="116" customFormat="1">
      <c r="A55053" s="136"/>
      <c r="CM55053" s="111"/>
      <c r="CQ55053" s="111"/>
      <c r="EF55053"/>
      <c r="EG55053"/>
      <c r="EH55053"/>
      <c r="EI55053"/>
      <c r="EJ55053"/>
      <c r="EK55053"/>
    </row>
    <row r="55054" spans="1:141" s="116" customFormat="1">
      <c r="A55054" s="136"/>
      <c r="CM55054" s="111"/>
      <c r="CQ55054" s="111"/>
      <c r="EF55054"/>
      <c r="EG55054"/>
      <c r="EH55054"/>
      <c r="EI55054"/>
      <c r="EJ55054"/>
      <c r="EK55054"/>
    </row>
    <row r="55055" spans="1:141" s="116" customFormat="1">
      <c r="A55055" s="136"/>
      <c r="CM55055" s="111"/>
      <c r="CQ55055" s="111"/>
      <c r="EF55055"/>
      <c r="EG55055"/>
      <c r="EH55055"/>
      <c r="EI55055"/>
      <c r="EJ55055"/>
      <c r="EK55055"/>
    </row>
    <row r="55056" spans="1:141" s="116" customFormat="1">
      <c r="A55056" s="136"/>
      <c r="CM55056" s="111"/>
      <c r="CQ55056" s="111"/>
      <c r="EF55056"/>
      <c r="EG55056"/>
      <c r="EH55056"/>
      <c r="EI55056"/>
      <c r="EJ55056"/>
      <c r="EK55056"/>
    </row>
    <row r="55057" spans="1:141" s="116" customFormat="1">
      <c r="A55057" s="136"/>
      <c r="CM55057" s="111"/>
      <c r="CQ55057" s="111"/>
      <c r="EF55057"/>
      <c r="EG55057"/>
      <c r="EH55057"/>
      <c r="EI55057"/>
      <c r="EJ55057"/>
      <c r="EK55057"/>
    </row>
    <row r="55058" spans="1:141" s="116" customFormat="1">
      <c r="A55058" s="136"/>
      <c r="CM55058" s="111"/>
      <c r="CQ55058" s="111"/>
      <c r="EF55058"/>
      <c r="EG55058"/>
      <c r="EH55058"/>
      <c r="EI55058"/>
      <c r="EJ55058"/>
      <c r="EK55058"/>
    </row>
    <row r="55059" spans="1:141" s="116" customFormat="1">
      <c r="A55059" s="136"/>
      <c r="CM55059" s="111"/>
      <c r="CQ55059" s="111"/>
      <c r="EF55059"/>
      <c r="EG55059"/>
      <c r="EH55059"/>
      <c r="EI55059"/>
      <c r="EJ55059"/>
      <c r="EK55059"/>
    </row>
    <row r="55060" spans="1:141" s="116" customFormat="1">
      <c r="A55060" s="136"/>
      <c r="CM55060" s="111"/>
      <c r="CQ55060" s="111"/>
      <c r="EF55060"/>
      <c r="EG55060"/>
      <c r="EH55060"/>
      <c r="EI55060"/>
      <c r="EJ55060"/>
      <c r="EK55060"/>
    </row>
    <row r="55061" spans="1:141" s="116" customFormat="1">
      <c r="A55061" s="136"/>
      <c r="CM55061" s="111"/>
      <c r="CQ55061" s="111"/>
      <c r="EF55061"/>
      <c r="EG55061"/>
      <c r="EH55061"/>
      <c r="EI55061"/>
      <c r="EJ55061"/>
      <c r="EK55061"/>
    </row>
    <row r="55062" spans="1:141" s="116" customFormat="1">
      <c r="A55062" s="136"/>
      <c r="CM55062" s="111"/>
      <c r="CQ55062" s="111"/>
      <c r="EF55062"/>
      <c r="EG55062"/>
      <c r="EH55062"/>
      <c r="EI55062"/>
      <c r="EJ55062"/>
      <c r="EK55062"/>
    </row>
    <row r="55063" spans="1:141" s="116" customFormat="1">
      <c r="A55063" s="136"/>
      <c r="CM55063" s="111"/>
      <c r="CQ55063" s="111"/>
      <c r="EF55063"/>
      <c r="EG55063"/>
      <c r="EH55063"/>
      <c r="EI55063"/>
      <c r="EJ55063"/>
      <c r="EK55063"/>
    </row>
    <row r="55064" spans="1:141" s="116" customFormat="1">
      <c r="A55064" s="136"/>
      <c r="CM55064" s="111"/>
      <c r="CQ55064" s="111"/>
      <c r="EF55064"/>
      <c r="EG55064"/>
      <c r="EH55064"/>
      <c r="EI55064"/>
      <c r="EJ55064"/>
      <c r="EK55064"/>
    </row>
    <row r="55065" spans="1:141" s="116" customFormat="1">
      <c r="A55065" s="136"/>
      <c r="CM55065" s="111"/>
      <c r="CQ55065" s="111"/>
      <c r="EF55065"/>
      <c r="EG55065"/>
      <c r="EH55065"/>
      <c r="EI55065"/>
      <c r="EJ55065"/>
      <c r="EK55065"/>
    </row>
    <row r="55066" spans="1:141" s="116" customFormat="1">
      <c r="A55066" s="136"/>
      <c r="CM55066" s="111"/>
      <c r="CQ55066" s="111"/>
      <c r="EF55066"/>
      <c r="EG55066"/>
      <c r="EH55066"/>
      <c r="EI55066"/>
      <c r="EJ55066"/>
      <c r="EK55066"/>
    </row>
    <row r="55067" spans="1:141" s="116" customFormat="1">
      <c r="A55067" s="136"/>
      <c r="CM55067" s="111"/>
      <c r="CQ55067" s="111"/>
      <c r="EF55067"/>
      <c r="EG55067"/>
      <c r="EH55067"/>
      <c r="EI55067"/>
      <c r="EJ55067"/>
      <c r="EK55067"/>
    </row>
    <row r="55068" spans="1:141" s="116" customFormat="1">
      <c r="A55068" s="136"/>
      <c r="CM55068" s="111"/>
      <c r="CQ55068" s="111"/>
      <c r="EF55068"/>
      <c r="EG55068"/>
      <c r="EH55068"/>
      <c r="EI55068"/>
      <c r="EJ55068"/>
      <c r="EK55068"/>
    </row>
    <row r="55069" spans="1:141" s="116" customFormat="1">
      <c r="A55069" s="136"/>
      <c r="CM55069" s="111"/>
      <c r="CQ55069" s="111"/>
      <c r="EF55069"/>
      <c r="EG55069"/>
      <c r="EH55069"/>
      <c r="EI55069"/>
      <c r="EJ55069"/>
      <c r="EK55069"/>
    </row>
    <row r="55070" spans="1:141" s="116" customFormat="1">
      <c r="A55070" s="136"/>
      <c r="CM55070" s="111"/>
      <c r="CQ55070" s="111"/>
      <c r="EF55070"/>
      <c r="EG55070"/>
      <c r="EH55070"/>
      <c r="EI55070"/>
      <c r="EJ55070"/>
      <c r="EK55070"/>
    </row>
    <row r="55071" spans="1:141" s="116" customFormat="1">
      <c r="A55071" s="136"/>
      <c r="CM55071" s="111"/>
      <c r="CQ55071" s="111"/>
      <c r="EF55071"/>
      <c r="EG55071"/>
      <c r="EH55071"/>
      <c r="EI55071"/>
      <c r="EJ55071"/>
      <c r="EK55071"/>
    </row>
    <row r="55072" spans="1:141" s="116" customFormat="1">
      <c r="A55072" s="136"/>
      <c r="CM55072" s="111"/>
      <c r="CQ55072" s="111"/>
      <c r="EF55072"/>
      <c r="EG55072"/>
      <c r="EH55072"/>
      <c r="EI55072"/>
      <c r="EJ55072"/>
      <c r="EK55072"/>
    </row>
    <row r="55073" spans="1:141" s="116" customFormat="1">
      <c r="A55073" s="136"/>
      <c r="CM55073" s="111"/>
      <c r="CQ55073" s="111"/>
      <c r="EF55073"/>
      <c r="EG55073"/>
      <c r="EH55073"/>
      <c r="EI55073"/>
      <c r="EJ55073"/>
      <c r="EK55073"/>
    </row>
    <row r="55074" spans="1:141" s="116" customFormat="1">
      <c r="A55074" s="136"/>
      <c r="CM55074" s="111"/>
      <c r="CQ55074" s="111"/>
      <c r="EF55074"/>
      <c r="EG55074"/>
      <c r="EH55074"/>
      <c r="EI55074"/>
      <c r="EJ55074"/>
      <c r="EK55074"/>
    </row>
    <row r="55075" spans="1:141" s="116" customFormat="1">
      <c r="A55075" s="136"/>
      <c r="CM55075" s="111"/>
      <c r="CQ55075" s="111"/>
      <c r="EF55075"/>
      <c r="EG55075"/>
      <c r="EH55075"/>
      <c r="EI55075"/>
      <c r="EJ55075"/>
      <c r="EK55075"/>
    </row>
    <row r="55076" spans="1:141" s="116" customFormat="1">
      <c r="A55076" s="136"/>
      <c r="CM55076" s="111"/>
      <c r="CQ55076" s="111"/>
      <c r="EF55076"/>
      <c r="EG55076"/>
      <c r="EH55076"/>
      <c r="EI55076"/>
      <c r="EJ55076"/>
      <c r="EK55076"/>
    </row>
    <row r="55077" spans="1:141" s="116" customFormat="1">
      <c r="A55077" s="136"/>
      <c r="CM55077" s="111"/>
      <c r="CQ55077" s="111"/>
      <c r="EF55077"/>
      <c r="EG55077"/>
      <c r="EH55077"/>
      <c r="EI55077"/>
      <c r="EJ55077"/>
      <c r="EK55077"/>
    </row>
    <row r="55078" spans="1:141" s="116" customFormat="1">
      <c r="A55078" s="136"/>
      <c r="CM55078" s="111"/>
      <c r="CQ55078" s="111"/>
      <c r="EF55078"/>
      <c r="EG55078"/>
      <c r="EH55078"/>
      <c r="EI55078"/>
      <c r="EJ55078"/>
      <c r="EK55078"/>
    </row>
    <row r="55079" spans="1:141" s="116" customFormat="1">
      <c r="A55079" s="136"/>
      <c r="CM55079" s="111"/>
      <c r="CQ55079" s="111"/>
      <c r="EF55079"/>
      <c r="EG55079"/>
      <c r="EH55079"/>
      <c r="EI55079"/>
      <c r="EJ55079"/>
      <c r="EK55079"/>
    </row>
    <row r="55080" spans="1:141" s="116" customFormat="1">
      <c r="A55080" s="136"/>
      <c r="CM55080" s="111"/>
      <c r="CQ55080" s="111"/>
      <c r="EF55080"/>
      <c r="EG55080"/>
      <c r="EH55080"/>
      <c r="EI55080"/>
      <c r="EJ55080"/>
      <c r="EK55080"/>
    </row>
    <row r="55081" spans="1:141" s="116" customFormat="1">
      <c r="A55081" s="136"/>
      <c r="CM55081" s="111"/>
      <c r="CQ55081" s="111"/>
      <c r="EF55081"/>
      <c r="EG55081"/>
      <c r="EH55081"/>
      <c r="EI55081"/>
      <c r="EJ55081"/>
      <c r="EK55081"/>
    </row>
    <row r="55082" spans="1:141" s="116" customFormat="1">
      <c r="A55082" s="136"/>
      <c r="CM55082" s="111"/>
      <c r="CQ55082" s="111"/>
      <c r="EF55082"/>
      <c r="EG55082"/>
      <c r="EH55082"/>
      <c r="EI55082"/>
      <c r="EJ55082"/>
      <c r="EK55082"/>
    </row>
    <row r="55083" spans="1:141" s="116" customFormat="1">
      <c r="A55083" s="136"/>
      <c r="CM55083" s="111"/>
      <c r="CQ55083" s="111"/>
      <c r="EF55083"/>
      <c r="EG55083"/>
      <c r="EH55083"/>
      <c r="EI55083"/>
      <c r="EJ55083"/>
      <c r="EK55083"/>
    </row>
    <row r="55084" spans="1:141" s="116" customFormat="1">
      <c r="A55084" s="136"/>
      <c r="CM55084" s="111"/>
      <c r="CQ55084" s="111"/>
      <c r="EF55084"/>
      <c r="EG55084"/>
      <c r="EH55084"/>
      <c r="EI55084"/>
      <c r="EJ55084"/>
      <c r="EK55084"/>
    </row>
    <row r="55085" spans="1:141" s="116" customFormat="1">
      <c r="A55085" s="136"/>
      <c r="CM55085" s="111"/>
      <c r="CQ55085" s="111"/>
      <c r="EF55085"/>
      <c r="EG55085"/>
      <c r="EH55085"/>
      <c r="EI55085"/>
      <c r="EJ55085"/>
      <c r="EK55085"/>
    </row>
    <row r="55086" spans="1:141" s="116" customFormat="1">
      <c r="A55086" s="136"/>
      <c r="CM55086" s="111"/>
      <c r="CQ55086" s="111"/>
      <c r="EF55086"/>
      <c r="EG55086"/>
      <c r="EH55086"/>
      <c r="EI55086"/>
      <c r="EJ55086"/>
      <c r="EK55086"/>
    </row>
    <row r="55087" spans="1:141" s="116" customFormat="1">
      <c r="A55087" s="136"/>
      <c r="CM55087" s="111"/>
      <c r="CQ55087" s="111"/>
      <c r="EF55087"/>
      <c r="EG55087"/>
      <c r="EH55087"/>
      <c r="EI55087"/>
      <c r="EJ55087"/>
      <c r="EK55087"/>
    </row>
    <row r="55088" spans="1:141" s="116" customFormat="1">
      <c r="A55088" s="136"/>
      <c r="CM55088" s="111"/>
      <c r="CQ55088" s="111"/>
      <c r="EF55088"/>
      <c r="EG55088"/>
      <c r="EH55088"/>
      <c r="EI55088"/>
      <c r="EJ55088"/>
      <c r="EK55088"/>
    </row>
    <row r="55089" spans="1:141" s="116" customFormat="1">
      <c r="A55089" s="136"/>
      <c r="CM55089" s="111"/>
      <c r="CQ55089" s="111"/>
      <c r="EF55089"/>
      <c r="EG55089"/>
      <c r="EH55089"/>
      <c r="EI55089"/>
      <c r="EJ55089"/>
      <c r="EK55089"/>
    </row>
    <row r="55090" spans="1:141" s="116" customFormat="1">
      <c r="A55090" s="136"/>
      <c r="CM55090" s="111"/>
      <c r="CQ55090" s="111"/>
      <c r="EF55090"/>
      <c r="EG55090"/>
      <c r="EH55090"/>
      <c r="EI55090"/>
      <c r="EJ55090"/>
      <c r="EK55090"/>
    </row>
    <row r="55091" spans="1:141" s="116" customFormat="1">
      <c r="A55091" s="136"/>
      <c r="CM55091" s="111"/>
      <c r="CQ55091" s="111"/>
      <c r="EF55091"/>
      <c r="EG55091"/>
      <c r="EH55091"/>
      <c r="EI55091"/>
      <c r="EJ55091"/>
      <c r="EK55091"/>
    </row>
    <row r="55092" spans="1:141" s="116" customFormat="1">
      <c r="A55092" s="136"/>
      <c r="CM55092" s="111"/>
      <c r="CQ55092" s="111"/>
      <c r="EF55092"/>
      <c r="EG55092"/>
      <c r="EH55092"/>
      <c r="EI55092"/>
      <c r="EJ55092"/>
      <c r="EK55092"/>
    </row>
    <row r="55093" spans="1:141" s="116" customFormat="1">
      <c r="A55093" s="136"/>
      <c r="CM55093" s="111"/>
      <c r="CQ55093" s="111"/>
      <c r="EF55093"/>
      <c r="EG55093"/>
      <c r="EH55093"/>
      <c r="EI55093"/>
      <c r="EJ55093"/>
      <c r="EK55093"/>
    </row>
    <row r="55094" spans="1:141" s="116" customFormat="1">
      <c r="A55094" s="136"/>
      <c r="CM55094" s="111"/>
      <c r="CQ55094" s="111"/>
      <c r="EF55094"/>
      <c r="EG55094"/>
      <c r="EH55094"/>
      <c r="EI55094"/>
      <c r="EJ55094"/>
      <c r="EK55094"/>
    </row>
    <row r="55095" spans="1:141" s="116" customFormat="1">
      <c r="A55095" s="136"/>
      <c r="CM55095" s="111"/>
      <c r="CQ55095" s="111"/>
      <c r="EF55095"/>
      <c r="EG55095"/>
      <c r="EH55095"/>
      <c r="EI55095"/>
      <c r="EJ55095"/>
      <c r="EK55095"/>
    </row>
    <row r="55096" spans="1:141" s="116" customFormat="1">
      <c r="A55096" s="136"/>
      <c r="CM55096" s="111"/>
      <c r="CQ55096" s="111"/>
      <c r="EF55096"/>
      <c r="EG55096"/>
      <c r="EH55096"/>
      <c r="EI55096"/>
      <c r="EJ55096"/>
      <c r="EK55096"/>
    </row>
    <row r="55097" spans="1:141" s="116" customFormat="1">
      <c r="A55097" s="136"/>
      <c r="CM55097" s="111"/>
      <c r="CQ55097" s="111"/>
      <c r="EF55097"/>
      <c r="EG55097"/>
      <c r="EH55097"/>
      <c r="EI55097"/>
      <c r="EJ55097"/>
      <c r="EK55097"/>
    </row>
    <row r="55098" spans="1:141" s="116" customFormat="1">
      <c r="A55098" s="136"/>
      <c r="CM55098" s="111"/>
      <c r="CQ55098" s="111"/>
      <c r="EF55098"/>
      <c r="EG55098"/>
      <c r="EH55098"/>
      <c r="EI55098"/>
      <c r="EJ55098"/>
      <c r="EK55098"/>
    </row>
    <row r="55099" spans="1:141" s="116" customFormat="1">
      <c r="A55099" s="136"/>
      <c r="CM55099" s="111"/>
      <c r="CQ55099" s="111"/>
      <c r="EF55099"/>
      <c r="EG55099"/>
      <c r="EH55099"/>
      <c r="EI55099"/>
      <c r="EJ55099"/>
      <c r="EK55099"/>
    </row>
    <row r="55100" spans="1:141" s="116" customFormat="1">
      <c r="A55100" s="136"/>
      <c r="CM55100" s="111"/>
      <c r="CQ55100" s="111"/>
      <c r="EF55100"/>
      <c r="EG55100"/>
      <c r="EH55100"/>
      <c r="EI55100"/>
      <c r="EJ55100"/>
      <c r="EK55100"/>
    </row>
    <row r="55101" spans="1:141" s="116" customFormat="1">
      <c r="A55101" s="136"/>
      <c r="CM55101" s="111"/>
      <c r="CQ55101" s="111"/>
      <c r="EF55101"/>
      <c r="EG55101"/>
      <c r="EH55101"/>
      <c r="EI55101"/>
      <c r="EJ55101"/>
      <c r="EK55101"/>
    </row>
    <row r="55102" spans="1:141" s="116" customFormat="1">
      <c r="A55102" s="136"/>
      <c r="CM55102" s="111"/>
      <c r="CQ55102" s="111"/>
      <c r="EF55102"/>
      <c r="EG55102"/>
      <c r="EH55102"/>
      <c r="EI55102"/>
      <c r="EJ55102"/>
      <c r="EK55102"/>
    </row>
    <row r="55103" spans="1:141" s="116" customFormat="1">
      <c r="A55103" s="136"/>
      <c r="CM55103" s="111"/>
      <c r="CQ55103" s="111"/>
      <c r="EF55103"/>
      <c r="EG55103"/>
      <c r="EH55103"/>
      <c r="EI55103"/>
      <c r="EJ55103"/>
      <c r="EK55103"/>
    </row>
    <row r="55104" spans="1:141" s="116" customFormat="1">
      <c r="A55104" s="136"/>
      <c r="CM55104" s="111"/>
      <c r="CQ55104" s="111"/>
      <c r="EF55104"/>
      <c r="EG55104"/>
      <c r="EH55104"/>
      <c r="EI55104"/>
      <c r="EJ55104"/>
      <c r="EK55104"/>
    </row>
    <row r="55105" spans="1:141" s="116" customFormat="1">
      <c r="A55105" s="136"/>
      <c r="CM55105" s="111"/>
      <c r="CQ55105" s="111"/>
      <c r="EF55105"/>
      <c r="EG55105"/>
      <c r="EH55105"/>
      <c r="EI55105"/>
      <c r="EJ55105"/>
      <c r="EK55105"/>
    </row>
    <row r="55106" spans="1:141" s="116" customFormat="1">
      <c r="A55106" s="136"/>
      <c r="CM55106" s="111"/>
      <c r="CQ55106" s="111"/>
      <c r="EF55106"/>
      <c r="EG55106"/>
      <c r="EH55106"/>
      <c r="EI55106"/>
      <c r="EJ55106"/>
      <c r="EK55106"/>
    </row>
    <row r="55107" spans="1:141" s="116" customFormat="1">
      <c r="A55107" s="136"/>
      <c r="CM55107" s="111"/>
      <c r="CQ55107" s="111"/>
      <c r="EF55107"/>
      <c r="EG55107"/>
      <c r="EH55107"/>
      <c r="EI55107"/>
      <c r="EJ55107"/>
      <c r="EK55107"/>
    </row>
    <row r="55108" spans="1:141" s="116" customFormat="1">
      <c r="A55108" s="136"/>
      <c r="CM55108" s="111"/>
      <c r="CQ55108" s="111"/>
      <c r="EF55108"/>
      <c r="EG55108"/>
      <c r="EH55108"/>
      <c r="EI55108"/>
      <c r="EJ55108"/>
      <c r="EK55108"/>
    </row>
    <row r="55109" spans="1:141" s="116" customFormat="1">
      <c r="A55109" s="136"/>
      <c r="CM55109" s="111"/>
      <c r="CQ55109" s="111"/>
      <c r="EF55109"/>
      <c r="EG55109"/>
      <c r="EH55109"/>
      <c r="EI55109"/>
      <c r="EJ55109"/>
      <c r="EK55109"/>
    </row>
    <row r="55110" spans="1:141" s="116" customFormat="1">
      <c r="A55110" s="136"/>
      <c r="CM55110" s="111"/>
      <c r="CQ55110" s="111"/>
      <c r="EF55110"/>
      <c r="EG55110"/>
      <c r="EH55110"/>
      <c r="EI55110"/>
      <c r="EJ55110"/>
      <c r="EK55110"/>
    </row>
    <row r="55111" spans="1:141" s="116" customFormat="1">
      <c r="A55111" s="136"/>
      <c r="CM55111" s="111"/>
      <c r="CQ55111" s="111"/>
      <c r="EF55111"/>
      <c r="EG55111"/>
      <c r="EH55111"/>
      <c r="EI55111"/>
      <c r="EJ55111"/>
      <c r="EK55111"/>
    </row>
    <row r="55112" spans="1:141" s="116" customFormat="1">
      <c r="A55112" s="136"/>
      <c r="CM55112" s="111"/>
      <c r="CQ55112" s="111"/>
      <c r="EF55112"/>
      <c r="EG55112"/>
      <c r="EH55112"/>
      <c r="EI55112"/>
      <c r="EJ55112"/>
      <c r="EK55112"/>
    </row>
    <row r="55113" spans="1:141" s="116" customFormat="1">
      <c r="A55113" s="136"/>
      <c r="CM55113" s="111"/>
      <c r="CQ55113" s="111"/>
      <c r="EF55113"/>
      <c r="EG55113"/>
      <c r="EH55113"/>
      <c r="EI55113"/>
      <c r="EJ55113"/>
      <c r="EK55113"/>
    </row>
    <row r="55114" spans="1:141" s="116" customFormat="1">
      <c r="A55114" s="136"/>
      <c r="CM55114" s="111"/>
      <c r="CQ55114" s="111"/>
      <c r="EF55114"/>
      <c r="EG55114"/>
      <c r="EH55114"/>
      <c r="EI55114"/>
      <c r="EJ55114"/>
      <c r="EK55114"/>
    </row>
    <row r="55115" spans="1:141" s="116" customFormat="1">
      <c r="A55115" s="136"/>
      <c r="CM55115" s="111"/>
      <c r="CQ55115" s="111"/>
      <c r="EF55115"/>
      <c r="EG55115"/>
      <c r="EH55115"/>
      <c r="EI55115"/>
      <c r="EJ55115"/>
      <c r="EK55115"/>
    </row>
    <row r="55116" spans="1:141" s="116" customFormat="1">
      <c r="A55116" s="136"/>
      <c r="CM55116" s="111"/>
      <c r="CQ55116" s="111"/>
      <c r="EF55116"/>
      <c r="EG55116"/>
      <c r="EH55116"/>
      <c r="EI55116"/>
      <c r="EJ55116"/>
      <c r="EK55116"/>
    </row>
    <row r="55117" spans="1:141" s="116" customFormat="1">
      <c r="A55117" s="136"/>
      <c r="CM55117" s="111"/>
      <c r="CQ55117" s="111"/>
      <c r="EF55117"/>
      <c r="EG55117"/>
      <c r="EH55117"/>
      <c r="EI55117"/>
      <c r="EJ55117"/>
      <c r="EK55117"/>
    </row>
    <row r="55118" spans="1:141" s="116" customFormat="1">
      <c r="A55118" s="136"/>
      <c r="CM55118" s="111"/>
      <c r="CQ55118" s="111"/>
      <c r="EF55118"/>
      <c r="EG55118"/>
      <c r="EH55118"/>
      <c r="EI55118"/>
      <c r="EJ55118"/>
      <c r="EK55118"/>
    </row>
    <row r="55119" spans="1:141" s="116" customFormat="1">
      <c r="A55119" s="136"/>
      <c r="CM55119" s="111"/>
      <c r="CQ55119" s="111"/>
      <c r="EF55119"/>
      <c r="EG55119"/>
      <c r="EH55119"/>
      <c r="EI55119"/>
      <c r="EJ55119"/>
      <c r="EK55119"/>
    </row>
    <row r="55120" spans="1:141" s="116" customFormat="1">
      <c r="A55120" s="136"/>
      <c r="CM55120" s="111"/>
      <c r="CQ55120" s="111"/>
      <c r="EF55120"/>
      <c r="EG55120"/>
      <c r="EH55120"/>
      <c r="EI55120"/>
      <c r="EJ55120"/>
      <c r="EK55120"/>
    </row>
    <row r="55121" spans="1:141" s="116" customFormat="1">
      <c r="A55121" s="136"/>
      <c r="CM55121" s="111"/>
      <c r="CQ55121" s="111"/>
      <c r="EF55121"/>
      <c r="EG55121"/>
      <c r="EH55121"/>
      <c r="EI55121"/>
      <c r="EJ55121"/>
      <c r="EK55121"/>
    </row>
    <row r="55122" spans="1:141" s="116" customFormat="1">
      <c r="A55122" s="136"/>
      <c r="CM55122" s="111"/>
      <c r="CQ55122" s="111"/>
      <c r="EF55122"/>
      <c r="EG55122"/>
      <c r="EH55122"/>
      <c r="EI55122"/>
      <c r="EJ55122"/>
      <c r="EK55122"/>
    </row>
    <row r="55123" spans="1:141" s="116" customFormat="1">
      <c r="A55123" s="136"/>
      <c r="CM55123" s="111"/>
      <c r="CQ55123" s="111"/>
      <c r="EF55123"/>
      <c r="EG55123"/>
      <c r="EH55123"/>
      <c r="EI55123"/>
      <c r="EJ55123"/>
      <c r="EK55123"/>
    </row>
    <row r="55124" spans="1:141" s="116" customFormat="1">
      <c r="A55124" s="136"/>
      <c r="CM55124" s="111"/>
      <c r="CQ55124" s="111"/>
      <c r="EF55124"/>
      <c r="EG55124"/>
      <c r="EH55124"/>
      <c r="EI55124"/>
      <c r="EJ55124"/>
      <c r="EK55124"/>
    </row>
    <row r="55125" spans="1:141" s="116" customFormat="1">
      <c r="A55125" s="136"/>
      <c r="CM55125" s="111"/>
      <c r="CQ55125" s="111"/>
      <c r="EF55125"/>
      <c r="EG55125"/>
      <c r="EH55125"/>
      <c r="EI55125"/>
      <c r="EJ55125"/>
      <c r="EK55125"/>
    </row>
    <row r="55126" spans="1:141" s="116" customFormat="1">
      <c r="A55126" s="136"/>
      <c r="CM55126" s="111"/>
      <c r="CQ55126" s="111"/>
      <c r="EF55126"/>
      <c r="EG55126"/>
      <c r="EH55126"/>
      <c r="EI55126"/>
      <c r="EJ55126"/>
      <c r="EK55126"/>
    </row>
    <row r="55127" spans="1:141" s="116" customFormat="1">
      <c r="A55127" s="136"/>
      <c r="CM55127" s="111"/>
      <c r="CQ55127" s="111"/>
      <c r="EF55127"/>
      <c r="EG55127"/>
      <c r="EH55127"/>
      <c r="EI55127"/>
      <c r="EJ55127"/>
      <c r="EK55127"/>
    </row>
    <row r="55128" spans="1:141" s="116" customFormat="1">
      <c r="A55128" s="136"/>
      <c r="CM55128" s="111"/>
      <c r="CQ55128" s="111"/>
      <c r="EF55128"/>
      <c r="EG55128"/>
      <c r="EH55128"/>
      <c r="EI55128"/>
      <c r="EJ55128"/>
      <c r="EK55128"/>
    </row>
    <row r="55129" spans="1:141" s="116" customFormat="1">
      <c r="A55129" s="136"/>
      <c r="CM55129" s="111"/>
      <c r="CQ55129" s="111"/>
      <c r="EF55129"/>
      <c r="EG55129"/>
      <c r="EH55129"/>
      <c r="EI55129"/>
      <c r="EJ55129"/>
      <c r="EK55129"/>
    </row>
    <row r="55130" spans="1:141" s="116" customFormat="1">
      <c r="A55130" s="136"/>
      <c r="CM55130" s="111"/>
      <c r="CQ55130" s="111"/>
      <c r="EF55130"/>
      <c r="EG55130"/>
      <c r="EH55130"/>
      <c r="EI55130"/>
      <c r="EJ55130"/>
      <c r="EK55130"/>
    </row>
    <row r="55131" spans="1:141" s="116" customFormat="1">
      <c r="A55131" s="136"/>
      <c r="CM55131" s="111"/>
      <c r="CQ55131" s="111"/>
      <c r="EF55131"/>
      <c r="EG55131"/>
      <c r="EH55131"/>
      <c r="EI55131"/>
      <c r="EJ55131"/>
      <c r="EK55131"/>
    </row>
    <row r="55132" spans="1:141" s="116" customFormat="1">
      <c r="A55132" s="136"/>
      <c r="CM55132" s="111"/>
      <c r="CQ55132" s="111"/>
      <c r="EF55132"/>
      <c r="EG55132"/>
      <c r="EH55132"/>
      <c r="EI55132"/>
      <c r="EJ55132"/>
      <c r="EK55132"/>
    </row>
    <row r="55133" spans="1:141" s="116" customFormat="1">
      <c r="A55133" s="136"/>
      <c r="CM55133" s="111"/>
      <c r="CQ55133" s="111"/>
      <c r="EF55133"/>
      <c r="EG55133"/>
      <c r="EH55133"/>
      <c r="EI55133"/>
      <c r="EJ55133"/>
      <c r="EK55133"/>
    </row>
    <row r="55134" spans="1:141" s="116" customFormat="1">
      <c r="A55134" s="136"/>
      <c r="CM55134" s="111"/>
      <c r="CQ55134" s="111"/>
      <c r="EF55134"/>
      <c r="EG55134"/>
      <c r="EH55134"/>
      <c r="EI55134"/>
      <c r="EJ55134"/>
      <c r="EK55134"/>
    </row>
    <row r="55135" spans="1:141" s="116" customFormat="1">
      <c r="A55135" s="136"/>
      <c r="CM55135" s="111"/>
      <c r="CQ55135" s="111"/>
      <c r="EF55135"/>
      <c r="EG55135"/>
      <c r="EH55135"/>
      <c r="EI55135"/>
      <c r="EJ55135"/>
      <c r="EK55135"/>
    </row>
    <row r="55136" spans="1:141" s="116" customFormat="1">
      <c r="A55136" s="136"/>
      <c r="CM55136" s="111"/>
      <c r="CQ55136" s="111"/>
      <c r="EF55136"/>
      <c r="EG55136"/>
      <c r="EH55136"/>
      <c r="EI55136"/>
      <c r="EJ55136"/>
      <c r="EK55136"/>
    </row>
    <row r="55137" spans="1:141" s="116" customFormat="1">
      <c r="A55137" s="136"/>
      <c r="CM55137" s="111"/>
      <c r="CQ55137" s="111"/>
      <c r="EF55137"/>
      <c r="EG55137"/>
      <c r="EH55137"/>
      <c r="EI55137"/>
      <c r="EJ55137"/>
      <c r="EK55137"/>
    </row>
    <row r="55138" spans="1:141" s="116" customFormat="1">
      <c r="A55138" s="136"/>
      <c r="CM55138" s="111"/>
      <c r="CQ55138" s="111"/>
      <c r="EF55138"/>
      <c r="EG55138"/>
      <c r="EH55138"/>
      <c r="EI55138"/>
      <c r="EJ55138"/>
      <c r="EK55138"/>
    </row>
    <row r="55139" spans="1:141" s="116" customFormat="1">
      <c r="A55139" s="136"/>
      <c r="CM55139" s="111"/>
      <c r="CQ55139" s="111"/>
      <c r="EF55139"/>
      <c r="EG55139"/>
      <c r="EH55139"/>
      <c r="EI55139"/>
      <c r="EJ55139"/>
      <c r="EK55139"/>
    </row>
    <row r="55140" spans="1:141" s="116" customFormat="1">
      <c r="A55140" s="136"/>
      <c r="CM55140" s="111"/>
      <c r="CQ55140" s="111"/>
      <c r="EF55140"/>
      <c r="EG55140"/>
      <c r="EH55140"/>
      <c r="EI55140"/>
      <c r="EJ55140"/>
      <c r="EK55140"/>
    </row>
    <row r="55141" spans="1:141" s="116" customFormat="1">
      <c r="A55141" s="136"/>
      <c r="CM55141" s="111"/>
      <c r="CQ55141" s="111"/>
      <c r="EF55141"/>
      <c r="EG55141"/>
      <c r="EH55141"/>
      <c r="EI55141"/>
      <c r="EJ55141"/>
      <c r="EK55141"/>
    </row>
    <row r="55142" spans="1:141" s="116" customFormat="1">
      <c r="A55142" s="136"/>
      <c r="CM55142" s="111"/>
      <c r="CQ55142" s="111"/>
      <c r="EF55142"/>
      <c r="EG55142"/>
      <c r="EH55142"/>
      <c r="EI55142"/>
      <c r="EJ55142"/>
      <c r="EK55142"/>
    </row>
    <row r="55143" spans="1:141" s="116" customFormat="1">
      <c r="A55143" s="136"/>
      <c r="CM55143" s="111"/>
      <c r="CQ55143" s="111"/>
      <c r="EF55143"/>
      <c r="EG55143"/>
      <c r="EH55143"/>
      <c r="EI55143"/>
      <c r="EJ55143"/>
      <c r="EK55143"/>
    </row>
    <row r="55144" spans="1:141" s="116" customFormat="1">
      <c r="A55144" s="136"/>
      <c r="CM55144" s="111"/>
      <c r="CQ55144" s="111"/>
      <c r="EF55144"/>
      <c r="EG55144"/>
      <c r="EH55144"/>
      <c r="EI55144"/>
      <c r="EJ55144"/>
      <c r="EK55144"/>
    </row>
    <row r="55145" spans="1:141" s="116" customFormat="1">
      <c r="A55145" s="136"/>
      <c r="CM55145" s="111"/>
      <c r="CQ55145" s="111"/>
      <c r="EF55145"/>
      <c r="EG55145"/>
      <c r="EH55145"/>
      <c r="EI55145"/>
      <c r="EJ55145"/>
      <c r="EK55145"/>
    </row>
    <row r="55146" spans="1:141" s="116" customFormat="1">
      <c r="A55146" s="136"/>
      <c r="CM55146" s="111"/>
      <c r="CQ55146" s="111"/>
      <c r="EF55146"/>
      <c r="EG55146"/>
      <c r="EH55146"/>
      <c r="EI55146"/>
      <c r="EJ55146"/>
      <c r="EK55146"/>
    </row>
    <row r="55147" spans="1:141" s="116" customFormat="1">
      <c r="A55147" s="136"/>
      <c r="CM55147" s="111"/>
      <c r="CQ55147" s="111"/>
      <c r="EF55147"/>
      <c r="EG55147"/>
      <c r="EH55147"/>
      <c r="EI55147"/>
      <c r="EJ55147"/>
      <c r="EK55147"/>
    </row>
    <row r="55148" spans="1:141" s="116" customFormat="1">
      <c r="A55148" s="136"/>
      <c r="CM55148" s="111"/>
      <c r="CQ55148" s="111"/>
      <c r="EF55148"/>
      <c r="EG55148"/>
      <c r="EH55148"/>
      <c r="EI55148"/>
      <c r="EJ55148"/>
      <c r="EK55148"/>
    </row>
    <row r="55149" spans="1:141" s="116" customFormat="1">
      <c r="A55149" s="136"/>
      <c r="CM55149" s="111"/>
      <c r="CQ55149" s="111"/>
      <c r="EF55149"/>
      <c r="EG55149"/>
      <c r="EH55149"/>
      <c r="EI55149"/>
      <c r="EJ55149"/>
      <c r="EK55149"/>
    </row>
    <row r="55150" spans="1:141" s="116" customFormat="1">
      <c r="A55150" s="136"/>
      <c r="CM55150" s="111"/>
      <c r="CQ55150" s="111"/>
      <c r="EF55150"/>
      <c r="EG55150"/>
      <c r="EH55150"/>
      <c r="EI55150"/>
      <c r="EJ55150"/>
      <c r="EK55150"/>
    </row>
    <row r="55151" spans="1:141" s="116" customFormat="1">
      <c r="A55151" s="136"/>
      <c r="CM55151" s="111"/>
      <c r="CQ55151" s="111"/>
      <c r="EF55151"/>
      <c r="EG55151"/>
      <c r="EH55151"/>
      <c r="EI55151"/>
      <c r="EJ55151"/>
      <c r="EK55151"/>
    </row>
    <row r="55152" spans="1:141" s="116" customFormat="1">
      <c r="A55152" s="136"/>
      <c r="CM55152" s="111"/>
      <c r="CQ55152" s="111"/>
      <c r="EF55152"/>
      <c r="EG55152"/>
      <c r="EH55152"/>
      <c r="EI55152"/>
      <c r="EJ55152"/>
      <c r="EK55152"/>
    </row>
    <row r="55153" spans="1:141" s="116" customFormat="1">
      <c r="A55153" s="136"/>
      <c r="CM55153" s="111"/>
      <c r="CQ55153" s="111"/>
      <c r="EF55153"/>
      <c r="EG55153"/>
      <c r="EH55153"/>
      <c r="EI55153"/>
      <c r="EJ55153"/>
      <c r="EK55153"/>
    </row>
    <row r="55154" spans="1:141" s="116" customFormat="1">
      <c r="A55154" s="136"/>
      <c r="CM55154" s="111"/>
      <c r="CQ55154" s="111"/>
      <c r="EF55154"/>
      <c r="EG55154"/>
      <c r="EH55154"/>
      <c r="EI55154"/>
      <c r="EJ55154"/>
      <c r="EK55154"/>
    </row>
    <row r="55155" spans="1:141" s="116" customFormat="1">
      <c r="A55155" s="136"/>
      <c r="CM55155" s="111"/>
      <c r="CQ55155" s="111"/>
      <c r="EF55155"/>
      <c r="EG55155"/>
      <c r="EH55155"/>
      <c r="EI55155"/>
      <c r="EJ55155"/>
      <c r="EK55155"/>
    </row>
    <row r="55156" spans="1:141" s="116" customFormat="1">
      <c r="A55156" s="136"/>
      <c r="CM55156" s="111"/>
      <c r="CQ55156" s="111"/>
      <c r="EF55156"/>
      <c r="EG55156"/>
      <c r="EH55156"/>
      <c r="EI55156"/>
      <c r="EJ55156"/>
      <c r="EK55156"/>
    </row>
    <row r="55157" spans="1:141" s="116" customFormat="1">
      <c r="A55157" s="136"/>
      <c r="CM55157" s="111"/>
      <c r="CQ55157" s="111"/>
      <c r="EF55157"/>
      <c r="EG55157"/>
      <c r="EH55157"/>
      <c r="EI55157"/>
      <c r="EJ55157"/>
      <c r="EK55157"/>
    </row>
    <row r="55158" spans="1:141" s="116" customFormat="1">
      <c r="A55158" s="136"/>
      <c r="CM55158" s="111"/>
      <c r="CQ55158" s="111"/>
      <c r="EF55158"/>
      <c r="EG55158"/>
      <c r="EH55158"/>
      <c r="EI55158"/>
      <c r="EJ55158"/>
      <c r="EK55158"/>
    </row>
    <row r="55159" spans="1:141" s="116" customFormat="1">
      <c r="A55159" s="136"/>
      <c r="CM55159" s="111"/>
      <c r="CQ55159" s="111"/>
      <c r="EF55159"/>
      <c r="EG55159"/>
      <c r="EH55159"/>
      <c r="EI55159"/>
      <c r="EJ55159"/>
      <c r="EK55159"/>
    </row>
    <row r="55160" spans="1:141" s="116" customFormat="1">
      <c r="A55160" s="136"/>
      <c r="CM55160" s="111"/>
      <c r="CQ55160" s="111"/>
      <c r="EF55160"/>
      <c r="EG55160"/>
      <c r="EH55160"/>
      <c r="EI55160"/>
      <c r="EJ55160"/>
      <c r="EK55160"/>
    </row>
    <row r="55161" spans="1:141" s="116" customFormat="1">
      <c r="A55161" s="136"/>
      <c r="CM55161" s="111"/>
      <c r="CQ55161" s="111"/>
      <c r="EF55161"/>
      <c r="EG55161"/>
      <c r="EH55161"/>
      <c r="EI55161"/>
      <c r="EJ55161"/>
      <c r="EK55161"/>
    </row>
    <row r="55162" spans="1:141" s="116" customFormat="1">
      <c r="A55162" s="136"/>
      <c r="CM55162" s="111"/>
      <c r="CQ55162" s="111"/>
      <c r="EF55162"/>
      <c r="EG55162"/>
      <c r="EH55162"/>
      <c r="EI55162"/>
      <c r="EJ55162"/>
      <c r="EK55162"/>
    </row>
    <row r="55163" spans="1:141" s="116" customFormat="1">
      <c r="A55163" s="136"/>
      <c r="CM55163" s="111"/>
      <c r="CQ55163" s="111"/>
      <c r="EF55163"/>
      <c r="EG55163"/>
      <c r="EH55163"/>
      <c r="EI55163"/>
      <c r="EJ55163"/>
      <c r="EK55163"/>
    </row>
    <row r="55164" spans="1:141" s="116" customFormat="1">
      <c r="A55164" s="136"/>
      <c r="CM55164" s="111"/>
      <c r="CQ55164" s="111"/>
      <c r="EF55164"/>
      <c r="EG55164"/>
      <c r="EH55164"/>
      <c r="EI55164"/>
      <c r="EJ55164"/>
      <c r="EK55164"/>
    </row>
    <row r="55165" spans="1:141" s="116" customFormat="1">
      <c r="A55165" s="136"/>
      <c r="CM55165" s="111"/>
      <c r="CQ55165" s="111"/>
      <c r="EF55165"/>
      <c r="EG55165"/>
      <c r="EH55165"/>
      <c r="EI55165"/>
      <c r="EJ55165"/>
      <c r="EK55165"/>
    </row>
    <row r="55166" spans="1:141" s="116" customFormat="1">
      <c r="A55166" s="136"/>
      <c r="CM55166" s="111"/>
      <c r="CQ55166" s="111"/>
      <c r="EF55166"/>
      <c r="EG55166"/>
      <c r="EH55166"/>
      <c r="EI55166"/>
      <c r="EJ55166"/>
      <c r="EK55166"/>
    </row>
    <row r="55167" spans="1:141" s="116" customFormat="1">
      <c r="A55167" s="136"/>
      <c r="CM55167" s="111"/>
      <c r="CQ55167" s="111"/>
      <c r="EF55167"/>
      <c r="EG55167"/>
      <c r="EH55167"/>
      <c r="EI55167"/>
      <c r="EJ55167"/>
      <c r="EK55167"/>
    </row>
    <row r="55168" spans="1:141" s="116" customFormat="1">
      <c r="A55168" s="136"/>
      <c r="CM55168" s="111"/>
      <c r="CQ55168" s="111"/>
      <c r="EF55168"/>
      <c r="EG55168"/>
      <c r="EH55168"/>
      <c r="EI55168"/>
      <c r="EJ55168"/>
      <c r="EK55168"/>
    </row>
    <row r="55169" spans="1:141" s="116" customFormat="1">
      <c r="A55169" s="136"/>
      <c r="CM55169" s="111"/>
      <c r="CQ55169" s="111"/>
      <c r="EF55169"/>
      <c r="EG55169"/>
      <c r="EH55169"/>
      <c r="EI55169"/>
      <c r="EJ55169"/>
      <c r="EK55169"/>
    </row>
    <row r="55170" spans="1:141" s="116" customFormat="1">
      <c r="A55170" s="136"/>
      <c r="CM55170" s="111"/>
      <c r="CQ55170" s="111"/>
      <c r="EF55170"/>
      <c r="EG55170"/>
      <c r="EH55170"/>
      <c r="EI55170"/>
      <c r="EJ55170"/>
      <c r="EK55170"/>
    </row>
    <row r="55171" spans="1:141" s="116" customFormat="1">
      <c r="A55171" s="136"/>
      <c r="CM55171" s="111"/>
      <c r="CQ55171" s="111"/>
      <c r="EF55171"/>
      <c r="EG55171"/>
      <c r="EH55171"/>
      <c r="EI55171"/>
      <c r="EJ55171"/>
      <c r="EK55171"/>
    </row>
    <row r="55172" spans="1:141" s="116" customFormat="1">
      <c r="A55172" s="136"/>
      <c r="CM55172" s="111"/>
      <c r="CQ55172" s="111"/>
      <c r="EF55172"/>
      <c r="EG55172"/>
      <c r="EH55172"/>
      <c r="EI55172"/>
      <c r="EJ55172"/>
      <c r="EK55172"/>
    </row>
    <row r="55173" spans="1:141" s="116" customFormat="1">
      <c r="A55173" s="136"/>
      <c r="CM55173" s="111"/>
      <c r="CQ55173" s="111"/>
      <c r="EF55173"/>
      <c r="EG55173"/>
      <c r="EH55173"/>
      <c r="EI55173"/>
      <c r="EJ55173"/>
      <c r="EK55173"/>
    </row>
    <row r="55174" spans="1:141" s="116" customFormat="1">
      <c r="A55174" s="136"/>
      <c r="CM55174" s="111"/>
      <c r="CQ55174" s="111"/>
      <c r="EF55174"/>
      <c r="EG55174"/>
      <c r="EH55174"/>
      <c r="EI55174"/>
      <c r="EJ55174"/>
      <c r="EK55174"/>
    </row>
    <row r="55175" spans="1:141" s="116" customFormat="1">
      <c r="A55175" s="136"/>
      <c r="CM55175" s="111"/>
      <c r="CQ55175" s="111"/>
      <c r="EF55175"/>
      <c r="EG55175"/>
      <c r="EH55175"/>
      <c r="EI55175"/>
      <c r="EJ55175"/>
      <c r="EK55175"/>
    </row>
    <row r="55176" spans="1:141" s="116" customFormat="1">
      <c r="A55176" s="136"/>
      <c r="CM55176" s="111"/>
      <c r="CQ55176" s="111"/>
      <c r="EF55176"/>
      <c r="EG55176"/>
      <c r="EH55176"/>
      <c r="EI55176"/>
      <c r="EJ55176"/>
      <c r="EK55176"/>
    </row>
    <row r="55177" spans="1:141" s="116" customFormat="1">
      <c r="A55177" s="136"/>
      <c r="CM55177" s="111"/>
      <c r="CQ55177" s="111"/>
      <c r="EF55177"/>
      <c r="EG55177"/>
      <c r="EH55177"/>
      <c r="EI55177"/>
      <c r="EJ55177"/>
      <c r="EK55177"/>
    </row>
    <row r="55178" spans="1:141" s="116" customFormat="1">
      <c r="A55178" s="136"/>
      <c r="CM55178" s="111"/>
      <c r="CQ55178" s="111"/>
      <c r="EF55178"/>
      <c r="EG55178"/>
      <c r="EH55178"/>
      <c r="EI55178"/>
      <c r="EJ55178"/>
      <c r="EK55178"/>
    </row>
    <row r="55179" spans="1:141" s="116" customFormat="1">
      <c r="A55179" s="136"/>
      <c r="CM55179" s="111"/>
      <c r="CQ55179" s="111"/>
      <c r="EF55179"/>
      <c r="EG55179"/>
      <c r="EH55179"/>
      <c r="EI55179"/>
      <c r="EJ55179"/>
      <c r="EK55179"/>
    </row>
    <row r="55180" spans="1:141" s="116" customFormat="1">
      <c r="A55180" s="136"/>
      <c r="CM55180" s="111"/>
      <c r="CQ55180" s="111"/>
      <c r="EF55180"/>
      <c r="EG55180"/>
      <c r="EH55180"/>
      <c r="EI55180"/>
      <c r="EJ55180"/>
      <c r="EK55180"/>
    </row>
    <row r="55181" spans="1:141" s="116" customFormat="1">
      <c r="A55181" s="136"/>
      <c r="CM55181" s="111"/>
      <c r="CQ55181" s="111"/>
      <c r="EF55181"/>
      <c r="EG55181"/>
      <c r="EH55181"/>
      <c r="EI55181"/>
      <c r="EJ55181"/>
      <c r="EK55181"/>
    </row>
    <row r="55182" spans="1:141" s="116" customFormat="1">
      <c r="A55182" s="136"/>
      <c r="CM55182" s="111"/>
      <c r="CQ55182" s="111"/>
      <c r="EF55182"/>
      <c r="EG55182"/>
      <c r="EH55182"/>
      <c r="EI55182"/>
      <c r="EJ55182"/>
      <c r="EK55182"/>
    </row>
    <row r="55183" spans="1:141" s="116" customFormat="1">
      <c r="A55183" s="136"/>
      <c r="CM55183" s="111"/>
      <c r="CQ55183" s="111"/>
      <c r="EF55183"/>
      <c r="EG55183"/>
      <c r="EH55183"/>
      <c r="EI55183"/>
      <c r="EJ55183"/>
      <c r="EK55183"/>
    </row>
    <row r="55184" spans="1:141" s="116" customFormat="1">
      <c r="A55184" s="136"/>
      <c r="CM55184" s="111"/>
      <c r="CQ55184" s="111"/>
      <c r="EF55184"/>
      <c r="EG55184"/>
      <c r="EH55184"/>
      <c r="EI55184"/>
      <c r="EJ55184"/>
      <c r="EK55184"/>
    </row>
    <row r="55185" spans="1:141" s="116" customFormat="1">
      <c r="A55185" s="136"/>
      <c r="CM55185" s="111"/>
      <c r="CQ55185" s="111"/>
      <c r="EF55185"/>
      <c r="EG55185"/>
      <c r="EH55185"/>
      <c r="EI55185"/>
      <c r="EJ55185"/>
      <c r="EK55185"/>
    </row>
    <row r="55186" spans="1:141" s="116" customFormat="1">
      <c r="A55186" s="136"/>
      <c r="CM55186" s="111"/>
      <c r="CQ55186" s="111"/>
      <c r="EF55186"/>
      <c r="EG55186"/>
      <c r="EH55186"/>
      <c r="EI55186"/>
      <c r="EJ55186"/>
      <c r="EK55186"/>
    </row>
    <row r="55187" spans="1:141" s="116" customFormat="1">
      <c r="A55187" s="136"/>
      <c r="CM55187" s="111"/>
      <c r="CQ55187" s="111"/>
      <c r="EF55187"/>
      <c r="EG55187"/>
      <c r="EH55187"/>
      <c r="EI55187"/>
      <c r="EJ55187"/>
      <c r="EK55187"/>
    </row>
    <row r="55188" spans="1:141" s="116" customFormat="1">
      <c r="A55188" s="136"/>
      <c r="CM55188" s="111"/>
      <c r="CQ55188" s="111"/>
      <c r="EF55188"/>
      <c r="EG55188"/>
      <c r="EH55188"/>
      <c r="EI55188"/>
      <c r="EJ55188"/>
      <c r="EK55188"/>
    </row>
    <row r="55189" spans="1:141" s="116" customFormat="1">
      <c r="A55189" s="136"/>
      <c r="CM55189" s="111"/>
      <c r="CQ55189" s="111"/>
      <c r="EF55189"/>
      <c r="EG55189"/>
      <c r="EH55189"/>
      <c r="EI55189"/>
      <c r="EJ55189"/>
      <c r="EK55189"/>
    </row>
    <row r="55190" spans="1:141" s="116" customFormat="1">
      <c r="A55190" s="136"/>
      <c r="CM55190" s="111"/>
      <c r="CQ55190" s="111"/>
      <c r="EF55190"/>
      <c r="EG55190"/>
      <c r="EH55190"/>
      <c r="EI55190"/>
      <c r="EJ55190"/>
      <c r="EK55190"/>
    </row>
    <row r="55191" spans="1:141" s="116" customFormat="1">
      <c r="A55191" s="136"/>
      <c r="CM55191" s="111"/>
      <c r="CQ55191" s="111"/>
      <c r="EF55191"/>
      <c r="EG55191"/>
      <c r="EH55191"/>
      <c r="EI55191"/>
      <c r="EJ55191"/>
      <c r="EK55191"/>
    </row>
    <row r="55192" spans="1:141" s="116" customFormat="1">
      <c r="A55192" s="136"/>
      <c r="CM55192" s="111"/>
      <c r="CQ55192" s="111"/>
      <c r="EF55192"/>
      <c r="EG55192"/>
      <c r="EH55192"/>
      <c r="EI55192"/>
      <c r="EJ55192"/>
      <c r="EK55192"/>
    </row>
    <row r="55193" spans="1:141" s="116" customFormat="1">
      <c r="A55193" s="136"/>
      <c r="CM55193" s="111"/>
      <c r="CQ55193" s="111"/>
      <c r="EF55193"/>
      <c r="EG55193"/>
      <c r="EH55193"/>
      <c r="EI55193"/>
      <c r="EJ55193"/>
      <c r="EK55193"/>
    </row>
    <row r="55194" spans="1:141" s="116" customFormat="1">
      <c r="A55194" s="136"/>
      <c r="CM55194" s="111"/>
      <c r="CQ55194" s="111"/>
      <c r="EF55194"/>
      <c r="EG55194"/>
      <c r="EH55194"/>
      <c r="EI55194"/>
      <c r="EJ55194"/>
      <c r="EK55194"/>
    </row>
    <row r="55195" spans="1:141" s="116" customFormat="1">
      <c r="A55195" s="136"/>
      <c r="CM55195" s="111"/>
      <c r="CQ55195" s="111"/>
      <c r="EF55195"/>
      <c r="EG55195"/>
      <c r="EH55195"/>
      <c r="EI55195"/>
      <c r="EJ55195"/>
      <c r="EK55195"/>
    </row>
    <row r="55196" spans="1:141" s="116" customFormat="1">
      <c r="A55196" s="136"/>
      <c r="CM55196" s="111"/>
      <c r="CQ55196" s="111"/>
      <c r="EF55196"/>
      <c r="EG55196"/>
      <c r="EH55196"/>
      <c r="EI55196"/>
      <c r="EJ55196"/>
      <c r="EK55196"/>
    </row>
    <row r="55197" spans="1:141" s="116" customFormat="1">
      <c r="A55197" s="136"/>
      <c r="CM55197" s="111"/>
      <c r="CQ55197" s="111"/>
      <c r="EF55197"/>
      <c r="EG55197"/>
      <c r="EH55197"/>
      <c r="EI55197"/>
      <c r="EJ55197"/>
      <c r="EK55197"/>
    </row>
    <row r="55198" spans="1:141" s="116" customFormat="1">
      <c r="A55198" s="136"/>
      <c r="CM55198" s="111"/>
      <c r="CQ55198" s="111"/>
      <c r="EF55198"/>
      <c r="EG55198"/>
      <c r="EH55198"/>
      <c r="EI55198"/>
      <c r="EJ55198"/>
      <c r="EK55198"/>
    </row>
    <row r="55199" spans="1:141" s="116" customFormat="1">
      <c r="A55199" s="136"/>
      <c r="CM55199" s="111"/>
      <c r="CQ55199" s="111"/>
      <c r="EF55199"/>
      <c r="EG55199"/>
      <c r="EH55199"/>
      <c r="EI55199"/>
      <c r="EJ55199"/>
      <c r="EK55199"/>
    </row>
    <row r="55200" spans="1:141" s="116" customFormat="1">
      <c r="A55200" s="136"/>
      <c r="CM55200" s="111"/>
      <c r="CQ55200" s="111"/>
      <c r="EF55200"/>
      <c r="EG55200"/>
      <c r="EH55200"/>
      <c r="EI55200"/>
      <c r="EJ55200"/>
      <c r="EK55200"/>
    </row>
    <row r="55201" spans="1:141" s="116" customFormat="1">
      <c r="A55201" s="136"/>
      <c r="CM55201" s="111"/>
      <c r="CQ55201" s="111"/>
      <c r="EF55201"/>
      <c r="EG55201"/>
      <c r="EH55201"/>
      <c r="EI55201"/>
      <c r="EJ55201"/>
      <c r="EK55201"/>
    </row>
    <row r="55202" spans="1:141" s="116" customFormat="1">
      <c r="A55202" s="136"/>
      <c r="CM55202" s="111"/>
      <c r="CQ55202" s="111"/>
      <c r="EF55202"/>
      <c r="EG55202"/>
      <c r="EH55202"/>
      <c r="EI55202"/>
      <c r="EJ55202"/>
      <c r="EK55202"/>
    </row>
    <row r="55203" spans="1:141" s="116" customFormat="1">
      <c r="A55203" s="136"/>
      <c r="CM55203" s="111"/>
      <c r="CQ55203" s="111"/>
      <c r="EF55203"/>
      <c r="EG55203"/>
      <c r="EH55203"/>
      <c r="EI55203"/>
      <c r="EJ55203"/>
      <c r="EK55203"/>
    </row>
    <row r="55204" spans="1:141" s="116" customFormat="1">
      <c r="A55204" s="136"/>
      <c r="CM55204" s="111"/>
      <c r="CQ55204" s="111"/>
      <c r="EF55204"/>
      <c r="EG55204"/>
      <c r="EH55204"/>
      <c r="EI55204"/>
      <c r="EJ55204"/>
      <c r="EK55204"/>
    </row>
    <row r="55205" spans="1:141" s="116" customFormat="1">
      <c r="A55205" s="136"/>
      <c r="CM55205" s="111"/>
      <c r="CQ55205" s="111"/>
      <c r="EF55205"/>
      <c r="EG55205"/>
      <c r="EH55205"/>
      <c r="EI55205"/>
      <c r="EJ55205"/>
      <c r="EK55205"/>
    </row>
    <row r="55206" spans="1:141" s="116" customFormat="1">
      <c r="A55206" s="136"/>
      <c r="CM55206" s="111"/>
      <c r="CQ55206" s="111"/>
      <c r="EF55206"/>
      <c r="EG55206"/>
      <c r="EH55206"/>
      <c r="EI55206"/>
      <c r="EJ55206"/>
      <c r="EK55206"/>
    </row>
    <row r="55207" spans="1:141" s="116" customFormat="1">
      <c r="A55207" s="136"/>
      <c r="CM55207" s="111"/>
      <c r="CQ55207" s="111"/>
      <c r="EF55207"/>
      <c r="EG55207"/>
      <c r="EH55207"/>
      <c r="EI55207"/>
      <c r="EJ55207"/>
      <c r="EK55207"/>
    </row>
    <row r="55208" spans="1:141" s="116" customFormat="1">
      <c r="A55208" s="136"/>
      <c r="CM55208" s="111"/>
      <c r="CQ55208" s="111"/>
      <c r="EF55208"/>
      <c r="EG55208"/>
      <c r="EH55208"/>
      <c r="EI55208"/>
      <c r="EJ55208"/>
      <c r="EK55208"/>
    </row>
    <row r="55209" spans="1:141" s="116" customFormat="1">
      <c r="A55209" s="136"/>
      <c r="CM55209" s="111"/>
      <c r="CQ55209" s="111"/>
      <c r="EF55209"/>
      <c r="EG55209"/>
      <c r="EH55209"/>
      <c r="EI55209"/>
      <c r="EJ55209"/>
      <c r="EK55209"/>
    </row>
    <row r="55210" spans="1:141" s="116" customFormat="1">
      <c r="A55210" s="136"/>
      <c r="CM55210" s="111"/>
      <c r="CQ55210" s="111"/>
      <c r="EF55210"/>
      <c r="EG55210"/>
      <c r="EH55210"/>
      <c r="EI55210"/>
      <c r="EJ55210"/>
      <c r="EK55210"/>
    </row>
    <row r="55211" spans="1:141" s="116" customFormat="1">
      <c r="A55211" s="136"/>
      <c r="CM55211" s="111"/>
      <c r="CQ55211" s="111"/>
      <c r="EF55211"/>
      <c r="EG55211"/>
      <c r="EH55211"/>
      <c r="EI55211"/>
      <c r="EJ55211"/>
      <c r="EK55211"/>
    </row>
    <row r="55212" spans="1:141" s="116" customFormat="1">
      <c r="A55212" s="136"/>
      <c r="CM55212" s="111"/>
      <c r="CQ55212" s="111"/>
      <c r="EF55212"/>
      <c r="EG55212"/>
      <c r="EH55212"/>
      <c r="EI55212"/>
      <c r="EJ55212"/>
      <c r="EK55212"/>
    </row>
    <row r="55213" spans="1:141" s="116" customFormat="1">
      <c r="A55213" s="136"/>
      <c r="CM55213" s="111"/>
      <c r="CQ55213" s="111"/>
      <c r="EF55213"/>
      <c r="EG55213"/>
      <c r="EH55213"/>
      <c r="EI55213"/>
      <c r="EJ55213"/>
      <c r="EK55213"/>
    </row>
    <row r="55214" spans="1:141" s="116" customFormat="1">
      <c r="A55214" s="136"/>
      <c r="CM55214" s="111"/>
      <c r="CQ55214" s="111"/>
      <c r="EF55214"/>
      <c r="EG55214"/>
      <c r="EH55214"/>
      <c r="EI55214"/>
      <c r="EJ55214"/>
      <c r="EK55214"/>
    </row>
    <row r="55215" spans="1:141" s="116" customFormat="1">
      <c r="A55215" s="136"/>
      <c r="CM55215" s="111"/>
      <c r="CQ55215" s="111"/>
      <c r="EF55215"/>
      <c r="EG55215"/>
      <c r="EH55215"/>
      <c r="EI55215"/>
      <c r="EJ55215"/>
      <c r="EK55215"/>
    </row>
    <row r="55216" spans="1:141" s="116" customFormat="1">
      <c r="A55216" s="136"/>
      <c r="CM55216" s="111"/>
      <c r="CQ55216" s="111"/>
      <c r="EF55216"/>
      <c r="EG55216"/>
      <c r="EH55216"/>
      <c r="EI55216"/>
      <c r="EJ55216"/>
      <c r="EK55216"/>
    </row>
    <row r="55217" spans="1:141" s="116" customFormat="1">
      <c r="A55217" s="136"/>
      <c r="CM55217" s="111"/>
      <c r="CQ55217" s="111"/>
      <c r="EF55217"/>
      <c r="EG55217"/>
      <c r="EH55217"/>
      <c r="EI55217"/>
      <c r="EJ55217"/>
      <c r="EK55217"/>
    </row>
    <row r="55218" spans="1:141" s="116" customFormat="1">
      <c r="A55218" s="136"/>
      <c r="CM55218" s="111"/>
      <c r="CQ55218" s="111"/>
      <c r="EF55218"/>
      <c r="EG55218"/>
      <c r="EH55218"/>
      <c r="EI55218"/>
      <c r="EJ55218"/>
      <c r="EK55218"/>
    </row>
    <row r="55219" spans="1:141" s="116" customFormat="1">
      <c r="A55219" s="136"/>
      <c r="CM55219" s="111"/>
      <c r="CQ55219" s="111"/>
      <c r="EF55219"/>
      <c r="EG55219"/>
      <c r="EH55219"/>
      <c r="EI55219"/>
      <c r="EJ55219"/>
      <c r="EK55219"/>
    </row>
    <row r="55220" spans="1:141" s="116" customFormat="1">
      <c r="A55220" s="136"/>
      <c r="CM55220" s="111"/>
      <c r="CQ55220" s="111"/>
      <c r="EF55220"/>
      <c r="EG55220"/>
      <c r="EH55220"/>
      <c r="EI55220"/>
      <c r="EJ55220"/>
      <c r="EK55220"/>
    </row>
    <row r="55221" spans="1:141" s="116" customFormat="1">
      <c r="A55221" s="136"/>
      <c r="CM55221" s="111"/>
      <c r="CQ55221" s="111"/>
      <c r="EF55221"/>
      <c r="EG55221"/>
      <c r="EH55221"/>
      <c r="EI55221"/>
      <c r="EJ55221"/>
      <c r="EK55221"/>
    </row>
    <row r="55222" spans="1:141" s="116" customFormat="1">
      <c r="A55222" s="136"/>
      <c r="CM55222" s="111"/>
      <c r="CQ55222" s="111"/>
      <c r="EF55222"/>
      <c r="EG55222"/>
      <c r="EH55222"/>
      <c r="EI55222"/>
      <c r="EJ55222"/>
      <c r="EK55222"/>
    </row>
    <row r="55223" spans="1:141" s="116" customFormat="1">
      <c r="A55223" s="136"/>
      <c r="CM55223" s="111"/>
      <c r="CQ55223" s="111"/>
      <c r="EF55223"/>
      <c r="EG55223"/>
      <c r="EH55223"/>
      <c r="EI55223"/>
      <c r="EJ55223"/>
      <c r="EK55223"/>
    </row>
    <row r="55224" spans="1:141" s="116" customFormat="1">
      <c r="A55224" s="136"/>
      <c r="CM55224" s="111"/>
      <c r="CQ55224" s="111"/>
      <c r="EF55224"/>
      <c r="EG55224"/>
      <c r="EH55224"/>
      <c r="EI55224"/>
      <c r="EJ55224"/>
      <c r="EK55224"/>
    </row>
    <row r="55225" spans="1:141" s="116" customFormat="1">
      <c r="A55225" s="136"/>
      <c r="CM55225" s="111"/>
      <c r="CQ55225" s="111"/>
      <c r="EF55225"/>
      <c r="EG55225"/>
      <c r="EH55225"/>
      <c r="EI55225"/>
      <c r="EJ55225"/>
      <c r="EK55225"/>
    </row>
    <row r="55226" spans="1:141" s="116" customFormat="1">
      <c r="A55226" s="136"/>
      <c r="CM55226" s="111"/>
      <c r="CQ55226" s="111"/>
      <c r="EF55226"/>
      <c r="EG55226"/>
      <c r="EH55226"/>
      <c r="EI55226"/>
      <c r="EJ55226"/>
      <c r="EK55226"/>
    </row>
    <row r="55227" spans="1:141" s="116" customFormat="1">
      <c r="A55227" s="136"/>
      <c r="CM55227" s="111"/>
      <c r="CQ55227" s="111"/>
      <c r="EF55227"/>
      <c r="EG55227"/>
      <c r="EH55227"/>
      <c r="EI55227"/>
      <c r="EJ55227"/>
      <c r="EK55227"/>
    </row>
    <row r="55228" spans="1:141" s="116" customFormat="1">
      <c r="A55228" s="136"/>
      <c r="CM55228" s="111"/>
      <c r="CQ55228" s="111"/>
      <c r="EF55228"/>
      <c r="EG55228"/>
      <c r="EH55228"/>
      <c r="EI55228"/>
      <c r="EJ55228"/>
      <c r="EK55228"/>
    </row>
    <row r="55229" spans="1:141" s="116" customFormat="1">
      <c r="A55229" s="136"/>
      <c r="CM55229" s="111"/>
      <c r="CQ55229" s="111"/>
      <c r="EF55229"/>
      <c r="EG55229"/>
      <c r="EH55229"/>
      <c r="EI55229"/>
      <c r="EJ55229"/>
      <c r="EK55229"/>
    </row>
    <row r="55230" spans="1:141" s="116" customFormat="1">
      <c r="A55230" s="136"/>
      <c r="CM55230" s="111"/>
      <c r="CQ55230" s="111"/>
      <c r="EF55230"/>
      <c r="EG55230"/>
      <c r="EH55230"/>
      <c r="EI55230"/>
      <c r="EJ55230"/>
      <c r="EK55230"/>
    </row>
    <row r="55231" spans="1:141" s="116" customFormat="1">
      <c r="A55231" s="136"/>
      <c r="CM55231" s="111"/>
      <c r="CQ55231" s="111"/>
      <c r="EF55231"/>
      <c r="EG55231"/>
      <c r="EH55231"/>
      <c r="EI55231"/>
      <c r="EJ55231"/>
      <c r="EK55231"/>
    </row>
    <row r="55232" spans="1:141" s="116" customFormat="1">
      <c r="A55232" s="136"/>
      <c r="CM55232" s="111"/>
      <c r="CQ55232" s="111"/>
      <c r="EF55232"/>
      <c r="EG55232"/>
      <c r="EH55232"/>
      <c r="EI55232"/>
      <c r="EJ55232"/>
      <c r="EK55232"/>
    </row>
    <row r="55233" spans="1:141" s="116" customFormat="1">
      <c r="A55233" s="136"/>
      <c r="CM55233" s="111"/>
      <c r="CQ55233" s="111"/>
      <c r="EF55233"/>
      <c r="EG55233"/>
      <c r="EH55233"/>
      <c r="EI55233"/>
      <c r="EJ55233"/>
      <c r="EK55233"/>
    </row>
    <row r="55234" spans="1:141" s="116" customFormat="1">
      <c r="A55234" s="136"/>
      <c r="CM55234" s="111"/>
      <c r="CQ55234" s="111"/>
      <c r="EF55234"/>
      <c r="EG55234"/>
      <c r="EH55234"/>
      <c r="EI55234"/>
      <c r="EJ55234"/>
      <c r="EK55234"/>
    </row>
    <row r="55235" spans="1:141" s="116" customFormat="1">
      <c r="A55235" s="136"/>
      <c r="CM55235" s="111"/>
      <c r="CQ55235" s="111"/>
      <c r="EF55235"/>
      <c r="EG55235"/>
      <c r="EH55235"/>
      <c r="EI55235"/>
      <c r="EJ55235"/>
      <c r="EK55235"/>
    </row>
    <row r="55236" spans="1:141" s="116" customFormat="1">
      <c r="A55236" s="136"/>
      <c r="CM55236" s="111"/>
      <c r="CQ55236" s="111"/>
      <c r="EF55236"/>
      <c r="EG55236"/>
      <c r="EH55236"/>
      <c r="EI55236"/>
      <c r="EJ55236"/>
      <c r="EK55236"/>
    </row>
    <row r="55237" spans="1:141" s="116" customFormat="1">
      <c r="A55237" s="136"/>
      <c r="CM55237" s="111"/>
      <c r="CQ55237" s="111"/>
      <c r="EF55237"/>
      <c r="EG55237"/>
      <c r="EH55237"/>
      <c r="EI55237"/>
      <c r="EJ55237"/>
      <c r="EK55237"/>
    </row>
    <row r="55238" spans="1:141" s="116" customFormat="1">
      <c r="A55238" s="136"/>
      <c r="CM55238" s="111"/>
      <c r="CQ55238" s="111"/>
      <c r="EF55238"/>
      <c r="EG55238"/>
      <c r="EH55238"/>
      <c r="EI55238"/>
      <c r="EJ55238"/>
      <c r="EK55238"/>
    </row>
    <row r="55239" spans="1:141" s="116" customFormat="1">
      <c r="A55239" s="136"/>
      <c r="CM55239" s="111"/>
      <c r="CQ55239" s="111"/>
      <c r="EF55239"/>
      <c r="EG55239"/>
      <c r="EH55239"/>
      <c r="EI55239"/>
      <c r="EJ55239"/>
      <c r="EK55239"/>
    </row>
    <row r="55240" spans="1:141" s="116" customFormat="1">
      <c r="A55240" s="136"/>
      <c r="CM55240" s="111"/>
      <c r="CQ55240" s="111"/>
      <c r="EF55240"/>
      <c r="EG55240"/>
      <c r="EH55240"/>
      <c r="EI55240"/>
      <c r="EJ55240"/>
      <c r="EK55240"/>
    </row>
    <row r="55241" spans="1:141" s="116" customFormat="1">
      <c r="A55241" s="136"/>
      <c r="CM55241" s="111"/>
      <c r="CQ55241" s="111"/>
      <c r="EF55241"/>
      <c r="EG55241"/>
      <c r="EH55241"/>
      <c r="EI55241"/>
      <c r="EJ55241"/>
      <c r="EK55241"/>
    </row>
    <row r="55242" spans="1:141" s="116" customFormat="1">
      <c r="A55242" s="136"/>
      <c r="CM55242" s="111"/>
      <c r="CQ55242" s="111"/>
      <c r="EF55242"/>
      <c r="EG55242"/>
      <c r="EH55242"/>
      <c r="EI55242"/>
      <c r="EJ55242"/>
      <c r="EK55242"/>
    </row>
    <row r="55243" spans="1:141" s="116" customFormat="1">
      <c r="A55243" s="136"/>
      <c r="CM55243" s="111"/>
      <c r="CQ55243" s="111"/>
      <c r="EF55243"/>
      <c r="EG55243"/>
      <c r="EH55243"/>
      <c r="EI55243"/>
      <c r="EJ55243"/>
      <c r="EK55243"/>
    </row>
    <row r="55244" spans="1:141" s="116" customFormat="1">
      <c r="A55244" s="136"/>
      <c r="CM55244" s="111"/>
      <c r="CQ55244" s="111"/>
      <c r="EF55244"/>
      <c r="EG55244"/>
      <c r="EH55244"/>
      <c r="EI55244"/>
      <c r="EJ55244"/>
      <c r="EK55244"/>
    </row>
    <row r="55245" spans="1:141" s="116" customFormat="1">
      <c r="A55245" s="136"/>
      <c r="CM55245" s="111"/>
      <c r="CQ55245" s="111"/>
      <c r="EF55245"/>
      <c r="EG55245"/>
      <c r="EH55245"/>
      <c r="EI55245"/>
      <c r="EJ55245"/>
      <c r="EK55245"/>
    </row>
    <row r="55246" spans="1:141" s="116" customFormat="1">
      <c r="A55246" s="136"/>
      <c r="CM55246" s="111"/>
      <c r="CQ55246" s="111"/>
      <c r="EF55246"/>
      <c r="EG55246"/>
      <c r="EH55246"/>
      <c r="EI55246"/>
      <c r="EJ55246"/>
      <c r="EK55246"/>
    </row>
    <row r="55247" spans="1:141" s="116" customFormat="1">
      <c r="A55247" s="136"/>
      <c r="CM55247" s="111"/>
      <c r="CQ55247" s="111"/>
      <c r="EF55247"/>
      <c r="EG55247"/>
      <c r="EH55247"/>
      <c r="EI55247"/>
      <c r="EJ55247"/>
      <c r="EK55247"/>
    </row>
    <row r="55248" spans="1:141" s="116" customFormat="1">
      <c r="A55248" s="136"/>
      <c r="CM55248" s="111"/>
      <c r="CQ55248" s="111"/>
      <c r="EF55248"/>
      <c r="EG55248"/>
      <c r="EH55248"/>
      <c r="EI55248"/>
      <c r="EJ55248"/>
      <c r="EK55248"/>
    </row>
    <row r="55249" spans="1:141" s="116" customFormat="1">
      <c r="A55249" s="136"/>
      <c r="CM55249" s="111"/>
      <c r="CQ55249" s="111"/>
      <c r="EF55249"/>
      <c r="EG55249"/>
      <c r="EH55249"/>
      <c r="EI55249"/>
      <c r="EJ55249"/>
      <c r="EK55249"/>
    </row>
    <row r="55250" spans="1:141" s="116" customFormat="1">
      <c r="A55250" s="136"/>
      <c r="CM55250" s="111"/>
      <c r="CQ55250" s="111"/>
      <c r="EF55250"/>
      <c r="EG55250"/>
      <c r="EH55250"/>
      <c r="EI55250"/>
      <c r="EJ55250"/>
      <c r="EK55250"/>
    </row>
    <row r="55251" spans="1:141" s="116" customFormat="1">
      <c r="A55251" s="136"/>
      <c r="CM55251" s="111"/>
      <c r="CQ55251" s="111"/>
      <c r="EF55251"/>
      <c r="EG55251"/>
      <c r="EH55251"/>
      <c r="EI55251"/>
      <c r="EJ55251"/>
      <c r="EK55251"/>
    </row>
    <row r="55252" spans="1:141" s="116" customFormat="1">
      <c r="A55252" s="136"/>
      <c r="CM55252" s="111"/>
      <c r="CQ55252" s="111"/>
      <c r="EF55252"/>
      <c r="EG55252"/>
      <c r="EH55252"/>
      <c r="EI55252"/>
      <c r="EJ55252"/>
      <c r="EK55252"/>
    </row>
    <row r="55253" spans="1:141" s="116" customFormat="1">
      <c r="A55253" s="136"/>
      <c r="CM55253" s="111"/>
      <c r="CQ55253" s="111"/>
      <c r="EF55253"/>
      <c r="EG55253"/>
      <c r="EH55253"/>
      <c r="EI55253"/>
      <c r="EJ55253"/>
      <c r="EK55253"/>
    </row>
    <row r="55254" spans="1:141" s="116" customFormat="1">
      <c r="A55254" s="136"/>
      <c r="CM55254" s="111"/>
      <c r="CQ55254" s="111"/>
      <c r="EF55254"/>
      <c r="EG55254"/>
      <c r="EH55254"/>
      <c r="EI55254"/>
      <c r="EJ55254"/>
      <c r="EK55254"/>
    </row>
    <row r="55255" spans="1:141" s="116" customFormat="1">
      <c r="A55255" s="136"/>
      <c r="CM55255" s="111"/>
      <c r="CQ55255" s="111"/>
      <c r="EF55255"/>
      <c r="EG55255"/>
      <c r="EH55255"/>
      <c r="EI55255"/>
      <c r="EJ55255"/>
      <c r="EK55255"/>
    </row>
    <row r="55256" spans="1:141" s="116" customFormat="1">
      <c r="A55256" s="136"/>
      <c r="CM55256" s="111"/>
      <c r="CQ55256" s="111"/>
      <c r="EF55256"/>
      <c r="EG55256"/>
      <c r="EH55256"/>
      <c r="EI55256"/>
      <c r="EJ55256"/>
      <c r="EK55256"/>
    </row>
    <row r="55257" spans="1:141" s="116" customFormat="1">
      <c r="A55257" s="136"/>
      <c r="CM55257" s="111"/>
      <c r="CQ55257" s="111"/>
      <c r="EF55257"/>
      <c r="EG55257"/>
      <c r="EH55257"/>
      <c r="EI55257"/>
      <c r="EJ55257"/>
      <c r="EK55257"/>
    </row>
    <row r="55258" spans="1:141" s="116" customFormat="1">
      <c r="A55258" s="136"/>
      <c r="CM55258" s="111"/>
      <c r="CQ55258" s="111"/>
      <c r="EF55258"/>
      <c r="EG55258"/>
      <c r="EH55258"/>
      <c r="EI55258"/>
      <c r="EJ55258"/>
      <c r="EK55258"/>
    </row>
    <row r="55259" spans="1:141" s="116" customFormat="1">
      <c r="A55259" s="136"/>
      <c r="CM55259" s="111"/>
      <c r="CQ55259" s="111"/>
      <c r="EF55259"/>
      <c r="EG55259"/>
      <c r="EH55259"/>
      <c r="EI55259"/>
      <c r="EJ55259"/>
      <c r="EK55259"/>
    </row>
    <row r="55260" spans="1:141" s="116" customFormat="1">
      <c r="A55260" s="136"/>
      <c r="CM55260" s="111"/>
      <c r="CQ55260" s="111"/>
      <c r="EF55260"/>
      <c r="EG55260"/>
      <c r="EH55260"/>
      <c r="EI55260"/>
      <c r="EJ55260"/>
      <c r="EK55260"/>
    </row>
    <row r="55261" spans="1:141" s="116" customFormat="1">
      <c r="A55261" s="136"/>
      <c r="CM55261" s="111"/>
      <c r="CQ55261" s="111"/>
      <c r="EF55261"/>
      <c r="EG55261"/>
      <c r="EH55261"/>
      <c r="EI55261"/>
      <c r="EJ55261"/>
      <c r="EK55261"/>
    </row>
    <row r="55262" spans="1:141" s="116" customFormat="1">
      <c r="A55262" s="136"/>
      <c r="CM55262" s="111"/>
      <c r="CQ55262" s="111"/>
      <c r="EF55262"/>
      <c r="EG55262"/>
      <c r="EH55262"/>
      <c r="EI55262"/>
      <c r="EJ55262"/>
      <c r="EK55262"/>
    </row>
    <row r="55263" spans="1:141" s="116" customFormat="1">
      <c r="A55263" s="136"/>
      <c r="CM55263" s="111"/>
      <c r="CQ55263" s="111"/>
      <c r="EF55263"/>
      <c r="EG55263"/>
      <c r="EH55263"/>
      <c r="EI55263"/>
      <c r="EJ55263"/>
      <c r="EK55263"/>
    </row>
    <row r="55264" spans="1:141" s="116" customFormat="1">
      <c r="A55264" s="136"/>
      <c r="CM55264" s="111"/>
      <c r="CQ55264" s="111"/>
      <c r="EF55264"/>
      <c r="EG55264"/>
      <c r="EH55264"/>
      <c r="EI55264"/>
      <c r="EJ55264"/>
      <c r="EK55264"/>
    </row>
    <row r="55265" spans="1:141" s="116" customFormat="1">
      <c r="A55265" s="136"/>
      <c r="CM55265" s="111"/>
      <c r="CQ55265" s="111"/>
      <c r="EF55265"/>
      <c r="EG55265"/>
      <c r="EH55265"/>
      <c r="EI55265"/>
      <c r="EJ55265"/>
      <c r="EK55265"/>
    </row>
    <row r="55266" spans="1:141" s="116" customFormat="1">
      <c r="A55266" s="136"/>
      <c r="CM55266" s="111"/>
      <c r="CQ55266" s="111"/>
      <c r="EF55266"/>
      <c r="EG55266"/>
      <c r="EH55266"/>
      <c r="EI55266"/>
      <c r="EJ55266"/>
      <c r="EK55266"/>
    </row>
    <row r="55267" spans="1:141" s="116" customFormat="1">
      <c r="A55267" s="136"/>
      <c r="CM55267" s="111"/>
      <c r="CQ55267" s="111"/>
      <c r="EF55267"/>
      <c r="EG55267"/>
      <c r="EH55267"/>
      <c r="EI55267"/>
      <c r="EJ55267"/>
      <c r="EK55267"/>
    </row>
    <row r="55268" spans="1:141" s="116" customFormat="1">
      <c r="A55268" s="136"/>
      <c r="CM55268" s="111"/>
      <c r="CQ55268" s="111"/>
      <c r="EF55268"/>
      <c r="EG55268"/>
      <c r="EH55268"/>
      <c r="EI55268"/>
      <c r="EJ55268"/>
      <c r="EK55268"/>
    </row>
    <row r="55269" spans="1:141" s="116" customFormat="1">
      <c r="A55269" s="136"/>
      <c r="CM55269" s="111"/>
      <c r="CQ55269" s="111"/>
      <c r="EF55269"/>
      <c r="EG55269"/>
      <c r="EH55269"/>
      <c r="EI55269"/>
      <c r="EJ55269"/>
      <c r="EK55269"/>
    </row>
    <row r="55270" spans="1:141" s="116" customFormat="1">
      <c r="A55270" s="136"/>
      <c r="CM55270" s="111"/>
      <c r="CQ55270" s="111"/>
      <c r="EF55270"/>
      <c r="EG55270"/>
      <c r="EH55270"/>
      <c r="EI55270"/>
      <c r="EJ55270"/>
      <c r="EK55270"/>
    </row>
    <row r="55271" spans="1:141" s="116" customFormat="1">
      <c r="A55271" s="136"/>
      <c r="CM55271" s="111"/>
      <c r="CQ55271" s="111"/>
      <c r="EF55271"/>
      <c r="EG55271"/>
      <c r="EH55271"/>
      <c r="EI55271"/>
      <c r="EJ55271"/>
      <c r="EK55271"/>
    </row>
    <row r="55272" spans="1:141" s="116" customFormat="1">
      <c r="A55272" s="136"/>
      <c r="CM55272" s="111"/>
      <c r="CQ55272" s="111"/>
      <c r="EF55272"/>
      <c r="EG55272"/>
      <c r="EH55272"/>
      <c r="EI55272"/>
      <c r="EJ55272"/>
      <c r="EK55272"/>
    </row>
    <row r="55273" spans="1:141" s="116" customFormat="1">
      <c r="A55273" s="136"/>
      <c r="CM55273" s="111"/>
      <c r="CQ55273" s="111"/>
      <c r="EF55273"/>
      <c r="EG55273"/>
      <c r="EH55273"/>
      <c r="EI55273"/>
      <c r="EJ55273"/>
      <c r="EK55273"/>
    </row>
    <row r="55274" spans="1:141" s="116" customFormat="1">
      <c r="A55274" s="136"/>
      <c r="CM55274" s="111"/>
      <c r="CQ55274" s="111"/>
      <c r="EF55274"/>
      <c r="EG55274"/>
      <c r="EH55274"/>
      <c r="EI55274"/>
      <c r="EJ55274"/>
      <c r="EK55274"/>
    </row>
    <row r="55275" spans="1:141" s="116" customFormat="1">
      <c r="A55275" s="136"/>
      <c r="CM55275" s="111"/>
      <c r="CQ55275" s="111"/>
      <c r="EF55275"/>
      <c r="EG55275"/>
      <c r="EH55275"/>
      <c r="EI55275"/>
      <c r="EJ55275"/>
      <c r="EK55275"/>
    </row>
    <row r="55276" spans="1:141" s="116" customFormat="1">
      <c r="A55276" s="136"/>
      <c r="CM55276" s="111"/>
      <c r="CQ55276" s="111"/>
      <c r="EF55276"/>
      <c r="EG55276"/>
      <c r="EH55276"/>
      <c r="EI55276"/>
      <c r="EJ55276"/>
      <c r="EK55276"/>
    </row>
    <row r="55277" spans="1:141" s="116" customFormat="1">
      <c r="A55277" s="136"/>
      <c r="CM55277" s="111"/>
      <c r="CQ55277" s="111"/>
      <c r="EF55277"/>
      <c r="EG55277"/>
      <c r="EH55277"/>
      <c r="EI55277"/>
      <c r="EJ55277"/>
      <c r="EK55277"/>
    </row>
    <row r="55278" spans="1:141" s="116" customFormat="1">
      <c r="A55278" s="136"/>
      <c r="CM55278" s="111"/>
      <c r="CQ55278" s="111"/>
      <c r="EF55278"/>
      <c r="EG55278"/>
      <c r="EH55278"/>
      <c r="EI55278"/>
      <c r="EJ55278"/>
      <c r="EK55278"/>
    </row>
    <row r="55279" spans="1:141" s="116" customFormat="1">
      <c r="A55279" s="136"/>
      <c r="CM55279" s="111"/>
      <c r="CQ55279" s="111"/>
      <c r="EF55279"/>
      <c r="EG55279"/>
      <c r="EH55279"/>
      <c r="EI55279"/>
      <c r="EJ55279"/>
      <c r="EK55279"/>
    </row>
    <row r="55280" spans="1:141" s="116" customFormat="1">
      <c r="A55280" s="136"/>
      <c r="CM55280" s="111"/>
      <c r="CQ55280" s="111"/>
      <c r="EF55280"/>
      <c r="EG55280"/>
      <c r="EH55280"/>
      <c r="EI55280"/>
      <c r="EJ55280"/>
      <c r="EK55280"/>
    </row>
    <row r="55281" spans="1:141" s="116" customFormat="1">
      <c r="A55281" s="136"/>
      <c r="CM55281" s="111"/>
      <c r="CQ55281" s="111"/>
      <c r="EF55281"/>
      <c r="EG55281"/>
      <c r="EH55281"/>
      <c r="EI55281"/>
      <c r="EJ55281"/>
      <c r="EK55281"/>
    </row>
    <row r="55282" spans="1:141" s="116" customFormat="1">
      <c r="A55282" s="136"/>
      <c r="CM55282" s="111"/>
      <c r="CQ55282" s="111"/>
      <c r="EF55282"/>
      <c r="EG55282"/>
      <c r="EH55282"/>
      <c r="EI55282"/>
      <c r="EJ55282"/>
      <c r="EK55282"/>
    </row>
    <row r="55283" spans="1:141" s="116" customFormat="1">
      <c r="A55283" s="136"/>
      <c r="CM55283" s="111"/>
      <c r="CQ55283" s="111"/>
      <c r="EF55283"/>
      <c r="EG55283"/>
      <c r="EH55283"/>
      <c r="EI55283"/>
      <c r="EJ55283"/>
      <c r="EK55283"/>
    </row>
    <row r="55284" spans="1:141" s="116" customFormat="1">
      <c r="A55284" s="136"/>
      <c r="CM55284" s="111"/>
      <c r="CQ55284" s="111"/>
      <c r="EF55284"/>
      <c r="EG55284"/>
      <c r="EH55284"/>
      <c r="EI55284"/>
      <c r="EJ55284"/>
      <c r="EK55284"/>
    </row>
    <row r="55285" spans="1:141" s="116" customFormat="1">
      <c r="A55285" s="136"/>
      <c r="CM55285" s="111"/>
      <c r="CQ55285" s="111"/>
      <c r="EF55285"/>
      <c r="EG55285"/>
      <c r="EH55285"/>
      <c r="EI55285"/>
      <c r="EJ55285"/>
      <c r="EK55285"/>
    </row>
    <row r="55286" spans="1:141" s="116" customFormat="1">
      <c r="A55286" s="136"/>
      <c r="CM55286" s="111"/>
      <c r="CQ55286" s="111"/>
      <c r="EF55286"/>
      <c r="EG55286"/>
      <c r="EH55286"/>
      <c r="EI55286"/>
      <c r="EJ55286"/>
      <c r="EK55286"/>
    </row>
    <row r="55287" spans="1:141" s="116" customFormat="1">
      <c r="A55287" s="136"/>
      <c r="CM55287" s="111"/>
      <c r="CQ55287" s="111"/>
      <c r="EF55287"/>
      <c r="EG55287"/>
      <c r="EH55287"/>
      <c r="EI55287"/>
      <c r="EJ55287"/>
      <c r="EK55287"/>
    </row>
    <row r="55288" spans="1:141" s="116" customFormat="1">
      <c r="A55288" s="136"/>
      <c r="CM55288" s="111"/>
      <c r="CQ55288" s="111"/>
      <c r="EF55288"/>
      <c r="EG55288"/>
      <c r="EH55288"/>
      <c r="EI55288"/>
      <c r="EJ55288"/>
      <c r="EK55288"/>
    </row>
    <row r="55289" spans="1:141" s="116" customFormat="1">
      <c r="A55289" s="136"/>
      <c r="CM55289" s="111"/>
      <c r="CQ55289" s="111"/>
      <c r="EF55289"/>
      <c r="EG55289"/>
      <c r="EH55289"/>
      <c r="EI55289"/>
      <c r="EJ55289"/>
      <c r="EK55289"/>
    </row>
    <row r="55290" spans="1:141" s="116" customFormat="1">
      <c r="A55290" s="136"/>
      <c r="CM55290" s="111"/>
      <c r="CQ55290" s="111"/>
      <c r="EF55290"/>
      <c r="EG55290"/>
      <c r="EH55290"/>
      <c r="EI55290"/>
      <c r="EJ55290"/>
      <c r="EK55290"/>
    </row>
    <row r="55291" spans="1:141" s="116" customFormat="1">
      <c r="A55291" s="136"/>
      <c r="CM55291" s="111"/>
      <c r="CQ55291" s="111"/>
      <c r="EF55291"/>
      <c r="EG55291"/>
      <c r="EH55291"/>
      <c r="EI55291"/>
      <c r="EJ55291"/>
      <c r="EK55291"/>
    </row>
    <row r="55292" spans="1:141" s="116" customFormat="1">
      <c r="A55292" s="136"/>
      <c r="CM55292" s="111"/>
      <c r="CQ55292" s="111"/>
      <c r="EF55292"/>
      <c r="EG55292"/>
      <c r="EH55292"/>
      <c r="EI55292"/>
      <c r="EJ55292"/>
      <c r="EK55292"/>
    </row>
    <row r="55293" spans="1:141" s="116" customFormat="1">
      <c r="A55293" s="136"/>
      <c r="CM55293" s="111"/>
      <c r="CQ55293" s="111"/>
      <c r="EF55293"/>
      <c r="EG55293"/>
      <c r="EH55293"/>
      <c r="EI55293"/>
      <c r="EJ55293"/>
      <c r="EK55293"/>
    </row>
    <row r="55294" spans="1:141" s="116" customFormat="1">
      <c r="A55294" s="136"/>
      <c r="CM55294" s="111"/>
      <c r="CQ55294" s="111"/>
      <c r="EF55294"/>
      <c r="EG55294"/>
      <c r="EH55294"/>
      <c r="EI55294"/>
      <c r="EJ55294"/>
      <c r="EK55294"/>
    </row>
    <row r="55295" spans="1:141" s="116" customFormat="1">
      <c r="A55295" s="136"/>
      <c r="CM55295" s="111"/>
      <c r="CQ55295" s="111"/>
      <c r="EF55295"/>
      <c r="EG55295"/>
      <c r="EH55295"/>
      <c r="EI55295"/>
      <c r="EJ55295"/>
      <c r="EK55295"/>
    </row>
    <row r="55296" spans="1:141" s="116" customFormat="1">
      <c r="A55296" s="136"/>
      <c r="CM55296" s="111"/>
      <c r="CQ55296" s="111"/>
      <c r="EF55296"/>
      <c r="EG55296"/>
      <c r="EH55296"/>
      <c r="EI55296"/>
      <c r="EJ55296"/>
      <c r="EK55296"/>
    </row>
    <row r="55297" spans="1:141" s="116" customFormat="1">
      <c r="A55297" s="136"/>
      <c r="CM55297" s="111"/>
      <c r="CQ55297" s="111"/>
      <c r="EF55297"/>
      <c r="EG55297"/>
      <c r="EH55297"/>
      <c r="EI55297"/>
      <c r="EJ55297"/>
      <c r="EK55297"/>
    </row>
    <row r="55298" spans="1:141" s="116" customFormat="1">
      <c r="A55298" s="136"/>
      <c r="CM55298" s="111"/>
      <c r="CQ55298" s="111"/>
      <c r="EF55298"/>
      <c r="EG55298"/>
      <c r="EH55298"/>
      <c r="EI55298"/>
      <c r="EJ55298"/>
      <c r="EK55298"/>
    </row>
    <row r="55299" spans="1:141" s="116" customFormat="1">
      <c r="A55299" s="136"/>
      <c r="CM55299" s="111"/>
      <c r="CQ55299" s="111"/>
      <c r="EF55299"/>
      <c r="EG55299"/>
      <c r="EH55299"/>
      <c r="EI55299"/>
      <c r="EJ55299"/>
      <c r="EK55299"/>
    </row>
    <row r="55300" spans="1:141" s="116" customFormat="1">
      <c r="A55300" s="136"/>
      <c r="CM55300" s="111"/>
      <c r="CQ55300" s="111"/>
      <c r="EF55300"/>
      <c r="EG55300"/>
      <c r="EH55300"/>
      <c r="EI55300"/>
      <c r="EJ55300"/>
      <c r="EK55300"/>
    </row>
    <row r="55301" spans="1:141" s="116" customFormat="1">
      <c r="A55301" s="136"/>
      <c r="CM55301" s="111"/>
      <c r="CQ55301" s="111"/>
      <c r="EF55301"/>
      <c r="EG55301"/>
      <c r="EH55301"/>
      <c r="EI55301"/>
      <c r="EJ55301"/>
      <c r="EK55301"/>
    </row>
    <row r="55302" spans="1:141" s="116" customFormat="1">
      <c r="A55302" s="136"/>
      <c r="CM55302" s="111"/>
      <c r="CQ55302" s="111"/>
      <c r="EF55302"/>
      <c r="EG55302"/>
      <c r="EH55302"/>
      <c r="EI55302"/>
      <c r="EJ55302"/>
      <c r="EK55302"/>
    </row>
    <row r="55303" spans="1:141" s="116" customFormat="1">
      <c r="A55303" s="136"/>
      <c r="CM55303" s="111"/>
      <c r="CQ55303" s="111"/>
      <c r="EF55303"/>
      <c r="EG55303"/>
      <c r="EH55303"/>
      <c r="EI55303"/>
      <c r="EJ55303"/>
      <c r="EK55303"/>
    </row>
    <row r="55304" spans="1:141" s="116" customFormat="1">
      <c r="A55304" s="136"/>
      <c r="CM55304" s="111"/>
      <c r="CQ55304" s="111"/>
      <c r="EF55304"/>
      <c r="EG55304"/>
      <c r="EH55304"/>
      <c r="EI55304"/>
      <c r="EJ55304"/>
      <c r="EK55304"/>
    </row>
    <row r="55305" spans="1:141" s="116" customFormat="1">
      <c r="A55305" s="136"/>
      <c r="CM55305" s="111"/>
      <c r="CQ55305" s="111"/>
      <c r="EF55305"/>
      <c r="EG55305"/>
      <c r="EH55305"/>
      <c r="EI55305"/>
      <c r="EJ55305"/>
      <c r="EK55305"/>
    </row>
    <row r="55306" spans="1:141" s="116" customFormat="1">
      <c r="A55306" s="136"/>
      <c r="CM55306" s="111"/>
      <c r="CQ55306" s="111"/>
      <c r="EF55306"/>
      <c r="EG55306"/>
      <c r="EH55306"/>
      <c r="EI55306"/>
      <c r="EJ55306"/>
      <c r="EK55306"/>
    </row>
    <row r="55307" spans="1:141" s="116" customFormat="1">
      <c r="A55307" s="136"/>
      <c r="CM55307" s="111"/>
      <c r="CQ55307" s="111"/>
      <c r="EF55307"/>
      <c r="EG55307"/>
      <c r="EH55307"/>
      <c r="EI55307"/>
      <c r="EJ55307"/>
      <c r="EK55307"/>
    </row>
    <row r="55308" spans="1:141" s="116" customFormat="1">
      <c r="A55308" s="136"/>
      <c r="CM55308" s="111"/>
      <c r="CQ55308" s="111"/>
      <c r="EF55308"/>
      <c r="EG55308"/>
      <c r="EH55308"/>
      <c r="EI55308"/>
      <c r="EJ55308"/>
      <c r="EK55308"/>
    </row>
    <row r="55309" spans="1:141" s="116" customFormat="1">
      <c r="A55309" s="136"/>
      <c r="CM55309" s="111"/>
      <c r="CQ55309" s="111"/>
      <c r="EF55309"/>
      <c r="EG55309"/>
      <c r="EH55309"/>
      <c r="EI55309"/>
      <c r="EJ55309"/>
      <c r="EK55309"/>
    </row>
    <row r="55310" spans="1:141" s="116" customFormat="1">
      <c r="A55310" s="136"/>
      <c r="CM55310" s="111"/>
      <c r="CQ55310" s="111"/>
      <c r="EF55310"/>
      <c r="EG55310"/>
      <c r="EH55310"/>
      <c r="EI55310"/>
      <c r="EJ55310"/>
      <c r="EK55310"/>
    </row>
    <row r="55311" spans="1:141" s="116" customFormat="1">
      <c r="A55311" s="136"/>
      <c r="CM55311" s="111"/>
      <c r="CQ55311" s="111"/>
      <c r="EF55311"/>
      <c r="EG55311"/>
      <c r="EH55311"/>
      <c r="EI55311"/>
      <c r="EJ55311"/>
      <c r="EK55311"/>
    </row>
    <row r="55312" spans="1:141" s="116" customFormat="1">
      <c r="A55312" s="136"/>
      <c r="CM55312" s="111"/>
      <c r="CQ55312" s="111"/>
      <c r="EF55312"/>
      <c r="EG55312"/>
      <c r="EH55312"/>
      <c r="EI55312"/>
      <c r="EJ55312"/>
      <c r="EK55312"/>
    </row>
    <row r="55313" spans="1:141" s="116" customFormat="1">
      <c r="A55313" s="136"/>
      <c r="CM55313" s="111"/>
      <c r="CQ55313" s="111"/>
      <c r="EF55313"/>
      <c r="EG55313"/>
      <c r="EH55313"/>
      <c r="EI55313"/>
      <c r="EJ55313"/>
      <c r="EK55313"/>
    </row>
    <row r="55314" spans="1:141" s="116" customFormat="1">
      <c r="A55314" s="136"/>
      <c r="CM55314" s="111"/>
      <c r="CQ55314" s="111"/>
      <c r="EF55314"/>
      <c r="EG55314"/>
      <c r="EH55314"/>
      <c r="EI55314"/>
      <c r="EJ55314"/>
      <c r="EK55314"/>
    </row>
    <row r="55315" spans="1:141" s="116" customFormat="1">
      <c r="A55315" s="136"/>
      <c r="CM55315" s="111"/>
      <c r="CQ55315" s="111"/>
      <c r="EF55315"/>
      <c r="EG55315"/>
      <c r="EH55315"/>
      <c r="EI55315"/>
      <c r="EJ55315"/>
      <c r="EK55315"/>
    </row>
    <row r="55316" spans="1:141" s="116" customFormat="1">
      <c r="A55316" s="136"/>
      <c r="CM55316" s="111"/>
      <c r="CQ55316" s="111"/>
      <c r="EF55316"/>
      <c r="EG55316"/>
      <c r="EH55316"/>
      <c r="EI55316"/>
      <c r="EJ55316"/>
      <c r="EK55316"/>
    </row>
    <row r="55317" spans="1:141" s="116" customFormat="1">
      <c r="A55317" s="136"/>
      <c r="CM55317" s="111"/>
      <c r="CQ55317" s="111"/>
      <c r="EF55317"/>
      <c r="EG55317"/>
      <c r="EH55317"/>
      <c r="EI55317"/>
      <c r="EJ55317"/>
      <c r="EK55317"/>
    </row>
    <row r="55318" spans="1:141" s="116" customFormat="1">
      <c r="A55318" s="136"/>
      <c r="CM55318" s="111"/>
      <c r="CQ55318" s="111"/>
      <c r="EF55318"/>
      <c r="EG55318"/>
      <c r="EH55318"/>
      <c r="EI55318"/>
      <c r="EJ55318"/>
      <c r="EK55318"/>
    </row>
    <row r="55319" spans="1:141" s="116" customFormat="1">
      <c r="A55319" s="136"/>
      <c r="CM55319" s="111"/>
      <c r="CQ55319" s="111"/>
      <c r="EF55319"/>
      <c r="EG55319"/>
      <c r="EH55319"/>
      <c r="EI55319"/>
      <c r="EJ55319"/>
      <c r="EK55319"/>
    </row>
    <row r="55320" spans="1:141" s="116" customFormat="1">
      <c r="A55320" s="136"/>
      <c r="CM55320" s="111"/>
      <c r="CQ55320" s="111"/>
      <c r="EF55320"/>
      <c r="EG55320"/>
      <c r="EH55320"/>
      <c r="EI55320"/>
      <c r="EJ55320"/>
      <c r="EK55320"/>
    </row>
    <row r="55321" spans="1:141" s="116" customFormat="1">
      <c r="A55321" s="136"/>
      <c r="CM55321" s="111"/>
      <c r="CQ55321" s="111"/>
      <c r="EF55321"/>
      <c r="EG55321"/>
      <c r="EH55321"/>
      <c r="EI55321"/>
      <c r="EJ55321"/>
      <c r="EK55321"/>
    </row>
    <row r="55322" spans="1:141" s="116" customFormat="1">
      <c r="A55322" s="136"/>
      <c r="CM55322" s="111"/>
      <c r="CQ55322" s="111"/>
      <c r="EF55322"/>
      <c r="EG55322"/>
      <c r="EH55322"/>
      <c r="EI55322"/>
      <c r="EJ55322"/>
      <c r="EK55322"/>
    </row>
    <row r="55323" spans="1:141" s="116" customFormat="1">
      <c r="A55323" s="136"/>
      <c r="CM55323" s="111"/>
      <c r="CQ55323" s="111"/>
      <c r="EF55323"/>
      <c r="EG55323"/>
      <c r="EH55323"/>
      <c r="EI55323"/>
      <c r="EJ55323"/>
      <c r="EK55323"/>
    </row>
    <row r="55324" spans="1:141" s="116" customFormat="1">
      <c r="A55324" s="136"/>
      <c r="CM55324" s="111"/>
      <c r="CQ55324" s="111"/>
      <c r="EF55324"/>
      <c r="EG55324"/>
      <c r="EH55324"/>
      <c r="EI55324"/>
      <c r="EJ55324"/>
      <c r="EK55324"/>
    </row>
    <row r="55325" spans="1:141" s="116" customFormat="1">
      <c r="A55325" s="136"/>
      <c r="CM55325" s="111"/>
      <c r="CQ55325" s="111"/>
      <c r="EF55325"/>
      <c r="EG55325"/>
      <c r="EH55325"/>
      <c r="EI55325"/>
      <c r="EJ55325"/>
      <c r="EK55325"/>
    </row>
    <row r="55326" spans="1:141" s="116" customFormat="1">
      <c r="A55326" s="136"/>
      <c r="CM55326" s="111"/>
      <c r="CQ55326" s="111"/>
      <c r="EF55326"/>
      <c r="EG55326"/>
      <c r="EH55326"/>
      <c r="EI55326"/>
      <c r="EJ55326"/>
      <c r="EK55326"/>
    </row>
    <row r="55327" spans="1:141" s="116" customFormat="1">
      <c r="A55327" s="136"/>
      <c r="CM55327" s="111"/>
      <c r="CQ55327" s="111"/>
      <c r="EF55327"/>
      <c r="EG55327"/>
      <c r="EH55327"/>
      <c r="EI55327"/>
      <c r="EJ55327"/>
      <c r="EK55327"/>
    </row>
    <row r="55328" spans="1:141" s="116" customFormat="1">
      <c r="A55328" s="136"/>
      <c r="CM55328" s="111"/>
      <c r="CQ55328" s="111"/>
      <c r="EF55328"/>
      <c r="EG55328"/>
      <c r="EH55328"/>
      <c r="EI55328"/>
      <c r="EJ55328"/>
      <c r="EK55328"/>
    </row>
    <row r="55329" spans="1:141" s="116" customFormat="1">
      <c r="A55329" s="136"/>
      <c r="CM55329" s="111"/>
      <c r="CQ55329" s="111"/>
      <c r="EF55329"/>
      <c r="EG55329"/>
      <c r="EH55329"/>
      <c r="EI55329"/>
      <c r="EJ55329"/>
      <c r="EK55329"/>
    </row>
    <row r="55330" spans="1:141" s="116" customFormat="1">
      <c r="A55330" s="136"/>
      <c r="CM55330" s="111"/>
      <c r="CQ55330" s="111"/>
      <c r="EF55330"/>
      <c r="EG55330"/>
      <c r="EH55330"/>
      <c r="EI55330"/>
      <c r="EJ55330"/>
      <c r="EK55330"/>
    </row>
    <row r="55331" spans="1:141" s="116" customFormat="1">
      <c r="A55331" s="136"/>
      <c r="CM55331" s="111"/>
      <c r="CQ55331" s="111"/>
      <c r="EF55331"/>
      <c r="EG55331"/>
      <c r="EH55331"/>
      <c r="EI55331"/>
      <c r="EJ55331"/>
      <c r="EK55331"/>
    </row>
    <row r="55332" spans="1:141" s="116" customFormat="1">
      <c r="A55332" s="136"/>
      <c r="CM55332" s="111"/>
      <c r="CQ55332" s="111"/>
      <c r="EF55332"/>
      <c r="EG55332"/>
      <c r="EH55332"/>
      <c r="EI55332"/>
      <c r="EJ55332"/>
      <c r="EK55332"/>
    </row>
    <row r="55333" spans="1:141" s="116" customFormat="1">
      <c r="A55333" s="136"/>
      <c r="CM55333" s="111"/>
      <c r="CQ55333" s="111"/>
      <c r="EF55333"/>
      <c r="EG55333"/>
      <c r="EH55333"/>
      <c r="EI55333"/>
      <c r="EJ55333"/>
      <c r="EK55333"/>
    </row>
    <row r="55334" spans="1:141" s="116" customFormat="1">
      <c r="A55334" s="136"/>
      <c r="CM55334" s="111"/>
      <c r="CQ55334" s="111"/>
      <c r="EF55334"/>
      <c r="EG55334"/>
      <c r="EH55334"/>
      <c r="EI55334"/>
      <c r="EJ55334"/>
      <c r="EK55334"/>
    </row>
    <row r="55335" spans="1:141" s="116" customFormat="1">
      <c r="A55335" s="136"/>
      <c r="CM55335" s="111"/>
      <c r="CQ55335" s="111"/>
      <c r="EF55335"/>
      <c r="EG55335"/>
      <c r="EH55335"/>
      <c r="EI55335"/>
      <c r="EJ55335"/>
      <c r="EK55335"/>
    </row>
    <row r="55336" spans="1:141" s="116" customFormat="1">
      <c r="A55336" s="136"/>
      <c r="CM55336" s="111"/>
      <c r="CQ55336" s="111"/>
      <c r="EF55336"/>
      <c r="EG55336"/>
      <c r="EH55336"/>
      <c r="EI55336"/>
      <c r="EJ55336"/>
      <c r="EK55336"/>
    </row>
    <row r="55337" spans="1:141" s="116" customFormat="1">
      <c r="A55337" s="136"/>
      <c r="CM55337" s="111"/>
      <c r="CQ55337" s="111"/>
      <c r="EF55337"/>
      <c r="EG55337"/>
      <c r="EH55337"/>
      <c r="EI55337"/>
      <c r="EJ55337"/>
      <c r="EK55337"/>
    </row>
    <row r="55338" spans="1:141" s="116" customFormat="1">
      <c r="A55338" s="136"/>
      <c r="CM55338" s="111"/>
      <c r="CQ55338" s="111"/>
      <c r="EF55338"/>
      <c r="EG55338"/>
      <c r="EH55338"/>
      <c r="EI55338"/>
      <c r="EJ55338"/>
      <c r="EK55338"/>
    </row>
    <row r="55339" spans="1:141" s="116" customFormat="1">
      <c r="A55339" s="136"/>
      <c r="CM55339" s="111"/>
      <c r="CQ55339" s="111"/>
      <c r="EF55339"/>
      <c r="EG55339"/>
      <c r="EH55339"/>
      <c r="EI55339"/>
      <c r="EJ55339"/>
      <c r="EK55339"/>
    </row>
    <row r="55340" spans="1:141" s="116" customFormat="1">
      <c r="A55340" s="136"/>
      <c r="CM55340" s="111"/>
      <c r="CQ55340" s="111"/>
      <c r="EF55340"/>
      <c r="EG55340"/>
      <c r="EH55340"/>
      <c r="EI55340"/>
      <c r="EJ55340"/>
      <c r="EK55340"/>
    </row>
    <row r="55341" spans="1:141" s="116" customFormat="1">
      <c r="A55341" s="136"/>
      <c r="CM55341" s="111"/>
      <c r="CQ55341" s="111"/>
      <c r="EF55341"/>
      <c r="EG55341"/>
      <c r="EH55341"/>
      <c r="EI55341"/>
      <c r="EJ55341"/>
      <c r="EK55341"/>
    </row>
    <row r="55342" spans="1:141" s="116" customFormat="1">
      <c r="A55342" s="136"/>
      <c r="CM55342" s="111"/>
      <c r="CQ55342" s="111"/>
      <c r="EF55342"/>
      <c r="EG55342"/>
      <c r="EH55342"/>
      <c r="EI55342"/>
      <c r="EJ55342"/>
      <c r="EK55342"/>
    </row>
    <row r="55343" spans="1:141" s="116" customFormat="1">
      <c r="A55343" s="136"/>
      <c r="CM55343" s="111"/>
      <c r="CQ55343" s="111"/>
      <c r="EF55343"/>
      <c r="EG55343"/>
      <c r="EH55343"/>
      <c r="EI55343"/>
      <c r="EJ55343"/>
      <c r="EK55343"/>
    </row>
    <row r="55344" spans="1:141" s="116" customFormat="1">
      <c r="A55344" s="136"/>
      <c r="CM55344" s="111"/>
      <c r="CQ55344" s="111"/>
      <c r="EF55344"/>
      <c r="EG55344"/>
      <c r="EH55344"/>
      <c r="EI55344"/>
      <c r="EJ55344"/>
      <c r="EK55344"/>
    </row>
    <row r="55345" spans="1:141" s="116" customFormat="1">
      <c r="A55345" s="136"/>
      <c r="CM55345" s="111"/>
      <c r="CQ55345" s="111"/>
      <c r="EF55345"/>
      <c r="EG55345"/>
      <c r="EH55345"/>
      <c r="EI55345"/>
      <c r="EJ55345"/>
      <c r="EK55345"/>
    </row>
    <row r="55346" spans="1:141" s="116" customFormat="1">
      <c r="A55346" s="136"/>
      <c r="CM55346" s="111"/>
      <c r="CQ55346" s="111"/>
      <c r="EF55346"/>
      <c r="EG55346"/>
      <c r="EH55346"/>
      <c r="EI55346"/>
      <c r="EJ55346"/>
      <c r="EK55346"/>
    </row>
    <row r="55347" spans="1:141" s="116" customFormat="1">
      <c r="A55347" s="136"/>
      <c r="CM55347" s="111"/>
      <c r="CQ55347" s="111"/>
      <c r="EF55347"/>
      <c r="EG55347"/>
      <c r="EH55347"/>
      <c r="EI55347"/>
      <c r="EJ55347"/>
      <c r="EK55347"/>
    </row>
    <row r="55348" spans="1:141" s="116" customFormat="1">
      <c r="A55348" s="136"/>
      <c r="CM55348" s="111"/>
      <c r="CQ55348" s="111"/>
      <c r="EF55348"/>
      <c r="EG55348"/>
      <c r="EH55348"/>
      <c r="EI55348"/>
      <c r="EJ55348"/>
      <c r="EK55348"/>
    </row>
    <row r="55349" spans="1:141" s="116" customFormat="1">
      <c r="A55349" s="136"/>
      <c r="CM55349" s="111"/>
      <c r="CQ55349" s="111"/>
      <c r="EF55349"/>
      <c r="EG55349"/>
      <c r="EH55349"/>
      <c r="EI55349"/>
      <c r="EJ55349"/>
      <c r="EK55349"/>
    </row>
    <row r="55350" spans="1:141" s="116" customFormat="1">
      <c r="A55350" s="136"/>
      <c r="CM55350" s="111"/>
      <c r="CQ55350" s="111"/>
      <c r="EF55350"/>
      <c r="EG55350"/>
      <c r="EH55350"/>
      <c r="EI55350"/>
      <c r="EJ55350"/>
      <c r="EK55350"/>
    </row>
    <row r="55351" spans="1:141" s="116" customFormat="1">
      <c r="A55351" s="136"/>
      <c r="CM55351" s="111"/>
      <c r="CQ55351" s="111"/>
      <c r="EF55351"/>
      <c r="EG55351"/>
      <c r="EH55351"/>
      <c r="EI55351"/>
      <c r="EJ55351"/>
      <c r="EK55351"/>
    </row>
    <row r="55352" spans="1:141" s="116" customFormat="1">
      <c r="A55352" s="136"/>
      <c r="CM55352" s="111"/>
      <c r="CQ55352" s="111"/>
      <c r="EF55352"/>
      <c r="EG55352"/>
      <c r="EH55352"/>
      <c r="EI55352"/>
      <c r="EJ55352"/>
      <c r="EK55352"/>
    </row>
    <row r="55353" spans="1:141" s="116" customFormat="1">
      <c r="A55353" s="136"/>
      <c r="CM55353" s="111"/>
      <c r="CQ55353" s="111"/>
      <c r="EF55353"/>
      <c r="EG55353"/>
      <c r="EH55353"/>
      <c r="EI55353"/>
      <c r="EJ55353"/>
      <c r="EK55353"/>
    </row>
    <row r="55354" spans="1:141" s="116" customFormat="1">
      <c r="A55354" s="136"/>
      <c r="CM55354" s="111"/>
      <c r="CQ55354" s="111"/>
      <c r="EF55354"/>
      <c r="EG55354"/>
      <c r="EH55354"/>
      <c r="EI55354"/>
      <c r="EJ55354"/>
      <c r="EK55354"/>
    </row>
    <row r="55355" spans="1:141" s="116" customFormat="1">
      <c r="A55355" s="136"/>
      <c r="CM55355" s="111"/>
      <c r="CQ55355" s="111"/>
      <c r="EF55355"/>
      <c r="EG55355"/>
      <c r="EH55355"/>
      <c r="EI55355"/>
      <c r="EJ55355"/>
      <c r="EK55355"/>
    </row>
    <row r="55356" spans="1:141" s="116" customFormat="1">
      <c r="A55356" s="136"/>
      <c r="CM55356" s="111"/>
      <c r="CQ55356" s="111"/>
      <c r="EF55356"/>
      <c r="EG55356"/>
      <c r="EH55356"/>
      <c r="EI55356"/>
      <c r="EJ55356"/>
      <c r="EK55356"/>
    </row>
    <row r="55357" spans="1:141" s="116" customFormat="1">
      <c r="A55357" s="136"/>
      <c r="CM55357" s="111"/>
      <c r="CQ55357" s="111"/>
      <c r="EF55357"/>
      <c r="EG55357"/>
      <c r="EH55357"/>
      <c r="EI55357"/>
      <c r="EJ55357"/>
      <c r="EK55357"/>
    </row>
    <row r="55358" spans="1:141" s="116" customFormat="1">
      <c r="A55358" s="136"/>
      <c r="CM55358" s="111"/>
      <c r="CQ55358" s="111"/>
      <c r="EF55358"/>
      <c r="EG55358"/>
      <c r="EH55358"/>
      <c r="EI55358"/>
      <c r="EJ55358"/>
      <c r="EK55358"/>
    </row>
    <row r="55359" spans="1:141" s="116" customFormat="1">
      <c r="A55359" s="136"/>
      <c r="CM55359" s="111"/>
      <c r="CQ55359" s="111"/>
      <c r="EF55359"/>
      <c r="EG55359"/>
      <c r="EH55359"/>
      <c r="EI55359"/>
      <c r="EJ55359"/>
      <c r="EK55359"/>
    </row>
    <row r="55360" spans="1:141" s="116" customFormat="1">
      <c r="A55360" s="136"/>
      <c r="CM55360" s="111"/>
      <c r="CQ55360" s="111"/>
      <c r="EF55360"/>
      <c r="EG55360"/>
      <c r="EH55360"/>
      <c r="EI55360"/>
      <c r="EJ55360"/>
      <c r="EK55360"/>
    </row>
    <row r="55361" spans="1:141" s="116" customFormat="1">
      <c r="A55361" s="136"/>
      <c r="CM55361" s="111"/>
      <c r="CQ55361" s="111"/>
      <c r="EF55361"/>
      <c r="EG55361"/>
      <c r="EH55361"/>
      <c r="EI55361"/>
      <c r="EJ55361"/>
      <c r="EK55361"/>
    </row>
    <row r="55362" spans="1:141" s="116" customFormat="1">
      <c r="A55362" s="136"/>
      <c r="CM55362" s="111"/>
      <c r="CQ55362" s="111"/>
      <c r="EF55362"/>
      <c r="EG55362"/>
      <c r="EH55362"/>
      <c r="EI55362"/>
      <c r="EJ55362"/>
      <c r="EK55362"/>
    </row>
    <row r="55363" spans="1:141" s="116" customFormat="1">
      <c r="A55363" s="136"/>
      <c r="CM55363" s="111"/>
      <c r="CQ55363" s="111"/>
      <c r="EF55363"/>
      <c r="EG55363"/>
      <c r="EH55363"/>
      <c r="EI55363"/>
      <c r="EJ55363"/>
      <c r="EK55363"/>
    </row>
    <row r="55364" spans="1:141" s="116" customFormat="1">
      <c r="A55364" s="136"/>
      <c r="CM55364" s="111"/>
      <c r="CQ55364" s="111"/>
      <c r="EF55364"/>
      <c r="EG55364"/>
      <c r="EH55364"/>
      <c r="EI55364"/>
      <c r="EJ55364"/>
      <c r="EK55364"/>
    </row>
    <row r="55365" spans="1:141" s="116" customFormat="1">
      <c r="A55365" s="136"/>
      <c r="CM55365" s="111"/>
      <c r="CQ55365" s="111"/>
      <c r="EF55365"/>
      <c r="EG55365"/>
      <c r="EH55365"/>
      <c r="EI55365"/>
      <c r="EJ55365"/>
      <c r="EK55365"/>
    </row>
    <row r="55366" spans="1:141" s="116" customFormat="1">
      <c r="A55366" s="136"/>
      <c r="CM55366" s="111"/>
      <c r="CQ55366" s="111"/>
      <c r="EF55366"/>
      <c r="EG55366"/>
      <c r="EH55366"/>
      <c r="EI55366"/>
      <c r="EJ55366"/>
      <c r="EK55366"/>
    </row>
    <row r="55367" spans="1:141" s="116" customFormat="1">
      <c r="A55367" s="136"/>
      <c r="CM55367" s="111"/>
      <c r="CQ55367" s="111"/>
      <c r="EF55367"/>
      <c r="EG55367"/>
      <c r="EH55367"/>
      <c r="EI55367"/>
      <c r="EJ55367"/>
      <c r="EK55367"/>
    </row>
    <row r="55368" spans="1:141" s="116" customFormat="1">
      <c r="A55368" s="136"/>
      <c r="CM55368" s="111"/>
      <c r="CQ55368" s="111"/>
      <c r="EF55368"/>
      <c r="EG55368"/>
      <c r="EH55368"/>
      <c r="EI55368"/>
      <c r="EJ55368"/>
      <c r="EK55368"/>
    </row>
    <row r="55369" spans="1:141" s="116" customFormat="1">
      <c r="A55369" s="136"/>
      <c r="CM55369" s="111"/>
      <c r="CQ55369" s="111"/>
      <c r="EF55369"/>
      <c r="EG55369"/>
      <c r="EH55369"/>
      <c r="EI55369"/>
      <c r="EJ55369"/>
      <c r="EK55369"/>
    </row>
    <row r="55370" spans="1:141" s="116" customFormat="1">
      <c r="A55370" s="136"/>
      <c r="CM55370" s="111"/>
      <c r="CQ55370" s="111"/>
      <c r="EF55370"/>
      <c r="EG55370"/>
      <c r="EH55370"/>
      <c r="EI55370"/>
      <c r="EJ55370"/>
      <c r="EK55370"/>
    </row>
    <row r="55371" spans="1:141" s="116" customFormat="1">
      <c r="A55371" s="136"/>
      <c r="CM55371" s="111"/>
      <c r="CQ55371" s="111"/>
      <c r="EF55371"/>
      <c r="EG55371"/>
      <c r="EH55371"/>
      <c r="EI55371"/>
      <c r="EJ55371"/>
      <c r="EK55371"/>
    </row>
    <row r="55372" spans="1:141" s="116" customFormat="1">
      <c r="A55372" s="136"/>
      <c r="CM55372" s="111"/>
      <c r="CQ55372" s="111"/>
      <c r="EF55372"/>
      <c r="EG55372"/>
      <c r="EH55372"/>
      <c r="EI55372"/>
      <c r="EJ55372"/>
      <c r="EK55372"/>
    </row>
    <row r="55373" spans="1:141" s="116" customFormat="1">
      <c r="A55373" s="136"/>
      <c r="CM55373" s="111"/>
      <c r="CQ55373" s="111"/>
      <c r="EF55373"/>
      <c r="EG55373"/>
      <c r="EH55373"/>
      <c r="EI55373"/>
      <c r="EJ55373"/>
      <c r="EK55373"/>
    </row>
    <row r="55374" spans="1:141" s="116" customFormat="1">
      <c r="A55374" s="136"/>
      <c r="CM55374" s="111"/>
      <c r="CQ55374" s="111"/>
      <c r="EF55374"/>
      <c r="EG55374"/>
      <c r="EH55374"/>
      <c r="EI55374"/>
      <c r="EJ55374"/>
      <c r="EK55374"/>
    </row>
    <row r="55375" spans="1:141" s="116" customFormat="1">
      <c r="A55375" s="136"/>
      <c r="CM55375" s="111"/>
      <c r="CQ55375" s="111"/>
      <c r="EF55375"/>
      <c r="EG55375"/>
      <c r="EH55375"/>
      <c r="EI55375"/>
      <c r="EJ55375"/>
      <c r="EK55375"/>
    </row>
    <row r="55376" spans="1:141" s="116" customFormat="1">
      <c r="A55376" s="136"/>
      <c r="CM55376" s="111"/>
      <c r="CQ55376" s="111"/>
      <c r="EF55376"/>
      <c r="EG55376"/>
      <c r="EH55376"/>
      <c r="EI55376"/>
      <c r="EJ55376"/>
      <c r="EK55376"/>
    </row>
    <row r="55377" spans="1:141" s="116" customFormat="1">
      <c r="A55377" s="136"/>
      <c r="CM55377" s="111"/>
      <c r="CQ55377" s="111"/>
      <c r="EF55377"/>
      <c r="EG55377"/>
      <c r="EH55377"/>
      <c r="EI55377"/>
      <c r="EJ55377"/>
      <c r="EK55377"/>
    </row>
    <row r="55378" spans="1:141" s="116" customFormat="1">
      <c r="A55378" s="136"/>
      <c r="CM55378" s="111"/>
      <c r="CQ55378" s="111"/>
      <c r="EF55378"/>
      <c r="EG55378"/>
      <c r="EH55378"/>
      <c r="EI55378"/>
      <c r="EJ55378"/>
      <c r="EK55378"/>
    </row>
    <row r="55379" spans="1:141" s="116" customFormat="1">
      <c r="A55379" s="136"/>
      <c r="CM55379" s="111"/>
      <c r="CQ55379" s="111"/>
      <c r="EF55379"/>
      <c r="EG55379"/>
      <c r="EH55379"/>
      <c r="EI55379"/>
      <c r="EJ55379"/>
      <c r="EK55379"/>
    </row>
    <row r="55380" spans="1:141" s="116" customFormat="1">
      <c r="A55380" s="136"/>
      <c r="CM55380" s="111"/>
      <c r="CQ55380" s="111"/>
      <c r="EF55380"/>
      <c r="EG55380"/>
      <c r="EH55380"/>
      <c r="EI55380"/>
      <c r="EJ55380"/>
      <c r="EK55380"/>
    </row>
    <row r="55381" spans="1:141" s="116" customFormat="1">
      <c r="A55381" s="136"/>
      <c r="CM55381" s="111"/>
      <c r="CQ55381" s="111"/>
      <c r="EF55381"/>
      <c r="EG55381"/>
      <c r="EH55381"/>
      <c r="EI55381"/>
      <c r="EJ55381"/>
      <c r="EK55381"/>
    </row>
    <row r="55382" spans="1:141" s="116" customFormat="1">
      <c r="A55382" s="136"/>
      <c r="CM55382" s="111"/>
      <c r="CQ55382" s="111"/>
      <c r="EF55382"/>
      <c r="EG55382"/>
      <c r="EH55382"/>
      <c r="EI55382"/>
      <c r="EJ55382"/>
      <c r="EK55382"/>
    </row>
    <row r="55383" spans="1:141" s="116" customFormat="1">
      <c r="A55383" s="136"/>
      <c r="CM55383" s="111"/>
      <c r="CQ55383" s="111"/>
      <c r="EF55383"/>
      <c r="EG55383"/>
      <c r="EH55383"/>
      <c r="EI55383"/>
      <c r="EJ55383"/>
      <c r="EK55383"/>
    </row>
    <row r="55384" spans="1:141" s="116" customFormat="1">
      <c r="A55384" s="136"/>
      <c r="CM55384" s="111"/>
      <c r="CQ55384" s="111"/>
      <c r="EF55384"/>
      <c r="EG55384"/>
      <c r="EH55384"/>
      <c r="EI55384"/>
      <c r="EJ55384"/>
      <c r="EK55384"/>
    </row>
    <row r="55385" spans="1:141" s="116" customFormat="1">
      <c r="A55385" s="136"/>
      <c r="CM55385" s="111"/>
      <c r="CQ55385" s="111"/>
      <c r="EF55385"/>
      <c r="EG55385"/>
      <c r="EH55385"/>
      <c r="EI55385"/>
      <c r="EJ55385"/>
      <c r="EK55385"/>
    </row>
    <row r="55386" spans="1:141" s="116" customFormat="1">
      <c r="A55386" s="136"/>
      <c r="CM55386" s="111"/>
      <c r="CQ55386" s="111"/>
      <c r="EF55386"/>
      <c r="EG55386"/>
      <c r="EH55386"/>
      <c r="EI55386"/>
      <c r="EJ55386"/>
      <c r="EK55386"/>
    </row>
    <row r="55387" spans="1:141" s="116" customFormat="1">
      <c r="A55387" s="136"/>
      <c r="CM55387" s="111"/>
      <c r="CQ55387" s="111"/>
      <c r="EF55387"/>
      <c r="EG55387"/>
      <c r="EH55387"/>
      <c r="EI55387"/>
      <c r="EJ55387"/>
      <c r="EK55387"/>
    </row>
    <row r="55388" spans="1:141" s="116" customFormat="1">
      <c r="A55388" s="136"/>
      <c r="CM55388" s="111"/>
      <c r="CQ55388" s="111"/>
      <c r="EF55388"/>
      <c r="EG55388"/>
      <c r="EH55388"/>
      <c r="EI55388"/>
      <c r="EJ55388"/>
      <c r="EK55388"/>
    </row>
    <row r="55389" spans="1:141" s="116" customFormat="1">
      <c r="A55389" s="136"/>
      <c r="CM55389" s="111"/>
      <c r="CQ55389" s="111"/>
      <c r="EF55389"/>
      <c r="EG55389"/>
      <c r="EH55389"/>
      <c r="EI55389"/>
      <c r="EJ55389"/>
      <c r="EK55389"/>
    </row>
    <row r="55390" spans="1:141" s="116" customFormat="1">
      <c r="A55390" s="136"/>
      <c r="CM55390" s="111"/>
      <c r="CQ55390" s="111"/>
      <c r="EF55390"/>
      <c r="EG55390"/>
      <c r="EH55390"/>
      <c r="EI55390"/>
      <c r="EJ55390"/>
      <c r="EK55390"/>
    </row>
    <row r="55391" spans="1:141" s="116" customFormat="1">
      <c r="A55391" s="136"/>
      <c r="CM55391" s="111"/>
      <c r="CQ55391" s="111"/>
      <c r="EF55391"/>
      <c r="EG55391"/>
      <c r="EH55391"/>
      <c r="EI55391"/>
      <c r="EJ55391"/>
      <c r="EK55391"/>
    </row>
    <row r="55392" spans="1:141" s="116" customFormat="1">
      <c r="A55392" s="136"/>
      <c r="CM55392" s="111"/>
      <c r="CQ55392" s="111"/>
      <c r="EF55392"/>
      <c r="EG55392"/>
      <c r="EH55392"/>
      <c r="EI55392"/>
      <c r="EJ55392"/>
      <c r="EK55392"/>
    </row>
    <row r="55393" spans="1:141" s="116" customFormat="1">
      <c r="A55393" s="136"/>
      <c r="CM55393" s="111"/>
      <c r="CQ55393" s="111"/>
      <c r="EF55393"/>
      <c r="EG55393"/>
      <c r="EH55393"/>
      <c r="EI55393"/>
      <c r="EJ55393"/>
      <c r="EK55393"/>
    </row>
    <row r="55394" spans="1:141" s="116" customFormat="1">
      <c r="A55394" s="136"/>
      <c r="CM55394" s="111"/>
      <c r="CQ55394" s="111"/>
      <c r="EF55394"/>
      <c r="EG55394"/>
      <c r="EH55394"/>
      <c r="EI55394"/>
      <c r="EJ55394"/>
      <c r="EK55394"/>
    </row>
    <row r="55395" spans="1:141" s="116" customFormat="1">
      <c r="A55395" s="136"/>
      <c r="CM55395" s="111"/>
      <c r="CQ55395" s="111"/>
      <c r="EF55395"/>
      <c r="EG55395"/>
      <c r="EH55395"/>
      <c r="EI55395"/>
      <c r="EJ55395"/>
      <c r="EK55395"/>
    </row>
    <row r="55396" spans="1:141" s="116" customFormat="1">
      <c r="A55396" s="136"/>
      <c r="CM55396" s="111"/>
      <c r="CQ55396" s="111"/>
      <c r="EF55396"/>
      <c r="EG55396"/>
      <c r="EH55396"/>
      <c r="EI55396"/>
      <c r="EJ55396"/>
      <c r="EK55396"/>
    </row>
    <row r="55397" spans="1:141" s="116" customFormat="1">
      <c r="A55397" s="136"/>
      <c r="CM55397" s="111"/>
      <c r="CQ55397" s="111"/>
      <c r="EF55397"/>
      <c r="EG55397"/>
      <c r="EH55397"/>
      <c r="EI55397"/>
      <c r="EJ55397"/>
      <c r="EK55397"/>
    </row>
    <row r="55398" spans="1:141" s="116" customFormat="1">
      <c r="A55398" s="136"/>
      <c r="CM55398" s="111"/>
      <c r="CQ55398" s="111"/>
      <c r="EF55398"/>
      <c r="EG55398"/>
      <c r="EH55398"/>
      <c r="EI55398"/>
      <c r="EJ55398"/>
      <c r="EK55398"/>
    </row>
    <row r="55399" spans="1:141" s="116" customFormat="1">
      <c r="A55399" s="136"/>
      <c r="CM55399" s="111"/>
      <c r="CQ55399" s="111"/>
      <c r="EF55399"/>
      <c r="EG55399"/>
      <c r="EH55399"/>
      <c r="EI55399"/>
      <c r="EJ55399"/>
      <c r="EK55399"/>
    </row>
    <row r="55400" spans="1:141" s="116" customFormat="1">
      <c r="A55400" s="136"/>
      <c r="CM55400" s="111"/>
      <c r="CQ55400" s="111"/>
      <c r="EF55400"/>
      <c r="EG55400"/>
      <c r="EH55400"/>
      <c r="EI55400"/>
      <c r="EJ55400"/>
      <c r="EK55400"/>
    </row>
    <row r="55401" spans="1:141" s="116" customFormat="1">
      <c r="A55401" s="136"/>
      <c r="CM55401" s="111"/>
      <c r="CQ55401" s="111"/>
      <c r="EF55401"/>
      <c r="EG55401"/>
      <c r="EH55401"/>
      <c r="EI55401"/>
      <c r="EJ55401"/>
      <c r="EK55401"/>
    </row>
    <row r="55402" spans="1:141" s="116" customFormat="1">
      <c r="A55402" s="136"/>
      <c r="CM55402" s="111"/>
      <c r="CQ55402" s="111"/>
      <c r="EF55402"/>
      <c r="EG55402"/>
      <c r="EH55402"/>
      <c r="EI55402"/>
      <c r="EJ55402"/>
      <c r="EK55402"/>
    </row>
    <row r="55403" spans="1:141" s="116" customFormat="1">
      <c r="A55403" s="136"/>
      <c r="CM55403" s="111"/>
      <c r="CQ55403" s="111"/>
      <c r="EF55403"/>
      <c r="EG55403"/>
      <c r="EH55403"/>
      <c r="EI55403"/>
      <c r="EJ55403"/>
      <c r="EK55403"/>
    </row>
    <row r="55404" spans="1:141" s="116" customFormat="1">
      <c r="A55404" s="136"/>
      <c r="CM55404" s="111"/>
      <c r="CQ55404" s="111"/>
      <c r="EF55404"/>
      <c r="EG55404"/>
      <c r="EH55404"/>
      <c r="EI55404"/>
      <c r="EJ55404"/>
      <c r="EK55404"/>
    </row>
    <row r="55405" spans="1:141" s="116" customFormat="1">
      <c r="A55405" s="136"/>
      <c r="CM55405" s="111"/>
      <c r="CQ55405" s="111"/>
      <c r="EF55405"/>
      <c r="EG55405"/>
      <c r="EH55405"/>
      <c r="EI55405"/>
      <c r="EJ55405"/>
      <c r="EK55405"/>
    </row>
    <row r="55406" spans="1:141" s="116" customFormat="1">
      <c r="A55406" s="136"/>
      <c r="CM55406" s="111"/>
      <c r="CQ55406" s="111"/>
      <c r="EF55406"/>
      <c r="EG55406"/>
      <c r="EH55406"/>
      <c r="EI55406"/>
      <c r="EJ55406"/>
      <c r="EK55406"/>
    </row>
    <row r="55407" spans="1:141" s="116" customFormat="1">
      <c r="A55407" s="136"/>
      <c r="CM55407" s="111"/>
      <c r="CQ55407" s="111"/>
      <c r="EF55407"/>
      <c r="EG55407"/>
      <c r="EH55407"/>
      <c r="EI55407"/>
      <c r="EJ55407"/>
      <c r="EK55407"/>
    </row>
    <row r="55408" spans="1:141" s="116" customFormat="1">
      <c r="A55408" s="136"/>
      <c r="CM55408" s="111"/>
      <c r="CQ55408" s="111"/>
      <c r="EF55408"/>
      <c r="EG55408"/>
      <c r="EH55408"/>
      <c r="EI55408"/>
      <c r="EJ55408"/>
      <c r="EK55408"/>
    </row>
    <row r="55409" spans="1:141" s="116" customFormat="1">
      <c r="A55409" s="136"/>
      <c r="CM55409" s="111"/>
      <c r="CQ55409" s="111"/>
      <c r="EF55409"/>
      <c r="EG55409"/>
      <c r="EH55409"/>
      <c r="EI55409"/>
      <c r="EJ55409"/>
      <c r="EK55409"/>
    </row>
    <row r="55410" spans="1:141" s="116" customFormat="1">
      <c r="A55410" s="136"/>
      <c r="CM55410" s="111"/>
      <c r="CQ55410" s="111"/>
      <c r="EF55410"/>
      <c r="EG55410"/>
      <c r="EH55410"/>
      <c r="EI55410"/>
      <c r="EJ55410"/>
      <c r="EK55410"/>
    </row>
    <row r="55411" spans="1:141" s="116" customFormat="1">
      <c r="A55411" s="136"/>
      <c r="CM55411" s="111"/>
      <c r="CQ55411" s="111"/>
      <c r="EF55411"/>
      <c r="EG55411"/>
      <c r="EH55411"/>
      <c r="EI55411"/>
      <c r="EJ55411"/>
      <c r="EK55411"/>
    </row>
    <row r="55412" spans="1:141" s="116" customFormat="1">
      <c r="A55412" s="136"/>
      <c r="CM55412" s="111"/>
      <c r="CQ55412" s="111"/>
      <c r="EF55412"/>
      <c r="EG55412"/>
      <c r="EH55412"/>
      <c r="EI55412"/>
      <c r="EJ55412"/>
      <c r="EK55412"/>
    </row>
    <row r="55413" spans="1:141" s="116" customFormat="1">
      <c r="A55413" s="136"/>
      <c r="CM55413" s="111"/>
      <c r="CQ55413" s="111"/>
      <c r="EF55413"/>
      <c r="EG55413"/>
      <c r="EH55413"/>
      <c r="EI55413"/>
      <c r="EJ55413"/>
      <c r="EK55413"/>
    </row>
    <row r="55414" spans="1:141" s="116" customFormat="1">
      <c r="A55414" s="136"/>
      <c r="CM55414" s="111"/>
      <c r="CQ55414" s="111"/>
      <c r="EF55414"/>
      <c r="EG55414"/>
      <c r="EH55414"/>
      <c r="EI55414"/>
      <c r="EJ55414"/>
      <c r="EK55414"/>
    </row>
    <row r="55415" spans="1:141" s="116" customFormat="1">
      <c r="A55415" s="136"/>
      <c r="CM55415" s="111"/>
      <c r="CQ55415" s="111"/>
      <c r="EF55415"/>
      <c r="EG55415"/>
      <c r="EH55415"/>
      <c r="EI55415"/>
      <c r="EJ55415"/>
      <c r="EK55415"/>
    </row>
    <row r="55416" spans="1:141" s="116" customFormat="1">
      <c r="A55416" s="136"/>
      <c r="CM55416" s="111"/>
      <c r="CQ55416" s="111"/>
      <c r="EF55416"/>
      <c r="EG55416"/>
      <c r="EH55416"/>
      <c r="EI55416"/>
      <c r="EJ55416"/>
      <c r="EK55416"/>
    </row>
    <row r="55417" spans="1:141" s="116" customFormat="1">
      <c r="A55417" s="136"/>
      <c r="CM55417" s="111"/>
      <c r="CQ55417" s="111"/>
      <c r="EF55417"/>
      <c r="EG55417"/>
      <c r="EH55417"/>
      <c r="EI55417"/>
      <c r="EJ55417"/>
      <c r="EK55417"/>
    </row>
    <row r="55418" spans="1:141" s="116" customFormat="1">
      <c r="A55418" s="136"/>
      <c r="CM55418" s="111"/>
      <c r="CQ55418" s="111"/>
      <c r="EF55418"/>
      <c r="EG55418"/>
      <c r="EH55418"/>
      <c r="EI55418"/>
      <c r="EJ55418"/>
      <c r="EK55418"/>
    </row>
    <row r="55419" spans="1:141" s="116" customFormat="1">
      <c r="A55419" s="136"/>
      <c r="CM55419" s="111"/>
      <c r="CQ55419" s="111"/>
      <c r="EF55419"/>
      <c r="EG55419"/>
      <c r="EH55419"/>
      <c r="EI55419"/>
      <c r="EJ55419"/>
      <c r="EK55419"/>
    </row>
    <row r="55420" spans="1:141" s="116" customFormat="1">
      <c r="A55420" s="136"/>
      <c r="CM55420" s="111"/>
      <c r="CQ55420" s="111"/>
      <c r="EF55420"/>
      <c r="EG55420"/>
      <c r="EH55420"/>
      <c r="EI55420"/>
      <c r="EJ55420"/>
      <c r="EK55420"/>
    </row>
    <row r="55421" spans="1:141" s="116" customFormat="1">
      <c r="A55421" s="136"/>
      <c r="CM55421" s="111"/>
      <c r="CQ55421" s="111"/>
      <c r="EF55421"/>
      <c r="EG55421"/>
      <c r="EH55421"/>
      <c r="EI55421"/>
      <c r="EJ55421"/>
      <c r="EK55421"/>
    </row>
    <row r="55422" spans="1:141" s="116" customFormat="1">
      <c r="A55422" s="136"/>
      <c r="CM55422" s="111"/>
      <c r="CQ55422" s="111"/>
      <c r="EF55422"/>
      <c r="EG55422"/>
      <c r="EH55422"/>
      <c r="EI55422"/>
      <c r="EJ55422"/>
      <c r="EK55422"/>
    </row>
    <row r="55423" spans="1:141" s="116" customFormat="1">
      <c r="A55423" s="136"/>
      <c r="CM55423" s="111"/>
      <c r="CQ55423" s="111"/>
      <c r="EF55423"/>
      <c r="EG55423"/>
      <c r="EH55423"/>
      <c r="EI55423"/>
      <c r="EJ55423"/>
      <c r="EK55423"/>
    </row>
    <row r="55424" spans="1:141" s="116" customFormat="1">
      <c r="A55424" s="136"/>
      <c r="CM55424" s="111"/>
      <c r="CQ55424" s="111"/>
      <c r="EF55424"/>
      <c r="EG55424"/>
      <c r="EH55424"/>
      <c r="EI55424"/>
      <c r="EJ55424"/>
      <c r="EK55424"/>
    </row>
    <row r="55425" spans="1:141" s="116" customFormat="1">
      <c r="A55425" s="136"/>
      <c r="CM55425" s="111"/>
      <c r="CQ55425" s="111"/>
      <c r="EF55425"/>
      <c r="EG55425"/>
      <c r="EH55425"/>
      <c r="EI55425"/>
      <c r="EJ55425"/>
      <c r="EK55425"/>
    </row>
    <row r="55426" spans="1:141" s="116" customFormat="1">
      <c r="A55426" s="136"/>
      <c r="CM55426" s="111"/>
      <c r="CQ55426" s="111"/>
      <c r="EF55426"/>
      <c r="EG55426"/>
      <c r="EH55426"/>
      <c r="EI55426"/>
      <c r="EJ55426"/>
      <c r="EK55426"/>
    </row>
    <row r="55427" spans="1:141" s="116" customFormat="1">
      <c r="A55427" s="136"/>
      <c r="CM55427" s="111"/>
      <c r="CQ55427" s="111"/>
      <c r="EF55427"/>
      <c r="EG55427"/>
      <c r="EH55427"/>
      <c r="EI55427"/>
      <c r="EJ55427"/>
      <c r="EK55427"/>
    </row>
    <row r="55428" spans="1:141" s="116" customFormat="1">
      <c r="A55428" s="136"/>
      <c r="CM55428" s="111"/>
      <c r="CQ55428" s="111"/>
      <c r="EF55428"/>
      <c r="EG55428"/>
      <c r="EH55428"/>
      <c r="EI55428"/>
      <c r="EJ55428"/>
      <c r="EK55428"/>
    </row>
    <row r="55429" spans="1:141" s="116" customFormat="1">
      <c r="A55429" s="136"/>
      <c r="CM55429" s="111"/>
      <c r="CQ55429" s="111"/>
      <c r="EF55429"/>
      <c r="EG55429"/>
      <c r="EH55429"/>
      <c r="EI55429"/>
      <c r="EJ55429"/>
      <c r="EK55429"/>
    </row>
    <row r="55430" spans="1:141" s="116" customFormat="1">
      <c r="A55430" s="136"/>
      <c r="CM55430" s="111"/>
      <c r="CQ55430" s="111"/>
      <c r="EF55430"/>
      <c r="EG55430"/>
      <c r="EH55430"/>
      <c r="EI55430"/>
      <c r="EJ55430"/>
      <c r="EK55430"/>
    </row>
    <row r="55431" spans="1:141" s="116" customFormat="1">
      <c r="A55431" s="136"/>
      <c r="CM55431" s="111"/>
      <c r="CQ55431" s="111"/>
      <c r="EF55431"/>
      <c r="EG55431"/>
      <c r="EH55431"/>
      <c r="EI55431"/>
      <c r="EJ55431"/>
      <c r="EK55431"/>
    </row>
    <row r="55432" spans="1:141" s="116" customFormat="1">
      <c r="A55432" s="136"/>
      <c r="CM55432" s="111"/>
      <c r="CQ55432" s="111"/>
      <c r="EF55432"/>
      <c r="EG55432"/>
      <c r="EH55432"/>
      <c r="EI55432"/>
      <c r="EJ55432"/>
      <c r="EK55432"/>
    </row>
    <row r="55433" spans="1:141" s="116" customFormat="1">
      <c r="A55433" s="136"/>
      <c r="CM55433" s="111"/>
      <c r="CQ55433" s="111"/>
      <c r="EF55433"/>
      <c r="EG55433"/>
      <c r="EH55433"/>
      <c r="EI55433"/>
      <c r="EJ55433"/>
      <c r="EK55433"/>
    </row>
    <row r="55434" spans="1:141" s="116" customFormat="1">
      <c r="A55434" s="136"/>
      <c r="CM55434" s="111"/>
      <c r="CQ55434" s="111"/>
      <c r="EF55434"/>
      <c r="EG55434"/>
      <c r="EH55434"/>
      <c r="EI55434"/>
      <c r="EJ55434"/>
      <c r="EK55434"/>
    </row>
    <row r="55435" spans="1:141" s="116" customFormat="1">
      <c r="A55435" s="136"/>
      <c r="CM55435" s="111"/>
      <c r="CQ55435" s="111"/>
      <c r="EF55435"/>
      <c r="EG55435"/>
      <c r="EH55435"/>
      <c r="EI55435"/>
      <c r="EJ55435"/>
      <c r="EK55435"/>
    </row>
    <row r="55436" spans="1:141" s="116" customFormat="1">
      <c r="A55436" s="136"/>
      <c r="CM55436" s="111"/>
      <c r="CQ55436" s="111"/>
      <c r="EF55436"/>
      <c r="EG55436"/>
      <c r="EH55436"/>
      <c r="EI55436"/>
      <c r="EJ55436"/>
      <c r="EK55436"/>
    </row>
    <row r="55437" spans="1:141" s="116" customFormat="1">
      <c r="A55437" s="136"/>
      <c r="CM55437" s="111"/>
      <c r="CQ55437" s="111"/>
      <c r="EF55437"/>
      <c r="EG55437"/>
      <c r="EH55437"/>
      <c r="EI55437"/>
      <c r="EJ55437"/>
      <c r="EK55437"/>
    </row>
    <row r="55438" spans="1:141" s="116" customFormat="1">
      <c r="A55438" s="136"/>
      <c r="CM55438" s="111"/>
      <c r="CQ55438" s="111"/>
      <c r="EF55438"/>
      <c r="EG55438"/>
      <c r="EH55438"/>
      <c r="EI55438"/>
      <c r="EJ55438"/>
      <c r="EK55438"/>
    </row>
    <row r="55439" spans="1:141" s="116" customFormat="1">
      <c r="A55439" s="136"/>
      <c r="CM55439" s="111"/>
      <c r="CQ55439" s="111"/>
      <c r="EF55439"/>
      <c r="EG55439"/>
      <c r="EH55439"/>
      <c r="EI55439"/>
      <c r="EJ55439"/>
      <c r="EK55439"/>
    </row>
    <row r="55440" spans="1:141" s="116" customFormat="1">
      <c r="A55440" s="136"/>
      <c r="CM55440" s="111"/>
      <c r="CQ55440" s="111"/>
      <c r="EF55440"/>
      <c r="EG55440"/>
      <c r="EH55440"/>
      <c r="EI55440"/>
      <c r="EJ55440"/>
      <c r="EK55440"/>
    </row>
    <row r="55441" spans="1:141" s="116" customFormat="1">
      <c r="A55441" s="136"/>
      <c r="CM55441" s="111"/>
      <c r="CQ55441" s="111"/>
      <c r="EF55441"/>
      <c r="EG55441"/>
      <c r="EH55441"/>
      <c r="EI55441"/>
      <c r="EJ55441"/>
      <c r="EK55441"/>
    </row>
    <row r="55442" spans="1:141" s="116" customFormat="1">
      <c r="A55442" s="136"/>
      <c r="CM55442" s="111"/>
      <c r="CQ55442" s="111"/>
      <c r="EF55442"/>
      <c r="EG55442"/>
      <c r="EH55442"/>
      <c r="EI55442"/>
      <c r="EJ55442"/>
      <c r="EK55442"/>
    </row>
    <row r="55443" spans="1:141" s="116" customFormat="1">
      <c r="A55443" s="136"/>
      <c r="CM55443" s="111"/>
      <c r="CQ55443" s="111"/>
      <c r="EF55443"/>
      <c r="EG55443"/>
      <c r="EH55443"/>
      <c r="EI55443"/>
      <c r="EJ55443"/>
      <c r="EK55443"/>
    </row>
    <row r="55444" spans="1:141" s="116" customFormat="1">
      <c r="A55444" s="136"/>
      <c r="CM55444" s="111"/>
      <c r="CQ55444" s="111"/>
      <c r="EF55444"/>
      <c r="EG55444"/>
      <c r="EH55444"/>
      <c r="EI55444"/>
      <c r="EJ55444"/>
      <c r="EK55444"/>
    </row>
    <row r="55445" spans="1:141" s="116" customFormat="1">
      <c r="A55445" s="136"/>
      <c r="CM55445" s="111"/>
      <c r="CQ55445" s="111"/>
      <c r="EF55445"/>
      <c r="EG55445"/>
      <c r="EH55445"/>
      <c r="EI55445"/>
      <c r="EJ55445"/>
      <c r="EK55445"/>
    </row>
    <row r="55446" spans="1:141" s="116" customFormat="1">
      <c r="A55446" s="136"/>
      <c r="CM55446" s="111"/>
      <c r="CQ55446" s="111"/>
      <c r="EF55446"/>
      <c r="EG55446"/>
      <c r="EH55446"/>
      <c r="EI55446"/>
      <c r="EJ55446"/>
      <c r="EK55446"/>
    </row>
    <row r="55447" spans="1:141" s="116" customFormat="1">
      <c r="A55447" s="136"/>
      <c r="CM55447" s="111"/>
      <c r="CQ55447" s="111"/>
      <c r="EF55447"/>
      <c r="EG55447"/>
      <c r="EH55447"/>
      <c r="EI55447"/>
      <c r="EJ55447"/>
      <c r="EK55447"/>
    </row>
    <row r="55448" spans="1:141" s="116" customFormat="1">
      <c r="A55448" s="136"/>
      <c r="CM55448" s="111"/>
      <c r="CQ55448" s="111"/>
      <c r="EF55448"/>
      <c r="EG55448"/>
      <c r="EH55448"/>
      <c r="EI55448"/>
      <c r="EJ55448"/>
      <c r="EK55448"/>
    </row>
    <row r="55449" spans="1:141" s="116" customFormat="1">
      <c r="A55449" s="136"/>
      <c r="CM55449" s="111"/>
      <c r="CQ55449" s="111"/>
      <c r="EF55449"/>
      <c r="EG55449"/>
      <c r="EH55449"/>
      <c r="EI55449"/>
      <c r="EJ55449"/>
      <c r="EK55449"/>
    </row>
    <row r="55450" spans="1:141" s="116" customFormat="1">
      <c r="A55450" s="136"/>
      <c r="CM55450" s="111"/>
      <c r="CQ55450" s="111"/>
      <c r="EF55450"/>
      <c r="EG55450"/>
      <c r="EH55450"/>
      <c r="EI55450"/>
      <c r="EJ55450"/>
      <c r="EK55450"/>
    </row>
    <row r="55451" spans="1:141" s="116" customFormat="1">
      <c r="A55451" s="136"/>
      <c r="CM55451" s="111"/>
      <c r="CQ55451" s="111"/>
      <c r="EF55451"/>
      <c r="EG55451"/>
      <c r="EH55451"/>
      <c r="EI55451"/>
      <c r="EJ55451"/>
      <c r="EK55451"/>
    </row>
    <row r="55452" spans="1:141" s="116" customFormat="1">
      <c r="A55452" s="136"/>
      <c r="CM55452" s="111"/>
      <c r="CQ55452" s="111"/>
      <c r="EF55452"/>
      <c r="EG55452"/>
      <c r="EH55452"/>
      <c r="EI55452"/>
      <c r="EJ55452"/>
      <c r="EK55452"/>
    </row>
    <row r="55453" spans="1:141" s="116" customFormat="1">
      <c r="A55453" s="136"/>
      <c r="CM55453" s="111"/>
      <c r="CQ55453" s="111"/>
      <c r="EF55453"/>
      <c r="EG55453"/>
      <c r="EH55453"/>
      <c r="EI55453"/>
      <c r="EJ55453"/>
      <c r="EK55453"/>
    </row>
    <row r="55454" spans="1:141" s="116" customFormat="1">
      <c r="A55454" s="136"/>
      <c r="CM55454" s="111"/>
      <c r="CQ55454" s="111"/>
      <c r="EF55454"/>
      <c r="EG55454"/>
      <c r="EH55454"/>
      <c r="EI55454"/>
      <c r="EJ55454"/>
      <c r="EK55454"/>
    </row>
    <row r="55455" spans="1:141" s="116" customFormat="1">
      <c r="A55455" s="136"/>
      <c r="CM55455" s="111"/>
      <c r="CQ55455" s="111"/>
      <c r="EF55455"/>
      <c r="EG55455"/>
      <c r="EH55455"/>
      <c r="EI55455"/>
      <c r="EJ55455"/>
      <c r="EK55455"/>
    </row>
    <row r="55456" spans="1:141" s="116" customFormat="1">
      <c r="A55456" s="136"/>
      <c r="CM55456" s="111"/>
      <c r="CQ55456" s="111"/>
      <c r="EF55456"/>
      <c r="EG55456"/>
      <c r="EH55456"/>
      <c r="EI55456"/>
      <c r="EJ55456"/>
      <c r="EK55456"/>
    </row>
    <row r="55457" spans="1:141" s="116" customFormat="1">
      <c r="A55457" s="136"/>
      <c r="CM55457" s="111"/>
      <c r="CQ55457" s="111"/>
      <c r="EF55457"/>
      <c r="EG55457"/>
      <c r="EH55457"/>
      <c r="EI55457"/>
      <c r="EJ55457"/>
      <c r="EK55457"/>
    </row>
    <row r="55458" spans="1:141" s="116" customFormat="1">
      <c r="A55458" s="136"/>
      <c r="CM55458" s="111"/>
      <c r="CQ55458" s="111"/>
      <c r="EF55458"/>
      <c r="EG55458"/>
      <c r="EH55458"/>
      <c r="EI55458"/>
      <c r="EJ55458"/>
      <c r="EK55458"/>
    </row>
    <row r="55459" spans="1:141" s="116" customFormat="1">
      <c r="A55459" s="136"/>
      <c r="CM55459" s="111"/>
      <c r="CQ55459" s="111"/>
      <c r="EF55459"/>
      <c r="EG55459"/>
      <c r="EH55459"/>
      <c r="EI55459"/>
      <c r="EJ55459"/>
      <c r="EK55459"/>
    </row>
    <row r="55460" spans="1:141" s="116" customFormat="1">
      <c r="A55460" s="136"/>
      <c r="CM55460" s="111"/>
      <c r="CQ55460" s="111"/>
      <c r="EF55460"/>
      <c r="EG55460"/>
      <c r="EH55460"/>
      <c r="EI55460"/>
      <c r="EJ55460"/>
      <c r="EK55460"/>
    </row>
    <row r="55461" spans="1:141" s="116" customFormat="1">
      <c r="A55461" s="136"/>
      <c r="CM55461" s="111"/>
      <c r="CQ55461" s="111"/>
      <c r="EF55461"/>
      <c r="EG55461"/>
      <c r="EH55461"/>
      <c r="EI55461"/>
      <c r="EJ55461"/>
      <c r="EK55461"/>
    </row>
    <row r="55462" spans="1:141" s="116" customFormat="1">
      <c r="A55462" s="136"/>
      <c r="CM55462" s="111"/>
      <c r="CQ55462" s="111"/>
      <c r="EF55462"/>
      <c r="EG55462"/>
      <c r="EH55462"/>
      <c r="EI55462"/>
      <c r="EJ55462"/>
      <c r="EK55462"/>
    </row>
    <row r="55463" spans="1:141" s="116" customFormat="1">
      <c r="A55463" s="136"/>
      <c r="CM55463" s="111"/>
      <c r="CQ55463" s="111"/>
      <c r="EF55463"/>
      <c r="EG55463"/>
      <c r="EH55463"/>
      <c r="EI55463"/>
      <c r="EJ55463"/>
      <c r="EK55463"/>
    </row>
    <row r="55464" spans="1:141" s="116" customFormat="1">
      <c r="A55464" s="136"/>
      <c r="CM55464" s="111"/>
      <c r="CQ55464" s="111"/>
      <c r="EF55464"/>
      <c r="EG55464"/>
      <c r="EH55464"/>
      <c r="EI55464"/>
      <c r="EJ55464"/>
      <c r="EK55464"/>
    </row>
    <row r="55465" spans="1:141" s="116" customFormat="1">
      <c r="A55465" s="136"/>
      <c r="CM55465" s="111"/>
      <c r="CQ55465" s="111"/>
      <c r="EF55465"/>
      <c r="EG55465"/>
      <c r="EH55465"/>
      <c r="EI55465"/>
      <c r="EJ55465"/>
      <c r="EK55465"/>
    </row>
    <row r="55466" spans="1:141" s="116" customFormat="1">
      <c r="A55466" s="136"/>
      <c r="CM55466" s="111"/>
      <c r="CQ55466" s="111"/>
      <c r="EF55466"/>
      <c r="EG55466"/>
      <c r="EH55466"/>
      <c r="EI55466"/>
      <c r="EJ55466"/>
      <c r="EK55466"/>
    </row>
    <row r="55467" spans="1:141" s="116" customFormat="1">
      <c r="A55467" s="136"/>
      <c r="CM55467" s="111"/>
      <c r="CQ55467" s="111"/>
      <c r="EF55467"/>
      <c r="EG55467"/>
      <c r="EH55467"/>
      <c r="EI55467"/>
      <c r="EJ55467"/>
      <c r="EK55467"/>
    </row>
    <row r="55468" spans="1:141" s="116" customFormat="1">
      <c r="A55468" s="136"/>
      <c r="CM55468" s="111"/>
      <c r="CQ55468" s="111"/>
      <c r="EF55468"/>
      <c r="EG55468"/>
      <c r="EH55468"/>
      <c r="EI55468"/>
      <c r="EJ55468"/>
      <c r="EK55468"/>
    </row>
    <row r="55469" spans="1:141" s="116" customFormat="1">
      <c r="A55469" s="136"/>
      <c r="CM55469" s="111"/>
      <c r="CQ55469" s="111"/>
      <c r="EF55469"/>
      <c r="EG55469"/>
      <c r="EH55469"/>
      <c r="EI55469"/>
      <c r="EJ55469"/>
      <c r="EK55469"/>
    </row>
    <row r="55470" spans="1:141" s="116" customFormat="1">
      <c r="A55470" s="136"/>
      <c r="CM55470" s="111"/>
      <c r="CQ55470" s="111"/>
      <c r="EF55470"/>
      <c r="EG55470"/>
      <c r="EH55470"/>
      <c r="EI55470"/>
      <c r="EJ55470"/>
      <c r="EK55470"/>
    </row>
    <row r="55471" spans="1:141" s="116" customFormat="1">
      <c r="A55471" s="136"/>
      <c r="CM55471" s="111"/>
      <c r="CQ55471" s="111"/>
      <c r="EF55471"/>
      <c r="EG55471"/>
      <c r="EH55471"/>
      <c r="EI55471"/>
      <c r="EJ55471"/>
      <c r="EK55471"/>
    </row>
    <row r="55472" spans="1:141" s="116" customFormat="1">
      <c r="A55472" s="136"/>
      <c r="CM55472" s="111"/>
      <c r="CQ55472" s="111"/>
      <c r="EF55472"/>
      <c r="EG55472"/>
      <c r="EH55472"/>
      <c r="EI55472"/>
      <c r="EJ55472"/>
      <c r="EK55472"/>
    </row>
    <row r="55473" spans="1:141" s="116" customFormat="1">
      <c r="A55473" s="136"/>
      <c r="CM55473" s="111"/>
      <c r="CQ55473" s="111"/>
      <c r="EF55473"/>
      <c r="EG55473"/>
      <c r="EH55473"/>
      <c r="EI55473"/>
      <c r="EJ55473"/>
      <c r="EK55473"/>
    </row>
    <row r="55474" spans="1:141" s="116" customFormat="1">
      <c r="A55474" s="136"/>
      <c r="CM55474" s="111"/>
      <c r="CQ55474" s="111"/>
      <c r="EF55474"/>
      <c r="EG55474"/>
      <c r="EH55474"/>
      <c r="EI55474"/>
      <c r="EJ55474"/>
      <c r="EK55474"/>
    </row>
    <row r="55475" spans="1:141" s="116" customFormat="1">
      <c r="A55475" s="136"/>
      <c r="CM55475" s="111"/>
      <c r="CQ55475" s="111"/>
      <c r="EF55475"/>
      <c r="EG55475"/>
      <c r="EH55475"/>
      <c r="EI55475"/>
      <c r="EJ55475"/>
      <c r="EK55475"/>
    </row>
    <row r="55476" spans="1:141" s="116" customFormat="1">
      <c r="A55476" s="136"/>
      <c r="CM55476" s="111"/>
      <c r="CQ55476" s="111"/>
      <c r="EF55476"/>
      <c r="EG55476"/>
      <c r="EH55476"/>
      <c r="EI55476"/>
      <c r="EJ55476"/>
      <c r="EK55476"/>
    </row>
    <row r="55477" spans="1:141" s="116" customFormat="1">
      <c r="A55477" s="136"/>
      <c r="CM55477" s="111"/>
      <c r="CQ55477" s="111"/>
      <c r="EF55477"/>
      <c r="EG55477"/>
      <c r="EH55477"/>
      <c r="EI55477"/>
      <c r="EJ55477"/>
      <c r="EK55477"/>
    </row>
    <row r="55478" spans="1:141" s="116" customFormat="1">
      <c r="A55478" s="136"/>
      <c r="CM55478" s="111"/>
      <c r="CQ55478" s="111"/>
      <c r="EF55478"/>
      <c r="EG55478"/>
      <c r="EH55478"/>
      <c r="EI55478"/>
      <c r="EJ55478"/>
      <c r="EK55478"/>
    </row>
    <row r="55479" spans="1:141" s="116" customFormat="1">
      <c r="A55479" s="136"/>
      <c r="CM55479" s="111"/>
      <c r="CQ55479" s="111"/>
      <c r="EF55479"/>
      <c r="EG55479"/>
      <c r="EH55479"/>
      <c r="EI55479"/>
      <c r="EJ55479"/>
      <c r="EK55479"/>
    </row>
    <row r="55480" spans="1:141" s="116" customFormat="1">
      <c r="A55480" s="136"/>
      <c r="CM55480" s="111"/>
      <c r="CQ55480" s="111"/>
      <c r="EF55480"/>
      <c r="EG55480"/>
      <c r="EH55480"/>
      <c r="EI55480"/>
      <c r="EJ55480"/>
      <c r="EK55480"/>
    </row>
    <row r="55481" spans="1:141" s="116" customFormat="1">
      <c r="A55481" s="136"/>
      <c r="CM55481" s="111"/>
      <c r="CQ55481" s="111"/>
      <c r="EF55481"/>
      <c r="EG55481"/>
      <c r="EH55481"/>
      <c r="EI55481"/>
      <c r="EJ55481"/>
      <c r="EK55481"/>
    </row>
    <row r="55482" spans="1:141" s="116" customFormat="1">
      <c r="A55482" s="136"/>
      <c r="CM55482" s="111"/>
      <c r="CQ55482" s="111"/>
      <c r="EF55482"/>
      <c r="EG55482"/>
      <c r="EH55482"/>
      <c r="EI55482"/>
      <c r="EJ55482"/>
      <c r="EK55482"/>
    </row>
    <row r="55483" spans="1:141" s="116" customFormat="1">
      <c r="A55483" s="136"/>
      <c r="CM55483" s="111"/>
      <c r="CQ55483" s="111"/>
      <c r="EF55483"/>
      <c r="EG55483"/>
      <c r="EH55483"/>
      <c r="EI55483"/>
      <c r="EJ55483"/>
      <c r="EK55483"/>
    </row>
    <row r="55484" spans="1:141" s="116" customFormat="1">
      <c r="A55484" s="136"/>
      <c r="CM55484" s="111"/>
      <c r="CQ55484" s="111"/>
      <c r="EF55484"/>
      <c r="EG55484"/>
      <c r="EH55484"/>
      <c r="EI55484"/>
      <c r="EJ55484"/>
      <c r="EK55484"/>
    </row>
    <row r="55485" spans="1:141" s="116" customFormat="1">
      <c r="A55485" s="136"/>
      <c r="CM55485" s="111"/>
      <c r="CQ55485" s="111"/>
      <c r="EF55485"/>
      <c r="EG55485"/>
      <c r="EH55485"/>
      <c r="EI55485"/>
      <c r="EJ55485"/>
      <c r="EK55485"/>
    </row>
    <row r="55486" spans="1:141" s="116" customFormat="1">
      <c r="A55486" s="136"/>
      <c r="CM55486" s="111"/>
      <c r="CQ55486" s="111"/>
      <c r="EF55486"/>
      <c r="EG55486"/>
      <c r="EH55486"/>
      <c r="EI55486"/>
      <c r="EJ55486"/>
      <c r="EK55486"/>
    </row>
    <row r="55487" spans="1:141" s="116" customFormat="1">
      <c r="A55487" s="136"/>
      <c r="CM55487" s="111"/>
      <c r="CQ55487" s="111"/>
      <c r="EF55487"/>
      <c r="EG55487"/>
      <c r="EH55487"/>
      <c r="EI55487"/>
      <c r="EJ55487"/>
      <c r="EK55487"/>
    </row>
    <row r="55488" spans="1:141" s="116" customFormat="1">
      <c r="A55488" s="136"/>
      <c r="CM55488" s="111"/>
      <c r="CQ55488" s="111"/>
      <c r="EF55488"/>
      <c r="EG55488"/>
      <c r="EH55488"/>
      <c r="EI55488"/>
      <c r="EJ55488"/>
      <c r="EK55488"/>
    </row>
    <row r="55489" spans="1:141" s="116" customFormat="1">
      <c r="A55489" s="136"/>
      <c r="CM55489" s="111"/>
      <c r="CQ55489" s="111"/>
      <c r="EF55489"/>
      <c r="EG55489"/>
      <c r="EH55489"/>
      <c r="EI55489"/>
      <c r="EJ55489"/>
      <c r="EK55489"/>
    </row>
    <row r="55490" spans="1:141" s="116" customFormat="1">
      <c r="A55490" s="136"/>
      <c r="CM55490" s="111"/>
      <c r="CQ55490" s="111"/>
      <c r="EF55490"/>
      <c r="EG55490"/>
      <c r="EH55490"/>
      <c r="EI55490"/>
      <c r="EJ55490"/>
      <c r="EK55490"/>
    </row>
    <row r="55491" spans="1:141" s="116" customFormat="1">
      <c r="A55491" s="136"/>
      <c r="CM55491" s="111"/>
      <c r="CQ55491" s="111"/>
      <c r="EF55491"/>
      <c r="EG55491"/>
      <c r="EH55491"/>
      <c r="EI55491"/>
      <c r="EJ55491"/>
      <c r="EK55491"/>
    </row>
    <row r="55492" spans="1:141" s="116" customFormat="1">
      <c r="A55492" s="136"/>
      <c r="CM55492" s="111"/>
      <c r="CQ55492" s="111"/>
      <c r="EF55492"/>
      <c r="EG55492"/>
      <c r="EH55492"/>
      <c r="EI55492"/>
      <c r="EJ55492"/>
      <c r="EK55492"/>
    </row>
    <row r="55493" spans="1:141" s="116" customFormat="1">
      <c r="A55493" s="136"/>
      <c r="CM55493" s="111"/>
      <c r="CQ55493" s="111"/>
      <c r="EF55493"/>
      <c r="EG55493"/>
      <c r="EH55493"/>
      <c r="EI55493"/>
      <c r="EJ55493"/>
      <c r="EK55493"/>
    </row>
    <row r="55494" spans="1:141" s="116" customFormat="1">
      <c r="A55494" s="136"/>
      <c r="CM55494" s="111"/>
      <c r="CQ55494" s="111"/>
      <c r="EF55494"/>
      <c r="EG55494"/>
      <c r="EH55494"/>
      <c r="EI55494"/>
      <c r="EJ55494"/>
      <c r="EK55494"/>
    </row>
    <row r="55495" spans="1:141" s="116" customFormat="1">
      <c r="A55495" s="136"/>
      <c r="CM55495" s="111"/>
      <c r="CQ55495" s="111"/>
      <c r="EF55495"/>
      <c r="EG55495"/>
      <c r="EH55495"/>
      <c r="EI55495"/>
      <c r="EJ55495"/>
      <c r="EK55495"/>
    </row>
    <row r="55496" spans="1:141" s="116" customFormat="1">
      <c r="A55496" s="136"/>
      <c r="CM55496" s="111"/>
      <c r="CQ55496" s="111"/>
      <c r="EF55496"/>
      <c r="EG55496"/>
      <c r="EH55496"/>
      <c r="EI55496"/>
      <c r="EJ55496"/>
      <c r="EK55496"/>
    </row>
    <row r="55497" spans="1:141" s="116" customFormat="1">
      <c r="A55497" s="136"/>
      <c r="CM55497" s="111"/>
      <c r="CQ55497" s="111"/>
      <c r="EF55497"/>
      <c r="EG55497"/>
      <c r="EH55497"/>
      <c r="EI55497"/>
      <c r="EJ55497"/>
      <c r="EK55497"/>
    </row>
    <row r="55498" spans="1:141" s="116" customFormat="1">
      <c r="A55498" s="136"/>
      <c r="CM55498" s="111"/>
      <c r="CQ55498" s="111"/>
      <c r="EF55498"/>
      <c r="EG55498"/>
      <c r="EH55498"/>
      <c r="EI55498"/>
      <c r="EJ55498"/>
      <c r="EK55498"/>
    </row>
    <row r="55499" spans="1:141" s="116" customFormat="1">
      <c r="A55499" s="136"/>
      <c r="CM55499" s="111"/>
      <c r="CQ55499" s="111"/>
      <c r="EF55499"/>
      <c r="EG55499"/>
      <c r="EH55499"/>
      <c r="EI55499"/>
      <c r="EJ55499"/>
      <c r="EK55499"/>
    </row>
    <row r="55500" spans="1:141" s="116" customFormat="1">
      <c r="A55500" s="136"/>
      <c r="CM55500" s="111"/>
      <c r="CQ55500" s="111"/>
      <c r="EF55500"/>
      <c r="EG55500"/>
      <c r="EH55500"/>
      <c r="EI55500"/>
      <c r="EJ55500"/>
      <c r="EK55500"/>
    </row>
    <row r="55501" spans="1:141" s="116" customFormat="1">
      <c r="A55501" s="136"/>
      <c r="CM55501" s="111"/>
      <c r="CQ55501" s="111"/>
      <c r="EF55501"/>
      <c r="EG55501"/>
      <c r="EH55501"/>
      <c r="EI55501"/>
      <c r="EJ55501"/>
      <c r="EK55501"/>
    </row>
    <row r="55502" spans="1:141" s="116" customFormat="1">
      <c r="A55502" s="136"/>
      <c r="CM55502" s="111"/>
      <c r="CQ55502" s="111"/>
      <c r="EF55502"/>
      <c r="EG55502"/>
      <c r="EH55502"/>
      <c r="EI55502"/>
      <c r="EJ55502"/>
      <c r="EK55502"/>
    </row>
    <row r="55503" spans="1:141" s="116" customFormat="1">
      <c r="A55503" s="136"/>
      <c r="CM55503" s="111"/>
      <c r="CQ55503" s="111"/>
      <c r="EF55503"/>
      <c r="EG55503"/>
      <c r="EH55503"/>
      <c r="EI55503"/>
      <c r="EJ55503"/>
      <c r="EK55503"/>
    </row>
    <row r="55504" spans="1:141" s="116" customFormat="1">
      <c r="A55504" s="136"/>
      <c r="CM55504" s="111"/>
      <c r="CQ55504" s="111"/>
      <c r="EF55504"/>
      <c r="EG55504"/>
      <c r="EH55504"/>
      <c r="EI55504"/>
      <c r="EJ55504"/>
      <c r="EK55504"/>
    </row>
    <row r="55505" spans="1:141" s="116" customFormat="1">
      <c r="A55505" s="136"/>
      <c r="CM55505" s="111"/>
      <c r="CQ55505" s="111"/>
      <c r="EF55505"/>
      <c r="EG55505"/>
      <c r="EH55505"/>
      <c r="EI55505"/>
      <c r="EJ55505"/>
      <c r="EK55505"/>
    </row>
    <row r="55506" spans="1:141" s="116" customFormat="1">
      <c r="A55506" s="136"/>
      <c r="CM55506" s="111"/>
      <c r="CQ55506" s="111"/>
      <c r="EF55506"/>
      <c r="EG55506"/>
      <c r="EH55506"/>
      <c r="EI55506"/>
      <c r="EJ55506"/>
      <c r="EK55506"/>
    </row>
    <row r="55507" spans="1:141" s="116" customFormat="1">
      <c r="A55507" s="136"/>
      <c r="CM55507" s="111"/>
      <c r="CQ55507" s="111"/>
      <c r="EF55507"/>
      <c r="EG55507"/>
      <c r="EH55507"/>
      <c r="EI55507"/>
      <c r="EJ55507"/>
      <c r="EK55507"/>
    </row>
    <row r="55508" spans="1:141" s="116" customFormat="1">
      <c r="A55508" s="136"/>
      <c r="CM55508" s="111"/>
      <c r="CQ55508" s="111"/>
      <c r="EF55508"/>
      <c r="EG55508"/>
      <c r="EH55508"/>
      <c r="EI55508"/>
      <c r="EJ55508"/>
      <c r="EK55508"/>
    </row>
    <row r="55509" spans="1:141" s="116" customFormat="1">
      <c r="A55509" s="136"/>
      <c r="CM55509" s="111"/>
      <c r="CQ55509" s="111"/>
      <c r="EF55509"/>
      <c r="EG55509"/>
      <c r="EH55509"/>
      <c r="EI55509"/>
      <c r="EJ55509"/>
      <c r="EK55509"/>
    </row>
    <row r="55510" spans="1:141" s="116" customFormat="1">
      <c r="A55510" s="136"/>
      <c r="CM55510" s="111"/>
      <c r="CQ55510" s="111"/>
      <c r="EF55510"/>
      <c r="EG55510"/>
      <c r="EH55510"/>
      <c r="EI55510"/>
      <c r="EJ55510"/>
      <c r="EK55510"/>
    </row>
    <row r="55511" spans="1:141" s="116" customFormat="1">
      <c r="A55511" s="136"/>
      <c r="CM55511" s="111"/>
      <c r="CQ55511" s="111"/>
      <c r="EF55511"/>
      <c r="EG55511"/>
      <c r="EH55511"/>
      <c r="EI55511"/>
      <c r="EJ55511"/>
      <c r="EK55511"/>
    </row>
    <row r="55512" spans="1:141" s="116" customFormat="1">
      <c r="A55512" s="136"/>
      <c r="CM55512" s="111"/>
      <c r="CQ55512" s="111"/>
      <c r="EF55512"/>
      <c r="EG55512"/>
      <c r="EH55512"/>
      <c r="EI55512"/>
      <c r="EJ55512"/>
      <c r="EK55512"/>
    </row>
    <row r="55513" spans="1:141" s="116" customFormat="1">
      <c r="A55513" s="136"/>
      <c r="CM55513" s="111"/>
      <c r="CQ55513" s="111"/>
      <c r="EF55513"/>
      <c r="EG55513"/>
      <c r="EH55513"/>
      <c r="EI55513"/>
      <c r="EJ55513"/>
      <c r="EK55513"/>
    </row>
    <row r="55514" spans="1:141" s="116" customFormat="1">
      <c r="A55514" s="136"/>
      <c r="CM55514" s="111"/>
      <c r="CQ55514" s="111"/>
      <c r="EF55514"/>
      <c r="EG55514"/>
      <c r="EH55514"/>
      <c r="EI55514"/>
      <c r="EJ55514"/>
      <c r="EK55514"/>
    </row>
    <row r="55515" spans="1:141" s="116" customFormat="1">
      <c r="A55515" s="136"/>
      <c r="CM55515" s="111"/>
      <c r="CQ55515" s="111"/>
      <c r="EF55515"/>
      <c r="EG55515"/>
      <c r="EH55515"/>
      <c r="EI55515"/>
      <c r="EJ55515"/>
      <c r="EK55515"/>
    </row>
    <row r="55516" spans="1:141" s="116" customFormat="1">
      <c r="A55516" s="136"/>
      <c r="CM55516" s="111"/>
      <c r="CQ55516" s="111"/>
      <c r="EF55516"/>
      <c r="EG55516"/>
      <c r="EH55516"/>
      <c r="EI55516"/>
      <c r="EJ55516"/>
      <c r="EK55516"/>
    </row>
    <row r="55517" spans="1:141" s="116" customFormat="1">
      <c r="A55517" s="136"/>
      <c r="CM55517" s="111"/>
      <c r="CQ55517" s="111"/>
      <c r="EF55517"/>
      <c r="EG55517"/>
      <c r="EH55517"/>
      <c r="EI55517"/>
      <c r="EJ55517"/>
      <c r="EK55517"/>
    </row>
    <row r="55518" spans="1:141" s="116" customFormat="1">
      <c r="A55518" s="136"/>
      <c r="CM55518" s="111"/>
      <c r="CQ55518" s="111"/>
      <c r="EF55518"/>
      <c r="EG55518"/>
      <c r="EH55518"/>
      <c r="EI55518"/>
      <c r="EJ55518"/>
      <c r="EK55518"/>
    </row>
    <row r="55519" spans="1:141" s="116" customFormat="1">
      <c r="A55519" s="136"/>
      <c r="CM55519" s="111"/>
      <c r="CQ55519" s="111"/>
      <c r="EF55519"/>
      <c r="EG55519"/>
      <c r="EH55519"/>
      <c r="EI55519"/>
      <c r="EJ55519"/>
      <c r="EK55519"/>
    </row>
    <row r="55520" spans="1:141" s="116" customFormat="1">
      <c r="A55520" s="136"/>
      <c r="CM55520" s="111"/>
      <c r="CQ55520" s="111"/>
      <c r="EF55520"/>
      <c r="EG55520"/>
      <c r="EH55520"/>
      <c r="EI55520"/>
      <c r="EJ55520"/>
      <c r="EK55520"/>
    </row>
    <row r="55521" spans="1:141" s="116" customFormat="1">
      <c r="A55521" s="136"/>
      <c r="CM55521" s="111"/>
      <c r="CQ55521" s="111"/>
      <c r="EF55521"/>
      <c r="EG55521"/>
      <c r="EH55521"/>
      <c r="EI55521"/>
      <c r="EJ55521"/>
      <c r="EK55521"/>
    </row>
    <row r="55522" spans="1:141" s="116" customFormat="1">
      <c r="A55522" s="136"/>
      <c r="CM55522" s="111"/>
      <c r="CQ55522" s="111"/>
      <c r="EF55522"/>
      <c r="EG55522"/>
      <c r="EH55522"/>
      <c r="EI55522"/>
      <c r="EJ55522"/>
      <c r="EK55522"/>
    </row>
    <row r="55523" spans="1:141" s="116" customFormat="1">
      <c r="A55523" s="136"/>
      <c r="CM55523" s="111"/>
      <c r="CQ55523" s="111"/>
      <c r="EF55523"/>
      <c r="EG55523"/>
      <c r="EH55523"/>
      <c r="EI55523"/>
      <c r="EJ55523"/>
      <c r="EK55523"/>
    </row>
    <row r="55524" spans="1:141" s="116" customFormat="1">
      <c r="A55524" s="136"/>
      <c r="CM55524" s="111"/>
      <c r="CQ55524" s="111"/>
      <c r="EF55524"/>
      <c r="EG55524"/>
      <c r="EH55524"/>
      <c r="EI55524"/>
      <c r="EJ55524"/>
      <c r="EK55524"/>
    </row>
    <row r="55525" spans="1:141" s="116" customFormat="1">
      <c r="A55525" s="136"/>
      <c r="CM55525" s="111"/>
      <c r="CQ55525" s="111"/>
      <c r="EF55525"/>
      <c r="EG55525"/>
      <c r="EH55525"/>
      <c r="EI55525"/>
      <c r="EJ55525"/>
      <c r="EK55525"/>
    </row>
    <row r="55526" spans="1:141" s="116" customFormat="1">
      <c r="A55526" s="136"/>
      <c r="CM55526" s="111"/>
      <c r="CQ55526" s="111"/>
      <c r="EF55526"/>
      <c r="EG55526"/>
      <c r="EH55526"/>
      <c r="EI55526"/>
      <c r="EJ55526"/>
      <c r="EK55526"/>
    </row>
    <row r="55527" spans="1:141" s="116" customFormat="1">
      <c r="A55527" s="136"/>
      <c r="CM55527" s="111"/>
      <c r="CQ55527" s="111"/>
      <c r="EF55527"/>
      <c r="EG55527"/>
      <c r="EH55527"/>
      <c r="EI55527"/>
      <c r="EJ55527"/>
      <c r="EK55527"/>
    </row>
    <row r="55528" spans="1:141" s="116" customFormat="1">
      <c r="A55528" s="136"/>
      <c r="CM55528" s="111"/>
      <c r="CQ55528" s="111"/>
      <c r="EF55528"/>
      <c r="EG55528"/>
      <c r="EH55528"/>
      <c r="EI55528"/>
      <c r="EJ55528"/>
      <c r="EK55528"/>
    </row>
    <row r="55529" spans="1:141" s="116" customFormat="1">
      <c r="A55529" s="136"/>
      <c r="CM55529" s="111"/>
      <c r="CQ55529" s="111"/>
      <c r="EF55529"/>
      <c r="EG55529"/>
      <c r="EH55529"/>
      <c r="EI55529"/>
      <c r="EJ55529"/>
      <c r="EK55529"/>
    </row>
    <row r="55530" spans="1:141" s="116" customFormat="1">
      <c r="A55530" s="136"/>
      <c r="CM55530" s="111"/>
      <c r="CQ55530" s="111"/>
      <c r="EF55530"/>
      <c r="EG55530"/>
      <c r="EH55530"/>
      <c r="EI55530"/>
      <c r="EJ55530"/>
      <c r="EK55530"/>
    </row>
    <row r="55531" spans="1:141" s="116" customFormat="1">
      <c r="A55531" s="136"/>
      <c r="CM55531" s="111"/>
      <c r="CQ55531" s="111"/>
      <c r="EF55531"/>
      <c r="EG55531"/>
      <c r="EH55531"/>
      <c r="EI55531"/>
      <c r="EJ55531"/>
      <c r="EK55531"/>
    </row>
    <row r="55532" spans="1:141" s="116" customFormat="1">
      <c r="A55532" s="136"/>
      <c r="CM55532" s="111"/>
      <c r="CQ55532" s="111"/>
      <c r="EF55532"/>
      <c r="EG55532"/>
      <c r="EH55532"/>
      <c r="EI55532"/>
      <c r="EJ55532"/>
      <c r="EK55532"/>
    </row>
    <row r="55533" spans="1:141" s="116" customFormat="1">
      <c r="A55533" s="136"/>
      <c r="CM55533" s="111"/>
      <c r="CQ55533" s="111"/>
      <c r="EF55533"/>
      <c r="EG55533"/>
      <c r="EH55533"/>
      <c r="EI55533"/>
      <c r="EJ55533"/>
      <c r="EK55533"/>
    </row>
    <row r="55534" spans="1:141" s="116" customFormat="1">
      <c r="A55534" s="136"/>
      <c r="CM55534" s="111"/>
      <c r="CQ55534" s="111"/>
      <c r="EF55534"/>
      <c r="EG55534"/>
      <c r="EH55534"/>
      <c r="EI55534"/>
      <c r="EJ55534"/>
      <c r="EK55534"/>
    </row>
    <row r="55535" spans="1:141" s="116" customFormat="1">
      <c r="A55535" s="136"/>
      <c r="CM55535" s="111"/>
      <c r="CQ55535" s="111"/>
      <c r="EF55535"/>
      <c r="EG55535"/>
      <c r="EH55535"/>
      <c r="EI55535"/>
      <c r="EJ55535"/>
      <c r="EK55535"/>
    </row>
    <row r="55536" spans="1:141" s="116" customFormat="1">
      <c r="A55536" s="136"/>
      <c r="CM55536" s="111"/>
      <c r="CQ55536" s="111"/>
      <c r="EF55536"/>
      <c r="EG55536"/>
      <c r="EH55536"/>
      <c r="EI55536"/>
      <c r="EJ55536"/>
      <c r="EK55536"/>
    </row>
    <row r="55537" spans="1:141" s="116" customFormat="1">
      <c r="A55537" s="136"/>
      <c r="CM55537" s="111"/>
      <c r="CQ55537" s="111"/>
      <c r="EF55537"/>
      <c r="EG55537"/>
      <c r="EH55537"/>
      <c r="EI55537"/>
      <c r="EJ55537"/>
      <c r="EK55537"/>
    </row>
    <row r="55538" spans="1:141" s="116" customFormat="1">
      <c r="A55538" s="136"/>
      <c r="CM55538" s="111"/>
      <c r="CQ55538" s="111"/>
      <c r="EF55538"/>
      <c r="EG55538"/>
      <c r="EH55538"/>
      <c r="EI55538"/>
      <c r="EJ55538"/>
      <c r="EK55538"/>
    </row>
    <row r="55539" spans="1:141" s="116" customFormat="1">
      <c r="A55539" s="136"/>
      <c r="CM55539" s="111"/>
      <c r="CQ55539" s="111"/>
      <c r="EF55539"/>
      <c r="EG55539"/>
      <c r="EH55539"/>
      <c r="EI55539"/>
      <c r="EJ55539"/>
      <c r="EK55539"/>
    </row>
    <row r="55540" spans="1:141" s="116" customFormat="1">
      <c r="A55540" s="136"/>
      <c r="CM55540" s="111"/>
      <c r="CQ55540" s="111"/>
      <c r="EF55540"/>
      <c r="EG55540"/>
      <c r="EH55540"/>
      <c r="EI55540"/>
      <c r="EJ55540"/>
      <c r="EK55540"/>
    </row>
    <row r="55541" spans="1:141" s="116" customFormat="1">
      <c r="A55541" s="136"/>
      <c r="CM55541" s="111"/>
      <c r="CQ55541" s="111"/>
      <c r="EF55541"/>
      <c r="EG55541"/>
      <c r="EH55541"/>
      <c r="EI55541"/>
      <c r="EJ55541"/>
      <c r="EK55541"/>
    </row>
    <row r="55542" spans="1:141" s="116" customFormat="1">
      <c r="A55542" s="136"/>
      <c r="CM55542" s="111"/>
      <c r="CQ55542" s="111"/>
      <c r="EF55542"/>
      <c r="EG55542"/>
      <c r="EH55542"/>
      <c r="EI55542"/>
      <c r="EJ55542"/>
      <c r="EK55542"/>
    </row>
    <row r="55543" spans="1:141" s="116" customFormat="1">
      <c r="A55543" s="136"/>
      <c r="CM55543" s="111"/>
      <c r="CQ55543" s="111"/>
      <c r="EF55543"/>
      <c r="EG55543"/>
      <c r="EH55543"/>
      <c r="EI55543"/>
      <c r="EJ55543"/>
      <c r="EK55543"/>
    </row>
    <row r="55544" spans="1:141" s="116" customFormat="1">
      <c r="A55544" s="136"/>
      <c r="CM55544" s="111"/>
      <c r="CQ55544" s="111"/>
      <c r="EF55544"/>
      <c r="EG55544"/>
      <c r="EH55544"/>
      <c r="EI55544"/>
      <c r="EJ55544"/>
      <c r="EK55544"/>
    </row>
    <row r="55545" spans="1:141" s="116" customFormat="1">
      <c r="A55545" s="136"/>
      <c r="CM55545" s="111"/>
      <c r="CQ55545" s="111"/>
      <c r="EF55545"/>
      <c r="EG55545"/>
      <c r="EH55545"/>
      <c r="EI55545"/>
      <c r="EJ55545"/>
      <c r="EK55545"/>
    </row>
    <row r="55546" spans="1:141" s="116" customFormat="1">
      <c r="A55546" s="136"/>
      <c r="CM55546" s="111"/>
      <c r="CQ55546" s="111"/>
      <c r="EF55546"/>
      <c r="EG55546"/>
      <c r="EH55546"/>
      <c r="EI55546"/>
      <c r="EJ55546"/>
      <c r="EK55546"/>
    </row>
    <row r="55547" spans="1:141" s="116" customFormat="1">
      <c r="A55547" s="136"/>
      <c r="CM55547" s="111"/>
      <c r="CQ55547" s="111"/>
      <c r="EF55547"/>
      <c r="EG55547"/>
      <c r="EH55547"/>
      <c r="EI55547"/>
      <c r="EJ55547"/>
      <c r="EK55547"/>
    </row>
    <row r="55548" spans="1:141" s="116" customFormat="1">
      <c r="A55548" s="136"/>
      <c r="CM55548" s="111"/>
      <c r="CQ55548" s="111"/>
      <c r="EF55548"/>
      <c r="EG55548"/>
      <c r="EH55548"/>
      <c r="EI55548"/>
      <c r="EJ55548"/>
      <c r="EK55548"/>
    </row>
    <row r="55549" spans="1:141" s="116" customFormat="1">
      <c r="A55549" s="136"/>
      <c r="CM55549" s="111"/>
      <c r="CQ55549" s="111"/>
      <c r="EF55549"/>
      <c r="EG55549"/>
      <c r="EH55549"/>
      <c r="EI55549"/>
      <c r="EJ55549"/>
      <c r="EK55549"/>
    </row>
    <row r="55550" spans="1:141" s="116" customFormat="1">
      <c r="A55550" s="136"/>
      <c r="CM55550" s="111"/>
      <c r="CQ55550" s="111"/>
      <c r="EF55550"/>
      <c r="EG55550"/>
      <c r="EH55550"/>
      <c r="EI55550"/>
      <c r="EJ55550"/>
      <c r="EK55550"/>
    </row>
    <row r="55551" spans="1:141" s="116" customFormat="1">
      <c r="A55551" s="136"/>
      <c r="CM55551" s="111"/>
      <c r="CQ55551" s="111"/>
      <c r="EF55551"/>
      <c r="EG55551"/>
      <c r="EH55551"/>
      <c r="EI55551"/>
      <c r="EJ55551"/>
      <c r="EK55551"/>
    </row>
    <row r="55552" spans="1:141" s="116" customFormat="1">
      <c r="A55552" s="136"/>
      <c r="CM55552" s="111"/>
      <c r="CQ55552" s="111"/>
      <c r="EF55552"/>
      <c r="EG55552"/>
      <c r="EH55552"/>
      <c r="EI55552"/>
      <c r="EJ55552"/>
      <c r="EK55552"/>
    </row>
    <row r="55553" spans="1:141" s="116" customFormat="1">
      <c r="A55553" s="136"/>
      <c r="CM55553" s="111"/>
      <c r="CQ55553" s="111"/>
      <c r="EF55553"/>
      <c r="EG55553"/>
      <c r="EH55553"/>
      <c r="EI55553"/>
      <c r="EJ55553"/>
      <c r="EK55553"/>
    </row>
    <row r="55554" spans="1:141" s="116" customFormat="1">
      <c r="A55554" s="136"/>
      <c r="CM55554" s="111"/>
      <c r="CQ55554" s="111"/>
      <c r="EF55554"/>
      <c r="EG55554"/>
      <c r="EH55554"/>
      <c r="EI55554"/>
      <c r="EJ55554"/>
      <c r="EK55554"/>
    </row>
    <row r="55555" spans="1:141" s="116" customFormat="1">
      <c r="A55555" s="136"/>
      <c r="CM55555" s="111"/>
      <c r="CQ55555" s="111"/>
      <c r="EF55555"/>
      <c r="EG55555"/>
      <c r="EH55555"/>
      <c r="EI55555"/>
      <c r="EJ55555"/>
      <c r="EK55555"/>
    </row>
    <row r="55556" spans="1:141" s="116" customFormat="1">
      <c r="A55556" s="136"/>
      <c r="CM55556" s="111"/>
      <c r="CQ55556" s="111"/>
      <c r="EF55556"/>
      <c r="EG55556"/>
      <c r="EH55556"/>
      <c r="EI55556"/>
      <c r="EJ55556"/>
      <c r="EK55556"/>
    </row>
    <row r="55557" spans="1:141" s="116" customFormat="1">
      <c r="A55557" s="136"/>
      <c r="CM55557" s="111"/>
      <c r="CQ55557" s="111"/>
      <c r="EF55557"/>
      <c r="EG55557"/>
      <c r="EH55557"/>
      <c r="EI55557"/>
      <c r="EJ55557"/>
      <c r="EK55557"/>
    </row>
    <row r="55558" spans="1:141" s="116" customFormat="1">
      <c r="A55558" s="136"/>
      <c r="CM55558" s="111"/>
      <c r="CQ55558" s="111"/>
      <c r="EF55558"/>
      <c r="EG55558"/>
      <c r="EH55558"/>
      <c r="EI55558"/>
      <c r="EJ55558"/>
      <c r="EK55558"/>
    </row>
    <row r="55559" spans="1:141" s="116" customFormat="1">
      <c r="A55559" s="136"/>
      <c r="CM55559" s="111"/>
      <c r="CQ55559" s="111"/>
      <c r="EF55559"/>
      <c r="EG55559"/>
      <c r="EH55559"/>
      <c r="EI55559"/>
      <c r="EJ55559"/>
      <c r="EK55559"/>
    </row>
    <row r="55560" spans="1:141" s="116" customFormat="1">
      <c r="A55560" s="136"/>
      <c r="CM55560" s="111"/>
      <c r="CQ55560" s="111"/>
      <c r="EF55560"/>
      <c r="EG55560"/>
      <c r="EH55560"/>
      <c r="EI55560"/>
      <c r="EJ55560"/>
      <c r="EK55560"/>
    </row>
    <row r="55561" spans="1:141" s="116" customFormat="1">
      <c r="A55561" s="136"/>
      <c r="CM55561" s="111"/>
      <c r="CQ55561" s="111"/>
      <c r="EF55561"/>
      <c r="EG55561"/>
      <c r="EH55561"/>
      <c r="EI55561"/>
      <c r="EJ55561"/>
      <c r="EK55561"/>
    </row>
    <row r="55562" spans="1:141" s="116" customFormat="1">
      <c r="A55562" s="136"/>
      <c r="CM55562" s="111"/>
      <c r="CQ55562" s="111"/>
      <c r="EF55562"/>
      <c r="EG55562"/>
      <c r="EH55562"/>
      <c r="EI55562"/>
      <c r="EJ55562"/>
      <c r="EK55562"/>
    </row>
    <row r="55563" spans="1:141" s="116" customFormat="1">
      <c r="A55563" s="136"/>
      <c r="CM55563" s="111"/>
      <c r="CQ55563" s="111"/>
      <c r="EF55563"/>
      <c r="EG55563"/>
      <c r="EH55563"/>
      <c r="EI55563"/>
      <c r="EJ55563"/>
      <c r="EK55563"/>
    </row>
    <row r="55564" spans="1:141" s="116" customFormat="1">
      <c r="A55564" s="136"/>
      <c r="CM55564" s="111"/>
      <c r="CQ55564" s="111"/>
      <c r="EF55564"/>
      <c r="EG55564"/>
      <c r="EH55564"/>
      <c r="EI55564"/>
      <c r="EJ55564"/>
      <c r="EK55564"/>
    </row>
    <row r="55565" spans="1:141" s="116" customFormat="1">
      <c r="A55565" s="136"/>
      <c r="CM55565" s="111"/>
      <c r="CQ55565" s="111"/>
      <c r="EF55565"/>
      <c r="EG55565"/>
      <c r="EH55565"/>
      <c r="EI55565"/>
      <c r="EJ55565"/>
      <c r="EK55565"/>
    </row>
    <row r="55566" spans="1:141" s="116" customFormat="1">
      <c r="A55566" s="136"/>
      <c r="CM55566" s="111"/>
      <c r="CQ55566" s="111"/>
      <c r="EF55566"/>
      <c r="EG55566"/>
      <c r="EH55566"/>
      <c r="EI55566"/>
      <c r="EJ55566"/>
      <c r="EK55566"/>
    </row>
    <row r="55567" spans="1:141" s="116" customFormat="1">
      <c r="A55567" s="136"/>
      <c r="CM55567" s="111"/>
      <c r="CQ55567" s="111"/>
      <c r="EF55567"/>
      <c r="EG55567"/>
      <c r="EH55567"/>
      <c r="EI55567"/>
      <c r="EJ55567"/>
      <c r="EK55567"/>
    </row>
    <row r="55568" spans="1:141" s="116" customFormat="1">
      <c r="A55568" s="136"/>
      <c r="CM55568" s="111"/>
      <c r="CQ55568" s="111"/>
      <c r="EF55568"/>
      <c r="EG55568"/>
      <c r="EH55568"/>
      <c r="EI55568"/>
      <c r="EJ55568"/>
      <c r="EK55568"/>
    </row>
    <row r="55569" spans="1:141" s="116" customFormat="1">
      <c r="A55569" s="136"/>
      <c r="CM55569" s="111"/>
      <c r="CQ55569" s="111"/>
      <c r="EF55569"/>
      <c r="EG55569"/>
      <c r="EH55569"/>
      <c r="EI55569"/>
      <c r="EJ55569"/>
      <c r="EK55569"/>
    </row>
    <row r="55570" spans="1:141" s="116" customFormat="1">
      <c r="A55570" s="136"/>
      <c r="CM55570" s="111"/>
      <c r="CQ55570" s="111"/>
      <c r="EF55570"/>
      <c r="EG55570"/>
      <c r="EH55570"/>
      <c r="EI55570"/>
      <c r="EJ55570"/>
      <c r="EK55570"/>
    </row>
    <row r="55571" spans="1:141" s="116" customFormat="1">
      <c r="A55571" s="136"/>
      <c r="CM55571" s="111"/>
      <c r="CQ55571" s="111"/>
      <c r="EF55571"/>
      <c r="EG55571"/>
      <c r="EH55571"/>
      <c r="EI55571"/>
      <c r="EJ55571"/>
      <c r="EK55571"/>
    </row>
    <row r="55572" spans="1:141" s="116" customFormat="1">
      <c r="A55572" s="136"/>
      <c r="CM55572" s="111"/>
      <c r="CQ55572" s="111"/>
      <c r="EF55572"/>
      <c r="EG55572"/>
      <c r="EH55572"/>
      <c r="EI55572"/>
      <c r="EJ55572"/>
      <c r="EK55572"/>
    </row>
    <row r="55573" spans="1:141" s="116" customFormat="1">
      <c r="A55573" s="136"/>
      <c r="CM55573" s="111"/>
      <c r="CQ55573" s="111"/>
      <c r="EF55573"/>
      <c r="EG55573"/>
      <c r="EH55573"/>
      <c r="EI55573"/>
      <c r="EJ55573"/>
      <c r="EK55573"/>
    </row>
    <row r="55574" spans="1:141" s="116" customFormat="1">
      <c r="A55574" s="136"/>
      <c r="CM55574" s="111"/>
      <c r="CQ55574" s="111"/>
      <c r="EF55574"/>
      <c r="EG55574"/>
      <c r="EH55574"/>
      <c r="EI55574"/>
      <c r="EJ55574"/>
      <c r="EK55574"/>
    </row>
    <row r="55575" spans="1:141" s="116" customFormat="1">
      <c r="A55575" s="136"/>
      <c r="CM55575" s="111"/>
      <c r="CQ55575" s="111"/>
      <c r="EF55575"/>
      <c r="EG55575"/>
      <c r="EH55575"/>
      <c r="EI55575"/>
      <c r="EJ55575"/>
      <c r="EK55575"/>
    </row>
    <row r="55576" spans="1:141" s="116" customFormat="1">
      <c r="A55576" s="136"/>
      <c r="CM55576" s="111"/>
      <c r="CQ55576" s="111"/>
      <c r="EF55576"/>
      <c r="EG55576"/>
      <c r="EH55576"/>
      <c r="EI55576"/>
      <c r="EJ55576"/>
      <c r="EK55576"/>
    </row>
    <row r="55577" spans="1:141" s="116" customFormat="1">
      <c r="A55577" s="136"/>
      <c r="CM55577" s="111"/>
      <c r="CQ55577" s="111"/>
      <c r="EF55577"/>
      <c r="EG55577"/>
      <c r="EH55577"/>
      <c r="EI55577"/>
      <c r="EJ55577"/>
      <c r="EK55577"/>
    </row>
    <row r="55578" spans="1:141" s="116" customFormat="1">
      <c r="A55578" s="136"/>
      <c r="CM55578" s="111"/>
      <c r="CQ55578" s="111"/>
      <c r="EF55578"/>
      <c r="EG55578"/>
      <c r="EH55578"/>
      <c r="EI55578"/>
      <c r="EJ55578"/>
      <c r="EK55578"/>
    </row>
    <row r="55579" spans="1:141" s="116" customFormat="1">
      <c r="A55579" s="136"/>
      <c r="CM55579" s="111"/>
      <c r="CQ55579" s="111"/>
      <c r="EF55579"/>
      <c r="EG55579"/>
      <c r="EH55579"/>
      <c r="EI55579"/>
      <c r="EJ55579"/>
      <c r="EK55579"/>
    </row>
    <row r="55580" spans="1:141" s="116" customFormat="1">
      <c r="A55580" s="136"/>
      <c r="CM55580" s="111"/>
      <c r="CQ55580" s="111"/>
      <c r="EF55580"/>
      <c r="EG55580"/>
      <c r="EH55580"/>
      <c r="EI55580"/>
      <c r="EJ55580"/>
      <c r="EK55580"/>
    </row>
    <row r="55581" spans="1:141" s="116" customFormat="1">
      <c r="A55581" s="136"/>
      <c r="CM55581" s="111"/>
      <c r="CQ55581" s="111"/>
      <c r="EF55581"/>
      <c r="EG55581"/>
      <c r="EH55581"/>
      <c r="EI55581"/>
      <c r="EJ55581"/>
      <c r="EK55581"/>
    </row>
    <row r="55582" spans="1:141" s="116" customFormat="1">
      <c r="A55582" s="136"/>
      <c r="CM55582" s="111"/>
      <c r="CQ55582" s="111"/>
      <c r="EF55582"/>
      <c r="EG55582"/>
      <c r="EH55582"/>
      <c r="EI55582"/>
      <c r="EJ55582"/>
      <c r="EK55582"/>
    </row>
    <row r="55583" spans="1:141" s="116" customFormat="1">
      <c r="A55583" s="136"/>
      <c r="CM55583" s="111"/>
      <c r="CQ55583" s="111"/>
      <c r="EF55583"/>
      <c r="EG55583"/>
      <c r="EH55583"/>
      <c r="EI55583"/>
      <c r="EJ55583"/>
      <c r="EK55583"/>
    </row>
    <row r="55584" spans="1:141" s="116" customFormat="1">
      <c r="A55584" s="136"/>
      <c r="CM55584" s="111"/>
      <c r="CQ55584" s="111"/>
      <c r="EF55584"/>
      <c r="EG55584"/>
      <c r="EH55584"/>
      <c r="EI55584"/>
      <c r="EJ55584"/>
      <c r="EK55584"/>
    </row>
    <row r="55585" spans="1:141" s="116" customFormat="1">
      <c r="A55585" s="136"/>
      <c r="CM55585" s="111"/>
      <c r="CQ55585" s="111"/>
      <c r="EF55585"/>
      <c r="EG55585"/>
      <c r="EH55585"/>
      <c r="EI55585"/>
      <c r="EJ55585"/>
      <c r="EK55585"/>
    </row>
    <row r="55586" spans="1:141" s="116" customFormat="1">
      <c r="A55586" s="136"/>
      <c r="CM55586" s="111"/>
      <c r="CQ55586" s="111"/>
      <c r="EF55586"/>
      <c r="EG55586"/>
      <c r="EH55586"/>
      <c r="EI55586"/>
      <c r="EJ55586"/>
      <c r="EK55586"/>
    </row>
    <row r="55587" spans="1:141" s="116" customFormat="1">
      <c r="A55587" s="136"/>
      <c r="CM55587" s="111"/>
      <c r="CQ55587" s="111"/>
      <c r="EF55587"/>
      <c r="EG55587"/>
      <c r="EH55587"/>
      <c r="EI55587"/>
      <c r="EJ55587"/>
      <c r="EK55587"/>
    </row>
    <row r="55588" spans="1:141" s="116" customFormat="1">
      <c r="A55588" s="136"/>
      <c r="CM55588" s="111"/>
      <c r="CQ55588" s="111"/>
      <c r="EF55588"/>
      <c r="EG55588"/>
      <c r="EH55588"/>
      <c r="EI55588"/>
      <c r="EJ55588"/>
      <c r="EK55588"/>
    </row>
    <row r="55589" spans="1:141" s="116" customFormat="1">
      <c r="A55589" s="136"/>
      <c r="CM55589" s="111"/>
      <c r="CQ55589" s="111"/>
      <c r="EF55589"/>
      <c r="EG55589"/>
      <c r="EH55589"/>
      <c r="EI55589"/>
      <c r="EJ55589"/>
      <c r="EK55589"/>
    </row>
    <row r="55590" spans="1:141" s="116" customFormat="1">
      <c r="A55590" s="136"/>
      <c r="CM55590" s="111"/>
      <c r="CQ55590" s="111"/>
      <c r="EF55590"/>
      <c r="EG55590"/>
      <c r="EH55590"/>
      <c r="EI55590"/>
      <c r="EJ55590"/>
      <c r="EK55590"/>
    </row>
    <row r="55591" spans="1:141" s="116" customFormat="1">
      <c r="A55591" s="136"/>
      <c r="CM55591" s="111"/>
      <c r="CQ55591" s="111"/>
      <c r="EF55591"/>
      <c r="EG55591"/>
      <c r="EH55591"/>
      <c r="EI55591"/>
      <c r="EJ55591"/>
      <c r="EK55591"/>
    </row>
    <row r="55592" spans="1:141" s="116" customFormat="1">
      <c r="A55592" s="136"/>
      <c r="CM55592" s="111"/>
      <c r="CQ55592" s="111"/>
      <c r="EF55592"/>
      <c r="EG55592"/>
      <c r="EH55592"/>
      <c r="EI55592"/>
      <c r="EJ55592"/>
      <c r="EK55592"/>
    </row>
    <row r="55593" spans="1:141" s="116" customFormat="1">
      <c r="A55593" s="136"/>
      <c r="CM55593" s="111"/>
      <c r="CQ55593" s="111"/>
      <c r="EF55593"/>
      <c r="EG55593"/>
      <c r="EH55593"/>
      <c r="EI55593"/>
      <c r="EJ55593"/>
      <c r="EK55593"/>
    </row>
    <row r="55594" spans="1:141" s="116" customFormat="1">
      <c r="A55594" s="136"/>
      <c r="CM55594" s="111"/>
      <c r="CQ55594" s="111"/>
      <c r="EF55594"/>
      <c r="EG55594"/>
      <c r="EH55594"/>
      <c r="EI55594"/>
      <c r="EJ55594"/>
      <c r="EK55594"/>
    </row>
    <row r="55595" spans="1:141" s="116" customFormat="1">
      <c r="A55595" s="136"/>
      <c r="CM55595" s="111"/>
      <c r="CQ55595" s="111"/>
      <c r="EF55595"/>
      <c r="EG55595"/>
      <c r="EH55595"/>
      <c r="EI55595"/>
      <c r="EJ55595"/>
      <c r="EK55595"/>
    </row>
    <row r="55596" spans="1:141" s="116" customFormat="1">
      <c r="A55596" s="136"/>
      <c r="CM55596" s="111"/>
      <c r="CQ55596" s="111"/>
      <c r="EF55596"/>
      <c r="EG55596"/>
      <c r="EH55596"/>
      <c r="EI55596"/>
      <c r="EJ55596"/>
      <c r="EK55596"/>
    </row>
    <row r="55597" spans="1:141" s="116" customFormat="1">
      <c r="A55597" s="136"/>
      <c r="CM55597" s="111"/>
      <c r="CQ55597" s="111"/>
      <c r="EF55597"/>
      <c r="EG55597"/>
      <c r="EH55597"/>
      <c r="EI55597"/>
      <c r="EJ55597"/>
      <c r="EK55597"/>
    </row>
    <row r="55598" spans="1:141" s="116" customFormat="1">
      <c r="A55598" s="136"/>
      <c r="CM55598" s="111"/>
      <c r="CQ55598" s="111"/>
      <c r="EF55598"/>
      <c r="EG55598"/>
      <c r="EH55598"/>
      <c r="EI55598"/>
      <c r="EJ55598"/>
      <c r="EK55598"/>
    </row>
    <row r="55599" spans="1:141" s="116" customFormat="1">
      <c r="A55599" s="136"/>
      <c r="CM55599" s="111"/>
      <c r="CQ55599" s="111"/>
      <c r="EF55599"/>
      <c r="EG55599"/>
      <c r="EH55599"/>
      <c r="EI55599"/>
      <c r="EJ55599"/>
      <c r="EK55599"/>
    </row>
    <row r="55600" spans="1:141" s="116" customFormat="1">
      <c r="A55600" s="136"/>
      <c r="CM55600" s="111"/>
      <c r="CQ55600" s="111"/>
      <c r="EF55600"/>
      <c r="EG55600"/>
      <c r="EH55600"/>
      <c r="EI55600"/>
      <c r="EJ55600"/>
      <c r="EK55600"/>
    </row>
    <row r="55601" spans="1:141" s="116" customFormat="1">
      <c r="A55601" s="136"/>
      <c r="CM55601" s="111"/>
      <c r="CQ55601" s="111"/>
      <c r="EF55601"/>
      <c r="EG55601"/>
      <c r="EH55601"/>
      <c r="EI55601"/>
      <c r="EJ55601"/>
      <c r="EK55601"/>
    </row>
    <row r="55602" spans="1:141" s="116" customFormat="1">
      <c r="A55602" s="136"/>
      <c r="CM55602" s="111"/>
      <c r="CQ55602" s="111"/>
      <c r="EF55602"/>
      <c r="EG55602"/>
      <c r="EH55602"/>
      <c r="EI55602"/>
      <c r="EJ55602"/>
      <c r="EK55602"/>
    </row>
    <row r="55603" spans="1:141" s="116" customFormat="1">
      <c r="A55603" s="136"/>
      <c r="CM55603" s="111"/>
      <c r="CQ55603" s="111"/>
      <c r="EF55603"/>
      <c r="EG55603"/>
      <c r="EH55603"/>
      <c r="EI55603"/>
      <c r="EJ55603"/>
      <c r="EK55603"/>
    </row>
    <row r="55604" spans="1:141" s="116" customFormat="1">
      <c r="A55604" s="136"/>
      <c r="CM55604" s="111"/>
      <c r="CQ55604" s="111"/>
      <c r="EF55604"/>
      <c r="EG55604"/>
      <c r="EH55604"/>
      <c r="EI55604"/>
      <c r="EJ55604"/>
      <c r="EK55604"/>
    </row>
    <row r="55605" spans="1:141" s="116" customFormat="1">
      <c r="A55605" s="136"/>
      <c r="CM55605" s="111"/>
      <c r="CQ55605" s="111"/>
      <c r="EF55605"/>
      <c r="EG55605"/>
      <c r="EH55605"/>
      <c r="EI55605"/>
      <c r="EJ55605"/>
      <c r="EK55605"/>
    </row>
    <row r="55606" spans="1:141" s="116" customFormat="1">
      <c r="A55606" s="136"/>
      <c r="CM55606" s="111"/>
      <c r="CQ55606" s="111"/>
      <c r="EF55606"/>
      <c r="EG55606"/>
      <c r="EH55606"/>
      <c r="EI55606"/>
      <c r="EJ55606"/>
      <c r="EK55606"/>
    </row>
    <row r="55607" spans="1:141" s="116" customFormat="1">
      <c r="A55607" s="136"/>
      <c r="CM55607" s="111"/>
      <c r="CQ55607" s="111"/>
      <c r="EF55607"/>
      <c r="EG55607"/>
      <c r="EH55607"/>
      <c r="EI55607"/>
      <c r="EJ55607"/>
      <c r="EK55607"/>
    </row>
    <row r="55608" spans="1:141" s="116" customFormat="1">
      <c r="A55608" s="136"/>
      <c r="CM55608" s="111"/>
      <c r="CQ55608" s="111"/>
      <c r="EF55608"/>
      <c r="EG55608"/>
      <c r="EH55608"/>
      <c r="EI55608"/>
      <c r="EJ55608"/>
      <c r="EK55608"/>
    </row>
    <row r="55609" spans="1:141" s="116" customFormat="1">
      <c r="A55609" s="136"/>
      <c r="CM55609" s="111"/>
      <c r="CQ55609" s="111"/>
      <c r="EF55609"/>
      <c r="EG55609"/>
      <c r="EH55609"/>
      <c r="EI55609"/>
      <c r="EJ55609"/>
      <c r="EK55609"/>
    </row>
    <row r="55610" spans="1:141" s="116" customFormat="1">
      <c r="A55610" s="136"/>
      <c r="CM55610" s="111"/>
      <c r="CQ55610" s="111"/>
      <c r="EF55610"/>
      <c r="EG55610"/>
      <c r="EH55610"/>
      <c r="EI55610"/>
      <c r="EJ55610"/>
      <c r="EK55610"/>
    </row>
    <row r="55611" spans="1:141" s="116" customFormat="1">
      <c r="A55611" s="136"/>
      <c r="CM55611" s="111"/>
      <c r="CQ55611" s="111"/>
      <c r="EF55611"/>
      <c r="EG55611"/>
      <c r="EH55611"/>
      <c r="EI55611"/>
      <c r="EJ55611"/>
      <c r="EK55611"/>
    </row>
    <row r="55612" spans="1:141" s="116" customFormat="1">
      <c r="A55612" s="136"/>
      <c r="CM55612" s="111"/>
      <c r="CQ55612" s="111"/>
      <c r="EF55612"/>
      <c r="EG55612"/>
      <c r="EH55612"/>
      <c r="EI55612"/>
      <c r="EJ55612"/>
      <c r="EK55612"/>
    </row>
    <row r="55613" spans="1:141" s="116" customFormat="1">
      <c r="A55613" s="136"/>
      <c r="CM55613" s="111"/>
      <c r="CQ55613" s="111"/>
      <c r="EF55613"/>
      <c r="EG55613"/>
      <c r="EH55613"/>
      <c r="EI55613"/>
      <c r="EJ55613"/>
      <c r="EK55613"/>
    </row>
    <row r="55614" spans="1:141" s="116" customFormat="1">
      <c r="A55614" s="136"/>
      <c r="CM55614" s="111"/>
      <c r="CQ55614" s="111"/>
      <c r="EF55614"/>
      <c r="EG55614"/>
      <c r="EH55614"/>
      <c r="EI55614"/>
      <c r="EJ55614"/>
      <c r="EK55614"/>
    </row>
    <row r="55615" spans="1:141" s="116" customFormat="1">
      <c r="A55615" s="136"/>
      <c r="CM55615" s="111"/>
      <c r="CQ55615" s="111"/>
      <c r="EF55615"/>
      <c r="EG55615"/>
      <c r="EH55615"/>
      <c r="EI55615"/>
      <c r="EJ55615"/>
      <c r="EK55615"/>
    </row>
    <row r="55616" spans="1:141" s="116" customFormat="1">
      <c r="A55616" s="136"/>
      <c r="CM55616" s="111"/>
      <c r="CQ55616" s="111"/>
      <c r="EF55616"/>
      <c r="EG55616"/>
      <c r="EH55616"/>
      <c r="EI55616"/>
      <c r="EJ55616"/>
      <c r="EK55616"/>
    </row>
    <row r="55617" spans="1:141" s="116" customFormat="1">
      <c r="A55617" s="136"/>
      <c r="CM55617" s="111"/>
      <c r="CQ55617" s="111"/>
      <c r="EF55617"/>
      <c r="EG55617"/>
      <c r="EH55617"/>
      <c r="EI55617"/>
      <c r="EJ55617"/>
      <c r="EK55617"/>
    </row>
    <row r="55618" spans="1:141" s="116" customFormat="1">
      <c r="A55618" s="136"/>
      <c r="CM55618" s="111"/>
      <c r="CQ55618" s="111"/>
      <c r="EF55618"/>
      <c r="EG55618"/>
      <c r="EH55618"/>
      <c r="EI55618"/>
      <c r="EJ55618"/>
      <c r="EK55618"/>
    </row>
    <row r="55619" spans="1:141" s="116" customFormat="1">
      <c r="A55619" s="136"/>
      <c r="CM55619" s="111"/>
      <c r="CQ55619" s="111"/>
      <c r="EF55619"/>
      <c r="EG55619"/>
      <c r="EH55619"/>
      <c r="EI55619"/>
      <c r="EJ55619"/>
      <c r="EK55619"/>
    </row>
    <row r="55620" spans="1:141" s="116" customFormat="1">
      <c r="A55620" s="136"/>
      <c r="CM55620" s="111"/>
      <c r="CQ55620" s="111"/>
      <c r="EF55620"/>
      <c r="EG55620"/>
      <c r="EH55620"/>
      <c r="EI55620"/>
      <c r="EJ55620"/>
      <c r="EK55620"/>
    </row>
    <row r="55621" spans="1:141" s="116" customFormat="1">
      <c r="A55621" s="136"/>
      <c r="CM55621" s="111"/>
      <c r="CQ55621" s="111"/>
      <c r="EF55621"/>
      <c r="EG55621"/>
      <c r="EH55621"/>
      <c r="EI55621"/>
      <c r="EJ55621"/>
      <c r="EK55621"/>
    </row>
    <row r="55622" spans="1:141" s="116" customFormat="1">
      <c r="A55622" s="136"/>
      <c r="CM55622" s="111"/>
      <c r="CQ55622" s="111"/>
      <c r="EF55622"/>
      <c r="EG55622"/>
      <c r="EH55622"/>
      <c r="EI55622"/>
      <c r="EJ55622"/>
      <c r="EK55622"/>
    </row>
    <row r="55623" spans="1:141" s="116" customFormat="1">
      <c r="A55623" s="136"/>
      <c r="CM55623" s="111"/>
      <c r="CQ55623" s="111"/>
      <c r="EF55623"/>
      <c r="EG55623"/>
      <c r="EH55623"/>
      <c r="EI55623"/>
      <c r="EJ55623"/>
      <c r="EK55623"/>
    </row>
    <row r="55624" spans="1:141" s="116" customFormat="1">
      <c r="A55624" s="136"/>
      <c r="CM55624" s="111"/>
      <c r="CQ55624" s="111"/>
      <c r="EF55624"/>
      <c r="EG55624"/>
      <c r="EH55624"/>
      <c r="EI55624"/>
      <c r="EJ55624"/>
      <c r="EK55624"/>
    </row>
    <row r="55625" spans="1:141" s="116" customFormat="1">
      <c r="A55625" s="136"/>
      <c r="CM55625" s="111"/>
      <c r="CQ55625" s="111"/>
      <c r="EF55625"/>
      <c r="EG55625"/>
      <c r="EH55625"/>
      <c r="EI55625"/>
      <c r="EJ55625"/>
      <c r="EK55625"/>
    </row>
    <row r="55626" spans="1:141" s="116" customFormat="1">
      <c r="A55626" s="136"/>
      <c r="CM55626" s="111"/>
      <c r="CQ55626" s="111"/>
      <c r="EF55626"/>
      <c r="EG55626"/>
      <c r="EH55626"/>
      <c r="EI55626"/>
      <c r="EJ55626"/>
      <c r="EK55626"/>
    </row>
    <row r="55627" spans="1:141" s="116" customFormat="1">
      <c r="A55627" s="136"/>
      <c r="CM55627" s="111"/>
      <c r="CQ55627" s="111"/>
      <c r="EF55627"/>
      <c r="EG55627"/>
      <c r="EH55627"/>
      <c r="EI55627"/>
      <c r="EJ55627"/>
      <c r="EK55627"/>
    </row>
    <row r="55628" spans="1:141" s="116" customFormat="1">
      <c r="A55628" s="136"/>
      <c r="CM55628" s="111"/>
      <c r="CQ55628" s="111"/>
      <c r="EF55628"/>
      <c r="EG55628"/>
      <c r="EH55628"/>
      <c r="EI55628"/>
      <c r="EJ55628"/>
      <c r="EK55628"/>
    </row>
    <row r="55629" spans="1:141" s="116" customFormat="1">
      <c r="A55629" s="136"/>
      <c r="CM55629" s="111"/>
      <c r="CQ55629" s="111"/>
      <c r="EF55629"/>
      <c r="EG55629"/>
      <c r="EH55629"/>
      <c r="EI55629"/>
      <c r="EJ55629"/>
      <c r="EK55629"/>
    </row>
    <row r="55630" spans="1:141" s="116" customFormat="1">
      <c r="A55630" s="136"/>
      <c r="CM55630" s="111"/>
      <c r="CQ55630" s="111"/>
      <c r="EF55630"/>
      <c r="EG55630"/>
      <c r="EH55630"/>
      <c r="EI55630"/>
      <c r="EJ55630"/>
      <c r="EK55630"/>
    </row>
    <row r="55631" spans="1:141" s="116" customFormat="1">
      <c r="A55631" s="136"/>
      <c r="CM55631" s="111"/>
      <c r="CQ55631" s="111"/>
      <c r="EF55631"/>
      <c r="EG55631"/>
      <c r="EH55631"/>
      <c r="EI55631"/>
      <c r="EJ55631"/>
      <c r="EK55631"/>
    </row>
    <row r="55632" spans="1:141" s="116" customFormat="1">
      <c r="A55632" s="136"/>
      <c r="CM55632" s="111"/>
      <c r="CQ55632" s="111"/>
      <c r="EF55632"/>
      <c r="EG55632"/>
      <c r="EH55632"/>
      <c r="EI55632"/>
      <c r="EJ55632"/>
      <c r="EK55632"/>
    </row>
    <row r="55633" spans="1:141" s="116" customFormat="1">
      <c r="A55633" s="136"/>
      <c r="CM55633" s="111"/>
      <c r="CQ55633" s="111"/>
      <c r="EF55633"/>
      <c r="EG55633"/>
      <c r="EH55633"/>
      <c r="EI55633"/>
      <c r="EJ55633"/>
      <c r="EK55633"/>
    </row>
    <row r="55634" spans="1:141" s="116" customFormat="1">
      <c r="A55634" s="136"/>
      <c r="CM55634" s="111"/>
      <c r="CQ55634" s="111"/>
      <c r="EF55634"/>
      <c r="EG55634"/>
      <c r="EH55634"/>
      <c r="EI55634"/>
      <c r="EJ55634"/>
      <c r="EK55634"/>
    </row>
    <row r="55635" spans="1:141" s="116" customFormat="1">
      <c r="A55635" s="136"/>
      <c r="CM55635" s="111"/>
      <c r="CQ55635" s="111"/>
      <c r="EF55635"/>
      <c r="EG55635"/>
      <c r="EH55635"/>
      <c r="EI55635"/>
      <c r="EJ55635"/>
      <c r="EK55635"/>
    </row>
    <row r="55636" spans="1:141" s="116" customFormat="1">
      <c r="A55636" s="136"/>
      <c r="CM55636" s="111"/>
      <c r="CQ55636" s="111"/>
      <c r="EF55636"/>
      <c r="EG55636"/>
      <c r="EH55636"/>
      <c r="EI55636"/>
      <c r="EJ55636"/>
      <c r="EK55636"/>
    </row>
    <row r="55637" spans="1:141" s="116" customFormat="1">
      <c r="A55637" s="136"/>
      <c r="CM55637" s="111"/>
      <c r="CQ55637" s="111"/>
      <c r="EF55637"/>
      <c r="EG55637"/>
      <c r="EH55637"/>
      <c r="EI55637"/>
      <c r="EJ55637"/>
      <c r="EK55637"/>
    </row>
    <row r="55638" spans="1:141" s="116" customFormat="1">
      <c r="A55638" s="136"/>
      <c r="CM55638" s="111"/>
      <c r="CQ55638" s="111"/>
      <c r="EF55638"/>
      <c r="EG55638"/>
      <c r="EH55638"/>
      <c r="EI55638"/>
      <c r="EJ55638"/>
      <c r="EK55638"/>
    </row>
    <row r="55639" spans="1:141" s="116" customFormat="1">
      <c r="A55639" s="136"/>
      <c r="CM55639" s="111"/>
      <c r="CQ55639" s="111"/>
      <c r="EF55639"/>
      <c r="EG55639"/>
      <c r="EH55639"/>
      <c r="EI55639"/>
      <c r="EJ55639"/>
      <c r="EK55639"/>
    </row>
    <row r="55640" spans="1:141" s="116" customFormat="1">
      <c r="A55640" s="136"/>
      <c r="CM55640" s="111"/>
      <c r="CQ55640" s="111"/>
      <c r="EF55640"/>
      <c r="EG55640"/>
      <c r="EH55640"/>
      <c r="EI55640"/>
      <c r="EJ55640"/>
      <c r="EK55640"/>
    </row>
    <row r="55641" spans="1:141" s="116" customFormat="1">
      <c r="A55641" s="136"/>
      <c r="CM55641" s="111"/>
      <c r="CQ55641" s="111"/>
      <c r="EF55641"/>
      <c r="EG55641"/>
      <c r="EH55641"/>
      <c r="EI55641"/>
      <c r="EJ55641"/>
      <c r="EK55641"/>
    </row>
    <row r="55642" spans="1:141" s="116" customFormat="1">
      <c r="A55642" s="136"/>
      <c r="CM55642" s="111"/>
      <c r="CQ55642" s="111"/>
      <c r="EF55642"/>
      <c r="EG55642"/>
      <c r="EH55642"/>
      <c r="EI55642"/>
      <c r="EJ55642"/>
      <c r="EK55642"/>
    </row>
    <row r="55643" spans="1:141" s="116" customFormat="1">
      <c r="A55643" s="136"/>
      <c r="CM55643" s="111"/>
      <c r="CQ55643" s="111"/>
      <c r="EF55643"/>
      <c r="EG55643"/>
      <c r="EH55643"/>
      <c r="EI55643"/>
      <c r="EJ55643"/>
      <c r="EK55643"/>
    </row>
    <row r="55644" spans="1:141" s="116" customFormat="1">
      <c r="A55644" s="136"/>
      <c r="CM55644" s="111"/>
      <c r="CQ55644" s="111"/>
      <c r="EF55644"/>
      <c r="EG55644"/>
      <c r="EH55644"/>
      <c r="EI55644"/>
      <c r="EJ55644"/>
      <c r="EK55644"/>
    </row>
    <row r="55645" spans="1:141" s="116" customFormat="1">
      <c r="A55645" s="136"/>
      <c r="CM55645" s="111"/>
      <c r="CQ55645" s="111"/>
      <c r="EF55645"/>
      <c r="EG55645"/>
      <c r="EH55645"/>
      <c r="EI55645"/>
      <c r="EJ55645"/>
      <c r="EK55645"/>
    </row>
    <row r="55646" spans="1:141" s="116" customFormat="1">
      <c r="A55646" s="136"/>
      <c r="CM55646" s="111"/>
      <c r="CQ55646" s="111"/>
      <c r="EF55646"/>
      <c r="EG55646"/>
      <c r="EH55646"/>
      <c r="EI55646"/>
      <c r="EJ55646"/>
      <c r="EK55646"/>
    </row>
    <row r="55647" spans="1:141" s="116" customFormat="1">
      <c r="A55647" s="136"/>
      <c r="CM55647" s="111"/>
      <c r="CQ55647" s="111"/>
      <c r="EF55647"/>
      <c r="EG55647"/>
      <c r="EH55647"/>
      <c r="EI55647"/>
      <c r="EJ55647"/>
      <c r="EK55647"/>
    </row>
    <row r="55648" spans="1:141" s="116" customFormat="1">
      <c r="A55648" s="136"/>
      <c r="CM55648" s="111"/>
      <c r="CQ55648" s="111"/>
      <c r="EF55648"/>
      <c r="EG55648"/>
      <c r="EH55648"/>
      <c r="EI55648"/>
      <c r="EJ55648"/>
      <c r="EK55648"/>
    </row>
    <row r="55649" spans="1:141" s="116" customFormat="1">
      <c r="A55649" s="136"/>
      <c r="CM55649" s="111"/>
      <c r="CQ55649" s="111"/>
      <c r="EF55649"/>
      <c r="EG55649"/>
      <c r="EH55649"/>
      <c r="EI55649"/>
      <c r="EJ55649"/>
      <c r="EK55649"/>
    </row>
    <row r="55650" spans="1:141" s="116" customFormat="1">
      <c r="A55650" s="136"/>
      <c r="CM55650" s="111"/>
      <c r="CQ55650" s="111"/>
      <c r="EF55650"/>
      <c r="EG55650"/>
      <c r="EH55650"/>
      <c r="EI55650"/>
      <c r="EJ55650"/>
      <c r="EK55650"/>
    </row>
    <row r="55651" spans="1:141" s="116" customFormat="1">
      <c r="A55651" s="136"/>
      <c r="CM55651" s="111"/>
      <c r="CQ55651" s="111"/>
      <c r="EF55651"/>
      <c r="EG55651"/>
      <c r="EH55651"/>
      <c r="EI55651"/>
      <c r="EJ55651"/>
      <c r="EK55651"/>
    </row>
    <row r="55652" spans="1:141" s="116" customFormat="1">
      <c r="A55652" s="136"/>
      <c r="CM55652" s="111"/>
      <c r="CQ55652" s="111"/>
      <c r="EF55652"/>
      <c r="EG55652"/>
      <c r="EH55652"/>
      <c r="EI55652"/>
      <c r="EJ55652"/>
      <c r="EK55652"/>
    </row>
    <row r="55653" spans="1:141" s="116" customFormat="1">
      <c r="A55653" s="136"/>
      <c r="CM55653" s="111"/>
      <c r="CQ55653" s="111"/>
      <c r="EF55653"/>
      <c r="EG55653"/>
      <c r="EH55653"/>
      <c r="EI55653"/>
      <c r="EJ55653"/>
      <c r="EK55653"/>
    </row>
    <row r="55654" spans="1:141" s="116" customFormat="1">
      <c r="A55654" s="136"/>
      <c r="CM55654" s="111"/>
      <c r="CQ55654" s="111"/>
      <c r="EF55654"/>
      <c r="EG55654"/>
      <c r="EH55654"/>
      <c r="EI55654"/>
      <c r="EJ55654"/>
      <c r="EK55654"/>
    </row>
    <row r="55655" spans="1:141" s="116" customFormat="1">
      <c r="A55655" s="136"/>
      <c r="CM55655" s="111"/>
      <c r="CQ55655" s="111"/>
      <c r="EF55655"/>
      <c r="EG55655"/>
      <c r="EH55655"/>
      <c r="EI55655"/>
      <c r="EJ55655"/>
      <c r="EK55655"/>
    </row>
    <row r="55656" spans="1:141" s="116" customFormat="1">
      <c r="A55656" s="136"/>
      <c r="CM55656" s="111"/>
      <c r="CQ55656" s="111"/>
      <c r="EF55656"/>
      <c r="EG55656"/>
      <c r="EH55656"/>
      <c r="EI55656"/>
      <c r="EJ55656"/>
      <c r="EK55656"/>
    </row>
    <row r="55657" spans="1:141" s="116" customFormat="1">
      <c r="A55657" s="136"/>
      <c r="CM55657" s="111"/>
      <c r="CQ55657" s="111"/>
      <c r="EF55657"/>
      <c r="EG55657"/>
      <c r="EH55657"/>
      <c r="EI55657"/>
      <c r="EJ55657"/>
      <c r="EK55657"/>
    </row>
    <row r="55658" spans="1:141" s="116" customFormat="1">
      <c r="A55658" s="136"/>
      <c r="CM55658" s="111"/>
      <c r="CQ55658" s="111"/>
      <c r="EF55658"/>
      <c r="EG55658"/>
      <c r="EH55658"/>
      <c r="EI55658"/>
      <c r="EJ55658"/>
      <c r="EK55658"/>
    </row>
    <row r="55659" spans="1:141" s="116" customFormat="1">
      <c r="A55659" s="136"/>
      <c r="CM55659" s="111"/>
      <c r="CQ55659" s="111"/>
      <c r="EF55659"/>
      <c r="EG55659"/>
      <c r="EH55659"/>
      <c r="EI55659"/>
      <c r="EJ55659"/>
      <c r="EK55659"/>
    </row>
    <row r="55660" spans="1:141" s="116" customFormat="1">
      <c r="A55660" s="136"/>
      <c r="CM55660" s="111"/>
      <c r="CQ55660" s="111"/>
      <c r="EF55660"/>
      <c r="EG55660"/>
      <c r="EH55660"/>
      <c r="EI55660"/>
      <c r="EJ55660"/>
      <c r="EK55660"/>
    </row>
    <row r="55661" spans="1:141" s="116" customFormat="1">
      <c r="A55661" s="136"/>
      <c r="CM55661" s="111"/>
      <c r="CQ55661" s="111"/>
      <c r="EF55661"/>
      <c r="EG55661"/>
      <c r="EH55661"/>
      <c r="EI55661"/>
      <c r="EJ55661"/>
      <c r="EK55661"/>
    </row>
    <row r="55662" spans="1:141" s="116" customFormat="1">
      <c r="A55662" s="136"/>
      <c r="CM55662" s="111"/>
      <c r="CQ55662" s="111"/>
      <c r="EF55662"/>
      <c r="EG55662"/>
      <c r="EH55662"/>
      <c r="EI55662"/>
      <c r="EJ55662"/>
      <c r="EK55662"/>
    </row>
    <row r="55663" spans="1:141" s="116" customFormat="1">
      <c r="A55663" s="136"/>
      <c r="CM55663" s="111"/>
      <c r="CQ55663" s="111"/>
      <c r="EF55663"/>
      <c r="EG55663"/>
      <c r="EH55663"/>
      <c r="EI55663"/>
      <c r="EJ55663"/>
      <c r="EK55663"/>
    </row>
    <row r="55664" spans="1:141" s="116" customFormat="1">
      <c r="A55664" s="136"/>
      <c r="CM55664" s="111"/>
      <c r="CQ55664" s="111"/>
      <c r="EF55664"/>
      <c r="EG55664"/>
      <c r="EH55664"/>
      <c r="EI55664"/>
      <c r="EJ55664"/>
      <c r="EK55664"/>
    </row>
    <row r="55665" spans="1:141" s="116" customFormat="1">
      <c r="A55665" s="136"/>
      <c r="CM55665" s="111"/>
      <c r="CQ55665" s="111"/>
      <c r="EF55665"/>
      <c r="EG55665"/>
      <c r="EH55665"/>
      <c r="EI55665"/>
      <c r="EJ55665"/>
      <c r="EK55665"/>
    </row>
    <row r="55666" spans="1:141" s="116" customFormat="1">
      <c r="A55666" s="136"/>
      <c r="CM55666" s="111"/>
      <c r="CQ55666" s="111"/>
      <c r="EF55666"/>
      <c r="EG55666"/>
      <c r="EH55666"/>
      <c r="EI55666"/>
      <c r="EJ55666"/>
      <c r="EK55666"/>
    </row>
    <row r="55667" spans="1:141" s="116" customFormat="1">
      <c r="A55667" s="136"/>
      <c r="CM55667" s="111"/>
      <c r="CQ55667" s="111"/>
      <c r="EF55667"/>
      <c r="EG55667"/>
      <c r="EH55667"/>
      <c r="EI55667"/>
      <c r="EJ55667"/>
      <c r="EK55667"/>
    </row>
    <row r="55668" spans="1:141" s="116" customFormat="1">
      <c r="A55668" s="136"/>
      <c r="CM55668" s="111"/>
      <c r="CQ55668" s="111"/>
      <c r="EF55668"/>
      <c r="EG55668"/>
      <c r="EH55668"/>
      <c r="EI55668"/>
      <c r="EJ55668"/>
      <c r="EK55668"/>
    </row>
    <row r="55669" spans="1:141" s="116" customFormat="1">
      <c r="A55669" s="136"/>
      <c r="CM55669" s="111"/>
      <c r="CQ55669" s="111"/>
      <c r="EF55669"/>
      <c r="EG55669"/>
      <c r="EH55669"/>
      <c r="EI55669"/>
      <c r="EJ55669"/>
      <c r="EK55669"/>
    </row>
    <row r="55670" spans="1:141" s="116" customFormat="1">
      <c r="A55670" s="136"/>
      <c r="CM55670" s="111"/>
      <c r="CQ55670" s="111"/>
      <c r="EF55670"/>
      <c r="EG55670"/>
      <c r="EH55670"/>
      <c r="EI55670"/>
      <c r="EJ55670"/>
      <c r="EK55670"/>
    </row>
    <row r="55671" spans="1:141" s="116" customFormat="1">
      <c r="A55671" s="136"/>
      <c r="CM55671" s="111"/>
      <c r="CQ55671" s="111"/>
      <c r="EF55671"/>
      <c r="EG55671"/>
      <c r="EH55671"/>
      <c r="EI55671"/>
      <c r="EJ55671"/>
      <c r="EK55671"/>
    </row>
    <row r="55672" spans="1:141" s="116" customFormat="1">
      <c r="A55672" s="136"/>
      <c r="CM55672" s="111"/>
      <c r="CQ55672" s="111"/>
      <c r="EF55672"/>
      <c r="EG55672"/>
      <c r="EH55672"/>
      <c r="EI55672"/>
      <c r="EJ55672"/>
      <c r="EK55672"/>
    </row>
    <row r="55673" spans="1:141" s="116" customFormat="1">
      <c r="A55673" s="136"/>
      <c r="CM55673" s="111"/>
      <c r="CQ55673" s="111"/>
      <c r="EF55673"/>
      <c r="EG55673"/>
      <c r="EH55673"/>
      <c r="EI55673"/>
      <c r="EJ55673"/>
      <c r="EK55673"/>
    </row>
    <row r="55674" spans="1:141" s="116" customFormat="1">
      <c r="A55674" s="136"/>
      <c r="CM55674" s="111"/>
      <c r="CQ55674" s="111"/>
      <c r="EF55674"/>
      <c r="EG55674"/>
      <c r="EH55674"/>
      <c r="EI55674"/>
      <c r="EJ55674"/>
      <c r="EK55674"/>
    </row>
    <row r="55675" spans="1:141" s="116" customFormat="1">
      <c r="A55675" s="136"/>
      <c r="CM55675" s="111"/>
      <c r="CQ55675" s="111"/>
      <c r="EF55675"/>
      <c r="EG55675"/>
      <c r="EH55675"/>
      <c r="EI55675"/>
      <c r="EJ55675"/>
      <c r="EK55675"/>
    </row>
    <row r="55676" spans="1:141" s="116" customFormat="1">
      <c r="A55676" s="136"/>
      <c r="CM55676" s="111"/>
      <c r="CQ55676" s="111"/>
      <c r="EF55676"/>
      <c r="EG55676"/>
      <c r="EH55676"/>
      <c r="EI55676"/>
      <c r="EJ55676"/>
      <c r="EK55676"/>
    </row>
    <row r="55677" spans="1:141" s="116" customFormat="1">
      <c r="A55677" s="136"/>
      <c r="CM55677" s="111"/>
      <c r="CQ55677" s="111"/>
      <c r="EF55677"/>
      <c r="EG55677"/>
      <c r="EH55677"/>
      <c r="EI55677"/>
      <c r="EJ55677"/>
      <c r="EK55677"/>
    </row>
    <row r="55678" spans="1:141" s="116" customFormat="1">
      <c r="A55678" s="136"/>
      <c r="CM55678" s="111"/>
      <c r="CQ55678" s="111"/>
      <c r="EF55678"/>
      <c r="EG55678"/>
      <c r="EH55678"/>
      <c r="EI55678"/>
      <c r="EJ55678"/>
      <c r="EK55678"/>
    </row>
    <row r="55679" spans="1:141" s="116" customFormat="1">
      <c r="A55679" s="136"/>
      <c r="CM55679" s="111"/>
      <c r="CQ55679" s="111"/>
      <c r="EF55679"/>
      <c r="EG55679"/>
      <c r="EH55679"/>
      <c r="EI55679"/>
      <c r="EJ55679"/>
      <c r="EK55679"/>
    </row>
    <row r="55680" spans="1:141" s="116" customFormat="1">
      <c r="A55680" s="136"/>
      <c r="CM55680" s="111"/>
      <c r="CQ55680" s="111"/>
      <c r="EF55680"/>
      <c r="EG55680"/>
      <c r="EH55680"/>
      <c r="EI55680"/>
      <c r="EJ55680"/>
      <c r="EK55680"/>
    </row>
    <row r="55681" spans="1:141" s="116" customFormat="1">
      <c r="A55681" s="136"/>
      <c r="CM55681" s="111"/>
      <c r="CQ55681" s="111"/>
      <c r="EF55681"/>
      <c r="EG55681"/>
      <c r="EH55681"/>
      <c r="EI55681"/>
      <c r="EJ55681"/>
      <c r="EK55681"/>
    </row>
    <row r="55682" spans="1:141" s="116" customFormat="1">
      <c r="A55682" s="136"/>
      <c r="CM55682" s="111"/>
      <c r="CQ55682" s="111"/>
      <c r="EF55682"/>
      <c r="EG55682"/>
      <c r="EH55682"/>
      <c r="EI55682"/>
      <c r="EJ55682"/>
      <c r="EK55682"/>
    </row>
    <row r="55683" spans="1:141" s="116" customFormat="1">
      <c r="A55683" s="136"/>
      <c r="CM55683" s="111"/>
      <c r="CQ55683" s="111"/>
      <c r="EF55683"/>
      <c r="EG55683"/>
      <c r="EH55683"/>
      <c r="EI55683"/>
      <c r="EJ55683"/>
      <c r="EK55683"/>
    </row>
    <row r="55684" spans="1:141" s="116" customFormat="1">
      <c r="A55684" s="136"/>
      <c r="CM55684" s="111"/>
      <c r="CQ55684" s="111"/>
      <c r="EF55684"/>
      <c r="EG55684"/>
      <c r="EH55684"/>
      <c r="EI55684"/>
      <c r="EJ55684"/>
      <c r="EK55684"/>
    </row>
    <row r="55685" spans="1:141" s="116" customFormat="1">
      <c r="A55685" s="136"/>
      <c r="CM55685" s="111"/>
      <c r="CQ55685" s="111"/>
      <c r="EF55685"/>
      <c r="EG55685"/>
      <c r="EH55685"/>
      <c r="EI55685"/>
      <c r="EJ55685"/>
      <c r="EK55685"/>
    </row>
    <row r="55686" spans="1:141" s="116" customFormat="1">
      <c r="A55686" s="136"/>
      <c r="CM55686" s="111"/>
      <c r="CQ55686" s="111"/>
      <c r="EF55686"/>
      <c r="EG55686"/>
      <c r="EH55686"/>
      <c r="EI55686"/>
      <c r="EJ55686"/>
      <c r="EK55686"/>
    </row>
    <row r="55687" spans="1:141" s="116" customFormat="1">
      <c r="A55687" s="136"/>
      <c r="CM55687" s="111"/>
      <c r="CQ55687" s="111"/>
      <c r="EF55687"/>
      <c r="EG55687"/>
      <c r="EH55687"/>
      <c r="EI55687"/>
      <c r="EJ55687"/>
      <c r="EK55687"/>
    </row>
    <row r="55688" spans="1:141" s="116" customFormat="1">
      <c r="A55688" s="136"/>
      <c r="CM55688" s="111"/>
      <c r="CQ55688" s="111"/>
      <c r="EF55688"/>
      <c r="EG55688"/>
      <c r="EH55688"/>
      <c r="EI55688"/>
      <c r="EJ55688"/>
      <c r="EK55688"/>
    </row>
    <row r="55689" spans="1:141" s="116" customFormat="1">
      <c r="A55689" s="136"/>
      <c r="CM55689" s="111"/>
      <c r="CQ55689" s="111"/>
      <c r="EF55689"/>
      <c r="EG55689"/>
      <c r="EH55689"/>
      <c r="EI55689"/>
      <c r="EJ55689"/>
      <c r="EK55689"/>
    </row>
    <row r="55690" spans="1:141" s="116" customFormat="1">
      <c r="A55690" s="136"/>
      <c r="CM55690" s="111"/>
      <c r="CQ55690" s="111"/>
      <c r="EF55690"/>
      <c r="EG55690"/>
      <c r="EH55690"/>
      <c r="EI55690"/>
      <c r="EJ55690"/>
      <c r="EK55690"/>
    </row>
    <row r="55691" spans="1:141" s="116" customFormat="1">
      <c r="A55691" s="136"/>
      <c r="CM55691" s="111"/>
      <c r="CQ55691" s="111"/>
      <c r="EF55691"/>
      <c r="EG55691"/>
      <c r="EH55691"/>
      <c r="EI55691"/>
      <c r="EJ55691"/>
      <c r="EK55691"/>
    </row>
    <row r="55692" spans="1:141" s="116" customFormat="1">
      <c r="A55692" s="136"/>
      <c r="CM55692" s="111"/>
      <c r="CQ55692" s="111"/>
      <c r="EF55692"/>
      <c r="EG55692"/>
      <c r="EH55692"/>
      <c r="EI55692"/>
      <c r="EJ55692"/>
      <c r="EK55692"/>
    </row>
    <row r="55693" spans="1:141" s="116" customFormat="1">
      <c r="A55693" s="136"/>
      <c r="CM55693" s="111"/>
      <c r="CQ55693" s="111"/>
      <c r="EF55693"/>
      <c r="EG55693"/>
      <c r="EH55693"/>
      <c r="EI55693"/>
      <c r="EJ55693"/>
      <c r="EK55693"/>
    </row>
    <row r="55694" spans="1:141" s="116" customFormat="1">
      <c r="A55694" s="136"/>
      <c r="CM55694" s="111"/>
      <c r="CQ55694" s="111"/>
      <c r="EF55694"/>
      <c r="EG55694"/>
      <c r="EH55694"/>
      <c r="EI55694"/>
      <c r="EJ55694"/>
      <c r="EK55694"/>
    </row>
    <row r="55695" spans="1:141" s="116" customFormat="1">
      <c r="A55695" s="136"/>
      <c r="CM55695" s="111"/>
      <c r="CQ55695" s="111"/>
      <c r="EF55695"/>
      <c r="EG55695"/>
      <c r="EH55695"/>
      <c r="EI55695"/>
      <c r="EJ55695"/>
      <c r="EK55695"/>
    </row>
    <row r="55696" spans="1:141" s="116" customFormat="1">
      <c r="A55696" s="136"/>
      <c r="CM55696" s="111"/>
      <c r="CQ55696" s="111"/>
      <c r="EF55696"/>
      <c r="EG55696"/>
      <c r="EH55696"/>
      <c r="EI55696"/>
      <c r="EJ55696"/>
      <c r="EK55696"/>
    </row>
    <row r="55697" spans="1:141" s="116" customFormat="1">
      <c r="A55697" s="136"/>
      <c r="CM55697" s="111"/>
      <c r="CQ55697" s="111"/>
      <c r="EF55697"/>
      <c r="EG55697"/>
      <c r="EH55697"/>
      <c r="EI55697"/>
      <c r="EJ55697"/>
      <c r="EK55697"/>
    </row>
    <row r="55698" spans="1:141" s="116" customFormat="1">
      <c r="A55698" s="136"/>
      <c r="CM55698" s="111"/>
      <c r="CQ55698" s="111"/>
      <c r="EF55698"/>
      <c r="EG55698"/>
      <c r="EH55698"/>
      <c r="EI55698"/>
      <c r="EJ55698"/>
      <c r="EK55698"/>
    </row>
    <row r="55699" spans="1:141" s="116" customFormat="1">
      <c r="A55699" s="136"/>
      <c r="CM55699" s="111"/>
      <c r="CQ55699" s="111"/>
      <c r="EF55699"/>
      <c r="EG55699"/>
      <c r="EH55699"/>
      <c r="EI55699"/>
      <c r="EJ55699"/>
      <c r="EK55699"/>
    </row>
    <row r="55700" spans="1:141" s="116" customFormat="1">
      <c r="A55700" s="136"/>
      <c r="CM55700" s="111"/>
      <c r="CQ55700" s="111"/>
      <c r="EF55700"/>
      <c r="EG55700"/>
      <c r="EH55700"/>
      <c r="EI55700"/>
      <c r="EJ55700"/>
      <c r="EK55700"/>
    </row>
    <row r="55701" spans="1:141" s="116" customFormat="1">
      <c r="A55701" s="136"/>
      <c r="CM55701" s="111"/>
      <c r="CQ55701" s="111"/>
      <c r="EF55701"/>
      <c r="EG55701"/>
      <c r="EH55701"/>
      <c r="EI55701"/>
      <c r="EJ55701"/>
      <c r="EK55701"/>
    </row>
    <row r="55702" spans="1:141" s="116" customFormat="1">
      <c r="A55702" s="136"/>
      <c r="CM55702" s="111"/>
      <c r="CQ55702" s="111"/>
      <c r="EF55702"/>
      <c r="EG55702"/>
      <c r="EH55702"/>
      <c r="EI55702"/>
      <c r="EJ55702"/>
      <c r="EK55702"/>
    </row>
    <row r="55703" spans="1:141" s="116" customFormat="1">
      <c r="A55703" s="136"/>
      <c r="CM55703" s="111"/>
      <c r="CQ55703" s="111"/>
      <c r="EF55703"/>
      <c r="EG55703"/>
      <c r="EH55703"/>
      <c r="EI55703"/>
      <c r="EJ55703"/>
      <c r="EK55703"/>
    </row>
    <row r="55704" spans="1:141" s="116" customFormat="1">
      <c r="A55704" s="136"/>
      <c r="CM55704" s="111"/>
      <c r="CQ55704" s="111"/>
      <c r="EF55704"/>
      <c r="EG55704"/>
      <c r="EH55704"/>
      <c r="EI55704"/>
      <c r="EJ55704"/>
      <c r="EK55704"/>
    </row>
    <row r="55705" spans="1:141" s="116" customFormat="1">
      <c r="A55705" s="136"/>
      <c r="CM55705" s="111"/>
      <c r="CQ55705" s="111"/>
      <c r="EF55705"/>
      <c r="EG55705"/>
      <c r="EH55705"/>
      <c r="EI55705"/>
      <c r="EJ55705"/>
      <c r="EK55705"/>
    </row>
    <row r="55706" spans="1:141" s="116" customFormat="1">
      <c r="A55706" s="136"/>
      <c r="CM55706" s="111"/>
      <c r="CQ55706" s="111"/>
      <c r="EF55706"/>
      <c r="EG55706"/>
      <c r="EH55706"/>
      <c r="EI55706"/>
      <c r="EJ55706"/>
      <c r="EK55706"/>
    </row>
    <row r="55707" spans="1:141" s="116" customFormat="1">
      <c r="A55707" s="136"/>
      <c r="CM55707" s="111"/>
      <c r="CQ55707" s="111"/>
      <c r="EF55707"/>
      <c r="EG55707"/>
      <c r="EH55707"/>
      <c r="EI55707"/>
      <c r="EJ55707"/>
      <c r="EK55707"/>
    </row>
    <row r="55708" spans="1:141" s="116" customFormat="1">
      <c r="A55708" s="136"/>
      <c r="CM55708" s="111"/>
      <c r="CQ55708" s="111"/>
      <c r="EF55708"/>
      <c r="EG55708"/>
      <c r="EH55708"/>
      <c r="EI55708"/>
      <c r="EJ55708"/>
      <c r="EK55708"/>
    </row>
    <row r="55709" spans="1:141" s="116" customFormat="1">
      <c r="A55709" s="136"/>
      <c r="CM55709" s="111"/>
      <c r="CQ55709" s="111"/>
      <c r="EF55709"/>
      <c r="EG55709"/>
      <c r="EH55709"/>
      <c r="EI55709"/>
      <c r="EJ55709"/>
      <c r="EK55709"/>
    </row>
    <row r="55710" spans="1:141" s="116" customFormat="1">
      <c r="A55710" s="136"/>
      <c r="CM55710" s="111"/>
      <c r="CQ55710" s="111"/>
      <c r="EF55710"/>
      <c r="EG55710"/>
      <c r="EH55710"/>
      <c r="EI55710"/>
      <c r="EJ55710"/>
      <c r="EK55710"/>
    </row>
    <row r="55711" spans="1:141" s="116" customFormat="1">
      <c r="A55711" s="136"/>
      <c r="CM55711" s="111"/>
      <c r="CQ55711" s="111"/>
      <c r="EF55711"/>
      <c r="EG55711"/>
      <c r="EH55711"/>
      <c r="EI55711"/>
      <c r="EJ55711"/>
      <c r="EK55711"/>
    </row>
    <row r="55712" spans="1:141" s="116" customFormat="1">
      <c r="A55712" s="136"/>
      <c r="CM55712" s="111"/>
      <c r="CQ55712" s="111"/>
      <c r="EF55712"/>
      <c r="EG55712"/>
      <c r="EH55712"/>
      <c r="EI55712"/>
      <c r="EJ55712"/>
      <c r="EK55712"/>
    </row>
    <row r="55713" spans="1:141" s="116" customFormat="1">
      <c r="A55713" s="136"/>
      <c r="CM55713" s="111"/>
      <c r="CQ55713" s="111"/>
      <c r="EF55713"/>
      <c r="EG55713"/>
      <c r="EH55713"/>
      <c r="EI55713"/>
      <c r="EJ55713"/>
      <c r="EK55713"/>
    </row>
    <row r="55714" spans="1:141" s="116" customFormat="1">
      <c r="A55714" s="136"/>
      <c r="CM55714" s="111"/>
      <c r="CQ55714" s="111"/>
      <c r="EF55714"/>
      <c r="EG55714"/>
      <c r="EH55714"/>
      <c r="EI55714"/>
      <c r="EJ55714"/>
      <c r="EK55714"/>
    </row>
    <row r="55715" spans="1:141" s="116" customFormat="1">
      <c r="A55715" s="136"/>
      <c r="CM55715" s="111"/>
      <c r="CQ55715" s="111"/>
      <c r="EF55715"/>
      <c r="EG55715"/>
      <c r="EH55715"/>
      <c r="EI55715"/>
      <c r="EJ55715"/>
      <c r="EK55715"/>
    </row>
    <row r="55716" spans="1:141" s="116" customFormat="1">
      <c r="A55716" s="136"/>
      <c r="CM55716" s="111"/>
      <c r="CQ55716" s="111"/>
      <c r="EF55716"/>
      <c r="EG55716"/>
      <c r="EH55716"/>
      <c r="EI55716"/>
      <c r="EJ55716"/>
      <c r="EK55716"/>
    </row>
    <row r="55717" spans="1:141" s="116" customFormat="1">
      <c r="A55717" s="136"/>
      <c r="CM55717" s="111"/>
      <c r="CQ55717" s="111"/>
      <c r="EF55717"/>
      <c r="EG55717"/>
      <c r="EH55717"/>
      <c r="EI55717"/>
      <c r="EJ55717"/>
      <c r="EK55717"/>
    </row>
    <row r="55718" spans="1:141" s="116" customFormat="1">
      <c r="A55718" s="136"/>
      <c r="CM55718" s="111"/>
      <c r="CQ55718" s="111"/>
      <c r="EF55718"/>
      <c r="EG55718"/>
      <c r="EH55718"/>
      <c r="EI55718"/>
      <c r="EJ55718"/>
      <c r="EK55718"/>
    </row>
    <row r="55719" spans="1:141" s="116" customFormat="1">
      <c r="A55719" s="136"/>
      <c r="CM55719" s="111"/>
      <c r="CQ55719" s="111"/>
      <c r="EF55719"/>
      <c r="EG55719"/>
      <c r="EH55719"/>
      <c r="EI55719"/>
      <c r="EJ55719"/>
      <c r="EK55719"/>
    </row>
    <row r="55720" spans="1:141" s="116" customFormat="1">
      <c r="A55720" s="136"/>
      <c r="CM55720" s="111"/>
      <c r="CQ55720" s="111"/>
      <c r="EF55720"/>
      <c r="EG55720"/>
      <c r="EH55720"/>
      <c r="EI55720"/>
      <c r="EJ55720"/>
      <c r="EK55720"/>
    </row>
    <row r="55721" spans="1:141" s="116" customFormat="1">
      <c r="A55721" s="136"/>
      <c r="CM55721" s="111"/>
      <c r="CQ55721" s="111"/>
      <c r="EF55721"/>
      <c r="EG55721"/>
      <c r="EH55721"/>
      <c r="EI55721"/>
      <c r="EJ55721"/>
      <c r="EK55721"/>
    </row>
    <row r="55722" spans="1:141" s="116" customFormat="1">
      <c r="A55722" s="136"/>
      <c r="CM55722" s="111"/>
      <c r="CQ55722" s="111"/>
      <c r="EF55722"/>
      <c r="EG55722"/>
      <c r="EH55722"/>
      <c r="EI55722"/>
      <c r="EJ55722"/>
      <c r="EK55722"/>
    </row>
    <row r="55723" spans="1:141" s="116" customFormat="1">
      <c r="A55723" s="136"/>
      <c r="CM55723" s="111"/>
      <c r="CQ55723" s="111"/>
      <c r="EF55723"/>
      <c r="EG55723"/>
      <c r="EH55723"/>
      <c r="EI55723"/>
      <c r="EJ55723"/>
      <c r="EK55723"/>
    </row>
    <row r="55724" spans="1:141" s="116" customFormat="1">
      <c r="A55724" s="136"/>
      <c r="CM55724" s="111"/>
      <c r="CQ55724" s="111"/>
      <c r="EF55724"/>
      <c r="EG55724"/>
      <c r="EH55724"/>
      <c r="EI55724"/>
      <c r="EJ55724"/>
      <c r="EK55724"/>
    </row>
    <row r="55725" spans="1:141" s="116" customFormat="1">
      <c r="A55725" s="136"/>
      <c r="CM55725" s="111"/>
      <c r="CQ55725" s="111"/>
      <c r="EF55725"/>
      <c r="EG55725"/>
      <c r="EH55725"/>
      <c r="EI55725"/>
      <c r="EJ55725"/>
      <c r="EK55725"/>
    </row>
    <row r="55726" spans="1:141" s="116" customFormat="1">
      <c r="A55726" s="136"/>
      <c r="CM55726" s="111"/>
      <c r="CQ55726" s="111"/>
      <c r="EF55726"/>
      <c r="EG55726"/>
      <c r="EH55726"/>
      <c r="EI55726"/>
      <c r="EJ55726"/>
      <c r="EK55726"/>
    </row>
    <row r="55727" spans="1:141" s="116" customFormat="1">
      <c r="A55727" s="136"/>
      <c r="CM55727" s="111"/>
      <c r="CQ55727" s="111"/>
      <c r="EF55727"/>
      <c r="EG55727"/>
      <c r="EH55727"/>
      <c r="EI55727"/>
      <c r="EJ55727"/>
      <c r="EK55727"/>
    </row>
    <row r="55728" spans="1:141" s="116" customFormat="1">
      <c r="A55728" s="136"/>
      <c r="CM55728" s="111"/>
      <c r="CQ55728" s="111"/>
      <c r="EF55728"/>
      <c r="EG55728"/>
      <c r="EH55728"/>
      <c r="EI55728"/>
      <c r="EJ55728"/>
      <c r="EK55728"/>
    </row>
    <row r="55729" spans="1:141" s="116" customFormat="1">
      <c r="A55729" s="136"/>
      <c r="CM55729" s="111"/>
      <c r="CQ55729" s="111"/>
      <c r="EF55729"/>
      <c r="EG55729"/>
      <c r="EH55729"/>
      <c r="EI55729"/>
      <c r="EJ55729"/>
      <c r="EK55729"/>
    </row>
    <row r="55730" spans="1:141" s="116" customFormat="1">
      <c r="A55730" s="136"/>
      <c r="CM55730" s="111"/>
      <c r="CQ55730" s="111"/>
      <c r="EF55730"/>
      <c r="EG55730"/>
      <c r="EH55730"/>
      <c r="EI55730"/>
      <c r="EJ55730"/>
      <c r="EK55730"/>
    </row>
    <row r="55731" spans="1:141" s="116" customFormat="1">
      <c r="A55731" s="136"/>
      <c r="CM55731" s="111"/>
      <c r="CQ55731" s="111"/>
      <c r="EF55731"/>
      <c r="EG55731"/>
      <c r="EH55731"/>
      <c r="EI55731"/>
      <c r="EJ55731"/>
      <c r="EK55731"/>
    </row>
    <row r="55732" spans="1:141" s="116" customFormat="1">
      <c r="A55732" s="136"/>
      <c r="CM55732" s="111"/>
      <c r="CQ55732" s="111"/>
      <c r="EF55732"/>
      <c r="EG55732"/>
      <c r="EH55732"/>
      <c r="EI55732"/>
      <c r="EJ55732"/>
      <c r="EK55732"/>
    </row>
    <row r="55733" spans="1:141" s="116" customFormat="1">
      <c r="A55733" s="136"/>
      <c r="CM55733" s="111"/>
      <c r="CQ55733" s="111"/>
      <c r="EF55733"/>
      <c r="EG55733"/>
      <c r="EH55733"/>
      <c r="EI55733"/>
      <c r="EJ55733"/>
      <c r="EK55733"/>
    </row>
    <row r="55734" spans="1:141" s="116" customFormat="1">
      <c r="A55734" s="136"/>
      <c r="CM55734" s="111"/>
      <c r="CQ55734" s="111"/>
      <c r="EF55734"/>
      <c r="EG55734"/>
      <c r="EH55734"/>
      <c r="EI55734"/>
      <c r="EJ55734"/>
      <c r="EK55734"/>
    </row>
    <row r="55735" spans="1:141" s="116" customFormat="1">
      <c r="A55735" s="136"/>
      <c r="CM55735" s="111"/>
      <c r="CQ55735" s="111"/>
      <c r="EF55735"/>
      <c r="EG55735"/>
      <c r="EH55735"/>
      <c r="EI55735"/>
      <c r="EJ55735"/>
      <c r="EK55735"/>
    </row>
    <row r="55736" spans="1:141" s="116" customFormat="1">
      <c r="A55736" s="136"/>
      <c r="CM55736" s="111"/>
      <c r="CQ55736" s="111"/>
      <c r="EF55736"/>
      <c r="EG55736"/>
      <c r="EH55736"/>
      <c r="EI55736"/>
      <c r="EJ55736"/>
      <c r="EK55736"/>
    </row>
    <row r="55737" spans="1:141" s="116" customFormat="1">
      <c r="A55737" s="136"/>
      <c r="CM55737" s="111"/>
      <c r="CQ55737" s="111"/>
      <c r="EF55737"/>
      <c r="EG55737"/>
      <c r="EH55737"/>
      <c r="EI55737"/>
      <c r="EJ55737"/>
      <c r="EK55737"/>
    </row>
    <row r="55738" spans="1:141" s="116" customFormat="1">
      <c r="A55738" s="136"/>
      <c r="CM55738" s="111"/>
      <c r="CQ55738" s="111"/>
      <c r="EF55738"/>
      <c r="EG55738"/>
      <c r="EH55738"/>
      <c r="EI55738"/>
      <c r="EJ55738"/>
      <c r="EK55738"/>
    </row>
    <row r="55739" spans="1:141" s="116" customFormat="1">
      <c r="A55739" s="136"/>
      <c r="CM55739" s="111"/>
      <c r="CQ55739" s="111"/>
      <c r="EF55739"/>
      <c r="EG55739"/>
      <c r="EH55739"/>
      <c r="EI55739"/>
      <c r="EJ55739"/>
      <c r="EK55739"/>
    </row>
    <row r="55740" spans="1:141" s="116" customFormat="1">
      <c r="A55740" s="136"/>
      <c r="CM55740" s="111"/>
      <c r="CQ55740" s="111"/>
      <c r="EF55740"/>
      <c r="EG55740"/>
      <c r="EH55740"/>
      <c r="EI55740"/>
      <c r="EJ55740"/>
      <c r="EK55740"/>
    </row>
    <row r="55741" spans="1:141" s="116" customFormat="1">
      <c r="A55741" s="136"/>
      <c r="CM55741" s="111"/>
      <c r="CQ55741" s="111"/>
      <c r="EF55741"/>
      <c r="EG55741"/>
      <c r="EH55741"/>
      <c r="EI55741"/>
      <c r="EJ55741"/>
      <c r="EK55741"/>
    </row>
    <row r="55742" spans="1:141" s="116" customFormat="1">
      <c r="A55742" s="136"/>
      <c r="CM55742" s="111"/>
      <c r="CQ55742" s="111"/>
      <c r="EF55742"/>
      <c r="EG55742"/>
      <c r="EH55742"/>
      <c r="EI55742"/>
      <c r="EJ55742"/>
      <c r="EK55742"/>
    </row>
    <row r="55743" spans="1:141" s="116" customFormat="1">
      <c r="A55743" s="136"/>
      <c r="CM55743" s="111"/>
      <c r="CQ55743" s="111"/>
      <c r="EF55743"/>
      <c r="EG55743"/>
      <c r="EH55743"/>
      <c r="EI55743"/>
      <c r="EJ55743"/>
      <c r="EK55743"/>
    </row>
    <row r="55744" spans="1:141" s="116" customFormat="1">
      <c r="A55744" s="136"/>
      <c r="CM55744" s="111"/>
      <c r="CQ55744" s="111"/>
      <c r="EF55744"/>
      <c r="EG55744"/>
      <c r="EH55744"/>
      <c r="EI55744"/>
      <c r="EJ55744"/>
      <c r="EK55744"/>
    </row>
    <row r="55745" spans="1:141" s="116" customFormat="1">
      <c r="A55745" s="136"/>
      <c r="CM55745" s="111"/>
      <c r="CQ55745" s="111"/>
      <c r="EF55745"/>
      <c r="EG55745"/>
      <c r="EH55745"/>
      <c r="EI55745"/>
      <c r="EJ55745"/>
      <c r="EK55745"/>
    </row>
    <row r="55746" spans="1:141" s="116" customFormat="1">
      <c r="A55746" s="136"/>
      <c r="CM55746" s="111"/>
      <c r="CQ55746" s="111"/>
      <c r="EF55746"/>
      <c r="EG55746"/>
      <c r="EH55746"/>
      <c r="EI55746"/>
      <c r="EJ55746"/>
      <c r="EK55746"/>
    </row>
    <row r="55747" spans="1:141" s="116" customFormat="1">
      <c r="A55747" s="136"/>
      <c r="CM55747" s="111"/>
      <c r="CQ55747" s="111"/>
      <c r="EF55747"/>
      <c r="EG55747"/>
      <c r="EH55747"/>
      <c r="EI55747"/>
      <c r="EJ55747"/>
      <c r="EK55747"/>
    </row>
    <row r="55748" spans="1:141" s="116" customFormat="1">
      <c r="A55748" s="136"/>
      <c r="CM55748" s="111"/>
      <c r="CQ55748" s="111"/>
      <c r="EF55748"/>
      <c r="EG55748"/>
      <c r="EH55748"/>
      <c r="EI55748"/>
      <c r="EJ55748"/>
      <c r="EK55748"/>
    </row>
    <row r="55749" spans="1:141" s="116" customFormat="1">
      <c r="A55749" s="136"/>
      <c r="CM55749" s="111"/>
      <c r="CQ55749" s="111"/>
      <c r="EF55749"/>
      <c r="EG55749"/>
      <c r="EH55749"/>
      <c r="EI55749"/>
      <c r="EJ55749"/>
      <c r="EK55749"/>
    </row>
    <row r="55750" spans="1:141" s="116" customFormat="1">
      <c r="A55750" s="136"/>
      <c r="CM55750" s="111"/>
      <c r="CQ55750" s="111"/>
      <c r="EF55750"/>
      <c r="EG55750"/>
      <c r="EH55750"/>
      <c r="EI55750"/>
      <c r="EJ55750"/>
      <c r="EK55750"/>
    </row>
    <row r="55751" spans="1:141" s="116" customFormat="1">
      <c r="A55751" s="136"/>
      <c r="CM55751" s="111"/>
      <c r="CQ55751" s="111"/>
      <c r="EF55751"/>
      <c r="EG55751"/>
      <c r="EH55751"/>
      <c r="EI55751"/>
      <c r="EJ55751"/>
      <c r="EK55751"/>
    </row>
    <row r="55752" spans="1:141" s="116" customFormat="1">
      <c r="A55752" s="136"/>
      <c r="CM55752" s="111"/>
      <c r="CQ55752" s="111"/>
      <c r="EF55752"/>
      <c r="EG55752"/>
      <c r="EH55752"/>
      <c r="EI55752"/>
      <c r="EJ55752"/>
      <c r="EK55752"/>
    </row>
    <row r="55753" spans="1:141" s="116" customFormat="1">
      <c r="A55753" s="136"/>
      <c r="CM55753" s="111"/>
      <c r="CQ55753" s="111"/>
      <c r="EF55753"/>
      <c r="EG55753"/>
      <c r="EH55753"/>
      <c r="EI55753"/>
      <c r="EJ55753"/>
      <c r="EK55753"/>
    </row>
    <row r="55754" spans="1:141" s="116" customFormat="1">
      <c r="A55754" s="136"/>
      <c r="CM55754" s="111"/>
      <c r="CQ55754" s="111"/>
      <c r="EF55754"/>
      <c r="EG55754"/>
      <c r="EH55754"/>
      <c r="EI55754"/>
      <c r="EJ55754"/>
      <c r="EK55754"/>
    </row>
    <row r="55755" spans="1:141" s="116" customFormat="1">
      <c r="A55755" s="136"/>
      <c r="CM55755" s="111"/>
      <c r="CQ55755" s="111"/>
      <c r="EF55755"/>
      <c r="EG55755"/>
      <c r="EH55755"/>
      <c r="EI55755"/>
      <c r="EJ55755"/>
      <c r="EK55755"/>
    </row>
    <row r="55756" spans="1:141" s="116" customFormat="1">
      <c r="A55756" s="136"/>
      <c r="CM55756" s="111"/>
      <c r="CQ55756" s="111"/>
      <c r="EF55756"/>
      <c r="EG55756"/>
      <c r="EH55756"/>
      <c r="EI55756"/>
      <c r="EJ55756"/>
      <c r="EK55756"/>
    </row>
    <row r="55757" spans="1:141" s="116" customFormat="1">
      <c r="A55757" s="136"/>
      <c r="CM55757" s="111"/>
      <c r="CQ55757" s="111"/>
      <c r="EF55757"/>
      <c r="EG55757"/>
      <c r="EH55757"/>
      <c r="EI55757"/>
      <c r="EJ55757"/>
      <c r="EK55757"/>
    </row>
    <row r="55758" spans="1:141" s="116" customFormat="1">
      <c r="A55758" s="136"/>
      <c r="CM55758" s="111"/>
      <c r="CQ55758" s="111"/>
      <c r="EF55758"/>
      <c r="EG55758"/>
      <c r="EH55758"/>
      <c r="EI55758"/>
      <c r="EJ55758"/>
      <c r="EK55758"/>
    </row>
    <row r="55759" spans="1:141" s="116" customFormat="1">
      <c r="A55759" s="136"/>
      <c r="CM55759" s="111"/>
      <c r="CQ55759" s="111"/>
      <c r="EF55759"/>
      <c r="EG55759"/>
      <c r="EH55759"/>
      <c r="EI55759"/>
      <c r="EJ55759"/>
      <c r="EK55759"/>
    </row>
    <row r="55760" spans="1:141" s="116" customFormat="1">
      <c r="A55760" s="136"/>
      <c r="CM55760" s="111"/>
      <c r="CQ55760" s="111"/>
      <c r="EF55760"/>
      <c r="EG55760"/>
      <c r="EH55760"/>
      <c r="EI55760"/>
      <c r="EJ55760"/>
      <c r="EK55760"/>
    </row>
    <row r="55761" spans="1:141" s="116" customFormat="1">
      <c r="A55761" s="136"/>
      <c r="CM55761" s="111"/>
      <c r="CQ55761" s="111"/>
      <c r="EF55761"/>
      <c r="EG55761"/>
      <c r="EH55761"/>
      <c r="EI55761"/>
      <c r="EJ55761"/>
      <c r="EK55761"/>
    </row>
    <row r="55762" spans="1:141" s="116" customFormat="1">
      <c r="A55762" s="136"/>
      <c r="CM55762" s="111"/>
      <c r="CQ55762" s="111"/>
      <c r="EF55762"/>
      <c r="EG55762"/>
      <c r="EH55762"/>
      <c r="EI55762"/>
      <c r="EJ55762"/>
      <c r="EK55762"/>
    </row>
    <row r="55763" spans="1:141" s="116" customFormat="1">
      <c r="A55763" s="136"/>
      <c r="CM55763" s="111"/>
      <c r="CQ55763" s="111"/>
      <c r="EF55763"/>
      <c r="EG55763"/>
      <c r="EH55763"/>
      <c r="EI55763"/>
      <c r="EJ55763"/>
      <c r="EK55763"/>
    </row>
    <row r="55764" spans="1:141" s="116" customFormat="1">
      <c r="A55764" s="136"/>
      <c r="CM55764" s="111"/>
      <c r="CQ55764" s="111"/>
      <c r="EF55764"/>
      <c r="EG55764"/>
      <c r="EH55764"/>
      <c r="EI55764"/>
      <c r="EJ55764"/>
      <c r="EK55764"/>
    </row>
    <row r="55765" spans="1:141" s="116" customFormat="1">
      <c r="A55765" s="136"/>
      <c r="CM55765" s="111"/>
      <c r="CQ55765" s="111"/>
      <c r="EF55765"/>
      <c r="EG55765"/>
      <c r="EH55765"/>
      <c r="EI55765"/>
      <c r="EJ55765"/>
      <c r="EK55765"/>
    </row>
    <row r="55766" spans="1:141" s="116" customFormat="1">
      <c r="A55766" s="136"/>
      <c r="CM55766" s="111"/>
      <c r="CQ55766" s="111"/>
      <c r="EF55766"/>
      <c r="EG55766"/>
      <c r="EH55766"/>
      <c r="EI55766"/>
      <c r="EJ55766"/>
      <c r="EK55766"/>
    </row>
    <row r="55767" spans="1:141" s="116" customFormat="1">
      <c r="A55767" s="136"/>
      <c r="CM55767" s="111"/>
      <c r="CQ55767" s="111"/>
      <c r="EF55767"/>
      <c r="EG55767"/>
      <c r="EH55767"/>
      <c r="EI55767"/>
      <c r="EJ55767"/>
      <c r="EK55767"/>
    </row>
    <row r="55768" spans="1:141" s="116" customFormat="1">
      <c r="A55768" s="136"/>
      <c r="CM55768" s="111"/>
      <c r="CQ55768" s="111"/>
      <c r="EF55768"/>
      <c r="EG55768"/>
      <c r="EH55768"/>
      <c r="EI55768"/>
      <c r="EJ55768"/>
      <c r="EK55768"/>
    </row>
    <row r="55769" spans="1:141" s="116" customFormat="1">
      <c r="A55769" s="136"/>
      <c r="CM55769" s="111"/>
      <c r="CQ55769" s="111"/>
      <c r="EF55769"/>
      <c r="EG55769"/>
      <c r="EH55769"/>
      <c r="EI55769"/>
      <c r="EJ55769"/>
      <c r="EK55769"/>
    </row>
    <row r="55770" spans="1:141" s="116" customFormat="1">
      <c r="A55770" s="136"/>
      <c r="CM55770" s="111"/>
      <c r="CQ55770" s="111"/>
      <c r="EF55770"/>
      <c r="EG55770"/>
      <c r="EH55770"/>
      <c r="EI55770"/>
      <c r="EJ55770"/>
      <c r="EK55770"/>
    </row>
    <row r="55771" spans="1:141" s="116" customFormat="1">
      <c r="A55771" s="136"/>
      <c r="CM55771" s="111"/>
      <c r="CQ55771" s="111"/>
      <c r="EF55771"/>
      <c r="EG55771"/>
      <c r="EH55771"/>
      <c r="EI55771"/>
      <c r="EJ55771"/>
      <c r="EK55771"/>
    </row>
    <row r="55772" spans="1:141" s="116" customFormat="1">
      <c r="A55772" s="136"/>
      <c r="CM55772" s="111"/>
      <c r="CQ55772" s="111"/>
      <c r="EF55772"/>
      <c r="EG55772"/>
      <c r="EH55772"/>
      <c r="EI55772"/>
      <c r="EJ55772"/>
      <c r="EK55772"/>
    </row>
    <row r="55773" spans="1:141" s="116" customFormat="1">
      <c r="A55773" s="136"/>
      <c r="CM55773" s="111"/>
      <c r="CQ55773" s="111"/>
      <c r="EF55773"/>
      <c r="EG55773"/>
      <c r="EH55773"/>
      <c r="EI55773"/>
      <c r="EJ55773"/>
      <c r="EK55773"/>
    </row>
    <row r="55774" spans="1:141" s="116" customFormat="1">
      <c r="A55774" s="136"/>
      <c r="CM55774" s="111"/>
      <c r="CQ55774" s="111"/>
      <c r="EF55774"/>
      <c r="EG55774"/>
      <c r="EH55774"/>
      <c r="EI55774"/>
      <c r="EJ55774"/>
      <c r="EK55774"/>
    </row>
    <row r="55775" spans="1:141" s="116" customFormat="1">
      <c r="A55775" s="136"/>
      <c r="CM55775" s="111"/>
      <c r="CQ55775" s="111"/>
      <c r="EF55775"/>
      <c r="EG55775"/>
      <c r="EH55775"/>
      <c r="EI55775"/>
      <c r="EJ55775"/>
      <c r="EK55775"/>
    </row>
    <row r="55776" spans="1:141" s="116" customFormat="1">
      <c r="A55776" s="136"/>
      <c r="CM55776" s="111"/>
      <c r="CQ55776" s="111"/>
      <c r="EF55776"/>
      <c r="EG55776"/>
      <c r="EH55776"/>
      <c r="EI55776"/>
      <c r="EJ55776"/>
      <c r="EK55776"/>
    </row>
    <row r="55777" spans="1:141" s="116" customFormat="1">
      <c r="A55777" s="136"/>
      <c r="CM55777" s="111"/>
      <c r="CQ55777" s="111"/>
      <c r="EF55777"/>
      <c r="EG55777"/>
      <c r="EH55777"/>
      <c r="EI55777"/>
      <c r="EJ55777"/>
      <c r="EK55777"/>
    </row>
    <row r="55778" spans="1:141" s="116" customFormat="1">
      <c r="A55778" s="136"/>
      <c r="CM55778" s="111"/>
      <c r="CQ55778" s="111"/>
      <c r="EF55778"/>
      <c r="EG55778"/>
      <c r="EH55778"/>
      <c r="EI55778"/>
      <c r="EJ55778"/>
      <c r="EK55778"/>
    </row>
    <row r="55779" spans="1:141" s="116" customFormat="1">
      <c r="A55779" s="136"/>
      <c r="CM55779" s="111"/>
      <c r="CQ55779" s="111"/>
      <c r="EF55779"/>
      <c r="EG55779"/>
      <c r="EH55779"/>
      <c r="EI55779"/>
      <c r="EJ55779"/>
      <c r="EK55779"/>
    </row>
    <row r="55780" spans="1:141" s="116" customFormat="1">
      <c r="A55780" s="136"/>
      <c r="CM55780" s="111"/>
      <c r="CQ55780" s="111"/>
      <c r="EF55780"/>
      <c r="EG55780"/>
      <c r="EH55780"/>
      <c r="EI55780"/>
      <c r="EJ55780"/>
      <c r="EK55780"/>
    </row>
    <row r="55781" spans="1:141" s="116" customFormat="1">
      <c r="A55781" s="136"/>
      <c r="CM55781" s="111"/>
      <c r="CQ55781" s="111"/>
      <c r="EF55781"/>
      <c r="EG55781"/>
      <c r="EH55781"/>
      <c r="EI55781"/>
      <c r="EJ55781"/>
      <c r="EK55781"/>
    </row>
    <row r="55782" spans="1:141" s="116" customFormat="1">
      <c r="A55782" s="136"/>
      <c r="CM55782" s="111"/>
      <c r="CQ55782" s="111"/>
      <c r="EF55782"/>
      <c r="EG55782"/>
      <c r="EH55782"/>
      <c r="EI55782"/>
      <c r="EJ55782"/>
      <c r="EK55782"/>
    </row>
    <row r="55783" spans="1:141" s="116" customFormat="1">
      <c r="A55783" s="136"/>
      <c r="CM55783" s="111"/>
      <c r="CQ55783" s="111"/>
      <c r="EF55783"/>
      <c r="EG55783"/>
      <c r="EH55783"/>
      <c r="EI55783"/>
      <c r="EJ55783"/>
      <c r="EK55783"/>
    </row>
    <row r="55784" spans="1:141" s="116" customFormat="1">
      <c r="A55784" s="136"/>
      <c r="CM55784" s="111"/>
      <c r="CQ55784" s="111"/>
      <c r="EF55784"/>
      <c r="EG55784"/>
      <c r="EH55784"/>
      <c r="EI55784"/>
      <c r="EJ55784"/>
      <c r="EK55784"/>
    </row>
    <row r="55785" spans="1:141" s="116" customFormat="1">
      <c r="A55785" s="136"/>
      <c r="CM55785" s="111"/>
      <c r="CQ55785" s="111"/>
      <c r="EF55785"/>
      <c r="EG55785"/>
      <c r="EH55785"/>
      <c r="EI55785"/>
      <c r="EJ55785"/>
      <c r="EK55785"/>
    </row>
    <row r="55786" spans="1:141" s="116" customFormat="1">
      <c r="A55786" s="136"/>
      <c r="CM55786" s="111"/>
      <c r="CQ55786" s="111"/>
      <c r="EF55786"/>
      <c r="EG55786"/>
      <c r="EH55786"/>
      <c r="EI55786"/>
      <c r="EJ55786"/>
      <c r="EK55786"/>
    </row>
    <row r="55787" spans="1:141" s="116" customFormat="1">
      <c r="A55787" s="136"/>
      <c r="CM55787" s="111"/>
      <c r="CQ55787" s="111"/>
      <c r="EF55787"/>
      <c r="EG55787"/>
      <c r="EH55787"/>
      <c r="EI55787"/>
      <c r="EJ55787"/>
      <c r="EK55787"/>
    </row>
    <row r="55788" spans="1:141" s="116" customFormat="1">
      <c r="A55788" s="136"/>
      <c r="CM55788" s="111"/>
      <c r="CQ55788" s="111"/>
      <c r="EF55788"/>
      <c r="EG55788"/>
      <c r="EH55788"/>
      <c r="EI55788"/>
      <c r="EJ55788"/>
      <c r="EK55788"/>
    </row>
    <row r="55789" spans="1:141" s="116" customFormat="1">
      <c r="A55789" s="136"/>
      <c r="CM55789" s="111"/>
      <c r="CQ55789" s="111"/>
      <c r="EF55789"/>
      <c r="EG55789"/>
      <c r="EH55789"/>
      <c r="EI55789"/>
      <c r="EJ55789"/>
      <c r="EK55789"/>
    </row>
    <row r="55790" spans="1:141" s="116" customFormat="1">
      <c r="A55790" s="136"/>
      <c r="CM55790" s="111"/>
      <c r="CQ55790" s="111"/>
      <c r="EF55790"/>
      <c r="EG55790"/>
      <c r="EH55790"/>
      <c r="EI55790"/>
      <c r="EJ55790"/>
      <c r="EK55790"/>
    </row>
    <row r="55791" spans="1:141" s="116" customFormat="1">
      <c r="A55791" s="136"/>
      <c r="CM55791" s="111"/>
      <c r="CQ55791" s="111"/>
      <c r="EF55791"/>
      <c r="EG55791"/>
      <c r="EH55791"/>
      <c r="EI55791"/>
      <c r="EJ55791"/>
      <c r="EK55791"/>
    </row>
    <row r="55792" spans="1:141" s="116" customFormat="1">
      <c r="A55792" s="136"/>
      <c r="CM55792" s="111"/>
      <c r="CQ55792" s="111"/>
      <c r="EF55792"/>
      <c r="EG55792"/>
      <c r="EH55792"/>
      <c r="EI55792"/>
      <c r="EJ55792"/>
      <c r="EK55792"/>
    </row>
    <row r="55793" spans="1:141" s="116" customFormat="1">
      <c r="A55793" s="136"/>
      <c r="CM55793" s="111"/>
      <c r="CQ55793" s="111"/>
      <c r="EF55793"/>
      <c r="EG55793"/>
      <c r="EH55793"/>
      <c r="EI55793"/>
      <c r="EJ55793"/>
      <c r="EK55793"/>
    </row>
    <row r="55794" spans="1:141" s="116" customFormat="1">
      <c r="A55794" s="136"/>
      <c r="CM55794" s="111"/>
      <c r="CQ55794" s="111"/>
      <c r="EF55794"/>
      <c r="EG55794"/>
      <c r="EH55794"/>
      <c r="EI55794"/>
      <c r="EJ55794"/>
      <c r="EK55794"/>
    </row>
    <row r="55795" spans="1:141" s="116" customFormat="1">
      <c r="A55795" s="136"/>
      <c r="CM55795" s="111"/>
      <c r="CQ55795" s="111"/>
      <c r="EF55795"/>
      <c r="EG55795"/>
      <c r="EH55795"/>
      <c r="EI55795"/>
      <c r="EJ55795"/>
      <c r="EK55795"/>
    </row>
    <row r="55796" spans="1:141" s="116" customFormat="1">
      <c r="A55796" s="136"/>
      <c r="CM55796" s="111"/>
      <c r="CQ55796" s="111"/>
      <c r="EF55796"/>
      <c r="EG55796"/>
      <c r="EH55796"/>
      <c r="EI55796"/>
      <c r="EJ55796"/>
      <c r="EK55796"/>
    </row>
    <row r="55797" spans="1:141" s="116" customFormat="1">
      <c r="A55797" s="136"/>
      <c r="CM55797" s="111"/>
      <c r="CQ55797" s="111"/>
      <c r="EF55797"/>
      <c r="EG55797"/>
      <c r="EH55797"/>
      <c r="EI55797"/>
      <c r="EJ55797"/>
      <c r="EK55797"/>
    </row>
    <row r="55798" spans="1:141" s="116" customFormat="1">
      <c r="A55798" s="136"/>
      <c r="CM55798" s="111"/>
      <c r="CQ55798" s="111"/>
      <c r="EF55798"/>
      <c r="EG55798"/>
      <c r="EH55798"/>
      <c r="EI55798"/>
      <c r="EJ55798"/>
      <c r="EK55798"/>
    </row>
    <row r="55799" spans="1:141" s="116" customFormat="1">
      <c r="A55799" s="136"/>
      <c r="CM55799" s="111"/>
      <c r="CQ55799" s="111"/>
      <c r="EF55799"/>
      <c r="EG55799"/>
      <c r="EH55799"/>
      <c r="EI55799"/>
      <c r="EJ55799"/>
      <c r="EK55799"/>
    </row>
    <row r="55800" spans="1:141" s="116" customFormat="1">
      <c r="A55800" s="136"/>
      <c r="CM55800" s="111"/>
      <c r="CQ55800" s="111"/>
      <c r="EF55800"/>
      <c r="EG55800"/>
      <c r="EH55800"/>
      <c r="EI55800"/>
      <c r="EJ55800"/>
      <c r="EK55800"/>
    </row>
    <row r="55801" spans="1:141" s="116" customFormat="1">
      <c r="A55801" s="136"/>
      <c r="CM55801" s="111"/>
      <c r="CQ55801" s="111"/>
      <c r="EF55801"/>
      <c r="EG55801"/>
      <c r="EH55801"/>
      <c r="EI55801"/>
      <c r="EJ55801"/>
      <c r="EK55801"/>
    </row>
    <row r="55802" spans="1:141" s="116" customFormat="1">
      <c r="A55802" s="136"/>
      <c r="CM55802" s="111"/>
      <c r="CQ55802" s="111"/>
      <c r="EF55802"/>
      <c r="EG55802"/>
      <c r="EH55802"/>
      <c r="EI55802"/>
      <c r="EJ55802"/>
      <c r="EK55802"/>
    </row>
    <row r="55803" spans="1:141" s="116" customFormat="1">
      <c r="A55803" s="136"/>
      <c r="CM55803" s="111"/>
      <c r="CQ55803" s="111"/>
      <c r="EF55803"/>
      <c r="EG55803"/>
      <c r="EH55803"/>
      <c r="EI55803"/>
      <c r="EJ55803"/>
      <c r="EK55803"/>
    </row>
    <row r="55804" spans="1:141" s="116" customFormat="1">
      <c r="A55804" s="136"/>
      <c r="CM55804" s="111"/>
      <c r="CQ55804" s="111"/>
      <c r="EF55804"/>
      <c r="EG55804"/>
      <c r="EH55804"/>
      <c r="EI55804"/>
      <c r="EJ55804"/>
      <c r="EK55804"/>
    </row>
    <row r="55805" spans="1:141" s="116" customFormat="1">
      <c r="A55805" s="136"/>
      <c r="CM55805" s="111"/>
      <c r="CQ55805" s="111"/>
      <c r="EF55805"/>
      <c r="EG55805"/>
      <c r="EH55805"/>
      <c r="EI55805"/>
      <c r="EJ55805"/>
      <c r="EK55805"/>
    </row>
    <row r="55806" spans="1:141" s="116" customFormat="1">
      <c r="A55806" s="136"/>
      <c r="CM55806" s="111"/>
      <c r="CQ55806" s="111"/>
      <c r="EF55806"/>
      <c r="EG55806"/>
      <c r="EH55806"/>
      <c r="EI55806"/>
      <c r="EJ55806"/>
      <c r="EK55806"/>
    </row>
    <row r="55807" spans="1:141" s="116" customFormat="1">
      <c r="A55807" s="136"/>
      <c r="CM55807" s="111"/>
      <c r="CQ55807" s="111"/>
      <c r="EF55807"/>
      <c r="EG55807"/>
      <c r="EH55807"/>
      <c r="EI55807"/>
      <c r="EJ55807"/>
      <c r="EK55807"/>
    </row>
    <row r="55808" spans="1:141" s="116" customFormat="1">
      <c r="A55808" s="136"/>
      <c r="CM55808" s="111"/>
      <c r="CQ55808" s="111"/>
      <c r="EF55808"/>
      <c r="EG55808"/>
      <c r="EH55808"/>
      <c r="EI55808"/>
      <c r="EJ55808"/>
      <c r="EK55808"/>
    </row>
    <row r="55809" spans="1:141" s="116" customFormat="1">
      <c r="A55809" s="136"/>
      <c r="CM55809" s="111"/>
      <c r="CQ55809" s="111"/>
      <c r="EF55809"/>
      <c r="EG55809"/>
      <c r="EH55809"/>
      <c r="EI55809"/>
      <c r="EJ55809"/>
      <c r="EK55809"/>
    </row>
    <row r="55810" spans="1:141" s="116" customFormat="1">
      <c r="A55810" s="136"/>
      <c r="CM55810" s="111"/>
      <c r="CQ55810" s="111"/>
      <c r="EF55810"/>
      <c r="EG55810"/>
      <c r="EH55810"/>
      <c r="EI55810"/>
      <c r="EJ55810"/>
      <c r="EK55810"/>
    </row>
    <row r="55811" spans="1:141" s="116" customFormat="1">
      <c r="A55811" s="136"/>
      <c r="CM55811" s="111"/>
      <c r="CQ55811" s="111"/>
      <c r="EF55811"/>
      <c r="EG55811"/>
      <c r="EH55811"/>
      <c r="EI55811"/>
      <c r="EJ55811"/>
      <c r="EK55811"/>
    </row>
    <row r="55812" spans="1:141" s="116" customFormat="1">
      <c r="A55812" s="136"/>
      <c r="CM55812" s="111"/>
      <c r="CQ55812" s="111"/>
      <c r="EF55812"/>
      <c r="EG55812"/>
      <c r="EH55812"/>
      <c r="EI55812"/>
      <c r="EJ55812"/>
      <c r="EK55812"/>
    </row>
    <row r="55813" spans="1:141" s="116" customFormat="1">
      <c r="A55813" s="136"/>
      <c r="CM55813" s="111"/>
      <c r="CQ55813" s="111"/>
      <c r="EF55813"/>
      <c r="EG55813"/>
      <c r="EH55813"/>
      <c r="EI55813"/>
      <c r="EJ55813"/>
      <c r="EK55813"/>
    </row>
    <row r="55814" spans="1:141" s="116" customFormat="1">
      <c r="A55814" s="136"/>
      <c r="CM55814" s="111"/>
      <c r="CQ55814" s="111"/>
      <c r="EF55814"/>
      <c r="EG55814"/>
      <c r="EH55814"/>
      <c r="EI55814"/>
      <c r="EJ55814"/>
      <c r="EK55814"/>
    </row>
    <row r="55815" spans="1:141" s="116" customFormat="1">
      <c r="A55815" s="136"/>
      <c r="CM55815" s="111"/>
      <c r="CQ55815" s="111"/>
      <c r="EF55815"/>
      <c r="EG55815"/>
      <c r="EH55815"/>
      <c r="EI55815"/>
      <c r="EJ55815"/>
      <c r="EK55815"/>
    </row>
    <row r="55816" spans="1:141" s="116" customFormat="1">
      <c r="A55816" s="136"/>
      <c r="CM55816" s="111"/>
      <c r="CQ55816" s="111"/>
      <c r="EF55816"/>
      <c r="EG55816"/>
      <c r="EH55816"/>
      <c r="EI55816"/>
      <c r="EJ55816"/>
      <c r="EK55816"/>
    </row>
    <row r="55817" spans="1:141" s="116" customFormat="1">
      <c r="A55817" s="136"/>
      <c r="CM55817" s="111"/>
      <c r="CQ55817" s="111"/>
      <c r="EF55817"/>
      <c r="EG55817"/>
      <c r="EH55817"/>
      <c r="EI55817"/>
      <c r="EJ55817"/>
      <c r="EK55817"/>
    </row>
    <row r="55818" spans="1:141" s="116" customFormat="1">
      <c r="A55818" s="136"/>
      <c r="CM55818" s="111"/>
      <c r="CQ55818" s="111"/>
      <c r="EF55818"/>
      <c r="EG55818"/>
      <c r="EH55818"/>
      <c r="EI55818"/>
      <c r="EJ55818"/>
      <c r="EK55818"/>
    </row>
    <row r="55819" spans="1:141" s="116" customFormat="1">
      <c r="A55819" s="136"/>
      <c r="CM55819" s="111"/>
      <c r="CQ55819" s="111"/>
      <c r="EF55819"/>
      <c r="EG55819"/>
      <c r="EH55819"/>
      <c r="EI55819"/>
      <c r="EJ55819"/>
      <c r="EK55819"/>
    </row>
    <row r="55820" spans="1:141" s="116" customFormat="1">
      <c r="A55820" s="136"/>
      <c r="CM55820" s="111"/>
      <c r="CQ55820" s="111"/>
      <c r="EF55820"/>
      <c r="EG55820"/>
      <c r="EH55820"/>
      <c r="EI55820"/>
      <c r="EJ55820"/>
      <c r="EK55820"/>
    </row>
    <row r="55821" spans="1:141" s="116" customFormat="1">
      <c r="A55821" s="136"/>
      <c r="CM55821" s="111"/>
      <c r="CQ55821" s="111"/>
      <c r="EF55821"/>
      <c r="EG55821"/>
      <c r="EH55821"/>
      <c r="EI55821"/>
      <c r="EJ55821"/>
      <c r="EK55821"/>
    </row>
    <row r="55822" spans="1:141" s="116" customFormat="1">
      <c r="A55822" s="136"/>
      <c r="CM55822" s="111"/>
      <c r="CQ55822" s="111"/>
      <c r="EF55822"/>
      <c r="EG55822"/>
      <c r="EH55822"/>
      <c r="EI55822"/>
      <c r="EJ55822"/>
      <c r="EK55822"/>
    </row>
    <row r="55823" spans="1:141" s="116" customFormat="1">
      <c r="A55823" s="136"/>
      <c r="CM55823" s="111"/>
      <c r="CQ55823" s="111"/>
      <c r="EF55823"/>
      <c r="EG55823"/>
      <c r="EH55823"/>
      <c r="EI55823"/>
      <c r="EJ55823"/>
      <c r="EK55823"/>
    </row>
    <row r="55824" spans="1:141" s="116" customFormat="1">
      <c r="A55824" s="136"/>
      <c r="CM55824" s="111"/>
      <c r="CQ55824" s="111"/>
      <c r="EF55824"/>
      <c r="EG55824"/>
      <c r="EH55824"/>
      <c r="EI55824"/>
      <c r="EJ55824"/>
      <c r="EK55824"/>
    </row>
    <row r="55825" spans="1:141" s="116" customFormat="1">
      <c r="A55825" s="136"/>
      <c r="CM55825" s="111"/>
      <c r="CQ55825" s="111"/>
      <c r="EF55825"/>
      <c r="EG55825"/>
      <c r="EH55825"/>
      <c r="EI55825"/>
      <c r="EJ55825"/>
      <c r="EK55825"/>
    </row>
    <row r="55826" spans="1:141" s="116" customFormat="1">
      <c r="A55826" s="136"/>
      <c r="CM55826" s="111"/>
      <c r="CQ55826" s="111"/>
      <c r="EF55826"/>
      <c r="EG55826"/>
      <c r="EH55826"/>
      <c r="EI55826"/>
      <c r="EJ55826"/>
      <c r="EK55826"/>
    </row>
    <row r="55827" spans="1:141" s="116" customFormat="1">
      <c r="A55827" s="136"/>
      <c r="CM55827" s="111"/>
      <c r="CQ55827" s="111"/>
      <c r="EF55827"/>
      <c r="EG55827"/>
      <c r="EH55827"/>
      <c r="EI55827"/>
      <c r="EJ55827"/>
      <c r="EK55827"/>
    </row>
    <row r="55828" spans="1:141" s="116" customFormat="1">
      <c r="A55828" s="136"/>
      <c r="CM55828" s="111"/>
      <c r="CQ55828" s="111"/>
      <c r="EF55828"/>
      <c r="EG55828"/>
      <c r="EH55828"/>
      <c r="EI55828"/>
      <c r="EJ55828"/>
      <c r="EK55828"/>
    </row>
    <row r="55829" spans="1:141" s="116" customFormat="1">
      <c r="A55829" s="136"/>
      <c r="CM55829" s="111"/>
      <c r="CQ55829" s="111"/>
      <c r="EF55829"/>
      <c r="EG55829"/>
      <c r="EH55829"/>
      <c r="EI55829"/>
      <c r="EJ55829"/>
      <c r="EK55829"/>
    </row>
    <row r="55830" spans="1:141" s="116" customFormat="1">
      <c r="A55830" s="136"/>
      <c r="CM55830" s="111"/>
      <c r="CQ55830" s="111"/>
      <c r="EF55830"/>
      <c r="EG55830"/>
      <c r="EH55830"/>
      <c r="EI55830"/>
      <c r="EJ55830"/>
      <c r="EK55830"/>
    </row>
    <row r="55831" spans="1:141" s="116" customFormat="1">
      <c r="A55831" s="136"/>
      <c r="CM55831" s="111"/>
      <c r="CQ55831" s="111"/>
      <c r="EF55831"/>
      <c r="EG55831"/>
      <c r="EH55831"/>
      <c r="EI55831"/>
      <c r="EJ55831"/>
      <c r="EK55831"/>
    </row>
    <row r="55832" spans="1:141" s="116" customFormat="1">
      <c r="A55832" s="136"/>
      <c r="CM55832" s="111"/>
      <c r="CQ55832" s="111"/>
      <c r="EF55832"/>
      <c r="EG55832"/>
      <c r="EH55832"/>
      <c r="EI55832"/>
      <c r="EJ55832"/>
      <c r="EK55832"/>
    </row>
    <row r="55833" spans="1:141" s="116" customFormat="1">
      <c r="A55833" s="136"/>
      <c r="CM55833" s="111"/>
      <c r="CQ55833" s="111"/>
      <c r="EF55833"/>
      <c r="EG55833"/>
      <c r="EH55833"/>
      <c r="EI55833"/>
      <c r="EJ55833"/>
      <c r="EK55833"/>
    </row>
    <row r="55834" spans="1:141" s="116" customFormat="1">
      <c r="A55834" s="136"/>
      <c r="CM55834" s="111"/>
      <c r="CQ55834" s="111"/>
      <c r="EF55834"/>
      <c r="EG55834"/>
      <c r="EH55834"/>
      <c r="EI55834"/>
      <c r="EJ55834"/>
      <c r="EK55834"/>
    </row>
    <row r="55835" spans="1:141" s="116" customFormat="1">
      <c r="A55835" s="136"/>
      <c r="CM55835" s="111"/>
      <c r="CQ55835" s="111"/>
      <c r="EF55835"/>
      <c r="EG55835"/>
      <c r="EH55835"/>
      <c r="EI55835"/>
      <c r="EJ55835"/>
      <c r="EK55835"/>
    </row>
    <row r="55836" spans="1:141" s="116" customFormat="1">
      <c r="A55836" s="136"/>
      <c r="CM55836" s="111"/>
      <c r="CQ55836" s="111"/>
      <c r="EF55836"/>
      <c r="EG55836"/>
      <c r="EH55836"/>
      <c r="EI55836"/>
      <c r="EJ55836"/>
      <c r="EK55836"/>
    </row>
    <row r="55837" spans="1:141" s="116" customFormat="1">
      <c r="A55837" s="136"/>
      <c r="CM55837" s="111"/>
      <c r="CQ55837" s="111"/>
      <c r="EF55837"/>
      <c r="EG55837"/>
      <c r="EH55837"/>
      <c r="EI55837"/>
      <c r="EJ55837"/>
      <c r="EK55837"/>
    </row>
    <row r="55838" spans="1:141" s="116" customFormat="1">
      <c r="A55838" s="136"/>
      <c r="CM55838" s="111"/>
      <c r="CQ55838" s="111"/>
      <c r="EF55838"/>
      <c r="EG55838"/>
      <c r="EH55838"/>
      <c r="EI55838"/>
      <c r="EJ55838"/>
      <c r="EK55838"/>
    </row>
    <row r="55839" spans="1:141" s="116" customFormat="1">
      <c r="A55839" s="136"/>
      <c r="CM55839" s="111"/>
      <c r="CQ55839" s="111"/>
      <c r="EF55839"/>
      <c r="EG55839"/>
      <c r="EH55839"/>
      <c r="EI55839"/>
      <c r="EJ55839"/>
      <c r="EK55839"/>
    </row>
    <row r="55840" spans="1:141" s="116" customFormat="1">
      <c r="A55840" s="136"/>
      <c r="CM55840" s="111"/>
      <c r="CQ55840" s="111"/>
      <c r="EF55840"/>
      <c r="EG55840"/>
      <c r="EH55840"/>
      <c r="EI55840"/>
      <c r="EJ55840"/>
      <c r="EK55840"/>
    </row>
    <row r="55841" spans="1:141" s="116" customFormat="1">
      <c r="A55841" s="136"/>
      <c r="CM55841" s="111"/>
      <c r="CQ55841" s="111"/>
      <c r="EF55841"/>
      <c r="EG55841"/>
      <c r="EH55841"/>
      <c r="EI55841"/>
      <c r="EJ55841"/>
      <c r="EK55841"/>
    </row>
    <row r="55842" spans="1:141" s="116" customFormat="1">
      <c r="A55842" s="136"/>
      <c r="CM55842" s="111"/>
      <c r="CQ55842" s="111"/>
      <c r="EF55842"/>
      <c r="EG55842"/>
      <c r="EH55842"/>
      <c r="EI55842"/>
      <c r="EJ55842"/>
      <c r="EK55842"/>
    </row>
    <row r="55843" spans="1:141" s="116" customFormat="1">
      <c r="A55843" s="136"/>
      <c r="CM55843" s="111"/>
      <c r="CQ55843" s="111"/>
      <c r="EF55843"/>
      <c r="EG55843"/>
      <c r="EH55843"/>
      <c r="EI55843"/>
      <c r="EJ55843"/>
      <c r="EK55843"/>
    </row>
    <row r="55844" spans="1:141" s="116" customFormat="1">
      <c r="A55844" s="136"/>
      <c r="CM55844" s="111"/>
      <c r="CQ55844" s="111"/>
      <c r="EF55844"/>
      <c r="EG55844"/>
      <c r="EH55844"/>
      <c r="EI55844"/>
      <c r="EJ55844"/>
      <c r="EK55844"/>
    </row>
    <row r="55845" spans="1:141" s="116" customFormat="1">
      <c r="A55845" s="136"/>
      <c r="CM55845" s="111"/>
      <c r="CQ55845" s="111"/>
      <c r="EF55845"/>
      <c r="EG55845"/>
      <c r="EH55845"/>
      <c r="EI55845"/>
      <c r="EJ55845"/>
      <c r="EK55845"/>
    </row>
    <row r="55846" spans="1:141" s="116" customFormat="1">
      <c r="A55846" s="136"/>
      <c r="CM55846" s="111"/>
      <c r="CQ55846" s="111"/>
      <c r="EF55846"/>
      <c r="EG55846"/>
      <c r="EH55846"/>
      <c r="EI55846"/>
      <c r="EJ55846"/>
      <c r="EK55846"/>
    </row>
    <row r="55847" spans="1:141" s="116" customFormat="1">
      <c r="A55847" s="136"/>
      <c r="CM55847" s="111"/>
      <c r="CQ55847" s="111"/>
      <c r="EF55847"/>
      <c r="EG55847"/>
      <c r="EH55847"/>
      <c r="EI55847"/>
      <c r="EJ55847"/>
      <c r="EK55847"/>
    </row>
    <row r="55848" spans="1:141" s="116" customFormat="1">
      <c r="A55848" s="136"/>
      <c r="CM55848" s="111"/>
      <c r="CQ55848" s="111"/>
      <c r="EF55848"/>
      <c r="EG55848"/>
      <c r="EH55848"/>
      <c r="EI55848"/>
      <c r="EJ55848"/>
      <c r="EK55848"/>
    </row>
    <row r="55849" spans="1:141" s="116" customFormat="1">
      <c r="A55849" s="136"/>
      <c r="CM55849" s="111"/>
      <c r="CQ55849" s="111"/>
      <c r="EF55849"/>
      <c r="EG55849"/>
      <c r="EH55849"/>
      <c r="EI55849"/>
      <c r="EJ55849"/>
      <c r="EK55849"/>
    </row>
    <row r="55850" spans="1:141" s="116" customFormat="1">
      <c r="A55850" s="136"/>
      <c r="CM55850" s="111"/>
      <c r="CQ55850" s="111"/>
      <c r="EF55850"/>
      <c r="EG55850"/>
      <c r="EH55850"/>
      <c r="EI55850"/>
      <c r="EJ55850"/>
      <c r="EK55850"/>
    </row>
    <row r="55851" spans="1:141" s="116" customFormat="1">
      <c r="A55851" s="136"/>
      <c r="CM55851" s="111"/>
      <c r="CQ55851" s="111"/>
      <c r="EF55851"/>
      <c r="EG55851"/>
      <c r="EH55851"/>
      <c r="EI55851"/>
      <c r="EJ55851"/>
      <c r="EK55851"/>
    </row>
    <row r="55852" spans="1:141" s="116" customFormat="1">
      <c r="A55852" s="136"/>
      <c r="CM55852" s="111"/>
      <c r="CQ55852" s="111"/>
      <c r="EF55852"/>
      <c r="EG55852"/>
      <c r="EH55852"/>
      <c r="EI55852"/>
      <c r="EJ55852"/>
      <c r="EK55852"/>
    </row>
    <row r="55853" spans="1:141" s="116" customFormat="1">
      <c r="A55853" s="136"/>
      <c r="CM55853" s="111"/>
      <c r="CQ55853" s="111"/>
      <c r="EF55853"/>
      <c r="EG55853"/>
      <c r="EH55853"/>
      <c r="EI55853"/>
      <c r="EJ55853"/>
      <c r="EK55853"/>
    </row>
    <row r="55854" spans="1:141" s="116" customFormat="1">
      <c r="A55854" s="136"/>
      <c r="CM55854" s="111"/>
      <c r="CQ55854" s="111"/>
      <c r="EF55854"/>
      <c r="EG55854"/>
      <c r="EH55854"/>
      <c r="EI55854"/>
      <c r="EJ55854"/>
      <c r="EK55854"/>
    </row>
    <row r="55855" spans="1:141" s="116" customFormat="1">
      <c r="A55855" s="136"/>
      <c r="CM55855" s="111"/>
      <c r="CQ55855" s="111"/>
      <c r="EF55855"/>
      <c r="EG55855"/>
      <c r="EH55855"/>
      <c r="EI55855"/>
      <c r="EJ55855"/>
      <c r="EK55855"/>
    </row>
    <row r="55856" spans="1:141" s="116" customFormat="1">
      <c r="A55856" s="136"/>
      <c r="CM55856" s="111"/>
      <c r="CQ55856" s="111"/>
      <c r="EF55856"/>
      <c r="EG55856"/>
      <c r="EH55856"/>
      <c r="EI55856"/>
      <c r="EJ55856"/>
      <c r="EK55856"/>
    </row>
    <row r="55857" spans="1:141" s="116" customFormat="1">
      <c r="A55857" s="136"/>
      <c r="CM55857" s="111"/>
      <c r="CQ55857" s="111"/>
      <c r="EF55857"/>
      <c r="EG55857"/>
      <c r="EH55857"/>
      <c r="EI55857"/>
      <c r="EJ55857"/>
      <c r="EK55857"/>
    </row>
    <row r="55858" spans="1:141" s="116" customFormat="1">
      <c r="A55858" s="136"/>
      <c r="CM55858" s="111"/>
      <c r="CQ55858" s="111"/>
      <c r="EF55858"/>
      <c r="EG55858"/>
      <c r="EH55858"/>
      <c r="EI55858"/>
      <c r="EJ55858"/>
      <c r="EK55858"/>
    </row>
    <row r="55859" spans="1:141" s="116" customFormat="1">
      <c r="A55859" s="136"/>
      <c r="CM55859" s="111"/>
      <c r="CQ55859" s="111"/>
      <c r="EF55859"/>
      <c r="EG55859"/>
      <c r="EH55859"/>
      <c r="EI55859"/>
      <c r="EJ55859"/>
      <c r="EK55859"/>
    </row>
    <row r="55860" spans="1:141" s="116" customFormat="1">
      <c r="A55860" s="136"/>
      <c r="CM55860" s="111"/>
      <c r="CQ55860" s="111"/>
      <c r="EF55860"/>
      <c r="EG55860"/>
      <c r="EH55860"/>
      <c r="EI55860"/>
      <c r="EJ55860"/>
      <c r="EK55860"/>
    </row>
    <row r="55861" spans="1:141" s="116" customFormat="1">
      <c r="A55861" s="136"/>
      <c r="CM55861" s="111"/>
      <c r="CQ55861" s="111"/>
      <c r="EF55861"/>
      <c r="EG55861"/>
      <c r="EH55861"/>
      <c r="EI55861"/>
      <c r="EJ55861"/>
      <c r="EK55861"/>
    </row>
    <row r="55862" spans="1:141" s="116" customFormat="1">
      <c r="A55862" s="136"/>
      <c r="CM55862" s="111"/>
      <c r="CQ55862" s="111"/>
      <c r="EF55862"/>
      <c r="EG55862"/>
      <c r="EH55862"/>
      <c r="EI55862"/>
      <c r="EJ55862"/>
      <c r="EK55862"/>
    </row>
    <row r="55863" spans="1:141" s="116" customFormat="1">
      <c r="A55863" s="136"/>
      <c r="CM55863" s="111"/>
      <c r="CQ55863" s="111"/>
      <c r="EF55863"/>
      <c r="EG55863"/>
      <c r="EH55863"/>
      <c r="EI55863"/>
      <c r="EJ55863"/>
      <c r="EK55863"/>
    </row>
    <row r="55864" spans="1:141" s="116" customFormat="1">
      <c r="A55864" s="136"/>
      <c r="CM55864" s="111"/>
      <c r="CQ55864" s="111"/>
      <c r="EF55864"/>
      <c r="EG55864"/>
      <c r="EH55864"/>
      <c r="EI55864"/>
      <c r="EJ55864"/>
      <c r="EK55864"/>
    </row>
    <row r="55865" spans="1:141" s="116" customFormat="1">
      <c r="A55865" s="136"/>
      <c r="CM55865" s="111"/>
      <c r="CQ55865" s="111"/>
      <c r="EF55865"/>
      <c r="EG55865"/>
      <c r="EH55865"/>
      <c r="EI55865"/>
      <c r="EJ55865"/>
      <c r="EK55865"/>
    </row>
    <row r="55866" spans="1:141" s="116" customFormat="1">
      <c r="A55866" s="136"/>
      <c r="CM55866" s="111"/>
      <c r="CQ55866" s="111"/>
      <c r="EF55866"/>
      <c r="EG55866"/>
      <c r="EH55866"/>
      <c r="EI55866"/>
      <c r="EJ55866"/>
      <c r="EK55866"/>
    </row>
    <row r="55867" spans="1:141" s="116" customFormat="1">
      <c r="A55867" s="136"/>
      <c r="CM55867" s="111"/>
      <c r="CQ55867" s="111"/>
      <c r="EF55867"/>
      <c r="EG55867"/>
      <c r="EH55867"/>
      <c r="EI55867"/>
      <c r="EJ55867"/>
      <c r="EK55867"/>
    </row>
    <row r="55868" spans="1:141" s="116" customFormat="1">
      <c r="A55868" s="136"/>
      <c r="CM55868" s="111"/>
      <c r="CQ55868" s="111"/>
      <c r="EF55868"/>
      <c r="EG55868"/>
      <c r="EH55868"/>
      <c r="EI55868"/>
      <c r="EJ55868"/>
      <c r="EK55868"/>
    </row>
    <row r="55869" spans="1:141" s="116" customFormat="1">
      <c r="A55869" s="136"/>
      <c r="CM55869" s="111"/>
      <c r="CQ55869" s="111"/>
      <c r="EF55869"/>
      <c r="EG55869"/>
      <c r="EH55869"/>
      <c r="EI55869"/>
      <c r="EJ55869"/>
      <c r="EK55869"/>
    </row>
    <row r="55870" spans="1:141" s="116" customFormat="1">
      <c r="A55870" s="136"/>
      <c r="CM55870" s="111"/>
      <c r="CQ55870" s="111"/>
      <c r="EF55870"/>
      <c r="EG55870"/>
      <c r="EH55870"/>
      <c r="EI55870"/>
      <c r="EJ55870"/>
      <c r="EK55870"/>
    </row>
    <row r="55871" spans="1:141" s="116" customFormat="1">
      <c r="A55871" s="136"/>
      <c r="CM55871" s="111"/>
      <c r="CQ55871" s="111"/>
      <c r="EF55871"/>
      <c r="EG55871"/>
      <c r="EH55871"/>
      <c r="EI55871"/>
      <c r="EJ55871"/>
      <c r="EK55871"/>
    </row>
    <row r="55872" spans="1:141" s="116" customFormat="1">
      <c r="A55872" s="136"/>
      <c r="CM55872" s="111"/>
      <c r="CQ55872" s="111"/>
      <c r="EF55872"/>
      <c r="EG55872"/>
      <c r="EH55872"/>
      <c r="EI55872"/>
      <c r="EJ55872"/>
      <c r="EK55872"/>
    </row>
    <row r="55873" spans="1:141" s="116" customFormat="1">
      <c r="A55873" s="136"/>
      <c r="CM55873" s="111"/>
      <c r="CQ55873" s="111"/>
      <c r="EF55873"/>
      <c r="EG55873"/>
      <c r="EH55873"/>
      <c r="EI55873"/>
      <c r="EJ55873"/>
      <c r="EK55873"/>
    </row>
    <row r="55874" spans="1:141" s="116" customFormat="1">
      <c r="A55874" s="136"/>
      <c r="CM55874" s="111"/>
      <c r="CQ55874" s="111"/>
      <c r="EF55874"/>
      <c r="EG55874"/>
      <c r="EH55874"/>
      <c r="EI55874"/>
      <c r="EJ55874"/>
      <c r="EK55874"/>
    </row>
    <row r="55875" spans="1:141" s="116" customFormat="1">
      <c r="A55875" s="136"/>
      <c r="CM55875" s="111"/>
      <c r="CQ55875" s="111"/>
      <c r="EF55875"/>
      <c r="EG55875"/>
      <c r="EH55875"/>
      <c r="EI55875"/>
      <c r="EJ55875"/>
      <c r="EK55875"/>
    </row>
    <row r="55876" spans="1:141" s="116" customFormat="1">
      <c r="A55876" s="136"/>
      <c r="CM55876" s="111"/>
      <c r="CQ55876" s="111"/>
      <c r="EF55876"/>
      <c r="EG55876"/>
      <c r="EH55876"/>
      <c r="EI55876"/>
      <c r="EJ55876"/>
      <c r="EK55876"/>
    </row>
    <row r="55877" spans="1:141" s="116" customFormat="1">
      <c r="A55877" s="136"/>
      <c r="CM55877" s="111"/>
      <c r="CQ55877" s="111"/>
      <c r="EF55877"/>
      <c r="EG55877"/>
      <c r="EH55877"/>
      <c r="EI55877"/>
      <c r="EJ55877"/>
      <c r="EK55877"/>
    </row>
    <row r="55878" spans="1:141" s="116" customFormat="1">
      <c r="A55878" s="136"/>
      <c r="CM55878" s="111"/>
      <c r="CQ55878" s="111"/>
      <c r="EF55878"/>
      <c r="EG55878"/>
      <c r="EH55878"/>
      <c r="EI55878"/>
      <c r="EJ55878"/>
      <c r="EK55878"/>
    </row>
    <row r="55879" spans="1:141" s="116" customFormat="1">
      <c r="A55879" s="136"/>
      <c r="CM55879" s="111"/>
      <c r="CQ55879" s="111"/>
      <c r="EF55879"/>
      <c r="EG55879"/>
      <c r="EH55879"/>
      <c r="EI55879"/>
      <c r="EJ55879"/>
      <c r="EK55879"/>
    </row>
    <row r="55880" spans="1:141" s="116" customFormat="1">
      <c r="A55880" s="136"/>
      <c r="CM55880" s="111"/>
      <c r="CQ55880" s="111"/>
      <c r="EF55880"/>
      <c r="EG55880"/>
      <c r="EH55880"/>
      <c r="EI55880"/>
      <c r="EJ55880"/>
      <c r="EK55880"/>
    </row>
    <row r="55881" spans="1:141" s="116" customFormat="1">
      <c r="A55881" s="136"/>
      <c r="CM55881" s="111"/>
      <c r="CQ55881" s="111"/>
      <c r="EF55881"/>
      <c r="EG55881"/>
      <c r="EH55881"/>
      <c r="EI55881"/>
      <c r="EJ55881"/>
      <c r="EK55881"/>
    </row>
    <row r="55882" spans="1:141" s="116" customFormat="1">
      <c r="A55882" s="136"/>
      <c r="CM55882" s="111"/>
      <c r="CQ55882" s="111"/>
      <c r="EF55882"/>
      <c r="EG55882"/>
      <c r="EH55882"/>
      <c r="EI55882"/>
      <c r="EJ55882"/>
      <c r="EK55882"/>
    </row>
    <row r="55883" spans="1:141" s="116" customFormat="1">
      <c r="A55883" s="136"/>
      <c r="CM55883" s="111"/>
      <c r="CQ55883" s="111"/>
      <c r="EF55883"/>
      <c r="EG55883"/>
      <c r="EH55883"/>
      <c r="EI55883"/>
      <c r="EJ55883"/>
      <c r="EK55883"/>
    </row>
    <row r="55884" spans="1:141" s="116" customFormat="1">
      <c r="A55884" s="136"/>
      <c r="CM55884" s="111"/>
      <c r="CQ55884" s="111"/>
      <c r="EF55884"/>
      <c r="EG55884"/>
      <c r="EH55884"/>
      <c r="EI55884"/>
      <c r="EJ55884"/>
      <c r="EK55884"/>
    </row>
    <row r="55885" spans="1:141" s="116" customFormat="1">
      <c r="A55885" s="136"/>
      <c r="CM55885" s="111"/>
      <c r="CQ55885" s="111"/>
      <c r="EF55885"/>
      <c r="EG55885"/>
      <c r="EH55885"/>
      <c r="EI55885"/>
      <c r="EJ55885"/>
      <c r="EK55885"/>
    </row>
    <row r="55886" spans="1:141" s="116" customFormat="1">
      <c r="A55886" s="136"/>
      <c r="CM55886" s="111"/>
      <c r="CQ55886" s="111"/>
      <c r="EF55886"/>
      <c r="EG55886"/>
      <c r="EH55886"/>
      <c r="EI55886"/>
      <c r="EJ55886"/>
      <c r="EK55886"/>
    </row>
    <row r="55887" spans="1:141" s="116" customFormat="1">
      <c r="A55887" s="136"/>
      <c r="CM55887" s="111"/>
      <c r="CQ55887" s="111"/>
      <c r="EF55887"/>
      <c r="EG55887"/>
      <c r="EH55887"/>
      <c r="EI55887"/>
      <c r="EJ55887"/>
      <c r="EK55887"/>
    </row>
    <row r="55888" spans="1:141" s="116" customFormat="1">
      <c r="A55888" s="136"/>
      <c r="CM55888" s="111"/>
      <c r="CQ55888" s="111"/>
      <c r="EF55888"/>
      <c r="EG55888"/>
      <c r="EH55888"/>
      <c r="EI55888"/>
      <c r="EJ55888"/>
      <c r="EK55888"/>
    </row>
    <row r="55889" spans="1:141" s="116" customFormat="1">
      <c r="A55889" s="136"/>
      <c r="CM55889" s="111"/>
      <c r="CQ55889" s="111"/>
      <c r="EF55889"/>
      <c r="EG55889"/>
      <c r="EH55889"/>
      <c r="EI55889"/>
      <c r="EJ55889"/>
      <c r="EK55889"/>
    </row>
    <row r="55890" spans="1:141" s="116" customFormat="1">
      <c r="A55890" s="136"/>
      <c r="CM55890" s="111"/>
      <c r="CQ55890" s="111"/>
      <c r="EF55890"/>
      <c r="EG55890"/>
      <c r="EH55890"/>
      <c r="EI55890"/>
      <c r="EJ55890"/>
      <c r="EK55890"/>
    </row>
    <row r="55891" spans="1:141" s="116" customFormat="1">
      <c r="A55891" s="136"/>
      <c r="CM55891" s="111"/>
      <c r="CQ55891" s="111"/>
      <c r="EF55891"/>
      <c r="EG55891"/>
      <c r="EH55891"/>
      <c r="EI55891"/>
      <c r="EJ55891"/>
      <c r="EK55891"/>
    </row>
    <row r="55892" spans="1:141" s="116" customFormat="1">
      <c r="A55892" s="136"/>
      <c r="CM55892" s="111"/>
      <c r="CQ55892" s="111"/>
      <c r="EF55892"/>
      <c r="EG55892"/>
      <c r="EH55892"/>
      <c r="EI55892"/>
      <c r="EJ55892"/>
      <c r="EK55892"/>
    </row>
    <row r="55893" spans="1:141" s="116" customFormat="1">
      <c r="A55893" s="136"/>
      <c r="CM55893" s="111"/>
      <c r="CQ55893" s="111"/>
      <c r="EF55893"/>
      <c r="EG55893"/>
      <c r="EH55893"/>
      <c r="EI55893"/>
      <c r="EJ55893"/>
      <c r="EK55893"/>
    </row>
    <row r="55894" spans="1:141" s="116" customFormat="1">
      <c r="A55894" s="136"/>
      <c r="CM55894" s="111"/>
      <c r="CQ55894" s="111"/>
      <c r="EF55894"/>
      <c r="EG55894"/>
      <c r="EH55894"/>
      <c r="EI55894"/>
      <c r="EJ55894"/>
      <c r="EK55894"/>
    </row>
    <row r="55895" spans="1:141" s="116" customFormat="1">
      <c r="A55895" s="136"/>
      <c r="CM55895" s="111"/>
      <c r="CQ55895" s="111"/>
      <c r="EF55895"/>
      <c r="EG55895"/>
      <c r="EH55895"/>
      <c r="EI55895"/>
      <c r="EJ55895"/>
      <c r="EK55895"/>
    </row>
    <row r="55896" spans="1:141" s="116" customFormat="1">
      <c r="A55896" s="136"/>
      <c r="CM55896" s="111"/>
      <c r="CQ55896" s="111"/>
      <c r="EF55896"/>
      <c r="EG55896"/>
      <c r="EH55896"/>
      <c r="EI55896"/>
      <c r="EJ55896"/>
      <c r="EK55896"/>
    </row>
    <row r="55897" spans="1:141" s="116" customFormat="1">
      <c r="A55897" s="136"/>
      <c r="CM55897" s="111"/>
      <c r="CQ55897" s="111"/>
      <c r="EF55897"/>
      <c r="EG55897"/>
      <c r="EH55897"/>
      <c r="EI55897"/>
      <c r="EJ55897"/>
      <c r="EK55897"/>
    </row>
    <row r="55898" spans="1:141" s="116" customFormat="1">
      <c r="A55898" s="136"/>
      <c r="CM55898" s="111"/>
      <c r="CQ55898" s="111"/>
      <c r="EF55898"/>
      <c r="EG55898"/>
      <c r="EH55898"/>
      <c r="EI55898"/>
      <c r="EJ55898"/>
      <c r="EK55898"/>
    </row>
    <row r="55899" spans="1:141" s="116" customFormat="1">
      <c r="A55899" s="136"/>
      <c r="CM55899" s="111"/>
      <c r="CQ55899" s="111"/>
      <c r="EF55899"/>
      <c r="EG55899"/>
      <c r="EH55899"/>
      <c r="EI55899"/>
      <c r="EJ55899"/>
      <c r="EK55899"/>
    </row>
    <row r="55900" spans="1:141" s="116" customFormat="1">
      <c r="A55900" s="136"/>
      <c r="CM55900" s="111"/>
      <c r="CQ55900" s="111"/>
      <c r="EF55900"/>
      <c r="EG55900"/>
      <c r="EH55900"/>
      <c r="EI55900"/>
      <c r="EJ55900"/>
      <c r="EK55900"/>
    </row>
    <row r="55901" spans="1:141" s="116" customFormat="1">
      <c r="A55901" s="136"/>
      <c r="CM55901" s="111"/>
      <c r="CQ55901" s="111"/>
      <c r="EF55901"/>
      <c r="EG55901"/>
      <c r="EH55901"/>
      <c r="EI55901"/>
      <c r="EJ55901"/>
      <c r="EK55901"/>
    </row>
    <row r="55902" spans="1:141" s="116" customFormat="1">
      <c r="A55902" s="136"/>
      <c r="CM55902" s="111"/>
      <c r="CQ55902" s="111"/>
      <c r="EF55902"/>
      <c r="EG55902"/>
      <c r="EH55902"/>
      <c r="EI55902"/>
      <c r="EJ55902"/>
      <c r="EK55902"/>
    </row>
    <row r="55903" spans="1:141" s="116" customFormat="1">
      <c r="A55903" s="136"/>
      <c r="CM55903" s="111"/>
      <c r="CQ55903" s="111"/>
      <c r="EF55903"/>
      <c r="EG55903"/>
      <c r="EH55903"/>
      <c r="EI55903"/>
      <c r="EJ55903"/>
      <c r="EK55903"/>
    </row>
    <row r="55904" spans="1:141" s="116" customFormat="1">
      <c r="A55904" s="136"/>
      <c r="CM55904" s="111"/>
      <c r="CQ55904" s="111"/>
      <c r="EF55904"/>
      <c r="EG55904"/>
      <c r="EH55904"/>
      <c r="EI55904"/>
      <c r="EJ55904"/>
      <c r="EK55904"/>
    </row>
    <row r="55905" spans="1:141" s="116" customFormat="1">
      <c r="A55905" s="136"/>
      <c r="CM55905" s="111"/>
      <c r="CQ55905" s="111"/>
      <c r="EF55905"/>
      <c r="EG55905"/>
      <c r="EH55905"/>
      <c r="EI55905"/>
      <c r="EJ55905"/>
      <c r="EK55905"/>
    </row>
    <row r="55906" spans="1:141" s="116" customFormat="1">
      <c r="A55906" s="136"/>
      <c r="CM55906" s="111"/>
      <c r="CQ55906" s="111"/>
      <c r="EF55906"/>
      <c r="EG55906"/>
      <c r="EH55906"/>
      <c r="EI55906"/>
      <c r="EJ55906"/>
      <c r="EK55906"/>
    </row>
    <row r="55907" spans="1:141" s="116" customFormat="1">
      <c r="A55907" s="136"/>
      <c r="CM55907" s="111"/>
      <c r="CQ55907" s="111"/>
      <c r="EF55907"/>
      <c r="EG55907"/>
      <c r="EH55907"/>
      <c r="EI55907"/>
      <c r="EJ55907"/>
      <c r="EK55907"/>
    </row>
    <row r="55908" spans="1:141" s="116" customFormat="1">
      <c r="A55908" s="136"/>
      <c r="CM55908" s="111"/>
      <c r="CQ55908" s="111"/>
      <c r="EF55908"/>
      <c r="EG55908"/>
      <c r="EH55908"/>
      <c r="EI55908"/>
      <c r="EJ55908"/>
      <c r="EK55908"/>
    </row>
    <row r="55909" spans="1:141" s="116" customFormat="1">
      <c r="A55909" s="136"/>
      <c r="CM55909" s="111"/>
      <c r="CQ55909" s="111"/>
      <c r="EF55909"/>
      <c r="EG55909"/>
      <c r="EH55909"/>
      <c r="EI55909"/>
      <c r="EJ55909"/>
      <c r="EK55909"/>
    </row>
    <row r="55910" spans="1:141" s="116" customFormat="1">
      <c r="A55910" s="136"/>
      <c r="CM55910" s="111"/>
      <c r="CQ55910" s="111"/>
      <c r="EF55910"/>
      <c r="EG55910"/>
      <c r="EH55910"/>
      <c r="EI55910"/>
      <c r="EJ55910"/>
      <c r="EK55910"/>
    </row>
    <row r="55911" spans="1:141" s="116" customFormat="1">
      <c r="A55911" s="136"/>
      <c r="CM55911" s="111"/>
      <c r="CQ55911" s="111"/>
      <c r="EF55911"/>
      <c r="EG55911"/>
      <c r="EH55911"/>
      <c r="EI55911"/>
      <c r="EJ55911"/>
      <c r="EK55911"/>
    </row>
    <row r="55912" spans="1:141" s="116" customFormat="1">
      <c r="A55912" s="136"/>
      <c r="CM55912" s="111"/>
      <c r="CQ55912" s="111"/>
      <c r="EF55912"/>
      <c r="EG55912"/>
      <c r="EH55912"/>
      <c r="EI55912"/>
      <c r="EJ55912"/>
      <c r="EK55912"/>
    </row>
    <row r="55913" spans="1:141" s="116" customFormat="1">
      <c r="A55913" s="136"/>
      <c r="CM55913" s="111"/>
      <c r="CQ55913" s="111"/>
      <c r="EF55913"/>
      <c r="EG55913"/>
      <c r="EH55913"/>
      <c r="EI55913"/>
      <c r="EJ55913"/>
      <c r="EK55913"/>
    </row>
    <row r="55914" spans="1:141" s="116" customFormat="1">
      <c r="A55914" s="136"/>
      <c r="CM55914" s="111"/>
      <c r="CQ55914" s="111"/>
      <c r="EF55914"/>
      <c r="EG55914"/>
      <c r="EH55914"/>
      <c r="EI55914"/>
      <c r="EJ55914"/>
      <c r="EK55914"/>
    </row>
    <row r="55915" spans="1:141" s="116" customFormat="1">
      <c r="A55915" s="136"/>
      <c r="CM55915" s="111"/>
      <c r="CQ55915" s="111"/>
      <c r="EF55915"/>
      <c r="EG55915"/>
      <c r="EH55915"/>
      <c r="EI55915"/>
      <c r="EJ55915"/>
      <c r="EK55915"/>
    </row>
    <row r="55916" spans="1:141" s="116" customFormat="1">
      <c r="A55916" s="136"/>
      <c r="CM55916" s="111"/>
      <c r="CQ55916" s="111"/>
      <c r="EF55916"/>
      <c r="EG55916"/>
      <c r="EH55916"/>
      <c r="EI55916"/>
      <c r="EJ55916"/>
      <c r="EK55916"/>
    </row>
    <row r="55917" spans="1:141" s="116" customFormat="1">
      <c r="A55917" s="136"/>
      <c r="CM55917" s="111"/>
      <c r="CQ55917" s="111"/>
      <c r="EF55917"/>
      <c r="EG55917"/>
      <c r="EH55917"/>
      <c r="EI55917"/>
      <c r="EJ55917"/>
      <c r="EK55917"/>
    </row>
    <row r="55918" spans="1:141" s="116" customFormat="1">
      <c r="A55918" s="136"/>
      <c r="CM55918" s="111"/>
      <c r="CQ55918" s="111"/>
      <c r="EF55918"/>
      <c r="EG55918"/>
      <c r="EH55918"/>
      <c r="EI55918"/>
      <c r="EJ55918"/>
      <c r="EK55918"/>
    </row>
    <row r="55919" spans="1:141" s="116" customFormat="1">
      <c r="A55919" s="136"/>
      <c r="CM55919" s="111"/>
      <c r="CQ55919" s="111"/>
      <c r="EF55919"/>
      <c r="EG55919"/>
      <c r="EH55919"/>
      <c r="EI55919"/>
      <c r="EJ55919"/>
      <c r="EK55919"/>
    </row>
    <row r="55920" spans="1:141" s="116" customFormat="1">
      <c r="A55920" s="136"/>
      <c r="CM55920" s="111"/>
      <c r="CQ55920" s="111"/>
      <c r="EF55920"/>
      <c r="EG55920"/>
      <c r="EH55920"/>
      <c r="EI55920"/>
      <c r="EJ55920"/>
      <c r="EK55920"/>
    </row>
    <row r="55921" spans="1:141" s="116" customFormat="1">
      <c r="A55921" s="136"/>
      <c r="CM55921" s="111"/>
      <c r="CQ55921" s="111"/>
      <c r="EF55921"/>
      <c r="EG55921"/>
      <c r="EH55921"/>
      <c r="EI55921"/>
      <c r="EJ55921"/>
      <c r="EK55921"/>
    </row>
    <row r="55922" spans="1:141" s="116" customFormat="1">
      <c r="A55922" s="136"/>
      <c r="CM55922" s="111"/>
      <c r="CQ55922" s="111"/>
      <c r="EF55922"/>
      <c r="EG55922"/>
      <c r="EH55922"/>
      <c r="EI55922"/>
      <c r="EJ55922"/>
      <c r="EK55922"/>
    </row>
    <row r="55923" spans="1:141" s="116" customFormat="1">
      <c r="A55923" s="136"/>
      <c r="CM55923" s="111"/>
      <c r="CQ55923" s="111"/>
      <c r="EF55923"/>
      <c r="EG55923"/>
      <c r="EH55923"/>
      <c r="EI55923"/>
      <c r="EJ55923"/>
      <c r="EK55923"/>
    </row>
    <row r="55924" spans="1:141" s="116" customFormat="1">
      <c r="A55924" s="136"/>
      <c r="CM55924" s="111"/>
      <c r="CQ55924" s="111"/>
      <c r="EF55924"/>
      <c r="EG55924"/>
      <c r="EH55924"/>
      <c r="EI55924"/>
      <c r="EJ55924"/>
      <c r="EK55924"/>
    </row>
    <row r="55925" spans="1:141" s="116" customFormat="1">
      <c r="A55925" s="136"/>
      <c r="CM55925" s="111"/>
      <c r="CQ55925" s="111"/>
      <c r="EF55925"/>
      <c r="EG55925"/>
      <c r="EH55925"/>
      <c r="EI55925"/>
      <c r="EJ55925"/>
      <c r="EK55925"/>
    </row>
    <row r="55926" spans="1:141" s="116" customFormat="1">
      <c r="A55926" s="136"/>
      <c r="CM55926" s="111"/>
      <c r="CQ55926" s="111"/>
      <c r="EF55926"/>
      <c r="EG55926"/>
      <c r="EH55926"/>
      <c r="EI55926"/>
      <c r="EJ55926"/>
      <c r="EK55926"/>
    </row>
    <row r="55927" spans="1:141" s="116" customFormat="1">
      <c r="A55927" s="136"/>
      <c r="CM55927" s="111"/>
      <c r="CQ55927" s="111"/>
      <c r="EF55927"/>
      <c r="EG55927"/>
      <c r="EH55927"/>
      <c r="EI55927"/>
      <c r="EJ55927"/>
      <c r="EK55927"/>
    </row>
    <row r="55928" spans="1:141" s="116" customFormat="1">
      <c r="A55928" s="136"/>
      <c r="CM55928" s="111"/>
      <c r="CQ55928" s="111"/>
      <c r="EF55928"/>
      <c r="EG55928"/>
      <c r="EH55928"/>
      <c r="EI55928"/>
      <c r="EJ55928"/>
      <c r="EK55928"/>
    </row>
    <row r="55929" spans="1:141" s="116" customFormat="1">
      <c r="A55929" s="136"/>
      <c r="CM55929" s="111"/>
      <c r="CQ55929" s="111"/>
      <c r="EF55929"/>
      <c r="EG55929"/>
      <c r="EH55929"/>
      <c r="EI55929"/>
      <c r="EJ55929"/>
      <c r="EK55929"/>
    </row>
    <row r="55930" spans="1:141" s="116" customFormat="1">
      <c r="A55930" s="136"/>
      <c r="CM55930" s="111"/>
      <c r="CQ55930" s="111"/>
      <c r="EF55930"/>
      <c r="EG55930"/>
      <c r="EH55930"/>
      <c r="EI55930"/>
      <c r="EJ55930"/>
      <c r="EK55930"/>
    </row>
    <row r="55931" spans="1:141" s="116" customFormat="1">
      <c r="A55931" s="136"/>
      <c r="CM55931" s="111"/>
      <c r="CQ55931" s="111"/>
      <c r="EF55931"/>
      <c r="EG55931"/>
      <c r="EH55931"/>
      <c r="EI55931"/>
      <c r="EJ55931"/>
      <c r="EK55931"/>
    </row>
    <row r="55932" spans="1:141" s="116" customFormat="1">
      <c r="A55932" s="136"/>
      <c r="CM55932" s="111"/>
      <c r="CQ55932" s="111"/>
      <c r="EF55932"/>
      <c r="EG55932"/>
      <c r="EH55932"/>
      <c r="EI55932"/>
      <c r="EJ55932"/>
      <c r="EK55932"/>
    </row>
    <row r="55933" spans="1:141" s="116" customFormat="1">
      <c r="A55933" s="136"/>
      <c r="CM55933" s="111"/>
      <c r="CQ55933" s="111"/>
      <c r="EF55933"/>
      <c r="EG55933"/>
      <c r="EH55933"/>
      <c r="EI55933"/>
      <c r="EJ55933"/>
      <c r="EK55933"/>
    </row>
    <row r="55934" spans="1:141" s="116" customFormat="1">
      <c r="A55934" s="136"/>
      <c r="CM55934" s="111"/>
      <c r="CQ55934" s="111"/>
      <c r="EF55934"/>
      <c r="EG55934"/>
      <c r="EH55934"/>
      <c r="EI55934"/>
      <c r="EJ55934"/>
      <c r="EK55934"/>
    </row>
    <row r="55935" spans="1:141" s="116" customFormat="1">
      <c r="A55935" s="136"/>
      <c r="CM55935" s="111"/>
      <c r="CQ55935" s="111"/>
      <c r="EF55935"/>
      <c r="EG55935"/>
      <c r="EH55935"/>
      <c r="EI55935"/>
      <c r="EJ55935"/>
      <c r="EK55935"/>
    </row>
    <row r="55936" spans="1:141" s="116" customFormat="1">
      <c r="A55936" s="136"/>
      <c r="CM55936" s="111"/>
      <c r="CQ55936" s="111"/>
      <c r="EF55936"/>
      <c r="EG55936"/>
      <c r="EH55936"/>
      <c r="EI55936"/>
      <c r="EJ55936"/>
      <c r="EK55936"/>
    </row>
    <row r="55937" spans="1:141" s="116" customFormat="1">
      <c r="A55937" s="136"/>
      <c r="CM55937" s="111"/>
      <c r="CQ55937" s="111"/>
      <c r="EF55937"/>
      <c r="EG55937"/>
      <c r="EH55937"/>
      <c r="EI55937"/>
      <c r="EJ55937"/>
      <c r="EK55937"/>
    </row>
    <row r="55938" spans="1:141" s="116" customFormat="1">
      <c r="A55938" s="136"/>
      <c r="CM55938" s="111"/>
      <c r="CQ55938" s="111"/>
      <c r="EF55938"/>
      <c r="EG55938"/>
      <c r="EH55938"/>
      <c r="EI55938"/>
      <c r="EJ55938"/>
      <c r="EK55938"/>
    </row>
    <row r="55939" spans="1:141" s="116" customFormat="1">
      <c r="A55939" s="136"/>
      <c r="CM55939" s="111"/>
      <c r="CQ55939" s="111"/>
      <c r="EF55939"/>
      <c r="EG55939"/>
      <c r="EH55939"/>
      <c r="EI55939"/>
      <c r="EJ55939"/>
      <c r="EK55939"/>
    </row>
    <row r="55940" spans="1:141" s="116" customFormat="1">
      <c r="A55940" s="136"/>
      <c r="CM55940" s="111"/>
      <c r="CQ55940" s="111"/>
      <c r="EF55940"/>
      <c r="EG55940"/>
      <c r="EH55940"/>
      <c r="EI55940"/>
      <c r="EJ55940"/>
      <c r="EK55940"/>
    </row>
    <row r="55941" spans="1:141" s="116" customFormat="1">
      <c r="A55941" s="136"/>
      <c r="CM55941" s="111"/>
      <c r="CQ55941" s="111"/>
      <c r="EF55941"/>
      <c r="EG55941"/>
      <c r="EH55941"/>
      <c r="EI55941"/>
      <c r="EJ55941"/>
      <c r="EK55941"/>
    </row>
    <row r="55942" spans="1:141" s="116" customFormat="1">
      <c r="A55942" s="136"/>
      <c r="CM55942" s="111"/>
      <c r="CQ55942" s="111"/>
      <c r="EF55942"/>
      <c r="EG55942"/>
      <c r="EH55942"/>
      <c r="EI55942"/>
      <c r="EJ55942"/>
      <c r="EK55942"/>
    </row>
    <row r="55943" spans="1:141" s="116" customFormat="1">
      <c r="A55943" s="136"/>
      <c r="CM55943" s="111"/>
      <c r="CQ55943" s="111"/>
      <c r="EF55943"/>
      <c r="EG55943"/>
      <c r="EH55943"/>
      <c r="EI55943"/>
      <c r="EJ55943"/>
      <c r="EK55943"/>
    </row>
    <row r="55944" spans="1:141" s="116" customFormat="1">
      <c r="A55944" s="136"/>
      <c r="CM55944" s="111"/>
      <c r="CQ55944" s="111"/>
      <c r="EF55944"/>
      <c r="EG55944"/>
      <c r="EH55944"/>
      <c r="EI55944"/>
      <c r="EJ55944"/>
      <c r="EK55944"/>
    </row>
    <row r="55945" spans="1:141" s="116" customFormat="1">
      <c r="A55945" s="136"/>
      <c r="CM55945" s="111"/>
      <c r="CQ55945" s="111"/>
      <c r="EF55945"/>
      <c r="EG55945"/>
      <c r="EH55945"/>
      <c r="EI55945"/>
      <c r="EJ55945"/>
      <c r="EK55945"/>
    </row>
    <row r="55946" spans="1:141" s="116" customFormat="1">
      <c r="A55946" s="136"/>
      <c r="CM55946" s="111"/>
      <c r="CQ55946" s="111"/>
      <c r="EF55946"/>
      <c r="EG55946"/>
      <c r="EH55946"/>
      <c r="EI55946"/>
      <c r="EJ55946"/>
      <c r="EK55946"/>
    </row>
    <row r="55947" spans="1:141" s="116" customFormat="1">
      <c r="A55947" s="136"/>
      <c r="CM55947" s="111"/>
      <c r="CQ55947" s="111"/>
      <c r="EF55947"/>
      <c r="EG55947"/>
      <c r="EH55947"/>
      <c r="EI55947"/>
      <c r="EJ55947"/>
      <c r="EK55947"/>
    </row>
    <row r="55948" spans="1:141" s="116" customFormat="1">
      <c r="A55948" s="136"/>
      <c r="CM55948" s="111"/>
      <c r="CQ55948" s="111"/>
      <c r="EF55948"/>
      <c r="EG55948"/>
      <c r="EH55948"/>
      <c r="EI55948"/>
      <c r="EJ55948"/>
      <c r="EK55948"/>
    </row>
    <row r="55949" spans="1:141" s="116" customFormat="1">
      <c r="A55949" s="136"/>
      <c r="CM55949" s="111"/>
      <c r="CQ55949" s="111"/>
      <c r="EF55949"/>
      <c r="EG55949"/>
      <c r="EH55949"/>
      <c r="EI55949"/>
      <c r="EJ55949"/>
      <c r="EK55949"/>
    </row>
    <row r="55950" spans="1:141" s="116" customFormat="1">
      <c r="A55950" s="136"/>
      <c r="CM55950" s="111"/>
      <c r="CQ55950" s="111"/>
      <c r="EF55950"/>
      <c r="EG55950"/>
      <c r="EH55950"/>
      <c r="EI55950"/>
      <c r="EJ55950"/>
      <c r="EK55950"/>
    </row>
    <row r="55951" spans="1:141" s="116" customFormat="1">
      <c r="A55951" s="136"/>
      <c r="CM55951" s="111"/>
      <c r="CQ55951" s="111"/>
      <c r="EF55951"/>
      <c r="EG55951"/>
      <c r="EH55951"/>
      <c r="EI55951"/>
      <c r="EJ55951"/>
      <c r="EK55951"/>
    </row>
    <row r="55952" spans="1:141" s="116" customFormat="1">
      <c r="A55952" s="136"/>
      <c r="CM55952" s="111"/>
      <c r="CQ55952" s="111"/>
      <c r="EF55952"/>
      <c r="EG55952"/>
      <c r="EH55952"/>
      <c r="EI55952"/>
      <c r="EJ55952"/>
      <c r="EK55952"/>
    </row>
    <row r="55953" spans="1:141" s="116" customFormat="1">
      <c r="A55953" s="136"/>
      <c r="CM55953" s="111"/>
      <c r="CQ55953" s="111"/>
      <c r="EF55953"/>
      <c r="EG55953"/>
      <c r="EH55953"/>
      <c r="EI55953"/>
      <c r="EJ55953"/>
      <c r="EK55953"/>
    </row>
    <row r="55954" spans="1:141" s="116" customFormat="1">
      <c r="A55954" s="136"/>
      <c r="CM55954" s="111"/>
      <c r="CQ55954" s="111"/>
      <c r="EF55954"/>
      <c r="EG55954"/>
      <c r="EH55954"/>
      <c r="EI55954"/>
      <c r="EJ55954"/>
      <c r="EK55954"/>
    </row>
    <row r="55955" spans="1:141" s="116" customFormat="1">
      <c r="A55955" s="136"/>
      <c r="CM55955" s="111"/>
      <c r="CQ55955" s="111"/>
      <c r="EF55955"/>
      <c r="EG55955"/>
      <c r="EH55955"/>
      <c r="EI55955"/>
      <c r="EJ55955"/>
      <c r="EK55955"/>
    </row>
    <row r="55956" spans="1:141" s="116" customFormat="1">
      <c r="A55956" s="136"/>
      <c r="CM55956" s="111"/>
      <c r="CQ55956" s="111"/>
      <c r="EF55956"/>
      <c r="EG55956"/>
      <c r="EH55956"/>
      <c r="EI55956"/>
      <c r="EJ55956"/>
      <c r="EK55956"/>
    </row>
    <row r="55957" spans="1:141" s="116" customFormat="1">
      <c r="A55957" s="136"/>
      <c r="CM55957" s="111"/>
      <c r="CQ55957" s="111"/>
      <c r="EF55957"/>
      <c r="EG55957"/>
      <c r="EH55957"/>
      <c r="EI55957"/>
      <c r="EJ55957"/>
      <c r="EK55957"/>
    </row>
    <row r="55958" spans="1:141" s="116" customFormat="1">
      <c r="A55958" s="136"/>
      <c r="CM55958" s="111"/>
      <c r="CQ55958" s="111"/>
      <c r="EF55958"/>
      <c r="EG55958"/>
      <c r="EH55958"/>
      <c r="EI55958"/>
      <c r="EJ55958"/>
      <c r="EK55958"/>
    </row>
    <row r="55959" spans="1:141" s="116" customFormat="1">
      <c r="A55959" s="136"/>
      <c r="CM55959" s="111"/>
      <c r="CQ55959" s="111"/>
      <c r="EF55959"/>
      <c r="EG55959"/>
      <c r="EH55959"/>
      <c r="EI55959"/>
      <c r="EJ55959"/>
      <c r="EK55959"/>
    </row>
    <row r="55960" spans="1:141" s="116" customFormat="1">
      <c r="A55960" s="136"/>
      <c r="CM55960" s="111"/>
      <c r="CQ55960" s="111"/>
      <c r="EF55960"/>
      <c r="EG55960"/>
      <c r="EH55960"/>
      <c r="EI55960"/>
      <c r="EJ55960"/>
      <c r="EK55960"/>
    </row>
    <row r="55961" spans="1:141" s="116" customFormat="1">
      <c r="A55961" s="136"/>
      <c r="CM55961" s="111"/>
      <c r="CQ55961" s="111"/>
      <c r="EF55961"/>
      <c r="EG55961"/>
      <c r="EH55961"/>
      <c r="EI55961"/>
      <c r="EJ55961"/>
      <c r="EK55961"/>
    </row>
    <row r="55962" spans="1:141" s="116" customFormat="1">
      <c r="A55962" s="136"/>
      <c r="CM55962" s="111"/>
      <c r="CQ55962" s="111"/>
      <c r="EF55962"/>
      <c r="EG55962"/>
      <c r="EH55962"/>
      <c r="EI55962"/>
      <c r="EJ55962"/>
      <c r="EK55962"/>
    </row>
    <row r="55963" spans="1:141" s="116" customFormat="1">
      <c r="A55963" s="136"/>
      <c r="CM55963" s="111"/>
      <c r="CQ55963" s="111"/>
      <c r="EF55963"/>
      <c r="EG55963"/>
      <c r="EH55963"/>
      <c r="EI55963"/>
      <c r="EJ55963"/>
      <c r="EK55963"/>
    </row>
    <row r="55964" spans="1:141" s="116" customFormat="1">
      <c r="A55964" s="136"/>
      <c r="CM55964" s="111"/>
      <c r="CQ55964" s="111"/>
      <c r="EF55964"/>
      <c r="EG55964"/>
      <c r="EH55964"/>
      <c r="EI55964"/>
      <c r="EJ55964"/>
      <c r="EK55964"/>
    </row>
    <row r="55965" spans="1:141" s="116" customFormat="1">
      <c r="A55965" s="136"/>
      <c r="CM55965" s="111"/>
      <c r="CQ55965" s="111"/>
      <c r="EF55965"/>
      <c r="EG55965"/>
      <c r="EH55965"/>
      <c r="EI55965"/>
      <c r="EJ55965"/>
      <c r="EK55965"/>
    </row>
    <row r="55966" spans="1:141" s="116" customFormat="1">
      <c r="A55966" s="136"/>
      <c r="CM55966" s="111"/>
      <c r="CQ55966" s="111"/>
      <c r="EF55966"/>
      <c r="EG55966"/>
      <c r="EH55966"/>
      <c r="EI55966"/>
      <c r="EJ55966"/>
      <c r="EK55966"/>
    </row>
    <row r="55967" spans="1:141" s="116" customFormat="1">
      <c r="A55967" s="136"/>
      <c r="CM55967" s="111"/>
      <c r="CQ55967" s="111"/>
      <c r="EF55967"/>
      <c r="EG55967"/>
      <c r="EH55967"/>
      <c r="EI55967"/>
      <c r="EJ55967"/>
      <c r="EK55967"/>
    </row>
    <row r="55968" spans="1:141" s="116" customFormat="1">
      <c r="A55968" s="136"/>
      <c r="CM55968" s="111"/>
      <c r="CQ55968" s="111"/>
      <c r="EF55968"/>
      <c r="EG55968"/>
      <c r="EH55968"/>
      <c r="EI55968"/>
      <c r="EJ55968"/>
      <c r="EK55968"/>
    </row>
    <row r="55969" spans="1:141" s="116" customFormat="1">
      <c r="A55969" s="136"/>
      <c r="CM55969" s="111"/>
      <c r="CQ55969" s="111"/>
      <c r="EF55969"/>
      <c r="EG55969"/>
      <c r="EH55969"/>
      <c r="EI55969"/>
      <c r="EJ55969"/>
      <c r="EK55969"/>
    </row>
    <row r="55970" spans="1:141" s="116" customFormat="1">
      <c r="A55970" s="136"/>
      <c r="CM55970" s="111"/>
      <c r="CQ55970" s="111"/>
      <c r="EF55970"/>
      <c r="EG55970"/>
      <c r="EH55970"/>
      <c r="EI55970"/>
      <c r="EJ55970"/>
      <c r="EK55970"/>
    </row>
    <row r="55971" spans="1:141" s="116" customFormat="1">
      <c r="A55971" s="136"/>
      <c r="CM55971" s="111"/>
      <c r="CQ55971" s="111"/>
      <c r="EF55971"/>
      <c r="EG55971"/>
      <c r="EH55971"/>
      <c r="EI55971"/>
      <c r="EJ55971"/>
      <c r="EK55971"/>
    </row>
    <row r="55972" spans="1:141" s="116" customFormat="1">
      <c r="A55972" s="136"/>
      <c r="CM55972" s="111"/>
      <c r="CQ55972" s="111"/>
      <c r="EF55972"/>
      <c r="EG55972"/>
      <c r="EH55972"/>
      <c r="EI55972"/>
      <c r="EJ55972"/>
      <c r="EK55972"/>
    </row>
    <row r="55973" spans="1:141" s="116" customFormat="1">
      <c r="A55973" s="136"/>
      <c r="CM55973" s="111"/>
      <c r="CQ55973" s="111"/>
      <c r="EF55973"/>
      <c r="EG55973"/>
      <c r="EH55973"/>
      <c r="EI55973"/>
      <c r="EJ55973"/>
      <c r="EK55973"/>
    </row>
    <row r="55974" spans="1:141" s="116" customFormat="1">
      <c r="A55974" s="136"/>
      <c r="CM55974" s="111"/>
      <c r="CQ55974" s="111"/>
      <c r="EF55974"/>
      <c r="EG55974"/>
      <c r="EH55974"/>
      <c r="EI55974"/>
      <c r="EJ55974"/>
      <c r="EK55974"/>
    </row>
    <row r="55975" spans="1:141" s="116" customFormat="1">
      <c r="A55975" s="136"/>
      <c r="CM55975" s="111"/>
      <c r="CQ55975" s="111"/>
      <c r="EF55975"/>
      <c r="EG55975"/>
      <c r="EH55975"/>
      <c r="EI55975"/>
      <c r="EJ55975"/>
      <c r="EK55975"/>
    </row>
    <row r="55976" spans="1:141" s="116" customFormat="1">
      <c r="A55976" s="136"/>
      <c r="CM55976" s="111"/>
      <c r="CQ55976" s="111"/>
      <c r="EF55976"/>
      <c r="EG55976"/>
      <c r="EH55976"/>
      <c r="EI55976"/>
      <c r="EJ55976"/>
      <c r="EK55976"/>
    </row>
    <row r="55977" spans="1:141" s="116" customFormat="1">
      <c r="A55977" s="136"/>
      <c r="CM55977" s="111"/>
      <c r="CQ55977" s="111"/>
      <c r="EF55977"/>
      <c r="EG55977"/>
      <c r="EH55977"/>
      <c r="EI55977"/>
      <c r="EJ55977"/>
      <c r="EK55977"/>
    </row>
    <row r="55978" spans="1:141" s="116" customFormat="1">
      <c r="A55978" s="136"/>
      <c r="CM55978" s="111"/>
      <c r="CQ55978" s="111"/>
      <c r="EF55978"/>
      <c r="EG55978"/>
      <c r="EH55978"/>
      <c r="EI55978"/>
      <c r="EJ55978"/>
      <c r="EK55978"/>
    </row>
    <row r="55979" spans="1:141" s="116" customFormat="1">
      <c r="A55979" s="136"/>
      <c r="CM55979" s="111"/>
      <c r="CQ55979" s="111"/>
      <c r="EF55979"/>
      <c r="EG55979"/>
      <c r="EH55979"/>
      <c r="EI55979"/>
      <c r="EJ55979"/>
      <c r="EK55979"/>
    </row>
    <row r="55980" spans="1:141" s="116" customFormat="1">
      <c r="A55980" s="136"/>
      <c r="CM55980" s="111"/>
      <c r="CQ55980" s="111"/>
      <c r="EF55980"/>
      <c r="EG55980"/>
      <c r="EH55980"/>
      <c r="EI55980"/>
      <c r="EJ55980"/>
      <c r="EK55980"/>
    </row>
    <row r="55981" spans="1:141" s="116" customFormat="1">
      <c r="A55981" s="136"/>
      <c r="CM55981" s="111"/>
      <c r="CQ55981" s="111"/>
      <c r="EF55981"/>
      <c r="EG55981"/>
      <c r="EH55981"/>
      <c r="EI55981"/>
      <c r="EJ55981"/>
      <c r="EK55981"/>
    </row>
    <row r="55982" spans="1:141" s="116" customFormat="1">
      <c r="A55982" s="136"/>
      <c r="CM55982" s="111"/>
      <c r="CQ55982" s="111"/>
      <c r="EF55982"/>
      <c r="EG55982"/>
      <c r="EH55982"/>
      <c r="EI55982"/>
      <c r="EJ55982"/>
      <c r="EK55982"/>
    </row>
    <row r="55983" spans="1:141" s="116" customFormat="1">
      <c r="A55983" s="136"/>
      <c r="CM55983" s="111"/>
      <c r="CQ55983" s="111"/>
      <c r="EF55983"/>
      <c r="EG55983"/>
      <c r="EH55983"/>
      <c r="EI55983"/>
      <c r="EJ55983"/>
      <c r="EK55983"/>
    </row>
    <row r="55984" spans="1:141" s="116" customFormat="1">
      <c r="A55984" s="136"/>
      <c r="CM55984" s="111"/>
      <c r="CQ55984" s="111"/>
      <c r="EF55984"/>
      <c r="EG55984"/>
      <c r="EH55984"/>
      <c r="EI55984"/>
      <c r="EJ55984"/>
      <c r="EK55984"/>
    </row>
    <row r="55985" spans="1:141" s="116" customFormat="1">
      <c r="A55985" s="136"/>
      <c r="CM55985" s="111"/>
      <c r="CQ55985" s="111"/>
      <c r="EF55985"/>
      <c r="EG55985"/>
      <c r="EH55985"/>
      <c r="EI55985"/>
      <c r="EJ55985"/>
      <c r="EK55985"/>
    </row>
    <row r="55986" spans="1:141" s="116" customFormat="1">
      <c r="A55986" s="136"/>
      <c r="CM55986" s="111"/>
      <c r="CQ55986" s="111"/>
      <c r="EF55986"/>
      <c r="EG55986"/>
      <c r="EH55986"/>
      <c r="EI55986"/>
      <c r="EJ55986"/>
      <c r="EK55986"/>
    </row>
    <row r="55987" spans="1:141" s="116" customFormat="1">
      <c r="A55987" s="136"/>
      <c r="CM55987" s="111"/>
      <c r="CQ55987" s="111"/>
      <c r="EF55987"/>
      <c r="EG55987"/>
      <c r="EH55987"/>
      <c r="EI55987"/>
      <c r="EJ55987"/>
      <c r="EK55987"/>
    </row>
    <row r="55988" spans="1:141" s="116" customFormat="1">
      <c r="A55988" s="136"/>
      <c r="CM55988" s="111"/>
      <c r="CQ55988" s="111"/>
      <c r="EF55988"/>
      <c r="EG55988"/>
      <c r="EH55988"/>
      <c r="EI55988"/>
      <c r="EJ55988"/>
      <c r="EK55988"/>
    </row>
    <row r="55989" spans="1:141" s="116" customFormat="1">
      <c r="A55989" s="136"/>
      <c r="CM55989" s="111"/>
      <c r="CQ55989" s="111"/>
      <c r="EF55989"/>
      <c r="EG55989"/>
      <c r="EH55989"/>
      <c r="EI55989"/>
      <c r="EJ55989"/>
      <c r="EK55989"/>
    </row>
    <row r="55990" spans="1:141" s="116" customFormat="1">
      <c r="A55990" s="136"/>
      <c r="CM55990" s="111"/>
      <c r="CQ55990" s="111"/>
      <c r="EF55990"/>
      <c r="EG55990"/>
      <c r="EH55990"/>
      <c r="EI55990"/>
      <c r="EJ55990"/>
      <c r="EK55990"/>
    </row>
    <row r="55991" spans="1:141" s="116" customFormat="1">
      <c r="A55991" s="136"/>
      <c r="CM55991" s="111"/>
      <c r="CQ55991" s="111"/>
      <c r="EF55991"/>
      <c r="EG55991"/>
      <c r="EH55991"/>
      <c r="EI55991"/>
      <c r="EJ55991"/>
      <c r="EK55991"/>
    </row>
    <row r="55992" spans="1:141" s="116" customFormat="1">
      <c r="A55992" s="136"/>
      <c r="CM55992" s="111"/>
      <c r="CQ55992" s="111"/>
      <c r="EF55992"/>
      <c r="EG55992"/>
      <c r="EH55992"/>
      <c r="EI55992"/>
      <c r="EJ55992"/>
      <c r="EK55992"/>
    </row>
    <row r="55993" spans="1:141" s="116" customFormat="1">
      <c r="A55993" s="136"/>
      <c r="CM55993" s="111"/>
      <c r="CQ55993" s="111"/>
      <c r="EF55993"/>
      <c r="EG55993"/>
      <c r="EH55993"/>
      <c r="EI55993"/>
      <c r="EJ55993"/>
      <c r="EK55993"/>
    </row>
    <row r="55994" spans="1:141" s="116" customFormat="1">
      <c r="A55994" s="136"/>
      <c r="CM55994" s="111"/>
      <c r="CQ55994" s="111"/>
      <c r="EF55994"/>
      <c r="EG55994"/>
      <c r="EH55994"/>
      <c r="EI55994"/>
      <c r="EJ55994"/>
      <c r="EK55994"/>
    </row>
    <row r="55995" spans="1:141" s="116" customFormat="1">
      <c r="A55995" s="136"/>
      <c r="CM55995" s="111"/>
      <c r="CQ55995" s="111"/>
      <c r="EF55995"/>
      <c r="EG55995"/>
      <c r="EH55995"/>
      <c r="EI55995"/>
      <c r="EJ55995"/>
      <c r="EK55995"/>
    </row>
    <row r="55996" spans="1:141" s="116" customFormat="1">
      <c r="A55996" s="136"/>
      <c r="CM55996" s="111"/>
      <c r="CQ55996" s="111"/>
      <c r="EF55996"/>
      <c r="EG55996"/>
      <c r="EH55996"/>
      <c r="EI55996"/>
      <c r="EJ55996"/>
      <c r="EK55996"/>
    </row>
    <row r="55997" spans="1:141" s="116" customFormat="1">
      <c r="A55997" s="136"/>
      <c r="CM55997" s="111"/>
      <c r="CQ55997" s="111"/>
      <c r="EF55997"/>
      <c r="EG55997"/>
      <c r="EH55997"/>
      <c r="EI55997"/>
      <c r="EJ55997"/>
      <c r="EK55997"/>
    </row>
    <row r="55998" spans="1:141" s="116" customFormat="1">
      <c r="A55998" s="136"/>
      <c r="CM55998" s="111"/>
      <c r="CQ55998" s="111"/>
      <c r="EF55998"/>
      <c r="EG55998"/>
      <c r="EH55998"/>
      <c r="EI55998"/>
      <c r="EJ55998"/>
      <c r="EK55998"/>
    </row>
    <row r="55999" spans="1:141" s="116" customFormat="1">
      <c r="A55999" s="136"/>
      <c r="CM55999" s="111"/>
      <c r="CQ55999" s="111"/>
      <c r="EF55999"/>
      <c r="EG55999"/>
      <c r="EH55999"/>
      <c r="EI55999"/>
      <c r="EJ55999"/>
      <c r="EK55999"/>
    </row>
    <row r="56000" spans="1:141" s="116" customFormat="1">
      <c r="A56000" s="136"/>
      <c r="CM56000" s="111"/>
      <c r="CQ56000" s="111"/>
      <c r="EF56000"/>
      <c r="EG56000"/>
      <c r="EH56000"/>
      <c r="EI56000"/>
      <c r="EJ56000"/>
      <c r="EK56000"/>
    </row>
    <row r="56001" spans="1:141" s="116" customFormat="1">
      <c r="A56001" s="136"/>
      <c r="CM56001" s="111"/>
      <c r="CQ56001" s="111"/>
      <c r="EF56001"/>
      <c r="EG56001"/>
      <c r="EH56001"/>
      <c r="EI56001"/>
      <c r="EJ56001"/>
      <c r="EK56001"/>
    </row>
    <row r="56002" spans="1:141" s="116" customFormat="1">
      <c r="A56002" s="136"/>
      <c r="CM56002" s="111"/>
      <c r="CQ56002" s="111"/>
      <c r="EF56002"/>
      <c r="EG56002"/>
      <c r="EH56002"/>
      <c r="EI56002"/>
      <c r="EJ56002"/>
      <c r="EK56002"/>
    </row>
    <row r="56003" spans="1:141" s="116" customFormat="1">
      <c r="A56003" s="136"/>
      <c r="CM56003" s="111"/>
      <c r="CQ56003" s="111"/>
      <c r="EF56003"/>
      <c r="EG56003"/>
      <c r="EH56003"/>
      <c r="EI56003"/>
      <c r="EJ56003"/>
      <c r="EK56003"/>
    </row>
    <row r="56004" spans="1:141" s="116" customFormat="1">
      <c r="A56004" s="136"/>
      <c r="CM56004" s="111"/>
      <c r="CQ56004" s="111"/>
      <c r="EF56004"/>
      <c r="EG56004"/>
      <c r="EH56004"/>
      <c r="EI56004"/>
      <c r="EJ56004"/>
      <c r="EK56004"/>
    </row>
    <row r="56005" spans="1:141" s="116" customFormat="1">
      <c r="A56005" s="136"/>
      <c r="CM56005" s="111"/>
      <c r="CQ56005" s="111"/>
      <c r="EF56005"/>
      <c r="EG56005"/>
      <c r="EH56005"/>
      <c r="EI56005"/>
      <c r="EJ56005"/>
      <c r="EK56005"/>
    </row>
    <row r="56006" spans="1:141" s="116" customFormat="1">
      <c r="A56006" s="136"/>
      <c r="CM56006" s="111"/>
      <c r="CQ56006" s="111"/>
      <c r="EF56006"/>
      <c r="EG56006"/>
      <c r="EH56006"/>
      <c r="EI56006"/>
      <c r="EJ56006"/>
      <c r="EK56006"/>
    </row>
    <row r="56007" spans="1:141" s="116" customFormat="1">
      <c r="A56007" s="136"/>
      <c r="CM56007" s="111"/>
      <c r="CQ56007" s="111"/>
      <c r="EF56007"/>
      <c r="EG56007"/>
      <c r="EH56007"/>
      <c r="EI56007"/>
      <c r="EJ56007"/>
      <c r="EK56007"/>
    </row>
    <row r="56008" spans="1:141" s="116" customFormat="1">
      <c r="A56008" s="136"/>
      <c r="CM56008" s="111"/>
      <c r="CQ56008" s="111"/>
      <c r="EF56008"/>
      <c r="EG56008"/>
      <c r="EH56008"/>
      <c r="EI56008"/>
      <c r="EJ56008"/>
      <c r="EK56008"/>
    </row>
    <row r="56009" spans="1:141" s="116" customFormat="1">
      <c r="A56009" s="136"/>
      <c r="CM56009" s="111"/>
      <c r="CQ56009" s="111"/>
      <c r="EF56009"/>
      <c r="EG56009"/>
      <c r="EH56009"/>
      <c r="EI56009"/>
      <c r="EJ56009"/>
      <c r="EK56009"/>
    </row>
    <row r="56010" spans="1:141" s="116" customFormat="1">
      <c r="A56010" s="136"/>
      <c r="CM56010" s="111"/>
      <c r="CQ56010" s="111"/>
      <c r="EF56010"/>
      <c r="EG56010"/>
      <c r="EH56010"/>
      <c r="EI56010"/>
      <c r="EJ56010"/>
      <c r="EK56010"/>
    </row>
    <row r="56011" spans="1:141" s="116" customFormat="1">
      <c r="A56011" s="136"/>
      <c r="CM56011" s="111"/>
      <c r="CQ56011" s="111"/>
      <c r="EF56011"/>
      <c r="EG56011"/>
      <c r="EH56011"/>
      <c r="EI56011"/>
      <c r="EJ56011"/>
      <c r="EK56011"/>
    </row>
    <row r="56012" spans="1:141" s="116" customFormat="1">
      <c r="A56012" s="136"/>
      <c r="CM56012" s="111"/>
      <c r="CQ56012" s="111"/>
      <c r="EF56012"/>
      <c r="EG56012"/>
      <c r="EH56012"/>
      <c r="EI56012"/>
      <c r="EJ56012"/>
      <c r="EK56012"/>
    </row>
    <row r="56013" spans="1:141" s="116" customFormat="1">
      <c r="A56013" s="136"/>
      <c r="CM56013" s="111"/>
      <c r="CQ56013" s="111"/>
      <c r="EF56013"/>
      <c r="EG56013"/>
      <c r="EH56013"/>
      <c r="EI56013"/>
      <c r="EJ56013"/>
      <c r="EK56013"/>
    </row>
    <row r="56014" spans="1:141" s="116" customFormat="1">
      <c r="A56014" s="136"/>
      <c r="CM56014" s="111"/>
      <c r="CQ56014" s="111"/>
      <c r="EF56014"/>
      <c r="EG56014"/>
      <c r="EH56014"/>
      <c r="EI56014"/>
      <c r="EJ56014"/>
      <c r="EK56014"/>
    </row>
    <row r="56015" spans="1:141" s="116" customFormat="1">
      <c r="A56015" s="136"/>
      <c r="CM56015" s="111"/>
      <c r="CQ56015" s="111"/>
      <c r="EF56015"/>
      <c r="EG56015"/>
      <c r="EH56015"/>
      <c r="EI56015"/>
      <c r="EJ56015"/>
      <c r="EK56015"/>
    </row>
    <row r="56016" spans="1:141" s="116" customFormat="1">
      <c r="A56016" s="136"/>
      <c r="CM56016" s="111"/>
      <c r="CQ56016" s="111"/>
      <c r="EF56016"/>
      <c r="EG56016"/>
      <c r="EH56016"/>
      <c r="EI56016"/>
      <c r="EJ56016"/>
      <c r="EK56016"/>
    </row>
    <row r="56017" spans="1:141" s="116" customFormat="1">
      <c r="A56017" s="136"/>
      <c r="CM56017" s="111"/>
      <c r="CQ56017" s="111"/>
      <c r="EF56017"/>
      <c r="EG56017"/>
      <c r="EH56017"/>
      <c r="EI56017"/>
      <c r="EJ56017"/>
      <c r="EK56017"/>
    </row>
    <row r="56018" spans="1:141" s="116" customFormat="1">
      <c r="A56018" s="136"/>
      <c r="CM56018" s="111"/>
      <c r="CQ56018" s="111"/>
      <c r="EF56018"/>
      <c r="EG56018"/>
      <c r="EH56018"/>
      <c r="EI56018"/>
      <c r="EJ56018"/>
      <c r="EK56018"/>
    </row>
    <row r="56019" spans="1:141" s="116" customFormat="1">
      <c r="A56019" s="136"/>
      <c r="CM56019" s="111"/>
      <c r="CQ56019" s="111"/>
      <c r="EF56019"/>
      <c r="EG56019"/>
      <c r="EH56019"/>
      <c r="EI56019"/>
      <c r="EJ56019"/>
      <c r="EK56019"/>
    </row>
    <row r="56020" spans="1:141" s="116" customFormat="1">
      <c r="A56020" s="136"/>
      <c r="CM56020" s="111"/>
      <c r="CQ56020" s="111"/>
      <c r="EF56020"/>
      <c r="EG56020"/>
      <c r="EH56020"/>
      <c r="EI56020"/>
      <c r="EJ56020"/>
      <c r="EK56020"/>
    </row>
    <row r="56021" spans="1:141" s="116" customFormat="1">
      <c r="A56021" s="136"/>
      <c r="CM56021" s="111"/>
      <c r="CQ56021" s="111"/>
      <c r="EF56021"/>
      <c r="EG56021"/>
      <c r="EH56021"/>
      <c r="EI56021"/>
      <c r="EJ56021"/>
      <c r="EK56021"/>
    </row>
    <row r="56022" spans="1:141" s="116" customFormat="1">
      <c r="A56022" s="136"/>
      <c r="CM56022" s="111"/>
      <c r="CQ56022" s="111"/>
      <c r="EF56022"/>
      <c r="EG56022"/>
      <c r="EH56022"/>
      <c r="EI56022"/>
      <c r="EJ56022"/>
      <c r="EK56022"/>
    </row>
    <row r="56023" spans="1:141" s="116" customFormat="1">
      <c r="A56023" s="136"/>
      <c r="CM56023" s="111"/>
      <c r="CQ56023" s="111"/>
      <c r="EF56023"/>
      <c r="EG56023"/>
      <c r="EH56023"/>
      <c r="EI56023"/>
      <c r="EJ56023"/>
      <c r="EK56023"/>
    </row>
    <row r="56024" spans="1:141" s="116" customFormat="1">
      <c r="A56024" s="136"/>
      <c r="CM56024" s="111"/>
      <c r="CQ56024" s="111"/>
      <c r="EF56024"/>
      <c r="EG56024"/>
      <c r="EH56024"/>
      <c r="EI56024"/>
      <c r="EJ56024"/>
      <c r="EK56024"/>
    </row>
    <row r="56025" spans="1:141" s="116" customFormat="1">
      <c r="A56025" s="136"/>
      <c r="CM56025" s="111"/>
      <c r="CQ56025" s="111"/>
      <c r="EF56025"/>
      <c r="EG56025"/>
      <c r="EH56025"/>
      <c r="EI56025"/>
      <c r="EJ56025"/>
      <c r="EK56025"/>
    </row>
    <row r="56026" spans="1:141" s="116" customFormat="1">
      <c r="A56026" s="136"/>
      <c r="CM56026" s="111"/>
      <c r="CQ56026" s="111"/>
      <c r="EF56026"/>
      <c r="EG56026"/>
      <c r="EH56026"/>
      <c r="EI56026"/>
      <c r="EJ56026"/>
      <c r="EK56026"/>
    </row>
    <row r="56027" spans="1:141" s="116" customFormat="1">
      <c r="A56027" s="136"/>
      <c r="CM56027" s="111"/>
      <c r="CQ56027" s="111"/>
      <c r="EF56027"/>
      <c r="EG56027"/>
      <c r="EH56027"/>
      <c r="EI56027"/>
      <c r="EJ56027"/>
      <c r="EK56027"/>
    </row>
    <row r="56028" spans="1:141" s="116" customFormat="1">
      <c r="A56028" s="136"/>
      <c r="CM56028" s="111"/>
      <c r="CQ56028" s="111"/>
      <c r="EF56028"/>
      <c r="EG56028"/>
      <c r="EH56028"/>
      <c r="EI56028"/>
      <c r="EJ56028"/>
      <c r="EK56028"/>
    </row>
    <row r="56029" spans="1:141" s="116" customFormat="1">
      <c r="A56029" s="136"/>
      <c r="CM56029" s="111"/>
      <c r="CQ56029" s="111"/>
      <c r="EF56029"/>
      <c r="EG56029"/>
      <c r="EH56029"/>
      <c r="EI56029"/>
      <c r="EJ56029"/>
      <c r="EK56029"/>
    </row>
    <row r="56030" spans="1:141" s="116" customFormat="1">
      <c r="A56030" s="136"/>
      <c r="CM56030" s="111"/>
      <c r="CQ56030" s="111"/>
      <c r="EF56030"/>
      <c r="EG56030"/>
      <c r="EH56030"/>
      <c r="EI56030"/>
      <c r="EJ56030"/>
      <c r="EK56030"/>
    </row>
    <row r="56031" spans="1:141" s="116" customFormat="1">
      <c r="A56031" s="136"/>
      <c r="CM56031" s="111"/>
      <c r="CQ56031" s="111"/>
      <c r="EF56031"/>
      <c r="EG56031"/>
      <c r="EH56031"/>
      <c r="EI56031"/>
      <c r="EJ56031"/>
      <c r="EK56031"/>
    </row>
    <row r="56032" spans="1:141" s="116" customFormat="1">
      <c r="A56032" s="136"/>
      <c r="CM56032" s="111"/>
      <c r="CQ56032" s="111"/>
      <c r="EF56032"/>
      <c r="EG56032"/>
      <c r="EH56032"/>
      <c r="EI56032"/>
      <c r="EJ56032"/>
      <c r="EK56032"/>
    </row>
    <row r="56033" spans="1:141" s="116" customFormat="1">
      <c r="A56033" s="136"/>
      <c r="CM56033" s="111"/>
      <c r="CQ56033" s="111"/>
      <c r="EF56033"/>
      <c r="EG56033"/>
      <c r="EH56033"/>
      <c r="EI56033"/>
      <c r="EJ56033"/>
      <c r="EK56033"/>
    </row>
    <row r="56034" spans="1:141" s="116" customFormat="1">
      <c r="A56034" s="136"/>
      <c r="CM56034" s="111"/>
      <c r="CQ56034" s="111"/>
      <c r="EF56034"/>
      <c r="EG56034"/>
      <c r="EH56034"/>
      <c r="EI56034"/>
      <c r="EJ56034"/>
      <c r="EK56034"/>
    </row>
    <row r="56035" spans="1:141" s="116" customFormat="1">
      <c r="A56035" s="136"/>
      <c r="CM56035" s="111"/>
      <c r="CQ56035" s="111"/>
      <c r="EF56035"/>
      <c r="EG56035"/>
      <c r="EH56035"/>
      <c r="EI56035"/>
      <c r="EJ56035"/>
      <c r="EK56035"/>
    </row>
    <row r="56036" spans="1:141" s="116" customFormat="1">
      <c r="A56036" s="136"/>
      <c r="CM56036" s="111"/>
      <c r="CQ56036" s="111"/>
      <c r="EF56036"/>
      <c r="EG56036"/>
      <c r="EH56036"/>
      <c r="EI56036"/>
      <c r="EJ56036"/>
      <c r="EK56036"/>
    </row>
    <row r="56037" spans="1:141" s="116" customFormat="1">
      <c r="A56037" s="136"/>
      <c r="CM56037" s="111"/>
      <c r="CQ56037" s="111"/>
      <c r="EF56037"/>
      <c r="EG56037"/>
      <c r="EH56037"/>
      <c r="EI56037"/>
      <c r="EJ56037"/>
      <c r="EK56037"/>
    </row>
    <row r="56038" spans="1:141" s="116" customFormat="1">
      <c r="A56038" s="136"/>
      <c r="CM56038" s="111"/>
      <c r="CQ56038" s="111"/>
      <c r="EF56038"/>
      <c r="EG56038"/>
      <c r="EH56038"/>
      <c r="EI56038"/>
      <c r="EJ56038"/>
      <c r="EK56038"/>
    </row>
    <row r="56039" spans="1:141" s="116" customFormat="1">
      <c r="A56039" s="136"/>
      <c r="CM56039" s="111"/>
      <c r="CQ56039" s="111"/>
      <c r="EF56039"/>
      <c r="EG56039"/>
      <c r="EH56039"/>
      <c r="EI56039"/>
      <c r="EJ56039"/>
      <c r="EK56039"/>
    </row>
    <row r="56040" spans="1:141" s="116" customFormat="1">
      <c r="A56040" s="136"/>
      <c r="CM56040" s="111"/>
      <c r="CQ56040" s="111"/>
      <c r="EF56040"/>
      <c r="EG56040"/>
      <c r="EH56040"/>
      <c r="EI56040"/>
      <c r="EJ56040"/>
      <c r="EK56040"/>
    </row>
    <row r="56041" spans="1:141" s="116" customFormat="1">
      <c r="A56041" s="136"/>
      <c r="CM56041" s="111"/>
      <c r="CQ56041" s="111"/>
      <c r="EF56041"/>
      <c r="EG56041"/>
      <c r="EH56041"/>
      <c r="EI56041"/>
      <c r="EJ56041"/>
      <c r="EK56041"/>
    </row>
    <row r="56042" spans="1:141" s="116" customFormat="1">
      <c r="A56042" s="136"/>
      <c r="CM56042" s="111"/>
      <c r="CQ56042" s="111"/>
      <c r="EF56042"/>
      <c r="EG56042"/>
      <c r="EH56042"/>
      <c r="EI56042"/>
      <c r="EJ56042"/>
      <c r="EK56042"/>
    </row>
    <row r="56043" spans="1:141" s="116" customFormat="1">
      <c r="A56043" s="136"/>
      <c r="CM56043" s="111"/>
      <c r="CQ56043" s="111"/>
      <c r="EF56043"/>
      <c r="EG56043"/>
      <c r="EH56043"/>
      <c r="EI56043"/>
      <c r="EJ56043"/>
      <c r="EK56043"/>
    </row>
    <row r="56044" spans="1:141" s="116" customFormat="1">
      <c r="A56044" s="136"/>
      <c r="CM56044" s="111"/>
      <c r="CQ56044" s="111"/>
      <c r="EF56044"/>
      <c r="EG56044"/>
      <c r="EH56044"/>
      <c r="EI56044"/>
      <c r="EJ56044"/>
      <c r="EK56044"/>
    </row>
    <row r="56045" spans="1:141" s="116" customFormat="1">
      <c r="A56045" s="136"/>
      <c r="CM56045" s="111"/>
      <c r="CQ56045" s="111"/>
      <c r="EF56045"/>
      <c r="EG56045"/>
      <c r="EH56045"/>
      <c r="EI56045"/>
      <c r="EJ56045"/>
      <c r="EK56045"/>
    </row>
    <row r="56046" spans="1:141" s="116" customFormat="1">
      <c r="A56046" s="136"/>
      <c r="CM56046" s="111"/>
      <c r="CQ56046" s="111"/>
      <c r="EF56046"/>
      <c r="EG56046"/>
      <c r="EH56046"/>
      <c r="EI56046"/>
      <c r="EJ56046"/>
      <c r="EK56046"/>
    </row>
    <row r="56047" spans="1:141" s="116" customFormat="1">
      <c r="A56047" s="136"/>
      <c r="CM56047" s="111"/>
      <c r="CQ56047" s="111"/>
      <c r="EF56047"/>
      <c r="EG56047"/>
      <c r="EH56047"/>
      <c r="EI56047"/>
      <c r="EJ56047"/>
      <c r="EK56047"/>
    </row>
    <row r="56048" spans="1:141" s="116" customFormat="1">
      <c r="A56048" s="136"/>
      <c r="CM56048" s="111"/>
      <c r="CQ56048" s="111"/>
      <c r="EF56048"/>
      <c r="EG56048"/>
      <c r="EH56048"/>
      <c r="EI56048"/>
      <c r="EJ56048"/>
      <c r="EK56048"/>
    </row>
    <row r="56049" spans="1:141" s="116" customFormat="1">
      <c r="A56049" s="136"/>
      <c r="CM56049" s="111"/>
      <c r="CQ56049" s="111"/>
      <c r="EF56049"/>
      <c r="EG56049"/>
      <c r="EH56049"/>
      <c r="EI56049"/>
      <c r="EJ56049"/>
      <c r="EK56049"/>
    </row>
    <row r="56050" spans="1:141" s="116" customFormat="1">
      <c r="A56050" s="136"/>
      <c r="CM56050" s="111"/>
      <c r="CQ56050" s="111"/>
      <c r="EF56050"/>
      <c r="EG56050"/>
      <c r="EH56050"/>
      <c r="EI56050"/>
      <c r="EJ56050"/>
      <c r="EK56050"/>
    </row>
    <row r="56051" spans="1:141" s="116" customFormat="1">
      <c r="A56051" s="136"/>
      <c r="CM56051" s="111"/>
      <c r="CQ56051" s="111"/>
      <c r="EF56051"/>
      <c r="EG56051"/>
      <c r="EH56051"/>
      <c r="EI56051"/>
      <c r="EJ56051"/>
      <c r="EK56051"/>
    </row>
    <row r="56052" spans="1:141" s="116" customFormat="1">
      <c r="A56052" s="136"/>
      <c r="CM56052" s="111"/>
      <c r="CQ56052" s="111"/>
      <c r="EF56052"/>
      <c r="EG56052"/>
      <c r="EH56052"/>
      <c r="EI56052"/>
      <c r="EJ56052"/>
      <c r="EK56052"/>
    </row>
    <row r="56053" spans="1:141" s="116" customFormat="1">
      <c r="A56053" s="136"/>
      <c r="CM56053" s="111"/>
      <c r="CQ56053" s="111"/>
      <c r="EF56053"/>
      <c r="EG56053"/>
      <c r="EH56053"/>
      <c r="EI56053"/>
      <c r="EJ56053"/>
      <c r="EK56053"/>
    </row>
    <row r="56054" spans="1:141" s="116" customFormat="1">
      <c r="A56054" s="136"/>
      <c r="CM56054" s="111"/>
      <c r="CQ56054" s="111"/>
      <c r="EF56054"/>
      <c r="EG56054"/>
      <c r="EH56054"/>
      <c r="EI56054"/>
      <c r="EJ56054"/>
      <c r="EK56054"/>
    </row>
    <row r="56055" spans="1:141" s="116" customFormat="1">
      <c r="A56055" s="136"/>
      <c r="CM56055" s="111"/>
      <c r="CQ56055" s="111"/>
      <c r="EF56055"/>
      <c r="EG56055"/>
      <c r="EH56055"/>
      <c r="EI56055"/>
      <c r="EJ56055"/>
      <c r="EK56055"/>
    </row>
    <row r="56056" spans="1:141" s="116" customFormat="1">
      <c r="A56056" s="136"/>
      <c r="CM56056" s="111"/>
      <c r="CQ56056" s="111"/>
      <c r="EF56056"/>
      <c r="EG56056"/>
      <c r="EH56056"/>
      <c r="EI56056"/>
      <c r="EJ56056"/>
      <c r="EK56056"/>
    </row>
    <row r="56057" spans="1:141" s="116" customFormat="1">
      <c r="A56057" s="136"/>
      <c r="CM56057" s="111"/>
      <c r="CQ56057" s="111"/>
      <c r="EF56057"/>
      <c r="EG56057"/>
      <c r="EH56057"/>
      <c r="EI56057"/>
      <c r="EJ56057"/>
      <c r="EK56057"/>
    </row>
    <row r="56058" spans="1:141" s="116" customFormat="1">
      <c r="A56058" s="136"/>
      <c r="CM56058" s="111"/>
      <c r="CQ56058" s="111"/>
      <c r="EF56058"/>
      <c r="EG56058"/>
      <c r="EH56058"/>
      <c r="EI56058"/>
      <c r="EJ56058"/>
      <c r="EK56058"/>
    </row>
    <row r="56059" spans="1:141" s="116" customFormat="1">
      <c r="A56059" s="136"/>
      <c r="CM56059" s="111"/>
      <c r="CQ56059" s="111"/>
      <c r="EF56059"/>
      <c r="EG56059"/>
      <c r="EH56059"/>
      <c r="EI56059"/>
      <c r="EJ56059"/>
      <c r="EK56059"/>
    </row>
    <row r="56060" spans="1:141" s="116" customFormat="1">
      <c r="A56060" s="136"/>
      <c r="CM56060" s="111"/>
      <c r="CQ56060" s="111"/>
      <c r="EF56060"/>
      <c r="EG56060"/>
      <c r="EH56060"/>
      <c r="EI56060"/>
      <c r="EJ56060"/>
      <c r="EK56060"/>
    </row>
    <row r="56061" spans="1:141" s="116" customFormat="1">
      <c r="A56061" s="136"/>
      <c r="CM56061" s="111"/>
      <c r="CQ56061" s="111"/>
      <c r="EF56061"/>
      <c r="EG56061"/>
      <c r="EH56061"/>
      <c r="EI56061"/>
      <c r="EJ56061"/>
      <c r="EK56061"/>
    </row>
    <row r="56062" spans="1:141" s="116" customFormat="1">
      <c r="A56062" s="136"/>
      <c r="CM56062" s="111"/>
      <c r="CQ56062" s="111"/>
      <c r="EF56062"/>
      <c r="EG56062"/>
      <c r="EH56062"/>
      <c r="EI56062"/>
      <c r="EJ56062"/>
      <c r="EK56062"/>
    </row>
    <row r="56063" spans="1:141" s="116" customFormat="1">
      <c r="A56063" s="136"/>
      <c r="CM56063" s="111"/>
      <c r="CQ56063" s="111"/>
      <c r="EF56063"/>
      <c r="EG56063"/>
      <c r="EH56063"/>
      <c r="EI56063"/>
      <c r="EJ56063"/>
      <c r="EK56063"/>
    </row>
    <row r="56064" spans="1:141" s="116" customFormat="1">
      <c r="A56064" s="136"/>
      <c r="CM56064" s="111"/>
      <c r="CQ56064" s="111"/>
      <c r="EF56064"/>
      <c r="EG56064"/>
      <c r="EH56064"/>
      <c r="EI56064"/>
      <c r="EJ56064"/>
      <c r="EK56064"/>
    </row>
    <row r="56065" spans="1:141" s="116" customFormat="1">
      <c r="A56065" s="136"/>
      <c r="CM56065" s="111"/>
      <c r="CQ56065" s="111"/>
      <c r="EF56065"/>
      <c r="EG56065"/>
      <c r="EH56065"/>
      <c r="EI56065"/>
      <c r="EJ56065"/>
      <c r="EK56065"/>
    </row>
    <row r="56066" spans="1:141" s="116" customFormat="1">
      <c r="A56066" s="136"/>
      <c r="CM56066" s="111"/>
      <c r="CQ56066" s="111"/>
      <c r="EF56066"/>
      <c r="EG56066"/>
      <c r="EH56066"/>
      <c r="EI56066"/>
      <c r="EJ56066"/>
      <c r="EK56066"/>
    </row>
    <row r="56067" spans="1:141" s="116" customFormat="1">
      <c r="A56067" s="136"/>
      <c r="CM56067" s="111"/>
      <c r="CQ56067" s="111"/>
      <c r="EF56067"/>
      <c r="EG56067"/>
      <c r="EH56067"/>
      <c r="EI56067"/>
      <c r="EJ56067"/>
      <c r="EK56067"/>
    </row>
    <row r="56068" spans="1:141" s="116" customFormat="1">
      <c r="A56068" s="136"/>
      <c r="CM56068" s="111"/>
      <c r="CQ56068" s="111"/>
      <c r="EF56068"/>
      <c r="EG56068"/>
      <c r="EH56068"/>
      <c r="EI56068"/>
      <c r="EJ56068"/>
      <c r="EK56068"/>
    </row>
    <row r="56069" spans="1:141" s="116" customFormat="1">
      <c r="A56069" s="136"/>
      <c r="CM56069" s="111"/>
      <c r="CQ56069" s="111"/>
      <c r="EF56069"/>
      <c r="EG56069"/>
      <c r="EH56069"/>
      <c r="EI56069"/>
      <c r="EJ56069"/>
      <c r="EK56069"/>
    </row>
    <row r="56070" spans="1:141" s="116" customFormat="1">
      <c r="A56070" s="136"/>
      <c r="CM56070" s="111"/>
      <c r="CQ56070" s="111"/>
      <c r="EF56070"/>
      <c r="EG56070"/>
      <c r="EH56070"/>
      <c r="EI56070"/>
      <c r="EJ56070"/>
      <c r="EK56070"/>
    </row>
    <row r="56071" spans="1:141" s="116" customFormat="1">
      <c r="A56071" s="136"/>
      <c r="CM56071" s="111"/>
      <c r="CQ56071" s="111"/>
      <c r="EF56071"/>
      <c r="EG56071"/>
      <c r="EH56071"/>
      <c r="EI56071"/>
      <c r="EJ56071"/>
      <c r="EK56071"/>
    </row>
    <row r="56072" spans="1:141" s="116" customFormat="1">
      <c r="A56072" s="136"/>
      <c r="CM56072" s="111"/>
      <c r="CQ56072" s="111"/>
      <c r="EF56072"/>
      <c r="EG56072"/>
      <c r="EH56072"/>
      <c r="EI56072"/>
      <c r="EJ56072"/>
      <c r="EK56072"/>
    </row>
    <row r="56073" spans="1:141" s="116" customFormat="1">
      <c r="A56073" s="136"/>
      <c r="CM56073" s="111"/>
      <c r="CQ56073" s="111"/>
      <c r="EF56073"/>
      <c r="EG56073"/>
      <c r="EH56073"/>
      <c r="EI56073"/>
      <c r="EJ56073"/>
      <c r="EK56073"/>
    </row>
    <row r="56074" spans="1:141" s="116" customFormat="1">
      <c r="A56074" s="136"/>
      <c r="CM56074" s="111"/>
      <c r="CQ56074" s="111"/>
      <c r="EF56074"/>
      <c r="EG56074"/>
      <c r="EH56074"/>
      <c r="EI56074"/>
      <c r="EJ56074"/>
      <c r="EK56074"/>
    </row>
    <row r="56075" spans="1:141" s="116" customFormat="1">
      <c r="A56075" s="136"/>
      <c r="CM56075" s="111"/>
      <c r="CQ56075" s="111"/>
      <c r="EF56075"/>
      <c r="EG56075"/>
      <c r="EH56075"/>
      <c r="EI56075"/>
      <c r="EJ56075"/>
      <c r="EK56075"/>
    </row>
    <row r="56076" spans="1:141" s="116" customFormat="1">
      <c r="A56076" s="136"/>
      <c r="CM56076" s="111"/>
      <c r="CQ56076" s="111"/>
      <c r="EF56076"/>
      <c r="EG56076"/>
      <c r="EH56076"/>
      <c r="EI56076"/>
      <c r="EJ56076"/>
      <c r="EK56076"/>
    </row>
    <row r="56077" spans="1:141" s="116" customFormat="1">
      <c r="A56077" s="136"/>
      <c r="CM56077" s="111"/>
      <c r="CQ56077" s="111"/>
      <c r="EF56077"/>
      <c r="EG56077"/>
      <c r="EH56077"/>
      <c r="EI56077"/>
      <c r="EJ56077"/>
      <c r="EK56077"/>
    </row>
    <row r="56078" spans="1:141" s="116" customFormat="1">
      <c r="A56078" s="136"/>
      <c r="CM56078" s="111"/>
      <c r="CQ56078" s="111"/>
      <c r="EF56078"/>
      <c r="EG56078"/>
      <c r="EH56078"/>
      <c r="EI56078"/>
      <c r="EJ56078"/>
      <c r="EK56078"/>
    </row>
    <row r="56079" spans="1:141" s="116" customFormat="1">
      <c r="A56079" s="136"/>
      <c r="CM56079" s="111"/>
      <c r="CQ56079" s="111"/>
      <c r="EF56079"/>
      <c r="EG56079"/>
      <c r="EH56079"/>
      <c r="EI56079"/>
      <c r="EJ56079"/>
      <c r="EK56079"/>
    </row>
    <row r="56080" spans="1:141" s="116" customFormat="1">
      <c r="A56080" s="136"/>
      <c r="CM56080" s="111"/>
      <c r="CQ56080" s="111"/>
      <c r="EF56080"/>
      <c r="EG56080"/>
      <c r="EH56080"/>
      <c r="EI56080"/>
      <c r="EJ56080"/>
      <c r="EK56080"/>
    </row>
    <row r="56081" spans="1:141" s="116" customFormat="1">
      <c r="A56081" s="136"/>
      <c r="CM56081" s="111"/>
      <c r="CQ56081" s="111"/>
      <c r="EF56081"/>
      <c r="EG56081"/>
      <c r="EH56081"/>
      <c r="EI56081"/>
      <c r="EJ56081"/>
      <c r="EK56081"/>
    </row>
    <row r="56082" spans="1:141" s="116" customFormat="1">
      <c r="A56082" s="136"/>
      <c r="CM56082" s="111"/>
      <c r="CQ56082" s="111"/>
      <c r="EF56082"/>
      <c r="EG56082"/>
      <c r="EH56082"/>
      <c r="EI56082"/>
      <c r="EJ56082"/>
      <c r="EK56082"/>
    </row>
    <row r="56083" spans="1:141" s="116" customFormat="1">
      <c r="A56083" s="136"/>
      <c r="CM56083" s="111"/>
      <c r="CQ56083" s="111"/>
      <c r="EF56083"/>
      <c r="EG56083"/>
      <c r="EH56083"/>
      <c r="EI56083"/>
      <c r="EJ56083"/>
      <c r="EK56083"/>
    </row>
    <row r="56084" spans="1:141" s="116" customFormat="1">
      <c r="A56084" s="136"/>
      <c r="CM56084" s="111"/>
      <c r="CQ56084" s="111"/>
      <c r="EF56084"/>
      <c r="EG56084"/>
      <c r="EH56084"/>
      <c r="EI56084"/>
      <c r="EJ56084"/>
      <c r="EK56084"/>
    </row>
    <row r="56085" spans="1:141" s="116" customFormat="1">
      <c r="A56085" s="136"/>
      <c r="CM56085" s="111"/>
      <c r="CQ56085" s="111"/>
      <c r="EF56085"/>
      <c r="EG56085"/>
      <c r="EH56085"/>
      <c r="EI56085"/>
      <c r="EJ56085"/>
      <c r="EK56085"/>
    </row>
    <row r="56086" spans="1:141" s="116" customFormat="1">
      <c r="A56086" s="136"/>
      <c r="CM56086" s="111"/>
      <c r="CQ56086" s="111"/>
      <c r="EF56086"/>
      <c r="EG56086"/>
      <c r="EH56086"/>
      <c r="EI56086"/>
      <c r="EJ56086"/>
      <c r="EK56086"/>
    </row>
    <row r="56087" spans="1:141" s="116" customFormat="1">
      <c r="A56087" s="136"/>
      <c r="CM56087" s="111"/>
      <c r="CQ56087" s="111"/>
      <c r="EF56087"/>
      <c r="EG56087"/>
      <c r="EH56087"/>
      <c r="EI56087"/>
      <c r="EJ56087"/>
      <c r="EK56087"/>
    </row>
    <row r="56088" spans="1:141" s="116" customFormat="1">
      <c r="A56088" s="136"/>
      <c r="CM56088" s="111"/>
      <c r="CQ56088" s="111"/>
      <c r="EF56088"/>
      <c r="EG56088"/>
      <c r="EH56088"/>
      <c r="EI56088"/>
      <c r="EJ56088"/>
      <c r="EK56088"/>
    </row>
    <row r="56089" spans="1:141" s="116" customFormat="1">
      <c r="A56089" s="136"/>
      <c r="CM56089" s="111"/>
      <c r="CQ56089" s="111"/>
      <c r="EF56089"/>
      <c r="EG56089"/>
      <c r="EH56089"/>
      <c r="EI56089"/>
      <c r="EJ56089"/>
      <c r="EK56089"/>
    </row>
    <row r="56090" spans="1:141" s="116" customFormat="1">
      <c r="A56090" s="136"/>
      <c r="CM56090" s="111"/>
      <c r="CQ56090" s="111"/>
      <c r="EF56090"/>
      <c r="EG56090"/>
      <c r="EH56090"/>
      <c r="EI56090"/>
      <c r="EJ56090"/>
      <c r="EK56090"/>
    </row>
    <row r="56091" spans="1:141" s="116" customFormat="1">
      <c r="A56091" s="136"/>
      <c r="CM56091" s="111"/>
      <c r="CQ56091" s="111"/>
      <c r="EF56091"/>
      <c r="EG56091"/>
      <c r="EH56091"/>
      <c r="EI56091"/>
      <c r="EJ56091"/>
      <c r="EK56091"/>
    </row>
    <row r="56092" spans="1:141" s="116" customFormat="1">
      <c r="A56092" s="136"/>
      <c r="CM56092" s="111"/>
      <c r="CQ56092" s="111"/>
      <c r="EF56092"/>
      <c r="EG56092"/>
      <c r="EH56092"/>
      <c r="EI56092"/>
      <c r="EJ56092"/>
      <c r="EK56092"/>
    </row>
    <row r="56093" spans="1:141" s="116" customFormat="1">
      <c r="A56093" s="136"/>
      <c r="CM56093" s="111"/>
      <c r="CQ56093" s="111"/>
      <c r="EF56093"/>
      <c r="EG56093"/>
      <c r="EH56093"/>
      <c r="EI56093"/>
      <c r="EJ56093"/>
      <c r="EK56093"/>
    </row>
    <row r="56094" spans="1:141" s="116" customFormat="1">
      <c r="A56094" s="136"/>
      <c r="CM56094" s="111"/>
      <c r="CQ56094" s="111"/>
      <c r="EF56094"/>
      <c r="EG56094"/>
      <c r="EH56094"/>
      <c r="EI56094"/>
      <c r="EJ56094"/>
      <c r="EK56094"/>
    </row>
    <row r="56095" spans="1:141" s="116" customFormat="1">
      <c r="A56095" s="136"/>
      <c r="CM56095" s="111"/>
      <c r="CQ56095" s="111"/>
      <c r="EF56095"/>
      <c r="EG56095"/>
      <c r="EH56095"/>
      <c r="EI56095"/>
      <c r="EJ56095"/>
      <c r="EK56095"/>
    </row>
    <row r="56096" spans="1:141" s="116" customFormat="1">
      <c r="A56096" s="136"/>
      <c r="CM56096" s="111"/>
      <c r="CQ56096" s="111"/>
      <c r="EF56096"/>
      <c r="EG56096"/>
      <c r="EH56096"/>
      <c r="EI56096"/>
      <c r="EJ56096"/>
      <c r="EK56096"/>
    </row>
    <row r="56097" spans="1:141" s="116" customFormat="1">
      <c r="A56097" s="136"/>
      <c r="CM56097" s="111"/>
      <c r="CQ56097" s="111"/>
      <c r="EF56097"/>
      <c r="EG56097"/>
      <c r="EH56097"/>
      <c r="EI56097"/>
      <c r="EJ56097"/>
      <c r="EK56097"/>
    </row>
    <row r="56098" spans="1:141" s="116" customFormat="1">
      <c r="A56098" s="136"/>
      <c r="CM56098" s="111"/>
      <c r="CQ56098" s="111"/>
      <c r="EF56098"/>
      <c r="EG56098"/>
      <c r="EH56098"/>
      <c r="EI56098"/>
      <c r="EJ56098"/>
      <c r="EK56098"/>
    </row>
    <row r="56099" spans="1:141" s="116" customFormat="1">
      <c r="A56099" s="136"/>
      <c r="CM56099" s="111"/>
      <c r="CQ56099" s="111"/>
      <c r="EF56099"/>
      <c r="EG56099"/>
      <c r="EH56099"/>
      <c r="EI56099"/>
      <c r="EJ56099"/>
      <c r="EK56099"/>
    </row>
    <row r="56100" spans="1:141" s="116" customFormat="1">
      <c r="A56100" s="136"/>
      <c r="CM56100" s="111"/>
      <c r="CQ56100" s="111"/>
      <c r="EF56100"/>
      <c r="EG56100"/>
      <c r="EH56100"/>
      <c r="EI56100"/>
      <c r="EJ56100"/>
      <c r="EK56100"/>
    </row>
    <row r="56101" spans="1:141" s="116" customFormat="1">
      <c r="A56101" s="136"/>
      <c r="CM56101" s="111"/>
      <c r="CQ56101" s="111"/>
      <c r="EF56101"/>
      <c r="EG56101"/>
      <c r="EH56101"/>
      <c r="EI56101"/>
      <c r="EJ56101"/>
      <c r="EK56101"/>
    </row>
    <row r="56102" spans="1:141" s="116" customFormat="1">
      <c r="A56102" s="136"/>
      <c r="CM56102" s="111"/>
      <c r="CQ56102" s="111"/>
      <c r="EF56102"/>
      <c r="EG56102"/>
      <c r="EH56102"/>
      <c r="EI56102"/>
      <c r="EJ56102"/>
      <c r="EK56102"/>
    </row>
    <row r="56103" spans="1:141" s="116" customFormat="1">
      <c r="A56103" s="136"/>
      <c r="CM56103" s="111"/>
      <c r="CQ56103" s="111"/>
      <c r="EF56103"/>
      <c r="EG56103"/>
      <c r="EH56103"/>
      <c r="EI56103"/>
      <c r="EJ56103"/>
      <c r="EK56103"/>
    </row>
    <row r="56104" spans="1:141" s="116" customFormat="1">
      <c r="A56104" s="136"/>
      <c r="CM56104" s="111"/>
      <c r="CQ56104" s="111"/>
      <c r="EF56104"/>
      <c r="EG56104"/>
      <c r="EH56104"/>
      <c r="EI56104"/>
      <c r="EJ56104"/>
      <c r="EK56104"/>
    </row>
    <row r="56105" spans="1:141" s="116" customFormat="1">
      <c r="A56105" s="136"/>
      <c r="CM56105" s="111"/>
      <c r="CQ56105" s="111"/>
      <c r="EF56105"/>
      <c r="EG56105"/>
      <c r="EH56105"/>
      <c r="EI56105"/>
      <c r="EJ56105"/>
      <c r="EK56105"/>
    </row>
    <row r="56106" spans="1:141" s="116" customFormat="1">
      <c r="A56106" s="136"/>
      <c r="CM56106" s="111"/>
      <c r="CQ56106" s="111"/>
      <c r="EF56106"/>
      <c r="EG56106"/>
      <c r="EH56106"/>
      <c r="EI56106"/>
      <c r="EJ56106"/>
      <c r="EK56106"/>
    </row>
    <row r="56107" spans="1:141" s="116" customFormat="1">
      <c r="A56107" s="136"/>
      <c r="CM56107" s="111"/>
      <c r="CQ56107" s="111"/>
      <c r="EF56107"/>
      <c r="EG56107"/>
      <c r="EH56107"/>
      <c r="EI56107"/>
      <c r="EJ56107"/>
      <c r="EK56107"/>
    </row>
    <row r="56108" spans="1:141" s="116" customFormat="1">
      <c r="A56108" s="136"/>
      <c r="CM56108" s="111"/>
      <c r="CQ56108" s="111"/>
      <c r="EF56108"/>
      <c r="EG56108"/>
      <c r="EH56108"/>
      <c r="EI56108"/>
      <c r="EJ56108"/>
      <c r="EK56108"/>
    </row>
    <row r="56109" spans="1:141" s="116" customFormat="1">
      <c r="A56109" s="136"/>
      <c r="CM56109" s="111"/>
      <c r="CQ56109" s="111"/>
      <c r="EF56109"/>
      <c r="EG56109"/>
      <c r="EH56109"/>
      <c r="EI56109"/>
      <c r="EJ56109"/>
      <c r="EK56109"/>
    </row>
    <row r="56110" spans="1:141" s="116" customFormat="1">
      <c r="A56110" s="136"/>
      <c r="CM56110" s="111"/>
      <c r="CQ56110" s="111"/>
      <c r="EF56110"/>
      <c r="EG56110"/>
      <c r="EH56110"/>
      <c r="EI56110"/>
      <c r="EJ56110"/>
      <c r="EK56110"/>
    </row>
    <row r="56111" spans="1:141" s="116" customFormat="1">
      <c r="A56111" s="136"/>
      <c r="CM56111" s="111"/>
      <c r="CQ56111" s="111"/>
      <c r="EF56111"/>
      <c r="EG56111"/>
      <c r="EH56111"/>
      <c r="EI56111"/>
      <c r="EJ56111"/>
      <c r="EK56111"/>
    </row>
    <row r="56112" spans="1:141" s="116" customFormat="1">
      <c r="A56112" s="136"/>
      <c r="CM56112" s="111"/>
      <c r="CQ56112" s="111"/>
      <c r="EF56112"/>
      <c r="EG56112"/>
      <c r="EH56112"/>
      <c r="EI56112"/>
      <c r="EJ56112"/>
      <c r="EK56112"/>
    </row>
    <row r="56113" spans="1:141" s="116" customFormat="1">
      <c r="A56113" s="136"/>
      <c r="CM56113" s="111"/>
      <c r="CQ56113" s="111"/>
      <c r="EF56113"/>
      <c r="EG56113"/>
      <c r="EH56113"/>
      <c r="EI56113"/>
      <c r="EJ56113"/>
      <c r="EK56113"/>
    </row>
    <row r="56114" spans="1:141" s="116" customFormat="1">
      <c r="A56114" s="136"/>
      <c r="CM56114" s="111"/>
      <c r="CQ56114" s="111"/>
      <c r="EF56114"/>
      <c r="EG56114"/>
      <c r="EH56114"/>
      <c r="EI56114"/>
      <c r="EJ56114"/>
      <c r="EK56114"/>
    </row>
    <row r="56115" spans="1:141" s="116" customFormat="1">
      <c r="A56115" s="136"/>
      <c r="CM56115" s="111"/>
      <c r="CQ56115" s="111"/>
      <c r="EF56115"/>
      <c r="EG56115"/>
      <c r="EH56115"/>
      <c r="EI56115"/>
      <c r="EJ56115"/>
      <c r="EK56115"/>
    </row>
    <row r="56116" spans="1:141" s="116" customFormat="1">
      <c r="A56116" s="136"/>
      <c r="CM56116" s="111"/>
      <c r="CQ56116" s="111"/>
      <c r="EF56116"/>
      <c r="EG56116"/>
      <c r="EH56116"/>
      <c r="EI56116"/>
      <c r="EJ56116"/>
      <c r="EK56116"/>
    </row>
    <row r="56117" spans="1:141" s="116" customFormat="1">
      <c r="A56117" s="136"/>
      <c r="CM56117" s="111"/>
      <c r="CQ56117" s="111"/>
      <c r="EF56117"/>
      <c r="EG56117"/>
      <c r="EH56117"/>
      <c r="EI56117"/>
      <c r="EJ56117"/>
      <c r="EK56117"/>
    </row>
    <row r="56118" spans="1:141" s="116" customFormat="1">
      <c r="A56118" s="136"/>
      <c r="CM56118" s="111"/>
      <c r="CQ56118" s="111"/>
      <c r="EF56118"/>
      <c r="EG56118"/>
      <c r="EH56118"/>
      <c r="EI56118"/>
      <c r="EJ56118"/>
      <c r="EK56118"/>
    </row>
    <row r="56119" spans="1:141" s="116" customFormat="1">
      <c r="A56119" s="136"/>
      <c r="CM56119" s="111"/>
      <c r="CQ56119" s="111"/>
      <c r="EF56119"/>
      <c r="EG56119"/>
      <c r="EH56119"/>
      <c r="EI56119"/>
      <c r="EJ56119"/>
      <c r="EK56119"/>
    </row>
    <row r="56120" spans="1:141" s="116" customFormat="1">
      <c r="A56120" s="136"/>
      <c r="CM56120" s="111"/>
      <c r="CQ56120" s="111"/>
      <c r="EF56120"/>
      <c r="EG56120"/>
      <c r="EH56120"/>
      <c r="EI56120"/>
      <c r="EJ56120"/>
      <c r="EK56120"/>
    </row>
    <row r="56121" spans="1:141" s="116" customFormat="1">
      <c r="A56121" s="136"/>
      <c r="CM56121" s="111"/>
      <c r="CQ56121" s="111"/>
      <c r="EF56121"/>
      <c r="EG56121"/>
      <c r="EH56121"/>
      <c r="EI56121"/>
      <c r="EJ56121"/>
      <c r="EK56121"/>
    </row>
    <row r="56122" spans="1:141" s="116" customFormat="1">
      <c r="A56122" s="136"/>
      <c r="CM56122" s="111"/>
      <c r="CQ56122" s="111"/>
      <c r="EF56122"/>
      <c r="EG56122"/>
      <c r="EH56122"/>
      <c r="EI56122"/>
      <c r="EJ56122"/>
      <c r="EK56122"/>
    </row>
    <row r="56123" spans="1:141" s="116" customFormat="1">
      <c r="A56123" s="136"/>
      <c r="CM56123" s="111"/>
      <c r="CQ56123" s="111"/>
      <c r="EF56123"/>
      <c r="EG56123"/>
      <c r="EH56123"/>
      <c r="EI56123"/>
      <c r="EJ56123"/>
      <c r="EK56123"/>
    </row>
    <row r="56124" spans="1:141" s="116" customFormat="1">
      <c r="A56124" s="136"/>
      <c r="CM56124" s="111"/>
      <c r="CQ56124" s="111"/>
      <c r="EF56124"/>
      <c r="EG56124"/>
      <c r="EH56124"/>
      <c r="EI56124"/>
      <c r="EJ56124"/>
      <c r="EK56124"/>
    </row>
    <row r="56125" spans="1:141" s="116" customFormat="1">
      <c r="A56125" s="136"/>
      <c r="CM56125" s="111"/>
      <c r="CQ56125" s="111"/>
      <c r="EF56125"/>
      <c r="EG56125"/>
      <c r="EH56125"/>
      <c r="EI56125"/>
      <c r="EJ56125"/>
      <c r="EK56125"/>
    </row>
    <row r="56126" spans="1:141" s="116" customFormat="1">
      <c r="A56126" s="136"/>
      <c r="CM56126" s="111"/>
      <c r="CQ56126" s="111"/>
      <c r="EF56126"/>
      <c r="EG56126"/>
      <c r="EH56126"/>
      <c r="EI56126"/>
      <c r="EJ56126"/>
      <c r="EK56126"/>
    </row>
    <row r="56127" spans="1:141" s="116" customFormat="1">
      <c r="A56127" s="136"/>
      <c r="CM56127" s="111"/>
      <c r="CQ56127" s="111"/>
      <c r="EF56127"/>
      <c r="EG56127"/>
      <c r="EH56127"/>
      <c r="EI56127"/>
      <c r="EJ56127"/>
      <c r="EK56127"/>
    </row>
    <row r="56128" spans="1:141" s="116" customFormat="1">
      <c r="A56128" s="136"/>
      <c r="CM56128" s="111"/>
      <c r="CQ56128" s="111"/>
      <c r="EF56128"/>
      <c r="EG56128"/>
      <c r="EH56128"/>
      <c r="EI56128"/>
      <c r="EJ56128"/>
      <c r="EK56128"/>
    </row>
    <row r="56129" spans="1:141" s="116" customFormat="1">
      <c r="A56129" s="136"/>
      <c r="CM56129" s="111"/>
      <c r="CQ56129" s="111"/>
      <c r="EF56129"/>
      <c r="EG56129"/>
      <c r="EH56129"/>
      <c r="EI56129"/>
      <c r="EJ56129"/>
      <c r="EK56129"/>
    </row>
    <row r="56130" spans="1:141" s="116" customFormat="1">
      <c r="A56130" s="136"/>
      <c r="CM56130" s="111"/>
      <c r="CQ56130" s="111"/>
      <c r="EF56130"/>
      <c r="EG56130"/>
      <c r="EH56130"/>
      <c r="EI56130"/>
      <c r="EJ56130"/>
      <c r="EK56130"/>
    </row>
    <row r="56131" spans="1:141" s="116" customFormat="1">
      <c r="A56131" s="136"/>
      <c r="CM56131" s="111"/>
      <c r="CQ56131" s="111"/>
      <c r="EF56131"/>
      <c r="EG56131"/>
      <c r="EH56131"/>
      <c r="EI56131"/>
      <c r="EJ56131"/>
      <c r="EK56131"/>
    </row>
    <row r="56132" spans="1:141" s="116" customFormat="1">
      <c r="A56132" s="136"/>
      <c r="CM56132" s="111"/>
      <c r="CQ56132" s="111"/>
      <c r="EF56132"/>
      <c r="EG56132"/>
      <c r="EH56132"/>
      <c r="EI56132"/>
      <c r="EJ56132"/>
      <c r="EK56132"/>
    </row>
    <row r="56133" spans="1:141" s="116" customFormat="1">
      <c r="A56133" s="136"/>
      <c r="CM56133" s="111"/>
      <c r="CQ56133" s="111"/>
      <c r="EF56133"/>
      <c r="EG56133"/>
      <c r="EH56133"/>
      <c r="EI56133"/>
      <c r="EJ56133"/>
      <c r="EK56133"/>
    </row>
    <row r="56134" spans="1:141" s="116" customFormat="1">
      <c r="A56134" s="136"/>
      <c r="CM56134" s="111"/>
      <c r="CQ56134" s="111"/>
      <c r="EF56134"/>
      <c r="EG56134"/>
      <c r="EH56134"/>
      <c r="EI56134"/>
      <c r="EJ56134"/>
      <c r="EK56134"/>
    </row>
    <row r="56135" spans="1:141" s="116" customFormat="1">
      <c r="A56135" s="136"/>
      <c r="CM56135" s="111"/>
      <c r="CQ56135" s="111"/>
      <c r="EF56135"/>
      <c r="EG56135"/>
      <c r="EH56135"/>
      <c r="EI56135"/>
      <c r="EJ56135"/>
      <c r="EK56135"/>
    </row>
    <row r="56136" spans="1:141" s="116" customFormat="1">
      <c r="A56136" s="136"/>
      <c r="CM56136" s="111"/>
      <c r="CQ56136" s="111"/>
      <c r="EF56136"/>
      <c r="EG56136"/>
      <c r="EH56136"/>
      <c r="EI56136"/>
      <c r="EJ56136"/>
      <c r="EK56136"/>
    </row>
    <row r="56137" spans="1:141" s="116" customFormat="1">
      <c r="A56137" s="136"/>
      <c r="CM56137" s="111"/>
      <c r="CQ56137" s="111"/>
      <c r="EF56137"/>
      <c r="EG56137"/>
      <c r="EH56137"/>
      <c r="EI56137"/>
      <c r="EJ56137"/>
      <c r="EK56137"/>
    </row>
    <row r="56138" spans="1:141" s="116" customFormat="1">
      <c r="A56138" s="136"/>
      <c r="CM56138" s="111"/>
      <c r="CQ56138" s="111"/>
      <c r="EF56138"/>
      <c r="EG56138"/>
      <c r="EH56138"/>
      <c r="EI56138"/>
      <c r="EJ56138"/>
      <c r="EK56138"/>
    </row>
    <row r="56139" spans="1:141" s="116" customFormat="1">
      <c r="A56139" s="136"/>
      <c r="CM56139" s="111"/>
      <c r="CQ56139" s="111"/>
      <c r="EF56139"/>
      <c r="EG56139"/>
      <c r="EH56139"/>
      <c r="EI56139"/>
      <c r="EJ56139"/>
      <c r="EK56139"/>
    </row>
    <row r="56140" spans="1:141" s="116" customFormat="1">
      <c r="A56140" s="136"/>
      <c r="CM56140" s="111"/>
      <c r="CQ56140" s="111"/>
      <c r="EF56140"/>
      <c r="EG56140"/>
      <c r="EH56140"/>
      <c r="EI56140"/>
      <c r="EJ56140"/>
      <c r="EK56140"/>
    </row>
    <row r="56141" spans="1:141" s="116" customFormat="1">
      <c r="A56141" s="136"/>
      <c r="CM56141" s="111"/>
      <c r="CQ56141" s="111"/>
      <c r="EF56141"/>
      <c r="EG56141"/>
      <c r="EH56141"/>
      <c r="EI56141"/>
      <c r="EJ56141"/>
      <c r="EK56141"/>
    </row>
    <row r="56142" spans="1:141" s="116" customFormat="1">
      <c r="A56142" s="136"/>
      <c r="CM56142" s="111"/>
      <c r="CQ56142" s="111"/>
      <c r="EF56142"/>
      <c r="EG56142"/>
      <c r="EH56142"/>
      <c r="EI56142"/>
      <c r="EJ56142"/>
      <c r="EK56142"/>
    </row>
    <row r="56143" spans="1:141" s="116" customFormat="1">
      <c r="A56143" s="136"/>
      <c r="CM56143" s="111"/>
      <c r="CQ56143" s="111"/>
      <c r="EF56143"/>
      <c r="EG56143"/>
      <c r="EH56143"/>
      <c r="EI56143"/>
      <c r="EJ56143"/>
      <c r="EK56143"/>
    </row>
    <row r="56144" spans="1:141" s="116" customFormat="1">
      <c r="A56144" s="136"/>
      <c r="CM56144" s="111"/>
      <c r="CQ56144" s="111"/>
      <c r="EF56144"/>
      <c r="EG56144"/>
      <c r="EH56144"/>
      <c r="EI56144"/>
      <c r="EJ56144"/>
      <c r="EK56144"/>
    </row>
    <row r="56145" spans="1:141" s="116" customFormat="1">
      <c r="A56145" s="136"/>
      <c r="CM56145" s="111"/>
      <c r="CQ56145" s="111"/>
      <c r="EF56145"/>
      <c r="EG56145"/>
      <c r="EH56145"/>
      <c r="EI56145"/>
      <c r="EJ56145"/>
      <c r="EK56145"/>
    </row>
    <row r="56146" spans="1:141" s="116" customFormat="1">
      <c r="A56146" s="136"/>
      <c r="CM56146" s="111"/>
      <c r="CQ56146" s="111"/>
      <c r="EF56146"/>
      <c r="EG56146"/>
      <c r="EH56146"/>
      <c r="EI56146"/>
      <c r="EJ56146"/>
      <c r="EK56146"/>
    </row>
    <row r="56147" spans="1:141" s="116" customFormat="1">
      <c r="A56147" s="136"/>
      <c r="CM56147" s="111"/>
      <c r="CQ56147" s="111"/>
      <c r="EF56147"/>
      <c r="EG56147"/>
      <c r="EH56147"/>
      <c r="EI56147"/>
      <c r="EJ56147"/>
      <c r="EK56147"/>
    </row>
    <row r="56148" spans="1:141" s="116" customFormat="1">
      <c r="A56148" s="136"/>
      <c r="CM56148" s="111"/>
      <c r="CQ56148" s="111"/>
      <c r="EF56148"/>
      <c r="EG56148"/>
      <c r="EH56148"/>
      <c r="EI56148"/>
      <c r="EJ56148"/>
      <c r="EK56148"/>
    </row>
    <row r="56149" spans="1:141" s="116" customFormat="1">
      <c r="A56149" s="136"/>
      <c r="CM56149" s="111"/>
      <c r="CQ56149" s="111"/>
      <c r="EF56149"/>
      <c r="EG56149"/>
      <c r="EH56149"/>
      <c r="EI56149"/>
      <c r="EJ56149"/>
      <c r="EK56149"/>
    </row>
    <row r="56150" spans="1:141" s="116" customFormat="1">
      <c r="A56150" s="136"/>
      <c r="CM56150" s="111"/>
      <c r="CQ56150" s="111"/>
      <c r="EF56150"/>
      <c r="EG56150"/>
      <c r="EH56150"/>
      <c r="EI56150"/>
      <c r="EJ56150"/>
      <c r="EK56150"/>
    </row>
    <row r="56151" spans="1:141" s="116" customFormat="1">
      <c r="A56151" s="136"/>
      <c r="CM56151" s="111"/>
      <c r="CQ56151" s="111"/>
      <c r="EF56151"/>
      <c r="EG56151"/>
      <c r="EH56151"/>
      <c r="EI56151"/>
      <c r="EJ56151"/>
      <c r="EK56151"/>
    </row>
    <row r="56152" spans="1:141" s="116" customFormat="1">
      <c r="A56152" s="136"/>
      <c r="CM56152" s="111"/>
      <c r="CQ56152" s="111"/>
      <c r="EF56152"/>
      <c r="EG56152"/>
      <c r="EH56152"/>
      <c r="EI56152"/>
      <c r="EJ56152"/>
      <c r="EK56152"/>
    </row>
    <row r="56153" spans="1:141" s="116" customFormat="1">
      <c r="A56153" s="136"/>
      <c r="CM56153" s="111"/>
      <c r="CQ56153" s="111"/>
      <c r="EF56153"/>
      <c r="EG56153"/>
      <c r="EH56153"/>
      <c r="EI56153"/>
      <c r="EJ56153"/>
      <c r="EK56153"/>
    </row>
    <row r="56154" spans="1:141" s="116" customFormat="1">
      <c r="A56154" s="136"/>
      <c r="CM56154" s="111"/>
      <c r="CQ56154" s="111"/>
      <c r="EF56154"/>
      <c r="EG56154"/>
      <c r="EH56154"/>
      <c r="EI56154"/>
      <c r="EJ56154"/>
      <c r="EK56154"/>
    </row>
    <row r="56155" spans="1:141" s="116" customFormat="1">
      <c r="A56155" s="136"/>
      <c r="CM56155" s="111"/>
      <c r="CQ56155" s="111"/>
      <c r="EF56155"/>
      <c r="EG56155"/>
      <c r="EH56155"/>
      <c r="EI56155"/>
      <c r="EJ56155"/>
      <c r="EK56155"/>
    </row>
    <row r="56156" spans="1:141" s="116" customFormat="1">
      <c r="A56156" s="136"/>
      <c r="CM56156" s="111"/>
      <c r="CQ56156" s="111"/>
      <c r="EF56156"/>
      <c r="EG56156"/>
      <c r="EH56156"/>
      <c r="EI56156"/>
      <c r="EJ56156"/>
      <c r="EK56156"/>
    </row>
    <row r="56157" spans="1:141" s="116" customFormat="1">
      <c r="A56157" s="136"/>
      <c r="CM56157" s="111"/>
      <c r="CQ56157" s="111"/>
      <c r="EF56157"/>
      <c r="EG56157"/>
      <c r="EH56157"/>
      <c r="EI56157"/>
      <c r="EJ56157"/>
      <c r="EK56157"/>
    </row>
    <row r="56158" spans="1:141" s="116" customFormat="1">
      <c r="A56158" s="136"/>
      <c r="CM56158" s="111"/>
      <c r="CQ56158" s="111"/>
      <c r="EF56158"/>
      <c r="EG56158"/>
      <c r="EH56158"/>
      <c r="EI56158"/>
      <c r="EJ56158"/>
      <c r="EK56158"/>
    </row>
    <row r="56159" spans="1:141" s="116" customFormat="1">
      <c r="A56159" s="136"/>
      <c r="CM56159" s="111"/>
      <c r="CQ56159" s="111"/>
      <c r="EF56159"/>
      <c r="EG56159"/>
      <c r="EH56159"/>
      <c r="EI56159"/>
      <c r="EJ56159"/>
      <c r="EK56159"/>
    </row>
    <row r="56160" spans="1:141" s="116" customFormat="1">
      <c r="A56160" s="136"/>
      <c r="CM56160" s="111"/>
      <c r="CQ56160" s="111"/>
      <c r="EF56160"/>
      <c r="EG56160"/>
      <c r="EH56160"/>
      <c r="EI56160"/>
      <c r="EJ56160"/>
      <c r="EK56160"/>
    </row>
    <row r="56161" spans="1:141" s="116" customFormat="1">
      <c r="A56161" s="136"/>
      <c r="CM56161" s="111"/>
      <c r="CQ56161" s="111"/>
      <c r="EF56161"/>
      <c r="EG56161"/>
      <c r="EH56161"/>
      <c r="EI56161"/>
      <c r="EJ56161"/>
      <c r="EK56161"/>
    </row>
    <row r="56162" spans="1:141" s="116" customFormat="1">
      <c r="A56162" s="136"/>
      <c r="CM56162" s="111"/>
      <c r="CQ56162" s="111"/>
      <c r="EF56162"/>
      <c r="EG56162"/>
      <c r="EH56162"/>
      <c r="EI56162"/>
      <c r="EJ56162"/>
      <c r="EK56162"/>
    </row>
    <row r="56163" spans="1:141" s="116" customFormat="1">
      <c r="A56163" s="136"/>
      <c r="CM56163" s="111"/>
      <c r="CQ56163" s="111"/>
      <c r="EF56163"/>
      <c r="EG56163"/>
      <c r="EH56163"/>
      <c r="EI56163"/>
      <c r="EJ56163"/>
      <c r="EK56163"/>
    </row>
    <row r="56164" spans="1:141" s="116" customFormat="1">
      <c r="A56164" s="136"/>
      <c r="CM56164" s="111"/>
      <c r="CQ56164" s="111"/>
      <c r="EF56164"/>
      <c r="EG56164"/>
      <c r="EH56164"/>
      <c r="EI56164"/>
      <c r="EJ56164"/>
      <c r="EK56164"/>
    </row>
    <row r="56165" spans="1:141" s="116" customFormat="1">
      <c r="A56165" s="136"/>
      <c r="CM56165" s="111"/>
      <c r="CQ56165" s="111"/>
      <c r="EF56165"/>
      <c r="EG56165"/>
      <c r="EH56165"/>
      <c r="EI56165"/>
      <c r="EJ56165"/>
      <c r="EK56165"/>
    </row>
    <row r="56166" spans="1:141" s="116" customFormat="1">
      <c r="A56166" s="136"/>
      <c r="CM56166" s="111"/>
      <c r="CQ56166" s="111"/>
      <c r="EF56166"/>
      <c r="EG56166"/>
      <c r="EH56166"/>
      <c r="EI56166"/>
      <c r="EJ56166"/>
      <c r="EK56166"/>
    </row>
    <row r="56167" spans="1:141" s="116" customFormat="1">
      <c r="A56167" s="136"/>
      <c r="CM56167" s="111"/>
      <c r="CQ56167" s="111"/>
      <c r="EF56167"/>
      <c r="EG56167"/>
      <c r="EH56167"/>
      <c r="EI56167"/>
      <c r="EJ56167"/>
      <c r="EK56167"/>
    </row>
    <row r="56168" spans="1:141" s="116" customFormat="1">
      <c r="A56168" s="136"/>
      <c r="CM56168" s="111"/>
      <c r="CQ56168" s="111"/>
      <c r="EF56168"/>
      <c r="EG56168"/>
      <c r="EH56168"/>
      <c r="EI56168"/>
      <c r="EJ56168"/>
      <c r="EK56168"/>
    </row>
    <row r="56169" spans="1:141" s="116" customFormat="1">
      <c r="A56169" s="136"/>
      <c r="CM56169" s="111"/>
      <c r="CQ56169" s="111"/>
      <c r="EF56169"/>
      <c r="EG56169"/>
      <c r="EH56169"/>
      <c r="EI56169"/>
      <c r="EJ56169"/>
      <c r="EK56169"/>
    </row>
    <row r="56170" spans="1:141" s="116" customFormat="1">
      <c r="A56170" s="136"/>
      <c r="CM56170" s="111"/>
      <c r="CQ56170" s="111"/>
      <c r="EF56170"/>
      <c r="EG56170"/>
      <c r="EH56170"/>
      <c r="EI56170"/>
      <c r="EJ56170"/>
      <c r="EK56170"/>
    </row>
    <row r="56171" spans="1:141" s="116" customFormat="1">
      <c r="A56171" s="136"/>
      <c r="CM56171" s="111"/>
      <c r="CQ56171" s="111"/>
      <c r="EF56171"/>
      <c r="EG56171"/>
      <c r="EH56171"/>
      <c r="EI56171"/>
      <c r="EJ56171"/>
      <c r="EK56171"/>
    </row>
    <row r="56172" spans="1:141" s="116" customFormat="1">
      <c r="A56172" s="136"/>
      <c r="CM56172" s="111"/>
      <c r="CQ56172" s="111"/>
      <c r="EF56172"/>
      <c r="EG56172"/>
      <c r="EH56172"/>
      <c r="EI56172"/>
      <c r="EJ56172"/>
      <c r="EK56172"/>
    </row>
    <row r="56173" spans="1:141" s="116" customFormat="1">
      <c r="A56173" s="136"/>
      <c r="CM56173" s="111"/>
      <c r="CQ56173" s="111"/>
      <c r="EF56173"/>
      <c r="EG56173"/>
      <c r="EH56173"/>
      <c r="EI56173"/>
      <c r="EJ56173"/>
      <c r="EK56173"/>
    </row>
    <row r="56174" spans="1:141" s="116" customFormat="1">
      <c r="A56174" s="136"/>
      <c r="CM56174" s="111"/>
      <c r="CQ56174" s="111"/>
      <c r="EF56174"/>
      <c r="EG56174"/>
      <c r="EH56174"/>
      <c r="EI56174"/>
      <c r="EJ56174"/>
      <c r="EK56174"/>
    </row>
    <row r="56175" spans="1:141" s="116" customFormat="1">
      <c r="A56175" s="136"/>
      <c r="CM56175" s="111"/>
      <c r="CQ56175" s="111"/>
      <c r="EF56175"/>
      <c r="EG56175"/>
      <c r="EH56175"/>
      <c r="EI56175"/>
      <c r="EJ56175"/>
      <c r="EK56175"/>
    </row>
    <row r="56176" spans="1:141" s="116" customFormat="1">
      <c r="A56176" s="136"/>
      <c r="CM56176" s="111"/>
      <c r="CQ56176" s="111"/>
      <c r="EF56176"/>
      <c r="EG56176"/>
      <c r="EH56176"/>
      <c r="EI56176"/>
      <c r="EJ56176"/>
      <c r="EK56176"/>
    </row>
    <row r="56177" spans="1:141" s="116" customFormat="1">
      <c r="A56177" s="136"/>
      <c r="CM56177" s="111"/>
      <c r="CQ56177" s="111"/>
      <c r="EF56177"/>
      <c r="EG56177"/>
      <c r="EH56177"/>
      <c r="EI56177"/>
      <c r="EJ56177"/>
      <c r="EK56177"/>
    </row>
    <row r="56178" spans="1:141" s="116" customFormat="1">
      <c r="A56178" s="136"/>
      <c r="CM56178" s="111"/>
      <c r="CQ56178" s="111"/>
      <c r="EF56178"/>
      <c r="EG56178"/>
      <c r="EH56178"/>
      <c r="EI56178"/>
      <c r="EJ56178"/>
      <c r="EK56178"/>
    </row>
    <row r="56179" spans="1:141" s="116" customFormat="1">
      <c r="A56179" s="136"/>
      <c r="CM56179" s="111"/>
      <c r="CQ56179" s="111"/>
      <c r="EF56179"/>
      <c r="EG56179"/>
      <c r="EH56179"/>
      <c r="EI56179"/>
      <c r="EJ56179"/>
      <c r="EK56179"/>
    </row>
    <row r="56180" spans="1:141" s="116" customFormat="1">
      <c r="A56180" s="136"/>
      <c r="CM56180" s="111"/>
      <c r="CQ56180" s="111"/>
      <c r="EF56180"/>
      <c r="EG56180"/>
      <c r="EH56180"/>
      <c r="EI56180"/>
      <c r="EJ56180"/>
      <c r="EK56180"/>
    </row>
    <row r="56181" spans="1:141" s="116" customFormat="1">
      <c r="A56181" s="136"/>
      <c r="CM56181" s="111"/>
      <c r="CQ56181" s="111"/>
      <c r="EF56181"/>
      <c r="EG56181"/>
      <c r="EH56181"/>
      <c r="EI56181"/>
      <c r="EJ56181"/>
      <c r="EK56181"/>
    </row>
    <row r="56182" spans="1:141" s="116" customFormat="1">
      <c r="A56182" s="136"/>
      <c r="CM56182" s="111"/>
      <c r="CQ56182" s="111"/>
      <c r="EF56182"/>
      <c r="EG56182"/>
      <c r="EH56182"/>
      <c r="EI56182"/>
      <c r="EJ56182"/>
      <c r="EK56182"/>
    </row>
    <row r="56183" spans="1:141" s="116" customFormat="1">
      <c r="A56183" s="136"/>
      <c r="CM56183" s="111"/>
      <c r="CQ56183" s="111"/>
      <c r="EF56183"/>
      <c r="EG56183"/>
      <c r="EH56183"/>
      <c r="EI56183"/>
      <c r="EJ56183"/>
      <c r="EK56183"/>
    </row>
    <row r="56184" spans="1:141" s="116" customFormat="1">
      <c r="A56184" s="136"/>
      <c r="CM56184" s="111"/>
      <c r="CQ56184" s="111"/>
      <c r="EF56184"/>
      <c r="EG56184"/>
      <c r="EH56184"/>
      <c r="EI56184"/>
      <c r="EJ56184"/>
      <c r="EK56184"/>
    </row>
    <row r="56185" spans="1:141" s="116" customFormat="1">
      <c r="A56185" s="136"/>
      <c r="CM56185" s="111"/>
      <c r="CQ56185" s="111"/>
      <c r="EF56185"/>
      <c r="EG56185"/>
      <c r="EH56185"/>
      <c r="EI56185"/>
      <c r="EJ56185"/>
      <c r="EK56185"/>
    </row>
    <row r="56186" spans="1:141" s="116" customFormat="1">
      <c r="A56186" s="136"/>
      <c r="CM56186" s="111"/>
      <c r="CQ56186" s="111"/>
      <c r="EF56186"/>
      <c r="EG56186"/>
      <c r="EH56186"/>
      <c r="EI56186"/>
      <c r="EJ56186"/>
      <c r="EK56186"/>
    </row>
    <row r="56187" spans="1:141" s="116" customFormat="1">
      <c r="A56187" s="136"/>
      <c r="CM56187" s="111"/>
      <c r="CQ56187" s="111"/>
      <c r="EF56187"/>
      <c r="EG56187"/>
      <c r="EH56187"/>
      <c r="EI56187"/>
      <c r="EJ56187"/>
      <c r="EK56187"/>
    </row>
    <row r="56188" spans="1:141" s="116" customFormat="1">
      <c r="A56188" s="136"/>
      <c r="CM56188" s="111"/>
      <c r="CQ56188" s="111"/>
      <c r="EF56188"/>
      <c r="EG56188"/>
      <c r="EH56188"/>
      <c r="EI56188"/>
      <c r="EJ56188"/>
      <c r="EK56188"/>
    </row>
    <row r="56189" spans="1:141" s="116" customFormat="1">
      <c r="A56189" s="136"/>
      <c r="CM56189" s="111"/>
      <c r="CQ56189" s="111"/>
      <c r="EF56189"/>
      <c r="EG56189"/>
      <c r="EH56189"/>
      <c r="EI56189"/>
      <c r="EJ56189"/>
      <c r="EK56189"/>
    </row>
    <row r="56190" spans="1:141" s="116" customFormat="1">
      <c r="A56190" s="136"/>
      <c r="CM56190" s="111"/>
      <c r="CQ56190" s="111"/>
      <c r="EF56190"/>
      <c r="EG56190"/>
      <c r="EH56190"/>
      <c r="EI56190"/>
      <c r="EJ56190"/>
      <c r="EK56190"/>
    </row>
    <row r="56191" spans="1:141" s="116" customFormat="1">
      <c r="A56191" s="136"/>
      <c r="CM56191" s="111"/>
      <c r="CQ56191" s="111"/>
      <c r="EF56191"/>
      <c r="EG56191"/>
      <c r="EH56191"/>
      <c r="EI56191"/>
      <c r="EJ56191"/>
      <c r="EK56191"/>
    </row>
    <row r="56192" spans="1:141" s="116" customFormat="1">
      <c r="A56192" s="136"/>
      <c r="CM56192" s="111"/>
      <c r="CQ56192" s="111"/>
      <c r="EF56192"/>
      <c r="EG56192"/>
      <c r="EH56192"/>
      <c r="EI56192"/>
      <c r="EJ56192"/>
      <c r="EK56192"/>
    </row>
    <row r="56193" spans="1:141" s="116" customFormat="1">
      <c r="A56193" s="136"/>
      <c r="CM56193" s="111"/>
      <c r="CQ56193" s="111"/>
      <c r="EF56193"/>
      <c r="EG56193"/>
      <c r="EH56193"/>
      <c r="EI56193"/>
      <c r="EJ56193"/>
      <c r="EK56193"/>
    </row>
    <row r="56194" spans="1:141" s="116" customFormat="1">
      <c r="A56194" s="136"/>
      <c r="CM56194" s="111"/>
      <c r="CQ56194" s="111"/>
      <c r="EF56194"/>
      <c r="EG56194"/>
      <c r="EH56194"/>
      <c r="EI56194"/>
      <c r="EJ56194"/>
      <c r="EK56194"/>
    </row>
    <row r="56195" spans="1:141" s="116" customFormat="1">
      <c r="A56195" s="136"/>
      <c r="CM56195" s="111"/>
      <c r="CQ56195" s="111"/>
      <c r="EF56195"/>
      <c r="EG56195"/>
      <c r="EH56195"/>
      <c r="EI56195"/>
      <c r="EJ56195"/>
      <c r="EK56195"/>
    </row>
    <row r="56196" spans="1:141" s="116" customFormat="1">
      <c r="A56196" s="136"/>
      <c r="CM56196" s="111"/>
      <c r="CQ56196" s="111"/>
      <c r="EF56196"/>
      <c r="EG56196"/>
      <c r="EH56196"/>
      <c r="EI56196"/>
      <c r="EJ56196"/>
      <c r="EK56196"/>
    </row>
    <row r="56197" spans="1:141" s="116" customFormat="1">
      <c r="A56197" s="136"/>
      <c r="CM56197" s="111"/>
      <c r="CQ56197" s="111"/>
      <c r="EF56197"/>
      <c r="EG56197"/>
      <c r="EH56197"/>
      <c r="EI56197"/>
      <c r="EJ56197"/>
      <c r="EK56197"/>
    </row>
    <row r="56198" spans="1:141" s="116" customFormat="1">
      <c r="A56198" s="136"/>
      <c r="CM56198" s="111"/>
      <c r="CQ56198" s="111"/>
      <c r="EF56198"/>
      <c r="EG56198"/>
      <c r="EH56198"/>
      <c r="EI56198"/>
      <c r="EJ56198"/>
      <c r="EK56198"/>
    </row>
    <row r="56199" spans="1:141" s="116" customFormat="1">
      <c r="A56199" s="136"/>
      <c r="CM56199" s="111"/>
      <c r="CQ56199" s="111"/>
      <c r="EF56199"/>
      <c r="EG56199"/>
      <c r="EH56199"/>
      <c r="EI56199"/>
      <c r="EJ56199"/>
      <c r="EK56199"/>
    </row>
    <row r="56200" spans="1:141" s="116" customFormat="1">
      <c r="A56200" s="136"/>
      <c r="CM56200" s="111"/>
      <c r="CQ56200" s="111"/>
      <c r="EF56200"/>
      <c r="EG56200"/>
      <c r="EH56200"/>
      <c r="EI56200"/>
      <c r="EJ56200"/>
      <c r="EK56200"/>
    </row>
    <row r="56201" spans="1:141" s="116" customFormat="1">
      <c r="A56201" s="136"/>
      <c r="CM56201" s="111"/>
      <c r="CQ56201" s="111"/>
      <c r="EF56201"/>
      <c r="EG56201"/>
      <c r="EH56201"/>
      <c r="EI56201"/>
      <c r="EJ56201"/>
      <c r="EK56201"/>
    </row>
    <row r="56202" spans="1:141" s="116" customFormat="1">
      <c r="A56202" s="136"/>
      <c r="CM56202" s="111"/>
      <c r="CQ56202" s="111"/>
      <c r="EF56202"/>
      <c r="EG56202"/>
      <c r="EH56202"/>
      <c r="EI56202"/>
      <c r="EJ56202"/>
      <c r="EK56202"/>
    </row>
    <row r="56203" spans="1:141" s="116" customFormat="1">
      <c r="A56203" s="136"/>
      <c r="CM56203" s="111"/>
      <c r="CQ56203" s="111"/>
      <c r="EF56203"/>
      <c r="EG56203"/>
      <c r="EH56203"/>
      <c r="EI56203"/>
      <c r="EJ56203"/>
      <c r="EK56203"/>
    </row>
    <row r="56204" spans="1:141" s="116" customFormat="1">
      <c r="A56204" s="136"/>
      <c r="CM56204" s="111"/>
      <c r="CQ56204" s="111"/>
      <c r="EF56204"/>
      <c r="EG56204"/>
      <c r="EH56204"/>
      <c r="EI56204"/>
      <c r="EJ56204"/>
      <c r="EK56204"/>
    </row>
    <row r="56205" spans="1:141" s="116" customFormat="1">
      <c r="A56205" s="136"/>
      <c r="CM56205" s="111"/>
      <c r="CQ56205" s="111"/>
      <c r="EF56205"/>
      <c r="EG56205"/>
      <c r="EH56205"/>
      <c r="EI56205"/>
      <c r="EJ56205"/>
      <c r="EK56205"/>
    </row>
    <row r="56206" spans="1:141" s="116" customFormat="1">
      <c r="A56206" s="136"/>
      <c r="CM56206" s="111"/>
      <c r="CQ56206" s="111"/>
      <c r="EF56206"/>
      <c r="EG56206"/>
      <c r="EH56206"/>
      <c r="EI56206"/>
      <c r="EJ56206"/>
      <c r="EK56206"/>
    </row>
    <row r="56207" spans="1:141" s="116" customFormat="1">
      <c r="A56207" s="136"/>
      <c r="CM56207" s="111"/>
      <c r="CQ56207" s="111"/>
      <c r="EF56207"/>
      <c r="EG56207"/>
      <c r="EH56207"/>
      <c r="EI56207"/>
      <c r="EJ56207"/>
      <c r="EK56207"/>
    </row>
    <row r="56208" spans="1:141" s="116" customFormat="1">
      <c r="A56208" s="136"/>
      <c r="CM56208" s="111"/>
      <c r="CQ56208" s="111"/>
      <c r="EF56208"/>
      <c r="EG56208"/>
      <c r="EH56208"/>
      <c r="EI56208"/>
      <c r="EJ56208"/>
      <c r="EK56208"/>
    </row>
    <row r="56209" spans="1:141" s="116" customFormat="1">
      <c r="A56209" s="136"/>
      <c r="CM56209" s="111"/>
      <c r="CQ56209" s="111"/>
      <c r="EF56209"/>
      <c r="EG56209"/>
      <c r="EH56209"/>
      <c r="EI56209"/>
      <c r="EJ56209"/>
      <c r="EK56209"/>
    </row>
    <row r="56210" spans="1:141" s="116" customFormat="1">
      <c r="A56210" s="136"/>
      <c r="CM56210" s="111"/>
      <c r="CQ56210" s="111"/>
      <c r="EF56210"/>
      <c r="EG56210"/>
      <c r="EH56210"/>
      <c r="EI56210"/>
      <c r="EJ56210"/>
      <c r="EK56210"/>
    </row>
    <row r="56211" spans="1:141" s="116" customFormat="1">
      <c r="A56211" s="136"/>
      <c r="CM56211" s="111"/>
      <c r="CQ56211" s="111"/>
      <c r="EF56211"/>
      <c r="EG56211"/>
      <c r="EH56211"/>
      <c r="EI56211"/>
      <c r="EJ56211"/>
      <c r="EK56211"/>
    </row>
    <row r="56212" spans="1:141" s="116" customFormat="1">
      <c r="A56212" s="136"/>
      <c r="CM56212" s="111"/>
      <c r="CQ56212" s="111"/>
      <c r="EF56212"/>
      <c r="EG56212"/>
      <c r="EH56212"/>
      <c r="EI56212"/>
      <c r="EJ56212"/>
      <c r="EK56212"/>
    </row>
    <row r="56213" spans="1:141" s="116" customFormat="1">
      <c r="A56213" s="136"/>
      <c r="CM56213" s="111"/>
      <c r="CQ56213" s="111"/>
      <c r="EF56213"/>
      <c r="EG56213"/>
      <c r="EH56213"/>
      <c r="EI56213"/>
      <c r="EJ56213"/>
      <c r="EK56213"/>
    </row>
    <row r="56214" spans="1:141" s="116" customFormat="1">
      <c r="A56214" s="136"/>
      <c r="CM56214" s="111"/>
      <c r="CQ56214" s="111"/>
      <c r="EF56214"/>
      <c r="EG56214"/>
      <c r="EH56214"/>
      <c r="EI56214"/>
      <c r="EJ56214"/>
      <c r="EK56214"/>
    </row>
    <row r="56215" spans="1:141" s="116" customFormat="1">
      <c r="A56215" s="136"/>
      <c r="CM56215" s="111"/>
      <c r="CQ56215" s="111"/>
      <c r="EF56215"/>
      <c r="EG56215"/>
      <c r="EH56215"/>
      <c r="EI56215"/>
      <c r="EJ56215"/>
      <c r="EK56215"/>
    </row>
    <row r="56216" spans="1:141" s="116" customFormat="1">
      <c r="A56216" s="136"/>
      <c r="CM56216" s="111"/>
      <c r="CQ56216" s="111"/>
      <c r="EF56216"/>
      <c r="EG56216"/>
      <c r="EH56216"/>
      <c r="EI56216"/>
      <c r="EJ56216"/>
      <c r="EK56216"/>
    </row>
    <row r="56217" spans="1:141" s="116" customFormat="1">
      <c r="A56217" s="136"/>
      <c r="CM56217" s="111"/>
      <c r="CQ56217" s="111"/>
      <c r="EF56217"/>
      <c r="EG56217"/>
      <c r="EH56217"/>
      <c r="EI56217"/>
      <c r="EJ56217"/>
      <c r="EK56217"/>
    </row>
    <row r="56218" spans="1:141" s="116" customFormat="1">
      <c r="A56218" s="136"/>
      <c r="CM56218" s="111"/>
      <c r="CQ56218" s="111"/>
      <c r="EF56218"/>
      <c r="EG56218"/>
      <c r="EH56218"/>
      <c r="EI56218"/>
      <c r="EJ56218"/>
      <c r="EK56218"/>
    </row>
    <row r="56219" spans="1:141" s="116" customFormat="1">
      <c r="A56219" s="136"/>
      <c r="CM56219" s="111"/>
      <c r="CQ56219" s="111"/>
      <c r="EF56219"/>
      <c r="EG56219"/>
      <c r="EH56219"/>
      <c r="EI56219"/>
      <c r="EJ56219"/>
      <c r="EK56219"/>
    </row>
    <row r="56220" spans="1:141" s="116" customFormat="1">
      <c r="A56220" s="136"/>
      <c r="CM56220" s="111"/>
      <c r="CQ56220" s="111"/>
      <c r="EF56220"/>
      <c r="EG56220"/>
      <c r="EH56220"/>
      <c r="EI56220"/>
      <c r="EJ56220"/>
      <c r="EK56220"/>
    </row>
    <row r="56221" spans="1:141" s="116" customFormat="1">
      <c r="A56221" s="136"/>
      <c r="CM56221" s="111"/>
      <c r="CQ56221" s="111"/>
      <c r="EF56221"/>
      <c r="EG56221"/>
      <c r="EH56221"/>
      <c r="EI56221"/>
      <c r="EJ56221"/>
      <c r="EK56221"/>
    </row>
    <row r="56222" spans="1:141" s="116" customFormat="1">
      <c r="A56222" s="136"/>
      <c r="CM56222" s="111"/>
      <c r="CQ56222" s="111"/>
      <c r="EF56222"/>
      <c r="EG56222"/>
      <c r="EH56222"/>
      <c r="EI56222"/>
      <c r="EJ56222"/>
      <c r="EK56222"/>
    </row>
    <row r="56223" spans="1:141" s="116" customFormat="1">
      <c r="A56223" s="136"/>
      <c r="CM56223" s="111"/>
      <c r="CQ56223" s="111"/>
      <c r="EF56223"/>
      <c r="EG56223"/>
      <c r="EH56223"/>
      <c r="EI56223"/>
      <c r="EJ56223"/>
      <c r="EK56223"/>
    </row>
    <row r="56224" spans="1:141" s="116" customFormat="1">
      <c r="A56224" s="136"/>
      <c r="CM56224" s="111"/>
      <c r="CQ56224" s="111"/>
      <c r="EF56224"/>
      <c r="EG56224"/>
      <c r="EH56224"/>
      <c r="EI56224"/>
      <c r="EJ56224"/>
      <c r="EK56224"/>
    </row>
    <row r="56225" spans="1:141" s="116" customFormat="1">
      <c r="A56225" s="136"/>
      <c r="CM56225" s="111"/>
      <c r="CQ56225" s="111"/>
      <c r="EF56225"/>
      <c r="EG56225"/>
      <c r="EH56225"/>
      <c r="EI56225"/>
      <c r="EJ56225"/>
      <c r="EK56225"/>
    </row>
    <row r="56226" spans="1:141" s="116" customFormat="1">
      <c r="A56226" s="136"/>
      <c r="CM56226" s="111"/>
      <c r="CQ56226" s="111"/>
      <c r="EF56226"/>
      <c r="EG56226"/>
      <c r="EH56226"/>
      <c r="EI56226"/>
      <c r="EJ56226"/>
      <c r="EK56226"/>
    </row>
    <row r="56227" spans="1:141" s="116" customFormat="1">
      <c r="A56227" s="136"/>
      <c r="CM56227" s="111"/>
      <c r="CQ56227" s="111"/>
      <c r="EF56227"/>
      <c r="EG56227"/>
      <c r="EH56227"/>
      <c r="EI56227"/>
      <c r="EJ56227"/>
      <c r="EK56227"/>
    </row>
    <row r="56228" spans="1:141" s="116" customFormat="1">
      <c r="A56228" s="136"/>
      <c r="CM56228" s="111"/>
      <c r="CQ56228" s="111"/>
      <c r="EF56228"/>
      <c r="EG56228"/>
      <c r="EH56228"/>
      <c r="EI56228"/>
      <c r="EJ56228"/>
      <c r="EK56228"/>
    </row>
    <row r="56229" spans="1:141" s="116" customFormat="1">
      <c r="A56229" s="136"/>
      <c r="CM56229" s="111"/>
      <c r="CQ56229" s="111"/>
      <c r="EF56229"/>
      <c r="EG56229"/>
      <c r="EH56229"/>
      <c r="EI56229"/>
      <c r="EJ56229"/>
      <c r="EK56229"/>
    </row>
    <row r="56230" spans="1:141" s="116" customFormat="1">
      <c r="A56230" s="136"/>
      <c r="CM56230" s="111"/>
      <c r="CQ56230" s="111"/>
      <c r="EF56230"/>
      <c r="EG56230"/>
      <c r="EH56230"/>
      <c r="EI56230"/>
      <c r="EJ56230"/>
      <c r="EK56230"/>
    </row>
    <row r="56231" spans="1:141" s="116" customFormat="1">
      <c r="A56231" s="136"/>
      <c r="CM56231" s="111"/>
      <c r="CQ56231" s="111"/>
      <c r="EF56231"/>
      <c r="EG56231"/>
      <c r="EH56231"/>
      <c r="EI56231"/>
      <c r="EJ56231"/>
      <c r="EK56231"/>
    </row>
    <row r="56232" spans="1:141" s="116" customFormat="1">
      <c r="A56232" s="136"/>
      <c r="CM56232" s="111"/>
      <c r="CQ56232" s="111"/>
      <c r="EF56232"/>
      <c r="EG56232"/>
      <c r="EH56232"/>
      <c r="EI56232"/>
      <c r="EJ56232"/>
      <c r="EK56232"/>
    </row>
    <row r="56233" spans="1:141" s="116" customFormat="1">
      <c r="A56233" s="136"/>
      <c r="CM56233" s="111"/>
      <c r="CQ56233" s="111"/>
      <c r="EF56233"/>
      <c r="EG56233"/>
      <c r="EH56233"/>
      <c r="EI56233"/>
      <c r="EJ56233"/>
      <c r="EK56233"/>
    </row>
    <row r="56234" spans="1:141" s="116" customFormat="1">
      <c r="A56234" s="136"/>
      <c r="CM56234" s="111"/>
      <c r="CQ56234" s="111"/>
      <c r="EF56234"/>
      <c r="EG56234"/>
      <c r="EH56234"/>
      <c r="EI56234"/>
      <c r="EJ56234"/>
      <c r="EK56234"/>
    </row>
    <row r="56235" spans="1:141" s="116" customFormat="1">
      <c r="A56235" s="136"/>
      <c r="CM56235" s="111"/>
      <c r="CQ56235" s="111"/>
      <c r="EF56235"/>
      <c r="EG56235"/>
      <c r="EH56235"/>
      <c r="EI56235"/>
      <c r="EJ56235"/>
      <c r="EK56235"/>
    </row>
    <row r="56236" spans="1:141" s="116" customFormat="1">
      <c r="A56236" s="136"/>
      <c r="CM56236" s="111"/>
      <c r="CQ56236" s="111"/>
      <c r="EF56236"/>
      <c r="EG56236"/>
      <c r="EH56236"/>
      <c r="EI56236"/>
      <c r="EJ56236"/>
      <c r="EK56236"/>
    </row>
    <row r="56237" spans="1:141" s="116" customFormat="1">
      <c r="A56237" s="136"/>
      <c r="CM56237" s="111"/>
      <c r="CQ56237" s="111"/>
      <c r="EF56237"/>
      <c r="EG56237"/>
      <c r="EH56237"/>
      <c r="EI56237"/>
      <c r="EJ56237"/>
      <c r="EK56237"/>
    </row>
    <row r="56238" spans="1:141" s="116" customFormat="1">
      <c r="A56238" s="136"/>
      <c r="CM56238" s="111"/>
      <c r="CQ56238" s="111"/>
      <c r="EF56238"/>
      <c r="EG56238"/>
      <c r="EH56238"/>
      <c r="EI56238"/>
      <c r="EJ56238"/>
      <c r="EK56238"/>
    </row>
    <row r="56239" spans="1:141" s="116" customFormat="1">
      <c r="A56239" s="136"/>
      <c r="CM56239" s="111"/>
      <c r="CQ56239" s="111"/>
      <c r="EF56239"/>
      <c r="EG56239"/>
      <c r="EH56239"/>
      <c r="EI56239"/>
      <c r="EJ56239"/>
      <c r="EK56239"/>
    </row>
    <row r="56240" spans="1:141" s="116" customFormat="1">
      <c r="A56240" s="136"/>
      <c r="CM56240" s="111"/>
      <c r="CQ56240" s="111"/>
      <c r="EF56240"/>
      <c r="EG56240"/>
      <c r="EH56240"/>
      <c r="EI56240"/>
      <c r="EJ56240"/>
      <c r="EK56240"/>
    </row>
    <row r="56241" spans="1:141" s="116" customFormat="1">
      <c r="A56241" s="136"/>
      <c r="CM56241" s="111"/>
      <c r="CQ56241" s="111"/>
      <c r="EF56241"/>
      <c r="EG56241"/>
      <c r="EH56241"/>
      <c r="EI56241"/>
      <c r="EJ56241"/>
      <c r="EK56241"/>
    </row>
    <row r="56242" spans="1:141" s="116" customFormat="1">
      <c r="A56242" s="136"/>
      <c r="CM56242" s="111"/>
      <c r="CQ56242" s="111"/>
      <c r="EF56242"/>
      <c r="EG56242"/>
      <c r="EH56242"/>
      <c r="EI56242"/>
      <c r="EJ56242"/>
      <c r="EK56242"/>
    </row>
    <row r="56243" spans="1:141" s="116" customFormat="1">
      <c r="A56243" s="136"/>
      <c r="CM56243" s="111"/>
      <c r="CQ56243" s="111"/>
      <c r="EF56243"/>
      <c r="EG56243"/>
      <c r="EH56243"/>
      <c r="EI56243"/>
      <c r="EJ56243"/>
      <c r="EK56243"/>
    </row>
    <row r="56244" spans="1:141" s="116" customFormat="1">
      <c r="A56244" s="136"/>
      <c r="CM56244" s="111"/>
      <c r="CQ56244" s="111"/>
      <c r="EF56244"/>
      <c r="EG56244"/>
      <c r="EH56244"/>
      <c r="EI56244"/>
      <c r="EJ56244"/>
      <c r="EK56244"/>
    </row>
    <row r="56245" spans="1:141" s="116" customFormat="1">
      <c r="A56245" s="136"/>
      <c r="CM56245" s="111"/>
      <c r="CQ56245" s="111"/>
      <c r="EF56245"/>
      <c r="EG56245"/>
      <c r="EH56245"/>
      <c r="EI56245"/>
      <c r="EJ56245"/>
      <c r="EK56245"/>
    </row>
    <row r="56246" spans="1:141" s="116" customFormat="1">
      <c r="A56246" s="136"/>
      <c r="CM56246" s="111"/>
      <c r="CQ56246" s="111"/>
      <c r="EF56246"/>
      <c r="EG56246"/>
      <c r="EH56246"/>
      <c r="EI56246"/>
      <c r="EJ56246"/>
      <c r="EK56246"/>
    </row>
    <row r="56247" spans="1:141" s="116" customFormat="1">
      <c r="A56247" s="136"/>
      <c r="CM56247" s="111"/>
      <c r="CQ56247" s="111"/>
      <c r="EF56247"/>
      <c r="EG56247"/>
      <c r="EH56247"/>
      <c r="EI56247"/>
      <c r="EJ56247"/>
      <c r="EK56247"/>
    </row>
    <row r="56248" spans="1:141" s="116" customFormat="1">
      <c r="A56248" s="136"/>
      <c r="CM56248" s="111"/>
      <c r="CQ56248" s="111"/>
      <c r="EF56248"/>
      <c r="EG56248"/>
      <c r="EH56248"/>
      <c r="EI56248"/>
      <c r="EJ56248"/>
      <c r="EK56248"/>
    </row>
    <row r="56249" spans="1:141" s="116" customFormat="1">
      <c r="A56249" s="136"/>
      <c r="CM56249" s="111"/>
      <c r="CQ56249" s="111"/>
      <c r="EF56249"/>
      <c r="EG56249"/>
      <c r="EH56249"/>
      <c r="EI56249"/>
      <c r="EJ56249"/>
      <c r="EK56249"/>
    </row>
    <row r="56250" spans="1:141" s="116" customFormat="1">
      <c r="A56250" s="136"/>
      <c r="CM56250" s="111"/>
      <c r="CQ56250" s="111"/>
      <c r="EF56250"/>
      <c r="EG56250"/>
      <c r="EH56250"/>
      <c r="EI56250"/>
      <c r="EJ56250"/>
      <c r="EK56250"/>
    </row>
    <row r="56251" spans="1:141" s="116" customFormat="1">
      <c r="A56251" s="136"/>
      <c r="CM56251" s="111"/>
      <c r="CQ56251" s="111"/>
      <c r="EF56251"/>
      <c r="EG56251"/>
      <c r="EH56251"/>
      <c r="EI56251"/>
      <c r="EJ56251"/>
      <c r="EK56251"/>
    </row>
    <row r="56252" spans="1:141" s="116" customFormat="1">
      <c r="A56252" s="136"/>
      <c r="CM56252" s="111"/>
      <c r="CQ56252" s="111"/>
      <c r="EF56252"/>
      <c r="EG56252"/>
      <c r="EH56252"/>
      <c r="EI56252"/>
      <c r="EJ56252"/>
      <c r="EK56252"/>
    </row>
    <row r="56253" spans="1:141" s="116" customFormat="1">
      <c r="A56253" s="136"/>
      <c r="CM56253" s="111"/>
      <c r="CQ56253" s="111"/>
      <c r="EF56253"/>
      <c r="EG56253"/>
      <c r="EH56253"/>
      <c r="EI56253"/>
      <c r="EJ56253"/>
      <c r="EK56253"/>
    </row>
    <row r="56254" spans="1:141" s="116" customFormat="1">
      <c r="A56254" s="136"/>
      <c r="CM56254" s="111"/>
      <c r="CQ56254" s="111"/>
      <c r="EF56254"/>
      <c r="EG56254"/>
      <c r="EH56254"/>
      <c r="EI56254"/>
      <c r="EJ56254"/>
      <c r="EK56254"/>
    </row>
    <row r="56255" spans="1:141" s="116" customFormat="1">
      <c r="A56255" s="136"/>
      <c r="CM56255" s="111"/>
      <c r="CQ56255" s="111"/>
      <c r="EF56255"/>
      <c r="EG56255"/>
      <c r="EH56255"/>
      <c r="EI56255"/>
      <c r="EJ56255"/>
      <c r="EK56255"/>
    </row>
    <row r="56256" spans="1:141" s="116" customFormat="1">
      <c r="A56256" s="136"/>
      <c r="CM56256" s="111"/>
      <c r="CQ56256" s="111"/>
      <c r="EF56256"/>
      <c r="EG56256"/>
      <c r="EH56256"/>
      <c r="EI56256"/>
      <c r="EJ56256"/>
      <c r="EK56256"/>
    </row>
    <row r="56257" spans="1:141" s="116" customFormat="1">
      <c r="A56257" s="136"/>
      <c r="CM56257" s="111"/>
      <c r="CQ56257" s="111"/>
      <c r="EF56257"/>
      <c r="EG56257"/>
      <c r="EH56257"/>
      <c r="EI56257"/>
      <c r="EJ56257"/>
      <c r="EK56257"/>
    </row>
    <row r="56258" spans="1:141" s="116" customFormat="1">
      <c r="A56258" s="136"/>
      <c r="CM56258" s="111"/>
      <c r="CQ56258" s="111"/>
      <c r="EF56258"/>
      <c r="EG56258"/>
      <c r="EH56258"/>
      <c r="EI56258"/>
      <c r="EJ56258"/>
      <c r="EK56258"/>
    </row>
    <row r="56259" spans="1:141" s="116" customFormat="1">
      <c r="A56259" s="136"/>
      <c r="CM56259" s="111"/>
      <c r="CQ56259" s="111"/>
      <c r="EF56259"/>
      <c r="EG56259"/>
      <c r="EH56259"/>
      <c r="EI56259"/>
      <c r="EJ56259"/>
      <c r="EK56259"/>
    </row>
    <row r="56260" spans="1:141" s="116" customFormat="1">
      <c r="A56260" s="136"/>
      <c r="CM56260" s="111"/>
      <c r="CQ56260" s="111"/>
      <c r="EF56260"/>
      <c r="EG56260"/>
      <c r="EH56260"/>
      <c r="EI56260"/>
      <c r="EJ56260"/>
      <c r="EK56260"/>
    </row>
    <row r="56261" spans="1:141" s="116" customFormat="1">
      <c r="A56261" s="136"/>
      <c r="CM56261" s="111"/>
      <c r="CQ56261" s="111"/>
      <c r="EF56261"/>
      <c r="EG56261"/>
      <c r="EH56261"/>
      <c r="EI56261"/>
      <c r="EJ56261"/>
      <c r="EK56261"/>
    </row>
    <row r="56262" spans="1:141" s="116" customFormat="1">
      <c r="A56262" s="136"/>
      <c r="CM56262" s="111"/>
      <c r="CQ56262" s="111"/>
      <c r="EF56262"/>
      <c r="EG56262"/>
      <c r="EH56262"/>
      <c r="EI56262"/>
      <c r="EJ56262"/>
      <c r="EK56262"/>
    </row>
    <row r="56263" spans="1:141" s="116" customFormat="1">
      <c r="A56263" s="136"/>
      <c r="CM56263" s="111"/>
      <c r="CQ56263" s="111"/>
      <c r="EF56263"/>
      <c r="EG56263"/>
      <c r="EH56263"/>
      <c r="EI56263"/>
      <c r="EJ56263"/>
      <c r="EK56263"/>
    </row>
    <row r="56264" spans="1:141" s="116" customFormat="1">
      <c r="A56264" s="136"/>
      <c r="CM56264" s="111"/>
      <c r="CQ56264" s="111"/>
      <c r="EF56264"/>
      <c r="EG56264"/>
      <c r="EH56264"/>
      <c r="EI56264"/>
      <c r="EJ56264"/>
      <c r="EK56264"/>
    </row>
    <row r="56265" spans="1:141" s="116" customFormat="1">
      <c r="A56265" s="136"/>
      <c r="CM56265" s="111"/>
      <c r="CQ56265" s="111"/>
      <c r="EF56265"/>
      <c r="EG56265"/>
      <c r="EH56265"/>
      <c r="EI56265"/>
      <c r="EJ56265"/>
      <c r="EK56265"/>
    </row>
    <row r="56266" spans="1:141" s="116" customFormat="1">
      <c r="A56266" s="136"/>
      <c r="CM56266" s="111"/>
      <c r="CQ56266" s="111"/>
      <c r="EF56266"/>
      <c r="EG56266"/>
      <c r="EH56266"/>
      <c r="EI56266"/>
      <c r="EJ56266"/>
      <c r="EK56266"/>
    </row>
    <row r="56267" spans="1:141" s="116" customFormat="1">
      <c r="A56267" s="136"/>
      <c r="CM56267" s="111"/>
      <c r="CQ56267" s="111"/>
      <c r="EF56267"/>
      <c r="EG56267"/>
      <c r="EH56267"/>
      <c r="EI56267"/>
      <c r="EJ56267"/>
      <c r="EK56267"/>
    </row>
    <row r="56268" spans="1:141" s="116" customFormat="1">
      <c r="A56268" s="136"/>
      <c r="CM56268" s="111"/>
      <c r="CQ56268" s="111"/>
      <c r="EF56268"/>
      <c r="EG56268"/>
      <c r="EH56268"/>
      <c r="EI56268"/>
      <c r="EJ56268"/>
      <c r="EK56268"/>
    </row>
    <row r="56269" spans="1:141" s="116" customFormat="1">
      <c r="A56269" s="136"/>
      <c r="CM56269" s="111"/>
      <c r="CQ56269" s="111"/>
      <c r="EF56269"/>
      <c r="EG56269"/>
      <c r="EH56269"/>
      <c r="EI56269"/>
      <c r="EJ56269"/>
      <c r="EK56269"/>
    </row>
    <row r="56270" spans="1:141" s="116" customFormat="1">
      <c r="A56270" s="136"/>
      <c r="CM56270" s="111"/>
      <c r="CQ56270" s="111"/>
      <c r="EF56270"/>
      <c r="EG56270"/>
      <c r="EH56270"/>
      <c r="EI56270"/>
      <c r="EJ56270"/>
      <c r="EK56270"/>
    </row>
    <row r="56271" spans="1:141" s="116" customFormat="1">
      <c r="A56271" s="136"/>
      <c r="CM56271" s="111"/>
      <c r="CQ56271" s="111"/>
      <c r="EF56271"/>
      <c r="EG56271"/>
      <c r="EH56271"/>
      <c r="EI56271"/>
      <c r="EJ56271"/>
      <c r="EK56271"/>
    </row>
    <row r="56272" spans="1:141" s="116" customFormat="1">
      <c r="A56272" s="136"/>
      <c r="CM56272" s="111"/>
      <c r="CQ56272" s="111"/>
      <c r="EF56272"/>
      <c r="EG56272"/>
      <c r="EH56272"/>
      <c r="EI56272"/>
      <c r="EJ56272"/>
      <c r="EK56272"/>
    </row>
    <row r="56273" spans="1:141" s="116" customFormat="1">
      <c r="A56273" s="136"/>
      <c r="CM56273" s="111"/>
      <c r="CQ56273" s="111"/>
      <c r="EF56273"/>
      <c r="EG56273"/>
      <c r="EH56273"/>
      <c r="EI56273"/>
      <c r="EJ56273"/>
      <c r="EK56273"/>
    </row>
    <row r="56274" spans="1:141" s="116" customFormat="1">
      <c r="A56274" s="136"/>
      <c r="CM56274" s="111"/>
      <c r="CQ56274" s="111"/>
      <c r="EF56274"/>
      <c r="EG56274"/>
      <c r="EH56274"/>
      <c r="EI56274"/>
      <c r="EJ56274"/>
      <c r="EK56274"/>
    </row>
    <row r="56275" spans="1:141" s="116" customFormat="1">
      <c r="A56275" s="136"/>
      <c r="CM56275" s="111"/>
      <c r="CQ56275" s="111"/>
      <c r="EF56275"/>
      <c r="EG56275"/>
      <c r="EH56275"/>
      <c r="EI56275"/>
      <c r="EJ56275"/>
      <c r="EK56275"/>
    </row>
    <row r="56276" spans="1:141" s="116" customFormat="1">
      <c r="A56276" s="136"/>
      <c r="CM56276" s="111"/>
      <c r="CQ56276" s="111"/>
      <c r="EF56276"/>
      <c r="EG56276"/>
      <c r="EH56276"/>
      <c r="EI56276"/>
      <c r="EJ56276"/>
      <c r="EK56276"/>
    </row>
    <row r="56277" spans="1:141" s="116" customFormat="1">
      <c r="A56277" s="136"/>
      <c r="CM56277" s="111"/>
      <c r="CQ56277" s="111"/>
      <c r="EF56277"/>
      <c r="EG56277"/>
      <c r="EH56277"/>
      <c r="EI56277"/>
      <c r="EJ56277"/>
      <c r="EK56277"/>
    </row>
    <row r="56278" spans="1:141" s="116" customFormat="1">
      <c r="A56278" s="136"/>
      <c r="CM56278" s="111"/>
      <c r="CQ56278" s="111"/>
      <c r="EF56278"/>
      <c r="EG56278"/>
      <c r="EH56278"/>
      <c r="EI56278"/>
      <c r="EJ56278"/>
      <c r="EK56278"/>
    </row>
    <row r="56279" spans="1:141" s="116" customFormat="1">
      <c r="A56279" s="136"/>
      <c r="CM56279" s="111"/>
      <c r="CQ56279" s="111"/>
      <c r="EF56279"/>
      <c r="EG56279"/>
      <c r="EH56279"/>
      <c r="EI56279"/>
      <c r="EJ56279"/>
      <c r="EK56279"/>
    </row>
    <row r="56280" spans="1:141" s="116" customFormat="1">
      <c r="A56280" s="136"/>
      <c r="CM56280" s="111"/>
      <c r="CQ56280" s="111"/>
      <c r="EF56280"/>
      <c r="EG56280"/>
      <c r="EH56280"/>
      <c r="EI56280"/>
      <c r="EJ56280"/>
      <c r="EK56280"/>
    </row>
    <row r="56281" spans="1:141" s="116" customFormat="1">
      <c r="A56281" s="136"/>
      <c r="CM56281" s="111"/>
      <c r="CQ56281" s="111"/>
      <c r="EF56281"/>
      <c r="EG56281"/>
      <c r="EH56281"/>
      <c r="EI56281"/>
      <c r="EJ56281"/>
      <c r="EK56281"/>
    </row>
    <row r="56282" spans="1:141" s="116" customFormat="1">
      <c r="A56282" s="136"/>
      <c r="CM56282" s="111"/>
      <c r="CQ56282" s="111"/>
      <c r="EF56282"/>
      <c r="EG56282"/>
      <c r="EH56282"/>
      <c r="EI56282"/>
      <c r="EJ56282"/>
      <c r="EK56282"/>
    </row>
    <row r="56283" spans="1:141" s="116" customFormat="1">
      <c r="A56283" s="136"/>
      <c r="CM56283" s="111"/>
      <c r="CQ56283" s="111"/>
      <c r="EF56283"/>
      <c r="EG56283"/>
      <c r="EH56283"/>
      <c r="EI56283"/>
      <c r="EJ56283"/>
      <c r="EK56283"/>
    </row>
    <row r="56284" spans="1:141" s="116" customFormat="1">
      <c r="A56284" s="136"/>
      <c r="CM56284" s="111"/>
      <c r="CQ56284" s="111"/>
      <c r="EF56284"/>
      <c r="EG56284"/>
      <c r="EH56284"/>
      <c r="EI56284"/>
      <c r="EJ56284"/>
      <c r="EK56284"/>
    </row>
    <row r="56285" spans="1:141" s="116" customFormat="1">
      <c r="A56285" s="136"/>
      <c r="CM56285" s="111"/>
      <c r="CQ56285" s="111"/>
      <c r="EF56285"/>
      <c r="EG56285"/>
      <c r="EH56285"/>
      <c r="EI56285"/>
      <c r="EJ56285"/>
      <c r="EK56285"/>
    </row>
    <row r="56286" spans="1:141" s="116" customFormat="1">
      <c r="A56286" s="136"/>
      <c r="CM56286" s="111"/>
      <c r="CQ56286" s="111"/>
      <c r="EF56286"/>
      <c r="EG56286"/>
      <c r="EH56286"/>
      <c r="EI56286"/>
      <c r="EJ56286"/>
      <c r="EK56286"/>
    </row>
    <row r="56287" spans="1:141" s="116" customFormat="1">
      <c r="A56287" s="136"/>
      <c r="CM56287" s="111"/>
      <c r="CQ56287" s="111"/>
      <c r="EF56287"/>
      <c r="EG56287"/>
      <c r="EH56287"/>
      <c r="EI56287"/>
      <c r="EJ56287"/>
      <c r="EK56287"/>
    </row>
    <row r="56288" spans="1:141" s="116" customFormat="1">
      <c r="A56288" s="136"/>
      <c r="CM56288" s="111"/>
      <c r="CQ56288" s="111"/>
      <c r="EF56288"/>
      <c r="EG56288"/>
      <c r="EH56288"/>
      <c r="EI56288"/>
      <c r="EJ56288"/>
      <c r="EK56288"/>
    </row>
    <row r="56289" spans="1:141" s="116" customFormat="1">
      <c r="A56289" s="136"/>
      <c r="CM56289" s="111"/>
      <c r="CQ56289" s="111"/>
      <c r="EF56289"/>
      <c r="EG56289"/>
      <c r="EH56289"/>
      <c r="EI56289"/>
      <c r="EJ56289"/>
      <c r="EK56289"/>
    </row>
    <row r="56290" spans="1:141" s="116" customFormat="1">
      <c r="A56290" s="136"/>
      <c r="CM56290" s="111"/>
      <c r="CQ56290" s="111"/>
      <c r="EF56290"/>
      <c r="EG56290"/>
      <c r="EH56290"/>
      <c r="EI56290"/>
      <c r="EJ56290"/>
      <c r="EK56290"/>
    </row>
    <row r="56291" spans="1:141" s="116" customFormat="1">
      <c r="A56291" s="136"/>
      <c r="CM56291" s="111"/>
      <c r="CQ56291" s="111"/>
      <c r="EF56291"/>
      <c r="EG56291"/>
      <c r="EH56291"/>
      <c r="EI56291"/>
      <c r="EJ56291"/>
      <c r="EK56291"/>
    </row>
    <row r="56292" spans="1:141" s="116" customFormat="1">
      <c r="A56292" s="136"/>
      <c r="CM56292" s="111"/>
      <c r="CQ56292" s="111"/>
      <c r="EF56292"/>
      <c r="EG56292"/>
      <c r="EH56292"/>
      <c r="EI56292"/>
      <c r="EJ56292"/>
      <c r="EK56292"/>
    </row>
    <row r="56293" spans="1:141" s="116" customFormat="1">
      <c r="A56293" s="136"/>
      <c r="CM56293" s="111"/>
      <c r="CQ56293" s="111"/>
      <c r="EF56293"/>
      <c r="EG56293"/>
      <c r="EH56293"/>
      <c r="EI56293"/>
      <c r="EJ56293"/>
      <c r="EK56293"/>
    </row>
    <row r="56294" spans="1:141" s="116" customFormat="1">
      <c r="A56294" s="136"/>
      <c r="CM56294" s="111"/>
      <c r="CQ56294" s="111"/>
      <c r="EF56294"/>
      <c r="EG56294"/>
      <c r="EH56294"/>
      <c r="EI56294"/>
      <c r="EJ56294"/>
      <c r="EK56294"/>
    </row>
    <row r="56295" spans="1:141" s="116" customFormat="1">
      <c r="A56295" s="136"/>
      <c r="CM56295" s="111"/>
      <c r="CQ56295" s="111"/>
      <c r="EF56295"/>
      <c r="EG56295"/>
      <c r="EH56295"/>
      <c r="EI56295"/>
      <c r="EJ56295"/>
      <c r="EK56295"/>
    </row>
    <row r="56296" spans="1:141" s="116" customFormat="1">
      <c r="A56296" s="136"/>
      <c r="CM56296" s="111"/>
      <c r="CQ56296" s="111"/>
      <c r="EF56296"/>
      <c r="EG56296"/>
      <c r="EH56296"/>
      <c r="EI56296"/>
      <c r="EJ56296"/>
      <c r="EK56296"/>
    </row>
    <row r="56297" spans="1:141" s="116" customFormat="1">
      <c r="A56297" s="136"/>
      <c r="CM56297" s="111"/>
      <c r="CQ56297" s="111"/>
      <c r="EF56297"/>
      <c r="EG56297"/>
      <c r="EH56297"/>
      <c r="EI56297"/>
      <c r="EJ56297"/>
      <c r="EK56297"/>
    </row>
    <row r="56298" spans="1:141" s="116" customFormat="1">
      <c r="A56298" s="136"/>
      <c r="CM56298" s="111"/>
      <c r="CQ56298" s="111"/>
      <c r="EF56298"/>
      <c r="EG56298"/>
      <c r="EH56298"/>
      <c r="EI56298"/>
      <c r="EJ56298"/>
      <c r="EK56298"/>
    </row>
    <row r="56299" spans="1:141" s="116" customFormat="1">
      <c r="A56299" s="136"/>
      <c r="CM56299" s="111"/>
      <c r="CQ56299" s="111"/>
      <c r="EF56299"/>
      <c r="EG56299"/>
      <c r="EH56299"/>
      <c r="EI56299"/>
      <c r="EJ56299"/>
      <c r="EK56299"/>
    </row>
    <row r="56300" spans="1:141" s="116" customFormat="1">
      <c r="A56300" s="136"/>
      <c r="CM56300" s="111"/>
      <c r="CQ56300" s="111"/>
      <c r="EF56300"/>
      <c r="EG56300"/>
      <c r="EH56300"/>
      <c r="EI56300"/>
      <c r="EJ56300"/>
      <c r="EK56300"/>
    </row>
    <row r="56301" spans="1:141" s="116" customFormat="1">
      <c r="A56301" s="136"/>
      <c r="CM56301" s="111"/>
      <c r="CQ56301" s="111"/>
      <c r="EF56301"/>
      <c r="EG56301"/>
      <c r="EH56301"/>
      <c r="EI56301"/>
      <c r="EJ56301"/>
      <c r="EK56301"/>
    </row>
    <row r="56302" spans="1:141" s="116" customFormat="1">
      <c r="A56302" s="136"/>
      <c r="CM56302" s="111"/>
      <c r="CQ56302" s="111"/>
      <c r="EF56302"/>
      <c r="EG56302"/>
      <c r="EH56302"/>
      <c r="EI56302"/>
      <c r="EJ56302"/>
      <c r="EK56302"/>
    </row>
    <row r="56303" spans="1:141" s="116" customFormat="1">
      <c r="A56303" s="136"/>
      <c r="CM56303" s="111"/>
      <c r="CQ56303" s="111"/>
      <c r="EF56303"/>
      <c r="EG56303"/>
      <c r="EH56303"/>
      <c r="EI56303"/>
      <c r="EJ56303"/>
      <c r="EK56303"/>
    </row>
    <row r="56304" spans="1:141" s="116" customFormat="1">
      <c r="A56304" s="136"/>
      <c r="CM56304" s="111"/>
      <c r="CQ56304" s="111"/>
      <c r="EF56304"/>
      <c r="EG56304"/>
      <c r="EH56304"/>
      <c r="EI56304"/>
      <c r="EJ56304"/>
      <c r="EK56304"/>
    </row>
    <row r="56305" spans="1:141" s="116" customFormat="1">
      <c r="A56305" s="136"/>
      <c r="CM56305" s="111"/>
      <c r="CQ56305" s="111"/>
      <c r="EF56305"/>
      <c r="EG56305"/>
      <c r="EH56305"/>
      <c r="EI56305"/>
      <c r="EJ56305"/>
      <c r="EK56305"/>
    </row>
    <row r="56306" spans="1:141" s="116" customFormat="1">
      <c r="A56306" s="136"/>
      <c r="CM56306" s="111"/>
      <c r="CQ56306" s="111"/>
      <c r="EF56306"/>
      <c r="EG56306"/>
      <c r="EH56306"/>
      <c r="EI56306"/>
      <c r="EJ56306"/>
      <c r="EK56306"/>
    </row>
    <row r="56307" spans="1:141" s="116" customFormat="1">
      <c r="A56307" s="136"/>
      <c r="CM56307" s="111"/>
      <c r="CQ56307" s="111"/>
      <c r="EF56307"/>
      <c r="EG56307"/>
      <c r="EH56307"/>
      <c r="EI56307"/>
      <c r="EJ56307"/>
      <c r="EK56307"/>
    </row>
    <row r="56308" spans="1:141" s="116" customFormat="1">
      <c r="A56308" s="136"/>
      <c r="CM56308" s="111"/>
      <c r="CQ56308" s="111"/>
      <c r="EF56308"/>
      <c r="EG56308"/>
      <c r="EH56308"/>
      <c r="EI56308"/>
      <c r="EJ56308"/>
      <c r="EK56308"/>
    </row>
    <row r="56309" spans="1:141" s="116" customFormat="1">
      <c r="A56309" s="136"/>
      <c r="CM56309" s="111"/>
      <c r="CQ56309" s="111"/>
      <c r="EF56309"/>
      <c r="EG56309"/>
      <c r="EH56309"/>
      <c r="EI56309"/>
      <c r="EJ56309"/>
      <c r="EK56309"/>
    </row>
    <row r="56310" spans="1:141" s="116" customFormat="1">
      <c r="A56310" s="136"/>
      <c r="CM56310" s="111"/>
      <c r="CQ56310" s="111"/>
      <c r="EF56310"/>
      <c r="EG56310"/>
      <c r="EH56310"/>
      <c r="EI56310"/>
      <c r="EJ56310"/>
      <c r="EK56310"/>
    </row>
    <row r="56311" spans="1:141" s="116" customFormat="1">
      <c r="A56311" s="136"/>
      <c r="CM56311" s="111"/>
      <c r="CQ56311" s="111"/>
      <c r="EF56311"/>
      <c r="EG56311"/>
      <c r="EH56311"/>
      <c r="EI56311"/>
      <c r="EJ56311"/>
      <c r="EK56311"/>
    </row>
    <row r="56312" spans="1:141" s="116" customFormat="1">
      <c r="A56312" s="136"/>
      <c r="CM56312" s="111"/>
      <c r="CQ56312" s="111"/>
      <c r="EF56312"/>
      <c r="EG56312"/>
      <c r="EH56312"/>
      <c r="EI56312"/>
      <c r="EJ56312"/>
      <c r="EK56312"/>
    </row>
    <row r="56313" spans="1:141" s="116" customFormat="1">
      <c r="A56313" s="136"/>
      <c r="CM56313" s="111"/>
      <c r="CQ56313" s="111"/>
      <c r="EF56313"/>
      <c r="EG56313"/>
      <c r="EH56313"/>
      <c r="EI56313"/>
      <c r="EJ56313"/>
      <c r="EK56313"/>
    </row>
    <row r="56314" spans="1:141" s="116" customFormat="1">
      <c r="A56314" s="136"/>
      <c r="CM56314" s="111"/>
      <c r="CQ56314" s="111"/>
      <c r="EF56314"/>
      <c r="EG56314"/>
      <c r="EH56314"/>
      <c r="EI56314"/>
      <c r="EJ56314"/>
      <c r="EK56314"/>
    </row>
    <row r="56315" spans="1:141" s="116" customFormat="1">
      <c r="A56315" s="136"/>
      <c r="CM56315" s="111"/>
      <c r="CQ56315" s="111"/>
      <c r="EF56315"/>
      <c r="EG56315"/>
      <c r="EH56315"/>
      <c r="EI56315"/>
      <c r="EJ56315"/>
      <c r="EK56315"/>
    </row>
    <row r="56316" spans="1:141" s="116" customFormat="1">
      <c r="A56316" s="136"/>
      <c r="CM56316" s="111"/>
      <c r="CQ56316" s="111"/>
      <c r="EF56316"/>
      <c r="EG56316"/>
      <c r="EH56316"/>
      <c r="EI56316"/>
      <c r="EJ56316"/>
      <c r="EK56316"/>
    </row>
    <row r="56317" spans="1:141" s="116" customFormat="1">
      <c r="A56317" s="136"/>
      <c r="CM56317" s="111"/>
      <c r="CQ56317" s="111"/>
      <c r="EF56317"/>
      <c r="EG56317"/>
      <c r="EH56317"/>
      <c r="EI56317"/>
      <c r="EJ56317"/>
      <c r="EK56317"/>
    </row>
    <row r="56318" spans="1:141" s="116" customFormat="1">
      <c r="A56318" s="136"/>
      <c r="CM56318" s="111"/>
      <c r="CQ56318" s="111"/>
      <c r="EF56318"/>
      <c r="EG56318"/>
      <c r="EH56318"/>
      <c r="EI56318"/>
      <c r="EJ56318"/>
      <c r="EK56318"/>
    </row>
    <row r="56319" spans="1:141" s="116" customFormat="1">
      <c r="A56319" s="136"/>
      <c r="CM56319" s="111"/>
      <c r="CQ56319" s="111"/>
      <c r="EF56319"/>
      <c r="EG56319"/>
      <c r="EH56319"/>
      <c r="EI56319"/>
      <c r="EJ56319"/>
      <c r="EK56319"/>
    </row>
    <row r="56320" spans="1:141" s="116" customFormat="1">
      <c r="A56320" s="136"/>
      <c r="CM56320" s="111"/>
      <c r="CQ56320" s="111"/>
      <c r="EF56320"/>
      <c r="EG56320"/>
      <c r="EH56320"/>
      <c r="EI56320"/>
      <c r="EJ56320"/>
      <c r="EK56320"/>
    </row>
    <row r="56321" spans="1:141" s="116" customFormat="1">
      <c r="A56321" s="136"/>
      <c r="CM56321" s="111"/>
      <c r="CQ56321" s="111"/>
      <c r="EF56321"/>
      <c r="EG56321"/>
      <c r="EH56321"/>
      <c r="EI56321"/>
      <c r="EJ56321"/>
      <c r="EK56321"/>
    </row>
    <row r="56322" spans="1:141" s="116" customFormat="1">
      <c r="A56322" s="136"/>
      <c r="CM56322" s="111"/>
      <c r="CQ56322" s="111"/>
      <c r="EF56322"/>
      <c r="EG56322"/>
      <c r="EH56322"/>
      <c r="EI56322"/>
      <c r="EJ56322"/>
      <c r="EK56322"/>
    </row>
    <row r="56323" spans="1:141" s="116" customFormat="1">
      <c r="A56323" s="136"/>
      <c r="CM56323" s="111"/>
      <c r="CQ56323" s="111"/>
      <c r="EF56323"/>
      <c r="EG56323"/>
      <c r="EH56323"/>
      <c r="EI56323"/>
      <c r="EJ56323"/>
      <c r="EK56323"/>
    </row>
    <row r="56324" spans="1:141" s="116" customFormat="1">
      <c r="A56324" s="136"/>
      <c r="CM56324" s="111"/>
      <c r="CQ56324" s="111"/>
      <c r="EF56324"/>
      <c r="EG56324"/>
      <c r="EH56324"/>
      <c r="EI56324"/>
      <c r="EJ56324"/>
      <c r="EK56324"/>
    </row>
    <row r="56325" spans="1:141" s="116" customFormat="1">
      <c r="A56325" s="136"/>
      <c r="CM56325" s="111"/>
      <c r="CQ56325" s="111"/>
      <c r="EF56325"/>
      <c r="EG56325"/>
      <c r="EH56325"/>
      <c r="EI56325"/>
      <c r="EJ56325"/>
      <c r="EK56325"/>
    </row>
    <row r="56326" spans="1:141" s="116" customFormat="1">
      <c r="A56326" s="136"/>
      <c r="CM56326" s="111"/>
      <c r="CQ56326" s="111"/>
      <c r="EF56326"/>
      <c r="EG56326"/>
      <c r="EH56326"/>
      <c r="EI56326"/>
      <c r="EJ56326"/>
      <c r="EK56326"/>
    </row>
    <row r="56327" spans="1:141" s="116" customFormat="1">
      <c r="A56327" s="136"/>
      <c r="CM56327" s="111"/>
      <c r="CQ56327" s="111"/>
      <c r="EF56327"/>
      <c r="EG56327"/>
      <c r="EH56327"/>
      <c r="EI56327"/>
      <c r="EJ56327"/>
      <c r="EK56327"/>
    </row>
    <row r="56328" spans="1:141" s="116" customFormat="1">
      <c r="A56328" s="136"/>
      <c r="CM56328" s="111"/>
      <c r="CQ56328" s="111"/>
      <c r="EF56328"/>
      <c r="EG56328"/>
      <c r="EH56328"/>
      <c r="EI56328"/>
      <c r="EJ56328"/>
      <c r="EK56328"/>
    </row>
    <row r="56329" spans="1:141" s="116" customFormat="1">
      <c r="A56329" s="136"/>
      <c r="CM56329" s="111"/>
      <c r="CQ56329" s="111"/>
      <c r="EF56329"/>
      <c r="EG56329"/>
      <c r="EH56329"/>
      <c r="EI56329"/>
      <c r="EJ56329"/>
      <c r="EK56329"/>
    </row>
    <row r="56330" spans="1:141" s="116" customFormat="1">
      <c r="A56330" s="136"/>
      <c r="CM56330" s="111"/>
      <c r="CQ56330" s="111"/>
      <c r="EF56330"/>
      <c r="EG56330"/>
      <c r="EH56330"/>
      <c r="EI56330"/>
      <c r="EJ56330"/>
      <c r="EK56330"/>
    </row>
    <row r="56331" spans="1:141" s="116" customFormat="1">
      <c r="A56331" s="136"/>
      <c r="CM56331" s="111"/>
      <c r="CQ56331" s="111"/>
      <c r="EF56331"/>
      <c r="EG56331"/>
      <c r="EH56331"/>
      <c r="EI56331"/>
      <c r="EJ56331"/>
      <c r="EK56331"/>
    </row>
    <row r="56332" spans="1:141" s="116" customFormat="1">
      <c r="A56332" s="136"/>
      <c r="CM56332" s="111"/>
      <c r="CQ56332" s="111"/>
      <c r="EF56332"/>
      <c r="EG56332"/>
      <c r="EH56332"/>
      <c r="EI56332"/>
      <c r="EJ56332"/>
      <c r="EK56332"/>
    </row>
    <row r="56333" spans="1:141" s="116" customFormat="1">
      <c r="A56333" s="136"/>
      <c r="CM56333" s="111"/>
      <c r="CQ56333" s="111"/>
      <c r="EF56333"/>
      <c r="EG56333"/>
      <c r="EH56333"/>
      <c r="EI56333"/>
      <c r="EJ56333"/>
      <c r="EK56333"/>
    </row>
    <row r="56334" spans="1:141" s="116" customFormat="1">
      <c r="A56334" s="136"/>
      <c r="CM56334" s="111"/>
      <c r="CQ56334" s="111"/>
      <c r="EF56334"/>
      <c r="EG56334"/>
      <c r="EH56334"/>
      <c r="EI56334"/>
      <c r="EJ56334"/>
      <c r="EK56334"/>
    </row>
    <row r="56335" spans="1:141" s="116" customFormat="1">
      <c r="A56335" s="136"/>
      <c r="CM56335" s="111"/>
      <c r="CQ56335" s="111"/>
      <c r="EF56335"/>
      <c r="EG56335"/>
      <c r="EH56335"/>
      <c r="EI56335"/>
      <c r="EJ56335"/>
      <c r="EK56335"/>
    </row>
    <row r="56336" spans="1:141" s="116" customFormat="1">
      <c r="A56336" s="136"/>
      <c r="CM56336" s="111"/>
      <c r="CQ56336" s="111"/>
      <c r="EF56336"/>
      <c r="EG56336"/>
      <c r="EH56336"/>
      <c r="EI56336"/>
      <c r="EJ56336"/>
      <c r="EK56336"/>
    </row>
    <row r="56337" spans="1:141" s="116" customFormat="1">
      <c r="A56337" s="136"/>
      <c r="CM56337" s="111"/>
      <c r="CQ56337" s="111"/>
      <c r="EF56337"/>
      <c r="EG56337"/>
      <c r="EH56337"/>
      <c r="EI56337"/>
      <c r="EJ56337"/>
      <c r="EK56337"/>
    </row>
    <row r="56338" spans="1:141" s="116" customFormat="1">
      <c r="A56338" s="136"/>
      <c r="CM56338" s="111"/>
      <c r="CQ56338" s="111"/>
      <c r="EF56338"/>
      <c r="EG56338"/>
      <c r="EH56338"/>
      <c r="EI56338"/>
      <c r="EJ56338"/>
      <c r="EK56338"/>
    </row>
    <row r="56339" spans="1:141" s="116" customFormat="1">
      <c r="A56339" s="136"/>
      <c r="CM56339" s="111"/>
      <c r="CQ56339" s="111"/>
      <c r="EF56339"/>
      <c r="EG56339"/>
      <c r="EH56339"/>
      <c r="EI56339"/>
      <c r="EJ56339"/>
      <c r="EK56339"/>
    </row>
    <row r="56340" spans="1:141" s="116" customFormat="1">
      <c r="A56340" s="136"/>
      <c r="CM56340" s="111"/>
      <c r="CQ56340" s="111"/>
      <c r="EF56340"/>
      <c r="EG56340"/>
      <c r="EH56340"/>
      <c r="EI56340"/>
      <c r="EJ56340"/>
      <c r="EK56340"/>
    </row>
    <row r="56341" spans="1:141" s="116" customFormat="1">
      <c r="A56341" s="136"/>
      <c r="CM56341" s="111"/>
      <c r="CQ56341" s="111"/>
      <c r="EF56341"/>
      <c r="EG56341"/>
      <c r="EH56341"/>
      <c r="EI56341"/>
      <c r="EJ56341"/>
      <c r="EK56341"/>
    </row>
    <row r="56342" spans="1:141" s="116" customFormat="1">
      <c r="A56342" s="136"/>
      <c r="CM56342" s="111"/>
      <c r="CQ56342" s="111"/>
      <c r="EF56342"/>
      <c r="EG56342"/>
      <c r="EH56342"/>
      <c r="EI56342"/>
      <c r="EJ56342"/>
      <c r="EK56342"/>
    </row>
    <row r="56343" spans="1:141" s="116" customFormat="1">
      <c r="A56343" s="136"/>
      <c r="CM56343" s="111"/>
      <c r="CQ56343" s="111"/>
      <c r="EF56343"/>
      <c r="EG56343"/>
      <c r="EH56343"/>
      <c r="EI56343"/>
      <c r="EJ56343"/>
      <c r="EK56343"/>
    </row>
    <row r="56344" spans="1:141" s="116" customFormat="1">
      <c r="A56344" s="136"/>
      <c r="CM56344" s="111"/>
      <c r="CQ56344" s="111"/>
      <c r="EF56344"/>
      <c r="EG56344"/>
      <c r="EH56344"/>
      <c r="EI56344"/>
      <c r="EJ56344"/>
      <c r="EK56344"/>
    </row>
    <row r="56345" spans="1:141" s="116" customFormat="1">
      <c r="A56345" s="136"/>
      <c r="CM56345" s="111"/>
      <c r="CQ56345" s="111"/>
      <c r="EF56345"/>
      <c r="EG56345"/>
      <c r="EH56345"/>
      <c r="EI56345"/>
      <c r="EJ56345"/>
      <c r="EK56345"/>
    </row>
    <row r="56346" spans="1:141" s="116" customFormat="1">
      <c r="A56346" s="136"/>
      <c r="CM56346" s="111"/>
      <c r="CQ56346" s="111"/>
      <c r="EF56346"/>
      <c r="EG56346"/>
      <c r="EH56346"/>
      <c r="EI56346"/>
      <c r="EJ56346"/>
      <c r="EK56346"/>
    </row>
    <row r="56347" spans="1:141" s="116" customFormat="1">
      <c r="A56347" s="136"/>
      <c r="CM56347" s="111"/>
      <c r="CQ56347" s="111"/>
      <c r="EF56347"/>
      <c r="EG56347"/>
      <c r="EH56347"/>
      <c r="EI56347"/>
      <c r="EJ56347"/>
      <c r="EK56347"/>
    </row>
    <row r="56348" spans="1:141" s="116" customFormat="1">
      <c r="A56348" s="136"/>
      <c r="CM56348" s="111"/>
      <c r="CQ56348" s="111"/>
      <c r="EF56348"/>
      <c r="EG56348"/>
      <c r="EH56348"/>
      <c r="EI56348"/>
      <c r="EJ56348"/>
      <c r="EK56348"/>
    </row>
    <row r="56349" spans="1:141" s="116" customFormat="1">
      <c r="A56349" s="136"/>
      <c r="CM56349" s="111"/>
      <c r="CQ56349" s="111"/>
      <c r="EF56349"/>
      <c r="EG56349"/>
      <c r="EH56349"/>
      <c r="EI56349"/>
      <c r="EJ56349"/>
      <c r="EK56349"/>
    </row>
    <row r="56350" spans="1:141" s="116" customFormat="1">
      <c r="A56350" s="136"/>
      <c r="CM56350" s="111"/>
      <c r="CQ56350" s="111"/>
      <c r="EF56350"/>
      <c r="EG56350"/>
      <c r="EH56350"/>
      <c r="EI56350"/>
      <c r="EJ56350"/>
      <c r="EK56350"/>
    </row>
    <row r="56351" spans="1:141" s="116" customFormat="1">
      <c r="A56351" s="136"/>
      <c r="CM56351" s="111"/>
      <c r="CQ56351" s="111"/>
      <c r="EF56351"/>
      <c r="EG56351"/>
      <c r="EH56351"/>
      <c r="EI56351"/>
      <c r="EJ56351"/>
      <c r="EK56351"/>
    </row>
    <row r="56352" spans="1:141" s="116" customFormat="1">
      <c r="A56352" s="136"/>
      <c r="CM56352" s="111"/>
      <c r="CQ56352" s="111"/>
      <c r="EF56352"/>
      <c r="EG56352"/>
      <c r="EH56352"/>
      <c r="EI56352"/>
      <c r="EJ56352"/>
      <c r="EK56352"/>
    </row>
    <row r="56353" spans="1:141" s="116" customFormat="1">
      <c r="A56353" s="136"/>
      <c r="CM56353" s="111"/>
      <c r="CQ56353" s="111"/>
      <c r="EF56353"/>
      <c r="EG56353"/>
      <c r="EH56353"/>
      <c r="EI56353"/>
      <c r="EJ56353"/>
      <c r="EK56353"/>
    </row>
    <row r="56354" spans="1:141" s="116" customFormat="1">
      <c r="A56354" s="136"/>
      <c r="CM56354" s="111"/>
      <c r="CQ56354" s="111"/>
      <c r="EF56354"/>
      <c r="EG56354"/>
      <c r="EH56354"/>
      <c r="EI56354"/>
      <c r="EJ56354"/>
      <c r="EK56354"/>
    </row>
    <row r="56355" spans="1:141" s="116" customFormat="1">
      <c r="A56355" s="136"/>
      <c r="CM56355" s="111"/>
      <c r="CQ56355" s="111"/>
      <c r="EF56355"/>
      <c r="EG56355"/>
      <c r="EH56355"/>
      <c r="EI56355"/>
      <c r="EJ56355"/>
      <c r="EK56355"/>
    </row>
    <row r="56356" spans="1:141" s="116" customFormat="1">
      <c r="A56356" s="136"/>
      <c r="CM56356" s="111"/>
      <c r="CQ56356" s="111"/>
      <c r="EF56356"/>
      <c r="EG56356"/>
      <c r="EH56356"/>
      <c r="EI56356"/>
      <c r="EJ56356"/>
      <c r="EK56356"/>
    </row>
    <row r="56357" spans="1:141" s="116" customFormat="1">
      <c r="A56357" s="136"/>
      <c r="CM56357" s="111"/>
      <c r="CQ56357" s="111"/>
      <c r="EF56357"/>
      <c r="EG56357"/>
      <c r="EH56357"/>
      <c r="EI56357"/>
      <c r="EJ56357"/>
      <c r="EK56357"/>
    </row>
    <row r="56358" spans="1:141" s="116" customFormat="1">
      <c r="A56358" s="136"/>
      <c r="CM56358" s="111"/>
      <c r="CQ56358" s="111"/>
      <c r="EF56358"/>
      <c r="EG56358"/>
      <c r="EH56358"/>
      <c r="EI56358"/>
      <c r="EJ56358"/>
      <c r="EK56358"/>
    </row>
    <row r="56359" spans="1:141" s="116" customFormat="1">
      <c r="A56359" s="136"/>
      <c r="CM56359" s="111"/>
      <c r="CQ56359" s="111"/>
      <c r="EF56359"/>
      <c r="EG56359"/>
      <c r="EH56359"/>
      <c r="EI56359"/>
      <c r="EJ56359"/>
      <c r="EK56359"/>
    </row>
    <row r="56360" spans="1:141" s="116" customFormat="1">
      <c r="A56360" s="136"/>
      <c r="CM56360" s="111"/>
      <c r="CQ56360" s="111"/>
      <c r="EF56360"/>
      <c r="EG56360"/>
      <c r="EH56360"/>
      <c r="EI56360"/>
      <c r="EJ56360"/>
      <c r="EK56360"/>
    </row>
    <row r="56361" spans="1:141" s="116" customFormat="1">
      <c r="A56361" s="136"/>
      <c r="CM56361" s="111"/>
      <c r="CQ56361" s="111"/>
      <c r="EF56361"/>
      <c r="EG56361"/>
      <c r="EH56361"/>
      <c r="EI56361"/>
      <c r="EJ56361"/>
      <c r="EK56361"/>
    </row>
    <row r="56362" spans="1:141" s="116" customFormat="1">
      <c r="A56362" s="136"/>
      <c r="CM56362" s="111"/>
      <c r="CQ56362" s="111"/>
      <c r="EF56362"/>
      <c r="EG56362"/>
      <c r="EH56362"/>
      <c r="EI56362"/>
      <c r="EJ56362"/>
      <c r="EK56362"/>
    </row>
    <row r="56363" spans="1:141" s="116" customFormat="1">
      <c r="A56363" s="136"/>
      <c r="CM56363" s="111"/>
      <c r="CQ56363" s="111"/>
      <c r="EF56363"/>
      <c r="EG56363"/>
      <c r="EH56363"/>
      <c r="EI56363"/>
      <c r="EJ56363"/>
      <c r="EK56363"/>
    </row>
    <row r="56364" spans="1:141" s="116" customFormat="1">
      <c r="A56364" s="136"/>
      <c r="CM56364" s="111"/>
      <c r="CQ56364" s="111"/>
      <c r="EF56364"/>
      <c r="EG56364"/>
      <c r="EH56364"/>
      <c r="EI56364"/>
      <c r="EJ56364"/>
      <c r="EK56364"/>
    </row>
    <row r="56365" spans="1:141" s="116" customFormat="1">
      <c r="A56365" s="136"/>
      <c r="CM56365" s="111"/>
      <c r="CQ56365" s="111"/>
      <c r="EF56365"/>
      <c r="EG56365"/>
      <c r="EH56365"/>
      <c r="EI56365"/>
      <c r="EJ56365"/>
      <c r="EK56365"/>
    </row>
    <row r="56366" spans="1:141" s="116" customFormat="1">
      <c r="A56366" s="136"/>
      <c r="CM56366" s="111"/>
      <c r="CQ56366" s="111"/>
      <c r="EF56366"/>
      <c r="EG56366"/>
      <c r="EH56366"/>
      <c r="EI56366"/>
      <c r="EJ56366"/>
      <c r="EK56366"/>
    </row>
    <row r="56367" spans="1:141" s="116" customFormat="1">
      <c r="A56367" s="136"/>
      <c r="CM56367" s="111"/>
      <c r="CQ56367" s="111"/>
      <c r="EF56367"/>
      <c r="EG56367"/>
      <c r="EH56367"/>
      <c r="EI56367"/>
      <c r="EJ56367"/>
      <c r="EK56367"/>
    </row>
    <row r="56368" spans="1:141" s="116" customFormat="1">
      <c r="A56368" s="136"/>
      <c r="CM56368" s="111"/>
      <c r="CQ56368" s="111"/>
      <c r="EF56368"/>
      <c r="EG56368"/>
      <c r="EH56368"/>
      <c r="EI56368"/>
      <c r="EJ56368"/>
      <c r="EK56368"/>
    </row>
    <row r="56369" spans="1:141" s="116" customFormat="1">
      <c r="A56369" s="136"/>
      <c r="CM56369" s="111"/>
      <c r="CQ56369" s="111"/>
      <c r="EF56369"/>
      <c r="EG56369"/>
      <c r="EH56369"/>
      <c r="EI56369"/>
      <c r="EJ56369"/>
      <c r="EK56369"/>
    </row>
    <row r="56370" spans="1:141" s="116" customFormat="1">
      <c r="A56370" s="136"/>
      <c r="CM56370" s="111"/>
      <c r="CQ56370" s="111"/>
      <c r="EF56370"/>
      <c r="EG56370"/>
      <c r="EH56370"/>
      <c r="EI56370"/>
      <c r="EJ56370"/>
      <c r="EK56370"/>
    </row>
    <row r="56371" spans="1:141" s="116" customFormat="1">
      <c r="A56371" s="136"/>
      <c r="CM56371" s="111"/>
      <c r="CQ56371" s="111"/>
      <c r="EF56371"/>
      <c r="EG56371"/>
      <c r="EH56371"/>
      <c r="EI56371"/>
      <c r="EJ56371"/>
      <c r="EK56371"/>
    </row>
    <row r="56372" spans="1:141" s="116" customFormat="1">
      <c r="A56372" s="136"/>
      <c r="CM56372" s="111"/>
      <c r="CQ56372" s="111"/>
      <c r="EF56372"/>
      <c r="EG56372"/>
      <c r="EH56372"/>
      <c r="EI56372"/>
      <c r="EJ56372"/>
      <c r="EK56372"/>
    </row>
    <row r="56373" spans="1:141" s="116" customFormat="1">
      <c r="A56373" s="136"/>
      <c r="CM56373" s="111"/>
      <c r="CQ56373" s="111"/>
      <c r="EF56373"/>
      <c r="EG56373"/>
      <c r="EH56373"/>
      <c r="EI56373"/>
      <c r="EJ56373"/>
      <c r="EK56373"/>
    </row>
    <row r="56374" spans="1:141" s="116" customFormat="1">
      <c r="A56374" s="136"/>
      <c r="CM56374" s="111"/>
      <c r="CQ56374" s="111"/>
      <c r="EF56374"/>
      <c r="EG56374"/>
      <c r="EH56374"/>
      <c r="EI56374"/>
      <c r="EJ56374"/>
      <c r="EK56374"/>
    </row>
    <row r="56375" spans="1:141" s="116" customFormat="1">
      <c r="A56375" s="136"/>
      <c r="CM56375" s="111"/>
      <c r="CQ56375" s="111"/>
      <c r="EF56375"/>
      <c r="EG56375"/>
      <c r="EH56375"/>
      <c r="EI56375"/>
      <c r="EJ56375"/>
      <c r="EK56375"/>
    </row>
    <row r="56376" spans="1:141" s="116" customFormat="1">
      <c r="A56376" s="136"/>
      <c r="CM56376" s="111"/>
      <c r="CQ56376" s="111"/>
      <c r="EF56376"/>
      <c r="EG56376"/>
      <c r="EH56376"/>
      <c r="EI56376"/>
      <c r="EJ56376"/>
      <c r="EK56376"/>
    </row>
    <row r="56377" spans="1:141" s="116" customFormat="1">
      <c r="A56377" s="136"/>
      <c r="CM56377" s="111"/>
      <c r="CQ56377" s="111"/>
      <c r="EF56377"/>
      <c r="EG56377"/>
      <c r="EH56377"/>
      <c r="EI56377"/>
      <c r="EJ56377"/>
      <c r="EK56377"/>
    </row>
    <row r="56378" spans="1:141" s="116" customFormat="1">
      <c r="A56378" s="136"/>
      <c r="CM56378" s="111"/>
      <c r="CQ56378" s="111"/>
      <c r="EF56378"/>
      <c r="EG56378"/>
      <c r="EH56378"/>
      <c r="EI56378"/>
      <c r="EJ56378"/>
      <c r="EK56378"/>
    </row>
    <row r="56379" spans="1:141" s="116" customFormat="1">
      <c r="A56379" s="136"/>
      <c r="CM56379" s="111"/>
      <c r="CQ56379" s="111"/>
      <c r="EF56379"/>
      <c r="EG56379"/>
      <c r="EH56379"/>
      <c r="EI56379"/>
      <c r="EJ56379"/>
      <c r="EK56379"/>
    </row>
    <row r="56380" spans="1:141" s="116" customFormat="1">
      <c r="A56380" s="136"/>
      <c r="CM56380" s="111"/>
      <c r="CQ56380" s="111"/>
      <c r="EF56380"/>
      <c r="EG56380"/>
      <c r="EH56380"/>
      <c r="EI56380"/>
      <c r="EJ56380"/>
      <c r="EK56380"/>
    </row>
    <row r="56381" spans="1:141" s="116" customFormat="1">
      <c r="A56381" s="136"/>
      <c r="CM56381" s="111"/>
      <c r="CQ56381" s="111"/>
      <c r="EF56381"/>
      <c r="EG56381"/>
      <c r="EH56381"/>
      <c r="EI56381"/>
      <c r="EJ56381"/>
      <c r="EK56381"/>
    </row>
    <row r="56382" spans="1:141" s="116" customFormat="1">
      <c r="A56382" s="136"/>
      <c r="CM56382" s="111"/>
      <c r="CQ56382" s="111"/>
      <c r="EF56382"/>
      <c r="EG56382"/>
      <c r="EH56382"/>
      <c r="EI56382"/>
      <c r="EJ56382"/>
      <c r="EK56382"/>
    </row>
    <row r="56383" spans="1:141" s="116" customFormat="1">
      <c r="A56383" s="136"/>
      <c r="CM56383" s="111"/>
      <c r="CQ56383" s="111"/>
      <c r="EF56383"/>
      <c r="EG56383"/>
      <c r="EH56383"/>
      <c r="EI56383"/>
      <c r="EJ56383"/>
      <c r="EK56383"/>
    </row>
    <row r="56384" spans="1:141" s="116" customFormat="1">
      <c r="A56384" s="136"/>
      <c r="CM56384" s="111"/>
      <c r="CQ56384" s="111"/>
      <c r="EF56384"/>
      <c r="EG56384"/>
      <c r="EH56384"/>
      <c r="EI56384"/>
      <c r="EJ56384"/>
      <c r="EK56384"/>
    </row>
    <row r="56385" spans="1:141" s="116" customFormat="1">
      <c r="A56385" s="136"/>
      <c r="CM56385" s="111"/>
      <c r="CQ56385" s="111"/>
      <c r="EF56385"/>
      <c r="EG56385"/>
      <c r="EH56385"/>
      <c r="EI56385"/>
      <c r="EJ56385"/>
      <c r="EK56385"/>
    </row>
    <row r="56386" spans="1:141" s="116" customFormat="1">
      <c r="A56386" s="136"/>
      <c r="CM56386" s="111"/>
      <c r="CQ56386" s="111"/>
      <c r="EF56386"/>
      <c r="EG56386"/>
      <c r="EH56386"/>
      <c r="EI56386"/>
      <c r="EJ56386"/>
      <c r="EK56386"/>
    </row>
    <row r="56387" spans="1:141" s="116" customFormat="1">
      <c r="A56387" s="136"/>
      <c r="CM56387" s="111"/>
      <c r="CQ56387" s="111"/>
      <c r="EF56387"/>
      <c r="EG56387"/>
      <c r="EH56387"/>
      <c r="EI56387"/>
      <c r="EJ56387"/>
      <c r="EK56387"/>
    </row>
    <row r="56388" spans="1:141" s="116" customFormat="1">
      <c r="A56388" s="136"/>
      <c r="CM56388" s="111"/>
      <c r="CQ56388" s="111"/>
      <c r="EF56388"/>
      <c r="EG56388"/>
      <c r="EH56388"/>
      <c r="EI56388"/>
      <c r="EJ56388"/>
      <c r="EK56388"/>
    </row>
    <row r="56389" spans="1:141" s="116" customFormat="1">
      <c r="A56389" s="136"/>
      <c r="CM56389" s="111"/>
      <c r="CQ56389" s="111"/>
      <c r="EF56389"/>
      <c r="EG56389"/>
      <c r="EH56389"/>
      <c r="EI56389"/>
      <c r="EJ56389"/>
      <c r="EK56389"/>
    </row>
    <row r="56390" spans="1:141" s="116" customFormat="1">
      <c r="A56390" s="136"/>
      <c r="CM56390" s="111"/>
      <c r="CQ56390" s="111"/>
      <c r="EF56390"/>
      <c r="EG56390"/>
      <c r="EH56390"/>
      <c r="EI56390"/>
      <c r="EJ56390"/>
      <c r="EK56390"/>
    </row>
    <row r="56391" spans="1:141" s="116" customFormat="1">
      <c r="A56391" s="136"/>
      <c r="CM56391" s="111"/>
      <c r="CQ56391" s="111"/>
      <c r="EF56391"/>
      <c r="EG56391"/>
      <c r="EH56391"/>
      <c r="EI56391"/>
      <c r="EJ56391"/>
      <c r="EK56391"/>
    </row>
    <row r="56392" spans="1:141" s="116" customFormat="1">
      <c r="A56392" s="136"/>
      <c r="CM56392" s="111"/>
      <c r="CQ56392" s="111"/>
      <c r="EF56392"/>
      <c r="EG56392"/>
      <c r="EH56392"/>
      <c r="EI56392"/>
      <c r="EJ56392"/>
      <c r="EK56392"/>
    </row>
    <row r="56393" spans="1:141" s="116" customFormat="1">
      <c r="A56393" s="136"/>
      <c r="CM56393" s="111"/>
      <c r="CQ56393" s="111"/>
      <c r="EF56393"/>
      <c r="EG56393"/>
      <c r="EH56393"/>
      <c r="EI56393"/>
      <c r="EJ56393"/>
      <c r="EK56393"/>
    </row>
    <row r="56394" spans="1:141" s="116" customFormat="1">
      <c r="A56394" s="136"/>
      <c r="CM56394" s="111"/>
      <c r="CQ56394" s="111"/>
      <c r="EF56394"/>
      <c r="EG56394"/>
      <c r="EH56394"/>
      <c r="EI56394"/>
      <c r="EJ56394"/>
      <c r="EK56394"/>
    </row>
    <row r="56395" spans="1:141" s="116" customFormat="1">
      <c r="A56395" s="136"/>
      <c r="CM56395" s="111"/>
      <c r="CQ56395" s="111"/>
      <c r="EF56395"/>
      <c r="EG56395"/>
      <c r="EH56395"/>
      <c r="EI56395"/>
      <c r="EJ56395"/>
      <c r="EK56395"/>
    </row>
    <row r="56396" spans="1:141" s="116" customFormat="1">
      <c r="A56396" s="136"/>
      <c r="CM56396" s="111"/>
      <c r="CQ56396" s="111"/>
      <c r="EF56396"/>
      <c r="EG56396"/>
      <c r="EH56396"/>
      <c r="EI56396"/>
      <c r="EJ56396"/>
      <c r="EK56396"/>
    </row>
    <row r="56397" spans="1:141" s="116" customFormat="1">
      <c r="A56397" s="136"/>
      <c r="CM56397" s="111"/>
      <c r="CQ56397" s="111"/>
      <c r="EF56397"/>
      <c r="EG56397"/>
      <c r="EH56397"/>
      <c r="EI56397"/>
      <c r="EJ56397"/>
      <c r="EK56397"/>
    </row>
    <row r="56398" spans="1:141" s="116" customFormat="1">
      <c r="A56398" s="136"/>
      <c r="CM56398" s="111"/>
      <c r="CQ56398" s="111"/>
      <c r="EF56398"/>
      <c r="EG56398"/>
      <c r="EH56398"/>
      <c r="EI56398"/>
      <c r="EJ56398"/>
      <c r="EK56398"/>
    </row>
    <row r="56399" spans="1:141" s="116" customFormat="1">
      <c r="A56399" s="136"/>
      <c r="CM56399" s="111"/>
      <c r="CQ56399" s="111"/>
      <c r="EF56399"/>
      <c r="EG56399"/>
      <c r="EH56399"/>
      <c r="EI56399"/>
      <c r="EJ56399"/>
      <c r="EK56399"/>
    </row>
    <row r="56400" spans="1:141" s="116" customFormat="1">
      <c r="A56400" s="136"/>
      <c r="CM56400" s="111"/>
      <c r="CQ56400" s="111"/>
      <c r="EF56400"/>
      <c r="EG56400"/>
      <c r="EH56400"/>
      <c r="EI56400"/>
      <c r="EJ56400"/>
      <c r="EK56400"/>
    </row>
    <row r="56401" spans="1:141" s="116" customFormat="1">
      <c r="A56401" s="136"/>
      <c r="CM56401" s="111"/>
      <c r="CQ56401" s="111"/>
      <c r="EF56401"/>
      <c r="EG56401"/>
      <c r="EH56401"/>
      <c r="EI56401"/>
      <c r="EJ56401"/>
      <c r="EK56401"/>
    </row>
    <row r="56402" spans="1:141" s="116" customFormat="1">
      <c r="A56402" s="136"/>
      <c r="CM56402" s="111"/>
      <c r="CQ56402" s="111"/>
      <c r="EF56402"/>
      <c r="EG56402"/>
      <c r="EH56402"/>
      <c r="EI56402"/>
      <c r="EJ56402"/>
      <c r="EK56402"/>
    </row>
    <row r="56403" spans="1:141" s="116" customFormat="1">
      <c r="A56403" s="136"/>
      <c r="CM56403" s="111"/>
      <c r="CQ56403" s="111"/>
      <c r="EF56403"/>
      <c r="EG56403"/>
      <c r="EH56403"/>
      <c r="EI56403"/>
      <c r="EJ56403"/>
      <c r="EK56403"/>
    </row>
    <row r="56404" spans="1:141" s="116" customFormat="1">
      <c r="A56404" s="136"/>
      <c r="CM56404" s="111"/>
      <c r="CQ56404" s="111"/>
      <c r="EF56404"/>
      <c r="EG56404"/>
      <c r="EH56404"/>
      <c r="EI56404"/>
      <c r="EJ56404"/>
      <c r="EK56404"/>
    </row>
    <row r="56405" spans="1:141" s="116" customFormat="1">
      <c r="A56405" s="136"/>
      <c r="CM56405" s="111"/>
      <c r="CQ56405" s="111"/>
      <c r="EF56405"/>
      <c r="EG56405"/>
      <c r="EH56405"/>
      <c r="EI56405"/>
      <c r="EJ56405"/>
      <c r="EK56405"/>
    </row>
    <row r="56406" spans="1:141" s="116" customFormat="1">
      <c r="A56406" s="136"/>
      <c r="CM56406" s="111"/>
      <c r="CQ56406" s="111"/>
      <c r="EF56406"/>
      <c r="EG56406"/>
      <c r="EH56406"/>
      <c r="EI56406"/>
      <c r="EJ56406"/>
      <c r="EK56406"/>
    </row>
    <row r="56407" spans="1:141" s="116" customFormat="1">
      <c r="A56407" s="136"/>
      <c r="CM56407" s="111"/>
      <c r="CQ56407" s="111"/>
      <c r="EF56407"/>
      <c r="EG56407"/>
      <c r="EH56407"/>
      <c r="EI56407"/>
      <c r="EJ56407"/>
      <c r="EK56407"/>
    </row>
    <row r="56408" spans="1:141" s="116" customFormat="1">
      <c r="A56408" s="136"/>
      <c r="CM56408" s="111"/>
      <c r="CQ56408" s="111"/>
      <c r="EF56408"/>
      <c r="EG56408"/>
      <c r="EH56408"/>
      <c r="EI56408"/>
      <c r="EJ56408"/>
      <c r="EK56408"/>
    </row>
    <row r="56409" spans="1:141" s="116" customFormat="1">
      <c r="A56409" s="136"/>
      <c r="CM56409" s="111"/>
      <c r="CQ56409" s="111"/>
      <c r="EF56409"/>
      <c r="EG56409"/>
      <c r="EH56409"/>
      <c r="EI56409"/>
      <c r="EJ56409"/>
      <c r="EK56409"/>
    </row>
    <row r="56410" spans="1:141" s="116" customFormat="1">
      <c r="A56410" s="136"/>
      <c r="CM56410" s="111"/>
      <c r="CQ56410" s="111"/>
      <c r="EF56410"/>
      <c r="EG56410"/>
      <c r="EH56410"/>
      <c r="EI56410"/>
      <c r="EJ56410"/>
      <c r="EK56410"/>
    </row>
    <row r="56411" spans="1:141" s="116" customFormat="1">
      <c r="A56411" s="136"/>
      <c r="CM56411" s="111"/>
      <c r="CQ56411" s="111"/>
      <c r="EF56411"/>
      <c r="EG56411"/>
      <c r="EH56411"/>
      <c r="EI56411"/>
      <c r="EJ56411"/>
      <c r="EK56411"/>
    </row>
    <row r="56412" spans="1:141" s="116" customFormat="1">
      <c r="A56412" s="136"/>
      <c r="CM56412" s="111"/>
      <c r="CQ56412" s="111"/>
      <c r="EF56412"/>
      <c r="EG56412"/>
      <c r="EH56412"/>
      <c r="EI56412"/>
      <c r="EJ56412"/>
      <c r="EK56412"/>
    </row>
    <row r="56413" spans="1:141" s="116" customFormat="1">
      <c r="A56413" s="136"/>
      <c r="CM56413" s="111"/>
      <c r="CQ56413" s="111"/>
      <c r="EF56413"/>
      <c r="EG56413"/>
      <c r="EH56413"/>
      <c r="EI56413"/>
      <c r="EJ56413"/>
      <c r="EK56413"/>
    </row>
    <row r="56414" spans="1:141" s="116" customFormat="1">
      <c r="A56414" s="136"/>
      <c r="CM56414" s="111"/>
      <c r="CQ56414" s="111"/>
      <c r="EF56414"/>
      <c r="EG56414"/>
      <c r="EH56414"/>
      <c r="EI56414"/>
      <c r="EJ56414"/>
      <c r="EK56414"/>
    </row>
    <row r="56415" spans="1:141" s="116" customFormat="1">
      <c r="A56415" s="136"/>
      <c r="CM56415" s="111"/>
      <c r="CQ56415" s="111"/>
      <c r="EF56415"/>
      <c r="EG56415"/>
      <c r="EH56415"/>
      <c r="EI56415"/>
      <c r="EJ56415"/>
      <c r="EK56415"/>
    </row>
    <row r="56416" spans="1:141" s="116" customFormat="1">
      <c r="A56416" s="136"/>
      <c r="CM56416" s="111"/>
      <c r="CQ56416" s="111"/>
      <c r="EF56416"/>
      <c r="EG56416"/>
      <c r="EH56416"/>
      <c r="EI56416"/>
      <c r="EJ56416"/>
      <c r="EK56416"/>
    </row>
    <row r="56417" spans="1:141" s="116" customFormat="1">
      <c r="A56417" s="136"/>
      <c r="CM56417" s="111"/>
      <c r="CQ56417" s="111"/>
      <c r="EF56417"/>
      <c r="EG56417"/>
      <c r="EH56417"/>
      <c r="EI56417"/>
      <c r="EJ56417"/>
      <c r="EK56417"/>
    </row>
    <row r="56418" spans="1:141" s="116" customFormat="1">
      <c r="A56418" s="136"/>
      <c r="CM56418" s="111"/>
      <c r="CQ56418" s="111"/>
      <c r="EF56418"/>
      <c r="EG56418"/>
      <c r="EH56418"/>
      <c r="EI56418"/>
      <c r="EJ56418"/>
      <c r="EK56418"/>
    </row>
    <row r="56419" spans="1:141" s="116" customFormat="1">
      <c r="A56419" s="136"/>
      <c r="CM56419" s="111"/>
      <c r="CQ56419" s="111"/>
      <c r="EF56419"/>
      <c r="EG56419"/>
      <c r="EH56419"/>
      <c r="EI56419"/>
      <c r="EJ56419"/>
      <c r="EK56419"/>
    </row>
    <row r="56420" spans="1:141" s="116" customFormat="1">
      <c r="A56420" s="136"/>
      <c r="CM56420" s="111"/>
      <c r="CQ56420" s="111"/>
      <c r="EF56420"/>
      <c r="EG56420"/>
      <c r="EH56420"/>
      <c r="EI56420"/>
      <c r="EJ56420"/>
      <c r="EK56420"/>
    </row>
    <row r="56421" spans="1:141" s="116" customFormat="1">
      <c r="A56421" s="136"/>
      <c r="CM56421" s="111"/>
      <c r="CQ56421" s="111"/>
      <c r="EF56421"/>
      <c r="EG56421"/>
      <c r="EH56421"/>
      <c r="EI56421"/>
      <c r="EJ56421"/>
      <c r="EK56421"/>
    </row>
    <row r="56422" spans="1:141" s="116" customFormat="1">
      <c r="A56422" s="136"/>
      <c r="CM56422" s="111"/>
      <c r="CQ56422" s="111"/>
      <c r="EF56422"/>
      <c r="EG56422"/>
      <c r="EH56422"/>
      <c r="EI56422"/>
      <c r="EJ56422"/>
      <c r="EK56422"/>
    </row>
    <row r="56423" spans="1:141" s="116" customFormat="1">
      <c r="A56423" s="136"/>
      <c r="CM56423" s="111"/>
      <c r="CQ56423" s="111"/>
      <c r="EF56423"/>
      <c r="EG56423"/>
      <c r="EH56423"/>
      <c r="EI56423"/>
      <c r="EJ56423"/>
      <c r="EK56423"/>
    </row>
    <row r="56424" spans="1:141" s="116" customFormat="1">
      <c r="A56424" s="136"/>
      <c r="CM56424" s="111"/>
      <c r="CQ56424" s="111"/>
      <c r="EF56424"/>
      <c r="EG56424"/>
      <c r="EH56424"/>
      <c r="EI56424"/>
      <c r="EJ56424"/>
      <c r="EK56424"/>
    </row>
    <row r="56425" spans="1:141" s="116" customFormat="1">
      <c r="A56425" s="136"/>
      <c r="CM56425" s="111"/>
      <c r="CQ56425" s="111"/>
      <c r="EF56425"/>
      <c r="EG56425"/>
      <c r="EH56425"/>
      <c r="EI56425"/>
      <c r="EJ56425"/>
      <c r="EK56425"/>
    </row>
    <row r="56426" spans="1:141" s="116" customFormat="1">
      <c r="A56426" s="136"/>
      <c r="CM56426" s="111"/>
      <c r="CQ56426" s="111"/>
      <c r="EF56426"/>
      <c r="EG56426"/>
      <c r="EH56426"/>
      <c r="EI56426"/>
      <c r="EJ56426"/>
      <c r="EK56426"/>
    </row>
    <row r="56427" spans="1:141" s="116" customFormat="1">
      <c r="A56427" s="136"/>
      <c r="CM56427" s="111"/>
      <c r="CQ56427" s="111"/>
      <c r="EF56427"/>
      <c r="EG56427"/>
      <c r="EH56427"/>
      <c r="EI56427"/>
      <c r="EJ56427"/>
      <c r="EK56427"/>
    </row>
    <row r="56428" spans="1:141" s="116" customFormat="1">
      <c r="A56428" s="136"/>
      <c r="CM56428" s="111"/>
      <c r="CQ56428" s="111"/>
      <c r="EF56428"/>
      <c r="EG56428"/>
      <c r="EH56428"/>
      <c r="EI56428"/>
      <c r="EJ56428"/>
      <c r="EK56428"/>
    </row>
    <row r="56429" spans="1:141" s="116" customFormat="1">
      <c r="A56429" s="136"/>
      <c r="CM56429" s="111"/>
      <c r="CQ56429" s="111"/>
      <c r="EF56429"/>
      <c r="EG56429"/>
      <c r="EH56429"/>
      <c r="EI56429"/>
      <c r="EJ56429"/>
      <c r="EK56429"/>
    </row>
    <row r="56430" spans="1:141" s="116" customFormat="1">
      <c r="A56430" s="136"/>
      <c r="CM56430" s="111"/>
      <c r="CQ56430" s="111"/>
      <c r="EF56430"/>
      <c r="EG56430"/>
      <c r="EH56430"/>
      <c r="EI56430"/>
      <c r="EJ56430"/>
      <c r="EK56430"/>
    </row>
    <row r="56431" spans="1:141" s="116" customFormat="1">
      <c r="A56431" s="136"/>
      <c r="CM56431" s="111"/>
      <c r="CQ56431" s="111"/>
      <c r="EF56431"/>
      <c r="EG56431"/>
      <c r="EH56431"/>
      <c r="EI56431"/>
      <c r="EJ56431"/>
      <c r="EK56431"/>
    </row>
    <row r="56432" spans="1:141" s="116" customFormat="1">
      <c r="A56432" s="136"/>
      <c r="CM56432" s="111"/>
      <c r="CQ56432" s="111"/>
      <c r="EF56432"/>
      <c r="EG56432"/>
      <c r="EH56432"/>
      <c r="EI56432"/>
      <c r="EJ56432"/>
      <c r="EK56432"/>
    </row>
    <row r="56433" spans="1:141" s="116" customFormat="1">
      <c r="A56433" s="136"/>
      <c r="CM56433" s="111"/>
      <c r="CQ56433" s="111"/>
      <c r="EF56433"/>
      <c r="EG56433"/>
      <c r="EH56433"/>
      <c r="EI56433"/>
      <c r="EJ56433"/>
      <c r="EK56433"/>
    </row>
    <row r="56434" spans="1:141" s="116" customFormat="1">
      <c r="A56434" s="136"/>
      <c r="CM56434" s="111"/>
      <c r="CQ56434" s="111"/>
      <c r="EF56434"/>
      <c r="EG56434"/>
      <c r="EH56434"/>
      <c r="EI56434"/>
      <c r="EJ56434"/>
      <c r="EK56434"/>
    </row>
    <row r="56435" spans="1:141" s="116" customFormat="1">
      <c r="A56435" s="136"/>
      <c r="CM56435" s="111"/>
      <c r="CQ56435" s="111"/>
      <c r="EF56435"/>
      <c r="EG56435"/>
      <c r="EH56435"/>
      <c r="EI56435"/>
      <c r="EJ56435"/>
      <c r="EK56435"/>
    </row>
    <row r="56436" spans="1:141" s="116" customFormat="1">
      <c r="A56436" s="136"/>
      <c r="CM56436" s="111"/>
      <c r="CQ56436" s="111"/>
      <c r="EF56436"/>
      <c r="EG56436"/>
      <c r="EH56436"/>
      <c r="EI56436"/>
      <c r="EJ56436"/>
      <c r="EK56436"/>
    </row>
    <row r="56437" spans="1:141" s="116" customFormat="1">
      <c r="A56437" s="136"/>
      <c r="CM56437" s="111"/>
      <c r="CQ56437" s="111"/>
      <c r="EF56437"/>
      <c r="EG56437"/>
      <c r="EH56437"/>
      <c r="EI56437"/>
      <c r="EJ56437"/>
      <c r="EK56437"/>
    </row>
    <row r="56438" spans="1:141" s="116" customFormat="1">
      <c r="A56438" s="136"/>
      <c r="CM56438" s="111"/>
      <c r="CQ56438" s="111"/>
      <c r="EF56438"/>
      <c r="EG56438"/>
      <c r="EH56438"/>
      <c r="EI56438"/>
      <c r="EJ56438"/>
      <c r="EK56438"/>
    </row>
    <row r="56439" spans="1:141" s="116" customFormat="1">
      <c r="A56439" s="136"/>
      <c r="CM56439" s="111"/>
      <c r="CQ56439" s="111"/>
      <c r="EF56439"/>
      <c r="EG56439"/>
      <c r="EH56439"/>
      <c r="EI56439"/>
      <c r="EJ56439"/>
      <c r="EK56439"/>
    </row>
    <row r="56440" spans="1:141" s="116" customFormat="1">
      <c r="A56440" s="136"/>
      <c r="CM56440" s="111"/>
      <c r="CQ56440" s="111"/>
      <c r="EF56440"/>
      <c r="EG56440"/>
      <c r="EH56440"/>
      <c r="EI56440"/>
      <c r="EJ56440"/>
      <c r="EK56440"/>
    </row>
    <row r="56441" spans="1:141" s="116" customFormat="1">
      <c r="A56441" s="136"/>
      <c r="CM56441" s="111"/>
      <c r="CQ56441" s="111"/>
      <c r="EF56441"/>
      <c r="EG56441"/>
      <c r="EH56441"/>
      <c r="EI56441"/>
      <c r="EJ56441"/>
      <c r="EK56441"/>
    </row>
    <row r="56442" spans="1:141" s="116" customFormat="1">
      <c r="A56442" s="136"/>
      <c r="CM56442" s="111"/>
      <c r="CQ56442" s="111"/>
      <c r="EF56442"/>
      <c r="EG56442"/>
      <c r="EH56442"/>
      <c r="EI56442"/>
      <c r="EJ56442"/>
      <c r="EK56442"/>
    </row>
    <row r="56443" spans="1:141" s="116" customFormat="1">
      <c r="A56443" s="136"/>
      <c r="CM56443" s="111"/>
      <c r="CQ56443" s="111"/>
      <c r="EF56443"/>
      <c r="EG56443"/>
      <c r="EH56443"/>
      <c r="EI56443"/>
      <c r="EJ56443"/>
      <c r="EK56443"/>
    </row>
    <row r="56444" spans="1:141" s="116" customFormat="1">
      <c r="A56444" s="136"/>
      <c r="CM56444" s="111"/>
      <c r="CQ56444" s="111"/>
      <c r="EF56444"/>
      <c r="EG56444"/>
      <c r="EH56444"/>
      <c r="EI56444"/>
      <c r="EJ56444"/>
      <c r="EK56444"/>
    </row>
    <row r="56445" spans="1:141" s="116" customFormat="1">
      <c r="A56445" s="136"/>
      <c r="CM56445" s="111"/>
      <c r="CQ56445" s="111"/>
      <c r="EF56445"/>
      <c r="EG56445"/>
      <c r="EH56445"/>
      <c r="EI56445"/>
      <c r="EJ56445"/>
      <c r="EK56445"/>
    </row>
    <row r="56446" spans="1:141" s="116" customFormat="1">
      <c r="A56446" s="136"/>
      <c r="CM56446" s="111"/>
      <c r="CQ56446" s="111"/>
      <c r="EF56446"/>
      <c r="EG56446"/>
      <c r="EH56446"/>
      <c r="EI56446"/>
      <c r="EJ56446"/>
      <c r="EK56446"/>
    </row>
    <row r="56447" spans="1:141" s="116" customFormat="1">
      <c r="A56447" s="136"/>
      <c r="CM56447" s="111"/>
      <c r="CQ56447" s="111"/>
      <c r="EF56447"/>
      <c r="EG56447"/>
      <c r="EH56447"/>
      <c r="EI56447"/>
      <c r="EJ56447"/>
      <c r="EK56447"/>
    </row>
    <row r="56448" spans="1:141" s="116" customFormat="1">
      <c r="A56448" s="136"/>
      <c r="CM56448" s="111"/>
      <c r="CQ56448" s="111"/>
      <c r="EF56448"/>
      <c r="EG56448"/>
      <c r="EH56448"/>
      <c r="EI56448"/>
      <c r="EJ56448"/>
      <c r="EK56448"/>
    </row>
    <row r="56449" spans="1:141" s="116" customFormat="1">
      <c r="A56449" s="136"/>
      <c r="CM56449" s="111"/>
      <c r="CQ56449" s="111"/>
      <c r="EF56449"/>
      <c r="EG56449"/>
      <c r="EH56449"/>
      <c r="EI56449"/>
      <c r="EJ56449"/>
      <c r="EK56449"/>
    </row>
    <row r="56450" spans="1:141" s="116" customFormat="1">
      <c r="A56450" s="136"/>
      <c r="CM56450" s="111"/>
      <c r="CQ56450" s="111"/>
      <c r="EF56450"/>
      <c r="EG56450"/>
      <c r="EH56450"/>
      <c r="EI56450"/>
      <c r="EJ56450"/>
      <c r="EK56450"/>
    </row>
    <row r="56451" spans="1:141" s="116" customFormat="1">
      <c r="A56451" s="136"/>
      <c r="CM56451" s="111"/>
      <c r="CQ56451" s="111"/>
      <c r="EF56451"/>
      <c r="EG56451"/>
      <c r="EH56451"/>
      <c r="EI56451"/>
      <c r="EJ56451"/>
      <c r="EK56451"/>
    </row>
    <row r="56452" spans="1:141" s="116" customFormat="1">
      <c r="A56452" s="136"/>
      <c r="CM56452" s="111"/>
      <c r="CQ56452" s="111"/>
      <c r="EF56452"/>
      <c r="EG56452"/>
      <c r="EH56452"/>
      <c r="EI56452"/>
      <c r="EJ56452"/>
      <c r="EK56452"/>
    </row>
    <row r="56453" spans="1:141" s="116" customFormat="1">
      <c r="A56453" s="136"/>
      <c r="CM56453" s="111"/>
      <c r="CQ56453" s="111"/>
      <c r="EF56453"/>
      <c r="EG56453"/>
      <c r="EH56453"/>
      <c r="EI56453"/>
      <c r="EJ56453"/>
      <c r="EK56453"/>
    </row>
    <row r="56454" spans="1:141" s="116" customFormat="1">
      <c r="A56454" s="136"/>
      <c r="CM56454" s="111"/>
      <c r="CQ56454" s="111"/>
      <c r="EF56454"/>
      <c r="EG56454"/>
      <c r="EH56454"/>
      <c r="EI56454"/>
      <c r="EJ56454"/>
      <c r="EK56454"/>
    </row>
    <row r="56455" spans="1:141" s="116" customFormat="1">
      <c r="A56455" s="136"/>
      <c r="CM56455" s="111"/>
      <c r="CQ56455" s="111"/>
      <c r="EF56455"/>
      <c r="EG56455"/>
      <c r="EH56455"/>
      <c r="EI56455"/>
      <c r="EJ56455"/>
      <c r="EK56455"/>
    </row>
    <row r="56456" spans="1:141" s="116" customFormat="1">
      <c r="A56456" s="136"/>
      <c r="CM56456" s="111"/>
      <c r="CQ56456" s="111"/>
      <c r="EF56456"/>
      <c r="EG56456"/>
      <c r="EH56456"/>
      <c r="EI56456"/>
      <c r="EJ56456"/>
      <c r="EK56456"/>
    </row>
    <row r="56457" spans="1:141" s="116" customFormat="1">
      <c r="A56457" s="136"/>
      <c r="CM56457" s="111"/>
      <c r="CQ56457" s="111"/>
      <c r="EF56457"/>
      <c r="EG56457"/>
      <c r="EH56457"/>
      <c r="EI56457"/>
      <c r="EJ56457"/>
      <c r="EK56457"/>
    </row>
    <row r="56458" spans="1:141" s="116" customFormat="1">
      <c r="A56458" s="136"/>
      <c r="CM56458" s="111"/>
      <c r="CQ56458" s="111"/>
      <c r="EF56458"/>
      <c r="EG56458"/>
      <c r="EH56458"/>
      <c r="EI56458"/>
      <c r="EJ56458"/>
      <c r="EK56458"/>
    </row>
    <row r="56459" spans="1:141" s="116" customFormat="1">
      <c r="A56459" s="136"/>
      <c r="CM56459" s="111"/>
      <c r="CQ56459" s="111"/>
      <c r="EF56459"/>
      <c r="EG56459"/>
      <c r="EH56459"/>
      <c r="EI56459"/>
      <c r="EJ56459"/>
      <c r="EK56459"/>
    </row>
    <row r="56460" spans="1:141" s="116" customFormat="1">
      <c r="A56460" s="136"/>
      <c r="CM56460" s="111"/>
      <c r="CQ56460" s="111"/>
      <c r="EF56460"/>
      <c r="EG56460"/>
      <c r="EH56460"/>
      <c r="EI56460"/>
      <c r="EJ56460"/>
      <c r="EK56460"/>
    </row>
    <row r="56461" spans="1:141" s="116" customFormat="1">
      <c r="A56461" s="136"/>
      <c r="CM56461" s="111"/>
      <c r="CQ56461" s="111"/>
      <c r="EF56461"/>
      <c r="EG56461"/>
      <c r="EH56461"/>
      <c r="EI56461"/>
      <c r="EJ56461"/>
      <c r="EK56461"/>
    </row>
    <row r="56462" spans="1:141" s="116" customFormat="1">
      <c r="A56462" s="136"/>
      <c r="CM56462" s="111"/>
      <c r="CQ56462" s="111"/>
      <c r="EF56462"/>
      <c r="EG56462"/>
      <c r="EH56462"/>
      <c r="EI56462"/>
      <c r="EJ56462"/>
      <c r="EK56462"/>
    </row>
    <row r="56463" spans="1:141" s="116" customFormat="1">
      <c r="A56463" s="136"/>
      <c r="CM56463" s="111"/>
      <c r="CQ56463" s="111"/>
      <c r="EF56463"/>
      <c r="EG56463"/>
      <c r="EH56463"/>
      <c r="EI56463"/>
      <c r="EJ56463"/>
      <c r="EK56463"/>
    </row>
    <row r="56464" spans="1:141" s="116" customFormat="1">
      <c r="A56464" s="136"/>
      <c r="CM56464" s="111"/>
      <c r="CQ56464" s="111"/>
      <c r="EF56464"/>
      <c r="EG56464"/>
      <c r="EH56464"/>
      <c r="EI56464"/>
      <c r="EJ56464"/>
      <c r="EK56464"/>
    </row>
    <row r="56465" spans="1:141" s="116" customFormat="1">
      <c r="A56465" s="136"/>
      <c r="CM56465" s="111"/>
      <c r="CQ56465" s="111"/>
      <c r="EF56465"/>
      <c r="EG56465"/>
      <c r="EH56465"/>
      <c r="EI56465"/>
      <c r="EJ56465"/>
      <c r="EK56465"/>
    </row>
    <row r="56466" spans="1:141" s="116" customFormat="1">
      <c r="A56466" s="136"/>
      <c r="CM56466" s="111"/>
      <c r="CQ56466" s="111"/>
      <c r="EF56466"/>
      <c r="EG56466"/>
      <c r="EH56466"/>
      <c r="EI56466"/>
      <c r="EJ56466"/>
      <c r="EK56466"/>
    </row>
    <row r="56467" spans="1:141" s="116" customFormat="1">
      <c r="A56467" s="136"/>
      <c r="CM56467" s="111"/>
      <c r="CQ56467" s="111"/>
      <c r="EF56467"/>
      <c r="EG56467"/>
      <c r="EH56467"/>
      <c r="EI56467"/>
      <c r="EJ56467"/>
      <c r="EK56467"/>
    </row>
    <row r="56468" spans="1:141" s="116" customFormat="1">
      <c r="A56468" s="136"/>
      <c r="CM56468" s="111"/>
      <c r="CQ56468" s="111"/>
      <c r="EF56468"/>
      <c r="EG56468"/>
      <c r="EH56468"/>
      <c r="EI56468"/>
      <c r="EJ56468"/>
      <c r="EK56468"/>
    </row>
    <row r="56469" spans="1:141" s="116" customFormat="1">
      <c r="A56469" s="136"/>
      <c r="CM56469" s="111"/>
      <c r="CQ56469" s="111"/>
      <c r="EF56469"/>
      <c r="EG56469"/>
      <c r="EH56469"/>
      <c r="EI56469"/>
      <c r="EJ56469"/>
      <c r="EK56469"/>
    </row>
    <row r="56470" spans="1:141" s="116" customFormat="1">
      <c r="A56470" s="136"/>
      <c r="CM56470" s="111"/>
      <c r="CQ56470" s="111"/>
      <c r="EF56470"/>
      <c r="EG56470"/>
      <c r="EH56470"/>
      <c r="EI56470"/>
      <c r="EJ56470"/>
      <c r="EK56470"/>
    </row>
    <row r="56471" spans="1:141" s="116" customFormat="1">
      <c r="A56471" s="136"/>
      <c r="CM56471" s="111"/>
      <c r="CQ56471" s="111"/>
      <c r="EF56471"/>
      <c r="EG56471"/>
      <c r="EH56471"/>
      <c r="EI56471"/>
      <c r="EJ56471"/>
      <c r="EK56471"/>
    </row>
    <row r="56472" spans="1:141" s="116" customFormat="1">
      <c r="A56472" s="136"/>
      <c r="CM56472" s="111"/>
      <c r="CQ56472" s="111"/>
      <c r="EF56472"/>
      <c r="EG56472"/>
      <c r="EH56472"/>
      <c r="EI56472"/>
      <c r="EJ56472"/>
      <c r="EK56472"/>
    </row>
    <row r="56473" spans="1:141" s="116" customFormat="1">
      <c r="A56473" s="136"/>
      <c r="CM56473" s="111"/>
      <c r="CQ56473" s="111"/>
      <c r="EF56473"/>
      <c r="EG56473"/>
      <c r="EH56473"/>
      <c r="EI56473"/>
      <c r="EJ56473"/>
      <c r="EK56473"/>
    </row>
    <row r="56474" spans="1:141" s="116" customFormat="1">
      <c r="A56474" s="136"/>
      <c r="CM56474" s="111"/>
      <c r="CQ56474" s="111"/>
      <c r="EF56474"/>
      <c r="EG56474"/>
      <c r="EH56474"/>
      <c r="EI56474"/>
      <c r="EJ56474"/>
      <c r="EK56474"/>
    </row>
    <row r="56475" spans="1:141" s="116" customFormat="1">
      <c r="A56475" s="136"/>
      <c r="CM56475" s="111"/>
      <c r="CQ56475" s="111"/>
      <c r="EF56475"/>
      <c r="EG56475"/>
      <c r="EH56475"/>
      <c r="EI56475"/>
      <c r="EJ56475"/>
      <c r="EK56475"/>
    </row>
    <row r="56476" spans="1:141" s="116" customFormat="1">
      <c r="A56476" s="136"/>
      <c r="CM56476" s="111"/>
      <c r="CQ56476" s="111"/>
      <c r="EF56476"/>
      <c r="EG56476"/>
      <c r="EH56476"/>
      <c r="EI56476"/>
      <c r="EJ56476"/>
      <c r="EK56476"/>
    </row>
    <row r="56477" spans="1:141" s="116" customFormat="1">
      <c r="A56477" s="136"/>
      <c r="CM56477" s="111"/>
      <c r="CQ56477" s="111"/>
      <c r="EF56477"/>
      <c r="EG56477"/>
      <c r="EH56477"/>
      <c r="EI56477"/>
      <c r="EJ56477"/>
      <c r="EK56477"/>
    </row>
    <row r="56478" spans="1:141" s="116" customFormat="1">
      <c r="A56478" s="136"/>
      <c r="CM56478" s="111"/>
      <c r="CQ56478" s="111"/>
      <c r="EF56478"/>
      <c r="EG56478"/>
      <c r="EH56478"/>
      <c r="EI56478"/>
      <c r="EJ56478"/>
      <c r="EK56478"/>
    </row>
    <row r="56479" spans="1:141" s="116" customFormat="1">
      <c r="A56479" s="136"/>
      <c r="CM56479" s="111"/>
      <c r="CQ56479" s="111"/>
      <c r="EF56479"/>
      <c r="EG56479"/>
      <c r="EH56479"/>
      <c r="EI56479"/>
      <c r="EJ56479"/>
      <c r="EK56479"/>
    </row>
    <row r="56480" spans="1:141" s="116" customFormat="1">
      <c r="A56480" s="136"/>
      <c r="CM56480" s="111"/>
      <c r="CQ56480" s="111"/>
      <c r="EF56480"/>
      <c r="EG56480"/>
      <c r="EH56480"/>
      <c r="EI56480"/>
      <c r="EJ56480"/>
      <c r="EK56480"/>
    </row>
    <row r="56481" spans="1:141" s="116" customFormat="1">
      <c r="A56481" s="136"/>
      <c r="CM56481" s="111"/>
      <c r="CQ56481" s="111"/>
      <c r="EF56481"/>
      <c r="EG56481"/>
      <c r="EH56481"/>
      <c r="EI56481"/>
      <c r="EJ56481"/>
      <c r="EK56481"/>
    </row>
    <row r="56482" spans="1:141" s="116" customFormat="1">
      <c r="A56482" s="136"/>
      <c r="CM56482" s="111"/>
      <c r="CQ56482" s="111"/>
      <c r="EF56482"/>
      <c r="EG56482"/>
      <c r="EH56482"/>
      <c r="EI56482"/>
      <c r="EJ56482"/>
      <c r="EK56482"/>
    </row>
    <row r="56483" spans="1:141" s="116" customFormat="1">
      <c r="A56483" s="136"/>
      <c r="CM56483" s="111"/>
      <c r="CQ56483" s="111"/>
      <c r="EF56483"/>
      <c r="EG56483"/>
      <c r="EH56483"/>
      <c r="EI56483"/>
      <c r="EJ56483"/>
      <c r="EK56483"/>
    </row>
    <row r="56484" spans="1:141" s="116" customFormat="1">
      <c r="A56484" s="136"/>
      <c r="CM56484" s="111"/>
      <c r="CQ56484" s="111"/>
      <c r="EF56484"/>
      <c r="EG56484"/>
      <c r="EH56484"/>
      <c r="EI56484"/>
      <c r="EJ56484"/>
      <c r="EK56484"/>
    </row>
    <row r="56485" spans="1:141" s="116" customFormat="1">
      <c r="A56485" s="136"/>
      <c r="CM56485" s="111"/>
      <c r="CQ56485" s="111"/>
      <c r="EF56485"/>
      <c r="EG56485"/>
      <c r="EH56485"/>
      <c r="EI56485"/>
      <c r="EJ56485"/>
      <c r="EK56485"/>
    </row>
    <row r="56486" spans="1:141" s="116" customFormat="1">
      <c r="A56486" s="136"/>
      <c r="CM56486" s="111"/>
      <c r="CQ56486" s="111"/>
      <c r="EF56486"/>
      <c r="EG56486"/>
      <c r="EH56486"/>
      <c r="EI56486"/>
      <c r="EJ56486"/>
      <c r="EK56486"/>
    </row>
    <row r="56487" spans="1:141" s="116" customFormat="1">
      <c r="A56487" s="136"/>
      <c r="CM56487" s="111"/>
      <c r="CQ56487" s="111"/>
      <c r="EF56487"/>
      <c r="EG56487"/>
      <c r="EH56487"/>
      <c r="EI56487"/>
      <c r="EJ56487"/>
      <c r="EK56487"/>
    </row>
    <row r="56488" spans="1:141" s="116" customFormat="1">
      <c r="A56488" s="136"/>
      <c r="CM56488" s="111"/>
      <c r="CQ56488" s="111"/>
      <c r="EF56488"/>
      <c r="EG56488"/>
      <c r="EH56488"/>
      <c r="EI56488"/>
      <c r="EJ56488"/>
      <c r="EK56488"/>
    </row>
    <row r="56489" spans="1:141" s="116" customFormat="1">
      <c r="A56489" s="136"/>
      <c r="CM56489" s="111"/>
      <c r="CQ56489" s="111"/>
      <c r="EF56489"/>
      <c r="EG56489"/>
      <c r="EH56489"/>
      <c r="EI56489"/>
      <c r="EJ56489"/>
      <c r="EK56489"/>
    </row>
    <row r="56490" spans="1:141" s="116" customFormat="1">
      <c r="A56490" s="136"/>
      <c r="CM56490" s="111"/>
      <c r="CQ56490" s="111"/>
      <c r="EF56490"/>
      <c r="EG56490"/>
      <c r="EH56490"/>
      <c r="EI56490"/>
      <c r="EJ56490"/>
      <c r="EK56490"/>
    </row>
    <row r="56491" spans="1:141" s="116" customFormat="1">
      <c r="A56491" s="136"/>
      <c r="CM56491" s="111"/>
      <c r="CQ56491" s="111"/>
      <c r="EF56491"/>
      <c r="EG56491"/>
      <c r="EH56491"/>
      <c r="EI56491"/>
      <c r="EJ56491"/>
      <c r="EK56491"/>
    </row>
    <row r="56492" spans="1:141" s="116" customFormat="1">
      <c r="A56492" s="136"/>
      <c r="CM56492" s="111"/>
      <c r="CQ56492" s="111"/>
      <c r="EF56492"/>
      <c r="EG56492"/>
      <c r="EH56492"/>
      <c r="EI56492"/>
      <c r="EJ56492"/>
      <c r="EK56492"/>
    </row>
    <row r="56493" spans="1:141" s="116" customFormat="1">
      <c r="A56493" s="136"/>
      <c r="CM56493" s="111"/>
      <c r="CQ56493" s="111"/>
      <c r="EF56493"/>
      <c r="EG56493"/>
      <c r="EH56493"/>
      <c r="EI56493"/>
      <c r="EJ56493"/>
      <c r="EK56493"/>
    </row>
    <row r="56494" spans="1:141" s="116" customFormat="1">
      <c r="A56494" s="136"/>
      <c r="CM56494" s="111"/>
      <c r="CQ56494" s="111"/>
      <c r="EF56494"/>
      <c r="EG56494"/>
      <c r="EH56494"/>
      <c r="EI56494"/>
      <c r="EJ56494"/>
      <c r="EK56494"/>
    </row>
    <row r="56495" spans="1:141" s="116" customFormat="1">
      <c r="A56495" s="136"/>
      <c r="CM56495" s="111"/>
      <c r="CQ56495" s="111"/>
      <c r="EF56495"/>
      <c r="EG56495"/>
      <c r="EH56495"/>
      <c r="EI56495"/>
      <c r="EJ56495"/>
      <c r="EK56495"/>
    </row>
    <row r="56496" spans="1:141" s="116" customFormat="1">
      <c r="A56496" s="136"/>
      <c r="CM56496" s="111"/>
      <c r="CQ56496" s="111"/>
      <c r="EF56496"/>
      <c r="EG56496"/>
      <c r="EH56496"/>
      <c r="EI56496"/>
      <c r="EJ56496"/>
      <c r="EK56496"/>
    </row>
    <row r="56497" spans="1:141" s="116" customFormat="1">
      <c r="A56497" s="136"/>
      <c r="CM56497" s="111"/>
      <c r="CQ56497" s="111"/>
      <c r="EF56497"/>
      <c r="EG56497"/>
      <c r="EH56497"/>
      <c r="EI56497"/>
      <c r="EJ56497"/>
      <c r="EK56497"/>
    </row>
    <row r="56498" spans="1:141" s="116" customFormat="1">
      <c r="A56498" s="136"/>
      <c r="CM56498" s="111"/>
      <c r="CQ56498" s="111"/>
      <c r="EF56498"/>
      <c r="EG56498"/>
      <c r="EH56498"/>
      <c r="EI56498"/>
      <c r="EJ56498"/>
      <c r="EK56498"/>
    </row>
    <row r="56499" spans="1:141" s="116" customFormat="1">
      <c r="A56499" s="136"/>
      <c r="CM56499" s="111"/>
      <c r="CQ56499" s="111"/>
      <c r="EF56499"/>
      <c r="EG56499"/>
      <c r="EH56499"/>
      <c r="EI56499"/>
      <c r="EJ56499"/>
      <c r="EK56499"/>
    </row>
    <row r="56500" spans="1:141" s="116" customFormat="1">
      <c r="A56500" s="136"/>
      <c r="CM56500" s="111"/>
      <c r="CQ56500" s="111"/>
      <c r="EF56500"/>
      <c r="EG56500"/>
      <c r="EH56500"/>
      <c r="EI56500"/>
      <c r="EJ56500"/>
      <c r="EK56500"/>
    </row>
    <row r="56501" spans="1:141" s="116" customFormat="1">
      <c r="A56501" s="136"/>
      <c r="CM56501" s="111"/>
      <c r="CQ56501" s="111"/>
      <c r="EF56501"/>
      <c r="EG56501"/>
      <c r="EH56501"/>
      <c r="EI56501"/>
      <c r="EJ56501"/>
      <c r="EK56501"/>
    </row>
    <row r="56502" spans="1:141" s="116" customFormat="1">
      <c r="A56502" s="136"/>
      <c r="CM56502" s="111"/>
      <c r="CQ56502" s="111"/>
      <c r="EF56502"/>
      <c r="EG56502"/>
      <c r="EH56502"/>
      <c r="EI56502"/>
      <c r="EJ56502"/>
      <c r="EK56502"/>
    </row>
    <row r="56503" spans="1:141" s="116" customFormat="1">
      <c r="A56503" s="136"/>
      <c r="CM56503" s="111"/>
      <c r="CQ56503" s="111"/>
      <c r="EF56503"/>
      <c r="EG56503"/>
      <c r="EH56503"/>
      <c r="EI56503"/>
      <c r="EJ56503"/>
      <c r="EK56503"/>
    </row>
    <row r="56504" spans="1:141" s="116" customFormat="1">
      <c r="A56504" s="136"/>
      <c r="CM56504" s="111"/>
      <c r="CQ56504" s="111"/>
      <c r="EF56504"/>
      <c r="EG56504"/>
      <c r="EH56504"/>
      <c r="EI56504"/>
      <c r="EJ56504"/>
      <c r="EK56504"/>
    </row>
    <row r="56505" spans="1:141" s="116" customFormat="1">
      <c r="A56505" s="136"/>
      <c r="CM56505" s="111"/>
      <c r="CQ56505" s="111"/>
      <c r="EF56505"/>
      <c r="EG56505"/>
      <c r="EH56505"/>
      <c r="EI56505"/>
      <c r="EJ56505"/>
      <c r="EK56505"/>
    </row>
    <row r="56506" spans="1:141" s="116" customFormat="1">
      <c r="A56506" s="136"/>
      <c r="CM56506" s="111"/>
      <c r="CQ56506" s="111"/>
      <c r="EF56506"/>
      <c r="EG56506"/>
      <c r="EH56506"/>
      <c r="EI56506"/>
      <c r="EJ56506"/>
      <c r="EK56506"/>
    </row>
    <row r="56507" spans="1:141" s="116" customFormat="1">
      <c r="A56507" s="136"/>
      <c r="CM56507" s="111"/>
      <c r="CQ56507" s="111"/>
      <c r="EF56507"/>
      <c r="EG56507"/>
      <c r="EH56507"/>
      <c r="EI56507"/>
      <c r="EJ56507"/>
      <c r="EK56507"/>
    </row>
    <row r="56508" spans="1:141" s="116" customFormat="1">
      <c r="A56508" s="136"/>
      <c r="CM56508" s="111"/>
      <c r="CQ56508" s="111"/>
      <c r="EF56508"/>
      <c r="EG56508"/>
      <c r="EH56508"/>
      <c r="EI56508"/>
      <c r="EJ56508"/>
      <c r="EK56508"/>
    </row>
    <row r="56509" spans="1:141" s="116" customFormat="1">
      <c r="A56509" s="136"/>
      <c r="CM56509" s="111"/>
      <c r="CQ56509" s="111"/>
      <c r="EF56509"/>
      <c r="EG56509"/>
      <c r="EH56509"/>
      <c r="EI56509"/>
      <c r="EJ56509"/>
      <c r="EK56509"/>
    </row>
    <row r="56510" spans="1:141" s="116" customFormat="1">
      <c r="A56510" s="136"/>
      <c r="CM56510" s="111"/>
      <c r="CQ56510" s="111"/>
      <c r="EF56510"/>
      <c r="EG56510"/>
      <c r="EH56510"/>
      <c r="EI56510"/>
      <c r="EJ56510"/>
      <c r="EK56510"/>
    </row>
    <row r="56511" spans="1:141" s="116" customFormat="1">
      <c r="A56511" s="136"/>
      <c r="CM56511" s="111"/>
      <c r="CQ56511" s="111"/>
      <c r="EF56511"/>
      <c r="EG56511"/>
      <c r="EH56511"/>
      <c r="EI56511"/>
      <c r="EJ56511"/>
      <c r="EK56511"/>
    </row>
    <row r="56512" spans="1:141" s="116" customFormat="1">
      <c r="A56512" s="136"/>
      <c r="CM56512" s="111"/>
      <c r="CQ56512" s="111"/>
      <c r="EF56512"/>
      <c r="EG56512"/>
      <c r="EH56512"/>
      <c r="EI56512"/>
      <c r="EJ56512"/>
      <c r="EK56512"/>
    </row>
    <row r="56513" spans="1:141" s="116" customFormat="1">
      <c r="A56513" s="136"/>
      <c r="CM56513" s="111"/>
      <c r="CQ56513" s="111"/>
      <c r="EF56513"/>
      <c r="EG56513"/>
      <c r="EH56513"/>
      <c r="EI56513"/>
      <c r="EJ56513"/>
      <c r="EK56513"/>
    </row>
    <row r="56514" spans="1:141" s="116" customFormat="1">
      <c r="A56514" s="136"/>
      <c r="CM56514" s="111"/>
      <c r="CQ56514" s="111"/>
      <c r="EF56514"/>
      <c r="EG56514"/>
      <c r="EH56514"/>
      <c r="EI56514"/>
      <c r="EJ56514"/>
      <c r="EK56514"/>
    </row>
    <row r="56515" spans="1:141" s="116" customFormat="1">
      <c r="A56515" s="136"/>
      <c r="CM56515" s="111"/>
      <c r="CQ56515" s="111"/>
      <c r="EF56515"/>
      <c r="EG56515"/>
      <c r="EH56515"/>
      <c r="EI56515"/>
      <c r="EJ56515"/>
      <c r="EK56515"/>
    </row>
    <row r="56516" spans="1:141" s="116" customFormat="1">
      <c r="A56516" s="136"/>
      <c r="CM56516" s="111"/>
      <c r="CQ56516" s="111"/>
      <c r="EF56516"/>
      <c r="EG56516"/>
      <c r="EH56516"/>
      <c r="EI56516"/>
      <c r="EJ56516"/>
      <c r="EK56516"/>
    </row>
    <row r="56517" spans="1:141" s="116" customFormat="1">
      <c r="A56517" s="136"/>
      <c r="CM56517" s="111"/>
      <c r="CQ56517" s="111"/>
      <c r="EF56517"/>
      <c r="EG56517"/>
      <c r="EH56517"/>
      <c r="EI56517"/>
      <c r="EJ56517"/>
      <c r="EK56517"/>
    </row>
    <row r="56518" spans="1:141" s="116" customFormat="1">
      <c r="A56518" s="136"/>
      <c r="CM56518" s="111"/>
      <c r="CQ56518" s="111"/>
      <c r="EF56518"/>
      <c r="EG56518"/>
      <c r="EH56518"/>
      <c r="EI56518"/>
      <c r="EJ56518"/>
      <c r="EK56518"/>
    </row>
    <row r="56519" spans="1:141" s="116" customFormat="1">
      <c r="A56519" s="136"/>
      <c r="CM56519" s="111"/>
      <c r="CQ56519" s="111"/>
      <c r="EF56519"/>
      <c r="EG56519"/>
      <c r="EH56519"/>
      <c r="EI56519"/>
      <c r="EJ56519"/>
      <c r="EK56519"/>
    </row>
    <row r="56520" spans="1:141" s="116" customFormat="1">
      <c r="A56520" s="136"/>
      <c r="CM56520" s="111"/>
      <c r="CQ56520" s="111"/>
      <c r="EF56520"/>
      <c r="EG56520"/>
      <c r="EH56520"/>
      <c r="EI56520"/>
      <c r="EJ56520"/>
      <c r="EK56520"/>
    </row>
    <row r="56521" spans="1:141" s="116" customFormat="1">
      <c r="A56521" s="136"/>
      <c r="CM56521" s="111"/>
      <c r="CQ56521" s="111"/>
      <c r="EF56521"/>
      <c r="EG56521"/>
      <c r="EH56521"/>
      <c r="EI56521"/>
      <c r="EJ56521"/>
      <c r="EK56521"/>
    </row>
    <row r="56522" spans="1:141" s="116" customFormat="1">
      <c r="A56522" s="136"/>
      <c r="CM56522" s="111"/>
      <c r="CQ56522" s="111"/>
      <c r="EF56522"/>
      <c r="EG56522"/>
      <c r="EH56522"/>
      <c r="EI56522"/>
      <c r="EJ56522"/>
      <c r="EK56522"/>
    </row>
    <row r="56523" spans="1:141" s="116" customFormat="1">
      <c r="A56523" s="136"/>
      <c r="CM56523" s="111"/>
      <c r="CQ56523" s="111"/>
      <c r="EF56523"/>
      <c r="EG56523"/>
      <c r="EH56523"/>
      <c r="EI56523"/>
      <c r="EJ56523"/>
      <c r="EK56523"/>
    </row>
    <row r="56524" spans="1:141" s="116" customFormat="1">
      <c r="A56524" s="136"/>
      <c r="CM56524" s="111"/>
      <c r="CQ56524" s="111"/>
      <c r="EF56524"/>
      <c r="EG56524"/>
      <c r="EH56524"/>
      <c r="EI56524"/>
      <c r="EJ56524"/>
      <c r="EK56524"/>
    </row>
    <row r="56525" spans="1:141" s="116" customFormat="1">
      <c r="A56525" s="136"/>
      <c r="CM56525" s="111"/>
      <c r="CQ56525" s="111"/>
      <c r="EF56525"/>
      <c r="EG56525"/>
      <c r="EH56525"/>
      <c r="EI56525"/>
      <c r="EJ56525"/>
      <c r="EK56525"/>
    </row>
    <row r="56526" spans="1:141" s="116" customFormat="1">
      <c r="A56526" s="136"/>
      <c r="CM56526" s="111"/>
      <c r="CQ56526" s="111"/>
      <c r="EF56526"/>
      <c r="EG56526"/>
      <c r="EH56526"/>
      <c r="EI56526"/>
      <c r="EJ56526"/>
      <c r="EK56526"/>
    </row>
    <row r="56527" spans="1:141" s="116" customFormat="1">
      <c r="A56527" s="136"/>
      <c r="CM56527" s="111"/>
      <c r="CQ56527" s="111"/>
      <c r="EF56527"/>
      <c r="EG56527"/>
      <c r="EH56527"/>
      <c r="EI56527"/>
      <c r="EJ56527"/>
      <c r="EK56527"/>
    </row>
    <row r="56528" spans="1:141" s="116" customFormat="1">
      <c r="A56528" s="136"/>
      <c r="CM56528" s="111"/>
      <c r="CQ56528" s="111"/>
      <c r="EF56528"/>
      <c r="EG56528"/>
      <c r="EH56528"/>
      <c r="EI56528"/>
      <c r="EJ56528"/>
      <c r="EK56528"/>
    </row>
    <row r="56529" spans="1:141" s="116" customFormat="1">
      <c r="A56529" s="136"/>
      <c r="CM56529" s="111"/>
      <c r="CQ56529" s="111"/>
      <c r="EF56529"/>
      <c r="EG56529"/>
      <c r="EH56529"/>
      <c r="EI56529"/>
      <c r="EJ56529"/>
      <c r="EK56529"/>
    </row>
    <row r="56530" spans="1:141" s="116" customFormat="1">
      <c r="A56530" s="136"/>
      <c r="CM56530" s="111"/>
      <c r="CQ56530" s="111"/>
      <c r="EF56530"/>
      <c r="EG56530"/>
      <c r="EH56530"/>
      <c r="EI56530"/>
      <c r="EJ56530"/>
      <c r="EK56530"/>
    </row>
    <row r="56531" spans="1:141" s="116" customFormat="1">
      <c r="A56531" s="136"/>
      <c r="CM56531" s="111"/>
      <c r="CQ56531" s="111"/>
      <c r="EF56531"/>
      <c r="EG56531"/>
      <c r="EH56531"/>
      <c r="EI56531"/>
      <c r="EJ56531"/>
      <c r="EK56531"/>
    </row>
    <row r="56532" spans="1:141" s="116" customFormat="1">
      <c r="A56532" s="136"/>
      <c r="CM56532" s="111"/>
      <c r="CQ56532" s="111"/>
      <c r="EF56532"/>
      <c r="EG56532"/>
      <c r="EH56532"/>
      <c r="EI56532"/>
      <c r="EJ56532"/>
      <c r="EK56532"/>
    </row>
    <row r="56533" spans="1:141" s="116" customFormat="1">
      <c r="A56533" s="136"/>
      <c r="CM56533" s="111"/>
      <c r="CQ56533" s="111"/>
      <c r="EF56533"/>
      <c r="EG56533"/>
      <c r="EH56533"/>
      <c r="EI56533"/>
      <c r="EJ56533"/>
      <c r="EK56533"/>
    </row>
    <row r="56534" spans="1:141" s="116" customFormat="1">
      <c r="A56534" s="136"/>
      <c r="CM56534" s="111"/>
      <c r="CQ56534" s="111"/>
      <c r="EF56534"/>
      <c r="EG56534"/>
      <c r="EH56534"/>
      <c r="EI56534"/>
      <c r="EJ56534"/>
      <c r="EK56534"/>
    </row>
    <row r="56535" spans="1:141" s="116" customFormat="1">
      <c r="A56535" s="136"/>
      <c r="CM56535" s="111"/>
      <c r="CQ56535" s="111"/>
      <c r="EF56535"/>
      <c r="EG56535"/>
      <c r="EH56535"/>
      <c r="EI56535"/>
      <c r="EJ56535"/>
      <c r="EK56535"/>
    </row>
    <row r="56536" spans="1:141" s="116" customFormat="1">
      <c r="A56536" s="136"/>
      <c r="CM56536" s="111"/>
      <c r="CQ56536" s="111"/>
      <c r="EF56536"/>
      <c r="EG56536"/>
      <c r="EH56536"/>
      <c r="EI56536"/>
      <c r="EJ56536"/>
      <c r="EK56536"/>
    </row>
    <row r="56537" spans="1:141" s="116" customFormat="1">
      <c r="A56537" s="136"/>
      <c r="CM56537" s="111"/>
      <c r="CQ56537" s="111"/>
      <c r="EF56537"/>
      <c r="EG56537"/>
      <c r="EH56537"/>
      <c r="EI56537"/>
      <c r="EJ56537"/>
      <c r="EK56537"/>
    </row>
    <row r="56538" spans="1:141" s="116" customFormat="1">
      <c r="A56538" s="136"/>
      <c r="CM56538" s="111"/>
      <c r="CQ56538" s="111"/>
      <c r="EF56538"/>
      <c r="EG56538"/>
      <c r="EH56538"/>
      <c r="EI56538"/>
      <c r="EJ56538"/>
      <c r="EK56538"/>
    </row>
    <row r="56539" spans="1:141" s="116" customFormat="1">
      <c r="A56539" s="136"/>
      <c r="CM56539" s="111"/>
      <c r="CQ56539" s="111"/>
      <c r="EF56539"/>
      <c r="EG56539"/>
      <c r="EH56539"/>
      <c r="EI56539"/>
      <c r="EJ56539"/>
      <c r="EK56539"/>
    </row>
    <row r="56540" spans="1:141" s="116" customFormat="1">
      <c r="A56540" s="136"/>
      <c r="CM56540" s="111"/>
      <c r="CQ56540" s="111"/>
      <c r="EF56540"/>
      <c r="EG56540"/>
      <c r="EH56540"/>
      <c r="EI56540"/>
      <c r="EJ56540"/>
      <c r="EK56540"/>
    </row>
    <row r="56541" spans="1:141" s="116" customFormat="1">
      <c r="A56541" s="136"/>
      <c r="CM56541" s="111"/>
      <c r="CQ56541" s="111"/>
      <c r="EF56541"/>
      <c r="EG56541"/>
      <c r="EH56541"/>
      <c r="EI56541"/>
      <c r="EJ56541"/>
      <c r="EK56541"/>
    </row>
    <row r="56542" spans="1:141" s="116" customFormat="1">
      <c r="A56542" s="136"/>
      <c r="CM56542" s="111"/>
      <c r="CQ56542" s="111"/>
      <c r="EF56542"/>
      <c r="EG56542"/>
      <c r="EH56542"/>
      <c r="EI56542"/>
      <c r="EJ56542"/>
      <c r="EK56542"/>
    </row>
    <row r="56543" spans="1:141" s="116" customFormat="1">
      <c r="A56543" s="136"/>
      <c r="CM56543" s="111"/>
      <c r="CQ56543" s="111"/>
      <c r="EF56543"/>
      <c r="EG56543"/>
      <c r="EH56543"/>
      <c r="EI56543"/>
      <c r="EJ56543"/>
      <c r="EK56543"/>
    </row>
    <row r="56544" spans="1:141" s="116" customFormat="1">
      <c r="A56544" s="136"/>
      <c r="CM56544" s="111"/>
      <c r="CQ56544" s="111"/>
      <c r="EF56544"/>
      <c r="EG56544"/>
      <c r="EH56544"/>
      <c r="EI56544"/>
      <c r="EJ56544"/>
      <c r="EK56544"/>
    </row>
    <row r="56545" spans="1:141" s="116" customFormat="1">
      <c r="A56545" s="136"/>
      <c r="CM56545" s="111"/>
      <c r="CQ56545" s="111"/>
      <c r="EF56545"/>
      <c r="EG56545"/>
      <c r="EH56545"/>
      <c r="EI56545"/>
      <c r="EJ56545"/>
      <c r="EK56545"/>
    </row>
    <row r="56546" spans="1:141" s="116" customFormat="1">
      <c r="A56546" s="136"/>
      <c r="CM56546" s="111"/>
      <c r="CQ56546" s="111"/>
      <c r="EF56546"/>
      <c r="EG56546"/>
      <c r="EH56546"/>
      <c r="EI56546"/>
      <c r="EJ56546"/>
      <c r="EK56546"/>
    </row>
    <row r="56547" spans="1:141" s="116" customFormat="1">
      <c r="A56547" s="136"/>
      <c r="CM56547" s="111"/>
      <c r="CQ56547" s="111"/>
      <c r="EF56547"/>
      <c r="EG56547"/>
      <c r="EH56547"/>
      <c r="EI56547"/>
      <c r="EJ56547"/>
      <c r="EK56547"/>
    </row>
    <row r="56548" spans="1:141" s="116" customFormat="1">
      <c r="A56548" s="136"/>
      <c r="CM56548" s="111"/>
      <c r="CQ56548" s="111"/>
      <c r="EF56548"/>
      <c r="EG56548"/>
      <c r="EH56548"/>
      <c r="EI56548"/>
      <c r="EJ56548"/>
      <c r="EK56548"/>
    </row>
    <row r="56549" spans="1:141" s="116" customFormat="1">
      <c r="A56549" s="136"/>
      <c r="CM56549" s="111"/>
      <c r="CQ56549" s="111"/>
      <c r="EF56549"/>
      <c r="EG56549"/>
      <c r="EH56549"/>
      <c r="EI56549"/>
      <c r="EJ56549"/>
      <c r="EK56549"/>
    </row>
    <row r="56550" spans="1:141" s="116" customFormat="1">
      <c r="A56550" s="136"/>
      <c r="CM56550" s="111"/>
      <c r="CQ56550" s="111"/>
      <c r="EF56550"/>
      <c r="EG56550"/>
      <c r="EH56550"/>
      <c r="EI56550"/>
      <c r="EJ56550"/>
      <c r="EK56550"/>
    </row>
    <row r="56551" spans="1:141" s="116" customFormat="1">
      <c r="A56551" s="136"/>
      <c r="CM56551" s="111"/>
      <c r="CQ56551" s="111"/>
      <c r="EF56551"/>
      <c r="EG56551"/>
      <c r="EH56551"/>
      <c r="EI56551"/>
      <c r="EJ56551"/>
      <c r="EK56551"/>
    </row>
    <row r="56552" spans="1:141" s="116" customFormat="1">
      <c r="A56552" s="136"/>
      <c r="CM56552" s="111"/>
      <c r="CQ56552" s="111"/>
      <c r="EF56552"/>
      <c r="EG56552"/>
      <c r="EH56552"/>
      <c r="EI56552"/>
      <c r="EJ56552"/>
      <c r="EK56552"/>
    </row>
    <row r="56553" spans="1:141" s="116" customFormat="1">
      <c r="A56553" s="136"/>
      <c r="CM56553" s="111"/>
      <c r="CQ56553" s="111"/>
      <c r="EF56553"/>
      <c r="EG56553"/>
      <c r="EH56553"/>
      <c r="EI56553"/>
      <c r="EJ56553"/>
      <c r="EK56553"/>
    </row>
    <row r="56554" spans="1:141" s="116" customFormat="1">
      <c r="A56554" s="136"/>
      <c r="CM56554" s="111"/>
      <c r="CQ56554" s="111"/>
      <c r="EF56554"/>
      <c r="EG56554"/>
      <c r="EH56554"/>
      <c r="EI56554"/>
      <c r="EJ56554"/>
      <c r="EK56554"/>
    </row>
    <row r="56555" spans="1:141" s="116" customFormat="1">
      <c r="A56555" s="136"/>
      <c r="CM56555" s="111"/>
      <c r="CQ56555" s="111"/>
      <c r="EF56555"/>
      <c r="EG56555"/>
      <c r="EH56555"/>
      <c r="EI56555"/>
      <c r="EJ56555"/>
      <c r="EK56555"/>
    </row>
    <row r="56556" spans="1:141" s="116" customFormat="1">
      <c r="A56556" s="136"/>
      <c r="CM56556" s="111"/>
      <c r="CQ56556" s="111"/>
      <c r="EF56556"/>
      <c r="EG56556"/>
      <c r="EH56556"/>
      <c r="EI56556"/>
      <c r="EJ56556"/>
      <c r="EK56556"/>
    </row>
    <row r="56557" spans="1:141" s="116" customFormat="1">
      <c r="A56557" s="136"/>
      <c r="CM56557" s="111"/>
      <c r="CQ56557" s="111"/>
      <c r="EF56557"/>
      <c r="EG56557"/>
      <c r="EH56557"/>
      <c r="EI56557"/>
      <c r="EJ56557"/>
      <c r="EK56557"/>
    </row>
    <row r="56558" spans="1:141" s="116" customFormat="1">
      <c r="A56558" s="136"/>
      <c r="CM56558" s="111"/>
      <c r="CQ56558" s="111"/>
      <c r="EF56558"/>
      <c r="EG56558"/>
      <c r="EH56558"/>
      <c r="EI56558"/>
      <c r="EJ56558"/>
      <c r="EK56558"/>
    </row>
    <row r="56559" spans="1:141" s="116" customFormat="1">
      <c r="A56559" s="136"/>
      <c r="CM56559" s="111"/>
      <c r="CQ56559" s="111"/>
      <c r="EF56559"/>
      <c r="EG56559"/>
      <c r="EH56559"/>
      <c r="EI56559"/>
      <c r="EJ56559"/>
      <c r="EK56559"/>
    </row>
    <row r="56560" spans="1:141" s="116" customFormat="1">
      <c r="A56560" s="136"/>
      <c r="CM56560" s="111"/>
      <c r="CQ56560" s="111"/>
      <c r="EF56560"/>
      <c r="EG56560"/>
      <c r="EH56560"/>
      <c r="EI56560"/>
      <c r="EJ56560"/>
      <c r="EK56560"/>
    </row>
    <row r="56561" spans="1:141" s="116" customFormat="1">
      <c r="A56561" s="136"/>
      <c r="CM56561" s="111"/>
      <c r="CQ56561" s="111"/>
      <c r="EF56561"/>
      <c r="EG56561"/>
      <c r="EH56561"/>
      <c r="EI56561"/>
      <c r="EJ56561"/>
      <c r="EK56561"/>
    </row>
    <row r="56562" spans="1:141" s="116" customFormat="1">
      <c r="A56562" s="136"/>
      <c r="CM56562" s="111"/>
      <c r="CQ56562" s="111"/>
      <c r="EF56562"/>
      <c r="EG56562"/>
      <c r="EH56562"/>
      <c r="EI56562"/>
      <c r="EJ56562"/>
      <c r="EK56562"/>
    </row>
    <row r="56563" spans="1:141" s="116" customFormat="1">
      <c r="A56563" s="136"/>
      <c r="CM56563" s="111"/>
      <c r="CQ56563" s="111"/>
      <c r="EF56563"/>
      <c r="EG56563"/>
      <c r="EH56563"/>
      <c r="EI56563"/>
      <c r="EJ56563"/>
      <c r="EK56563"/>
    </row>
    <row r="56564" spans="1:141" s="116" customFormat="1">
      <c r="A56564" s="136"/>
      <c r="CM56564" s="111"/>
      <c r="CQ56564" s="111"/>
      <c r="EF56564"/>
      <c r="EG56564"/>
      <c r="EH56564"/>
      <c r="EI56564"/>
      <c r="EJ56564"/>
      <c r="EK56564"/>
    </row>
    <row r="56565" spans="1:141" s="116" customFormat="1">
      <c r="A56565" s="136"/>
      <c r="CM56565" s="111"/>
      <c r="CQ56565" s="111"/>
      <c r="EF56565"/>
      <c r="EG56565"/>
      <c r="EH56565"/>
      <c r="EI56565"/>
      <c r="EJ56565"/>
      <c r="EK56565"/>
    </row>
    <row r="56566" spans="1:141" s="116" customFormat="1">
      <c r="A56566" s="136"/>
      <c r="CM56566" s="111"/>
      <c r="CQ56566" s="111"/>
      <c r="EF56566"/>
      <c r="EG56566"/>
      <c r="EH56566"/>
      <c r="EI56566"/>
      <c r="EJ56566"/>
      <c r="EK56566"/>
    </row>
    <row r="56567" spans="1:141" s="116" customFormat="1">
      <c r="A56567" s="136"/>
      <c r="CM56567" s="111"/>
      <c r="CQ56567" s="111"/>
      <c r="EF56567"/>
      <c r="EG56567"/>
      <c r="EH56567"/>
      <c r="EI56567"/>
      <c r="EJ56567"/>
      <c r="EK56567"/>
    </row>
    <row r="56568" spans="1:141" s="116" customFormat="1">
      <c r="A56568" s="136"/>
      <c r="CM56568" s="111"/>
      <c r="CQ56568" s="111"/>
      <c r="EF56568"/>
      <c r="EG56568"/>
      <c r="EH56568"/>
      <c r="EI56568"/>
      <c r="EJ56568"/>
      <c r="EK56568"/>
    </row>
    <row r="56569" spans="1:141" s="116" customFormat="1">
      <c r="A56569" s="136"/>
      <c r="CM56569" s="111"/>
      <c r="CQ56569" s="111"/>
      <c r="EF56569"/>
      <c r="EG56569"/>
      <c r="EH56569"/>
      <c r="EI56569"/>
      <c r="EJ56569"/>
      <c r="EK56569"/>
    </row>
    <row r="56570" spans="1:141" s="116" customFormat="1">
      <c r="A56570" s="136"/>
      <c r="CM56570" s="111"/>
      <c r="CQ56570" s="111"/>
      <c r="EF56570"/>
      <c r="EG56570"/>
      <c r="EH56570"/>
      <c r="EI56570"/>
      <c r="EJ56570"/>
      <c r="EK56570"/>
    </row>
    <row r="56571" spans="1:141" s="116" customFormat="1">
      <c r="A56571" s="136"/>
      <c r="CM56571" s="111"/>
      <c r="CQ56571" s="111"/>
      <c r="EF56571"/>
      <c r="EG56571"/>
      <c r="EH56571"/>
      <c r="EI56571"/>
      <c r="EJ56571"/>
      <c r="EK56571"/>
    </row>
    <row r="56572" spans="1:141" s="116" customFormat="1">
      <c r="A56572" s="136"/>
      <c r="CM56572" s="111"/>
      <c r="CQ56572" s="111"/>
      <c r="EF56572"/>
      <c r="EG56572"/>
      <c r="EH56572"/>
      <c r="EI56572"/>
      <c r="EJ56572"/>
      <c r="EK56572"/>
    </row>
    <row r="56573" spans="1:141" s="116" customFormat="1">
      <c r="A56573" s="136"/>
      <c r="CM56573" s="111"/>
      <c r="CQ56573" s="111"/>
      <c r="EF56573"/>
      <c r="EG56573"/>
      <c r="EH56573"/>
      <c r="EI56573"/>
      <c r="EJ56573"/>
      <c r="EK56573"/>
    </row>
    <row r="56574" spans="1:141" s="116" customFormat="1">
      <c r="A56574" s="136"/>
      <c r="CM56574" s="111"/>
      <c r="CQ56574" s="111"/>
      <c r="EF56574"/>
      <c r="EG56574"/>
      <c r="EH56574"/>
      <c r="EI56574"/>
      <c r="EJ56574"/>
      <c r="EK56574"/>
    </row>
    <row r="56575" spans="1:141" s="116" customFormat="1">
      <c r="A56575" s="136"/>
      <c r="CM56575" s="111"/>
      <c r="CQ56575" s="111"/>
      <c r="EF56575"/>
      <c r="EG56575"/>
      <c r="EH56575"/>
      <c r="EI56575"/>
      <c r="EJ56575"/>
      <c r="EK56575"/>
    </row>
    <row r="56576" spans="1:141" s="116" customFormat="1">
      <c r="A56576" s="136"/>
      <c r="CM56576" s="111"/>
      <c r="CQ56576" s="111"/>
      <c r="EF56576"/>
      <c r="EG56576"/>
      <c r="EH56576"/>
      <c r="EI56576"/>
      <c r="EJ56576"/>
      <c r="EK56576"/>
    </row>
    <row r="56577" spans="1:141" s="116" customFormat="1">
      <c r="A56577" s="136"/>
      <c r="CM56577" s="111"/>
      <c r="CQ56577" s="111"/>
      <c r="EF56577"/>
      <c r="EG56577"/>
      <c r="EH56577"/>
      <c r="EI56577"/>
      <c r="EJ56577"/>
      <c r="EK56577"/>
    </row>
    <row r="56578" spans="1:141" s="116" customFormat="1">
      <c r="A56578" s="136"/>
      <c r="CM56578" s="111"/>
      <c r="CQ56578" s="111"/>
      <c r="EF56578"/>
      <c r="EG56578"/>
      <c r="EH56578"/>
      <c r="EI56578"/>
      <c r="EJ56578"/>
      <c r="EK56578"/>
    </row>
    <row r="56579" spans="1:141" s="116" customFormat="1">
      <c r="A56579" s="136"/>
      <c r="CM56579" s="111"/>
      <c r="CQ56579" s="111"/>
      <c r="EF56579"/>
      <c r="EG56579"/>
      <c r="EH56579"/>
      <c r="EI56579"/>
      <c r="EJ56579"/>
      <c r="EK56579"/>
    </row>
    <row r="56580" spans="1:141" s="116" customFormat="1">
      <c r="A56580" s="136"/>
      <c r="CM56580" s="111"/>
      <c r="CQ56580" s="111"/>
      <c r="EF56580"/>
      <c r="EG56580"/>
      <c r="EH56580"/>
      <c r="EI56580"/>
      <c r="EJ56580"/>
      <c r="EK56580"/>
    </row>
    <row r="56581" spans="1:141" s="116" customFormat="1">
      <c r="A56581" s="136"/>
      <c r="CM56581" s="111"/>
      <c r="CQ56581" s="111"/>
      <c r="EF56581"/>
      <c r="EG56581"/>
      <c r="EH56581"/>
      <c r="EI56581"/>
      <c r="EJ56581"/>
      <c r="EK56581"/>
    </row>
    <row r="56582" spans="1:141" s="116" customFormat="1">
      <c r="A56582" s="136"/>
      <c r="CM56582" s="111"/>
      <c r="CQ56582" s="111"/>
      <c r="EF56582"/>
      <c r="EG56582"/>
      <c r="EH56582"/>
      <c r="EI56582"/>
      <c r="EJ56582"/>
      <c r="EK56582"/>
    </row>
    <row r="56583" spans="1:141" s="116" customFormat="1">
      <c r="A56583" s="136"/>
      <c r="CM56583" s="111"/>
      <c r="CQ56583" s="111"/>
      <c r="EF56583"/>
      <c r="EG56583"/>
      <c r="EH56583"/>
      <c r="EI56583"/>
      <c r="EJ56583"/>
      <c r="EK56583"/>
    </row>
    <row r="56584" spans="1:141" s="116" customFormat="1">
      <c r="A56584" s="136"/>
      <c r="CM56584" s="111"/>
      <c r="CQ56584" s="111"/>
      <c r="EF56584"/>
      <c r="EG56584"/>
      <c r="EH56584"/>
      <c r="EI56584"/>
      <c r="EJ56584"/>
      <c r="EK56584"/>
    </row>
    <row r="56585" spans="1:141" s="116" customFormat="1">
      <c r="A56585" s="136"/>
      <c r="CM56585" s="111"/>
      <c r="CQ56585" s="111"/>
      <c r="EF56585"/>
      <c r="EG56585"/>
      <c r="EH56585"/>
      <c r="EI56585"/>
      <c r="EJ56585"/>
      <c r="EK56585"/>
    </row>
    <row r="56586" spans="1:141" s="116" customFormat="1">
      <c r="A56586" s="136"/>
      <c r="CM56586" s="111"/>
      <c r="CQ56586" s="111"/>
      <c r="EF56586"/>
      <c r="EG56586"/>
      <c r="EH56586"/>
      <c r="EI56586"/>
      <c r="EJ56586"/>
      <c r="EK56586"/>
    </row>
    <row r="56587" spans="1:141" s="116" customFormat="1">
      <c r="A56587" s="136"/>
      <c r="CM56587" s="111"/>
      <c r="CQ56587" s="111"/>
      <c r="EF56587"/>
      <c r="EG56587"/>
      <c r="EH56587"/>
      <c r="EI56587"/>
      <c r="EJ56587"/>
      <c r="EK56587"/>
    </row>
    <row r="56588" spans="1:141" s="116" customFormat="1">
      <c r="A56588" s="136"/>
      <c r="CM56588" s="111"/>
      <c r="CQ56588" s="111"/>
      <c r="EF56588"/>
      <c r="EG56588"/>
      <c r="EH56588"/>
      <c r="EI56588"/>
      <c r="EJ56588"/>
      <c r="EK56588"/>
    </row>
    <row r="56589" spans="1:141" s="116" customFormat="1">
      <c r="A56589" s="136"/>
      <c r="CM56589" s="111"/>
      <c r="CQ56589" s="111"/>
      <c r="EF56589"/>
      <c r="EG56589"/>
      <c r="EH56589"/>
      <c r="EI56589"/>
      <c r="EJ56589"/>
      <c r="EK56589"/>
    </row>
    <row r="56590" spans="1:141" s="116" customFormat="1">
      <c r="A56590" s="136"/>
      <c r="CM56590" s="111"/>
      <c r="CQ56590" s="111"/>
      <c r="EF56590"/>
      <c r="EG56590"/>
      <c r="EH56590"/>
      <c r="EI56590"/>
      <c r="EJ56590"/>
      <c r="EK56590"/>
    </row>
    <row r="56591" spans="1:141" s="116" customFormat="1">
      <c r="A56591" s="136"/>
      <c r="CM56591" s="111"/>
      <c r="CQ56591" s="111"/>
      <c r="EF56591"/>
      <c r="EG56591"/>
      <c r="EH56591"/>
      <c r="EI56591"/>
      <c r="EJ56591"/>
      <c r="EK56591"/>
    </row>
    <row r="56592" spans="1:141" s="116" customFormat="1">
      <c r="A56592" s="136"/>
      <c r="CM56592" s="111"/>
      <c r="CQ56592" s="111"/>
      <c r="EF56592"/>
      <c r="EG56592"/>
      <c r="EH56592"/>
      <c r="EI56592"/>
      <c r="EJ56592"/>
      <c r="EK56592"/>
    </row>
    <row r="56593" spans="1:141" s="116" customFormat="1">
      <c r="A56593" s="136"/>
      <c r="CM56593" s="111"/>
      <c r="CQ56593" s="111"/>
      <c r="EF56593"/>
      <c r="EG56593"/>
      <c r="EH56593"/>
      <c r="EI56593"/>
      <c r="EJ56593"/>
      <c r="EK56593"/>
    </row>
    <row r="56594" spans="1:141" s="116" customFormat="1">
      <c r="A56594" s="136"/>
      <c r="CM56594" s="111"/>
      <c r="CQ56594" s="111"/>
      <c r="EF56594"/>
      <c r="EG56594"/>
      <c r="EH56594"/>
      <c r="EI56594"/>
      <c r="EJ56594"/>
      <c r="EK56594"/>
    </row>
    <row r="56595" spans="1:141" s="116" customFormat="1">
      <c r="A56595" s="136"/>
      <c r="CM56595" s="111"/>
      <c r="CQ56595" s="111"/>
      <c r="EF56595"/>
      <c r="EG56595"/>
      <c r="EH56595"/>
      <c r="EI56595"/>
      <c r="EJ56595"/>
      <c r="EK56595"/>
    </row>
    <row r="56596" spans="1:141" s="116" customFormat="1">
      <c r="A56596" s="136"/>
      <c r="CM56596" s="111"/>
      <c r="CQ56596" s="111"/>
      <c r="EF56596"/>
      <c r="EG56596"/>
      <c r="EH56596"/>
      <c r="EI56596"/>
      <c r="EJ56596"/>
      <c r="EK56596"/>
    </row>
    <row r="56597" spans="1:141" s="116" customFormat="1">
      <c r="A56597" s="136"/>
      <c r="CM56597" s="111"/>
      <c r="CQ56597" s="111"/>
      <c r="EF56597"/>
      <c r="EG56597"/>
      <c r="EH56597"/>
      <c r="EI56597"/>
      <c r="EJ56597"/>
      <c r="EK56597"/>
    </row>
    <row r="56598" spans="1:141" s="116" customFormat="1">
      <c r="A56598" s="136"/>
      <c r="CM56598" s="111"/>
      <c r="CQ56598" s="111"/>
      <c r="EF56598"/>
      <c r="EG56598"/>
      <c r="EH56598"/>
      <c r="EI56598"/>
      <c r="EJ56598"/>
      <c r="EK56598"/>
    </row>
    <row r="56599" spans="1:141" s="116" customFormat="1">
      <c r="A56599" s="136"/>
      <c r="CM56599" s="111"/>
      <c r="CQ56599" s="111"/>
      <c r="EF56599"/>
      <c r="EG56599"/>
      <c r="EH56599"/>
      <c r="EI56599"/>
      <c r="EJ56599"/>
      <c r="EK56599"/>
    </row>
    <row r="56600" spans="1:141" s="116" customFormat="1">
      <c r="A56600" s="136"/>
      <c r="CM56600" s="111"/>
      <c r="CQ56600" s="111"/>
      <c r="EF56600"/>
      <c r="EG56600"/>
      <c r="EH56600"/>
      <c r="EI56600"/>
      <c r="EJ56600"/>
      <c r="EK56600"/>
    </row>
    <row r="56601" spans="1:141" s="116" customFormat="1">
      <c r="A56601" s="136"/>
      <c r="CM56601" s="111"/>
      <c r="CQ56601" s="111"/>
      <c r="EF56601"/>
      <c r="EG56601"/>
      <c r="EH56601"/>
      <c r="EI56601"/>
      <c r="EJ56601"/>
      <c r="EK56601"/>
    </row>
    <row r="56602" spans="1:141" s="116" customFormat="1">
      <c r="A56602" s="136"/>
      <c r="CM56602" s="111"/>
      <c r="CQ56602" s="111"/>
      <c r="EF56602"/>
      <c r="EG56602"/>
      <c r="EH56602"/>
      <c r="EI56602"/>
      <c r="EJ56602"/>
      <c r="EK56602"/>
    </row>
    <row r="56603" spans="1:141" s="116" customFormat="1">
      <c r="A56603" s="136"/>
      <c r="CM56603" s="111"/>
      <c r="CQ56603" s="111"/>
      <c r="EF56603"/>
      <c r="EG56603"/>
      <c r="EH56603"/>
      <c r="EI56603"/>
      <c r="EJ56603"/>
      <c r="EK56603"/>
    </row>
    <row r="56604" spans="1:141" s="116" customFormat="1">
      <c r="A56604" s="136"/>
      <c r="CM56604" s="111"/>
      <c r="CQ56604" s="111"/>
      <c r="EF56604"/>
      <c r="EG56604"/>
      <c r="EH56604"/>
      <c r="EI56604"/>
      <c r="EJ56604"/>
      <c r="EK56604"/>
    </row>
    <row r="56605" spans="1:141" s="116" customFormat="1">
      <c r="A56605" s="136"/>
      <c r="CM56605" s="111"/>
      <c r="CQ56605" s="111"/>
      <c r="EF56605"/>
      <c r="EG56605"/>
      <c r="EH56605"/>
      <c r="EI56605"/>
      <c r="EJ56605"/>
      <c r="EK56605"/>
    </row>
    <row r="56606" spans="1:141" s="116" customFormat="1">
      <c r="A56606" s="136"/>
      <c r="CM56606" s="111"/>
      <c r="CQ56606" s="111"/>
      <c r="EF56606"/>
      <c r="EG56606"/>
      <c r="EH56606"/>
      <c r="EI56606"/>
      <c r="EJ56606"/>
      <c r="EK56606"/>
    </row>
    <row r="56607" spans="1:141" s="116" customFormat="1">
      <c r="A56607" s="136"/>
      <c r="CM56607" s="111"/>
      <c r="CQ56607" s="111"/>
      <c r="EF56607"/>
      <c r="EG56607"/>
      <c r="EH56607"/>
      <c r="EI56607"/>
      <c r="EJ56607"/>
      <c r="EK56607"/>
    </row>
    <row r="56608" spans="1:141" s="116" customFormat="1">
      <c r="A56608" s="136"/>
      <c r="CM56608" s="111"/>
      <c r="CQ56608" s="111"/>
      <c r="EF56608"/>
      <c r="EG56608"/>
      <c r="EH56608"/>
      <c r="EI56608"/>
      <c r="EJ56608"/>
      <c r="EK56608"/>
    </row>
    <row r="56609" spans="1:141" s="116" customFormat="1">
      <c r="A56609" s="136"/>
      <c r="CM56609" s="111"/>
      <c r="CQ56609" s="111"/>
      <c r="EF56609"/>
      <c r="EG56609"/>
      <c r="EH56609"/>
      <c r="EI56609"/>
      <c r="EJ56609"/>
      <c r="EK56609"/>
    </row>
    <row r="56610" spans="1:141" s="116" customFormat="1">
      <c r="A56610" s="136"/>
      <c r="CM56610" s="111"/>
      <c r="CQ56610" s="111"/>
      <c r="EF56610"/>
      <c r="EG56610"/>
      <c r="EH56610"/>
      <c r="EI56610"/>
      <c r="EJ56610"/>
      <c r="EK56610"/>
    </row>
    <row r="56611" spans="1:141" s="116" customFormat="1">
      <c r="A56611" s="136"/>
      <c r="CM56611" s="111"/>
      <c r="CQ56611" s="111"/>
      <c r="EF56611"/>
      <c r="EG56611"/>
      <c r="EH56611"/>
      <c r="EI56611"/>
      <c r="EJ56611"/>
      <c r="EK56611"/>
    </row>
    <row r="56612" spans="1:141" s="116" customFormat="1">
      <c r="A56612" s="136"/>
      <c r="CM56612" s="111"/>
      <c r="CQ56612" s="111"/>
      <c r="EF56612"/>
      <c r="EG56612"/>
      <c r="EH56612"/>
      <c r="EI56612"/>
      <c r="EJ56612"/>
      <c r="EK56612"/>
    </row>
    <row r="56613" spans="1:141" s="116" customFormat="1">
      <c r="A56613" s="136"/>
      <c r="CM56613" s="111"/>
      <c r="CQ56613" s="111"/>
      <c r="EF56613"/>
      <c r="EG56613"/>
      <c r="EH56613"/>
      <c r="EI56613"/>
      <c r="EJ56613"/>
      <c r="EK56613"/>
    </row>
    <row r="56614" spans="1:141" s="116" customFormat="1">
      <c r="A56614" s="136"/>
      <c r="CM56614" s="111"/>
      <c r="CQ56614" s="111"/>
      <c r="EF56614"/>
      <c r="EG56614"/>
      <c r="EH56614"/>
      <c r="EI56614"/>
      <c r="EJ56614"/>
      <c r="EK56614"/>
    </row>
    <row r="56615" spans="1:141" s="116" customFormat="1">
      <c r="A56615" s="136"/>
      <c r="CM56615" s="111"/>
      <c r="CQ56615" s="111"/>
      <c r="EF56615"/>
      <c r="EG56615"/>
      <c r="EH56615"/>
      <c r="EI56615"/>
      <c r="EJ56615"/>
      <c r="EK56615"/>
    </row>
    <row r="56616" spans="1:141" s="116" customFormat="1">
      <c r="A56616" s="136"/>
      <c r="CM56616" s="111"/>
      <c r="CQ56616" s="111"/>
      <c r="EF56616"/>
      <c r="EG56616"/>
      <c r="EH56616"/>
      <c r="EI56616"/>
      <c r="EJ56616"/>
      <c r="EK56616"/>
    </row>
    <row r="56617" spans="1:141" s="116" customFormat="1">
      <c r="A56617" s="136"/>
      <c r="CM56617" s="111"/>
      <c r="CQ56617" s="111"/>
      <c r="EF56617"/>
      <c r="EG56617"/>
      <c r="EH56617"/>
      <c r="EI56617"/>
      <c r="EJ56617"/>
      <c r="EK56617"/>
    </row>
    <row r="56618" spans="1:141" s="116" customFormat="1">
      <c r="A56618" s="136"/>
      <c r="CM56618" s="111"/>
      <c r="CQ56618" s="111"/>
      <c r="EF56618"/>
      <c r="EG56618"/>
      <c r="EH56618"/>
      <c r="EI56618"/>
      <c r="EJ56618"/>
      <c r="EK56618"/>
    </row>
    <row r="56619" spans="1:141" s="116" customFormat="1">
      <c r="A56619" s="136"/>
      <c r="CM56619" s="111"/>
      <c r="CQ56619" s="111"/>
      <c r="EF56619"/>
      <c r="EG56619"/>
      <c r="EH56619"/>
      <c r="EI56619"/>
      <c r="EJ56619"/>
      <c r="EK56619"/>
    </row>
    <row r="56620" spans="1:141" s="116" customFormat="1">
      <c r="A56620" s="136"/>
      <c r="CM56620" s="111"/>
      <c r="CQ56620" s="111"/>
      <c r="EF56620"/>
      <c r="EG56620"/>
      <c r="EH56620"/>
      <c r="EI56620"/>
      <c r="EJ56620"/>
      <c r="EK56620"/>
    </row>
    <row r="56621" spans="1:141" s="116" customFormat="1">
      <c r="A56621" s="136"/>
      <c r="CM56621" s="111"/>
      <c r="CQ56621" s="111"/>
      <c r="EF56621"/>
      <c r="EG56621"/>
      <c r="EH56621"/>
      <c r="EI56621"/>
      <c r="EJ56621"/>
      <c r="EK56621"/>
    </row>
    <row r="56622" spans="1:141" s="116" customFormat="1">
      <c r="A56622" s="136"/>
      <c r="CM56622" s="111"/>
      <c r="CQ56622" s="111"/>
      <c r="EF56622"/>
      <c r="EG56622"/>
      <c r="EH56622"/>
      <c r="EI56622"/>
      <c r="EJ56622"/>
      <c r="EK56622"/>
    </row>
    <row r="56623" spans="1:141" s="116" customFormat="1">
      <c r="A56623" s="136"/>
      <c r="CM56623" s="111"/>
      <c r="CQ56623" s="111"/>
      <c r="EF56623"/>
      <c r="EG56623"/>
      <c r="EH56623"/>
      <c r="EI56623"/>
      <c r="EJ56623"/>
      <c r="EK56623"/>
    </row>
    <row r="56624" spans="1:141" s="116" customFormat="1">
      <c r="A56624" s="136"/>
      <c r="CM56624" s="111"/>
      <c r="CQ56624" s="111"/>
      <c r="EF56624"/>
      <c r="EG56624"/>
      <c r="EH56624"/>
      <c r="EI56624"/>
      <c r="EJ56624"/>
      <c r="EK56624"/>
    </row>
    <row r="56625" spans="1:141" s="116" customFormat="1">
      <c r="A56625" s="136"/>
      <c r="CM56625" s="111"/>
      <c r="CQ56625" s="111"/>
      <c r="EF56625"/>
      <c r="EG56625"/>
      <c r="EH56625"/>
      <c r="EI56625"/>
      <c r="EJ56625"/>
      <c r="EK56625"/>
    </row>
    <row r="56626" spans="1:141" s="116" customFormat="1">
      <c r="A56626" s="136"/>
      <c r="CM56626" s="111"/>
      <c r="CQ56626" s="111"/>
      <c r="EF56626"/>
      <c r="EG56626"/>
      <c r="EH56626"/>
      <c r="EI56626"/>
      <c r="EJ56626"/>
      <c r="EK56626"/>
    </row>
    <row r="56627" spans="1:141" s="116" customFormat="1">
      <c r="A56627" s="136"/>
      <c r="CM56627" s="111"/>
      <c r="CQ56627" s="111"/>
      <c r="EF56627"/>
      <c r="EG56627"/>
      <c r="EH56627"/>
      <c r="EI56627"/>
      <c r="EJ56627"/>
      <c r="EK56627"/>
    </row>
    <row r="56628" spans="1:141" s="116" customFormat="1">
      <c r="A56628" s="136"/>
      <c r="CM56628" s="111"/>
      <c r="CQ56628" s="111"/>
      <c r="EF56628"/>
      <c r="EG56628"/>
      <c r="EH56628"/>
      <c r="EI56628"/>
      <c r="EJ56628"/>
      <c r="EK56628"/>
    </row>
    <row r="56629" spans="1:141" s="116" customFormat="1">
      <c r="A56629" s="136"/>
      <c r="CM56629" s="111"/>
      <c r="CQ56629" s="111"/>
      <c r="EF56629"/>
      <c r="EG56629"/>
      <c r="EH56629"/>
      <c r="EI56629"/>
      <c r="EJ56629"/>
      <c r="EK56629"/>
    </row>
    <row r="56630" spans="1:141" s="116" customFormat="1">
      <c r="A56630" s="136"/>
      <c r="CM56630" s="111"/>
      <c r="CQ56630" s="111"/>
      <c r="EF56630"/>
      <c r="EG56630"/>
      <c r="EH56630"/>
      <c r="EI56630"/>
      <c r="EJ56630"/>
      <c r="EK56630"/>
    </row>
    <row r="56631" spans="1:141" s="116" customFormat="1">
      <c r="A56631" s="136"/>
      <c r="CM56631" s="111"/>
      <c r="CQ56631" s="111"/>
      <c r="EF56631"/>
      <c r="EG56631"/>
      <c r="EH56631"/>
      <c r="EI56631"/>
      <c r="EJ56631"/>
      <c r="EK56631"/>
    </row>
    <row r="56632" spans="1:141" s="116" customFormat="1">
      <c r="A56632" s="136"/>
      <c r="CM56632" s="111"/>
      <c r="CQ56632" s="111"/>
      <c r="EF56632"/>
      <c r="EG56632"/>
      <c r="EH56632"/>
      <c r="EI56632"/>
      <c r="EJ56632"/>
      <c r="EK56632"/>
    </row>
    <row r="56633" spans="1:141" s="116" customFormat="1">
      <c r="A56633" s="136"/>
      <c r="CM56633" s="111"/>
      <c r="CQ56633" s="111"/>
      <c r="EF56633"/>
      <c r="EG56633"/>
      <c r="EH56633"/>
      <c r="EI56633"/>
      <c r="EJ56633"/>
      <c r="EK56633"/>
    </row>
    <row r="56634" spans="1:141" s="116" customFormat="1">
      <c r="A56634" s="136"/>
      <c r="CM56634" s="111"/>
      <c r="CQ56634" s="111"/>
      <c r="EF56634"/>
      <c r="EG56634"/>
      <c r="EH56634"/>
      <c r="EI56634"/>
      <c r="EJ56634"/>
      <c r="EK56634"/>
    </row>
    <row r="56635" spans="1:141" s="116" customFormat="1">
      <c r="A56635" s="136"/>
      <c r="CM56635" s="111"/>
      <c r="CQ56635" s="111"/>
      <c r="EF56635"/>
      <c r="EG56635"/>
      <c r="EH56635"/>
      <c r="EI56635"/>
      <c r="EJ56635"/>
      <c r="EK56635"/>
    </row>
    <row r="56636" spans="1:141" s="116" customFormat="1">
      <c r="A56636" s="136"/>
      <c r="CM56636" s="111"/>
      <c r="CQ56636" s="111"/>
      <c r="EF56636"/>
      <c r="EG56636"/>
      <c r="EH56636"/>
      <c r="EI56636"/>
      <c r="EJ56636"/>
      <c r="EK56636"/>
    </row>
    <row r="56637" spans="1:141" s="116" customFormat="1">
      <c r="A56637" s="136"/>
      <c r="CM56637" s="111"/>
      <c r="CQ56637" s="111"/>
      <c r="EF56637"/>
      <c r="EG56637"/>
      <c r="EH56637"/>
      <c r="EI56637"/>
      <c r="EJ56637"/>
      <c r="EK56637"/>
    </row>
    <row r="56638" spans="1:141" s="116" customFormat="1">
      <c r="A56638" s="136"/>
      <c r="CM56638" s="111"/>
      <c r="CQ56638" s="111"/>
      <c r="EF56638"/>
      <c r="EG56638"/>
      <c r="EH56638"/>
      <c r="EI56638"/>
      <c r="EJ56638"/>
      <c r="EK56638"/>
    </row>
    <row r="56639" spans="1:141" s="116" customFormat="1">
      <c r="A56639" s="136"/>
      <c r="CM56639" s="111"/>
      <c r="CQ56639" s="111"/>
      <c r="EF56639"/>
      <c r="EG56639"/>
      <c r="EH56639"/>
      <c r="EI56639"/>
      <c r="EJ56639"/>
      <c r="EK56639"/>
    </row>
    <row r="56640" spans="1:141" s="116" customFormat="1">
      <c r="A56640" s="136"/>
      <c r="CM56640" s="111"/>
      <c r="CQ56640" s="111"/>
      <c r="EF56640"/>
      <c r="EG56640"/>
      <c r="EH56640"/>
      <c r="EI56640"/>
      <c r="EJ56640"/>
      <c r="EK56640"/>
    </row>
    <row r="56641" spans="1:141" s="116" customFormat="1">
      <c r="A56641" s="136"/>
      <c r="CM56641" s="111"/>
      <c r="CQ56641" s="111"/>
      <c r="EF56641"/>
      <c r="EG56641"/>
      <c r="EH56641"/>
      <c r="EI56641"/>
      <c r="EJ56641"/>
      <c r="EK56641"/>
    </row>
    <row r="56642" spans="1:141" s="116" customFormat="1">
      <c r="A56642" s="136"/>
      <c r="CM56642" s="111"/>
      <c r="CQ56642" s="111"/>
      <c r="EF56642"/>
      <c r="EG56642"/>
      <c r="EH56642"/>
      <c r="EI56642"/>
      <c r="EJ56642"/>
      <c r="EK56642"/>
    </row>
    <row r="56643" spans="1:141" s="116" customFormat="1">
      <c r="A56643" s="136"/>
      <c r="CM56643" s="111"/>
      <c r="CQ56643" s="111"/>
      <c r="EF56643"/>
      <c r="EG56643"/>
      <c r="EH56643"/>
      <c r="EI56643"/>
      <c r="EJ56643"/>
      <c r="EK56643"/>
    </row>
    <row r="56644" spans="1:141" s="116" customFormat="1">
      <c r="A56644" s="136"/>
      <c r="CM56644" s="111"/>
      <c r="CQ56644" s="111"/>
      <c r="EF56644"/>
      <c r="EG56644"/>
      <c r="EH56644"/>
      <c r="EI56644"/>
      <c r="EJ56644"/>
      <c r="EK56644"/>
    </row>
    <row r="56645" spans="1:141" s="116" customFormat="1">
      <c r="A56645" s="136"/>
      <c r="CM56645" s="111"/>
      <c r="CQ56645" s="111"/>
      <c r="EF56645"/>
      <c r="EG56645"/>
      <c r="EH56645"/>
      <c r="EI56645"/>
      <c r="EJ56645"/>
      <c r="EK56645"/>
    </row>
    <row r="56646" spans="1:141" s="116" customFormat="1">
      <c r="A56646" s="136"/>
      <c r="CM56646" s="111"/>
      <c r="CQ56646" s="111"/>
      <c r="EF56646"/>
      <c r="EG56646"/>
      <c r="EH56646"/>
      <c r="EI56646"/>
      <c r="EJ56646"/>
      <c r="EK56646"/>
    </row>
    <row r="56647" spans="1:141" s="116" customFormat="1">
      <c r="A56647" s="136"/>
      <c r="CM56647" s="111"/>
      <c r="CQ56647" s="111"/>
      <c r="EF56647"/>
      <c r="EG56647"/>
      <c r="EH56647"/>
      <c r="EI56647"/>
      <c r="EJ56647"/>
      <c r="EK56647"/>
    </row>
    <row r="56648" spans="1:141" s="116" customFormat="1">
      <c r="A56648" s="136"/>
      <c r="CM56648" s="111"/>
      <c r="CQ56648" s="111"/>
      <c r="EF56648"/>
      <c r="EG56648"/>
      <c r="EH56648"/>
      <c r="EI56648"/>
      <c r="EJ56648"/>
      <c r="EK56648"/>
    </row>
    <row r="56649" spans="1:141" s="116" customFormat="1">
      <c r="A56649" s="136"/>
      <c r="CM56649" s="111"/>
      <c r="CQ56649" s="111"/>
      <c r="EF56649"/>
      <c r="EG56649"/>
      <c r="EH56649"/>
      <c r="EI56649"/>
      <c r="EJ56649"/>
      <c r="EK56649"/>
    </row>
    <row r="56650" spans="1:141" s="116" customFormat="1">
      <c r="A56650" s="136"/>
      <c r="CM56650" s="111"/>
      <c r="CQ56650" s="111"/>
      <c r="EF56650"/>
      <c r="EG56650"/>
      <c r="EH56650"/>
      <c r="EI56650"/>
      <c r="EJ56650"/>
      <c r="EK56650"/>
    </row>
    <row r="56651" spans="1:141" s="116" customFormat="1">
      <c r="A56651" s="136"/>
      <c r="CM56651" s="111"/>
      <c r="CQ56651" s="111"/>
      <c r="EF56651"/>
      <c r="EG56651"/>
      <c r="EH56651"/>
      <c r="EI56651"/>
      <c r="EJ56651"/>
      <c r="EK56651"/>
    </row>
    <row r="56652" spans="1:141" s="116" customFormat="1">
      <c r="A56652" s="136"/>
      <c r="CM56652" s="111"/>
      <c r="CQ56652" s="111"/>
      <c r="EF56652"/>
      <c r="EG56652"/>
      <c r="EH56652"/>
      <c r="EI56652"/>
      <c r="EJ56652"/>
      <c r="EK56652"/>
    </row>
    <row r="56653" spans="1:141" s="116" customFormat="1">
      <c r="A56653" s="136"/>
      <c r="CM56653" s="111"/>
      <c r="CQ56653" s="111"/>
      <c r="EF56653"/>
      <c r="EG56653"/>
      <c r="EH56653"/>
      <c r="EI56653"/>
      <c r="EJ56653"/>
      <c r="EK56653"/>
    </row>
    <row r="56654" spans="1:141" s="116" customFormat="1">
      <c r="A56654" s="136"/>
      <c r="CM56654" s="111"/>
      <c r="CQ56654" s="111"/>
      <c r="EF56654"/>
      <c r="EG56654"/>
      <c r="EH56654"/>
      <c r="EI56654"/>
      <c r="EJ56654"/>
      <c r="EK56654"/>
    </row>
    <row r="56655" spans="1:141" s="116" customFormat="1">
      <c r="A56655" s="136"/>
      <c r="CM56655" s="111"/>
      <c r="CQ56655" s="111"/>
      <c r="EF56655"/>
      <c r="EG56655"/>
      <c r="EH56655"/>
      <c r="EI56655"/>
      <c r="EJ56655"/>
      <c r="EK56655"/>
    </row>
    <row r="56656" spans="1:141" s="116" customFormat="1">
      <c r="A56656" s="136"/>
      <c r="CM56656" s="111"/>
      <c r="CQ56656" s="111"/>
      <c r="EF56656"/>
      <c r="EG56656"/>
      <c r="EH56656"/>
      <c r="EI56656"/>
      <c r="EJ56656"/>
      <c r="EK56656"/>
    </row>
    <row r="56657" spans="1:141" s="116" customFormat="1">
      <c r="A56657" s="136"/>
      <c r="CM56657" s="111"/>
      <c r="CQ56657" s="111"/>
      <c r="EF56657"/>
      <c r="EG56657"/>
      <c r="EH56657"/>
      <c r="EI56657"/>
      <c r="EJ56657"/>
      <c r="EK56657"/>
    </row>
    <row r="56658" spans="1:141" s="116" customFormat="1">
      <c r="A56658" s="136"/>
      <c r="CM56658" s="111"/>
      <c r="CQ56658" s="111"/>
      <c r="EF56658"/>
      <c r="EG56658"/>
      <c r="EH56658"/>
      <c r="EI56658"/>
      <c r="EJ56658"/>
      <c r="EK56658"/>
    </row>
    <row r="56659" spans="1:141" s="116" customFormat="1">
      <c r="A56659" s="136"/>
      <c r="CM56659" s="111"/>
      <c r="CQ56659" s="111"/>
      <c r="EF56659"/>
      <c r="EG56659"/>
      <c r="EH56659"/>
      <c r="EI56659"/>
      <c r="EJ56659"/>
      <c r="EK56659"/>
    </row>
    <row r="56660" spans="1:141" s="116" customFormat="1">
      <c r="A56660" s="136"/>
      <c r="CM56660" s="111"/>
      <c r="CQ56660" s="111"/>
      <c r="EF56660"/>
      <c r="EG56660"/>
      <c r="EH56660"/>
      <c r="EI56660"/>
      <c r="EJ56660"/>
      <c r="EK56660"/>
    </row>
    <row r="56661" spans="1:141" s="116" customFormat="1">
      <c r="A56661" s="136"/>
      <c r="CM56661" s="111"/>
      <c r="CQ56661" s="111"/>
      <c r="EF56661"/>
      <c r="EG56661"/>
      <c r="EH56661"/>
      <c r="EI56661"/>
      <c r="EJ56661"/>
      <c r="EK56661"/>
    </row>
    <row r="56662" spans="1:141" s="116" customFormat="1">
      <c r="A56662" s="136"/>
      <c r="CM56662" s="111"/>
      <c r="CQ56662" s="111"/>
      <c r="EF56662"/>
      <c r="EG56662"/>
      <c r="EH56662"/>
      <c r="EI56662"/>
      <c r="EJ56662"/>
      <c r="EK56662"/>
    </row>
    <row r="56663" spans="1:141" s="116" customFormat="1">
      <c r="A56663" s="136"/>
      <c r="CM56663" s="111"/>
      <c r="CQ56663" s="111"/>
      <c r="EF56663"/>
      <c r="EG56663"/>
      <c r="EH56663"/>
      <c r="EI56663"/>
      <c r="EJ56663"/>
      <c r="EK56663"/>
    </row>
    <row r="56664" spans="1:141" s="116" customFormat="1">
      <c r="A56664" s="136"/>
      <c r="CM56664" s="111"/>
      <c r="CQ56664" s="111"/>
      <c r="EF56664"/>
      <c r="EG56664"/>
      <c r="EH56664"/>
      <c r="EI56664"/>
      <c r="EJ56664"/>
      <c r="EK56664"/>
    </row>
    <row r="56665" spans="1:141" s="116" customFormat="1">
      <c r="A56665" s="136"/>
      <c r="CM56665" s="111"/>
      <c r="CQ56665" s="111"/>
      <c r="EF56665"/>
      <c r="EG56665"/>
      <c r="EH56665"/>
      <c r="EI56665"/>
      <c r="EJ56665"/>
      <c r="EK56665"/>
    </row>
    <row r="56666" spans="1:141" s="116" customFormat="1">
      <c r="A56666" s="136"/>
      <c r="CM56666" s="111"/>
      <c r="CQ56666" s="111"/>
      <c r="EF56666"/>
      <c r="EG56666"/>
      <c r="EH56666"/>
      <c r="EI56666"/>
      <c r="EJ56666"/>
      <c r="EK56666"/>
    </row>
    <row r="56667" spans="1:141" s="116" customFormat="1">
      <c r="A56667" s="136"/>
      <c r="CM56667" s="111"/>
      <c r="CQ56667" s="111"/>
      <c r="EF56667"/>
      <c r="EG56667"/>
      <c r="EH56667"/>
      <c r="EI56667"/>
      <c r="EJ56667"/>
      <c r="EK56667"/>
    </row>
    <row r="56668" spans="1:141" s="116" customFormat="1">
      <c r="A56668" s="136"/>
      <c r="CM56668" s="111"/>
      <c r="CQ56668" s="111"/>
      <c r="EF56668"/>
      <c r="EG56668"/>
      <c r="EH56668"/>
      <c r="EI56668"/>
      <c r="EJ56668"/>
      <c r="EK56668"/>
    </row>
    <row r="56669" spans="1:141" s="116" customFormat="1">
      <c r="A56669" s="136"/>
      <c r="CM56669" s="111"/>
      <c r="CQ56669" s="111"/>
      <c r="EF56669"/>
      <c r="EG56669"/>
      <c r="EH56669"/>
      <c r="EI56669"/>
      <c r="EJ56669"/>
      <c r="EK56669"/>
    </row>
    <row r="56670" spans="1:141" s="116" customFormat="1">
      <c r="A56670" s="136"/>
      <c r="CM56670" s="111"/>
      <c r="CQ56670" s="111"/>
      <c r="EF56670"/>
      <c r="EG56670"/>
      <c r="EH56670"/>
      <c r="EI56670"/>
      <c r="EJ56670"/>
      <c r="EK56670"/>
    </row>
    <row r="56671" spans="1:141" s="116" customFormat="1">
      <c r="A56671" s="136"/>
      <c r="CM56671" s="111"/>
      <c r="CQ56671" s="111"/>
      <c r="EF56671"/>
      <c r="EG56671"/>
      <c r="EH56671"/>
      <c r="EI56671"/>
      <c r="EJ56671"/>
      <c r="EK56671"/>
    </row>
    <row r="56672" spans="1:141" s="116" customFormat="1">
      <c r="A56672" s="136"/>
      <c r="CM56672" s="111"/>
      <c r="CQ56672" s="111"/>
      <c r="EF56672"/>
      <c r="EG56672"/>
      <c r="EH56672"/>
      <c r="EI56672"/>
      <c r="EJ56672"/>
      <c r="EK56672"/>
    </row>
    <row r="56673" spans="1:141" s="116" customFormat="1">
      <c r="A56673" s="136"/>
      <c r="CM56673" s="111"/>
      <c r="CQ56673" s="111"/>
      <c r="EF56673"/>
      <c r="EG56673"/>
      <c r="EH56673"/>
      <c r="EI56673"/>
      <c r="EJ56673"/>
      <c r="EK56673"/>
    </row>
    <row r="56674" spans="1:141" s="116" customFormat="1">
      <c r="A56674" s="136"/>
      <c r="CM56674" s="111"/>
      <c r="CQ56674" s="111"/>
      <c r="EF56674"/>
      <c r="EG56674"/>
      <c r="EH56674"/>
      <c r="EI56674"/>
      <c r="EJ56674"/>
      <c r="EK56674"/>
    </row>
    <row r="56675" spans="1:141" s="116" customFormat="1">
      <c r="A56675" s="136"/>
      <c r="CM56675" s="111"/>
      <c r="CQ56675" s="111"/>
      <c r="EF56675"/>
      <c r="EG56675"/>
      <c r="EH56675"/>
      <c r="EI56675"/>
      <c r="EJ56675"/>
      <c r="EK56675"/>
    </row>
    <row r="56676" spans="1:141" s="116" customFormat="1">
      <c r="A56676" s="136"/>
      <c r="CM56676" s="111"/>
      <c r="CQ56676" s="111"/>
      <c r="EF56676"/>
      <c r="EG56676"/>
      <c r="EH56676"/>
      <c r="EI56676"/>
      <c r="EJ56676"/>
      <c r="EK56676"/>
    </row>
    <row r="56677" spans="1:141" s="116" customFormat="1">
      <c r="A56677" s="136"/>
      <c r="CM56677" s="111"/>
      <c r="CQ56677" s="111"/>
      <c r="EF56677"/>
      <c r="EG56677"/>
      <c r="EH56677"/>
      <c r="EI56677"/>
      <c r="EJ56677"/>
      <c r="EK56677"/>
    </row>
    <row r="56678" spans="1:141" s="116" customFormat="1">
      <c r="A56678" s="136"/>
      <c r="CM56678" s="111"/>
      <c r="CQ56678" s="111"/>
      <c r="EF56678"/>
      <c r="EG56678"/>
      <c r="EH56678"/>
      <c r="EI56678"/>
      <c r="EJ56678"/>
      <c r="EK56678"/>
    </row>
    <row r="56679" spans="1:141" s="116" customFormat="1">
      <c r="A56679" s="136"/>
      <c r="CM56679" s="111"/>
      <c r="CQ56679" s="111"/>
      <c r="EF56679"/>
      <c r="EG56679"/>
      <c r="EH56679"/>
      <c r="EI56679"/>
      <c r="EJ56679"/>
      <c r="EK56679"/>
    </row>
    <row r="56680" spans="1:141" s="116" customFormat="1">
      <c r="A56680" s="136"/>
      <c r="CM56680" s="111"/>
      <c r="CQ56680" s="111"/>
      <c r="EF56680"/>
      <c r="EG56680"/>
      <c r="EH56680"/>
      <c r="EI56680"/>
      <c r="EJ56680"/>
      <c r="EK56680"/>
    </row>
    <row r="56681" spans="1:141" s="116" customFormat="1">
      <c r="A56681" s="136"/>
      <c r="CM56681" s="111"/>
      <c r="CQ56681" s="111"/>
      <c r="EF56681"/>
      <c r="EG56681"/>
      <c r="EH56681"/>
      <c r="EI56681"/>
      <c r="EJ56681"/>
      <c r="EK56681"/>
    </row>
    <row r="56682" spans="1:141" s="116" customFormat="1">
      <c r="A56682" s="136"/>
      <c r="CM56682" s="111"/>
      <c r="CQ56682" s="111"/>
      <c r="EF56682"/>
      <c r="EG56682"/>
      <c r="EH56682"/>
      <c r="EI56682"/>
      <c r="EJ56682"/>
      <c r="EK56682"/>
    </row>
    <row r="56683" spans="1:141" s="116" customFormat="1">
      <c r="A56683" s="136"/>
      <c r="CM56683" s="111"/>
      <c r="CQ56683" s="111"/>
      <c r="EF56683"/>
      <c r="EG56683"/>
      <c r="EH56683"/>
      <c r="EI56683"/>
      <c r="EJ56683"/>
      <c r="EK56683"/>
    </row>
    <row r="56684" spans="1:141" s="116" customFormat="1">
      <c r="A56684" s="136"/>
      <c r="CM56684" s="111"/>
      <c r="CQ56684" s="111"/>
      <c r="EF56684"/>
      <c r="EG56684"/>
      <c r="EH56684"/>
      <c r="EI56684"/>
      <c r="EJ56684"/>
      <c r="EK56684"/>
    </row>
    <row r="56685" spans="1:141" s="116" customFormat="1">
      <c r="A56685" s="136"/>
      <c r="CM56685" s="111"/>
      <c r="CQ56685" s="111"/>
      <c r="EF56685"/>
      <c r="EG56685"/>
      <c r="EH56685"/>
      <c r="EI56685"/>
      <c r="EJ56685"/>
      <c r="EK56685"/>
    </row>
    <row r="56686" spans="1:141" s="116" customFormat="1">
      <c r="A56686" s="136"/>
      <c r="CM56686" s="111"/>
      <c r="CQ56686" s="111"/>
      <c r="EF56686"/>
      <c r="EG56686"/>
      <c r="EH56686"/>
      <c r="EI56686"/>
      <c r="EJ56686"/>
      <c r="EK56686"/>
    </row>
    <row r="56687" spans="1:141" s="116" customFormat="1">
      <c r="A56687" s="136"/>
      <c r="CM56687" s="111"/>
      <c r="CQ56687" s="111"/>
      <c r="EF56687"/>
      <c r="EG56687"/>
      <c r="EH56687"/>
      <c r="EI56687"/>
      <c r="EJ56687"/>
      <c r="EK56687"/>
    </row>
    <row r="56688" spans="1:141" s="116" customFormat="1">
      <c r="A56688" s="136"/>
      <c r="CM56688" s="111"/>
      <c r="CQ56688" s="111"/>
      <c r="EF56688"/>
      <c r="EG56688"/>
      <c r="EH56688"/>
      <c r="EI56688"/>
      <c r="EJ56688"/>
      <c r="EK56688"/>
    </row>
    <row r="56689" spans="1:141" s="116" customFormat="1">
      <c r="A56689" s="136"/>
      <c r="CM56689" s="111"/>
      <c r="CQ56689" s="111"/>
      <c r="EF56689"/>
      <c r="EG56689"/>
      <c r="EH56689"/>
      <c r="EI56689"/>
      <c r="EJ56689"/>
      <c r="EK56689"/>
    </row>
    <row r="56690" spans="1:141" s="116" customFormat="1">
      <c r="A56690" s="136"/>
      <c r="CM56690" s="111"/>
      <c r="CQ56690" s="111"/>
      <c r="EF56690"/>
      <c r="EG56690"/>
      <c r="EH56690"/>
      <c r="EI56690"/>
      <c r="EJ56690"/>
      <c r="EK56690"/>
    </row>
    <row r="56691" spans="1:141" s="116" customFormat="1">
      <c r="A56691" s="136"/>
      <c r="CM56691" s="111"/>
      <c r="CQ56691" s="111"/>
      <c r="EF56691"/>
      <c r="EG56691"/>
      <c r="EH56691"/>
      <c r="EI56691"/>
      <c r="EJ56691"/>
      <c r="EK56691"/>
    </row>
    <row r="56692" spans="1:141" s="116" customFormat="1">
      <c r="A56692" s="136"/>
      <c r="CM56692" s="111"/>
      <c r="CQ56692" s="111"/>
      <c r="EF56692"/>
      <c r="EG56692"/>
      <c r="EH56692"/>
      <c r="EI56692"/>
      <c r="EJ56692"/>
      <c r="EK56692"/>
    </row>
    <row r="56693" spans="1:141" s="116" customFormat="1">
      <c r="A56693" s="136"/>
      <c r="CM56693" s="111"/>
      <c r="CQ56693" s="111"/>
      <c r="EF56693"/>
      <c r="EG56693"/>
      <c r="EH56693"/>
      <c r="EI56693"/>
      <c r="EJ56693"/>
      <c r="EK56693"/>
    </row>
    <row r="56694" spans="1:141" s="116" customFormat="1">
      <c r="A56694" s="136"/>
      <c r="CM56694" s="111"/>
      <c r="CQ56694" s="111"/>
      <c r="EF56694"/>
      <c r="EG56694"/>
      <c r="EH56694"/>
      <c r="EI56694"/>
      <c r="EJ56694"/>
      <c r="EK56694"/>
    </row>
    <row r="56695" spans="1:141" s="116" customFormat="1">
      <c r="A56695" s="136"/>
      <c r="CM56695" s="111"/>
      <c r="CQ56695" s="111"/>
      <c r="EF56695"/>
      <c r="EG56695"/>
      <c r="EH56695"/>
      <c r="EI56695"/>
      <c r="EJ56695"/>
      <c r="EK56695"/>
    </row>
    <row r="56696" spans="1:141" s="116" customFormat="1">
      <c r="A56696" s="136"/>
      <c r="CM56696" s="111"/>
      <c r="CQ56696" s="111"/>
      <c r="EF56696"/>
      <c r="EG56696"/>
      <c r="EH56696"/>
      <c r="EI56696"/>
      <c r="EJ56696"/>
      <c r="EK56696"/>
    </row>
    <row r="56697" spans="1:141" s="116" customFormat="1">
      <c r="A56697" s="136"/>
      <c r="CM56697" s="111"/>
      <c r="CQ56697" s="111"/>
      <c r="EF56697"/>
      <c r="EG56697"/>
      <c r="EH56697"/>
      <c r="EI56697"/>
      <c r="EJ56697"/>
      <c r="EK56697"/>
    </row>
    <row r="56698" spans="1:141" s="116" customFormat="1">
      <c r="A56698" s="136"/>
      <c r="CM56698" s="111"/>
      <c r="CQ56698" s="111"/>
      <c r="EF56698"/>
      <c r="EG56698"/>
      <c r="EH56698"/>
      <c r="EI56698"/>
      <c r="EJ56698"/>
      <c r="EK56698"/>
    </row>
    <row r="56699" spans="1:141" s="116" customFormat="1">
      <c r="A56699" s="136"/>
      <c r="CM56699" s="111"/>
      <c r="CQ56699" s="111"/>
      <c r="EF56699"/>
      <c r="EG56699"/>
      <c r="EH56699"/>
      <c r="EI56699"/>
      <c r="EJ56699"/>
      <c r="EK56699"/>
    </row>
    <row r="56700" spans="1:141" s="116" customFormat="1">
      <c r="A56700" s="136"/>
      <c r="CM56700" s="111"/>
      <c r="CQ56700" s="111"/>
      <c r="EF56700"/>
      <c r="EG56700"/>
      <c r="EH56700"/>
      <c r="EI56700"/>
      <c r="EJ56700"/>
      <c r="EK56700"/>
    </row>
    <row r="56701" spans="1:141" s="116" customFormat="1">
      <c r="A56701" s="136"/>
      <c r="CM56701" s="111"/>
      <c r="CQ56701" s="111"/>
      <c r="EF56701"/>
      <c r="EG56701"/>
      <c r="EH56701"/>
      <c r="EI56701"/>
      <c r="EJ56701"/>
      <c r="EK56701"/>
    </row>
    <row r="56702" spans="1:141" s="116" customFormat="1">
      <c r="A56702" s="136"/>
      <c r="CM56702" s="111"/>
      <c r="CQ56702" s="111"/>
      <c r="EF56702"/>
      <c r="EG56702"/>
      <c r="EH56702"/>
      <c r="EI56702"/>
      <c r="EJ56702"/>
      <c r="EK56702"/>
    </row>
    <row r="56703" spans="1:141" s="116" customFormat="1">
      <c r="A56703" s="136"/>
      <c r="CM56703" s="111"/>
      <c r="CQ56703" s="111"/>
      <c r="EF56703"/>
      <c r="EG56703"/>
      <c r="EH56703"/>
      <c r="EI56703"/>
      <c r="EJ56703"/>
      <c r="EK56703"/>
    </row>
    <row r="56704" spans="1:141" s="116" customFormat="1">
      <c r="A56704" s="136"/>
      <c r="CM56704" s="111"/>
      <c r="CQ56704" s="111"/>
      <c r="EF56704"/>
      <c r="EG56704"/>
      <c r="EH56704"/>
      <c r="EI56704"/>
      <c r="EJ56704"/>
      <c r="EK56704"/>
    </row>
    <row r="56705" spans="1:141" s="116" customFormat="1">
      <c r="A56705" s="136"/>
      <c r="CM56705" s="111"/>
      <c r="CQ56705" s="111"/>
      <c r="EF56705"/>
      <c r="EG56705"/>
      <c r="EH56705"/>
      <c r="EI56705"/>
      <c r="EJ56705"/>
      <c r="EK56705"/>
    </row>
    <row r="56706" spans="1:141" s="116" customFormat="1">
      <c r="A56706" s="136"/>
      <c r="CM56706" s="111"/>
      <c r="CQ56706" s="111"/>
      <c r="EF56706"/>
      <c r="EG56706"/>
      <c r="EH56706"/>
      <c r="EI56706"/>
      <c r="EJ56706"/>
      <c r="EK56706"/>
    </row>
    <row r="56707" spans="1:141" s="116" customFormat="1">
      <c r="A56707" s="136"/>
      <c r="CM56707" s="111"/>
      <c r="CQ56707" s="111"/>
      <c r="EF56707"/>
      <c r="EG56707"/>
      <c r="EH56707"/>
      <c r="EI56707"/>
      <c r="EJ56707"/>
      <c r="EK56707"/>
    </row>
    <row r="56708" spans="1:141" s="116" customFormat="1">
      <c r="A56708" s="136"/>
      <c r="CM56708" s="111"/>
      <c r="CQ56708" s="111"/>
      <c r="EF56708"/>
      <c r="EG56708"/>
      <c r="EH56708"/>
      <c r="EI56708"/>
      <c r="EJ56708"/>
      <c r="EK56708"/>
    </row>
    <row r="56709" spans="1:141" s="116" customFormat="1">
      <c r="A56709" s="136"/>
      <c r="CM56709" s="111"/>
      <c r="CQ56709" s="111"/>
      <c r="EF56709"/>
      <c r="EG56709"/>
      <c r="EH56709"/>
      <c r="EI56709"/>
      <c r="EJ56709"/>
      <c r="EK56709"/>
    </row>
    <row r="56710" spans="1:141" s="116" customFormat="1">
      <c r="A56710" s="136"/>
      <c r="CM56710" s="111"/>
      <c r="CQ56710" s="111"/>
      <c r="EF56710"/>
      <c r="EG56710"/>
      <c r="EH56710"/>
      <c r="EI56710"/>
      <c r="EJ56710"/>
      <c r="EK56710"/>
    </row>
    <row r="56711" spans="1:141" s="116" customFormat="1">
      <c r="A56711" s="136"/>
      <c r="CM56711" s="111"/>
      <c r="CQ56711" s="111"/>
      <c r="EF56711"/>
      <c r="EG56711"/>
      <c r="EH56711"/>
      <c r="EI56711"/>
      <c r="EJ56711"/>
      <c r="EK56711"/>
    </row>
    <row r="56712" spans="1:141" s="116" customFormat="1">
      <c r="A56712" s="136"/>
      <c r="CM56712" s="111"/>
      <c r="CQ56712" s="111"/>
      <c r="EF56712"/>
      <c r="EG56712"/>
      <c r="EH56712"/>
      <c r="EI56712"/>
      <c r="EJ56712"/>
      <c r="EK56712"/>
    </row>
    <row r="56713" spans="1:141" s="116" customFormat="1">
      <c r="A56713" s="136"/>
      <c r="CM56713" s="111"/>
      <c r="CQ56713" s="111"/>
      <c r="EF56713"/>
      <c r="EG56713"/>
      <c r="EH56713"/>
      <c r="EI56713"/>
      <c r="EJ56713"/>
      <c r="EK56713"/>
    </row>
    <row r="56714" spans="1:141" s="116" customFormat="1">
      <c r="A56714" s="136"/>
      <c r="CM56714" s="111"/>
      <c r="CQ56714" s="111"/>
      <c r="EF56714"/>
      <c r="EG56714"/>
      <c r="EH56714"/>
      <c r="EI56714"/>
      <c r="EJ56714"/>
      <c r="EK56714"/>
    </row>
    <row r="56715" spans="1:141" s="116" customFormat="1">
      <c r="A56715" s="136"/>
      <c r="CM56715" s="111"/>
      <c r="CQ56715" s="111"/>
      <c r="EF56715"/>
      <c r="EG56715"/>
      <c r="EH56715"/>
      <c r="EI56715"/>
      <c r="EJ56715"/>
      <c r="EK56715"/>
    </row>
    <row r="56716" spans="1:141" s="116" customFormat="1">
      <c r="A56716" s="136"/>
      <c r="CM56716" s="111"/>
      <c r="CQ56716" s="111"/>
      <c r="EF56716"/>
      <c r="EG56716"/>
      <c r="EH56716"/>
      <c r="EI56716"/>
      <c r="EJ56716"/>
      <c r="EK56716"/>
    </row>
    <row r="56717" spans="1:141" s="116" customFormat="1">
      <c r="A56717" s="136"/>
      <c r="CM56717" s="111"/>
      <c r="CQ56717" s="111"/>
      <c r="EF56717"/>
      <c r="EG56717"/>
      <c r="EH56717"/>
      <c r="EI56717"/>
      <c r="EJ56717"/>
      <c r="EK56717"/>
    </row>
    <row r="56718" spans="1:141" s="116" customFormat="1">
      <c r="A56718" s="136"/>
      <c r="CM56718" s="111"/>
      <c r="CQ56718" s="111"/>
      <c r="EF56718"/>
      <c r="EG56718"/>
      <c r="EH56718"/>
      <c r="EI56718"/>
      <c r="EJ56718"/>
      <c r="EK56718"/>
    </row>
    <row r="56719" spans="1:141" s="116" customFormat="1">
      <c r="A56719" s="136"/>
      <c r="CM56719" s="111"/>
      <c r="CQ56719" s="111"/>
      <c r="EF56719"/>
      <c r="EG56719"/>
      <c r="EH56719"/>
      <c r="EI56719"/>
      <c r="EJ56719"/>
      <c r="EK56719"/>
    </row>
    <row r="56720" spans="1:141" s="116" customFormat="1">
      <c r="A56720" s="136"/>
      <c r="CM56720" s="111"/>
      <c r="CQ56720" s="111"/>
      <c r="EF56720"/>
      <c r="EG56720"/>
      <c r="EH56720"/>
      <c r="EI56720"/>
      <c r="EJ56720"/>
      <c r="EK56720"/>
    </row>
    <row r="56721" spans="1:141" s="116" customFormat="1">
      <c r="A56721" s="136"/>
      <c r="CM56721" s="111"/>
      <c r="CQ56721" s="111"/>
      <c r="EF56721"/>
      <c r="EG56721"/>
      <c r="EH56721"/>
      <c r="EI56721"/>
      <c r="EJ56721"/>
      <c r="EK56721"/>
    </row>
    <row r="56722" spans="1:141" s="116" customFormat="1">
      <c r="A56722" s="136"/>
      <c r="CM56722" s="111"/>
      <c r="CQ56722" s="111"/>
      <c r="EF56722"/>
      <c r="EG56722"/>
      <c r="EH56722"/>
      <c r="EI56722"/>
      <c r="EJ56722"/>
      <c r="EK56722"/>
    </row>
    <row r="56723" spans="1:141" s="116" customFormat="1">
      <c r="A56723" s="136"/>
      <c r="CM56723" s="111"/>
      <c r="CQ56723" s="111"/>
      <c r="EF56723"/>
      <c r="EG56723"/>
      <c r="EH56723"/>
      <c r="EI56723"/>
      <c r="EJ56723"/>
      <c r="EK56723"/>
    </row>
    <row r="56724" spans="1:141" s="116" customFormat="1">
      <c r="A56724" s="136"/>
      <c r="CM56724" s="111"/>
      <c r="CQ56724" s="111"/>
      <c r="EF56724"/>
      <c r="EG56724"/>
      <c r="EH56724"/>
      <c r="EI56724"/>
      <c r="EJ56724"/>
      <c r="EK56724"/>
    </row>
    <row r="56725" spans="1:141" s="116" customFormat="1">
      <c r="A56725" s="136"/>
      <c r="CM56725" s="111"/>
      <c r="CQ56725" s="111"/>
      <c r="EF56725"/>
      <c r="EG56725"/>
      <c r="EH56725"/>
      <c r="EI56725"/>
      <c r="EJ56725"/>
      <c r="EK56725"/>
    </row>
    <row r="56726" spans="1:141" s="116" customFormat="1">
      <c r="A56726" s="136"/>
      <c r="CM56726" s="111"/>
      <c r="CQ56726" s="111"/>
      <c r="EF56726"/>
      <c r="EG56726"/>
      <c r="EH56726"/>
      <c r="EI56726"/>
      <c r="EJ56726"/>
      <c r="EK56726"/>
    </row>
    <row r="56727" spans="1:141" s="116" customFormat="1">
      <c r="A56727" s="136"/>
      <c r="CM56727" s="111"/>
      <c r="CQ56727" s="111"/>
      <c r="EF56727"/>
      <c r="EG56727"/>
      <c r="EH56727"/>
      <c r="EI56727"/>
      <c r="EJ56727"/>
      <c r="EK56727"/>
    </row>
    <row r="56728" spans="1:141" s="116" customFormat="1">
      <c r="A56728" s="136"/>
      <c r="CM56728" s="111"/>
      <c r="CQ56728" s="111"/>
      <c r="EF56728"/>
      <c r="EG56728"/>
      <c r="EH56728"/>
      <c r="EI56728"/>
      <c r="EJ56728"/>
      <c r="EK56728"/>
    </row>
    <row r="56729" spans="1:141" s="116" customFormat="1">
      <c r="A56729" s="136"/>
      <c r="CM56729" s="111"/>
      <c r="CQ56729" s="111"/>
      <c r="EF56729"/>
      <c r="EG56729"/>
      <c r="EH56729"/>
      <c r="EI56729"/>
      <c r="EJ56729"/>
      <c r="EK56729"/>
    </row>
    <row r="56730" spans="1:141" s="116" customFormat="1">
      <c r="A56730" s="136"/>
      <c r="CM56730" s="111"/>
      <c r="CQ56730" s="111"/>
      <c r="EF56730"/>
      <c r="EG56730"/>
      <c r="EH56730"/>
      <c r="EI56730"/>
      <c r="EJ56730"/>
      <c r="EK56730"/>
    </row>
    <row r="56731" spans="1:141" s="116" customFormat="1">
      <c r="A56731" s="136"/>
      <c r="CM56731" s="111"/>
      <c r="CQ56731" s="111"/>
      <c r="EF56731"/>
      <c r="EG56731"/>
      <c r="EH56731"/>
      <c r="EI56731"/>
      <c r="EJ56731"/>
      <c r="EK56731"/>
    </row>
    <row r="56732" spans="1:141" s="116" customFormat="1">
      <c r="A56732" s="136"/>
      <c r="CM56732" s="111"/>
      <c r="CQ56732" s="111"/>
      <c r="EF56732"/>
      <c r="EG56732"/>
      <c r="EH56732"/>
      <c r="EI56732"/>
      <c r="EJ56732"/>
      <c r="EK56732"/>
    </row>
    <row r="56733" spans="1:141" s="116" customFormat="1">
      <c r="A56733" s="136"/>
      <c r="CM56733" s="111"/>
      <c r="CQ56733" s="111"/>
      <c r="EF56733"/>
      <c r="EG56733"/>
      <c r="EH56733"/>
      <c r="EI56733"/>
      <c r="EJ56733"/>
      <c r="EK56733"/>
    </row>
    <row r="56734" spans="1:141" s="116" customFormat="1">
      <c r="A56734" s="136"/>
      <c r="CM56734" s="111"/>
      <c r="CQ56734" s="111"/>
      <c r="EF56734"/>
      <c r="EG56734"/>
      <c r="EH56734"/>
      <c r="EI56734"/>
      <c r="EJ56734"/>
      <c r="EK56734"/>
    </row>
    <row r="56735" spans="1:141" s="116" customFormat="1">
      <c r="A56735" s="136"/>
      <c r="CM56735" s="111"/>
      <c r="CQ56735" s="111"/>
      <c r="EF56735"/>
      <c r="EG56735"/>
      <c r="EH56735"/>
      <c r="EI56735"/>
      <c r="EJ56735"/>
      <c r="EK56735"/>
    </row>
    <row r="56736" spans="1:141" s="116" customFormat="1">
      <c r="A56736" s="136"/>
      <c r="CM56736" s="111"/>
      <c r="CQ56736" s="111"/>
      <c r="EF56736"/>
      <c r="EG56736"/>
      <c r="EH56736"/>
      <c r="EI56736"/>
      <c r="EJ56736"/>
      <c r="EK56736"/>
    </row>
    <row r="56737" spans="1:141" s="116" customFormat="1">
      <c r="A56737" s="136"/>
      <c r="CM56737" s="111"/>
      <c r="CQ56737" s="111"/>
      <c r="EF56737"/>
      <c r="EG56737"/>
      <c r="EH56737"/>
      <c r="EI56737"/>
      <c r="EJ56737"/>
      <c r="EK56737"/>
    </row>
    <row r="56738" spans="1:141" s="116" customFormat="1">
      <c r="A56738" s="136"/>
      <c r="CM56738" s="111"/>
      <c r="CQ56738" s="111"/>
      <c r="EF56738"/>
      <c r="EG56738"/>
      <c r="EH56738"/>
      <c r="EI56738"/>
      <c r="EJ56738"/>
      <c r="EK56738"/>
    </row>
    <row r="56739" spans="1:141" s="116" customFormat="1">
      <c r="A56739" s="136"/>
      <c r="CM56739" s="111"/>
      <c r="CQ56739" s="111"/>
      <c r="EF56739"/>
      <c r="EG56739"/>
      <c r="EH56739"/>
      <c r="EI56739"/>
      <c r="EJ56739"/>
      <c r="EK56739"/>
    </row>
    <row r="56740" spans="1:141" s="116" customFormat="1">
      <c r="A56740" s="136"/>
      <c r="CM56740" s="111"/>
      <c r="CQ56740" s="111"/>
      <c r="EF56740"/>
      <c r="EG56740"/>
      <c r="EH56740"/>
      <c r="EI56740"/>
      <c r="EJ56740"/>
      <c r="EK56740"/>
    </row>
    <row r="56741" spans="1:141" s="116" customFormat="1">
      <c r="A56741" s="136"/>
      <c r="CM56741" s="111"/>
      <c r="CQ56741" s="111"/>
      <c r="EF56741"/>
      <c r="EG56741"/>
      <c r="EH56741"/>
      <c r="EI56741"/>
      <c r="EJ56741"/>
      <c r="EK56741"/>
    </row>
    <row r="56742" spans="1:141" s="116" customFormat="1">
      <c r="A56742" s="136"/>
      <c r="CM56742" s="111"/>
      <c r="CQ56742" s="111"/>
      <c r="EF56742"/>
      <c r="EG56742"/>
      <c r="EH56742"/>
      <c r="EI56742"/>
      <c r="EJ56742"/>
      <c r="EK56742"/>
    </row>
    <row r="56743" spans="1:141" s="116" customFormat="1">
      <c r="A56743" s="136"/>
      <c r="CM56743" s="111"/>
      <c r="CQ56743" s="111"/>
      <c r="EF56743"/>
      <c r="EG56743"/>
      <c r="EH56743"/>
      <c r="EI56743"/>
      <c r="EJ56743"/>
      <c r="EK56743"/>
    </row>
    <row r="56744" spans="1:141" s="116" customFormat="1">
      <c r="A56744" s="136"/>
      <c r="CM56744" s="111"/>
      <c r="CQ56744" s="111"/>
      <c r="EF56744"/>
      <c r="EG56744"/>
      <c r="EH56744"/>
      <c r="EI56744"/>
      <c r="EJ56744"/>
      <c r="EK56744"/>
    </row>
    <row r="56745" spans="1:141" s="116" customFormat="1">
      <c r="A56745" s="136"/>
      <c r="CM56745" s="111"/>
      <c r="CQ56745" s="111"/>
      <c r="EF56745"/>
      <c r="EG56745"/>
      <c r="EH56745"/>
      <c r="EI56745"/>
      <c r="EJ56745"/>
      <c r="EK56745"/>
    </row>
    <row r="56746" spans="1:141" s="116" customFormat="1">
      <c r="A56746" s="136"/>
      <c r="CM56746" s="111"/>
      <c r="CQ56746" s="111"/>
      <c r="EF56746"/>
      <c r="EG56746"/>
      <c r="EH56746"/>
      <c r="EI56746"/>
      <c r="EJ56746"/>
      <c r="EK56746"/>
    </row>
    <row r="56747" spans="1:141" s="116" customFormat="1">
      <c r="A56747" s="136"/>
      <c r="CM56747" s="111"/>
      <c r="CQ56747" s="111"/>
      <c r="EF56747"/>
      <c r="EG56747"/>
      <c r="EH56747"/>
      <c r="EI56747"/>
      <c r="EJ56747"/>
      <c r="EK56747"/>
    </row>
    <row r="56748" spans="1:141" s="116" customFormat="1">
      <c r="A56748" s="136"/>
      <c r="CM56748" s="111"/>
      <c r="CQ56748" s="111"/>
      <c r="EF56748"/>
      <c r="EG56748"/>
      <c r="EH56748"/>
      <c r="EI56748"/>
      <c r="EJ56748"/>
      <c r="EK56748"/>
    </row>
    <row r="56749" spans="1:141" s="116" customFormat="1">
      <c r="A56749" s="136"/>
      <c r="CM56749" s="111"/>
      <c r="CQ56749" s="111"/>
      <c r="EF56749"/>
      <c r="EG56749"/>
      <c r="EH56749"/>
      <c r="EI56749"/>
      <c r="EJ56749"/>
      <c r="EK56749"/>
    </row>
    <row r="56750" spans="1:141" s="116" customFormat="1">
      <c r="A56750" s="136"/>
      <c r="CM56750" s="111"/>
      <c r="CQ56750" s="111"/>
      <c r="EF56750"/>
      <c r="EG56750"/>
      <c r="EH56750"/>
      <c r="EI56750"/>
      <c r="EJ56750"/>
      <c r="EK56750"/>
    </row>
    <row r="56751" spans="1:141" s="116" customFormat="1">
      <c r="A56751" s="136"/>
      <c r="CM56751" s="111"/>
      <c r="CQ56751" s="111"/>
      <c r="EF56751"/>
      <c r="EG56751"/>
      <c r="EH56751"/>
      <c r="EI56751"/>
      <c r="EJ56751"/>
      <c r="EK56751"/>
    </row>
    <row r="56752" spans="1:141" s="116" customFormat="1">
      <c r="A56752" s="136"/>
      <c r="CM56752" s="111"/>
      <c r="CQ56752" s="111"/>
      <c r="EF56752"/>
      <c r="EG56752"/>
      <c r="EH56752"/>
      <c r="EI56752"/>
      <c r="EJ56752"/>
      <c r="EK56752"/>
    </row>
    <row r="56753" spans="1:141" s="116" customFormat="1">
      <c r="A56753" s="136"/>
      <c r="CM56753" s="111"/>
      <c r="CQ56753" s="111"/>
      <c r="EF56753"/>
      <c r="EG56753"/>
      <c r="EH56753"/>
      <c r="EI56753"/>
      <c r="EJ56753"/>
      <c r="EK56753"/>
    </row>
    <row r="56754" spans="1:141" s="116" customFormat="1">
      <c r="A56754" s="136"/>
      <c r="CM56754" s="111"/>
      <c r="CQ56754" s="111"/>
      <c r="EF56754"/>
      <c r="EG56754"/>
      <c r="EH56754"/>
      <c r="EI56754"/>
      <c r="EJ56754"/>
      <c r="EK56754"/>
    </row>
    <row r="56755" spans="1:141" s="116" customFormat="1">
      <c r="A56755" s="136"/>
      <c r="CM56755" s="111"/>
      <c r="CQ56755" s="111"/>
      <c r="EF56755"/>
      <c r="EG56755"/>
      <c r="EH56755"/>
      <c r="EI56755"/>
      <c r="EJ56755"/>
      <c r="EK56755"/>
    </row>
    <row r="56756" spans="1:141" s="116" customFormat="1">
      <c r="A56756" s="136"/>
      <c r="CM56756" s="111"/>
      <c r="CQ56756" s="111"/>
      <c r="EF56756"/>
      <c r="EG56756"/>
      <c r="EH56756"/>
      <c r="EI56756"/>
      <c r="EJ56756"/>
      <c r="EK56756"/>
    </row>
    <row r="56757" spans="1:141" s="116" customFormat="1">
      <c r="A56757" s="136"/>
      <c r="CM56757" s="111"/>
      <c r="CQ56757" s="111"/>
      <c r="EF56757"/>
      <c r="EG56757"/>
      <c r="EH56757"/>
      <c r="EI56757"/>
      <c r="EJ56757"/>
      <c r="EK56757"/>
    </row>
    <row r="56758" spans="1:141" s="116" customFormat="1">
      <c r="A56758" s="136"/>
      <c r="CM56758" s="111"/>
      <c r="CQ56758" s="111"/>
      <c r="EF56758"/>
      <c r="EG56758"/>
      <c r="EH56758"/>
      <c r="EI56758"/>
      <c r="EJ56758"/>
      <c r="EK56758"/>
    </row>
    <row r="56759" spans="1:141" s="116" customFormat="1">
      <c r="A56759" s="136"/>
      <c r="CM56759" s="111"/>
      <c r="CQ56759" s="111"/>
      <c r="EF56759"/>
      <c r="EG56759"/>
      <c r="EH56759"/>
      <c r="EI56759"/>
      <c r="EJ56759"/>
      <c r="EK56759"/>
    </row>
    <row r="56760" spans="1:141" s="116" customFormat="1">
      <c r="A56760" s="136"/>
      <c r="CM56760" s="111"/>
      <c r="CQ56760" s="111"/>
      <c r="EF56760"/>
      <c r="EG56760"/>
      <c r="EH56760"/>
      <c r="EI56760"/>
      <c r="EJ56760"/>
      <c r="EK56760"/>
    </row>
    <row r="56761" spans="1:141" s="116" customFormat="1">
      <c r="A56761" s="136"/>
      <c r="CM56761" s="111"/>
      <c r="CQ56761" s="111"/>
      <c r="EF56761"/>
      <c r="EG56761"/>
      <c r="EH56761"/>
      <c r="EI56761"/>
      <c r="EJ56761"/>
      <c r="EK56761"/>
    </row>
    <row r="56762" spans="1:141" s="116" customFormat="1">
      <c r="A56762" s="136"/>
      <c r="CM56762" s="111"/>
      <c r="CQ56762" s="111"/>
      <c r="EF56762"/>
      <c r="EG56762"/>
      <c r="EH56762"/>
      <c r="EI56762"/>
      <c r="EJ56762"/>
      <c r="EK56762"/>
    </row>
    <row r="56763" spans="1:141" s="116" customFormat="1">
      <c r="A56763" s="136"/>
      <c r="CM56763" s="111"/>
      <c r="CQ56763" s="111"/>
      <c r="EF56763"/>
      <c r="EG56763"/>
      <c r="EH56763"/>
      <c r="EI56763"/>
      <c r="EJ56763"/>
      <c r="EK56763"/>
    </row>
    <row r="56764" spans="1:141" s="116" customFormat="1">
      <c r="A56764" s="136"/>
      <c r="CM56764" s="111"/>
      <c r="CQ56764" s="111"/>
      <c r="EF56764"/>
      <c r="EG56764"/>
      <c r="EH56764"/>
      <c r="EI56764"/>
      <c r="EJ56764"/>
      <c r="EK56764"/>
    </row>
    <row r="56765" spans="1:141" s="116" customFormat="1">
      <c r="A56765" s="136"/>
      <c r="CM56765" s="111"/>
      <c r="CQ56765" s="111"/>
      <c r="EF56765"/>
      <c r="EG56765"/>
      <c r="EH56765"/>
      <c r="EI56765"/>
      <c r="EJ56765"/>
      <c r="EK56765"/>
    </row>
    <row r="56766" spans="1:141" s="116" customFormat="1">
      <c r="A56766" s="136"/>
      <c r="CM56766" s="111"/>
      <c r="CQ56766" s="111"/>
      <c r="EF56766"/>
      <c r="EG56766"/>
      <c r="EH56766"/>
      <c r="EI56766"/>
      <c r="EJ56766"/>
      <c r="EK56766"/>
    </row>
    <row r="56767" spans="1:141" s="116" customFormat="1">
      <c r="A56767" s="136"/>
      <c r="CM56767" s="111"/>
      <c r="CQ56767" s="111"/>
      <c r="EF56767"/>
      <c r="EG56767"/>
      <c r="EH56767"/>
      <c r="EI56767"/>
      <c r="EJ56767"/>
      <c r="EK56767"/>
    </row>
    <row r="56768" spans="1:141" s="116" customFormat="1">
      <c r="A56768" s="136"/>
      <c r="CM56768" s="111"/>
      <c r="CQ56768" s="111"/>
      <c r="EF56768"/>
      <c r="EG56768"/>
      <c r="EH56768"/>
      <c r="EI56768"/>
      <c r="EJ56768"/>
      <c r="EK56768"/>
    </row>
    <row r="56769" spans="1:141" s="116" customFormat="1">
      <c r="A56769" s="136"/>
      <c r="CM56769" s="111"/>
      <c r="CQ56769" s="111"/>
      <c r="EF56769"/>
      <c r="EG56769"/>
      <c r="EH56769"/>
      <c r="EI56769"/>
      <c r="EJ56769"/>
      <c r="EK56769"/>
    </row>
    <row r="56770" spans="1:141" s="116" customFormat="1">
      <c r="A56770" s="136"/>
      <c r="CM56770" s="111"/>
      <c r="CQ56770" s="111"/>
      <c r="EF56770"/>
      <c r="EG56770"/>
      <c r="EH56770"/>
      <c r="EI56770"/>
      <c r="EJ56770"/>
      <c r="EK56770"/>
    </row>
    <row r="56771" spans="1:141" s="116" customFormat="1">
      <c r="A56771" s="136"/>
      <c r="CM56771" s="111"/>
      <c r="CQ56771" s="111"/>
      <c r="EF56771"/>
      <c r="EG56771"/>
      <c r="EH56771"/>
      <c r="EI56771"/>
      <c r="EJ56771"/>
      <c r="EK56771"/>
    </row>
    <row r="56772" spans="1:141" s="116" customFormat="1">
      <c r="A56772" s="136"/>
      <c r="CM56772" s="111"/>
      <c r="CQ56772" s="111"/>
      <c r="EF56772"/>
      <c r="EG56772"/>
      <c r="EH56772"/>
      <c r="EI56772"/>
      <c r="EJ56772"/>
      <c r="EK56772"/>
    </row>
    <row r="56773" spans="1:141" s="116" customFormat="1">
      <c r="A56773" s="136"/>
      <c r="CM56773" s="111"/>
      <c r="CQ56773" s="111"/>
      <c r="EF56773"/>
      <c r="EG56773"/>
      <c r="EH56773"/>
      <c r="EI56773"/>
      <c r="EJ56773"/>
      <c r="EK56773"/>
    </row>
    <row r="56774" spans="1:141" s="116" customFormat="1">
      <c r="A56774" s="136"/>
      <c r="CM56774" s="111"/>
      <c r="CQ56774" s="111"/>
      <c r="EF56774"/>
      <c r="EG56774"/>
      <c r="EH56774"/>
      <c r="EI56774"/>
      <c r="EJ56774"/>
      <c r="EK56774"/>
    </row>
    <row r="56775" spans="1:141" s="116" customFormat="1">
      <c r="A56775" s="136"/>
      <c r="CM56775" s="111"/>
      <c r="CQ56775" s="111"/>
      <c r="EF56775"/>
      <c r="EG56775"/>
      <c r="EH56775"/>
      <c r="EI56775"/>
      <c r="EJ56775"/>
      <c r="EK56775"/>
    </row>
    <row r="56776" spans="1:141" s="116" customFormat="1">
      <c r="A56776" s="136"/>
      <c r="CM56776" s="111"/>
      <c r="CQ56776" s="111"/>
      <c r="EF56776"/>
      <c r="EG56776"/>
      <c r="EH56776"/>
      <c r="EI56776"/>
      <c r="EJ56776"/>
      <c r="EK56776"/>
    </row>
    <row r="56777" spans="1:141" s="116" customFormat="1">
      <c r="A56777" s="136"/>
      <c r="CM56777" s="111"/>
      <c r="CQ56777" s="111"/>
      <c r="EF56777"/>
      <c r="EG56777"/>
      <c r="EH56777"/>
      <c r="EI56777"/>
      <c r="EJ56777"/>
      <c r="EK56777"/>
    </row>
    <row r="56778" spans="1:141" s="116" customFormat="1">
      <c r="A56778" s="136"/>
      <c r="CM56778" s="111"/>
      <c r="CQ56778" s="111"/>
      <c r="EF56778"/>
      <c r="EG56778"/>
      <c r="EH56778"/>
      <c r="EI56778"/>
      <c r="EJ56778"/>
      <c r="EK56778"/>
    </row>
    <row r="56779" spans="1:141" s="116" customFormat="1">
      <c r="A56779" s="136"/>
      <c r="CM56779" s="111"/>
      <c r="CQ56779" s="111"/>
      <c r="EF56779"/>
      <c r="EG56779"/>
      <c r="EH56779"/>
      <c r="EI56779"/>
      <c r="EJ56779"/>
      <c r="EK56779"/>
    </row>
    <row r="56780" spans="1:141" s="116" customFormat="1">
      <c r="A56780" s="136"/>
      <c r="CM56780" s="111"/>
      <c r="CQ56780" s="111"/>
      <c r="EF56780"/>
      <c r="EG56780"/>
      <c r="EH56780"/>
      <c r="EI56780"/>
      <c r="EJ56780"/>
      <c r="EK56780"/>
    </row>
    <row r="56781" spans="1:141" s="116" customFormat="1">
      <c r="A56781" s="136"/>
      <c r="CM56781" s="111"/>
      <c r="CQ56781" s="111"/>
      <c r="EF56781"/>
      <c r="EG56781"/>
      <c r="EH56781"/>
      <c r="EI56781"/>
      <c r="EJ56781"/>
      <c r="EK56781"/>
    </row>
    <row r="56782" spans="1:141" s="116" customFormat="1">
      <c r="A56782" s="136"/>
      <c r="CM56782" s="111"/>
      <c r="CQ56782" s="111"/>
      <c r="EF56782"/>
      <c r="EG56782"/>
      <c r="EH56782"/>
      <c r="EI56782"/>
      <c r="EJ56782"/>
      <c r="EK56782"/>
    </row>
    <row r="56783" spans="1:141" s="116" customFormat="1">
      <c r="A56783" s="136"/>
      <c r="CM56783" s="111"/>
      <c r="CQ56783" s="111"/>
      <c r="EF56783"/>
      <c r="EG56783"/>
      <c r="EH56783"/>
      <c r="EI56783"/>
      <c r="EJ56783"/>
      <c r="EK56783"/>
    </row>
    <row r="56784" spans="1:141" s="116" customFormat="1">
      <c r="A56784" s="136"/>
      <c r="CM56784" s="111"/>
      <c r="CQ56784" s="111"/>
      <c r="EF56784"/>
      <c r="EG56784"/>
      <c r="EH56784"/>
      <c r="EI56784"/>
      <c r="EJ56784"/>
      <c r="EK56784"/>
    </row>
    <row r="56785" spans="1:141" s="116" customFormat="1">
      <c r="A56785" s="136"/>
      <c r="CM56785" s="111"/>
      <c r="CQ56785" s="111"/>
      <c r="EF56785"/>
      <c r="EG56785"/>
      <c r="EH56785"/>
      <c r="EI56785"/>
      <c r="EJ56785"/>
      <c r="EK56785"/>
    </row>
    <row r="56786" spans="1:141" s="116" customFormat="1">
      <c r="A56786" s="136"/>
      <c r="CM56786" s="111"/>
      <c r="CQ56786" s="111"/>
      <c r="EF56786"/>
      <c r="EG56786"/>
      <c r="EH56786"/>
      <c r="EI56786"/>
      <c r="EJ56786"/>
      <c r="EK56786"/>
    </row>
    <row r="56787" spans="1:141" s="116" customFormat="1">
      <c r="A56787" s="136"/>
      <c r="CM56787" s="111"/>
      <c r="CQ56787" s="111"/>
      <c r="EF56787"/>
      <c r="EG56787"/>
      <c r="EH56787"/>
      <c r="EI56787"/>
      <c r="EJ56787"/>
      <c r="EK56787"/>
    </row>
    <row r="56788" spans="1:141" s="116" customFormat="1">
      <c r="A56788" s="136"/>
      <c r="CM56788" s="111"/>
      <c r="CQ56788" s="111"/>
      <c r="EF56788"/>
      <c r="EG56788"/>
      <c r="EH56788"/>
      <c r="EI56788"/>
      <c r="EJ56788"/>
      <c r="EK56788"/>
    </row>
    <row r="56789" spans="1:141" s="116" customFormat="1">
      <c r="A56789" s="136"/>
      <c r="CM56789" s="111"/>
      <c r="CQ56789" s="111"/>
      <c r="EF56789"/>
      <c r="EG56789"/>
      <c r="EH56789"/>
      <c r="EI56789"/>
      <c r="EJ56789"/>
      <c r="EK56789"/>
    </row>
    <row r="56790" spans="1:141" s="116" customFormat="1">
      <c r="A56790" s="136"/>
      <c r="CM56790" s="111"/>
      <c r="CQ56790" s="111"/>
      <c r="EF56790"/>
      <c r="EG56790"/>
      <c r="EH56790"/>
      <c r="EI56790"/>
      <c r="EJ56790"/>
      <c r="EK56790"/>
    </row>
    <row r="56791" spans="1:141" s="116" customFormat="1">
      <c r="A56791" s="136"/>
      <c r="CM56791" s="111"/>
      <c r="CQ56791" s="111"/>
      <c r="EF56791"/>
      <c r="EG56791"/>
      <c r="EH56791"/>
      <c r="EI56791"/>
      <c r="EJ56791"/>
      <c r="EK56791"/>
    </row>
    <row r="56792" spans="1:141" s="116" customFormat="1">
      <c r="A56792" s="136"/>
      <c r="CM56792" s="111"/>
      <c r="CQ56792" s="111"/>
      <c r="EF56792"/>
      <c r="EG56792"/>
      <c r="EH56792"/>
      <c r="EI56792"/>
      <c r="EJ56792"/>
      <c r="EK56792"/>
    </row>
    <row r="56793" spans="1:141" s="116" customFormat="1">
      <c r="A56793" s="136"/>
      <c r="CM56793" s="111"/>
      <c r="CQ56793" s="111"/>
      <c r="EF56793"/>
      <c r="EG56793"/>
      <c r="EH56793"/>
      <c r="EI56793"/>
      <c r="EJ56793"/>
      <c r="EK56793"/>
    </row>
    <row r="56794" spans="1:141" s="116" customFormat="1">
      <c r="A56794" s="136"/>
      <c r="CM56794" s="111"/>
      <c r="CQ56794" s="111"/>
      <c r="EF56794"/>
      <c r="EG56794"/>
      <c r="EH56794"/>
      <c r="EI56794"/>
      <c r="EJ56794"/>
      <c r="EK56794"/>
    </row>
    <row r="56795" spans="1:141" s="116" customFormat="1">
      <c r="A56795" s="136"/>
      <c r="CM56795" s="111"/>
      <c r="CQ56795" s="111"/>
      <c r="EF56795"/>
      <c r="EG56795"/>
      <c r="EH56795"/>
      <c r="EI56795"/>
      <c r="EJ56795"/>
      <c r="EK56795"/>
    </row>
    <row r="56796" spans="1:141" s="116" customFormat="1">
      <c r="A56796" s="136"/>
      <c r="CM56796" s="111"/>
      <c r="CQ56796" s="111"/>
      <c r="EF56796"/>
      <c r="EG56796"/>
      <c r="EH56796"/>
      <c r="EI56796"/>
      <c r="EJ56796"/>
      <c r="EK56796"/>
    </row>
    <row r="56797" spans="1:141" s="116" customFormat="1">
      <c r="A56797" s="136"/>
      <c r="CM56797" s="111"/>
      <c r="CQ56797" s="111"/>
      <c r="EF56797"/>
      <c r="EG56797"/>
      <c r="EH56797"/>
      <c r="EI56797"/>
      <c r="EJ56797"/>
      <c r="EK56797"/>
    </row>
    <row r="56798" spans="1:141" s="116" customFormat="1">
      <c r="A56798" s="136"/>
      <c r="CM56798" s="111"/>
      <c r="CQ56798" s="111"/>
      <c r="EF56798"/>
      <c r="EG56798"/>
      <c r="EH56798"/>
      <c r="EI56798"/>
      <c r="EJ56798"/>
      <c r="EK56798"/>
    </row>
    <row r="56799" spans="1:141" s="116" customFormat="1">
      <c r="A56799" s="136"/>
      <c r="CM56799" s="111"/>
      <c r="CQ56799" s="111"/>
      <c r="EF56799"/>
      <c r="EG56799"/>
      <c r="EH56799"/>
      <c r="EI56799"/>
      <c r="EJ56799"/>
      <c r="EK56799"/>
    </row>
    <row r="56800" spans="1:141" s="116" customFormat="1">
      <c r="A56800" s="136"/>
      <c r="CM56800" s="111"/>
      <c r="CQ56800" s="111"/>
      <c r="EF56800"/>
      <c r="EG56800"/>
      <c r="EH56800"/>
      <c r="EI56800"/>
      <c r="EJ56800"/>
      <c r="EK56800"/>
    </row>
    <row r="56801" spans="1:141" s="116" customFormat="1">
      <c r="A56801" s="136"/>
      <c r="CM56801" s="111"/>
      <c r="CQ56801" s="111"/>
      <c r="EF56801"/>
      <c r="EG56801"/>
      <c r="EH56801"/>
      <c r="EI56801"/>
      <c r="EJ56801"/>
      <c r="EK56801"/>
    </row>
    <row r="56802" spans="1:141" s="116" customFormat="1">
      <c r="A56802" s="136"/>
      <c r="CM56802" s="111"/>
      <c r="CQ56802" s="111"/>
      <c r="EF56802"/>
      <c r="EG56802"/>
      <c r="EH56802"/>
      <c r="EI56802"/>
      <c r="EJ56802"/>
      <c r="EK56802"/>
    </row>
    <row r="56803" spans="1:141" s="116" customFormat="1">
      <c r="A56803" s="136"/>
      <c r="CM56803" s="111"/>
      <c r="CQ56803" s="111"/>
      <c r="EF56803"/>
      <c r="EG56803"/>
      <c r="EH56803"/>
      <c r="EI56803"/>
      <c r="EJ56803"/>
      <c r="EK56803"/>
    </row>
    <row r="56804" spans="1:141" s="116" customFormat="1">
      <c r="A56804" s="136"/>
      <c r="CM56804" s="111"/>
      <c r="CQ56804" s="111"/>
      <c r="EF56804"/>
      <c r="EG56804"/>
      <c r="EH56804"/>
      <c r="EI56804"/>
      <c r="EJ56804"/>
      <c r="EK56804"/>
    </row>
    <row r="56805" spans="1:141" s="116" customFormat="1">
      <c r="A56805" s="136"/>
      <c r="CM56805" s="111"/>
      <c r="CQ56805" s="111"/>
      <c r="EF56805"/>
      <c r="EG56805"/>
      <c r="EH56805"/>
      <c r="EI56805"/>
      <c r="EJ56805"/>
      <c r="EK56805"/>
    </row>
    <row r="56806" spans="1:141" s="116" customFormat="1">
      <c r="A56806" s="136"/>
      <c r="CM56806" s="111"/>
      <c r="CQ56806" s="111"/>
      <c r="EF56806"/>
      <c r="EG56806"/>
      <c r="EH56806"/>
      <c r="EI56806"/>
      <c r="EJ56806"/>
      <c r="EK56806"/>
    </row>
    <row r="56807" spans="1:141" s="116" customFormat="1">
      <c r="A56807" s="136"/>
      <c r="CM56807" s="111"/>
      <c r="CQ56807" s="111"/>
      <c r="EF56807"/>
      <c r="EG56807"/>
      <c r="EH56807"/>
      <c r="EI56807"/>
      <c r="EJ56807"/>
      <c r="EK56807"/>
    </row>
    <row r="56808" spans="1:141" s="116" customFormat="1">
      <c r="A56808" s="136"/>
      <c r="CM56808" s="111"/>
      <c r="CQ56808" s="111"/>
      <c r="EF56808"/>
      <c r="EG56808"/>
      <c r="EH56808"/>
      <c r="EI56808"/>
      <c r="EJ56808"/>
      <c r="EK56808"/>
    </row>
    <row r="56809" spans="1:141" s="116" customFormat="1">
      <c r="A56809" s="136"/>
      <c r="CM56809" s="111"/>
      <c r="CQ56809" s="111"/>
      <c r="EF56809"/>
      <c r="EG56809"/>
      <c r="EH56809"/>
      <c r="EI56809"/>
      <c r="EJ56809"/>
      <c r="EK56809"/>
    </row>
    <row r="56810" spans="1:141" s="116" customFormat="1">
      <c r="A56810" s="136"/>
      <c r="CM56810" s="111"/>
      <c r="CQ56810" s="111"/>
      <c r="EF56810"/>
      <c r="EG56810"/>
      <c r="EH56810"/>
      <c r="EI56810"/>
      <c r="EJ56810"/>
      <c r="EK56810"/>
    </row>
    <row r="56811" spans="1:141" s="116" customFormat="1">
      <c r="A56811" s="136"/>
      <c r="CM56811" s="111"/>
      <c r="CQ56811" s="111"/>
      <c r="EF56811"/>
      <c r="EG56811"/>
      <c r="EH56811"/>
      <c r="EI56811"/>
      <c r="EJ56811"/>
      <c r="EK56811"/>
    </row>
    <row r="56812" spans="1:141" s="116" customFormat="1">
      <c r="A56812" s="136"/>
      <c r="CM56812" s="111"/>
      <c r="CQ56812" s="111"/>
      <c r="EF56812"/>
      <c r="EG56812"/>
      <c r="EH56812"/>
      <c r="EI56812"/>
      <c r="EJ56812"/>
      <c r="EK56812"/>
    </row>
    <row r="56813" spans="1:141" s="116" customFormat="1">
      <c r="A56813" s="136"/>
      <c r="CM56813" s="111"/>
      <c r="CQ56813" s="111"/>
      <c r="EF56813"/>
      <c r="EG56813"/>
      <c r="EH56813"/>
      <c r="EI56813"/>
      <c r="EJ56813"/>
      <c r="EK56813"/>
    </row>
    <row r="56814" spans="1:141" s="116" customFormat="1">
      <c r="A56814" s="136"/>
      <c r="CM56814" s="111"/>
      <c r="CQ56814" s="111"/>
      <c r="EF56814"/>
      <c r="EG56814"/>
      <c r="EH56814"/>
      <c r="EI56814"/>
      <c r="EJ56814"/>
      <c r="EK56814"/>
    </row>
    <row r="56815" spans="1:141" s="116" customFormat="1">
      <c r="A56815" s="136"/>
      <c r="CM56815" s="111"/>
      <c r="CQ56815" s="111"/>
      <c r="EF56815"/>
      <c r="EG56815"/>
      <c r="EH56815"/>
      <c r="EI56815"/>
      <c r="EJ56815"/>
      <c r="EK56815"/>
    </row>
    <row r="56816" spans="1:141" s="116" customFormat="1">
      <c r="A56816" s="136"/>
      <c r="CM56816" s="111"/>
      <c r="CQ56816" s="111"/>
      <c r="EF56816"/>
      <c r="EG56816"/>
      <c r="EH56816"/>
      <c r="EI56816"/>
      <c r="EJ56816"/>
      <c r="EK56816"/>
    </row>
    <row r="56817" spans="1:141" s="116" customFormat="1">
      <c r="A56817" s="136"/>
      <c r="CM56817" s="111"/>
      <c r="CQ56817" s="111"/>
      <c r="EF56817"/>
      <c r="EG56817"/>
      <c r="EH56817"/>
      <c r="EI56817"/>
      <c r="EJ56817"/>
      <c r="EK56817"/>
    </row>
    <row r="56818" spans="1:141" s="116" customFormat="1">
      <c r="A56818" s="136"/>
      <c r="CM56818" s="111"/>
      <c r="CQ56818" s="111"/>
      <c r="EF56818"/>
      <c r="EG56818"/>
      <c r="EH56818"/>
      <c r="EI56818"/>
      <c r="EJ56818"/>
      <c r="EK56818"/>
    </row>
    <row r="56819" spans="1:141" s="116" customFormat="1">
      <c r="A56819" s="136"/>
      <c r="CM56819" s="111"/>
      <c r="CQ56819" s="111"/>
      <c r="EF56819"/>
      <c r="EG56819"/>
      <c r="EH56819"/>
      <c r="EI56819"/>
      <c r="EJ56819"/>
      <c r="EK56819"/>
    </row>
    <row r="56820" spans="1:141" s="116" customFormat="1">
      <c r="A56820" s="136"/>
      <c r="CM56820" s="111"/>
      <c r="CQ56820" s="111"/>
      <c r="EF56820"/>
      <c r="EG56820"/>
      <c r="EH56820"/>
      <c r="EI56820"/>
      <c r="EJ56820"/>
      <c r="EK56820"/>
    </row>
    <row r="56821" spans="1:141" s="116" customFormat="1">
      <c r="A56821" s="136"/>
      <c r="CM56821" s="111"/>
      <c r="CQ56821" s="111"/>
      <c r="EF56821"/>
      <c r="EG56821"/>
      <c r="EH56821"/>
      <c r="EI56821"/>
      <c r="EJ56821"/>
      <c r="EK56821"/>
    </row>
    <row r="56822" spans="1:141" s="116" customFormat="1">
      <c r="A56822" s="136"/>
      <c r="CM56822" s="111"/>
      <c r="CQ56822" s="111"/>
      <c r="EF56822"/>
      <c r="EG56822"/>
      <c r="EH56822"/>
      <c r="EI56822"/>
      <c r="EJ56822"/>
      <c r="EK56822"/>
    </row>
    <row r="56823" spans="1:141" s="116" customFormat="1">
      <c r="A56823" s="136"/>
      <c r="CM56823" s="111"/>
      <c r="CQ56823" s="111"/>
      <c r="EF56823"/>
      <c r="EG56823"/>
      <c r="EH56823"/>
      <c r="EI56823"/>
      <c r="EJ56823"/>
      <c r="EK56823"/>
    </row>
    <row r="56824" spans="1:141" s="116" customFormat="1">
      <c r="A56824" s="136"/>
      <c r="CM56824" s="111"/>
      <c r="CQ56824" s="111"/>
      <c r="EF56824"/>
      <c r="EG56824"/>
      <c r="EH56824"/>
      <c r="EI56824"/>
      <c r="EJ56824"/>
      <c r="EK56824"/>
    </row>
    <row r="56825" spans="1:141" s="116" customFormat="1">
      <c r="A56825" s="136"/>
      <c r="CM56825" s="111"/>
      <c r="CQ56825" s="111"/>
      <c r="EF56825"/>
      <c r="EG56825"/>
      <c r="EH56825"/>
      <c r="EI56825"/>
      <c r="EJ56825"/>
      <c r="EK56825"/>
    </row>
    <row r="56826" spans="1:141" s="116" customFormat="1">
      <c r="A56826" s="136"/>
      <c r="CM56826" s="111"/>
      <c r="CQ56826" s="111"/>
      <c r="EF56826"/>
      <c r="EG56826"/>
      <c r="EH56826"/>
      <c r="EI56826"/>
      <c r="EJ56826"/>
      <c r="EK56826"/>
    </row>
    <row r="56827" spans="1:141" s="116" customFormat="1">
      <c r="A56827" s="136"/>
      <c r="CM56827" s="111"/>
      <c r="CQ56827" s="111"/>
      <c r="EF56827"/>
      <c r="EG56827"/>
      <c r="EH56827"/>
      <c r="EI56827"/>
      <c r="EJ56827"/>
      <c r="EK56827"/>
    </row>
    <row r="56828" spans="1:141" s="116" customFormat="1">
      <c r="A56828" s="136"/>
      <c r="CM56828" s="111"/>
      <c r="CQ56828" s="111"/>
      <c r="EF56828"/>
      <c r="EG56828"/>
      <c r="EH56828"/>
      <c r="EI56828"/>
      <c r="EJ56828"/>
      <c r="EK56828"/>
    </row>
    <row r="56829" spans="1:141" s="116" customFormat="1">
      <c r="A56829" s="136"/>
      <c r="CM56829" s="111"/>
      <c r="CQ56829" s="111"/>
      <c r="EF56829"/>
      <c r="EG56829"/>
      <c r="EH56829"/>
      <c r="EI56829"/>
      <c r="EJ56829"/>
      <c r="EK56829"/>
    </row>
    <row r="56830" spans="1:141" s="116" customFormat="1">
      <c r="A56830" s="136"/>
      <c r="CM56830" s="111"/>
      <c r="CQ56830" s="111"/>
      <c r="EF56830"/>
      <c r="EG56830"/>
      <c r="EH56830"/>
      <c r="EI56830"/>
      <c r="EJ56830"/>
      <c r="EK56830"/>
    </row>
    <row r="56831" spans="1:141" s="116" customFormat="1">
      <c r="A56831" s="136"/>
      <c r="CM56831" s="111"/>
      <c r="CQ56831" s="111"/>
      <c r="EF56831"/>
      <c r="EG56831"/>
      <c r="EH56831"/>
      <c r="EI56831"/>
      <c r="EJ56831"/>
      <c r="EK56831"/>
    </row>
    <row r="56832" spans="1:141" s="116" customFormat="1">
      <c r="A56832" s="136"/>
      <c r="CM56832" s="111"/>
      <c r="CQ56832" s="111"/>
      <c r="EF56832"/>
      <c r="EG56832"/>
      <c r="EH56832"/>
      <c r="EI56832"/>
      <c r="EJ56832"/>
      <c r="EK56832"/>
    </row>
    <row r="56833" spans="1:141" s="116" customFormat="1">
      <c r="A56833" s="136"/>
      <c r="CM56833" s="111"/>
      <c r="CQ56833" s="111"/>
      <c r="EF56833"/>
      <c r="EG56833"/>
      <c r="EH56833"/>
      <c r="EI56833"/>
      <c r="EJ56833"/>
      <c r="EK56833"/>
    </row>
    <row r="56834" spans="1:141" s="116" customFormat="1">
      <c r="A56834" s="136"/>
      <c r="CM56834" s="111"/>
      <c r="CQ56834" s="111"/>
      <c r="EF56834"/>
      <c r="EG56834"/>
      <c r="EH56834"/>
      <c r="EI56834"/>
      <c r="EJ56834"/>
      <c r="EK56834"/>
    </row>
    <row r="56835" spans="1:141" s="116" customFormat="1">
      <c r="A56835" s="136"/>
      <c r="CM56835" s="111"/>
      <c r="CQ56835" s="111"/>
      <c r="EF56835"/>
      <c r="EG56835"/>
      <c r="EH56835"/>
      <c r="EI56835"/>
      <c r="EJ56835"/>
      <c r="EK56835"/>
    </row>
    <row r="56836" spans="1:141" s="116" customFormat="1">
      <c r="A56836" s="136"/>
      <c r="CM56836" s="111"/>
      <c r="CQ56836" s="111"/>
      <c r="EF56836"/>
      <c r="EG56836"/>
      <c r="EH56836"/>
      <c r="EI56836"/>
      <c r="EJ56836"/>
      <c r="EK56836"/>
    </row>
    <row r="56837" spans="1:141" s="116" customFormat="1">
      <c r="A56837" s="136"/>
      <c r="CM56837" s="111"/>
      <c r="CQ56837" s="111"/>
      <c r="EF56837"/>
      <c r="EG56837"/>
      <c r="EH56837"/>
      <c r="EI56837"/>
      <c r="EJ56837"/>
      <c r="EK56837"/>
    </row>
    <row r="56838" spans="1:141" s="116" customFormat="1">
      <c r="A56838" s="136"/>
      <c r="CM56838" s="111"/>
      <c r="CQ56838" s="111"/>
      <c r="EF56838"/>
      <c r="EG56838"/>
      <c r="EH56838"/>
      <c r="EI56838"/>
      <c r="EJ56838"/>
      <c r="EK56838"/>
    </row>
    <row r="56839" spans="1:141" s="116" customFormat="1">
      <c r="A56839" s="136"/>
      <c r="CM56839" s="111"/>
      <c r="CQ56839" s="111"/>
      <c r="EF56839"/>
      <c r="EG56839"/>
      <c r="EH56839"/>
      <c r="EI56839"/>
      <c r="EJ56839"/>
      <c r="EK56839"/>
    </row>
    <row r="56840" spans="1:141" s="116" customFormat="1">
      <c r="A56840" s="136"/>
      <c r="CM56840" s="111"/>
      <c r="CQ56840" s="111"/>
      <c r="EF56840"/>
      <c r="EG56840"/>
      <c r="EH56840"/>
      <c r="EI56840"/>
      <c r="EJ56840"/>
      <c r="EK56840"/>
    </row>
    <row r="56841" spans="1:141" s="116" customFormat="1">
      <c r="A56841" s="136"/>
      <c r="CM56841" s="111"/>
      <c r="CQ56841" s="111"/>
      <c r="EF56841"/>
      <c r="EG56841"/>
      <c r="EH56841"/>
      <c r="EI56841"/>
      <c r="EJ56841"/>
      <c r="EK56841"/>
    </row>
    <row r="56842" spans="1:141" s="116" customFormat="1">
      <c r="A56842" s="136"/>
      <c r="CM56842" s="111"/>
      <c r="CQ56842" s="111"/>
      <c r="EF56842"/>
      <c r="EG56842"/>
      <c r="EH56842"/>
      <c r="EI56842"/>
      <c r="EJ56842"/>
      <c r="EK56842"/>
    </row>
    <row r="56843" spans="1:141" s="116" customFormat="1">
      <c r="A56843" s="136"/>
      <c r="CM56843" s="111"/>
      <c r="CQ56843" s="111"/>
      <c r="EF56843"/>
      <c r="EG56843"/>
      <c r="EH56843"/>
      <c r="EI56843"/>
      <c r="EJ56843"/>
      <c r="EK56843"/>
    </row>
    <row r="56844" spans="1:141" s="116" customFormat="1">
      <c r="A56844" s="136"/>
      <c r="CM56844" s="111"/>
      <c r="CQ56844" s="111"/>
      <c r="EF56844"/>
      <c r="EG56844"/>
      <c r="EH56844"/>
      <c r="EI56844"/>
      <c r="EJ56844"/>
      <c r="EK56844"/>
    </row>
    <row r="56845" spans="1:141" s="116" customFormat="1">
      <c r="A56845" s="136"/>
      <c r="CM56845" s="111"/>
      <c r="CQ56845" s="111"/>
      <c r="EF56845"/>
      <c r="EG56845"/>
      <c r="EH56845"/>
      <c r="EI56845"/>
      <c r="EJ56845"/>
      <c r="EK56845"/>
    </row>
    <row r="56846" spans="1:141" s="116" customFormat="1">
      <c r="A56846" s="136"/>
      <c r="CM56846" s="111"/>
      <c r="CQ56846" s="111"/>
      <c r="EF56846"/>
      <c r="EG56846"/>
      <c r="EH56846"/>
      <c r="EI56846"/>
      <c r="EJ56846"/>
      <c r="EK56846"/>
    </row>
    <row r="56847" spans="1:141" s="116" customFormat="1">
      <c r="A56847" s="136"/>
      <c r="CM56847" s="111"/>
      <c r="CQ56847" s="111"/>
      <c r="EF56847"/>
      <c r="EG56847"/>
      <c r="EH56847"/>
      <c r="EI56847"/>
      <c r="EJ56847"/>
      <c r="EK56847"/>
    </row>
    <row r="56848" spans="1:141" s="116" customFormat="1">
      <c r="A56848" s="136"/>
      <c r="CM56848" s="111"/>
      <c r="CQ56848" s="111"/>
      <c r="EF56848"/>
      <c r="EG56848"/>
      <c r="EH56848"/>
      <c r="EI56848"/>
      <c r="EJ56848"/>
      <c r="EK56848"/>
    </row>
    <row r="56849" spans="1:141" s="116" customFormat="1">
      <c r="A56849" s="136"/>
      <c r="CM56849" s="111"/>
      <c r="CQ56849" s="111"/>
      <c r="EF56849"/>
      <c r="EG56849"/>
      <c r="EH56849"/>
      <c r="EI56849"/>
      <c r="EJ56849"/>
      <c r="EK56849"/>
    </row>
    <row r="56850" spans="1:141" s="116" customFormat="1">
      <c r="A56850" s="136"/>
      <c r="CM56850" s="111"/>
      <c r="CQ56850" s="111"/>
      <c r="EF56850"/>
      <c r="EG56850"/>
      <c r="EH56850"/>
      <c r="EI56850"/>
      <c r="EJ56850"/>
      <c r="EK56850"/>
    </row>
    <row r="56851" spans="1:141" s="116" customFormat="1">
      <c r="A56851" s="136"/>
      <c r="CM56851" s="111"/>
      <c r="CQ56851" s="111"/>
      <c r="EF56851"/>
      <c r="EG56851"/>
      <c r="EH56851"/>
      <c r="EI56851"/>
      <c r="EJ56851"/>
      <c r="EK56851"/>
    </row>
    <row r="56852" spans="1:141" s="116" customFormat="1">
      <c r="A56852" s="136"/>
      <c r="CM56852" s="111"/>
      <c r="CQ56852" s="111"/>
      <c r="EF56852"/>
      <c r="EG56852"/>
      <c r="EH56852"/>
      <c r="EI56852"/>
      <c r="EJ56852"/>
      <c r="EK56852"/>
    </row>
    <row r="56853" spans="1:141" s="116" customFormat="1">
      <c r="A56853" s="136"/>
      <c r="CM56853" s="111"/>
      <c r="CQ56853" s="111"/>
      <c r="EF56853"/>
      <c r="EG56853"/>
      <c r="EH56853"/>
      <c r="EI56853"/>
      <c r="EJ56853"/>
      <c r="EK56853"/>
    </row>
    <row r="56854" spans="1:141" s="116" customFormat="1">
      <c r="A56854" s="136"/>
      <c r="CM56854" s="111"/>
      <c r="CQ56854" s="111"/>
      <c r="EF56854"/>
      <c r="EG56854"/>
      <c r="EH56854"/>
      <c r="EI56854"/>
      <c r="EJ56854"/>
      <c r="EK56854"/>
    </row>
    <row r="56855" spans="1:141" s="116" customFormat="1">
      <c r="A56855" s="136"/>
      <c r="CM56855" s="111"/>
      <c r="CQ56855" s="111"/>
      <c r="EF56855"/>
      <c r="EG56855"/>
      <c r="EH56855"/>
      <c r="EI56855"/>
      <c r="EJ56855"/>
      <c r="EK56855"/>
    </row>
    <row r="56856" spans="1:141" s="116" customFormat="1">
      <c r="A56856" s="136"/>
      <c r="CM56856" s="111"/>
      <c r="CQ56856" s="111"/>
      <c r="EF56856"/>
      <c r="EG56856"/>
      <c r="EH56856"/>
      <c r="EI56856"/>
      <c r="EJ56856"/>
      <c r="EK56856"/>
    </row>
    <row r="56857" spans="1:141" s="116" customFormat="1">
      <c r="A56857" s="136"/>
      <c r="CM56857" s="111"/>
      <c r="CQ56857" s="111"/>
      <c r="EF56857"/>
      <c r="EG56857"/>
      <c r="EH56857"/>
      <c r="EI56857"/>
      <c r="EJ56857"/>
      <c r="EK56857"/>
    </row>
    <row r="56858" spans="1:141" s="116" customFormat="1">
      <c r="A56858" s="136"/>
      <c r="CM56858" s="111"/>
      <c r="CQ56858" s="111"/>
      <c r="EF56858"/>
      <c r="EG56858"/>
      <c r="EH56858"/>
      <c r="EI56858"/>
      <c r="EJ56858"/>
      <c r="EK56858"/>
    </row>
    <row r="56859" spans="1:141" s="116" customFormat="1">
      <c r="A56859" s="136"/>
      <c r="CM56859" s="111"/>
      <c r="CQ56859" s="111"/>
      <c r="EF56859"/>
      <c r="EG56859"/>
      <c r="EH56859"/>
      <c r="EI56859"/>
      <c r="EJ56859"/>
      <c r="EK56859"/>
    </row>
    <row r="56860" spans="1:141" s="116" customFormat="1">
      <c r="A56860" s="136"/>
      <c r="CM56860" s="111"/>
      <c r="CQ56860" s="111"/>
      <c r="EF56860"/>
      <c r="EG56860"/>
      <c r="EH56860"/>
      <c r="EI56860"/>
      <c r="EJ56860"/>
      <c r="EK56860"/>
    </row>
    <row r="56861" spans="1:141" s="116" customFormat="1">
      <c r="A56861" s="136"/>
      <c r="CM56861" s="111"/>
      <c r="CQ56861" s="111"/>
      <c r="EF56861"/>
      <c r="EG56861"/>
      <c r="EH56861"/>
      <c r="EI56861"/>
      <c r="EJ56861"/>
      <c r="EK56861"/>
    </row>
    <row r="56862" spans="1:141" s="116" customFormat="1">
      <c r="A56862" s="136"/>
      <c r="CM56862" s="111"/>
      <c r="CQ56862" s="111"/>
      <c r="EF56862"/>
      <c r="EG56862"/>
      <c r="EH56862"/>
      <c r="EI56862"/>
      <c r="EJ56862"/>
      <c r="EK56862"/>
    </row>
    <row r="56863" spans="1:141" s="116" customFormat="1">
      <c r="A56863" s="136"/>
      <c r="CM56863" s="111"/>
      <c r="CQ56863" s="111"/>
      <c r="EF56863"/>
      <c r="EG56863"/>
      <c r="EH56863"/>
      <c r="EI56863"/>
      <c r="EJ56863"/>
      <c r="EK56863"/>
    </row>
    <row r="56864" spans="1:141" s="116" customFormat="1">
      <c r="A56864" s="136"/>
      <c r="CM56864" s="111"/>
      <c r="CQ56864" s="111"/>
      <c r="EF56864"/>
      <c r="EG56864"/>
      <c r="EH56864"/>
      <c r="EI56864"/>
      <c r="EJ56864"/>
      <c r="EK56864"/>
    </row>
    <row r="56865" spans="1:141" s="116" customFormat="1">
      <c r="A56865" s="136"/>
      <c r="CM56865" s="111"/>
      <c r="CQ56865" s="111"/>
      <c r="EF56865"/>
      <c r="EG56865"/>
      <c r="EH56865"/>
      <c r="EI56865"/>
      <c r="EJ56865"/>
      <c r="EK56865"/>
    </row>
    <row r="56866" spans="1:141" s="116" customFormat="1">
      <c r="A56866" s="136"/>
      <c r="CM56866" s="111"/>
      <c r="CQ56866" s="111"/>
      <c r="EF56866"/>
      <c r="EG56866"/>
      <c r="EH56866"/>
      <c r="EI56866"/>
      <c r="EJ56866"/>
      <c r="EK56866"/>
    </row>
    <row r="56867" spans="1:141" s="116" customFormat="1">
      <c r="A56867" s="136"/>
      <c r="CM56867" s="111"/>
      <c r="CQ56867" s="111"/>
      <c r="EF56867"/>
      <c r="EG56867"/>
      <c r="EH56867"/>
      <c r="EI56867"/>
      <c r="EJ56867"/>
      <c r="EK56867"/>
    </row>
    <row r="56868" spans="1:141" s="116" customFormat="1">
      <c r="A56868" s="136"/>
      <c r="CM56868" s="111"/>
      <c r="CQ56868" s="111"/>
      <c r="EF56868"/>
      <c r="EG56868"/>
      <c r="EH56868"/>
      <c r="EI56868"/>
      <c r="EJ56868"/>
      <c r="EK56868"/>
    </row>
    <row r="56869" spans="1:141" s="116" customFormat="1">
      <c r="A56869" s="136"/>
      <c r="CM56869" s="111"/>
      <c r="CQ56869" s="111"/>
      <c r="EF56869"/>
      <c r="EG56869"/>
      <c r="EH56869"/>
      <c r="EI56869"/>
      <c r="EJ56869"/>
      <c r="EK56869"/>
    </row>
    <row r="56870" spans="1:141" s="116" customFormat="1">
      <c r="A56870" s="136"/>
      <c r="CM56870" s="111"/>
      <c r="CQ56870" s="111"/>
      <c r="EF56870"/>
      <c r="EG56870"/>
      <c r="EH56870"/>
      <c r="EI56870"/>
      <c r="EJ56870"/>
      <c r="EK56870"/>
    </row>
    <row r="56871" spans="1:141" s="116" customFormat="1">
      <c r="A56871" s="136"/>
      <c r="CM56871" s="111"/>
      <c r="CQ56871" s="111"/>
      <c r="EF56871"/>
      <c r="EG56871"/>
      <c r="EH56871"/>
      <c r="EI56871"/>
      <c r="EJ56871"/>
      <c r="EK56871"/>
    </row>
    <row r="56872" spans="1:141" s="116" customFormat="1">
      <c r="A56872" s="136"/>
      <c r="CM56872" s="111"/>
      <c r="CQ56872" s="111"/>
      <c r="EF56872"/>
      <c r="EG56872"/>
      <c r="EH56872"/>
      <c r="EI56872"/>
      <c r="EJ56872"/>
      <c r="EK56872"/>
    </row>
    <row r="56873" spans="1:141" s="116" customFormat="1">
      <c r="A56873" s="136"/>
      <c r="CM56873" s="111"/>
      <c r="CQ56873" s="111"/>
      <c r="EF56873"/>
      <c r="EG56873"/>
      <c r="EH56873"/>
      <c r="EI56873"/>
      <c r="EJ56873"/>
      <c r="EK56873"/>
    </row>
    <row r="56874" spans="1:141" s="116" customFormat="1">
      <c r="A56874" s="136"/>
      <c r="CM56874" s="111"/>
      <c r="CQ56874" s="111"/>
      <c r="EF56874"/>
      <c r="EG56874"/>
      <c r="EH56874"/>
      <c r="EI56874"/>
      <c r="EJ56874"/>
      <c r="EK56874"/>
    </row>
    <row r="56875" spans="1:141" s="116" customFormat="1">
      <c r="A56875" s="136"/>
      <c r="CM56875" s="111"/>
      <c r="CQ56875" s="111"/>
      <c r="EF56875"/>
      <c r="EG56875"/>
      <c r="EH56875"/>
      <c r="EI56875"/>
      <c r="EJ56875"/>
      <c r="EK56875"/>
    </row>
    <row r="56876" spans="1:141" s="116" customFormat="1">
      <c r="A56876" s="136"/>
      <c r="CM56876" s="111"/>
      <c r="CQ56876" s="111"/>
      <c r="EF56876"/>
      <c r="EG56876"/>
      <c r="EH56876"/>
      <c r="EI56876"/>
      <c r="EJ56876"/>
      <c r="EK56876"/>
    </row>
    <row r="56877" spans="1:141" s="116" customFormat="1">
      <c r="A56877" s="136"/>
      <c r="CM56877" s="111"/>
      <c r="CQ56877" s="111"/>
      <c r="EF56877"/>
      <c r="EG56877"/>
      <c r="EH56877"/>
      <c r="EI56877"/>
      <c r="EJ56877"/>
      <c r="EK56877"/>
    </row>
    <row r="56878" spans="1:141" s="116" customFormat="1">
      <c r="A56878" s="136"/>
      <c r="CM56878" s="111"/>
      <c r="CQ56878" s="111"/>
      <c r="EF56878"/>
      <c r="EG56878"/>
      <c r="EH56878"/>
      <c r="EI56878"/>
      <c r="EJ56878"/>
      <c r="EK56878"/>
    </row>
    <row r="56879" spans="1:141" s="116" customFormat="1">
      <c r="A56879" s="136"/>
      <c r="CM56879" s="111"/>
      <c r="CQ56879" s="111"/>
      <c r="EF56879"/>
      <c r="EG56879"/>
      <c r="EH56879"/>
      <c r="EI56879"/>
      <c r="EJ56879"/>
      <c r="EK56879"/>
    </row>
    <row r="56880" spans="1:141" s="116" customFormat="1">
      <c r="A56880" s="136"/>
      <c r="CM56880" s="111"/>
      <c r="CQ56880" s="111"/>
      <c r="EF56880"/>
      <c r="EG56880"/>
      <c r="EH56880"/>
      <c r="EI56880"/>
      <c r="EJ56880"/>
      <c r="EK56880"/>
    </row>
    <row r="56881" spans="1:141" s="116" customFormat="1">
      <c r="A56881" s="136"/>
      <c r="CM56881" s="111"/>
      <c r="CQ56881" s="111"/>
      <c r="EF56881"/>
      <c r="EG56881"/>
      <c r="EH56881"/>
      <c r="EI56881"/>
      <c r="EJ56881"/>
      <c r="EK56881"/>
    </row>
    <row r="56882" spans="1:141" s="116" customFormat="1">
      <c r="A56882" s="136"/>
      <c r="CM56882" s="111"/>
      <c r="CQ56882" s="111"/>
      <c r="EF56882"/>
      <c r="EG56882"/>
      <c r="EH56882"/>
      <c r="EI56882"/>
      <c r="EJ56882"/>
      <c r="EK56882"/>
    </row>
    <row r="56883" spans="1:141" s="116" customFormat="1">
      <c r="A56883" s="136"/>
      <c r="CM56883" s="111"/>
      <c r="CQ56883" s="111"/>
      <c r="EF56883"/>
      <c r="EG56883"/>
      <c r="EH56883"/>
      <c r="EI56883"/>
      <c r="EJ56883"/>
      <c r="EK56883"/>
    </row>
    <row r="56884" spans="1:141" s="116" customFormat="1">
      <c r="A56884" s="136"/>
      <c r="CM56884" s="111"/>
      <c r="CQ56884" s="111"/>
      <c r="EF56884"/>
      <c r="EG56884"/>
      <c r="EH56884"/>
      <c r="EI56884"/>
      <c r="EJ56884"/>
      <c r="EK56884"/>
    </row>
    <row r="56885" spans="1:141" s="116" customFormat="1">
      <c r="A56885" s="136"/>
      <c r="CM56885" s="111"/>
      <c r="CQ56885" s="111"/>
      <c r="EF56885"/>
      <c r="EG56885"/>
      <c r="EH56885"/>
      <c r="EI56885"/>
      <c r="EJ56885"/>
      <c r="EK56885"/>
    </row>
    <row r="56886" spans="1:141" s="116" customFormat="1">
      <c r="A56886" s="136"/>
      <c r="CM56886" s="111"/>
      <c r="CQ56886" s="111"/>
      <c r="EF56886"/>
      <c r="EG56886"/>
      <c r="EH56886"/>
      <c r="EI56886"/>
      <c r="EJ56886"/>
      <c r="EK56886"/>
    </row>
    <row r="56887" spans="1:141" s="116" customFormat="1">
      <c r="A56887" s="136"/>
      <c r="CM56887" s="111"/>
      <c r="CQ56887" s="111"/>
      <c r="EF56887"/>
      <c r="EG56887"/>
      <c r="EH56887"/>
      <c r="EI56887"/>
      <c r="EJ56887"/>
      <c r="EK56887"/>
    </row>
    <row r="56888" spans="1:141" s="116" customFormat="1">
      <c r="A56888" s="136"/>
      <c r="CM56888" s="111"/>
      <c r="CQ56888" s="111"/>
      <c r="EF56888"/>
      <c r="EG56888"/>
      <c r="EH56888"/>
      <c r="EI56888"/>
      <c r="EJ56888"/>
      <c r="EK56888"/>
    </row>
    <row r="56889" spans="1:141" s="116" customFormat="1">
      <c r="A56889" s="136"/>
      <c r="CM56889" s="111"/>
      <c r="CQ56889" s="111"/>
      <c r="EF56889"/>
      <c r="EG56889"/>
      <c r="EH56889"/>
      <c r="EI56889"/>
      <c r="EJ56889"/>
      <c r="EK56889"/>
    </row>
    <row r="56890" spans="1:141" s="116" customFormat="1">
      <c r="A56890" s="136"/>
      <c r="CM56890" s="111"/>
      <c r="CQ56890" s="111"/>
      <c r="EF56890"/>
      <c r="EG56890"/>
      <c r="EH56890"/>
      <c r="EI56890"/>
      <c r="EJ56890"/>
      <c r="EK56890"/>
    </row>
    <row r="56891" spans="1:141" s="116" customFormat="1">
      <c r="A56891" s="136"/>
      <c r="CM56891" s="111"/>
      <c r="CQ56891" s="111"/>
      <c r="EF56891"/>
      <c r="EG56891"/>
      <c r="EH56891"/>
      <c r="EI56891"/>
      <c r="EJ56891"/>
      <c r="EK56891"/>
    </row>
    <row r="56892" spans="1:141" s="116" customFormat="1">
      <c r="A56892" s="136"/>
      <c r="CM56892" s="111"/>
      <c r="CQ56892" s="111"/>
      <c r="EF56892"/>
      <c r="EG56892"/>
      <c r="EH56892"/>
      <c r="EI56892"/>
      <c r="EJ56892"/>
      <c r="EK56892"/>
    </row>
    <row r="56893" spans="1:141" s="116" customFormat="1">
      <c r="A56893" s="136"/>
      <c r="CM56893" s="111"/>
      <c r="CQ56893" s="111"/>
      <c r="EF56893"/>
      <c r="EG56893"/>
      <c r="EH56893"/>
      <c r="EI56893"/>
      <c r="EJ56893"/>
      <c r="EK56893"/>
    </row>
    <row r="56894" spans="1:141" s="116" customFormat="1">
      <c r="A56894" s="136"/>
      <c r="CM56894" s="111"/>
      <c r="CQ56894" s="111"/>
      <c r="EF56894"/>
      <c r="EG56894"/>
      <c r="EH56894"/>
      <c r="EI56894"/>
      <c r="EJ56894"/>
      <c r="EK56894"/>
    </row>
    <row r="56895" spans="1:141" s="116" customFormat="1">
      <c r="A56895" s="136"/>
      <c r="CM56895" s="111"/>
      <c r="CQ56895" s="111"/>
      <c r="EF56895"/>
      <c r="EG56895"/>
      <c r="EH56895"/>
      <c r="EI56895"/>
      <c r="EJ56895"/>
      <c r="EK56895"/>
    </row>
    <row r="56896" spans="1:141" s="116" customFormat="1">
      <c r="A56896" s="136"/>
      <c r="CM56896" s="111"/>
      <c r="CQ56896" s="111"/>
      <c r="EF56896"/>
      <c r="EG56896"/>
      <c r="EH56896"/>
      <c r="EI56896"/>
      <c r="EJ56896"/>
      <c r="EK56896"/>
    </row>
    <row r="56897" spans="1:141" s="116" customFormat="1">
      <c r="A56897" s="136"/>
      <c r="CM56897" s="111"/>
      <c r="CQ56897" s="111"/>
      <c r="EF56897"/>
      <c r="EG56897"/>
      <c r="EH56897"/>
      <c r="EI56897"/>
      <c r="EJ56897"/>
      <c r="EK56897"/>
    </row>
    <row r="56898" spans="1:141" s="116" customFormat="1">
      <c r="A56898" s="136"/>
      <c r="CM56898" s="111"/>
      <c r="CQ56898" s="111"/>
      <c r="EF56898"/>
      <c r="EG56898"/>
      <c r="EH56898"/>
      <c r="EI56898"/>
      <c r="EJ56898"/>
      <c r="EK56898"/>
    </row>
    <row r="56899" spans="1:141" s="116" customFormat="1">
      <c r="A56899" s="136"/>
      <c r="CM56899" s="111"/>
      <c r="CQ56899" s="111"/>
      <c r="EF56899"/>
      <c r="EG56899"/>
      <c r="EH56899"/>
      <c r="EI56899"/>
      <c r="EJ56899"/>
      <c r="EK56899"/>
    </row>
    <row r="56900" spans="1:141" s="116" customFormat="1">
      <c r="A56900" s="136"/>
      <c r="CM56900" s="111"/>
      <c r="CQ56900" s="111"/>
      <c r="EF56900"/>
      <c r="EG56900"/>
      <c r="EH56900"/>
      <c r="EI56900"/>
      <c r="EJ56900"/>
      <c r="EK56900"/>
    </row>
    <row r="56901" spans="1:141" s="116" customFormat="1">
      <c r="A56901" s="136"/>
      <c r="CM56901" s="111"/>
      <c r="CQ56901" s="111"/>
      <c r="EF56901"/>
      <c r="EG56901"/>
      <c r="EH56901"/>
      <c r="EI56901"/>
      <c r="EJ56901"/>
      <c r="EK56901"/>
    </row>
    <row r="56902" spans="1:141" s="116" customFormat="1">
      <c r="A56902" s="136"/>
      <c r="CM56902" s="111"/>
      <c r="CQ56902" s="111"/>
      <c r="EF56902"/>
      <c r="EG56902"/>
      <c r="EH56902"/>
      <c r="EI56902"/>
      <c r="EJ56902"/>
      <c r="EK56902"/>
    </row>
    <row r="56903" spans="1:141" s="116" customFormat="1">
      <c r="A56903" s="136"/>
      <c r="CM56903" s="111"/>
      <c r="CQ56903" s="111"/>
      <c r="EF56903"/>
      <c r="EG56903"/>
      <c r="EH56903"/>
      <c r="EI56903"/>
      <c r="EJ56903"/>
      <c r="EK56903"/>
    </row>
    <row r="56904" spans="1:141" s="116" customFormat="1">
      <c r="A56904" s="136"/>
      <c r="CM56904" s="111"/>
      <c r="CQ56904" s="111"/>
      <c r="EF56904"/>
      <c r="EG56904"/>
      <c r="EH56904"/>
      <c r="EI56904"/>
      <c r="EJ56904"/>
      <c r="EK56904"/>
    </row>
    <row r="56905" spans="1:141" s="116" customFormat="1">
      <c r="A56905" s="136"/>
      <c r="CM56905" s="111"/>
      <c r="CQ56905" s="111"/>
      <c r="EF56905"/>
      <c r="EG56905"/>
      <c r="EH56905"/>
      <c r="EI56905"/>
      <c r="EJ56905"/>
      <c r="EK56905"/>
    </row>
    <row r="56906" spans="1:141" s="116" customFormat="1">
      <c r="A56906" s="136"/>
      <c r="CM56906" s="111"/>
      <c r="CQ56906" s="111"/>
      <c r="EF56906"/>
      <c r="EG56906"/>
      <c r="EH56906"/>
      <c r="EI56906"/>
      <c r="EJ56906"/>
      <c r="EK56906"/>
    </row>
    <row r="56907" spans="1:141" s="116" customFormat="1">
      <c r="A56907" s="136"/>
      <c r="CM56907" s="111"/>
      <c r="CQ56907" s="111"/>
      <c r="EF56907"/>
      <c r="EG56907"/>
      <c r="EH56907"/>
      <c r="EI56907"/>
      <c r="EJ56907"/>
      <c r="EK56907"/>
    </row>
    <row r="56908" spans="1:141" s="116" customFormat="1">
      <c r="A56908" s="136"/>
      <c r="CM56908" s="111"/>
      <c r="CQ56908" s="111"/>
      <c r="EF56908"/>
      <c r="EG56908"/>
      <c r="EH56908"/>
      <c r="EI56908"/>
      <c r="EJ56908"/>
      <c r="EK56908"/>
    </row>
    <row r="56909" spans="1:141" s="116" customFormat="1">
      <c r="A56909" s="136"/>
      <c r="CM56909" s="111"/>
      <c r="CQ56909" s="111"/>
      <c r="EF56909"/>
      <c r="EG56909"/>
      <c r="EH56909"/>
      <c r="EI56909"/>
      <c r="EJ56909"/>
      <c r="EK56909"/>
    </row>
    <row r="56910" spans="1:141" s="116" customFormat="1">
      <c r="A56910" s="136"/>
      <c r="CM56910" s="111"/>
      <c r="CQ56910" s="111"/>
      <c r="EF56910"/>
      <c r="EG56910"/>
      <c r="EH56910"/>
      <c r="EI56910"/>
      <c r="EJ56910"/>
      <c r="EK56910"/>
    </row>
    <row r="56911" spans="1:141" s="116" customFormat="1">
      <c r="A56911" s="136"/>
      <c r="CM56911" s="111"/>
      <c r="CQ56911" s="111"/>
      <c r="EF56911"/>
      <c r="EG56911"/>
      <c r="EH56911"/>
      <c r="EI56911"/>
      <c r="EJ56911"/>
      <c r="EK56911"/>
    </row>
    <row r="56912" spans="1:141" s="116" customFormat="1">
      <c r="A56912" s="136"/>
      <c r="CM56912" s="111"/>
      <c r="CQ56912" s="111"/>
      <c r="EF56912"/>
      <c r="EG56912"/>
      <c r="EH56912"/>
      <c r="EI56912"/>
      <c r="EJ56912"/>
      <c r="EK56912"/>
    </row>
    <row r="56913" spans="1:141" s="116" customFormat="1">
      <c r="A56913" s="136"/>
      <c r="CM56913" s="111"/>
      <c r="CQ56913" s="111"/>
      <c r="EF56913"/>
      <c r="EG56913"/>
      <c r="EH56913"/>
      <c r="EI56913"/>
      <c r="EJ56913"/>
      <c r="EK56913"/>
    </row>
    <row r="56914" spans="1:141" s="116" customFormat="1">
      <c r="A56914" s="136"/>
      <c r="CM56914" s="111"/>
      <c r="CQ56914" s="111"/>
      <c r="EF56914"/>
      <c r="EG56914"/>
      <c r="EH56914"/>
      <c r="EI56914"/>
      <c r="EJ56914"/>
      <c r="EK56914"/>
    </row>
    <row r="56915" spans="1:141" s="116" customFormat="1">
      <c r="A56915" s="136"/>
      <c r="CM56915" s="111"/>
      <c r="CQ56915" s="111"/>
      <c r="EF56915"/>
      <c r="EG56915"/>
      <c r="EH56915"/>
      <c r="EI56915"/>
      <c r="EJ56915"/>
      <c r="EK56915"/>
    </row>
    <row r="56916" spans="1:141" s="116" customFormat="1">
      <c r="A56916" s="136"/>
      <c r="CM56916" s="111"/>
      <c r="CQ56916" s="111"/>
      <c r="EF56916"/>
      <c r="EG56916"/>
      <c r="EH56916"/>
      <c r="EI56916"/>
      <c r="EJ56916"/>
      <c r="EK56916"/>
    </row>
    <row r="56917" spans="1:141" s="116" customFormat="1">
      <c r="A56917" s="136"/>
      <c r="CM56917" s="111"/>
      <c r="CQ56917" s="111"/>
      <c r="EF56917"/>
      <c r="EG56917"/>
      <c r="EH56917"/>
      <c r="EI56917"/>
      <c r="EJ56917"/>
      <c r="EK56917"/>
    </row>
    <row r="56918" spans="1:141" s="116" customFormat="1">
      <c r="A56918" s="136"/>
      <c r="CM56918" s="111"/>
      <c r="CQ56918" s="111"/>
      <c r="EF56918"/>
      <c r="EG56918"/>
      <c r="EH56918"/>
      <c r="EI56918"/>
      <c r="EJ56918"/>
      <c r="EK56918"/>
    </row>
    <row r="56919" spans="1:141" s="116" customFormat="1">
      <c r="A56919" s="136"/>
      <c r="CM56919" s="111"/>
      <c r="CQ56919" s="111"/>
      <c r="EF56919"/>
      <c r="EG56919"/>
      <c r="EH56919"/>
      <c r="EI56919"/>
      <c r="EJ56919"/>
      <c r="EK56919"/>
    </row>
    <row r="56920" spans="1:141" s="116" customFormat="1">
      <c r="A56920" s="136"/>
      <c r="CM56920" s="111"/>
      <c r="CQ56920" s="111"/>
      <c r="EF56920"/>
      <c r="EG56920"/>
      <c r="EH56920"/>
      <c r="EI56920"/>
      <c r="EJ56920"/>
      <c r="EK56920"/>
    </row>
    <row r="56921" spans="1:141" s="116" customFormat="1">
      <c r="A56921" s="136"/>
      <c r="CM56921" s="111"/>
      <c r="CQ56921" s="111"/>
      <c r="EF56921"/>
      <c r="EG56921"/>
      <c r="EH56921"/>
      <c r="EI56921"/>
      <c r="EJ56921"/>
      <c r="EK56921"/>
    </row>
    <row r="56922" spans="1:141" s="116" customFormat="1">
      <c r="A56922" s="136"/>
      <c r="CM56922" s="111"/>
      <c r="CQ56922" s="111"/>
      <c r="EF56922"/>
      <c r="EG56922"/>
      <c r="EH56922"/>
      <c r="EI56922"/>
      <c r="EJ56922"/>
      <c r="EK56922"/>
    </row>
    <row r="56923" spans="1:141" s="116" customFormat="1">
      <c r="A56923" s="136"/>
      <c r="CM56923" s="111"/>
      <c r="CQ56923" s="111"/>
      <c r="EF56923"/>
      <c r="EG56923"/>
      <c r="EH56923"/>
      <c r="EI56923"/>
      <c r="EJ56923"/>
      <c r="EK56923"/>
    </row>
    <row r="56924" spans="1:141" s="116" customFormat="1">
      <c r="A56924" s="136"/>
      <c r="CM56924" s="111"/>
      <c r="CQ56924" s="111"/>
      <c r="EF56924"/>
      <c r="EG56924"/>
      <c r="EH56924"/>
      <c r="EI56924"/>
      <c r="EJ56924"/>
      <c r="EK56924"/>
    </row>
    <row r="56925" spans="1:141" s="116" customFormat="1">
      <c r="A56925" s="136"/>
      <c r="CM56925" s="111"/>
      <c r="CQ56925" s="111"/>
      <c r="EF56925"/>
      <c r="EG56925"/>
      <c r="EH56925"/>
      <c r="EI56925"/>
      <c r="EJ56925"/>
      <c r="EK56925"/>
    </row>
    <row r="56926" spans="1:141" s="116" customFormat="1">
      <c r="A56926" s="136"/>
      <c r="CM56926" s="111"/>
      <c r="CQ56926" s="111"/>
      <c r="EF56926"/>
      <c r="EG56926"/>
      <c r="EH56926"/>
      <c r="EI56926"/>
      <c r="EJ56926"/>
      <c r="EK56926"/>
    </row>
    <row r="56927" spans="1:141" s="116" customFormat="1">
      <c r="A56927" s="136"/>
      <c r="CM56927" s="111"/>
      <c r="CQ56927" s="111"/>
      <c r="EF56927"/>
      <c r="EG56927"/>
      <c r="EH56927"/>
      <c r="EI56927"/>
      <c r="EJ56927"/>
      <c r="EK56927"/>
    </row>
    <row r="56928" spans="1:141" s="116" customFormat="1">
      <c r="A56928" s="136"/>
      <c r="CM56928" s="111"/>
      <c r="CQ56928" s="111"/>
      <c r="EF56928"/>
      <c r="EG56928"/>
      <c r="EH56928"/>
      <c r="EI56928"/>
      <c r="EJ56928"/>
      <c r="EK56928"/>
    </row>
    <row r="56929" spans="1:141" s="116" customFormat="1">
      <c r="A56929" s="136"/>
      <c r="CM56929" s="111"/>
      <c r="CQ56929" s="111"/>
      <c r="EF56929"/>
      <c r="EG56929"/>
      <c r="EH56929"/>
      <c r="EI56929"/>
      <c r="EJ56929"/>
      <c r="EK56929"/>
    </row>
    <row r="56930" spans="1:141" s="116" customFormat="1">
      <c r="A56930" s="136"/>
      <c r="CM56930" s="111"/>
      <c r="CQ56930" s="111"/>
      <c r="EF56930"/>
      <c r="EG56930"/>
      <c r="EH56930"/>
      <c r="EI56930"/>
      <c r="EJ56930"/>
      <c r="EK56930"/>
    </row>
    <row r="56931" spans="1:141" s="116" customFormat="1">
      <c r="A56931" s="136"/>
      <c r="CM56931" s="111"/>
      <c r="CQ56931" s="111"/>
      <c r="EF56931"/>
      <c r="EG56931"/>
      <c r="EH56931"/>
      <c r="EI56931"/>
      <c r="EJ56931"/>
      <c r="EK56931"/>
    </row>
    <row r="56932" spans="1:141" s="116" customFormat="1">
      <c r="A56932" s="136"/>
      <c r="CM56932" s="111"/>
      <c r="CQ56932" s="111"/>
      <c r="EF56932"/>
      <c r="EG56932"/>
      <c r="EH56932"/>
      <c r="EI56932"/>
      <c r="EJ56932"/>
      <c r="EK56932"/>
    </row>
    <row r="56933" spans="1:141" s="116" customFormat="1">
      <c r="A56933" s="136"/>
      <c r="CM56933" s="111"/>
      <c r="CQ56933" s="111"/>
      <c r="EF56933"/>
      <c r="EG56933"/>
      <c r="EH56933"/>
      <c r="EI56933"/>
      <c r="EJ56933"/>
      <c r="EK56933"/>
    </row>
    <row r="56934" spans="1:141" s="116" customFormat="1">
      <c r="A56934" s="136"/>
      <c r="CM56934" s="111"/>
      <c r="CQ56934" s="111"/>
      <c r="EF56934"/>
      <c r="EG56934"/>
      <c r="EH56934"/>
      <c r="EI56934"/>
      <c r="EJ56934"/>
      <c r="EK56934"/>
    </row>
    <row r="56935" spans="1:141" s="116" customFormat="1">
      <c r="A56935" s="136"/>
      <c r="CM56935" s="111"/>
      <c r="CQ56935" s="111"/>
      <c r="EF56935"/>
      <c r="EG56935"/>
      <c r="EH56935"/>
      <c r="EI56935"/>
      <c r="EJ56935"/>
      <c r="EK56935"/>
    </row>
    <row r="56936" spans="1:141" s="116" customFormat="1">
      <c r="A56936" s="136"/>
      <c r="CM56936" s="111"/>
      <c r="CQ56936" s="111"/>
      <c r="EF56936"/>
      <c r="EG56936"/>
      <c r="EH56936"/>
      <c r="EI56936"/>
      <c r="EJ56936"/>
      <c r="EK56936"/>
    </row>
    <row r="56937" spans="1:141" s="116" customFormat="1">
      <c r="A56937" s="136"/>
      <c r="CM56937" s="111"/>
      <c r="CQ56937" s="111"/>
      <c r="EF56937"/>
      <c r="EG56937"/>
      <c r="EH56937"/>
      <c r="EI56937"/>
      <c r="EJ56937"/>
      <c r="EK56937"/>
    </row>
    <row r="56938" spans="1:141" s="116" customFormat="1">
      <c r="A56938" s="136"/>
      <c r="CM56938" s="111"/>
      <c r="CQ56938" s="111"/>
      <c r="EF56938"/>
      <c r="EG56938"/>
      <c r="EH56938"/>
      <c r="EI56938"/>
      <c r="EJ56938"/>
      <c r="EK56938"/>
    </row>
    <row r="56939" spans="1:141" s="116" customFormat="1">
      <c r="A56939" s="136"/>
      <c r="CM56939" s="111"/>
      <c r="CQ56939" s="111"/>
      <c r="EF56939"/>
      <c r="EG56939"/>
      <c r="EH56939"/>
      <c r="EI56939"/>
      <c r="EJ56939"/>
      <c r="EK56939"/>
    </row>
    <row r="56940" spans="1:141" s="116" customFormat="1">
      <c r="A56940" s="136"/>
      <c r="CM56940" s="111"/>
      <c r="CQ56940" s="111"/>
      <c r="EF56940"/>
      <c r="EG56940"/>
      <c r="EH56940"/>
      <c r="EI56940"/>
      <c r="EJ56940"/>
      <c r="EK56940"/>
    </row>
    <row r="56941" spans="1:141" s="116" customFormat="1">
      <c r="A56941" s="136"/>
      <c r="CM56941" s="111"/>
      <c r="CQ56941" s="111"/>
      <c r="EF56941"/>
      <c r="EG56941"/>
      <c r="EH56941"/>
      <c r="EI56941"/>
      <c r="EJ56941"/>
      <c r="EK56941"/>
    </row>
    <row r="56942" spans="1:141" s="116" customFormat="1">
      <c r="A56942" s="136"/>
      <c r="CM56942" s="111"/>
      <c r="CQ56942" s="111"/>
      <c r="EF56942"/>
      <c r="EG56942"/>
      <c r="EH56942"/>
      <c r="EI56942"/>
      <c r="EJ56942"/>
      <c r="EK56942"/>
    </row>
    <row r="56943" spans="1:141" s="116" customFormat="1">
      <c r="A56943" s="136"/>
      <c r="CM56943" s="111"/>
      <c r="CQ56943" s="111"/>
      <c r="EF56943"/>
      <c r="EG56943"/>
      <c r="EH56943"/>
      <c r="EI56943"/>
      <c r="EJ56943"/>
      <c r="EK56943"/>
    </row>
    <row r="56944" spans="1:141" s="116" customFormat="1">
      <c r="A56944" s="136"/>
      <c r="CM56944" s="111"/>
      <c r="CQ56944" s="111"/>
      <c r="EF56944"/>
      <c r="EG56944"/>
      <c r="EH56944"/>
      <c r="EI56944"/>
      <c r="EJ56944"/>
      <c r="EK56944"/>
    </row>
    <row r="56945" spans="1:141" s="116" customFormat="1">
      <c r="A56945" s="136"/>
      <c r="CM56945" s="111"/>
      <c r="CQ56945" s="111"/>
      <c r="EF56945"/>
      <c r="EG56945"/>
      <c r="EH56945"/>
      <c r="EI56945"/>
      <c r="EJ56945"/>
      <c r="EK56945"/>
    </row>
    <row r="56946" spans="1:141" s="116" customFormat="1">
      <c r="A56946" s="136"/>
      <c r="CM56946" s="111"/>
      <c r="CQ56946" s="111"/>
      <c r="EF56946"/>
      <c r="EG56946"/>
      <c r="EH56946"/>
      <c r="EI56946"/>
      <c r="EJ56946"/>
      <c r="EK56946"/>
    </row>
    <row r="56947" spans="1:141" s="116" customFormat="1">
      <c r="A56947" s="136"/>
      <c r="CM56947" s="111"/>
      <c r="CQ56947" s="111"/>
      <c r="EF56947"/>
      <c r="EG56947"/>
      <c r="EH56947"/>
      <c r="EI56947"/>
      <c r="EJ56947"/>
      <c r="EK56947"/>
    </row>
    <row r="56948" spans="1:141" s="116" customFormat="1">
      <c r="A56948" s="136"/>
      <c r="CM56948" s="111"/>
      <c r="CQ56948" s="111"/>
      <c r="EF56948"/>
      <c r="EG56948"/>
      <c r="EH56948"/>
      <c r="EI56948"/>
      <c r="EJ56948"/>
      <c r="EK56948"/>
    </row>
    <row r="56949" spans="1:141" s="116" customFormat="1">
      <c r="A56949" s="136"/>
      <c r="CM56949" s="111"/>
      <c r="CQ56949" s="111"/>
      <c r="EF56949"/>
      <c r="EG56949"/>
      <c r="EH56949"/>
      <c r="EI56949"/>
      <c r="EJ56949"/>
      <c r="EK56949"/>
    </row>
    <row r="56950" spans="1:141" s="116" customFormat="1">
      <c r="A56950" s="136"/>
      <c r="CM56950" s="111"/>
      <c r="CQ56950" s="111"/>
      <c r="EF56950"/>
      <c r="EG56950"/>
      <c r="EH56950"/>
      <c r="EI56950"/>
      <c r="EJ56950"/>
      <c r="EK56950"/>
    </row>
    <row r="56951" spans="1:141" s="116" customFormat="1">
      <c r="A56951" s="136"/>
      <c r="CM56951" s="111"/>
      <c r="CQ56951" s="111"/>
      <c r="EF56951"/>
      <c r="EG56951"/>
      <c r="EH56951"/>
      <c r="EI56951"/>
      <c r="EJ56951"/>
      <c r="EK56951"/>
    </row>
    <row r="56952" spans="1:141" s="116" customFormat="1">
      <c r="A56952" s="136"/>
      <c r="CM56952" s="111"/>
      <c r="CQ56952" s="111"/>
      <c r="EF56952"/>
      <c r="EG56952"/>
      <c r="EH56952"/>
      <c r="EI56952"/>
      <c r="EJ56952"/>
      <c r="EK56952"/>
    </row>
    <row r="56953" spans="1:141" s="116" customFormat="1">
      <c r="A56953" s="136"/>
      <c r="CM56953" s="111"/>
      <c r="CQ56953" s="111"/>
      <c r="EF56953"/>
      <c r="EG56953"/>
      <c r="EH56953"/>
      <c r="EI56953"/>
      <c r="EJ56953"/>
      <c r="EK56953"/>
    </row>
    <row r="56954" spans="1:141" s="116" customFormat="1">
      <c r="A56954" s="136"/>
      <c r="CM56954" s="111"/>
      <c r="CQ56954" s="111"/>
      <c r="EF56954"/>
      <c r="EG56954"/>
      <c r="EH56954"/>
      <c r="EI56954"/>
      <c r="EJ56954"/>
      <c r="EK56954"/>
    </row>
    <row r="56955" spans="1:141" s="116" customFormat="1">
      <c r="A56955" s="136"/>
      <c r="CM56955" s="111"/>
      <c r="CQ56955" s="111"/>
      <c r="EF56955"/>
      <c r="EG56955"/>
      <c r="EH56955"/>
      <c r="EI56955"/>
      <c r="EJ56955"/>
      <c r="EK56955"/>
    </row>
    <row r="56956" spans="1:141" s="116" customFormat="1">
      <c r="A56956" s="136"/>
      <c r="CM56956" s="111"/>
      <c r="CQ56956" s="111"/>
      <c r="EF56956"/>
      <c r="EG56956"/>
      <c r="EH56956"/>
      <c r="EI56956"/>
      <c r="EJ56956"/>
      <c r="EK56956"/>
    </row>
    <row r="56957" spans="1:141" s="116" customFormat="1">
      <c r="A56957" s="136"/>
      <c r="CM56957" s="111"/>
      <c r="CQ56957" s="111"/>
      <c r="EF56957"/>
      <c r="EG56957"/>
      <c r="EH56957"/>
      <c r="EI56957"/>
      <c r="EJ56957"/>
      <c r="EK56957"/>
    </row>
    <row r="56958" spans="1:141" s="116" customFormat="1">
      <c r="A56958" s="136"/>
      <c r="CM56958" s="111"/>
      <c r="CQ56958" s="111"/>
      <c r="EF56958"/>
      <c r="EG56958"/>
      <c r="EH56958"/>
      <c r="EI56958"/>
      <c r="EJ56958"/>
      <c r="EK56958"/>
    </row>
    <row r="56959" spans="1:141" s="116" customFormat="1">
      <c r="A56959" s="136"/>
      <c r="CM56959" s="111"/>
      <c r="CQ56959" s="111"/>
      <c r="EF56959"/>
      <c r="EG56959"/>
      <c r="EH56959"/>
      <c r="EI56959"/>
      <c r="EJ56959"/>
      <c r="EK56959"/>
    </row>
    <row r="56960" spans="1:141" s="116" customFormat="1">
      <c r="A56960" s="136"/>
      <c r="CM56960" s="111"/>
      <c r="CQ56960" s="111"/>
      <c r="EF56960"/>
      <c r="EG56960"/>
      <c r="EH56960"/>
      <c r="EI56960"/>
      <c r="EJ56960"/>
      <c r="EK56960"/>
    </row>
    <row r="56961" spans="1:141" s="116" customFormat="1">
      <c r="A56961" s="136"/>
      <c r="CM56961" s="111"/>
      <c r="CQ56961" s="111"/>
      <c r="EF56961"/>
      <c r="EG56961"/>
      <c r="EH56961"/>
      <c r="EI56961"/>
      <c r="EJ56961"/>
      <c r="EK56961"/>
    </row>
    <row r="56962" spans="1:141" s="116" customFormat="1">
      <c r="A56962" s="136"/>
      <c r="CM56962" s="111"/>
      <c r="CQ56962" s="111"/>
      <c r="EF56962"/>
      <c r="EG56962"/>
      <c r="EH56962"/>
      <c r="EI56962"/>
      <c r="EJ56962"/>
      <c r="EK56962"/>
    </row>
    <row r="56963" spans="1:141" s="116" customFormat="1">
      <c r="A56963" s="136"/>
      <c r="CM56963" s="111"/>
      <c r="CQ56963" s="111"/>
      <c r="EF56963"/>
      <c r="EG56963"/>
      <c r="EH56963"/>
      <c r="EI56963"/>
      <c r="EJ56963"/>
      <c r="EK56963"/>
    </row>
    <row r="56964" spans="1:141" s="116" customFormat="1">
      <c r="A56964" s="136"/>
      <c r="CM56964" s="111"/>
      <c r="CQ56964" s="111"/>
      <c r="EF56964"/>
      <c r="EG56964"/>
      <c r="EH56964"/>
      <c r="EI56964"/>
      <c r="EJ56964"/>
      <c r="EK56964"/>
    </row>
    <row r="56965" spans="1:141" s="116" customFormat="1">
      <c r="A56965" s="136"/>
      <c r="CM56965" s="111"/>
      <c r="CQ56965" s="111"/>
      <c r="EF56965"/>
      <c r="EG56965"/>
      <c r="EH56965"/>
      <c r="EI56965"/>
      <c r="EJ56965"/>
      <c r="EK56965"/>
    </row>
    <row r="56966" spans="1:141" s="116" customFormat="1">
      <c r="A56966" s="136"/>
      <c r="CM56966" s="111"/>
      <c r="CQ56966" s="111"/>
      <c r="EF56966"/>
      <c r="EG56966"/>
      <c r="EH56966"/>
      <c r="EI56966"/>
      <c r="EJ56966"/>
      <c r="EK56966"/>
    </row>
    <row r="56967" spans="1:141" s="116" customFormat="1">
      <c r="A56967" s="136"/>
      <c r="CM56967" s="111"/>
      <c r="CQ56967" s="111"/>
      <c r="EF56967"/>
      <c r="EG56967"/>
      <c r="EH56967"/>
      <c r="EI56967"/>
      <c r="EJ56967"/>
      <c r="EK56967"/>
    </row>
    <row r="56968" spans="1:141" s="116" customFormat="1">
      <c r="A56968" s="136"/>
      <c r="CM56968" s="111"/>
      <c r="CQ56968" s="111"/>
      <c r="EF56968"/>
      <c r="EG56968"/>
      <c r="EH56968"/>
      <c r="EI56968"/>
      <c r="EJ56968"/>
      <c r="EK56968"/>
    </row>
    <row r="56969" spans="1:141" s="116" customFormat="1">
      <c r="A56969" s="136"/>
      <c r="CM56969" s="111"/>
      <c r="CQ56969" s="111"/>
      <c r="EF56969"/>
      <c r="EG56969"/>
      <c r="EH56969"/>
      <c r="EI56969"/>
      <c r="EJ56969"/>
      <c r="EK56969"/>
    </row>
    <row r="56970" spans="1:141" s="116" customFormat="1">
      <c r="A56970" s="136"/>
      <c r="CM56970" s="111"/>
      <c r="CQ56970" s="111"/>
      <c r="EF56970"/>
      <c r="EG56970"/>
      <c r="EH56970"/>
      <c r="EI56970"/>
      <c r="EJ56970"/>
      <c r="EK56970"/>
    </row>
    <row r="56971" spans="1:141" s="116" customFormat="1">
      <c r="A56971" s="136"/>
      <c r="CM56971" s="111"/>
      <c r="CQ56971" s="111"/>
      <c r="EF56971"/>
      <c r="EG56971"/>
      <c r="EH56971"/>
      <c r="EI56971"/>
      <c r="EJ56971"/>
      <c r="EK56971"/>
    </row>
    <row r="56972" spans="1:141" s="116" customFormat="1">
      <c r="A56972" s="136"/>
      <c r="CM56972" s="111"/>
      <c r="CQ56972" s="111"/>
      <c r="EF56972"/>
      <c r="EG56972"/>
      <c r="EH56972"/>
      <c r="EI56972"/>
      <c r="EJ56972"/>
      <c r="EK56972"/>
    </row>
    <row r="56973" spans="1:141" s="116" customFormat="1">
      <c r="A56973" s="136"/>
      <c r="CM56973" s="111"/>
      <c r="CQ56973" s="111"/>
      <c r="EF56973"/>
      <c r="EG56973"/>
      <c r="EH56973"/>
      <c r="EI56973"/>
      <c r="EJ56973"/>
      <c r="EK56973"/>
    </row>
    <row r="56974" spans="1:141" s="116" customFormat="1">
      <c r="A56974" s="136"/>
      <c r="CM56974" s="111"/>
      <c r="CQ56974" s="111"/>
      <c r="EF56974"/>
      <c r="EG56974"/>
      <c r="EH56974"/>
      <c r="EI56974"/>
      <c r="EJ56974"/>
      <c r="EK56974"/>
    </row>
    <row r="56975" spans="1:141" s="116" customFormat="1">
      <c r="A56975" s="136"/>
      <c r="CM56975" s="111"/>
      <c r="CQ56975" s="111"/>
      <c r="EF56975"/>
      <c r="EG56975"/>
      <c r="EH56975"/>
      <c r="EI56975"/>
      <c r="EJ56975"/>
      <c r="EK56975"/>
    </row>
    <row r="56976" spans="1:141" s="116" customFormat="1">
      <c r="A56976" s="136"/>
      <c r="CM56976" s="111"/>
      <c r="CQ56976" s="111"/>
      <c r="EF56976"/>
      <c r="EG56976"/>
      <c r="EH56976"/>
      <c r="EI56976"/>
      <c r="EJ56976"/>
      <c r="EK56976"/>
    </row>
    <row r="56977" spans="1:141" s="116" customFormat="1">
      <c r="A56977" s="136"/>
      <c r="CM56977" s="111"/>
      <c r="CQ56977" s="111"/>
      <c r="EF56977"/>
      <c r="EG56977"/>
      <c r="EH56977"/>
      <c r="EI56977"/>
      <c r="EJ56977"/>
      <c r="EK56977"/>
    </row>
    <row r="56978" spans="1:141" s="116" customFormat="1">
      <c r="A56978" s="136"/>
      <c r="CM56978" s="111"/>
      <c r="CQ56978" s="111"/>
      <c r="EF56978"/>
      <c r="EG56978"/>
      <c r="EH56978"/>
      <c r="EI56978"/>
      <c r="EJ56978"/>
      <c r="EK56978"/>
    </row>
    <row r="56979" spans="1:141" s="116" customFormat="1">
      <c r="A56979" s="136"/>
      <c r="CM56979" s="111"/>
      <c r="CQ56979" s="111"/>
      <c r="EF56979"/>
      <c r="EG56979"/>
      <c r="EH56979"/>
      <c r="EI56979"/>
      <c r="EJ56979"/>
      <c r="EK56979"/>
    </row>
    <row r="56980" spans="1:141" s="116" customFormat="1">
      <c r="A56980" s="136"/>
      <c r="CM56980" s="111"/>
      <c r="CQ56980" s="111"/>
      <c r="EF56980"/>
      <c r="EG56980"/>
      <c r="EH56980"/>
      <c r="EI56980"/>
      <c r="EJ56980"/>
      <c r="EK56980"/>
    </row>
    <row r="56981" spans="1:141" s="116" customFormat="1">
      <c r="A56981" s="136"/>
      <c r="CM56981" s="111"/>
      <c r="CQ56981" s="111"/>
      <c r="EF56981"/>
      <c r="EG56981"/>
      <c r="EH56981"/>
      <c r="EI56981"/>
      <c r="EJ56981"/>
      <c r="EK56981"/>
    </row>
    <row r="56982" spans="1:141" s="116" customFormat="1">
      <c r="A56982" s="136"/>
      <c r="CM56982" s="111"/>
      <c r="CQ56982" s="111"/>
      <c r="EF56982"/>
      <c r="EG56982"/>
      <c r="EH56982"/>
      <c r="EI56982"/>
      <c r="EJ56982"/>
      <c r="EK56982"/>
    </row>
    <row r="56983" spans="1:141" s="116" customFormat="1">
      <c r="A56983" s="136"/>
      <c r="CM56983" s="111"/>
      <c r="CQ56983" s="111"/>
      <c r="EF56983"/>
      <c r="EG56983"/>
      <c r="EH56983"/>
      <c r="EI56983"/>
      <c r="EJ56983"/>
      <c r="EK56983"/>
    </row>
    <row r="56984" spans="1:141" s="116" customFormat="1">
      <c r="A56984" s="136"/>
      <c r="CM56984" s="111"/>
      <c r="CQ56984" s="111"/>
      <c r="EF56984"/>
      <c r="EG56984"/>
      <c r="EH56984"/>
      <c r="EI56984"/>
      <c r="EJ56984"/>
      <c r="EK56984"/>
    </row>
    <row r="56985" spans="1:141" s="116" customFormat="1">
      <c r="A56985" s="136"/>
      <c r="CM56985" s="111"/>
      <c r="CQ56985" s="111"/>
      <c r="EF56985"/>
      <c r="EG56985"/>
      <c r="EH56985"/>
      <c r="EI56985"/>
      <c r="EJ56985"/>
      <c r="EK56985"/>
    </row>
    <row r="56986" spans="1:141" s="116" customFormat="1">
      <c r="A56986" s="136"/>
      <c r="CM56986" s="111"/>
      <c r="CQ56986" s="111"/>
      <c r="EF56986"/>
      <c r="EG56986"/>
      <c r="EH56986"/>
      <c r="EI56986"/>
      <c r="EJ56986"/>
      <c r="EK56986"/>
    </row>
    <row r="56987" spans="1:141" s="116" customFormat="1">
      <c r="A56987" s="136"/>
      <c r="CM56987" s="111"/>
      <c r="CQ56987" s="111"/>
      <c r="EF56987"/>
      <c r="EG56987"/>
      <c r="EH56987"/>
      <c r="EI56987"/>
      <c r="EJ56987"/>
      <c r="EK56987"/>
    </row>
    <row r="56988" spans="1:141" s="116" customFormat="1">
      <c r="A56988" s="136"/>
      <c r="CM56988" s="111"/>
      <c r="CQ56988" s="111"/>
      <c r="EF56988"/>
      <c r="EG56988"/>
      <c r="EH56988"/>
      <c r="EI56988"/>
      <c r="EJ56988"/>
      <c r="EK56988"/>
    </row>
    <row r="56989" spans="1:141" s="116" customFormat="1">
      <c r="A56989" s="136"/>
      <c r="CM56989" s="111"/>
      <c r="CQ56989" s="111"/>
      <c r="EF56989"/>
      <c r="EG56989"/>
      <c r="EH56989"/>
      <c r="EI56989"/>
      <c r="EJ56989"/>
      <c r="EK56989"/>
    </row>
    <row r="56990" spans="1:141" s="116" customFormat="1">
      <c r="A56990" s="136"/>
      <c r="CM56990" s="111"/>
      <c r="CQ56990" s="111"/>
      <c r="EF56990"/>
      <c r="EG56990"/>
      <c r="EH56990"/>
      <c r="EI56990"/>
      <c r="EJ56990"/>
      <c r="EK56990"/>
    </row>
    <row r="56991" spans="1:141" s="116" customFormat="1">
      <c r="A56991" s="136"/>
      <c r="CM56991" s="111"/>
      <c r="CQ56991" s="111"/>
      <c r="EF56991"/>
      <c r="EG56991"/>
      <c r="EH56991"/>
      <c r="EI56991"/>
      <c r="EJ56991"/>
      <c r="EK56991"/>
    </row>
    <row r="56992" spans="1:141" s="116" customFormat="1">
      <c r="A56992" s="136"/>
      <c r="CM56992" s="111"/>
      <c r="CQ56992" s="111"/>
      <c r="EF56992"/>
      <c r="EG56992"/>
      <c r="EH56992"/>
      <c r="EI56992"/>
      <c r="EJ56992"/>
      <c r="EK56992"/>
    </row>
    <row r="56993" spans="1:141" s="116" customFormat="1">
      <c r="A56993" s="136"/>
      <c r="CM56993" s="111"/>
      <c r="CQ56993" s="111"/>
      <c r="EF56993"/>
      <c r="EG56993"/>
      <c r="EH56993"/>
      <c r="EI56993"/>
      <c r="EJ56993"/>
      <c r="EK56993"/>
    </row>
    <row r="56994" spans="1:141" s="116" customFormat="1">
      <c r="A56994" s="136"/>
      <c r="CM56994" s="111"/>
      <c r="CQ56994" s="111"/>
      <c r="EF56994"/>
      <c r="EG56994"/>
      <c r="EH56994"/>
      <c r="EI56994"/>
      <c r="EJ56994"/>
      <c r="EK56994"/>
    </row>
    <row r="56995" spans="1:141" s="116" customFormat="1">
      <c r="A56995" s="136"/>
      <c r="CM56995" s="111"/>
      <c r="CQ56995" s="111"/>
      <c r="EF56995"/>
      <c r="EG56995"/>
      <c r="EH56995"/>
      <c r="EI56995"/>
      <c r="EJ56995"/>
      <c r="EK56995"/>
    </row>
    <row r="56996" spans="1:141" s="116" customFormat="1">
      <c r="A56996" s="136"/>
      <c r="CM56996" s="111"/>
      <c r="CQ56996" s="111"/>
      <c r="EF56996"/>
      <c r="EG56996"/>
      <c r="EH56996"/>
      <c r="EI56996"/>
      <c r="EJ56996"/>
      <c r="EK56996"/>
    </row>
    <row r="56997" spans="1:141" s="116" customFormat="1">
      <c r="A56997" s="136"/>
      <c r="CM56997" s="111"/>
      <c r="CQ56997" s="111"/>
      <c r="EF56997"/>
      <c r="EG56997"/>
      <c r="EH56997"/>
      <c r="EI56997"/>
      <c r="EJ56997"/>
      <c r="EK56997"/>
    </row>
    <row r="56998" spans="1:141" s="116" customFormat="1">
      <c r="A56998" s="136"/>
      <c r="CM56998" s="111"/>
      <c r="CQ56998" s="111"/>
      <c r="EF56998"/>
      <c r="EG56998"/>
      <c r="EH56998"/>
      <c r="EI56998"/>
      <c r="EJ56998"/>
      <c r="EK56998"/>
    </row>
    <row r="56999" spans="1:141" s="116" customFormat="1">
      <c r="A56999" s="136"/>
      <c r="CM56999" s="111"/>
      <c r="CQ56999" s="111"/>
      <c r="EF56999"/>
      <c r="EG56999"/>
      <c r="EH56999"/>
      <c r="EI56999"/>
      <c r="EJ56999"/>
      <c r="EK56999"/>
    </row>
    <row r="57000" spans="1:141" s="116" customFormat="1">
      <c r="A57000" s="136"/>
      <c r="CM57000" s="111"/>
      <c r="CQ57000" s="111"/>
      <c r="EF57000"/>
      <c r="EG57000"/>
      <c r="EH57000"/>
      <c r="EI57000"/>
      <c r="EJ57000"/>
      <c r="EK57000"/>
    </row>
    <row r="57001" spans="1:141" s="116" customFormat="1">
      <c r="A57001" s="136"/>
      <c r="CM57001" s="111"/>
      <c r="CQ57001" s="111"/>
      <c r="EF57001"/>
      <c r="EG57001"/>
      <c r="EH57001"/>
      <c r="EI57001"/>
      <c r="EJ57001"/>
      <c r="EK57001"/>
    </row>
    <row r="57002" spans="1:141" s="116" customFormat="1">
      <c r="A57002" s="136"/>
      <c r="CM57002" s="111"/>
      <c r="CQ57002" s="111"/>
      <c r="EF57002"/>
      <c r="EG57002"/>
      <c r="EH57002"/>
      <c r="EI57002"/>
      <c r="EJ57002"/>
      <c r="EK57002"/>
    </row>
    <row r="57003" spans="1:141" s="116" customFormat="1">
      <c r="A57003" s="136"/>
      <c r="CM57003" s="111"/>
      <c r="CQ57003" s="111"/>
      <c r="EF57003"/>
      <c r="EG57003"/>
      <c r="EH57003"/>
      <c r="EI57003"/>
      <c r="EJ57003"/>
      <c r="EK57003"/>
    </row>
    <row r="57004" spans="1:141" s="116" customFormat="1">
      <c r="A57004" s="136"/>
      <c r="CM57004" s="111"/>
      <c r="CQ57004" s="111"/>
      <c r="EF57004"/>
      <c r="EG57004"/>
      <c r="EH57004"/>
      <c r="EI57004"/>
      <c r="EJ57004"/>
      <c r="EK57004"/>
    </row>
    <row r="57005" spans="1:141" s="116" customFormat="1">
      <c r="A57005" s="136"/>
      <c r="CM57005" s="111"/>
      <c r="CQ57005" s="111"/>
      <c r="EF57005"/>
      <c r="EG57005"/>
      <c r="EH57005"/>
      <c r="EI57005"/>
      <c r="EJ57005"/>
      <c r="EK57005"/>
    </row>
    <row r="57006" spans="1:141" s="116" customFormat="1">
      <c r="A57006" s="136"/>
      <c r="CM57006" s="111"/>
      <c r="CQ57006" s="111"/>
      <c r="EF57006"/>
      <c r="EG57006"/>
      <c r="EH57006"/>
      <c r="EI57006"/>
      <c r="EJ57006"/>
      <c r="EK57006"/>
    </row>
    <row r="57007" spans="1:141" s="116" customFormat="1">
      <c r="A57007" s="136"/>
      <c r="CM57007" s="111"/>
      <c r="CQ57007" s="111"/>
      <c r="EF57007"/>
      <c r="EG57007"/>
      <c r="EH57007"/>
      <c r="EI57007"/>
      <c r="EJ57007"/>
      <c r="EK57007"/>
    </row>
    <row r="57008" spans="1:141" s="116" customFormat="1">
      <c r="A57008" s="136"/>
      <c r="CM57008" s="111"/>
      <c r="CQ57008" s="111"/>
      <c r="EF57008"/>
      <c r="EG57008"/>
      <c r="EH57008"/>
      <c r="EI57008"/>
      <c r="EJ57008"/>
      <c r="EK57008"/>
    </row>
    <row r="57009" spans="1:141" s="116" customFormat="1">
      <c r="A57009" s="136"/>
      <c r="CM57009" s="111"/>
      <c r="CQ57009" s="111"/>
      <c r="EF57009"/>
      <c r="EG57009"/>
      <c r="EH57009"/>
      <c r="EI57009"/>
      <c r="EJ57009"/>
      <c r="EK57009"/>
    </row>
    <row r="57010" spans="1:141" s="116" customFormat="1">
      <c r="A57010" s="136"/>
      <c r="CM57010" s="111"/>
      <c r="CQ57010" s="111"/>
      <c r="EF57010"/>
      <c r="EG57010"/>
      <c r="EH57010"/>
      <c r="EI57010"/>
      <c r="EJ57010"/>
      <c r="EK57010"/>
    </row>
    <row r="57011" spans="1:141" s="116" customFormat="1">
      <c r="A57011" s="136"/>
      <c r="CM57011" s="111"/>
      <c r="CQ57011" s="111"/>
      <c r="EF57011"/>
      <c r="EG57011"/>
      <c r="EH57011"/>
      <c r="EI57011"/>
      <c r="EJ57011"/>
      <c r="EK57011"/>
    </row>
    <row r="57012" spans="1:141" s="116" customFormat="1">
      <c r="A57012" s="136"/>
      <c r="CM57012" s="111"/>
      <c r="CQ57012" s="111"/>
      <c r="EF57012"/>
      <c r="EG57012"/>
      <c r="EH57012"/>
      <c r="EI57012"/>
      <c r="EJ57012"/>
      <c r="EK57012"/>
    </row>
    <row r="57013" spans="1:141" s="116" customFormat="1">
      <c r="A57013" s="136"/>
      <c r="CM57013" s="111"/>
      <c r="CQ57013" s="111"/>
      <c r="EF57013"/>
      <c r="EG57013"/>
      <c r="EH57013"/>
      <c r="EI57013"/>
      <c r="EJ57013"/>
      <c r="EK57013"/>
    </row>
    <row r="57014" spans="1:141" s="116" customFormat="1">
      <c r="A57014" s="136"/>
      <c r="CM57014" s="111"/>
      <c r="CQ57014" s="111"/>
      <c r="EF57014"/>
      <c r="EG57014"/>
      <c r="EH57014"/>
      <c r="EI57014"/>
      <c r="EJ57014"/>
      <c r="EK57014"/>
    </row>
    <row r="57015" spans="1:141" s="116" customFormat="1">
      <c r="A57015" s="136"/>
      <c r="CM57015" s="111"/>
      <c r="CQ57015" s="111"/>
      <c r="EF57015"/>
      <c r="EG57015"/>
      <c r="EH57015"/>
      <c r="EI57015"/>
      <c r="EJ57015"/>
      <c r="EK57015"/>
    </row>
    <row r="57016" spans="1:141" s="116" customFormat="1">
      <c r="A57016" s="136"/>
      <c r="CM57016" s="111"/>
      <c r="CQ57016" s="111"/>
      <c r="EF57016"/>
      <c r="EG57016"/>
      <c r="EH57016"/>
      <c r="EI57016"/>
      <c r="EJ57016"/>
      <c r="EK57016"/>
    </row>
    <row r="57017" spans="1:141" s="116" customFormat="1">
      <c r="A57017" s="136"/>
      <c r="CM57017" s="111"/>
      <c r="CQ57017" s="111"/>
      <c r="EF57017"/>
      <c r="EG57017"/>
      <c r="EH57017"/>
      <c r="EI57017"/>
      <c r="EJ57017"/>
      <c r="EK57017"/>
    </row>
    <row r="57018" spans="1:141" s="116" customFormat="1">
      <c r="A57018" s="136"/>
      <c r="CM57018" s="111"/>
      <c r="CQ57018" s="111"/>
      <c r="EF57018"/>
      <c r="EG57018"/>
      <c r="EH57018"/>
      <c r="EI57018"/>
      <c r="EJ57018"/>
      <c r="EK57018"/>
    </row>
    <row r="57019" spans="1:141" s="116" customFormat="1">
      <c r="A57019" s="136"/>
      <c r="CM57019" s="111"/>
      <c r="CQ57019" s="111"/>
      <c r="EF57019"/>
      <c r="EG57019"/>
      <c r="EH57019"/>
      <c r="EI57019"/>
      <c r="EJ57019"/>
      <c r="EK57019"/>
    </row>
    <row r="57020" spans="1:141" s="116" customFormat="1">
      <c r="A57020" s="136"/>
      <c r="CM57020" s="111"/>
      <c r="CQ57020" s="111"/>
      <c r="EF57020"/>
      <c r="EG57020"/>
      <c r="EH57020"/>
      <c r="EI57020"/>
      <c r="EJ57020"/>
      <c r="EK57020"/>
    </row>
    <row r="57021" spans="1:141" s="116" customFormat="1">
      <c r="A57021" s="136"/>
      <c r="CM57021" s="111"/>
      <c r="CQ57021" s="111"/>
      <c r="EF57021"/>
      <c r="EG57021"/>
      <c r="EH57021"/>
      <c r="EI57021"/>
      <c r="EJ57021"/>
      <c r="EK57021"/>
    </row>
    <row r="57022" spans="1:141" s="116" customFormat="1">
      <c r="A57022" s="136"/>
      <c r="CM57022" s="111"/>
      <c r="CQ57022" s="111"/>
      <c r="EF57022"/>
      <c r="EG57022"/>
      <c r="EH57022"/>
      <c r="EI57022"/>
      <c r="EJ57022"/>
      <c r="EK57022"/>
    </row>
    <row r="57023" spans="1:141" s="116" customFormat="1">
      <c r="A57023" s="136"/>
      <c r="CM57023" s="111"/>
      <c r="CQ57023" s="111"/>
      <c r="EF57023"/>
      <c r="EG57023"/>
      <c r="EH57023"/>
      <c r="EI57023"/>
      <c r="EJ57023"/>
      <c r="EK57023"/>
    </row>
    <row r="57024" spans="1:141" s="116" customFormat="1">
      <c r="A57024" s="136"/>
      <c r="CM57024" s="111"/>
      <c r="CQ57024" s="111"/>
      <c r="EF57024"/>
      <c r="EG57024"/>
      <c r="EH57024"/>
      <c r="EI57024"/>
      <c r="EJ57024"/>
      <c r="EK57024"/>
    </row>
    <row r="57025" spans="1:141" s="116" customFormat="1">
      <c r="A57025" s="136"/>
      <c r="CM57025" s="111"/>
      <c r="CQ57025" s="111"/>
      <c r="EF57025"/>
      <c r="EG57025"/>
      <c r="EH57025"/>
      <c r="EI57025"/>
      <c r="EJ57025"/>
      <c r="EK57025"/>
    </row>
    <row r="57026" spans="1:141" s="116" customFormat="1">
      <c r="A57026" s="136"/>
      <c r="CM57026" s="111"/>
      <c r="CQ57026" s="111"/>
      <c r="EF57026"/>
      <c r="EG57026"/>
      <c r="EH57026"/>
      <c r="EI57026"/>
      <c r="EJ57026"/>
      <c r="EK57026"/>
    </row>
    <row r="57027" spans="1:141" s="116" customFormat="1">
      <c r="A57027" s="136"/>
      <c r="CM57027" s="111"/>
      <c r="CQ57027" s="111"/>
      <c r="EF57027"/>
      <c r="EG57027"/>
      <c r="EH57027"/>
      <c r="EI57027"/>
      <c r="EJ57027"/>
      <c r="EK57027"/>
    </row>
    <row r="57028" spans="1:141" s="116" customFormat="1">
      <c r="A57028" s="136"/>
      <c r="CM57028" s="111"/>
      <c r="CQ57028" s="111"/>
      <c r="EF57028"/>
      <c r="EG57028"/>
      <c r="EH57028"/>
      <c r="EI57028"/>
      <c r="EJ57028"/>
      <c r="EK57028"/>
    </row>
    <row r="57029" spans="1:141" s="116" customFormat="1">
      <c r="A57029" s="136"/>
      <c r="CM57029" s="111"/>
      <c r="CQ57029" s="111"/>
      <c r="EF57029"/>
      <c r="EG57029"/>
      <c r="EH57029"/>
      <c r="EI57029"/>
      <c r="EJ57029"/>
      <c r="EK57029"/>
    </row>
    <row r="57030" spans="1:141" s="116" customFormat="1">
      <c r="A57030" s="136"/>
      <c r="CM57030" s="111"/>
      <c r="CQ57030" s="111"/>
      <c r="EF57030"/>
      <c r="EG57030"/>
      <c r="EH57030"/>
      <c r="EI57030"/>
      <c r="EJ57030"/>
      <c r="EK57030"/>
    </row>
    <row r="57031" spans="1:141" s="116" customFormat="1">
      <c r="A57031" s="136"/>
      <c r="CM57031" s="111"/>
      <c r="CQ57031" s="111"/>
      <c r="EF57031"/>
      <c r="EG57031"/>
      <c r="EH57031"/>
      <c r="EI57031"/>
      <c r="EJ57031"/>
      <c r="EK57031"/>
    </row>
    <row r="57032" spans="1:141" s="116" customFormat="1">
      <c r="A57032" s="136"/>
      <c r="CM57032" s="111"/>
      <c r="CQ57032" s="111"/>
      <c r="EF57032"/>
      <c r="EG57032"/>
      <c r="EH57032"/>
      <c r="EI57032"/>
      <c r="EJ57032"/>
      <c r="EK57032"/>
    </row>
    <row r="57033" spans="1:141" s="116" customFormat="1">
      <c r="A57033" s="136"/>
      <c r="CM57033" s="111"/>
      <c r="CQ57033" s="111"/>
      <c r="EF57033"/>
      <c r="EG57033"/>
      <c r="EH57033"/>
      <c r="EI57033"/>
      <c r="EJ57033"/>
      <c r="EK57033"/>
    </row>
    <row r="57034" spans="1:141" s="116" customFormat="1">
      <c r="A57034" s="136"/>
      <c r="CM57034" s="111"/>
      <c r="CQ57034" s="111"/>
      <c r="EF57034"/>
      <c r="EG57034"/>
      <c r="EH57034"/>
      <c r="EI57034"/>
      <c r="EJ57034"/>
      <c r="EK57034"/>
    </row>
    <row r="57035" spans="1:141" s="116" customFormat="1">
      <c r="A57035" s="136"/>
      <c r="CM57035" s="111"/>
      <c r="CQ57035" s="111"/>
      <c r="EF57035"/>
      <c r="EG57035"/>
      <c r="EH57035"/>
      <c r="EI57035"/>
      <c r="EJ57035"/>
      <c r="EK57035"/>
    </row>
    <row r="57036" spans="1:141" s="116" customFormat="1">
      <c r="A57036" s="136"/>
      <c r="CM57036" s="111"/>
      <c r="CQ57036" s="111"/>
      <c r="EF57036"/>
      <c r="EG57036"/>
      <c r="EH57036"/>
      <c r="EI57036"/>
      <c r="EJ57036"/>
      <c r="EK57036"/>
    </row>
    <row r="57037" spans="1:141" s="116" customFormat="1">
      <c r="A57037" s="136"/>
      <c r="CM57037" s="111"/>
      <c r="CQ57037" s="111"/>
      <c r="EF57037"/>
      <c r="EG57037"/>
      <c r="EH57037"/>
      <c r="EI57037"/>
      <c r="EJ57037"/>
      <c r="EK57037"/>
    </row>
    <row r="57038" spans="1:141" s="116" customFormat="1">
      <c r="A57038" s="136"/>
      <c r="CM57038" s="111"/>
      <c r="CQ57038" s="111"/>
      <c r="EF57038"/>
      <c r="EG57038"/>
      <c r="EH57038"/>
      <c r="EI57038"/>
      <c r="EJ57038"/>
      <c r="EK57038"/>
    </row>
    <row r="57039" spans="1:141" s="116" customFormat="1">
      <c r="A57039" s="136"/>
      <c r="CM57039" s="111"/>
      <c r="CQ57039" s="111"/>
      <c r="EF57039"/>
      <c r="EG57039"/>
      <c r="EH57039"/>
      <c r="EI57039"/>
      <c r="EJ57039"/>
      <c r="EK57039"/>
    </row>
    <row r="57040" spans="1:141" s="116" customFormat="1">
      <c r="A57040" s="136"/>
      <c r="CM57040" s="111"/>
      <c r="CQ57040" s="111"/>
      <c r="EF57040"/>
      <c r="EG57040"/>
      <c r="EH57040"/>
      <c r="EI57040"/>
      <c r="EJ57040"/>
      <c r="EK57040"/>
    </row>
    <row r="57041" spans="1:141" s="116" customFormat="1">
      <c r="A57041" s="136"/>
      <c r="CM57041" s="111"/>
      <c r="CQ57041" s="111"/>
      <c r="EF57041"/>
      <c r="EG57041"/>
      <c r="EH57041"/>
      <c r="EI57041"/>
      <c r="EJ57041"/>
      <c r="EK57041"/>
    </row>
    <row r="57042" spans="1:141" s="116" customFormat="1">
      <c r="A57042" s="136"/>
      <c r="CM57042" s="111"/>
      <c r="CQ57042" s="111"/>
      <c r="EF57042"/>
      <c r="EG57042"/>
      <c r="EH57042"/>
      <c r="EI57042"/>
      <c r="EJ57042"/>
      <c r="EK57042"/>
    </row>
    <row r="57043" spans="1:141" s="116" customFormat="1">
      <c r="A57043" s="136"/>
      <c r="CM57043" s="111"/>
      <c r="CQ57043" s="111"/>
      <c r="EF57043"/>
      <c r="EG57043"/>
      <c r="EH57043"/>
      <c r="EI57043"/>
      <c r="EJ57043"/>
      <c r="EK57043"/>
    </row>
    <row r="57044" spans="1:141" s="116" customFormat="1">
      <c r="A57044" s="136"/>
      <c r="CM57044" s="111"/>
      <c r="CQ57044" s="111"/>
      <c r="EF57044"/>
      <c r="EG57044"/>
      <c r="EH57044"/>
      <c r="EI57044"/>
      <c r="EJ57044"/>
      <c r="EK57044"/>
    </row>
    <row r="57045" spans="1:141" s="116" customFormat="1">
      <c r="A57045" s="136"/>
      <c r="CM57045" s="111"/>
      <c r="CQ57045" s="111"/>
      <c r="EF57045"/>
      <c r="EG57045"/>
      <c r="EH57045"/>
      <c r="EI57045"/>
      <c r="EJ57045"/>
      <c r="EK57045"/>
    </row>
    <row r="57046" spans="1:141" s="116" customFormat="1">
      <c r="A57046" s="136"/>
      <c r="CM57046" s="111"/>
      <c r="CQ57046" s="111"/>
      <c r="EF57046"/>
      <c r="EG57046"/>
      <c r="EH57046"/>
      <c r="EI57046"/>
      <c r="EJ57046"/>
      <c r="EK57046"/>
    </row>
    <row r="57047" spans="1:141" s="116" customFormat="1">
      <c r="A57047" s="136"/>
      <c r="CM57047" s="111"/>
      <c r="CQ57047" s="111"/>
      <c r="EF57047"/>
      <c r="EG57047"/>
      <c r="EH57047"/>
      <c r="EI57047"/>
      <c r="EJ57047"/>
      <c r="EK57047"/>
    </row>
    <row r="57048" spans="1:141" s="116" customFormat="1">
      <c r="A57048" s="136"/>
      <c r="CM57048" s="111"/>
      <c r="CQ57048" s="111"/>
      <c r="EF57048"/>
      <c r="EG57048"/>
      <c r="EH57048"/>
      <c r="EI57048"/>
      <c r="EJ57048"/>
      <c r="EK57048"/>
    </row>
    <row r="57049" spans="1:141" s="116" customFormat="1">
      <c r="A57049" s="136"/>
      <c r="CM57049" s="111"/>
      <c r="CQ57049" s="111"/>
      <c r="EF57049"/>
      <c r="EG57049"/>
      <c r="EH57049"/>
      <c r="EI57049"/>
      <c r="EJ57049"/>
      <c r="EK57049"/>
    </row>
    <row r="57050" spans="1:141" s="116" customFormat="1">
      <c r="A57050" s="136"/>
      <c r="CM57050" s="111"/>
      <c r="CQ57050" s="111"/>
      <c r="EF57050"/>
      <c r="EG57050"/>
      <c r="EH57050"/>
      <c r="EI57050"/>
      <c r="EJ57050"/>
      <c r="EK57050"/>
    </row>
    <row r="57051" spans="1:141" s="116" customFormat="1">
      <c r="A57051" s="136"/>
      <c r="CM57051" s="111"/>
      <c r="CQ57051" s="111"/>
      <c r="EF57051"/>
      <c r="EG57051"/>
      <c r="EH57051"/>
      <c r="EI57051"/>
      <c r="EJ57051"/>
      <c r="EK57051"/>
    </row>
    <row r="57052" spans="1:141" s="116" customFormat="1">
      <c r="A57052" s="136"/>
      <c r="CM57052" s="111"/>
      <c r="CQ57052" s="111"/>
      <c r="EF57052"/>
      <c r="EG57052"/>
      <c r="EH57052"/>
      <c r="EI57052"/>
      <c r="EJ57052"/>
      <c r="EK57052"/>
    </row>
    <row r="57053" spans="1:141" s="116" customFormat="1">
      <c r="A57053" s="136"/>
      <c r="CM57053" s="111"/>
      <c r="CQ57053" s="111"/>
      <c r="EF57053"/>
      <c r="EG57053"/>
      <c r="EH57053"/>
      <c r="EI57053"/>
      <c r="EJ57053"/>
      <c r="EK57053"/>
    </row>
    <row r="57054" spans="1:141" s="116" customFormat="1">
      <c r="A57054" s="136"/>
      <c r="CM57054" s="111"/>
      <c r="CQ57054" s="111"/>
      <c r="EF57054"/>
      <c r="EG57054"/>
      <c r="EH57054"/>
      <c r="EI57054"/>
      <c r="EJ57054"/>
      <c r="EK57054"/>
    </row>
    <row r="57055" spans="1:141" s="116" customFormat="1">
      <c r="A57055" s="136"/>
      <c r="CM57055" s="111"/>
      <c r="CQ57055" s="111"/>
      <c r="EF57055"/>
      <c r="EG57055"/>
      <c r="EH57055"/>
      <c r="EI57055"/>
      <c r="EJ57055"/>
      <c r="EK57055"/>
    </row>
    <row r="57056" spans="1:141" s="116" customFormat="1">
      <c r="A57056" s="136"/>
      <c r="CM57056" s="111"/>
      <c r="CQ57056" s="111"/>
      <c r="EF57056"/>
      <c r="EG57056"/>
      <c r="EH57056"/>
      <c r="EI57056"/>
      <c r="EJ57056"/>
      <c r="EK57056"/>
    </row>
    <row r="57057" spans="1:141" s="116" customFormat="1">
      <c r="A57057" s="136"/>
      <c r="CM57057" s="111"/>
      <c r="CQ57057" s="111"/>
      <c r="EF57057"/>
      <c r="EG57057"/>
      <c r="EH57057"/>
      <c r="EI57057"/>
      <c r="EJ57057"/>
      <c r="EK57057"/>
    </row>
    <row r="57058" spans="1:141" s="116" customFormat="1">
      <c r="A57058" s="136"/>
      <c r="CM57058" s="111"/>
      <c r="CQ57058" s="111"/>
      <c r="EF57058"/>
      <c r="EG57058"/>
      <c r="EH57058"/>
      <c r="EI57058"/>
      <c r="EJ57058"/>
      <c r="EK57058"/>
    </row>
    <row r="57059" spans="1:141" s="116" customFormat="1">
      <c r="A57059" s="136"/>
      <c r="CM57059" s="111"/>
      <c r="CQ57059" s="111"/>
      <c r="EF57059"/>
      <c r="EG57059"/>
      <c r="EH57059"/>
      <c r="EI57059"/>
      <c r="EJ57059"/>
      <c r="EK57059"/>
    </row>
    <row r="57060" spans="1:141" s="116" customFormat="1">
      <c r="A57060" s="136"/>
      <c r="CM57060" s="111"/>
      <c r="CQ57060" s="111"/>
      <c r="EF57060"/>
      <c r="EG57060"/>
      <c r="EH57060"/>
      <c r="EI57060"/>
      <c r="EJ57060"/>
      <c r="EK57060"/>
    </row>
    <row r="57061" spans="1:141" s="116" customFormat="1">
      <c r="A57061" s="136"/>
      <c r="CM57061" s="111"/>
      <c r="CQ57061" s="111"/>
      <c r="EF57061"/>
      <c r="EG57061"/>
      <c r="EH57061"/>
      <c r="EI57061"/>
      <c r="EJ57061"/>
      <c r="EK57061"/>
    </row>
    <row r="57062" spans="1:141" s="116" customFormat="1">
      <c r="A57062" s="136"/>
      <c r="CM57062" s="111"/>
      <c r="CQ57062" s="111"/>
      <c r="EF57062"/>
      <c r="EG57062"/>
      <c r="EH57062"/>
      <c r="EI57062"/>
      <c r="EJ57062"/>
      <c r="EK57062"/>
    </row>
    <row r="57063" spans="1:141" s="116" customFormat="1">
      <c r="A57063" s="136"/>
      <c r="CM57063" s="111"/>
      <c r="CQ57063" s="111"/>
      <c r="EF57063"/>
      <c r="EG57063"/>
      <c r="EH57063"/>
      <c r="EI57063"/>
      <c r="EJ57063"/>
      <c r="EK57063"/>
    </row>
    <row r="57064" spans="1:141" s="116" customFormat="1">
      <c r="A57064" s="136"/>
      <c r="CM57064" s="111"/>
      <c r="CQ57064" s="111"/>
      <c r="EF57064"/>
      <c r="EG57064"/>
      <c r="EH57064"/>
      <c r="EI57064"/>
      <c r="EJ57064"/>
      <c r="EK57064"/>
    </row>
    <row r="57065" spans="1:141" s="116" customFormat="1">
      <c r="A57065" s="136"/>
      <c r="CM57065" s="111"/>
      <c r="CQ57065" s="111"/>
      <c r="EF57065"/>
      <c r="EG57065"/>
      <c r="EH57065"/>
      <c r="EI57065"/>
      <c r="EJ57065"/>
      <c r="EK57065"/>
    </row>
    <row r="57066" spans="1:141" s="116" customFormat="1">
      <c r="A57066" s="136"/>
      <c r="CM57066" s="111"/>
      <c r="CQ57066" s="111"/>
      <c r="EF57066"/>
      <c r="EG57066"/>
      <c r="EH57066"/>
      <c r="EI57066"/>
      <c r="EJ57066"/>
      <c r="EK57066"/>
    </row>
    <row r="57067" spans="1:141" s="116" customFormat="1">
      <c r="A57067" s="136"/>
      <c r="CM57067" s="111"/>
      <c r="CQ57067" s="111"/>
      <c r="EF57067"/>
      <c r="EG57067"/>
      <c r="EH57067"/>
      <c r="EI57067"/>
      <c r="EJ57067"/>
      <c r="EK57067"/>
    </row>
    <row r="57068" spans="1:141" s="116" customFormat="1">
      <c r="A57068" s="136"/>
      <c r="CM57068" s="111"/>
      <c r="CQ57068" s="111"/>
      <c r="EF57068"/>
      <c r="EG57068"/>
      <c r="EH57068"/>
      <c r="EI57068"/>
      <c r="EJ57068"/>
      <c r="EK57068"/>
    </row>
    <row r="57069" spans="1:141" s="116" customFormat="1">
      <c r="A57069" s="136"/>
      <c r="CM57069" s="111"/>
      <c r="CQ57069" s="111"/>
      <c r="EF57069"/>
      <c r="EG57069"/>
      <c r="EH57069"/>
      <c r="EI57069"/>
      <c r="EJ57069"/>
      <c r="EK57069"/>
    </row>
    <row r="57070" spans="1:141" s="116" customFormat="1">
      <c r="A57070" s="136"/>
      <c r="CM57070" s="111"/>
      <c r="CQ57070" s="111"/>
      <c r="EF57070"/>
      <c r="EG57070"/>
      <c r="EH57070"/>
      <c r="EI57070"/>
      <c r="EJ57070"/>
      <c r="EK57070"/>
    </row>
    <row r="57071" spans="1:141" s="116" customFormat="1">
      <c r="A57071" s="136"/>
      <c r="CM57071" s="111"/>
      <c r="CQ57071" s="111"/>
      <c r="EF57071"/>
      <c r="EG57071"/>
      <c r="EH57071"/>
      <c r="EI57071"/>
      <c r="EJ57071"/>
      <c r="EK57071"/>
    </row>
    <row r="57072" spans="1:141" s="116" customFormat="1">
      <c r="A57072" s="136"/>
      <c r="CM57072" s="111"/>
      <c r="CQ57072" s="111"/>
      <c r="EF57072"/>
      <c r="EG57072"/>
      <c r="EH57072"/>
      <c r="EI57072"/>
      <c r="EJ57072"/>
      <c r="EK57072"/>
    </row>
    <row r="57073" spans="1:141" s="116" customFormat="1">
      <c r="A57073" s="136"/>
      <c r="CM57073" s="111"/>
      <c r="CQ57073" s="111"/>
      <c r="EF57073"/>
      <c r="EG57073"/>
      <c r="EH57073"/>
      <c r="EI57073"/>
      <c r="EJ57073"/>
      <c r="EK57073"/>
    </row>
    <row r="57074" spans="1:141" s="116" customFormat="1">
      <c r="A57074" s="136"/>
      <c r="CM57074" s="111"/>
      <c r="CQ57074" s="111"/>
      <c r="EF57074"/>
      <c r="EG57074"/>
      <c r="EH57074"/>
      <c r="EI57074"/>
      <c r="EJ57074"/>
      <c r="EK57074"/>
    </row>
    <row r="57075" spans="1:141" s="116" customFormat="1">
      <c r="A57075" s="136"/>
      <c r="CM57075" s="111"/>
      <c r="CQ57075" s="111"/>
      <c r="EF57075"/>
      <c r="EG57075"/>
      <c r="EH57075"/>
      <c r="EI57075"/>
      <c r="EJ57075"/>
      <c r="EK57075"/>
    </row>
    <row r="57076" spans="1:141" s="116" customFormat="1">
      <c r="A57076" s="136"/>
      <c r="CM57076" s="111"/>
      <c r="CQ57076" s="111"/>
      <c r="EF57076"/>
      <c r="EG57076"/>
      <c r="EH57076"/>
      <c r="EI57076"/>
      <c r="EJ57076"/>
      <c r="EK57076"/>
    </row>
    <row r="57077" spans="1:141" s="116" customFormat="1">
      <c r="A57077" s="136"/>
      <c r="CM57077" s="111"/>
      <c r="CQ57077" s="111"/>
      <c r="EF57077"/>
      <c r="EG57077"/>
      <c r="EH57077"/>
      <c r="EI57077"/>
      <c r="EJ57077"/>
      <c r="EK57077"/>
    </row>
    <row r="57078" spans="1:141" s="116" customFormat="1">
      <c r="A57078" s="136"/>
      <c r="CM57078" s="111"/>
      <c r="CQ57078" s="111"/>
      <c r="EF57078"/>
      <c r="EG57078"/>
      <c r="EH57078"/>
      <c r="EI57078"/>
      <c r="EJ57078"/>
      <c r="EK57078"/>
    </row>
    <row r="57079" spans="1:141" s="116" customFormat="1">
      <c r="A57079" s="136"/>
      <c r="CM57079" s="111"/>
      <c r="CQ57079" s="111"/>
      <c r="EF57079"/>
      <c r="EG57079"/>
      <c r="EH57079"/>
      <c r="EI57079"/>
      <c r="EJ57079"/>
      <c r="EK57079"/>
    </row>
    <row r="57080" spans="1:141" s="116" customFormat="1">
      <c r="A57080" s="136"/>
      <c r="CM57080" s="111"/>
      <c r="CQ57080" s="111"/>
      <c r="EF57080"/>
      <c r="EG57080"/>
      <c r="EH57080"/>
      <c r="EI57080"/>
      <c r="EJ57080"/>
      <c r="EK57080"/>
    </row>
    <row r="57081" spans="1:141" s="116" customFormat="1">
      <c r="A57081" s="136"/>
      <c r="CM57081" s="111"/>
      <c r="CQ57081" s="111"/>
      <c r="EF57081"/>
      <c r="EG57081"/>
      <c r="EH57081"/>
      <c r="EI57081"/>
      <c r="EJ57081"/>
      <c r="EK57081"/>
    </row>
    <row r="57082" spans="1:141" s="116" customFormat="1">
      <c r="A57082" s="136"/>
      <c r="CM57082" s="111"/>
      <c r="CQ57082" s="111"/>
      <c r="EF57082"/>
      <c r="EG57082"/>
      <c r="EH57082"/>
      <c r="EI57082"/>
      <c r="EJ57082"/>
      <c r="EK57082"/>
    </row>
    <row r="57083" spans="1:141" s="116" customFormat="1">
      <c r="A57083" s="136"/>
      <c r="CM57083" s="111"/>
      <c r="CQ57083" s="111"/>
      <c r="EF57083"/>
      <c r="EG57083"/>
      <c r="EH57083"/>
      <c r="EI57083"/>
      <c r="EJ57083"/>
      <c r="EK57083"/>
    </row>
    <row r="57084" spans="1:141" s="116" customFormat="1">
      <c r="A57084" s="136"/>
      <c r="CM57084" s="111"/>
      <c r="CQ57084" s="111"/>
      <c r="EF57084"/>
      <c r="EG57084"/>
      <c r="EH57084"/>
      <c r="EI57084"/>
      <c r="EJ57084"/>
      <c r="EK57084"/>
    </row>
    <row r="57085" spans="1:141" s="116" customFormat="1">
      <c r="A57085" s="136"/>
      <c r="CM57085" s="111"/>
      <c r="CQ57085" s="111"/>
      <c r="EF57085"/>
      <c r="EG57085"/>
      <c r="EH57085"/>
      <c r="EI57085"/>
      <c r="EJ57085"/>
      <c r="EK57085"/>
    </row>
    <row r="57086" spans="1:141" s="116" customFormat="1">
      <c r="A57086" s="136"/>
      <c r="CM57086" s="111"/>
      <c r="CQ57086" s="111"/>
      <c r="EF57086"/>
      <c r="EG57086"/>
      <c r="EH57086"/>
      <c r="EI57086"/>
      <c r="EJ57086"/>
      <c r="EK57086"/>
    </row>
    <row r="57087" spans="1:141" s="116" customFormat="1">
      <c r="A57087" s="136"/>
      <c r="CM57087" s="111"/>
      <c r="CQ57087" s="111"/>
      <c r="EF57087"/>
      <c r="EG57087"/>
      <c r="EH57087"/>
      <c r="EI57087"/>
      <c r="EJ57087"/>
      <c r="EK57087"/>
    </row>
    <row r="57088" spans="1:141" s="116" customFormat="1">
      <c r="A57088" s="136"/>
      <c r="CM57088" s="111"/>
      <c r="CQ57088" s="111"/>
      <c r="EF57088"/>
      <c r="EG57088"/>
      <c r="EH57088"/>
      <c r="EI57088"/>
      <c r="EJ57088"/>
      <c r="EK57088"/>
    </row>
    <row r="57089" spans="1:141" s="116" customFormat="1">
      <c r="A57089" s="136"/>
      <c r="CM57089" s="111"/>
      <c r="CQ57089" s="111"/>
      <c r="EF57089"/>
      <c r="EG57089"/>
      <c r="EH57089"/>
      <c r="EI57089"/>
      <c r="EJ57089"/>
      <c r="EK57089"/>
    </row>
    <row r="57090" spans="1:141" s="116" customFormat="1">
      <c r="A57090" s="136"/>
      <c r="CM57090" s="111"/>
      <c r="CQ57090" s="111"/>
      <c r="EF57090"/>
      <c r="EG57090"/>
      <c r="EH57090"/>
      <c r="EI57090"/>
      <c r="EJ57090"/>
      <c r="EK57090"/>
    </row>
    <row r="57091" spans="1:141" s="116" customFormat="1">
      <c r="A57091" s="136"/>
      <c r="CM57091" s="111"/>
      <c r="CQ57091" s="111"/>
      <c r="EF57091"/>
      <c r="EG57091"/>
      <c r="EH57091"/>
      <c r="EI57091"/>
      <c r="EJ57091"/>
      <c r="EK57091"/>
    </row>
    <row r="57092" spans="1:141" s="116" customFormat="1">
      <c r="A57092" s="136"/>
      <c r="CM57092" s="111"/>
      <c r="CQ57092" s="111"/>
      <c r="EF57092"/>
      <c r="EG57092"/>
      <c r="EH57092"/>
      <c r="EI57092"/>
      <c r="EJ57092"/>
      <c r="EK57092"/>
    </row>
    <row r="57093" spans="1:141" s="116" customFormat="1">
      <c r="A57093" s="136"/>
      <c r="CM57093" s="111"/>
      <c r="CQ57093" s="111"/>
      <c r="EF57093"/>
      <c r="EG57093"/>
      <c r="EH57093"/>
      <c r="EI57093"/>
      <c r="EJ57093"/>
      <c r="EK57093"/>
    </row>
    <row r="57094" spans="1:141" s="116" customFormat="1">
      <c r="A57094" s="136"/>
      <c r="CM57094" s="111"/>
      <c r="CQ57094" s="111"/>
      <c r="EF57094"/>
      <c r="EG57094"/>
      <c r="EH57094"/>
      <c r="EI57094"/>
      <c r="EJ57094"/>
      <c r="EK57094"/>
    </row>
    <row r="57095" spans="1:141" s="116" customFormat="1">
      <c r="A57095" s="136"/>
      <c r="CM57095" s="111"/>
      <c r="CQ57095" s="111"/>
      <c r="EF57095"/>
      <c r="EG57095"/>
      <c r="EH57095"/>
      <c r="EI57095"/>
      <c r="EJ57095"/>
      <c r="EK57095"/>
    </row>
    <row r="57096" spans="1:141" s="116" customFormat="1">
      <c r="A57096" s="136"/>
      <c r="CM57096" s="111"/>
      <c r="CQ57096" s="111"/>
      <c r="EF57096"/>
      <c r="EG57096"/>
      <c r="EH57096"/>
      <c r="EI57096"/>
      <c r="EJ57096"/>
      <c r="EK57096"/>
    </row>
    <row r="57097" spans="1:141" s="116" customFormat="1">
      <c r="A57097" s="136"/>
      <c r="CM57097" s="111"/>
      <c r="CQ57097" s="111"/>
      <c r="EF57097"/>
      <c r="EG57097"/>
      <c r="EH57097"/>
      <c r="EI57097"/>
      <c r="EJ57097"/>
      <c r="EK57097"/>
    </row>
    <row r="57098" spans="1:141" s="116" customFormat="1">
      <c r="A57098" s="136"/>
      <c r="CM57098" s="111"/>
      <c r="CQ57098" s="111"/>
      <c r="EF57098"/>
      <c r="EG57098"/>
      <c r="EH57098"/>
      <c r="EI57098"/>
      <c r="EJ57098"/>
      <c r="EK57098"/>
    </row>
    <row r="57099" spans="1:141" s="116" customFormat="1">
      <c r="A57099" s="136"/>
      <c r="CM57099" s="111"/>
      <c r="CQ57099" s="111"/>
      <c r="EF57099"/>
      <c r="EG57099"/>
      <c r="EH57099"/>
      <c r="EI57099"/>
      <c r="EJ57099"/>
      <c r="EK57099"/>
    </row>
    <row r="57100" spans="1:141" s="116" customFormat="1">
      <c r="A57100" s="136"/>
      <c r="CM57100" s="111"/>
      <c r="CQ57100" s="111"/>
      <c r="EF57100"/>
      <c r="EG57100"/>
      <c r="EH57100"/>
      <c r="EI57100"/>
      <c r="EJ57100"/>
      <c r="EK57100"/>
    </row>
    <row r="57101" spans="1:141" s="116" customFormat="1">
      <c r="A57101" s="136"/>
      <c r="CM57101" s="111"/>
      <c r="CQ57101" s="111"/>
      <c r="EF57101"/>
      <c r="EG57101"/>
      <c r="EH57101"/>
      <c r="EI57101"/>
      <c r="EJ57101"/>
      <c r="EK57101"/>
    </row>
    <row r="57102" spans="1:141" s="116" customFormat="1">
      <c r="A57102" s="136"/>
      <c r="CM57102" s="111"/>
      <c r="CQ57102" s="111"/>
      <c r="EF57102"/>
      <c r="EG57102"/>
      <c r="EH57102"/>
      <c r="EI57102"/>
      <c r="EJ57102"/>
      <c r="EK57102"/>
    </row>
    <row r="57103" spans="1:141" s="116" customFormat="1">
      <c r="A57103" s="136"/>
      <c r="CM57103" s="111"/>
      <c r="CQ57103" s="111"/>
      <c r="EF57103"/>
      <c r="EG57103"/>
      <c r="EH57103"/>
      <c r="EI57103"/>
      <c r="EJ57103"/>
      <c r="EK57103"/>
    </row>
    <row r="57104" spans="1:141" s="116" customFormat="1">
      <c r="A57104" s="136"/>
      <c r="CM57104" s="111"/>
      <c r="CQ57104" s="111"/>
      <c r="EF57104"/>
      <c r="EG57104"/>
      <c r="EH57104"/>
      <c r="EI57104"/>
      <c r="EJ57104"/>
      <c r="EK57104"/>
    </row>
    <row r="57105" spans="1:141" s="116" customFormat="1">
      <c r="A57105" s="136"/>
      <c r="CM57105" s="111"/>
      <c r="CQ57105" s="111"/>
      <c r="EF57105"/>
      <c r="EG57105"/>
      <c r="EH57105"/>
      <c r="EI57105"/>
      <c r="EJ57105"/>
      <c r="EK57105"/>
    </row>
    <row r="57106" spans="1:141" s="116" customFormat="1">
      <c r="A57106" s="136"/>
      <c r="CM57106" s="111"/>
      <c r="CQ57106" s="111"/>
      <c r="EF57106"/>
      <c r="EG57106"/>
      <c r="EH57106"/>
      <c r="EI57106"/>
      <c r="EJ57106"/>
      <c r="EK57106"/>
    </row>
    <row r="57107" spans="1:141" s="116" customFormat="1">
      <c r="A57107" s="136"/>
      <c r="CM57107" s="111"/>
      <c r="CQ57107" s="111"/>
      <c r="EF57107"/>
      <c r="EG57107"/>
      <c r="EH57107"/>
      <c r="EI57107"/>
      <c r="EJ57107"/>
      <c r="EK57107"/>
    </row>
    <row r="57108" spans="1:141" s="116" customFormat="1">
      <c r="A57108" s="136"/>
      <c r="CM57108" s="111"/>
      <c r="CQ57108" s="111"/>
      <c r="EF57108"/>
      <c r="EG57108"/>
      <c r="EH57108"/>
      <c r="EI57108"/>
      <c r="EJ57108"/>
      <c r="EK57108"/>
    </row>
    <row r="57109" spans="1:141" s="116" customFormat="1">
      <c r="A57109" s="136"/>
      <c r="CM57109" s="111"/>
      <c r="CQ57109" s="111"/>
      <c r="EF57109"/>
      <c r="EG57109"/>
      <c r="EH57109"/>
      <c r="EI57109"/>
      <c r="EJ57109"/>
      <c r="EK57109"/>
    </row>
    <row r="57110" spans="1:141" s="116" customFormat="1">
      <c r="A57110" s="136"/>
      <c r="CM57110" s="111"/>
      <c r="CQ57110" s="111"/>
      <c r="EF57110"/>
      <c r="EG57110"/>
      <c r="EH57110"/>
      <c r="EI57110"/>
      <c r="EJ57110"/>
      <c r="EK57110"/>
    </row>
    <row r="57111" spans="1:141" s="116" customFormat="1">
      <c r="A57111" s="136"/>
      <c r="CM57111" s="111"/>
      <c r="CQ57111" s="111"/>
      <c r="EF57111"/>
      <c r="EG57111"/>
      <c r="EH57111"/>
      <c r="EI57111"/>
      <c r="EJ57111"/>
      <c r="EK57111"/>
    </row>
    <row r="57112" spans="1:141" s="116" customFormat="1">
      <c r="A57112" s="136"/>
      <c r="CM57112" s="111"/>
      <c r="CQ57112" s="111"/>
      <c r="EF57112"/>
      <c r="EG57112"/>
      <c r="EH57112"/>
      <c r="EI57112"/>
      <c r="EJ57112"/>
      <c r="EK57112"/>
    </row>
    <row r="57113" spans="1:141" s="116" customFormat="1">
      <c r="A57113" s="136"/>
      <c r="CM57113" s="111"/>
      <c r="CQ57113" s="111"/>
      <c r="EF57113"/>
      <c r="EG57113"/>
      <c r="EH57113"/>
      <c r="EI57113"/>
      <c r="EJ57113"/>
      <c r="EK57113"/>
    </row>
    <row r="57114" spans="1:141" s="116" customFormat="1">
      <c r="A57114" s="136"/>
      <c r="CM57114" s="111"/>
      <c r="CQ57114" s="111"/>
      <c r="EF57114"/>
      <c r="EG57114"/>
      <c r="EH57114"/>
      <c r="EI57114"/>
      <c r="EJ57114"/>
      <c r="EK57114"/>
    </row>
    <row r="57115" spans="1:141" s="116" customFormat="1">
      <c r="A57115" s="136"/>
      <c r="CM57115" s="111"/>
      <c r="CQ57115" s="111"/>
      <c r="EF57115"/>
      <c r="EG57115"/>
      <c r="EH57115"/>
      <c r="EI57115"/>
      <c r="EJ57115"/>
      <c r="EK57115"/>
    </row>
    <row r="57116" spans="1:141" s="116" customFormat="1">
      <c r="A57116" s="136"/>
      <c r="CM57116" s="111"/>
      <c r="CQ57116" s="111"/>
      <c r="EF57116"/>
      <c r="EG57116"/>
      <c r="EH57116"/>
      <c r="EI57116"/>
      <c r="EJ57116"/>
      <c r="EK57116"/>
    </row>
    <row r="57117" spans="1:141" s="116" customFormat="1">
      <c r="A57117" s="136"/>
      <c r="CM57117" s="111"/>
      <c r="CQ57117" s="111"/>
      <c r="EF57117"/>
      <c r="EG57117"/>
      <c r="EH57117"/>
      <c r="EI57117"/>
      <c r="EJ57117"/>
      <c r="EK57117"/>
    </row>
    <row r="57118" spans="1:141" s="116" customFormat="1">
      <c r="A57118" s="136"/>
      <c r="CM57118" s="111"/>
      <c r="CQ57118" s="111"/>
      <c r="EF57118"/>
      <c r="EG57118"/>
      <c r="EH57118"/>
      <c r="EI57118"/>
      <c r="EJ57118"/>
      <c r="EK57118"/>
    </row>
    <row r="57119" spans="1:141" s="116" customFormat="1">
      <c r="A57119" s="136"/>
      <c r="CM57119" s="111"/>
      <c r="CQ57119" s="111"/>
      <c r="EF57119"/>
      <c r="EG57119"/>
      <c r="EH57119"/>
      <c r="EI57119"/>
      <c r="EJ57119"/>
      <c r="EK57119"/>
    </row>
    <row r="57120" spans="1:141" s="116" customFormat="1">
      <c r="A57120" s="136"/>
      <c r="CM57120" s="111"/>
      <c r="CQ57120" s="111"/>
      <c r="EF57120"/>
      <c r="EG57120"/>
      <c r="EH57120"/>
      <c r="EI57120"/>
      <c r="EJ57120"/>
      <c r="EK57120"/>
    </row>
    <row r="57121" spans="1:141" s="116" customFormat="1">
      <c r="A57121" s="136"/>
      <c r="CM57121" s="111"/>
      <c r="CQ57121" s="111"/>
      <c r="EF57121"/>
      <c r="EG57121"/>
      <c r="EH57121"/>
      <c r="EI57121"/>
      <c r="EJ57121"/>
      <c r="EK57121"/>
    </row>
    <row r="57122" spans="1:141" s="116" customFormat="1">
      <c r="A57122" s="136"/>
      <c r="CM57122" s="111"/>
      <c r="CQ57122" s="111"/>
      <c r="EF57122"/>
      <c r="EG57122"/>
      <c r="EH57122"/>
      <c r="EI57122"/>
      <c r="EJ57122"/>
      <c r="EK57122"/>
    </row>
    <row r="57123" spans="1:141" s="116" customFormat="1">
      <c r="A57123" s="136"/>
      <c r="CM57123" s="111"/>
      <c r="CQ57123" s="111"/>
      <c r="EF57123"/>
      <c r="EG57123"/>
      <c r="EH57123"/>
      <c r="EI57123"/>
      <c r="EJ57123"/>
      <c r="EK57123"/>
    </row>
    <row r="57124" spans="1:141" s="116" customFormat="1">
      <c r="A57124" s="136"/>
      <c r="CM57124" s="111"/>
      <c r="CQ57124" s="111"/>
      <c r="EF57124"/>
      <c r="EG57124"/>
      <c r="EH57124"/>
      <c r="EI57124"/>
      <c r="EJ57124"/>
      <c r="EK57124"/>
    </row>
    <row r="57125" spans="1:141" s="116" customFormat="1">
      <c r="A57125" s="136"/>
      <c r="CM57125" s="111"/>
      <c r="CQ57125" s="111"/>
      <c r="EF57125"/>
      <c r="EG57125"/>
      <c r="EH57125"/>
      <c r="EI57125"/>
      <c r="EJ57125"/>
      <c r="EK57125"/>
    </row>
    <row r="57126" spans="1:141" s="116" customFormat="1">
      <c r="A57126" s="136"/>
      <c r="CM57126" s="111"/>
      <c r="CQ57126" s="111"/>
      <c r="EF57126"/>
      <c r="EG57126"/>
      <c r="EH57126"/>
      <c r="EI57126"/>
      <c r="EJ57126"/>
      <c r="EK57126"/>
    </row>
    <row r="57127" spans="1:141" s="116" customFormat="1">
      <c r="A57127" s="136"/>
      <c r="CM57127" s="111"/>
      <c r="CQ57127" s="111"/>
      <c r="EF57127"/>
      <c r="EG57127"/>
      <c r="EH57127"/>
      <c r="EI57127"/>
      <c r="EJ57127"/>
      <c r="EK57127"/>
    </row>
    <row r="57128" spans="1:141" s="116" customFormat="1">
      <c r="A57128" s="136"/>
      <c r="CM57128" s="111"/>
      <c r="CQ57128" s="111"/>
      <c r="EF57128"/>
      <c r="EG57128"/>
      <c r="EH57128"/>
      <c r="EI57128"/>
      <c r="EJ57128"/>
      <c r="EK57128"/>
    </row>
    <row r="57129" spans="1:141" s="116" customFormat="1">
      <c r="A57129" s="136"/>
      <c r="CM57129" s="111"/>
      <c r="CQ57129" s="111"/>
      <c r="EF57129"/>
      <c r="EG57129"/>
      <c r="EH57129"/>
      <c r="EI57129"/>
      <c r="EJ57129"/>
      <c r="EK57129"/>
    </row>
    <row r="57130" spans="1:141" s="116" customFormat="1">
      <c r="A57130" s="136"/>
      <c r="CM57130" s="111"/>
      <c r="CQ57130" s="111"/>
      <c r="EF57130"/>
      <c r="EG57130"/>
      <c r="EH57130"/>
      <c r="EI57130"/>
      <c r="EJ57130"/>
      <c r="EK57130"/>
    </row>
    <row r="57131" spans="1:141" s="116" customFormat="1">
      <c r="A57131" s="136"/>
      <c r="CM57131" s="111"/>
      <c r="CQ57131" s="111"/>
      <c r="EF57131"/>
      <c r="EG57131"/>
      <c r="EH57131"/>
      <c r="EI57131"/>
      <c r="EJ57131"/>
      <c r="EK57131"/>
    </row>
    <row r="57132" spans="1:141" s="116" customFormat="1">
      <c r="A57132" s="136"/>
      <c r="CM57132" s="111"/>
      <c r="CQ57132" s="111"/>
      <c r="EF57132"/>
      <c r="EG57132"/>
      <c r="EH57132"/>
      <c r="EI57132"/>
      <c r="EJ57132"/>
      <c r="EK57132"/>
    </row>
    <row r="57133" spans="1:141" s="116" customFormat="1">
      <c r="A57133" s="136"/>
      <c r="CM57133" s="111"/>
      <c r="CQ57133" s="111"/>
      <c r="EF57133"/>
      <c r="EG57133"/>
      <c r="EH57133"/>
      <c r="EI57133"/>
      <c r="EJ57133"/>
      <c r="EK57133"/>
    </row>
    <row r="57134" spans="1:141" s="116" customFormat="1">
      <c r="A57134" s="136"/>
      <c r="CM57134" s="111"/>
      <c r="CQ57134" s="111"/>
      <c r="EF57134"/>
      <c r="EG57134"/>
      <c r="EH57134"/>
      <c r="EI57134"/>
      <c r="EJ57134"/>
      <c r="EK57134"/>
    </row>
    <row r="57135" spans="1:141" s="116" customFormat="1">
      <c r="A57135" s="136"/>
      <c r="CM57135" s="111"/>
      <c r="CQ57135" s="111"/>
      <c r="EF57135"/>
      <c r="EG57135"/>
      <c r="EH57135"/>
      <c r="EI57135"/>
      <c r="EJ57135"/>
      <c r="EK57135"/>
    </row>
    <row r="57136" spans="1:141" s="116" customFormat="1">
      <c r="A57136" s="136"/>
      <c r="CM57136" s="111"/>
      <c r="CQ57136" s="111"/>
      <c r="EF57136"/>
      <c r="EG57136"/>
      <c r="EH57136"/>
      <c r="EI57136"/>
      <c r="EJ57136"/>
      <c r="EK57136"/>
    </row>
    <row r="57137" spans="1:141" s="116" customFormat="1">
      <c r="A57137" s="136"/>
      <c r="CM57137" s="111"/>
      <c r="CQ57137" s="111"/>
      <c r="EF57137"/>
      <c r="EG57137"/>
      <c r="EH57137"/>
      <c r="EI57137"/>
      <c r="EJ57137"/>
      <c r="EK57137"/>
    </row>
    <row r="57138" spans="1:141" s="116" customFormat="1">
      <c r="A57138" s="136"/>
      <c r="CM57138" s="111"/>
      <c r="CQ57138" s="111"/>
      <c r="EF57138"/>
      <c r="EG57138"/>
      <c r="EH57138"/>
      <c r="EI57138"/>
      <c r="EJ57138"/>
      <c r="EK57138"/>
    </row>
    <row r="57139" spans="1:141" s="116" customFormat="1">
      <c r="A57139" s="136"/>
      <c r="CM57139" s="111"/>
      <c r="CQ57139" s="111"/>
      <c r="EF57139"/>
      <c r="EG57139"/>
      <c r="EH57139"/>
      <c r="EI57139"/>
      <c r="EJ57139"/>
      <c r="EK57139"/>
    </row>
    <row r="57140" spans="1:141" s="116" customFormat="1">
      <c r="A57140" s="136"/>
      <c r="CM57140" s="111"/>
      <c r="CQ57140" s="111"/>
      <c r="EF57140"/>
      <c r="EG57140"/>
      <c r="EH57140"/>
      <c r="EI57140"/>
      <c r="EJ57140"/>
      <c r="EK57140"/>
    </row>
    <row r="57141" spans="1:141" s="116" customFormat="1">
      <c r="A57141" s="136"/>
      <c r="CM57141" s="111"/>
      <c r="CQ57141" s="111"/>
      <c r="EF57141"/>
      <c r="EG57141"/>
      <c r="EH57141"/>
      <c r="EI57141"/>
      <c r="EJ57141"/>
      <c r="EK57141"/>
    </row>
    <row r="57142" spans="1:141" s="116" customFormat="1">
      <c r="A57142" s="136"/>
      <c r="CM57142" s="111"/>
      <c r="CQ57142" s="111"/>
      <c r="EF57142"/>
      <c r="EG57142"/>
      <c r="EH57142"/>
      <c r="EI57142"/>
      <c r="EJ57142"/>
      <c r="EK57142"/>
    </row>
    <row r="57143" spans="1:141" s="116" customFormat="1">
      <c r="A57143" s="136"/>
      <c r="CM57143" s="111"/>
      <c r="CQ57143" s="111"/>
      <c r="EF57143"/>
      <c r="EG57143"/>
      <c r="EH57143"/>
      <c r="EI57143"/>
      <c r="EJ57143"/>
      <c r="EK57143"/>
    </row>
    <row r="57144" spans="1:141" s="116" customFormat="1">
      <c r="A57144" s="136"/>
      <c r="CM57144" s="111"/>
      <c r="CQ57144" s="111"/>
      <c r="EF57144"/>
      <c r="EG57144"/>
      <c r="EH57144"/>
      <c r="EI57144"/>
      <c r="EJ57144"/>
      <c r="EK57144"/>
    </row>
    <row r="57145" spans="1:141" s="116" customFormat="1">
      <c r="A57145" s="136"/>
      <c r="CM57145" s="111"/>
      <c r="CQ57145" s="111"/>
      <c r="EF57145"/>
      <c r="EG57145"/>
      <c r="EH57145"/>
      <c r="EI57145"/>
      <c r="EJ57145"/>
      <c r="EK57145"/>
    </row>
    <row r="57146" spans="1:141" s="116" customFormat="1">
      <c r="A57146" s="136"/>
      <c r="CM57146" s="111"/>
      <c r="CQ57146" s="111"/>
      <c r="EF57146"/>
      <c r="EG57146"/>
      <c r="EH57146"/>
      <c r="EI57146"/>
      <c r="EJ57146"/>
      <c r="EK57146"/>
    </row>
    <row r="57147" spans="1:141" s="116" customFormat="1">
      <c r="A57147" s="136"/>
      <c r="CM57147" s="111"/>
      <c r="CQ57147" s="111"/>
      <c r="EF57147"/>
      <c r="EG57147"/>
      <c r="EH57147"/>
      <c r="EI57147"/>
      <c r="EJ57147"/>
      <c r="EK57147"/>
    </row>
    <row r="57148" spans="1:141" s="116" customFormat="1">
      <c r="A57148" s="136"/>
      <c r="CM57148" s="111"/>
      <c r="CQ57148" s="111"/>
      <c r="EF57148"/>
      <c r="EG57148"/>
      <c r="EH57148"/>
      <c r="EI57148"/>
      <c r="EJ57148"/>
      <c r="EK57148"/>
    </row>
    <row r="57149" spans="1:141" s="116" customFormat="1">
      <c r="A57149" s="136"/>
      <c r="CM57149" s="111"/>
      <c r="CQ57149" s="111"/>
      <c r="EF57149"/>
      <c r="EG57149"/>
      <c r="EH57149"/>
      <c r="EI57149"/>
      <c r="EJ57149"/>
      <c r="EK57149"/>
    </row>
    <row r="57150" spans="1:141" s="116" customFormat="1">
      <c r="A57150" s="136"/>
      <c r="CM57150" s="111"/>
      <c r="CQ57150" s="111"/>
      <c r="EF57150"/>
      <c r="EG57150"/>
      <c r="EH57150"/>
      <c r="EI57150"/>
      <c r="EJ57150"/>
      <c r="EK57150"/>
    </row>
    <row r="57151" spans="1:141" s="116" customFormat="1">
      <c r="A57151" s="136"/>
      <c r="CM57151" s="111"/>
      <c r="CQ57151" s="111"/>
      <c r="EF57151"/>
      <c r="EG57151"/>
      <c r="EH57151"/>
      <c r="EI57151"/>
      <c r="EJ57151"/>
      <c r="EK57151"/>
    </row>
    <row r="57152" spans="1:141" s="116" customFormat="1">
      <c r="A57152" s="136"/>
      <c r="CM57152" s="111"/>
      <c r="CQ57152" s="111"/>
      <c r="EF57152"/>
      <c r="EG57152"/>
      <c r="EH57152"/>
      <c r="EI57152"/>
      <c r="EJ57152"/>
      <c r="EK57152"/>
    </row>
    <row r="57153" spans="1:141" s="116" customFormat="1">
      <c r="A57153" s="136"/>
      <c r="CM57153" s="111"/>
      <c r="CQ57153" s="111"/>
      <c r="EF57153"/>
      <c r="EG57153"/>
      <c r="EH57153"/>
      <c r="EI57153"/>
      <c r="EJ57153"/>
      <c r="EK57153"/>
    </row>
    <row r="57154" spans="1:141" s="116" customFormat="1">
      <c r="A57154" s="136"/>
      <c r="CM57154" s="111"/>
      <c r="CQ57154" s="111"/>
      <c r="EF57154"/>
      <c r="EG57154"/>
      <c r="EH57154"/>
      <c r="EI57154"/>
      <c r="EJ57154"/>
      <c r="EK57154"/>
    </row>
    <row r="57155" spans="1:141" s="116" customFormat="1">
      <c r="A57155" s="136"/>
      <c r="CM57155" s="111"/>
      <c r="CQ57155" s="111"/>
      <c r="EF57155"/>
      <c r="EG57155"/>
      <c r="EH57155"/>
      <c r="EI57155"/>
      <c r="EJ57155"/>
      <c r="EK57155"/>
    </row>
    <row r="57156" spans="1:141" s="116" customFormat="1">
      <c r="A57156" s="136"/>
      <c r="CM57156" s="111"/>
      <c r="CQ57156" s="111"/>
      <c r="EF57156"/>
      <c r="EG57156"/>
      <c r="EH57156"/>
      <c r="EI57156"/>
      <c r="EJ57156"/>
      <c r="EK57156"/>
    </row>
    <row r="57157" spans="1:141" s="116" customFormat="1">
      <c r="A57157" s="136"/>
      <c r="CM57157" s="111"/>
      <c r="CQ57157" s="111"/>
      <c r="EF57157"/>
      <c r="EG57157"/>
      <c r="EH57157"/>
      <c r="EI57157"/>
      <c r="EJ57157"/>
      <c r="EK57157"/>
    </row>
    <row r="57158" spans="1:141" s="116" customFormat="1">
      <c r="A57158" s="136"/>
      <c r="CM57158" s="111"/>
      <c r="CQ57158" s="111"/>
      <c r="EF57158"/>
      <c r="EG57158"/>
      <c r="EH57158"/>
      <c r="EI57158"/>
      <c r="EJ57158"/>
      <c r="EK57158"/>
    </row>
    <row r="57159" spans="1:141" s="116" customFormat="1">
      <c r="A57159" s="136"/>
      <c r="CM57159" s="111"/>
      <c r="CQ57159" s="111"/>
      <c r="EF57159"/>
      <c r="EG57159"/>
      <c r="EH57159"/>
      <c r="EI57159"/>
      <c r="EJ57159"/>
      <c r="EK57159"/>
    </row>
    <row r="57160" spans="1:141" s="116" customFormat="1">
      <c r="A57160" s="136"/>
      <c r="CM57160" s="111"/>
      <c r="CQ57160" s="111"/>
      <c r="EF57160"/>
      <c r="EG57160"/>
      <c r="EH57160"/>
      <c r="EI57160"/>
      <c r="EJ57160"/>
      <c r="EK57160"/>
    </row>
    <row r="57161" spans="1:141" s="116" customFormat="1">
      <c r="A57161" s="136"/>
      <c r="CM57161" s="111"/>
      <c r="CQ57161" s="111"/>
      <c r="EF57161"/>
      <c r="EG57161"/>
      <c r="EH57161"/>
      <c r="EI57161"/>
      <c r="EJ57161"/>
      <c r="EK57161"/>
    </row>
    <row r="57162" spans="1:141" s="116" customFormat="1">
      <c r="A57162" s="136"/>
      <c r="CM57162" s="111"/>
      <c r="CQ57162" s="111"/>
      <c r="EF57162"/>
      <c r="EG57162"/>
      <c r="EH57162"/>
      <c r="EI57162"/>
      <c r="EJ57162"/>
      <c r="EK57162"/>
    </row>
    <row r="57163" spans="1:141" s="116" customFormat="1">
      <c r="A57163" s="136"/>
      <c r="CM57163" s="111"/>
      <c r="CQ57163" s="111"/>
      <c r="EF57163"/>
      <c r="EG57163"/>
      <c r="EH57163"/>
      <c r="EI57163"/>
      <c r="EJ57163"/>
      <c r="EK57163"/>
    </row>
    <row r="57164" spans="1:141" s="116" customFormat="1">
      <c r="A57164" s="136"/>
      <c r="CM57164" s="111"/>
      <c r="CQ57164" s="111"/>
      <c r="EF57164"/>
      <c r="EG57164"/>
      <c r="EH57164"/>
      <c r="EI57164"/>
      <c r="EJ57164"/>
      <c r="EK57164"/>
    </row>
    <row r="57165" spans="1:141" s="116" customFormat="1">
      <c r="A57165" s="136"/>
      <c r="CM57165" s="111"/>
      <c r="CQ57165" s="111"/>
      <c r="EF57165"/>
      <c r="EG57165"/>
      <c r="EH57165"/>
      <c r="EI57165"/>
      <c r="EJ57165"/>
      <c r="EK57165"/>
    </row>
    <row r="57166" spans="1:141" s="116" customFormat="1">
      <c r="A57166" s="136"/>
      <c r="CM57166" s="111"/>
      <c r="CQ57166" s="111"/>
      <c r="EF57166"/>
      <c r="EG57166"/>
      <c r="EH57166"/>
      <c r="EI57166"/>
      <c r="EJ57166"/>
      <c r="EK57166"/>
    </row>
    <row r="57167" spans="1:141" s="116" customFormat="1">
      <c r="A57167" s="136"/>
      <c r="CM57167" s="111"/>
      <c r="CQ57167" s="111"/>
      <c r="EF57167"/>
      <c r="EG57167"/>
      <c r="EH57167"/>
      <c r="EI57167"/>
      <c r="EJ57167"/>
      <c r="EK57167"/>
    </row>
    <row r="57168" spans="1:141" s="116" customFormat="1">
      <c r="A57168" s="136"/>
      <c r="CM57168" s="111"/>
      <c r="CQ57168" s="111"/>
      <c r="EF57168"/>
      <c r="EG57168"/>
      <c r="EH57168"/>
      <c r="EI57168"/>
      <c r="EJ57168"/>
      <c r="EK57168"/>
    </row>
    <row r="57169" spans="1:141" s="116" customFormat="1">
      <c r="A57169" s="136"/>
      <c r="CM57169" s="111"/>
      <c r="CQ57169" s="111"/>
      <c r="EF57169"/>
      <c r="EG57169"/>
      <c r="EH57169"/>
      <c r="EI57169"/>
      <c r="EJ57169"/>
      <c r="EK57169"/>
    </row>
    <row r="57170" spans="1:141" s="116" customFormat="1">
      <c r="A57170" s="136"/>
      <c r="CM57170" s="111"/>
      <c r="CQ57170" s="111"/>
      <c r="EF57170"/>
      <c r="EG57170"/>
      <c r="EH57170"/>
      <c r="EI57170"/>
      <c r="EJ57170"/>
      <c r="EK57170"/>
    </row>
    <row r="57171" spans="1:141" s="116" customFormat="1">
      <c r="A57171" s="136"/>
      <c r="CM57171" s="111"/>
      <c r="CQ57171" s="111"/>
      <c r="EF57171"/>
      <c r="EG57171"/>
      <c r="EH57171"/>
      <c r="EI57171"/>
      <c r="EJ57171"/>
      <c r="EK57171"/>
    </row>
    <row r="57172" spans="1:141" s="116" customFormat="1">
      <c r="A57172" s="136"/>
      <c r="CM57172" s="111"/>
      <c r="CQ57172" s="111"/>
      <c r="EF57172"/>
      <c r="EG57172"/>
      <c r="EH57172"/>
      <c r="EI57172"/>
      <c r="EJ57172"/>
      <c r="EK57172"/>
    </row>
    <row r="57173" spans="1:141" s="116" customFormat="1">
      <c r="A57173" s="136"/>
      <c r="CM57173" s="111"/>
      <c r="CQ57173" s="111"/>
      <c r="EF57173"/>
      <c r="EG57173"/>
      <c r="EH57173"/>
      <c r="EI57173"/>
      <c r="EJ57173"/>
      <c r="EK57173"/>
    </row>
    <row r="57174" spans="1:141" s="116" customFormat="1">
      <c r="A57174" s="136"/>
      <c r="CM57174" s="111"/>
      <c r="CQ57174" s="111"/>
      <c r="EF57174"/>
      <c r="EG57174"/>
      <c r="EH57174"/>
      <c r="EI57174"/>
      <c r="EJ57174"/>
      <c r="EK57174"/>
    </row>
    <row r="57175" spans="1:141" s="116" customFormat="1">
      <c r="A57175" s="136"/>
      <c r="CM57175" s="111"/>
      <c r="CQ57175" s="111"/>
      <c r="EF57175"/>
      <c r="EG57175"/>
      <c r="EH57175"/>
      <c r="EI57175"/>
      <c r="EJ57175"/>
      <c r="EK57175"/>
    </row>
    <row r="57176" spans="1:141" s="116" customFormat="1">
      <c r="A57176" s="136"/>
      <c r="CM57176" s="111"/>
      <c r="CQ57176" s="111"/>
      <c r="EF57176"/>
      <c r="EG57176"/>
      <c r="EH57176"/>
      <c r="EI57176"/>
      <c r="EJ57176"/>
      <c r="EK57176"/>
    </row>
    <row r="57177" spans="1:141" s="116" customFormat="1">
      <c r="A57177" s="136"/>
      <c r="CM57177" s="111"/>
      <c r="CQ57177" s="111"/>
      <c r="EF57177"/>
      <c r="EG57177"/>
      <c r="EH57177"/>
      <c r="EI57177"/>
      <c r="EJ57177"/>
      <c r="EK57177"/>
    </row>
    <row r="57178" spans="1:141" s="116" customFormat="1">
      <c r="A57178" s="136"/>
      <c r="CM57178" s="111"/>
      <c r="CQ57178" s="111"/>
      <c r="EF57178"/>
      <c r="EG57178"/>
      <c r="EH57178"/>
      <c r="EI57178"/>
      <c r="EJ57178"/>
      <c r="EK57178"/>
    </row>
    <row r="57179" spans="1:141" s="116" customFormat="1">
      <c r="A57179" s="136"/>
      <c r="CM57179" s="111"/>
      <c r="CQ57179" s="111"/>
      <c r="EF57179"/>
      <c r="EG57179"/>
      <c r="EH57179"/>
      <c r="EI57179"/>
      <c r="EJ57179"/>
      <c r="EK57179"/>
    </row>
    <row r="57180" spans="1:141" s="116" customFormat="1">
      <c r="A57180" s="136"/>
      <c r="CM57180" s="111"/>
      <c r="CQ57180" s="111"/>
      <c r="EF57180"/>
      <c r="EG57180"/>
      <c r="EH57180"/>
      <c r="EI57180"/>
      <c r="EJ57180"/>
      <c r="EK57180"/>
    </row>
    <row r="57181" spans="1:141" s="116" customFormat="1">
      <c r="A57181" s="136"/>
      <c r="CM57181" s="111"/>
      <c r="CQ57181" s="111"/>
      <c r="EF57181"/>
      <c r="EG57181"/>
      <c r="EH57181"/>
      <c r="EI57181"/>
      <c r="EJ57181"/>
      <c r="EK57181"/>
    </row>
    <row r="57182" spans="1:141" s="116" customFormat="1">
      <c r="A57182" s="136"/>
      <c r="CM57182" s="111"/>
      <c r="CQ57182" s="111"/>
      <c r="EF57182"/>
      <c r="EG57182"/>
      <c r="EH57182"/>
      <c r="EI57182"/>
      <c r="EJ57182"/>
      <c r="EK57182"/>
    </row>
    <row r="57183" spans="1:141" s="116" customFormat="1">
      <c r="A57183" s="136"/>
      <c r="CM57183" s="111"/>
      <c r="CQ57183" s="111"/>
      <c r="EF57183"/>
      <c r="EG57183"/>
      <c r="EH57183"/>
      <c r="EI57183"/>
      <c r="EJ57183"/>
      <c r="EK57183"/>
    </row>
    <row r="57184" spans="1:141" s="116" customFormat="1">
      <c r="A57184" s="136"/>
      <c r="CM57184" s="111"/>
      <c r="CQ57184" s="111"/>
      <c r="EF57184"/>
      <c r="EG57184"/>
      <c r="EH57184"/>
      <c r="EI57184"/>
      <c r="EJ57184"/>
      <c r="EK57184"/>
    </row>
    <row r="57185" spans="1:141" s="116" customFormat="1">
      <c r="A57185" s="136"/>
      <c r="CM57185" s="111"/>
      <c r="CQ57185" s="111"/>
      <c r="EF57185"/>
      <c r="EG57185"/>
      <c r="EH57185"/>
      <c r="EI57185"/>
      <c r="EJ57185"/>
      <c r="EK57185"/>
    </row>
    <row r="57186" spans="1:141" s="116" customFormat="1">
      <c r="A57186" s="136"/>
      <c r="CM57186" s="111"/>
      <c r="CQ57186" s="111"/>
      <c r="EF57186"/>
      <c r="EG57186"/>
      <c r="EH57186"/>
      <c r="EI57186"/>
      <c r="EJ57186"/>
      <c r="EK57186"/>
    </row>
    <row r="57187" spans="1:141" s="116" customFormat="1">
      <c r="A57187" s="136"/>
      <c r="CM57187" s="111"/>
      <c r="CQ57187" s="111"/>
      <c r="EF57187"/>
      <c r="EG57187"/>
      <c r="EH57187"/>
      <c r="EI57187"/>
      <c r="EJ57187"/>
      <c r="EK57187"/>
    </row>
    <row r="57188" spans="1:141" s="116" customFormat="1">
      <c r="A57188" s="136"/>
      <c r="CM57188" s="111"/>
      <c r="CQ57188" s="111"/>
      <c r="EF57188"/>
      <c r="EG57188"/>
      <c r="EH57188"/>
      <c r="EI57188"/>
      <c r="EJ57188"/>
      <c r="EK57188"/>
    </row>
    <row r="57189" spans="1:141" s="116" customFormat="1">
      <c r="A57189" s="136"/>
      <c r="CM57189" s="111"/>
      <c r="CQ57189" s="111"/>
      <c r="EF57189"/>
      <c r="EG57189"/>
      <c r="EH57189"/>
      <c r="EI57189"/>
      <c r="EJ57189"/>
      <c r="EK57189"/>
    </row>
    <row r="57190" spans="1:141" s="116" customFormat="1">
      <c r="A57190" s="136"/>
      <c r="CM57190" s="111"/>
      <c r="CQ57190" s="111"/>
      <c r="EF57190"/>
      <c r="EG57190"/>
      <c r="EH57190"/>
      <c r="EI57190"/>
      <c r="EJ57190"/>
      <c r="EK57190"/>
    </row>
    <row r="57191" spans="1:141" s="116" customFormat="1">
      <c r="A57191" s="136"/>
      <c r="CM57191" s="111"/>
      <c r="CQ57191" s="111"/>
      <c r="EF57191"/>
      <c r="EG57191"/>
      <c r="EH57191"/>
      <c r="EI57191"/>
      <c r="EJ57191"/>
      <c r="EK57191"/>
    </row>
    <row r="57192" spans="1:141" s="116" customFormat="1">
      <c r="A57192" s="136"/>
      <c r="CM57192" s="111"/>
      <c r="CQ57192" s="111"/>
      <c r="EF57192"/>
      <c r="EG57192"/>
      <c r="EH57192"/>
      <c r="EI57192"/>
      <c r="EJ57192"/>
      <c r="EK57192"/>
    </row>
    <row r="57193" spans="1:141" s="116" customFormat="1">
      <c r="A57193" s="136"/>
      <c r="CM57193" s="111"/>
      <c r="CQ57193" s="111"/>
      <c r="EF57193"/>
      <c r="EG57193"/>
      <c r="EH57193"/>
      <c r="EI57193"/>
      <c r="EJ57193"/>
      <c r="EK57193"/>
    </row>
    <row r="57194" spans="1:141" s="116" customFormat="1">
      <c r="A57194" s="136"/>
      <c r="CM57194" s="111"/>
      <c r="CQ57194" s="111"/>
      <c r="EF57194"/>
      <c r="EG57194"/>
      <c r="EH57194"/>
      <c r="EI57194"/>
      <c r="EJ57194"/>
      <c r="EK57194"/>
    </row>
    <row r="57195" spans="1:141" s="116" customFormat="1">
      <c r="A57195" s="136"/>
      <c r="CM57195" s="111"/>
      <c r="CQ57195" s="111"/>
      <c r="EF57195"/>
      <c r="EG57195"/>
      <c r="EH57195"/>
      <c r="EI57195"/>
      <c r="EJ57195"/>
      <c r="EK57195"/>
    </row>
    <row r="57196" spans="1:141" s="116" customFormat="1">
      <c r="A57196" s="136"/>
      <c r="CM57196" s="111"/>
      <c r="CQ57196" s="111"/>
      <c r="EF57196"/>
      <c r="EG57196"/>
      <c r="EH57196"/>
      <c r="EI57196"/>
      <c r="EJ57196"/>
      <c r="EK57196"/>
    </row>
    <row r="57197" spans="1:141" s="116" customFormat="1">
      <c r="A57197" s="136"/>
      <c r="CM57197" s="111"/>
      <c r="CQ57197" s="111"/>
      <c r="EF57197"/>
      <c r="EG57197"/>
      <c r="EH57197"/>
      <c r="EI57197"/>
      <c r="EJ57197"/>
      <c r="EK57197"/>
    </row>
    <row r="57198" spans="1:141" s="116" customFormat="1">
      <c r="A57198" s="136"/>
      <c r="CM57198" s="111"/>
      <c r="CQ57198" s="111"/>
      <c r="EF57198"/>
      <c r="EG57198"/>
      <c r="EH57198"/>
      <c r="EI57198"/>
      <c r="EJ57198"/>
      <c r="EK57198"/>
    </row>
    <row r="57199" spans="1:141" s="116" customFormat="1">
      <c r="A57199" s="136"/>
      <c r="CM57199" s="111"/>
      <c r="CQ57199" s="111"/>
      <c r="EF57199"/>
      <c r="EG57199"/>
      <c r="EH57199"/>
      <c r="EI57199"/>
      <c r="EJ57199"/>
      <c r="EK57199"/>
    </row>
    <row r="57200" spans="1:141" s="116" customFormat="1">
      <c r="A57200" s="136"/>
      <c r="CM57200" s="111"/>
      <c r="CQ57200" s="111"/>
      <c r="EF57200"/>
      <c r="EG57200"/>
      <c r="EH57200"/>
      <c r="EI57200"/>
      <c r="EJ57200"/>
      <c r="EK57200"/>
    </row>
    <row r="57201" spans="1:141" s="116" customFormat="1">
      <c r="A57201" s="136"/>
      <c r="CM57201" s="111"/>
      <c r="CQ57201" s="111"/>
      <c r="EF57201"/>
      <c r="EG57201"/>
      <c r="EH57201"/>
      <c r="EI57201"/>
      <c r="EJ57201"/>
      <c r="EK57201"/>
    </row>
    <row r="57202" spans="1:141" s="116" customFormat="1">
      <c r="A57202" s="136"/>
      <c r="CM57202" s="111"/>
      <c r="CQ57202" s="111"/>
      <c r="EF57202"/>
      <c r="EG57202"/>
      <c r="EH57202"/>
      <c r="EI57202"/>
      <c r="EJ57202"/>
      <c r="EK57202"/>
    </row>
    <row r="57203" spans="1:141" s="116" customFormat="1">
      <c r="A57203" s="136"/>
      <c r="CM57203" s="111"/>
      <c r="CQ57203" s="111"/>
      <c r="EF57203"/>
      <c r="EG57203"/>
      <c r="EH57203"/>
      <c r="EI57203"/>
      <c r="EJ57203"/>
      <c r="EK57203"/>
    </row>
    <row r="57204" spans="1:141" s="116" customFormat="1">
      <c r="A57204" s="136"/>
      <c r="CM57204" s="111"/>
      <c r="CQ57204" s="111"/>
      <c r="EF57204"/>
      <c r="EG57204"/>
      <c r="EH57204"/>
      <c r="EI57204"/>
      <c r="EJ57204"/>
      <c r="EK57204"/>
    </row>
    <row r="57205" spans="1:141" s="116" customFormat="1">
      <c r="A57205" s="136"/>
      <c r="CM57205" s="111"/>
      <c r="CQ57205" s="111"/>
      <c r="EF57205"/>
      <c r="EG57205"/>
      <c r="EH57205"/>
      <c r="EI57205"/>
      <c r="EJ57205"/>
      <c r="EK57205"/>
    </row>
    <row r="57206" spans="1:141" s="116" customFormat="1">
      <c r="A57206" s="136"/>
      <c r="CM57206" s="111"/>
      <c r="CQ57206" s="111"/>
      <c r="EF57206"/>
      <c r="EG57206"/>
      <c r="EH57206"/>
      <c r="EI57206"/>
      <c r="EJ57206"/>
      <c r="EK57206"/>
    </row>
    <row r="57207" spans="1:141" s="116" customFormat="1">
      <c r="A57207" s="136"/>
      <c r="CM57207" s="111"/>
      <c r="CQ57207" s="111"/>
      <c r="EF57207"/>
      <c r="EG57207"/>
      <c r="EH57207"/>
      <c r="EI57207"/>
      <c r="EJ57207"/>
      <c r="EK57207"/>
    </row>
    <row r="57208" spans="1:141" s="116" customFormat="1">
      <c r="A57208" s="136"/>
      <c r="CM57208" s="111"/>
      <c r="CQ57208" s="111"/>
      <c r="EF57208"/>
      <c r="EG57208"/>
      <c r="EH57208"/>
      <c r="EI57208"/>
      <c r="EJ57208"/>
      <c r="EK57208"/>
    </row>
    <row r="57209" spans="1:141" s="116" customFormat="1">
      <c r="A57209" s="136"/>
      <c r="CM57209" s="111"/>
      <c r="CQ57209" s="111"/>
      <c r="EF57209"/>
      <c r="EG57209"/>
      <c r="EH57209"/>
      <c r="EI57209"/>
      <c r="EJ57209"/>
      <c r="EK57209"/>
    </row>
    <row r="57210" spans="1:141" s="116" customFormat="1">
      <c r="A57210" s="136"/>
      <c r="CM57210" s="111"/>
      <c r="CQ57210" s="111"/>
      <c r="EF57210"/>
      <c r="EG57210"/>
      <c r="EH57210"/>
      <c r="EI57210"/>
      <c r="EJ57210"/>
      <c r="EK57210"/>
    </row>
    <row r="57211" spans="1:141" s="116" customFormat="1">
      <c r="A57211" s="136"/>
      <c r="CM57211" s="111"/>
      <c r="CQ57211" s="111"/>
      <c r="EF57211"/>
      <c r="EG57211"/>
      <c r="EH57211"/>
      <c r="EI57211"/>
      <c r="EJ57211"/>
      <c r="EK57211"/>
    </row>
    <row r="57212" spans="1:141" s="116" customFormat="1">
      <c r="A57212" s="136"/>
      <c r="CM57212" s="111"/>
      <c r="CQ57212" s="111"/>
      <c r="EF57212"/>
      <c r="EG57212"/>
      <c r="EH57212"/>
      <c r="EI57212"/>
      <c r="EJ57212"/>
      <c r="EK57212"/>
    </row>
    <row r="57213" spans="1:141" s="116" customFormat="1">
      <c r="A57213" s="136"/>
      <c r="CM57213" s="111"/>
      <c r="CQ57213" s="111"/>
      <c r="EF57213"/>
      <c r="EG57213"/>
      <c r="EH57213"/>
      <c r="EI57213"/>
      <c r="EJ57213"/>
      <c r="EK57213"/>
    </row>
    <row r="57214" spans="1:141" s="116" customFormat="1">
      <c r="A57214" s="136"/>
      <c r="CM57214" s="111"/>
      <c r="CQ57214" s="111"/>
      <c r="EF57214"/>
      <c r="EG57214"/>
      <c r="EH57214"/>
      <c r="EI57214"/>
      <c r="EJ57214"/>
      <c r="EK57214"/>
    </row>
    <row r="57215" spans="1:141" s="116" customFormat="1">
      <c r="A57215" s="136"/>
      <c r="CM57215" s="111"/>
      <c r="CQ57215" s="111"/>
      <c r="EF57215"/>
      <c r="EG57215"/>
      <c r="EH57215"/>
      <c r="EI57215"/>
      <c r="EJ57215"/>
      <c r="EK57215"/>
    </row>
    <row r="57216" spans="1:141" s="116" customFormat="1">
      <c r="A57216" s="136"/>
      <c r="CM57216" s="111"/>
      <c r="CQ57216" s="111"/>
      <c r="EF57216"/>
      <c r="EG57216"/>
      <c r="EH57216"/>
      <c r="EI57216"/>
      <c r="EJ57216"/>
      <c r="EK57216"/>
    </row>
    <row r="57217" spans="1:141" s="116" customFormat="1">
      <c r="A57217" s="136"/>
      <c r="CM57217" s="111"/>
      <c r="CQ57217" s="111"/>
      <c r="EF57217"/>
      <c r="EG57217"/>
      <c r="EH57217"/>
      <c r="EI57217"/>
      <c r="EJ57217"/>
      <c r="EK57217"/>
    </row>
    <row r="57218" spans="1:141" s="116" customFormat="1">
      <c r="A57218" s="136"/>
      <c r="CM57218" s="111"/>
      <c r="CQ57218" s="111"/>
      <c r="EF57218"/>
      <c r="EG57218"/>
      <c r="EH57218"/>
      <c r="EI57218"/>
      <c r="EJ57218"/>
      <c r="EK57218"/>
    </row>
    <row r="57219" spans="1:141" s="116" customFormat="1">
      <c r="A57219" s="136"/>
      <c r="CM57219" s="111"/>
      <c r="CQ57219" s="111"/>
      <c r="EF57219"/>
      <c r="EG57219"/>
      <c r="EH57219"/>
      <c r="EI57219"/>
      <c r="EJ57219"/>
      <c r="EK57219"/>
    </row>
    <row r="57220" spans="1:141" s="116" customFormat="1">
      <c r="A57220" s="136"/>
      <c r="CM57220" s="111"/>
      <c r="CQ57220" s="111"/>
      <c r="EF57220"/>
      <c r="EG57220"/>
      <c r="EH57220"/>
      <c r="EI57220"/>
      <c r="EJ57220"/>
      <c r="EK57220"/>
    </row>
    <row r="57221" spans="1:141" s="116" customFormat="1">
      <c r="A57221" s="136"/>
      <c r="CM57221" s="111"/>
      <c r="CQ57221" s="111"/>
      <c r="EF57221"/>
      <c r="EG57221"/>
      <c r="EH57221"/>
      <c r="EI57221"/>
      <c r="EJ57221"/>
      <c r="EK57221"/>
    </row>
    <row r="57222" spans="1:141" s="116" customFormat="1">
      <c r="A57222" s="136"/>
      <c r="CM57222" s="111"/>
      <c r="CQ57222" s="111"/>
      <c r="EF57222"/>
      <c r="EG57222"/>
      <c r="EH57222"/>
      <c r="EI57222"/>
      <c r="EJ57222"/>
      <c r="EK57222"/>
    </row>
    <row r="57223" spans="1:141" s="116" customFormat="1">
      <c r="A57223" s="136"/>
      <c r="CM57223" s="111"/>
      <c r="CQ57223" s="111"/>
      <c r="EF57223"/>
      <c r="EG57223"/>
      <c r="EH57223"/>
      <c r="EI57223"/>
      <c r="EJ57223"/>
      <c r="EK57223"/>
    </row>
    <row r="57224" spans="1:141" s="116" customFormat="1">
      <c r="A57224" s="136"/>
      <c r="CM57224" s="111"/>
      <c r="CQ57224" s="111"/>
      <c r="EF57224"/>
      <c r="EG57224"/>
      <c r="EH57224"/>
      <c r="EI57224"/>
      <c r="EJ57224"/>
      <c r="EK57224"/>
    </row>
    <row r="57225" spans="1:141" s="116" customFormat="1">
      <c r="A57225" s="136"/>
      <c r="CM57225" s="111"/>
      <c r="CQ57225" s="111"/>
      <c r="EF57225"/>
      <c r="EG57225"/>
      <c r="EH57225"/>
      <c r="EI57225"/>
      <c r="EJ57225"/>
      <c r="EK57225"/>
    </row>
    <row r="57226" spans="1:141" s="116" customFormat="1">
      <c r="A57226" s="136"/>
      <c r="CM57226" s="111"/>
      <c r="CQ57226" s="111"/>
      <c r="EF57226"/>
      <c r="EG57226"/>
      <c r="EH57226"/>
      <c r="EI57226"/>
      <c r="EJ57226"/>
      <c r="EK57226"/>
    </row>
    <row r="57227" spans="1:141" s="116" customFormat="1">
      <c r="A57227" s="136"/>
      <c r="CM57227" s="111"/>
      <c r="CQ57227" s="111"/>
      <c r="EF57227"/>
      <c r="EG57227"/>
      <c r="EH57227"/>
      <c r="EI57227"/>
      <c r="EJ57227"/>
      <c r="EK57227"/>
    </row>
    <row r="57228" spans="1:141" s="116" customFormat="1">
      <c r="A57228" s="136"/>
      <c r="CM57228" s="111"/>
      <c r="CQ57228" s="111"/>
      <c r="EF57228"/>
      <c r="EG57228"/>
      <c r="EH57228"/>
      <c r="EI57228"/>
      <c r="EJ57228"/>
      <c r="EK57228"/>
    </row>
    <row r="57229" spans="1:141" s="116" customFormat="1">
      <c r="A57229" s="136"/>
      <c r="CM57229" s="111"/>
      <c r="CQ57229" s="111"/>
      <c r="EF57229"/>
      <c r="EG57229"/>
      <c r="EH57229"/>
      <c r="EI57229"/>
      <c r="EJ57229"/>
      <c r="EK57229"/>
    </row>
    <row r="57230" spans="1:141" s="116" customFormat="1">
      <c r="A57230" s="136"/>
      <c r="CM57230" s="111"/>
      <c r="CQ57230" s="111"/>
      <c r="EF57230"/>
      <c r="EG57230"/>
      <c r="EH57230"/>
      <c r="EI57230"/>
      <c r="EJ57230"/>
      <c r="EK57230"/>
    </row>
    <row r="57231" spans="1:141" s="116" customFormat="1">
      <c r="A57231" s="136"/>
      <c r="CM57231" s="111"/>
      <c r="CQ57231" s="111"/>
      <c r="EF57231"/>
      <c r="EG57231"/>
      <c r="EH57231"/>
      <c r="EI57231"/>
      <c r="EJ57231"/>
      <c r="EK57231"/>
    </row>
    <row r="57232" spans="1:141" s="116" customFormat="1">
      <c r="A57232" s="136"/>
      <c r="CM57232" s="111"/>
      <c r="CQ57232" s="111"/>
      <c r="EF57232"/>
      <c r="EG57232"/>
      <c r="EH57232"/>
      <c r="EI57232"/>
      <c r="EJ57232"/>
      <c r="EK57232"/>
    </row>
    <row r="57233" spans="1:141" s="116" customFormat="1">
      <c r="A57233" s="136"/>
      <c r="CM57233" s="111"/>
      <c r="CQ57233" s="111"/>
      <c r="EF57233"/>
      <c r="EG57233"/>
      <c r="EH57233"/>
      <c r="EI57233"/>
      <c r="EJ57233"/>
      <c r="EK57233"/>
    </row>
    <row r="57234" spans="1:141" s="116" customFormat="1">
      <c r="A57234" s="136"/>
      <c r="CM57234" s="111"/>
      <c r="CQ57234" s="111"/>
      <c r="EF57234"/>
      <c r="EG57234"/>
      <c r="EH57234"/>
      <c r="EI57234"/>
      <c r="EJ57234"/>
      <c r="EK57234"/>
    </row>
    <row r="57235" spans="1:141" s="116" customFormat="1">
      <c r="A57235" s="136"/>
      <c r="CM57235" s="111"/>
      <c r="CQ57235" s="111"/>
      <c r="EF57235"/>
      <c r="EG57235"/>
      <c r="EH57235"/>
      <c r="EI57235"/>
      <c r="EJ57235"/>
      <c r="EK57235"/>
    </row>
    <row r="57236" spans="1:141" s="116" customFormat="1">
      <c r="A57236" s="136"/>
      <c r="CM57236" s="111"/>
      <c r="CQ57236" s="111"/>
      <c r="EF57236"/>
      <c r="EG57236"/>
      <c r="EH57236"/>
      <c r="EI57236"/>
      <c r="EJ57236"/>
      <c r="EK57236"/>
    </row>
    <row r="57237" spans="1:141" s="116" customFormat="1">
      <c r="A57237" s="136"/>
      <c r="CM57237" s="111"/>
      <c r="CQ57237" s="111"/>
      <c r="EF57237"/>
      <c r="EG57237"/>
      <c r="EH57237"/>
      <c r="EI57237"/>
      <c r="EJ57237"/>
      <c r="EK57237"/>
    </row>
    <row r="57238" spans="1:141" s="116" customFormat="1">
      <c r="A57238" s="136"/>
      <c r="CM57238" s="111"/>
      <c r="CQ57238" s="111"/>
      <c r="EF57238"/>
      <c r="EG57238"/>
      <c r="EH57238"/>
      <c r="EI57238"/>
      <c r="EJ57238"/>
      <c r="EK57238"/>
    </row>
    <row r="57239" spans="1:141" s="116" customFormat="1">
      <c r="A57239" s="136"/>
      <c r="CM57239" s="111"/>
      <c r="CQ57239" s="111"/>
      <c r="EF57239"/>
      <c r="EG57239"/>
      <c r="EH57239"/>
      <c r="EI57239"/>
      <c r="EJ57239"/>
      <c r="EK57239"/>
    </row>
    <row r="57240" spans="1:141" s="116" customFormat="1">
      <c r="A57240" s="136"/>
      <c r="CM57240" s="111"/>
      <c r="CQ57240" s="111"/>
      <c r="EF57240"/>
      <c r="EG57240"/>
      <c r="EH57240"/>
      <c r="EI57240"/>
      <c r="EJ57240"/>
      <c r="EK57240"/>
    </row>
    <row r="57241" spans="1:141" s="116" customFormat="1">
      <c r="A57241" s="136"/>
      <c r="CM57241" s="111"/>
      <c r="CQ57241" s="111"/>
      <c r="EF57241"/>
      <c r="EG57241"/>
      <c r="EH57241"/>
      <c r="EI57241"/>
      <c r="EJ57241"/>
      <c r="EK57241"/>
    </row>
    <row r="57242" spans="1:141" s="116" customFormat="1">
      <c r="A57242" s="136"/>
      <c r="CM57242" s="111"/>
      <c r="CQ57242" s="111"/>
      <c r="EF57242"/>
      <c r="EG57242"/>
      <c r="EH57242"/>
      <c r="EI57242"/>
      <c r="EJ57242"/>
      <c r="EK57242"/>
    </row>
    <row r="57243" spans="1:141" s="116" customFormat="1">
      <c r="A57243" s="136"/>
      <c r="CM57243" s="111"/>
      <c r="CQ57243" s="111"/>
      <c r="EF57243"/>
      <c r="EG57243"/>
      <c r="EH57243"/>
      <c r="EI57243"/>
      <c r="EJ57243"/>
      <c r="EK57243"/>
    </row>
    <row r="57244" spans="1:141" s="116" customFormat="1">
      <c r="A57244" s="136"/>
      <c r="CM57244" s="111"/>
      <c r="CQ57244" s="111"/>
      <c r="EF57244"/>
      <c r="EG57244"/>
      <c r="EH57244"/>
      <c r="EI57244"/>
      <c r="EJ57244"/>
      <c r="EK57244"/>
    </row>
    <row r="57245" spans="1:141" s="116" customFormat="1">
      <c r="A57245" s="136"/>
      <c r="CM57245" s="111"/>
      <c r="CQ57245" s="111"/>
      <c r="EF57245"/>
      <c r="EG57245"/>
      <c r="EH57245"/>
      <c r="EI57245"/>
      <c r="EJ57245"/>
      <c r="EK57245"/>
    </row>
    <row r="57246" spans="1:141" s="116" customFormat="1">
      <c r="A57246" s="136"/>
      <c r="CM57246" s="111"/>
      <c r="CQ57246" s="111"/>
      <c r="EF57246"/>
      <c r="EG57246"/>
      <c r="EH57246"/>
      <c r="EI57246"/>
      <c r="EJ57246"/>
      <c r="EK57246"/>
    </row>
    <row r="57247" spans="1:141" s="116" customFormat="1">
      <c r="A57247" s="136"/>
      <c r="CM57247" s="111"/>
      <c r="CQ57247" s="111"/>
      <c r="EF57247"/>
      <c r="EG57247"/>
      <c r="EH57247"/>
      <c r="EI57247"/>
      <c r="EJ57247"/>
      <c r="EK57247"/>
    </row>
    <row r="57248" spans="1:141" s="116" customFormat="1">
      <c r="A57248" s="136"/>
      <c r="CM57248" s="111"/>
      <c r="CQ57248" s="111"/>
      <c r="EF57248"/>
      <c r="EG57248"/>
      <c r="EH57248"/>
      <c r="EI57248"/>
      <c r="EJ57248"/>
      <c r="EK57248"/>
    </row>
    <row r="57249" spans="1:141" s="116" customFormat="1">
      <c r="A57249" s="136"/>
      <c r="CM57249" s="111"/>
      <c r="CQ57249" s="111"/>
      <c r="EF57249"/>
      <c r="EG57249"/>
      <c r="EH57249"/>
      <c r="EI57249"/>
      <c r="EJ57249"/>
      <c r="EK57249"/>
    </row>
    <row r="57250" spans="1:141" s="116" customFormat="1">
      <c r="A57250" s="136"/>
      <c r="CM57250" s="111"/>
      <c r="CQ57250" s="111"/>
      <c r="EF57250"/>
      <c r="EG57250"/>
      <c r="EH57250"/>
      <c r="EI57250"/>
      <c r="EJ57250"/>
      <c r="EK57250"/>
    </row>
    <row r="57251" spans="1:141" s="116" customFormat="1">
      <c r="A57251" s="136"/>
      <c r="CM57251" s="111"/>
      <c r="CQ57251" s="111"/>
      <c r="EF57251"/>
      <c r="EG57251"/>
      <c r="EH57251"/>
      <c r="EI57251"/>
      <c r="EJ57251"/>
      <c r="EK57251"/>
    </row>
    <row r="57252" spans="1:141" s="116" customFormat="1">
      <c r="A57252" s="136"/>
      <c r="CM57252" s="111"/>
      <c r="CQ57252" s="111"/>
      <c r="EF57252"/>
      <c r="EG57252"/>
      <c r="EH57252"/>
      <c r="EI57252"/>
      <c r="EJ57252"/>
      <c r="EK57252"/>
    </row>
    <row r="57253" spans="1:141" s="116" customFormat="1">
      <c r="A57253" s="136"/>
      <c r="CM57253" s="111"/>
      <c r="CQ57253" s="111"/>
      <c r="EF57253"/>
      <c r="EG57253"/>
      <c r="EH57253"/>
      <c r="EI57253"/>
      <c r="EJ57253"/>
      <c r="EK57253"/>
    </row>
    <row r="57254" spans="1:141" s="116" customFormat="1">
      <c r="A57254" s="136"/>
      <c r="CM57254" s="111"/>
      <c r="CQ57254" s="111"/>
      <c r="EF57254"/>
      <c r="EG57254"/>
      <c r="EH57254"/>
      <c r="EI57254"/>
      <c r="EJ57254"/>
      <c r="EK57254"/>
    </row>
    <row r="57255" spans="1:141" s="116" customFormat="1">
      <c r="A57255" s="136"/>
      <c r="CM57255" s="111"/>
      <c r="CQ57255" s="111"/>
      <c r="EF57255"/>
      <c r="EG57255"/>
      <c r="EH57255"/>
      <c r="EI57255"/>
      <c r="EJ57255"/>
      <c r="EK57255"/>
    </row>
    <row r="57256" spans="1:141" s="116" customFormat="1">
      <c r="A57256" s="136"/>
      <c r="CM57256" s="111"/>
      <c r="CQ57256" s="111"/>
      <c r="EF57256"/>
      <c r="EG57256"/>
      <c r="EH57256"/>
      <c r="EI57256"/>
      <c r="EJ57256"/>
      <c r="EK57256"/>
    </row>
    <row r="57257" spans="1:141" s="116" customFormat="1">
      <c r="A57257" s="136"/>
      <c r="CM57257" s="111"/>
      <c r="CQ57257" s="111"/>
      <c r="EF57257"/>
      <c r="EG57257"/>
      <c r="EH57257"/>
      <c r="EI57257"/>
      <c r="EJ57257"/>
      <c r="EK57257"/>
    </row>
    <row r="57258" spans="1:141" s="116" customFormat="1">
      <c r="A57258" s="136"/>
      <c r="CM57258" s="111"/>
      <c r="CQ57258" s="111"/>
      <c r="EF57258"/>
      <c r="EG57258"/>
      <c r="EH57258"/>
      <c r="EI57258"/>
      <c r="EJ57258"/>
      <c r="EK57258"/>
    </row>
    <row r="57259" spans="1:141" s="116" customFormat="1">
      <c r="A57259" s="136"/>
      <c r="CM57259" s="111"/>
      <c r="CQ57259" s="111"/>
      <c r="EF57259"/>
      <c r="EG57259"/>
      <c r="EH57259"/>
      <c r="EI57259"/>
      <c r="EJ57259"/>
      <c r="EK57259"/>
    </row>
    <row r="57260" spans="1:141" s="116" customFormat="1">
      <c r="A57260" s="136"/>
      <c r="CM57260" s="111"/>
      <c r="CQ57260" s="111"/>
      <c r="EF57260"/>
      <c r="EG57260"/>
      <c r="EH57260"/>
      <c r="EI57260"/>
      <c r="EJ57260"/>
      <c r="EK57260"/>
    </row>
    <row r="57261" spans="1:141" s="116" customFormat="1">
      <c r="A57261" s="136"/>
      <c r="CM57261" s="111"/>
      <c r="CQ57261" s="111"/>
      <c r="EF57261"/>
      <c r="EG57261"/>
      <c r="EH57261"/>
      <c r="EI57261"/>
      <c r="EJ57261"/>
      <c r="EK57261"/>
    </row>
    <row r="57262" spans="1:141" s="116" customFormat="1">
      <c r="A57262" s="136"/>
      <c r="CM57262" s="111"/>
      <c r="CQ57262" s="111"/>
      <c r="EF57262"/>
      <c r="EG57262"/>
      <c r="EH57262"/>
      <c r="EI57262"/>
      <c r="EJ57262"/>
      <c r="EK57262"/>
    </row>
    <row r="57263" spans="1:141" s="116" customFormat="1">
      <c r="A57263" s="136"/>
      <c r="CM57263" s="111"/>
      <c r="CQ57263" s="111"/>
      <c r="EF57263"/>
      <c r="EG57263"/>
      <c r="EH57263"/>
      <c r="EI57263"/>
      <c r="EJ57263"/>
      <c r="EK57263"/>
    </row>
    <row r="57264" spans="1:141" s="116" customFormat="1">
      <c r="A57264" s="136"/>
      <c r="CM57264" s="111"/>
      <c r="CQ57264" s="111"/>
      <c r="EF57264"/>
      <c r="EG57264"/>
      <c r="EH57264"/>
      <c r="EI57264"/>
      <c r="EJ57264"/>
      <c r="EK57264"/>
    </row>
    <row r="57265" spans="1:141" s="116" customFormat="1">
      <c r="A57265" s="136"/>
      <c r="CM57265" s="111"/>
      <c r="CQ57265" s="111"/>
      <c r="EF57265"/>
      <c r="EG57265"/>
      <c r="EH57265"/>
      <c r="EI57265"/>
      <c r="EJ57265"/>
      <c r="EK57265"/>
    </row>
    <row r="57266" spans="1:141" s="116" customFormat="1">
      <c r="A57266" s="136"/>
      <c r="CM57266" s="111"/>
      <c r="CQ57266" s="111"/>
      <c r="EF57266"/>
      <c r="EG57266"/>
      <c r="EH57266"/>
      <c r="EI57266"/>
      <c r="EJ57266"/>
      <c r="EK57266"/>
    </row>
    <row r="57267" spans="1:141" s="116" customFormat="1">
      <c r="A57267" s="136"/>
      <c r="CM57267" s="111"/>
      <c r="CQ57267" s="111"/>
      <c r="EF57267"/>
      <c r="EG57267"/>
      <c r="EH57267"/>
      <c r="EI57267"/>
      <c r="EJ57267"/>
      <c r="EK57267"/>
    </row>
    <row r="57268" spans="1:141" s="116" customFormat="1">
      <c r="A57268" s="136"/>
      <c r="CM57268" s="111"/>
      <c r="CQ57268" s="111"/>
      <c r="EF57268"/>
      <c r="EG57268"/>
      <c r="EH57268"/>
      <c r="EI57268"/>
      <c r="EJ57268"/>
      <c r="EK57268"/>
    </row>
    <row r="57269" spans="1:141" s="116" customFormat="1">
      <c r="A57269" s="136"/>
      <c r="CM57269" s="111"/>
      <c r="CQ57269" s="111"/>
      <c r="EF57269"/>
      <c r="EG57269"/>
      <c r="EH57269"/>
      <c r="EI57269"/>
      <c r="EJ57269"/>
      <c r="EK57269"/>
    </row>
    <row r="57270" spans="1:141" s="116" customFormat="1">
      <c r="A57270" s="136"/>
      <c r="CM57270" s="111"/>
      <c r="CQ57270" s="111"/>
      <c r="EF57270"/>
      <c r="EG57270"/>
      <c r="EH57270"/>
      <c r="EI57270"/>
      <c r="EJ57270"/>
      <c r="EK57270"/>
    </row>
    <row r="57271" spans="1:141" s="116" customFormat="1">
      <c r="A57271" s="136"/>
      <c r="CM57271" s="111"/>
      <c r="CQ57271" s="111"/>
      <c r="EF57271"/>
      <c r="EG57271"/>
      <c r="EH57271"/>
      <c r="EI57271"/>
      <c r="EJ57271"/>
      <c r="EK57271"/>
    </row>
    <row r="57272" spans="1:141" s="116" customFormat="1">
      <c r="A57272" s="136"/>
      <c r="CM57272" s="111"/>
      <c r="CQ57272" s="111"/>
      <c r="EF57272"/>
      <c r="EG57272"/>
      <c r="EH57272"/>
      <c r="EI57272"/>
      <c r="EJ57272"/>
      <c r="EK57272"/>
    </row>
    <row r="57273" spans="1:141" s="116" customFormat="1">
      <c r="A57273" s="136"/>
      <c r="CM57273" s="111"/>
      <c r="CQ57273" s="111"/>
      <c r="EF57273"/>
      <c r="EG57273"/>
      <c r="EH57273"/>
      <c r="EI57273"/>
      <c r="EJ57273"/>
      <c r="EK57273"/>
    </row>
    <row r="57274" spans="1:141" s="116" customFormat="1">
      <c r="A57274" s="136"/>
      <c r="CM57274" s="111"/>
      <c r="CQ57274" s="111"/>
      <c r="EF57274"/>
      <c r="EG57274"/>
      <c r="EH57274"/>
      <c r="EI57274"/>
      <c r="EJ57274"/>
      <c r="EK57274"/>
    </row>
    <row r="57275" spans="1:141" s="116" customFormat="1">
      <c r="A57275" s="136"/>
      <c r="CM57275" s="111"/>
      <c r="CQ57275" s="111"/>
      <c r="EF57275"/>
      <c r="EG57275"/>
      <c r="EH57275"/>
      <c r="EI57275"/>
      <c r="EJ57275"/>
      <c r="EK57275"/>
    </row>
    <row r="57276" spans="1:141" s="116" customFormat="1">
      <c r="A57276" s="136"/>
      <c r="CM57276" s="111"/>
      <c r="CQ57276" s="111"/>
      <c r="EF57276"/>
      <c r="EG57276"/>
      <c r="EH57276"/>
      <c r="EI57276"/>
      <c r="EJ57276"/>
      <c r="EK57276"/>
    </row>
    <row r="57277" spans="1:141" s="116" customFormat="1">
      <c r="A57277" s="136"/>
      <c r="CM57277" s="111"/>
      <c r="CQ57277" s="111"/>
      <c r="EF57277"/>
      <c r="EG57277"/>
      <c r="EH57277"/>
      <c r="EI57277"/>
      <c r="EJ57277"/>
      <c r="EK57277"/>
    </row>
    <row r="57278" spans="1:141" s="116" customFormat="1">
      <c r="A57278" s="136"/>
      <c r="CM57278" s="111"/>
      <c r="CQ57278" s="111"/>
      <c r="EF57278"/>
      <c r="EG57278"/>
      <c r="EH57278"/>
      <c r="EI57278"/>
      <c r="EJ57278"/>
      <c r="EK57278"/>
    </row>
    <row r="57279" spans="1:141" s="116" customFormat="1">
      <c r="A57279" s="136"/>
      <c r="CM57279" s="111"/>
      <c r="CQ57279" s="111"/>
      <c r="EF57279"/>
      <c r="EG57279"/>
      <c r="EH57279"/>
      <c r="EI57279"/>
      <c r="EJ57279"/>
      <c r="EK57279"/>
    </row>
    <row r="57280" spans="1:141" s="116" customFormat="1">
      <c r="A57280" s="136"/>
      <c r="CM57280" s="111"/>
      <c r="CQ57280" s="111"/>
      <c r="EF57280"/>
      <c r="EG57280"/>
      <c r="EH57280"/>
      <c r="EI57280"/>
      <c r="EJ57280"/>
      <c r="EK57280"/>
    </row>
    <row r="57281" spans="1:141" s="116" customFormat="1">
      <c r="A57281" s="136"/>
      <c r="CM57281" s="111"/>
      <c r="CQ57281" s="111"/>
      <c r="EF57281"/>
      <c r="EG57281"/>
      <c r="EH57281"/>
      <c r="EI57281"/>
      <c r="EJ57281"/>
      <c r="EK57281"/>
    </row>
    <row r="57282" spans="1:141" s="116" customFormat="1">
      <c r="A57282" s="136"/>
      <c r="CM57282" s="111"/>
      <c r="CQ57282" s="111"/>
      <c r="EF57282"/>
      <c r="EG57282"/>
      <c r="EH57282"/>
      <c r="EI57282"/>
      <c r="EJ57282"/>
      <c r="EK57282"/>
    </row>
    <row r="57283" spans="1:141" s="116" customFormat="1">
      <c r="A57283" s="136"/>
      <c r="CM57283" s="111"/>
      <c r="CQ57283" s="111"/>
      <c r="EF57283"/>
      <c r="EG57283"/>
      <c r="EH57283"/>
      <c r="EI57283"/>
      <c r="EJ57283"/>
      <c r="EK57283"/>
    </row>
    <row r="57284" spans="1:141" s="116" customFormat="1">
      <c r="A57284" s="136"/>
      <c r="CM57284" s="111"/>
      <c r="CQ57284" s="111"/>
      <c r="EF57284"/>
      <c r="EG57284"/>
      <c r="EH57284"/>
      <c r="EI57284"/>
      <c r="EJ57284"/>
      <c r="EK57284"/>
    </row>
    <row r="57285" spans="1:141" s="116" customFormat="1">
      <c r="A57285" s="136"/>
      <c r="CM57285" s="111"/>
      <c r="CQ57285" s="111"/>
      <c r="EF57285"/>
      <c r="EG57285"/>
      <c r="EH57285"/>
      <c r="EI57285"/>
      <c r="EJ57285"/>
      <c r="EK57285"/>
    </row>
    <row r="57286" spans="1:141" s="116" customFormat="1">
      <c r="A57286" s="136"/>
      <c r="CM57286" s="111"/>
      <c r="CQ57286" s="111"/>
      <c r="EF57286"/>
      <c r="EG57286"/>
      <c r="EH57286"/>
      <c r="EI57286"/>
      <c r="EJ57286"/>
      <c r="EK57286"/>
    </row>
    <row r="57287" spans="1:141" s="116" customFormat="1">
      <c r="A57287" s="136"/>
      <c r="CM57287" s="111"/>
      <c r="CQ57287" s="111"/>
      <c r="EF57287"/>
      <c r="EG57287"/>
      <c r="EH57287"/>
      <c r="EI57287"/>
      <c r="EJ57287"/>
      <c r="EK57287"/>
    </row>
    <row r="57288" spans="1:141" s="116" customFormat="1">
      <c r="A57288" s="136"/>
      <c r="CM57288" s="111"/>
      <c r="CQ57288" s="111"/>
      <c r="EF57288"/>
      <c r="EG57288"/>
      <c r="EH57288"/>
      <c r="EI57288"/>
      <c r="EJ57288"/>
      <c r="EK57288"/>
    </row>
    <row r="57289" spans="1:141" s="116" customFormat="1">
      <c r="A57289" s="136"/>
      <c r="CM57289" s="111"/>
      <c r="CQ57289" s="111"/>
      <c r="EF57289"/>
      <c r="EG57289"/>
      <c r="EH57289"/>
      <c r="EI57289"/>
      <c r="EJ57289"/>
      <c r="EK57289"/>
    </row>
    <row r="57290" spans="1:141" s="116" customFormat="1">
      <c r="A57290" s="136"/>
      <c r="CM57290" s="111"/>
      <c r="CQ57290" s="111"/>
      <c r="EF57290"/>
      <c r="EG57290"/>
      <c r="EH57290"/>
      <c r="EI57290"/>
      <c r="EJ57290"/>
      <c r="EK57290"/>
    </row>
    <row r="57291" spans="1:141" s="116" customFormat="1">
      <c r="A57291" s="136"/>
      <c r="CM57291" s="111"/>
      <c r="CQ57291" s="111"/>
      <c r="EF57291"/>
      <c r="EG57291"/>
      <c r="EH57291"/>
      <c r="EI57291"/>
      <c r="EJ57291"/>
      <c r="EK57291"/>
    </row>
    <row r="57292" spans="1:141" s="116" customFormat="1">
      <c r="A57292" s="136"/>
      <c r="CM57292" s="111"/>
      <c r="CQ57292" s="111"/>
      <c r="EF57292"/>
      <c r="EG57292"/>
      <c r="EH57292"/>
      <c r="EI57292"/>
      <c r="EJ57292"/>
      <c r="EK57292"/>
    </row>
    <row r="57293" spans="1:141" s="116" customFormat="1">
      <c r="A57293" s="136"/>
      <c r="CM57293" s="111"/>
      <c r="CQ57293" s="111"/>
      <c r="EF57293"/>
      <c r="EG57293"/>
      <c r="EH57293"/>
      <c r="EI57293"/>
      <c r="EJ57293"/>
      <c r="EK57293"/>
    </row>
    <row r="57294" spans="1:141" s="116" customFormat="1">
      <c r="A57294" s="136"/>
      <c r="CM57294" s="111"/>
      <c r="CQ57294" s="111"/>
      <c r="EF57294"/>
      <c r="EG57294"/>
      <c r="EH57294"/>
      <c r="EI57294"/>
      <c r="EJ57294"/>
      <c r="EK57294"/>
    </row>
    <row r="57295" spans="1:141" s="116" customFormat="1">
      <c r="A57295" s="136"/>
      <c r="CM57295" s="111"/>
      <c r="CQ57295" s="111"/>
      <c r="EF57295"/>
      <c r="EG57295"/>
      <c r="EH57295"/>
      <c r="EI57295"/>
      <c r="EJ57295"/>
      <c r="EK57295"/>
    </row>
    <row r="57296" spans="1:141" s="116" customFormat="1">
      <c r="A57296" s="136"/>
      <c r="CM57296" s="111"/>
      <c r="CQ57296" s="111"/>
      <c r="EF57296"/>
      <c r="EG57296"/>
      <c r="EH57296"/>
      <c r="EI57296"/>
      <c r="EJ57296"/>
      <c r="EK57296"/>
    </row>
    <row r="57297" spans="1:141" s="116" customFormat="1">
      <c r="A57297" s="136"/>
      <c r="CM57297" s="111"/>
      <c r="CQ57297" s="111"/>
      <c r="EF57297"/>
      <c r="EG57297"/>
      <c r="EH57297"/>
      <c r="EI57297"/>
      <c r="EJ57297"/>
      <c r="EK57297"/>
    </row>
    <row r="57298" spans="1:141" s="116" customFormat="1">
      <c r="A57298" s="136"/>
      <c r="CM57298" s="111"/>
      <c r="CQ57298" s="111"/>
      <c r="EF57298"/>
      <c r="EG57298"/>
      <c r="EH57298"/>
      <c r="EI57298"/>
      <c r="EJ57298"/>
      <c r="EK57298"/>
    </row>
    <row r="57299" spans="1:141" s="116" customFormat="1">
      <c r="A57299" s="136"/>
      <c r="CM57299" s="111"/>
      <c r="CQ57299" s="111"/>
      <c r="EF57299"/>
      <c r="EG57299"/>
      <c r="EH57299"/>
      <c r="EI57299"/>
      <c r="EJ57299"/>
      <c r="EK57299"/>
    </row>
    <row r="57300" spans="1:141" s="116" customFormat="1">
      <c r="A57300" s="136"/>
      <c r="CM57300" s="111"/>
      <c r="CQ57300" s="111"/>
      <c r="EF57300"/>
      <c r="EG57300"/>
      <c r="EH57300"/>
      <c r="EI57300"/>
      <c r="EJ57300"/>
      <c r="EK57300"/>
    </row>
    <row r="57301" spans="1:141" s="116" customFormat="1">
      <c r="A57301" s="136"/>
      <c r="CM57301" s="111"/>
      <c r="CQ57301" s="111"/>
      <c r="EF57301"/>
      <c r="EG57301"/>
      <c r="EH57301"/>
      <c r="EI57301"/>
      <c r="EJ57301"/>
      <c r="EK57301"/>
    </row>
    <row r="57302" spans="1:141" s="116" customFormat="1">
      <c r="A57302" s="136"/>
      <c r="CM57302" s="111"/>
      <c r="CQ57302" s="111"/>
      <c r="EF57302"/>
      <c r="EG57302"/>
      <c r="EH57302"/>
      <c r="EI57302"/>
      <c r="EJ57302"/>
      <c r="EK57302"/>
    </row>
    <row r="57303" spans="1:141" s="116" customFormat="1">
      <c r="A57303" s="136"/>
      <c r="CM57303" s="111"/>
      <c r="CQ57303" s="111"/>
      <c r="EF57303"/>
      <c r="EG57303"/>
      <c r="EH57303"/>
      <c r="EI57303"/>
      <c r="EJ57303"/>
      <c r="EK57303"/>
    </row>
    <row r="57304" spans="1:141" s="116" customFormat="1">
      <c r="A57304" s="136"/>
      <c r="CM57304" s="111"/>
      <c r="CQ57304" s="111"/>
      <c r="EF57304"/>
      <c r="EG57304"/>
      <c r="EH57304"/>
      <c r="EI57304"/>
      <c r="EJ57304"/>
      <c r="EK57304"/>
    </row>
    <row r="57305" spans="1:141" s="116" customFormat="1">
      <c r="A57305" s="136"/>
      <c r="CM57305" s="111"/>
      <c r="CQ57305" s="111"/>
      <c r="EF57305"/>
      <c r="EG57305"/>
      <c r="EH57305"/>
      <c r="EI57305"/>
      <c r="EJ57305"/>
      <c r="EK57305"/>
    </row>
    <row r="57306" spans="1:141" s="116" customFormat="1">
      <c r="A57306" s="136"/>
      <c r="CM57306" s="111"/>
      <c r="CQ57306" s="111"/>
      <c r="EF57306"/>
      <c r="EG57306"/>
      <c r="EH57306"/>
      <c r="EI57306"/>
      <c r="EJ57306"/>
      <c r="EK57306"/>
    </row>
    <row r="57307" spans="1:141" s="116" customFormat="1">
      <c r="A57307" s="136"/>
      <c r="CM57307" s="111"/>
      <c r="CQ57307" s="111"/>
      <c r="EF57307"/>
      <c r="EG57307"/>
      <c r="EH57307"/>
      <c r="EI57307"/>
      <c r="EJ57307"/>
      <c r="EK57307"/>
    </row>
    <row r="57308" spans="1:141" s="116" customFormat="1">
      <c r="A57308" s="136"/>
      <c r="CM57308" s="111"/>
      <c r="CQ57308" s="111"/>
      <c r="EF57308"/>
      <c r="EG57308"/>
      <c r="EH57308"/>
      <c r="EI57308"/>
      <c r="EJ57308"/>
      <c r="EK57308"/>
    </row>
    <row r="57309" spans="1:141" s="116" customFormat="1">
      <c r="A57309" s="136"/>
      <c r="CM57309" s="111"/>
      <c r="CQ57309" s="111"/>
      <c r="EF57309"/>
      <c r="EG57309"/>
      <c r="EH57309"/>
      <c r="EI57309"/>
      <c r="EJ57309"/>
      <c r="EK57309"/>
    </row>
    <row r="57310" spans="1:141" s="116" customFormat="1">
      <c r="A57310" s="136"/>
      <c r="CM57310" s="111"/>
      <c r="CQ57310" s="111"/>
      <c r="EF57310"/>
      <c r="EG57310"/>
      <c r="EH57310"/>
      <c r="EI57310"/>
      <c r="EJ57310"/>
      <c r="EK57310"/>
    </row>
    <row r="57311" spans="1:141" s="116" customFormat="1">
      <c r="A57311" s="136"/>
      <c r="CM57311" s="111"/>
      <c r="CQ57311" s="111"/>
      <c r="EF57311"/>
      <c r="EG57311"/>
      <c r="EH57311"/>
      <c r="EI57311"/>
      <c r="EJ57311"/>
      <c r="EK57311"/>
    </row>
    <row r="57312" spans="1:141" s="116" customFormat="1">
      <c r="A57312" s="136"/>
      <c r="CM57312" s="111"/>
      <c r="CQ57312" s="111"/>
      <c r="EF57312"/>
      <c r="EG57312"/>
      <c r="EH57312"/>
      <c r="EI57312"/>
      <c r="EJ57312"/>
      <c r="EK57312"/>
    </row>
    <row r="57313" spans="1:141" s="116" customFormat="1">
      <c r="A57313" s="136"/>
      <c r="CM57313" s="111"/>
      <c r="CQ57313" s="111"/>
      <c r="EF57313"/>
      <c r="EG57313"/>
      <c r="EH57313"/>
      <c r="EI57313"/>
      <c r="EJ57313"/>
      <c r="EK57313"/>
    </row>
    <row r="57314" spans="1:141" s="116" customFormat="1">
      <c r="A57314" s="136"/>
      <c r="CM57314" s="111"/>
      <c r="CQ57314" s="111"/>
      <c r="EF57314"/>
      <c r="EG57314"/>
      <c r="EH57314"/>
      <c r="EI57314"/>
      <c r="EJ57314"/>
      <c r="EK57314"/>
    </row>
    <row r="57315" spans="1:141" s="116" customFormat="1">
      <c r="A57315" s="136"/>
      <c r="CM57315" s="111"/>
      <c r="CQ57315" s="111"/>
      <c r="EF57315"/>
      <c r="EG57315"/>
      <c r="EH57315"/>
      <c r="EI57315"/>
      <c r="EJ57315"/>
      <c r="EK57315"/>
    </row>
    <row r="57316" spans="1:141" s="116" customFormat="1">
      <c r="A57316" s="136"/>
      <c r="CM57316" s="111"/>
      <c r="CQ57316" s="111"/>
      <c r="EF57316"/>
      <c r="EG57316"/>
      <c r="EH57316"/>
      <c r="EI57316"/>
      <c r="EJ57316"/>
      <c r="EK57316"/>
    </row>
    <row r="57317" spans="1:141" s="116" customFormat="1">
      <c r="A57317" s="136"/>
      <c r="CM57317" s="111"/>
      <c r="CQ57317" s="111"/>
      <c r="EF57317"/>
      <c r="EG57317"/>
      <c r="EH57317"/>
      <c r="EI57317"/>
      <c r="EJ57317"/>
      <c r="EK57317"/>
    </row>
    <row r="57318" spans="1:141" s="116" customFormat="1">
      <c r="A57318" s="136"/>
      <c r="CM57318" s="111"/>
      <c r="CQ57318" s="111"/>
      <c r="EF57318"/>
      <c r="EG57318"/>
      <c r="EH57318"/>
      <c r="EI57318"/>
      <c r="EJ57318"/>
      <c r="EK57318"/>
    </row>
    <row r="57319" spans="1:141" s="116" customFormat="1">
      <c r="A57319" s="136"/>
      <c r="CM57319" s="111"/>
      <c r="CQ57319" s="111"/>
      <c r="EF57319"/>
      <c r="EG57319"/>
      <c r="EH57319"/>
      <c r="EI57319"/>
      <c r="EJ57319"/>
      <c r="EK57319"/>
    </row>
    <row r="57320" spans="1:141" s="116" customFormat="1">
      <c r="A57320" s="136"/>
      <c r="CM57320" s="111"/>
      <c r="CQ57320" s="111"/>
      <c r="EF57320"/>
      <c r="EG57320"/>
      <c r="EH57320"/>
      <c r="EI57320"/>
      <c r="EJ57320"/>
      <c r="EK57320"/>
    </row>
    <row r="57321" spans="1:141" s="116" customFormat="1">
      <c r="A57321" s="136"/>
      <c r="CM57321" s="111"/>
      <c r="CQ57321" s="111"/>
      <c r="EF57321"/>
      <c r="EG57321"/>
      <c r="EH57321"/>
      <c r="EI57321"/>
      <c r="EJ57321"/>
      <c r="EK57321"/>
    </row>
    <row r="57322" spans="1:141" s="116" customFormat="1">
      <c r="A57322" s="136"/>
      <c r="CM57322" s="111"/>
      <c r="CQ57322" s="111"/>
      <c r="EF57322"/>
      <c r="EG57322"/>
      <c r="EH57322"/>
      <c r="EI57322"/>
      <c r="EJ57322"/>
      <c r="EK57322"/>
    </row>
    <row r="57323" spans="1:141" s="116" customFormat="1">
      <c r="A57323" s="136"/>
      <c r="CM57323" s="111"/>
      <c r="CQ57323" s="111"/>
      <c r="EF57323"/>
      <c r="EG57323"/>
      <c r="EH57323"/>
      <c r="EI57323"/>
      <c r="EJ57323"/>
      <c r="EK57323"/>
    </row>
    <row r="57324" spans="1:141" s="116" customFormat="1">
      <c r="A57324" s="136"/>
      <c r="CM57324" s="111"/>
      <c r="CQ57324" s="111"/>
      <c r="EF57324"/>
      <c r="EG57324"/>
      <c r="EH57324"/>
      <c r="EI57324"/>
      <c r="EJ57324"/>
      <c r="EK57324"/>
    </row>
    <row r="57325" spans="1:141" s="116" customFormat="1">
      <c r="A57325" s="136"/>
      <c r="CM57325" s="111"/>
      <c r="CQ57325" s="111"/>
      <c r="EF57325"/>
      <c r="EG57325"/>
      <c r="EH57325"/>
      <c r="EI57325"/>
      <c r="EJ57325"/>
      <c r="EK57325"/>
    </row>
    <row r="57326" spans="1:141" s="116" customFormat="1">
      <c r="A57326" s="136"/>
      <c r="CM57326" s="111"/>
      <c r="CQ57326" s="111"/>
      <c r="EF57326"/>
      <c r="EG57326"/>
      <c r="EH57326"/>
      <c r="EI57326"/>
      <c r="EJ57326"/>
      <c r="EK57326"/>
    </row>
    <row r="57327" spans="1:141" s="116" customFormat="1">
      <c r="A57327" s="136"/>
      <c r="CM57327" s="111"/>
      <c r="CQ57327" s="111"/>
      <c r="EF57327"/>
      <c r="EG57327"/>
      <c r="EH57327"/>
      <c r="EI57327"/>
      <c r="EJ57327"/>
      <c r="EK57327"/>
    </row>
    <row r="57328" spans="1:141" s="116" customFormat="1">
      <c r="A57328" s="136"/>
      <c r="CM57328" s="111"/>
      <c r="CQ57328" s="111"/>
      <c r="EF57328"/>
      <c r="EG57328"/>
      <c r="EH57328"/>
      <c r="EI57328"/>
      <c r="EJ57328"/>
      <c r="EK57328"/>
    </row>
    <row r="57329" spans="1:141" s="116" customFormat="1">
      <c r="A57329" s="136"/>
      <c r="CM57329" s="111"/>
      <c r="CQ57329" s="111"/>
      <c r="EF57329"/>
      <c r="EG57329"/>
      <c r="EH57329"/>
      <c r="EI57329"/>
      <c r="EJ57329"/>
      <c r="EK57329"/>
    </row>
    <row r="57330" spans="1:141" s="116" customFormat="1">
      <c r="A57330" s="136"/>
      <c r="CM57330" s="111"/>
      <c r="CQ57330" s="111"/>
      <c r="EF57330"/>
      <c r="EG57330"/>
      <c r="EH57330"/>
      <c r="EI57330"/>
      <c r="EJ57330"/>
      <c r="EK57330"/>
    </row>
    <row r="57331" spans="1:141" s="116" customFormat="1">
      <c r="A57331" s="136"/>
      <c r="CM57331" s="111"/>
      <c r="CQ57331" s="111"/>
      <c r="EF57331"/>
      <c r="EG57331"/>
      <c r="EH57331"/>
      <c r="EI57331"/>
      <c r="EJ57331"/>
      <c r="EK57331"/>
    </row>
    <row r="57332" spans="1:141" s="116" customFormat="1">
      <c r="A57332" s="136"/>
      <c r="CM57332" s="111"/>
      <c r="CQ57332" s="111"/>
      <c r="EF57332"/>
      <c r="EG57332"/>
      <c r="EH57332"/>
      <c r="EI57332"/>
      <c r="EJ57332"/>
      <c r="EK57332"/>
    </row>
    <row r="57333" spans="1:141" s="116" customFormat="1">
      <c r="A57333" s="136"/>
      <c r="CM57333" s="111"/>
      <c r="CQ57333" s="111"/>
      <c r="EF57333"/>
      <c r="EG57333"/>
      <c r="EH57333"/>
      <c r="EI57333"/>
      <c r="EJ57333"/>
      <c r="EK57333"/>
    </row>
    <row r="57334" spans="1:141" s="116" customFormat="1">
      <c r="A57334" s="136"/>
      <c r="CM57334" s="111"/>
      <c r="CQ57334" s="111"/>
      <c r="EF57334"/>
      <c r="EG57334"/>
      <c r="EH57334"/>
      <c r="EI57334"/>
      <c r="EJ57334"/>
      <c r="EK57334"/>
    </row>
    <row r="57335" spans="1:141" s="116" customFormat="1">
      <c r="A57335" s="136"/>
      <c r="CM57335" s="111"/>
      <c r="CQ57335" s="111"/>
      <c r="EF57335"/>
      <c r="EG57335"/>
      <c r="EH57335"/>
      <c r="EI57335"/>
      <c r="EJ57335"/>
      <c r="EK57335"/>
    </row>
    <row r="57336" spans="1:141" s="116" customFormat="1">
      <c r="A57336" s="136"/>
      <c r="CM57336" s="111"/>
      <c r="CQ57336" s="111"/>
      <c r="EF57336"/>
      <c r="EG57336"/>
      <c r="EH57336"/>
      <c r="EI57336"/>
      <c r="EJ57336"/>
      <c r="EK57336"/>
    </row>
    <row r="57337" spans="1:141" s="116" customFormat="1">
      <c r="A57337" s="136"/>
      <c r="CM57337" s="111"/>
      <c r="CQ57337" s="111"/>
      <c r="EF57337"/>
      <c r="EG57337"/>
      <c r="EH57337"/>
      <c r="EI57337"/>
      <c r="EJ57337"/>
      <c r="EK57337"/>
    </row>
    <row r="57338" spans="1:141" s="116" customFormat="1">
      <c r="A57338" s="136"/>
      <c r="CM57338" s="111"/>
      <c r="CQ57338" s="111"/>
      <c r="EF57338"/>
      <c r="EG57338"/>
      <c r="EH57338"/>
      <c r="EI57338"/>
      <c r="EJ57338"/>
      <c r="EK57338"/>
    </row>
    <row r="57339" spans="1:141" s="116" customFormat="1">
      <c r="A57339" s="136"/>
      <c r="CM57339" s="111"/>
      <c r="CQ57339" s="111"/>
      <c r="EF57339"/>
      <c r="EG57339"/>
      <c r="EH57339"/>
      <c r="EI57339"/>
      <c r="EJ57339"/>
      <c r="EK57339"/>
    </row>
    <row r="57340" spans="1:141" s="116" customFormat="1">
      <c r="A57340" s="136"/>
      <c r="CM57340" s="111"/>
      <c r="CQ57340" s="111"/>
      <c r="EF57340"/>
      <c r="EG57340"/>
      <c r="EH57340"/>
      <c r="EI57340"/>
      <c r="EJ57340"/>
      <c r="EK57340"/>
    </row>
    <row r="57341" spans="1:141" s="116" customFormat="1">
      <c r="A57341" s="136"/>
      <c r="CM57341" s="111"/>
      <c r="CQ57341" s="111"/>
      <c r="EF57341"/>
      <c r="EG57341"/>
      <c r="EH57341"/>
      <c r="EI57341"/>
      <c r="EJ57341"/>
      <c r="EK57341"/>
    </row>
    <row r="57342" spans="1:141" s="116" customFormat="1">
      <c r="A57342" s="136"/>
      <c r="CM57342" s="111"/>
      <c r="CQ57342" s="111"/>
      <c r="EF57342"/>
      <c r="EG57342"/>
      <c r="EH57342"/>
      <c r="EI57342"/>
      <c r="EJ57342"/>
      <c r="EK57342"/>
    </row>
    <row r="57343" spans="1:141" s="116" customFormat="1">
      <c r="A57343" s="136"/>
      <c r="CM57343" s="111"/>
      <c r="CQ57343" s="111"/>
      <c r="EF57343"/>
      <c r="EG57343"/>
      <c r="EH57343"/>
      <c r="EI57343"/>
      <c r="EJ57343"/>
      <c r="EK57343"/>
    </row>
    <row r="57344" spans="1:141" s="116" customFormat="1">
      <c r="A57344" s="136"/>
      <c r="CM57344" s="111"/>
      <c r="CQ57344" s="111"/>
      <c r="EF57344"/>
      <c r="EG57344"/>
      <c r="EH57344"/>
      <c r="EI57344"/>
      <c r="EJ57344"/>
      <c r="EK57344"/>
    </row>
    <row r="57345" spans="1:141" s="116" customFormat="1">
      <c r="A57345" s="136"/>
      <c r="CM57345" s="111"/>
      <c r="CQ57345" s="111"/>
      <c r="EF57345"/>
      <c r="EG57345"/>
      <c r="EH57345"/>
      <c r="EI57345"/>
      <c r="EJ57345"/>
      <c r="EK57345"/>
    </row>
    <row r="57346" spans="1:141" s="116" customFormat="1">
      <c r="A57346" s="136"/>
      <c r="CM57346" s="111"/>
      <c r="CQ57346" s="111"/>
      <c r="EF57346"/>
      <c r="EG57346"/>
      <c r="EH57346"/>
      <c r="EI57346"/>
      <c r="EJ57346"/>
      <c r="EK57346"/>
    </row>
    <row r="57347" spans="1:141" s="116" customFormat="1">
      <c r="A57347" s="136"/>
      <c r="CM57347" s="111"/>
      <c r="CQ57347" s="111"/>
      <c r="EF57347"/>
      <c r="EG57347"/>
      <c r="EH57347"/>
      <c r="EI57347"/>
      <c r="EJ57347"/>
      <c r="EK57347"/>
    </row>
    <row r="57348" spans="1:141" s="116" customFormat="1">
      <c r="A57348" s="136"/>
      <c r="CM57348" s="111"/>
      <c r="CQ57348" s="111"/>
      <c r="EF57348"/>
      <c r="EG57348"/>
      <c r="EH57348"/>
      <c r="EI57348"/>
      <c r="EJ57348"/>
      <c r="EK57348"/>
    </row>
    <row r="57349" spans="1:141" s="116" customFormat="1">
      <c r="A57349" s="136"/>
      <c r="CM57349" s="111"/>
      <c r="CQ57349" s="111"/>
      <c r="EF57349"/>
      <c r="EG57349"/>
      <c r="EH57349"/>
      <c r="EI57349"/>
      <c r="EJ57349"/>
      <c r="EK57349"/>
    </row>
    <row r="57350" spans="1:141" s="116" customFormat="1">
      <c r="A57350" s="136"/>
      <c r="CM57350" s="111"/>
      <c r="CQ57350" s="111"/>
      <c r="EF57350"/>
      <c r="EG57350"/>
      <c r="EH57350"/>
      <c r="EI57350"/>
      <c r="EJ57350"/>
      <c r="EK57350"/>
    </row>
    <row r="57351" spans="1:141" s="116" customFormat="1">
      <c r="A57351" s="136"/>
      <c r="CM57351" s="111"/>
      <c r="CQ57351" s="111"/>
      <c r="EF57351"/>
      <c r="EG57351"/>
      <c r="EH57351"/>
      <c r="EI57351"/>
      <c r="EJ57351"/>
      <c r="EK57351"/>
    </row>
    <row r="57352" spans="1:141" s="116" customFormat="1">
      <c r="A57352" s="136"/>
      <c r="CM57352" s="111"/>
      <c r="CQ57352" s="111"/>
      <c r="EF57352"/>
      <c r="EG57352"/>
      <c r="EH57352"/>
      <c r="EI57352"/>
      <c r="EJ57352"/>
      <c r="EK57352"/>
    </row>
    <row r="57353" spans="1:141" s="116" customFormat="1">
      <c r="A57353" s="136"/>
      <c r="CM57353" s="111"/>
      <c r="CQ57353" s="111"/>
      <c r="EF57353"/>
      <c r="EG57353"/>
      <c r="EH57353"/>
      <c r="EI57353"/>
      <c r="EJ57353"/>
      <c r="EK57353"/>
    </row>
    <row r="57354" spans="1:141" s="116" customFormat="1">
      <c r="A57354" s="136"/>
      <c r="CM57354" s="111"/>
      <c r="CQ57354" s="111"/>
      <c r="EF57354"/>
      <c r="EG57354"/>
      <c r="EH57354"/>
      <c r="EI57354"/>
      <c r="EJ57354"/>
      <c r="EK57354"/>
    </row>
    <row r="57355" spans="1:141" s="116" customFormat="1">
      <c r="A57355" s="136"/>
      <c r="CM57355" s="111"/>
      <c r="CQ57355" s="111"/>
      <c r="EF57355"/>
      <c r="EG57355"/>
      <c r="EH57355"/>
      <c r="EI57355"/>
      <c r="EJ57355"/>
      <c r="EK57355"/>
    </row>
    <row r="57356" spans="1:141" s="116" customFormat="1">
      <c r="A57356" s="136"/>
      <c r="CM57356" s="111"/>
      <c r="CQ57356" s="111"/>
      <c r="EF57356"/>
      <c r="EG57356"/>
      <c r="EH57356"/>
      <c r="EI57356"/>
      <c r="EJ57356"/>
      <c r="EK57356"/>
    </row>
    <row r="57357" spans="1:141" s="116" customFormat="1">
      <c r="A57357" s="136"/>
      <c r="CM57357" s="111"/>
      <c r="CQ57357" s="111"/>
      <c r="EF57357"/>
      <c r="EG57357"/>
      <c r="EH57357"/>
      <c r="EI57357"/>
      <c r="EJ57357"/>
      <c r="EK57357"/>
    </row>
    <row r="57358" spans="1:141" s="116" customFormat="1">
      <c r="A57358" s="136"/>
      <c r="CM57358" s="111"/>
      <c r="CQ57358" s="111"/>
      <c r="EF57358"/>
      <c r="EG57358"/>
      <c r="EH57358"/>
      <c r="EI57358"/>
      <c r="EJ57358"/>
      <c r="EK57358"/>
    </row>
    <row r="57359" spans="1:141" s="116" customFormat="1">
      <c r="A57359" s="136"/>
      <c r="CM57359" s="111"/>
      <c r="CQ57359" s="111"/>
      <c r="EF57359"/>
      <c r="EG57359"/>
      <c r="EH57359"/>
      <c r="EI57359"/>
      <c r="EJ57359"/>
      <c r="EK57359"/>
    </row>
    <row r="57360" spans="1:141" s="116" customFormat="1">
      <c r="A57360" s="136"/>
      <c r="CM57360" s="111"/>
      <c r="CQ57360" s="111"/>
      <c r="EF57360"/>
      <c r="EG57360"/>
      <c r="EH57360"/>
      <c r="EI57360"/>
      <c r="EJ57360"/>
      <c r="EK57360"/>
    </row>
    <row r="57361" spans="1:141" s="116" customFormat="1">
      <c r="A57361" s="136"/>
      <c r="CM57361" s="111"/>
      <c r="CQ57361" s="111"/>
      <c r="EF57361"/>
      <c r="EG57361"/>
      <c r="EH57361"/>
      <c r="EI57361"/>
      <c r="EJ57361"/>
      <c r="EK57361"/>
    </row>
    <row r="57362" spans="1:141" s="116" customFormat="1">
      <c r="A57362" s="136"/>
      <c r="CM57362" s="111"/>
      <c r="CQ57362" s="111"/>
      <c r="EF57362"/>
      <c r="EG57362"/>
      <c r="EH57362"/>
      <c r="EI57362"/>
      <c r="EJ57362"/>
      <c r="EK57362"/>
    </row>
    <row r="57363" spans="1:141" s="116" customFormat="1">
      <c r="A57363" s="136"/>
      <c r="CM57363" s="111"/>
      <c r="CQ57363" s="111"/>
      <c r="EF57363"/>
      <c r="EG57363"/>
      <c r="EH57363"/>
      <c r="EI57363"/>
      <c r="EJ57363"/>
      <c r="EK57363"/>
    </row>
    <row r="57364" spans="1:141" s="116" customFormat="1">
      <c r="A57364" s="136"/>
      <c r="CM57364" s="111"/>
      <c r="CQ57364" s="111"/>
      <c r="EF57364"/>
      <c r="EG57364"/>
      <c r="EH57364"/>
      <c r="EI57364"/>
      <c r="EJ57364"/>
      <c r="EK57364"/>
    </row>
    <row r="57365" spans="1:141" s="116" customFormat="1">
      <c r="A57365" s="136"/>
      <c r="CM57365" s="111"/>
      <c r="CQ57365" s="111"/>
      <c r="EF57365"/>
      <c r="EG57365"/>
      <c r="EH57365"/>
      <c r="EI57365"/>
      <c r="EJ57365"/>
      <c r="EK57365"/>
    </row>
    <row r="57366" spans="1:141" s="116" customFormat="1">
      <c r="A57366" s="136"/>
      <c r="CM57366" s="111"/>
      <c r="CQ57366" s="111"/>
      <c r="EF57366"/>
      <c r="EG57366"/>
      <c r="EH57366"/>
      <c r="EI57366"/>
      <c r="EJ57366"/>
      <c r="EK57366"/>
    </row>
    <row r="57367" spans="1:141" s="116" customFormat="1">
      <c r="A57367" s="136"/>
      <c r="CM57367" s="111"/>
      <c r="CQ57367" s="111"/>
      <c r="EF57367"/>
      <c r="EG57367"/>
      <c r="EH57367"/>
      <c r="EI57367"/>
      <c r="EJ57367"/>
      <c r="EK57367"/>
    </row>
    <row r="57368" spans="1:141" s="116" customFormat="1">
      <c r="A57368" s="136"/>
      <c r="CM57368" s="111"/>
      <c r="CQ57368" s="111"/>
      <c r="EF57368"/>
      <c r="EG57368"/>
      <c r="EH57368"/>
      <c r="EI57368"/>
      <c r="EJ57368"/>
      <c r="EK57368"/>
    </row>
    <row r="57369" spans="1:141" s="116" customFormat="1">
      <c r="A57369" s="136"/>
      <c r="CM57369" s="111"/>
      <c r="CQ57369" s="111"/>
      <c r="EF57369"/>
      <c r="EG57369"/>
      <c r="EH57369"/>
      <c r="EI57369"/>
      <c r="EJ57369"/>
      <c r="EK57369"/>
    </row>
    <row r="57370" spans="1:141" s="116" customFormat="1">
      <c r="A57370" s="136"/>
      <c r="CM57370" s="111"/>
      <c r="CQ57370" s="111"/>
      <c r="EF57370"/>
      <c r="EG57370"/>
      <c r="EH57370"/>
      <c r="EI57370"/>
      <c r="EJ57370"/>
      <c r="EK57370"/>
    </row>
    <row r="57371" spans="1:141" s="116" customFormat="1">
      <c r="A57371" s="136"/>
      <c r="CM57371" s="111"/>
      <c r="CQ57371" s="111"/>
      <c r="EF57371"/>
      <c r="EG57371"/>
      <c r="EH57371"/>
      <c r="EI57371"/>
      <c r="EJ57371"/>
      <c r="EK57371"/>
    </row>
    <row r="57372" spans="1:141" s="116" customFormat="1">
      <c r="A57372" s="136"/>
      <c r="CM57372" s="111"/>
      <c r="CQ57372" s="111"/>
      <c r="EF57372"/>
      <c r="EG57372"/>
      <c r="EH57372"/>
      <c r="EI57372"/>
      <c r="EJ57372"/>
      <c r="EK57372"/>
    </row>
    <row r="57373" spans="1:141" s="116" customFormat="1">
      <c r="A57373" s="136"/>
      <c r="CM57373" s="111"/>
      <c r="CQ57373" s="111"/>
      <c r="EF57373"/>
      <c r="EG57373"/>
      <c r="EH57373"/>
      <c r="EI57373"/>
      <c r="EJ57373"/>
      <c r="EK57373"/>
    </row>
    <row r="57374" spans="1:141" s="116" customFormat="1">
      <c r="A57374" s="136"/>
      <c r="CM57374" s="111"/>
      <c r="CQ57374" s="111"/>
      <c r="EF57374"/>
      <c r="EG57374"/>
      <c r="EH57374"/>
      <c r="EI57374"/>
      <c r="EJ57374"/>
      <c r="EK57374"/>
    </row>
    <row r="57375" spans="1:141" s="116" customFormat="1">
      <c r="A57375" s="136"/>
      <c r="CM57375" s="111"/>
      <c r="CQ57375" s="111"/>
      <c r="EF57375"/>
      <c r="EG57375"/>
      <c r="EH57375"/>
      <c r="EI57375"/>
      <c r="EJ57375"/>
      <c r="EK57375"/>
    </row>
    <row r="57376" spans="1:141" s="116" customFormat="1">
      <c r="A57376" s="136"/>
      <c r="CM57376" s="111"/>
      <c r="CQ57376" s="111"/>
      <c r="EF57376"/>
      <c r="EG57376"/>
      <c r="EH57376"/>
      <c r="EI57376"/>
      <c r="EJ57376"/>
      <c r="EK57376"/>
    </row>
    <row r="57377" spans="1:141" s="116" customFormat="1">
      <c r="A57377" s="136"/>
      <c r="CM57377" s="111"/>
      <c r="CQ57377" s="111"/>
      <c r="EF57377"/>
      <c r="EG57377"/>
      <c r="EH57377"/>
      <c r="EI57377"/>
      <c r="EJ57377"/>
      <c r="EK57377"/>
    </row>
    <row r="57378" spans="1:141" s="116" customFormat="1">
      <c r="A57378" s="136"/>
      <c r="CM57378" s="111"/>
      <c r="CQ57378" s="111"/>
      <c r="EF57378"/>
      <c r="EG57378"/>
      <c r="EH57378"/>
      <c r="EI57378"/>
      <c r="EJ57378"/>
      <c r="EK57378"/>
    </row>
    <row r="57379" spans="1:141" s="116" customFormat="1">
      <c r="A57379" s="136"/>
      <c r="CM57379" s="111"/>
      <c r="CQ57379" s="111"/>
      <c r="EF57379"/>
      <c r="EG57379"/>
      <c r="EH57379"/>
      <c r="EI57379"/>
      <c r="EJ57379"/>
      <c r="EK57379"/>
    </row>
    <row r="57380" spans="1:141" s="116" customFormat="1">
      <c r="A57380" s="136"/>
      <c r="CM57380" s="111"/>
      <c r="CQ57380" s="111"/>
      <c r="EF57380"/>
      <c r="EG57380"/>
      <c r="EH57380"/>
      <c r="EI57380"/>
      <c r="EJ57380"/>
      <c r="EK57380"/>
    </row>
    <row r="57381" spans="1:141" s="116" customFormat="1">
      <c r="A57381" s="136"/>
      <c r="CM57381" s="111"/>
      <c r="CQ57381" s="111"/>
      <c r="EF57381"/>
      <c r="EG57381"/>
      <c r="EH57381"/>
      <c r="EI57381"/>
      <c r="EJ57381"/>
      <c r="EK57381"/>
    </row>
    <row r="57382" spans="1:141" s="116" customFormat="1">
      <c r="A57382" s="136"/>
      <c r="CM57382" s="111"/>
      <c r="CQ57382" s="111"/>
      <c r="EF57382"/>
      <c r="EG57382"/>
      <c r="EH57382"/>
      <c r="EI57382"/>
      <c r="EJ57382"/>
      <c r="EK57382"/>
    </row>
    <row r="57383" spans="1:141" s="116" customFormat="1">
      <c r="A57383" s="136"/>
      <c r="CM57383" s="111"/>
      <c r="CQ57383" s="111"/>
      <c r="EF57383"/>
      <c r="EG57383"/>
      <c r="EH57383"/>
      <c r="EI57383"/>
      <c r="EJ57383"/>
      <c r="EK57383"/>
    </row>
    <row r="57384" spans="1:141" s="116" customFormat="1">
      <c r="A57384" s="136"/>
      <c r="CM57384" s="111"/>
      <c r="CQ57384" s="111"/>
      <c r="EF57384"/>
      <c r="EG57384"/>
      <c r="EH57384"/>
      <c r="EI57384"/>
      <c r="EJ57384"/>
      <c r="EK57384"/>
    </row>
    <row r="57385" spans="1:141" s="116" customFormat="1">
      <c r="A57385" s="136"/>
      <c r="CM57385" s="111"/>
      <c r="CQ57385" s="111"/>
      <c r="EF57385"/>
      <c r="EG57385"/>
      <c r="EH57385"/>
      <c r="EI57385"/>
      <c r="EJ57385"/>
      <c r="EK57385"/>
    </row>
    <row r="57386" spans="1:141" s="116" customFormat="1">
      <c r="A57386" s="136"/>
      <c r="CM57386" s="111"/>
      <c r="CQ57386" s="111"/>
      <c r="EF57386"/>
      <c r="EG57386"/>
      <c r="EH57386"/>
      <c r="EI57386"/>
      <c r="EJ57386"/>
      <c r="EK57386"/>
    </row>
    <row r="57387" spans="1:141" s="116" customFormat="1">
      <c r="A57387" s="136"/>
      <c r="CM57387" s="111"/>
      <c r="CQ57387" s="111"/>
      <c r="EF57387"/>
      <c r="EG57387"/>
      <c r="EH57387"/>
      <c r="EI57387"/>
      <c r="EJ57387"/>
      <c r="EK57387"/>
    </row>
    <row r="57388" spans="1:141" s="116" customFormat="1">
      <c r="A57388" s="136"/>
      <c r="CM57388" s="111"/>
      <c r="CQ57388" s="111"/>
      <c r="EF57388"/>
      <c r="EG57388"/>
      <c r="EH57388"/>
      <c r="EI57388"/>
      <c r="EJ57388"/>
      <c r="EK57388"/>
    </row>
    <row r="57389" spans="1:141" s="116" customFormat="1">
      <c r="A57389" s="136"/>
      <c r="CM57389" s="111"/>
      <c r="CQ57389" s="111"/>
      <c r="EF57389"/>
      <c r="EG57389"/>
      <c r="EH57389"/>
      <c r="EI57389"/>
      <c r="EJ57389"/>
      <c r="EK57389"/>
    </row>
    <row r="57390" spans="1:141" s="116" customFormat="1">
      <c r="A57390" s="136"/>
      <c r="CM57390" s="111"/>
      <c r="CQ57390" s="111"/>
      <c r="EF57390"/>
      <c r="EG57390"/>
      <c r="EH57390"/>
      <c r="EI57390"/>
      <c r="EJ57390"/>
      <c r="EK57390"/>
    </row>
    <row r="57391" spans="1:141" s="116" customFormat="1">
      <c r="A57391" s="136"/>
      <c r="CM57391" s="111"/>
      <c r="CQ57391" s="111"/>
      <c r="EF57391"/>
      <c r="EG57391"/>
      <c r="EH57391"/>
      <c r="EI57391"/>
      <c r="EJ57391"/>
      <c r="EK57391"/>
    </row>
    <row r="57392" spans="1:141" s="116" customFormat="1">
      <c r="A57392" s="136"/>
      <c r="CM57392" s="111"/>
      <c r="CQ57392" s="111"/>
      <c r="EF57392"/>
      <c r="EG57392"/>
      <c r="EH57392"/>
      <c r="EI57392"/>
      <c r="EJ57392"/>
      <c r="EK57392"/>
    </row>
    <row r="57393" spans="1:141" s="116" customFormat="1">
      <c r="A57393" s="136"/>
      <c r="CM57393" s="111"/>
      <c r="CQ57393" s="111"/>
      <c r="EF57393"/>
      <c r="EG57393"/>
      <c r="EH57393"/>
      <c r="EI57393"/>
      <c r="EJ57393"/>
      <c r="EK57393"/>
    </row>
    <row r="57394" spans="1:141" s="116" customFormat="1">
      <c r="A57394" s="136"/>
      <c r="CM57394" s="111"/>
      <c r="CQ57394" s="111"/>
      <c r="EF57394"/>
      <c r="EG57394"/>
      <c r="EH57394"/>
      <c r="EI57394"/>
      <c r="EJ57394"/>
      <c r="EK57394"/>
    </row>
    <row r="57395" spans="1:141" s="116" customFormat="1">
      <c r="A57395" s="136"/>
      <c r="CM57395" s="111"/>
      <c r="CQ57395" s="111"/>
      <c r="EF57395"/>
      <c r="EG57395"/>
      <c r="EH57395"/>
      <c r="EI57395"/>
      <c r="EJ57395"/>
      <c r="EK57395"/>
    </row>
    <row r="57396" spans="1:141" s="116" customFormat="1">
      <c r="A57396" s="136"/>
      <c r="CM57396" s="111"/>
      <c r="CQ57396" s="111"/>
      <c r="EF57396"/>
      <c r="EG57396"/>
      <c r="EH57396"/>
      <c r="EI57396"/>
      <c r="EJ57396"/>
      <c r="EK57396"/>
    </row>
    <row r="57397" spans="1:141" s="116" customFormat="1">
      <c r="A57397" s="136"/>
      <c r="CM57397" s="111"/>
      <c r="CQ57397" s="111"/>
      <c r="EF57397"/>
      <c r="EG57397"/>
      <c r="EH57397"/>
      <c r="EI57397"/>
      <c r="EJ57397"/>
      <c r="EK57397"/>
    </row>
    <row r="57398" spans="1:141" s="116" customFormat="1">
      <c r="A57398" s="136"/>
      <c r="CM57398" s="111"/>
      <c r="CQ57398" s="111"/>
      <c r="EF57398"/>
      <c r="EG57398"/>
      <c r="EH57398"/>
      <c r="EI57398"/>
      <c r="EJ57398"/>
      <c r="EK57398"/>
    </row>
    <row r="57399" spans="1:141" s="116" customFormat="1">
      <c r="A57399" s="136"/>
      <c r="CM57399" s="111"/>
      <c r="CQ57399" s="111"/>
      <c r="EF57399"/>
      <c r="EG57399"/>
      <c r="EH57399"/>
      <c r="EI57399"/>
      <c r="EJ57399"/>
      <c r="EK57399"/>
    </row>
    <row r="57400" spans="1:141" s="116" customFormat="1">
      <c r="A57400" s="136"/>
      <c r="CM57400" s="111"/>
      <c r="CQ57400" s="111"/>
      <c r="EF57400"/>
      <c r="EG57400"/>
      <c r="EH57400"/>
      <c r="EI57400"/>
      <c r="EJ57400"/>
      <c r="EK57400"/>
    </row>
    <row r="57401" spans="1:141" s="116" customFormat="1">
      <c r="A57401" s="136"/>
      <c r="CM57401" s="111"/>
      <c r="CQ57401" s="111"/>
      <c r="EF57401"/>
      <c r="EG57401"/>
      <c r="EH57401"/>
      <c r="EI57401"/>
      <c r="EJ57401"/>
      <c r="EK57401"/>
    </row>
    <row r="57402" spans="1:141" s="116" customFormat="1">
      <c r="A57402" s="136"/>
      <c r="CM57402" s="111"/>
      <c r="CQ57402" s="111"/>
      <c r="EF57402"/>
      <c r="EG57402"/>
      <c r="EH57402"/>
      <c r="EI57402"/>
      <c r="EJ57402"/>
      <c r="EK57402"/>
    </row>
    <row r="57403" spans="1:141" s="116" customFormat="1">
      <c r="A57403" s="136"/>
      <c r="CM57403" s="111"/>
      <c r="CQ57403" s="111"/>
      <c r="EF57403"/>
      <c r="EG57403"/>
      <c r="EH57403"/>
      <c r="EI57403"/>
      <c r="EJ57403"/>
      <c r="EK57403"/>
    </row>
    <row r="57404" spans="1:141" s="116" customFormat="1">
      <c r="A57404" s="136"/>
      <c r="CM57404" s="111"/>
      <c r="CQ57404" s="111"/>
      <c r="EF57404"/>
      <c r="EG57404"/>
      <c r="EH57404"/>
      <c r="EI57404"/>
      <c r="EJ57404"/>
      <c r="EK57404"/>
    </row>
    <row r="57405" spans="1:141" s="116" customFormat="1">
      <c r="A57405" s="136"/>
      <c r="CM57405" s="111"/>
      <c r="CQ57405" s="111"/>
      <c r="EF57405"/>
      <c r="EG57405"/>
      <c r="EH57405"/>
      <c r="EI57405"/>
      <c r="EJ57405"/>
      <c r="EK57405"/>
    </row>
    <row r="57406" spans="1:141" s="116" customFormat="1">
      <c r="A57406" s="136"/>
      <c r="CM57406" s="111"/>
      <c r="CQ57406" s="111"/>
      <c r="EF57406"/>
      <c r="EG57406"/>
      <c r="EH57406"/>
      <c r="EI57406"/>
      <c r="EJ57406"/>
      <c r="EK57406"/>
    </row>
    <row r="57407" spans="1:141" s="116" customFormat="1">
      <c r="A57407" s="136"/>
      <c r="CM57407" s="111"/>
      <c r="CQ57407" s="111"/>
      <c r="EF57407"/>
      <c r="EG57407"/>
      <c r="EH57407"/>
      <c r="EI57407"/>
      <c r="EJ57407"/>
      <c r="EK57407"/>
    </row>
    <row r="57408" spans="1:141" s="116" customFormat="1">
      <c r="A57408" s="136"/>
      <c r="CM57408" s="111"/>
      <c r="CQ57408" s="111"/>
      <c r="EF57408"/>
      <c r="EG57408"/>
      <c r="EH57408"/>
      <c r="EI57408"/>
      <c r="EJ57408"/>
      <c r="EK57408"/>
    </row>
    <row r="57409" spans="1:141" s="116" customFormat="1">
      <c r="A57409" s="136"/>
      <c r="CM57409" s="111"/>
      <c r="CQ57409" s="111"/>
      <c r="EF57409"/>
      <c r="EG57409"/>
      <c r="EH57409"/>
      <c r="EI57409"/>
      <c r="EJ57409"/>
      <c r="EK57409"/>
    </row>
    <row r="57410" spans="1:141" s="116" customFormat="1">
      <c r="A57410" s="136"/>
      <c r="CM57410" s="111"/>
      <c r="CQ57410" s="111"/>
      <c r="EF57410"/>
      <c r="EG57410"/>
      <c r="EH57410"/>
      <c r="EI57410"/>
      <c r="EJ57410"/>
      <c r="EK57410"/>
    </row>
    <row r="57411" spans="1:141" s="116" customFormat="1">
      <c r="A57411" s="136"/>
      <c r="CM57411" s="111"/>
      <c r="CQ57411" s="111"/>
      <c r="EF57411"/>
      <c r="EG57411"/>
      <c r="EH57411"/>
      <c r="EI57411"/>
      <c r="EJ57411"/>
      <c r="EK57411"/>
    </row>
    <row r="57412" spans="1:141" s="116" customFormat="1">
      <c r="A57412" s="136"/>
      <c r="CM57412" s="111"/>
      <c r="CQ57412" s="111"/>
      <c r="EF57412"/>
      <c r="EG57412"/>
      <c r="EH57412"/>
      <c r="EI57412"/>
      <c r="EJ57412"/>
      <c r="EK57412"/>
    </row>
    <row r="57413" spans="1:141" s="116" customFormat="1">
      <c r="A57413" s="136"/>
      <c r="CM57413" s="111"/>
      <c r="CQ57413" s="111"/>
      <c r="EF57413"/>
      <c r="EG57413"/>
      <c r="EH57413"/>
      <c r="EI57413"/>
      <c r="EJ57413"/>
      <c r="EK57413"/>
    </row>
    <row r="57414" spans="1:141" s="116" customFormat="1">
      <c r="A57414" s="136"/>
      <c r="CM57414" s="111"/>
      <c r="CQ57414" s="111"/>
      <c r="EF57414"/>
      <c r="EG57414"/>
      <c r="EH57414"/>
      <c r="EI57414"/>
      <c r="EJ57414"/>
      <c r="EK57414"/>
    </row>
    <row r="57415" spans="1:141" s="116" customFormat="1">
      <c r="A57415" s="136"/>
      <c r="CM57415" s="111"/>
      <c r="CQ57415" s="111"/>
      <c r="EF57415"/>
      <c r="EG57415"/>
      <c r="EH57415"/>
      <c r="EI57415"/>
      <c r="EJ57415"/>
      <c r="EK57415"/>
    </row>
    <row r="57416" spans="1:141" s="116" customFormat="1">
      <c r="A57416" s="136"/>
      <c r="CM57416" s="111"/>
      <c r="CQ57416" s="111"/>
      <c r="EF57416"/>
      <c r="EG57416"/>
      <c r="EH57416"/>
      <c r="EI57416"/>
      <c r="EJ57416"/>
      <c r="EK57416"/>
    </row>
    <row r="57417" spans="1:141" s="116" customFormat="1">
      <c r="A57417" s="136"/>
      <c r="CM57417" s="111"/>
      <c r="CQ57417" s="111"/>
      <c r="EF57417"/>
      <c r="EG57417"/>
      <c r="EH57417"/>
      <c r="EI57417"/>
      <c r="EJ57417"/>
      <c r="EK57417"/>
    </row>
    <row r="57418" spans="1:141" s="116" customFormat="1">
      <c r="A57418" s="136"/>
      <c r="CM57418" s="111"/>
      <c r="CQ57418" s="111"/>
      <c r="EF57418"/>
      <c r="EG57418"/>
      <c r="EH57418"/>
      <c r="EI57418"/>
      <c r="EJ57418"/>
      <c r="EK57418"/>
    </row>
    <row r="57419" spans="1:141" s="116" customFormat="1">
      <c r="A57419" s="136"/>
      <c r="CM57419" s="111"/>
      <c r="CQ57419" s="111"/>
      <c r="EF57419"/>
      <c r="EG57419"/>
      <c r="EH57419"/>
      <c r="EI57419"/>
      <c r="EJ57419"/>
      <c r="EK57419"/>
    </row>
    <row r="57420" spans="1:141" s="116" customFormat="1">
      <c r="A57420" s="136"/>
      <c r="CM57420" s="111"/>
      <c r="CQ57420" s="111"/>
      <c r="EF57420"/>
      <c r="EG57420"/>
      <c r="EH57420"/>
      <c r="EI57420"/>
      <c r="EJ57420"/>
      <c r="EK57420"/>
    </row>
    <row r="57421" spans="1:141" s="116" customFormat="1">
      <c r="A57421" s="136"/>
      <c r="CM57421" s="111"/>
      <c r="CQ57421" s="111"/>
      <c r="EF57421"/>
      <c r="EG57421"/>
      <c r="EH57421"/>
      <c r="EI57421"/>
      <c r="EJ57421"/>
      <c r="EK57421"/>
    </row>
    <row r="57422" spans="1:141" s="116" customFormat="1">
      <c r="A57422" s="136"/>
      <c r="CM57422" s="111"/>
      <c r="CQ57422" s="111"/>
      <c r="EF57422"/>
      <c r="EG57422"/>
      <c r="EH57422"/>
      <c r="EI57422"/>
      <c r="EJ57422"/>
      <c r="EK57422"/>
    </row>
    <row r="57423" spans="1:141" s="116" customFormat="1">
      <c r="A57423" s="136"/>
      <c r="CM57423" s="111"/>
      <c r="CQ57423" s="111"/>
      <c r="EF57423"/>
      <c r="EG57423"/>
      <c r="EH57423"/>
      <c r="EI57423"/>
      <c r="EJ57423"/>
      <c r="EK57423"/>
    </row>
    <row r="57424" spans="1:141" s="116" customFormat="1">
      <c r="A57424" s="136"/>
      <c r="CM57424" s="111"/>
      <c r="CQ57424" s="111"/>
      <c r="EF57424"/>
      <c r="EG57424"/>
      <c r="EH57424"/>
      <c r="EI57424"/>
      <c r="EJ57424"/>
      <c r="EK57424"/>
    </row>
    <row r="57425" spans="1:141" s="116" customFormat="1">
      <c r="A57425" s="136"/>
      <c r="CM57425" s="111"/>
      <c r="CQ57425" s="111"/>
      <c r="EF57425"/>
      <c r="EG57425"/>
      <c r="EH57425"/>
      <c r="EI57425"/>
      <c r="EJ57425"/>
      <c r="EK57425"/>
    </row>
    <row r="57426" spans="1:141" s="116" customFormat="1">
      <c r="A57426" s="136"/>
      <c r="CM57426" s="111"/>
      <c r="CQ57426" s="111"/>
      <c r="EF57426"/>
      <c r="EG57426"/>
      <c r="EH57426"/>
      <c r="EI57426"/>
      <c r="EJ57426"/>
      <c r="EK57426"/>
    </row>
    <row r="57427" spans="1:141" s="116" customFormat="1">
      <c r="A57427" s="136"/>
      <c r="CM57427" s="111"/>
      <c r="CQ57427" s="111"/>
      <c r="EF57427"/>
      <c r="EG57427"/>
      <c r="EH57427"/>
      <c r="EI57427"/>
      <c r="EJ57427"/>
      <c r="EK57427"/>
    </row>
    <row r="57428" spans="1:141" s="116" customFormat="1">
      <c r="A57428" s="136"/>
      <c r="CM57428" s="111"/>
      <c r="CQ57428" s="111"/>
      <c r="EF57428"/>
      <c r="EG57428"/>
      <c r="EH57428"/>
      <c r="EI57428"/>
      <c r="EJ57428"/>
      <c r="EK57428"/>
    </row>
    <row r="57429" spans="1:141" s="116" customFormat="1">
      <c r="A57429" s="136"/>
      <c r="CM57429" s="111"/>
      <c r="CQ57429" s="111"/>
      <c r="EF57429"/>
      <c r="EG57429"/>
      <c r="EH57429"/>
      <c r="EI57429"/>
      <c r="EJ57429"/>
      <c r="EK57429"/>
    </row>
    <row r="57430" spans="1:141" s="116" customFormat="1">
      <c r="A57430" s="136"/>
      <c r="CM57430" s="111"/>
      <c r="CQ57430" s="111"/>
      <c r="EF57430"/>
      <c r="EG57430"/>
      <c r="EH57430"/>
      <c r="EI57430"/>
      <c r="EJ57430"/>
      <c r="EK57430"/>
    </row>
    <row r="57431" spans="1:141" s="116" customFormat="1">
      <c r="A57431" s="136"/>
      <c r="CM57431" s="111"/>
      <c r="CQ57431" s="111"/>
      <c r="EF57431"/>
      <c r="EG57431"/>
      <c r="EH57431"/>
      <c r="EI57431"/>
      <c r="EJ57431"/>
      <c r="EK57431"/>
    </row>
    <row r="57432" spans="1:141" s="116" customFormat="1">
      <c r="A57432" s="136"/>
      <c r="CM57432" s="111"/>
      <c r="CQ57432" s="111"/>
      <c r="EF57432"/>
      <c r="EG57432"/>
      <c r="EH57432"/>
      <c r="EI57432"/>
      <c r="EJ57432"/>
      <c r="EK57432"/>
    </row>
    <row r="57433" spans="1:141" s="116" customFormat="1">
      <c r="A57433" s="136"/>
      <c r="CM57433" s="111"/>
      <c r="CQ57433" s="111"/>
      <c r="EF57433"/>
      <c r="EG57433"/>
      <c r="EH57433"/>
      <c r="EI57433"/>
      <c r="EJ57433"/>
      <c r="EK57433"/>
    </row>
    <row r="57434" spans="1:141" s="116" customFormat="1">
      <c r="A57434" s="136"/>
      <c r="CM57434" s="111"/>
      <c r="CQ57434" s="111"/>
      <c r="EF57434"/>
      <c r="EG57434"/>
      <c r="EH57434"/>
      <c r="EI57434"/>
      <c r="EJ57434"/>
      <c r="EK57434"/>
    </row>
    <row r="57435" spans="1:141" s="116" customFormat="1">
      <c r="A57435" s="136"/>
      <c r="CM57435" s="111"/>
      <c r="CQ57435" s="111"/>
      <c r="EF57435"/>
      <c r="EG57435"/>
      <c r="EH57435"/>
      <c r="EI57435"/>
      <c r="EJ57435"/>
      <c r="EK57435"/>
    </row>
    <row r="57436" spans="1:141" s="116" customFormat="1">
      <c r="A57436" s="136"/>
      <c r="CM57436" s="111"/>
      <c r="CQ57436" s="111"/>
      <c r="EF57436"/>
      <c r="EG57436"/>
      <c r="EH57436"/>
      <c r="EI57436"/>
      <c r="EJ57436"/>
      <c r="EK57436"/>
    </row>
    <row r="57437" spans="1:141" s="116" customFormat="1">
      <c r="A57437" s="136"/>
      <c r="CM57437" s="111"/>
      <c r="CQ57437" s="111"/>
      <c r="EF57437"/>
      <c r="EG57437"/>
      <c r="EH57437"/>
      <c r="EI57437"/>
      <c r="EJ57437"/>
      <c r="EK57437"/>
    </row>
    <row r="57438" spans="1:141" s="116" customFormat="1">
      <c r="A57438" s="136"/>
      <c r="CM57438" s="111"/>
      <c r="CQ57438" s="111"/>
      <c r="EF57438"/>
      <c r="EG57438"/>
      <c r="EH57438"/>
      <c r="EI57438"/>
      <c r="EJ57438"/>
      <c r="EK57438"/>
    </row>
    <row r="57439" spans="1:141" s="116" customFormat="1">
      <c r="A57439" s="136"/>
      <c r="CM57439" s="111"/>
      <c r="CQ57439" s="111"/>
      <c r="EF57439"/>
      <c r="EG57439"/>
      <c r="EH57439"/>
      <c r="EI57439"/>
      <c r="EJ57439"/>
      <c r="EK57439"/>
    </row>
    <row r="57440" spans="1:141" s="116" customFormat="1">
      <c r="A57440" s="136"/>
      <c r="CM57440" s="111"/>
      <c r="CQ57440" s="111"/>
      <c r="EF57440"/>
      <c r="EG57440"/>
      <c r="EH57440"/>
      <c r="EI57440"/>
      <c r="EJ57440"/>
      <c r="EK57440"/>
    </row>
    <row r="57441" spans="1:141" s="116" customFormat="1">
      <c r="A57441" s="136"/>
      <c r="CM57441" s="111"/>
      <c r="CQ57441" s="111"/>
      <c r="EF57441"/>
      <c r="EG57441"/>
      <c r="EH57441"/>
      <c r="EI57441"/>
      <c r="EJ57441"/>
      <c r="EK57441"/>
    </row>
    <row r="57442" spans="1:141" s="116" customFormat="1">
      <c r="A57442" s="136"/>
      <c r="CM57442" s="111"/>
      <c r="CQ57442" s="111"/>
      <c r="EF57442"/>
      <c r="EG57442"/>
      <c r="EH57442"/>
      <c r="EI57442"/>
      <c r="EJ57442"/>
      <c r="EK57442"/>
    </row>
    <row r="57443" spans="1:141" s="116" customFormat="1">
      <c r="A57443" s="136"/>
      <c r="CM57443" s="111"/>
      <c r="CQ57443" s="111"/>
      <c r="EF57443"/>
      <c r="EG57443"/>
      <c r="EH57443"/>
      <c r="EI57443"/>
      <c r="EJ57443"/>
      <c r="EK57443"/>
    </row>
    <row r="57444" spans="1:141" s="116" customFormat="1">
      <c r="A57444" s="136"/>
      <c r="CM57444" s="111"/>
      <c r="CQ57444" s="111"/>
      <c r="EF57444"/>
      <c r="EG57444"/>
      <c r="EH57444"/>
      <c r="EI57444"/>
      <c r="EJ57444"/>
      <c r="EK57444"/>
    </row>
    <row r="57445" spans="1:141" s="116" customFormat="1">
      <c r="A57445" s="136"/>
      <c r="CM57445" s="111"/>
      <c r="CQ57445" s="111"/>
      <c r="EF57445"/>
      <c r="EG57445"/>
      <c r="EH57445"/>
      <c r="EI57445"/>
      <c r="EJ57445"/>
      <c r="EK57445"/>
    </row>
    <row r="57446" spans="1:141" s="116" customFormat="1">
      <c r="A57446" s="136"/>
      <c r="CM57446" s="111"/>
      <c r="CQ57446" s="111"/>
      <c r="EF57446"/>
      <c r="EG57446"/>
      <c r="EH57446"/>
      <c r="EI57446"/>
      <c r="EJ57446"/>
      <c r="EK57446"/>
    </row>
    <row r="57447" spans="1:141" s="116" customFormat="1">
      <c r="A57447" s="136"/>
      <c r="CM57447" s="111"/>
      <c r="CQ57447" s="111"/>
      <c r="EF57447"/>
      <c r="EG57447"/>
      <c r="EH57447"/>
      <c r="EI57447"/>
      <c r="EJ57447"/>
      <c r="EK57447"/>
    </row>
    <row r="57448" spans="1:141" s="116" customFormat="1">
      <c r="A57448" s="136"/>
      <c r="CM57448" s="111"/>
      <c r="CQ57448" s="111"/>
      <c r="EF57448"/>
      <c r="EG57448"/>
      <c r="EH57448"/>
      <c r="EI57448"/>
      <c r="EJ57448"/>
      <c r="EK57448"/>
    </row>
    <row r="57449" spans="1:141" s="116" customFormat="1">
      <c r="A57449" s="136"/>
      <c r="CM57449" s="111"/>
      <c r="CQ57449" s="111"/>
      <c r="EF57449"/>
      <c r="EG57449"/>
      <c r="EH57449"/>
      <c r="EI57449"/>
      <c r="EJ57449"/>
      <c r="EK57449"/>
    </row>
    <row r="57450" spans="1:141" s="116" customFormat="1">
      <c r="A57450" s="136"/>
      <c r="CM57450" s="111"/>
      <c r="CQ57450" s="111"/>
      <c r="EF57450"/>
      <c r="EG57450"/>
      <c r="EH57450"/>
      <c r="EI57450"/>
      <c r="EJ57450"/>
      <c r="EK57450"/>
    </row>
    <row r="57451" spans="1:141" s="116" customFormat="1">
      <c r="A57451" s="136"/>
      <c r="CM57451" s="111"/>
      <c r="CQ57451" s="111"/>
      <c r="EF57451"/>
      <c r="EG57451"/>
      <c r="EH57451"/>
      <c r="EI57451"/>
      <c r="EJ57451"/>
      <c r="EK57451"/>
    </row>
    <row r="57452" spans="1:141" s="116" customFormat="1">
      <c r="A57452" s="136"/>
      <c r="CM57452" s="111"/>
      <c r="CQ57452" s="111"/>
      <c r="EF57452"/>
      <c r="EG57452"/>
      <c r="EH57452"/>
      <c r="EI57452"/>
      <c r="EJ57452"/>
      <c r="EK57452"/>
    </row>
    <row r="57453" spans="1:141" s="116" customFormat="1">
      <c r="A57453" s="136"/>
      <c r="CM57453" s="111"/>
      <c r="CQ57453" s="111"/>
      <c r="EF57453"/>
      <c r="EG57453"/>
      <c r="EH57453"/>
      <c r="EI57453"/>
      <c r="EJ57453"/>
      <c r="EK57453"/>
    </row>
    <row r="57454" spans="1:141" s="116" customFormat="1">
      <c r="A57454" s="136"/>
      <c r="CM57454" s="111"/>
      <c r="CQ57454" s="111"/>
      <c r="EF57454"/>
      <c r="EG57454"/>
      <c r="EH57454"/>
      <c r="EI57454"/>
      <c r="EJ57454"/>
      <c r="EK57454"/>
    </row>
    <row r="57455" spans="1:141" s="116" customFormat="1">
      <c r="A57455" s="136"/>
      <c r="CM57455" s="111"/>
      <c r="CQ57455" s="111"/>
      <c r="EF57455"/>
      <c r="EG57455"/>
      <c r="EH57455"/>
      <c r="EI57455"/>
      <c r="EJ57455"/>
      <c r="EK57455"/>
    </row>
    <row r="57456" spans="1:141" s="116" customFormat="1">
      <c r="A57456" s="136"/>
      <c r="CM57456" s="111"/>
      <c r="CQ57456" s="111"/>
      <c r="EF57456"/>
      <c r="EG57456"/>
      <c r="EH57456"/>
      <c r="EI57456"/>
      <c r="EJ57456"/>
      <c r="EK57456"/>
    </row>
    <row r="57457" spans="1:141" s="116" customFormat="1">
      <c r="A57457" s="136"/>
      <c r="CM57457" s="111"/>
      <c r="CQ57457" s="111"/>
      <c r="EF57457"/>
      <c r="EG57457"/>
      <c r="EH57457"/>
      <c r="EI57457"/>
      <c r="EJ57457"/>
      <c r="EK57457"/>
    </row>
    <row r="57458" spans="1:141" s="116" customFormat="1">
      <c r="A57458" s="136"/>
      <c r="CM57458" s="111"/>
      <c r="CQ57458" s="111"/>
      <c r="EF57458"/>
      <c r="EG57458"/>
      <c r="EH57458"/>
      <c r="EI57458"/>
      <c r="EJ57458"/>
      <c r="EK57458"/>
    </row>
    <row r="57459" spans="1:141" s="116" customFormat="1">
      <c r="A57459" s="136"/>
      <c r="CM57459" s="111"/>
      <c r="CQ57459" s="111"/>
      <c r="EF57459"/>
      <c r="EG57459"/>
      <c r="EH57459"/>
      <c r="EI57459"/>
      <c r="EJ57459"/>
      <c r="EK57459"/>
    </row>
    <row r="57460" spans="1:141" s="116" customFormat="1">
      <c r="A57460" s="136"/>
      <c r="CM57460" s="111"/>
      <c r="CQ57460" s="111"/>
      <c r="EF57460"/>
      <c r="EG57460"/>
      <c r="EH57460"/>
      <c r="EI57460"/>
      <c r="EJ57460"/>
      <c r="EK57460"/>
    </row>
    <row r="57461" spans="1:141" s="116" customFormat="1">
      <c r="A57461" s="136"/>
      <c r="CM57461" s="111"/>
      <c r="CQ57461" s="111"/>
      <c r="EF57461"/>
      <c r="EG57461"/>
      <c r="EH57461"/>
      <c r="EI57461"/>
      <c r="EJ57461"/>
      <c r="EK57461"/>
    </row>
    <row r="57462" spans="1:141" s="116" customFormat="1">
      <c r="A57462" s="136"/>
      <c r="CM57462" s="111"/>
      <c r="CQ57462" s="111"/>
      <c r="EF57462"/>
      <c r="EG57462"/>
      <c r="EH57462"/>
      <c r="EI57462"/>
      <c r="EJ57462"/>
      <c r="EK57462"/>
    </row>
    <row r="57463" spans="1:141" s="116" customFormat="1">
      <c r="A57463" s="136"/>
      <c r="CM57463" s="111"/>
      <c r="CQ57463" s="111"/>
      <c r="EF57463"/>
      <c r="EG57463"/>
      <c r="EH57463"/>
      <c r="EI57463"/>
      <c r="EJ57463"/>
      <c r="EK57463"/>
    </row>
    <row r="57464" spans="1:141" s="116" customFormat="1">
      <c r="A57464" s="136"/>
      <c r="CM57464" s="111"/>
      <c r="CQ57464" s="111"/>
      <c r="EF57464"/>
      <c r="EG57464"/>
      <c r="EH57464"/>
      <c r="EI57464"/>
      <c r="EJ57464"/>
      <c r="EK57464"/>
    </row>
    <row r="57465" spans="1:141" s="116" customFormat="1">
      <c r="A57465" s="136"/>
      <c r="CM57465" s="111"/>
      <c r="CQ57465" s="111"/>
      <c r="EF57465"/>
      <c r="EG57465"/>
      <c r="EH57465"/>
      <c r="EI57465"/>
      <c r="EJ57465"/>
      <c r="EK57465"/>
    </row>
    <row r="57466" spans="1:141" s="116" customFormat="1">
      <c r="A57466" s="136"/>
      <c r="CM57466" s="111"/>
      <c r="CQ57466" s="111"/>
      <c r="EF57466"/>
      <c r="EG57466"/>
      <c r="EH57466"/>
      <c r="EI57466"/>
      <c r="EJ57466"/>
      <c r="EK57466"/>
    </row>
    <row r="57467" spans="1:141" s="116" customFormat="1">
      <c r="A57467" s="136"/>
      <c r="CM57467" s="111"/>
      <c r="CQ57467" s="111"/>
      <c r="EF57467"/>
      <c r="EG57467"/>
      <c r="EH57467"/>
      <c r="EI57467"/>
      <c r="EJ57467"/>
      <c r="EK57467"/>
    </row>
    <row r="57468" spans="1:141" s="116" customFormat="1">
      <c r="A57468" s="136"/>
      <c r="CM57468" s="111"/>
      <c r="CQ57468" s="111"/>
      <c r="EF57468"/>
      <c r="EG57468"/>
      <c r="EH57468"/>
      <c r="EI57468"/>
      <c r="EJ57468"/>
      <c r="EK57468"/>
    </row>
    <row r="57469" spans="1:141" s="116" customFormat="1">
      <c r="A57469" s="136"/>
      <c r="CM57469" s="111"/>
      <c r="CQ57469" s="111"/>
      <c r="EF57469"/>
      <c r="EG57469"/>
      <c r="EH57469"/>
      <c r="EI57469"/>
      <c r="EJ57469"/>
      <c r="EK57469"/>
    </row>
    <row r="57470" spans="1:141" s="116" customFormat="1">
      <c r="A57470" s="136"/>
      <c r="CM57470" s="111"/>
      <c r="CQ57470" s="111"/>
      <c r="EF57470"/>
      <c r="EG57470"/>
      <c r="EH57470"/>
      <c r="EI57470"/>
      <c r="EJ57470"/>
      <c r="EK57470"/>
    </row>
    <row r="57471" spans="1:141" s="116" customFormat="1">
      <c r="A57471" s="136"/>
      <c r="CM57471" s="111"/>
      <c r="CQ57471" s="111"/>
      <c r="EF57471"/>
      <c r="EG57471"/>
      <c r="EH57471"/>
      <c r="EI57471"/>
      <c r="EJ57471"/>
      <c r="EK57471"/>
    </row>
    <row r="57472" spans="1:141" s="116" customFormat="1">
      <c r="A57472" s="136"/>
      <c r="CM57472" s="111"/>
      <c r="CQ57472" s="111"/>
      <c r="EF57472"/>
      <c r="EG57472"/>
      <c r="EH57472"/>
      <c r="EI57472"/>
      <c r="EJ57472"/>
      <c r="EK57472"/>
    </row>
    <row r="57473" spans="1:141" s="116" customFormat="1">
      <c r="A57473" s="136"/>
      <c r="CM57473" s="111"/>
      <c r="CQ57473" s="111"/>
      <c r="EF57473"/>
      <c r="EG57473"/>
      <c r="EH57473"/>
      <c r="EI57473"/>
      <c r="EJ57473"/>
      <c r="EK57473"/>
    </row>
    <row r="57474" spans="1:141" s="116" customFormat="1">
      <c r="A57474" s="136"/>
      <c r="CM57474" s="111"/>
      <c r="CQ57474" s="111"/>
      <c r="EF57474"/>
      <c r="EG57474"/>
      <c r="EH57474"/>
      <c r="EI57474"/>
      <c r="EJ57474"/>
      <c r="EK57474"/>
    </row>
    <row r="57475" spans="1:141" s="116" customFormat="1">
      <c r="A57475" s="136"/>
      <c r="CM57475" s="111"/>
      <c r="CQ57475" s="111"/>
      <c r="EF57475"/>
      <c r="EG57475"/>
      <c r="EH57475"/>
      <c r="EI57475"/>
      <c r="EJ57475"/>
      <c r="EK57475"/>
    </row>
    <row r="57476" spans="1:141" s="116" customFormat="1">
      <c r="A57476" s="136"/>
      <c r="CM57476" s="111"/>
      <c r="CQ57476" s="111"/>
      <c r="EF57476"/>
      <c r="EG57476"/>
      <c r="EH57476"/>
      <c r="EI57476"/>
      <c r="EJ57476"/>
      <c r="EK57476"/>
    </row>
    <row r="57477" spans="1:141" s="116" customFormat="1">
      <c r="A57477" s="136"/>
      <c r="CM57477" s="111"/>
      <c r="CQ57477" s="111"/>
      <c r="EF57477"/>
      <c r="EG57477"/>
      <c r="EH57477"/>
      <c r="EI57477"/>
      <c r="EJ57477"/>
      <c r="EK57477"/>
    </row>
    <row r="57478" spans="1:141" s="116" customFormat="1">
      <c r="A57478" s="136"/>
      <c r="CM57478" s="111"/>
      <c r="CQ57478" s="111"/>
      <c r="EF57478"/>
      <c r="EG57478"/>
      <c r="EH57478"/>
      <c r="EI57478"/>
      <c r="EJ57478"/>
      <c r="EK57478"/>
    </row>
    <row r="57479" spans="1:141" s="116" customFormat="1">
      <c r="A57479" s="136"/>
      <c r="CM57479" s="111"/>
      <c r="CQ57479" s="111"/>
      <c r="EF57479"/>
      <c r="EG57479"/>
      <c r="EH57479"/>
      <c r="EI57479"/>
      <c r="EJ57479"/>
      <c r="EK57479"/>
    </row>
    <row r="57480" spans="1:141" s="116" customFormat="1">
      <c r="A57480" s="136"/>
      <c r="CM57480" s="111"/>
      <c r="CQ57480" s="111"/>
      <c r="EF57480"/>
      <c r="EG57480"/>
      <c r="EH57480"/>
      <c r="EI57480"/>
      <c r="EJ57480"/>
      <c r="EK57480"/>
    </row>
    <row r="57481" spans="1:141" s="116" customFormat="1">
      <c r="A57481" s="136"/>
      <c r="CM57481" s="111"/>
      <c r="CQ57481" s="111"/>
      <c r="EF57481"/>
      <c r="EG57481"/>
      <c r="EH57481"/>
      <c r="EI57481"/>
      <c r="EJ57481"/>
      <c r="EK57481"/>
    </row>
    <row r="57482" spans="1:141" s="116" customFormat="1">
      <c r="A57482" s="136"/>
      <c r="CM57482" s="111"/>
      <c r="CQ57482" s="111"/>
      <c r="EF57482"/>
      <c r="EG57482"/>
      <c r="EH57482"/>
      <c r="EI57482"/>
      <c r="EJ57482"/>
      <c r="EK57482"/>
    </row>
    <row r="57483" spans="1:141" s="116" customFormat="1">
      <c r="A57483" s="136"/>
      <c r="CM57483" s="111"/>
      <c r="CQ57483" s="111"/>
      <c r="EF57483"/>
      <c r="EG57483"/>
      <c r="EH57483"/>
      <c r="EI57483"/>
      <c r="EJ57483"/>
      <c r="EK57483"/>
    </row>
    <row r="57484" spans="1:141" s="116" customFormat="1">
      <c r="A57484" s="136"/>
      <c r="CM57484" s="111"/>
      <c r="CQ57484" s="111"/>
      <c r="EF57484"/>
      <c r="EG57484"/>
      <c r="EH57484"/>
      <c r="EI57484"/>
      <c r="EJ57484"/>
      <c r="EK57484"/>
    </row>
    <row r="57485" spans="1:141" s="116" customFormat="1">
      <c r="A57485" s="136"/>
      <c r="CM57485" s="111"/>
      <c r="CQ57485" s="111"/>
      <c r="EF57485"/>
      <c r="EG57485"/>
      <c r="EH57485"/>
      <c r="EI57485"/>
      <c r="EJ57485"/>
      <c r="EK57485"/>
    </row>
    <row r="57486" spans="1:141" s="116" customFormat="1">
      <c r="A57486" s="136"/>
      <c r="CM57486" s="111"/>
      <c r="CQ57486" s="111"/>
      <c r="EF57486"/>
      <c r="EG57486"/>
      <c r="EH57486"/>
      <c r="EI57486"/>
      <c r="EJ57486"/>
      <c r="EK57486"/>
    </row>
    <row r="57487" spans="1:141" s="116" customFormat="1">
      <c r="A57487" s="136"/>
      <c r="CM57487" s="111"/>
      <c r="CQ57487" s="111"/>
      <c r="EF57487"/>
      <c r="EG57487"/>
      <c r="EH57487"/>
      <c r="EI57487"/>
      <c r="EJ57487"/>
      <c r="EK57487"/>
    </row>
    <row r="57488" spans="1:141" s="116" customFormat="1">
      <c r="A57488" s="136"/>
      <c r="CM57488" s="111"/>
      <c r="CQ57488" s="111"/>
      <c r="EF57488"/>
      <c r="EG57488"/>
      <c r="EH57488"/>
      <c r="EI57488"/>
      <c r="EJ57488"/>
      <c r="EK57488"/>
    </row>
    <row r="57489" spans="1:141" s="116" customFormat="1">
      <c r="A57489" s="136"/>
      <c r="CM57489" s="111"/>
      <c r="CQ57489" s="111"/>
      <c r="EF57489"/>
      <c r="EG57489"/>
      <c r="EH57489"/>
      <c r="EI57489"/>
      <c r="EJ57489"/>
      <c r="EK57489"/>
    </row>
    <row r="57490" spans="1:141" s="116" customFormat="1">
      <c r="A57490" s="136"/>
      <c r="CM57490" s="111"/>
      <c r="CQ57490" s="111"/>
      <c r="EF57490"/>
      <c r="EG57490"/>
      <c r="EH57490"/>
      <c r="EI57490"/>
      <c r="EJ57490"/>
      <c r="EK57490"/>
    </row>
    <row r="57491" spans="1:141" s="116" customFormat="1">
      <c r="A57491" s="136"/>
      <c r="CM57491" s="111"/>
      <c r="CQ57491" s="111"/>
      <c r="EF57491"/>
      <c r="EG57491"/>
      <c r="EH57491"/>
      <c r="EI57491"/>
      <c r="EJ57491"/>
      <c r="EK57491"/>
    </row>
    <row r="57492" spans="1:141" s="116" customFormat="1">
      <c r="A57492" s="136"/>
      <c r="CM57492" s="111"/>
      <c r="CQ57492" s="111"/>
      <c r="EF57492"/>
      <c r="EG57492"/>
      <c r="EH57492"/>
      <c r="EI57492"/>
      <c r="EJ57492"/>
      <c r="EK57492"/>
    </row>
    <row r="57493" spans="1:141" s="116" customFormat="1">
      <c r="A57493" s="136"/>
      <c r="CM57493" s="111"/>
      <c r="CQ57493" s="111"/>
      <c r="EF57493"/>
      <c r="EG57493"/>
      <c r="EH57493"/>
      <c r="EI57493"/>
      <c r="EJ57493"/>
      <c r="EK57493"/>
    </row>
    <row r="57494" spans="1:141" s="116" customFormat="1">
      <c r="A57494" s="136"/>
      <c r="CM57494" s="111"/>
      <c r="CQ57494" s="111"/>
      <c r="EF57494"/>
      <c r="EG57494"/>
      <c r="EH57494"/>
      <c r="EI57494"/>
      <c r="EJ57494"/>
      <c r="EK57494"/>
    </row>
    <row r="57495" spans="1:141" s="116" customFormat="1">
      <c r="A57495" s="136"/>
      <c r="CM57495" s="111"/>
      <c r="CQ57495" s="111"/>
      <c r="EF57495"/>
      <c r="EG57495"/>
      <c r="EH57495"/>
      <c r="EI57495"/>
      <c r="EJ57495"/>
      <c r="EK57495"/>
    </row>
    <row r="57496" spans="1:141" s="116" customFormat="1">
      <c r="A57496" s="136"/>
      <c r="CM57496" s="111"/>
      <c r="CQ57496" s="111"/>
      <c r="EF57496"/>
      <c r="EG57496"/>
      <c r="EH57496"/>
      <c r="EI57496"/>
      <c r="EJ57496"/>
      <c r="EK57496"/>
    </row>
    <row r="57497" spans="1:141" s="116" customFormat="1">
      <c r="A57497" s="136"/>
      <c r="CM57497" s="111"/>
      <c r="CQ57497" s="111"/>
      <c r="EF57497"/>
      <c r="EG57497"/>
      <c r="EH57497"/>
      <c r="EI57497"/>
      <c r="EJ57497"/>
      <c r="EK57497"/>
    </row>
    <row r="57498" spans="1:141" s="116" customFormat="1">
      <c r="A57498" s="136"/>
      <c r="CM57498" s="111"/>
      <c r="CQ57498" s="111"/>
      <c r="EF57498"/>
      <c r="EG57498"/>
      <c r="EH57498"/>
      <c r="EI57498"/>
      <c r="EJ57498"/>
      <c r="EK57498"/>
    </row>
    <row r="57499" spans="1:141" s="116" customFormat="1">
      <c r="A57499" s="136"/>
      <c r="CM57499" s="111"/>
      <c r="CQ57499" s="111"/>
      <c r="EF57499"/>
      <c r="EG57499"/>
      <c r="EH57499"/>
      <c r="EI57499"/>
      <c r="EJ57499"/>
      <c r="EK57499"/>
    </row>
    <row r="57500" spans="1:141" s="116" customFormat="1">
      <c r="A57500" s="136"/>
      <c r="CM57500" s="111"/>
      <c r="CQ57500" s="111"/>
      <c r="EF57500"/>
      <c r="EG57500"/>
      <c r="EH57500"/>
      <c r="EI57500"/>
      <c r="EJ57500"/>
      <c r="EK57500"/>
    </row>
    <row r="57501" spans="1:141" s="116" customFormat="1">
      <c r="A57501" s="136"/>
      <c r="CM57501" s="111"/>
      <c r="CQ57501" s="111"/>
      <c r="EF57501"/>
      <c r="EG57501"/>
      <c r="EH57501"/>
      <c r="EI57501"/>
      <c r="EJ57501"/>
      <c r="EK57501"/>
    </row>
    <row r="57502" spans="1:141" s="116" customFormat="1">
      <c r="A57502" s="136"/>
      <c r="CM57502" s="111"/>
      <c r="CQ57502" s="111"/>
      <c r="EF57502"/>
      <c r="EG57502"/>
      <c r="EH57502"/>
      <c r="EI57502"/>
      <c r="EJ57502"/>
      <c r="EK57502"/>
    </row>
    <row r="57503" spans="1:141" s="116" customFormat="1">
      <c r="A57503" s="136"/>
      <c r="CM57503" s="111"/>
      <c r="CQ57503" s="111"/>
      <c r="EF57503"/>
      <c r="EG57503"/>
      <c r="EH57503"/>
      <c r="EI57503"/>
      <c r="EJ57503"/>
      <c r="EK57503"/>
    </row>
    <row r="57504" spans="1:141" s="116" customFormat="1">
      <c r="A57504" s="136"/>
      <c r="CM57504" s="111"/>
      <c r="CQ57504" s="111"/>
      <c r="EF57504"/>
      <c r="EG57504"/>
      <c r="EH57504"/>
      <c r="EI57504"/>
      <c r="EJ57504"/>
      <c r="EK57504"/>
    </row>
    <row r="57505" spans="1:141" s="116" customFormat="1">
      <c r="A57505" s="136"/>
      <c r="CM57505" s="111"/>
      <c r="CQ57505" s="111"/>
      <c r="EF57505"/>
      <c r="EG57505"/>
      <c r="EH57505"/>
      <c r="EI57505"/>
      <c r="EJ57505"/>
      <c r="EK57505"/>
    </row>
    <row r="57506" spans="1:141" s="116" customFormat="1">
      <c r="A57506" s="136"/>
      <c r="CM57506" s="111"/>
      <c r="CQ57506" s="111"/>
      <c r="EF57506"/>
      <c r="EG57506"/>
      <c r="EH57506"/>
      <c r="EI57506"/>
      <c r="EJ57506"/>
      <c r="EK57506"/>
    </row>
    <row r="57507" spans="1:141" s="116" customFormat="1">
      <c r="A57507" s="136"/>
      <c r="CM57507" s="111"/>
      <c r="CQ57507" s="111"/>
      <c r="EF57507"/>
      <c r="EG57507"/>
      <c r="EH57507"/>
      <c r="EI57507"/>
      <c r="EJ57507"/>
      <c r="EK57507"/>
    </row>
    <row r="57508" spans="1:141" s="116" customFormat="1">
      <c r="A57508" s="136"/>
      <c r="CM57508" s="111"/>
      <c r="CQ57508" s="111"/>
      <c r="EF57508"/>
      <c r="EG57508"/>
      <c r="EH57508"/>
      <c r="EI57508"/>
      <c r="EJ57508"/>
      <c r="EK57508"/>
    </row>
    <row r="57509" spans="1:141" s="116" customFormat="1">
      <c r="A57509" s="136"/>
      <c r="CM57509" s="111"/>
      <c r="CQ57509" s="111"/>
      <c r="EF57509"/>
      <c r="EG57509"/>
      <c r="EH57509"/>
      <c r="EI57509"/>
      <c r="EJ57509"/>
      <c r="EK57509"/>
    </row>
    <row r="57510" spans="1:141" s="116" customFormat="1">
      <c r="A57510" s="136"/>
      <c r="CM57510" s="111"/>
      <c r="CQ57510" s="111"/>
      <c r="EF57510"/>
      <c r="EG57510"/>
      <c r="EH57510"/>
      <c r="EI57510"/>
      <c r="EJ57510"/>
      <c r="EK57510"/>
    </row>
    <row r="57511" spans="1:141" s="116" customFormat="1">
      <c r="A57511" s="136"/>
      <c r="CM57511" s="111"/>
      <c r="CQ57511" s="111"/>
      <c r="EF57511"/>
      <c r="EG57511"/>
      <c r="EH57511"/>
      <c r="EI57511"/>
      <c r="EJ57511"/>
      <c r="EK57511"/>
    </row>
    <row r="57512" spans="1:141" s="116" customFormat="1">
      <c r="A57512" s="136"/>
      <c r="CM57512" s="111"/>
      <c r="CQ57512" s="111"/>
      <c r="EF57512"/>
      <c r="EG57512"/>
      <c r="EH57512"/>
      <c r="EI57512"/>
      <c r="EJ57512"/>
      <c r="EK57512"/>
    </row>
    <row r="57513" spans="1:141" s="116" customFormat="1">
      <c r="A57513" s="136"/>
      <c r="CM57513" s="111"/>
      <c r="CQ57513" s="111"/>
      <c r="EF57513"/>
      <c r="EG57513"/>
      <c r="EH57513"/>
      <c r="EI57513"/>
      <c r="EJ57513"/>
      <c r="EK57513"/>
    </row>
    <row r="57514" spans="1:141" s="116" customFormat="1">
      <c r="A57514" s="136"/>
      <c r="CM57514" s="111"/>
      <c r="CQ57514" s="111"/>
      <c r="EF57514"/>
      <c r="EG57514"/>
      <c r="EH57514"/>
      <c r="EI57514"/>
      <c r="EJ57514"/>
      <c r="EK57514"/>
    </row>
    <row r="57515" spans="1:141" s="116" customFormat="1">
      <c r="A57515" s="136"/>
      <c r="CM57515" s="111"/>
      <c r="CQ57515" s="111"/>
      <c r="EF57515"/>
      <c r="EG57515"/>
      <c r="EH57515"/>
      <c r="EI57515"/>
      <c r="EJ57515"/>
      <c r="EK57515"/>
    </row>
    <row r="57516" spans="1:141" s="116" customFormat="1">
      <c r="A57516" s="136"/>
      <c r="CM57516" s="111"/>
      <c r="CQ57516" s="111"/>
      <c r="EF57516"/>
      <c r="EG57516"/>
      <c r="EH57516"/>
      <c r="EI57516"/>
      <c r="EJ57516"/>
      <c r="EK57516"/>
    </row>
    <row r="57517" spans="1:141" s="116" customFormat="1">
      <c r="A57517" s="136"/>
      <c r="CM57517" s="111"/>
      <c r="CQ57517" s="111"/>
      <c r="EF57517"/>
      <c r="EG57517"/>
      <c r="EH57517"/>
      <c r="EI57517"/>
      <c r="EJ57517"/>
      <c r="EK57517"/>
    </row>
    <row r="57518" spans="1:141" s="116" customFormat="1">
      <c r="A57518" s="136"/>
      <c r="CM57518" s="111"/>
      <c r="CQ57518" s="111"/>
      <c r="EF57518"/>
      <c r="EG57518"/>
      <c r="EH57518"/>
      <c r="EI57518"/>
      <c r="EJ57518"/>
      <c r="EK57518"/>
    </row>
    <row r="57519" spans="1:141" s="116" customFormat="1">
      <c r="A57519" s="136"/>
      <c r="CM57519" s="111"/>
      <c r="CQ57519" s="111"/>
      <c r="EF57519"/>
      <c r="EG57519"/>
      <c r="EH57519"/>
      <c r="EI57519"/>
      <c r="EJ57519"/>
      <c r="EK57519"/>
    </row>
    <row r="57520" spans="1:141" s="116" customFormat="1">
      <c r="A57520" s="136"/>
      <c r="CM57520" s="111"/>
      <c r="CQ57520" s="111"/>
      <c r="EF57520"/>
      <c r="EG57520"/>
      <c r="EH57520"/>
      <c r="EI57520"/>
      <c r="EJ57520"/>
      <c r="EK57520"/>
    </row>
    <row r="57521" spans="1:141" s="116" customFormat="1">
      <c r="A57521" s="136"/>
      <c r="CM57521" s="111"/>
      <c r="CQ57521" s="111"/>
      <c r="EF57521"/>
      <c r="EG57521"/>
      <c r="EH57521"/>
      <c r="EI57521"/>
      <c r="EJ57521"/>
      <c r="EK57521"/>
    </row>
    <row r="57522" spans="1:141" s="116" customFormat="1">
      <c r="A57522" s="136"/>
      <c r="CM57522" s="111"/>
      <c r="CQ57522" s="111"/>
      <c r="EF57522"/>
      <c r="EG57522"/>
      <c r="EH57522"/>
      <c r="EI57522"/>
      <c r="EJ57522"/>
      <c r="EK57522"/>
    </row>
    <row r="57523" spans="1:141" s="116" customFormat="1">
      <c r="A57523" s="136"/>
      <c r="CM57523" s="111"/>
      <c r="CQ57523" s="111"/>
      <c r="EF57523"/>
      <c r="EG57523"/>
      <c r="EH57523"/>
      <c r="EI57523"/>
      <c r="EJ57523"/>
      <c r="EK57523"/>
    </row>
    <row r="57524" spans="1:141" s="116" customFormat="1">
      <c r="A57524" s="136"/>
      <c r="CM57524" s="111"/>
      <c r="CQ57524" s="111"/>
      <c r="EF57524"/>
      <c r="EG57524"/>
      <c r="EH57524"/>
      <c r="EI57524"/>
      <c r="EJ57524"/>
      <c r="EK57524"/>
    </row>
    <row r="57525" spans="1:141" s="116" customFormat="1">
      <c r="A57525" s="136"/>
      <c r="CM57525" s="111"/>
      <c r="CQ57525" s="111"/>
      <c r="EF57525"/>
      <c r="EG57525"/>
      <c r="EH57525"/>
      <c r="EI57525"/>
      <c r="EJ57525"/>
      <c r="EK57525"/>
    </row>
    <row r="57526" spans="1:141" s="116" customFormat="1">
      <c r="A57526" s="136"/>
      <c r="CM57526" s="111"/>
      <c r="CQ57526" s="111"/>
      <c r="EF57526"/>
      <c r="EG57526"/>
      <c r="EH57526"/>
      <c r="EI57526"/>
      <c r="EJ57526"/>
      <c r="EK57526"/>
    </row>
    <row r="57527" spans="1:141" s="116" customFormat="1">
      <c r="A57527" s="136"/>
      <c r="CM57527" s="111"/>
      <c r="CQ57527" s="111"/>
      <c r="EF57527"/>
      <c r="EG57527"/>
      <c r="EH57527"/>
      <c r="EI57527"/>
      <c r="EJ57527"/>
      <c r="EK57527"/>
    </row>
    <row r="57528" spans="1:141" s="116" customFormat="1">
      <c r="A57528" s="136"/>
      <c r="CM57528" s="111"/>
      <c r="CQ57528" s="111"/>
      <c r="EF57528"/>
      <c r="EG57528"/>
      <c r="EH57528"/>
      <c r="EI57528"/>
      <c r="EJ57528"/>
      <c r="EK57528"/>
    </row>
    <row r="57529" spans="1:141" s="116" customFormat="1">
      <c r="A57529" s="136"/>
      <c r="CM57529" s="111"/>
      <c r="CQ57529" s="111"/>
      <c r="EF57529"/>
      <c r="EG57529"/>
      <c r="EH57529"/>
      <c r="EI57529"/>
      <c r="EJ57529"/>
      <c r="EK57529"/>
    </row>
    <row r="57530" spans="1:141" s="116" customFormat="1">
      <c r="A57530" s="136"/>
      <c r="CM57530" s="111"/>
      <c r="CQ57530" s="111"/>
      <c r="EF57530"/>
      <c r="EG57530"/>
      <c r="EH57530"/>
      <c r="EI57530"/>
      <c r="EJ57530"/>
      <c r="EK57530"/>
    </row>
    <row r="57531" spans="1:141" s="116" customFormat="1">
      <c r="A57531" s="136"/>
      <c r="CM57531" s="111"/>
      <c r="CQ57531" s="111"/>
      <c r="EF57531"/>
      <c r="EG57531"/>
      <c r="EH57531"/>
      <c r="EI57531"/>
      <c r="EJ57531"/>
      <c r="EK57531"/>
    </row>
    <row r="57532" spans="1:141" s="116" customFormat="1">
      <c r="A57532" s="136"/>
      <c r="CM57532" s="111"/>
      <c r="CQ57532" s="111"/>
      <c r="EF57532"/>
      <c r="EG57532"/>
      <c r="EH57532"/>
      <c r="EI57532"/>
      <c r="EJ57532"/>
      <c r="EK57532"/>
    </row>
    <row r="57533" spans="1:141" s="116" customFormat="1">
      <c r="A57533" s="136"/>
      <c r="CM57533" s="111"/>
      <c r="CQ57533" s="111"/>
      <c r="EF57533"/>
      <c r="EG57533"/>
      <c r="EH57533"/>
      <c r="EI57533"/>
      <c r="EJ57533"/>
      <c r="EK57533"/>
    </row>
    <row r="57534" spans="1:141" s="116" customFormat="1">
      <c r="A57534" s="136"/>
      <c r="CM57534" s="111"/>
      <c r="CQ57534" s="111"/>
      <c r="EF57534"/>
      <c r="EG57534"/>
      <c r="EH57534"/>
      <c r="EI57534"/>
      <c r="EJ57534"/>
      <c r="EK57534"/>
    </row>
    <row r="57535" spans="1:141" s="116" customFormat="1">
      <c r="A57535" s="136"/>
      <c r="CM57535" s="111"/>
      <c r="CQ57535" s="111"/>
      <c r="EF57535"/>
      <c r="EG57535"/>
      <c r="EH57535"/>
      <c r="EI57535"/>
      <c r="EJ57535"/>
      <c r="EK57535"/>
    </row>
    <row r="57536" spans="1:141" s="116" customFormat="1">
      <c r="A57536" s="136"/>
      <c r="CM57536" s="111"/>
      <c r="CQ57536" s="111"/>
      <c r="EF57536"/>
      <c r="EG57536"/>
      <c r="EH57536"/>
      <c r="EI57536"/>
      <c r="EJ57536"/>
      <c r="EK57536"/>
    </row>
    <row r="57537" spans="1:141" s="116" customFormat="1">
      <c r="A57537" s="136"/>
      <c r="CM57537" s="111"/>
      <c r="CQ57537" s="111"/>
      <c r="EF57537"/>
      <c r="EG57537"/>
      <c r="EH57537"/>
      <c r="EI57537"/>
      <c r="EJ57537"/>
      <c r="EK57537"/>
    </row>
    <row r="57538" spans="1:141" s="116" customFormat="1">
      <c r="A57538" s="136"/>
      <c r="CM57538" s="111"/>
      <c r="CQ57538" s="111"/>
      <c r="EF57538"/>
      <c r="EG57538"/>
      <c r="EH57538"/>
      <c r="EI57538"/>
      <c r="EJ57538"/>
      <c r="EK57538"/>
    </row>
    <row r="57539" spans="1:141" s="116" customFormat="1">
      <c r="A57539" s="136"/>
      <c r="CM57539" s="111"/>
      <c r="CQ57539" s="111"/>
      <c r="EF57539"/>
      <c r="EG57539"/>
      <c r="EH57539"/>
      <c r="EI57539"/>
      <c r="EJ57539"/>
      <c r="EK57539"/>
    </row>
    <row r="57540" spans="1:141" s="116" customFormat="1">
      <c r="A57540" s="136"/>
      <c r="CM57540" s="111"/>
      <c r="CQ57540" s="111"/>
      <c r="EF57540"/>
      <c r="EG57540"/>
      <c r="EH57540"/>
      <c r="EI57540"/>
      <c r="EJ57540"/>
      <c r="EK57540"/>
    </row>
    <row r="57541" spans="1:141" s="116" customFormat="1">
      <c r="A57541" s="136"/>
      <c r="CM57541" s="111"/>
      <c r="CQ57541" s="111"/>
      <c r="EF57541"/>
      <c r="EG57541"/>
      <c r="EH57541"/>
      <c r="EI57541"/>
      <c r="EJ57541"/>
      <c r="EK57541"/>
    </row>
    <row r="57542" spans="1:141" s="116" customFormat="1">
      <c r="A57542" s="136"/>
      <c r="CM57542" s="111"/>
      <c r="CQ57542" s="111"/>
      <c r="EF57542"/>
      <c r="EG57542"/>
      <c r="EH57542"/>
      <c r="EI57542"/>
      <c r="EJ57542"/>
      <c r="EK57542"/>
    </row>
    <row r="57543" spans="1:141" s="116" customFormat="1">
      <c r="A57543" s="136"/>
      <c r="CM57543" s="111"/>
      <c r="CQ57543" s="111"/>
      <c r="EF57543"/>
      <c r="EG57543"/>
      <c r="EH57543"/>
      <c r="EI57543"/>
      <c r="EJ57543"/>
      <c r="EK57543"/>
    </row>
    <row r="57544" spans="1:141" s="116" customFormat="1">
      <c r="A57544" s="136"/>
      <c r="CM57544" s="111"/>
      <c r="CQ57544" s="111"/>
      <c r="EF57544"/>
      <c r="EG57544"/>
      <c r="EH57544"/>
      <c r="EI57544"/>
      <c r="EJ57544"/>
      <c r="EK57544"/>
    </row>
    <row r="57545" spans="1:141" s="116" customFormat="1">
      <c r="A57545" s="136"/>
      <c r="CM57545" s="111"/>
      <c r="CQ57545" s="111"/>
      <c r="EF57545"/>
      <c r="EG57545"/>
      <c r="EH57545"/>
      <c r="EI57545"/>
      <c r="EJ57545"/>
      <c r="EK57545"/>
    </row>
    <row r="57546" spans="1:141" s="116" customFormat="1">
      <c r="A57546" s="136"/>
      <c r="CM57546" s="111"/>
      <c r="CQ57546" s="111"/>
      <c r="EF57546"/>
      <c r="EG57546"/>
      <c r="EH57546"/>
      <c r="EI57546"/>
      <c r="EJ57546"/>
      <c r="EK57546"/>
    </row>
    <row r="57547" spans="1:141" s="116" customFormat="1">
      <c r="A57547" s="136"/>
      <c r="CM57547" s="111"/>
      <c r="CQ57547" s="111"/>
      <c r="EF57547"/>
      <c r="EG57547"/>
      <c r="EH57547"/>
      <c r="EI57547"/>
      <c r="EJ57547"/>
      <c r="EK57547"/>
    </row>
    <row r="57548" spans="1:141" s="116" customFormat="1">
      <c r="A57548" s="136"/>
      <c r="CM57548" s="111"/>
      <c r="CQ57548" s="111"/>
      <c r="EF57548"/>
      <c r="EG57548"/>
      <c r="EH57548"/>
      <c r="EI57548"/>
      <c r="EJ57548"/>
      <c r="EK57548"/>
    </row>
    <row r="57549" spans="1:141" s="116" customFormat="1">
      <c r="A57549" s="136"/>
      <c r="CM57549" s="111"/>
      <c r="CQ57549" s="111"/>
      <c r="EF57549"/>
      <c r="EG57549"/>
      <c r="EH57549"/>
      <c r="EI57549"/>
      <c r="EJ57549"/>
      <c r="EK57549"/>
    </row>
    <row r="57550" spans="1:141" s="116" customFormat="1">
      <c r="A57550" s="136"/>
      <c r="CM57550" s="111"/>
      <c r="CQ57550" s="111"/>
      <c r="EF57550"/>
      <c r="EG57550"/>
      <c r="EH57550"/>
      <c r="EI57550"/>
      <c r="EJ57550"/>
      <c r="EK57550"/>
    </row>
    <row r="57551" spans="1:141" s="116" customFormat="1">
      <c r="A57551" s="136"/>
      <c r="CM57551" s="111"/>
      <c r="CQ57551" s="111"/>
      <c r="EF57551"/>
      <c r="EG57551"/>
      <c r="EH57551"/>
      <c r="EI57551"/>
      <c r="EJ57551"/>
      <c r="EK57551"/>
    </row>
    <row r="57552" spans="1:141" s="116" customFormat="1">
      <c r="A57552" s="136"/>
      <c r="CM57552" s="111"/>
      <c r="CQ57552" s="111"/>
      <c r="EF57552"/>
      <c r="EG57552"/>
      <c r="EH57552"/>
      <c r="EI57552"/>
      <c r="EJ57552"/>
      <c r="EK57552"/>
    </row>
    <row r="57553" spans="1:141" s="116" customFormat="1">
      <c r="A57553" s="136"/>
      <c r="CM57553" s="111"/>
      <c r="CQ57553" s="111"/>
      <c r="EF57553"/>
      <c r="EG57553"/>
      <c r="EH57553"/>
      <c r="EI57553"/>
      <c r="EJ57553"/>
      <c r="EK57553"/>
    </row>
    <row r="57554" spans="1:141" s="116" customFormat="1">
      <c r="A57554" s="136"/>
      <c r="CM57554" s="111"/>
      <c r="CQ57554" s="111"/>
      <c r="EF57554"/>
      <c r="EG57554"/>
      <c r="EH57554"/>
      <c r="EI57554"/>
      <c r="EJ57554"/>
      <c r="EK57554"/>
    </row>
    <row r="57555" spans="1:141" s="116" customFormat="1">
      <c r="A57555" s="136"/>
      <c r="CM57555" s="111"/>
      <c r="CQ57555" s="111"/>
      <c r="EF57555"/>
      <c r="EG57555"/>
      <c r="EH57555"/>
      <c r="EI57555"/>
      <c r="EJ57555"/>
      <c r="EK57555"/>
    </row>
    <row r="57556" spans="1:141" s="116" customFormat="1">
      <c r="A57556" s="136"/>
      <c r="CM57556" s="111"/>
      <c r="CQ57556" s="111"/>
      <c r="EF57556"/>
      <c r="EG57556"/>
      <c r="EH57556"/>
      <c r="EI57556"/>
      <c r="EJ57556"/>
      <c r="EK57556"/>
    </row>
    <row r="57557" spans="1:141" s="116" customFormat="1">
      <c r="A57557" s="136"/>
      <c r="CM57557" s="111"/>
      <c r="CQ57557" s="111"/>
      <c r="EF57557"/>
      <c r="EG57557"/>
      <c r="EH57557"/>
      <c r="EI57557"/>
      <c r="EJ57557"/>
      <c r="EK57557"/>
    </row>
    <row r="57558" spans="1:141" s="116" customFormat="1">
      <c r="A57558" s="136"/>
      <c r="CM57558" s="111"/>
      <c r="CQ57558" s="111"/>
      <c r="EF57558"/>
      <c r="EG57558"/>
      <c r="EH57558"/>
      <c r="EI57558"/>
      <c r="EJ57558"/>
      <c r="EK57558"/>
    </row>
    <row r="57559" spans="1:141" s="116" customFormat="1">
      <c r="A57559" s="136"/>
      <c r="CM57559" s="111"/>
      <c r="CQ57559" s="111"/>
      <c r="EF57559"/>
      <c r="EG57559"/>
      <c r="EH57559"/>
      <c r="EI57559"/>
      <c r="EJ57559"/>
      <c r="EK57559"/>
    </row>
    <row r="57560" spans="1:141" s="116" customFormat="1">
      <c r="A57560" s="136"/>
      <c r="CM57560" s="111"/>
      <c r="CQ57560" s="111"/>
      <c r="EF57560"/>
      <c r="EG57560"/>
      <c r="EH57560"/>
      <c r="EI57560"/>
      <c r="EJ57560"/>
      <c r="EK57560"/>
    </row>
    <row r="57561" spans="1:141" s="116" customFormat="1">
      <c r="A57561" s="136"/>
      <c r="CM57561" s="111"/>
      <c r="CQ57561" s="111"/>
      <c r="EF57561"/>
      <c r="EG57561"/>
      <c r="EH57561"/>
      <c r="EI57561"/>
      <c r="EJ57561"/>
      <c r="EK57561"/>
    </row>
    <row r="57562" spans="1:141" s="116" customFormat="1">
      <c r="A57562" s="136"/>
      <c r="CM57562" s="111"/>
      <c r="CQ57562" s="111"/>
      <c r="EF57562"/>
      <c r="EG57562"/>
      <c r="EH57562"/>
      <c r="EI57562"/>
      <c r="EJ57562"/>
      <c r="EK57562"/>
    </row>
    <row r="57563" spans="1:141" s="116" customFormat="1">
      <c r="A57563" s="136"/>
      <c r="CM57563" s="111"/>
      <c r="CQ57563" s="111"/>
      <c r="EF57563"/>
      <c r="EG57563"/>
      <c r="EH57563"/>
      <c r="EI57563"/>
      <c r="EJ57563"/>
      <c r="EK57563"/>
    </row>
    <row r="57564" spans="1:141" s="116" customFormat="1">
      <c r="A57564" s="136"/>
      <c r="CM57564" s="111"/>
      <c r="CQ57564" s="111"/>
      <c r="EF57564"/>
      <c r="EG57564"/>
      <c r="EH57564"/>
      <c r="EI57564"/>
      <c r="EJ57564"/>
      <c r="EK57564"/>
    </row>
    <row r="57565" spans="1:141" s="116" customFormat="1">
      <c r="A57565" s="136"/>
      <c r="CM57565" s="111"/>
      <c r="CQ57565" s="111"/>
      <c r="EF57565"/>
      <c r="EG57565"/>
      <c r="EH57565"/>
      <c r="EI57565"/>
      <c r="EJ57565"/>
      <c r="EK57565"/>
    </row>
    <row r="57566" spans="1:141" s="116" customFormat="1">
      <c r="A57566" s="136"/>
      <c r="CM57566" s="111"/>
      <c r="CQ57566" s="111"/>
      <c r="EF57566"/>
      <c r="EG57566"/>
      <c r="EH57566"/>
      <c r="EI57566"/>
      <c r="EJ57566"/>
      <c r="EK57566"/>
    </row>
    <row r="57567" spans="1:141" s="116" customFormat="1">
      <c r="A57567" s="136"/>
      <c r="CM57567" s="111"/>
      <c r="CQ57567" s="111"/>
      <c r="EF57567"/>
      <c r="EG57567"/>
      <c r="EH57567"/>
      <c r="EI57567"/>
      <c r="EJ57567"/>
      <c r="EK57567"/>
    </row>
    <row r="57568" spans="1:141" s="116" customFormat="1">
      <c r="A57568" s="136"/>
      <c r="CM57568" s="111"/>
      <c r="CQ57568" s="111"/>
      <c r="EF57568"/>
      <c r="EG57568"/>
      <c r="EH57568"/>
      <c r="EI57568"/>
      <c r="EJ57568"/>
      <c r="EK57568"/>
    </row>
    <row r="57569" spans="1:141" s="116" customFormat="1">
      <c r="A57569" s="136"/>
      <c r="CM57569" s="111"/>
      <c r="CQ57569" s="111"/>
      <c r="EF57569"/>
      <c r="EG57569"/>
      <c r="EH57569"/>
      <c r="EI57569"/>
      <c r="EJ57569"/>
      <c r="EK57569"/>
    </row>
    <row r="57570" spans="1:141" s="116" customFormat="1">
      <c r="A57570" s="136"/>
      <c r="CM57570" s="111"/>
      <c r="CQ57570" s="111"/>
      <c r="EF57570"/>
      <c r="EG57570"/>
      <c r="EH57570"/>
      <c r="EI57570"/>
      <c r="EJ57570"/>
      <c r="EK57570"/>
    </row>
    <row r="57571" spans="1:141" s="116" customFormat="1">
      <c r="A57571" s="136"/>
      <c r="CM57571" s="111"/>
      <c r="CQ57571" s="111"/>
      <c r="EF57571"/>
      <c r="EG57571"/>
      <c r="EH57571"/>
      <c r="EI57571"/>
      <c r="EJ57571"/>
      <c r="EK57571"/>
    </row>
    <row r="57572" spans="1:141" s="116" customFormat="1">
      <c r="A57572" s="136"/>
      <c r="CM57572" s="111"/>
      <c r="CQ57572" s="111"/>
      <c r="EF57572"/>
      <c r="EG57572"/>
      <c r="EH57572"/>
      <c r="EI57572"/>
      <c r="EJ57572"/>
      <c r="EK57572"/>
    </row>
    <row r="57573" spans="1:141" s="116" customFormat="1">
      <c r="A57573" s="136"/>
      <c r="CM57573" s="111"/>
      <c r="CQ57573" s="111"/>
      <c r="EF57573"/>
      <c r="EG57573"/>
      <c r="EH57573"/>
      <c r="EI57573"/>
      <c r="EJ57573"/>
      <c r="EK57573"/>
    </row>
    <row r="57574" spans="1:141" s="116" customFormat="1">
      <c r="A57574" s="136"/>
      <c r="CM57574" s="111"/>
      <c r="CQ57574" s="111"/>
      <c r="EF57574"/>
      <c r="EG57574"/>
      <c r="EH57574"/>
      <c r="EI57574"/>
      <c r="EJ57574"/>
      <c r="EK57574"/>
    </row>
    <row r="57575" spans="1:141" s="116" customFormat="1">
      <c r="A57575" s="136"/>
      <c r="CM57575" s="111"/>
      <c r="CQ57575" s="111"/>
      <c r="EF57575"/>
      <c r="EG57575"/>
      <c r="EH57575"/>
      <c r="EI57575"/>
      <c r="EJ57575"/>
      <c r="EK57575"/>
    </row>
    <row r="57576" spans="1:141" s="116" customFormat="1">
      <c r="A57576" s="136"/>
      <c r="CM57576" s="111"/>
      <c r="CQ57576" s="111"/>
      <c r="EF57576"/>
      <c r="EG57576"/>
      <c r="EH57576"/>
      <c r="EI57576"/>
      <c r="EJ57576"/>
      <c r="EK57576"/>
    </row>
    <row r="57577" spans="1:141" s="116" customFormat="1">
      <c r="A57577" s="136"/>
      <c r="CM57577" s="111"/>
      <c r="CQ57577" s="111"/>
      <c r="EF57577"/>
      <c r="EG57577"/>
      <c r="EH57577"/>
      <c r="EI57577"/>
      <c r="EJ57577"/>
      <c r="EK57577"/>
    </row>
    <row r="57578" spans="1:141" s="116" customFormat="1">
      <c r="A57578" s="136"/>
      <c r="CM57578" s="111"/>
      <c r="CQ57578" s="111"/>
      <c r="EF57578"/>
      <c r="EG57578"/>
      <c r="EH57578"/>
      <c r="EI57578"/>
      <c r="EJ57578"/>
      <c r="EK57578"/>
    </row>
    <row r="57579" spans="1:141" s="116" customFormat="1">
      <c r="A57579" s="136"/>
      <c r="CM57579" s="111"/>
      <c r="CQ57579" s="111"/>
      <c r="EF57579"/>
      <c r="EG57579"/>
      <c r="EH57579"/>
      <c r="EI57579"/>
      <c r="EJ57579"/>
      <c r="EK57579"/>
    </row>
    <row r="57580" spans="1:141" s="116" customFormat="1">
      <c r="A57580" s="136"/>
      <c r="CM57580" s="111"/>
      <c r="CQ57580" s="111"/>
      <c r="EF57580"/>
      <c r="EG57580"/>
      <c r="EH57580"/>
      <c r="EI57580"/>
      <c r="EJ57580"/>
      <c r="EK57580"/>
    </row>
    <row r="57581" spans="1:141" s="116" customFormat="1">
      <c r="A57581" s="136"/>
      <c r="CM57581" s="111"/>
      <c r="CQ57581" s="111"/>
      <c r="EF57581"/>
      <c r="EG57581"/>
      <c r="EH57581"/>
      <c r="EI57581"/>
      <c r="EJ57581"/>
      <c r="EK57581"/>
    </row>
    <row r="57582" spans="1:141" s="116" customFormat="1">
      <c r="A57582" s="136"/>
      <c r="CM57582" s="111"/>
      <c r="CQ57582" s="111"/>
      <c r="EF57582"/>
      <c r="EG57582"/>
      <c r="EH57582"/>
      <c r="EI57582"/>
      <c r="EJ57582"/>
      <c r="EK57582"/>
    </row>
    <row r="57583" spans="1:141" s="116" customFormat="1">
      <c r="A57583" s="136"/>
      <c r="CM57583" s="111"/>
      <c r="CQ57583" s="111"/>
      <c r="EF57583"/>
      <c r="EG57583"/>
      <c r="EH57583"/>
      <c r="EI57583"/>
      <c r="EJ57583"/>
      <c r="EK57583"/>
    </row>
    <row r="57584" spans="1:141" s="116" customFormat="1">
      <c r="A57584" s="136"/>
      <c r="CM57584" s="111"/>
      <c r="CQ57584" s="111"/>
      <c r="EF57584"/>
      <c r="EG57584"/>
      <c r="EH57584"/>
      <c r="EI57584"/>
      <c r="EJ57584"/>
      <c r="EK57584"/>
    </row>
    <row r="57585" spans="1:141" s="116" customFormat="1">
      <c r="A57585" s="136"/>
      <c r="CM57585" s="111"/>
      <c r="CQ57585" s="111"/>
      <c r="EF57585"/>
      <c r="EG57585"/>
      <c r="EH57585"/>
      <c r="EI57585"/>
      <c r="EJ57585"/>
      <c r="EK57585"/>
    </row>
    <row r="57586" spans="1:141" s="116" customFormat="1">
      <c r="A57586" s="136"/>
      <c r="CM57586" s="111"/>
      <c r="CQ57586" s="111"/>
      <c r="EF57586"/>
      <c r="EG57586"/>
      <c r="EH57586"/>
      <c r="EI57586"/>
      <c r="EJ57586"/>
      <c r="EK57586"/>
    </row>
    <row r="57587" spans="1:141" s="116" customFormat="1">
      <c r="A57587" s="136"/>
      <c r="CM57587" s="111"/>
      <c r="CQ57587" s="111"/>
      <c r="EF57587"/>
      <c r="EG57587"/>
      <c r="EH57587"/>
      <c r="EI57587"/>
      <c r="EJ57587"/>
      <c r="EK57587"/>
    </row>
    <row r="57588" spans="1:141" s="116" customFormat="1">
      <c r="A57588" s="136"/>
      <c r="CM57588" s="111"/>
      <c r="CQ57588" s="111"/>
      <c r="EF57588"/>
      <c r="EG57588"/>
      <c r="EH57588"/>
      <c r="EI57588"/>
      <c r="EJ57588"/>
      <c r="EK57588"/>
    </row>
    <row r="57589" spans="1:141" s="116" customFormat="1">
      <c r="A57589" s="136"/>
      <c r="CM57589" s="111"/>
      <c r="CQ57589" s="111"/>
      <c r="EF57589"/>
      <c r="EG57589"/>
      <c r="EH57589"/>
      <c r="EI57589"/>
      <c r="EJ57589"/>
      <c r="EK57589"/>
    </row>
    <row r="57590" spans="1:141" s="116" customFormat="1">
      <c r="A57590" s="136"/>
      <c r="CM57590" s="111"/>
      <c r="CQ57590" s="111"/>
      <c r="EF57590"/>
      <c r="EG57590"/>
      <c r="EH57590"/>
      <c r="EI57590"/>
      <c r="EJ57590"/>
      <c r="EK57590"/>
    </row>
    <row r="57591" spans="1:141" s="116" customFormat="1">
      <c r="A57591" s="136"/>
      <c r="CM57591" s="111"/>
      <c r="CQ57591" s="111"/>
      <c r="EF57591"/>
      <c r="EG57591"/>
      <c r="EH57591"/>
      <c r="EI57591"/>
      <c r="EJ57591"/>
      <c r="EK57591"/>
    </row>
    <row r="57592" spans="1:141" s="116" customFormat="1">
      <c r="A57592" s="136"/>
      <c r="CM57592" s="111"/>
      <c r="CQ57592" s="111"/>
      <c r="EF57592"/>
      <c r="EG57592"/>
      <c r="EH57592"/>
      <c r="EI57592"/>
      <c r="EJ57592"/>
      <c r="EK57592"/>
    </row>
    <row r="57593" spans="1:141" s="116" customFormat="1">
      <c r="A57593" s="136"/>
      <c r="CM57593" s="111"/>
      <c r="CQ57593" s="111"/>
      <c r="EF57593"/>
      <c r="EG57593"/>
      <c r="EH57593"/>
      <c r="EI57593"/>
      <c r="EJ57593"/>
      <c r="EK57593"/>
    </row>
    <row r="57594" spans="1:141" s="116" customFormat="1">
      <c r="A57594" s="136"/>
      <c r="CM57594" s="111"/>
      <c r="CQ57594" s="111"/>
      <c r="EF57594"/>
      <c r="EG57594"/>
      <c r="EH57594"/>
      <c r="EI57594"/>
      <c r="EJ57594"/>
      <c r="EK57594"/>
    </row>
    <row r="57595" spans="1:141" s="116" customFormat="1">
      <c r="A57595" s="136"/>
      <c r="CM57595" s="111"/>
      <c r="CQ57595" s="111"/>
      <c r="EF57595"/>
      <c r="EG57595"/>
      <c r="EH57595"/>
      <c r="EI57595"/>
      <c r="EJ57595"/>
      <c r="EK57595"/>
    </row>
    <row r="57596" spans="1:141" s="116" customFormat="1">
      <c r="A57596" s="136"/>
      <c r="CM57596" s="111"/>
      <c r="CQ57596" s="111"/>
      <c r="EF57596"/>
      <c r="EG57596"/>
      <c r="EH57596"/>
      <c r="EI57596"/>
      <c r="EJ57596"/>
      <c r="EK57596"/>
    </row>
    <row r="57597" spans="1:141" s="116" customFormat="1">
      <c r="A57597" s="136"/>
      <c r="CM57597" s="111"/>
      <c r="CQ57597" s="111"/>
      <c r="EF57597"/>
      <c r="EG57597"/>
      <c r="EH57597"/>
      <c r="EI57597"/>
      <c r="EJ57597"/>
      <c r="EK57597"/>
    </row>
    <row r="57598" spans="1:141" s="116" customFormat="1">
      <c r="A57598" s="136"/>
      <c r="CM57598" s="111"/>
      <c r="CQ57598" s="111"/>
      <c r="EF57598"/>
      <c r="EG57598"/>
      <c r="EH57598"/>
      <c r="EI57598"/>
      <c r="EJ57598"/>
      <c r="EK57598"/>
    </row>
    <row r="57599" spans="1:141" s="116" customFormat="1">
      <c r="A57599" s="136"/>
      <c r="CM57599" s="111"/>
      <c r="CQ57599" s="111"/>
      <c r="EF57599"/>
      <c r="EG57599"/>
      <c r="EH57599"/>
      <c r="EI57599"/>
      <c r="EJ57599"/>
      <c r="EK57599"/>
    </row>
    <row r="57600" spans="1:141" s="116" customFormat="1">
      <c r="A57600" s="136"/>
      <c r="CM57600" s="111"/>
      <c r="CQ57600" s="111"/>
      <c r="EF57600"/>
      <c r="EG57600"/>
      <c r="EH57600"/>
      <c r="EI57600"/>
      <c r="EJ57600"/>
      <c r="EK57600"/>
    </row>
    <row r="57601" spans="1:141" s="116" customFormat="1">
      <c r="A57601" s="136"/>
      <c r="CM57601" s="111"/>
      <c r="CQ57601" s="111"/>
      <c r="EF57601"/>
      <c r="EG57601"/>
      <c r="EH57601"/>
      <c r="EI57601"/>
      <c r="EJ57601"/>
      <c r="EK57601"/>
    </row>
    <row r="57602" spans="1:141" s="116" customFormat="1">
      <c r="A57602" s="136"/>
      <c r="CM57602" s="111"/>
      <c r="CQ57602" s="111"/>
      <c r="EF57602"/>
      <c r="EG57602"/>
      <c r="EH57602"/>
      <c r="EI57602"/>
      <c r="EJ57602"/>
      <c r="EK57602"/>
    </row>
    <row r="57603" spans="1:141" s="116" customFormat="1">
      <c r="A57603" s="136"/>
      <c r="CM57603" s="111"/>
      <c r="CQ57603" s="111"/>
      <c r="EF57603"/>
      <c r="EG57603"/>
      <c r="EH57603"/>
      <c r="EI57603"/>
      <c r="EJ57603"/>
      <c r="EK57603"/>
    </row>
    <row r="57604" spans="1:141" s="116" customFormat="1">
      <c r="A57604" s="136"/>
      <c r="CM57604" s="111"/>
      <c r="CQ57604" s="111"/>
      <c r="EF57604"/>
      <c r="EG57604"/>
      <c r="EH57604"/>
      <c r="EI57604"/>
      <c r="EJ57604"/>
      <c r="EK57604"/>
    </row>
    <row r="57605" spans="1:141" s="116" customFormat="1">
      <c r="A57605" s="136"/>
      <c r="CM57605" s="111"/>
      <c r="CQ57605" s="111"/>
      <c r="EF57605"/>
      <c r="EG57605"/>
      <c r="EH57605"/>
      <c r="EI57605"/>
      <c r="EJ57605"/>
      <c r="EK57605"/>
    </row>
    <row r="57606" spans="1:141" s="116" customFormat="1">
      <c r="A57606" s="136"/>
      <c r="CM57606" s="111"/>
      <c r="CQ57606" s="111"/>
      <c r="EF57606"/>
      <c r="EG57606"/>
      <c r="EH57606"/>
      <c r="EI57606"/>
      <c r="EJ57606"/>
      <c r="EK57606"/>
    </row>
    <row r="57607" spans="1:141" s="116" customFormat="1">
      <c r="A57607" s="136"/>
      <c r="CM57607" s="111"/>
      <c r="CQ57607" s="111"/>
      <c r="EF57607"/>
      <c r="EG57607"/>
      <c r="EH57607"/>
      <c r="EI57607"/>
      <c r="EJ57607"/>
      <c r="EK57607"/>
    </row>
    <row r="57608" spans="1:141" s="116" customFormat="1">
      <c r="A57608" s="136"/>
      <c r="CM57608" s="111"/>
      <c r="CQ57608" s="111"/>
      <c r="EF57608"/>
      <c r="EG57608"/>
      <c r="EH57608"/>
      <c r="EI57608"/>
      <c r="EJ57608"/>
      <c r="EK57608"/>
    </row>
    <row r="57609" spans="1:141" s="116" customFormat="1">
      <c r="A57609" s="136"/>
      <c r="CM57609" s="111"/>
      <c r="CQ57609" s="111"/>
      <c r="EF57609"/>
      <c r="EG57609"/>
      <c r="EH57609"/>
      <c r="EI57609"/>
      <c r="EJ57609"/>
      <c r="EK57609"/>
    </row>
    <row r="57610" spans="1:141" s="116" customFormat="1">
      <c r="A57610" s="136"/>
      <c r="CM57610" s="111"/>
      <c r="CQ57610" s="111"/>
      <c r="EF57610"/>
      <c r="EG57610"/>
      <c r="EH57610"/>
      <c r="EI57610"/>
      <c r="EJ57610"/>
      <c r="EK57610"/>
    </row>
    <row r="57611" spans="1:141" s="116" customFormat="1">
      <c r="A57611" s="136"/>
      <c r="CM57611" s="111"/>
      <c r="CQ57611" s="111"/>
      <c r="EF57611"/>
      <c r="EG57611"/>
      <c r="EH57611"/>
      <c r="EI57611"/>
      <c r="EJ57611"/>
      <c r="EK57611"/>
    </row>
    <row r="57612" spans="1:141" s="116" customFormat="1">
      <c r="A57612" s="136"/>
      <c r="CM57612" s="111"/>
      <c r="CQ57612" s="111"/>
      <c r="EF57612"/>
      <c r="EG57612"/>
      <c r="EH57612"/>
      <c r="EI57612"/>
      <c r="EJ57612"/>
      <c r="EK57612"/>
    </row>
    <row r="57613" spans="1:141" s="116" customFormat="1">
      <c r="A57613" s="136"/>
      <c r="CM57613" s="111"/>
      <c r="CQ57613" s="111"/>
      <c r="EF57613"/>
      <c r="EG57613"/>
      <c r="EH57613"/>
      <c r="EI57613"/>
      <c r="EJ57613"/>
      <c r="EK57613"/>
    </row>
    <row r="57614" spans="1:141" s="116" customFormat="1">
      <c r="A57614" s="136"/>
      <c r="CM57614" s="111"/>
      <c r="CQ57614" s="111"/>
      <c r="EF57614"/>
      <c r="EG57614"/>
      <c r="EH57614"/>
      <c r="EI57614"/>
      <c r="EJ57614"/>
      <c r="EK57614"/>
    </row>
    <row r="57615" spans="1:141" s="116" customFormat="1">
      <c r="A57615" s="136"/>
      <c r="CM57615" s="111"/>
      <c r="CQ57615" s="111"/>
      <c r="EF57615"/>
      <c r="EG57615"/>
      <c r="EH57615"/>
      <c r="EI57615"/>
      <c r="EJ57615"/>
      <c r="EK57615"/>
    </row>
    <row r="57616" spans="1:141" s="116" customFormat="1">
      <c r="A57616" s="136"/>
      <c r="CM57616" s="111"/>
      <c r="CQ57616" s="111"/>
      <c r="EF57616"/>
      <c r="EG57616"/>
      <c r="EH57616"/>
      <c r="EI57616"/>
      <c r="EJ57616"/>
      <c r="EK57616"/>
    </row>
    <row r="57617" spans="1:141" s="116" customFormat="1">
      <c r="A57617" s="136"/>
      <c r="CM57617" s="111"/>
      <c r="CQ57617" s="111"/>
      <c r="EF57617"/>
      <c r="EG57617"/>
      <c r="EH57617"/>
      <c r="EI57617"/>
      <c r="EJ57617"/>
      <c r="EK57617"/>
    </row>
    <row r="57618" spans="1:141" s="116" customFormat="1">
      <c r="A57618" s="136"/>
      <c r="CM57618" s="111"/>
      <c r="CQ57618" s="111"/>
      <c r="EF57618"/>
      <c r="EG57618"/>
      <c r="EH57618"/>
      <c r="EI57618"/>
      <c r="EJ57618"/>
      <c r="EK57618"/>
    </row>
    <row r="57619" spans="1:141" s="116" customFormat="1">
      <c r="A57619" s="136"/>
      <c r="CM57619" s="111"/>
      <c r="CQ57619" s="111"/>
      <c r="EF57619"/>
      <c r="EG57619"/>
      <c r="EH57619"/>
      <c r="EI57619"/>
      <c r="EJ57619"/>
      <c r="EK57619"/>
    </row>
    <row r="57620" spans="1:141" s="116" customFormat="1">
      <c r="A57620" s="136"/>
      <c r="CM57620" s="111"/>
      <c r="CQ57620" s="111"/>
      <c r="EF57620"/>
      <c r="EG57620"/>
      <c r="EH57620"/>
      <c r="EI57620"/>
      <c r="EJ57620"/>
      <c r="EK57620"/>
    </row>
    <row r="57621" spans="1:141" s="116" customFormat="1">
      <c r="A57621" s="136"/>
      <c r="CM57621" s="111"/>
      <c r="CQ57621" s="111"/>
      <c r="EF57621"/>
      <c r="EG57621"/>
      <c r="EH57621"/>
      <c r="EI57621"/>
      <c r="EJ57621"/>
      <c r="EK57621"/>
    </row>
    <row r="57622" spans="1:141" s="116" customFormat="1">
      <c r="A57622" s="136"/>
      <c r="CM57622" s="111"/>
      <c r="CQ57622" s="111"/>
      <c r="EF57622"/>
      <c r="EG57622"/>
      <c r="EH57622"/>
      <c r="EI57622"/>
      <c r="EJ57622"/>
      <c r="EK57622"/>
    </row>
    <row r="57623" spans="1:141" s="116" customFormat="1">
      <c r="A57623" s="136"/>
      <c r="CM57623" s="111"/>
      <c r="CQ57623" s="111"/>
      <c r="EF57623"/>
      <c r="EG57623"/>
      <c r="EH57623"/>
      <c r="EI57623"/>
      <c r="EJ57623"/>
      <c r="EK57623"/>
    </row>
    <row r="57624" spans="1:141" s="116" customFormat="1">
      <c r="A57624" s="136"/>
      <c r="CM57624" s="111"/>
      <c r="CQ57624" s="111"/>
      <c r="EF57624"/>
      <c r="EG57624"/>
      <c r="EH57624"/>
      <c r="EI57624"/>
      <c r="EJ57624"/>
      <c r="EK57624"/>
    </row>
    <row r="57625" spans="1:141" s="116" customFormat="1">
      <c r="A57625" s="136"/>
      <c r="CM57625" s="111"/>
      <c r="CQ57625" s="111"/>
      <c r="EF57625"/>
      <c r="EG57625"/>
      <c r="EH57625"/>
      <c r="EI57625"/>
      <c r="EJ57625"/>
      <c r="EK57625"/>
    </row>
    <row r="57626" spans="1:141" s="116" customFormat="1">
      <c r="A57626" s="136"/>
      <c r="CM57626" s="111"/>
      <c r="CQ57626" s="111"/>
      <c r="EF57626"/>
      <c r="EG57626"/>
      <c r="EH57626"/>
      <c r="EI57626"/>
      <c r="EJ57626"/>
      <c r="EK57626"/>
    </row>
    <row r="57627" spans="1:141" s="116" customFormat="1">
      <c r="A57627" s="136"/>
      <c r="CM57627" s="111"/>
      <c r="CQ57627" s="111"/>
      <c r="EF57627"/>
      <c r="EG57627"/>
      <c r="EH57627"/>
      <c r="EI57627"/>
      <c r="EJ57627"/>
      <c r="EK57627"/>
    </row>
    <row r="57628" spans="1:141" s="116" customFormat="1">
      <c r="A57628" s="136"/>
      <c r="CM57628" s="111"/>
      <c r="CQ57628" s="111"/>
      <c r="EF57628"/>
      <c r="EG57628"/>
      <c r="EH57628"/>
      <c r="EI57628"/>
      <c r="EJ57628"/>
      <c r="EK57628"/>
    </row>
    <row r="57629" spans="1:141" s="116" customFormat="1">
      <c r="A57629" s="136"/>
      <c r="CM57629" s="111"/>
      <c r="CQ57629" s="111"/>
      <c r="EF57629"/>
      <c r="EG57629"/>
      <c r="EH57629"/>
      <c r="EI57629"/>
      <c r="EJ57629"/>
      <c r="EK57629"/>
    </row>
    <row r="57630" spans="1:141" s="116" customFormat="1">
      <c r="A57630" s="136"/>
      <c r="CM57630" s="111"/>
      <c r="CQ57630" s="111"/>
      <c r="EF57630"/>
      <c r="EG57630"/>
      <c r="EH57630"/>
      <c r="EI57630"/>
      <c r="EJ57630"/>
      <c r="EK57630"/>
    </row>
    <row r="57631" spans="1:141" s="116" customFormat="1">
      <c r="A57631" s="136"/>
      <c r="CM57631" s="111"/>
      <c r="CQ57631" s="111"/>
      <c r="EF57631"/>
      <c r="EG57631"/>
      <c r="EH57631"/>
      <c r="EI57631"/>
      <c r="EJ57631"/>
      <c r="EK57631"/>
    </row>
    <row r="57632" spans="1:141" s="116" customFormat="1">
      <c r="A57632" s="136"/>
      <c r="CM57632" s="111"/>
      <c r="CQ57632" s="111"/>
      <c r="EF57632"/>
      <c r="EG57632"/>
      <c r="EH57632"/>
      <c r="EI57632"/>
      <c r="EJ57632"/>
      <c r="EK57632"/>
    </row>
    <row r="57633" spans="1:141" s="116" customFormat="1">
      <c r="A57633" s="136"/>
      <c r="CM57633" s="111"/>
      <c r="CQ57633" s="111"/>
      <c r="EF57633"/>
      <c r="EG57633"/>
      <c r="EH57633"/>
      <c r="EI57633"/>
      <c r="EJ57633"/>
      <c r="EK57633"/>
    </row>
    <row r="57634" spans="1:141" s="116" customFormat="1">
      <c r="A57634" s="136"/>
      <c r="CM57634" s="111"/>
      <c r="CQ57634" s="111"/>
      <c r="EF57634"/>
      <c r="EG57634"/>
      <c r="EH57634"/>
      <c r="EI57634"/>
      <c r="EJ57634"/>
      <c r="EK57634"/>
    </row>
    <row r="57635" spans="1:141" s="116" customFormat="1">
      <c r="A57635" s="136"/>
      <c r="CM57635" s="111"/>
      <c r="CQ57635" s="111"/>
      <c r="EF57635"/>
      <c r="EG57635"/>
      <c r="EH57635"/>
      <c r="EI57635"/>
      <c r="EJ57635"/>
      <c r="EK57635"/>
    </row>
    <row r="57636" spans="1:141" s="116" customFormat="1">
      <c r="A57636" s="136"/>
      <c r="CM57636" s="111"/>
      <c r="CQ57636" s="111"/>
      <c r="EF57636"/>
      <c r="EG57636"/>
      <c r="EH57636"/>
      <c r="EI57636"/>
      <c r="EJ57636"/>
      <c r="EK57636"/>
    </row>
    <row r="57637" spans="1:141" s="116" customFormat="1">
      <c r="A57637" s="136"/>
      <c r="CM57637" s="111"/>
      <c r="CQ57637" s="111"/>
      <c r="EF57637"/>
      <c r="EG57637"/>
      <c r="EH57637"/>
      <c r="EI57637"/>
      <c r="EJ57637"/>
      <c r="EK57637"/>
    </row>
    <row r="57638" spans="1:141" s="116" customFormat="1">
      <c r="A57638" s="136"/>
      <c r="CM57638" s="111"/>
      <c r="CQ57638" s="111"/>
      <c r="EF57638"/>
      <c r="EG57638"/>
      <c r="EH57638"/>
      <c r="EI57638"/>
      <c r="EJ57638"/>
      <c r="EK57638"/>
    </row>
    <row r="57639" spans="1:141" s="116" customFormat="1">
      <c r="A57639" s="136"/>
      <c r="CM57639" s="111"/>
      <c r="CQ57639" s="111"/>
      <c r="EF57639"/>
      <c r="EG57639"/>
      <c r="EH57639"/>
      <c r="EI57639"/>
      <c r="EJ57639"/>
      <c r="EK57639"/>
    </row>
    <row r="57640" spans="1:141" s="116" customFormat="1">
      <c r="A57640" s="136"/>
      <c r="CM57640" s="111"/>
      <c r="CQ57640" s="111"/>
      <c r="EF57640"/>
      <c r="EG57640"/>
      <c r="EH57640"/>
      <c r="EI57640"/>
      <c r="EJ57640"/>
      <c r="EK57640"/>
    </row>
    <row r="57641" spans="1:141" s="116" customFormat="1">
      <c r="A57641" s="136"/>
      <c r="CM57641" s="111"/>
      <c r="CQ57641" s="111"/>
      <c r="EF57641"/>
      <c r="EG57641"/>
      <c r="EH57641"/>
      <c r="EI57641"/>
      <c r="EJ57641"/>
      <c r="EK57641"/>
    </row>
    <row r="57642" spans="1:141" s="116" customFormat="1">
      <c r="A57642" s="136"/>
      <c r="CM57642" s="111"/>
      <c r="CQ57642" s="111"/>
      <c r="EF57642"/>
      <c r="EG57642"/>
      <c r="EH57642"/>
      <c r="EI57642"/>
      <c r="EJ57642"/>
      <c r="EK57642"/>
    </row>
    <row r="57643" spans="1:141" s="116" customFormat="1">
      <c r="A57643" s="136"/>
      <c r="CM57643" s="111"/>
      <c r="CQ57643" s="111"/>
      <c r="EF57643"/>
      <c r="EG57643"/>
      <c r="EH57643"/>
      <c r="EI57643"/>
      <c r="EJ57643"/>
      <c r="EK57643"/>
    </row>
    <row r="57644" spans="1:141" s="116" customFormat="1">
      <c r="A57644" s="136"/>
      <c r="CM57644" s="111"/>
      <c r="CQ57644" s="111"/>
      <c r="EF57644"/>
      <c r="EG57644"/>
      <c r="EH57644"/>
      <c r="EI57644"/>
      <c r="EJ57644"/>
      <c r="EK57644"/>
    </row>
    <row r="57645" spans="1:141" s="116" customFormat="1">
      <c r="A57645" s="136"/>
      <c r="CM57645" s="111"/>
      <c r="CQ57645" s="111"/>
      <c r="EF57645"/>
      <c r="EG57645"/>
      <c r="EH57645"/>
      <c r="EI57645"/>
      <c r="EJ57645"/>
      <c r="EK57645"/>
    </row>
    <row r="57646" spans="1:141" s="116" customFormat="1">
      <c r="A57646" s="136"/>
      <c r="CM57646" s="111"/>
      <c r="CQ57646" s="111"/>
      <c r="EF57646"/>
      <c r="EG57646"/>
      <c r="EH57646"/>
      <c r="EI57646"/>
      <c r="EJ57646"/>
      <c r="EK57646"/>
    </row>
    <row r="57647" spans="1:141" s="116" customFormat="1">
      <c r="A57647" s="136"/>
      <c r="CM57647" s="111"/>
      <c r="CQ57647" s="111"/>
      <c r="EF57647"/>
      <c r="EG57647"/>
      <c r="EH57647"/>
      <c r="EI57647"/>
      <c r="EJ57647"/>
      <c r="EK57647"/>
    </row>
    <row r="57648" spans="1:141" s="116" customFormat="1">
      <c r="A57648" s="136"/>
      <c r="CM57648" s="111"/>
      <c r="CQ57648" s="111"/>
      <c r="EF57648"/>
      <c r="EG57648"/>
      <c r="EH57648"/>
      <c r="EI57648"/>
      <c r="EJ57648"/>
      <c r="EK57648"/>
    </row>
    <row r="57649" spans="1:141" s="116" customFormat="1">
      <c r="A57649" s="136"/>
      <c r="CM57649" s="111"/>
      <c r="CQ57649" s="111"/>
      <c r="EF57649"/>
      <c r="EG57649"/>
      <c r="EH57649"/>
      <c r="EI57649"/>
      <c r="EJ57649"/>
      <c r="EK57649"/>
    </row>
    <row r="57650" spans="1:141" s="116" customFormat="1">
      <c r="A57650" s="136"/>
      <c r="CM57650" s="111"/>
      <c r="CQ57650" s="111"/>
      <c r="EF57650"/>
      <c r="EG57650"/>
      <c r="EH57650"/>
      <c r="EI57650"/>
      <c r="EJ57650"/>
      <c r="EK57650"/>
    </row>
    <row r="57651" spans="1:141" s="116" customFormat="1">
      <c r="A57651" s="136"/>
      <c r="CM57651" s="111"/>
      <c r="CQ57651" s="111"/>
      <c r="EF57651"/>
      <c r="EG57651"/>
      <c r="EH57651"/>
      <c r="EI57651"/>
      <c r="EJ57651"/>
      <c r="EK57651"/>
    </row>
    <row r="57652" spans="1:141" s="116" customFormat="1">
      <c r="A57652" s="136"/>
      <c r="CM57652" s="111"/>
      <c r="CQ57652" s="111"/>
      <c r="EF57652"/>
      <c r="EG57652"/>
      <c r="EH57652"/>
      <c r="EI57652"/>
      <c r="EJ57652"/>
      <c r="EK57652"/>
    </row>
    <row r="57653" spans="1:141" s="116" customFormat="1">
      <c r="A57653" s="136"/>
      <c r="CM57653" s="111"/>
      <c r="CQ57653" s="111"/>
      <c r="EF57653"/>
      <c r="EG57653"/>
      <c r="EH57653"/>
      <c r="EI57653"/>
      <c r="EJ57653"/>
      <c r="EK57653"/>
    </row>
    <row r="57654" spans="1:141" s="116" customFormat="1">
      <c r="A57654" s="136"/>
      <c r="CM57654" s="111"/>
      <c r="CQ57654" s="111"/>
      <c r="EF57654"/>
      <c r="EG57654"/>
      <c r="EH57654"/>
      <c r="EI57654"/>
      <c r="EJ57654"/>
      <c r="EK57654"/>
    </row>
    <row r="57655" spans="1:141" s="116" customFormat="1">
      <c r="A57655" s="136"/>
      <c r="CM57655" s="111"/>
      <c r="CQ57655" s="111"/>
      <c r="EF57655"/>
      <c r="EG57655"/>
      <c r="EH57655"/>
      <c r="EI57655"/>
      <c r="EJ57655"/>
      <c r="EK57655"/>
    </row>
    <row r="57656" spans="1:141" s="116" customFormat="1">
      <c r="A57656" s="136"/>
      <c r="CM57656" s="111"/>
      <c r="CQ57656" s="111"/>
      <c r="EF57656"/>
      <c r="EG57656"/>
      <c r="EH57656"/>
      <c r="EI57656"/>
      <c r="EJ57656"/>
      <c r="EK57656"/>
    </row>
    <row r="57657" spans="1:141" s="116" customFormat="1">
      <c r="A57657" s="136"/>
      <c r="CM57657" s="111"/>
      <c r="CQ57657" s="111"/>
      <c r="EF57657"/>
      <c r="EG57657"/>
      <c r="EH57657"/>
      <c r="EI57657"/>
      <c r="EJ57657"/>
      <c r="EK57657"/>
    </row>
    <row r="57658" spans="1:141" s="116" customFormat="1">
      <c r="A57658" s="136"/>
      <c r="CM57658" s="111"/>
      <c r="CQ57658" s="111"/>
      <c r="EF57658"/>
      <c r="EG57658"/>
      <c r="EH57658"/>
      <c r="EI57658"/>
      <c r="EJ57658"/>
      <c r="EK57658"/>
    </row>
    <row r="57659" spans="1:141" s="116" customFormat="1">
      <c r="A57659" s="136"/>
      <c r="CM57659" s="111"/>
      <c r="CQ57659" s="111"/>
      <c r="EF57659"/>
      <c r="EG57659"/>
      <c r="EH57659"/>
      <c r="EI57659"/>
      <c r="EJ57659"/>
      <c r="EK57659"/>
    </row>
    <row r="57660" spans="1:141" s="116" customFormat="1">
      <c r="A57660" s="136"/>
      <c r="CM57660" s="111"/>
      <c r="CQ57660" s="111"/>
      <c r="EF57660"/>
      <c r="EG57660"/>
      <c r="EH57660"/>
      <c r="EI57660"/>
      <c r="EJ57660"/>
      <c r="EK57660"/>
    </row>
    <row r="57661" spans="1:141" s="116" customFormat="1">
      <c r="A57661" s="136"/>
      <c r="CM57661" s="111"/>
      <c r="CQ57661" s="111"/>
      <c r="EF57661"/>
      <c r="EG57661"/>
      <c r="EH57661"/>
      <c r="EI57661"/>
      <c r="EJ57661"/>
      <c r="EK57661"/>
    </row>
    <row r="57662" spans="1:141" s="116" customFormat="1">
      <c r="A57662" s="136"/>
      <c r="CM57662" s="111"/>
      <c r="CQ57662" s="111"/>
      <c r="EF57662"/>
      <c r="EG57662"/>
      <c r="EH57662"/>
      <c r="EI57662"/>
      <c r="EJ57662"/>
      <c r="EK57662"/>
    </row>
    <row r="57663" spans="1:141" s="116" customFormat="1">
      <c r="A57663" s="136"/>
      <c r="CM57663" s="111"/>
      <c r="CQ57663" s="111"/>
      <c r="EF57663"/>
      <c r="EG57663"/>
      <c r="EH57663"/>
      <c r="EI57663"/>
      <c r="EJ57663"/>
      <c r="EK57663"/>
    </row>
    <row r="57664" spans="1:141" s="116" customFormat="1">
      <c r="A57664" s="136"/>
      <c r="CM57664" s="111"/>
      <c r="CQ57664" s="111"/>
      <c r="EF57664"/>
      <c r="EG57664"/>
      <c r="EH57664"/>
      <c r="EI57664"/>
      <c r="EJ57664"/>
      <c r="EK57664"/>
    </row>
    <row r="57665" spans="1:141" s="116" customFormat="1">
      <c r="A57665" s="136"/>
      <c r="CM57665" s="111"/>
      <c r="CQ57665" s="111"/>
      <c r="EF57665"/>
      <c r="EG57665"/>
      <c r="EH57665"/>
      <c r="EI57665"/>
      <c r="EJ57665"/>
      <c r="EK57665"/>
    </row>
    <row r="57666" spans="1:141" s="116" customFormat="1">
      <c r="A57666" s="136"/>
      <c r="CM57666" s="111"/>
      <c r="CQ57666" s="111"/>
      <c r="EF57666"/>
      <c r="EG57666"/>
      <c r="EH57666"/>
      <c r="EI57666"/>
      <c r="EJ57666"/>
      <c r="EK57666"/>
    </row>
    <row r="57667" spans="1:141" s="116" customFormat="1">
      <c r="A57667" s="136"/>
      <c r="CM57667" s="111"/>
      <c r="CQ57667" s="111"/>
      <c r="EF57667"/>
      <c r="EG57667"/>
      <c r="EH57667"/>
      <c r="EI57667"/>
      <c r="EJ57667"/>
      <c r="EK57667"/>
    </row>
    <row r="57668" spans="1:141" s="116" customFormat="1">
      <c r="A57668" s="136"/>
      <c r="CM57668" s="111"/>
      <c r="CQ57668" s="111"/>
      <c r="EF57668"/>
      <c r="EG57668"/>
      <c r="EH57668"/>
      <c r="EI57668"/>
      <c r="EJ57668"/>
      <c r="EK57668"/>
    </row>
    <row r="57669" spans="1:141" s="116" customFormat="1">
      <c r="A57669" s="136"/>
      <c r="CM57669" s="111"/>
      <c r="CQ57669" s="111"/>
      <c r="EF57669"/>
      <c r="EG57669"/>
      <c r="EH57669"/>
      <c r="EI57669"/>
      <c r="EJ57669"/>
      <c r="EK57669"/>
    </row>
    <row r="57670" spans="1:141" s="116" customFormat="1">
      <c r="A57670" s="136"/>
      <c r="CM57670" s="111"/>
      <c r="CQ57670" s="111"/>
      <c r="EF57670"/>
      <c r="EG57670"/>
      <c r="EH57670"/>
      <c r="EI57670"/>
      <c r="EJ57670"/>
      <c r="EK57670"/>
    </row>
    <row r="57671" spans="1:141" s="116" customFormat="1">
      <c r="A57671" s="136"/>
      <c r="CM57671" s="111"/>
      <c r="CQ57671" s="111"/>
      <c r="EF57671"/>
      <c r="EG57671"/>
      <c r="EH57671"/>
      <c r="EI57671"/>
      <c r="EJ57671"/>
      <c r="EK57671"/>
    </row>
    <row r="57672" spans="1:141" s="116" customFormat="1">
      <c r="A57672" s="136"/>
      <c r="CM57672" s="111"/>
      <c r="CQ57672" s="111"/>
      <c r="EF57672"/>
      <c r="EG57672"/>
      <c r="EH57672"/>
      <c r="EI57672"/>
      <c r="EJ57672"/>
      <c r="EK57672"/>
    </row>
    <row r="57673" spans="1:141" s="116" customFormat="1">
      <c r="A57673" s="136"/>
      <c r="CM57673" s="111"/>
      <c r="CQ57673" s="111"/>
      <c r="EF57673"/>
      <c r="EG57673"/>
      <c r="EH57673"/>
      <c r="EI57673"/>
      <c r="EJ57673"/>
      <c r="EK57673"/>
    </row>
    <row r="57674" spans="1:141" s="116" customFormat="1">
      <c r="A57674" s="136"/>
      <c r="CM57674" s="111"/>
      <c r="CQ57674" s="111"/>
      <c r="EF57674"/>
      <c r="EG57674"/>
      <c r="EH57674"/>
      <c r="EI57674"/>
      <c r="EJ57674"/>
      <c r="EK57674"/>
    </row>
    <row r="57675" spans="1:141" s="116" customFormat="1">
      <c r="A57675" s="136"/>
      <c r="CM57675" s="111"/>
      <c r="CQ57675" s="111"/>
      <c r="EF57675"/>
      <c r="EG57675"/>
      <c r="EH57675"/>
      <c r="EI57675"/>
      <c r="EJ57675"/>
      <c r="EK57675"/>
    </row>
    <row r="57676" spans="1:141" s="116" customFormat="1">
      <c r="A57676" s="136"/>
      <c r="CM57676" s="111"/>
      <c r="CQ57676" s="111"/>
      <c r="EF57676"/>
      <c r="EG57676"/>
      <c r="EH57676"/>
      <c r="EI57676"/>
      <c r="EJ57676"/>
      <c r="EK57676"/>
    </row>
    <row r="57677" spans="1:141" s="116" customFormat="1">
      <c r="A57677" s="136"/>
      <c r="CM57677" s="111"/>
      <c r="CQ57677" s="111"/>
      <c r="EF57677"/>
      <c r="EG57677"/>
      <c r="EH57677"/>
      <c r="EI57677"/>
      <c r="EJ57677"/>
      <c r="EK57677"/>
    </row>
    <row r="57678" spans="1:141" s="116" customFormat="1">
      <c r="A57678" s="136"/>
      <c r="CM57678" s="111"/>
      <c r="CQ57678" s="111"/>
      <c r="EF57678"/>
      <c r="EG57678"/>
      <c r="EH57678"/>
      <c r="EI57678"/>
      <c r="EJ57678"/>
      <c r="EK57678"/>
    </row>
    <row r="57679" spans="1:141" s="116" customFormat="1">
      <c r="A57679" s="136"/>
      <c r="CM57679" s="111"/>
      <c r="CQ57679" s="111"/>
      <c r="EF57679"/>
      <c r="EG57679"/>
      <c r="EH57679"/>
      <c r="EI57679"/>
      <c r="EJ57679"/>
      <c r="EK57679"/>
    </row>
    <row r="57680" spans="1:141" s="116" customFormat="1">
      <c r="A57680" s="136"/>
      <c r="CM57680" s="111"/>
      <c r="CQ57680" s="111"/>
      <c r="EF57680"/>
      <c r="EG57680"/>
      <c r="EH57680"/>
      <c r="EI57680"/>
      <c r="EJ57680"/>
      <c r="EK57680"/>
    </row>
    <row r="57681" spans="1:141" s="116" customFormat="1">
      <c r="A57681" s="136"/>
      <c r="CM57681" s="111"/>
      <c r="CQ57681" s="111"/>
      <c r="EF57681"/>
      <c r="EG57681"/>
      <c r="EH57681"/>
      <c r="EI57681"/>
      <c r="EJ57681"/>
      <c r="EK57681"/>
    </row>
    <row r="57682" spans="1:141" s="116" customFormat="1">
      <c r="A57682" s="136"/>
      <c r="CM57682" s="111"/>
      <c r="CQ57682" s="111"/>
      <c r="EF57682"/>
      <c r="EG57682"/>
      <c r="EH57682"/>
      <c r="EI57682"/>
      <c r="EJ57682"/>
      <c r="EK57682"/>
    </row>
    <row r="57683" spans="1:141" s="116" customFormat="1">
      <c r="A57683" s="136"/>
      <c r="CM57683" s="111"/>
      <c r="CQ57683" s="111"/>
      <c r="EF57683"/>
      <c r="EG57683"/>
      <c r="EH57683"/>
      <c r="EI57683"/>
      <c r="EJ57683"/>
      <c r="EK57683"/>
    </row>
    <row r="57684" spans="1:141" s="116" customFormat="1">
      <c r="A57684" s="136"/>
      <c r="CM57684" s="111"/>
      <c r="CQ57684" s="111"/>
      <c r="EF57684"/>
      <c r="EG57684"/>
      <c r="EH57684"/>
      <c r="EI57684"/>
      <c r="EJ57684"/>
      <c r="EK57684"/>
    </row>
    <row r="57685" spans="1:141" s="116" customFormat="1">
      <c r="A57685" s="136"/>
      <c r="CM57685" s="111"/>
      <c r="CQ57685" s="111"/>
      <c r="EF57685"/>
      <c r="EG57685"/>
      <c r="EH57685"/>
      <c r="EI57685"/>
      <c r="EJ57685"/>
      <c r="EK57685"/>
    </row>
    <row r="57686" spans="1:141" s="116" customFormat="1">
      <c r="A57686" s="136"/>
      <c r="CM57686" s="111"/>
      <c r="CQ57686" s="111"/>
      <c r="EF57686"/>
      <c r="EG57686"/>
      <c r="EH57686"/>
      <c r="EI57686"/>
      <c r="EJ57686"/>
      <c r="EK57686"/>
    </row>
    <row r="57687" spans="1:141" s="116" customFormat="1">
      <c r="A57687" s="136"/>
      <c r="CM57687" s="111"/>
      <c r="CQ57687" s="111"/>
      <c r="EF57687"/>
      <c r="EG57687"/>
      <c r="EH57687"/>
      <c r="EI57687"/>
      <c r="EJ57687"/>
      <c r="EK57687"/>
    </row>
    <row r="57688" spans="1:141" s="116" customFormat="1">
      <c r="A57688" s="136"/>
      <c r="CM57688" s="111"/>
      <c r="CQ57688" s="111"/>
      <c r="EF57688"/>
      <c r="EG57688"/>
      <c r="EH57688"/>
      <c r="EI57688"/>
      <c r="EJ57688"/>
      <c r="EK57688"/>
    </row>
    <row r="57689" spans="1:141" s="116" customFormat="1">
      <c r="A57689" s="136"/>
      <c r="CM57689" s="111"/>
      <c r="CQ57689" s="111"/>
      <c r="EF57689"/>
      <c r="EG57689"/>
      <c r="EH57689"/>
      <c r="EI57689"/>
      <c r="EJ57689"/>
      <c r="EK57689"/>
    </row>
    <row r="57690" spans="1:141" s="116" customFormat="1">
      <c r="A57690" s="136"/>
      <c r="CM57690" s="111"/>
      <c r="CQ57690" s="111"/>
      <c r="EF57690"/>
      <c r="EG57690"/>
      <c r="EH57690"/>
      <c r="EI57690"/>
      <c r="EJ57690"/>
      <c r="EK57690"/>
    </row>
    <row r="57691" spans="1:141" s="116" customFormat="1">
      <c r="A57691" s="136"/>
      <c r="CM57691" s="111"/>
      <c r="CQ57691" s="111"/>
      <c r="EF57691"/>
      <c r="EG57691"/>
      <c r="EH57691"/>
      <c r="EI57691"/>
      <c r="EJ57691"/>
      <c r="EK57691"/>
    </row>
    <row r="57692" spans="1:141" s="116" customFormat="1">
      <c r="A57692" s="136"/>
      <c r="CM57692" s="111"/>
      <c r="CQ57692" s="111"/>
      <c r="EF57692"/>
      <c r="EG57692"/>
      <c r="EH57692"/>
      <c r="EI57692"/>
      <c r="EJ57692"/>
      <c r="EK57692"/>
    </row>
    <row r="57693" spans="1:141" s="116" customFormat="1">
      <c r="A57693" s="136"/>
      <c r="CM57693" s="111"/>
      <c r="CQ57693" s="111"/>
      <c r="EF57693"/>
      <c r="EG57693"/>
      <c r="EH57693"/>
      <c r="EI57693"/>
      <c r="EJ57693"/>
      <c r="EK57693"/>
    </row>
    <row r="57694" spans="1:141" s="116" customFormat="1">
      <c r="A57694" s="136"/>
      <c r="CM57694" s="111"/>
      <c r="CQ57694" s="111"/>
      <c r="EF57694"/>
      <c r="EG57694"/>
      <c r="EH57694"/>
      <c r="EI57694"/>
      <c r="EJ57694"/>
      <c r="EK57694"/>
    </row>
    <row r="57695" spans="1:141" s="116" customFormat="1">
      <c r="A57695" s="136"/>
      <c r="CM57695" s="111"/>
      <c r="CQ57695" s="111"/>
      <c r="EF57695"/>
      <c r="EG57695"/>
      <c r="EH57695"/>
      <c r="EI57695"/>
      <c r="EJ57695"/>
      <c r="EK57695"/>
    </row>
    <row r="57696" spans="1:141" s="116" customFormat="1">
      <c r="A57696" s="136"/>
      <c r="CM57696" s="111"/>
      <c r="CQ57696" s="111"/>
      <c r="EF57696"/>
      <c r="EG57696"/>
      <c r="EH57696"/>
      <c r="EI57696"/>
      <c r="EJ57696"/>
      <c r="EK57696"/>
    </row>
    <row r="57697" spans="1:141" s="116" customFormat="1">
      <c r="A57697" s="136"/>
      <c r="CM57697" s="111"/>
      <c r="CQ57697" s="111"/>
      <c r="EF57697"/>
      <c r="EG57697"/>
      <c r="EH57697"/>
      <c r="EI57697"/>
      <c r="EJ57697"/>
      <c r="EK57697"/>
    </row>
    <row r="57698" spans="1:141" s="116" customFormat="1">
      <c r="A57698" s="136"/>
      <c r="CM57698" s="111"/>
      <c r="CQ57698" s="111"/>
      <c r="EF57698"/>
      <c r="EG57698"/>
      <c r="EH57698"/>
      <c r="EI57698"/>
      <c r="EJ57698"/>
      <c r="EK57698"/>
    </row>
    <row r="57699" spans="1:141" s="116" customFormat="1">
      <c r="A57699" s="136"/>
      <c r="CM57699" s="111"/>
      <c r="CQ57699" s="111"/>
      <c r="EF57699"/>
      <c r="EG57699"/>
      <c r="EH57699"/>
      <c r="EI57699"/>
      <c r="EJ57699"/>
      <c r="EK57699"/>
    </row>
    <row r="57700" spans="1:141" s="116" customFormat="1">
      <c r="A57700" s="136"/>
      <c r="CM57700" s="111"/>
      <c r="CQ57700" s="111"/>
      <c r="EF57700"/>
      <c r="EG57700"/>
      <c r="EH57700"/>
      <c r="EI57700"/>
      <c r="EJ57700"/>
      <c r="EK57700"/>
    </row>
    <row r="57701" spans="1:141" s="116" customFormat="1">
      <c r="A57701" s="136"/>
      <c r="CM57701" s="111"/>
      <c r="CQ57701" s="111"/>
      <c r="EF57701"/>
      <c r="EG57701"/>
      <c r="EH57701"/>
      <c r="EI57701"/>
      <c r="EJ57701"/>
      <c r="EK57701"/>
    </row>
    <row r="57702" spans="1:141" s="116" customFormat="1">
      <c r="A57702" s="136"/>
      <c r="CM57702" s="111"/>
      <c r="CQ57702" s="111"/>
      <c r="EF57702"/>
      <c r="EG57702"/>
      <c r="EH57702"/>
      <c r="EI57702"/>
      <c r="EJ57702"/>
      <c r="EK57702"/>
    </row>
    <row r="57703" spans="1:141" s="116" customFormat="1">
      <c r="A57703" s="136"/>
      <c r="CM57703" s="111"/>
      <c r="CQ57703" s="111"/>
      <c r="EF57703"/>
      <c r="EG57703"/>
      <c r="EH57703"/>
      <c r="EI57703"/>
      <c r="EJ57703"/>
      <c r="EK57703"/>
    </row>
    <row r="57704" spans="1:141" s="116" customFormat="1">
      <c r="A57704" s="136"/>
      <c r="CM57704" s="111"/>
      <c r="CQ57704" s="111"/>
      <c r="EF57704"/>
      <c r="EG57704"/>
      <c r="EH57704"/>
      <c r="EI57704"/>
      <c r="EJ57704"/>
      <c r="EK57704"/>
    </row>
    <row r="57705" spans="1:141" s="116" customFormat="1">
      <c r="A57705" s="136"/>
      <c r="CM57705" s="111"/>
      <c r="CQ57705" s="111"/>
      <c r="EF57705"/>
      <c r="EG57705"/>
      <c r="EH57705"/>
      <c r="EI57705"/>
      <c r="EJ57705"/>
      <c r="EK57705"/>
    </row>
    <row r="57706" spans="1:141" s="116" customFormat="1">
      <c r="A57706" s="136"/>
      <c r="CM57706" s="111"/>
      <c r="CQ57706" s="111"/>
      <c r="EF57706"/>
      <c r="EG57706"/>
      <c r="EH57706"/>
      <c r="EI57706"/>
      <c r="EJ57706"/>
      <c r="EK57706"/>
    </row>
    <row r="57707" spans="1:141" s="116" customFormat="1">
      <c r="A57707" s="136"/>
      <c r="CM57707" s="111"/>
      <c r="CQ57707" s="111"/>
      <c r="EF57707"/>
      <c r="EG57707"/>
      <c r="EH57707"/>
      <c r="EI57707"/>
      <c r="EJ57707"/>
      <c r="EK57707"/>
    </row>
    <row r="57708" spans="1:141" s="116" customFormat="1">
      <c r="A57708" s="136"/>
      <c r="CM57708" s="111"/>
      <c r="CQ57708" s="111"/>
      <c r="EF57708"/>
      <c r="EG57708"/>
      <c r="EH57708"/>
      <c r="EI57708"/>
      <c r="EJ57708"/>
      <c r="EK57708"/>
    </row>
    <row r="57709" spans="1:141" s="116" customFormat="1">
      <c r="A57709" s="136"/>
      <c r="CM57709" s="111"/>
      <c r="CQ57709" s="111"/>
      <c r="EF57709"/>
      <c r="EG57709"/>
      <c r="EH57709"/>
      <c r="EI57709"/>
      <c r="EJ57709"/>
      <c r="EK57709"/>
    </row>
    <row r="57710" spans="1:141" s="116" customFormat="1">
      <c r="A57710" s="136"/>
      <c r="CM57710" s="111"/>
      <c r="CQ57710" s="111"/>
      <c r="EF57710"/>
      <c r="EG57710"/>
      <c r="EH57710"/>
      <c r="EI57710"/>
      <c r="EJ57710"/>
      <c r="EK57710"/>
    </row>
    <row r="57711" spans="1:141" s="116" customFormat="1">
      <c r="A57711" s="136"/>
      <c r="CM57711" s="111"/>
      <c r="CQ57711" s="111"/>
      <c r="EF57711"/>
      <c r="EG57711"/>
      <c r="EH57711"/>
      <c r="EI57711"/>
      <c r="EJ57711"/>
      <c r="EK57711"/>
    </row>
    <row r="57712" spans="1:141" s="116" customFormat="1">
      <c r="A57712" s="136"/>
      <c r="CM57712" s="111"/>
      <c r="CQ57712" s="111"/>
      <c r="EF57712"/>
      <c r="EG57712"/>
      <c r="EH57712"/>
      <c r="EI57712"/>
      <c r="EJ57712"/>
      <c r="EK57712"/>
    </row>
    <row r="57713" spans="1:141" s="116" customFormat="1">
      <c r="A57713" s="136"/>
      <c r="CM57713" s="111"/>
      <c r="CQ57713" s="111"/>
      <c r="EF57713"/>
      <c r="EG57713"/>
      <c r="EH57713"/>
      <c r="EI57713"/>
      <c r="EJ57713"/>
      <c r="EK57713"/>
    </row>
    <row r="57714" spans="1:141" s="116" customFormat="1">
      <c r="A57714" s="136"/>
      <c r="CM57714" s="111"/>
      <c r="CQ57714" s="111"/>
      <c r="EF57714"/>
      <c r="EG57714"/>
      <c r="EH57714"/>
      <c r="EI57714"/>
      <c r="EJ57714"/>
      <c r="EK57714"/>
    </row>
    <row r="57715" spans="1:141" s="116" customFormat="1">
      <c r="A57715" s="136"/>
      <c r="CM57715" s="111"/>
      <c r="CQ57715" s="111"/>
      <c r="EF57715"/>
      <c r="EG57715"/>
      <c r="EH57715"/>
      <c r="EI57715"/>
      <c r="EJ57715"/>
      <c r="EK57715"/>
    </row>
    <row r="57716" spans="1:141" s="116" customFormat="1">
      <c r="A57716" s="136"/>
      <c r="CM57716" s="111"/>
      <c r="CQ57716" s="111"/>
      <c r="EF57716"/>
      <c r="EG57716"/>
      <c r="EH57716"/>
      <c r="EI57716"/>
      <c r="EJ57716"/>
      <c r="EK57716"/>
    </row>
    <row r="57717" spans="1:141" s="116" customFormat="1">
      <c r="A57717" s="136"/>
      <c r="CM57717" s="111"/>
      <c r="CQ57717" s="111"/>
      <c r="EF57717"/>
      <c r="EG57717"/>
      <c r="EH57717"/>
      <c r="EI57717"/>
      <c r="EJ57717"/>
      <c r="EK57717"/>
    </row>
    <row r="57718" spans="1:141" s="116" customFormat="1">
      <c r="A57718" s="136"/>
      <c r="CM57718" s="111"/>
      <c r="CQ57718" s="111"/>
      <c r="EF57718"/>
      <c r="EG57718"/>
      <c r="EH57718"/>
      <c r="EI57718"/>
      <c r="EJ57718"/>
      <c r="EK57718"/>
    </row>
    <row r="57719" spans="1:141" s="116" customFormat="1">
      <c r="A57719" s="136"/>
      <c r="CM57719" s="111"/>
      <c r="CQ57719" s="111"/>
      <c r="EF57719"/>
      <c r="EG57719"/>
      <c r="EH57719"/>
      <c r="EI57719"/>
      <c r="EJ57719"/>
      <c r="EK57719"/>
    </row>
    <row r="57720" spans="1:141" s="116" customFormat="1">
      <c r="A57720" s="136"/>
      <c r="CM57720" s="111"/>
      <c r="CQ57720" s="111"/>
      <c r="EF57720"/>
      <c r="EG57720"/>
      <c r="EH57720"/>
      <c r="EI57720"/>
      <c r="EJ57720"/>
      <c r="EK57720"/>
    </row>
    <row r="57721" spans="1:141" s="116" customFormat="1">
      <c r="A57721" s="136"/>
      <c r="CM57721" s="111"/>
      <c r="CQ57721" s="111"/>
      <c r="EF57721"/>
      <c r="EG57721"/>
      <c r="EH57721"/>
      <c r="EI57721"/>
      <c r="EJ57721"/>
      <c r="EK57721"/>
    </row>
    <row r="57722" spans="1:141" s="116" customFormat="1">
      <c r="A57722" s="136"/>
      <c r="CM57722" s="111"/>
      <c r="CQ57722" s="111"/>
      <c r="EF57722"/>
      <c r="EG57722"/>
      <c r="EH57722"/>
      <c r="EI57722"/>
      <c r="EJ57722"/>
      <c r="EK57722"/>
    </row>
    <row r="57723" spans="1:141" s="116" customFormat="1">
      <c r="A57723" s="136"/>
      <c r="CM57723" s="111"/>
      <c r="CQ57723" s="111"/>
      <c r="EF57723"/>
      <c r="EG57723"/>
      <c r="EH57723"/>
      <c r="EI57723"/>
      <c r="EJ57723"/>
      <c r="EK57723"/>
    </row>
    <row r="57724" spans="1:141" s="116" customFormat="1">
      <c r="A57724" s="136"/>
      <c r="CM57724" s="111"/>
      <c r="CQ57724" s="111"/>
      <c r="EF57724"/>
      <c r="EG57724"/>
      <c r="EH57724"/>
      <c r="EI57724"/>
      <c r="EJ57724"/>
      <c r="EK57724"/>
    </row>
    <row r="57725" spans="1:141" s="116" customFormat="1">
      <c r="A57725" s="136"/>
      <c r="CM57725" s="111"/>
      <c r="CQ57725" s="111"/>
      <c r="EF57725"/>
      <c r="EG57725"/>
      <c r="EH57725"/>
      <c r="EI57725"/>
      <c r="EJ57725"/>
      <c r="EK57725"/>
    </row>
    <row r="57726" spans="1:141" s="116" customFormat="1">
      <c r="A57726" s="136"/>
      <c r="CM57726" s="111"/>
      <c r="CQ57726" s="111"/>
      <c r="EF57726"/>
      <c r="EG57726"/>
      <c r="EH57726"/>
      <c r="EI57726"/>
      <c r="EJ57726"/>
      <c r="EK57726"/>
    </row>
    <row r="57727" spans="1:141" s="116" customFormat="1">
      <c r="A57727" s="136"/>
      <c r="CM57727" s="111"/>
      <c r="CQ57727" s="111"/>
      <c r="EF57727"/>
      <c r="EG57727"/>
      <c r="EH57727"/>
      <c r="EI57727"/>
      <c r="EJ57727"/>
      <c r="EK57727"/>
    </row>
    <row r="57728" spans="1:141" s="116" customFormat="1">
      <c r="A57728" s="136"/>
      <c r="CM57728" s="111"/>
      <c r="CQ57728" s="111"/>
      <c r="EF57728"/>
      <c r="EG57728"/>
      <c r="EH57728"/>
      <c r="EI57728"/>
      <c r="EJ57728"/>
      <c r="EK57728"/>
    </row>
    <row r="57729" spans="1:141" s="116" customFormat="1">
      <c r="A57729" s="136"/>
      <c r="CM57729" s="111"/>
      <c r="CQ57729" s="111"/>
      <c r="EF57729"/>
      <c r="EG57729"/>
      <c r="EH57729"/>
      <c r="EI57729"/>
      <c r="EJ57729"/>
      <c r="EK57729"/>
    </row>
    <row r="57730" spans="1:141" s="116" customFormat="1">
      <c r="A57730" s="136"/>
      <c r="CM57730" s="111"/>
      <c r="CQ57730" s="111"/>
      <c r="EF57730"/>
      <c r="EG57730"/>
      <c r="EH57730"/>
      <c r="EI57730"/>
      <c r="EJ57730"/>
      <c r="EK57730"/>
    </row>
    <row r="57731" spans="1:141" s="116" customFormat="1">
      <c r="A57731" s="136"/>
      <c r="CM57731" s="111"/>
      <c r="CQ57731" s="111"/>
      <c r="EF57731"/>
      <c r="EG57731"/>
      <c r="EH57731"/>
      <c r="EI57731"/>
      <c r="EJ57731"/>
      <c r="EK57731"/>
    </row>
    <row r="57732" spans="1:141" s="116" customFormat="1">
      <c r="A57732" s="136"/>
      <c r="CM57732" s="111"/>
      <c r="CQ57732" s="111"/>
      <c r="EF57732"/>
      <c r="EG57732"/>
      <c r="EH57732"/>
      <c r="EI57732"/>
      <c r="EJ57732"/>
      <c r="EK57732"/>
    </row>
    <row r="57733" spans="1:141" s="116" customFormat="1">
      <c r="A57733" s="136"/>
      <c r="CM57733" s="111"/>
      <c r="CQ57733" s="111"/>
      <c r="EF57733"/>
      <c r="EG57733"/>
      <c r="EH57733"/>
      <c r="EI57733"/>
      <c r="EJ57733"/>
      <c r="EK57733"/>
    </row>
    <row r="57734" spans="1:141" s="116" customFormat="1">
      <c r="A57734" s="136"/>
      <c r="CM57734" s="111"/>
      <c r="CQ57734" s="111"/>
      <c r="EF57734"/>
      <c r="EG57734"/>
      <c r="EH57734"/>
      <c r="EI57734"/>
      <c r="EJ57734"/>
      <c r="EK57734"/>
    </row>
    <row r="57735" spans="1:141" s="116" customFormat="1">
      <c r="A57735" s="136"/>
      <c r="CM57735" s="111"/>
      <c r="CQ57735" s="111"/>
      <c r="EF57735"/>
      <c r="EG57735"/>
      <c r="EH57735"/>
      <c r="EI57735"/>
      <c r="EJ57735"/>
      <c r="EK57735"/>
    </row>
    <row r="57736" spans="1:141" s="116" customFormat="1">
      <c r="A57736" s="136"/>
      <c r="CM57736" s="111"/>
      <c r="CQ57736" s="111"/>
      <c r="EF57736"/>
      <c r="EG57736"/>
      <c r="EH57736"/>
      <c r="EI57736"/>
      <c r="EJ57736"/>
      <c r="EK57736"/>
    </row>
    <row r="57737" spans="1:141" s="116" customFormat="1">
      <c r="A57737" s="136"/>
      <c r="CM57737" s="111"/>
      <c r="CQ57737" s="111"/>
      <c r="EF57737"/>
      <c r="EG57737"/>
      <c r="EH57737"/>
      <c r="EI57737"/>
      <c r="EJ57737"/>
      <c r="EK57737"/>
    </row>
    <row r="57738" spans="1:141" s="116" customFormat="1">
      <c r="A57738" s="136"/>
      <c r="CM57738" s="111"/>
      <c r="CQ57738" s="111"/>
      <c r="EF57738"/>
      <c r="EG57738"/>
      <c r="EH57738"/>
      <c r="EI57738"/>
      <c r="EJ57738"/>
      <c r="EK57738"/>
    </row>
    <row r="57739" spans="1:141" s="116" customFormat="1">
      <c r="A57739" s="136"/>
      <c r="CM57739" s="111"/>
      <c r="CQ57739" s="111"/>
      <c r="EF57739"/>
      <c r="EG57739"/>
      <c r="EH57739"/>
      <c r="EI57739"/>
      <c r="EJ57739"/>
      <c r="EK57739"/>
    </row>
    <row r="57740" spans="1:141" s="116" customFormat="1">
      <c r="A57740" s="136"/>
      <c r="CM57740" s="111"/>
      <c r="CQ57740" s="111"/>
      <c r="EF57740"/>
      <c r="EG57740"/>
      <c r="EH57740"/>
      <c r="EI57740"/>
      <c r="EJ57740"/>
      <c r="EK57740"/>
    </row>
    <row r="57741" spans="1:141" s="116" customFormat="1">
      <c r="A57741" s="136"/>
      <c r="CM57741" s="111"/>
      <c r="CQ57741" s="111"/>
      <c r="EF57741"/>
      <c r="EG57741"/>
      <c r="EH57741"/>
      <c r="EI57741"/>
      <c r="EJ57741"/>
      <c r="EK57741"/>
    </row>
    <row r="57742" spans="1:141" s="116" customFormat="1">
      <c r="A57742" s="136"/>
      <c r="CM57742" s="111"/>
      <c r="CQ57742" s="111"/>
      <c r="EF57742"/>
      <c r="EG57742"/>
      <c r="EH57742"/>
      <c r="EI57742"/>
      <c r="EJ57742"/>
      <c r="EK57742"/>
    </row>
    <row r="57743" spans="1:141" s="116" customFormat="1">
      <c r="A57743" s="136"/>
      <c r="CM57743" s="111"/>
      <c r="CQ57743" s="111"/>
      <c r="EF57743"/>
      <c r="EG57743"/>
      <c r="EH57743"/>
      <c r="EI57743"/>
      <c r="EJ57743"/>
      <c r="EK57743"/>
    </row>
    <row r="57744" spans="1:141" s="116" customFormat="1">
      <c r="A57744" s="136"/>
      <c r="CM57744" s="111"/>
      <c r="CQ57744" s="111"/>
      <c r="EF57744"/>
      <c r="EG57744"/>
      <c r="EH57744"/>
      <c r="EI57744"/>
      <c r="EJ57744"/>
      <c r="EK57744"/>
    </row>
    <row r="57745" spans="1:141" s="116" customFormat="1">
      <c r="A57745" s="136"/>
      <c r="CM57745" s="111"/>
      <c r="CQ57745" s="111"/>
      <c r="EF57745"/>
      <c r="EG57745"/>
      <c r="EH57745"/>
      <c r="EI57745"/>
      <c r="EJ57745"/>
      <c r="EK57745"/>
    </row>
    <row r="57746" spans="1:141" s="116" customFormat="1">
      <c r="A57746" s="136"/>
      <c r="CM57746" s="111"/>
      <c r="CQ57746" s="111"/>
      <c r="EF57746"/>
      <c r="EG57746"/>
      <c r="EH57746"/>
      <c r="EI57746"/>
      <c r="EJ57746"/>
      <c r="EK57746"/>
    </row>
    <row r="57747" spans="1:141" s="116" customFormat="1">
      <c r="A57747" s="136"/>
      <c r="CM57747" s="111"/>
      <c r="CQ57747" s="111"/>
      <c r="EF57747"/>
      <c r="EG57747"/>
      <c r="EH57747"/>
      <c r="EI57747"/>
      <c r="EJ57747"/>
      <c r="EK57747"/>
    </row>
    <row r="57748" spans="1:141" s="116" customFormat="1">
      <c r="A57748" s="136"/>
      <c r="CM57748" s="111"/>
      <c r="CQ57748" s="111"/>
      <c r="EF57748"/>
      <c r="EG57748"/>
      <c r="EH57748"/>
      <c r="EI57748"/>
      <c r="EJ57748"/>
      <c r="EK57748"/>
    </row>
    <row r="57749" spans="1:141" s="116" customFormat="1">
      <c r="A57749" s="136"/>
      <c r="CM57749" s="111"/>
      <c r="CQ57749" s="111"/>
      <c r="EF57749"/>
      <c r="EG57749"/>
      <c r="EH57749"/>
      <c r="EI57749"/>
      <c r="EJ57749"/>
      <c r="EK57749"/>
    </row>
    <row r="57750" spans="1:141" s="116" customFormat="1">
      <c r="A57750" s="136"/>
      <c r="CM57750" s="111"/>
      <c r="CQ57750" s="111"/>
      <c r="EF57750"/>
      <c r="EG57750"/>
      <c r="EH57750"/>
      <c r="EI57750"/>
      <c r="EJ57750"/>
      <c r="EK57750"/>
    </row>
    <row r="57751" spans="1:141" s="116" customFormat="1">
      <c r="A57751" s="136"/>
      <c r="CM57751" s="111"/>
      <c r="CQ57751" s="111"/>
      <c r="EF57751"/>
      <c r="EG57751"/>
      <c r="EH57751"/>
      <c r="EI57751"/>
      <c r="EJ57751"/>
      <c r="EK57751"/>
    </row>
    <row r="57752" spans="1:141" s="116" customFormat="1">
      <c r="A57752" s="136"/>
      <c r="CM57752" s="111"/>
      <c r="CQ57752" s="111"/>
      <c r="EF57752"/>
      <c r="EG57752"/>
      <c r="EH57752"/>
      <c r="EI57752"/>
      <c r="EJ57752"/>
      <c r="EK57752"/>
    </row>
    <row r="57753" spans="1:141" s="116" customFormat="1">
      <c r="A57753" s="136"/>
      <c r="CM57753" s="111"/>
      <c r="CQ57753" s="111"/>
      <c r="EF57753"/>
      <c r="EG57753"/>
      <c r="EH57753"/>
      <c r="EI57753"/>
      <c r="EJ57753"/>
      <c r="EK57753"/>
    </row>
    <row r="57754" spans="1:141" s="116" customFormat="1">
      <c r="A57754" s="136"/>
      <c r="CM57754" s="111"/>
      <c r="CQ57754" s="111"/>
      <c r="EF57754"/>
      <c r="EG57754"/>
      <c r="EH57754"/>
      <c r="EI57754"/>
      <c r="EJ57754"/>
      <c r="EK57754"/>
    </row>
    <row r="57755" spans="1:141" s="116" customFormat="1">
      <c r="A57755" s="136"/>
      <c r="CM57755" s="111"/>
      <c r="CQ57755" s="111"/>
      <c r="EF57755"/>
      <c r="EG57755"/>
      <c r="EH57755"/>
      <c r="EI57755"/>
      <c r="EJ57755"/>
      <c r="EK57755"/>
    </row>
    <row r="57756" spans="1:141" s="116" customFormat="1">
      <c r="A57756" s="136"/>
      <c r="CM57756" s="111"/>
      <c r="CQ57756" s="111"/>
      <c r="EF57756"/>
      <c r="EG57756"/>
      <c r="EH57756"/>
      <c r="EI57756"/>
      <c r="EJ57756"/>
      <c r="EK57756"/>
    </row>
    <row r="57757" spans="1:141" s="116" customFormat="1">
      <c r="A57757" s="136"/>
      <c r="CM57757" s="111"/>
      <c r="CQ57757" s="111"/>
      <c r="EF57757"/>
      <c r="EG57757"/>
      <c r="EH57757"/>
      <c r="EI57757"/>
      <c r="EJ57757"/>
      <c r="EK57757"/>
    </row>
    <row r="57758" spans="1:141" s="116" customFormat="1">
      <c r="A57758" s="136"/>
      <c r="CM57758" s="111"/>
      <c r="CQ57758" s="111"/>
      <c r="EF57758"/>
      <c r="EG57758"/>
      <c r="EH57758"/>
      <c r="EI57758"/>
      <c r="EJ57758"/>
      <c r="EK57758"/>
    </row>
    <row r="57759" spans="1:141" s="116" customFormat="1">
      <c r="A57759" s="136"/>
      <c r="CM57759" s="111"/>
      <c r="CQ57759" s="111"/>
      <c r="EF57759"/>
      <c r="EG57759"/>
      <c r="EH57759"/>
      <c r="EI57759"/>
      <c r="EJ57759"/>
      <c r="EK57759"/>
    </row>
    <row r="57760" spans="1:141" s="116" customFormat="1">
      <c r="A57760" s="136"/>
      <c r="CM57760" s="111"/>
      <c r="CQ57760" s="111"/>
      <c r="EF57760"/>
      <c r="EG57760"/>
      <c r="EH57760"/>
      <c r="EI57760"/>
      <c r="EJ57760"/>
      <c r="EK57760"/>
    </row>
    <row r="57761" spans="1:141" s="116" customFormat="1">
      <c r="A57761" s="136"/>
      <c r="CM57761" s="111"/>
      <c r="CQ57761" s="111"/>
      <c r="EF57761"/>
      <c r="EG57761"/>
      <c r="EH57761"/>
      <c r="EI57761"/>
      <c r="EJ57761"/>
      <c r="EK57761"/>
    </row>
    <row r="57762" spans="1:141" s="116" customFormat="1">
      <c r="A57762" s="136"/>
      <c r="CM57762" s="111"/>
      <c r="CQ57762" s="111"/>
      <c r="EF57762"/>
      <c r="EG57762"/>
      <c r="EH57762"/>
      <c r="EI57762"/>
      <c r="EJ57762"/>
      <c r="EK57762"/>
    </row>
    <row r="57763" spans="1:141" s="116" customFormat="1">
      <c r="A57763" s="136"/>
      <c r="CM57763" s="111"/>
      <c r="CQ57763" s="111"/>
      <c r="EF57763"/>
      <c r="EG57763"/>
      <c r="EH57763"/>
      <c r="EI57763"/>
      <c r="EJ57763"/>
      <c r="EK57763"/>
    </row>
    <row r="57764" spans="1:141" s="116" customFormat="1">
      <c r="A57764" s="136"/>
      <c r="CM57764" s="111"/>
      <c r="CQ57764" s="111"/>
      <c r="EF57764"/>
      <c r="EG57764"/>
      <c r="EH57764"/>
      <c r="EI57764"/>
      <c r="EJ57764"/>
      <c r="EK57764"/>
    </row>
    <row r="57765" spans="1:141" s="116" customFormat="1">
      <c r="A57765" s="136"/>
      <c r="CM57765" s="111"/>
      <c r="CQ57765" s="111"/>
      <c r="EF57765"/>
      <c r="EG57765"/>
      <c r="EH57765"/>
      <c r="EI57765"/>
      <c r="EJ57765"/>
      <c r="EK57765"/>
    </row>
    <row r="57766" spans="1:141" s="116" customFormat="1">
      <c r="A57766" s="136"/>
      <c r="CM57766" s="111"/>
      <c r="CQ57766" s="111"/>
      <c r="EF57766"/>
      <c r="EG57766"/>
      <c r="EH57766"/>
      <c r="EI57766"/>
      <c r="EJ57766"/>
      <c r="EK57766"/>
    </row>
    <row r="57767" spans="1:141" s="116" customFormat="1">
      <c r="A57767" s="136"/>
      <c r="CM57767" s="111"/>
      <c r="CQ57767" s="111"/>
      <c r="EF57767"/>
      <c r="EG57767"/>
      <c r="EH57767"/>
      <c r="EI57767"/>
      <c r="EJ57767"/>
      <c r="EK57767"/>
    </row>
    <row r="57768" spans="1:141" s="116" customFormat="1">
      <c r="A57768" s="136"/>
      <c r="CM57768" s="111"/>
      <c r="CQ57768" s="111"/>
      <c r="EF57768"/>
      <c r="EG57768"/>
      <c r="EH57768"/>
      <c r="EI57768"/>
      <c r="EJ57768"/>
      <c r="EK57768"/>
    </row>
    <row r="57769" spans="1:141" s="116" customFormat="1">
      <c r="A57769" s="136"/>
      <c r="CM57769" s="111"/>
      <c r="CQ57769" s="111"/>
      <c r="EF57769"/>
      <c r="EG57769"/>
      <c r="EH57769"/>
      <c r="EI57769"/>
      <c r="EJ57769"/>
      <c r="EK57769"/>
    </row>
    <row r="57770" spans="1:141" s="116" customFormat="1">
      <c r="A57770" s="136"/>
      <c r="CM57770" s="111"/>
      <c r="CQ57770" s="111"/>
      <c r="EF57770"/>
      <c r="EG57770"/>
      <c r="EH57770"/>
      <c r="EI57770"/>
      <c r="EJ57770"/>
      <c r="EK57770"/>
    </row>
    <row r="57771" spans="1:141" s="116" customFormat="1">
      <c r="A57771" s="136"/>
      <c r="CM57771" s="111"/>
      <c r="CQ57771" s="111"/>
      <c r="EF57771"/>
      <c r="EG57771"/>
      <c r="EH57771"/>
      <c r="EI57771"/>
      <c r="EJ57771"/>
      <c r="EK57771"/>
    </row>
    <row r="57772" spans="1:141" s="116" customFormat="1">
      <c r="A57772" s="136"/>
      <c r="CM57772" s="111"/>
      <c r="CQ57772" s="111"/>
      <c r="EF57772"/>
      <c r="EG57772"/>
      <c r="EH57772"/>
      <c r="EI57772"/>
      <c r="EJ57772"/>
      <c r="EK57772"/>
    </row>
    <row r="57773" spans="1:141" s="116" customFormat="1">
      <c r="A57773" s="136"/>
      <c r="CM57773" s="111"/>
      <c r="CQ57773" s="111"/>
      <c r="EF57773"/>
      <c r="EG57773"/>
      <c r="EH57773"/>
      <c r="EI57773"/>
      <c r="EJ57773"/>
      <c r="EK57773"/>
    </row>
    <row r="57774" spans="1:141" s="116" customFormat="1">
      <c r="A57774" s="136"/>
      <c r="CM57774" s="111"/>
      <c r="CQ57774" s="111"/>
      <c r="EF57774"/>
      <c r="EG57774"/>
      <c r="EH57774"/>
      <c r="EI57774"/>
      <c r="EJ57774"/>
      <c r="EK57774"/>
    </row>
    <row r="57775" spans="1:141" s="116" customFormat="1">
      <c r="A57775" s="136"/>
      <c r="CM57775" s="111"/>
      <c r="CQ57775" s="111"/>
      <c r="EF57775"/>
      <c r="EG57775"/>
      <c r="EH57775"/>
      <c r="EI57775"/>
      <c r="EJ57775"/>
      <c r="EK57775"/>
    </row>
    <row r="57776" spans="1:141" s="116" customFormat="1">
      <c r="A57776" s="136"/>
      <c r="CM57776" s="111"/>
      <c r="CQ57776" s="111"/>
      <c r="EF57776"/>
      <c r="EG57776"/>
      <c r="EH57776"/>
      <c r="EI57776"/>
      <c r="EJ57776"/>
      <c r="EK57776"/>
    </row>
    <row r="57777" spans="1:141" s="116" customFormat="1">
      <c r="A57777" s="136"/>
      <c r="CM57777" s="111"/>
      <c r="CQ57777" s="111"/>
      <c r="EF57777"/>
      <c r="EG57777"/>
      <c r="EH57777"/>
      <c r="EI57777"/>
      <c r="EJ57777"/>
      <c r="EK57777"/>
    </row>
    <row r="57778" spans="1:141" s="116" customFormat="1">
      <c r="A57778" s="136"/>
      <c r="CM57778" s="111"/>
      <c r="CQ57778" s="111"/>
      <c r="EF57778"/>
      <c r="EG57778"/>
      <c r="EH57778"/>
      <c r="EI57778"/>
      <c r="EJ57778"/>
      <c r="EK57778"/>
    </row>
    <row r="57779" spans="1:141" s="116" customFormat="1">
      <c r="A57779" s="136"/>
      <c r="CM57779" s="111"/>
      <c r="CQ57779" s="111"/>
      <c r="EF57779"/>
      <c r="EG57779"/>
      <c r="EH57779"/>
      <c r="EI57779"/>
      <c r="EJ57779"/>
      <c r="EK57779"/>
    </row>
    <row r="57780" spans="1:141" s="116" customFormat="1">
      <c r="A57780" s="136"/>
      <c r="CM57780" s="111"/>
      <c r="CQ57780" s="111"/>
      <c r="EF57780"/>
      <c r="EG57780"/>
      <c r="EH57780"/>
      <c r="EI57780"/>
      <c r="EJ57780"/>
      <c r="EK57780"/>
    </row>
    <row r="57781" spans="1:141" s="116" customFormat="1">
      <c r="A57781" s="136"/>
      <c r="CM57781" s="111"/>
      <c r="CQ57781" s="111"/>
      <c r="EF57781"/>
      <c r="EG57781"/>
      <c r="EH57781"/>
      <c r="EI57781"/>
      <c r="EJ57781"/>
      <c r="EK57781"/>
    </row>
    <row r="57782" spans="1:141" s="116" customFormat="1">
      <c r="A57782" s="136"/>
      <c r="CM57782" s="111"/>
      <c r="CQ57782" s="111"/>
      <c r="EF57782"/>
      <c r="EG57782"/>
      <c r="EH57782"/>
      <c r="EI57782"/>
      <c r="EJ57782"/>
      <c r="EK57782"/>
    </row>
    <row r="57783" spans="1:141" s="116" customFormat="1">
      <c r="A57783" s="136"/>
      <c r="CM57783" s="111"/>
      <c r="CQ57783" s="111"/>
      <c r="EF57783"/>
      <c r="EG57783"/>
      <c r="EH57783"/>
      <c r="EI57783"/>
      <c r="EJ57783"/>
      <c r="EK57783"/>
    </row>
    <row r="57784" spans="1:141" s="116" customFormat="1">
      <c r="A57784" s="136"/>
      <c r="CM57784" s="111"/>
      <c r="CQ57784" s="111"/>
      <c r="EF57784"/>
      <c r="EG57784"/>
      <c r="EH57784"/>
      <c r="EI57784"/>
      <c r="EJ57784"/>
      <c r="EK57784"/>
    </row>
    <row r="57785" spans="1:141" s="116" customFormat="1">
      <c r="A57785" s="136"/>
      <c r="CM57785" s="111"/>
      <c r="CQ57785" s="111"/>
      <c r="EF57785"/>
      <c r="EG57785"/>
      <c r="EH57785"/>
      <c r="EI57785"/>
      <c r="EJ57785"/>
      <c r="EK57785"/>
    </row>
    <row r="57786" spans="1:141" s="116" customFormat="1">
      <c r="A57786" s="136"/>
      <c r="CM57786" s="111"/>
      <c r="CQ57786" s="111"/>
      <c r="EF57786"/>
      <c r="EG57786"/>
      <c r="EH57786"/>
      <c r="EI57786"/>
      <c r="EJ57786"/>
      <c r="EK57786"/>
    </row>
    <row r="57787" spans="1:141" s="116" customFormat="1">
      <c r="A57787" s="136"/>
      <c r="CM57787" s="111"/>
      <c r="CQ57787" s="111"/>
      <c r="EF57787"/>
      <c r="EG57787"/>
      <c r="EH57787"/>
      <c r="EI57787"/>
      <c r="EJ57787"/>
      <c r="EK57787"/>
    </row>
    <row r="57788" spans="1:141" s="116" customFormat="1">
      <c r="A57788" s="136"/>
      <c r="CM57788" s="111"/>
      <c r="CQ57788" s="111"/>
      <c r="EF57788"/>
      <c r="EG57788"/>
      <c r="EH57788"/>
      <c r="EI57788"/>
      <c r="EJ57788"/>
      <c r="EK57788"/>
    </row>
    <row r="57789" spans="1:141" s="116" customFormat="1">
      <c r="A57789" s="136"/>
      <c r="CM57789" s="111"/>
      <c r="CQ57789" s="111"/>
      <c r="EF57789"/>
      <c r="EG57789"/>
      <c r="EH57789"/>
      <c r="EI57789"/>
      <c r="EJ57789"/>
      <c r="EK57789"/>
    </row>
    <row r="57790" spans="1:141" s="116" customFormat="1">
      <c r="A57790" s="136"/>
      <c r="CM57790" s="111"/>
      <c r="CQ57790" s="111"/>
      <c r="EF57790"/>
      <c r="EG57790"/>
      <c r="EH57790"/>
      <c r="EI57790"/>
      <c r="EJ57790"/>
      <c r="EK57790"/>
    </row>
    <row r="57791" spans="1:141" s="116" customFormat="1">
      <c r="A57791" s="136"/>
      <c r="CM57791" s="111"/>
      <c r="CQ57791" s="111"/>
      <c r="EF57791"/>
      <c r="EG57791"/>
      <c r="EH57791"/>
      <c r="EI57791"/>
      <c r="EJ57791"/>
      <c r="EK57791"/>
    </row>
    <row r="57792" spans="1:141" s="116" customFormat="1">
      <c r="A57792" s="136"/>
      <c r="CM57792" s="111"/>
      <c r="CQ57792" s="111"/>
      <c r="EF57792"/>
      <c r="EG57792"/>
      <c r="EH57792"/>
      <c r="EI57792"/>
      <c r="EJ57792"/>
      <c r="EK57792"/>
    </row>
    <row r="57793" spans="1:141" s="116" customFormat="1">
      <c r="A57793" s="136"/>
      <c r="CM57793" s="111"/>
      <c r="CQ57793" s="111"/>
      <c r="EF57793"/>
      <c r="EG57793"/>
      <c r="EH57793"/>
      <c r="EI57793"/>
      <c r="EJ57793"/>
      <c r="EK57793"/>
    </row>
    <row r="57794" spans="1:141" s="116" customFormat="1">
      <c r="A57794" s="136"/>
      <c r="CM57794" s="111"/>
      <c r="CQ57794" s="111"/>
      <c r="EF57794"/>
      <c r="EG57794"/>
      <c r="EH57794"/>
      <c r="EI57794"/>
      <c r="EJ57794"/>
      <c r="EK57794"/>
    </row>
    <row r="57795" spans="1:141" s="116" customFormat="1">
      <c r="A57795" s="136"/>
      <c r="CM57795" s="111"/>
      <c r="CQ57795" s="111"/>
      <c r="EF57795"/>
      <c r="EG57795"/>
      <c r="EH57795"/>
      <c r="EI57795"/>
      <c r="EJ57795"/>
      <c r="EK57795"/>
    </row>
    <row r="57796" spans="1:141" s="116" customFormat="1">
      <c r="A57796" s="136"/>
      <c r="CM57796" s="111"/>
      <c r="CQ57796" s="111"/>
      <c r="EF57796"/>
      <c r="EG57796"/>
      <c r="EH57796"/>
      <c r="EI57796"/>
      <c r="EJ57796"/>
      <c r="EK57796"/>
    </row>
    <row r="57797" spans="1:141" s="116" customFormat="1">
      <c r="A57797" s="136"/>
      <c r="CM57797" s="111"/>
      <c r="CQ57797" s="111"/>
      <c r="EF57797"/>
      <c r="EG57797"/>
      <c r="EH57797"/>
      <c r="EI57797"/>
      <c r="EJ57797"/>
      <c r="EK57797"/>
    </row>
    <row r="57798" spans="1:141" s="116" customFormat="1">
      <c r="A57798" s="136"/>
      <c r="CM57798" s="111"/>
      <c r="CQ57798" s="111"/>
      <c r="EF57798"/>
      <c r="EG57798"/>
      <c r="EH57798"/>
      <c r="EI57798"/>
      <c r="EJ57798"/>
      <c r="EK57798"/>
    </row>
    <row r="57799" spans="1:141" s="116" customFormat="1">
      <c r="A57799" s="136"/>
      <c r="CM57799" s="111"/>
      <c r="CQ57799" s="111"/>
      <c r="EF57799"/>
      <c r="EG57799"/>
      <c r="EH57799"/>
      <c r="EI57799"/>
      <c r="EJ57799"/>
      <c r="EK57799"/>
    </row>
    <row r="57800" spans="1:141" s="116" customFormat="1">
      <c r="A57800" s="136"/>
      <c r="CM57800" s="111"/>
      <c r="CQ57800" s="111"/>
      <c r="EF57800"/>
      <c r="EG57800"/>
      <c r="EH57800"/>
      <c r="EI57800"/>
      <c r="EJ57800"/>
      <c r="EK57800"/>
    </row>
    <row r="57801" spans="1:141" s="116" customFormat="1">
      <c r="A57801" s="136"/>
      <c r="CM57801" s="111"/>
      <c r="CQ57801" s="111"/>
      <c r="EF57801"/>
      <c r="EG57801"/>
      <c r="EH57801"/>
      <c r="EI57801"/>
      <c r="EJ57801"/>
      <c r="EK57801"/>
    </row>
    <row r="57802" spans="1:141" s="116" customFormat="1">
      <c r="A57802" s="136"/>
      <c r="CM57802" s="111"/>
      <c r="CQ57802" s="111"/>
      <c r="EF57802"/>
      <c r="EG57802"/>
      <c r="EH57802"/>
      <c r="EI57802"/>
      <c r="EJ57802"/>
      <c r="EK57802"/>
    </row>
    <row r="57803" spans="1:141" s="116" customFormat="1">
      <c r="A57803" s="136"/>
      <c r="CM57803" s="111"/>
      <c r="CQ57803" s="111"/>
      <c r="EF57803"/>
      <c r="EG57803"/>
      <c r="EH57803"/>
      <c r="EI57803"/>
      <c r="EJ57803"/>
      <c r="EK57803"/>
    </row>
    <row r="57804" spans="1:141" s="116" customFormat="1">
      <c r="A57804" s="136"/>
      <c r="CM57804" s="111"/>
      <c r="CQ57804" s="111"/>
      <c r="EF57804"/>
      <c r="EG57804"/>
      <c r="EH57804"/>
      <c r="EI57804"/>
      <c r="EJ57804"/>
      <c r="EK57804"/>
    </row>
    <row r="57805" spans="1:141" s="116" customFormat="1">
      <c r="A57805" s="136"/>
      <c r="CM57805" s="111"/>
      <c r="CQ57805" s="111"/>
      <c r="EF57805"/>
      <c r="EG57805"/>
      <c r="EH57805"/>
      <c r="EI57805"/>
      <c r="EJ57805"/>
      <c r="EK57805"/>
    </row>
    <row r="57806" spans="1:141" s="116" customFormat="1">
      <c r="A57806" s="136"/>
      <c r="CM57806" s="111"/>
      <c r="CQ57806" s="111"/>
      <c r="EF57806"/>
      <c r="EG57806"/>
      <c r="EH57806"/>
      <c r="EI57806"/>
      <c r="EJ57806"/>
      <c r="EK57806"/>
    </row>
    <row r="57807" spans="1:141" s="116" customFormat="1">
      <c r="A57807" s="136"/>
      <c r="CM57807" s="111"/>
      <c r="CQ57807" s="111"/>
      <c r="EF57807"/>
      <c r="EG57807"/>
      <c r="EH57807"/>
      <c r="EI57807"/>
      <c r="EJ57807"/>
      <c r="EK57807"/>
    </row>
    <row r="57808" spans="1:141" s="116" customFormat="1">
      <c r="A57808" s="136"/>
      <c r="CM57808" s="111"/>
      <c r="CQ57808" s="111"/>
      <c r="EF57808"/>
      <c r="EG57808"/>
      <c r="EH57808"/>
      <c r="EI57808"/>
      <c r="EJ57808"/>
      <c r="EK57808"/>
    </row>
    <row r="57809" spans="1:141" s="116" customFormat="1">
      <c r="A57809" s="136"/>
      <c r="CM57809" s="111"/>
      <c r="CQ57809" s="111"/>
      <c r="EF57809"/>
      <c r="EG57809"/>
      <c r="EH57809"/>
      <c r="EI57809"/>
      <c r="EJ57809"/>
      <c r="EK57809"/>
    </row>
    <row r="57810" spans="1:141" s="116" customFormat="1">
      <c r="A57810" s="136"/>
      <c r="CM57810" s="111"/>
      <c r="CQ57810" s="111"/>
      <c r="EF57810"/>
      <c r="EG57810"/>
      <c r="EH57810"/>
      <c r="EI57810"/>
      <c r="EJ57810"/>
      <c r="EK57810"/>
    </row>
    <row r="57811" spans="1:141" s="116" customFormat="1">
      <c r="A57811" s="136"/>
      <c r="CM57811" s="111"/>
      <c r="CQ57811" s="111"/>
      <c r="EF57811"/>
      <c r="EG57811"/>
      <c r="EH57811"/>
      <c r="EI57811"/>
      <c r="EJ57811"/>
      <c r="EK57811"/>
    </row>
    <row r="57812" spans="1:141" s="116" customFormat="1">
      <c r="A57812" s="136"/>
      <c r="CM57812" s="111"/>
      <c r="CQ57812" s="111"/>
      <c r="EF57812"/>
      <c r="EG57812"/>
      <c r="EH57812"/>
      <c r="EI57812"/>
      <c r="EJ57812"/>
      <c r="EK57812"/>
    </row>
    <row r="57813" spans="1:141" s="116" customFormat="1">
      <c r="A57813" s="136"/>
      <c r="CM57813" s="111"/>
      <c r="CQ57813" s="111"/>
      <c r="EF57813"/>
      <c r="EG57813"/>
      <c r="EH57813"/>
      <c r="EI57813"/>
      <c r="EJ57813"/>
      <c r="EK57813"/>
    </row>
    <row r="57814" spans="1:141" s="116" customFormat="1">
      <c r="A57814" s="136"/>
      <c r="CM57814" s="111"/>
      <c r="CQ57814" s="111"/>
      <c r="EF57814"/>
      <c r="EG57814"/>
      <c r="EH57814"/>
      <c r="EI57814"/>
      <c r="EJ57814"/>
      <c r="EK57814"/>
    </row>
    <row r="57815" spans="1:141" s="116" customFormat="1">
      <c r="A57815" s="136"/>
      <c r="CM57815" s="111"/>
      <c r="CQ57815" s="111"/>
      <c r="EF57815"/>
      <c r="EG57815"/>
      <c r="EH57815"/>
      <c r="EI57815"/>
      <c r="EJ57815"/>
      <c r="EK57815"/>
    </row>
    <row r="57816" spans="1:141" s="116" customFormat="1">
      <c r="A57816" s="136"/>
      <c r="CM57816" s="111"/>
      <c r="CQ57816" s="111"/>
      <c r="EF57816"/>
      <c r="EG57816"/>
      <c r="EH57816"/>
      <c r="EI57816"/>
      <c r="EJ57816"/>
      <c r="EK57816"/>
    </row>
    <row r="57817" spans="1:141" s="116" customFormat="1">
      <c r="A57817" s="136"/>
      <c r="CM57817" s="111"/>
      <c r="CQ57817" s="111"/>
      <c r="EF57817"/>
      <c r="EG57817"/>
      <c r="EH57817"/>
      <c r="EI57817"/>
      <c r="EJ57817"/>
      <c r="EK57817"/>
    </row>
    <row r="57818" spans="1:141" s="116" customFormat="1">
      <c r="A57818" s="136"/>
      <c r="CM57818" s="111"/>
      <c r="CQ57818" s="111"/>
      <c r="EF57818"/>
      <c r="EG57818"/>
      <c r="EH57818"/>
      <c r="EI57818"/>
      <c r="EJ57818"/>
      <c r="EK57818"/>
    </row>
    <row r="57819" spans="1:141" s="116" customFormat="1">
      <c r="A57819" s="136"/>
      <c r="CM57819" s="111"/>
      <c r="CQ57819" s="111"/>
      <c r="EF57819"/>
      <c r="EG57819"/>
      <c r="EH57819"/>
      <c r="EI57819"/>
      <c r="EJ57819"/>
      <c r="EK57819"/>
    </row>
    <row r="57820" spans="1:141" s="116" customFormat="1">
      <c r="A57820" s="136"/>
      <c r="CM57820" s="111"/>
      <c r="CQ57820" s="111"/>
      <c r="EF57820"/>
      <c r="EG57820"/>
      <c r="EH57820"/>
      <c r="EI57820"/>
      <c r="EJ57820"/>
      <c r="EK57820"/>
    </row>
    <row r="57821" spans="1:141" s="116" customFormat="1">
      <c r="A57821" s="136"/>
      <c r="CM57821" s="111"/>
      <c r="CQ57821" s="111"/>
      <c r="EF57821"/>
      <c r="EG57821"/>
      <c r="EH57821"/>
      <c r="EI57821"/>
      <c r="EJ57821"/>
      <c r="EK57821"/>
    </row>
    <row r="57822" spans="1:141" s="116" customFormat="1">
      <c r="A57822" s="136"/>
      <c r="CM57822" s="111"/>
      <c r="CQ57822" s="111"/>
      <c r="EF57822"/>
      <c r="EG57822"/>
      <c r="EH57822"/>
      <c r="EI57822"/>
      <c r="EJ57822"/>
      <c r="EK57822"/>
    </row>
    <row r="57823" spans="1:141" s="116" customFormat="1">
      <c r="A57823" s="136"/>
      <c r="CM57823" s="111"/>
      <c r="CQ57823" s="111"/>
      <c r="EF57823"/>
      <c r="EG57823"/>
      <c r="EH57823"/>
      <c r="EI57823"/>
      <c r="EJ57823"/>
      <c r="EK57823"/>
    </row>
    <row r="57824" spans="1:141" s="116" customFormat="1">
      <c r="A57824" s="136"/>
      <c r="CM57824" s="111"/>
      <c r="CQ57824" s="111"/>
      <c r="EF57824"/>
      <c r="EG57824"/>
      <c r="EH57824"/>
      <c r="EI57824"/>
      <c r="EJ57824"/>
      <c r="EK57824"/>
    </row>
    <row r="57825" spans="1:141" s="116" customFormat="1">
      <c r="A57825" s="136"/>
      <c r="CM57825" s="111"/>
      <c r="CQ57825" s="111"/>
      <c r="EF57825"/>
      <c r="EG57825"/>
      <c r="EH57825"/>
      <c r="EI57825"/>
      <c r="EJ57825"/>
      <c r="EK57825"/>
    </row>
    <row r="57826" spans="1:141" s="116" customFormat="1">
      <c r="A57826" s="136"/>
      <c r="CM57826" s="111"/>
      <c r="CQ57826" s="111"/>
      <c r="EF57826"/>
      <c r="EG57826"/>
      <c r="EH57826"/>
      <c r="EI57826"/>
      <c r="EJ57826"/>
      <c r="EK57826"/>
    </row>
    <row r="57827" spans="1:141" s="116" customFormat="1">
      <c r="A57827" s="136"/>
      <c r="CM57827" s="111"/>
      <c r="CQ57827" s="111"/>
      <c r="EF57827"/>
      <c r="EG57827"/>
      <c r="EH57827"/>
      <c r="EI57827"/>
      <c r="EJ57827"/>
      <c r="EK57827"/>
    </row>
    <row r="57828" spans="1:141" s="116" customFormat="1">
      <c r="A57828" s="136"/>
      <c r="CM57828" s="111"/>
      <c r="CQ57828" s="111"/>
      <c r="EF57828"/>
      <c r="EG57828"/>
      <c r="EH57828"/>
      <c r="EI57828"/>
      <c r="EJ57828"/>
      <c r="EK57828"/>
    </row>
    <row r="57829" spans="1:141" s="116" customFormat="1">
      <c r="A57829" s="136"/>
      <c r="CM57829" s="111"/>
      <c r="CQ57829" s="111"/>
      <c r="EF57829"/>
      <c r="EG57829"/>
      <c r="EH57829"/>
      <c r="EI57829"/>
      <c r="EJ57829"/>
      <c r="EK57829"/>
    </row>
    <row r="57830" spans="1:141" s="116" customFormat="1">
      <c r="A57830" s="136"/>
      <c r="CM57830" s="111"/>
      <c r="CQ57830" s="111"/>
      <c r="EF57830"/>
      <c r="EG57830"/>
      <c r="EH57830"/>
      <c r="EI57830"/>
      <c r="EJ57830"/>
      <c r="EK57830"/>
    </row>
    <row r="57831" spans="1:141" s="116" customFormat="1">
      <c r="A57831" s="136"/>
      <c r="CM57831" s="111"/>
      <c r="CQ57831" s="111"/>
      <c r="EF57831"/>
      <c r="EG57831"/>
      <c r="EH57831"/>
      <c r="EI57831"/>
      <c r="EJ57831"/>
      <c r="EK57831"/>
    </row>
    <row r="57832" spans="1:141" s="116" customFormat="1">
      <c r="A57832" s="136"/>
      <c r="CM57832" s="111"/>
      <c r="CQ57832" s="111"/>
      <c r="EF57832"/>
      <c r="EG57832"/>
      <c r="EH57832"/>
      <c r="EI57832"/>
      <c r="EJ57832"/>
      <c r="EK57832"/>
    </row>
    <row r="57833" spans="1:141" s="116" customFormat="1">
      <c r="A57833" s="136"/>
      <c r="CM57833" s="111"/>
      <c r="CQ57833" s="111"/>
      <c r="EF57833"/>
      <c r="EG57833"/>
      <c r="EH57833"/>
      <c r="EI57833"/>
      <c r="EJ57833"/>
      <c r="EK57833"/>
    </row>
    <row r="57834" spans="1:141" s="116" customFormat="1">
      <c r="A57834" s="136"/>
      <c r="CM57834" s="111"/>
      <c r="CQ57834" s="111"/>
      <c r="EF57834"/>
      <c r="EG57834"/>
      <c r="EH57834"/>
      <c r="EI57834"/>
      <c r="EJ57834"/>
      <c r="EK57834"/>
    </row>
    <row r="57835" spans="1:141" s="116" customFormat="1">
      <c r="A57835" s="136"/>
      <c r="CM57835" s="111"/>
      <c r="CQ57835" s="111"/>
      <c r="EF57835"/>
      <c r="EG57835"/>
      <c r="EH57835"/>
      <c r="EI57835"/>
      <c r="EJ57835"/>
      <c r="EK57835"/>
    </row>
    <row r="57836" spans="1:141" s="116" customFormat="1">
      <c r="A57836" s="136"/>
      <c r="CM57836" s="111"/>
      <c r="CQ57836" s="111"/>
      <c r="EF57836"/>
      <c r="EG57836"/>
      <c r="EH57836"/>
      <c r="EI57836"/>
      <c r="EJ57836"/>
      <c r="EK57836"/>
    </row>
    <row r="57837" spans="1:141" s="116" customFormat="1">
      <c r="A57837" s="136"/>
      <c r="CM57837" s="111"/>
      <c r="CQ57837" s="111"/>
      <c r="EF57837"/>
      <c r="EG57837"/>
      <c r="EH57837"/>
      <c r="EI57837"/>
      <c r="EJ57837"/>
      <c r="EK57837"/>
    </row>
    <row r="57838" spans="1:141" s="116" customFormat="1">
      <c r="A57838" s="136"/>
      <c r="CM57838" s="111"/>
      <c r="CQ57838" s="111"/>
      <c r="EF57838"/>
      <c r="EG57838"/>
      <c r="EH57838"/>
      <c r="EI57838"/>
      <c r="EJ57838"/>
      <c r="EK57838"/>
    </row>
    <row r="57839" spans="1:141" s="116" customFormat="1">
      <c r="A57839" s="136"/>
      <c r="CM57839" s="111"/>
      <c r="CQ57839" s="111"/>
      <c r="EF57839"/>
      <c r="EG57839"/>
      <c r="EH57839"/>
      <c r="EI57839"/>
      <c r="EJ57839"/>
      <c r="EK57839"/>
    </row>
    <row r="57840" spans="1:141" s="116" customFormat="1">
      <c r="A57840" s="136"/>
      <c r="CM57840" s="111"/>
      <c r="CQ57840" s="111"/>
      <c r="EF57840"/>
      <c r="EG57840"/>
      <c r="EH57840"/>
      <c r="EI57840"/>
      <c r="EJ57840"/>
      <c r="EK57840"/>
    </row>
    <row r="57841" spans="1:141" s="116" customFormat="1">
      <c r="A57841" s="136"/>
      <c r="CM57841" s="111"/>
      <c r="CQ57841" s="111"/>
      <c r="EF57841"/>
      <c r="EG57841"/>
      <c r="EH57841"/>
      <c r="EI57841"/>
      <c r="EJ57841"/>
      <c r="EK57841"/>
    </row>
    <row r="57842" spans="1:141" s="116" customFormat="1">
      <c r="A57842" s="136"/>
      <c r="CM57842" s="111"/>
      <c r="CQ57842" s="111"/>
      <c r="EF57842"/>
      <c r="EG57842"/>
      <c r="EH57842"/>
      <c r="EI57842"/>
      <c r="EJ57842"/>
      <c r="EK57842"/>
    </row>
    <row r="57843" spans="1:141" s="116" customFormat="1">
      <c r="A57843" s="136"/>
      <c r="CM57843" s="111"/>
      <c r="CQ57843" s="111"/>
      <c r="EF57843"/>
      <c r="EG57843"/>
      <c r="EH57843"/>
      <c r="EI57843"/>
      <c r="EJ57843"/>
      <c r="EK57843"/>
    </row>
    <row r="57844" spans="1:141" s="116" customFormat="1">
      <c r="A57844" s="136"/>
      <c r="CM57844" s="111"/>
      <c r="CQ57844" s="111"/>
      <c r="EF57844"/>
      <c r="EG57844"/>
      <c r="EH57844"/>
      <c r="EI57844"/>
      <c r="EJ57844"/>
      <c r="EK57844"/>
    </row>
    <row r="57845" spans="1:141" s="116" customFormat="1">
      <c r="A57845" s="136"/>
      <c r="CM57845" s="111"/>
      <c r="CQ57845" s="111"/>
      <c r="EF57845"/>
      <c r="EG57845"/>
      <c r="EH57845"/>
      <c r="EI57845"/>
      <c r="EJ57845"/>
      <c r="EK57845"/>
    </row>
    <row r="57846" spans="1:141" s="116" customFormat="1">
      <c r="A57846" s="136"/>
      <c r="CM57846" s="111"/>
      <c r="CQ57846" s="111"/>
      <c r="EF57846"/>
      <c r="EG57846"/>
      <c r="EH57846"/>
      <c r="EI57846"/>
      <c r="EJ57846"/>
      <c r="EK57846"/>
    </row>
    <row r="57847" spans="1:141" s="116" customFormat="1">
      <c r="A57847" s="136"/>
      <c r="CM57847" s="111"/>
      <c r="CQ57847" s="111"/>
      <c r="EF57847"/>
      <c r="EG57847"/>
      <c r="EH57847"/>
      <c r="EI57847"/>
      <c r="EJ57847"/>
      <c r="EK57847"/>
    </row>
    <row r="57848" spans="1:141" s="116" customFormat="1">
      <c r="A57848" s="136"/>
      <c r="CM57848" s="111"/>
      <c r="CQ57848" s="111"/>
      <c r="EF57848"/>
      <c r="EG57848"/>
      <c r="EH57848"/>
      <c r="EI57848"/>
      <c r="EJ57848"/>
      <c r="EK57848"/>
    </row>
    <row r="57849" spans="1:141" s="116" customFormat="1">
      <c r="A57849" s="136"/>
      <c r="CM57849" s="111"/>
      <c r="CQ57849" s="111"/>
      <c r="EF57849"/>
      <c r="EG57849"/>
      <c r="EH57849"/>
      <c r="EI57849"/>
      <c r="EJ57849"/>
      <c r="EK57849"/>
    </row>
    <row r="57850" spans="1:141" s="116" customFormat="1">
      <c r="A57850" s="136"/>
      <c r="CM57850" s="111"/>
      <c r="CQ57850" s="111"/>
      <c r="EF57850"/>
      <c r="EG57850"/>
      <c r="EH57850"/>
      <c r="EI57850"/>
      <c r="EJ57850"/>
      <c r="EK57850"/>
    </row>
    <row r="57851" spans="1:141" s="116" customFormat="1">
      <c r="A57851" s="136"/>
      <c r="CM57851" s="111"/>
      <c r="CQ57851" s="111"/>
      <c r="EF57851"/>
      <c r="EG57851"/>
      <c r="EH57851"/>
      <c r="EI57851"/>
      <c r="EJ57851"/>
      <c r="EK57851"/>
    </row>
    <row r="57852" spans="1:141" s="116" customFormat="1">
      <c r="A57852" s="136"/>
      <c r="CM57852" s="111"/>
      <c r="CQ57852" s="111"/>
      <c r="EF57852"/>
      <c r="EG57852"/>
      <c r="EH57852"/>
      <c r="EI57852"/>
      <c r="EJ57852"/>
      <c r="EK57852"/>
    </row>
    <row r="57853" spans="1:141" s="116" customFormat="1">
      <c r="A57853" s="136"/>
      <c r="CM57853" s="111"/>
      <c r="CQ57853" s="111"/>
      <c r="EF57853"/>
      <c r="EG57853"/>
      <c r="EH57853"/>
      <c r="EI57853"/>
      <c r="EJ57853"/>
      <c r="EK57853"/>
    </row>
    <row r="57854" spans="1:141" s="116" customFormat="1">
      <c r="A57854" s="136"/>
      <c r="CM57854" s="111"/>
      <c r="CQ57854" s="111"/>
      <c r="EF57854"/>
      <c r="EG57854"/>
      <c r="EH57854"/>
      <c r="EI57854"/>
      <c r="EJ57854"/>
      <c r="EK57854"/>
    </row>
    <row r="57855" spans="1:141" s="116" customFormat="1">
      <c r="A57855" s="136"/>
      <c r="CM57855" s="111"/>
      <c r="CQ57855" s="111"/>
      <c r="EF57855"/>
      <c r="EG57855"/>
      <c r="EH57855"/>
      <c r="EI57855"/>
      <c r="EJ57855"/>
      <c r="EK57855"/>
    </row>
    <row r="57856" spans="1:141" s="116" customFormat="1">
      <c r="A57856" s="136"/>
      <c r="CM57856" s="111"/>
      <c r="CQ57856" s="111"/>
      <c r="EF57856"/>
      <c r="EG57856"/>
      <c r="EH57856"/>
      <c r="EI57856"/>
      <c r="EJ57856"/>
      <c r="EK57856"/>
    </row>
    <row r="57857" spans="1:141" s="116" customFormat="1">
      <c r="A57857" s="136"/>
      <c r="CM57857" s="111"/>
      <c r="CQ57857" s="111"/>
      <c r="EF57857"/>
      <c r="EG57857"/>
      <c r="EH57857"/>
      <c r="EI57857"/>
      <c r="EJ57857"/>
      <c r="EK57857"/>
    </row>
    <row r="57858" spans="1:141" s="116" customFormat="1">
      <c r="A57858" s="136"/>
      <c r="CM57858" s="111"/>
      <c r="CQ57858" s="111"/>
      <c r="EF57858"/>
      <c r="EG57858"/>
      <c r="EH57858"/>
      <c r="EI57858"/>
      <c r="EJ57858"/>
      <c r="EK57858"/>
    </row>
    <row r="57859" spans="1:141" s="116" customFormat="1">
      <c r="A57859" s="136"/>
      <c r="CM57859" s="111"/>
      <c r="CQ57859" s="111"/>
      <c r="EF57859"/>
      <c r="EG57859"/>
      <c r="EH57859"/>
      <c r="EI57859"/>
      <c r="EJ57859"/>
      <c r="EK57859"/>
    </row>
    <row r="57860" spans="1:141" s="116" customFormat="1">
      <c r="A57860" s="136"/>
      <c r="CM57860" s="111"/>
      <c r="CQ57860" s="111"/>
      <c r="EF57860"/>
      <c r="EG57860"/>
      <c r="EH57860"/>
      <c r="EI57860"/>
      <c r="EJ57860"/>
      <c r="EK57860"/>
    </row>
    <row r="57861" spans="1:141" s="116" customFormat="1">
      <c r="A57861" s="136"/>
      <c r="CM57861" s="111"/>
      <c r="CQ57861" s="111"/>
      <c r="EF57861"/>
      <c r="EG57861"/>
      <c r="EH57861"/>
      <c r="EI57861"/>
      <c r="EJ57861"/>
      <c r="EK57861"/>
    </row>
    <row r="57862" spans="1:141" s="116" customFormat="1">
      <c r="A57862" s="136"/>
      <c r="CM57862" s="111"/>
      <c r="CQ57862" s="111"/>
      <c r="EF57862"/>
      <c r="EG57862"/>
      <c r="EH57862"/>
      <c r="EI57862"/>
      <c r="EJ57862"/>
      <c r="EK57862"/>
    </row>
    <row r="57863" spans="1:141" s="116" customFormat="1">
      <c r="A57863" s="136"/>
      <c r="CM57863" s="111"/>
      <c r="CQ57863" s="111"/>
      <c r="EF57863"/>
      <c r="EG57863"/>
      <c r="EH57863"/>
      <c r="EI57863"/>
      <c r="EJ57863"/>
      <c r="EK57863"/>
    </row>
    <row r="57864" spans="1:141" s="116" customFormat="1">
      <c r="A57864" s="136"/>
      <c r="CM57864" s="111"/>
      <c r="CQ57864" s="111"/>
      <c r="EF57864"/>
      <c r="EG57864"/>
      <c r="EH57864"/>
      <c r="EI57864"/>
      <c r="EJ57864"/>
      <c r="EK57864"/>
    </row>
    <row r="57865" spans="1:141" s="116" customFormat="1">
      <c r="A57865" s="136"/>
      <c r="CM57865" s="111"/>
      <c r="CQ57865" s="111"/>
      <c r="EF57865"/>
      <c r="EG57865"/>
      <c r="EH57865"/>
      <c r="EI57865"/>
      <c r="EJ57865"/>
      <c r="EK57865"/>
    </row>
    <row r="57866" spans="1:141" s="116" customFormat="1">
      <c r="A57866" s="136"/>
      <c r="CM57866" s="111"/>
      <c r="CQ57866" s="111"/>
      <c r="EF57866"/>
      <c r="EG57866"/>
      <c r="EH57866"/>
      <c r="EI57866"/>
      <c r="EJ57866"/>
      <c r="EK57866"/>
    </row>
    <row r="57867" spans="1:141" s="116" customFormat="1">
      <c r="A57867" s="136"/>
      <c r="CM57867" s="111"/>
      <c r="CQ57867" s="111"/>
      <c r="EF57867"/>
      <c r="EG57867"/>
      <c r="EH57867"/>
      <c r="EI57867"/>
      <c r="EJ57867"/>
      <c r="EK57867"/>
    </row>
    <row r="57868" spans="1:141" s="116" customFormat="1">
      <c r="A57868" s="136"/>
      <c r="CM57868" s="111"/>
      <c r="CQ57868" s="111"/>
      <c r="EF57868"/>
      <c r="EG57868"/>
      <c r="EH57868"/>
      <c r="EI57868"/>
      <c r="EJ57868"/>
      <c r="EK57868"/>
    </row>
    <row r="57869" spans="1:141" s="116" customFormat="1">
      <c r="A57869" s="136"/>
      <c r="CM57869" s="111"/>
      <c r="CQ57869" s="111"/>
      <c r="EF57869"/>
      <c r="EG57869"/>
      <c r="EH57869"/>
      <c r="EI57869"/>
      <c r="EJ57869"/>
      <c r="EK57869"/>
    </row>
    <row r="57870" spans="1:141" s="116" customFormat="1">
      <c r="A57870" s="136"/>
      <c r="CM57870" s="111"/>
      <c r="CQ57870" s="111"/>
      <c r="EF57870"/>
      <c r="EG57870"/>
      <c r="EH57870"/>
      <c r="EI57870"/>
      <c r="EJ57870"/>
      <c r="EK57870"/>
    </row>
    <row r="57871" spans="1:141" s="116" customFormat="1">
      <c r="A57871" s="136"/>
      <c r="CM57871" s="111"/>
      <c r="CQ57871" s="111"/>
      <c r="EF57871"/>
      <c r="EG57871"/>
      <c r="EH57871"/>
      <c r="EI57871"/>
      <c r="EJ57871"/>
      <c r="EK57871"/>
    </row>
    <row r="57872" spans="1:141" s="116" customFormat="1">
      <c r="A57872" s="136"/>
      <c r="CM57872" s="111"/>
      <c r="CQ57872" s="111"/>
      <c r="EF57872"/>
      <c r="EG57872"/>
      <c r="EH57872"/>
      <c r="EI57872"/>
      <c r="EJ57872"/>
      <c r="EK57872"/>
    </row>
    <row r="57873" spans="1:141" s="116" customFormat="1">
      <c r="A57873" s="136"/>
      <c r="CM57873" s="111"/>
      <c r="CQ57873" s="111"/>
      <c r="EF57873"/>
      <c r="EG57873"/>
      <c r="EH57873"/>
      <c r="EI57873"/>
      <c r="EJ57873"/>
      <c r="EK57873"/>
    </row>
    <row r="57874" spans="1:141" s="116" customFormat="1">
      <c r="A57874" s="136"/>
      <c r="CM57874" s="111"/>
      <c r="CQ57874" s="111"/>
      <c r="EF57874"/>
      <c r="EG57874"/>
      <c r="EH57874"/>
      <c r="EI57874"/>
      <c r="EJ57874"/>
      <c r="EK57874"/>
    </row>
    <row r="57875" spans="1:141" s="116" customFormat="1">
      <c r="A57875" s="136"/>
      <c r="CM57875" s="111"/>
      <c r="CQ57875" s="111"/>
      <c r="EF57875"/>
      <c r="EG57875"/>
      <c r="EH57875"/>
      <c r="EI57875"/>
      <c r="EJ57875"/>
      <c r="EK57875"/>
    </row>
    <row r="57876" spans="1:141" s="116" customFormat="1">
      <c r="A57876" s="136"/>
      <c r="CM57876" s="111"/>
      <c r="CQ57876" s="111"/>
      <c r="EF57876"/>
      <c r="EG57876"/>
      <c r="EH57876"/>
      <c r="EI57876"/>
      <c r="EJ57876"/>
      <c r="EK57876"/>
    </row>
    <row r="57877" spans="1:141" s="116" customFormat="1">
      <c r="A57877" s="136"/>
      <c r="CM57877" s="111"/>
      <c r="CQ57877" s="111"/>
      <c r="EF57877"/>
      <c r="EG57877"/>
      <c r="EH57877"/>
      <c r="EI57877"/>
      <c r="EJ57877"/>
      <c r="EK57877"/>
    </row>
    <row r="57878" spans="1:141" s="116" customFormat="1">
      <c r="A57878" s="136"/>
      <c r="CM57878" s="111"/>
      <c r="CQ57878" s="111"/>
      <c r="EF57878"/>
      <c r="EG57878"/>
      <c r="EH57878"/>
      <c r="EI57878"/>
      <c r="EJ57878"/>
      <c r="EK57878"/>
    </row>
    <row r="57879" spans="1:141" s="116" customFormat="1">
      <c r="A57879" s="136"/>
      <c r="CM57879" s="111"/>
      <c r="CQ57879" s="111"/>
      <c r="EF57879"/>
      <c r="EG57879"/>
      <c r="EH57879"/>
      <c r="EI57879"/>
      <c r="EJ57879"/>
      <c r="EK57879"/>
    </row>
    <row r="57880" spans="1:141" s="116" customFormat="1">
      <c r="A57880" s="136"/>
      <c r="CM57880" s="111"/>
      <c r="CQ57880" s="111"/>
      <c r="EF57880"/>
      <c r="EG57880"/>
      <c r="EH57880"/>
      <c r="EI57880"/>
      <c r="EJ57880"/>
      <c r="EK57880"/>
    </row>
    <row r="57881" spans="1:141" s="116" customFormat="1">
      <c r="A57881" s="136"/>
      <c r="CM57881" s="111"/>
      <c r="CQ57881" s="111"/>
      <c r="EF57881"/>
      <c r="EG57881"/>
      <c r="EH57881"/>
      <c r="EI57881"/>
      <c r="EJ57881"/>
      <c r="EK57881"/>
    </row>
    <row r="57882" spans="1:141" s="116" customFormat="1">
      <c r="A57882" s="136"/>
      <c r="CM57882" s="111"/>
      <c r="CQ57882" s="111"/>
      <c r="EF57882"/>
      <c r="EG57882"/>
      <c r="EH57882"/>
      <c r="EI57882"/>
      <c r="EJ57882"/>
      <c r="EK57882"/>
    </row>
    <row r="57883" spans="1:141" s="116" customFormat="1">
      <c r="A57883" s="136"/>
      <c r="CM57883" s="111"/>
      <c r="CQ57883" s="111"/>
      <c r="EF57883"/>
      <c r="EG57883"/>
      <c r="EH57883"/>
      <c r="EI57883"/>
      <c r="EJ57883"/>
      <c r="EK57883"/>
    </row>
    <row r="57884" spans="1:141" s="116" customFormat="1">
      <c r="A57884" s="136"/>
      <c r="CM57884" s="111"/>
      <c r="CQ57884" s="111"/>
      <c r="EF57884"/>
      <c r="EG57884"/>
      <c r="EH57884"/>
      <c r="EI57884"/>
      <c r="EJ57884"/>
      <c r="EK57884"/>
    </row>
    <row r="57885" spans="1:141" s="116" customFormat="1">
      <c r="A57885" s="136"/>
      <c r="CM57885" s="111"/>
      <c r="CQ57885" s="111"/>
      <c r="EF57885"/>
      <c r="EG57885"/>
      <c r="EH57885"/>
      <c r="EI57885"/>
      <c r="EJ57885"/>
      <c r="EK57885"/>
    </row>
    <row r="57886" spans="1:141" s="116" customFormat="1">
      <c r="A57886" s="136"/>
      <c r="CM57886" s="111"/>
      <c r="CQ57886" s="111"/>
      <c r="EF57886"/>
      <c r="EG57886"/>
      <c r="EH57886"/>
      <c r="EI57886"/>
      <c r="EJ57886"/>
      <c r="EK57886"/>
    </row>
    <row r="57887" spans="1:141" s="116" customFormat="1">
      <c r="A57887" s="136"/>
      <c r="CM57887" s="111"/>
      <c r="CQ57887" s="111"/>
      <c r="EF57887"/>
      <c r="EG57887"/>
      <c r="EH57887"/>
      <c r="EI57887"/>
      <c r="EJ57887"/>
      <c r="EK57887"/>
    </row>
    <row r="57888" spans="1:141" s="116" customFormat="1">
      <c r="A57888" s="136"/>
      <c r="CM57888" s="111"/>
      <c r="CQ57888" s="111"/>
      <c r="EF57888"/>
      <c r="EG57888"/>
      <c r="EH57888"/>
      <c r="EI57888"/>
      <c r="EJ57888"/>
      <c r="EK57888"/>
    </row>
    <row r="57889" spans="1:141" s="116" customFormat="1">
      <c r="A57889" s="136"/>
      <c r="CM57889" s="111"/>
      <c r="CQ57889" s="111"/>
      <c r="EF57889"/>
      <c r="EG57889"/>
      <c r="EH57889"/>
      <c r="EI57889"/>
      <c r="EJ57889"/>
      <c r="EK57889"/>
    </row>
    <row r="57890" spans="1:141" s="116" customFormat="1">
      <c r="A57890" s="136"/>
      <c r="CM57890" s="111"/>
      <c r="CQ57890" s="111"/>
      <c r="EF57890"/>
      <c r="EG57890"/>
      <c r="EH57890"/>
      <c r="EI57890"/>
      <c r="EJ57890"/>
      <c r="EK57890"/>
    </row>
    <row r="57891" spans="1:141" s="116" customFormat="1">
      <c r="A57891" s="136"/>
      <c r="CM57891" s="111"/>
      <c r="CQ57891" s="111"/>
      <c r="EF57891"/>
      <c r="EG57891"/>
      <c r="EH57891"/>
      <c r="EI57891"/>
      <c r="EJ57891"/>
      <c r="EK57891"/>
    </row>
    <row r="57892" spans="1:141" s="116" customFormat="1">
      <c r="A57892" s="136"/>
      <c r="CM57892" s="111"/>
      <c r="CQ57892" s="111"/>
      <c r="EF57892"/>
      <c r="EG57892"/>
      <c r="EH57892"/>
      <c r="EI57892"/>
      <c r="EJ57892"/>
      <c r="EK57892"/>
    </row>
    <row r="57893" spans="1:141" s="116" customFormat="1">
      <c r="A57893" s="136"/>
      <c r="CM57893" s="111"/>
      <c r="CQ57893" s="111"/>
      <c r="EF57893"/>
      <c r="EG57893"/>
      <c r="EH57893"/>
      <c r="EI57893"/>
      <c r="EJ57893"/>
      <c r="EK57893"/>
    </row>
    <row r="57894" spans="1:141" s="116" customFormat="1">
      <c r="A57894" s="136"/>
      <c r="CM57894" s="111"/>
      <c r="CQ57894" s="111"/>
      <c r="EF57894"/>
      <c r="EG57894"/>
      <c r="EH57894"/>
      <c r="EI57894"/>
      <c r="EJ57894"/>
      <c r="EK57894"/>
    </row>
    <row r="57895" spans="1:141" s="116" customFormat="1">
      <c r="A57895" s="136"/>
      <c r="CM57895" s="111"/>
      <c r="CQ57895" s="111"/>
      <c r="EF57895"/>
      <c r="EG57895"/>
      <c r="EH57895"/>
      <c r="EI57895"/>
      <c r="EJ57895"/>
      <c r="EK57895"/>
    </row>
    <row r="57896" spans="1:141" s="116" customFormat="1">
      <c r="A57896" s="136"/>
      <c r="CM57896" s="111"/>
      <c r="CQ57896" s="111"/>
      <c r="EF57896"/>
      <c r="EG57896"/>
      <c r="EH57896"/>
      <c r="EI57896"/>
      <c r="EJ57896"/>
      <c r="EK57896"/>
    </row>
    <row r="57897" spans="1:141" s="116" customFormat="1">
      <c r="A57897" s="136"/>
      <c r="CM57897" s="111"/>
      <c r="CQ57897" s="111"/>
      <c r="EF57897"/>
      <c r="EG57897"/>
      <c r="EH57897"/>
      <c r="EI57897"/>
      <c r="EJ57897"/>
      <c r="EK57897"/>
    </row>
    <row r="57898" spans="1:141" s="116" customFormat="1">
      <c r="A57898" s="136"/>
      <c r="CM57898" s="111"/>
      <c r="CQ57898" s="111"/>
      <c r="EF57898"/>
      <c r="EG57898"/>
      <c r="EH57898"/>
      <c r="EI57898"/>
      <c r="EJ57898"/>
      <c r="EK57898"/>
    </row>
    <row r="57899" spans="1:141" s="116" customFormat="1">
      <c r="A57899" s="136"/>
      <c r="CM57899" s="111"/>
      <c r="CQ57899" s="111"/>
      <c r="EF57899"/>
      <c r="EG57899"/>
      <c r="EH57899"/>
      <c r="EI57899"/>
      <c r="EJ57899"/>
      <c r="EK57899"/>
    </row>
    <row r="57900" spans="1:141" s="116" customFormat="1">
      <c r="A57900" s="136"/>
      <c r="CM57900" s="111"/>
      <c r="CQ57900" s="111"/>
      <c r="EF57900"/>
      <c r="EG57900"/>
      <c r="EH57900"/>
      <c r="EI57900"/>
      <c r="EJ57900"/>
      <c r="EK57900"/>
    </row>
    <row r="57901" spans="1:141" s="116" customFormat="1">
      <c r="A57901" s="136"/>
      <c r="CM57901" s="111"/>
      <c r="CQ57901" s="111"/>
      <c r="EF57901"/>
      <c r="EG57901"/>
      <c r="EH57901"/>
      <c r="EI57901"/>
      <c r="EJ57901"/>
      <c r="EK57901"/>
    </row>
    <row r="57902" spans="1:141" s="116" customFormat="1">
      <c r="A57902" s="136"/>
      <c r="CM57902" s="111"/>
      <c r="CQ57902" s="111"/>
      <c r="EF57902"/>
      <c r="EG57902"/>
      <c r="EH57902"/>
      <c r="EI57902"/>
      <c r="EJ57902"/>
      <c r="EK57902"/>
    </row>
    <row r="57903" spans="1:141" s="116" customFormat="1">
      <c r="A57903" s="136"/>
      <c r="CM57903" s="111"/>
      <c r="CQ57903" s="111"/>
      <c r="EF57903"/>
      <c r="EG57903"/>
      <c r="EH57903"/>
      <c r="EI57903"/>
      <c r="EJ57903"/>
      <c r="EK57903"/>
    </row>
    <row r="57904" spans="1:141" s="116" customFormat="1">
      <c r="A57904" s="136"/>
      <c r="CM57904" s="111"/>
      <c r="CQ57904" s="111"/>
      <c r="EF57904"/>
      <c r="EG57904"/>
      <c r="EH57904"/>
      <c r="EI57904"/>
      <c r="EJ57904"/>
      <c r="EK57904"/>
    </row>
    <row r="57905" spans="1:141" s="116" customFormat="1">
      <c r="A57905" s="136"/>
      <c r="CM57905" s="111"/>
      <c r="CQ57905" s="111"/>
      <c r="EF57905"/>
      <c r="EG57905"/>
      <c r="EH57905"/>
      <c r="EI57905"/>
      <c r="EJ57905"/>
      <c r="EK57905"/>
    </row>
    <row r="57906" spans="1:141" s="116" customFormat="1">
      <c r="A57906" s="136"/>
      <c r="CM57906" s="111"/>
      <c r="CQ57906" s="111"/>
      <c r="EF57906"/>
      <c r="EG57906"/>
      <c r="EH57906"/>
      <c r="EI57906"/>
      <c r="EJ57906"/>
      <c r="EK57906"/>
    </row>
    <row r="57907" spans="1:141" s="116" customFormat="1">
      <c r="A57907" s="136"/>
      <c r="CM57907" s="111"/>
      <c r="CQ57907" s="111"/>
      <c r="EF57907"/>
      <c r="EG57907"/>
      <c r="EH57907"/>
      <c r="EI57907"/>
      <c r="EJ57907"/>
      <c r="EK57907"/>
    </row>
    <row r="57908" spans="1:141" s="116" customFormat="1">
      <c r="A57908" s="136"/>
      <c r="CM57908" s="111"/>
      <c r="CQ57908" s="111"/>
      <c r="EF57908"/>
      <c r="EG57908"/>
      <c r="EH57908"/>
      <c r="EI57908"/>
      <c r="EJ57908"/>
      <c r="EK57908"/>
    </row>
    <row r="57909" spans="1:141" s="116" customFormat="1">
      <c r="A57909" s="136"/>
      <c r="CM57909" s="111"/>
      <c r="CQ57909" s="111"/>
      <c r="EF57909"/>
      <c r="EG57909"/>
      <c r="EH57909"/>
      <c r="EI57909"/>
      <c r="EJ57909"/>
      <c r="EK57909"/>
    </row>
    <row r="57910" spans="1:141" s="116" customFormat="1">
      <c r="A57910" s="136"/>
      <c r="CM57910" s="111"/>
      <c r="CQ57910" s="111"/>
      <c r="EF57910"/>
      <c r="EG57910"/>
      <c r="EH57910"/>
      <c r="EI57910"/>
      <c r="EJ57910"/>
      <c r="EK57910"/>
    </row>
    <row r="57911" spans="1:141" s="116" customFormat="1">
      <c r="A57911" s="136"/>
      <c r="CM57911" s="111"/>
      <c r="CQ57911" s="111"/>
      <c r="EF57911"/>
      <c r="EG57911"/>
      <c r="EH57911"/>
      <c r="EI57911"/>
      <c r="EJ57911"/>
      <c r="EK57911"/>
    </row>
    <row r="57912" spans="1:141" s="116" customFormat="1">
      <c r="A57912" s="136"/>
      <c r="CM57912" s="111"/>
      <c r="CQ57912" s="111"/>
      <c r="EF57912"/>
      <c r="EG57912"/>
      <c r="EH57912"/>
      <c r="EI57912"/>
      <c r="EJ57912"/>
      <c r="EK57912"/>
    </row>
    <row r="57913" spans="1:141" s="116" customFormat="1">
      <c r="A57913" s="136"/>
      <c r="CM57913" s="111"/>
      <c r="CQ57913" s="111"/>
      <c r="EF57913"/>
      <c r="EG57913"/>
      <c r="EH57913"/>
      <c r="EI57913"/>
      <c r="EJ57913"/>
      <c r="EK57913"/>
    </row>
    <row r="57914" spans="1:141" s="116" customFormat="1">
      <c r="A57914" s="136"/>
      <c r="CM57914" s="111"/>
      <c r="CQ57914" s="111"/>
      <c r="EF57914"/>
      <c r="EG57914"/>
      <c r="EH57914"/>
      <c r="EI57914"/>
      <c r="EJ57914"/>
      <c r="EK57914"/>
    </row>
    <row r="57915" spans="1:141" s="116" customFormat="1">
      <c r="A57915" s="136"/>
      <c r="CM57915" s="111"/>
      <c r="CQ57915" s="111"/>
      <c r="EF57915"/>
      <c r="EG57915"/>
      <c r="EH57915"/>
      <c r="EI57915"/>
      <c r="EJ57915"/>
      <c r="EK57915"/>
    </row>
    <row r="57916" spans="1:141" s="116" customFormat="1">
      <c r="A57916" s="136"/>
      <c r="CM57916" s="111"/>
      <c r="CQ57916" s="111"/>
      <c r="EF57916"/>
      <c r="EG57916"/>
      <c r="EH57916"/>
      <c r="EI57916"/>
      <c r="EJ57916"/>
      <c r="EK57916"/>
    </row>
    <row r="57917" spans="1:141" s="116" customFormat="1">
      <c r="A57917" s="136"/>
      <c r="CM57917" s="111"/>
      <c r="CQ57917" s="111"/>
      <c r="EF57917"/>
      <c r="EG57917"/>
      <c r="EH57917"/>
      <c r="EI57917"/>
      <c r="EJ57917"/>
      <c r="EK57917"/>
    </row>
    <row r="57918" spans="1:141" s="116" customFormat="1">
      <c r="A57918" s="136"/>
      <c r="CM57918" s="111"/>
      <c r="CQ57918" s="111"/>
      <c r="EF57918"/>
      <c r="EG57918"/>
      <c r="EH57918"/>
      <c r="EI57918"/>
      <c r="EJ57918"/>
      <c r="EK57918"/>
    </row>
    <row r="57919" spans="1:141" s="116" customFormat="1">
      <c r="A57919" s="136"/>
      <c r="CM57919" s="111"/>
      <c r="CQ57919" s="111"/>
      <c r="EF57919"/>
      <c r="EG57919"/>
      <c r="EH57919"/>
      <c r="EI57919"/>
      <c r="EJ57919"/>
      <c r="EK57919"/>
    </row>
    <row r="57920" spans="1:141" s="116" customFormat="1">
      <c r="A57920" s="136"/>
      <c r="CM57920" s="111"/>
      <c r="CQ57920" s="111"/>
      <c r="EF57920"/>
      <c r="EG57920"/>
      <c r="EH57920"/>
      <c r="EI57920"/>
      <c r="EJ57920"/>
      <c r="EK57920"/>
    </row>
    <row r="57921" spans="1:141" s="116" customFormat="1">
      <c r="A57921" s="136"/>
      <c r="CM57921" s="111"/>
      <c r="CQ57921" s="111"/>
      <c r="EF57921"/>
      <c r="EG57921"/>
      <c r="EH57921"/>
      <c r="EI57921"/>
      <c r="EJ57921"/>
      <c r="EK57921"/>
    </row>
    <row r="57922" spans="1:141" s="116" customFormat="1">
      <c r="A57922" s="136"/>
      <c r="CM57922" s="111"/>
      <c r="CQ57922" s="111"/>
      <c r="EF57922"/>
      <c r="EG57922"/>
      <c r="EH57922"/>
      <c r="EI57922"/>
      <c r="EJ57922"/>
      <c r="EK57922"/>
    </row>
    <row r="57923" spans="1:141" s="116" customFormat="1">
      <c r="A57923" s="136"/>
      <c r="CM57923" s="111"/>
      <c r="CQ57923" s="111"/>
      <c r="EF57923"/>
      <c r="EG57923"/>
      <c r="EH57923"/>
      <c r="EI57923"/>
      <c r="EJ57923"/>
      <c r="EK57923"/>
    </row>
    <row r="57924" spans="1:141" s="116" customFormat="1">
      <c r="A57924" s="136"/>
      <c r="CM57924" s="111"/>
      <c r="CQ57924" s="111"/>
      <c r="EF57924"/>
      <c r="EG57924"/>
      <c r="EH57924"/>
      <c r="EI57924"/>
      <c r="EJ57924"/>
      <c r="EK57924"/>
    </row>
    <row r="57925" spans="1:141" s="116" customFormat="1">
      <c r="A57925" s="136"/>
      <c r="CM57925" s="111"/>
      <c r="CQ57925" s="111"/>
      <c r="EF57925"/>
      <c r="EG57925"/>
      <c r="EH57925"/>
      <c r="EI57925"/>
      <c r="EJ57925"/>
      <c r="EK57925"/>
    </row>
    <row r="57926" spans="1:141" s="116" customFormat="1">
      <c r="A57926" s="136"/>
      <c r="CM57926" s="111"/>
      <c r="CQ57926" s="111"/>
      <c r="EF57926"/>
      <c r="EG57926"/>
      <c r="EH57926"/>
      <c r="EI57926"/>
      <c r="EJ57926"/>
      <c r="EK57926"/>
    </row>
    <row r="57927" spans="1:141" s="116" customFormat="1">
      <c r="A57927" s="136"/>
      <c r="CM57927" s="111"/>
      <c r="CQ57927" s="111"/>
      <c r="EF57927"/>
      <c r="EG57927"/>
      <c r="EH57927"/>
      <c r="EI57927"/>
      <c r="EJ57927"/>
      <c r="EK57927"/>
    </row>
    <row r="57928" spans="1:141" s="116" customFormat="1">
      <c r="A57928" s="136"/>
      <c r="CM57928" s="111"/>
      <c r="CQ57928" s="111"/>
      <c r="EF57928"/>
      <c r="EG57928"/>
      <c r="EH57928"/>
      <c r="EI57928"/>
      <c r="EJ57928"/>
      <c r="EK57928"/>
    </row>
    <row r="57929" spans="1:141" s="116" customFormat="1">
      <c r="A57929" s="136"/>
      <c r="CM57929" s="111"/>
      <c r="CQ57929" s="111"/>
      <c r="EF57929"/>
      <c r="EG57929"/>
      <c r="EH57929"/>
      <c r="EI57929"/>
      <c r="EJ57929"/>
      <c r="EK57929"/>
    </row>
    <row r="57930" spans="1:141" s="116" customFormat="1">
      <c r="A57930" s="136"/>
      <c r="CM57930" s="111"/>
      <c r="CQ57930" s="111"/>
      <c r="EF57930"/>
      <c r="EG57930"/>
      <c r="EH57930"/>
      <c r="EI57930"/>
      <c r="EJ57930"/>
      <c r="EK57930"/>
    </row>
    <row r="57931" spans="1:141" s="116" customFormat="1">
      <c r="A57931" s="136"/>
      <c r="CM57931" s="111"/>
      <c r="CQ57931" s="111"/>
      <c r="EF57931"/>
      <c r="EG57931"/>
      <c r="EH57931"/>
      <c r="EI57931"/>
      <c r="EJ57931"/>
      <c r="EK57931"/>
    </row>
    <row r="57932" spans="1:141" s="116" customFormat="1">
      <c r="A57932" s="136"/>
      <c r="CM57932" s="111"/>
      <c r="CQ57932" s="111"/>
      <c r="EF57932"/>
      <c r="EG57932"/>
      <c r="EH57932"/>
      <c r="EI57932"/>
      <c r="EJ57932"/>
      <c r="EK57932"/>
    </row>
    <row r="57933" spans="1:141" s="116" customFormat="1">
      <c r="A57933" s="136"/>
      <c r="CM57933" s="111"/>
      <c r="CQ57933" s="111"/>
      <c r="EF57933"/>
      <c r="EG57933"/>
      <c r="EH57933"/>
      <c r="EI57933"/>
      <c r="EJ57933"/>
      <c r="EK57933"/>
    </row>
    <row r="57934" spans="1:141" s="116" customFormat="1">
      <c r="A57934" s="136"/>
      <c r="CM57934" s="111"/>
      <c r="CQ57934" s="111"/>
      <c r="EF57934"/>
      <c r="EG57934"/>
      <c r="EH57934"/>
      <c r="EI57934"/>
      <c r="EJ57934"/>
      <c r="EK57934"/>
    </row>
    <row r="57935" spans="1:141" s="116" customFormat="1">
      <c r="A57935" s="136"/>
      <c r="CM57935" s="111"/>
      <c r="CQ57935" s="111"/>
      <c r="EF57935"/>
      <c r="EG57935"/>
      <c r="EH57935"/>
      <c r="EI57935"/>
      <c r="EJ57935"/>
      <c r="EK57935"/>
    </row>
    <row r="57936" spans="1:141" s="116" customFormat="1">
      <c r="A57936" s="136"/>
      <c r="CM57936" s="111"/>
      <c r="CQ57936" s="111"/>
      <c r="EF57936"/>
      <c r="EG57936"/>
      <c r="EH57936"/>
      <c r="EI57936"/>
      <c r="EJ57936"/>
      <c r="EK57936"/>
    </row>
    <row r="57937" spans="1:141" s="116" customFormat="1">
      <c r="A57937" s="136"/>
      <c r="CM57937" s="111"/>
      <c r="CQ57937" s="111"/>
      <c r="EF57937"/>
      <c r="EG57937"/>
      <c r="EH57937"/>
      <c r="EI57937"/>
      <c r="EJ57937"/>
      <c r="EK57937"/>
    </row>
    <row r="57938" spans="1:141" s="116" customFormat="1">
      <c r="A57938" s="136"/>
      <c r="CM57938" s="111"/>
      <c r="CQ57938" s="111"/>
      <c r="EF57938"/>
      <c r="EG57938"/>
      <c r="EH57938"/>
      <c r="EI57938"/>
      <c r="EJ57938"/>
      <c r="EK57938"/>
    </row>
    <row r="57939" spans="1:141" s="116" customFormat="1">
      <c r="A57939" s="136"/>
      <c r="CM57939" s="111"/>
      <c r="CQ57939" s="111"/>
      <c r="EF57939"/>
      <c r="EG57939"/>
      <c r="EH57939"/>
      <c r="EI57939"/>
      <c r="EJ57939"/>
      <c r="EK57939"/>
    </row>
    <row r="57940" spans="1:141" s="116" customFormat="1">
      <c r="A57940" s="136"/>
      <c r="CM57940" s="111"/>
      <c r="CQ57940" s="111"/>
      <c r="EF57940"/>
      <c r="EG57940"/>
      <c r="EH57940"/>
      <c r="EI57940"/>
      <c r="EJ57940"/>
      <c r="EK57940"/>
    </row>
    <row r="57941" spans="1:141" s="116" customFormat="1">
      <c r="A57941" s="136"/>
      <c r="CM57941" s="111"/>
      <c r="CQ57941" s="111"/>
      <c r="EF57941"/>
      <c r="EG57941"/>
      <c r="EH57941"/>
      <c r="EI57941"/>
      <c r="EJ57941"/>
      <c r="EK57941"/>
    </row>
    <row r="57942" spans="1:141" s="116" customFormat="1">
      <c r="A57942" s="136"/>
      <c r="CM57942" s="111"/>
      <c r="CQ57942" s="111"/>
      <c r="EF57942"/>
      <c r="EG57942"/>
      <c r="EH57942"/>
      <c r="EI57942"/>
      <c r="EJ57942"/>
      <c r="EK57942"/>
    </row>
    <row r="57943" spans="1:141" s="116" customFormat="1">
      <c r="A57943" s="136"/>
      <c r="CM57943" s="111"/>
      <c r="CQ57943" s="111"/>
      <c r="EF57943"/>
      <c r="EG57943"/>
      <c r="EH57943"/>
      <c r="EI57943"/>
      <c r="EJ57943"/>
      <c r="EK57943"/>
    </row>
    <row r="57944" spans="1:141" s="116" customFormat="1">
      <c r="A57944" s="136"/>
      <c r="CM57944" s="111"/>
      <c r="CQ57944" s="111"/>
      <c r="EF57944"/>
      <c r="EG57944"/>
      <c r="EH57944"/>
      <c r="EI57944"/>
      <c r="EJ57944"/>
      <c r="EK57944"/>
    </row>
    <row r="57945" spans="1:141" s="116" customFormat="1">
      <c r="A57945" s="136"/>
      <c r="CM57945" s="111"/>
      <c r="CQ57945" s="111"/>
      <c r="EF57945"/>
      <c r="EG57945"/>
      <c r="EH57945"/>
      <c r="EI57945"/>
      <c r="EJ57945"/>
      <c r="EK57945"/>
    </row>
    <row r="57946" spans="1:141" s="116" customFormat="1">
      <c r="A57946" s="136"/>
      <c r="CM57946" s="111"/>
      <c r="CQ57946" s="111"/>
      <c r="EF57946"/>
      <c r="EG57946"/>
      <c r="EH57946"/>
      <c r="EI57946"/>
      <c r="EJ57946"/>
      <c r="EK57946"/>
    </row>
    <row r="57947" spans="1:141" s="116" customFormat="1">
      <c r="A57947" s="136"/>
      <c r="CM57947" s="111"/>
      <c r="CQ57947" s="111"/>
      <c r="EF57947"/>
      <c r="EG57947"/>
      <c r="EH57947"/>
      <c r="EI57947"/>
      <c r="EJ57947"/>
      <c r="EK57947"/>
    </row>
    <row r="57948" spans="1:141" s="116" customFormat="1">
      <c r="A57948" s="136"/>
      <c r="CM57948" s="111"/>
      <c r="CQ57948" s="111"/>
      <c r="EF57948"/>
      <c r="EG57948"/>
      <c r="EH57948"/>
      <c r="EI57948"/>
      <c r="EJ57948"/>
      <c r="EK57948"/>
    </row>
    <row r="57949" spans="1:141" s="116" customFormat="1">
      <c r="A57949" s="136"/>
      <c r="CM57949" s="111"/>
      <c r="CQ57949" s="111"/>
      <c r="EF57949"/>
      <c r="EG57949"/>
      <c r="EH57949"/>
      <c r="EI57949"/>
      <c r="EJ57949"/>
      <c r="EK57949"/>
    </row>
    <row r="57950" spans="1:141" s="116" customFormat="1">
      <c r="A57950" s="136"/>
      <c r="CM57950" s="111"/>
      <c r="CQ57950" s="111"/>
      <c r="EF57950"/>
      <c r="EG57950"/>
      <c r="EH57950"/>
      <c r="EI57950"/>
      <c r="EJ57950"/>
      <c r="EK57950"/>
    </row>
    <row r="57951" spans="1:141" s="116" customFormat="1">
      <c r="A57951" s="136"/>
      <c r="CM57951" s="111"/>
      <c r="CQ57951" s="111"/>
      <c r="EF57951"/>
      <c r="EG57951"/>
      <c r="EH57951"/>
      <c r="EI57951"/>
      <c r="EJ57951"/>
      <c r="EK57951"/>
    </row>
    <row r="57952" spans="1:141" s="116" customFormat="1">
      <c r="A57952" s="136"/>
      <c r="CM57952" s="111"/>
      <c r="CQ57952" s="111"/>
      <c r="EF57952"/>
      <c r="EG57952"/>
      <c r="EH57952"/>
      <c r="EI57952"/>
      <c r="EJ57952"/>
      <c r="EK57952"/>
    </row>
    <row r="57953" spans="1:141" s="116" customFormat="1">
      <c r="A57953" s="136"/>
      <c r="CM57953" s="111"/>
      <c r="CQ57953" s="111"/>
      <c r="EF57953"/>
      <c r="EG57953"/>
      <c r="EH57953"/>
      <c r="EI57953"/>
      <c r="EJ57953"/>
      <c r="EK57953"/>
    </row>
    <row r="57954" spans="1:141" s="116" customFormat="1">
      <c r="A57954" s="136"/>
      <c r="CM57954" s="111"/>
      <c r="CQ57954" s="111"/>
      <c r="EF57954"/>
      <c r="EG57954"/>
      <c r="EH57954"/>
      <c r="EI57954"/>
      <c r="EJ57954"/>
      <c r="EK57954"/>
    </row>
    <row r="57955" spans="1:141" s="116" customFormat="1">
      <c r="A57955" s="136"/>
      <c r="CM57955" s="111"/>
      <c r="CQ57955" s="111"/>
      <c r="EF57955"/>
      <c r="EG57955"/>
      <c r="EH57955"/>
      <c r="EI57955"/>
      <c r="EJ57955"/>
      <c r="EK57955"/>
    </row>
    <row r="57956" spans="1:141" s="116" customFormat="1">
      <c r="A57956" s="136"/>
      <c r="CM57956" s="111"/>
      <c r="CQ57956" s="111"/>
      <c r="EF57956"/>
      <c r="EG57956"/>
      <c r="EH57956"/>
      <c r="EI57956"/>
      <c r="EJ57956"/>
      <c r="EK57956"/>
    </row>
    <row r="57957" spans="1:141" s="116" customFormat="1">
      <c r="A57957" s="136"/>
      <c r="CM57957" s="111"/>
      <c r="CQ57957" s="111"/>
      <c r="EF57957"/>
      <c r="EG57957"/>
      <c r="EH57957"/>
      <c r="EI57957"/>
      <c r="EJ57957"/>
      <c r="EK57957"/>
    </row>
    <row r="57958" spans="1:141" s="116" customFormat="1">
      <c r="A57958" s="136"/>
      <c r="CM57958" s="111"/>
      <c r="CQ57958" s="111"/>
      <c r="EF57958"/>
      <c r="EG57958"/>
      <c r="EH57958"/>
      <c r="EI57958"/>
      <c r="EJ57958"/>
      <c r="EK57958"/>
    </row>
    <row r="57959" spans="1:141" s="116" customFormat="1">
      <c r="A57959" s="136"/>
      <c r="CM57959" s="111"/>
      <c r="CQ57959" s="111"/>
      <c r="EF57959"/>
      <c r="EG57959"/>
      <c r="EH57959"/>
      <c r="EI57959"/>
      <c r="EJ57959"/>
      <c r="EK57959"/>
    </row>
    <row r="57960" spans="1:141" s="116" customFormat="1">
      <c r="A57960" s="136"/>
      <c r="CM57960" s="111"/>
      <c r="CQ57960" s="111"/>
      <c r="EF57960"/>
      <c r="EG57960"/>
      <c r="EH57960"/>
      <c r="EI57960"/>
      <c r="EJ57960"/>
      <c r="EK57960"/>
    </row>
    <row r="57961" spans="1:141" s="116" customFormat="1">
      <c r="A57961" s="136"/>
      <c r="CM57961" s="111"/>
      <c r="CQ57961" s="111"/>
      <c r="EF57961"/>
      <c r="EG57961"/>
      <c r="EH57961"/>
      <c r="EI57961"/>
      <c r="EJ57961"/>
      <c r="EK57961"/>
    </row>
    <row r="57962" spans="1:141" s="116" customFormat="1">
      <c r="A57962" s="136"/>
      <c r="CM57962" s="111"/>
      <c r="CQ57962" s="111"/>
      <c r="EF57962"/>
      <c r="EG57962"/>
      <c r="EH57962"/>
      <c r="EI57962"/>
      <c r="EJ57962"/>
      <c r="EK57962"/>
    </row>
    <row r="57963" spans="1:141" s="116" customFormat="1">
      <c r="A57963" s="136"/>
      <c r="CM57963" s="111"/>
      <c r="CQ57963" s="111"/>
      <c r="EF57963"/>
      <c r="EG57963"/>
      <c r="EH57963"/>
      <c r="EI57963"/>
      <c r="EJ57963"/>
      <c r="EK57963"/>
    </row>
    <row r="57964" spans="1:141" s="116" customFormat="1">
      <c r="A57964" s="136"/>
      <c r="CM57964" s="111"/>
      <c r="CQ57964" s="111"/>
      <c r="EF57964"/>
      <c r="EG57964"/>
      <c r="EH57964"/>
      <c r="EI57964"/>
      <c r="EJ57964"/>
      <c r="EK57964"/>
    </row>
    <row r="57965" spans="1:141" s="116" customFormat="1">
      <c r="A57965" s="136"/>
      <c r="CM57965" s="111"/>
      <c r="CQ57965" s="111"/>
      <c r="EF57965"/>
      <c r="EG57965"/>
      <c r="EH57965"/>
      <c r="EI57965"/>
      <c r="EJ57965"/>
      <c r="EK57965"/>
    </row>
    <row r="57966" spans="1:141" s="116" customFormat="1">
      <c r="A57966" s="136"/>
      <c r="CM57966" s="111"/>
      <c r="CQ57966" s="111"/>
      <c r="EF57966"/>
      <c r="EG57966"/>
      <c r="EH57966"/>
      <c r="EI57966"/>
      <c r="EJ57966"/>
      <c r="EK57966"/>
    </row>
    <row r="57967" spans="1:141" s="116" customFormat="1">
      <c r="A57967" s="136"/>
      <c r="CM57967" s="111"/>
      <c r="CQ57967" s="111"/>
      <c r="EF57967"/>
      <c r="EG57967"/>
      <c r="EH57967"/>
      <c r="EI57967"/>
      <c r="EJ57967"/>
      <c r="EK57967"/>
    </row>
    <row r="57968" spans="1:141" s="116" customFormat="1">
      <c r="A57968" s="136"/>
      <c r="CM57968" s="111"/>
      <c r="CQ57968" s="111"/>
      <c r="EF57968"/>
      <c r="EG57968"/>
      <c r="EH57968"/>
      <c r="EI57968"/>
      <c r="EJ57968"/>
      <c r="EK57968"/>
    </row>
    <row r="57969" spans="1:141" s="116" customFormat="1">
      <c r="A57969" s="136"/>
      <c r="CM57969" s="111"/>
      <c r="CQ57969" s="111"/>
      <c r="EF57969"/>
      <c r="EG57969"/>
      <c r="EH57969"/>
      <c r="EI57969"/>
      <c r="EJ57969"/>
      <c r="EK57969"/>
    </row>
    <row r="57970" spans="1:141" s="116" customFormat="1">
      <c r="A57970" s="136"/>
      <c r="CM57970" s="111"/>
      <c r="CQ57970" s="111"/>
      <c r="EF57970"/>
      <c r="EG57970"/>
      <c r="EH57970"/>
      <c r="EI57970"/>
      <c r="EJ57970"/>
      <c r="EK57970"/>
    </row>
    <row r="57971" spans="1:141" s="116" customFormat="1">
      <c r="A57971" s="136"/>
      <c r="CM57971" s="111"/>
      <c r="CQ57971" s="111"/>
      <c r="EF57971"/>
      <c r="EG57971"/>
      <c r="EH57971"/>
      <c r="EI57971"/>
      <c r="EJ57971"/>
      <c r="EK57971"/>
    </row>
    <row r="57972" spans="1:141" s="116" customFormat="1">
      <c r="A57972" s="136"/>
      <c r="CM57972" s="111"/>
      <c r="CQ57972" s="111"/>
      <c r="EF57972"/>
      <c r="EG57972"/>
      <c r="EH57972"/>
      <c r="EI57972"/>
      <c r="EJ57972"/>
      <c r="EK57972"/>
    </row>
    <row r="57973" spans="1:141" s="116" customFormat="1">
      <c r="A57973" s="136"/>
      <c r="CM57973" s="111"/>
      <c r="CQ57973" s="111"/>
      <c r="EF57973"/>
      <c r="EG57973"/>
      <c r="EH57973"/>
      <c r="EI57973"/>
      <c r="EJ57973"/>
      <c r="EK57973"/>
    </row>
    <row r="57974" spans="1:141" s="116" customFormat="1">
      <c r="A57974" s="136"/>
      <c r="CM57974" s="111"/>
      <c r="CQ57974" s="111"/>
      <c r="EF57974"/>
      <c r="EG57974"/>
      <c r="EH57974"/>
      <c r="EI57974"/>
      <c r="EJ57974"/>
      <c r="EK57974"/>
    </row>
    <row r="57975" spans="1:141" s="116" customFormat="1">
      <c r="A57975" s="136"/>
      <c r="CM57975" s="111"/>
      <c r="CQ57975" s="111"/>
      <c r="EF57975"/>
      <c r="EG57975"/>
      <c r="EH57975"/>
      <c r="EI57975"/>
      <c r="EJ57975"/>
      <c r="EK57975"/>
    </row>
    <row r="57976" spans="1:141" s="116" customFormat="1">
      <c r="A57976" s="136"/>
      <c r="CM57976" s="111"/>
      <c r="CQ57976" s="111"/>
      <c r="EF57976"/>
      <c r="EG57976"/>
      <c r="EH57976"/>
      <c r="EI57976"/>
      <c r="EJ57976"/>
      <c r="EK57976"/>
    </row>
    <row r="57977" spans="1:141" s="116" customFormat="1">
      <c r="A57977" s="136"/>
      <c r="CM57977" s="111"/>
      <c r="CQ57977" s="111"/>
      <c r="EF57977"/>
      <c r="EG57977"/>
      <c r="EH57977"/>
      <c r="EI57977"/>
      <c r="EJ57977"/>
      <c r="EK57977"/>
    </row>
    <row r="57978" spans="1:141" s="116" customFormat="1">
      <c r="A57978" s="136"/>
      <c r="CM57978" s="111"/>
      <c r="CQ57978" s="111"/>
      <c r="EF57978"/>
      <c r="EG57978"/>
      <c r="EH57978"/>
      <c r="EI57978"/>
      <c r="EJ57978"/>
      <c r="EK57978"/>
    </row>
    <row r="57979" spans="1:141" s="116" customFormat="1">
      <c r="A57979" s="136"/>
      <c r="CM57979" s="111"/>
      <c r="CQ57979" s="111"/>
      <c r="EF57979"/>
      <c r="EG57979"/>
      <c r="EH57979"/>
      <c r="EI57979"/>
      <c r="EJ57979"/>
      <c r="EK57979"/>
    </row>
    <row r="57980" spans="1:141" s="116" customFormat="1">
      <c r="A57980" s="136"/>
      <c r="CM57980" s="111"/>
      <c r="CQ57980" s="111"/>
      <c r="EF57980"/>
      <c r="EG57980"/>
      <c r="EH57980"/>
      <c r="EI57980"/>
      <c r="EJ57980"/>
      <c r="EK57980"/>
    </row>
    <row r="57981" spans="1:141" s="116" customFormat="1">
      <c r="A57981" s="136"/>
      <c r="CM57981" s="111"/>
      <c r="CQ57981" s="111"/>
      <c r="EF57981"/>
      <c r="EG57981"/>
      <c r="EH57981"/>
      <c r="EI57981"/>
      <c r="EJ57981"/>
      <c r="EK57981"/>
    </row>
    <row r="57982" spans="1:141" s="116" customFormat="1">
      <c r="A57982" s="136"/>
      <c r="CM57982" s="111"/>
      <c r="CQ57982" s="111"/>
      <c r="EF57982"/>
      <c r="EG57982"/>
      <c r="EH57982"/>
      <c r="EI57982"/>
      <c r="EJ57982"/>
      <c r="EK57982"/>
    </row>
    <row r="57983" spans="1:141" s="116" customFormat="1">
      <c r="A57983" s="136"/>
      <c r="CM57983" s="111"/>
      <c r="CQ57983" s="111"/>
      <c r="EF57983"/>
      <c r="EG57983"/>
      <c r="EH57983"/>
      <c r="EI57983"/>
      <c r="EJ57983"/>
      <c r="EK57983"/>
    </row>
    <row r="57984" spans="1:141" s="116" customFormat="1">
      <c r="A57984" s="136"/>
      <c r="CM57984" s="111"/>
      <c r="CQ57984" s="111"/>
      <c r="EF57984"/>
      <c r="EG57984"/>
      <c r="EH57984"/>
      <c r="EI57984"/>
      <c r="EJ57984"/>
      <c r="EK57984"/>
    </row>
    <row r="57985" spans="1:141" s="116" customFormat="1">
      <c r="A57985" s="136"/>
      <c r="CM57985" s="111"/>
      <c r="CQ57985" s="111"/>
      <c r="EF57985"/>
      <c r="EG57985"/>
      <c r="EH57985"/>
      <c r="EI57985"/>
      <c r="EJ57985"/>
      <c r="EK57985"/>
    </row>
    <row r="57986" spans="1:141" s="116" customFormat="1">
      <c r="A57986" s="136"/>
      <c r="CM57986" s="111"/>
      <c r="CQ57986" s="111"/>
      <c r="EF57986"/>
      <c r="EG57986"/>
      <c r="EH57986"/>
      <c r="EI57986"/>
      <c r="EJ57986"/>
      <c r="EK57986"/>
    </row>
    <row r="57987" spans="1:141" s="116" customFormat="1">
      <c r="A57987" s="136"/>
      <c r="CM57987" s="111"/>
      <c r="CQ57987" s="111"/>
      <c r="EF57987"/>
      <c r="EG57987"/>
      <c r="EH57987"/>
      <c r="EI57987"/>
      <c r="EJ57987"/>
      <c r="EK57987"/>
    </row>
    <row r="57988" spans="1:141" s="116" customFormat="1">
      <c r="A57988" s="136"/>
      <c r="CM57988" s="111"/>
      <c r="CQ57988" s="111"/>
      <c r="EF57988"/>
      <c r="EG57988"/>
      <c r="EH57988"/>
      <c r="EI57988"/>
      <c r="EJ57988"/>
      <c r="EK57988"/>
    </row>
    <row r="57989" spans="1:141" s="116" customFormat="1">
      <c r="A57989" s="136"/>
      <c r="CM57989" s="111"/>
      <c r="CQ57989" s="111"/>
      <c r="EF57989"/>
      <c r="EG57989"/>
      <c r="EH57989"/>
      <c r="EI57989"/>
      <c r="EJ57989"/>
      <c r="EK57989"/>
    </row>
    <row r="57990" spans="1:141" s="116" customFormat="1">
      <c r="A57990" s="136"/>
      <c r="CM57990" s="111"/>
      <c r="CQ57990" s="111"/>
      <c r="EF57990"/>
      <c r="EG57990"/>
      <c r="EH57990"/>
      <c r="EI57990"/>
      <c r="EJ57990"/>
      <c r="EK57990"/>
    </row>
    <row r="57991" spans="1:141" s="116" customFormat="1">
      <c r="A57991" s="136"/>
      <c r="CM57991" s="111"/>
      <c r="CQ57991" s="111"/>
      <c r="EF57991"/>
      <c r="EG57991"/>
      <c r="EH57991"/>
      <c r="EI57991"/>
      <c r="EJ57991"/>
      <c r="EK57991"/>
    </row>
    <row r="57992" spans="1:141" s="116" customFormat="1">
      <c r="A57992" s="136"/>
      <c r="CM57992" s="111"/>
      <c r="CQ57992" s="111"/>
      <c r="EF57992"/>
      <c r="EG57992"/>
      <c r="EH57992"/>
      <c r="EI57992"/>
      <c r="EJ57992"/>
      <c r="EK57992"/>
    </row>
    <row r="57993" spans="1:141" s="116" customFormat="1">
      <c r="A57993" s="136"/>
      <c r="CM57993" s="111"/>
      <c r="CQ57993" s="111"/>
      <c r="EF57993"/>
      <c r="EG57993"/>
      <c r="EH57993"/>
      <c r="EI57993"/>
      <c r="EJ57993"/>
      <c r="EK57993"/>
    </row>
    <row r="57994" spans="1:141" s="116" customFormat="1">
      <c r="A57994" s="136"/>
      <c r="CM57994" s="111"/>
      <c r="CQ57994" s="111"/>
      <c r="EF57994"/>
      <c r="EG57994"/>
      <c r="EH57994"/>
      <c r="EI57994"/>
      <c r="EJ57994"/>
      <c r="EK57994"/>
    </row>
    <row r="57995" spans="1:141" s="116" customFormat="1">
      <c r="A57995" s="136"/>
      <c r="CM57995" s="111"/>
      <c r="CQ57995" s="111"/>
      <c r="EF57995"/>
      <c r="EG57995"/>
      <c r="EH57995"/>
      <c r="EI57995"/>
      <c r="EJ57995"/>
      <c r="EK57995"/>
    </row>
    <row r="57996" spans="1:141" s="116" customFormat="1">
      <c r="A57996" s="136"/>
      <c r="CM57996" s="111"/>
      <c r="CQ57996" s="111"/>
      <c r="EF57996"/>
      <c r="EG57996"/>
      <c r="EH57996"/>
      <c r="EI57996"/>
      <c r="EJ57996"/>
      <c r="EK57996"/>
    </row>
    <row r="57997" spans="1:141" s="116" customFormat="1">
      <c r="A57997" s="136"/>
      <c r="CM57997" s="111"/>
      <c r="CQ57997" s="111"/>
      <c r="EF57997"/>
      <c r="EG57997"/>
      <c r="EH57997"/>
      <c r="EI57997"/>
      <c r="EJ57997"/>
      <c r="EK57997"/>
    </row>
    <row r="57998" spans="1:141" s="116" customFormat="1">
      <c r="A57998" s="136"/>
      <c r="CM57998" s="111"/>
      <c r="CQ57998" s="111"/>
      <c r="EF57998"/>
      <c r="EG57998"/>
      <c r="EH57998"/>
      <c r="EI57998"/>
      <c r="EJ57998"/>
      <c r="EK57998"/>
    </row>
    <row r="57999" spans="1:141" s="116" customFormat="1">
      <c r="A57999" s="136"/>
      <c r="CM57999" s="111"/>
      <c r="CQ57999" s="111"/>
      <c r="EF57999"/>
      <c r="EG57999"/>
      <c r="EH57999"/>
      <c r="EI57999"/>
      <c r="EJ57999"/>
      <c r="EK57999"/>
    </row>
    <row r="58000" spans="1:141" s="116" customFormat="1">
      <c r="A58000" s="136"/>
      <c r="CM58000" s="111"/>
      <c r="CQ58000" s="111"/>
      <c r="EF58000"/>
      <c r="EG58000"/>
      <c r="EH58000"/>
      <c r="EI58000"/>
      <c r="EJ58000"/>
      <c r="EK58000"/>
    </row>
    <row r="58001" spans="1:141" s="116" customFormat="1">
      <c r="A58001" s="136"/>
      <c r="CM58001" s="111"/>
      <c r="CQ58001" s="111"/>
      <c r="EF58001"/>
      <c r="EG58001"/>
      <c r="EH58001"/>
      <c r="EI58001"/>
      <c r="EJ58001"/>
      <c r="EK58001"/>
    </row>
    <row r="58002" spans="1:141" s="116" customFormat="1">
      <c r="A58002" s="136"/>
      <c r="CM58002" s="111"/>
      <c r="CQ58002" s="111"/>
      <c r="EF58002"/>
      <c r="EG58002"/>
      <c r="EH58002"/>
      <c r="EI58002"/>
      <c r="EJ58002"/>
      <c r="EK58002"/>
    </row>
    <row r="58003" spans="1:141" s="116" customFormat="1">
      <c r="A58003" s="136"/>
      <c r="CM58003" s="111"/>
      <c r="CQ58003" s="111"/>
      <c r="EF58003"/>
      <c r="EG58003"/>
      <c r="EH58003"/>
      <c r="EI58003"/>
      <c r="EJ58003"/>
      <c r="EK58003"/>
    </row>
    <row r="58004" spans="1:141" s="116" customFormat="1">
      <c r="A58004" s="136"/>
      <c r="CM58004" s="111"/>
      <c r="CQ58004" s="111"/>
      <c r="EF58004"/>
      <c r="EG58004"/>
      <c r="EH58004"/>
      <c r="EI58004"/>
      <c r="EJ58004"/>
      <c r="EK58004"/>
    </row>
    <row r="58005" spans="1:141" s="116" customFormat="1">
      <c r="A58005" s="136"/>
      <c r="CM58005" s="111"/>
      <c r="CQ58005" s="111"/>
      <c r="EF58005"/>
      <c r="EG58005"/>
      <c r="EH58005"/>
      <c r="EI58005"/>
      <c r="EJ58005"/>
      <c r="EK58005"/>
    </row>
    <row r="58006" spans="1:141" s="116" customFormat="1">
      <c r="A58006" s="136"/>
      <c r="CM58006" s="111"/>
      <c r="CQ58006" s="111"/>
      <c r="EF58006"/>
      <c r="EG58006"/>
      <c r="EH58006"/>
      <c r="EI58006"/>
      <c r="EJ58006"/>
      <c r="EK58006"/>
    </row>
    <row r="58007" spans="1:141" s="116" customFormat="1">
      <c r="A58007" s="136"/>
      <c r="CM58007" s="111"/>
      <c r="CQ58007" s="111"/>
      <c r="EF58007"/>
      <c r="EG58007"/>
      <c r="EH58007"/>
      <c r="EI58007"/>
      <c r="EJ58007"/>
      <c r="EK58007"/>
    </row>
    <row r="58008" spans="1:141" s="116" customFormat="1">
      <c r="A58008" s="136"/>
      <c r="CM58008" s="111"/>
      <c r="CQ58008" s="111"/>
      <c r="EF58008"/>
      <c r="EG58008"/>
      <c r="EH58008"/>
      <c r="EI58008"/>
      <c r="EJ58008"/>
      <c r="EK58008"/>
    </row>
    <row r="58009" spans="1:141" s="116" customFormat="1">
      <c r="A58009" s="136"/>
      <c r="CM58009" s="111"/>
      <c r="CQ58009" s="111"/>
      <c r="EF58009"/>
      <c r="EG58009"/>
      <c r="EH58009"/>
      <c r="EI58009"/>
      <c r="EJ58009"/>
      <c r="EK58009"/>
    </row>
    <row r="58010" spans="1:141" s="116" customFormat="1">
      <c r="A58010" s="136"/>
      <c r="CM58010" s="111"/>
      <c r="CQ58010" s="111"/>
      <c r="EF58010"/>
      <c r="EG58010"/>
      <c r="EH58010"/>
      <c r="EI58010"/>
      <c r="EJ58010"/>
      <c r="EK58010"/>
    </row>
    <row r="58011" spans="1:141" s="116" customFormat="1">
      <c r="A58011" s="136"/>
      <c r="CM58011" s="111"/>
      <c r="CQ58011" s="111"/>
      <c r="EF58011"/>
      <c r="EG58011"/>
      <c r="EH58011"/>
      <c r="EI58011"/>
      <c r="EJ58011"/>
      <c r="EK58011"/>
    </row>
    <row r="58012" spans="1:141" s="116" customFormat="1">
      <c r="A58012" s="136"/>
      <c r="CM58012" s="111"/>
      <c r="CQ58012" s="111"/>
      <c r="EF58012"/>
      <c r="EG58012"/>
      <c r="EH58012"/>
      <c r="EI58012"/>
      <c r="EJ58012"/>
      <c r="EK58012"/>
    </row>
    <row r="58013" spans="1:141" s="116" customFormat="1">
      <c r="A58013" s="136"/>
      <c r="CM58013" s="111"/>
      <c r="CQ58013" s="111"/>
      <c r="EF58013"/>
      <c r="EG58013"/>
      <c r="EH58013"/>
      <c r="EI58013"/>
      <c r="EJ58013"/>
      <c r="EK58013"/>
    </row>
    <row r="58014" spans="1:141" s="116" customFormat="1">
      <c r="A58014" s="136"/>
      <c r="CM58014" s="111"/>
      <c r="CQ58014" s="111"/>
      <c r="EF58014"/>
      <c r="EG58014"/>
      <c r="EH58014"/>
      <c r="EI58014"/>
      <c r="EJ58014"/>
      <c r="EK58014"/>
    </row>
    <row r="58015" spans="1:141" s="116" customFormat="1">
      <c r="A58015" s="136"/>
      <c r="CM58015" s="111"/>
      <c r="CQ58015" s="111"/>
      <c r="EF58015"/>
      <c r="EG58015"/>
      <c r="EH58015"/>
      <c r="EI58015"/>
      <c r="EJ58015"/>
      <c r="EK58015"/>
    </row>
    <row r="58016" spans="1:141" s="116" customFormat="1">
      <c r="A58016" s="136"/>
      <c r="CM58016" s="111"/>
      <c r="CQ58016" s="111"/>
      <c r="EF58016"/>
      <c r="EG58016"/>
      <c r="EH58016"/>
      <c r="EI58016"/>
      <c r="EJ58016"/>
      <c r="EK58016"/>
    </row>
    <row r="58017" spans="1:141" s="116" customFormat="1">
      <c r="A58017" s="136"/>
      <c r="CM58017" s="111"/>
      <c r="CQ58017" s="111"/>
      <c r="EF58017"/>
      <c r="EG58017"/>
      <c r="EH58017"/>
      <c r="EI58017"/>
      <c r="EJ58017"/>
      <c r="EK58017"/>
    </row>
    <row r="58018" spans="1:141" s="116" customFormat="1">
      <c r="A58018" s="136"/>
      <c r="CM58018" s="111"/>
      <c r="CQ58018" s="111"/>
      <c r="EF58018"/>
      <c r="EG58018"/>
      <c r="EH58018"/>
      <c r="EI58018"/>
      <c r="EJ58018"/>
      <c r="EK58018"/>
    </row>
    <row r="58019" spans="1:141" s="116" customFormat="1">
      <c r="A58019" s="136"/>
      <c r="CM58019" s="111"/>
      <c r="CQ58019" s="111"/>
      <c r="EF58019"/>
      <c r="EG58019"/>
      <c r="EH58019"/>
      <c r="EI58019"/>
      <c r="EJ58019"/>
      <c r="EK58019"/>
    </row>
    <row r="58020" spans="1:141" s="116" customFormat="1">
      <c r="A58020" s="136"/>
      <c r="CM58020" s="111"/>
      <c r="CQ58020" s="111"/>
      <c r="EF58020"/>
      <c r="EG58020"/>
      <c r="EH58020"/>
      <c r="EI58020"/>
      <c r="EJ58020"/>
      <c r="EK58020"/>
    </row>
    <row r="58021" spans="1:141" s="116" customFormat="1">
      <c r="A58021" s="136"/>
      <c r="CM58021" s="111"/>
      <c r="CQ58021" s="111"/>
      <c r="EF58021"/>
      <c r="EG58021"/>
      <c r="EH58021"/>
      <c r="EI58021"/>
      <c r="EJ58021"/>
      <c r="EK58021"/>
    </row>
    <row r="58022" spans="1:141" s="116" customFormat="1">
      <c r="A58022" s="136"/>
      <c r="CM58022" s="111"/>
      <c r="CQ58022" s="111"/>
      <c r="EF58022"/>
      <c r="EG58022"/>
      <c r="EH58022"/>
      <c r="EI58022"/>
      <c r="EJ58022"/>
      <c r="EK58022"/>
    </row>
    <row r="58023" spans="1:141" s="116" customFormat="1">
      <c r="A58023" s="136"/>
      <c r="CM58023" s="111"/>
      <c r="CQ58023" s="111"/>
      <c r="EF58023"/>
      <c r="EG58023"/>
      <c r="EH58023"/>
      <c r="EI58023"/>
      <c r="EJ58023"/>
      <c r="EK58023"/>
    </row>
    <row r="58024" spans="1:141" s="116" customFormat="1">
      <c r="A58024" s="136"/>
      <c r="CM58024" s="111"/>
      <c r="CQ58024" s="111"/>
      <c r="EF58024"/>
      <c r="EG58024"/>
      <c r="EH58024"/>
      <c r="EI58024"/>
      <c r="EJ58024"/>
      <c r="EK58024"/>
    </row>
    <row r="58025" spans="1:141" s="116" customFormat="1">
      <c r="A58025" s="136"/>
      <c r="CM58025" s="111"/>
      <c r="CQ58025" s="111"/>
      <c r="EF58025"/>
      <c r="EG58025"/>
      <c r="EH58025"/>
      <c r="EI58025"/>
      <c r="EJ58025"/>
      <c r="EK58025"/>
    </row>
    <row r="58026" spans="1:141" s="116" customFormat="1">
      <c r="A58026" s="136"/>
      <c r="CM58026" s="111"/>
      <c r="CQ58026" s="111"/>
      <c r="EF58026"/>
      <c r="EG58026"/>
      <c r="EH58026"/>
      <c r="EI58026"/>
      <c r="EJ58026"/>
      <c r="EK58026"/>
    </row>
    <row r="58027" spans="1:141" s="116" customFormat="1">
      <c r="A58027" s="136"/>
      <c r="CM58027" s="111"/>
      <c r="CQ58027" s="111"/>
      <c r="EF58027"/>
      <c r="EG58027"/>
      <c r="EH58027"/>
      <c r="EI58027"/>
      <c r="EJ58027"/>
      <c r="EK58027"/>
    </row>
    <row r="58028" spans="1:141" s="116" customFormat="1">
      <c r="A58028" s="136"/>
      <c r="CM58028" s="111"/>
      <c r="CQ58028" s="111"/>
      <c r="EF58028"/>
      <c r="EG58028"/>
      <c r="EH58028"/>
      <c r="EI58028"/>
      <c r="EJ58028"/>
      <c r="EK58028"/>
    </row>
    <row r="58029" spans="1:141" s="116" customFormat="1">
      <c r="A58029" s="136"/>
      <c r="CM58029" s="111"/>
      <c r="CQ58029" s="111"/>
      <c r="EF58029"/>
      <c r="EG58029"/>
      <c r="EH58029"/>
      <c r="EI58029"/>
      <c r="EJ58029"/>
      <c r="EK58029"/>
    </row>
    <row r="58030" spans="1:141" s="116" customFormat="1">
      <c r="A58030" s="136"/>
      <c r="CM58030" s="111"/>
      <c r="CQ58030" s="111"/>
      <c r="EF58030"/>
      <c r="EG58030"/>
      <c r="EH58030"/>
      <c r="EI58030"/>
      <c r="EJ58030"/>
      <c r="EK58030"/>
    </row>
    <row r="58031" spans="1:141" s="116" customFormat="1">
      <c r="A58031" s="136"/>
      <c r="CM58031" s="111"/>
      <c r="CQ58031" s="111"/>
      <c r="EF58031"/>
      <c r="EG58031"/>
      <c r="EH58031"/>
      <c r="EI58031"/>
      <c r="EJ58031"/>
      <c r="EK58031"/>
    </row>
    <row r="58032" spans="1:141" s="116" customFormat="1">
      <c r="A58032" s="136"/>
      <c r="CM58032" s="111"/>
      <c r="CQ58032" s="111"/>
      <c r="EF58032"/>
      <c r="EG58032"/>
      <c r="EH58032"/>
      <c r="EI58032"/>
      <c r="EJ58032"/>
      <c r="EK58032"/>
    </row>
    <row r="58033" spans="1:141" s="116" customFormat="1">
      <c r="A58033" s="136"/>
      <c r="CM58033" s="111"/>
      <c r="CQ58033" s="111"/>
      <c r="EF58033"/>
      <c r="EG58033"/>
      <c r="EH58033"/>
      <c r="EI58033"/>
      <c r="EJ58033"/>
      <c r="EK58033"/>
    </row>
    <row r="58034" spans="1:141" s="116" customFormat="1">
      <c r="A58034" s="136"/>
      <c r="CM58034" s="111"/>
      <c r="CQ58034" s="111"/>
      <c r="EF58034"/>
      <c r="EG58034"/>
      <c r="EH58034"/>
      <c r="EI58034"/>
      <c r="EJ58034"/>
      <c r="EK58034"/>
    </row>
    <row r="58035" spans="1:141" s="116" customFormat="1">
      <c r="A58035" s="136"/>
      <c r="CM58035" s="111"/>
      <c r="CQ58035" s="111"/>
      <c r="EF58035"/>
      <c r="EG58035"/>
      <c r="EH58035"/>
      <c r="EI58035"/>
      <c r="EJ58035"/>
      <c r="EK58035"/>
    </row>
    <row r="58036" spans="1:141" s="116" customFormat="1">
      <c r="A58036" s="136"/>
      <c r="CM58036" s="111"/>
      <c r="CQ58036" s="111"/>
      <c r="EF58036"/>
      <c r="EG58036"/>
      <c r="EH58036"/>
      <c r="EI58036"/>
      <c r="EJ58036"/>
      <c r="EK58036"/>
    </row>
    <row r="58037" spans="1:141" s="116" customFormat="1">
      <c r="A58037" s="136"/>
      <c r="CM58037" s="111"/>
      <c r="CQ58037" s="111"/>
      <c r="EF58037"/>
      <c r="EG58037"/>
      <c r="EH58037"/>
      <c r="EI58037"/>
      <c r="EJ58037"/>
      <c r="EK58037"/>
    </row>
    <row r="58038" spans="1:141" s="116" customFormat="1">
      <c r="A58038" s="136"/>
      <c r="CM58038" s="111"/>
      <c r="CQ58038" s="111"/>
      <c r="EF58038"/>
      <c r="EG58038"/>
      <c r="EH58038"/>
      <c r="EI58038"/>
      <c r="EJ58038"/>
      <c r="EK58038"/>
    </row>
    <row r="58039" spans="1:141" s="116" customFormat="1">
      <c r="A58039" s="136"/>
      <c r="CM58039" s="111"/>
      <c r="CQ58039" s="111"/>
      <c r="EF58039"/>
      <c r="EG58039"/>
      <c r="EH58039"/>
      <c r="EI58039"/>
      <c r="EJ58039"/>
      <c r="EK58039"/>
    </row>
    <row r="58040" spans="1:141" s="116" customFormat="1">
      <c r="A58040" s="136"/>
      <c r="CM58040" s="111"/>
      <c r="CQ58040" s="111"/>
      <c r="EF58040"/>
      <c r="EG58040"/>
      <c r="EH58040"/>
      <c r="EI58040"/>
      <c r="EJ58040"/>
      <c r="EK58040"/>
    </row>
    <row r="58041" spans="1:141" s="116" customFormat="1">
      <c r="A58041" s="136"/>
      <c r="CM58041" s="111"/>
      <c r="CQ58041" s="111"/>
      <c r="EF58041"/>
      <c r="EG58041"/>
      <c r="EH58041"/>
      <c r="EI58041"/>
      <c r="EJ58041"/>
      <c r="EK58041"/>
    </row>
    <row r="58042" spans="1:141" s="116" customFormat="1">
      <c r="A58042" s="136"/>
      <c r="CM58042" s="111"/>
      <c r="CQ58042" s="111"/>
      <c r="EF58042"/>
      <c r="EG58042"/>
      <c r="EH58042"/>
      <c r="EI58042"/>
      <c r="EJ58042"/>
      <c r="EK58042"/>
    </row>
    <row r="58043" spans="1:141" s="116" customFormat="1">
      <c r="A58043" s="136"/>
      <c r="CM58043" s="111"/>
      <c r="CQ58043" s="111"/>
      <c r="EF58043"/>
      <c r="EG58043"/>
      <c r="EH58043"/>
      <c r="EI58043"/>
      <c r="EJ58043"/>
      <c r="EK58043"/>
    </row>
    <row r="58044" spans="1:141" s="116" customFormat="1">
      <c r="A58044" s="136"/>
      <c r="CM58044" s="111"/>
      <c r="CQ58044" s="111"/>
      <c r="EF58044"/>
      <c r="EG58044"/>
      <c r="EH58044"/>
      <c r="EI58044"/>
      <c r="EJ58044"/>
      <c r="EK58044"/>
    </row>
    <row r="58045" spans="1:141" s="116" customFormat="1">
      <c r="A58045" s="136"/>
      <c r="CM58045" s="111"/>
      <c r="CQ58045" s="111"/>
      <c r="EF58045"/>
      <c r="EG58045"/>
      <c r="EH58045"/>
      <c r="EI58045"/>
      <c r="EJ58045"/>
      <c r="EK58045"/>
    </row>
    <row r="58046" spans="1:141" s="116" customFormat="1">
      <c r="A58046" s="136"/>
      <c r="CM58046" s="111"/>
      <c r="CQ58046" s="111"/>
      <c r="EF58046"/>
      <c r="EG58046"/>
      <c r="EH58046"/>
      <c r="EI58046"/>
      <c r="EJ58046"/>
      <c r="EK58046"/>
    </row>
    <row r="58047" spans="1:141" s="116" customFormat="1">
      <c r="A58047" s="136"/>
      <c r="CM58047" s="111"/>
      <c r="CQ58047" s="111"/>
      <c r="EF58047"/>
      <c r="EG58047"/>
      <c r="EH58047"/>
      <c r="EI58047"/>
      <c r="EJ58047"/>
      <c r="EK58047"/>
    </row>
    <row r="58048" spans="1:141" s="116" customFormat="1">
      <c r="A58048" s="136"/>
      <c r="CM58048" s="111"/>
      <c r="CQ58048" s="111"/>
      <c r="EF58048"/>
      <c r="EG58048"/>
      <c r="EH58048"/>
      <c r="EI58048"/>
      <c r="EJ58048"/>
      <c r="EK58048"/>
    </row>
    <row r="58049" spans="1:141" s="116" customFormat="1">
      <c r="A58049" s="136"/>
      <c r="CM58049" s="111"/>
      <c r="CQ58049" s="111"/>
      <c r="EF58049"/>
      <c r="EG58049"/>
      <c r="EH58049"/>
      <c r="EI58049"/>
      <c r="EJ58049"/>
      <c r="EK58049"/>
    </row>
    <row r="58050" spans="1:141" s="116" customFormat="1">
      <c r="A58050" s="136"/>
      <c r="CM58050" s="111"/>
      <c r="CQ58050" s="111"/>
      <c r="EF58050"/>
      <c r="EG58050"/>
      <c r="EH58050"/>
      <c r="EI58050"/>
      <c r="EJ58050"/>
      <c r="EK58050"/>
    </row>
    <row r="58051" spans="1:141" s="116" customFormat="1">
      <c r="A58051" s="136"/>
      <c r="CM58051" s="111"/>
      <c r="CQ58051" s="111"/>
      <c r="EF58051"/>
      <c r="EG58051"/>
      <c r="EH58051"/>
      <c r="EI58051"/>
      <c r="EJ58051"/>
      <c r="EK58051"/>
    </row>
    <row r="58052" spans="1:141" s="116" customFormat="1">
      <c r="A58052" s="136"/>
      <c r="CM58052" s="111"/>
      <c r="CQ58052" s="111"/>
      <c r="EF58052"/>
      <c r="EG58052"/>
      <c r="EH58052"/>
      <c r="EI58052"/>
      <c r="EJ58052"/>
      <c r="EK58052"/>
    </row>
    <row r="58053" spans="1:141" s="116" customFormat="1">
      <c r="A58053" s="136"/>
      <c r="CM58053" s="111"/>
      <c r="CQ58053" s="111"/>
      <c r="EF58053"/>
      <c r="EG58053"/>
      <c r="EH58053"/>
      <c r="EI58053"/>
      <c r="EJ58053"/>
      <c r="EK58053"/>
    </row>
    <row r="58054" spans="1:141" s="116" customFormat="1">
      <c r="A58054" s="136"/>
      <c r="CM58054" s="111"/>
      <c r="CQ58054" s="111"/>
      <c r="EF58054"/>
      <c r="EG58054"/>
      <c r="EH58054"/>
      <c r="EI58054"/>
      <c r="EJ58054"/>
      <c r="EK58054"/>
    </row>
    <row r="58055" spans="1:141" s="116" customFormat="1">
      <c r="A58055" s="136"/>
      <c r="CM58055" s="111"/>
      <c r="CQ58055" s="111"/>
      <c r="EF58055"/>
      <c r="EG58055"/>
      <c r="EH58055"/>
      <c r="EI58055"/>
      <c r="EJ58055"/>
      <c r="EK58055"/>
    </row>
    <row r="58056" spans="1:141" s="116" customFormat="1">
      <c r="A58056" s="136"/>
      <c r="CM58056" s="111"/>
      <c r="CQ58056" s="111"/>
      <c r="EF58056"/>
      <c r="EG58056"/>
      <c r="EH58056"/>
      <c r="EI58056"/>
      <c r="EJ58056"/>
      <c r="EK58056"/>
    </row>
    <row r="58057" spans="1:141" s="116" customFormat="1">
      <c r="A58057" s="136"/>
      <c r="CM58057" s="111"/>
      <c r="CQ58057" s="111"/>
      <c r="EF58057"/>
      <c r="EG58057"/>
      <c r="EH58057"/>
      <c r="EI58057"/>
      <c r="EJ58057"/>
      <c r="EK58057"/>
    </row>
    <row r="58058" spans="1:141" s="116" customFormat="1">
      <c r="A58058" s="136"/>
      <c r="CM58058" s="111"/>
      <c r="CQ58058" s="111"/>
      <c r="EF58058"/>
      <c r="EG58058"/>
      <c r="EH58058"/>
      <c r="EI58058"/>
      <c r="EJ58058"/>
      <c r="EK58058"/>
    </row>
    <row r="58059" spans="1:141" s="116" customFormat="1">
      <c r="A58059" s="136"/>
      <c r="CM58059" s="111"/>
      <c r="CQ58059" s="111"/>
      <c r="EF58059"/>
      <c r="EG58059"/>
      <c r="EH58059"/>
      <c r="EI58059"/>
      <c r="EJ58059"/>
      <c r="EK58059"/>
    </row>
    <row r="58060" spans="1:141" s="116" customFormat="1">
      <c r="A58060" s="136"/>
      <c r="CM58060" s="111"/>
      <c r="CQ58060" s="111"/>
      <c r="EF58060"/>
      <c r="EG58060"/>
      <c r="EH58060"/>
      <c r="EI58060"/>
      <c r="EJ58060"/>
      <c r="EK58060"/>
    </row>
    <row r="58061" spans="1:141" s="116" customFormat="1">
      <c r="A58061" s="136"/>
      <c r="CM58061" s="111"/>
      <c r="CQ58061" s="111"/>
      <c r="EF58061"/>
      <c r="EG58061"/>
      <c r="EH58061"/>
      <c r="EI58061"/>
      <c r="EJ58061"/>
      <c r="EK58061"/>
    </row>
    <row r="58062" spans="1:141" s="116" customFormat="1">
      <c r="A58062" s="136"/>
      <c r="CM58062" s="111"/>
      <c r="CQ58062" s="111"/>
      <c r="EF58062"/>
      <c r="EG58062"/>
      <c r="EH58062"/>
      <c r="EI58062"/>
      <c r="EJ58062"/>
      <c r="EK58062"/>
    </row>
    <row r="58063" spans="1:141" s="116" customFormat="1">
      <c r="A58063" s="136"/>
      <c r="CM58063" s="111"/>
      <c r="CQ58063" s="111"/>
      <c r="EF58063"/>
      <c r="EG58063"/>
      <c r="EH58063"/>
      <c r="EI58063"/>
      <c r="EJ58063"/>
      <c r="EK58063"/>
    </row>
    <row r="58064" spans="1:141" s="116" customFormat="1">
      <c r="A58064" s="136"/>
      <c r="CM58064" s="111"/>
      <c r="CQ58064" s="111"/>
      <c r="EF58064"/>
      <c r="EG58064"/>
      <c r="EH58064"/>
      <c r="EI58064"/>
      <c r="EJ58064"/>
      <c r="EK58064"/>
    </row>
    <row r="58065" spans="1:141" s="116" customFormat="1">
      <c r="A58065" s="136"/>
      <c r="CM58065" s="111"/>
      <c r="CQ58065" s="111"/>
      <c r="EF58065"/>
      <c r="EG58065"/>
      <c r="EH58065"/>
      <c r="EI58065"/>
      <c r="EJ58065"/>
      <c r="EK58065"/>
    </row>
    <row r="58066" spans="1:141" s="116" customFormat="1">
      <c r="A58066" s="136"/>
      <c r="CM58066" s="111"/>
      <c r="CQ58066" s="111"/>
      <c r="EF58066"/>
      <c r="EG58066"/>
      <c r="EH58066"/>
      <c r="EI58066"/>
      <c r="EJ58066"/>
      <c r="EK58066"/>
    </row>
    <row r="58067" spans="1:141" s="116" customFormat="1">
      <c r="A58067" s="136"/>
      <c r="CM58067" s="111"/>
      <c r="CQ58067" s="111"/>
      <c r="EF58067"/>
      <c r="EG58067"/>
      <c r="EH58067"/>
      <c r="EI58067"/>
      <c r="EJ58067"/>
      <c r="EK58067"/>
    </row>
    <row r="58068" spans="1:141" s="116" customFormat="1">
      <c r="A58068" s="136"/>
      <c r="CM58068" s="111"/>
      <c r="CQ58068" s="111"/>
      <c r="EF58068"/>
      <c r="EG58068"/>
      <c r="EH58068"/>
      <c r="EI58068"/>
      <c r="EJ58068"/>
      <c r="EK58068"/>
    </row>
    <row r="58069" spans="1:141" s="116" customFormat="1">
      <c r="A58069" s="136"/>
      <c r="CM58069" s="111"/>
      <c r="CQ58069" s="111"/>
      <c r="EF58069"/>
      <c r="EG58069"/>
      <c r="EH58069"/>
      <c r="EI58069"/>
      <c r="EJ58069"/>
      <c r="EK58069"/>
    </row>
    <row r="58070" spans="1:141" s="116" customFormat="1">
      <c r="A58070" s="136"/>
      <c r="CM58070" s="111"/>
      <c r="CQ58070" s="111"/>
      <c r="EF58070"/>
      <c r="EG58070"/>
      <c r="EH58070"/>
      <c r="EI58070"/>
      <c r="EJ58070"/>
      <c r="EK58070"/>
    </row>
    <row r="58071" spans="1:141" s="116" customFormat="1">
      <c r="A58071" s="136"/>
      <c r="CM58071" s="111"/>
      <c r="CQ58071" s="111"/>
      <c r="EF58071"/>
      <c r="EG58071"/>
      <c r="EH58071"/>
      <c r="EI58071"/>
      <c r="EJ58071"/>
      <c r="EK58071"/>
    </row>
    <row r="58072" spans="1:141" s="116" customFormat="1">
      <c r="A58072" s="136"/>
      <c r="CM58072" s="111"/>
      <c r="CQ58072" s="111"/>
      <c r="EF58072"/>
      <c r="EG58072"/>
      <c r="EH58072"/>
      <c r="EI58072"/>
      <c r="EJ58072"/>
      <c r="EK58072"/>
    </row>
    <row r="58073" spans="1:141" s="116" customFormat="1">
      <c r="A58073" s="136"/>
      <c r="CM58073" s="111"/>
      <c r="CQ58073" s="111"/>
      <c r="EF58073"/>
      <c r="EG58073"/>
      <c r="EH58073"/>
      <c r="EI58073"/>
      <c r="EJ58073"/>
      <c r="EK58073"/>
    </row>
    <row r="58074" spans="1:141" s="116" customFormat="1">
      <c r="A58074" s="136"/>
      <c r="CM58074" s="111"/>
      <c r="CQ58074" s="111"/>
      <c r="EF58074"/>
      <c r="EG58074"/>
      <c r="EH58074"/>
      <c r="EI58074"/>
      <c r="EJ58074"/>
      <c r="EK58074"/>
    </row>
    <row r="58075" spans="1:141" s="116" customFormat="1">
      <c r="A58075" s="136"/>
      <c r="CM58075" s="111"/>
      <c r="CQ58075" s="111"/>
      <c r="EF58075"/>
      <c r="EG58075"/>
      <c r="EH58075"/>
      <c r="EI58075"/>
      <c r="EJ58075"/>
      <c r="EK58075"/>
    </row>
    <row r="58076" spans="1:141" s="116" customFormat="1">
      <c r="A58076" s="136"/>
      <c r="CM58076" s="111"/>
      <c r="CQ58076" s="111"/>
      <c r="EF58076"/>
      <c r="EG58076"/>
      <c r="EH58076"/>
      <c r="EI58076"/>
      <c r="EJ58076"/>
      <c r="EK58076"/>
    </row>
    <row r="58077" spans="1:141" s="116" customFormat="1">
      <c r="A58077" s="136"/>
      <c r="CM58077" s="111"/>
      <c r="CQ58077" s="111"/>
      <c r="EF58077"/>
      <c r="EG58077"/>
      <c r="EH58077"/>
      <c r="EI58077"/>
      <c r="EJ58077"/>
      <c r="EK58077"/>
    </row>
    <row r="58078" spans="1:141" s="116" customFormat="1">
      <c r="A58078" s="136"/>
      <c r="CM58078" s="111"/>
      <c r="CQ58078" s="111"/>
      <c r="EF58078"/>
      <c r="EG58078"/>
      <c r="EH58078"/>
      <c r="EI58078"/>
      <c r="EJ58078"/>
      <c r="EK58078"/>
    </row>
    <row r="58079" spans="1:141" s="116" customFormat="1">
      <c r="A58079" s="136"/>
      <c r="CM58079" s="111"/>
      <c r="CQ58079" s="111"/>
      <c r="EF58079"/>
      <c r="EG58079"/>
      <c r="EH58079"/>
      <c r="EI58079"/>
      <c r="EJ58079"/>
      <c r="EK58079"/>
    </row>
    <row r="58080" spans="1:141" s="116" customFormat="1">
      <c r="A58080" s="136"/>
      <c r="CM58080" s="111"/>
      <c r="CQ58080" s="111"/>
      <c r="EF58080"/>
      <c r="EG58080"/>
      <c r="EH58080"/>
      <c r="EI58080"/>
      <c r="EJ58080"/>
      <c r="EK58080"/>
    </row>
    <row r="58081" spans="1:141" s="116" customFormat="1">
      <c r="A58081" s="136"/>
      <c r="CM58081" s="111"/>
      <c r="CQ58081" s="111"/>
      <c r="EF58081"/>
      <c r="EG58081"/>
      <c r="EH58081"/>
      <c r="EI58081"/>
      <c r="EJ58081"/>
      <c r="EK58081"/>
    </row>
    <row r="58082" spans="1:141" s="116" customFormat="1">
      <c r="A58082" s="136"/>
      <c r="CM58082" s="111"/>
      <c r="CQ58082" s="111"/>
      <c r="EF58082"/>
      <c r="EG58082"/>
      <c r="EH58082"/>
      <c r="EI58082"/>
      <c r="EJ58082"/>
      <c r="EK58082"/>
    </row>
    <row r="58083" spans="1:141" s="116" customFormat="1">
      <c r="A58083" s="136"/>
      <c r="CM58083" s="111"/>
      <c r="CQ58083" s="111"/>
      <c r="EF58083"/>
      <c r="EG58083"/>
      <c r="EH58083"/>
      <c r="EI58083"/>
      <c r="EJ58083"/>
      <c r="EK58083"/>
    </row>
    <row r="58084" spans="1:141" s="116" customFormat="1">
      <c r="A58084" s="136"/>
      <c r="CM58084" s="111"/>
      <c r="CQ58084" s="111"/>
      <c r="EF58084"/>
      <c r="EG58084"/>
      <c r="EH58084"/>
      <c r="EI58084"/>
      <c r="EJ58084"/>
      <c r="EK58084"/>
    </row>
    <row r="58085" spans="1:141" s="116" customFormat="1">
      <c r="A58085" s="136"/>
      <c r="CM58085" s="111"/>
      <c r="CQ58085" s="111"/>
      <c r="EF58085"/>
      <c r="EG58085"/>
      <c r="EH58085"/>
      <c r="EI58085"/>
      <c r="EJ58085"/>
      <c r="EK58085"/>
    </row>
    <row r="58086" spans="1:141" s="116" customFormat="1">
      <c r="A58086" s="136"/>
      <c r="CM58086" s="111"/>
      <c r="CQ58086" s="111"/>
      <c r="EF58086"/>
      <c r="EG58086"/>
      <c r="EH58086"/>
      <c r="EI58086"/>
      <c r="EJ58086"/>
      <c r="EK58086"/>
    </row>
    <row r="58087" spans="1:141" s="116" customFormat="1">
      <c r="A58087" s="136"/>
      <c r="CM58087" s="111"/>
      <c r="CQ58087" s="111"/>
      <c r="EF58087"/>
      <c r="EG58087"/>
      <c r="EH58087"/>
      <c r="EI58087"/>
      <c r="EJ58087"/>
      <c r="EK58087"/>
    </row>
    <row r="58088" spans="1:141" s="116" customFormat="1">
      <c r="A58088" s="136"/>
      <c r="CM58088" s="111"/>
      <c r="CQ58088" s="111"/>
      <c r="EF58088"/>
      <c r="EG58088"/>
      <c r="EH58088"/>
      <c r="EI58088"/>
      <c r="EJ58088"/>
      <c r="EK58088"/>
    </row>
    <row r="58089" spans="1:141" s="116" customFormat="1">
      <c r="A58089" s="136"/>
      <c r="CM58089" s="111"/>
      <c r="CQ58089" s="111"/>
      <c r="EF58089"/>
      <c r="EG58089"/>
      <c r="EH58089"/>
      <c r="EI58089"/>
      <c r="EJ58089"/>
      <c r="EK58089"/>
    </row>
    <row r="58090" spans="1:141" s="116" customFormat="1">
      <c r="A58090" s="136"/>
      <c r="CM58090" s="111"/>
      <c r="CQ58090" s="111"/>
      <c r="EF58090"/>
      <c r="EG58090"/>
      <c r="EH58090"/>
      <c r="EI58090"/>
      <c r="EJ58090"/>
      <c r="EK58090"/>
    </row>
    <row r="58091" spans="1:141" s="116" customFormat="1">
      <c r="A58091" s="136"/>
      <c r="CM58091" s="111"/>
      <c r="CQ58091" s="111"/>
      <c r="EF58091"/>
      <c r="EG58091"/>
      <c r="EH58091"/>
      <c r="EI58091"/>
      <c r="EJ58091"/>
      <c r="EK58091"/>
    </row>
    <row r="58092" spans="1:141" s="116" customFormat="1">
      <c r="A58092" s="136"/>
      <c r="CM58092" s="111"/>
      <c r="CQ58092" s="111"/>
      <c r="EF58092"/>
      <c r="EG58092"/>
      <c r="EH58092"/>
      <c r="EI58092"/>
      <c r="EJ58092"/>
      <c r="EK58092"/>
    </row>
    <row r="58093" spans="1:141" s="116" customFormat="1">
      <c r="A58093" s="136"/>
      <c r="CM58093" s="111"/>
      <c r="CQ58093" s="111"/>
      <c r="EF58093"/>
      <c r="EG58093"/>
      <c r="EH58093"/>
      <c r="EI58093"/>
      <c r="EJ58093"/>
      <c r="EK58093"/>
    </row>
    <row r="58094" spans="1:141" s="116" customFormat="1">
      <c r="A58094" s="136"/>
      <c r="CM58094" s="111"/>
      <c r="CQ58094" s="111"/>
      <c r="EF58094"/>
      <c r="EG58094"/>
      <c r="EH58094"/>
      <c r="EI58094"/>
      <c r="EJ58094"/>
      <c r="EK58094"/>
    </row>
    <row r="58095" spans="1:141" s="116" customFormat="1">
      <c r="A58095" s="136"/>
      <c r="CM58095" s="111"/>
      <c r="CQ58095" s="111"/>
      <c r="EF58095"/>
      <c r="EG58095"/>
      <c r="EH58095"/>
      <c r="EI58095"/>
      <c r="EJ58095"/>
      <c r="EK58095"/>
    </row>
    <row r="58096" spans="1:141" s="116" customFormat="1">
      <c r="A58096" s="136"/>
      <c r="CM58096" s="111"/>
      <c r="CQ58096" s="111"/>
      <c r="EF58096"/>
      <c r="EG58096"/>
      <c r="EH58096"/>
      <c r="EI58096"/>
      <c r="EJ58096"/>
      <c r="EK58096"/>
    </row>
    <row r="58097" spans="1:141" s="116" customFormat="1">
      <c r="A58097" s="136"/>
      <c r="CM58097" s="111"/>
      <c r="CQ58097" s="111"/>
      <c r="EF58097"/>
      <c r="EG58097"/>
      <c r="EH58097"/>
      <c r="EI58097"/>
      <c r="EJ58097"/>
      <c r="EK58097"/>
    </row>
    <row r="58098" spans="1:141" s="116" customFormat="1">
      <c r="A58098" s="136"/>
      <c r="CM58098" s="111"/>
      <c r="CQ58098" s="111"/>
      <c r="EF58098"/>
      <c r="EG58098"/>
      <c r="EH58098"/>
      <c r="EI58098"/>
      <c r="EJ58098"/>
      <c r="EK58098"/>
    </row>
    <row r="58099" spans="1:141" s="116" customFormat="1">
      <c r="A58099" s="136"/>
      <c r="CM58099" s="111"/>
      <c r="CQ58099" s="111"/>
      <c r="EF58099"/>
      <c r="EG58099"/>
      <c r="EH58099"/>
      <c r="EI58099"/>
      <c r="EJ58099"/>
      <c r="EK58099"/>
    </row>
    <row r="58100" spans="1:141" s="116" customFormat="1">
      <c r="A58100" s="136"/>
      <c r="CM58100" s="111"/>
      <c r="CQ58100" s="111"/>
      <c r="EF58100"/>
      <c r="EG58100"/>
      <c r="EH58100"/>
      <c r="EI58100"/>
      <c r="EJ58100"/>
      <c r="EK58100"/>
    </row>
    <row r="58101" spans="1:141" s="116" customFormat="1">
      <c r="A58101" s="136"/>
      <c r="CM58101" s="111"/>
      <c r="CQ58101" s="111"/>
      <c r="EF58101"/>
      <c r="EG58101"/>
      <c r="EH58101"/>
      <c r="EI58101"/>
      <c r="EJ58101"/>
      <c r="EK58101"/>
    </row>
    <row r="58102" spans="1:141" s="116" customFormat="1">
      <c r="A58102" s="136"/>
      <c r="CM58102" s="111"/>
      <c r="CQ58102" s="111"/>
      <c r="EF58102"/>
      <c r="EG58102"/>
      <c r="EH58102"/>
      <c r="EI58102"/>
      <c r="EJ58102"/>
      <c r="EK58102"/>
    </row>
    <row r="58103" spans="1:141" s="116" customFormat="1">
      <c r="A58103" s="136"/>
      <c r="CM58103" s="111"/>
      <c r="CQ58103" s="111"/>
      <c r="EF58103"/>
      <c r="EG58103"/>
      <c r="EH58103"/>
      <c r="EI58103"/>
      <c r="EJ58103"/>
      <c r="EK58103"/>
    </row>
    <row r="58104" spans="1:141" s="116" customFormat="1">
      <c r="A58104" s="136"/>
      <c r="CM58104" s="111"/>
      <c r="CQ58104" s="111"/>
      <c r="EF58104"/>
      <c r="EG58104"/>
      <c r="EH58104"/>
      <c r="EI58104"/>
      <c r="EJ58104"/>
      <c r="EK58104"/>
    </row>
    <row r="58105" spans="1:141" s="116" customFormat="1">
      <c r="A58105" s="136"/>
      <c r="CM58105" s="111"/>
      <c r="CQ58105" s="111"/>
      <c r="EF58105"/>
      <c r="EG58105"/>
      <c r="EH58105"/>
      <c r="EI58105"/>
      <c r="EJ58105"/>
      <c r="EK58105"/>
    </row>
    <row r="58106" spans="1:141" s="116" customFormat="1">
      <c r="A58106" s="136"/>
      <c r="CM58106" s="111"/>
      <c r="CQ58106" s="111"/>
      <c r="EF58106"/>
      <c r="EG58106"/>
      <c r="EH58106"/>
      <c r="EI58106"/>
      <c r="EJ58106"/>
      <c r="EK58106"/>
    </row>
    <row r="58107" spans="1:141" s="116" customFormat="1">
      <c r="A58107" s="136"/>
      <c r="CM58107" s="111"/>
      <c r="CQ58107" s="111"/>
      <c r="EF58107"/>
      <c r="EG58107"/>
      <c r="EH58107"/>
      <c r="EI58107"/>
      <c r="EJ58107"/>
      <c r="EK58107"/>
    </row>
    <row r="58108" spans="1:141" s="116" customFormat="1">
      <c r="A58108" s="136"/>
      <c r="CM58108" s="111"/>
      <c r="CQ58108" s="111"/>
      <c r="EF58108"/>
      <c r="EG58108"/>
      <c r="EH58108"/>
      <c r="EI58108"/>
      <c r="EJ58108"/>
      <c r="EK58108"/>
    </row>
    <row r="58109" spans="1:141" s="116" customFormat="1">
      <c r="A58109" s="136"/>
      <c r="CM58109" s="111"/>
      <c r="CQ58109" s="111"/>
      <c r="EF58109"/>
      <c r="EG58109"/>
      <c r="EH58109"/>
      <c r="EI58109"/>
      <c r="EJ58109"/>
      <c r="EK58109"/>
    </row>
    <row r="58110" spans="1:141" s="116" customFormat="1">
      <c r="A58110" s="136"/>
      <c r="CM58110" s="111"/>
      <c r="CQ58110" s="111"/>
      <c r="EF58110"/>
      <c r="EG58110"/>
      <c r="EH58110"/>
      <c r="EI58110"/>
      <c r="EJ58110"/>
      <c r="EK58110"/>
    </row>
    <row r="58111" spans="1:141" s="116" customFormat="1">
      <c r="A58111" s="136"/>
      <c r="CM58111" s="111"/>
      <c r="CQ58111" s="111"/>
      <c r="EF58111"/>
      <c r="EG58111"/>
      <c r="EH58111"/>
      <c r="EI58111"/>
      <c r="EJ58111"/>
      <c r="EK58111"/>
    </row>
    <row r="58112" spans="1:141" s="116" customFormat="1">
      <c r="A58112" s="136"/>
      <c r="CM58112" s="111"/>
      <c r="CQ58112" s="111"/>
      <c r="EF58112"/>
      <c r="EG58112"/>
      <c r="EH58112"/>
      <c r="EI58112"/>
      <c r="EJ58112"/>
      <c r="EK58112"/>
    </row>
    <row r="58113" spans="1:141" s="116" customFormat="1">
      <c r="A58113" s="136"/>
      <c r="CM58113" s="111"/>
      <c r="CQ58113" s="111"/>
      <c r="EF58113"/>
      <c r="EG58113"/>
      <c r="EH58113"/>
      <c r="EI58113"/>
      <c r="EJ58113"/>
      <c r="EK58113"/>
    </row>
    <row r="58114" spans="1:141" s="116" customFormat="1">
      <c r="A58114" s="136"/>
      <c r="CM58114" s="111"/>
      <c r="CQ58114" s="111"/>
      <c r="EF58114"/>
      <c r="EG58114"/>
      <c r="EH58114"/>
      <c r="EI58114"/>
      <c r="EJ58114"/>
      <c r="EK58114"/>
    </row>
    <row r="58115" spans="1:141" s="116" customFormat="1">
      <c r="A58115" s="136"/>
      <c r="CM58115" s="111"/>
      <c r="CQ58115" s="111"/>
      <c r="EF58115"/>
      <c r="EG58115"/>
      <c r="EH58115"/>
      <c r="EI58115"/>
      <c r="EJ58115"/>
      <c r="EK58115"/>
    </row>
    <row r="58116" spans="1:141" s="116" customFormat="1">
      <c r="A58116" s="136"/>
      <c r="CM58116" s="111"/>
      <c r="CQ58116" s="111"/>
      <c r="EF58116"/>
      <c r="EG58116"/>
      <c r="EH58116"/>
      <c r="EI58116"/>
      <c r="EJ58116"/>
      <c r="EK58116"/>
    </row>
    <row r="58117" spans="1:141" s="116" customFormat="1">
      <c r="A58117" s="136"/>
      <c r="CM58117" s="111"/>
      <c r="CQ58117" s="111"/>
      <c r="EF58117"/>
      <c r="EG58117"/>
      <c r="EH58117"/>
      <c r="EI58117"/>
      <c r="EJ58117"/>
      <c r="EK58117"/>
    </row>
    <row r="58118" spans="1:141" s="116" customFormat="1">
      <c r="A58118" s="136"/>
      <c r="CM58118" s="111"/>
      <c r="CQ58118" s="111"/>
      <c r="EF58118"/>
      <c r="EG58118"/>
      <c r="EH58118"/>
      <c r="EI58118"/>
      <c r="EJ58118"/>
      <c r="EK58118"/>
    </row>
    <row r="58119" spans="1:141" s="116" customFormat="1">
      <c r="A58119" s="136"/>
      <c r="CM58119" s="111"/>
      <c r="CQ58119" s="111"/>
      <c r="EF58119"/>
      <c r="EG58119"/>
      <c r="EH58119"/>
      <c r="EI58119"/>
      <c r="EJ58119"/>
      <c r="EK58119"/>
    </row>
    <row r="58120" spans="1:141" s="116" customFormat="1">
      <c r="A58120" s="136"/>
      <c r="CM58120" s="111"/>
      <c r="CQ58120" s="111"/>
      <c r="EF58120"/>
      <c r="EG58120"/>
      <c r="EH58120"/>
      <c r="EI58120"/>
      <c r="EJ58120"/>
      <c r="EK58120"/>
    </row>
    <row r="58121" spans="1:141" s="116" customFormat="1">
      <c r="A58121" s="136"/>
      <c r="CM58121" s="111"/>
      <c r="CQ58121" s="111"/>
      <c r="EF58121"/>
      <c r="EG58121"/>
      <c r="EH58121"/>
      <c r="EI58121"/>
      <c r="EJ58121"/>
      <c r="EK58121"/>
    </row>
    <row r="58122" spans="1:141" s="116" customFormat="1">
      <c r="A58122" s="136"/>
      <c r="CM58122" s="111"/>
      <c r="CQ58122" s="111"/>
      <c r="EF58122"/>
      <c r="EG58122"/>
      <c r="EH58122"/>
      <c r="EI58122"/>
      <c r="EJ58122"/>
      <c r="EK58122"/>
    </row>
    <row r="58123" spans="1:141" s="116" customFormat="1">
      <c r="A58123" s="136"/>
      <c r="CM58123" s="111"/>
      <c r="CQ58123" s="111"/>
      <c r="EF58123"/>
      <c r="EG58123"/>
      <c r="EH58123"/>
      <c r="EI58123"/>
      <c r="EJ58123"/>
      <c r="EK58123"/>
    </row>
    <row r="58124" spans="1:141" s="116" customFormat="1">
      <c r="A58124" s="136"/>
      <c r="CM58124" s="111"/>
      <c r="CQ58124" s="111"/>
      <c r="EF58124"/>
      <c r="EG58124"/>
      <c r="EH58124"/>
      <c r="EI58124"/>
      <c r="EJ58124"/>
      <c r="EK58124"/>
    </row>
    <row r="58125" spans="1:141" s="116" customFormat="1">
      <c r="A58125" s="136"/>
      <c r="CM58125" s="111"/>
      <c r="CQ58125" s="111"/>
      <c r="EF58125"/>
      <c r="EG58125"/>
      <c r="EH58125"/>
      <c r="EI58125"/>
      <c r="EJ58125"/>
      <c r="EK58125"/>
    </row>
    <row r="58126" spans="1:141" s="116" customFormat="1">
      <c r="A58126" s="136"/>
      <c r="CM58126" s="111"/>
      <c r="CQ58126" s="111"/>
      <c r="EF58126"/>
      <c r="EG58126"/>
      <c r="EH58126"/>
      <c r="EI58126"/>
      <c r="EJ58126"/>
      <c r="EK58126"/>
    </row>
    <row r="58127" spans="1:141" s="116" customFormat="1">
      <c r="A58127" s="136"/>
      <c r="CM58127" s="111"/>
      <c r="CQ58127" s="111"/>
      <c r="EF58127"/>
      <c r="EG58127"/>
      <c r="EH58127"/>
      <c r="EI58127"/>
      <c r="EJ58127"/>
      <c r="EK58127"/>
    </row>
    <row r="58128" spans="1:141" s="116" customFormat="1">
      <c r="A58128" s="136"/>
      <c r="CM58128" s="111"/>
      <c r="CQ58128" s="111"/>
      <c r="EF58128"/>
      <c r="EG58128"/>
      <c r="EH58128"/>
      <c r="EI58128"/>
      <c r="EJ58128"/>
      <c r="EK58128"/>
    </row>
    <row r="58129" spans="1:141" s="116" customFormat="1">
      <c r="A58129" s="136"/>
      <c r="CM58129" s="111"/>
      <c r="CQ58129" s="111"/>
      <c r="EF58129"/>
      <c r="EG58129"/>
      <c r="EH58129"/>
      <c r="EI58129"/>
      <c r="EJ58129"/>
      <c r="EK58129"/>
    </row>
    <row r="58130" spans="1:141" s="116" customFormat="1">
      <c r="A58130" s="136"/>
      <c r="CM58130" s="111"/>
      <c r="CQ58130" s="111"/>
      <c r="EF58130"/>
      <c r="EG58130"/>
      <c r="EH58130"/>
      <c r="EI58130"/>
      <c r="EJ58130"/>
      <c r="EK58130"/>
    </row>
    <row r="58131" spans="1:141" s="116" customFormat="1">
      <c r="A58131" s="136"/>
      <c r="CM58131" s="111"/>
      <c r="CQ58131" s="111"/>
      <c r="EF58131"/>
      <c r="EG58131"/>
      <c r="EH58131"/>
      <c r="EI58131"/>
      <c r="EJ58131"/>
      <c r="EK58131"/>
    </row>
    <row r="58132" spans="1:141" s="116" customFormat="1">
      <c r="A58132" s="136"/>
      <c r="CM58132" s="111"/>
      <c r="CQ58132" s="111"/>
      <c r="EF58132"/>
      <c r="EG58132"/>
      <c r="EH58132"/>
      <c r="EI58132"/>
      <c r="EJ58132"/>
      <c r="EK58132"/>
    </row>
    <row r="58133" spans="1:141" s="116" customFormat="1">
      <c r="A58133" s="136"/>
      <c r="CM58133" s="111"/>
      <c r="CQ58133" s="111"/>
      <c r="EF58133"/>
      <c r="EG58133"/>
      <c r="EH58133"/>
      <c r="EI58133"/>
      <c r="EJ58133"/>
      <c r="EK58133"/>
    </row>
    <row r="58134" spans="1:141" s="116" customFormat="1">
      <c r="A58134" s="136"/>
      <c r="CM58134" s="111"/>
      <c r="CQ58134" s="111"/>
      <c r="EF58134"/>
      <c r="EG58134"/>
      <c r="EH58134"/>
      <c r="EI58134"/>
      <c r="EJ58134"/>
      <c r="EK58134"/>
    </row>
    <row r="58135" spans="1:141" s="116" customFormat="1">
      <c r="A58135" s="136"/>
      <c r="CM58135" s="111"/>
      <c r="CQ58135" s="111"/>
      <c r="EF58135"/>
      <c r="EG58135"/>
      <c r="EH58135"/>
      <c r="EI58135"/>
      <c r="EJ58135"/>
      <c r="EK58135"/>
    </row>
    <row r="58136" spans="1:141" s="116" customFormat="1">
      <c r="A58136" s="136"/>
      <c r="CM58136" s="111"/>
      <c r="CQ58136" s="111"/>
      <c r="EF58136"/>
      <c r="EG58136"/>
      <c r="EH58136"/>
      <c r="EI58136"/>
      <c r="EJ58136"/>
      <c r="EK58136"/>
    </row>
    <row r="58137" spans="1:141" s="116" customFormat="1">
      <c r="A58137" s="136"/>
      <c r="CM58137" s="111"/>
      <c r="CQ58137" s="111"/>
      <c r="EF58137"/>
      <c r="EG58137"/>
      <c r="EH58137"/>
      <c r="EI58137"/>
      <c r="EJ58137"/>
      <c r="EK58137"/>
    </row>
    <row r="58138" spans="1:141" s="116" customFormat="1">
      <c r="A58138" s="136"/>
      <c r="CM58138" s="111"/>
      <c r="CQ58138" s="111"/>
      <c r="EF58138"/>
      <c r="EG58138"/>
      <c r="EH58138"/>
      <c r="EI58138"/>
      <c r="EJ58138"/>
      <c r="EK58138"/>
    </row>
    <row r="58139" spans="1:141" s="116" customFormat="1">
      <c r="A58139" s="136"/>
      <c r="CM58139" s="111"/>
      <c r="CQ58139" s="111"/>
      <c r="EF58139"/>
      <c r="EG58139"/>
      <c r="EH58139"/>
      <c r="EI58139"/>
      <c r="EJ58139"/>
      <c r="EK58139"/>
    </row>
    <row r="58140" spans="1:141" s="116" customFormat="1">
      <c r="A58140" s="136"/>
      <c r="CM58140" s="111"/>
      <c r="CQ58140" s="111"/>
      <c r="EF58140"/>
      <c r="EG58140"/>
      <c r="EH58140"/>
      <c r="EI58140"/>
      <c r="EJ58140"/>
      <c r="EK58140"/>
    </row>
    <row r="58141" spans="1:141" s="116" customFormat="1">
      <c r="A58141" s="136"/>
      <c r="CM58141" s="111"/>
      <c r="CQ58141" s="111"/>
      <c r="EF58141"/>
      <c r="EG58141"/>
      <c r="EH58141"/>
      <c r="EI58141"/>
      <c r="EJ58141"/>
      <c r="EK58141"/>
    </row>
    <row r="58142" spans="1:141" s="116" customFormat="1">
      <c r="A58142" s="136"/>
      <c r="CM58142" s="111"/>
      <c r="CQ58142" s="111"/>
      <c r="EF58142"/>
      <c r="EG58142"/>
      <c r="EH58142"/>
      <c r="EI58142"/>
      <c r="EJ58142"/>
      <c r="EK58142"/>
    </row>
    <row r="58143" spans="1:141" s="116" customFormat="1">
      <c r="A58143" s="136"/>
      <c r="CM58143" s="111"/>
      <c r="CQ58143" s="111"/>
      <c r="EF58143"/>
      <c r="EG58143"/>
      <c r="EH58143"/>
      <c r="EI58143"/>
      <c r="EJ58143"/>
      <c r="EK58143"/>
    </row>
    <row r="58144" spans="1:141" s="116" customFormat="1">
      <c r="A58144" s="136"/>
      <c r="CM58144" s="111"/>
      <c r="CQ58144" s="111"/>
      <c r="EF58144"/>
      <c r="EG58144"/>
      <c r="EH58144"/>
      <c r="EI58144"/>
      <c r="EJ58144"/>
      <c r="EK58144"/>
    </row>
    <row r="58145" spans="1:141" s="116" customFormat="1">
      <c r="A58145" s="136"/>
      <c r="CM58145" s="111"/>
      <c r="CQ58145" s="111"/>
      <c r="EF58145"/>
      <c r="EG58145"/>
      <c r="EH58145"/>
      <c r="EI58145"/>
      <c r="EJ58145"/>
      <c r="EK58145"/>
    </row>
    <row r="58146" spans="1:141" s="116" customFormat="1">
      <c r="A58146" s="136"/>
      <c r="CM58146" s="111"/>
      <c r="CQ58146" s="111"/>
      <c r="EF58146"/>
      <c r="EG58146"/>
      <c r="EH58146"/>
      <c r="EI58146"/>
      <c r="EJ58146"/>
      <c r="EK58146"/>
    </row>
    <row r="58147" spans="1:141" s="116" customFormat="1">
      <c r="A58147" s="136"/>
      <c r="CM58147" s="111"/>
      <c r="CQ58147" s="111"/>
      <c r="EF58147"/>
      <c r="EG58147"/>
      <c r="EH58147"/>
      <c r="EI58147"/>
      <c r="EJ58147"/>
      <c r="EK58147"/>
    </row>
    <row r="58148" spans="1:141" s="116" customFormat="1">
      <c r="A58148" s="136"/>
      <c r="CM58148" s="111"/>
      <c r="CQ58148" s="111"/>
      <c r="EF58148"/>
      <c r="EG58148"/>
      <c r="EH58148"/>
      <c r="EI58148"/>
      <c r="EJ58148"/>
      <c r="EK58148"/>
    </row>
    <row r="58149" spans="1:141" s="116" customFormat="1">
      <c r="A58149" s="136"/>
      <c r="CM58149" s="111"/>
      <c r="CQ58149" s="111"/>
      <c r="EF58149"/>
      <c r="EG58149"/>
      <c r="EH58149"/>
      <c r="EI58149"/>
      <c r="EJ58149"/>
      <c r="EK58149"/>
    </row>
    <row r="58150" spans="1:141" s="116" customFormat="1">
      <c r="A58150" s="136"/>
      <c r="CM58150" s="111"/>
      <c r="CQ58150" s="111"/>
      <c r="EF58150"/>
      <c r="EG58150"/>
      <c r="EH58150"/>
      <c r="EI58150"/>
      <c r="EJ58150"/>
      <c r="EK58150"/>
    </row>
    <row r="58151" spans="1:141" s="116" customFormat="1">
      <c r="A58151" s="136"/>
      <c r="CM58151" s="111"/>
      <c r="CQ58151" s="111"/>
      <c r="EF58151"/>
      <c r="EG58151"/>
      <c r="EH58151"/>
      <c r="EI58151"/>
      <c r="EJ58151"/>
      <c r="EK58151"/>
    </row>
    <row r="58152" spans="1:141" s="116" customFormat="1">
      <c r="A58152" s="136"/>
      <c r="CM58152" s="111"/>
      <c r="CQ58152" s="111"/>
      <c r="EF58152"/>
      <c r="EG58152"/>
      <c r="EH58152"/>
      <c r="EI58152"/>
      <c r="EJ58152"/>
      <c r="EK58152"/>
    </row>
    <row r="58153" spans="1:141" s="116" customFormat="1">
      <c r="A58153" s="136"/>
      <c r="CM58153" s="111"/>
      <c r="CQ58153" s="111"/>
      <c r="EF58153"/>
      <c r="EG58153"/>
      <c r="EH58153"/>
      <c r="EI58153"/>
      <c r="EJ58153"/>
      <c r="EK58153"/>
    </row>
    <row r="58154" spans="1:141" s="116" customFormat="1">
      <c r="A58154" s="136"/>
      <c r="CM58154" s="111"/>
      <c r="CQ58154" s="111"/>
      <c r="EF58154"/>
      <c r="EG58154"/>
      <c r="EH58154"/>
      <c r="EI58154"/>
      <c r="EJ58154"/>
      <c r="EK58154"/>
    </row>
    <row r="58155" spans="1:141" s="116" customFormat="1">
      <c r="A58155" s="136"/>
      <c r="CM58155" s="111"/>
      <c r="CQ58155" s="111"/>
      <c r="EF58155"/>
      <c r="EG58155"/>
      <c r="EH58155"/>
      <c r="EI58155"/>
      <c r="EJ58155"/>
      <c r="EK58155"/>
    </row>
    <row r="58156" spans="1:141" s="116" customFormat="1">
      <c r="A58156" s="136"/>
      <c r="CM58156" s="111"/>
      <c r="CQ58156" s="111"/>
      <c r="EF58156"/>
      <c r="EG58156"/>
      <c r="EH58156"/>
      <c r="EI58156"/>
      <c r="EJ58156"/>
      <c r="EK58156"/>
    </row>
    <row r="58157" spans="1:141" s="116" customFormat="1">
      <c r="A58157" s="136"/>
      <c r="CM58157" s="111"/>
      <c r="CQ58157" s="111"/>
      <c r="EF58157"/>
      <c r="EG58157"/>
      <c r="EH58157"/>
      <c r="EI58157"/>
      <c r="EJ58157"/>
      <c r="EK58157"/>
    </row>
    <row r="58158" spans="1:141" s="116" customFormat="1">
      <c r="A58158" s="136"/>
      <c r="CM58158" s="111"/>
      <c r="CQ58158" s="111"/>
      <c r="EF58158"/>
      <c r="EG58158"/>
      <c r="EH58158"/>
      <c r="EI58158"/>
      <c r="EJ58158"/>
      <c r="EK58158"/>
    </row>
    <row r="58159" spans="1:141" s="116" customFormat="1">
      <c r="A58159" s="136"/>
      <c r="CM58159" s="111"/>
      <c r="CQ58159" s="111"/>
      <c r="EF58159"/>
      <c r="EG58159"/>
      <c r="EH58159"/>
      <c r="EI58159"/>
      <c r="EJ58159"/>
      <c r="EK58159"/>
    </row>
    <row r="58160" spans="1:141" s="116" customFormat="1">
      <c r="A58160" s="136"/>
      <c r="CM58160" s="111"/>
      <c r="CQ58160" s="111"/>
      <c r="EF58160"/>
      <c r="EG58160"/>
      <c r="EH58160"/>
      <c r="EI58160"/>
      <c r="EJ58160"/>
      <c r="EK58160"/>
    </row>
    <row r="58161" spans="1:141" s="116" customFormat="1">
      <c r="A58161" s="136"/>
      <c r="CM58161" s="111"/>
      <c r="CQ58161" s="111"/>
      <c r="EF58161"/>
      <c r="EG58161"/>
      <c r="EH58161"/>
      <c r="EI58161"/>
      <c r="EJ58161"/>
      <c r="EK58161"/>
    </row>
    <row r="58162" spans="1:141" s="116" customFormat="1">
      <c r="A58162" s="136"/>
      <c r="CM58162" s="111"/>
      <c r="CQ58162" s="111"/>
      <c r="EF58162"/>
      <c r="EG58162"/>
      <c r="EH58162"/>
      <c r="EI58162"/>
      <c r="EJ58162"/>
      <c r="EK58162"/>
    </row>
    <row r="58163" spans="1:141" s="116" customFormat="1">
      <c r="A58163" s="136"/>
      <c r="CM58163" s="111"/>
      <c r="CQ58163" s="111"/>
      <c r="EF58163"/>
      <c r="EG58163"/>
      <c r="EH58163"/>
      <c r="EI58163"/>
      <c r="EJ58163"/>
      <c r="EK58163"/>
    </row>
    <row r="58164" spans="1:141" s="116" customFormat="1">
      <c r="A58164" s="136"/>
      <c r="CM58164" s="111"/>
      <c r="CQ58164" s="111"/>
      <c r="EF58164"/>
      <c r="EG58164"/>
      <c r="EH58164"/>
      <c r="EI58164"/>
      <c r="EJ58164"/>
      <c r="EK58164"/>
    </row>
    <row r="58165" spans="1:141" s="116" customFormat="1">
      <c r="A58165" s="136"/>
      <c r="CM58165" s="111"/>
      <c r="CQ58165" s="111"/>
      <c r="EF58165"/>
      <c r="EG58165"/>
      <c r="EH58165"/>
      <c r="EI58165"/>
      <c r="EJ58165"/>
      <c r="EK58165"/>
    </row>
    <row r="58166" spans="1:141" s="116" customFormat="1">
      <c r="A58166" s="136"/>
      <c r="CM58166" s="111"/>
      <c r="CQ58166" s="111"/>
      <c r="EF58166"/>
      <c r="EG58166"/>
      <c r="EH58166"/>
      <c r="EI58166"/>
      <c r="EJ58166"/>
      <c r="EK58166"/>
    </row>
    <row r="58167" spans="1:141" s="116" customFormat="1">
      <c r="A58167" s="136"/>
      <c r="CM58167" s="111"/>
      <c r="CQ58167" s="111"/>
      <c r="EF58167"/>
      <c r="EG58167"/>
      <c r="EH58167"/>
      <c r="EI58167"/>
      <c r="EJ58167"/>
      <c r="EK58167"/>
    </row>
    <row r="58168" spans="1:141" s="116" customFormat="1">
      <c r="A58168" s="136"/>
      <c r="CM58168" s="111"/>
      <c r="CQ58168" s="111"/>
      <c r="EF58168"/>
      <c r="EG58168"/>
      <c r="EH58168"/>
      <c r="EI58168"/>
      <c r="EJ58168"/>
      <c r="EK58168"/>
    </row>
    <row r="58169" spans="1:141" s="116" customFormat="1">
      <c r="A58169" s="136"/>
      <c r="CM58169" s="111"/>
      <c r="CQ58169" s="111"/>
      <c r="EF58169"/>
      <c r="EG58169"/>
      <c r="EH58169"/>
      <c r="EI58169"/>
      <c r="EJ58169"/>
      <c r="EK58169"/>
    </row>
    <row r="58170" spans="1:141" s="116" customFormat="1">
      <c r="A58170" s="136"/>
      <c r="CM58170" s="111"/>
      <c r="CQ58170" s="111"/>
      <c r="EF58170"/>
      <c r="EG58170"/>
      <c r="EH58170"/>
      <c r="EI58170"/>
      <c r="EJ58170"/>
      <c r="EK58170"/>
    </row>
    <row r="58171" spans="1:141" s="116" customFormat="1">
      <c r="A58171" s="136"/>
      <c r="CM58171" s="111"/>
      <c r="CQ58171" s="111"/>
      <c r="EF58171"/>
      <c r="EG58171"/>
      <c r="EH58171"/>
      <c r="EI58171"/>
      <c r="EJ58171"/>
      <c r="EK58171"/>
    </row>
    <row r="58172" spans="1:141" s="116" customFormat="1">
      <c r="A58172" s="136"/>
      <c r="CM58172" s="111"/>
      <c r="CQ58172" s="111"/>
      <c r="EF58172"/>
      <c r="EG58172"/>
      <c r="EH58172"/>
      <c r="EI58172"/>
      <c r="EJ58172"/>
      <c r="EK58172"/>
    </row>
    <row r="58173" spans="1:141" s="116" customFormat="1">
      <c r="A58173" s="136"/>
      <c r="CM58173" s="111"/>
      <c r="CQ58173" s="111"/>
      <c r="EF58173"/>
      <c r="EG58173"/>
      <c r="EH58173"/>
      <c r="EI58173"/>
      <c r="EJ58173"/>
      <c r="EK58173"/>
    </row>
    <row r="58174" spans="1:141" s="116" customFormat="1">
      <c r="A58174" s="136"/>
      <c r="CM58174" s="111"/>
      <c r="CQ58174" s="111"/>
      <c r="EF58174"/>
      <c r="EG58174"/>
      <c r="EH58174"/>
      <c r="EI58174"/>
      <c r="EJ58174"/>
      <c r="EK58174"/>
    </row>
    <row r="58175" spans="1:141" s="116" customFormat="1">
      <c r="A58175" s="136"/>
      <c r="CM58175" s="111"/>
      <c r="CQ58175" s="111"/>
      <c r="EF58175"/>
      <c r="EG58175"/>
      <c r="EH58175"/>
      <c r="EI58175"/>
      <c r="EJ58175"/>
      <c r="EK58175"/>
    </row>
    <row r="58176" spans="1:141" s="116" customFormat="1">
      <c r="A58176" s="136"/>
      <c r="CM58176" s="111"/>
      <c r="CQ58176" s="111"/>
      <c r="EF58176"/>
      <c r="EG58176"/>
      <c r="EH58176"/>
      <c r="EI58176"/>
      <c r="EJ58176"/>
      <c r="EK58176"/>
    </row>
    <row r="58177" spans="1:141" s="116" customFormat="1">
      <c r="A58177" s="136"/>
      <c r="CM58177" s="111"/>
      <c r="CQ58177" s="111"/>
      <c r="EF58177"/>
      <c r="EG58177"/>
      <c r="EH58177"/>
      <c r="EI58177"/>
      <c r="EJ58177"/>
      <c r="EK58177"/>
    </row>
    <row r="58178" spans="1:141" s="116" customFormat="1">
      <c r="A58178" s="136"/>
      <c r="CM58178" s="111"/>
      <c r="CQ58178" s="111"/>
      <c r="EF58178"/>
      <c r="EG58178"/>
      <c r="EH58178"/>
      <c r="EI58178"/>
      <c r="EJ58178"/>
      <c r="EK58178"/>
    </row>
    <row r="58179" spans="1:141" s="116" customFormat="1">
      <c r="A58179" s="136"/>
      <c r="CM58179" s="111"/>
      <c r="CQ58179" s="111"/>
      <c r="EF58179"/>
      <c r="EG58179"/>
      <c r="EH58179"/>
      <c r="EI58179"/>
      <c r="EJ58179"/>
      <c r="EK58179"/>
    </row>
    <row r="58180" spans="1:141" s="116" customFormat="1">
      <c r="A58180" s="136"/>
      <c r="CM58180" s="111"/>
      <c r="CQ58180" s="111"/>
      <c r="EF58180"/>
      <c r="EG58180"/>
      <c r="EH58180"/>
      <c r="EI58180"/>
      <c r="EJ58180"/>
      <c r="EK58180"/>
    </row>
    <row r="58181" spans="1:141" s="116" customFormat="1">
      <c r="A58181" s="136"/>
      <c r="CM58181" s="111"/>
      <c r="CQ58181" s="111"/>
      <c r="EF58181"/>
      <c r="EG58181"/>
      <c r="EH58181"/>
      <c r="EI58181"/>
      <c r="EJ58181"/>
      <c r="EK58181"/>
    </row>
    <row r="58182" spans="1:141" s="116" customFormat="1">
      <c r="A58182" s="136"/>
      <c r="CM58182" s="111"/>
      <c r="CQ58182" s="111"/>
      <c r="EF58182"/>
      <c r="EG58182"/>
      <c r="EH58182"/>
      <c r="EI58182"/>
      <c r="EJ58182"/>
      <c r="EK58182"/>
    </row>
    <row r="58183" spans="1:141" s="116" customFormat="1">
      <c r="A58183" s="136"/>
      <c r="CM58183" s="111"/>
      <c r="CQ58183" s="111"/>
      <c r="EF58183"/>
      <c r="EG58183"/>
      <c r="EH58183"/>
      <c r="EI58183"/>
      <c r="EJ58183"/>
      <c r="EK58183"/>
    </row>
    <row r="58184" spans="1:141" s="116" customFormat="1">
      <c r="A58184" s="136"/>
      <c r="CM58184" s="111"/>
      <c r="CQ58184" s="111"/>
      <c r="EF58184"/>
      <c r="EG58184"/>
      <c r="EH58184"/>
      <c r="EI58184"/>
      <c r="EJ58184"/>
      <c r="EK58184"/>
    </row>
    <row r="58185" spans="1:141" s="116" customFormat="1">
      <c r="A58185" s="136"/>
      <c r="CM58185" s="111"/>
      <c r="CQ58185" s="111"/>
      <c r="EF58185"/>
      <c r="EG58185"/>
      <c r="EH58185"/>
      <c r="EI58185"/>
      <c r="EJ58185"/>
      <c r="EK58185"/>
    </row>
    <row r="58186" spans="1:141" s="116" customFormat="1">
      <c r="A58186" s="136"/>
      <c r="CM58186" s="111"/>
      <c r="CQ58186" s="111"/>
      <c r="EF58186"/>
      <c r="EG58186"/>
      <c r="EH58186"/>
      <c r="EI58186"/>
      <c r="EJ58186"/>
      <c r="EK58186"/>
    </row>
    <row r="58187" spans="1:141" s="116" customFormat="1">
      <c r="A58187" s="136"/>
      <c r="CM58187" s="111"/>
      <c r="CQ58187" s="111"/>
      <c r="EF58187"/>
      <c r="EG58187"/>
      <c r="EH58187"/>
      <c r="EI58187"/>
      <c r="EJ58187"/>
      <c r="EK58187"/>
    </row>
    <row r="58188" spans="1:141" s="116" customFormat="1">
      <c r="A58188" s="136"/>
      <c r="CM58188" s="111"/>
      <c r="CQ58188" s="111"/>
      <c r="EF58188"/>
      <c r="EG58188"/>
      <c r="EH58188"/>
      <c r="EI58188"/>
      <c r="EJ58188"/>
      <c r="EK58188"/>
    </row>
    <row r="58189" spans="1:141" s="116" customFormat="1">
      <c r="A58189" s="136"/>
      <c r="CM58189" s="111"/>
      <c r="CQ58189" s="111"/>
      <c r="EF58189"/>
      <c r="EG58189"/>
      <c r="EH58189"/>
      <c r="EI58189"/>
      <c r="EJ58189"/>
      <c r="EK58189"/>
    </row>
    <row r="58190" spans="1:141" s="116" customFormat="1">
      <c r="A58190" s="136"/>
      <c r="CM58190" s="111"/>
      <c r="CQ58190" s="111"/>
      <c r="EF58190"/>
      <c r="EG58190"/>
      <c r="EH58190"/>
      <c r="EI58190"/>
      <c r="EJ58190"/>
      <c r="EK58190"/>
    </row>
    <row r="58191" spans="1:141" s="116" customFormat="1">
      <c r="A58191" s="136"/>
      <c r="CM58191" s="111"/>
      <c r="CQ58191" s="111"/>
      <c r="EF58191"/>
      <c r="EG58191"/>
      <c r="EH58191"/>
      <c r="EI58191"/>
      <c r="EJ58191"/>
      <c r="EK58191"/>
    </row>
    <row r="58192" spans="1:141" s="116" customFormat="1">
      <c r="A58192" s="136"/>
      <c r="CM58192" s="111"/>
      <c r="CQ58192" s="111"/>
      <c r="EF58192"/>
      <c r="EG58192"/>
      <c r="EH58192"/>
      <c r="EI58192"/>
      <c r="EJ58192"/>
      <c r="EK58192"/>
    </row>
    <row r="58193" spans="1:141" s="116" customFormat="1">
      <c r="A58193" s="136"/>
      <c r="CM58193" s="111"/>
      <c r="CQ58193" s="111"/>
      <c r="EF58193"/>
      <c r="EG58193"/>
      <c r="EH58193"/>
      <c r="EI58193"/>
      <c r="EJ58193"/>
      <c r="EK58193"/>
    </row>
    <row r="58194" spans="1:141" s="116" customFormat="1">
      <c r="A58194" s="136"/>
      <c r="CM58194" s="111"/>
      <c r="CQ58194" s="111"/>
      <c r="EF58194"/>
      <c r="EG58194"/>
      <c r="EH58194"/>
      <c r="EI58194"/>
      <c r="EJ58194"/>
      <c r="EK58194"/>
    </row>
    <row r="58195" spans="1:141" s="116" customFormat="1">
      <c r="A58195" s="136"/>
      <c r="CM58195" s="111"/>
      <c r="CQ58195" s="111"/>
      <c r="EF58195"/>
      <c r="EG58195"/>
      <c r="EH58195"/>
      <c r="EI58195"/>
      <c r="EJ58195"/>
      <c r="EK58195"/>
    </row>
    <row r="58196" spans="1:141" s="116" customFormat="1">
      <c r="A58196" s="136"/>
      <c r="CM58196" s="111"/>
      <c r="CQ58196" s="111"/>
      <c r="EF58196"/>
      <c r="EG58196"/>
      <c r="EH58196"/>
      <c r="EI58196"/>
      <c r="EJ58196"/>
      <c r="EK58196"/>
    </row>
    <row r="58197" spans="1:141" s="116" customFormat="1">
      <c r="A58197" s="136"/>
      <c r="CM58197" s="111"/>
      <c r="CQ58197" s="111"/>
      <c r="EF58197"/>
      <c r="EG58197"/>
      <c r="EH58197"/>
      <c r="EI58197"/>
      <c r="EJ58197"/>
      <c r="EK58197"/>
    </row>
    <row r="58198" spans="1:141" s="116" customFormat="1">
      <c r="A58198" s="136"/>
      <c r="CM58198" s="111"/>
      <c r="CQ58198" s="111"/>
      <c r="EF58198"/>
      <c r="EG58198"/>
      <c r="EH58198"/>
      <c r="EI58198"/>
      <c r="EJ58198"/>
      <c r="EK58198"/>
    </row>
    <row r="58199" spans="1:141" s="116" customFormat="1">
      <c r="A58199" s="136"/>
      <c r="CM58199" s="111"/>
      <c r="CQ58199" s="111"/>
      <c r="EF58199"/>
      <c r="EG58199"/>
      <c r="EH58199"/>
      <c r="EI58199"/>
      <c r="EJ58199"/>
      <c r="EK58199"/>
    </row>
    <row r="58200" spans="1:141" s="116" customFormat="1">
      <c r="A58200" s="136"/>
      <c r="CM58200" s="111"/>
      <c r="CQ58200" s="111"/>
      <c r="EF58200"/>
      <c r="EG58200"/>
      <c r="EH58200"/>
      <c r="EI58200"/>
      <c r="EJ58200"/>
      <c r="EK58200"/>
    </row>
    <row r="58201" spans="1:141" s="116" customFormat="1">
      <c r="A58201" s="136"/>
      <c r="CM58201" s="111"/>
      <c r="CQ58201" s="111"/>
      <c r="EF58201"/>
      <c r="EG58201"/>
      <c r="EH58201"/>
      <c r="EI58201"/>
      <c r="EJ58201"/>
      <c r="EK58201"/>
    </row>
    <row r="58202" spans="1:141" s="116" customFormat="1">
      <c r="A58202" s="136"/>
      <c r="CM58202" s="111"/>
      <c r="CQ58202" s="111"/>
      <c r="EF58202"/>
      <c r="EG58202"/>
      <c r="EH58202"/>
      <c r="EI58202"/>
      <c r="EJ58202"/>
      <c r="EK58202"/>
    </row>
    <row r="58203" spans="1:141" s="116" customFormat="1">
      <c r="A58203" s="136"/>
      <c r="CM58203" s="111"/>
      <c r="CQ58203" s="111"/>
      <c r="EF58203"/>
      <c r="EG58203"/>
      <c r="EH58203"/>
      <c r="EI58203"/>
      <c r="EJ58203"/>
      <c r="EK58203"/>
    </row>
    <row r="58204" spans="1:141" s="116" customFormat="1">
      <c r="A58204" s="136"/>
      <c r="CM58204" s="111"/>
      <c r="CQ58204" s="111"/>
      <c r="EF58204"/>
      <c r="EG58204"/>
      <c r="EH58204"/>
      <c r="EI58204"/>
      <c r="EJ58204"/>
      <c r="EK58204"/>
    </row>
    <row r="58205" spans="1:141" s="116" customFormat="1">
      <c r="A58205" s="136"/>
      <c r="CM58205" s="111"/>
      <c r="CQ58205" s="111"/>
      <c r="EF58205"/>
      <c r="EG58205"/>
      <c r="EH58205"/>
      <c r="EI58205"/>
      <c r="EJ58205"/>
      <c r="EK58205"/>
    </row>
    <row r="58206" spans="1:141" s="116" customFormat="1">
      <c r="A58206" s="136"/>
      <c r="CM58206" s="111"/>
      <c r="CQ58206" s="111"/>
      <c r="EF58206"/>
      <c r="EG58206"/>
      <c r="EH58206"/>
      <c r="EI58206"/>
      <c r="EJ58206"/>
      <c r="EK58206"/>
    </row>
    <row r="58207" spans="1:141" s="116" customFormat="1">
      <c r="A58207" s="136"/>
      <c r="CM58207" s="111"/>
      <c r="CQ58207" s="111"/>
      <c r="EF58207"/>
      <c r="EG58207"/>
      <c r="EH58207"/>
      <c r="EI58207"/>
      <c r="EJ58207"/>
      <c r="EK58207"/>
    </row>
    <row r="58208" spans="1:141" s="116" customFormat="1">
      <c r="A58208" s="136"/>
      <c r="CM58208" s="111"/>
      <c r="CQ58208" s="111"/>
      <c r="EF58208"/>
      <c r="EG58208"/>
      <c r="EH58208"/>
      <c r="EI58208"/>
      <c r="EJ58208"/>
      <c r="EK58208"/>
    </row>
    <row r="58209" spans="1:141" s="116" customFormat="1">
      <c r="A58209" s="136"/>
      <c r="CM58209" s="111"/>
      <c r="CQ58209" s="111"/>
      <c r="EF58209"/>
      <c r="EG58209"/>
      <c r="EH58209"/>
      <c r="EI58209"/>
      <c r="EJ58209"/>
      <c r="EK58209"/>
    </row>
    <row r="58210" spans="1:141" s="116" customFormat="1">
      <c r="A58210" s="136"/>
      <c r="CM58210" s="111"/>
      <c r="CQ58210" s="111"/>
      <c r="EF58210"/>
      <c r="EG58210"/>
      <c r="EH58210"/>
      <c r="EI58210"/>
      <c r="EJ58210"/>
      <c r="EK58210"/>
    </row>
    <row r="58211" spans="1:141" s="116" customFormat="1">
      <c r="A58211" s="136"/>
      <c r="CM58211" s="111"/>
      <c r="CQ58211" s="111"/>
      <c r="EF58211"/>
      <c r="EG58211"/>
      <c r="EH58211"/>
      <c r="EI58211"/>
      <c r="EJ58211"/>
      <c r="EK58211"/>
    </row>
    <row r="58212" spans="1:141" s="116" customFormat="1">
      <c r="A58212" s="136"/>
      <c r="CM58212" s="111"/>
      <c r="CQ58212" s="111"/>
      <c r="EF58212"/>
      <c r="EG58212"/>
      <c r="EH58212"/>
      <c r="EI58212"/>
      <c r="EJ58212"/>
      <c r="EK58212"/>
    </row>
    <row r="58213" spans="1:141" s="116" customFormat="1">
      <c r="A58213" s="136"/>
      <c r="CM58213" s="111"/>
      <c r="CQ58213" s="111"/>
      <c r="EF58213"/>
      <c r="EG58213"/>
      <c r="EH58213"/>
      <c r="EI58213"/>
      <c r="EJ58213"/>
      <c r="EK58213"/>
    </row>
    <row r="58214" spans="1:141" s="116" customFormat="1">
      <c r="A58214" s="136"/>
      <c r="CM58214" s="111"/>
      <c r="CQ58214" s="111"/>
      <c r="EF58214"/>
      <c r="EG58214"/>
      <c r="EH58214"/>
      <c r="EI58214"/>
      <c r="EJ58214"/>
      <c r="EK58214"/>
    </row>
    <row r="58215" spans="1:141" s="116" customFormat="1">
      <c r="A58215" s="136"/>
      <c r="CM58215" s="111"/>
      <c r="CQ58215" s="111"/>
      <c r="EF58215"/>
      <c r="EG58215"/>
      <c r="EH58215"/>
      <c r="EI58215"/>
      <c r="EJ58215"/>
      <c r="EK58215"/>
    </row>
    <row r="58216" spans="1:141" s="116" customFormat="1">
      <c r="A58216" s="136"/>
      <c r="CM58216" s="111"/>
      <c r="CQ58216" s="111"/>
      <c r="EF58216"/>
      <c r="EG58216"/>
      <c r="EH58216"/>
      <c r="EI58216"/>
      <c r="EJ58216"/>
      <c r="EK58216"/>
    </row>
    <row r="58217" spans="1:141" s="116" customFormat="1">
      <c r="A58217" s="136"/>
      <c r="CM58217" s="111"/>
      <c r="CQ58217" s="111"/>
      <c r="EF58217"/>
      <c r="EG58217"/>
      <c r="EH58217"/>
      <c r="EI58217"/>
      <c r="EJ58217"/>
      <c r="EK58217"/>
    </row>
    <row r="58218" spans="1:141" s="116" customFormat="1">
      <c r="A58218" s="136"/>
      <c r="CM58218" s="111"/>
      <c r="CQ58218" s="111"/>
      <c r="EF58218"/>
      <c r="EG58218"/>
      <c r="EH58218"/>
      <c r="EI58218"/>
      <c r="EJ58218"/>
      <c r="EK58218"/>
    </row>
    <row r="58219" spans="1:141" s="116" customFormat="1">
      <c r="A58219" s="136"/>
      <c r="CM58219" s="111"/>
      <c r="CQ58219" s="111"/>
      <c r="EF58219"/>
      <c r="EG58219"/>
      <c r="EH58219"/>
      <c r="EI58219"/>
      <c r="EJ58219"/>
      <c r="EK58219"/>
    </row>
    <row r="58220" spans="1:141" s="116" customFormat="1">
      <c r="A58220" s="136"/>
      <c r="CM58220" s="111"/>
      <c r="CQ58220" s="111"/>
      <c r="EF58220"/>
      <c r="EG58220"/>
      <c r="EH58220"/>
      <c r="EI58220"/>
      <c r="EJ58220"/>
      <c r="EK58220"/>
    </row>
    <row r="58221" spans="1:141" s="116" customFormat="1">
      <c r="A58221" s="136"/>
      <c r="CM58221" s="111"/>
      <c r="CQ58221" s="111"/>
      <c r="EF58221"/>
      <c r="EG58221"/>
      <c r="EH58221"/>
      <c r="EI58221"/>
      <c r="EJ58221"/>
      <c r="EK58221"/>
    </row>
    <row r="58222" spans="1:141" s="116" customFormat="1">
      <c r="A58222" s="136"/>
      <c r="CM58222" s="111"/>
      <c r="CQ58222" s="111"/>
      <c r="EF58222"/>
      <c r="EG58222"/>
      <c r="EH58222"/>
      <c r="EI58222"/>
      <c r="EJ58222"/>
      <c r="EK58222"/>
    </row>
    <row r="58223" spans="1:141" s="116" customFormat="1">
      <c r="A58223" s="136"/>
      <c r="CM58223" s="111"/>
      <c r="CQ58223" s="111"/>
      <c r="EF58223"/>
      <c r="EG58223"/>
      <c r="EH58223"/>
      <c r="EI58223"/>
      <c r="EJ58223"/>
      <c r="EK58223"/>
    </row>
    <row r="58224" spans="1:141" s="116" customFormat="1">
      <c r="A58224" s="136"/>
      <c r="CM58224" s="111"/>
      <c r="CQ58224" s="111"/>
      <c r="EF58224"/>
      <c r="EG58224"/>
      <c r="EH58224"/>
      <c r="EI58224"/>
      <c r="EJ58224"/>
      <c r="EK58224"/>
    </row>
    <row r="58225" spans="1:141" s="116" customFormat="1">
      <c r="A58225" s="136"/>
      <c r="CM58225" s="111"/>
      <c r="CQ58225" s="111"/>
      <c r="EF58225"/>
      <c r="EG58225"/>
      <c r="EH58225"/>
      <c r="EI58225"/>
      <c r="EJ58225"/>
      <c r="EK58225"/>
    </row>
    <row r="58226" spans="1:141" s="116" customFormat="1">
      <c r="A58226" s="136"/>
      <c r="CM58226" s="111"/>
      <c r="CQ58226" s="111"/>
      <c r="EF58226"/>
      <c r="EG58226"/>
      <c r="EH58226"/>
      <c r="EI58226"/>
      <c r="EJ58226"/>
      <c r="EK58226"/>
    </row>
    <row r="58227" spans="1:141" s="116" customFormat="1">
      <c r="A58227" s="136"/>
      <c r="CM58227" s="111"/>
      <c r="CQ58227" s="111"/>
      <c r="EF58227"/>
      <c r="EG58227"/>
      <c r="EH58227"/>
      <c r="EI58227"/>
      <c r="EJ58227"/>
      <c r="EK58227"/>
    </row>
    <row r="58228" spans="1:141" s="116" customFormat="1">
      <c r="A58228" s="136"/>
      <c r="CM58228" s="111"/>
      <c r="CQ58228" s="111"/>
      <c r="EF58228"/>
      <c r="EG58228"/>
      <c r="EH58228"/>
      <c r="EI58228"/>
      <c r="EJ58228"/>
      <c r="EK58228"/>
    </row>
    <row r="58229" spans="1:141" s="116" customFormat="1">
      <c r="A58229" s="136"/>
      <c r="CM58229" s="111"/>
      <c r="CQ58229" s="111"/>
      <c r="EF58229"/>
      <c r="EG58229"/>
      <c r="EH58229"/>
      <c r="EI58229"/>
      <c r="EJ58229"/>
      <c r="EK58229"/>
    </row>
    <row r="58230" spans="1:141" s="116" customFormat="1">
      <c r="A58230" s="136"/>
      <c r="CM58230" s="111"/>
      <c r="CQ58230" s="111"/>
      <c r="EF58230"/>
      <c r="EG58230"/>
      <c r="EH58230"/>
      <c r="EI58230"/>
      <c r="EJ58230"/>
      <c r="EK58230"/>
    </row>
    <row r="58231" spans="1:141" s="116" customFormat="1">
      <c r="A58231" s="136"/>
      <c r="CM58231" s="111"/>
      <c r="CQ58231" s="111"/>
      <c r="EF58231"/>
      <c r="EG58231"/>
      <c r="EH58231"/>
      <c r="EI58231"/>
      <c r="EJ58231"/>
      <c r="EK58231"/>
    </row>
    <row r="58232" spans="1:141" s="116" customFormat="1">
      <c r="A58232" s="136"/>
      <c r="CM58232" s="111"/>
      <c r="CQ58232" s="111"/>
      <c r="EF58232"/>
      <c r="EG58232"/>
      <c r="EH58232"/>
      <c r="EI58232"/>
      <c r="EJ58232"/>
      <c r="EK58232"/>
    </row>
    <row r="58233" spans="1:141" s="116" customFormat="1">
      <c r="A58233" s="136"/>
      <c r="CM58233" s="111"/>
      <c r="CQ58233" s="111"/>
      <c r="EF58233"/>
      <c r="EG58233"/>
      <c r="EH58233"/>
      <c r="EI58233"/>
      <c r="EJ58233"/>
      <c r="EK58233"/>
    </row>
    <row r="58234" spans="1:141" s="116" customFormat="1">
      <c r="A58234" s="136"/>
      <c r="CM58234" s="111"/>
      <c r="CQ58234" s="111"/>
      <c r="EF58234"/>
      <c r="EG58234"/>
      <c r="EH58234"/>
      <c r="EI58234"/>
      <c r="EJ58234"/>
      <c r="EK58234"/>
    </row>
    <row r="58235" spans="1:141" s="116" customFormat="1">
      <c r="A58235" s="136"/>
      <c r="CM58235" s="111"/>
      <c r="CQ58235" s="111"/>
      <c r="EF58235"/>
      <c r="EG58235"/>
      <c r="EH58235"/>
      <c r="EI58235"/>
      <c r="EJ58235"/>
      <c r="EK58235"/>
    </row>
    <row r="58236" spans="1:141" s="116" customFormat="1">
      <c r="A58236" s="136"/>
      <c r="CM58236" s="111"/>
      <c r="CQ58236" s="111"/>
      <c r="EF58236"/>
      <c r="EG58236"/>
      <c r="EH58236"/>
      <c r="EI58236"/>
      <c r="EJ58236"/>
      <c r="EK58236"/>
    </row>
    <row r="58237" spans="1:141" s="116" customFormat="1">
      <c r="A58237" s="136"/>
      <c r="CM58237" s="111"/>
      <c r="CQ58237" s="111"/>
      <c r="EF58237"/>
      <c r="EG58237"/>
      <c r="EH58237"/>
      <c r="EI58237"/>
      <c r="EJ58237"/>
      <c r="EK58237"/>
    </row>
    <row r="58238" spans="1:141" s="116" customFormat="1">
      <c r="A58238" s="136"/>
      <c r="CM58238" s="111"/>
      <c r="CQ58238" s="111"/>
      <c r="EF58238"/>
      <c r="EG58238"/>
      <c r="EH58238"/>
      <c r="EI58238"/>
      <c r="EJ58238"/>
      <c r="EK58238"/>
    </row>
    <row r="58239" spans="1:141" s="116" customFormat="1">
      <c r="A58239" s="136"/>
      <c r="CM58239" s="111"/>
      <c r="CQ58239" s="111"/>
      <c r="EF58239"/>
      <c r="EG58239"/>
      <c r="EH58239"/>
      <c r="EI58239"/>
      <c r="EJ58239"/>
      <c r="EK58239"/>
    </row>
    <row r="58240" spans="1:141" s="116" customFormat="1">
      <c r="A58240" s="136"/>
      <c r="CM58240" s="111"/>
      <c r="CQ58240" s="111"/>
      <c r="EF58240"/>
      <c r="EG58240"/>
      <c r="EH58240"/>
      <c r="EI58240"/>
      <c r="EJ58240"/>
      <c r="EK58240"/>
    </row>
    <row r="58241" spans="1:141" s="116" customFormat="1">
      <c r="A58241" s="136"/>
      <c r="CM58241" s="111"/>
      <c r="CQ58241" s="111"/>
      <c r="EF58241"/>
      <c r="EG58241"/>
      <c r="EH58241"/>
      <c r="EI58241"/>
      <c r="EJ58241"/>
      <c r="EK58241"/>
    </row>
    <row r="58242" spans="1:141" s="116" customFormat="1">
      <c r="A58242" s="136"/>
      <c r="CM58242" s="111"/>
      <c r="CQ58242" s="111"/>
      <c r="EF58242"/>
      <c r="EG58242"/>
      <c r="EH58242"/>
      <c r="EI58242"/>
      <c r="EJ58242"/>
      <c r="EK58242"/>
    </row>
    <row r="58243" spans="1:141" s="116" customFormat="1">
      <c r="A58243" s="136"/>
      <c r="CM58243" s="111"/>
      <c r="CQ58243" s="111"/>
      <c r="EF58243"/>
      <c r="EG58243"/>
      <c r="EH58243"/>
      <c r="EI58243"/>
      <c r="EJ58243"/>
      <c r="EK58243"/>
    </row>
    <row r="58244" spans="1:141" s="116" customFormat="1">
      <c r="A58244" s="136"/>
      <c r="CM58244" s="111"/>
      <c r="CQ58244" s="111"/>
      <c r="EF58244"/>
      <c r="EG58244"/>
      <c r="EH58244"/>
      <c r="EI58244"/>
      <c r="EJ58244"/>
      <c r="EK58244"/>
    </row>
    <row r="58245" spans="1:141" s="116" customFormat="1">
      <c r="A58245" s="136"/>
      <c r="CM58245" s="111"/>
      <c r="CQ58245" s="111"/>
      <c r="EF58245"/>
      <c r="EG58245"/>
      <c r="EH58245"/>
      <c r="EI58245"/>
      <c r="EJ58245"/>
      <c r="EK58245"/>
    </row>
    <row r="58246" spans="1:141" s="116" customFormat="1">
      <c r="A58246" s="136"/>
      <c r="CM58246" s="111"/>
      <c r="CQ58246" s="111"/>
      <c r="EF58246"/>
      <c r="EG58246"/>
      <c r="EH58246"/>
      <c r="EI58246"/>
      <c r="EJ58246"/>
      <c r="EK58246"/>
    </row>
    <row r="58247" spans="1:141" s="116" customFormat="1">
      <c r="A58247" s="136"/>
      <c r="CM58247" s="111"/>
      <c r="CQ58247" s="111"/>
      <c r="EF58247"/>
      <c r="EG58247"/>
      <c r="EH58247"/>
      <c r="EI58247"/>
      <c r="EJ58247"/>
      <c r="EK58247"/>
    </row>
    <row r="58248" spans="1:141" s="116" customFormat="1">
      <c r="A58248" s="136"/>
      <c r="CM58248" s="111"/>
      <c r="CQ58248" s="111"/>
      <c r="EF58248"/>
      <c r="EG58248"/>
      <c r="EH58248"/>
      <c r="EI58248"/>
      <c r="EJ58248"/>
      <c r="EK58248"/>
    </row>
    <row r="58249" spans="1:141" s="116" customFormat="1">
      <c r="A58249" s="136"/>
      <c r="CM58249" s="111"/>
      <c r="CQ58249" s="111"/>
      <c r="EF58249"/>
      <c r="EG58249"/>
      <c r="EH58249"/>
      <c r="EI58249"/>
      <c r="EJ58249"/>
      <c r="EK58249"/>
    </row>
    <row r="58250" spans="1:141" s="116" customFormat="1">
      <c r="A58250" s="136"/>
      <c r="CM58250" s="111"/>
      <c r="CQ58250" s="111"/>
      <c r="EF58250"/>
      <c r="EG58250"/>
      <c r="EH58250"/>
      <c r="EI58250"/>
      <c r="EJ58250"/>
      <c r="EK58250"/>
    </row>
    <row r="58251" spans="1:141" s="116" customFormat="1">
      <c r="A58251" s="136"/>
      <c r="CM58251" s="111"/>
      <c r="CQ58251" s="111"/>
      <c r="EF58251"/>
      <c r="EG58251"/>
      <c r="EH58251"/>
      <c r="EI58251"/>
      <c r="EJ58251"/>
      <c r="EK58251"/>
    </row>
    <row r="58252" spans="1:141" s="116" customFormat="1">
      <c r="A58252" s="136"/>
      <c r="CM58252" s="111"/>
      <c r="CQ58252" s="111"/>
      <c r="EF58252"/>
      <c r="EG58252"/>
      <c r="EH58252"/>
      <c r="EI58252"/>
      <c r="EJ58252"/>
      <c r="EK58252"/>
    </row>
    <row r="58253" spans="1:141" s="116" customFormat="1">
      <c r="A58253" s="136"/>
      <c r="CM58253" s="111"/>
      <c r="CQ58253" s="111"/>
      <c r="EF58253"/>
      <c r="EG58253"/>
      <c r="EH58253"/>
      <c r="EI58253"/>
      <c r="EJ58253"/>
      <c r="EK58253"/>
    </row>
    <row r="58254" spans="1:141" s="116" customFormat="1">
      <c r="A58254" s="136"/>
      <c r="CM58254" s="111"/>
      <c r="CQ58254" s="111"/>
      <c r="EF58254"/>
      <c r="EG58254"/>
      <c r="EH58254"/>
      <c r="EI58254"/>
      <c r="EJ58254"/>
      <c r="EK58254"/>
    </row>
    <row r="58255" spans="1:141" s="116" customFormat="1">
      <c r="A58255" s="136"/>
      <c r="CM58255" s="111"/>
      <c r="CQ58255" s="111"/>
      <c r="EF58255"/>
      <c r="EG58255"/>
      <c r="EH58255"/>
      <c r="EI58255"/>
      <c r="EJ58255"/>
      <c r="EK58255"/>
    </row>
    <row r="58256" spans="1:141" s="116" customFormat="1">
      <c r="A58256" s="136"/>
      <c r="CM58256" s="111"/>
      <c r="CQ58256" s="111"/>
      <c r="EF58256"/>
      <c r="EG58256"/>
      <c r="EH58256"/>
      <c r="EI58256"/>
      <c r="EJ58256"/>
      <c r="EK58256"/>
    </row>
    <row r="58257" spans="1:141" s="116" customFormat="1">
      <c r="A58257" s="136"/>
      <c r="CM58257" s="111"/>
      <c r="CQ58257" s="111"/>
      <c r="EF58257"/>
      <c r="EG58257"/>
      <c r="EH58257"/>
      <c r="EI58257"/>
      <c r="EJ58257"/>
      <c r="EK58257"/>
    </row>
    <row r="58258" spans="1:141" s="116" customFormat="1">
      <c r="A58258" s="136"/>
      <c r="CM58258" s="111"/>
      <c r="CQ58258" s="111"/>
      <c r="EF58258"/>
      <c r="EG58258"/>
      <c r="EH58258"/>
      <c r="EI58258"/>
      <c r="EJ58258"/>
      <c r="EK58258"/>
    </row>
    <row r="58259" spans="1:141" s="116" customFormat="1">
      <c r="A58259" s="136"/>
      <c r="CM58259" s="111"/>
      <c r="CQ58259" s="111"/>
      <c r="EF58259"/>
      <c r="EG58259"/>
      <c r="EH58259"/>
      <c r="EI58259"/>
      <c r="EJ58259"/>
      <c r="EK58259"/>
    </row>
    <row r="58260" spans="1:141" s="116" customFormat="1">
      <c r="A58260" s="136"/>
      <c r="CM58260" s="111"/>
      <c r="CQ58260" s="111"/>
      <c r="EF58260"/>
      <c r="EG58260"/>
      <c r="EH58260"/>
      <c r="EI58260"/>
      <c r="EJ58260"/>
      <c r="EK58260"/>
    </row>
    <row r="58261" spans="1:141" s="116" customFormat="1">
      <c r="A58261" s="136"/>
      <c r="CM58261" s="111"/>
      <c r="CQ58261" s="111"/>
      <c r="EF58261"/>
      <c r="EG58261"/>
      <c r="EH58261"/>
      <c r="EI58261"/>
      <c r="EJ58261"/>
      <c r="EK58261"/>
    </row>
    <row r="58262" spans="1:141" s="116" customFormat="1">
      <c r="A58262" s="136"/>
      <c r="CM58262" s="111"/>
      <c r="CQ58262" s="111"/>
      <c r="EF58262"/>
      <c r="EG58262"/>
      <c r="EH58262"/>
      <c r="EI58262"/>
      <c r="EJ58262"/>
      <c r="EK58262"/>
    </row>
    <row r="58263" spans="1:141" s="116" customFormat="1">
      <c r="A58263" s="136"/>
      <c r="CM58263" s="111"/>
      <c r="CQ58263" s="111"/>
      <c r="EF58263"/>
      <c r="EG58263"/>
      <c r="EH58263"/>
      <c r="EI58263"/>
      <c r="EJ58263"/>
      <c r="EK58263"/>
    </row>
    <row r="58264" spans="1:141" s="116" customFormat="1">
      <c r="A58264" s="136"/>
      <c r="CM58264" s="111"/>
      <c r="CQ58264" s="111"/>
      <c r="EF58264"/>
      <c r="EG58264"/>
      <c r="EH58264"/>
      <c r="EI58264"/>
      <c r="EJ58264"/>
      <c r="EK58264"/>
    </row>
    <row r="58265" spans="1:141" s="116" customFormat="1">
      <c r="A58265" s="136"/>
      <c r="CM58265" s="111"/>
      <c r="CQ58265" s="111"/>
      <c r="EF58265"/>
      <c r="EG58265"/>
      <c r="EH58265"/>
      <c r="EI58265"/>
      <c r="EJ58265"/>
      <c r="EK58265"/>
    </row>
    <row r="58266" spans="1:141" s="116" customFormat="1">
      <c r="A58266" s="136"/>
      <c r="CM58266" s="111"/>
      <c r="CQ58266" s="111"/>
      <c r="EF58266"/>
      <c r="EG58266"/>
      <c r="EH58266"/>
      <c r="EI58266"/>
      <c r="EJ58266"/>
      <c r="EK58266"/>
    </row>
    <row r="58267" spans="1:141" s="116" customFormat="1">
      <c r="A58267" s="136"/>
      <c r="CM58267" s="111"/>
      <c r="CQ58267" s="111"/>
      <c r="EF58267"/>
      <c r="EG58267"/>
      <c r="EH58267"/>
      <c r="EI58267"/>
      <c r="EJ58267"/>
      <c r="EK58267"/>
    </row>
    <row r="58268" spans="1:141" s="116" customFormat="1">
      <c r="A58268" s="136"/>
      <c r="CM58268" s="111"/>
      <c r="CQ58268" s="111"/>
      <c r="EF58268"/>
      <c r="EG58268"/>
      <c r="EH58268"/>
      <c r="EI58268"/>
      <c r="EJ58268"/>
      <c r="EK58268"/>
    </row>
    <row r="58269" spans="1:141" s="116" customFormat="1">
      <c r="A58269" s="136"/>
      <c r="CM58269" s="111"/>
      <c r="CQ58269" s="111"/>
      <c r="EF58269"/>
      <c r="EG58269"/>
      <c r="EH58269"/>
      <c r="EI58269"/>
      <c r="EJ58269"/>
      <c r="EK58269"/>
    </row>
    <row r="58270" spans="1:141" s="116" customFormat="1">
      <c r="A58270" s="136"/>
      <c r="CM58270" s="111"/>
      <c r="CQ58270" s="111"/>
      <c r="EF58270"/>
      <c r="EG58270"/>
      <c r="EH58270"/>
      <c r="EI58270"/>
      <c r="EJ58270"/>
      <c r="EK58270"/>
    </row>
    <row r="58271" spans="1:141" s="116" customFormat="1">
      <c r="A58271" s="136"/>
      <c r="CM58271" s="111"/>
      <c r="CQ58271" s="111"/>
      <c r="EF58271"/>
      <c r="EG58271"/>
      <c r="EH58271"/>
      <c r="EI58271"/>
      <c r="EJ58271"/>
      <c r="EK58271"/>
    </row>
    <row r="58272" spans="1:141" s="116" customFormat="1">
      <c r="A58272" s="136"/>
      <c r="CM58272" s="111"/>
      <c r="CQ58272" s="111"/>
      <c r="EF58272"/>
      <c r="EG58272"/>
      <c r="EH58272"/>
      <c r="EI58272"/>
      <c r="EJ58272"/>
      <c r="EK58272"/>
    </row>
    <row r="58273" spans="1:141" s="116" customFormat="1">
      <c r="A58273" s="136"/>
      <c r="CM58273" s="111"/>
      <c r="CQ58273" s="111"/>
      <c r="EF58273"/>
      <c r="EG58273"/>
      <c r="EH58273"/>
      <c r="EI58273"/>
      <c r="EJ58273"/>
      <c r="EK58273"/>
    </row>
    <row r="58274" spans="1:141" s="116" customFormat="1">
      <c r="A58274" s="136"/>
      <c r="CM58274" s="111"/>
      <c r="CQ58274" s="111"/>
      <c r="EF58274"/>
      <c r="EG58274"/>
      <c r="EH58274"/>
      <c r="EI58274"/>
      <c r="EJ58274"/>
      <c r="EK58274"/>
    </row>
    <row r="58275" spans="1:141" s="116" customFormat="1">
      <c r="A58275" s="136"/>
      <c r="CM58275" s="111"/>
      <c r="CQ58275" s="111"/>
      <c r="EF58275"/>
      <c r="EG58275"/>
      <c r="EH58275"/>
      <c r="EI58275"/>
      <c r="EJ58275"/>
      <c r="EK58275"/>
    </row>
    <row r="58276" spans="1:141" s="116" customFormat="1">
      <c r="A58276" s="136"/>
      <c r="CM58276" s="111"/>
      <c r="CQ58276" s="111"/>
      <c r="EF58276"/>
      <c r="EG58276"/>
      <c r="EH58276"/>
      <c r="EI58276"/>
      <c r="EJ58276"/>
      <c r="EK58276"/>
    </row>
    <row r="58277" spans="1:141" s="116" customFormat="1">
      <c r="A58277" s="136"/>
      <c r="CM58277" s="111"/>
      <c r="CQ58277" s="111"/>
      <c r="EF58277"/>
      <c r="EG58277"/>
      <c r="EH58277"/>
      <c r="EI58277"/>
      <c r="EJ58277"/>
      <c r="EK58277"/>
    </row>
    <row r="58278" spans="1:141" s="116" customFormat="1">
      <c r="A58278" s="136"/>
      <c r="CM58278" s="111"/>
      <c r="CQ58278" s="111"/>
      <c r="EF58278"/>
      <c r="EG58278"/>
      <c r="EH58278"/>
      <c r="EI58278"/>
      <c r="EJ58278"/>
      <c r="EK58278"/>
    </row>
    <row r="58279" spans="1:141" s="116" customFormat="1">
      <c r="A58279" s="136"/>
      <c r="CM58279" s="111"/>
      <c r="CQ58279" s="111"/>
      <c r="EF58279"/>
      <c r="EG58279"/>
      <c r="EH58279"/>
      <c r="EI58279"/>
      <c r="EJ58279"/>
      <c r="EK58279"/>
    </row>
    <row r="58280" spans="1:141" s="116" customFormat="1">
      <c r="A58280" s="136"/>
      <c r="CM58280" s="111"/>
      <c r="CQ58280" s="111"/>
      <c r="EF58280"/>
      <c r="EG58280"/>
      <c r="EH58280"/>
      <c r="EI58280"/>
      <c r="EJ58280"/>
      <c r="EK58280"/>
    </row>
    <row r="58281" spans="1:141" s="116" customFormat="1">
      <c r="A58281" s="136"/>
      <c r="CM58281" s="111"/>
      <c r="CQ58281" s="111"/>
      <c r="EF58281"/>
      <c r="EG58281"/>
      <c r="EH58281"/>
      <c r="EI58281"/>
      <c r="EJ58281"/>
      <c r="EK58281"/>
    </row>
    <row r="58282" spans="1:141" s="116" customFormat="1">
      <c r="A58282" s="136"/>
      <c r="CM58282" s="111"/>
      <c r="CQ58282" s="111"/>
      <c r="EF58282"/>
      <c r="EG58282"/>
      <c r="EH58282"/>
      <c r="EI58282"/>
      <c r="EJ58282"/>
      <c r="EK58282"/>
    </row>
    <row r="58283" spans="1:141" s="116" customFormat="1">
      <c r="A58283" s="136"/>
      <c r="CM58283" s="111"/>
      <c r="CQ58283" s="111"/>
      <c r="EF58283"/>
      <c r="EG58283"/>
      <c r="EH58283"/>
      <c r="EI58283"/>
      <c r="EJ58283"/>
      <c r="EK58283"/>
    </row>
    <row r="58284" spans="1:141" s="116" customFormat="1">
      <c r="A58284" s="136"/>
      <c r="CM58284" s="111"/>
      <c r="CQ58284" s="111"/>
      <c r="EF58284"/>
      <c r="EG58284"/>
      <c r="EH58284"/>
      <c r="EI58284"/>
      <c r="EJ58284"/>
      <c r="EK58284"/>
    </row>
    <row r="58285" spans="1:141" s="116" customFormat="1">
      <c r="A58285" s="136"/>
      <c r="CM58285" s="111"/>
      <c r="CQ58285" s="111"/>
      <c r="EF58285"/>
      <c r="EG58285"/>
      <c r="EH58285"/>
      <c r="EI58285"/>
      <c r="EJ58285"/>
      <c r="EK58285"/>
    </row>
    <row r="58286" spans="1:141" s="116" customFormat="1">
      <c r="A58286" s="136"/>
      <c r="CM58286" s="111"/>
      <c r="CQ58286" s="111"/>
      <c r="EF58286"/>
      <c r="EG58286"/>
      <c r="EH58286"/>
      <c r="EI58286"/>
      <c r="EJ58286"/>
      <c r="EK58286"/>
    </row>
    <row r="58287" spans="1:141" s="116" customFormat="1">
      <c r="A58287" s="136"/>
      <c r="CM58287" s="111"/>
      <c r="CQ58287" s="111"/>
      <c r="EF58287"/>
      <c r="EG58287"/>
      <c r="EH58287"/>
      <c r="EI58287"/>
      <c r="EJ58287"/>
      <c r="EK58287"/>
    </row>
    <row r="58288" spans="1:141" s="116" customFormat="1">
      <c r="A58288" s="136"/>
      <c r="CM58288" s="111"/>
      <c r="CQ58288" s="111"/>
      <c r="EF58288"/>
      <c r="EG58288"/>
      <c r="EH58288"/>
      <c r="EI58288"/>
      <c r="EJ58288"/>
      <c r="EK58288"/>
    </row>
    <row r="58289" spans="1:141" s="116" customFormat="1">
      <c r="A58289" s="136"/>
      <c r="CM58289" s="111"/>
      <c r="CQ58289" s="111"/>
      <c r="EF58289"/>
      <c r="EG58289"/>
      <c r="EH58289"/>
      <c r="EI58289"/>
      <c r="EJ58289"/>
      <c r="EK58289"/>
    </row>
    <row r="58290" spans="1:141" s="116" customFormat="1">
      <c r="A58290" s="136"/>
      <c r="CM58290" s="111"/>
      <c r="CQ58290" s="111"/>
      <c r="EF58290"/>
      <c r="EG58290"/>
      <c r="EH58290"/>
      <c r="EI58290"/>
      <c r="EJ58290"/>
      <c r="EK58290"/>
    </row>
    <row r="58291" spans="1:141" s="116" customFormat="1">
      <c r="A58291" s="136"/>
      <c r="CM58291" s="111"/>
      <c r="CQ58291" s="111"/>
      <c r="EF58291"/>
      <c r="EG58291"/>
      <c r="EH58291"/>
      <c r="EI58291"/>
      <c r="EJ58291"/>
      <c r="EK58291"/>
    </row>
    <row r="58292" spans="1:141" s="116" customFormat="1">
      <c r="A58292" s="136"/>
      <c r="CM58292" s="111"/>
      <c r="CQ58292" s="111"/>
      <c r="EF58292"/>
      <c r="EG58292"/>
      <c r="EH58292"/>
      <c r="EI58292"/>
      <c r="EJ58292"/>
      <c r="EK58292"/>
    </row>
    <row r="58293" spans="1:141" s="116" customFormat="1">
      <c r="A58293" s="136"/>
      <c r="CM58293" s="111"/>
      <c r="CQ58293" s="111"/>
      <c r="EF58293"/>
      <c r="EG58293"/>
      <c r="EH58293"/>
      <c r="EI58293"/>
      <c r="EJ58293"/>
      <c r="EK58293"/>
    </row>
    <row r="58294" spans="1:141" s="116" customFormat="1">
      <c r="A58294" s="136"/>
      <c r="CM58294" s="111"/>
      <c r="CQ58294" s="111"/>
      <c r="EF58294"/>
      <c r="EG58294"/>
      <c r="EH58294"/>
      <c r="EI58294"/>
      <c r="EJ58294"/>
      <c r="EK58294"/>
    </row>
    <row r="58295" spans="1:141" s="116" customFormat="1">
      <c r="A58295" s="136"/>
      <c r="CM58295" s="111"/>
      <c r="CQ58295" s="111"/>
      <c r="EF58295"/>
      <c r="EG58295"/>
      <c r="EH58295"/>
      <c r="EI58295"/>
      <c r="EJ58295"/>
      <c r="EK58295"/>
    </row>
    <row r="58296" spans="1:141" s="116" customFormat="1">
      <c r="A58296" s="136"/>
      <c r="CM58296" s="111"/>
      <c r="CQ58296" s="111"/>
      <c r="EF58296"/>
      <c r="EG58296"/>
      <c r="EH58296"/>
      <c r="EI58296"/>
      <c r="EJ58296"/>
      <c r="EK58296"/>
    </row>
    <row r="58297" spans="1:141" s="116" customFormat="1">
      <c r="A58297" s="136"/>
      <c r="CM58297" s="111"/>
      <c r="CQ58297" s="111"/>
      <c r="EF58297"/>
      <c r="EG58297"/>
      <c r="EH58297"/>
      <c r="EI58297"/>
      <c r="EJ58297"/>
      <c r="EK58297"/>
    </row>
    <row r="58298" spans="1:141" s="116" customFormat="1">
      <c r="A58298" s="136"/>
      <c r="CM58298" s="111"/>
      <c r="CQ58298" s="111"/>
      <c r="EF58298"/>
      <c r="EG58298"/>
      <c r="EH58298"/>
      <c r="EI58298"/>
      <c r="EJ58298"/>
      <c r="EK58298"/>
    </row>
    <row r="58299" spans="1:141" s="116" customFormat="1">
      <c r="A58299" s="136"/>
      <c r="CM58299" s="111"/>
      <c r="CQ58299" s="111"/>
      <c r="EF58299"/>
      <c r="EG58299"/>
      <c r="EH58299"/>
      <c r="EI58299"/>
      <c r="EJ58299"/>
      <c r="EK58299"/>
    </row>
    <row r="58300" spans="1:141" s="116" customFormat="1">
      <c r="A58300" s="136"/>
      <c r="CM58300" s="111"/>
      <c r="CQ58300" s="111"/>
      <c r="EF58300"/>
      <c r="EG58300"/>
      <c r="EH58300"/>
      <c r="EI58300"/>
      <c r="EJ58300"/>
      <c r="EK58300"/>
    </row>
    <row r="58301" spans="1:141" s="116" customFormat="1">
      <c r="A58301" s="136"/>
      <c r="CM58301" s="111"/>
      <c r="CQ58301" s="111"/>
      <c r="EF58301"/>
      <c r="EG58301"/>
      <c r="EH58301"/>
      <c r="EI58301"/>
      <c r="EJ58301"/>
      <c r="EK58301"/>
    </row>
    <row r="58302" spans="1:141" s="116" customFormat="1">
      <c r="A58302" s="136"/>
      <c r="CM58302" s="111"/>
      <c r="CQ58302" s="111"/>
      <c r="EF58302"/>
      <c r="EG58302"/>
      <c r="EH58302"/>
      <c r="EI58302"/>
      <c r="EJ58302"/>
      <c r="EK58302"/>
    </row>
    <row r="58303" spans="1:141" s="116" customFormat="1">
      <c r="A58303" s="136"/>
      <c r="CM58303" s="111"/>
      <c r="CQ58303" s="111"/>
      <c r="EF58303"/>
      <c r="EG58303"/>
      <c r="EH58303"/>
      <c r="EI58303"/>
      <c r="EJ58303"/>
      <c r="EK58303"/>
    </row>
    <row r="58304" spans="1:141" s="116" customFormat="1">
      <c r="A58304" s="136"/>
      <c r="CM58304" s="111"/>
      <c r="CQ58304" s="111"/>
      <c r="EF58304"/>
      <c r="EG58304"/>
      <c r="EH58304"/>
      <c r="EI58304"/>
      <c r="EJ58304"/>
      <c r="EK58304"/>
    </row>
    <row r="58305" spans="1:141" s="116" customFormat="1">
      <c r="A58305" s="136"/>
      <c r="CM58305" s="111"/>
      <c r="CQ58305" s="111"/>
      <c r="EF58305"/>
      <c r="EG58305"/>
      <c r="EH58305"/>
      <c r="EI58305"/>
      <c r="EJ58305"/>
      <c r="EK58305"/>
    </row>
    <row r="58306" spans="1:141" s="116" customFormat="1">
      <c r="A58306" s="136"/>
      <c r="CM58306" s="111"/>
      <c r="CQ58306" s="111"/>
      <c r="EF58306"/>
      <c r="EG58306"/>
      <c r="EH58306"/>
      <c r="EI58306"/>
      <c r="EJ58306"/>
      <c r="EK58306"/>
    </row>
    <row r="58307" spans="1:141" s="116" customFormat="1">
      <c r="A58307" s="136"/>
      <c r="CM58307" s="111"/>
      <c r="CQ58307" s="111"/>
      <c r="EF58307"/>
      <c r="EG58307"/>
      <c r="EH58307"/>
      <c r="EI58307"/>
      <c r="EJ58307"/>
      <c r="EK58307"/>
    </row>
    <row r="58308" spans="1:141" s="116" customFormat="1">
      <c r="A58308" s="136"/>
      <c r="CM58308" s="111"/>
      <c r="CQ58308" s="111"/>
      <c r="EF58308"/>
      <c r="EG58308"/>
      <c r="EH58308"/>
      <c r="EI58308"/>
      <c r="EJ58308"/>
      <c r="EK58308"/>
    </row>
    <row r="58309" spans="1:141" s="116" customFormat="1">
      <c r="A58309" s="136"/>
      <c r="CM58309" s="111"/>
      <c r="CQ58309" s="111"/>
      <c r="EF58309"/>
      <c r="EG58309"/>
      <c r="EH58309"/>
      <c r="EI58309"/>
      <c r="EJ58309"/>
      <c r="EK58309"/>
    </row>
    <row r="58310" spans="1:141" s="116" customFormat="1">
      <c r="A58310" s="136"/>
      <c r="CM58310" s="111"/>
      <c r="CQ58310" s="111"/>
      <c r="EF58310"/>
      <c r="EG58310"/>
      <c r="EH58310"/>
      <c r="EI58310"/>
      <c r="EJ58310"/>
      <c r="EK58310"/>
    </row>
    <row r="58311" spans="1:141" s="116" customFormat="1">
      <c r="A58311" s="136"/>
      <c r="CM58311" s="111"/>
      <c r="CQ58311" s="111"/>
      <c r="EF58311"/>
      <c r="EG58311"/>
      <c r="EH58311"/>
      <c r="EI58311"/>
      <c r="EJ58311"/>
      <c r="EK58311"/>
    </row>
    <row r="58312" spans="1:141" s="116" customFormat="1">
      <c r="A58312" s="136"/>
      <c r="CM58312" s="111"/>
      <c r="CQ58312" s="111"/>
      <c r="EF58312"/>
      <c r="EG58312"/>
      <c r="EH58312"/>
      <c r="EI58312"/>
      <c r="EJ58312"/>
      <c r="EK58312"/>
    </row>
    <row r="58313" spans="1:141" s="116" customFormat="1">
      <c r="A58313" s="136"/>
      <c r="CM58313" s="111"/>
      <c r="CQ58313" s="111"/>
      <c r="EF58313"/>
      <c r="EG58313"/>
      <c r="EH58313"/>
      <c r="EI58313"/>
      <c r="EJ58313"/>
      <c r="EK58313"/>
    </row>
    <row r="58314" spans="1:141" s="116" customFormat="1">
      <c r="A58314" s="136"/>
      <c r="CM58314" s="111"/>
      <c r="CQ58314" s="111"/>
      <c r="EF58314"/>
      <c r="EG58314"/>
      <c r="EH58314"/>
      <c r="EI58314"/>
      <c r="EJ58314"/>
      <c r="EK58314"/>
    </row>
    <row r="58315" spans="1:141" s="116" customFormat="1">
      <c r="A58315" s="136"/>
      <c r="CM58315" s="111"/>
      <c r="CQ58315" s="111"/>
      <c r="EF58315"/>
      <c r="EG58315"/>
      <c r="EH58315"/>
      <c r="EI58315"/>
      <c r="EJ58315"/>
      <c r="EK58315"/>
    </row>
    <row r="58316" spans="1:141" s="116" customFormat="1">
      <c r="A58316" s="136"/>
      <c r="CM58316" s="111"/>
      <c r="CQ58316" s="111"/>
      <c r="EF58316"/>
      <c r="EG58316"/>
      <c r="EH58316"/>
      <c r="EI58316"/>
      <c r="EJ58316"/>
      <c r="EK58316"/>
    </row>
    <row r="58317" spans="1:141" s="116" customFormat="1">
      <c r="A58317" s="136"/>
      <c r="CM58317" s="111"/>
      <c r="CQ58317" s="111"/>
      <c r="EF58317"/>
      <c r="EG58317"/>
      <c r="EH58317"/>
      <c r="EI58317"/>
      <c r="EJ58317"/>
      <c r="EK58317"/>
    </row>
    <row r="58318" spans="1:141" s="116" customFormat="1">
      <c r="A58318" s="136"/>
      <c r="CM58318" s="111"/>
      <c r="CQ58318" s="111"/>
      <c r="EF58318"/>
      <c r="EG58318"/>
      <c r="EH58318"/>
      <c r="EI58318"/>
      <c r="EJ58318"/>
      <c r="EK58318"/>
    </row>
    <row r="58319" spans="1:141" s="116" customFormat="1">
      <c r="A58319" s="136"/>
      <c r="CM58319" s="111"/>
      <c r="CQ58319" s="111"/>
      <c r="EF58319"/>
      <c r="EG58319"/>
      <c r="EH58319"/>
      <c r="EI58319"/>
      <c r="EJ58319"/>
      <c r="EK58319"/>
    </row>
    <row r="58320" spans="1:141" s="116" customFormat="1">
      <c r="A58320" s="136"/>
      <c r="CM58320" s="111"/>
      <c r="CQ58320" s="111"/>
      <c r="EF58320"/>
      <c r="EG58320"/>
      <c r="EH58320"/>
      <c r="EI58320"/>
      <c r="EJ58320"/>
      <c r="EK58320"/>
    </row>
    <row r="58321" spans="1:141" s="116" customFormat="1">
      <c r="A58321" s="136"/>
      <c r="CM58321" s="111"/>
      <c r="CQ58321" s="111"/>
      <c r="EF58321"/>
      <c r="EG58321"/>
      <c r="EH58321"/>
      <c r="EI58321"/>
      <c r="EJ58321"/>
      <c r="EK58321"/>
    </row>
    <row r="58322" spans="1:141" s="116" customFormat="1">
      <c r="A58322" s="136"/>
      <c r="CM58322" s="111"/>
      <c r="CQ58322" s="111"/>
      <c r="EF58322"/>
      <c r="EG58322"/>
      <c r="EH58322"/>
      <c r="EI58322"/>
      <c r="EJ58322"/>
      <c r="EK58322"/>
    </row>
    <row r="58323" spans="1:141" s="116" customFormat="1">
      <c r="A58323" s="136"/>
      <c r="CM58323" s="111"/>
      <c r="CQ58323" s="111"/>
      <c r="EF58323"/>
      <c r="EG58323"/>
      <c r="EH58323"/>
      <c r="EI58323"/>
      <c r="EJ58323"/>
      <c r="EK58323"/>
    </row>
    <row r="58324" spans="1:141" s="116" customFormat="1">
      <c r="A58324" s="136"/>
      <c r="CM58324" s="111"/>
      <c r="CQ58324" s="111"/>
      <c r="EF58324"/>
      <c r="EG58324"/>
      <c r="EH58324"/>
      <c r="EI58324"/>
      <c r="EJ58324"/>
      <c r="EK58324"/>
    </row>
    <row r="58325" spans="1:141" s="116" customFormat="1">
      <c r="A58325" s="136"/>
      <c r="CM58325" s="111"/>
      <c r="CQ58325" s="111"/>
      <c r="EF58325"/>
      <c r="EG58325"/>
      <c r="EH58325"/>
      <c r="EI58325"/>
      <c r="EJ58325"/>
      <c r="EK58325"/>
    </row>
    <row r="58326" spans="1:141" s="116" customFormat="1">
      <c r="A58326" s="136"/>
      <c r="CM58326" s="111"/>
      <c r="CQ58326" s="111"/>
      <c r="EF58326"/>
      <c r="EG58326"/>
      <c r="EH58326"/>
      <c r="EI58326"/>
      <c r="EJ58326"/>
      <c r="EK58326"/>
    </row>
    <row r="58327" spans="1:141" s="116" customFormat="1">
      <c r="A58327" s="136"/>
      <c r="CM58327" s="111"/>
      <c r="CQ58327" s="111"/>
      <c r="EF58327"/>
      <c r="EG58327"/>
      <c r="EH58327"/>
      <c r="EI58327"/>
      <c r="EJ58327"/>
      <c r="EK58327"/>
    </row>
    <row r="58328" spans="1:141" s="116" customFormat="1">
      <c r="A58328" s="136"/>
      <c r="CM58328" s="111"/>
      <c r="CQ58328" s="111"/>
      <c r="EF58328"/>
      <c r="EG58328"/>
      <c r="EH58328"/>
      <c r="EI58328"/>
      <c r="EJ58328"/>
      <c r="EK58328"/>
    </row>
    <row r="58329" spans="1:141" s="116" customFormat="1">
      <c r="A58329" s="136"/>
      <c r="CM58329" s="111"/>
      <c r="CQ58329" s="111"/>
      <c r="EF58329"/>
      <c r="EG58329"/>
      <c r="EH58329"/>
      <c r="EI58329"/>
      <c r="EJ58329"/>
      <c r="EK58329"/>
    </row>
    <row r="58330" spans="1:141" s="116" customFormat="1">
      <c r="A58330" s="136"/>
      <c r="CM58330" s="111"/>
      <c r="CQ58330" s="111"/>
      <c r="EF58330"/>
      <c r="EG58330"/>
      <c r="EH58330"/>
      <c r="EI58330"/>
      <c r="EJ58330"/>
      <c r="EK58330"/>
    </row>
    <row r="58331" spans="1:141" s="116" customFormat="1">
      <c r="A58331" s="136"/>
      <c r="CM58331" s="111"/>
      <c r="CQ58331" s="111"/>
      <c r="EF58331"/>
      <c r="EG58331"/>
      <c r="EH58331"/>
      <c r="EI58331"/>
      <c r="EJ58331"/>
      <c r="EK58331"/>
    </row>
    <row r="58332" spans="1:141" s="116" customFormat="1">
      <c r="A58332" s="136"/>
      <c r="CM58332" s="111"/>
      <c r="CQ58332" s="111"/>
      <c r="EF58332"/>
      <c r="EG58332"/>
      <c r="EH58332"/>
      <c r="EI58332"/>
      <c r="EJ58332"/>
      <c r="EK58332"/>
    </row>
    <row r="58333" spans="1:141" s="116" customFormat="1">
      <c r="A58333" s="136"/>
      <c r="CM58333" s="111"/>
      <c r="CQ58333" s="111"/>
      <c r="EF58333"/>
      <c r="EG58333"/>
      <c r="EH58333"/>
      <c r="EI58333"/>
      <c r="EJ58333"/>
      <c r="EK58333"/>
    </row>
    <row r="58334" spans="1:141" s="116" customFormat="1">
      <c r="A58334" s="136"/>
      <c r="CM58334" s="111"/>
      <c r="CQ58334" s="111"/>
      <c r="EF58334"/>
      <c r="EG58334"/>
      <c r="EH58334"/>
      <c r="EI58334"/>
      <c r="EJ58334"/>
      <c r="EK58334"/>
    </row>
    <row r="58335" spans="1:141" s="116" customFormat="1">
      <c r="A58335" s="136"/>
      <c r="CM58335" s="111"/>
      <c r="CQ58335" s="111"/>
      <c r="EF58335"/>
      <c r="EG58335"/>
      <c r="EH58335"/>
      <c r="EI58335"/>
      <c r="EJ58335"/>
      <c r="EK58335"/>
    </row>
    <row r="58336" spans="1:141" s="116" customFormat="1">
      <c r="A58336" s="136"/>
      <c r="CM58336" s="111"/>
      <c r="CQ58336" s="111"/>
      <c r="EF58336"/>
      <c r="EG58336"/>
      <c r="EH58336"/>
      <c r="EI58336"/>
      <c r="EJ58336"/>
      <c r="EK58336"/>
    </row>
    <row r="58337" spans="1:141" s="116" customFormat="1">
      <c r="A58337" s="136"/>
      <c r="CM58337" s="111"/>
      <c r="CQ58337" s="111"/>
      <c r="EF58337"/>
      <c r="EG58337"/>
      <c r="EH58337"/>
      <c r="EI58337"/>
      <c r="EJ58337"/>
      <c r="EK58337"/>
    </row>
    <row r="58338" spans="1:141" s="116" customFormat="1">
      <c r="A58338" s="136"/>
      <c r="CM58338" s="111"/>
      <c r="CQ58338" s="111"/>
      <c r="EF58338"/>
      <c r="EG58338"/>
      <c r="EH58338"/>
      <c r="EI58338"/>
      <c r="EJ58338"/>
      <c r="EK58338"/>
    </row>
    <row r="58339" spans="1:141" s="116" customFormat="1">
      <c r="A58339" s="136"/>
      <c r="CM58339" s="111"/>
      <c r="CQ58339" s="111"/>
      <c r="EF58339"/>
      <c r="EG58339"/>
      <c r="EH58339"/>
      <c r="EI58339"/>
      <c r="EJ58339"/>
      <c r="EK58339"/>
    </row>
    <row r="58340" spans="1:141" s="116" customFormat="1">
      <c r="A58340" s="136"/>
      <c r="CM58340" s="111"/>
      <c r="CQ58340" s="111"/>
      <c r="EF58340"/>
      <c r="EG58340"/>
      <c r="EH58340"/>
      <c r="EI58340"/>
      <c r="EJ58340"/>
      <c r="EK58340"/>
    </row>
    <row r="58341" spans="1:141" s="116" customFormat="1">
      <c r="A58341" s="136"/>
      <c r="CM58341" s="111"/>
      <c r="CQ58341" s="111"/>
      <c r="EF58341"/>
      <c r="EG58341"/>
      <c r="EH58341"/>
      <c r="EI58341"/>
      <c r="EJ58341"/>
      <c r="EK58341"/>
    </row>
    <row r="58342" spans="1:141" s="116" customFormat="1">
      <c r="A58342" s="136"/>
      <c r="CM58342" s="111"/>
      <c r="CQ58342" s="111"/>
      <c r="EF58342"/>
      <c r="EG58342"/>
      <c r="EH58342"/>
      <c r="EI58342"/>
      <c r="EJ58342"/>
      <c r="EK58342"/>
    </row>
    <row r="58343" spans="1:141" s="116" customFormat="1">
      <c r="A58343" s="136"/>
      <c r="CM58343" s="111"/>
      <c r="CQ58343" s="111"/>
      <c r="EF58343"/>
      <c r="EG58343"/>
      <c r="EH58343"/>
      <c r="EI58343"/>
      <c r="EJ58343"/>
      <c r="EK58343"/>
    </row>
    <row r="58344" spans="1:141" s="116" customFormat="1">
      <c r="A58344" s="136"/>
      <c r="CM58344" s="111"/>
      <c r="CQ58344" s="111"/>
      <c r="EF58344"/>
      <c r="EG58344"/>
      <c r="EH58344"/>
      <c r="EI58344"/>
      <c r="EJ58344"/>
      <c r="EK58344"/>
    </row>
    <row r="58345" spans="1:141" s="116" customFormat="1">
      <c r="A58345" s="136"/>
      <c r="CM58345" s="111"/>
      <c r="CQ58345" s="111"/>
      <c r="EF58345"/>
      <c r="EG58345"/>
      <c r="EH58345"/>
      <c r="EI58345"/>
      <c r="EJ58345"/>
      <c r="EK58345"/>
    </row>
    <row r="58346" spans="1:141" s="116" customFormat="1">
      <c r="A58346" s="136"/>
      <c r="CM58346" s="111"/>
      <c r="CQ58346" s="111"/>
      <c r="EF58346"/>
      <c r="EG58346"/>
      <c r="EH58346"/>
      <c r="EI58346"/>
      <c r="EJ58346"/>
      <c r="EK58346"/>
    </row>
    <row r="58347" spans="1:141" s="116" customFormat="1">
      <c r="A58347" s="136"/>
      <c r="CM58347" s="111"/>
      <c r="CQ58347" s="111"/>
      <c r="EF58347"/>
      <c r="EG58347"/>
      <c r="EH58347"/>
      <c r="EI58347"/>
      <c r="EJ58347"/>
      <c r="EK58347"/>
    </row>
    <row r="58348" spans="1:141" s="116" customFormat="1">
      <c r="A58348" s="136"/>
      <c r="CM58348" s="111"/>
      <c r="CQ58348" s="111"/>
      <c r="EF58348"/>
      <c r="EG58348"/>
      <c r="EH58348"/>
      <c r="EI58348"/>
      <c r="EJ58348"/>
      <c r="EK58348"/>
    </row>
    <row r="58349" spans="1:141" s="116" customFormat="1">
      <c r="A58349" s="136"/>
      <c r="CM58349" s="111"/>
      <c r="CQ58349" s="111"/>
      <c r="EF58349"/>
      <c r="EG58349"/>
      <c r="EH58349"/>
      <c r="EI58349"/>
      <c r="EJ58349"/>
      <c r="EK58349"/>
    </row>
    <row r="58350" spans="1:141" s="116" customFormat="1">
      <c r="A58350" s="136"/>
      <c r="CM58350" s="111"/>
      <c r="CQ58350" s="111"/>
      <c r="EF58350"/>
      <c r="EG58350"/>
      <c r="EH58350"/>
      <c r="EI58350"/>
      <c r="EJ58350"/>
      <c r="EK58350"/>
    </row>
    <row r="58351" spans="1:141" s="116" customFormat="1">
      <c r="A58351" s="136"/>
      <c r="CM58351" s="111"/>
      <c r="CQ58351" s="111"/>
      <c r="EF58351"/>
      <c r="EG58351"/>
      <c r="EH58351"/>
      <c r="EI58351"/>
      <c r="EJ58351"/>
      <c r="EK58351"/>
    </row>
    <row r="58352" spans="1:141" s="116" customFormat="1">
      <c r="A58352" s="136"/>
      <c r="CM58352" s="111"/>
      <c r="CQ58352" s="111"/>
      <c r="EF58352"/>
      <c r="EG58352"/>
      <c r="EH58352"/>
      <c r="EI58352"/>
      <c r="EJ58352"/>
      <c r="EK58352"/>
    </row>
    <row r="58353" spans="1:141" s="116" customFormat="1">
      <c r="A58353" s="136"/>
      <c r="CM58353" s="111"/>
      <c r="CQ58353" s="111"/>
      <c r="EF58353"/>
      <c r="EG58353"/>
      <c r="EH58353"/>
      <c r="EI58353"/>
      <c r="EJ58353"/>
      <c r="EK58353"/>
    </row>
    <row r="58354" spans="1:141" s="116" customFormat="1">
      <c r="A58354" s="136"/>
      <c r="CM58354" s="111"/>
      <c r="CQ58354" s="111"/>
      <c r="EF58354"/>
      <c r="EG58354"/>
      <c r="EH58354"/>
      <c r="EI58354"/>
      <c r="EJ58354"/>
      <c r="EK58354"/>
    </row>
    <row r="58355" spans="1:141" s="116" customFormat="1">
      <c r="A58355" s="136"/>
      <c r="CM58355" s="111"/>
      <c r="CQ58355" s="111"/>
      <c r="EF58355"/>
      <c r="EG58355"/>
      <c r="EH58355"/>
      <c r="EI58355"/>
      <c r="EJ58355"/>
      <c r="EK58355"/>
    </row>
    <row r="58356" spans="1:141" s="116" customFormat="1">
      <c r="A58356" s="136"/>
      <c r="CM58356" s="111"/>
      <c r="CQ58356" s="111"/>
      <c r="EF58356"/>
      <c r="EG58356"/>
      <c r="EH58356"/>
      <c r="EI58356"/>
      <c r="EJ58356"/>
      <c r="EK58356"/>
    </row>
    <row r="58357" spans="1:141" s="116" customFormat="1">
      <c r="A58357" s="136"/>
      <c r="CM58357" s="111"/>
      <c r="CQ58357" s="111"/>
      <c r="EF58357"/>
      <c r="EG58357"/>
      <c r="EH58357"/>
      <c r="EI58357"/>
      <c r="EJ58357"/>
      <c r="EK58357"/>
    </row>
    <row r="58358" spans="1:141" s="116" customFormat="1">
      <c r="A58358" s="136"/>
      <c r="CM58358" s="111"/>
      <c r="CQ58358" s="111"/>
      <c r="EF58358"/>
      <c r="EG58358"/>
      <c r="EH58358"/>
      <c r="EI58358"/>
      <c r="EJ58358"/>
      <c r="EK58358"/>
    </row>
    <row r="58359" spans="1:141" s="116" customFormat="1">
      <c r="A58359" s="136"/>
      <c r="CM58359" s="111"/>
      <c r="CQ58359" s="111"/>
      <c r="EF58359"/>
      <c r="EG58359"/>
      <c r="EH58359"/>
      <c r="EI58359"/>
      <c r="EJ58359"/>
      <c r="EK58359"/>
    </row>
    <row r="58360" spans="1:141" s="116" customFormat="1">
      <c r="A58360" s="136"/>
      <c r="CM58360" s="111"/>
      <c r="CQ58360" s="111"/>
      <c r="EF58360"/>
      <c r="EG58360"/>
      <c r="EH58360"/>
      <c r="EI58360"/>
      <c r="EJ58360"/>
      <c r="EK58360"/>
    </row>
    <row r="58361" spans="1:141" s="116" customFormat="1">
      <c r="A58361" s="136"/>
      <c r="CM58361" s="111"/>
      <c r="CQ58361" s="111"/>
      <c r="EF58361"/>
      <c r="EG58361"/>
      <c r="EH58361"/>
      <c r="EI58361"/>
      <c r="EJ58361"/>
      <c r="EK58361"/>
    </row>
    <row r="58362" spans="1:141" s="116" customFormat="1">
      <c r="A58362" s="136"/>
      <c r="CM58362" s="111"/>
      <c r="CQ58362" s="111"/>
      <c r="EF58362"/>
      <c r="EG58362"/>
      <c r="EH58362"/>
      <c r="EI58362"/>
      <c r="EJ58362"/>
      <c r="EK58362"/>
    </row>
    <row r="58363" spans="1:141" s="116" customFormat="1">
      <c r="A58363" s="136"/>
      <c r="CM58363" s="111"/>
      <c r="CQ58363" s="111"/>
      <c r="EF58363"/>
      <c r="EG58363"/>
      <c r="EH58363"/>
      <c r="EI58363"/>
      <c r="EJ58363"/>
      <c r="EK58363"/>
    </row>
    <row r="58364" spans="1:141" s="116" customFormat="1">
      <c r="A58364" s="136"/>
      <c r="CM58364" s="111"/>
      <c r="CQ58364" s="111"/>
      <c r="EF58364"/>
      <c r="EG58364"/>
      <c r="EH58364"/>
      <c r="EI58364"/>
      <c r="EJ58364"/>
      <c r="EK58364"/>
    </row>
    <row r="58365" spans="1:141" s="116" customFormat="1">
      <c r="A58365" s="136"/>
      <c r="CM58365" s="111"/>
      <c r="CQ58365" s="111"/>
      <c r="EF58365"/>
      <c r="EG58365"/>
      <c r="EH58365"/>
      <c r="EI58365"/>
      <c r="EJ58365"/>
      <c r="EK58365"/>
    </row>
    <row r="58366" spans="1:141" s="116" customFormat="1">
      <c r="A58366" s="136"/>
      <c r="CM58366" s="111"/>
      <c r="CQ58366" s="111"/>
      <c r="EF58366"/>
      <c r="EG58366"/>
      <c r="EH58366"/>
      <c r="EI58366"/>
      <c r="EJ58366"/>
      <c r="EK58366"/>
    </row>
    <row r="58367" spans="1:141" s="116" customFormat="1">
      <c r="A58367" s="136"/>
      <c r="CM58367" s="111"/>
      <c r="CQ58367" s="111"/>
      <c r="EF58367"/>
      <c r="EG58367"/>
      <c r="EH58367"/>
      <c r="EI58367"/>
      <c r="EJ58367"/>
      <c r="EK58367"/>
    </row>
    <row r="58368" spans="1:141" s="116" customFormat="1">
      <c r="A58368" s="136"/>
      <c r="CM58368" s="111"/>
      <c r="CQ58368" s="111"/>
      <c r="EF58368"/>
      <c r="EG58368"/>
      <c r="EH58368"/>
      <c r="EI58368"/>
      <c r="EJ58368"/>
      <c r="EK58368"/>
    </row>
    <row r="58369" spans="1:141" s="116" customFormat="1">
      <c r="A58369" s="136"/>
      <c r="CM58369" s="111"/>
      <c r="CQ58369" s="111"/>
      <c r="EF58369"/>
      <c r="EG58369"/>
      <c r="EH58369"/>
      <c r="EI58369"/>
      <c r="EJ58369"/>
      <c r="EK58369"/>
    </row>
    <row r="58370" spans="1:141" s="116" customFormat="1">
      <c r="A58370" s="136"/>
      <c r="CM58370" s="111"/>
      <c r="CQ58370" s="111"/>
      <c r="EF58370"/>
      <c r="EG58370"/>
      <c r="EH58370"/>
      <c r="EI58370"/>
      <c r="EJ58370"/>
      <c r="EK58370"/>
    </row>
    <row r="58371" spans="1:141" s="116" customFormat="1">
      <c r="A58371" s="136"/>
      <c r="CM58371" s="111"/>
      <c r="CQ58371" s="111"/>
      <c r="EF58371"/>
      <c r="EG58371"/>
      <c r="EH58371"/>
      <c r="EI58371"/>
      <c r="EJ58371"/>
      <c r="EK58371"/>
    </row>
    <row r="58372" spans="1:141" s="116" customFormat="1">
      <c r="A58372" s="136"/>
      <c r="CM58372" s="111"/>
      <c r="CQ58372" s="111"/>
      <c r="EF58372"/>
      <c r="EG58372"/>
      <c r="EH58372"/>
      <c r="EI58372"/>
      <c r="EJ58372"/>
      <c r="EK58372"/>
    </row>
    <row r="58373" spans="1:141" s="116" customFormat="1">
      <c r="A58373" s="136"/>
      <c r="CM58373" s="111"/>
      <c r="CQ58373" s="111"/>
      <c r="EF58373"/>
      <c r="EG58373"/>
      <c r="EH58373"/>
      <c r="EI58373"/>
      <c r="EJ58373"/>
      <c r="EK58373"/>
    </row>
    <row r="58374" spans="1:141" s="116" customFormat="1">
      <c r="A58374" s="136"/>
      <c r="CM58374" s="111"/>
      <c r="CQ58374" s="111"/>
      <c r="EF58374"/>
      <c r="EG58374"/>
      <c r="EH58374"/>
      <c r="EI58374"/>
      <c r="EJ58374"/>
      <c r="EK58374"/>
    </row>
    <row r="58375" spans="1:141" s="116" customFormat="1">
      <c r="A58375" s="136"/>
      <c r="CM58375" s="111"/>
      <c r="CQ58375" s="111"/>
      <c r="EF58375"/>
      <c r="EG58375"/>
      <c r="EH58375"/>
      <c r="EI58375"/>
      <c r="EJ58375"/>
      <c r="EK58375"/>
    </row>
    <row r="58376" spans="1:141" s="116" customFormat="1">
      <c r="A58376" s="136"/>
      <c r="CM58376" s="111"/>
      <c r="CQ58376" s="111"/>
      <c r="EF58376"/>
      <c r="EG58376"/>
      <c r="EH58376"/>
      <c r="EI58376"/>
      <c r="EJ58376"/>
      <c r="EK58376"/>
    </row>
    <row r="58377" spans="1:141" s="116" customFormat="1">
      <c r="A58377" s="136"/>
      <c r="CM58377" s="111"/>
      <c r="CQ58377" s="111"/>
      <c r="EF58377"/>
      <c r="EG58377"/>
      <c r="EH58377"/>
      <c r="EI58377"/>
      <c r="EJ58377"/>
      <c r="EK58377"/>
    </row>
    <row r="58378" spans="1:141" s="116" customFormat="1">
      <c r="A58378" s="136"/>
      <c r="CM58378" s="111"/>
      <c r="CQ58378" s="111"/>
      <c r="EF58378"/>
      <c r="EG58378"/>
      <c r="EH58378"/>
      <c r="EI58378"/>
      <c r="EJ58378"/>
      <c r="EK58378"/>
    </row>
    <row r="58379" spans="1:141" s="116" customFormat="1">
      <c r="A58379" s="136"/>
      <c r="CM58379" s="111"/>
      <c r="CQ58379" s="111"/>
      <c r="EF58379"/>
      <c r="EG58379"/>
      <c r="EH58379"/>
      <c r="EI58379"/>
      <c r="EJ58379"/>
      <c r="EK58379"/>
    </row>
    <row r="58380" spans="1:141" s="116" customFormat="1">
      <c r="A58380" s="136"/>
      <c r="CM58380" s="111"/>
      <c r="CQ58380" s="111"/>
      <c r="EF58380"/>
      <c r="EG58380"/>
      <c r="EH58380"/>
      <c r="EI58380"/>
      <c r="EJ58380"/>
      <c r="EK58380"/>
    </row>
    <row r="58381" spans="1:141" s="116" customFormat="1">
      <c r="A58381" s="136"/>
      <c r="CM58381" s="111"/>
      <c r="CQ58381" s="111"/>
      <c r="EF58381"/>
      <c r="EG58381"/>
      <c r="EH58381"/>
      <c r="EI58381"/>
      <c r="EJ58381"/>
      <c r="EK58381"/>
    </row>
    <row r="58382" spans="1:141" s="116" customFormat="1">
      <c r="A58382" s="136"/>
      <c r="CM58382" s="111"/>
      <c r="CQ58382" s="111"/>
      <c r="EF58382"/>
      <c r="EG58382"/>
      <c r="EH58382"/>
      <c r="EI58382"/>
      <c r="EJ58382"/>
      <c r="EK58382"/>
    </row>
    <row r="58383" spans="1:141" s="116" customFormat="1">
      <c r="A58383" s="136"/>
      <c r="CM58383" s="111"/>
      <c r="CQ58383" s="111"/>
      <c r="EF58383"/>
      <c r="EG58383"/>
      <c r="EH58383"/>
      <c r="EI58383"/>
      <c r="EJ58383"/>
      <c r="EK58383"/>
    </row>
    <row r="58384" spans="1:141" s="116" customFormat="1">
      <c r="A58384" s="136"/>
      <c r="CM58384" s="111"/>
      <c r="CQ58384" s="111"/>
      <c r="EF58384"/>
      <c r="EG58384"/>
      <c r="EH58384"/>
      <c r="EI58384"/>
      <c r="EJ58384"/>
      <c r="EK58384"/>
    </row>
    <row r="58385" spans="1:141" s="116" customFormat="1">
      <c r="A58385" s="136"/>
      <c r="CM58385" s="111"/>
      <c r="CQ58385" s="111"/>
      <c r="EF58385"/>
      <c r="EG58385"/>
      <c r="EH58385"/>
      <c r="EI58385"/>
      <c r="EJ58385"/>
      <c r="EK58385"/>
    </row>
    <row r="58386" spans="1:141" s="116" customFormat="1">
      <c r="A58386" s="136"/>
      <c r="CM58386" s="111"/>
      <c r="CQ58386" s="111"/>
      <c r="EF58386"/>
      <c r="EG58386"/>
      <c r="EH58386"/>
      <c r="EI58386"/>
      <c r="EJ58386"/>
      <c r="EK58386"/>
    </row>
    <row r="58387" spans="1:141" s="116" customFormat="1">
      <c r="A58387" s="136"/>
      <c r="CM58387" s="111"/>
      <c r="CQ58387" s="111"/>
      <c r="EF58387"/>
      <c r="EG58387"/>
      <c r="EH58387"/>
      <c r="EI58387"/>
      <c r="EJ58387"/>
      <c r="EK58387"/>
    </row>
    <row r="58388" spans="1:141" s="116" customFormat="1">
      <c r="A58388" s="136"/>
      <c r="CM58388" s="111"/>
      <c r="CQ58388" s="111"/>
      <c r="EF58388"/>
      <c r="EG58388"/>
      <c r="EH58388"/>
      <c r="EI58388"/>
      <c r="EJ58388"/>
      <c r="EK58388"/>
    </row>
    <row r="58389" spans="1:141" s="116" customFormat="1">
      <c r="A58389" s="136"/>
      <c r="CM58389" s="111"/>
      <c r="CQ58389" s="111"/>
      <c r="EF58389"/>
      <c r="EG58389"/>
      <c r="EH58389"/>
      <c r="EI58389"/>
      <c r="EJ58389"/>
      <c r="EK58389"/>
    </row>
    <row r="58390" spans="1:141" s="116" customFormat="1">
      <c r="A58390" s="136"/>
      <c r="CM58390" s="111"/>
      <c r="CQ58390" s="111"/>
      <c r="EF58390"/>
      <c r="EG58390"/>
      <c r="EH58390"/>
      <c r="EI58390"/>
      <c r="EJ58390"/>
      <c r="EK58390"/>
    </row>
    <row r="58391" spans="1:141" s="116" customFormat="1">
      <c r="A58391" s="136"/>
      <c r="CM58391" s="111"/>
      <c r="CQ58391" s="111"/>
      <c r="EF58391"/>
      <c r="EG58391"/>
      <c r="EH58391"/>
      <c r="EI58391"/>
      <c r="EJ58391"/>
      <c r="EK58391"/>
    </row>
    <row r="58392" spans="1:141" s="116" customFormat="1">
      <c r="A58392" s="136"/>
      <c r="CM58392" s="111"/>
      <c r="CQ58392" s="111"/>
      <c r="EF58392"/>
      <c r="EG58392"/>
      <c r="EH58392"/>
      <c r="EI58392"/>
      <c r="EJ58392"/>
      <c r="EK58392"/>
    </row>
    <row r="58393" spans="1:141" s="116" customFormat="1">
      <c r="A58393" s="136"/>
      <c r="CM58393" s="111"/>
      <c r="CQ58393" s="111"/>
      <c r="EF58393"/>
      <c r="EG58393"/>
      <c r="EH58393"/>
      <c r="EI58393"/>
      <c r="EJ58393"/>
      <c r="EK58393"/>
    </row>
    <row r="58394" spans="1:141" s="116" customFormat="1">
      <c r="A58394" s="136"/>
      <c r="CM58394" s="111"/>
      <c r="CQ58394" s="111"/>
      <c r="EF58394"/>
      <c r="EG58394"/>
      <c r="EH58394"/>
      <c r="EI58394"/>
      <c r="EJ58394"/>
      <c r="EK58394"/>
    </row>
    <row r="58395" spans="1:141" s="116" customFormat="1">
      <c r="A58395" s="136"/>
      <c r="CM58395" s="111"/>
      <c r="CQ58395" s="111"/>
      <c r="EF58395"/>
      <c r="EG58395"/>
      <c r="EH58395"/>
      <c r="EI58395"/>
      <c r="EJ58395"/>
      <c r="EK58395"/>
    </row>
    <row r="58396" spans="1:141" s="116" customFormat="1">
      <c r="A58396" s="136"/>
      <c r="CM58396" s="111"/>
      <c r="CQ58396" s="111"/>
      <c r="EF58396"/>
      <c r="EG58396"/>
      <c r="EH58396"/>
      <c r="EI58396"/>
      <c r="EJ58396"/>
      <c r="EK58396"/>
    </row>
    <row r="58397" spans="1:141" s="116" customFormat="1">
      <c r="A58397" s="136"/>
      <c r="CM58397" s="111"/>
      <c r="CQ58397" s="111"/>
      <c r="EF58397"/>
      <c r="EG58397"/>
      <c r="EH58397"/>
      <c r="EI58397"/>
      <c r="EJ58397"/>
      <c r="EK58397"/>
    </row>
    <row r="58398" spans="1:141" s="116" customFormat="1">
      <c r="A58398" s="136"/>
      <c r="CM58398" s="111"/>
      <c r="CQ58398" s="111"/>
      <c r="EF58398"/>
      <c r="EG58398"/>
      <c r="EH58398"/>
      <c r="EI58398"/>
      <c r="EJ58398"/>
      <c r="EK58398"/>
    </row>
    <row r="58399" spans="1:141" s="116" customFormat="1">
      <c r="A58399" s="136"/>
      <c r="CM58399" s="111"/>
      <c r="CQ58399" s="111"/>
      <c r="EF58399"/>
      <c r="EG58399"/>
      <c r="EH58399"/>
      <c r="EI58399"/>
      <c r="EJ58399"/>
      <c r="EK58399"/>
    </row>
    <row r="58400" spans="1:141" s="116" customFormat="1">
      <c r="A58400" s="136"/>
      <c r="CM58400" s="111"/>
      <c r="CQ58400" s="111"/>
      <c r="EF58400"/>
      <c r="EG58400"/>
      <c r="EH58400"/>
      <c r="EI58400"/>
      <c r="EJ58400"/>
      <c r="EK58400"/>
    </row>
    <row r="58401" spans="1:141" s="116" customFormat="1">
      <c r="A58401" s="136"/>
      <c r="CM58401" s="111"/>
      <c r="CQ58401" s="111"/>
      <c r="EF58401"/>
      <c r="EG58401"/>
      <c r="EH58401"/>
      <c r="EI58401"/>
      <c r="EJ58401"/>
      <c r="EK58401"/>
    </row>
    <row r="58402" spans="1:141" s="116" customFormat="1">
      <c r="A58402" s="136"/>
      <c r="CM58402" s="111"/>
      <c r="CQ58402" s="111"/>
      <c r="EF58402"/>
      <c r="EG58402"/>
      <c r="EH58402"/>
      <c r="EI58402"/>
      <c r="EJ58402"/>
      <c r="EK58402"/>
    </row>
    <row r="58403" spans="1:141" s="116" customFormat="1">
      <c r="A58403" s="136"/>
      <c r="CM58403" s="111"/>
      <c r="CQ58403" s="111"/>
      <c r="EF58403"/>
      <c r="EG58403"/>
      <c r="EH58403"/>
      <c r="EI58403"/>
      <c r="EJ58403"/>
      <c r="EK58403"/>
    </row>
    <row r="58404" spans="1:141" s="116" customFormat="1">
      <c r="A58404" s="136"/>
      <c r="CM58404" s="111"/>
      <c r="CQ58404" s="111"/>
      <c r="EF58404"/>
      <c r="EG58404"/>
      <c r="EH58404"/>
      <c r="EI58404"/>
      <c r="EJ58404"/>
      <c r="EK58404"/>
    </row>
    <row r="58405" spans="1:141" s="116" customFormat="1">
      <c r="A58405" s="136"/>
      <c r="CM58405" s="111"/>
      <c r="CQ58405" s="111"/>
      <c r="EF58405"/>
      <c r="EG58405"/>
      <c r="EH58405"/>
      <c r="EI58405"/>
      <c r="EJ58405"/>
      <c r="EK58405"/>
    </row>
    <row r="58406" spans="1:141" s="116" customFormat="1">
      <c r="A58406" s="136"/>
      <c r="CM58406" s="111"/>
      <c r="CQ58406" s="111"/>
      <c r="EF58406"/>
      <c r="EG58406"/>
      <c r="EH58406"/>
      <c r="EI58406"/>
      <c r="EJ58406"/>
      <c r="EK58406"/>
    </row>
    <row r="58407" spans="1:141" s="116" customFormat="1">
      <c r="A58407" s="136"/>
      <c r="CM58407" s="111"/>
      <c r="CQ58407" s="111"/>
      <c r="EF58407"/>
      <c r="EG58407"/>
      <c r="EH58407"/>
      <c r="EI58407"/>
      <c r="EJ58407"/>
      <c r="EK58407"/>
    </row>
    <row r="58408" spans="1:141" s="116" customFormat="1">
      <c r="A58408" s="136"/>
      <c r="CM58408" s="111"/>
      <c r="CQ58408" s="111"/>
      <c r="EF58408"/>
      <c r="EG58408"/>
      <c r="EH58408"/>
      <c r="EI58408"/>
      <c r="EJ58408"/>
      <c r="EK58408"/>
    </row>
    <row r="58409" spans="1:141" s="116" customFormat="1">
      <c r="A58409" s="136"/>
      <c r="CM58409" s="111"/>
      <c r="CQ58409" s="111"/>
      <c r="EF58409"/>
      <c r="EG58409"/>
      <c r="EH58409"/>
      <c r="EI58409"/>
      <c r="EJ58409"/>
      <c r="EK58409"/>
    </row>
    <row r="58410" spans="1:141" s="116" customFormat="1">
      <c r="A58410" s="136"/>
      <c r="CM58410" s="111"/>
      <c r="CQ58410" s="111"/>
      <c r="EF58410"/>
      <c r="EG58410"/>
      <c r="EH58410"/>
      <c r="EI58410"/>
      <c r="EJ58410"/>
      <c r="EK58410"/>
    </row>
    <row r="58411" spans="1:141" s="116" customFormat="1">
      <c r="A58411" s="136"/>
      <c r="CM58411" s="111"/>
      <c r="CQ58411" s="111"/>
      <c r="EF58411"/>
      <c r="EG58411"/>
      <c r="EH58411"/>
      <c r="EI58411"/>
      <c r="EJ58411"/>
      <c r="EK58411"/>
    </row>
    <row r="58412" spans="1:141" s="116" customFormat="1">
      <c r="A58412" s="136"/>
      <c r="CM58412" s="111"/>
      <c r="CQ58412" s="111"/>
      <c r="EF58412"/>
      <c r="EG58412"/>
      <c r="EH58412"/>
      <c r="EI58412"/>
      <c r="EJ58412"/>
      <c r="EK58412"/>
    </row>
    <row r="58413" spans="1:141" s="116" customFormat="1">
      <c r="A58413" s="136"/>
      <c r="CM58413" s="111"/>
      <c r="CQ58413" s="111"/>
      <c r="EF58413"/>
      <c r="EG58413"/>
      <c r="EH58413"/>
      <c r="EI58413"/>
      <c r="EJ58413"/>
      <c r="EK58413"/>
    </row>
    <row r="58414" spans="1:141" s="116" customFormat="1">
      <c r="A58414" s="136"/>
      <c r="CM58414" s="111"/>
      <c r="CQ58414" s="111"/>
      <c r="EF58414"/>
      <c r="EG58414"/>
      <c r="EH58414"/>
      <c r="EI58414"/>
      <c r="EJ58414"/>
      <c r="EK58414"/>
    </row>
    <row r="58415" spans="1:141" s="116" customFormat="1">
      <c r="A58415" s="136"/>
      <c r="CM58415" s="111"/>
      <c r="CQ58415" s="111"/>
      <c r="EF58415"/>
      <c r="EG58415"/>
      <c r="EH58415"/>
      <c r="EI58415"/>
      <c r="EJ58415"/>
      <c r="EK58415"/>
    </row>
    <row r="58416" spans="1:141" s="116" customFormat="1">
      <c r="A58416" s="136"/>
      <c r="CM58416" s="111"/>
      <c r="CQ58416" s="111"/>
      <c r="EF58416"/>
      <c r="EG58416"/>
      <c r="EH58416"/>
      <c r="EI58416"/>
      <c r="EJ58416"/>
      <c r="EK58416"/>
    </row>
    <row r="58417" spans="1:141" s="116" customFormat="1">
      <c r="A58417" s="136"/>
      <c r="CM58417" s="111"/>
      <c r="CQ58417" s="111"/>
      <c r="EF58417"/>
      <c r="EG58417"/>
      <c r="EH58417"/>
      <c r="EI58417"/>
      <c r="EJ58417"/>
      <c r="EK58417"/>
    </row>
    <row r="58418" spans="1:141" s="116" customFormat="1">
      <c r="A58418" s="136"/>
      <c r="CM58418" s="111"/>
      <c r="CQ58418" s="111"/>
      <c r="EF58418"/>
      <c r="EG58418"/>
      <c r="EH58418"/>
      <c r="EI58418"/>
      <c r="EJ58418"/>
      <c r="EK58418"/>
    </row>
    <row r="58419" spans="1:141" s="116" customFormat="1">
      <c r="A58419" s="136"/>
      <c r="CM58419" s="111"/>
      <c r="CQ58419" s="111"/>
      <c r="EF58419"/>
      <c r="EG58419"/>
      <c r="EH58419"/>
      <c r="EI58419"/>
      <c r="EJ58419"/>
      <c r="EK58419"/>
    </row>
    <row r="58420" spans="1:141" s="116" customFormat="1">
      <c r="A58420" s="136"/>
      <c r="CM58420" s="111"/>
      <c r="CQ58420" s="111"/>
      <c r="EF58420"/>
      <c r="EG58420"/>
      <c r="EH58420"/>
      <c r="EI58420"/>
      <c r="EJ58420"/>
      <c r="EK58420"/>
    </row>
    <row r="58421" spans="1:141" s="116" customFormat="1">
      <c r="A58421" s="136"/>
      <c r="CM58421" s="111"/>
      <c r="CQ58421" s="111"/>
      <c r="EF58421"/>
      <c r="EG58421"/>
      <c r="EH58421"/>
      <c r="EI58421"/>
      <c r="EJ58421"/>
      <c r="EK58421"/>
    </row>
    <row r="58422" spans="1:141" s="116" customFormat="1">
      <c r="A58422" s="136"/>
      <c r="CM58422" s="111"/>
      <c r="CQ58422" s="111"/>
      <c r="EF58422"/>
      <c r="EG58422"/>
      <c r="EH58422"/>
      <c r="EI58422"/>
      <c r="EJ58422"/>
      <c r="EK58422"/>
    </row>
    <row r="58423" spans="1:141" s="116" customFormat="1">
      <c r="A58423" s="136"/>
      <c r="CM58423" s="111"/>
      <c r="CQ58423" s="111"/>
      <c r="EF58423"/>
      <c r="EG58423"/>
      <c r="EH58423"/>
      <c r="EI58423"/>
      <c r="EJ58423"/>
      <c r="EK58423"/>
    </row>
    <row r="58424" spans="1:141" s="116" customFormat="1">
      <c r="A58424" s="136"/>
      <c r="CM58424" s="111"/>
      <c r="CQ58424" s="111"/>
      <c r="EF58424"/>
      <c r="EG58424"/>
      <c r="EH58424"/>
      <c r="EI58424"/>
      <c r="EJ58424"/>
      <c r="EK58424"/>
    </row>
    <row r="58425" spans="1:141" s="116" customFormat="1">
      <c r="A58425" s="136"/>
      <c r="CM58425" s="111"/>
      <c r="CQ58425" s="111"/>
      <c r="EF58425"/>
      <c r="EG58425"/>
      <c r="EH58425"/>
      <c r="EI58425"/>
      <c r="EJ58425"/>
      <c r="EK58425"/>
    </row>
    <row r="58426" spans="1:141" s="116" customFormat="1">
      <c r="A58426" s="136"/>
      <c r="CM58426" s="111"/>
      <c r="CQ58426" s="111"/>
      <c r="EF58426"/>
      <c r="EG58426"/>
      <c r="EH58426"/>
      <c r="EI58426"/>
      <c r="EJ58426"/>
      <c r="EK58426"/>
    </row>
    <row r="58427" spans="1:141" s="116" customFormat="1">
      <c r="A58427" s="136"/>
      <c r="CM58427" s="111"/>
      <c r="CQ58427" s="111"/>
      <c r="EF58427"/>
      <c r="EG58427"/>
      <c r="EH58427"/>
      <c r="EI58427"/>
      <c r="EJ58427"/>
      <c r="EK58427"/>
    </row>
    <row r="58428" spans="1:141" s="116" customFormat="1">
      <c r="A58428" s="136"/>
      <c r="CM58428" s="111"/>
      <c r="CQ58428" s="111"/>
      <c r="EF58428"/>
      <c r="EG58428"/>
      <c r="EH58428"/>
      <c r="EI58428"/>
      <c r="EJ58428"/>
      <c r="EK58428"/>
    </row>
    <row r="58429" spans="1:141" s="116" customFormat="1">
      <c r="A58429" s="136"/>
      <c r="CM58429" s="111"/>
      <c r="CQ58429" s="111"/>
      <c r="EF58429"/>
      <c r="EG58429"/>
      <c r="EH58429"/>
      <c r="EI58429"/>
      <c r="EJ58429"/>
      <c r="EK58429"/>
    </row>
    <row r="58430" spans="1:141" s="116" customFormat="1">
      <c r="A58430" s="136"/>
      <c r="CM58430" s="111"/>
      <c r="CQ58430" s="111"/>
      <c r="EF58430"/>
      <c r="EG58430"/>
      <c r="EH58430"/>
      <c r="EI58430"/>
      <c r="EJ58430"/>
      <c r="EK58430"/>
    </row>
    <row r="58431" spans="1:141" s="116" customFormat="1">
      <c r="A58431" s="136"/>
      <c r="CM58431" s="111"/>
      <c r="CQ58431" s="111"/>
      <c r="EF58431"/>
      <c r="EG58431"/>
      <c r="EH58431"/>
      <c r="EI58431"/>
      <c r="EJ58431"/>
      <c r="EK58431"/>
    </row>
    <row r="58432" spans="1:141" s="116" customFormat="1">
      <c r="A58432" s="136"/>
      <c r="CM58432" s="111"/>
      <c r="CQ58432" s="111"/>
      <c r="EF58432"/>
      <c r="EG58432"/>
      <c r="EH58432"/>
      <c r="EI58432"/>
      <c r="EJ58432"/>
      <c r="EK58432"/>
    </row>
    <row r="58433" spans="1:141" s="116" customFormat="1">
      <c r="A58433" s="136"/>
      <c r="CM58433" s="111"/>
      <c r="CQ58433" s="111"/>
      <c r="EF58433"/>
      <c r="EG58433"/>
      <c r="EH58433"/>
      <c r="EI58433"/>
      <c r="EJ58433"/>
      <c r="EK58433"/>
    </row>
    <row r="58434" spans="1:141" s="116" customFormat="1">
      <c r="A58434" s="136"/>
      <c r="CM58434" s="111"/>
      <c r="CQ58434" s="111"/>
      <c r="EF58434"/>
      <c r="EG58434"/>
      <c r="EH58434"/>
      <c r="EI58434"/>
      <c r="EJ58434"/>
      <c r="EK58434"/>
    </row>
    <row r="58435" spans="1:141" s="116" customFormat="1">
      <c r="A58435" s="136"/>
      <c r="CM58435" s="111"/>
      <c r="CQ58435" s="111"/>
      <c r="EF58435"/>
      <c r="EG58435"/>
      <c r="EH58435"/>
      <c r="EI58435"/>
      <c r="EJ58435"/>
      <c r="EK58435"/>
    </row>
    <row r="58436" spans="1:141" s="116" customFormat="1">
      <c r="A58436" s="136"/>
      <c r="CM58436" s="111"/>
      <c r="CQ58436" s="111"/>
      <c r="EF58436"/>
      <c r="EG58436"/>
      <c r="EH58436"/>
      <c r="EI58436"/>
      <c r="EJ58436"/>
      <c r="EK58436"/>
    </row>
    <row r="58437" spans="1:141" s="116" customFormat="1">
      <c r="A58437" s="136"/>
      <c r="CM58437" s="111"/>
      <c r="CQ58437" s="111"/>
      <c r="EF58437"/>
      <c r="EG58437"/>
      <c r="EH58437"/>
      <c r="EI58437"/>
      <c r="EJ58437"/>
      <c r="EK58437"/>
    </row>
    <row r="58438" spans="1:141" s="116" customFormat="1">
      <c r="A58438" s="136"/>
      <c r="CM58438" s="111"/>
      <c r="CQ58438" s="111"/>
      <c r="EF58438"/>
      <c r="EG58438"/>
      <c r="EH58438"/>
      <c r="EI58438"/>
      <c r="EJ58438"/>
      <c r="EK58438"/>
    </row>
    <row r="58439" spans="1:141" s="116" customFormat="1">
      <c r="A58439" s="136"/>
      <c r="CM58439" s="111"/>
      <c r="CQ58439" s="111"/>
      <c r="EF58439"/>
      <c r="EG58439"/>
      <c r="EH58439"/>
      <c r="EI58439"/>
      <c r="EJ58439"/>
      <c r="EK58439"/>
    </row>
    <row r="58440" spans="1:141" s="116" customFormat="1">
      <c r="A58440" s="136"/>
      <c r="CM58440" s="111"/>
      <c r="CQ58440" s="111"/>
      <c r="EF58440"/>
      <c r="EG58440"/>
      <c r="EH58440"/>
      <c r="EI58440"/>
      <c r="EJ58440"/>
      <c r="EK58440"/>
    </row>
    <row r="58441" spans="1:141" s="116" customFormat="1">
      <c r="A58441" s="136"/>
      <c r="CM58441" s="111"/>
      <c r="CQ58441" s="111"/>
      <c r="EF58441"/>
      <c r="EG58441"/>
      <c r="EH58441"/>
      <c r="EI58441"/>
      <c r="EJ58441"/>
      <c r="EK58441"/>
    </row>
    <row r="58442" spans="1:141" s="116" customFormat="1">
      <c r="A58442" s="136"/>
      <c r="CM58442" s="111"/>
      <c r="CQ58442" s="111"/>
      <c r="EF58442"/>
      <c r="EG58442"/>
      <c r="EH58442"/>
      <c r="EI58442"/>
      <c r="EJ58442"/>
      <c r="EK58442"/>
    </row>
    <row r="58443" spans="1:141" s="116" customFormat="1">
      <c r="A58443" s="136"/>
      <c r="CM58443" s="111"/>
      <c r="CQ58443" s="111"/>
      <c r="EF58443"/>
      <c r="EG58443"/>
      <c r="EH58443"/>
      <c r="EI58443"/>
      <c r="EJ58443"/>
      <c r="EK58443"/>
    </row>
    <row r="58444" spans="1:141" s="116" customFormat="1">
      <c r="A58444" s="136"/>
      <c r="CM58444" s="111"/>
      <c r="CQ58444" s="111"/>
      <c r="EF58444"/>
      <c r="EG58444"/>
      <c r="EH58444"/>
      <c r="EI58444"/>
      <c r="EJ58444"/>
      <c r="EK58444"/>
    </row>
    <row r="58445" spans="1:141" s="116" customFormat="1">
      <c r="A58445" s="136"/>
      <c r="CM58445" s="111"/>
      <c r="CQ58445" s="111"/>
      <c r="EF58445"/>
      <c r="EG58445"/>
      <c r="EH58445"/>
      <c r="EI58445"/>
      <c r="EJ58445"/>
      <c r="EK58445"/>
    </row>
    <row r="58446" spans="1:141" s="116" customFormat="1">
      <c r="A58446" s="136"/>
      <c r="CM58446" s="111"/>
      <c r="CQ58446" s="111"/>
      <c r="EF58446"/>
      <c r="EG58446"/>
      <c r="EH58446"/>
      <c r="EI58446"/>
      <c r="EJ58446"/>
      <c r="EK58446"/>
    </row>
    <row r="58447" spans="1:141" s="116" customFormat="1">
      <c r="A58447" s="136"/>
      <c r="CM58447" s="111"/>
      <c r="CQ58447" s="111"/>
      <c r="EF58447"/>
      <c r="EG58447"/>
      <c r="EH58447"/>
      <c r="EI58447"/>
      <c r="EJ58447"/>
      <c r="EK58447"/>
    </row>
    <row r="58448" spans="1:141" s="116" customFormat="1">
      <c r="A58448" s="136"/>
      <c r="CM58448" s="111"/>
      <c r="CQ58448" s="111"/>
      <c r="EF58448"/>
      <c r="EG58448"/>
      <c r="EH58448"/>
      <c r="EI58448"/>
      <c r="EJ58448"/>
      <c r="EK58448"/>
    </row>
    <row r="58449" spans="1:141" s="116" customFormat="1">
      <c r="A58449" s="136"/>
      <c r="CM58449" s="111"/>
      <c r="CQ58449" s="111"/>
      <c r="EF58449"/>
      <c r="EG58449"/>
      <c r="EH58449"/>
      <c r="EI58449"/>
      <c r="EJ58449"/>
      <c r="EK58449"/>
    </row>
    <row r="58450" spans="1:141" s="116" customFormat="1">
      <c r="A58450" s="136"/>
      <c r="CM58450" s="111"/>
      <c r="CQ58450" s="111"/>
      <c r="EF58450"/>
      <c r="EG58450"/>
      <c r="EH58450"/>
      <c r="EI58450"/>
      <c r="EJ58450"/>
      <c r="EK58450"/>
    </row>
    <row r="58451" spans="1:141" s="116" customFormat="1">
      <c r="A58451" s="136"/>
      <c r="CM58451" s="111"/>
      <c r="CQ58451" s="111"/>
      <c r="EF58451"/>
      <c r="EG58451"/>
      <c r="EH58451"/>
      <c r="EI58451"/>
      <c r="EJ58451"/>
      <c r="EK58451"/>
    </row>
    <row r="58452" spans="1:141" s="116" customFormat="1">
      <c r="A58452" s="136"/>
      <c r="CM58452" s="111"/>
      <c r="CQ58452" s="111"/>
      <c r="EF58452"/>
      <c r="EG58452"/>
      <c r="EH58452"/>
      <c r="EI58452"/>
      <c r="EJ58452"/>
      <c r="EK58452"/>
    </row>
    <row r="58453" spans="1:141" s="116" customFormat="1">
      <c r="A58453" s="136"/>
      <c r="CM58453" s="111"/>
      <c r="CQ58453" s="111"/>
      <c r="EF58453"/>
      <c r="EG58453"/>
      <c r="EH58453"/>
      <c r="EI58453"/>
      <c r="EJ58453"/>
      <c r="EK58453"/>
    </row>
    <row r="58454" spans="1:141" s="116" customFormat="1">
      <c r="A58454" s="136"/>
      <c r="CM58454" s="111"/>
      <c r="CQ58454" s="111"/>
      <c r="EF58454"/>
      <c r="EG58454"/>
      <c r="EH58454"/>
      <c r="EI58454"/>
      <c r="EJ58454"/>
      <c r="EK58454"/>
    </row>
    <row r="58455" spans="1:141" s="116" customFormat="1">
      <c r="A58455" s="136"/>
      <c r="CM58455" s="111"/>
      <c r="CQ58455" s="111"/>
      <c r="EF58455"/>
      <c r="EG58455"/>
      <c r="EH58455"/>
      <c r="EI58455"/>
      <c r="EJ58455"/>
      <c r="EK58455"/>
    </row>
    <row r="58456" spans="1:141" s="116" customFormat="1">
      <c r="A58456" s="136"/>
      <c r="CM58456" s="111"/>
      <c r="CQ58456" s="111"/>
      <c r="EF58456"/>
      <c r="EG58456"/>
      <c r="EH58456"/>
      <c r="EI58456"/>
      <c r="EJ58456"/>
      <c r="EK58456"/>
    </row>
    <row r="58457" spans="1:141" s="116" customFormat="1">
      <c r="A58457" s="136"/>
      <c r="CM58457" s="111"/>
      <c r="CQ58457" s="111"/>
      <c r="EF58457"/>
      <c r="EG58457"/>
      <c r="EH58457"/>
      <c r="EI58457"/>
      <c r="EJ58457"/>
      <c r="EK58457"/>
    </row>
    <row r="58458" spans="1:141" s="116" customFormat="1">
      <c r="A58458" s="136"/>
      <c r="CM58458" s="111"/>
      <c r="CQ58458" s="111"/>
      <c r="EF58458"/>
      <c r="EG58458"/>
      <c r="EH58458"/>
      <c r="EI58458"/>
      <c r="EJ58458"/>
      <c r="EK58458"/>
    </row>
    <row r="58459" spans="1:141" s="116" customFormat="1">
      <c r="A58459" s="136"/>
      <c r="CM58459" s="111"/>
      <c r="CQ58459" s="111"/>
      <c r="EF58459"/>
      <c r="EG58459"/>
      <c r="EH58459"/>
      <c r="EI58459"/>
      <c r="EJ58459"/>
      <c r="EK58459"/>
    </row>
    <row r="58460" spans="1:141" s="116" customFormat="1">
      <c r="A58460" s="136"/>
      <c r="CM58460" s="111"/>
      <c r="CQ58460" s="111"/>
      <c r="EF58460"/>
      <c r="EG58460"/>
      <c r="EH58460"/>
      <c r="EI58460"/>
      <c r="EJ58460"/>
      <c r="EK58460"/>
    </row>
    <row r="58461" spans="1:141" s="116" customFormat="1">
      <c r="A58461" s="136"/>
      <c r="CM58461" s="111"/>
      <c r="CQ58461" s="111"/>
      <c r="EF58461"/>
      <c r="EG58461"/>
      <c r="EH58461"/>
      <c r="EI58461"/>
      <c r="EJ58461"/>
      <c r="EK58461"/>
    </row>
    <row r="58462" spans="1:141" s="116" customFormat="1">
      <c r="A58462" s="136"/>
      <c r="CM58462" s="111"/>
      <c r="CQ58462" s="111"/>
      <c r="EF58462"/>
      <c r="EG58462"/>
      <c r="EH58462"/>
      <c r="EI58462"/>
      <c r="EJ58462"/>
      <c r="EK58462"/>
    </row>
    <row r="58463" spans="1:141" s="116" customFormat="1">
      <c r="A58463" s="136"/>
      <c r="CM58463" s="111"/>
      <c r="CQ58463" s="111"/>
      <c r="EF58463"/>
      <c r="EG58463"/>
      <c r="EH58463"/>
      <c r="EI58463"/>
      <c r="EJ58463"/>
      <c r="EK58463"/>
    </row>
    <row r="58464" spans="1:141" s="116" customFormat="1">
      <c r="A58464" s="136"/>
      <c r="CM58464" s="111"/>
      <c r="CQ58464" s="111"/>
      <c r="EF58464"/>
      <c r="EG58464"/>
      <c r="EH58464"/>
      <c r="EI58464"/>
      <c r="EJ58464"/>
      <c r="EK58464"/>
    </row>
    <row r="58465" spans="1:141" s="116" customFormat="1">
      <c r="A58465" s="136"/>
      <c r="CM58465" s="111"/>
      <c r="CQ58465" s="111"/>
      <c r="EF58465"/>
      <c r="EG58465"/>
      <c r="EH58465"/>
      <c r="EI58465"/>
      <c r="EJ58465"/>
      <c r="EK58465"/>
    </row>
    <row r="58466" spans="1:141" s="116" customFormat="1">
      <c r="A58466" s="136"/>
      <c r="CM58466" s="111"/>
      <c r="CQ58466" s="111"/>
      <c r="EF58466"/>
      <c r="EG58466"/>
      <c r="EH58466"/>
      <c r="EI58466"/>
      <c r="EJ58466"/>
      <c r="EK58466"/>
    </row>
    <row r="58467" spans="1:141" s="116" customFormat="1">
      <c r="A58467" s="136"/>
      <c r="CM58467" s="111"/>
      <c r="CQ58467" s="111"/>
      <c r="EF58467"/>
      <c r="EG58467"/>
      <c r="EH58467"/>
      <c r="EI58467"/>
      <c r="EJ58467"/>
      <c r="EK58467"/>
    </row>
    <row r="58468" spans="1:141" s="116" customFormat="1">
      <c r="A58468" s="136"/>
      <c r="CM58468" s="111"/>
      <c r="CQ58468" s="111"/>
      <c r="EF58468"/>
      <c r="EG58468"/>
      <c r="EH58468"/>
      <c r="EI58468"/>
      <c r="EJ58468"/>
      <c r="EK58468"/>
    </row>
    <row r="58469" spans="1:141" s="116" customFormat="1">
      <c r="A58469" s="136"/>
      <c r="CM58469" s="111"/>
      <c r="CQ58469" s="111"/>
      <c r="EF58469"/>
      <c r="EG58469"/>
      <c r="EH58469"/>
      <c r="EI58469"/>
      <c r="EJ58469"/>
      <c r="EK58469"/>
    </row>
    <row r="58470" spans="1:141" s="116" customFormat="1">
      <c r="A58470" s="136"/>
      <c r="CM58470" s="111"/>
      <c r="CQ58470" s="111"/>
      <c r="EF58470"/>
      <c r="EG58470"/>
      <c r="EH58470"/>
      <c r="EI58470"/>
      <c r="EJ58470"/>
      <c r="EK58470"/>
    </row>
    <row r="58471" spans="1:141" s="116" customFormat="1">
      <c r="A58471" s="136"/>
      <c r="CM58471" s="111"/>
      <c r="CQ58471" s="111"/>
      <c r="EF58471"/>
      <c r="EG58471"/>
      <c r="EH58471"/>
      <c r="EI58471"/>
      <c r="EJ58471"/>
      <c r="EK58471"/>
    </row>
    <row r="58472" spans="1:141" s="116" customFormat="1">
      <c r="A58472" s="136"/>
      <c r="CM58472" s="111"/>
      <c r="CQ58472" s="111"/>
      <c r="EF58472"/>
      <c r="EG58472"/>
      <c r="EH58472"/>
      <c r="EI58472"/>
      <c r="EJ58472"/>
      <c r="EK58472"/>
    </row>
    <row r="58473" spans="1:141" s="116" customFormat="1">
      <c r="A58473" s="136"/>
      <c r="CM58473" s="111"/>
      <c r="CQ58473" s="111"/>
      <c r="EF58473"/>
      <c r="EG58473"/>
      <c r="EH58473"/>
      <c r="EI58473"/>
      <c r="EJ58473"/>
      <c r="EK58473"/>
    </row>
    <row r="58474" spans="1:141" s="116" customFormat="1">
      <c r="A58474" s="136"/>
      <c r="CM58474" s="111"/>
      <c r="CQ58474" s="111"/>
      <c r="EF58474"/>
      <c r="EG58474"/>
      <c r="EH58474"/>
      <c r="EI58474"/>
      <c r="EJ58474"/>
      <c r="EK58474"/>
    </row>
    <row r="58475" spans="1:141" s="116" customFormat="1">
      <c r="A58475" s="136"/>
      <c r="CM58475" s="111"/>
      <c r="CQ58475" s="111"/>
      <c r="EF58475"/>
      <c r="EG58475"/>
      <c r="EH58475"/>
      <c r="EI58475"/>
      <c r="EJ58475"/>
      <c r="EK58475"/>
    </row>
    <row r="58476" spans="1:141" s="116" customFormat="1">
      <c r="A58476" s="136"/>
      <c r="CM58476" s="111"/>
      <c r="CQ58476" s="111"/>
      <c r="EF58476"/>
      <c r="EG58476"/>
      <c r="EH58476"/>
      <c r="EI58476"/>
      <c r="EJ58476"/>
      <c r="EK58476"/>
    </row>
    <row r="58477" spans="1:141" s="116" customFormat="1">
      <c r="A58477" s="136"/>
      <c r="CM58477" s="111"/>
      <c r="CQ58477" s="111"/>
      <c r="EF58477"/>
      <c r="EG58477"/>
      <c r="EH58477"/>
      <c r="EI58477"/>
      <c r="EJ58477"/>
      <c r="EK58477"/>
    </row>
    <row r="58478" spans="1:141" s="116" customFormat="1">
      <c r="A58478" s="136"/>
      <c r="CM58478" s="111"/>
      <c r="CQ58478" s="111"/>
      <c r="EF58478"/>
      <c r="EG58478"/>
      <c r="EH58478"/>
      <c r="EI58478"/>
      <c r="EJ58478"/>
      <c r="EK58478"/>
    </row>
    <row r="58479" spans="1:141" s="116" customFormat="1">
      <c r="A58479" s="136"/>
      <c r="CM58479" s="111"/>
      <c r="CQ58479" s="111"/>
      <c r="EF58479"/>
      <c r="EG58479"/>
      <c r="EH58479"/>
      <c r="EI58479"/>
      <c r="EJ58479"/>
      <c r="EK58479"/>
    </row>
    <row r="58480" spans="1:141" s="116" customFormat="1">
      <c r="A58480" s="136"/>
      <c r="CM58480" s="111"/>
      <c r="CQ58480" s="111"/>
      <c r="EF58480"/>
      <c r="EG58480"/>
      <c r="EH58480"/>
      <c r="EI58480"/>
      <c r="EJ58480"/>
      <c r="EK58480"/>
    </row>
    <row r="58481" spans="1:141" s="116" customFormat="1">
      <c r="A58481" s="136"/>
      <c r="CM58481" s="111"/>
      <c r="CQ58481" s="111"/>
      <c r="EF58481"/>
      <c r="EG58481"/>
      <c r="EH58481"/>
      <c r="EI58481"/>
      <c r="EJ58481"/>
      <c r="EK58481"/>
    </row>
    <row r="58482" spans="1:141" s="116" customFormat="1">
      <c r="A58482" s="136"/>
      <c r="CM58482" s="111"/>
      <c r="CQ58482" s="111"/>
      <c r="EF58482"/>
      <c r="EG58482"/>
      <c r="EH58482"/>
      <c r="EI58482"/>
      <c r="EJ58482"/>
      <c r="EK58482"/>
    </row>
    <row r="58483" spans="1:141" s="116" customFormat="1">
      <c r="A58483" s="136"/>
      <c r="CM58483" s="111"/>
      <c r="CQ58483" s="111"/>
      <c r="EF58483"/>
      <c r="EG58483"/>
      <c r="EH58483"/>
      <c r="EI58483"/>
      <c r="EJ58483"/>
      <c r="EK58483"/>
    </row>
    <row r="58484" spans="1:141" s="116" customFormat="1">
      <c r="A58484" s="136"/>
      <c r="CM58484" s="111"/>
      <c r="CQ58484" s="111"/>
      <c r="EF58484"/>
      <c r="EG58484"/>
      <c r="EH58484"/>
      <c r="EI58484"/>
      <c r="EJ58484"/>
      <c r="EK58484"/>
    </row>
    <row r="58485" spans="1:141" s="116" customFormat="1">
      <c r="A58485" s="136"/>
      <c r="CM58485" s="111"/>
      <c r="CQ58485" s="111"/>
      <c r="EF58485"/>
      <c r="EG58485"/>
      <c r="EH58485"/>
      <c r="EI58485"/>
      <c r="EJ58485"/>
      <c r="EK58485"/>
    </row>
    <row r="58486" spans="1:141" s="116" customFormat="1">
      <c r="A58486" s="136"/>
      <c r="CM58486" s="111"/>
      <c r="CQ58486" s="111"/>
      <c r="EF58486"/>
      <c r="EG58486"/>
      <c r="EH58486"/>
      <c r="EI58486"/>
      <c r="EJ58486"/>
      <c r="EK58486"/>
    </row>
    <row r="58487" spans="1:141" s="116" customFormat="1">
      <c r="A58487" s="136"/>
      <c r="CM58487" s="111"/>
      <c r="CQ58487" s="111"/>
      <c r="EF58487"/>
      <c r="EG58487"/>
      <c r="EH58487"/>
      <c r="EI58487"/>
      <c r="EJ58487"/>
      <c r="EK58487"/>
    </row>
    <row r="58488" spans="1:141" s="116" customFormat="1">
      <c r="A58488" s="136"/>
      <c r="CM58488" s="111"/>
      <c r="CQ58488" s="111"/>
      <c r="EF58488"/>
      <c r="EG58488"/>
      <c r="EH58488"/>
      <c r="EI58488"/>
      <c r="EJ58488"/>
      <c r="EK58488"/>
    </row>
    <row r="58489" spans="1:141" s="116" customFormat="1">
      <c r="A58489" s="136"/>
      <c r="CM58489" s="111"/>
      <c r="CQ58489" s="111"/>
      <c r="EF58489"/>
      <c r="EG58489"/>
      <c r="EH58489"/>
      <c r="EI58489"/>
      <c r="EJ58489"/>
      <c r="EK58489"/>
    </row>
    <row r="58490" spans="1:141" s="116" customFormat="1">
      <c r="A58490" s="136"/>
      <c r="CM58490" s="111"/>
      <c r="CQ58490" s="111"/>
      <c r="EF58490"/>
      <c r="EG58490"/>
      <c r="EH58490"/>
      <c r="EI58490"/>
      <c r="EJ58490"/>
      <c r="EK58490"/>
    </row>
    <row r="58491" spans="1:141" s="116" customFormat="1">
      <c r="A58491" s="136"/>
      <c r="CM58491" s="111"/>
      <c r="CQ58491" s="111"/>
      <c r="EF58491"/>
      <c r="EG58491"/>
      <c r="EH58491"/>
      <c r="EI58491"/>
      <c r="EJ58491"/>
      <c r="EK58491"/>
    </row>
    <row r="58492" spans="1:141" s="116" customFormat="1">
      <c r="A58492" s="136"/>
      <c r="CM58492" s="111"/>
      <c r="CQ58492" s="111"/>
      <c r="EF58492"/>
      <c r="EG58492"/>
      <c r="EH58492"/>
      <c r="EI58492"/>
      <c r="EJ58492"/>
      <c r="EK58492"/>
    </row>
    <row r="58493" spans="1:141" s="116" customFormat="1">
      <c r="A58493" s="136"/>
      <c r="CM58493" s="111"/>
      <c r="CQ58493" s="111"/>
      <c r="EF58493"/>
      <c r="EG58493"/>
      <c r="EH58493"/>
      <c r="EI58493"/>
      <c r="EJ58493"/>
      <c r="EK58493"/>
    </row>
    <row r="58494" spans="1:141" s="116" customFormat="1">
      <c r="A58494" s="136"/>
      <c r="CM58494" s="111"/>
      <c r="CQ58494" s="111"/>
      <c r="EF58494"/>
      <c r="EG58494"/>
      <c r="EH58494"/>
      <c r="EI58494"/>
      <c r="EJ58494"/>
      <c r="EK58494"/>
    </row>
    <row r="58495" spans="1:141" s="116" customFormat="1">
      <c r="A58495" s="136"/>
      <c r="CM58495" s="111"/>
      <c r="CQ58495" s="111"/>
      <c r="EF58495"/>
      <c r="EG58495"/>
      <c r="EH58495"/>
      <c r="EI58495"/>
      <c r="EJ58495"/>
      <c r="EK58495"/>
    </row>
    <row r="58496" spans="1:141" s="116" customFormat="1">
      <c r="A58496" s="136"/>
      <c r="CM58496" s="111"/>
      <c r="CQ58496" s="111"/>
      <c r="EF58496"/>
      <c r="EG58496"/>
      <c r="EH58496"/>
      <c r="EI58496"/>
      <c r="EJ58496"/>
      <c r="EK58496"/>
    </row>
    <row r="58497" spans="1:141" s="116" customFormat="1">
      <c r="A58497" s="136"/>
      <c r="CM58497" s="111"/>
      <c r="CQ58497" s="111"/>
      <c r="EF58497"/>
      <c r="EG58497"/>
      <c r="EH58497"/>
      <c r="EI58497"/>
      <c r="EJ58497"/>
      <c r="EK58497"/>
    </row>
    <row r="58498" spans="1:141" s="116" customFormat="1">
      <c r="A58498" s="136"/>
      <c r="CM58498" s="111"/>
      <c r="CQ58498" s="111"/>
      <c r="EF58498"/>
      <c r="EG58498"/>
      <c r="EH58498"/>
      <c r="EI58498"/>
      <c r="EJ58498"/>
      <c r="EK58498"/>
    </row>
    <row r="58499" spans="1:141" s="116" customFormat="1">
      <c r="A58499" s="136"/>
      <c r="CM58499" s="111"/>
      <c r="CQ58499" s="111"/>
      <c r="EF58499"/>
      <c r="EG58499"/>
      <c r="EH58499"/>
      <c r="EI58499"/>
      <c r="EJ58499"/>
      <c r="EK58499"/>
    </row>
    <row r="58500" spans="1:141" s="116" customFormat="1">
      <c r="A58500" s="136"/>
      <c r="CM58500" s="111"/>
      <c r="CQ58500" s="111"/>
      <c r="EF58500"/>
      <c r="EG58500"/>
      <c r="EH58500"/>
      <c r="EI58500"/>
      <c r="EJ58500"/>
      <c r="EK58500"/>
    </row>
    <row r="58501" spans="1:141" s="116" customFormat="1">
      <c r="A58501" s="136"/>
      <c r="CM58501" s="111"/>
      <c r="CQ58501" s="111"/>
      <c r="EF58501"/>
      <c r="EG58501"/>
      <c r="EH58501"/>
      <c r="EI58501"/>
      <c r="EJ58501"/>
      <c r="EK58501"/>
    </row>
    <row r="58502" spans="1:141" s="116" customFormat="1">
      <c r="A58502" s="136"/>
      <c r="CM58502" s="111"/>
      <c r="CQ58502" s="111"/>
      <c r="EF58502"/>
      <c r="EG58502"/>
      <c r="EH58502"/>
      <c r="EI58502"/>
      <c r="EJ58502"/>
      <c r="EK58502"/>
    </row>
    <row r="58503" spans="1:141" s="116" customFormat="1">
      <c r="A58503" s="136"/>
      <c r="CM58503" s="111"/>
      <c r="CQ58503" s="111"/>
      <c r="EF58503"/>
      <c r="EG58503"/>
      <c r="EH58503"/>
      <c r="EI58503"/>
      <c r="EJ58503"/>
      <c r="EK58503"/>
    </row>
    <row r="58504" spans="1:141" s="116" customFormat="1">
      <c r="A58504" s="136"/>
      <c r="CM58504" s="111"/>
      <c r="CQ58504" s="111"/>
      <c r="EF58504"/>
      <c r="EG58504"/>
      <c r="EH58504"/>
      <c r="EI58504"/>
      <c r="EJ58504"/>
      <c r="EK58504"/>
    </row>
    <row r="58505" spans="1:141" s="116" customFormat="1">
      <c r="A58505" s="136"/>
      <c r="CM58505" s="111"/>
      <c r="CQ58505" s="111"/>
      <c r="EF58505"/>
      <c r="EG58505"/>
      <c r="EH58505"/>
      <c r="EI58505"/>
      <c r="EJ58505"/>
      <c r="EK58505"/>
    </row>
    <row r="58506" spans="1:141" s="116" customFormat="1">
      <c r="A58506" s="136"/>
      <c r="CM58506" s="111"/>
      <c r="CQ58506" s="111"/>
      <c r="EF58506"/>
      <c r="EG58506"/>
      <c r="EH58506"/>
      <c r="EI58506"/>
      <c r="EJ58506"/>
      <c r="EK58506"/>
    </row>
    <row r="58507" spans="1:141" s="116" customFormat="1">
      <c r="A58507" s="136"/>
      <c r="CM58507" s="111"/>
      <c r="CQ58507" s="111"/>
      <c r="EF58507"/>
      <c r="EG58507"/>
      <c r="EH58507"/>
      <c r="EI58507"/>
      <c r="EJ58507"/>
      <c r="EK58507"/>
    </row>
    <row r="58508" spans="1:141" s="116" customFormat="1">
      <c r="A58508" s="136"/>
      <c r="CM58508" s="111"/>
      <c r="CQ58508" s="111"/>
      <c r="EF58508"/>
      <c r="EG58508"/>
      <c r="EH58508"/>
      <c r="EI58508"/>
      <c r="EJ58508"/>
      <c r="EK58508"/>
    </row>
    <row r="58509" spans="1:141" s="116" customFormat="1">
      <c r="A58509" s="136"/>
      <c r="CM58509" s="111"/>
      <c r="CQ58509" s="111"/>
      <c r="EF58509"/>
      <c r="EG58509"/>
      <c r="EH58509"/>
      <c r="EI58509"/>
      <c r="EJ58509"/>
      <c r="EK58509"/>
    </row>
    <row r="58510" spans="1:141" s="116" customFormat="1">
      <c r="A58510" s="136"/>
      <c r="CM58510" s="111"/>
      <c r="CQ58510" s="111"/>
      <c r="EF58510"/>
      <c r="EG58510"/>
      <c r="EH58510"/>
      <c r="EI58510"/>
      <c r="EJ58510"/>
      <c r="EK58510"/>
    </row>
    <row r="58511" spans="1:141" s="116" customFormat="1">
      <c r="A58511" s="136"/>
      <c r="CM58511" s="111"/>
      <c r="CQ58511" s="111"/>
      <c r="EF58511"/>
      <c r="EG58511"/>
      <c r="EH58511"/>
      <c r="EI58511"/>
      <c r="EJ58511"/>
      <c r="EK58511"/>
    </row>
    <row r="58512" spans="1:141" s="116" customFormat="1">
      <c r="A58512" s="136"/>
      <c r="CM58512" s="111"/>
      <c r="CQ58512" s="111"/>
      <c r="EF58512"/>
      <c r="EG58512"/>
      <c r="EH58512"/>
      <c r="EI58512"/>
      <c r="EJ58512"/>
      <c r="EK58512"/>
    </row>
    <row r="58513" spans="1:141" s="116" customFormat="1">
      <c r="A58513" s="136"/>
      <c r="CM58513" s="111"/>
      <c r="CQ58513" s="111"/>
      <c r="EF58513"/>
      <c r="EG58513"/>
      <c r="EH58513"/>
      <c r="EI58513"/>
      <c r="EJ58513"/>
      <c r="EK58513"/>
    </row>
    <row r="58514" spans="1:141" s="116" customFormat="1">
      <c r="A58514" s="136"/>
      <c r="CM58514" s="111"/>
      <c r="CQ58514" s="111"/>
      <c r="EF58514"/>
      <c r="EG58514"/>
      <c r="EH58514"/>
      <c r="EI58514"/>
      <c r="EJ58514"/>
      <c r="EK58514"/>
    </row>
    <row r="58515" spans="1:141" s="116" customFormat="1">
      <c r="A58515" s="136"/>
      <c r="CM58515" s="111"/>
      <c r="CQ58515" s="111"/>
      <c r="EF58515"/>
      <c r="EG58515"/>
      <c r="EH58515"/>
      <c r="EI58515"/>
      <c r="EJ58515"/>
      <c r="EK58515"/>
    </row>
    <row r="58516" spans="1:141" s="116" customFormat="1">
      <c r="A58516" s="136"/>
      <c r="CM58516" s="111"/>
      <c r="CQ58516" s="111"/>
      <c r="EF58516"/>
      <c r="EG58516"/>
      <c r="EH58516"/>
      <c r="EI58516"/>
      <c r="EJ58516"/>
      <c r="EK58516"/>
    </row>
    <row r="58517" spans="1:141" s="116" customFormat="1">
      <c r="A58517" s="136"/>
      <c r="CM58517" s="111"/>
      <c r="CQ58517" s="111"/>
      <c r="EF58517"/>
      <c r="EG58517"/>
      <c r="EH58517"/>
      <c r="EI58517"/>
      <c r="EJ58517"/>
      <c r="EK58517"/>
    </row>
    <row r="58518" spans="1:141" s="116" customFormat="1">
      <c r="A58518" s="136"/>
      <c r="CM58518" s="111"/>
      <c r="CQ58518" s="111"/>
      <c r="EF58518"/>
      <c r="EG58518"/>
      <c r="EH58518"/>
      <c r="EI58518"/>
      <c r="EJ58518"/>
      <c r="EK58518"/>
    </row>
    <row r="58519" spans="1:141" s="116" customFormat="1">
      <c r="A58519" s="136"/>
      <c r="CM58519" s="111"/>
      <c r="CQ58519" s="111"/>
      <c r="EF58519"/>
      <c r="EG58519"/>
      <c r="EH58519"/>
      <c r="EI58519"/>
      <c r="EJ58519"/>
      <c r="EK58519"/>
    </row>
    <row r="58520" spans="1:141" s="116" customFormat="1">
      <c r="A58520" s="136"/>
      <c r="CM58520" s="111"/>
      <c r="CQ58520" s="111"/>
      <c r="EF58520"/>
      <c r="EG58520"/>
      <c r="EH58520"/>
      <c r="EI58520"/>
      <c r="EJ58520"/>
      <c r="EK58520"/>
    </row>
    <row r="58521" spans="1:141" s="116" customFormat="1">
      <c r="A58521" s="136"/>
      <c r="CM58521" s="111"/>
      <c r="CQ58521" s="111"/>
      <c r="EF58521"/>
      <c r="EG58521"/>
      <c r="EH58521"/>
      <c r="EI58521"/>
      <c r="EJ58521"/>
      <c r="EK58521"/>
    </row>
    <row r="58522" spans="1:141" s="116" customFormat="1">
      <c r="A58522" s="136"/>
      <c r="CM58522" s="111"/>
      <c r="CQ58522" s="111"/>
      <c r="EF58522"/>
      <c r="EG58522"/>
      <c r="EH58522"/>
      <c r="EI58522"/>
      <c r="EJ58522"/>
      <c r="EK58522"/>
    </row>
    <row r="58523" spans="1:141" s="116" customFormat="1">
      <c r="A58523" s="136"/>
      <c r="CM58523" s="111"/>
      <c r="CQ58523" s="111"/>
      <c r="EF58523"/>
      <c r="EG58523"/>
      <c r="EH58523"/>
      <c r="EI58523"/>
      <c r="EJ58523"/>
      <c r="EK58523"/>
    </row>
    <row r="58524" spans="1:141" s="116" customFormat="1">
      <c r="A58524" s="136"/>
      <c r="CM58524" s="111"/>
      <c r="CQ58524" s="111"/>
      <c r="EF58524"/>
      <c r="EG58524"/>
      <c r="EH58524"/>
      <c r="EI58524"/>
      <c r="EJ58524"/>
      <c r="EK58524"/>
    </row>
    <row r="58525" spans="1:141" s="116" customFormat="1">
      <c r="A58525" s="136"/>
      <c r="CM58525" s="111"/>
      <c r="CQ58525" s="111"/>
      <c r="EF58525"/>
      <c r="EG58525"/>
      <c r="EH58525"/>
      <c r="EI58525"/>
      <c r="EJ58525"/>
      <c r="EK58525"/>
    </row>
    <row r="58526" spans="1:141" s="116" customFormat="1">
      <c r="A58526" s="136"/>
      <c r="CM58526" s="111"/>
      <c r="CQ58526" s="111"/>
      <c r="EF58526"/>
      <c r="EG58526"/>
      <c r="EH58526"/>
      <c r="EI58526"/>
      <c r="EJ58526"/>
      <c r="EK58526"/>
    </row>
    <row r="58527" spans="1:141" s="116" customFormat="1">
      <c r="A58527" s="136"/>
      <c r="CM58527" s="111"/>
      <c r="CQ58527" s="111"/>
      <c r="EF58527"/>
      <c r="EG58527"/>
      <c r="EH58527"/>
      <c r="EI58527"/>
      <c r="EJ58527"/>
      <c r="EK58527"/>
    </row>
    <row r="58528" spans="1:141" s="116" customFormat="1">
      <c r="A58528" s="136"/>
      <c r="CM58528" s="111"/>
      <c r="CQ58528" s="111"/>
      <c r="EF58528"/>
      <c r="EG58528"/>
      <c r="EH58528"/>
      <c r="EI58528"/>
      <c r="EJ58528"/>
      <c r="EK58528"/>
    </row>
    <row r="58529" spans="1:141" s="116" customFormat="1">
      <c r="A58529" s="136"/>
      <c r="CM58529" s="111"/>
      <c r="CQ58529" s="111"/>
      <c r="EF58529"/>
      <c r="EG58529"/>
      <c r="EH58529"/>
      <c r="EI58529"/>
      <c r="EJ58529"/>
      <c r="EK58529"/>
    </row>
    <row r="58530" spans="1:141" s="116" customFormat="1">
      <c r="A58530" s="136"/>
      <c r="CM58530" s="111"/>
      <c r="CQ58530" s="111"/>
      <c r="EF58530"/>
      <c r="EG58530"/>
      <c r="EH58530"/>
      <c r="EI58530"/>
      <c r="EJ58530"/>
      <c r="EK58530"/>
    </row>
    <row r="58531" spans="1:141" s="116" customFormat="1">
      <c r="A58531" s="136"/>
      <c r="CM58531" s="111"/>
      <c r="CQ58531" s="111"/>
      <c r="EF58531"/>
      <c r="EG58531"/>
      <c r="EH58531"/>
      <c r="EI58531"/>
      <c r="EJ58531"/>
      <c r="EK58531"/>
    </row>
    <row r="58532" spans="1:141" s="116" customFormat="1">
      <c r="A58532" s="136"/>
      <c r="CM58532" s="111"/>
      <c r="CQ58532" s="111"/>
      <c r="EF58532"/>
      <c r="EG58532"/>
      <c r="EH58532"/>
      <c r="EI58532"/>
      <c r="EJ58532"/>
      <c r="EK58532"/>
    </row>
    <row r="58533" spans="1:141" s="116" customFormat="1">
      <c r="A58533" s="136"/>
      <c r="CM58533" s="111"/>
      <c r="CQ58533" s="111"/>
      <c r="EF58533"/>
      <c r="EG58533"/>
      <c r="EH58533"/>
      <c r="EI58533"/>
      <c r="EJ58533"/>
      <c r="EK58533"/>
    </row>
    <row r="58534" spans="1:141" s="116" customFormat="1">
      <c r="A58534" s="136"/>
      <c r="CM58534" s="111"/>
      <c r="CQ58534" s="111"/>
      <c r="EF58534"/>
      <c r="EG58534"/>
      <c r="EH58534"/>
      <c r="EI58534"/>
      <c r="EJ58534"/>
      <c r="EK58534"/>
    </row>
    <row r="58535" spans="1:141" s="116" customFormat="1">
      <c r="A58535" s="136"/>
      <c r="CM58535" s="111"/>
      <c r="CQ58535" s="111"/>
      <c r="EF58535"/>
      <c r="EG58535"/>
      <c r="EH58535"/>
      <c r="EI58535"/>
      <c r="EJ58535"/>
      <c r="EK58535"/>
    </row>
    <row r="58536" spans="1:141" s="116" customFormat="1">
      <c r="A58536" s="136"/>
      <c r="CM58536" s="111"/>
      <c r="CQ58536" s="111"/>
      <c r="EF58536"/>
      <c r="EG58536"/>
      <c r="EH58536"/>
      <c r="EI58536"/>
      <c r="EJ58536"/>
      <c r="EK58536"/>
    </row>
    <row r="58537" spans="1:141" s="116" customFormat="1">
      <c r="A58537" s="136"/>
      <c r="CM58537" s="111"/>
      <c r="CQ58537" s="111"/>
      <c r="EF58537"/>
      <c r="EG58537"/>
      <c r="EH58537"/>
      <c r="EI58537"/>
      <c r="EJ58537"/>
      <c r="EK58537"/>
    </row>
    <row r="58538" spans="1:141" s="116" customFormat="1">
      <c r="A58538" s="136"/>
      <c r="CM58538" s="111"/>
      <c r="CQ58538" s="111"/>
      <c r="EF58538"/>
      <c r="EG58538"/>
      <c r="EH58538"/>
      <c r="EI58538"/>
      <c r="EJ58538"/>
      <c r="EK58538"/>
    </row>
    <row r="58539" spans="1:141" s="116" customFormat="1">
      <c r="A58539" s="136"/>
      <c r="CM58539" s="111"/>
      <c r="CQ58539" s="111"/>
      <c r="EF58539"/>
      <c r="EG58539"/>
      <c r="EH58539"/>
      <c r="EI58539"/>
      <c r="EJ58539"/>
      <c r="EK58539"/>
    </row>
    <row r="58540" spans="1:141" s="116" customFormat="1">
      <c r="A58540" s="136"/>
      <c r="CM58540" s="111"/>
      <c r="CQ58540" s="111"/>
      <c r="EF58540"/>
      <c r="EG58540"/>
      <c r="EH58540"/>
      <c r="EI58540"/>
      <c r="EJ58540"/>
      <c r="EK58540"/>
    </row>
    <row r="58541" spans="1:141" s="116" customFormat="1">
      <c r="A58541" s="136"/>
      <c r="CM58541" s="111"/>
      <c r="CQ58541" s="111"/>
      <c r="EF58541"/>
      <c r="EG58541"/>
      <c r="EH58541"/>
      <c r="EI58541"/>
      <c r="EJ58541"/>
      <c r="EK58541"/>
    </row>
    <row r="58542" spans="1:141" s="116" customFormat="1">
      <c r="A58542" s="136"/>
      <c r="CM58542" s="111"/>
      <c r="CQ58542" s="111"/>
      <c r="EF58542"/>
      <c r="EG58542"/>
      <c r="EH58542"/>
      <c r="EI58542"/>
      <c r="EJ58542"/>
      <c r="EK58542"/>
    </row>
    <row r="58543" spans="1:141" s="116" customFormat="1">
      <c r="A58543" s="136"/>
      <c r="CM58543" s="111"/>
      <c r="CQ58543" s="111"/>
      <c r="EF58543"/>
      <c r="EG58543"/>
      <c r="EH58543"/>
      <c r="EI58543"/>
      <c r="EJ58543"/>
      <c r="EK58543"/>
    </row>
    <row r="58544" spans="1:141" s="116" customFormat="1">
      <c r="A58544" s="136"/>
      <c r="CM58544" s="111"/>
      <c r="CQ58544" s="111"/>
      <c r="EF58544"/>
      <c r="EG58544"/>
      <c r="EH58544"/>
      <c r="EI58544"/>
      <c r="EJ58544"/>
      <c r="EK58544"/>
    </row>
    <row r="58545" spans="1:141" s="116" customFormat="1">
      <c r="A58545" s="136"/>
      <c r="CM58545" s="111"/>
      <c r="CQ58545" s="111"/>
      <c r="EF58545"/>
      <c r="EG58545"/>
      <c r="EH58545"/>
      <c r="EI58545"/>
      <c r="EJ58545"/>
      <c r="EK58545"/>
    </row>
    <row r="58546" spans="1:141" s="116" customFormat="1">
      <c r="A58546" s="136"/>
      <c r="CM58546" s="111"/>
      <c r="CQ58546" s="111"/>
      <c r="EF58546"/>
      <c r="EG58546"/>
      <c r="EH58546"/>
      <c r="EI58546"/>
      <c r="EJ58546"/>
      <c r="EK58546"/>
    </row>
    <row r="58547" spans="1:141" s="116" customFormat="1">
      <c r="A58547" s="136"/>
      <c r="CM58547" s="111"/>
      <c r="CQ58547" s="111"/>
      <c r="EF58547"/>
      <c r="EG58547"/>
      <c r="EH58547"/>
      <c r="EI58547"/>
      <c r="EJ58547"/>
      <c r="EK58547"/>
    </row>
    <row r="58548" spans="1:141" s="116" customFormat="1">
      <c r="A58548" s="136"/>
      <c r="CM58548" s="111"/>
      <c r="CQ58548" s="111"/>
      <c r="EF58548"/>
      <c r="EG58548"/>
      <c r="EH58548"/>
      <c r="EI58548"/>
      <c r="EJ58548"/>
      <c r="EK58548"/>
    </row>
    <row r="58549" spans="1:141" s="116" customFormat="1">
      <c r="A58549" s="136"/>
      <c r="CM58549" s="111"/>
      <c r="CQ58549" s="111"/>
      <c r="EF58549"/>
      <c r="EG58549"/>
      <c r="EH58549"/>
      <c r="EI58549"/>
      <c r="EJ58549"/>
      <c r="EK58549"/>
    </row>
    <row r="58550" spans="1:141" s="116" customFormat="1">
      <c r="A58550" s="136"/>
      <c r="CM58550" s="111"/>
      <c r="CQ58550" s="111"/>
      <c r="EF58550"/>
      <c r="EG58550"/>
      <c r="EH58550"/>
      <c r="EI58550"/>
      <c r="EJ58550"/>
      <c r="EK58550"/>
    </row>
    <row r="58551" spans="1:141" s="116" customFormat="1">
      <c r="A58551" s="136"/>
      <c r="CM58551" s="111"/>
      <c r="CQ58551" s="111"/>
      <c r="EF58551"/>
      <c r="EG58551"/>
      <c r="EH58551"/>
      <c r="EI58551"/>
      <c r="EJ58551"/>
      <c r="EK58551"/>
    </row>
    <row r="58552" spans="1:141" s="116" customFormat="1">
      <c r="A58552" s="136"/>
      <c r="CM58552" s="111"/>
      <c r="CQ58552" s="111"/>
      <c r="EF58552"/>
      <c r="EG58552"/>
      <c r="EH58552"/>
      <c r="EI58552"/>
      <c r="EJ58552"/>
      <c r="EK58552"/>
    </row>
    <row r="58553" spans="1:141" s="116" customFormat="1">
      <c r="A58553" s="136"/>
      <c r="CM58553" s="111"/>
      <c r="CQ58553" s="111"/>
      <c r="EF58553"/>
      <c r="EG58553"/>
      <c r="EH58553"/>
      <c r="EI58553"/>
      <c r="EJ58553"/>
      <c r="EK58553"/>
    </row>
    <row r="58554" spans="1:141" s="116" customFormat="1">
      <c r="A58554" s="136"/>
      <c r="CM58554" s="111"/>
      <c r="CQ58554" s="111"/>
      <c r="EF58554"/>
      <c r="EG58554"/>
      <c r="EH58554"/>
      <c r="EI58554"/>
      <c r="EJ58554"/>
      <c r="EK58554"/>
    </row>
    <row r="58555" spans="1:141" s="116" customFormat="1">
      <c r="A58555" s="136"/>
      <c r="CM58555" s="111"/>
      <c r="CQ58555" s="111"/>
      <c r="EF58555"/>
      <c r="EG58555"/>
      <c r="EH58555"/>
      <c r="EI58555"/>
      <c r="EJ58555"/>
      <c r="EK58555"/>
    </row>
    <row r="58556" spans="1:141" s="116" customFormat="1">
      <c r="A58556" s="136"/>
      <c r="CM58556" s="111"/>
      <c r="CQ58556" s="111"/>
      <c r="EF58556"/>
      <c r="EG58556"/>
      <c r="EH58556"/>
      <c r="EI58556"/>
      <c r="EJ58556"/>
      <c r="EK58556"/>
    </row>
    <row r="58557" spans="1:141" s="116" customFormat="1">
      <c r="A58557" s="136"/>
      <c r="CM58557" s="111"/>
      <c r="CQ58557" s="111"/>
      <c r="EF58557"/>
      <c r="EG58557"/>
      <c r="EH58557"/>
      <c r="EI58557"/>
      <c r="EJ58557"/>
      <c r="EK58557"/>
    </row>
    <row r="58558" spans="1:141" s="116" customFormat="1">
      <c r="A58558" s="136"/>
      <c r="CM58558" s="111"/>
      <c r="CQ58558" s="111"/>
      <c r="EF58558"/>
      <c r="EG58558"/>
      <c r="EH58558"/>
      <c r="EI58558"/>
      <c r="EJ58558"/>
      <c r="EK58558"/>
    </row>
    <row r="58559" spans="1:141" s="116" customFormat="1">
      <c r="A58559" s="136"/>
      <c r="CM58559" s="111"/>
      <c r="CQ58559" s="111"/>
      <c r="EF58559"/>
      <c r="EG58559"/>
      <c r="EH58559"/>
      <c r="EI58559"/>
      <c r="EJ58559"/>
      <c r="EK58559"/>
    </row>
    <row r="58560" spans="1:141" s="116" customFormat="1">
      <c r="A58560" s="136"/>
      <c r="CM58560" s="111"/>
      <c r="CQ58560" s="111"/>
      <c r="EF58560"/>
      <c r="EG58560"/>
      <c r="EH58560"/>
      <c r="EI58560"/>
      <c r="EJ58560"/>
      <c r="EK58560"/>
    </row>
    <row r="58561" spans="1:141" s="116" customFormat="1">
      <c r="A58561" s="136"/>
      <c r="CM58561" s="111"/>
      <c r="CQ58561" s="111"/>
      <c r="EF58561"/>
      <c r="EG58561"/>
      <c r="EH58561"/>
      <c r="EI58561"/>
      <c r="EJ58561"/>
      <c r="EK58561"/>
    </row>
    <row r="58562" spans="1:141" s="116" customFormat="1">
      <c r="A58562" s="136"/>
      <c r="CM58562" s="111"/>
      <c r="CQ58562" s="111"/>
      <c r="EF58562"/>
      <c r="EG58562"/>
      <c r="EH58562"/>
      <c r="EI58562"/>
      <c r="EJ58562"/>
      <c r="EK58562"/>
    </row>
    <row r="58563" spans="1:141" s="116" customFormat="1">
      <c r="A58563" s="136"/>
      <c r="CM58563" s="111"/>
      <c r="CQ58563" s="111"/>
      <c r="EF58563"/>
      <c r="EG58563"/>
      <c r="EH58563"/>
      <c r="EI58563"/>
      <c r="EJ58563"/>
      <c r="EK58563"/>
    </row>
    <row r="58564" spans="1:141" s="116" customFormat="1">
      <c r="A58564" s="136"/>
      <c r="CM58564" s="111"/>
      <c r="CQ58564" s="111"/>
      <c r="EF58564"/>
      <c r="EG58564"/>
      <c r="EH58564"/>
      <c r="EI58564"/>
      <c r="EJ58564"/>
      <c r="EK58564"/>
    </row>
    <row r="58565" spans="1:141" s="116" customFormat="1">
      <c r="A58565" s="136"/>
      <c r="CM58565" s="111"/>
      <c r="CQ58565" s="111"/>
      <c r="EF58565"/>
      <c r="EG58565"/>
      <c r="EH58565"/>
      <c r="EI58565"/>
      <c r="EJ58565"/>
      <c r="EK58565"/>
    </row>
    <row r="58566" spans="1:141" s="116" customFormat="1">
      <c r="A58566" s="136"/>
      <c r="CM58566" s="111"/>
      <c r="CQ58566" s="111"/>
      <c r="EF58566"/>
      <c r="EG58566"/>
      <c r="EH58566"/>
      <c r="EI58566"/>
      <c r="EJ58566"/>
      <c r="EK58566"/>
    </row>
    <row r="58567" spans="1:141" s="116" customFormat="1">
      <c r="A58567" s="136"/>
      <c r="CM58567" s="111"/>
      <c r="CQ58567" s="111"/>
      <c r="EF58567"/>
      <c r="EG58567"/>
      <c r="EH58567"/>
      <c r="EI58567"/>
      <c r="EJ58567"/>
      <c r="EK58567"/>
    </row>
    <row r="58568" spans="1:141" s="116" customFormat="1">
      <c r="A58568" s="136"/>
      <c r="CM58568" s="111"/>
      <c r="CQ58568" s="111"/>
      <c r="EF58568"/>
      <c r="EG58568"/>
      <c r="EH58568"/>
      <c r="EI58568"/>
      <c r="EJ58568"/>
      <c r="EK58568"/>
    </row>
    <row r="58569" spans="1:141" s="116" customFormat="1">
      <c r="A58569" s="136"/>
      <c r="CM58569" s="111"/>
      <c r="CQ58569" s="111"/>
      <c r="EF58569"/>
      <c r="EG58569"/>
      <c r="EH58569"/>
      <c r="EI58569"/>
      <c r="EJ58569"/>
      <c r="EK58569"/>
    </row>
    <row r="58570" spans="1:141" s="116" customFormat="1">
      <c r="A58570" s="136"/>
      <c r="CM58570" s="111"/>
      <c r="CQ58570" s="111"/>
      <c r="EF58570"/>
      <c r="EG58570"/>
      <c r="EH58570"/>
      <c r="EI58570"/>
      <c r="EJ58570"/>
      <c r="EK58570"/>
    </row>
    <row r="58571" spans="1:141" s="116" customFormat="1">
      <c r="A58571" s="136"/>
      <c r="CM58571" s="111"/>
      <c r="CQ58571" s="111"/>
      <c r="EF58571"/>
      <c r="EG58571"/>
      <c r="EH58571"/>
      <c r="EI58571"/>
      <c r="EJ58571"/>
      <c r="EK58571"/>
    </row>
    <row r="58572" spans="1:141" s="116" customFormat="1">
      <c r="A58572" s="136"/>
      <c r="CM58572" s="111"/>
      <c r="CQ58572" s="111"/>
      <c r="EF58572"/>
      <c r="EG58572"/>
      <c r="EH58572"/>
      <c r="EI58572"/>
      <c r="EJ58572"/>
      <c r="EK58572"/>
    </row>
    <row r="58573" spans="1:141" s="116" customFormat="1">
      <c r="A58573" s="136"/>
      <c r="CM58573" s="111"/>
      <c r="CQ58573" s="111"/>
      <c r="EF58573"/>
      <c r="EG58573"/>
      <c r="EH58573"/>
      <c r="EI58573"/>
      <c r="EJ58573"/>
      <c r="EK58573"/>
    </row>
    <row r="58574" spans="1:141" s="116" customFormat="1">
      <c r="A58574" s="136"/>
      <c r="CM58574" s="111"/>
      <c r="CQ58574" s="111"/>
      <c r="EF58574"/>
      <c r="EG58574"/>
      <c r="EH58574"/>
      <c r="EI58574"/>
      <c r="EJ58574"/>
      <c r="EK58574"/>
    </row>
    <row r="58575" spans="1:141" s="116" customFormat="1">
      <c r="A58575" s="136"/>
      <c r="CM58575" s="111"/>
      <c r="CQ58575" s="111"/>
      <c r="EF58575"/>
      <c r="EG58575"/>
      <c r="EH58575"/>
      <c r="EI58575"/>
      <c r="EJ58575"/>
      <c r="EK58575"/>
    </row>
    <row r="58576" spans="1:141" s="116" customFormat="1">
      <c r="A58576" s="136"/>
      <c r="CM58576" s="111"/>
      <c r="CQ58576" s="111"/>
      <c r="EF58576"/>
      <c r="EG58576"/>
      <c r="EH58576"/>
      <c r="EI58576"/>
      <c r="EJ58576"/>
      <c r="EK58576"/>
    </row>
    <row r="58577" spans="1:141" s="116" customFormat="1">
      <c r="A58577" s="136"/>
      <c r="CM58577" s="111"/>
      <c r="CQ58577" s="111"/>
      <c r="EF58577"/>
      <c r="EG58577"/>
      <c r="EH58577"/>
      <c r="EI58577"/>
      <c r="EJ58577"/>
      <c r="EK58577"/>
    </row>
    <row r="58578" spans="1:141" s="116" customFormat="1">
      <c r="A58578" s="136"/>
      <c r="CM58578" s="111"/>
      <c r="CQ58578" s="111"/>
      <c r="EF58578"/>
      <c r="EG58578"/>
      <c r="EH58578"/>
      <c r="EI58578"/>
      <c r="EJ58578"/>
      <c r="EK58578"/>
    </row>
    <row r="58579" spans="1:141" s="116" customFormat="1">
      <c r="A58579" s="136"/>
      <c r="CM58579" s="111"/>
      <c r="CQ58579" s="111"/>
      <c r="EF58579"/>
      <c r="EG58579"/>
      <c r="EH58579"/>
      <c r="EI58579"/>
      <c r="EJ58579"/>
      <c r="EK58579"/>
    </row>
    <row r="58580" spans="1:141" s="116" customFormat="1">
      <c r="A58580" s="136"/>
      <c r="CM58580" s="111"/>
      <c r="CQ58580" s="111"/>
      <c r="EF58580"/>
      <c r="EG58580"/>
      <c r="EH58580"/>
      <c r="EI58580"/>
      <c r="EJ58580"/>
      <c r="EK58580"/>
    </row>
    <row r="58581" spans="1:141" s="116" customFormat="1">
      <c r="A58581" s="136"/>
      <c r="CM58581" s="111"/>
      <c r="CQ58581" s="111"/>
      <c r="EF58581"/>
      <c r="EG58581"/>
      <c r="EH58581"/>
      <c r="EI58581"/>
      <c r="EJ58581"/>
      <c r="EK58581"/>
    </row>
    <row r="58582" spans="1:141" s="116" customFormat="1">
      <c r="A58582" s="136"/>
      <c r="CM58582" s="111"/>
      <c r="CQ58582" s="111"/>
      <c r="EF58582"/>
      <c r="EG58582"/>
      <c r="EH58582"/>
      <c r="EI58582"/>
      <c r="EJ58582"/>
      <c r="EK58582"/>
    </row>
    <row r="58583" spans="1:141" s="116" customFormat="1">
      <c r="A58583" s="136"/>
      <c r="CM58583" s="111"/>
      <c r="CQ58583" s="111"/>
      <c r="EF58583"/>
      <c r="EG58583"/>
      <c r="EH58583"/>
      <c r="EI58583"/>
      <c r="EJ58583"/>
      <c r="EK58583"/>
    </row>
    <row r="58584" spans="1:141" s="116" customFormat="1">
      <c r="A58584" s="136"/>
      <c r="CM58584" s="111"/>
      <c r="CQ58584" s="111"/>
      <c r="EF58584"/>
      <c r="EG58584"/>
      <c r="EH58584"/>
      <c r="EI58584"/>
      <c r="EJ58584"/>
      <c r="EK58584"/>
    </row>
    <row r="58585" spans="1:141" s="116" customFormat="1">
      <c r="A58585" s="136"/>
      <c r="CM58585" s="111"/>
      <c r="CQ58585" s="111"/>
      <c r="EF58585"/>
      <c r="EG58585"/>
      <c r="EH58585"/>
      <c r="EI58585"/>
      <c r="EJ58585"/>
      <c r="EK58585"/>
    </row>
    <row r="58586" spans="1:141" s="116" customFormat="1">
      <c r="A58586" s="136"/>
      <c r="CM58586" s="111"/>
      <c r="CQ58586" s="111"/>
      <c r="EF58586"/>
      <c r="EG58586"/>
      <c r="EH58586"/>
      <c r="EI58586"/>
      <c r="EJ58586"/>
      <c r="EK58586"/>
    </row>
    <row r="58587" spans="1:141" s="116" customFormat="1">
      <c r="A58587" s="136"/>
      <c r="CM58587" s="111"/>
      <c r="CQ58587" s="111"/>
      <c r="EF58587"/>
      <c r="EG58587"/>
      <c r="EH58587"/>
      <c r="EI58587"/>
      <c r="EJ58587"/>
      <c r="EK58587"/>
    </row>
    <row r="58588" spans="1:141" s="116" customFormat="1">
      <c r="A58588" s="136"/>
      <c r="CM58588" s="111"/>
      <c r="CQ58588" s="111"/>
      <c r="EF58588"/>
      <c r="EG58588"/>
      <c r="EH58588"/>
      <c r="EI58588"/>
      <c r="EJ58588"/>
      <c r="EK58588"/>
    </row>
    <row r="58589" spans="1:141" s="116" customFormat="1">
      <c r="A58589" s="136"/>
      <c r="CM58589" s="111"/>
      <c r="CQ58589" s="111"/>
      <c r="EF58589"/>
      <c r="EG58589"/>
      <c r="EH58589"/>
      <c r="EI58589"/>
      <c r="EJ58589"/>
      <c r="EK58589"/>
    </row>
    <row r="58590" spans="1:141" s="116" customFormat="1">
      <c r="A58590" s="136"/>
      <c r="CM58590" s="111"/>
      <c r="CQ58590" s="111"/>
      <c r="EF58590"/>
      <c r="EG58590"/>
      <c r="EH58590"/>
      <c r="EI58590"/>
      <c r="EJ58590"/>
      <c r="EK58590"/>
    </row>
    <row r="58591" spans="1:141" s="116" customFormat="1">
      <c r="A58591" s="136"/>
      <c r="CM58591" s="111"/>
      <c r="CQ58591" s="111"/>
      <c r="EF58591"/>
      <c r="EG58591"/>
      <c r="EH58591"/>
      <c r="EI58591"/>
      <c r="EJ58591"/>
      <c r="EK58591"/>
    </row>
    <row r="58592" spans="1:141" s="116" customFormat="1">
      <c r="A58592" s="136"/>
      <c r="CM58592" s="111"/>
      <c r="CQ58592" s="111"/>
      <c r="EF58592"/>
      <c r="EG58592"/>
      <c r="EH58592"/>
      <c r="EI58592"/>
      <c r="EJ58592"/>
      <c r="EK58592"/>
    </row>
    <row r="58593" spans="1:141" s="116" customFormat="1">
      <c r="A58593" s="136"/>
      <c r="CM58593" s="111"/>
      <c r="CQ58593" s="111"/>
      <c r="EF58593"/>
      <c r="EG58593"/>
      <c r="EH58593"/>
      <c r="EI58593"/>
      <c r="EJ58593"/>
      <c r="EK58593"/>
    </row>
    <row r="58594" spans="1:141" s="116" customFormat="1">
      <c r="A58594" s="136"/>
      <c r="CM58594" s="111"/>
      <c r="CQ58594" s="111"/>
      <c r="EF58594"/>
      <c r="EG58594"/>
      <c r="EH58594"/>
      <c r="EI58594"/>
      <c r="EJ58594"/>
      <c r="EK58594"/>
    </row>
    <row r="58595" spans="1:141" s="116" customFormat="1">
      <c r="A58595" s="136"/>
      <c r="CM58595" s="111"/>
      <c r="CQ58595" s="111"/>
      <c r="EF58595"/>
      <c r="EG58595"/>
      <c r="EH58595"/>
      <c r="EI58595"/>
      <c r="EJ58595"/>
      <c r="EK58595"/>
    </row>
    <row r="58596" spans="1:141" s="116" customFormat="1">
      <c r="A58596" s="136"/>
      <c r="CM58596" s="111"/>
      <c r="CQ58596" s="111"/>
      <c r="EF58596"/>
      <c r="EG58596"/>
      <c r="EH58596"/>
      <c r="EI58596"/>
      <c r="EJ58596"/>
      <c r="EK58596"/>
    </row>
    <row r="58597" spans="1:141" s="116" customFormat="1">
      <c r="A58597" s="136"/>
      <c r="CM58597" s="111"/>
      <c r="CQ58597" s="111"/>
      <c r="EF58597"/>
      <c r="EG58597"/>
      <c r="EH58597"/>
      <c r="EI58597"/>
      <c r="EJ58597"/>
      <c r="EK58597"/>
    </row>
    <row r="58598" spans="1:141" s="116" customFormat="1">
      <c r="A58598" s="136"/>
      <c r="CM58598" s="111"/>
      <c r="CQ58598" s="111"/>
      <c r="EF58598"/>
      <c r="EG58598"/>
      <c r="EH58598"/>
      <c r="EI58598"/>
      <c r="EJ58598"/>
      <c r="EK58598"/>
    </row>
    <row r="58599" spans="1:141" s="116" customFormat="1">
      <c r="A58599" s="136"/>
      <c r="CM58599" s="111"/>
      <c r="CQ58599" s="111"/>
      <c r="EF58599"/>
      <c r="EG58599"/>
      <c r="EH58599"/>
      <c r="EI58599"/>
      <c r="EJ58599"/>
      <c r="EK58599"/>
    </row>
    <row r="58600" spans="1:141" s="116" customFormat="1">
      <c r="A58600" s="136"/>
      <c r="CM58600" s="111"/>
      <c r="CQ58600" s="111"/>
      <c r="EF58600"/>
      <c r="EG58600"/>
      <c r="EH58600"/>
      <c r="EI58600"/>
      <c r="EJ58600"/>
      <c r="EK58600"/>
    </row>
    <row r="58601" spans="1:141" s="116" customFormat="1">
      <c r="A58601" s="136"/>
      <c r="CM58601" s="111"/>
      <c r="CQ58601" s="111"/>
      <c r="EF58601"/>
      <c r="EG58601"/>
      <c r="EH58601"/>
      <c r="EI58601"/>
      <c r="EJ58601"/>
      <c r="EK58601"/>
    </row>
    <row r="58602" spans="1:141" s="116" customFormat="1">
      <c r="A58602" s="136"/>
      <c r="CM58602" s="111"/>
      <c r="CQ58602" s="111"/>
      <c r="EF58602"/>
      <c r="EG58602"/>
      <c r="EH58602"/>
      <c r="EI58602"/>
      <c r="EJ58602"/>
      <c r="EK58602"/>
    </row>
    <row r="58603" spans="1:141" s="116" customFormat="1">
      <c r="A58603" s="136"/>
      <c r="CM58603" s="111"/>
      <c r="CQ58603" s="111"/>
      <c r="EF58603"/>
      <c r="EG58603"/>
      <c r="EH58603"/>
      <c r="EI58603"/>
      <c r="EJ58603"/>
      <c r="EK58603"/>
    </row>
    <row r="58604" spans="1:141" s="116" customFormat="1">
      <c r="A58604" s="136"/>
      <c r="CM58604" s="111"/>
      <c r="CQ58604" s="111"/>
      <c r="EF58604"/>
      <c r="EG58604"/>
      <c r="EH58604"/>
      <c r="EI58604"/>
      <c r="EJ58604"/>
      <c r="EK58604"/>
    </row>
    <row r="58605" spans="1:141" s="116" customFormat="1">
      <c r="A58605" s="136"/>
      <c r="CM58605" s="111"/>
      <c r="CQ58605" s="111"/>
      <c r="EF58605"/>
      <c r="EG58605"/>
      <c r="EH58605"/>
      <c r="EI58605"/>
      <c r="EJ58605"/>
      <c r="EK58605"/>
    </row>
    <row r="58606" spans="1:141" s="116" customFormat="1">
      <c r="A58606" s="136"/>
      <c r="CM58606" s="111"/>
      <c r="CQ58606" s="111"/>
      <c r="EF58606"/>
      <c r="EG58606"/>
      <c r="EH58606"/>
      <c r="EI58606"/>
      <c r="EJ58606"/>
      <c r="EK58606"/>
    </row>
    <row r="58607" spans="1:141" s="116" customFormat="1">
      <c r="A58607" s="136"/>
      <c r="CM58607" s="111"/>
      <c r="CQ58607" s="111"/>
      <c r="EF58607"/>
      <c r="EG58607"/>
      <c r="EH58607"/>
      <c r="EI58607"/>
      <c r="EJ58607"/>
      <c r="EK58607"/>
    </row>
    <row r="58608" spans="1:141" s="116" customFormat="1">
      <c r="A58608" s="136"/>
      <c r="CM58608" s="111"/>
      <c r="CQ58608" s="111"/>
      <c r="EF58608"/>
      <c r="EG58608"/>
      <c r="EH58608"/>
      <c r="EI58608"/>
      <c r="EJ58608"/>
      <c r="EK58608"/>
    </row>
    <row r="58609" spans="1:141" s="116" customFormat="1">
      <c r="A58609" s="136"/>
      <c r="CM58609" s="111"/>
      <c r="CQ58609" s="111"/>
      <c r="EF58609"/>
      <c r="EG58609"/>
      <c r="EH58609"/>
      <c r="EI58609"/>
      <c r="EJ58609"/>
      <c r="EK58609"/>
    </row>
    <row r="58610" spans="1:141" s="116" customFormat="1">
      <c r="A58610" s="136"/>
      <c r="CM58610" s="111"/>
      <c r="CQ58610" s="111"/>
      <c r="EF58610"/>
      <c r="EG58610"/>
      <c r="EH58610"/>
      <c r="EI58610"/>
      <c r="EJ58610"/>
      <c r="EK58610"/>
    </row>
    <row r="58611" spans="1:141" s="116" customFormat="1">
      <c r="A58611" s="136"/>
      <c r="CM58611" s="111"/>
      <c r="CQ58611" s="111"/>
      <c r="EF58611"/>
      <c r="EG58611"/>
      <c r="EH58611"/>
      <c r="EI58611"/>
      <c r="EJ58611"/>
      <c r="EK58611"/>
    </row>
    <row r="58612" spans="1:141" s="116" customFormat="1">
      <c r="A58612" s="136"/>
      <c r="CM58612" s="111"/>
      <c r="CQ58612" s="111"/>
      <c r="EF58612"/>
      <c r="EG58612"/>
      <c r="EH58612"/>
      <c r="EI58612"/>
      <c r="EJ58612"/>
      <c r="EK58612"/>
    </row>
    <row r="58613" spans="1:141" s="116" customFormat="1">
      <c r="A58613" s="136"/>
      <c r="CM58613" s="111"/>
      <c r="CQ58613" s="111"/>
      <c r="EF58613"/>
      <c r="EG58613"/>
      <c r="EH58613"/>
      <c r="EI58613"/>
      <c r="EJ58613"/>
      <c r="EK58613"/>
    </row>
    <row r="58614" spans="1:141" s="116" customFormat="1">
      <c r="A58614" s="136"/>
      <c r="CM58614" s="111"/>
      <c r="CQ58614" s="111"/>
      <c r="EF58614"/>
      <c r="EG58614"/>
      <c r="EH58614"/>
      <c r="EI58614"/>
      <c r="EJ58614"/>
      <c r="EK58614"/>
    </row>
    <row r="58615" spans="1:141" s="116" customFormat="1">
      <c r="A58615" s="136"/>
      <c r="CM58615" s="111"/>
      <c r="CQ58615" s="111"/>
      <c r="EF58615"/>
      <c r="EG58615"/>
      <c r="EH58615"/>
      <c r="EI58615"/>
      <c r="EJ58615"/>
      <c r="EK58615"/>
    </row>
    <row r="58616" spans="1:141" s="116" customFormat="1">
      <c r="A58616" s="136"/>
      <c r="CM58616" s="111"/>
      <c r="CQ58616" s="111"/>
      <c r="EF58616"/>
      <c r="EG58616"/>
      <c r="EH58616"/>
      <c r="EI58616"/>
      <c r="EJ58616"/>
      <c r="EK58616"/>
    </row>
    <row r="58617" spans="1:141" s="116" customFormat="1">
      <c r="A58617" s="136"/>
      <c r="CM58617" s="111"/>
      <c r="CQ58617" s="111"/>
      <c r="EF58617"/>
      <c r="EG58617"/>
      <c r="EH58617"/>
      <c r="EI58617"/>
      <c r="EJ58617"/>
      <c r="EK58617"/>
    </row>
    <row r="58618" spans="1:141" s="116" customFormat="1">
      <c r="A58618" s="136"/>
      <c r="CM58618" s="111"/>
      <c r="CQ58618" s="111"/>
      <c r="EF58618"/>
      <c r="EG58618"/>
      <c r="EH58618"/>
      <c r="EI58618"/>
      <c r="EJ58618"/>
      <c r="EK58618"/>
    </row>
    <row r="58619" spans="1:141" s="116" customFormat="1">
      <c r="A58619" s="136"/>
      <c r="CM58619" s="111"/>
      <c r="CQ58619" s="111"/>
      <c r="EF58619"/>
      <c r="EG58619"/>
      <c r="EH58619"/>
      <c r="EI58619"/>
      <c r="EJ58619"/>
      <c r="EK58619"/>
    </row>
    <row r="58620" spans="1:141" s="116" customFormat="1">
      <c r="A58620" s="136"/>
      <c r="CM58620" s="111"/>
      <c r="CQ58620" s="111"/>
      <c r="EF58620"/>
      <c r="EG58620"/>
      <c r="EH58620"/>
      <c r="EI58620"/>
      <c r="EJ58620"/>
      <c r="EK58620"/>
    </row>
    <row r="58621" spans="1:141" s="116" customFormat="1">
      <c r="A58621" s="136"/>
      <c r="CM58621" s="111"/>
      <c r="CQ58621" s="111"/>
      <c r="EF58621"/>
      <c r="EG58621"/>
      <c r="EH58621"/>
      <c r="EI58621"/>
      <c r="EJ58621"/>
      <c r="EK58621"/>
    </row>
    <row r="58622" spans="1:141" s="116" customFormat="1">
      <c r="A58622" s="136"/>
      <c r="CM58622" s="111"/>
      <c r="CQ58622" s="111"/>
      <c r="EF58622"/>
      <c r="EG58622"/>
      <c r="EH58622"/>
      <c r="EI58622"/>
      <c r="EJ58622"/>
      <c r="EK58622"/>
    </row>
    <row r="58623" spans="1:141" s="116" customFormat="1">
      <c r="A58623" s="136"/>
      <c r="CM58623" s="111"/>
      <c r="CQ58623" s="111"/>
      <c r="EF58623"/>
      <c r="EG58623"/>
      <c r="EH58623"/>
      <c r="EI58623"/>
      <c r="EJ58623"/>
      <c r="EK58623"/>
    </row>
    <row r="58624" spans="1:141" s="116" customFormat="1">
      <c r="A58624" s="136"/>
      <c r="CM58624" s="111"/>
      <c r="CQ58624" s="111"/>
      <c r="EF58624"/>
      <c r="EG58624"/>
      <c r="EH58624"/>
      <c r="EI58624"/>
      <c r="EJ58624"/>
      <c r="EK58624"/>
    </row>
    <row r="58625" spans="1:141" s="116" customFormat="1">
      <c r="A58625" s="136"/>
      <c r="CM58625" s="111"/>
      <c r="CQ58625" s="111"/>
      <c r="EF58625"/>
      <c r="EG58625"/>
      <c r="EH58625"/>
      <c r="EI58625"/>
      <c r="EJ58625"/>
      <c r="EK58625"/>
    </row>
    <row r="58626" spans="1:141" s="116" customFormat="1">
      <c r="A58626" s="136"/>
      <c r="CM58626" s="111"/>
      <c r="CQ58626" s="111"/>
      <c r="EF58626"/>
      <c r="EG58626"/>
      <c r="EH58626"/>
      <c r="EI58626"/>
      <c r="EJ58626"/>
      <c r="EK58626"/>
    </row>
    <row r="58627" spans="1:141" s="116" customFormat="1">
      <c r="A58627" s="136"/>
      <c r="CM58627" s="111"/>
      <c r="CQ58627" s="111"/>
      <c r="EF58627"/>
      <c r="EG58627"/>
      <c r="EH58627"/>
      <c r="EI58627"/>
      <c r="EJ58627"/>
      <c r="EK58627"/>
    </row>
    <row r="58628" spans="1:141" s="116" customFormat="1">
      <c r="A58628" s="136"/>
      <c r="CM58628" s="111"/>
      <c r="CQ58628" s="111"/>
      <c r="EF58628"/>
      <c r="EG58628"/>
      <c r="EH58628"/>
      <c r="EI58628"/>
      <c r="EJ58628"/>
      <c r="EK58628"/>
    </row>
    <row r="58629" spans="1:141" s="116" customFormat="1">
      <c r="A58629" s="136"/>
      <c r="CM58629" s="111"/>
      <c r="CQ58629" s="111"/>
      <c r="EF58629"/>
      <c r="EG58629"/>
      <c r="EH58629"/>
      <c r="EI58629"/>
      <c r="EJ58629"/>
      <c r="EK58629"/>
    </row>
    <row r="58630" spans="1:141" s="116" customFormat="1">
      <c r="A58630" s="136"/>
      <c r="CM58630" s="111"/>
      <c r="CQ58630" s="111"/>
      <c r="EF58630"/>
      <c r="EG58630"/>
      <c r="EH58630"/>
      <c r="EI58630"/>
      <c r="EJ58630"/>
      <c r="EK58630"/>
    </row>
    <row r="58631" spans="1:141" s="116" customFormat="1">
      <c r="A58631" s="136"/>
      <c r="CM58631" s="111"/>
      <c r="CQ58631" s="111"/>
      <c r="EF58631"/>
      <c r="EG58631"/>
      <c r="EH58631"/>
      <c r="EI58631"/>
      <c r="EJ58631"/>
      <c r="EK58631"/>
    </row>
    <row r="58632" spans="1:141" s="116" customFormat="1">
      <c r="A58632" s="136"/>
      <c r="CM58632" s="111"/>
      <c r="CQ58632" s="111"/>
      <c r="EF58632"/>
      <c r="EG58632"/>
      <c r="EH58632"/>
      <c r="EI58632"/>
      <c r="EJ58632"/>
      <c r="EK58632"/>
    </row>
    <row r="58633" spans="1:141" s="116" customFormat="1">
      <c r="A58633" s="136"/>
      <c r="CM58633" s="111"/>
      <c r="CQ58633" s="111"/>
      <c r="EF58633"/>
      <c r="EG58633"/>
      <c r="EH58633"/>
      <c r="EI58633"/>
      <c r="EJ58633"/>
      <c r="EK58633"/>
    </row>
    <row r="58634" spans="1:141" s="116" customFormat="1">
      <c r="A58634" s="136"/>
      <c r="CM58634" s="111"/>
      <c r="CQ58634" s="111"/>
      <c r="EF58634"/>
      <c r="EG58634"/>
      <c r="EH58634"/>
      <c r="EI58634"/>
      <c r="EJ58634"/>
      <c r="EK58634"/>
    </row>
    <row r="58635" spans="1:141" s="116" customFormat="1">
      <c r="A58635" s="136"/>
      <c r="CM58635" s="111"/>
      <c r="CQ58635" s="111"/>
      <c r="EF58635"/>
      <c r="EG58635"/>
      <c r="EH58635"/>
      <c r="EI58635"/>
      <c r="EJ58635"/>
      <c r="EK58635"/>
    </row>
    <row r="58636" spans="1:141" s="116" customFormat="1">
      <c r="A58636" s="136"/>
      <c r="CM58636" s="111"/>
      <c r="CQ58636" s="111"/>
      <c r="EF58636"/>
      <c r="EG58636"/>
      <c r="EH58636"/>
      <c r="EI58636"/>
      <c r="EJ58636"/>
      <c r="EK58636"/>
    </row>
    <row r="58637" spans="1:141" s="116" customFormat="1">
      <c r="A58637" s="136"/>
      <c r="CM58637" s="111"/>
      <c r="CQ58637" s="111"/>
      <c r="EF58637"/>
      <c r="EG58637"/>
      <c r="EH58637"/>
      <c r="EI58637"/>
      <c r="EJ58637"/>
      <c r="EK58637"/>
    </row>
    <row r="58638" spans="1:141" s="116" customFormat="1">
      <c r="A58638" s="136"/>
      <c r="CM58638" s="111"/>
      <c r="CQ58638" s="111"/>
      <c r="EF58638"/>
      <c r="EG58638"/>
      <c r="EH58638"/>
      <c r="EI58638"/>
      <c r="EJ58638"/>
      <c r="EK58638"/>
    </row>
    <row r="58639" spans="1:141" s="116" customFormat="1">
      <c r="A58639" s="136"/>
      <c r="CM58639" s="111"/>
      <c r="CQ58639" s="111"/>
      <c r="EF58639"/>
      <c r="EG58639"/>
      <c r="EH58639"/>
      <c r="EI58639"/>
      <c r="EJ58639"/>
      <c r="EK58639"/>
    </row>
    <row r="58640" spans="1:141" s="116" customFormat="1">
      <c r="A58640" s="136"/>
      <c r="CM58640" s="111"/>
      <c r="CQ58640" s="111"/>
      <c r="EF58640"/>
      <c r="EG58640"/>
      <c r="EH58640"/>
      <c r="EI58640"/>
      <c r="EJ58640"/>
      <c r="EK58640"/>
    </row>
    <row r="58641" spans="1:141" s="116" customFormat="1">
      <c r="A58641" s="136"/>
      <c r="CM58641" s="111"/>
      <c r="CQ58641" s="111"/>
      <c r="EF58641"/>
      <c r="EG58641"/>
      <c r="EH58641"/>
      <c r="EI58641"/>
      <c r="EJ58641"/>
      <c r="EK58641"/>
    </row>
    <row r="58642" spans="1:141" s="116" customFormat="1">
      <c r="A58642" s="136"/>
      <c r="CM58642" s="111"/>
      <c r="CQ58642" s="111"/>
      <c r="EF58642"/>
      <c r="EG58642"/>
      <c r="EH58642"/>
      <c r="EI58642"/>
      <c r="EJ58642"/>
      <c r="EK58642"/>
    </row>
    <row r="58643" spans="1:141" s="116" customFormat="1">
      <c r="A58643" s="136"/>
      <c r="CM58643" s="111"/>
      <c r="CQ58643" s="111"/>
      <c r="EF58643"/>
      <c r="EG58643"/>
      <c r="EH58643"/>
      <c r="EI58643"/>
      <c r="EJ58643"/>
      <c r="EK58643"/>
    </row>
    <row r="58644" spans="1:141" s="116" customFormat="1">
      <c r="A58644" s="136"/>
      <c r="CM58644" s="111"/>
      <c r="CQ58644" s="111"/>
      <c r="EF58644"/>
      <c r="EG58644"/>
      <c r="EH58644"/>
      <c r="EI58644"/>
      <c r="EJ58644"/>
      <c r="EK58644"/>
    </row>
    <row r="58645" spans="1:141" s="116" customFormat="1">
      <c r="A58645" s="136"/>
      <c r="CM58645" s="111"/>
      <c r="CQ58645" s="111"/>
      <c r="EF58645"/>
      <c r="EG58645"/>
      <c r="EH58645"/>
      <c r="EI58645"/>
      <c r="EJ58645"/>
      <c r="EK58645"/>
    </row>
    <row r="58646" spans="1:141" s="116" customFormat="1">
      <c r="A58646" s="136"/>
      <c r="CM58646" s="111"/>
      <c r="CQ58646" s="111"/>
      <c r="EF58646"/>
      <c r="EG58646"/>
      <c r="EH58646"/>
      <c r="EI58646"/>
      <c r="EJ58646"/>
      <c r="EK58646"/>
    </row>
    <row r="58647" spans="1:141" s="116" customFormat="1">
      <c r="A58647" s="136"/>
      <c r="CM58647" s="111"/>
      <c r="CQ58647" s="111"/>
      <c r="EF58647"/>
      <c r="EG58647"/>
      <c r="EH58647"/>
      <c r="EI58647"/>
      <c r="EJ58647"/>
      <c r="EK58647"/>
    </row>
    <row r="58648" spans="1:141" s="116" customFormat="1">
      <c r="A58648" s="136"/>
      <c r="CM58648" s="111"/>
      <c r="CQ58648" s="111"/>
      <c r="EF58648"/>
      <c r="EG58648"/>
      <c r="EH58648"/>
      <c r="EI58648"/>
      <c r="EJ58648"/>
      <c r="EK58648"/>
    </row>
    <row r="58649" spans="1:141" s="116" customFormat="1">
      <c r="A58649" s="136"/>
      <c r="CM58649" s="111"/>
      <c r="CQ58649" s="111"/>
      <c r="EF58649"/>
      <c r="EG58649"/>
      <c r="EH58649"/>
      <c r="EI58649"/>
      <c r="EJ58649"/>
      <c r="EK58649"/>
    </row>
    <row r="58650" spans="1:141" s="116" customFormat="1">
      <c r="A58650" s="136"/>
      <c r="CM58650" s="111"/>
      <c r="CQ58650" s="111"/>
      <c r="EF58650"/>
      <c r="EG58650"/>
      <c r="EH58650"/>
      <c r="EI58650"/>
      <c r="EJ58650"/>
      <c r="EK58650"/>
    </row>
    <row r="58651" spans="1:141" s="116" customFormat="1">
      <c r="A58651" s="136"/>
      <c r="CM58651" s="111"/>
      <c r="CQ58651" s="111"/>
      <c r="EF58651"/>
      <c r="EG58651"/>
      <c r="EH58651"/>
      <c r="EI58651"/>
      <c r="EJ58651"/>
      <c r="EK58651"/>
    </row>
    <row r="58652" spans="1:141" s="116" customFormat="1">
      <c r="A58652" s="136"/>
      <c r="CM58652" s="111"/>
      <c r="CQ58652" s="111"/>
      <c r="EF58652"/>
      <c r="EG58652"/>
      <c r="EH58652"/>
      <c r="EI58652"/>
      <c r="EJ58652"/>
      <c r="EK58652"/>
    </row>
    <row r="58653" spans="1:141" s="116" customFormat="1">
      <c r="A58653" s="136"/>
      <c r="CM58653" s="111"/>
      <c r="CQ58653" s="111"/>
      <c r="EF58653"/>
      <c r="EG58653"/>
      <c r="EH58653"/>
      <c r="EI58653"/>
      <c r="EJ58653"/>
      <c r="EK58653"/>
    </row>
    <row r="58654" spans="1:141" s="116" customFormat="1">
      <c r="A58654" s="136"/>
      <c r="CM58654" s="111"/>
      <c r="CQ58654" s="111"/>
      <c r="EF58654"/>
      <c r="EG58654"/>
      <c r="EH58654"/>
      <c r="EI58654"/>
      <c r="EJ58654"/>
      <c r="EK58654"/>
    </row>
    <row r="58655" spans="1:141" s="116" customFormat="1">
      <c r="A58655" s="136"/>
      <c r="CM58655" s="111"/>
      <c r="CQ58655" s="111"/>
      <c r="EF58655"/>
      <c r="EG58655"/>
      <c r="EH58655"/>
      <c r="EI58655"/>
      <c r="EJ58655"/>
      <c r="EK58655"/>
    </row>
    <row r="58656" spans="1:141" s="116" customFormat="1">
      <c r="A58656" s="136"/>
      <c r="CM58656" s="111"/>
      <c r="CQ58656" s="111"/>
      <c r="EF58656"/>
      <c r="EG58656"/>
      <c r="EH58656"/>
      <c r="EI58656"/>
      <c r="EJ58656"/>
      <c r="EK58656"/>
    </row>
    <row r="58657" spans="1:141" s="116" customFormat="1">
      <c r="A58657" s="136"/>
      <c r="CM58657" s="111"/>
      <c r="CQ58657" s="111"/>
      <c r="EF58657"/>
      <c r="EG58657"/>
      <c r="EH58657"/>
      <c r="EI58657"/>
      <c r="EJ58657"/>
      <c r="EK58657"/>
    </row>
    <row r="58658" spans="1:141" s="116" customFormat="1">
      <c r="A58658" s="136"/>
      <c r="CM58658" s="111"/>
      <c r="CQ58658" s="111"/>
      <c r="EF58658"/>
      <c r="EG58658"/>
      <c r="EH58658"/>
      <c r="EI58658"/>
      <c r="EJ58658"/>
      <c r="EK58658"/>
    </row>
    <row r="58659" spans="1:141" s="116" customFormat="1">
      <c r="A58659" s="136"/>
      <c r="CM58659" s="111"/>
      <c r="CQ58659" s="111"/>
      <c r="EF58659"/>
      <c r="EG58659"/>
      <c r="EH58659"/>
      <c r="EI58659"/>
      <c r="EJ58659"/>
      <c r="EK58659"/>
    </row>
    <row r="58660" spans="1:141" s="116" customFormat="1">
      <c r="A58660" s="136"/>
      <c r="CM58660" s="111"/>
      <c r="CQ58660" s="111"/>
      <c r="EF58660"/>
      <c r="EG58660"/>
      <c r="EH58660"/>
      <c r="EI58660"/>
      <c r="EJ58660"/>
      <c r="EK58660"/>
    </row>
    <row r="58661" spans="1:141" s="116" customFormat="1">
      <c r="A58661" s="136"/>
      <c r="CM58661" s="111"/>
      <c r="CQ58661" s="111"/>
      <c r="EF58661"/>
      <c r="EG58661"/>
      <c r="EH58661"/>
      <c r="EI58661"/>
      <c r="EJ58661"/>
      <c r="EK58661"/>
    </row>
    <row r="58662" spans="1:141" s="116" customFormat="1">
      <c r="A58662" s="136"/>
      <c r="CM58662" s="111"/>
      <c r="CQ58662" s="111"/>
      <c r="EF58662"/>
      <c r="EG58662"/>
      <c r="EH58662"/>
      <c r="EI58662"/>
      <c r="EJ58662"/>
      <c r="EK58662"/>
    </row>
    <row r="58663" spans="1:141" s="116" customFormat="1">
      <c r="A58663" s="136"/>
      <c r="CM58663" s="111"/>
      <c r="CQ58663" s="111"/>
      <c r="EF58663"/>
      <c r="EG58663"/>
      <c r="EH58663"/>
      <c r="EI58663"/>
      <c r="EJ58663"/>
      <c r="EK58663"/>
    </row>
    <row r="58664" spans="1:141" s="116" customFormat="1">
      <c r="A58664" s="136"/>
      <c r="CM58664" s="111"/>
      <c r="CQ58664" s="111"/>
      <c r="EF58664"/>
      <c r="EG58664"/>
      <c r="EH58664"/>
      <c r="EI58664"/>
      <c r="EJ58664"/>
      <c r="EK58664"/>
    </row>
    <row r="58665" spans="1:141" s="116" customFormat="1">
      <c r="A58665" s="136"/>
      <c r="CM58665" s="111"/>
      <c r="CQ58665" s="111"/>
      <c r="EF58665"/>
      <c r="EG58665"/>
      <c r="EH58665"/>
      <c r="EI58665"/>
      <c r="EJ58665"/>
      <c r="EK58665"/>
    </row>
    <row r="58666" spans="1:141" s="116" customFormat="1">
      <c r="A58666" s="136"/>
      <c r="CM58666" s="111"/>
      <c r="CQ58666" s="111"/>
      <c r="EF58666"/>
      <c r="EG58666"/>
      <c r="EH58666"/>
      <c r="EI58666"/>
      <c r="EJ58666"/>
      <c r="EK58666"/>
    </row>
    <row r="58667" spans="1:141" s="116" customFormat="1">
      <c r="A58667" s="136"/>
      <c r="CM58667" s="111"/>
      <c r="CQ58667" s="111"/>
      <c r="EF58667"/>
      <c r="EG58667"/>
      <c r="EH58667"/>
      <c r="EI58667"/>
      <c r="EJ58667"/>
      <c r="EK58667"/>
    </row>
    <row r="58668" spans="1:141" s="116" customFormat="1">
      <c r="A58668" s="136"/>
      <c r="CM58668" s="111"/>
      <c r="CQ58668" s="111"/>
      <c r="EF58668"/>
      <c r="EG58668"/>
      <c r="EH58668"/>
      <c r="EI58668"/>
      <c r="EJ58668"/>
      <c r="EK58668"/>
    </row>
    <row r="58669" spans="1:141" s="116" customFormat="1">
      <c r="A58669" s="136"/>
      <c r="CM58669" s="111"/>
      <c r="CQ58669" s="111"/>
      <c r="EF58669"/>
      <c r="EG58669"/>
      <c r="EH58669"/>
      <c r="EI58669"/>
      <c r="EJ58669"/>
      <c r="EK58669"/>
    </row>
    <row r="58670" spans="1:141" s="116" customFormat="1">
      <c r="A58670" s="136"/>
      <c r="CM58670" s="111"/>
      <c r="CQ58670" s="111"/>
      <c r="EF58670"/>
      <c r="EG58670"/>
      <c r="EH58670"/>
      <c r="EI58670"/>
      <c r="EJ58670"/>
      <c r="EK58670"/>
    </row>
    <row r="58671" spans="1:141" s="116" customFormat="1">
      <c r="A58671" s="136"/>
      <c r="CM58671" s="111"/>
      <c r="CQ58671" s="111"/>
      <c r="EF58671"/>
      <c r="EG58671"/>
      <c r="EH58671"/>
      <c r="EI58671"/>
      <c r="EJ58671"/>
      <c r="EK58671"/>
    </row>
    <row r="58672" spans="1:141" s="116" customFormat="1">
      <c r="A58672" s="136"/>
      <c r="CM58672" s="111"/>
      <c r="CQ58672" s="111"/>
      <c r="EF58672"/>
      <c r="EG58672"/>
      <c r="EH58672"/>
      <c r="EI58672"/>
      <c r="EJ58672"/>
      <c r="EK58672"/>
    </row>
    <row r="58673" spans="1:141" s="116" customFormat="1">
      <c r="A58673" s="136"/>
      <c r="CM58673" s="111"/>
      <c r="CQ58673" s="111"/>
      <c r="EF58673"/>
      <c r="EG58673"/>
      <c r="EH58673"/>
      <c r="EI58673"/>
      <c r="EJ58673"/>
      <c r="EK58673"/>
    </row>
    <row r="58674" spans="1:141" s="116" customFormat="1">
      <c r="A58674" s="136"/>
      <c r="CM58674" s="111"/>
      <c r="CQ58674" s="111"/>
      <c r="EF58674"/>
      <c r="EG58674"/>
      <c r="EH58674"/>
      <c r="EI58674"/>
      <c r="EJ58674"/>
      <c r="EK58674"/>
    </row>
    <row r="58675" spans="1:141" s="116" customFormat="1">
      <c r="A58675" s="136"/>
      <c r="CM58675" s="111"/>
      <c r="CQ58675" s="111"/>
      <c r="EF58675"/>
      <c r="EG58675"/>
      <c r="EH58675"/>
      <c r="EI58675"/>
      <c r="EJ58675"/>
      <c r="EK58675"/>
    </row>
    <row r="58676" spans="1:141" s="116" customFormat="1">
      <c r="A58676" s="136"/>
      <c r="CM58676" s="111"/>
      <c r="CQ58676" s="111"/>
      <c r="EF58676"/>
      <c r="EG58676"/>
      <c r="EH58676"/>
      <c r="EI58676"/>
      <c r="EJ58676"/>
      <c r="EK58676"/>
    </row>
    <row r="58677" spans="1:141" s="116" customFormat="1">
      <c r="A58677" s="136"/>
      <c r="CM58677" s="111"/>
      <c r="CQ58677" s="111"/>
      <c r="EF58677"/>
      <c r="EG58677"/>
      <c r="EH58677"/>
      <c r="EI58677"/>
      <c r="EJ58677"/>
      <c r="EK58677"/>
    </row>
    <row r="58678" spans="1:141" s="116" customFormat="1">
      <c r="A58678" s="136"/>
      <c r="CM58678" s="111"/>
      <c r="CQ58678" s="111"/>
      <c r="EF58678"/>
      <c r="EG58678"/>
      <c r="EH58678"/>
      <c r="EI58678"/>
      <c r="EJ58678"/>
      <c r="EK58678"/>
    </row>
    <row r="58679" spans="1:141" s="116" customFormat="1">
      <c r="A58679" s="136"/>
      <c r="CM58679" s="111"/>
      <c r="CQ58679" s="111"/>
      <c r="EF58679"/>
      <c r="EG58679"/>
      <c r="EH58679"/>
      <c r="EI58679"/>
      <c r="EJ58679"/>
      <c r="EK58679"/>
    </row>
    <row r="58680" spans="1:141" s="116" customFormat="1">
      <c r="A58680" s="136"/>
      <c r="CM58680" s="111"/>
      <c r="CQ58680" s="111"/>
      <c r="EF58680"/>
      <c r="EG58680"/>
      <c r="EH58680"/>
      <c r="EI58680"/>
      <c r="EJ58680"/>
      <c r="EK58680"/>
    </row>
    <row r="58681" spans="1:141" s="116" customFormat="1">
      <c r="A58681" s="136"/>
      <c r="CM58681" s="111"/>
      <c r="CQ58681" s="111"/>
      <c r="EF58681"/>
      <c r="EG58681"/>
      <c r="EH58681"/>
      <c r="EI58681"/>
      <c r="EJ58681"/>
      <c r="EK58681"/>
    </row>
    <row r="58682" spans="1:141" s="116" customFormat="1">
      <c r="A58682" s="136"/>
      <c r="CM58682" s="111"/>
      <c r="CQ58682" s="111"/>
      <c r="EF58682"/>
      <c r="EG58682"/>
      <c r="EH58682"/>
      <c r="EI58682"/>
      <c r="EJ58682"/>
      <c r="EK58682"/>
    </row>
    <row r="58683" spans="1:141" s="116" customFormat="1">
      <c r="A58683" s="136"/>
      <c r="CM58683" s="111"/>
      <c r="CQ58683" s="111"/>
      <c r="EF58683"/>
      <c r="EG58683"/>
      <c r="EH58683"/>
      <c r="EI58683"/>
      <c r="EJ58683"/>
      <c r="EK58683"/>
    </row>
    <row r="58684" spans="1:141" s="116" customFormat="1">
      <c r="A58684" s="136"/>
      <c r="CM58684" s="111"/>
      <c r="CQ58684" s="111"/>
      <c r="EF58684"/>
      <c r="EG58684"/>
      <c r="EH58684"/>
      <c r="EI58684"/>
      <c r="EJ58684"/>
      <c r="EK58684"/>
    </row>
    <row r="58685" spans="1:141" s="116" customFormat="1">
      <c r="A58685" s="136"/>
      <c r="CM58685" s="111"/>
      <c r="CQ58685" s="111"/>
      <c r="EF58685"/>
      <c r="EG58685"/>
      <c r="EH58685"/>
      <c r="EI58685"/>
      <c r="EJ58685"/>
      <c r="EK58685"/>
    </row>
    <row r="58686" spans="1:141" s="116" customFormat="1">
      <c r="A58686" s="136"/>
      <c r="CM58686" s="111"/>
      <c r="CQ58686" s="111"/>
      <c r="EF58686"/>
      <c r="EG58686"/>
      <c r="EH58686"/>
      <c r="EI58686"/>
      <c r="EJ58686"/>
      <c r="EK58686"/>
    </row>
    <row r="58687" spans="1:141" s="116" customFormat="1">
      <c r="A58687" s="136"/>
      <c r="CM58687" s="111"/>
      <c r="CQ58687" s="111"/>
      <c r="EF58687"/>
      <c r="EG58687"/>
      <c r="EH58687"/>
      <c r="EI58687"/>
      <c r="EJ58687"/>
      <c r="EK58687"/>
    </row>
    <row r="58688" spans="1:141" s="116" customFormat="1">
      <c r="A58688" s="136"/>
      <c r="CM58688" s="111"/>
      <c r="CQ58688" s="111"/>
      <c r="EF58688"/>
      <c r="EG58688"/>
      <c r="EH58688"/>
      <c r="EI58688"/>
      <c r="EJ58688"/>
      <c r="EK58688"/>
    </row>
    <row r="58689" spans="1:141" s="116" customFormat="1">
      <c r="A58689" s="136"/>
      <c r="CM58689" s="111"/>
      <c r="CQ58689" s="111"/>
      <c r="EF58689"/>
      <c r="EG58689"/>
      <c r="EH58689"/>
      <c r="EI58689"/>
      <c r="EJ58689"/>
      <c r="EK58689"/>
    </row>
    <row r="58690" spans="1:141" s="116" customFormat="1">
      <c r="A58690" s="136"/>
      <c r="CM58690" s="111"/>
      <c r="CQ58690" s="111"/>
      <c r="EF58690"/>
      <c r="EG58690"/>
      <c r="EH58690"/>
      <c r="EI58690"/>
      <c r="EJ58690"/>
      <c r="EK58690"/>
    </row>
    <row r="58691" spans="1:141" s="116" customFormat="1">
      <c r="A58691" s="136"/>
      <c r="CM58691" s="111"/>
      <c r="CQ58691" s="111"/>
      <c r="EF58691"/>
      <c r="EG58691"/>
      <c r="EH58691"/>
      <c r="EI58691"/>
      <c r="EJ58691"/>
      <c r="EK58691"/>
    </row>
    <row r="58692" spans="1:141" s="116" customFormat="1">
      <c r="A58692" s="136"/>
      <c r="CM58692" s="111"/>
      <c r="CQ58692" s="111"/>
      <c r="EF58692"/>
      <c r="EG58692"/>
      <c r="EH58692"/>
      <c r="EI58692"/>
      <c r="EJ58692"/>
      <c r="EK58692"/>
    </row>
    <row r="58693" spans="1:141" s="116" customFormat="1">
      <c r="A58693" s="136"/>
      <c r="CM58693" s="111"/>
      <c r="CQ58693" s="111"/>
      <c r="EF58693"/>
      <c r="EG58693"/>
      <c r="EH58693"/>
      <c r="EI58693"/>
      <c r="EJ58693"/>
      <c r="EK58693"/>
    </row>
    <row r="58694" spans="1:141" s="116" customFormat="1">
      <c r="A58694" s="136"/>
      <c r="CM58694" s="111"/>
      <c r="CQ58694" s="111"/>
      <c r="EF58694"/>
      <c r="EG58694"/>
      <c r="EH58694"/>
      <c r="EI58694"/>
      <c r="EJ58694"/>
      <c r="EK58694"/>
    </row>
    <row r="58695" spans="1:141" s="116" customFormat="1">
      <c r="A58695" s="136"/>
      <c r="CM58695" s="111"/>
      <c r="CQ58695" s="111"/>
      <c r="EF58695"/>
      <c r="EG58695"/>
      <c r="EH58695"/>
      <c r="EI58695"/>
      <c r="EJ58695"/>
      <c r="EK58695"/>
    </row>
    <row r="58696" spans="1:141" s="116" customFormat="1">
      <c r="A58696" s="136"/>
      <c r="CM58696" s="111"/>
      <c r="CQ58696" s="111"/>
      <c r="EF58696"/>
      <c r="EG58696"/>
      <c r="EH58696"/>
      <c r="EI58696"/>
      <c r="EJ58696"/>
      <c r="EK58696"/>
    </row>
    <row r="58697" spans="1:141" s="116" customFormat="1">
      <c r="A58697" s="136"/>
      <c r="CM58697" s="111"/>
      <c r="CQ58697" s="111"/>
      <c r="EF58697"/>
      <c r="EG58697"/>
      <c r="EH58697"/>
      <c r="EI58697"/>
      <c r="EJ58697"/>
      <c r="EK58697"/>
    </row>
    <row r="58698" spans="1:141" s="116" customFormat="1">
      <c r="A58698" s="136"/>
      <c r="CM58698" s="111"/>
      <c r="CQ58698" s="111"/>
      <c r="EF58698"/>
      <c r="EG58698"/>
      <c r="EH58698"/>
      <c r="EI58698"/>
      <c r="EJ58698"/>
      <c r="EK58698"/>
    </row>
    <row r="58699" spans="1:141" s="116" customFormat="1">
      <c r="A58699" s="136"/>
      <c r="CM58699" s="111"/>
      <c r="CQ58699" s="111"/>
      <c r="EF58699"/>
      <c r="EG58699"/>
      <c r="EH58699"/>
      <c r="EI58699"/>
      <c r="EJ58699"/>
      <c r="EK58699"/>
    </row>
    <row r="58700" spans="1:141" s="116" customFormat="1">
      <c r="A58700" s="136"/>
      <c r="CM58700" s="111"/>
      <c r="CQ58700" s="111"/>
      <c r="EF58700"/>
      <c r="EG58700"/>
      <c r="EH58700"/>
      <c r="EI58700"/>
      <c r="EJ58700"/>
      <c r="EK58700"/>
    </row>
    <row r="58701" spans="1:141" s="116" customFormat="1">
      <c r="A58701" s="136"/>
      <c r="CM58701" s="111"/>
      <c r="CQ58701" s="111"/>
      <c r="EF58701"/>
      <c r="EG58701"/>
      <c r="EH58701"/>
      <c r="EI58701"/>
      <c r="EJ58701"/>
      <c r="EK58701"/>
    </row>
    <row r="58702" spans="1:141" s="116" customFormat="1">
      <c r="A58702" s="136"/>
      <c r="CM58702" s="111"/>
      <c r="CQ58702" s="111"/>
      <c r="EF58702"/>
      <c r="EG58702"/>
      <c r="EH58702"/>
      <c r="EI58702"/>
      <c r="EJ58702"/>
      <c r="EK58702"/>
    </row>
    <row r="58703" spans="1:141" s="116" customFormat="1">
      <c r="A58703" s="136"/>
      <c r="CM58703" s="111"/>
      <c r="CQ58703" s="111"/>
      <c r="EF58703"/>
      <c r="EG58703"/>
      <c r="EH58703"/>
      <c r="EI58703"/>
      <c r="EJ58703"/>
      <c r="EK58703"/>
    </row>
    <row r="58704" spans="1:141" s="116" customFormat="1">
      <c r="A58704" s="136"/>
      <c r="CM58704" s="111"/>
      <c r="CQ58704" s="111"/>
      <c r="EF58704"/>
      <c r="EG58704"/>
      <c r="EH58704"/>
      <c r="EI58704"/>
      <c r="EJ58704"/>
      <c r="EK58704"/>
    </row>
    <row r="58705" spans="1:141" s="116" customFormat="1">
      <c r="A58705" s="136"/>
      <c r="CM58705" s="111"/>
      <c r="CQ58705" s="111"/>
      <c r="EF58705"/>
      <c r="EG58705"/>
      <c r="EH58705"/>
      <c r="EI58705"/>
      <c r="EJ58705"/>
      <c r="EK58705"/>
    </row>
    <row r="58706" spans="1:141" s="116" customFormat="1">
      <c r="A58706" s="136"/>
      <c r="CM58706" s="111"/>
      <c r="CQ58706" s="111"/>
      <c r="EF58706"/>
      <c r="EG58706"/>
      <c r="EH58706"/>
      <c r="EI58706"/>
      <c r="EJ58706"/>
      <c r="EK58706"/>
    </row>
    <row r="58707" spans="1:141" s="116" customFormat="1">
      <c r="A58707" s="136"/>
      <c r="CM58707" s="111"/>
      <c r="CQ58707" s="111"/>
      <c r="EF58707"/>
      <c r="EG58707"/>
      <c r="EH58707"/>
      <c r="EI58707"/>
      <c r="EJ58707"/>
      <c r="EK58707"/>
    </row>
    <row r="58708" spans="1:141" s="116" customFormat="1">
      <c r="A58708" s="136"/>
      <c r="CM58708" s="111"/>
      <c r="CQ58708" s="111"/>
      <c r="EF58708"/>
      <c r="EG58708"/>
      <c r="EH58708"/>
      <c r="EI58708"/>
      <c r="EJ58708"/>
      <c r="EK58708"/>
    </row>
    <row r="58709" spans="1:141" s="116" customFormat="1">
      <c r="A58709" s="136"/>
      <c r="CM58709" s="111"/>
      <c r="CQ58709" s="111"/>
      <c r="EF58709"/>
      <c r="EG58709"/>
      <c r="EH58709"/>
      <c r="EI58709"/>
      <c r="EJ58709"/>
      <c r="EK58709"/>
    </row>
    <row r="58710" spans="1:141" s="116" customFormat="1">
      <c r="A58710" s="136"/>
      <c r="CM58710" s="111"/>
      <c r="CQ58710" s="111"/>
      <c r="EF58710"/>
      <c r="EG58710"/>
      <c r="EH58710"/>
      <c r="EI58710"/>
      <c r="EJ58710"/>
      <c r="EK58710"/>
    </row>
    <row r="58711" spans="1:141" s="116" customFormat="1">
      <c r="A58711" s="136"/>
      <c r="CM58711" s="111"/>
      <c r="CQ58711" s="111"/>
      <c r="EF58711"/>
      <c r="EG58711"/>
      <c r="EH58711"/>
      <c r="EI58711"/>
      <c r="EJ58711"/>
      <c r="EK58711"/>
    </row>
    <row r="58712" spans="1:141" s="116" customFormat="1">
      <c r="A58712" s="136"/>
      <c r="CM58712" s="111"/>
      <c r="CQ58712" s="111"/>
      <c r="EF58712"/>
      <c r="EG58712"/>
      <c r="EH58712"/>
      <c r="EI58712"/>
      <c r="EJ58712"/>
      <c r="EK58712"/>
    </row>
    <row r="58713" spans="1:141" s="116" customFormat="1">
      <c r="A58713" s="136"/>
      <c r="CM58713" s="111"/>
      <c r="CQ58713" s="111"/>
      <c r="EF58713"/>
      <c r="EG58713"/>
      <c r="EH58713"/>
      <c r="EI58713"/>
      <c r="EJ58713"/>
      <c r="EK58713"/>
    </row>
    <row r="58714" spans="1:141" s="116" customFormat="1">
      <c r="A58714" s="136"/>
      <c r="CM58714" s="111"/>
      <c r="CQ58714" s="111"/>
      <c r="EF58714"/>
      <c r="EG58714"/>
      <c r="EH58714"/>
      <c r="EI58714"/>
      <c r="EJ58714"/>
      <c r="EK58714"/>
    </row>
    <row r="58715" spans="1:141" s="116" customFormat="1">
      <c r="A58715" s="136"/>
      <c r="CM58715" s="111"/>
      <c r="CQ58715" s="111"/>
      <c r="EF58715"/>
      <c r="EG58715"/>
      <c r="EH58715"/>
      <c r="EI58715"/>
      <c r="EJ58715"/>
      <c r="EK58715"/>
    </row>
    <row r="58716" spans="1:141" s="116" customFormat="1">
      <c r="A58716" s="136"/>
      <c r="CM58716" s="111"/>
      <c r="CQ58716" s="111"/>
      <c r="EF58716"/>
      <c r="EG58716"/>
      <c r="EH58716"/>
      <c r="EI58716"/>
      <c r="EJ58716"/>
      <c r="EK58716"/>
    </row>
    <row r="58717" spans="1:141" s="116" customFormat="1">
      <c r="A58717" s="136"/>
      <c r="CM58717" s="111"/>
      <c r="CQ58717" s="111"/>
      <c r="EF58717"/>
      <c r="EG58717"/>
      <c r="EH58717"/>
      <c r="EI58717"/>
      <c r="EJ58717"/>
      <c r="EK58717"/>
    </row>
    <row r="58718" spans="1:141" s="116" customFormat="1">
      <c r="A58718" s="136"/>
      <c r="CM58718" s="111"/>
      <c r="CQ58718" s="111"/>
      <c r="EF58718"/>
      <c r="EG58718"/>
      <c r="EH58718"/>
      <c r="EI58718"/>
      <c r="EJ58718"/>
      <c r="EK58718"/>
    </row>
    <row r="58719" spans="1:141" s="116" customFormat="1">
      <c r="A58719" s="136"/>
      <c r="CM58719" s="111"/>
      <c r="CQ58719" s="111"/>
      <c r="EF58719"/>
      <c r="EG58719"/>
      <c r="EH58719"/>
      <c r="EI58719"/>
      <c r="EJ58719"/>
      <c r="EK58719"/>
    </row>
    <row r="58720" spans="1:141" s="116" customFormat="1">
      <c r="A58720" s="136"/>
      <c r="CM58720" s="111"/>
      <c r="CQ58720" s="111"/>
      <c r="EF58720"/>
      <c r="EG58720"/>
      <c r="EH58720"/>
      <c r="EI58720"/>
      <c r="EJ58720"/>
      <c r="EK58720"/>
    </row>
    <row r="58721" spans="1:141" s="116" customFormat="1">
      <c r="A58721" s="136"/>
      <c r="CM58721" s="111"/>
      <c r="CQ58721" s="111"/>
      <c r="EF58721"/>
      <c r="EG58721"/>
      <c r="EH58721"/>
      <c r="EI58721"/>
      <c r="EJ58721"/>
      <c r="EK58721"/>
    </row>
    <row r="58722" spans="1:141" s="116" customFormat="1">
      <c r="A58722" s="136"/>
      <c r="CM58722" s="111"/>
      <c r="CQ58722" s="111"/>
      <c r="EF58722"/>
      <c r="EG58722"/>
      <c r="EH58722"/>
      <c r="EI58722"/>
      <c r="EJ58722"/>
      <c r="EK58722"/>
    </row>
    <row r="58723" spans="1:141" s="116" customFormat="1">
      <c r="A58723" s="136"/>
      <c r="CM58723" s="111"/>
      <c r="CQ58723" s="111"/>
      <c r="EF58723"/>
      <c r="EG58723"/>
      <c r="EH58723"/>
      <c r="EI58723"/>
      <c r="EJ58723"/>
      <c r="EK58723"/>
    </row>
    <row r="58724" spans="1:141" s="116" customFormat="1">
      <c r="A58724" s="136"/>
      <c r="CM58724" s="111"/>
      <c r="CQ58724" s="111"/>
      <c r="EF58724"/>
      <c r="EG58724"/>
      <c r="EH58724"/>
      <c r="EI58724"/>
      <c r="EJ58724"/>
      <c r="EK58724"/>
    </row>
    <row r="58725" spans="1:141" s="116" customFormat="1">
      <c r="A58725" s="136"/>
      <c r="CM58725" s="111"/>
      <c r="CQ58725" s="111"/>
      <c r="EF58725"/>
      <c r="EG58725"/>
      <c r="EH58725"/>
      <c r="EI58725"/>
      <c r="EJ58725"/>
      <c r="EK58725"/>
    </row>
    <row r="58726" spans="1:141" s="116" customFormat="1">
      <c r="A58726" s="136"/>
      <c r="CM58726" s="111"/>
      <c r="CQ58726" s="111"/>
      <c r="EF58726"/>
      <c r="EG58726"/>
      <c r="EH58726"/>
      <c r="EI58726"/>
      <c r="EJ58726"/>
      <c r="EK58726"/>
    </row>
    <row r="58727" spans="1:141" s="116" customFormat="1">
      <c r="A58727" s="136"/>
      <c r="CM58727" s="111"/>
      <c r="CQ58727" s="111"/>
      <c r="EF58727"/>
      <c r="EG58727"/>
      <c r="EH58727"/>
      <c r="EI58727"/>
      <c r="EJ58727"/>
      <c r="EK58727"/>
    </row>
    <row r="58728" spans="1:141" s="116" customFormat="1">
      <c r="A58728" s="136"/>
      <c r="CM58728" s="111"/>
      <c r="CQ58728" s="111"/>
      <c r="EF58728"/>
      <c r="EG58728"/>
      <c r="EH58728"/>
      <c r="EI58728"/>
      <c r="EJ58728"/>
      <c r="EK58728"/>
    </row>
    <row r="58729" spans="1:141" s="116" customFormat="1">
      <c r="A58729" s="136"/>
      <c r="CM58729" s="111"/>
      <c r="CQ58729" s="111"/>
      <c r="EF58729"/>
      <c r="EG58729"/>
      <c r="EH58729"/>
      <c r="EI58729"/>
      <c r="EJ58729"/>
      <c r="EK58729"/>
    </row>
    <row r="58730" spans="1:141" s="116" customFormat="1">
      <c r="A58730" s="136"/>
      <c r="CM58730" s="111"/>
      <c r="CQ58730" s="111"/>
      <c r="EF58730"/>
      <c r="EG58730"/>
      <c r="EH58730"/>
      <c r="EI58730"/>
      <c r="EJ58730"/>
      <c r="EK58730"/>
    </row>
    <row r="58731" spans="1:141" s="116" customFormat="1">
      <c r="A58731" s="136"/>
      <c r="CM58731" s="111"/>
      <c r="CQ58731" s="111"/>
      <c r="EF58731"/>
      <c r="EG58731"/>
      <c r="EH58731"/>
      <c r="EI58731"/>
      <c r="EJ58731"/>
      <c r="EK58731"/>
    </row>
    <row r="58732" spans="1:141" s="116" customFormat="1">
      <c r="A58732" s="136"/>
      <c r="CM58732" s="111"/>
      <c r="CQ58732" s="111"/>
      <c r="EF58732"/>
      <c r="EG58732"/>
      <c r="EH58732"/>
      <c r="EI58732"/>
      <c r="EJ58732"/>
      <c r="EK58732"/>
    </row>
    <row r="58733" spans="1:141" s="116" customFormat="1">
      <c r="A58733" s="136"/>
      <c r="CM58733" s="111"/>
      <c r="CQ58733" s="111"/>
      <c r="EF58733"/>
      <c r="EG58733"/>
      <c r="EH58733"/>
      <c r="EI58733"/>
      <c r="EJ58733"/>
      <c r="EK58733"/>
    </row>
    <row r="58734" spans="1:141" s="116" customFormat="1">
      <c r="A58734" s="136"/>
      <c r="CM58734" s="111"/>
      <c r="CQ58734" s="111"/>
      <c r="EF58734"/>
      <c r="EG58734"/>
      <c r="EH58734"/>
      <c r="EI58734"/>
      <c r="EJ58734"/>
      <c r="EK58734"/>
    </row>
    <row r="58735" spans="1:141" s="116" customFormat="1">
      <c r="A58735" s="136"/>
      <c r="CM58735" s="111"/>
      <c r="CQ58735" s="111"/>
      <c r="EF58735"/>
      <c r="EG58735"/>
      <c r="EH58735"/>
      <c r="EI58735"/>
      <c r="EJ58735"/>
      <c r="EK58735"/>
    </row>
    <row r="58736" spans="1:141" s="116" customFormat="1">
      <c r="A58736" s="136"/>
      <c r="CM58736" s="111"/>
      <c r="CQ58736" s="111"/>
      <c r="EF58736"/>
      <c r="EG58736"/>
      <c r="EH58736"/>
      <c r="EI58736"/>
      <c r="EJ58736"/>
      <c r="EK58736"/>
    </row>
    <row r="58737" spans="1:141" s="116" customFormat="1">
      <c r="A58737" s="136"/>
      <c r="CM58737" s="111"/>
      <c r="CQ58737" s="111"/>
      <c r="EF58737"/>
      <c r="EG58737"/>
      <c r="EH58737"/>
      <c r="EI58737"/>
      <c r="EJ58737"/>
      <c r="EK58737"/>
    </row>
    <row r="58738" spans="1:141" s="116" customFormat="1">
      <c r="A58738" s="136"/>
      <c r="CM58738" s="111"/>
      <c r="CQ58738" s="111"/>
      <c r="EF58738"/>
      <c r="EG58738"/>
      <c r="EH58738"/>
      <c r="EI58738"/>
      <c r="EJ58738"/>
      <c r="EK58738"/>
    </row>
    <row r="58739" spans="1:141" s="116" customFormat="1">
      <c r="A58739" s="136"/>
      <c r="CM58739" s="111"/>
      <c r="CQ58739" s="111"/>
      <c r="EF58739"/>
      <c r="EG58739"/>
      <c r="EH58739"/>
      <c r="EI58739"/>
      <c r="EJ58739"/>
      <c r="EK58739"/>
    </row>
    <row r="58740" spans="1:141" s="116" customFormat="1">
      <c r="A58740" s="136"/>
      <c r="CM58740" s="111"/>
      <c r="CQ58740" s="111"/>
      <c r="EF58740"/>
      <c r="EG58740"/>
      <c r="EH58740"/>
      <c r="EI58740"/>
      <c r="EJ58740"/>
      <c r="EK58740"/>
    </row>
    <row r="58741" spans="1:141" s="116" customFormat="1">
      <c r="A58741" s="136"/>
      <c r="CM58741" s="111"/>
      <c r="CQ58741" s="111"/>
      <c r="EF58741"/>
      <c r="EG58741"/>
      <c r="EH58741"/>
      <c r="EI58741"/>
      <c r="EJ58741"/>
      <c r="EK58741"/>
    </row>
    <row r="58742" spans="1:141" s="116" customFormat="1">
      <c r="A58742" s="136"/>
      <c r="CM58742" s="111"/>
      <c r="CQ58742" s="111"/>
      <c r="EF58742"/>
      <c r="EG58742"/>
      <c r="EH58742"/>
      <c r="EI58742"/>
      <c r="EJ58742"/>
      <c r="EK58742"/>
    </row>
    <row r="58743" spans="1:141" s="116" customFormat="1">
      <c r="A58743" s="136"/>
      <c r="CM58743" s="111"/>
      <c r="CQ58743" s="111"/>
      <c r="EF58743"/>
      <c r="EG58743"/>
      <c r="EH58743"/>
      <c r="EI58743"/>
      <c r="EJ58743"/>
      <c r="EK58743"/>
    </row>
    <row r="58744" spans="1:141" s="116" customFormat="1">
      <c r="A58744" s="136"/>
      <c r="CM58744" s="111"/>
      <c r="CQ58744" s="111"/>
      <c r="EF58744"/>
      <c r="EG58744"/>
      <c r="EH58744"/>
      <c r="EI58744"/>
      <c r="EJ58744"/>
      <c r="EK58744"/>
    </row>
    <row r="58745" spans="1:141" s="116" customFormat="1">
      <c r="A58745" s="136"/>
      <c r="CM58745" s="111"/>
      <c r="CQ58745" s="111"/>
      <c r="EF58745"/>
      <c r="EG58745"/>
      <c r="EH58745"/>
      <c r="EI58745"/>
      <c r="EJ58745"/>
      <c r="EK58745"/>
    </row>
    <row r="58746" spans="1:141" s="116" customFormat="1">
      <c r="A58746" s="136"/>
      <c r="CM58746" s="111"/>
      <c r="CQ58746" s="111"/>
      <c r="EF58746"/>
      <c r="EG58746"/>
      <c r="EH58746"/>
      <c r="EI58746"/>
      <c r="EJ58746"/>
      <c r="EK58746"/>
    </row>
    <row r="58747" spans="1:141" s="116" customFormat="1">
      <c r="A58747" s="136"/>
      <c r="CM58747" s="111"/>
      <c r="CQ58747" s="111"/>
      <c r="EF58747"/>
      <c r="EG58747"/>
      <c r="EH58747"/>
      <c r="EI58747"/>
      <c r="EJ58747"/>
      <c r="EK58747"/>
    </row>
    <row r="58748" spans="1:141" s="116" customFormat="1">
      <c r="A58748" s="136"/>
      <c r="CM58748" s="111"/>
      <c r="CQ58748" s="111"/>
      <c r="EF58748"/>
      <c r="EG58748"/>
      <c r="EH58748"/>
      <c r="EI58748"/>
      <c r="EJ58748"/>
      <c r="EK58748"/>
    </row>
    <row r="58749" spans="1:141" s="116" customFormat="1">
      <c r="A58749" s="136"/>
      <c r="CM58749" s="111"/>
      <c r="CQ58749" s="111"/>
      <c r="EF58749"/>
      <c r="EG58749"/>
      <c r="EH58749"/>
      <c r="EI58749"/>
      <c r="EJ58749"/>
      <c r="EK58749"/>
    </row>
    <row r="58750" spans="1:141" s="116" customFormat="1">
      <c r="A58750" s="136"/>
      <c r="CM58750" s="111"/>
      <c r="CQ58750" s="111"/>
      <c r="EF58750"/>
      <c r="EG58750"/>
      <c r="EH58750"/>
      <c r="EI58750"/>
      <c r="EJ58750"/>
      <c r="EK58750"/>
    </row>
    <row r="58751" spans="1:141" s="116" customFormat="1">
      <c r="A58751" s="136"/>
      <c r="CM58751" s="111"/>
      <c r="CQ58751" s="111"/>
      <c r="EF58751"/>
      <c r="EG58751"/>
      <c r="EH58751"/>
      <c r="EI58751"/>
      <c r="EJ58751"/>
      <c r="EK58751"/>
    </row>
    <row r="58752" spans="1:141" s="116" customFormat="1">
      <c r="A58752" s="136"/>
      <c r="CM58752" s="111"/>
      <c r="CQ58752" s="111"/>
      <c r="EF58752"/>
      <c r="EG58752"/>
      <c r="EH58752"/>
      <c r="EI58752"/>
      <c r="EJ58752"/>
      <c r="EK58752"/>
    </row>
    <row r="58753" spans="1:141" s="116" customFormat="1">
      <c r="A58753" s="136"/>
      <c r="CM58753" s="111"/>
      <c r="CQ58753" s="111"/>
      <c r="EF58753"/>
      <c r="EG58753"/>
      <c r="EH58753"/>
      <c r="EI58753"/>
      <c r="EJ58753"/>
      <c r="EK58753"/>
    </row>
    <row r="58754" spans="1:141" s="116" customFormat="1">
      <c r="A58754" s="136"/>
      <c r="CM58754" s="111"/>
      <c r="CQ58754" s="111"/>
      <c r="EF58754"/>
      <c r="EG58754"/>
      <c r="EH58754"/>
      <c r="EI58754"/>
      <c r="EJ58754"/>
      <c r="EK58754"/>
    </row>
    <row r="58755" spans="1:141" s="116" customFormat="1">
      <c r="A58755" s="136"/>
      <c r="CM58755" s="111"/>
      <c r="CQ58755" s="111"/>
      <c r="EF58755"/>
      <c r="EG58755"/>
      <c r="EH58755"/>
      <c r="EI58755"/>
      <c r="EJ58755"/>
      <c r="EK58755"/>
    </row>
    <row r="58756" spans="1:141" s="116" customFormat="1">
      <c r="A58756" s="136"/>
      <c r="CM58756" s="111"/>
      <c r="CQ58756" s="111"/>
      <c r="EF58756"/>
      <c r="EG58756"/>
      <c r="EH58756"/>
      <c r="EI58756"/>
      <c r="EJ58756"/>
      <c r="EK58756"/>
    </row>
    <row r="58757" spans="1:141" s="116" customFormat="1">
      <c r="A58757" s="136"/>
      <c r="CM58757" s="111"/>
      <c r="CQ58757" s="111"/>
      <c r="EF58757"/>
      <c r="EG58757"/>
      <c r="EH58757"/>
      <c r="EI58757"/>
      <c r="EJ58757"/>
      <c r="EK58757"/>
    </row>
    <row r="58758" spans="1:141" s="116" customFormat="1">
      <c r="A58758" s="136"/>
      <c r="CM58758" s="111"/>
      <c r="CQ58758" s="111"/>
      <c r="EF58758"/>
      <c r="EG58758"/>
      <c r="EH58758"/>
      <c r="EI58758"/>
      <c r="EJ58758"/>
      <c r="EK58758"/>
    </row>
    <row r="58759" spans="1:141" s="116" customFormat="1">
      <c r="A58759" s="136"/>
      <c r="CM58759" s="111"/>
      <c r="CQ58759" s="111"/>
      <c r="EF58759"/>
      <c r="EG58759"/>
      <c r="EH58759"/>
      <c r="EI58759"/>
      <c r="EJ58759"/>
      <c r="EK58759"/>
    </row>
    <row r="58760" spans="1:141" s="116" customFormat="1">
      <c r="A58760" s="136"/>
      <c r="CM58760" s="111"/>
      <c r="CQ58760" s="111"/>
      <c r="EF58760"/>
      <c r="EG58760"/>
      <c r="EH58760"/>
      <c r="EI58760"/>
      <c r="EJ58760"/>
      <c r="EK58760"/>
    </row>
    <row r="58761" spans="1:141" s="116" customFormat="1">
      <c r="A58761" s="136"/>
      <c r="CM58761" s="111"/>
      <c r="CQ58761" s="111"/>
      <c r="EF58761"/>
      <c r="EG58761"/>
      <c r="EH58761"/>
      <c r="EI58761"/>
      <c r="EJ58761"/>
      <c r="EK58761"/>
    </row>
    <row r="58762" spans="1:141" s="116" customFormat="1">
      <c r="A58762" s="136"/>
      <c r="CM58762" s="111"/>
      <c r="CQ58762" s="111"/>
      <c r="EF58762"/>
      <c r="EG58762"/>
      <c r="EH58762"/>
      <c r="EI58762"/>
      <c r="EJ58762"/>
      <c r="EK58762"/>
    </row>
    <row r="58763" spans="1:141" s="116" customFormat="1">
      <c r="A58763" s="136"/>
      <c r="CM58763" s="111"/>
      <c r="CQ58763" s="111"/>
      <c r="EF58763"/>
      <c r="EG58763"/>
      <c r="EH58763"/>
      <c r="EI58763"/>
      <c r="EJ58763"/>
      <c r="EK58763"/>
    </row>
    <row r="58764" spans="1:141" s="116" customFormat="1">
      <c r="A58764" s="136"/>
      <c r="CM58764" s="111"/>
      <c r="CQ58764" s="111"/>
      <c r="EF58764"/>
      <c r="EG58764"/>
      <c r="EH58764"/>
      <c r="EI58764"/>
      <c r="EJ58764"/>
      <c r="EK58764"/>
    </row>
    <row r="58765" spans="1:141" s="116" customFormat="1">
      <c r="A58765" s="136"/>
      <c r="CM58765" s="111"/>
      <c r="CQ58765" s="111"/>
      <c r="EF58765"/>
      <c r="EG58765"/>
      <c r="EH58765"/>
      <c r="EI58765"/>
      <c r="EJ58765"/>
      <c r="EK58765"/>
    </row>
    <row r="58766" spans="1:141" s="116" customFormat="1">
      <c r="A58766" s="136"/>
      <c r="CM58766" s="111"/>
      <c r="CQ58766" s="111"/>
      <c r="EF58766"/>
      <c r="EG58766"/>
      <c r="EH58766"/>
      <c r="EI58766"/>
      <c r="EJ58766"/>
      <c r="EK58766"/>
    </row>
    <row r="58767" spans="1:141" s="116" customFormat="1">
      <c r="A58767" s="136"/>
      <c r="CM58767" s="111"/>
      <c r="CQ58767" s="111"/>
      <c r="EF58767"/>
      <c r="EG58767"/>
      <c r="EH58767"/>
      <c r="EI58767"/>
      <c r="EJ58767"/>
      <c r="EK58767"/>
    </row>
    <row r="58768" spans="1:141" s="116" customFormat="1">
      <c r="A58768" s="136"/>
      <c r="CM58768" s="111"/>
      <c r="CQ58768" s="111"/>
      <c r="EF58768"/>
      <c r="EG58768"/>
      <c r="EH58768"/>
      <c r="EI58768"/>
      <c r="EJ58768"/>
      <c r="EK58768"/>
    </row>
    <row r="58769" spans="1:141" s="116" customFormat="1">
      <c r="A58769" s="136"/>
      <c r="CM58769" s="111"/>
      <c r="CQ58769" s="111"/>
      <c r="EF58769"/>
      <c r="EG58769"/>
      <c r="EH58769"/>
      <c r="EI58769"/>
      <c r="EJ58769"/>
      <c r="EK58769"/>
    </row>
    <row r="58770" spans="1:141" s="116" customFormat="1">
      <c r="A58770" s="136"/>
      <c r="CM58770" s="111"/>
      <c r="CQ58770" s="111"/>
      <c r="EF58770"/>
      <c r="EG58770"/>
      <c r="EH58770"/>
      <c r="EI58770"/>
      <c r="EJ58770"/>
      <c r="EK58770"/>
    </row>
    <row r="58771" spans="1:141" s="116" customFormat="1">
      <c r="A58771" s="136"/>
      <c r="CM58771" s="111"/>
      <c r="CQ58771" s="111"/>
      <c r="EF58771"/>
      <c r="EG58771"/>
      <c r="EH58771"/>
      <c r="EI58771"/>
      <c r="EJ58771"/>
      <c r="EK58771"/>
    </row>
    <row r="58772" spans="1:141" s="116" customFormat="1">
      <c r="A58772" s="136"/>
      <c r="CM58772" s="111"/>
      <c r="CQ58772" s="111"/>
      <c r="EF58772"/>
      <c r="EG58772"/>
      <c r="EH58772"/>
      <c r="EI58772"/>
      <c r="EJ58772"/>
      <c r="EK58772"/>
    </row>
    <row r="58773" spans="1:141" s="116" customFormat="1">
      <c r="A58773" s="136"/>
      <c r="CM58773" s="111"/>
      <c r="CQ58773" s="111"/>
      <c r="EF58773"/>
      <c r="EG58773"/>
      <c r="EH58773"/>
      <c r="EI58773"/>
      <c r="EJ58773"/>
      <c r="EK58773"/>
    </row>
    <row r="58774" spans="1:141" s="116" customFormat="1">
      <c r="A58774" s="136"/>
      <c r="CM58774" s="111"/>
      <c r="CQ58774" s="111"/>
      <c r="EF58774"/>
      <c r="EG58774"/>
      <c r="EH58774"/>
      <c r="EI58774"/>
      <c r="EJ58774"/>
      <c r="EK58774"/>
    </row>
    <row r="58775" spans="1:141" s="116" customFormat="1">
      <c r="A58775" s="136"/>
      <c r="CM58775" s="111"/>
      <c r="CQ58775" s="111"/>
      <c r="EF58775"/>
      <c r="EG58775"/>
      <c r="EH58775"/>
      <c r="EI58775"/>
      <c r="EJ58775"/>
      <c r="EK58775"/>
    </row>
    <row r="58776" spans="1:141" s="116" customFormat="1">
      <c r="A58776" s="136"/>
      <c r="CM58776" s="111"/>
      <c r="CQ58776" s="111"/>
      <c r="EF58776"/>
      <c r="EG58776"/>
      <c r="EH58776"/>
      <c r="EI58776"/>
      <c r="EJ58776"/>
      <c r="EK58776"/>
    </row>
    <row r="58777" spans="1:141" s="116" customFormat="1">
      <c r="A58777" s="136"/>
      <c r="CM58777" s="111"/>
      <c r="CQ58777" s="111"/>
      <c r="EF58777"/>
      <c r="EG58777"/>
      <c r="EH58777"/>
      <c r="EI58777"/>
      <c r="EJ58777"/>
      <c r="EK58777"/>
    </row>
    <row r="58778" spans="1:141" s="116" customFormat="1">
      <c r="A58778" s="136"/>
      <c r="CM58778" s="111"/>
      <c r="CQ58778" s="111"/>
      <c r="EF58778"/>
      <c r="EG58778"/>
      <c r="EH58778"/>
      <c r="EI58778"/>
      <c r="EJ58778"/>
      <c r="EK58778"/>
    </row>
    <row r="58779" spans="1:141" s="116" customFormat="1">
      <c r="A58779" s="136"/>
      <c r="CM58779" s="111"/>
      <c r="CQ58779" s="111"/>
      <c r="EF58779"/>
      <c r="EG58779"/>
      <c r="EH58779"/>
      <c r="EI58779"/>
      <c r="EJ58779"/>
      <c r="EK58779"/>
    </row>
    <row r="58780" spans="1:141" s="116" customFormat="1">
      <c r="A58780" s="136"/>
      <c r="CM58780" s="111"/>
      <c r="CQ58780" s="111"/>
      <c r="EF58780"/>
      <c r="EG58780"/>
      <c r="EH58780"/>
      <c r="EI58780"/>
      <c r="EJ58780"/>
      <c r="EK58780"/>
    </row>
    <row r="58781" spans="1:141" s="116" customFormat="1">
      <c r="A58781" s="136"/>
      <c r="CM58781" s="111"/>
      <c r="CQ58781" s="111"/>
      <c r="EF58781"/>
      <c r="EG58781"/>
      <c r="EH58781"/>
      <c r="EI58781"/>
      <c r="EJ58781"/>
      <c r="EK58781"/>
    </row>
    <row r="58782" spans="1:141" s="116" customFormat="1">
      <c r="A58782" s="136"/>
      <c r="CM58782" s="111"/>
      <c r="CQ58782" s="111"/>
      <c r="EF58782"/>
      <c r="EG58782"/>
      <c r="EH58782"/>
      <c r="EI58782"/>
      <c r="EJ58782"/>
      <c r="EK58782"/>
    </row>
    <row r="58783" spans="1:141" s="116" customFormat="1">
      <c r="A58783" s="136"/>
      <c r="CM58783" s="111"/>
      <c r="CQ58783" s="111"/>
      <c r="EF58783"/>
      <c r="EG58783"/>
      <c r="EH58783"/>
      <c r="EI58783"/>
      <c r="EJ58783"/>
      <c r="EK58783"/>
    </row>
    <row r="58784" spans="1:141" s="116" customFormat="1">
      <c r="A58784" s="136"/>
      <c r="CM58784" s="111"/>
      <c r="CQ58784" s="111"/>
      <c r="EF58784"/>
      <c r="EG58784"/>
      <c r="EH58784"/>
      <c r="EI58784"/>
      <c r="EJ58784"/>
      <c r="EK58784"/>
    </row>
    <row r="58785" spans="1:141" s="116" customFormat="1">
      <c r="A58785" s="136"/>
      <c r="CM58785" s="111"/>
      <c r="CQ58785" s="111"/>
      <c r="EF58785"/>
      <c r="EG58785"/>
      <c r="EH58785"/>
      <c r="EI58785"/>
      <c r="EJ58785"/>
      <c r="EK58785"/>
    </row>
    <row r="58786" spans="1:141" s="116" customFormat="1">
      <c r="A58786" s="136"/>
      <c r="CM58786" s="111"/>
      <c r="CQ58786" s="111"/>
      <c r="EF58786"/>
      <c r="EG58786"/>
      <c r="EH58786"/>
      <c r="EI58786"/>
      <c r="EJ58786"/>
      <c r="EK58786"/>
    </row>
    <row r="58787" spans="1:141" s="116" customFormat="1">
      <c r="A58787" s="136"/>
      <c r="CM58787" s="111"/>
      <c r="CQ58787" s="111"/>
      <c r="EF58787"/>
      <c r="EG58787"/>
      <c r="EH58787"/>
      <c r="EI58787"/>
      <c r="EJ58787"/>
      <c r="EK58787"/>
    </row>
    <row r="58788" spans="1:141" s="116" customFormat="1">
      <c r="A58788" s="136"/>
      <c r="CM58788" s="111"/>
      <c r="CQ58788" s="111"/>
      <c r="EF58788"/>
      <c r="EG58788"/>
      <c r="EH58788"/>
      <c r="EI58788"/>
      <c r="EJ58788"/>
      <c r="EK58788"/>
    </row>
    <row r="58789" spans="1:141" s="116" customFormat="1">
      <c r="A58789" s="136"/>
      <c r="CM58789" s="111"/>
      <c r="CQ58789" s="111"/>
      <c r="EF58789"/>
      <c r="EG58789"/>
      <c r="EH58789"/>
      <c r="EI58789"/>
      <c r="EJ58789"/>
      <c r="EK58789"/>
    </row>
    <row r="58790" spans="1:141" s="116" customFormat="1">
      <c r="A58790" s="136"/>
      <c r="CM58790" s="111"/>
      <c r="CQ58790" s="111"/>
      <c r="EF58790"/>
      <c r="EG58790"/>
      <c r="EH58790"/>
      <c r="EI58790"/>
      <c r="EJ58790"/>
      <c r="EK58790"/>
    </row>
    <row r="58791" spans="1:141" s="116" customFormat="1">
      <c r="A58791" s="136"/>
      <c r="CM58791" s="111"/>
      <c r="CQ58791" s="111"/>
      <c r="EF58791"/>
      <c r="EG58791"/>
      <c r="EH58791"/>
      <c r="EI58791"/>
      <c r="EJ58791"/>
      <c r="EK58791"/>
    </row>
    <row r="58792" spans="1:141" s="116" customFormat="1">
      <c r="A58792" s="136"/>
      <c r="CM58792" s="111"/>
      <c r="CQ58792" s="111"/>
      <c r="EF58792"/>
      <c r="EG58792"/>
      <c r="EH58792"/>
      <c r="EI58792"/>
      <c r="EJ58792"/>
      <c r="EK58792"/>
    </row>
    <row r="58793" spans="1:141" s="116" customFormat="1">
      <c r="A58793" s="136"/>
      <c r="CM58793" s="111"/>
      <c r="CQ58793" s="111"/>
      <c r="EF58793"/>
      <c r="EG58793"/>
      <c r="EH58793"/>
      <c r="EI58793"/>
      <c r="EJ58793"/>
      <c r="EK58793"/>
    </row>
    <row r="58794" spans="1:141" s="116" customFormat="1">
      <c r="A58794" s="136"/>
      <c r="CM58794" s="111"/>
      <c r="CQ58794" s="111"/>
      <c r="EF58794"/>
      <c r="EG58794"/>
      <c r="EH58794"/>
      <c r="EI58794"/>
      <c r="EJ58794"/>
      <c r="EK58794"/>
    </row>
    <row r="58795" spans="1:141" s="116" customFormat="1">
      <c r="A58795" s="136"/>
      <c r="CM58795" s="111"/>
      <c r="CQ58795" s="111"/>
      <c r="EF58795"/>
      <c r="EG58795"/>
      <c r="EH58795"/>
      <c r="EI58795"/>
      <c r="EJ58795"/>
      <c r="EK58795"/>
    </row>
    <row r="58796" spans="1:141" s="116" customFormat="1">
      <c r="A58796" s="136"/>
      <c r="CM58796" s="111"/>
      <c r="CQ58796" s="111"/>
      <c r="EF58796"/>
      <c r="EG58796"/>
      <c r="EH58796"/>
      <c r="EI58796"/>
      <c r="EJ58796"/>
      <c r="EK58796"/>
    </row>
    <row r="58797" spans="1:141" s="116" customFormat="1">
      <c r="A58797" s="136"/>
      <c r="CM58797" s="111"/>
      <c r="CQ58797" s="111"/>
      <c r="EF58797"/>
      <c r="EG58797"/>
      <c r="EH58797"/>
      <c r="EI58797"/>
      <c r="EJ58797"/>
      <c r="EK58797"/>
    </row>
    <row r="58798" spans="1:141" s="116" customFormat="1">
      <c r="A58798" s="136"/>
      <c r="CM58798" s="111"/>
      <c r="CQ58798" s="111"/>
      <c r="EF58798"/>
      <c r="EG58798"/>
      <c r="EH58798"/>
      <c r="EI58798"/>
      <c r="EJ58798"/>
      <c r="EK58798"/>
    </row>
    <row r="58799" spans="1:141" s="116" customFormat="1">
      <c r="A58799" s="136"/>
      <c r="CM58799" s="111"/>
      <c r="CQ58799" s="111"/>
      <c r="EF58799"/>
      <c r="EG58799"/>
      <c r="EH58799"/>
      <c r="EI58799"/>
      <c r="EJ58799"/>
      <c r="EK58799"/>
    </row>
    <row r="58800" spans="1:141" s="116" customFormat="1">
      <c r="A58800" s="136"/>
      <c r="CM58800" s="111"/>
      <c r="CQ58800" s="111"/>
      <c r="EF58800"/>
      <c r="EG58800"/>
      <c r="EH58800"/>
      <c r="EI58800"/>
      <c r="EJ58800"/>
      <c r="EK58800"/>
    </row>
    <row r="58801" spans="1:141" s="116" customFormat="1">
      <c r="A58801" s="136"/>
      <c r="CM58801" s="111"/>
      <c r="CQ58801" s="111"/>
      <c r="EF58801"/>
      <c r="EG58801"/>
      <c r="EH58801"/>
      <c r="EI58801"/>
      <c r="EJ58801"/>
      <c r="EK58801"/>
    </row>
    <row r="58802" spans="1:141" s="116" customFormat="1">
      <c r="A58802" s="136"/>
      <c r="CM58802" s="111"/>
      <c r="CQ58802" s="111"/>
      <c r="EF58802"/>
      <c r="EG58802"/>
      <c r="EH58802"/>
      <c r="EI58802"/>
      <c r="EJ58802"/>
      <c r="EK58802"/>
    </row>
    <row r="58803" spans="1:141" s="116" customFormat="1">
      <c r="A58803" s="136"/>
      <c r="CM58803" s="111"/>
      <c r="CQ58803" s="111"/>
      <c r="EF58803"/>
      <c r="EG58803"/>
      <c r="EH58803"/>
      <c r="EI58803"/>
      <c r="EJ58803"/>
      <c r="EK58803"/>
    </row>
    <row r="58804" spans="1:141" s="116" customFormat="1">
      <c r="A58804" s="136"/>
      <c r="CM58804" s="111"/>
      <c r="CQ58804" s="111"/>
      <c r="EF58804"/>
      <c r="EG58804"/>
      <c r="EH58804"/>
      <c r="EI58804"/>
      <c r="EJ58804"/>
      <c r="EK58804"/>
    </row>
    <row r="58805" spans="1:141" s="116" customFormat="1">
      <c r="A58805" s="136"/>
      <c r="CM58805" s="111"/>
      <c r="CQ58805" s="111"/>
      <c r="EF58805"/>
      <c r="EG58805"/>
      <c r="EH58805"/>
      <c r="EI58805"/>
      <c r="EJ58805"/>
      <c r="EK58805"/>
    </row>
    <row r="58806" spans="1:141" s="116" customFormat="1">
      <c r="A58806" s="136"/>
      <c r="CM58806" s="111"/>
      <c r="CQ58806" s="111"/>
      <c r="EF58806"/>
      <c r="EG58806"/>
      <c r="EH58806"/>
      <c r="EI58806"/>
      <c r="EJ58806"/>
      <c r="EK58806"/>
    </row>
    <row r="58807" spans="1:141" s="116" customFormat="1">
      <c r="A58807" s="136"/>
      <c r="CM58807" s="111"/>
      <c r="CQ58807" s="111"/>
      <c r="EF58807"/>
      <c r="EG58807"/>
      <c r="EH58807"/>
      <c r="EI58807"/>
      <c r="EJ58807"/>
      <c r="EK58807"/>
    </row>
    <row r="58808" spans="1:141" s="116" customFormat="1">
      <c r="A58808" s="136"/>
      <c r="CM58808" s="111"/>
      <c r="CQ58808" s="111"/>
      <c r="EF58808"/>
      <c r="EG58808"/>
      <c r="EH58808"/>
      <c r="EI58808"/>
      <c r="EJ58808"/>
      <c r="EK58808"/>
    </row>
    <row r="58809" spans="1:141" s="116" customFormat="1">
      <c r="A58809" s="136"/>
      <c r="CM58809" s="111"/>
      <c r="CQ58809" s="111"/>
      <c r="EF58809"/>
      <c r="EG58809"/>
      <c r="EH58809"/>
      <c r="EI58809"/>
      <c r="EJ58809"/>
      <c r="EK58809"/>
    </row>
    <row r="58810" spans="1:141" s="116" customFormat="1">
      <c r="A58810" s="136"/>
      <c r="CM58810" s="111"/>
      <c r="CQ58810" s="111"/>
      <c r="EF58810"/>
      <c r="EG58810"/>
      <c r="EH58810"/>
      <c r="EI58810"/>
      <c r="EJ58810"/>
      <c r="EK58810"/>
    </row>
    <row r="58811" spans="1:141" s="116" customFormat="1">
      <c r="A58811" s="136"/>
      <c r="CM58811" s="111"/>
      <c r="CQ58811" s="111"/>
      <c r="EF58811"/>
      <c r="EG58811"/>
      <c r="EH58811"/>
      <c r="EI58811"/>
      <c r="EJ58811"/>
      <c r="EK58811"/>
    </row>
    <row r="58812" spans="1:141" s="116" customFormat="1">
      <c r="A58812" s="136"/>
      <c r="CM58812" s="111"/>
      <c r="CQ58812" s="111"/>
      <c r="EF58812"/>
      <c r="EG58812"/>
      <c r="EH58812"/>
      <c r="EI58812"/>
      <c r="EJ58812"/>
      <c r="EK58812"/>
    </row>
    <row r="58813" spans="1:141" s="116" customFormat="1">
      <c r="A58813" s="136"/>
      <c r="CM58813" s="111"/>
      <c r="CQ58813" s="111"/>
      <c r="EF58813"/>
      <c r="EG58813"/>
      <c r="EH58813"/>
      <c r="EI58813"/>
      <c r="EJ58813"/>
      <c r="EK58813"/>
    </row>
    <row r="58814" spans="1:141" s="116" customFormat="1">
      <c r="A58814" s="136"/>
      <c r="CM58814" s="111"/>
      <c r="CQ58814" s="111"/>
      <c r="EF58814"/>
      <c r="EG58814"/>
      <c r="EH58814"/>
      <c r="EI58814"/>
      <c r="EJ58814"/>
      <c r="EK58814"/>
    </row>
    <row r="58815" spans="1:141" s="116" customFormat="1">
      <c r="A58815" s="136"/>
      <c r="CM58815" s="111"/>
      <c r="CQ58815" s="111"/>
      <c r="EF58815"/>
      <c r="EG58815"/>
      <c r="EH58815"/>
      <c r="EI58815"/>
      <c r="EJ58815"/>
      <c r="EK58815"/>
    </row>
    <row r="58816" spans="1:141" s="116" customFormat="1">
      <c r="A58816" s="136"/>
      <c r="CM58816" s="111"/>
      <c r="CQ58816" s="111"/>
      <c r="EF58816"/>
      <c r="EG58816"/>
      <c r="EH58816"/>
      <c r="EI58816"/>
      <c r="EJ58816"/>
      <c r="EK58816"/>
    </row>
    <row r="58817" spans="1:141" s="116" customFormat="1">
      <c r="A58817" s="136"/>
      <c r="CM58817" s="111"/>
      <c r="CQ58817" s="111"/>
      <c r="EF58817"/>
      <c r="EG58817"/>
      <c r="EH58817"/>
      <c r="EI58817"/>
      <c r="EJ58817"/>
      <c r="EK58817"/>
    </row>
    <row r="58818" spans="1:141" s="116" customFormat="1">
      <c r="A58818" s="136"/>
      <c r="CM58818" s="111"/>
      <c r="CQ58818" s="111"/>
      <c r="EF58818"/>
      <c r="EG58818"/>
      <c r="EH58818"/>
      <c r="EI58818"/>
      <c r="EJ58818"/>
      <c r="EK58818"/>
    </row>
    <row r="58819" spans="1:141" s="116" customFormat="1">
      <c r="A58819" s="136"/>
      <c r="CM58819" s="111"/>
      <c r="CQ58819" s="111"/>
      <c r="EF58819"/>
      <c r="EG58819"/>
      <c r="EH58819"/>
      <c r="EI58819"/>
      <c r="EJ58819"/>
      <c r="EK58819"/>
    </row>
    <row r="58820" spans="1:141" s="116" customFormat="1">
      <c r="A58820" s="136"/>
      <c r="CM58820" s="111"/>
      <c r="CQ58820" s="111"/>
      <c r="EF58820"/>
      <c r="EG58820"/>
      <c r="EH58820"/>
      <c r="EI58820"/>
      <c r="EJ58820"/>
      <c r="EK58820"/>
    </row>
    <row r="58821" spans="1:141" s="116" customFormat="1">
      <c r="A58821" s="136"/>
      <c r="CM58821" s="111"/>
      <c r="CQ58821" s="111"/>
      <c r="EF58821"/>
      <c r="EG58821"/>
      <c r="EH58821"/>
      <c r="EI58821"/>
      <c r="EJ58821"/>
      <c r="EK58821"/>
    </row>
    <row r="58822" spans="1:141" s="116" customFormat="1">
      <c r="A58822" s="136"/>
      <c r="CM58822" s="111"/>
      <c r="CQ58822" s="111"/>
      <c r="EF58822"/>
      <c r="EG58822"/>
      <c r="EH58822"/>
      <c r="EI58822"/>
      <c r="EJ58822"/>
      <c r="EK58822"/>
    </row>
    <row r="58823" spans="1:141" s="116" customFormat="1">
      <c r="A58823" s="136"/>
      <c r="CM58823" s="111"/>
      <c r="CQ58823" s="111"/>
      <c r="EF58823"/>
      <c r="EG58823"/>
      <c r="EH58823"/>
      <c r="EI58823"/>
      <c r="EJ58823"/>
      <c r="EK58823"/>
    </row>
    <row r="58824" spans="1:141" s="116" customFormat="1">
      <c r="A58824" s="136"/>
      <c r="CM58824" s="111"/>
      <c r="CQ58824" s="111"/>
      <c r="EF58824"/>
      <c r="EG58824"/>
      <c r="EH58824"/>
      <c r="EI58824"/>
      <c r="EJ58824"/>
      <c r="EK58824"/>
    </row>
    <row r="58825" spans="1:141" s="116" customFormat="1">
      <c r="A58825" s="136"/>
      <c r="CM58825" s="111"/>
      <c r="CQ58825" s="111"/>
      <c r="EF58825"/>
      <c r="EG58825"/>
      <c r="EH58825"/>
      <c r="EI58825"/>
      <c r="EJ58825"/>
      <c r="EK58825"/>
    </row>
    <row r="58826" spans="1:141" s="116" customFormat="1">
      <c r="A58826" s="136"/>
      <c r="CM58826" s="111"/>
      <c r="CQ58826" s="111"/>
      <c r="EF58826"/>
      <c r="EG58826"/>
      <c r="EH58826"/>
      <c r="EI58826"/>
      <c r="EJ58826"/>
      <c r="EK58826"/>
    </row>
    <row r="58827" spans="1:141" s="116" customFormat="1">
      <c r="A58827" s="136"/>
      <c r="CM58827" s="111"/>
      <c r="CQ58827" s="111"/>
      <c r="EF58827"/>
      <c r="EG58827"/>
      <c r="EH58827"/>
      <c r="EI58827"/>
      <c r="EJ58827"/>
      <c r="EK58827"/>
    </row>
    <row r="58828" spans="1:141" s="116" customFormat="1">
      <c r="A58828" s="136"/>
      <c r="CM58828" s="111"/>
      <c r="CQ58828" s="111"/>
      <c r="EF58828"/>
      <c r="EG58828"/>
      <c r="EH58828"/>
      <c r="EI58828"/>
      <c r="EJ58828"/>
      <c r="EK58828"/>
    </row>
    <row r="58829" spans="1:141" s="116" customFormat="1">
      <c r="A58829" s="136"/>
      <c r="CM58829" s="111"/>
      <c r="CQ58829" s="111"/>
      <c r="EF58829"/>
      <c r="EG58829"/>
      <c r="EH58829"/>
      <c r="EI58829"/>
      <c r="EJ58829"/>
      <c r="EK58829"/>
    </row>
    <row r="58830" spans="1:141" s="116" customFormat="1">
      <c r="A58830" s="136"/>
      <c r="CM58830" s="111"/>
      <c r="CQ58830" s="111"/>
      <c r="EF58830"/>
      <c r="EG58830"/>
      <c r="EH58830"/>
      <c r="EI58830"/>
      <c r="EJ58830"/>
      <c r="EK58830"/>
    </row>
    <row r="58831" spans="1:141" s="116" customFormat="1">
      <c r="A58831" s="136"/>
      <c r="CM58831" s="111"/>
      <c r="CQ58831" s="111"/>
      <c r="EF58831"/>
      <c r="EG58831"/>
      <c r="EH58831"/>
      <c r="EI58831"/>
      <c r="EJ58831"/>
      <c r="EK58831"/>
    </row>
    <row r="58832" spans="1:141" s="116" customFormat="1">
      <c r="A58832" s="136"/>
      <c r="CM58832" s="111"/>
      <c r="CQ58832" s="111"/>
      <c r="EF58832"/>
      <c r="EG58832"/>
      <c r="EH58832"/>
      <c r="EI58832"/>
      <c r="EJ58832"/>
      <c r="EK58832"/>
    </row>
    <row r="58833" spans="1:141" s="116" customFormat="1">
      <c r="A58833" s="136"/>
      <c r="CM58833" s="111"/>
      <c r="CQ58833" s="111"/>
      <c r="EF58833"/>
      <c r="EG58833"/>
      <c r="EH58833"/>
      <c r="EI58833"/>
      <c r="EJ58833"/>
      <c r="EK58833"/>
    </row>
    <row r="58834" spans="1:141" s="116" customFormat="1">
      <c r="A58834" s="136"/>
      <c r="CM58834" s="111"/>
      <c r="CQ58834" s="111"/>
      <c r="EF58834"/>
      <c r="EG58834"/>
      <c r="EH58834"/>
      <c r="EI58834"/>
      <c r="EJ58834"/>
      <c r="EK58834"/>
    </row>
    <row r="58835" spans="1:141" s="116" customFormat="1">
      <c r="A58835" s="136"/>
      <c r="CM58835" s="111"/>
      <c r="CQ58835" s="111"/>
      <c r="EF58835"/>
      <c r="EG58835"/>
      <c r="EH58835"/>
      <c r="EI58835"/>
      <c r="EJ58835"/>
      <c r="EK58835"/>
    </row>
    <row r="58836" spans="1:141" s="116" customFormat="1">
      <c r="A58836" s="136"/>
      <c r="CM58836" s="111"/>
      <c r="CQ58836" s="111"/>
      <c r="EF58836"/>
      <c r="EG58836"/>
      <c r="EH58836"/>
      <c r="EI58836"/>
      <c r="EJ58836"/>
      <c r="EK58836"/>
    </row>
    <row r="58837" spans="1:141" s="116" customFormat="1">
      <c r="A58837" s="136"/>
      <c r="CM58837" s="111"/>
      <c r="CQ58837" s="111"/>
      <c r="EF58837"/>
      <c r="EG58837"/>
      <c r="EH58837"/>
      <c r="EI58837"/>
      <c r="EJ58837"/>
      <c r="EK58837"/>
    </row>
    <row r="58838" spans="1:141" s="116" customFormat="1">
      <c r="A58838" s="136"/>
      <c r="CM58838" s="111"/>
      <c r="CQ58838" s="111"/>
      <c r="EF58838"/>
      <c r="EG58838"/>
      <c r="EH58838"/>
      <c r="EI58838"/>
      <c r="EJ58838"/>
      <c r="EK58838"/>
    </row>
    <row r="58839" spans="1:141" s="116" customFormat="1">
      <c r="A58839" s="136"/>
      <c r="CM58839" s="111"/>
      <c r="CQ58839" s="111"/>
      <c r="EF58839"/>
      <c r="EG58839"/>
      <c r="EH58839"/>
      <c r="EI58839"/>
      <c r="EJ58839"/>
      <c r="EK58839"/>
    </row>
    <row r="58840" spans="1:141" s="116" customFormat="1">
      <c r="A58840" s="136"/>
      <c r="CM58840" s="111"/>
      <c r="CQ58840" s="111"/>
      <c r="EF58840"/>
      <c r="EG58840"/>
      <c r="EH58840"/>
      <c r="EI58840"/>
      <c r="EJ58840"/>
      <c r="EK58840"/>
    </row>
    <row r="58841" spans="1:141" s="116" customFormat="1">
      <c r="A58841" s="136"/>
      <c r="CM58841" s="111"/>
      <c r="CQ58841" s="111"/>
      <c r="EF58841"/>
      <c r="EG58841"/>
      <c r="EH58841"/>
      <c r="EI58841"/>
      <c r="EJ58841"/>
      <c r="EK58841"/>
    </row>
    <row r="58842" spans="1:141" s="116" customFormat="1">
      <c r="A58842" s="136"/>
      <c r="CM58842" s="111"/>
      <c r="CQ58842" s="111"/>
      <c r="EF58842"/>
      <c r="EG58842"/>
      <c r="EH58842"/>
      <c r="EI58842"/>
      <c r="EJ58842"/>
      <c r="EK58842"/>
    </row>
    <row r="58843" spans="1:141" s="116" customFormat="1">
      <c r="A58843" s="136"/>
      <c r="CM58843" s="111"/>
      <c r="CQ58843" s="111"/>
      <c r="EF58843"/>
      <c r="EG58843"/>
      <c r="EH58843"/>
      <c r="EI58843"/>
      <c r="EJ58843"/>
      <c r="EK58843"/>
    </row>
    <row r="58844" spans="1:141" s="116" customFormat="1">
      <c r="A58844" s="136"/>
      <c r="CM58844" s="111"/>
      <c r="CQ58844" s="111"/>
      <c r="EF58844"/>
      <c r="EG58844"/>
      <c r="EH58844"/>
      <c r="EI58844"/>
      <c r="EJ58844"/>
      <c r="EK58844"/>
    </row>
    <row r="58845" spans="1:141" s="116" customFormat="1">
      <c r="A58845" s="136"/>
      <c r="CM58845" s="111"/>
      <c r="CQ58845" s="111"/>
      <c r="EF58845"/>
      <c r="EG58845"/>
      <c r="EH58845"/>
      <c r="EI58845"/>
      <c r="EJ58845"/>
      <c r="EK58845"/>
    </row>
    <row r="58846" spans="1:141" s="116" customFormat="1">
      <c r="A58846" s="136"/>
      <c r="CM58846" s="111"/>
      <c r="CQ58846" s="111"/>
      <c r="EF58846"/>
      <c r="EG58846"/>
      <c r="EH58846"/>
      <c r="EI58846"/>
      <c r="EJ58846"/>
      <c r="EK58846"/>
    </row>
    <row r="58847" spans="1:141" s="116" customFormat="1">
      <c r="A58847" s="136"/>
      <c r="CM58847" s="111"/>
      <c r="CQ58847" s="111"/>
      <c r="EF58847"/>
      <c r="EG58847"/>
      <c r="EH58847"/>
      <c r="EI58847"/>
      <c r="EJ58847"/>
      <c r="EK58847"/>
    </row>
    <row r="58848" spans="1:141" s="116" customFormat="1">
      <c r="A58848" s="136"/>
      <c r="CM58848" s="111"/>
      <c r="CQ58848" s="111"/>
      <c r="EF58848"/>
      <c r="EG58848"/>
      <c r="EH58848"/>
      <c r="EI58848"/>
      <c r="EJ58848"/>
      <c r="EK58848"/>
    </row>
    <row r="58849" spans="1:141" s="116" customFormat="1">
      <c r="A58849" s="136"/>
      <c r="CM58849" s="111"/>
      <c r="CQ58849" s="111"/>
      <c r="EF58849"/>
      <c r="EG58849"/>
      <c r="EH58849"/>
      <c r="EI58849"/>
      <c r="EJ58849"/>
      <c r="EK58849"/>
    </row>
    <row r="58850" spans="1:141" s="116" customFormat="1">
      <c r="A58850" s="136"/>
      <c r="CM58850" s="111"/>
      <c r="CQ58850" s="111"/>
      <c r="EF58850"/>
      <c r="EG58850"/>
      <c r="EH58850"/>
      <c r="EI58850"/>
      <c r="EJ58850"/>
      <c r="EK58850"/>
    </row>
    <row r="58851" spans="1:141" s="116" customFormat="1">
      <c r="A58851" s="136"/>
      <c r="CM58851" s="111"/>
      <c r="CQ58851" s="111"/>
      <c r="EF58851"/>
      <c r="EG58851"/>
      <c r="EH58851"/>
      <c r="EI58851"/>
      <c r="EJ58851"/>
      <c r="EK58851"/>
    </row>
    <row r="58852" spans="1:141" s="116" customFormat="1">
      <c r="A58852" s="136"/>
      <c r="CM58852" s="111"/>
      <c r="CQ58852" s="111"/>
      <c r="EF58852"/>
      <c r="EG58852"/>
      <c r="EH58852"/>
      <c r="EI58852"/>
      <c r="EJ58852"/>
      <c r="EK58852"/>
    </row>
    <row r="58853" spans="1:141" s="116" customFormat="1">
      <c r="A58853" s="136"/>
      <c r="CM58853" s="111"/>
      <c r="CQ58853" s="111"/>
      <c r="EF58853"/>
      <c r="EG58853"/>
      <c r="EH58853"/>
      <c r="EI58853"/>
      <c r="EJ58853"/>
      <c r="EK58853"/>
    </row>
    <row r="58854" spans="1:141" s="116" customFormat="1">
      <c r="A58854" s="136"/>
      <c r="CM58854" s="111"/>
      <c r="CQ58854" s="111"/>
      <c r="EF58854"/>
      <c r="EG58854"/>
      <c r="EH58854"/>
      <c r="EI58854"/>
      <c r="EJ58854"/>
      <c r="EK58854"/>
    </row>
    <row r="58855" spans="1:141" s="116" customFormat="1">
      <c r="A58855" s="136"/>
      <c r="CM58855" s="111"/>
      <c r="CQ58855" s="111"/>
      <c r="EF58855"/>
      <c r="EG58855"/>
      <c r="EH58855"/>
      <c r="EI58855"/>
      <c r="EJ58855"/>
      <c r="EK58855"/>
    </row>
    <row r="58856" spans="1:141" s="116" customFormat="1">
      <c r="A58856" s="136"/>
      <c r="CM58856" s="111"/>
      <c r="CQ58856" s="111"/>
      <c r="EF58856"/>
      <c r="EG58856"/>
      <c r="EH58856"/>
      <c r="EI58856"/>
      <c r="EJ58856"/>
      <c r="EK58856"/>
    </row>
    <row r="58857" spans="1:141" s="116" customFormat="1">
      <c r="A58857" s="136"/>
      <c r="CM58857" s="111"/>
      <c r="CQ58857" s="111"/>
      <c r="EF58857"/>
      <c r="EG58857"/>
      <c r="EH58857"/>
      <c r="EI58857"/>
      <c r="EJ58857"/>
      <c r="EK58857"/>
    </row>
    <row r="58858" spans="1:141" s="116" customFormat="1">
      <c r="A58858" s="136"/>
      <c r="CM58858" s="111"/>
      <c r="CQ58858" s="111"/>
      <c r="EF58858"/>
      <c r="EG58858"/>
      <c r="EH58858"/>
      <c r="EI58858"/>
      <c r="EJ58858"/>
      <c r="EK58858"/>
    </row>
    <row r="58859" spans="1:141" s="116" customFormat="1">
      <c r="A58859" s="136"/>
      <c r="CM58859" s="111"/>
      <c r="CQ58859" s="111"/>
      <c r="EF58859"/>
      <c r="EG58859"/>
      <c r="EH58859"/>
      <c r="EI58859"/>
      <c r="EJ58859"/>
      <c r="EK58859"/>
    </row>
    <row r="58860" spans="1:141" s="116" customFormat="1">
      <c r="A58860" s="136"/>
      <c r="CM58860" s="111"/>
      <c r="CQ58860" s="111"/>
      <c r="EF58860"/>
      <c r="EG58860"/>
      <c r="EH58860"/>
      <c r="EI58860"/>
      <c r="EJ58860"/>
      <c r="EK58860"/>
    </row>
    <row r="58861" spans="1:141" s="116" customFormat="1">
      <c r="A58861" s="136"/>
      <c r="CM58861" s="111"/>
      <c r="CQ58861" s="111"/>
      <c r="EF58861"/>
      <c r="EG58861"/>
      <c r="EH58861"/>
      <c r="EI58861"/>
      <c r="EJ58861"/>
      <c r="EK58861"/>
    </row>
    <row r="58862" spans="1:141" s="116" customFormat="1">
      <c r="A58862" s="136"/>
      <c r="CM58862" s="111"/>
      <c r="CQ58862" s="111"/>
      <c r="EF58862"/>
      <c r="EG58862"/>
      <c r="EH58862"/>
      <c r="EI58862"/>
      <c r="EJ58862"/>
      <c r="EK58862"/>
    </row>
    <row r="58863" spans="1:141" s="116" customFormat="1">
      <c r="A58863" s="136"/>
      <c r="CM58863" s="111"/>
      <c r="CQ58863" s="111"/>
      <c r="EF58863"/>
      <c r="EG58863"/>
      <c r="EH58863"/>
      <c r="EI58863"/>
      <c r="EJ58863"/>
      <c r="EK58863"/>
    </row>
    <row r="58864" spans="1:141" s="116" customFormat="1">
      <c r="A58864" s="136"/>
      <c r="CM58864" s="111"/>
      <c r="CQ58864" s="111"/>
      <c r="EF58864"/>
      <c r="EG58864"/>
      <c r="EH58864"/>
      <c r="EI58864"/>
      <c r="EJ58864"/>
      <c r="EK58864"/>
    </row>
    <row r="58865" spans="1:141" s="116" customFormat="1">
      <c r="A58865" s="136"/>
      <c r="CM58865" s="111"/>
      <c r="CQ58865" s="111"/>
      <c r="EF58865"/>
      <c r="EG58865"/>
      <c r="EH58865"/>
      <c r="EI58865"/>
      <c r="EJ58865"/>
      <c r="EK58865"/>
    </row>
    <row r="58866" spans="1:141" s="116" customFormat="1">
      <c r="A58866" s="136"/>
      <c r="CM58866" s="111"/>
      <c r="CQ58866" s="111"/>
      <c r="EF58866"/>
      <c r="EG58866"/>
      <c r="EH58866"/>
      <c r="EI58866"/>
      <c r="EJ58866"/>
      <c r="EK58866"/>
    </row>
    <row r="58867" spans="1:141" s="116" customFormat="1">
      <c r="A58867" s="136"/>
      <c r="CM58867" s="111"/>
      <c r="CQ58867" s="111"/>
      <c r="EF58867"/>
      <c r="EG58867"/>
      <c r="EH58867"/>
      <c r="EI58867"/>
      <c r="EJ58867"/>
      <c r="EK58867"/>
    </row>
    <row r="58868" spans="1:141" s="116" customFormat="1">
      <c r="A58868" s="136"/>
      <c r="CM58868" s="111"/>
      <c r="CQ58868" s="111"/>
      <c r="EF58868"/>
      <c r="EG58868"/>
      <c r="EH58868"/>
      <c r="EI58868"/>
      <c r="EJ58868"/>
      <c r="EK58868"/>
    </row>
    <row r="58869" spans="1:141" s="116" customFormat="1">
      <c r="A58869" s="136"/>
      <c r="CM58869" s="111"/>
      <c r="CQ58869" s="111"/>
      <c r="EF58869"/>
      <c r="EG58869"/>
      <c r="EH58869"/>
      <c r="EI58869"/>
      <c r="EJ58869"/>
      <c r="EK58869"/>
    </row>
    <row r="58870" spans="1:141" s="116" customFormat="1">
      <c r="A58870" s="136"/>
      <c r="CM58870" s="111"/>
      <c r="CQ58870" s="111"/>
      <c r="EF58870"/>
      <c r="EG58870"/>
      <c r="EH58870"/>
      <c r="EI58870"/>
      <c r="EJ58870"/>
      <c r="EK58870"/>
    </row>
    <row r="58871" spans="1:141" s="116" customFormat="1">
      <c r="A58871" s="136"/>
      <c r="CM58871" s="111"/>
      <c r="CQ58871" s="111"/>
      <c r="EF58871"/>
      <c r="EG58871"/>
      <c r="EH58871"/>
      <c r="EI58871"/>
      <c r="EJ58871"/>
      <c r="EK58871"/>
    </row>
    <row r="58872" spans="1:141" s="116" customFormat="1">
      <c r="A58872" s="136"/>
      <c r="CM58872" s="111"/>
      <c r="CQ58872" s="111"/>
      <c r="EF58872"/>
      <c r="EG58872"/>
      <c r="EH58872"/>
      <c r="EI58872"/>
      <c r="EJ58872"/>
      <c r="EK58872"/>
    </row>
    <row r="58873" spans="1:141" s="116" customFormat="1">
      <c r="A58873" s="136"/>
      <c r="CM58873" s="111"/>
      <c r="CQ58873" s="111"/>
      <c r="EF58873"/>
      <c r="EG58873"/>
      <c r="EH58873"/>
      <c r="EI58873"/>
      <c r="EJ58873"/>
      <c r="EK58873"/>
    </row>
    <row r="58874" spans="1:141" s="116" customFormat="1">
      <c r="A58874" s="136"/>
      <c r="CM58874" s="111"/>
      <c r="CQ58874" s="111"/>
      <c r="EF58874"/>
      <c r="EG58874"/>
      <c r="EH58874"/>
      <c r="EI58874"/>
      <c r="EJ58874"/>
      <c r="EK58874"/>
    </row>
    <row r="58875" spans="1:141" s="116" customFormat="1">
      <c r="A58875" s="136"/>
      <c r="CM58875" s="111"/>
      <c r="CQ58875" s="111"/>
      <c r="EF58875"/>
      <c r="EG58875"/>
      <c r="EH58875"/>
      <c r="EI58875"/>
      <c r="EJ58875"/>
      <c r="EK58875"/>
    </row>
    <row r="58876" spans="1:141" s="116" customFormat="1">
      <c r="A58876" s="136"/>
      <c r="CM58876" s="111"/>
      <c r="CQ58876" s="111"/>
      <c r="EF58876"/>
      <c r="EG58876"/>
      <c r="EH58876"/>
      <c r="EI58876"/>
      <c r="EJ58876"/>
      <c r="EK58876"/>
    </row>
    <row r="58877" spans="1:141" s="116" customFormat="1">
      <c r="A58877" s="136"/>
      <c r="CM58877" s="111"/>
      <c r="CQ58877" s="111"/>
      <c r="EF58877"/>
      <c r="EG58877"/>
      <c r="EH58877"/>
      <c r="EI58877"/>
      <c r="EJ58877"/>
      <c r="EK58877"/>
    </row>
    <row r="58878" spans="1:141" s="116" customFormat="1">
      <c r="A58878" s="136"/>
      <c r="CM58878" s="111"/>
      <c r="CQ58878" s="111"/>
      <c r="EF58878"/>
      <c r="EG58878"/>
      <c r="EH58878"/>
      <c r="EI58878"/>
      <c r="EJ58878"/>
      <c r="EK58878"/>
    </row>
    <row r="58879" spans="1:141" s="116" customFormat="1">
      <c r="A58879" s="136"/>
      <c r="CM58879" s="111"/>
      <c r="CQ58879" s="111"/>
      <c r="EF58879"/>
      <c r="EG58879"/>
      <c r="EH58879"/>
      <c r="EI58879"/>
      <c r="EJ58879"/>
      <c r="EK58879"/>
    </row>
    <row r="58880" spans="1:141" s="116" customFormat="1">
      <c r="A58880" s="136"/>
      <c r="CM58880" s="111"/>
      <c r="CQ58880" s="111"/>
      <c r="EF58880"/>
      <c r="EG58880"/>
      <c r="EH58880"/>
      <c r="EI58880"/>
      <c r="EJ58880"/>
      <c r="EK58880"/>
    </row>
    <row r="58881" spans="1:141" s="116" customFormat="1">
      <c r="A58881" s="136"/>
      <c r="CM58881" s="111"/>
      <c r="CQ58881" s="111"/>
      <c r="EF58881"/>
      <c r="EG58881"/>
      <c r="EH58881"/>
      <c r="EI58881"/>
      <c r="EJ58881"/>
      <c r="EK58881"/>
    </row>
    <row r="58882" spans="1:141" s="116" customFormat="1">
      <c r="A58882" s="136"/>
      <c r="CM58882" s="111"/>
      <c r="CQ58882" s="111"/>
      <c r="EF58882"/>
      <c r="EG58882"/>
      <c r="EH58882"/>
      <c r="EI58882"/>
      <c r="EJ58882"/>
      <c r="EK58882"/>
    </row>
    <row r="58883" spans="1:141" s="116" customFormat="1">
      <c r="A58883" s="136"/>
      <c r="CM58883" s="111"/>
      <c r="CQ58883" s="111"/>
      <c r="EF58883"/>
      <c r="EG58883"/>
      <c r="EH58883"/>
      <c r="EI58883"/>
      <c r="EJ58883"/>
      <c r="EK58883"/>
    </row>
    <row r="58884" spans="1:141" s="116" customFormat="1">
      <c r="A58884" s="136"/>
      <c r="CM58884" s="111"/>
      <c r="CQ58884" s="111"/>
      <c r="EF58884"/>
      <c r="EG58884"/>
      <c r="EH58884"/>
      <c r="EI58884"/>
      <c r="EJ58884"/>
      <c r="EK58884"/>
    </row>
    <row r="58885" spans="1:141" s="116" customFormat="1">
      <c r="A58885" s="136"/>
      <c r="CM58885" s="111"/>
      <c r="CQ58885" s="111"/>
      <c r="EF58885"/>
      <c r="EG58885"/>
      <c r="EH58885"/>
      <c r="EI58885"/>
      <c r="EJ58885"/>
      <c r="EK58885"/>
    </row>
    <row r="58886" spans="1:141" s="116" customFormat="1">
      <c r="A58886" s="136"/>
      <c r="CM58886" s="111"/>
      <c r="CQ58886" s="111"/>
      <c r="EF58886"/>
      <c r="EG58886"/>
      <c r="EH58886"/>
      <c r="EI58886"/>
      <c r="EJ58886"/>
      <c r="EK58886"/>
    </row>
    <row r="58887" spans="1:141" s="116" customFormat="1">
      <c r="A58887" s="136"/>
      <c r="CM58887" s="111"/>
      <c r="CQ58887" s="111"/>
      <c r="EF58887"/>
      <c r="EG58887"/>
      <c r="EH58887"/>
      <c r="EI58887"/>
      <c r="EJ58887"/>
      <c r="EK58887"/>
    </row>
    <row r="58888" spans="1:141" s="116" customFormat="1">
      <c r="A58888" s="136"/>
      <c r="CM58888" s="111"/>
      <c r="CQ58888" s="111"/>
      <c r="EF58888"/>
      <c r="EG58888"/>
      <c r="EH58888"/>
      <c r="EI58888"/>
      <c r="EJ58888"/>
      <c r="EK58888"/>
    </row>
    <row r="58889" spans="1:141" s="116" customFormat="1">
      <c r="A58889" s="136"/>
      <c r="CM58889" s="111"/>
      <c r="CQ58889" s="111"/>
      <c r="EF58889"/>
      <c r="EG58889"/>
      <c r="EH58889"/>
      <c r="EI58889"/>
      <c r="EJ58889"/>
      <c r="EK58889"/>
    </row>
    <row r="58890" spans="1:141" s="116" customFormat="1">
      <c r="A58890" s="136"/>
      <c r="CM58890" s="111"/>
      <c r="CQ58890" s="111"/>
      <c r="EF58890"/>
      <c r="EG58890"/>
      <c r="EH58890"/>
      <c r="EI58890"/>
      <c r="EJ58890"/>
      <c r="EK58890"/>
    </row>
    <row r="58891" spans="1:141" s="116" customFormat="1">
      <c r="A58891" s="136"/>
      <c r="CM58891" s="111"/>
      <c r="CQ58891" s="111"/>
      <c r="EF58891"/>
      <c r="EG58891"/>
      <c r="EH58891"/>
      <c r="EI58891"/>
      <c r="EJ58891"/>
      <c r="EK58891"/>
    </row>
    <row r="58892" spans="1:141" s="116" customFormat="1">
      <c r="A58892" s="136"/>
      <c r="CM58892" s="111"/>
      <c r="CQ58892" s="111"/>
      <c r="EF58892"/>
      <c r="EG58892"/>
      <c r="EH58892"/>
      <c r="EI58892"/>
      <c r="EJ58892"/>
      <c r="EK58892"/>
    </row>
    <row r="58893" spans="1:141" s="116" customFormat="1">
      <c r="A58893" s="136"/>
      <c r="CM58893" s="111"/>
      <c r="CQ58893" s="111"/>
      <c r="EF58893"/>
      <c r="EG58893"/>
      <c r="EH58893"/>
      <c r="EI58893"/>
      <c r="EJ58893"/>
      <c r="EK58893"/>
    </row>
    <row r="58894" spans="1:141" s="116" customFormat="1">
      <c r="A58894" s="136"/>
      <c r="CM58894" s="111"/>
      <c r="CQ58894" s="111"/>
      <c r="EF58894"/>
      <c r="EG58894"/>
      <c r="EH58894"/>
      <c r="EI58894"/>
      <c r="EJ58894"/>
      <c r="EK58894"/>
    </row>
    <row r="58895" spans="1:141" s="116" customFormat="1">
      <c r="A58895" s="136"/>
      <c r="CM58895" s="111"/>
      <c r="CQ58895" s="111"/>
      <c r="EF58895"/>
      <c r="EG58895"/>
      <c r="EH58895"/>
      <c r="EI58895"/>
      <c r="EJ58895"/>
      <c r="EK58895"/>
    </row>
    <row r="58896" spans="1:141" s="116" customFormat="1">
      <c r="A58896" s="136"/>
      <c r="CM58896" s="111"/>
      <c r="CQ58896" s="111"/>
      <c r="EF58896"/>
      <c r="EG58896"/>
      <c r="EH58896"/>
      <c r="EI58896"/>
      <c r="EJ58896"/>
      <c r="EK58896"/>
    </row>
    <row r="58897" spans="1:141" s="116" customFormat="1">
      <c r="A58897" s="136"/>
      <c r="CM58897" s="111"/>
      <c r="CQ58897" s="111"/>
      <c r="EF58897"/>
      <c r="EG58897"/>
      <c r="EH58897"/>
      <c r="EI58897"/>
      <c r="EJ58897"/>
      <c r="EK58897"/>
    </row>
    <row r="58898" spans="1:141" s="116" customFormat="1">
      <c r="A58898" s="136"/>
      <c r="CM58898" s="111"/>
      <c r="CQ58898" s="111"/>
      <c r="EF58898"/>
      <c r="EG58898"/>
      <c r="EH58898"/>
      <c r="EI58898"/>
      <c r="EJ58898"/>
      <c r="EK58898"/>
    </row>
    <row r="58899" spans="1:141" s="116" customFormat="1">
      <c r="A58899" s="136"/>
      <c r="CM58899" s="111"/>
      <c r="CQ58899" s="111"/>
      <c r="EF58899"/>
      <c r="EG58899"/>
      <c r="EH58899"/>
      <c r="EI58899"/>
      <c r="EJ58899"/>
      <c r="EK58899"/>
    </row>
    <row r="58900" spans="1:141" s="116" customFormat="1">
      <c r="A58900" s="136"/>
      <c r="CM58900" s="111"/>
      <c r="CQ58900" s="111"/>
      <c r="EF58900"/>
      <c r="EG58900"/>
      <c r="EH58900"/>
      <c r="EI58900"/>
      <c r="EJ58900"/>
      <c r="EK58900"/>
    </row>
    <row r="58901" spans="1:141" s="116" customFormat="1">
      <c r="A58901" s="136"/>
      <c r="CM58901" s="111"/>
      <c r="CQ58901" s="111"/>
      <c r="EF58901"/>
      <c r="EG58901"/>
      <c r="EH58901"/>
      <c r="EI58901"/>
      <c r="EJ58901"/>
      <c r="EK58901"/>
    </row>
    <row r="58902" spans="1:141" s="116" customFormat="1">
      <c r="A58902" s="136"/>
      <c r="CM58902" s="111"/>
      <c r="CQ58902" s="111"/>
      <c r="EF58902"/>
      <c r="EG58902"/>
      <c r="EH58902"/>
      <c r="EI58902"/>
      <c r="EJ58902"/>
      <c r="EK58902"/>
    </row>
    <row r="58903" spans="1:141" s="116" customFormat="1">
      <c r="A58903" s="136"/>
      <c r="CM58903" s="111"/>
      <c r="CQ58903" s="111"/>
      <c r="EF58903"/>
      <c r="EG58903"/>
      <c r="EH58903"/>
      <c r="EI58903"/>
      <c r="EJ58903"/>
      <c r="EK58903"/>
    </row>
    <row r="58904" spans="1:141" s="116" customFormat="1">
      <c r="A58904" s="136"/>
      <c r="CM58904" s="111"/>
      <c r="CQ58904" s="111"/>
      <c r="EF58904"/>
      <c r="EG58904"/>
      <c r="EH58904"/>
      <c r="EI58904"/>
      <c r="EJ58904"/>
      <c r="EK58904"/>
    </row>
    <row r="58905" spans="1:141" s="116" customFormat="1">
      <c r="A58905" s="136"/>
      <c r="CM58905" s="111"/>
      <c r="CQ58905" s="111"/>
      <c r="EF58905"/>
      <c r="EG58905"/>
      <c r="EH58905"/>
      <c r="EI58905"/>
      <c r="EJ58905"/>
      <c r="EK58905"/>
    </row>
    <row r="58906" spans="1:141" s="116" customFormat="1">
      <c r="A58906" s="136"/>
      <c r="CM58906" s="111"/>
      <c r="CQ58906" s="111"/>
      <c r="EF58906"/>
      <c r="EG58906"/>
      <c r="EH58906"/>
      <c r="EI58906"/>
      <c r="EJ58906"/>
      <c r="EK58906"/>
    </row>
    <row r="58907" spans="1:141" s="116" customFormat="1">
      <c r="A58907" s="136"/>
      <c r="CM58907" s="111"/>
      <c r="CQ58907" s="111"/>
      <c r="EF58907"/>
      <c r="EG58907"/>
      <c r="EH58907"/>
      <c r="EI58907"/>
      <c r="EJ58907"/>
      <c r="EK58907"/>
    </row>
    <row r="58908" spans="1:141" s="116" customFormat="1">
      <c r="A58908" s="136"/>
      <c r="CM58908" s="111"/>
      <c r="CQ58908" s="111"/>
      <c r="EF58908"/>
      <c r="EG58908"/>
      <c r="EH58908"/>
      <c r="EI58908"/>
      <c r="EJ58908"/>
      <c r="EK58908"/>
    </row>
    <row r="58909" spans="1:141" s="116" customFormat="1">
      <c r="A58909" s="136"/>
      <c r="CM58909" s="111"/>
      <c r="CQ58909" s="111"/>
      <c r="EF58909"/>
      <c r="EG58909"/>
      <c r="EH58909"/>
      <c r="EI58909"/>
      <c r="EJ58909"/>
      <c r="EK58909"/>
    </row>
    <row r="58910" spans="1:141" s="116" customFormat="1">
      <c r="A58910" s="136"/>
      <c r="CM58910" s="111"/>
      <c r="CQ58910" s="111"/>
      <c r="EF58910"/>
      <c r="EG58910"/>
      <c r="EH58910"/>
      <c r="EI58910"/>
      <c r="EJ58910"/>
      <c r="EK58910"/>
    </row>
    <row r="58911" spans="1:141" s="116" customFormat="1">
      <c r="A58911" s="136"/>
      <c r="CM58911" s="111"/>
      <c r="CQ58911" s="111"/>
      <c r="EF58911"/>
      <c r="EG58911"/>
      <c r="EH58911"/>
      <c r="EI58911"/>
      <c r="EJ58911"/>
      <c r="EK58911"/>
    </row>
    <row r="58912" spans="1:141" s="116" customFormat="1">
      <c r="A58912" s="136"/>
      <c r="CM58912" s="111"/>
      <c r="CQ58912" s="111"/>
      <c r="EF58912"/>
      <c r="EG58912"/>
      <c r="EH58912"/>
      <c r="EI58912"/>
      <c r="EJ58912"/>
      <c r="EK58912"/>
    </row>
    <row r="58913" spans="1:141" s="116" customFormat="1">
      <c r="A58913" s="136"/>
      <c r="CM58913" s="111"/>
      <c r="CQ58913" s="111"/>
      <c r="EF58913"/>
      <c r="EG58913"/>
      <c r="EH58913"/>
      <c r="EI58913"/>
      <c r="EJ58913"/>
      <c r="EK58913"/>
    </row>
    <row r="58914" spans="1:141" s="116" customFormat="1">
      <c r="A58914" s="136"/>
      <c r="CM58914" s="111"/>
      <c r="CQ58914" s="111"/>
      <c r="EF58914"/>
      <c r="EG58914"/>
      <c r="EH58914"/>
      <c r="EI58914"/>
      <c r="EJ58914"/>
      <c r="EK58914"/>
    </row>
    <row r="58915" spans="1:141" s="116" customFormat="1">
      <c r="A58915" s="136"/>
      <c r="CM58915" s="111"/>
      <c r="CQ58915" s="111"/>
      <c r="EF58915"/>
      <c r="EG58915"/>
      <c r="EH58915"/>
      <c r="EI58915"/>
      <c r="EJ58915"/>
      <c r="EK58915"/>
    </row>
    <row r="58916" spans="1:141" s="116" customFormat="1">
      <c r="A58916" s="136"/>
      <c r="CM58916" s="111"/>
      <c r="CQ58916" s="111"/>
      <c r="EF58916"/>
      <c r="EG58916"/>
      <c r="EH58916"/>
      <c r="EI58916"/>
      <c r="EJ58916"/>
      <c r="EK58916"/>
    </row>
    <row r="58917" spans="1:141" s="116" customFormat="1">
      <c r="A58917" s="136"/>
      <c r="CM58917" s="111"/>
      <c r="CQ58917" s="111"/>
      <c r="EF58917"/>
      <c r="EG58917"/>
      <c r="EH58917"/>
      <c r="EI58917"/>
      <c r="EJ58917"/>
      <c r="EK58917"/>
    </row>
    <row r="58918" spans="1:141" s="116" customFormat="1">
      <c r="A58918" s="136"/>
      <c r="CM58918" s="111"/>
      <c r="CQ58918" s="111"/>
      <c r="EF58918"/>
      <c r="EG58918"/>
      <c r="EH58918"/>
      <c r="EI58918"/>
      <c r="EJ58918"/>
      <c r="EK58918"/>
    </row>
    <row r="58919" spans="1:141" s="116" customFormat="1">
      <c r="A58919" s="136"/>
      <c r="CM58919" s="111"/>
      <c r="CQ58919" s="111"/>
      <c r="EF58919"/>
      <c r="EG58919"/>
      <c r="EH58919"/>
      <c r="EI58919"/>
      <c r="EJ58919"/>
      <c r="EK58919"/>
    </row>
    <row r="58920" spans="1:141" s="116" customFormat="1">
      <c r="A58920" s="136"/>
      <c r="CM58920" s="111"/>
      <c r="CQ58920" s="111"/>
      <c r="EF58920"/>
      <c r="EG58920"/>
      <c r="EH58920"/>
      <c r="EI58920"/>
      <c r="EJ58920"/>
      <c r="EK58920"/>
    </row>
    <row r="58921" spans="1:141" s="116" customFormat="1">
      <c r="A58921" s="136"/>
      <c r="CM58921" s="111"/>
      <c r="CQ58921" s="111"/>
      <c r="EF58921"/>
      <c r="EG58921"/>
      <c r="EH58921"/>
      <c r="EI58921"/>
      <c r="EJ58921"/>
      <c r="EK58921"/>
    </row>
    <row r="58922" spans="1:141" s="116" customFormat="1">
      <c r="A58922" s="136"/>
      <c r="CM58922" s="111"/>
      <c r="CQ58922" s="111"/>
      <c r="EF58922"/>
      <c r="EG58922"/>
      <c r="EH58922"/>
      <c r="EI58922"/>
      <c r="EJ58922"/>
      <c r="EK58922"/>
    </row>
    <row r="58923" spans="1:141" s="116" customFormat="1">
      <c r="A58923" s="136"/>
      <c r="CM58923" s="111"/>
      <c r="CQ58923" s="111"/>
      <c r="EF58923"/>
      <c r="EG58923"/>
      <c r="EH58923"/>
      <c r="EI58923"/>
      <c r="EJ58923"/>
      <c r="EK58923"/>
    </row>
    <row r="58924" spans="1:141" s="116" customFormat="1">
      <c r="A58924" s="136"/>
      <c r="CM58924" s="111"/>
      <c r="CQ58924" s="111"/>
      <c r="EF58924"/>
      <c r="EG58924"/>
      <c r="EH58924"/>
      <c r="EI58924"/>
      <c r="EJ58924"/>
      <c r="EK58924"/>
    </row>
    <row r="58925" spans="1:141" s="116" customFormat="1">
      <c r="A58925" s="136"/>
      <c r="CM58925" s="111"/>
      <c r="CQ58925" s="111"/>
      <c r="EF58925"/>
      <c r="EG58925"/>
      <c r="EH58925"/>
      <c r="EI58925"/>
      <c r="EJ58925"/>
      <c r="EK58925"/>
    </row>
    <row r="58926" spans="1:141" s="116" customFormat="1">
      <c r="A58926" s="136"/>
      <c r="CM58926" s="111"/>
      <c r="CQ58926" s="111"/>
      <c r="EF58926"/>
      <c r="EG58926"/>
      <c r="EH58926"/>
      <c r="EI58926"/>
      <c r="EJ58926"/>
      <c r="EK58926"/>
    </row>
    <row r="58927" spans="1:141" s="116" customFormat="1">
      <c r="A58927" s="136"/>
      <c r="CM58927" s="111"/>
      <c r="CQ58927" s="111"/>
      <c r="EF58927"/>
      <c r="EG58927"/>
      <c r="EH58927"/>
      <c r="EI58927"/>
      <c r="EJ58927"/>
      <c r="EK58927"/>
    </row>
    <row r="58928" spans="1:141" s="116" customFormat="1">
      <c r="A58928" s="136"/>
      <c r="CM58928" s="111"/>
      <c r="CQ58928" s="111"/>
      <c r="EF58928"/>
      <c r="EG58928"/>
      <c r="EH58928"/>
      <c r="EI58928"/>
      <c r="EJ58928"/>
      <c r="EK58928"/>
    </row>
    <row r="58929" spans="1:141" s="116" customFormat="1">
      <c r="A58929" s="136"/>
      <c r="CM58929" s="111"/>
      <c r="CQ58929" s="111"/>
      <c r="EF58929"/>
      <c r="EG58929"/>
      <c r="EH58929"/>
      <c r="EI58929"/>
      <c r="EJ58929"/>
      <c r="EK58929"/>
    </row>
    <row r="58930" spans="1:141" s="116" customFormat="1">
      <c r="A58930" s="136"/>
      <c r="CM58930" s="111"/>
      <c r="CQ58930" s="111"/>
      <c r="EF58930"/>
      <c r="EG58930"/>
      <c r="EH58930"/>
      <c r="EI58930"/>
      <c r="EJ58930"/>
      <c r="EK58930"/>
    </row>
    <row r="58931" spans="1:141" s="116" customFormat="1">
      <c r="A58931" s="136"/>
      <c r="CM58931" s="111"/>
      <c r="CQ58931" s="111"/>
      <c r="EF58931"/>
      <c r="EG58931"/>
      <c r="EH58931"/>
      <c r="EI58931"/>
      <c r="EJ58931"/>
      <c r="EK58931"/>
    </row>
    <row r="58932" spans="1:141" s="116" customFormat="1">
      <c r="A58932" s="136"/>
      <c r="CM58932" s="111"/>
      <c r="CQ58932" s="111"/>
      <c r="EF58932"/>
      <c r="EG58932"/>
      <c r="EH58932"/>
      <c r="EI58932"/>
      <c r="EJ58932"/>
      <c r="EK58932"/>
    </row>
    <row r="58933" spans="1:141" s="116" customFormat="1">
      <c r="A58933" s="136"/>
      <c r="CM58933" s="111"/>
      <c r="CQ58933" s="111"/>
      <c r="EF58933"/>
      <c r="EG58933"/>
      <c r="EH58933"/>
      <c r="EI58933"/>
      <c r="EJ58933"/>
      <c r="EK58933"/>
    </row>
    <row r="58934" spans="1:141" s="116" customFormat="1">
      <c r="A58934" s="136"/>
      <c r="CM58934" s="111"/>
      <c r="CQ58934" s="111"/>
      <c r="EF58934"/>
      <c r="EG58934"/>
      <c r="EH58934"/>
      <c r="EI58934"/>
      <c r="EJ58934"/>
      <c r="EK58934"/>
    </row>
    <row r="58935" spans="1:141" s="116" customFormat="1">
      <c r="A58935" s="136"/>
      <c r="CM58935" s="111"/>
      <c r="CQ58935" s="111"/>
      <c r="EF58935"/>
      <c r="EG58935"/>
      <c r="EH58935"/>
      <c r="EI58935"/>
      <c r="EJ58935"/>
      <c r="EK58935"/>
    </row>
    <row r="58936" spans="1:141" s="116" customFormat="1">
      <c r="A58936" s="136"/>
      <c r="CM58936" s="111"/>
      <c r="CQ58936" s="111"/>
      <c r="EF58936"/>
      <c r="EG58936"/>
      <c r="EH58936"/>
      <c r="EI58936"/>
      <c r="EJ58936"/>
      <c r="EK58936"/>
    </row>
    <row r="58937" spans="1:141" s="116" customFormat="1">
      <c r="A58937" s="136"/>
      <c r="CM58937" s="111"/>
      <c r="CQ58937" s="111"/>
      <c r="EF58937"/>
      <c r="EG58937"/>
      <c r="EH58937"/>
      <c r="EI58937"/>
      <c r="EJ58937"/>
      <c r="EK58937"/>
    </row>
    <row r="58938" spans="1:141" s="116" customFormat="1">
      <c r="A58938" s="136"/>
      <c r="CM58938" s="111"/>
      <c r="CQ58938" s="111"/>
      <c r="EF58938"/>
      <c r="EG58938"/>
      <c r="EH58938"/>
      <c r="EI58938"/>
      <c r="EJ58938"/>
      <c r="EK58938"/>
    </row>
    <row r="58939" spans="1:141" s="116" customFormat="1">
      <c r="A58939" s="136"/>
      <c r="CM58939" s="111"/>
      <c r="CQ58939" s="111"/>
      <c r="EF58939"/>
      <c r="EG58939"/>
      <c r="EH58939"/>
      <c r="EI58939"/>
      <c r="EJ58939"/>
      <c r="EK58939"/>
    </row>
    <row r="58940" spans="1:141" s="116" customFormat="1">
      <c r="A58940" s="136"/>
      <c r="CM58940" s="111"/>
      <c r="CQ58940" s="111"/>
      <c r="EF58940"/>
      <c r="EG58940"/>
      <c r="EH58940"/>
      <c r="EI58940"/>
      <c r="EJ58940"/>
      <c r="EK58940"/>
    </row>
    <row r="58941" spans="1:141" s="116" customFormat="1">
      <c r="A58941" s="136"/>
      <c r="CM58941" s="111"/>
      <c r="CQ58941" s="111"/>
      <c r="EF58941"/>
      <c r="EG58941"/>
      <c r="EH58941"/>
      <c r="EI58941"/>
      <c r="EJ58941"/>
      <c r="EK58941"/>
    </row>
    <row r="58942" spans="1:141" s="116" customFormat="1">
      <c r="A58942" s="136"/>
      <c r="CM58942" s="111"/>
      <c r="CQ58942" s="111"/>
      <c r="EF58942"/>
      <c r="EG58942"/>
      <c r="EH58942"/>
      <c r="EI58942"/>
      <c r="EJ58942"/>
      <c r="EK58942"/>
    </row>
    <row r="58943" spans="1:141" s="116" customFormat="1">
      <c r="A58943" s="136"/>
      <c r="CM58943" s="111"/>
      <c r="CQ58943" s="111"/>
      <c r="EF58943"/>
      <c r="EG58943"/>
      <c r="EH58943"/>
      <c r="EI58943"/>
      <c r="EJ58943"/>
      <c r="EK58943"/>
    </row>
    <row r="58944" spans="1:141" s="116" customFormat="1">
      <c r="A58944" s="136"/>
      <c r="CM58944" s="111"/>
      <c r="CQ58944" s="111"/>
      <c r="EF58944"/>
      <c r="EG58944"/>
      <c r="EH58944"/>
      <c r="EI58944"/>
      <c r="EJ58944"/>
      <c r="EK58944"/>
    </row>
    <row r="58945" spans="1:141" s="116" customFormat="1">
      <c r="A58945" s="136"/>
      <c r="CM58945" s="111"/>
      <c r="CQ58945" s="111"/>
      <c r="EF58945"/>
      <c r="EG58945"/>
      <c r="EH58945"/>
      <c r="EI58945"/>
      <c r="EJ58945"/>
      <c r="EK58945"/>
    </row>
    <row r="58946" spans="1:141" s="116" customFormat="1">
      <c r="A58946" s="136"/>
      <c r="CM58946" s="111"/>
      <c r="CQ58946" s="111"/>
      <c r="EF58946"/>
      <c r="EG58946"/>
      <c r="EH58946"/>
      <c r="EI58946"/>
      <c r="EJ58946"/>
      <c r="EK58946"/>
    </row>
    <row r="58947" spans="1:141" s="116" customFormat="1">
      <c r="A58947" s="136"/>
      <c r="CM58947" s="111"/>
      <c r="CQ58947" s="111"/>
      <c r="EF58947"/>
      <c r="EG58947"/>
      <c r="EH58947"/>
      <c r="EI58947"/>
      <c r="EJ58947"/>
      <c r="EK58947"/>
    </row>
    <row r="58948" spans="1:141" s="116" customFormat="1">
      <c r="A58948" s="136"/>
      <c r="CM58948" s="111"/>
      <c r="CQ58948" s="111"/>
      <c r="EF58948"/>
      <c r="EG58948"/>
      <c r="EH58948"/>
      <c r="EI58948"/>
      <c r="EJ58948"/>
      <c r="EK58948"/>
    </row>
    <row r="58949" spans="1:141" s="116" customFormat="1">
      <c r="A58949" s="136"/>
      <c r="CM58949" s="111"/>
      <c r="CQ58949" s="111"/>
      <c r="EF58949"/>
      <c r="EG58949"/>
      <c r="EH58949"/>
      <c r="EI58949"/>
      <c r="EJ58949"/>
      <c r="EK58949"/>
    </row>
    <row r="58950" spans="1:141" s="116" customFormat="1">
      <c r="A58950" s="136"/>
      <c r="CM58950" s="111"/>
      <c r="CQ58950" s="111"/>
      <c r="EF58950"/>
      <c r="EG58950"/>
      <c r="EH58950"/>
      <c r="EI58950"/>
      <c r="EJ58950"/>
      <c r="EK58950"/>
    </row>
    <row r="58951" spans="1:141" s="116" customFormat="1">
      <c r="A58951" s="136"/>
      <c r="CM58951" s="111"/>
      <c r="CQ58951" s="111"/>
      <c r="EF58951"/>
      <c r="EG58951"/>
      <c r="EH58951"/>
      <c r="EI58951"/>
      <c r="EJ58951"/>
      <c r="EK58951"/>
    </row>
    <row r="58952" spans="1:141" s="116" customFormat="1">
      <c r="A58952" s="136"/>
      <c r="CM58952" s="111"/>
      <c r="CQ58952" s="111"/>
      <c r="EF58952"/>
      <c r="EG58952"/>
      <c r="EH58952"/>
      <c r="EI58952"/>
      <c r="EJ58952"/>
      <c r="EK58952"/>
    </row>
    <row r="58953" spans="1:141" s="116" customFormat="1">
      <c r="A58953" s="136"/>
      <c r="CM58953" s="111"/>
      <c r="CQ58953" s="111"/>
      <c r="EF58953"/>
      <c r="EG58953"/>
      <c r="EH58953"/>
      <c r="EI58953"/>
      <c r="EJ58953"/>
      <c r="EK58953"/>
    </row>
    <row r="58954" spans="1:141" s="116" customFormat="1">
      <c r="A58954" s="136"/>
      <c r="CM58954" s="111"/>
      <c r="CQ58954" s="111"/>
      <c r="EF58954"/>
      <c r="EG58954"/>
      <c r="EH58954"/>
      <c r="EI58954"/>
      <c r="EJ58954"/>
      <c r="EK58954"/>
    </row>
    <row r="58955" spans="1:141" s="116" customFormat="1">
      <c r="A58955" s="136"/>
      <c r="CM58955" s="111"/>
      <c r="CQ58955" s="111"/>
      <c r="EF58955"/>
      <c r="EG58955"/>
      <c r="EH58955"/>
      <c r="EI58955"/>
      <c r="EJ58955"/>
      <c r="EK58955"/>
    </row>
    <row r="58956" spans="1:141" s="116" customFormat="1">
      <c r="A58956" s="136"/>
      <c r="CM58956" s="111"/>
      <c r="CQ58956" s="111"/>
      <c r="EF58956"/>
      <c r="EG58956"/>
      <c r="EH58956"/>
      <c r="EI58956"/>
      <c r="EJ58956"/>
      <c r="EK58956"/>
    </row>
    <row r="58957" spans="1:141" s="116" customFormat="1">
      <c r="A58957" s="136"/>
      <c r="CM58957" s="111"/>
      <c r="CQ58957" s="111"/>
      <c r="EF58957"/>
      <c r="EG58957"/>
      <c r="EH58957"/>
      <c r="EI58957"/>
      <c r="EJ58957"/>
      <c r="EK58957"/>
    </row>
    <row r="58958" spans="1:141" s="116" customFormat="1">
      <c r="A58958" s="136"/>
      <c r="CM58958" s="111"/>
      <c r="CQ58958" s="111"/>
      <c r="EF58958"/>
      <c r="EG58958"/>
      <c r="EH58958"/>
      <c r="EI58958"/>
      <c r="EJ58958"/>
      <c r="EK58958"/>
    </row>
    <row r="58959" spans="1:141" s="116" customFormat="1">
      <c r="A58959" s="136"/>
      <c r="CM58959" s="111"/>
      <c r="CQ58959" s="111"/>
      <c r="EF58959"/>
      <c r="EG58959"/>
      <c r="EH58959"/>
      <c r="EI58959"/>
      <c r="EJ58959"/>
      <c r="EK58959"/>
    </row>
    <row r="58960" spans="1:141" s="116" customFormat="1">
      <c r="A58960" s="136"/>
      <c r="CM58960" s="111"/>
      <c r="CQ58960" s="111"/>
      <c r="EF58960"/>
      <c r="EG58960"/>
      <c r="EH58960"/>
      <c r="EI58960"/>
      <c r="EJ58960"/>
      <c r="EK58960"/>
    </row>
    <row r="58961" spans="1:141" s="116" customFormat="1">
      <c r="A58961" s="136"/>
      <c r="CM58961" s="111"/>
      <c r="CQ58961" s="111"/>
      <c r="EF58961"/>
      <c r="EG58961"/>
      <c r="EH58961"/>
      <c r="EI58961"/>
      <c r="EJ58961"/>
      <c r="EK58961"/>
    </row>
    <row r="58962" spans="1:141" s="116" customFormat="1">
      <c r="A58962" s="136"/>
      <c r="CM58962" s="111"/>
      <c r="CQ58962" s="111"/>
      <c r="EF58962"/>
      <c r="EG58962"/>
      <c r="EH58962"/>
      <c r="EI58962"/>
      <c r="EJ58962"/>
      <c r="EK58962"/>
    </row>
    <row r="58963" spans="1:141" s="116" customFormat="1">
      <c r="A58963" s="136"/>
      <c r="CM58963" s="111"/>
      <c r="CQ58963" s="111"/>
      <c r="EF58963"/>
      <c r="EG58963"/>
      <c r="EH58963"/>
      <c r="EI58963"/>
      <c r="EJ58963"/>
      <c r="EK58963"/>
    </row>
    <row r="58964" spans="1:141" s="116" customFormat="1">
      <c r="A58964" s="136"/>
      <c r="CM58964" s="111"/>
      <c r="CQ58964" s="111"/>
      <c r="EF58964"/>
      <c r="EG58964"/>
      <c r="EH58964"/>
      <c r="EI58964"/>
      <c r="EJ58964"/>
      <c r="EK58964"/>
    </row>
    <row r="58965" spans="1:141" s="116" customFormat="1">
      <c r="A58965" s="136"/>
      <c r="CM58965" s="111"/>
      <c r="CQ58965" s="111"/>
      <c r="EF58965"/>
      <c r="EG58965"/>
      <c r="EH58965"/>
      <c r="EI58965"/>
      <c r="EJ58965"/>
      <c r="EK58965"/>
    </row>
    <row r="58966" spans="1:141" s="116" customFormat="1">
      <c r="A58966" s="136"/>
      <c r="CM58966" s="111"/>
      <c r="CQ58966" s="111"/>
      <c r="EF58966"/>
      <c r="EG58966"/>
      <c r="EH58966"/>
      <c r="EI58966"/>
      <c r="EJ58966"/>
      <c r="EK58966"/>
    </row>
    <row r="58967" spans="1:141" s="116" customFormat="1">
      <c r="A58967" s="136"/>
      <c r="CM58967" s="111"/>
      <c r="CQ58967" s="111"/>
      <c r="EF58967"/>
      <c r="EG58967"/>
      <c r="EH58967"/>
      <c r="EI58967"/>
      <c r="EJ58967"/>
      <c r="EK58967"/>
    </row>
    <row r="58968" spans="1:141" s="116" customFormat="1">
      <c r="A58968" s="136"/>
      <c r="CM58968" s="111"/>
      <c r="CQ58968" s="111"/>
      <c r="EF58968"/>
      <c r="EG58968"/>
      <c r="EH58968"/>
      <c r="EI58968"/>
      <c r="EJ58968"/>
      <c r="EK58968"/>
    </row>
    <row r="58969" spans="1:141" s="116" customFormat="1">
      <c r="A58969" s="136"/>
      <c r="CM58969" s="111"/>
      <c r="CQ58969" s="111"/>
      <c r="EF58969"/>
      <c r="EG58969"/>
      <c r="EH58969"/>
      <c r="EI58969"/>
      <c r="EJ58969"/>
      <c r="EK58969"/>
    </row>
    <row r="58970" spans="1:141" s="116" customFormat="1">
      <c r="A58970" s="136"/>
      <c r="CM58970" s="111"/>
      <c r="CQ58970" s="111"/>
      <c r="EF58970"/>
      <c r="EG58970"/>
      <c r="EH58970"/>
      <c r="EI58970"/>
      <c r="EJ58970"/>
      <c r="EK58970"/>
    </row>
    <row r="58971" spans="1:141" s="116" customFormat="1">
      <c r="A58971" s="136"/>
      <c r="CM58971" s="111"/>
      <c r="CQ58971" s="111"/>
      <c r="EF58971"/>
      <c r="EG58971"/>
      <c r="EH58971"/>
      <c r="EI58971"/>
      <c r="EJ58971"/>
      <c r="EK58971"/>
    </row>
    <row r="58972" spans="1:141" s="116" customFormat="1">
      <c r="A58972" s="136"/>
      <c r="CM58972" s="111"/>
      <c r="CQ58972" s="111"/>
      <c r="EF58972"/>
      <c r="EG58972"/>
      <c r="EH58972"/>
      <c r="EI58972"/>
      <c r="EJ58972"/>
      <c r="EK58972"/>
    </row>
    <row r="58973" spans="1:141" s="116" customFormat="1">
      <c r="A58973" s="136"/>
      <c r="CM58973" s="111"/>
      <c r="CQ58973" s="111"/>
      <c r="EF58973"/>
      <c r="EG58973"/>
      <c r="EH58973"/>
      <c r="EI58973"/>
      <c r="EJ58973"/>
      <c r="EK58973"/>
    </row>
    <row r="58974" spans="1:141" s="116" customFormat="1">
      <c r="A58974" s="136"/>
      <c r="CM58974" s="111"/>
      <c r="CQ58974" s="111"/>
      <c r="EF58974"/>
      <c r="EG58974"/>
      <c r="EH58974"/>
      <c r="EI58974"/>
      <c r="EJ58974"/>
      <c r="EK58974"/>
    </row>
    <row r="58975" spans="1:141" s="116" customFormat="1">
      <c r="A58975" s="136"/>
      <c r="CM58975" s="111"/>
      <c r="CQ58975" s="111"/>
      <c r="EF58975"/>
      <c r="EG58975"/>
      <c r="EH58975"/>
      <c r="EI58975"/>
      <c r="EJ58975"/>
      <c r="EK58975"/>
    </row>
    <row r="58976" spans="1:141" s="116" customFormat="1">
      <c r="A58976" s="136"/>
      <c r="CM58976" s="111"/>
      <c r="CQ58976" s="111"/>
      <c r="EF58976"/>
      <c r="EG58976"/>
      <c r="EH58976"/>
      <c r="EI58976"/>
      <c r="EJ58976"/>
      <c r="EK58976"/>
    </row>
    <row r="58977" spans="1:141" s="116" customFormat="1">
      <c r="A58977" s="136"/>
      <c r="CM58977" s="111"/>
      <c r="CQ58977" s="111"/>
      <c r="EF58977"/>
      <c r="EG58977"/>
      <c r="EH58977"/>
      <c r="EI58977"/>
      <c r="EJ58977"/>
      <c r="EK58977"/>
    </row>
    <row r="58978" spans="1:141" s="116" customFormat="1">
      <c r="A58978" s="136"/>
      <c r="CM58978" s="111"/>
      <c r="CQ58978" s="111"/>
      <c r="EF58978"/>
      <c r="EG58978"/>
      <c r="EH58978"/>
      <c r="EI58978"/>
      <c r="EJ58978"/>
      <c r="EK58978"/>
    </row>
    <row r="58979" spans="1:141" s="116" customFormat="1">
      <c r="A58979" s="136"/>
      <c r="CM58979" s="111"/>
      <c r="CQ58979" s="111"/>
      <c r="EF58979"/>
      <c r="EG58979"/>
      <c r="EH58979"/>
      <c r="EI58979"/>
      <c r="EJ58979"/>
      <c r="EK58979"/>
    </row>
    <row r="58980" spans="1:141" s="116" customFormat="1">
      <c r="A58980" s="136"/>
      <c r="CM58980" s="111"/>
      <c r="CQ58980" s="111"/>
      <c r="EF58980"/>
      <c r="EG58980"/>
      <c r="EH58980"/>
      <c r="EI58980"/>
      <c r="EJ58980"/>
      <c r="EK58980"/>
    </row>
    <row r="58981" spans="1:141" s="116" customFormat="1">
      <c r="A58981" s="136"/>
      <c r="CM58981" s="111"/>
      <c r="CQ58981" s="111"/>
      <c r="EF58981"/>
      <c r="EG58981"/>
      <c r="EH58981"/>
      <c r="EI58981"/>
      <c r="EJ58981"/>
      <c r="EK58981"/>
    </row>
    <row r="58982" spans="1:141" s="116" customFormat="1">
      <c r="A58982" s="136"/>
      <c r="CM58982" s="111"/>
      <c r="CQ58982" s="111"/>
      <c r="EF58982"/>
      <c r="EG58982"/>
      <c r="EH58982"/>
      <c r="EI58982"/>
      <c r="EJ58982"/>
      <c r="EK58982"/>
    </row>
    <row r="58983" spans="1:141" s="116" customFormat="1">
      <c r="A58983" s="136"/>
      <c r="CM58983" s="111"/>
      <c r="CQ58983" s="111"/>
      <c r="EF58983"/>
      <c r="EG58983"/>
      <c r="EH58983"/>
      <c r="EI58983"/>
      <c r="EJ58983"/>
      <c r="EK58983"/>
    </row>
    <row r="58984" spans="1:141" s="116" customFormat="1">
      <c r="A58984" s="136"/>
      <c r="CM58984" s="111"/>
      <c r="CQ58984" s="111"/>
      <c r="EF58984"/>
      <c r="EG58984"/>
      <c r="EH58984"/>
      <c r="EI58984"/>
      <c r="EJ58984"/>
      <c r="EK58984"/>
    </row>
    <row r="58985" spans="1:141" s="116" customFormat="1">
      <c r="A58985" s="136"/>
      <c r="CM58985" s="111"/>
      <c r="CQ58985" s="111"/>
      <c r="EF58985"/>
      <c r="EG58985"/>
      <c r="EH58985"/>
      <c r="EI58985"/>
      <c r="EJ58985"/>
      <c r="EK58985"/>
    </row>
    <row r="58986" spans="1:141" s="116" customFormat="1">
      <c r="A58986" s="136"/>
      <c r="CM58986" s="111"/>
      <c r="CQ58986" s="111"/>
      <c r="EF58986"/>
      <c r="EG58986"/>
      <c r="EH58986"/>
      <c r="EI58986"/>
      <c r="EJ58986"/>
      <c r="EK58986"/>
    </row>
    <row r="58987" spans="1:141" s="116" customFormat="1">
      <c r="A58987" s="136"/>
      <c r="CM58987" s="111"/>
      <c r="CQ58987" s="111"/>
      <c r="EF58987"/>
      <c r="EG58987"/>
      <c r="EH58987"/>
      <c r="EI58987"/>
      <c r="EJ58987"/>
      <c r="EK58987"/>
    </row>
    <row r="58988" spans="1:141" s="116" customFormat="1">
      <c r="A58988" s="136"/>
      <c r="CM58988" s="111"/>
      <c r="CQ58988" s="111"/>
      <c r="EF58988"/>
      <c r="EG58988"/>
      <c r="EH58988"/>
      <c r="EI58988"/>
      <c r="EJ58988"/>
      <c r="EK58988"/>
    </row>
    <row r="58989" spans="1:141" s="116" customFormat="1">
      <c r="A58989" s="136"/>
      <c r="CM58989" s="111"/>
      <c r="CQ58989" s="111"/>
      <c r="EF58989"/>
      <c r="EG58989"/>
      <c r="EH58989"/>
      <c r="EI58989"/>
      <c r="EJ58989"/>
      <c r="EK58989"/>
    </row>
    <row r="58990" spans="1:141" s="116" customFormat="1">
      <c r="A58990" s="136"/>
      <c r="CM58990" s="111"/>
      <c r="CQ58990" s="111"/>
      <c r="EF58990"/>
      <c r="EG58990"/>
      <c r="EH58990"/>
      <c r="EI58990"/>
      <c r="EJ58990"/>
      <c r="EK58990"/>
    </row>
    <row r="58991" spans="1:141" s="116" customFormat="1">
      <c r="A58991" s="136"/>
      <c r="CM58991" s="111"/>
      <c r="CQ58991" s="111"/>
      <c r="EF58991"/>
      <c r="EG58991"/>
      <c r="EH58991"/>
      <c r="EI58991"/>
      <c r="EJ58991"/>
      <c r="EK58991"/>
    </row>
    <row r="58992" spans="1:141" s="116" customFormat="1">
      <c r="A58992" s="136"/>
      <c r="CM58992" s="111"/>
      <c r="CQ58992" s="111"/>
      <c r="EF58992"/>
      <c r="EG58992"/>
      <c r="EH58992"/>
      <c r="EI58992"/>
      <c r="EJ58992"/>
      <c r="EK58992"/>
    </row>
    <row r="58993" spans="1:141" s="116" customFormat="1">
      <c r="A58993" s="136"/>
      <c r="CM58993" s="111"/>
      <c r="CQ58993" s="111"/>
      <c r="EF58993"/>
      <c r="EG58993"/>
      <c r="EH58993"/>
      <c r="EI58993"/>
      <c r="EJ58993"/>
      <c r="EK58993"/>
    </row>
    <row r="58994" spans="1:141" s="116" customFormat="1">
      <c r="A58994" s="136"/>
      <c r="CM58994" s="111"/>
      <c r="CQ58994" s="111"/>
      <c r="EF58994"/>
      <c r="EG58994"/>
      <c r="EH58994"/>
      <c r="EI58994"/>
      <c r="EJ58994"/>
      <c r="EK58994"/>
    </row>
    <row r="58995" spans="1:141" s="116" customFormat="1">
      <c r="A58995" s="136"/>
      <c r="CM58995" s="111"/>
      <c r="CQ58995" s="111"/>
      <c r="EF58995"/>
      <c r="EG58995"/>
      <c r="EH58995"/>
      <c r="EI58995"/>
      <c r="EJ58995"/>
      <c r="EK58995"/>
    </row>
    <row r="58996" spans="1:141" s="116" customFormat="1">
      <c r="A58996" s="136"/>
      <c r="CM58996" s="111"/>
      <c r="CQ58996" s="111"/>
      <c r="EF58996"/>
      <c r="EG58996"/>
      <c r="EH58996"/>
      <c r="EI58996"/>
      <c r="EJ58996"/>
      <c r="EK58996"/>
    </row>
    <row r="58997" spans="1:141" s="116" customFormat="1">
      <c r="A58997" s="136"/>
      <c r="CM58997" s="111"/>
      <c r="CQ58997" s="111"/>
      <c r="EF58997"/>
      <c r="EG58997"/>
      <c r="EH58997"/>
      <c r="EI58997"/>
      <c r="EJ58997"/>
      <c r="EK58997"/>
    </row>
    <row r="58998" spans="1:141" s="116" customFormat="1">
      <c r="A58998" s="136"/>
      <c r="CM58998" s="111"/>
      <c r="CQ58998" s="111"/>
      <c r="EF58998"/>
      <c r="EG58998"/>
      <c r="EH58998"/>
      <c r="EI58998"/>
      <c r="EJ58998"/>
      <c r="EK58998"/>
    </row>
    <row r="58999" spans="1:141" s="116" customFormat="1">
      <c r="A58999" s="136"/>
      <c r="CM58999" s="111"/>
      <c r="CQ58999" s="111"/>
      <c r="EF58999"/>
      <c r="EG58999"/>
      <c r="EH58999"/>
      <c r="EI58999"/>
      <c r="EJ58999"/>
      <c r="EK58999"/>
    </row>
    <row r="59000" spans="1:141" s="116" customFormat="1">
      <c r="A59000" s="136"/>
      <c r="CM59000" s="111"/>
      <c r="CQ59000" s="111"/>
      <c r="EF59000"/>
      <c r="EG59000"/>
      <c r="EH59000"/>
      <c r="EI59000"/>
      <c r="EJ59000"/>
      <c r="EK59000"/>
    </row>
    <row r="59001" spans="1:141" s="116" customFormat="1">
      <c r="A59001" s="136"/>
      <c r="CM59001" s="111"/>
      <c r="CQ59001" s="111"/>
      <c r="EF59001"/>
      <c r="EG59001"/>
      <c r="EH59001"/>
      <c r="EI59001"/>
      <c r="EJ59001"/>
      <c r="EK59001"/>
    </row>
    <row r="59002" spans="1:141" s="116" customFormat="1">
      <c r="A59002" s="136"/>
      <c r="CM59002" s="111"/>
      <c r="CQ59002" s="111"/>
      <c r="EF59002"/>
      <c r="EG59002"/>
      <c r="EH59002"/>
      <c r="EI59002"/>
      <c r="EJ59002"/>
      <c r="EK59002"/>
    </row>
    <row r="59003" spans="1:141" s="116" customFormat="1">
      <c r="A59003" s="136"/>
      <c r="CM59003" s="111"/>
      <c r="CQ59003" s="111"/>
      <c r="EF59003"/>
      <c r="EG59003"/>
      <c r="EH59003"/>
      <c r="EI59003"/>
      <c r="EJ59003"/>
      <c r="EK59003"/>
    </row>
    <row r="59004" spans="1:141" s="116" customFormat="1">
      <c r="A59004" s="136"/>
      <c r="CM59004" s="111"/>
      <c r="CQ59004" s="111"/>
      <c r="EF59004"/>
      <c r="EG59004"/>
      <c r="EH59004"/>
      <c r="EI59004"/>
      <c r="EJ59004"/>
      <c r="EK59004"/>
    </row>
    <row r="59005" spans="1:141" s="116" customFormat="1">
      <c r="A59005" s="136"/>
      <c r="CM59005" s="111"/>
      <c r="CQ59005" s="111"/>
      <c r="EF59005"/>
      <c r="EG59005"/>
      <c r="EH59005"/>
      <c r="EI59005"/>
      <c r="EJ59005"/>
      <c r="EK59005"/>
    </row>
    <row r="59006" spans="1:141" s="116" customFormat="1">
      <c r="A59006" s="136"/>
      <c r="CM59006" s="111"/>
      <c r="CQ59006" s="111"/>
      <c r="EF59006"/>
      <c r="EG59006"/>
      <c r="EH59006"/>
      <c r="EI59006"/>
      <c r="EJ59006"/>
      <c r="EK59006"/>
    </row>
    <row r="59007" spans="1:141" s="116" customFormat="1">
      <c r="A59007" s="136"/>
      <c r="CM59007" s="111"/>
      <c r="CQ59007" s="111"/>
      <c r="EF59007"/>
      <c r="EG59007"/>
      <c r="EH59007"/>
      <c r="EI59007"/>
      <c r="EJ59007"/>
      <c r="EK59007"/>
    </row>
    <row r="59008" spans="1:141" s="116" customFormat="1">
      <c r="A59008" s="136"/>
      <c r="CM59008" s="111"/>
      <c r="CQ59008" s="111"/>
      <c r="EF59008"/>
      <c r="EG59008"/>
      <c r="EH59008"/>
      <c r="EI59008"/>
      <c r="EJ59008"/>
      <c r="EK59008"/>
    </row>
    <row r="59009" spans="1:141" s="116" customFormat="1">
      <c r="A59009" s="136"/>
      <c r="CM59009" s="111"/>
      <c r="CQ59009" s="111"/>
      <c r="EF59009"/>
      <c r="EG59009"/>
      <c r="EH59009"/>
      <c r="EI59009"/>
      <c r="EJ59009"/>
      <c r="EK59009"/>
    </row>
    <row r="59010" spans="1:141" s="116" customFormat="1">
      <c r="A59010" s="136"/>
      <c r="CM59010" s="111"/>
      <c r="CQ59010" s="111"/>
      <c r="EF59010"/>
      <c r="EG59010"/>
      <c r="EH59010"/>
      <c r="EI59010"/>
      <c r="EJ59010"/>
      <c r="EK59010"/>
    </row>
    <row r="59011" spans="1:141" s="116" customFormat="1">
      <c r="A59011" s="136"/>
      <c r="CM59011" s="111"/>
      <c r="CQ59011" s="111"/>
      <c r="EF59011"/>
      <c r="EG59011"/>
      <c r="EH59011"/>
      <c r="EI59011"/>
      <c r="EJ59011"/>
      <c r="EK59011"/>
    </row>
    <row r="59012" spans="1:141" s="116" customFormat="1">
      <c r="A59012" s="136"/>
      <c r="CM59012" s="111"/>
      <c r="CQ59012" s="111"/>
      <c r="EF59012"/>
      <c r="EG59012"/>
      <c r="EH59012"/>
      <c r="EI59012"/>
      <c r="EJ59012"/>
      <c r="EK59012"/>
    </row>
    <row r="59013" spans="1:141" s="116" customFormat="1">
      <c r="A59013" s="136"/>
      <c r="CM59013" s="111"/>
      <c r="CQ59013" s="111"/>
      <c r="EF59013"/>
      <c r="EG59013"/>
      <c r="EH59013"/>
      <c r="EI59013"/>
      <c r="EJ59013"/>
      <c r="EK59013"/>
    </row>
    <row r="59014" spans="1:141" s="116" customFormat="1">
      <c r="A59014" s="136"/>
      <c r="CM59014" s="111"/>
      <c r="CQ59014" s="111"/>
      <c r="EF59014"/>
      <c r="EG59014"/>
      <c r="EH59014"/>
      <c r="EI59014"/>
      <c r="EJ59014"/>
      <c r="EK59014"/>
    </row>
    <row r="59015" spans="1:141" s="116" customFormat="1">
      <c r="A59015" s="136"/>
      <c r="CM59015" s="111"/>
      <c r="CQ59015" s="111"/>
      <c r="EF59015"/>
      <c r="EG59015"/>
      <c r="EH59015"/>
      <c r="EI59015"/>
      <c r="EJ59015"/>
      <c r="EK59015"/>
    </row>
    <row r="59016" spans="1:141" s="116" customFormat="1">
      <c r="A59016" s="136"/>
      <c r="CM59016" s="111"/>
      <c r="CQ59016" s="111"/>
      <c r="EF59016"/>
      <c r="EG59016"/>
      <c r="EH59016"/>
      <c r="EI59016"/>
      <c r="EJ59016"/>
      <c r="EK59016"/>
    </row>
    <row r="59017" spans="1:141" s="116" customFormat="1">
      <c r="A59017" s="136"/>
      <c r="CM59017" s="111"/>
      <c r="CQ59017" s="111"/>
      <c r="EF59017"/>
      <c r="EG59017"/>
      <c r="EH59017"/>
      <c r="EI59017"/>
      <c r="EJ59017"/>
      <c r="EK59017"/>
    </row>
    <row r="59018" spans="1:141" s="116" customFormat="1">
      <c r="A59018" s="136"/>
      <c r="CM59018" s="111"/>
      <c r="CQ59018" s="111"/>
      <c r="EF59018"/>
      <c r="EG59018"/>
      <c r="EH59018"/>
      <c r="EI59018"/>
      <c r="EJ59018"/>
      <c r="EK59018"/>
    </row>
    <row r="59019" spans="1:141" s="116" customFormat="1">
      <c r="A59019" s="136"/>
      <c r="CM59019" s="111"/>
      <c r="CQ59019" s="111"/>
      <c r="EF59019"/>
      <c r="EG59019"/>
      <c r="EH59019"/>
      <c r="EI59019"/>
      <c r="EJ59019"/>
      <c r="EK59019"/>
    </row>
    <row r="59020" spans="1:141" s="116" customFormat="1">
      <c r="A59020" s="136"/>
      <c r="CM59020" s="111"/>
      <c r="CQ59020" s="111"/>
      <c r="EF59020"/>
      <c r="EG59020"/>
      <c r="EH59020"/>
      <c r="EI59020"/>
      <c r="EJ59020"/>
      <c r="EK59020"/>
    </row>
    <row r="59021" spans="1:141" s="116" customFormat="1">
      <c r="A59021" s="136"/>
      <c r="CM59021" s="111"/>
      <c r="CQ59021" s="111"/>
      <c r="EF59021"/>
      <c r="EG59021"/>
      <c r="EH59021"/>
      <c r="EI59021"/>
      <c r="EJ59021"/>
      <c r="EK59021"/>
    </row>
    <row r="59022" spans="1:141" s="116" customFormat="1">
      <c r="A59022" s="136"/>
      <c r="CM59022" s="111"/>
      <c r="CQ59022" s="111"/>
      <c r="EF59022"/>
      <c r="EG59022"/>
      <c r="EH59022"/>
      <c r="EI59022"/>
      <c r="EJ59022"/>
      <c r="EK59022"/>
    </row>
    <row r="59023" spans="1:141" s="116" customFormat="1">
      <c r="A59023" s="136"/>
      <c r="CM59023" s="111"/>
      <c r="CQ59023" s="111"/>
      <c r="EF59023"/>
      <c r="EG59023"/>
      <c r="EH59023"/>
      <c r="EI59023"/>
      <c r="EJ59023"/>
      <c r="EK59023"/>
    </row>
    <row r="59024" spans="1:141" s="116" customFormat="1">
      <c r="A59024" s="136"/>
      <c r="CM59024" s="111"/>
      <c r="CQ59024" s="111"/>
      <c r="EF59024"/>
      <c r="EG59024"/>
      <c r="EH59024"/>
      <c r="EI59024"/>
      <c r="EJ59024"/>
      <c r="EK59024"/>
    </row>
    <row r="59025" spans="1:141" s="116" customFormat="1">
      <c r="A59025" s="136"/>
      <c r="CM59025" s="111"/>
      <c r="CQ59025" s="111"/>
      <c r="EF59025"/>
      <c r="EG59025"/>
      <c r="EH59025"/>
      <c r="EI59025"/>
      <c r="EJ59025"/>
      <c r="EK59025"/>
    </row>
    <row r="59026" spans="1:141" s="116" customFormat="1">
      <c r="A59026" s="136"/>
      <c r="CM59026" s="111"/>
      <c r="CQ59026" s="111"/>
      <c r="EF59026"/>
      <c r="EG59026"/>
      <c r="EH59026"/>
      <c r="EI59026"/>
      <c r="EJ59026"/>
      <c r="EK59026"/>
    </row>
    <row r="59027" spans="1:141" s="116" customFormat="1">
      <c r="A59027" s="136"/>
      <c r="CM59027" s="111"/>
      <c r="CQ59027" s="111"/>
      <c r="EF59027"/>
      <c r="EG59027"/>
      <c r="EH59027"/>
      <c r="EI59027"/>
      <c r="EJ59027"/>
      <c r="EK59027"/>
    </row>
    <row r="59028" spans="1:141" s="116" customFormat="1">
      <c r="A59028" s="136"/>
      <c r="CM59028" s="111"/>
      <c r="CQ59028" s="111"/>
      <c r="EF59028"/>
      <c r="EG59028"/>
      <c r="EH59028"/>
      <c r="EI59028"/>
      <c r="EJ59028"/>
      <c r="EK59028"/>
    </row>
    <row r="59029" spans="1:141" s="116" customFormat="1">
      <c r="A59029" s="136"/>
      <c r="CM59029" s="111"/>
      <c r="CQ59029" s="111"/>
      <c r="EF59029"/>
      <c r="EG59029"/>
      <c r="EH59029"/>
      <c r="EI59029"/>
      <c r="EJ59029"/>
      <c r="EK59029"/>
    </row>
    <row r="59030" spans="1:141" s="116" customFormat="1">
      <c r="A59030" s="136"/>
      <c r="CM59030" s="111"/>
      <c r="CQ59030" s="111"/>
      <c r="EF59030"/>
      <c r="EG59030"/>
      <c r="EH59030"/>
      <c r="EI59030"/>
      <c r="EJ59030"/>
      <c r="EK59030"/>
    </row>
    <row r="59031" spans="1:141" s="116" customFormat="1">
      <c r="A59031" s="136"/>
      <c r="CM59031" s="111"/>
      <c r="CQ59031" s="111"/>
      <c r="EF59031"/>
      <c r="EG59031"/>
      <c r="EH59031"/>
      <c r="EI59031"/>
      <c r="EJ59031"/>
      <c r="EK59031"/>
    </row>
    <row r="59032" spans="1:141" s="116" customFormat="1">
      <c r="A59032" s="136"/>
      <c r="CM59032" s="111"/>
      <c r="CQ59032" s="111"/>
      <c r="EF59032"/>
      <c r="EG59032"/>
      <c r="EH59032"/>
      <c r="EI59032"/>
      <c r="EJ59032"/>
      <c r="EK59032"/>
    </row>
    <row r="59033" spans="1:141" s="116" customFormat="1">
      <c r="A59033" s="136"/>
      <c r="CM59033" s="111"/>
      <c r="CQ59033" s="111"/>
      <c r="EF59033"/>
      <c r="EG59033"/>
      <c r="EH59033"/>
      <c r="EI59033"/>
      <c r="EJ59033"/>
      <c r="EK59033"/>
    </row>
    <row r="59034" spans="1:141" s="116" customFormat="1">
      <c r="A59034" s="136"/>
      <c r="CM59034" s="111"/>
      <c r="CQ59034" s="111"/>
      <c r="EF59034"/>
      <c r="EG59034"/>
      <c r="EH59034"/>
      <c r="EI59034"/>
      <c r="EJ59034"/>
      <c r="EK59034"/>
    </row>
    <row r="59035" spans="1:141" s="116" customFormat="1">
      <c r="A59035" s="136"/>
      <c r="CM59035" s="111"/>
      <c r="CQ59035" s="111"/>
      <c r="EF59035"/>
      <c r="EG59035"/>
      <c r="EH59035"/>
      <c r="EI59035"/>
      <c r="EJ59035"/>
      <c r="EK59035"/>
    </row>
    <row r="59036" spans="1:141" s="116" customFormat="1">
      <c r="A59036" s="136"/>
      <c r="CM59036" s="111"/>
      <c r="CQ59036" s="111"/>
      <c r="EF59036"/>
      <c r="EG59036"/>
      <c r="EH59036"/>
      <c r="EI59036"/>
      <c r="EJ59036"/>
      <c r="EK59036"/>
    </row>
    <row r="59037" spans="1:141" s="116" customFormat="1">
      <c r="A59037" s="136"/>
      <c r="CM59037" s="111"/>
      <c r="CQ59037" s="111"/>
      <c r="EF59037"/>
      <c r="EG59037"/>
      <c r="EH59037"/>
      <c r="EI59037"/>
      <c r="EJ59037"/>
      <c r="EK59037"/>
    </row>
    <row r="59038" spans="1:141" s="116" customFormat="1">
      <c r="A59038" s="136"/>
      <c r="CM59038" s="111"/>
      <c r="CQ59038" s="111"/>
      <c r="EF59038"/>
      <c r="EG59038"/>
      <c r="EH59038"/>
      <c r="EI59038"/>
      <c r="EJ59038"/>
      <c r="EK59038"/>
    </row>
    <row r="59039" spans="1:141" s="116" customFormat="1">
      <c r="A59039" s="136"/>
      <c r="CM59039" s="111"/>
      <c r="CQ59039" s="111"/>
      <c r="EF59039"/>
      <c r="EG59039"/>
      <c r="EH59039"/>
      <c r="EI59039"/>
      <c r="EJ59039"/>
      <c r="EK59039"/>
    </row>
    <row r="59040" spans="1:141" s="116" customFormat="1">
      <c r="A59040" s="136"/>
      <c r="CM59040" s="111"/>
      <c r="CQ59040" s="111"/>
      <c r="EF59040"/>
      <c r="EG59040"/>
      <c r="EH59040"/>
      <c r="EI59040"/>
      <c r="EJ59040"/>
      <c r="EK59040"/>
    </row>
    <row r="59041" spans="1:141" s="116" customFormat="1">
      <c r="A59041" s="136"/>
      <c r="CM59041" s="111"/>
      <c r="CQ59041" s="111"/>
      <c r="EF59041"/>
      <c r="EG59041"/>
      <c r="EH59041"/>
      <c r="EI59041"/>
      <c r="EJ59041"/>
      <c r="EK59041"/>
    </row>
    <row r="59042" spans="1:141" s="116" customFormat="1">
      <c r="A59042" s="136"/>
      <c r="CM59042" s="111"/>
      <c r="CQ59042" s="111"/>
      <c r="EF59042"/>
      <c r="EG59042"/>
      <c r="EH59042"/>
      <c r="EI59042"/>
      <c r="EJ59042"/>
      <c r="EK59042"/>
    </row>
    <row r="59043" spans="1:141" s="116" customFormat="1">
      <c r="A59043" s="136"/>
      <c r="CM59043" s="111"/>
      <c r="CQ59043" s="111"/>
      <c r="EF59043"/>
      <c r="EG59043"/>
      <c r="EH59043"/>
      <c r="EI59043"/>
      <c r="EJ59043"/>
      <c r="EK59043"/>
    </row>
    <row r="59044" spans="1:141" s="116" customFormat="1">
      <c r="A59044" s="136"/>
      <c r="CM59044" s="111"/>
      <c r="CQ59044" s="111"/>
      <c r="EF59044"/>
      <c r="EG59044"/>
      <c r="EH59044"/>
      <c r="EI59044"/>
      <c r="EJ59044"/>
      <c r="EK59044"/>
    </row>
    <row r="59045" spans="1:141" s="116" customFormat="1">
      <c r="A59045" s="136"/>
      <c r="CM59045" s="111"/>
      <c r="CQ59045" s="111"/>
      <c r="EF59045"/>
      <c r="EG59045"/>
      <c r="EH59045"/>
      <c r="EI59045"/>
      <c r="EJ59045"/>
      <c r="EK59045"/>
    </row>
    <row r="59046" spans="1:141" s="116" customFormat="1">
      <c r="A59046" s="136"/>
      <c r="CM59046" s="111"/>
      <c r="CQ59046" s="111"/>
      <c r="EF59046"/>
      <c r="EG59046"/>
      <c r="EH59046"/>
      <c r="EI59046"/>
      <c r="EJ59046"/>
      <c r="EK59046"/>
    </row>
    <row r="59047" spans="1:141" s="116" customFormat="1">
      <c r="A59047" s="136"/>
      <c r="CM59047" s="111"/>
      <c r="CQ59047" s="111"/>
      <c r="EF59047"/>
      <c r="EG59047"/>
      <c r="EH59047"/>
      <c r="EI59047"/>
      <c r="EJ59047"/>
      <c r="EK59047"/>
    </row>
    <row r="59048" spans="1:141" s="116" customFormat="1">
      <c r="A59048" s="136"/>
      <c r="CM59048" s="111"/>
      <c r="CQ59048" s="111"/>
      <c r="EF59048"/>
      <c r="EG59048"/>
      <c r="EH59048"/>
      <c r="EI59048"/>
      <c r="EJ59048"/>
      <c r="EK59048"/>
    </row>
    <row r="59049" spans="1:141" s="116" customFormat="1">
      <c r="A59049" s="136"/>
      <c r="CM59049" s="111"/>
      <c r="CQ59049" s="111"/>
      <c r="EF59049"/>
      <c r="EG59049"/>
      <c r="EH59049"/>
      <c r="EI59049"/>
      <c r="EJ59049"/>
      <c r="EK59049"/>
    </row>
    <row r="59050" spans="1:141" s="116" customFormat="1">
      <c r="A59050" s="136"/>
      <c r="CM59050" s="111"/>
      <c r="CQ59050" s="111"/>
      <c r="EF59050"/>
      <c r="EG59050"/>
      <c r="EH59050"/>
      <c r="EI59050"/>
      <c r="EJ59050"/>
      <c r="EK59050"/>
    </row>
    <row r="59051" spans="1:141" s="116" customFormat="1">
      <c r="A59051" s="136"/>
      <c r="CM59051" s="111"/>
      <c r="CQ59051" s="111"/>
      <c r="EF59051"/>
      <c r="EG59051"/>
      <c r="EH59051"/>
      <c r="EI59051"/>
      <c r="EJ59051"/>
      <c r="EK59051"/>
    </row>
    <row r="59052" spans="1:141" s="116" customFormat="1">
      <c r="A59052" s="136"/>
      <c r="CM59052" s="111"/>
      <c r="CQ59052" s="111"/>
      <c r="EF59052"/>
      <c r="EG59052"/>
      <c r="EH59052"/>
      <c r="EI59052"/>
      <c r="EJ59052"/>
      <c r="EK59052"/>
    </row>
    <row r="59053" spans="1:141" s="116" customFormat="1">
      <c r="A59053" s="136"/>
      <c r="CM59053" s="111"/>
      <c r="CQ59053" s="111"/>
      <c r="EF59053"/>
      <c r="EG59053"/>
      <c r="EH59053"/>
      <c r="EI59053"/>
      <c r="EJ59053"/>
      <c r="EK59053"/>
    </row>
    <row r="59054" spans="1:141" s="116" customFormat="1">
      <c r="A59054" s="136"/>
      <c r="CM59054" s="111"/>
      <c r="CQ59054" s="111"/>
      <c r="EF59054"/>
      <c r="EG59054"/>
      <c r="EH59054"/>
      <c r="EI59054"/>
      <c r="EJ59054"/>
      <c r="EK59054"/>
    </row>
    <row r="59055" spans="1:141" s="116" customFormat="1">
      <c r="A59055" s="136"/>
      <c r="CM59055" s="111"/>
      <c r="CQ59055" s="111"/>
      <c r="EF59055"/>
      <c r="EG59055"/>
      <c r="EH59055"/>
      <c r="EI59055"/>
      <c r="EJ59055"/>
      <c r="EK59055"/>
    </row>
    <row r="59056" spans="1:141" s="116" customFormat="1">
      <c r="A59056" s="136"/>
      <c r="CM59056" s="111"/>
      <c r="CQ59056" s="111"/>
      <c r="EF59056"/>
      <c r="EG59056"/>
      <c r="EH59056"/>
      <c r="EI59056"/>
      <c r="EJ59056"/>
      <c r="EK59056"/>
    </row>
    <row r="59057" spans="1:141" s="116" customFormat="1">
      <c r="A59057" s="136"/>
      <c r="CM59057" s="111"/>
      <c r="CQ59057" s="111"/>
      <c r="EF59057"/>
      <c r="EG59057"/>
      <c r="EH59057"/>
      <c r="EI59057"/>
      <c r="EJ59057"/>
      <c r="EK59057"/>
    </row>
    <row r="59058" spans="1:141" s="116" customFormat="1">
      <c r="A59058" s="136"/>
      <c r="CM59058" s="111"/>
      <c r="CQ59058" s="111"/>
      <c r="EF59058"/>
      <c r="EG59058"/>
      <c r="EH59058"/>
      <c r="EI59058"/>
      <c r="EJ59058"/>
      <c r="EK59058"/>
    </row>
    <row r="59059" spans="1:141" s="116" customFormat="1">
      <c r="A59059" s="136"/>
      <c r="CM59059" s="111"/>
      <c r="CQ59059" s="111"/>
      <c r="EF59059"/>
      <c r="EG59059"/>
      <c r="EH59059"/>
      <c r="EI59059"/>
      <c r="EJ59059"/>
      <c r="EK59059"/>
    </row>
    <row r="59060" spans="1:141" s="116" customFormat="1">
      <c r="A59060" s="136"/>
      <c r="CM59060" s="111"/>
      <c r="CQ59060" s="111"/>
      <c r="EF59060"/>
      <c r="EG59060"/>
      <c r="EH59060"/>
      <c r="EI59060"/>
      <c r="EJ59060"/>
      <c r="EK59060"/>
    </row>
    <row r="59061" spans="1:141" s="116" customFormat="1">
      <c r="A59061" s="136"/>
      <c r="CM59061" s="111"/>
      <c r="CQ59061" s="111"/>
      <c r="EF59061"/>
      <c r="EG59061"/>
      <c r="EH59061"/>
      <c r="EI59061"/>
      <c r="EJ59061"/>
      <c r="EK59061"/>
    </row>
    <row r="59062" spans="1:141" s="116" customFormat="1">
      <c r="A59062" s="136"/>
      <c r="CM59062" s="111"/>
      <c r="CQ59062" s="111"/>
      <c r="EF59062"/>
      <c r="EG59062"/>
      <c r="EH59062"/>
      <c r="EI59062"/>
      <c r="EJ59062"/>
      <c r="EK59062"/>
    </row>
    <row r="59063" spans="1:141" s="116" customFormat="1">
      <c r="A59063" s="136"/>
      <c r="CM59063" s="111"/>
      <c r="CQ59063" s="111"/>
      <c r="EF59063"/>
      <c r="EG59063"/>
      <c r="EH59063"/>
      <c r="EI59063"/>
      <c r="EJ59063"/>
      <c r="EK59063"/>
    </row>
    <row r="59064" spans="1:141" s="116" customFormat="1">
      <c r="A59064" s="136"/>
      <c r="CM59064" s="111"/>
      <c r="CQ59064" s="111"/>
      <c r="EF59064"/>
      <c r="EG59064"/>
      <c r="EH59064"/>
      <c r="EI59064"/>
      <c r="EJ59064"/>
      <c r="EK59064"/>
    </row>
    <row r="59065" spans="1:141" s="116" customFormat="1">
      <c r="A59065" s="136"/>
      <c r="CM59065" s="111"/>
      <c r="CQ59065" s="111"/>
      <c r="EF59065"/>
      <c r="EG59065"/>
      <c r="EH59065"/>
      <c r="EI59065"/>
      <c r="EJ59065"/>
      <c r="EK59065"/>
    </row>
    <row r="59066" spans="1:141" s="116" customFormat="1">
      <c r="A59066" s="136"/>
      <c r="CM59066" s="111"/>
      <c r="CQ59066" s="111"/>
      <c r="EF59066"/>
      <c r="EG59066"/>
      <c r="EH59066"/>
      <c r="EI59066"/>
      <c r="EJ59066"/>
      <c r="EK59066"/>
    </row>
    <row r="59067" spans="1:141" s="116" customFormat="1">
      <c r="A59067" s="136"/>
      <c r="CM59067" s="111"/>
      <c r="CQ59067" s="111"/>
      <c r="EF59067"/>
      <c r="EG59067"/>
      <c r="EH59067"/>
      <c r="EI59067"/>
      <c r="EJ59067"/>
      <c r="EK59067"/>
    </row>
    <row r="59068" spans="1:141" s="116" customFormat="1">
      <c r="A59068" s="136"/>
      <c r="CM59068" s="111"/>
      <c r="CQ59068" s="111"/>
      <c r="EF59068"/>
      <c r="EG59068"/>
      <c r="EH59068"/>
      <c r="EI59068"/>
      <c r="EJ59068"/>
      <c r="EK59068"/>
    </row>
    <row r="59069" spans="1:141" s="116" customFormat="1">
      <c r="A59069" s="136"/>
      <c r="CM59069" s="111"/>
      <c r="CQ59069" s="111"/>
      <c r="EF59069"/>
      <c r="EG59069"/>
      <c r="EH59069"/>
      <c r="EI59069"/>
      <c r="EJ59069"/>
      <c r="EK59069"/>
    </row>
    <row r="59070" spans="1:141" s="116" customFormat="1">
      <c r="A59070" s="136"/>
      <c r="CM59070" s="111"/>
      <c r="CQ59070" s="111"/>
      <c r="EF59070"/>
      <c r="EG59070"/>
      <c r="EH59070"/>
      <c r="EI59070"/>
      <c r="EJ59070"/>
      <c r="EK59070"/>
    </row>
    <row r="59071" spans="1:141" s="116" customFormat="1">
      <c r="A59071" s="136"/>
      <c r="CM59071" s="111"/>
      <c r="CQ59071" s="111"/>
      <c r="EF59071"/>
      <c r="EG59071"/>
      <c r="EH59071"/>
      <c r="EI59071"/>
      <c r="EJ59071"/>
      <c r="EK59071"/>
    </row>
    <row r="59072" spans="1:141" s="116" customFormat="1">
      <c r="A59072" s="136"/>
      <c r="CM59072" s="111"/>
      <c r="CQ59072" s="111"/>
      <c r="EF59072"/>
      <c r="EG59072"/>
      <c r="EH59072"/>
      <c r="EI59072"/>
      <c r="EJ59072"/>
      <c r="EK59072"/>
    </row>
    <row r="59073" spans="1:141" s="116" customFormat="1">
      <c r="A59073" s="136"/>
      <c r="CM59073" s="111"/>
      <c r="CQ59073" s="111"/>
      <c r="EF59073"/>
      <c r="EG59073"/>
      <c r="EH59073"/>
      <c r="EI59073"/>
      <c r="EJ59073"/>
      <c r="EK59073"/>
    </row>
    <row r="59074" spans="1:141" s="116" customFormat="1">
      <c r="A59074" s="136"/>
      <c r="CM59074" s="111"/>
      <c r="CQ59074" s="111"/>
      <c r="EF59074"/>
      <c r="EG59074"/>
      <c r="EH59074"/>
      <c r="EI59074"/>
      <c r="EJ59074"/>
      <c r="EK59074"/>
    </row>
    <row r="59075" spans="1:141" s="116" customFormat="1">
      <c r="A59075" s="136"/>
      <c r="CM59075" s="111"/>
      <c r="CQ59075" s="111"/>
      <c r="EF59075"/>
      <c r="EG59075"/>
      <c r="EH59075"/>
      <c r="EI59075"/>
      <c r="EJ59075"/>
      <c r="EK59075"/>
    </row>
    <row r="59076" spans="1:141" s="116" customFormat="1">
      <c r="A59076" s="136"/>
      <c r="CM59076" s="111"/>
      <c r="CQ59076" s="111"/>
      <c r="EF59076"/>
      <c r="EG59076"/>
      <c r="EH59076"/>
      <c r="EI59076"/>
      <c r="EJ59076"/>
      <c r="EK59076"/>
    </row>
    <row r="59077" spans="1:141" s="116" customFormat="1">
      <c r="A59077" s="136"/>
      <c r="CM59077" s="111"/>
      <c r="CQ59077" s="111"/>
      <c r="EF59077"/>
      <c r="EG59077"/>
      <c r="EH59077"/>
      <c r="EI59077"/>
      <c r="EJ59077"/>
      <c r="EK59077"/>
    </row>
    <row r="59078" spans="1:141" s="116" customFormat="1">
      <c r="A59078" s="136"/>
      <c r="CM59078" s="111"/>
      <c r="CQ59078" s="111"/>
      <c r="EF59078"/>
      <c r="EG59078"/>
      <c r="EH59078"/>
      <c r="EI59078"/>
      <c r="EJ59078"/>
      <c r="EK59078"/>
    </row>
    <row r="59079" spans="1:141" s="116" customFormat="1">
      <c r="A59079" s="136"/>
      <c r="CM59079" s="111"/>
      <c r="CQ59079" s="111"/>
      <c r="EF59079"/>
      <c r="EG59079"/>
      <c r="EH59079"/>
      <c r="EI59079"/>
      <c r="EJ59079"/>
      <c r="EK59079"/>
    </row>
    <row r="59080" spans="1:141" s="116" customFormat="1">
      <c r="A59080" s="136"/>
      <c r="CM59080" s="111"/>
      <c r="CQ59080" s="111"/>
      <c r="EF59080"/>
      <c r="EG59080"/>
      <c r="EH59080"/>
      <c r="EI59080"/>
      <c r="EJ59080"/>
      <c r="EK59080"/>
    </row>
    <row r="59081" spans="1:141" s="116" customFormat="1">
      <c r="A59081" s="136"/>
      <c r="CM59081" s="111"/>
      <c r="CQ59081" s="111"/>
      <c r="EF59081"/>
      <c r="EG59081"/>
      <c r="EH59081"/>
      <c r="EI59081"/>
      <c r="EJ59081"/>
      <c r="EK59081"/>
    </row>
    <row r="59082" spans="1:141" s="116" customFormat="1">
      <c r="A59082" s="136"/>
      <c r="CM59082" s="111"/>
      <c r="CQ59082" s="111"/>
      <c r="EF59082"/>
      <c r="EG59082"/>
      <c r="EH59082"/>
      <c r="EI59082"/>
      <c r="EJ59082"/>
      <c r="EK59082"/>
    </row>
    <row r="59083" spans="1:141" s="116" customFormat="1">
      <c r="A59083" s="136"/>
      <c r="CM59083" s="111"/>
      <c r="CQ59083" s="111"/>
      <c r="EF59083"/>
      <c r="EG59083"/>
      <c r="EH59083"/>
      <c r="EI59083"/>
      <c r="EJ59083"/>
      <c r="EK59083"/>
    </row>
    <row r="59084" spans="1:141" s="116" customFormat="1">
      <c r="A59084" s="136"/>
      <c r="CM59084" s="111"/>
      <c r="CQ59084" s="111"/>
      <c r="EF59084"/>
      <c r="EG59084"/>
      <c r="EH59084"/>
      <c r="EI59084"/>
      <c r="EJ59084"/>
      <c r="EK59084"/>
    </row>
    <row r="59085" spans="1:141" s="116" customFormat="1">
      <c r="A59085" s="136"/>
      <c r="CM59085" s="111"/>
      <c r="CQ59085" s="111"/>
      <c r="EF59085"/>
      <c r="EG59085"/>
      <c r="EH59085"/>
      <c r="EI59085"/>
      <c r="EJ59085"/>
      <c r="EK59085"/>
    </row>
    <row r="59086" spans="1:141" s="116" customFormat="1">
      <c r="A59086" s="136"/>
      <c r="CM59086" s="111"/>
      <c r="CQ59086" s="111"/>
      <c r="EF59086"/>
      <c r="EG59086"/>
      <c r="EH59086"/>
      <c r="EI59086"/>
      <c r="EJ59086"/>
      <c r="EK59086"/>
    </row>
    <row r="59087" spans="1:141" s="116" customFormat="1">
      <c r="A59087" s="136"/>
      <c r="CM59087" s="111"/>
      <c r="CQ59087" s="111"/>
      <c r="EF59087"/>
      <c r="EG59087"/>
      <c r="EH59087"/>
      <c r="EI59087"/>
      <c r="EJ59087"/>
      <c r="EK59087"/>
    </row>
    <row r="59088" spans="1:141" s="116" customFormat="1">
      <c r="A59088" s="136"/>
      <c r="CM59088" s="111"/>
      <c r="CQ59088" s="111"/>
      <c r="EF59088"/>
      <c r="EG59088"/>
      <c r="EH59088"/>
      <c r="EI59088"/>
      <c r="EJ59088"/>
      <c r="EK59088"/>
    </row>
    <row r="59089" spans="1:141" s="116" customFormat="1">
      <c r="A59089" s="136"/>
      <c r="CM59089" s="111"/>
      <c r="CQ59089" s="111"/>
      <c r="EF59089"/>
      <c r="EG59089"/>
      <c r="EH59089"/>
      <c r="EI59089"/>
      <c r="EJ59089"/>
      <c r="EK59089"/>
    </row>
    <row r="59090" spans="1:141" s="116" customFormat="1">
      <c r="A59090" s="136"/>
      <c r="CM59090" s="111"/>
      <c r="CQ59090" s="111"/>
      <c r="EF59090"/>
      <c r="EG59090"/>
      <c r="EH59090"/>
      <c r="EI59090"/>
      <c r="EJ59090"/>
      <c r="EK59090"/>
    </row>
    <row r="59091" spans="1:141" s="116" customFormat="1">
      <c r="A59091" s="136"/>
      <c r="CM59091" s="111"/>
      <c r="CQ59091" s="111"/>
      <c r="EF59091"/>
      <c r="EG59091"/>
      <c r="EH59091"/>
      <c r="EI59091"/>
      <c r="EJ59091"/>
      <c r="EK59091"/>
    </row>
    <row r="59092" spans="1:141" s="116" customFormat="1">
      <c r="A59092" s="136"/>
      <c r="CM59092" s="111"/>
      <c r="CQ59092" s="111"/>
      <c r="EF59092"/>
      <c r="EG59092"/>
      <c r="EH59092"/>
      <c r="EI59092"/>
      <c r="EJ59092"/>
      <c r="EK59092"/>
    </row>
    <row r="59093" spans="1:141" s="116" customFormat="1">
      <c r="A59093" s="136"/>
      <c r="CM59093" s="111"/>
      <c r="CQ59093" s="111"/>
      <c r="EF59093"/>
      <c r="EG59093"/>
      <c r="EH59093"/>
      <c r="EI59093"/>
      <c r="EJ59093"/>
      <c r="EK59093"/>
    </row>
    <row r="59094" spans="1:141" s="116" customFormat="1">
      <c r="A59094" s="136"/>
      <c r="CM59094" s="111"/>
      <c r="CQ59094" s="111"/>
      <c r="EF59094"/>
      <c r="EG59094"/>
      <c r="EH59094"/>
      <c r="EI59094"/>
      <c r="EJ59094"/>
      <c r="EK59094"/>
    </row>
    <row r="59095" spans="1:141" s="116" customFormat="1">
      <c r="A59095" s="136"/>
      <c r="CM59095" s="111"/>
      <c r="CQ59095" s="111"/>
      <c r="EF59095"/>
      <c r="EG59095"/>
      <c r="EH59095"/>
      <c r="EI59095"/>
      <c r="EJ59095"/>
      <c r="EK59095"/>
    </row>
    <row r="59096" spans="1:141" s="116" customFormat="1">
      <c r="A59096" s="136"/>
      <c r="CM59096" s="111"/>
      <c r="CQ59096" s="111"/>
      <c r="EF59096"/>
      <c r="EG59096"/>
      <c r="EH59096"/>
      <c r="EI59096"/>
      <c r="EJ59096"/>
      <c r="EK59096"/>
    </row>
    <row r="59097" spans="1:141" s="116" customFormat="1">
      <c r="A59097" s="136"/>
      <c r="CM59097" s="111"/>
      <c r="CQ59097" s="111"/>
      <c r="EF59097"/>
      <c r="EG59097"/>
      <c r="EH59097"/>
      <c r="EI59097"/>
      <c r="EJ59097"/>
      <c r="EK59097"/>
    </row>
    <row r="59098" spans="1:141" s="116" customFormat="1">
      <c r="A59098" s="136"/>
      <c r="CM59098" s="111"/>
      <c r="CQ59098" s="111"/>
      <c r="EF59098"/>
      <c r="EG59098"/>
      <c r="EH59098"/>
      <c r="EI59098"/>
      <c r="EJ59098"/>
      <c r="EK59098"/>
    </row>
    <row r="59099" spans="1:141" s="116" customFormat="1">
      <c r="A59099" s="136"/>
      <c r="CM59099" s="111"/>
      <c r="CQ59099" s="111"/>
      <c r="EF59099"/>
      <c r="EG59099"/>
      <c r="EH59099"/>
      <c r="EI59099"/>
      <c r="EJ59099"/>
      <c r="EK59099"/>
    </row>
    <row r="59100" spans="1:141" s="116" customFormat="1">
      <c r="A59100" s="136"/>
      <c r="CM59100" s="111"/>
      <c r="CQ59100" s="111"/>
      <c r="EF59100"/>
      <c r="EG59100"/>
      <c r="EH59100"/>
      <c r="EI59100"/>
      <c r="EJ59100"/>
      <c r="EK59100"/>
    </row>
    <row r="59101" spans="1:141" s="116" customFormat="1">
      <c r="A59101" s="136"/>
      <c r="CM59101" s="111"/>
      <c r="CQ59101" s="111"/>
      <c r="EF59101"/>
      <c r="EG59101"/>
      <c r="EH59101"/>
      <c r="EI59101"/>
      <c r="EJ59101"/>
      <c r="EK59101"/>
    </row>
    <row r="59102" spans="1:141" s="116" customFormat="1">
      <c r="A59102" s="136"/>
      <c r="CM59102" s="111"/>
      <c r="CQ59102" s="111"/>
      <c r="EF59102"/>
      <c r="EG59102"/>
      <c r="EH59102"/>
      <c r="EI59102"/>
      <c r="EJ59102"/>
      <c r="EK59102"/>
    </row>
    <row r="59103" spans="1:141" s="116" customFormat="1">
      <c r="A59103" s="136"/>
      <c r="CM59103" s="111"/>
      <c r="CQ59103" s="111"/>
      <c r="EF59103"/>
      <c r="EG59103"/>
      <c r="EH59103"/>
      <c r="EI59103"/>
      <c r="EJ59103"/>
      <c r="EK59103"/>
    </row>
    <row r="59104" spans="1:141" s="116" customFormat="1">
      <c r="A59104" s="136"/>
      <c r="CM59104" s="111"/>
      <c r="CQ59104" s="111"/>
      <c r="EF59104"/>
      <c r="EG59104"/>
      <c r="EH59104"/>
      <c r="EI59104"/>
      <c r="EJ59104"/>
      <c r="EK59104"/>
    </row>
    <row r="59105" spans="1:141" s="116" customFormat="1">
      <c r="A59105" s="136"/>
      <c r="CM59105" s="111"/>
      <c r="CQ59105" s="111"/>
      <c r="EF59105"/>
      <c r="EG59105"/>
      <c r="EH59105"/>
      <c r="EI59105"/>
      <c r="EJ59105"/>
      <c r="EK59105"/>
    </row>
    <row r="59106" spans="1:141" s="116" customFormat="1">
      <c r="A59106" s="136"/>
      <c r="CM59106" s="111"/>
      <c r="CQ59106" s="111"/>
      <c r="EF59106"/>
      <c r="EG59106"/>
      <c r="EH59106"/>
      <c r="EI59106"/>
      <c r="EJ59106"/>
      <c r="EK59106"/>
    </row>
    <row r="59107" spans="1:141" s="116" customFormat="1">
      <c r="A59107" s="136"/>
      <c r="CM59107" s="111"/>
      <c r="CQ59107" s="111"/>
      <c r="EF59107"/>
      <c r="EG59107"/>
      <c r="EH59107"/>
      <c r="EI59107"/>
      <c r="EJ59107"/>
      <c r="EK59107"/>
    </row>
    <row r="59108" spans="1:141" s="116" customFormat="1">
      <c r="A59108" s="136"/>
      <c r="CM59108" s="111"/>
      <c r="CQ59108" s="111"/>
      <c r="EF59108"/>
      <c r="EG59108"/>
      <c r="EH59108"/>
      <c r="EI59108"/>
      <c r="EJ59108"/>
      <c r="EK59108"/>
    </row>
    <row r="59109" spans="1:141" s="116" customFormat="1">
      <c r="A59109" s="136"/>
      <c r="CM59109" s="111"/>
      <c r="CQ59109" s="111"/>
      <c r="EF59109"/>
      <c r="EG59109"/>
      <c r="EH59109"/>
      <c r="EI59109"/>
      <c r="EJ59109"/>
      <c r="EK59109"/>
    </row>
    <row r="59110" spans="1:141" s="116" customFormat="1">
      <c r="A59110" s="136"/>
      <c r="CM59110" s="111"/>
      <c r="CQ59110" s="111"/>
      <c r="EF59110"/>
      <c r="EG59110"/>
      <c r="EH59110"/>
      <c r="EI59110"/>
      <c r="EJ59110"/>
      <c r="EK59110"/>
    </row>
    <row r="59111" spans="1:141" s="116" customFormat="1">
      <c r="A59111" s="136"/>
      <c r="CM59111" s="111"/>
      <c r="CQ59111" s="111"/>
      <c r="EF59111"/>
      <c r="EG59111"/>
      <c r="EH59111"/>
      <c r="EI59111"/>
      <c r="EJ59111"/>
      <c r="EK59111"/>
    </row>
    <row r="59112" spans="1:141" s="116" customFormat="1">
      <c r="A59112" s="136"/>
      <c r="CM59112" s="111"/>
      <c r="CQ59112" s="111"/>
      <c r="EF59112"/>
      <c r="EG59112"/>
      <c r="EH59112"/>
      <c r="EI59112"/>
      <c r="EJ59112"/>
      <c r="EK59112"/>
    </row>
    <row r="59113" spans="1:141" s="116" customFormat="1">
      <c r="A59113" s="136"/>
      <c r="CM59113" s="111"/>
      <c r="CQ59113" s="111"/>
      <c r="EF59113"/>
      <c r="EG59113"/>
      <c r="EH59113"/>
      <c r="EI59113"/>
      <c r="EJ59113"/>
      <c r="EK59113"/>
    </row>
    <row r="59114" spans="1:141" s="116" customFormat="1">
      <c r="A59114" s="136"/>
      <c r="CM59114" s="111"/>
      <c r="CQ59114" s="111"/>
      <c r="EF59114"/>
      <c r="EG59114"/>
      <c r="EH59114"/>
      <c r="EI59114"/>
      <c r="EJ59114"/>
      <c r="EK59114"/>
    </row>
    <row r="59115" spans="1:141" s="116" customFormat="1">
      <c r="A59115" s="136"/>
      <c r="CM59115" s="111"/>
      <c r="CQ59115" s="111"/>
      <c r="EF59115"/>
      <c r="EG59115"/>
      <c r="EH59115"/>
      <c r="EI59115"/>
      <c r="EJ59115"/>
      <c r="EK59115"/>
    </row>
    <row r="59116" spans="1:141" s="116" customFormat="1">
      <c r="A59116" s="136"/>
      <c r="CM59116" s="111"/>
      <c r="CQ59116" s="111"/>
      <c r="EF59116"/>
      <c r="EG59116"/>
      <c r="EH59116"/>
      <c r="EI59116"/>
      <c r="EJ59116"/>
      <c r="EK59116"/>
    </row>
    <row r="59117" spans="1:141" s="116" customFormat="1">
      <c r="A59117" s="136"/>
      <c r="CM59117" s="111"/>
      <c r="CQ59117" s="111"/>
      <c r="EF59117"/>
      <c r="EG59117"/>
      <c r="EH59117"/>
      <c r="EI59117"/>
      <c r="EJ59117"/>
      <c r="EK59117"/>
    </row>
    <row r="59118" spans="1:141" s="116" customFormat="1">
      <c r="A59118" s="136"/>
      <c r="CM59118" s="111"/>
      <c r="CQ59118" s="111"/>
      <c r="EF59118"/>
      <c r="EG59118"/>
      <c r="EH59118"/>
      <c r="EI59118"/>
      <c r="EJ59118"/>
      <c r="EK59118"/>
    </row>
    <row r="59119" spans="1:141" s="116" customFormat="1">
      <c r="A59119" s="136"/>
      <c r="CM59119" s="111"/>
      <c r="CQ59119" s="111"/>
      <c r="EF59119"/>
      <c r="EG59119"/>
      <c r="EH59119"/>
      <c r="EI59119"/>
      <c r="EJ59119"/>
      <c r="EK59119"/>
    </row>
    <row r="59120" spans="1:141" s="116" customFormat="1">
      <c r="A59120" s="136"/>
      <c r="CM59120" s="111"/>
      <c r="CQ59120" s="111"/>
      <c r="EF59120"/>
      <c r="EG59120"/>
      <c r="EH59120"/>
      <c r="EI59120"/>
      <c r="EJ59120"/>
      <c r="EK59120"/>
    </row>
    <row r="59121" spans="1:141" s="116" customFormat="1">
      <c r="A59121" s="136"/>
      <c r="CM59121" s="111"/>
      <c r="CQ59121" s="111"/>
      <c r="EF59121"/>
      <c r="EG59121"/>
      <c r="EH59121"/>
      <c r="EI59121"/>
      <c r="EJ59121"/>
      <c r="EK59121"/>
    </row>
    <row r="59122" spans="1:141" s="116" customFormat="1">
      <c r="A59122" s="136"/>
      <c r="CM59122" s="111"/>
      <c r="CQ59122" s="111"/>
      <c r="EF59122"/>
      <c r="EG59122"/>
      <c r="EH59122"/>
      <c r="EI59122"/>
      <c r="EJ59122"/>
      <c r="EK59122"/>
    </row>
    <row r="59123" spans="1:141" s="116" customFormat="1">
      <c r="A59123" s="136"/>
      <c r="CM59123" s="111"/>
      <c r="CQ59123" s="111"/>
      <c r="EF59123"/>
      <c r="EG59123"/>
      <c r="EH59123"/>
      <c r="EI59123"/>
      <c r="EJ59123"/>
      <c r="EK59123"/>
    </row>
    <row r="59124" spans="1:141" s="116" customFormat="1">
      <c r="A59124" s="136"/>
      <c r="CM59124" s="111"/>
      <c r="CQ59124" s="111"/>
      <c r="EF59124"/>
      <c r="EG59124"/>
      <c r="EH59124"/>
      <c r="EI59124"/>
      <c r="EJ59124"/>
      <c r="EK59124"/>
    </row>
    <row r="59125" spans="1:141" s="116" customFormat="1">
      <c r="A59125" s="136"/>
      <c r="CM59125" s="111"/>
      <c r="CQ59125" s="111"/>
      <c r="EF59125"/>
      <c r="EG59125"/>
      <c r="EH59125"/>
      <c r="EI59125"/>
      <c r="EJ59125"/>
      <c r="EK59125"/>
    </row>
    <row r="59126" spans="1:141" s="116" customFormat="1">
      <c r="A59126" s="136"/>
      <c r="CM59126" s="111"/>
      <c r="CQ59126" s="111"/>
      <c r="EF59126"/>
      <c r="EG59126"/>
      <c r="EH59126"/>
      <c r="EI59126"/>
      <c r="EJ59126"/>
      <c r="EK59126"/>
    </row>
    <row r="59127" spans="1:141" s="116" customFormat="1">
      <c r="A59127" s="136"/>
      <c r="CM59127" s="111"/>
      <c r="CQ59127" s="111"/>
      <c r="EF59127"/>
      <c r="EG59127"/>
      <c r="EH59127"/>
      <c r="EI59127"/>
      <c r="EJ59127"/>
      <c r="EK59127"/>
    </row>
    <row r="59128" spans="1:141" s="116" customFormat="1">
      <c r="A59128" s="136"/>
      <c r="CM59128" s="111"/>
      <c r="CQ59128" s="111"/>
      <c r="EF59128"/>
      <c r="EG59128"/>
      <c r="EH59128"/>
      <c r="EI59128"/>
      <c r="EJ59128"/>
      <c r="EK59128"/>
    </row>
    <row r="59129" spans="1:141" s="116" customFormat="1">
      <c r="A59129" s="136"/>
      <c r="CM59129" s="111"/>
      <c r="CQ59129" s="111"/>
      <c r="EF59129"/>
      <c r="EG59129"/>
      <c r="EH59129"/>
      <c r="EI59129"/>
      <c r="EJ59129"/>
      <c r="EK59129"/>
    </row>
    <row r="59130" spans="1:141" s="116" customFormat="1">
      <c r="A59130" s="136"/>
      <c r="CM59130" s="111"/>
      <c r="CQ59130" s="111"/>
      <c r="EF59130"/>
      <c r="EG59130"/>
      <c r="EH59130"/>
      <c r="EI59130"/>
      <c r="EJ59130"/>
      <c r="EK59130"/>
    </row>
    <row r="59131" spans="1:141" s="116" customFormat="1">
      <c r="A59131" s="136"/>
      <c r="CM59131" s="111"/>
      <c r="CQ59131" s="111"/>
      <c r="EF59131"/>
      <c r="EG59131"/>
      <c r="EH59131"/>
      <c r="EI59131"/>
      <c r="EJ59131"/>
      <c r="EK59131"/>
    </row>
    <row r="59132" spans="1:141" s="116" customFormat="1">
      <c r="A59132" s="136"/>
      <c r="CM59132" s="111"/>
      <c r="CQ59132" s="111"/>
      <c r="EF59132"/>
      <c r="EG59132"/>
      <c r="EH59132"/>
      <c r="EI59132"/>
      <c r="EJ59132"/>
      <c r="EK59132"/>
    </row>
    <row r="59133" spans="1:141" s="116" customFormat="1">
      <c r="A59133" s="136"/>
      <c r="CM59133" s="111"/>
      <c r="CQ59133" s="111"/>
      <c r="EF59133"/>
      <c r="EG59133"/>
      <c r="EH59133"/>
      <c r="EI59133"/>
      <c r="EJ59133"/>
      <c r="EK59133"/>
    </row>
    <row r="59134" spans="1:141" s="116" customFormat="1">
      <c r="A59134" s="136"/>
      <c r="CM59134" s="111"/>
      <c r="CQ59134" s="111"/>
      <c r="EF59134"/>
      <c r="EG59134"/>
      <c r="EH59134"/>
      <c r="EI59134"/>
      <c r="EJ59134"/>
      <c r="EK59134"/>
    </row>
    <row r="59135" spans="1:141" s="116" customFormat="1">
      <c r="A59135" s="136"/>
      <c r="CM59135" s="111"/>
      <c r="CQ59135" s="111"/>
      <c r="EF59135"/>
      <c r="EG59135"/>
      <c r="EH59135"/>
      <c r="EI59135"/>
      <c r="EJ59135"/>
      <c r="EK59135"/>
    </row>
    <row r="59136" spans="1:141" s="116" customFormat="1">
      <c r="A59136" s="136"/>
      <c r="CM59136" s="111"/>
      <c r="CQ59136" s="111"/>
      <c r="EF59136"/>
      <c r="EG59136"/>
      <c r="EH59136"/>
      <c r="EI59136"/>
      <c r="EJ59136"/>
      <c r="EK59136"/>
    </row>
    <row r="59137" spans="1:141" s="116" customFormat="1">
      <c r="A59137" s="136"/>
      <c r="CM59137" s="111"/>
      <c r="CQ59137" s="111"/>
      <c r="EF59137"/>
      <c r="EG59137"/>
      <c r="EH59137"/>
      <c r="EI59137"/>
      <c r="EJ59137"/>
      <c r="EK59137"/>
    </row>
    <row r="59138" spans="1:141" s="116" customFormat="1">
      <c r="A59138" s="136"/>
      <c r="CM59138" s="111"/>
      <c r="CQ59138" s="111"/>
      <c r="EF59138"/>
      <c r="EG59138"/>
      <c r="EH59138"/>
      <c r="EI59138"/>
      <c r="EJ59138"/>
      <c r="EK59138"/>
    </row>
    <row r="59139" spans="1:141" s="116" customFormat="1">
      <c r="A59139" s="136"/>
      <c r="CM59139" s="111"/>
      <c r="CQ59139" s="111"/>
      <c r="EF59139"/>
      <c r="EG59139"/>
      <c r="EH59139"/>
      <c r="EI59139"/>
      <c r="EJ59139"/>
      <c r="EK59139"/>
    </row>
    <row r="59140" spans="1:141" s="116" customFormat="1">
      <c r="A59140" s="136"/>
      <c r="CM59140" s="111"/>
      <c r="CQ59140" s="111"/>
      <c r="EF59140"/>
      <c r="EG59140"/>
      <c r="EH59140"/>
      <c r="EI59140"/>
      <c r="EJ59140"/>
      <c r="EK59140"/>
    </row>
    <row r="59141" spans="1:141" s="116" customFormat="1">
      <c r="A59141" s="136"/>
      <c r="CM59141" s="111"/>
      <c r="CQ59141" s="111"/>
      <c r="EF59141"/>
      <c r="EG59141"/>
      <c r="EH59141"/>
      <c r="EI59141"/>
      <c r="EJ59141"/>
      <c r="EK59141"/>
    </row>
    <row r="59142" spans="1:141" s="116" customFormat="1">
      <c r="A59142" s="136"/>
      <c r="CM59142" s="111"/>
      <c r="CQ59142" s="111"/>
      <c r="EF59142"/>
      <c r="EG59142"/>
      <c r="EH59142"/>
      <c r="EI59142"/>
      <c r="EJ59142"/>
      <c r="EK59142"/>
    </row>
    <row r="59143" spans="1:141" s="116" customFormat="1">
      <c r="A59143" s="136"/>
      <c r="CM59143" s="111"/>
      <c r="CQ59143" s="111"/>
      <c r="EF59143"/>
      <c r="EG59143"/>
      <c r="EH59143"/>
      <c r="EI59143"/>
      <c r="EJ59143"/>
      <c r="EK59143"/>
    </row>
    <row r="59144" spans="1:141" s="116" customFormat="1">
      <c r="A59144" s="136"/>
      <c r="CM59144" s="111"/>
      <c r="CQ59144" s="111"/>
      <c r="EF59144"/>
      <c r="EG59144"/>
      <c r="EH59144"/>
      <c r="EI59144"/>
      <c r="EJ59144"/>
      <c r="EK59144"/>
    </row>
    <row r="59145" spans="1:141" s="116" customFormat="1">
      <c r="A59145" s="136"/>
      <c r="CM59145" s="111"/>
      <c r="CQ59145" s="111"/>
      <c r="EF59145"/>
      <c r="EG59145"/>
      <c r="EH59145"/>
      <c r="EI59145"/>
      <c r="EJ59145"/>
      <c r="EK59145"/>
    </row>
    <row r="59146" spans="1:141" s="116" customFormat="1">
      <c r="A59146" s="136"/>
      <c r="CM59146" s="111"/>
      <c r="CQ59146" s="111"/>
      <c r="EF59146"/>
      <c r="EG59146"/>
      <c r="EH59146"/>
      <c r="EI59146"/>
      <c r="EJ59146"/>
      <c r="EK59146"/>
    </row>
    <row r="59147" spans="1:141" s="116" customFormat="1">
      <c r="A59147" s="136"/>
      <c r="CM59147" s="111"/>
      <c r="CQ59147" s="111"/>
      <c r="EF59147"/>
      <c r="EG59147"/>
      <c r="EH59147"/>
      <c r="EI59147"/>
      <c r="EJ59147"/>
      <c r="EK59147"/>
    </row>
    <row r="59148" spans="1:141" s="116" customFormat="1">
      <c r="A59148" s="136"/>
      <c r="CM59148" s="111"/>
      <c r="CQ59148" s="111"/>
      <c r="EF59148"/>
      <c r="EG59148"/>
      <c r="EH59148"/>
      <c r="EI59148"/>
      <c r="EJ59148"/>
      <c r="EK59148"/>
    </row>
    <row r="59149" spans="1:141" s="116" customFormat="1">
      <c r="A59149" s="136"/>
      <c r="CM59149" s="111"/>
      <c r="CQ59149" s="111"/>
      <c r="EF59149"/>
      <c r="EG59149"/>
      <c r="EH59149"/>
      <c r="EI59149"/>
      <c r="EJ59149"/>
      <c r="EK59149"/>
    </row>
    <row r="59150" spans="1:141" s="116" customFormat="1">
      <c r="A59150" s="136"/>
      <c r="CM59150" s="111"/>
      <c r="CQ59150" s="111"/>
      <c r="EF59150"/>
      <c r="EG59150"/>
      <c r="EH59150"/>
      <c r="EI59150"/>
      <c r="EJ59150"/>
      <c r="EK59150"/>
    </row>
    <row r="59151" spans="1:141" s="116" customFormat="1">
      <c r="A59151" s="136"/>
      <c r="CM59151" s="111"/>
      <c r="CQ59151" s="111"/>
      <c r="EF59151"/>
      <c r="EG59151"/>
      <c r="EH59151"/>
      <c r="EI59151"/>
      <c r="EJ59151"/>
      <c r="EK59151"/>
    </row>
    <row r="59152" spans="1:141" s="116" customFormat="1">
      <c r="A59152" s="136"/>
      <c r="CM59152" s="111"/>
      <c r="CQ59152" s="111"/>
      <c r="EF59152"/>
      <c r="EG59152"/>
      <c r="EH59152"/>
      <c r="EI59152"/>
      <c r="EJ59152"/>
      <c r="EK59152"/>
    </row>
    <row r="59153" spans="1:141" s="116" customFormat="1">
      <c r="A59153" s="136"/>
      <c r="CM59153" s="111"/>
      <c r="CQ59153" s="111"/>
      <c r="EF59153"/>
      <c r="EG59153"/>
      <c r="EH59153"/>
      <c r="EI59153"/>
      <c r="EJ59153"/>
      <c r="EK59153"/>
    </row>
    <row r="59154" spans="1:141" s="116" customFormat="1">
      <c r="A59154" s="136"/>
      <c r="CM59154" s="111"/>
      <c r="CQ59154" s="111"/>
      <c r="EF59154"/>
      <c r="EG59154"/>
      <c r="EH59154"/>
      <c r="EI59154"/>
      <c r="EJ59154"/>
      <c r="EK59154"/>
    </row>
    <row r="59155" spans="1:141" s="116" customFormat="1">
      <c r="A59155" s="136"/>
      <c r="CM59155" s="111"/>
      <c r="CQ59155" s="111"/>
      <c r="EF59155"/>
      <c r="EG59155"/>
      <c r="EH59155"/>
      <c r="EI59155"/>
      <c r="EJ59155"/>
      <c r="EK59155"/>
    </row>
    <row r="59156" spans="1:141" s="116" customFormat="1">
      <c r="A59156" s="136"/>
      <c r="CM59156" s="111"/>
      <c r="CQ59156" s="111"/>
      <c r="EF59156"/>
      <c r="EG59156"/>
      <c r="EH59156"/>
      <c r="EI59156"/>
      <c r="EJ59156"/>
      <c r="EK59156"/>
    </row>
    <row r="59157" spans="1:141" s="116" customFormat="1">
      <c r="A59157" s="136"/>
      <c r="CM59157" s="111"/>
      <c r="CQ59157" s="111"/>
      <c r="EF59157"/>
      <c r="EG59157"/>
      <c r="EH59157"/>
      <c r="EI59157"/>
      <c r="EJ59157"/>
      <c r="EK59157"/>
    </row>
    <row r="59158" spans="1:141" s="116" customFormat="1">
      <c r="A59158" s="136"/>
      <c r="CM59158" s="111"/>
      <c r="CQ59158" s="111"/>
      <c r="EF59158"/>
      <c r="EG59158"/>
      <c r="EH59158"/>
      <c r="EI59158"/>
      <c r="EJ59158"/>
      <c r="EK59158"/>
    </row>
    <row r="59159" spans="1:141" s="116" customFormat="1">
      <c r="A59159" s="136"/>
      <c r="CM59159" s="111"/>
      <c r="CQ59159" s="111"/>
      <c r="EF59159"/>
      <c r="EG59159"/>
      <c r="EH59159"/>
      <c r="EI59159"/>
      <c r="EJ59159"/>
      <c r="EK59159"/>
    </row>
    <row r="59160" spans="1:141" s="116" customFormat="1">
      <c r="A59160" s="136"/>
      <c r="CM59160" s="111"/>
      <c r="CQ59160" s="111"/>
      <c r="EF59160"/>
      <c r="EG59160"/>
      <c r="EH59160"/>
      <c r="EI59160"/>
      <c r="EJ59160"/>
      <c r="EK59160"/>
    </row>
    <row r="59161" spans="1:141" s="116" customFormat="1">
      <c r="A59161" s="136"/>
      <c r="CM59161" s="111"/>
      <c r="CQ59161" s="111"/>
      <c r="EF59161"/>
      <c r="EG59161"/>
      <c r="EH59161"/>
      <c r="EI59161"/>
      <c r="EJ59161"/>
      <c r="EK59161"/>
    </row>
    <row r="59162" spans="1:141" s="116" customFormat="1">
      <c r="A59162" s="136"/>
      <c r="CM59162" s="111"/>
      <c r="CQ59162" s="111"/>
      <c r="EF59162"/>
      <c r="EG59162"/>
      <c r="EH59162"/>
      <c r="EI59162"/>
      <c r="EJ59162"/>
      <c r="EK59162"/>
    </row>
    <row r="59163" spans="1:141" s="116" customFormat="1">
      <c r="A59163" s="136"/>
      <c r="CM59163" s="111"/>
      <c r="CQ59163" s="111"/>
      <c r="EF59163"/>
      <c r="EG59163"/>
      <c r="EH59163"/>
      <c r="EI59163"/>
      <c r="EJ59163"/>
      <c r="EK59163"/>
    </row>
    <row r="59164" spans="1:141" s="116" customFormat="1">
      <c r="A59164" s="136"/>
      <c r="CM59164" s="111"/>
      <c r="CQ59164" s="111"/>
      <c r="EF59164"/>
      <c r="EG59164"/>
      <c r="EH59164"/>
      <c r="EI59164"/>
      <c r="EJ59164"/>
      <c r="EK59164"/>
    </row>
    <row r="59165" spans="1:141" s="116" customFormat="1">
      <c r="A59165" s="136"/>
      <c r="CM59165" s="111"/>
      <c r="CQ59165" s="111"/>
      <c r="EF59165"/>
      <c r="EG59165"/>
      <c r="EH59165"/>
      <c r="EI59165"/>
      <c r="EJ59165"/>
      <c r="EK59165"/>
    </row>
    <row r="59166" spans="1:141" s="116" customFormat="1">
      <c r="A59166" s="136"/>
      <c r="CM59166" s="111"/>
      <c r="CQ59166" s="111"/>
      <c r="EF59166"/>
      <c r="EG59166"/>
      <c r="EH59166"/>
      <c r="EI59166"/>
      <c r="EJ59166"/>
      <c r="EK59166"/>
    </row>
    <row r="59167" spans="1:141" s="116" customFormat="1">
      <c r="A59167" s="136"/>
      <c r="CM59167" s="111"/>
      <c r="CQ59167" s="111"/>
      <c r="EF59167"/>
      <c r="EG59167"/>
      <c r="EH59167"/>
      <c r="EI59167"/>
      <c r="EJ59167"/>
      <c r="EK59167"/>
    </row>
    <row r="59168" spans="1:141" s="116" customFormat="1">
      <c r="A59168" s="136"/>
      <c r="CM59168" s="111"/>
      <c r="CQ59168" s="111"/>
      <c r="EF59168"/>
      <c r="EG59168"/>
      <c r="EH59168"/>
      <c r="EI59168"/>
      <c r="EJ59168"/>
      <c r="EK59168"/>
    </row>
    <row r="59169" spans="1:141" s="116" customFormat="1">
      <c r="A59169" s="136"/>
      <c r="CM59169" s="111"/>
      <c r="CQ59169" s="111"/>
      <c r="EF59169"/>
      <c r="EG59169"/>
      <c r="EH59169"/>
      <c r="EI59169"/>
      <c r="EJ59169"/>
      <c r="EK59169"/>
    </row>
    <row r="59170" spans="1:141" s="116" customFormat="1">
      <c r="A59170" s="136"/>
      <c r="CM59170" s="111"/>
      <c r="CQ59170" s="111"/>
      <c r="EF59170"/>
      <c r="EG59170"/>
      <c r="EH59170"/>
      <c r="EI59170"/>
      <c r="EJ59170"/>
      <c r="EK59170"/>
    </row>
    <row r="59171" spans="1:141" s="116" customFormat="1">
      <c r="A59171" s="136"/>
      <c r="CM59171" s="111"/>
      <c r="CQ59171" s="111"/>
      <c r="EF59171"/>
      <c r="EG59171"/>
      <c r="EH59171"/>
      <c r="EI59171"/>
      <c r="EJ59171"/>
      <c r="EK59171"/>
    </row>
    <row r="59172" spans="1:141" s="116" customFormat="1">
      <c r="A59172" s="136"/>
      <c r="CM59172" s="111"/>
      <c r="CQ59172" s="111"/>
      <c r="EF59172"/>
      <c r="EG59172"/>
      <c r="EH59172"/>
      <c r="EI59172"/>
      <c r="EJ59172"/>
      <c r="EK59172"/>
    </row>
    <row r="59173" spans="1:141" s="116" customFormat="1">
      <c r="A59173" s="136"/>
      <c r="CM59173" s="111"/>
      <c r="CQ59173" s="111"/>
      <c r="EF59173"/>
      <c r="EG59173"/>
      <c r="EH59173"/>
      <c r="EI59173"/>
      <c r="EJ59173"/>
      <c r="EK59173"/>
    </row>
    <row r="59174" spans="1:141" s="116" customFormat="1">
      <c r="A59174" s="136"/>
      <c r="CM59174" s="111"/>
      <c r="CQ59174" s="111"/>
      <c r="EF59174"/>
      <c r="EG59174"/>
      <c r="EH59174"/>
      <c r="EI59174"/>
      <c r="EJ59174"/>
      <c r="EK59174"/>
    </row>
    <row r="59175" spans="1:141" s="116" customFormat="1">
      <c r="A59175" s="136"/>
      <c r="CM59175" s="111"/>
      <c r="CQ59175" s="111"/>
      <c r="EF59175"/>
      <c r="EG59175"/>
      <c r="EH59175"/>
      <c r="EI59175"/>
      <c r="EJ59175"/>
      <c r="EK59175"/>
    </row>
    <row r="59176" spans="1:141" s="116" customFormat="1">
      <c r="A59176" s="136"/>
      <c r="CM59176" s="111"/>
      <c r="CQ59176" s="111"/>
      <c r="EF59176"/>
      <c r="EG59176"/>
      <c r="EH59176"/>
      <c r="EI59176"/>
      <c r="EJ59176"/>
      <c r="EK59176"/>
    </row>
    <row r="59177" spans="1:141" s="116" customFormat="1">
      <c r="A59177" s="136"/>
      <c r="CM59177" s="111"/>
      <c r="CQ59177" s="111"/>
      <c r="EF59177"/>
      <c r="EG59177"/>
      <c r="EH59177"/>
      <c r="EI59177"/>
      <c r="EJ59177"/>
      <c r="EK59177"/>
    </row>
    <row r="59178" spans="1:141" s="116" customFormat="1">
      <c r="A59178" s="136"/>
      <c r="CM59178" s="111"/>
      <c r="CQ59178" s="111"/>
      <c r="EF59178"/>
      <c r="EG59178"/>
      <c r="EH59178"/>
      <c r="EI59178"/>
      <c r="EJ59178"/>
      <c r="EK59178"/>
    </row>
    <row r="59179" spans="1:141" s="116" customFormat="1">
      <c r="A59179" s="136"/>
      <c r="CM59179" s="111"/>
      <c r="CQ59179" s="111"/>
      <c r="EF59179"/>
      <c r="EG59179"/>
      <c r="EH59179"/>
      <c r="EI59179"/>
      <c r="EJ59179"/>
      <c r="EK59179"/>
    </row>
    <row r="59180" spans="1:141" s="116" customFormat="1">
      <c r="A59180" s="136"/>
      <c r="CM59180" s="111"/>
      <c r="CQ59180" s="111"/>
      <c r="EF59180"/>
      <c r="EG59180"/>
      <c r="EH59180"/>
      <c r="EI59180"/>
      <c r="EJ59180"/>
      <c r="EK59180"/>
    </row>
    <row r="59181" spans="1:141" s="116" customFormat="1">
      <c r="A59181" s="136"/>
      <c r="CM59181" s="111"/>
      <c r="CQ59181" s="111"/>
      <c r="EF59181"/>
      <c r="EG59181"/>
      <c r="EH59181"/>
      <c r="EI59181"/>
      <c r="EJ59181"/>
      <c r="EK59181"/>
    </row>
    <row r="59182" spans="1:141" s="116" customFormat="1">
      <c r="A59182" s="136"/>
      <c r="CM59182" s="111"/>
      <c r="CQ59182" s="111"/>
      <c r="EF59182"/>
      <c r="EG59182"/>
      <c r="EH59182"/>
      <c r="EI59182"/>
      <c r="EJ59182"/>
      <c r="EK59182"/>
    </row>
    <row r="59183" spans="1:141" s="116" customFormat="1">
      <c r="A59183" s="136"/>
      <c r="CM59183" s="111"/>
      <c r="CQ59183" s="111"/>
      <c r="EF59183"/>
      <c r="EG59183"/>
      <c r="EH59183"/>
      <c r="EI59183"/>
      <c r="EJ59183"/>
      <c r="EK59183"/>
    </row>
    <row r="59184" spans="1:141" s="116" customFormat="1">
      <c r="A59184" s="136"/>
      <c r="CM59184" s="111"/>
      <c r="CQ59184" s="111"/>
      <c r="EF59184"/>
      <c r="EG59184"/>
      <c r="EH59184"/>
      <c r="EI59184"/>
      <c r="EJ59184"/>
      <c r="EK59184"/>
    </row>
    <row r="59185" spans="1:141" s="116" customFormat="1">
      <c r="A59185" s="136"/>
      <c r="CM59185" s="111"/>
      <c r="CQ59185" s="111"/>
      <c r="EF59185"/>
      <c r="EG59185"/>
      <c r="EH59185"/>
      <c r="EI59185"/>
      <c r="EJ59185"/>
      <c r="EK59185"/>
    </row>
    <row r="59186" spans="1:141" s="116" customFormat="1">
      <c r="A59186" s="136"/>
      <c r="CM59186" s="111"/>
      <c r="CQ59186" s="111"/>
      <c r="EF59186"/>
      <c r="EG59186"/>
      <c r="EH59186"/>
      <c r="EI59186"/>
      <c r="EJ59186"/>
      <c r="EK59186"/>
    </row>
    <row r="59187" spans="1:141" s="116" customFormat="1">
      <c r="A59187" s="136"/>
      <c r="CM59187" s="111"/>
      <c r="CQ59187" s="111"/>
      <c r="EF59187"/>
      <c r="EG59187"/>
      <c r="EH59187"/>
      <c r="EI59187"/>
      <c r="EJ59187"/>
      <c r="EK59187"/>
    </row>
    <row r="59188" spans="1:141" s="116" customFormat="1">
      <c r="A59188" s="136"/>
      <c r="CM59188" s="111"/>
      <c r="CQ59188" s="111"/>
      <c r="EF59188"/>
      <c r="EG59188"/>
      <c r="EH59188"/>
      <c r="EI59188"/>
      <c r="EJ59188"/>
      <c r="EK59188"/>
    </row>
    <row r="59189" spans="1:141" s="116" customFormat="1">
      <c r="A59189" s="136"/>
      <c r="CM59189" s="111"/>
      <c r="CQ59189" s="111"/>
      <c r="EF59189"/>
      <c r="EG59189"/>
      <c r="EH59189"/>
      <c r="EI59189"/>
      <c r="EJ59189"/>
      <c r="EK59189"/>
    </row>
    <row r="59190" spans="1:141" s="116" customFormat="1">
      <c r="A59190" s="136"/>
      <c r="CM59190" s="111"/>
      <c r="CQ59190" s="111"/>
      <c r="EF59190"/>
      <c r="EG59190"/>
      <c r="EH59190"/>
      <c r="EI59190"/>
      <c r="EJ59190"/>
      <c r="EK59190"/>
    </row>
    <row r="59191" spans="1:141" s="116" customFormat="1">
      <c r="A59191" s="136"/>
      <c r="CM59191" s="111"/>
      <c r="CQ59191" s="111"/>
      <c r="EF59191"/>
      <c r="EG59191"/>
      <c r="EH59191"/>
      <c r="EI59191"/>
      <c r="EJ59191"/>
      <c r="EK59191"/>
    </row>
    <row r="59192" spans="1:141" s="116" customFormat="1">
      <c r="A59192" s="136"/>
      <c r="CM59192" s="111"/>
      <c r="CQ59192" s="111"/>
      <c r="EF59192"/>
      <c r="EG59192"/>
      <c r="EH59192"/>
      <c r="EI59192"/>
      <c r="EJ59192"/>
      <c r="EK59192"/>
    </row>
    <row r="59193" spans="1:141" s="116" customFormat="1">
      <c r="A59193" s="136"/>
      <c r="CM59193" s="111"/>
      <c r="CQ59193" s="111"/>
      <c r="EF59193"/>
      <c r="EG59193"/>
      <c r="EH59193"/>
      <c r="EI59193"/>
      <c r="EJ59193"/>
      <c r="EK59193"/>
    </row>
    <row r="59194" spans="1:141" s="116" customFormat="1">
      <c r="A59194" s="136"/>
      <c r="CM59194" s="111"/>
      <c r="CQ59194" s="111"/>
      <c r="EF59194"/>
      <c r="EG59194"/>
      <c r="EH59194"/>
      <c r="EI59194"/>
      <c r="EJ59194"/>
      <c r="EK59194"/>
    </row>
    <row r="59195" spans="1:141" s="116" customFormat="1">
      <c r="A59195" s="136"/>
      <c r="CM59195" s="111"/>
      <c r="CQ59195" s="111"/>
      <c r="EF59195"/>
      <c r="EG59195"/>
      <c r="EH59195"/>
      <c r="EI59195"/>
      <c r="EJ59195"/>
      <c r="EK59195"/>
    </row>
    <row r="59196" spans="1:141" s="116" customFormat="1">
      <c r="A59196" s="136"/>
      <c r="CM59196" s="111"/>
      <c r="CQ59196" s="111"/>
      <c r="EF59196"/>
      <c r="EG59196"/>
      <c r="EH59196"/>
      <c r="EI59196"/>
      <c r="EJ59196"/>
      <c r="EK59196"/>
    </row>
    <row r="59197" spans="1:141" s="116" customFormat="1">
      <c r="A59197" s="136"/>
      <c r="CM59197" s="111"/>
      <c r="CQ59197" s="111"/>
      <c r="EF59197"/>
      <c r="EG59197"/>
      <c r="EH59197"/>
      <c r="EI59197"/>
      <c r="EJ59197"/>
      <c r="EK59197"/>
    </row>
    <row r="59198" spans="1:141" s="116" customFormat="1">
      <c r="A59198" s="136"/>
      <c r="CM59198" s="111"/>
      <c r="CQ59198" s="111"/>
      <c r="EF59198"/>
      <c r="EG59198"/>
      <c r="EH59198"/>
      <c r="EI59198"/>
      <c r="EJ59198"/>
      <c r="EK59198"/>
    </row>
    <row r="59199" spans="1:141" s="116" customFormat="1">
      <c r="A59199" s="136"/>
      <c r="CM59199" s="111"/>
      <c r="CQ59199" s="111"/>
      <c r="EF59199"/>
      <c r="EG59199"/>
      <c r="EH59199"/>
      <c r="EI59199"/>
      <c r="EJ59199"/>
      <c r="EK59199"/>
    </row>
    <row r="59200" spans="1:141" s="116" customFormat="1">
      <c r="A59200" s="136"/>
      <c r="CM59200" s="111"/>
      <c r="CQ59200" s="111"/>
      <c r="EF59200"/>
      <c r="EG59200"/>
      <c r="EH59200"/>
      <c r="EI59200"/>
      <c r="EJ59200"/>
      <c r="EK59200"/>
    </row>
    <row r="59201" spans="1:141" s="116" customFormat="1">
      <c r="A59201" s="136"/>
      <c r="CM59201" s="111"/>
      <c r="CQ59201" s="111"/>
      <c r="EF59201"/>
      <c r="EG59201"/>
      <c r="EH59201"/>
      <c r="EI59201"/>
      <c r="EJ59201"/>
      <c r="EK59201"/>
    </row>
    <row r="59202" spans="1:141" s="116" customFormat="1">
      <c r="A59202" s="136"/>
      <c r="CM59202" s="111"/>
      <c r="CQ59202" s="111"/>
      <c r="EF59202"/>
      <c r="EG59202"/>
      <c r="EH59202"/>
      <c r="EI59202"/>
      <c r="EJ59202"/>
      <c r="EK59202"/>
    </row>
    <row r="59203" spans="1:141" s="116" customFormat="1">
      <c r="A59203" s="136"/>
      <c r="CM59203" s="111"/>
      <c r="CQ59203" s="111"/>
      <c r="EF59203"/>
      <c r="EG59203"/>
      <c r="EH59203"/>
      <c r="EI59203"/>
      <c r="EJ59203"/>
      <c r="EK59203"/>
    </row>
    <row r="59204" spans="1:141" s="116" customFormat="1">
      <c r="A59204" s="136"/>
      <c r="CM59204" s="111"/>
      <c r="CQ59204" s="111"/>
      <c r="EF59204"/>
      <c r="EG59204"/>
      <c r="EH59204"/>
      <c r="EI59204"/>
      <c r="EJ59204"/>
      <c r="EK59204"/>
    </row>
    <row r="59205" spans="1:141" s="116" customFormat="1">
      <c r="A59205" s="136"/>
      <c r="CM59205" s="111"/>
      <c r="CQ59205" s="111"/>
      <c r="EF59205"/>
      <c r="EG59205"/>
      <c r="EH59205"/>
      <c r="EI59205"/>
      <c r="EJ59205"/>
      <c r="EK59205"/>
    </row>
    <row r="59206" spans="1:141" s="116" customFormat="1">
      <c r="A59206" s="136"/>
      <c r="CM59206" s="111"/>
      <c r="CQ59206" s="111"/>
      <c r="EF59206"/>
      <c r="EG59206"/>
      <c r="EH59206"/>
      <c r="EI59206"/>
      <c r="EJ59206"/>
      <c r="EK59206"/>
    </row>
    <row r="59207" spans="1:141" s="116" customFormat="1">
      <c r="A59207" s="136"/>
      <c r="CM59207" s="111"/>
      <c r="CQ59207" s="111"/>
      <c r="EF59207"/>
      <c r="EG59207"/>
      <c r="EH59207"/>
      <c r="EI59207"/>
      <c r="EJ59207"/>
      <c r="EK59207"/>
    </row>
    <row r="59208" spans="1:141" s="116" customFormat="1">
      <c r="A59208" s="136"/>
      <c r="CM59208" s="111"/>
      <c r="CQ59208" s="111"/>
      <c r="EF59208"/>
      <c r="EG59208"/>
      <c r="EH59208"/>
      <c r="EI59208"/>
      <c r="EJ59208"/>
      <c r="EK59208"/>
    </row>
    <row r="59209" spans="1:141" s="116" customFormat="1">
      <c r="A59209" s="136"/>
      <c r="CM59209" s="111"/>
      <c r="CQ59209" s="111"/>
      <c r="EF59209"/>
      <c r="EG59209"/>
      <c r="EH59209"/>
      <c r="EI59209"/>
      <c r="EJ59209"/>
      <c r="EK59209"/>
    </row>
    <row r="59210" spans="1:141" s="116" customFormat="1">
      <c r="A59210" s="136"/>
      <c r="CM59210" s="111"/>
      <c r="CQ59210" s="111"/>
      <c r="EF59210"/>
      <c r="EG59210"/>
      <c r="EH59210"/>
      <c r="EI59210"/>
      <c r="EJ59210"/>
      <c r="EK59210"/>
    </row>
    <row r="59211" spans="1:141" s="116" customFormat="1">
      <c r="A59211" s="136"/>
      <c r="CM59211" s="111"/>
      <c r="CQ59211" s="111"/>
      <c r="EF59211"/>
      <c r="EG59211"/>
      <c r="EH59211"/>
      <c r="EI59211"/>
      <c r="EJ59211"/>
      <c r="EK59211"/>
    </row>
    <row r="59212" spans="1:141" s="116" customFormat="1">
      <c r="A59212" s="136"/>
      <c r="CM59212" s="111"/>
      <c r="CQ59212" s="111"/>
      <c r="EF59212"/>
      <c r="EG59212"/>
      <c r="EH59212"/>
      <c r="EI59212"/>
      <c r="EJ59212"/>
      <c r="EK59212"/>
    </row>
    <row r="59213" spans="1:141" s="116" customFormat="1">
      <c r="A59213" s="136"/>
      <c r="CM59213" s="111"/>
      <c r="CQ59213" s="111"/>
      <c r="EF59213"/>
      <c r="EG59213"/>
      <c r="EH59213"/>
      <c r="EI59213"/>
      <c r="EJ59213"/>
      <c r="EK59213"/>
    </row>
    <row r="59214" spans="1:141" s="116" customFormat="1">
      <c r="A59214" s="136"/>
      <c r="CM59214" s="111"/>
      <c r="CQ59214" s="111"/>
      <c r="EF59214"/>
      <c r="EG59214"/>
      <c r="EH59214"/>
      <c r="EI59214"/>
      <c r="EJ59214"/>
      <c r="EK59214"/>
    </row>
    <row r="59215" spans="1:141" s="116" customFormat="1">
      <c r="A59215" s="136"/>
      <c r="CM59215" s="111"/>
      <c r="CQ59215" s="111"/>
      <c r="EF59215"/>
      <c r="EG59215"/>
      <c r="EH59215"/>
      <c r="EI59215"/>
      <c r="EJ59215"/>
      <c r="EK59215"/>
    </row>
    <row r="59216" spans="1:141" s="116" customFormat="1">
      <c r="A59216" s="136"/>
      <c r="CM59216" s="111"/>
      <c r="CQ59216" s="111"/>
      <c r="EF59216"/>
      <c r="EG59216"/>
      <c r="EH59216"/>
      <c r="EI59216"/>
      <c r="EJ59216"/>
      <c r="EK59216"/>
    </row>
    <row r="59217" spans="1:141" s="116" customFormat="1">
      <c r="A59217" s="136"/>
      <c r="CM59217" s="111"/>
      <c r="CQ59217" s="111"/>
      <c r="EF59217"/>
      <c r="EG59217"/>
      <c r="EH59217"/>
      <c r="EI59217"/>
      <c r="EJ59217"/>
      <c r="EK59217"/>
    </row>
    <row r="59218" spans="1:141" s="116" customFormat="1">
      <c r="A59218" s="136"/>
      <c r="CM59218" s="111"/>
      <c r="CQ59218" s="111"/>
      <c r="EF59218"/>
      <c r="EG59218"/>
      <c r="EH59218"/>
      <c r="EI59218"/>
      <c r="EJ59218"/>
      <c r="EK59218"/>
    </row>
    <row r="59219" spans="1:141" s="116" customFormat="1">
      <c r="A59219" s="136"/>
      <c r="CM59219" s="111"/>
      <c r="CQ59219" s="111"/>
      <c r="EF59219"/>
      <c r="EG59219"/>
      <c r="EH59219"/>
      <c r="EI59219"/>
      <c r="EJ59219"/>
      <c r="EK59219"/>
    </row>
    <row r="59220" spans="1:141" s="116" customFormat="1">
      <c r="A59220" s="136"/>
      <c r="CM59220" s="111"/>
      <c r="CQ59220" s="111"/>
      <c r="EF59220"/>
      <c r="EG59220"/>
      <c r="EH59220"/>
      <c r="EI59220"/>
      <c r="EJ59220"/>
      <c r="EK59220"/>
    </row>
    <row r="59221" spans="1:141" s="116" customFormat="1">
      <c r="A59221" s="136"/>
      <c r="CM59221" s="111"/>
      <c r="CQ59221" s="111"/>
      <c r="EF59221"/>
      <c r="EG59221"/>
      <c r="EH59221"/>
      <c r="EI59221"/>
      <c r="EJ59221"/>
      <c r="EK59221"/>
    </row>
    <row r="59222" spans="1:141" s="116" customFormat="1">
      <c r="A59222" s="136"/>
      <c r="CM59222" s="111"/>
      <c r="CQ59222" s="111"/>
      <c r="EF59222"/>
      <c r="EG59222"/>
      <c r="EH59222"/>
      <c r="EI59222"/>
      <c r="EJ59222"/>
      <c r="EK59222"/>
    </row>
    <row r="59223" spans="1:141" s="116" customFormat="1">
      <c r="A59223" s="136"/>
      <c r="CM59223" s="111"/>
      <c r="CQ59223" s="111"/>
      <c r="EF59223"/>
      <c r="EG59223"/>
      <c r="EH59223"/>
      <c r="EI59223"/>
      <c r="EJ59223"/>
      <c r="EK59223"/>
    </row>
    <row r="59224" spans="1:141" s="116" customFormat="1">
      <c r="A59224" s="136"/>
      <c r="CM59224" s="111"/>
      <c r="CQ59224" s="111"/>
      <c r="EF59224"/>
      <c r="EG59224"/>
      <c r="EH59224"/>
      <c r="EI59224"/>
      <c r="EJ59224"/>
      <c r="EK59224"/>
    </row>
    <row r="59225" spans="1:141" s="116" customFormat="1">
      <c r="A59225" s="136"/>
      <c r="CM59225" s="111"/>
      <c r="CQ59225" s="111"/>
      <c r="EF59225"/>
      <c r="EG59225"/>
      <c r="EH59225"/>
      <c r="EI59225"/>
      <c r="EJ59225"/>
      <c r="EK59225"/>
    </row>
    <row r="59226" spans="1:141" s="116" customFormat="1">
      <c r="A59226" s="136"/>
      <c r="CM59226" s="111"/>
      <c r="CQ59226" s="111"/>
      <c r="EF59226"/>
      <c r="EG59226"/>
      <c r="EH59226"/>
      <c r="EI59226"/>
      <c r="EJ59226"/>
      <c r="EK59226"/>
    </row>
    <row r="59227" spans="1:141" s="116" customFormat="1">
      <c r="A59227" s="136"/>
      <c r="CM59227" s="111"/>
      <c r="CQ59227" s="111"/>
      <c r="EF59227"/>
      <c r="EG59227"/>
      <c r="EH59227"/>
      <c r="EI59227"/>
      <c r="EJ59227"/>
      <c r="EK59227"/>
    </row>
    <row r="59228" spans="1:141" s="116" customFormat="1">
      <c r="A59228" s="136"/>
      <c r="CM59228" s="111"/>
      <c r="CQ59228" s="111"/>
      <c r="EF59228"/>
      <c r="EG59228"/>
      <c r="EH59228"/>
      <c r="EI59228"/>
      <c r="EJ59228"/>
      <c r="EK59228"/>
    </row>
    <row r="59229" spans="1:141" s="116" customFormat="1">
      <c r="A59229" s="136"/>
      <c r="CM59229" s="111"/>
      <c r="CQ59229" s="111"/>
      <c r="EF59229"/>
      <c r="EG59229"/>
      <c r="EH59229"/>
      <c r="EI59229"/>
      <c r="EJ59229"/>
      <c r="EK59229"/>
    </row>
    <row r="59230" spans="1:141" s="116" customFormat="1">
      <c r="A59230" s="136"/>
      <c r="CM59230" s="111"/>
      <c r="CQ59230" s="111"/>
      <c r="EF59230"/>
      <c r="EG59230"/>
      <c r="EH59230"/>
      <c r="EI59230"/>
      <c r="EJ59230"/>
      <c r="EK59230"/>
    </row>
    <row r="59231" spans="1:141" s="116" customFormat="1">
      <c r="A59231" s="136"/>
      <c r="CM59231" s="111"/>
      <c r="CQ59231" s="111"/>
      <c r="EF59231"/>
      <c r="EG59231"/>
      <c r="EH59231"/>
      <c r="EI59231"/>
      <c r="EJ59231"/>
      <c r="EK59231"/>
    </row>
    <row r="59232" spans="1:141" s="116" customFormat="1">
      <c r="A59232" s="136"/>
      <c r="CM59232" s="111"/>
      <c r="CQ59232" s="111"/>
      <c r="EF59232"/>
      <c r="EG59232"/>
      <c r="EH59232"/>
      <c r="EI59232"/>
      <c r="EJ59232"/>
      <c r="EK59232"/>
    </row>
    <row r="59233" spans="1:141" s="116" customFormat="1">
      <c r="A59233" s="136"/>
      <c r="CM59233" s="111"/>
      <c r="CQ59233" s="111"/>
      <c r="EF59233"/>
      <c r="EG59233"/>
      <c r="EH59233"/>
      <c r="EI59233"/>
      <c r="EJ59233"/>
      <c r="EK59233"/>
    </row>
    <row r="59234" spans="1:141" s="116" customFormat="1">
      <c r="A59234" s="136"/>
      <c r="CM59234" s="111"/>
      <c r="CQ59234" s="111"/>
      <c r="EF59234"/>
      <c r="EG59234"/>
      <c r="EH59234"/>
      <c r="EI59234"/>
      <c r="EJ59234"/>
      <c r="EK59234"/>
    </row>
    <row r="59235" spans="1:141" s="116" customFormat="1">
      <c r="A59235" s="136"/>
      <c r="CM59235" s="111"/>
      <c r="CQ59235" s="111"/>
      <c r="EF59235"/>
      <c r="EG59235"/>
      <c r="EH59235"/>
      <c r="EI59235"/>
      <c r="EJ59235"/>
      <c r="EK59235"/>
    </row>
    <row r="59236" spans="1:141" s="116" customFormat="1">
      <c r="A59236" s="136"/>
      <c r="CM59236" s="111"/>
      <c r="CQ59236" s="111"/>
      <c r="EF59236"/>
      <c r="EG59236"/>
      <c r="EH59236"/>
      <c r="EI59236"/>
      <c r="EJ59236"/>
      <c r="EK59236"/>
    </row>
    <row r="59237" spans="1:141" s="116" customFormat="1">
      <c r="A59237" s="136"/>
      <c r="CM59237" s="111"/>
      <c r="CQ59237" s="111"/>
      <c r="EF59237"/>
      <c r="EG59237"/>
      <c r="EH59237"/>
      <c r="EI59237"/>
      <c r="EJ59237"/>
      <c r="EK59237"/>
    </row>
    <row r="59238" spans="1:141" s="116" customFormat="1">
      <c r="A59238" s="136"/>
      <c r="CM59238" s="111"/>
      <c r="CQ59238" s="111"/>
      <c r="EF59238"/>
      <c r="EG59238"/>
      <c r="EH59238"/>
      <c r="EI59238"/>
      <c r="EJ59238"/>
      <c r="EK59238"/>
    </row>
    <row r="59239" spans="1:141" s="116" customFormat="1">
      <c r="A59239" s="136"/>
      <c r="CM59239" s="111"/>
      <c r="CQ59239" s="111"/>
      <c r="EF59239"/>
      <c r="EG59239"/>
      <c r="EH59239"/>
      <c r="EI59239"/>
      <c r="EJ59239"/>
      <c r="EK59239"/>
    </row>
    <row r="59240" spans="1:141" s="116" customFormat="1">
      <c r="A59240" s="136"/>
      <c r="CM59240" s="111"/>
      <c r="CQ59240" s="111"/>
      <c r="EF59240"/>
      <c r="EG59240"/>
      <c r="EH59240"/>
      <c r="EI59240"/>
      <c r="EJ59240"/>
      <c r="EK59240"/>
    </row>
    <row r="59241" spans="1:141" s="116" customFormat="1">
      <c r="A59241" s="136"/>
      <c r="CM59241" s="111"/>
      <c r="CQ59241" s="111"/>
      <c r="EF59241"/>
      <c r="EG59241"/>
      <c r="EH59241"/>
      <c r="EI59241"/>
      <c r="EJ59241"/>
      <c r="EK59241"/>
    </row>
    <row r="59242" spans="1:141" s="116" customFormat="1">
      <c r="A59242" s="136"/>
      <c r="CM59242" s="111"/>
      <c r="CQ59242" s="111"/>
      <c r="EF59242"/>
      <c r="EG59242"/>
      <c r="EH59242"/>
      <c r="EI59242"/>
      <c r="EJ59242"/>
      <c r="EK59242"/>
    </row>
    <row r="59243" spans="1:141" s="116" customFormat="1">
      <c r="A59243" s="136"/>
      <c r="CM59243" s="111"/>
      <c r="CQ59243" s="111"/>
      <c r="EF59243"/>
      <c r="EG59243"/>
      <c r="EH59243"/>
      <c r="EI59243"/>
      <c r="EJ59243"/>
      <c r="EK59243"/>
    </row>
    <row r="59244" spans="1:141" s="116" customFormat="1">
      <c r="A59244" s="136"/>
      <c r="CM59244" s="111"/>
      <c r="CQ59244" s="111"/>
      <c r="EF59244"/>
      <c r="EG59244"/>
      <c r="EH59244"/>
      <c r="EI59244"/>
      <c r="EJ59244"/>
      <c r="EK59244"/>
    </row>
    <row r="59245" spans="1:141" s="116" customFormat="1">
      <c r="A59245" s="136"/>
      <c r="CM59245" s="111"/>
      <c r="CQ59245" s="111"/>
      <c r="EF59245"/>
      <c r="EG59245"/>
      <c r="EH59245"/>
      <c r="EI59245"/>
      <c r="EJ59245"/>
      <c r="EK59245"/>
    </row>
    <row r="59246" spans="1:141" s="116" customFormat="1">
      <c r="A59246" s="136"/>
      <c r="CM59246" s="111"/>
      <c r="CQ59246" s="111"/>
      <c r="EF59246"/>
      <c r="EG59246"/>
      <c r="EH59246"/>
      <c r="EI59246"/>
      <c r="EJ59246"/>
      <c r="EK59246"/>
    </row>
    <row r="59247" spans="1:141" s="116" customFormat="1">
      <c r="A59247" s="136"/>
      <c r="CM59247" s="111"/>
      <c r="CQ59247" s="111"/>
      <c r="EF59247"/>
      <c r="EG59247"/>
      <c r="EH59247"/>
      <c r="EI59247"/>
      <c r="EJ59247"/>
      <c r="EK59247"/>
    </row>
    <row r="59248" spans="1:141" s="116" customFormat="1">
      <c r="A59248" s="136"/>
      <c r="CM59248" s="111"/>
      <c r="CQ59248" s="111"/>
      <c r="EF59248"/>
      <c r="EG59248"/>
      <c r="EH59248"/>
      <c r="EI59248"/>
      <c r="EJ59248"/>
      <c r="EK59248"/>
    </row>
    <row r="59249" spans="1:141" s="116" customFormat="1">
      <c r="A59249" s="136"/>
      <c r="CM59249" s="111"/>
      <c r="CQ59249" s="111"/>
      <c r="EF59249"/>
      <c r="EG59249"/>
      <c r="EH59249"/>
      <c r="EI59249"/>
      <c r="EJ59249"/>
      <c r="EK59249"/>
    </row>
    <row r="59250" spans="1:141" s="116" customFormat="1">
      <c r="A59250" s="136"/>
      <c r="CM59250" s="111"/>
      <c r="CQ59250" s="111"/>
      <c r="EF59250"/>
      <c r="EG59250"/>
      <c r="EH59250"/>
      <c r="EI59250"/>
      <c r="EJ59250"/>
      <c r="EK59250"/>
    </row>
    <row r="59251" spans="1:141" s="116" customFormat="1">
      <c r="A59251" s="136"/>
      <c r="CM59251" s="111"/>
      <c r="CQ59251" s="111"/>
      <c r="EF59251"/>
      <c r="EG59251"/>
      <c r="EH59251"/>
      <c r="EI59251"/>
      <c r="EJ59251"/>
      <c r="EK59251"/>
    </row>
    <row r="59252" spans="1:141" s="116" customFormat="1">
      <c r="A59252" s="136"/>
      <c r="CM59252" s="111"/>
      <c r="CQ59252" s="111"/>
      <c r="EF59252"/>
      <c r="EG59252"/>
      <c r="EH59252"/>
      <c r="EI59252"/>
      <c r="EJ59252"/>
      <c r="EK59252"/>
    </row>
    <row r="59253" spans="1:141" s="116" customFormat="1">
      <c r="A59253" s="136"/>
      <c r="CM59253" s="111"/>
      <c r="CQ59253" s="111"/>
      <c r="EF59253"/>
      <c r="EG59253"/>
      <c r="EH59253"/>
      <c r="EI59253"/>
      <c r="EJ59253"/>
      <c r="EK59253"/>
    </row>
    <row r="59254" spans="1:141" s="116" customFormat="1">
      <c r="A59254" s="136"/>
      <c r="CM59254" s="111"/>
      <c r="CQ59254" s="111"/>
      <c r="EF59254"/>
      <c r="EG59254"/>
      <c r="EH59254"/>
      <c r="EI59254"/>
      <c r="EJ59254"/>
      <c r="EK59254"/>
    </row>
    <row r="59255" spans="1:141" s="116" customFormat="1">
      <c r="A59255" s="136"/>
      <c r="CM59255" s="111"/>
      <c r="CQ59255" s="111"/>
      <c r="EF59255"/>
      <c r="EG59255"/>
      <c r="EH59255"/>
      <c r="EI59255"/>
      <c r="EJ59255"/>
      <c r="EK59255"/>
    </row>
    <row r="59256" spans="1:141" s="116" customFormat="1">
      <c r="A59256" s="136"/>
      <c r="CM59256" s="111"/>
      <c r="CQ59256" s="111"/>
      <c r="EF59256"/>
      <c r="EG59256"/>
      <c r="EH59256"/>
      <c r="EI59256"/>
      <c r="EJ59256"/>
      <c r="EK59256"/>
    </row>
    <row r="59257" spans="1:141" s="116" customFormat="1">
      <c r="A59257" s="136"/>
      <c r="CM59257" s="111"/>
      <c r="CQ59257" s="111"/>
      <c r="EF59257"/>
      <c r="EG59257"/>
      <c r="EH59257"/>
      <c r="EI59257"/>
      <c r="EJ59257"/>
      <c r="EK59257"/>
    </row>
    <row r="59258" spans="1:141" s="116" customFormat="1">
      <c r="A59258" s="136"/>
      <c r="CM59258" s="111"/>
      <c r="CQ59258" s="111"/>
      <c r="EF59258"/>
      <c r="EG59258"/>
      <c r="EH59258"/>
      <c r="EI59258"/>
      <c r="EJ59258"/>
      <c r="EK59258"/>
    </row>
    <row r="59259" spans="1:141" s="116" customFormat="1">
      <c r="A59259" s="136"/>
      <c r="CM59259" s="111"/>
      <c r="CQ59259" s="111"/>
      <c r="EF59259"/>
      <c r="EG59259"/>
      <c r="EH59259"/>
      <c r="EI59259"/>
      <c r="EJ59259"/>
      <c r="EK59259"/>
    </row>
    <row r="59260" spans="1:141" s="116" customFormat="1">
      <c r="A59260" s="136"/>
      <c r="CM59260" s="111"/>
      <c r="CQ59260" s="111"/>
      <c r="EF59260"/>
      <c r="EG59260"/>
      <c r="EH59260"/>
      <c r="EI59260"/>
      <c r="EJ59260"/>
      <c r="EK59260"/>
    </row>
    <row r="59261" spans="1:141" s="116" customFormat="1">
      <c r="A59261" s="136"/>
      <c r="CM59261" s="111"/>
      <c r="CQ59261" s="111"/>
      <c r="EF59261"/>
      <c r="EG59261"/>
      <c r="EH59261"/>
      <c r="EI59261"/>
      <c r="EJ59261"/>
      <c r="EK59261"/>
    </row>
    <row r="59262" spans="1:141" s="116" customFormat="1">
      <c r="A59262" s="136"/>
      <c r="CM59262" s="111"/>
      <c r="CQ59262" s="111"/>
      <c r="EF59262"/>
      <c r="EG59262"/>
      <c r="EH59262"/>
      <c r="EI59262"/>
      <c r="EJ59262"/>
      <c r="EK59262"/>
    </row>
    <row r="59263" spans="1:141" s="116" customFormat="1">
      <c r="A59263" s="136"/>
      <c r="CM59263" s="111"/>
      <c r="CQ59263" s="111"/>
      <c r="EF59263"/>
      <c r="EG59263"/>
      <c r="EH59263"/>
      <c r="EI59263"/>
      <c r="EJ59263"/>
      <c r="EK59263"/>
    </row>
    <row r="59264" spans="1:141" s="116" customFormat="1">
      <c r="A59264" s="136"/>
      <c r="CM59264" s="111"/>
      <c r="CQ59264" s="111"/>
      <c r="EF59264"/>
      <c r="EG59264"/>
      <c r="EH59264"/>
      <c r="EI59264"/>
      <c r="EJ59264"/>
      <c r="EK59264"/>
    </row>
    <row r="59265" spans="1:141" s="116" customFormat="1">
      <c r="A59265" s="136"/>
      <c r="CM59265" s="111"/>
      <c r="CQ59265" s="111"/>
      <c r="EF59265"/>
      <c r="EG59265"/>
      <c r="EH59265"/>
      <c r="EI59265"/>
      <c r="EJ59265"/>
      <c r="EK59265"/>
    </row>
    <row r="59266" spans="1:141" s="116" customFormat="1">
      <c r="A59266" s="136"/>
      <c r="CM59266" s="111"/>
      <c r="CQ59266" s="111"/>
      <c r="EF59266"/>
      <c r="EG59266"/>
      <c r="EH59266"/>
      <c r="EI59266"/>
      <c r="EJ59266"/>
      <c r="EK59266"/>
    </row>
    <row r="59267" spans="1:141" s="116" customFormat="1">
      <c r="A59267" s="136"/>
      <c r="CM59267" s="111"/>
      <c r="CQ59267" s="111"/>
      <c r="EF59267"/>
      <c r="EG59267"/>
      <c r="EH59267"/>
      <c r="EI59267"/>
      <c r="EJ59267"/>
      <c r="EK59267"/>
    </row>
    <row r="59268" spans="1:141" s="116" customFormat="1">
      <c r="A59268" s="136"/>
      <c r="CM59268" s="111"/>
      <c r="CQ59268" s="111"/>
      <c r="EF59268"/>
      <c r="EG59268"/>
      <c r="EH59268"/>
      <c r="EI59268"/>
      <c r="EJ59268"/>
      <c r="EK59268"/>
    </row>
    <row r="59269" spans="1:141" s="116" customFormat="1">
      <c r="A59269" s="136"/>
      <c r="CM59269" s="111"/>
      <c r="CQ59269" s="111"/>
      <c r="EF59269"/>
      <c r="EG59269"/>
      <c r="EH59269"/>
      <c r="EI59269"/>
      <c r="EJ59269"/>
      <c r="EK59269"/>
    </row>
    <row r="59270" spans="1:141" s="116" customFormat="1">
      <c r="A59270" s="136"/>
      <c r="CM59270" s="111"/>
      <c r="CQ59270" s="111"/>
      <c r="EF59270"/>
      <c r="EG59270"/>
      <c r="EH59270"/>
      <c r="EI59270"/>
      <c r="EJ59270"/>
      <c r="EK59270"/>
    </row>
    <row r="59271" spans="1:141" s="116" customFormat="1">
      <c r="A59271" s="136"/>
      <c r="CM59271" s="111"/>
      <c r="CQ59271" s="111"/>
      <c r="EF59271"/>
      <c r="EG59271"/>
      <c r="EH59271"/>
      <c r="EI59271"/>
      <c r="EJ59271"/>
      <c r="EK59271"/>
    </row>
    <row r="59272" spans="1:141" s="116" customFormat="1">
      <c r="A59272" s="136"/>
      <c r="CM59272" s="111"/>
      <c r="CQ59272" s="111"/>
      <c r="EF59272"/>
      <c r="EG59272"/>
      <c r="EH59272"/>
      <c r="EI59272"/>
      <c r="EJ59272"/>
      <c r="EK59272"/>
    </row>
    <row r="59273" spans="1:141" s="116" customFormat="1">
      <c r="A59273" s="136"/>
      <c r="CM59273" s="111"/>
      <c r="CQ59273" s="111"/>
      <c r="EF59273"/>
      <c r="EG59273"/>
      <c r="EH59273"/>
      <c r="EI59273"/>
      <c r="EJ59273"/>
      <c r="EK59273"/>
    </row>
    <row r="59274" spans="1:141" s="116" customFormat="1">
      <c r="A59274" s="136"/>
      <c r="CM59274" s="111"/>
      <c r="CQ59274" s="111"/>
      <c r="EF59274"/>
      <c r="EG59274"/>
      <c r="EH59274"/>
      <c r="EI59274"/>
      <c r="EJ59274"/>
      <c r="EK59274"/>
    </row>
    <row r="59275" spans="1:141" s="116" customFormat="1">
      <c r="A59275" s="136"/>
      <c r="CM59275" s="111"/>
      <c r="CQ59275" s="111"/>
      <c r="EF59275"/>
      <c r="EG59275"/>
      <c r="EH59275"/>
      <c r="EI59275"/>
      <c r="EJ59275"/>
      <c r="EK59275"/>
    </row>
    <row r="59276" spans="1:141" s="116" customFormat="1">
      <c r="A59276" s="136"/>
      <c r="CM59276" s="111"/>
      <c r="CQ59276" s="111"/>
      <c r="EF59276"/>
      <c r="EG59276"/>
      <c r="EH59276"/>
      <c r="EI59276"/>
      <c r="EJ59276"/>
      <c r="EK59276"/>
    </row>
    <row r="59277" spans="1:141" s="116" customFormat="1">
      <c r="A59277" s="136"/>
      <c r="CM59277" s="111"/>
      <c r="CQ59277" s="111"/>
      <c r="EF59277"/>
      <c r="EG59277"/>
      <c r="EH59277"/>
      <c r="EI59277"/>
      <c r="EJ59277"/>
      <c r="EK59277"/>
    </row>
    <row r="59278" spans="1:141" s="116" customFormat="1">
      <c r="A59278" s="136"/>
      <c r="CM59278" s="111"/>
      <c r="CQ59278" s="111"/>
      <c r="EF59278"/>
      <c r="EG59278"/>
      <c r="EH59278"/>
      <c r="EI59278"/>
      <c r="EJ59278"/>
      <c r="EK59278"/>
    </row>
    <row r="59279" spans="1:141" s="116" customFormat="1">
      <c r="A59279" s="136"/>
      <c r="CM59279" s="111"/>
      <c r="CQ59279" s="111"/>
      <c r="EF59279"/>
      <c r="EG59279"/>
      <c r="EH59279"/>
      <c r="EI59279"/>
      <c r="EJ59279"/>
      <c r="EK59279"/>
    </row>
    <row r="59280" spans="1:141" s="116" customFormat="1">
      <c r="A59280" s="136"/>
      <c r="CM59280" s="111"/>
      <c r="CQ59280" s="111"/>
      <c r="EF59280"/>
      <c r="EG59280"/>
      <c r="EH59280"/>
      <c r="EI59280"/>
      <c r="EJ59280"/>
      <c r="EK59280"/>
    </row>
    <row r="59281" spans="1:141" s="116" customFormat="1">
      <c r="A59281" s="136"/>
      <c r="CM59281" s="111"/>
      <c r="CQ59281" s="111"/>
      <c r="EF59281"/>
      <c r="EG59281"/>
      <c r="EH59281"/>
      <c r="EI59281"/>
      <c r="EJ59281"/>
      <c r="EK59281"/>
    </row>
    <row r="59282" spans="1:141" s="116" customFormat="1">
      <c r="A59282" s="136"/>
      <c r="CM59282" s="111"/>
      <c r="CQ59282" s="111"/>
      <c r="EF59282"/>
      <c r="EG59282"/>
      <c r="EH59282"/>
      <c r="EI59282"/>
      <c r="EJ59282"/>
      <c r="EK59282"/>
    </row>
    <row r="59283" spans="1:141" s="116" customFormat="1">
      <c r="A59283" s="136"/>
      <c r="CM59283" s="111"/>
      <c r="CQ59283" s="111"/>
      <c r="EF59283"/>
      <c r="EG59283"/>
      <c r="EH59283"/>
      <c r="EI59283"/>
      <c r="EJ59283"/>
      <c r="EK59283"/>
    </row>
    <row r="59284" spans="1:141" s="116" customFormat="1">
      <c r="A59284" s="136"/>
      <c r="CM59284" s="111"/>
      <c r="CQ59284" s="111"/>
      <c r="EF59284"/>
      <c r="EG59284"/>
      <c r="EH59284"/>
      <c r="EI59284"/>
      <c r="EJ59284"/>
      <c r="EK59284"/>
    </row>
    <row r="59285" spans="1:141" s="116" customFormat="1">
      <c r="A59285" s="136"/>
      <c r="CM59285" s="111"/>
      <c r="CQ59285" s="111"/>
      <c r="EF59285"/>
      <c r="EG59285"/>
      <c r="EH59285"/>
      <c r="EI59285"/>
      <c r="EJ59285"/>
      <c r="EK59285"/>
    </row>
    <row r="59286" spans="1:141" s="116" customFormat="1">
      <c r="A59286" s="136"/>
      <c r="CM59286" s="111"/>
      <c r="CQ59286" s="111"/>
      <c r="EF59286"/>
      <c r="EG59286"/>
      <c r="EH59286"/>
      <c r="EI59286"/>
      <c r="EJ59286"/>
      <c r="EK59286"/>
    </row>
    <row r="59287" spans="1:141" s="116" customFormat="1">
      <c r="A59287" s="136"/>
      <c r="CM59287" s="111"/>
      <c r="CQ59287" s="111"/>
      <c r="EF59287"/>
      <c r="EG59287"/>
      <c r="EH59287"/>
      <c r="EI59287"/>
      <c r="EJ59287"/>
      <c r="EK59287"/>
    </row>
    <row r="59288" spans="1:141" s="116" customFormat="1">
      <c r="A59288" s="136"/>
      <c r="CM59288" s="111"/>
      <c r="CQ59288" s="111"/>
      <c r="EF59288"/>
      <c r="EG59288"/>
      <c r="EH59288"/>
      <c r="EI59288"/>
      <c r="EJ59288"/>
      <c r="EK59288"/>
    </row>
    <row r="59289" spans="1:141" s="116" customFormat="1">
      <c r="A59289" s="136"/>
      <c r="CM59289" s="111"/>
      <c r="CQ59289" s="111"/>
      <c r="EF59289"/>
      <c r="EG59289"/>
      <c r="EH59289"/>
      <c r="EI59289"/>
      <c r="EJ59289"/>
      <c r="EK59289"/>
    </row>
    <row r="59290" spans="1:141" s="116" customFormat="1">
      <c r="A59290" s="136"/>
      <c r="CM59290" s="111"/>
      <c r="CQ59290" s="111"/>
      <c r="EF59290"/>
      <c r="EG59290"/>
      <c r="EH59290"/>
      <c r="EI59290"/>
      <c r="EJ59290"/>
      <c r="EK59290"/>
    </row>
    <row r="59291" spans="1:141" s="116" customFormat="1">
      <c r="A59291" s="136"/>
      <c r="CM59291" s="111"/>
      <c r="CQ59291" s="111"/>
      <c r="EF59291"/>
      <c r="EG59291"/>
      <c r="EH59291"/>
      <c r="EI59291"/>
      <c r="EJ59291"/>
      <c r="EK59291"/>
    </row>
    <row r="59292" spans="1:141" s="116" customFormat="1">
      <c r="A59292" s="136"/>
      <c r="CM59292" s="111"/>
      <c r="CQ59292" s="111"/>
      <c r="EF59292"/>
      <c r="EG59292"/>
      <c r="EH59292"/>
      <c r="EI59292"/>
      <c r="EJ59292"/>
      <c r="EK59292"/>
    </row>
    <row r="59293" spans="1:141" s="116" customFormat="1">
      <c r="A59293" s="136"/>
      <c r="CM59293" s="111"/>
      <c r="CQ59293" s="111"/>
      <c r="EF59293"/>
      <c r="EG59293"/>
      <c r="EH59293"/>
      <c r="EI59293"/>
      <c r="EJ59293"/>
      <c r="EK59293"/>
    </row>
    <row r="59294" spans="1:141" s="116" customFormat="1">
      <c r="A59294" s="136"/>
      <c r="CM59294" s="111"/>
      <c r="CQ59294" s="111"/>
      <c r="EF59294"/>
      <c r="EG59294"/>
      <c r="EH59294"/>
      <c r="EI59294"/>
      <c r="EJ59294"/>
      <c r="EK59294"/>
    </row>
    <row r="59295" spans="1:141" s="116" customFormat="1">
      <c r="A59295" s="136"/>
      <c r="CM59295" s="111"/>
      <c r="CQ59295" s="111"/>
      <c r="EF59295"/>
      <c r="EG59295"/>
      <c r="EH59295"/>
      <c r="EI59295"/>
      <c r="EJ59295"/>
      <c r="EK59295"/>
    </row>
    <row r="59296" spans="1:141" s="116" customFormat="1">
      <c r="A59296" s="136"/>
      <c r="CM59296" s="111"/>
      <c r="CQ59296" s="111"/>
      <c r="EF59296"/>
      <c r="EG59296"/>
      <c r="EH59296"/>
      <c r="EI59296"/>
      <c r="EJ59296"/>
      <c r="EK59296"/>
    </row>
    <row r="59297" spans="1:141" s="116" customFormat="1">
      <c r="A59297" s="136"/>
      <c r="CM59297" s="111"/>
      <c r="CQ59297" s="111"/>
      <c r="EF59297"/>
      <c r="EG59297"/>
      <c r="EH59297"/>
      <c r="EI59297"/>
      <c r="EJ59297"/>
      <c r="EK59297"/>
    </row>
    <row r="59298" spans="1:141" s="116" customFormat="1">
      <c r="A59298" s="136"/>
      <c r="CM59298" s="111"/>
      <c r="CQ59298" s="111"/>
      <c r="EF59298"/>
      <c r="EG59298"/>
      <c r="EH59298"/>
      <c r="EI59298"/>
      <c r="EJ59298"/>
      <c r="EK59298"/>
    </row>
    <row r="59299" spans="1:141" s="116" customFormat="1">
      <c r="A59299" s="136"/>
      <c r="CM59299" s="111"/>
      <c r="CQ59299" s="111"/>
      <c r="EF59299"/>
      <c r="EG59299"/>
      <c r="EH59299"/>
      <c r="EI59299"/>
      <c r="EJ59299"/>
      <c r="EK59299"/>
    </row>
    <row r="59300" spans="1:141" s="116" customFormat="1">
      <c r="A59300" s="136"/>
      <c r="CM59300" s="111"/>
      <c r="CQ59300" s="111"/>
      <c r="EF59300"/>
      <c r="EG59300"/>
      <c r="EH59300"/>
      <c r="EI59300"/>
      <c r="EJ59300"/>
      <c r="EK59300"/>
    </row>
    <row r="59301" spans="1:141" s="116" customFormat="1">
      <c r="A59301" s="136"/>
      <c r="CM59301" s="111"/>
      <c r="CQ59301" s="111"/>
      <c r="EF59301"/>
      <c r="EG59301"/>
      <c r="EH59301"/>
      <c r="EI59301"/>
      <c r="EJ59301"/>
      <c r="EK59301"/>
    </row>
    <row r="59302" spans="1:141" s="116" customFormat="1">
      <c r="A59302" s="136"/>
      <c r="CM59302" s="111"/>
      <c r="CQ59302" s="111"/>
      <c r="EF59302"/>
      <c r="EG59302"/>
      <c r="EH59302"/>
      <c r="EI59302"/>
      <c r="EJ59302"/>
      <c r="EK59302"/>
    </row>
    <row r="59303" spans="1:141" s="116" customFormat="1">
      <c r="A59303" s="136"/>
      <c r="CM59303" s="111"/>
      <c r="CQ59303" s="111"/>
      <c r="EF59303"/>
      <c r="EG59303"/>
      <c r="EH59303"/>
      <c r="EI59303"/>
      <c r="EJ59303"/>
      <c r="EK59303"/>
    </row>
    <row r="59304" spans="1:141" s="116" customFormat="1">
      <c r="A59304" s="136"/>
      <c r="CM59304" s="111"/>
      <c r="CQ59304" s="111"/>
      <c r="EF59304"/>
      <c r="EG59304"/>
      <c r="EH59304"/>
      <c r="EI59304"/>
      <c r="EJ59304"/>
      <c r="EK59304"/>
    </row>
    <row r="59305" spans="1:141" s="116" customFormat="1">
      <c r="A59305" s="136"/>
      <c r="CM59305" s="111"/>
      <c r="CQ59305" s="111"/>
      <c r="EF59305"/>
      <c r="EG59305"/>
      <c r="EH59305"/>
      <c r="EI59305"/>
      <c r="EJ59305"/>
      <c r="EK59305"/>
    </row>
    <row r="59306" spans="1:141" s="116" customFormat="1">
      <c r="A59306" s="136"/>
      <c r="CM59306" s="111"/>
      <c r="CQ59306" s="111"/>
      <c r="EF59306"/>
      <c r="EG59306"/>
      <c r="EH59306"/>
      <c r="EI59306"/>
      <c r="EJ59306"/>
      <c r="EK59306"/>
    </row>
    <row r="59307" spans="1:141" s="116" customFormat="1">
      <c r="A59307" s="136"/>
      <c r="CM59307" s="111"/>
      <c r="CQ59307" s="111"/>
      <c r="EF59307"/>
      <c r="EG59307"/>
      <c r="EH59307"/>
      <c r="EI59307"/>
      <c r="EJ59307"/>
      <c r="EK59307"/>
    </row>
    <row r="59308" spans="1:141" s="116" customFormat="1">
      <c r="A59308" s="136"/>
      <c r="CM59308" s="111"/>
      <c r="CQ59308" s="111"/>
      <c r="EF59308"/>
      <c r="EG59308"/>
      <c r="EH59308"/>
      <c r="EI59308"/>
      <c r="EJ59308"/>
      <c r="EK59308"/>
    </row>
    <row r="59309" spans="1:141" s="116" customFormat="1">
      <c r="A59309" s="136"/>
      <c r="CM59309" s="111"/>
      <c r="CQ59309" s="111"/>
      <c r="EF59309"/>
      <c r="EG59309"/>
      <c r="EH59309"/>
      <c r="EI59309"/>
      <c r="EJ59309"/>
      <c r="EK59309"/>
    </row>
    <row r="59310" spans="1:141" s="116" customFormat="1">
      <c r="A59310" s="136"/>
      <c r="CM59310" s="111"/>
      <c r="CQ59310" s="111"/>
      <c r="EF59310"/>
      <c r="EG59310"/>
      <c r="EH59310"/>
      <c r="EI59310"/>
      <c r="EJ59310"/>
      <c r="EK59310"/>
    </row>
    <row r="59311" spans="1:141" s="116" customFormat="1">
      <c r="A59311" s="136"/>
      <c r="CM59311" s="111"/>
      <c r="CQ59311" s="111"/>
      <c r="EF59311"/>
      <c r="EG59311"/>
      <c r="EH59311"/>
      <c r="EI59311"/>
      <c r="EJ59311"/>
      <c r="EK59311"/>
    </row>
    <row r="59312" spans="1:141" s="116" customFormat="1">
      <c r="A59312" s="136"/>
      <c r="CM59312" s="111"/>
      <c r="CQ59312" s="111"/>
      <c r="EF59312"/>
      <c r="EG59312"/>
      <c r="EH59312"/>
      <c r="EI59312"/>
      <c r="EJ59312"/>
      <c r="EK59312"/>
    </row>
    <row r="59313" spans="1:141" s="116" customFormat="1">
      <c r="A59313" s="136"/>
      <c r="CM59313" s="111"/>
      <c r="CQ59313" s="111"/>
      <c r="EF59313"/>
      <c r="EG59313"/>
      <c r="EH59313"/>
      <c r="EI59313"/>
      <c r="EJ59313"/>
      <c r="EK59313"/>
    </row>
    <row r="59314" spans="1:141" s="116" customFormat="1">
      <c r="A59314" s="136"/>
      <c r="CM59314" s="111"/>
      <c r="CQ59314" s="111"/>
      <c r="EF59314"/>
      <c r="EG59314"/>
      <c r="EH59314"/>
      <c r="EI59314"/>
      <c r="EJ59314"/>
      <c r="EK59314"/>
    </row>
    <row r="59315" spans="1:141" s="116" customFormat="1">
      <c r="A59315" s="136"/>
      <c r="CM59315" s="111"/>
      <c r="CQ59315" s="111"/>
      <c r="EF59315"/>
      <c r="EG59315"/>
      <c r="EH59315"/>
      <c r="EI59315"/>
      <c r="EJ59315"/>
      <c r="EK59315"/>
    </row>
    <row r="59316" spans="1:141" s="116" customFormat="1">
      <c r="A59316" s="136"/>
      <c r="CM59316" s="111"/>
      <c r="CQ59316" s="111"/>
      <c r="EF59316"/>
      <c r="EG59316"/>
      <c r="EH59316"/>
      <c r="EI59316"/>
      <c r="EJ59316"/>
      <c r="EK59316"/>
    </row>
    <row r="59317" spans="1:141" s="116" customFormat="1">
      <c r="A59317" s="136"/>
      <c r="CM59317" s="111"/>
      <c r="CQ59317" s="111"/>
      <c r="EF59317"/>
      <c r="EG59317"/>
      <c r="EH59317"/>
      <c r="EI59317"/>
      <c r="EJ59317"/>
      <c r="EK59317"/>
    </row>
    <row r="59318" spans="1:141" s="116" customFormat="1">
      <c r="A59318" s="136"/>
      <c r="CM59318" s="111"/>
      <c r="CQ59318" s="111"/>
      <c r="EF59318"/>
      <c r="EG59318"/>
      <c r="EH59318"/>
      <c r="EI59318"/>
      <c r="EJ59318"/>
      <c r="EK59318"/>
    </row>
    <row r="59319" spans="1:141" s="116" customFormat="1">
      <c r="A59319" s="136"/>
      <c r="CM59319" s="111"/>
      <c r="CQ59319" s="111"/>
      <c r="EF59319"/>
      <c r="EG59319"/>
      <c r="EH59319"/>
      <c r="EI59319"/>
      <c r="EJ59319"/>
      <c r="EK59319"/>
    </row>
    <row r="59320" spans="1:141" s="116" customFormat="1">
      <c r="A59320" s="136"/>
      <c r="CM59320" s="111"/>
      <c r="CQ59320" s="111"/>
      <c r="EF59320"/>
      <c r="EG59320"/>
      <c r="EH59320"/>
      <c r="EI59320"/>
      <c r="EJ59320"/>
      <c r="EK59320"/>
    </row>
    <row r="59321" spans="1:141" s="116" customFormat="1">
      <c r="A59321" s="136"/>
      <c r="CM59321" s="111"/>
      <c r="CQ59321" s="111"/>
      <c r="EF59321"/>
      <c r="EG59321"/>
      <c r="EH59321"/>
      <c r="EI59321"/>
      <c r="EJ59321"/>
      <c r="EK59321"/>
    </row>
    <row r="59322" spans="1:141" s="116" customFormat="1">
      <c r="A59322" s="136"/>
      <c r="CM59322" s="111"/>
      <c r="CQ59322" s="111"/>
      <c r="EF59322"/>
      <c r="EG59322"/>
      <c r="EH59322"/>
      <c r="EI59322"/>
      <c r="EJ59322"/>
      <c r="EK59322"/>
    </row>
    <row r="59323" spans="1:141" s="116" customFormat="1">
      <c r="A59323" s="136"/>
      <c r="CM59323" s="111"/>
      <c r="CQ59323" s="111"/>
      <c r="EF59323"/>
      <c r="EG59323"/>
      <c r="EH59323"/>
      <c r="EI59323"/>
      <c r="EJ59323"/>
      <c r="EK59323"/>
    </row>
    <row r="59324" spans="1:141" s="116" customFormat="1">
      <c r="A59324" s="136"/>
      <c r="CM59324" s="111"/>
      <c r="CQ59324" s="111"/>
      <c r="EF59324"/>
      <c r="EG59324"/>
      <c r="EH59324"/>
      <c r="EI59324"/>
      <c r="EJ59324"/>
      <c r="EK59324"/>
    </row>
    <row r="59325" spans="1:141" s="116" customFormat="1">
      <c r="A59325" s="136"/>
      <c r="CM59325" s="111"/>
      <c r="CQ59325" s="111"/>
      <c r="EF59325"/>
      <c r="EG59325"/>
      <c r="EH59325"/>
      <c r="EI59325"/>
      <c r="EJ59325"/>
      <c r="EK59325"/>
    </row>
    <row r="59326" spans="1:141" s="116" customFormat="1">
      <c r="A59326" s="136"/>
      <c r="CM59326" s="111"/>
      <c r="CQ59326" s="111"/>
      <c r="EF59326"/>
      <c r="EG59326"/>
      <c r="EH59326"/>
      <c r="EI59326"/>
      <c r="EJ59326"/>
      <c r="EK59326"/>
    </row>
    <row r="59327" spans="1:141" s="116" customFormat="1">
      <c r="A59327" s="136"/>
      <c r="CM59327" s="111"/>
      <c r="CQ59327" s="111"/>
      <c r="EF59327"/>
      <c r="EG59327"/>
      <c r="EH59327"/>
      <c r="EI59327"/>
      <c r="EJ59327"/>
      <c r="EK59327"/>
    </row>
    <row r="59328" spans="1:141" s="116" customFormat="1">
      <c r="A59328" s="136"/>
      <c r="CM59328" s="111"/>
      <c r="CQ59328" s="111"/>
      <c r="EF59328"/>
      <c r="EG59328"/>
      <c r="EH59328"/>
      <c r="EI59328"/>
      <c r="EJ59328"/>
      <c r="EK59328"/>
    </row>
    <row r="59329" spans="1:141" s="116" customFormat="1">
      <c r="A59329" s="136"/>
      <c r="CM59329" s="111"/>
      <c r="CQ59329" s="111"/>
      <c r="EF59329"/>
      <c r="EG59329"/>
      <c r="EH59329"/>
      <c r="EI59329"/>
      <c r="EJ59329"/>
      <c r="EK59329"/>
    </row>
    <row r="59330" spans="1:141" s="116" customFormat="1">
      <c r="A59330" s="136"/>
      <c r="CM59330" s="111"/>
      <c r="CQ59330" s="111"/>
      <c r="EF59330"/>
      <c r="EG59330"/>
      <c r="EH59330"/>
      <c r="EI59330"/>
      <c r="EJ59330"/>
      <c r="EK59330"/>
    </row>
    <row r="59331" spans="1:141" s="116" customFormat="1">
      <c r="A59331" s="136"/>
      <c r="CM59331" s="111"/>
      <c r="CQ59331" s="111"/>
      <c r="EF59331"/>
      <c r="EG59331"/>
      <c r="EH59331"/>
      <c r="EI59331"/>
      <c r="EJ59331"/>
      <c r="EK59331"/>
    </row>
    <row r="59332" spans="1:141" s="116" customFormat="1">
      <c r="A59332" s="136"/>
      <c r="CM59332" s="111"/>
      <c r="CQ59332" s="111"/>
      <c r="EF59332"/>
      <c r="EG59332"/>
      <c r="EH59332"/>
      <c r="EI59332"/>
      <c r="EJ59332"/>
      <c r="EK59332"/>
    </row>
    <row r="59333" spans="1:141" s="116" customFormat="1">
      <c r="A59333" s="136"/>
      <c r="CM59333" s="111"/>
      <c r="CQ59333" s="111"/>
      <c r="EF59333"/>
      <c r="EG59333"/>
      <c r="EH59333"/>
      <c r="EI59333"/>
      <c r="EJ59333"/>
      <c r="EK59333"/>
    </row>
    <row r="59334" spans="1:141" s="116" customFormat="1">
      <c r="A59334" s="136"/>
      <c r="CM59334" s="111"/>
      <c r="CQ59334" s="111"/>
      <c r="EF59334"/>
      <c r="EG59334"/>
      <c r="EH59334"/>
      <c r="EI59334"/>
      <c r="EJ59334"/>
      <c r="EK59334"/>
    </row>
    <row r="59335" spans="1:141" s="116" customFormat="1">
      <c r="A59335" s="136"/>
      <c r="CM59335" s="111"/>
      <c r="CQ59335" s="111"/>
      <c r="EF59335"/>
      <c r="EG59335"/>
      <c r="EH59335"/>
      <c r="EI59335"/>
      <c r="EJ59335"/>
      <c r="EK59335"/>
    </row>
    <row r="59336" spans="1:141" s="116" customFormat="1">
      <c r="A59336" s="136"/>
      <c r="CM59336" s="111"/>
      <c r="CQ59336" s="111"/>
      <c r="EF59336"/>
      <c r="EG59336"/>
      <c r="EH59336"/>
      <c r="EI59336"/>
      <c r="EJ59336"/>
      <c r="EK59336"/>
    </row>
    <row r="59337" spans="1:141" s="116" customFormat="1">
      <c r="A59337" s="136"/>
      <c r="CM59337" s="111"/>
      <c r="CQ59337" s="111"/>
      <c r="EF59337"/>
      <c r="EG59337"/>
      <c r="EH59337"/>
      <c r="EI59337"/>
      <c r="EJ59337"/>
      <c r="EK59337"/>
    </row>
    <row r="59338" spans="1:141" s="116" customFormat="1">
      <c r="A59338" s="136"/>
      <c r="CM59338" s="111"/>
      <c r="CQ59338" s="111"/>
      <c r="EF59338"/>
      <c r="EG59338"/>
      <c r="EH59338"/>
      <c r="EI59338"/>
      <c r="EJ59338"/>
      <c r="EK59338"/>
    </row>
    <row r="59339" spans="1:141" s="116" customFormat="1">
      <c r="A59339" s="136"/>
      <c r="CM59339" s="111"/>
      <c r="CQ59339" s="111"/>
      <c r="EF59339"/>
      <c r="EG59339"/>
      <c r="EH59339"/>
      <c r="EI59339"/>
      <c r="EJ59339"/>
      <c r="EK59339"/>
    </row>
    <row r="59340" spans="1:141" s="116" customFormat="1">
      <c r="A59340" s="136"/>
      <c r="CM59340" s="111"/>
      <c r="CQ59340" s="111"/>
      <c r="EF59340"/>
      <c r="EG59340"/>
      <c r="EH59340"/>
      <c r="EI59340"/>
      <c r="EJ59340"/>
      <c r="EK59340"/>
    </row>
    <row r="59341" spans="1:141" s="116" customFormat="1">
      <c r="A59341" s="136"/>
      <c r="CM59341" s="111"/>
      <c r="CQ59341" s="111"/>
      <c r="EF59341"/>
      <c r="EG59341"/>
      <c r="EH59341"/>
      <c r="EI59341"/>
      <c r="EJ59341"/>
      <c r="EK59341"/>
    </row>
    <row r="59342" spans="1:141" s="116" customFormat="1">
      <c r="A59342" s="136"/>
      <c r="CM59342" s="111"/>
      <c r="CQ59342" s="111"/>
      <c r="EF59342"/>
      <c r="EG59342"/>
      <c r="EH59342"/>
      <c r="EI59342"/>
      <c r="EJ59342"/>
      <c r="EK59342"/>
    </row>
    <row r="59343" spans="1:141" s="116" customFormat="1">
      <c r="A59343" s="136"/>
      <c r="CM59343" s="111"/>
      <c r="CQ59343" s="111"/>
      <c r="EF59343"/>
      <c r="EG59343"/>
      <c r="EH59343"/>
      <c r="EI59343"/>
      <c r="EJ59343"/>
      <c r="EK59343"/>
    </row>
    <row r="59344" spans="1:141" s="116" customFormat="1">
      <c r="A59344" s="136"/>
      <c r="CM59344" s="111"/>
      <c r="CQ59344" s="111"/>
      <c r="EF59344"/>
      <c r="EG59344"/>
      <c r="EH59344"/>
      <c r="EI59344"/>
      <c r="EJ59344"/>
      <c r="EK59344"/>
    </row>
    <row r="59345" spans="1:141" s="116" customFormat="1">
      <c r="A59345" s="136"/>
      <c r="CM59345" s="111"/>
      <c r="CQ59345" s="111"/>
      <c r="EF59345"/>
      <c r="EG59345"/>
      <c r="EH59345"/>
      <c r="EI59345"/>
      <c r="EJ59345"/>
      <c r="EK59345"/>
    </row>
    <row r="59346" spans="1:141" s="116" customFormat="1">
      <c r="A59346" s="136"/>
      <c r="CM59346" s="111"/>
      <c r="CQ59346" s="111"/>
      <c r="EF59346"/>
      <c r="EG59346"/>
      <c r="EH59346"/>
      <c r="EI59346"/>
      <c r="EJ59346"/>
      <c r="EK59346"/>
    </row>
    <row r="59347" spans="1:141" s="116" customFormat="1">
      <c r="A59347" s="136"/>
      <c r="CM59347" s="111"/>
      <c r="CQ59347" s="111"/>
      <c r="EF59347"/>
      <c r="EG59347"/>
      <c r="EH59347"/>
      <c r="EI59347"/>
      <c r="EJ59347"/>
      <c r="EK59347"/>
    </row>
    <row r="59348" spans="1:141" s="116" customFormat="1">
      <c r="A59348" s="136"/>
      <c r="CM59348" s="111"/>
      <c r="CQ59348" s="111"/>
      <c r="EF59348"/>
      <c r="EG59348"/>
      <c r="EH59348"/>
      <c r="EI59348"/>
      <c r="EJ59348"/>
      <c r="EK59348"/>
    </row>
    <row r="59349" spans="1:141" s="116" customFormat="1">
      <c r="A59349" s="136"/>
      <c r="CM59349" s="111"/>
      <c r="CQ59349" s="111"/>
      <c r="EF59349"/>
      <c r="EG59349"/>
      <c r="EH59349"/>
      <c r="EI59349"/>
      <c r="EJ59349"/>
      <c r="EK59349"/>
    </row>
    <row r="59350" spans="1:141" s="116" customFormat="1">
      <c r="A59350" s="136"/>
      <c r="CM59350" s="111"/>
      <c r="CQ59350" s="111"/>
      <c r="EF59350"/>
      <c r="EG59350"/>
      <c r="EH59350"/>
      <c r="EI59350"/>
      <c r="EJ59350"/>
      <c r="EK59350"/>
    </row>
    <row r="59351" spans="1:141" s="116" customFormat="1">
      <c r="A59351" s="136"/>
      <c r="CM59351" s="111"/>
      <c r="CQ59351" s="111"/>
      <c r="EF59351"/>
      <c r="EG59351"/>
      <c r="EH59351"/>
      <c r="EI59351"/>
      <c r="EJ59351"/>
      <c r="EK59351"/>
    </row>
    <row r="59352" spans="1:141" s="116" customFormat="1">
      <c r="A59352" s="136"/>
      <c r="CM59352" s="111"/>
      <c r="CQ59352" s="111"/>
      <c r="EF59352"/>
      <c r="EG59352"/>
      <c r="EH59352"/>
      <c r="EI59352"/>
      <c r="EJ59352"/>
      <c r="EK59352"/>
    </row>
    <row r="59353" spans="1:141" s="116" customFormat="1">
      <c r="A59353" s="136"/>
      <c r="CM59353" s="111"/>
      <c r="CQ59353" s="111"/>
      <c r="EF59353"/>
      <c r="EG59353"/>
      <c r="EH59353"/>
      <c r="EI59353"/>
      <c r="EJ59353"/>
      <c r="EK59353"/>
    </row>
    <row r="59354" spans="1:141" s="116" customFormat="1">
      <c r="A59354" s="136"/>
      <c r="CM59354" s="111"/>
      <c r="CQ59354" s="111"/>
      <c r="EF59354"/>
      <c r="EG59354"/>
      <c r="EH59354"/>
      <c r="EI59354"/>
      <c r="EJ59354"/>
      <c r="EK59354"/>
    </row>
    <row r="59355" spans="1:141" s="116" customFormat="1">
      <c r="A59355" s="136"/>
      <c r="CM59355" s="111"/>
      <c r="CQ59355" s="111"/>
      <c r="EF59355"/>
      <c r="EG59355"/>
      <c r="EH59355"/>
      <c r="EI59355"/>
      <c r="EJ59355"/>
      <c r="EK59355"/>
    </row>
    <row r="59356" spans="1:141" s="116" customFormat="1">
      <c r="A59356" s="136"/>
      <c r="CM59356" s="111"/>
      <c r="CQ59356" s="111"/>
      <c r="EF59356"/>
      <c r="EG59356"/>
      <c r="EH59356"/>
      <c r="EI59356"/>
      <c r="EJ59356"/>
      <c r="EK59356"/>
    </row>
    <row r="59357" spans="1:141" s="116" customFormat="1">
      <c r="A59357" s="136"/>
      <c r="CM59357" s="111"/>
      <c r="CQ59357" s="111"/>
      <c r="EF59357"/>
      <c r="EG59357"/>
      <c r="EH59357"/>
      <c r="EI59357"/>
      <c r="EJ59357"/>
      <c r="EK59357"/>
    </row>
    <row r="59358" spans="1:141" s="116" customFormat="1">
      <c r="A59358" s="136"/>
      <c r="CM59358" s="111"/>
      <c r="CQ59358" s="111"/>
      <c r="EF59358"/>
      <c r="EG59358"/>
      <c r="EH59358"/>
      <c r="EI59358"/>
      <c r="EJ59358"/>
      <c r="EK59358"/>
    </row>
    <row r="59359" spans="1:141" s="116" customFormat="1">
      <c r="A59359" s="136"/>
      <c r="CM59359" s="111"/>
      <c r="CQ59359" s="111"/>
      <c r="EF59359"/>
      <c r="EG59359"/>
      <c r="EH59359"/>
      <c r="EI59359"/>
      <c r="EJ59359"/>
      <c r="EK59359"/>
    </row>
    <row r="59360" spans="1:141" s="116" customFormat="1">
      <c r="A59360" s="136"/>
      <c r="CM59360" s="111"/>
      <c r="CQ59360" s="111"/>
      <c r="EF59360"/>
      <c r="EG59360"/>
      <c r="EH59360"/>
      <c r="EI59360"/>
      <c r="EJ59360"/>
      <c r="EK59360"/>
    </row>
    <row r="59361" spans="1:141" s="116" customFormat="1">
      <c r="A59361" s="136"/>
      <c r="CM59361" s="111"/>
      <c r="CQ59361" s="111"/>
      <c r="EF59361"/>
      <c r="EG59361"/>
      <c r="EH59361"/>
      <c r="EI59361"/>
      <c r="EJ59361"/>
      <c r="EK59361"/>
    </row>
    <row r="59362" spans="1:141" s="116" customFormat="1">
      <c r="A59362" s="136"/>
      <c r="CM59362" s="111"/>
      <c r="CQ59362" s="111"/>
      <c r="EF59362"/>
      <c r="EG59362"/>
      <c r="EH59362"/>
      <c r="EI59362"/>
      <c r="EJ59362"/>
      <c r="EK59362"/>
    </row>
    <row r="59363" spans="1:141" s="116" customFormat="1">
      <c r="A59363" s="136"/>
      <c r="CM59363" s="111"/>
      <c r="CQ59363" s="111"/>
      <c r="EF59363"/>
      <c r="EG59363"/>
      <c r="EH59363"/>
      <c r="EI59363"/>
      <c r="EJ59363"/>
      <c r="EK59363"/>
    </row>
    <row r="59364" spans="1:141" s="116" customFormat="1">
      <c r="A59364" s="136"/>
      <c r="CM59364" s="111"/>
      <c r="CQ59364" s="111"/>
      <c r="EF59364"/>
      <c r="EG59364"/>
      <c r="EH59364"/>
      <c r="EI59364"/>
      <c r="EJ59364"/>
      <c r="EK59364"/>
    </row>
    <row r="59365" spans="1:141" s="116" customFormat="1">
      <c r="A59365" s="136"/>
      <c r="CM59365" s="111"/>
      <c r="CQ59365" s="111"/>
      <c r="EF59365"/>
      <c r="EG59365"/>
      <c r="EH59365"/>
      <c r="EI59365"/>
      <c r="EJ59365"/>
      <c r="EK59365"/>
    </row>
    <row r="59366" spans="1:141" s="116" customFormat="1">
      <c r="A59366" s="136"/>
      <c r="CM59366" s="111"/>
      <c r="CQ59366" s="111"/>
      <c r="EF59366"/>
      <c r="EG59366"/>
      <c r="EH59366"/>
      <c r="EI59366"/>
      <c r="EJ59366"/>
      <c r="EK59366"/>
    </row>
    <row r="59367" spans="1:141" s="116" customFormat="1">
      <c r="A59367" s="136"/>
      <c r="CM59367" s="111"/>
      <c r="CQ59367" s="111"/>
      <c r="EF59367"/>
      <c r="EG59367"/>
      <c r="EH59367"/>
      <c r="EI59367"/>
      <c r="EJ59367"/>
      <c r="EK59367"/>
    </row>
    <row r="59368" spans="1:141" s="116" customFormat="1">
      <c r="A59368" s="136"/>
      <c r="CM59368" s="111"/>
      <c r="CQ59368" s="111"/>
      <c r="EF59368"/>
      <c r="EG59368"/>
      <c r="EH59368"/>
      <c r="EI59368"/>
      <c r="EJ59368"/>
      <c r="EK59368"/>
    </row>
    <row r="59369" spans="1:141" s="116" customFormat="1">
      <c r="A59369" s="136"/>
      <c r="CM59369" s="111"/>
      <c r="CQ59369" s="111"/>
      <c r="EF59369"/>
      <c r="EG59369"/>
      <c r="EH59369"/>
      <c r="EI59369"/>
      <c r="EJ59369"/>
      <c r="EK59369"/>
    </row>
    <row r="59370" spans="1:141" s="116" customFormat="1">
      <c r="A59370" s="136"/>
      <c r="CM59370" s="111"/>
      <c r="CQ59370" s="111"/>
      <c r="EF59370"/>
      <c r="EG59370"/>
      <c r="EH59370"/>
      <c r="EI59370"/>
      <c r="EJ59370"/>
      <c r="EK59370"/>
    </row>
    <row r="59371" spans="1:141" s="116" customFormat="1">
      <c r="A59371" s="136"/>
      <c r="CM59371" s="111"/>
      <c r="CQ59371" s="111"/>
      <c r="EF59371"/>
      <c r="EG59371"/>
      <c r="EH59371"/>
      <c r="EI59371"/>
      <c r="EJ59371"/>
      <c r="EK59371"/>
    </row>
    <row r="59372" spans="1:141" s="116" customFormat="1">
      <c r="A59372" s="136"/>
      <c r="CM59372" s="111"/>
      <c r="CQ59372" s="111"/>
      <c r="EF59372"/>
      <c r="EG59372"/>
      <c r="EH59372"/>
      <c r="EI59372"/>
      <c r="EJ59372"/>
      <c r="EK59372"/>
    </row>
    <row r="59373" spans="1:141" s="116" customFormat="1">
      <c r="A59373" s="136"/>
      <c r="CM59373" s="111"/>
      <c r="CQ59373" s="111"/>
      <c r="EF59373"/>
      <c r="EG59373"/>
      <c r="EH59373"/>
      <c r="EI59373"/>
      <c r="EJ59373"/>
      <c r="EK59373"/>
    </row>
    <row r="59374" spans="1:141" s="116" customFormat="1">
      <c r="A59374" s="136"/>
      <c r="CM59374" s="111"/>
      <c r="CQ59374" s="111"/>
      <c r="EF59374"/>
      <c r="EG59374"/>
      <c r="EH59374"/>
      <c r="EI59374"/>
      <c r="EJ59374"/>
      <c r="EK59374"/>
    </row>
    <row r="59375" spans="1:141" s="116" customFormat="1">
      <c r="A59375" s="136"/>
      <c r="CM59375" s="111"/>
      <c r="CQ59375" s="111"/>
      <c r="EF59375"/>
      <c r="EG59375"/>
      <c r="EH59375"/>
      <c r="EI59375"/>
      <c r="EJ59375"/>
      <c r="EK59375"/>
    </row>
    <row r="59376" spans="1:141" s="116" customFormat="1">
      <c r="A59376" s="136"/>
      <c r="CM59376" s="111"/>
      <c r="CQ59376" s="111"/>
      <c r="EF59376"/>
      <c r="EG59376"/>
      <c r="EH59376"/>
      <c r="EI59376"/>
      <c r="EJ59376"/>
      <c r="EK59376"/>
    </row>
    <row r="59377" spans="1:141" s="116" customFormat="1">
      <c r="A59377" s="136"/>
      <c r="CM59377" s="111"/>
      <c r="CQ59377" s="111"/>
      <c r="EF59377"/>
      <c r="EG59377"/>
      <c r="EH59377"/>
      <c r="EI59377"/>
      <c r="EJ59377"/>
      <c r="EK59377"/>
    </row>
    <row r="59378" spans="1:141" s="116" customFormat="1">
      <c r="A59378" s="136"/>
      <c r="CM59378" s="111"/>
      <c r="CQ59378" s="111"/>
      <c r="EF59378"/>
      <c r="EG59378"/>
      <c r="EH59378"/>
      <c r="EI59378"/>
      <c r="EJ59378"/>
      <c r="EK59378"/>
    </row>
    <row r="59379" spans="1:141" s="116" customFormat="1">
      <c r="A59379" s="136"/>
      <c r="CM59379" s="111"/>
      <c r="CQ59379" s="111"/>
      <c r="EF59379"/>
      <c r="EG59379"/>
      <c r="EH59379"/>
      <c r="EI59379"/>
      <c r="EJ59379"/>
      <c r="EK59379"/>
    </row>
    <row r="59380" spans="1:141" s="116" customFormat="1">
      <c r="A59380" s="136"/>
      <c r="CM59380" s="111"/>
      <c r="CQ59380" s="111"/>
      <c r="EF59380"/>
      <c r="EG59380"/>
      <c r="EH59380"/>
      <c r="EI59380"/>
      <c r="EJ59380"/>
      <c r="EK59380"/>
    </row>
    <row r="59381" spans="1:141" s="116" customFormat="1">
      <c r="A59381" s="136"/>
      <c r="CM59381" s="111"/>
      <c r="CQ59381" s="111"/>
      <c r="EF59381"/>
      <c r="EG59381"/>
      <c r="EH59381"/>
      <c r="EI59381"/>
      <c r="EJ59381"/>
      <c r="EK59381"/>
    </row>
    <row r="59382" spans="1:141" s="116" customFormat="1">
      <c r="A59382" s="136"/>
      <c r="CM59382" s="111"/>
      <c r="CQ59382" s="111"/>
      <c r="EF59382"/>
      <c r="EG59382"/>
      <c r="EH59382"/>
      <c r="EI59382"/>
      <c r="EJ59382"/>
      <c r="EK59382"/>
    </row>
    <row r="59383" spans="1:141" s="116" customFormat="1">
      <c r="A59383" s="136"/>
      <c r="CM59383" s="111"/>
      <c r="CQ59383" s="111"/>
      <c r="EF59383"/>
      <c r="EG59383"/>
      <c r="EH59383"/>
      <c r="EI59383"/>
      <c r="EJ59383"/>
      <c r="EK59383"/>
    </row>
    <row r="59384" spans="1:141" s="116" customFormat="1">
      <c r="A59384" s="136"/>
      <c r="CM59384" s="111"/>
      <c r="CQ59384" s="111"/>
      <c r="EF59384"/>
      <c r="EG59384"/>
      <c r="EH59384"/>
      <c r="EI59384"/>
      <c r="EJ59384"/>
      <c r="EK59384"/>
    </row>
    <row r="59385" spans="1:141" s="116" customFormat="1">
      <c r="A59385" s="136"/>
      <c r="CM59385" s="111"/>
      <c r="CQ59385" s="111"/>
      <c r="EF59385"/>
      <c r="EG59385"/>
      <c r="EH59385"/>
      <c r="EI59385"/>
      <c r="EJ59385"/>
      <c r="EK59385"/>
    </row>
    <row r="59386" spans="1:141" s="116" customFormat="1">
      <c r="A59386" s="136"/>
      <c r="CM59386" s="111"/>
      <c r="CQ59386" s="111"/>
      <c r="EF59386"/>
      <c r="EG59386"/>
      <c r="EH59386"/>
      <c r="EI59386"/>
      <c r="EJ59386"/>
      <c r="EK59386"/>
    </row>
    <row r="59387" spans="1:141" s="116" customFormat="1">
      <c r="A59387" s="136"/>
      <c r="CM59387" s="111"/>
      <c r="CQ59387" s="111"/>
      <c r="EF59387"/>
      <c r="EG59387"/>
      <c r="EH59387"/>
      <c r="EI59387"/>
      <c r="EJ59387"/>
      <c r="EK59387"/>
    </row>
    <row r="59388" spans="1:141" s="116" customFormat="1">
      <c r="A59388" s="136"/>
      <c r="CM59388" s="111"/>
      <c r="CQ59388" s="111"/>
      <c r="EF59388"/>
      <c r="EG59388"/>
      <c r="EH59388"/>
      <c r="EI59388"/>
      <c r="EJ59388"/>
      <c r="EK59388"/>
    </row>
    <row r="59389" spans="1:141" s="116" customFormat="1">
      <c r="A59389" s="136"/>
      <c r="CM59389" s="111"/>
      <c r="CQ59389" s="111"/>
      <c r="EF59389"/>
      <c r="EG59389"/>
      <c r="EH59389"/>
      <c r="EI59389"/>
      <c r="EJ59389"/>
      <c r="EK59389"/>
    </row>
    <row r="59390" spans="1:141" s="116" customFormat="1">
      <c r="A59390" s="136"/>
      <c r="CM59390" s="111"/>
      <c r="CQ59390" s="111"/>
      <c r="EF59390"/>
      <c r="EG59390"/>
      <c r="EH59390"/>
      <c r="EI59390"/>
      <c r="EJ59390"/>
      <c r="EK59390"/>
    </row>
    <row r="59391" spans="1:141" s="116" customFormat="1">
      <c r="A59391" s="136"/>
      <c r="CM59391" s="111"/>
      <c r="CQ59391" s="111"/>
      <c r="EF59391"/>
      <c r="EG59391"/>
      <c r="EH59391"/>
      <c r="EI59391"/>
      <c r="EJ59391"/>
      <c r="EK59391"/>
    </row>
    <row r="59392" spans="1:141" s="116" customFormat="1">
      <c r="A59392" s="136"/>
      <c r="CM59392" s="111"/>
      <c r="CQ59392" s="111"/>
      <c r="EF59392"/>
      <c r="EG59392"/>
      <c r="EH59392"/>
      <c r="EI59392"/>
      <c r="EJ59392"/>
      <c r="EK59392"/>
    </row>
    <row r="59393" spans="1:141" s="116" customFormat="1">
      <c r="A59393" s="136"/>
      <c r="CM59393" s="111"/>
      <c r="CQ59393" s="111"/>
      <c r="EF59393"/>
      <c r="EG59393"/>
      <c r="EH59393"/>
      <c r="EI59393"/>
      <c r="EJ59393"/>
      <c r="EK59393"/>
    </row>
    <row r="59394" spans="1:141" s="116" customFormat="1">
      <c r="A59394" s="136"/>
      <c r="CM59394" s="111"/>
      <c r="CQ59394" s="111"/>
      <c r="EF59394"/>
      <c r="EG59394"/>
      <c r="EH59394"/>
      <c r="EI59394"/>
      <c r="EJ59394"/>
      <c r="EK59394"/>
    </row>
    <row r="59395" spans="1:141" s="116" customFormat="1">
      <c r="A59395" s="136"/>
      <c r="CM59395" s="111"/>
      <c r="CQ59395" s="111"/>
      <c r="EF59395"/>
      <c r="EG59395"/>
      <c r="EH59395"/>
      <c r="EI59395"/>
      <c r="EJ59395"/>
      <c r="EK59395"/>
    </row>
    <row r="59396" spans="1:141" s="116" customFormat="1">
      <c r="A59396" s="136"/>
      <c r="CM59396" s="111"/>
      <c r="CQ59396" s="111"/>
      <c r="EF59396"/>
      <c r="EG59396"/>
      <c r="EH59396"/>
      <c r="EI59396"/>
      <c r="EJ59396"/>
      <c r="EK59396"/>
    </row>
    <row r="59397" spans="1:141" s="116" customFormat="1">
      <c r="A59397" s="136"/>
      <c r="CM59397" s="111"/>
      <c r="CQ59397" s="111"/>
      <c r="EF59397"/>
      <c r="EG59397"/>
      <c r="EH59397"/>
      <c r="EI59397"/>
      <c r="EJ59397"/>
      <c r="EK59397"/>
    </row>
    <row r="59398" spans="1:141" s="116" customFormat="1">
      <c r="A59398" s="136"/>
      <c r="CM59398" s="111"/>
      <c r="CQ59398" s="111"/>
      <c r="EF59398"/>
      <c r="EG59398"/>
      <c r="EH59398"/>
      <c r="EI59398"/>
      <c r="EJ59398"/>
      <c r="EK59398"/>
    </row>
    <row r="59399" spans="1:141" s="116" customFormat="1">
      <c r="A59399" s="136"/>
      <c r="CM59399" s="111"/>
      <c r="CQ59399" s="111"/>
      <c r="EF59399"/>
      <c r="EG59399"/>
      <c r="EH59399"/>
      <c r="EI59399"/>
      <c r="EJ59399"/>
      <c r="EK59399"/>
    </row>
    <row r="59400" spans="1:141" s="116" customFormat="1">
      <c r="A59400" s="136"/>
      <c r="CM59400" s="111"/>
      <c r="CQ59400" s="111"/>
      <c r="EF59400"/>
      <c r="EG59400"/>
      <c r="EH59400"/>
      <c r="EI59400"/>
      <c r="EJ59400"/>
      <c r="EK59400"/>
    </row>
    <row r="59401" spans="1:141" s="116" customFormat="1">
      <c r="A59401" s="136"/>
      <c r="CM59401" s="111"/>
      <c r="CQ59401" s="111"/>
      <c r="EF59401"/>
      <c r="EG59401"/>
      <c r="EH59401"/>
      <c r="EI59401"/>
      <c r="EJ59401"/>
      <c r="EK59401"/>
    </row>
    <row r="59402" spans="1:141" s="116" customFormat="1">
      <c r="A59402" s="136"/>
      <c r="CM59402" s="111"/>
      <c r="CQ59402" s="111"/>
      <c r="EF59402"/>
      <c r="EG59402"/>
      <c r="EH59402"/>
      <c r="EI59402"/>
      <c r="EJ59402"/>
      <c r="EK59402"/>
    </row>
    <row r="59403" spans="1:141" s="116" customFormat="1">
      <c r="A59403" s="136"/>
      <c r="CM59403" s="111"/>
      <c r="CQ59403" s="111"/>
      <c r="EF59403"/>
      <c r="EG59403"/>
      <c r="EH59403"/>
      <c r="EI59403"/>
      <c r="EJ59403"/>
      <c r="EK59403"/>
    </row>
    <row r="59404" spans="1:141" s="116" customFormat="1">
      <c r="A59404" s="136"/>
      <c r="CM59404" s="111"/>
      <c r="CQ59404" s="111"/>
      <c r="EF59404"/>
      <c r="EG59404"/>
      <c r="EH59404"/>
      <c r="EI59404"/>
      <c r="EJ59404"/>
      <c r="EK59404"/>
    </row>
    <row r="59405" spans="1:141" s="116" customFormat="1">
      <c r="A59405" s="136"/>
      <c r="CM59405" s="111"/>
      <c r="CQ59405" s="111"/>
      <c r="EF59405"/>
      <c r="EG59405"/>
      <c r="EH59405"/>
      <c r="EI59405"/>
      <c r="EJ59405"/>
      <c r="EK59405"/>
    </row>
    <row r="59406" spans="1:141" s="116" customFormat="1">
      <c r="A59406" s="136"/>
      <c r="CM59406" s="111"/>
      <c r="CQ59406" s="111"/>
      <c r="EF59406"/>
      <c r="EG59406"/>
      <c r="EH59406"/>
      <c r="EI59406"/>
      <c r="EJ59406"/>
      <c r="EK59406"/>
    </row>
    <row r="59407" spans="1:141" s="116" customFormat="1">
      <c r="A59407" s="136"/>
      <c r="CM59407" s="111"/>
      <c r="CQ59407" s="111"/>
      <c r="EF59407"/>
      <c r="EG59407"/>
      <c r="EH59407"/>
      <c r="EI59407"/>
      <c r="EJ59407"/>
      <c r="EK59407"/>
    </row>
    <row r="59408" spans="1:141" s="116" customFormat="1">
      <c r="A59408" s="136"/>
      <c r="CM59408" s="111"/>
      <c r="CQ59408" s="111"/>
      <c r="EF59408"/>
      <c r="EG59408"/>
      <c r="EH59408"/>
      <c r="EI59408"/>
      <c r="EJ59408"/>
      <c r="EK59408"/>
    </row>
    <row r="59409" spans="1:141" s="116" customFormat="1">
      <c r="A59409" s="136"/>
      <c r="CM59409" s="111"/>
      <c r="CQ59409" s="111"/>
      <c r="EF59409"/>
      <c r="EG59409"/>
      <c r="EH59409"/>
      <c r="EI59409"/>
      <c r="EJ59409"/>
      <c r="EK59409"/>
    </row>
    <row r="59410" spans="1:141" s="116" customFormat="1">
      <c r="A59410" s="136"/>
      <c r="CM59410" s="111"/>
      <c r="CQ59410" s="111"/>
      <c r="EF59410"/>
      <c r="EG59410"/>
      <c r="EH59410"/>
      <c r="EI59410"/>
      <c r="EJ59410"/>
      <c r="EK59410"/>
    </row>
    <row r="59411" spans="1:141" s="116" customFormat="1">
      <c r="A59411" s="136"/>
      <c r="CM59411" s="111"/>
      <c r="CQ59411" s="111"/>
      <c r="EF59411"/>
      <c r="EG59411"/>
      <c r="EH59411"/>
      <c r="EI59411"/>
      <c r="EJ59411"/>
      <c r="EK59411"/>
    </row>
    <row r="59412" spans="1:141" s="116" customFormat="1">
      <c r="A59412" s="136"/>
      <c r="CM59412" s="111"/>
      <c r="CQ59412" s="111"/>
      <c r="EF59412"/>
      <c r="EG59412"/>
      <c r="EH59412"/>
      <c r="EI59412"/>
      <c r="EJ59412"/>
      <c r="EK59412"/>
    </row>
    <row r="59413" spans="1:141" s="116" customFormat="1">
      <c r="A59413" s="136"/>
      <c r="CM59413" s="111"/>
      <c r="CQ59413" s="111"/>
      <c r="EF59413"/>
      <c r="EG59413"/>
      <c r="EH59413"/>
      <c r="EI59413"/>
      <c r="EJ59413"/>
      <c r="EK59413"/>
    </row>
    <row r="59414" spans="1:141" s="116" customFormat="1">
      <c r="A59414" s="136"/>
      <c r="CM59414" s="111"/>
      <c r="CQ59414" s="111"/>
      <c r="EF59414"/>
      <c r="EG59414"/>
      <c r="EH59414"/>
      <c r="EI59414"/>
      <c r="EJ59414"/>
      <c r="EK59414"/>
    </row>
    <row r="59415" spans="1:141" s="116" customFormat="1">
      <c r="A59415" s="136"/>
      <c r="CM59415" s="111"/>
      <c r="CQ59415" s="111"/>
      <c r="EF59415"/>
      <c r="EG59415"/>
      <c r="EH59415"/>
      <c r="EI59415"/>
      <c r="EJ59415"/>
      <c r="EK59415"/>
    </row>
    <row r="59416" spans="1:141" s="116" customFormat="1">
      <c r="A59416" s="136"/>
      <c r="CM59416" s="111"/>
      <c r="CQ59416" s="111"/>
      <c r="EF59416"/>
      <c r="EG59416"/>
      <c r="EH59416"/>
      <c r="EI59416"/>
      <c r="EJ59416"/>
      <c r="EK59416"/>
    </row>
    <row r="59417" spans="1:141" s="116" customFormat="1">
      <c r="A59417" s="136"/>
      <c r="CM59417" s="111"/>
      <c r="CQ59417" s="111"/>
      <c r="EF59417"/>
      <c r="EG59417"/>
      <c r="EH59417"/>
      <c r="EI59417"/>
      <c r="EJ59417"/>
      <c r="EK59417"/>
    </row>
    <row r="59418" spans="1:141" s="116" customFormat="1">
      <c r="A59418" s="136"/>
      <c r="CM59418" s="111"/>
      <c r="CQ59418" s="111"/>
      <c r="EF59418"/>
      <c r="EG59418"/>
      <c r="EH59418"/>
      <c r="EI59418"/>
      <c r="EJ59418"/>
      <c r="EK59418"/>
    </row>
    <row r="59419" spans="1:141" s="116" customFormat="1">
      <c r="A59419" s="136"/>
      <c r="CM59419" s="111"/>
      <c r="CQ59419" s="111"/>
      <c r="EF59419"/>
      <c r="EG59419"/>
      <c r="EH59419"/>
      <c r="EI59419"/>
      <c r="EJ59419"/>
      <c r="EK59419"/>
    </row>
    <row r="59420" spans="1:141" s="116" customFormat="1">
      <c r="A59420" s="136"/>
      <c r="CM59420" s="111"/>
      <c r="CQ59420" s="111"/>
      <c r="EF59420"/>
      <c r="EG59420"/>
      <c r="EH59420"/>
      <c r="EI59420"/>
      <c r="EJ59420"/>
      <c r="EK59420"/>
    </row>
    <row r="59421" spans="1:141" s="116" customFormat="1">
      <c r="A59421" s="136"/>
      <c r="CM59421" s="111"/>
      <c r="CQ59421" s="111"/>
      <c r="EF59421"/>
      <c r="EG59421"/>
      <c r="EH59421"/>
      <c r="EI59421"/>
      <c r="EJ59421"/>
      <c r="EK59421"/>
    </row>
    <row r="59422" spans="1:141" s="116" customFormat="1">
      <c r="A59422" s="136"/>
      <c r="CM59422" s="111"/>
      <c r="CQ59422" s="111"/>
      <c r="EF59422"/>
      <c r="EG59422"/>
      <c r="EH59422"/>
      <c r="EI59422"/>
      <c r="EJ59422"/>
      <c r="EK59422"/>
    </row>
    <row r="59423" spans="1:141" s="116" customFormat="1">
      <c r="A59423" s="136"/>
      <c r="CM59423" s="111"/>
      <c r="CQ59423" s="111"/>
      <c r="EF59423"/>
      <c r="EG59423"/>
      <c r="EH59423"/>
      <c r="EI59423"/>
      <c r="EJ59423"/>
      <c r="EK59423"/>
    </row>
    <row r="59424" spans="1:141" s="116" customFormat="1">
      <c r="A59424" s="136"/>
      <c r="CM59424" s="111"/>
      <c r="CQ59424" s="111"/>
      <c r="EF59424"/>
      <c r="EG59424"/>
      <c r="EH59424"/>
      <c r="EI59424"/>
      <c r="EJ59424"/>
      <c r="EK59424"/>
    </row>
    <row r="59425" spans="1:141" s="116" customFormat="1">
      <c r="A59425" s="136"/>
      <c r="CM59425" s="111"/>
      <c r="CQ59425" s="111"/>
      <c r="EF59425"/>
      <c r="EG59425"/>
      <c r="EH59425"/>
      <c r="EI59425"/>
      <c r="EJ59425"/>
      <c r="EK59425"/>
    </row>
    <row r="59426" spans="1:141" s="116" customFormat="1">
      <c r="A59426" s="136"/>
      <c r="CM59426" s="111"/>
      <c r="CQ59426" s="111"/>
      <c r="EF59426"/>
      <c r="EG59426"/>
      <c r="EH59426"/>
      <c r="EI59426"/>
      <c r="EJ59426"/>
      <c r="EK59426"/>
    </row>
    <row r="59427" spans="1:141" s="116" customFormat="1">
      <c r="A59427" s="136"/>
      <c r="CM59427" s="111"/>
      <c r="CQ59427" s="111"/>
      <c r="EF59427"/>
      <c r="EG59427"/>
      <c r="EH59427"/>
      <c r="EI59427"/>
      <c r="EJ59427"/>
      <c r="EK59427"/>
    </row>
    <row r="59428" spans="1:141" s="116" customFormat="1">
      <c r="A59428" s="136"/>
      <c r="CM59428" s="111"/>
      <c r="CQ59428" s="111"/>
      <c r="EF59428"/>
      <c r="EG59428"/>
      <c r="EH59428"/>
      <c r="EI59428"/>
      <c r="EJ59428"/>
      <c r="EK59428"/>
    </row>
    <row r="59429" spans="1:141" s="116" customFormat="1">
      <c r="A59429" s="136"/>
      <c r="CM59429" s="111"/>
      <c r="CQ59429" s="111"/>
      <c r="EF59429"/>
      <c r="EG59429"/>
      <c r="EH59429"/>
      <c r="EI59429"/>
      <c r="EJ59429"/>
      <c r="EK59429"/>
    </row>
    <row r="59430" spans="1:141" s="116" customFormat="1">
      <c r="A59430" s="136"/>
      <c r="CM59430" s="111"/>
      <c r="CQ59430" s="111"/>
      <c r="EF59430"/>
      <c r="EG59430"/>
      <c r="EH59430"/>
      <c r="EI59430"/>
      <c r="EJ59430"/>
      <c r="EK59430"/>
    </row>
    <row r="59431" spans="1:141" s="116" customFormat="1">
      <c r="A59431" s="136"/>
      <c r="CM59431" s="111"/>
      <c r="CQ59431" s="111"/>
      <c r="EF59431"/>
      <c r="EG59431"/>
      <c r="EH59431"/>
      <c r="EI59431"/>
      <c r="EJ59431"/>
      <c r="EK59431"/>
    </row>
    <row r="59432" spans="1:141" s="116" customFormat="1">
      <c r="A59432" s="136"/>
      <c r="CM59432" s="111"/>
      <c r="CQ59432" s="111"/>
      <c r="EF59432"/>
      <c r="EG59432"/>
      <c r="EH59432"/>
      <c r="EI59432"/>
      <c r="EJ59432"/>
      <c r="EK59432"/>
    </row>
    <row r="59433" spans="1:141" s="116" customFormat="1">
      <c r="A59433" s="136"/>
      <c r="CM59433" s="111"/>
      <c r="CQ59433" s="111"/>
      <c r="EF59433"/>
      <c r="EG59433"/>
      <c r="EH59433"/>
      <c r="EI59433"/>
      <c r="EJ59433"/>
      <c r="EK59433"/>
    </row>
    <row r="59434" spans="1:141" s="116" customFormat="1">
      <c r="A59434" s="136"/>
      <c r="CM59434" s="111"/>
      <c r="CQ59434" s="111"/>
      <c r="EF59434"/>
      <c r="EG59434"/>
      <c r="EH59434"/>
      <c r="EI59434"/>
      <c r="EJ59434"/>
      <c r="EK59434"/>
    </row>
    <row r="59435" spans="1:141" s="116" customFormat="1">
      <c r="A59435" s="136"/>
      <c r="CM59435" s="111"/>
      <c r="CQ59435" s="111"/>
      <c r="EF59435"/>
      <c r="EG59435"/>
      <c r="EH59435"/>
      <c r="EI59435"/>
      <c r="EJ59435"/>
      <c r="EK59435"/>
    </row>
    <row r="59436" spans="1:141" s="116" customFormat="1">
      <c r="A59436" s="136"/>
      <c r="CM59436" s="111"/>
      <c r="CQ59436" s="111"/>
      <c r="EF59436"/>
      <c r="EG59436"/>
      <c r="EH59436"/>
      <c r="EI59436"/>
      <c r="EJ59436"/>
      <c r="EK59436"/>
    </row>
    <row r="59437" spans="1:141" s="116" customFormat="1">
      <c r="A59437" s="136"/>
      <c r="CM59437" s="111"/>
      <c r="CQ59437" s="111"/>
      <c r="EF59437"/>
      <c r="EG59437"/>
      <c r="EH59437"/>
      <c r="EI59437"/>
      <c r="EJ59437"/>
      <c r="EK59437"/>
    </row>
    <row r="59438" spans="1:141" s="116" customFormat="1">
      <c r="A59438" s="136"/>
      <c r="CM59438" s="111"/>
      <c r="CQ59438" s="111"/>
      <c r="EF59438"/>
      <c r="EG59438"/>
      <c r="EH59438"/>
      <c r="EI59438"/>
      <c r="EJ59438"/>
      <c r="EK59438"/>
    </row>
    <row r="59439" spans="1:141" s="116" customFormat="1">
      <c r="A59439" s="136"/>
      <c r="CM59439" s="111"/>
      <c r="CQ59439" s="111"/>
      <c r="EF59439"/>
      <c r="EG59439"/>
      <c r="EH59439"/>
      <c r="EI59439"/>
      <c r="EJ59439"/>
      <c r="EK59439"/>
    </row>
    <row r="59440" spans="1:141" s="116" customFormat="1">
      <c r="A59440" s="136"/>
      <c r="CM59440" s="111"/>
      <c r="CQ59440" s="111"/>
      <c r="EF59440"/>
      <c r="EG59440"/>
      <c r="EH59440"/>
      <c r="EI59440"/>
      <c r="EJ59440"/>
      <c r="EK59440"/>
    </row>
    <row r="59441" spans="1:141" s="116" customFormat="1">
      <c r="A59441" s="136"/>
      <c r="CM59441" s="111"/>
      <c r="CQ59441" s="111"/>
      <c r="EF59441"/>
      <c r="EG59441"/>
      <c r="EH59441"/>
      <c r="EI59441"/>
      <c r="EJ59441"/>
      <c r="EK59441"/>
    </row>
    <row r="59442" spans="1:141" s="116" customFormat="1">
      <c r="A59442" s="136"/>
      <c r="CM59442" s="111"/>
      <c r="CQ59442" s="111"/>
      <c r="EF59442"/>
      <c r="EG59442"/>
      <c r="EH59442"/>
      <c r="EI59442"/>
      <c r="EJ59442"/>
      <c r="EK59442"/>
    </row>
    <row r="59443" spans="1:141" s="116" customFormat="1">
      <c r="A59443" s="136"/>
      <c r="CM59443" s="111"/>
      <c r="CQ59443" s="111"/>
      <c r="EF59443"/>
      <c r="EG59443"/>
      <c r="EH59443"/>
      <c r="EI59443"/>
      <c r="EJ59443"/>
      <c r="EK59443"/>
    </row>
    <row r="59444" spans="1:141" s="116" customFormat="1">
      <c r="A59444" s="136"/>
      <c r="CM59444" s="111"/>
      <c r="CQ59444" s="111"/>
      <c r="EF59444"/>
      <c r="EG59444"/>
      <c r="EH59444"/>
      <c r="EI59444"/>
      <c r="EJ59444"/>
      <c r="EK59444"/>
    </row>
    <row r="59445" spans="1:141" s="116" customFormat="1">
      <c r="A59445" s="136"/>
      <c r="CM59445" s="111"/>
      <c r="CQ59445" s="111"/>
      <c r="EF59445"/>
      <c r="EG59445"/>
      <c r="EH59445"/>
      <c r="EI59445"/>
      <c r="EJ59445"/>
      <c r="EK59445"/>
    </row>
    <row r="59446" spans="1:141" s="116" customFormat="1">
      <c r="A59446" s="136"/>
      <c r="CM59446" s="111"/>
      <c r="CQ59446" s="111"/>
      <c r="EF59446"/>
      <c r="EG59446"/>
      <c r="EH59446"/>
      <c r="EI59446"/>
      <c r="EJ59446"/>
      <c r="EK59446"/>
    </row>
    <row r="59447" spans="1:141" s="116" customFormat="1">
      <c r="A59447" s="136"/>
      <c r="CM59447" s="111"/>
      <c r="CQ59447" s="111"/>
      <c r="EF59447"/>
      <c r="EG59447"/>
      <c r="EH59447"/>
      <c r="EI59447"/>
      <c r="EJ59447"/>
      <c r="EK59447"/>
    </row>
    <row r="59448" spans="1:141" s="116" customFormat="1">
      <c r="A59448" s="136"/>
      <c r="CM59448" s="111"/>
      <c r="CQ59448" s="111"/>
      <c r="EF59448"/>
      <c r="EG59448"/>
      <c r="EH59448"/>
      <c r="EI59448"/>
      <c r="EJ59448"/>
      <c r="EK59448"/>
    </row>
    <row r="59449" spans="1:141" s="116" customFormat="1">
      <c r="A59449" s="136"/>
      <c r="CM59449" s="111"/>
      <c r="CQ59449" s="111"/>
      <c r="EF59449"/>
      <c r="EG59449"/>
      <c r="EH59449"/>
      <c r="EI59449"/>
      <c r="EJ59449"/>
      <c r="EK59449"/>
    </row>
    <row r="59450" spans="1:141" s="116" customFormat="1">
      <c r="A59450" s="136"/>
      <c r="CM59450" s="111"/>
      <c r="CQ59450" s="111"/>
      <c r="EF59450"/>
      <c r="EG59450"/>
      <c r="EH59450"/>
      <c r="EI59450"/>
      <c r="EJ59450"/>
      <c r="EK59450"/>
    </row>
    <row r="59451" spans="1:141" s="116" customFormat="1">
      <c r="A59451" s="136"/>
      <c r="CM59451" s="111"/>
      <c r="CQ59451" s="111"/>
      <c r="EF59451"/>
      <c r="EG59451"/>
      <c r="EH59451"/>
      <c r="EI59451"/>
      <c r="EJ59451"/>
      <c r="EK59451"/>
    </row>
    <row r="59452" spans="1:141" s="116" customFormat="1">
      <c r="A59452" s="136"/>
      <c r="CM59452" s="111"/>
      <c r="CQ59452" s="111"/>
      <c r="EF59452"/>
      <c r="EG59452"/>
      <c r="EH59452"/>
      <c r="EI59452"/>
      <c r="EJ59452"/>
      <c r="EK59452"/>
    </row>
    <row r="59453" spans="1:141" s="116" customFormat="1">
      <c r="A59453" s="136"/>
      <c r="CM59453" s="111"/>
      <c r="CQ59453" s="111"/>
      <c r="EF59453"/>
      <c r="EG59453"/>
      <c r="EH59453"/>
      <c r="EI59453"/>
      <c r="EJ59453"/>
      <c r="EK59453"/>
    </row>
    <row r="59454" spans="1:141" s="116" customFormat="1">
      <c r="A59454" s="136"/>
      <c r="CM59454" s="111"/>
      <c r="CQ59454" s="111"/>
      <c r="EF59454"/>
      <c r="EG59454"/>
      <c r="EH59454"/>
      <c r="EI59454"/>
      <c r="EJ59454"/>
      <c r="EK59454"/>
    </row>
    <row r="59455" spans="1:141" s="116" customFormat="1">
      <c r="A59455" s="136"/>
      <c r="CM59455" s="111"/>
      <c r="CQ59455" s="111"/>
      <c r="EF59455"/>
      <c r="EG59455"/>
      <c r="EH59455"/>
      <c r="EI59455"/>
      <c r="EJ59455"/>
      <c r="EK59455"/>
    </row>
    <row r="59456" spans="1:141" s="116" customFormat="1">
      <c r="A59456" s="136"/>
      <c r="CM59456" s="111"/>
      <c r="CQ59456" s="111"/>
      <c r="EF59456"/>
      <c r="EG59456"/>
      <c r="EH59456"/>
      <c r="EI59456"/>
      <c r="EJ59456"/>
      <c r="EK59456"/>
    </row>
    <row r="59457" spans="1:141" s="116" customFormat="1">
      <c r="A59457" s="136"/>
      <c r="CM59457" s="111"/>
      <c r="CQ59457" s="111"/>
      <c r="EF59457"/>
      <c r="EG59457"/>
      <c r="EH59457"/>
      <c r="EI59457"/>
      <c r="EJ59457"/>
      <c r="EK59457"/>
    </row>
    <row r="59458" spans="1:141" s="116" customFormat="1">
      <c r="A59458" s="136"/>
      <c r="CM59458" s="111"/>
      <c r="CQ59458" s="111"/>
      <c r="EF59458"/>
      <c r="EG59458"/>
      <c r="EH59458"/>
      <c r="EI59458"/>
      <c r="EJ59458"/>
      <c r="EK59458"/>
    </row>
    <row r="59459" spans="1:141" s="116" customFormat="1">
      <c r="A59459" s="136"/>
      <c r="CM59459" s="111"/>
      <c r="CQ59459" s="111"/>
      <c r="EF59459"/>
      <c r="EG59459"/>
      <c r="EH59459"/>
      <c r="EI59459"/>
      <c r="EJ59459"/>
      <c r="EK59459"/>
    </row>
    <row r="59460" spans="1:141" s="116" customFormat="1">
      <c r="A59460" s="136"/>
      <c r="CM59460" s="111"/>
      <c r="CQ59460" s="111"/>
      <c r="EF59460"/>
      <c r="EG59460"/>
      <c r="EH59460"/>
      <c r="EI59460"/>
      <c r="EJ59460"/>
      <c r="EK59460"/>
    </row>
    <row r="59461" spans="1:141" s="116" customFormat="1">
      <c r="A59461" s="136"/>
      <c r="CM59461" s="111"/>
      <c r="CQ59461" s="111"/>
      <c r="EF59461"/>
      <c r="EG59461"/>
      <c r="EH59461"/>
      <c r="EI59461"/>
      <c r="EJ59461"/>
      <c r="EK59461"/>
    </row>
    <row r="59462" spans="1:141" s="116" customFormat="1">
      <c r="A59462" s="136"/>
      <c r="CM59462" s="111"/>
      <c r="CQ59462" s="111"/>
      <c r="EF59462"/>
      <c r="EG59462"/>
      <c r="EH59462"/>
      <c r="EI59462"/>
      <c r="EJ59462"/>
      <c r="EK59462"/>
    </row>
    <row r="59463" spans="1:141" s="116" customFormat="1">
      <c r="A59463" s="136"/>
      <c r="CM59463" s="111"/>
      <c r="CQ59463" s="111"/>
      <c r="EF59463"/>
      <c r="EG59463"/>
      <c r="EH59463"/>
      <c r="EI59463"/>
      <c r="EJ59463"/>
      <c r="EK59463"/>
    </row>
    <row r="59464" spans="1:141" s="116" customFormat="1">
      <c r="A59464" s="136"/>
      <c r="CM59464" s="111"/>
      <c r="CQ59464" s="111"/>
      <c r="EF59464"/>
      <c r="EG59464"/>
      <c r="EH59464"/>
      <c r="EI59464"/>
      <c r="EJ59464"/>
      <c r="EK59464"/>
    </row>
    <row r="59465" spans="1:141" s="116" customFormat="1">
      <c r="A59465" s="136"/>
      <c r="CM59465" s="111"/>
      <c r="CQ59465" s="111"/>
      <c r="EF59465"/>
      <c r="EG59465"/>
      <c r="EH59465"/>
      <c r="EI59465"/>
      <c r="EJ59465"/>
      <c r="EK59465"/>
    </row>
    <row r="59466" spans="1:141" s="116" customFormat="1">
      <c r="A59466" s="136"/>
      <c r="CM59466" s="111"/>
      <c r="CQ59466" s="111"/>
      <c r="EF59466"/>
      <c r="EG59466"/>
      <c r="EH59466"/>
      <c r="EI59466"/>
      <c r="EJ59466"/>
      <c r="EK59466"/>
    </row>
    <row r="59467" spans="1:141" s="116" customFormat="1">
      <c r="A59467" s="136"/>
      <c r="CM59467" s="111"/>
      <c r="CQ59467" s="111"/>
      <c r="EF59467"/>
      <c r="EG59467"/>
      <c r="EH59467"/>
      <c r="EI59467"/>
      <c r="EJ59467"/>
      <c r="EK59467"/>
    </row>
    <row r="59468" spans="1:141" s="116" customFormat="1">
      <c r="A59468" s="136"/>
      <c r="CM59468" s="111"/>
      <c r="CQ59468" s="111"/>
      <c r="EF59468"/>
      <c r="EG59468"/>
      <c r="EH59468"/>
      <c r="EI59468"/>
      <c r="EJ59468"/>
      <c r="EK59468"/>
    </row>
    <row r="59469" spans="1:141" s="116" customFormat="1">
      <c r="A59469" s="136"/>
      <c r="CM59469" s="111"/>
      <c r="CQ59469" s="111"/>
      <c r="EF59469"/>
      <c r="EG59469"/>
      <c r="EH59469"/>
      <c r="EI59469"/>
      <c r="EJ59469"/>
      <c r="EK59469"/>
    </row>
    <row r="59470" spans="1:141" s="116" customFormat="1">
      <c r="A59470" s="136"/>
      <c r="CM59470" s="111"/>
      <c r="CQ59470" s="111"/>
      <c r="EF59470"/>
      <c r="EG59470"/>
      <c r="EH59470"/>
      <c r="EI59470"/>
      <c r="EJ59470"/>
      <c r="EK59470"/>
    </row>
    <row r="59471" spans="1:141" s="116" customFormat="1">
      <c r="A59471" s="136"/>
      <c r="CM59471" s="111"/>
      <c r="CQ59471" s="111"/>
      <c r="EF59471"/>
      <c r="EG59471"/>
      <c r="EH59471"/>
      <c r="EI59471"/>
      <c r="EJ59471"/>
      <c r="EK59471"/>
    </row>
    <row r="59472" spans="1:141" s="116" customFormat="1">
      <c r="A59472" s="136"/>
      <c r="CM59472" s="111"/>
      <c r="CQ59472" s="111"/>
      <c r="EF59472"/>
      <c r="EG59472"/>
      <c r="EH59472"/>
      <c r="EI59472"/>
      <c r="EJ59472"/>
      <c r="EK59472"/>
    </row>
    <row r="59473" spans="1:141" s="116" customFormat="1">
      <c r="A59473" s="136"/>
      <c r="CM59473" s="111"/>
      <c r="CQ59473" s="111"/>
      <c r="EF59473"/>
      <c r="EG59473"/>
      <c r="EH59473"/>
      <c r="EI59473"/>
      <c r="EJ59473"/>
      <c r="EK59473"/>
    </row>
    <row r="59474" spans="1:141" s="116" customFormat="1">
      <c r="A59474" s="136"/>
      <c r="CM59474" s="111"/>
      <c r="CQ59474" s="111"/>
      <c r="EF59474"/>
      <c r="EG59474"/>
      <c r="EH59474"/>
      <c r="EI59474"/>
      <c r="EJ59474"/>
      <c r="EK59474"/>
    </row>
    <row r="59475" spans="1:141" s="116" customFormat="1">
      <c r="A59475" s="136"/>
      <c r="CM59475" s="111"/>
      <c r="CQ59475" s="111"/>
      <c r="EF59475"/>
      <c r="EG59475"/>
      <c r="EH59475"/>
      <c r="EI59475"/>
      <c r="EJ59475"/>
      <c r="EK59475"/>
    </row>
    <row r="59476" spans="1:141" s="116" customFormat="1">
      <c r="A59476" s="136"/>
      <c r="CM59476" s="111"/>
      <c r="CQ59476" s="111"/>
      <c r="EF59476"/>
      <c r="EG59476"/>
      <c r="EH59476"/>
      <c r="EI59476"/>
      <c r="EJ59476"/>
      <c r="EK59476"/>
    </row>
    <row r="59477" spans="1:141" s="116" customFormat="1">
      <c r="A59477" s="136"/>
      <c r="CM59477" s="111"/>
      <c r="CQ59477" s="111"/>
      <c r="EF59477"/>
      <c r="EG59477"/>
      <c r="EH59477"/>
      <c r="EI59477"/>
      <c r="EJ59477"/>
      <c r="EK59477"/>
    </row>
    <row r="59478" spans="1:141" s="116" customFormat="1">
      <c r="A59478" s="136"/>
      <c r="CM59478" s="111"/>
      <c r="CQ59478" s="111"/>
      <c r="EF59478"/>
      <c r="EG59478"/>
      <c r="EH59478"/>
      <c r="EI59478"/>
      <c r="EJ59478"/>
      <c r="EK59478"/>
    </row>
    <row r="59479" spans="1:141" s="116" customFormat="1">
      <c r="A59479" s="136"/>
      <c r="CM59479" s="111"/>
      <c r="CQ59479" s="111"/>
      <c r="EF59479"/>
      <c r="EG59479"/>
      <c r="EH59479"/>
      <c r="EI59479"/>
      <c r="EJ59479"/>
      <c r="EK59479"/>
    </row>
    <row r="59480" spans="1:141" s="116" customFormat="1">
      <c r="A59480" s="136"/>
      <c r="CM59480" s="111"/>
      <c r="CQ59480" s="111"/>
      <c r="EF59480"/>
      <c r="EG59480"/>
      <c r="EH59480"/>
      <c r="EI59480"/>
      <c r="EJ59480"/>
      <c r="EK59480"/>
    </row>
    <row r="59481" spans="1:141" s="116" customFormat="1">
      <c r="A59481" s="136"/>
      <c r="CM59481" s="111"/>
      <c r="CQ59481" s="111"/>
      <c r="EF59481"/>
      <c r="EG59481"/>
      <c r="EH59481"/>
      <c r="EI59481"/>
      <c r="EJ59481"/>
      <c r="EK59481"/>
    </row>
    <row r="59482" spans="1:141" s="116" customFormat="1">
      <c r="A59482" s="136"/>
      <c r="CM59482" s="111"/>
      <c r="CQ59482" s="111"/>
      <c r="EF59482"/>
      <c r="EG59482"/>
      <c r="EH59482"/>
      <c r="EI59482"/>
      <c r="EJ59482"/>
      <c r="EK59482"/>
    </row>
    <row r="59483" spans="1:141" s="116" customFormat="1">
      <c r="A59483" s="136"/>
      <c r="CM59483" s="111"/>
      <c r="CQ59483" s="111"/>
      <c r="EF59483"/>
      <c r="EG59483"/>
      <c r="EH59483"/>
      <c r="EI59483"/>
      <c r="EJ59483"/>
      <c r="EK59483"/>
    </row>
    <row r="59484" spans="1:141" s="116" customFormat="1">
      <c r="A59484" s="136"/>
      <c r="CM59484" s="111"/>
      <c r="CQ59484" s="111"/>
      <c r="EF59484"/>
      <c r="EG59484"/>
      <c r="EH59484"/>
      <c r="EI59484"/>
      <c r="EJ59484"/>
      <c r="EK59484"/>
    </row>
    <row r="59485" spans="1:141" s="116" customFormat="1">
      <c r="A59485" s="136"/>
      <c r="CM59485" s="111"/>
      <c r="CQ59485" s="111"/>
      <c r="EF59485"/>
      <c r="EG59485"/>
      <c r="EH59485"/>
      <c r="EI59485"/>
      <c r="EJ59485"/>
      <c r="EK59485"/>
    </row>
    <row r="59486" spans="1:141" s="116" customFormat="1">
      <c r="A59486" s="136"/>
      <c r="CM59486" s="111"/>
      <c r="CQ59486" s="111"/>
      <c r="EF59486"/>
      <c r="EG59486"/>
      <c r="EH59486"/>
      <c r="EI59486"/>
      <c r="EJ59486"/>
      <c r="EK59486"/>
    </row>
    <row r="59487" spans="1:141" s="116" customFormat="1">
      <c r="A59487" s="136"/>
      <c r="CM59487" s="111"/>
      <c r="CQ59487" s="111"/>
      <c r="EF59487"/>
      <c r="EG59487"/>
      <c r="EH59487"/>
      <c r="EI59487"/>
      <c r="EJ59487"/>
      <c r="EK59487"/>
    </row>
    <row r="59488" spans="1:141" s="116" customFormat="1">
      <c r="A59488" s="136"/>
      <c r="CM59488" s="111"/>
      <c r="CQ59488" s="111"/>
      <c r="EF59488"/>
      <c r="EG59488"/>
      <c r="EH59488"/>
      <c r="EI59488"/>
      <c r="EJ59488"/>
      <c r="EK59488"/>
    </row>
    <row r="59489" spans="1:141" s="116" customFormat="1">
      <c r="A59489" s="136"/>
      <c r="CM59489" s="111"/>
      <c r="CQ59489" s="111"/>
      <c r="EF59489"/>
      <c r="EG59489"/>
      <c r="EH59489"/>
      <c r="EI59489"/>
      <c r="EJ59489"/>
      <c r="EK59489"/>
    </row>
    <row r="59490" spans="1:141" s="116" customFormat="1">
      <c r="A59490" s="136"/>
      <c r="CM59490" s="111"/>
      <c r="CQ59490" s="111"/>
      <c r="EF59490"/>
      <c r="EG59490"/>
      <c r="EH59490"/>
      <c r="EI59490"/>
      <c r="EJ59490"/>
      <c r="EK59490"/>
    </row>
    <row r="59491" spans="1:141" s="116" customFormat="1">
      <c r="A59491" s="136"/>
      <c r="CM59491" s="111"/>
      <c r="CQ59491" s="111"/>
      <c r="EF59491"/>
      <c r="EG59491"/>
      <c r="EH59491"/>
      <c r="EI59491"/>
      <c r="EJ59491"/>
      <c r="EK59491"/>
    </row>
    <row r="59492" spans="1:141" s="116" customFormat="1">
      <c r="A59492" s="136"/>
      <c r="CM59492" s="111"/>
      <c r="CQ59492" s="111"/>
      <c r="EF59492"/>
      <c r="EG59492"/>
      <c r="EH59492"/>
      <c r="EI59492"/>
      <c r="EJ59492"/>
      <c r="EK59492"/>
    </row>
    <row r="59493" spans="1:141" s="116" customFormat="1">
      <c r="A59493" s="136"/>
      <c r="CM59493" s="111"/>
      <c r="CQ59493" s="111"/>
      <c r="EF59493"/>
      <c r="EG59493"/>
      <c r="EH59493"/>
      <c r="EI59493"/>
      <c r="EJ59493"/>
      <c r="EK59493"/>
    </row>
    <row r="59494" spans="1:141" s="116" customFormat="1">
      <c r="A59494" s="136"/>
      <c r="CM59494" s="111"/>
      <c r="CQ59494" s="111"/>
      <c r="EF59494"/>
      <c r="EG59494"/>
      <c r="EH59494"/>
      <c r="EI59494"/>
      <c r="EJ59494"/>
      <c r="EK59494"/>
    </row>
    <row r="59495" spans="1:141" s="116" customFormat="1">
      <c r="A59495" s="136"/>
      <c r="CM59495" s="111"/>
      <c r="CQ59495" s="111"/>
      <c r="EF59495"/>
      <c r="EG59495"/>
      <c r="EH59495"/>
      <c r="EI59495"/>
      <c r="EJ59495"/>
      <c r="EK59495"/>
    </row>
    <row r="59496" spans="1:141" s="116" customFormat="1">
      <c r="A59496" s="136"/>
      <c r="CM59496" s="111"/>
      <c r="CQ59496" s="111"/>
      <c r="EF59496"/>
      <c r="EG59496"/>
      <c r="EH59496"/>
      <c r="EI59496"/>
      <c r="EJ59496"/>
      <c r="EK59496"/>
    </row>
    <row r="59497" spans="1:141" s="116" customFormat="1">
      <c r="A59497" s="136"/>
      <c r="CM59497" s="111"/>
      <c r="CQ59497" s="111"/>
      <c r="EF59497"/>
      <c r="EG59497"/>
      <c r="EH59497"/>
      <c r="EI59497"/>
      <c r="EJ59497"/>
      <c r="EK59497"/>
    </row>
    <row r="59498" spans="1:141" s="116" customFormat="1">
      <c r="A59498" s="136"/>
      <c r="CM59498" s="111"/>
      <c r="CQ59498" s="111"/>
      <c r="EF59498"/>
      <c r="EG59498"/>
      <c r="EH59498"/>
      <c r="EI59498"/>
      <c r="EJ59498"/>
      <c r="EK59498"/>
    </row>
    <row r="59499" spans="1:141" s="116" customFormat="1">
      <c r="A59499" s="136"/>
      <c r="CM59499" s="111"/>
      <c r="CQ59499" s="111"/>
      <c r="EF59499"/>
      <c r="EG59499"/>
      <c r="EH59499"/>
      <c r="EI59499"/>
      <c r="EJ59499"/>
      <c r="EK59499"/>
    </row>
    <row r="59500" spans="1:141" s="116" customFormat="1">
      <c r="A59500" s="136"/>
      <c r="CM59500" s="111"/>
      <c r="CQ59500" s="111"/>
      <c r="EF59500"/>
      <c r="EG59500"/>
      <c r="EH59500"/>
      <c r="EI59500"/>
      <c r="EJ59500"/>
      <c r="EK59500"/>
    </row>
    <row r="59501" spans="1:141" s="116" customFormat="1">
      <c r="A59501" s="136"/>
      <c r="CM59501" s="111"/>
      <c r="CQ59501" s="111"/>
      <c r="EF59501"/>
      <c r="EG59501"/>
      <c r="EH59501"/>
      <c r="EI59501"/>
      <c r="EJ59501"/>
      <c r="EK59501"/>
    </row>
    <row r="59502" spans="1:141" s="116" customFormat="1">
      <c r="A59502" s="136"/>
      <c r="CM59502" s="111"/>
      <c r="CQ59502" s="111"/>
      <c r="EF59502"/>
      <c r="EG59502"/>
      <c r="EH59502"/>
      <c r="EI59502"/>
      <c r="EJ59502"/>
      <c r="EK59502"/>
    </row>
    <row r="59503" spans="1:141" s="116" customFormat="1">
      <c r="A59503" s="136"/>
      <c r="CM59503" s="111"/>
      <c r="CQ59503" s="111"/>
      <c r="EF59503"/>
      <c r="EG59503"/>
      <c r="EH59503"/>
      <c r="EI59503"/>
      <c r="EJ59503"/>
      <c r="EK59503"/>
    </row>
    <row r="59504" spans="1:141" s="116" customFormat="1">
      <c r="A59504" s="136"/>
      <c r="CM59504" s="111"/>
      <c r="CQ59504" s="111"/>
      <c r="EF59504"/>
      <c r="EG59504"/>
      <c r="EH59504"/>
      <c r="EI59504"/>
      <c r="EJ59504"/>
      <c r="EK59504"/>
    </row>
    <row r="59505" spans="1:141" s="116" customFormat="1">
      <c r="A59505" s="136"/>
      <c r="CM59505" s="111"/>
      <c r="CQ59505" s="111"/>
      <c r="EF59505"/>
      <c r="EG59505"/>
      <c r="EH59505"/>
      <c r="EI59505"/>
      <c r="EJ59505"/>
      <c r="EK59505"/>
    </row>
    <row r="59506" spans="1:141" s="116" customFormat="1">
      <c r="A59506" s="136"/>
      <c r="CM59506" s="111"/>
      <c r="CQ59506" s="111"/>
      <c r="EF59506"/>
      <c r="EG59506"/>
      <c r="EH59506"/>
      <c r="EI59506"/>
      <c r="EJ59506"/>
      <c r="EK59506"/>
    </row>
    <row r="59507" spans="1:141" s="116" customFormat="1">
      <c r="A59507" s="136"/>
      <c r="CM59507" s="111"/>
      <c r="CQ59507" s="111"/>
      <c r="EF59507"/>
      <c r="EG59507"/>
      <c r="EH59507"/>
      <c r="EI59507"/>
      <c r="EJ59507"/>
      <c r="EK59507"/>
    </row>
    <row r="59508" spans="1:141" s="116" customFormat="1">
      <c r="A59508" s="136"/>
      <c r="CM59508" s="111"/>
      <c r="CQ59508" s="111"/>
      <c r="EF59508"/>
      <c r="EG59508"/>
      <c r="EH59508"/>
      <c r="EI59508"/>
      <c r="EJ59508"/>
      <c r="EK59508"/>
    </row>
    <row r="59509" spans="1:141" s="116" customFormat="1">
      <c r="A59509" s="136"/>
      <c r="CM59509" s="111"/>
      <c r="CQ59509" s="111"/>
      <c r="EF59509"/>
      <c r="EG59509"/>
      <c r="EH59509"/>
      <c r="EI59509"/>
      <c r="EJ59509"/>
      <c r="EK59509"/>
    </row>
    <row r="59510" spans="1:141" s="116" customFormat="1">
      <c r="A59510" s="136"/>
      <c r="CM59510" s="111"/>
      <c r="CQ59510" s="111"/>
      <c r="EF59510"/>
      <c r="EG59510"/>
      <c r="EH59510"/>
      <c r="EI59510"/>
      <c r="EJ59510"/>
      <c r="EK59510"/>
    </row>
    <row r="59511" spans="1:141" s="116" customFormat="1">
      <c r="A59511" s="136"/>
      <c r="CM59511" s="111"/>
      <c r="CQ59511" s="111"/>
      <c r="EF59511"/>
      <c r="EG59511"/>
      <c r="EH59511"/>
      <c r="EI59511"/>
      <c r="EJ59511"/>
      <c r="EK59511"/>
    </row>
    <row r="59512" spans="1:141" s="116" customFormat="1">
      <c r="A59512" s="136"/>
      <c r="CM59512" s="111"/>
      <c r="CQ59512" s="111"/>
      <c r="EF59512"/>
      <c r="EG59512"/>
      <c r="EH59512"/>
      <c r="EI59512"/>
      <c r="EJ59512"/>
      <c r="EK59512"/>
    </row>
    <row r="59513" spans="1:141" s="116" customFormat="1">
      <c r="A59513" s="136"/>
      <c r="CM59513" s="111"/>
      <c r="CQ59513" s="111"/>
      <c r="EF59513"/>
      <c r="EG59513"/>
      <c r="EH59513"/>
      <c r="EI59513"/>
      <c r="EJ59513"/>
      <c r="EK59513"/>
    </row>
    <row r="59514" spans="1:141" s="116" customFormat="1">
      <c r="A59514" s="136"/>
      <c r="CM59514" s="111"/>
      <c r="CQ59514" s="111"/>
      <c r="EF59514"/>
      <c r="EG59514"/>
      <c r="EH59514"/>
      <c r="EI59514"/>
      <c r="EJ59514"/>
      <c r="EK59514"/>
    </row>
    <row r="59515" spans="1:141" s="116" customFormat="1">
      <c r="A59515" s="136"/>
      <c r="CM59515" s="111"/>
      <c r="CQ59515" s="111"/>
      <c r="EF59515"/>
      <c r="EG59515"/>
      <c r="EH59515"/>
      <c r="EI59515"/>
      <c r="EJ59515"/>
      <c r="EK59515"/>
    </row>
    <row r="59516" spans="1:141" s="116" customFormat="1">
      <c r="A59516" s="136"/>
      <c r="CM59516" s="111"/>
      <c r="CQ59516" s="111"/>
      <c r="EF59516"/>
      <c r="EG59516"/>
      <c r="EH59516"/>
      <c r="EI59516"/>
      <c r="EJ59516"/>
      <c r="EK59516"/>
    </row>
    <row r="59517" spans="1:141" s="116" customFormat="1">
      <c r="A59517" s="136"/>
      <c r="CM59517" s="111"/>
      <c r="CQ59517" s="111"/>
      <c r="EF59517"/>
      <c r="EG59517"/>
      <c r="EH59517"/>
      <c r="EI59517"/>
      <c r="EJ59517"/>
      <c r="EK59517"/>
    </row>
    <row r="59518" spans="1:141" s="116" customFormat="1">
      <c r="A59518" s="136"/>
      <c r="CM59518" s="111"/>
      <c r="CQ59518" s="111"/>
      <c r="EF59518"/>
      <c r="EG59518"/>
      <c r="EH59518"/>
      <c r="EI59518"/>
      <c r="EJ59518"/>
      <c r="EK59518"/>
    </row>
    <row r="59519" spans="1:141" s="116" customFormat="1">
      <c r="A59519" s="136"/>
      <c r="CM59519" s="111"/>
      <c r="CQ59519" s="111"/>
      <c r="EF59519"/>
      <c r="EG59519"/>
      <c r="EH59519"/>
      <c r="EI59519"/>
      <c r="EJ59519"/>
      <c r="EK59519"/>
    </row>
    <row r="59520" spans="1:141" s="116" customFormat="1">
      <c r="A59520" s="136"/>
      <c r="CM59520" s="111"/>
      <c r="CQ59520" s="111"/>
      <c r="EF59520"/>
      <c r="EG59520"/>
      <c r="EH59520"/>
      <c r="EI59520"/>
      <c r="EJ59520"/>
      <c r="EK59520"/>
    </row>
    <row r="59521" spans="1:141" s="116" customFormat="1">
      <c r="A59521" s="136"/>
      <c r="CM59521" s="111"/>
      <c r="CQ59521" s="111"/>
      <c r="EF59521"/>
      <c r="EG59521"/>
      <c r="EH59521"/>
      <c r="EI59521"/>
      <c r="EJ59521"/>
      <c r="EK59521"/>
    </row>
    <row r="59522" spans="1:141" s="116" customFormat="1">
      <c r="A59522" s="136"/>
      <c r="CM59522" s="111"/>
      <c r="CQ59522" s="111"/>
      <c r="EF59522"/>
      <c r="EG59522"/>
      <c r="EH59522"/>
      <c r="EI59522"/>
      <c r="EJ59522"/>
      <c r="EK59522"/>
    </row>
    <row r="59523" spans="1:141" s="116" customFormat="1">
      <c r="A59523" s="136"/>
      <c r="CM59523" s="111"/>
      <c r="CQ59523" s="111"/>
      <c r="EF59523"/>
      <c r="EG59523"/>
      <c r="EH59523"/>
      <c r="EI59523"/>
      <c r="EJ59523"/>
      <c r="EK59523"/>
    </row>
    <row r="59524" spans="1:141" s="116" customFormat="1">
      <c r="A59524" s="136"/>
      <c r="CM59524" s="111"/>
      <c r="CQ59524" s="111"/>
      <c r="EF59524"/>
      <c r="EG59524"/>
      <c r="EH59524"/>
      <c r="EI59524"/>
      <c r="EJ59524"/>
      <c r="EK59524"/>
    </row>
    <row r="59525" spans="1:141" s="116" customFormat="1">
      <c r="A59525" s="136"/>
      <c r="CM59525" s="111"/>
      <c r="CQ59525" s="111"/>
      <c r="EF59525"/>
      <c r="EG59525"/>
      <c r="EH59525"/>
      <c r="EI59525"/>
      <c r="EJ59525"/>
      <c r="EK59525"/>
    </row>
    <row r="59526" spans="1:141" s="116" customFormat="1">
      <c r="A59526" s="136"/>
      <c r="CM59526" s="111"/>
      <c r="CQ59526" s="111"/>
      <c r="EF59526"/>
      <c r="EG59526"/>
      <c r="EH59526"/>
      <c r="EI59526"/>
      <c r="EJ59526"/>
      <c r="EK59526"/>
    </row>
    <row r="59527" spans="1:141" s="116" customFormat="1">
      <c r="A59527" s="136"/>
      <c r="CM59527" s="111"/>
      <c r="CQ59527" s="111"/>
      <c r="EF59527"/>
      <c r="EG59527"/>
      <c r="EH59527"/>
      <c r="EI59527"/>
      <c r="EJ59527"/>
      <c r="EK59527"/>
    </row>
    <row r="59528" spans="1:141" s="116" customFormat="1">
      <c r="A59528" s="136"/>
      <c r="CM59528" s="111"/>
      <c r="CQ59528" s="111"/>
      <c r="EF59528"/>
      <c r="EG59528"/>
      <c r="EH59528"/>
      <c r="EI59528"/>
      <c r="EJ59528"/>
      <c r="EK59528"/>
    </row>
    <row r="59529" spans="1:141" s="116" customFormat="1">
      <c r="A59529" s="136"/>
      <c r="CM59529" s="111"/>
      <c r="CQ59529" s="111"/>
      <c r="EF59529"/>
      <c r="EG59529"/>
      <c r="EH59529"/>
      <c r="EI59529"/>
      <c r="EJ59529"/>
      <c r="EK59529"/>
    </row>
    <row r="59530" spans="1:141" s="116" customFormat="1">
      <c r="A59530" s="136"/>
      <c r="CM59530" s="111"/>
      <c r="CQ59530" s="111"/>
      <c r="EF59530"/>
      <c r="EG59530"/>
      <c r="EH59530"/>
      <c r="EI59530"/>
      <c r="EJ59530"/>
      <c r="EK59530"/>
    </row>
    <row r="59531" spans="1:141" s="116" customFormat="1">
      <c r="A59531" s="136"/>
      <c r="CM59531" s="111"/>
      <c r="CQ59531" s="111"/>
      <c r="EF59531"/>
      <c r="EG59531"/>
      <c r="EH59531"/>
      <c r="EI59531"/>
      <c r="EJ59531"/>
      <c r="EK59531"/>
    </row>
    <row r="59532" spans="1:141" s="116" customFormat="1">
      <c r="A59532" s="136"/>
      <c r="CM59532" s="111"/>
      <c r="CQ59532" s="111"/>
      <c r="EF59532"/>
      <c r="EG59532"/>
      <c r="EH59532"/>
      <c r="EI59532"/>
      <c r="EJ59532"/>
      <c r="EK59532"/>
    </row>
    <row r="59533" spans="1:141" s="116" customFormat="1">
      <c r="A59533" s="136"/>
      <c r="CM59533" s="111"/>
      <c r="CQ59533" s="111"/>
      <c r="EF59533"/>
      <c r="EG59533"/>
      <c r="EH59533"/>
      <c r="EI59533"/>
      <c r="EJ59533"/>
      <c r="EK59533"/>
    </row>
    <row r="59534" spans="1:141" s="116" customFormat="1">
      <c r="A59534" s="136"/>
      <c r="CM59534" s="111"/>
      <c r="CQ59534" s="111"/>
      <c r="EF59534"/>
      <c r="EG59534"/>
      <c r="EH59534"/>
      <c r="EI59534"/>
      <c r="EJ59534"/>
      <c r="EK59534"/>
    </row>
    <row r="59535" spans="1:141" s="116" customFormat="1">
      <c r="A59535" s="136"/>
      <c r="CM59535" s="111"/>
      <c r="CQ59535" s="111"/>
      <c r="EF59535"/>
      <c r="EG59535"/>
      <c r="EH59535"/>
      <c r="EI59535"/>
      <c r="EJ59535"/>
      <c r="EK59535"/>
    </row>
    <row r="59536" spans="1:141" s="116" customFormat="1">
      <c r="A59536" s="136"/>
      <c r="CM59536" s="111"/>
      <c r="CQ59536" s="111"/>
      <c r="EF59536"/>
      <c r="EG59536"/>
      <c r="EH59536"/>
      <c r="EI59536"/>
      <c r="EJ59536"/>
      <c r="EK59536"/>
    </row>
    <row r="59537" spans="1:141" s="116" customFormat="1">
      <c r="A59537" s="136"/>
      <c r="CM59537" s="111"/>
      <c r="CQ59537" s="111"/>
      <c r="EF59537"/>
      <c r="EG59537"/>
      <c r="EH59537"/>
      <c r="EI59537"/>
      <c r="EJ59537"/>
      <c r="EK59537"/>
    </row>
    <row r="59538" spans="1:141" s="116" customFormat="1">
      <c r="A59538" s="136"/>
      <c r="CM59538" s="111"/>
      <c r="CQ59538" s="111"/>
      <c r="EF59538"/>
      <c r="EG59538"/>
      <c r="EH59538"/>
      <c r="EI59538"/>
      <c r="EJ59538"/>
      <c r="EK59538"/>
    </row>
    <row r="59539" spans="1:141" s="116" customFormat="1">
      <c r="A59539" s="136"/>
      <c r="CM59539" s="111"/>
      <c r="CQ59539" s="111"/>
      <c r="EF59539"/>
      <c r="EG59539"/>
      <c r="EH59539"/>
      <c r="EI59539"/>
      <c r="EJ59539"/>
      <c r="EK59539"/>
    </row>
    <row r="59540" spans="1:141" s="116" customFormat="1">
      <c r="A59540" s="136"/>
      <c r="CM59540" s="111"/>
      <c r="CQ59540" s="111"/>
      <c r="EF59540"/>
      <c r="EG59540"/>
      <c r="EH59540"/>
      <c r="EI59540"/>
      <c r="EJ59540"/>
      <c r="EK59540"/>
    </row>
    <row r="59541" spans="1:141" s="116" customFormat="1">
      <c r="A59541" s="136"/>
      <c r="CM59541" s="111"/>
      <c r="CQ59541" s="111"/>
      <c r="EF59541"/>
      <c r="EG59541"/>
      <c r="EH59541"/>
      <c r="EI59541"/>
      <c r="EJ59541"/>
      <c r="EK59541"/>
    </row>
    <row r="59542" spans="1:141" s="116" customFormat="1">
      <c r="A59542" s="136"/>
      <c r="CM59542" s="111"/>
      <c r="CQ59542" s="111"/>
      <c r="EF59542"/>
      <c r="EG59542"/>
      <c r="EH59542"/>
      <c r="EI59542"/>
      <c r="EJ59542"/>
      <c r="EK59542"/>
    </row>
    <row r="59543" spans="1:141" s="116" customFormat="1">
      <c r="A59543" s="136"/>
      <c r="CM59543" s="111"/>
      <c r="CQ59543" s="111"/>
      <c r="EF59543"/>
      <c r="EG59543"/>
      <c r="EH59543"/>
      <c r="EI59543"/>
      <c r="EJ59543"/>
      <c r="EK59543"/>
    </row>
    <row r="59544" spans="1:141" s="116" customFormat="1">
      <c r="A59544" s="136"/>
      <c r="CM59544" s="111"/>
      <c r="CQ59544" s="111"/>
      <c r="EF59544"/>
      <c r="EG59544"/>
      <c r="EH59544"/>
      <c r="EI59544"/>
      <c r="EJ59544"/>
      <c r="EK59544"/>
    </row>
    <row r="59545" spans="1:141" s="116" customFormat="1">
      <c r="A59545" s="136"/>
      <c r="CM59545" s="111"/>
      <c r="CQ59545" s="111"/>
      <c r="EF59545"/>
      <c r="EG59545"/>
      <c r="EH59545"/>
      <c r="EI59545"/>
      <c r="EJ59545"/>
      <c r="EK59545"/>
    </row>
    <row r="59546" spans="1:141" s="116" customFormat="1">
      <c r="A59546" s="136"/>
      <c r="CM59546" s="111"/>
      <c r="CQ59546" s="111"/>
      <c r="EF59546"/>
      <c r="EG59546"/>
      <c r="EH59546"/>
      <c r="EI59546"/>
      <c r="EJ59546"/>
      <c r="EK59546"/>
    </row>
    <row r="59547" spans="1:141" s="116" customFormat="1">
      <c r="A59547" s="136"/>
      <c r="CM59547" s="111"/>
      <c r="CQ59547" s="111"/>
      <c r="EF59547"/>
      <c r="EG59547"/>
      <c r="EH59547"/>
      <c r="EI59547"/>
      <c r="EJ59547"/>
      <c r="EK59547"/>
    </row>
    <row r="59548" spans="1:141" s="116" customFormat="1">
      <c r="A59548" s="136"/>
      <c r="CM59548" s="111"/>
      <c r="CQ59548" s="111"/>
      <c r="EF59548"/>
      <c r="EG59548"/>
      <c r="EH59548"/>
      <c r="EI59548"/>
      <c r="EJ59548"/>
      <c r="EK59548"/>
    </row>
    <row r="59549" spans="1:141" s="116" customFormat="1">
      <c r="A59549" s="136"/>
      <c r="CM59549" s="111"/>
      <c r="CQ59549" s="111"/>
      <c r="EF59549"/>
      <c r="EG59549"/>
      <c r="EH59549"/>
      <c r="EI59549"/>
      <c r="EJ59549"/>
      <c r="EK59549"/>
    </row>
    <row r="59550" spans="1:141" s="116" customFormat="1">
      <c r="A59550" s="136"/>
      <c r="CM59550" s="111"/>
      <c r="CQ59550" s="111"/>
      <c r="EF59550"/>
      <c r="EG59550"/>
      <c r="EH59550"/>
      <c r="EI59550"/>
      <c r="EJ59550"/>
      <c r="EK59550"/>
    </row>
    <row r="59551" spans="1:141" s="116" customFormat="1">
      <c r="A59551" s="136"/>
      <c r="CM59551" s="111"/>
      <c r="CQ59551" s="111"/>
      <c r="EF59551"/>
      <c r="EG59551"/>
      <c r="EH59551"/>
      <c r="EI59551"/>
      <c r="EJ59551"/>
      <c r="EK59551"/>
    </row>
    <row r="59552" spans="1:141" s="116" customFormat="1">
      <c r="A59552" s="136"/>
      <c r="CM59552" s="111"/>
      <c r="CQ59552" s="111"/>
      <c r="EF59552"/>
      <c r="EG59552"/>
      <c r="EH59552"/>
      <c r="EI59552"/>
      <c r="EJ59552"/>
      <c r="EK59552"/>
    </row>
    <row r="59553" spans="1:141" s="116" customFormat="1">
      <c r="A59553" s="136"/>
      <c r="CM59553" s="111"/>
      <c r="CQ59553" s="111"/>
      <c r="EF59553"/>
      <c r="EG59553"/>
      <c r="EH59553"/>
      <c r="EI59553"/>
      <c r="EJ59553"/>
      <c r="EK59553"/>
    </row>
    <row r="59554" spans="1:141" s="116" customFormat="1">
      <c r="A59554" s="136"/>
      <c r="CM59554" s="111"/>
      <c r="CQ59554" s="111"/>
      <c r="EF59554"/>
      <c r="EG59554"/>
      <c r="EH59554"/>
      <c r="EI59554"/>
      <c r="EJ59554"/>
      <c r="EK59554"/>
    </row>
    <row r="59555" spans="1:141" s="116" customFormat="1">
      <c r="A59555" s="136"/>
      <c r="CM59555" s="111"/>
      <c r="CQ59555" s="111"/>
      <c r="EF59555"/>
      <c r="EG59555"/>
      <c r="EH59555"/>
      <c r="EI59555"/>
      <c r="EJ59555"/>
      <c r="EK59555"/>
    </row>
    <row r="59556" spans="1:141" s="116" customFormat="1">
      <c r="A59556" s="136"/>
      <c r="CM59556" s="111"/>
      <c r="CQ59556" s="111"/>
      <c r="EF59556"/>
      <c r="EG59556"/>
      <c r="EH59556"/>
      <c r="EI59556"/>
      <c r="EJ59556"/>
      <c r="EK59556"/>
    </row>
    <row r="59557" spans="1:141" s="116" customFormat="1">
      <c r="A59557" s="136"/>
      <c r="CM59557" s="111"/>
      <c r="CQ59557" s="111"/>
      <c r="EF59557"/>
      <c r="EG59557"/>
      <c r="EH59557"/>
      <c r="EI59557"/>
      <c r="EJ59557"/>
      <c r="EK59557"/>
    </row>
    <row r="59558" spans="1:141" s="116" customFormat="1">
      <c r="A59558" s="136"/>
      <c r="CM59558" s="111"/>
      <c r="CQ59558" s="111"/>
      <c r="EF59558"/>
      <c r="EG59558"/>
      <c r="EH59558"/>
      <c r="EI59558"/>
      <c r="EJ59558"/>
      <c r="EK59558"/>
    </row>
    <row r="59559" spans="1:141" s="116" customFormat="1">
      <c r="A59559" s="136"/>
      <c r="CM59559" s="111"/>
      <c r="CQ59559" s="111"/>
      <c r="EF59559"/>
      <c r="EG59559"/>
      <c r="EH59559"/>
      <c r="EI59559"/>
      <c r="EJ59559"/>
      <c r="EK59559"/>
    </row>
    <row r="59560" spans="1:141" s="116" customFormat="1">
      <c r="A59560" s="136"/>
      <c r="CM59560" s="111"/>
      <c r="CQ59560" s="111"/>
      <c r="EF59560"/>
      <c r="EG59560"/>
      <c r="EH59560"/>
      <c r="EI59560"/>
      <c r="EJ59560"/>
      <c r="EK59560"/>
    </row>
    <row r="59561" spans="1:141" s="116" customFormat="1">
      <c r="A59561" s="136"/>
      <c r="CM59561" s="111"/>
      <c r="CQ59561" s="111"/>
      <c r="EF59561"/>
      <c r="EG59561"/>
      <c r="EH59561"/>
      <c r="EI59561"/>
      <c r="EJ59561"/>
      <c r="EK59561"/>
    </row>
    <row r="59562" spans="1:141" s="116" customFormat="1">
      <c r="A59562" s="136"/>
      <c r="CM59562" s="111"/>
      <c r="CQ59562" s="111"/>
      <c r="EF59562"/>
      <c r="EG59562"/>
      <c r="EH59562"/>
      <c r="EI59562"/>
      <c r="EJ59562"/>
      <c r="EK59562"/>
    </row>
    <row r="59563" spans="1:141" s="116" customFormat="1">
      <c r="A59563" s="136"/>
      <c r="CM59563" s="111"/>
      <c r="CQ59563" s="111"/>
      <c r="EF59563"/>
      <c r="EG59563"/>
      <c r="EH59563"/>
      <c r="EI59563"/>
      <c r="EJ59563"/>
      <c r="EK59563"/>
    </row>
    <row r="59564" spans="1:141" s="116" customFormat="1">
      <c r="A59564" s="136"/>
      <c r="CM59564" s="111"/>
      <c r="CQ59564" s="111"/>
      <c r="EF59564"/>
      <c r="EG59564"/>
      <c r="EH59564"/>
      <c r="EI59564"/>
      <c r="EJ59564"/>
      <c r="EK59564"/>
    </row>
    <row r="59565" spans="1:141" s="116" customFormat="1">
      <c r="A59565" s="136"/>
      <c r="CM59565" s="111"/>
      <c r="CQ59565" s="111"/>
      <c r="EF59565"/>
      <c r="EG59565"/>
      <c r="EH59565"/>
      <c r="EI59565"/>
      <c r="EJ59565"/>
      <c r="EK59565"/>
    </row>
    <row r="59566" spans="1:141" s="116" customFormat="1">
      <c r="A59566" s="136"/>
      <c r="CM59566" s="111"/>
      <c r="CQ59566" s="111"/>
      <c r="EF59566"/>
      <c r="EG59566"/>
      <c r="EH59566"/>
      <c r="EI59566"/>
      <c r="EJ59566"/>
      <c r="EK59566"/>
    </row>
    <row r="59567" spans="1:141" s="116" customFormat="1">
      <c r="A59567" s="136"/>
      <c r="CM59567" s="111"/>
      <c r="CQ59567" s="111"/>
      <c r="EF59567"/>
      <c r="EG59567"/>
      <c r="EH59567"/>
      <c r="EI59567"/>
      <c r="EJ59567"/>
      <c r="EK59567"/>
    </row>
    <row r="59568" spans="1:141" s="116" customFormat="1">
      <c r="A59568" s="136"/>
      <c r="CM59568" s="111"/>
      <c r="CQ59568" s="111"/>
      <c r="EF59568"/>
      <c r="EG59568"/>
      <c r="EH59568"/>
      <c r="EI59568"/>
      <c r="EJ59568"/>
      <c r="EK59568"/>
    </row>
    <row r="59569" spans="1:141" s="116" customFormat="1">
      <c r="A59569" s="136"/>
      <c r="CM59569" s="111"/>
      <c r="CQ59569" s="111"/>
      <c r="EF59569"/>
      <c r="EG59569"/>
      <c r="EH59569"/>
      <c r="EI59569"/>
      <c r="EJ59569"/>
      <c r="EK59569"/>
    </row>
    <row r="59570" spans="1:141" s="116" customFormat="1">
      <c r="A59570" s="136"/>
      <c r="CM59570" s="111"/>
      <c r="CQ59570" s="111"/>
      <c r="EF59570"/>
      <c r="EG59570"/>
      <c r="EH59570"/>
      <c r="EI59570"/>
      <c r="EJ59570"/>
      <c r="EK59570"/>
    </row>
    <row r="59571" spans="1:141" s="116" customFormat="1">
      <c r="A59571" s="136"/>
      <c r="CM59571" s="111"/>
      <c r="CQ59571" s="111"/>
      <c r="EF59571"/>
      <c r="EG59571"/>
      <c r="EH59571"/>
      <c r="EI59571"/>
      <c r="EJ59571"/>
      <c r="EK59571"/>
    </row>
    <row r="59572" spans="1:141" s="116" customFormat="1">
      <c r="A59572" s="136"/>
      <c r="CM59572" s="111"/>
      <c r="CQ59572" s="111"/>
      <c r="EF59572"/>
      <c r="EG59572"/>
      <c r="EH59572"/>
      <c r="EI59572"/>
      <c r="EJ59572"/>
      <c r="EK59572"/>
    </row>
    <row r="59573" spans="1:141" s="116" customFormat="1">
      <c r="A59573" s="136"/>
      <c r="CM59573" s="111"/>
      <c r="CQ59573" s="111"/>
      <c r="EF59573"/>
      <c r="EG59573"/>
      <c r="EH59573"/>
      <c r="EI59573"/>
      <c r="EJ59573"/>
      <c r="EK59573"/>
    </row>
    <row r="59574" spans="1:141" s="116" customFormat="1">
      <c r="A59574" s="136"/>
      <c r="CM59574" s="111"/>
      <c r="CQ59574" s="111"/>
      <c r="EF59574"/>
      <c r="EG59574"/>
      <c r="EH59574"/>
      <c r="EI59574"/>
      <c r="EJ59574"/>
      <c r="EK59574"/>
    </row>
    <row r="59575" spans="1:141" s="116" customFormat="1">
      <c r="A59575" s="136"/>
      <c r="CM59575" s="111"/>
      <c r="CQ59575" s="111"/>
      <c r="EF59575"/>
      <c r="EG59575"/>
      <c r="EH59575"/>
      <c r="EI59575"/>
      <c r="EJ59575"/>
      <c r="EK59575"/>
    </row>
    <row r="59576" spans="1:141" s="116" customFormat="1">
      <c r="A59576" s="136"/>
      <c r="CM59576" s="111"/>
      <c r="CQ59576" s="111"/>
      <c r="EF59576"/>
      <c r="EG59576"/>
      <c r="EH59576"/>
      <c r="EI59576"/>
      <c r="EJ59576"/>
      <c r="EK59576"/>
    </row>
    <row r="59577" spans="1:141" s="116" customFormat="1">
      <c r="A59577" s="136"/>
      <c r="CM59577" s="111"/>
      <c r="CQ59577" s="111"/>
      <c r="EF59577"/>
      <c r="EG59577"/>
      <c r="EH59577"/>
      <c r="EI59577"/>
      <c r="EJ59577"/>
      <c r="EK59577"/>
    </row>
    <row r="59578" spans="1:141" s="116" customFormat="1">
      <c r="A59578" s="136"/>
      <c r="CM59578" s="111"/>
      <c r="CQ59578" s="111"/>
      <c r="EF59578"/>
      <c r="EG59578"/>
      <c r="EH59578"/>
      <c r="EI59578"/>
      <c r="EJ59578"/>
      <c r="EK59578"/>
    </row>
    <row r="59579" spans="1:141" s="116" customFormat="1">
      <c r="A59579" s="136"/>
      <c r="CM59579" s="111"/>
      <c r="CQ59579" s="111"/>
      <c r="EF59579"/>
      <c r="EG59579"/>
      <c r="EH59579"/>
      <c r="EI59579"/>
      <c r="EJ59579"/>
      <c r="EK59579"/>
    </row>
    <row r="59580" spans="1:141" s="116" customFormat="1">
      <c r="A59580" s="136"/>
      <c r="CM59580" s="111"/>
      <c r="CQ59580" s="111"/>
      <c r="EF59580"/>
      <c r="EG59580"/>
      <c r="EH59580"/>
      <c r="EI59580"/>
      <c r="EJ59580"/>
      <c r="EK59580"/>
    </row>
    <row r="59581" spans="1:141" s="116" customFormat="1">
      <c r="A59581" s="136"/>
      <c r="CM59581" s="111"/>
      <c r="CQ59581" s="111"/>
      <c r="EF59581"/>
      <c r="EG59581"/>
      <c r="EH59581"/>
      <c r="EI59581"/>
      <c r="EJ59581"/>
      <c r="EK59581"/>
    </row>
    <row r="59582" spans="1:141" s="116" customFormat="1">
      <c r="A59582" s="136"/>
      <c r="CM59582" s="111"/>
      <c r="CQ59582" s="111"/>
      <c r="EF59582"/>
      <c r="EG59582"/>
      <c r="EH59582"/>
      <c r="EI59582"/>
      <c r="EJ59582"/>
      <c r="EK59582"/>
    </row>
    <row r="59583" spans="1:141" s="116" customFormat="1">
      <c r="A59583" s="136"/>
      <c r="CM59583" s="111"/>
      <c r="CQ59583" s="111"/>
      <c r="EF59583"/>
      <c r="EG59583"/>
      <c r="EH59583"/>
      <c r="EI59583"/>
      <c r="EJ59583"/>
      <c r="EK59583"/>
    </row>
    <row r="59584" spans="1:141" s="116" customFormat="1">
      <c r="A59584" s="136"/>
      <c r="CM59584" s="111"/>
      <c r="CQ59584" s="111"/>
      <c r="EF59584"/>
      <c r="EG59584"/>
      <c r="EH59584"/>
      <c r="EI59584"/>
      <c r="EJ59584"/>
      <c r="EK59584"/>
    </row>
    <row r="59585" spans="1:141" s="116" customFormat="1">
      <c r="A59585" s="136"/>
      <c r="CM59585" s="111"/>
      <c r="CQ59585" s="111"/>
      <c r="EF59585"/>
      <c r="EG59585"/>
      <c r="EH59585"/>
      <c r="EI59585"/>
      <c r="EJ59585"/>
      <c r="EK59585"/>
    </row>
    <row r="59586" spans="1:141" s="116" customFormat="1">
      <c r="A59586" s="136"/>
      <c r="CM59586" s="111"/>
      <c r="CQ59586" s="111"/>
      <c r="EF59586"/>
      <c r="EG59586"/>
      <c r="EH59586"/>
      <c r="EI59586"/>
      <c r="EJ59586"/>
      <c r="EK59586"/>
    </row>
    <row r="59587" spans="1:141" s="116" customFormat="1">
      <c r="A59587" s="136"/>
      <c r="CM59587" s="111"/>
      <c r="CQ59587" s="111"/>
      <c r="EF59587"/>
      <c r="EG59587"/>
      <c r="EH59587"/>
      <c r="EI59587"/>
      <c r="EJ59587"/>
      <c r="EK59587"/>
    </row>
    <row r="59588" spans="1:141" s="116" customFormat="1">
      <c r="A59588" s="136"/>
      <c r="CM59588" s="111"/>
      <c r="CQ59588" s="111"/>
      <c r="EF59588"/>
      <c r="EG59588"/>
      <c r="EH59588"/>
      <c r="EI59588"/>
      <c r="EJ59588"/>
      <c r="EK59588"/>
    </row>
    <row r="59589" spans="1:141" s="116" customFormat="1">
      <c r="A59589" s="136"/>
      <c r="CM59589" s="111"/>
      <c r="CQ59589" s="111"/>
      <c r="EF59589"/>
      <c r="EG59589"/>
      <c r="EH59589"/>
      <c r="EI59589"/>
      <c r="EJ59589"/>
      <c r="EK59589"/>
    </row>
    <row r="59590" spans="1:141" s="116" customFormat="1">
      <c r="A59590" s="136"/>
      <c r="CM59590" s="111"/>
      <c r="CQ59590" s="111"/>
      <c r="EF59590"/>
      <c r="EG59590"/>
      <c r="EH59590"/>
      <c r="EI59590"/>
      <c r="EJ59590"/>
      <c r="EK59590"/>
    </row>
    <row r="59591" spans="1:141" s="116" customFormat="1">
      <c r="A59591" s="136"/>
      <c r="CM59591" s="111"/>
      <c r="CQ59591" s="111"/>
      <c r="EF59591"/>
      <c r="EG59591"/>
      <c r="EH59591"/>
      <c r="EI59591"/>
      <c r="EJ59591"/>
      <c r="EK59591"/>
    </row>
    <row r="59592" spans="1:141" s="116" customFormat="1">
      <c r="A59592" s="136"/>
      <c r="CM59592" s="111"/>
      <c r="CQ59592" s="111"/>
      <c r="EF59592"/>
      <c r="EG59592"/>
      <c r="EH59592"/>
      <c r="EI59592"/>
      <c r="EJ59592"/>
      <c r="EK59592"/>
    </row>
    <row r="59593" spans="1:141" s="116" customFormat="1">
      <c r="A59593" s="136"/>
      <c r="CM59593" s="111"/>
      <c r="CQ59593" s="111"/>
      <c r="EF59593"/>
      <c r="EG59593"/>
      <c r="EH59593"/>
      <c r="EI59593"/>
      <c r="EJ59593"/>
      <c r="EK59593"/>
    </row>
    <row r="59594" spans="1:141" s="116" customFormat="1">
      <c r="A59594" s="136"/>
      <c r="CM59594" s="111"/>
      <c r="CQ59594" s="111"/>
      <c r="EF59594"/>
      <c r="EG59594"/>
      <c r="EH59594"/>
      <c r="EI59594"/>
      <c r="EJ59594"/>
      <c r="EK59594"/>
    </row>
    <row r="59595" spans="1:141" s="116" customFormat="1">
      <c r="A59595" s="136"/>
      <c r="CM59595" s="111"/>
      <c r="CQ59595" s="111"/>
      <c r="EF59595"/>
      <c r="EG59595"/>
      <c r="EH59595"/>
      <c r="EI59595"/>
      <c r="EJ59595"/>
      <c r="EK59595"/>
    </row>
    <row r="59596" spans="1:141" s="116" customFormat="1">
      <c r="A59596" s="136"/>
      <c r="CM59596" s="111"/>
      <c r="CQ59596" s="111"/>
      <c r="EF59596"/>
      <c r="EG59596"/>
      <c r="EH59596"/>
      <c r="EI59596"/>
      <c r="EJ59596"/>
      <c r="EK59596"/>
    </row>
    <row r="59597" spans="1:141" s="116" customFormat="1">
      <c r="A59597" s="136"/>
      <c r="CM59597" s="111"/>
      <c r="CQ59597" s="111"/>
      <c r="EF59597"/>
      <c r="EG59597"/>
      <c r="EH59597"/>
      <c r="EI59597"/>
      <c r="EJ59597"/>
      <c r="EK59597"/>
    </row>
    <row r="59598" spans="1:141" s="116" customFormat="1">
      <c r="A59598" s="136"/>
      <c r="CM59598" s="111"/>
      <c r="CQ59598" s="111"/>
      <c r="EF59598"/>
      <c r="EG59598"/>
      <c r="EH59598"/>
      <c r="EI59598"/>
      <c r="EJ59598"/>
      <c r="EK59598"/>
    </row>
    <row r="59599" spans="1:141" s="116" customFormat="1">
      <c r="A59599" s="136"/>
      <c r="CM59599" s="111"/>
      <c r="CQ59599" s="111"/>
      <c r="EF59599"/>
      <c r="EG59599"/>
      <c r="EH59599"/>
      <c r="EI59599"/>
      <c r="EJ59599"/>
      <c r="EK59599"/>
    </row>
    <row r="59600" spans="1:141" s="116" customFormat="1">
      <c r="A59600" s="136"/>
      <c r="CM59600" s="111"/>
      <c r="CQ59600" s="111"/>
      <c r="EF59600"/>
      <c r="EG59600"/>
      <c r="EH59600"/>
      <c r="EI59600"/>
      <c r="EJ59600"/>
      <c r="EK59600"/>
    </row>
    <row r="59601" spans="1:141" s="116" customFormat="1">
      <c r="A59601" s="136"/>
      <c r="CM59601" s="111"/>
      <c r="CQ59601" s="111"/>
      <c r="EF59601"/>
      <c r="EG59601"/>
      <c r="EH59601"/>
      <c r="EI59601"/>
      <c r="EJ59601"/>
      <c r="EK59601"/>
    </row>
    <row r="59602" spans="1:141" s="116" customFormat="1">
      <c r="A59602" s="136"/>
      <c r="CM59602" s="111"/>
      <c r="CQ59602" s="111"/>
      <c r="EF59602"/>
      <c r="EG59602"/>
      <c r="EH59602"/>
      <c r="EI59602"/>
      <c r="EJ59602"/>
      <c r="EK59602"/>
    </row>
    <row r="59603" spans="1:141" s="116" customFormat="1">
      <c r="A59603" s="136"/>
      <c r="CM59603" s="111"/>
      <c r="CQ59603" s="111"/>
      <c r="EF59603"/>
      <c r="EG59603"/>
      <c r="EH59603"/>
      <c r="EI59603"/>
      <c r="EJ59603"/>
      <c r="EK59603"/>
    </row>
    <row r="59604" spans="1:141" s="116" customFormat="1">
      <c r="A59604" s="136"/>
      <c r="CM59604" s="111"/>
      <c r="CQ59604" s="111"/>
      <c r="EF59604"/>
      <c r="EG59604"/>
      <c r="EH59604"/>
      <c r="EI59604"/>
      <c r="EJ59604"/>
      <c r="EK59604"/>
    </row>
    <row r="59605" spans="1:141" s="116" customFormat="1">
      <c r="A59605" s="136"/>
      <c r="CM59605" s="111"/>
      <c r="CQ59605" s="111"/>
      <c r="EF59605"/>
      <c r="EG59605"/>
      <c r="EH59605"/>
      <c r="EI59605"/>
      <c r="EJ59605"/>
      <c r="EK59605"/>
    </row>
    <row r="59606" spans="1:141" s="116" customFormat="1">
      <c r="A59606" s="136"/>
      <c r="CM59606" s="111"/>
      <c r="CQ59606" s="111"/>
      <c r="EF59606"/>
      <c r="EG59606"/>
      <c r="EH59606"/>
      <c r="EI59606"/>
      <c r="EJ59606"/>
      <c r="EK59606"/>
    </row>
    <row r="59607" spans="1:141" s="116" customFormat="1">
      <c r="A59607" s="136"/>
      <c r="CM59607" s="111"/>
      <c r="CQ59607" s="111"/>
      <c r="EF59607"/>
      <c r="EG59607"/>
      <c r="EH59607"/>
      <c r="EI59607"/>
      <c r="EJ59607"/>
      <c r="EK59607"/>
    </row>
    <row r="59608" spans="1:141" s="116" customFormat="1">
      <c r="A59608" s="136"/>
      <c r="CM59608" s="111"/>
      <c r="CQ59608" s="111"/>
      <c r="EF59608"/>
      <c r="EG59608"/>
      <c r="EH59608"/>
      <c r="EI59608"/>
      <c r="EJ59608"/>
      <c r="EK59608"/>
    </row>
    <row r="59609" spans="1:141" s="116" customFormat="1">
      <c r="A59609" s="136"/>
      <c r="CM59609" s="111"/>
      <c r="CQ59609" s="111"/>
      <c r="EF59609"/>
      <c r="EG59609"/>
      <c r="EH59609"/>
      <c r="EI59609"/>
      <c r="EJ59609"/>
      <c r="EK59609"/>
    </row>
    <row r="59610" spans="1:141" s="116" customFormat="1">
      <c r="A59610" s="136"/>
      <c r="CM59610" s="111"/>
      <c r="CQ59610" s="111"/>
      <c r="EF59610"/>
      <c r="EG59610"/>
      <c r="EH59610"/>
      <c r="EI59610"/>
      <c r="EJ59610"/>
      <c r="EK59610"/>
    </row>
    <row r="59611" spans="1:141" s="116" customFormat="1">
      <c r="A59611" s="136"/>
      <c r="CM59611" s="111"/>
      <c r="CQ59611" s="111"/>
      <c r="EF59611"/>
      <c r="EG59611"/>
      <c r="EH59611"/>
      <c r="EI59611"/>
      <c r="EJ59611"/>
      <c r="EK59611"/>
    </row>
    <row r="59612" spans="1:141" s="116" customFormat="1">
      <c r="A59612" s="136"/>
      <c r="CM59612" s="111"/>
      <c r="CQ59612" s="111"/>
      <c r="EF59612"/>
      <c r="EG59612"/>
      <c r="EH59612"/>
      <c r="EI59612"/>
      <c r="EJ59612"/>
      <c r="EK59612"/>
    </row>
    <row r="59613" spans="1:141" s="116" customFormat="1">
      <c r="A59613" s="136"/>
      <c r="CM59613" s="111"/>
      <c r="CQ59613" s="111"/>
      <c r="EF59613"/>
      <c r="EG59613"/>
      <c r="EH59613"/>
      <c r="EI59613"/>
      <c r="EJ59613"/>
      <c r="EK59613"/>
    </row>
    <row r="59614" spans="1:141" s="116" customFormat="1">
      <c r="A59614" s="136"/>
      <c r="CM59614" s="111"/>
      <c r="CQ59614" s="111"/>
      <c r="EF59614"/>
      <c r="EG59614"/>
      <c r="EH59614"/>
      <c r="EI59614"/>
      <c r="EJ59614"/>
      <c r="EK59614"/>
    </row>
    <row r="59615" spans="1:141" s="116" customFormat="1">
      <c r="A59615" s="136"/>
      <c r="CM59615" s="111"/>
      <c r="CQ59615" s="111"/>
      <c r="EF59615"/>
      <c r="EG59615"/>
      <c r="EH59615"/>
      <c r="EI59615"/>
      <c r="EJ59615"/>
      <c r="EK59615"/>
    </row>
    <row r="59616" spans="1:141" s="116" customFormat="1">
      <c r="A59616" s="136"/>
      <c r="CM59616" s="111"/>
      <c r="CQ59616" s="111"/>
      <c r="EF59616"/>
      <c r="EG59616"/>
      <c r="EH59616"/>
      <c r="EI59616"/>
      <c r="EJ59616"/>
      <c r="EK59616"/>
    </row>
    <row r="59617" spans="1:141" s="116" customFormat="1">
      <c r="A59617" s="136"/>
      <c r="CM59617" s="111"/>
      <c r="CQ59617" s="111"/>
      <c r="EF59617"/>
      <c r="EG59617"/>
      <c r="EH59617"/>
      <c r="EI59617"/>
      <c r="EJ59617"/>
      <c r="EK59617"/>
    </row>
    <row r="59618" spans="1:141" s="116" customFormat="1">
      <c r="A59618" s="136"/>
      <c r="CM59618" s="111"/>
      <c r="CQ59618" s="111"/>
      <c r="EF59618"/>
      <c r="EG59618"/>
      <c r="EH59618"/>
      <c r="EI59618"/>
      <c r="EJ59618"/>
      <c r="EK59618"/>
    </row>
    <row r="59619" spans="1:141" s="116" customFormat="1">
      <c r="A59619" s="136"/>
      <c r="CM59619" s="111"/>
      <c r="CQ59619" s="111"/>
      <c r="EF59619"/>
      <c r="EG59619"/>
      <c r="EH59619"/>
      <c r="EI59619"/>
      <c r="EJ59619"/>
      <c r="EK59619"/>
    </row>
    <row r="59620" spans="1:141" s="116" customFormat="1">
      <c r="A59620" s="136"/>
      <c r="CM59620" s="111"/>
      <c r="CQ59620" s="111"/>
      <c r="EF59620"/>
      <c r="EG59620"/>
      <c r="EH59620"/>
      <c r="EI59620"/>
      <c r="EJ59620"/>
      <c r="EK59620"/>
    </row>
    <row r="59621" spans="1:141" s="116" customFormat="1">
      <c r="A59621" s="136"/>
      <c r="CM59621" s="111"/>
      <c r="CQ59621" s="111"/>
      <c r="EF59621"/>
      <c r="EG59621"/>
      <c r="EH59621"/>
      <c r="EI59621"/>
      <c r="EJ59621"/>
      <c r="EK59621"/>
    </row>
    <row r="59622" spans="1:141" s="116" customFormat="1">
      <c r="A59622" s="136"/>
      <c r="CM59622" s="111"/>
      <c r="CQ59622" s="111"/>
      <c r="EF59622"/>
      <c r="EG59622"/>
      <c r="EH59622"/>
      <c r="EI59622"/>
      <c r="EJ59622"/>
      <c r="EK59622"/>
    </row>
    <row r="59623" spans="1:141" s="116" customFormat="1">
      <c r="A59623" s="136"/>
      <c r="CM59623" s="111"/>
      <c r="CQ59623" s="111"/>
      <c r="EF59623"/>
      <c r="EG59623"/>
      <c r="EH59623"/>
      <c r="EI59623"/>
      <c r="EJ59623"/>
      <c r="EK59623"/>
    </row>
    <row r="59624" spans="1:141" s="116" customFormat="1">
      <c r="A59624" s="136"/>
      <c r="CM59624" s="111"/>
      <c r="CQ59624" s="111"/>
      <c r="EF59624"/>
      <c r="EG59624"/>
      <c r="EH59624"/>
      <c r="EI59624"/>
      <c r="EJ59624"/>
      <c r="EK59624"/>
    </row>
    <row r="59625" spans="1:141" s="116" customFormat="1">
      <c r="A59625" s="136"/>
      <c r="CM59625" s="111"/>
      <c r="CQ59625" s="111"/>
      <c r="EF59625"/>
      <c r="EG59625"/>
      <c r="EH59625"/>
      <c r="EI59625"/>
      <c r="EJ59625"/>
      <c r="EK59625"/>
    </row>
    <row r="59626" spans="1:141" s="116" customFormat="1">
      <c r="A59626" s="136"/>
      <c r="CM59626" s="111"/>
      <c r="CQ59626" s="111"/>
      <c r="EF59626"/>
      <c r="EG59626"/>
      <c r="EH59626"/>
      <c r="EI59626"/>
      <c r="EJ59626"/>
      <c r="EK59626"/>
    </row>
    <row r="59627" spans="1:141" s="116" customFormat="1">
      <c r="A59627" s="136"/>
      <c r="CM59627" s="111"/>
      <c r="CQ59627" s="111"/>
      <c r="EF59627"/>
      <c r="EG59627"/>
      <c r="EH59627"/>
      <c r="EI59627"/>
      <c r="EJ59627"/>
      <c r="EK59627"/>
    </row>
    <row r="59628" spans="1:141" s="116" customFormat="1">
      <c r="A59628" s="136"/>
      <c r="CM59628" s="111"/>
      <c r="CQ59628" s="111"/>
      <c r="EF59628"/>
      <c r="EG59628"/>
      <c r="EH59628"/>
      <c r="EI59628"/>
      <c r="EJ59628"/>
      <c r="EK59628"/>
    </row>
    <row r="59629" spans="1:141" s="116" customFormat="1">
      <c r="A59629" s="136"/>
      <c r="CM59629" s="111"/>
      <c r="CQ59629" s="111"/>
      <c r="EF59629"/>
      <c r="EG59629"/>
      <c r="EH59629"/>
      <c r="EI59629"/>
      <c r="EJ59629"/>
      <c r="EK59629"/>
    </row>
    <row r="59630" spans="1:141" s="116" customFormat="1">
      <c r="A59630" s="136"/>
      <c r="CM59630" s="111"/>
      <c r="CQ59630" s="111"/>
      <c r="EF59630"/>
      <c r="EG59630"/>
      <c r="EH59630"/>
      <c r="EI59630"/>
      <c r="EJ59630"/>
      <c r="EK59630"/>
    </row>
    <row r="59631" spans="1:141" s="116" customFormat="1">
      <c r="A59631" s="136"/>
      <c r="CM59631" s="111"/>
      <c r="CQ59631" s="111"/>
      <c r="EF59631"/>
      <c r="EG59631"/>
      <c r="EH59631"/>
      <c r="EI59631"/>
      <c r="EJ59631"/>
      <c r="EK59631"/>
    </row>
    <row r="59632" spans="1:141" s="116" customFormat="1">
      <c r="A59632" s="136"/>
      <c r="CM59632" s="111"/>
      <c r="CQ59632" s="111"/>
      <c r="EF59632"/>
      <c r="EG59632"/>
      <c r="EH59632"/>
      <c r="EI59632"/>
      <c r="EJ59632"/>
      <c r="EK59632"/>
    </row>
    <row r="59633" spans="1:141" s="116" customFormat="1">
      <c r="A59633" s="136"/>
      <c r="CM59633" s="111"/>
      <c r="CQ59633" s="111"/>
      <c r="EF59633"/>
      <c r="EG59633"/>
      <c r="EH59633"/>
      <c r="EI59633"/>
      <c r="EJ59633"/>
      <c r="EK59633"/>
    </row>
    <row r="59634" spans="1:141" s="116" customFormat="1">
      <c r="A59634" s="136"/>
      <c r="CM59634" s="111"/>
      <c r="CQ59634" s="111"/>
      <c r="EF59634"/>
      <c r="EG59634"/>
      <c r="EH59634"/>
      <c r="EI59634"/>
      <c r="EJ59634"/>
      <c r="EK59634"/>
    </row>
    <row r="59635" spans="1:141" s="116" customFormat="1">
      <c r="A59635" s="136"/>
      <c r="CM59635" s="111"/>
      <c r="CQ59635" s="111"/>
      <c r="EF59635"/>
      <c r="EG59635"/>
      <c r="EH59635"/>
      <c r="EI59635"/>
      <c r="EJ59635"/>
      <c r="EK59635"/>
    </row>
    <row r="59636" spans="1:141" s="116" customFormat="1">
      <c r="A59636" s="136"/>
      <c r="CM59636" s="111"/>
      <c r="CQ59636" s="111"/>
      <c r="EF59636"/>
      <c r="EG59636"/>
      <c r="EH59636"/>
      <c r="EI59636"/>
      <c r="EJ59636"/>
      <c r="EK59636"/>
    </row>
    <row r="59637" spans="1:141" s="116" customFormat="1">
      <c r="A59637" s="136"/>
      <c r="CM59637" s="111"/>
      <c r="CQ59637" s="111"/>
      <c r="EF59637"/>
      <c r="EG59637"/>
      <c r="EH59637"/>
      <c r="EI59637"/>
      <c r="EJ59637"/>
      <c r="EK59637"/>
    </row>
    <row r="59638" spans="1:141" s="116" customFormat="1">
      <c r="A59638" s="136"/>
      <c r="CM59638" s="111"/>
      <c r="CQ59638" s="111"/>
      <c r="EF59638"/>
      <c r="EG59638"/>
      <c r="EH59638"/>
      <c r="EI59638"/>
      <c r="EJ59638"/>
      <c r="EK59638"/>
    </row>
    <row r="59639" spans="1:141" s="116" customFormat="1">
      <c r="A59639" s="136"/>
      <c r="CM59639" s="111"/>
      <c r="CQ59639" s="111"/>
      <c r="EF59639"/>
      <c r="EG59639"/>
      <c r="EH59639"/>
      <c r="EI59639"/>
      <c r="EJ59639"/>
      <c r="EK59639"/>
    </row>
    <row r="59640" spans="1:141" s="116" customFormat="1">
      <c r="A59640" s="136"/>
      <c r="CM59640" s="111"/>
      <c r="CQ59640" s="111"/>
      <c r="EF59640"/>
      <c r="EG59640"/>
      <c r="EH59640"/>
      <c r="EI59640"/>
      <c r="EJ59640"/>
      <c r="EK59640"/>
    </row>
    <row r="59641" spans="1:141" s="116" customFormat="1">
      <c r="A59641" s="136"/>
      <c r="CM59641" s="111"/>
      <c r="CQ59641" s="111"/>
      <c r="EF59641"/>
      <c r="EG59641"/>
      <c r="EH59641"/>
      <c r="EI59641"/>
      <c r="EJ59641"/>
      <c r="EK59641"/>
    </row>
    <row r="59642" spans="1:141" s="116" customFormat="1">
      <c r="A59642" s="136"/>
      <c r="CM59642" s="111"/>
      <c r="CQ59642" s="111"/>
      <c r="EF59642"/>
      <c r="EG59642"/>
      <c r="EH59642"/>
      <c r="EI59642"/>
      <c r="EJ59642"/>
      <c r="EK59642"/>
    </row>
    <row r="59643" spans="1:141" s="116" customFormat="1">
      <c r="A59643" s="136"/>
      <c r="CM59643" s="111"/>
      <c r="CQ59643" s="111"/>
      <c r="EF59643"/>
      <c r="EG59643"/>
      <c r="EH59643"/>
      <c r="EI59643"/>
      <c r="EJ59643"/>
      <c r="EK59643"/>
    </row>
    <row r="59644" spans="1:141" s="116" customFormat="1">
      <c r="A59644" s="136"/>
      <c r="CM59644" s="111"/>
      <c r="CQ59644" s="111"/>
      <c r="EF59644"/>
      <c r="EG59644"/>
      <c r="EH59644"/>
      <c r="EI59644"/>
      <c r="EJ59644"/>
      <c r="EK59644"/>
    </row>
    <row r="59645" spans="1:141" s="116" customFormat="1">
      <c r="A59645" s="136"/>
      <c r="CM59645" s="111"/>
      <c r="CQ59645" s="111"/>
      <c r="EF59645"/>
      <c r="EG59645"/>
      <c r="EH59645"/>
      <c r="EI59645"/>
      <c r="EJ59645"/>
      <c r="EK59645"/>
    </row>
    <row r="59646" spans="1:141" s="116" customFormat="1">
      <c r="A59646" s="136"/>
      <c r="CM59646" s="111"/>
      <c r="CQ59646" s="111"/>
      <c r="EF59646"/>
      <c r="EG59646"/>
      <c r="EH59646"/>
      <c r="EI59646"/>
      <c r="EJ59646"/>
      <c r="EK59646"/>
    </row>
    <row r="59647" spans="1:141" s="116" customFormat="1">
      <c r="A59647" s="136"/>
      <c r="CM59647" s="111"/>
      <c r="CQ59647" s="111"/>
      <c r="EF59647"/>
      <c r="EG59647"/>
      <c r="EH59647"/>
      <c r="EI59647"/>
      <c r="EJ59647"/>
      <c r="EK59647"/>
    </row>
    <row r="59648" spans="1:141" s="116" customFormat="1">
      <c r="A59648" s="136"/>
      <c r="CM59648" s="111"/>
      <c r="CQ59648" s="111"/>
      <c r="EF59648"/>
      <c r="EG59648"/>
      <c r="EH59648"/>
      <c r="EI59648"/>
      <c r="EJ59648"/>
      <c r="EK59648"/>
    </row>
    <row r="59649" spans="1:141" s="116" customFormat="1">
      <c r="A59649" s="136"/>
      <c r="CM59649" s="111"/>
      <c r="CQ59649" s="111"/>
      <c r="EF59649"/>
      <c r="EG59649"/>
      <c r="EH59649"/>
      <c r="EI59649"/>
      <c r="EJ59649"/>
      <c r="EK59649"/>
    </row>
    <row r="59650" spans="1:141" s="116" customFormat="1">
      <c r="A59650" s="136"/>
      <c r="CM59650" s="111"/>
      <c r="CQ59650" s="111"/>
      <c r="EF59650"/>
      <c r="EG59650"/>
      <c r="EH59650"/>
      <c r="EI59650"/>
      <c r="EJ59650"/>
      <c r="EK59650"/>
    </row>
    <row r="59651" spans="1:141" s="116" customFormat="1">
      <c r="A59651" s="136"/>
      <c r="CM59651" s="111"/>
      <c r="CQ59651" s="111"/>
      <c r="EF59651"/>
      <c r="EG59651"/>
      <c r="EH59651"/>
      <c r="EI59651"/>
      <c r="EJ59651"/>
      <c r="EK59651"/>
    </row>
    <row r="59652" spans="1:141" s="116" customFormat="1">
      <c r="A59652" s="136"/>
      <c r="CM59652" s="111"/>
      <c r="CQ59652" s="111"/>
      <c r="EF59652"/>
      <c r="EG59652"/>
      <c r="EH59652"/>
      <c r="EI59652"/>
      <c r="EJ59652"/>
      <c r="EK59652"/>
    </row>
    <row r="59653" spans="1:141" s="116" customFormat="1">
      <c r="A59653" s="136"/>
      <c r="CM59653" s="111"/>
      <c r="CQ59653" s="111"/>
      <c r="EF59653"/>
      <c r="EG59653"/>
      <c r="EH59653"/>
      <c r="EI59653"/>
      <c r="EJ59653"/>
      <c r="EK59653"/>
    </row>
    <row r="59654" spans="1:141" s="116" customFormat="1">
      <c r="A59654" s="136"/>
      <c r="CM59654" s="111"/>
      <c r="CQ59654" s="111"/>
      <c r="EF59654"/>
      <c r="EG59654"/>
      <c r="EH59654"/>
      <c r="EI59654"/>
      <c r="EJ59654"/>
      <c r="EK59654"/>
    </row>
    <row r="59655" spans="1:141" s="116" customFormat="1">
      <c r="A59655" s="136"/>
      <c r="CM59655" s="111"/>
      <c r="CQ59655" s="111"/>
      <c r="EF59655"/>
      <c r="EG59655"/>
      <c r="EH59655"/>
      <c r="EI59655"/>
      <c r="EJ59655"/>
      <c r="EK59655"/>
    </row>
    <row r="59656" spans="1:141" s="116" customFormat="1">
      <c r="A59656" s="136"/>
      <c r="CM59656" s="111"/>
      <c r="CQ59656" s="111"/>
      <c r="EF59656"/>
      <c r="EG59656"/>
      <c r="EH59656"/>
      <c r="EI59656"/>
      <c r="EJ59656"/>
      <c r="EK59656"/>
    </row>
    <row r="59657" spans="1:141" s="116" customFormat="1">
      <c r="A59657" s="136"/>
      <c r="CM59657" s="111"/>
      <c r="CQ59657" s="111"/>
      <c r="EF59657"/>
      <c r="EG59657"/>
      <c r="EH59657"/>
      <c r="EI59657"/>
      <c r="EJ59657"/>
      <c r="EK59657"/>
    </row>
    <row r="59658" spans="1:141" s="116" customFormat="1">
      <c r="A59658" s="136"/>
      <c r="CM59658" s="111"/>
      <c r="CQ59658" s="111"/>
      <c r="EF59658"/>
      <c r="EG59658"/>
      <c r="EH59658"/>
      <c r="EI59658"/>
      <c r="EJ59658"/>
      <c r="EK59658"/>
    </row>
    <row r="59659" spans="1:141" s="116" customFormat="1">
      <c r="A59659" s="136"/>
      <c r="CM59659" s="111"/>
      <c r="CQ59659" s="111"/>
      <c r="EF59659"/>
      <c r="EG59659"/>
      <c r="EH59659"/>
      <c r="EI59659"/>
      <c r="EJ59659"/>
      <c r="EK59659"/>
    </row>
    <row r="59660" spans="1:141" s="116" customFormat="1">
      <c r="A59660" s="136"/>
      <c r="CM59660" s="111"/>
      <c r="CQ59660" s="111"/>
      <c r="EF59660"/>
      <c r="EG59660"/>
      <c r="EH59660"/>
      <c r="EI59660"/>
      <c r="EJ59660"/>
      <c r="EK59660"/>
    </row>
    <row r="59661" spans="1:141" s="116" customFormat="1">
      <c r="A59661" s="136"/>
      <c r="CM59661" s="111"/>
      <c r="CQ59661" s="111"/>
      <c r="EF59661"/>
      <c r="EG59661"/>
      <c r="EH59661"/>
      <c r="EI59661"/>
      <c r="EJ59661"/>
      <c r="EK59661"/>
    </row>
    <row r="59662" spans="1:141" s="116" customFormat="1">
      <c r="A59662" s="136"/>
      <c r="CM59662" s="111"/>
      <c r="CQ59662" s="111"/>
      <c r="EF59662"/>
      <c r="EG59662"/>
      <c r="EH59662"/>
      <c r="EI59662"/>
      <c r="EJ59662"/>
      <c r="EK59662"/>
    </row>
    <row r="59663" spans="1:141" s="116" customFormat="1">
      <c r="A59663" s="136"/>
      <c r="CM59663" s="111"/>
      <c r="CQ59663" s="111"/>
      <c r="EF59663"/>
      <c r="EG59663"/>
      <c r="EH59663"/>
      <c r="EI59663"/>
      <c r="EJ59663"/>
      <c r="EK59663"/>
    </row>
    <row r="59664" spans="1:141" s="116" customFormat="1">
      <c r="A59664" s="136"/>
      <c r="CM59664" s="111"/>
      <c r="CQ59664" s="111"/>
      <c r="EF59664"/>
      <c r="EG59664"/>
      <c r="EH59664"/>
      <c r="EI59664"/>
      <c r="EJ59664"/>
      <c r="EK59664"/>
    </row>
    <row r="59665" spans="1:141" s="116" customFormat="1">
      <c r="A59665" s="136"/>
      <c r="CM59665" s="111"/>
      <c r="CQ59665" s="111"/>
      <c r="EF59665"/>
      <c r="EG59665"/>
      <c r="EH59665"/>
      <c r="EI59665"/>
      <c r="EJ59665"/>
      <c r="EK59665"/>
    </row>
    <row r="59666" spans="1:141" s="116" customFormat="1">
      <c r="A59666" s="136"/>
      <c r="CM59666" s="111"/>
      <c r="CQ59666" s="111"/>
      <c r="EF59666"/>
      <c r="EG59666"/>
      <c r="EH59666"/>
      <c r="EI59666"/>
      <c r="EJ59666"/>
      <c r="EK59666"/>
    </row>
    <row r="59667" spans="1:141" s="116" customFormat="1">
      <c r="A59667" s="136"/>
      <c r="CM59667" s="111"/>
      <c r="CQ59667" s="111"/>
      <c r="EF59667"/>
      <c r="EG59667"/>
      <c r="EH59667"/>
      <c r="EI59667"/>
      <c r="EJ59667"/>
      <c r="EK59667"/>
    </row>
    <row r="59668" spans="1:141" s="116" customFormat="1">
      <c r="A59668" s="136"/>
      <c r="CM59668" s="111"/>
      <c r="CQ59668" s="111"/>
      <c r="EF59668"/>
      <c r="EG59668"/>
      <c r="EH59668"/>
      <c r="EI59668"/>
      <c r="EJ59668"/>
      <c r="EK59668"/>
    </row>
    <row r="59669" spans="1:141" s="116" customFormat="1">
      <c r="A59669" s="136"/>
      <c r="CM59669" s="111"/>
      <c r="CQ59669" s="111"/>
      <c r="EF59669"/>
      <c r="EG59669"/>
      <c r="EH59669"/>
      <c r="EI59669"/>
      <c r="EJ59669"/>
      <c r="EK59669"/>
    </row>
    <row r="59670" spans="1:141" s="116" customFormat="1">
      <c r="A59670" s="136"/>
      <c r="CM59670" s="111"/>
      <c r="CQ59670" s="111"/>
      <c r="EF59670"/>
      <c r="EG59670"/>
      <c r="EH59670"/>
      <c r="EI59670"/>
      <c r="EJ59670"/>
      <c r="EK59670"/>
    </row>
    <row r="59671" spans="1:141" s="116" customFormat="1">
      <c r="A59671" s="136"/>
      <c r="CM59671" s="111"/>
      <c r="CQ59671" s="111"/>
      <c r="EF59671"/>
      <c r="EG59671"/>
      <c r="EH59671"/>
      <c r="EI59671"/>
      <c r="EJ59671"/>
      <c r="EK59671"/>
    </row>
    <row r="59672" spans="1:141" s="116" customFormat="1">
      <c r="A59672" s="136"/>
      <c r="CM59672" s="111"/>
      <c r="CQ59672" s="111"/>
      <c r="EF59672"/>
      <c r="EG59672"/>
      <c r="EH59672"/>
      <c r="EI59672"/>
      <c r="EJ59672"/>
      <c r="EK59672"/>
    </row>
    <row r="59673" spans="1:141" s="116" customFormat="1">
      <c r="A59673" s="136"/>
      <c r="CM59673" s="111"/>
      <c r="CQ59673" s="111"/>
      <c r="EF59673"/>
      <c r="EG59673"/>
      <c r="EH59673"/>
      <c r="EI59673"/>
      <c r="EJ59673"/>
      <c r="EK59673"/>
    </row>
    <row r="59674" spans="1:141" s="116" customFormat="1">
      <c r="A59674" s="136"/>
      <c r="CM59674" s="111"/>
      <c r="CQ59674" s="111"/>
      <c r="EF59674"/>
      <c r="EG59674"/>
      <c r="EH59674"/>
      <c r="EI59674"/>
      <c r="EJ59674"/>
      <c r="EK59674"/>
    </row>
    <row r="59675" spans="1:141" s="116" customFormat="1">
      <c r="A59675" s="136"/>
      <c r="CM59675" s="111"/>
      <c r="CQ59675" s="111"/>
      <c r="EF59675"/>
      <c r="EG59675"/>
      <c r="EH59675"/>
      <c r="EI59675"/>
      <c r="EJ59675"/>
      <c r="EK59675"/>
    </row>
    <row r="59676" spans="1:141" s="116" customFormat="1">
      <c r="A59676" s="136"/>
      <c r="CM59676" s="111"/>
      <c r="CQ59676" s="111"/>
      <c r="EF59676"/>
      <c r="EG59676"/>
      <c r="EH59676"/>
      <c r="EI59676"/>
      <c r="EJ59676"/>
      <c r="EK59676"/>
    </row>
    <row r="59677" spans="1:141" s="116" customFormat="1">
      <c r="A59677" s="136"/>
      <c r="CM59677" s="111"/>
      <c r="CQ59677" s="111"/>
      <c r="EF59677"/>
      <c r="EG59677"/>
      <c r="EH59677"/>
      <c r="EI59677"/>
      <c r="EJ59677"/>
      <c r="EK59677"/>
    </row>
    <row r="59678" spans="1:141" s="116" customFormat="1">
      <c r="A59678" s="136"/>
      <c r="CM59678" s="111"/>
      <c r="CQ59678" s="111"/>
      <c r="EF59678"/>
      <c r="EG59678"/>
      <c r="EH59678"/>
      <c r="EI59678"/>
      <c r="EJ59678"/>
      <c r="EK59678"/>
    </row>
    <row r="59679" spans="1:141" s="116" customFormat="1">
      <c r="A59679" s="136"/>
      <c r="CM59679" s="111"/>
      <c r="CQ59679" s="111"/>
      <c r="EF59679"/>
      <c r="EG59679"/>
      <c r="EH59679"/>
      <c r="EI59679"/>
      <c r="EJ59679"/>
      <c r="EK59679"/>
    </row>
    <row r="59680" spans="1:141" s="116" customFormat="1">
      <c r="A59680" s="136"/>
      <c r="CM59680" s="111"/>
      <c r="CQ59680" s="111"/>
      <c r="EF59680"/>
      <c r="EG59680"/>
      <c r="EH59680"/>
      <c r="EI59680"/>
      <c r="EJ59680"/>
      <c r="EK59680"/>
    </row>
    <row r="59681" spans="1:141" s="116" customFormat="1">
      <c r="A59681" s="136"/>
      <c r="CM59681" s="111"/>
      <c r="CQ59681" s="111"/>
      <c r="EF59681"/>
      <c r="EG59681"/>
      <c r="EH59681"/>
      <c r="EI59681"/>
      <c r="EJ59681"/>
      <c r="EK59681"/>
    </row>
    <row r="59682" spans="1:141" s="116" customFormat="1">
      <c r="A59682" s="136"/>
      <c r="CM59682" s="111"/>
      <c r="CQ59682" s="111"/>
      <c r="EF59682"/>
      <c r="EG59682"/>
      <c r="EH59682"/>
      <c r="EI59682"/>
      <c r="EJ59682"/>
      <c r="EK59682"/>
    </row>
    <row r="59683" spans="1:141" s="116" customFormat="1">
      <c r="A59683" s="136"/>
      <c r="CM59683" s="111"/>
      <c r="CQ59683" s="111"/>
      <c r="EF59683"/>
      <c r="EG59683"/>
      <c r="EH59683"/>
      <c r="EI59683"/>
      <c r="EJ59683"/>
      <c r="EK59683"/>
    </row>
    <row r="59684" spans="1:141" s="116" customFormat="1">
      <c r="A59684" s="136"/>
      <c r="CM59684" s="111"/>
      <c r="CQ59684" s="111"/>
      <c r="EF59684"/>
      <c r="EG59684"/>
      <c r="EH59684"/>
      <c r="EI59684"/>
      <c r="EJ59684"/>
      <c r="EK59684"/>
    </row>
    <row r="59685" spans="1:141" s="116" customFormat="1">
      <c r="A59685" s="136"/>
      <c r="CM59685" s="111"/>
      <c r="CQ59685" s="111"/>
      <c r="EF59685"/>
      <c r="EG59685"/>
      <c r="EH59685"/>
      <c r="EI59685"/>
      <c r="EJ59685"/>
      <c r="EK59685"/>
    </row>
    <row r="59686" spans="1:141" s="116" customFormat="1">
      <c r="A59686" s="136"/>
      <c r="CM59686" s="111"/>
      <c r="CQ59686" s="111"/>
      <c r="EF59686"/>
      <c r="EG59686"/>
      <c r="EH59686"/>
      <c r="EI59686"/>
      <c r="EJ59686"/>
      <c r="EK59686"/>
    </row>
    <row r="59687" spans="1:141" s="116" customFormat="1">
      <c r="A59687" s="136"/>
      <c r="CM59687" s="111"/>
      <c r="CQ59687" s="111"/>
      <c r="EF59687"/>
      <c r="EG59687"/>
      <c r="EH59687"/>
      <c r="EI59687"/>
      <c r="EJ59687"/>
      <c r="EK59687"/>
    </row>
    <row r="59688" spans="1:141" s="116" customFormat="1">
      <c r="A59688" s="136"/>
      <c r="CM59688" s="111"/>
      <c r="CQ59688" s="111"/>
      <c r="EF59688"/>
      <c r="EG59688"/>
      <c r="EH59688"/>
      <c r="EI59688"/>
      <c r="EJ59688"/>
      <c r="EK59688"/>
    </row>
    <row r="59689" spans="1:141" s="116" customFormat="1">
      <c r="A59689" s="136"/>
      <c r="CM59689" s="111"/>
      <c r="CQ59689" s="111"/>
      <c r="EF59689"/>
      <c r="EG59689"/>
      <c r="EH59689"/>
      <c r="EI59689"/>
      <c r="EJ59689"/>
      <c r="EK59689"/>
    </row>
    <row r="59690" spans="1:141" s="116" customFormat="1">
      <c r="A59690" s="136"/>
      <c r="CM59690" s="111"/>
      <c r="CQ59690" s="111"/>
      <c r="EF59690"/>
      <c r="EG59690"/>
      <c r="EH59690"/>
      <c r="EI59690"/>
      <c r="EJ59690"/>
      <c r="EK59690"/>
    </row>
    <row r="59691" spans="1:141" s="116" customFormat="1">
      <c r="A59691" s="136"/>
      <c r="CM59691" s="111"/>
      <c r="CQ59691" s="111"/>
      <c r="EF59691"/>
      <c r="EG59691"/>
      <c r="EH59691"/>
      <c r="EI59691"/>
      <c r="EJ59691"/>
      <c r="EK59691"/>
    </row>
    <row r="59692" spans="1:141" s="116" customFormat="1">
      <c r="A59692" s="136"/>
      <c r="CM59692" s="111"/>
      <c r="CQ59692" s="111"/>
      <c r="EF59692"/>
      <c r="EG59692"/>
      <c r="EH59692"/>
      <c r="EI59692"/>
      <c r="EJ59692"/>
      <c r="EK59692"/>
    </row>
    <row r="59693" spans="1:141" s="116" customFormat="1">
      <c r="A59693" s="136"/>
      <c r="CM59693" s="111"/>
      <c r="CQ59693" s="111"/>
      <c r="EF59693"/>
      <c r="EG59693"/>
      <c r="EH59693"/>
      <c r="EI59693"/>
      <c r="EJ59693"/>
      <c r="EK59693"/>
    </row>
    <row r="59694" spans="1:141" s="116" customFormat="1">
      <c r="A59694" s="136"/>
      <c r="CM59694" s="111"/>
      <c r="CQ59694" s="111"/>
      <c r="EF59694"/>
      <c r="EG59694"/>
      <c r="EH59694"/>
      <c r="EI59694"/>
      <c r="EJ59694"/>
      <c r="EK59694"/>
    </row>
    <row r="59695" spans="1:141" s="116" customFormat="1">
      <c r="A59695" s="136"/>
      <c r="CM59695" s="111"/>
      <c r="CQ59695" s="111"/>
      <c r="EF59695"/>
      <c r="EG59695"/>
      <c r="EH59695"/>
      <c r="EI59695"/>
      <c r="EJ59695"/>
      <c r="EK59695"/>
    </row>
    <row r="59696" spans="1:141" s="116" customFormat="1">
      <c r="A59696" s="136"/>
      <c r="CM59696" s="111"/>
      <c r="CQ59696" s="111"/>
      <c r="EF59696"/>
      <c r="EG59696"/>
      <c r="EH59696"/>
      <c r="EI59696"/>
      <c r="EJ59696"/>
      <c r="EK59696"/>
    </row>
    <row r="59697" spans="1:141" s="116" customFormat="1">
      <c r="A59697" s="136"/>
      <c r="CM59697" s="111"/>
      <c r="CQ59697" s="111"/>
      <c r="EF59697"/>
      <c r="EG59697"/>
      <c r="EH59697"/>
      <c r="EI59697"/>
      <c r="EJ59697"/>
      <c r="EK59697"/>
    </row>
    <row r="59698" spans="1:141" s="116" customFormat="1">
      <c r="A59698" s="136"/>
      <c r="CM59698" s="111"/>
      <c r="CQ59698" s="111"/>
      <c r="EF59698"/>
      <c r="EG59698"/>
      <c r="EH59698"/>
      <c r="EI59698"/>
      <c r="EJ59698"/>
      <c r="EK59698"/>
    </row>
    <row r="59699" spans="1:141" s="116" customFormat="1">
      <c r="A59699" s="136"/>
      <c r="CM59699" s="111"/>
      <c r="CQ59699" s="111"/>
      <c r="EF59699"/>
      <c r="EG59699"/>
      <c r="EH59699"/>
      <c r="EI59699"/>
      <c r="EJ59699"/>
      <c r="EK59699"/>
    </row>
    <row r="59700" spans="1:141" s="116" customFormat="1">
      <c r="A59700" s="136"/>
      <c r="CM59700" s="111"/>
      <c r="CQ59700" s="111"/>
      <c r="EF59700"/>
      <c r="EG59700"/>
      <c r="EH59700"/>
      <c r="EI59700"/>
      <c r="EJ59700"/>
      <c r="EK59700"/>
    </row>
    <row r="59701" spans="1:141" s="116" customFormat="1">
      <c r="A59701" s="136"/>
      <c r="CM59701" s="111"/>
      <c r="CQ59701" s="111"/>
      <c r="EF59701"/>
      <c r="EG59701"/>
      <c r="EH59701"/>
      <c r="EI59701"/>
      <c r="EJ59701"/>
      <c r="EK59701"/>
    </row>
    <row r="59702" spans="1:141" s="116" customFormat="1">
      <c r="A59702" s="136"/>
      <c r="CM59702" s="111"/>
      <c r="CQ59702" s="111"/>
      <c r="EF59702"/>
      <c r="EG59702"/>
      <c r="EH59702"/>
      <c r="EI59702"/>
      <c r="EJ59702"/>
      <c r="EK59702"/>
    </row>
    <row r="59703" spans="1:141" s="116" customFormat="1">
      <c r="A59703" s="136"/>
      <c r="CM59703" s="111"/>
      <c r="CQ59703" s="111"/>
      <c r="EF59703"/>
      <c r="EG59703"/>
      <c r="EH59703"/>
      <c r="EI59703"/>
      <c r="EJ59703"/>
      <c r="EK59703"/>
    </row>
    <row r="59704" spans="1:141" s="116" customFormat="1">
      <c r="A59704" s="136"/>
      <c r="CM59704" s="111"/>
      <c r="CQ59704" s="111"/>
      <c r="EF59704"/>
      <c r="EG59704"/>
      <c r="EH59704"/>
      <c r="EI59704"/>
      <c r="EJ59704"/>
      <c r="EK59704"/>
    </row>
    <row r="59705" spans="1:141" s="116" customFormat="1">
      <c r="A59705" s="136"/>
      <c r="CM59705" s="111"/>
      <c r="CQ59705" s="111"/>
      <c r="EF59705"/>
      <c r="EG59705"/>
      <c r="EH59705"/>
      <c r="EI59705"/>
      <c r="EJ59705"/>
      <c r="EK59705"/>
    </row>
    <row r="59706" spans="1:141" s="116" customFormat="1">
      <c r="A59706" s="136"/>
      <c r="CM59706" s="111"/>
      <c r="CQ59706" s="111"/>
      <c r="EF59706"/>
      <c r="EG59706"/>
      <c r="EH59706"/>
      <c r="EI59706"/>
      <c r="EJ59706"/>
      <c r="EK59706"/>
    </row>
    <row r="59707" spans="1:141" s="116" customFormat="1">
      <c r="A59707" s="136"/>
      <c r="CM59707" s="111"/>
      <c r="CQ59707" s="111"/>
      <c r="EF59707"/>
      <c r="EG59707"/>
      <c r="EH59707"/>
      <c r="EI59707"/>
      <c r="EJ59707"/>
      <c r="EK59707"/>
    </row>
    <row r="59708" spans="1:141" s="116" customFormat="1">
      <c r="A59708" s="136"/>
      <c r="CM59708" s="111"/>
      <c r="CQ59708" s="111"/>
      <c r="EF59708"/>
      <c r="EG59708"/>
      <c r="EH59708"/>
      <c r="EI59708"/>
      <c r="EJ59708"/>
      <c r="EK59708"/>
    </row>
    <row r="59709" spans="1:141" s="116" customFormat="1">
      <c r="A59709" s="136"/>
      <c r="CM59709" s="111"/>
      <c r="CQ59709" s="111"/>
      <c r="EF59709"/>
      <c r="EG59709"/>
      <c r="EH59709"/>
      <c r="EI59709"/>
      <c r="EJ59709"/>
      <c r="EK59709"/>
    </row>
    <row r="59710" spans="1:141" s="116" customFormat="1">
      <c r="A59710" s="136"/>
      <c r="CM59710" s="111"/>
      <c r="CQ59710" s="111"/>
      <c r="EF59710"/>
      <c r="EG59710"/>
      <c r="EH59710"/>
      <c r="EI59710"/>
      <c r="EJ59710"/>
      <c r="EK59710"/>
    </row>
    <row r="59711" spans="1:141" s="116" customFormat="1">
      <c r="A59711" s="136"/>
      <c r="CM59711" s="111"/>
      <c r="CQ59711" s="111"/>
      <c r="EF59711"/>
      <c r="EG59711"/>
      <c r="EH59711"/>
      <c r="EI59711"/>
      <c r="EJ59711"/>
      <c r="EK59711"/>
    </row>
    <row r="59712" spans="1:141" s="116" customFormat="1">
      <c r="A59712" s="136"/>
      <c r="CM59712" s="111"/>
      <c r="CQ59712" s="111"/>
      <c r="EF59712"/>
      <c r="EG59712"/>
      <c r="EH59712"/>
      <c r="EI59712"/>
      <c r="EJ59712"/>
      <c r="EK59712"/>
    </row>
    <row r="59713" spans="1:141" s="116" customFormat="1">
      <c r="A59713" s="136"/>
      <c r="CM59713" s="111"/>
      <c r="CQ59713" s="111"/>
      <c r="EF59713"/>
      <c r="EG59713"/>
      <c r="EH59713"/>
      <c r="EI59713"/>
      <c r="EJ59713"/>
      <c r="EK59713"/>
    </row>
    <row r="59714" spans="1:141" s="116" customFormat="1">
      <c r="A59714" s="136"/>
      <c r="CM59714" s="111"/>
      <c r="CQ59714" s="111"/>
      <c r="EF59714"/>
      <c r="EG59714"/>
      <c r="EH59714"/>
      <c r="EI59714"/>
      <c r="EJ59714"/>
      <c r="EK59714"/>
    </row>
    <row r="59715" spans="1:141" s="116" customFormat="1">
      <c r="A59715" s="136"/>
      <c r="CM59715" s="111"/>
      <c r="CQ59715" s="111"/>
      <c r="EF59715"/>
      <c r="EG59715"/>
      <c r="EH59715"/>
      <c r="EI59715"/>
      <c r="EJ59715"/>
      <c r="EK59715"/>
    </row>
    <row r="59716" spans="1:141" s="116" customFormat="1">
      <c r="A59716" s="136"/>
      <c r="CM59716" s="111"/>
      <c r="CQ59716" s="111"/>
      <c r="EF59716"/>
      <c r="EG59716"/>
      <c r="EH59716"/>
      <c r="EI59716"/>
      <c r="EJ59716"/>
      <c r="EK59716"/>
    </row>
    <row r="59717" spans="1:141" s="116" customFormat="1">
      <c r="A59717" s="136"/>
      <c r="CM59717" s="111"/>
      <c r="CQ59717" s="111"/>
      <c r="EF59717"/>
      <c r="EG59717"/>
      <c r="EH59717"/>
      <c r="EI59717"/>
      <c r="EJ59717"/>
      <c r="EK59717"/>
    </row>
    <row r="59718" spans="1:141" s="116" customFormat="1">
      <c r="A59718" s="136"/>
      <c r="CM59718" s="111"/>
      <c r="CQ59718" s="111"/>
      <c r="EF59718"/>
      <c r="EG59718"/>
      <c r="EH59718"/>
      <c r="EI59718"/>
      <c r="EJ59718"/>
      <c r="EK59718"/>
    </row>
    <row r="59719" spans="1:141" s="116" customFormat="1">
      <c r="A59719" s="136"/>
      <c r="CM59719" s="111"/>
      <c r="CQ59719" s="111"/>
      <c r="EF59719"/>
      <c r="EG59719"/>
      <c r="EH59719"/>
      <c r="EI59719"/>
      <c r="EJ59719"/>
      <c r="EK59719"/>
    </row>
    <row r="59720" spans="1:141" s="116" customFormat="1">
      <c r="A59720" s="136"/>
      <c r="CM59720" s="111"/>
      <c r="CQ59720" s="111"/>
      <c r="EF59720"/>
      <c r="EG59720"/>
      <c r="EH59720"/>
      <c r="EI59720"/>
      <c r="EJ59720"/>
      <c r="EK59720"/>
    </row>
    <row r="59721" spans="1:141" s="116" customFormat="1">
      <c r="A59721" s="136"/>
      <c r="CM59721" s="111"/>
      <c r="CQ59721" s="111"/>
      <c r="EF59721"/>
      <c r="EG59721"/>
      <c r="EH59721"/>
      <c r="EI59721"/>
      <c r="EJ59721"/>
      <c r="EK59721"/>
    </row>
    <row r="59722" spans="1:141" s="116" customFormat="1">
      <c r="A59722" s="136"/>
      <c r="CM59722" s="111"/>
      <c r="CQ59722" s="111"/>
      <c r="EF59722"/>
      <c r="EG59722"/>
      <c r="EH59722"/>
      <c r="EI59722"/>
      <c r="EJ59722"/>
      <c r="EK59722"/>
    </row>
    <row r="59723" spans="1:141" s="116" customFormat="1">
      <c r="A59723" s="136"/>
      <c r="CM59723" s="111"/>
      <c r="CQ59723" s="111"/>
      <c r="EF59723"/>
      <c r="EG59723"/>
      <c r="EH59723"/>
      <c r="EI59723"/>
      <c r="EJ59723"/>
      <c r="EK59723"/>
    </row>
    <row r="59724" spans="1:141" s="116" customFormat="1">
      <c r="A59724" s="136"/>
      <c r="CM59724" s="111"/>
      <c r="CQ59724" s="111"/>
      <c r="EF59724"/>
      <c r="EG59724"/>
      <c r="EH59724"/>
      <c r="EI59724"/>
      <c r="EJ59724"/>
      <c r="EK59724"/>
    </row>
    <row r="59725" spans="1:141" s="116" customFormat="1">
      <c r="A59725" s="136"/>
      <c r="CM59725" s="111"/>
      <c r="CQ59725" s="111"/>
      <c r="EF59725"/>
      <c r="EG59725"/>
      <c r="EH59725"/>
      <c r="EI59725"/>
      <c r="EJ59725"/>
      <c r="EK59725"/>
    </row>
    <row r="59726" spans="1:141" s="116" customFormat="1">
      <c r="A59726" s="136"/>
      <c r="CM59726" s="111"/>
      <c r="CQ59726" s="111"/>
      <c r="EF59726"/>
      <c r="EG59726"/>
      <c r="EH59726"/>
      <c r="EI59726"/>
      <c r="EJ59726"/>
      <c r="EK59726"/>
    </row>
    <row r="59727" spans="1:141" s="116" customFormat="1">
      <c r="A59727" s="136"/>
      <c r="CM59727" s="111"/>
      <c r="CQ59727" s="111"/>
      <c r="EF59727"/>
      <c r="EG59727"/>
      <c r="EH59727"/>
      <c r="EI59727"/>
      <c r="EJ59727"/>
      <c r="EK59727"/>
    </row>
    <row r="59728" spans="1:141" s="116" customFormat="1">
      <c r="A59728" s="136"/>
      <c r="CM59728" s="111"/>
      <c r="CQ59728" s="111"/>
      <c r="EF59728"/>
      <c r="EG59728"/>
      <c r="EH59728"/>
      <c r="EI59728"/>
      <c r="EJ59728"/>
      <c r="EK59728"/>
    </row>
    <row r="59729" spans="1:141" s="116" customFormat="1">
      <c r="A59729" s="136"/>
      <c r="CM59729" s="111"/>
      <c r="CQ59729" s="111"/>
      <c r="EF59729"/>
      <c r="EG59729"/>
      <c r="EH59729"/>
      <c r="EI59729"/>
      <c r="EJ59729"/>
      <c r="EK59729"/>
    </row>
    <row r="59730" spans="1:141" s="116" customFormat="1">
      <c r="A59730" s="136"/>
      <c r="CM59730" s="111"/>
      <c r="CQ59730" s="111"/>
      <c r="EF59730"/>
      <c r="EG59730"/>
      <c r="EH59730"/>
      <c r="EI59730"/>
      <c r="EJ59730"/>
      <c r="EK59730"/>
    </row>
    <row r="59731" spans="1:141" s="116" customFormat="1">
      <c r="A59731" s="136"/>
      <c r="CM59731" s="111"/>
      <c r="CQ59731" s="111"/>
      <c r="EF59731"/>
      <c r="EG59731"/>
      <c r="EH59731"/>
      <c r="EI59731"/>
      <c r="EJ59731"/>
      <c r="EK59731"/>
    </row>
    <row r="59732" spans="1:141" s="116" customFormat="1">
      <c r="A59732" s="136"/>
      <c r="CM59732" s="111"/>
      <c r="CQ59732" s="111"/>
      <c r="EF59732"/>
      <c r="EG59732"/>
      <c r="EH59732"/>
      <c r="EI59732"/>
      <c r="EJ59732"/>
      <c r="EK59732"/>
    </row>
    <row r="59733" spans="1:141" s="116" customFormat="1">
      <c r="A59733" s="136"/>
      <c r="CM59733" s="111"/>
      <c r="CQ59733" s="111"/>
      <c r="EF59733"/>
      <c r="EG59733"/>
      <c r="EH59733"/>
      <c r="EI59733"/>
      <c r="EJ59733"/>
      <c r="EK59733"/>
    </row>
    <row r="59734" spans="1:141" s="116" customFormat="1">
      <c r="A59734" s="136"/>
      <c r="CM59734" s="111"/>
      <c r="CQ59734" s="111"/>
      <c r="EF59734"/>
      <c r="EG59734"/>
      <c r="EH59734"/>
      <c r="EI59734"/>
      <c r="EJ59734"/>
      <c r="EK59734"/>
    </row>
    <row r="59735" spans="1:141" s="116" customFormat="1">
      <c r="A59735" s="136"/>
      <c r="CM59735" s="111"/>
      <c r="CQ59735" s="111"/>
      <c r="EF59735"/>
      <c r="EG59735"/>
      <c r="EH59735"/>
      <c r="EI59735"/>
      <c r="EJ59735"/>
      <c r="EK59735"/>
    </row>
    <row r="59736" spans="1:141" s="116" customFormat="1">
      <c r="A59736" s="136"/>
      <c r="CM59736" s="111"/>
      <c r="CQ59736" s="111"/>
      <c r="EF59736"/>
      <c r="EG59736"/>
      <c r="EH59736"/>
      <c r="EI59736"/>
      <c r="EJ59736"/>
      <c r="EK59736"/>
    </row>
    <row r="59737" spans="1:141" s="116" customFormat="1">
      <c r="A59737" s="136"/>
      <c r="CM59737" s="111"/>
      <c r="CQ59737" s="111"/>
      <c r="EF59737"/>
      <c r="EG59737"/>
      <c r="EH59737"/>
      <c r="EI59737"/>
      <c r="EJ59737"/>
      <c r="EK59737"/>
    </row>
    <row r="59738" spans="1:141" s="116" customFormat="1">
      <c r="A59738" s="136"/>
      <c r="CM59738" s="111"/>
      <c r="CQ59738" s="111"/>
      <c r="EF59738"/>
      <c r="EG59738"/>
      <c r="EH59738"/>
      <c r="EI59738"/>
      <c r="EJ59738"/>
      <c r="EK59738"/>
    </row>
    <row r="59739" spans="1:141" s="116" customFormat="1">
      <c r="A59739" s="136"/>
      <c r="CM59739" s="111"/>
      <c r="CQ59739" s="111"/>
      <c r="EF59739"/>
      <c r="EG59739"/>
      <c r="EH59739"/>
      <c r="EI59739"/>
      <c r="EJ59739"/>
      <c r="EK59739"/>
    </row>
    <row r="59740" spans="1:141" s="116" customFormat="1">
      <c r="A59740" s="136"/>
      <c r="CM59740" s="111"/>
      <c r="CQ59740" s="111"/>
      <c r="EF59740"/>
      <c r="EG59740"/>
      <c r="EH59740"/>
      <c r="EI59740"/>
      <c r="EJ59740"/>
      <c r="EK59740"/>
    </row>
    <row r="59741" spans="1:141" s="116" customFormat="1">
      <c r="A59741" s="136"/>
      <c r="CM59741" s="111"/>
      <c r="CQ59741" s="111"/>
      <c r="EF59741"/>
      <c r="EG59741"/>
      <c r="EH59741"/>
      <c r="EI59741"/>
      <c r="EJ59741"/>
      <c r="EK59741"/>
    </row>
    <row r="59742" spans="1:141" s="116" customFormat="1">
      <c r="A59742" s="136"/>
      <c r="CM59742" s="111"/>
      <c r="CQ59742" s="111"/>
      <c r="EF59742"/>
      <c r="EG59742"/>
      <c r="EH59742"/>
      <c r="EI59742"/>
      <c r="EJ59742"/>
      <c r="EK59742"/>
    </row>
    <row r="59743" spans="1:141" s="116" customFormat="1">
      <c r="A59743" s="136"/>
      <c r="CM59743" s="111"/>
      <c r="CQ59743" s="111"/>
      <c r="EF59743"/>
      <c r="EG59743"/>
      <c r="EH59743"/>
      <c r="EI59743"/>
      <c r="EJ59743"/>
      <c r="EK59743"/>
    </row>
    <row r="59744" spans="1:141" s="116" customFormat="1">
      <c r="A59744" s="136"/>
      <c r="CM59744" s="111"/>
      <c r="CQ59744" s="111"/>
      <c r="EF59744"/>
      <c r="EG59744"/>
      <c r="EH59744"/>
      <c r="EI59744"/>
      <c r="EJ59744"/>
      <c r="EK59744"/>
    </row>
    <row r="59745" spans="1:141" s="116" customFormat="1">
      <c r="A59745" s="136"/>
      <c r="CM59745" s="111"/>
      <c r="CQ59745" s="111"/>
      <c r="EF59745"/>
      <c r="EG59745"/>
      <c r="EH59745"/>
      <c r="EI59745"/>
      <c r="EJ59745"/>
      <c r="EK59745"/>
    </row>
    <row r="59746" spans="1:141" s="116" customFormat="1">
      <c r="A59746" s="136"/>
      <c r="CM59746" s="111"/>
      <c r="CQ59746" s="111"/>
      <c r="EF59746"/>
      <c r="EG59746"/>
      <c r="EH59746"/>
      <c r="EI59746"/>
      <c r="EJ59746"/>
      <c r="EK59746"/>
    </row>
    <row r="59747" spans="1:141" s="116" customFormat="1">
      <c r="A59747" s="136"/>
      <c r="CM59747" s="111"/>
      <c r="CQ59747" s="111"/>
      <c r="EF59747"/>
      <c r="EG59747"/>
      <c r="EH59747"/>
      <c r="EI59747"/>
      <c r="EJ59747"/>
      <c r="EK59747"/>
    </row>
    <row r="59748" spans="1:141" s="116" customFormat="1">
      <c r="A59748" s="136"/>
      <c r="CM59748" s="111"/>
      <c r="CQ59748" s="111"/>
      <c r="EF59748"/>
      <c r="EG59748"/>
      <c r="EH59748"/>
      <c r="EI59748"/>
      <c r="EJ59748"/>
      <c r="EK59748"/>
    </row>
    <row r="59749" spans="1:141" s="116" customFormat="1">
      <c r="A59749" s="136"/>
      <c r="CM59749" s="111"/>
      <c r="CQ59749" s="111"/>
      <c r="EF59749"/>
      <c r="EG59749"/>
      <c r="EH59749"/>
      <c r="EI59749"/>
      <c r="EJ59749"/>
      <c r="EK59749"/>
    </row>
    <row r="59750" spans="1:141" s="116" customFormat="1">
      <c r="A59750" s="136"/>
      <c r="CM59750" s="111"/>
      <c r="CQ59750" s="111"/>
      <c r="EF59750"/>
      <c r="EG59750"/>
      <c r="EH59750"/>
      <c r="EI59750"/>
      <c r="EJ59750"/>
      <c r="EK59750"/>
    </row>
    <row r="59751" spans="1:141" s="116" customFormat="1">
      <c r="A59751" s="136"/>
      <c r="CM59751" s="111"/>
      <c r="CQ59751" s="111"/>
      <c r="EF59751"/>
      <c r="EG59751"/>
      <c r="EH59751"/>
      <c r="EI59751"/>
      <c r="EJ59751"/>
      <c r="EK59751"/>
    </row>
    <row r="59752" spans="1:141" s="116" customFormat="1">
      <c r="A59752" s="136"/>
      <c r="CM59752" s="111"/>
      <c r="CQ59752" s="111"/>
      <c r="EF59752"/>
      <c r="EG59752"/>
      <c r="EH59752"/>
      <c r="EI59752"/>
      <c r="EJ59752"/>
      <c r="EK59752"/>
    </row>
    <row r="59753" spans="1:141" s="116" customFormat="1">
      <c r="A59753" s="136"/>
      <c r="CM59753" s="111"/>
      <c r="CQ59753" s="111"/>
      <c r="EF59753"/>
      <c r="EG59753"/>
      <c r="EH59753"/>
      <c r="EI59753"/>
      <c r="EJ59753"/>
      <c r="EK59753"/>
    </row>
    <row r="59754" spans="1:141" s="116" customFormat="1">
      <c r="A59754" s="136"/>
      <c r="CM59754" s="111"/>
      <c r="CQ59754" s="111"/>
      <c r="EF59754"/>
      <c r="EG59754"/>
      <c r="EH59754"/>
      <c r="EI59754"/>
      <c r="EJ59754"/>
      <c r="EK59754"/>
    </row>
    <row r="59755" spans="1:141" s="116" customFormat="1">
      <c r="A59755" s="136"/>
      <c r="CM59755" s="111"/>
      <c r="CQ59755" s="111"/>
      <c r="EF59755"/>
      <c r="EG59755"/>
      <c r="EH59755"/>
      <c r="EI59755"/>
      <c r="EJ59755"/>
      <c r="EK59755"/>
    </row>
    <row r="59756" spans="1:141" s="116" customFormat="1">
      <c r="A59756" s="136"/>
      <c r="CM59756" s="111"/>
      <c r="CQ59756" s="111"/>
      <c r="EF59756"/>
      <c r="EG59756"/>
      <c r="EH59756"/>
      <c r="EI59756"/>
      <c r="EJ59756"/>
      <c r="EK59756"/>
    </row>
    <row r="59757" spans="1:141" s="116" customFormat="1">
      <c r="A59757" s="136"/>
      <c r="CM59757" s="111"/>
      <c r="CQ59757" s="111"/>
      <c r="EF59757"/>
      <c r="EG59757"/>
      <c r="EH59757"/>
      <c r="EI59757"/>
      <c r="EJ59757"/>
      <c r="EK59757"/>
    </row>
    <row r="59758" spans="1:141" s="116" customFormat="1">
      <c r="A59758" s="136"/>
      <c r="CM59758" s="111"/>
      <c r="CQ59758" s="111"/>
      <c r="EF59758"/>
      <c r="EG59758"/>
      <c r="EH59758"/>
      <c r="EI59758"/>
      <c r="EJ59758"/>
      <c r="EK59758"/>
    </row>
    <row r="59759" spans="1:141" s="116" customFormat="1">
      <c r="A59759" s="136"/>
      <c r="CM59759" s="111"/>
      <c r="CQ59759" s="111"/>
      <c r="EF59759"/>
      <c r="EG59759"/>
      <c r="EH59759"/>
      <c r="EI59759"/>
      <c r="EJ59759"/>
      <c r="EK59759"/>
    </row>
    <row r="59760" spans="1:141" s="116" customFormat="1">
      <c r="A59760" s="136"/>
      <c r="CM59760" s="111"/>
      <c r="CQ59760" s="111"/>
      <c r="EF59760"/>
      <c r="EG59760"/>
      <c r="EH59760"/>
      <c r="EI59760"/>
      <c r="EJ59760"/>
      <c r="EK59760"/>
    </row>
    <row r="59761" spans="1:141" s="116" customFormat="1">
      <c r="A59761" s="136"/>
      <c r="CM59761" s="111"/>
      <c r="CQ59761" s="111"/>
      <c r="EF59761"/>
      <c r="EG59761"/>
      <c r="EH59761"/>
      <c r="EI59761"/>
      <c r="EJ59761"/>
      <c r="EK59761"/>
    </row>
    <row r="59762" spans="1:141" s="116" customFormat="1">
      <c r="A59762" s="136"/>
      <c r="CM59762" s="111"/>
      <c r="CQ59762" s="111"/>
      <c r="EF59762"/>
      <c r="EG59762"/>
      <c r="EH59762"/>
      <c r="EI59762"/>
      <c r="EJ59762"/>
      <c r="EK59762"/>
    </row>
    <row r="59763" spans="1:141" s="116" customFormat="1">
      <c r="A59763" s="136"/>
      <c r="CM59763" s="111"/>
      <c r="CQ59763" s="111"/>
      <c r="EF59763"/>
      <c r="EG59763"/>
      <c r="EH59763"/>
      <c r="EI59763"/>
      <c r="EJ59763"/>
      <c r="EK59763"/>
    </row>
    <row r="59764" spans="1:141" s="116" customFormat="1">
      <c r="A59764" s="136"/>
      <c r="CM59764" s="111"/>
      <c r="CQ59764" s="111"/>
      <c r="EF59764"/>
      <c r="EG59764"/>
      <c r="EH59764"/>
      <c r="EI59764"/>
      <c r="EJ59764"/>
      <c r="EK59764"/>
    </row>
    <row r="59765" spans="1:141" s="116" customFormat="1">
      <c r="A59765" s="136"/>
      <c r="CM59765" s="111"/>
      <c r="CQ59765" s="111"/>
      <c r="EF59765"/>
      <c r="EG59765"/>
      <c r="EH59765"/>
      <c r="EI59765"/>
      <c r="EJ59765"/>
      <c r="EK59765"/>
    </row>
    <row r="59766" spans="1:141" s="116" customFormat="1">
      <c r="A59766" s="136"/>
      <c r="CM59766" s="111"/>
      <c r="CQ59766" s="111"/>
      <c r="EF59766"/>
      <c r="EG59766"/>
      <c r="EH59766"/>
      <c r="EI59766"/>
      <c r="EJ59766"/>
      <c r="EK59766"/>
    </row>
    <row r="59767" spans="1:141" s="116" customFormat="1">
      <c r="A59767" s="136"/>
      <c r="CM59767" s="111"/>
      <c r="CQ59767" s="111"/>
      <c r="EF59767"/>
      <c r="EG59767"/>
      <c r="EH59767"/>
      <c r="EI59767"/>
      <c r="EJ59767"/>
      <c r="EK59767"/>
    </row>
    <row r="59768" spans="1:141" s="116" customFormat="1">
      <c r="A59768" s="136"/>
      <c r="CM59768" s="111"/>
      <c r="CQ59768" s="111"/>
      <c r="EF59768"/>
      <c r="EG59768"/>
      <c r="EH59768"/>
      <c r="EI59768"/>
      <c r="EJ59768"/>
      <c r="EK59768"/>
    </row>
    <row r="59769" spans="1:141" s="116" customFormat="1">
      <c r="A59769" s="136"/>
      <c r="CM59769" s="111"/>
      <c r="CQ59769" s="111"/>
      <c r="EF59769"/>
      <c r="EG59769"/>
      <c r="EH59769"/>
      <c r="EI59769"/>
      <c r="EJ59769"/>
      <c r="EK59769"/>
    </row>
    <row r="59770" spans="1:141" s="116" customFormat="1">
      <c r="A59770" s="136"/>
      <c r="CM59770" s="111"/>
      <c r="CQ59770" s="111"/>
      <c r="EF59770"/>
      <c r="EG59770"/>
      <c r="EH59770"/>
      <c r="EI59770"/>
      <c r="EJ59770"/>
      <c r="EK59770"/>
    </row>
    <row r="59771" spans="1:141" s="116" customFormat="1">
      <c r="A59771" s="136"/>
      <c r="CM59771" s="111"/>
      <c r="CQ59771" s="111"/>
      <c r="EF59771"/>
      <c r="EG59771"/>
      <c r="EH59771"/>
      <c r="EI59771"/>
      <c r="EJ59771"/>
      <c r="EK59771"/>
    </row>
    <row r="59772" spans="1:141" s="116" customFormat="1">
      <c r="A59772" s="136"/>
      <c r="CM59772" s="111"/>
      <c r="CQ59772" s="111"/>
      <c r="EF59772"/>
      <c r="EG59772"/>
      <c r="EH59772"/>
      <c r="EI59772"/>
      <c r="EJ59772"/>
      <c r="EK59772"/>
    </row>
    <row r="59773" spans="1:141" s="116" customFormat="1">
      <c r="A59773" s="136"/>
      <c r="CM59773" s="111"/>
      <c r="CQ59773" s="111"/>
      <c r="EF59773"/>
      <c r="EG59773"/>
      <c r="EH59773"/>
      <c r="EI59773"/>
      <c r="EJ59773"/>
      <c r="EK59773"/>
    </row>
    <row r="59774" spans="1:141" s="116" customFormat="1">
      <c r="A59774" s="136"/>
      <c r="CM59774" s="111"/>
      <c r="CQ59774" s="111"/>
      <c r="EF59774"/>
      <c r="EG59774"/>
      <c r="EH59774"/>
      <c r="EI59774"/>
      <c r="EJ59774"/>
      <c r="EK59774"/>
    </row>
    <row r="59775" spans="1:141" s="116" customFormat="1">
      <c r="A59775" s="136"/>
      <c r="CM59775" s="111"/>
      <c r="CQ59775" s="111"/>
      <c r="EF59775"/>
      <c r="EG59775"/>
      <c r="EH59775"/>
      <c r="EI59775"/>
      <c r="EJ59775"/>
      <c r="EK59775"/>
    </row>
    <row r="59776" spans="1:141" s="116" customFormat="1">
      <c r="A59776" s="136"/>
      <c r="CM59776" s="111"/>
      <c r="CQ59776" s="111"/>
      <c r="EF59776"/>
      <c r="EG59776"/>
      <c r="EH59776"/>
      <c r="EI59776"/>
      <c r="EJ59776"/>
      <c r="EK59776"/>
    </row>
    <row r="59777" spans="1:141" s="116" customFormat="1">
      <c r="A59777" s="136"/>
      <c r="CM59777" s="111"/>
      <c r="CQ59777" s="111"/>
      <c r="EF59777"/>
      <c r="EG59777"/>
      <c r="EH59777"/>
      <c r="EI59777"/>
      <c r="EJ59777"/>
      <c r="EK59777"/>
    </row>
    <row r="59778" spans="1:141" s="116" customFormat="1">
      <c r="A59778" s="136"/>
      <c r="CM59778" s="111"/>
      <c r="CQ59778" s="111"/>
      <c r="EF59778"/>
      <c r="EG59778"/>
      <c r="EH59778"/>
      <c r="EI59778"/>
      <c r="EJ59778"/>
      <c r="EK59778"/>
    </row>
    <row r="59779" spans="1:141" s="116" customFormat="1">
      <c r="A59779" s="136"/>
      <c r="CM59779" s="111"/>
      <c r="CQ59779" s="111"/>
      <c r="EF59779"/>
      <c r="EG59779"/>
      <c r="EH59779"/>
      <c r="EI59779"/>
      <c r="EJ59779"/>
      <c r="EK59779"/>
    </row>
    <row r="59780" spans="1:141" s="116" customFormat="1">
      <c r="A59780" s="136"/>
      <c r="CM59780" s="111"/>
      <c r="CQ59780" s="111"/>
      <c r="EF59780"/>
      <c r="EG59780"/>
      <c r="EH59780"/>
      <c r="EI59780"/>
      <c r="EJ59780"/>
      <c r="EK59780"/>
    </row>
    <row r="59781" spans="1:141" s="116" customFormat="1">
      <c r="A59781" s="136"/>
      <c r="CM59781" s="111"/>
      <c r="CQ59781" s="111"/>
      <c r="EF59781"/>
      <c r="EG59781"/>
      <c r="EH59781"/>
      <c r="EI59781"/>
      <c r="EJ59781"/>
      <c r="EK59781"/>
    </row>
    <row r="59782" spans="1:141" s="116" customFormat="1">
      <c r="A59782" s="136"/>
      <c r="CM59782" s="111"/>
      <c r="CQ59782" s="111"/>
      <c r="EF59782"/>
      <c r="EG59782"/>
      <c r="EH59782"/>
      <c r="EI59782"/>
      <c r="EJ59782"/>
      <c r="EK59782"/>
    </row>
    <row r="59783" spans="1:141" s="116" customFormat="1">
      <c r="A59783" s="136"/>
      <c r="CM59783" s="111"/>
      <c r="CQ59783" s="111"/>
      <c r="EF59783"/>
      <c r="EG59783"/>
      <c r="EH59783"/>
      <c r="EI59783"/>
      <c r="EJ59783"/>
      <c r="EK59783"/>
    </row>
    <row r="59784" spans="1:141" s="116" customFormat="1">
      <c r="A59784" s="136"/>
      <c r="CM59784" s="111"/>
      <c r="CQ59784" s="111"/>
      <c r="EF59784"/>
      <c r="EG59784"/>
      <c r="EH59784"/>
      <c r="EI59784"/>
      <c r="EJ59784"/>
      <c r="EK59784"/>
    </row>
    <row r="59785" spans="1:141" s="116" customFormat="1">
      <c r="A59785" s="136"/>
      <c r="CM59785" s="111"/>
      <c r="CQ59785" s="111"/>
      <c r="EF59785"/>
      <c r="EG59785"/>
      <c r="EH59785"/>
      <c r="EI59785"/>
      <c r="EJ59785"/>
      <c r="EK59785"/>
    </row>
    <row r="59786" spans="1:141" s="116" customFormat="1">
      <c r="A59786" s="136"/>
      <c r="CM59786" s="111"/>
      <c r="CQ59786" s="111"/>
      <c r="EF59786"/>
      <c r="EG59786"/>
      <c r="EH59786"/>
      <c r="EI59786"/>
      <c r="EJ59786"/>
      <c r="EK59786"/>
    </row>
    <row r="59787" spans="1:141" s="116" customFormat="1">
      <c r="A59787" s="136"/>
      <c r="CM59787" s="111"/>
      <c r="CQ59787" s="111"/>
      <c r="EF59787"/>
      <c r="EG59787"/>
      <c r="EH59787"/>
      <c r="EI59787"/>
      <c r="EJ59787"/>
      <c r="EK59787"/>
    </row>
    <row r="59788" spans="1:141" s="116" customFormat="1">
      <c r="A59788" s="136"/>
      <c r="CM59788" s="111"/>
      <c r="CQ59788" s="111"/>
      <c r="EF59788"/>
      <c r="EG59788"/>
      <c r="EH59788"/>
      <c r="EI59788"/>
      <c r="EJ59788"/>
      <c r="EK59788"/>
    </row>
    <row r="59789" spans="1:141" s="116" customFormat="1">
      <c r="A59789" s="136"/>
      <c r="CM59789" s="111"/>
      <c r="CQ59789" s="111"/>
      <c r="EF59789"/>
      <c r="EG59789"/>
      <c r="EH59789"/>
      <c r="EI59789"/>
      <c r="EJ59789"/>
      <c r="EK59789"/>
    </row>
    <row r="59790" spans="1:141" s="116" customFormat="1">
      <c r="A59790" s="136"/>
      <c r="CM59790" s="111"/>
      <c r="CQ59790" s="111"/>
      <c r="EF59790"/>
      <c r="EG59790"/>
      <c r="EH59790"/>
      <c r="EI59790"/>
      <c r="EJ59790"/>
      <c r="EK59790"/>
    </row>
    <row r="59791" spans="1:141" s="116" customFormat="1">
      <c r="A59791" s="136"/>
      <c r="CM59791" s="111"/>
      <c r="CQ59791" s="111"/>
      <c r="EF59791"/>
      <c r="EG59791"/>
      <c r="EH59791"/>
      <c r="EI59791"/>
      <c r="EJ59791"/>
      <c r="EK59791"/>
    </row>
    <row r="59792" spans="1:141" s="116" customFormat="1">
      <c r="A59792" s="136"/>
      <c r="CM59792" s="111"/>
      <c r="CQ59792" s="111"/>
      <c r="EF59792"/>
      <c r="EG59792"/>
      <c r="EH59792"/>
      <c r="EI59792"/>
      <c r="EJ59792"/>
      <c r="EK59792"/>
    </row>
    <row r="59793" spans="1:141" s="116" customFormat="1">
      <c r="A59793" s="136"/>
      <c r="CM59793" s="111"/>
      <c r="CQ59793" s="111"/>
      <c r="EF59793"/>
      <c r="EG59793"/>
      <c r="EH59793"/>
      <c r="EI59793"/>
      <c r="EJ59793"/>
      <c r="EK59793"/>
    </row>
    <row r="59794" spans="1:141" s="116" customFormat="1">
      <c r="A59794" s="136"/>
      <c r="CM59794" s="111"/>
      <c r="CQ59794" s="111"/>
      <c r="EF59794"/>
      <c r="EG59794"/>
      <c r="EH59794"/>
      <c r="EI59794"/>
      <c r="EJ59794"/>
      <c r="EK59794"/>
    </row>
    <row r="59795" spans="1:141" s="116" customFormat="1">
      <c r="A59795" s="136"/>
      <c r="CM59795" s="111"/>
      <c r="CQ59795" s="111"/>
      <c r="EF59795"/>
      <c r="EG59795"/>
      <c r="EH59795"/>
      <c r="EI59795"/>
      <c r="EJ59795"/>
      <c r="EK59795"/>
    </row>
    <row r="59796" spans="1:141" s="116" customFormat="1">
      <c r="A59796" s="136"/>
      <c r="CM59796" s="111"/>
      <c r="CQ59796" s="111"/>
      <c r="EF59796"/>
      <c r="EG59796"/>
      <c r="EH59796"/>
      <c r="EI59796"/>
      <c r="EJ59796"/>
      <c r="EK59796"/>
    </row>
    <row r="59797" spans="1:141" s="116" customFormat="1">
      <c r="A59797" s="136"/>
      <c r="CM59797" s="111"/>
      <c r="CQ59797" s="111"/>
      <c r="EF59797"/>
      <c r="EG59797"/>
      <c r="EH59797"/>
      <c r="EI59797"/>
      <c r="EJ59797"/>
      <c r="EK59797"/>
    </row>
    <row r="59798" spans="1:141" s="116" customFormat="1">
      <c r="A59798" s="136"/>
      <c r="CM59798" s="111"/>
      <c r="CQ59798" s="111"/>
      <c r="EF59798"/>
      <c r="EG59798"/>
      <c r="EH59798"/>
      <c r="EI59798"/>
      <c r="EJ59798"/>
      <c r="EK59798"/>
    </row>
    <row r="59799" spans="1:141" s="116" customFormat="1">
      <c r="A59799" s="136"/>
      <c r="CM59799" s="111"/>
      <c r="CQ59799" s="111"/>
      <c r="EF59799"/>
      <c r="EG59799"/>
      <c r="EH59799"/>
      <c r="EI59799"/>
      <c r="EJ59799"/>
      <c r="EK59799"/>
    </row>
    <row r="59800" spans="1:141" s="116" customFormat="1">
      <c r="A59800" s="136"/>
      <c r="CM59800" s="111"/>
      <c r="CQ59800" s="111"/>
      <c r="EF59800"/>
      <c r="EG59800"/>
      <c r="EH59800"/>
      <c r="EI59800"/>
      <c r="EJ59800"/>
      <c r="EK59800"/>
    </row>
    <row r="59801" spans="1:141" s="116" customFormat="1">
      <c r="A59801" s="136"/>
      <c r="CM59801" s="111"/>
      <c r="CQ59801" s="111"/>
      <c r="EF59801"/>
      <c r="EG59801"/>
      <c r="EH59801"/>
      <c r="EI59801"/>
      <c r="EJ59801"/>
      <c r="EK59801"/>
    </row>
    <row r="59802" spans="1:141" s="116" customFormat="1">
      <c r="A59802" s="136"/>
      <c r="CM59802" s="111"/>
      <c r="CQ59802" s="111"/>
      <c r="EF59802"/>
      <c r="EG59802"/>
      <c r="EH59802"/>
      <c r="EI59802"/>
      <c r="EJ59802"/>
      <c r="EK59802"/>
    </row>
    <row r="59803" spans="1:141" s="116" customFormat="1">
      <c r="A59803" s="136"/>
      <c r="CM59803" s="111"/>
      <c r="CQ59803" s="111"/>
      <c r="EF59803"/>
      <c r="EG59803"/>
      <c r="EH59803"/>
      <c r="EI59803"/>
      <c r="EJ59803"/>
      <c r="EK59803"/>
    </row>
    <row r="59804" spans="1:141" s="116" customFormat="1">
      <c r="A59804" s="136"/>
      <c r="CM59804" s="111"/>
      <c r="CQ59804" s="111"/>
      <c r="EF59804"/>
      <c r="EG59804"/>
      <c r="EH59804"/>
      <c r="EI59804"/>
      <c r="EJ59804"/>
      <c r="EK59804"/>
    </row>
    <row r="59805" spans="1:141" s="116" customFormat="1">
      <c r="A59805" s="136"/>
      <c r="CM59805" s="111"/>
      <c r="CQ59805" s="111"/>
      <c r="EF59805"/>
      <c r="EG59805"/>
      <c r="EH59805"/>
      <c r="EI59805"/>
      <c r="EJ59805"/>
      <c r="EK59805"/>
    </row>
    <row r="59806" spans="1:141" s="116" customFormat="1">
      <c r="A59806" s="136"/>
      <c r="CM59806" s="111"/>
      <c r="CQ59806" s="111"/>
      <c r="EF59806"/>
      <c r="EG59806"/>
      <c r="EH59806"/>
      <c r="EI59806"/>
      <c r="EJ59806"/>
      <c r="EK59806"/>
    </row>
    <row r="59807" spans="1:141" s="116" customFormat="1">
      <c r="A59807" s="136"/>
      <c r="CM59807" s="111"/>
      <c r="CQ59807" s="111"/>
      <c r="EF59807"/>
      <c r="EG59807"/>
      <c r="EH59807"/>
      <c r="EI59807"/>
      <c r="EJ59807"/>
      <c r="EK59807"/>
    </row>
    <row r="59808" spans="1:141" s="116" customFormat="1">
      <c r="A59808" s="136"/>
      <c r="CM59808" s="111"/>
      <c r="CQ59808" s="111"/>
      <c r="EF59808"/>
      <c r="EG59808"/>
      <c r="EH59808"/>
      <c r="EI59808"/>
      <c r="EJ59808"/>
      <c r="EK59808"/>
    </row>
    <row r="59809" spans="1:141" s="116" customFormat="1">
      <c r="A59809" s="136"/>
      <c r="CM59809" s="111"/>
      <c r="CQ59809" s="111"/>
      <c r="EF59809"/>
      <c r="EG59809"/>
      <c r="EH59809"/>
      <c r="EI59809"/>
      <c r="EJ59809"/>
      <c r="EK59809"/>
    </row>
    <row r="59810" spans="1:141" s="116" customFormat="1">
      <c r="A59810" s="136"/>
      <c r="CM59810" s="111"/>
      <c r="CQ59810" s="111"/>
      <c r="EF59810"/>
      <c r="EG59810"/>
      <c r="EH59810"/>
      <c r="EI59810"/>
      <c r="EJ59810"/>
      <c r="EK59810"/>
    </row>
    <row r="59811" spans="1:141" s="116" customFormat="1">
      <c r="A59811" s="136"/>
      <c r="CM59811" s="111"/>
      <c r="CQ59811" s="111"/>
      <c r="EF59811"/>
      <c r="EG59811"/>
      <c r="EH59811"/>
      <c r="EI59811"/>
      <c r="EJ59811"/>
      <c r="EK59811"/>
    </row>
    <row r="59812" spans="1:141" s="116" customFormat="1">
      <c r="A59812" s="136"/>
      <c r="CM59812" s="111"/>
      <c r="CQ59812" s="111"/>
      <c r="EF59812"/>
      <c r="EG59812"/>
      <c r="EH59812"/>
      <c r="EI59812"/>
      <c r="EJ59812"/>
      <c r="EK59812"/>
    </row>
    <row r="59813" spans="1:141" s="116" customFormat="1">
      <c r="A59813" s="136"/>
      <c r="CM59813" s="111"/>
      <c r="CQ59813" s="111"/>
      <c r="EF59813"/>
      <c r="EG59813"/>
      <c r="EH59813"/>
      <c r="EI59813"/>
      <c r="EJ59813"/>
      <c r="EK59813"/>
    </row>
    <row r="59814" spans="1:141" s="116" customFormat="1">
      <c r="A59814" s="136"/>
      <c r="CM59814" s="111"/>
      <c r="CQ59814" s="111"/>
      <c r="EF59814"/>
      <c r="EG59814"/>
      <c r="EH59814"/>
      <c r="EI59814"/>
      <c r="EJ59814"/>
      <c r="EK59814"/>
    </row>
    <row r="59815" spans="1:141" s="116" customFormat="1">
      <c r="A59815" s="136"/>
      <c r="CM59815" s="111"/>
      <c r="CQ59815" s="111"/>
      <c r="EF59815"/>
      <c r="EG59815"/>
      <c r="EH59815"/>
      <c r="EI59815"/>
      <c r="EJ59815"/>
      <c r="EK59815"/>
    </row>
    <row r="59816" spans="1:141" s="116" customFormat="1">
      <c r="A59816" s="136"/>
      <c r="CM59816" s="111"/>
      <c r="CQ59816" s="111"/>
      <c r="EF59816"/>
      <c r="EG59816"/>
      <c r="EH59816"/>
      <c r="EI59816"/>
      <c r="EJ59816"/>
      <c r="EK59816"/>
    </row>
    <row r="59817" spans="1:141" s="116" customFormat="1">
      <c r="A59817" s="136"/>
      <c r="CM59817" s="111"/>
      <c r="CQ59817" s="111"/>
      <c r="EF59817"/>
      <c r="EG59817"/>
      <c r="EH59817"/>
      <c r="EI59817"/>
      <c r="EJ59817"/>
      <c r="EK59817"/>
    </row>
    <row r="59818" spans="1:141" s="116" customFormat="1">
      <c r="A59818" s="136"/>
      <c r="CM59818" s="111"/>
      <c r="CQ59818" s="111"/>
      <c r="EF59818"/>
      <c r="EG59818"/>
      <c r="EH59818"/>
      <c r="EI59818"/>
      <c r="EJ59818"/>
      <c r="EK59818"/>
    </row>
    <row r="59819" spans="1:141" s="116" customFormat="1">
      <c r="A59819" s="136"/>
      <c r="CM59819" s="111"/>
      <c r="CQ59819" s="111"/>
      <c r="EF59819"/>
      <c r="EG59819"/>
      <c r="EH59819"/>
      <c r="EI59819"/>
      <c r="EJ59819"/>
      <c r="EK59819"/>
    </row>
    <row r="59820" spans="1:141" s="116" customFormat="1">
      <c r="A59820" s="136"/>
      <c r="CM59820" s="111"/>
      <c r="CQ59820" s="111"/>
      <c r="EF59820"/>
      <c r="EG59820"/>
      <c r="EH59820"/>
      <c r="EI59820"/>
      <c r="EJ59820"/>
      <c r="EK59820"/>
    </row>
    <row r="59821" spans="1:141" s="116" customFormat="1">
      <c r="A59821" s="136"/>
      <c r="CM59821" s="111"/>
      <c r="CQ59821" s="111"/>
      <c r="EF59821"/>
      <c r="EG59821"/>
      <c r="EH59821"/>
      <c r="EI59821"/>
      <c r="EJ59821"/>
      <c r="EK59821"/>
    </row>
    <row r="59822" spans="1:141" s="116" customFormat="1">
      <c r="A59822" s="136"/>
      <c r="CM59822" s="111"/>
      <c r="CQ59822" s="111"/>
      <c r="EF59822"/>
      <c r="EG59822"/>
      <c r="EH59822"/>
      <c r="EI59822"/>
      <c r="EJ59822"/>
      <c r="EK59822"/>
    </row>
    <row r="59823" spans="1:141" s="116" customFormat="1">
      <c r="A59823" s="136"/>
      <c r="CM59823" s="111"/>
      <c r="CQ59823" s="111"/>
      <c r="EF59823"/>
      <c r="EG59823"/>
      <c r="EH59823"/>
      <c r="EI59823"/>
      <c r="EJ59823"/>
      <c r="EK59823"/>
    </row>
    <row r="59824" spans="1:141" s="116" customFormat="1">
      <c r="A59824" s="136"/>
      <c r="CM59824" s="111"/>
      <c r="CQ59824" s="111"/>
      <c r="EF59824"/>
      <c r="EG59824"/>
      <c r="EH59824"/>
      <c r="EI59824"/>
      <c r="EJ59824"/>
      <c r="EK59824"/>
    </row>
    <row r="59825" spans="1:141" s="116" customFormat="1">
      <c r="A59825" s="136"/>
      <c r="CM59825" s="111"/>
      <c r="CQ59825" s="111"/>
      <c r="EF59825"/>
      <c r="EG59825"/>
      <c r="EH59825"/>
      <c r="EI59825"/>
      <c r="EJ59825"/>
      <c r="EK59825"/>
    </row>
    <row r="59826" spans="1:141" s="116" customFormat="1">
      <c r="A59826" s="136"/>
      <c r="CM59826" s="111"/>
      <c r="CQ59826" s="111"/>
      <c r="EF59826"/>
      <c r="EG59826"/>
      <c r="EH59826"/>
      <c r="EI59826"/>
      <c r="EJ59826"/>
      <c r="EK59826"/>
    </row>
    <row r="59827" spans="1:141" s="116" customFormat="1">
      <c r="A59827" s="136"/>
      <c r="CM59827" s="111"/>
      <c r="CQ59827" s="111"/>
      <c r="EF59827"/>
      <c r="EG59827"/>
      <c r="EH59827"/>
      <c r="EI59827"/>
      <c r="EJ59827"/>
      <c r="EK59827"/>
    </row>
    <row r="59828" spans="1:141" s="116" customFormat="1">
      <c r="A59828" s="136"/>
      <c r="CM59828" s="111"/>
      <c r="CQ59828" s="111"/>
      <c r="EF59828"/>
      <c r="EG59828"/>
      <c r="EH59828"/>
      <c r="EI59828"/>
      <c r="EJ59828"/>
      <c r="EK59828"/>
    </row>
    <row r="59829" spans="1:141" s="116" customFormat="1">
      <c r="A59829" s="136"/>
      <c r="CM59829" s="111"/>
      <c r="CQ59829" s="111"/>
      <c r="EF59829"/>
      <c r="EG59829"/>
      <c r="EH59829"/>
      <c r="EI59829"/>
      <c r="EJ59829"/>
      <c r="EK59829"/>
    </row>
    <row r="59830" spans="1:141" s="116" customFormat="1">
      <c r="A59830" s="136"/>
      <c r="CM59830" s="111"/>
      <c r="CQ59830" s="111"/>
      <c r="EF59830"/>
      <c r="EG59830"/>
      <c r="EH59830"/>
      <c r="EI59830"/>
      <c r="EJ59830"/>
      <c r="EK59830"/>
    </row>
    <row r="59831" spans="1:141" s="116" customFormat="1">
      <c r="A59831" s="136"/>
      <c r="CM59831" s="111"/>
      <c r="CQ59831" s="111"/>
      <c r="EF59831"/>
      <c r="EG59831"/>
      <c r="EH59831"/>
      <c r="EI59831"/>
      <c r="EJ59831"/>
      <c r="EK59831"/>
    </row>
    <row r="59832" spans="1:141" s="116" customFormat="1">
      <c r="A59832" s="136"/>
      <c r="CM59832" s="111"/>
      <c r="CQ59832" s="111"/>
      <c r="EF59832"/>
      <c r="EG59832"/>
      <c r="EH59832"/>
      <c r="EI59832"/>
      <c r="EJ59832"/>
      <c r="EK59832"/>
    </row>
    <row r="59833" spans="1:141" s="116" customFormat="1">
      <c r="A59833" s="136"/>
      <c r="CM59833" s="111"/>
      <c r="CQ59833" s="111"/>
      <c r="EF59833"/>
      <c r="EG59833"/>
      <c r="EH59833"/>
      <c r="EI59833"/>
      <c r="EJ59833"/>
      <c r="EK59833"/>
    </row>
    <row r="59834" spans="1:141" s="116" customFormat="1">
      <c r="A59834" s="136"/>
      <c r="CM59834" s="111"/>
      <c r="CQ59834" s="111"/>
      <c r="EF59834"/>
      <c r="EG59834"/>
      <c r="EH59834"/>
      <c r="EI59834"/>
      <c r="EJ59834"/>
      <c r="EK59834"/>
    </row>
    <row r="59835" spans="1:141" s="116" customFormat="1">
      <c r="A59835" s="136"/>
      <c r="CM59835" s="111"/>
      <c r="CQ59835" s="111"/>
      <c r="EF59835"/>
      <c r="EG59835"/>
      <c r="EH59835"/>
      <c r="EI59835"/>
      <c r="EJ59835"/>
      <c r="EK59835"/>
    </row>
    <row r="59836" spans="1:141" s="116" customFormat="1">
      <c r="A59836" s="136"/>
      <c r="CM59836" s="111"/>
      <c r="CQ59836" s="111"/>
      <c r="EF59836"/>
      <c r="EG59836"/>
      <c r="EH59836"/>
      <c r="EI59836"/>
      <c r="EJ59836"/>
      <c r="EK59836"/>
    </row>
    <row r="59837" spans="1:141" s="116" customFormat="1">
      <c r="A59837" s="136"/>
      <c r="CM59837" s="111"/>
      <c r="CQ59837" s="111"/>
      <c r="EF59837"/>
      <c r="EG59837"/>
      <c r="EH59837"/>
      <c r="EI59837"/>
      <c r="EJ59837"/>
      <c r="EK59837"/>
    </row>
    <row r="59838" spans="1:141" s="116" customFormat="1">
      <c r="A59838" s="136"/>
      <c r="CM59838" s="111"/>
      <c r="CQ59838" s="111"/>
      <c r="EF59838"/>
      <c r="EG59838"/>
      <c r="EH59838"/>
      <c r="EI59838"/>
      <c r="EJ59838"/>
      <c r="EK59838"/>
    </row>
    <row r="59839" spans="1:141" s="116" customFormat="1">
      <c r="A59839" s="136"/>
      <c r="CM59839" s="111"/>
      <c r="CQ59839" s="111"/>
      <c r="EF59839"/>
      <c r="EG59839"/>
      <c r="EH59839"/>
      <c r="EI59839"/>
      <c r="EJ59839"/>
      <c r="EK59839"/>
    </row>
    <row r="59840" spans="1:141" s="116" customFormat="1">
      <c r="A59840" s="136"/>
      <c r="CM59840" s="111"/>
      <c r="CQ59840" s="111"/>
      <c r="EF59840"/>
      <c r="EG59840"/>
      <c r="EH59840"/>
      <c r="EI59840"/>
      <c r="EJ59840"/>
      <c r="EK59840"/>
    </row>
    <row r="59841" spans="1:141" s="116" customFormat="1">
      <c r="A59841" s="136"/>
      <c r="CM59841" s="111"/>
      <c r="CQ59841" s="111"/>
      <c r="EF59841"/>
      <c r="EG59841"/>
      <c r="EH59841"/>
      <c r="EI59841"/>
      <c r="EJ59841"/>
      <c r="EK59841"/>
    </row>
    <row r="59842" spans="1:141" s="116" customFormat="1">
      <c r="A59842" s="136"/>
      <c r="CM59842" s="111"/>
      <c r="CQ59842" s="111"/>
      <c r="EF59842"/>
      <c r="EG59842"/>
      <c r="EH59842"/>
      <c r="EI59842"/>
      <c r="EJ59842"/>
      <c r="EK59842"/>
    </row>
    <row r="59843" spans="1:141" s="116" customFormat="1">
      <c r="A59843" s="136"/>
      <c r="CM59843" s="111"/>
      <c r="CQ59843" s="111"/>
      <c r="EF59843"/>
      <c r="EG59843"/>
      <c r="EH59843"/>
      <c r="EI59843"/>
      <c r="EJ59843"/>
      <c r="EK59843"/>
    </row>
    <row r="59844" spans="1:141" s="116" customFormat="1">
      <c r="A59844" s="136"/>
      <c r="CM59844" s="111"/>
      <c r="CQ59844" s="111"/>
      <c r="EF59844"/>
      <c r="EG59844"/>
      <c r="EH59844"/>
      <c r="EI59844"/>
      <c r="EJ59844"/>
      <c r="EK59844"/>
    </row>
    <row r="59845" spans="1:141" s="116" customFormat="1">
      <c r="A59845" s="136"/>
      <c r="CM59845" s="111"/>
      <c r="CQ59845" s="111"/>
      <c r="EF59845"/>
      <c r="EG59845"/>
      <c r="EH59845"/>
      <c r="EI59845"/>
      <c r="EJ59845"/>
      <c r="EK59845"/>
    </row>
    <row r="59846" spans="1:141" s="116" customFormat="1">
      <c r="A59846" s="136"/>
      <c r="CM59846" s="111"/>
      <c r="CQ59846" s="111"/>
      <c r="EF59846"/>
      <c r="EG59846"/>
      <c r="EH59846"/>
      <c r="EI59846"/>
      <c r="EJ59846"/>
      <c r="EK59846"/>
    </row>
    <row r="59847" spans="1:141" s="116" customFormat="1">
      <c r="A59847" s="136"/>
      <c r="CM59847" s="111"/>
      <c r="CQ59847" s="111"/>
      <c r="EF59847"/>
      <c r="EG59847"/>
      <c r="EH59847"/>
      <c r="EI59847"/>
      <c r="EJ59847"/>
      <c r="EK59847"/>
    </row>
    <row r="59848" spans="1:141" s="116" customFormat="1">
      <c r="A59848" s="136"/>
      <c r="CM59848" s="111"/>
      <c r="CQ59848" s="111"/>
      <c r="EF59848"/>
      <c r="EG59848"/>
      <c r="EH59848"/>
      <c r="EI59848"/>
      <c r="EJ59848"/>
      <c r="EK59848"/>
    </row>
    <row r="59849" spans="1:141" s="116" customFormat="1">
      <c r="A59849" s="136"/>
      <c r="CM59849" s="111"/>
      <c r="CQ59849" s="111"/>
      <c r="EF59849"/>
      <c r="EG59849"/>
      <c r="EH59849"/>
      <c r="EI59849"/>
      <c r="EJ59849"/>
      <c r="EK59849"/>
    </row>
    <row r="59850" spans="1:141" s="116" customFormat="1">
      <c r="A59850" s="136"/>
      <c r="CM59850" s="111"/>
      <c r="CQ59850" s="111"/>
      <c r="EF59850"/>
      <c r="EG59850"/>
      <c r="EH59850"/>
      <c r="EI59850"/>
      <c r="EJ59850"/>
      <c r="EK59850"/>
    </row>
    <row r="59851" spans="1:141" s="116" customFormat="1">
      <c r="A59851" s="136"/>
      <c r="CM59851" s="111"/>
      <c r="CQ59851" s="111"/>
      <c r="EF59851"/>
      <c r="EG59851"/>
      <c r="EH59851"/>
      <c r="EI59851"/>
      <c r="EJ59851"/>
      <c r="EK59851"/>
    </row>
    <row r="59852" spans="1:141" s="116" customFormat="1">
      <c r="A59852" s="136"/>
      <c r="CM59852" s="111"/>
      <c r="CQ59852" s="111"/>
      <c r="EF59852"/>
      <c r="EG59852"/>
      <c r="EH59852"/>
      <c r="EI59852"/>
      <c r="EJ59852"/>
      <c r="EK59852"/>
    </row>
    <row r="59853" spans="1:141" s="116" customFormat="1">
      <c r="A59853" s="136"/>
      <c r="CM59853" s="111"/>
      <c r="CQ59853" s="111"/>
      <c r="EF59853"/>
      <c r="EG59853"/>
      <c r="EH59853"/>
      <c r="EI59853"/>
      <c r="EJ59853"/>
      <c r="EK59853"/>
    </row>
    <row r="59854" spans="1:141" s="116" customFormat="1">
      <c r="A59854" s="136"/>
      <c r="CM59854" s="111"/>
      <c r="CQ59854" s="111"/>
      <c r="EF59854"/>
      <c r="EG59854"/>
      <c r="EH59854"/>
      <c r="EI59854"/>
      <c r="EJ59854"/>
      <c r="EK59854"/>
    </row>
    <row r="59855" spans="1:141" s="116" customFormat="1">
      <c r="A59855" s="136"/>
      <c r="CM59855" s="111"/>
      <c r="CQ59855" s="111"/>
      <c r="EF59855"/>
      <c r="EG59855"/>
      <c r="EH59855"/>
      <c r="EI59855"/>
      <c r="EJ59855"/>
      <c r="EK59855"/>
    </row>
    <row r="59856" spans="1:141" s="116" customFormat="1">
      <c r="A59856" s="136"/>
      <c r="CM59856" s="111"/>
      <c r="CQ59856" s="111"/>
      <c r="EF59856"/>
      <c r="EG59856"/>
      <c r="EH59856"/>
      <c r="EI59856"/>
      <c r="EJ59856"/>
      <c r="EK59856"/>
    </row>
    <row r="59857" spans="1:141" s="116" customFormat="1">
      <c r="A59857" s="136"/>
      <c r="CM59857" s="111"/>
      <c r="CQ59857" s="111"/>
      <c r="EF59857"/>
      <c r="EG59857"/>
      <c r="EH59857"/>
      <c r="EI59857"/>
      <c r="EJ59857"/>
      <c r="EK59857"/>
    </row>
    <row r="59858" spans="1:141" s="116" customFormat="1">
      <c r="A59858" s="136"/>
      <c r="CM59858" s="111"/>
      <c r="CQ59858" s="111"/>
      <c r="EF59858"/>
      <c r="EG59858"/>
      <c r="EH59858"/>
      <c r="EI59858"/>
      <c r="EJ59858"/>
      <c r="EK59858"/>
    </row>
    <row r="59859" spans="1:141" s="116" customFormat="1">
      <c r="A59859" s="136"/>
      <c r="CM59859" s="111"/>
      <c r="CQ59859" s="111"/>
      <c r="EF59859"/>
      <c r="EG59859"/>
      <c r="EH59859"/>
      <c r="EI59859"/>
      <c r="EJ59859"/>
      <c r="EK59859"/>
    </row>
    <row r="59860" spans="1:141" s="116" customFormat="1">
      <c r="A59860" s="136"/>
      <c r="CM59860" s="111"/>
      <c r="CQ59860" s="111"/>
      <c r="EF59860"/>
      <c r="EG59860"/>
      <c r="EH59860"/>
      <c r="EI59860"/>
      <c r="EJ59860"/>
      <c r="EK59860"/>
    </row>
    <row r="59861" spans="1:141" s="116" customFormat="1">
      <c r="A59861" s="136"/>
      <c r="CM59861" s="111"/>
      <c r="CQ59861" s="111"/>
      <c r="EF59861"/>
      <c r="EG59861"/>
      <c r="EH59861"/>
      <c r="EI59861"/>
      <c r="EJ59861"/>
      <c r="EK59861"/>
    </row>
    <row r="59862" spans="1:141" s="116" customFormat="1">
      <c r="A59862" s="136"/>
      <c r="CM59862" s="111"/>
      <c r="CQ59862" s="111"/>
      <c r="EF59862"/>
      <c r="EG59862"/>
      <c r="EH59862"/>
      <c r="EI59862"/>
      <c r="EJ59862"/>
      <c r="EK59862"/>
    </row>
    <row r="59863" spans="1:141" s="116" customFormat="1">
      <c r="A59863" s="136"/>
      <c r="CM59863" s="111"/>
      <c r="CQ59863" s="111"/>
      <c r="EF59863"/>
      <c r="EG59863"/>
      <c r="EH59863"/>
      <c r="EI59863"/>
      <c r="EJ59863"/>
      <c r="EK59863"/>
    </row>
    <row r="59864" spans="1:141" s="116" customFormat="1">
      <c r="A59864" s="136"/>
      <c r="CM59864" s="111"/>
      <c r="CQ59864" s="111"/>
      <c r="EF59864"/>
      <c r="EG59864"/>
      <c r="EH59864"/>
      <c r="EI59864"/>
      <c r="EJ59864"/>
      <c r="EK59864"/>
    </row>
    <row r="59865" spans="1:141" s="116" customFormat="1">
      <c r="A59865" s="136"/>
      <c r="CM59865" s="111"/>
      <c r="CQ59865" s="111"/>
      <c r="EF59865"/>
      <c r="EG59865"/>
      <c r="EH59865"/>
      <c r="EI59865"/>
      <c r="EJ59865"/>
      <c r="EK59865"/>
    </row>
    <row r="59866" spans="1:141" s="116" customFormat="1">
      <c r="A59866" s="136"/>
      <c r="CM59866" s="111"/>
      <c r="CQ59866" s="111"/>
      <c r="EF59866"/>
      <c r="EG59866"/>
      <c r="EH59866"/>
      <c r="EI59866"/>
      <c r="EJ59866"/>
      <c r="EK59866"/>
    </row>
    <row r="59867" spans="1:141" s="116" customFormat="1">
      <c r="A59867" s="136"/>
      <c r="CM59867" s="111"/>
      <c r="CQ59867" s="111"/>
      <c r="EF59867"/>
      <c r="EG59867"/>
      <c r="EH59867"/>
      <c r="EI59867"/>
      <c r="EJ59867"/>
      <c r="EK59867"/>
    </row>
    <row r="59868" spans="1:141" s="116" customFormat="1">
      <c r="A59868" s="136"/>
      <c r="CM59868" s="111"/>
      <c r="CQ59868" s="111"/>
      <c r="EF59868"/>
      <c r="EG59868"/>
      <c r="EH59868"/>
      <c r="EI59868"/>
      <c r="EJ59868"/>
      <c r="EK59868"/>
    </row>
    <row r="59869" spans="1:141" s="116" customFormat="1">
      <c r="A59869" s="136"/>
      <c r="CM59869" s="111"/>
      <c r="CQ59869" s="111"/>
      <c r="EF59869"/>
      <c r="EG59869"/>
      <c r="EH59869"/>
      <c r="EI59869"/>
      <c r="EJ59869"/>
      <c r="EK59869"/>
    </row>
    <row r="59870" spans="1:141" s="116" customFormat="1">
      <c r="A59870" s="136"/>
      <c r="CM59870" s="111"/>
      <c r="CQ59870" s="111"/>
      <c r="EF59870"/>
      <c r="EG59870"/>
      <c r="EH59870"/>
      <c r="EI59870"/>
      <c r="EJ59870"/>
      <c r="EK59870"/>
    </row>
    <row r="59871" spans="1:141" s="116" customFormat="1">
      <c r="A59871" s="136"/>
      <c r="CM59871" s="111"/>
      <c r="CQ59871" s="111"/>
      <c r="EF59871"/>
      <c r="EG59871"/>
      <c r="EH59871"/>
      <c r="EI59871"/>
      <c r="EJ59871"/>
      <c r="EK59871"/>
    </row>
    <row r="59872" spans="1:141" s="116" customFormat="1">
      <c r="A59872" s="136"/>
      <c r="CM59872" s="111"/>
      <c r="CQ59872" s="111"/>
      <c r="EF59872"/>
      <c r="EG59872"/>
      <c r="EH59872"/>
      <c r="EI59872"/>
      <c r="EJ59872"/>
      <c r="EK59872"/>
    </row>
    <row r="59873" spans="1:141" s="116" customFormat="1">
      <c r="A59873" s="136"/>
      <c r="CM59873" s="111"/>
      <c r="CQ59873" s="111"/>
      <c r="EF59873"/>
      <c r="EG59873"/>
      <c r="EH59873"/>
      <c r="EI59873"/>
      <c r="EJ59873"/>
      <c r="EK59873"/>
    </row>
    <row r="59874" spans="1:141" s="116" customFormat="1">
      <c r="A59874" s="136"/>
      <c r="CM59874" s="111"/>
      <c r="CQ59874" s="111"/>
      <c r="EF59874"/>
      <c r="EG59874"/>
      <c r="EH59874"/>
      <c r="EI59874"/>
      <c r="EJ59874"/>
      <c r="EK59874"/>
    </row>
    <row r="59875" spans="1:141" s="116" customFormat="1">
      <c r="A59875" s="136"/>
      <c r="CM59875" s="111"/>
      <c r="CQ59875" s="111"/>
      <c r="EF59875"/>
      <c r="EG59875"/>
      <c r="EH59875"/>
      <c r="EI59875"/>
      <c r="EJ59875"/>
      <c r="EK59875"/>
    </row>
    <row r="59876" spans="1:141" s="116" customFormat="1">
      <c r="A59876" s="136"/>
      <c r="CM59876" s="111"/>
      <c r="CQ59876" s="111"/>
      <c r="EF59876"/>
      <c r="EG59876"/>
      <c r="EH59876"/>
      <c r="EI59876"/>
      <c r="EJ59876"/>
      <c r="EK59876"/>
    </row>
    <row r="59877" spans="1:141" s="116" customFormat="1">
      <c r="A59877" s="136"/>
      <c r="CM59877" s="111"/>
      <c r="CQ59877" s="111"/>
      <c r="EF59877"/>
      <c r="EG59877"/>
      <c r="EH59877"/>
      <c r="EI59877"/>
      <c r="EJ59877"/>
      <c r="EK59877"/>
    </row>
    <row r="59878" spans="1:141" s="116" customFormat="1">
      <c r="A59878" s="136"/>
      <c r="CM59878" s="111"/>
      <c r="CQ59878" s="111"/>
      <c r="EF59878"/>
      <c r="EG59878"/>
      <c r="EH59878"/>
      <c r="EI59878"/>
      <c r="EJ59878"/>
      <c r="EK59878"/>
    </row>
    <row r="59879" spans="1:141" s="116" customFormat="1">
      <c r="A59879" s="136"/>
      <c r="CM59879" s="111"/>
      <c r="CQ59879" s="111"/>
      <c r="EF59879"/>
      <c r="EG59879"/>
      <c r="EH59879"/>
      <c r="EI59879"/>
      <c r="EJ59879"/>
      <c r="EK59879"/>
    </row>
    <row r="59880" spans="1:141" s="116" customFormat="1">
      <c r="A59880" s="136"/>
      <c r="CM59880" s="111"/>
      <c r="CQ59880" s="111"/>
      <c r="EF59880"/>
      <c r="EG59880"/>
      <c r="EH59880"/>
      <c r="EI59880"/>
      <c r="EJ59880"/>
      <c r="EK59880"/>
    </row>
    <row r="59881" spans="1:141" s="116" customFormat="1">
      <c r="A59881" s="136"/>
      <c r="CM59881" s="111"/>
      <c r="CQ59881" s="111"/>
      <c r="EF59881"/>
      <c r="EG59881"/>
      <c r="EH59881"/>
      <c r="EI59881"/>
      <c r="EJ59881"/>
      <c r="EK59881"/>
    </row>
    <row r="59882" spans="1:141" s="116" customFormat="1">
      <c r="A59882" s="136"/>
      <c r="CM59882" s="111"/>
      <c r="CQ59882" s="111"/>
      <c r="EF59882"/>
      <c r="EG59882"/>
      <c r="EH59882"/>
      <c r="EI59882"/>
      <c r="EJ59882"/>
      <c r="EK59882"/>
    </row>
    <row r="59883" spans="1:141" s="116" customFormat="1">
      <c r="A59883" s="136"/>
      <c r="CM59883" s="111"/>
      <c r="CQ59883" s="111"/>
      <c r="EF59883"/>
      <c r="EG59883"/>
      <c r="EH59883"/>
      <c r="EI59883"/>
      <c r="EJ59883"/>
      <c r="EK59883"/>
    </row>
    <row r="59884" spans="1:141" s="116" customFormat="1">
      <c r="A59884" s="136"/>
      <c r="CM59884" s="111"/>
      <c r="CQ59884" s="111"/>
      <c r="EF59884"/>
      <c r="EG59884"/>
      <c r="EH59884"/>
      <c r="EI59884"/>
      <c r="EJ59884"/>
      <c r="EK59884"/>
    </row>
    <row r="59885" spans="1:141" s="116" customFormat="1">
      <c r="A59885" s="136"/>
      <c r="CM59885" s="111"/>
      <c r="CQ59885" s="111"/>
      <c r="EF59885"/>
      <c r="EG59885"/>
      <c r="EH59885"/>
      <c r="EI59885"/>
      <c r="EJ59885"/>
      <c r="EK59885"/>
    </row>
    <row r="59886" spans="1:141" s="116" customFormat="1">
      <c r="A59886" s="136"/>
      <c r="CM59886" s="111"/>
      <c r="CQ59886" s="111"/>
      <c r="EF59886"/>
      <c r="EG59886"/>
      <c r="EH59886"/>
      <c r="EI59886"/>
      <c r="EJ59886"/>
      <c r="EK59886"/>
    </row>
    <row r="59887" spans="1:141" s="116" customFormat="1">
      <c r="A59887" s="136"/>
      <c r="CM59887" s="111"/>
      <c r="CQ59887" s="111"/>
      <c r="EF59887"/>
      <c r="EG59887"/>
      <c r="EH59887"/>
      <c r="EI59887"/>
      <c r="EJ59887"/>
      <c r="EK59887"/>
    </row>
    <row r="59888" spans="1:141" s="116" customFormat="1">
      <c r="A59888" s="136"/>
      <c r="CM59888" s="111"/>
      <c r="CQ59888" s="111"/>
      <c r="EF59888"/>
      <c r="EG59888"/>
      <c r="EH59888"/>
      <c r="EI59888"/>
      <c r="EJ59888"/>
      <c r="EK59888"/>
    </row>
    <row r="59889" spans="1:141" s="116" customFormat="1">
      <c r="A59889" s="136"/>
      <c r="CM59889" s="111"/>
      <c r="CQ59889" s="111"/>
      <c r="EF59889"/>
      <c r="EG59889"/>
      <c r="EH59889"/>
      <c r="EI59889"/>
      <c r="EJ59889"/>
      <c r="EK59889"/>
    </row>
    <row r="59890" spans="1:141" s="116" customFormat="1">
      <c r="A59890" s="136"/>
      <c r="CM59890" s="111"/>
      <c r="CQ59890" s="111"/>
      <c r="EF59890"/>
      <c r="EG59890"/>
      <c r="EH59890"/>
      <c r="EI59890"/>
      <c r="EJ59890"/>
      <c r="EK59890"/>
    </row>
    <row r="59891" spans="1:141" s="116" customFormat="1">
      <c r="A59891" s="136"/>
      <c r="CM59891" s="111"/>
      <c r="CQ59891" s="111"/>
      <c r="EF59891"/>
      <c r="EG59891"/>
      <c r="EH59891"/>
      <c r="EI59891"/>
      <c r="EJ59891"/>
      <c r="EK59891"/>
    </row>
    <row r="59892" spans="1:141" s="116" customFormat="1">
      <c r="A59892" s="136"/>
      <c r="CM59892" s="111"/>
      <c r="CQ59892" s="111"/>
      <c r="EF59892"/>
      <c r="EG59892"/>
      <c r="EH59892"/>
      <c r="EI59892"/>
      <c r="EJ59892"/>
      <c r="EK59892"/>
    </row>
    <row r="59893" spans="1:141" s="116" customFormat="1">
      <c r="A59893" s="136"/>
      <c r="CM59893" s="111"/>
      <c r="CQ59893" s="111"/>
      <c r="EF59893"/>
      <c r="EG59893"/>
      <c r="EH59893"/>
      <c r="EI59893"/>
      <c r="EJ59893"/>
      <c r="EK59893"/>
    </row>
    <row r="59894" spans="1:141" s="116" customFormat="1">
      <c r="A59894" s="136"/>
      <c r="CM59894" s="111"/>
      <c r="CQ59894" s="111"/>
      <c r="EF59894"/>
      <c r="EG59894"/>
      <c r="EH59894"/>
      <c r="EI59894"/>
      <c r="EJ59894"/>
      <c r="EK59894"/>
    </row>
    <row r="59895" spans="1:141" s="116" customFormat="1">
      <c r="A59895" s="136"/>
      <c r="CM59895" s="111"/>
      <c r="CQ59895" s="111"/>
      <c r="EF59895"/>
      <c r="EG59895"/>
      <c r="EH59895"/>
      <c r="EI59895"/>
      <c r="EJ59895"/>
      <c r="EK59895"/>
    </row>
    <row r="59896" spans="1:141" s="116" customFormat="1">
      <c r="A59896" s="136"/>
      <c r="CM59896" s="111"/>
      <c r="CQ59896" s="111"/>
      <c r="EF59896"/>
      <c r="EG59896"/>
      <c r="EH59896"/>
      <c r="EI59896"/>
      <c r="EJ59896"/>
      <c r="EK59896"/>
    </row>
    <row r="59897" spans="1:141" s="116" customFormat="1">
      <c r="A59897" s="136"/>
      <c r="CM59897" s="111"/>
      <c r="CQ59897" s="111"/>
      <c r="EF59897"/>
      <c r="EG59897"/>
      <c r="EH59897"/>
      <c r="EI59897"/>
      <c r="EJ59897"/>
      <c r="EK59897"/>
    </row>
    <row r="59898" spans="1:141" s="116" customFormat="1">
      <c r="A59898" s="136"/>
      <c r="CM59898" s="111"/>
      <c r="CQ59898" s="111"/>
      <c r="EF59898"/>
      <c r="EG59898"/>
      <c r="EH59898"/>
      <c r="EI59898"/>
      <c r="EJ59898"/>
      <c r="EK59898"/>
    </row>
    <row r="59899" spans="1:141" s="116" customFormat="1">
      <c r="A59899" s="136"/>
      <c r="CM59899" s="111"/>
      <c r="CQ59899" s="111"/>
      <c r="EF59899"/>
      <c r="EG59899"/>
      <c r="EH59899"/>
      <c r="EI59899"/>
      <c r="EJ59899"/>
      <c r="EK59899"/>
    </row>
    <row r="59900" spans="1:141" s="116" customFormat="1">
      <c r="A59900" s="136"/>
      <c r="CM59900" s="111"/>
      <c r="CQ59900" s="111"/>
      <c r="EF59900"/>
      <c r="EG59900"/>
      <c r="EH59900"/>
      <c r="EI59900"/>
      <c r="EJ59900"/>
      <c r="EK59900"/>
    </row>
    <row r="59901" spans="1:141" s="116" customFormat="1">
      <c r="A59901" s="136"/>
      <c r="CM59901" s="111"/>
      <c r="CQ59901" s="111"/>
      <c r="EF59901"/>
      <c r="EG59901"/>
      <c r="EH59901"/>
      <c r="EI59901"/>
      <c r="EJ59901"/>
      <c r="EK59901"/>
    </row>
    <row r="59902" spans="1:141" s="116" customFormat="1">
      <c r="A59902" s="136"/>
      <c r="CM59902" s="111"/>
      <c r="CQ59902" s="111"/>
      <c r="EF59902"/>
      <c r="EG59902"/>
      <c r="EH59902"/>
      <c r="EI59902"/>
      <c r="EJ59902"/>
      <c r="EK59902"/>
    </row>
    <row r="59903" spans="1:141" s="116" customFormat="1">
      <c r="A59903" s="136"/>
      <c r="CM59903" s="111"/>
      <c r="CQ59903" s="111"/>
      <c r="EF59903"/>
      <c r="EG59903"/>
      <c r="EH59903"/>
      <c r="EI59903"/>
      <c r="EJ59903"/>
      <c r="EK59903"/>
    </row>
    <row r="59904" spans="1:141" s="116" customFormat="1">
      <c r="A59904" s="136"/>
      <c r="CM59904" s="111"/>
      <c r="CQ59904" s="111"/>
      <c r="EF59904"/>
      <c r="EG59904"/>
      <c r="EH59904"/>
      <c r="EI59904"/>
      <c r="EJ59904"/>
      <c r="EK59904"/>
    </row>
    <row r="59905" spans="1:141" s="116" customFormat="1">
      <c r="A59905" s="136"/>
      <c r="CM59905" s="111"/>
      <c r="CQ59905" s="111"/>
      <c r="EF59905"/>
      <c r="EG59905"/>
      <c r="EH59905"/>
      <c r="EI59905"/>
      <c r="EJ59905"/>
      <c r="EK59905"/>
    </row>
    <row r="59906" spans="1:141" s="116" customFormat="1">
      <c r="A59906" s="136"/>
      <c r="CM59906" s="111"/>
      <c r="CQ59906" s="111"/>
      <c r="EF59906"/>
      <c r="EG59906"/>
      <c r="EH59906"/>
      <c r="EI59906"/>
      <c r="EJ59906"/>
      <c r="EK59906"/>
    </row>
    <row r="59907" spans="1:141" s="116" customFormat="1">
      <c r="A59907" s="136"/>
      <c r="CM59907" s="111"/>
      <c r="CQ59907" s="111"/>
      <c r="EF59907"/>
      <c r="EG59907"/>
      <c r="EH59907"/>
      <c r="EI59907"/>
      <c r="EJ59907"/>
      <c r="EK59907"/>
    </row>
    <row r="59908" spans="1:141" s="116" customFormat="1">
      <c r="A59908" s="136"/>
      <c r="CM59908" s="111"/>
      <c r="CQ59908" s="111"/>
      <c r="EF59908"/>
      <c r="EG59908"/>
      <c r="EH59908"/>
      <c r="EI59908"/>
      <c r="EJ59908"/>
      <c r="EK59908"/>
    </row>
    <row r="59909" spans="1:141" s="116" customFormat="1">
      <c r="A59909" s="136"/>
      <c r="CM59909" s="111"/>
      <c r="CQ59909" s="111"/>
      <c r="EF59909"/>
      <c r="EG59909"/>
      <c r="EH59909"/>
      <c r="EI59909"/>
      <c r="EJ59909"/>
      <c r="EK59909"/>
    </row>
    <row r="59910" spans="1:141" s="116" customFormat="1">
      <c r="A59910" s="136"/>
      <c r="CM59910" s="111"/>
      <c r="CQ59910" s="111"/>
      <c r="EF59910"/>
      <c r="EG59910"/>
      <c r="EH59910"/>
      <c r="EI59910"/>
      <c r="EJ59910"/>
      <c r="EK59910"/>
    </row>
    <row r="59911" spans="1:141" s="116" customFormat="1">
      <c r="A59911" s="136"/>
      <c r="CM59911" s="111"/>
      <c r="CQ59911" s="111"/>
      <c r="EF59911"/>
      <c r="EG59911"/>
      <c r="EH59911"/>
      <c r="EI59911"/>
      <c r="EJ59911"/>
      <c r="EK59911"/>
    </row>
    <row r="59912" spans="1:141" s="116" customFormat="1">
      <c r="A59912" s="136"/>
      <c r="CM59912" s="111"/>
      <c r="CQ59912" s="111"/>
      <c r="EF59912"/>
      <c r="EG59912"/>
      <c r="EH59912"/>
      <c r="EI59912"/>
      <c r="EJ59912"/>
      <c r="EK59912"/>
    </row>
    <row r="59913" spans="1:141" s="116" customFormat="1">
      <c r="A59913" s="136"/>
      <c r="CM59913" s="111"/>
      <c r="CQ59913" s="111"/>
      <c r="EF59913"/>
      <c r="EG59913"/>
      <c r="EH59913"/>
      <c r="EI59913"/>
      <c r="EJ59913"/>
      <c r="EK59913"/>
    </row>
    <row r="59914" spans="1:141" s="116" customFormat="1">
      <c r="A59914" s="136"/>
      <c r="CM59914" s="111"/>
      <c r="CQ59914" s="111"/>
      <c r="EF59914"/>
      <c r="EG59914"/>
      <c r="EH59914"/>
      <c r="EI59914"/>
      <c r="EJ59914"/>
      <c r="EK59914"/>
    </row>
    <row r="59915" spans="1:141" s="116" customFormat="1">
      <c r="A59915" s="136"/>
      <c r="CM59915" s="111"/>
      <c r="CQ59915" s="111"/>
      <c r="EF59915"/>
      <c r="EG59915"/>
      <c r="EH59915"/>
      <c r="EI59915"/>
      <c r="EJ59915"/>
      <c r="EK59915"/>
    </row>
    <row r="59916" spans="1:141" s="116" customFormat="1">
      <c r="A59916" s="136"/>
      <c r="CM59916" s="111"/>
      <c r="CQ59916" s="111"/>
      <c r="EF59916"/>
      <c r="EG59916"/>
      <c r="EH59916"/>
      <c r="EI59916"/>
      <c r="EJ59916"/>
      <c r="EK59916"/>
    </row>
    <row r="59917" spans="1:141" s="116" customFormat="1">
      <c r="A59917" s="136"/>
      <c r="CM59917" s="111"/>
      <c r="CQ59917" s="111"/>
      <c r="EF59917"/>
      <c r="EG59917"/>
      <c r="EH59917"/>
      <c r="EI59917"/>
      <c r="EJ59917"/>
      <c r="EK59917"/>
    </row>
    <row r="59918" spans="1:141" s="116" customFormat="1">
      <c r="A59918" s="136"/>
      <c r="CM59918" s="111"/>
      <c r="CQ59918" s="111"/>
      <c r="EF59918"/>
      <c r="EG59918"/>
      <c r="EH59918"/>
      <c r="EI59918"/>
      <c r="EJ59918"/>
      <c r="EK59918"/>
    </row>
    <row r="59919" spans="1:141" s="116" customFormat="1">
      <c r="A59919" s="136"/>
      <c r="CM59919" s="111"/>
      <c r="CQ59919" s="111"/>
      <c r="EF59919"/>
      <c r="EG59919"/>
      <c r="EH59919"/>
      <c r="EI59919"/>
      <c r="EJ59919"/>
      <c r="EK59919"/>
    </row>
    <row r="59920" spans="1:141" s="116" customFormat="1">
      <c r="A59920" s="136"/>
      <c r="CM59920" s="111"/>
      <c r="CQ59920" s="111"/>
      <c r="EF59920"/>
      <c r="EG59920"/>
      <c r="EH59920"/>
      <c r="EI59920"/>
      <c r="EJ59920"/>
      <c r="EK59920"/>
    </row>
    <row r="59921" spans="1:141" s="116" customFormat="1">
      <c r="A59921" s="136"/>
      <c r="CM59921" s="111"/>
      <c r="CQ59921" s="111"/>
      <c r="EF59921"/>
      <c r="EG59921"/>
      <c r="EH59921"/>
      <c r="EI59921"/>
      <c r="EJ59921"/>
      <c r="EK59921"/>
    </row>
    <row r="59922" spans="1:141" s="116" customFormat="1">
      <c r="A59922" s="136"/>
      <c r="CM59922" s="111"/>
      <c r="CQ59922" s="111"/>
      <c r="EF59922"/>
      <c r="EG59922"/>
      <c r="EH59922"/>
      <c r="EI59922"/>
      <c r="EJ59922"/>
      <c r="EK59922"/>
    </row>
    <row r="59923" spans="1:141" s="116" customFormat="1">
      <c r="A59923" s="136"/>
      <c r="CM59923" s="111"/>
      <c r="CQ59923" s="111"/>
      <c r="EF59923"/>
      <c r="EG59923"/>
      <c r="EH59923"/>
      <c r="EI59923"/>
      <c r="EJ59923"/>
      <c r="EK59923"/>
    </row>
    <row r="59924" spans="1:141" s="116" customFormat="1">
      <c r="A59924" s="136"/>
      <c r="CM59924" s="111"/>
      <c r="CQ59924" s="111"/>
      <c r="EF59924"/>
      <c r="EG59924"/>
      <c r="EH59924"/>
      <c r="EI59924"/>
      <c r="EJ59924"/>
      <c r="EK59924"/>
    </row>
    <row r="59925" spans="1:141" s="116" customFormat="1">
      <c r="A59925" s="136"/>
      <c r="CM59925" s="111"/>
      <c r="CQ59925" s="111"/>
      <c r="EF59925"/>
      <c r="EG59925"/>
      <c r="EH59925"/>
      <c r="EI59925"/>
      <c r="EJ59925"/>
      <c r="EK59925"/>
    </row>
    <row r="59926" spans="1:141" s="116" customFormat="1">
      <c r="A59926" s="136"/>
      <c r="CM59926" s="111"/>
      <c r="CQ59926" s="111"/>
      <c r="EF59926"/>
      <c r="EG59926"/>
      <c r="EH59926"/>
      <c r="EI59926"/>
      <c r="EJ59926"/>
      <c r="EK59926"/>
    </row>
    <row r="59927" spans="1:141" s="116" customFormat="1">
      <c r="A59927" s="136"/>
      <c r="CM59927" s="111"/>
      <c r="CQ59927" s="111"/>
      <c r="EF59927"/>
      <c r="EG59927"/>
      <c r="EH59927"/>
      <c r="EI59927"/>
      <c r="EJ59927"/>
      <c r="EK59927"/>
    </row>
    <row r="59928" spans="1:141" s="116" customFormat="1">
      <c r="A59928" s="136"/>
      <c r="CM59928" s="111"/>
      <c r="CQ59928" s="111"/>
      <c r="EF59928"/>
      <c r="EG59928"/>
      <c r="EH59928"/>
      <c r="EI59928"/>
      <c r="EJ59928"/>
      <c r="EK59928"/>
    </row>
    <row r="59929" spans="1:141" s="116" customFormat="1">
      <c r="A59929" s="136"/>
      <c r="CM59929" s="111"/>
      <c r="CQ59929" s="111"/>
      <c r="EF59929"/>
      <c r="EG59929"/>
      <c r="EH59929"/>
      <c r="EI59929"/>
      <c r="EJ59929"/>
      <c r="EK59929"/>
    </row>
    <row r="59930" spans="1:141" s="116" customFormat="1">
      <c r="A59930" s="136"/>
      <c r="CM59930" s="111"/>
      <c r="CQ59930" s="111"/>
      <c r="EF59930"/>
      <c r="EG59930"/>
      <c r="EH59930"/>
      <c r="EI59930"/>
      <c r="EJ59930"/>
      <c r="EK59930"/>
    </row>
    <row r="59931" spans="1:141" s="116" customFormat="1">
      <c r="A59931" s="136"/>
      <c r="CM59931" s="111"/>
      <c r="CQ59931" s="111"/>
      <c r="EF59931"/>
      <c r="EG59931"/>
      <c r="EH59931"/>
      <c r="EI59931"/>
      <c r="EJ59931"/>
      <c r="EK59931"/>
    </row>
    <row r="59932" spans="1:141" s="116" customFormat="1">
      <c r="A59932" s="136"/>
      <c r="CM59932" s="111"/>
      <c r="CQ59932" s="111"/>
      <c r="EF59932"/>
      <c r="EG59932"/>
      <c r="EH59932"/>
      <c r="EI59932"/>
      <c r="EJ59932"/>
      <c r="EK59932"/>
    </row>
    <row r="59933" spans="1:141" s="116" customFormat="1">
      <c r="A59933" s="136"/>
      <c r="CM59933" s="111"/>
      <c r="CQ59933" s="111"/>
      <c r="EF59933"/>
      <c r="EG59933"/>
      <c r="EH59933"/>
      <c r="EI59933"/>
      <c r="EJ59933"/>
      <c r="EK59933"/>
    </row>
    <row r="59934" spans="1:141" s="116" customFormat="1">
      <c r="A59934" s="136"/>
      <c r="CM59934" s="111"/>
      <c r="CQ59934" s="111"/>
      <c r="EF59934"/>
      <c r="EG59934"/>
      <c r="EH59934"/>
      <c r="EI59934"/>
      <c r="EJ59934"/>
      <c r="EK59934"/>
    </row>
    <row r="59935" spans="1:141" s="116" customFormat="1">
      <c r="A59935" s="136"/>
      <c r="CM59935" s="111"/>
      <c r="CQ59935" s="111"/>
      <c r="EF59935"/>
      <c r="EG59935"/>
      <c r="EH59935"/>
      <c r="EI59935"/>
      <c r="EJ59935"/>
      <c r="EK59935"/>
    </row>
    <row r="59936" spans="1:141" s="116" customFormat="1">
      <c r="A59936" s="136"/>
      <c r="CM59936" s="111"/>
      <c r="CQ59936" s="111"/>
      <c r="EF59936"/>
      <c r="EG59936"/>
      <c r="EH59936"/>
      <c r="EI59936"/>
      <c r="EJ59936"/>
      <c r="EK59936"/>
    </row>
    <row r="59937" spans="1:141" s="116" customFormat="1">
      <c r="A59937" s="136"/>
      <c r="CM59937" s="111"/>
      <c r="CQ59937" s="111"/>
      <c r="EF59937"/>
      <c r="EG59937"/>
      <c r="EH59937"/>
      <c r="EI59937"/>
      <c r="EJ59937"/>
      <c r="EK59937"/>
    </row>
    <row r="59938" spans="1:141" s="116" customFormat="1">
      <c r="A59938" s="136"/>
      <c r="CM59938" s="111"/>
      <c r="CQ59938" s="111"/>
      <c r="EF59938"/>
      <c r="EG59938"/>
      <c r="EH59938"/>
      <c r="EI59938"/>
      <c r="EJ59938"/>
      <c r="EK59938"/>
    </row>
    <row r="59939" spans="1:141" s="116" customFormat="1">
      <c r="A59939" s="136"/>
      <c r="CM59939" s="111"/>
      <c r="CQ59939" s="111"/>
      <c r="EF59939"/>
      <c r="EG59939"/>
      <c r="EH59939"/>
      <c r="EI59939"/>
      <c r="EJ59939"/>
      <c r="EK59939"/>
    </row>
    <row r="59940" spans="1:141" s="116" customFormat="1">
      <c r="A59940" s="136"/>
      <c r="CM59940" s="111"/>
      <c r="CQ59940" s="111"/>
      <c r="EF59940"/>
      <c r="EG59940"/>
      <c r="EH59940"/>
      <c r="EI59940"/>
      <c r="EJ59940"/>
      <c r="EK59940"/>
    </row>
    <row r="59941" spans="1:141" s="116" customFormat="1">
      <c r="A59941" s="136"/>
      <c r="CM59941" s="111"/>
      <c r="CQ59941" s="111"/>
      <c r="EF59941"/>
      <c r="EG59941"/>
      <c r="EH59941"/>
      <c r="EI59941"/>
      <c r="EJ59941"/>
      <c r="EK59941"/>
    </row>
    <row r="59942" spans="1:141" s="116" customFormat="1">
      <c r="A59942" s="136"/>
      <c r="CM59942" s="111"/>
      <c r="CQ59942" s="111"/>
      <c r="EF59942"/>
      <c r="EG59942"/>
      <c r="EH59942"/>
      <c r="EI59942"/>
      <c r="EJ59942"/>
      <c r="EK59942"/>
    </row>
    <row r="59943" spans="1:141" s="116" customFormat="1">
      <c r="A59943" s="136"/>
      <c r="CM59943" s="111"/>
      <c r="CQ59943" s="111"/>
      <c r="EF59943"/>
      <c r="EG59943"/>
      <c r="EH59943"/>
      <c r="EI59943"/>
      <c r="EJ59943"/>
      <c r="EK59943"/>
    </row>
    <row r="59944" spans="1:141" s="116" customFormat="1">
      <c r="A59944" s="136"/>
      <c r="CM59944" s="111"/>
      <c r="CQ59944" s="111"/>
      <c r="EF59944"/>
      <c r="EG59944"/>
      <c r="EH59944"/>
      <c r="EI59944"/>
      <c r="EJ59944"/>
      <c r="EK59944"/>
    </row>
    <row r="59945" spans="1:141" s="116" customFormat="1">
      <c r="A59945" s="136"/>
      <c r="CM59945" s="111"/>
      <c r="CQ59945" s="111"/>
      <c r="EF59945"/>
      <c r="EG59945"/>
      <c r="EH59945"/>
      <c r="EI59945"/>
      <c r="EJ59945"/>
      <c r="EK59945"/>
    </row>
    <row r="59946" spans="1:141" s="116" customFormat="1">
      <c r="A59946" s="136"/>
      <c r="CM59946" s="111"/>
      <c r="CQ59946" s="111"/>
      <c r="EF59946"/>
      <c r="EG59946"/>
      <c r="EH59946"/>
      <c r="EI59946"/>
      <c r="EJ59946"/>
      <c r="EK59946"/>
    </row>
    <row r="59947" spans="1:141" s="116" customFormat="1">
      <c r="A59947" s="136"/>
      <c r="CM59947" s="111"/>
      <c r="CQ59947" s="111"/>
      <c r="EF59947"/>
      <c r="EG59947"/>
      <c r="EH59947"/>
      <c r="EI59947"/>
      <c r="EJ59947"/>
      <c r="EK59947"/>
    </row>
    <row r="59948" spans="1:141" s="116" customFormat="1">
      <c r="A59948" s="136"/>
      <c r="CM59948" s="111"/>
      <c r="CQ59948" s="111"/>
      <c r="EF59948"/>
      <c r="EG59948"/>
      <c r="EH59948"/>
      <c r="EI59948"/>
      <c r="EJ59948"/>
      <c r="EK59948"/>
    </row>
    <row r="59949" spans="1:141" s="116" customFormat="1">
      <c r="A59949" s="136"/>
      <c r="CM59949" s="111"/>
      <c r="CQ59949" s="111"/>
      <c r="EF59949"/>
      <c r="EG59949"/>
      <c r="EH59949"/>
      <c r="EI59949"/>
      <c r="EJ59949"/>
      <c r="EK59949"/>
    </row>
    <row r="59950" spans="1:141" s="116" customFormat="1">
      <c r="A59950" s="136"/>
      <c r="CM59950" s="111"/>
      <c r="CQ59950" s="111"/>
      <c r="EF59950"/>
      <c r="EG59950"/>
      <c r="EH59950"/>
      <c r="EI59950"/>
      <c r="EJ59950"/>
      <c r="EK59950"/>
    </row>
    <row r="59951" spans="1:141" s="116" customFormat="1">
      <c r="A59951" s="136"/>
      <c r="CM59951" s="111"/>
      <c r="CQ59951" s="111"/>
      <c r="EF59951"/>
      <c r="EG59951"/>
      <c r="EH59951"/>
      <c r="EI59951"/>
      <c r="EJ59951"/>
      <c r="EK59951"/>
    </row>
    <row r="59952" spans="1:141" s="116" customFormat="1">
      <c r="A59952" s="136"/>
      <c r="CM59952" s="111"/>
      <c r="CQ59952" s="111"/>
      <c r="EF59952"/>
      <c r="EG59952"/>
      <c r="EH59952"/>
      <c r="EI59952"/>
      <c r="EJ59952"/>
      <c r="EK59952"/>
    </row>
    <row r="59953" spans="1:141" s="116" customFormat="1">
      <c r="A59953" s="136"/>
      <c r="CM59953" s="111"/>
      <c r="CQ59953" s="111"/>
      <c r="EF59953"/>
      <c r="EG59953"/>
      <c r="EH59953"/>
      <c r="EI59953"/>
      <c r="EJ59953"/>
      <c r="EK59953"/>
    </row>
    <row r="59954" spans="1:141" s="116" customFormat="1">
      <c r="A59954" s="136"/>
      <c r="CM59954" s="111"/>
      <c r="CQ59954" s="111"/>
      <c r="EF59954"/>
      <c r="EG59954"/>
      <c r="EH59954"/>
      <c r="EI59954"/>
      <c r="EJ59954"/>
      <c r="EK59954"/>
    </row>
    <row r="59955" spans="1:141" s="116" customFormat="1">
      <c r="A59955" s="136"/>
      <c r="CM59955" s="111"/>
      <c r="CQ59955" s="111"/>
      <c r="EF59955"/>
      <c r="EG59955"/>
      <c r="EH59955"/>
      <c r="EI59955"/>
      <c r="EJ59955"/>
      <c r="EK59955"/>
    </row>
    <row r="59956" spans="1:141" s="116" customFormat="1">
      <c r="A59956" s="136"/>
      <c r="CM59956" s="111"/>
      <c r="CQ59956" s="111"/>
      <c r="EF59956"/>
      <c r="EG59956"/>
      <c r="EH59956"/>
      <c r="EI59956"/>
      <c r="EJ59956"/>
      <c r="EK59956"/>
    </row>
    <row r="59957" spans="1:141" s="116" customFormat="1">
      <c r="A59957" s="136"/>
      <c r="CM59957" s="111"/>
      <c r="CQ59957" s="111"/>
      <c r="EF59957"/>
      <c r="EG59957"/>
      <c r="EH59957"/>
      <c r="EI59957"/>
      <c r="EJ59957"/>
      <c r="EK59957"/>
    </row>
    <row r="59958" spans="1:141" s="116" customFormat="1">
      <c r="A59958" s="136"/>
      <c r="CM59958" s="111"/>
      <c r="CQ59958" s="111"/>
      <c r="EF59958"/>
      <c r="EG59958"/>
      <c r="EH59958"/>
      <c r="EI59958"/>
      <c r="EJ59958"/>
      <c r="EK59958"/>
    </row>
    <row r="59959" spans="1:141" s="116" customFormat="1">
      <c r="A59959" s="136"/>
      <c r="CM59959" s="111"/>
      <c r="CQ59959" s="111"/>
      <c r="EF59959"/>
      <c r="EG59959"/>
      <c r="EH59959"/>
      <c r="EI59959"/>
      <c r="EJ59959"/>
      <c r="EK59959"/>
    </row>
    <row r="59960" spans="1:141" s="116" customFormat="1">
      <c r="A59960" s="136"/>
      <c r="CM59960" s="111"/>
      <c r="CQ59960" s="111"/>
      <c r="EF59960"/>
      <c r="EG59960"/>
      <c r="EH59960"/>
      <c r="EI59960"/>
      <c r="EJ59960"/>
      <c r="EK59960"/>
    </row>
    <row r="59961" spans="1:141" s="116" customFormat="1">
      <c r="A59961" s="136"/>
      <c r="CM59961" s="111"/>
      <c r="CQ59961" s="111"/>
      <c r="EF59961"/>
      <c r="EG59961"/>
      <c r="EH59961"/>
      <c r="EI59961"/>
      <c r="EJ59961"/>
      <c r="EK59961"/>
    </row>
    <row r="59962" spans="1:141" s="116" customFormat="1">
      <c r="A59962" s="136"/>
      <c r="CM59962" s="111"/>
      <c r="CQ59962" s="111"/>
      <c r="EF59962"/>
      <c r="EG59962"/>
      <c r="EH59962"/>
      <c r="EI59962"/>
      <c r="EJ59962"/>
      <c r="EK59962"/>
    </row>
    <row r="59963" spans="1:141" s="116" customFormat="1">
      <c r="A59963" s="136"/>
      <c r="CM59963" s="111"/>
      <c r="CQ59963" s="111"/>
      <c r="EF59963"/>
      <c r="EG59963"/>
      <c r="EH59963"/>
      <c r="EI59963"/>
      <c r="EJ59963"/>
      <c r="EK59963"/>
    </row>
    <row r="59964" spans="1:141" s="116" customFormat="1">
      <c r="A59964" s="136"/>
      <c r="CM59964" s="111"/>
      <c r="CQ59964" s="111"/>
      <c r="EF59964"/>
      <c r="EG59964"/>
      <c r="EH59964"/>
      <c r="EI59964"/>
      <c r="EJ59964"/>
      <c r="EK59964"/>
    </row>
    <row r="59965" spans="1:141" s="116" customFormat="1">
      <c r="A59965" s="136"/>
      <c r="CM59965" s="111"/>
      <c r="CQ59965" s="111"/>
      <c r="EF59965"/>
      <c r="EG59965"/>
      <c r="EH59965"/>
      <c r="EI59965"/>
      <c r="EJ59965"/>
      <c r="EK59965"/>
    </row>
    <row r="59966" spans="1:141" s="116" customFormat="1">
      <c r="A59966" s="136"/>
      <c r="CM59966" s="111"/>
      <c r="CQ59966" s="111"/>
      <c r="EF59966"/>
      <c r="EG59966"/>
      <c r="EH59966"/>
      <c r="EI59966"/>
      <c r="EJ59966"/>
      <c r="EK59966"/>
    </row>
    <row r="59967" spans="1:141" s="116" customFormat="1">
      <c r="A59967" s="136"/>
      <c r="CM59967" s="111"/>
      <c r="CQ59967" s="111"/>
      <c r="EF59967"/>
      <c r="EG59967"/>
      <c r="EH59967"/>
      <c r="EI59967"/>
      <c r="EJ59967"/>
      <c r="EK59967"/>
    </row>
    <row r="59968" spans="1:141" s="116" customFormat="1">
      <c r="A59968" s="136"/>
      <c r="CM59968" s="111"/>
      <c r="CQ59968" s="111"/>
      <c r="EF59968"/>
      <c r="EG59968"/>
      <c r="EH59968"/>
      <c r="EI59968"/>
      <c r="EJ59968"/>
      <c r="EK59968"/>
    </row>
    <row r="59969" spans="1:141" s="116" customFormat="1">
      <c r="A59969" s="136"/>
      <c r="CM59969" s="111"/>
      <c r="CQ59969" s="111"/>
      <c r="EF59969"/>
      <c r="EG59969"/>
      <c r="EH59969"/>
      <c r="EI59969"/>
      <c r="EJ59969"/>
      <c r="EK59969"/>
    </row>
    <row r="59970" spans="1:141" s="116" customFormat="1">
      <c r="A59970" s="136"/>
      <c r="CM59970" s="111"/>
      <c r="CQ59970" s="111"/>
      <c r="EF59970"/>
      <c r="EG59970"/>
      <c r="EH59970"/>
      <c r="EI59970"/>
      <c r="EJ59970"/>
      <c r="EK59970"/>
    </row>
    <row r="59971" spans="1:141" s="116" customFormat="1">
      <c r="A59971" s="136"/>
      <c r="CM59971" s="111"/>
      <c r="CQ59971" s="111"/>
      <c r="EF59971"/>
      <c r="EG59971"/>
      <c r="EH59971"/>
      <c r="EI59971"/>
      <c r="EJ59971"/>
      <c r="EK59971"/>
    </row>
    <row r="59972" spans="1:141" s="116" customFormat="1">
      <c r="A59972" s="136"/>
      <c r="CM59972" s="111"/>
      <c r="CQ59972" s="111"/>
      <c r="EF59972"/>
      <c r="EG59972"/>
      <c r="EH59972"/>
      <c r="EI59972"/>
      <c r="EJ59972"/>
      <c r="EK59972"/>
    </row>
    <row r="59973" spans="1:141" s="116" customFormat="1">
      <c r="A59973" s="136"/>
      <c r="CM59973" s="111"/>
      <c r="CQ59973" s="111"/>
      <c r="EF59973"/>
      <c r="EG59973"/>
      <c r="EH59973"/>
      <c r="EI59973"/>
      <c r="EJ59973"/>
      <c r="EK59973"/>
    </row>
    <row r="59974" spans="1:141" s="116" customFormat="1">
      <c r="A59974" s="136"/>
      <c r="CM59974" s="111"/>
      <c r="CQ59974" s="111"/>
      <c r="EF59974"/>
      <c r="EG59974"/>
      <c r="EH59974"/>
      <c r="EI59974"/>
      <c r="EJ59974"/>
      <c r="EK59974"/>
    </row>
    <row r="59975" spans="1:141" s="116" customFormat="1">
      <c r="A59975" s="136"/>
      <c r="CM59975" s="111"/>
      <c r="CQ59975" s="111"/>
      <c r="EF59975"/>
      <c r="EG59975"/>
      <c r="EH59975"/>
      <c r="EI59975"/>
      <c r="EJ59975"/>
      <c r="EK59975"/>
    </row>
    <row r="59976" spans="1:141" s="116" customFormat="1">
      <c r="A59976" s="136"/>
      <c r="CM59976" s="111"/>
      <c r="CQ59976" s="111"/>
      <c r="EF59976"/>
      <c r="EG59976"/>
      <c r="EH59976"/>
      <c r="EI59976"/>
      <c r="EJ59976"/>
      <c r="EK59976"/>
    </row>
    <row r="59977" spans="1:141" s="116" customFormat="1">
      <c r="A59977" s="136"/>
      <c r="CM59977" s="111"/>
      <c r="CQ59977" s="111"/>
      <c r="EF59977"/>
      <c r="EG59977"/>
      <c r="EH59977"/>
      <c r="EI59977"/>
      <c r="EJ59977"/>
      <c r="EK59977"/>
    </row>
    <row r="59978" spans="1:141" s="116" customFormat="1">
      <c r="A59978" s="136"/>
      <c r="CM59978" s="111"/>
      <c r="CQ59978" s="111"/>
      <c r="EF59978"/>
      <c r="EG59978"/>
      <c r="EH59978"/>
      <c r="EI59978"/>
      <c r="EJ59978"/>
      <c r="EK59978"/>
    </row>
    <row r="59979" spans="1:141" s="116" customFormat="1">
      <c r="A59979" s="136"/>
      <c r="CM59979" s="111"/>
      <c r="CQ59979" s="111"/>
      <c r="EF59979"/>
      <c r="EG59979"/>
      <c r="EH59979"/>
      <c r="EI59979"/>
      <c r="EJ59979"/>
      <c r="EK59979"/>
    </row>
    <row r="59980" spans="1:141" s="116" customFormat="1">
      <c r="A59980" s="136"/>
      <c r="CM59980" s="111"/>
      <c r="CQ59980" s="111"/>
      <c r="EF59980"/>
      <c r="EG59980"/>
      <c r="EH59980"/>
      <c r="EI59980"/>
      <c r="EJ59980"/>
      <c r="EK59980"/>
    </row>
    <row r="59981" spans="1:141" s="116" customFormat="1">
      <c r="A59981" s="136"/>
      <c r="CM59981" s="111"/>
      <c r="CQ59981" s="111"/>
      <c r="EF59981"/>
      <c r="EG59981"/>
      <c r="EH59981"/>
      <c r="EI59981"/>
      <c r="EJ59981"/>
      <c r="EK59981"/>
    </row>
    <row r="59982" spans="1:141" s="116" customFormat="1">
      <c r="A59982" s="136"/>
      <c r="CM59982" s="111"/>
      <c r="CQ59982" s="111"/>
      <c r="EF59982"/>
      <c r="EG59982"/>
      <c r="EH59982"/>
      <c r="EI59982"/>
      <c r="EJ59982"/>
      <c r="EK59982"/>
    </row>
    <row r="59983" spans="1:141" s="116" customFormat="1">
      <c r="A59983" s="136"/>
      <c r="CM59983" s="111"/>
      <c r="CQ59983" s="111"/>
      <c r="EF59983"/>
      <c r="EG59983"/>
      <c r="EH59983"/>
      <c r="EI59983"/>
      <c r="EJ59983"/>
      <c r="EK59983"/>
    </row>
    <row r="59984" spans="1:141" s="116" customFormat="1">
      <c r="A59984" s="136"/>
      <c r="CM59984" s="111"/>
      <c r="CQ59984" s="111"/>
      <c r="EF59984"/>
      <c r="EG59984"/>
      <c r="EH59984"/>
      <c r="EI59984"/>
      <c r="EJ59984"/>
      <c r="EK59984"/>
    </row>
    <row r="59985" spans="1:141" s="116" customFormat="1">
      <c r="A59985" s="136"/>
      <c r="CM59985" s="111"/>
      <c r="CQ59985" s="111"/>
      <c r="EF59985"/>
      <c r="EG59985"/>
      <c r="EH59985"/>
      <c r="EI59985"/>
      <c r="EJ59985"/>
      <c r="EK59985"/>
    </row>
    <row r="59986" spans="1:141" s="116" customFormat="1">
      <c r="A59986" s="136"/>
      <c r="CM59986" s="111"/>
      <c r="CQ59986" s="111"/>
      <c r="EF59986"/>
      <c r="EG59986"/>
      <c r="EH59986"/>
      <c r="EI59986"/>
      <c r="EJ59986"/>
      <c r="EK59986"/>
    </row>
    <row r="59987" spans="1:141" s="116" customFormat="1">
      <c r="A59987" s="136"/>
      <c r="CM59987" s="111"/>
      <c r="CQ59987" s="111"/>
      <c r="EF59987"/>
      <c r="EG59987"/>
      <c r="EH59987"/>
      <c r="EI59987"/>
      <c r="EJ59987"/>
      <c r="EK59987"/>
    </row>
    <row r="59988" spans="1:141" s="116" customFormat="1">
      <c r="A59988" s="136"/>
      <c r="CM59988" s="111"/>
      <c r="CQ59988" s="111"/>
      <c r="EF59988"/>
      <c r="EG59988"/>
      <c r="EH59988"/>
      <c r="EI59988"/>
      <c r="EJ59988"/>
      <c r="EK59988"/>
    </row>
    <row r="59989" spans="1:141" s="116" customFormat="1">
      <c r="A59989" s="136"/>
      <c r="CM59989" s="111"/>
      <c r="CQ59989" s="111"/>
      <c r="EF59989"/>
      <c r="EG59989"/>
      <c r="EH59989"/>
      <c r="EI59989"/>
      <c r="EJ59989"/>
      <c r="EK59989"/>
    </row>
    <row r="59990" spans="1:141" s="116" customFormat="1">
      <c r="A59990" s="136"/>
      <c r="CM59990" s="111"/>
      <c r="CQ59990" s="111"/>
      <c r="EF59990"/>
      <c r="EG59990"/>
      <c r="EH59990"/>
      <c r="EI59990"/>
      <c r="EJ59990"/>
      <c r="EK59990"/>
    </row>
    <row r="59991" spans="1:141" s="116" customFormat="1">
      <c r="A59991" s="136"/>
      <c r="CM59991" s="111"/>
      <c r="CQ59991" s="111"/>
      <c r="EF59991"/>
      <c r="EG59991"/>
      <c r="EH59991"/>
      <c r="EI59991"/>
      <c r="EJ59991"/>
      <c r="EK59991"/>
    </row>
    <row r="59992" spans="1:141" s="116" customFormat="1">
      <c r="A59992" s="136"/>
      <c r="CM59992" s="111"/>
      <c r="CQ59992" s="111"/>
      <c r="EF59992"/>
      <c r="EG59992"/>
      <c r="EH59992"/>
      <c r="EI59992"/>
      <c r="EJ59992"/>
      <c r="EK59992"/>
    </row>
    <row r="59993" spans="1:141" s="116" customFormat="1">
      <c r="A59993" s="136"/>
      <c r="CM59993" s="111"/>
      <c r="CQ59993" s="111"/>
      <c r="EF59993"/>
      <c r="EG59993"/>
      <c r="EH59993"/>
      <c r="EI59993"/>
      <c r="EJ59993"/>
      <c r="EK59993"/>
    </row>
    <row r="59994" spans="1:141" s="116" customFormat="1">
      <c r="A59994" s="136"/>
      <c r="CM59994" s="111"/>
      <c r="CQ59994" s="111"/>
      <c r="EF59994"/>
      <c r="EG59994"/>
      <c r="EH59994"/>
      <c r="EI59994"/>
      <c r="EJ59994"/>
      <c r="EK59994"/>
    </row>
    <row r="59995" spans="1:141" s="116" customFormat="1">
      <c r="A59995" s="136"/>
      <c r="CM59995" s="111"/>
      <c r="CQ59995" s="111"/>
      <c r="EF59995"/>
      <c r="EG59995"/>
      <c r="EH59995"/>
      <c r="EI59995"/>
      <c r="EJ59995"/>
      <c r="EK59995"/>
    </row>
    <row r="59996" spans="1:141" s="116" customFormat="1">
      <c r="A59996" s="136"/>
      <c r="CM59996" s="111"/>
      <c r="CQ59996" s="111"/>
      <c r="EF59996"/>
      <c r="EG59996"/>
      <c r="EH59996"/>
      <c r="EI59996"/>
      <c r="EJ59996"/>
      <c r="EK59996"/>
    </row>
    <row r="59997" spans="1:141" s="116" customFormat="1">
      <c r="A59997" s="136"/>
      <c r="CM59997" s="111"/>
      <c r="CQ59997" s="111"/>
      <c r="EF59997"/>
      <c r="EG59997"/>
      <c r="EH59997"/>
      <c r="EI59997"/>
      <c r="EJ59997"/>
      <c r="EK59997"/>
    </row>
    <row r="59998" spans="1:141" s="116" customFormat="1">
      <c r="A59998" s="136"/>
      <c r="CM59998" s="111"/>
      <c r="CQ59998" s="111"/>
      <c r="EF59998"/>
      <c r="EG59998"/>
      <c r="EH59998"/>
      <c r="EI59998"/>
      <c r="EJ59998"/>
      <c r="EK59998"/>
    </row>
    <row r="59999" spans="1:141" s="116" customFormat="1">
      <c r="A59999" s="136"/>
      <c r="CM59999" s="111"/>
      <c r="CQ59999" s="111"/>
      <c r="EF59999"/>
      <c r="EG59999"/>
      <c r="EH59999"/>
      <c r="EI59999"/>
      <c r="EJ59999"/>
      <c r="EK59999"/>
    </row>
    <row r="60000" spans="1:141" s="116" customFormat="1">
      <c r="A60000" s="136"/>
      <c r="CM60000" s="111"/>
      <c r="CQ60000" s="111"/>
      <c r="EF60000"/>
      <c r="EG60000"/>
      <c r="EH60000"/>
      <c r="EI60000"/>
      <c r="EJ60000"/>
      <c r="EK60000"/>
    </row>
    <row r="60001" spans="1:141" s="116" customFormat="1">
      <c r="A60001" s="136"/>
      <c r="CM60001" s="111"/>
      <c r="CQ60001" s="111"/>
      <c r="EF60001"/>
      <c r="EG60001"/>
      <c r="EH60001"/>
      <c r="EI60001"/>
      <c r="EJ60001"/>
      <c r="EK60001"/>
    </row>
    <row r="60002" spans="1:141" s="116" customFormat="1">
      <c r="A60002" s="136"/>
      <c r="CM60002" s="111"/>
      <c r="CQ60002" s="111"/>
      <c r="EF60002"/>
      <c r="EG60002"/>
      <c r="EH60002"/>
      <c r="EI60002"/>
      <c r="EJ60002"/>
      <c r="EK60002"/>
    </row>
    <row r="60003" spans="1:141" s="116" customFormat="1">
      <c r="A60003" s="136"/>
      <c r="CM60003" s="111"/>
      <c r="CQ60003" s="111"/>
      <c r="EF60003"/>
      <c r="EG60003"/>
      <c r="EH60003"/>
      <c r="EI60003"/>
      <c r="EJ60003"/>
      <c r="EK60003"/>
    </row>
    <row r="60004" spans="1:141" s="116" customFormat="1">
      <c r="A60004" s="136"/>
      <c r="CM60004" s="111"/>
      <c r="CQ60004" s="111"/>
      <c r="EF60004"/>
      <c r="EG60004"/>
      <c r="EH60004"/>
      <c r="EI60004"/>
      <c r="EJ60004"/>
      <c r="EK60004"/>
    </row>
    <row r="60005" spans="1:141" s="116" customFormat="1">
      <c r="A60005" s="136"/>
      <c r="CM60005" s="111"/>
      <c r="CQ60005" s="111"/>
      <c r="EF60005"/>
      <c r="EG60005"/>
      <c r="EH60005"/>
      <c r="EI60005"/>
      <c r="EJ60005"/>
      <c r="EK60005"/>
    </row>
    <row r="60006" spans="1:141" s="116" customFormat="1">
      <c r="A60006" s="136"/>
      <c r="CM60006" s="111"/>
      <c r="CQ60006" s="111"/>
      <c r="EF60006"/>
      <c r="EG60006"/>
      <c r="EH60006"/>
      <c r="EI60006"/>
      <c r="EJ60006"/>
      <c r="EK60006"/>
    </row>
    <row r="60007" spans="1:141" s="116" customFormat="1">
      <c r="A60007" s="136"/>
      <c r="CM60007" s="111"/>
      <c r="CQ60007" s="111"/>
      <c r="EF60007"/>
      <c r="EG60007"/>
      <c r="EH60007"/>
      <c r="EI60007"/>
      <c r="EJ60007"/>
      <c r="EK60007"/>
    </row>
    <row r="60008" spans="1:141" s="116" customFormat="1">
      <c r="A60008" s="136"/>
      <c r="CM60008" s="111"/>
      <c r="CQ60008" s="111"/>
      <c r="EF60008"/>
      <c r="EG60008"/>
      <c r="EH60008"/>
      <c r="EI60008"/>
      <c r="EJ60008"/>
      <c r="EK60008"/>
    </row>
    <row r="60009" spans="1:141" s="116" customFormat="1">
      <c r="A60009" s="136"/>
      <c r="CM60009" s="111"/>
      <c r="CQ60009" s="111"/>
      <c r="EF60009"/>
      <c r="EG60009"/>
      <c r="EH60009"/>
      <c r="EI60009"/>
      <c r="EJ60009"/>
      <c r="EK60009"/>
    </row>
    <row r="60010" spans="1:141" s="116" customFormat="1">
      <c r="A60010" s="136"/>
      <c r="CM60010" s="111"/>
      <c r="CQ60010" s="111"/>
      <c r="EF60010"/>
      <c r="EG60010"/>
      <c r="EH60010"/>
      <c r="EI60010"/>
      <c r="EJ60010"/>
      <c r="EK60010"/>
    </row>
    <row r="60011" spans="1:141" s="116" customFormat="1">
      <c r="A60011" s="136"/>
      <c r="CM60011" s="111"/>
      <c r="CQ60011" s="111"/>
      <c r="EF60011"/>
      <c r="EG60011"/>
      <c r="EH60011"/>
      <c r="EI60011"/>
      <c r="EJ60011"/>
      <c r="EK60011"/>
    </row>
    <row r="60012" spans="1:141" s="116" customFormat="1">
      <c r="A60012" s="136"/>
      <c r="CM60012" s="111"/>
      <c r="CQ60012" s="111"/>
      <c r="EF60012"/>
      <c r="EG60012"/>
      <c r="EH60012"/>
      <c r="EI60012"/>
      <c r="EJ60012"/>
      <c r="EK60012"/>
    </row>
    <row r="60013" spans="1:141" s="116" customFormat="1">
      <c r="A60013" s="136"/>
      <c r="CM60013" s="111"/>
      <c r="CQ60013" s="111"/>
      <c r="EF60013"/>
      <c r="EG60013"/>
      <c r="EH60013"/>
      <c r="EI60013"/>
      <c r="EJ60013"/>
      <c r="EK60013"/>
    </row>
    <row r="60014" spans="1:141" s="116" customFormat="1">
      <c r="A60014" s="136"/>
      <c r="CM60014" s="111"/>
      <c r="CQ60014" s="111"/>
      <c r="EF60014"/>
      <c r="EG60014"/>
      <c r="EH60014"/>
      <c r="EI60014"/>
      <c r="EJ60014"/>
      <c r="EK60014"/>
    </row>
    <row r="60015" spans="1:141" s="116" customFormat="1">
      <c r="A60015" s="136"/>
      <c r="CM60015" s="111"/>
      <c r="CQ60015" s="111"/>
      <c r="EF60015"/>
      <c r="EG60015"/>
      <c r="EH60015"/>
      <c r="EI60015"/>
      <c r="EJ60015"/>
      <c r="EK60015"/>
    </row>
    <row r="60016" spans="1:141" s="116" customFormat="1">
      <c r="A60016" s="136"/>
      <c r="CM60016" s="111"/>
      <c r="CQ60016" s="111"/>
      <c r="EF60016"/>
      <c r="EG60016"/>
      <c r="EH60016"/>
      <c r="EI60016"/>
      <c r="EJ60016"/>
      <c r="EK60016"/>
    </row>
    <row r="60017" spans="1:141" s="116" customFormat="1">
      <c r="A60017" s="136"/>
      <c r="CM60017" s="111"/>
      <c r="CQ60017" s="111"/>
      <c r="EF60017"/>
      <c r="EG60017"/>
      <c r="EH60017"/>
      <c r="EI60017"/>
      <c r="EJ60017"/>
      <c r="EK60017"/>
    </row>
    <row r="60018" spans="1:141" s="116" customFormat="1">
      <c r="A60018" s="136"/>
      <c r="CM60018" s="111"/>
      <c r="CQ60018" s="111"/>
      <c r="EF60018"/>
      <c r="EG60018"/>
      <c r="EH60018"/>
      <c r="EI60018"/>
      <c r="EJ60018"/>
      <c r="EK60018"/>
    </row>
    <row r="60019" spans="1:141" s="116" customFormat="1">
      <c r="A60019" s="136"/>
      <c r="CM60019" s="111"/>
      <c r="CQ60019" s="111"/>
      <c r="EF60019"/>
      <c r="EG60019"/>
      <c r="EH60019"/>
      <c r="EI60019"/>
      <c r="EJ60019"/>
      <c r="EK60019"/>
    </row>
    <row r="60020" spans="1:141" s="116" customFormat="1">
      <c r="A60020" s="136"/>
      <c r="CM60020" s="111"/>
      <c r="CQ60020" s="111"/>
      <c r="EF60020"/>
      <c r="EG60020"/>
      <c r="EH60020"/>
      <c r="EI60020"/>
      <c r="EJ60020"/>
      <c r="EK60020"/>
    </row>
    <row r="60021" spans="1:141" s="116" customFormat="1">
      <c r="A60021" s="136"/>
      <c r="CM60021" s="111"/>
      <c r="CQ60021" s="111"/>
      <c r="EF60021"/>
      <c r="EG60021"/>
      <c r="EH60021"/>
      <c r="EI60021"/>
      <c r="EJ60021"/>
      <c r="EK60021"/>
    </row>
    <row r="60022" spans="1:141" s="116" customFormat="1">
      <c r="A60022" s="136"/>
      <c r="CM60022" s="111"/>
      <c r="CQ60022" s="111"/>
      <c r="EF60022"/>
      <c r="EG60022"/>
      <c r="EH60022"/>
      <c r="EI60022"/>
      <c r="EJ60022"/>
      <c r="EK60022"/>
    </row>
    <row r="60023" spans="1:141" s="116" customFormat="1">
      <c r="A60023" s="136"/>
      <c r="CM60023" s="111"/>
      <c r="CQ60023" s="111"/>
      <c r="EF60023"/>
      <c r="EG60023"/>
      <c r="EH60023"/>
      <c r="EI60023"/>
      <c r="EJ60023"/>
      <c r="EK60023"/>
    </row>
    <row r="60024" spans="1:141" s="116" customFormat="1">
      <c r="A60024" s="136"/>
      <c r="CM60024" s="111"/>
      <c r="CQ60024" s="111"/>
      <c r="EF60024"/>
      <c r="EG60024"/>
      <c r="EH60024"/>
      <c r="EI60024"/>
      <c r="EJ60024"/>
      <c r="EK60024"/>
    </row>
    <row r="60025" spans="1:141" s="116" customFormat="1">
      <c r="A60025" s="136"/>
      <c r="CM60025" s="111"/>
      <c r="CQ60025" s="111"/>
      <c r="EF60025"/>
      <c r="EG60025"/>
      <c r="EH60025"/>
      <c r="EI60025"/>
      <c r="EJ60025"/>
      <c r="EK60025"/>
    </row>
    <row r="60026" spans="1:141" s="116" customFormat="1">
      <c r="A60026" s="136"/>
      <c r="CM60026" s="111"/>
      <c r="CQ60026" s="111"/>
      <c r="EF60026"/>
      <c r="EG60026"/>
      <c r="EH60026"/>
      <c r="EI60026"/>
      <c r="EJ60026"/>
      <c r="EK60026"/>
    </row>
    <row r="60027" spans="1:141" s="116" customFormat="1">
      <c r="A60027" s="136"/>
      <c r="CM60027" s="111"/>
      <c r="CQ60027" s="111"/>
      <c r="EF60027"/>
      <c r="EG60027"/>
      <c r="EH60027"/>
      <c r="EI60027"/>
      <c r="EJ60027"/>
      <c r="EK60027"/>
    </row>
    <row r="60028" spans="1:141" s="116" customFormat="1">
      <c r="A60028" s="136"/>
      <c r="CM60028" s="111"/>
      <c r="CQ60028" s="111"/>
      <c r="EF60028"/>
      <c r="EG60028"/>
      <c r="EH60028"/>
      <c r="EI60028"/>
      <c r="EJ60028"/>
      <c r="EK60028"/>
    </row>
    <row r="60029" spans="1:141" s="116" customFormat="1">
      <c r="A60029" s="136"/>
      <c r="CM60029" s="111"/>
      <c r="CQ60029" s="111"/>
      <c r="EF60029"/>
      <c r="EG60029"/>
      <c r="EH60029"/>
      <c r="EI60029"/>
      <c r="EJ60029"/>
      <c r="EK60029"/>
    </row>
    <row r="60030" spans="1:141" s="116" customFormat="1">
      <c r="A60030" s="136"/>
      <c r="CM60030" s="111"/>
      <c r="CQ60030" s="111"/>
      <c r="EF60030"/>
      <c r="EG60030"/>
      <c r="EH60030"/>
      <c r="EI60030"/>
      <c r="EJ60030"/>
      <c r="EK60030"/>
    </row>
    <row r="60031" spans="1:141" s="116" customFormat="1">
      <c r="A60031" s="136"/>
      <c r="CM60031" s="111"/>
      <c r="CQ60031" s="111"/>
      <c r="EF60031"/>
      <c r="EG60031"/>
      <c r="EH60031"/>
      <c r="EI60031"/>
      <c r="EJ60031"/>
      <c r="EK60031"/>
    </row>
    <row r="60032" spans="1:141" s="116" customFormat="1">
      <c r="A60032" s="136"/>
      <c r="CM60032" s="111"/>
      <c r="CQ60032" s="111"/>
      <c r="EF60032"/>
      <c r="EG60032"/>
      <c r="EH60032"/>
      <c r="EI60032"/>
      <c r="EJ60032"/>
      <c r="EK60032"/>
    </row>
    <row r="60033" spans="1:141" s="116" customFormat="1">
      <c r="A60033" s="136"/>
      <c r="CM60033" s="111"/>
      <c r="CQ60033" s="111"/>
      <c r="EF60033"/>
      <c r="EG60033"/>
      <c r="EH60033"/>
      <c r="EI60033"/>
      <c r="EJ60033"/>
      <c r="EK60033"/>
    </row>
    <row r="60034" spans="1:141" s="116" customFormat="1">
      <c r="A60034" s="136"/>
      <c r="CM60034" s="111"/>
      <c r="CQ60034" s="111"/>
      <c r="EF60034"/>
      <c r="EG60034"/>
      <c r="EH60034"/>
      <c r="EI60034"/>
      <c r="EJ60034"/>
      <c r="EK60034"/>
    </row>
    <row r="60035" spans="1:141" s="116" customFormat="1">
      <c r="A60035" s="136"/>
      <c r="CM60035" s="111"/>
      <c r="CQ60035" s="111"/>
      <c r="EF60035"/>
      <c r="EG60035"/>
      <c r="EH60035"/>
      <c r="EI60035"/>
      <c r="EJ60035"/>
      <c r="EK60035"/>
    </row>
    <row r="60036" spans="1:141" s="116" customFormat="1">
      <c r="A60036" s="136"/>
      <c r="CM60036" s="111"/>
      <c r="CQ60036" s="111"/>
      <c r="EF60036"/>
      <c r="EG60036"/>
      <c r="EH60036"/>
      <c r="EI60036"/>
      <c r="EJ60036"/>
      <c r="EK60036"/>
    </row>
    <row r="60037" spans="1:141" s="116" customFormat="1">
      <c r="A60037" s="136"/>
      <c r="CM60037" s="111"/>
      <c r="CQ60037" s="111"/>
      <c r="EF60037"/>
      <c r="EG60037"/>
      <c r="EH60037"/>
      <c r="EI60037"/>
      <c r="EJ60037"/>
      <c r="EK60037"/>
    </row>
    <row r="60038" spans="1:141" s="116" customFormat="1">
      <c r="A60038" s="136"/>
      <c r="CM60038" s="111"/>
      <c r="CQ60038" s="111"/>
      <c r="EF60038"/>
      <c r="EG60038"/>
      <c r="EH60038"/>
      <c r="EI60038"/>
      <c r="EJ60038"/>
      <c r="EK60038"/>
    </row>
    <row r="60039" spans="1:141" s="116" customFormat="1">
      <c r="A60039" s="136"/>
      <c r="CM60039" s="111"/>
      <c r="CQ60039" s="111"/>
      <c r="EF60039"/>
      <c r="EG60039"/>
      <c r="EH60039"/>
      <c r="EI60039"/>
      <c r="EJ60039"/>
      <c r="EK60039"/>
    </row>
    <row r="60040" spans="1:141" s="116" customFormat="1">
      <c r="A60040" s="136"/>
      <c r="CM60040" s="111"/>
      <c r="CQ60040" s="111"/>
      <c r="EF60040"/>
      <c r="EG60040"/>
      <c r="EH60040"/>
      <c r="EI60040"/>
      <c r="EJ60040"/>
      <c r="EK60040"/>
    </row>
    <row r="60041" spans="1:141" s="116" customFormat="1">
      <c r="A60041" s="136"/>
      <c r="CM60041" s="111"/>
      <c r="CQ60041" s="111"/>
      <c r="EF60041"/>
      <c r="EG60041"/>
      <c r="EH60041"/>
      <c r="EI60041"/>
      <c r="EJ60041"/>
      <c r="EK60041"/>
    </row>
    <row r="60042" spans="1:141" s="116" customFormat="1">
      <c r="A60042" s="136"/>
      <c r="CM60042" s="111"/>
      <c r="CQ60042" s="111"/>
      <c r="EF60042"/>
      <c r="EG60042"/>
      <c r="EH60042"/>
      <c r="EI60042"/>
      <c r="EJ60042"/>
      <c r="EK60042"/>
    </row>
    <row r="60043" spans="1:141" s="116" customFormat="1">
      <c r="A60043" s="136"/>
      <c r="CM60043" s="111"/>
      <c r="CQ60043" s="111"/>
      <c r="EF60043"/>
      <c r="EG60043"/>
      <c r="EH60043"/>
      <c r="EI60043"/>
      <c r="EJ60043"/>
      <c r="EK60043"/>
    </row>
    <row r="60044" spans="1:141" s="116" customFormat="1">
      <c r="A60044" s="136"/>
      <c r="CM60044" s="111"/>
      <c r="CQ60044" s="111"/>
      <c r="EF60044"/>
      <c r="EG60044"/>
      <c r="EH60044"/>
      <c r="EI60044"/>
      <c r="EJ60044"/>
      <c r="EK60044"/>
    </row>
    <row r="60045" spans="1:141" s="116" customFormat="1">
      <c r="A60045" s="136"/>
      <c r="CM60045" s="111"/>
      <c r="CQ60045" s="111"/>
      <c r="EF60045"/>
      <c r="EG60045"/>
      <c r="EH60045"/>
      <c r="EI60045"/>
      <c r="EJ60045"/>
      <c r="EK60045"/>
    </row>
    <row r="60046" spans="1:141" s="116" customFormat="1">
      <c r="A60046" s="136"/>
      <c r="CM60046" s="111"/>
      <c r="CQ60046" s="111"/>
      <c r="EF60046"/>
      <c r="EG60046"/>
      <c r="EH60046"/>
      <c r="EI60046"/>
      <c r="EJ60046"/>
      <c r="EK60046"/>
    </row>
    <row r="60047" spans="1:141" s="116" customFormat="1">
      <c r="A60047" s="136"/>
      <c r="CM60047" s="111"/>
      <c r="CQ60047" s="111"/>
      <c r="EF60047"/>
      <c r="EG60047"/>
      <c r="EH60047"/>
      <c r="EI60047"/>
      <c r="EJ60047"/>
      <c r="EK60047"/>
    </row>
    <row r="60048" spans="1:141" s="116" customFormat="1">
      <c r="A60048" s="136"/>
      <c r="CM60048" s="111"/>
      <c r="CQ60048" s="111"/>
      <c r="EF60048"/>
      <c r="EG60048"/>
      <c r="EH60048"/>
      <c r="EI60048"/>
      <c r="EJ60048"/>
      <c r="EK60048"/>
    </row>
    <row r="60049" spans="1:141" s="116" customFormat="1">
      <c r="A60049" s="136"/>
      <c r="CM60049" s="111"/>
      <c r="CQ60049" s="111"/>
      <c r="EF60049"/>
      <c r="EG60049"/>
      <c r="EH60049"/>
      <c r="EI60049"/>
      <c r="EJ60049"/>
      <c r="EK60049"/>
    </row>
    <row r="60050" spans="1:141" s="116" customFormat="1">
      <c r="A60050" s="136"/>
      <c r="CM60050" s="111"/>
      <c r="CQ60050" s="111"/>
      <c r="EF60050"/>
      <c r="EG60050"/>
      <c r="EH60050"/>
      <c r="EI60050"/>
      <c r="EJ60050"/>
      <c r="EK60050"/>
    </row>
    <row r="60051" spans="1:141" s="116" customFormat="1">
      <c r="A60051" s="136"/>
      <c r="CM60051" s="111"/>
      <c r="CQ60051" s="111"/>
      <c r="EF60051"/>
      <c r="EG60051"/>
      <c r="EH60051"/>
      <c r="EI60051"/>
      <c r="EJ60051"/>
      <c r="EK60051"/>
    </row>
    <row r="60052" spans="1:141" s="116" customFormat="1">
      <c r="A60052" s="136"/>
      <c r="CM60052" s="111"/>
      <c r="CQ60052" s="111"/>
      <c r="EF60052"/>
      <c r="EG60052"/>
      <c r="EH60052"/>
      <c r="EI60052"/>
      <c r="EJ60052"/>
      <c r="EK60052"/>
    </row>
    <row r="60053" spans="1:141" s="116" customFormat="1">
      <c r="A60053" s="136"/>
      <c r="CM60053" s="111"/>
      <c r="CQ60053" s="111"/>
      <c r="EF60053"/>
      <c r="EG60053"/>
      <c r="EH60053"/>
      <c r="EI60053"/>
      <c r="EJ60053"/>
      <c r="EK60053"/>
    </row>
    <row r="60054" spans="1:141" s="116" customFormat="1">
      <c r="A60054" s="136"/>
      <c r="CM60054" s="111"/>
      <c r="CQ60054" s="111"/>
      <c r="EF60054"/>
      <c r="EG60054"/>
      <c r="EH60054"/>
      <c r="EI60054"/>
      <c r="EJ60054"/>
      <c r="EK60054"/>
    </row>
    <row r="60055" spans="1:141" s="116" customFormat="1">
      <c r="A60055" s="136"/>
      <c r="CM60055" s="111"/>
      <c r="CQ60055" s="111"/>
      <c r="EF60055"/>
      <c r="EG60055"/>
      <c r="EH60055"/>
      <c r="EI60055"/>
      <c r="EJ60055"/>
      <c r="EK60055"/>
    </row>
    <row r="60056" spans="1:141" s="116" customFormat="1">
      <c r="A60056" s="136"/>
      <c r="CM60056" s="111"/>
      <c r="CQ60056" s="111"/>
      <c r="EF60056"/>
      <c r="EG60056"/>
      <c r="EH60056"/>
      <c r="EI60056"/>
      <c r="EJ60056"/>
      <c r="EK60056"/>
    </row>
    <row r="60057" spans="1:141" s="116" customFormat="1">
      <c r="A60057" s="136"/>
      <c r="CM60057" s="111"/>
      <c r="CQ60057" s="111"/>
      <c r="EF60057"/>
      <c r="EG60057"/>
      <c r="EH60057"/>
      <c r="EI60057"/>
      <c r="EJ60057"/>
      <c r="EK60057"/>
    </row>
    <row r="60058" spans="1:141" s="116" customFormat="1">
      <c r="A60058" s="136"/>
      <c r="CM60058" s="111"/>
      <c r="CQ60058" s="111"/>
      <c r="EF60058"/>
      <c r="EG60058"/>
      <c r="EH60058"/>
      <c r="EI60058"/>
      <c r="EJ60058"/>
      <c r="EK60058"/>
    </row>
    <row r="60059" spans="1:141" s="116" customFormat="1">
      <c r="A60059" s="136"/>
      <c r="CM60059" s="111"/>
      <c r="CQ60059" s="111"/>
      <c r="EF60059"/>
      <c r="EG60059"/>
      <c r="EH60059"/>
      <c r="EI60059"/>
      <c r="EJ60059"/>
      <c r="EK60059"/>
    </row>
    <row r="60060" spans="1:141" s="116" customFormat="1">
      <c r="A60060" s="136"/>
      <c r="CM60060" s="111"/>
      <c r="CQ60060" s="111"/>
      <c r="EF60060"/>
      <c r="EG60060"/>
      <c r="EH60060"/>
      <c r="EI60060"/>
      <c r="EJ60060"/>
      <c r="EK60060"/>
    </row>
    <row r="60061" spans="1:141" s="116" customFormat="1">
      <c r="A60061" s="136"/>
      <c r="CM60061" s="111"/>
      <c r="CQ60061" s="111"/>
      <c r="EF60061"/>
      <c r="EG60061"/>
      <c r="EH60061"/>
      <c r="EI60061"/>
      <c r="EJ60061"/>
      <c r="EK60061"/>
    </row>
    <row r="60062" spans="1:141" s="116" customFormat="1">
      <c r="A60062" s="136"/>
      <c r="CM60062" s="111"/>
      <c r="CQ60062" s="111"/>
      <c r="EF60062"/>
      <c r="EG60062"/>
      <c r="EH60062"/>
      <c r="EI60062"/>
      <c r="EJ60062"/>
      <c r="EK60062"/>
    </row>
    <row r="60063" spans="1:141" s="116" customFormat="1">
      <c r="A60063" s="136"/>
      <c r="CM60063" s="111"/>
      <c r="CQ60063" s="111"/>
      <c r="EF60063"/>
      <c r="EG60063"/>
      <c r="EH60063"/>
      <c r="EI60063"/>
      <c r="EJ60063"/>
      <c r="EK60063"/>
    </row>
    <row r="60064" spans="1:141" s="116" customFormat="1">
      <c r="A60064" s="136"/>
      <c r="CM60064" s="111"/>
      <c r="CQ60064" s="111"/>
      <c r="EF60064"/>
      <c r="EG60064"/>
      <c r="EH60064"/>
      <c r="EI60064"/>
      <c r="EJ60064"/>
      <c r="EK60064"/>
    </row>
    <row r="60065" spans="1:141" s="116" customFormat="1">
      <c r="A60065" s="136"/>
      <c r="CM60065" s="111"/>
      <c r="CQ60065" s="111"/>
      <c r="EF60065"/>
      <c r="EG60065"/>
      <c r="EH60065"/>
      <c r="EI60065"/>
      <c r="EJ60065"/>
      <c r="EK60065"/>
    </row>
    <row r="60066" spans="1:141" s="116" customFormat="1">
      <c r="A60066" s="136"/>
      <c r="CM60066" s="111"/>
      <c r="CQ60066" s="111"/>
      <c r="EF60066"/>
      <c r="EG60066"/>
      <c r="EH60066"/>
      <c r="EI60066"/>
      <c r="EJ60066"/>
      <c r="EK60066"/>
    </row>
    <row r="60067" spans="1:141" s="116" customFormat="1">
      <c r="A60067" s="136"/>
      <c r="CM60067" s="111"/>
      <c r="CQ60067" s="111"/>
      <c r="EF60067"/>
      <c r="EG60067"/>
      <c r="EH60067"/>
      <c r="EI60067"/>
      <c r="EJ60067"/>
      <c r="EK60067"/>
    </row>
    <row r="60068" spans="1:141" s="116" customFormat="1">
      <c r="A60068" s="136"/>
      <c r="CM60068" s="111"/>
      <c r="CQ60068" s="111"/>
      <c r="EF60068"/>
      <c r="EG60068"/>
      <c r="EH60068"/>
      <c r="EI60068"/>
      <c r="EJ60068"/>
      <c r="EK60068"/>
    </row>
    <row r="60069" spans="1:141" s="116" customFormat="1">
      <c r="A60069" s="136"/>
      <c r="CM60069" s="111"/>
      <c r="CQ60069" s="111"/>
      <c r="EF60069"/>
      <c r="EG60069"/>
      <c r="EH60069"/>
      <c r="EI60069"/>
      <c r="EJ60069"/>
      <c r="EK60069"/>
    </row>
    <row r="60070" spans="1:141" s="116" customFormat="1">
      <c r="A60070" s="136"/>
      <c r="CM60070" s="111"/>
      <c r="CQ60070" s="111"/>
      <c r="EF60070"/>
      <c r="EG60070"/>
      <c r="EH60070"/>
      <c r="EI60070"/>
      <c r="EJ60070"/>
      <c r="EK60070"/>
    </row>
    <row r="60071" spans="1:141" s="116" customFormat="1">
      <c r="A60071" s="136"/>
      <c r="CM60071" s="111"/>
      <c r="CQ60071" s="111"/>
      <c r="EF60071"/>
      <c r="EG60071"/>
      <c r="EH60071"/>
      <c r="EI60071"/>
      <c r="EJ60071"/>
      <c r="EK60071"/>
    </row>
    <row r="60072" spans="1:141" s="116" customFormat="1">
      <c r="A60072" s="136"/>
      <c r="CM60072" s="111"/>
      <c r="CQ60072" s="111"/>
      <c r="EF60072"/>
      <c r="EG60072"/>
      <c r="EH60072"/>
      <c r="EI60072"/>
      <c r="EJ60072"/>
      <c r="EK60072"/>
    </row>
    <row r="60073" spans="1:141" s="116" customFormat="1">
      <c r="A60073" s="136"/>
      <c r="CM60073" s="111"/>
      <c r="CQ60073" s="111"/>
      <c r="EF60073"/>
      <c r="EG60073"/>
      <c r="EH60073"/>
      <c r="EI60073"/>
      <c r="EJ60073"/>
      <c r="EK60073"/>
    </row>
    <row r="60074" spans="1:141" s="116" customFormat="1">
      <c r="A60074" s="136"/>
      <c r="CM60074" s="111"/>
      <c r="CQ60074" s="111"/>
      <c r="EF60074"/>
      <c r="EG60074"/>
      <c r="EH60074"/>
      <c r="EI60074"/>
      <c r="EJ60074"/>
      <c r="EK60074"/>
    </row>
    <row r="60075" spans="1:141" s="116" customFormat="1">
      <c r="A60075" s="136"/>
      <c r="CM60075" s="111"/>
      <c r="CQ60075" s="111"/>
      <c r="EF60075"/>
      <c r="EG60075"/>
      <c r="EH60075"/>
      <c r="EI60075"/>
      <c r="EJ60075"/>
      <c r="EK60075"/>
    </row>
    <row r="60076" spans="1:141" s="116" customFormat="1">
      <c r="A60076" s="136"/>
      <c r="CM60076" s="111"/>
      <c r="CQ60076" s="111"/>
      <c r="EF60076"/>
      <c r="EG60076"/>
      <c r="EH60076"/>
      <c r="EI60076"/>
      <c r="EJ60076"/>
      <c r="EK60076"/>
    </row>
    <row r="60077" spans="1:141" s="116" customFormat="1">
      <c r="A60077" s="136"/>
      <c r="CM60077" s="111"/>
      <c r="CQ60077" s="111"/>
      <c r="EF60077"/>
      <c r="EG60077"/>
      <c r="EH60077"/>
      <c r="EI60077"/>
      <c r="EJ60077"/>
      <c r="EK60077"/>
    </row>
    <row r="60078" spans="1:141" s="116" customFormat="1">
      <c r="A60078" s="136"/>
      <c r="CM60078" s="111"/>
      <c r="CQ60078" s="111"/>
      <c r="EF60078"/>
      <c r="EG60078"/>
      <c r="EH60078"/>
      <c r="EI60078"/>
      <c r="EJ60078"/>
      <c r="EK60078"/>
    </row>
    <row r="60079" spans="1:141" s="116" customFormat="1">
      <c r="A60079" s="136"/>
      <c r="CM60079" s="111"/>
      <c r="CQ60079" s="111"/>
      <c r="EF60079"/>
      <c r="EG60079"/>
      <c r="EH60079"/>
      <c r="EI60079"/>
      <c r="EJ60079"/>
      <c r="EK60079"/>
    </row>
    <row r="60080" spans="1:141" s="116" customFormat="1">
      <c r="A60080" s="136"/>
      <c r="CM60080" s="111"/>
      <c r="CQ60080" s="111"/>
      <c r="EF60080"/>
      <c r="EG60080"/>
      <c r="EH60080"/>
      <c r="EI60080"/>
      <c r="EJ60080"/>
      <c r="EK60080"/>
    </row>
    <row r="60081" spans="1:141" s="116" customFormat="1">
      <c r="A60081" s="136"/>
      <c r="CM60081" s="111"/>
      <c r="CQ60081" s="111"/>
      <c r="EF60081"/>
      <c r="EG60081"/>
      <c r="EH60081"/>
      <c r="EI60081"/>
      <c r="EJ60081"/>
      <c r="EK60081"/>
    </row>
    <row r="60082" spans="1:141" s="116" customFormat="1">
      <c r="A60082" s="136"/>
      <c r="CM60082" s="111"/>
      <c r="CQ60082" s="111"/>
      <c r="EF60082"/>
      <c r="EG60082"/>
      <c r="EH60082"/>
      <c r="EI60082"/>
      <c r="EJ60082"/>
      <c r="EK60082"/>
    </row>
    <row r="60083" spans="1:141" s="116" customFormat="1">
      <c r="A60083" s="136"/>
      <c r="CM60083" s="111"/>
      <c r="CQ60083" s="111"/>
      <c r="EF60083"/>
      <c r="EG60083"/>
      <c r="EH60083"/>
      <c r="EI60083"/>
      <c r="EJ60083"/>
      <c r="EK60083"/>
    </row>
    <row r="60084" spans="1:141" s="116" customFormat="1">
      <c r="A60084" s="136"/>
      <c r="CM60084" s="111"/>
      <c r="CQ60084" s="111"/>
      <c r="EF60084"/>
      <c r="EG60084"/>
      <c r="EH60084"/>
      <c r="EI60084"/>
      <c r="EJ60084"/>
      <c r="EK60084"/>
    </row>
    <row r="60085" spans="1:141" s="116" customFormat="1">
      <c r="A60085" s="136"/>
      <c r="CM60085" s="111"/>
      <c r="CQ60085" s="111"/>
      <c r="EF60085"/>
      <c r="EG60085"/>
      <c r="EH60085"/>
      <c r="EI60085"/>
      <c r="EJ60085"/>
      <c r="EK60085"/>
    </row>
    <row r="60086" spans="1:141" s="116" customFormat="1">
      <c r="A60086" s="136"/>
      <c r="CM60086" s="111"/>
      <c r="CQ60086" s="111"/>
      <c r="EF60086"/>
      <c r="EG60086"/>
      <c r="EH60086"/>
      <c r="EI60086"/>
      <c r="EJ60086"/>
      <c r="EK60086"/>
    </row>
    <row r="60087" spans="1:141" s="116" customFormat="1">
      <c r="A60087" s="136"/>
      <c r="CM60087" s="111"/>
      <c r="CQ60087" s="111"/>
      <c r="EF60087"/>
      <c r="EG60087"/>
      <c r="EH60087"/>
      <c r="EI60087"/>
      <c r="EJ60087"/>
      <c r="EK60087"/>
    </row>
    <row r="60088" spans="1:141" s="116" customFormat="1">
      <c r="A60088" s="136"/>
      <c r="CM60088" s="111"/>
      <c r="CQ60088" s="111"/>
      <c r="EF60088"/>
      <c r="EG60088"/>
      <c r="EH60088"/>
      <c r="EI60088"/>
      <c r="EJ60088"/>
      <c r="EK60088"/>
    </row>
    <row r="60089" spans="1:141" s="116" customFormat="1">
      <c r="A60089" s="136"/>
      <c r="CM60089" s="111"/>
      <c r="CQ60089" s="111"/>
      <c r="EF60089"/>
      <c r="EG60089"/>
      <c r="EH60089"/>
      <c r="EI60089"/>
      <c r="EJ60089"/>
      <c r="EK60089"/>
    </row>
    <row r="60090" spans="1:141" s="116" customFormat="1">
      <c r="A60090" s="136"/>
      <c r="CM60090" s="111"/>
      <c r="CQ60090" s="111"/>
      <c r="EF60090"/>
      <c r="EG60090"/>
      <c r="EH60090"/>
      <c r="EI60090"/>
      <c r="EJ60090"/>
      <c r="EK60090"/>
    </row>
    <row r="60091" spans="1:141" s="116" customFormat="1">
      <c r="A60091" s="136"/>
      <c r="CM60091" s="111"/>
      <c r="CQ60091" s="111"/>
      <c r="EF60091"/>
      <c r="EG60091"/>
      <c r="EH60091"/>
      <c r="EI60091"/>
      <c r="EJ60091"/>
      <c r="EK60091"/>
    </row>
    <row r="60092" spans="1:141" s="116" customFormat="1">
      <c r="A60092" s="136"/>
      <c r="CM60092" s="111"/>
      <c r="CQ60092" s="111"/>
      <c r="EF60092"/>
      <c r="EG60092"/>
      <c r="EH60092"/>
      <c r="EI60092"/>
      <c r="EJ60092"/>
      <c r="EK60092"/>
    </row>
    <row r="60093" spans="1:141" s="116" customFormat="1">
      <c r="A60093" s="136"/>
      <c r="CM60093" s="111"/>
      <c r="CQ60093" s="111"/>
      <c r="EF60093"/>
      <c r="EG60093"/>
      <c r="EH60093"/>
      <c r="EI60093"/>
      <c r="EJ60093"/>
      <c r="EK60093"/>
    </row>
    <row r="60094" spans="1:141" s="116" customFormat="1">
      <c r="A60094" s="136"/>
      <c r="CM60094" s="111"/>
      <c r="CQ60094" s="111"/>
      <c r="EF60094"/>
      <c r="EG60094"/>
      <c r="EH60094"/>
      <c r="EI60094"/>
      <c r="EJ60094"/>
      <c r="EK60094"/>
    </row>
    <row r="60095" spans="1:141" s="116" customFormat="1">
      <c r="A60095" s="136"/>
      <c r="CM60095" s="111"/>
      <c r="CQ60095" s="111"/>
      <c r="EF60095"/>
      <c r="EG60095"/>
      <c r="EH60095"/>
      <c r="EI60095"/>
      <c r="EJ60095"/>
      <c r="EK60095"/>
    </row>
    <row r="60096" spans="1:141" s="116" customFormat="1">
      <c r="A60096" s="136"/>
      <c r="CM60096" s="111"/>
      <c r="CQ60096" s="111"/>
      <c r="EF60096"/>
      <c r="EG60096"/>
      <c r="EH60096"/>
      <c r="EI60096"/>
      <c r="EJ60096"/>
      <c r="EK60096"/>
    </row>
    <row r="60097" spans="1:141" s="116" customFormat="1">
      <c r="A60097" s="136"/>
      <c r="CM60097" s="111"/>
      <c r="CQ60097" s="111"/>
      <c r="EF60097"/>
      <c r="EG60097"/>
      <c r="EH60097"/>
      <c r="EI60097"/>
      <c r="EJ60097"/>
      <c r="EK60097"/>
    </row>
    <row r="60098" spans="1:141" s="116" customFormat="1">
      <c r="A60098" s="136"/>
      <c r="CM60098" s="111"/>
      <c r="CQ60098" s="111"/>
      <c r="EF60098"/>
      <c r="EG60098"/>
      <c r="EH60098"/>
      <c r="EI60098"/>
      <c r="EJ60098"/>
      <c r="EK60098"/>
    </row>
    <row r="60099" spans="1:141" s="116" customFormat="1">
      <c r="A60099" s="136"/>
      <c r="CM60099" s="111"/>
      <c r="CQ60099" s="111"/>
      <c r="EF60099"/>
      <c r="EG60099"/>
      <c r="EH60099"/>
      <c r="EI60099"/>
      <c r="EJ60099"/>
      <c r="EK60099"/>
    </row>
    <row r="60100" spans="1:141" s="116" customFormat="1">
      <c r="A60100" s="136"/>
      <c r="CM60100" s="111"/>
      <c r="CQ60100" s="111"/>
      <c r="EF60100"/>
      <c r="EG60100"/>
      <c r="EH60100"/>
      <c r="EI60100"/>
      <c r="EJ60100"/>
      <c r="EK60100"/>
    </row>
    <row r="60101" spans="1:141" s="116" customFormat="1">
      <c r="A60101" s="136"/>
      <c r="CM60101" s="111"/>
      <c r="CQ60101" s="111"/>
      <c r="EF60101"/>
      <c r="EG60101"/>
      <c r="EH60101"/>
      <c r="EI60101"/>
      <c r="EJ60101"/>
      <c r="EK60101"/>
    </row>
    <row r="60102" spans="1:141" s="116" customFormat="1">
      <c r="A60102" s="136"/>
      <c r="CM60102" s="111"/>
      <c r="CQ60102" s="111"/>
      <c r="EF60102"/>
      <c r="EG60102"/>
      <c r="EH60102"/>
      <c r="EI60102"/>
      <c r="EJ60102"/>
      <c r="EK60102"/>
    </row>
    <row r="60103" spans="1:141" s="116" customFormat="1">
      <c r="A60103" s="136"/>
      <c r="CM60103" s="111"/>
      <c r="CQ60103" s="111"/>
      <c r="EF60103"/>
      <c r="EG60103"/>
      <c r="EH60103"/>
      <c r="EI60103"/>
      <c r="EJ60103"/>
      <c r="EK60103"/>
    </row>
    <row r="60104" spans="1:141" s="116" customFormat="1">
      <c r="A60104" s="136"/>
      <c r="CM60104" s="111"/>
      <c r="CQ60104" s="111"/>
      <c r="EF60104"/>
      <c r="EG60104"/>
      <c r="EH60104"/>
      <c r="EI60104"/>
      <c r="EJ60104"/>
      <c r="EK60104"/>
    </row>
    <row r="60105" spans="1:141" s="116" customFormat="1">
      <c r="A60105" s="136"/>
      <c r="CM60105" s="111"/>
      <c r="CQ60105" s="111"/>
      <c r="EF60105"/>
      <c r="EG60105"/>
      <c r="EH60105"/>
      <c r="EI60105"/>
      <c r="EJ60105"/>
      <c r="EK60105"/>
    </row>
    <row r="60106" spans="1:141" s="116" customFormat="1">
      <c r="A60106" s="136"/>
      <c r="CM60106" s="111"/>
      <c r="CQ60106" s="111"/>
      <c r="EF60106"/>
      <c r="EG60106"/>
      <c r="EH60106"/>
      <c r="EI60106"/>
      <c r="EJ60106"/>
      <c r="EK60106"/>
    </row>
    <row r="60107" spans="1:141" s="116" customFormat="1">
      <c r="A60107" s="136"/>
      <c r="CM60107" s="111"/>
      <c r="CQ60107" s="111"/>
      <c r="EF60107"/>
      <c r="EG60107"/>
      <c r="EH60107"/>
      <c r="EI60107"/>
      <c r="EJ60107"/>
      <c r="EK60107"/>
    </row>
    <row r="60108" spans="1:141" s="116" customFormat="1">
      <c r="A60108" s="136"/>
      <c r="CM60108" s="111"/>
      <c r="CQ60108" s="111"/>
      <c r="EF60108"/>
      <c r="EG60108"/>
      <c r="EH60108"/>
      <c r="EI60108"/>
      <c r="EJ60108"/>
      <c r="EK60108"/>
    </row>
    <row r="60109" spans="1:141" s="116" customFormat="1">
      <c r="A60109" s="136"/>
      <c r="CM60109" s="111"/>
      <c r="CQ60109" s="111"/>
      <c r="EF60109"/>
      <c r="EG60109"/>
      <c r="EH60109"/>
      <c r="EI60109"/>
      <c r="EJ60109"/>
      <c r="EK60109"/>
    </row>
    <row r="60110" spans="1:141" s="116" customFormat="1">
      <c r="A60110" s="136"/>
      <c r="CM60110" s="111"/>
      <c r="CQ60110" s="111"/>
      <c r="EF60110"/>
      <c r="EG60110"/>
      <c r="EH60110"/>
      <c r="EI60110"/>
      <c r="EJ60110"/>
      <c r="EK60110"/>
    </row>
    <row r="60111" spans="1:141" s="116" customFormat="1">
      <c r="A60111" s="136"/>
      <c r="CM60111" s="111"/>
      <c r="CQ60111" s="111"/>
      <c r="EF60111"/>
      <c r="EG60111"/>
      <c r="EH60111"/>
      <c r="EI60111"/>
      <c r="EJ60111"/>
      <c r="EK60111"/>
    </row>
    <row r="60112" spans="1:141" s="116" customFormat="1">
      <c r="A60112" s="136"/>
      <c r="CM60112" s="111"/>
      <c r="CQ60112" s="111"/>
      <c r="EF60112"/>
      <c r="EG60112"/>
      <c r="EH60112"/>
      <c r="EI60112"/>
      <c r="EJ60112"/>
      <c r="EK60112"/>
    </row>
    <row r="60113" spans="1:141" s="116" customFormat="1">
      <c r="A60113" s="136"/>
      <c r="CM60113" s="111"/>
      <c r="CQ60113" s="111"/>
      <c r="EF60113"/>
      <c r="EG60113"/>
      <c r="EH60113"/>
      <c r="EI60113"/>
      <c r="EJ60113"/>
      <c r="EK60113"/>
    </row>
    <row r="60114" spans="1:141" s="116" customFormat="1">
      <c r="A60114" s="136"/>
      <c r="CM60114" s="111"/>
      <c r="CQ60114" s="111"/>
      <c r="EF60114"/>
      <c r="EG60114"/>
      <c r="EH60114"/>
      <c r="EI60114"/>
      <c r="EJ60114"/>
      <c r="EK60114"/>
    </row>
    <row r="60115" spans="1:141" s="116" customFormat="1">
      <c r="A60115" s="136"/>
      <c r="CM60115" s="111"/>
      <c r="CQ60115" s="111"/>
      <c r="EF60115"/>
      <c r="EG60115"/>
      <c r="EH60115"/>
      <c r="EI60115"/>
      <c r="EJ60115"/>
      <c r="EK60115"/>
    </row>
    <row r="60116" spans="1:141" s="116" customFormat="1">
      <c r="A60116" s="136"/>
      <c r="CM60116" s="111"/>
      <c r="CQ60116" s="111"/>
      <c r="EF60116"/>
      <c r="EG60116"/>
      <c r="EH60116"/>
      <c r="EI60116"/>
      <c r="EJ60116"/>
      <c r="EK60116"/>
    </row>
    <row r="60117" spans="1:141" s="116" customFormat="1">
      <c r="A60117" s="136"/>
      <c r="CM60117" s="111"/>
      <c r="CQ60117" s="111"/>
      <c r="EF60117"/>
      <c r="EG60117"/>
      <c r="EH60117"/>
      <c r="EI60117"/>
      <c r="EJ60117"/>
      <c r="EK60117"/>
    </row>
    <row r="60118" spans="1:141" s="116" customFormat="1">
      <c r="A60118" s="136"/>
      <c r="CM60118" s="111"/>
      <c r="CQ60118" s="111"/>
      <c r="EF60118"/>
      <c r="EG60118"/>
      <c r="EH60118"/>
      <c r="EI60118"/>
      <c r="EJ60118"/>
      <c r="EK60118"/>
    </row>
    <row r="60119" spans="1:141" s="116" customFormat="1">
      <c r="A60119" s="136"/>
      <c r="CM60119" s="111"/>
      <c r="CQ60119" s="111"/>
      <c r="EF60119"/>
      <c r="EG60119"/>
      <c r="EH60119"/>
      <c r="EI60119"/>
      <c r="EJ60119"/>
      <c r="EK60119"/>
    </row>
    <row r="60120" spans="1:141" s="116" customFormat="1">
      <c r="A60120" s="136"/>
      <c r="CM60120" s="111"/>
      <c r="CQ60120" s="111"/>
      <c r="EF60120"/>
      <c r="EG60120"/>
      <c r="EH60120"/>
      <c r="EI60120"/>
      <c r="EJ60120"/>
      <c r="EK60120"/>
    </row>
    <row r="60121" spans="1:141" s="116" customFormat="1">
      <c r="A60121" s="136"/>
      <c r="CM60121" s="111"/>
      <c r="CQ60121" s="111"/>
      <c r="EF60121"/>
      <c r="EG60121"/>
      <c r="EH60121"/>
      <c r="EI60121"/>
      <c r="EJ60121"/>
      <c r="EK60121"/>
    </row>
    <row r="60122" spans="1:141" s="116" customFormat="1">
      <c r="A60122" s="136"/>
      <c r="CM60122" s="111"/>
      <c r="CQ60122" s="111"/>
      <c r="EF60122"/>
      <c r="EG60122"/>
      <c r="EH60122"/>
      <c r="EI60122"/>
      <c r="EJ60122"/>
      <c r="EK60122"/>
    </row>
    <row r="60123" spans="1:141" s="116" customFormat="1">
      <c r="A60123" s="136"/>
      <c r="CM60123" s="111"/>
      <c r="CQ60123" s="111"/>
      <c r="EF60123"/>
      <c r="EG60123"/>
      <c r="EH60123"/>
      <c r="EI60123"/>
      <c r="EJ60123"/>
      <c r="EK60123"/>
    </row>
    <row r="60124" spans="1:141" s="116" customFormat="1">
      <c r="A60124" s="136"/>
      <c r="CM60124" s="111"/>
      <c r="CQ60124" s="111"/>
      <c r="EF60124"/>
      <c r="EG60124"/>
      <c r="EH60124"/>
      <c r="EI60124"/>
      <c r="EJ60124"/>
      <c r="EK60124"/>
    </row>
    <row r="60125" spans="1:141" s="116" customFormat="1">
      <c r="A60125" s="136"/>
      <c r="CM60125" s="111"/>
      <c r="CQ60125" s="111"/>
      <c r="EF60125"/>
      <c r="EG60125"/>
      <c r="EH60125"/>
      <c r="EI60125"/>
      <c r="EJ60125"/>
      <c r="EK60125"/>
    </row>
    <row r="60126" spans="1:141" s="116" customFormat="1">
      <c r="A60126" s="136"/>
      <c r="CM60126" s="111"/>
      <c r="CQ60126" s="111"/>
      <c r="EF60126"/>
      <c r="EG60126"/>
      <c r="EH60126"/>
      <c r="EI60126"/>
      <c r="EJ60126"/>
      <c r="EK60126"/>
    </row>
    <row r="60127" spans="1:141" s="116" customFormat="1">
      <c r="A60127" s="136"/>
      <c r="CM60127" s="111"/>
      <c r="CQ60127" s="111"/>
      <c r="EF60127"/>
      <c r="EG60127"/>
      <c r="EH60127"/>
      <c r="EI60127"/>
      <c r="EJ60127"/>
      <c r="EK60127"/>
    </row>
    <row r="60128" spans="1:141" s="116" customFormat="1">
      <c r="A60128" s="136"/>
      <c r="CM60128" s="111"/>
      <c r="CQ60128" s="111"/>
      <c r="EF60128"/>
      <c r="EG60128"/>
      <c r="EH60128"/>
      <c r="EI60128"/>
      <c r="EJ60128"/>
      <c r="EK60128"/>
    </row>
    <row r="60129" spans="1:141" s="116" customFormat="1">
      <c r="A60129" s="136"/>
      <c r="CM60129" s="111"/>
      <c r="CQ60129" s="111"/>
      <c r="EF60129"/>
      <c r="EG60129"/>
      <c r="EH60129"/>
      <c r="EI60129"/>
      <c r="EJ60129"/>
      <c r="EK60129"/>
    </row>
    <row r="60130" spans="1:141" s="116" customFormat="1">
      <c r="A60130" s="136"/>
      <c r="CM60130" s="111"/>
      <c r="CQ60130" s="111"/>
      <c r="EF60130"/>
      <c r="EG60130"/>
      <c r="EH60130"/>
      <c r="EI60130"/>
      <c r="EJ60130"/>
      <c r="EK60130"/>
    </row>
    <row r="60131" spans="1:141" s="116" customFormat="1">
      <c r="A60131" s="136"/>
      <c r="CM60131" s="111"/>
      <c r="CQ60131" s="111"/>
      <c r="EF60131"/>
      <c r="EG60131"/>
      <c r="EH60131"/>
      <c r="EI60131"/>
      <c r="EJ60131"/>
      <c r="EK60131"/>
    </row>
    <row r="60132" spans="1:141" s="116" customFormat="1">
      <c r="A60132" s="136"/>
      <c r="CM60132" s="111"/>
      <c r="CQ60132" s="111"/>
      <c r="EF60132"/>
      <c r="EG60132"/>
      <c r="EH60132"/>
      <c r="EI60132"/>
      <c r="EJ60132"/>
      <c r="EK60132"/>
    </row>
    <row r="60133" spans="1:141" s="116" customFormat="1">
      <c r="A60133" s="136"/>
      <c r="CM60133" s="111"/>
      <c r="CQ60133" s="111"/>
      <c r="EF60133"/>
      <c r="EG60133"/>
      <c r="EH60133"/>
      <c r="EI60133"/>
      <c r="EJ60133"/>
      <c r="EK60133"/>
    </row>
    <row r="60134" spans="1:141" s="116" customFormat="1">
      <c r="A60134" s="136"/>
      <c r="CM60134" s="111"/>
      <c r="CQ60134" s="111"/>
      <c r="EF60134"/>
      <c r="EG60134"/>
      <c r="EH60134"/>
      <c r="EI60134"/>
      <c r="EJ60134"/>
      <c r="EK60134"/>
    </row>
    <row r="60135" spans="1:141" s="116" customFormat="1">
      <c r="A60135" s="136"/>
      <c r="CM60135" s="111"/>
      <c r="CQ60135" s="111"/>
      <c r="EF60135"/>
      <c r="EG60135"/>
      <c r="EH60135"/>
      <c r="EI60135"/>
      <c r="EJ60135"/>
      <c r="EK60135"/>
    </row>
    <row r="60136" spans="1:141" s="116" customFormat="1">
      <c r="A60136" s="136"/>
      <c r="CM60136" s="111"/>
      <c r="CQ60136" s="111"/>
      <c r="EF60136"/>
      <c r="EG60136"/>
      <c r="EH60136"/>
      <c r="EI60136"/>
      <c r="EJ60136"/>
      <c r="EK60136"/>
    </row>
    <row r="60137" spans="1:141" s="116" customFormat="1">
      <c r="A60137" s="136"/>
      <c r="CM60137" s="111"/>
      <c r="CQ60137" s="111"/>
      <c r="EF60137"/>
      <c r="EG60137"/>
      <c r="EH60137"/>
      <c r="EI60137"/>
      <c r="EJ60137"/>
      <c r="EK60137"/>
    </row>
    <row r="60138" spans="1:141" s="116" customFormat="1">
      <c r="A60138" s="136"/>
      <c r="CM60138" s="111"/>
      <c r="CQ60138" s="111"/>
      <c r="EF60138"/>
      <c r="EG60138"/>
      <c r="EH60138"/>
      <c r="EI60138"/>
      <c r="EJ60138"/>
      <c r="EK60138"/>
    </row>
    <row r="60139" spans="1:141" s="116" customFormat="1">
      <c r="A60139" s="136"/>
      <c r="CM60139" s="111"/>
      <c r="CQ60139" s="111"/>
      <c r="EF60139"/>
      <c r="EG60139"/>
      <c r="EH60139"/>
      <c r="EI60139"/>
      <c r="EJ60139"/>
      <c r="EK60139"/>
    </row>
    <row r="60140" spans="1:141" s="116" customFormat="1">
      <c r="A60140" s="136"/>
      <c r="CM60140" s="111"/>
      <c r="CQ60140" s="111"/>
      <c r="EF60140"/>
      <c r="EG60140"/>
      <c r="EH60140"/>
      <c r="EI60140"/>
      <c r="EJ60140"/>
      <c r="EK60140"/>
    </row>
    <row r="60141" spans="1:141" s="116" customFormat="1">
      <c r="A60141" s="136"/>
      <c r="CM60141" s="111"/>
      <c r="CQ60141" s="111"/>
      <c r="EF60141"/>
      <c r="EG60141"/>
      <c r="EH60141"/>
      <c r="EI60141"/>
      <c r="EJ60141"/>
      <c r="EK60141"/>
    </row>
    <row r="60142" spans="1:141" s="116" customFormat="1">
      <c r="A60142" s="136"/>
      <c r="CM60142" s="111"/>
      <c r="CQ60142" s="111"/>
      <c r="EF60142"/>
      <c r="EG60142"/>
      <c r="EH60142"/>
      <c r="EI60142"/>
      <c r="EJ60142"/>
      <c r="EK60142"/>
    </row>
    <row r="60143" spans="1:141" s="116" customFormat="1">
      <c r="A60143" s="136"/>
      <c r="CM60143" s="111"/>
      <c r="CQ60143" s="111"/>
      <c r="EF60143"/>
      <c r="EG60143"/>
      <c r="EH60143"/>
      <c r="EI60143"/>
      <c r="EJ60143"/>
      <c r="EK60143"/>
    </row>
    <row r="60144" spans="1:141" s="116" customFormat="1">
      <c r="A60144" s="136"/>
      <c r="CM60144" s="111"/>
      <c r="CQ60144" s="111"/>
      <c r="EF60144"/>
      <c r="EG60144"/>
      <c r="EH60144"/>
      <c r="EI60144"/>
      <c r="EJ60144"/>
      <c r="EK60144"/>
    </row>
    <row r="60145" spans="1:141" s="116" customFormat="1">
      <c r="A60145" s="136"/>
      <c r="CM60145" s="111"/>
      <c r="CQ60145" s="111"/>
      <c r="EF60145"/>
      <c r="EG60145"/>
      <c r="EH60145"/>
      <c r="EI60145"/>
      <c r="EJ60145"/>
      <c r="EK60145"/>
    </row>
    <row r="60146" spans="1:141" s="116" customFormat="1">
      <c r="A60146" s="136"/>
      <c r="CM60146" s="111"/>
      <c r="CQ60146" s="111"/>
      <c r="EF60146"/>
      <c r="EG60146"/>
      <c r="EH60146"/>
      <c r="EI60146"/>
      <c r="EJ60146"/>
      <c r="EK60146"/>
    </row>
    <row r="60147" spans="1:141" s="116" customFormat="1">
      <c r="A60147" s="136"/>
      <c r="CM60147" s="111"/>
      <c r="CQ60147" s="111"/>
      <c r="EF60147"/>
      <c r="EG60147"/>
      <c r="EH60147"/>
      <c r="EI60147"/>
      <c r="EJ60147"/>
      <c r="EK60147"/>
    </row>
    <row r="60148" spans="1:141" s="116" customFormat="1">
      <c r="A60148" s="136"/>
      <c r="CM60148" s="111"/>
      <c r="CQ60148" s="111"/>
      <c r="EF60148"/>
      <c r="EG60148"/>
      <c r="EH60148"/>
      <c r="EI60148"/>
      <c r="EJ60148"/>
      <c r="EK60148"/>
    </row>
    <row r="60149" spans="1:141" s="116" customFormat="1">
      <c r="A60149" s="136"/>
      <c r="CM60149" s="111"/>
      <c r="CQ60149" s="111"/>
      <c r="EF60149"/>
      <c r="EG60149"/>
      <c r="EH60149"/>
      <c r="EI60149"/>
      <c r="EJ60149"/>
      <c r="EK60149"/>
    </row>
    <row r="60150" spans="1:141" s="116" customFormat="1">
      <c r="A60150" s="136"/>
      <c r="CM60150" s="111"/>
      <c r="CQ60150" s="111"/>
      <c r="EF60150"/>
      <c r="EG60150"/>
      <c r="EH60150"/>
      <c r="EI60150"/>
      <c r="EJ60150"/>
      <c r="EK60150"/>
    </row>
    <row r="60151" spans="1:141" s="116" customFormat="1">
      <c r="A60151" s="136"/>
      <c r="CM60151" s="111"/>
      <c r="CQ60151" s="111"/>
      <c r="EF60151"/>
      <c r="EG60151"/>
      <c r="EH60151"/>
      <c r="EI60151"/>
      <c r="EJ60151"/>
      <c r="EK60151"/>
    </row>
    <row r="60152" spans="1:141" s="116" customFormat="1">
      <c r="A60152" s="136"/>
      <c r="CM60152" s="111"/>
      <c r="CQ60152" s="111"/>
      <c r="EF60152"/>
      <c r="EG60152"/>
      <c r="EH60152"/>
      <c r="EI60152"/>
      <c r="EJ60152"/>
      <c r="EK60152"/>
    </row>
    <row r="60153" spans="1:141" s="116" customFormat="1">
      <c r="A60153" s="136"/>
      <c r="CM60153" s="111"/>
      <c r="CQ60153" s="111"/>
      <c r="EF60153"/>
      <c r="EG60153"/>
      <c r="EH60153"/>
      <c r="EI60153"/>
      <c r="EJ60153"/>
      <c r="EK60153"/>
    </row>
    <row r="60154" spans="1:141" s="116" customFormat="1">
      <c r="A60154" s="136"/>
      <c r="CM60154" s="111"/>
      <c r="CQ60154" s="111"/>
      <c r="EF60154"/>
      <c r="EG60154"/>
      <c r="EH60154"/>
      <c r="EI60154"/>
      <c r="EJ60154"/>
      <c r="EK60154"/>
    </row>
    <row r="60155" spans="1:141" s="116" customFormat="1">
      <c r="A60155" s="136"/>
      <c r="CM60155" s="111"/>
      <c r="CQ60155" s="111"/>
      <c r="EF60155"/>
      <c r="EG60155"/>
      <c r="EH60155"/>
      <c r="EI60155"/>
      <c r="EJ60155"/>
      <c r="EK60155"/>
    </row>
    <row r="60156" spans="1:141" s="116" customFormat="1">
      <c r="A60156" s="136"/>
      <c r="CM60156" s="111"/>
      <c r="CQ60156" s="111"/>
      <c r="EF60156"/>
      <c r="EG60156"/>
      <c r="EH60156"/>
      <c r="EI60156"/>
      <c r="EJ60156"/>
      <c r="EK60156"/>
    </row>
    <row r="60157" spans="1:141" s="116" customFormat="1">
      <c r="A60157" s="136"/>
      <c r="CM60157" s="111"/>
      <c r="CQ60157" s="111"/>
      <c r="EF60157"/>
      <c r="EG60157"/>
      <c r="EH60157"/>
      <c r="EI60157"/>
      <c r="EJ60157"/>
      <c r="EK60157"/>
    </row>
    <row r="60158" spans="1:141" s="116" customFormat="1">
      <c r="A60158" s="136"/>
      <c r="CM60158" s="111"/>
      <c r="CQ60158" s="111"/>
      <c r="EF60158"/>
      <c r="EG60158"/>
      <c r="EH60158"/>
      <c r="EI60158"/>
      <c r="EJ60158"/>
      <c r="EK60158"/>
    </row>
    <row r="60159" spans="1:141" s="116" customFormat="1">
      <c r="A60159" s="136"/>
      <c r="CM60159" s="111"/>
      <c r="CQ60159" s="111"/>
      <c r="EF60159"/>
      <c r="EG60159"/>
      <c r="EH60159"/>
      <c r="EI60159"/>
      <c r="EJ60159"/>
      <c r="EK60159"/>
    </row>
    <row r="60160" spans="1:141" s="116" customFormat="1">
      <c r="A60160" s="136"/>
      <c r="CM60160" s="111"/>
      <c r="CQ60160" s="111"/>
      <c r="EF60160"/>
      <c r="EG60160"/>
      <c r="EH60160"/>
      <c r="EI60160"/>
      <c r="EJ60160"/>
      <c r="EK60160"/>
    </row>
    <row r="60161" spans="1:141" s="116" customFormat="1">
      <c r="A60161" s="136"/>
      <c r="CM60161" s="111"/>
      <c r="CQ60161" s="111"/>
      <c r="EF60161"/>
      <c r="EG60161"/>
      <c r="EH60161"/>
      <c r="EI60161"/>
      <c r="EJ60161"/>
      <c r="EK60161"/>
    </row>
    <row r="60162" spans="1:141" s="116" customFormat="1">
      <c r="A60162" s="136"/>
      <c r="CM60162" s="111"/>
      <c r="CQ60162" s="111"/>
      <c r="EF60162"/>
      <c r="EG60162"/>
      <c r="EH60162"/>
      <c r="EI60162"/>
      <c r="EJ60162"/>
      <c r="EK60162"/>
    </row>
    <row r="60163" spans="1:141" s="116" customFormat="1">
      <c r="A60163" s="136"/>
      <c r="CM60163" s="111"/>
      <c r="CQ60163" s="111"/>
      <c r="EF60163"/>
      <c r="EG60163"/>
      <c r="EH60163"/>
      <c r="EI60163"/>
      <c r="EJ60163"/>
      <c r="EK60163"/>
    </row>
    <row r="60164" spans="1:141" s="116" customFormat="1">
      <c r="A60164" s="136"/>
      <c r="CM60164" s="111"/>
      <c r="CQ60164" s="111"/>
      <c r="EF60164"/>
      <c r="EG60164"/>
      <c r="EH60164"/>
      <c r="EI60164"/>
      <c r="EJ60164"/>
      <c r="EK60164"/>
    </row>
    <row r="60165" spans="1:141" s="116" customFormat="1">
      <c r="A60165" s="136"/>
      <c r="CM60165" s="111"/>
      <c r="CQ60165" s="111"/>
      <c r="EF60165"/>
      <c r="EG60165"/>
      <c r="EH60165"/>
      <c r="EI60165"/>
      <c r="EJ60165"/>
      <c r="EK60165"/>
    </row>
    <row r="60166" spans="1:141" s="116" customFormat="1">
      <c r="A60166" s="136"/>
      <c r="CM60166" s="111"/>
      <c r="CQ60166" s="111"/>
      <c r="EF60166"/>
      <c r="EG60166"/>
      <c r="EH60166"/>
      <c r="EI60166"/>
      <c r="EJ60166"/>
      <c r="EK60166"/>
    </row>
    <row r="60167" spans="1:141" s="116" customFormat="1">
      <c r="A60167" s="136"/>
      <c r="CM60167" s="111"/>
      <c r="CQ60167" s="111"/>
      <c r="EF60167"/>
      <c r="EG60167"/>
      <c r="EH60167"/>
      <c r="EI60167"/>
      <c r="EJ60167"/>
      <c r="EK60167"/>
    </row>
    <row r="60168" spans="1:141" s="116" customFormat="1">
      <c r="A60168" s="136"/>
      <c r="CM60168" s="111"/>
      <c r="CQ60168" s="111"/>
      <c r="EF60168"/>
      <c r="EG60168"/>
      <c r="EH60168"/>
      <c r="EI60168"/>
      <c r="EJ60168"/>
      <c r="EK60168"/>
    </row>
    <row r="60169" spans="1:141" s="116" customFormat="1">
      <c r="A60169" s="136"/>
      <c r="CM60169" s="111"/>
      <c r="CQ60169" s="111"/>
      <c r="EF60169"/>
      <c r="EG60169"/>
      <c r="EH60169"/>
      <c r="EI60169"/>
      <c r="EJ60169"/>
      <c r="EK60169"/>
    </row>
    <row r="60170" spans="1:141" s="116" customFormat="1">
      <c r="A60170" s="136"/>
      <c r="CM60170" s="111"/>
      <c r="CQ60170" s="111"/>
      <c r="EF60170"/>
      <c r="EG60170"/>
      <c r="EH60170"/>
      <c r="EI60170"/>
      <c r="EJ60170"/>
      <c r="EK60170"/>
    </row>
    <row r="60171" spans="1:141" s="116" customFormat="1">
      <c r="A60171" s="136"/>
      <c r="CM60171" s="111"/>
      <c r="CQ60171" s="111"/>
      <c r="EF60171"/>
      <c r="EG60171"/>
      <c r="EH60171"/>
      <c r="EI60171"/>
      <c r="EJ60171"/>
      <c r="EK60171"/>
    </row>
    <row r="60172" spans="1:141" s="116" customFormat="1">
      <c r="A60172" s="136"/>
      <c r="CM60172" s="111"/>
      <c r="CQ60172" s="111"/>
      <c r="EF60172"/>
      <c r="EG60172"/>
      <c r="EH60172"/>
      <c r="EI60172"/>
      <c r="EJ60172"/>
      <c r="EK60172"/>
    </row>
    <row r="60173" spans="1:141" s="116" customFormat="1">
      <c r="A60173" s="136"/>
      <c r="CM60173" s="111"/>
      <c r="CQ60173" s="111"/>
      <c r="EF60173"/>
      <c r="EG60173"/>
      <c r="EH60173"/>
      <c r="EI60173"/>
      <c r="EJ60173"/>
      <c r="EK60173"/>
    </row>
    <row r="60174" spans="1:141" s="116" customFormat="1">
      <c r="A60174" s="136"/>
      <c r="CM60174" s="111"/>
      <c r="CQ60174" s="111"/>
      <c r="EF60174"/>
      <c r="EG60174"/>
      <c r="EH60174"/>
      <c r="EI60174"/>
      <c r="EJ60174"/>
      <c r="EK60174"/>
    </row>
    <row r="60175" spans="1:141" s="116" customFormat="1">
      <c r="A60175" s="136"/>
      <c r="CM60175" s="111"/>
      <c r="CQ60175" s="111"/>
      <c r="EF60175"/>
      <c r="EG60175"/>
      <c r="EH60175"/>
      <c r="EI60175"/>
      <c r="EJ60175"/>
      <c r="EK60175"/>
    </row>
    <row r="60176" spans="1:141" s="116" customFormat="1">
      <c r="A60176" s="136"/>
      <c r="CM60176" s="111"/>
      <c r="CQ60176" s="111"/>
      <c r="EF60176"/>
      <c r="EG60176"/>
      <c r="EH60176"/>
      <c r="EI60176"/>
      <c r="EJ60176"/>
      <c r="EK60176"/>
    </row>
    <row r="60177" spans="1:141" s="116" customFormat="1">
      <c r="A60177" s="136"/>
      <c r="CM60177" s="111"/>
      <c r="CQ60177" s="111"/>
      <c r="EF60177"/>
      <c r="EG60177"/>
      <c r="EH60177"/>
      <c r="EI60177"/>
      <c r="EJ60177"/>
      <c r="EK60177"/>
    </row>
    <row r="60178" spans="1:141" s="116" customFormat="1">
      <c r="A60178" s="136"/>
      <c r="CM60178" s="111"/>
      <c r="CQ60178" s="111"/>
      <c r="EF60178"/>
      <c r="EG60178"/>
      <c r="EH60178"/>
      <c r="EI60178"/>
      <c r="EJ60178"/>
      <c r="EK60178"/>
    </row>
    <row r="60179" spans="1:141" s="116" customFormat="1">
      <c r="A60179" s="136"/>
      <c r="CM60179" s="111"/>
      <c r="CQ60179" s="111"/>
      <c r="EF60179"/>
      <c r="EG60179"/>
      <c r="EH60179"/>
      <c r="EI60179"/>
      <c r="EJ60179"/>
      <c r="EK60179"/>
    </row>
    <row r="60180" spans="1:141" s="116" customFormat="1">
      <c r="A60180" s="136"/>
      <c r="CM60180" s="111"/>
      <c r="CQ60180" s="111"/>
      <c r="EF60180"/>
      <c r="EG60180"/>
      <c r="EH60180"/>
      <c r="EI60180"/>
      <c r="EJ60180"/>
      <c r="EK60180"/>
    </row>
    <row r="60181" spans="1:141" s="116" customFormat="1">
      <c r="A60181" s="136"/>
      <c r="CM60181" s="111"/>
      <c r="CQ60181" s="111"/>
      <c r="EF60181"/>
      <c r="EG60181"/>
      <c r="EH60181"/>
      <c r="EI60181"/>
      <c r="EJ60181"/>
      <c r="EK60181"/>
    </row>
    <row r="60182" spans="1:141" s="116" customFormat="1">
      <c r="A60182" s="136"/>
      <c r="CM60182" s="111"/>
      <c r="CQ60182" s="111"/>
      <c r="EF60182"/>
      <c r="EG60182"/>
      <c r="EH60182"/>
      <c r="EI60182"/>
      <c r="EJ60182"/>
      <c r="EK60182"/>
    </row>
    <row r="60183" spans="1:141" s="116" customFormat="1">
      <c r="A60183" s="136"/>
      <c r="CM60183" s="111"/>
      <c r="CQ60183" s="111"/>
      <c r="EF60183"/>
      <c r="EG60183"/>
      <c r="EH60183"/>
      <c r="EI60183"/>
      <c r="EJ60183"/>
      <c r="EK60183"/>
    </row>
    <row r="60184" spans="1:141" s="116" customFormat="1">
      <c r="A60184" s="136"/>
      <c r="CM60184" s="111"/>
      <c r="CQ60184" s="111"/>
      <c r="EF60184"/>
      <c r="EG60184"/>
      <c r="EH60184"/>
      <c r="EI60184"/>
      <c r="EJ60184"/>
      <c r="EK60184"/>
    </row>
    <row r="60185" spans="1:141" s="116" customFormat="1">
      <c r="A60185" s="136"/>
      <c r="CM60185" s="111"/>
      <c r="CQ60185" s="111"/>
      <c r="EF60185"/>
      <c r="EG60185"/>
      <c r="EH60185"/>
      <c r="EI60185"/>
      <c r="EJ60185"/>
      <c r="EK60185"/>
    </row>
    <row r="60186" spans="1:141" s="116" customFormat="1">
      <c r="A60186" s="136"/>
      <c r="CM60186" s="111"/>
      <c r="CQ60186" s="111"/>
      <c r="EF60186"/>
      <c r="EG60186"/>
      <c r="EH60186"/>
      <c r="EI60186"/>
      <c r="EJ60186"/>
      <c r="EK60186"/>
    </row>
    <row r="60187" spans="1:141" s="116" customFormat="1">
      <c r="A60187" s="136"/>
      <c r="CM60187" s="111"/>
      <c r="CQ60187" s="111"/>
      <c r="EF60187"/>
      <c r="EG60187"/>
      <c r="EH60187"/>
      <c r="EI60187"/>
      <c r="EJ60187"/>
      <c r="EK60187"/>
    </row>
    <row r="60188" spans="1:141" s="116" customFormat="1">
      <c r="A60188" s="136"/>
      <c r="CM60188" s="111"/>
      <c r="CQ60188" s="111"/>
      <c r="EF60188"/>
      <c r="EG60188"/>
      <c r="EH60188"/>
      <c r="EI60188"/>
      <c r="EJ60188"/>
      <c r="EK60188"/>
    </row>
    <row r="60189" spans="1:141" s="116" customFormat="1">
      <c r="A60189" s="136"/>
      <c r="CM60189" s="111"/>
      <c r="CQ60189" s="111"/>
      <c r="EF60189"/>
      <c r="EG60189"/>
      <c r="EH60189"/>
      <c r="EI60189"/>
      <c r="EJ60189"/>
      <c r="EK60189"/>
    </row>
    <row r="60190" spans="1:141" s="116" customFormat="1">
      <c r="A60190" s="136"/>
      <c r="CM60190" s="111"/>
      <c r="CQ60190" s="111"/>
      <c r="EF60190"/>
      <c r="EG60190"/>
      <c r="EH60190"/>
      <c r="EI60190"/>
      <c r="EJ60190"/>
      <c r="EK60190"/>
    </row>
    <row r="60191" spans="1:141" s="116" customFormat="1">
      <c r="A60191" s="136"/>
      <c r="CM60191" s="111"/>
      <c r="CQ60191" s="111"/>
      <c r="EF60191"/>
      <c r="EG60191"/>
      <c r="EH60191"/>
      <c r="EI60191"/>
      <c r="EJ60191"/>
      <c r="EK60191"/>
    </row>
    <row r="60192" spans="1:141" s="116" customFormat="1">
      <c r="A60192" s="136"/>
      <c r="CM60192" s="111"/>
      <c r="CQ60192" s="111"/>
      <c r="EF60192"/>
      <c r="EG60192"/>
      <c r="EH60192"/>
      <c r="EI60192"/>
      <c r="EJ60192"/>
      <c r="EK60192"/>
    </row>
    <row r="60193" spans="1:141" s="116" customFormat="1">
      <c r="A60193" s="136"/>
      <c r="CM60193" s="111"/>
      <c r="CQ60193" s="111"/>
      <c r="EF60193"/>
      <c r="EG60193"/>
      <c r="EH60193"/>
      <c r="EI60193"/>
      <c r="EJ60193"/>
      <c r="EK60193"/>
    </row>
    <row r="60194" spans="1:141" s="116" customFormat="1">
      <c r="A60194" s="136"/>
      <c r="CM60194" s="111"/>
      <c r="CQ60194" s="111"/>
      <c r="EF60194"/>
      <c r="EG60194"/>
      <c r="EH60194"/>
      <c r="EI60194"/>
      <c r="EJ60194"/>
      <c r="EK60194"/>
    </row>
    <row r="60195" spans="1:141" s="116" customFormat="1">
      <c r="A60195" s="136"/>
      <c r="CM60195" s="111"/>
      <c r="CQ60195" s="111"/>
      <c r="EF60195"/>
      <c r="EG60195"/>
      <c r="EH60195"/>
      <c r="EI60195"/>
      <c r="EJ60195"/>
      <c r="EK60195"/>
    </row>
    <row r="60196" spans="1:141" s="116" customFormat="1">
      <c r="A60196" s="136"/>
      <c r="CM60196" s="111"/>
      <c r="CQ60196" s="111"/>
      <c r="EF60196"/>
      <c r="EG60196"/>
      <c r="EH60196"/>
      <c r="EI60196"/>
      <c r="EJ60196"/>
      <c r="EK60196"/>
    </row>
    <row r="60197" spans="1:141" s="116" customFormat="1">
      <c r="A60197" s="136"/>
      <c r="CM60197" s="111"/>
      <c r="CQ60197" s="111"/>
      <c r="EF60197"/>
      <c r="EG60197"/>
      <c r="EH60197"/>
      <c r="EI60197"/>
      <c r="EJ60197"/>
      <c r="EK60197"/>
    </row>
    <row r="60198" spans="1:141" s="116" customFormat="1">
      <c r="A60198" s="136"/>
      <c r="CM60198" s="111"/>
      <c r="CQ60198" s="111"/>
      <c r="EF60198"/>
      <c r="EG60198"/>
      <c r="EH60198"/>
      <c r="EI60198"/>
      <c r="EJ60198"/>
      <c r="EK60198"/>
    </row>
    <row r="60199" spans="1:141" s="116" customFormat="1">
      <c r="A60199" s="136"/>
      <c r="CM60199" s="111"/>
      <c r="CQ60199" s="111"/>
      <c r="EF60199"/>
      <c r="EG60199"/>
      <c r="EH60199"/>
      <c r="EI60199"/>
      <c r="EJ60199"/>
      <c r="EK60199"/>
    </row>
    <row r="60200" spans="1:141" s="116" customFormat="1">
      <c r="A60200" s="136"/>
      <c r="CM60200" s="111"/>
      <c r="CQ60200" s="111"/>
      <c r="EF60200"/>
      <c r="EG60200"/>
      <c r="EH60200"/>
      <c r="EI60200"/>
      <c r="EJ60200"/>
      <c r="EK60200"/>
    </row>
    <row r="60201" spans="1:141" s="116" customFormat="1">
      <c r="A60201" s="136"/>
      <c r="CM60201" s="111"/>
      <c r="CQ60201" s="111"/>
      <c r="EF60201"/>
      <c r="EG60201"/>
      <c r="EH60201"/>
      <c r="EI60201"/>
      <c r="EJ60201"/>
      <c r="EK60201"/>
    </row>
    <row r="60202" spans="1:141" s="116" customFormat="1">
      <c r="A60202" s="136"/>
      <c r="CM60202" s="111"/>
      <c r="CQ60202" s="111"/>
      <c r="EF60202"/>
      <c r="EG60202"/>
      <c r="EH60202"/>
      <c r="EI60202"/>
      <c r="EJ60202"/>
      <c r="EK60202"/>
    </row>
    <row r="60203" spans="1:141" s="116" customFormat="1">
      <c r="A60203" s="136"/>
      <c r="CM60203" s="111"/>
      <c r="CQ60203" s="111"/>
      <c r="EF60203"/>
      <c r="EG60203"/>
      <c r="EH60203"/>
      <c r="EI60203"/>
      <c r="EJ60203"/>
      <c r="EK60203"/>
    </row>
    <row r="60204" spans="1:141" s="116" customFormat="1">
      <c r="A60204" s="136"/>
      <c r="CM60204" s="111"/>
      <c r="CQ60204" s="111"/>
      <c r="EF60204"/>
      <c r="EG60204"/>
      <c r="EH60204"/>
      <c r="EI60204"/>
      <c r="EJ60204"/>
      <c r="EK60204"/>
    </row>
    <row r="60205" spans="1:141" s="116" customFormat="1">
      <c r="A60205" s="136"/>
      <c r="CM60205" s="111"/>
      <c r="CQ60205" s="111"/>
      <c r="EF60205"/>
      <c r="EG60205"/>
      <c r="EH60205"/>
      <c r="EI60205"/>
      <c r="EJ60205"/>
      <c r="EK60205"/>
    </row>
    <row r="60206" spans="1:141" s="116" customFormat="1">
      <c r="A60206" s="136"/>
      <c r="CM60206" s="111"/>
      <c r="CQ60206" s="111"/>
      <c r="EF60206"/>
      <c r="EG60206"/>
      <c r="EH60206"/>
      <c r="EI60206"/>
      <c r="EJ60206"/>
      <c r="EK60206"/>
    </row>
    <row r="60207" spans="1:141" s="116" customFormat="1">
      <c r="A60207" s="136"/>
      <c r="CM60207" s="111"/>
      <c r="CQ60207" s="111"/>
      <c r="EF60207"/>
      <c r="EG60207"/>
      <c r="EH60207"/>
      <c r="EI60207"/>
      <c r="EJ60207"/>
      <c r="EK60207"/>
    </row>
    <row r="60208" spans="1:141" s="116" customFormat="1">
      <c r="A60208" s="136"/>
      <c r="CM60208" s="111"/>
      <c r="CQ60208" s="111"/>
      <c r="EF60208"/>
      <c r="EG60208"/>
      <c r="EH60208"/>
      <c r="EI60208"/>
      <c r="EJ60208"/>
      <c r="EK60208"/>
    </row>
    <row r="60209" spans="1:141" s="116" customFormat="1">
      <c r="A60209" s="136"/>
      <c r="CM60209" s="111"/>
      <c r="CQ60209" s="111"/>
      <c r="EF60209"/>
      <c r="EG60209"/>
      <c r="EH60209"/>
      <c r="EI60209"/>
      <c r="EJ60209"/>
      <c r="EK60209"/>
    </row>
    <row r="60210" spans="1:141" s="116" customFormat="1">
      <c r="A60210" s="136"/>
      <c r="CM60210" s="111"/>
      <c r="CQ60210" s="111"/>
      <c r="EF60210"/>
      <c r="EG60210"/>
      <c r="EH60210"/>
      <c r="EI60210"/>
      <c r="EJ60210"/>
      <c r="EK60210"/>
    </row>
    <row r="60211" spans="1:141" s="116" customFormat="1">
      <c r="A60211" s="136"/>
      <c r="CM60211" s="111"/>
      <c r="CQ60211" s="111"/>
      <c r="EF60211"/>
      <c r="EG60211"/>
      <c r="EH60211"/>
      <c r="EI60211"/>
      <c r="EJ60211"/>
      <c r="EK60211"/>
    </row>
    <row r="60212" spans="1:141" s="116" customFormat="1">
      <c r="A60212" s="136"/>
      <c r="CM60212" s="111"/>
      <c r="CQ60212" s="111"/>
      <c r="EF60212"/>
      <c r="EG60212"/>
      <c r="EH60212"/>
      <c r="EI60212"/>
      <c r="EJ60212"/>
      <c r="EK60212"/>
    </row>
    <row r="60213" spans="1:141" s="116" customFormat="1">
      <c r="A60213" s="136"/>
      <c r="CM60213" s="111"/>
      <c r="CQ60213" s="111"/>
      <c r="EF60213"/>
      <c r="EG60213"/>
      <c r="EH60213"/>
      <c r="EI60213"/>
      <c r="EJ60213"/>
      <c r="EK60213"/>
    </row>
    <row r="60214" spans="1:141" s="116" customFormat="1">
      <c r="A60214" s="136"/>
      <c r="CM60214" s="111"/>
      <c r="CQ60214" s="111"/>
      <c r="EF60214"/>
      <c r="EG60214"/>
      <c r="EH60214"/>
      <c r="EI60214"/>
      <c r="EJ60214"/>
      <c r="EK60214"/>
    </row>
    <row r="60215" spans="1:141" s="116" customFormat="1">
      <c r="A60215" s="136"/>
      <c r="CM60215" s="111"/>
      <c r="CQ60215" s="111"/>
      <c r="EF60215"/>
      <c r="EG60215"/>
      <c r="EH60215"/>
      <c r="EI60215"/>
      <c r="EJ60215"/>
      <c r="EK60215"/>
    </row>
    <row r="60216" spans="1:141" s="116" customFormat="1">
      <c r="A60216" s="136"/>
      <c r="CM60216" s="111"/>
      <c r="CQ60216" s="111"/>
      <c r="EF60216"/>
      <c r="EG60216"/>
      <c r="EH60216"/>
      <c r="EI60216"/>
      <c r="EJ60216"/>
      <c r="EK60216"/>
    </row>
    <row r="60217" spans="1:141" s="116" customFormat="1">
      <c r="A60217" s="136"/>
      <c r="CM60217" s="111"/>
      <c r="CQ60217" s="111"/>
      <c r="EF60217"/>
      <c r="EG60217"/>
      <c r="EH60217"/>
      <c r="EI60217"/>
      <c r="EJ60217"/>
      <c r="EK60217"/>
    </row>
    <row r="60218" spans="1:141" s="116" customFormat="1">
      <c r="A60218" s="136"/>
      <c r="CM60218" s="111"/>
      <c r="CQ60218" s="111"/>
      <c r="EF60218"/>
      <c r="EG60218"/>
      <c r="EH60218"/>
      <c r="EI60218"/>
      <c r="EJ60218"/>
      <c r="EK60218"/>
    </row>
    <row r="60219" spans="1:141" s="116" customFormat="1">
      <c r="A60219" s="136"/>
      <c r="CM60219" s="111"/>
      <c r="CQ60219" s="111"/>
      <c r="EF60219"/>
      <c r="EG60219"/>
      <c r="EH60219"/>
      <c r="EI60219"/>
      <c r="EJ60219"/>
      <c r="EK60219"/>
    </row>
    <row r="60220" spans="1:141" s="116" customFormat="1">
      <c r="A60220" s="136"/>
      <c r="CM60220" s="111"/>
      <c r="CQ60220" s="111"/>
      <c r="EF60220"/>
      <c r="EG60220"/>
      <c r="EH60220"/>
      <c r="EI60220"/>
      <c r="EJ60220"/>
      <c r="EK60220"/>
    </row>
    <row r="60221" spans="1:141" s="116" customFormat="1">
      <c r="A60221" s="136"/>
      <c r="CM60221" s="111"/>
      <c r="CQ60221" s="111"/>
      <c r="EF60221"/>
      <c r="EG60221"/>
      <c r="EH60221"/>
      <c r="EI60221"/>
      <c r="EJ60221"/>
      <c r="EK60221"/>
    </row>
    <row r="60222" spans="1:141" s="116" customFormat="1">
      <c r="A60222" s="136"/>
      <c r="CM60222" s="111"/>
      <c r="CQ60222" s="111"/>
      <c r="EF60222"/>
      <c r="EG60222"/>
      <c r="EH60222"/>
      <c r="EI60222"/>
      <c r="EJ60222"/>
      <c r="EK60222"/>
    </row>
    <row r="60223" spans="1:141" s="116" customFormat="1">
      <c r="A60223" s="136"/>
      <c r="CM60223" s="111"/>
      <c r="CQ60223" s="111"/>
      <c r="EF60223"/>
      <c r="EG60223"/>
      <c r="EH60223"/>
      <c r="EI60223"/>
      <c r="EJ60223"/>
      <c r="EK60223"/>
    </row>
    <row r="60224" spans="1:141" s="116" customFormat="1">
      <c r="A60224" s="136"/>
      <c r="CM60224" s="111"/>
      <c r="CQ60224" s="111"/>
      <c r="EF60224"/>
      <c r="EG60224"/>
      <c r="EH60224"/>
      <c r="EI60224"/>
      <c r="EJ60224"/>
      <c r="EK60224"/>
    </row>
    <row r="60225" spans="1:141" s="116" customFormat="1">
      <c r="A60225" s="136"/>
      <c r="CM60225" s="111"/>
      <c r="CQ60225" s="111"/>
      <c r="EF60225"/>
      <c r="EG60225"/>
      <c r="EH60225"/>
      <c r="EI60225"/>
      <c r="EJ60225"/>
      <c r="EK60225"/>
    </row>
    <row r="60226" spans="1:141" s="116" customFormat="1">
      <c r="A60226" s="136"/>
      <c r="CM60226" s="111"/>
      <c r="CQ60226" s="111"/>
      <c r="EF60226"/>
      <c r="EG60226"/>
      <c r="EH60226"/>
      <c r="EI60226"/>
      <c r="EJ60226"/>
      <c r="EK60226"/>
    </row>
    <row r="60227" spans="1:141" s="116" customFormat="1">
      <c r="A60227" s="136"/>
      <c r="CM60227" s="111"/>
      <c r="CQ60227" s="111"/>
      <c r="EF60227"/>
      <c r="EG60227"/>
      <c r="EH60227"/>
      <c r="EI60227"/>
      <c r="EJ60227"/>
      <c r="EK60227"/>
    </row>
    <row r="60228" spans="1:141" s="116" customFormat="1">
      <c r="A60228" s="136"/>
      <c r="CM60228" s="111"/>
      <c r="CQ60228" s="111"/>
      <c r="EF60228"/>
      <c r="EG60228"/>
      <c r="EH60228"/>
      <c r="EI60228"/>
      <c r="EJ60228"/>
      <c r="EK60228"/>
    </row>
    <row r="60229" spans="1:141" s="116" customFormat="1">
      <c r="A60229" s="136"/>
      <c r="CM60229" s="111"/>
      <c r="CQ60229" s="111"/>
      <c r="EF60229"/>
      <c r="EG60229"/>
      <c r="EH60229"/>
      <c r="EI60229"/>
      <c r="EJ60229"/>
      <c r="EK60229"/>
    </row>
    <row r="60230" spans="1:141" s="116" customFormat="1">
      <c r="A60230" s="136"/>
      <c r="CM60230" s="111"/>
      <c r="CQ60230" s="111"/>
      <c r="EF60230"/>
      <c r="EG60230"/>
      <c r="EH60230"/>
      <c r="EI60230"/>
      <c r="EJ60230"/>
      <c r="EK60230"/>
    </row>
    <row r="60231" spans="1:141" s="116" customFormat="1">
      <c r="A60231" s="136"/>
      <c r="CM60231" s="111"/>
      <c r="CQ60231" s="111"/>
      <c r="EF60231"/>
      <c r="EG60231"/>
      <c r="EH60231"/>
      <c r="EI60231"/>
      <c r="EJ60231"/>
      <c r="EK60231"/>
    </row>
    <row r="60232" spans="1:141" s="116" customFormat="1">
      <c r="A60232" s="136"/>
      <c r="CM60232" s="111"/>
      <c r="CQ60232" s="111"/>
      <c r="EF60232"/>
      <c r="EG60232"/>
      <c r="EH60232"/>
      <c r="EI60232"/>
      <c r="EJ60232"/>
      <c r="EK60232"/>
    </row>
    <row r="60233" spans="1:141" s="116" customFormat="1">
      <c r="A60233" s="136"/>
      <c r="CM60233" s="111"/>
      <c r="CQ60233" s="111"/>
      <c r="EF60233"/>
      <c r="EG60233"/>
      <c r="EH60233"/>
      <c r="EI60233"/>
      <c r="EJ60233"/>
      <c r="EK60233"/>
    </row>
    <row r="60234" spans="1:141" s="116" customFormat="1">
      <c r="A60234" s="136"/>
      <c r="CM60234" s="111"/>
      <c r="CQ60234" s="111"/>
      <c r="EF60234"/>
      <c r="EG60234"/>
      <c r="EH60234"/>
      <c r="EI60234"/>
      <c r="EJ60234"/>
      <c r="EK60234"/>
    </row>
    <row r="60235" spans="1:141" s="116" customFormat="1">
      <c r="A60235" s="136"/>
      <c r="CM60235" s="111"/>
      <c r="CQ60235" s="111"/>
      <c r="EF60235"/>
      <c r="EG60235"/>
      <c r="EH60235"/>
      <c r="EI60235"/>
      <c r="EJ60235"/>
      <c r="EK60235"/>
    </row>
    <row r="60236" spans="1:141" s="116" customFormat="1">
      <c r="A60236" s="136"/>
      <c r="CM60236" s="111"/>
      <c r="CQ60236" s="111"/>
      <c r="EF60236"/>
      <c r="EG60236"/>
      <c r="EH60236"/>
      <c r="EI60236"/>
      <c r="EJ60236"/>
      <c r="EK60236"/>
    </row>
    <row r="60237" spans="1:141" s="116" customFormat="1">
      <c r="A60237" s="136"/>
      <c r="CM60237" s="111"/>
      <c r="CQ60237" s="111"/>
      <c r="EF60237"/>
      <c r="EG60237"/>
      <c r="EH60237"/>
      <c r="EI60237"/>
      <c r="EJ60237"/>
      <c r="EK60237"/>
    </row>
    <row r="60238" spans="1:141" s="116" customFormat="1">
      <c r="A60238" s="136"/>
      <c r="CM60238" s="111"/>
      <c r="CQ60238" s="111"/>
      <c r="EF60238"/>
      <c r="EG60238"/>
      <c r="EH60238"/>
      <c r="EI60238"/>
      <c r="EJ60238"/>
      <c r="EK60238"/>
    </row>
    <row r="60239" spans="1:141" s="116" customFormat="1">
      <c r="A60239" s="136"/>
      <c r="CM60239" s="111"/>
      <c r="CQ60239" s="111"/>
      <c r="EF60239"/>
      <c r="EG60239"/>
      <c r="EH60239"/>
      <c r="EI60239"/>
      <c r="EJ60239"/>
      <c r="EK60239"/>
    </row>
    <row r="60240" spans="1:141" s="116" customFormat="1">
      <c r="A60240" s="136"/>
      <c r="CM60240" s="111"/>
      <c r="CQ60240" s="111"/>
      <c r="EF60240"/>
      <c r="EG60240"/>
      <c r="EH60240"/>
      <c r="EI60240"/>
      <c r="EJ60240"/>
      <c r="EK60240"/>
    </row>
    <row r="60241" spans="1:141" s="116" customFormat="1">
      <c r="A60241" s="136"/>
      <c r="CM60241" s="111"/>
      <c r="CQ60241" s="111"/>
      <c r="EF60241"/>
      <c r="EG60241"/>
      <c r="EH60241"/>
      <c r="EI60241"/>
      <c r="EJ60241"/>
      <c r="EK60241"/>
    </row>
    <row r="60242" spans="1:141" s="116" customFormat="1">
      <c r="A60242" s="136"/>
      <c r="CM60242" s="111"/>
      <c r="CQ60242" s="111"/>
      <c r="EF60242"/>
      <c r="EG60242"/>
      <c r="EH60242"/>
      <c r="EI60242"/>
      <c r="EJ60242"/>
      <c r="EK60242"/>
    </row>
    <row r="60243" spans="1:141" s="116" customFormat="1">
      <c r="A60243" s="136"/>
      <c r="CM60243" s="111"/>
      <c r="CQ60243" s="111"/>
      <c r="EF60243"/>
      <c r="EG60243"/>
      <c r="EH60243"/>
      <c r="EI60243"/>
      <c r="EJ60243"/>
      <c r="EK60243"/>
    </row>
    <row r="60244" spans="1:141" s="116" customFormat="1">
      <c r="A60244" s="136"/>
      <c r="CM60244" s="111"/>
      <c r="CQ60244" s="111"/>
      <c r="EF60244"/>
      <c r="EG60244"/>
      <c r="EH60244"/>
      <c r="EI60244"/>
      <c r="EJ60244"/>
      <c r="EK60244"/>
    </row>
    <row r="60245" spans="1:141" s="116" customFormat="1">
      <c r="A60245" s="136"/>
      <c r="CM60245" s="111"/>
      <c r="CQ60245" s="111"/>
      <c r="EF60245"/>
      <c r="EG60245"/>
      <c r="EH60245"/>
      <c r="EI60245"/>
      <c r="EJ60245"/>
      <c r="EK60245"/>
    </row>
    <row r="60246" spans="1:141" s="116" customFormat="1">
      <c r="A60246" s="136"/>
      <c r="CM60246" s="111"/>
      <c r="CQ60246" s="111"/>
      <c r="EF60246"/>
      <c r="EG60246"/>
      <c r="EH60246"/>
      <c r="EI60246"/>
      <c r="EJ60246"/>
      <c r="EK60246"/>
    </row>
    <row r="60247" spans="1:141" s="116" customFormat="1">
      <c r="A60247" s="136"/>
      <c r="CM60247" s="111"/>
      <c r="CQ60247" s="111"/>
      <c r="EF60247"/>
      <c r="EG60247"/>
      <c r="EH60247"/>
      <c r="EI60247"/>
      <c r="EJ60247"/>
      <c r="EK60247"/>
    </row>
    <row r="60248" spans="1:141" s="116" customFormat="1">
      <c r="A60248" s="136"/>
      <c r="CM60248" s="111"/>
      <c r="CQ60248" s="111"/>
      <c r="EF60248"/>
      <c r="EG60248"/>
      <c r="EH60248"/>
      <c r="EI60248"/>
      <c r="EJ60248"/>
      <c r="EK60248"/>
    </row>
    <row r="60249" spans="1:141" s="116" customFormat="1">
      <c r="A60249" s="136"/>
      <c r="CM60249" s="111"/>
      <c r="CQ60249" s="111"/>
      <c r="EF60249"/>
      <c r="EG60249"/>
      <c r="EH60249"/>
      <c r="EI60249"/>
      <c r="EJ60249"/>
      <c r="EK60249"/>
    </row>
    <row r="60250" spans="1:141" s="116" customFormat="1">
      <c r="A60250" s="136"/>
      <c r="CM60250" s="111"/>
      <c r="CQ60250" s="111"/>
      <c r="EF60250"/>
      <c r="EG60250"/>
      <c r="EH60250"/>
      <c r="EI60250"/>
      <c r="EJ60250"/>
      <c r="EK60250"/>
    </row>
    <row r="60251" spans="1:141" s="116" customFormat="1">
      <c r="A60251" s="136"/>
      <c r="CM60251" s="111"/>
      <c r="CQ60251" s="111"/>
      <c r="EF60251"/>
      <c r="EG60251"/>
      <c r="EH60251"/>
      <c r="EI60251"/>
      <c r="EJ60251"/>
      <c r="EK60251"/>
    </row>
    <row r="60252" spans="1:141" s="116" customFormat="1">
      <c r="A60252" s="136"/>
      <c r="CM60252" s="111"/>
      <c r="CQ60252" s="111"/>
      <c r="EF60252"/>
      <c r="EG60252"/>
      <c r="EH60252"/>
      <c r="EI60252"/>
      <c r="EJ60252"/>
      <c r="EK60252"/>
    </row>
    <row r="60253" spans="1:141" s="116" customFormat="1">
      <c r="A60253" s="136"/>
      <c r="CM60253" s="111"/>
      <c r="CQ60253" s="111"/>
      <c r="EF60253"/>
      <c r="EG60253"/>
      <c r="EH60253"/>
      <c r="EI60253"/>
      <c r="EJ60253"/>
      <c r="EK60253"/>
    </row>
    <row r="60254" spans="1:141" s="116" customFormat="1">
      <c r="A60254" s="136"/>
      <c r="CM60254" s="111"/>
      <c r="CQ60254" s="111"/>
      <c r="EF60254"/>
      <c r="EG60254"/>
      <c r="EH60254"/>
      <c r="EI60254"/>
      <c r="EJ60254"/>
      <c r="EK60254"/>
    </row>
    <row r="60255" spans="1:141" s="116" customFormat="1">
      <c r="A60255" s="136"/>
      <c r="CM60255" s="111"/>
      <c r="CQ60255" s="111"/>
      <c r="EF60255"/>
      <c r="EG60255"/>
      <c r="EH60255"/>
      <c r="EI60255"/>
      <c r="EJ60255"/>
      <c r="EK60255"/>
    </row>
    <row r="60256" spans="1:141" s="116" customFormat="1">
      <c r="A60256" s="136"/>
      <c r="CM60256" s="111"/>
      <c r="CQ60256" s="111"/>
      <c r="EF60256"/>
      <c r="EG60256"/>
      <c r="EH60256"/>
      <c r="EI60256"/>
      <c r="EJ60256"/>
      <c r="EK60256"/>
    </row>
    <row r="60257" spans="1:141" s="116" customFormat="1">
      <c r="A60257" s="136"/>
      <c r="CM60257" s="111"/>
      <c r="CQ60257" s="111"/>
      <c r="EF60257"/>
      <c r="EG60257"/>
      <c r="EH60257"/>
      <c r="EI60257"/>
      <c r="EJ60257"/>
      <c r="EK60257"/>
    </row>
    <row r="60258" spans="1:141" s="116" customFormat="1">
      <c r="A60258" s="136"/>
      <c r="CM60258" s="111"/>
      <c r="CQ60258" s="111"/>
      <c r="EF60258"/>
      <c r="EG60258"/>
      <c r="EH60258"/>
      <c r="EI60258"/>
      <c r="EJ60258"/>
      <c r="EK60258"/>
    </row>
    <row r="60259" spans="1:141" s="116" customFormat="1">
      <c r="A60259" s="136"/>
      <c r="CM60259" s="111"/>
      <c r="CQ60259" s="111"/>
      <c r="EF60259"/>
      <c r="EG60259"/>
      <c r="EH60259"/>
      <c r="EI60259"/>
      <c r="EJ60259"/>
      <c r="EK60259"/>
    </row>
    <row r="60260" spans="1:141" s="116" customFormat="1">
      <c r="A60260" s="136"/>
      <c r="CM60260" s="111"/>
      <c r="CQ60260" s="111"/>
      <c r="EF60260"/>
      <c r="EG60260"/>
      <c r="EH60260"/>
      <c r="EI60260"/>
      <c r="EJ60260"/>
      <c r="EK60260"/>
    </row>
    <row r="60261" spans="1:141" s="116" customFormat="1">
      <c r="A60261" s="136"/>
      <c r="CM60261" s="111"/>
      <c r="CQ60261" s="111"/>
      <c r="EF60261"/>
      <c r="EG60261"/>
      <c r="EH60261"/>
      <c r="EI60261"/>
      <c r="EJ60261"/>
      <c r="EK60261"/>
    </row>
    <row r="60262" spans="1:141" s="116" customFormat="1">
      <c r="A60262" s="136"/>
      <c r="CM60262" s="111"/>
      <c r="CQ60262" s="111"/>
      <c r="EF60262"/>
      <c r="EG60262"/>
      <c r="EH60262"/>
      <c r="EI60262"/>
      <c r="EJ60262"/>
      <c r="EK60262"/>
    </row>
    <row r="60263" spans="1:141" s="116" customFormat="1">
      <c r="A60263" s="136"/>
      <c r="CM60263" s="111"/>
      <c r="CQ60263" s="111"/>
      <c r="EF60263"/>
      <c r="EG60263"/>
      <c r="EH60263"/>
      <c r="EI60263"/>
      <c r="EJ60263"/>
      <c r="EK60263"/>
    </row>
    <row r="60264" spans="1:141" s="116" customFormat="1">
      <c r="A60264" s="136"/>
      <c r="CM60264" s="111"/>
      <c r="CQ60264" s="111"/>
      <c r="EF60264"/>
      <c r="EG60264"/>
      <c r="EH60264"/>
      <c r="EI60264"/>
      <c r="EJ60264"/>
      <c r="EK60264"/>
    </row>
    <row r="60265" spans="1:141" s="116" customFormat="1">
      <c r="A60265" s="136"/>
      <c r="CM60265" s="111"/>
      <c r="CQ60265" s="111"/>
      <c r="EF60265"/>
      <c r="EG60265"/>
      <c r="EH60265"/>
      <c r="EI60265"/>
      <c r="EJ60265"/>
      <c r="EK60265"/>
    </row>
    <row r="60266" spans="1:141" s="116" customFormat="1">
      <c r="A60266" s="136"/>
      <c r="CM60266" s="111"/>
      <c r="CQ60266" s="111"/>
      <c r="EF60266"/>
      <c r="EG60266"/>
      <c r="EH60266"/>
      <c r="EI60266"/>
      <c r="EJ60266"/>
      <c r="EK60266"/>
    </row>
    <row r="60267" spans="1:141" s="116" customFormat="1">
      <c r="A60267" s="136"/>
      <c r="CM60267" s="111"/>
      <c r="CQ60267" s="111"/>
      <c r="EF60267"/>
      <c r="EG60267"/>
      <c r="EH60267"/>
      <c r="EI60267"/>
      <c r="EJ60267"/>
      <c r="EK60267"/>
    </row>
    <row r="60268" spans="1:141" s="116" customFormat="1">
      <c r="A60268" s="136"/>
      <c r="CM60268" s="111"/>
      <c r="CQ60268" s="111"/>
      <c r="EF60268"/>
      <c r="EG60268"/>
      <c r="EH60268"/>
      <c r="EI60268"/>
      <c r="EJ60268"/>
      <c r="EK60268"/>
    </row>
    <row r="60269" spans="1:141" s="116" customFormat="1">
      <c r="A60269" s="136"/>
      <c r="CM60269" s="111"/>
      <c r="CQ60269" s="111"/>
      <c r="EF60269"/>
      <c r="EG60269"/>
      <c r="EH60269"/>
      <c r="EI60269"/>
      <c r="EJ60269"/>
      <c r="EK60269"/>
    </row>
    <row r="60270" spans="1:141" s="116" customFormat="1">
      <c r="A60270" s="136"/>
      <c r="CM60270" s="111"/>
      <c r="CQ60270" s="111"/>
      <c r="EF60270"/>
      <c r="EG60270"/>
      <c r="EH60270"/>
      <c r="EI60270"/>
      <c r="EJ60270"/>
      <c r="EK60270"/>
    </row>
    <row r="60271" spans="1:141" s="116" customFormat="1">
      <c r="A60271" s="136"/>
      <c r="CM60271" s="111"/>
      <c r="CQ60271" s="111"/>
      <c r="EF60271"/>
      <c r="EG60271"/>
      <c r="EH60271"/>
      <c r="EI60271"/>
      <c r="EJ60271"/>
      <c r="EK60271"/>
    </row>
    <row r="60272" spans="1:141" s="116" customFormat="1">
      <c r="A60272" s="136"/>
      <c r="CM60272" s="111"/>
      <c r="CQ60272" s="111"/>
      <c r="EF60272"/>
      <c r="EG60272"/>
      <c r="EH60272"/>
      <c r="EI60272"/>
      <c r="EJ60272"/>
      <c r="EK60272"/>
    </row>
    <row r="60273" spans="1:141" s="116" customFormat="1">
      <c r="A60273" s="136"/>
      <c r="CM60273" s="111"/>
      <c r="CQ60273" s="111"/>
      <c r="EF60273"/>
      <c r="EG60273"/>
      <c r="EH60273"/>
      <c r="EI60273"/>
      <c r="EJ60273"/>
      <c r="EK60273"/>
    </row>
    <row r="60274" spans="1:141" s="116" customFormat="1">
      <c r="A60274" s="136"/>
      <c r="CM60274" s="111"/>
      <c r="CQ60274" s="111"/>
      <c r="EF60274"/>
      <c r="EG60274"/>
      <c r="EH60274"/>
      <c r="EI60274"/>
      <c r="EJ60274"/>
      <c r="EK60274"/>
    </row>
    <row r="60275" spans="1:141" s="116" customFormat="1">
      <c r="A60275" s="136"/>
      <c r="CM60275" s="111"/>
      <c r="CQ60275" s="111"/>
      <c r="EF60275"/>
      <c r="EG60275"/>
      <c r="EH60275"/>
      <c r="EI60275"/>
      <c r="EJ60275"/>
      <c r="EK60275"/>
    </row>
    <row r="60276" spans="1:141" s="116" customFormat="1">
      <c r="A60276" s="136"/>
      <c r="CM60276" s="111"/>
      <c r="CQ60276" s="111"/>
      <c r="EF60276"/>
      <c r="EG60276"/>
      <c r="EH60276"/>
      <c r="EI60276"/>
      <c r="EJ60276"/>
      <c r="EK60276"/>
    </row>
    <row r="60277" spans="1:141" s="116" customFormat="1">
      <c r="A60277" s="136"/>
      <c r="CM60277" s="111"/>
      <c r="CQ60277" s="111"/>
      <c r="EF60277"/>
      <c r="EG60277"/>
      <c r="EH60277"/>
      <c r="EI60277"/>
      <c r="EJ60277"/>
      <c r="EK60277"/>
    </row>
    <row r="60278" spans="1:141" s="116" customFormat="1">
      <c r="A60278" s="136"/>
      <c r="CM60278" s="111"/>
      <c r="CQ60278" s="111"/>
      <c r="EF60278"/>
      <c r="EG60278"/>
      <c r="EH60278"/>
      <c r="EI60278"/>
      <c r="EJ60278"/>
      <c r="EK60278"/>
    </row>
    <row r="60279" spans="1:141" s="116" customFormat="1">
      <c r="A60279" s="136"/>
      <c r="CM60279" s="111"/>
      <c r="CQ60279" s="111"/>
      <c r="EF60279"/>
      <c r="EG60279"/>
      <c r="EH60279"/>
      <c r="EI60279"/>
      <c r="EJ60279"/>
      <c r="EK60279"/>
    </row>
    <row r="60280" spans="1:141" s="116" customFormat="1">
      <c r="A60280" s="136"/>
      <c r="CM60280" s="111"/>
      <c r="CQ60280" s="111"/>
      <c r="EF60280"/>
      <c r="EG60280"/>
      <c r="EH60280"/>
      <c r="EI60280"/>
      <c r="EJ60280"/>
      <c r="EK60280"/>
    </row>
    <row r="60281" spans="1:141" s="116" customFormat="1">
      <c r="A60281" s="136"/>
      <c r="CM60281" s="111"/>
      <c r="CQ60281" s="111"/>
      <c r="EF60281"/>
      <c r="EG60281"/>
      <c r="EH60281"/>
      <c r="EI60281"/>
      <c r="EJ60281"/>
      <c r="EK60281"/>
    </row>
    <row r="60282" spans="1:141" s="116" customFormat="1">
      <c r="A60282" s="136"/>
      <c r="CM60282" s="111"/>
      <c r="CQ60282" s="111"/>
      <c r="EF60282"/>
      <c r="EG60282"/>
      <c r="EH60282"/>
      <c r="EI60282"/>
      <c r="EJ60282"/>
      <c r="EK60282"/>
    </row>
    <row r="60283" spans="1:141" s="116" customFormat="1">
      <c r="A60283" s="136"/>
      <c r="CM60283" s="111"/>
      <c r="CQ60283" s="111"/>
      <c r="EF60283"/>
      <c r="EG60283"/>
      <c r="EH60283"/>
      <c r="EI60283"/>
      <c r="EJ60283"/>
      <c r="EK60283"/>
    </row>
    <row r="60284" spans="1:141" s="116" customFormat="1">
      <c r="A60284" s="136"/>
      <c r="CM60284" s="111"/>
      <c r="CQ60284" s="111"/>
      <c r="EF60284"/>
      <c r="EG60284"/>
      <c r="EH60284"/>
      <c r="EI60284"/>
      <c r="EJ60284"/>
      <c r="EK60284"/>
    </row>
    <row r="60285" spans="1:141" s="116" customFormat="1">
      <c r="A60285" s="136"/>
      <c r="CM60285" s="111"/>
      <c r="CQ60285" s="111"/>
      <c r="EF60285"/>
      <c r="EG60285"/>
      <c r="EH60285"/>
      <c r="EI60285"/>
      <c r="EJ60285"/>
      <c r="EK60285"/>
    </row>
    <row r="60286" spans="1:141" s="116" customFormat="1">
      <c r="A60286" s="136"/>
      <c r="CM60286" s="111"/>
      <c r="CQ60286" s="111"/>
      <c r="EF60286"/>
      <c r="EG60286"/>
      <c r="EH60286"/>
      <c r="EI60286"/>
      <c r="EJ60286"/>
      <c r="EK60286"/>
    </row>
    <row r="60287" spans="1:141" s="116" customFormat="1">
      <c r="A60287" s="136"/>
      <c r="CM60287" s="111"/>
      <c r="CQ60287" s="111"/>
      <c r="EF60287"/>
      <c r="EG60287"/>
      <c r="EH60287"/>
      <c r="EI60287"/>
      <c r="EJ60287"/>
      <c r="EK60287"/>
    </row>
    <row r="60288" spans="1:141" s="116" customFormat="1">
      <c r="A60288" s="136"/>
      <c r="CM60288" s="111"/>
      <c r="CQ60288" s="111"/>
      <c r="EF60288"/>
      <c r="EG60288"/>
      <c r="EH60288"/>
      <c r="EI60288"/>
      <c r="EJ60288"/>
      <c r="EK60288"/>
    </row>
    <row r="60289" spans="1:141" s="116" customFormat="1">
      <c r="A60289" s="136"/>
      <c r="CM60289" s="111"/>
      <c r="CQ60289" s="111"/>
      <c r="EF60289"/>
      <c r="EG60289"/>
      <c r="EH60289"/>
      <c r="EI60289"/>
      <c r="EJ60289"/>
      <c r="EK60289"/>
    </row>
    <row r="60290" spans="1:141" s="116" customFormat="1">
      <c r="A60290" s="136"/>
      <c r="CM60290" s="111"/>
      <c r="CQ60290" s="111"/>
      <c r="EF60290"/>
      <c r="EG60290"/>
      <c r="EH60290"/>
      <c r="EI60290"/>
      <c r="EJ60290"/>
      <c r="EK60290"/>
    </row>
    <row r="60291" spans="1:141" s="116" customFormat="1">
      <c r="A60291" s="136"/>
      <c r="CM60291" s="111"/>
      <c r="CQ60291" s="111"/>
      <c r="EF60291"/>
      <c r="EG60291"/>
      <c r="EH60291"/>
      <c r="EI60291"/>
      <c r="EJ60291"/>
      <c r="EK60291"/>
    </row>
    <row r="60292" spans="1:141" s="116" customFormat="1">
      <c r="A60292" s="136"/>
      <c r="CM60292" s="111"/>
      <c r="CQ60292" s="111"/>
      <c r="EF60292"/>
      <c r="EG60292"/>
      <c r="EH60292"/>
      <c r="EI60292"/>
      <c r="EJ60292"/>
      <c r="EK60292"/>
    </row>
    <row r="60293" spans="1:141" s="116" customFormat="1">
      <c r="A60293" s="136"/>
      <c r="CM60293" s="111"/>
      <c r="CQ60293" s="111"/>
      <c r="EF60293"/>
      <c r="EG60293"/>
      <c r="EH60293"/>
      <c r="EI60293"/>
      <c r="EJ60293"/>
      <c r="EK60293"/>
    </row>
    <row r="60294" spans="1:141" s="116" customFormat="1">
      <c r="A60294" s="136"/>
      <c r="CM60294" s="111"/>
      <c r="CQ60294" s="111"/>
      <c r="EF60294"/>
      <c r="EG60294"/>
      <c r="EH60294"/>
      <c r="EI60294"/>
      <c r="EJ60294"/>
      <c r="EK60294"/>
    </row>
    <row r="60295" spans="1:141" s="116" customFormat="1">
      <c r="A60295" s="136"/>
      <c r="CM60295" s="111"/>
      <c r="CQ60295" s="111"/>
      <c r="EF60295"/>
      <c r="EG60295"/>
      <c r="EH60295"/>
      <c r="EI60295"/>
      <c r="EJ60295"/>
      <c r="EK60295"/>
    </row>
    <row r="60296" spans="1:141" s="116" customFormat="1">
      <c r="A60296" s="136"/>
      <c r="CM60296" s="111"/>
      <c r="CQ60296" s="111"/>
      <c r="EF60296"/>
      <c r="EG60296"/>
      <c r="EH60296"/>
      <c r="EI60296"/>
      <c r="EJ60296"/>
      <c r="EK60296"/>
    </row>
    <row r="60297" spans="1:141" s="116" customFormat="1">
      <c r="A60297" s="136"/>
      <c r="CM60297" s="111"/>
      <c r="CQ60297" s="111"/>
      <c r="EF60297"/>
      <c r="EG60297"/>
      <c r="EH60297"/>
      <c r="EI60297"/>
      <c r="EJ60297"/>
      <c r="EK60297"/>
    </row>
    <row r="60298" spans="1:141" s="116" customFormat="1">
      <c r="A60298" s="136"/>
      <c r="CM60298" s="111"/>
      <c r="CQ60298" s="111"/>
      <c r="EF60298"/>
      <c r="EG60298"/>
      <c r="EH60298"/>
      <c r="EI60298"/>
      <c r="EJ60298"/>
      <c r="EK60298"/>
    </row>
    <row r="60299" spans="1:141" s="116" customFormat="1">
      <c r="A60299" s="136"/>
      <c r="CM60299" s="111"/>
      <c r="CQ60299" s="111"/>
      <c r="EF60299"/>
      <c r="EG60299"/>
      <c r="EH60299"/>
      <c r="EI60299"/>
      <c r="EJ60299"/>
      <c r="EK60299"/>
    </row>
    <row r="60300" spans="1:141" s="116" customFormat="1">
      <c r="A60300" s="136"/>
      <c r="CM60300" s="111"/>
      <c r="CQ60300" s="111"/>
      <c r="EF60300"/>
      <c r="EG60300"/>
      <c r="EH60300"/>
      <c r="EI60300"/>
      <c r="EJ60300"/>
      <c r="EK60300"/>
    </row>
    <row r="60301" spans="1:141" s="116" customFormat="1">
      <c r="A60301" s="136"/>
      <c r="CM60301" s="111"/>
      <c r="CQ60301" s="111"/>
      <c r="EF60301"/>
      <c r="EG60301"/>
      <c r="EH60301"/>
      <c r="EI60301"/>
      <c r="EJ60301"/>
      <c r="EK60301"/>
    </row>
    <row r="60302" spans="1:141" s="116" customFormat="1">
      <c r="A60302" s="136"/>
      <c r="CM60302" s="111"/>
      <c r="CQ60302" s="111"/>
      <c r="EF60302"/>
      <c r="EG60302"/>
      <c r="EH60302"/>
      <c r="EI60302"/>
      <c r="EJ60302"/>
      <c r="EK60302"/>
    </row>
    <row r="60303" spans="1:141" s="116" customFormat="1">
      <c r="A60303" s="136"/>
      <c r="CM60303" s="111"/>
      <c r="CQ60303" s="111"/>
      <c r="EF60303"/>
      <c r="EG60303"/>
      <c r="EH60303"/>
      <c r="EI60303"/>
      <c r="EJ60303"/>
      <c r="EK60303"/>
    </row>
    <row r="60304" spans="1:141" s="116" customFormat="1">
      <c r="A60304" s="136"/>
      <c r="CM60304" s="111"/>
      <c r="CQ60304" s="111"/>
      <c r="EF60304"/>
      <c r="EG60304"/>
      <c r="EH60304"/>
      <c r="EI60304"/>
      <c r="EJ60304"/>
      <c r="EK60304"/>
    </row>
    <row r="60305" spans="1:141" s="116" customFormat="1">
      <c r="A60305" s="136"/>
      <c r="CM60305" s="111"/>
      <c r="CQ60305" s="111"/>
      <c r="EF60305"/>
      <c r="EG60305"/>
      <c r="EH60305"/>
      <c r="EI60305"/>
      <c r="EJ60305"/>
      <c r="EK60305"/>
    </row>
    <row r="60306" spans="1:141" s="116" customFormat="1">
      <c r="A60306" s="136"/>
      <c r="CM60306" s="111"/>
      <c r="CQ60306" s="111"/>
      <c r="EF60306"/>
      <c r="EG60306"/>
      <c r="EH60306"/>
      <c r="EI60306"/>
      <c r="EJ60306"/>
      <c r="EK60306"/>
    </row>
    <row r="60307" spans="1:141" s="116" customFormat="1">
      <c r="A60307" s="136"/>
      <c r="CM60307" s="111"/>
      <c r="CQ60307" s="111"/>
      <c r="EF60307"/>
      <c r="EG60307"/>
      <c r="EH60307"/>
      <c r="EI60307"/>
      <c r="EJ60307"/>
      <c r="EK60307"/>
    </row>
    <row r="60308" spans="1:141" s="116" customFormat="1">
      <c r="A60308" s="136"/>
      <c r="CM60308" s="111"/>
      <c r="CQ60308" s="111"/>
      <c r="EF60308"/>
      <c r="EG60308"/>
      <c r="EH60308"/>
      <c r="EI60308"/>
      <c r="EJ60308"/>
      <c r="EK60308"/>
    </row>
    <row r="60309" spans="1:141" s="116" customFormat="1">
      <c r="A60309" s="136"/>
      <c r="CM60309" s="111"/>
      <c r="CQ60309" s="111"/>
      <c r="EF60309"/>
      <c r="EG60309"/>
      <c r="EH60309"/>
      <c r="EI60309"/>
      <c r="EJ60309"/>
      <c r="EK60309"/>
    </row>
    <row r="60310" spans="1:141" s="116" customFormat="1">
      <c r="A60310" s="136"/>
      <c r="CM60310" s="111"/>
      <c r="CQ60310" s="111"/>
      <c r="EF60310"/>
      <c r="EG60310"/>
      <c r="EH60310"/>
      <c r="EI60310"/>
      <c r="EJ60310"/>
      <c r="EK60310"/>
    </row>
    <row r="60311" spans="1:141" s="116" customFormat="1">
      <c r="A60311" s="136"/>
      <c r="CM60311" s="111"/>
      <c r="CQ60311" s="111"/>
      <c r="EF60311"/>
      <c r="EG60311"/>
      <c r="EH60311"/>
      <c r="EI60311"/>
      <c r="EJ60311"/>
      <c r="EK60311"/>
    </row>
    <row r="60312" spans="1:141" s="116" customFormat="1">
      <c r="A60312" s="136"/>
      <c r="CM60312" s="111"/>
      <c r="CQ60312" s="111"/>
      <c r="EF60312"/>
      <c r="EG60312"/>
      <c r="EH60312"/>
      <c r="EI60312"/>
      <c r="EJ60312"/>
      <c r="EK60312"/>
    </row>
    <row r="60313" spans="1:141" s="116" customFormat="1">
      <c r="A60313" s="136"/>
      <c r="CM60313" s="111"/>
      <c r="CQ60313" s="111"/>
      <c r="EF60313"/>
      <c r="EG60313"/>
      <c r="EH60313"/>
      <c r="EI60313"/>
      <c r="EJ60313"/>
      <c r="EK60313"/>
    </row>
    <row r="60314" spans="1:141" s="116" customFormat="1">
      <c r="A60314" s="136"/>
      <c r="CM60314" s="111"/>
      <c r="CQ60314" s="111"/>
      <c r="EF60314"/>
      <c r="EG60314"/>
      <c r="EH60314"/>
      <c r="EI60314"/>
      <c r="EJ60314"/>
      <c r="EK60314"/>
    </row>
    <row r="60315" spans="1:141" s="116" customFormat="1">
      <c r="A60315" s="136"/>
      <c r="CM60315" s="111"/>
      <c r="CQ60315" s="111"/>
      <c r="EF60315"/>
      <c r="EG60315"/>
      <c r="EH60315"/>
      <c r="EI60315"/>
      <c r="EJ60315"/>
      <c r="EK60315"/>
    </row>
    <row r="60316" spans="1:141" s="116" customFormat="1">
      <c r="A60316" s="136"/>
      <c r="CM60316" s="111"/>
      <c r="CQ60316" s="111"/>
      <c r="EF60316"/>
      <c r="EG60316"/>
      <c r="EH60316"/>
      <c r="EI60316"/>
      <c r="EJ60316"/>
      <c r="EK60316"/>
    </row>
    <row r="60317" spans="1:141" s="116" customFormat="1">
      <c r="A60317" s="136"/>
      <c r="CM60317" s="111"/>
      <c r="CQ60317" s="111"/>
      <c r="EF60317"/>
      <c r="EG60317"/>
      <c r="EH60317"/>
      <c r="EI60317"/>
      <c r="EJ60317"/>
      <c r="EK60317"/>
    </row>
    <row r="60318" spans="1:141" s="116" customFormat="1">
      <c r="A60318" s="136"/>
      <c r="CM60318" s="111"/>
      <c r="CQ60318" s="111"/>
      <c r="EF60318"/>
      <c r="EG60318"/>
      <c r="EH60318"/>
      <c r="EI60318"/>
      <c r="EJ60318"/>
      <c r="EK60318"/>
    </row>
    <row r="60319" spans="1:141" s="116" customFormat="1">
      <c r="A60319" s="136"/>
      <c r="CM60319" s="111"/>
      <c r="CQ60319" s="111"/>
      <c r="EF60319"/>
      <c r="EG60319"/>
      <c r="EH60319"/>
      <c r="EI60319"/>
      <c r="EJ60319"/>
      <c r="EK60319"/>
    </row>
    <row r="60320" spans="1:141" s="116" customFormat="1">
      <c r="A60320" s="136"/>
      <c r="CM60320" s="111"/>
      <c r="CQ60320" s="111"/>
      <c r="EF60320"/>
      <c r="EG60320"/>
      <c r="EH60320"/>
      <c r="EI60320"/>
      <c r="EJ60320"/>
      <c r="EK60320"/>
    </row>
    <row r="60321" spans="1:141" s="116" customFormat="1">
      <c r="A60321" s="136"/>
      <c r="CM60321" s="111"/>
      <c r="CQ60321" s="111"/>
      <c r="EF60321"/>
      <c r="EG60321"/>
      <c r="EH60321"/>
      <c r="EI60321"/>
      <c r="EJ60321"/>
      <c r="EK60321"/>
    </row>
    <row r="60322" spans="1:141" s="116" customFormat="1">
      <c r="A60322" s="136"/>
      <c r="CM60322" s="111"/>
      <c r="CQ60322" s="111"/>
      <c r="EF60322"/>
      <c r="EG60322"/>
      <c r="EH60322"/>
      <c r="EI60322"/>
      <c r="EJ60322"/>
      <c r="EK60322"/>
    </row>
    <row r="60323" spans="1:141" s="116" customFormat="1">
      <c r="A60323" s="136"/>
      <c r="CM60323" s="111"/>
      <c r="CQ60323" s="111"/>
      <c r="EF60323"/>
      <c r="EG60323"/>
      <c r="EH60323"/>
      <c r="EI60323"/>
      <c r="EJ60323"/>
      <c r="EK60323"/>
    </row>
    <row r="60324" spans="1:141" s="116" customFormat="1">
      <c r="A60324" s="136"/>
      <c r="CM60324" s="111"/>
      <c r="CQ60324" s="111"/>
      <c r="EF60324"/>
      <c r="EG60324"/>
      <c r="EH60324"/>
      <c r="EI60324"/>
      <c r="EJ60324"/>
      <c r="EK60324"/>
    </row>
    <row r="60325" spans="1:141" s="116" customFormat="1">
      <c r="A60325" s="136"/>
      <c r="CM60325" s="111"/>
      <c r="CQ60325" s="111"/>
      <c r="EF60325"/>
      <c r="EG60325"/>
      <c r="EH60325"/>
      <c r="EI60325"/>
      <c r="EJ60325"/>
      <c r="EK60325"/>
    </row>
    <row r="60326" spans="1:141" s="116" customFormat="1">
      <c r="A60326" s="136"/>
      <c r="CM60326" s="111"/>
      <c r="CQ60326" s="111"/>
      <c r="EF60326"/>
      <c r="EG60326"/>
      <c r="EH60326"/>
      <c r="EI60326"/>
      <c r="EJ60326"/>
      <c r="EK60326"/>
    </row>
    <row r="60327" spans="1:141" s="116" customFormat="1">
      <c r="A60327" s="136"/>
      <c r="CM60327" s="111"/>
      <c r="CQ60327" s="111"/>
      <c r="EF60327"/>
      <c r="EG60327"/>
      <c r="EH60327"/>
      <c r="EI60327"/>
      <c r="EJ60327"/>
      <c r="EK60327"/>
    </row>
    <row r="60328" spans="1:141" s="116" customFormat="1">
      <c r="A60328" s="136"/>
      <c r="CM60328" s="111"/>
      <c r="CQ60328" s="111"/>
      <c r="EF60328"/>
      <c r="EG60328"/>
      <c r="EH60328"/>
      <c r="EI60328"/>
      <c r="EJ60328"/>
      <c r="EK60328"/>
    </row>
    <row r="60329" spans="1:141" s="116" customFormat="1">
      <c r="A60329" s="136"/>
      <c r="CM60329" s="111"/>
      <c r="CQ60329" s="111"/>
      <c r="EF60329"/>
      <c r="EG60329"/>
      <c r="EH60329"/>
      <c r="EI60329"/>
      <c r="EJ60329"/>
      <c r="EK60329"/>
    </row>
    <row r="60330" spans="1:141" s="116" customFormat="1">
      <c r="A60330" s="136"/>
      <c r="CM60330" s="111"/>
      <c r="CQ60330" s="111"/>
      <c r="EF60330"/>
      <c r="EG60330"/>
      <c r="EH60330"/>
      <c r="EI60330"/>
      <c r="EJ60330"/>
      <c r="EK60330"/>
    </row>
    <row r="60331" spans="1:141" s="116" customFormat="1">
      <c r="A60331" s="136"/>
      <c r="CM60331" s="111"/>
      <c r="CQ60331" s="111"/>
      <c r="EF60331"/>
      <c r="EG60331"/>
      <c r="EH60331"/>
      <c r="EI60331"/>
      <c r="EJ60331"/>
      <c r="EK60331"/>
    </row>
    <row r="60332" spans="1:141" s="116" customFormat="1">
      <c r="A60332" s="136"/>
      <c r="CM60332" s="111"/>
      <c r="CQ60332" s="111"/>
      <c r="EF60332"/>
      <c r="EG60332"/>
      <c r="EH60332"/>
      <c r="EI60332"/>
      <c r="EJ60332"/>
      <c r="EK60332"/>
    </row>
    <row r="60333" spans="1:141" s="116" customFormat="1">
      <c r="A60333" s="136"/>
      <c r="CM60333" s="111"/>
      <c r="CQ60333" s="111"/>
      <c r="EF60333"/>
      <c r="EG60333"/>
      <c r="EH60333"/>
      <c r="EI60333"/>
      <c r="EJ60333"/>
      <c r="EK60333"/>
    </row>
    <row r="60334" spans="1:141" s="116" customFormat="1">
      <c r="A60334" s="136"/>
      <c r="CM60334" s="111"/>
      <c r="CQ60334" s="111"/>
      <c r="EF60334"/>
      <c r="EG60334"/>
      <c r="EH60334"/>
      <c r="EI60334"/>
      <c r="EJ60334"/>
      <c r="EK60334"/>
    </row>
    <row r="60335" spans="1:141" s="116" customFormat="1">
      <c r="A60335" s="136"/>
      <c r="CM60335" s="111"/>
      <c r="CQ60335" s="111"/>
      <c r="EF60335"/>
      <c r="EG60335"/>
      <c r="EH60335"/>
      <c r="EI60335"/>
      <c r="EJ60335"/>
      <c r="EK60335"/>
    </row>
    <row r="60336" spans="1:141" s="116" customFormat="1">
      <c r="A60336" s="136"/>
      <c r="CM60336" s="111"/>
      <c r="CQ60336" s="111"/>
      <c r="EF60336"/>
      <c r="EG60336"/>
      <c r="EH60336"/>
      <c r="EI60336"/>
      <c r="EJ60336"/>
      <c r="EK60336"/>
    </row>
    <row r="60337" spans="1:141" s="116" customFormat="1">
      <c r="A60337" s="136"/>
      <c r="CM60337" s="111"/>
      <c r="CQ60337" s="111"/>
      <c r="EF60337"/>
      <c r="EG60337"/>
      <c r="EH60337"/>
      <c r="EI60337"/>
      <c r="EJ60337"/>
      <c r="EK60337"/>
    </row>
    <row r="60338" spans="1:141" s="116" customFormat="1">
      <c r="A60338" s="136"/>
      <c r="CM60338" s="111"/>
      <c r="CQ60338" s="111"/>
      <c r="EF60338"/>
      <c r="EG60338"/>
      <c r="EH60338"/>
      <c r="EI60338"/>
      <c r="EJ60338"/>
      <c r="EK60338"/>
    </row>
    <row r="60339" spans="1:141" s="116" customFormat="1">
      <c r="A60339" s="136"/>
      <c r="CM60339" s="111"/>
      <c r="CQ60339" s="111"/>
      <c r="EF60339"/>
      <c r="EG60339"/>
      <c r="EH60339"/>
      <c r="EI60339"/>
      <c r="EJ60339"/>
      <c r="EK60339"/>
    </row>
    <row r="60340" spans="1:141" s="116" customFormat="1">
      <c r="A60340" s="136"/>
      <c r="CM60340" s="111"/>
      <c r="CQ60340" s="111"/>
      <c r="EF60340"/>
      <c r="EG60340"/>
      <c r="EH60340"/>
      <c r="EI60340"/>
      <c r="EJ60340"/>
      <c r="EK60340"/>
    </row>
    <row r="60341" spans="1:141" s="116" customFormat="1">
      <c r="A60341" s="136"/>
      <c r="CM60341" s="111"/>
      <c r="CQ60341" s="111"/>
      <c r="EF60341"/>
      <c r="EG60341"/>
      <c r="EH60341"/>
      <c r="EI60341"/>
      <c r="EJ60341"/>
      <c r="EK60341"/>
    </row>
    <row r="60342" spans="1:141" s="116" customFormat="1">
      <c r="A60342" s="136"/>
      <c r="CM60342" s="111"/>
      <c r="CQ60342" s="111"/>
      <c r="EF60342"/>
      <c r="EG60342"/>
      <c r="EH60342"/>
      <c r="EI60342"/>
      <c r="EJ60342"/>
      <c r="EK60342"/>
    </row>
    <row r="60343" spans="1:141" s="116" customFormat="1">
      <c r="A60343" s="136"/>
      <c r="CM60343" s="111"/>
      <c r="CQ60343" s="111"/>
      <c r="EF60343"/>
      <c r="EG60343"/>
      <c r="EH60343"/>
      <c r="EI60343"/>
      <c r="EJ60343"/>
      <c r="EK60343"/>
    </row>
    <row r="60344" spans="1:141" s="116" customFormat="1">
      <c r="A60344" s="136"/>
      <c r="CM60344" s="111"/>
      <c r="CQ60344" s="111"/>
      <c r="EF60344"/>
      <c r="EG60344"/>
      <c r="EH60344"/>
      <c r="EI60344"/>
      <c r="EJ60344"/>
      <c r="EK60344"/>
    </row>
    <row r="60345" spans="1:141" s="116" customFormat="1">
      <c r="A60345" s="136"/>
      <c r="CM60345" s="111"/>
      <c r="CQ60345" s="111"/>
      <c r="EF60345"/>
      <c r="EG60345"/>
      <c r="EH60345"/>
      <c r="EI60345"/>
      <c r="EJ60345"/>
      <c r="EK60345"/>
    </row>
    <row r="60346" spans="1:141" s="116" customFormat="1">
      <c r="A60346" s="136"/>
      <c r="CM60346" s="111"/>
      <c r="CQ60346" s="111"/>
      <c r="EF60346"/>
      <c r="EG60346"/>
      <c r="EH60346"/>
      <c r="EI60346"/>
      <c r="EJ60346"/>
      <c r="EK60346"/>
    </row>
    <row r="60347" spans="1:141" s="116" customFormat="1">
      <c r="A60347" s="136"/>
      <c r="CM60347" s="111"/>
      <c r="CQ60347" s="111"/>
      <c r="EF60347"/>
      <c r="EG60347"/>
      <c r="EH60347"/>
      <c r="EI60347"/>
      <c r="EJ60347"/>
      <c r="EK60347"/>
    </row>
    <row r="60348" spans="1:141" s="116" customFormat="1">
      <c r="A60348" s="136"/>
      <c r="CM60348" s="111"/>
      <c r="CQ60348" s="111"/>
      <c r="EF60348"/>
      <c r="EG60348"/>
      <c r="EH60348"/>
      <c r="EI60348"/>
      <c r="EJ60348"/>
      <c r="EK60348"/>
    </row>
    <row r="60349" spans="1:141" s="116" customFormat="1">
      <c r="A60349" s="136"/>
      <c r="CM60349" s="111"/>
      <c r="CQ60349" s="111"/>
      <c r="EF60349"/>
      <c r="EG60349"/>
      <c r="EH60349"/>
      <c r="EI60349"/>
      <c r="EJ60349"/>
      <c r="EK60349"/>
    </row>
    <row r="60350" spans="1:141" s="116" customFormat="1">
      <c r="A60350" s="136"/>
      <c r="CM60350" s="111"/>
      <c r="CQ60350" s="111"/>
      <c r="EF60350"/>
      <c r="EG60350"/>
      <c r="EH60350"/>
      <c r="EI60350"/>
      <c r="EJ60350"/>
      <c r="EK60350"/>
    </row>
    <row r="60351" spans="1:141" s="116" customFormat="1">
      <c r="A60351" s="136"/>
      <c r="CM60351" s="111"/>
      <c r="CQ60351" s="111"/>
      <c r="EF60351"/>
      <c r="EG60351"/>
      <c r="EH60351"/>
      <c r="EI60351"/>
      <c r="EJ60351"/>
      <c r="EK60351"/>
    </row>
    <row r="60352" spans="1:141" s="116" customFormat="1">
      <c r="A60352" s="136"/>
      <c r="CM60352" s="111"/>
      <c r="CQ60352" s="111"/>
      <c r="EF60352"/>
      <c r="EG60352"/>
      <c r="EH60352"/>
      <c r="EI60352"/>
      <c r="EJ60352"/>
      <c r="EK60352"/>
    </row>
    <row r="60353" spans="1:141" s="116" customFormat="1">
      <c r="A60353" s="136"/>
      <c r="CM60353" s="111"/>
      <c r="CQ60353" s="111"/>
      <c r="EF60353"/>
      <c r="EG60353"/>
      <c r="EH60353"/>
      <c r="EI60353"/>
      <c r="EJ60353"/>
      <c r="EK60353"/>
    </row>
    <row r="60354" spans="1:141" s="116" customFormat="1">
      <c r="A60354" s="136"/>
      <c r="CM60354" s="111"/>
      <c r="CQ60354" s="111"/>
      <c r="EF60354"/>
      <c r="EG60354"/>
      <c r="EH60354"/>
      <c r="EI60354"/>
      <c r="EJ60354"/>
      <c r="EK60354"/>
    </row>
    <row r="60355" spans="1:141" s="116" customFormat="1">
      <c r="A60355" s="136"/>
      <c r="CM60355" s="111"/>
      <c r="CQ60355" s="111"/>
      <c r="EF60355"/>
      <c r="EG60355"/>
      <c r="EH60355"/>
      <c r="EI60355"/>
      <c r="EJ60355"/>
      <c r="EK60355"/>
    </row>
    <row r="60356" spans="1:141" s="116" customFormat="1">
      <c r="A60356" s="136"/>
      <c r="CM60356" s="111"/>
      <c r="CQ60356" s="111"/>
      <c r="EF60356"/>
      <c r="EG60356"/>
      <c r="EH60356"/>
      <c r="EI60356"/>
      <c r="EJ60356"/>
      <c r="EK60356"/>
    </row>
    <row r="60357" spans="1:141" s="116" customFormat="1">
      <c r="A60357" s="136"/>
      <c r="CM60357" s="111"/>
      <c r="CQ60357" s="111"/>
      <c r="EF60357"/>
      <c r="EG60357"/>
      <c r="EH60357"/>
      <c r="EI60357"/>
      <c r="EJ60357"/>
      <c r="EK60357"/>
    </row>
    <row r="60358" spans="1:141" s="116" customFormat="1">
      <c r="A60358" s="136"/>
      <c r="CM60358" s="111"/>
      <c r="CQ60358" s="111"/>
      <c r="EF60358"/>
      <c r="EG60358"/>
      <c r="EH60358"/>
      <c r="EI60358"/>
      <c r="EJ60358"/>
      <c r="EK60358"/>
    </row>
    <row r="60359" spans="1:141" s="116" customFormat="1">
      <c r="A60359" s="136"/>
      <c r="CM60359" s="111"/>
      <c r="CQ60359" s="111"/>
      <c r="EF60359"/>
      <c r="EG60359"/>
      <c r="EH60359"/>
      <c r="EI60359"/>
      <c r="EJ60359"/>
      <c r="EK60359"/>
    </row>
    <row r="60360" spans="1:141" s="116" customFormat="1">
      <c r="A60360" s="136"/>
      <c r="CM60360" s="111"/>
      <c r="CQ60360" s="111"/>
      <c r="EF60360"/>
      <c r="EG60360"/>
      <c r="EH60360"/>
      <c r="EI60360"/>
      <c r="EJ60360"/>
      <c r="EK60360"/>
    </row>
    <row r="60361" spans="1:141" s="116" customFormat="1">
      <c r="A60361" s="136"/>
      <c r="CM60361" s="111"/>
      <c r="CQ60361" s="111"/>
      <c r="EF60361"/>
      <c r="EG60361"/>
      <c r="EH60361"/>
      <c r="EI60361"/>
      <c r="EJ60361"/>
      <c r="EK60361"/>
    </row>
    <row r="60362" spans="1:141" s="116" customFormat="1">
      <c r="A60362" s="136"/>
      <c r="CM60362" s="111"/>
      <c r="CQ60362" s="111"/>
      <c r="EF60362"/>
      <c r="EG60362"/>
      <c r="EH60362"/>
      <c r="EI60362"/>
      <c r="EJ60362"/>
      <c r="EK60362"/>
    </row>
    <row r="60363" spans="1:141" s="116" customFormat="1">
      <c r="A60363" s="136"/>
      <c r="CM60363" s="111"/>
      <c r="CQ60363" s="111"/>
      <c r="EF60363"/>
      <c r="EG60363"/>
      <c r="EH60363"/>
      <c r="EI60363"/>
      <c r="EJ60363"/>
      <c r="EK60363"/>
    </row>
    <row r="60364" spans="1:141" s="116" customFormat="1">
      <c r="A60364" s="136"/>
      <c r="CM60364" s="111"/>
      <c r="CQ60364" s="111"/>
      <c r="EF60364"/>
      <c r="EG60364"/>
      <c r="EH60364"/>
      <c r="EI60364"/>
      <c r="EJ60364"/>
      <c r="EK60364"/>
    </row>
    <row r="60365" spans="1:141" s="116" customFormat="1">
      <c r="A60365" s="136"/>
      <c r="CM60365" s="111"/>
      <c r="CQ60365" s="111"/>
      <c r="EF60365"/>
      <c r="EG60365"/>
      <c r="EH60365"/>
      <c r="EI60365"/>
      <c r="EJ60365"/>
      <c r="EK60365"/>
    </row>
    <row r="60366" spans="1:141" s="116" customFormat="1">
      <c r="A60366" s="136"/>
      <c r="CM60366" s="111"/>
      <c r="CQ60366" s="111"/>
      <c r="EF60366"/>
      <c r="EG60366"/>
      <c r="EH60366"/>
      <c r="EI60366"/>
      <c r="EJ60366"/>
      <c r="EK60366"/>
    </row>
    <row r="60367" spans="1:141" s="116" customFormat="1">
      <c r="A60367" s="136"/>
      <c r="CM60367" s="111"/>
      <c r="CQ60367" s="111"/>
      <c r="EF60367"/>
      <c r="EG60367"/>
      <c r="EH60367"/>
      <c r="EI60367"/>
      <c r="EJ60367"/>
      <c r="EK60367"/>
    </row>
    <row r="60368" spans="1:141" s="116" customFormat="1">
      <c r="A60368" s="136"/>
      <c r="CM60368" s="111"/>
      <c r="CQ60368" s="111"/>
      <c r="EF60368"/>
      <c r="EG60368"/>
      <c r="EH60368"/>
      <c r="EI60368"/>
      <c r="EJ60368"/>
      <c r="EK60368"/>
    </row>
    <row r="60369" spans="1:141" s="116" customFormat="1">
      <c r="A60369" s="136"/>
      <c r="CM60369" s="111"/>
      <c r="CQ60369" s="111"/>
      <c r="EF60369"/>
      <c r="EG60369"/>
      <c r="EH60369"/>
      <c r="EI60369"/>
      <c r="EJ60369"/>
      <c r="EK60369"/>
    </row>
    <row r="60370" spans="1:141" s="116" customFormat="1">
      <c r="A60370" s="136"/>
      <c r="CM60370" s="111"/>
      <c r="CQ60370" s="111"/>
      <c r="EF60370"/>
      <c r="EG60370"/>
      <c r="EH60370"/>
      <c r="EI60370"/>
      <c r="EJ60370"/>
      <c r="EK60370"/>
    </row>
    <row r="60371" spans="1:141" s="116" customFormat="1">
      <c r="A60371" s="136"/>
      <c r="CM60371" s="111"/>
      <c r="CQ60371" s="111"/>
      <c r="EF60371"/>
      <c r="EG60371"/>
      <c r="EH60371"/>
      <c r="EI60371"/>
      <c r="EJ60371"/>
      <c r="EK60371"/>
    </row>
    <row r="60372" spans="1:141" s="116" customFormat="1">
      <c r="A60372" s="136"/>
      <c r="CM60372" s="111"/>
      <c r="CQ60372" s="111"/>
      <c r="EF60372"/>
      <c r="EG60372"/>
      <c r="EH60372"/>
      <c r="EI60372"/>
      <c r="EJ60372"/>
      <c r="EK60372"/>
    </row>
    <row r="60373" spans="1:141" s="116" customFormat="1">
      <c r="A60373" s="136"/>
      <c r="CM60373" s="111"/>
      <c r="CQ60373" s="111"/>
      <c r="EF60373"/>
      <c r="EG60373"/>
      <c r="EH60373"/>
      <c r="EI60373"/>
      <c r="EJ60373"/>
      <c r="EK60373"/>
    </row>
    <row r="60374" spans="1:141" s="116" customFormat="1">
      <c r="A60374" s="136"/>
      <c r="CM60374" s="111"/>
      <c r="CQ60374" s="111"/>
      <c r="EF60374"/>
      <c r="EG60374"/>
      <c r="EH60374"/>
      <c r="EI60374"/>
      <c r="EJ60374"/>
      <c r="EK60374"/>
    </row>
    <row r="60375" spans="1:141" s="116" customFormat="1">
      <c r="A60375" s="136"/>
      <c r="CM60375" s="111"/>
      <c r="CQ60375" s="111"/>
      <c r="EF60375"/>
      <c r="EG60375"/>
      <c r="EH60375"/>
      <c r="EI60375"/>
      <c r="EJ60375"/>
      <c r="EK60375"/>
    </row>
    <row r="60376" spans="1:141" s="116" customFormat="1">
      <c r="A60376" s="136"/>
      <c r="CM60376" s="111"/>
      <c r="CQ60376" s="111"/>
      <c r="EF60376"/>
      <c r="EG60376"/>
      <c r="EH60376"/>
      <c r="EI60376"/>
      <c r="EJ60376"/>
      <c r="EK60376"/>
    </row>
    <row r="60377" spans="1:141" s="116" customFormat="1">
      <c r="A60377" s="136"/>
      <c r="CM60377" s="111"/>
      <c r="CQ60377" s="111"/>
      <c r="EF60377"/>
      <c r="EG60377"/>
      <c r="EH60377"/>
      <c r="EI60377"/>
      <c r="EJ60377"/>
      <c r="EK60377"/>
    </row>
    <row r="60378" spans="1:141" s="116" customFormat="1">
      <c r="A60378" s="136"/>
      <c r="CM60378" s="111"/>
      <c r="CQ60378" s="111"/>
      <c r="EF60378"/>
      <c r="EG60378"/>
      <c r="EH60378"/>
      <c r="EI60378"/>
      <c r="EJ60378"/>
      <c r="EK60378"/>
    </row>
    <row r="60379" spans="1:141" s="116" customFormat="1">
      <c r="A60379" s="136"/>
      <c r="CM60379" s="111"/>
      <c r="CQ60379" s="111"/>
      <c r="EF60379"/>
      <c r="EG60379"/>
      <c r="EH60379"/>
      <c r="EI60379"/>
      <c r="EJ60379"/>
      <c r="EK60379"/>
    </row>
    <row r="60380" spans="1:141" s="116" customFormat="1">
      <c r="A60380" s="136"/>
      <c r="CM60380" s="111"/>
      <c r="CQ60380" s="111"/>
      <c r="EF60380"/>
      <c r="EG60380"/>
      <c r="EH60380"/>
      <c r="EI60380"/>
      <c r="EJ60380"/>
      <c r="EK60380"/>
    </row>
    <row r="60381" spans="1:141" s="116" customFormat="1">
      <c r="A60381" s="136"/>
      <c r="CM60381" s="111"/>
      <c r="CQ60381" s="111"/>
      <c r="EF60381"/>
      <c r="EG60381"/>
      <c r="EH60381"/>
      <c r="EI60381"/>
      <c r="EJ60381"/>
      <c r="EK60381"/>
    </row>
    <row r="60382" spans="1:141" s="116" customFormat="1">
      <c r="A60382" s="136"/>
      <c r="CM60382" s="111"/>
      <c r="CQ60382" s="111"/>
      <c r="EF60382"/>
      <c r="EG60382"/>
      <c r="EH60382"/>
      <c r="EI60382"/>
      <c r="EJ60382"/>
      <c r="EK60382"/>
    </row>
    <row r="60383" spans="1:141" s="116" customFormat="1">
      <c r="A60383" s="136"/>
      <c r="CM60383" s="111"/>
      <c r="CQ60383" s="111"/>
      <c r="EF60383"/>
      <c r="EG60383"/>
      <c r="EH60383"/>
      <c r="EI60383"/>
      <c r="EJ60383"/>
      <c r="EK60383"/>
    </row>
    <row r="60384" spans="1:141" s="116" customFormat="1">
      <c r="A60384" s="136"/>
      <c r="CM60384" s="111"/>
      <c r="CQ60384" s="111"/>
      <c r="EF60384"/>
      <c r="EG60384"/>
      <c r="EH60384"/>
      <c r="EI60384"/>
      <c r="EJ60384"/>
      <c r="EK60384"/>
    </row>
    <row r="60385" spans="1:141" s="116" customFormat="1">
      <c r="A60385" s="136"/>
      <c r="CM60385" s="111"/>
      <c r="CQ60385" s="111"/>
      <c r="EF60385"/>
      <c r="EG60385"/>
      <c r="EH60385"/>
      <c r="EI60385"/>
      <c r="EJ60385"/>
      <c r="EK60385"/>
    </row>
    <row r="60386" spans="1:141" s="116" customFormat="1">
      <c r="A60386" s="136"/>
      <c r="CM60386" s="111"/>
      <c r="CQ60386" s="111"/>
      <c r="EF60386"/>
      <c r="EG60386"/>
      <c r="EH60386"/>
      <c r="EI60386"/>
      <c r="EJ60386"/>
      <c r="EK60386"/>
    </row>
    <row r="60387" spans="1:141" s="116" customFormat="1">
      <c r="A60387" s="136"/>
      <c r="CM60387" s="111"/>
      <c r="CQ60387" s="111"/>
      <c r="EF60387"/>
      <c r="EG60387"/>
      <c r="EH60387"/>
      <c r="EI60387"/>
      <c r="EJ60387"/>
      <c r="EK60387"/>
    </row>
    <row r="60388" spans="1:141" s="116" customFormat="1">
      <c r="A60388" s="136"/>
      <c r="CM60388" s="111"/>
      <c r="CQ60388" s="111"/>
      <c r="EF60388"/>
      <c r="EG60388"/>
      <c r="EH60388"/>
      <c r="EI60388"/>
      <c r="EJ60388"/>
      <c r="EK60388"/>
    </row>
    <row r="60389" spans="1:141" s="116" customFormat="1">
      <c r="A60389" s="136"/>
      <c r="CM60389" s="111"/>
      <c r="CQ60389" s="111"/>
      <c r="EF60389"/>
      <c r="EG60389"/>
      <c r="EH60389"/>
      <c r="EI60389"/>
      <c r="EJ60389"/>
      <c r="EK60389"/>
    </row>
    <row r="60390" spans="1:141" s="116" customFormat="1">
      <c r="A60390" s="136"/>
      <c r="CM60390" s="111"/>
      <c r="CQ60390" s="111"/>
      <c r="EF60390"/>
      <c r="EG60390"/>
      <c r="EH60390"/>
      <c r="EI60390"/>
      <c r="EJ60390"/>
      <c r="EK60390"/>
    </row>
    <row r="60391" spans="1:141" s="116" customFormat="1">
      <c r="A60391" s="136"/>
      <c r="CM60391" s="111"/>
      <c r="CQ60391" s="111"/>
      <c r="EF60391"/>
      <c r="EG60391"/>
      <c r="EH60391"/>
      <c r="EI60391"/>
      <c r="EJ60391"/>
      <c r="EK60391"/>
    </row>
    <row r="60392" spans="1:141" s="116" customFormat="1">
      <c r="A60392" s="136"/>
      <c r="CM60392" s="111"/>
      <c r="CQ60392" s="111"/>
      <c r="EF60392"/>
      <c r="EG60392"/>
      <c r="EH60392"/>
      <c r="EI60392"/>
      <c r="EJ60392"/>
      <c r="EK60392"/>
    </row>
    <row r="60393" spans="1:141" s="116" customFormat="1">
      <c r="A60393" s="136"/>
      <c r="CM60393" s="111"/>
      <c r="CQ60393" s="111"/>
      <c r="EF60393"/>
      <c r="EG60393"/>
      <c r="EH60393"/>
      <c r="EI60393"/>
      <c r="EJ60393"/>
      <c r="EK60393"/>
    </row>
    <row r="60394" spans="1:141" s="116" customFormat="1">
      <c r="A60394" s="136"/>
      <c r="CM60394" s="111"/>
      <c r="CQ60394" s="111"/>
      <c r="EF60394"/>
      <c r="EG60394"/>
      <c r="EH60394"/>
      <c r="EI60394"/>
      <c r="EJ60394"/>
      <c r="EK60394"/>
    </row>
    <row r="60395" spans="1:141" s="116" customFormat="1">
      <c r="A60395" s="136"/>
      <c r="CM60395" s="111"/>
      <c r="CQ60395" s="111"/>
      <c r="EF60395"/>
      <c r="EG60395"/>
      <c r="EH60395"/>
      <c r="EI60395"/>
      <c r="EJ60395"/>
      <c r="EK60395"/>
    </row>
    <row r="60396" spans="1:141" s="116" customFormat="1">
      <c r="A60396" s="136"/>
      <c r="CM60396" s="111"/>
      <c r="CQ60396" s="111"/>
      <c r="EF60396"/>
      <c r="EG60396"/>
      <c r="EH60396"/>
      <c r="EI60396"/>
      <c r="EJ60396"/>
      <c r="EK60396"/>
    </row>
    <row r="60397" spans="1:141" s="116" customFormat="1">
      <c r="A60397" s="136"/>
      <c r="CM60397" s="111"/>
      <c r="CQ60397" s="111"/>
      <c r="EF60397"/>
      <c r="EG60397"/>
      <c r="EH60397"/>
      <c r="EI60397"/>
      <c r="EJ60397"/>
      <c r="EK60397"/>
    </row>
    <row r="60398" spans="1:141" s="116" customFormat="1">
      <c r="A60398" s="136"/>
      <c r="CM60398" s="111"/>
      <c r="CQ60398" s="111"/>
      <c r="EF60398"/>
      <c r="EG60398"/>
      <c r="EH60398"/>
      <c r="EI60398"/>
      <c r="EJ60398"/>
      <c r="EK60398"/>
    </row>
    <row r="60399" spans="1:141" s="116" customFormat="1">
      <c r="A60399" s="136"/>
      <c r="CM60399" s="111"/>
      <c r="CQ60399" s="111"/>
      <c r="EF60399"/>
      <c r="EG60399"/>
      <c r="EH60399"/>
      <c r="EI60399"/>
      <c r="EJ60399"/>
      <c r="EK60399"/>
    </row>
    <row r="60400" spans="1:141" s="116" customFormat="1">
      <c r="A60400" s="136"/>
      <c r="CM60400" s="111"/>
      <c r="CQ60400" s="111"/>
      <c r="EF60400"/>
      <c r="EG60400"/>
      <c r="EH60400"/>
      <c r="EI60400"/>
      <c r="EJ60400"/>
      <c r="EK60400"/>
    </row>
    <row r="60401" spans="1:141" s="116" customFormat="1">
      <c r="A60401" s="136"/>
      <c r="CM60401" s="111"/>
      <c r="CQ60401" s="111"/>
      <c r="EF60401"/>
      <c r="EG60401"/>
      <c r="EH60401"/>
      <c r="EI60401"/>
      <c r="EJ60401"/>
      <c r="EK60401"/>
    </row>
    <row r="60402" spans="1:141" s="116" customFormat="1">
      <c r="A60402" s="136"/>
      <c r="CM60402" s="111"/>
      <c r="CQ60402" s="111"/>
      <c r="EF60402"/>
      <c r="EG60402"/>
      <c r="EH60402"/>
      <c r="EI60402"/>
      <c r="EJ60402"/>
      <c r="EK60402"/>
    </row>
    <row r="60403" spans="1:141" s="116" customFormat="1">
      <c r="A60403" s="136"/>
      <c r="CM60403" s="111"/>
      <c r="CQ60403" s="111"/>
      <c r="EF60403"/>
      <c r="EG60403"/>
      <c r="EH60403"/>
      <c r="EI60403"/>
      <c r="EJ60403"/>
      <c r="EK60403"/>
    </row>
    <row r="60404" spans="1:141" s="116" customFormat="1">
      <c r="A60404" s="136"/>
      <c r="CM60404" s="111"/>
      <c r="CQ60404" s="111"/>
      <c r="EF60404"/>
      <c r="EG60404"/>
      <c r="EH60404"/>
      <c r="EI60404"/>
      <c r="EJ60404"/>
      <c r="EK60404"/>
    </row>
    <row r="60405" spans="1:141" s="116" customFormat="1">
      <c r="A60405" s="136"/>
      <c r="CM60405" s="111"/>
      <c r="CQ60405" s="111"/>
      <c r="EF60405"/>
      <c r="EG60405"/>
      <c r="EH60405"/>
      <c r="EI60405"/>
      <c r="EJ60405"/>
      <c r="EK60405"/>
    </row>
    <row r="60406" spans="1:141" s="116" customFormat="1">
      <c r="A60406" s="136"/>
      <c r="CM60406" s="111"/>
      <c r="CQ60406" s="111"/>
      <c r="EF60406"/>
      <c r="EG60406"/>
      <c r="EH60406"/>
      <c r="EI60406"/>
      <c r="EJ60406"/>
      <c r="EK60406"/>
    </row>
    <row r="60407" spans="1:141" s="116" customFormat="1">
      <c r="A60407" s="136"/>
      <c r="CM60407" s="111"/>
      <c r="CQ60407" s="111"/>
      <c r="EF60407"/>
      <c r="EG60407"/>
      <c r="EH60407"/>
      <c r="EI60407"/>
      <c r="EJ60407"/>
      <c r="EK60407"/>
    </row>
    <row r="60408" spans="1:141" s="116" customFormat="1">
      <c r="A60408" s="136"/>
      <c r="CM60408" s="111"/>
      <c r="CQ60408" s="111"/>
      <c r="EF60408"/>
      <c r="EG60408"/>
      <c r="EH60408"/>
      <c r="EI60408"/>
      <c r="EJ60408"/>
      <c r="EK60408"/>
    </row>
    <row r="60409" spans="1:141" s="116" customFormat="1">
      <c r="A60409" s="136"/>
      <c r="CM60409" s="111"/>
      <c r="CQ60409" s="111"/>
      <c r="EF60409"/>
      <c r="EG60409"/>
      <c r="EH60409"/>
      <c r="EI60409"/>
      <c r="EJ60409"/>
      <c r="EK60409"/>
    </row>
    <row r="60410" spans="1:141" s="116" customFormat="1">
      <c r="A60410" s="136"/>
      <c r="CM60410" s="111"/>
      <c r="CQ60410" s="111"/>
      <c r="EF60410"/>
      <c r="EG60410"/>
      <c r="EH60410"/>
      <c r="EI60410"/>
      <c r="EJ60410"/>
      <c r="EK60410"/>
    </row>
    <row r="60411" spans="1:141" s="116" customFormat="1">
      <c r="A60411" s="136"/>
      <c r="CM60411" s="111"/>
      <c r="CQ60411" s="111"/>
      <c r="EF60411"/>
      <c r="EG60411"/>
      <c r="EH60411"/>
      <c r="EI60411"/>
      <c r="EJ60411"/>
      <c r="EK60411"/>
    </row>
    <row r="60412" spans="1:141" s="116" customFormat="1">
      <c r="A60412" s="136"/>
      <c r="CM60412" s="111"/>
      <c r="CQ60412" s="111"/>
      <c r="EF60412"/>
      <c r="EG60412"/>
      <c r="EH60412"/>
      <c r="EI60412"/>
      <c r="EJ60412"/>
      <c r="EK60412"/>
    </row>
    <row r="60413" spans="1:141" s="116" customFormat="1">
      <c r="A60413" s="136"/>
      <c r="CM60413" s="111"/>
      <c r="CQ60413" s="111"/>
      <c r="EF60413"/>
      <c r="EG60413"/>
      <c r="EH60413"/>
      <c r="EI60413"/>
      <c r="EJ60413"/>
      <c r="EK60413"/>
    </row>
    <row r="60414" spans="1:141" s="116" customFormat="1">
      <c r="A60414" s="136"/>
      <c r="CM60414" s="111"/>
      <c r="CQ60414" s="111"/>
      <c r="EF60414"/>
      <c r="EG60414"/>
      <c r="EH60414"/>
      <c r="EI60414"/>
      <c r="EJ60414"/>
      <c r="EK60414"/>
    </row>
    <row r="60415" spans="1:141" s="116" customFormat="1">
      <c r="A60415" s="136"/>
      <c r="CM60415" s="111"/>
      <c r="CQ60415" s="111"/>
      <c r="EF60415"/>
      <c r="EG60415"/>
      <c r="EH60415"/>
      <c r="EI60415"/>
      <c r="EJ60415"/>
      <c r="EK60415"/>
    </row>
    <row r="60416" spans="1:141" s="116" customFormat="1">
      <c r="A60416" s="136"/>
      <c r="CM60416" s="111"/>
      <c r="CQ60416" s="111"/>
      <c r="EF60416"/>
      <c r="EG60416"/>
      <c r="EH60416"/>
      <c r="EI60416"/>
      <c r="EJ60416"/>
      <c r="EK60416"/>
    </row>
    <row r="60417" spans="1:141" s="116" customFormat="1">
      <c r="A60417" s="136"/>
      <c r="CM60417" s="111"/>
      <c r="CQ60417" s="111"/>
      <c r="EF60417"/>
      <c r="EG60417"/>
      <c r="EH60417"/>
      <c r="EI60417"/>
      <c r="EJ60417"/>
      <c r="EK60417"/>
    </row>
    <row r="60418" spans="1:141" s="116" customFormat="1">
      <c r="A60418" s="136"/>
      <c r="CM60418" s="111"/>
      <c r="CQ60418" s="111"/>
      <c r="EF60418"/>
      <c r="EG60418"/>
      <c r="EH60418"/>
      <c r="EI60418"/>
      <c r="EJ60418"/>
      <c r="EK60418"/>
    </row>
    <row r="60419" spans="1:141" s="116" customFormat="1">
      <c r="A60419" s="136"/>
      <c r="CM60419" s="111"/>
      <c r="CQ60419" s="111"/>
      <c r="EF60419"/>
      <c r="EG60419"/>
      <c r="EH60419"/>
      <c r="EI60419"/>
      <c r="EJ60419"/>
      <c r="EK60419"/>
    </row>
    <row r="60420" spans="1:141" s="116" customFormat="1">
      <c r="A60420" s="136"/>
      <c r="CM60420" s="111"/>
      <c r="CQ60420" s="111"/>
      <c r="EF60420"/>
      <c r="EG60420"/>
      <c r="EH60420"/>
      <c r="EI60420"/>
      <c r="EJ60420"/>
      <c r="EK60420"/>
    </row>
    <row r="60421" spans="1:141" s="116" customFormat="1">
      <c r="A60421" s="136"/>
      <c r="CM60421" s="111"/>
      <c r="CQ60421" s="111"/>
      <c r="EF60421"/>
      <c r="EG60421"/>
      <c r="EH60421"/>
      <c r="EI60421"/>
      <c r="EJ60421"/>
      <c r="EK60421"/>
    </row>
    <row r="60422" spans="1:141" s="116" customFormat="1">
      <c r="A60422" s="136"/>
      <c r="CM60422" s="111"/>
      <c r="CQ60422" s="111"/>
      <c r="EF60422"/>
      <c r="EG60422"/>
      <c r="EH60422"/>
      <c r="EI60422"/>
      <c r="EJ60422"/>
      <c r="EK60422"/>
    </row>
    <row r="60423" spans="1:141" s="116" customFormat="1">
      <c r="A60423" s="136"/>
      <c r="CM60423" s="111"/>
      <c r="CQ60423" s="111"/>
      <c r="EF60423"/>
      <c r="EG60423"/>
      <c r="EH60423"/>
      <c r="EI60423"/>
      <c r="EJ60423"/>
      <c r="EK60423"/>
    </row>
    <row r="60424" spans="1:141" s="116" customFormat="1">
      <c r="A60424" s="136"/>
      <c r="CM60424" s="111"/>
      <c r="CQ60424" s="111"/>
      <c r="EF60424"/>
      <c r="EG60424"/>
      <c r="EH60424"/>
      <c r="EI60424"/>
      <c r="EJ60424"/>
      <c r="EK60424"/>
    </row>
    <row r="60425" spans="1:141" s="116" customFormat="1">
      <c r="A60425" s="136"/>
      <c r="CM60425" s="111"/>
      <c r="CQ60425" s="111"/>
      <c r="EF60425"/>
      <c r="EG60425"/>
      <c r="EH60425"/>
      <c r="EI60425"/>
      <c r="EJ60425"/>
      <c r="EK60425"/>
    </row>
    <row r="60426" spans="1:141" s="116" customFormat="1">
      <c r="A60426" s="136"/>
      <c r="CM60426" s="111"/>
      <c r="CQ60426" s="111"/>
      <c r="EF60426"/>
      <c r="EG60426"/>
      <c r="EH60426"/>
      <c r="EI60426"/>
      <c r="EJ60426"/>
      <c r="EK60426"/>
    </row>
    <row r="60427" spans="1:141" s="116" customFormat="1">
      <c r="A60427" s="136"/>
      <c r="CM60427" s="111"/>
      <c r="CQ60427" s="111"/>
      <c r="EF60427"/>
      <c r="EG60427"/>
      <c r="EH60427"/>
      <c r="EI60427"/>
      <c r="EJ60427"/>
      <c r="EK60427"/>
    </row>
    <row r="60428" spans="1:141" s="116" customFormat="1">
      <c r="A60428" s="136"/>
      <c r="CM60428" s="111"/>
      <c r="CQ60428" s="111"/>
      <c r="EF60428"/>
      <c r="EG60428"/>
      <c r="EH60428"/>
      <c r="EI60428"/>
      <c r="EJ60428"/>
      <c r="EK60428"/>
    </row>
    <row r="60429" spans="1:141" s="116" customFormat="1">
      <c r="A60429" s="136"/>
      <c r="CM60429" s="111"/>
      <c r="CQ60429" s="111"/>
      <c r="EF60429"/>
      <c r="EG60429"/>
      <c r="EH60429"/>
      <c r="EI60429"/>
      <c r="EJ60429"/>
      <c r="EK60429"/>
    </row>
    <row r="60430" spans="1:141" s="116" customFormat="1">
      <c r="A60430" s="136"/>
      <c r="CM60430" s="111"/>
      <c r="CQ60430" s="111"/>
      <c r="EF60430"/>
      <c r="EG60430"/>
      <c r="EH60430"/>
      <c r="EI60430"/>
      <c r="EJ60430"/>
      <c r="EK60430"/>
    </row>
    <row r="60431" spans="1:141" s="116" customFormat="1">
      <c r="A60431" s="136"/>
      <c r="CM60431" s="111"/>
      <c r="CQ60431" s="111"/>
      <c r="EF60431"/>
      <c r="EG60431"/>
      <c r="EH60431"/>
      <c r="EI60431"/>
      <c r="EJ60431"/>
      <c r="EK60431"/>
    </row>
    <row r="60432" spans="1:141" s="116" customFormat="1">
      <c r="A60432" s="136"/>
      <c r="CM60432" s="111"/>
      <c r="CQ60432" s="111"/>
      <c r="EF60432"/>
      <c r="EG60432"/>
      <c r="EH60432"/>
      <c r="EI60432"/>
      <c r="EJ60432"/>
      <c r="EK60432"/>
    </row>
    <row r="60433" spans="1:141" s="116" customFormat="1">
      <c r="A60433" s="136"/>
      <c r="CM60433" s="111"/>
      <c r="CQ60433" s="111"/>
      <c r="EF60433"/>
      <c r="EG60433"/>
      <c r="EH60433"/>
      <c r="EI60433"/>
      <c r="EJ60433"/>
      <c r="EK60433"/>
    </row>
    <row r="60434" spans="1:141" s="116" customFormat="1">
      <c r="A60434" s="136"/>
      <c r="CM60434" s="111"/>
      <c r="CQ60434" s="111"/>
      <c r="EF60434"/>
      <c r="EG60434"/>
      <c r="EH60434"/>
      <c r="EI60434"/>
      <c r="EJ60434"/>
      <c r="EK60434"/>
    </row>
    <row r="60435" spans="1:141" s="116" customFormat="1">
      <c r="A60435" s="136"/>
      <c r="CM60435" s="111"/>
      <c r="CQ60435" s="111"/>
      <c r="EF60435"/>
      <c r="EG60435"/>
      <c r="EH60435"/>
      <c r="EI60435"/>
      <c r="EJ60435"/>
      <c r="EK60435"/>
    </row>
    <row r="60436" spans="1:141" s="116" customFormat="1">
      <c r="A60436" s="136"/>
      <c r="CM60436" s="111"/>
      <c r="CQ60436" s="111"/>
      <c r="EF60436"/>
      <c r="EG60436"/>
      <c r="EH60436"/>
      <c r="EI60436"/>
      <c r="EJ60436"/>
      <c r="EK60436"/>
    </row>
    <row r="60437" spans="1:141" s="116" customFormat="1">
      <c r="A60437" s="136"/>
      <c r="CM60437" s="111"/>
      <c r="CQ60437" s="111"/>
      <c r="EF60437"/>
      <c r="EG60437"/>
      <c r="EH60437"/>
      <c r="EI60437"/>
      <c r="EJ60437"/>
      <c r="EK60437"/>
    </row>
    <row r="60438" spans="1:141" s="116" customFormat="1">
      <c r="A60438" s="136"/>
      <c r="CM60438" s="111"/>
      <c r="CQ60438" s="111"/>
      <c r="EF60438"/>
      <c r="EG60438"/>
      <c r="EH60438"/>
      <c r="EI60438"/>
      <c r="EJ60438"/>
      <c r="EK60438"/>
    </row>
    <row r="60439" spans="1:141" s="116" customFormat="1">
      <c r="A60439" s="136"/>
      <c r="CM60439" s="111"/>
      <c r="CQ60439" s="111"/>
      <c r="EF60439"/>
      <c r="EG60439"/>
      <c r="EH60439"/>
      <c r="EI60439"/>
      <c r="EJ60439"/>
      <c r="EK60439"/>
    </row>
    <row r="60440" spans="1:141" s="116" customFormat="1">
      <c r="A60440" s="136"/>
      <c r="CM60440" s="111"/>
      <c r="CQ60440" s="111"/>
      <c r="EF60440"/>
      <c r="EG60440"/>
      <c r="EH60440"/>
      <c r="EI60440"/>
      <c r="EJ60440"/>
      <c r="EK60440"/>
    </row>
    <row r="60441" spans="1:141" s="116" customFormat="1">
      <c r="A60441" s="136"/>
      <c r="CM60441" s="111"/>
      <c r="CQ60441" s="111"/>
      <c r="EF60441"/>
      <c r="EG60441"/>
      <c r="EH60441"/>
      <c r="EI60441"/>
      <c r="EJ60441"/>
      <c r="EK60441"/>
    </row>
    <row r="60442" spans="1:141" s="116" customFormat="1">
      <c r="A60442" s="136"/>
      <c r="CM60442" s="111"/>
      <c r="CQ60442" s="111"/>
      <c r="EF60442"/>
      <c r="EG60442"/>
      <c r="EH60442"/>
      <c r="EI60442"/>
      <c r="EJ60442"/>
      <c r="EK60442"/>
    </row>
    <row r="60443" spans="1:141" s="116" customFormat="1">
      <c r="A60443" s="136"/>
      <c r="CM60443" s="111"/>
      <c r="CQ60443" s="111"/>
      <c r="EF60443"/>
      <c r="EG60443"/>
      <c r="EH60443"/>
      <c r="EI60443"/>
      <c r="EJ60443"/>
      <c r="EK60443"/>
    </row>
    <row r="60444" spans="1:141" s="116" customFormat="1">
      <c r="A60444" s="136"/>
      <c r="CM60444" s="111"/>
      <c r="CQ60444" s="111"/>
      <c r="EF60444"/>
      <c r="EG60444"/>
      <c r="EH60444"/>
      <c r="EI60444"/>
      <c r="EJ60444"/>
      <c r="EK60444"/>
    </row>
    <row r="60445" spans="1:141" s="116" customFormat="1">
      <c r="A60445" s="136"/>
      <c r="CM60445" s="111"/>
      <c r="CQ60445" s="111"/>
      <c r="EF60445"/>
      <c r="EG60445"/>
      <c r="EH60445"/>
      <c r="EI60445"/>
      <c r="EJ60445"/>
      <c r="EK60445"/>
    </row>
    <row r="60446" spans="1:141" s="116" customFormat="1">
      <c r="A60446" s="136"/>
      <c r="CM60446" s="111"/>
      <c r="CQ60446" s="111"/>
      <c r="EF60446"/>
      <c r="EG60446"/>
      <c r="EH60446"/>
      <c r="EI60446"/>
      <c r="EJ60446"/>
      <c r="EK60446"/>
    </row>
    <row r="60447" spans="1:141" s="116" customFormat="1">
      <c r="A60447" s="136"/>
      <c r="CM60447" s="111"/>
      <c r="CQ60447" s="111"/>
      <c r="EF60447"/>
      <c r="EG60447"/>
      <c r="EH60447"/>
      <c r="EI60447"/>
      <c r="EJ60447"/>
      <c r="EK60447"/>
    </row>
    <row r="60448" spans="1:141" s="116" customFormat="1">
      <c r="A60448" s="136"/>
      <c r="CM60448" s="111"/>
      <c r="CQ60448" s="111"/>
      <c r="EF60448"/>
      <c r="EG60448"/>
      <c r="EH60448"/>
      <c r="EI60448"/>
      <c r="EJ60448"/>
      <c r="EK60448"/>
    </row>
    <row r="60449" spans="1:141" s="116" customFormat="1">
      <c r="A60449" s="136"/>
      <c r="CM60449" s="111"/>
      <c r="CQ60449" s="111"/>
      <c r="EF60449"/>
      <c r="EG60449"/>
      <c r="EH60449"/>
      <c r="EI60449"/>
      <c r="EJ60449"/>
      <c r="EK60449"/>
    </row>
    <row r="60450" spans="1:141" s="116" customFormat="1">
      <c r="A60450" s="136"/>
      <c r="CM60450" s="111"/>
      <c r="CQ60450" s="111"/>
      <c r="EF60450"/>
      <c r="EG60450"/>
      <c r="EH60450"/>
      <c r="EI60450"/>
      <c r="EJ60450"/>
      <c r="EK60450"/>
    </row>
    <row r="60451" spans="1:141" s="116" customFormat="1">
      <c r="A60451" s="136"/>
      <c r="CM60451" s="111"/>
      <c r="CQ60451" s="111"/>
      <c r="EF60451"/>
      <c r="EG60451"/>
      <c r="EH60451"/>
      <c r="EI60451"/>
      <c r="EJ60451"/>
      <c r="EK60451"/>
    </row>
    <row r="60452" spans="1:141" s="116" customFormat="1">
      <c r="A60452" s="136"/>
      <c r="CM60452" s="111"/>
      <c r="CQ60452" s="111"/>
      <c r="EF60452"/>
      <c r="EG60452"/>
      <c r="EH60452"/>
      <c r="EI60452"/>
      <c r="EJ60452"/>
      <c r="EK60452"/>
    </row>
    <row r="60453" spans="1:141" s="116" customFormat="1">
      <c r="A60453" s="136"/>
      <c r="CM60453" s="111"/>
      <c r="CQ60453" s="111"/>
      <c r="EF60453"/>
      <c r="EG60453"/>
      <c r="EH60453"/>
      <c r="EI60453"/>
      <c r="EJ60453"/>
      <c r="EK60453"/>
    </row>
    <row r="60454" spans="1:141" s="116" customFormat="1">
      <c r="A60454" s="136"/>
      <c r="CM60454" s="111"/>
      <c r="CQ60454" s="111"/>
      <c r="EF60454"/>
      <c r="EG60454"/>
      <c r="EH60454"/>
      <c r="EI60454"/>
      <c r="EJ60454"/>
      <c r="EK60454"/>
    </row>
    <row r="60455" spans="1:141" s="116" customFormat="1">
      <c r="A60455" s="136"/>
      <c r="CM60455" s="111"/>
      <c r="CQ60455" s="111"/>
      <c r="EF60455"/>
      <c r="EG60455"/>
      <c r="EH60455"/>
      <c r="EI60455"/>
      <c r="EJ60455"/>
      <c r="EK60455"/>
    </row>
    <row r="60456" spans="1:141" s="116" customFormat="1">
      <c r="A60456" s="136"/>
      <c r="CM60456" s="111"/>
      <c r="CQ60456" s="111"/>
      <c r="EF60456"/>
      <c r="EG60456"/>
      <c r="EH60456"/>
      <c r="EI60456"/>
      <c r="EJ60456"/>
      <c r="EK60456"/>
    </row>
    <row r="60457" spans="1:141" s="116" customFormat="1">
      <c r="A60457" s="136"/>
      <c r="CM60457" s="111"/>
      <c r="CQ60457" s="111"/>
      <c r="EF60457"/>
      <c r="EG60457"/>
      <c r="EH60457"/>
      <c r="EI60457"/>
      <c r="EJ60457"/>
      <c r="EK60457"/>
    </row>
    <row r="60458" spans="1:141" s="116" customFormat="1">
      <c r="A60458" s="136"/>
      <c r="CM60458" s="111"/>
      <c r="CQ60458" s="111"/>
      <c r="EF60458"/>
      <c r="EG60458"/>
      <c r="EH60458"/>
      <c r="EI60458"/>
      <c r="EJ60458"/>
      <c r="EK60458"/>
    </row>
    <row r="60459" spans="1:141" s="116" customFormat="1">
      <c r="A60459" s="136"/>
      <c r="CM60459" s="111"/>
      <c r="CQ60459" s="111"/>
      <c r="EF60459"/>
      <c r="EG60459"/>
      <c r="EH60459"/>
      <c r="EI60459"/>
      <c r="EJ60459"/>
      <c r="EK60459"/>
    </row>
    <row r="60460" spans="1:141" s="116" customFormat="1">
      <c r="A60460" s="136"/>
      <c r="CM60460" s="111"/>
      <c r="CQ60460" s="111"/>
      <c r="EF60460"/>
      <c r="EG60460"/>
      <c r="EH60460"/>
      <c r="EI60460"/>
      <c r="EJ60460"/>
      <c r="EK60460"/>
    </row>
    <row r="60461" spans="1:141" s="116" customFormat="1">
      <c r="A60461" s="136"/>
      <c r="CM60461" s="111"/>
      <c r="CQ60461" s="111"/>
      <c r="EF60461"/>
      <c r="EG60461"/>
      <c r="EH60461"/>
      <c r="EI60461"/>
      <c r="EJ60461"/>
      <c r="EK60461"/>
    </row>
    <row r="60462" spans="1:141" s="116" customFormat="1">
      <c r="A60462" s="136"/>
      <c r="CM60462" s="111"/>
      <c r="CQ60462" s="111"/>
      <c r="EF60462"/>
      <c r="EG60462"/>
      <c r="EH60462"/>
      <c r="EI60462"/>
      <c r="EJ60462"/>
      <c r="EK60462"/>
    </row>
    <row r="60463" spans="1:141" s="116" customFormat="1">
      <c r="A60463" s="136"/>
      <c r="CM60463" s="111"/>
      <c r="CQ60463" s="111"/>
      <c r="EF60463"/>
      <c r="EG60463"/>
      <c r="EH60463"/>
      <c r="EI60463"/>
      <c r="EJ60463"/>
      <c r="EK60463"/>
    </row>
    <row r="60464" spans="1:141" s="116" customFormat="1">
      <c r="A60464" s="136"/>
      <c r="CM60464" s="111"/>
      <c r="CQ60464" s="111"/>
      <c r="EF60464"/>
      <c r="EG60464"/>
      <c r="EH60464"/>
      <c r="EI60464"/>
      <c r="EJ60464"/>
      <c r="EK60464"/>
    </row>
    <row r="60465" spans="1:141" s="116" customFormat="1">
      <c r="A60465" s="136"/>
      <c r="CM60465" s="111"/>
      <c r="CQ60465" s="111"/>
      <c r="EF60465"/>
      <c r="EG60465"/>
      <c r="EH60465"/>
      <c r="EI60465"/>
      <c r="EJ60465"/>
      <c r="EK60465"/>
    </row>
    <row r="60466" spans="1:141" s="116" customFormat="1">
      <c r="A60466" s="136"/>
      <c r="CM60466" s="111"/>
      <c r="CQ60466" s="111"/>
      <c r="EF60466"/>
      <c r="EG60466"/>
      <c r="EH60466"/>
      <c r="EI60466"/>
      <c r="EJ60466"/>
      <c r="EK60466"/>
    </row>
    <row r="60467" spans="1:141" s="116" customFormat="1">
      <c r="A60467" s="136"/>
      <c r="CM60467" s="111"/>
      <c r="CQ60467" s="111"/>
      <c r="EF60467"/>
      <c r="EG60467"/>
      <c r="EH60467"/>
      <c r="EI60467"/>
      <c r="EJ60467"/>
      <c r="EK60467"/>
    </row>
    <row r="60468" spans="1:141" s="116" customFormat="1">
      <c r="A60468" s="136"/>
      <c r="CM60468" s="111"/>
      <c r="CQ60468" s="111"/>
      <c r="EF60468"/>
      <c r="EG60468"/>
      <c r="EH60468"/>
      <c r="EI60468"/>
      <c r="EJ60468"/>
      <c r="EK60468"/>
    </row>
    <row r="60469" spans="1:141" s="116" customFormat="1">
      <c r="A60469" s="136"/>
      <c r="CM60469" s="111"/>
      <c r="CQ60469" s="111"/>
      <c r="EF60469"/>
      <c r="EG60469"/>
      <c r="EH60469"/>
      <c r="EI60469"/>
      <c r="EJ60469"/>
      <c r="EK60469"/>
    </row>
    <row r="60470" spans="1:141" s="116" customFormat="1">
      <c r="A60470" s="136"/>
      <c r="CM60470" s="111"/>
      <c r="CQ60470" s="111"/>
      <c r="EF60470"/>
      <c r="EG60470"/>
      <c r="EH60470"/>
      <c r="EI60470"/>
      <c r="EJ60470"/>
      <c r="EK60470"/>
    </row>
    <row r="60471" spans="1:141" s="116" customFormat="1">
      <c r="A60471" s="136"/>
      <c r="CM60471" s="111"/>
      <c r="CQ60471" s="111"/>
      <c r="EF60471"/>
      <c r="EG60471"/>
      <c r="EH60471"/>
      <c r="EI60471"/>
      <c r="EJ60471"/>
      <c r="EK60471"/>
    </row>
    <row r="60472" spans="1:141" s="116" customFormat="1">
      <c r="A60472" s="136"/>
      <c r="CM60472" s="111"/>
      <c r="CQ60472" s="111"/>
      <c r="EF60472"/>
      <c r="EG60472"/>
      <c r="EH60472"/>
      <c r="EI60472"/>
      <c r="EJ60472"/>
      <c r="EK60472"/>
    </row>
    <row r="60473" spans="1:141" s="116" customFormat="1">
      <c r="A60473" s="136"/>
      <c r="CM60473" s="111"/>
      <c r="CQ60473" s="111"/>
      <c r="EF60473"/>
      <c r="EG60473"/>
      <c r="EH60473"/>
      <c r="EI60473"/>
      <c r="EJ60473"/>
      <c r="EK60473"/>
    </row>
    <row r="60474" spans="1:141" s="116" customFormat="1">
      <c r="A60474" s="136"/>
      <c r="CM60474" s="111"/>
      <c r="CQ60474" s="111"/>
      <c r="EF60474"/>
      <c r="EG60474"/>
      <c r="EH60474"/>
      <c r="EI60474"/>
      <c r="EJ60474"/>
      <c r="EK60474"/>
    </row>
    <row r="60475" spans="1:141" s="116" customFormat="1">
      <c r="A60475" s="136"/>
      <c r="CM60475" s="111"/>
      <c r="CQ60475" s="111"/>
      <c r="EF60475"/>
      <c r="EG60475"/>
      <c r="EH60475"/>
      <c r="EI60475"/>
      <c r="EJ60475"/>
      <c r="EK60475"/>
    </row>
    <row r="60476" spans="1:141" s="116" customFormat="1">
      <c r="A60476" s="136"/>
      <c r="CM60476" s="111"/>
      <c r="CQ60476" s="111"/>
      <c r="EF60476"/>
      <c r="EG60476"/>
      <c r="EH60476"/>
      <c r="EI60476"/>
      <c r="EJ60476"/>
      <c r="EK60476"/>
    </row>
    <row r="60477" spans="1:141" s="116" customFormat="1">
      <c r="A60477" s="136"/>
      <c r="CM60477" s="111"/>
      <c r="CQ60477" s="111"/>
      <c r="EF60477"/>
      <c r="EG60477"/>
      <c r="EH60477"/>
      <c r="EI60477"/>
      <c r="EJ60477"/>
      <c r="EK60477"/>
    </row>
    <row r="60478" spans="1:141" s="116" customFormat="1">
      <c r="A60478" s="136"/>
      <c r="CM60478" s="111"/>
      <c r="CQ60478" s="111"/>
      <c r="EF60478"/>
      <c r="EG60478"/>
      <c r="EH60478"/>
      <c r="EI60478"/>
      <c r="EJ60478"/>
      <c r="EK60478"/>
    </row>
    <row r="60479" spans="1:141" s="116" customFormat="1">
      <c r="A60479" s="136"/>
      <c r="CM60479" s="111"/>
      <c r="CQ60479" s="111"/>
      <c r="EF60479"/>
      <c r="EG60479"/>
      <c r="EH60479"/>
      <c r="EI60479"/>
      <c r="EJ60479"/>
      <c r="EK60479"/>
    </row>
    <row r="60480" spans="1:141" s="116" customFormat="1">
      <c r="A60480" s="136"/>
      <c r="CM60480" s="111"/>
      <c r="CQ60480" s="111"/>
      <c r="EF60480"/>
      <c r="EG60480"/>
      <c r="EH60480"/>
      <c r="EI60480"/>
      <c r="EJ60480"/>
      <c r="EK60480"/>
    </row>
    <row r="60481" spans="1:141" s="116" customFormat="1">
      <c r="A60481" s="136"/>
      <c r="CM60481" s="111"/>
      <c r="CQ60481" s="111"/>
      <c r="EF60481"/>
      <c r="EG60481"/>
      <c r="EH60481"/>
      <c r="EI60481"/>
      <c r="EJ60481"/>
      <c r="EK60481"/>
    </row>
    <row r="60482" spans="1:141" s="116" customFormat="1">
      <c r="A60482" s="136"/>
      <c r="CM60482" s="111"/>
      <c r="CQ60482" s="111"/>
      <c r="EF60482"/>
      <c r="EG60482"/>
      <c r="EH60482"/>
      <c r="EI60482"/>
      <c r="EJ60482"/>
      <c r="EK60482"/>
    </row>
    <row r="60483" spans="1:141" s="116" customFormat="1">
      <c r="A60483" s="136"/>
      <c r="CM60483" s="111"/>
      <c r="CQ60483" s="111"/>
      <c r="EF60483"/>
      <c r="EG60483"/>
      <c r="EH60483"/>
      <c r="EI60483"/>
      <c r="EJ60483"/>
      <c r="EK60483"/>
    </row>
    <row r="60484" spans="1:141" s="116" customFormat="1">
      <c r="A60484" s="136"/>
      <c r="CM60484" s="111"/>
      <c r="CQ60484" s="111"/>
      <c r="EF60484"/>
      <c r="EG60484"/>
      <c r="EH60484"/>
      <c r="EI60484"/>
      <c r="EJ60484"/>
      <c r="EK60484"/>
    </row>
    <row r="60485" spans="1:141" s="116" customFormat="1">
      <c r="A60485" s="136"/>
      <c r="CM60485" s="111"/>
      <c r="CQ60485" s="111"/>
      <c r="EF60485"/>
      <c r="EG60485"/>
      <c r="EH60485"/>
      <c r="EI60485"/>
      <c r="EJ60485"/>
      <c r="EK60485"/>
    </row>
    <row r="60486" spans="1:141" s="116" customFormat="1">
      <c r="A60486" s="136"/>
      <c r="CM60486" s="111"/>
      <c r="CQ60486" s="111"/>
      <c r="EF60486"/>
      <c r="EG60486"/>
      <c r="EH60486"/>
      <c r="EI60486"/>
      <c r="EJ60486"/>
      <c r="EK60486"/>
    </row>
    <row r="60487" spans="1:141" s="116" customFormat="1">
      <c r="A60487" s="136"/>
      <c r="CM60487" s="111"/>
      <c r="CQ60487" s="111"/>
      <c r="EF60487"/>
      <c r="EG60487"/>
      <c r="EH60487"/>
      <c r="EI60487"/>
      <c r="EJ60487"/>
      <c r="EK60487"/>
    </row>
    <row r="60488" spans="1:141" s="116" customFormat="1">
      <c r="A60488" s="136"/>
      <c r="CM60488" s="111"/>
      <c r="CQ60488" s="111"/>
      <c r="EF60488"/>
      <c r="EG60488"/>
      <c r="EH60488"/>
      <c r="EI60488"/>
      <c r="EJ60488"/>
      <c r="EK60488"/>
    </row>
    <row r="60489" spans="1:141" s="116" customFormat="1">
      <c r="A60489" s="136"/>
      <c r="CM60489" s="111"/>
      <c r="CQ60489" s="111"/>
      <c r="EF60489"/>
      <c r="EG60489"/>
      <c r="EH60489"/>
      <c r="EI60489"/>
      <c r="EJ60489"/>
      <c r="EK60489"/>
    </row>
    <row r="60490" spans="1:141" s="116" customFormat="1">
      <c r="A60490" s="136"/>
      <c r="CM60490" s="111"/>
      <c r="CQ60490" s="111"/>
      <c r="EF60490"/>
      <c r="EG60490"/>
      <c r="EH60490"/>
      <c r="EI60490"/>
      <c r="EJ60490"/>
      <c r="EK60490"/>
    </row>
    <row r="60491" spans="1:141" s="116" customFormat="1">
      <c r="A60491" s="136"/>
      <c r="CM60491" s="111"/>
      <c r="CQ60491" s="111"/>
      <c r="EF60491"/>
      <c r="EG60491"/>
      <c r="EH60491"/>
      <c r="EI60491"/>
      <c r="EJ60491"/>
      <c r="EK60491"/>
    </row>
    <row r="60492" spans="1:141" s="116" customFormat="1">
      <c r="A60492" s="136"/>
      <c r="CM60492" s="111"/>
      <c r="CQ60492" s="111"/>
      <c r="EF60492"/>
      <c r="EG60492"/>
      <c r="EH60492"/>
      <c r="EI60492"/>
      <c r="EJ60492"/>
      <c r="EK60492"/>
    </row>
    <row r="60493" spans="1:141" s="116" customFormat="1">
      <c r="A60493" s="136"/>
      <c r="CM60493" s="111"/>
      <c r="CQ60493" s="111"/>
      <c r="EF60493"/>
      <c r="EG60493"/>
      <c r="EH60493"/>
      <c r="EI60493"/>
      <c r="EJ60493"/>
      <c r="EK60493"/>
    </row>
    <row r="60494" spans="1:141" s="116" customFormat="1">
      <c r="A60494" s="136"/>
      <c r="CM60494" s="111"/>
      <c r="CQ60494" s="111"/>
      <c r="EF60494"/>
      <c r="EG60494"/>
      <c r="EH60494"/>
      <c r="EI60494"/>
      <c r="EJ60494"/>
      <c r="EK60494"/>
    </row>
    <row r="60495" spans="1:141" s="116" customFormat="1">
      <c r="A60495" s="136"/>
      <c r="CM60495" s="111"/>
      <c r="CQ60495" s="111"/>
      <c r="EF60495"/>
      <c r="EG60495"/>
      <c r="EH60495"/>
      <c r="EI60495"/>
      <c r="EJ60495"/>
      <c r="EK60495"/>
    </row>
    <row r="60496" spans="1:141" s="116" customFormat="1">
      <c r="A60496" s="136"/>
      <c r="CM60496" s="111"/>
      <c r="CQ60496" s="111"/>
      <c r="EF60496"/>
      <c r="EG60496"/>
      <c r="EH60496"/>
      <c r="EI60496"/>
      <c r="EJ60496"/>
      <c r="EK60496"/>
    </row>
    <row r="60497" spans="1:141" s="116" customFormat="1">
      <c r="A60497" s="136"/>
      <c r="CM60497" s="111"/>
      <c r="CQ60497" s="111"/>
      <c r="EF60497"/>
      <c r="EG60497"/>
      <c r="EH60497"/>
      <c r="EI60497"/>
      <c r="EJ60497"/>
      <c r="EK60497"/>
    </row>
    <row r="60498" spans="1:141" s="116" customFormat="1">
      <c r="A60498" s="136"/>
      <c r="CM60498" s="111"/>
      <c r="CQ60498" s="111"/>
      <c r="EF60498"/>
      <c r="EG60498"/>
      <c r="EH60498"/>
      <c r="EI60498"/>
      <c r="EJ60498"/>
      <c r="EK60498"/>
    </row>
    <row r="60499" spans="1:141" s="116" customFormat="1">
      <c r="A60499" s="136"/>
      <c r="CM60499" s="111"/>
      <c r="CQ60499" s="111"/>
      <c r="EF60499"/>
      <c r="EG60499"/>
      <c r="EH60499"/>
      <c r="EI60499"/>
      <c r="EJ60499"/>
      <c r="EK60499"/>
    </row>
    <row r="60500" spans="1:141" s="116" customFormat="1">
      <c r="A60500" s="136"/>
      <c r="CM60500" s="111"/>
      <c r="CQ60500" s="111"/>
      <c r="EF60500"/>
      <c r="EG60500"/>
      <c r="EH60500"/>
      <c r="EI60500"/>
      <c r="EJ60500"/>
      <c r="EK60500"/>
    </row>
    <row r="60501" spans="1:141" s="116" customFormat="1">
      <c r="A60501" s="136"/>
      <c r="CM60501" s="111"/>
      <c r="CQ60501" s="111"/>
      <c r="EF60501"/>
      <c r="EG60501"/>
      <c r="EH60501"/>
      <c r="EI60501"/>
      <c r="EJ60501"/>
      <c r="EK60501"/>
    </row>
    <row r="60502" spans="1:141" s="116" customFormat="1">
      <c r="A60502" s="136"/>
      <c r="CM60502" s="111"/>
      <c r="CQ60502" s="111"/>
      <c r="EF60502"/>
      <c r="EG60502"/>
      <c r="EH60502"/>
      <c r="EI60502"/>
      <c r="EJ60502"/>
      <c r="EK60502"/>
    </row>
    <row r="60503" spans="1:141" s="116" customFormat="1">
      <c r="A60503" s="136"/>
      <c r="CM60503" s="111"/>
      <c r="CQ60503" s="111"/>
      <c r="EF60503"/>
      <c r="EG60503"/>
      <c r="EH60503"/>
      <c r="EI60503"/>
      <c r="EJ60503"/>
      <c r="EK60503"/>
    </row>
    <row r="60504" spans="1:141" s="116" customFormat="1">
      <c r="A60504" s="136"/>
      <c r="CM60504" s="111"/>
      <c r="CQ60504" s="111"/>
      <c r="EF60504"/>
      <c r="EG60504"/>
      <c r="EH60504"/>
      <c r="EI60504"/>
      <c r="EJ60504"/>
      <c r="EK60504"/>
    </row>
    <row r="60505" spans="1:141" s="116" customFormat="1">
      <c r="A60505" s="136"/>
      <c r="CM60505" s="111"/>
      <c r="CQ60505" s="111"/>
      <c r="EF60505"/>
      <c r="EG60505"/>
      <c r="EH60505"/>
      <c r="EI60505"/>
      <c r="EJ60505"/>
      <c r="EK60505"/>
    </row>
    <row r="60506" spans="1:141" s="116" customFormat="1">
      <c r="A60506" s="136"/>
      <c r="CM60506" s="111"/>
      <c r="CQ60506" s="111"/>
      <c r="EF60506"/>
      <c r="EG60506"/>
      <c r="EH60506"/>
      <c r="EI60506"/>
      <c r="EJ60506"/>
      <c r="EK60506"/>
    </row>
    <row r="60507" spans="1:141" s="116" customFormat="1">
      <c r="A60507" s="136"/>
      <c r="CM60507" s="111"/>
      <c r="CQ60507" s="111"/>
      <c r="EF60507"/>
      <c r="EG60507"/>
      <c r="EH60507"/>
      <c r="EI60507"/>
      <c r="EJ60507"/>
      <c r="EK60507"/>
    </row>
    <row r="60508" spans="1:141" s="116" customFormat="1">
      <c r="A60508" s="136"/>
      <c r="CM60508" s="111"/>
      <c r="CQ60508" s="111"/>
      <c r="EF60508"/>
      <c r="EG60508"/>
      <c r="EH60508"/>
      <c r="EI60508"/>
      <c r="EJ60508"/>
      <c r="EK60508"/>
    </row>
    <row r="60509" spans="1:141" s="116" customFormat="1">
      <c r="A60509" s="136"/>
      <c r="CM60509" s="111"/>
      <c r="CQ60509" s="111"/>
      <c r="EF60509"/>
      <c r="EG60509"/>
      <c r="EH60509"/>
      <c r="EI60509"/>
      <c r="EJ60509"/>
      <c r="EK60509"/>
    </row>
    <row r="60510" spans="1:141" s="116" customFormat="1">
      <c r="A60510" s="136"/>
      <c r="CM60510" s="111"/>
      <c r="CQ60510" s="111"/>
      <c r="EF60510"/>
      <c r="EG60510"/>
      <c r="EH60510"/>
      <c r="EI60510"/>
      <c r="EJ60510"/>
      <c r="EK60510"/>
    </row>
    <row r="60511" spans="1:141" s="116" customFormat="1">
      <c r="A60511" s="136"/>
      <c r="CM60511" s="111"/>
      <c r="CQ60511" s="111"/>
      <c r="EF60511"/>
      <c r="EG60511"/>
      <c r="EH60511"/>
      <c r="EI60511"/>
      <c r="EJ60511"/>
      <c r="EK60511"/>
    </row>
    <row r="60512" spans="1:141" s="116" customFormat="1">
      <c r="A60512" s="136"/>
      <c r="CM60512" s="111"/>
      <c r="CQ60512" s="111"/>
      <c r="EF60512"/>
      <c r="EG60512"/>
      <c r="EH60512"/>
      <c r="EI60512"/>
      <c r="EJ60512"/>
      <c r="EK60512"/>
    </row>
    <row r="60513" spans="1:141" s="116" customFormat="1">
      <c r="A60513" s="136"/>
      <c r="CM60513" s="111"/>
      <c r="CQ60513" s="111"/>
      <c r="EF60513"/>
      <c r="EG60513"/>
      <c r="EH60513"/>
      <c r="EI60513"/>
      <c r="EJ60513"/>
      <c r="EK60513"/>
    </row>
    <row r="60514" spans="1:141" s="116" customFormat="1">
      <c r="A60514" s="136"/>
      <c r="CM60514" s="111"/>
      <c r="CQ60514" s="111"/>
      <c r="EF60514"/>
      <c r="EG60514"/>
      <c r="EH60514"/>
      <c r="EI60514"/>
      <c r="EJ60514"/>
      <c r="EK60514"/>
    </row>
    <row r="60515" spans="1:141" s="116" customFormat="1">
      <c r="A60515" s="136"/>
      <c r="CM60515" s="111"/>
      <c r="CQ60515" s="111"/>
      <c r="EF60515"/>
      <c r="EG60515"/>
      <c r="EH60515"/>
      <c r="EI60515"/>
      <c r="EJ60515"/>
      <c r="EK60515"/>
    </row>
    <row r="60516" spans="1:141" s="116" customFormat="1">
      <c r="A60516" s="136"/>
      <c r="CM60516" s="111"/>
      <c r="CQ60516" s="111"/>
      <c r="EF60516"/>
      <c r="EG60516"/>
      <c r="EH60516"/>
      <c r="EI60516"/>
      <c r="EJ60516"/>
      <c r="EK60516"/>
    </row>
    <row r="60517" spans="1:141" s="116" customFormat="1">
      <c r="A60517" s="136"/>
      <c r="CM60517" s="111"/>
      <c r="CQ60517" s="111"/>
      <c r="EF60517"/>
      <c r="EG60517"/>
      <c r="EH60517"/>
      <c r="EI60517"/>
      <c r="EJ60517"/>
      <c r="EK60517"/>
    </row>
    <row r="60518" spans="1:141" s="116" customFormat="1">
      <c r="A60518" s="136"/>
      <c r="CM60518" s="111"/>
      <c r="CQ60518" s="111"/>
      <c r="EF60518"/>
      <c r="EG60518"/>
      <c r="EH60518"/>
      <c r="EI60518"/>
      <c r="EJ60518"/>
      <c r="EK60518"/>
    </row>
    <row r="60519" spans="1:141" s="116" customFormat="1">
      <c r="A60519" s="136"/>
      <c r="CM60519" s="111"/>
      <c r="CQ60519" s="111"/>
      <c r="EF60519"/>
      <c r="EG60519"/>
      <c r="EH60519"/>
      <c r="EI60519"/>
      <c r="EJ60519"/>
      <c r="EK60519"/>
    </row>
    <row r="60520" spans="1:141" s="116" customFormat="1">
      <c r="A60520" s="136"/>
      <c r="CM60520" s="111"/>
      <c r="CQ60520" s="111"/>
      <c r="EF60520"/>
      <c r="EG60520"/>
      <c r="EH60520"/>
      <c r="EI60520"/>
      <c r="EJ60520"/>
      <c r="EK60520"/>
    </row>
    <row r="60521" spans="1:141" s="116" customFormat="1">
      <c r="A60521" s="136"/>
      <c r="CM60521" s="111"/>
      <c r="CQ60521" s="111"/>
      <c r="EF60521"/>
      <c r="EG60521"/>
      <c r="EH60521"/>
      <c r="EI60521"/>
      <c r="EJ60521"/>
      <c r="EK60521"/>
    </row>
    <row r="60522" spans="1:141" s="116" customFormat="1">
      <c r="A60522" s="136"/>
      <c r="CM60522" s="111"/>
      <c r="CQ60522" s="111"/>
      <c r="EF60522"/>
      <c r="EG60522"/>
      <c r="EH60522"/>
      <c r="EI60522"/>
      <c r="EJ60522"/>
      <c r="EK60522"/>
    </row>
    <row r="60523" spans="1:141" s="116" customFormat="1">
      <c r="A60523" s="136"/>
      <c r="CM60523" s="111"/>
      <c r="CQ60523" s="111"/>
      <c r="EF60523"/>
      <c r="EG60523"/>
      <c r="EH60523"/>
      <c r="EI60523"/>
      <c r="EJ60523"/>
      <c r="EK60523"/>
    </row>
    <row r="60524" spans="1:141" s="116" customFormat="1">
      <c r="A60524" s="136"/>
      <c r="CM60524" s="111"/>
      <c r="CQ60524" s="111"/>
      <c r="EF60524"/>
      <c r="EG60524"/>
      <c r="EH60524"/>
      <c r="EI60524"/>
      <c r="EJ60524"/>
      <c r="EK60524"/>
    </row>
    <row r="60525" spans="1:141" s="116" customFormat="1">
      <c r="A60525" s="136"/>
      <c r="CM60525" s="111"/>
      <c r="CQ60525" s="111"/>
      <c r="EF60525"/>
      <c r="EG60525"/>
      <c r="EH60525"/>
      <c r="EI60525"/>
      <c r="EJ60525"/>
      <c r="EK60525"/>
    </row>
    <row r="60526" spans="1:141" s="116" customFormat="1">
      <c r="A60526" s="136"/>
      <c r="CM60526" s="111"/>
      <c r="CQ60526" s="111"/>
      <c r="EF60526"/>
      <c r="EG60526"/>
      <c r="EH60526"/>
      <c r="EI60526"/>
      <c r="EJ60526"/>
      <c r="EK60526"/>
    </row>
    <row r="60527" spans="1:141" s="116" customFormat="1">
      <c r="A60527" s="136"/>
      <c r="CM60527" s="111"/>
      <c r="CQ60527" s="111"/>
      <c r="EF60527"/>
      <c r="EG60527"/>
      <c r="EH60527"/>
      <c r="EI60527"/>
      <c r="EJ60527"/>
      <c r="EK60527"/>
    </row>
    <row r="60528" spans="1:141" s="116" customFormat="1">
      <c r="A60528" s="136"/>
      <c r="CM60528" s="111"/>
      <c r="CQ60528" s="111"/>
      <c r="EF60528"/>
      <c r="EG60528"/>
      <c r="EH60528"/>
      <c r="EI60528"/>
      <c r="EJ60528"/>
      <c r="EK60528"/>
    </row>
    <row r="60529" spans="1:141" s="116" customFormat="1">
      <c r="A60529" s="136"/>
      <c r="CM60529" s="111"/>
      <c r="CQ60529" s="111"/>
      <c r="EF60529"/>
      <c r="EG60529"/>
      <c r="EH60529"/>
      <c r="EI60529"/>
      <c r="EJ60529"/>
      <c r="EK60529"/>
    </row>
    <row r="60530" spans="1:141" s="116" customFormat="1">
      <c r="A60530" s="136"/>
      <c r="CM60530" s="111"/>
      <c r="CQ60530" s="111"/>
      <c r="EF60530"/>
      <c r="EG60530"/>
      <c r="EH60530"/>
      <c r="EI60530"/>
      <c r="EJ60530"/>
      <c r="EK60530"/>
    </row>
    <row r="60531" spans="1:141" s="116" customFormat="1">
      <c r="A60531" s="136"/>
      <c r="CM60531" s="111"/>
      <c r="CQ60531" s="111"/>
      <c r="EF60531"/>
      <c r="EG60531"/>
      <c r="EH60531"/>
      <c r="EI60531"/>
      <c r="EJ60531"/>
      <c r="EK60531"/>
    </row>
    <row r="60532" spans="1:141" s="116" customFormat="1">
      <c r="A60532" s="136"/>
      <c r="CM60532" s="111"/>
      <c r="CQ60532" s="111"/>
      <c r="EF60532"/>
      <c r="EG60532"/>
      <c r="EH60532"/>
      <c r="EI60532"/>
      <c r="EJ60532"/>
      <c r="EK60532"/>
    </row>
    <row r="60533" spans="1:141" s="116" customFormat="1">
      <c r="A60533" s="136"/>
      <c r="CM60533" s="111"/>
      <c r="CQ60533" s="111"/>
      <c r="EF60533"/>
      <c r="EG60533"/>
      <c r="EH60533"/>
      <c r="EI60533"/>
      <c r="EJ60533"/>
      <c r="EK60533"/>
    </row>
    <row r="60534" spans="1:141" s="116" customFormat="1">
      <c r="A60534" s="136"/>
      <c r="CM60534" s="111"/>
      <c r="CQ60534" s="111"/>
      <c r="EF60534"/>
      <c r="EG60534"/>
      <c r="EH60534"/>
      <c r="EI60534"/>
      <c r="EJ60534"/>
      <c r="EK60534"/>
    </row>
    <row r="60535" spans="1:141" s="116" customFormat="1">
      <c r="A60535" s="136"/>
      <c r="CM60535" s="111"/>
      <c r="CQ60535" s="111"/>
      <c r="EF60535"/>
      <c r="EG60535"/>
      <c r="EH60535"/>
      <c r="EI60535"/>
      <c r="EJ60535"/>
      <c r="EK60535"/>
    </row>
    <row r="60536" spans="1:141" s="116" customFormat="1">
      <c r="A60536" s="136"/>
      <c r="CM60536" s="111"/>
      <c r="CQ60536" s="111"/>
      <c r="EF60536"/>
      <c r="EG60536"/>
      <c r="EH60536"/>
      <c r="EI60536"/>
      <c r="EJ60536"/>
      <c r="EK60536"/>
    </row>
    <row r="60537" spans="1:141" s="116" customFormat="1">
      <c r="A60537" s="136"/>
      <c r="CM60537" s="111"/>
      <c r="CQ60537" s="111"/>
      <c r="EF60537"/>
      <c r="EG60537"/>
      <c r="EH60537"/>
      <c r="EI60537"/>
      <c r="EJ60537"/>
      <c r="EK60537"/>
    </row>
    <row r="60538" spans="1:141" s="116" customFormat="1">
      <c r="A60538" s="136"/>
      <c r="CM60538" s="111"/>
      <c r="CQ60538" s="111"/>
      <c r="EF60538"/>
      <c r="EG60538"/>
      <c r="EH60538"/>
      <c r="EI60538"/>
      <c r="EJ60538"/>
      <c r="EK60538"/>
    </row>
    <row r="60539" spans="1:141" s="116" customFormat="1">
      <c r="A60539" s="136"/>
      <c r="CM60539" s="111"/>
      <c r="CQ60539" s="111"/>
      <c r="EF60539"/>
      <c r="EG60539"/>
      <c r="EH60539"/>
      <c r="EI60539"/>
      <c r="EJ60539"/>
      <c r="EK60539"/>
    </row>
    <row r="60540" spans="1:141" s="116" customFormat="1">
      <c r="A60540" s="136"/>
      <c r="CM60540" s="111"/>
      <c r="CQ60540" s="111"/>
      <c r="EF60540"/>
      <c r="EG60540"/>
      <c r="EH60540"/>
      <c r="EI60540"/>
      <c r="EJ60540"/>
      <c r="EK60540"/>
    </row>
    <row r="60541" spans="1:141" s="116" customFormat="1">
      <c r="A60541" s="136"/>
      <c r="CM60541" s="111"/>
      <c r="CQ60541" s="111"/>
      <c r="EF60541"/>
      <c r="EG60541"/>
      <c r="EH60541"/>
      <c r="EI60541"/>
      <c r="EJ60541"/>
      <c r="EK60541"/>
    </row>
    <row r="60542" spans="1:141" s="116" customFormat="1">
      <c r="A60542" s="136"/>
      <c r="CM60542" s="111"/>
      <c r="CQ60542" s="111"/>
      <c r="EF60542"/>
      <c r="EG60542"/>
      <c r="EH60542"/>
      <c r="EI60542"/>
      <c r="EJ60542"/>
      <c r="EK60542"/>
    </row>
    <row r="60543" spans="1:141" s="116" customFormat="1">
      <c r="A60543" s="136"/>
      <c r="CM60543" s="111"/>
      <c r="CQ60543" s="111"/>
      <c r="EF60543"/>
      <c r="EG60543"/>
      <c r="EH60543"/>
      <c r="EI60543"/>
      <c r="EJ60543"/>
      <c r="EK60543"/>
    </row>
    <row r="60544" spans="1:141" s="116" customFormat="1">
      <c r="A60544" s="136"/>
      <c r="CM60544" s="111"/>
      <c r="CQ60544" s="111"/>
      <c r="EF60544"/>
      <c r="EG60544"/>
      <c r="EH60544"/>
      <c r="EI60544"/>
      <c r="EJ60544"/>
      <c r="EK60544"/>
    </row>
    <row r="60545" spans="1:141" s="116" customFormat="1">
      <c r="A60545" s="136"/>
      <c r="CM60545" s="111"/>
      <c r="CQ60545" s="111"/>
      <c r="EF60545"/>
      <c r="EG60545"/>
      <c r="EH60545"/>
      <c r="EI60545"/>
      <c r="EJ60545"/>
      <c r="EK60545"/>
    </row>
    <row r="60546" spans="1:141" s="116" customFormat="1">
      <c r="A60546" s="136"/>
      <c r="CM60546" s="111"/>
      <c r="CQ60546" s="111"/>
      <c r="EF60546"/>
      <c r="EG60546"/>
      <c r="EH60546"/>
      <c r="EI60546"/>
      <c r="EJ60546"/>
      <c r="EK60546"/>
    </row>
    <row r="60547" spans="1:141" s="116" customFormat="1">
      <c r="A60547" s="136"/>
      <c r="CM60547" s="111"/>
      <c r="CQ60547" s="111"/>
      <c r="EF60547"/>
      <c r="EG60547"/>
      <c r="EH60547"/>
      <c r="EI60547"/>
      <c r="EJ60547"/>
      <c r="EK60547"/>
    </row>
    <row r="60548" spans="1:141" s="116" customFormat="1">
      <c r="A60548" s="136"/>
      <c r="CM60548" s="111"/>
      <c r="CQ60548" s="111"/>
      <c r="EF60548"/>
      <c r="EG60548"/>
      <c r="EH60548"/>
      <c r="EI60548"/>
      <c r="EJ60548"/>
      <c r="EK60548"/>
    </row>
    <row r="60549" spans="1:141" s="116" customFormat="1">
      <c r="A60549" s="136"/>
      <c r="CM60549" s="111"/>
      <c r="CQ60549" s="111"/>
      <c r="EF60549"/>
      <c r="EG60549"/>
      <c r="EH60549"/>
      <c r="EI60549"/>
      <c r="EJ60549"/>
      <c r="EK60549"/>
    </row>
    <row r="60550" spans="1:141" s="116" customFormat="1">
      <c r="A60550" s="136"/>
      <c r="CM60550" s="111"/>
      <c r="CQ60550" s="111"/>
      <c r="EF60550"/>
      <c r="EG60550"/>
      <c r="EH60550"/>
      <c r="EI60550"/>
      <c r="EJ60550"/>
      <c r="EK60550"/>
    </row>
    <row r="60551" spans="1:141" s="116" customFormat="1">
      <c r="A60551" s="136"/>
      <c r="CM60551" s="111"/>
      <c r="CQ60551" s="111"/>
      <c r="EF60551"/>
      <c r="EG60551"/>
      <c r="EH60551"/>
      <c r="EI60551"/>
      <c r="EJ60551"/>
      <c r="EK60551"/>
    </row>
    <row r="60552" spans="1:141" s="116" customFormat="1">
      <c r="A60552" s="136"/>
      <c r="CM60552" s="111"/>
      <c r="CQ60552" s="111"/>
      <c r="EF60552"/>
      <c r="EG60552"/>
      <c r="EH60552"/>
      <c r="EI60552"/>
      <c r="EJ60552"/>
      <c r="EK60552"/>
    </row>
    <row r="60553" spans="1:141" s="116" customFormat="1">
      <c r="A60553" s="136"/>
      <c r="CM60553" s="111"/>
      <c r="CQ60553" s="111"/>
      <c r="EF60553"/>
      <c r="EG60553"/>
      <c r="EH60553"/>
      <c r="EI60553"/>
      <c r="EJ60553"/>
      <c r="EK60553"/>
    </row>
    <row r="60554" spans="1:141" s="116" customFormat="1">
      <c r="A60554" s="136"/>
      <c r="CM60554" s="111"/>
      <c r="CQ60554" s="111"/>
      <c r="EF60554"/>
      <c r="EG60554"/>
      <c r="EH60554"/>
      <c r="EI60554"/>
      <c r="EJ60554"/>
      <c r="EK60554"/>
    </row>
    <row r="60555" spans="1:141" s="116" customFormat="1">
      <c r="A60555" s="136"/>
      <c r="CM60555" s="111"/>
      <c r="CQ60555" s="111"/>
      <c r="EF60555"/>
      <c r="EG60555"/>
      <c r="EH60555"/>
      <c r="EI60555"/>
      <c r="EJ60555"/>
      <c r="EK60555"/>
    </row>
    <row r="60556" spans="1:141" s="116" customFormat="1">
      <c r="A60556" s="136"/>
      <c r="CM60556" s="111"/>
      <c r="CQ60556" s="111"/>
      <c r="EF60556"/>
      <c r="EG60556"/>
      <c r="EH60556"/>
      <c r="EI60556"/>
      <c r="EJ60556"/>
      <c r="EK60556"/>
    </row>
    <row r="60557" spans="1:141" s="116" customFormat="1">
      <c r="A60557" s="136"/>
      <c r="CM60557" s="111"/>
      <c r="CQ60557" s="111"/>
      <c r="EF60557"/>
      <c r="EG60557"/>
      <c r="EH60557"/>
      <c r="EI60557"/>
      <c r="EJ60557"/>
      <c r="EK60557"/>
    </row>
    <row r="60558" spans="1:141" s="116" customFormat="1">
      <c r="A60558" s="136"/>
      <c r="CM60558" s="111"/>
      <c r="CQ60558" s="111"/>
      <c r="EF60558"/>
      <c r="EG60558"/>
      <c r="EH60558"/>
      <c r="EI60558"/>
      <c r="EJ60558"/>
      <c r="EK60558"/>
    </row>
    <row r="60559" spans="1:141" s="116" customFormat="1">
      <c r="A60559" s="136"/>
      <c r="CM60559" s="111"/>
      <c r="CQ60559" s="111"/>
      <c r="EF60559"/>
      <c r="EG60559"/>
      <c r="EH60559"/>
      <c r="EI60559"/>
      <c r="EJ60559"/>
      <c r="EK60559"/>
    </row>
    <row r="60560" spans="1:141" s="116" customFormat="1">
      <c r="A60560" s="136"/>
      <c r="CM60560" s="111"/>
      <c r="CQ60560" s="111"/>
      <c r="EF60560"/>
      <c r="EG60560"/>
      <c r="EH60560"/>
      <c r="EI60560"/>
      <c r="EJ60560"/>
      <c r="EK60560"/>
    </row>
    <row r="60561" spans="1:141" s="116" customFormat="1">
      <c r="A60561" s="136"/>
      <c r="CM60561" s="111"/>
      <c r="CQ60561" s="111"/>
      <c r="EF60561"/>
      <c r="EG60561"/>
      <c r="EH60561"/>
      <c r="EI60561"/>
      <c r="EJ60561"/>
      <c r="EK60561"/>
    </row>
    <row r="60562" spans="1:141" s="116" customFormat="1">
      <c r="A60562" s="136"/>
      <c r="CM60562" s="111"/>
      <c r="CQ60562" s="111"/>
      <c r="EF60562"/>
      <c r="EG60562"/>
      <c r="EH60562"/>
      <c r="EI60562"/>
      <c r="EJ60562"/>
      <c r="EK60562"/>
    </row>
    <row r="60563" spans="1:141" s="116" customFormat="1">
      <c r="A60563" s="136"/>
      <c r="CM60563" s="111"/>
      <c r="CQ60563" s="111"/>
      <c r="EF60563"/>
      <c r="EG60563"/>
      <c r="EH60563"/>
      <c r="EI60563"/>
      <c r="EJ60563"/>
      <c r="EK60563"/>
    </row>
    <row r="60564" spans="1:141" s="116" customFormat="1">
      <c r="A60564" s="136"/>
      <c r="CM60564" s="111"/>
      <c r="CQ60564" s="111"/>
      <c r="EF60564"/>
      <c r="EG60564"/>
      <c r="EH60564"/>
      <c r="EI60564"/>
      <c r="EJ60564"/>
      <c r="EK60564"/>
    </row>
    <row r="60565" spans="1:141" s="116" customFormat="1">
      <c r="A60565" s="136"/>
      <c r="CM60565" s="111"/>
      <c r="CQ60565" s="111"/>
      <c r="EF60565"/>
      <c r="EG60565"/>
      <c r="EH60565"/>
      <c r="EI60565"/>
      <c r="EJ60565"/>
      <c r="EK60565"/>
    </row>
    <row r="60566" spans="1:141" s="116" customFormat="1">
      <c r="A60566" s="136"/>
      <c r="CM60566" s="111"/>
      <c r="CQ60566" s="111"/>
      <c r="EF60566"/>
      <c r="EG60566"/>
      <c r="EH60566"/>
      <c r="EI60566"/>
      <c r="EJ60566"/>
      <c r="EK60566"/>
    </row>
    <row r="60567" spans="1:141" s="116" customFormat="1">
      <c r="A60567" s="136"/>
      <c r="CM60567" s="111"/>
      <c r="CQ60567" s="111"/>
      <c r="EF60567"/>
      <c r="EG60567"/>
      <c r="EH60567"/>
      <c r="EI60567"/>
      <c r="EJ60567"/>
      <c r="EK60567"/>
    </row>
    <row r="60568" spans="1:141" s="116" customFormat="1">
      <c r="A60568" s="136"/>
      <c r="CM60568" s="111"/>
      <c r="CQ60568" s="111"/>
      <c r="EF60568"/>
      <c r="EG60568"/>
      <c r="EH60568"/>
      <c r="EI60568"/>
      <c r="EJ60568"/>
      <c r="EK60568"/>
    </row>
    <row r="60569" spans="1:141" s="116" customFormat="1">
      <c r="A60569" s="136"/>
      <c r="CM60569" s="111"/>
      <c r="CQ60569" s="111"/>
      <c r="EF60569"/>
      <c r="EG60569"/>
      <c r="EH60569"/>
      <c r="EI60569"/>
      <c r="EJ60569"/>
      <c r="EK60569"/>
    </row>
    <row r="60570" spans="1:141" s="116" customFormat="1">
      <c r="A60570" s="136"/>
      <c r="CM60570" s="111"/>
      <c r="CQ60570" s="111"/>
      <c r="EF60570"/>
      <c r="EG60570"/>
      <c r="EH60570"/>
      <c r="EI60570"/>
      <c r="EJ60570"/>
      <c r="EK60570"/>
    </row>
    <row r="60571" spans="1:141" s="116" customFormat="1">
      <c r="A60571" s="136"/>
      <c r="CM60571" s="111"/>
      <c r="CQ60571" s="111"/>
      <c r="EF60571"/>
      <c r="EG60571"/>
      <c r="EH60571"/>
      <c r="EI60571"/>
      <c r="EJ60571"/>
      <c r="EK60571"/>
    </row>
    <row r="60572" spans="1:141" s="116" customFormat="1">
      <c r="A60572" s="136"/>
      <c r="CM60572" s="111"/>
      <c r="CQ60572" s="111"/>
      <c r="EF60572"/>
      <c r="EG60572"/>
      <c r="EH60572"/>
      <c r="EI60572"/>
      <c r="EJ60572"/>
      <c r="EK60572"/>
    </row>
    <row r="60573" spans="1:141" s="116" customFormat="1">
      <c r="A60573" s="136"/>
      <c r="CM60573" s="111"/>
      <c r="CQ60573" s="111"/>
      <c r="EF60573"/>
      <c r="EG60573"/>
      <c r="EH60573"/>
      <c r="EI60573"/>
      <c r="EJ60573"/>
      <c r="EK60573"/>
    </row>
    <row r="60574" spans="1:141" s="116" customFormat="1">
      <c r="A60574" s="136"/>
      <c r="CM60574" s="111"/>
      <c r="CQ60574" s="111"/>
      <c r="EF60574"/>
      <c r="EG60574"/>
      <c r="EH60574"/>
      <c r="EI60574"/>
      <c r="EJ60574"/>
      <c r="EK60574"/>
    </row>
    <row r="60575" spans="1:141" s="116" customFormat="1">
      <c r="A60575" s="136"/>
      <c r="CM60575" s="111"/>
      <c r="CQ60575" s="111"/>
      <c r="EF60575"/>
      <c r="EG60575"/>
      <c r="EH60575"/>
      <c r="EI60575"/>
      <c r="EJ60575"/>
      <c r="EK60575"/>
    </row>
    <row r="60576" spans="1:141" s="116" customFormat="1">
      <c r="A60576" s="136"/>
      <c r="CM60576" s="111"/>
      <c r="CQ60576" s="111"/>
      <c r="EF60576"/>
      <c r="EG60576"/>
      <c r="EH60576"/>
      <c r="EI60576"/>
      <c r="EJ60576"/>
      <c r="EK60576"/>
    </row>
    <row r="60577" spans="1:141" s="116" customFormat="1">
      <c r="A60577" s="136"/>
      <c r="CM60577" s="111"/>
      <c r="CQ60577" s="111"/>
      <c r="EF60577"/>
      <c r="EG60577"/>
      <c r="EH60577"/>
      <c r="EI60577"/>
      <c r="EJ60577"/>
      <c r="EK60577"/>
    </row>
    <row r="60578" spans="1:141" s="116" customFormat="1">
      <c r="A60578" s="136"/>
      <c r="CM60578" s="111"/>
      <c r="CQ60578" s="111"/>
      <c r="EF60578"/>
      <c r="EG60578"/>
      <c r="EH60578"/>
      <c r="EI60578"/>
      <c r="EJ60578"/>
      <c r="EK60578"/>
    </row>
    <row r="60579" spans="1:141" s="116" customFormat="1">
      <c r="A60579" s="136"/>
      <c r="CM60579" s="111"/>
      <c r="CQ60579" s="111"/>
      <c r="EF60579"/>
      <c r="EG60579"/>
      <c r="EH60579"/>
      <c r="EI60579"/>
      <c r="EJ60579"/>
      <c r="EK60579"/>
    </row>
    <row r="60580" spans="1:141" s="116" customFormat="1">
      <c r="A60580" s="136"/>
      <c r="CM60580" s="111"/>
      <c r="CQ60580" s="111"/>
      <c r="EF60580"/>
      <c r="EG60580"/>
      <c r="EH60580"/>
      <c r="EI60580"/>
      <c r="EJ60580"/>
      <c r="EK60580"/>
    </row>
    <row r="60581" spans="1:141" s="116" customFormat="1">
      <c r="A60581" s="136"/>
      <c r="CM60581" s="111"/>
      <c r="CQ60581" s="111"/>
      <c r="EF60581"/>
      <c r="EG60581"/>
      <c r="EH60581"/>
      <c r="EI60581"/>
      <c r="EJ60581"/>
      <c r="EK60581"/>
    </row>
    <row r="60582" spans="1:141" s="116" customFormat="1">
      <c r="A60582" s="136"/>
      <c r="CM60582" s="111"/>
      <c r="CQ60582" s="111"/>
      <c r="EF60582"/>
      <c r="EG60582"/>
      <c r="EH60582"/>
      <c r="EI60582"/>
      <c r="EJ60582"/>
      <c r="EK60582"/>
    </row>
    <row r="60583" spans="1:141" s="116" customFormat="1">
      <c r="A60583" s="136"/>
      <c r="CM60583" s="111"/>
      <c r="CQ60583" s="111"/>
      <c r="EF60583"/>
      <c r="EG60583"/>
      <c r="EH60583"/>
      <c r="EI60583"/>
      <c r="EJ60583"/>
      <c r="EK60583"/>
    </row>
    <row r="60584" spans="1:141" s="116" customFormat="1">
      <c r="A60584" s="136"/>
      <c r="CM60584" s="111"/>
      <c r="CQ60584" s="111"/>
      <c r="EF60584"/>
      <c r="EG60584"/>
      <c r="EH60584"/>
      <c r="EI60584"/>
      <c r="EJ60584"/>
      <c r="EK60584"/>
    </row>
    <row r="60585" spans="1:141" s="116" customFormat="1">
      <c r="A60585" s="136"/>
      <c r="CM60585" s="111"/>
      <c r="CQ60585" s="111"/>
      <c r="EF60585"/>
      <c r="EG60585"/>
      <c r="EH60585"/>
      <c r="EI60585"/>
      <c r="EJ60585"/>
      <c r="EK60585"/>
    </row>
    <row r="60586" spans="1:141" s="116" customFormat="1">
      <c r="A60586" s="136"/>
      <c r="CM60586" s="111"/>
      <c r="CQ60586" s="111"/>
      <c r="EF60586"/>
      <c r="EG60586"/>
      <c r="EH60586"/>
      <c r="EI60586"/>
      <c r="EJ60586"/>
      <c r="EK60586"/>
    </row>
    <row r="60587" spans="1:141" s="116" customFormat="1">
      <c r="A60587" s="136"/>
      <c r="CM60587" s="111"/>
      <c r="CQ60587" s="111"/>
      <c r="EF60587"/>
      <c r="EG60587"/>
      <c r="EH60587"/>
      <c r="EI60587"/>
      <c r="EJ60587"/>
      <c r="EK60587"/>
    </row>
    <row r="60588" spans="1:141" s="116" customFormat="1">
      <c r="A60588" s="136"/>
      <c r="CM60588" s="111"/>
      <c r="CQ60588" s="111"/>
      <c r="EF60588"/>
      <c r="EG60588"/>
      <c r="EH60588"/>
      <c r="EI60588"/>
      <c r="EJ60588"/>
      <c r="EK60588"/>
    </row>
    <row r="60589" spans="1:141" s="116" customFormat="1">
      <c r="A60589" s="136"/>
      <c r="CM60589" s="111"/>
      <c r="CQ60589" s="111"/>
      <c r="EF60589"/>
      <c r="EG60589"/>
      <c r="EH60589"/>
      <c r="EI60589"/>
      <c r="EJ60589"/>
      <c r="EK60589"/>
    </row>
    <row r="60590" spans="1:141" s="116" customFormat="1">
      <c r="A60590" s="136"/>
      <c r="CM60590" s="111"/>
      <c r="CQ60590" s="111"/>
      <c r="EF60590"/>
      <c r="EG60590"/>
      <c r="EH60590"/>
      <c r="EI60590"/>
      <c r="EJ60590"/>
      <c r="EK60590"/>
    </row>
    <row r="60591" spans="1:141" s="116" customFormat="1">
      <c r="A60591" s="136"/>
      <c r="CM60591" s="111"/>
      <c r="CQ60591" s="111"/>
      <c r="EF60591"/>
      <c r="EG60591"/>
      <c r="EH60591"/>
      <c r="EI60591"/>
      <c r="EJ60591"/>
      <c r="EK60591"/>
    </row>
    <row r="60592" spans="1:141" s="116" customFormat="1">
      <c r="A60592" s="136"/>
      <c r="CM60592" s="111"/>
      <c r="CQ60592" s="111"/>
      <c r="EF60592"/>
      <c r="EG60592"/>
      <c r="EH60592"/>
      <c r="EI60592"/>
      <c r="EJ60592"/>
      <c r="EK60592"/>
    </row>
    <row r="60593" spans="1:141" s="116" customFormat="1">
      <c r="A60593" s="136"/>
      <c r="CM60593" s="111"/>
      <c r="CQ60593" s="111"/>
      <c r="EF60593"/>
      <c r="EG60593"/>
      <c r="EH60593"/>
      <c r="EI60593"/>
      <c r="EJ60593"/>
      <c r="EK60593"/>
    </row>
    <row r="60594" spans="1:141" s="116" customFormat="1">
      <c r="A60594" s="136"/>
      <c r="CM60594" s="111"/>
      <c r="CQ60594" s="111"/>
      <c r="EF60594"/>
      <c r="EG60594"/>
      <c r="EH60594"/>
      <c r="EI60594"/>
      <c r="EJ60594"/>
      <c r="EK60594"/>
    </row>
    <row r="60595" spans="1:141" s="116" customFormat="1">
      <c r="A60595" s="136"/>
      <c r="CM60595" s="111"/>
      <c r="CQ60595" s="111"/>
      <c r="EF60595"/>
      <c r="EG60595"/>
      <c r="EH60595"/>
      <c r="EI60595"/>
      <c r="EJ60595"/>
      <c r="EK60595"/>
    </row>
    <row r="60596" spans="1:141" s="116" customFormat="1">
      <c r="A60596" s="136"/>
      <c r="CM60596" s="111"/>
      <c r="CQ60596" s="111"/>
      <c r="EF60596"/>
      <c r="EG60596"/>
      <c r="EH60596"/>
      <c r="EI60596"/>
      <c r="EJ60596"/>
      <c r="EK60596"/>
    </row>
    <row r="60597" spans="1:141" s="116" customFormat="1">
      <c r="A60597" s="136"/>
      <c r="CM60597" s="111"/>
      <c r="CQ60597" s="111"/>
      <c r="EF60597"/>
      <c r="EG60597"/>
      <c r="EH60597"/>
      <c r="EI60597"/>
      <c r="EJ60597"/>
      <c r="EK60597"/>
    </row>
    <row r="60598" spans="1:141" s="116" customFormat="1">
      <c r="A60598" s="136"/>
      <c r="CM60598" s="111"/>
      <c r="CQ60598" s="111"/>
      <c r="EF60598"/>
      <c r="EG60598"/>
      <c r="EH60598"/>
      <c r="EI60598"/>
      <c r="EJ60598"/>
      <c r="EK60598"/>
    </row>
    <row r="60599" spans="1:141" s="116" customFormat="1">
      <c r="A60599" s="136"/>
      <c r="CM60599" s="111"/>
      <c r="CQ60599" s="111"/>
      <c r="EF60599"/>
      <c r="EG60599"/>
      <c r="EH60599"/>
      <c r="EI60599"/>
      <c r="EJ60599"/>
      <c r="EK60599"/>
    </row>
    <row r="60600" spans="1:141" s="116" customFormat="1">
      <c r="A60600" s="136"/>
      <c r="CM60600" s="111"/>
      <c r="CQ60600" s="111"/>
      <c r="EF60600"/>
      <c r="EG60600"/>
      <c r="EH60600"/>
      <c r="EI60600"/>
      <c r="EJ60600"/>
      <c r="EK60600"/>
    </row>
    <row r="60601" spans="1:141" s="116" customFormat="1">
      <c r="A60601" s="136"/>
      <c r="CM60601" s="111"/>
      <c r="CQ60601" s="111"/>
      <c r="EF60601"/>
      <c r="EG60601"/>
      <c r="EH60601"/>
      <c r="EI60601"/>
      <c r="EJ60601"/>
      <c r="EK60601"/>
    </row>
    <row r="60602" spans="1:141" s="116" customFormat="1">
      <c r="A60602" s="136"/>
      <c r="CM60602" s="111"/>
      <c r="CQ60602" s="111"/>
      <c r="EF60602"/>
      <c r="EG60602"/>
      <c r="EH60602"/>
      <c r="EI60602"/>
      <c r="EJ60602"/>
      <c r="EK60602"/>
    </row>
    <row r="60603" spans="1:141" s="116" customFormat="1">
      <c r="A60603" s="136"/>
      <c r="CM60603" s="111"/>
      <c r="CQ60603" s="111"/>
      <c r="EF60603"/>
      <c r="EG60603"/>
      <c r="EH60603"/>
      <c r="EI60603"/>
      <c r="EJ60603"/>
      <c r="EK60603"/>
    </row>
    <row r="60604" spans="1:141" s="116" customFormat="1">
      <c r="A60604" s="136"/>
      <c r="CM60604" s="111"/>
      <c r="CQ60604" s="111"/>
      <c r="EF60604"/>
      <c r="EG60604"/>
      <c r="EH60604"/>
      <c r="EI60604"/>
      <c r="EJ60604"/>
      <c r="EK60604"/>
    </row>
    <row r="60605" spans="1:141" s="116" customFormat="1">
      <c r="A60605" s="136"/>
      <c r="CM60605" s="111"/>
      <c r="CQ60605" s="111"/>
      <c r="EF60605"/>
      <c r="EG60605"/>
      <c r="EH60605"/>
      <c r="EI60605"/>
      <c r="EJ60605"/>
      <c r="EK60605"/>
    </row>
    <row r="60606" spans="1:141" s="116" customFormat="1">
      <c r="A60606" s="136"/>
      <c r="CM60606" s="111"/>
      <c r="CQ60606" s="111"/>
      <c r="EF60606"/>
      <c r="EG60606"/>
      <c r="EH60606"/>
      <c r="EI60606"/>
      <c r="EJ60606"/>
      <c r="EK60606"/>
    </row>
    <row r="60607" spans="1:141" s="116" customFormat="1">
      <c r="A60607" s="136"/>
      <c r="CM60607" s="111"/>
      <c r="CQ60607" s="111"/>
      <c r="EF60607"/>
      <c r="EG60607"/>
      <c r="EH60607"/>
      <c r="EI60607"/>
      <c r="EJ60607"/>
      <c r="EK60607"/>
    </row>
    <row r="60608" spans="1:141" s="116" customFormat="1">
      <c r="A60608" s="136"/>
      <c r="CM60608" s="111"/>
      <c r="CQ60608" s="111"/>
      <c r="EF60608"/>
      <c r="EG60608"/>
      <c r="EH60608"/>
      <c r="EI60608"/>
      <c r="EJ60608"/>
      <c r="EK60608"/>
    </row>
    <row r="60609" spans="1:141" s="116" customFormat="1">
      <c r="A60609" s="136"/>
      <c r="CM60609" s="111"/>
      <c r="CQ60609" s="111"/>
      <c r="EF60609"/>
      <c r="EG60609"/>
      <c r="EH60609"/>
      <c r="EI60609"/>
      <c r="EJ60609"/>
      <c r="EK60609"/>
    </row>
    <row r="60610" spans="1:141" s="116" customFormat="1">
      <c r="A60610" s="136"/>
      <c r="CM60610" s="111"/>
      <c r="CQ60610" s="111"/>
      <c r="EF60610"/>
      <c r="EG60610"/>
      <c r="EH60610"/>
      <c r="EI60610"/>
      <c r="EJ60610"/>
      <c r="EK60610"/>
    </row>
    <row r="60611" spans="1:141" s="116" customFormat="1">
      <c r="A60611" s="136"/>
      <c r="CM60611" s="111"/>
      <c r="CQ60611" s="111"/>
      <c r="EF60611"/>
      <c r="EG60611"/>
      <c r="EH60611"/>
      <c r="EI60611"/>
      <c r="EJ60611"/>
      <c r="EK60611"/>
    </row>
    <row r="60612" spans="1:141" s="116" customFormat="1">
      <c r="A60612" s="136"/>
      <c r="CM60612" s="111"/>
      <c r="CQ60612" s="111"/>
      <c r="EF60612"/>
      <c r="EG60612"/>
      <c r="EH60612"/>
      <c r="EI60612"/>
      <c r="EJ60612"/>
      <c r="EK60612"/>
    </row>
    <row r="60613" spans="1:141" s="116" customFormat="1">
      <c r="A60613" s="136"/>
      <c r="CM60613" s="111"/>
      <c r="CQ60613" s="111"/>
      <c r="EF60613"/>
      <c r="EG60613"/>
      <c r="EH60613"/>
      <c r="EI60613"/>
      <c r="EJ60613"/>
      <c r="EK60613"/>
    </row>
    <row r="60614" spans="1:141" s="116" customFormat="1">
      <c r="A60614" s="136"/>
      <c r="CM60614" s="111"/>
      <c r="CQ60614" s="111"/>
      <c r="EF60614"/>
      <c r="EG60614"/>
      <c r="EH60614"/>
      <c r="EI60614"/>
      <c r="EJ60614"/>
      <c r="EK60614"/>
    </row>
    <row r="60615" spans="1:141" s="116" customFormat="1">
      <c r="A60615" s="136"/>
      <c r="CM60615" s="111"/>
      <c r="CQ60615" s="111"/>
      <c r="EF60615"/>
      <c r="EG60615"/>
      <c r="EH60615"/>
      <c r="EI60615"/>
      <c r="EJ60615"/>
      <c r="EK60615"/>
    </row>
    <row r="60616" spans="1:141" s="116" customFormat="1">
      <c r="A60616" s="136"/>
      <c r="CM60616" s="111"/>
      <c r="CQ60616" s="111"/>
      <c r="EF60616"/>
      <c r="EG60616"/>
      <c r="EH60616"/>
      <c r="EI60616"/>
      <c r="EJ60616"/>
      <c r="EK60616"/>
    </row>
    <row r="60617" spans="1:141" s="116" customFormat="1">
      <c r="A60617" s="136"/>
      <c r="CM60617" s="111"/>
      <c r="CQ60617" s="111"/>
      <c r="EF60617"/>
      <c r="EG60617"/>
      <c r="EH60617"/>
      <c r="EI60617"/>
      <c r="EJ60617"/>
      <c r="EK60617"/>
    </row>
    <row r="60618" spans="1:141" s="116" customFormat="1">
      <c r="A60618" s="136"/>
      <c r="CM60618" s="111"/>
      <c r="CQ60618" s="111"/>
      <c r="EF60618"/>
      <c r="EG60618"/>
      <c r="EH60618"/>
      <c r="EI60618"/>
      <c r="EJ60618"/>
      <c r="EK60618"/>
    </row>
    <row r="60619" spans="1:141" s="116" customFormat="1">
      <c r="A60619" s="136"/>
      <c r="CM60619" s="111"/>
      <c r="CQ60619" s="111"/>
      <c r="EF60619"/>
      <c r="EG60619"/>
      <c r="EH60619"/>
      <c r="EI60619"/>
      <c r="EJ60619"/>
      <c r="EK60619"/>
    </row>
    <row r="60620" spans="1:141" s="116" customFormat="1">
      <c r="A60620" s="136"/>
      <c r="CM60620" s="111"/>
      <c r="CQ60620" s="111"/>
      <c r="EF60620"/>
      <c r="EG60620"/>
      <c r="EH60620"/>
      <c r="EI60620"/>
      <c r="EJ60620"/>
      <c r="EK60620"/>
    </row>
    <row r="60621" spans="1:141" s="116" customFormat="1">
      <c r="A60621" s="136"/>
      <c r="CM60621" s="111"/>
      <c r="CQ60621" s="111"/>
      <c r="EF60621"/>
      <c r="EG60621"/>
      <c r="EH60621"/>
      <c r="EI60621"/>
      <c r="EJ60621"/>
      <c r="EK60621"/>
    </row>
    <row r="60622" spans="1:141" s="116" customFormat="1">
      <c r="A60622" s="136"/>
      <c r="CM60622" s="111"/>
      <c r="CQ60622" s="111"/>
      <c r="EF60622"/>
      <c r="EG60622"/>
      <c r="EH60622"/>
      <c r="EI60622"/>
      <c r="EJ60622"/>
      <c r="EK60622"/>
    </row>
    <row r="60623" spans="1:141" s="116" customFormat="1">
      <c r="A60623" s="136"/>
      <c r="CM60623" s="111"/>
      <c r="CQ60623" s="111"/>
      <c r="EF60623"/>
      <c r="EG60623"/>
      <c r="EH60623"/>
      <c r="EI60623"/>
      <c r="EJ60623"/>
      <c r="EK60623"/>
    </row>
    <row r="60624" spans="1:141" s="116" customFormat="1">
      <c r="A60624" s="136"/>
      <c r="CM60624" s="111"/>
      <c r="CQ60624" s="111"/>
      <c r="EF60624"/>
      <c r="EG60624"/>
      <c r="EH60624"/>
      <c r="EI60624"/>
      <c r="EJ60624"/>
      <c r="EK60624"/>
    </row>
    <row r="60625" spans="1:141" s="116" customFormat="1">
      <c r="A60625" s="136"/>
      <c r="CM60625" s="111"/>
      <c r="CQ60625" s="111"/>
      <c r="EF60625"/>
      <c r="EG60625"/>
      <c r="EH60625"/>
      <c r="EI60625"/>
      <c r="EJ60625"/>
      <c r="EK60625"/>
    </row>
    <row r="60626" spans="1:141" s="116" customFormat="1">
      <c r="A60626" s="136"/>
      <c r="CM60626" s="111"/>
      <c r="CQ60626" s="111"/>
      <c r="EF60626"/>
      <c r="EG60626"/>
      <c r="EH60626"/>
      <c r="EI60626"/>
      <c r="EJ60626"/>
      <c r="EK60626"/>
    </row>
    <row r="60627" spans="1:141" s="116" customFormat="1">
      <c r="A60627" s="136"/>
      <c r="CM60627" s="111"/>
      <c r="CQ60627" s="111"/>
      <c r="EF60627"/>
      <c r="EG60627"/>
      <c r="EH60627"/>
      <c r="EI60627"/>
      <c r="EJ60627"/>
      <c r="EK60627"/>
    </row>
    <row r="60628" spans="1:141" s="116" customFormat="1">
      <c r="A60628" s="136"/>
      <c r="CM60628" s="111"/>
      <c r="CQ60628" s="111"/>
      <c r="EF60628"/>
      <c r="EG60628"/>
      <c r="EH60628"/>
      <c r="EI60628"/>
      <c r="EJ60628"/>
      <c r="EK60628"/>
    </row>
    <row r="60629" spans="1:141" s="116" customFormat="1">
      <c r="A60629" s="136"/>
      <c r="CM60629" s="111"/>
      <c r="CQ60629" s="111"/>
      <c r="EF60629"/>
      <c r="EG60629"/>
      <c r="EH60629"/>
      <c r="EI60629"/>
      <c r="EJ60629"/>
      <c r="EK60629"/>
    </row>
    <row r="60630" spans="1:141" s="116" customFormat="1">
      <c r="A60630" s="136"/>
      <c r="CM60630" s="111"/>
      <c r="CQ60630" s="111"/>
      <c r="EF60630"/>
      <c r="EG60630"/>
      <c r="EH60630"/>
      <c r="EI60630"/>
      <c r="EJ60630"/>
      <c r="EK60630"/>
    </row>
    <row r="60631" spans="1:141" s="116" customFormat="1">
      <c r="A60631" s="136"/>
      <c r="CM60631" s="111"/>
      <c r="CQ60631" s="111"/>
      <c r="EF60631"/>
      <c r="EG60631"/>
      <c r="EH60631"/>
      <c r="EI60631"/>
      <c r="EJ60631"/>
      <c r="EK60631"/>
    </row>
    <row r="60632" spans="1:141" s="116" customFormat="1">
      <c r="A60632" s="136"/>
      <c r="CM60632" s="111"/>
      <c r="CQ60632" s="111"/>
      <c r="EF60632"/>
      <c r="EG60632"/>
      <c r="EH60632"/>
      <c r="EI60632"/>
      <c r="EJ60632"/>
      <c r="EK60632"/>
    </row>
    <row r="60633" spans="1:141" s="116" customFormat="1">
      <c r="A60633" s="136"/>
      <c r="CM60633" s="111"/>
      <c r="CQ60633" s="111"/>
      <c r="EF60633"/>
      <c r="EG60633"/>
      <c r="EH60633"/>
      <c r="EI60633"/>
      <c r="EJ60633"/>
      <c r="EK60633"/>
    </row>
    <row r="60634" spans="1:141" s="116" customFormat="1">
      <c r="A60634" s="136"/>
      <c r="CM60634" s="111"/>
      <c r="CQ60634" s="111"/>
      <c r="EF60634"/>
      <c r="EG60634"/>
      <c r="EH60634"/>
      <c r="EI60634"/>
      <c r="EJ60634"/>
      <c r="EK60634"/>
    </row>
    <row r="60635" spans="1:141" s="116" customFormat="1">
      <c r="A60635" s="136"/>
      <c r="CM60635" s="111"/>
      <c r="CQ60635" s="111"/>
      <c r="EF60635"/>
      <c r="EG60635"/>
      <c r="EH60635"/>
      <c r="EI60635"/>
      <c r="EJ60635"/>
      <c r="EK60635"/>
    </row>
    <row r="60636" spans="1:141" s="116" customFormat="1">
      <c r="A60636" s="136"/>
      <c r="CM60636" s="111"/>
      <c r="CQ60636" s="111"/>
      <c r="EF60636"/>
      <c r="EG60636"/>
      <c r="EH60636"/>
      <c r="EI60636"/>
      <c r="EJ60636"/>
      <c r="EK60636"/>
    </row>
    <row r="60637" spans="1:141" s="116" customFormat="1">
      <c r="A60637" s="136"/>
      <c r="CM60637" s="111"/>
      <c r="CQ60637" s="111"/>
      <c r="EF60637"/>
      <c r="EG60637"/>
      <c r="EH60637"/>
      <c r="EI60637"/>
      <c r="EJ60637"/>
      <c r="EK60637"/>
    </row>
    <row r="60638" spans="1:141" s="116" customFormat="1">
      <c r="A60638" s="136"/>
      <c r="CM60638" s="111"/>
      <c r="CQ60638" s="111"/>
      <c r="EF60638"/>
      <c r="EG60638"/>
      <c r="EH60638"/>
      <c r="EI60638"/>
      <c r="EJ60638"/>
      <c r="EK60638"/>
    </row>
    <row r="60639" spans="1:141" s="116" customFormat="1">
      <c r="A60639" s="136"/>
      <c r="CM60639" s="111"/>
      <c r="CQ60639" s="111"/>
      <c r="EF60639"/>
      <c r="EG60639"/>
      <c r="EH60639"/>
      <c r="EI60639"/>
      <c r="EJ60639"/>
      <c r="EK60639"/>
    </row>
    <row r="60640" spans="1:141" s="116" customFormat="1">
      <c r="A60640" s="136"/>
      <c r="CM60640" s="111"/>
      <c r="CQ60640" s="111"/>
      <c r="EF60640"/>
      <c r="EG60640"/>
      <c r="EH60640"/>
      <c r="EI60640"/>
      <c r="EJ60640"/>
      <c r="EK60640"/>
    </row>
    <row r="60641" spans="1:141" s="116" customFormat="1">
      <c r="A60641" s="136"/>
      <c r="CM60641" s="111"/>
      <c r="CQ60641" s="111"/>
      <c r="EF60641"/>
      <c r="EG60641"/>
      <c r="EH60641"/>
      <c r="EI60641"/>
      <c r="EJ60641"/>
      <c r="EK60641"/>
    </row>
    <row r="60642" spans="1:141" s="116" customFormat="1">
      <c r="A60642" s="136"/>
      <c r="CM60642" s="111"/>
      <c r="CQ60642" s="111"/>
      <c r="EF60642"/>
      <c r="EG60642"/>
      <c r="EH60642"/>
      <c r="EI60642"/>
      <c r="EJ60642"/>
      <c r="EK60642"/>
    </row>
    <row r="60643" spans="1:141" s="116" customFormat="1">
      <c r="A60643" s="136"/>
      <c r="CM60643" s="111"/>
      <c r="CQ60643" s="111"/>
      <c r="EF60643"/>
      <c r="EG60643"/>
      <c r="EH60643"/>
      <c r="EI60643"/>
      <c r="EJ60643"/>
      <c r="EK60643"/>
    </row>
    <row r="60644" spans="1:141" s="116" customFormat="1">
      <c r="A60644" s="136"/>
      <c r="CM60644" s="111"/>
      <c r="CQ60644" s="111"/>
      <c r="EF60644"/>
      <c r="EG60644"/>
      <c r="EH60644"/>
      <c r="EI60644"/>
      <c r="EJ60644"/>
      <c r="EK60644"/>
    </row>
    <row r="60645" spans="1:141" s="116" customFormat="1">
      <c r="A60645" s="136"/>
      <c r="CM60645" s="111"/>
      <c r="CQ60645" s="111"/>
      <c r="EF60645"/>
      <c r="EG60645"/>
      <c r="EH60645"/>
      <c r="EI60645"/>
      <c r="EJ60645"/>
      <c r="EK60645"/>
    </row>
    <row r="60646" spans="1:141" s="116" customFormat="1">
      <c r="A60646" s="136"/>
      <c r="CM60646" s="111"/>
      <c r="CQ60646" s="111"/>
      <c r="EF60646"/>
      <c r="EG60646"/>
      <c r="EH60646"/>
      <c r="EI60646"/>
      <c r="EJ60646"/>
      <c r="EK60646"/>
    </row>
    <row r="60647" spans="1:141" s="116" customFormat="1">
      <c r="A60647" s="136"/>
      <c r="CM60647" s="111"/>
      <c r="CQ60647" s="111"/>
      <c r="EF60647"/>
      <c r="EG60647"/>
      <c r="EH60647"/>
      <c r="EI60647"/>
      <c r="EJ60647"/>
      <c r="EK60647"/>
    </row>
    <row r="60648" spans="1:141" s="116" customFormat="1">
      <c r="A60648" s="136"/>
      <c r="CM60648" s="111"/>
      <c r="CQ60648" s="111"/>
      <c r="EF60648"/>
      <c r="EG60648"/>
      <c r="EH60648"/>
      <c r="EI60648"/>
      <c r="EJ60648"/>
      <c r="EK60648"/>
    </row>
    <row r="60649" spans="1:141" s="116" customFormat="1">
      <c r="A60649" s="136"/>
      <c r="CM60649" s="111"/>
      <c r="CQ60649" s="111"/>
      <c r="EF60649"/>
      <c r="EG60649"/>
      <c r="EH60649"/>
      <c r="EI60649"/>
      <c r="EJ60649"/>
      <c r="EK60649"/>
    </row>
    <row r="60650" spans="1:141" s="116" customFormat="1">
      <c r="A60650" s="136"/>
      <c r="CM60650" s="111"/>
      <c r="CQ60650" s="111"/>
      <c r="EF60650"/>
      <c r="EG60650"/>
      <c r="EH60650"/>
      <c r="EI60650"/>
      <c r="EJ60650"/>
      <c r="EK60650"/>
    </row>
    <row r="60651" spans="1:141" s="116" customFormat="1">
      <c r="A60651" s="136"/>
      <c r="CM60651" s="111"/>
      <c r="CQ60651" s="111"/>
      <c r="EF60651"/>
      <c r="EG60651"/>
      <c r="EH60651"/>
      <c r="EI60651"/>
      <c r="EJ60651"/>
      <c r="EK60651"/>
    </row>
    <row r="60652" spans="1:141" s="116" customFormat="1">
      <c r="A60652" s="136"/>
      <c r="CM60652" s="111"/>
      <c r="CQ60652" s="111"/>
      <c r="EF60652"/>
      <c r="EG60652"/>
      <c r="EH60652"/>
      <c r="EI60652"/>
      <c r="EJ60652"/>
      <c r="EK60652"/>
    </row>
    <row r="60653" spans="1:141" s="116" customFormat="1">
      <c r="A60653" s="136"/>
      <c r="CM60653" s="111"/>
      <c r="CQ60653" s="111"/>
      <c r="EF60653"/>
      <c r="EG60653"/>
      <c r="EH60653"/>
      <c r="EI60653"/>
      <c r="EJ60653"/>
      <c r="EK60653"/>
    </row>
    <row r="60654" spans="1:141" s="116" customFormat="1">
      <c r="A60654" s="136"/>
      <c r="CM60654" s="111"/>
      <c r="CQ60654" s="111"/>
      <c r="EF60654"/>
      <c r="EG60654"/>
      <c r="EH60654"/>
      <c r="EI60654"/>
      <c r="EJ60654"/>
      <c r="EK60654"/>
    </row>
    <row r="60655" spans="1:141" s="116" customFormat="1">
      <c r="A60655" s="136"/>
      <c r="CM60655" s="111"/>
      <c r="CQ60655" s="111"/>
      <c r="EF60655"/>
      <c r="EG60655"/>
      <c r="EH60655"/>
      <c r="EI60655"/>
      <c r="EJ60655"/>
      <c r="EK60655"/>
    </row>
    <row r="60656" spans="1:141" s="116" customFormat="1">
      <c r="A60656" s="136"/>
      <c r="CM60656" s="111"/>
      <c r="CQ60656" s="111"/>
      <c r="EF60656"/>
      <c r="EG60656"/>
      <c r="EH60656"/>
      <c r="EI60656"/>
      <c r="EJ60656"/>
      <c r="EK60656"/>
    </row>
    <row r="60657" spans="1:141" s="116" customFormat="1">
      <c r="A60657" s="136"/>
      <c r="CM60657" s="111"/>
      <c r="CQ60657" s="111"/>
      <c r="EF60657"/>
      <c r="EG60657"/>
      <c r="EH60657"/>
      <c r="EI60657"/>
      <c r="EJ60657"/>
      <c r="EK60657"/>
    </row>
    <row r="60658" spans="1:141" s="116" customFormat="1">
      <c r="A60658" s="136"/>
      <c r="CM60658" s="111"/>
      <c r="CQ60658" s="111"/>
      <c r="EF60658"/>
      <c r="EG60658"/>
      <c r="EH60658"/>
      <c r="EI60658"/>
      <c r="EJ60658"/>
      <c r="EK60658"/>
    </row>
    <row r="60659" spans="1:141" s="116" customFormat="1">
      <c r="A60659" s="136"/>
      <c r="CM60659" s="111"/>
      <c r="CQ60659" s="111"/>
      <c r="EF60659"/>
      <c r="EG60659"/>
      <c r="EH60659"/>
      <c r="EI60659"/>
      <c r="EJ60659"/>
      <c r="EK60659"/>
    </row>
    <row r="60660" spans="1:141" s="116" customFormat="1">
      <c r="A60660" s="136"/>
      <c r="CM60660" s="111"/>
      <c r="CQ60660" s="111"/>
      <c r="EF60660"/>
      <c r="EG60660"/>
      <c r="EH60660"/>
      <c r="EI60660"/>
      <c r="EJ60660"/>
      <c r="EK60660"/>
    </row>
    <row r="60661" spans="1:141" s="116" customFormat="1">
      <c r="A60661" s="136"/>
      <c r="CM60661" s="111"/>
      <c r="CQ60661" s="111"/>
      <c r="EF60661"/>
      <c r="EG60661"/>
      <c r="EH60661"/>
      <c r="EI60661"/>
      <c r="EJ60661"/>
      <c r="EK60661"/>
    </row>
    <row r="60662" spans="1:141" s="116" customFormat="1">
      <c r="A60662" s="136"/>
      <c r="CM60662" s="111"/>
      <c r="CQ60662" s="111"/>
      <c r="EF60662"/>
      <c r="EG60662"/>
      <c r="EH60662"/>
      <c r="EI60662"/>
      <c r="EJ60662"/>
      <c r="EK60662"/>
    </row>
    <row r="60663" spans="1:141" s="116" customFormat="1">
      <c r="A60663" s="136"/>
      <c r="CM60663" s="111"/>
      <c r="CQ60663" s="111"/>
      <c r="EF60663"/>
      <c r="EG60663"/>
      <c r="EH60663"/>
      <c r="EI60663"/>
      <c r="EJ60663"/>
      <c r="EK60663"/>
    </row>
    <row r="60664" spans="1:141" s="116" customFormat="1">
      <c r="A60664" s="136"/>
      <c r="CM60664" s="111"/>
      <c r="CQ60664" s="111"/>
      <c r="EF60664"/>
      <c r="EG60664"/>
      <c r="EH60664"/>
      <c r="EI60664"/>
      <c r="EJ60664"/>
      <c r="EK60664"/>
    </row>
    <row r="60665" spans="1:141" s="116" customFormat="1">
      <c r="A60665" s="136"/>
      <c r="CM60665" s="111"/>
      <c r="CQ60665" s="111"/>
      <c r="EF60665"/>
      <c r="EG60665"/>
      <c r="EH60665"/>
      <c r="EI60665"/>
      <c r="EJ60665"/>
      <c r="EK60665"/>
    </row>
    <row r="60666" spans="1:141" s="116" customFormat="1">
      <c r="A60666" s="136"/>
      <c r="CM60666" s="111"/>
      <c r="CQ60666" s="111"/>
      <c r="EF60666"/>
      <c r="EG60666"/>
      <c r="EH60666"/>
      <c r="EI60666"/>
      <c r="EJ60666"/>
      <c r="EK60666"/>
    </row>
    <row r="60667" spans="1:141" s="116" customFormat="1">
      <c r="A60667" s="136"/>
      <c r="CM60667" s="111"/>
      <c r="CQ60667" s="111"/>
      <c r="EF60667"/>
      <c r="EG60667"/>
      <c r="EH60667"/>
      <c r="EI60667"/>
      <c r="EJ60667"/>
      <c r="EK60667"/>
    </row>
    <row r="60668" spans="1:141" s="116" customFormat="1">
      <c r="A60668" s="136"/>
      <c r="CM60668" s="111"/>
      <c r="CQ60668" s="111"/>
      <c r="EF60668"/>
      <c r="EG60668"/>
      <c r="EH60668"/>
      <c r="EI60668"/>
      <c r="EJ60668"/>
      <c r="EK60668"/>
    </row>
    <row r="60669" spans="1:141" s="116" customFormat="1">
      <c r="A60669" s="136"/>
      <c r="CM60669" s="111"/>
      <c r="CQ60669" s="111"/>
      <c r="EF60669"/>
      <c r="EG60669"/>
      <c r="EH60669"/>
      <c r="EI60669"/>
      <c r="EJ60669"/>
      <c r="EK60669"/>
    </row>
    <row r="60670" spans="1:141" s="116" customFormat="1">
      <c r="A60670" s="136"/>
      <c r="CM60670" s="111"/>
      <c r="CQ60670" s="111"/>
      <c r="EF60670"/>
      <c r="EG60670"/>
      <c r="EH60670"/>
      <c r="EI60670"/>
      <c r="EJ60670"/>
      <c r="EK60670"/>
    </row>
    <row r="60671" spans="1:141" s="116" customFormat="1">
      <c r="A60671" s="136"/>
      <c r="CM60671" s="111"/>
      <c r="CQ60671" s="111"/>
      <c r="EF60671"/>
      <c r="EG60671"/>
      <c r="EH60671"/>
      <c r="EI60671"/>
      <c r="EJ60671"/>
      <c r="EK60671"/>
    </row>
    <row r="60672" spans="1:141" s="116" customFormat="1">
      <c r="A60672" s="136"/>
      <c r="CM60672" s="111"/>
      <c r="CQ60672" s="111"/>
      <c r="EF60672"/>
      <c r="EG60672"/>
      <c r="EH60672"/>
      <c r="EI60672"/>
      <c r="EJ60672"/>
      <c r="EK60672"/>
    </row>
    <row r="60673" spans="1:141" s="116" customFormat="1">
      <c r="A60673" s="136"/>
      <c r="CM60673" s="111"/>
      <c r="CQ60673" s="111"/>
      <c r="EF60673"/>
      <c r="EG60673"/>
      <c r="EH60673"/>
      <c r="EI60673"/>
      <c r="EJ60673"/>
      <c r="EK60673"/>
    </row>
    <row r="60674" spans="1:141" s="116" customFormat="1">
      <c r="A60674" s="136"/>
      <c r="CM60674" s="111"/>
      <c r="CQ60674" s="111"/>
      <c r="EF60674"/>
      <c r="EG60674"/>
      <c r="EH60674"/>
      <c r="EI60674"/>
      <c r="EJ60674"/>
      <c r="EK60674"/>
    </row>
    <row r="60675" spans="1:141" s="116" customFormat="1">
      <c r="A60675" s="136"/>
      <c r="CM60675" s="111"/>
      <c r="CQ60675" s="111"/>
      <c r="EF60675"/>
      <c r="EG60675"/>
      <c r="EH60675"/>
      <c r="EI60675"/>
      <c r="EJ60675"/>
      <c r="EK60675"/>
    </row>
    <row r="60676" spans="1:141" s="116" customFormat="1">
      <c r="A60676" s="136"/>
      <c r="CM60676" s="111"/>
      <c r="CQ60676" s="111"/>
      <c r="EF60676"/>
      <c r="EG60676"/>
      <c r="EH60676"/>
      <c r="EI60676"/>
      <c r="EJ60676"/>
      <c r="EK60676"/>
    </row>
    <row r="60677" spans="1:141" s="116" customFormat="1">
      <c r="A60677" s="136"/>
      <c r="CM60677" s="111"/>
      <c r="CQ60677" s="111"/>
      <c r="EF60677"/>
      <c r="EG60677"/>
      <c r="EH60677"/>
      <c r="EI60677"/>
      <c r="EJ60677"/>
      <c r="EK60677"/>
    </row>
    <row r="60678" spans="1:141" s="116" customFormat="1">
      <c r="A60678" s="136"/>
      <c r="CM60678" s="111"/>
      <c r="CQ60678" s="111"/>
      <c r="EF60678"/>
      <c r="EG60678"/>
      <c r="EH60678"/>
      <c r="EI60678"/>
      <c r="EJ60678"/>
      <c r="EK60678"/>
    </row>
    <row r="60679" spans="1:141" s="116" customFormat="1">
      <c r="A60679" s="136"/>
      <c r="CM60679" s="111"/>
      <c r="CQ60679" s="111"/>
      <c r="EF60679"/>
      <c r="EG60679"/>
      <c r="EH60679"/>
      <c r="EI60679"/>
      <c r="EJ60679"/>
      <c r="EK60679"/>
    </row>
    <row r="60680" spans="1:141" s="116" customFormat="1">
      <c r="A60680" s="136"/>
      <c r="CM60680" s="111"/>
      <c r="CQ60680" s="111"/>
      <c r="EF60680"/>
      <c r="EG60680"/>
      <c r="EH60680"/>
      <c r="EI60680"/>
      <c r="EJ60680"/>
      <c r="EK60680"/>
    </row>
    <row r="60681" spans="1:141" s="116" customFormat="1">
      <c r="A60681" s="136"/>
      <c r="CM60681" s="111"/>
      <c r="CQ60681" s="111"/>
      <c r="EF60681"/>
      <c r="EG60681"/>
      <c r="EH60681"/>
      <c r="EI60681"/>
      <c r="EJ60681"/>
      <c r="EK60681"/>
    </row>
    <row r="60682" spans="1:141" s="116" customFormat="1">
      <c r="A60682" s="136"/>
      <c r="CM60682" s="111"/>
      <c r="CQ60682" s="111"/>
      <c r="EF60682"/>
      <c r="EG60682"/>
      <c r="EH60682"/>
      <c r="EI60682"/>
      <c r="EJ60682"/>
      <c r="EK60682"/>
    </row>
    <row r="60683" spans="1:141" s="116" customFormat="1">
      <c r="A60683" s="136"/>
      <c r="CM60683" s="111"/>
      <c r="CQ60683" s="111"/>
      <c r="EF60683"/>
      <c r="EG60683"/>
      <c r="EH60683"/>
      <c r="EI60683"/>
      <c r="EJ60683"/>
      <c r="EK60683"/>
    </row>
    <row r="60684" spans="1:141" s="116" customFormat="1">
      <c r="A60684" s="136"/>
      <c r="CM60684" s="111"/>
      <c r="CQ60684" s="111"/>
      <c r="EF60684"/>
      <c r="EG60684"/>
      <c r="EH60684"/>
      <c r="EI60684"/>
      <c r="EJ60684"/>
      <c r="EK60684"/>
    </row>
    <row r="60685" spans="1:141" s="116" customFormat="1">
      <c r="A60685" s="136"/>
      <c r="CM60685" s="111"/>
      <c r="CQ60685" s="111"/>
      <c r="EF60685"/>
      <c r="EG60685"/>
      <c r="EH60685"/>
      <c r="EI60685"/>
      <c r="EJ60685"/>
      <c r="EK60685"/>
    </row>
    <row r="60686" spans="1:141" s="116" customFormat="1">
      <c r="A60686" s="136"/>
      <c r="CM60686" s="111"/>
      <c r="CQ60686" s="111"/>
      <c r="EF60686"/>
      <c r="EG60686"/>
      <c r="EH60686"/>
      <c r="EI60686"/>
      <c r="EJ60686"/>
      <c r="EK60686"/>
    </row>
    <row r="60687" spans="1:141" s="116" customFormat="1">
      <c r="A60687" s="136"/>
      <c r="CM60687" s="111"/>
      <c r="CQ60687" s="111"/>
      <c r="EF60687"/>
      <c r="EG60687"/>
      <c r="EH60687"/>
      <c r="EI60687"/>
      <c r="EJ60687"/>
      <c r="EK60687"/>
    </row>
    <row r="60688" spans="1:141" s="116" customFormat="1">
      <c r="A60688" s="136"/>
      <c r="CM60688" s="111"/>
      <c r="CQ60688" s="111"/>
      <c r="EF60688"/>
      <c r="EG60688"/>
      <c r="EH60688"/>
      <c r="EI60688"/>
      <c r="EJ60688"/>
      <c r="EK60688"/>
    </row>
    <row r="60689" spans="1:141" s="116" customFormat="1">
      <c r="A60689" s="136"/>
      <c r="CM60689" s="111"/>
      <c r="CQ60689" s="111"/>
      <c r="EF60689"/>
      <c r="EG60689"/>
      <c r="EH60689"/>
      <c r="EI60689"/>
      <c r="EJ60689"/>
      <c r="EK60689"/>
    </row>
    <row r="60690" spans="1:141" s="116" customFormat="1">
      <c r="A60690" s="136"/>
      <c r="CM60690" s="111"/>
      <c r="CQ60690" s="111"/>
      <c r="EF60690"/>
      <c r="EG60690"/>
      <c r="EH60690"/>
      <c r="EI60690"/>
      <c r="EJ60690"/>
      <c r="EK60690"/>
    </row>
    <row r="60691" spans="1:141" s="116" customFormat="1">
      <c r="A60691" s="136"/>
      <c r="CM60691" s="111"/>
      <c r="CQ60691" s="111"/>
      <c r="EF60691"/>
      <c r="EG60691"/>
      <c r="EH60691"/>
      <c r="EI60691"/>
      <c r="EJ60691"/>
      <c r="EK60691"/>
    </row>
    <row r="60692" spans="1:141" s="116" customFormat="1">
      <c r="A60692" s="136"/>
      <c r="CM60692" s="111"/>
      <c r="CQ60692" s="111"/>
      <c r="EF60692"/>
      <c r="EG60692"/>
      <c r="EH60692"/>
      <c r="EI60692"/>
      <c r="EJ60692"/>
      <c r="EK60692"/>
    </row>
    <row r="60693" spans="1:141" s="116" customFormat="1">
      <c r="A60693" s="136"/>
      <c r="CM60693" s="111"/>
      <c r="CQ60693" s="111"/>
      <c r="EF60693"/>
      <c r="EG60693"/>
      <c r="EH60693"/>
      <c r="EI60693"/>
      <c r="EJ60693"/>
      <c r="EK60693"/>
    </row>
    <row r="60694" spans="1:141" s="116" customFormat="1">
      <c r="A60694" s="136"/>
      <c r="CM60694" s="111"/>
      <c r="CQ60694" s="111"/>
      <c r="EF60694"/>
      <c r="EG60694"/>
      <c r="EH60694"/>
      <c r="EI60694"/>
      <c r="EJ60694"/>
      <c r="EK60694"/>
    </row>
    <row r="60695" spans="1:141" s="116" customFormat="1">
      <c r="A60695" s="136"/>
      <c r="CM60695" s="111"/>
      <c r="CQ60695" s="111"/>
      <c r="EF60695"/>
      <c r="EG60695"/>
      <c r="EH60695"/>
      <c r="EI60695"/>
      <c r="EJ60695"/>
      <c r="EK60695"/>
    </row>
    <row r="60696" spans="1:141" s="116" customFormat="1">
      <c r="A60696" s="136"/>
      <c r="CM60696" s="111"/>
      <c r="CQ60696" s="111"/>
      <c r="EF60696"/>
      <c r="EG60696"/>
      <c r="EH60696"/>
      <c r="EI60696"/>
      <c r="EJ60696"/>
      <c r="EK60696"/>
    </row>
    <row r="60697" spans="1:141" s="116" customFormat="1">
      <c r="A60697" s="136"/>
      <c r="CM60697" s="111"/>
      <c r="CQ60697" s="111"/>
      <c r="EF60697"/>
      <c r="EG60697"/>
      <c r="EH60697"/>
      <c r="EI60697"/>
      <c r="EJ60697"/>
      <c r="EK60697"/>
    </row>
    <row r="60698" spans="1:141" s="116" customFormat="1">
      <c r="A60698" s="136"/>
      <c r="CM60698" s="111"/>
      <c r="CQ60698" s="111"/>
      <c r="EF60698"/>
      <c r="EG60698"/>
      <c r="EH60698"/>
      <c r="EI60698"/>
      <c r="EJ60698"/>
      <c r="EK60698"/>
    </row>
    <row r="60699" spans="1:141" s="116" customFormat="1">
      <c r="A60699" s="136"/>
      <c r="CM60699" s="111"/>
      <c r="CQ60699" s="111"/>
      <c r="EF60699"/>
      <c r="EG60699"/>
      <c r="EH60699"/>
      <c r="EI60699"/>
      <c r="EJ60699"/>
      <c r="EK60699"/>
    </row>
    <row r="60700" spans="1:141" s="116" customFormat="1">
      <c r="A60700" s="136"/>
      <c r="CM60700" s="111"/>
      <c r="CQ60700" s="111"/>
      <c r="EF60700"/>
      <c r="EG60700"/>
      <c r="EH60700"/>
      <c r="EI60700"/>
      <c r="EJ60700"/>
      <c r="EK60700"/>
    </row>
    <row r="60701" spans="1:141" s="116" customFormat="1">
      <c r="A60701" s="136"/>
      <c r="CM60701" s="111"/>
      <c r="CQ60701" s="111"/>
      <c r="EF60701"/>
      <c r="EG60701"/>
      <c r="EH60701"/>
      <c r="EI60701"/>
      <c r="EJ60701"/>
      <c r="EK60701"/>
    </row>
    <row r="60702" spans="1:141" s="116" customFormat="1">
      <c r="A60702" s="136"/>
      <c r="CM60702" s="111"/>
      <c r="CQ60702" s="111"/>
      <c r="EF60702"/>
      <c r="EG60702"/>
      <c r="EH60702"/>
      <c r="EI60702"/>
      <c r="EJ60702"/>
      <c r="EK60702"/>
    </row>
    <row r="60703" spans="1:141" s="116" customFormat="1">
      <c r="A60703" s="136"/>
      <c r="CM60703" s="111"/>
      <c r="CQ60703" s="111"/>
      <c r="EF60703"/>
      <c r="EG60703"/>
      <c r="EH60703"/>
      <c r="EI60703"/>
      <c r="EJ60703"/>
      <c r="EK60703"/>
    </row>
    <row r="60704" spans="1:141" s="116" customFormat="1">
      <c r="A60704" s="136"/>
      <c r="CM60704" s="111"/>
      <c r="CQ60704" s="111"/>
      <c r="EF60704"/>
      <c r="EG60704"/>
      <c r="EH60704"/>
      <c r="EI60704"/>
      <c r="EJ60704"/>
      <c r="EK60704"/>
    </row>
    <row r="60705" spans="1:141" s="116" customFormat="1">
      <c r="A60705" s="136"/>
      <c r="CM60705" s="111"/>
      <c r="CQ60705" s="111"/>
      <c r="EF60705"/>
      <c r="EG60705"/>
      <c r="EH60705"/>
      <c r="EI60705"/>
      <c r="EJ60705"/>
      <c r="EK60705"/>
    </row>
    <row r="60706" spans="1:141" s="116" customFormat="1">
      <c r="A60706" s="136"/>
      <c r="CM60706" s="111"/>
      <c r="CQ60706" s="111"/>
      <c r="EF60706"/>
      <c r="EG60706"/>
      <c r="EH60706"/>
      <c r="EI60706"/>
      <c r="EJ60706"/>
      <c r="EK60706"/>
    </row>
    <row r="60707" spans="1:141" s="116" customFormat="1">
      <c r="A60707" s="136"/>
      <c r="CM60707" s="111"/>
      <c r="CQ60707" s="111"/>
      <c r="EF60707"/>
      <c r="EG60707"/>
      <c r="EH60707"/>
      <c r="EI60707"/>
      <c r="EJ60707"/>
      <c r="EK60707"/>
    </row>
    <row r="60708" spans="1:141" s="116" customFormat="1">
      <c r="A60708" s="136"/>
      <c r="CM60708" s="111"/>
      <c r="CQ60708" s="111"/>
      <c r="EF60708"/>
      <c r="EG60708"/>
      <c r="EH60708"/>
      <c r="EI60708"/>
      <c r="EJ60708"/>
      <c r="EK60708"/>
    </row>
    <row r="60709" spans="1:141" s="116" customFormat="1">
      <c r="A60709" s="136"/>
      <c r="CM60709" s="111"/>
      <c r="CQ60709" s="111"/>
      <c r="EF60709"/>
      <c r="EG60709"/>
      <c r="EH60709"/>
      <c r="EI60709"/>
      <c r="EJ60709"/>
      <c r="EK60709"/>
    </row>
    <row r="60710" spans="1:141" s="116" customFormat="1">
      <c r="A60710" s="136"/>
      <c r="CM60710" s="111"/>
      <c r="CQ60710" s="111"/>
      <c r="EF60710"/>
      <c r="EG60710"/>
      <c r="EH60710"/>
      <c r="EI60710"/>
      <c r="EJ60710"/>
      <c r="EK60710"/>
    </row>
    <row r="60711" spans="1:141" s="116" customFormat="1">
      <c r="A60711" s="136"/>
      <c r="CM60711" s="111"/>
      <c r="CQ60711" s="111"/>
      <c r="EF60711"/>
      <c r="EG60711"/>
      <c r="EH60711"/>
      <c r="EI60711"/>
      <c r="EJ60711"/>
      <c r="EK60711"/>
    </row>
    <row r="60712" spans="1:141" s="116" customFormat="1">
      <c r="A60712" s="136"/>
      <c r="CM60712" s="111"/>
      <c r="CQ60712" s="111"/>
      <c r="EF60712"/>
      <c r="EG60712"/>
      <c r="EH60712"/>
      <c r="EI60712"/>
      <c r="EJ60712"/>
      <c r="EK60712"/>
    </row>
    <row r="60713" spans="1:141" s="116" customFormat="1">
      <c r="A60713" s="136"/>
      <c r="CM60713" s="111"/>
      <c r="CQ60713" s="111"/>
      <c r="EF60713"/>
      <c r="EG60713"/>
      <c r="EH60713"/>
      <c r="EI60713"/>
      <c r="EJ60713"/>
      <c r="EK60713"/>
    </row>
    <row r="60714" spans="1:141" s="116" customFormat="1">
      <c r="A60714" s="136"/>
      <c r="CM60714" s="111"/>
      <c r="CQ60714" s="111"/>
      <c r="EF60714"/>
      <c r="EG60714"/>
      <c r="EH60714"/>
      <c r="EI60714"/>
      <c r="EJ60714"/>
      <c r="EK60714"/>
    </row>
    <row r="60715" spans="1:141" s="116" customFormat="1">
      <c r="A60715" s="136"/>
      <c r="CM60715" s="111"/>
      <c r="CQ60715" s="111"/>
      <c r="EF60715"/>
      <c r="EG60715"/>
      <c r="EH60715"/>
      <c r="EI60715"/>
      <c r="EJ60715"/>
      <c r="EK60715"/>
    </row>
    <row r="60716" spans="1:141" s="116" customFormat="1">
      <c r="A60716" s="136"/>
      <c r="CM60716" s="111"/>
      <c r="CQ60716" s="111"/>
      <c r="EF60716"/>
      <c r="EG60716"/>
      <c r="EH60716"/>
      <c r="EI60716"/>
      <c r="EJ60716"/>
      <c r="EK60716"/>
    </row>
    <row r="60717" spans="1:141" s="116" customFormat="1">
      <c r="A60717" s="136"/>
      <c r="CM60717" s="111"/>
      <c r="CQ60717" s="111"/>
      <c r="EF60717"/>
      <c r="EG60717"/>
      <c r="EH60717"/>
      <c r="EI60717"/>
      <c r="EJ60717"/>
      <c r="EK60717"/>
    </row>
    <row r="60718" spans="1:141" s="116" customFormat="1">
      <c r="A60718" s="136"/>
      <c r="CM60718" s="111"/>
      <c r="CQ60718" s="111"/>
      <c r="EF60718"/>
      <c r="EG60718"/>
      <c r="EH60718"/>
      <c r="EI60718"/>
      <c r="EJ60718"/>
      <c r="EK60718"/>
    </row>
    <row r="60719" spans="1:141" s="116" customFormat="1">
      <c r="A60719" s="136"/>
      <c r="CM60719" s="111"/>
      <c r="CQ60719" s="111"/>
      <c r="EF60719"/>
      <c r="EG60719"/>
      <c r="EH60719"/>
      <c r="EI60719"/>
      <c r="EJ60719"/>
      <c r="EK60719"/>
    </row>
    <row r="60720" spans="1:141" s="116" customFormat="1">
      <c r="A60720" s="136"/>
      <c r="CM60720" s="111"/>
      <c r="CQ60720" s="111"/>
      <c r="EF60720"/>
      <c r="EG60720"/>
      <c r="EH60720"/>
      <c r="EI60720"/>
      <c r="EJ60720"/>
      <c r="EK60720"/>
    </row>
    <row r="60721" spans="1:141" s="116" customFormat="1">
      <c r="A60721" s="136"/>
      <c r="CM60721" s="111"/>
      <c r="CQ60721" s="111"/>
      <c r="EF60721"/>
      <c r="EG60721"/>
      <c r="EH60721"/>
      <c r="EI60721"/>
      <c r="EJ60721"/>
      <c r="EK60721"/>
    </row>
    <row r="60722" spans="1:141" s="116" customFormat="1">
      <c r="A60722" s="136"/>
      <c r="CM60722" s="111"/>
      <c r="CQ60722" s="111"/>
      <c r="EF60722"/>
      <c r="EG60722"/>
      <c r="EH60722"/>
      <c r="EI60722"/>
      <c r="EJ60722"/>
      <c r="EK60722"/>
    </row>
    <row r="60723" spans="1:141" s="116" customFormat="1">
      <c r="A60723" s="136"/>
      <c r="CM60723" s="111"/>
      <c r="CQ60723" s="111"/>
      <c r="EF60723"/>
      <c r="EG60723"/>
      <c r="EH60723"/>
      <c r="EI60723"/>
      <c r="EJ60723"/>
      <c r="EK60723"/>
    </row>
    <row r="60724" spans="1:141" s="116" customFormat="1">
      <c r="A60724" s="136"/>
      <c r="CM60724" s="111"/>
      <c r="CQ60724" s="111"/>
      <c r="EF60724"/>
      <c r="EG60724"/>
      <c r="EH60724"/>
      <c r="EI60724"/>
      <c r="EJ60724"/>
      <c r="EK60724"/>
    </row>
    <row r="60725" spans="1:141" s="116" customFormat="1">
      <c r="A60725" s="136"/>
      <c r="CM60725" s="111"/>
      <c r="CQ60725" s="111"/>
      <c r="EF60725"/>
      <c r="EG60725"/>
      <c r="EH60725"/>
      <c r="EI60725"/>
      <c r="EJ60725"/>
      <c r="EK60725"/>
    </row>
    <row r="60726" spans="1:141" s="116" customFormat="1">
      <c r="A60726" s="136"/>
      <c r="CM60726" s="111"/>
      <c r="CQ60726" s="111"/>
      <c r="EF60726"/>
      <c r="EG60726"/>
      <c r="EH60726"/>
      <c r="EI60726"/>
      <c r="EJ60726"/>
      <c r="EK60726"/>
    </row>
    <row r="60727" spans="1:141" s="116" customFormat="1">
      <c r="A60727" s="136"/>
      <c r="CM60727" s="111"/>
      <c r="CQ60727" s="111"/>
      <c r="EF60727"/>
      <c r="EG60727"/>
      <c r="EH60727"/>
      <c r="EI60727"/>
      <c r="EJ60727"/>
      <c r="EK60727"/>
    </row>
    <row r="60728" spans="1:141" s="116" customFormat="1">
      <c r="A60728" s="136"/>
      <c r="CM60728" s="111"/>
      <c r="CQ60728" s="111"/>
      <c r="EF60728"/>
      <c r="EG60728"/>
      <c r="EH60728"/>
      <c r="EI60728"/>
      <c r="EJ60728"/>
      <c r="EK60728"/>
    </row>
    <row r="60729" spans="1:141" s="116" customFormat="1">
      <c r="A60729" s="136"/>
      <c r="CM60729" s="111"/>
      <c r="CQ60729" s="111"/>
      <c r="EF60729"/>
      <c r="EG60729"/>
      <c r="EH60729"/>
      <c r="EI60729"/>
      <c r="EJ60729"/>
      <c r="EK60729"/>
    </row>
    <row r="60730" spans="1:141" s="116" customFormat="1">
      <c r="A60730" s="136"/>
      <c r="CM60730" s="111"/>
      <c r="CQ60730" s="111"/>
      <c r="EF60730"/>
      <c r="EG60730"/>
      <c r="EH60730"/>
      <c r="EI60730"/>
      <c r="EJ60730"/>
      <c r="EK60730"/>
    </row>
    <row r="60731" spans="1:141" s="116" customFormat="1">
      <c r="A60731" s="136"/>
      <c r="CM60731" s="111"/>
      <c r="CQ60731" s="111"/>
      <c r="EF60731"/>
      <c r="EG60731"/>
      <c r="EH60731"/>
      <c r="EI60731"/>
      <c r="EJ60731"/>
      <c r="EK60731"/>
    </row>
    <row r="60732" spans="1:141" s="116" customFormat="1">
      <c r="A60732" s="136"/>
      <c r="CM60732" s="111"/>
      <c r="CQ60732" s="111"/>
      <c r="EF60732"/>
      <c r="EG60732"/>
      <c r="EH60732"/>
      <c r="EI60732"/>
      <c r="EJ60732"/>
      <c r="EK60732"/>
    </row>
    <row r="60733" spans="1:141" s="116" customFormat="1">
      <c r="A60733" s="136"/>
      <c r="CM60733" s="111"/>
      <c r="CQ60733" s="111"/>
      <c r="EF60733"/>
      <c r="EG60733"/>
      <c r="EH60733"/>
      <c r="EI60733"/>
      <c r="EJ60733"/>
      <c r="EK60733"/>
    </row>
    <row r="60734" spans="1:141" s="116" customFormat="1">
      <c r="A60734" s="136"/>
      <c r="CM60734" s="111"/>
      <c r="CQ60734" s="111"/>
      <c r="EF60734"/>
      <c r="EG60734"/>
      <c r="EH60734"/>
      <c r="EI60734"/>
      <c r="EJ60734"/>
      <c r="EK60734"/>
    </row>
    <row r="60735" spans="1:141" s="116" customFormat="1">
      <c r="A60735" s="136"/>
      <c r="CM60735" s="111"/>
      <c r="CQ60735" s="111"/>
      <c r="EF60735"/>
      <c r="EG60735"/>
      <c r="EH60735"/>
      <c r="EI60735"/>
      <c r="EJ60735"/>
      <c r="EK60735"/>
    </row>
    <row r="60736" spans="1:141" s="116" customFormat="1">
      <c r="A60736" s="136"/>
      <c r="CM60736" s="111"/>
      <c r="CQ60736" s="111"/>
      <c r="EF60736"/>
      <c r="EG60736"/>
      <c r="EH60736"/>
      <c r="EI60736"/>
      <c r="EJ60736"/>
      <c r="EK60736"/>
    </row>
    <row r="60737" spans="1:141" s="116" customFormat="1">
      <c r="A60737" s="136"/>
      <c r="CM60737" s="111"/>
      <c r="CQ60737" s="111"/>
      <c r="EF60737"/>
      <c r="EG60737"/>
      <c r="EH60737"/>
      <c r="EI60737"/>
      <c r="EJ60737"/>
      <c r="EK60737"/>
    </row>
    <row r="60738" spans="1:141" s="116" customFormat="1">
      <c r="A60738" s="136"/>
      <c r="CM60738" s="111"/>
      <c r="CQ60738" s="111"/>
      <c r="EF60738"/>
      <c r="EG60738"/>
      <c r="EH60738"/>
      <c r="EI60738"/>
      <c r="EJ60738"/>
      <c r="EK60738"/>
    </row>
    <row r="60739" spans="1:141" s="116" customFormat="1">
      <c r="A60739" s="136"/>
      <c r="CM60739" s="111"/>
      <c r="CQ60739" s="111"/>
      <c r="EF60739"/>
      <c r="EG60739"/>
      <c r="EH60739"/>
      <c r="EI60739"/>
      <c r="EJ60739"/>
      <c r="EK60739"/>
    </row>
    <row r="60740" spans="1:141" s="116" customFormat="1">
      <c r="A60740" s="136"/>
      <c r="CM60740" s="111"/>
      <c r="CQ60740" s="111"/>
      <c r="EF60740"/>
      <c r="EG60740"/>
      <c r="EH60740"/>
      <c r="EI60740"/>
      <c r="EJ60740"/>
      <c r="EK60740"/>
    </row>
    <row r="60741" spans="1:141" s="116" customFormat="1">
      <c r="A60741" s="136"/>
      <c r="CM60741" s="111"/>
      <c r="CQ60741" s="111"/>
      <c r="EF60741"/>
      <c r="EG60741"/>
      <c r="EH60741"/>
      <c r="EI60741"/>
      <c r="EJ60741"/>
      <c r="EK60741"/>
    </row>
    <row r="60742" spans="1:141" s="116" customFormat="1">
      <c r="A60742" s="136"/>
      <c r="CM60742" s="111"/>
      <c r="CQ60742" s="111"/>
      <c r="EF60742"/>
      <c r="EG60742"/>
      <c r="EH60742"/>
      <c r="EI60742"/>
      <c r="EJ60742"/>
      <c r="EK60742"/>
    </row>
    <row r="60743" spans="1:141" s="116" customFormat="1">
      <c r="A60743" s="136"/>
      <c r="CM60743" s="111"/>
      <c r="CQ60743" s="111"/>
      <c r="EF60743"/>
      <c r="EG60743"/>
      <c r="EH60743"/>
      <c r="EI60743"/>
      <c r="EJ60743"/>
      <c r="EK60743"/>
    </row>
    <row r="60744" spans="1:141" s="116" customFormat="1">
      <c r="A60744" s="136"/>
      <c r="CM60744" s="111"/>
      <c r="CQ60744" s="111"/>
      <c r="EF60744"/>
      <c r="EG60744"/>
      <c r="EH60744"/>
      <c r="EI60744"/>
      <c r="EJ60744"/>
      <c r="EK60744"/>
    </row>
    <row r="60745" spans="1:141" s="116" customFormat="1">
      <c r="A60745" s="136"/>
      <c r="CM60745" s="111"/>
      <c r="CQ60745" s="111"/>
      <c r="EF60745"/>
      <c r="EG60745"/>
      <c r="EH60745"/>
      <c r="EI60745"/>
      <c r="EJ60745"/>
      <c r="EK60745"/>
    </row>
    <row r="60746" spans="1:141" s="116" customFormat="1">
      <c r="A60746" s="136"/>
      <c r="CM60746" s="111"/>
      <c r="CQ60746" s="111"/>
      <c r="EF60746"/>
      <c r="EG60746"/>
      <c r="EH60746"/>
      <c r="EI60746"/>
      <c r="EJ60746"/>
      <c r="EK60746"/>
    </row>
    <row r="60747" spans="1:141" s="116" customFormat="1">
      <c r="A60747" s="136"/>
      <c r="CM60747" s="111"/>
      <c r="CQ60747" s="111"/>
      <c r="EF60747"/>
      <c r="EG60747"/>
      <c r="EH60747"/>
      <c r="EI60747"/>
      <c r="EJ60747"/>
      <c r="EK60747"/>
    </row>
    <row r="60748" spans="1:141" s="116" customFormat="1">
      <c r="A60748" s="136"/>
      <c r="CM60748" s="111"/>
      <c r="CQ60748" s="111"/>
      <c r="EF60748"/>
      <c r="EG60748"/>
      <c r="EH60748"/>
      <c r="EI60748"/>
      <c r="EJ60748"/>
      <c r="EK60748"/>
    </row>
    <row r="60749" spans="1:141" s="116" customFormat="1">
      <c r="A60749" s="136"/>
      <c r="CM60749" s="111"/>
      <c r="CQ60749" s="111"/>
      <c r="EF60749"/>
      <c r="EG60749"/>
      <c r="EH60749"/>
      <c r="EI60749"/>
      <c r="EJ60749"/>
      <c r="EK60749"/>
    </row>
    <row r="60750" spans="1:141" s="116" customFormat="1">
      <c r="A60750" s="136"/>
      <c r="CM60750" s="111"/>
      <c r="CQ60750" s="111"/>
      <c r="EF60750"/>
      <c r="EG60750"/>
      <c r="EH60750"/>
      <c r="EI60750"/>
      <c r="EJ60750"/>
      <c r="EK60750"/>
    </row>
    <row r="60751" spans="1:141" s="116" customFormat="1">
      <c r="A60751" s="136"/>
      <c r="CM60751" s="111"/>
      <c r="CQ60751" s="111"/>
      <c r="EF60751"/>
      <c r="EG60751"/>
      <c r="EH60751"/>
      <c r="EI60751"/>
      <c r="EJ60751"/>
      <c r="EK60751"/>
    </row>
    <row r="60752" spans="1:141" s="116" customFormat="1">
      <c r="A60752" s="136"/>
      <c r="CM60752" s="111"/>
      <c r="CQ60752" s="111"/>
      <c r="EF60752"/>
      <c r="EG60752"/>
      <c r="EH60752"/>
      <c r="EI60752"/>
      <c r="EJ60752"/>
      <c r="EK60752"/>
    </row>
    <row r="60753" spans="1:141" s="116" customFormat="1">
      <c r="A60753" s="136"/>
      <c r="CM60753" s="111"/>
      <c r="CQ60753" s="111"/>
      <c r="EF60753"/>
      <c r="EG60753"/>
      <c r="EH60753"/>
      <c r="EI60753"/>
      <c r="EJ60753"/>
      <c r="EK60753"/>
    </row>
    <row r="60754" spans="1:141" s="116" customFormat="1">
      <c r="A60754" s="136"/>
      <c r="CM60754" s="111"/>
      <c r="CQ60754" s="111"/>
      <c r="EF60754"/>
      <c r="EG60754"/>
      <c r="EH60754"/>
      <c r="EI60754"/>
      <c r="EJ60754"/>
      <c r="EK60754"/>
    </row>
    <row r="60755" spans="1:141" s="116" customFormat="1">
      <c r="A60755" s="136"/>
      <c r="CM60755" s="111"/>
      <c r="CQ60755" s="111"/>
      <c r="EF60755"/>
      <c r="EG60755"/>
      <c r="EH60755"/>
      <c r="EI60755"/>
      <c r="EJ60755"/>
      <c r="EK60755"/>
    </row>
    <row r="60756" spans="1:141" s="116" customFormat="1">
      <c r="A60756" s="136"/>
      <c r="CM60756" s="111"/>
      <c r="CQ60756" s="111"/>
      <c r="EF60756"/>
      <c r="EG60756"/>
      <c r="EH60756"/>
      <c r="EI60756"/>
      <c r="EJ60756"/>
      <c r="EK60756"/>
    </row>
    <row r="60757" spans="1:141" s="116" customFormat="1">
      <c r="A60757" s="136"/>
      <c r="CM60757" s="111"/>
      <c r="CQ60757" s="111"/>
      <c r="EF60757"/>
      <c r="EG60757"/>
      <c r="EH60757"/>
      <c r="EI60757"/>
      <c r="EJ60757"/>
      <c r="EK60757"/>
    </row>
    <row r="60758" spans="1:141" s="116" customFormat="1">
      <c r="A60758" s="136"/>
      <c r="CM60758" s="111"/>
      <c r="CQ60758" s="111"/>
      <c r="EF60758"/>
      <c r="EG60758"/>
      <c r="EH60758"/>
      <c r="EI60758"/>
      <c r="EJ60758"/>
      <c r="EK60758"/>
    </row>
    <row r="60759" spans="1:141" s="116" customFormat="1">
      <c r="A60759" s="136"/>
      <c r="CM60759" s="111"/>
      <c r="CQ60759" s="111"/>
      <c r="EF60759"/>
      <c r="EG60759"/>
      <c r="EH60759"/>
      <c r="EI60759"/>
      <c r="EJ60759"/>
      <c r="EK60759"/>
    </row>
    <row r="60760" spans="1:141" s="116" customFormat="1">
      <c r="A60760" s="136"/>
      <c r="CM60760" s="111"/>
      <c r="CQ60760" s="111"/>
      <c r="EF60760"/>
      <c r="EG60760"/>
      <c r="EH60760"/>
      <c r="EI60760"/>
      <c r="EJ60760"/>
      <c r="EK60760"/>
    </row>
    <row r="60761" spans="1:141" s="116" customFormat="1">
      <c r="A60761" s="136"/>
      <c r="CM60761" s="111"/>
      <c r="CQ60761" s="111"/>
      <c r="EF60761"/>
      <c r="EG60761"/>
      <c r="EH60761"/>
      <c r="EI60761"/>
      <c r="EJ60761"/>
      <c r="EK60761"/>
    </row>
    <row r="60762" spans="1:141" s="116" customFormat="1">
      <c r="A60762" s="136"/>
      <c r="CM60762" s="111"/>
      <c r="CQ60762" s="111"/>
      <c r="EF60762"/>
      <c r="EG60762"/>
      <c r="EH60762"/>
      <c r="EI60762"/>
      <c r="EJ60762"/>
      <c r="EK60762"/>
    </row>
    <row r="60763" spans="1:141" s="116" customFormat="1">
      <c r="A60763" s="136"/>
      <c r="CM60763" s="111"/>
      <c r="CQ60763" s="111"/>
      <c r="EF60763"/>
      <c r="EG60763"/>
      <c r="EH60763"/>
      <c r="EI60763"/>
      <c r="EJ60763"/>
      <c r="EK60763"/>
    </row>
    <row r="60764" spans="1:141" s="116" customFormat="1">
      <c r="A60764" s="136"/>
      <c r="CM60764" s="111"/>
      <c r="CQ60764" s="111"/>
      <c r="EF60764"/>
      <c r="EG60764"/>
      <c r="EH60764"/>
      <c r="EI60764"/>
      <c r="EJ60764"/>
      <c r="EK60764"/>
    </row>
    <row r="60765" spans="1:141" s="116" customFormat="1">
      <c r="A60765" s="136"/>
      <c r="CM60765" s="111"/>
      <c r="CQ60765" s="111"/>
      <c r="EF60765"/>
      <c r="EG60765"/>
      <c r="EH60765"/>
      <c r="EI60765"/>
      <c r="EJ60765"/>
      <c r="EK60765"/>
    </row>
    <row r="60766" spans="1:141" s="116" customFormat="1">
      <c r="A60766" s="136"/>
      <c r="CM60766" s="111"/>
      <c r="CQ60766" s="111"/>
      <c r="EF60766"/>
      <c r="EG60766"/>
      <c r="EH60766"/>
      <c r="EI60766"/>
      <c r="EJ60766"/>
      <c r="EK60766"/>
    </row>
    <row r="60767" spans="1:141" s="116" customFormat="1">
      <c r="A60767" s="136"/>
      <c r="CM60767" s="111"/>
      <c r="CQ60767" s="111"/>
      <c r="EF60767"/>
      <c r="EG60767"/>
      <c r="EH60767"/>
      <c r="EI60767"/>
      <c r="EJ60767"/>
      <c r="EK60767"/>
    </row>
    <row r="60768" spans="1:141" s="116" customFormat="1">
      <c r="A60768" s="136"/>
      <c r="CM60768" s="111"/>
      <c r="CQ60768" s="111"/>
      <c r="EF60768"/>
      <c r="EG60768"/>
      <c r="EH60768"/>
      <c r="EI60768"/>
      <c r="EJ60768"/>
      <c r="EK60768"/>
    </row>
    <row r="60769" spans="1:141" s="116" customFormat="1">
      <c r="A60769" s="136"/>
      <c r="CM60769" s="111"/>
      <c r="CQ60769" s="111"/>
      <c r="EF60769"/>
      <c r="EG60769"/>
      <c r="EH60769"/>
      <c r="EI60769"/>
      <c r="EJ60769"/>
      <c r="EK60769"/>
    </row>
    <row r="60770" spans="1:141" s="116" customFormat="1">
      <c r="A60770" s="136"/>
      <c r="CM60770" s="111"/>
      <c r="CQ60770" s="111"/>
      <c r="EF60770"/>
      <c r="EG60770"/>
      <c r="EH60770"/>
      <c r="EI60770"/>
      <c r="EJ60770"/>
      <c r="EK60770"/>
    </row>
    <row r="60771" spans="1:141" s="116" customFormat="1">
      <c r="A60771" s="136"/>
      <c r="CM60771" s="111"/>
      <c r="CQ60771" s="111"/>
      <c r="EF60771"/>
      <c r="EG60771"/>
      <c r="EH60771"/>
      <c r="EI60771"/>
      <c r="EJ60771"/>
      <c r="EK60771"/>
    </row>
    <row r="60772" spans="1:141" s="116" customFormat="1">
      <c r="A60772" s="136"/>
      <c r="CM60772" s="111"/>
      <c r="CQ60772" s="111"/>
      <c r="EF60772"/>
      <c r="EG60772"/>
      <c r="EH60772"/>
      <c r="EI60772"/>
      <c r="EJ60772"/>
      <c r="EK60772"/>
    </row>
    <row r="60773" spans="1:141" s="116" customFormat="1">
      <c r="A60773" s="136"/>
      <c r="CM60773" s="111"/>
      <c r="CQ60773" s="111"/>
      <c r="EF60773"/>
      <c r="EG60773"/>
      <c r="EH60773"/>
      <c r="EI60773"/>
      <c r="EJ60773"/>
      <c r="EK60773"/>
    </row>
    <row r="60774" spans="1:141" s="116" customFormat="1">
      <c r="A60774" s="136"/>
      <c r="CM60774" s="111"/>
      <c r="CQ60774" s="111"/>
      <c r="EF60774"/>
      <c r="EG60774"/>
      <c r="EH60774"/>
      <c r="EI60774"/>
      <c r="EJ60774"/>
      <c r="EK60774"/>
    </row>
    <row r="60775" spans="1:141" s="116" customFormat="1">
      <c r="A60775" s="136"/>
      <c r="CM60775" s="111"/>
      <c r="CQ60775" s="111"/>
      <c r="EF60775"/>
      <c r="EG60775"/>
      <c r="EH60775"/>
      <c r="EI60775"/>
      <c r="EJ60775"/>
      <c r="EK60775"/>
    </row>
    <row r="60776" spans="1:141" s="116" customFormat="1">
      <c r="A60776" s="136"/>
      <c r="CM60776" s="111"/>
      <c r="CQ60776" s="111"/>
      <c r="EF60776"/>
      <c r="EG60776"/>
      <c r="EH60776"/>
      <c r="EI60776"/>
      <c r="EJ60776"/>
      <c r="EK60776"/>
    </row>
    <row r="60777" spans="1:141" s="116" customFormat="1">
      <c r="A60777" s="136"/>
      <c r="CM60777" s="111"/>
      <c r="CQ60777" s="111"/>
      <c r="EF60777"/>
      <c r="EG60777"/>
      <c r="EH60777"/>
      <c r="EI60777"/>
      <c r="EJ60777"/>
      <c r="EK60777"/>
    </row>
    <row r="60778" spans="1:141" s="116" customFormat="1">
      <c r="A60778" s="136"/>
      <c r="CM60778" s="111"/>
      <c r="CQ60778" s="111"/>
      <c r="EF60778"/>
      <c r="EG60778"/>
      <c r="EH60778"/>
      <c r="EI60778"/>
      <c r="EJ60778"/>
      <c r="EK60778"/>
    </row>
    <row r="60779" spans="1:141" s="116" customFormat="1">
      <c r="A60779" s="136"/>
      <c r="CM60779" s="111"/>
      <c r="CQ60779" s="111"/>
      <c r="EF60779"/>
      <c r="EG60779"/>
      <c r="EH60779"/>
      <c r="EI60779"/>
      <c r="EJ60779"/>
      <c r="EK60779"/>
    </row>
    <row r="60780" spans="1:141" s="116" customFormat="1">
      <c r="A60780" s="136"/>
      <c r="CM60780" s="111"/>
      <c r="CQ60780" s="111"/>
      <c r="EF60780"/>
      <c r="EG60780"/>
      <c r="EH60780"/>
      <c r="EI60780"/>
      <c r="EJ60780"/>
      <c r="EK60780"/>
    </row>
    <row r="60781" spans="1:141" s="116" customFormat="1">
      <c r="A60781" s="136"/>
      <c r="CM60781" s="111"/>
      <c r="CQ60781" s="111"/>
      <c r="EF60781"/>
      <c r="EG60781"/>
      <c r="EH60781"/>
      <c r="EI60781"/>
      <c r="EJ60781"/>
      <c r="EK60781"/>
    </row>
    <row r="60782" spans="1:141" s="116" customFormat="1">
      <c r="A60782" s="136"/>
      <c r="CM60782" s="111"/>
      <c r="CQ60782" s="111"/>
      <c r="EF60782"/>
      <c r="EG60782"/>
      <c r="EH60782"/>
      <c r="EI60782"/>
      <c r="EJ60782"/>
      <c r="EK60782"/>
    </row>
    <row r="60783" spans="1:141" s="116" customFormat="1">
      <c r="A60783" s="136"/>
      <c r="CM60783" s="111"/>
      <c r="CQ60783" s="111"/>
      <c r="EF60783"/>
      <c r="EG60783"/>
      <c r="EH60783"/>
      <c r="EI60783"/>
      <c r="EJ60783"/>
      <c r="EK60783"/>
    </row>
    <row r="60784" spans="1:141" s="116" customFormat="1">
      <c r="A60784" s="136"/>
      <c r="CM60784" s="111"/>
      <c r="CQ60784" s="111"/>
      <c r="EF60784"/>
      <c r="EG60784"/>
      <c r="EH60784"/>
      <c r="EI60784"/>
      <c r="EJ60784"/>
      <c r="EK60784"/>
    </row>
    <row r="60785" spans="1:141" s="116" customFormat="1">
      <c r="A60785" s="136"/>
      <c r="CM60785" s="111"/>
      <c r="CQ60785" s="111"/>
      <c r="EF60785"/>
      <c r="EG60785"/>
      <c r="EH60785"/>
      <c r="EI60785"/>
      <c r="EJ60785"/>
      <c r="EK60785"/>
    </row>
    <row r="60786" spans="1:141" s="116" customFormat="1">
      <c r="A60786" s="136"/>
      <c r="CM60786" s="111"/>
      <c r="CQ60786" s="111"/>
      <c r="EF60786"/>
      <c r="EG60786"/>
      <c r="EH60786"/>
      <c r="EI60786"/>
      <c r="EJ60786"/>
      <c r="EK60786"/>
    </row>
    <row r="60787" spans="1:141" s="116" customFormat="1">
      <c r="A60787" s="136"/>
      <c r="CM60787" s="111"/>
      <c r="CQ60787" s="111"/>
      <c r="EF60787"/>
      <c r="EG60787"/>
      <c r="EH60787"/>
      <c r="EI60787"/>
      <c r="EJ60787"/>
      <c r="EK60787"/>
    </row>
    <row r="60788" spans="1:141" s="116" customFormat="1">
      <c r="A60788" s="136"/>
      <c r="CM60788" s="111"/>
      <c r="CQ60788" s="111"/>
      <c r="EF60788"/>
      <c r="EG60788"/>
      <c r="EH60788"/>
      <c r="EI60788"/>
      <c r="EJ60788"/>
      <c r="EK60788"/>
    </row>
    <row r="60789" spans="1:141" s="116" customFormat="1">
      <c r="A60789" s="136"/>
      <c r="CM60789" s="111"/>
      <c r="CQ60789" s="111"/>
      <c r="EF60789"/>
      <c r="EG60789"/>
      <c r="EH60789"/>
      <c r="EI60789"/>
      <c r="EJ60789"/>
      <c r="EK60789"/>
    </row>
    <row r="60790" spans="1:141" s="116" customFormat="1">
      <c r="A60790" s="136"/>
      <c r="CM60790" s="111"/>
      <c r="CQ60790" s="111"/>
      <c r="EF60790"/>
      <c r="EG60790"/>
      <c r="EH60790"/>
      <c r="EI60790"/>
      <c r="EJ60790"/>
      <c r="EK60790"/>
    </row>
    <row r="60791" spans="1:141" s="116" customFormat="1">
      <c r="A60791" s="136"/>
      <c r="CM60791" s="111"/>
      <c r="CQ60791" s="111"/>
      <c r="EF60791"/>
      <c r="EG60791"/>
      <c r="EH60791"/>
      <c r="EI60791"/>
      <c r="EJ60791"/>
      <c r="EK60791"/>
    </row>
    <row r="60792" spans="1:141" s="116" customFormat="1">
      <c r="A60792" s="136"/>
      <c r="CM60792" s="111"/>
      <c r="CQ60792" s="111"/>
      <c r="EF60792"/>
      <c r="EG60792"/>
      <c r="EH60792"/>
      <c r="EI60792"/>
      <c r="EJ60792"/>
      <c r="EK60792"/>
    </row>
    <row r="60793" spans="1:141" s="116" customFormat="1">
      <c r="A60793" s="136"/>
      <c r="CM60793" s="111"/>
      <c r="CQ60793" s="111"/>
      <c r="EF60793"/>
      <c r="EG60793"/>
      <c r="EH60793"/>
      <c r="EI60793"/>
      <c r="EJ60793"/>
      <c r="EK60793"/>
    </row>
    <row r="60794" spans="1:141" s="116" customFormat="1">
      <c r="A60794" s="136"/>
      <c r="CM60794" s="111"/>
      <c r="CQ60794" s="111"/>
      <c r="EF60794"/>
      <c r="EG60794"/>
      <c r="EH60794"/>
      <c r="EI60794"/>
      <c r="EJ60794"/>
      <c r="EK60794"/>
    </row>
    <row r="60795" spans="1:141" s="116" customFormat="1">
      <c r="A60795" s="136"/>
      <c r="CM60795" s="111"/>
      <c r="CQ60795" s="111"/>
      <c r="EF60795"/>
      <c r="EG60795"/>
      <c r="EH60795"/>
      <c r="EI60795"/>
      <c r="EJ60795"/>
      <c r="EK60795"/>
    </row>
    <row r="60796" spans="1:141" s="116" customFormat="1">
      <c r="A60796" s="136"/>
      <c r="CM60796" s="111"/>
      <c r="CQ60796" s="111"/>
      <c r="EF60796"/>
      <c r="EG60796"/>
      <c r="EH60796"/>
      <c r="EI60796"/>
      <c r="EJ60796"/>
      <c r="EK60796"/>
    </row>
    <row r="60797" spans="1:141" s="116" customFormat="1">
      <c r="A60797" s="136"/>
      <c r="CM60797" s="111"/>
      <c r="CQ60797" s="111"/>
      <c r="EF60797"/>
      <c r="EG60797"/>
      <c r="EH60797"/>
      <c r="EI60797"/>
      <c r="EJ60797"/>
      <c r="EK60797"/>
    </row>
    <row r="60798" spans="1:141" s="116" customFormat="1">
      <c r="A60798" s="136"/>
      <c r="CM60798" s="111"/>
      <c r="CQ60798" s="111"/>
      <c r="EF60798"/>
      <c r="EG60798"/>
      <c r="EH60798"/>
      <c r="EI60798"/>
      <c r="EJ60798"/>
      <c r="EK60798"/>
    </row>
    <row r="60799" spans="1:141" s="116" customFormat="1">
      <c r="A60799" s="136"/>
      <c r="CM60799" s="111"/>
      <c r="CQ60799" s="111"/>
      <c r="EF60799"/>
      <c r="EG60799"/>
      <c r="EH60799"/>
      <c r="EI60799"/>
      <c r="EJ60799"/>
      <c r="EK60799"/>
    </row>
    <row r="60800" spans="1:141" s="116" customFormat="1">
      <c r="A60800" s="136"/>
      <c r="CM60800" s="111"/>
      <c r="CQ60800" s="111"/>
      <c r="EF60800"/>
      <c r="EG60800"/>
      <c r="EH60800"/>
      <c r="EI60800"/>
      <c r="EJ60800"/>
      <c r="EK60800"/>
    </row>
    <row r="60801" spans="1:141" s="116" customFormat="1">
      <c r="A60801" s="136"/>
      <c r="CM60801" s="111"/>
      <c r="CQ60801" s="111"/>
      <c r="EF60801"/>
      <c r="EG60801"/>
      <c r="EH60801"/>
      <c r="EI60801"/>
      <c r="EJ60801"/>
      <c r="EK60801"/>
    </row>
    <row r="60802" spans="1:141" s="116" customFormat="1">
      <c r="A60802" s="136"/>
      <c r="CM60802" s="111"/>
      <c r="CQ60802" s="111"/>
      <c r="EF60802"/>
      <c r="EG60802"/>
      <c r="EH60802"/>
      <c r="EI60802"/>
      <c r="EJ60802"/>
      <c r="EK60802"/>
    </row>
    <row r="60803" spans="1:141" s="116" customFormat="1">
      <c r="A60803" s="136"/>
      <c r="CM60803" s="111"/>
      <c r="CQ60803" s="111"/>
      <c r="EF60803"/>
      <c r="EG60803"/>
      <c r="EH60803"/>
      <c r="EI60803"/>
      <c r="EJ60803"/>
      <c r="EK60803"/>
    </row>
    <row r="60804" spans="1:141" s="116" customFormat="1">
      <c r="A60804" s="136"/>
      <c r="CM60804" s="111"/>
      <c r="CQ60804" s="111"/>
      <c r="EF60804"/>
      <c r="EG60804"/>
      <c r="EH60804"/>
      <c r="EI60804"/>
      <c r="EJ60804"/>
      <c r="EK60804"/>
    </row>
    <row r="60805" spans="1:141" s="116" customFormat="1">
      <c r="A60805" s="136"/>
      <c r="CM60805" s="111"/>
      <c r="CQ60805" s="111"/>
      <c r="EF60805"/>
      <c r="EG60805"/>
      <c r="EH60805"/>
      <c r="EI60805"/>
      <c r="EJ60805"/>
      <c r="EK60805"/>
    </row>
    <row r="60806" spans="1:141" s="116" customFormat="1">
      <c r="A60806" s="136"/>
      <c r="CM60806" s="111"/>
      <c r="CQ60806" s="111"/>
      <c r="EF60806"/>
      <c r="EG60806"/>
      <c r="EH60806"/>
      <c r="EI60806"/>
      <c r="EJ60806"/>
      <c r="EK60806"/>
    </row>
    <row r="60807" spans="1:141" s="116" customFormat="1">
      <c r="A60807" s="136"/>
      <c r="CM60807" s="111"/>
      <c r="CQ60807" s="111"/>
      <c r="EF60807"/>
      <c r="EG60807"/>
      <c r="EH60807"/>
      <c r="EI60807"/>
      <c r="EJ60807"/>
      <c r="EK60807"/>
    </row>
    <row r="60808" spans="1:141" s="116" customFormat="1">
      <c r="A60808" s="136"/>
      <c r="CM60808" s="111"/>
      <c r="CQ60808" s="111"/>
      <c r="EF60808"/>
      <c r="EG60808"/>
      <c r="EH60808"/>
      <c r="EI60808"/>
      <c r="EJ60808"/>
      <c r="EK60808"/>
    </row>
    <row r="60809" spans="1:141" s="116" customFormat="1">
      <c r="A60809" s="136"/>
      <c r="CM60809" s="111"/>
      <c r="CQ60809" s="111"/>
      <c r="EF60809"/>
      <c r="EG60809"/>
      <c r="EH60809"/>
      <c r="EI60809"/>
      <c r="EJ60809"/>
      <c r="EK60809"/>
    </row>
    <row r="60810" spans="1:141" s="116" customFormat="1">
      <c r="A60810" s="136"/>
      <c r="CM60810" s="111"/>
      <c r="CQ60810" s="111"/>
      <c r="EF60810"/>
      <c r="EG60810"/>
      <c r="EH60810"/>
      <c r="EI60810"/>
      <c r="EJ60810"/>
      <c r="EK60810"/>
    </row>
    <row r="60811" spans="1:141" s="116" customFormat="1">
      <c r="A60811" s="136"/>
      <c r="CM60811" s="111"/>
      <c r="CQ60811" s="111"/>
      <c r="EF60811"/>
      <c r="EG60811"/>
      <c r="EH60811"/>
      <c r="EI60811"/>
      <c r="EJ60811"/>
      <c r="EK60811"/>
    </row>
    <row r="60812" spans="1:141" s="116" customFormat="1">
      <c r="A60812" s="136"/>
      <c r="CM60812" s="111"/>
      <c r="CQ60812" s="111"/>
      <c r="EF60812"/>
      <c r="EG60812"/>
      <c r="EH60812"/>
      <c r="EI60812"/>
      <c r="EJ60812"/>
      <c r="EK60812"/>
    </row>
    <row r="60813" spans="1:141" s="116" customFormat="1">
      <c r="A60813" s="136"/>
      <c r="CM60813" s="111"/>
      <c r="CQ60813" s="111"/>
      <c r="EF60813"/>
      <c r="EG60813"/>
      <c r="EH60813"/>
      <c r="EI60813"/>
      <c r="EJ60813"/>
      <c r="EK60813"/>
    </row>
    <row r="60814" spans="1:141" s="116" customFormat="1">
      <c r="A60814" s="136"/>
      <c r="CM60814" s="111"/>
      <c r="CQ60814" s="111"/>
      <c r="EF60814"/>
      <c r="EG60814"/>
      <c r="EH60814"/>
      <c r="EI60814"/>
      <c r="EJ60814"/>
      <c r="EK60814"/>
    </row>
    <row r="60815" spans="1:141" s="116" customFormat="1">
      <c r="A60815" s="136"/>
      <c r="CM60815" s="111"/>
      <c r="CQ60815" s="111"/>
      <c r="EF60815"/>
      <c r="EG60815"/>
      <c r="EH60815"/>
      <c r="EI60815"/>
      <c r="EJ60815"/>
      <c r="EK60815"/>
    </row>
    <row r="60816" spans="1:141" s="116" customFormat="1">
      <c r="A60816" s="136"/>
      <c r="CM60816" s="111"/>
      <c r="CQ60816" s="111"/>
      <c r="EF60816"/>
      <c r="EG60816"/>
      <c r="EH60816"/>
      <c r="EI60816"/>
      <c r="EJ60816"/>
      <c r="EK60816"/>
    </row>
    <row r="60817" spans="1:141" s="116" customFormat="1">
      <c r="A60817" s="136"/>
      <c r="CM60817" s="111"/>
      <c r="CQ60817" s="111"/>
      <c r="EF60817"/>
      <c r="EG60817"/>
      <c r="EH60817"/>
      <c r="EI60817"/>
      <c r="EJ60817"/>
      <c r="EK60817"/>
    </row>
    <row r="60818" spans="1:141" s="116" customFormat="1">
      <c r="A60818" s="136"/>
      <c r="CM60818" s="111"/>
      <c r="CQ60818" s="111"/>
      <c r="EF60818"/>
      <c r="EG60818"/>
      <c r="EH60818"/>
      <c r="EI60818"/>
      <c r="EJ60818"/>
      <c r="EK60818"/>
    </row>
    <row r="60819" spans="1:141" s="116" customFormat="1">
      <c r="A60819" s="136"/>
      <c r="CM60819" s="111"/>
      <c r="CQ60819" s="111"/>
      <c r="EF60819"/>
      <c r="EG60819"/>
      <c r="EH60819"/>
      <c r="EI60819"/>
      <c r="EJ60819"/>
      <c r="EK60819"/>
    </row>
    <row r="60820" spans="1:141" s="116" customFormat="1">
      <c r="A60820" s="136"/>
      <c r="CM60820" s="111"/>
      <c r="CQ60820" s="111"/>
      <c r="EF60820"/>
      <c r="EG60820"/>
      <c r="EH60820"/>
      <c r="EI60820"/>
      <c r="EJ60820"/>
      <c r="EK60820"/>
    </row>
    <row r="60821" spans="1:141" s="116" customFormat="1">
      <c r="A60821" s="136"/>
      <c r="CM60821" s="111"/>
      <c r="CQ60821" s="111"/>
      <c r="EF60821"/>
      <c r="EG60821"/>
      <c r="EH60821"/>
      <c r="EI60821"/>
      <c r="EJ60821"/>
      <c r="EK60821"/>
    </row>
    <row r="60822" spans="1:141" s="116" customFormat="1">
      <c r="A60822" s="136"/>
      <c r="CM60822" s="111"/>
      <c r="CQ60822" s="111"/>
      <c r="EF60822"/>
      <c r="EG60822"/>
      <c r="EH60822"/>
      <c r="EI60822"/>
      <c r="EJ60822"/>
      <c r="EK60822"/>
    </row>
    <row r="60823" spans="1:141" s="116" customFormat="1">
      <c r="A60823" s="136"/>
      <c r="CM60823" s="111"/>
      <c r="CQ60823" s="111"/>
      <c r="EF60823"/>
      <c r="EG60823"/>
      <c r="EH60823"/>
      <c r="EI60823"/>
      <c r="EJ60823"/>
      <c r="EK60823"/>
    </row>
    <row r="60824" spans="1:141" s="116" customFormat="1">
      <c r="A60824" s="136"/>
      <c r="CM60824" s="111"/>
      <c r="CQ60824" s="111"/>
      <c r="EF60824"/>
      <c r="EG60824"/>
      <c r="EH60824"/>
      <c r="EI60824"/>
      <c r="EJ60824"/>
      <c r="EK60824"/>
    </row>
    <row r="60825" spans="1:141" s="116" customFormat="1">
      <c r="A60825" s="136"/>
      <c r="CM60825" s="111"/>
      <c r="CQ60825" s="111"/>
      <c r="EF60825"/>
      <c r="EG60825"/>
      <c r="EH60825"/>
      <c r="EI60825"/>
      <c r="EJ60825"/>
      <c r="EK60825"/>
    </row>
    <row r="60826" spans="1:141" s="116" customFormat="1">
      <c r="A60826" s="136"/>
      <c r="CM60826" s="111"/>
      <c r="CQ60826" s="111"/>
      <c r="EF60826"/>
      <c r="EG60826"/>
      <c r="EH60826"/>
      <c r="EI60826"/>
      <c r="EJ60826"/>
      <c r="EK60826"/>
    </row>
    <row r="60827" spans="1:141" s="116" customFormat="1">
      <c r="A60827" s="136"/>
      <c r="CM60827" s="111"/>
      <c r="CQ60827" s="111"/>
      <c r="EF60827"/>
      <c r="EG60827"/>
      <c r="EH60827"/>
      <c r="EI60827"/>
      <c r="EJ60827"/>
      <c r="EK60827"/>
    </row>
    <row r="60828" spans="1:141" s="116" customFormat="1">
      <c r="A60828" s="136"/>
      <c r="CM60828" s="111"/>
      <c r="CQ60828" s="111"/>
      <c r="EF60828"/>
      <c r="EG60828"/>
      <c r="EH60828"/>
      <c r="EI60828"/>
      <c r="EJ60828"/>
      <c r="EK60828"/>
    </row>
    <row r="60829" spans="1:141" s="116" customFormat="1">
      <c r="A60829" s="136"/>
      <c r="CM60829" s="111"/>
      <c r="CQ60829" s="111"/>
      <c r="EF60829"/>
      <c r="EG60829"/>
      <c r="EH60829"/>
      <c r="EI60829"/>
      <c r="EJ60829"/>
      <c r="EK60829"/>
    </row>
    <row r="60830" spans="1:141" s="116" customFormat="1">
      <c r="A60830" s="136"/>
      <c r="CM60830" s="111"/>
      <c r="CQ60830" s="111"/>
      <c r="EF60830"/>
      <c r="EG60830"/>
      <c r="EH60830"/>
      <c r="EI60830"/>
      <c r="EJ60830"/>
      <c r="EK60830"/>
    </row>
    <row r="60831" spans="1:141" s="116" customFormat="1">
      <c r="A60831" s="136"/>
      <c r="CM60831" s="111"/>
      <c r="CQ60831" s="111"/>
      <c r="EF60831"/>
      <c r="EG60831"/>
      <c r="EH60831"/>
      <c r="EI60831"/>
      <c r="EJ60831"/>
      <c r="EK60831"/>
    </row>
    <row r="60832" spans="1:141" s="116" customFormat="1">
      <c r="A60832" s="136"/>
      <c r="CM60832" s="111"/>
      <c r="CQ60832" s="111"/>
      <c r="EF60832"/>
      <c r="EG60832"/>
      <c r="EH60832"/>
      <c r="EI60832"/>
      <c r="EJ60832"/>
      <c r="EK60832"/>
    </row>
    <row r="60833" spans="1:141" s="116" customFormat="1">
      <c r="A60833" s="136"/>
      <c r="CM60833" s="111"/>
      <c r="CQ60833" s="111"/>
      <c r="EF60833"/>
      <c r="EG60833"/>
      <c r="EH60833"/>
      <c r="EI60833"/>
      <c r="EJ60833"/>
      <c r="EK60833"/>
    </row>
    <row r="60834" spans="1:141" s="116" customFormat="1">
      <c r="A60834" s="136"/>
      <c r="CM60834" s="111"/>
      <c r="CQ60834" s="111"/>
      <c r="EF60834"/>
      <c r="EG60834"/>
      <c r="EH60834"/>
      <c r="EI60834"/>
      <c r="EJ60834"/>
      <c r="EK60834"/>
    </row>
    <row r="60835" spans="1:141" s="116" customFormat="1">
      <c r="A60835" s="136"/>
      <c r="CM60835" s="111"/>
      <c r="CQ60835" s="111"/>
      <c r="EF60835"/>
      <c r="EG60835"/>
      <c r="EH60835"/>
      <c r="EI60835"/>
      <c r="EJ60835"/>
      <c r="EK60835"/>
    </row>
    <row r="60836" spans="1:141" s="116" customFormat="1">
      <c r="A60836" s="136"/>
      <c r="CM60836" s="111"/>
      <c r="CQ60836" s="111"/>
      <c r="EF60836"/>
      <c r="EG60836"/>
      <c r="EH60836"/>
      <c r="EI60836"/>
      <c r="EJ60836"/>
      <c r="EK60836"/>
    </row>
    <row r="60837" spans="1:141" s="116" customFormat="1">
      <c r="A60837" s="136"/>
      <c r="CM60837" s="111"/>
      <c r="CQ60837" s="111"/>
      <c r="EF60837"/>
      <c r="EG60837"/>
      <c r="EH60837"/>
      <c r="EI60837"/>
      <c r="EJ60837"/>
      <c r="EK60837"/>
    </row>
    <row r="60838" spans="1:141" s="116" customFormat="1">
      <c r="A60838" s="136"/>
      <c r="CM60838" s="111"/>
      <c r="CQ60838" s="111"/>
      <c r="EF60838"/>
      <c r="EG60838"/>
      <c r="EH60838"/>
      <c r="EI60838"/>
      <c r="EJ60838"/>
      <c r="EK60838"/>
    </row>
    <row r="60839" spans="1:141" s="116" customFormat="1">
      <c r="A60839" s="136"/>
      <c r="CM60839" s="111"/>
      <c r="CQ60839" s="111"/>
      <c r="EF60839"/>
      <c r="EG60839"/>
      <c r="EH60839"/>
      <c r="EI60839"/>
      <c r="EJ60839"/>
      <c r="EK60839"/>
    </row>
    <row r="60840" spans="1:141" s="116" customFormat="1">
      <c r="A60840" s="136"/>
      <c r="CM60840" s="111"/>
      <c r="CQ60840" s="111"/>
      <c r="EF60840"/>
      <c r="EG60840"/>
      <c r="EH60840"/>
      <c r="EI60840"/>
      <c r="EJ60840"/>
      <c r="EK60840"/>
    </row>
    <row r="60841" spans="1:141" s="116" customFormat="1">
      <c r="A60841" s="136"/>
      <c r="CM60841" s="111"/>
      <c r="CQ60841" s="111"/>
      <c r="EF60841"/>
      <c r="EG60841"/>
      <c r="EH60841"/>
      <c r="EI60841"/>
      <c r="EJ60841"/>
      <c r="EK60841"/>
    </row>
    <row r="60842" spans="1:141" s="116" customFormat="1">
      <c r="A60842" s="136"/>
      <c r="CM60842" s="111"/>
      <c r="CQ60842" s="111"/>
      <c r="EF60842"/>
      <c r="EG60842"/>
      <c r="EH60842"/>
      <c r="EI60842"/>
      <c r="EJ60842"/>
      <c r="EK60842"/>
    </row>
    <row r="60843" spans="1:141" s="116" customFormat="1">
      <c r="A60843" s="136"/>
      <c r="CM60843" s="111"/>
      <c r="CQ60843" s="111"/>
      <c r="EF60843"/>
      <c r="EG60843"/>
      <c r="EH60843"/>
      <c r="EI60843"/>
      <c r="EJ60843"/>
      <c r="EK60843"/>
    </row>
    <row r="60844" spans="1:141" s="116" customFormat="1">
      <c r="A60844" s="136"/>
      <c r="CM60844" s="111"/>
      <c r="CQ60844" s="111"/>
      <c r="EF60844"/>
      <c r="EG60844"/>
      <c r="EH60844"/>
      <c r="EI60844"/>
      <c r="EJ60844"/>
      <c r="EK60844"/>
    </row>
    <row r="60845" spans="1:141" s="116" customFormat="1">
      <c r="A60845" s="136"/>
      <c r="CM60845" s="111"/>
      <c r="CQ60845" s="111"/>
      <c r="EF60845"/>
      <c r="EG60845"/>
      <c r="EH60845"/>
      <c r="EI60845"/>
      <c r="EJ60845"/>
      <c r="EK60845"/>
    </row>
    <row r="60846" spans="1:141" s="116" customFormat="1">
      <c r="A60846" s="136"/>
      <c r="CM60846" s="111"/>
      <c r="CQ60846" s="111"/>
      <c r="EF60846"/>
      <c r="EG60846"/>
      <c r="EH60846"/>
      <c r="EI60846"/>
      <c r="EJ60846"/>
      <c r="EK60846"/>
    </row>
    <row r="60847" spans="1:141" s="116" customFormat="1">
      <c r="A60847" s="136"/>
      <c r="CM60847" s="111"/>
      <c r="CQ60847" s="111"/>
      <c r="EF60847"/>
      <c r="EG60847"/>
      <c r="EH60847"/>
      <c r="EI60847"/>
      <c r="EJ60847"/>
      <c r="EK60847"/>
    </row>
    <row r="60848" spans="1:141" s="116" customFormat="1">
      <c r="A60848" s="136"/>
      <c r="CM60848" s="111"/>
      <c r="CQ60848" s="111"/>
      <c r="EF60848"/>
      <c r="EG60848"/>
      <c r="EH60848"/>
      <c r="EI60848"/>
      <c r="EJ60848"/>
      <c r="EK60848"/>
    </row>
    <row r="60849" spans="1:141" s="116" customFormat="1">
      <c r="A60849" s="136"/>
      <c r="CM60849" s="111"/>
      <c r="CQ60849" s="111"/>
      <c r="EF60849"/>
      <c r="EG60849"/>
      <c r="EH60849"/>
      <c r="EI60849"/>
      <c r="EJ60849"/>
      <c r="EK60849"/>
    </row>
    <row r="60850" spans="1:141" s="116" customFormat="1">
      <c r="A60850" s="136"/>
      <c r="CM60850" s="111"/>
      <c r="CQ60850" s="111"/>
      <c r="EF60850"/>
      <c r="EG60850"/>
      <c r="EH60850"/>
      <c r="EI60850"/>
      <c r="EJ60850"/>
      <c r="EK60850"/>
    </row>
    <row r="60851" spans="1:141" s="116" customFormat="1">
      <c r="A60851" s="136"/>
      <c r="CM60851" s="111"/>
      <c r="CQ60851" s="111"/>
      <c r="EF60851"/>
      <c r="EG60851"/>
      <c r="EH60851"/>
      <c r="EI60851"/>
      <c r="EJ60851"/>
      <c r="EK60851"/>
    </row>
    <row r="60852" spans="1:141" s="116" customFormat="1">
      <c r="A60852" s="136"/>
      <c r="CM60852" s="111"/>
      <c r="CQ60852" s="111"/>
      <c r="EF60852"/>
      <c r="EG60852"/>
      <c r="EH60852"/>
      <c r="EI60852"/>
      <c r="EJ60852"/>
      <c r="EK60852"/>
    </row>
    <row r="60853" spans="1:141" s="116" customFormat="1">
      <c r="A60853" s="136"/>
      <c r="CM60853" s="111"/>
      <c r="CQ60853" s="111"/>
      <c r="EF60853"/>
      <c r="EG60853"/>
      <c r="EH60853"/>
      <c r="EI60853"/>
      <c r="EJ60853"/>
      <c r="EK60853"/>
    </row>
    <row r="60854" spans="1:141" s="116" customFormat="1">
      <c r="A60854" s="136"/>
      <c r="CM60854" s="111"/>
      <c r="CQ60854" s="111"/>
      <c r="EF60854"/>
      <c r="EG60854"/>
      <c r="EH60854"/>
      <c r="EI60854"/>
      <c r="EJ60854"/>
      <c r="EK60854"/>
    </row>
    <row r="60855" spans="1:141" s="116" customFormat="1">
      <c r="A60855" s="136"/>
      <c r="CM60855" s="111"/>
      <c r="CQ60855" s="111"/>
      <c r="EF60855"/>
      <c r="EG60855"/>
      <c r="EH60855"/>
      <c r="EI60855"/>
      <c r="EJ60855"/>
      <c r="EK60855"/>
    </row>
    <row r="60856" spans="1:141" s="116" customFormat="1">
      <c r="A60856" s="136"/>
      <c r="CM60856" s="111"/>
      <c r="CQ60856" s="111"/>
      <c r="EF60856"/>
      <c r="EG60856"/>
      <c r="EH60856"/>
      <c r="EI60856"/>
      <c r="EJ60856"/>
      <c r="EK60856"/>
    </row>
    <row r="60857" spans="1:141" s="116" customFormat="1">
      <c r="A60857" s="136"/>
      <c r="CM60857" s="111"/>
      <c r="CQ60857" s="111"/>
      <c r="EF60857"/>
      <c r="EG60857"/>
      <c r="EH60857"/>
      <c r="EI60857"/>
      <c r="EJ60857"/>
      <c r="EK60857"/>
    </row>
    <row r="60858" spans="1:141" s="116" customFormat="1">
      <c r="A60858" s="136"/>
      <c r="CM60858" s="111"/>
      <c r="CQ60858" s="111"/>
      <c r="EF60858"/>
      <c r="EG60858"/>
      <c r="EH60858"/>
      <c r="EI60858"/>
      <c r="EJ60858"/>
      <c r="EK60858"/>
    </row>
    <row r="60859" spans="1:141" s="116" customFormat="1">
      <c r="A60859" s="136"/>
      <c r="CM60859" s="111"/>
      <c r="CQ60859" s="111"/>
      <c r="EF60859"/>
      <c r="EG60859"/>
      <c r="EH60859"/>
      <c r="EI60859"/>
      <c r="EJ60859"/>
      <c r="EK60859"/>
    </row>
    <row r="60860" spans="1:141" s="116" customFormat="1">
      <c r="A60860" s="136"/>
      <c r="CM60860" s="111"/>
      <c r="CQ60860" s="111"/>
      <c r="EF60860"/>
      <c r="EG60860"/>
      <c r="EH60860"/>
      <c r="EI60860"/>
      <c r="EJ60860"/>
      <c r="EK60860"/>
    </row>
    <row r="60861" spans="1:141" s="116" customFormat="1">
      <c r="A60861" s="136"/>
      <c r="CM60861" s="111"/>
      <c r="CQ60861" s="111"/>
      <c r="EF60861"/>
      <c r="EG60861"/>
      <c r="EH60861"/>
      <c r="EI60861"/>
      <c r="EJ60861"/>
      <c r="EK60861"/>
    </row>
    <row r="60862" spans="1:141" s="116" customFormat="1">
      <c r="A60862" s="136"/>
      <c r="CM60862" s="111"/>
      <c r="CQ60862" s="111"/>
      <c r="EF60862"/>
      <c r="EG60862"/>
      <c r="EH60862"/>
      <c r="EI60862"/>
      <c r="EJ60862"/>
      <c r="EK60862"/>
    </row>
    <row r="60863" spans="1:141" s="116" customFormat="1">
      <c r="A60863" s="136"/>
      <c r="CM60863" s="111"/>
      <c r="CQ60863" s="111"/>
      <c r="EF60863"/>
      <c r="EG60863"/>
      <c r="EH60863"/>
      <c r="EI60863"/>
      <c r="EJ60863"/>
      <c r="EK60863"/>
    </row>
    <row r="60864" spans="1:141" s="116" customFormat="1">
      <c r="A60864" s="136"/>
      <c r="CM60864" s="111"/>
      <c r="CQ60864" s="111"/>
      <c r="EF60864"/>
      <c r="EG60864"/>
      <c r="EH60864"/>
      <c r="EI60864"/>
      <c r="EJ60864"/>
      <c r="EK60864"/>
    </row>
    <row r="60865" spans="1:141" s="116" customFormat="1">
      <c r="A60865" s="136"/>
      <c r="CM60865" s="111"/>
      <c r="CQ60865" s="111"/>
      <c r="EF60865"/>
      <c r="EG60865"/>
      <c r="EH60865"/>
      <c r="EI60865"/>
      <c r="EJ60865"/>
      <c r="EK60865"/>
    </row>
    <row r="60866" spans="1:141" s="116" customFormat="1">
      <c r="A60866" s="136"/>
      <c r="CM60866" s="111"/>
      <c r="CQ60866" s="111"/>
      <c r="EF60866"/>
      <c r="EG60866"/>
      <c r="EH60866"/>
      <c r="EI60866"/>
      <c r="EJ60866"/>
      <c r="EK60866"/>
    </row>
    <row r="60867" spans="1:141" s="116" customFormat="1">
      <c r="A60867" s="136"/>
      <c r="CM60867" s="111"/>
      <c r="CQ60867" s="111"/>
      <c r="EF60867"/>
      <c r="EG60867"/>
      <c r="EH60867"/>
      <c r="EI60867"/>
      <c r="EJ60867"/>
      <c r="EK60867"/>
    </row>
    <row r="60868" spans="1:141" s="116" customFormat="1">
      <c r="A60868" s="136"/>
      <c r="CM60868" s="111"/>
      <c r="CQ60868" s="111"/>
      <c r="EF60868"/>
      <c r="EG60868"/>
      <c r="EH60868"/>
      <c r="EI60868"/>
      <c r="EJ60868"/>
      <c r="EK60868"/>
    </row>
    <row r="60869" spans="1:141" s="116" customFormat="1">
      <c r="A60869" s="136"/>
      <c r="CM60869" s="111"/>
      <c r="CQ60869" s="111"/>
      <c r="EF60869"/>
      <c r="EG60869"/>
      <c r="EH60869"/>
      <c r="EI60869"/>
      <c r="EJ60869"/>
      <c r="EK60869"/>
    </row>
    <row r="60870" spans="1:141" s="116" customFormat="1">
      <c r="A60870" s="136"/>
      <c r="CM60870" s="111"/>
      <c r="CQ60870" s="111"/>
      <c r="EF60870"/>
      <c r="EG60870"/>
      <c r="EH60870"/>
      <c r="EI60870"/>
      <c r="EJ60870"/>
      <c r="EK60870"/>
    </row>
    <row r="60871" spans="1:141" s="116" customFormat="1">
      <c r="A60871" s="136"/>
      <c r="CM60871" s="111"/>
      <c r="CQ60871" s="111"/>
      <c r="EF60871"/>
      <c r="EG60871"/>
      <c r="EH60871"/>
      <c r="EI60871"/>
      <c r="EJ60871"/>
      <c r="EK60871"/>
    </row>
    <row r="60872" spans="1:141" s="116" customFormat="1">
      <c r="A60872" s="136"/>
      <c r="CM60872" s="111"/>
      <c r="CQ60872" s="111"/>
      <c r="EF60872"/>
      <c r="EG60872"/>
      <c r="EH60872"/>
      <c r="EI60872"/>
      <c r="EJ60872"/>
      <c r="EK60872"/>
    </row>
    <row r="60873" spans="1:141" s="116" customFormat="1">
      <c r="A60873" s="136"/>
      <c r="CM60873" s="111"/>
      <c r="CQ60873" s="111"/>
      <c r="EF60873"/>
      <c r="EG60873"/>
      <c r="EH60873"/>
      <c r="EI60873"/>
      <c r="EJ60873"/>
      <c r="EK60873"/>
    </row>
    <row r="60874" spans="1:141" s="116" customFormat="1">
      <c r="A60874" s="136"/>
      <c r="CM60874" s="111"/>
      <c r="CQ60874" s="111"/>
      <c r="EF60874"/>
      <c r="EG60874"/>
      <c r="EH60874"/>
      <c r="EI60874"/>
      <c r="EJ60874"/>
      <c r="EK60874"/>
    </row>
    <row r="60875" spans="1:141" s="116" customFormat="1">
      <c r="A60875" s="136"/>
      <c r="CM60875" s="111"/>
      <c r="CQ60875" s="111"/>
      <c r="EF60875"/>
      <c r="EG60875"/>
      <c r="EH60875"/>
      <c r="EI60875"/>
      <c r="EJ60875"/>
      <c r="EK60875"/>
    </row>
    <row r="60876" spans="1:141" s="116" customFormat="1">
      <c r="A60876" s="136"/>
      <c r="CM60876" s="111"/>
      <c r="CQ60876" s="111"/>
      <c r="EF60876"/>
      <c r="EG60876"/>
      <c r="EH60876"/>
      <c r="EI60876"/>
      <c r="EJ60876"/>
      <c r="EK60876"/>
    </row>
    <row r="60877" spans="1:141" s="116" customFormat="1">
      <c r="A60877" s="136"/>
      <c r="CM60877" s="111"/>
      <c r="CQ60877" s="111"/>
      <c r="EF60877"/>
      <c r="EG60877"/>
      <c r="EH60877"/>
      <c r="EI60877"/>
      <c r="EJ60877"/>
      <c r="EK60877"/>
    </row>
    <row r="60878" spans="1:141" s="116" customFormat="1">
      <c r="A60878" s="136"/>
      <c r="CM60878" s="111"/>
      <c r="CQ60878" s="111"/>
      <c r="EF60878"/>
      <c r="EG60878"/>
      <c r="EH60878"/>
      <c r="EI60878"/>
      <c r="EJ60878"/>
      <c r="EK60878"/>
    </row>
    <row r="60879" spans="1:141" s="116" customFormat="1">
      <c r="A60879" s="136"/>
      <c r="CM60879" s="111"/>
      <c r="CQ60879" s="111"/>
      <c r="EF60879"/>
      <c r="EG60879"/>
      <c r="EH60879"/>
      <c r="EI60879"/>
      <c r="EJ60879"/>
      <c r="EK60879"/>
    </row>
    <row r="60880" spans="1:141" s="116" customFormat="1">
      <c r="A60880" s="136"/>
      <c r="CM60880" s="111"/>
      <c r="CQ60880" s="111"/>
      <c r="EF60880"/>
      <c r="EG60880"/>
      <c r="EH60880"/>
      <c r="EI60880"/>
      <c r="EJ60880"/>
      <c r="EK60880"/>
    </row>
    <row r="60881" spans="1:141" s="116" customFormat="1">
      <c r="A60881" s="136"/>
      <c r="CM60881" s="111"/>
      <c r="CQ60881" s="111"/>
      <c r="EF60881"/>
      <c r="EG60881"/>
      <c r="EH60881"/>
      <c r="EI60881"/>
      <c r="EJ60881"/>
      <c r="EK60881"/>
    </row>
    <row r="60882" spans="1:141" s="116" customFormat="1">
      <c r="A60882" s="136"/>
      <c r="CM60882" s="111"/>
      <c r="CQ60882" s="111"/>
      <c r="EF60882"/>
      <c r="EG60882"/>
      <c r="EH60882"/>
      <c r="EI60882"/>
      <c r="EJ60882"/>
      <c r="EK60882"/>
    </row>
    <row r="60883" spans="1:141" s="116" customFormat="1">
      <c r="A60883" s="136"/>
      <c r="CM60883" s="111"/>
      <c r="CQ60883" s="111"/>
      <c r="EF60883"/>
      <c r="EG60883"/>
      <c r="EH60883"/>
      <c r="EI60883"/>
      <c r="EJ60883"/>
      <c r="EK60883"/>
    </row>
    <row r="60884" spans="1:141" s="116" customFormat="1">
      <c r="A60884" s="136"/>
      <c r="CM60884" s="111"/>
      <c r="CQ60884" s="111"/>
      <c r="EF60884"/>
      <c r="EG60884"/>
      <c r="EH60884"/>
      <c r="EI60884"/>
      <c r="EJ60884"/>
      <c r="EK60884"/>
    </row>
    <row r="60885" spans="1:141" s="116" customFormat="1">
      <c r="A60885" s="136"/>
      <c r="CM60885" s="111"/>
      <c r="CQ60885" s="111"/>
      <c r="EF60885"/>
      <c r="EG60885"/>
      <c r="EH60885"/>
      <c r="EI60885"/>
      <c r="EJ60885"/>
      <c r="EK60885"/>
    </row>
    <row r="60886" spans="1:141" s="116" customFormat="1">
      <c r="A60886" s="136"/>
      <c r="CM60886" s="111"/>
      <c r="CQ60886" s="111"/>
      <c r="EF60886"/>
      <c r="EG60886"/>
      <c r="EH60886"/>
      <c r="EI60886"/>
      <c r="EJ60886"/>
      <c r="EK60886"/>
    </row>
    <row r="60887" spans="1:141" s="116" customFormat="1">
      <c r="A60887" s="136"/>
      <c r="CM60887" s="111"/>
      <c r="CQ60887" s="111"/>
      <c r="EF60887"/>
      <c r="EG60887"/>
      <c r="EH60887"/>
      <c r="EI60887"/>
      <c r="EJ60887"/>
      <c r="EK60887"/>
    </row>
    <row r="60888" spans="1:141" s="116" customFormat="1">
      <c r="A60888" s="136"/>
      <c r="CM60888" s="111"/>
      <c r="CQ60888" s="111"/>
      <c r="EF60888"/>
      <c r="EG60888"/>
      <c r="EH60888"/>
      <c r="EI60888"/>
      <c r="EJ60888"/>
      <c r="EK60888"/>
    </row>
    <row r="60889" spans="1:141" s="116" customFormat="1">
      <c r="A60889" s="136"/>
      <c r="CM60889" s="111"/>
      <c r="CQ60889" s="111"/>
      <c r="EF60889"/>
      <c r="EG60889"/>
      <c r="EH60889"/>
      <c r="EI60889"/>
      <c r="EJ60889"/>
      <c r="EK60889"/>
    </row>
    <row r="60890" spans="1:141" s="116" customFormat="1">
      <c r="A60890" s="136"/>
      <c r="CM60890" s="111"/>
      <c r="CQ60890" s="111"/>
      <c r="EF60890"/>
      <c r="EG60890"/>
      <c r="EH60890"/>
      <c r="EI60890"/>
      <c r="EJ60890"/>
      <c r="EK60890"/>
    </row>
    <row r="60891" spans="1:141" s="116" customFormat="1">
      <c r="A60891" s="136"/>
      <c r="CM60891" s="111"/>
      <c r="CQ60891" s="111"/>
      <c r="EF60891"/>
      <c r="EG60891"/>
      <c r="EH60891"/>
      <c r="EI60891"/>
      <c r="EJ60891"/>
      <c r="EK60891"/>
    </row>
    <row r="60892" spans="1:141" s="116" customFormat="1">
      <c r="A60892" s="136"/>
      <c r="CM60892" s="111"/>
      <c r="CQ60892" s="111"/>
      <c r="EF60892"/>
      <c r="EG60892"/>
      <c r="EH60892"/>
      <c r="EI60892"/>
      <c r="EJ60892"/>
      <c r="EK60892"/>
    </row>
    <row r="60893" spans="1:141" s="116" customFormat="1">
      <c r="A60893" s="136"/>
      <c r="CM60893" s="111"/>
      <c r="CQ60893" s="111"/>
      <c r="EF60893"/>
      <c r="EG60893"/>
      <c r="EH60893"/>
      <c r="EI60893"/>
      <c r="EJ60893"/>
      <c r="EK60893"/>
    </row>
    <row r="60894" spans="1:141" s="116" customFormat="1">
      <c r="A60894" s="136"/>
      <c r="CM60894" s="111"/>
      <c r="CQ60894" s="111"/>
      <c r="EF60894"/>
      <c r="EG60894"/>
      <c r="EH60894"/>
      <c r="EI60894"/>
      <c r="EJ60894"/>
      <c r="EK60894"/>
    </row>
    <row r="60895" spans="1:141" s="116" customFormat="1">
      <c r="A60895" s="136"/>
      <c r="CM60895" s="111"/>
      <c r="CQ60895" s="111"/>
      <c r="EF60895"/>
      <c r="EG60895"/>
      <c r="EH60895"/>
      <c r="EI60895"/>
      <c r="EJ60895"/>
      <c r="EK60895"/>
    </row>
    <row r="60896" spans="1:141" s="116" customFormat="1">
      <c r="A60896" s="136"/>
      <c r="CM60896" s="111"/>
      <c r="CQ60896" s="111"/>
      <c r="EF60896"/>
      <c r="EG60896"/>
      <c r="EH60896"/>
      <c r="EI60896"/>
      <c r="EJ60896"/>
      <c r="EK60896"/>
    </row>
    <row r="60897" spans="1:141" s="116" customFormat="1">
      <c r="A60897" s="136"/>
      <c r="CM60897" s="111"/>
      <c r="CQ60897" s="111"/>
      <c r="EF60897"/>
      <c r="EG60897"/>
      <c r="EH60897"/>
      <c r="EI60897"/>
      <c r="EJ60897"/>
      <c r="EK60897"/>
    </row>
    <row r="60898" spans="1:141" s="116" customFormat="1">
      <c r="A60898" s="136"/>
      <c r="CM60898" s="111"/>
      <c r="CQ60898" s="111"/>
      <c r="EF60898"/>
      <c r="EG60898"/>
      <c r="EH60898"/>
      <c r="EI60898"/>
      <c r="EJ60898"/>
      <c r="EK60898"/>
    </row>
    <row r="60899" spans="1:141" s="116" customFormat="1">
      <c r="A60899" s="136"/>
      <c r="CM60899" s="111"/>
      <c r="CQ60899" s="111"/>
      <c r="EF60899"/>
      <c r="EG60899"/>
      <c r="EH60899"/>
      <c r="EI60899"/>
      <c r="EJ60899"/>
      <c r="EK60899"/>
    </row>
    <row r="60900" spans="1:141" s="116" customFormat="1">
      <c r="A60900" s="136"/>
      <c r="CM60900" s="111"/>
      <c r="CQ60900" s="111"/>
      <c r="EF60900"/>
      <c r="EG60900"/>
      <c r="EH60900"/>
      <c r="EI60900"/>
      <c r="EJ60900"/>
      <c r="EK60900"/>
    </row>
    <row r="60901" spans="1:141" s="116" customFormat="1">
      <c r="A60901" s="136"/>
      <c r="CM60901" s="111"/>
      <c r="CQ60901" s="111"/>
      <c r="EF60901"/>
      <c r="EG60901"/>
      <c r="EH60901"/>
      <c r="EI60901"/>
      <c r="EJ60901"/>
      <c r="EK60901"/>
    </row>
    <row r="60902" spans="1:141" s="116" customFormat="1">
      <c r="A60902" s="136"/>
      <c r="CM60902" s="111"/>
      <c r="CQ60902" s="111"/>
      <c r="EF60902"/>
      <c r="EG60902"/>
      <c r="EH60902"/>
      <c r="EI60902"/>
      <c r="EJ60902"/>
      <c r="EK60902"/>
    </row>
    <row r="60903" spans="1:141" s="116" customFormat="1">
      <c r="A60903" s="136"/>
      <c r="CM60903" s="111"/>
      <c r="CQ60903" s="111"/>
      <c r="EF60903"/>
      <c r="EG60903"/>
      <c r="EH60903"/>
      <c r="EI60903"/>
      <c r="EJ60903"/>
      <c r="EK60903"/>
    </row>
    <row r="60904" spans="1:141" s="116" customFormat="1">
      <c r="A60904" s="136"/>
      <c r="CM60904" s="111"/>
      <c r="CQ60904" s="111"/>
      <c r="EF60904"/>
      <c r="EG60904"/>
      <c r="EH60904"/>
      <c r="EI60904"/>
      <c r="EJ60904"/>
      <c r="EK60904"/>
    </row>
    <row r="60905" spans="1:141" s="116" customFormat="1">
      <c r="A60905" s="136"/>
      <c r="CM60905" s="111"/>
      <c r="CQ60905" s="111"/>
      <c r="EF60905"/>
      <c r="EG60905"/>
      <c r="EH60905"/>
      <c r="EI60905"/>
      <c r="EJ60905"/>
      <c r="EK60905"/>
    </row>
    <row r="60906" spans="1:141" s="116" customFormat="1">
      <c r="A60906" s="136"/>
      <c r="CM60906" s="111"/>
      <c r="CQ60906" s="111"/>
      <c r="EF60906"/>
      <c r="EG60906"/>
      <c r="EH60906"/>
      <c r="EI60906"/>
      <c r="EJ60906"/>
      <c r="EK60906"/>
    </row>
    <row r="60907" spans="1:141" s="116" customFormat="1">
      <c r="A60907" s="136"/>
      <c r="CM60907" s="111"/>
      <c r="CQ60907" s="111"/>
      <c r="EF60907"/>
      <c r="EG60907"/>
      <c r="EH60907"/>
      <c r="EI60907"/>
      <c r="EJ60907"/>
      <c r="EK60907"/>
    </row>
    <row r="60908" spans="1:141" s="116" customFormat="1">
      <c r="A60908" s="136"/>
      <c r="CM60908" s="111"/>
      <c r="CQ60908" s="111"/>
      <c r="EF60908"/>
      <c r="EG60908"/>
      <c r="EH60908"/>
      <c r="EI60908"/>
      <c r="EJ60908"/>
      <c r="EK60908"/>
    </row>
    <row r="60909" spans="1:141" s="116" customFormat="1">
      <c r="A60909" s="136"/>
      <c r="CM60909" s="111"/>
      <c r="CQ60909" s="111"/>
      <c r="EF60909"/>
      <c r="EG60909"/>
      <c r="EH60909"/>
      <c r="EI60909"/>
      <c r="EJ60909"/>
      <c r="EK60909"/>
    </row>
    <row r="60910" spans="1:141" s="116" customFormat="1">
      <c r="A60910" s="136"/>
      <c r="CM60910" s="111"/>
      <c r="CQ60910" s="111"/>
      <c r="EF60910"/>
      <c r="EG60910"/>
      <c r="EH60910"/>
      <c r="EI60910"/>
      <c r="EJ60910"/>
      <c r="EK60910"/>
    </row>
    <row r="60911" spans="1:141" s="116" customFormat="1">
      <c r="A60911" s="136"/>
      <c r="CM60911" s="111"/>
      <c r="CQ60911" s="111"/>
      <c r="EF60911"/>
      <c r="EG60911"/>
      <c r="EH60911"/>
      <c r="EI60911"/>
      <c r="EJ60911"/>
      <c r="EK60911"/>
    </row>
    <row r="60912" spans="1:141" s="116" customFormat="1">
      <c r="A60912" s="136"/>
      <c r="CM60912" s="111"/>
      <c r="CQ60912" s="111"/>
      <c r="EF60912"/>
      <c r="EG60912"/>
      <c r="EH60912"/>
      <c r="EI60912"/>
      <c r="EJ60912"/>
      <c r="EK60912"/>
    </row>
    <row r="60913" spans="1:141" s="116" customFormat="1">
      <c r="A60913" s="136"/>
      <c r="CM60913" s="111"/>
      <c r="CQ60913" s="111"/>
      <c r="EF60913"/>
      <c r="EG60913"/>
      <c r="EH60913"/>
      <c r="EI60913"/>
      <c r="EJ60913"/>
      <c r="EK60913"/>
    </row>
    <row r="60914" spans="1:141" s="116" customFormat="1">
      <c r="A60914" s="136"/>
      <c r="CM60914" s="111"/>
      <c r="CQ60914" s="111"/>
      <c r="EF60914"/>
      <c r="EG60914"/>
      <c r="EH60914"/>
      <c r="EI60914"/>
      <c r="EJ60914"/>
      <c r="EK60914"/>
    </row>
    <row r="60915" spans="1:141" s="116" customFormat="1">
      <c r="A60915" s="136"/>
      <c r="CM60915" s="111"/>
      <c r="CQ60915" s="111"/>
      <c r="EF60915"/>
      <c r="EG60915"/>
      <c r="EH60915"/>
      <c r="EI60915"/>
      <c r="EJ60915"/>
      <c r="EK60915"/>
    </row>
    <row r="60916" spans="1:141" s="116" customFormat="1">
      <c r="A60916" s="136"/>
      <c r="CM60916" s="111"/>
      <c r="CQ60916" s="111"/>
      <c r="EF60916"/>
      <c r="EG60916"/>
      <c r="EH60916"/>
      <c r="EI60916"/>
      <c r="EJ60916"/>
      <c r="EK60916"/>
    </row>
    <row r="60917" spans="1:141" s="116" customFormat="1">
      <c r="A60917" s="136"/>
      <c r="CM60917" s="111"/>
      <c r="CQ60917" s="111"/>
      <c r="EF60917"/>
      <c r="EG60917"/>
      <c r="EH60917"/>
      <c r="EI60917"/>
      <c r="EJ60917"/>
      <c r="EK60917"/>
    </row>
    <row r="60918" spans="1:141" s="116" customFormat="1">
      <c r="A60918" s="136"/>
      <c r="CM60918" s="111"/>
      <c r="CQ60918" s="111"/>
      <c r="EF60918"/>
      <c r="EG60918"/>
      <c r="EH60918"/>
      <c r="EI60918"/>
      <c r="EJ60918"/>
      <c r="EK60918"/>
    </row>
    <row r="60919" spans="1:141" s="116" customFormat="1">
      <c r="A60919" s="136"/>
      <c r="CM60919" s="111"/>
      <c r="CQ60919" s="111"/>
      <c r="EF60919"/>
      <c r="EG60919"/>
      <c r="EH60919"/>
      <c r="EI60919"/>
      <c r="EJ60919"/>
      <c r="EK60919"/>
    </row>
    <row r="60920" spans="1:141" s="116" customFormat="1">
      <c r="A60920" s="136"/>
      <c r="CM60920" s="111"/>
      <c r="CQ60920" s="111"/>
      <c r="EF60920"/>
      <c r="EG60920"/>
      <c r="EH60920"/>
      <c r="EI60920"/>
      <c r="EJ60920"/>
      <c r="EK60920"/>
    </row>
    <row r="60921" spans="1:141" s="116" customFormat="1">
      <c r="A60921" s="136"/>
      <c r="CM60921" s="111"/>
      <c r="CQ60921" s="111"/>
      <c r="EF60921"/>
      <c r="EG60921"/>
      <c r="EH60921"/>
      <c r="EI60921"/>
      <c r="EJ60921"/>
      <c r="EK60921"/>
    </row>
    <row r="60922" spans="1:141" s="116" customFormat="1">
      <c r="A60922" s="136"/>
      <c r="CM60922" s="111"/>
      <c r="CQ60922" s="111"/>
      <c r="EF60922"/>
      <c r="EG60922"/>
      <c r="EH60922"/>
      <c r="EI60922"/>
      <c r="EJ60922"/>
      <c r="EK60922"/>
    </row>
    <row r="60923" spans="1:141" s="116" customFormat="1">
      <c r="A60923" s="136"/>
      <c r="CM60923" s="111"/>
      <c r="CQ60923" s="111"/>
      <c r="EF60923"/>
      <c r="EG60923"/>
      <c r="EH60923"/>
      <c r="EI60923"/>
      <c r="EJ60923"/>
      <c r="EK60923"/>
    </row>
    <row r="60924" spans="1:141" s="116" customFormat="1">
      <c r="A60924" s="136"/>
      <c r="CM60924" s="111"/>
      <c r="CQ60924" s="111"/>
      <c r="EF60924"/>
      <c r="EG60924"/>
      <c r="EH60924"/>
      <c r="EI60924"/>
      <c r="EJ60924"/>
      <c r="EK60924"/>
    </row>
    <row r="60925" spans="1:141" s="116" customFormat="1">
      <c r="A60925" s="136"/>
      <c r="CM60925" s="111"/>
      <c r="CQ60925" s="111"/>
      <c r="EF60925"/>
      <c r="EG60925"/>
      <c r="EH60925"/>
      <c r="EI60925"/>
      <c r="EJ60925"/>
      <c r="EK60925"/>
    </row>
    <row r="60926" spans="1:141" s="116" customFormat="1">
      <c r="A60926" s="136"/>
      <c r="CM60926" s="111"/>
      <c r="CQ60926" s="111"/>
      <c r="EF60926"/>
      <c r="EG60926"/>
      <c r="EH60926"/>
      <c r="EI60926"/>
      <c r="EJ60926"/>
      <c r="EK60926"/>
    </row>
    <row r="60927" spans="1:141" s="116" customFormat="1">
      <c r="A60927" s="136"/>
      <c r="CM60927" s="111"/>
      <c r="CQ60927" s="111"/>
      <c r="EF60927"/>
      <c r="EG60927"/>
      <c r="EH60927"/>
      <c r="EI60927"/>
      <c r="EJ60927"/>
      <c r="EK60927"/>
    </row>
    <row r="60928" spans="1:141" s="116" customFormat="1">
      <c r="A60928" s="136"/>
      <c r="CM60928" s="111"/>
      <c r="CQ60928" s="111"/>
      <c r="EF60928"/>
      <c r="EG60928"/>
      <c r="EH60928"/>
      <c r="EI60928"/>
      <c r="EJ60928"/>
      <c r="EK60928"/>
    </row>
    <row r="60929" spans="1:141" s="116" customFormat="1">
      <c r="A60929" s="136"/>
      <c r="CM60929" s="111"/>
      <c r="CQ60929" s="111"/>
      <c r="EF60929"/>
      <c r="EG60929"/>
      <c r="EH60929"/>
      <c r="EI60929"/>
      <c r="EJ60929"/>
      <c r="EK60929"/>
    </row>
    <row r="60930" spans="1:141" s="116" customFormat="1">
      <c r="A60930" s="136"/>
      <c r="CM60930" s="111"/>
      <c r="CQ60930" s="111"/>
      <c r="EF60930"/>
      <c r="EG60930"/>
      <c r="EH60930"/>
      <c r="EI60930"/>
      <c r="EJ60930"/>
      <c r="EK60930"/>
    </row>
    <row r="60931" spans="1:141" s="116" customFormat="1">
      <c r="A60931" s="136"/>
      <c r="CM60931" s="111"/>
      <c r="CQ60931" s="111"/>
      <c r="EF60931"/>
      <c r="EG60931"/>
      <c r="EH60931"/>
      <c r="EI60931"/>
      <c r="EJ60931"/>
      <c r="EK60931"/>
    </row>
    <row r="60932" spans="1:141" s="116" customFormat="1">
      <c r="A60932" s="136"/>
      <c r="CM60932" s="111"/>
      <c r="CQ60932" s="111"/>
      <c r="EF60932"/>
      <c r="EG60932"/>
      <c r="EH60932"/>
      <c r="EI60932"/>
      <c r="EJ60932"/>
      <c r="EK60932"/>
    </row>
    <row r="60933" spans="1:141" s="116" customFormat="1">
      <c r="A60933" s="136"/>
      <c r="CM60933" s="111"/>
      <c r="CQ60933" s="111"/>
      <c r="EF60933"/>
      <c r="EG60933"/>
      <c r="EH60933"/>
      <c r="EI60933"/>
      <c r="EJ60933"/>
      <c r="EK60933"/>
    </row>
    <row r="60934" spans="1:141" s="116" customFormat="1">
      <c r="A60934" s="136"/>
      <c r="CM60934" s="111"/>
      <c r="CQ60934" s="111"/>
      <c r="EF60934"/>
      <c r="EG60934"/>
      <c r="EH60934"/>
      <c r="EI60934"/>
      <c r="EJ60934"/>
      <c r="EK60934"/>
    </row>
    <row r="60935" spans="1:141" s="116" customFormat="1">
      <c r="A60935" s="136"/>
      <c r="CM60935" s="111"/>
      <c r="CQ60935" s="111"/>
      <c r="EF60935"/>
      <c r="EG60935"/>
      <c r="EH60935"/>
      <c r="EI60935"/>
      <c r="EJ60935"/>
      <c r="EK60935"/>
    </row>
    <row r="60936" spans="1:141" s="116" customFormat="1">
      <c r="A60936" s="136"/>
      <c r="CM60936" s="111"/>
      <c r="CQ60936" s="111"/>
      <c r="EF60936"/>
      <c r="EG60936"/>
      <c r="EH60936"/>
      <c r="EI60936"/>
      <c r="EJ60936"/>
      <c r="EK60936"/>
    </row>
    <row r="60937" spans="1:141" s="116" customFormat="1">
      <c r="A60937" s="136"/>
      <c r="CM60937" s="111"/>
      <c r="CQ60937" s="111"/>
      <c r="EF60937"/>
      <c r="EG60937"/>
      <c r="EH60937"/>
      <c r="EI60937"/>
      <c r="EJ60937"/>
      <c r="EK60937"/>
    </row>
    <row r="60938" spans="1:141" s="116" customFormat="1">
      <c r="A60938" s="136"/>
      <c r="CM60938" s="111"/>
      <c r="CQ60938" s="111"/>
      <c r="EF60938"/>
      <c r="EG60938"/>
      <c r="EH60938"/>
      <c r="EI60938"/>
      <c r="EJ60938"/>
      <c r="EK60938"/>
    </row>
    <row r="60939" spans="1:141" s="116" customFormat="1">
      <c r="A60939" s="136"/>
      <c r="CM60939" s="111"/>
      <c r="CQ60939" s="111"/>
      <c r="EF60939"/>
      <c r="EG60939"/>
      <c r="EH60939"/>
      <c r="EI60939"/>
      <c r="EJ60939"/>
      <c r="EK60939"/>
    </row>
    <row r="60940" spans="1:141" s="116" customFormat="1">
      <c r="A60940" s="136"/>
      <c r="CM60940" s="111"/>
      <c r="CQ60940" s="111"/>
      <c r="EF60940"/>
      <c r="EG60940"/>
      <c r="EH60940"/>
      <c r="EI60940"/>
      <c r="EJ60940"/>
      <c r="EK60940"/>
    </row>
    <row r="60941" spans="1:141" s="116" customFormat="1">
      <c r="A60941" s="136"/>
      <c r="CM60941" s="111"/>
      <c r="CQ60941" s="111"/>
      <c r="EF60941"/>
      <c r="EG60941"/>
      <c r="EH60941"/>
      <c r="EI60941"/>
      <c r="EJ60941"/>
      <c r="EK60941"/>
    </row>
    <row r="60942" spans="1:141" s="116" customFormat="1">
      <c r="A60942" s="136"/>
      <c r="CM60942" s="111"/>
      <c r="CQ60942" s="111"/>
      <c r="EF60942"/>
      <c r="EG60942"/>
      <c r="EH60942"/>
      <c r="EI60942"/>
      <c r="EJ60942"/>
      <c r="EK60942"/>
    </row>
    <row r="60943" spans="1:141" s="116" customFormat="1">
      <c r="A60943" s="136"/>
      <c r="CM60943" s="111"/>
      <c r="CQ60943" s="111"/>
      <c r="EF60943"/>
      <c r="EG60943"/>
      <c r="EH60943"/>
      <c r="EI60943"/>
      <c r="EJ60943"/>
      <c r="EK60943"/>
    </row>
    <row r="60944" spans="1:141" s="116" customFormat="1">
      <c r="A60944" s="136"/>
      <c r="CM60944" s="111"/>
      <c r="CQ60944" s="111"/>
      <c r="EF60944"/>
      <c r="EG60944"/>
      <c r="EH60944"/>
      <c r="EI60944"/>
      <c r="EJ60944"/>
      <c r="EK60944"/>
    </row>
    <row r="60945" spans="1:141" s="116" customFormat="1">
      <c r="A60945" s="136"/>
      <c r="CM60945" s="111"/>
      <c r="CQ60945" s="111"/>
      <c r="EF60945"/>
      <c r="EG60945"/>
      <c r="EH60945"/>
      <c r="EI60945"/>
      <c r="EJ60945"/>
      <c r="EK60945"/>
    </row>
    <row r="60946" spans="1:141" s="116" customFormat="1">
      <c r="A60946" s="136"/>
      <c r="CM60946" s="111"/>
      <c r="CQ60946" s="111"/>
      <c r="EF60946"/>
      <c r="EG60946"/>
      <c r="EH60946"/>
      <c r="EI60946"/>
      <c r="EJ60946"/>
      <c r="EK60946"/>
    </row>
    <row r="60947" spans="1:141" s="116" customFormat="1">
      <c r="A60947" s="136"/>
      <c r="CM60947" s="111"/>
      <c r="CQ60947" s="111"/>
      <c r="EF60947"/>
      <c r="EG60947"/>
      <c r="EH60947"/>
      <c r="EI60947"/>
      <c r="EJ60947"/>
      <c r="EK60947"/>
    </row>
    <row r="60948" spans="1:141" s="116" customFormat="1">
      <c r="A60948" s="136"/>
      <c r="CM60948" s="111"/>
      <c r="CQ60948" s="111"/>
      <c r="EF60948"/>
      <c r="EG60948"/>
      <c r="EH60948"/>
      <c r="EI60948"/>
      <c r="EJ60948"/>
      <c r="EK60948"/>
    </row>
    <row r="60949" spans="1:141" s="116" customFormat="1">
      <c r="A60949" s="136"/>
      <c r="CM60949" s="111"/>
      <c r="CQ60949" s="111"/>
      <c r="EF60949"/>
      <c r="EG60949"/>
      <c r="EH60949"/>
      <c r="EI60949"/>
      <c r="EJ60949"/>
      <c r="EK60949"/>
    </row>
    <row r="60950" spans="1:141" s="116" customFormat="1">
      <c r="A60950" s="136"/>
      <c r="CM60950" s="111"/>
      <c r="CQ60950" s="111"/>
      <c r="EF60950"/>
      <c r="EG60950"/>
      <c r="EH60950"/>
      <c r="EI60950"/>
      <c r="EJ60950"/>
      <c r="EK60950"/>
    </row>
    <row r="60951" spans="1:141" s="116" customFormat="1">
      <c r="A60951" s="136"/>
      <c r="CM60951" s="111"/>
      <c r="CQ60951" s="111"/>
      <c r="EF60951"/>
      <c r="EG60951"/>
      <c r="EH60951"/>
      <c r="EI60951"/>
      <c r="EJ60951"/>
      <c r="EK60951"/>
    </row>
    <row r="60952" spans="1:141" s="116" customFormat="1">
      <c r="A60952" s="136"/>
      <c r="CM60952" s="111"/>
      <c r="CQ60952" s="111"/>
      <c r="EF60952"/>
      <c r="EG60952"/>
      <c r="EH60952"/>
      <c r="EI60952"/>
      <c r="EJ60952"/>
      <c r="EK60952"/>
    </row>
    <row r="60953" spans="1:141" s="116" customFormat="1">
      <c r="A60953" s="136"/>
      <c r="CM60953" s="111"/>
      <c r="CQ60953" s="111"/>
      <c r="EF60953"/>
      <c r="EG60953"/>
      <c r="EH60953"/>
      <c r="EI60953"/>
      <c r="EJ60953"/>
      <c r="EK60953"/>
    </row>
    <row r="60954" spans="1:141" s="116" customFormat="1">
      <c r="A60954" s="136"/>
      <c r="CM60954" s="111"/>
      <c r="CQ60954" s="111"/>
      <c r="EF60954"/>
      <c r="EG60954"/>
      <c r="EH60954"/>
      <c r="EI60954"/>
      <c r="EJ60954"/>
      <c r="EK60954"/>
    </row>
    <row r="60955" spans="1:141" s="116" customFormat="1">
      <c r="A60955" s="136"/>
      <c r="CM60955" s="111"/>
      <c r="CQ60955" s="111"/>
      <c r="EF60955"/>
      <c r="EG60955"/>
      <c r="EH60955"/>
      <c r="EI60955"/>
      <c r="EJ60955"/>
      <c r="EK60955"/>
    </row>
    <row r="60956" spans="1:141" s="116" customFormat="1">
      <c r="A60956" s="136"/>
      <c r="CM60956" s="111"/>
      <c r="CQ60956" s="111"/>
      <c r="EF60956"/>
      <c r="EG60956"/>
      <c r="EH60956"/>
      <c r="EI60956"/>
      <c r="EJ60956"/>
      <c r="EK60956"/>
    </row>
    <row r="60957" spans="1:141" s="116" customFormat="1">
      <c r="A60957" s="136"/>
      <c r="CM60957" s="111"/>
      <c r="CQ60957" s="111"/>
      <c r="EF60957"/>
      <c r="EG60957"/>
      <c r="EH60957"/>
      <c r="EI60957"/>
      <c r="EJ60957"/>
      <c r="EK60957"/>
    </row>
    <row r="60958" spans="1:141" s="116" customFormat="1">
      <c r="A60958" s="136"/>
      <c r="CM60958" s="111"/>
      <c r="CQ60958" s="111"/>
      <c r="EF60958"/>
      <c r="EG60958"/>
      <c r="EH60958"/>
      <c r="EI60958"/>
      <c r="EJ60958"/>
      <c r="EK60958"/>
    </row>
    <row r="60959" spans="1:141" s="116" customFormat="1">
      <c r="A60959" s="136"/>
      <c r="CM60959" s="111"/>
      <c r="CQ60959" s="111"/>
      <c r="EF60959"/>
      <c r="EG60959"/>
      <c r="EH60959"/>
      <c r="EI60959"/>
      <c r="EJ60959"/>
      <c r="EK60959"/>
    </row>
    <row r="60960" spans="1:141" s="116" customFormat="1">
      <c r="A60960" s="136"/>
      <c r="CM60960" s="111"/>
      <c r="CQ60960" s="111"/>
      <c r="EF60960"/>
      <c r="EG60960"/>
      <c r="EH60960"/>
      <c r="EI60960"/>
      <c r="EJ60960"/>
      <c r="EK60960"/>
    </row>
    <row r="60961" spans="1:141" s="116" customFormat="1">
      <c r="A60961" s="136"/>
      <c r="CM60961" s="111"/>
      <c r="CQ60961" s="111"/>
      <c r="EF60961"/>
      <c r="EG60961"/>
      <c r="EH60961"/>
      <c r="EI60961"/>
      <c r="EJ60961"/>
      <c r="EK60961"/>
    </row>
    <row r="60962" spans="1:141" s="116" customFormat="1">
      <c r="A60962" s="136"/>
      <c r="CM60962" s="111"/>
      <c r="CQ60962" s="111"/>
      <c r="EF60962"/>
      <c r="EG60962"/>
      <c r="EH60962"/>
      <c r="EI60962"/>
      <c r="EJ60962"/>
      <c r="EK60962"/>
    </row>
    <row r="60963" spans="1:141" s="116" customFormat="1">
      <c r="A60963" s="136"/>
      <c r="CM60963" s="111"/>
      <c r="CQ60963" s="111"/>
      <c r="EF60963"/>
      <c r="EG60963"/>
      <c r="EH60963"/>
      <c r="EI60963"/>
      <c r="EJ60963"/>
      <c r="EK60963"/>
    </row>
    <row r="60964" spans="1:141" s="116" customFormat="1">
      <c r="A60964" s="136"/>
      <c r="CM60964" s="111"/>
      <c r="CQ60964" s="111"/>
      <c r="EF60964"/>
      <c r="EG60964"/>
      <c r="EH60964"/>
      <c r="EI60964"/>
      <c r="EJ60964"/>
      <c r="EK60964"/>
    </row>
    <row r="60965" spans="1:141" s="116" customFormat="1">
      <c r="A60965" s="136"/>
      <c r="CM60965" s="111"/>
      <c r="CQ60965" s="111"/>
      <c r="EF60965"/>
      <c r="EG60965"/>
      <c r="EH60965"/>
      <c r="EI60965"/>
      <c r="EJ60965"/>
      <c r="EK60965"/>
    </row>
    <row r="60966" spans="1:141" s="116" customFormat="1">
      <c r="A60966" s="136"/>
      <c r="CM60966" s="111"/>
      <c r="CQ60966" s="111"/>
      <c r="EF60966"/>
      <c r="EG60966"/>
      <c r="EH60966"/>
      <c r="EI60966"/>
      <c r="EJ60966"/>
      <c r="EK60966"/>
    </row>
    <row r="60967" spans="1:141" s="116" customFormat="1">
      <c r="A60967" s="136"/>
      <c r="CM60967" s="111"/>
      <c r="CQ60967" s="111"/>
      <c r="EF60967"/>
      <c r="EG60967"/>
      <c r="EH60967"/>
      <c r="EI60967"/>
      <c r="EJ60967"/>
      <c r="EK60967"/>
    </row>
    <row r="60968" spans="1:141" s="116" customFormat="1">
      <c r="A60968" s="136"/>
      <c r="CM60968" s="111"/>
      <c r="CQ60968" s="111"/>
      <c r="EF60968"/>
      <c r="EG60968"/>
      <c r="EH60968"/>
      <c r="EI60968"/>
      <c r="EJ60968"/>
      <c r="EK60968"/>
    </row>
    <row r="60969" spans="1:141" s="116" customFormat="1">
      <c r="A60969" s="136"/>
      <c r="CM60969" s="111"/>
      <c r="CQ60969" s="111"/>
      <c r="EF60969"/>
      <c r="EG60969"/>
      <c r="EH60969"/>
      <c r="EI60969"/>
      <c r="EJ60969"/>
      <c r="EK60969"/>
    </row>
    <row r="60970" spans="1:141" s="116" customFormat="1">
      <c r="A60970" s="136"/>
      <c r="CM60970" s="111"/>
      <c r="CQ60970" s="111"/>
      <c r="EF60970"/>
      <c r="EG60970"/>
      <c r="EH60970"/>
      <c r="EI60970"/>
      <c r="EJ60970"/>
      <c r="EK60970"/>
    </row>
    <row r="60971" spans="1:141" s="116" customFormat="1">
      <c r="A60971" s="136"/>
      <c r="CM60971" s="111"/>
      <c r="CQ60971" s="111"/>
      <c r="EF60971"/>
      <c r="EG60971"/>
      <c r="EH60971"/>
      <c r="EI60971"/>
      <c r="EJ60971"/>
      <c r="EK60971"/>
    </row>
    <row r="60972" spans="1:141" s="116" customFormat="1">
      <c r="A60972" s="136"/>
      <c r="CM60972" s="111"/>
      <c r="CQ60972" s="111"/>
      <c r="EF60972"/>
      <c r="EG60972"/>
      <c r="EH60972"/>
      <c r="EI60972"/>
      <c r="EJ60972"/>
      <c r="EK60972"/>
    </row>
    <row r="60973" spans="1:141" s="116" customFormat="1">
      <c r="A60973" s="136"/>
      <c r="CM60973" s="111"/>
      <c r="CQ60973" s="111"/>
      <c r="EF60973"/>
      <c r="EG60973"/>
      <c r="EH60973"/>
      <c r="EI60973"/>
      <c r="EJ60973"/>
      <c r="EK60973"/>
    </row>
    <row r="60974" spans="1:141" s="116" customFormat="1">
      <c r="A60974" s="136"/>
      <c r="CM60974" s="111"/>
      <c r="CQ60974" s="111"/>
      <c r="EF60974"/>
      <c r="EG60974"/>
      <c r="EH60974"/>
      <c r="EI60974"/>
      <c r="EJ60974"/>
      <c r="EK60974"/>
    </row>
    <row r="60975" spans="1:141" s="116" customFormat="1">
      <c r="A60975" s="136"/>
      <c r="CM60975" s="111"/>
      <c r="CQ60975" s="111"/>
      <c r="EF60975"/>
      <c r="EG60975"/>
      <c r="EH60975"/>
      <c r="EI60975"/>
      <c r="EJ60975"/>
      <c r="EK60975"/>
    </row>
    <row r="60976" spans="1:141" s="116" customFormat="1">
      <c r="A60976" s="136"/>
      <c r="CM60976" s="111"/>
      <c r="CQ60976" s="111"/>
      <c r="EF60976"/>
      <c r="EG60976"/>
      <c r="EH60976"/>
      <c r="EI60976"/>
      <c r="EJ60976"/>
      <c r="EK60976"/>
    </row>
    <row r="60977" spans="1:141" s="116" customFormat="1">
      <c r="A60977" s="136"/>
      <c r="CM60977" s="111"/>
      <c r="CQ60977" s="111"/>
      <c r="EF60977"/>
      <c r="EG60977"/>
      <c r="EH60977"/>
      <c r="EI60977"/>
      <c r="EJ60977"/>
      <c r="EK60977"/>
    </row>
    <row r="60978" spans="1:141" s="116" customFormat="1">
      <c r="A60978" s="136"/>
      <c r="CM60978" s="111"/>
      <c r="CQ60978" s="111"/>
      <c r="EF60978"/>
      <c r="EG60978"/>
      <c r="EH60978"/>
      <c r="EI60978"/>
      <c r="EJ60978"/>
      <c r="EK60978"/>
    </row>
    <row r="60979" spans="1:141" s="116" customFormat="1">
      <c r="A60979" s="136"/>
      <c r="CM60979" s="111"/>
      <c r="CQ60979" s="111"/>
      <c r="EF60979"/>
      <c r="EG60979"/>
      <c r="EH60979"/>
      <c r="EI60979"/>
      <c r="EJ60979"/>
      <c r="EK60979"/>
    </row>
    <row r="60980" spans="1:141" s="116" customFormat="1">
      <c r="A60980" s="136"/>
      <c r="CM60980" s="111"/>
      <c r="CQ60980" s="111"/>
      <c r="EF60980"/>
      <c r="EG60980"/>
      <c r="EH60980"/>
      <c r="EI60980"/>
      <c r="EJ60980"/>
      <c r="EK60980"/>
    </row>
    <row r="60981" spans="1:141" s="116" customFormat="1">
      <c r="A60981" s="136"/>
      <c r="CM60981" s="111"/>
      <c r="CQ60981" s="111"/>
      <c r="EF60981"/>
      <c r="EG60981"/>
      <c r="EH60981"/>
      <c r="EI60981"/>
      <c r="EJ60981"/>
      <c r="EK60981"/>
    </row>
    <row r="60982" spans="1:141" s="116" customFormat="1">
      <c r="A60982" s="136"/>
      <c r="CM60982" s="111"/>
      <c r="CQ60982" s="111"/>
      <c r="EF60982"/>
      <c r="EG60982"/>
      <c r="EH60982"/>
      <c r="EI60982"/>
      <c r="EJ60982"/>
      <c r="EK60982"/>
    </row>
    <row r="60983" spans="1:141" s="116" customFormat="1">
      <c r="A60983" s="136"/>
      <c r="CM60983" s="111"/>
      <c r="CQ60983" s="111"/>
      <c r="EF60983"/>
      <c r="EG60983"/>
      <c r="EH60983"/>
      <c r="EI60983"/>
      <c r="EJ60983"/>
      <c r="EK60983"/>
    </row>
    <row r="60984" spans="1:141" s="116" customFormat="1">
      <c r="A60984" s="136"/>
      <c r="CM60984" s="111"/>
      <c r="CQ60984" s="111"/>
      <c r="EF60984"/>
      <c r="EG60984"/>
      <c r="EH60984"/>
      <c r="EI60984"/>
      <c r="EJ60984"/>
      <c r="EK60984"/>
    </row>
    <row r="60985" spans="1:141" s="116" customFormat="1">
      <c r="A60985" s="136"/>
      <c r="CM60985" s="111"/>
      <c r="CQ60985" s="111"/>
      <c r="EF60985"/>
      <c r="EG60985"/>
      <c r="EH60985"/>
      <c r="EI60985"/>
      <c r="EJ60985"/>
      <c r="EK60985"/>
    </row>
    <row r="60986" spans="1:141" s="116" customFormat="1">
      <c r="A60986" s="136"/>
      <c r="CM60986" s="111"/>
      <c r="CQ60986" s="111"/>
      <c r="EF60986"/>
      <c r="EG60986"/>
      <c r="EH60986"/>
      <c r="EI60986"/>
      <c r="EJ60986"/>
      <c r="EK60986"/>
    </row>
    <row r="60987" spans="1:141" s="116" customFormat="1">
      <c r="A60987" s="136"/>
      <c r="CM60987" s="111"/>
      <c r="CQ60987" s="111"/>
      <c r="EF60987"/>
      <c r="EG60987"/>
      <c r="EH60987"/>
      <c r="EI60987"/>
      <c r="EJ60987"/>
      <c r="EK60987"/>
    </row>
    <row r="60988" spans="1:141" s="116" customFormat="1">
      <c r="A60988" s="136"/>
      <c r="CM60988" s="111"/>
      <c r="CQ60988" s="111"/>
      <c r="EF60988"/>
      <c r="EG60988"/>
      <c r="EH60988"/>
      <c r="EI60988"/>
      <c r="EJ60988"/>
      <c r="EK60988"/>
    </row>
    <row r="60989" spans="1:141" s="116" customFormat="1">
      <c r="A60989" s="136"/>
      <c r="CM60989" s="111"/>
      <c r="CQ60989" s="111"/>
      <c r="EF60989"/>
      <c r="EG60989"/>
      <c r="EH60989"/>
      <c r="EI60989"/>
      <c r="EJ60989"/>
      <c r="EK60989"/>
    </row>
    <row r="60990" spans="1:141" s="116" customFormat="1">
      <c r="A60990" s="136"/>
      <c r="CM60990" s="111"/>
      <c r="CQ60990" s="111"/>
      <c r="EF60990"/>
      <c r="EG60990"/>
      <c r="EH60990"/>
      <c r="EI60990"/>
      <c r="EJ60990"/>
      <c r="EK60990"/>
    </row>
    <row r="60991" spans="1:141" s="116" customFormat="1">
      <c r="A60991" s="136"/>
      <c r="CM60991" s="111"/>
      <c r="CQ60991" s="111"/>
      <c r="EF60991"/>
      <c r="EG60991"/>
      <c r="EH60991"/>
      <c r="EI60991"/>
      <c r="EJ60991"/>
      <c r="EK60991"/>
    </row>
    <row r="60992" spans="1:141" s="116" customFormat="1">
      <c r="A60992" s="136"/>
      <c r="CM60992" s="111"/>
      <c r="CQ60992" s="111"/>
      <c r="EF60992"/>
      <c r="EG60992"/>
      <c r="EH60992"/>
      <c r="EI60992"/>
      <c r="EJ60992"/>
      <c r="EK60992"/>
    </row>
    <row r="60993" spans="1:141" s="116" customFormat="1">
      <c r="A60993" s="136"/>
      <c r="CM60993" s="111"/>
      <c r="CQ60993" s="111"/>
      <c r="EF60993"/>
      <c r="EG60993"/>
      <c r="EH60993"/>
      <c r="EI60993"/>
      <c r="EJ60993"/>
      <c r="EK60993"/>
    </row>
    <row r="60994" spans="1:141" s="116" customFormat="1">
      <c r="A60994" s="136"/>
      <c r="CM60994" s="111"/>
      <c r="CQ60994" s="111"/>
      <c r="EF60994"/>
      <c r="EG60994"/>
      <c r="EH60994"/>
      <c r="EI60994"/>
      <c r="EJ60994"/>
      <c r="EK60994"/>
    </row>
    <row r="60995" spans="1:141" s="116" customFormat="1">
      <c r="A60995" s="136"/>
      <c r="CM60995" s="111"/>
      <c r="CQ60995" s="111"/>
      <c r="EF60995"/>
      <c r="EG60995"/>
      <c r="EH60995"/>
      <c r="EI60995"/>
      <c r="EJ60995"/>
      <c r="EK60995"/>
    </row>
    <row r="60996" spans="1:141" s="116" customFormat="1">
      <c r="A60996" s="136"/>
      <c r="CM60996" s="111"/>
      <c r="CQ60996" s="111"/>
      <c r="EF60996"/>
      <c r="EG60996"/>
      <c r="EH60996"/>
      <c r="EI60996"/>
      <c r="EJ60996"/>
      <c r="EK60996"/>
    </row>
    <row r="60997" spans="1:141" s="116" customFormat="1">
      <c r="A60997" s="136"/>
      <c r="CM60997" s="111"/>
      <c r="CQ60997" s="111"/>
      <c r="EF60997"/>
      <c r="EG60997"/>
      <c r="EH60997"/>
      <c r="EI60997"/>
      <c r="EJ60997"/>
      <c r="EK60997"/>
    </row>
    <row r="60998" spans="1:141" s="116" customFormat="1">
      <c r="A60998" s="136"/>
      <c r="CM60998" s="111"/>
      <c r="CQ60998" s="111"/>
      <c r="EF60998"/>
      <c r="EG60998"/>
      <c r="EH60998"/>
      <c r="EI60998"/>
      <c r="EJ60998"/>
      <c r="EK60998"/>
    </row>
    <row r="60999" spans="1:141" s="116" customFormat="1">
      <c r="A60999" s="136"/>
      <c r="CM60999" s="111"/>
      <c r="CQ60999" s="111"/>
      <c r="EF60999"/>
      <c r="EG60999"/>
      <c r="EH60999"/>
      <c r="EI60999"/>
      <c r="EJ60999"/>
      <c r="EK60999"/>
    </row>
    <row r="61000" spans="1:141" s="116" customFormat="1">
      <c r="A61000" s="136"/>
      <c r="CM61000" s="111"/>
      <c r="CQ61000" s="111"/>
      <c r="EF61000"/>
      <c r="EG61000"/>
      <c r="EH61000"/>
      <c r="EI61000"/>
      <c r="EJ61000"/>
      <c r="EK61000"/>
    </row>
    <row r="61001" spans="1:141" s="116" customFormat="1">
      <c r="A61001" s="136"/>
      <c r="CM61001" s="111"/>
      <c r="CQ61001" s="111"/>
      <c r="EF61001"/>
      <c r="EG61001"/>
      <c r="EH61001"/>
      <c r="EI61001"/>
      <c r="EJ61001"/>
      <c r="EK61001"/>
    </row>
    <row r="61002" spans="1:141" s="116" customFormat="1">
      <c r="A61002" s="136"/>
      <c r="CM61002" s="111"/>
      <c r="CQ61002" s="111"/>
      <c r="EF61002"/>
      <c r="EG61002"/>
      <c r="EH61002"/>
      <c r="EI61002"/>
      <c r="EJ61002"/>
      <c r="EK61002"/>
    </row>
    <row r="61003" spans="1:141" s="116" customFormat="1">
      <c r="A61003" s="136"/>
      <c r="CM61003" s="111"/>
      <c r="CQ61003" s="111"/>
      <c r="EF61003"/>
      <c r="EG61003"/>
      <c r="EH61003"/>
      <c r="EI61003"/>
      <c r="EJ61003"/>
      <c r="EK61003"/>
    </row>
    <row r="61004" spans="1:141" s="116" customFormat="1">
      <c r="A61004" s="136"/>
      <c r="CM61004" s="111"/>
      <c r="CQ61004" s="111"/>
      <c r="EF61004"/>
      <c r="EG61004"/>
      <c r="EH61004"/>
      <c r="EI61004"/>
      <c r="EJ61004"/>
      <c r="EK61004"/>
    </row>
    <row r="61005" spans="1:141" s="116" customFormat="1">
      <c r="A61005" s="136"/>
      <c r="CM61005" s="111"/>
      <c r="CQ61005" s="111"/>
      <c r="EF61005"/>
      <c r="EG61005"/>
      <c r="EH61005"/>
      <c r="EI61005"/>
      <c r="EJ61005"/>
      <c r="EK61005"/>
    </row>
    <row r="61006" spans="1:141" s="116" customFormat="1">
      <c r="A61006" s="136"/>
      <c r="CM61006" s="111"/>
      <c r="CQ61006" s="111"/>
      <c r="EF61006"/>
      <c r="EG61006"/>
      <c r="EH61006"/>
      <c r="EI61006"/>
      <c r="EJ61006"/>
      <c r="EK61006"/>
    </row>
    <row r="61007" spans="1:141" s="116" customFormat="1">
      <c r="A61007" s="136"/>
      <c r="CM61007" s="111"/>
      <c r="CQ61007" s="111"/>
      <c r="EF61007"/>
      <c r="EG61007"/>
      <c r="EH61007"/>
      <c r="EI61007"/>
      <c r="EJ61007"/>
      <c r="EK61007"/>
    </row>
    <row r="61008" spans="1:141" s="116" customFormat="1">
      <c r="A61008" s="136"/>
      <c r="CM61008" s="111"/>
      <c r="CQ61008" s="111"/>
      <c r="EF61008"/>
      <c r="EG61008"/>
      <c r="EH61008"/>
      <c r="EI61008"/>
      <c r="EJ61008"/>
      <c r="EK61008"/>
    </row>
    <row r="61009" spans="1:141" s="116" customFormat="1">
      <c r="A61009" s="136"/>
      <c r="CM61009" s="111"/>
      <c r="CQ61009" s="111"/>
      <c r="EF61009"/>
      <c r="EG61009"/>
      <c r="EH61009"/>
      <c r="EI61009"/>
      <c r="EJ61009"/>
      <c r="EK61009"/>
    </row>
    <row r="61010" spans="1:141" s="116" customFormat="1">
      <c r="A61010" s="136"/>
      <c r="CM61010" s="111"/>
      <c r="CQ61010" s="111"/>
      <c r="EF61010"/>
      <c r="EG61010"/>
      <c r="EH61010"/>
      <c r="EI61010"/>
      <c r="EJ61010"/>
      <c r="EK61010"/>
    </row>
    <row r="61011" spans="1:141" s="116" customFormat="1">
      <c r="A61011" s="136"/>
      <c r="CM61011" s="111"/>
      <c r="CQ61011" s="111"/>
      <c r="EF61011"/>
      <c r="EG61011"/>
      <c r="EH61011"/>
      <c r="EI61011"/>
      <c r="EJ61011"/>
      <c r="EK61011"/>
    </row>
    <row r="61012" spans="1:141" s="116" customFormat="1">
      <c r="A61012" s="136"/>
      <c r="CM61012" s="111"/>
      <c r="CQ61012" s="111"/>
      <c r="EF61012"/>
      <c r="EG61012"/>
      <c r="EH61012"/>
      <c r="EI61012"/>
      <c r="EJ61012"/>
      <c r="EK61012"/>
    </row>
    <row r="61013" spans="1:141" s="116" customFormat="1">
      <c r="A61013" s="136"/>
      <c r="CM61013" s="111"/>
      <c r="CQ61013" s="111"/>
      <c r="EF61013"/>
      <c r="EG61013"/>
      <c r="EH61013"/>
      <c r="EI61013"/>
      <c r="EJ61013"/>
      <c r="EK61013"/>
    </row>
    <row r="61014" spans="1:141" s="116" customFormat="1">
      <c r="A61014" s="136"/>
      <c r="CM61014" s="111"/>
      <c r="CQ61014" s="111"/>
      <c r="EF61014"/>
      <c r="EG61014"/>
      <c r="EH61014"/>
      <c r="EI61014"/>
      <c r="EJ61014"/>
      <c r="EK61014"/>
    </row>
    <row r="61015" spans="1:141" s="116" customFormat="1">
      <c r="A61015" s="136"/>
      <c r="CM61015" s="111"/>
      <c r="CQ61015" s="111"/>
      <c r="EF61015"/>
      <c r="EG61015"/>
      <c r="EH61015"/>
      <c r="EI61015"/>
      <c r="EJ61015"/>
      <c r="EK61015"/>
    </row>
    <row r="61016" spans="1:141" s="116" customFormat="1">
      <c r="A61016" s="136"/>
      <c r="CM61016" s="111"/>
      <c r="CQ61016" s="111"/>
      <c r="EF61016"/>
      <c r="EG61016"/>
      <c r="EH61016"/>
      <c r="EI61016"/>
      <c r="EJ61016"/>
      <c r="EK61016"/>
    </row>
    <row r="61017" spans="1:141" s="116" customFormat="1">
      <c r="A61017" s="136"/>
      <c r="CM61017" s="111"/>
      <c r="CQ61017" s="111"/>
      <c r="EF61017"/>
      <c r="EG61017"/>
      <c r="EH61017"/>
      <c r="EI61017"/>
      <c r="EJ61017"/>
      <c r="EK61017"/>
    </row>
    <row r="61018" spans="1:141" s="116" customFormat="1">
      <c r="A61018" s="136"/>
      <c r="CM61018" s="111"/>
      <c r="CQ61018" s="111"/>
      <c r="EF61018"/>
      <c r="EG61018"/>
      <c r="EH61018"/>
      <c r="EI61018"/>
      <c r="EJ61018"/>
      <c r="EK61018"/>
    </row>
    <row r="61019" spans="1:141" s="116" customFormat="1">
      <c r="A61019" s="136"/>
      <c r="CM61019" s="111"/>
      <c r="CQ61019" s="111"/>
      <c r="EF61019"/>
      <c r="EG61019"/>
      <c r="EH61019"/>
      <c r="EI61019"/>
      <c r="EJ61019"/>
      <c r="EK61019"/>
    </row>
    <row r="61020" spans="1:141" s="116" customFormat="1">
      <c r="A61020" s="136"/>
      <c r="CM61020" s="111"/>
      <c r="CQ61020" s="111"/>
      <c r="EF61020"/>
      <c r="EG61020"/>
      <c r="EH61020"/>
      <c r="EI61020"/>
      <c r="EJ61020"/>
      <c r="EK61020"/>
    </row>
    <row r="61021" spans="1:141" s="116" customFormat="1">
      <c r="A61021" s="136"/>
      <c r="CM61021" s="111"/>
      <c r="CQ61021" s="111"/>
      <c r="EF61021"/>
      <c r="EG61021"/>
      <c r="EH61021"/>
      <c r="EI61021"/>
      <c r="EJ61021"/>
      <c r="EK61021"/>
    </row>
    <row r="61022" spans="1:141" s="116" customFormat="1">
      <c r="A61022" s="136"/>
      <c r="CM61022" s="111"/>
      <c r="CQ61022" s="111"/>
      <c r="EF61022"/>
      <c r="EG61022"/>
      <c r="EH61022"/>
      <c r="EI61022"/>
      <c r="EJ61022"/>
      <c r="EK61022"/>
    </row>
    <row r="61023" spans="1:141" s="116" customFormat="1">
      <c r="A61023" s="136"/>
      <c r="CM61023" s="111"/>
      <c r="CQ61023" s="111"/>
      <c r="EF61023"/>
      <c r="EG61023"/>
      <c r="EH61023"/>
      <c r="EI61023"/>
      <c r="EJ61023"/>
      <c r="EK61023"/>
    </row>
    <row r="61024" spans="1:141" s="116" customFormat="1">
      <c r="A61024" s="136"/>
      <c r="CM61024" s="111"/>
      <c r="CQ61024" s="111"/>
      <c r="EF61024"/>
      <c r="EG61024"/>
      <c r="EH61024"/>
      <c r="EI61024"/>
      <c r="EJ61024"/>
      <c r="EK61024"/>
    </row>
    <row r="61025" spans="1:141" s="116" customFormat="1">
      <c r="A61025" s="136"/>
      <c r="CM61025" s="111"/>
      <c r="CQ61025" s="111"/>
      <c r="EF61025"/>
      <c r="EG61025"/>
      <c r="EH61025"/>
      <c r="EI61025"/>
      <c r="EJ61025"/>
      <c r="EK61025"/>
    </row>
    <row r="61026" spans="1:141" s="116" customFormat="1">
      <c r="A61026" s="136"/>
      <c r="CM61026" s="111"/>
      <c r="CQ61026" s="111"/>
      <c r="EF61026"/>
      <c r="EG61026"/>
      <c r="EH61026"/>
      <c r="EI61026"/>
      <c r="EJ61026"/>
      <c r="EK61026"/>
    </row>
    <row r="61027" spans="1:141" s="116" customFormat="1">
      <c r="A61027" s="136"/>
      <c r="CM61027" s="111"/>
      <c r="CQ61027" s="111"/>
      <c r="EF61027"/>
      <c r="EG61027"/>
      <c r="EH61027"/>
      <c r="EI61027"/>
      <c r="EJ61027"/>
      <c r="EK61027"/>
    </row>
    <row r="61028" spans="1:141" s="116" customFormat="1">
      <c r="A61028" s="136"/>
      <c r="CM61028" s="111"/>
      <c r="CQ61028" s="111"/>
      <c r="EF61028"/>
      <c r="EG61028"/>
      <c r="EH61028"/>
      <c r="EI61028"/>
      <c r="EJ61028"/>
      <c r="EK61028"/>
    </row>
    <row r="61029" spans="1:141" s="116" customFormat="1">
      <c r="A61029" s="136"/>
      <c r="CM61029" s="111"/>
      <c r="CQ61029" s="111"/>
      <c r="EF61029"/>
      <c r="EG61029"/>
      <c r="EH61029"/>
      <c r="EI61029"/>
      <c r="EJ61029"/>
      <c r="EK61029"/>
    </row>
    <row r="61030" spans="1:141" s="116" customFormat="1">
      <c r="A61030" s="136"/>
      <c r="CM61030" s="111"/>
      <c r="CQ61030" s="111"/>
      <c r="EF61030"/>
      <c r="EG61030"/>
      <c r="EH61030"/>
      <c r="EI61030"/>
      <c r="EJ61030"/>
      <c r="EK61030"/>
    </row>
    <row r="61031" spans="1:141" s="116" customFormat="1">
      <c r="A61031" s="136"/>
      <c r="CM61031" s="111"/>
      <c r="CQ61031" s="111"/>
      <c r="EF61031"/>
      <c r="EG61031"/>
      <c r="EH61031"/>
      <c r="EI61031"/>
      <c r="EJ61031"/>
      <c r="EK61031"/>
    </row>
    <row r="61032" spans="1:141" s="116" customFormat="1">
      <c r="A61032" s="136"/>
      <c r="CM61032" s="111"/>
      <c r="CQ61032" s="111"/>
      <c r="EF61032"/>
      <c r="EG61032"/>
      <c r="EH61032"/>
      <c r="EI61032"/>
      <c r="EJ61032"/>
      <c r="EK61032"/>
    </row>
    <row r="61033" spans="1:141" s="116" customFormat="1">
      <c r="A61033" s="136"/>
      <c r="CM61033" s="111"/>
      <c r="CQ61033" s="111"/>
      <c r="EF61033"/>
      <c r="EG61033"/>
      <c r="EH61033"/>
      <c r="EI61033"/>
      <c r="EJ61033"/>
      <c r="EK61033"/>
    </row>
    <row r="61034" spans="1:141" s="116" customFormat="1">
      <c r="A61034" s="136"/>
      <c r="CM61034" s="111"/>
      <c r="CQ61034" s="111"/>
      <c r="EF61034"/>
      <c r="EG61034"/>
      <c r="EH61034"/>
      <c r="EI61034"/>
      <c r="EJ61034"/>
      <c r="EK61034"/>
    </row>
    <row r="61035" spans="1:141" s="116" customFormat="1">
      <c r="A61035" s="136"/>
      <c r="CM61035" s="111"/>
      <c r="CQ61035" s="111"/>
      <c r="EF61035"/>
      <c r="EG61035"/>
      <c r="EH61035"/>
      <c r="EI61035"/>
      <c r="EJ61035"/>
      <c r="EK61035"/>
    </row>
    <row r="61036" spans="1:141" s="116" customFormat="1">
      <c r="A61036" s="136"/>
      <c r="CM61036" s="111"/>
      <c r="CQ61036" s="111"/>
      <c r="EF61036"/>
      <c r="EG61036"/>
      <c r="EH61036"/>
      <c r="EI61036"/>
      <c r="EJ61036"/>
      <c r="EK61036"/>
    </row>
    <row r="61037" spans="1:141" s="116" customFormat="1">
      <c r="A61037" s="136"/>
      <c r="CM61037" s="111"/>
      <c r="CQ61037" s="111"/>
      <c r="EF61037"/>
      <c r="EG61037"/>
      <c r="EH61037"/>
      <c r="EI61037"/>
      <c r="EJ61037"/>
      <c r="EK61037"/>
    </row>
    <row r="61038" spans="1:141" s="116" customFormat="1">
      <c r="A61038" s="136"/>
      <c r="CM61038" s="111"/>
      <c r="CQ61038" s="111"/>
      <c r="EF61038"/>
      <c r="EG61038"/>
      <c r="EH61038"/>
      <c r="EI61038"/>
      <c r="EJ61038"/>
      <c r="EK61038"/>
    </row>
    <row r="61039" spans="1:141" s="116" customFormat="1">
      <c r="A61039" s="136"/>
      <c r="CM61039" s="111"/>
      <c r="CQ61039" s="111"/>
      <c r="EF61039"/>
      <c r="EG61039"/>
      <c r="EH61039"/>
      <c r="EI61039"/>
      <c r="EJ61039"/>
      <c r="EK61039"/>
    </row>
    <row r="61040" spans="1:141" s="116" customFormat="1">
      <c r="A61040" s="136"/>
      <c r="CM61040" s="111"/>
      <c r="CQ61040" s="111"/>
      <c r="EF61040"/>
      <c r="EG61040"/>
      <c r="EH61040"/>
      <c r="EI61040"/>
      <c r="EJ61040"/>
      <c r="EK61040"/>
    </row>
    <row r="61041" spans="1:141" s="116" customFormat="1">
      <c r="A61041" s="136"/>
      <c r="CM61041" s="111"/>
      <c r="CQ61041" s="111"/>
      <c r="EF61041"/>
      <c r="EG61041"/>
      <c r="EH61041"/>
      <c r="EI61041"/>
      <c r="EJ61041"/>
      <c r="EK61041"/>
    </row>
    <row r="61042" spans="1:141" s="116" customFormat="1">
      <c r="A61042" s="136"/>
      <c r="CM61042" s="111"/>
      <c r="CQ61042" s="111"/>
      <c r="EF61042"/>
      <c r="EG61042"/>
      <c r="EH61042"/>
      <c r="EI61042"/>
      <c r="EJ61042"/>
      <c r="EK61042"/>
    </row>
    <row r="61043" spans="1:141" s="116" customFormat="1">
      <c r="A61043" s="136"/>
      <c r="CM61043" s="111"/>
      <c r="CQ61043" s="111"/>
      <c r="EF61043"/>
      <c r="EG61043"/>
      <c r="EH61043"/>
      <c r="EI61043"/>
      <c r="EJ61043"/>
      <c r="EK61043"/>
    </row>
    <row r="61044" spans="1:141" s="116" customFormat="1">
      <c r="A61044" s="136"/>
      <c r="CM61044" s="111"/>
      <c r="CQ61044" s="111"/>
      <c r="EF61044"/>
      <c r="EG61044"/>
      <c r="EH61044"/>
      <c r="EI61044"/>
      <c r="EJ61044"/>
      <c r="EK61044"/>
    </row>
    <row r="61045" spans="1:141" s="116" customFormat="1">
      <c r="A61045" s="136"/>
      <c r="CM61045" s="111"/>
      <c r="CQ61045" s="111"/>
      <c r="EF61045"/>
      <c r="EG61045"/>
      <c r="EH61045"/>
      <c r="EI61045"/>
      <c r="EJ61045"/>
      <c r="EK61045"/>
    </row>
    <row r="61046" spans="1:141" s="116" customFormat="1">
      <c r="A61046" s="136"/>
      <c r="CM61046" s="111"/>
      <c r="CQ61046" s="111"/>
      <c r="EF61046"/>
      <c r="EG61046"/>
      <c r="EH61046"/>
      <c r="EI61046"/>
      <c r="EJ61046"/>
      <c r="EK61046"/>
    </row>
    <row r="61047" spans="1:141" s="116" customFormat="1">
      <c r="A61047" s="136"/>
      <c r="CM61047" s="111"/>
      <c r="CQ61047" s="111"/>
      <c r="EF61047"/>
      <c r="EG61047"/>
      <c r="EH61047"/>
      <c r="EI61047"/>
      <c r="EJ61047"/>
      <c r="EK61047"/>
    </row>
    <row r="61048" spans="1:141" s="116" customFormat="1">
      <c r="A61048" s="136"/>
      <c r="CM61048" s="111"/>
      <c r="CQ61048" s="111"/>
      <c r="EF61048"/>
      <c r="EG61048"/>
      <c r="EH61048"/>
      <c r="EI61048"/>
      <c r="EJ61048"/>
      <c r="EK61048"/>
    </row>
    <row r="61049" spans="1:141" s="116" customFormat="1">
      <c r="A61049" s="136"/>
      <c r="CM61049" s="111"/>
      <c r="CQ61049" s="111"/>
      <c r="EF61049"/>
      <c r="EG61049"/>
      <c r="EH61049"/>
      <c r="EI61049"/>
      <c r="EJ61049"/>
      <c r="EK61049"/>
    </row>
    <row r="61050" spans="1:141" s="116" customFormat="1">
      <c r="A61050" s="136"/>
      <c r="CM61050" s="111"/>
      <c r="CQ61050" s="111"/>
      <c r="EF61050"/>
      <c r="EG61050"/>
      <c r="EH61050"/>
      <c r="EI61050"/>
      <c r="EJ61050"/>
      <c r="EK61050"/>
    </row>
    <row r="61051" spans="1:141" s="116" customFormat="1">
      <c r="A61051" s="136"/>
      <c r="CM61051" s="111"/>
      <c r="CQ61051" s="111"/>
      <c r="EF61051"/>
      <c r="EG61051"/>
      <c r="EH61051"/>
      <c r="EI61051"/>
      <c r="EJ61051"/>
      <c r="EK61051"/>
    </row>
    <row r="61052" spans="1:141" s="116" customFormat="1">
      <c r="A61052" s="136"/>
      <c r="CM61052" s="111"/>
      <c r="CQ61052" s="111"/>
      <c r="EF61052"/>
      <c r="EG61052"/>
      <c r="EH61052"/>
      <c r="EI61052"/>
      <c r="EJ61052"/>
      <c r="EK61052"/>
    </row>
    <row r="61053" spans="1:141" s="116" customFormat="1">
      <c r="A61053" s="136"/>
      <c r="CM61053" s="111"/>
      <c r="CQ61053" s="111"/>
      <c r="EF61053"/>
      <c r="EG61053"/>
      <c r="EH61053"/>
      <c r="EI61053"/>
      <c r="EJ61053"/>
      <c r="EK61053"/>
    </row>
    <row r="61054" spans="1:141" s="116" customFormat="1">
      <c r="A61054" s="136"/>
      <c r="CM61054" s="111"/>
      <c r="CQ61054" s="111"/>
      <c r="EF61054"/>
      <c r="EG61054"/>
      <c r="EH61054"/>
      <c r="EI61054"/>
      <c r="EJ61054"/>
      <c r="EK61054"/>
    </row>
    <row r="61055" spans="1:141" s="116" customFormat="1">
      <c r="A61055" s="136"/>
      <c r="CM61055" s="111"/>
      <c r="CQ61055" s="111"/>
      <c r="EF61055"/>
      <c r="EG61055"/>
      <c r="EH61055"/>
      <c r="EI61055"/>
      <c r="EJ61055"/>
      <c r="EK61055"/>
    </row>
    <row r="61056" spans="1:141" s="116" customFormat="1">
      <c r="A61056" s="136"/>
      <c r="CM61056" s="111"/>
      <c r="CQ61056" s="111"/>
      <c r="EF61056"/>
      <c r="EG61056"/>
      <c r="EH61056"/>
      <c r="EI61056"/>
      <c r="EJ61056"/>
      <c r="EK61056"/>
    </row>
    <row r="61057" spans="1:141" s="116" customFormat="1">
      <c r="A61057" s="136"/>
      <c r="CM61057" s="111"/>
      <c r="CQ61057" s="111"/>
      <c r="EF61057"/>
      <c r="EG61057"/>
      <c r="EH61057"/>
      <c r="EI61057"/>
      <c r="EJ61057"/>
      <c r="EK61057"/>
    </row>
    <row r="61058" spans="1:141" s="116" customFormat="1">
      <c r="A61058" s="136"/>
      <c r="CM61058" s="111"/>
      <c r="CQ61058" s="111"/>
      <c r="EF61058"/>
      <c r="EG61058"/>
      <c r="EH61058"/>
      <c r="EI61058"/>
      <c r="EJ61058"/>
      <c r="EK61058"/>
    </row>
    <row r="61059" spans="1:141" s="116" customFormat="1">
      <c r="A61059" s="136"/>
      <c r="CM61059" s="111"/>
      <c r="CQ61059" s="111"/>
      <c r="EF61059"/>
      <c r="EG61059"/>
      <c r="EH61059"/>
      <c r="EI61059"/>
      <c r="EJ61059"/>
      <c r="EK61059"/>
    </row>
    <row r="61060" spans="1:141" s="116" customFormat="1">
      <c r="A61060" s="136"/>
      <c r="CM61060" s="111"/>
      <c r="CQ61060" s="111"/>
      <c r="EF61060"/>
      <c r="EG61060"/>
      <c r="EH61060"/>
      <c r="EI61060"/>
      <c r="EJ61060"/>
      <c r="EK61060"/>
    </row>
    <row r="61061" spans="1:141" s="116" customFormat="1">
      <c r="A61061" s="136"/>
      <c r="CM61061" s="111"/>
      <c r="CQ61061" s="111"/>
      <c r="EF61061"/>
      <c r="EG61061"/>
      <c r="EH61061"/>
      <c r="EI61061"/>
      <c r="EJ61061"/>
      <c r="EK61061"/>
    </row>
    <row r="61062" spans="1:141" s="116" customFormat="1">
      <c r="A61062" s="136"/>
      <c r="CM61062" s="111"/>
      <c r="CQ61062" s="111"/>
      <c r="EF61062"/>
      <c r="EG61062"/>
      <c r="EH61062"/>
      <c r="EI61062"/>
      <c r="EJ61062"/>
      <c r="EK61062"/>
    </row>
    <row r="61063" spans="1:141" s="116" customFormat="1">
      <c r="A61063" s="136"/>
      <c r="CM61063" s="111"/>
      <c r="CQ61063" s="111"/>
      <c r="EF61063"/>
      <c r="EG61063"/>
      <c r="EH61063"/>
      <c r="EI61063"/>
      <c r="EJ61063"/>
      <c r="EK61063"/>
    </row>
    <row r="61064" spans="1:141" s="116" customFormat="1">
      <c r="A61064" s="136"/>
      <c r="CM61064" s="111"/>
      <c r="CQ61064" s="111"/>
      <c r="EF61064"/>
      <c r="EG61064"/>
      <c r="EH61064"/>
      <c r="EI61064"/>
      <c r="EJ61064"/>
      <c r="EK61064"/>
    </row>
    <row r="61065" spans="1:141" s="116" customFormat="1">
      <c r="A61065" s="136"/>
      <c r="CM61065" s="111"/>
      <c r="CQ61065" s="111"/>
      <c r="EF61065"/>
      <c r="EG61065"/>
      <c r="EH61065"/>
      <c r="EI61065"/>
      <c r="EJ61065"/>
      <c r="EK61065"/>
    </row>
    <row r="61066" spans="1:141" s="116" customFormat="1">
      <c r="A61066" s="136"/>
      <c r="CM61066" s="111"/>
      <c r="CQ61066" s="111"/>
      <c r="EF61066"/>
      <c r="EG61066"/>
      <c r="EH61066"/>
      <c r="EI61066"/>
      <c r="EJ61066"/>
      <c r="EK61066"/>
    </row>
    <row r="61067" spans="1:141" s="116" customFormat="1">
      <c r="A61067" s="136"/>
      <c r="CM61067" s="111"/>
      <c r="CQ61067" s="111"/>
      <c r="EF61067"/>
      <c r="EG61067"/>
      <c r="EH61067"/>
      <c r="EI61067"/>
      <c r="EJ61067"/>
      <c r="EK61067"/>
    </row>
    <row r="61068" spans="1:141" s="116" customFormat="1">
      <c r="A61068" s="136"/>
      <c r="CM61068" s="111"/>
      <c r="CQ61068" s="111"/>
      <c r="EF61068"/>
      <c r="EG61068"/>
      <c r="EH61068"/>
      <c r="EI61068"/>
      <c r="EJ61068"/>
      <c r="EK61068"/>
    </row>
    <row r="61069" spans="1:141" s="116" customFormat="1">
      <c r="A61069" s="136"/>
      <c r="CM61069" s="111"/>
      <c r="CQ61069" s="111"/>
      <c r="EF61069"/>
      <c r="EG61069"/>
      <c r="EH61069"/>
      <c r="EI61069"/>
      <c r="EJ61069"/>
      <c r="EK61069"/>
    </row>
    <row r="61070" spans="1:141" s="116" customFormat="1">
      <c r="A61070" s="136"/>
      <c r="CM61070" s="111"/>
      <c r="CQ61070" s="111"/>
      <c r="EF61070"/>
      <c r="EG61070"/>
      <c r="EH61070"/>
      <c r="EI61070"/>
      <c r="EJ61070"/>
      <c r="EK61070"/>
    </row>
    <row r="61071" spans="1:141" s="116" customFormat="1">
      <c r="A61071" s="136"/>
      <c r="CM61071" s="111"/>
      <c r="CQ61071" s="111"/>
      <c r="EF61071"/>
      <c r="EG61071"/>
      <c r="EH61071"/>
      <c r="EI61071"/>
      <c r="EJ61071"/>
      <c r="EK61071"/>
    </row>
    <row r="61072" spans="1:141" s="116" customFormat="1">
      <c r="A61072" s="136"/>
      <c r="CM61072" s="111"/>
      <c r="CQ61072" s="111"/>
      <c r="EF61072"/>
      <c r="EG61072"/>
      <c r="EH61072"/>
      <c r="EI61072"/>
      <c r="EJ61072"/>
      <c r="EK61072"/>
    </row>
    <row r="61073" spans="1:141" s="116" customFormat="1">
      <c r="A61073" s="136"/>
      <c r="CM61073" s="111"/>
      <c r="CQ61073" s="111"/>
      <c r="EF61073"/>
      <c r="EG61073"/>
      <c r="EH61073"/>
      <c r="EI61073"/>
      <c r="EJ61073"/>
      <c r="EK61073"/>
    </row>
    <row r="61074" spans="1:141" s="116" customFormat="1">
      <c r="A61074" s="136"/>
      <c r="CM61074" s="111"/>
      <c r="CQ61074" s="111"/>
      <c r="EF61074"/>
      <c r="EG61074"/>
      <c r="EH61074"/>
      <c r="EI61074"/>
      <c r="EJ61074"/>
      <c r="EK61074"/>
    </row>
    <row r="61075" spans="1:141" s="116" customFormat="1">
      <c r="A61075" s="136"/>
      <c r="CM61075" s="111"/>
      <c r="CQ61075" s="111"/>
      <c r="EF61075"/>
      <c r="EG61075"/>
      <c r="EH61075"/>
      <c r="EI61075"/>
      <c r="EJ61075"/>
      <c r="EK61075"/>
    </row>
    <row r="61076" spans="1:141" s="116" customFormat="1">
      <c r="A61076" s="136"/>
      <c r="CM61076" s="111"/>
      <c r="CQ61076" s="111"/>
      <c r="EF61076"/>
      <c r="EG61076"/>
      <c r="EH61076"/>
      <c r="EI61076"/>
      <c r="EJ61076"/>
      <c r="EK61076"/>
    </row>
    <row r="61077" spans="1:141" s="116" customFormat="1">
      <c r="A61077" s="136"/>
      <c r="CM61077" s="111"/>
      <c r="CQ61077" s="111"/>
      <c r="EF61077"/>
      <c r="EG61077"/>
      <c r="EH61077"/>
      <c r="EI61077"/>
      <c r="EJ61077"/>
      <c r="EK61077"/>
    </row>
    <row r="61078" spans="1:141" s="116" customFormat="1">
      <c r="A61078" s="136"/>
      <c r="CM61078" s="111"/>
      <c r="CQ61078" s="111"/>
      <c r="EF61078"/>
      <c r="EG61078"/>
      <c r="EH61078"/>
      <c r="EI61078"/>
      <c r="EJ61078"/>
      <c r="EK61078"/>
    </row>
    <row r="61079" spans="1:141" s="116" customFormat="1">
      <c r="A61079" s="136"/>
      <c r="CM61079" s="111"/>
      <c r="CQ61079" s="111"/>
      <c r="EF61079"/>
      <c r="EG61079"/>
      <c r="EH61079"/>
      <c r="EI61079"/>
      <c r="EJ61079"/>
      <c r="EK61079"/>
    </row>
    <row r="61080" spans="1:141" s="116" customFormat="1">
      <c r="A61080" s="136"/>
      <c r="CM61080" s="111"/>
      <c r="CQ61080" s="111"/>
      <c r="EF61080"/>
      <c r="EG61080"/>
      <c r="EH61080"/>
      <c r="EI61080"/>
      <c r="EJ61080"/>
      <c r="EK61080"/>
    </row>
    <row r="61081" spans="1:141" s="116" customFormat="1">
      <c r="A61081" s="136"/>
      <c r="CM61081" s="111"/>
      <c r="CQ61081" s="111"/>
      <c r="EF61081"/>
      <c r="EG61081"/>
      <c r="EH61081"/>
      <c r="EI61081"/>
      <c r="EJ61081"/>
      <c r="EK61081"/>
    </row>
    <row r="61082" spans="1:141" s="116" customFormat="1">
      <c r="A61082" s="136"/>
      <c r="CM61082" s="111"/>
      <c r="CQ61082" s="111"/>
      <c r="EF61082"/>
      <c r="EG61082"/>
      <c r="EH61082"/>
      <c r="EI61082"/>
      <c r="EJ61082"/>
      <c r="EK61082"/>
    </row>
    <row r="61083" spans="1:141" s="116" customFormat="1">
      <c r="A61083" s="136"/>
      <c r="CM61083" s="111"/>
      <c r="CQ61083" s="111"/>
      <c r="EF61083"/>
      <c r="EG61083"/>
      <c r="EH61083"/>
      <c r="EI61083"/>
      <c r="EJ61083"/>
      <c r="EK61083"/>
    </row>
    <row r="61084" spans="1:141" s="116" customFormat="1">
      <c r="A61084" s="136"/>
      <c r="CM61084" s="111"/>
      <c r="CQ61084" s="111"/>
      <c r="EF61084"/>
      <c r="EG61084"/>
      <c r="EH61084"/>
      <c r="EI61084"/>
      <c r="EJ61084"/>
      <c r="EK61084"/>
    </row>
    <row r="61085" spans="1:141" s="116" customFormat="1">
      <c r="A61085" s="136"/>
      <c r="CM61085" s="111"/>
      <c r="CQ61085" s="111"/>
      <c r="EF61085"/>
      <c r="EG61085"/>
      <c r="EH61085"/>
      <c r="EI61085"/>
      <c r="EJ61085"/>
      <c r="EK61085"/>
    </row>
    <row r="61086" spans="1:141" s="116" customFormat="1">
      <c r="A61086" s="136"/>
      <c r="CM61086" s="111"/>
      <c r="CQ61086" s="111"/>
      <c r="EF61086"/>
      <c r="EG61086"/>
      <c r="EH61086"/>
      <c r="EI61086"/>
      <c r="EJ61086"/>
      <c r="EK61086"/>
    </row>
    <row r="61087" spans="1:141" s="116" customFormat="1">
      <c r="A61087" s="136"/>
      <c r="CM61087" s="111"/>
      <c r="CQ61087" s="111"/>
      <c r="EF61087"/>
      <c r="EG61087"/>
      <c r="EH61087"/>
      <c r="EI61087"/>
      <c r="EJ61087"/>
      <c r="EK61087"/>
    </row>
    <row r="61088" spans="1:141" s="116" customFormat="1">
      <c r="A61088" s="136"/>
      <c r="CM61088" s="111"/>
      <c r="CQ61088" s="111"/>
      <c r="EF61088"/>
      <c r="EG61088"/>
      <c r="EH61088"/>
      <c r="EI61088"/>
      <c r="EJ61088"/>
      <c r="EK61088"/>
    </row>
    <row r="61089" spans="1:141" s="116" customFormat="1">
      <c r="A61089" s="136"/>
      <c r="CM61089" s="111"/>
      <c r="CQ61089" s="111"/>
      <c r="EF61089"/>
      <c r="EG61089"/>
      <c r="EH61089"/>
      <c r="EI61089"/>
      <c r="EJ61089"/>
      <c r="EK61089"/>
    </row>
    <row r="61090" spans="1:141" s="116" customFormat="1">
      <c r="A61090" s="136"/>
      <c r="CM61090" s="111"/>
      <c r="CQ61090" s="111"/>
      <c r="EF61090"/>
      <c r="EG61090"/>
      <c r="EH61090"/>
      <c r="EI61090"/>
      <c r="EJ61090"/>
      <c r="EK61090"/>
    </row>
    <row r="61091" spans="1:141" s="116" customFormat="1">
      <c r="A61091" s="136"/>
      <c r="CM61091" s="111"/>
      <c r="CQ61091" s="111"/>
      <c r="EF61091"/>
      <c r="EG61091"/>
      <c r="EH61091"/>
      <c r="EI61091"/>
      <c r="EJ61091"/>
      <c r="EK61091"/>
    </row>
    <row r="61092" spans="1:141" s="116" customFormat="1">
      <c r="A61092" s="136"/>
      <c r="CM61092" s="111"/>
      <c r="CQ61092" s="111"/>
      <c r="EF61092"/>
      <c r="EG61092"/>
      <c r="EH61092"/>
      <c r="EI61092"/>
      <c r="EJ61092"/>
      <c r="EK61092"/>
    </row>
    <row r="61093" spans="1:141" s="116" customFormat="1">
      <c r="A61093" s="136"/>
      <c r="CM61093" s="111"/>
      <c r="CQ61093" s="111"/>
      <c r="EF61093"/>
      <c r="EG61093"/>
      <c r="EH61093"/>
      <c r="EI61093"/>
      <c r="EJ61093"/>
      <c r="EK61093"/>
    </row>
    <row r="61094" spans="1:141" s="116" customFormat="1">
      <c r="A61094" s="136"/>
      <c r="CM61094" s="111"/>
      <c r="CQ61094" s="111"/>
      <c r="EF61094"/>
      <c r="EG61094"/>
      <c r="EH61094"/>
      <c r="EI61094"/>
      <c r="EJ61094"/>
      <c r="EK61094"/>
    </row>
    <row r="61095" spans="1:141" s="116" customFormat="1">
      <c r="A61095" s="136"/>
      <c r="CM61095" s="111"/>
      <c r="CQ61095" s="111"/>
      <c r="EF61095"/>
      <c r="EG61095"/>
      <c r="EH61095"/>
      <c r="EI61095"/>
      <c r="EJ61095"/>
      <c r="EK61095"/>
    </row>
    <row r="61096" spans="1:141" s="116" customFormat="1">
      <c r="A61096" s="136"/>
      <c r="CM61096" s="111"/>
      <c r="CQ61096" s="111"/>
      <c r="EF61096"/>
      <c r="EG61096"/>
      <c r="EH61096"/>
      <c r="EI61096"/>
      <c r="EJ61096"/>
      <c r="EK61096"/>
    </row>
    <row r="61097" spans="1:141" s="116" customFormat="1">
      <c r="A61097" s="136"/>
      <c r="CM61097" s="111"/>
      <c r="CQ61097" s="111"/>
      <c r="EF61097"/>
      <c r="EG61097"/>
      <c r="EH61097"/>
      <c r="EI61097"/>
      <c r="EJ61097"/>
      <c r="EK61097"/>
    </row>
    <row r="61098" spans="1:141" s="116" customFormat="1">
      <c r="A61098" s="136"/>
      <c r="CM61098" s="111"/>
      <c r="CQ61098" s="111"/>
      <c r="EF61098"/>
      <c r="EG61098"/>
      <c r="EH61098"/>
      <c r="EI61098"/>
      <c r="EJ61098"/>
      <c r="EK61098"/>
    </row>
    <row r="61099" spans="1:141" s="116" customFormat="1">
      <c r="A61099" s="136"/>
      <c r="CM61099" s="111"/>
      <c r="CQ61099" s="111"/>
      <c r="EF61099"/>
      <c r="EG61099"/>
      <c r="EH61099"/>
      <c r="EI61099"/>
      <c r="EJ61099"/>
      <c r="EK61099"/>
    </row>
    <row r="61100" spans="1:141" s="116" customFormat="1">
      <c r="A61100" s="136"/>
      <c r="CM61100" s="111"/>
      <c r="CQ61100" s="111"/>
      <c r="EF61100"/>
      <c r="EG61100"/>
      <c r="EH61100"/>
      <c r="EI61100"/>
      <c r="EJ61100"/>
      <c r="EK61100"/>
    </row>
    <row r="61101" spans="1:141" s="116" customFormat="1">
      <c r="A61101" s="136"/>
      <c r="CM61101" s="111"/>
      <c r="CQ61101" s="111"/>
      <c r="EF61101"/>
      <c r="EG61101"/>
      <c r="EH61101"/>
      <c r="EI61101"/>
      <c r="EJ61101"/>
      <c r="EK61101"/>
    </row>
    <row r="61102" spans="1:141" s="116" customFormat="1">
      <c r="A61102" s="136"/>
      <c r="CM61102" s="111"/>
      <c r="CQ61102" s="111"/>
      <c r="EF61102"/>
      <c r="EG61102"/>
      <c r="EH61102"/>
      <c r="EI61102"/>
      <c r="EJ61102"/>
      <c r="EK61102"/>
    </row>
    <row r="61103" spans="1:141" s="116" customFormat="1">
      <c r="A61103" s="136"/>
      <c r="CM61103" s="111"/>
      <c r="CQ61103" s="111"/>
      <c r="EF61103"/>
      <c r="EG61103"/>
      <c r="EH61103"/>
      <c r="EI61103"/>
      <c r="EJ61103"/>
      <c r="EK61103"/>
    </row>
    <row r="61104" spans="1:141" s="116" customFormat="1">
      <c r="A61104" s="136"/>
      <c r="CM61104" s="111"/>
      <c r="CQ61104" s="111"/>
      <c r="EF61104"/>
      <c r="EG61104"/>
      <c r="EH61104"/>
      <c r="EI61104"/>
      <c r="EJ61104"/>
      <c r="EK61104"/>
    </row>
    <row r="61105" spans="1:141" s="116" customFormat="1">
      <c r="A61105" s="136"/>
      <c r="CM61105" s="111"/>
      <c r="CQ61105" s="111"/>
      <c r="EF61105"/>
      <c r="EG61105"/>
      <c r="EH61105"/>
      <c r="EI61105"/>
      <c r="EJ61105"/>
      <c r="EK61105"/>
    </row>
    <row r="61106" spans="1:141" s="116" customFormat="1">
      <c r="A61106" s="136"/>
      <c r="CM61106" s="111"/>
      <c r="CQ61106" s="111"/>
      <c r="EF61106"/>
      <c r="EG61106"/>
      <c r="EH61106"/>
      <c r="EI61106"/>
      <c r="EJ61106"/>
      <c r="EK61106"/>
    </row>
    <row r="61107" spans="1:141" s="116" customFormat="1">
      <c r="A61107" s="136"/>
      <c r="CM61107" s="111"/>
      <c r="CQ61107" s="111"/>
      <c r="EF61107"/>
      <c r="EG61107"/>
      <c r="EH61107"/>
      <c r="EI61107"/>
      <c r="EJ61107"/>
      <c r="EK61107"/>
    </row>
    <row r="61108" spans="1:141" s="116" customFormat="1">
      <c r="A61108" s="136"/>
      <c r="CM61108" s="111"/>
      <c r="CQ61108" s="111"/>
      <c r="EF61108"/>
      <c r="EG61108"/>
      <c r="EH61108"/>
      <c r="EI61108"/>
      <c r="EJ61108"/>
      <c r="EK61108"/>
    </row>
    <row r="61109" spans="1:141" s="116" customFormat="1">
      <c r="A61109" s="136"/>
      <c r="CM61109" s="111"/>
      <c r="CQ61109" s="111"/>
      <c r="EF61109"/>
      <c r="EG61109"/>
      <c r="EH61109"/>
      <c r="EI61109"/>
      <c r="EJ61109"/>
      <c r="EK61109"/>
    </row>
    <row r="61110" spans="1:141" s="116" customFormat="1">
      <c r="A61110" s="136"/>
      <c r="CM61110" s="111"/>
      <c r="CQ61110" s="111"/>
      <c r="EF61110"/>
      <c r="EG61110"/>
      <c r="EH61110"/>
      <c r="EI61110"/>
      <c r="EJ61110"/>
      <c r="EK61110"/>
    </row>
    <row r="61111" spans="1:141" s="116" customFormat="1">
      <c r="A61111" s="136"/>
      <c r="CM61111" s="111"/>
      <c r="CQ61111" s="111"/>
      <c r="EF61111"/>
      <c r="EG61111"/>
      <c r="EH61111"/>
      <c r="EI61111"/>
      <c r="EJ61111"/>
      <c r="EK61111"/>
    </row>
    <row r="61112" spans="1:141" s="116" customFormat="1">
      <c r="A61112" s="136"/>
      <c r="CM61112" s="111"/>
      <c r="CQ61112" s="111"/>
      <c r="EF61112"/>
      <c r="EG61112"/>
      <c r="EH61112"/>
      <c r="EI61112"/>
      <c r="EJ61112"/>
      <c r="EK61112"/>
    </row>
    <row r="61113" spans="1:141" s="116" customFormat="1">
      <c r="A61113" s="136"/>
      <c r="CM61113" s="111"/>
      <c r="CQ61113" s="111"/>
      <c r="EF61113"/>
      <c r="EG61113"/>
      <c r="EH61113"/>
      <c r="EI61113"/>
      <c r="EJ61113"/>
      <c r="EK61113"/>
    </row>
    <row r="61114" spans="1:141" s="116" customFormat="1">
      <c r="A61114" s="136"/>
      <c r="CM61114" s="111"/>
      <c r="CQ61114" s="111"/>
      <c r="EF61114"/>
      <c r="EG61114"/>
      <c r="EH61114"/>
      <c r="EI61114"/>
      <c r="EJ61114"/>
      <c r="EK61114"/>
    </row>
    <row r="61115" spans="1:141" s="116" customFormat="1">
      <c r="A61115" s="136"/>
      <c r="CM61115" s="111"/>
      <c r="CQ61115" s="111"/>
      <c r="EF61115"/>
      <c r="EG61115"/>
      <c r="EH61115"/>
      <c r="EI61115"/>
      <c r="EJ61115"/>
      <c r="EK61115"/>
    </row>
    <row r="61116" spans="1:141" s="116" customFormat="1">
      <c r="A61116" s="136"/>
      <c r="CM61116" s="111"/>
      <c r="CQ61116" s="111"/>
      <c r="EF61116"/>
      <c r="EG61116"/>
      <c r="EH61116"/>
      <c r="EI61116"/>
      <c r="EJ61116"/>
      <c r="EK61116"/>
    </row>
    <row r="61117" spans="1:141" s="116" customFormat="1">
      <c r="A61117" s="136"/>
      <c r="CM61117" s="111"/>
      <c r="CQ61117" s="111"/>
      <c r="EF61117"/>
      <c r="EG61117"/>
      <c r="EH61117"/>
      <c r="EI61117"/>
      <c r="EJ61117"/>
      <c r="EK61117"/>
    </row>
    <row r="61118" spans="1:141" s="116" customFormat="1">
      <c r="A61118" s="136"/>
      <c r="CM61118" s="111"/>
      <c r="CQ61118" s="111"/>
      <c r="EF61118"/>
      <c r="EG61118"/>
      <c r="EH61118"/>
      <c r="EI61118"/>
      <c r="EJ61118"/>
      <c r="EK61118"/>
    </row>
    <row r="61119" spans="1:141" s="116" customFormat="1">
      <c r="A61119" s="136"/>
      <c r="CM61119" s="111"/>
      <c r="CQ61119" s="111"/>
      <c r="EF61119"/>
      <c r="EG61119"/>
      <c r="EH61119"/>
      <c r="EI61119"/>
      <c r="EJ61119"/>
      <c r="EK61119"/>
    </row>
    <row r="61120" spans="1:141" s="116" customFormat="1">
      <c r="A61120" s="136"/>
      <c r="CM61120" s="111"/>
      <c r="CQ61120" s="111"/>
      <c r="EF61120"/>
      <c r="EG61120"/>
      <c r="EH61120"/>
      <c r="EI61120"/>
      <c r="EJ61120"/>
      <c r="EK61120"/>
    </row>
    <row r="61121" spans="1:141" s="116" customFormat="1">
      <c r="A61121" s="136"/>
      <c r="CM61121" s="111"/>
      <c r="CQ61121" s="111"/>
      <c r="EF61121"/>
      <c r="EG61121"/>
      <c r="EH61121"/>
      <c r="EI61121"/>
      <c r="EJ61121"/>
      <c r="EK61121"/>
    </row>
    <row r="61122" spans="1:141" s="116" customFormat="1">
      <c r="A61122" s="136"/>
      <c r="CM61122" s="111"/>
      <c r="CQ61122" s="111"/>
      <c r="EF61122"/>
      <c r="EG61122"/>
      <c r="EH61122"/>
      <c r="EI61122"/>
      <c r="EJ61122"/>
      <c r="EK61122"/>
    </row>
    <row r="61123" spans="1:141" s="116" customFormat="1">
      <c r="A61123" s="136"/>
      <c r="CM61123" s="111"/>
      <c r="CQ61123" s="111"/>
      <c r="EF61123"/>
      <c r="EG61123"/>
      <c r="EH61123"/>
      <c r="EI61123"/>
      <c r="EJ61123"/>
      <c r="EK61123"/>
    </row>
    <row r="61124" spans="1:141" s="116" customFormat="1">
      <c r="A61124" s="136"/>
      <c r="CM61124" s="111"/>
      <c r="CQ61124" s="111"/>
      <c r="EF61124"/>
      <c r="EG61124"/>
      <c r="EH61124"/>
      <c r="EI61124"/>
      <c r="EJ61124"/>
      <c r="EK61124"/>
    </row>
    <row r="61125" spans="1:141" s="116" customFormat="1">
      <c r="A61125" s="136"/>
      <c r="CM61125" s="111"/>
      <c r="CQ61125" s="111"/>
      <c r="EF61125"/>
      <c r="EG61125"/>
      <c r="EH61125"/>
      <c r="EI61125"/>
      <c r="EJ61125"/>
      <c r="EK61125"/>
    </row>
    <row r="61126" spans="1:141" s="116" customFormat="1">
      <c r="A61126" s="136"/>
      <c r="CM61126" s="111"/>
      <c r="CQ61126" s="111"/>
      <c r="EF61126"/>
      <c r="EG61126"/>
      <c r="EH61126"/>
      <c r="EI61126"/>
      <c r="EJ61126"/>
      <c r="EK61126"/>
    </row>
    <row r="61127" spans="1:141" s="116" customFormat="1">
      <c r="A61127" s="136"/>
      <c r="CM61127" s="111"/>
      <c r="CQ61127" s="111"/>
      <c r="EF61127"/>
      <c r="EG61127"/>
      <c r="EH61127"/>
      <c r="EI61127"/>
      <c r="EJ61127"/>
      <c r="EK61127"/>
    </row>
    <row r="61128" spans="1:141" s="116" customFormat="1">
      <c r="A61128" s="136"/>
      <c r="CM61128" s="111"/>
      <c r="CQ61128" s="111"/>
      <c r="EF61128"/>
      <c r="EG61128"/>
      <c r="EH61128"/>
      <c r="EI61128"/>
      <c r="EJ61128"/>
      <c r="EK61128"/>
    </row>
    <row r="61129" spans="1:141" s="116" customFormat="1">
      <c r="A61129" s="136"/>
      <c r="CM61129" s="111"/>
      <c r="CQ61129" s="111"/>
      <c r="EF61129"/>
      <c r="EG61129"/>
      <c r="EH61129"/>
      <c r="EI61129"/>
      <c r="EJ61129"/>
      <c r="EK61129"/>
    </row>
    <row r="61130" spans="1:141" s="116" customFormat="1">
      <c r="A61130" s="136"/>
      <c r="CM61130" s="111"/>
      <c r="CQ61130" s="111"/>
      <c r="EF61130"/>
      <c r="EG61130"/>
      <c r="EH61130"/>
      <c r="EI61130"/>
      <c r="EJ61130"/>
      <c r="EK61130"/>
    </row>
    <row r="61131" spans="1:141" s="116" customFormat="1">
      <c r="A61131" s="136"/>
      <c r="CM61131" s="111"/>
      <c r="CQ61131" s="111"/>
      <c r="EF61131"/>
      <c r="EG61131"/>
      <c r="EH61131"/>
      <c r="EI61131"/>
      <c r="EJ61131"/>
      <c r="EK61131"/>
    </row>
    <row r="61132" spans="1:141" s="116" customFormat="1">
      <c r="A61132" s="136"/>
      <c r="CM61132" s="111"/>
      <c r="CQ61132" s="111"/>
      <c r="EF61132"/>
      <c r="EG61132"/>
      <c r="EH61132"/>
      <c r="EI61132"/>
      <c r="EJ61132"/>
      <c r="EK61132"/>
    </row>
    <row r="61133" spans="1:141" s="116" customFormat="1">
      <c r="A61133" s="136"/>
      <c r="CM61133" s="111"/>
      <c r="CQ61133" s="111"/>
      <c r="EF61133"/>
      <c r="EG61133"/>
      <c r="EH61133"/>
      <c r="EI61133"/>
      <c r="EJ61133"/>
      <c r="EK61133"/>
    </row>
    <row r="61134" spans="1:141" s="116" customFormat="1">
      <c r="A61134" s="136"/>
      <c r="CM61134" s="111"/>
      <c r="CQ61134" s="111"/>
      <c r="EF61134"/>
      <c r="EG61134"/>
      <c r="EH61134"/>
      <c r="EI61134"/>
      <c r="EJ61134"/>
      <c r="EK61134"/>
    </row>
    <row r="61135" spans="1:141" s="116" customFormat="1">
      <c r="A61135" s="136"/>
      <c r="CM61135" s="111"/>
      <c r="CQ61135" s="111"/>
      <c r="EF61135"/>
      <c r="EG61135"/>
      <c r="EH61135"/>
      <c r="EI61135"/>
      <c r="EJ61135"/>
      <c r="EK61135"/>
    </row>
    <row r="61136" spans="1:141" s="116" customFormat="1">
      <c r="A61136" s="136"/>
      <c r="CM61136" s="111"/>
      <c r="CQ61136" s="111"/>
      <c r="EF61136"/>
      <c r="EG61136"/>
      <c r="EH61136"/>
      <c r="EI61136"/>
      <c r="EJ61136"/>
      <c r="EK61136"/>
    </row>
    <row r="61137" spans="1:141" s="116" customFormat="1">
      <c r="A61137" s="136"/>
      <c r="CM61137" s="111"/>
      <c r="CQ61137" s="111"/>
      <c r="EF61137"/>
      <c r="EG61137"/>
      <c r="EH61137"/>
      <c r="EI61137"/>
      <c r="EJ61137"/>
      <c r="EK61137"/>
    </row>
    <row r="61138" spans="1:141" s="116" customFormat="1">
      <c r="A61138" s="136"/>
      <c r="CM61138" s="111"/>
      <c r="CQ61138" s="111"/>
      <c r="EF61138"/>
      <c r="EG61138"/>
      <c r="EH61138"/>
      <c r="EI61138"/>
      <c r="EJ61138"/>
      <c r="EK61138"/>
    </row>
    <row r="61139" spans="1:141" s="116" customFormat="1">
      <c r="A61139" s="136"/>
      <c r="CM61139" s="111"/>
      <c r="CQ61139" s="111"/>
      <c r="EF61139"/>
      <c r="EG61139"/>
      <c r="EH61139"/>
      <c r="EI61139"/>
      <c r="EJ61139"/>
      <c r="EK61139"/>
    </row>
    <row r="61140" spans="1:141" s="116" customFormat="1">
      <c r="A61140" s="136"/>
      <c r="CM61140" s="111"/>
      <c r="CQ61140" s="111"/>
      <c r="EF61140"/>
      <c r="EG61140"/>
      <c r="EH61140"/>
      <c r="EI61140"/>
      <c r="EJ61140"/>
      <c r="EK61140"/>
    </row>
    <row r="61141" spans="1:141" s="116" customFormat="1">
      <c r="A61141" s="136"/>
      <c r="CM61141" s="111"/>
      <c r="CQ61141" s="111"/>
      <c r="EF61141"/>
      <c r="EG61141"/>
      <c r="EH61141"/>
      <c r="EI61141"/>
      <c r="EJ61141"/>
      <c r="EK61141"/>
    </row>
    <row r="61142" spans="1:141" s="116" customFormat="1">
      <c r="A61142" s="136"/>
      <c r="CM61142" s="111"/>
      <c r="CQ61142" s="111"/>
      <c r="EF61142"/>
      <c r="EG61142"/>
      <c r="EH61142"/>
      <c r="EI61142"/>
      <c r="EJ61142"/>
      <c r="EK61142"/>
    </row>
    <row r="61143" spans="1:141" s="116" customFormat="1">
      <c r="A61143" s="136"/>
      <c r="CM61143" s="111"/>
      <c r="CQ61143" s="111"/>
      <c r="EF61143"/>
      <c r="EG61143"/>
      <c r="EH61143"/>
      <c r="EI61143"/>
      <c r="EJ61143"/>
      <c r="EK61143"/>
    </row>
    <row r="61144" spans="1:141" s="116" customFormat="1">
      <c r="A61144" s="136"/>
      <c r="CM61144" s="111"/>
      <c r="CQ61144" s="111"/>
      <c r="EF61144"/>
      <c r="EG61144"/>
      <c r="EH61144"/>
      <c r="EI61144"/>
      <c r="EJ61144"/>
      <c r="EK61144"/>
    </row>
    <row r="61145" spans="1:141" s="116" customFormat="1">
      <c r="A61145" s="136"/>
      <c r="CM61145" s="111"/>
      <c r="CQ61145" s="111"/>
      <c r="EF61145"/>
      <c r="EG61145"/>
      <c r="EH61145"/>
      <c r="EI61145"/>
      <c r="EJ61145"/>
      <c r="EK61145"/>
    </row>
    <row r="61146" spans="1:141" s="116" customFormat="1">
      <c r="A61146" s="136"/>
      <c r="CM61146" s="111"/>
      <c r="CQ61146" s="111"/>
      <c r="EF61146"/>
      <c r="EG61146"/>
      <c r="EH61146"/>
      <c r="EI61146"/>
      <c r="EJ61146"/>
      <c r="EK61146"/>
    </row>
    <row r="61147" spans="1:141" s="116" customFormat="1">
      <c r="A61147" s="136"/>
      <c r="CM61147" s="111"/>
      <c r="CQ61147" s="111"/>
      <c r="EF61147"/>
      <c r="EG61147"/>
      <c r="EH61147"/>
      <c r="EI61147"/>
      <c r="EJ61147"/>
      <c r="EK61147"/>
    </row>
    <row r="61148" spans="1:141" s="116" customFormat="1">
      <c r="A61148" s="136"/>
      <c r="CM61148" s="111"/>
      <c r="CQ61148" s="111"/>
      <c r="EF61148"/>
      <c r="EG61148"/>
      <c r="EH61148"/>
      <c r="EI61148"/>
      <c r="EJ61148"/>
      <c r="EK61148"/>
    </row>
    <row r="61149" spans="1:141" s="116" customFormat="1">
      <c r="A61149" s="136"/>
      <c r="CM61149" s="111"/>
      <c r="CQ61149" s="111"/>
      <c r="EF61149"/>
      <c r="EG61149"/>
      <c r="EH61149"/>
      <c r="EI61149"/>
      <c r="EJ61149"/>
      <c r="EK61149"/>
    </row>
    <row r="61150" spans="1:141" s="116" customFormat="1">
      <c r="A61150" s="136"/>
      <c r="CM61150" s="111"/>
      <c r="CQ61150" s="111"/>
      <c r="EF61150"/>
      <c r="EG61150"/>
      <c r="EH61150"/>
      <c r="EI61150"/>
      <c r="EJ61150"/>
      <c r="EK61150"/>
    </row>
    <row r="61151" spans="1:141" s="116" customFormat="1">
      <c r="A61151" s="136"/>
      <c r="CM61151" s="111"/>
      <c r="CQ61151" s="111"/>
      <c r="EF61151"/>
      <c r="EG61151"/>
      <c r="EH61151"/>
      <c r="EI61151"/>
      <c r="EJ61151"/>
      <c r="EK61151"/>
    </row>
    <row r="61152" spans="1:141" s="116" customFormat="1">
      <c r="A61152" s="136"/>
      <c r="CM61152" s="111"/>
      <c r="CQ61152" s="111"/>
      <c r="EF61152"/>
      <c r="EG61152"/>
      <c r="EH61152"/>
      <c r="EI61152"/>
      <c r="EJ61152"/>
      <c r="EK61152"/>
    </row>
    <row r="61153" spans="1:141" s="116" customFormat="1">
      <c r="A61153" s="136"/>
      <c r="CM61153" s="111"/>
      <c r="CQ61153" s="111"/>
      <c r="EF61153"/>
      <c r="EG61153"/>
      <c r="EH61153"/>
      <c r="EI61153"/>
      <c r="EJ61153"/>
      <c r="EK61153"/>
    </row>
    <row r="61154" spans="1:141" s="116" customFormat="1">
      <c r="A61154" s="136"/>
      <c r="CM61154" s="111"/>
      <c r="CQ61154" s="111"/>
      <c r="EF61154"/>
      <c r="EG61154"/>
      <c r="EH61154"/>
      <c r="EI61154"/>
      <c r="EJ61154"/>
      <c r="EK61154"/>
    </row>
    <row r="61155" spans="1:141" s="116" customFormat="1">
      <c r="A61155" s="136"/>
      <c r="CM61155" s="111"/>
      <c r="CQ61155" s="111"/>
      <c r="EF61155"/>
      <c r="EG61155"/>
      <c r="EH61155"/>
      <c r="EI61155"/>
      <c r="EJ61155"/>
      <c r="EK61155"/>
    </row>
    <row r="61156" spans="1:141" s="116" customFormat="1">
      <c r="A61156" s="136"/>
      <c r="CM61156" s="111"/>
      <c r="CQ61156" s="111"/>
      <c r="EF61156"/>
      <c r="EG61156"/>
      <c r="EH61156"/>
      <c r="EI61156"/>
      <c r="EJ61156"/>
      <c r="EK61156"/>
    </row>
    <row r="61157" spans="1:141" s="116" customFormat="1">
      <c r="A61157" s="136"/>
      <c r="CM61157" s="111"/>
      <c r="CQ61157" s="111"/>
      <c r="EF61157"/>
      <c r="EG61157"/>
      <c r="EH61157"/>
      <c r="EI61157"/>
      <c r="EJ61157"/>
      <c r="EK61157"/>
    </row>
    <row r="61158" spans="1:141" s="116" customFormat="1">
      <c r="A61158" s="136"/>
      <c r="CM61158" s="111"/>
      <c r="CQ61158" s="111"/>
      <c r="EF61158"/>
      <c r="EG61158"/>
      <c r="EH61158"/>
      <c r="EI61158"/>
      <c r="EJ61158"/>
      <c r="EK61158"/>
    </row>
    <row r="61159" spans="1:141" s="116" customFormat="1">
      <c r="A61159" s="136"/>
      <c r="CM61159" s="111"/>
      <c r="CQ61159" s="111"/>
      <c r="EF61159"/>
      <c r="EG61159"/>
      <c r="EH61159"/>
      <c r="EI61159"/>
      <c r="EJ61159"/>
      <c r="EK61159"/>
    </row>
    <row r="61160" spans="1:141" s="116" customFormat="1">
      <c r="A61160" s="136"/>
      <c r="CM61160" s="111"/>
      <c r="CQ61160" s="111"/>
      <c r="EF61160"/>
      <c r="EG61160"/>
      <c r="EH61160"/>
      <c r="EI61160"/>
      <c r="EJ61160"/>
      <c r="EK61160"/>
    </row>
    <row r="61161" spans="1:141" s="116" customFormat="1">
      <c r="A61161" s="136"/>
      <c r="CM61161" s="111"/>
      <c r="CQ61161" s="111"/>
      <c r="EF61161"/>
      <c r="EG61161"/>
      <c r="EH61161"/>
      <c r="EI61161"/>
      <c r="EJ61161"/>
      <c r="EK61161"/>
    </row>
    <row r="61162" spans="1:141" s="116" customFormat="1">
      <c r="A61162" s="136"/>
      <c r="CM61162" s="111"/>
      <c r="CQ61162" s="111"/>
      <c r="EF61162"/>
      <c r="EG61162"/>
      <c r="EH61162"/>
      <c r="EI61162"/>
      <c r="EJ61162"/>
      <c r="EK61162"/>
    </row>
    <row r="61163" spans="1:141" s="116" customFormat="1">
      <c r="A61163" s="136"/>
      <c r="CM61163" s="111"/>
      <c r="CQ61163" s="111"/>
      <c r="EF61163"/>
      <c r="EG61163"/>
      <c r="EH61163"/>
      <c r="EI61163"/>
      <c r="EJ61163"/>
      <c r="EK61163"/>
    </row>
    <row r="61164" spans="1:141" s="116" customFormat="1">
      <c r="A61164" s="136"/>
      <c r="CM61164" s="111"/>
      <c r="CQ61164" s="111"/>
      <c r="EF61164"/>
      <c r="EG61164"/>
      <c r="EH61164"/>
      <c r="EI61164"/>
      <c r="EJ61164"/>
      <c r="EK61164"/>
    </row>
    <row r="61165" spans="1:141" s="116" customFormat="1">
      <c r="A61165" s="136"/>
      <c r="CM61165" s="111"/>
      <c r="CQ61165" s="111"/>
      <c r="EF61165"/>
      <c r="EG61165"/>
      <c r="EH61165"/>
      <c r="EI61165"/>
      <c r="EJ61165"/>
      <c r="EK61165"/>
    </row>
    <row r="61166" spans="1:141" s="116" customFormat="1">
      <c r="A61166" s="136"/>
      <c r="CM61166" s="111"/>
      <c r="CQ61166" s="111"/>
      <c r="EF61166"/>
      <c r="EG61166"/>
      <c r="EH61166"/>
      <c r="EI61166"/>
      <c r="EJ61166"/>
      <c r="EK61166"/>
    </row>
    <row r="61167" spans="1:141" s="116" customFormat="1">
      <c r="A61167" s="136"/>
      <c r="CM61167" s="111"/>
      <c r="CQ61167" s="111"/>
      <c r="EF61167"/>
      <c r="EG61167"/>
      <c r="EH61167"/>
      <c r="EI61167"/>
      <c r="EJ61167"/>
      <c r="EK61167"/>
    </row>
    <row r="61168" spans="1:141" s="116" customFormat="1">
      <c r="A61168" s="136"/>
      <c r="CM61168" s="111"/>
      <c r="CQ61168" s="111"/>
      <c r="EF61168"/>
      <c r="EG61168"/>
      <c r="EH61168"/>
      <c r="EI61168"/>
      <c r="EJ61168"/>
      <c r="EK61168"/>
    </row>
    <row r="61169" spans="1:141" s="116" customFormat="1">
      <c r="A61169" s="136"/>
      <c r="CM61169" s="111"/>
      <c r="CQ61169" s="111"/>
      <c r="EF61169"/>
      <c r="EG61169"/>
      <c r="EH61169"/>
      <c r="EI61169"/>
      <c r="EJ61169"/>
      <c r="EK61169"/>
    </row>
    <row r="61170" spans="1:141" s="116" customFormat="1">
      <c r="A61170" s="136"/>
      <c r="CM61170" s="111"/>
      <c r="CQ61170" s="111"/>
      <c r="EF61170"/>
      <c r="EG61170"/>
      <c r="EH61170"/>
      <c r="EI61170"/>
      <c r="EJ61170"/>
      <c r="EK61170"/>
    </row>
    <row r="61171" spans="1:141" s="116" customFormat="1">
      <c r="A61171" s="136"/>
      <c r="CM61171" s="111"/>
      <c r="CQ61171" s="111"/>
      <c r="EF61171"/>
      <c r="EG61171"/>
      <c r="EH61171"/>
      <c r="EI61171"/>
      <c r="EJ61171"/>
      <c r="EK61171"/>
    </row>
    <row r="61172" spans="1:141" s="116" customFormat="1">
      <c r="A61172" s="136"/>
      <c r="CM61172" s="111"/>
      <c r="CQ61172" s="111"/>
      <c r="EF61172"/>
      <c r="EG61172"/>
      <c r="EH61172"/>
      <c r="EI61172"/>
      <c r="EJ61172"/>
      <c r="EK61172"/>
    </row>
    <row r="61173" spans="1:141" s="116" customFormat="1">
      <c r="A61173" s="136"/>
      <c r="CM61173" s="111"/>
      <c r="CQ61173" s="111"/>
      <c r="EF61173"/>
      <c r="EG61173"/>
      <c r="EH61173"/>
      <c r="EI61173"/>
      <c r="EJ61173"/>
      <c r="EK61173"/>
    </row>
    <row r="61174" spans="1:141" s="116" customFormat="1">
      <c r="A61174" s="136"/>
      <c r="CM61174" s="111"/>
      <c r="CQ61174" s="111"/>
      <c r="EF61174"/>
      <c r="EG61174"/>
      <c r="EH61174"/>
      <c r="EI61174"/>
      <c r="EJ61174"/>
      <c r="EK61174"/>
    </row>
    <row r="61175" spans="1:141" s="116" customFormat="1">
      <c r="A61175" s="136"/>
      <c r="CM61175" s="111"/>
      <c r="CQ61175" s="111"/>
      <c r="EF61175"/>
      <c r="EG61175"/>
      <c r="EH61175"/>
      <c r="EI61175"/>
      <c r="EJ61175"/>
      <c r="EK61175"/>
    </row>
    <row r="61176" spans="1:141" s="116" customFormat="1">
      <c r="A61176" s="136"/>
      <c r="CM61176" s="111"/>
      <c r="CQ61176" s="111"/>
      <c r="EF61176"/>
      <c r="EG61176"/>
      <c r="EH61176"/>
      <c r="EI61176"/>
      <c r="EJ61176"/>
      <c r="EK61176"/>
    </row>
    <row r="61177" spans="1:141" s="116" customFormat="1">
      <c r="A61177" s="136"/>
      <c r="CM61177" s="111"/>
      <c r="CQ61177" s="111"/>
      <c r="EF61177"/>
      <c r="EG61177"/>
      <c r="EH61177"/>
      <c r="EI61177"/>
      <c r="EJ61177"/>
      <c r="EK61177"/>
    </row>
    <row r="61178" spans="1:141" s="116" customFormat="1">
      <c r="A61178" s="136"/>
      <c r="CM61178" s="111"/>
      <c r="CQ61178" s="111"/>
      <c r="EF61178"/>
      <c r="EG61178"/>
      <c r="EH61178"/>
      <c r="EI61178"/>
      <c r="EJ61178"/>
      <c r="EK61178"/>
    </row>
    <row r="61179" spans="1:141" s="116" customFormat="1">
      <c r="A61179" s="136"/>
      <c r="CM61179" s="111"/>
      <c r="CQ61179" s="111"/>
      <c r="EF61179"/>
      <c r="EG61179"/>
      <c r="EH61179"/>
      <c r="EI61179"/>
      <c r="EJ61179"/>
      <c r="EK61179"/>
    </row>
    <row r="61180" spans="1:141" s="116" customFormat="1">
      <c r="A61180" s="136"/>
      <c r="CM61180" s="111"/>
      <c r="CQ61180" s="111"/>
      <c r="EF61180"/>
      <c r="EG61180"/>
      <c r="EH61180"/>
      <c r="EI61180"/>
      <c r="EJ61180"/>
      <c r="EK61180"/>
    </row>
    <row r="61181" spans="1:141" s="116" customFormat="1">
      <c r="A61181" s="136"/>
      <c r="CM61181" s="111"/>
      <c r="CQ61181" s="111"/>
      <c r="EF61181"/>
      <c r="EG61181"/>
      <c r="EH61181"/>
      <c r="EI61181"/>
      <c r="EJ61181"/>
      <c r="EK61181"/>
    </row>
    <row r="61182" spans="1:141" s="116" customFormat="1">
      <c r="A61182" s="136"/>
      <c r="CM61182" s="111"/>
      <c r="CQ61182" s="111"/>
      <c r="EF61182"/>
      <c r="EG61182"/>
      <c r="EH61182"/>
      <c r="EI61182"/>
      <c r="EJ61182"/>
      <c r="EK61182"/>
    </row>
    <row r="61183" spans="1:141" s="116" customFormat="1">
      <c r="A61183" s="136"/>
      <c r="CM61183" s="111"/>
      <c r="CQ61183" s="111"/>
      <c r="EF61183"/>
      <c r="EG61183"/>
      <c r="EH61183"/>
      <c r="EI61183"/>
      <c r="EJ61183"/>
      <c r="EK61183"/>
    </row>
    <row r="61184" spans="1:141" s="116" customFormat="1">
      <c r="A61184" s="136"/>
      <c r="CM61184" s="111"/>
      <c r="CQ61184" s="111"/>
      <c r="EF61184"/>
      <c r="EG61184"/>
      <c r="EH61184"/>
      <c r="EI61184"/>
      <c r="EJ61184"/>
      <c r="EK61184"/>
    </row>
    <row r="61185" spans="1:141" s="116" customFormat="1">
      <c r="A61185" s="136"/>
      <c r="CM61185" s="111"/>
      <c r="CQ61185" s="111"/>
      <c r="EF61185"/>
      <c r="EG61185"/>
      <c r="EH61185"/>
      <c r="EI61185"/>
      <c r="EJ61185"/>
      <c r="EK61185"/>
    </row>
    <row r="61186" spans="1:141" s="116" customFormat="1">
      <c r="A61186" s="136"/>
      <c r="CM61186" s="111"/>
      <c r="CQ61186" s="111"/>
      <c r="EF61186"/>
      <c r="EG61186"/>
      <c r="EH61186"/>
      <c r="EI61186"/>
      <c r="EJ61186"/>
      <c r="EK61186"/>
    </row>
    <row r="61187" spans="1:141" s="116" customFormat="1">
      <c r="A61187" s="136"/>
      <c r="CM61187" s="111"/>
      <c r="CQ61187" s="111"/>
      <c r="EF61187"/>
      <c r="EG61187"/>
      <c r="EH61187"/>
      <c r="EI61187"/>
      <c r="EJ61187"/>
      <c r="EK61187"/>
    </row>
    <row r="61188" spans="1:141" s="116" customFormat="1">
      <c r="A61188" s="136"/>
      <c r="CM61188" s="111"/>
      <c r="CQ61188" s="111"/>
      <c r="EF61188"/>
      <c r="EG61188"/>
      <c r="EH61188"/>
      <c r="EI61188"/>
      <c r="EJ61188"/>
      <c r="EK61188"/>
    </row>
    <row r="61189" spans="1:141" s="116" customFormat="1">
      <c r="A61189" s="136"/>
      <c r="CM61189" s="111"/>
      <c r="CQ61189" s="111"/>
      <c r="EF61189"/>
      <c r="EG61189"/>
      <c r="EH61189"/>
      <c r="EI61189"/>
      <c r="EJ61189"/>
      <c r="EK61189"/>
    </row>
    <row r="61190" spans="1:141" s="116" customFormat="1">
      <c r="A61190" s="136"/>
      <c r="CM61190" s="111"/>
      <c r="CQ61190" s="111"/>
      <c r="EF61190"/>
      <c r="EG61190"/>
      <c r="EH61190"/>
      <c r="EI61190"/>
      <c r="EJ61190"/>
      <c r="EK61190"/>
    </row>
    <row r="61191" spans="1:141" s="116" customFormat="1">
      <c r="A61191" s="136"/>
      <c r="CM61191" s="111"/>
      <c r="CQ61191" s="111"/>
      <c r="EF61191"/>
      <c r="EG61191"/>
      <c r="EH61191"/>
      <c r="EI61191"/>
      <c r="EJ61191"/>
      <c r="EK61191"/>
    </row>
    <row r="61192" spans="1:141" s="116" customFormat="1">
      <c r="A61192" s="136"/>
      <c r="CM61192" s="111"/>
      <c r="CQ61192" s="111"/>
      <c r="EF61192"/>
      <c r="EG61192"/>
      <c r="EH61192"/>
      <c r="EI61192"/>
      <c r="EJ61192"/>
      <c r="EK61192"/>
    </row>
    <row r="61193" spans="1:141" s="116" customFormat="1">
      <c r="A61193" s="136"/>
      <c r="CM61193" s="111"/>
      <c r="CQ61193" s="111"/>
      <c r="EF61193"/>
      <c r="EG61193"/>
      <c r="EH61193"/>
      <c r="EI61193"/>
      <c r="EJ61193"/>
      <c r="EK61193"/>
    </row>
    <row r="61194" spans="1:141" s="116" customFormat="1">
      <c r="A61194" s="136"/>
      <c r="CM61194" s="111"/>
      <c r="CQ61194" s="111"/>
      <c r="EF61194"/>
      <c r="EG61194"/>
      <c r="EH61194"/>
      <c r="EI61194"/>
      <c r="EJ61194"/>
      <c r="EK61194"/>
    </row>
    <row r="61195" spans="1:141" s="116" customFormat="1">
      <c r="A61195" s="136"/>
      <c r="CM61195" s="111"/>
      <c r="CQ61195" s="111"/>
      <c r="EF61195"/>
      <c r="EG61195"/>
      <c r="EH61195"/>
      <c r="EI61195"/>
      <c r="EJ61195"/>
      <c r="EK61195"/>
    </row>
    <row r="61196" spans="1:141" s="116" customFormat="1">
      <c r="A61196" s="136"/>
      <c r="CM61196" s="111"/>
      <c r="CQ61196" s="111"/>
      <c r="EF61196"/>
      <c r="EG61196"/>
      <c r="EH61196"/>
      <c r="EI61196"/>
      <c r="EJ61196"/>
      <c r="EK61196"/>
    </row>
    <row r="61197" spans="1:141" s="116" customFormat="1">
      <c r="A61197" s="136"/>
      <c r="CM61197" s="111"/>
      <c r="CQ61197" s="111"/>
      <c r="EF61197"/>
      <c r="EG61197"/>
      <c r="EH61197"/>
      <c r="EI61197"/>
      <c r="EJ61197"/>
      <c r="EK61197"/>
    </row>
    <row r="61198" spans="1:141" s="116" customFormat="1">
      <c r="A61198" s="136"/>
      <c r="CM61198" s="111"/>
      <c r="CQ61198" s="111"/>
      <c r="EF61198"/>
      <c r="EG61198"/>
      <c r="EH61198"/>
      <c r="EI61198"/>
      <c r="EJ61198"/>
      <c r="EK61198"/>
    </row>
    <row r="61199" spans="1:141" s="116" customFormat="1">
      <c r="A61199" s="136"/>
      <c r="CM61199" s="111"/>
      <c r="CQ61199" s="111"/>
      <c r="EF61199"/>
      <c r="EG61199"/>
      <c r="EH61199"/>
      <c r="EI61199"/>
      <c r="EJ61199"/>
      <c r="EK61199"/>
    </row>
    <row r="61200" spans="1:141" s="116" customFormat="1">
      <c r="A61200" s="136"/>
      <c r="CM61200" s="111"/>
      <c r="CQ61200" s="111"/>
      <c r="EF61200"/>
      <c r="EG61200"/>
      <c r="EH61200"/>
      <c r="EI61200"/>
      <c r="EJ61200"/>
      <c r="EK61200"/>
    </row>
    <row r="61201" spans="1:141" s="116" customFormat="1">
      <c r="A61201" s="136"/>
      <c r="CM61201" s="111"/>
      <c r="CQ61201" s="111"/>
      <c r="EF61201"/>
      <c r="EG61201"/>
      <c r="EH61201"/>
      <c r="EI61201"/>
      <c r="EJ61201"/>
      <c r="EK61201"/>
    </row>
    <row r="61202" spans="1:141" s="116" customFormat="1">
      <c r="A61202" s="136"/>
      <c r="CM61202" s="111"/>
      <c r="CQ61202" s="111"/>
      <c r="EF61202"/>
      <c r="EG61202"/>
      <c r="EH61202"/>
      <c r="EI61202"/>
      <c r="EJ61202"/>
      <c r="EK61202"/>
    </row>
    <row r="61203" spans="1:141" s="116" customFormat="1">
      <c r="A61203" s="136"/>
      <c r="CM61203" s="111"/>
      <c r="CQ61203" s="111"/>
      <c r="EF61203"/>
      <c r="EG61203"/>
      <c r="EH61203"/>
      <c r="EI61203"/>
      <c r="EJ61203"/>
      <c r="EK61203"/>
    </row>
    <row r="61204" spans="1:141" s="116" customFormat="1">
      <c r="A61204" s="136"/>
      <c r="CM61204" s="111"/>
      <c r="CQ61204" s="111"/>
      <c r="EF61204"/>
      <c r="EG61204"/>
      <c r="EH61204"/>
      <c r="EI61204"/>
      <c r="EJ61204"/>
      <c r="EK61204"/>
    </row>
    <row r="61205" spans="1:141" s="116" customFormat="1">
      <c r="A61205" s="136"/>
      <c r="CM61205" s="111"/>
      <c r="CQ61205" s="111"/>
      <c r="EF61205"/>
      <c r="EG61205"/>
      <c r="EH61205"/>
      <c r="EI61205"/>
      <c r="EJ61205"/>
      <c r="EK61205"/>
    </row>
    <row r="61206" spans="1:141" s="116" customFormat="1">
      <c r="A61206" s="136"/>
      <c r="CM61206" s="111"/>
      <c r="CQ61206" s="111"/>
      <c r="EF61206"/>
      <c r="EG61206"/>
      <c r="EH61206"/>
      <c r="EI61206"/>
      <c r="EJ61206"/>
      <c r="EK61206"/>
    </row>
    <row r="61207" spans="1:141" s="116" customFormat="1">
      <c r="A61207" s="136"/>
      <c r="CM61207" s="111"/>
      <c r="CQ61207" s="111"/>
      <c r="EF61207"/>
      <c r="EG61207"/>
      <c r="EH61207"/>
      <c r="EI61207"/>
      <c r="EJ61207"/>
      <c r="EK61207"/>
    </row>
    <row r="61208" spans="1:141" s="116" customFormat="1">
      <c r="A61208" s="136"/>
      <c r="CM61208" s="111"/>
      <c r="CQ61208" s="111"/>
      <c r="EF61208"/>
      <c r="EG61208"/>
      <c r="EH61208"/>
      <c r="EI61208"/>
      <c r="EJ61208"/>
      <c r="EK61208"/>
    </row>
    <row r="61209" spans="1:141" s="116" customFormat="1">
      <c r="A61209" s="136"/>
      <c r="CM61209" s="111"/>
      <c r="CQ61209" s="111"/>
      <c r="EF61209"/>
      <c r="EG61209"/>
      <c r="EH61209"/>
      <c r="EI61209"/>
      <c r="EJ61209"/>
      <c r="EK61209"/>
    </row>
    <row r="61210" spans="1:141" s="116" customFormat="1">
      <c r="A61210" s="136"/>
      <c r="CM61210" s="111"/>
      <c r="CQ61210" s="111"/>
      <c r="EF61210"/>
      <c r="EG61210"/>
      <c r="EH61210"/>
      <c r="EI61210"/>
      <c r="EJ61210"/>
      <c r="EK61210"/>
    </row>
    <row r="61211" spans="1:141" s="116" customFormat="1">
      <c r="A61211" s="136"/>
      <c r="CM61211" s="111"/>
      <c r="CQ61211" s="111"/>
      <c r="EF61211"/>
      <c r="EG61211"/>
      <c r="EH61211"/>
      <c r="EI61211"/>
      <c r="EJ61211"/>
      <c r="EK61211"/>
    </row>
    <row r="61212" spans="1:141" s="116" customFormat="1">
      <c r="A61212" s="136"/>
      <c r="CM61212" s="111"/>
      <c r="CQ61212" s="111"/>
      <c r="EF61212"/>
      <c r="EG61212"/>
      <c r="EH61212"/>
      <c r="EI61212"/>
      <c r="EJ61212"/>
      <c r="EK61212"/>
    </row>
    <row r="61213" spans="1:141" s="116" customFormat="1">
      <c r="A61213" s="136"/>
      <c r="CM61213" s="111"/>
      <c r="CQ61213" s="111"/>
      <c r="EF61213"/>
      <c r="EG61213"/>
      <c r="EH61213"/>
      <c r="EI61213"/>
      <c r="EJ61213"/>
      <c r="EK61213"/>
    </row>
    <row r="61214" spans="1:141" s="116" customFormat="1">
      <c r="A61214" s="136"/>
      <c r="CM61214" s="111"/>
      <c r="CQ61214" s="111"/>
      <c r="EF61214"/>
      <c r="EG61214"/>
      <c r="EH61214"/>
      <c r="EI61214"/>
      <c r="EJ61214"/>
      <c r="EK61214"/>
    </row>
    <row r="61215" spans="1:141" s="116" customFormat="1">
      <c r="A61215" s="136"/>
      <c r="CM61215" s="111"/>
      <c r="CQ61215" s="111"/>
      <c r="EF61215"/>
      <c r="EG61215"/>
      <c r="EH61215"/>
      <c r="EI61215"/>
      <c r="EJ61215"/>
      <c r="EK61215"/>
    </row>
    <row r="61216" spans="1:141" s="116" customFormat="1">
      <c r="A61216" s="136"/>
      <c r="CM61216" s="111"/>
      <c r="CQ61216" s="111"/>
      <c r="EF61216"/>
      <c r="EG61216"/>
      <c r="EH61216"/>
      <c r="EI61216"/>
      <c r="EJ61216"/>
      <c r="EK61216"/>
    </row>
    <row r="61217" spans="1:141" s="116" customFormat="1">
      <c r="A61217" s="136"/>
      <c r="CM61217" s="111"/>
      <c r="CQ61217" s="111"/>
      <c r="EF61217"/>
      <c r="EG61217"/>
      <c r="EH61217"/>
      <c r="EI61217"/>
      <c r="EJ61217"/>
      <c r="EK61217"/>
    </row>
    <row r="61218" spans="1:141" s="116" customFormat="1">
      <c r="A61218" s="136"/>
      <c r="CM61218" s="111"/>
      <c r="CQ61218" s="111"/>
      <c r="EF61218"/>
      <c r="EG61218"/>
      <c r="EH61218"/>
      <c r="EI61218"/>
      <c r="EJ61218"/>
      <c r="EK61218"/>
    </row>
    <row r="61219" spans="1:141" s="116" customFormat="1">
      <c r="A61219" s="136"/>
      <c r="CM61219" s="111"/>
      <c r="CQ61219" s="111"/>
      <c r="EF61219"/>
      <c r="EG61219"/>
      <c r="EH61219"/>
      <c r="EI61219"/>
      <c r="EJ61219"/>
      <c r="EK61219"/>
    </row>
    <row r="61220" spans="1:141" s="116" customFormat="1">
      <c r="A61220" s="136"/>
      <c r="CM61220" s="111"/>
      <c r="CQ61220" s="111"/>
      <c r="EF61220"/>
      <c r="EG61220"/>
      <c r="EH61220"/>
      <c r="EI61220"/>
      <c r="EJ61220"/>
      <c r="EK61220"/>
    </row>
    <row r="61221" spans="1:141" s="116" customFormat="1">
      <c r="A61221" s="136"/>
      <c r="CM61221" s="111"/>
      <c r="CQ61221" s="111"/>
      <c r="EF61221"/>
      <c r="EG61221"/>
      <c r="EH61221"/>
      <c r="EI61221"/>
      <c r="EJ61221"/>
      <c r="EK61221"/>
    </row>
    <row r="61222" spans="1:141" s="116" customFormat="1">
      <c r="A61222" s="136"/>
      <c r="CM61222" s="111"/>
      <c r="CQ61222" s="111"/>
      <c r="EF61222"/>
      <c r="EG61222"/>
      <c r="EH61222"/>
      <c r="EI61222"/>
      <c r="EJ61222"/>
      <c r="EK61222"/>
    </row>
    <row r="61223" spans="1:141" s="116" customFormat="1">
      <c r="A61223" s="136"/>
      <c r="CM61223" s="111"/>
      <c r="CQ61223" s="111"/>
      <c r="EF61223"/>
      <c r="EG61223"/>
      <c r="EH61223"/>
      <c r="EI61223"/>
      <c r="EJ61223"/>
      <c r="EK61223"/>
    </row>
    <row r="61224" spans="1:141" s="116" customFormat="1">
      <c r="A61224" s="136"/>
      <c r="CM61224" s="111"/>
      <c r="CQ61224" s="111"/>
      <c r="EF61224"/>
      <c r="EG61224"/>
      <c r="EH61224"/>
      <c r="EI61224"/>
      <c r="EJ61224"/>
      <c r="EK61224"/>
    </row>
    <row r="61225" spans="1:141" s="116" customFormat="1">
      <c r="A61225" s="136"/>
      <c r="CM61225" s="111"/>
      <c r="CQ61225" s="111"/>
      <c r="EF61225"/>
      <c r="EG61225"/>
      <c r="EH61225"/>
      <c r="EI61225"/>
      <c r="EJ61225"/>
      <c r="EK61225"/>
    </row>
    <row r="61226" spans="1:141" s="116" customFormat="1">
      <c r="A61226" s="136"/>
      <c r="CM61226" s="111"/>
      <c r="CQ61226" s="111"/>
      <c r="EF61226"/>
      <c r="EG61226"/>
      <c r="EH61226"/>
      <c r="EI61226"/>
      <c r="EJ61226"/>
      <c r="EK61226"/>
    </row>
    <row r="61227" spans="1:141" s="116" customFormat="1">
      <c r="A61227" s="136"/>
      <c r="CM61227" s="111"/>
      <c r="CQ61227" s="111"/>
      <c r="EF61227"/>
      <c r="EG61227"/>
      <c r="EH61227"/>
      <c r="EI61227"/>
      <c r="EJ61227"/>
      <c r="EK61227"/>
    </row>
    <row r="61228" spans="1:141" s="116" customFormat="1">
      <c r="A61228" s="136"/>
      <c r="CM61228" s="111"/>
      <c r="CQ61228" s="111"/>
      <c r="EF61228"/>
      <c r="EG61228"/>
      <c r="EH61228"/>
      <c r="EI61228"/>
      <c r="EJ61228"/>
      <c r="EK61228"/>
    </row>
    <row r="61229" spans="1:141" s="116" customFormat="1">
      <c r="A61229" s="136"/>
      <c r="CM61229" s="111"/>
      <c r="CQ61229" s="111"/>
      <c r="EF61229"/>
      <c r="EG61229"/>
      <c r="EH61229"/>
      <c r="EI61229"/>
      <c r="EJ61229"/>
      <c r="EK61229"/>
    </row>
    <row r="61230" spans="1:141" s="116" customFormat="1">
      <c r="A61230" s="136"/>
      <c r="CM61230" s="111"/>
      <c r="CQ61230" s="111"/>
      <c r="EF61230"/>
      <c r="EG61230"/>
      <c r="EH61230"/>
      <c r="EI61230"/>
      <c r="EJ61230"/>
      <c r="EK61230"/>
    </row>
    <row r="61231" spans="1:141" s="116" customFormat="1">
      <c r="A61231" s="136"/>
      <c r="CM61231" s="111"/>
      <c r="CQ61231" s="111"/>
      <c r="EF61231"/>
      <c r="EG61231"/>
      <c r="EH61231"/>
      <c r="EI61231"/>
      <c r="EJ61231"/>
      <c r="EK61231"/>
    </row>
    <row r="61232" spans="1:141" s="116" customFormat="1">
      <c r="A61232" s="136"/>
      <c r="CM61232" s="111"/>
      <c r="CQ61232" s="111"/>
      <c r="EF61232"/>
      <c r="EG61232"/>
      <c r="EH61232"/>
      <c r="EI61232"/>
      <c r="EJ61232"/>
      <c r="EK61232"/>
    </row>
    <row r="61233" spans="1:141" s="116" customFormat="1">
      <c r="A61233" s="136"/>
      <c r="CM61233" s="111"/>
      <c r="CQ61233" s="111"/>
      <c r="EF61233"/>
      <c r="EG61233"/>
      <c r="EH61233"/>
      <c r="EI61233"/>
      <c r="EJ61233"/>
      <c r="EK61233"/>
    </row>
    <row r="61234" spans="1:141" s="116" customFormat="1">
      <c r="A61234" s="136"/>
      <c r="CM61234" s="111"/>
      <c r="CQ61234" s="111"/>
      <c r="EF61234"/>
      <c r="EG61234"/>
      <c r="EH61234"/>
      <c r="EI61234"/>
      <c r="EJ61234"/>
      <c r="EK61234"/>
    </row>
    <row r="61235" spans="1:141" s="116" customFormat="1">
      <c r="A61235" s="136"/>
      <c r="CM61235" s="111"/>
      <c r="CQ61235" s="111"/>
      <c r="EF61235"/>
      <c r="EG61235"/>
      <c r="EH61235"/>
      <c r="EI61235"/>
      <c r="EJ61235"/>
      <c r="EK61235"/>
    </row>
    <row r="61236" spans="1:141" s="116" customFormat="1">
      <c r="A61236" s="136"/>
      <c r="CM61236" s="111"/>
      <c r="CQ61236" s="111"/>
      <c r="EF61236"/>
      <c r="EG61236"/>
      <c r="EH61236"/>
      <c r="EI61236"/>
      <c r="EJ61236"/>
      <c r="EK61236"/>
    </row>
    <row r="61237" spans="1:141" s="116" customFormat="1">
      <c r="A61237" s="136"/>
      <c r="CM61237" s="111"/>
      <c r="CQ61237" s="111"/>
      <c r="EF61237"/>
      <c r="EG61237"/>
      <c r="EH61237"/>
      <c r="EI61237"/>
      <c r="EJ61237"/>
      <c r="EK61237"/>
    </row>
    <row r="61238" spans="1:141" s="116" customFormat="1">
      <c r="A61238" s="136"/>
      <c r="CM61238" s="111"/>
      <c r="CQ61238" s="111"/>
      <c r="EF61238"/>
      <c r="EG61238"/>
      <c r="EH61238"/>
      <c r="EI61238"/>
      <c r="EJ61238"/>
      <c r="EK61238"/>
    </row>
    <row r="61239" spans="1:141" s="116" customFormat="1">
      <c r="A61239" s="136"/>
      <c r="CM61239" s="111"/>
      <c r="CQ61239" s="111"/>
      <c r="EF61239"/>
      <c r="EG61239"/>
      <c r="EH61239"/>
      <c r="EI61239"/>
      <c r="EJ61239"/>
      <c r="EK61239"/>
    </row>
    <row r="61240" spans="1:141" s="116" customFormat="1">
      <c r="A61240" s="136"/>
      <c r="CM61240" s="111"/>
      <c r="CQ61240" s="111"/>
      <c r="EF61240"/>
      <c r="EG61240"/>
      <c r="EH61240"/>
      <c r="EI61240"/>
      <c r="EJ61240"/>
      <c r="EK61240"/>
    </row>
    <row r="61241" spans="1:141" s="116" customFormat="1">
      <c r="A61241" s="136"/>
      <c r="CM61241" s="111"/>
      <c r="CQ61241" s="111"/>
      <c r="EF61241"/>
      <c r="EG61241"/>
      <c r="EH61241"/>
      <c r="EI61241"/>
      <c r="EJ61241"/>
      <c r="EK61241"/>
    </row>
    <row r="61242" spans="1:141" s="116" customFormat="1">
      <c r="A61242" s="136"/>
      <c r="CM61242" s="111"/>
      <c r="CQ61242" s="111"/>
      <c r="EF61242"/>
      <c r="EG61242"/>
      <c r="EH61242"/>
      <c r="EI61242"/>
      <c r="EJ61242"/>
      <c r="EK61242"/>
    </row>
    <row r="61243" spans="1:141" s="116" customFormat="1">
      <c r="A61243" s="136"/>
      <c r="CM61243" s="111"/>
      <c r="CQ61243" s="111"/>
      <c r="EF61243"/>
      <c r="EG61243"/>
      <c r="EH61243"/>
      <c r="EI61243"/>
      <c r="EJ61243"/>
      <c r="EK61243"/>
    </row>
    <row r="61244" spans="1:141" s="116" customFormat="1">
      <c r="A61244" s="136"/>
      <c r="CM61244" s="111"/>
      <c r="CQ61244" s="111"/>
      <c r="EF61244"/>
      <c r="EG61244"/>
      <c r="EH61244"/>
      <c r="EI61244"/>
      <c r="EJ61244"/>
      <c r="EK61244"/>
    </row>
    <row r="61245" spans="1:141" s="116" customFormat="1">
      <c r="A61245" s="136"/>
      <c r="CM61245" s="111"/>
      <c r="CQ61245" s="111"/>
      <c r="EF61245"/>
      <c r="EG61245"/>
      <c r="EH61245"/>
      <c r="EI61245"/>
      <c r="EJ61245"/>
      <c r="EK61245"/>
    </row>
    <row r="61246" spans="1:141" s="116" customFormat="1">
      <c r="A61246" s="136"/>
      <c r="CM61246" s="111"/>
      <c r="CQ61246" s="111"/>
      <c r="EF61246"/>
      <c r="EG61246"/>
      <c r="EH61246"/>
      <c r="EI61246"/>
      <c r="EJ61246"/>
      <c r="EK61246"/>
    </row>
    <row r="61247" spans="1:141" s="116" customFormat="1">
      <c r="A61247" s="136"/>
      <c r="CM61247" s="111"/>
      <c r="CQ61247" s="111"/>
      <c r="EF61247"/>
      <c r="EG61247"/>
      <c r="EH61247"/>
      <c r="EI61247"/>
      <c r="EJ61247"/>
      <c r="EK61247"/>
    </row>
    <row r="61248" spans="1:141" s="116" customFormat="1">
      <c r="A61248" s="136"/>
      <c r="CM61248" s="111"/>
      <c r="CQ61248" s="111"/>
      <c r="EF61248"/>
      <c r="EG61248"/>
      <c r="EH61248"/>
      <c r="EI61248"/>
      <c r="EJ61248"/>
      <c r="EK61248"/>
    </row>
    <row r="61249" spans="1:141" s="116" customFormat="1">
      <c r="A61249" s="136"/>
      <c r="CM61249" s="111"/>
      <c r="CQ61249" s="111"/>
      <c r="EF61249"/>
      <c r="EG61249"/>
      <c r="EH61249"/>
      <c r="EI61249"/>
      <c r="EJ61249"/>
      <c r="EK61249"/>
    </row>
    <row r="61250" spans="1:141" s="116" customFormat="1">
      <c r="A61250" s="136"/>
      <c r="CM61250" s="111"/>
      <c r="CQ61250" s="111"/>
      <c r="EF61250"/>
      <c r="EG61250"/>
      <c r="EH61250"/>
      <c r="EI61250"/>
      <c r="EJ61250"/>
      <c r="EK61250"/>
    </row>
    <row r="61251" spans="1:141" s="116" customFormat="1">
      <c r="A61251" s="136"/>
      <c r="CM61251" s="111"/>
      <c r="CQ61251" s="111"/>
      <c r="EF61251"/>
      <c r="EG61251"/>
      <c r="EH61251"/>
      <c r="EI61251"/>
      <c r="EJ61251"/>
      <c r="EK61251"/>
    </row>
    <row r="61252" spans="1:141" s="116" customFormat="1">
      <c r="A61252" s="136"/>
      <c r="CM61252" s="111"/>
      <c r="CQ61252" s="111"/>
      <c r="EF61252"/>
      <c r="EG61252"/>
      <c r="EH61252"/>
      <c r="EI61252"/>
      <c r="EJ61252"/>
      <c r="EK61252"/>
    </row>
    <row r="61253" spans="1:141" s="116" customFormat="1">
      <c r="A61253" s="136"/>
      <c r="CM61253" s="111"/>
      <c r="CQ61253" s="111"/>
      <c r="EF61253"/>
      <c r="EG61253"/>
      <c r="EH61253"/>
      <c r="EI61253"/>
      <c r="EJ61253"/>
      <c r="EK61253"/>
    </row>
    <row r="61254" spans="1:141" s="116" customFormat="1">
      <c r="A61254" s="136"/>
      <c r="CM61254" s="111"/>
      <c r="CQ61254" s="111"/>
      <c r="EF61254"/>
      <c r="EG61254"/>
      <c r="EH61254"/>
      <c r="EI61254"/>
      <c r="EJ61254"/>
      <c r="EK61254"/>
    </row>
    <row r="61255" spans="1:141" s="116" customFormat="1">
      <c r="A61255" s="136"/>
      <c r="CM61255" s="111"/>
      <c r="CQ61255" s="111"/>
      <c r="EF61255"/>
      <c r="EG61255"/>
      <c r="EH61255"/>
      <c r="EI61255"/>
      <c r="EJ61255"/>
      <c r="EK61255"/>
    </row>
    <row r="61256" spans="1:141" s="116" customFormat="1">
      <c r="A61256" s="136"/>
      <c r="CM61256" s="111"/>
      <c r="CQ61256" s="111"/>
      <c r="EF61256"/>
      <c r="EG61256"/>
      <c r="EH61256"/>
      <c r="EI61256"/>
      <c r="EJ61256"/>
      <c r="EK61256"/>
    </row>
    <row r="61257" spans="1:141" s="116" customFormat="1">
      <c r="A61257" s="136"/>
      <c r="CM61257" s="111"/>
      <c r="CQ61257" s="111"/>
      <c r="EF61257"/>
      <c r="EG61257"/>
      <c r="EH61257"/>
      <c r="EI61257"/>
      <c r="EJ61257"/>
      <c r="EK61257"/>
    </row>
    <row r="61258" spans="1:141" s="116" customFormat="1">
      <c r="A61258" s="136"/>
      <c r="CM61258" s="111"/>
      <c r="CQ61258" s="111"/>
      <c r="EF61258"/>
      <c r="EG61258"/>
      <c r="EH61258"/>
      <c r="EI61258"/>
      <c r="EJ61258"/>
      <c r="EK61258"/>
    </row>
    <row r="61259" spans="1:141" s="116" customFormat="1">
      <c r="A61259" s="136"/>
      <c r="CM61259" s="111"/>
      <c r="CQ61259" s="111"/>
      <c r="EF61259"/>
      <c r="EG61259"/>
      <c r="EH61259"/>
      <c r="EI61259"/>
      <c r="EJ61259"/>
      <c r="EK61259"/>
    </row>
    <row r="61260" spans="1:141" s="116" customFormat="1">
      <c r="A61260" s="136"/>
      <c r="CM61260" s="111"/>
      <c r="CQ61260" s="111"/>
      <c r="EF61260"/>
      <c r="EG61260"/>
      <c r="EH61260"/>
      <c r="EI61260"/>
      <c r="EJ61260"/>
      <c r="EK61260"/>
    </row>
    <row r="61261" spans="1:141" s="116" customFormat="1">
      <c r="A61261" s="136"/>
      <c r="CM61261" s="111"/>
      <c r="CQ61261" s="111"/>
      <c r="EF61261"/>
      <c r="EG61261"/>
      <c r="EH61261"/>
      <c r="EI61261"/>
      <c r="EJ61261"/>
      <c r="EK61261"/>
    </row>
    <row r="61262" spans="1:141" s="116" customFormat="1">
      <c r="A61262" s="136"/>
      <c r="CM61262" s="111"/>
      <c r="CQ61262" s="111"/>
      <c r="EF61262"/>
      <c r="EG61262"/>
      <c r="EH61262"/>
      <c r="EI61262"/>
      <c r="EJ61262"/>
      <c r="EK61262"/>
    </row>
    <row r="61263" spans="1:141" s="116" customFormat="1">
      <c r="A61263" s="136"/>
      <c r="CM61263" s="111"/>
      <c r="CQ61263" s="111"/>
      <c r="EF61263"/>
      <c r="EG61263"/>
      <c r="EH61263"/>
      <c r="EI61263"/>
      <c r="EJ61263"/>
      <c r="EK61263"/>
    </row>
    <row r="61264" spans="1:141" s="116" customFormat="1">
      <c r="A61264" s="136"/>
      <c r="CM61264" s="111"/>
      <c r="CQ61264" s="111"/>
      <c r="EF61264"/>
      <c r="EG61264"/>
      <c r="EH61264"/>
      <c r="EI61264"/>
      <c r="EJ61264"/>
      <c r="EK61264"/>
    </row>
    <row r="61265" spans="1:141" s="116" customFormat="1">
      <c r="A61265" s="136"/>
      <c r="CM61265" s="111"/>
      <c r="CQ61265" s="111"/>
      <c r="EF61265"/>
      <c r="EG61265"/>
      <c r="EH61265"/>
      <c r="EI61265"/>
      <c r="EJ61265"/>
      <c r="EK61265"/>
    </row>
    <row r="61266" spans="1:141" s="116" customFormat="1">
      <c r="A61266" s="136"/>
      <c r="CM61266" s="111"/>
      <c r="CQ61266" s="111"/>
      <c r="EF61266"/>
      <c r="EG61266"/>
      <c r="EH61266"/>
      <c r="EI61266"/>
      <c r="EJ61266"/>
      <c r="EK61266"/>
    </row>
    <row r="61267" spans="1:141" s="116" customFormat="1">
      <c r="A61267" s="136"/>
      <c r="CM61267" s="111"/>
      <c r="CQ61267" s="111"/>
      <c r="EF61267"/>
      <c r="EG61267"/>
      <c r="EH61267"/>
      <c r="EI61267"/>
      <c r="EJ61267"/>
      <c r="EK61267"/>
    </row>
    <row r="61268" spans="1:141" s="116" customFormat="1">
      <c r="A61268" s="136"/>
      <c r="CM61268" s="111"/>
      <c r="CQ61268" s="111"/>
      <c r="EF61268"/>
      <c r="EG61268"/>
      <c r="EH61268"/>
      <c r="EI61268"/>
      <c r="EJ61268"/>
      <c r="EK61268"/>
    </row>
    <row r="61269" spans="1:141" s="116" customFormat="1">
      <c r="A61269" s="136"/>
      <c r="CM61269" s="111"/>
      <c r="CQ61269" s="111"/>
      <c r="EF61269"/>
      <c r="EG61269"/>
      <c r="EH61269"/>
      <c r="EI61269"/>
      <c r="EJ61269"/>
      <c r="EK61269"/>
    </row>
    <row r="61270" spans="1:141" s="116" customFormat="1">
      <c r="A61270" s="136"/>
      <c r="CM61270" s="111"/>
      <c r="CQ61270" s="111"/>
      <c r="EF61270"/>
      <c r="EG61270"/>
      <c r="EH61270"/>
      <c r="EI61270"/>
      <c r="EJ61270"/>
      <c r="EK61270"/>
    </row>
    <row r="61271" spans="1:141" s="116" customFormat="1">
      <c r="A61271" s="136"/>
      <c r="CM61271" s="111"/>
      <c r="CQ61271" s="111"/>
      <c r="EF61271"/>
      <c r="EG61271"/>
      <c r="EH61271"/>
      <c r="EI61271"/>
      <c r="EJ61271"/>
      <c r="EK61271"/>
    </row>
    <row r="61272" spans="1:141" s="116" customFormat="1">
      <c r="A61272" s="136"/>
      <c r="CM61272" s="111"/>
      <c r="CQ61272" s="111"/>
      <c r="EF61272"/>
      <c r="EG61272"/>
      <c r="EH61272"/>
      <c r="EI61272"/>
      <c r="EJ61272"/>
      <c r="EK61272"/>
    </row>
    <row r="61273" spans="1:141" s="116" customFormat="1">
      <c r="A61273" s="136"/>
      <c r="CM61273" s="111"/>
      <c r="CQ61273" s="111"/>
      <c r="EF61273"/>
      <c r="EG61273"/>
      <c r="EH61273"/>
      <c r="EI61273"/>
      <c r="EJ61273"/>
      <c r="EK61273"/>
    </row>
    <row r="61274" spans="1:141" s="116" customFormat="1">
      <c r="A61274" s="136"/>
      <c r="CM61274" s="111"/>
      <c r="CQ61274" s="111"/>
      <c r="EF61274"/>
      <c r="EG61274"/>
      <c r="EH61274"/>
      <c r="EI61274"/>
      <c r="EJ61274"/>
      <c r="EK61274"/>
    </row>
    <row r="61275" spans="1:141" s="116" customFormat="1">
      <c r="A61275" s="136"/>
      <c r="CM61275" s="111"/>
      <c r="CQ61275" s="111"/>
      <c r="EF61275"/>
      <c r="EG61275"/>
      <c r="EH61275"/>
      <c r="EI61275"/>
      <c r="EJ61275"/>
      <c r="EK61275"/>
    </row>
    <row r="61276" spans="1:141" s="116" customFormat="1">
      <c r="A61276" s="136"/>
      <c r="CM61276" s="111"/>
      <c r="CQ61276" s="111"/>
      <c r="EF61276"/>
      <c r="EG61276"/>
      <c r="EH61276"/>
      <c r="EI61276"/>
      <c r="EJ61276"/>
      <c r="EK61276"/>
    </row>
    <row r="61277" spans="1:141" s="116" customFormat="1">
      <c r="A61277" s="136"/>
      <c r="CM61277" s="111"/>
      <c r="CQ61277" s="111"/>
      <c r="EF61277"/>
      <c r="EG61277"/>
      <c r="EH61277"/>
      <c r="EI61277"/>
      <c r="EJ61277"/>
      <c r="EK61277"/>
    </row>
    <row r="61278" spans="1:141" s="116" customFormat="1">
      <c r="A61278" s="136"/>
      <c r="CM61278" s="111"/>
      <c r="CQ61278" s="111"/>
      <c r="EF61278"/>
      <c r="EG61278"/>
      <c r="EH61278"/>
      <c r="EI61278"/>
      <c r="EJ61278"/>
      <c r="EK61278"/>
    </row>
    <row r="61279" spans="1:141" s="116" customFormat="1">
      <c r="A61279" s="136"/>
      <c r="CM61279" s="111"/>
      <c r="CQ61279" s="111"/>
      <c r="EF61279"/>
      <c r="EG61279"/>
      <c r="EH61279"/>
      <c r="EI61279"/>
      <c r="EJ61279"/>
      <c r="EK61279"/>
    </row>
    <row r="61280" spans="1:141" s="116" customFormat="1">
      <c r="A61280" s="136"/>
      <c r="CM61280" s="111"/>
      <c r="CQ61280" s="111"/>
      <c r="EF61280"/>
      <c r="EG61280"/>
      <c r="EH61280"/>
      <c r="EI61280"/>
      <c r="EJ61280"/>
      <c r="EK61280"/>
    </row>
    <row r="61281" spans="1:141" s="116" customFormat="1">
      <c r="A61281" s="136"/>
      <c r="CM61281" s="111"/>
      <c r="CQ61281" s="111"/>
      <c r="EF61281"/>
      <c r="EG61281"/>
      <c r="EH61281"/>
      <c r="EI61281"/>
      <c r="EJ61281"/>
      <c r="EK61281"/>
    </row>
    <row r="61282" spans="1:141" s="116" customFormat="1">
      <c r="A61282" s="136"/>
      <c r="CM61282" s="111"/>
      <c r="CQ61282" s="111"/>
      <c r="EF61282"/>
      <c r="EG61282"/>
      <c r="EH61282"/>
      <c r="EI61282"/>
      <c r="EJ61282"/>
      <c r="EK61282"/>
    </row>
    <row r="61283" spans="1:141" s="116" customFormat="1">
      <c r="A61283" s="136"/>
      <c r="CM61283" s="111"/>
      <c r="CQ61283" s="111"/>
      <c r="EF61283"/>
      <c r="EG61283"/>
      <c r="EH61283"/>
      <c r="EI61283"/>
      <c r="EJ61283"/>
      <c r="EK61283"/>
    </row>
    <row r="61284" spans="1:141" s="116" customFormat="1">
      <c r="A61284" s="136"/>
      <c r="CM61284" s="111"/>
      <c r="CQ61284" s="111"/>
      <c r="EF61284"/>
      <c r="EG61284"/>
      <c r="EH61284"/>
      <c r="EI61284"/>
      <c r="EJ61284"/>
      <c r="EK61284"/>
    </row>
    <row r="61285" spans="1:141" s="116" customFormat="1">
      <c r="A61285" s="136"/>
      <c r="CM61285" s="111"/>
      <c r="CQ61285" s="111"/>
      <c r="EF61285"/>
      <c r="EG61285"/>
      <c r="EH61285"/>
      <c r="EI61285"/>
      <c r="EJ61285"/>
      <c r="EK61285"/>
    </row>
    <row r="61286" spans="1:141" s="116" customFormat="1">
      <c r="A61286" s="136"/>
      <c r="CM61286" s="111"/>
      <c r="CQ61286" s="111"/>
      <c r="EF61286"/>
      <c r="EG61286"/>
      <c r="EH61286"/>
      <c r="EI61286"/>
      <c r="EJ61286"/>
      <c r="EK61286"/>
    </row>
    <row r="61287" spans="1:141" s="116" customFormat="1">
      <c r="A61287" s="136"/>
      <c r="CM61287" s="111"/>
      <c r="CQ61287" s="111"/>
      <c r="EF61287"/>
      <c r="EG61287"/>
      <c r="EH61287"/>
      <c r="EI61287"/>
      <c r="EJ61287"/>
      <c r="EK61287"/>
    </row>
    <row r="61288" spans="1:141" s="116" customFormat="1">
      <c r="A61288" s="136"/>
      <c r="CM61288" s="111"/>
      <c r="CQ61288" s="111"/>
      <c r="EF61288"/>
      <c r="EG61288"/>
      <c r="EH61288"/>
      <c r="EI61288"/>
      <c r="EJ61288"/>
      <c r="EK61288"/>
    </row>
    <row r="61289" spans="1:141" s="116" customFormat="1">
      <c r="A61289" s="136"/>
      <c r="CM61289" s="111"/>
      <c r="CQ61289" s="111"/>
      <c r="EF61289"/>
      <c r="EG61289"/>
      <c r="EH61289"/>
      <c r="EI61289"/>
      <c r="EJ61289"/>
      <c r="EK61289"/>
    </row>
    <row r="61290" spans="1:141" s="116" customFormat="1">
      <c r="A61290" s="136"/>
      <c r="CM61290" s="111"/>
      <c r="CQ61290" s="111"/>
      <c r="EF61290"/>
      <c r="EG61290"/>
      <c r="EH61290"/>
      <c r="EI61290"/>
      <c r="EJ61290"/>
      <c r="EK61290"/>
    </row>
    <row r="61291" spans="1:141" s="116" customFormat="1">
      <c r="A61291" s="136"/>
      <c r="CM61291" s="111"/>
      <c r="CQ61291" s="111"/>
      <c r="EF61291"/>
      <c r="EG61291"/>
      <c r="EH61291"/>
      <c r="EI61291"/>
      <c r="EJ61291"/>
      <c r="EK61291"/>
    </row>
    <row r="61292" spans="1:141" s="116" customFormat="1">
      <c r="A61292" s="136"/>
      <c r="CM61292" s="111"/>
      <c r="CQ61292" s="111"/>
      <c r="EF61292"/>
      <c r="EG61292"/>
      <c r="EH61292"/>
      <c r="EI61292"/>
      <c r="EJ61292"/>
      <c r="EK61292"/>
    </row>
    <row r="61293" spans="1:141" s="116" customFormat="1">
      <c r="A61293" s="136"/>
      <c r="CM61293" s="111"/>
      <c r="CQ61293" s="111"/>
      <c r="EF61293"/>
      <c r="EG61293"/>
      <c r="EH61293"/>
      <c r="EI61293"/>
      <c r="EJ61293"/>
      <c r="EK61293"/>
    </row>
    <row r="61294" spans="1:141" s="116" customFormat="1">
      <c r="A61294" s="136"/>
      <c r="CM61294" s="111"/>
      <c r="CQ61294" s="111"/>
      <c r="EF61294"/>
      <c r="EG61294"/>
      <c r="EH61294"/>
      <c r="EI61294"/>
      <c r="EJ61294"/>
      <c r="EK61294"/>
    </row>
    <row r="61295" spans="1:141" s="116" customFormat="1">
      <c r="A61295" s="136"/>
      <c r="CM61295" s="111"/>
      <c r="CQ61295" s="111"/>
      <c r="EF61295"/>
      <c r="EG61295"/>
      <c r="EH61295"/>
      <c r="EI61295"/>
      <c r="EJ61295"/>
      <c r="EK61295"/>
    </row>
    <row r="61296" spans="1:141" s="116" customFormat="1">
      <c r="A61296" s="136"/>
      <c r="CM61296" s="111"/>
      <c r="CQ61296" s="111"/>
      <c r="EF61296"/>
      <c r="EG61296"/>
      <c r="EH61296"/>
      <c r="EI61296"/>
      <c r="EJ61296"/>
      <c r="EK61296"/>
    </row>
    <row r="61297" spans="1:141" s="116" customFormat="1">
      <c r="A61297" s="136"/>
      <c r="CM61297" s="111"/>
      <c r="CQ61297" s="111"/>
      <c r="EF61297"/>
      <c r="EG61297"/>
      <c r="EH61297"/>
      <c r="EI61297"/>
      <c r="EJ61297"/>
      <c r="EK61297"/>
    </row>
    <row r="61298" spans="1:141" s="116" customFormat="1">
      <c r="A61298" s="136"/>
      <c r="CM61298" s="111"/>
      <c r="CQ61298" s="111"/>
      <c r="EF61298"/>
      <c r="EG61298"/>
      <c r="EH61298"/>
      <c r="EI61298"/>
      <c r="EJ61298"/>
      <c r="EK61298"/>
    </row>
    <row r="61299" spans="1:141" s="116" customFormat="1">
      <c r="A61299" s="136"/>
      <c r="CM61299" s="111"/>
      <c r="CQ61299" s="111"/>
      <c r="EF61299"/>
      <c r="EG61299"/>
      <c r="EH61299"/>
      <c r="EI61299"/>
      <c r="EJ61299"/>
      <c r="EK61299"/>
    </row>
    <row r="61300" spans="1:141" s="116" customFormat="1">
      <c r="A61300" s="136"/>
      <c r="CM61300" s="111"/>
      <c r="CQ61300" s="111"/>
      <c r="EF61300"/>
      <c r="EG61300"/>
      <c r="EH61300"/>
      <c r="EI61300"/>
      <c r="EJ61300"/>
      <c r="EK61300"/>
    </row>
    <row r="61301" spans="1:141" s="116" customFormat="1">
      <c r="A61301" s="136"/>
      <c r="CM61301" s="111"/>
      <c r="CQ61301" s="111"/>
      <c r="EF61301"/>
      <c r="EG61301"/>
      <c r="EH61301"/>
      <c r="EI61301"/>
      <c r="EJ61301"/>
      <c r="EK61301"/>
    </row>
    <row r="61302" spans="1:141" s="116" customFormat="1">
      <c r="A61302" s="136"/>
      <c r="CM61302" s="111"/>
      <c r="CQ61302" s="111"/>
      <c r="EF61302"/>
      <c r="EG61302"/>
      <c r="EH61302"/>
      <c r="EI61302"/>
      <c r="EJ61302"/>
      <c r="EK61302"/>
    </row>
    <row r="61303" spans="1:141" s="116" customFormat="1">
      <c r="A61303" s="136"/>
      <c r="CM61303" s="111"/>
      <c r="CQ61303" s="111"/>
      <c r="EF61303"/>
      <c r="EG61303"/>
      <c r="EH61303"/>
      <c r="EI61303"/>
      <c r="EJ61303"/>
      <c r="EK61303"/>
    </row>
    <row r="61304" spans="1:141" s="116" customFormat="1">
      <c r="A61304" s="136"/>
      <c r="CM61304" s="111"/>
      <c r="CQ61304" s="111"/>
      <c r="EF61304"/>
      <c r="EG61304"/>
      <c r="EH61304"/>
      <c r="EI61304"/>
      <c r="EJ61304"/>
      <c r="EK61304"/>
    </row>
    <row r="61305" spans="1:141" s="116" customFormat="1">
      <c r="A61305" s="136"/>
      <c r="CM61305" s="111"/>
      <c r="CQ61305" s="111"/>
      <c r="EF61305"/>
      <c r="EG61305"/>
      <c r="EH61305"/>
      <c r="EI61305"/>
      <c r="EJ61305"/>
      <c r="EK61305"/>
    </row>
    <row r="61306" spans="1:141" s="116" customFormat="1">
      <c r="A61306" s="136"/>
      <c r="CM61306" s="111"/>
      <c r="CQ61306" s="111"/>
      <c r="EF61306"/>
      <c r="EG61306"/>
      <c r="EH61306"/>
      <c r="EI61306"/>
      <c r="EJ61306"/>
      <c r="EK61306"/>
    </row>
    <row r="61307" spans="1:141" s="116" customFormat="1">
      <c r="A61307" s="136"/>
      <c r="CM61307" s="111"/>
      <c r="CQ61307" s="111"/>
      <c r="EF61307"/>
      <c r="EG61307"/>
      <c r="EH61307"/>
      <c r="EI61307"/>
      <c r="EJ61307"/>
      <c r="EK61307"/>
    </row>
    <row r="61308" spans="1:141" s="116" customFormat="1">
      <c r="A61308" s="136"/>
      <c r="CM61308" s="111"/>
      <c r="CQ61308" s="111"/>
      <c r="EF61308"/>
      <c r="EG61308"/>
      <c r="EH61308"/>
      <c r="EI61308"/>
      <c r="EJ61308"/>
      <c r="EK61308"/>
    </row>
    <row r="61309" spans="1:141" s="116" customFormat="1">
      <c r="A61309" s="136"/>
      <c r="CM61309" s="111"/>
      <c r="CQ61309" s="111"/>
      <c r="EF61309"/>
      <c r="EG61309"/>
      <c r="EH61309"/>
      <c r="EI61309"/>
      <c r="EJ61309"/>
      <c r="EK61309"/>
    </row>
    <row r="61310" spans="1:141" s="116" customFormat="1">
      <c r="A61310" s="136"/>
      <c r="CM61310" s="111"/>
      <c r="CQ61310" s="111"/>
      <c r="EF61310"/>
      <c r="EG61310"/>
      <c r="EH61310"/>
      <c r="EI61310"/>
      <c r="EJ61310"/>
      <c r="EK61310"/>
    </row>
    <row r="61311" spans="1:141" s="116" customFormat="1">
      <c r="A61311" s="136"/>
      <c r="CM61311" s="111"/>
      <c r="CQ61311" s="111"/>
      <c r="EF61311"/>
      <c r="EG61311"/>
      <c r="EH61311"/>
      <c r="EI61311"/>
      <c r="EJ61311"/>
      <c r="EK61311"/>
    </row>
    <row r="61312" spans="1:141" s="116" customFormat="1">
      <c r="A61312" s="136"/>
      <c r="CM61312" s="111"/>
      <c r="CQ61312" s="111"/>
      <c r="EF61312"/>
      <c r="EG61312"/>
      <c r="EH61312"/>
      <c r="EI61312"/>
      <c r="EJ61312"/>
      <c r="EK61312"/>
    </row>
    <row r="61313" spans="1:141" s="116" customFormat="1">
      <c r="A61313" s="136"/>
      <c r="CM61313" s="111"/>
      <c r="CQ61313" s="111"/>
      <c r="EF61313"/>
      <c r="EG61313"/>
      <c r="EH61313"/>
      <c r="EI61313"/>
      <c r="EJ61313"/>
      <c r="EK61313"/>
    </row>
    <row r="61314" spans="1:141" s="116" customFormat="1">
      <c r="A61314" s="136"/>
      <c r="CM61314" s="111"/>
      <c r="CQ61314" s="111"/>
      <c r="EF61314"/>
      <c r="EG61314"/>
      <c r="EH61314"/>
      <c r="EI61314"/>
      <c r="EJ61314"/>
      <c r="EK61314"/>
    </row>
    <row r="61315" spans="1:141" s="116" customFormat="1">
      <c r="A61315" s="136"/>
      <c r="CM61315" s="111"/>
      <c r="CQ61315" s="111"/>
      <c r="EF61315"/>
      <c r="EG61315"/>
      <c r="EH61315"/>
      <c r="EI61315"/>
      <c r="EJ61315"/>
      <c r="EK61315"/>
    </row>
    <row r="61316" spans="1:141" s="116" customFormat="1">
      <c r="A61316" s="136"/>
      <c r="CM61316" s="111"/>
      <c r="CQ61316" s="111"/>
      <c r="EF61316"/>
      <c r="EG61316"/>
      <c r="EH61316"/>
      <c r="EI61316"/>
      <c r="EJ61316"/>
      <c r="EK61316"/>
    </row>
    <row r="61317" spans="1:141" s="116" customFormat="1">
      <c r="A61317" s="136"/>
      <c r="CM61317" s="111"/>
      <c r="CQ61317" s="111"/>
      <c r="EF61317"/>
      <c r="EG61317"/>
      <c r="EH61317"/>
      <c r="EI61317"/>
      <c r="EJ61317"/>
      <c r="EK61317"/>
    </row>
    <row r="61318" spans="1:141" s="116" customFormat="1">
      <c r="A61318" s="136"/>
      <c r="CM61318" s="111"/>
      <c r="CQ61318" s="111"/>
      <c r="EF61318"/>
      <c r="EG61318"/>
      <c r="EH61318"/>
      <c r="EI61318"/>
      <c r="EJ61318"/>
      <c r="EK61318"/>
    </row>
    <row r="61319" spans="1:141" s="116" customFormat="1">
      <c r="A61319" s="136"/>
      <c r="CM61319" s="111"/>
      <c r="CQ61319" s="111"/>
      <c r="EF61319"/>
      <c r="EG61319"/>
      <c r="EH61319"/>
      <c r="EI61319"/>
      <c r="EJ61319"/>
      <c r="EK61319"/>
    </row>
    <row r="61320" spans="1:141" s="116" customFormat="1">
      <c r="A61320" s="136"/>
      <c r="CM61320" s="111"/>
      <c r="CQ61320" s="111"/>
      <c r="EF61320"/>
      <c r="EG61320"/>
      <c r="EH61320"/>
      <c r="EI61320"/>
      <c r="EJ61320"/>
      <c r="EK61320"/>
    </row>
    <row r="61321" spans="1:141" s="116" customFormat="1">
      <c r="A61321" s="136"/>
      <c r="CM61321" s="111"/>
      <c r="CQ61321" s="111"/>
      <c r="EF61321"/>
      <c r="EG61321"/>
      <c r="EH61321"/>
      <c r="EI61321"/>
      <c r="EJ61321"/>
      <c r="EK61321"/>
    </row>
    <row r="61322" spans="1:141" s="116" customFormat="1">
      <c r="A61322" s="136"/>
      <c r="CM61322" s="111"/>
      <c r="CQ61322" s="111"/>
      <c r="EF61322"/>
      <c r="EG61322"/>
      <c r="EH61322"/>
      <c r="EI61322"/>
      <c r="EJ61322"/>
      <c r="EK61322"/>
    </row>
    <row r="61323" spans="1:141" s="116" customFormat="1">
      <c r="A61323" s="136"/>
      <c r="CM61323" s="111"/>
      <c r="CQ61323" s="111"/>
      <c r="EF61323"/>
      <c r="EG61323"/>
      <c r="EH61323"/>
      <c r="EI61323"/>
      <c r="EJ61323"/>
      <c r="EK61323"/>
    </row>
    <row r="61324" spans="1:141" s="116" customFormat="1">
      <c r="A61324" s="136"/>
      <c r="CM61324" s="111"/>
      <c r="CQ61324" s="111"/>
      <c r="EF61324"/>
      <c r="EG61324"/>
      <c r="EH61324"/>
      <c r="EI61324"/>
      <c r="EJ61324"/>
      <c r="EK61324"/>
    </row>
    <row r="61325" spans="1:141" s="116" customFormat="1">
      <c r="A61325" s="136"/>
      <c r="CM61325" s="111"/>
      <c r="CQ61325" s="111"/>
      <c r="EF61325"/>
      <c r="EG61325"/>
      <c r="EH61325"/>
      <c r="EI61325"/>
      <c r="EJ61325"/>
      <c r="EK61325"/>
    </row>
    <row r="61326" spans="1:141" s="116" customFormat="1">
      <c r="A61326" s="136"/>
      <c r="CM61326" s="111"/>
      <c r="CQ61326" s="111"/>
      <c r="EF61326"/>
      <c r="EG61326"/>
      <c r="EH61326"/>
      <c r="EI61326"/>
      <c r="EJ61326"/>
      <c r="EK61326"/>
    </row>
    <row r="61327" spans="1:141" s="116" customFormat="1">
      <c r="A61327" s="136"/>
      <c r="CM61327" s="111"/>
      <c r="CQ61327" s="111"/>
      <c r="EF61327"/>
      <c r="EG61327"/>
      <c r="EH61327"/>
      <c r="EI61327"/>
      <c r="EJ61327"/>
      <c r="EK61327"/>
    </row>
    <row r="61328" spans="1:141" s="116" customFormat="1">
      <c r="A61328" s="136"/>
      <c r="CM61328" s="111"/>
      <c r="CQ61328" s="111"/>
      <c r="EF61328"/>
      <c r="EG61328"/>
      <c r="EH61328"/>
      <c r="EI61328"/>
      <c r="EJ61328"/>
      <c r="EK61328"/>
    </row>
    <row r="61329" spans="1:141" s="116" customFormat="1">
      <c r="A61329" s="136"/>
      <c r="CM61329" s="111"/>
      <c r="CQ61329" s="111"/>
      <c r="EF61329"/>
      <c r="EG61329"/>
      <c r="EH61329"/>
      <c r="EI61329"/>
      <c r="EJ61329"/>
      <c r="EK61329"/>
    </row>
    <row r="61330" spans="1:141" s="116" customFormat="1">
      <c r="A61330" s="136"/>
      <c r="CM61330" s="111"/>
      <c r="CQ61330" s="111"/>
      <c r="EF61330"/>
      <c r="EG61330"/>
      <c r="EH61330"/>
      <c r="EI61330"/>
      <c r="EJ61330"/>
      <c r="EK61330"/>
    </row>
    <row r="61331" spans="1:141" s="116" customFormat="1">
      <c r="A61331" s="136"/>
      <c r="CM61331" s="111"/>
      <c r="CQ61331" s="111"/>
      <c r="EF61331"/>
      <c r="EG61331"/>
      <c r="EH61331"/>
      <c r="EI61331"/>
      <c r="EJ61331"/>
      <c r="EK61331"/>
    </row>
    <row r="61332" spans="1:141" s="116" customFormat="1">
      <c r="A61332" s="136"/>
      <c r="CM61332" s="111"/>
      <c r="CQ61332" s="111"/>
      <c r="EF61332"/>
      <c r="EG61332"/>
      <c r="EH61332"/>
      <c r="EI61332"/>
      <c r="EJ61332"/>
      <c r="EK61332"/>
    </row>
    <row r="61333" spans="1:141" s="116" customFormat="1">
      <c r="A61333" s="136"/>
      <c r="CM61333" s="111"/>
      <c r="CQ61333" s="111"/>
      <c r="EF61333"/>
      <c r="EG61333"/>
      <c r="EH61333"/>
      <c r="EI61333"/>
      <c r="EJ61333"/>
      <c r="EK61333"/>
    </row>
    <row r="61334" spans="1:141" s="116" customFormat="1">
      <c r="A61334" s="136"/>
      <c r="CM61334" s="111"/>
      <c r="CQ61334" s="111"/>
      <c r="EF61334"/>
      <c r="EG61334"/>
      <c r="EH61334"/>
      <c r="EI61334"/>
      <c r="EJ61334"/>
      <c r="EK61334"/>
    </row>
    <row r="61335" spans="1:141" s="116" customFormat="1">
      <c r="A61335" s="136"/>
      <c r="CM61335" s="111"/>
      <c r="CQ61335" s="111"/>
      <c r="EF61335"/>
      <c r="EG61335"/>
      <c r="EH61335"/>
      <c r="EI61335"/>
      <c r="EJ61335"/>
      <c r="EK61335"/>
    </row>
    <row r="61336" spans="1:141" s="116" customFormat="1">
      <c r="A61336" s="136"/>
      <c r="CM61336" s="111"/>
      <c r="CQ61336" s="111"/>
      <c r="EF61336"/>
      <c r="EG61336"/>
      <c r="EH61336"/>
      <c r="EI61336"/>
      <c r="EJ61336"/>
      <c r="EK61336"/>
    </row>
    <row r="61337" spans="1:141" s="116" customFormat="1">
      <c r="A61337" s="136"/>
      <c r="CM61337" s="111"/>
      <c r="CQ61337" s="111"/>
      <c r="EF61337"/>
      <c r="EG61337"/>
      <c r="EH61337"/>
      <c r="EI61337"/>
      <c r="EJ61337"/>
      <c r="EK61337"/>
    </row>
    <row r="61338" spans="1:141" s="116" customFormat="1">
      <c r="A61338" s="136"/>
      <c r="CM61338" s="111"/>
      <c r="CQ61338" s="111"/>
      <c r="EF61338"/>
      <c r="EG61338"/>
      <c r="EH61338"/>
      <c r="EI61338"/>
      <c r="EJ61338"/>
      <c r="EK61338"/>
    </row>
    <row r="61339" spans="1:141" s="116" customFormat="1">
      <c r="A61339" s="136"/>
      <c r="CM61339" s="111"/>
      <c r="CQ61339" s="111"/>
      <c r="EF61339"/>
      <c r="EG61339"/>
      <c r="EH61339"/>
      <c r="EI61339"/>
      <c r="EJ61339"/>
      <c r="EK61339"/>
    </row>
    <row r="61340" spans="1:141" s="116" customFormat="1">
      <c r="A61340" s="136"/>
      <c r="CM61340" s="111"/>
      <c r="CQ61340" s="111"/>
      <c r="EF61340"/>
      <c r="EG61340"/>
      <c r="EH61340"/>
      <c r="EI61340"/>
      <c r="EJ61340"/>
      <c r="EK61340"/>
    </row>
    <row r="61341" spans="1:141" s="116" customFormat="1">
      <c r="A61341" s="136"/>
      <c r="CM61341" s="111"/>
      <c r="CQ61341" s="111"/>
      <c r="EF61341"/>
      <c r="EG61341"/>
      <c r="EH61341"/>
      <c r="EI61341"/>
      <c r="EJ61341"/>
      <c r="EK61341"/>
    </row>
    <row r="61342" spans="1:141" s="116" customFormat="1">
      <c r="A61342" s="136"/>
      <c r="CM61342" s="111"/>
      <c r="CQ61342" s="111"/>
      <c r="EF61342"/>
      <c r="EG61342"/>
      <c r="EH61342"/>
      <c r="EI61342"/>
      <c r="EJ61342"/>
      <c r="EK61342"/>
    </row>
    <row r="61343" spans="1:141" s="116" customFormat="1">
      <c r="A61343" s="136"/>
      <c r="CM61343" s="111"/>
      <c r="CQ61343" s="111"/>
      <c r="EF61343"/>
      <c r="EG61343"/>
      <c r="EH61343"/>
      <c r="EI61343"/>
      <c r="EJ61343"/>
      <c r="EK61343"/>
    </row>
    <row r="61344" spans="1:141" s="116" customFormat="1">
      <c r="A61344" s="136"/>
      <c r="CM61344" s="111"/>
      <c r="CQ61344" s="111"/>
      <c r="EF61344"/>
      <c r="EG61344"/>
      <c r="EH61344"/>
      <c r="EI61344"/>
      <c r="EJ61344"/>
      <c r="EK61344"/>
    </row>
    <row r="61345" spans="1:141" s="116" customFormat="1">
      <c r="A61345" s="136"/>
      <c r="CM61345" s="111"/>
      <c r="CQ61345" s="111"/>
      <c r="EF61345"/>
      <c r="EG61345"/>
      <c r="EH61345"/>
      <c r="EI61345"/>
      <c r="EJ61345"/>
      <c r="EK61345"/>
    </row>
    <row r="61346" spans="1:141" s="116" customFormat="1">
      <c r="A61346" s="136"/>
      <c r="CM61346" s="111"/>
      <c r="CQ61346" s="111"/>
      <c r="EF61346"/>
      <c r="EG61346"/>
      <c r="EH61346"/>
      <c r="EI61346"/>
      <c r="EJ61346"/>
      <c r="EK61346"/>
    </row>
    <row r="61347" spans="1:141" s="116" customFormat="1">
      <c r="A61347" s="136"/>
      <c r="CM61347" s="111"/>
      <c r="CQ61347" s="111"/>
      <c r="EF61347"/>
      <c r="EG61347"/>
      <c r="EH61347"/>
      <c r="EI61347"/>
      <c r="EJ61347"/>
      <c r="EK61347"/>
    </row>
    <row r="61348" spans="1:141" s="116" customFormat="1">
      <c r="A61348" s="136"/>
      <c r="CM61348" s="111"/>
      <c r="CQ61348" s="111"/>
      <c r="EF61348"/>
      <c r="EG61348"/>
      <c r="EH61348"/>
      <c r="EI61348"/>
      <c r="EJ61348"/>
      <c r="EK61348"/>
    </row>
    <row r="61349" spans="1:141" s="116" customFormat="1">
      <c r="A61349" s="136"/>
      <c r="CM61349" s="111"/>
      <c r="CQ61349" s="111"/>
      <c r="EF61349"/>
      <c r="EG61349"/>
      <c r="EH61349"/>
      <c r="EI61349"/>
      <c r="EJ61349"/>
      <c r="EK61349"/>
    </row>
    <row r="61350" spans="1:141" s="116" customFormat="1">
      <c r="A61350" s="136"/>
      <c r="CM61350" s="111"/>
      <c r="CQ61350" s="111"/>
      <c r="EF61350"/>
      <c r="EG61350"/>
      <c r="EH61350"/>
      <c r="EI61350"/>
      <c r="EJ61350"/>
      <c r="EK61350"/>
    </row>
    <row r="61351" spans="1:141" s="116" customFormat="1">
      <c r="A61351" s="136"/>
      <c r="CM61351" s="111"/>
      <c r="CQ61351" s="111"/>
      <c r="EF61351"/>
      <c r="EG61351"/>
      <c r="EH61351"/>
      <c r="EI61351"/>
      <c r="EJ61351"/>
      <c r="EK61351"/>
    </row>
    <row r="61352" spans="1:141" s="116" customFormat="1">
      <c r="A61352" s="136"/>
      <c r="CM61352" s="111"/>
      <c r="CQ61352" s="111"/>
      <c r="EF61352"/>
      <c r="EG61352"/>
      <c r="EH61352"/>
      <c r="EI61352"/>
      <c r="EJ61352"/>
      <c r="EK61352"/>
    </row>
    <row r="61353" spans="1:141" s="116" customFormat="1">
      <c r="A61353" s="136"/>
      <c r="CM61353" s="111"/>
      <c r="CQ61353" s="111"/>
      <c r="EF61353"/>
      <c r="EG61353"/>
      <c r="EH61353"/>
      <c r="EI61353"/>
      <c r="EJ61353"/>
      <c r="EK61353"/>
    </row>
    <row r="61354" spans="1:141" s="116" customFormat="1">
      <c r="A61354" s="136"/>
      <c r="CM61354" s="111"/>
      <c r="CQ61354" s="111"/>
      <c r="EF61354"/>
      <c r="EG61354"/>
      <c r="EH61354"/>
      <c r="EI61354"/>
      <c r="EJ61354"/>
      <c r="EK61354"/>
    </row>
    <row r="61355" spans="1:141" s="116" customFormat="1">
      <c r="A61355" s="136"/>
      <c r="CM61355" s="111"/>
      <c r="CQ61355" s="111"/>
      <c r="EF61355"/>
      <c r="EG61355"/>
      <c r="EH61355"/>
      <c r="EI61355"/>
      <c r="EJ61355"/>
      <c r="EK61355"/>
    </row>
    <row r="61356" spans="1:141" s="116" customFormat="1">
      <c r="A61356" s="136"/>
      <c r="CM61356" s="111"/>
      <c r="CQ61356" s="111"/>
      <c r="EF61356"/>
      <c r="EG61356"/>
      <c r="EH61356"/>
      <c r="EI61356"/>
      <c r="EJ61356"/>
      <c r="EK61356"/>
    </row>
    <row r="61357" spans="1:141" s="116" customFormat="1">
      <c r="A61357" s="136"/>
      <c r="CM61357" s="111"/>
      <c r="CQ61357" s="111"/>
      <c r="EF61357"/>
      <c r="EG61357"/>
      <c r="EH61357"/>
      <c r="EI61357"/>
      <c r="EJ61357"/>
      <c r="EK61357"/>
    </row>
    <row r="61358" spans="1:141" s="116" customFormat="1">
      <c r="A61358" s="136"/>
      <c r="CM61358" s="111"/>
      <c r="CQ61358" s="111"/>
      <c r="EF61358"/>
      <c r="EG61358"/>
      <c r="EH61358"/>
      <c r="EI61358"/>
      <c r="EJ61358"/>
      <c r="EK61358"/>
    </row>
    <row r="61359" spans="1:141" s="116" customFormat="1">
      <c r="A61359" s="136"/>
      <c r="CM61359" s="111"/>
      <c r="CQ61359" s="111"/>
      <c r="EF61359"/>
      <c r="EG61359"/>
      <c r="EH61359"/>
      <c r="EI61359"/>
      <c r="EJ61359"/>
      <c r="EK61359"/>
    </row>
    <row r="61360" spans="1:141" s="116" customFormat="1">
      <c r="A61360" s="136"/>
      <c r="CM61360" s="111"/>
      <c r="CQ61360" s="111"/>
      <c r="EF61360"/>
      <c r="EG61360"/>
      <c r="EH61360"/>
      <c r="EI61360"/>
      <c r="EJ61360"/>
      <c r="EK61360"/>
    </row>
    <row r="61361" spans="1:141" s="116" customFormat="1">
      <c r="A61361" s="136"/>
      <c r="CM61361" s="111"/>
      <c r="CQ61361" s="111"/>
      <c r="EF61361"/>
      <c r="EG61361"/>
      <c r="EH61361"/>
      <c r="EI61361"/>
      <c r="EJ61361"/>
      <c r="EK61361"/>
    </row>
    <row r="61362" spans="1:141" s="116" customFormat="1">
      <c r="A61362" s="136"/>
      <c r="CM61362" s="111"/>
      <c r="CQ61362" s="111"/>
      <c r="EF61362"/>
      <c r="EG61362"/>
      <c r="EH61362"/>
      <c r="EI61362"/>
      <c r="EJ61362"/>
      <c r="EK61362"/>
    </row>
    <row r="61363" spans="1:141" s="116" customFormat="1">
      <c r="A61363" s="136"/>
      <c r="CM61363" s="111"/>
      <c r="CQ61363" s="111"/>
      <c r="EF61363"/>
      <c r="EG61363"/>
      <c r="EH61363"/>
      <c r="EI61363"/>
      <c r="EJ61363"/>
      <c r="EK61363"/>
    </row>
    <row r="61364" spans="1:141" s="116" customFormat="1">
      <c r="A61364" s="136"/>
      <c r="CM61364" s="111"/>
      <c r="CQ61364" s="111"/>
      <c r="EF61364"/>
      <c r="EG61364"/>
      <c r="EH61364"/>
      <c r="EI61364"/>
      <c r="EJ61364"/>
      <c r="EK61364"/>
    </row>
    <row r="61365" spans="1:141" s="116" customFormat="1">
      <c r="A61365" s="136"/>
      <c r="CM61365" s="111"/>
      <c r="CQ61365" s="111"/>
      <c r="EF61365"/>
      <c r="EG61365"/>
      <c r="EH61365"/>
      <c r="EI61365"/>
      <c r="EJ61365"/>
      <c r="EK61365"/>
    </row>
    <row r="61366" spans="1:141" s="116" customFormat="1">
      <c r="A61366" s="136"/>
      <c r="CM61366" s="111"/>
      <c r="CQ61366" s="111"/>
      <c r="EF61366"/>
      <c r="EG61366"/>
      <c r="EH61366"/>
      <c r="EI61366"/>
      <c r="EJ61366"/>
      <c r="EK61366"/>
    </row>
    <row r="61367" spans="1:141" s="116" customFormat="1">
      <c r="A61367" s="136"/>
      <c r="CM61367" s="111"/>
      <c r="CQ61367" s="111"/>
      <c r="EF61367"/>
      <c r="EG61367"/>
      <c r="EH61367"/>
      <c r="EI61367"/>
      <c r="EJ61367"/>
      <c r="EK61367"/>
    </row>
    <row r="61368" spans="1:141" s="116" customFormat="1">
      <c r="A61368" s="136"/>
      <c r="CM61368" s="111"/>
      <c r="CQ61368" s="111"/>
      <c r="EF61368"/>
      <c r="EG61368"/>
      <c r="EH61368"/>
      <c r="EI61368"/>
      <c r="EJ61368"/>
      <c r="EK61368"/>
    </row>
    <row r="61369" spans="1:141" s="116" customFormat="1">
      <c r="A61369" s="136"/>
      <c r="CM61369" s="111"/>
      <c r="CQ61369" s="111"/>
      <c r="EF61369"/>
      <c r="EG61369"/>
      <c r="EH61369"/>
      <c r="EI61369"/>
      <c r="EJ61369"/>
      <c r="EK61369"/>
    </row>
    <row r="61370" spans="1:141" s="116" customFormat="1">
      <c r="A61370" s="136"/>
      <c r="CM61370" s="111"/>
      <c r="CQ61370" s="111"/>
      <c r="EF61370"/>
      <c r="EG61370"/>
      <c r="EH61370"/>
      <c r="EI61370"/>
      <c r="EJ61370"/>
      <c r="EK61370"/>
    </row>
    <row r="61371" spans="1:141" s="116" customFormat="1">
      <c r="A61371" s="136"/>
      <c r="CM61371" s="111"/>
      <c r="CQ61371" s="111"/>
      <c r="EF61371"/>
      <c r="EG61371"/>
      <c r="EH61371"/>
      <c r="EI61371"/>
      <c r="EJ61371"/>
      <c r="EK61371"/>
    </row>
    <row r="61372" spans="1:141" s="116" customFormat="1">
      <c r="A61372" s="136"/>
      <c r="CM61372" s="111"/>
      <c r="CQ61372" s="111"/>
      <c r="EF61372"/>
      <c r="EG61372"/>
      <c r="EH61372"/>
      <c r="EI61372"/>
      <c r="EJ61372"/>
      <c r="EK61372"/>
    </row>
    <row r="61373" spans="1:141" s="116" customFormat="1">
      <c r="A61373" s="136"/>
      <c r="CM61373" s="111"/>
      <c r="CQ61373" s="111"/>
      <c r="EF61373"/>
      <c r="EG61373"/>
      <c r="EH61373"/>
      <c r="EI61373"/>
      <c r="EJ61373"/>
      <c r="EK61373"/>
    </row>
    <row r="61374" spans="1:141" s="116" customFormat="1">
      <c r="A61374" s="136"/>
      <c r="CM61374" s="111"/>
      <c r="CQ61374" s="111"/>
      <c r="EF61374"/>
      <c r="EG61374"/>
      <c r="EH61374"/>
      <c r="EI61374"/>
      <c r="EJ61374"/>
      <c r="EK61374"/>
    </row>
    <row r="61375" spans="1:141" s="116" customFormat="1">
      <c r="A61375" s="136"/>
      <c r="CM61375" s="111"/>
      <c r="CQ61375" s="111"/>
      <c r="EF61375"/>
      <c r="EG61375"/>
      <c r="EH61375"/>
      <c r="EI61375"/>
      <c r="EJ61375"/>
      <c r="EK61375"/>
    </row>
    <row r="61376" spans="1:141" s="116" customFormat="1">
      <c r="A61376" s="136"/>
      <c r="CM61376" s="111"/>
      <c r="CQ61376" s="111"/>
      <c r="EF61376"/>
      <c r="EG61376"/>
      <c r="EH61376"/>
      <c r="EI61376"/>
      <c r="EJ61376"/>
      <c r="EK61376"/>
    </row>
    <row r="61377" spans="1:141" s="116" customFormat="1">
      <c r="A61377" s="136"/>
      <c r="CM61377" s="111"/>
      <c r="CQ61377" s="111"/>
      <c r="EF61377"/>
      <c r="EG61377"/>
      <c r="EH61377"/>
      <c r="EI61377"/>
      <c r="EJ61377"/>
      <c r="EK61377"/>
    </row>
    <row r="61378" spans="1:141" s="116" customFormat="1">
      <c r="A61378" s="136"/>
      <c r="CM61378" s="111"/>
      <c r="CQ61378" s="111"/>
      <c r="EF61378"/>
      <c r="EG61378"/>
      <c r="EH61378"/>
      <c r="EI61378"/>
      <c r="EJ61378"/>
      <c r="EK61378"/>
    </row>
    <row r="61379" spans="1:141" s="116" customFormat="1">
      <c r="A61379" s="136"/>
      <c r="CM61379" s="111"/>
      <c r="CQ61379" s="111"/>
      <c r="EF61379"/>
      <c r="EG61379"/>
      <c r="EH61379"/>
      <c r="EI61379"/>
      <c r="EJ61379"/>
      <c r="EK61379"/>
    </row>
    <row r="61380" spans="1:141" s="116" customFormat="1">
      <c r="A61380" s="136"/>
      <c r="CM61380" s="111"/>
      <c r="CQ61380" s="111"/>
      <c r="EF61380"/>
      <c r="EG61380"/>
      <c r="EH61380"/>
      <c r="EI61380"/>
      <c r="EJ61380"/>
      <c r="EK61380"/>
    </row>
    <row r="61381" spans="1:141" s="116" customFormat="1">
      <c r="A61381" s="136"/>
      <c r="CM61381" s="111"/>
      <c r="CQ61381" s="111"/>
      <c r="EF61381"/>
      <c r="EG61381"/>
      <c r="EH61381"/>
      <c r="EI61381"/>
      <c r="EJ61381"/>
      <c r="EK61381"/>
    </row>
    <row r="61382" spans="1:141" s="116" customFormat="1">
      <c r="A61382" s="136"/>
      <c r="CM61382" s="111"/>
      <c r="CQ61382" s="111"/>
      <c r="EF61382"/>
      <c r="EG61382"/>
      <c r="EH61382"/>
      <c r="EI61382"/>
      <c r="EJ61382"/>
      <c r="EK61382"/>
    </row>
    <row r="61383" spans="1:141" s="116" customFormat="1">
      <c r="A61383" s="136"/>
      <c r="CM61383" s="111"/>
      <c r="CQ61383" s="111"/>
      <c r="EF61383"/>
      <c r="EG61383"/>
      <c r="EH61383"/>
      <c r="EI61383"/>
      <c r="EJ61383"/>
      <c r="EK61383"/>
    </row>
    <row r="61384" spans="1:141" s="116" customFormat="1">
      <c r="A61384" s="136"/>
      <c r="CM61384" s="111"/>
      <c r="CQ61384" s="111"/>
      <c r="EF61384"/>
      <c r="EG61384"/>
      <c r="EH61384"/>
      <c r="EI61384"/>
      <c r="EJ61384"/>
      <c r="EK61384"/>
    </row>
    <row r="61385" spans="1:141" s="116" customFormat="1">
      <c r="A61385" s="136"/>
      <c r="CM61385" s="111"/>
      <c r="CQ61385" s="111"/>
      <c r="EF61385"/>
      <c r="EG61385"/>
      <c r="EH61385"/>
      <c r="EI61385"/>
      <c r="EJ61385"/>
      <c r="EK61385"/>
    </row>
    <row r="61386" spans="1:141" s="116" customFormat="1">
      <c r="A61386" s="136"/>
      <c r="CM61386" s="111"/>
      <c r="CQ61386" s="111"/>
      <c r="EF61386"/>
      <c r="EG61386"/>
      <c r="EH61386"/>
      <c r="EI61386"/>
      <c r="EJ61386"/>
      <c r="EK61386"/>
    </row>
    <row r="61387" spans="1:141" s="116" customFormat="1">
      <c r="A61387" s="136"/>
      <c r="CM61387" s="111"/>
      <c r="CQ61387" s="111"/>
      <c r="EF61387"/>
      <c r="EG61387"/>
      <c r="EH61387"/>
      <c r="EI61387"/>
      <c r="EJ61387"/>
      <c r="EK61387"/>
    </row>
    <row r="61388" spans="1:141" s="116" customFormat="1">
      <c r="A61388" s="136"/>
      <c r="CM61388" s="111"/>
      <c r="CQ61388" s="111"/>
      <c r="EF61388"/>
      <c r="EG61388"/>
      <c r="EH61388"/>
      <c r="EI61388"/>
      <c r="EJ61388"/>
      <c r="EK61388"/>
    </row>
    <row r="61389" spans="1:141" s="116" customFormat="1">
      <c r="A61389" s="136"/>
      <c r="CM61389" s="111"/>
      <c r="CQ61389" s="111"/>
      <c r="EF61389"/>
      <c r="EG61389"/>
      <c r="EH61389"/>
      <c r="EI61389"/>
      <c r="EJ61389"/>
      <c r="EK61389"/>
    </row>
    <row r="61390" spans="1:141" s="116" customFormat="1">
      <c r="A61390" s="136"/>
      <c r="CM61390" s="111"/>
      <c r="CQ61390" s="111"/>
      <c r="EF61390"/>
      <c r="EG61390"/>
      <c r="EH61390"/>
      <c r="EI61390"/>
      <c r="EJ61390"/>
      <c r="EK61390"/>
    </row>
    <row r="61391" spans="1:141" s="116" customFormat="1">
      <c r="A61391" s="136"/>
      <c r="CM61391" s="111"/>
      <c r="CQ61391" s="111"/>
      <c r="EF61391"/>
      <c r="EG61391"/>
      <c r="EH61391"/>
      <c r="EI61391"/>
      <c r="EJ61391"/>
      <c r="EK61391"/>
    </row>
    <row r="61392" spans="1:141" s="116" customFormat="1">
      <c r="A61392" s="136"/>
      <c r="CM61392" s="111"/>
      <c r="CQ61392" s="111"/>
      <c r="EF61392"/>
      <c r="EG61392"/>
      <c r="EH61392"/>
      <c r="EI61392"/>
      <c r="EJ61392"/>
      <c r="EK61392"/>
    </row>
    <row r="61393" spans="1:141" s="116" customFormat="1">
      <c r="A61393" s="136"/>
      <c r="CM61393" s="111"/>
      <c r="CQ61393" s="111"/>
      <c r="EF61393"/>
      <c r="EG61393"/>
      <c r="EH61393"/>
      <c r="EI61393"/>
      <c r="EJ61393"/>
      <c r="EK61393"/>
    </row>
    <row r="61394" spans="1:141" s="116" customFormat="1">
      <c r="A61394" s="136"/>
      <c r="CM61394" s="111"/>
      <c r="CQ61394" s="111"/>
      <c r="EF61394"/>
      <c r="EG61394"/>
      <c r="EH61394"/>
      <c r="EI61394"/>
      <c r="EJ61394"/>
      <c r="EK61394"/>
    </row>
    <row r="61395" spans="1:141" s="116" customFormat="1">
      <c r="A61395" s="136"/>
      <c r="CM61395" s="111"/>
      <c r="CQ61395" s="111"/>
      <c r="EF61395"/>
      <c r="EG61395"/>
      <c r="EH61395"/>
      <c r="EI61395"/>
      <c r="EJ61395"/>
      <c r="EK61395"/>
    </row>
    <row r="61396" spans="1:141" s="116" customFormat="1">
      <c r="A61396" s="136"/>
      <c r="CM61396" s="111"/>
      <c r="CQ61396" s="111"/>
      <c r="EF61396"/>
      <c r="EG61396"/>
      <c r="EH61396"/>
      <c r="EI61396"/>
      <c r="EJ61396"/>
      <c r="EK61396"/>
    </row>
    <row r="61397" spans="1:141" s="116" customFormat="1">
      <c r="A61397" s="136"/>
      <c r="CM61397" s="111"/>
      <c r="CQ61397" s="111"/>
      <c r="EF61397"/>
      <c r="EG61397"/>
      <c r="EH61397"/>
      <c r="EI61397"/>
      <c r="EJ61397"/>
      <c r="EK61397"/>
    </row>
    <row r="61398" spans="1:141" s="116" customFormat="1">
      <c r="A61398" s="136"/>
      <c r="CM61398" s="111"/>
      <c r="CQ61398" s="111"/>
      <c r="EF61398"/>
      <c r="EG61398"/>
      <c r="EH61398"/>
      <c r="EI61398"/>
      <c r="EJ61398"/>
      <c r="EK61398"/>
    </row>
    <row r="61399" spans="1:141" s="116" customFormat="1">
      <c r="A61399" s="136"/>
      <c r="CM61399" s="111"/>
      <c r="CQ61399" s="111"/>
      <c r="EF61399"/>
      <c r="EG61399"/>
      <c r="EH61399"/>
      <c r="EI61399"/>
      <c r="EJ61399"/>
      <c r="EK61399"/>
    </row>
    <row r="61400" spans="1:141" s="116" customFormat="1">
      <c r="A61400" s="136"/>
      <c r="CM61400" s="111"/>
      <c r="CQ61400" s="111"/>
      <c r="EF61400"/>
      <c r="EG61400"/>
      <c r="EH61400"/>
      <c r="EI61400"/>
      <c r="EJ61400"/>
      <c r="EK61400"/>
    </row>
    <row r="61401" spans="1:141" s="116" customFormat="1">
      <c r="A61401" s="136"/>
      <c r="CM61401" s="111"/>
      <c r="CQ61401" s="111"/>
      <c r="EF61401"/>
      <c r="EG61401"/>
      <c r="EH61401"/>
      <c r="EI61401"/>
      <c r="EJ61401"/>
      <c r="EK61401"/>
    </row>
    <row r="61402" spans="1:141" s="116" customFormat="1">
      <c r="A61402" s="136"/>
      <c r="CM61402" s="111"/>
      <c r="CQ61402" s="111"/>
      <c r="EF61402"/>
      <c r="EG61402"/>
      <c r="EH61402"/>
      <c r="EI61402"/>
      <c r="EJ61402"/>
      <c r="EK61402"/>
    </row>
    <row r="61403" spans="1:141" s="116" customFormat="1">
      <c r="A61403" s="136"/>
      <c r="CM61403" s="111"/>
      <c r="CQ61403" s="111"/>
      <c r="EF61403"/>
      <c r="EG61403"/>
      <c r="EH61403"/>
      <c r="EI61403"/>
      <c r="EJ61403"/>
      <c r="EK61403"/>
    </row>
    <row r="61404" spans="1:141" s="116" customFormat="1">
      <c r="A61404" s="136"/>
      <c r="CM61404" s="111"/>
      <c r="CQ61404" s="111"/>
      <c r="EF61404"/>
      <c r="EG61404"/>
      <c r="EH61404"/>
      <c r="EI61404"/>
      <c r="EJ61404"/>
      <c r="EK61404"/>
    </row>
    <row r="61405" spans="1:141" s="116" customFormat="1">
      <c r="A61405" s="136"/>
      <c r="CM61405" s="111"/>
      <c r="CQ61405" s="111"/>
      <c r="EF61405"/>
      <c r="EG61405"/>
      <c r="EH61405"/>
      <c r="EI61405"/>
      <c r="EJ61405"/>
      <c r="EK61405"/>
    </row>
    <row r="61406" spans="1:141" s="116" customFormat="1">
      <c r="A61406" s="136"/>
      <c r="CM61406" s="111"/>
      <c r="CQ61406" s="111"/>
      <c r="EF61406"/>
      <c r="EG61406"/>
      <c r="EH61406"/>
      <c r="EI61406"/>
      <c r="EJ61406"/>
      <c r="EK61406"/>
    </row>
    <row r="61407" spans="1:141" s="116" customFormat="1">
      <c r="A61407" s="136"/>
      <c r="CM61407" s="111"/>
      <c r="CQ61407" s="111"/>
      <c r="EF61407"/>
      <c r="EG61407"/>
      <c r="EH61407"/>
      <c r="EI61407"/>
      <c r="EJ61407"/>
      <c r="EK61407"/>
    </row>
    <row r="61408" spans="1:141" s="116" customFormat="1">
      <c r="A61408" s="136"/>
      <c r="CM61408" s="111"/>
      <c r="CQ61408" s="111"/>
      <c r="EF61408"/>
      <c r="EG61408"/>
      <c r="EH61408"/>
      <c r="EI61408"/>
      <c r="EJ61408"/>
      <c r="EK61408"/>
    </row>
    <row r="61409" spans="1:141" s="116" customFormat="1">
      <c r="A61409" s="136"/>
      <c r="CM61409" s="111"/>
      <c r="CQ61409" s="111"/>
      <c r="EF61409"/>
      <c r="EG61409"/>
      <c r="EH61409"/>
      <c r="EI61409"/>
      <c r="EJ61409"/>
      <c r="EK61409"/>
    </row>
    <row r="61410" spans="1:141" s="116" customFormat="1">
      <c r="A61410" s="136"/>
      <c r="CM61410" s="111"/>
      <c r="CQ61410" s="111"/>
      <c r="EF61410"/>
      <c r="EG61410"/>
      <c r="EH61410"/>
      <c r="EI61410"/>
      <c r="EJ61410"/>
      <c r="EK61410"/>
    </row>
    <row r="61411" spans="1:141" s="116" customFormat="1">
      <c r="A61411" s="136"/>
      <c r="CM61411" s="111"/>
      <c r="CQ61411" s="111"/>
      <c r="EF61411"/>
      <c r="EG61411"/>
      <c r="EH61411"/>
      <c r="EI61411"/>
      <c r="EJ61411"/>
      <c r="EK61411"/>
    </row>
    <row r="61412" spans="1:141" s="116" customFormat="1">
      <c r="A61412" s="136"/>
      <c r="CM61412" s="111"/>
      <c r="CQ61412" s="111"/>
      <c r="EF61412"/>
      <c r="EG61412"/>
      <c r="EH61412"/>
      <c r="EI61412"/>
      <c r="EJ61412"/>
      <c r="EK61412"/>
    </row>
    <row r="61413" spans="1:141" s="116" customFormat="1">
      <c r="A61413" s="136"/>
      <c r="CM61413" s="111"/>
      <c r="CQ61413" s="111"/>
      <c r="EF61413"/>
      <c r="EG61413"/>
      <c r="EH61413"/>
      <c r="EI61413"/>
      <c r="EJ61413"/>
      <c r="EK61413"/>
    </row>
    <row r="61414" spans="1:141" s="116" customFormat="1">
      <c r="A61414" s="136"/>
      <c r="CM61414" s="111"/>
      <c r="CQ61414" s="111"/>
      <c r="EF61414"/>
      <c r="EG61414"/>
      <c r="EH61414"/>
      <c r="EI61414"/>
      <c r="EJ61414"/>
      <c r="EK61414"/>
    </row>
    <row r="61415" spans="1:141" s="116" customFormat="1">
      <c r="A61415" s="136"/>
      <c r="CM61415" s="111"/>
      <c r="CQ61415" s="111"/>
      <c r="EF61415"/>
      <c r="EG61415"/>
      <c r="EH61415"/>
      <c r="EI61415"/>
      <c r="EJ61415"/>
      <c r="EK61415"/>
    </row>
    <row r="61416" spans="1:141" s="116" customFormat="1">
      <c r="A61416" s="136"/>
      <c r="CM61416" s="111"/>
      <c r="CQ61416" s="111"/>
      <c r="EF61416"/>
      <c r="EG61416"/>
      <c r="EH61416"/>
      <c r="EI61416"/>
      <c r="EJ61416"/>
      <c r="EK61416"/>
    </row>
    <row r="61417" spans="1:141" s="116" customFormat="1">
      <c r="A61417" s="136"/>
      <c r="CM61417" s="111"/>
      <c r="CQ61417" s="111"/>
      <c r="EF61417"/>
      <c r="EG61417"/>
      <c r="EH61417"/>
      <c r="EI61417"/>
      <c r="EJ61417"/>
      <c r="EK61417"/>
    </row>
    <row r="61418" spans="1:141" s="116" customFormat="1">
      <c r="A61418" s="136"/>
      <c r="CM61418" s="111"/>
      <c r="CQ61418" s="111"/>
      <c r="EF61418"/>
      <c r="EG61418"/>
      <c r="EH61418"/>
      <c r="EI61418"/>
      <c r="EJ61418"/>
      <c r="EK61418"/>
    </row>
    <row r="61419" spans="1:141" s="116" customFormat="1">
      <c r="A61419" s="136"/>
      <c r="CM61419" s="111"/>
      <c r="CQ61419" s="111"/>
      <c r="EF61419"/>
      <c r="EG61419"/>
      <c r="EH61419"/>
      <c r="EI61419"/>
      <c r="EJ61419"/>
      <c r="EK61419"/>
    </row>
    <row r="61420" spans="1:141" s="116" customFormat="1">
      <c r="A61420" s="136"/>
      <c r="CM61420" s="111"/>
      <c r="CQ61420" s="111"/>
      <c r="EF61420"/>
      <c r="EG61420"/>
      <c r="EH61420"/>
      <c r="EI61420"/>
      <c r="EJ61420"/>
      <c r="EK61420"/>
    </row>
    <row r="61421" spans="1:141" s="116" customFormat="1">
      <c r="A61421" s="136"/>
      <c r="CM61421" s="111"/>
      <c r="CQ61421" s="111"/>
      <c r="EF61421"/>
      <c r="EG61421"/>
      <c r="EH61421"/>
      <c r="EI61421"/>
      <c r="EJ61421"/>
      <c r="EK61421"/>
    </row>
    <row r="61422" spans="1:141" s="116" customFormat="1">
      <c r="A61422" s="136"/>
      <c r="CM61422" s="111"/>
      <c r="CQ61422" s="111"/>
      <c r="EF61422"/>
      <c r="EG61422"/>
      <c r="EH61422"/>
      <c r="EI61422"/>
      <c r="EJ61422"/>
      <c r="EK61422"/>
    </row>
    <row r="61423" spans="1:141" s="116" customFormat="1">
      <c r="A61423" s="136"/>
      <c r="CM61423" s="111"/>
      <c r="CQ61423" s="111"/>
      <c r="EF61423"/>
      <c r="EG61423"/>
      <c r="EH61423"/>
      <c r="EI61423"/>
      <c r="EJ61423"/>
      <c r="EK61423"/>
    </row>
    <row r="61424" spans="1:141" s="116" customFormat="1">
      <c r="A61424" s="136"/>
      <c r="CM61424" s="111"/>
      <c r="CQ61424" s="111"/>
      <c r="EF61424"/>
      <c r="EG61424"/>
      <c r="EH61424"/>
      <c r="EI61424"/>
      <c r="EJ61424"/>
      <c r="EK61424"/>
    </row>
    <row r="61425" spans="1:141" s="116" customFormat="1">
      <c r="A61425" s="136"/>
      <c r="CM61425" s="111"/>
      <c r="CQ61425" s="111"/>
      <c r="EF61425"/>
      <c r="EG61425"/>
      <c r="EH61425"/>
      <c r="EI61425"/>
      <c r="EJ61425"/>
      <c r="EK61425"/>
    </row>
    <row r="61426" spans="1:141" s="116" customFormat="1">
      <c r="A61426" s="136"/>
      <c r="CM61426" s="111"/>
      <c r="CQ61426" s="111"/>
      <c r="EF61426"/>
      <c r="EG61426"/>
      <c r="EH61426"/>
      <c r="EI61426"/>
      <c r="EJ61426"/>
      <c r="EK61426"/>
    </row>
    <row r="61427" spans="1:141" s="116" customFormat="1">
      <c r="A61427" s="136"/>
      <c r="CM61427" s="111"/>
      <c r="CQ61427" s="111"/>
      <c r="EF61427"/>
      <c r="EG61427"/>
      <c r="EH61427"/>
      <c r="EI61427"/>
      <c r="EJ61427"/>
      <c r="EK61427"/>
    </row>
    <row r="61428" spans="1:141" s="116" customFormat="1">
      <c r="A61428" s="136"/>
      <c r="CM61428" s="111"/>
      <c r="CQ61428" s="111"/>
      <c r="EF61428"/>
      <c r="EG61428"/>
      <c r="EH61428"/>
      <c r="EI61428"/>
      <c r="EJ61428"/>
      <c r="EK61428"/>
    </row>
    <row r="61429" spans="1:141" s="116" customFormat="1">
      <c r="A61429" s="136"/>
      <c r="CM61429" s="111"/>
      <c r="CQ61429" s="111"/>
      <c r="EF61429"/>
      <c r="EG61429"/>
      <c r="EH61429"/>
      <c r="EI61429"/>
      <c r="EJ61429"/>
      <c r="EK61429"/>
    </row>
    <row r="61430" spans="1:141" s="116" customFormat="1">
      <c r="A61430" s="136"/>
      <c r="CM61430" s="111"/>
      <c r="CQ61430" s="111"/>
      <c r="EF61430"/>
      <c r="EG61430"/>
      <c r="EH61430"/>
      <c r="EI61430"/>
      <c r="EJ61430"/>
      <c r="EK61430"/>
    </row>
    <row r="61431" spans="1:141" s="116" customFormat="1">
      <c r="A61431" s="136"/>
      <c r="CM61431" s="111"/>
      <c r="CQ61431" s="111"/>
      <c r="EF61431"/>
      <c r="EG61431"/>
      <c r="EH61431"/>
      <c r="EI61431"/>
      <c r="EJ61431"/>
      <c r="EK61431"/>
    </row>
    <row r="61432" spans="1:141" s="116" customFormat="1">
      <c r="A61432" s="136"/>
      <c r="CM61432" s="111"/>
      <c r="CQ61432" s="111"/>
      <c r="EF61432"/>
      <c r="EG61432"/>
      <c r="EH61432"/>
      <c r="EI61432"/>
      <c r="EJ61432"/>
      <c r="EK61432"/>
    </row>
    <row r="61433" spans="1:141" s="116" customFormat="1">
      <c r="A61433" s="136"/>
      <c r="CM61433" s="111"/>
      <c r="CQ61433" s="111"/>
      <c r="EF61433"/>
      <c r="EG61433"/>
      <c r="EH61433"/>
      <c r="EI61433"/>
      <c r="EJ61433"/>
      <c r="EK61433"/>
    </row>
    <row r="61434" spans="1:141" s="116" customFormat="1">
      <c r="A61434" s="136"/>
      <c r="CM61434" s="111"/>
      <c r="CQ61434" s="111"/>
      <c r="EF61434"/>
      <c r="EG61434"/>
      <c r="EH61434"/>
      <c r="EI61434"/>
      <c r="EJ61434"/>
      <c r="EK61434"/>
    </row>
    <row r="61435" spans="1:141" s="116" customFormat="1">
      <c r="A61435" s="136"/>
      <c r="CM61435" s="111"/>
      <c r="CQ61435" s="111"/>
      <c r="EF61435"/>
      <c r="EG61435"/>
      <c r="EH61435"/>
      <c r="EI61435"/>
      <c r="EJ61435"/>
      <c r="EK61435"/>
    </row>
    <row r="61436" spans="1:141" s="116" customFormat="1">
      <c r="A61436" s="136"/>
      <c r="CM61436" s="111"/>
      <c r="CQ61436" s="111"/>
      <c r="EF61436"/>
      <c r="EG61436"/>
      <c r="EH61436"/>
      <c r="EI61436"/>
      <c r="EJ61436"/>
      <c r="EK61436"/>
    </row>
    <row r="61437" spans="1:141" s="116" customFormat="1">
      <c r="A61437" s="136"/>
      <c r="CM61437" s="111"/>
      <c r="CQ61437" s="111"/>
      <c r="EF61437"/>
      <c r="EG61437"/>
      <c r="EH61437"/>
      <c r="EI61437"/>
      <c r="EJ61437"/>
      <c r="EK61437"/>
    </row>
    <row r="61438" spans="1:141" s="116" customFormat="1">
      <c r="A61438" s="136"/>
      <c r="CM61438" s="111"/>
      <c r="CQ61438" s="111"/>
      <c r="EF61438"/>
      <c r="EG61438"/>
      <c r="EH61438"/>
      <c r="EI61438"/>
      <c r="EJ61438"/>
      <c r="EK61438"/>
    </row>
    <row r="61439" spans="1:141" s="116" customFormat="1">
      <c r="A61439" s="136"/>
      <c r="CM61439" s="111"/>
      <c r="CQ61439" s="111"/>
      <c r="EF61439"/>
      <c r="EG61439"/>
      <c r="EH61439"/>
      <c r="EI61439"/>
      <c r="EJ61439"/>
      <c r="EK61439"/>
    </row>
    <row r="61440" spans="1:141" s="116" customFormat="1">
      <c r="A61440" s="136"/>
      <c r="CM61440" s="111"/>
      <c r="CQ61440" s="111"/>
      <c r="EF61440"/>
      <c r="EG61440"/>
      <c r="EH61440"/>
      <c r="EI61440"/>
      <c r="EJ61440"/>
      <c r="EK61440"/>
    </row>
    <row r="61441" spans="1:141" s="116" customFormat="1">
      <c r="A61441" s="136"/>
      <c r="CM61441" s="111"/>
      <c r="CQ61441" s="111"/>
      <c r="EF61441"/>
      <c r="EG61441"/>
      <c r="EH61441"/>
      <c r="EI61441"/>
      <c r="EJ61441"/>
      <c r="EK61441"/>
    </row>
    <row r="61442" spans="1:141" s="116" customFormat="1">
      <c r="A61442" s="136"/>
      <c r="CM61442" s="111"/>
      <c r="CQ61442" s="111"/>
      <c r="EF61442"/>
      <c r="EG61442"/>
      <c r="EH61442"/>
      <c r="EI61442"/>
      <c r="EJ61442"/>
      <c r="EK61442"/>
    </row>
    <row r="61443" spans="1:141" s="116" customFormat="1">
      <c r="A61443" s="136"/>
      <c r="CM61443" s="111"/>
      <c r="CQ61443" s="111"/>
      <c r="EF61443"/>
      <c r="EG61443"/>
      <c r="EH61443"/>
      <c r="EI61443"/>
      <c r="EJ61443"/>
      <c r="EK61443"/>
    </row>
    <row r="61444" spans="1:141" s="116" customFormat="1">
      <c r="A61444" s="136"/>
      <c r="CM61444" s="111"/>
      <c r="CQ61444" s="111"/>
      <c r="EF61444"/>
      <c r="EG61444"/>
      <c r="EH61444"/>
      <c r="EI61444"/>
      <c r="EJ61444"/>
      <c r="EK61444"/>
    </row>
    <row r="61445" spans="1:141" s="116" customFormat="1">
      <c r="A61445" s="136"/>
      <c r="CM61445" s="111"/>
      <c r="CQ61445" s="111"/>
      <c r="EF61445"/>
      <c r="EG61445"/>
      <c r="EH61445"/>
      <c r="EI61445"/>
      <c r="EJ61445"/>
      <c r="EK61445"/>
    </row>
    <row r="61446" spans="1:141" s="116" customFormat="1">
      <c r="A61446" s="136"/>
      <c r="CM61446" s="111"/>
      <c r="CQ61446" s="111"/>
      <c r="EF61446"/>
      <c r="EG61446"/>
      <c r="EH61446"/>
      <c r="EI61446"/>
      <c r="EJ61446"/>
      <c r="EK61446"/>
    </row>
    <row r="61447" spans="1:141" s="116" customFormat="1">
      <c r="A61447" s="136"/>
      <c r="CM61447" s="111"/>
      <c r="CQ61447" s="111"/>
      <c r="EF61447"/>
      <c r="EG61447"/>
      <c r="EH61447"/>
      <c r="EI61447"/>
      <c r="EJ61447"/>
      <c r="EK61447"/>
    </row>
    <row r="61448" spans="1:141" s="116" customFormat="1">
      <c r="A61448" s="136"/>
      <c r="CM61448" s="111"/>
      <c r="CQ61448" s="111"/>
      <c r="EF61448"/>
      <c r="EG61448"/>
      <c r="EH61448"/>
      <c r="EI61448"/>
      <c r="EJ61448"/>
      <c r="EK61448"/>
    </row>
    <row r="61449" spans="1:141" s="116" customFormat="1">
      <c r="A61449" s="136"/>
      <c r="CM61449" s="111"/>
      <c r="CQ61449" s="111"/>
      <c r="EF61449"/>
      <c r="EG61449"/>
      <c r="EH61449"/>
      <c r="EI61449"/>
      <c r="EJ61449"/>
      <c r="EK61449"/>
    </row>
    <row r="61450" spans="1:141" s="116" customFormat="1">
      <c r="A61450" s="136"/>
      <c r="CM61450" s="111"/>
      <c r="CQ61450" s="111"/>
      <c r="EF61450"/>
      <c r="EG61450"/>
      <c r="EH61450"/>
      <c r="EI61450"/>
      <c r="EJ61450"/>
      <c r="EK61450"/>
    </row>
    <row r="61451" spans="1:141" s="116" customFormat="1">
      <c r="A61451" s="136"/>
      <c r="CM61451" s="111"/>
      <c r="CQ61451" s="111"/>
      <c r="EF61451"/>
      <c r="EG61451"/>
      <c r="EH61451"/>
      <c r="EI61451"/>
      <c r="EJ61451"/>
      <c r="EK61451"/>
    </row>
    <row r="61452" spans="1:141" s="116" customFormat="1">
      <c r="A61452" s="136"/>
      <c r="CM61452" s="111"/>
      <c r="CQ61452" s="111"/>
      <c r="EF61452"/>
      <c r="EG61452"/>
      <c r="EH61452"/>
      <c r="EI61452"/>
      <c r="EJ61452"/>
      <c r="EK61452"/>
    </row>
    <row r="61453" spans="1:141" s="116" customFormat="1">
      <c r="A61453" s="136"/>
      <c r="CM61453" s="111"/>
      <c r="CQ61453" s="111"/>
      <c r="EF61453"/>
      <c r="EG61453"/>
      <c r="EH61453"/>
      <c r="EI61453"/>
      <c r="EJ61453"/>
      <c r="EK61453"/>
    </row>
    <row r="61454" spans="1:141" s="116" customFormat="1">
      <c r="A61454" s="136"/>
      <c r="CM61454" s="111"/>
      <c r="CQ61454" s="111"/>
      <c r="EF61454"/>
      <c r="EG61454"/>
      <c r="EH61454"/>
      <c r="EI61454"/>
      <c r="EJ61454"/>
      <c r="EK61454"/>
    </row>
    <row r="61455" spans="1:141" s="116" customFormat="1">
      <c r="A61455" s="136"/>
      <c r="CM61455" s="111"/>
      <c r="CQ61455" s="111"/>
      <c r="EF61455"/>
      <c r="EG61455"/>
      <c r="EH61455"/>
      <c r="EI61455"/>
      <c r="EJ61455"/>
      <c r="EK61455"/>
    </row>
    <row r="61456" spans="1:141" s="116" customFormat="1">
      <c r="A61456" s="136"/>
      <c r="CM61456" s="111"/>
      <c r="CQ61456" s="111"/>
      <c r="EF61456"/>
      <c r="EG61456"/>
      <c r="EH61456"/>
      <c r="EI61456"/>
      <c r="EJ61456"/>
      <c r="EK61456"/>
    </row>
    <row r="61457" spans="1:141" s="116" customFormat="1">
      <c r="A61457" s="136"/>
      <c r="CM61457" s="111"/>
      <c r="CQ61457" s="111"/>
      <c r="EF61457"/>
      <c r="EG61457"/>
      <c r="EH61457"/>
      <c r="EI61457"/>
      <c r="EJ61457"/>
      <c r="EK61457"/>
    </row>
    <row r="61458" spans="1:141" s="116" customFormat="1">
      <c r="A61458" s="136"/>
      <c r="CM61458" s="111"/>
      <c r="CQ61458" s="111"/>
      <c r="EF61458"/>
      <c r="EG61458"/>
      <c r="EH61458"/>
      <c r="EI61458"/>
      <c r="EJ61458"/>
      <c r="EK61458"/>
    </row>
    <row r="61459" spans="1:141" s="116" customFormat="1">
      <c r="A61459" s="136"/>
      <c r="CM61459" s="111"/>
      <c r="CQ61459" s="111"/>
      <c r="EF61459"/>
      <c r="EG61459"/>
      <c r="EH61459"/>
      <c r="EI61459"/>
      <c r="EJ61459"/>
      <c r="EK61459"/>
    </row>
    <row r="61460" spans="1:141" s="116" customFormat="1">
      <c r="A61460" s="136"/>
      <c r="CM61460" s="111"/>
      <c r="CQ61460" s="111"/>
      <c r="EF61460"/>
      <c r="EG61460"/>
      <c r="EH61460"/>
      <c r="EI61460"/>
      <c r="EJ61460"/>
      <c r="EK61460"/>
    </row>
    <row r="61461" spans="1:141" s="116" customFormat="1">
      <c r="A61461" s="136"/>
      <c r="CM61461" s="111"/>
      <c r="CQ61461" s="111"/>
      <c r="EF61461"/>
      <c r="EG61461"/>
      <c r="EH61461"/>
      <c r="EI61461"/>
      <c r="EJ61461"/>
      <c r="EK61461"/>
    </row>
    <row r="61462" spans="1:141" s="116" customFormat="1">
      <c r="A61462" s="136"/>
      <c r="CM61462" s="111"/>
      <c r="CQ61462" s="111"/>
      <c r="EF61462"/>
      <c r="EG61462"/>
      <c r="EH61462"/>
      <c r="EI61462"/>
      <c r="EJ61462"/>
      <c r="EK61462"/>
    </row>
    <row r="61463" spans="1:141" s="116" customFormat="1">
      <c r="A61463" s="136"/>
      <c r="CM61463" s="111"/>
      <c r="CQ61463" s="111"/>
      <c r="EF61463"/>
      <c r="EG61463"/>
      <c r="EH61463"/>
      <c r="EI61463"/>
      <c r="EJ61463"/>
      <c r="EK61463"/>
    </row>
    <row r="61464" spans="1:141" s="116" customFormat="1">
      <c r="A61464" s="136"/>
      <c r="CM61464" s="111"/>
      <c r="CQ61464" s="111"/>
      <c r="EF61464"/>
      <c r="EG61464"/>
      <c r="EH61464"/>
      <c r="EI61464"/>
      <c r="EJ61464"/>
      <c r="EK61464"/>
    </row>
    <row r="61465" spans="1:141" s="116" customFormat="1">
      <c r="A61465" s="136"/>
      <c r="CM61465" s="111"/>
      <c r="CQ61465" s="111"/>
      <c r="EF61465"/>
      <c r="EG61465"/>
      <c r="EH61465"/>
      <c r="EI61465"/>
      <c r="EJ61465"/>
      <c r="EK61465"/>
    </row>
    <row r="61466" spans="1:141" s="116" customFormat="1">
      <c r="A61466" s="136"/>
      <c r="CM61466" s="111"/>
      <c r="CQ61466" s="111"/>
      <c r="EF61466"/>
      <c r="EG61466"/>
      <c r="EH61466"/>
      <c r="EI61466"/>
      <c r="EJ61466"/>
      <c r="EK61466"/>
    </row>
    <row r="61467" spans="1:141" s="116" customFormat="1">
      <c r="A61467" s="136"/>
      <c r="CM61467" s="111"/>
      <c r="CQ61467" s="111"/>
      <c r="EF61467"/>
      <c r="EG61467"/>
      <c r="EH61467"/>
      <c r="EI61467"/>
      <c r="EJ61467"/>
      <c r="EK61467"/>
    </row>
    <row r="61468" spans="1:141" s="116" customFormat="1">
      <c r="A61468" s="136"/>
      <c r="CM61468" s="111"/>
      <c r="CQ61468" s="111"/>
      <c r="EF61468"/>
      <c r="EG61468"/>
      <c r="EH61468"/>
      <c r="EI61468"/>
      <c r="EJ61468"/>
      <c r="EK61468"/>
    </row>
    <row r="61469" spans="1:141" s="116" customFormat="1">
      <c r="A61469" s="136"/>
      <c r="CM61469" s="111"/>
      <c r="CQ61469" s="111"/>
      <c r="EF61469"/>
      <c r="EG61469"/>
      <c r="EH61469"/>
      <c r="EI61469"/>
      <c r="EJ61469"/>
      <c r="EK61469"/>
    </row>
    <row r="61470" spans="1:141" s="116" customFormat="1">
      <c r="A61470" s="136"/>
      <c r="CM61470" s="111"/>
      <c r="CQ61470" s="111"/>
      <c r="EF61470"/>
      <c r="EG61470"/>
      <c r="EH61470"/>
      <c r="EI61470"/>
      <c r="EJ61470"/>
      <c r="EK61470"/>
    </row>
    <row r="61471" spans="1:141" s="116" customFormat="1">
      <c r="A61471" s="136"/>
      <c r="CM61471" s="111"/>
      <c r="CQ61471" s="111"/>
      <c r="EF61471"/>
      <c r="EG61471"/>
      <c r="EH61471"/>
      <c r="EI61471"/>
      <c r="EJ61471"/>
      <c r="EK61471"/>
    </row>
    <row r="61472" spans="1:141" s="116" customFormat="1">
      <c r="A61472" s="136"/>
      <c r="CM61472" s="111"/>
      <c r="CQ61472" s="111"/>
      <c r="EF61472"/>
      <c r="EG61472"/>
      <c r="EH61472"/>
      <c r="EI61472"/>
      <c r="EJ61472"/>
      <c r="EK61472"/>
    </row>
    <row r="61473" spans="1:141" s="116" customFormat="1">
      <c r="A61473" s="136"/>
      <c r="CM61473" s="111"/>
      <c r="CQ61473" s="111"/>
      <c r="EF61473"/>
      <c r="EG61473"/>
      <c r="EH61473"/>
      <c r="EI61473"/>
      <c r="EJ61473"/>
      <c r="EK61473"/>
    </row>
    <row r="61474" spans="1:141" s="116" customFormat="1">
      <c r="A61474" s="136"/>
      <c r="CM61474" s="111"/>
      <c r="CQ61474" s="111"/>
      <c r="EF61474"/>
      <c r="EG61474"/>
      <c r="EH61474"/>
      <c r="EI61474"/>
      <c r="EJ61474"/>
      <c r="EK61474"/>
    </row>
    <row r="61475" spans="1:141" s="116" customFormat="1">
      <c r="A61475" s="136"/>
      <c r="CM61475" s="111"/>
      <c r="CQ61475" s="111"/>
      <c r="EF61475"/>
      <c r="EG61475"/>
      <c r="EH61475"/>
      <c r="EI61475"/>
      <c r="EJ61475"/>
      <c r="EK61475"/>
    </row>
    <row r="61476" spans="1:141" s="116" customFormat="1">
      <c r="A61476" s="136"/>
      <c r="CM61476" s="111"/>
      <c r="CQ61476" s="111"/>
      <c r="EF61476"/>
      <c r="EG61476"/>
      <c r="EH61476"/>
      <c r="EI61476"/>
      <c r="EJ61476"/>
      <c r="EK61476"/>
    </row>
    <row r="61477" spans="1:141" s="116" customFormat="1">
      <c r="A61477" s="136"/>
      <c r="CM61477" s="111"/>
      <c r="CQ61477" s="111"/>
      <c r="EF61477"/>
      <c r="EG61477"/>
      <c r="EH61477"/>
      <c r="EI61477"/>
      <c r="EJ61477"/>
      <c r="EK61477"/>
    </row>
    <row r="61478" spans="1:141" s="116" customFormat="1">
      <c r="A61478" s="136"/>
      <c r="CM61478" s="111"/>
      <c r="CQ61478" s="111"/>
      <c r="EF61478"/>
      <c r="EG61478"/>
      <c r="EH61478"/>
      <c r="EI61478"/>
      <c r="EJ61478"/>
      <c r="EK61478"/>
    </row>
    <row r="61479" spans="1:141" s="116" customFormat="1">
      <c r="A61479" s="136"/>
      <c r="CM61479" s="111"/>
      <c r="CQ61479" s="111"/>
      <c r="EF61479"/>
      <c r="EG61479"/>
      <c r="EH61479"/>
      <c r="EI61479"/>
      <c r="EJ61479"/>
      <c r="EK61479"/>
    </row>
    <row r="61480" spans="1:141" s="116" customFormat="1">
      <c r="A61480" s="136"/>
      <c r="CM61480" s="111"/>
      <c r="CQ61480" s="111"/>
      <c r="EF61480"/>
      <c r="EG61480"/>
      <c r="EH61480"/>
      <c r="EI61480"/>
      <c r="EJ61480"/>
      <c r="EK61480"/>
    </row>
    <row r="61481" spans="1:141" s="116" customFormat="1">
      <c r="A61481" s="136"/>
      <c r="CM61481" s="111"/>
      <c r="CQ61481" s="111"/>
      <c r="EF61481"/>
      <c r="EG61481"/>
      <c r="EH61481"/>
      <c r="EI61481"/>
      <c r="EJ61481"/>
      <c r="EK61481"/>
    </row>
    <row r="61482" spans="1:141" s="116" customFormat="1">
      <c r="A61482" s="136"/>
      <c r="CM61482" s="111"/>
      <c r="CQ61482" s="111"/>
      <c r="EF61482"/>
      <c r="EG61482"/>
      <c r="EH61482"/>
      <c r="EI61482"/>
      <c r="EJ61482"/>
      <c r="EK61482"/>
    </row>
    <row r="61483" spans="1:141" s="116" customFormat="1">
      <c r="A61483" s="136"/>
      <c r="CM61483" s="111"/>
      <c r="CQ61483" s="111"/>
      <c r="EF61483"/>
      <c r="EG61483"/>
      <c r="EH61483"/>
      <c r="EI61483"/>
      <c r="EJ61483"/>
      <c r="EK61483"/>
    </row>
    <row r="61484" spans="1:141" s="116" customFormat="1">
      <c r="A61484" s="136"/>
      <c r="CM61484" s="111"/>
      <c r="CQ61484" s="111"/>
      <c r="EF61484"/>
      <c r="EG61484"/>
      <c r="EH61484"/>
      <c r="EI61484"/>
      <c r="EJ61484"/>
      <c r="EK61484"/>
    </row>
    <row r="61485" spans="1:141" s="116" customFormat="1">
      <c r="A61485" s="136"/>
      <c r="CM61485" s="111"/>
      <c r="CQ61485" s="111"/>
      <c r="EF61485"/>
      <c r="EG61485"/>
      <c r="EH61485"/>
      <c r="EI61485"/>
      <c r="EJ61485"/>
      <c r="EK61485"/>
    </row>
    <row r="61486" spans="1:141" s="116" customFormat="1">
      <c r="A61486" s="136"/>
      <c r="CM61486" s="111"/>
      <c r="CQ61486" s="111"/>
      <c r="EF61486"/>
      <c r="EG61486"/>
      <c r="EH61486"/>
      <c r="EI61486"/>
      <c r="EJ61486"/>
      <c r="EK61486"/>
    </row>
    <row r="61487" spans="1:141" s="116" customFormat="1">
      <c r="A61487" s="136"/>
      <c r="CM61487" s="111"/>
      <c r="CQ61487" s="111"/>
      <c r="EF61487"/>
      <c r="EG61487"/>
      <c r="EH61487"/>
      <c r="EI61487"/>
      <c r="EJ61487"/>
      <c r="EK61487"/>
    </row>
    <row r="61488" spans="1:141" s="116" customFormat="1">
      <c r="A61488" s="136"/>
      <c r="CM61488" s="111"/>
      <c r="CQ61488" s="111"/>
      <c r="EF61488"/>
      <c r="EG61488"/>
      <c r="EH61488"/>
      <c r="EI61488"/>
      <c r="EJ61488"/>
      <c r="EK61488"/>
    </row>
    <row r="61489" spans="1:141" s="116" customFormat="1">
      <c r="A61489" s="136"/>
      <c r="CM61489" s="111"/>
      <c r="CQ61489" s="111"/>
      <c r="EF61489"/>
      <c r="EG61489"/>
      <c r="EH61489"/>
      <c r="EI61489"/>
      <c r="EJ61489"/>
      <c r="EK61489"/>
    </row>
    <row r="61490" spans="1:141" s="116" customFormat="1">
      <c r="A61490" s="136"/>
      <c r="CM61490" s="111"/>
      <c r="CQ61490" s="111"/>
      <c r="EF61490"/>
      <c r="EG61490"/>
      <c r="EH61490"/>
      <c r="EI61490"/>
      <c r="EJ61490"/>
      <c r="EK61490"/>
    </row>
    <row r="61491" spans="1:141" s="116" customFormat="1">
      <c r="A61491" s="136"/>
      <c r="CM61491" s="111"/>
      <c r="CQ61491" s="111"/>
      <c r="EF61491"/>
      <c r="EG61491"/>
      <c r="EH61491"/>
      <c r="EI61491"/>
      <c r="EJ61491"/>
      <c r="EK61491"/>
    </row>
    <row r="61492" spans="1:141" s="116" customFormat="1">
      <c r="A61492" s="136"/>
      <c r="CM61492" s="111"/>
      <c r="CQ61492" s="111"/>
      <c r="EF61492"/>
      <c r="EG61492"/>
      <c r="EH61492"/>
      <c r="EI61492"/>
      <c r="EJ61492"/>
      <c r="EK61492"/>
    </row>
    <row r="61493" spans="1:141" s="116" customFormat="1">
      <c r="A61493" s="136"/>
      <c r="CM61493" s="111"/>
      <c r="CQ61493" s="111"/>
      <c r="EF61493"/>
      <c r="EG61493"/>
      <c r="EH61493"/>
      <c r="EI61493"/>
      <c r="EJ61493"/>
      <c r="EK61493"/>
    </row>
    <row r="61494" spans="1:141" s="116" customFormat="1">
      <c r="A61494" s="136"/>
      <c r="CM61494" s="111"/>
      <c r="CQ61494" s="111"/>
      <c r="EF61494"/>
      <c r="EG61494"/>
      <c r="EH61494"/>
      <c r="EI61494"/>
      <c r="EJ61494"/>
      <c r="EK61494"/>
    </row>
    <row r="61495" spans="1:141" s="116" customFormat="1">
      <c r="A61495" s="136"/>
      <c r="CM61495" s="111"/>
      <c r="CQ61495" s="111"/>
      <c r="EF61495"/>
      <c r="EG61495"/>
      <c r="EH61495"/>
      <c r="EI61495"/>
      <c r="EJ61495"/>
      <c r="EK61495"/>
    </row>
    <row r="61496" spans="1:141" s="116" customFormat="1">
      <c r="A61496" s="136"/>
      <c r="CM61496" s="111"/>
      <c r="CQ61496" s="111"/>
      <c r="EF61496"/>
      <c r="EG61496"/>
      <c r="EH61496"/>
      <c r="EI61496"/>
      <c r="EJ61496"/>
      <c r="EK61496"/>
    </row>
    <row r="61497" spans="1:141" s="116" customFormat="1">
      <c r="A61497" s="136"/>
      <c r="CM61497" s="111"/>
      <c r="CQ61497" s="111"/>
      <c r="EF61497"/>
      <c r="EG61497"/>
      <c r="EH61497"/>
      <c r="EI61497"/>
      <c r="EJ61497"/>
      <c r="EK61497"/>
    </row>
    <row r="61498" spans="1:141" s="116" customFormat="1">
      <c r="A61498" s="136"/>
      <c r="CM61498" s="111"/>
      <c r="CQ61498" s="111"/>
      <c r="EF61498"/>
      <c r="EG61498"/>
      <c r="EH61498"/>
      <c r="EI61498"/>
      <c r="EJ61498"/>
      <c r="EK61498"/>
    </row>
    <row r="61499" spans="1:141" s="116" customFormat="1">
      <c r="A61499" s="136"/>
      <c r="CM61499" s="111"/>
      <c r="CQ61499" s="111"/>
      <c r="EF61499"/>
      <c r="EG61499"/>
      <c r="EH61499"/>
      <c r="EI61499"/>
      <c r="EJ61499"/>
      <c r="EK61499"/>
    </row>
    <row r="61500" spans="1:141" s="116" customFormat="1">
      <c r="A61500" s="136"/>
      <c r="CM61500" s="111"/>
      <c r="CQ61500" s="111"/>
      <c r="EF61500"/>
      <c r="EG61500"/>
      <c r="EH61500"/>
      <c r="EI61500"/>
      <c r="EJ61500"/>
      <c r="EK61500"/>
    </row>
    <row r="61501" spans="1:141" s="116" customFormat="1">
      <c r="A61501" s="136"/>
      <c r="CM61501" s="111"/>
      <c r="CQ61501" s="111"/>
      <c r="EF61501"/>
      <c r="EG61501"/>
      <c r="EH61501"/>
      <c r="EI61501"/>
      <c r="EJ61501"/>
      <c r="EK61501"/>
    </row>
    <row r="61502" spans="1:141" s="116" customFormat="1">
      <c r="A61502" s="136"/>
      <c r="CM61502" s="111"/>
      <c r="CQ61502" s="111"/>
      <c r="EF61502"/>
      <c r="EG61502"/>
      <c r="EH61502"/>
      <c r="EI61502"/>
      <c r="EJ61502"/>
      <c r="EK61502"/>
    </row>
    <row r="61503" spans="1:141" s="116" customFormat="1">
      <c r="A61503" s="136"/>
      <c r="CM61503" s="111"/>
      <c r="CQ61503" s="111"/>
      <c r="EF61503"/>
      <c r="EG61503"/>
      <c r="EH61503"/>
      <c r="EI61503"/>
      <c r="EJ61503"/>
      <c r="EK61503"/>
    </row>
    <row r="61504" spans="1:141" s="116" customFormat="1">
      <c r="A61504" s="136"/>
      <c r="CM61504" s="111"/>
      <c r="CQ61504" s="111"/>
      <c r="EF61504"/>
      <c r="EG61504"/>
      <c r="EH61504"/>
      <c r="EI61504"/>
      <c r="EJ61504"/>
      <c r="EK61504"/>
    </row>
    <row r="61505" spans="1:141" s="116" customFormat="1">
      <c r="A61505" s="136"/>
      <c r="CM61505" s="111"/>
      <c r="CQ61505" s="111"/>
      <c r="EF61505"/>
      <c r="EG61505"/>
      <c r="EH61505"/>
      <c r="EI61505"/>
      <c r="EJ61505"/>
      <c r="EK61505"/>
    </row>
    <row r="61506" spans="1:141" s="116" customFormat="1">
      <c r="A61506" s="136"/>
      <c r="CM61506" s="111"/>
      <c r="CQ61506" s="111"/>
      <c r="EF61506"/>
      <c r="EG61506"/>
      <c r="EH61506"/>
      <c r="EI61506"/>
      <c r="EJ61506"/>
      <c r="EK61506"/>
    </row>
    <row r="61507" spans="1:141" s="116" customFormat="1">
      <c r="A61507" s="136"/>
      <c r="CM61507" s="111"/>
      <c r="CQ61507" s="111"/>
      <c r="EF61507"/>
      <c r="EG61507"/>
      <c r="EH61507"/>
      <c r="EI61507"/>
      <c r="EJ61507"/>
      <c r="EK61507"/>
    </row>
    <row r="61508" spans="1:141" s="116" customFormat="1">
      <c r="A61508" s="136"/>
      <c r="CM61508" s="111"/>
      <c r="CQ61508" s="111"/>
      <c r="EF61508"/>
      <c r="EG61508"/>
      <c r="EH61508"/>
      <c r="EI61508"/>
      <c r="EJ61508"/>
      <c r="EK61508"/>
    </row>
    <row r="61509" spans="1:141" s="116" customFormat="1">
      <c r="A61509" s="136"/>
      <c r="CM61509" s="111"/>
      <c r="CQ61509" s="111"/>
      <c r="EF61509"/>
      <c r="EG61509"/>
      <c r="EH61509"/>
      <c r="EI61509"/>
      <c r="EJ61509"/>
      <c r="EK61509"/>
    </row>
    <row r="61510" spans="1:141" s="116" customFormat="1">
      <c r="A61510" s="136"/>
      <c r="CM61510" s="111"/>
      <c r="CQ61510" s="111"/>
      <c r="EF61510"/>
      <c r="EG61510"/>
      <c r="EH61510"/>
      <c r="EI61510"/>
      <c r="EJ61510"/>
      <c r="EK61510"/>
    </row>
    <row r="61511" spans="1:141" s="116" customFormat="1">
      <c r="A61511" s="136"/>
      <c r="CM61511" s="111"/>
      <c r="CQ61511" s="111"/>
      <c r="EF61511"/>
      <c r="EG61511"/>
      <c r="EH61511"/>
      <c r="EI61511"/>
      <c r="EJ61511"/>
      <c r="EK61511"/>
    </row>
    <row r="61512" spans="1:141" s="116" customFormat="1">
      <c r="A61512" s="136"/>
      <c r="CM61512" s="111"/>
      <c r="CQ61512" s="111"/>
      <c r="EF61512"/>
      <c r="EG61512"/>
      <c r="EH61512"/>
      <c r="EI61512"/>
      <c r="EJ61512"/>
      <c r="EK61512"/>
    </row>
    <row r="61513" spans="1:141" s="116" customFormat="1">
      <c r="A61513" s="136"/>
      <c r="CM61513" s="111"/>
      <c r="CQ61513" s="111"/>
      <c r="EF61513"/>
      <c r="EG61513"/>
      <c r="EH61513"/>
      <c r="EI61513"/>
      <c r="EJ61513"/>
      <c r="EK61513"/>
    </row>
    <row r="61514" spans="1:141" s="116" customFormat="1">
      <c r="A61514" s="136"/>
      <c r="CM61514" s="111"/>
      <c r="CQ61514" s="111"/>
      <c r="EF61514"/>
      <c r="EG61514"/>
      <c r="EH61514"/>
      <c r="EI61514"/>
      <c r="EJ61514"/>
      <c r="EK61514"/>
    </row>
    <row r="61515" spans="1:141" s="116" customFormat="1">
      <c r="A61515" s="136"/>
      <c r="CM61515" s="111"/>
      <c r="CQ61515" s="111"/>
      <c r="EF61515"/>
      <c r="EG61515"/>
      <c r="EH61515"/>
      <c r="EI61515"/>
      <c r="EJ61515"/>
      <c r="EK61515"/>
    </row>
    <row r="61516" spans="1:141" s="116" customFormat="1">
      <c r="A61516" s="136"/>
      <c r="CM61516" s="111"/>
      <c r="CQ61516" s="111"/>
      <c r="EF61516"/>
      <c r="EG61516"/>
      <c r="EH61516"/>
      <c r="EI61516"/>
      <c r="EJ61516"/>
      <c r="EK61516"/>
    </row>
    <row r="61517" spans="1:141" s="116" customFormat="1">
      <c r="A61517" s="136"/>
      <c r="CM61517" s="111"/>
      <c r="CQ61517" s="111"/>
      <c r="EF61517"/>
      <c r="EG61517"/>
      <c r="EH61517"/>
      <c r="EI61517"/>
      <c r="EJ61517"/>
      <c r="EK61517"/>
    </row>
    <row r="61518" spans="1:141" s="116" customFormat="1">
      <c r="A61518" s="136"/>
      <c r="CM61518" s="111"/>
      <c r="CQ61518" s="111"/>
      <c r="EF61518"/>
      <c r="EG61518"/>
      <c r="EH61518"/>
      <c r="EI61518"/>
      <c r="EJ61518"/>
      <c r="EK61518"/>
    </row>
    <row r="61519" spans="1:141" s="116" customFormat="1">
      <c r="A61519" s="136"/>
      <c r="CM61519" s="111"/>
      <c r="CQ61519" s="111"/>
      <c r="EF61519"/>
      <c r="EG61519"/>
      <c r="EH61519"/>
      <c r="EI61519"/>
      <c r="EJ61519"/>
      <c r="EK61519"/>
    </row>
    <row r="61520" spans="1:141" s="116" customFormat="1">
      <c r="A61520" s="136"/>
      <c r="CM61520" s="111"/>
      <c r="CQ61520" s="111"/>
      <c r="EF61520"/>
      <c r="EG61520"/>
      <c r="EH61520"/>
      <c r="EI61520"/>
      <c r="EJ61520"/>
      <c r="EK61520"/>
    </row>
    <row r="61521" spans="1:141" s="116" customFormat="1">
      <c r="A61521" s="136"/>
      <c r="CM61521" s="111"/>
      <c r="CQ61521" s="111"/>
      <c r="EF61521"/>
      <c r="EG61521"/>
      <c r="EH61521"/>
      <c r="EI61521"/>
      <c r="EJ61521"/>
      <c r="EK61521"/>
    </row>
    <row r="61522" spans="1:141" s="116" customFormat="1">
      <c r="A61522" s="136"/>
      <c r="CM61522" s="111"/>
      <c r="CQ61522" s="111"/>
      <c r="EF61522"/>
      <c r="EG61522"/>
      <c r="EH61522"/>
      <c r="EI61522"/>
      <c r="EJ61522"/>
      <c r="EK61522"/>
    </row>
    <row r="61523" spans="1:141" s="116" customFormat="1">
      <c r="A61523" s="136"/>
      <c r="CM61523" s="111"/>
      <c r="CQ61523" s="111"/>
      <c r="EF61523"/>
      <c r="EG61523"/>
      <c r="EH61523"/>
      <c r="EI61523"/>
      <c r="EJ61523"/>
      <c r="EK61523"/>
    </row>
    <row r="61524" spans="1:141" s="116" customFormat="1">
      <c r="A61524" s="136"/>
      <c r="CM61524" s="111"/>
      <c r="CQ61524" s="111"/>
      <c r="EF61524"/>
      <c r="EG61524"/>
      <c r="EH61524"/>
      <c r="EI61524"/>
      <c r="EJ61524"/>
      <c r="EK61524"/>
    </row>
    <row r="61525" spans="1:141" s="116" customFormat="1">
      <c r="A61525" s="136"/>
      <c r="CM61525" s="111"/>
      <c r="CQ61525" s="111"/>
      <c r="EF61525"/>
      <c r="EG61525"/>
      <c r="EH61525"/>
      <c r="EI61525"/>
      <c r="EJ61525"/>
      <c r="EK61525"/>
    </row>
    <row r="61526" spans="1:141" s="116" customFormat="1">
      <c r="A61526" s="136"/>
      <c r="CM61526" s="111"/>
      <c r="CQ61526" s="111"/>
      <c r="EF61526"/>
      <c r="EG61526"/>
      <c r="EH61526"/>
      <c r="EI61526"/>
      <c r="EJ61526"/>
      <c r="EK61526"/>
    </row>
    <row r="61527" spans="1:141" s="116" customFormat="1">
      <c r="A61527" s="136"/>
      <c r="CM61527" s="111"/>
      <c r="CQ61527" s="111"/>
      <c r="EF61527"/>
      <c r="EG61527"/>
      <c r="EH61527"/>
      <c r="EI61527"/>
      <c r="EJ61527"/>
      <c r="EK61527"/>
    </row>
    <row r="61528" spans="1:141" s="116" customFormat="1">
      <c r="A61528" s="136"/>
      <c r="CM61528" s="111"/>
      <c r="CQ61528" s="111"/>
      <c r="EF61528"/>
      <c r="EG61528"/>
      <c r="EH61528"/>
      <c r="EI61528"/>
      <c r="EJ61528"/>
      <c r="EK61528"/>
    </row>
    <row r="61529" spans="1:141" s="116" customFormat="1">
      <c r="A61529" s="136"/>
      <c r="CM61529" s="111"/>
      <c r="CQ61529" s="111"/>
      <c r="EF61529"/>
      <c r="EG61529"/>
      <c r="EH61529"/>
      <c r="EI61529"/>
      <c r="EJ61529"/>
      <c r="EK61529"/>
    </row>
    <row r="61530" spans="1:141" s="116" customFormat="1">
      <c r="A61530" s="136"/>
      <c r="CM61530" s="111"/>
      <c r="CQ61530" s="111"/>
      <c r="EF61530"/>
      <c r="EG61530"/>
      <c r="EH61530"/>
      <c r="EI61530"/>
      <c r="EJ61530"/>
      <c r="EK61530"/>
    </row>
    <row r="61531" spans="1:141" s="116" customFormat="1">
      <c r="A61531" s="136"/>
      <c r="CM61531" s="111"/>
      <c r="CQ61531" s="111"/>
      <c r="EF61531"/>
      <c r="EG61531"/>
      <c r="EH61531"/>
      <c r="EI61531"/>
      <c r="EJ61531"/>
      <c r="EK61531"/>
    </row>
    <row r="61532" spans="1:141" s="116" customFormat="1">
      <c r="A61532" s="136"/>
      <c r="CM61532" s="111"/>
      <c r="CQ61532" s="111"/>
      <c r="EF61532"/>
      <c r="EG61532"/>
      <c r="EH61532"/>
      <c r="EI61532"/>
      <c r="EJ61532"/>
      <c r="EK61532"/>
    </row>
    <row r="61533" spans="1:141" s="116" customFormat="1">
      <c r="A61533" s="136"/>
      <c r="CM61533" s="111"/>
      <c r="CQ61533" s="111"/>
      <c r="EF61533"/>
      <c r="EG61533"/>
      <c r="EH61533"/>
      <c r="EI61533"/>
      <c r="EJ61533"/>
      <c r="EK61533"/>
    </row>
    <row r="61534" spans="1:141" s="116" customFormat="1">
      <c r="A61534" s="136"/>
      <c r="CM61534" s="111"/>
      <c r="CQ61534" s="111"/>
      <c r="EF61534"/>
      <c r="EG61534"/>
      <c r="EH61534"/>
      <c r="EI61534"/>
      <c r="EJ61534"/>
      <c r="EK61534"/>
    </row>
    <row r="61535" spans="1:141" s="116" customFormat="1">
      <c r="A61535" s="136"/>
      <c r="CM61535" s="111"/>
      <c r="CQ61535" s="111"/>
      <c r="EF61535"/>
      <c r="EG61535"/>
      <c r="EH61535"/>
      <c r="EI61535"/>
      <c r="EJ61535"/>
      <c r="EK61535"/>
    </row>
    <row r="61536" spans="1:141" s="116" customFormat="1">
      <c r="A61536" s="136"/>
      <c r="CM61536" s="111"/>
      <c r="CQ61536" s="111"/>
      <c r="EF61536"/>
      <c r="EG61536"/>
      <c r="EH61536"/>
      <c r="EI61536"/>
      <c r="EJ61536"/>
      <c r="EK61536"/>
    </row>
    <row r="61537" spans="1:141" s="116" customFormat="1">
      <c r="A61537" s="136"/>
      <c r="CM61537" s="111"/>
      <c r="CQ61537" s="111"/>
      <c r="EF61537"/>
      <c r="EG61537"/>
      <c r="EH61537"/>
      <c r="EI61537"/>
      <c r="EJ61537"/>
      <c r="EK61537"/>
    </row>
    <row r="61538" spans="1:141" s="116" customFormat="1">
      <c r="A61538" s="136"/>
      <c r="CM61538" s="111"/>
      <c r="CQ61538" s="111"/>
      <c r="EF61538"/>
      <c r="EG61538"/>
      <c r="EH61538"/>
      <c r="EI61538"/>
      <c r="EJ61538"/>
      <c r="EK61538"/>
    </row>
    <row r="61539" spans="1:141" s="116" customFormat="1">
      <c r="A61539" s="136"/>
      <c r="CM61539" s="111"/>
      <c r="CQ61539" s="111"/>
      <c r="EF61539"/>
      <c r="EG61539"/>
      <c r="EH61539"/>
      <c r="EI61539"/>
      <c r="EJ61539"/>
      <c r="EK61539"/>
    </row>
    <row r="61540" spans="1:141" s="116" customFormat="1">
      <c r="A61540" s="136"/>
      <c r="CM61540" s="111"/>
      <c r="CQ61540" s="111"/>
      <c r="EF61540"/>
      <c r="EG61540"/>
      <c r="EH61540"/>
      <c r="EI61540"/>
      <c r="EJ61540"/>
      <c r="EK61540"/>
    </row>
    <row r="61541" spans="1:141" s="116" customFormat="1">
      <c r="A61541" s="136"/>
      <c r="CM61541" s="111"/>
      <c r="CQ61541" s="111"/>
      <c r="EF61541"/>
      <c r="EG61541"/>
      <c r="EH61541"/>
      <c r="EI61541"/>
      <c r="EJ61541"/>
      <c r="EK61541"/>
    </row>
    <row r="61542" spans="1:141" s="116" customFormat="1">
      <c r="A61542" s="136"/>
      <c r="CM61542" s="111"/>
      <c r="CQ61542" s="111"/>
      <c r="EF61542"/>
      <c r="EG61542"/>
      <c r="EH61542"/>
      <c r="EI61542"/>
      <c r="EJ61542"/>
      <c r="EK61542"/>
    </row>
    <row r="61543" spans="1:141" s="116" customFormat="1">
      <c r="A61543" s="136"/>
      <c r="CM61543" s="111"/>
      <c r="CQ61543" s="111"/>
      <c r="EF61543"/>
      <c r="EG61543"/>
      <c r="EH61543"/>
      <c r="EI61543"/>
      <c r="EJ61543"/>
      <c r="EK61543"/>
    </row>
    <row r="61544" spans="1:141" s="116" customFormat="1">
      <c r="A61544" s="136"/>
      <c r="CM61544" s="111"/>
      <c r="CQ61544" s="111"/>
      <c r="EF61544"/>
      <c r="EG61544"/>
      <c r="EH61544"/>
      <c r="EI61544"/>
      <c r="EJ61544"/>
      <c r="EK61544"/>
    </row>
    <row r="61545" spans="1:141" s="116" customFormat="1">
      <c r="A61545" s="136"/>
      <c r="CM61545" s="111"/>
      <c r="CQ61545" s="111"/>
      <c r="EF61545"/>
      <c r="EG61545"/>
      <c r="EH61545"/>
      <c r="EI61545"/>
      <c r="EJ61545"/>
      <c r="EK61545"/>
    </row>
    <row r="61546" spans="1:141" s="116" customFormat="1">
      <c r="A61546" s="136"/>
      <c r="CM61546" s="111"/>
      <c r="CQ61546" s="111"/>
      <c r="EF61546"/>
      <c r="EG61546"/>
      <c r="EH61546"/>
      <c r="EI61546"/>
      <c r="EJ61546"/>
      <c r="EK61546"/>
    </row>
    <row r="61547" spans="1:141" s="116" customFormat="1">
      <c r="A61547" s="136"/>
      <c r="CM61547" s="111"/>
      <c r="CQ61547" s="111"/>
      <c r="EF61547"/>
      <c r="EG61547"/>
      <c r="EH61547"/>
      <c r="EI61547"/>
      <c r="EJ61547"/>
      <c r="EK61547"/>
    </row>
    <row r="61548" spans="1:141" s="116" customFormat="1">
      <c r="A61548" s="136"/>
      <c r="CM61548" s="111"/>
      <c r="CQ61548" s="111"/>
      <c r="EF61548"/>
      <c r="EG61548"/>
      <c r="EH61548"/>
      <c r="EI61548"/>
      <c r="EJ61548"/>
      <c r="EK61548"/>
    </row>
    <row r="61549" spans="1:141" s="116" customFormat="1">
      <c r="A61549" s="136"/>
      <c r="CM61549" s="111"/>
      <c r="CQ61549" s="111"/>
      <c r="EF61549"/>
      <c r="EG61549"/>
      <c r="EH61549"/>
      <c r="EI61549"/>
      <c r="EJ61549"/>
      <c r="EK61549"/>
    </row>
    <row r="61550" spans="1:141" s="116" customFormat="1">
      <c r="A61550" s="136"/>
      <c r="CM61550" s="111"/>
      <c r="CQ61550" s="111"/>
      <c r="EF61550"/>
      <c r="EG61550"/>
      <c r="EH61550"/>
      <c r="EI61550"/>
      <c r="EJ61550"/>
      <c r="EK61550"/>
    </row>
    <row r="61551" spans="1:141" s="116" customFormat="1">
      <c r="A61551" s="136"/>
      <c r="CM61551" s="111"/>
      <c r="CQ61551" s="111"/>
      <c r="EF61551"/>
      <c r="EG61551"/>
      <c r="EH61551"/>
      <c r="EI61551"/>
      <c r="EJ61551"/>
      <c r="EK61551"/>
    </row>
    <row r="61552" spans="1:141" s="116" customFormat="1">
      <c r="A61552" s="136"/>
      <c r="CM61552" s="111"/>
      <c r="CQ61552" s="111"/>
      <c r="EF61552"/>
      <c r="EG61552"/>
      <c r="EH61552"/>
      <c r="EI61552"/>
      <c r="EJ61552"/>
      <c r="EK61552"/>
    </row>
    <row r="61553" spans="1:141" s="116" customFormat="1">
      <c r="A61553" s="136"/>
      <c r="CM61553" s="111"/>
      <c r="CQ61553" s="111"/>
      <c r="EF61553"/>
      <c r="EG61553"/>
      <c r="EH61553"/>
      <c r="EI61553"/>
      <c r="EJ61553"/>
      <c r="EK61553"/>
    </row>
    <row r="61554" spans="1:141" s="116" customFormat="1">
      <c r="A61554" s="136"/>
      <c r="CM61554" s="111"/>
      <c r="CQ61554" s="111"/>
      <c r="EF61554"/>
      <c r="EG61554"/>
      <c r="EH61554"/>
      <c r="EI61554"/>
      <c r="EJ61554"/>
      <c r="EK61554"/>
    </row>
    <row r="61555" spans="1:141" s="116" customFormat="1">
      <c r="A61555" s="136"/>
      <c r="CM61555" s="111"/>
      <c r="CQ61555" s="111"/>
      <c r="EF61555"/>
      <c r="EG61555"/>
      <c r="EH61555"/>
      <c r="EI61555"/>
      <c r="EJ61555"/>
      <c r="EK61555"/>
    </row>
    <row r="61556" spans="1:141" s="116" customFormat="1">
      <c r="A61556" s="136"/>
      <c r="CM61556" s="111"/>
      <c r="CQ61556" s="111"/>
      <c r="EF61556"/>
      <c r="EG61556"/>
      <c r="EH61556"/>
      <c r="EI61556"/>
      <c r="EJ61556"/>
      <c r="EK61556"/>
    </row>
    <row r="61557" spans="1:141" s="116" customFormat="1">
      <c r="A61557" s="136"/>
      <c r="CM61557" s="111"/>
      <c r="CQ61557" s="111"/>
      <c r="EF61557"/>
      <c r="EG61557"/>
      <c r="EH61557"/>
      <c r="EI61557"/>
      <c r="EJ61557"/>
      <c r="EK61557"/>
    </row>
    <row r="61558" spans="1:141" s="116" customFormat="1">
      <c r="A61558" s="136"/>
      <c r="CM61558" s="111"/>
      <c r="CQ61558" s="111"/>
      <c r="EF61558"/>
      <c r="EG61558"/>
      <c r="EH61558"/>
      <c r="EI61558"/>
      <c r="EJ61558"/>
      <c r="EK61558"/>
    </row>
    <row r="61559" spans="1:141" s="116" customFormat="1">
      <c r="A61559" s="136"/>
      <c r="CM61559" s="111"/>
      <c r="CQ61559" s="111"/>
      <c r="EF61559"/>
      <c r="EG61559"/>
      <c r="EH61559"/>
      <c r="EI61559"/>
      <c r="EJ61559"/>
      <c r="EK61559"/>
    </row>
    <row r="61560" spans="1:141" s="116" customFormat="1">
      <c r="A61560" s="136"/>
      <c r="CM61560" s="111"/>
      <c r="CQ61560" s="111"/>
      <c r="EF61560"/>
      <c r="EG61560"/>
      <c r="EH61560"/>
      <c r="EI61560"/>
      <c r="EJ61560"/>
      <c r="EK61560"/>
    </row>
    <row r="61561" spans="1:141" s="116" customFormat="1">
      <c r="A61561" s="136"/>
      <c r="CM61561" s="111"/>
      <c r="CQ61561" s="111"/>
      <c r="EF61561"/>
      <c r="EG61561"/>
      <c r="EH61561"/>
      <c r="EI61561"/>
      <c r="EJ61561"/>
      <c r="EK61561"/>
    </row>
    <row r="61562" spans="1:141" s="116" customFormat="1">
      <c r="A61562" s="136"/>
      <c r="CM61562" s="111"/>
      <c r="CQ61562" s="111"/>
      <c r="EF61562"/>
      <c r="EG61562"/>
      <c r="EH61562"/>
      <c r="EI61562"/>
      <c r="EJ61562"/>
      <c r="EK61562"/>
    </row>
    <row r="61563" spans="1:141" s="116" customFormat="1">
      <c r="A61563" s="136"/>
      <c r="CM61563" s="111"/>
      <c r="CQ61563" s="111"/>
      <c r="EF61563"/>
      <c r="EG61563"/>
      <c r="EH61563"/>
      <c r="EI61563"/>
      <c r="EJ61563"/>
      <c r="EK61563"/>
    </row>
    <row r="61564" spans="1:141" s="116" customFormat="1">
      <c r="A61564" s="136"/>
      <c r="CM61564" s="111"/>
      <c r="CQ61564" s="111"/>
      <c r="EF61564"/>
      <c r="EG61564"/>
      <c r="EH61564"/>
      <c r="EI61564"/>
      <c r="EJ61564"/>
      <c r="EK61564"/>
    </row>
    <row r="61565" spans="1:141" s="116" customFormat="1">
      <c r="A61565" s="136"/>
      <c r="CM61565" s="111"/>
      <c r="CQ61565" s="111"/>
      <c r="EF61565"/>
      <c r="EG61565"/>
      <c r="EH61565"/>
      <c r="EI61565"/>
      <c r="EJ61565"/>
      <c r="EK61565"/>
    </row>
    <row r="61566" spans="1:141" s="116" customFormat="1">
      <c r="A61566" s="136"/>
      <c r="CM61566" s="111"/>
      <c r="CQ61566" s="111"/>
      <c r="EF61566"/>
      <c r="EG61566"/>
      <c r="EH61566"/>
      <c r="EI61566"/>
      <c r="EJ61566"/>
      <c r="EK61566"/>
    </row>
    <row r="61567" spans="1:141" s="116" customFormat="1">
      <c r="A61567" s="136"/>
      <c r="CM61567" s="111"/>
      <c r="CQ61567" s="111"/>
      <c r="EF61567"/>
      <c r="EG61567"/>
      <c r="EH61567"/>
      <c r="EI61567"/>
      <c r="EJ61567"/>
      <c r="EK61567"/>
    </row>
    <row r="61568" spans="1:141" s="116" customFormat="1">
      <c r="A61568" s="136"/>
      <c r="CM61568" s="111"/>
      <c r="CQ61568" s="111"/>
      <c r="EF61568"/>
      <c r="EG61568"/>
      <c r="EH61568"/>
      <c r="EI61568"/>
      <c r="EJ61568"/>
      <c r="EK61568"/>
    </row>
    <row r="61569" spans="1:141" s="116" customFormat="1">
      <c r="A61569" s="136"/>
      <c r="CM61569" s="111"/>
      <c r="CQ61569" s="111"/>
      <c r="EF61569"/>
      <c r="EG61569"/>
      <c r="EH61569"/>
      <c r="EI61569"/>
      <c r="EJ61569"/>
      <c r="EK61569"/>
    </row>
    <row r="61570" spans="1:141" s="116" customFormat="1">
      <c r="A61570" s="136"/>
      <c r="CM61570" s="111"/>
      <c r="CQ61570" s="111"/>
      <c r="EF61570"/>
      <c r="EG61570"/>
      <c r="EH61570"/>
      <c r="EI61570"/>
      <c r="EJ61570"/>
      <c r="EK61570"/>
    </row>
    <row r="61571" spans="1:141" s="116" customFormat="1">
      <c r="A61571" s="136"/>
      <c r="CM61571" s="111"/>
      <c r="CQ61571" s="111"/>
      <c r="EF61571"/>
      <c r="EG61571"/>
      <c r="EH61571"/>
      <c r="EI61571"/>
      <c r="EJ61571"/>
      <c r="EK61571"/>
    </row>
    <row r="61572" spans="1:141" s="116" customFormat="1">
      <c r="A61572" s="136"/>
      <c r="CM61572" s="111"/>
      <c r="CQ61572" s="111"/>
      <c r="EF61572"/>
      <c r="EG61572"/>
      <c r="EH61572"/>
      <c r="EI61572"/>
      <c r="EJ61572"/>
      <c r="EK61572"/>
    </row>
    <row r="61573" spans="1:141" s="116" customFormat="1">
      <c r="A61573" s="136"/>
      <c r="CM61573" s="111"/>
      <c r="CQ61573" s="111"/>
      <c r="EF61573"/>
      <c r="EG61573"/>
      <c r="EH61573"/>
      <c r="EI61573"/>
      <c r="EJ61573"/>
      <c r="EK61573"/>
    </row>
    <row r="61574" spans="1:141" s="116" customFormat="1">
      <c r="A61574" s="136"/>
      <c r="CM61574" s="111"/>
      <c r="CQ61574" s="111"/>
      <c r="EF61574"/>
      <c r="EG61574"/>
      <c r="EH61574"/>
      <c r="EI61574"/>
      <c r="EJ61574"/>
      <c r="EK61574"/>
    </row>
    <row r="61575" spans="1:141" s="116" customFormat="1">
      <c r="A61575" s="136"/>
      <c r="CM61575" s="111"/>
      <c r="CQ61575" s="111"/>
      <c r="EF61575"/>
      <c r="EG61575"/>
      <c r="EH61575"/>
      <c r="EI61575"/>
      <c r="EJ61575"/>
      <c r="EK61575"/>
    </row>
    <row r="61576" spans="1:141" s="116" customFormat="1">
      <c r="A61576" s="136"/>
      <c r="CM61576" s="111"/>
      <c r="CQ61576" s="111"/>
      <c r="EF61576"/>
      <c r="EG61576"/>
      <c r="EH61576"/>
      <c r="EI61576"/>
      <c r="EJ61576"/>
      <c r="EK61576"/>
    </row>
    <row r="61577" spans="1:141" s="116" customFormat="1">
      <c r="A61577" s="136"/>
      <c r="CM61577" s="111"/>
      <c r="CQ61577" s="111"/>
      <c r="EF61577"/>
      <c r="EG61577"/>
      <c r="EH61577"/>
      <c r="EI61577"/>
      <c r="EJ61577"/>
      <c r="EK61577"/>
    </row>
    <row r="61578" spans="1:141" s="116" customFormat="1">
      <c r="A61578" s="136"/>
      <c r="CM61578" s="111"/>
      <c r="CQ61578" s="111"/>
      <c r="EF61578"/>
      <c r="EG61578"/>
      <c r="EH61578"/>
      <c r="EI61578"/>
      <c r="EJ61578"/>
      <c r="EK61578"/>
    </row>
    <row r="61579" spans="1:141" s="116" customFormat="1">
      <c r="A61579" s="136"/>
      <c r="CM61579" s="111"/>
      <c r="CQ61579" s="111"/>
      <c r="EF61579"/>
      <c r="EG61579"/>
      <c r="EH61579"/>
      <c r="EI61579"/>
      <c r="EJ61579"/>
      <c r="EK61579"/>
    </row>
    <row r="61580" spans="1:141" s="116" customFormat="1">
      <c r="A61580" s="136"/>
      <c r="CM61580" s="111"/>
      <c r="CQ61580" s="111"/>
      <c r="EF61580"/>
      <c r="EG61580"/>
      <c r="EH61580"/>
      <c r="EI61580"/>
      <c r="EJ61580"/>
      <c r="EK61580"/>
    </row>
    <row r="61581" spans="1:141" s="116" customFormat="1">
      <c r="A61581" s="136"/>
      <c r="CM61581" s="111"/>
      <c r="CQ61581" s="111"/>
      <c r="EF61581"/>
      <c r="EG61581"/>
      <c r="EH61581"/>
      <c r="EI61581"/>
      <c r="EJ61581"/>
      <c r="EK61581"/>
    </row>
    <row r="61582" spans="1:141" s="116" customFormat="1">
      <c r="A61582" s="136"/>
      <c r="CM61582" s="111"/>
      <c r="CQ61582" s="111"/>
      <c r="EF61582"/>
      <c r="EG61582"/>
      <c r="EH61582"/>
      <c r="EI61582"/>
      <c r="EJ61582"/>
      <c r="EK61582"/>
    </row>
    <row r="61583" spans="1:141" s="116" customFormat="1">
      <c r="A61583" s="136"/>
      <c r="CM61583" s="111"/>
      <c r="CQ61583" s="111"/>
      <c r="EF61583"/>
      <c r="EG61583"/>
      <c r="EH61583"/>
      <c r="EI61583"/>
      <c r="EJ61583"/>
      <c r="EK61583"/>
    </row>
    <row r="61584" spans="1:141" s="116" customFormat="1">
      <c r="A61584" s="136"/>
      <c r="CM61584" s="111"/>
      <c r="CQ61584" s="111"/>
      <c r="EF61584"/>
      <c r="EG61584"/>
      <c r="EH61584"/>
      <c r="EI61584"/>
      <c r="EJ61584"/>
      <c r="EK61584"/>
    </row>
    <row r="61585" spans="1:141" s="116" customFormat="1">
      <c r="A61585" s="136"/>
      <c r="CM61585" s="111"/>
      <c r="CQ61585" s="111"/>
      <c r="EF61585"/>
      <c r="EG61585"/>
      <c r="EH61585"/>
      <c r="EI61585"/>
      <c r="EJ61585"/>
      <c r="EK61585"/>
    </row>
    <row r="61586" spans="1:141" s="116" customFormat="1">
      <c r="A61586" s="136"/>
      <c r="CM61586" s="111"/>
      <c r="CQ61586" s="111"/>
      <c r="EF61586"/>
      <c r="EG61586"/>
      <c r="EH61586"/>
      <c r="EI61586"/>
      <c r="EJ61586"/>
      <c r="EK61586"/>
    </row>
    <row r="61587" spans="1:141" s="116" customFormat="1">
      <c r="A61587" s="136"/>
      <c r="CM61587" s="111"/>
      <c r="CQ61587" s="111"/>
      <c r="EF61587"/>
      <c r="EG61587"/>
      <c r="EH61587"/>
      <c r="EI61587"/>
      <c r="EJ61587"/>
      <c r="EK61587"/>
    </row>
    <row r="61588" spans="1:141" s="116" customFormat="1">
      <c r="A61588" s="136"/>
      <c r="CM61588" s="111"/>
      <c r="CQ61588" s="111"/>
      <c r="EF61588"/>
      <c r="EG61588"/>
      <c r="EH61588"/>
      <c r="EI61588"/>
      <c r="EJ61588"/>
      <c r="EK61588"/>
    </row>
    <row r="61589" spans="1:141" s="116" customFormat="1">
      <c r="A61589" s="136"/>
      <c r="CM61589" s="111"/>
      <c r="CQ61589" s="111"/>
      <c r="EF61589"/>
      <c r="EG61589"/>
      <c r="EH61589"/>
      <c r="EI61589"/>
      <c r="EJ61589"/>
      <c r="EK61589"/>
    </row>
    <row r="61590" spans="1:141" s="116" customFormat="1">
      <c r="A61590" s="136"/>
      <c r="CM61590" s="111"/>
      <c r="CQ61590" s="111"/>
      <c r="EF61590"/>
      <c r="EG61590"/>
      <c r="EH61590"/>
      <c r="EI61590"/>
      <c r="EJ61590"/>
      <c r="EK61590"/>
    </row>
    <row r="61591" spans="1:141" s="116" customFormat="1">
      <c r="A61591" s="136"/>
      <c r="CM61591" s="111"/>
      <c r="CQ61591" s="111"/>
      <c r="EF61591"/>
      <c r="EG61591"/>
      <c r="EH61591"/>
      <c r="EI61591"/>
      <c r="EJ61591"/>
      <c r="EK61591"/>
    </row>
    <row r="61592" spans="1:141" s="116" customFormat="1">
      <c r="A61592" s="136"/>
      <c r="CM61592" s="111"/>
      <c r="CQ61592" s="111"/>
      <c r="EF61592"/>
      <c r="EG61592"/>
      <c r="EH61592"/>
      <c r="EI61592"/>
      <c r="EJ61592"/>
      <c r="EK61592"/>
    </row>
    <row r="61593" spans="1:141" s="116" customFormat="1">
      <c r="A61593" s="136"/>
      <c r="CM61593" s="111"/>
      <c r="CQ61593" s="111"/>
      <c r="EF61593"/>
      <c r="EG61593"/>
      <c r="EH61593"/>
      <c r="EI61593"/>
      <c r="EJ61593"/>
      <c r="EK61593"/>
    </row>
    <row r="61594" spans="1:141" s="116" customFormat="1">
      <c r="A61594" s="136"/>
      <c r="CM61594" s="111"/>
      <c r="CQ61594" s="111"/>
      <c r="EF61594"/>
      <c r="EG61594"/>
      <c r="EH61594"/>
      <c r="EI61594"/>
      <c r="EJ61594"/>
      <c r="EK61594"/>
    </row>
    <row r="61595" spans="1:141" s="116" customFormat="1">
      <c r="A61595" s="136"/>
      <c r="CM61595" s="111"/>
      <c r="CQ61595" s="111"/>
      <c r="EF61595"/>
      <c r="EG61595"/>
      <c r="EH61595"/>
      <c r="EI61595"/>
      <c r="EJ61595"/>
      <c r="EK61595"/>
    </row>
    <row r="61596" spans="1:141" s="116" customFormat="1">
      <c r="A61596" s="136"/>
      <c r="CM61596" s="111"/>
      <c r="CQ61596" s="111"/>
      <c r="EF61596"/>
      <c r="EG61596"/>
      <c r="EH61596"/>
      <c r="EI61596"/>
      <c r="EJ61596"/>
      <c r="EK61596"/>
    </row>
    <row r="61597" spans="1:141" s="116" customFormat="1">
      <c r="A61597" s="136"/>
      <c r="CM61597" s="111"/>
      <c r="CQ61597" s="111"/>
      <c r="EF61597"/>
      <c r="EG61597"/>
      <c r="EH61597"/>
      <c r="EI61597"/>
      <c r="EJ61597"/>
      <c r="EK61597"/>
    </row>
    <row r="61598" spans="1:141" s="116" customFormat="1">
      <c r="A61598" s="136"/>
      <c r="CM61598" s="111"/>
      <c r="CQ61598" s="111"/>
      <c r="EF61598"/>
      <c r="EG61598"/>
      <c r="EH61598"/>
      <c r="EI61598"/>
      <c r="EJ61598"/>
      <c r="EK61598"/>
    </row>
    <row r="61599" spans="1:141" s="116" customFormat="1">
      <c r="A61599" s="136"/>
      <c r="CM61599" s="111"/>
      <c r="CQ61599" s="111"/>
      <c r="EF61599"/>
      <c r="EG61599"/>
      <c r="EH61599"/>
      <c r="EI61599"/>
      <c r="EJ61599"/>
      <c r="EK61599"/>
    </row>
    <row r="61600" spans="1:141" s="116" customFormat="1">
      <c r="A61600" s="136"/>
      <c r="CM61600" s="111"/>
      <c r="CQ61600" s="111"/>
      <c r="EF61600"/>
      <c r="EG61600"/>
      <c r="EH61600"/>
      <c r="EI61600"/>
      <c r="EJ61600"/>
      <c r="EK61600"/>
    </row>
    <row r="61601" spans="1:141" s="116" customFormat="1">
      <c r="A61601" s="136"/>
      <c r="CM61601" s="111"/>
      <c r="CQ61601" s="111"/>
      <c r="EF61601"/>
      <c r="EG61601"/>
      <c r="EH61601"/>
      <c r="EI61601"/>
      <c r="EJ61601"/>
      <c r="EK61601"/>
    </row>
    <row r="61602" spans="1:141" s="116" customFormat="1">
      <c r="A61602" s="136"/>
      <c r="CM61602" s="111"/>
      <c r="CQ61602" s="111"/>
      <c r="EF61602"/>
      <c r="EG61602"/>
      <c r="EH61602"/>
      <c r="EI61602"/>
      <c r="EJ61602"/>
      <c r="EK61602"/>
    </row>
    <row r="61603" spans="1:141" s="116" customFormat="1">
      <c r="A61603" s="136"/>
      <c r="CM61603" s="111"/>
      <c r="CQ61603" s="111"/>
      <c r="EF61603"/>
      <c r="EG61603"/>
      <c r="EH61603"/>
      <c r="EI61603"/>
      <c r="EJ61603"/>
      <c r="EK61603"/>
    </row>
    <row r="61604" spans="1:141" s="116" customFormat="1">
      <c r="A61604" s="136"/>
      <c r="CM61604" s="111"/>
      <c r="CQ61604" s="111"/>
      <c r="EF61604"/>
      <c r="EG61604"/>
      <c r="EH61604"/>
      <c r="EI61604"/>
      <c r="EJ61604"/>
      <c r="EK61604"/>
    </row>
    <row r="61605" spans="1:141" s="116" customFormat="1">
      <c r="A61605" s="136"/>
      <c r="CM61605" s="111"/>
      <c r="CQ61605" s="111"/>
      <c r="EF61605"/>
      <c r="EG61605"/>
      <c r="EH61605"/>
      <c r="EI61605"/>
      <c r="EJ61605"/>
      <c r="EK61605"/>
    </row>
    <row r="61606" spans="1:141" s="116" customFormat="1">
      <c r="A61606" s="136"/>
      <c r="CM61606" s="111"/>
      <c r="CQ61606" s="111"/>
      <c r="EF61606"/>
      <c r="EG61606"/>
      <c r="EH61606"/>
      <c r="EI61606"/>
      <c r="EJ61606"/>
      <c r="EK61606"/>
    </row>
    <row r="61607" spans="1:141" s="116" customFormat="1">
      <c r="A61607" s="136"/>
      <c r="CM61607" s="111"/>
      <c r="CQ61607" s="111"/>
      <c r="EF61607"/>
      <c r="EG61607"/>
      <c r="EH61607"/>
      <c r="EI61607"/>
      <c r="EJ61607"/>
      <c r="EK61607"/>
    </row>
    <row r="61608" spans="1:141" s="116" customFormat="1">
      <c r="A61608" s="136"/>
      <c r="CM61608" s="111"/>
      <c r="CQ61608" s="111"/>
      <c r="EF61608"/>
      <c r="EG61608"/>
      <c r="EH61608"/>
      <c r="EI61608"/>
      <c r="EJ61608"/>
      <c r="EK61608"/>
    </row>
    <row r="61609" spans="1:141" s="116" customFormat="1">
      <c r="A61609" s="136"/>
      <c r="CM61609" s="111"/>
      <c r="CQ61609" s="111"/>
      <c r="EF61609"/>
      <c r="EG61609"/>
      <c r="EH61609"/>
      <c r="EI61609"/>
      <c r="EJ61609"/>
      <c r="EK61609"/>
    </row>
    <row r="61610" spans="1:141" s="116" customFormat="1">
      <c r="A61610" s="136"/>
      <c r="CM61610" s="111"/>
      <c r="CQ61610" s="111"/>
      <c r="EF61610"/>
      <c r="EG61610"/>
      <c r="EH61610"/>
      <c r="EI61610"/>
      <c r="EJ61610"/>
      <c r="EK61610"/>
    </row>
    <row r="61611" spans="1:141" s="116" customFormat="1">
      <c r="A61611" s="136"/>
      <c r="CM61611" s="111"/>
      <c r="CQ61611" s="111"/>
      <c r="EF61611"/>
      <c r="EG61611"/>
      <c r="EH61611"/>
      <c r="EI61611"/>
      <c r="EJ61611"/>
      <c r="EK61611"/>
    </row>
    <row r="61612" spans="1:141" s="116" customFormat="1">
      <c r="A61612" s="136"/>
      <c r="CM61612" s="111"/>
      <c r="CQ61612" s="111"/>
      <c r="EF61612"/>
      <c r="EG61612"/>
      <c r="EH61612"/>
      <c r="EI61612"/>
      <c r="EJ61612"/>
      <c r="EK61612"/>
    </row>
    <row r="61613" spans="1:141" s="116" customFormat="1">
      <c r="A61613" s="136"/>
      <c r="CM61613" s="111"/>
      <c r="CQ61613" s="111"/>
      <c r="EF61613"/>
      <c r="EG61613"/>
      <c r="EH61613"/>
      <c r="EI61613"/>
      <c r="EJ61613"/>
      <c r="EK61613"/>
    </row>
    <row r="61614" spans="1:141" s="116" customFormat="1">
      <c r="A61614" s="136"/>
      <c r="CM61614" s="111"/>
      <c r="CQ61614" s="111"/>
      <c r="EF61614"/>
      <c r="EG61614"/>
      <c r="EH61614"/>
      <c r="EI61614"/>
      <c r="EJ61614"/>
      <c r="EK61614"/>
    </row>
    <row r="61615" spans="1:141" s="116" customFormat="1">
      <c r="A61615" s="136"/>
      <c r="CM61615" s="111"/>
      <c r="CQ61615" s="111"/>
      <c r="EF61615"/>
      <c r="EG61615"/>
      <c r="EH61615"/>
      <c r="EI61615"/>
      <c r="EJ61615"/>
      <c r="EK61615"/>
    </row>
    <row r="61616" spans="1:141" s="116" customFormat="1">
      <c r="A61616" s="136"/>
      <c r="CM61616" s="111"/>
      <c r="CQ61616" s="111"/>
      <c r="EF61616"/>
      <c r="EG61616"/>
      <c r="EH61616"/>
      <c r="EI61616"/>
      <c r="EJ61616"/>
      <c r="EK61616"/>
    </row>
    <row r="61617" spans="1:141" s="116" customFormat="1">
      <c r="A61617" s="136"/>
      <c r="CM61617" s="111"/>
      <c r="CQ61617" s="111"/>
      <c r="EF61617"/>
      <c r="EG61617"/>
      <c r="EH61617"/>
      <c r="EI61617"/>
      <c r="EJ61617"/>
      <c r="EK61617"/>
    </row>
    <row r="61618" spans="1:141" s="116" customFormat="1">
      <c r="A61618" s="136"/>
      <c r="CM61618" s="111"/>
      <c r="CQ61618" s="111"/>
      <c r="EF61618"/>
      <c r="EG61618"/>
      <c r="EH61618"/>
      <c r="EI61618"/>
      <c r="EJ61618"/>
      <c r="EK61618"/>
    </row>
    <row r="61619" spans="1:141" s="116" customFormat="1">
      <c r="A61619" s="136"/>
      <c r="CM61619" s="111"/>
      <c r="CQ61619" s="111"/>
      <c r="EF61619"/>
      <c r="EG61619"/>
      <c r="EH61619"/>
      <c r="EI61619"/>
      <c r="EJ61619"/>
      <c r="EK61619"/>
    </row>
    <row r="61620" spans="1:141" s="116" customFormat="1">
      <c r="A61620" s="136"/>
      <c r="CM61620" s="111"/>
      <c r="CQ61620" s="111"/>
      <c r="EF61620"/>
      <c r="EG61620"/>
      <c r="EH61620"/>
      <c r="EI61620"/>
      <c r="EJ61620"/>
      <c r="EK61620"/>
    </row>
    <row r="61621" spans="1:141" s="116" customFormat="1">
      <c r="A61621" s="136"/>
      <c r="CM61621" s="111"/>
      <c r="CQ61621" s="111"/>
      <c r="EF61621"/>
      <c r="EG61621"/>
      <c r="EH61621"/>
      <c r="EI61621"/>
      <c r="EJ61621"/>
      <c r="EK61621"/>
    </row>
    <row r="61622" spans="1:141" s="116" customFormat="1">
      <c r="A61622" s="136"/>
      <c r="CM61622" s="111"/>
      <c r="CQ61622" s="111"/>
      <c r="EF61622"/>
      <c r="EG61622"/>
      <c r="EH61622"/>
      <c r="EI61622"/>
      <c r="EJ61622"/>
      <c r="EK61622"/>
    </row>
    <row r="61623" spans="1:141" s="116" customFormat="1">
      <c r="A61623" s="136"/>
      <c r="CM61623" s="111"/>
      <c r="CQ61623" s="111"/>
      <c r="EF61623"/>
      <c r="EG61623"/>
      <c r="EH61623"/>
      <c r="EI61623"/>
      <c r="EJ61623"/>
      <c r="EK61623"/>
    </row>
    <row r="61624" spans="1:141" s="116" customFormat="1">
      <c r="A61624" s="136"/>
      <c r="CM61624" s="111"/>
      <c r="CQ61624" s="111"/>
      <c r="EF61624"/>
      <c r="EG61624"/>
      <c r="EH61624"/>
      <c r="EI61624"/>
      <c r="EJ61624"/>
      <c r="EK61624"/>
    </row>
    <row r="61625" spans="1:141" s="116" customFormat="1">
      <c r="A61625" s="136"/>
      <c r="CM61625" s="111"/>
      <c r="CQ61625" s="111"/>
      <c r="EF61625"/>
      <c r="EG61625"/>
      <c r="EH61625"/>
      <c r="EI61625"/>
      <c r="EJ61625"/>
      <c r="EK61625"/>
    </row>
    <row r="61626" spans="1:141" s="116" customFormat="1">
      <c r="A61626" s="136"/>
      <c r="CM61626" s="111"/>
      <c r="CQ61626" s="111"/>
      <c r="EF61626"/>
      <c r="EG61626"/>
      <c r="EH61626"/>
      <c r="EI61626"/>
      <c r="EJ61626"/>
      <c r="EK61626"/>
    </row>
    <row r="61627" spans="1:141" s="116" customFormat="1">
      <c r="A61627" s="136"/>
      <c r="CM61627" s="111"/>
      <c r="CQ61627" s="111"/>
      <c r="EF61627"/>
      <c r="EG61627"/>
      <c r="EH61627"/>
      <c r="EI61627"/>
      <c r="EJ61627"/>
      <c r="EK61627"/>
    </row>
    <row r="61628" spans="1:141" s="116" customFormat="1">
      <c r="A61628" s="136"/>
      <c r="CM61628" s="111"/>
      <c r="CQ61628" s="111"/>
      <c r="EF61628"/>
      <c r="EG61628"/>
      <c r="EH61628"/>
      <c r="EI61628"/>
      <c r="EJ61628"/>
      <c r="EK61628"/>
    </row>
    <row r="61629" spans="1:141" s="116" customFormat="1">
      <c r="A61629" s="136"/>
      <c r="CM61629" s="111"/>
      <c r="CQ61629" s="111"/>
      <c r="EF61629"/>
      <c r="EG61629"/>
      <c r="EH61629"/>
      <c r="EI61629"/>
      <c r="EJ61629"/>
      <c r="EK61629"/>
    </row>
    <row r="61630" spans="1:141" s="116" customFormat="1">
      <c r="A61630" s="136"/>
      <c r="CM61630" s="111"/>
      <c r="CQ61630" s="111"/>
      <c r="EF61630"/>
      <c r="EG61630"/>
      <c r="EH61630"/>
      <c r="EI61630"/>
      <c r="EJ61630"/>
      <c r="EK61630"/>
    </row>
    <row r="61631" spans="1:141" s="116" customFormat="1">
      <c r="A61631" s="136"/>
      <c r="CM61631" s="111"/>
      <c r="CQ61631" s="111"/>
      <c r="EF61631"/>
      <c r="EG61631"/>
      <c r="EH61631"/>
      <c r="EI61631"/>
      <c r="EJ61631"/>
      <c r="EK61631"/>
    </row>
    <row r="61632" spans="1:141" s="116" customFormat="1">
      <c r="A61632" s="136"/>
      <c r="CM61632" s="111"/>
      <c r="CQ61632" s="111"/>
      <c r="EF61632"/>
      <c r="EG61632"/>
      <c r="EH61632"/>
      <c r="EI61632"/>
      <c r="EJ61632"/>
      <c r="EK61632"/>
    </row>
    <row r="61633" spans="1:141" s="116" customFormat="1">
      <c r="A61633" s="136"/>
      <c r="CM61633" s="111"/>
      <c r="CQ61633" s="111"/>
      <c r="EF61633"/>
      <c r="EG61633"/>
      <c r="EH61633"/>
      <c r="EI61633"/>
      <c r="EJ61633"/>
      <c r="EK61633"/>
    </row>
    <row r="61634" spans="1:141" s="116" customFormat="1">
      <c r="A61634" s="136"/>
      <c r="CM61634" s="111"/>
      <c r="CQ61634" s="111"/>
      <c r="EF61634"/>
      <c r="EG61634"/>
      <c r="EH61634"/>
      <c r="EI61634"/>
      <c r="EJ61634"/>
      <c r="EK61634"/>
    </row>
    <row r="61635" spans="1:141" s="116" customFormat="1">
      <c r="A61635" s="136"/>
      <c r="CM61635" s="111"/>
      <c r="CQ61635" s="111"/>
      <c r="EF61635"/>
      <c r="EG61635"/>
      <c r="EH61635"/>
      <c r="EI61635"/>
      <c r="EJ61635"/>
      <c r="EK61635"/>
    </row>
    <row r="61636" spans="1:141" s="116" customFormat="1">
      <c r="A61636" s="136"/>
      <c r="CM61636" s="111"/>
      <c r="CQ61636" s="111"/>
      <c r="EF61636"/>
      <c r="EG61636"/>
      <c r="EH61636"/>
      <c r="EI61636"/>
      <c r="EJ61636"/>
      <c r="EK61636"/>
    </row>
    <row r="61637" spans="1:141" s="116" customFormat="1">
      <c r="A61637" s="136"/>
      <c r="CM61637" s="111"/>
      <c r="CQ61637" s="111"/>
      <c r="EF61637"/>
      <c r="EG61637"/>
      <c r="EH61637"/>
      <c r="EI61637"/>
      <c r="EJ61637"/>
      <c r="EK61637"/>
    </row>
    <row r="61638" spans="1:141" s="116" customFormat="1">
      <c r="A61638" s="136"/>
      <c r="CM61638" s="111"/>
      <c r="CQ61638" s="111"/>
      <c r="EF61638"/>
      <c r="EG61638"/>
      <c r="EH61638"/>
      <c r="EI61638"/>
      <c r="EJ61638"/>
      <c r="EK61638"/>
    </row>
    <row r="61639" spans="1:141" s="116" customFormat="1">
      <c r="A61639" s="136"/>
      <c r="CM61639" s="111"/>
      <c r="CQ61639" s="111"/>
      <c r="EF61639"/>
      <c r="EG61639"/>
      <c r="EH61639"/>
      <c r="EI61639"/>
      <c r="EJ61639"/>
      <c r="EK61639"/>
    </row>
    <row r="61640" spans="1:141" s="116" customFormat="1">
      <c r="A61640" s="136"/>
      <c r="CM61640" s="111"/>
      <c r="CQ61640" s="111"/>
      <c r="EF61640"/>
      <c r="EG61640"/>
      <c r="EH61640"/>
      <c r="EI61640"/>
      <c r="EJ61640"/>
      <c r="EK61640"/>
    </row>
    <row r="61641" spans="1:141" s="116" customFormat="1">
      <c r="A61641" s="136"/>
      <c r="CM61641" s="111"/>
      <c r="CQ61641" s="111"/>
      <c r="EF61641"/>
      <c r="EG61641"/>
      <c r="EH61641"/>
      <c r="EI61641"/>
      <c r="EJ61641"/>
      <c r="EK61641"/>
    </row>
    <row r="61642" spans="1:141" s="116" customFormat="1">
      <c r="A61642" s="136"/>
      <c r="CM61642" s="111"/>
      <c r="CQ61642" s="111"/>
      <c r="EF61642"/>
      <c r="EG61642"/>
      <c r="EH61642"/>
      <c r="EI61642"/>
      <c r="EJ61642"/>
      <c r="EK61642"/>
    </row>
    <row r="61643" spans="1:141" s="116" customFormat="1">
      <c r="A61643" s="136"/>
      <c r="CM61643" s="111"/>
      <c r="CQ61643" s="111"/>
      <c r="EF61643"/>
      <c r="EG61643"/>
      <c r="EH61643"/>
      <c r="EI61643"/>
      <c r="EJ61643"/>
      <c r="EK61643"/>
    </row>
    <row r="61644" spans="1:141" s="116" customFormat="1">
      <c r="A61644" s="136"/>
      <c r="CM61644" s="111"/>
      <c r="CQ61644" s="111"/>
      <c r="EF61644"/>
      <c r="EG61644"/>
      <c r="EH61644"/>
      <c r="EI61644"/>
      <c r="EJ61644"/>
      <c r="EK61644"/>
    </row>
    <row r="61645" spans="1:141" s="116" customFormat="1">
      <c r="A61645" s="136"/>
      <c r="CM61645" s="111"/>
      <c r="CQ61645" s="111"/>
      <c r="EF61645"/>
      <c r="EG61645"/>
      <c r="EH61645"/>
      <c r="EI61645"/>
      <c r="EJ61645"/>
      <c r="EK61645"/>
    </row>
    <row r="61646" spans="1:141" s="116" customFormat="1">
      <c r="A61646" s="136"/>
      <c r="CM61646" s="111"/>
      <c r="CQ61646" s="111"/>
      <c r="EF61646"/>
      <c r="EG61646"/>
      <c r="EH61646"/>
      <c r="EI61646"/>
      <c r="EJ61646"/>
      <c r="EK61646"/>
    </row>
    <row r="61647" spans="1:141" s="116" customFormat="1">
      <c r="A61647" s="136"/>
      <c r="CM61647" s="111"/>
      <c r="CQ61647" s="111"/>
      <c r="EF61647"/>
      <c r="EG61647"/>
      <c r="EH61647"/>
      <c r="EI61647"/>
      <c r="EJ61647"/>
      <c r="EK61647"/>
    </row>
    <row r="61648" spans="1:141" s="116" customFormat="1">
      <c r="A61648" s="136"/>
      <c r="CM61648" s="111"/>
      <c r="CQ61648" s="111"/>
      <c r="EF61648"/>
      <c r="EG61648"/>
      <c r="EH61648"/>
      <c r="EI61648"/>
      <c r="EJ61648"/>
      <c r="EK61648"/>
    </row>
    <row r="61649" spans="1:141" s="116" customFormat="1">
      <c r="A61649" s="136"/>
      <c r="CM61649" s="111"/>
      <c r="CQ61649" s="111"/>
      <c r="EF61649"/>
      <c r="EG61649"/>
      <c r="EH61649"/>
      <c r="EI61649"/>
      <c r="EJ61649"/>
      <c r="EK61649"/>
    </row>
    <row r="61650" spans="1:141" s="116" customFormat="1">
      <c r="A61650" s="136"/>
      <c r="CM61650" s="111"/>
      <c r="CQ61650" s="111"/>
      <c r="EF61650"/>
      <c r="EG61650"/>
      <c r="EH61650"/>
      <c r="EI61650"/>
      <c r="EJ61650"/>
      <c r="EK61650"/>
    </row>
    <row r="61651" spans="1:141" s="116" customFormat="1">
      <c r="A61651" s="136"/>
      <c r="CM61651" s="111"/>
      <c r="CQ61651" s="111"/>
      <c r="EF61651"/>
      <c r="EG61651"/>
      <c r="EH61651"/>
      <c r="EI61651"/>
      <c r="EJ61651"/>
      <c r="EK61651"/>
    </row>
    <row r="61652" spans="1:141" s="116" customFormat="1">
      <c r="A61652" s="136"/>
      <c r="CM61652" s="111"/>
      <c r="CQ61652" s="111"/>
      <c r="EF61652"/>
      <c r="EG61652"/>
      <c r="EH61652"/>
      <c r="EI61652"/>
      <c r="EJ61652"/>
      <c r="EK61652"/>
    </row>
    <row r="61653" spans="1:141" s="116" customFormat="1">
      <c r="A61653" s="136"/>
      <c r="CM61653" s="111"/>
      <c r="CQ61653" s="111"/>
      <c r="EF61653"/>
      <c r="EG61653"/>
      <c r="EH61653"/>
      <c r="EI61653"/>
      <c r="EJ61653"/>
      <c r="EK61653"/>
    </row>
    <row r="61654" spans="1:141" s="116" customFormat="1">
      <c r="A61654" s="136"/>
      <c r="CM61654" s="111"/>
      <c r="CQ61654" s="111"/>
      <c r="EF61654"/>
      <c r="EG61654"/>
      <c r="EH61654"/>
      <c r="EI61654"/>
      <c r="EJ61654"/>
      <c r="EK61654"/>
    </row>
    <row r="61655" spans="1:141" s="116" customFormat="1">
      <c r="A61655" s="136"/>
      <c r="CM61655" s="111"/>
      <c r="CQ61655" s="111"/>
      <c r="EF61655"/>
      <c r="EG61655"/>
      <c r="EH61655"/>
      <c r="EI61655"/>
      <c r="EJ61655"/>
      <c r="EK61655"/>
    </row>
    <row r="61656" spans="1:141" s="116" customFormat="1">
      <c r="A61656" s="136"/>
      <c r="CM61656" s="111"/>
      <c r="CQ61656" s="111"/>
      <c r="EF61656"/>
      <c r="EG61656"/>
      <c r="EH61656"/>
      <c r="EI61656"/>
      <c r="EJ61656"/>
      <c r="EK61656"/>
    </row>
    <row r="61657" spans="1:141" s="116" customFormat="1">
      <c r="A61657" s="136"/>
      <c r="CM61657" s="111"/>
      <c r="CQ61657" s="111"/>
      <c r="EF61657"/>
      <c r="EG61657"/>
      <c r="EH61657"/>
      <c r="EI61657"/>
      <c r="EJ61657"/>
      <c r="EK61657"/>
    </row>
    <row r="61658" spans="1:141" s="116" customFormat="1">
      <c r="A61658" s="136"/>
      <c r="CM61658" s="111"/>
      <c r="CQ61658" s="111"/>
      <c r="EF61658"/>
      <c r="EG61658"/>
      <c r="EH61658"/>
      <c r="EI61658"/>
      <c r="EJ61658"/>
      <c r="EK61658"/>
    </row>
    <row r="61659" spans="1:141" s="116" customFormat="1">
      <c r="A61659" s="136"/>
      <c r="CM61659" s="111"/>
      <c r="CQ61659" s="111"/>
      <c r="EF61659"/>
      <c r="EG61659"/>
      <c r="EH61659"/>
      <c r="EI61659"/>
      <c r="EJ61659"/>
      <c r="EK61659"/>
    </row>
    <row r="61660" spans="1:141" s="116" customFormat="1">
      <c r="A61660" s="136"/>
      <c r="CM61660" s="111"/>
      <c r="CQ61660" s="111"/>
      <c r="EF61660"/>
      <c r="EG61660"/>
      <c r="EH61660"/>
      <c r="EI61660"/>
      <c r="EJ61660"/>
      <c r="EK61660"/>
    </row>
    <row r="61661" spans="1:141" s="116" customFormat="1">
      <c r="A61661" s="136"/>
      <c r="CM61661" s="111"/>
      <c r="CQ61661" s="111"/>
      <c r="EF61661"/>
      <c r="EG61661"/>
      <c r="EH61661"/>
      <c r="EI61661"/>
      <c r="EJ61661"/>
      <c r="EK61661"/>
    </row>
    <row r="61662" spans="1:141" s="116" customFormat="1">
      <c r="A61662" s="136"/>
      <c r="CM61662" s="111"/>
      <c r="CQ61662" s="111"/>
      <c r="EF61662"/>
      <c r="EG61662"/>
      <c r="EH61662"/>
      <c r="EI61662"/>
      <c r="EJ61662"/>
      <c r="EK61662"/>
    </row>
    <row r="61663" spans="1:141" s="116" customFormat="1">
      <c r="A61663" s="136"/>
      <c r="CM61663" s="111"/>
      <c r="CQ61663" s="111"/>
      <c r="EF61663"/>
      <c r="EG61663"/>
      <c r="EH61663"/>
      <c r="EI61663"/>
      <c r="EJ61663"/>
      <c r="EK61663"/>
    </row>
    <row r="61664" spans="1:141" s="116" customFormat="1">
      <c r="A61664" s="136"/>
      <c r="CM61664" s="111"/>
      <c r="CQ61664" s="111"/>
      <c r="EF61664"/>
      <c r="EG61664"/>
      <c r="EH61664"/>
      <c r="EI61664"/>
      <c r="EJ61664"/>
      <c r="EK61664"/>
    </row>
    <row r="61665" spans="1:141" s="116" customFormat="1">
      <c r="A61665" s="136"/>
      <c r="CM61665" s="111"/>
      <c r="CQ61665" s="111"/>
      <c r="EF61665"/>
      <c r="EG61665"/>
      <c r="EH61665"/>
      <c r="EI61665"/>
      <c r="EJ61665"/>
      <c r="EK61665"/>
    </row>
    <row r="61666" spans="1:141" s="116" customFormat="1">
      <c r="A61666" s="136"/>
      <c r="CM61666" s="111"/>
      <c r="CQ61666" s="111"/>
      <c r="EF61666"/>
      <c r="EG61666"/>
      <c r="EH61666"/>
      <c r="EI61666"/>
      <c r="EJ61666"/>
      <c r="EK61666"/>
    </row>
    <row r="61667" spans="1:141" s="116" customFormat="1">
      <c r="A61667" s="136"/>
      <c r="CM61667" s="111"/>
      <c r="CQ61667" s="111"/>
      <c r="EF61667"/>
      <c r="EG61667"/>
      <c r="EH61667"/>
      <c r="EI61667"/>
      <c r="EJ61667"/>
      <c r="EK61667"/>
    </row>
    <row r="61668" spans="1:141" s="116" customFormat="1">
      <c r="A61668" s="136"/>
      <c r="CM61668" s="111"/>
      <c r="CQ61668" s="111"/>
      <c r="EF61668"/>
      <c r="EG61668"/>
      <c r="EH61668"/>
      <c r="EI61668"/>
      <c r="EJ61668"/>
      <c r="EK61668"/>
    </row>
    <row r="61669" spans="1:141" s="116" customFormat="1">
      <c r="A61669" s="136"/>
      <c r="CM61669" s="111"/>
      <c r="CQ61669" s="111"/>
      <c r="EF61669"/>
      <c r="EG61669"/>
      <c r="EH61669"/>
      <c r="EI61669"/>
      <c r="EJ61669"/>
      <c r="EK61669"/>
    </row>
    <row r="61670" spans="1:141" s="116" customFormat="1">
      <c r="A61670" s="136"/>
      <c r="CM61670" s="111"/>
      <c r="CQ61670" s="111"/>
      <c r="EF61670"/>
      <c r="EG61670"/>
      <c r="EH61670"/>
      <c r="EI61670"/>
      <c r="EJ61670"/>
      <c r="EK61670"/>
    </row>
    <row r="61671" spans="1:141" s="116" customFormat="1">
      <c r="A61671" s="136"/>
      <c r="CM61671" s="111"/>
      <c r="CQ61671" s="111"/>
      <c r="EF61671"/>
      <c r="EG61671"/>
      <c r="EH61671"/>
      <c r="EI61671"/>
      <c r="EJ61671"/>
      <c r="EK61671"/>
    </row>
    <row r="61672" spans="1:141" s="116" customFormat="1">
      <c r="A61672" s="136"/>
      <c r="CM61672" s="111"/>
      <c r="CQ61672" s="111"/>
      <c r="EF61672"/>
      <c r="EG61672"/>
      <c r="EH61672"/>
      <c r="EI61672"/>
      <c r="EJ61672"/>
      <c r="EK61672"/>
    </row>
    <row r="61673" spans="1:141" s="116" customFormat="1">
      <c r="A61673" s="136"/>
      <c r="CM61673" s="111"/>
      <c r="CQ61673" s="111"/>
      <c r="EF61673"/>
      <c r="EG61673"/>
      <c r="EH61673"/>
      <c r="EI61673"/>
      <c r="EJ61673"/>
      <c r="EK61673"/>
    </row>
    <row r="61674" spans="1:141" s="116" customFormat="1">
      <c r="A61674" s="136"/>
      <c r="CM61674" s="111"/>
      <c r="CQ61674" s="111"/>
      <c r="EF61674"/>
      <c r="EG61674"/>
      <c r="EH61674"/>
      <c r="EI61674"/>
      <c r="EJ61674"/>
      <c r="EK61674"/>
    </row>
    <row r="61675" spans="1:141" s="116" customFormat="1">
      <c r="A61675" s="136"/>
      <c r="CM61675" s="111"/>
      <c r="CQ61675" s="111"/>
      <c r="EF61675"/>
      <c r="EG61675"/>
      <c r="EH61675"/>
      <c r="EI61675"/>
      <c r="EJ61675"/>
      <c r="EK61675"/>
    </row>
    <row r="61676" spans="1:141" s="116" customFormat="1">
      <c r="A61676" s="136"/>
      <c r="CM61676" s="111"/>
      <c r="CQ61676" s="111"/>
      <c r="EF61676"/>
      <c r="EG61676"/>
      <c r="EH61676"/>
      <c r="EI61676"/>
      <c r="EJ61676"/>
      <c r="EK61676"/>
    </row>
    <row r="61677" spans="1:141" s="116" customFormat="1">
      <c r="A61677" s="136"/>
      <c r="CM61677" s="111"/>
      <c r="CQ61677" s="111"/>
      <c r="EF61677"/>
      <c r="EG61677"/>
      <c r="EH61677"/>
      <c r="EI61677"/>
      <c r="EJ61677"/>
      <c r="EK61677"/>
    </row>
    <row r="61678" spans="1:141" s="116" customFormat="1">
      <c r="A61678" s="136"/>
      <c r="CM61678" s="111"/>
      <c r="CQ61678" s="111"/>
      <c r="EF61678"/>
      <c r="EG61678"/>
      <c r="EH61678"/>
      <c r="EI61678"/>
      <c r="EJ61678"/>
      <c r="EK61678"/>
    </row>
    <row r="61679" spans="1:141" s="116" customFormat="1">
      <c r="A61679" s="136"/>
      <c r="CM61679" s="111"/>
      <c r="CQ61679" s="111"/>
      <c r="EF61679"/>
      <c r="EG61679"/>
      <c r="EH61679"/>
      <c r="EI61679"/>
      <c r="EJ61679"/>
      <c r="EK61679"/>
    </row>
    <row r="61680" spans="1:141" s="116" customFormat="1">
      <c r="A61680" s="136"/>
      <c r="CM61680" s="111"/>
      <c r="CQ61680" s="111"/>
      <c r="EF61680"/>
      <c r="EG61680"/>
      <c r="EH61680"/>
      <c r="EI61680"/>
      <c r="EJ61680"/>
      <c r="EK61680"/>
    </row>
    <row r="61681" spans="1:141" s="116" customFormat="1">
      <c r="A61681" s="136"/>
      <c r="CM61681" s="111"/>
      <c r="CQ61681" s="111"/>
      <c r="EF61681"/>
      <c r="EG61681"/>
      <c r="EH61681"/>
      <c r="EI61681"/>
      <c r="EJ61681"/>
      <c r="EK61681"/>
    </row>
    <row r="61682" spans="1:141" s="116" customFormat="1">
      <c r="A61682" s="136"/>
      <c r="CM61682" s="111"/>
      <c r="CQ61682" s="111"/>
      <c r="EF61682"/>
      <c r="EG61682"/>
      <c r="EH61682"/>
      <c r="EI61682"/>
      <c r="EJ61682"/>
      <c r="EK61682"/>
    </row>
    <row r="61683" spans="1:141" s="116" customFormat="1">
      <c r="A61683" s="136"/>
      <c r="CM61683" s="111"/>
      <c r="CQ61683" s="111"/>
      <c r="EF61683"/>
      <c r="EG61683"/>
      <c r="EH61683"/>
      <c r="EI61683"/>
      <c r="EJ61683"/>
      <c r="EK61683"/>
    </row>
    <row r="61684" spans="1:141" s="116" customFormat="1">
      <c r="A61684" s="136"/>
      <c r="CM61684" s="111"/>
      <c r="CQ61684" s="111"/>
      <c r="EF61684"/>
      <c r="EG61684"/>
      <c r="EH61684"/>
      <c r="EI61684"/>
      <c r="EJ61684"/>
      <c r="EK61684"/>
    </row>
    <row r="61685" spans="1:141" s="116" customFormat="1">
      <c r="A61685" s="136"/>
      <c r="CM61685" s="111"/>
      <c r="CQ61685" s="111"/>
      <c r="EF61685"/>
      <c r="EG61685"/>
      <c r="EH61685"/>
      <c r="EI61685"/>
      <c r="EJ61685"/>
      <c r="EK61685"/>
    </row>
    <row r="61686" spans="1:141" s="116" customFormat="1">
      <c r="A61686" s="136"/>
      <c r="CM61686" s="111"/>
      <c r="CQ61686" s="111"/>
      <c r="EF61686"/>
      <c r="EG61686"/>
      <c r="EH61686"/>
      <c r="EI61686"/>
      <c r="EJ61686"/>
      <c r="EK61686"/>
    </row>
    <row r="61687" spans="1:141" s="116" customFormat="1">
      <c r="A61687" s="136"/>
      <c r="CM61687" s="111"/>
      <c r="CQ61687" s="111"/>
      <c r="EF61687"/>
      <c r="EG61687"/>
      <c r="EH61687"/>
      <c r="EI61687"/>
      <c r="EJ61687"/>
      <c r="EK61687"/>
    </row>
    <row r="61688" spans="1:141" s="116" customFormat="1">
      <c r="A61688" s="136"/>
      <c r="CM61688" s="111"/>
      <c r="CQ61688" s="111"/>
      <c r="EF61688"/>
      <c r="EG61688"/>
      <c r="EH61688"/>
      <c r="EI61688"/>
      <c r="EJ61688"/>
      <c r="EK61688"/>
    </row>
    <row r="61689" spans="1:141" s="116" customFormat="1">
      <c r="A61689" s="136"/>
      <c r="CM61689" s="111"/>
      <c r="CQ61689" s="111"/>
      <c r="EF61689"/>
      <c r="EG61689"/>
      <c r="EH61689"/>
      <c r="EI61689"/>
      <c r="EJ61689"/>
      <c r="EK61689"/>
    </row>
    <row r="61690" spans="1:141" s="116" customFormat="1">
      <c r="A61690" s="136"/>
      <c r="CM61690" s="111"/>
      <c r="CQ61690" s="111"/>
      <c r="EF61690"/>
      <c r="EG61690"/>
      <c r="EH61690"/>
      <c r="EI61690"/>
      <c r="EJ61690"/>
      <c r="EK61690"/>
    </row>
    <row r="61691" spans="1:141" s="116" customFormat="1">
      <c r="A61691" s="136"/>
      <c r="CM61691" s="111"/>
      <c r="CQ61691" s="111"/>
      <c r="EF61691"/>
      <c r="EG61691"/>
      <c r="EH61691"/>
      <c r="EI61691"/>
      <c r="EJ61691"/>
      <c r="EK61691"/>
    </row>
    <row r="61692" spans="1:141" s="116" customFormat="1">
      <c r="A61692" s="136"/>
      <c r="CM61692" s="111"/>
      <c r="CQ61692" s="111"/>
      <c r="EF61692"/>
      <c r="EG61692"/>
      <c r="EH61692"/>
      <c r="EI61692"/>
      <c r="EJ61692"/>
      <c r="EK61692"/>
    </row>
    <row r="61693" spans="1:141" s="116" customFormat="1">
      <c r="A61693" s="136"/>
      <c r="CM61693" s="111"/>
      <c r="CQ61693" s="111"/>
      <c r="EF61693"/>
      <c r="EG61693"/>
      <c r="EH61693"/>
      <c r="EI61693"/>
      <c r="EJ61693"/>
      <c r="EK61693"/>
    </row>
    <row r="61694" spans="1:141" s="116" customFormat="1">
      <c r="A61694" s="136"/>
      <c r="CM61694" s="111"/>
      <c r="CQ61694" s="111"/>
      <c r="EF61694"/>
      <c r="EG61694"/>
      <c r="EH61694"/>
      <c r="EI61694"/>
      <c r="EJ61694"/>
      <c r="EK61694"/>
    </row>
    <row r="61695" spans="1:141" s="116" customFormat="1">
      <c r="A61695" s="136"/>
      <c r="CM61695" s="111"/>
      <c r="CQ61695" s="111"/>
      <c r="EF61695"/>
      <c r="EG61695"/>
      <c r="EH61695"/>
      <c r="EI61695"/>
      <c r="EJ61695"/>
      <c r="EK61695"/>
    </row>
    <row r="61696" spans="1:141" s="116" customFormat="1">
      <c r="A61696" s="136"/>
      <c r="CM61696" s="111"/>
      <c r="CQ61696" s="111"/>
      <c r="EF61696"/>
      <c r="EG61696"/>
      <c r="EH61696"/>
      <c r="EI61696"/>
      <c r="EJ61696"/>
      <c r="EK61696"/>
    </row>
    <row r="61697" spans="1:141" s="116" customFormat="1">
      <c r="A61697" s="136"/>
      <c r="CM61697" s="111"/>
      <c r="CQ61697" s="111"/>
      <c r="EF61697"/>
      <c r="EG61697"/>
      <c r="EH61697"/>
      <c r="EI61697"/>
      <c r="EJ61697"/>
      <c r="EK61697"/>
    </row>
    <row r="61698" spans="1:141" s="116" customFormat="1">
      <c r="A61698" s="136"/>
      <c r="CM61698" s="111"/>
      <c r="CQ61698" s="111"/>
      <c r="EF61698"/>
      <c r="EG61698"/>
      <c r="EH61698"/>
      <c r="EI61698"/>
      <c r="EJ61698"/>
      <c r="EK61698"/>
    </row>
    <row r="61699" spans="1:141" s="116" customFormat="1">
      <c r="A61699" s="136"/>
      <c r="CM61699" s="111"/>
      <c r="CQ61699" s="111"/>
      <c r="EF61699"/>
      <c r="EG61699"/>
      <c r="EH61699"/>
      <c r="EI61699"/>
      <c r="EJ61699"/>
      <c r="EK61699"/>
    </row>
    <row r="61700" spans="1:141" s="116" customFormat="1">
      <c r="A61700" s="136"/>
      <c r="CM61700" s="111"/>
      <c r="CQ61700" s="111"/>
      <c r="EF61700"/>
      <c r="EG61700"/>
      <c r="EH61700"/>
      <c r="EI61700"/>
      <c r="EJ61700"/>
      <c r="EK61700"/>
    </row>
    <row r="61701" spans="1:141" s="116" customFormat="1">
      <c r="A61701" s="136"/>
      <c r="CM61701" s="111"/>
      <c r="CQ61701" s="111"/>
      <c r="EF61701"/>
      <c r="EG61701"/>
      <c r="EH61701"/>
      <c r="EI61701"/>
      <c r="EJ61701"/>
      <c r="EK61701"/>
    </row>
    <row r="61702" spans="1:141" s="116" customFormat="1">
      <c r="A61702" s="136"/>
      <c r="CM61702" s="111"/>
      <c r="CQ61702" s="111"/>
      <c r="EF61702"/>
      <c r="EG61702"/>
      <c r="EH61702"/>
      <c r="EI61702"/>
      <c r="EJ61702"/>
      <c r="EK61702"/>
    </row>
    <row r="61703" spans="1:141" s="116" customFormat="1">
      <c r="A61703" s="136"/>
      <c r="CM61703" s="111"/>
      <c r="CQ61703" s="111"/>
      <c r="EF61703"/>
      <c r="EG61703"/>
      <c r="EH61703"/>
      <c r="EI61703"/>
      <c r="EJ61703"/>
      <c r="EK61703"/>
    </row>
    <row r="61704" spans="1:141" s="116" customFormat="1">
      <c r="A61704" s="136"/>
      <c r="CM61704" s="111"/>
      <c r="CQ61704" s="111"/>
      <c r="EF61704"/>
      <c r="EG61704"/>
      <c r="EH61704"/>
      <c r="EI61704"/>
      <c r="EJ61704"/>
      <c r="EK61704"/>
    </row>
    <row r="61705" spans="1:141" s="116" customFormat="1">
      <c r="A61705" s="136"/>
      <c r="CM61705" s="111"/>
      <c r="CQ61705" s="111"/>
      <c r="EF61705"/>
      <c r="EG61705"/>
      <c r="EH61705"/>
      <c r="EI61705"/>
      <c r="EJ61705"/>
      <c r="EK61705"/>
    </row>
    <row r="61706" spans="1:141" s="116" customFormat="1">
      <c r="A61706" s="136"/>
      <c r="CM61706" s="111"/>
      <c r="CQ61706" s="111"/>
      <c r="EF61706"/>
      <c r="EG61706"/>
      <c r="EH61706"/>
      <c r="EI61706"/>
      <c r="EJ61706"/>
      <c r="EK61706"/>
    </row>
    <row r="61707" spans="1:141" s="116" customFormat="1">
      <c r="A61707" s="136"/>
      <c r="CM61707" s="111"/>
      <c r="CQ61707" s="111"/>
      <c r="EF61707"/>
      <c r="EG61707"/>
      <c r="EH61707"/>
      <c r="EI61707"/>
      <c r="EJ61707"/>
      <c r="EK61707"/>
    </row>
    <row r="61708" spans="1:141" s="116" customFormat="1">
      <c r="A61708" s="136"/>
      <c r="CM61708" s="111"/>
      <c r="CQ61708" s="111"/>
      <c r="EF61708"/>
      <c r="EG61708"/>
      <c r="EH61708"/>
      <c r="EI61708"/>
      <c r="EJ61708"/>
      <c r="EK61708"/>
    </row>
    <row r="61709" spans="1:141" s="116" customFormat="1">
      <c r="A61709" s="136"/>
      <c r="CM61709" s="111"/>
      <c r="CQ61709" s="111"/>
      <c r="EF61709"/>
      <c r="EG61709"/>
      <c r="EH61709"/>
      <c r="EI61709"/>
      <c r="EJ61709"/>
      <c r="EK61709"/>
    </row>
    <row r="61710" spans="1:141" s="116" customFormat="1">
      <c r="A61710" s="136"/>
      <c r="CM61710" s="111"/>
      <c r="CQ61710" s="111"/>
      <c r="EF61710"/>
      <c r="EG61710"/>
      <c r="EH61710"/>
      <c r="EI61710"/>
      <c r="EJ61710"/>
      <c r="EK61710"/>
    </row>
    <row r="61711" spans="1:141" s="116" customFormat="1">
      <c r="A61711" s="136"/>
      <c r="CM61711" s="111"/>
      <c r="CQ61711" s="111"/>
      <c r="EF61711"/>
      <c r="EG61711"/>
      <c r="EH61711"/>
      <c r="EI61711"/>
      <c r="EJ61711"/>
      <c r="EK61711"/>
    </row>
    <row r="61712" spans="1:141" s="116" customFormat="1">
      <c r="A61712" s="136"/>
      <c r="CM61712" s="111"/>
      <c r="CQ61712" s="111"/>
      <c r="EF61712"/>
      <c r="EG61712"/>
      <c r="EH61712"/>
      <c r="EI61712"/>
      <c r="EJ61712"/>
      <c r="EK61712"/>
    </row>
    <row r="61713" spans="1:141" s="116" customFormat="1">
      <c r="A61713" s="136"/>
      <c r="CM61713" s="111"/>
      <c r="CQ61713" s="111"/>
      <c r="EF61713"/>
      <c r="EG61713"/>
      <c r="EH61713"/>
      <c r="EI61713"/>
      <c r="EJ61713"/>
      <c r="EK61713"/>
    </row>
    <row r="61714" spans="1:141" s="116" customFormat="1">
      <c r="A61714" s="136"/>
      <c r="CM61714" s="111"/>
      <c r="CQ61714" s="111"/>
      <c r="EF61714"/>
      <c r="EG61714"/>
      <c r="EH61714"/>
      <c r="EI61714"/>
      <c r="EJ61714"/>
      <c r="EK61714"/>
    </row>
    <row r="61715" spans="1:141" s="116" customFormat="1">
      <c r="A61715" s="136"/>
      <c r="CM61715" s="111"/>
      <c r="CQ61715" s="111"/>
      <c r="EF61715"/>
      <c r="EG61715"/>
      <c r="EH61715"/>
      <c r="EI61715"/>
      <c r="EJ61715"/>
      <c r="EK61715"/>
    </row>
    <row r="61716" spans="1:141" s="116" customFormat="1">
      <c r="A61716" s="136"/>
      <c r="CM61716" s="111"/>
      <c r="CQ61716" s="111"/>
      <c r="EF61716"/>
      <c r="EG61716"/>
      <c r="EH61716"/>
      <c r="EI61716"/>
      <c r="EJ61716"/>
      <c r="EK61716"/>
    </row>
    <row r="61717" spans="1:141" s="116" customFormat="1">
      <c r="A61717" s="136"/>
      <c r="CM61717" s="111"/>
      <c r="CQ61717" s="111"/>
      <c r="EF61717"/>
      <c r="EG61717"/>
      <c r="EH61717"/>
      <c r="EI61717"/>
      <c r="EJ61717"/>
      <c r="EK61717"/>
    </row>
    <row r="61718" spans="1:141" s="116" customFormat="1">
      <c r="A61718" s="136"/>
      <c r="CM61718" s="111"/>
      <c r="CQ61718" s="111"/>
      <c r="EF61718"/>
      <c r="EG61718"/>
      <c r="EH61718"/>
      <c r="EI61718"/>
      <c r="EJ61718"/>
      <c r="EK61718"/>
    </row>
    <row r="61719" spans="1:141" s="116" customFormat="1">
      <c r="A61719" s="136"/>
      <c r="CM61719" s="111"/>
      <c r="CQ61719" s="111"/>
      <c r="EF61719"/>
      <c r="EG61719"/>
      <c r="EH61719"/>
      <c r="EI61719"/>
      <c r="EJ61719"/>
      <c r="EK61719"/>
    </row>
    <row r="61720" spans="1:141" s="116" customFormat="1">
      <c r="A61720" s="136"/>
      <c r="CM61720" s="111"/>
      <c r="CQ61720" s="111"/>
      <c r="EF61720"/>
      <c r="EG61720"/>
      <c r="EH61720"/>
      <c r="EI61720"/>
      <c r="EJ61720"/>
      <c r="EK61720"/>
    </row>
    <row r="61721" spans="1:141" s="116" customFormat="1">
      <c r="A61721" s="136"/>
      <c r="CM61721" s="111"/>
      <c r="CQ61721" s="111"/>
      <c r="EF61721"/>
      <c r="EG61721"/>
      <c r="EH61721"/>
      <c r="EI61721"/>
      <c r="EJ61721"/>
      <c r="EK61721"/>
    </row>
    <row r="61722" spans="1:141" s="116" customFormat="1">
      <c r="A61722" s="136"/>
      <c r="CM61722" s="111"/>
      <c r="CQ61722" s="111"/>
      <c r="EF61722"/>
      <c r="EG61722"/>
      <c r="EH61722"/>
      <c r="EI61722"/>
      <c r="EJ61722"/>
      <c r="EK61722"/>
    </row>
    <row r="61723" spans="1:141" s="116" customFormat="1">
      <c r="A61723" s="136"/>
      <c r="CM61723" s="111"/>
      <c r="CQ61723" s="111"/>
      <c r="EF61723"/>
      <c r="EG61723"/>
      <c r="EH61723"/>
      <c r="EI61723"/>
      <c r="EJ61723"/>
      <c r="EK61723"/>
    </row>
    <row r="61724" spans="1:141" s="116" customFormat="1">
      <c r="A61724" s="136"/>
      <c r="CM61724" s="111"/>
      <c r="CQ61724" s="111"/>
      <c r="EF61724"/>
      <c r="EG61724"/>
      <c r="EH61724"/>
      <c r="EI61724"/>
      <c r="EJ61724"/>
      <c r="EK61724"/>
    </row>
    <row r="61725" spans="1:141" s="116" customFormat="1">
      <c r="A61725" s="136"/>
      <c r="CM61725" s="111"/>
      <c r="CQ61725" s="111"/>
      <c r="EF61725"/>
      <c r="EG61725"/>
      <c r="EH61725"/>
      <c r="EI61725"/>
      <c r="EJ61725"/>
      <c r="EK61725"/>
    </row>
    <row r="61726" spans="1:141" s="116" customFormat="1">
      <c r="A61726" s="136"/>
      <c r="CM61726" s="111"/>
      <c r="CQ61726" s="111"/>
      <c r="EF61726"/>
      <c r="EG61726"/>
      <c r="EH61726"/>
      <c r="EI61726"/>
      <c r="EJ61726"/>
      <c r="EK61726"/>
    </row>
    <row r="61727" spans="1:141" s="116" customFormat="1">
      <c r="A61727" s="136"/>
      <c r="CM61727" s="111"/>
      <c r="CQ61727" s="111"/>
      <c r="EF61727"/>
      <c r="EG61727"/>
      <c r="EH61727"/>
      <c r="EI61727"/>
      <c r="EJ61727"/>
      <c r="EK61727"/>
    </row>
    <row r="61728" spans="1:141" s="116" customFormat="1">
      <c r="A61728" s="136"/>
      <c r="CM61728" s="111"/>
      <c r="CQ61728" s="111"/>
      <c r="EF61728"/>
      <c r="EG61728"/>
      <c r="EH61728"/>
      <c r="EI61728"/>
      <c r="EJ61728"/>
      <c r="EK61728"/>
    </row>
    <row r="61729" spans="1:141" s="116" customFormat="1">
      <c r="A61729" s="136"/>
      <c r="CM61729" s="111"/>
      <c r="CQ61729" s="111"/>
      <c r="EF61729"/>
      <c r="EG61729"/>
      <c r="EH61729"/>
      <c r="EI61729"/>
      <c r="EJ61729"/>
      <c r="EK61729"/>
    </row>
    <row r="61730" spans="1:141" s="116" customFormat="1">
      <c r="A61730" s="136"/>
      <c r="CM61730" s="111"/>
      <c r="CQ61730" s="111"/>
      <c r="EF61730"/>
      <c r="EG61730"/>
      <c r="EH61730"/>
      <c r="EI61730"/>
      <c r="EJ61730"/>
      <c r="EK61730"/>
    </row>
    <row r="61731" spans="1:141" s="116" customFormat="1">
      <c r="A61731" s="136"/>
      <c r="CM61731" s="111"/>
      <c r="CQ61731" s="111"/>
      <c r="EF61731"/>
      <c r="EG61731"/>
      <c r="EH61731"/>
      <c r="EI61731"/>
      <c r="EJ61731"/>
      <c r="EK61731"/>
    </row>
    <row r="61732" spans="1:141" s="116" customFormat="1">
      <c r="A61732" s="136"/>
      <c r="CM61732" s="111"/>
      <c r="CQ61732" s="111"/>
      <c r="EF61732"/>
      <c r="EG61732"/>
      <c r="EH61732"/>
      <c r="EI61732"/>
      <c r="EJ61732"/>
      <c r="EK61732"/>
    </row>
    <row r="61733" spans="1:141" s="116" customFormat="1">
      <c r="A61733" s="136"/>
      <c r="CM61733" s="111"/>
      <c r="CQ61733" s="111"/>
      <c r="EF61733"/>
      <c r="EG61733"/>
      <c r="EH61733"/>
      <c r="EI61733"/>
      <c r="EJ61733"/>
      <c r="EK61733"/>
    </row>
    <row r="61734" spans="1:141" s="116" customFormat="1">
      <c r="A61734" s="136"/>
      <c r="CM61734" s="111"/>
      <c r="CQ61734" s="111"/>
      <c r="EF61734"/>
      <c r="EG61734"/>
      <c r="EH61734"/>
      <c r="EI61734"/>
      <c r="EJ61734"/>
      <c r="EK61734"/>
    </row>
    <row r="61735" spans="1:141" s="116" customFormat="1">
      <c r="A61735" s="136"/>
      <c r="CM61735" s="111"/>
      <c r="CQ61735" s="111"/>
      <c r="EF61735"/>
      <c r="EG61735"/>
      <c r="EH61735"/>
      <c r="EI61735"/>
      <c r="EJ61735"/>
      <c r="EK61735"/>
    </row>
    <row r="61736" spans="1:141" s="116" customFormat="1">
      <c r="A61736" s="136"/>
      <c r="CM61736" s="111"/>
      <c r="CQ61736" s="111"/>
      <c r="EF61736"/>
      <c r="EG61736"/>
      <c r="EH61736"/>
      <c r="EI61736"/>
      <c r="EJ61736"/>
      <c r="EK61736"/>
    </row>
    <row r="61737" spans="1:141" s="116" customFormat="1">
      <c r="A61737" s="136"/>
      <c r="CM61737" s="111"/>
      <c r="CQ61737" s="111"/>
      <c r="EF61737"/>
      <c r="EG61737"/>
      <c r="EH61737"/>
      <c r="EI61737"/>
      <c r="EJ61737"/>
      <c r="EK61737"/>
    </row>
    <row r="61738" spans="1:141" s="116" customFormat="1">
      <c r="A61738" s="136"/>
      <c r="CM61738" s="111"/>
      <c r="CQ61738" s="111"/>
      <c r="EF61738"/>
      <c r="EG61738"/>
      <c r="EH61738"/>
      <c r="EI61738"/>
      <c r="EJ61738"/>
      <c r="EK61738"/>
    </row>
    <row r="61739" spans="1:141" s="116" customFormat="1">
      <c r="A61739" s="136"/>
      <c r="CM61739" s="111"/>
      <c r="CQ61739" s="111"/>
      <c r="EF61739"/>
      <c r="EG61739"/>
      <c r="EH61739"/>
      <c r="EI61739"/>
      <c r="EJ61739"/>
      <c r="EK61739"/>
    </row>
    <row r="61740" spans="1:141" s="116" customFormat="1">
      <c r="A61740" s="136"/>
      <c r="CM61740" s="111"/>
      <c r="CQ61740" s="111"/>
      <c r="EF61740"/>
      <c r="EG61740"/>
      <c r="EH61740"/>
      <c r="EI61740"/>
      <c r="EJ61740"/>
      <c r="EK61740"/>
    </row>
    <row r="61741" spans="1:141" s="116" customFormat="1">
      <c r="A61741" s="136"/>
      <c r="CM61741" s="111"/>
      <c r="CQ61741" s="111"/>
      <c r="EF61741"/>
      <c r="EG61741"/>
      <c r="EH61741"/>
      <c r="EI61741"/>
      <c r="EJ61741"/>
      <c r="EK61741"/>
    </row>
    <row r="61742" spans="1:141" s="116" customFormat="1">
      <c r="A61742" s="136"/>
      <c r="CM61742" s="111"/>
      <c r="CQ61742" s="111"/>
      <c r="EF61742"/>
      <c r="EG61742"/>
      <c r="EH61742"/>
      <c r="EI61742"/>
      <c r="EJ61742"/>
      <c r="EK61742"/>
    </row>
    <row r="61743" spans="1:141" s="116" customFormat="1">
      <c r="A61743" s="136"/>
      <c r="CM61743" s="111"/>
      <c r="CQ61743" s="111"/>
      <c r="EF61743"/>
      <c r="EG61743"/>
      <c r="EH61743"/>
      <c r="EI61743"/>
      <c r="EJ61743"/>
      <c r="EK61743"/>
    </row>
    <row r="61744" spans="1:141" s="116" customFormat="1">
      <c r="A61744" s="136"/>
      <c r="CM61744" s="111"/>
      <c r="CQ61744" s="111"/>
      <c r="EF61744"/>
      <c r="EG61744"/>
      <c r="EH61744"/>
      <c r="EI61744"/>
      <c r="EJ61744"/>
      <c r="EK61744"/>
    </row>
    <row r="61745" spans="1:141" s="116" customFormat="1">
      <c r="A61745" s="136"/>
      <c r="CM61745" s="111"/>
      <c r="CQ61745" s="111"/>
      <c r="EF61745"/>
      <c r="EG61745"/>
      <c r="EH61745"/>
      <c r="EI61745"/>
      <c r="EJ61745"/>
      <c r="EK61745"/>
    </row>
    <row r="61746" spans="1:141" s="116" customFormat="1">
      <c r="A61746" s="136"/>
      <c r="CM61746" s="111"/>
      <c r="CQ61746" s="111"/>
      <c r="EF61746"/>
      <c r="EG61746"/>
      <c r="EH61746"/>
      <c r="EI61746"/>
      <c r="EJ61746"/>
      <c r="EK61746"/>
    </row>
    <row r="61747" spans="1:141" s="116" customFormat="1">
      <c r="A61747" s="136"/>
      <c r="CM61747" s="111"/>
      <c r="CQ61747" s="111"/>
      <c r="EF61747"/>
      <c r="EG61747"/>
      <c r="EH61747"/>
      <c r="EI61747"/>
      <c r="EJ61747"/>
      <c r="EK61747"/>
    </row>
    <row r="61748" spans="1:141" s="116" customFormat="1">
      <c r="A61748" s="136"/>
      <c r="CM61748" s="111"/>
      <c r="CQ61748" s="111"/>
      <c r="EF61748"/>
      <c r="EG61748"/>
      <c r="EH61748"/>
      <c r="EI61748"/>
      <c r="EJ61748"/>
      <c r="EK61748"/>
    </row>
    <row r="61749" spans="1:141" s="116" customFormat="1">
      <c r="A61749" s="136"/>
      <c r="CM61749" s="111"/>
      <c r="CQ61749" s="111"/>
      <c r="EF61749"/>
      <c r="EG61749"/>
      <c r="EH61749"/>
      <c r="EI61749"/>
      <c r="EJ61749"/>
      <c r="EK61749"/>
    </row>
    <row r="61750" spans="1:141" s="116" customFormat="1">
      <c r="A61750" s="136"/>
      <c r="CM61750" s="111"/>
      <c r="CQ61750" s="111"/>
      <c r="EF61750"/>
      <c r="EG61750"/>
      <c r="EH61750"/>
      <c r="EI61750"/>
      <c r="EJ61750"/>
      <c r="EK61750"/>
    </row>
    <row r="61751" spans="1:141" s="116" customFormat="1">
      <c r="A61751" s="136"/>
      <c r="CM61751" s="111"/>
      <c r="CQ61751" s="111"/>
      <c r="EF61751"/>
      <c r="EG61751"/>
      <c r="EH61751"/>
      <c r="EI61751"/>
      <c r="EJ61751"/>
      <c r="EK61751"/>
    </row>
    <row r="61752" spans="1:141" s="116" customFormat="1">
      <c r="A61752" s="136"/>
      <c r="CM61752" s="111"/>
      <c r="CQ61752" s="111"/>
      <c r="EF61752"/>
      <c r="EG61752"/>
      <c r="EH61752"/>
      <c r="EI61752"/>
      <c r="EJ61752"/>
      <c r="EK61752"/>
    </row>
    <row r="61753" spans="1:141" s="116" customFormat="1">
      <c r="A61753" s="136"/>
      <c r="CM61753" s="111"/>
      <c r="CQ61753" s="111"/>
      <c r="EF61753"/>
      <c r="EG61753"/>
      <c r="EH61753"/>
      <c r="EI61753"/>
      <c r="EJ61753"/>
      <c r="EK61753"/>
    </row>
    <row r="61754" spans="1:141" s="116" customFormat="1">
      <c r="A61754" s="136"/>
      <c r="CM61754" s="111"/>
      <c r="CQ61754" s="111"/>
      <c r="EF61754"/>
      <c r="EG61754"/>
      <c r="EH61754"/>
      <c r="EI61754"/>
      <c r="EJ61754"/>
      <c r="EK61754"/>
    </row>
    <row r="61755" spans="1:141" s="116" customFormat="1">
      <c r="A61755" s="136"/>
      <c r="CM61755" s="111"/>
      <c r="CQ61755" s="111"/>
      <c r="EF61755"/>
      <c r="EG61755"/>
      <c r="EH61755"/>
      <c r="EI61755"/>
      <c r="EJ61755"/>
      <c r="EK61755"/>
    </row>
    <row r="61756" spans="1:141" s="116" customFormat="1">
      <c r="A61756" s="136"/>
      <c r="CM61756" s="111"/>
      <c r="CQ61756" s="111"/>
      <c r="EF61756"/>
      <c r="EG61756"/>
      <c r="EH61756"/>
      <c r="EI61756"/>
      <c r="EJ61756"/>
      <c r="EK61756"/>
    </row>
    <row r="61757" spans="1:141" s="116" customFormat="1">
      <c r="A61757" s="136"/>
      <c r="CM61757" s="111"/>
      <c r="CQ61757" s="111"/>
      <c r="EF61757"/>
      <c r="EG61757"/>
      <c r="EH61757"/>
      <c r="EI61757"/>
      <c r="EJ61757"/>
      <c r="EK61757"/>
    </row>
    <row r="61758" spans="1:141" s="116" customFormat="1">
      <c r="A61758" s="136"/>
      <c r="CM61758" s="111"/>
      <c r="CQ61758" s="111"/>
      <c r="EF61758"/>
      <c r="EG61758"/>
      <c r="EH61758"/>
      <c r="EI61758"/>
      <c r="EJ61758"/>
      <c r="EK61758"/>
    </row>
    <row r="61759" spans="1:141" s="116" customFormat="1">
      <c r="A61759" s="136"/>
      <c r="CM61759" s="111"/>
      <c r="CQ61759" s="111"/>
      <c r="EF61759"/>
      <c r="EG61759"/>
      <c r="EH61759"/>
      <c r="EI61759"/>
      <c r="EJ61759"/>
      <c r="EK61759"/>
    </row>
    <row r="61760" spans="1:141" s="116" customFormat="1">
      <c r="A61760" s="136"/>
      <c r="CM61760" s="111"/>
      <c r="CQ61760" s="111"/>
      <c r="EF61760"/>
      <c r="EG61760"/>
      <c r="EH61760"/>
      <c r="EI61760"/>
      <c r="EJ61760"/>
      <c r="EK61760"/>
    </row>
    <row r="61761" spans="1:141" s="116" customFormat="1">
      <c r="A61761" s="136"/>
      <c r="CM61761" s="111"/>
      <c r="CQ61761" s="111"/>
      <c r="EF61761"/>
      <c r="EG61761"/>
      <c r="EH61761"/>
      <c r="EI61761"/>
      <c r="EJ61761"/>
      <c r="EK61761"/>
    </row>
    <row r="61762" spans="1:141" s="116" customFormat="1">
      <c r="A61762" s="136"/>
      <c r="CM61762" s="111"/>
      <c r="CQ61762" s="111"/>
      <c r="EF61762"/>
      <c r="EG61762"/>
      <c r="EH61762"/>
      <c r="EI61762"/>
      <c r="EJ61762"/>
      <c r="EK61762"/>
    </row>
    <row r="61763" spans="1:141" s="116" customFormat="1">
      <c r="A61763" s="136"/>
      <c r="CM61763" s="111"/>
      <c r="CQ61763" s="111"/>
      <c r="EF61763"/>
      <c r="EG61763"/>
      <c r="EH61763"/>
      <c r="EI61763"/>
      <c r="EJ61763"/>
      <c r="EK61763"/>
    </row>
    <row r="61764" spans="1:141" s="116" customFormat="1">
      <c r="A61764" s="136"/>
      <c r="CM61764" s="111"/>
      <c r="CQ61764" s="111"/>
      <c r="EF61764"/>
      <c r="EG61764"/>
      <c r="EH61764"/>
      <c r="EI61764"/>
      <c r="EJ61764"/>
      <c r="EK61764"/>
    </row>
    <row r="61765" spans="1:141" s="116" customFormat="1">
      <c r="A61765" s="136"/>
      <c r="CM61765" s="111"/>
      <c r="CQ61765" s="111"/>
      <c r="EF61765"/>
      <c r="EG61765"/>
      <c r="EH61765"/>
      <c r="EI61765"/>
      <c r="EJ61765"/>
      <c r="EK61765"/>
    </row>
    <row r="61766" spans="1:141" s="116" customFormat="1">
      <c r="A61766" s="136"/>
      <c r="CM61766" s="111"/>
      <c r="CQ61766" s="111"/>
      <c r="EF61766"/>
      <c r="EG61766"/>
      <c r="EH61766"/>
      <c r="EI61766"/>
      <c r="EJ61766"/>
      <c r="EK61766"/>
    </row>
    <row r="61767" spans="1:141" s="116" customFormat="1">
      <c r="A61767" s="136"/>
      <c r="CM61767" s="111"/>
      <c r="CQ61767" s="111"/>
      <c r="EF61767"/>
      <c r="EG61767"/>
      <c r="EH61767"/>
      <c r="EI61767"/>
      <c r="EJ61767"/>
      <c r="EK61767"/>
    </row>
    <row r="61768" spans="1:141" s="116" customFormat="1">
      <c r="A61768" s="136"/>
      <c r="CM61768" s="111"/>
      <c r="CQ61768" s="111"/>
      <c r="EF61768"/>
      <c r="EG61768"/>
      <c r="EH61768"/>
      <c r="EI61768"/>
      <c r="EJ61768"/>
      <c r="EK61768"/>
    </row>
    <row r="61769" spans="1:141" s="116" customFormat="1">
      <c r="A61769" s="136"/>
      <c r="CM61769" s="111"/>
      <c r="CQ61769" s="111"/>
      <c r="EF61769"/>
      <c r="EG61769"/>
      <c r="EH61769"/>
      <c r="EI61769"/>
      <c r="EJ61769"/>
      <c r="EK61769"/>
    </row>
    <row r="61770" spans="1:141" s="116" customFormat="1">
      <c r="A61770" s="136"/>
      <c r="CM61770" s="111"/>
      <c r="CQ61770" s="111"/>
      <c r="EF61770"/>
      <c r="EG61770"/>
      <c r="EH61770"/>
      <c r="EI61770"/>
      <c r="EJ61770"/>
      <c r="EK61770"/>
    </row>
    <row r="61771" spans="1:141" s="116" customFormat="1">
      <c r="A61771" s="136"/>
      <c r="CM61771" s="111"/>
      <c r="CQ61771" s="111"/>
      <c r="EF61771"/>
      <c r="EG61771"/>
      <c r="EH61771"/>
      <c r="EI61771"/>
      <c r="EJ61771"/>
      <c r="EK61771"/>
    </row>
    <row r="61772" spans="1:141" s="116" customFormat="1">
      <c r="A61772" s="136"/>
      <c r="CM61772" s="111"/>
      <c r="CQ61772" s="111"/>
      <c r="EF61772"/>
      <c r="EG61772"/>
      <c r="EH61772"/>
      <c r="EI61772"/>
      <c r="EJ61772"/>
      <c r="EK61772"/>
    </row>
    <row r="61773" spans="1:141" s="116" customFormat="1">
      <c r="A61773" s="136"/>
      <c r="CM61773" s="111"/>
      <c r="CQ61773" s="111"/>
      <c r="EF61773"/>
      <c r="EG61773"/>
      <c r="EH61773"/>
      <c r="EI61773"/>
      <c r="EJ61773"/>
      <c r="EK61773"/>
    </row>
    <row r="61774" spans="1:141" s="116" customFormat="1">
      <c r="A61774" s="136"/>
      <c r="CM61774" s="111"/>
      <c r="CQ61774" s="111"/>
      <c r="EF61774"/>
      <c r="EG61774"/>
      <c r="EH61774"/>
      <c r="EI61774"/>
      <c r="EJ61774"/>
      <c r="EK61774"/>
    </row>
    <row r="61775" spans="1:141" s="116" customFormat="1">
      <c r="A61775" s="136"/>
      <c r="CM61775" s="111"/>
      <c r="CQ61775" s="111"/>
      <c r="EF61775"/>
      <c r="EG61775"/>
      <c r="EH61775"/>
      <c r="EI61775"/>
      <c r="EJ61775"/>
      <c r="EK61775"/>
    </row>
    <row r="61776" spans="1:141" s="116" customFormat="1">
      <c r="A61776" s="136"/>
      <c r="CM61776" s="111"/>
      <c r="CQ61776" s="111"/>
      <c r="EF61776"/>
      <c r="EG61776"/>
      <c r="EH61776"/>
      <c r="EI61776"/>
      <c r="EJ61776"/>
      <c r="EK61776"/>
    </row>
    <row r="61777" spans="1:141" s="116" customFormat="1">
      <c r="A61777" s="136"/>
      <c r="CM61777" s="111"/>
      <c r="CQ61777" s="111"/>
      <c r="EF61777"/>
      <c r="EG61777"/>
      <c r="EH61777"/>
      <c r="EI61777"/>
      <c r="EJ61777"/>
      <c r="EK61777"/>
    </row>
    <row r="61778" spans="1:141" s="116" customFormat="1">
      <c r="A61778" s="136"/>
      <c r="CM61778" s="111"/>
      <c r="CQ61778" s="111"/>
      <c r="EF61778"/>
      <c r="EG61778"/>
      <c r="EH61778"/>
      <c r="EI61778"/>
      <c r="EJ61778"/>
      <c r="EK61778"/>
    </row>
    <row r="61779" spans="1:141" s="116" customFormat="1">
      <c r="A61779" s="136"/>
      <c r="CM61779" s="111"/>
      <c r="CQ61779" s="111"/>
      <c r="EF61779"/>
      <c r="EG61779"/>
      <c r="EH61779"/>
      <c r="EI61779"/>
      <c r="EJ61779"/>
      <c r="EK61779"/>
    </row>
    <row r="61780" spans="1:141" s="116" customFormat="1">
      <c r="A61780" s="136"/>
      <c r="CM61780" s="111"/>
      <c r="CQ61780" s="111"/>
      <c r="EF61780"/>
      <c r="EG61780"/>
      <c r="EH61780"/>
      <c r="EI61780"/>
      <c r="EJ61780"/>
      <c r="EK61780"/>
    </row>
    <row r="61781" spans="1:141" s="116" customFormat="1">
      <c r="A61781" s="136"/>
      <c r="CM61781" s="111"/>
      <c r="CQ61781" s="111"/>
      <c r="EF61781"/>
      <c r="EG61781"/>
      <c r="EH61781"/>
      <c r="EI61781"/>
      <c r="EJ61781"/>
      <c r="EK61781"/>
    </row>
    <row r="61782" spans="1:141" s="116" customFormat="1">
      <c r="A61782" s="136"/>
      <c r="CM61782" s="111"/>
      <c r="CQ61782" s="111"/>
      <c r="EF61782"/>
      <c r="EG61782"/>
      <c r="EH61782"/>
      <c r="EI61782"/>
      <c r="EJ61782"/>
      <c r="EK61782"/>
    </row>
    <row r="61783" spans="1:141" s="116" customFormat="1">
      <c r="A61783" s="136"/>
      <c r="CM61783" s="111"/>
      <c r="CQ61783" s="111"/>
      <c r="EF61783"/>
      <c r="EG61783"/>
      <c r="EH61783"/>
      <c r="EI61783"/>
      <c r="EJ61783"/>
      <c r="EK61783"/>
    </row>
    <row r="61784" spans="1:141" s="116" customFormat="1">
      <c r="A61784" s="136"/>
      <c r="CM61784" s="111"/>
      <c r="CQ61784" s="111"/>
      <c r="EF61784"/>
      <c r="EG61784"/>
      <c r="EH61784"/>
      <c r="EI61784"/>
      <c r="EJ61784"/>
      <c r="EK61784"/>
    </row>
    <row r="61785" spans="1:141" s="116" customFormat="1">
      <c r="A61785" s="136"/>
      <c r="CM61785" s="111"/>
      <c r="CQ61785" s="111"/>
      <c r="EF61785"/>
      <c r="EG61785"/>
      <c r="EH61785"/>
      <c r="EI61785"/>
      <c r="EJ61785"/>
      <c r="EK61785"/>
    </row>
    <row r="61786" spans="1:141" s="116" customFormat="1">
      <c r="A61786" s="136"/>
      <c r="CM61786" s="111"/>
      <c r="CQ61786" s="111"/>
      <c r="EF61786"/>
      <c r="EG61786"/>
      <c r="EH61786"/>
      <c r="EI61786"/>
      <c r="EJ61786"/>
      <c r="EK61786"/>
    </row>
    <row r="61787" spans="1:141" s="116" customFormat="1">
      <c r="A61787" s="136"/>
      <c r="CM61787" s="111"/>
      <c r="CQ61787" s="111"/>
      <c r="EF61787"/>
      <c r="EG61787"/>
      <c r="EH61787"/>
      <c r="EI61787"/>
      <c r="EJ61787"/>
      <c r="EK61787"/>
    </row>
    <row r="61788" spans="1:141" s="116" customFormat="1">
      <c r="A61788" s="136"/>
      <c r="CM61788" s="111"/>
      <c r="CQ61788" s="111"/>
      <c r="EF61788"/>
      <c r="EG61788"/>
      <c r="EH61788"/>
      <c r="EI61788"/>
      <c r="EJ61788"/>
      <c r="EK61788"/>
    </row>
    <row r="61789" spans="1:141" s="116" customFormat="1">
      <c r="A61789" s="136"/>
      <c r="CM61789" s="111"/>
      <c r="CQ61789" s="111"/>
      <c r="EF61789"/>
      <c r="EG61789"/>
      <c r="EH61789"/>
      <c r="EI61789"/>
      <c r="EJ61789"/>
      <c r="EK61789"/>
    </row>
    <row r="61790" spans="1:141" s="116" customFormat="1">
      <c r="A61790" s="136"/>
      <c r="CM61790" s="111"/>
      <c r="CQ61790" s="111"/>
      <c r="EF61790"/>
      <c r="EG61790"/>
      <c r="EH61790"/>
      <c r="EI61790"/>
      <c r="EJ61790"/>
      <c r="EK61790"/>
    </row>
    <row r="61791" spans="1:141" s="116" customFormat="1">
      <c r="A61791" s="136"/>
      <c r="CM61791" s="111"/>
      <c r="CQ61791" s="111"/>
      <c r="EF61791"/>
      <c r="EG61791"/>
      <c r="EH61791"/>
      <c r="EI61791"/>
      <c r="EJ61791"/>
      <c r="EK61791"/>
    </row>
    <row r="61792" spans="1:141" s="116" customFormat="1">
      <c r="A61792" s="136"/>
      <c r="CM61792" s="111"/>
      <c r="CQ61792" s="111"/>
      <c r="EF61792"/>
      <c r="EG61792"/>
      <c r="EH61792"/>
      <c r="EI61792"/>
      <c r="EJ61792"/>
      <c r="EK61792"/>
    </row>
    <row r="61793" spans="1:141" s="116" customFormat="1">
      <c r="A61793" s="136"/>
      <c r="CM61793" s="111"/>
      <c r="CQ61793" s="111"/>
      <c r="EF61793"/>
      <c r="EG61793"/>
      <c r="EH61793"/>
      <c r="EI61793"/>
      <c r="EJ61793"/>
      <c r="EK61793"/>
    </row>
    <row r="61794" spans="1:141" s="116" customFormat="1">
      <c r="A61794" s="136"/>
      <c r="CM61794" s="111"/>
      <c r="CQ61794" s="111"/>
      <c r="EF61794"/>
      <c r="EG61794"/>
      <c r="EH61794"/>
      <c r="EI61794"/>
      <c r="EJ61794"/>
      <c r="EK61794"/>
    </row>
    <row r="61795" spans="1:141" s="116" customFormat="1">
      <c r="A61795" s="136"/>
      <c r="CM61795" s="111"/>
      <c r="CQ61795" s="111"/>
      <c r="EF61795"/>
      <c r="EG61795"/>
      <c r="EH61795"/>
      <c r="EI61795"/>
      <c r="EJ61795"/>
      <c r="EK61795"/>
    </row>
    <row r="61796" spans="1:141" s="116" customFormat="1">
      <c r="A61796" s="136"/>
      <c r="CM61796" s="111"/>
      <c r="CQ61796" s="111"/>
      <c r="EF61796"/>
      <c r="EG61796"/>
      <c r="EH61796"/>
      <c r="EI61796"/>
      <c r="EJ61796"/>
      <c r="EK61796"/>
    </row>
    <row r="61797" spans="1:141" s="116" customFormat="1">
      <c r="A61797" s="136"/>
      <c r="CM61797" s="111"/>
      <c r="CQ61797" s="111"/>
      <c r="EF61797"/>
      <c r="EG61797"/>
      <c r="EH61797"/>
      <c r="EI61797"/>
      <c r="EJ61797"/>
      <c r="EK61797"/>
    </row>
    <row r="61798" spans="1:141" s="116" customFormat="1">
      <c r="A61798" s="136"/>
      <c r="CM61798" s="111"/>
      <c r="CQ61798" s="111"/>
      <c r="EF61798"/>
      <c r="EG61798"/>
      <c r="EH61798"/>
      <c r="EI61798"/>
      <c r="EJ61798"/>
      <c r="EK61798"/>
    </row>
    <row r="61799" spans="1:141" s="116" customFormat="1">
      <c r="A61799" s="136"/>
      <c r="CM61799" s="111"/>
      <c r="CQ61799" s="111"/>
      <c r="EF61799"/>
      <c r="EG61799"/>
      <c r="EH61799"/>
      <c r="EI61799"/>
      <c r="EJ61799"/>
      <c r="EK61799"/>
    </row>
    <row r="61800" spans="1:141" s="116" customFormat="1">
      <c r="A61800" s="136"/>
      <c r="CM61800" s="111"/>
      <c r="CQ61800" s="111"/>
      <c r="EF61800"/>
      <c r="EG61800"/>
      <c r="EH61800"/>
      <c r="EI61800"/>
      <c r="EJ61800"/>
      <c r="EK61800"/>
    </row>
    <row r="61801" spans="1:141" s="116" customFormat="1">
      <c r="A61801" s="136"/>
      <c r="CM61801" s="111"/>
      <c r="CQ61801" s="111"/>
      <c r="EF61801"/>
      <c r="EG61801"/>
      <c r="EH61801"/>
      <c r="EI61801"/>
      <c r="EJ61801"/>
      <c r="EK61801"/>
    </row>
    <row r="61802" spans="1:141" s="116" customFormat="1">
      <c r="A61802" s="136"/>
      <c r="CM61802" s="111"/>
      <c r="CQ61802" s="111"/>
      <c r="EF61802"/>
      <c r="EG61802"/>
      <c r="EH61802"/>
      <c r="EI61802"/>
      <c r="EJ61802"/>
      <c r="EK61802"/>
    </row>
    <row r="61803" spans="1:141" s="116" customFormat="1">
      <c r="A61803" s="136"/>
      <c r="CM61803" s="111"/>
      <c r="CQ61803" s="111"/>
      <c r="EF61803"/>
      <c r="EG61803"/>
      <c r="EH61803"/>
      <c r="EI61803"/>
      <c r="EJ61803"/>
      <c r="EK61803"/>
    </row>
    <row r="61804" spans="1:141" s="116" customFormat="1">
      <c r="A61804" s="136"/>
      <c r="CM61804" s="111"/>
      <c r="CQ61804" s="111"/>
      <c r="EF61804"/>
      <c r="EG61804"/>
      <c r="EH61804"/>
      <c r="EI61804"/>
      <c r="EJ61804"/>
      <c r="EK61804"/>
    </row>
    <row r="61805" spans="1:141" s="116" customFormat="1">
      <c r="A61805" s="136"/>
      <c r="CM61805" s="111"/>
      <c r="CQ61805" s="111"/>
      <c r="EF61805"/>
      <c r="EG61805"/>
      <c r="EH61805"/>
      <c r="EI61805"/>
      <c r="EJ61805"/>
      <c r="EK61805"/>
    </row>
    <row r="61806" spans="1:141" s="116" customFormat="1">
      <c r="A61806" s="136"/>
      <c r="CM61806" s="111"/>
      <c r="CQ61806" s="111"/>
      <c r="EF61806"/>
      <c r="EG61806"/>
      <c r="EH61806"/>
      <c r="EI61806"/>
      <c r="EJ61806"/>
      <c r="EK61806"/>
    </row>
    <row r="61807" spans="1:141" s="116" customFormat="1">
      <c r="A61807" s="136"/>
      <c r="CM61807" s="111"/>
      <c r="CQ61807" s="111"/>
      <c r="EF61807"/>
      <c r="EG61807"/>
      <c r="EH61807"/>
      <c r="EI61807"/>
      <c r="EJ61807"/>
      <c r="EK61807"/>
    </row>
    <row r="61808" spans="1:141" s="116" customFormat="1">
      <c r="A61808" s="136"/>
      <c r="CM61808" s="111"/>
      <c r="CQ61808" s="111"/>
      <c r="EF61808"/>
      <c r="EG61808"/>
      <c r="EH61808"/>
      <c r="EI61808"/>
      <c r="EJ61808"/>
      <c r="EK61808"/>
    </row>
    <row r="61809" spans="1:141" s="116" customFormat="1">
      <c r="A61809" s="136"/>
      <c r="CM61809" s="111"/>
      <c r="CQ61809" s="111"/>
      <c r="EF61809"/>
      <c r="EG61809"/>
      <c r="EH61809"/>
      <c r="EI61809"/>
      <c r="EJ61809"/>
      <c r="EK61809"/>
    </row>
    <row r="61810" spans="1:141" s="116" customFormat="1">
      <c r="A61810" s="136"/>
      <c r="CM61810" s="111"/>
      <c r="CQ61810" s="111"/>
      <c r="EF61810"/>
      <c r="EG61810"/>
      <c r="EH61810"/>
      <c r="EI61810"/>
      <c r="EJ61810"/>
      <c r="EK61810"/>
    </row>
    <row r="61811" spans="1:141" s="116" customFormat="1">
      <c r="A61811" s="136"/>
      <c r="CM61811" s="111"/>
      <c r="CQ61811" s="111"/>
      <c r="EF61811"/>
      <c r="EG61811"/>
      <c r="EH61811"/>
      <c r="EI61811"/>
      <c r="EJ61811"/>
      <c r="EK61811"/>
    </row>
    <row r="61812" spans="1:141" s="116" customFormat="1">
      <c r="A61812" s="136"/>
      <c r="CM61812" s="111"/>
      <c r="CQ61812" s="111"/>
      <c r="EF61812"/>
      <c r="EG61812"/>
      <c r="EH61812"/>
      <c r="EI61812"/>
      <c r="EJ61812"/>
      <c r="EK61812"/>
    </row>
    <row r="61813" spans="1:141" s="116" customFormat="1">
      <c r="A61813" s="136"/>
      <c r="CM61813" s="111"/>
      <c r="CQ61813" s="111"/>
      <c r="EF61813"/>
      <c r="EG61813"/>
      <c r="EH61813"/>
      <c r="EI61813"/>
      <c r="EJ61813"/>
      <c r="EK61813"/>
    </row>
    <row r="61814" spans="1:141" s="116" customFormat="1">
      <c r="A61814" s="136"/>
      <c r="CM61814" s="111"/>
      <c r="CQ61814" s="111"/>
      <c r="EF61814"/>
      <c r="EG61814"/>
      <c r="EH61814"/>
      <c r="EI61814"/>
      <c r="EJ61814"/>
      <c r="EK61814"/>
    </row>
    <row r="61815" spans="1:141" s="116" customFormat="1">
      <c r="A61815" s="136"/>
      <c r="CM61815" s="111"/>
      <c r="CQ61815" s="111"/>
      <c r="EF61815"/>
      <c r="EG61815"/>
      <c r="EH61815"/>
      <c r="EI61815"/>
      <c r="EJ61815"/>
      <c r="EK61815"/>
    </row>
    <row r="61816" spans="1:141" s="116" customFormat="1">
      <c r="A61816" s="136"/>
      <c r="CM61816" s="111"/>
      <c r="CQ61816" s="111"/>
      <c r="EF61816"/>
      <c r="EG61816"/>
      <c r="EH61816"/>
      <c r="EI61816"/>
      <c r="EJ61816"/>
      <c r="EK61816"/>
    </row>
    <row r="61817" spans="1:141" s="116" customFormat="1">
      <c r="A61817" s="136"/>
      <c r="CM61817" s="111"/>
      <c r="CQ61817" s="111"/>
      <c r="EF61817"/>
      <c r="EG61817"/>
      <c r="EH61817"/>
      <c r="EI61817"/>
      <c r="EJ61817"/>
      <c r="EK61817"/>
    </row>
    <row r="61818" spans="1:141" s="116" customFormat="1">
      <c r="A61818" s="136"/>
      <c r="CM61818" s="111"/>
      <c r="CQ61818" s="111"/>
      <c r="EF61818"/>
      <c r="EG61818"/>
      <c r="EH61818"/>
      <c r="EI61818"/>
      <c r="EJ61818"/>
      <c r="EK61818"/>
    </row>
    <row r="61819" spans="1:141" s="116" customFormat="1">
      <c r="A61819" s="136"/>
      <c r="CM61819" s="111"/>
      <c r="CQ61819" s="111"/>
      <c r="EF61819"/>
      <c r="EG61819"/>
      <c r="EH61819"/>
      <c r="EI61819"/>
      <c r="EJ61819"/>
      <c r="EK61819"/>
    </row>
    <row r="61820" spans="1:141" s="116" customFormat="1">
      <c r="A61820" s="136"/>
      <c r="CM61820" s="111"/>
      <c r="CQ61820" s="111"/>
      <c r="EF61820"/>
      <c r="EG61820"/>
      <c r="EH61820"/>
      <c r="EI61820"/>
      <c r="EJ61820"/>
      <c r="EK61820"/>
    </row>
    <row r="61821" spans="1:141" s="116" customFormat="1">
      <c r="A61821" s="136"/>
      <c r="CM61821" s="111"/>
      <c r="CQ61821" s="111"/>
      <c r="EF61821"/>
      <c r="EG61821"/>
      <c r="EH61821"/>
      <c r="EI61821"/>
      <c r="EJ61821"/>
      <c r="EK61821"/>
    </row>
    <row r="61822" spans="1:141" s="116" customFormat="1">
      <c r="A61822" s="136"/>
      <c r="CM61822" s="111"/>
      <c r="CQ61822" s="111"/>
      <c r="EF61822"/>
      <c r="EG61822"/>
      <c r="EH61822"/>
      <c r="EI61822"/>
      <c r="EJ61822"/>
      <c r="EK61822"/>
    </row>
    <row r="61823" spans="1:141" s="116" customFormat="1">
      <c r="A61823" s="136"/>
      <c r="CM61823" s="111"/>
      <c r="CQ61823" s="111"/>
      <c r="EF61823"/>
      <c r="EG61823"/>
      <c r="EH61823"/>
      <c r="EI61823"/>
      <c r="EJ61823"/>
      <c r="EK61823"/>
    </row>
    <row r="61824" spans="1:141" s="116" customFormat="1">
      <c r="A61824" s="136"/>
      <c r="CM61824" s="111"/>
      <c r="CQ61824" s="111"/>
      <c r="EF61824"/>
      <c r="EG61824"/>
      <c r="EH61824"/>
      <c r="EI61824"/>
      <c r="EJ61824"/>
      <c r="EK61824"/>
    </row>
    <row r="61825" spans="1:141" s="116" customFormat="1">
      <c r="A61825" s="136"/>
      <c r="CM61825" s="111"/>
      <c r="CQ61825" s="111"/>
      <c r="EF61825"/>
      <c r="EG61825"/>
      <c r="EH61825"/>
      <c r="EI61825"/>
      <c r="EJ61825"/>
      <c r="EK61825"/>
    </row>
    <row r="61826" spans="1:141" s="116" customFormat="1">
      <c r="A61826" s="136"/>
      <c r="CM61826" s="111"/>
      <c r="CQ61826" s="111"/>
      <c r="EF61826"/>
      <c r="EG61826"/>
      <c r="EH61826"/>
      <c r="EI61826"/>
      <c r="EJ61826"/>
      <c r="EK61826"/>
    </row>
    <row r="61827" spans="1:141" s="116" customFormat="1">
      <c r="A61827" s="136"/>
      <c r="CM61827" s="111"/>
      <c r="CQ61827" s="111"/>
      <c r="EF61827"/>
      <c r="EG61827"/>
      <c r="EH61827"/>
      <c r="EI61827"/>
      <c r="EJ61827"/>
      <c r="EK61827"/>
    </row>
    <row r="61828" spans="1:141" s="116" customFormat="1">
      <c r="A61828" s="136"/>
      <c r="CM61828" s="111"/>
      <c r="CQ61828" s="111"/>
      <c r="EF61828"/>
      <c r="EG61828"/>
      <c r="EH61828"/>
      <c r="EI61828"/>
      <c r="EJ61828"/>
      <c r="EK61828"/>
    </row>
    <row r="61829" spans="1:141" s="116" customFormat="1">
      <c r="A61829" s="136"/>
      <c r="CM61829" s="111"/>
      <c r="CQ61829" s="111"/>
      <c r="EF61829"/>
      <c r="EG61829"/>
      <c r="EH61829"/>
      <c r="EI61829"/>
      <c r="EJ61829"/>
      <c r="EK61829"/>
    </row>
    <row r="61830" spans="1:141" s="116" customFormat="1">
      <c r="A61830" s="136"/>
      <c r="CM61830" s="111"/>
      <c r="CQ61830" s="111"/>
      <c r="EF61830"/>
      <c r="EG61830"/>
      <c r="EH61830"/>
      <c r="EI61830"/>
      <c r="EJ61830"/>
      <c r="EK61830"/>
    </row>
    <row r="61831" spans="1:141" s="116" customFormat="1">
      <c r="A61831" s="136"/>
      <c r="CM61831" s="111"/>
      <c r="CQ61831" s="111"/>
      <c r="EF61831"/>
      <c r="EG61831"/>
      <c r="EH61831"/>
      <c r="EI61831"/>
      <c r="EJ61831"/>
      <c r="EK61831"/>
    </row>
    <row r="61832" spans="1:141" s="116" customFormat="1">
      <c r="A61832" s="136"/>
      <c r="CM61832" s="111"/>
      <c r="CQ61832" s="111"/>
      <c r="EF61832"/>
      <c r="EG61832"/>
      <c r="EH61832"/>
      <c r="EI61832"/>
      <c r="EJ61832"/>
      <c r="EK61832"/>
    </row>
    <row r="61833" spans="1:141" s="116" customFormat="1">
      <c r="A61833" s="136"/>
      <c r="CM61833" s="111"/>
      <c r="CQ61833" s="111"/>
      <c r="EF61833"/>
      <c r="EG61833"/>
      <c r="EH61833"/>
      <c r="EI61833"/>
      <c r="EJ61833"/>
      <c r="EK61833"/>
    </row>
    <row r="61834" spans="1:141" s="116" customFormat="1">
      <c r="A61834" s="136"/>
      <c r="CM61834" s="111"/>
      <c r="CQ61834" s="111"/>
      <c r="EF61834"/>
      <c r="EG61834"/>
      <c r="EH61834"/>
      <c r="EI61834"/>
      <c r="EJ61834"/>
      <c r="EK61834"/>
    </row>
    <row r="61835" spans="1:141" s="116" customFormat="1">
      <c r="A61835" s="136"/>
      <c r="CM61835" s="111"/>
      <c r="CQ61835" s="111"/>
      <c r="EF61835"/>
      <c r="EG61835"/>
      <c r="EH61835"/>
      <c r="EI61835"/>
      <c r="EJ61835"/>
      <c r="EK61835"/>
    </row>
    <row r="61836" spans="1:141" s="116" customFormat="1">
      <c r="A61836" s="136"/>
      <c r="CM61836" s="111"/>
      <c r="CQ61836" s="111"/>
      <c r="EF61836"/>
      <c r="EG61836"/>
      <c r="EH61836"/>
      <c r="EI61836"/>
      <c r="EJ61836"/>
      <c r="EK61836"/>
    </row>
    <row r="61837" spans="1:141" s="116" customFormat="1">
      <c r="A61837" s="136"/>
      <c r="CM61837" s="111"/>
      <c r="CQ61837" s="111"/>
      <c r="EF61837"/>
      <c r="EG61837"/>
      <c r="EH61837"/>
      <c r="EI61837"/>
      <c r="EJ61837"/>
      <c r="EK61837"/>
    </row>
    <row r="61838" spans="1:141" s="116" customFormat="1">
      <c r="A61838" s="136"/>
      <c r="CM61838" s="111"/>
      <c r="CQ61838" s="111"/>
      <c r="EF61838"/>
      <c r="EG61838"/>
      <c r="EH61838"/>
      <c r="EI61838"/>
      <c r="EJ61838"/>
      <c r="EK61838"/>
    </row>
    <row r="61839" spans="1:141" s="116" customFormat="1">
      <c r="A61839" s="136"/>
      <c r="CM61839" s="111"/>
      <c r="CQ61839" s="111"/>
      <c r="EF61839"/>
      <c r="EG61839"/>
      <c r="EH61839"/>
      <c r="EI61839"/>
      <c r="EJ61839"/>
      <c r="EK61839"/>
    </row>
    <row r="61840" spans="1:141" s="116" customFormat="1">
      <c r="A61840" s="136"/>
      <c r="CM61840" s="111"/>
      <c r="CQ61840" s="111"/>
      <c r="EF61840"/>
      <c r="EG61840"/>
      <c r="EH61840"/>
      <c r="EI61840"/>
      <c r="EJ61840"/>
      <c r="EK61840"/>
    </row>
    <row r="61841" spans="1:141" s="116" customFormat="1">
      <c r="A61841" s="136"/>
      <c r="CM61841" s="111"/>
      <c r="CQ61841" s="111"/>
      <c r="EF61841"/>
      <c r="EG61841"/>
      <c r="EH61841"/>
      <c r="EI61841"/>
      <c r="EJ61841"/>
      <c r="EK61841"/>
    </row>
    <row r="61842" spans="1:141" s="116" customFormat="1">
      <c r="A61842" s="136"/>
      <c r="CM61842" s="111"/>
      <c r="CQ61842" s="111"/>
      <c r="EF61842"/>
      <c r="EG61842"/>
      <c r="EH61842"/>
      <c r="EI61842"/>
      <c r="EJ61842"/>
      <c r="EK61842"/>
    </row>
    <row r="61843" spans="1:141" s="116" customFormat="1">
      <c r="A61843" s="136"/>
      <c r="CM61843" s="111"/>
      <c r="CQ61843" s="111"/>
      <c r="EF61843"/>
      <c r="EG61843"/>
      <c r="EH61843"/>
      <c r="EI61843"/>
      <c r="EJ61843"/>
      <c r="EK61843"/>
    </row>
    <row r="61844" spans="1:141" s="116" customFormat="1">
      <c r="A61844" s="136"/>
      <c r="CM61844" s="111"/>
      <c r="CQ61844" s="111"/>
      <c r="EF61844"/>
      <c r="EG61844"/>
      <c r="EH61844"/>
      <c r="EI61844"/>
      <c r="EJ61844"/>
      <c r="EK61844"/>
    </row>
    <row r="61845" spans="1:141" s="116" customFormat="1">
      <c r="A61845" s="136"/>
      <c r="CM61845" s="111"/>
      <c r="CQ61845" s="111"/>
      <c r="EF61845"/>
      <c r="EG61845"/>
      <c r="EH61845"/>
      <c r="EI61845"/>
      <c r="EJ61845"/>
      <c r="EK61845"/>
    </row>
    <row r="61846" spans="1:141" s="116" customFormat="1">
      <c r="A61846" s="136"/>
      <c r="CM61846" s="111"/>
      <c r="CQ61846" s="111"/>
      <c r="EF61846"/>
      <c r="EG61846"/>
      <c r="EH61846"/>
      <c r="EI61846"/>
      <c r="EJ61846"/>
      <c r="EK61846"/>
    </row>
    <row r="61847" spans="1:141" s="116" customFormat="1">
      <c r="A61847" s="136"/>
      <c r="CM61847" s="111"/>
      <c r="CQ61847" s="111"/>
      <c r="EF61847"/>
      <c r="EG61847"/>
      <c r="EH61847"/>
      <c r="EI61847"/>
      <c r="EJ61847"/>
      <c r="EK61847"/>
    </row>
    <row r="61848" spans="1:141" s="116" customFormat="1">
      <c r="A61848" s="136"/>
      <c r="CM61848" s="111"/>
      <c r="CQ61848" s="111"/>
      <c r="EF61848"/>
      <c r="EG61848"/>
      <c r="EH61848"/>
      <c r="EI61848"/>
      <c r="EJ61848"/>
      <c r="EK61848"/>
    </row>
    <row r="61849" spans="1:141" s="116" customFormat="1">
      <c r="A61849" s="136"/>
      <c r="CM61849" s="111"/>
      <c r="CQ61849" s="111"/>
      <c r="EF61849"/>
      <c r="EG61849"/>
      <c r="EH61849"/>
      <c r="EI61849"/>
      <c r="EJ61849"/>
      <c r="EK61849"/>
    </row>
    <row r="61850" spans="1:141" s="116" customFormat="1">
      <c r="A61850" s="136"/>
      <c r="CM61850" s="111"/>
      <c r="CQ61850" s="111"/>
      <c r="EF61850"/>
      <c r="EG61850"/>
      <c r="EH61850"/>
      <c r="EI61850"/>
      <c r="EJ61850"/>
      <c r="EK61850"/>
    </row>
    <row r="61851" spans="1:141" s="116" customFormat="1">
      <c r="A61851" s="136"/>
      <c r="CM61851" s="111"/>
      <c r="CQ61851" s="111"/>
      <c r="EF61851"/>
      <c r="EG61851"/>
      <c r="EH61851"/>
      <c r="EI61851"/>
      <c r="EJ61851"/>
      <c r="EK61851"/>
    </row>
    <row r="61852" spans="1:141" s="116" customFormat="1">
      <c r="A61852" s="136"/>
      <c r="CM61852" s="111"/>
      <c r="CQ61852" s="111"/>
      <c r="EF61852"/>
      <c r="EG61852"/>
      <c r="EH61852"/>
      <c r="EI61852"/>
      <c r="EJ61852"/>
      <c r="EK61852"/>
    </row>
    <row r="61853" spans="1:141" s="116" customFormat="1">
      <c r="A61853" s="136"/>
      <c r="CM61853" s="111"/>
      <c r="CQ61853" s="111"/>
      <c r="EF61853"/>
      <c r="EG61853"/>
      <c r="EH61853"/>
      <c r="EI61853"/>
      <c r="EJ61853"/>
      <c r="EK61853"/>
    </row>
    <row r="61854" spans="1:141" s="116" customFormat="1">
      <c r="A61854" s="136"/>
      <c r="CM61854" s="111"/>
      <c r="CQ61854" s="111"/>
      <c r="EF61854"/>
      <c r="EG61854"/>
      <c r="EH61854"/>
      <c r="EI61854"/>
      <c r="EJ61854"/>
      <c r="EK61854"/>
    </row>
    <row r="61855" spans="1:141" s="116" customFormat="1">
      <c r="A61855" s="136"/>
      <c r="CM61855" s="111"/>
      <c r="CQ61855" s="111"/>
      <c r="EF61855"/>
      <c r="EG61855"/>
      <c r="EH61855"/>
      <c r="EI61855"/>
      <c r="EJ61855"/>
      <c r="EK61855"/>
    </row>
    <row r="61856" spans="1:141" s="116" customFormat="1">
      <c r="A61856" s="136"/>
      <c r="CM61856" s="111"/>
      <c r="CQ61856" s="111"/>
      <c r="EF61856"/>
      <c r="EG61856"/>
      <c r="EH61856"/>
      <c r="EI61856"/>
      <c r="EJ61856"/>
      <c r="EK61856"/>
    </row>
    <row r="61857" spans="1:141" s="116" customFormat="1">
      <c r="A61857" s="136"/>
      <c r="CM61857" s="111"/>
      <c r="CQ61857" s="111"/>
      <c r="EF61857"/>
      <c r="EG61857"/>
      <c r="EH61857"/>
      <c r="EI61857"/>
      <c r="EJ61857"/>
      <c r="EK61857"/>
    </row>
    <row r="61858" spans="1:141" s="116" customFormat="1">
      <c r="A61858" s="136"/>
      <c r="CM61858" s="111"/>
      <c r="CQ61858" s="111"/>
      <c r="EF61858"/>
      <c r="EG61858"/>
      <c r="EH61858"/>
      <c r="EI61858"/>
      <c r="EJ61858"/>
      <c r="EK61858"/>
    </row>
    <row r="61859" spans="1:141" s="116" customFormat="1">
      <c r="A61859" s="136"/>
      <c r="CM61859" s="111"/>
      <c r="CQ61859" s="111"/>
      <c r="EF61859"/>
      <c r="EG61859"/>
      <c r="EH61859"/>
      <c r="EI61859"/>
      <c r="EJ61859"/>
      <c r="EK61859"/>
    </row>
    <row r="61860" spans="1:141" s="116" customFormat="1">
      <c r="A61860" s="136"/>
      <c r="CM61860" s="111"/>
      <c r="CQ61860" s="111"/>
      <c r="EF61860"/>
      <c r="EG61860"/>
      <c r="EH61860"/>
      <c r="EI61860"/>
      <c r="EJ61860"/>
      <c r="EK61860"/>
    </row>
    <row r="61861" spans="1:141" s="116" customFormat="1">
      <c r="A61861" s="136"/>
      <c r="CM61861" s="111"/>
      <c r="CQ61861" s="111"/>
      <c r="EF61861"/>
      <c r="EG61861"/>
      <c r="EH61861"/>
      <c r="EI61861"/>
      <c r="EJ61861"/>
      <c r="EK61861"/>
    </row>
    <row r="61862" spans="1:141" s="116" customFormat="1">
      <c r="A61862" s="136"/>
      <c r="CM61862" s="111"/>
      <c r="CQ61862" s="111"/>
      <c r="EF61862"/>
      <c r="EG61862"/>
      <c r="EH61862"/>
      <c r="EI61862"/>
      <c r="EJ61862"/>
      <c r="EK61862"/>
    </row>
    <row r="61863" spans="1:141" s="116" customFormat="1">
      <c r="A61863" s="136"/>
      <c r="CM61863" s="111"/>
      <c r="CQ61863" s="111"/>
      <c r="EF61863"/>
      <c r="EG61863"/>
      <c r="EH61863"/>
      <c r="EI61863"/>
      <c r="EJ61863"/>
      <c r="EK61863"/>
    </row>
    <row r="61864" spans="1:141" s="116" customFormat="1">
      <c r="A61864" s="136"/>
      <c r="CM61864" s="111"/>
      <c r="CQ61864" s="111"/>
      <c r="EF61864"/>
      <c r="EG61864"/>
      <c r="EH61864"/>
      <c r="EI61864"/>
      <c r="EJ61864"/>
      <c r="EK61864"/>
    </row>
    <row r="61865" spans="1:141" s="116" customFormat="1">
      <c r="A61865" s="136"/>
      <c r="CM61865" s="111"/>
      <c r="CQ61865" s="111"/>
      <c r="EF61865"/>
      <c r="EG61865"/>
      <c r="EH61865"/>
      <c r="EI61865"/>
      <c r="EJ61865"/>
      <c r="EK61865"/>
    </row>
    <row r="61866" spans="1:141" s="116" customFormat="1">
      <c r="A61866" s="136"/>
      <c r="CM61866" s="111"/>
      <c r="CQ61866" s="111"/>
      <c r="EF61866"/>
      <c r="EG61866"/>
      <c r="EH61866"/>
      <c r="EI61866"/>
      <c r="EJ61866"/>
      <c r="EK61866"/>
    </row>
    <row r="61867" spans="1:141" s="116" customFormat="1">
      <c r="A61867" s="136"/>
      <c r="CM61867" s="111"/>
      <c r="CQ61867" s="111"/>
      <c r="EF61867"/>
      <c r="EG61867"/>
      <c r="EH61867"/>
      <c r="EI61867"/>
      <c r="EJ61867"/>
      <c r="EK61867"/>
    </row>
    <row r="61868" spans="1:141" s="116" customFormat="1">
      <c r="A61868" s="136"/>
      <c r="CM61868" s="111"/>
      <c r="CQ61868" s="111"/>
      <c r="EF61868"/>
      <c r="EG61868"/>
      <c r="EH61868"/>
      <c r="EI61868"/>
      <c r="EJ61868"/>
      <c r="EK61868"/>
    </row>
    <row r="61869" spans="1:141" s="116" customFormat="1">
      <c r="A61869" s="136"/>
      <c r="CM61869" s="111"/>
      <c r="CQ61869" s="111"/>
      <c r="EF61869"/>
      <c r="EG61869"/>
      <c r="EH61869"/>
      <c r="EI61869"/>
      <c r="EJ61869"/>
      <c r="EK61869"/>
    </row>
    <row r="61870" spans="1:141" s="116" customFormat="1">
      <c r="A61870" s="136"/>
      <c r="CM61870" s="111"/>
      <c r="CQ61870" s="111"/>
      <c r="EF61870"/>
      <c r="EG61870"/>
      <c r="EH61870"/>
      <c r="EI61870"/>
      <c r="EJ61870"/>
      <c r="EK61870"/>
    </row>
    <row r="61871" spans="1:141" s="116" customFormat="1">
      <c r="A61871" s="136"/>
      <c r="CM61871" s="111"/>
      <c r="CQ61871" s="111"/>
      <c r="EF61871"/>
      <c r="EG61871"/>
      <c r="EH61871"/>
      <c r="EI61871"/>
      <c r="EJ61871"/>
      <c r="EK61871"/>
    </row>
    <row r="61872" spans="1:141" s="116" customFormat="1">
      <c r="A61872" s="136"/>
      <c r="CM61872" s="111"/>
      <c r="CQ61872" s="111"/>
      <c r="EF61872"/>
      <c r="EG61872"/>
      <c r="EH61872"/>
      <c r="EI61872"/>
      <c r="EJ61872"/>
      <c r="EK61872"/>
    </row>
    <row r="61873" spans="1:141" s="116" customFormat="1">
      <c r="A61873" s="136"/>
      <c r="CM61873" s="111"/>
      <c r="CQ61873" s="111"/>
      <c r="EF61873"/>
      <c r="EG61873"/>
      <c r="EH61873"/>
      <c r="EI61873"/>
      <c r="EJ61873"/>
      <c r="EK61873"/>
    </row>
    <row r="61874" spans="1:141" s="116" customFormat="1">
      <c r="A61874" s="136"/>
      <c r="CM61874" s="111"/>
      <c r="CQ61874" s="111"/>
      <c r="EF61874"/>
      <c r="EG61874"/>
      <c r="EH61874"/>
      <c r="EI61874"/>
      <c r="EJ61874"/>
      <c r="EK61874"/>
    </row>
    <row r="61875" spans="1:141" s="116" customFormat="1">
      <c r="A61875" s="136"/>
      <c r="CM61875" s="111"/>
      <c r="CQ61875" s="111"/>
      <c r="EF61875"/>
      <c r="EG61875"/>
      <c r="EH61875"/>
      <c r="EI61875"/>
      <c r="EJ61875"/>
      <c r="EK61875"/>
    </row>
    <row r="61876" spans="1:141" s="116" customFormat="1">
      <c r="A61876" s="136"/>
      <c r="CM61876" s="111"/>
      <c r="CQ61876" s="111"/>
      <c r="EF61876"/>
      <c r="EG61876"/>
      <c r="EH61876"/>
      <c r="EI61876"/>
      <c r="EJ61876"/>
      <c r="EK61876"/>
    </row>
    <row r="61877" spans="1:141" s="116" customFormat="1">
      <c r="A61877" s="136"/>
      <c r="CM61877" s="111"/>
      <c r="CQ61877" s="111"/>
      <c r="EF61877"/>
      <c r="EG61877"/>
      <c r="EH61877"/>
      <c r="EI61877"/>
      <c r="EJ61877"/>
      <c r="EK61877"/>
    </row>
    <row r="61878" spans="1:141" s="116" customFormat="1">
      <c r="A61878" s="136"/>
      <c r="CM61878" s="111"/>
      <c r="CQ61878" s="111"/>
      <c r="EF61878"/>
      <c r="EG61878"/>
      <c r="EH61878"/>
      <c r="EI61878"/>
      <c r="EJ61878"/>
      <c r="EK61878"/>
    </row>
    <row r="61879" spans="1:141" s="116" customFormat="1">
      <c r="A61879" s="136"/>
      <c r="CM61879" s="111"/>
      <c r="CQ61879" s="111"/>
      <c r="EF61879"/>
      <c r="EG61879"/>
      <c r="EH61879"/>
      <c r="EI61879"/>
      <c r="EJ61879"/>
      <c r="EK61879"/>
    </row>
    <row r="61880" spans="1:141" s="116" customFormat="1">
      <c r="A61880" s="136"/>
      <c r="CM61880" s="111"/>
      <c r="CQ61880" s="111"/>
      <c r="EF61880"/>
      <c r="EG61880"/>
      <c r="EH61880"/>
      <c r="EI61880"/>
      <c r="EJ61880"/>
      <c r="EK61880"/>
    </row>
    <row r="61881" spans="1:141" s="116" customFormat="1">
      <c r="A61881" s="136"/>
      <c r="CM61881" s="111"/>
      <c r="CQ61881" s="111"/>
      <c r="EF61881"/>
      <c r="EG61881"/>
      <c r="EH61881"/>
      <c r="EI61881"/>
      <c r="EJ61881"/>
      <c r="EK61881"/>
    </row>
    <row r="61882" spans="1:141" s="116" customFormat="1">
      <c r="A61882" s="136"/>
      <c r="CM61882" s="111"/>
      <c r="CQ61882" s="111"/>
      <c r="EF61882"/>
      <c r="EG61882"/>
      <c r="EH61882"/>
      <c r="EI61882"/>
      <c r="EJ61882"/>
      <c r="EK61882"/>
    </row>
    <row r="61883" spans="1:141" s="116" customFormat="1">
      <c r="A61883" s="136"/>
      <c r="CM61883" s="111"/>
      <c r="CQ61883" s="111"/>
      <c r="EF61883"/>
      <c r="EG61883"/>
      <c r="EH61883"/>
      <c r="EI61883"/>
      <c r="EJ61883"/>
      <c r="EK61883"/>
    </row>
    <row r="61884" spans="1:141" s="116" customFormat="1">
      <c r="A61884" s="136"/>
      <c r="CM61884" s="111"/>
      <c r="CQ61884" s="111"/>
      <c r="EF61884"/>
      <c r="EG61884"/>
      <c r="EH61884"/>
      <c r="EI61884"/>
      <c r="EJ61884"/>
      <c r="EK61884"/>
    </row>
    <row r="61885" spans="1:141" s="116" customFormat="1">
      <c r="A61885" s="136"/>
      <c r="CM61885" s="111"/>
      <c r="CQ61885" s="111"/>
      <c r="EF61885"/>
      <c r="EG61885"/>
      <c r="EH61885"/>
      <c r="EI61885"/>
      <c r="EJ61885"/>
      <c r="EK61885"/>
    </row>
    <row r="61886" spans="1:141" s="116" customFormat="1">
      <c r="A61886" s="136"/>
      <c r="CM61886" s="111"/>
      <c r="CQ61886" s="111"/>
      <c r="EF61886"/>
      <c r="EG61886"/>
      <c r="EH61886"/>
      <c r="EI61886"/>
      <c r="EJ61886"/>
      <c r="EK61886"/>
    </row>
    <row r="61887" spans="1:141" s="116" customFormat="1">
      <c r="A61887" s="136"/>
      <c r="CM61887" s="111"/>
      <c r="CQ61887" s="111"/>
      <c r="EF61887"/>
      <c r="EG61887"/>
      <c r="EH61887"/>
      <c r="EI61887"/>
      <c r="EJ61887"/>
      <c r="EK61887"/>
    </row>
    <row r="61888" spans="1:141" s="116" customFormat="1">
      <c r="A61888" s="136"/>
      <c r="CM61888" s="111"/>
      <c r="CQ61888" s="111"/>
      <c r="EF61888"/>
      <c r="EG61888"/>
      <c r="EH61888"/>
      <c r="EI61888"/>
      <c r="EJ61888"/>
      <c r="EK61888"/>
    </row>
    <row r="61889" spans="1:141" s="116" customFormat="1">
      <c r="A61889" s="136"/>
      <c r="CM61889" s="111"/>
      <c r="CQ61889" s="111"/>
      <c r="EF61889"/>
      <c r="EG61889"/>
      <c r="EH61889"/>
      <c r="EI61889"/>
      <c r="EJ61889"/>
      <c r="EK61889"/>
    </row>
    <row r="61890" spans="1:141" s="116" customFormat="1">
      <c r="A61890" s="136"/>
      <c r="CM61890" s="111"/>
      <c r="CQ61890" s="111"/>
      <c r="EF61890"/>
      <c r="EG61890"/>
      <c r="EH61890"/>
      <c r="EI61890"/>
      <c r="EJ61890"/>
      <c r="EK61890"/>
    </row>
    <row r="61891" spans="1:141" s="116" customFormat="1">
      <c r="A61891" s="136"/>
      <c r="CM61891" s="111"/>
      <c r="CQ61891" s="111"/>
      <c r="EF61891"/>
      <c r="EG61891"/>
      <c r="EH61891"/>
      <c r="EI61891"/>
      <c r="EJ61891"/>
      <c r="EK61891"/>
    </row>
    <row r="61892" spans="1:141" s="116" customFormat="1">
      <c r="A61892" s="136"/>
      <c r="CM61892" s="111"/>
      <c r="CQ61892" s="111"/>
      <c r="EF61892"/>
      <c r="EG61892"/>
      <c r="EH61892"/>
      <c r="EI61892"/>
      <c r="EJ61892"/>
      <c r="EK61892"/>
    </row>
    <row r="61893" spans="1:141" s="116" customFormat="1">
      <c r="A61893" s="136"/>
      <c r="CM61893" s="111"/>
      <c r="CQ61893" s="111"/>
      <c r="EF61893"/>
      <c r="EG61893"/>
      <c r="EH61893"/>
      <c r="EI61893"/>
      <c r="EJ61893"/>
      <c r="EK61893"/>
    </row>
    <row r="61894" spans="1:141" s="116" customFormat="1">
      <c r="A61894" s="136"/>
      <c r="CM61894" s="111"/>
      <c r="CQ61894" s="111"/>
      <c r="EF61894"/>
      <c r="EG61894"/>
      <c r="EH61894"/>
      <c r="EI61894"/>
      <c r="EJ61894"/>
      <c r="EK61894"/>
    </row>
    <row r="61895" spans="1:141" s="116" customFormat="1">
      <c r="A61895" s="136"/>
      <c r="CM61895" s="111"/>
      <c r="CQ61895" s="111"/>
      <c r="EF61895"/>
      <c r="EG61895"/>
      <c r="EH61895"/>
      <c r="EI61895"/>
      <c r="EJ61895"/>
      <c r="EK61895"/>
    </row>
    <row r="61896" spans="1:141" s="116" customFormat="1">
      <c r="A61896" s="136"/>
      <c r="CM61896" s="111"/>
      <c r="CQ61896" s="111"/>
      <c r="EF61896"/>
      <c r="EG61896"/>
      <c r="EH61896"/>
      <c r="EI61896"/>
      <c r="EJ61896"/>
      <c r="EK61896"/>
    </row>
    <row r="61897" spans="1:141" s="116" customFormat="1">
      <c r="A61897" s="136"/>
      <c r="CM61897" s="111"/>
      <c r="CQ61897" s="111"/>
      <c r="EF61897"/>
      <c r="EG61897"/>
      <c r="EH61897"/>
      <c r="EI61897"/>
      <c r="EJ61897"/>
      <c r="EK61897"/>
    </row>
    <row r="61898" spans="1:141" s="116" customFormat="1">
      <c r="A61898" s="136"/>
      <c r="CM61898" s="111"/>
      <c r="CQ61898" s="111"/>
      <c r="EF61898"/>
      <c r="EG61898"/>
      <c r="EH61898"/>
      <c r="EI61898"/>
      <c r="EJ61898"/>
      <c r="EK61898"/>
    </row>
    <row r="61899" spans="1:141" s="116" customFormat="1">
      <c r="A61899" s="136"/>
      <c r="CM61899" s="111"/>
      <c r="CQ61899" s="111"/>
      <c r="EF61899"/>
      <c r="EG61899"/>
      <c r="EH61899"/>
      <c r="EI61899"/>
      <c r="EJ61899"/>
      <c r="EK61899"/>
    </row>
    <row r="61900" spans="1:141" s="116" customFormat="1">
      <c r="A61900" s="136"/>
      <c r="CM61900" s="111"/>
      <c r="CQ61900" s="111"/>
      <c r="EF61900"/>
      <c r="EG61900"/>
      <c r="EH61900"/>
      <c r="EI61900"/>
      <c r="EJ61900"/>
      <c r="EK61900"/>
    </row>
    <row r="61901" spans="1:141" s="116" customFormat="1">
      <c r="A61901" s="136"/>
      <c r="CM61901" s="111"/>
      <c r="CQ61901" s="111"/>
      <c r="EF61901"/>
      <c r="EG61901"/>
      <c r="EH61901"/>
      <c r="EI61901"/>
      <c r="EJ61901"/>
      <c r="EK61901"/>
    </row>
    <row r="61902" spans="1:141" s="116" customFormat="1">
      <c r="A61902" s="136"/>
      <c r="CM61902" s="111"/>
      <c r="CQ61902" s="111"/>
      <c r="EF61902"/>
      <c r="EG61902"/>
      <c r="EH61902"/>
      <c r="EI61902"/>
      <c r="EJ61902"/>
      <c r="EK61902"/>
    </row>
    <row r="61903" spans="1:141" s="116" customFormat="1">
      <c r="A61903" s="136"/>
      <c r="CM61903" s="111"/>
      <c r="CQ61903" s="111"/>
      <c r="EF61903"/>
      <c r="EG61903"/>
      <c r="EH61903"/>
      <c r="EI61903"/>
      <c r="EJ61903"/>
      <c r="EK61903"/>
    </row>
    <row r="61904" spans="1:141" s="116" customFormat="1">
      <c r="A61904" s="136"/>
      <c r="CM61904" s="111"/>
      <c r="CQ61904" s="111"/>
      <c r="EF61904"/>
      <c r="EG61904"/>
      <c r="EH61904"/>
      <c r="EI61904"/>
      <c r="EJ61904"/>
      <c r="EK61904"/>
    </row>
    <row r="61905" spans="1:141" s="116" customFormat="1">
      <c r="A61905" s="136"/>
      <c r="CM61905" s="111"/>
      <c r="CQ61905" s="111"/>
      <c r="EF61905"/>
      <c r="EG61905"/>
      <c r="EH61905"/>
      <c r="EI61905"/>
      <c r="EJ61905"/>
      <c r="EK61905"/>
    </row>
    <row r="61906" spans="1:141" s="116" customFormat="1">
      <c r="A61906" s="136"/>
      <c r="CM61906" s="111"/>
      <c r="CQ61906" s="111"/>
      <c r="EF61906"/>
      <c r="EG61906"/>
      <c r="EH61906"/>
      <c r="EI61906"/>
      <c r="EJ61906"/>
      <c r="EK61906"/>
    </row>
    <row r="61907" spans="1:141" s="116" customFormat="1">
      <c r="A61907" s="136"/>
      <c r="CM61907" s="111"/>
      <c r="CQ61907" s="111"/>
      <c r="EF61907"/>
      <c r="EG61907"/>
      <c r="EH61907"/>
      <c r="EI61907"/>
      <c r="EJ61907"/>
      <c r="EK61907"/>
    </row>
    <row r="61908" spans="1:141" s="116" customFormat="1">
      <c r="A61908" s="136"/>
      <c r="CM61908" s="111"/>
      <c r="CQ61908" s="111"/>
      <c r="EF61908"/>
      <c r="EG61908"/>
      <c r="EH61908"/>
      <c r="EI61908"/>
      <c r="EJ61908"/>
      <c r="EK61908"/>
    </row>
    <row r="61909" spans="1:141" s="116" customFormat="1">
      <c r="A61909" s="136"/>
      <c r="CM61909" s="111"/>
      <c r="CQ61909" s="111"/>
      <c r="EF61909"/>
      <c r="EG61909"/>
      <c r="EH61909"/>
      <c r="EI61909"/>
      <c r="EJ61909"/>
      <c r="EK61909"/>
    </row>
    <row r="61910" spans="1:141" s="116" customFormat="1">
      <c r="A61910" s="136"/>
      <c r="CM61910" s="111"/>
      <c r="CQ61910" s="111"/>
      <c r="EF61910"/>
      <c r="EG61910"/>
      <c r="EH61910"/>
      <c r="EI61910"/>
      <c r="EJ61910"/>
      <c r="EK61910"/>
    </row>
    <row r="61911" spans="1:141" s="116" customFormat="1">
      <c r="A61911" s="136"/>
      <c r="CM61911" s="111"/>
      <c r="CQ61911" s="111"/>
      <c r="EF61911"/>
      <c r="EG61911"/>
      <c r="EH61911"/>
      <c r="EI61911"/>
      <c r="EJ61911"/>
      <c r="EK61911"/>
    </row>
    <row r="61912" spans="1:141" s="116" customFormat="1">
      <c r="A61912" s="136"/>
      <c r="CM61912" s="111"/>
      <c r="CQ61912" s="111"/>
      <c r="EF61912"/>
      <c r="EG61912"/>
      <c r="EH61912"/>
      <c r="EI61912"/>
      <c r="EJ61912"/>
      <c r="EK61912"/>
    </row>
    <row r="61913" spans="1:141" s="116" customFormat="1">
      <c r="A61913" s="136"/>
      <c r="CM61913" s="111"/>
      <c r="CQ61913" s="111"/>
      <c r="EF61913"/>
      <c r="EG61913"/>
      <c r="EH61913"/>
      <c r="EI61913"/>
      <c r="EJ61913"/>
      <c r="EK61913"/>
    </row>
    <row r="61914" spans="1:141" s="116" customFormat="1">
      <c r="A61914" s="136"/>
      <c r="CM61914" s="111"/>
      <c r="CQ61914" s="111"/>
      <c r="EF61914"/>
      <c r="EG61914"/>
      <c r="EH61914"/>
      <c r="EI61914"/>
      <c r="EJ61914"/>
      <c r="EK61914"/>
    </row>
    <row r="61915" spans="1:141" s="116" customFormat="1">
      <c r="A61915" s="136"/>
      <c r="CM61915" s="111"/>
      <c r="CQ61915" s="111"/>
      <c r="EF61915"/>
      <c r="EG61915"/>
      <c r="EH61915"/>
      <c r="EI61915"/>
      <c r="EJ61915"/>
      <c r="EK61915"/>
    </row>
    <row r="61916" spans="1:141" s="116" customFormat="1">
      <c r="A61916" s="136"/>
      <c r="CM61916" s="111"/>
      <c r="CQ61916" s="111"/>
      <c r="EF61916"/>
      <c r="EG61916"/>
      <c r="EH61916"/>
      <c r="EI61916"/>
      <c r="EJ61916"/>
      <c r="EK61916"/>
    </row>
    <row r="61917" spans="1:141" s="116" customFormat="1">
      <c r="A61917" s="136"/>
      <c r="CM61917" s="111"/>
      <c r="CQ61917" s="111"/>
      <c r="EF61917"/>
      <c r="EG61917"/>
      <c r="EH61917"/>
      <c r="EI61917"/>
      <c r="EJ61917"/>
      <c r="EK61917"/>
    </row>
    <row r="61918" spans="1:141" s="116" customFormat="1">
      <c r="A61918" s="136"/>
      <c r="CM61918" s="111"/>
      <c r="CQ61918" s="111"/>
      <c r="EF61918"/>
      <c r="EG61918"/>
      <c r="EH61918"/>
      <c r="EI61918"/>
      <c r="EJ61918"/>
      <c r="EK61918"/>
    </row>
    <row r="61919" spans="1:141" s="116" customFormat="1">
      <c r="A61919" s="136"/>
      <c r="CM61919" s="111"/>
      <c r="CQ61919" s="111"/>
      <c r="EF61919"/>
      <c r="EG61919"/>
      <c r="EH61919"/>
      <c r="EI61919"/>
      <c r="EJ61919"/>
      <c r="EK61919"/>
    </row>
    <row r="61920" spans="1:141" s="116" customFormat="1">
      <c r="A61920" s="136"/>
      <c r="CM61920" s="111"/>
      <c r="CQ61920" s="111"/>
      <c r="EF61920"/>
      <c r="EG61920"/>
      <c r="EH61920"/>
      <c r="EI61920"/>
      <c r="EJ61920"/>
      <c r="EK61920"/>
    </row>
    <row r="61921" spans="1:141" s="116" customFormat="1">
      <c r="A61921" s="136"/>
      <c r="CM61921" s="111"/>
      <c r="CQ61921" s="111"/>
      <c r="EF61921"/>
      <c r="EG61921"/>
      <c r="EH61921"/>
      <c r="EI61921"/>
      <c r="EJ61921"/>
      <c r="EK61921"/>
    </row>
    <row r="61922" spans="1:141" s="116" customFormat="1">
      <c r="A61922" s="136"/>
      <c r="CM61922" s="111"/>
      <c r="CQ61922" s="111"/>
      <c r="EF61922"/>
      <c r="EG61922"/>
      <c r="EH61922"/>
      <c r="EI61922"/>
      <c r="EJ61922"/>
      <c r="EK61922"/>
    </row>
    <row r="61923" spans="1:141" s="116" customFormat="1">
      <c r="A61923" s="136"/>
      <c r="CM61923" s="111"/>
      <c r="CQ61923" s="111"/>
      <c r="EF61923"/>
      <c r="EG61923"/>
      <c r="EH61923"/>
      <c r="EI61923"/>
      <c r="EJ61923"/>
      <c r="EK61923"/>
    </row>
    <row r="61924" spans="1:141" s="116" customFormat="1">
      <c r="A61924" s="136"/>
      <c r="CM61924" s="111"/>
      <c r="CQ61924" s="111"/>
      <c r="EF61924"/>
      <c r="EG61924"/>
      <c r="EH61924"/>
      <c r="EI61924"/>
      <c r="EJ61924"/>
      <c r="EK61924"/>
    </row>
    <row r="61925" spans="1:141" s="116" customFormat="1">
      <c r="A61925" s="136"/>
      <c r="CM61925" s="111"/>
      <c r="CQ61925" s="111"/>
      <c r="EF61925"/>
      <c r="EG61925"/>
      <c r="EH61925"/>
      <c r="EI61925"/>
      <c r="EJ61925"/>
      <c r="EK61925"/>
    </row>
    <row r="61926" spans="1:141" s="116" customFormat="1">
      <c r="A61926" s="136"/>
      <c r="CM61926" s="111"/>
      <c r="CQ61926" s="111"/>
      <c r="EF61926"/>
      <c r="EG61926"/>
      <c r="EH61926"/>
      <c r="EI61926"/>
      <c r="EJ61926"/>
      <c r="EK61926"/>
    </row>
    <row r="61927" spans="1:141" s="116" customFormat="1">
      <c r="A61927" s="136"/>
      <c r="CM61927" s="111"/>
      <c r="CQ61927" s="111"/>
      <c r="EF61927"/>
      <c r="EG61927"/>
      <c r="EH61927"/>
      <c r="EI61927"/>
      <c r="EJ61927"/>
      <c r="EK61927"/>
    </row>
    <row r="61928" spans="1:141" s="116" customFormat="1">
      <c r="A61928" s="136"/>
      <c r="CM61928" s="111"/>
      <c r="CQ61928" s="111"/>
      <c r="EF61928"/>
      <c r="EG61928"/>
      <c r="EH61928"/>
      <c r="EI61928"/>
      <c r="EJ61928"/>
      <c r="EK61928"/>
    </row>
    <row r="61929" spans="1:141" s="116" customFormat="1">
      <c r="A61929" s="136"/>
      <c r="CM61929" s="111"/>
      <c r="CQ61929" s="111"/>
      <c r="EF61929"/>
      <c r="EG61929"/>
      <c r="EH61929"/>
      <c r="EI61929"/>
      <c r="EJ61929"/>
      <c r="EK61929"/>
    </row>
    <row r="61930" spans="1:141" s="116" customFormat="1">
      <c r="A61930" s="136"/>
      <c r="CM61930" s="111"/>
      <c r="CQ61930" s="111"/>
      <c r="EF61930"/>
      <c r="EG61930"/>
      <c r="EH61930"/>
      <c r="EI61930"/>
      <c r="EJ61930"/>
      <c r="EK61930"/>
    </row>
    <row r="61931" spans="1:141" s="116" customFormat="1">
      <c r="A61931" s="136"/>
      <c r="CM61931" s="111"/>
      <c r="CQ61931" s="111"/>
      <c r="EF61931"/>
      <c r="EG61931"/>
      <c r="EH61931"/>
      <c r="EI61931"/>
      <c r="EJ61931"/>
      <c r="EK61931"/>
    </row>
    <row r="61932" spans="1:141" s="116" customFormat="1">
      <c r="A61932" s="136"/>
      <c r="CM61932" s="111"/>
      <c r="CQ61932" s="111"/>
      <c r="EF61932"/>
      <c r="EG61932"/>
      <c r="EH61932"/>
      <c r="EI61932"/>
      <c r="EJ61932"/>
      <c r="EK61932"/>
    </row>
    <row r="61933" spans="1:141" s="116" customFormat="1">
      <c r="A61933" s="136"/>
      <c r="CM61933" s="111"/>
      <c r="CQ61933" s="111"/>
      <c r="EF61933"/>
      <c r="EG61933"/>
      <c r="EH61933"/>
      <c r="EI61933"/>
      <c r="EJ61933"/>
      <c r="EK61933"/>
    </row>
    <row r="61934" spans="1:141" s="116" customFormat="1">
      <c r="A61934" s="136"/>
      <c r="CM61934" s="111"/>
      <c r="CQ61934" s="111"/>
      <c r="EF61934"/>
      <c r="EG61934"/>
      <c r="EH61934"/>
      <c r="EI61934"/>
      <c r="EJ61934"/>
      <c r="EK61934"/>
    </row>
    <row r="61935" spans="1:141" s="116" customFormat="1">
      <c r="A61935" s="136"/>
      <c r="CM61935" s="111"/>
      <c r="CQ61935" s="111"/>
      <c r="EF61935"/>
      <c r="EG61935"/>
      <c r="EH61935"/>
      <c r="EI61935"/>
      <c r="EJ61935"/>
      <c r="EK61935"/>
    </row>
    <row r="61936" spans="1:141" s="116" customFormat="1">
      <c r="A61936" s="136"/>
      <c r="CM61936" s="111"/>
      <c r="CQ61936" s="111"/>
      <c r="EF61936"/>
      <c r="EG61936"/>
      <c r="EH61936"/>
      <c r="EI61936"/>
      <c r="EJ61936"/>
      <c r="EK61936"/>
    </row>
    <row r="61937" spans="1:141" s="116" customFormat="1">
      <c r="A61937" s="136"/>
      <c r="CM61937" s="111"/>
      <c r="CQ61937" s="111"/>
      <c r="EF61937"/>
      <c r="EG61937"/>
      <c r="EH61937"/>
      <c r="EI61937"/>
      <c r="EJ61937"/>
      <c r="EK61937"/>
    </row>
    <row r="61938" spans="1:141" s="116" customFormat="1">
      <c r="A61938" s="136"/>
      <c r="CM61938" s="111"/>
      <c r="CQ61938" s="111"/>
      <c r="EF61938"/>
      <c r="EG61938"/>
      <c r="EH61938"/>
      <c r="EI61938"/>
      <c r="EJ61938"/>
      <c r="EK61938"/>
    </row>
    <row r="61939" spans="1:141" s="116" customFormat="1">
      <c r="A61939" s="136"/>
      <c r="CM61939" s="111"/>
      <c r="CQ61939" s="111"/>
      <c r="EF61939"/>
      <c r="EG61939"/>
      <c r="EH61939"/>
      <c r="EI61939"/>
      <c r="EJ61939"/>
      <c r="EK61939"/>
    </row>
    <row r="61940" spans="1:141" s="116" customFormat="1">
      <c r="A61940" s="136"/>
      <c r="CM61940" s="111"/>
      <c r="CQ61940" s="111"/>
      <c r="EF61940"/>
      <c r="EG61940"/>
      <c r="EH61940"/>
      <c r="EI61940"/>
      <c r="EJ61940"/>
      <c r="EK61940"/>
    </row>
    <row r="61941" spans="1:141" s="116" customFormat="1">
      <c r="A61941" s="136"/>
      <c r="CM61941" s="111"/>
      <c r="CQ61941" s="111"/>
      <c r="EF61941"/>
      <c r="EG61941"/>
      <c r="EH61941"/>
      <c r="EI61941"/>
      <c r="EJ61941"/>
      <c r="EK61941"/>
    </row>
    <row r="61942" spans="1:141" s="116" customFormat="1">
      <c r="A61942" s="136"/>
      <c r="CM61942" s="111"/>
      <c r="CQ61942" s="111"/>
      <c r="EF61942"/>
      <c r="EG61942"/>
      <c r="EH61942"/>
      <c r="EI61942"/>
      <c r="EJ61942"/>
      <c r="EK61942"/>
    </row>
    <row r="61943" spans="1:141" s="116" customFormat="1">
      <c r="A61943" s="136"/>
      <c r="CM61943" s="111"/>
      <c r="CQ61943" s="111"/>
      <c r="EF61943"/>
      <c r="EG61943"/>
      <c r="EH61943"/>
      <c r="EI61943"/>
      <c r="EJ61943"/>
      <c r="EK61943"/>
    </row>
    <row r="61944" spans="1:141" s="116" customFormat="1">
      <c r="A61944" s="136"/>
      <c r="CM61944" s="111"/>
      <c r="CQ61944" s="111"/>
      <c r="EF61944"/>
      <c r="EG61944"/>
      <c r="EH61944"/>
      <c r="EI61944"/>
      <c r="EJ61944"/>
      <c r="EK61944"/>
    </row>
    <row r="61945" spans="1:141" s="116" customFormat="1">
      <c r="A61945" s="136"/>
      <c r="CM61945" s="111"/>
      <c r="CQ61945" s="111"/>
      <c r="EF61945"/>
      <c r="EG61945"/>
      <c r="EH61945"/>
      <c r="EI61945"/>
      <c r="EJ61945"/>
      <c r="EK61945"/>
    </row>
    <row r="61946" spans="1:141" s="116" customFormat="1">
      <c r="A61946" s="136"/>
      <c r="CM61946" s="111"/>
      <c r="CQ61946" s="111"/>
      <c r="EF61946"/>
      <c r="EG61946"/>
      <c r="EH61946"/>
      <c r="EI61946"/>
      <c r="EJ61946"/>
      <c r="EK61946"/>
    </row>
    <row r="61947" spans="1:141" s="116" customFormat="1">
      <c r="A61947" s="136"/>
      <c r="CM61947" s="111"/>
      <c r="CQ61947" s="111"/>
      <c r="EF61947"/>
      <c r="EG61947"/>
      <c r="EH61947"/>
      <c r="EI61947"/>
      <c r="EJ61947"/>
      <c r="EK61947"/>
    </row>
    <row r="61948" spans="1:141" s="116" customFormat="1">
      <c r="A61948" s="136"/>
      <c r="CM61948" s="111"/>
      <c r="CQ61948" s="111"/>
      <c r="EF61948"/>
      <c r="EG61948"/>
      <c r="EH61948"/>
      <c r="EI61948"/>
      <c r="EJ61948"/>
      <c r="EK61948"/>
    </row>
    <row r="61949" spans="1:141" s="116" customFormat="1">
      <c r="A61949" s="136"/>
      <c r="CM61949" s="111"/>
      <c r="CQ61949" s="111"/>
      <c r="EF61949"/>
      <c r="EG61949"/>
      <c r="EH61949"/>
      <c r="EI61949"/>
      <c r="EJ61949"/>
      <c r="EK61949"/>
    </row>
    <row r="61950" spans="1:141" s="116" customFormat="1">
      <c r="A61950" s="136"/>
      <c r="CM61950" s="111"/>
      <c r="CQ61950" s="111"/>
      <c r="EF61950"/>
      <c r="EG61950"/>
      <c r="EH61950"/>
      <c r="EI61950"/>
      <c r="EJ61950"/>
      <c r="EK61950"/>
    </row>
    <row r="61951" spans="1:141" s="116" customFormat="1">
      <c r="A61951" s="136"/>
      <c r="CM61951" s="111"/>
      <c r="CQ61951" s="111"/>
      <c r="EF61951"/>
      <c r="EG61951"/>
      <c r="EH61951"/>
      <c r="EI61951"/>
      <c r="EJ61951"/>
      <c r="EK61951"/>
    </row>
    <row r="61952" spans="1:141" s="116" customFormat="1">
      <c r="A61952" s="136"/>
      <c r="CM61952" s="111"/>
      <c r="CQ61952" s="111"/>
      <c r="EF61952"/>
      <c r="EG61952"/>
      <c r="EH61952"/>
      <c r="EI61952"/>
      <c r="EJ61952"/>
      <c r="EK61952"/>
    </row>
    <row r="61953" spans="1:141" s="116" customFormat="1">
      <c r="A61953" s="136"/>
      <c r="CM61953" s="111"/>
      <c r="CQ61953" s="111"/>
      <c r="EF61953"/>
      <c r="EG61953"/>
      <c r="EH61953"/>
      <c r="EI61953"/>
      <c r="EJ61953"/>
      <c r="EK61953"/>
    </row>
    <row r="61954" spans="1:141" s="116" customFormat="1">
      <c r="A61954" s="136"/>
      <c r="CM61954" s="111"/>
      <c r="CQ61954" s="111"/>
      <c r="EF61954"/>
      <c r="EG61954"/>
      <c r="EH61954"/>
      <c r="EI61954"/>
      <c r="EJ61954"/>
      <c r="EK61954"/>
    </row>
    <row r="61955" spans="1:141" s="116" customFormat="1">
      <c r="A61955" s="136"/>
      <c r="CM61955" s="111"/>
      <c r="CQ61955" s="111"/>
      <c r="EF61955"/>
      <c r="EG61955"/>
      <c r="EH61955"/>
      <c r="EI61955"/>
      <c r="EJ61955"/>
      <c r="EK61955"/>
    </row>
    <row r="61956" spans="1:141" s="116" customFormat="1">
      <c r="A61956" s="136"/>
      <c r="CM61956" s="111"/>
      <c r="CQ61956" s="111"/>
      <c r="EF61956"/>
      <c r="EG61956"/>
      <c r="EH61956"/>
      <c r="EI61956"/>
      <c r="EJ61956"/>
      <c r="EK61956"/>
    </row>
    <row r="61957" spans="1:141" s="116" customFormat="1">
      <c r="A61957" s="136"/>
      <c r="CM61957" s="111"/>
      <c r="CQ61957" s="111"/>
      <c r="EF61957"/>
      <c r="EG61957"/>
      <c r="EH61957"/>
      <c r="EI61957"/>
      <c r="EJ61957"/>
      <c r="EK61957"/>
    </row>
    <row r="61958" spans="1:141" s="116" customFormat="1">
      <c r="A61958" s="136"/>
      <c r="CM61958" s="111"/>
      <c r="CQ61958" s="111"/>
      <c r="EF61958"/>
      <c r="EG61958"/>
      <c r="EH61958"/>
      <c r="EI61958"/>
      <c r="EJ61958"/>
      <c r="EK61958"/>
    </row>
    <row r="61959" spans="1:141" s="116" customFormat="1">
      <c r="A61959" s="136"/>
      <c r="CM61959" s="111"/>
      <c r="CQ61959" s="111"/>
      <c r="EF61959"/>
      <c r="EG61959"/>
      <c r="EH61959"/>
      <c r="EI61959"/>
      <c r="EJ61959"/>
      <c r="EK61959"/>
    </row>
    <row r="61960" spans="1:141" s="116" customFormat="1">
      <c r="A61960" s="136"/>
      <c r="CM61960" s="111"/>
      <c r="CQ61960" s="111"/>
      <c r="EF61960"/>
      <c r="EG61960"/>
      <c r="EH61960"/>
      <c r="EI61960"/>
      <c r="EJ61960"/>
      <c r="EK61960"/>
    </row>
    <row r="61961" spans="1:141" s="116" customFormat="1">
      <c r="A61961" s="136"/>
      <c r="CM61961" s="111"/>
      <c r="CQ61961" s="111"/>
      <c r="EF61961"/>
      <c r="EG61961"/>
      <c r="EH61961"/>
      <c r="EI61961"/>
      <c r="EJ61961"/>
      <c r="EK61961"/>
    </row>
    <row r="61962" spans="1:141" s="116" customFormat="1">
      <c r="A61962" s="136"/>
      <c r="CM61962" s="111"/>
      <c r="CQ61962" s="111"/>
      <c r="EF61962"/>
      <c r="EG61962"/>
      <c r="EH61962"/>
      <c r="EI61962"/>
      <c r="EJ61962"/>
      <c r="EK61962"/>
    </row>
    <row r="61963" spans="1:141" s="116" customFormat="1">
      <c r="A61963" s="136"/>
      <c r="CM61963" s="111"/>
      <c r="CQ61963" s="111"/>
      <c r="EF61963"/>
      <c r="EG61963"/>
      <c r="EH61963"/>
      <c r="EI61963"/>
      <c r="EJ61963"/>
      <c r="EK61963"/>
    </row>
    <row r="61964" spans="1:141" s="116" customFormat="1">
      <c r="A61964" s="136"/>
      <c r="CM61964" s="111"/>
      <c r="CQ61964" s="111"/>
      <c r="EF61964"/>
      <c r="EG61964"/>
      <c r="EH61964"/>
      <c r="EI61964"/>
      <c r="EJ61964"/>
      <c r="EK61964"/>
    </row>
    <row r="61965" spans="1:141" s="116" customFormat="1">
      <c r="A61965" s="136"/>
      <c r="CM61965" s="111"/>
      <c r="CQ61965" s="111"/>
      <c r="EF61965"/>
      <c r="EG61965"/>
      <c r="EH61965"/>
      <c r="EI61965"/>
      <c r="EJ61965"/>
      <c r="EK61965"/>
    </row>
    <row r="61966" spans="1:141" s="116" customFormat="1">
      <c r="A61966" s="136"/>
      <c r="CM61966" s="111"/>
      <c r="CQ61966" s="111"/>
      <c r="EF61966"/>
      <c r="EG61966"/>
      <c r="EH61966"/>
      <c r="EI61966"/>
      <c r="EJ61966"/>
      <c r="EK61966"/>
    </row>
    <row r="61967" spans="1:141" s="116" customFormat="1">
      <c r="A61967" s="136"/>
      <c r="CM61967" s="111"/>
      <c r="CQ61967" s="111"/>
      <c r="EF61967"/>
      <c r="EG61967"/>
      <c r="EH61967"/>
      <c r="EI61967"/>
      <c r="EJ61967"/>
      <c r="EK61967"/>
    </row>
    <row r="61968" spans="1:141" s="116" customFormat="1">
      <c r="A61968" s="136"/>
      <c r="CM61968" s="111"/>
      <c r="CQ61968" s="111"/>
      <c r="EF61968"/>
      <c r="EG61968"/>
      <c r="EH61968"/>
      <c r="EI61968"/>
      <c r="EJ61968"/>
      <c r="EK61968"/>
    </row>
    <row r="61969" spans="1:141" s="116" customFormat="1">
      <c r="A61969" s="136"/>
      <c r="CM61969" s="111"/>
      <c r="CQ61969" s="111"/>
      <c r="EF61969"/>
      <c r="EG61969"/>
      <c r="EH61969"/>
      <c r="EI61969"/>
      <c r="EJ61969"/>
      <c r="EK61969"/>
    </row>
    <row r="61970" spans="1:141" s="116" customFormat="1">
      <c r="A61970" s="136"/>
      <c r="CM61970" s="111"/>
      <c r="CQ61970" s="111"/>
      <c r="EF61970"/>
      <c r="EG61970"/>
      <c r="EH61970"/>
      <c r="EI61970"/>
      <c r="EJ61970"/>
      <c r="EK61970"/>
    </row>
    <row r="61971" spans="1:141" s="116" customFormat="1">
      <c r="A61971" s="136"/>
      <c r="CM61971" s="111"/>
      <c r="CQ61971" s="111"/>
      <c r="EF61971"/>
      <c r="EG61971"/>
      <c r="EH61971"/>
      <c r="EI61971"/>
      <c r="EJ61971"/>
      <c r="EK61971"/>
    </row>
    <row r="61972" spans="1:141" s="116" customFormat="1">
      <c r="A61972" s="136"/>
      <c r="CM61972" s="111"/>
      <c r="CQ61972" s="111"/>
      <c r="EF61972"/>
      <c r="EG61972"/>
      <c r="EH61972"/>
      <c r="EI61972"/>
      <c r="EJ61972"/>
      <c r="EK61972"/>
    </row>
    <row r="61973" spans="1:141" s="116" customFormat="1">
      <c r="A61973" s="136"/>
      <c r="CM61973" s="111"/>
      <c r="CQ61973" s="111"/>
      <c r="EF61973"/>
      <c r="EG61973"/>
      <c r="EH61973"/>
      <c r="EI61973"/>
      <c r="EJ61973"/>
      <c r="EK61973"/>
    </row>
    <row r="61974" spans="1:141" s="116" customFormat="1">
      <c r="A61974" s="136"/>
      <c r="CM61974" s="111"/>
      <c r="CQ61974" s="111"/>
      <c r="EF61974"/>
      <c r="EG61974"/>
      <c r="EH61974"/>
      <c r="EI61974"/>
      <c r="EJ61974"/>
      <c r="EK61974"/>
    </row>
    <row r="61975" spans="1:141" s="116" customFormat="1">
      <c r="A61975" s="136"/>
      <c r="CM61975" s="111"/>
      <c r="CQ61975" s="111"/>
      <c r="EF61975"/>
      <c r="EG61975"/>
      <c r="EH61975"/>
      <c r="EI61975"/>
      <c r="EJ61975"/>
      <c r="EK61975"/>
    </row>
    <row r="61976" spans="1:141" s="116" customFormat="1">
      <c r="A61976" s="136"/>
      <c r="CM61976" s="111"/>
      <c r="CQ61976" s="111"/>
      <c r="EF61976"/>
      <c r="EG61976"/>
      <c r="EH61976"/>
      <c r="EI61976"/>
      <c r="EJ61976"/>
      <c r="EK61976"/>
    </row>
    <row r="61977" spans="1:141" s="116" customFormat="1">
      <c r="A61977" s="136"/>
      <c r="CM61977" s="111"/>
      <c r="CQ61977" s="111"/>
      <c r="EF61977"/>
      <c r="EG61977"/>
      <c r="EH61977"/>
      <c r="EI61977"/>
      <c r="EJ61977"/>
      <c r="EK61977"/>
    </row>
    <row r="61978" spans="1:141" s="116" customFormat="1">
      <c r="A61978" s="136"/>
      <c r="CM61978" s="111"/>
      <c r="CQ61978" s="111"/>
      <c r="EF61978"/>
      <c r="EG61978"/>
      <c r="EH61978"/>
      <c r="EI61978"/>
      <c r="EJ61978"/>
      <c r="EK61978"/>
    </row>
    <row r="61979" spans="1:141" s="116" customFormat="1">
      <c r="A61979" s="136"/>
      <c r="CM61979" s="111"/>
      <c r="CQ61979" s="111"/>
      <c r="EF61979"/>
      <c r="EG61979"/>
      <c r="EH61979"/>
      <c r="EI61979"/>
      <c r="EJ61979"/>
      <c r="EK61979"/>
    </row>
    <row r="61980" spans="1:141" s="116" customFormat="1">
      <c r="A61980" s="136"/>
      <c r="CM61980" s="111"/>
      <c r="CQ61980" s="111"/>
      <c r="EF61980"/>
      <c r="EG61980"/>
      <c r="EH61980"/>
      <c r="EI61980"/>
      <c r="EJ61980"/>
      <c r="EK61980"/>
    </row>
    <row r="61981" spans="1:141" s="116" customFormat="1">
      <c r="A61981" s="136"/>
      <c r="CM61981" s="111"/>
      <c r="CQ61981" s="111"/>
      <c r="EF61981"/>
      <c r="EG61981"/>
      <c r="EH61981"/>
      <c r="EI61981"/>
      <c r="EJ61981"/>
      <c r="EK61981"/>
    </row>
    <row r="61982" spans="1:141" s="116" customFormat="1">
      <c r="A61982" s="136"/>
      <c r="CM61982" s="111"/>
      <c r="CQ61982" s="111"/>
      <c r="EF61982"/>
      <c r="EG61982"/>
      <c r="EH61982"/>
      <c r="EI61982"/>
      <c r="EJ61982"/>
      <c r="EK61982"/>
    </row>
    <row r="61983" spans="1:141" s="116" customFormat="1">
      <c r="A61983" s="136"/>
      <c r="CM61983" s="111"/>
      <c r="CQ61983" s="111"/>
      <c r="EF61983"/>
      <c r="EG61983"/>
      <c r="EH61983"/>
      <c r="EI61983"/>
      <c r="EJ61983"/>
      <c r="EK61983"/>
    </row>
    <row r="61984" spans="1:141" s="116" customFormat="1">
      <c r="A61984" s="136"/>
      <c r="CM61984" s="111"/>
      <c r="CQ61984" s="111"/>
      <c r="EF61984"/>
      <c r="EG61984"/>
      <c r="EH61984"/>
      <c r="EI61984"/>
      <c r="EJ61984"/>
      <c r="EK61984"/>
    </row>
    <row r="61985" spans="1:141" s="116" customFormat="1">
      <c r="A61985" s="136"/>
      <c r="CM61985" s="111"/>
      <c r="CQ61985" s="111"/>
      <c r="EF61985"/>
      <c r="EG61985"/>
      <c r="EH61985"/>
      <c r="EI61985"/>
      <c r="EJ61985"/>
      <c r="EK61985"/>
    </row>
    <row r="61986" spans="1:141" s="116" customFormat="1">
      <c r="A61986" s="136"/>
      <c r="CM61986" s="111"/>
      <c r="CQ61986" s="111"/>
      <c r="EF61986"/>
      <c r="EG61986"/>
      <c r="EH61986"/>
      <c r="EI61986"/>
      <c r="EJ61986"/>
      <c r="EK61986"/>
    </row>
    <row r="61987" spans="1:141" s="116" customFormat="1">
      <c r="A61987" s="136"/>
      <c r="CM61987" s="111"/>
      <c r="CQ61987" s="111"/>
      <c r="EF61987"/>
      <c r="EG61987"/>
      <c r="EH61987"/>
      <c r="EI61987"/>
      <c r="EJ61987"/>
      <c r="EK61987"/>
    </row>
    <row r="61988" spans="1:141" s="116" customFormat="1">
      <c r="A61988" s="136"/>
      <c r="CM61988" s="111"/>
      <c r="CQ61988" s="111"/>
      <c r="EF61988"/>
      <c r="EG61988"/>
      <c r="EH61988"/>
      <c r="EI61988"/>
      <c r="EJ61988"/>
      <c r="EK61988"/>
    </row>
    <row r="61989" spans="1:141" s="116" customFormat="1">
      <c r="A61989" s="136"/>
      <c r="CM61989" s="111"/>
      <c r="CQ61989" s="111"/>
      <c r="EF61989"/>
      <c r="EG61989"/>
      <c r="EH61989"/>
      <c r="EI61989"/>
      <c r="EJ61989"/>
      <c r="EK61989"/>
    </row>
    <row r="61990" spans="1:141" s="116" customFormat="1">
      <c r="A61990" s="136"/>
      <c r="CM61990" s="111"/>
      <c r="CQ61990" s="111"/>
      <c r="EF61990"/>
      <c r="EG61990"/>
      <c r="EH61990"/>
      <c r="EI61990"/>
      <c r="EJ61990"/>
      <c r="EK61990"/>
    </row>
    <row r="61991" spans="1:141" s="116" customFormat="1">
      <c r="A61991" s="136"/>
      <c r="CM61991" s="111"/>
      <c r="CQ61991" s="111"/>
      <c r="EF61991"/>
      <c r="EG61991"/>
      <c r="EH61991"/>
      <c r="EI61991"/>
      <c r="EJ61991"/>
      <c r="EK61991"/>
    </row>
    <row r="61992" spans="1:141" s="116" customFormat="1">
      <c r="A61992" s="136"/>
      <c r="CM61992" s="111"/>
      <c r="CQ61992" s="111"/>
      <c r="EF61992"/>
      <c r="EG61992"/>
      <c r="EH61992"/>
      <c r="EI61992"/>
      <c r="EJ61992"/>
      <c r="EK61992"/>
    </row>
    <row r="61993" spans="1:141" s="116" customFormat="1">
      <c r="A61993" s="136"/>
      <c r="CM61993" s="111"/>
      <c r="CQ61993" s="111"/>
      <c r="EF61993"/>
      <c r="EG61993"/>
      <c r="EH61993"/>
      <c r="EI61993"/>
      <c r="EJ61993"/>
      <c r="EK61993"/>
    </row>
    <row r="61994" spans="1:141" s="116" customFormat="1">
      <c r="A61994" s="136"/>
      <c r="CM61994" s="111"/>
      <c r="CQ61994" s="111"/>
      <c r="EF61994"/>
      <c r="EG61994"/>
      <c r="EH61994"/>
      <c r="EI61994"/>
      <c r="EJ61994"/>
      <c r="EK61994"/>
    </row>
    <row r="61995" spans="1:141" s="116" customFormat="1">
      <c r="A61995" s="136"/>
      <c r="CM61995" s="111"/>
      <c r="CQ61995" s="111"/>
      <c r="EF61995"/>
      <c r="EG61995"/>
      <c r="EH61995"/>
      <c r="EI61995"/>
      <c r="EJ61995"/>
      <c r="EK61995"/>
    </row>
    <row r="61996" spans="1:141" s="116" customFormat="1">
      <c r="A61996" s="136"/>
      <c r="CM61996" s="111"/>
      <c r="CQ61996" s="111"/>
      <c r="EF61996"/>
      <c r="EG61996"/>
      <c r="EH61996"/>
      <c r="EI61996"/>
      <c r="EJ61996"/>
      <c r="EK61996"/>
    </row>
    <row r="61997" spans="1:141" s="116" customFormat="1">
      <c r="A61997" s="136"/>
      <c r="CM61997" s="111"/>
      <c r="CQ61997" s="111"/>
      <c r="EF61997"/>
      <c r="EG61997"/>
      <c r="EH61997"/>
      <c r="EI61997"/>
      <c r="EJ61997"/>
      <c r="EK61997"/>
    </row>
    <row r="61998" spans="1:141" s="116" customFormat="1">
      <c r="A61998" s="136"/>
      <c r="CM61998" s="111"/>
      <c r="CQ61998" s="111"/>
      <c r="EF61998"/>
      <c r="EG61998"/>
      <c r="EH61998"/>
      <c r="EI61998"/>
      <c r="EJ61998"/>
      <c r="EK61998"/>
    </row>
    <row r="61999" spans="1:141" s="116" customFormat="1">
      <c r="A61999" s="136"/>
      <c r="CM61999" s="111"/>
      <c r="CQ61999" s="111"/>
      <c r="EF61999"/>
      <c r="EG61999"/>
      <c r="EH61999"/>
      <c r="EI61999"/>
      <c r="EJ61999"/>
      <c r="EK61999"/>
    </row>
    <row r="62000" spans="1:141" s="116" customFormat="1">
      <c r="A62000" s="136"/>
      <c r="CM62000" s="111"/>
      <c r="CQ62000" s="111"/>
      <c r="EF62000"/>
      <c r="EG62000"/>
      <c r="EH62000"/>
      <c r="EI62000"/>
      <c r="EJ62000"/>
      <c r="EK62000"/>
    </row>
    <row r="62001" spans="1:141" s="116" customFormat="1">
      <c r="A62001" s="136"/>
      <c r="CM62001" s="111"/>
      <c r="CQ62001" s="111"/>
      <c r="EF62001"/>
      <c r="EG62001"/>
      <c r="EH62001"/>
      <c r="EI62001"/>
      <c r="EJ62001"/>
      <c r="EK62001"/>
    </row>
    <row r="62002" spans="1:141" s="116" customFormat="1">
      <c r="A62002" s="136"/>
      <c r="CM62002" s="111"/>
      <c r="CQ62002" s="111"/>
      <c r="EF62002"/>
      <c r="EG62002"/>
      <c r="EH62002"/>
      <c r="EI62002"/>
      <c r="EJ62002"/>
      <c r="EK62002"/>
    </row>
    <row r="62003" spans="1:141" s="116" customFormat="1">
      <c r="A62003" s="136"/>
      <c r="CM62003" s="111"/>
      <c r="CQ62003" s="111"/>
      <c r="EF62003"/>
      <c r="EG62003"/>
      <c r="EH62003"/>
      <c r="EI62003"/>
      <c r="EJ62003"/>
      <c r="EK62003"/>
    </row>
    <row r="62004" spans="1:141" s="116" customFormat="1">
      <c r="A62004" s="136"/>
      <c r="CM62004" s="111"/>
      <c r="CQ62004" s="111"/>
      <c r="EF62004"/>
      <c r="EG62004"/>
      <c r="EH62004"/>
      <c r="EI62004"/>
      <c r="EJ62004"/>
      <c r="EK62004"/>
    </row>
    <row r="62005" spans="1:141" s="116" customFormat="1">
      <c r="A62005" s="136"/>
      <c r="CM62005" s="111"/>
      <c r="CQ62005" s="111"/>
      <c r="EF62005"/>
      <c r="EG62005"/>
      <c r="EH62005"/>
      <c r="EI62005"/>
      <c r="EJ62005"/>
      <c r="EK62005"/>
    </row>
    <row r="62006" spans="1:141" s="116" customFormat="1">
      <c r="A62006" s="136"/>
      <c r="CM62006" s="111"/>
      <c r="CQ62006" s="111"/>
      <c r="EF62006"/>
      <c r="EG62006"/>
      <c r="EH62006"/>
      <c r="EI62006"/>
      <c r="EJ62006"/>
      <c r="EK62006"/>
    </row>
    <row r="62007" spans="1:141" s="116" customFormat="1">
      <c r="A62007" s="136"/>
      <c r="CM62007" s="111"/>
      <c r="CQ62007" s="111"/>
      <c r="EF62007"/>
      <c r="EG62007"/>
      <c r="EH62007"/>
      <c r="EI62007"/>
      <c r="EJ62007"/>
      <c r="EK62007"/>
    </row>
    <row r="62008" spans="1:141" s="116" customFormat="1">
      <c r="A62008" s="136"/>
      <c r="CM62008" s="111"/>
      <c r="CQ62008" s="111"/>
      <c r="EF62008"/>
      <c r="EG62008"/>
      <c r="EH62008"/>
      <c r="EI62008"/>
      <c r="EJ62008"/>
      <c r="EK62008"/>
    </row>
    <row r="62009" spans="1:141" s="116" customFormat="1">
      <c r="A62009" s="136"/>
      <c r="CM62009" s="111"/>
      <c r="CQ62009" s="111"/>
      <c r="EF62009"/>
      <c r="EG62009"/>
      <c r="EH62009"/>
      <c r="EI62009"/>
      <c r="EJ62009"/>
      <c r="EK62009"/>
    </row>
    <row r="62010" spans="1:141" s="116" customFormat="1">
      <c r="A62010" s="136"/>
      <c r="CM62010" s="111"/>
      <c r="CQ62010" s="111"/>
      <c r="EF62010"/>
      <c r="EG62010"/>
      <c r="EH62010"/>
      <c r="EI62010"/>
      <c r="EJ62010"/>
      <c r="EK62010"/>
    </row>
    <row r="62011" spans="1:141" s="116" customFormat="1">
      <c r="A62011" s="136"/>
      <c r="CM62011" s="111"/>
      <c r="CQ62011" s="111"/>
      <c r="EF62011"/>
      <c r="EG62011"/>
      <c r="EH62011"/>
      <c r="EI62011"/>
      <c r="EJ62011"/>
      <c r="EK62011"/>
    </row>
    <row r="62012" spans="1:141" s="116" customFormat="1">
      <c r="A62012" s="136"/>
      <c r="CM62012" s="111"/>
      <c r="CQ62012" s="111"/>
      <c r="EF62012"/>
      <c r="EG62012"/>
      <c r="EH62012"/>
      <c r="EI62012"/>
      <c r="EJ62012"/>
      <c r="EK62012"/>
    </row>
    <row r="62013" spans="1:141" s="116" customFormat="1">
      <c r="A62013" s="136"/>
      <c r="CM62013" s="111"/>
      <c r="CQ62013" s="111"/>
      <c r="EF62013"/>
      <c r="EG62013"/>
      <c r="EH62013"/>
      <c r="EI62013"/>
      <c r="EJ62013"/>
      <c r="EK62013"/>
    </row>
    <row r="62014" spans="1:141" s="116" customFormat="1">
      <c r="A62014" s="136"/>
      <c r="CM62014" s="111"/>
      <c r="CQ62014" s="111"/>
      <c r="EF62014"/>
      <c r="EG62014"/>
      <c r="EH62014"/>
      <c r="EI62014"/>
      <c r="EJ62014"/>
      <c r="EK62014"/>
    </row>
    <row r="62015" spans="1:141" s="116" customFormat="1">
      <c r="A62015" s="136"/>
      <c r="CM62015" s="111"/>
      <c r="CQ62015" s="111"/>
      <c r="EF62015"/>
      <c r="EG62015"/>
      <c r="EH62015"/>
      <c r="EI62015"/>
      <c r="EJ62015"/>
      <c r="EK62015"/>
    </row>
    <row r="62016" spans="1:141" s="116" customFormat="1">
      <c r="A62016" s="136"/>
      <c r="CM62016" s="111"/>
      <c r="CQ62016" s="111"/>
      <c r="EF62016"/>
      <c r="EG62016"/>
      <c r="EH62016"/>
      <c r="EI62016"/>
      <c r="EJ62016"/>
      <c r="EK62016"/>
    </row>
    <row r="62017" spans="1:141" s="116" customFormat="1">
      <c r="A62017" s="136"/>
      <c r="CM62017" s="111"/>
      <c r="CQ62017" s="111"/>
      <c r="EF62017"/>
      <c r="EG62017"/>
      <c r="EH62017"/>
      <c r="EI62017"/>
      <c r="EJ62017"/>
      <c r="EK62017"/>
    </row>
    <row r="62018" spans="1:141" s="116" customFormat="1">
      <c r="A62018" s="136"/>
      <c r="CM62018" s="111"/>
      <c r="CQ62018" s="111"/>
      <c r="EF62018"/>
      <c r="EG62018"/>
      <c r="EH62018"/>
      <c r="EI62018"/>
      <c r="EJ62018"/>
      <c r="EK62018"/>
    </row>
    <row r="62019" spans="1:141" s="116" customFormat="1">
      <c r="A62019" s="136"/>
      <c r="CM62019" s="111"/>
      <c r="CQ62019" s="111"/>
      <c r="EF62019"/>
      <c r="EG62019"/>
      <c r="EH62019"/>
      <c r="EI62019"/>
      <c r="EJ62019"/>
      <c r="EK62019"/>
    </row>
    <row r="62020" spans="1:141" s="116" customFormat="1">
      <c r="A62020" s="136"/>
      <c r="CM62020" s="111"/>
      <c r="CQ62020" s="111"/>
      <c r="EF62020"/>
      <c r="EG62020"/>
      <c r="EH62020"/>
      <c r="EI62020"/>
      <c r="EJ62020"/>
      <c r="EK62020"/>
    </row>
    <row r="62021" spans="1:141" s="116" customFormat="1">
      <c r="A62021" s="136"/>
      <c r="CM62021" s="111"/>
      <c r="CQ62021" s="111"/>
      <c r="EF62021"/>
      <c r="EG62021"/>
      <c r="EH62021"/>
      <c r="EI62021"/>
      <c r="EJ62021"/>
      <c r="EK62021"/>
    </row>
    <row r="62022" spans="1:141" s="116" customFormat="1">
      <c r="A62022" s="136"/>
      <c r="CM62022" s="111"/>
      <c r="CQ62022" s="111"/>
      <c r="EF62022"/>
      <c r="EG62022"/>
      <c r="EH62022"/>
      <c r="EI62022"/>
      <c r="EJ62022"/>
      <c r="EK62022"/>
    </row>
    <row r="62023" spans="1:141" s="116" customFormat="1">
      <c r="A62023" s="136"/>
      <c r="CM62023" s="111"/>
      <c r="CQ62023" s="111"/>
      <c r="EF62023"/>
      <c r="EG62023"/>
      <c r="EH62023"/>
      <c r="EI62023"/>
      <c r="EJ62023"/>
      <c r="EK62023"/>
    </row>
    <row r="62024" spans="1:141" s="116" customFormat="1">
      <c r="A62024" s="136"/>
      <c r="CM62024" s="111"/>
      <c r="CQ62024" s="111"/>
      <c r="EF62024"/>
      <c r="EG62024"/>
      <c r="EH62024"/>
      <c r="EI62024"/>
      <c r="EJ62024"/>
      <c r="EK62024"/>
    </row>
    <row r="62025" spans="1:141" s="116" customFormat="1">
      <c r="A62025" s="136"/>
      <c r="CM62025" s="111"/>
      <c r="CQ62025" s="111"/>
      <c r="EF62025"/>
      <c r="EG62025"/>
      <c r="EH62025"/>
      <c r="EI62025"/>
      <c r="EJ62025"/>
      <c r="EK62025"/>
    </row>
    <row r="62026" spans="1:141" s="116" customFormat="1">
      <c r="A62026" s="136"/>
      <c r="CM62026" s="111"/>
      <c r="CQ62026" s="111"/>
      <c r="EF62026"/>
      <c r="EG62026"/>
      <c r="EH62026"/>
      <c r="EI62026"/>
      <c r="EJ62026"/>
      <c r="EK62026"/>
    </row>
    <row r="62027" spans="1:141" s="116" customFormat="1">
      <c r="A62027" s="136"/>
      <c r="CM62027" s="111"/>
      <c r="CQ62027" s="111"/>
      <c r="EF62027"/>
      <c r="EG62027"/>
      <c r="EH62027"/>
      <c r="EI62027"/>
      <c r="EJ62027"/>
      <c r="EK62027"/>
    </row>
    <row r="62028" spans="1:141" s="116" customFormat="1">
      <c r="A62028" s="136"/>
      <c r="CM62028" s="111"/>
      <c r="CQ62028" s="111"/>
      <c r="EF62028"/>
      <c r="EG62028"/>
      <c r="EH62028"/>
      <c r="EI62028"/>
      <c r="EJ62028"/>
      <c r="EK62028"/>
    </row>
    <row r="62029" spans="1:141" s="116" customFormat="1">
      <c r="A62029" s="136"/>
      <c r="CM62029" s="111"/>
      <c r="CQ62029" s="111"/>
      <c r="EF62029"/>
      <c r="EG62029"/>
      <c r="EH62029"/>
      <c r="EI62029"/>
      <c r="EJ62029"/>
      <c r="EK62029"/>
    </row>
    <row r="62030" spans="1:141" s="116" customFormat="1">
      <c r="A62030" s="136"/>
      <c r="CM62030" s="111"/>
      <c r="CQ62030" s="111"/>
      <c r="EF62030"/>
      <c r="EG62030"/>
      <c r="EH62030"/>
      <c r="EI62030"/>
      <c r="EJ62030"/>
      <c r="EK62030"/>
    </row>
    <row r="62031" spans="1:141" s="116" customFormat="1">
      <c r="A62031" s="136"/>
      <c r="CM62031" s="111"/>
      <c r="CQ62031" s="111"/>
      <c r="EF62031"/>
      <c r="EG62031"/>
      <c r="EH62031"/>
      <c r="EI62031"/>
      <c r="EJ62031"/>
      <c r="EK62031"/>
    </row>
    <row r="62032" spans="1:141" s="116" customFormat="1">
      <c r="A62032" s="136"/>
      <c r="CM62032" s="111"/>
      <c r="CQ62032" s="111"/>
      <c r="EF62032"/>
      <c r="EG62032"/>
      <c r="EH62032"/>
      <c r="EI62032"/>
      <c r="EJ62032"/>
      <c r="EK62032"/>
    </row>
    <row r="62033" spans="1:141" s="116" customFormat="1">
      <c r="A62033" s="136"/>
      <c r="CM62033" s="111"/>
      <c r="CQ62033" s="111"/>
      <c r="EF62033"/>
      <c r="EG62033"/>
      <c r="EH62033"/>
      <c r="EI62033"/>
      <c r="EJ62033"/>
      <c r="EK62033"/>
    </row>
    <row r="62034" spans="1:141" s="116" customFormat="1">
      <c r="A62034" s="136"/>
      <c r="CM62034" s="111"/>
      <c r="CQ62034" s="111"/>
      <c r="EF62034"/>
      <c r="EG62034"/>
      <c r="EH62034"/>
      <c r="EI62034"/>
      <c r="EJ62034"/>
      <c r="EK62034"/>
    </row>
    <row r="62035" spans="1:141" s="116" customFormat="1">
      <c r="A62035" s="136"/>
      <c r="CM62035" s="111"/>
      <c r="CQ62035" s="111"/>
      <c r="EF62035"/>
      <c r="EG62035"/>
      <c r="EH62035"/>
      <c r="EI62035"/>
      <c r="EJ62035"/>
      <c r="EK62035"/>
    </row>
    <row r="62036" spans="1:141" s="116" customFormat="1">
      <c r="A62036" s="136"/>
      <c r="CM62036" s="111"/>
      <c r="CQ62036" s="111"/>
      <c r="EF62036"/>
      <c r="EG62036"/>
      <c r="EH62036"/>
      <c r="EI62036"/>
      <c r="EJ62036"/>
      <c r="EK62036"/>
    </row>
    <row r="62037" spans="1:141" s="116" customFormat="1">
      <c r="A62037" s="136"/>
      <c r="CM62037" s="111"/>
      <c r="CQ62037" s="111"/>
      <c r="EF62037"/>
      <c r="EG62037"/>
      <c r="EH62037"/>
      <c r="EI62037"/>
      <c r="EJ62037"/>
      <c r="EK62037"/>
    </row>
    <row r="62038" spans="1:141" s="116" customFormat="1">
      <c r="A62038" s="136"/>
      <c r="CM62038" s="111"/>
      <c r="CQ62038" s="111"/>
      <c r="EF62038"/>
      <c r="EG62038"/>
      <c r="EH62038"/>
      <c r="EI62038"/>
      <c r="EJ62038"/>
      <c r="EK62038"/>
    </row>
    <row r="62039" spans="1:141" s="116" customFormat="1">
      <c r="A62039" s="136"/>
      <c r="CM62039" s="111"/>
      <c r="CQ62039" s="111"/>
      <c r="EF62039"/>
      <c r="EG62039"/>
      <c r="EH62039"/>
      <c r="EI62039"/>
      <c r="EJ62039"/>
      <c r="EK62039"/>
    </row>
    <row r="62040" spans="1:141" s="116" customFormat="1">
      <c r="A62040" s="136"/>
      <c r="CM62040" s="111"/>
      <c r="CQ62040" s="111"/>
      <c r="EF62040"/>
      <c r="EG62040"/>
      <c r="EH62040"/>
      <c r="EI62040"/>
      <c r="EJ62040"/>
      <c r="EK62040"/>
    </row>
    <row r="62041" spans="1:141" s="116" customFormat="1">
      <c r="A62041" s="136"/>
      <c r="CM62041" s="111"/>
      <c r="CQ62041" s="111"/>
      <c r="EF62041"/>
      <c r="EG62041"/>
      <c r="EH62041"/>
      <c r="EI62041"/>
      <c r="EJ62041"/>
      <c r="EK62041"/>
    </row>
    <row r="62042" spans="1:141" s="116" customFormat="1">
      <c r="A62042" s="136"/>
      <c r="CM62042" s="111"/>
      <c r="CQ62042" s="111"/>
      <c r="EF62042"/>
      <c r="EG62042"/>
      <c r="EH62042"/>
      <c r="EI62042"/>
      <c r="EJ62042"/>
      <c r="EK62042"/>
    </row>
    <row r="62043" spans="1:141" s="116" customFormat="1">
      <c r="A62043" s="136"/>
      <c r="CM62043" s="111"/>
      <c r="CQ62043" s="111"/>
      <c r="EF62043"/>
      <c r="EG62043"/>
      <c r="EH62043"/>
      <c r="EI62043"/>
      <c r="EJ62043"/>
      <c r="EK62043"/>
    </row>
    <row r="62044" spans="1:141" s="116" customFormat="1">
      <c r="A62044" s="136"/>
      <c r="CM62044" s="111"/>
      <c r="CQ62044" s="111"/>
      <c r="EF62044"/>
      <c r="EG62044"/>
      <c r="EH62044"/>
      <c r="EI62044"/>
      <c r="EJ62044"/>
      <c r="EK62044"/>
    </row>
    <row r="62045" spans="1:141" s="116" customFormat="1">
      <c r="A62045" s="136"/>
      <c r="CM62045" s="111"/>
      <c r="CQ62045" s="111"/>
      <c r="EF62045"/>
      <c r="EG62045"/>
      <c r="EH62045"/>
      <c r="EI62045"/>
      <c r="EJ62045"/>
      <c r="EK62045"/>
    </row>
    <row r="62046" spans="1:141" s="116" customFormat="1">
      <c r="A62046" s="136"/>
      <c r="CM62046" s="111"/>
      <c r="CQ62046" s="111"/>
      <c r="EF62046"/>
      <c r="EG62046"/>
      <c r="EH62046"/>
      <c r="EI62046"/>
      <c r="EJ62046"/>
      <c r="EK62046"/>
    </row>
    <row r="62047" spans="1:141" s="116" customFormat="1">
      <c r="A62047" s="136"/>
      <c r="CM62047" s="111"/>
      <c r="CQ62047" s="111"/>
      <c r="EF62047"/>
      <c r="EG62047"/>
      <c r="EH62047"/>
      <c r="EI62047"/>
      <c r="EJ62047"/>
      <c r="EK62047"/>
    </row>
    <row r="62048" spans="1:141" s="116" customFormat="1">
      <c r="A62048" s="136"/>
      <c r="CM62048" s="111"/>
      <c r="CQ62048" s="111"/>
      <c r="EF62048"/>
      <c r="EG62048"/>
      <c r="EH62048"/>
      <c r="EI62048"/>
      <c r="EJ62048"/>
      <c r="EK62048"/>
    </row>
    <row r="62049" spans="1:141" s="116" customFormat="1">
      <c r="A62049" s="136"/>
      <c r="CM62049" s="111"/>
      <c r="CQ62049" s="111"/>
      <c r="EF62049"/>
      <c r="EG62049"/>
      <c r="EH62049"/>
      <c r="EI62049"/>
      <c r="EJ62049"/>
      <c r="EK62049"/>
    </row>
    <row r="62050" spans="1:141" s="116" customFormat="1">
      <c r="A62050" s="136"/>
      <c r="CM62050" s="111"/>
      <c r="CQ62050" s="111"/>
      <c r="EF62050"/>
      <c r="EG62050"/>
      <c r="EH62050"/>
      <c r="EI62050"/>
      <c r="EJ62050"/>
      <c r="EK62050"/>
    </row>
    <row r="62051" spans="1:141" s="116" customFormat="1">
      <c r="A62051" s="136"/>
      <c r="CM62051" s="111"/>
      <c r="CQ62051" s="111"/>
      <c r="EF62051"/>
      <c r="EG62051"/>
      <c r="EH62051"/>
      <c r="EI62051"/>
      <c r="EJ62051"/>
      <c r="EK62051"/>
    </row>
    <row r="62052" spans="1:141" s="116" customFormat="1">
      <c r="A62052" s="136"/>
      <c r="CM62052" s="111"/>
      <c r="CQ62052" s="111"/>
      <c r="EF62052"/>
      <c r="EG62052"/>
      <c r="EH62052"/>
      <c r="EI62052"/>
      <c r="EJ62052"/>
      <c r="EK62052"/>
    </row>
    <row r="62053" spans="1:141" s="116" customFormat="1">
      <c r="A62053" s="136"/>
      <c r="CM62053" s="111"/>
      <c r="CQ62053" s="111"/>
      <c r="EF62053"/>
      <c r="EG62053"/>
      <c r="EH62053"/>
      <c r="EI62053"/>
      <c r="EJ62053"/>
      <c r="EK62053"/>
    </row>
    <row r="62054" spans="1:141" s="116" customFormat="1">
      <c r="A62054" s="136"/>
      <c r="CM62054" s="111"/>
      <c r="CQ62054" s="111"/>
      <c r="EF62054"/>
      <c r="EG62054"/>
      <c r="EH62054"/>
      <c r="EI62054"/>
      <c r="EJ62054"/>
      <c r="EK62054"/>
    </row>
    <row r="62055" spans="1:141" s="116" customFormat="1">
      <c r="A62055" s="136"/>
      <c r="CM62055" s="111"/>
      <c r="CQ62055" s="111"/>
      <c r="EF62055"/>
      <c r="EG62055"/>
      <c r="EH62055"/>
      <c r="EI62055"/>
      <c r="EJ62055"/>
      <c r="EK62055"/>
    </row>
    <row r="62056" spans="1:141" s="116" customFormat="1">
      <c r="A62056" s="136"/>
      <c r="CM62056" s="111"/>
      <c r="CQ62056" s="111"/>
      <c r="EF62056"/>
      <c r="EG62056"/>
      <c r="EH62056"/>
      <c r="EI62056"/>
      <c r="EJ62056"/>
      <c r="EK62056"/>
    </row>
    <row r="62057" spans="1:141" s="116" customFormat="1">
      <c r="A62057" s="136"/>
      <c r="CM62057" s="111"/>
      <c r="CQ62057" s="111"/>
      <c r="EF62057"/>
      <c r="EG62057"/>
      <c r="EH62057"/>
      <c r="EI62057"/>
      <c r="EJ62057"/>
      <c r="EK62057"/>
    </row>
    <row r="62058" spans="1:141" s="116" customFormat="1">
      <c r="A62058" s="136"/>
      <c r="CM62058" s="111"/>
      <c r="CQ62058" s="111"/>
      <c r="EF62058"/>
      <c r="EG62058"/>
      <c r="EH62058"/>
      <c r="EI62058"/>
      <c r="EJ62058"/>
      <c r="EK62058"/>
    </row>
    <row r="62059" spans="1:141" s="116" customFormat="1">
      <c r="A62059" s="136"/>
      <c r="CM62059" s="111"/>
      <c r="CQ62059" s="111"/>
      <c r="EF62059"/>
      <c r="EG62059"/>
      <c r="EH62059"/>
      <c r="EI62059"/>
      <c r="EJ62059"/>
      <c r="EK62059"/>
    </row>
    <row r="62060" spans="1:141" s="116" customFormat="1">
      <c r="A62060" s="136"/>
      <c r="CM62060" s="111"/>
      <c r="CQ62060" s="111"/>
      <c r="EF62060"/>
      <c r="EG62060"/>
      <c r="EH62060"/>
      <c r="EI62060"/>
      <c r="EJ62060"/>
      <c r="EK62060"/>
    </row>
    <row r="62061" spans="1:141" s="116" customFormat="1">
      <c r="A62061" s="136"/>
      <c r="CM62061" s="111"/>
      <c r="CQ62061" s="111"/>
      <c r="EF62061"/>
      <c r="EG62061"/>
      <c r="EH62061"/>
      <c r="EI62061"/>
      <c r="EJ62061"/>
      <c r="EK62061"/>
    </row>
    <row r="62062" spans="1:141" s="116" customFormat="1">
      <c r="A62062" s="136"/>
      <c r="CM62062" s="111"/>
      <c r="CQ62062" s="111"/>
      <c r="EF62062"/>
      <c r="EG62062"/>
      <c r="EH62062"/>
      <c r="EI62062"/>
      <c r="EJ62062"/>
      <c r="EK62062"/>
    </row>
    <row r="62063" spans="1:141" s="116" customFormat="1">
      <c r="A62063" s="136"/>
      <c r="CM62063" s="111"/>
      <c r="CQ62063" s="111"/>
      <c r="EF62063"/>
      <c r="EG62063"/>
      <c r="EH62063"/>
      <c r="EI62063"/>
      <c r="EJ62063"/>
      <c r="EK62063"/>
    </row>
    <row r="62064" spans="1:141" s="116" customFormat="1">
      <c r="A62064" s="136"/>
      <c r="CM62064" s="111"/>
      <c r="CQ62064" s="111"/>
      <c r="EF62064"/>
      <c r="EG62064"/>
      <c r="EH62064"/>
      <c r="EI62064"/>
      <c r="EJ62064"/>
      <c r="EK62064"/>
    </row>
    <row r="62065" spans="1:141" s="116" customFormat="1">
      <c r="A62065" s="136"/>
      <c r="CM62065" s="111"/>
      <c r="CQ62065" s="111"/>
      <c r="EF62065"/>
      <c r="EG62065"/>
      <c r="EH62065"/>
      <c r="EI62065"/>
      <c r="EJ62065"/>
      <c r="EK62065"/>
    </row>
    <row r="62066" spans="1:141" s="116" customFormat="1">
      <c r="A62066" s="136"/>
      <c r="CM62066" s="111"/>
      <c r="CQ62066" s="111"/>
      <c r="EF62066"/>
      <c r="EG62066"/>
      <c r="EH62066"/>
      <c r="EI62066"/>
      <c r="EJ62066"/>
      <c r="EK62066"/>
    </row>
    <row r="62067" spans="1:141" s="116" customFormat="1">
      <c r="A62067" s="136"/>
      <c r="CM62067" s="111"/>
      <c r="CQ62067" s="111"/>
      <c r="EF62067"/>
      <c r="EG62067"/>
      <c r="EH62067"/>
      <c r="EI62067"/>
      <c r="EJ62067"/>
      <c r="EK62067"/>
    </row>
    <row r="62068" spans="1:141" s="116" customFormat="1">
      <c r="A62068" s="136"/>
      <c r="CM62068" s="111"/>
      <c r="CQ62068" s="111"/>
      <c r="EF62068"/>
      <c r="EG62068"/>
      <c r="EH62068"/>
      <c r="EI62068"/>
      <c r="EJ62068"/>
      <c r="EK62068"/>
    </row>
    <row r="62069" spans="1:141" s="116" customFormat="1">
      <c r="A62069" s="136"/>
      <c r="CM62069" s="111"/>
      <c r="CQ62069" s="111"/>
      <c r="EF62069"/>
      <c r="EG62069"/>
      <c r="EH62069"/>
      <c r="EI62069"/>
      <c r="EJ62069"/>
      <c r="EK62069"/>
    </row>
    <row r="62070" spans="1:141" s="116" customFormat="1">
      <c r="A62070" s="136"/>
      <c r="CM62070" s="111"/>
      <c r="CQ62070" s="111"/>
      <c r="EF62070"/>
      <c r="EG62070"/>
      <c r="EH62070"/>
      <c r="EI62070"/>
      <c r="EJ62070"/>
      <c r="EK62070"/>
    </row>
    <row r="62071" spans="1:141" s="116" customFormat="1">
      <c r="A62071" s="136"/>
      <c r="CM62071" s="111"/>
      <c r="CQ62071" s="111"/>
      <c r="EF62071"/>
      <c r="EG62071"/>
      <c r="EH62071"/>
      <c r="EI62071"/>
      <c r="EJ62071"/>
      <c r="EK62071"/>
    </row>
    <row r="62072" spans="1:141" s="116" customFormat="1">
      <c r="A62072" s="136"/>
      <c r="CM62072" s="111"/>
      <c r="CQ62072" s="111"/>
      <c r="EF62072"/>
      <c r="EG62072"/>
      <c r="EH62072"/>
      <c r="EI62072"/>
      <c r="EJ62072"/>
      <c r="EK62072"/>
    </row>
    <row r="62073" spans="1:141" s="116" customFormat="1">
      <c r="A62073" s="136"/>
      <c r="CM62073" s="111"/>
      <c r="CQ62073" s="111"/>
      <c r="EF62073"/>
      <c r="EG62073"/>
      <c r="EH62073"/>
      <c r="EI62073"/>
      <c r="EJ62073"/>
      <c r="EK62073"/>
    </row>
    <row r="62074" spans="1:141" s="116" customFormat="1">
      <c r="A62074" s="136"/>
      <c r="CM62074" s="111"/>
      <c r="CQ62074" s="111"/>
      <c r="EF62074"/>
      <c r="EG62074"/>
      <c r="EH62074"/>
      <c r="EI62074"/>
      <c r="EJ62074"/>
      <c r="EK62074"/>
    </row>
    <row r="62075" spans="1:141" s="116" customFormat="1">
      <c r="A62075" s="136"/>
      <c r="CM62075" s="111"/>
      <c r="CQ62075" s="111"/>
      <c r="EF62075"/>
      <c r="EG62075"/>
      <c r="EH62075"/>
      <c r="EI62075"/>
      <c r="EJ62075"/>
      <c r="EK62075"/>
    </row>
    <row r="62076" spans="1:141" s="116" customFormat="1">
      <c r="A62076" s="136"/>
      <c r="CM62076" s="111"/>
      <c r="CQ62076" s="111"/>
      <c r="EF62076"/>
      <c r="EG62076"/>
      <c r="EH62076"/>
      <c r="EI62076"/>
      <c r="EJ62076"/>
      <c r="EK62076"/>
    </row>
    <row r="62077" spans="1:141" s="116" customFormat="1">
      <c r="A62077" s="136"/>
      <c r="CM62077" s="111"/>
      <c r="CQ62077" s="111"/>
      <c r="EF62077"/>
      <c r="EG62077"/>
      <c r="EH62077"/>
      <c r="EI62077"/>
      <c r="EJ62077"/>
      <c r="EK62077"/>
    </row>
    <row r="62078" spans="1:141" s="116" customFormat="1">
      <c r="A62078" s="136"/>
      <c r="CM62078" s="111"/>
      <c r="CQ62078" s="111"/>
      <c r="EF62078"/>
      <c r="EG62078"/>
      <c r="EH62078"/>
      <c r="EI62078"/>
      <c r="EJ62078"/>
      <c r="EK62078"/>
    </row>
    <row r="62079" spans="1:141" s="116" customFormat="1">
      <c r="A62079" s="136"/>
      <c r="CM62079" s="111"/>
      <c r="CQ62079" s="111"/>
      <c r="EF62079"/>
      <c r="EG62079"/>
      <c r="EH62079"/>
      <c r="EI62079"/>
      <c r="EJ62079"/>
      <c r="EK62079"/>
    </row>
    <row r="62080" spans="1:141" s="116" customFormat="1">
      <c r="A62080" s="136"/>
      <c r="CM62080" s="111"/>
      <c r="CQ62080" s="111"/>
      <c r="EF62080"/>
      <c r="EG62080"/>
      <c r="EH62080"/>
      <c r="EI62080"/>
      <c r="EJ62080"/>
      <c r="EK62080"/>
    </row>
    <row r="62081" spans="1:141" s="116" customFormat="1">
      <c r="A62081" s="136"/>
      <c r="CM62081" s="111"/>
      <c r="CQ62081" s="111"/>
      <c r="EF62081"/>
      <c r="EG62081"/>
      <c r="EH62081"/>
      <c r="EI62081"/>
      <c r="EJ62081"/>
      <c r="EK62081"/>
    </row>
    <row r="62082" spans="1:141" s="116" customFormat="1">
      <c r="A62082" s="136"/>
      <c r="CM62082" s="111"/>
      <c r="CQ62082" s="111"/>
      <c r="EF62082"/>
      <c r="EG62082"/>
      <c r="EH62082"/>
      <c r="EI62082"/>
      <c r="EJ62082"/>
      <c r="EK62082"/>
    </row>
    <row r="62083" spans="1:141" s="116" customFormat="1">
      <c r="A62083" s="136"/>
      <c r="CM62083" s="111"/>
      <c r="CQ62083" s="111"/>
      <c r="EF62083"/>
      <c r="EG62083"/>
      <c r="EH62083"/>
      <c r="EI62083"/>
      <c r="EJ62083"/>
      <c r="EK62083"/>
    </row>
    <row r="62084" spans="1:141" s="116" customFormat="1">
      <c r="A62084" s="136"/>
      <c r="CM62084" s="111"/>
      <c r="CQ62084" s="111"/>
      <c r="EF62084"/>
      <c r="EG62084"/>
      <c r="EH62084"/>
      <c r="EI62084"/>
      <c r="EJ62084"/>
      <c r="EK62084"/>
    </row>
    <row r="62085" spans="1:141" s="116" customFormat="1">
      <c r="A62085" s="136"/>
      <c r="CM62085" s="111"/>
      <c r="CQ62085" s="111"/>
      <c r="EF62085"/>
      <c r="EG62085"/>
      <c r="EH62085"/>
      <c r="EI62085"/>
      <c r="EJ62085"/>
      <c r="EK62085"/>
    </row>
    <row r="62086" spans="1:141" s="116" customFormat="1">
      <c r="A62086" s="136"/>
      <c r="CM62086" s="111"/>
      <c r="CQ62086" s="111"/>
      <c r="EF62086"/>
      <c r="EG62086"/>
      <c r="EH62086"/>
      <c r="EI62086"/>
      <c r="EJ62086"/>
      <c r="EK62086"/>
    </row>
    <row r="62087" spans="1:141" s="116" customFormat="1">
      <c r="A62087" s="136"/>
      <c r="CM62087" s="111"/>
      <c r="CQ62087" s="111"/>
      <c r="EF62087"/>
      <c r="EG62087"/>
      <c r="EH62087"/>
      <c r="EI62087"/>
      <c r="EJ62087"/>
      <c r="EK62087"/>
    </row>
    <row r="62088" spans="1:141" s="116" customFormat="1">
      <c r="A62088" s="136"/>
      <c r="CM62088" s="111"/>
      <c r="CQ62088" s="111"/>
      <c r="EF62088"/>
      <c r="EG62088"/>
      <c r="EH62088"/>
      <c r="EI62088"/>
      <c r="EJ62088"/>
      <c r="EK62088"/>
    </row>
    <row r="62089" spans="1:141" s="116" customFormat="1">
      <c r="A62089" s="136"/>
      <c r="CM62089" s="111"/>
      <c r="CQ62089" s="111"/>
      <c r="EF62089"/>
      <c r="EG62089"/>
      <c r="EH62089"/>
      <c r="EI62089"/>
      <c r="EJ62089"/>
      <c r="EK62089"/>
    </row>
    <row r="62090" spans="1:141" s="116" customFormat="1">
      <c r="A62090" s="136"/>
      <c r="CM62090" s="111"/>
      <c r="CQ62090" s="111"/>
      <c r="EF62090"/>
      <c r="EG62090"/>
      <c r="EH62090"/>
      <c r="EI62090"/>
      <c r="EJ62090"/>
      <c r="EK62090"/>
    </row>
    <row r="62091" spans="1:141" s="116" customFormat="1">
      <c r="A62091" s="136"/>
      <c r="CM62091" s="111"/>
      <c r="CQ62091" s="111"/>
      <c r="EF62091"/>
      <c r="EG62091"/>
      <c r="EH62091"/>
      <c r="EI62091"/>
      <c r="EJ62091"/>
      <c r="EK62091"/>
    </row>
    <row r="62092" spans="1:141" s="116" customFormat="1">
      <c r="A62092" s="136"/>
      <c r="CM62092" s="111"/>
      <c r="CQ62092" s="111"/>
      <c r="EF62092"/>
      <c r="EG62092"/>
      <c r="EH62092"/>
      <c r="EI62092"/>
      <c r="EJ62092"/>
      <c r="EK62092"/>
    </row>
    <row r="62093" spans="1:141" s="116" customFormat="1">
      <c r="A62093" s="136"/>
      <c r="CM62093" s="111"/>
      <c r="CQ62093" s="111"/>
      <c r="EF62093"/>
      <c r="EG62093"/>
      <c r="EH62093"/>
      <c r="EI62093"/>
      <c r="EJ62093"/>
      <c r="EK62093"/>
    </row>
    <row r="62094" spans="1:141" s="116" customFormat="1">
      <c r="A62094" s="136"/>
      <c r="CM62094" s="111"/>
      <c r="CQ62094" s="111"/>
      <c r="EF62094"/>
      <c r="EG62094"/>
      <c r="EH62094"/>
      <c r="EI62094"/>
      <c r="EJ62094"/>
      <c r="EK62094"/>
    </row>
    <row r="62095" spans="1:141" s="116" customFormat="1">
      <c r="A62095" s="136"/>
      <c r="CM62095" s="111"/>
      <c r="CQ62095" s="111"/>
      <c r="EF62095"/>
      <c r="EG62095"/>
      <c r="EH62095"/>
      <c r="EI62095"/>
      <c r="EJ62095"/>
      <c r="EK62095"/>
    </row>
    <row r="62096" spans="1:141" s="116" customFormat="1">
      <c r="A62096" s="136"/>
      <c r="CM62096" s="111"/>
      <c r="CQ62096" s="111"/>
      <c r="EF62096"/>
      <c r="EG62096"/>
      <c r="EH62096"/>
      <c r="EI62096"/>
      <c r="EJ62096"/>
      <c r="EK62096"/>
    </row>
    <row r="62097" spans="1:141" s="116" customFormat="1">
      <c r="A62097" s="136"/>
      <c r="CM62097" s="111"/>
      <c r="CQ62097" s="111"/>
      <c r="EF62097"/>
      <c r="EG62097"/>
      <c r="EH62097"/>
      <c r="EI62097"/>
      <c r="EJ62097"/>
      <c r="EK62097"/>
    </row>
    <row r="62098" spans="1:141" s="116" customFormat="1">
      <c r="A62098" s="136"/>
      <c r="CM62098" s="111"/>
      <c r="CQ62098" s="111"/>
      <c r="EF62098"/>
      <c r="EG62098"/>
      <c r="EH62098"/>
      <c r="EI62098"/>
      <c r="EJ62098"/>
      <c r="EK62098"/>
    </row>
    <row r="62099" spans="1:141" s="116" customFormat="1">
      <c r="A62099" s="136"/>
      <c r="CM62099" s="111"/>
      <c r="CQ62099" s="111"/>
      <c r="EF62099"/>
      <c r="EG62099"/>
      <c r="EH62099"/>
      <c r="EI62099"/>
      <c r="EJ62099"/>
      <c r="EK62099"/>
    </row>
    <row r="62100" spans="1:141" s="116" customFormat="1">
      <c r="A62100" s="136"/>
      <c r="CM62100" s="111"/>
      <c r="CQ62100" s="111"/>
      <c r="EF62100"/>
      <c r="EG62100"/>
      <c r="EH62100"/>
      <c r="EI62100"/>
      <c r="EJ62100"/>
      <c r="EK62100"/>
    </row>
    <row r="62101" spans="1:141" s="116" customFormat="1">
      <c r="A62101" s="136"/>
      <c r="CM62101" s="111"/>
      <c r="CQ62101" s="111"/>
      <c r="EF62101"/>
      <c r="EG62101"/>
      <c r="EH62101"/>
      <c r="EI62101"/>
      <c r="EJ62101"/>
      <c r="EK62101"/>
    </row>
    <row r="62102" spans="1:141" s="116" customFormat="1">
      <c r="A62102" s="136"/>
      <c r="CM62102" s="111"/>
      <c r="CQ62102" s="111"/>
      <c r="EF62102"/>
      <c r="EG62102"/>
      <c r="EH62102"/>
      <c r="EI62102"/>
      <c r="EJ62102"/>
      <c r="EK62102"/>
    </row>
    <row r="62103" spans="1:141" s="116" customFormat="1">
      <c r="A62103" s="136"/>
      <c r="CM62103" s="111"/>
      <c r="CQ62103" s="111"/>
      <c r="EF62103"/>
      <c r="EG62103"/>
      <c r="EH62103"/>
      <c r="EI62103"/>
      <c r="EJ62103"/>
      <c r="EK62103"/>
    </row>
    <row r="62104" spans="1:141" s="116" customFormat="1">
      <c r="A62104" s="136"/>
      <c r="CM62104" s="111"/>
      <c r="CQ62104" s="111"/>
      <c r="EF62104"/>
      <c r="EG62104"/>
      <c r="EH62104"/>
      <c r="EI62104"/>
      <c r="EJ62104"/>
      <c r="EK62104"/>
    </row>
    <row r="62105" spans="1:141" s="116" customFormat="1">
      <c r="A62105" s="136"/>
      <c r="CM62105" s="111"/>
      <c r="CQ62105" s="111"/>
      <c r="EF62105"/>
      <c r="EG62105"/>
      <c r="EH62105"/>
      <c r="EI62105"/>
      <c r="EJ62105"/>
      <c r="EK62105"/>
    </row>
    <row r="62106" spans="1:141" s="116" customFormat="1">
      <c r="A62106" s="136"/>
      <c r="CM62106" s="111"/>
      <c r="CQ62106" s="111"/>
      <c r="EF62106"/>
      <c r="EG62106"/>
      <c r="EH62106"/>
      <c r="EI62106"/>
      <c r="EJ62106"/>
      <c r="EK62106"/>
    </row>
    <row r="62107" spans="1:141" s="116" customFormat="1">
      <c r="A62107" s="136"/>
      <c r="CM62107" s="111"/>
      <c r="CQ62107" s="111"/>
      <c r="EF62107"/>
      <c r="EG62107"/>
      <c r="EH62107"/>
      <c r="EI62107"/>
      <c r="EJ62107"/>
      <c r="EK62107"/>
    </row>
    <row r="62108" spans="1:141" s="116" customFormat="1">
      <c r="A62108" s="136"/>
      <c r="CM62108" s="111"/>
      <c r="CQ62108" s="111"/>
      <c r="EF62108"/>
      <c r="EG62108"/>
      <c r="EH62108"/>
      <c r="EI62108"/>
      <c r="EJ62108"/>
      <c r="EK62108"/>
    </row>
    <row r="62109" spans="1:141" s="116" customFormat="1">
      <c r="A62109" s="136"/>
      <c r="CM62109" s="111"/>
      <c r="CQ62109" s="111"/>
      <c r="EF62109"/>
      <c r="EG62109"/>
      <c r="EH62109"/>
      <c r="EI62109"/>
      <c r="EJ62109"/>
      <c r="EK62109"/>
    </row>
    <row r="62110" spans="1:141" s="116" customFormat="1">
      <c r="A62110" s="136"/>
      <c r="CM62110" s="111"/>
      <c r="CQ62110" s="111"/>
      <c r="EF62110"/>
      <c r="EG62110"/>
      <c r="EH62110"/>
      <c r="EI62110"/>
      <c r="EJ62110"/>
      <c r="EK62110"/>
    </row>
    <row r="62111" spans="1:141" s="116" customFormat="1">
      <c r="A62111" s="136"/>
      <c r="CM62111" s="111"/>
      <c r="CQ62111" s="111"/>
      <c r="EF62111"/>
      <c r="EG62111"/>
      <c r="EH62111"/>
      <c r="EI62111"/>
      <c r="EJ62111"/>
      <c r="EK62111"/>
    </row>
    <row r="62112" spans="1:141" s="116" customFormat="1">
      <c r="A62112" s="136"/>
      <c r="CM62112" s="111"/>
      <c r="CQ62112" s="111"/>
      <c r="EF62112"/>
      <c r="EG62112"/>
      <c r="EH62112"/>
      <c r="EI62112"/>
      <c r="EJ62112"/>
      <c r="EK62112"/>
    </row>
    <row r="62113" spans="1:141" s="116" customFormat="1">
      <c r="A62113" s="136"/>
      <c r="CM62113" s="111"/>
      <c r="CQ62113" s="111"/>
      <c r="EF62113"/>
      <c r="EG62113"/>
      <c r="EH62113"/>
      <c r="EI62113"/>
      <c r="EJ62113"/>
      <c r="EK62113"/>
    </row>
    <row r="62114" spans="1:141" s="116" customFormat="1">
      <c r="A62114" s="136"/>
      <c r="CM62114" s="111"/>
      <c r="CQ62114" s="111"/>
      <c r="EF62114"/>
      <c r="EG62114"/>
      <c r="EH62114"/>
      <c r="EI62114"/>
      <c r="EJ62114"/>
      <c r="EK62114"/>
    </row>
    <row r="62115" spans="1:141" s="116" customFormat="1">
      <c r="A62115" s="136"/>
      <c r="CM62115" s="111"/>
      <c r="CQ62115" s="111"/>
      <c r="EF62115"/>
      <c r="EG62115"/>
      <c r="EH62115"/>
      <c r="EI62115"/>
      <c r="EJ62115"/>
      <c r="EK62115"/>
    </row>
    <row r="62116" spans="1:141" s="116" customFormat="1">
      <c r="A62116" s="136"/>
      <c r="CM62116" s="111"/>
      <c r="CQ62116" s="111"/>
      <c r="EF62116"/>
      <c r="EG62116"/>
      <c r="EH62116"/>
      <c r="EI62116"/>
      <c r="EJ62116"/>
      <c r="EK62116"/>
    </row>
    <row r="62117" spans="1:141" s="116" customFormat="1">
      <c r="A62117" s="136"/>
      <c r="CM62117" s="111"/>
      <c r="CQ62117" s="111"/>
      <c r="EF62117"/>
      <c r="EG62117"/>
      <c r="EH62117"/>
      <c r="EI62117"/>
      <c r="EJ62117"/>
      <c r="EK62117"/>
    </row>
    <row r="62118" spans="1:141" s="116" customFormat="1">
      <c r="A62118" s="136"/>
      <c r="CM62118" s="111"/>
      <c r="CQ62118" s="111"/>
      <c r="EF62118"/>
      <c r="EG62118"/>
      <c r="EH62118"/>
      <c r="EI62118"/>
      <c r="EJ62118"/>
      <c r="EK62118"/>
    </row>
    <row r="62119" spans="1:141" s="116" customFormat="1">
      <c r="A62119" s="136"/>
      <c r="CM62119" s="111"/>
      <c r="CQ62119" s="111"/>
      <c r="EF62119"/>
      <c r="EG62119"/>
      <c r="EH62119"/>
      <c r="EI62119"/>
      <c r="EJ62119"/>
      <c r="EK62119"/>
    </row>
    <row r="62120" spans="1:141" s="116" customFormat="1">
      <c r="A62120" s="136"/>
      <c r="CM62120" s="111"/>
      <c r="CQ62120" s="111"/>
      <c r="EF62120"/>
      <c r="EG62120"/>
      <c r="EH62120"/>
      <c r="EI62120"/>
      <c r="EJ62120"/>
      <c r="EK62120"/>
    </row>
    <row r="62121" spans="1:141" s="116" customFormat="1">
      <c r="A62121" s="136"/>
      <c r="CM62121" s="111"/>
      <c r="CQ62121" s="111"/>
      <c r="EF62121"/>
      <c r="EG62121"/>
      <c r="EH62121"/>
      <c r="EI62121"/>
      <c r="EJ62121"/>
      <c r="EK62121"/>
    </row>
    <row r="62122" spans="1:141" s="116" customFormat="1">
      <c r="A62122" s="136"/>
      <c r="CM62122" s="111"/>
      <c r="CQ62122" s="111"/>
      <c r="EF62122"/>
      <c r="EG62122"/>
      <c r="EH62122"/>
      <c r="EI62122"/>
      <c r="EJ62122"/>
      <c r="EK62122"/>
    </row>
    <row r="62123" spans="1:141" s="116" customFormat="1">
      <c r="A62123" s="136"/>
      <c r="CM62123" s="111"/>
      <c r="CQ62123" s="111"/>
      <c r="EF62123"/>
      <c r="EG62123"/>
      <c r="EH62123"/>
      <c r="EI62123"/>
      <c r="EJ62123"/>
      <c r="EK62123"/>
    </row>
    <row r="62124" spans="1:141" s="116" customFormat="1">
      <c r="A62124" s="136"/>
      <c r="CM62124" s="111"/>
      <c r="CQ62124" s="111"/>
      <c r="EF62124"/>
      <c r="EG62124"/>
      <c r="EH62124"/>
      <c r="EI62124"/>
      <c r="EJ62124"/>
      <c r="EK62124"/>
    </row>
    <row r="62125" spans="1:141" s="116" customFormat="1">
      <c r="A62125" s="136"/>
      <c r="CM62125" s="111"/>
      <c r="CQ62125" s="111"/>
      <c r="EF62125"/>
      <c r="EG62125"/>
      <c r="EH62125"/>
      <c r="EI62125"/>
      <c r="EJ62125"/>
      <c r="EK62125"/>
    </row>
    <row r="62126" spans="1:141" s="116" customFormat="1">
      <c r="A62126" s="136"/>
      <c r="CM62126" s="111"/>
      <c r="CQ62126" s="111"/>
      <c r="EF62126"/>
      <c r="EG62126"/>
      <c r="EH62126"/>
      <c r="EI62126"/>
      <c r="EJ62126"/>
      <c r="EK62126"/>
    </row>
    <row r="62127" spans="1:141" s="116" customFormat="1">
      <c r="A62127" s="136"/>
      <c r="CM62127" s="111"/>
      <c r="CQ62127" s="111"/>
      <c r="EF62127"/>
      <c r="EG62127"/>
      <c r="EH62127"/>
      <c r="EI62127"/>
      <c r="EJ62127"/>
      <c r="EK62127"/>
    </row>
    <row r="62128" spans="1:141" s="116" customFormat="1">
      <c r="A62128" s="136"/>
      <c r="CM62128" s="111"/>
      <c r="CQ62128" s="111"/>
      <c r="EF62128"/>
      <c r="EG62128"/>
      <c r="EH62128"/>
      <c r="EI62128"/>
      <c r="EJ62128"/>
      <c r="EK62128"/>
    </row>
    <row r="62129" spans="1:141" s="116" customFormat="1">
      <c r="A62129" s="136"/>
      <c r="CM62129" s="111"/>
      <c r="CQ62129" s="111"/>
      <c r="EF62129"/>
      <c r="EG62129"/>
      <c r="EH62129"/>
      <c r="EI62129"/>
      <c r="EJ62129"/>
      <c r="EK62129"/>
    </row>
    <row r="62130" spans="1:141" s="116" customFormat="1">
      <c r="A62130" s="136"/>
      <c r="CM62130" s="111"/>
      <c r="CQ62130" s="111"/>
      <c r="EF62130"/>
      <c r="EG62130"/>
      <c r="EH62130"/>
      <c r="EI62130"/>
      <c r="EJ62130"/>
      <c r="EK62130"/>
    </row>
    <row r="62131" spans="1:141" s="116" customFormat="1">
      <c r="A62131" s="136"/>
      <c r="CM62131" s="111"/>
      <c r="CQ62131" s="111"/>
      <c r="EF62131"/>
      <c r="EG62131"/>
      <c r="EH62131"/>
      <c r="EI62131"/>
      <c r="EJ62131"/>
      <c r="EK62131"/>
    </row>
    <row r="62132" spans="1:141" s="116" customFormat="1">
      <c r="A62132" s="136"/>
      <c r="CM62132" s="111"/>
      <c r="CQ62132" s="111"/>
      <c r="EF62132"/>
      <c r="EG62132"/>
      <c r="EH62132"/>
      <c r="EI62132"/>
      <c r="EJ62132"/>
      <c r="EK62132"/>
    </row>
    <row r="62133" spans="1:141" s="116" customFormat="1">
      <c r="A62133" s="136"/>
      <c r="CM62133" s="111"/>
      <c r="CQ62133" s="111"/>
      <c r="EF62133"/>
      <c r="EG62133"/>
      <c r="EH62133"/>
      <c r="EI62133"/>
      <c r="EJ62133"/>
      <c r="EK62133"/>
    </row>
    <row r="62134" spans="1:141" s="116" customFormat="1">
      <c r="A62134" s="136"/>
      <c r="CM62134" s="111"/>
      <c r="CQ62134" s="111"/>
      <c r="EF62134"/>
      <c r="EG62134"/>
      <c r="EH62134"/>
      <c r="EI62134"/>
      <c r="EJ62134"/>
      <c r="EK62134"/>
    </row>
    <row r="62135" spans="1:141" s="116" customFormat="1">
      <c r="A62135" s="136"/>
      <c r="CM62135" s="111"/>
      <c r="CQ62135" s="111"/>
      <c r="EF62135"/>
      <c r="EG62135"/>
      <c r="EH62135"/>
      <c r="EI62135"/>
      <c r="EJ62135"/>
      <c r="EK62135"/>
    </row>
    <row r="62136" spans="1:141" s="116" customFormat="1">
      <c r="A62136" s="136"/>
      <c r="CM62136" s="111"/>
      <c r="CQ62136" s="111"/>
      <c r="EF62136"/>
      <c r="EG62136"/>
      <c r="EH62136"/>
      <c r="EI62136"/>
      <c r="EJ62136"/>
      <c r="EK62136"/>
    </row>
    <row r="62137" spans="1:141" s="116" customFormat="1">
      <c r="A62137" s="136"/>
      <c r="CM62137" s="111"/>
      <c r="CQ62137" s="111"/>
      <c r="EF62137"/>
      <c r="EG62137"/>
      <c r="EH62137"/>
      <c r="EI62137"/>
      <c r="EJ62137"/>
      <c r="EK62137"/>
    </row>
    <row r="62138" spans="1:141" s="116" customFormat="1">
      <c r="A62138" s="136"/>
      <c r="CM62138" s="111"/>
      <c r="CQ62138" s="111"/>
      <c r="EF62138"/>
      <c r="EG62138"/>
      <c r="EH62138"/>
      <c r="EI62138"/>
      <c r="EJ62138"/>
      <c r="EK62138"/>
    </row>
    <row r="62139" spans="1:141" s="116" customFormat="1">
      <c r="A62139" s="136"/>
      <c r="CM62139" s="111"/>
      <c r="CQ62139" s="111"/>
      <c r="EF62139"/>
      <c r="EG62139"/>
      <c r="EH62139"/>
      <c r="EI62139"/>
      <c r="EJ62139"/>
      <c r="EK62139"/>
    </row>
    <row r="62140" spans="1:141" s="116" customFormat="1">
      <c r="A62140" s="136"/>
      <c r="CM62140" s="111"/>
      <c r="CQ62140" s="111"/>
      <c r="EF62140"/>
      <c r="EG62140"/>
      <c r="EH62140"/>
      <c r="EI62140"/>
      <c r="EJ62140"/>
      <c r="EK62140"/>
    </row>
    <row r="62141" spans="1:141" s="116" customFormat="1">
      <c r="A62141" s="136"/>
      <c r="CM62141" s="111"/>
      <c r="CQ62141" s="111"/>
      <c r="EF62141"/>
      <c r="EG62141"/>
      <c r="EH62141"/>
      <c r="EI62141"/>
      <c r="EJ62141"/>
      <c r="EK62141"/>
    </row>
    <row r="62142" spans="1:141" s="116" customFormat="1">
      <c r="A62142" s="136"/>
      <c r="CM62142" s="111"/>
      <c r="CQ62142" s="111"/>
      <c r="EF62142"/>
      <c r="EG62142"/>
      <c r="EH62142"/>
      <c r="EI62142"/>
      <c r="EJ62142"/>
      <c r="EK62142"/>
    </row>
    <row r="62143" spans="1:141" s="116" customFormat="1">
      <c r="A62143" s="136"/>
      <c r="CM62143" s="111"/>
      <c r="CQ62143" s="111"/>
      <c r="EF62143"/>
      <c r="EG62143"/>
      <c r="EH62143"/>
      <c r="EI62143"/>
      <c r="EJ62143"/>
      <c r="EK62143"/>
    </row>
    <row r="62144" spans="1:141" s="116" customFormat="1">
      <c r="A62144" s="136"/>
      <c r="CM62144" s="111"/>
      <c r="CQ62144" s="111"/>
      <c r="EF62144"/>
      <c r="EG62144"/>
      <c r="EH62144"/>
      <c r="EI62144"/>
      <c r="EJ62144"/>
      <c r="EK62144"/>
    </row>
    <row r="62145" spans="1:141" s="116" customFormat="1">
      <c r="A62145" s="136"/>
      <c r="CM62145" s="111"/>
      <c r="CQ62145" s="111"/>
      <c r="EF62145"/>
      <c r="EG62145"/>
      <c r="EH62145"/>
      <c r="EI62145"/>
      <c r="EJ62145"/>
      <c r="EK62145"/>
    </row>
    <row r="62146" spans="1:141" s="116" customFormat="1">
      <c r="A62146" s="136"/>
      <c r="CM62146" s="111"/>
      <c r="CQ62146" s="111"/>
      <c r="EF62146"/>
      <c r="EG62146"/>
      <c r="EH62146"/>
      <c r="EI62146"/>
      <c r="EJ62146"/>
      <c r="EK62146"/>
    </row>
    <row r="62147" spans="1:141" s="116" customFormat="1">
      <c r="A62147" s="136"/>
      <c r="CM62147" s="111"/>
      <c r="CQ62147" s="111"/>
      <c r="EF62147"/>
      <c r="EG62147"/>
      <c r="EH62147"/>
      <c r="EI62147"/>
      <c r="EJ62147"/>
      <c r="EK62147"/>
    </row>
    <row r="62148" spans="1:141" s="116" customFormat="1">
      <c r="A62148" s="136"/>
      <c r="CM62148" s="111"/>
      <c r="CQ62148" s="111"/>
      <c r="EF62148"/>
      <c r="EG62148"/>
      <c r="EH62148"/>
      <c r="EI62148"/>
      <c r="EJ62148"/>
      <c r="EK62148"/>
    </row>
    <row r="62149" spans="1:141" s="116" customFormat="1">
      <c r="A62149" s="136"/>
      <c r="CM62149" s="111"/>
      <c r="CQ62149" s="111"/>
      <c r="EF62149"/>
      <c r="EG62149"/>
      <c r="EH62149"/>
      <c r="EI62149"/>
      <c r="EJ62149"/>
      <c r="EK62149"/>
    </row>
    <row r="62150" spans="1:141" s="116" customFormat="1">
      <c r="A62150" s="136"/>
      <c r="CM62150" s="111"/>
      <c r="CQ62150" s="111"/>
      <c r="EF62150"/>
      <c r="EG62150"/>
      <c r="EH62150"/>
      <c r="EI62150"/>
      <c r="EJ62150"/>
      <c r="EK62150"/>
    </row>
    <row r="62151" spans="1:141" s="116" customFormat="1">
      <c r="A62151" s="136"/>
      <c r="CM62151" s="111"/>
      <c r="CQ62151" s="111"/>
      <c r="EF62151"/>
      <c r="EG62151"/>
      <c r="EH62151"/>
      <c r="EI62151"/>
      <c r="EJ62151"/>
      <c r="EK62151"/>
    </row>
    <row r="62152" spans="1:141" s="116" customFormat="1">
      <c r="A62152" s="136"/>
      <c r="CM62152" s="111"/>
      <c r="CQ62152" s="111"/>
      <c r="EF62152"/>
      <c r="EG62152"/>
      <c r="EH62152"/>
      <c r="EI62152"/>
      <c r="EJ62152"/>
      <c r="EK62152"/>
    </row>
    <row r="62153" spans="1:141" s="116" customFormat="1">
      <c r="A62153" s="136"/>
      <c r="CM62153" s="111"/>
      <c r="CQ62153" s="111"/>
      <c r="EF62153"/>
      <c r="EG62153"/>
      <c r="EH62153"/>
      <c r="EI62153"/>
      <c r="EJ62153"/>
      <c r="EK62153"/>
    </row>
    <row r="62154" spans="1:141" s="116" customFormat="1">
      <c r="A62154" s="136"/>
      <c r="CM62154" s="111"/>
      <c r="CQ62154" s="111"/>
      <c r="EF62154"/>
      <c r="EG62154"/>
      <c r="EH62154"/>
      <c r="EI62154"/>
      <c r="EJ62154"/>
      <c r="EK62154"/>
    </row>
    <row r="62155" spans="1:141" s="116" customFormat="1">
      <c r="A62155" s="136"/>
      <c r="CM62155" s="111"/>
      <c r="CQ62155" s="111"/>
      <c r="EF62155"/>
      <c r="EG62155"/>
      <c r="EH62155"/>
      <c r="EI62155"/>
      <c r="EJ62155"/>
      <c r="EK62155"/>
    </row>
    <row r="62156" spans="1:141" s="116" customFormat="1">
      <c r="A62156" s="136"/>
      <c r="CM62156" s="111"/>
      <c r="CQ62156" s="111"/>
      <c r="EF62156"/>
      <c r="EG62156"/>
      <c r="EH62156"/>
      <c r="EI62156"/>
      <c r="EJ62156"/>
      <c r="EK62156"/>
    </row>
    <row r="62157" spans="1:141" s="116" customFormat="1">
      <c r="A62157" s="136"/>
      <c r="CM62157" s="111"/>
      <c r="CQ62157" s="111"/>
      <c r="EF62157"/>
      <c r="EG62157"/>
      <c r="EH62157"/>
      <c r="EI62157"/>
      <c r="EJ62157"/>
      <c r="EK62157"/>
    </row>
    <row r="62158" spans="1:141" s="116" customFormat="1">
      <c r="A62158" s="136"/>
      <c r="CM62158" s="111"/>
      <c r="CQ62158" s="111"/>
      <c r="EF62158"/>
      <c r="EG62158"/>
      <c r="EH62158"/>
      <c r="EI62158"/>
      <c r="EJ62158"/>
      <c r="EK62158"/>
    </row>
    <row r="62159" spans="1:141" s="116" customFormat="1">
      <c r="A62159" s="136"/>
      <c r="CM62159" s="111"/>
      <c r="CQ62159" s="111"/>
      <c r="EF62159"/>
      <c r="EG62159"/>
      <c r="EH62159"/>
      <c r="EI62159"/>
      <c r="EJ62159"/>
      <c r="EK62159"/>
    </row>
    <row r="62160" spans="1:141" s="116" customFormat="1">
      <c r="A62160" s="136"/>
      <c r="CM62160" s="111"/>
      <c r="CQ62160" s="111"/>
      <c r="EF62160"/>
      <c r="EG62160"/>
      <c r="EH62160"/>
      <c r="EI62160"/>
      <c r="EJ62160"/>
      <c r="EK62160"/>
    </row>
    <row r="62161" spans="1:141" s="116" customFormat="1">
      <c r="A62161" s="136"/>
      <c r="CM62161" s="111"/>
      <c r="CQ62161" s="111"/>
      <c r="EF62161"/>
      <c r="EG62161"/>
      <c r="EH62161"/>
      <c r="EI62161"/>
      <c r="EJ62161"/>
      <c r="EK62161"/>
    </row>
    <row r="62162" spans="1:141" s="116" customFormat="1">
      <c r="A62162" s="136"/>
      <c r="CM62162" s="111"/>
      <c r="CQ62162" s="111"/>
      <c r="EF62162"/>
      <c r="EG62162"/>
      <c r="EH62162"/>
      <c r="EI62162"/>
      <c r="EJ62162"/>
      <c r="EK62162"/>
    </row>
    <row r="62163" spans="1:141" s="116" customFormat="1">
      <c r="A62163" s="136"/>
      <c r="CM62163" s="111"/>
      <c r="CQ62163" s="111"/>
      <c r="EF62163"/>
      <c r="EG62163"/>
      <c r="EH62163"/>
      <c r="EI62163"/>
      <c r="EJ62163"/>
      <c r="EK62163"/>
    </row>
    <row r="62164" spans="1:141" s="116" customFormat="1">
      <c r="A62164" s="136"/>
      <c r="CM62164" s="111"/>
      <c r="CQ62164" s="111"/>
      <c r="EF62164"/>
      <c r="EG62164"/>
      <c r="EH62164"/>
      <c r="EI62164"/>
      <c r="EJ62164"/>
      <c r="EK62164"/>
    </row>
    <row r="62165" spans="1:141" s="116" customFormat="1">
      <c r="A62165" s="136"/>
      <c r="CM62165" s="111"/>
      <c r="CQ62165" s="111"/>
      <c r="EF62165"/>
      <c r="EG62165"/>
      <c r="EH62165"/>
      <c r="EI62165"/>
      <c r="EJ62165"/>
      <c r="EK62165"/>
    </row>
    <row r="62166" spans="1:141" s="116" customFormat="1">
      <c r="A62166" s="136"/>
      <c r="CM62166" s="111"/>
      <c r="CQ62166" s="111"/>
      <c r="EF62166"/>
      <c r="EG62166"/>
      <c r="EH62166"/>
      <c r="EI62166"/>
      <c r="EJ62166"/>
      <c r="EK62166"/>
    </row>
    <row r="62167" spans="1:141" s="116" customFormat="1">
      <c r="A62167" s="136"/>
      <c r="CM62167" s="111"/>
      <c r="CQ62167" s="111"/>
      <c r="EF62167"/>
      <c r="EG62167"/>
      <c r="EH62167"/>
      <c r="EI62167"/>
      <c r="EJ62167"/>
      <c r="EK62167"/>
    </row>
    <row r="62168" spans="1:141" s="116" customFormat="1">
      <c r="A62168" s="136"/>
      <c r="CM62168" s="111"/>
      <c r="CQ62168" s="111"/>
      <c r="EF62168"/>
      <c r="EG62168"/>
      <c r="EH62168"/>
      <c r="EI62168"/>
      <c r="EJ62168"/>
      <c r="EK62168"/>
    </row>
    <row r="62169" spans="1:141" s="116" customFormat="1">
      <c r="A62169" s="136"/>
      <c r="CM62169" s="111"/>
      <c r="CQ62169" s="111"/>
      <c r="EF62169"/>
      <c r="EG62169"/>
      <c r="EH62169"/>
      <c r="EI62169"/>
      <c r="EJ62169"/>
      <c r="EK62169"/>
    </row>
    <row r="62170" spans="1:141" s="116" customFormat="1">
      <c r="A62170" s="136"/>
      <c r="CM62170" s="111"/>
      <c r="CQ62170" s="111"/>
      <c r="EF62170"/>
      <c r="EG62170"/>
      <c r="EH62170"/>
      <c r="EI62170"/>
      <c r="EJ62170"/>
      <c r="EK62170"/>
    </row>
    <row r="62171" spans="1:141" s="116" customFormat="1">
      <c r="A62171" s="136"/>
      <c r="CM62171" s="111"/>
      <c r="CQ62171" s="111"/>
      <c r="EF62171"/>
      <c r="EG62171"/>
      <c r="EH62171"/>
      <c r="EI62171"/>
      <c r="EJ62171"/>
      <c r="EK62171"/>
    </row>
    <row r="62172" spans="1:141" s="116" customFormat="1">
      <c r="A62172" s="136"/>
      <c r="CM62172" s="111"/>
      <c r="CQ62172" s="111"/>
      <c r="EF62172"/>
      <c r="EG62172"/>
      <c r="EH62172"/>
      <c r="EI62172"/>
      <c r="EJ62172"/>
      <c r="EK62172"/>
    </row>
    <row r="62173" spans="1:141" s="116" customFormat="1">
      <c r="A62173" s="136"/>
      <c r="CM62173" s="111"/>
      <c r="CQ62173" s="111"/>
      <c r="EF62173"/>
      <c r="EG62173"/>
      <c r="EH62173"/>
      <c r="EI62173"/>
      <c r="EJ62173"/>
      <c r="EK62173"/>
    </row>
    <row r="62174" spans="1:141" s="116" customFormat="1">
      <c r="A62174" s="136"/>
      <c r="CM62174" s="111"/>
      <c r="CQ62174" s="111"/>
      <c r="EF62174"/>
      <c r="EG62174"/>
      <c r="EH62174"/>
      <c r="EI62174"/>
      <c r="EJ62174"/>
      <c r="EK62174"/>
    </row>
    <row r="62175" spans="1:141" s="116" customFormat="1">
      <c r="A62175" s="136"/>
      <c r="CM62175" s="111"/>
      <c r="CQ62175" s="111"/>
      <c r="EF62175"/>
      <c r="EG62175"/>
      <c r="EH62175"/>
      <c r="EI62175"/>
      <c r="EJ62175"/>
      <c r="EK62175"/>
    </row>
    <row r="62176" spans="1:141" s="116" customFormat="1">
      <c r="A62176" s="136"/>
      <c r="CM62176" s="111"/>
      <c r="CQ62176" s="111"/>
      <c r="EF62176"/>
      <c r="EG62176"/>
      <c r="EH62176"/>
      <c r="EI62176"/>
      <c r="EJ62176"/>
      <c r="EK62176"/>
    </row>
    <row r="62177" spans="1:141" s="116" customFormat="1">
      <c r="A62177" s="136"/>
      <c r="CM62177" s="111"/>
      <c r="CQ62177" s="111"/>
      <c r="EF62177"/>
      <c r="EG62177"/>
      <c r="EH62177"/>
      <c r="EI62177"/>
      <c r="EJ62177"/>
      <c r="EK62177"/>
    </row>
    <row r="62178" spans="1:141" s="116" customFormat="1">
      <c r="A62178" s="136"/>
      <c r="CM62178" s="111"/>
      <c r="CQ62178" s="111"/>
      <c r="EF62178"/>
      <c r="EG62178"/>
      <c r="EH62178"/>
      <c r="EI62178"/>
      <c r="EJ62178"/>
      <c r="EK62178"/>
    </row>
    <row r="62179" spans="1:141" s="116" customFormat="1">
      <c r="A62179" s="136"/>
      <c r="CM62179" s="111"/>
      <c r="CQ62179" s="111"/>
      <c r="EF62179"/>
      <c r="EG62179"/>
      <c r="EH62179"/>
      <c r="EI62179"/>
      <c r="EJ62179"/>
      <c r="EK62179"/>
    </row>
    <row r="62180" spans="1:141" s="116" customFormat="1">
      <c r="A62180" s="136"/>
      <c r="CM62180" s="111"/>
      <c r="CQ62180" s="111"/>
      <c r="EF62180"/>
      <c r="EG62180"/>
      <c r="EH62180"/>
      <c r="EI62180"/>
      <c r="EJ62180"/>
      <c r="EK62180"/>
    </row>
    <row r="62181" spans="1:141" s="116" customFormat="1">
      <c r="A62181" s="136"/>
      <c r="CM62181" s="111"/>
      <c r="CQ62181" s="111"/>
      <c r="EF62181"/>
      <c r="EG62181"/>
      <c r="EH62181"/>
      <c r="EI62181"/>
      <c r="EJ62181"/>
      <c r="EK62181"/>
    </row>
    <row r="62182" spans="1:141" s="116" customFormat="1">
      <c r="A62182" s="136"/>
      <c r="CM62182" s="111"/>
      <c r="CQ62182" s="111"/>
      <c r="EF62182"/>
      <c r="EG62182"/>
      <c r="EH62182"/>
      <c r="EI62182"/>
      <c r="EJ62182"/>
      <c r="EK62182"/>
    </row>
    <row r="62183" spans="1:141" s="116" customFormat="1">
      <c r="A62183" s="136"/>
      <c r="CM62183" s="111"/>
      <c r="CQ62183" s="111"/>
      <c r="EF62183"/>
      <c r="EG62183"/>
      <c r="EH62183"/>
      <c r="EI62183"/>
      <c r="EJ62183"/>
      <c r="EK62183"/>
    </row>
    <row r="62184" spans="1:141" s="116" customFormat="1">
      <c r="A62184" s="136"/>
      <c r="CM62184" s="111"/>
      <c r="CQ62184" s="111"/>
      <c r="EF62184"/>
      <c r="EG62184"/>
      <c r="EH62184"/>
      <c r="EI62184"/>
      <c r="EJ62184"/>
      <c r="EK62184"/>
    </row>
    <row r="62185" spans="1:141" s="116" customFormat="1">
      <c r="A62185" s="136"/>
      <c r="CM62185" s="111"/>
      <c r="CQ62185" s="111"/>
      <c r="EF62185"/>
      <c r="EG62185"/>
      <c r="EH62185"/>
      <c r="EI62185"/>
      <c r="EJ62185"/>
      <c r="EK62185"/>
    </row>
    <row r="62186" spans="1:141" s="116" customFormat="1">
      <c r="A62186" s="136"/>
      <c r="CM62186" s="111"/>
      <c r="CQ62186" s="111"/>
      <c r="EF62186"/>
      <c r="EG62186"/>
      <c r="EH62186"/>
      <c r="EI62186"/>
      <c r="EJ62186"/>
      <c r="EK62186"/>
    </row>
    <row r="62187" spans="1:141" s="116" customFormat="1">
      <c r="A62187" s="136"/>
      <c r="CM62187" s="111"/>
      <c r="CQ62187" s="111"/>
      <c r="EF62187"/>
      <c r="EG62187"/>
      <c r="EH62187"/>
      <c r="EI62187"/>
      <c r="EJ62187"/>
      <c r="EK62187"/>
    </row>
    <row r="62188" spans="1:141" s="116" customFormat="1">
      <c r="A62188" s="136"/>
      <c r="CM62188" s="111"/>
      <c r="CQ62188" s="111"/>
      <c r="EF62188"/>
      <c r="EG62188"/>
      <c r="EH62188"/>
      <c r="EI62188"/>
      <c r="EJ62188"/>
      <c r="EK62188"/>
    </row>
    <row r="62189" spans="1:141" s="116" customFormat="1">
      <c r="A62189" s="136"/>
      <c r="CM62189" s="111"/>
      <c r="CQ62189" s="111"/>
      <c r="EF62189"/>
      <c r="EG62189"/>
      <c r="EH62189"/>
      <c r="EI62189"/>
      <c r="EJ62189"/>
      <c r="EK62189"/>
    </row>
    <row r="62190" spans="1:141" s="116" customFormat="1">
      <c r="A62190" s="136"/>
      <c r="CM62190" s="111"/>
      <c r="CQ62190" s="111"/>
      <c r="EF62190"/>
      <c r="EG62190"/>
      <c r="EH62190"/>
      <c r="EI62190"/>
      <c r="EJ62190"/>
      <c r="EK62190"/>
    </row>
    <row r="62191" spans="1:141" s="116" customFormat="1">
      <c r="A62191" s="136"/>
      <c r="CM62191" s="111"/>
      <c r="CQ62191" s="111"/>
      <c r="EF62191"/>
      <c r="EG62191"/>
      <c r="EH62191"/>
      <c r="EI62191"/>
      <c r="EJ62191"/>
      <c r="EK62191"/>
    </row>
    <row r="62192" spans="1:141" s="116" customFormat="1">
      <c r="A62192" s="136"/>
      <c r="CM62192" s="111"/>
      <c r="CQ62192" s="111"/>
      <c r="EF62192"/>
      <c r="EG62192"/>
      <c r="EH62192"/>
      <c r="EI62192"/>
      <c r="EJ62192"/>
      <c r="EK62192"/>
    </row>
    <row r="62193" spans="1:141" s="116" customFormat="1">
      <c r="A62193" s="136"/>
      <c r="CM62193" s="111"/>
      <c r="CQ62193" s="111"/>
      <c r="EF62193"/>
      <c r="EG62193"/>
      <c r="EH62193"/>
      <c r="EI62193"/>
      <c r="EJ62193"/>
      <c r="EK62193"/>
    </row>
    <row r="62194" spans="1:141" s="116" customFormat="1">
      <c r="A62194" s="136"/>
      <c r="CM62194" s="111"/>
      <c r="CQ62194" s="111"/>
      <c r="EF62194"/>
      <c r="EG62194"/>
      <c r="EH62194"/>
      <c r="EI62194"/>
      <c r="EJ62194"/>
      <c r="EK62194"/>
    </row>
    <row r="62195" spans="1:141" s="116" customFormat="1">
      <c r="A62195" s="136"/>
      <c r="CM62195" s="111"/>
      <c r="CQ62195" s="111"/>
      <c r="EF62195"/>
      <c r="EG62195"/>
      <c r="EH62195"/>
      <c r="EI62195"/>
      <c r="EJ62195"/>
      <c r="EK62195"/>
    </row>
    <row r="62196" spans="1:141" s="116" customFormat="1">
      <c r="A62196" s="136"/>
      <c r="CM62196" s="111"/>
      <c r="CQ62196" s="111"/>
      <c r="EF62196"/>
      <c r="EG62196"/>
      <c r="EH62196"/>
      <c r="EI62196"/>
      <c r="EJ62196"/>
      <c r="EK62196"/>
    </row>
    <row r="62197" spans="1:141" s="116" customFormat="1">
      <c r="A62197" s="136"/>
      <c r="CM62197" s="111"/>
      <c r="CQ62197" s="111"/>
      <c r="EF62197"/>
      <c r="EG62197"/>
      <c r="EH62197"/>
      <c r="EI62197"/>
      <c r="EJ62197"/>
      <c r="EK62197"/>
    </row>
    <row r="62198" spans="1:141" s="116" customFormat="1">
      <c r="A62198" s="136"/>
      <c r="CM62198" s="111"/>
      <c r="CQ62198" s="111"/>
      <c r="EF62198"/>
      <c r="EG62198"/>
      <c r="EH62198"/>
      <c r="EI62198"/>
      <c r="EJ62198"/>
      <c r="EK62198"/>
    </row>
    <row r="62199" spans="1:141" s="116" customFormat="1">
      <c r="A62199" s="136"/>
      <c r="CM62199" s="111"/>
      <c r="CQ62199" s="111"/>
      <c r="EF62199"/>
      <c r="EG62199"/>
      <c r="EH62199"/>
      <c r="EI62199"/>
      <c r="EJ62199"/>
      <c r="EK62199"/>
    </row>
    <row r="62200" spans="1:141" s="116" customFormat="1">
      <c r="A62200" s="136"/>
      <c r="CM62200" s="111"/>
      <c r="CQ62200" s="111"/>
      <c r="EF62200"/>
      <c r="EG62200"/>
      <c r="EH62200"/>
      <c r="EI62200"/>
      <c r="EJ62200"/>
      <c r="EK62200"/>
    </row>
    <row r="62201" spans="1:141" s="116" customFormat="1">
      <c r="A62201" s="136"/>
      <c r="CM62201" s="111"/>
      <c r="CQ62201" s="111"/>
      <c r="EF62201"/>
      <c r="EG62201"/>
      <c r="EH62201"/>
      <c r="EI62201"/>
      <c r="EJ62201"/>
      <c r="EK62201"/>
    </row>
    <row r="62202" spans="1:141" s="116" customFormat="1">
      <c r="A62202" s="136"/>
      <c r="CM62202" s="111"/>
      <c r="CQ62202" s="111"/>
      <c r="EF62202"/>
      <c r="EG62202"/>
      <c r="EH62202"/>
      <c r="EI62202"/>
      <c r="EJ62202"/>
      <c r="EK62202"/>
    </row>
    <row r="62203" spans="1:141" s="116" customFormat="1">
      <c r="A62203" s="136"/>
      <c r="CM62203" s="111"/>
      <c r="CQ62203" s="111"/>
      <c r="EF62203"/>
      <c r="EG62203"/>
      <c r="EH62203"/>
      <c r="EI62203"/>
      <c r="EJ62203"/>
      <c r="EK62203"/>
    </row>
    <row r="62204" spans="1:141" s="116" customFormat="1">
      <c r="A62204" s="136"/>
      <c r="CM62204" s="111"/>
      <c r="CQ62204" s="111"/>
      <c r="EF62204"/>
      <c r="EG62204"/>
      <c r="EH62204"/>
      <c r="EI62204"/>
      <c r="EJ62204"/>
      <c r="EK62204"/>
    </row>
    <row r="62205" spans="1:141" s="116" customFormat="1">
      <c r="A62205" s="136"/>
      <c r="CM62205" s="111"/>
      <c r="CQ62205" s="111"/>
      <c r="EF62205"/>
      <c r="EG62205"/>
      <c r="EH62205"/>
      <c r="EI62205"/>
      <c r="EJ62205"/>
      <c r="EK62205"/>
    </row>
    <row r="62206" spans="1:141" s="116" customFormat="1">
      <c r="A62206" s="136"/>
      <c r="CM62206" s="111"/>
      <c r="CQ62206" s="111"/>
      <c r="EF62206"/>
      <c r="EG62206"/>
      <c r="EH62206"/>
      <c r="EI62206"/>
      <c r="EJ62206"/>
      <c r="EK62206"/>
    </row>
    <row r="62207" spans="1:141" s="116" customFormat="1">
      <c r="A62207" s="136"/>
      <c r="CM62207" s="111"/>
      <c r="CQ62207" s="111"/>
      <c r="EF62207"/>
      <c r="EG62207"/>
      <c r="EH62207"/>
      <c r="EI62207"/>
      <c r="EJ62207"/>
      <c r="EK62207"/>
    </row>
    <row r="62208" spans="1:141" s="116" customFormat="1">
      <c r="A62208" s="136"/>
      <c r="CM62208" s="111"/>
      <c r="CQ62208" s="111"/>
      <c r="EF62208"/>
      <c r="EG62208"/>
      <c r="EH62208"/>
      <c r="EI62208"/>
      <c r="EJ62208"/>
      <c r="EK62208"/>
    </row>
    <row r="62209" spans="1:141" s="116" customFormat="1">
      <c r="A62209" s="136"/>
      <c r="CM62209" s="111"/>
      <c r="CQ62209" s="111"/>
      <c r="EF62209"/>
      <c r="EG62209"/>
      <c r="EH62209"/>
      <c r="EI62209"/>
      <c r="EJ62209"/>
      <c r="EK62209"/>
    </row>
    <row r="62210" spans="1:141" s="116" customFormat="1">
      <c r="A62210" s="136"/>
      <c r="CM62210" s="111"/>
      <c r="CQ62210" s="111"/>
      <c r="EF62210"/>
      <c r="EG62210"/>
      <c r="EH62210"/>
      <c r="EI62210"/>
      <c r="EJ62210"/>
      <c r="EK62210"/>
    </row>
    <row r="62211" spans="1:141" s="116" customFormat="1">
      <c r="A62211" s="136"/>
      <c r="CM62211" s="111"/>
      <c r="CQ62211" s="111"/>
      <c r="EF62211"/>
      <c r="EG62211"/>
      <c r="EH62211"/>
      <c r="EI62211"/>
      <c r="EJ62211"/>
      <c r="EK62211"/>
    </row>
    <row r="62212" spans="1:141" s="116" customFormat="1">
      <c r="A62212" s="136"/>
      <c r="CM62212" s="111"/>
      <c r="CQ62212" s="111"/>
      <c r="EF62212"/>
      <c r="EG62212"/>
      <c r="EH62212"/>
      <c r="EI62212"/>
      <c r="EJ62212"/>
      <c r="EK62212"/>
    </row>
    <row r="62213" spans="1:141" s="116" customFormat="1">
      <c r="A62213" s="136"/>
      <c r="CM62213" s="111"/>
      <c r="CQ62213" s="111"/>
      <c r="EF62213"/>
      <c r="EG62213"/>
      <c r="EH62213"/>
      <c r="EI62213"/>
      <c r="EJ62213"/>
      <c r="EK62213"/>
    </row>
    <row r="62214" spans="1:141" s="116" customFormat="1">
      <c r="A62214" s="136"/>
      <c r="CM62214" s="111"/>
      <c r="CQ62214" s="111"/>
      <c r="EF62214"/>
      <c r="EG62214"/>
      <c r="EH62214"/>
      <c r="EI62214"/>
      <c r="EJ62214"/>
      <c r="EK62214"/>
    </row>
    <row r="62215" spans="1:141" s="116" customFormat="1">
      <c r="A62215" s="136"/>
      <c r="CM62215" s="111"/>
      <c r="CQ62215" s="111"/>
      <c r="EF62215"/>
      <c r="EG62215"/>
      <c r="EH62215"/>
      <c r="EI62215"/>
      <c r="EJ62215"/>
      <c r="EK62215"/>
    </row>
    <row r="62216" spans="1:141" s="116" customFormat="1">
      <c r="A62216" s="136"/>
      <c r="CM62216" s="111"/>
      <c r="CQ62216" s="111"/>
      <c r="EF62216"/>
      <c r="EG62216"/>
      <c r="EH62216"/>
      <c r="EI62216"/>
      <c r="EJ62216"/>
      <c r="EK62216"/>
    </row>
    <row r="62217" spans="1:141" s="116" customFormat="1">
      <c r="A62217" s="136"/>
      <c r="CM62217" s="111"/>
      <c r="CQ62217" s="111"/>
      <c r="EF62217"/>
      <c r="EG62217"/>
      <c r="EH62217"/>
      <c r="EI62217"/>
      <c r="EJ62217"/>
      <c r="EK62217"/>
    </row>
    <row r="62218" spans="1:141" s="116" customFormat="1">
      <c r="A62218" s="136"/>
      <c r="CM62218" s="111"/>
      <c r="CQ62218" s="111"/>
      <c r="EF62218"/>
      <c r="EG62218"/>
      <c r="EH62218"/>
      <c r="EI62218"/>
      <c r="EJ62218"/>
      <c r="EK62218"/>
    </row>
    <row r="62219" spans="1:141" s="116" customFormat="1">
      <c r="A62219" s="136"/>
      <c r="CM62219" s="111"/>
      <c r="CQ62219" s="111"/>
      <c r="EF62219"/>
      <c r="EG62219"/>
      <c r="EH62219"/>
      <c r="EI62219"/>
      <c r="EJ62219"/>
      <c r="EK62219"/>
    </row>
    <row r="62220" spans="1:141" s="116" customFormat="1">
      <c r="A62220" s="136"/>
      <c r="CM62220" s="111"/>
      <c r="CQ62220" s="111"/>
      <c r="EF62220"/>
      <c r="EG62220"/>
      <c r="EH62220"/>
      <c r="EI62220"/>
      <c r="EJ62220"/>
      <c r="EK62220"/>
    </row>
    <row r="62221" spans="1:141" s="116" customFormat="1">
      <c r="A62221" s="136"/>
      <c r="CM62221" s="111"/>
      <c r="CQ62221" s="111"/>
      <c r="EF62221"/>
      <c r="EG62221"/>
      <c r="EH62221"/>
      <c r="EI62221"/>
      <c r="EJ62221"/>
      <c r="EK62221"/>
    </row>
    <row r="62222" spans="1:141" s="116" customFormat="1">
      <c r="A62222" s="136"/>
      <c r="CM62222" s="111"/>
      <c r="CQ62222" s="111"/>
      <c r="EF62222"/>
      <c r="EG62222"/>
      <c r="EH62222"/>
      <c r="EI62222"/>
      <c r="EJ62222"/>
      <c r="EK62222"/>
    </row>
    <row r="62223" spans="1:141" s="116" customFormat="1">
      <c r="A62223" s="136"/>
      <c r="CM62223" s="111"/>
      <c r="CQ62223" s="111"/>
      <c r="EF62223"/>
      <c r="EG62223"/>
      <c r="EH62223"/>
      <c r="EI62223"/>
      <c r="EJ62223"/>
      <c r="EK62223"/>
    </row>
    <row r="62224" spans="1:141" s="116" customFormat="1">
      <c r="A62224" s="136"/>
      <c r="CM62224" s="111"/>
      <c r="CQ62224" s="111"/>
      <c r="EF62224"/>
      <c r="EG62224"/>
      <c r="EH62224"/>
      <c r="EI62224"/>
      <c r="EJ62224"/>
      <c r="EK62224"/>
    </row>
    <row r="62225" spans="1:141" s="116" customFormat="1">
      <c r="A62225" s="136"/>
      <c r="CM62225" s="111"/>
      <c r="CQ62225" s="111"/>
      <c r="EF62225"/>
      <c r="EG62225"/>
      <c r="EH62225"/>
      <c r="EI62225"/>
      <c r="EJ62225"/>
      <c r="EK62225"/>
    </row>
    <row r="62226" spans="1:141" s="116" customFormat="1">
      <c r="A62226" s="136"/>
      <c r="CM62226" s="111"/>
      <c r="CQ62226" s="111"/>
      <c r="EF62226"/>
      <c r="EG62226"/>
      <c r="EH62226"/>
      <c r="EI62226"/>
      <c r="EJ62226"/>
      <c r="EK62226"/>
    </row>
    <row r="62227" spans="1:141" s="116" customFormat="1">
      <c r="A62227" s="136"/>
      <c r="CM62227" s="111"/>
      <c r="CQ62227" s="111"/>
      <c r="EF62227"/>
      <c r="EG62227"/>
      <c r="EH62227"/>
      <c r="EI62227"/>
      <c r="EJ62227"/>
      <c r="EK62227"/>
    </row>
    <row r="62228" spans="1:141" s="116" customFormat="1">
      <c r="A62228" s="136"/>
      <c r="CM62228" s="111"/>
      <c r="CQ62228" s="111"/>
      <c r="EF62228"/>
      <c r="EG62228"/>
      <c r="EH62228"/>
      <c r="EI62228"/>
      <c r="EJ62228"/>
      <c r="EK62228"/>
    </row>
    <row r="62229" spans="1:141" s="116" customFormat="1">
      <c r="A62229" s="136"/>
      <c r="CM62229" s="111"/>
      <c r="CQ62229" s="111"/>
      <c r="EF62229"/>
      <c r="EG62229"/>
      <c r="EH62229"/>
      <c r="EI62229"/>
      <c r="EJ62229"/>
      <c r="EK62229"/>
    </row>
    <row r="62230" spans="1:141" s="116" customFormat="1">
      <c r="A62230" s="136"/>
      <c r="CM62230" s="111"/>
      <c r="CQ62230" s="111"/>
      <c r="EF62230"/>
      <c r="EG62230"/>
      <c r="EH62230"/>
      <c r="EI62230"/>
      <c r="EJ62230"/>
      <c r="EK62230"/>
    </row>
    <row r="62231" spans="1:141" s="116" customFormat="1">
      <c r="A62231" s="136"/>
      <c r="CM62231" s="111"/>
      <c r="CQ62231" s="111"/>
      <c r="EF62231"/>
      <c r="EG62231"/>
      <c r="EH62231"/>
      <c r="EI62231"/>
      <c r="EJ62231"/>
      <c r="EK62231"/>
    </row>
    <row r="62232" spans="1:141" s="116" customFormat="1">
      <c r="A62232" s="136"/>
      <c r="CM62232" s="111"/>
      <c r="CQ62232" s="111"/>
      <c r="EF62232"/>
      <c r="EG62232"/>
      <c r="EH62232"/>
      <c r="EI62232"/>
      <c r="EJ62232"/>
      <c r="EK62232"/>
    </row>
    <row r="62233" spans="1:141" s="116" customFormat="1">
      <c r="A62233" s="136"/>
      <c r="CM62233" s="111"/>
      <c r="CQ62233" s="111"/>
      <c r="EF62233"/>
      <c r="EG62233"/>
      <c r="EH62233"/>
      <c r="EI62233"/>
      <c r="EJ62233"/>
      <c r="EK62233"/>
    </row>
    <row r="62234" spans="1:141" s="116" customFormat="1">
      <c r="A62234" s="136"/>
      <c r="CM62234" s="111"/>
      <c r="CQ62234" s="111"/>
      <c r="EF62234"/>
      <c r="EG62234"/>
      <c r="EH62234"/>
      <c r="EI62234"/>
      <c r="EJ62234"/>
      <c r="EK62234"/>
    </row>
    <row r="62235" spans="1:141" s="116" customFormat="1">
      <c r="A62235" s="136"/>
      <c r="CM62235" s="111"/>
      <c r="CQ62235" s="111"/>
      <c r="EF62235"/>
      <c r="EG62235"/>
      <c r="EH62235"/>
      <c r="EI62235"/>
      <c r="EJ62235"/>
      <c r="EK62235"/>
    </row>
    <row r="62236" spans="1:141" s="116" customFormat="1">
      <c r="A62236" s="136"/>
      <c r="CM62236" s="111"/>
      <c r="CQ62236" s="111"/>
      <c r="EF62236"/>
      <c r="EG62236"/>
      <c r="EH62236"/>
      <c r="EI62236"/>
      <c r="EJ62236"/>
      <c r="EK62236"/>
    </row>
    <row r="62237" spans="1:141" s="116" customFormat="1">
      <c r="A62237" s="136"/>
      <c r="CM62237" s="111"/>
      <c r="CQ62237" s="111"/>
      <c r="EF62237"/>
      <c r="EG62237"/>
      <c r="EH62237"/>
      <c r="EI62237"/>
      <c r="EJ62237"/>
      <c r="EK62237"/>
    </row>
    <row r="62238" spans="1:141" s="116" customFormat="1">
      <c r="A62238" s="136"/>
      <c r="CM62238" s="111"/>
      <c r="CQ62238" s="111"/>
      <c r="EF62238"/>
      <c r="EG62238"/>
      <c r="EH62238"/>
      <c r="EI62238"/>
      <c r="EJ62238"/>
      <c r="EK62238"/>
    </row>
    <row r="62239" spans="1:141" s="116" customFormat="1">
      <c r="A62239" s="136"/>
      <c r="CM62239" s="111"/>
      <c r="CQ62239" s="111"/>
      <c r="EF62239"/>
      <c r="EG62239"/>
      <c r="EH62239"/>
      <c r="EI62239"/>
      <c r="EJ62239"/>
      <c r="EK62239"/>
    </row>
    <row r="62240" spans="1:141" s="116" customFormat="1">
      <c r="A62240" s="136"/>
      <c r="CM62240" s="111"/>
      <c r="CQ62240" s="111"/>
      <c r="EF62240"/>
      <c r="EG62240"/>
      <c r="EH62240"/>
      <c r="EI62240"/>
      <c r="EJ62240"/>
      <c r="EK62240"/>
    </row>
    <row r="62241" spans="1:141" s="116" customFormat="1">
      <c r="A62241" s="136"/>
      <c r="CM62241" s="111"/>
      <c r="CQ62241" s="111"/>
      <c r="EF62241"/>
      <c r="EG62241"/>
      <c r="EH62241"/>
      <c r="EI62241"/>
      <c r="EJ62241"/>
      <c r="EK62241"/>
    </row>
    <row r="62242" spans="1:141" s="116" customFormat="1">
      <c r="A62242" s="136"/>
      <c r="CM62242" s="111"/>
      <c r="CQ62242" s="111"/>
      <c r="EF62242"/>
      <c r="EG62242"/>
      <c r="EH62242"/>
      <c r="EI62242"/>
      <c r="EJ62242"/>
      <c r="EK62242"/>
    </row>
    <row r="62243" spans="1:141" s="116" customFormat="1">
      <c r="A62243" s="136"/>
      <c r="CM62243" s="111"/>
      <c r="CQ62243" s="111"/>
      <c r="EF62243"/>
      <c r="EG62243"/>
      <c r="EH62243"/>
      <c r="EI62243"/>
      <c r="EJ62243"/>
      <c r="EK62243"/>
    </row>
    <row r="62244" spans="1:141" s="116" customFormat="1">
      <c r="A62244" s="136"/>
      <c r="CM62244" s="111"/>
      <c r="CQ62244" s="111"/>
      <c r="EF62244"/>
      <c r="EG62244"/>
      <c r="EH62244"/>
      <c r="EI62244"/>
      <c r="EJ62244"/>
      <c r="EK62244"/>
    </row>
    <row r="62245" spans="1:141" s="116" customFormat="1">
      <c r="A62245" s="136"/>
      <c r="CM62245" s="111"/>
      <c r="CQ62245" s="111"/>
      <c r="EF62245"/>
      <c r="EG62245"/>
      <c r="EH62245"/>
      <c r="EI62245"/>
      <c r="EJ62245"/>
      <c r="EK62245"/>
    </row>
    <row r="62246" spans="1:141" s="116" customFormat="1">
      <c r="A62246" s="136"/>
      <c r="CM62246" s="111"/>
      <c r="CQ62246" s="111"/>
      <c r="EF62246"/>
      <c r="EG62246"/>
      <c r="EH62246"/>
      <c r="EI62246"/>
      <c r="EJ62246"/>
      <c r="EK62246"/>
    </row>
    <row r="62247" spans="1:141" s="116" customFormat="1">
      <c r="A62247" s="136"/>
      <c r="CM62247" s="111"/>
      <c r="CQ62247" s="111"/>
      <c r="EF62247"/>
      <c r="EG62247"/>
      <c r="EH62247"/>
      <c r="EI62247"/>
      <c r="EJ62247"/>
      <c r="EK62247"/>
    </row>
    <row r="62248" spans="1:141" s="116" customFormat="1">
      <c r="A62248" s="136"/>
      <c r="CM62248" s="111"/>
      <c r="CQ62248" s="111"/>
      <c r="EF62248"/>
      <c r="EG62248"/>
      <c r="EH62248"/>
      <c r="EI62248"/>
      <c r="EJ62248"/>
      <c r="EK62248"/>
    </row>
    <row r="62249" spans="1:141" s="116" customFormat="1">
      <c r="A62249" s="136"/>
      <c r="CM62249" s="111"/>
      <c r="CQ62249" s="111"/>
      <c r="EF62249"/>
      <c r="EG62249"/>
      <c r="EH62249"/>
      <c r="EI62249"/>
      <c r="EJ62249"/>
      <c r="EK62249"/>
    </row>
    <row r="62250" spans="1:141" s="116" customFormat="1">
      <c r="A62250" s="136"/>
      <c r="CM62250" s="111"/>
      <c r="CQ62250" s="111"/>
      <c r="EF62250"/>
      <c r="EG62250"/>
      <c r="EH62250"/>
      <c r="EI62250"/>
      <c r="EJ62250"/>
      <c r="EK62250"/>
    </row>
    <row r="62251" spans="1:141" s="116" customFormat="1">
      <c r="A62251" s="136"/>
      <c r="CM62251" s="111"/>
      <c r="CQ62251" s="111"/>
      <c r="EF62251"/>
      <c r="EG62251"/>
      <c r="EH62251"/>
      <c r="EI62251"/>
      <c r="EJ62251"/>
      <c r="EK62251"/>
    </row>
    <row r="62252" spans="1:141" s="116" customFormat="1">
      <c r="A62252" s="136"/>
      <c r="CM62252" s="111"/>
      <c r="CQ62252" s="111"/>
      <c r="EF62252"/>
      <c r="EG62252"/>
      <c r="EH62252"/>
      <c r="EI62252"/>
      <c r="EJ62252"/>
      <c r="EK62252"/>
    </row>
    <row r="62253" spans="1:141" s="116" customFormat="1">
      <c r="A62253" s="136"/>
      <c r="CM62253" s="111"/>
      <c r="CQ62253" s="111"/>
      <c r="EF62253"/>
      <c r="EG62253"/>
      <c r="EH62253"/>
      <c r="EI62253"/>
      <c r="EJ62253"/>
      <c r="EK62253"/>
    </row>
    <row r="62254" spans="1:141" s="116" customFormat="1">
      <c r="A62254" s="136"/>
      <c r="CM62254" s="111"/>
      <c r="CQ62254" s="111"/>
      <c r="EF62254"/>
      <c r="EG62254"/>
      <c r="EH62254"/>
      <c r="EI62254"/>
      <c r="EJ62254"/>
      <c r="EK62254"/>
    </row>
    <row r="62255" spans="1:141" s="116" customFormat="1">
      <c r="A62255" s="136"/>
      <c r="CM62255" s="111"/>
      <c r="CQ62255" s="111"/>
      <c r="EF62255"/>
      <c r="EG62255"/>
      <c r="EH62255"/>
      <c r="EI62255"/>
      <c r="EJ62255"/>
      <c r="EK62255"/>
    </row>
    <row r="62256" spans="1:141" s="116" customFormat="1">
      <c r="A62256" s="136"/>
      <c r="CM62256" s="111"/>
      <c r="CQ62256" s="111"/>
      <c r="EF62256"/>
      <c r="EG62256"/>
      <c r="EH62256"/>
      <c r="EI62256"/>
      <c r="EJ62256"/>
      <c r="EK62256"/>
    </row>
    <row r="62257" spans="1:141" s="116" customFormat="1">
      <c r="A62257" s="136"/>
      <c r="CM62257" s="111"/>
      <c r="CQ62257" s="111"/>
      <c r="EF62257"/>
      <c r="EG62257"/>
      <c r="EH62257"/>
      <c r="EI62257"/>
      <c r="EJ62257"/>
      <c r="EK62257"/>
    </row>
    <row r="62258" spans="1:141" s="116" customFormat="1">
      <c r="A62258" s="136"/>
      <c r="CM62258" s="111"/>
      <c r="CQ62258" s="111"/>
      <c r="EF62258"/>
      <c r="EG62258"/>
      <c r="EH62258"/>
      <c r="EI62258"/>
      <c r="EJ62258"/>
      <c r="EK62258"/>
    </row>
    <row r="62259" spans="1:141" s="116" customFormat="1">
      <c r="A62259" s="136"/>
      <c r="CM62259" s="111"/>
      <c r="CQ62259" s="111"/>
      <c r="EF62259"/>
      <c r="EG62259"/>
      <c r="EH62259"/>
      <c r="EI62259"/>
      <c r="EJ62259"/>
      <c r="EK62259"/>
    </row>
    <row r="62260" spans="1:141" s="116" customFormat="1">
      <c r="A62260" s="136"/>
      <c r="CM62260" s="111"/>
      <c r="CQ62260" s="111"/>
      <c r="EF62260"/>
      <c r="EG62260"/>
      <c r="EH62260"/>
      <c r="EI62260"/>
      <c r="EJ62260"/>
      <c r="EK62260"/>
    </row>
    <row r="62261" spans="1:141" s="116" customFormat="1">
      <c r="A62261" s="136"/>
      <c r="CM62261" s="111"/>
      <c r="CQ62261" s="111"/>
      <c r="EF62261"/>
      <c r="EG62261"/>
      <c r="EH62261"/>
      <c r="EI62261"/>
      <c r="EJ62261"/>
      <c r="EK62261"/>
    </row>
    <row r="62262" spans="1:141" s="116" customFormat="1">
      <c r="A62262" s="136"/>
      <c r="CM62262" s="111"/>
      <c r="CQ62262" s="111"/>
      <c r="EF62262"/>
      <c r="EG62262"/>
      <c r="EH62262"/>
      <c r="EI62262"/>
      <c r="EJ62262"/>
      <c r="EK62262"/>
    </row>
    <row r="62263" spans="1:141" s="116" customFormat="1">
      <c r="A62263" s="136"/>
      <c r="CM62263" s="111"/>
      <c r="CQ62263" s="111"/>
      <c r="EF62263"/>
      <c r="EG62263"/>
      <c r="EH62263"/>
      <c r="EI62263"/>
      <c r="EJ62263"/>
      <c r="EK62263"/>
    </row>
    <row r="62264" spans="1:141" s="116" customFormat="1">
      <c r="A62264" s="136"/>
      <c r="CM62264" s="111"/>
      <c r="CQ62264" s="111"/>
      <c r="EF62264"/>
      <c r="EG62264"/>
      <c r="EH62264"/>
      <c r="EI62264"/>
      <c r="EJ62264"/>
      <c r="EK62264"/>
    </row>
    <row r="62265" spans="1:141" s="116" customFormat="1">
      <c r="A62265" s="136"/>
      <c r="CM62265" s="111"/>
      <c r="CQ62265" s="111"/>
      <c r="EF62265"/>
      <c r="EG62265"/>
      <c r="EH62265"/>
      <c r="EI62265"/>
      <c r="EJ62265"/>
      <c r="EK62265"/>
    </row>
    <row r="62266" spans="1:141" s="116" customFormat="1">
      <c r="A62266" s="136"/>
      <c r="CM62266" s="111"/>
      <c r="CQ62266" s="111"/>
      <c r="EF62266"/>
      <c r="EG62266"/>
      <c r="EH62266"/>
      <c r="EI62266"/>
      <c r="EJ62266"/>
      <c r="EK62266"/>
    </row>
    <row r="62267" spans="1:141" s="116" customFormat="1">
      <c r="A62267" s="136"/>
      <c r="CM62267" s="111"/>
      <c r="CQ62267" s="111"/>
      <c r="EF62267"/>
      <c r="EG62267"/>
      <c r="EH62267"/>
      <c r="EI62267"/>
      <c r="EJ62267"/>
      <c r="EK62267"/>
    </row>
    <row r="62268" spans="1:141" s="116" customFormat="1">
      <c r="A62268" s="136"/>
      <c r="CM62268" s="111"/>
      <c r="CQ62268" s="111"/>
      <c r="EF62268"/>
      <c r="EG62268"/>
      <c r="EH62268"/>
      <c r="EI62268"/>
      <c r="EJ62268"/>
      <c r="EK62268"/>
    </row>
    <row r="62269" spans="1:141" s="116" customFormat="1">
      <c r="A62269" s="136"/>
      <c r="CM62269" s="111"/>
      <c r="CQ62269" s="111"/>
      <c r="EF62269"/>
      <c r="EG62269"/>
      <c r="EH62269"/>
      <c r="EI62269"/>
      <c r="EJ62269"/>
      <c r="EK62269"/>
    </row>
    <row r="62270" spans="1:141" s="116" customFormat="1">
      <c r="A62270" s="136"/>
      <c r="CM62270" s="111"/>
      <c r="CQ62270" s="111"/>
      <c r="EF62270"/>
      <c r="EG62270"/>
      <c r="EH62270"/>
      <c r="EI62270"/>
      <c r="EJ62270"/>
      <c r="EK62270"/>
    </row>
    <row r="62271" spans="1:141" s="116" customFormat="1">
      <c r="A62271" s="136"/>
      <c r="CM62271" s="111"/>
      <c r="CQ62271" s="111"/>
      <c r="EF62271"/>
      <c r="EG62271"/>
      <c r="EH62271"/>
      <c r="EI62271"/>
      <c r="EJ62271"/>
      <c r="EK62271"/>
    </row>
    <row r="62272" spans="1:141" s="116" customFormat="1">
      <c r="A62272" s="136"/>
      <c r="CM62272" s="111"/>
      <c r="CQ62272" s="111"/>
      <c r="EF62272"/>
      <c r="EG62272"/>
      <c r="EH62272"/>
      <c r="EI62272"/>
      <c r="EJ62272"/>
      <c r="EK62272"/>
    </row>
    <row r="62273" spans="1:141" s="116" customFormat="1">
      <c r="A62273" s="136"/>
      <c r="CM62273" s="111"/>
      <c r="CQ62273" s="111"/>
      <c r="EF62273"/>
      <c r="EG62273"/>
      <c r="EH62273"/>
      <c r="EI62273"/>
      <c r="EJ62273"/>
      <c r="EK62273"/>
    </row>
    <row r="62274" spans="1:141" s="116" customFormat="1">
      <c r="A62274" s="136"/>
      <c r="CM62274" s="111"/>
      <c r="CQ62274" s="111"/>
      <c r="EF62274"/>
      <c r="EG62274"/>
      <c r="EH62274"/>
      <c r="EI62274"/>
      <c r="EJ62274"/>
      <c r="EK62274"/>
    </row>
    <row r="62275" spans="1:141" s="116" customFormat="1">
      <c r="A62275" s="136"/>
      <c r="CM62275" s="111"/>
      <c r="CQ62275" s="111"/>
      <c r="EF62275"/>
      <c r="EG62275"/>
      <c r="EH62275"/>
      <c r="EI62275"/>
      <c r="EJ62275"/>
      <c r="EK62275"/>
    </row>
    <row r="62276" spans="1:141" s="116" customFormat="1">
      <c r="A62276" s="136"/>
      <c r="CM62276" s="111"/>
      <c r="CQ62276" s="111"/>
      <c r="EF62276"/>
      <c r="EG62276"/>
      <c r="EH62276"/>
      <c r="EI62276"/>
      <c r="EJ62276"/>
      <c r="EK62276"/>
    </row>
    <row r="62277" spans="1:141" s="116" customFormat="1">
      <c r="A62277" s="136"/>
      <c r="CM62277" s="111"/>
      <c r="CQ62277" s="111"/>
      <c r="EF62277"/>
      <c r="EG62277"/>
      <c r="EH62277"/>
      <c r="EI62277"/>
      <c r="EJ62277"/>
      <c r="EK62277"/>
    </row>
    <row r="62278" spans="1:141" s="116" customFormat="1">
      <c r="A62278" s="136"/>
      <c r="CM62278" s="111"/>
      <c r="CQ62278" s="111"/>
      <c r="EF62278"/>
      <c r="EG62278"/>
      <c r="EH62278"/>
      <c r="EI62278"/>
      <c r="EJ62278"/>
      <c r="EK62278"/>
    </row>
    <row r="62279" spans="1:141" s="116" customFormat="1">
      <c r="A62279" s="136"/>
      <c r="CM62279" s="111"/>
      <c r="CQ62279" s="111"/>
      <c r="EF62279"/>
      <c r="EG62279"/>
      <c r="EH62279"/>
      <c r="EI62279"/>
      <c r="EJ62279"/>
      <c r="EK62279"/>
    </row>
    <row r="62280" spans="1:141" s="116" customFormat="1">
      <c r="A62280" s="136"/>
      <c r="CM62280" s="111"/>
      <c r="CQ62280" s="111"/>
      <c r="EF62280"/>
      <c r="EG62280"/>
      <c r="EH62280"/>
      <c r="EI62280"/>
      <c r="EJ62280"/>
      <c r="EK62280"/>
    </row>
    <row r="62281" spans="1:141" s="116" customFormat="1">
      <c r="A62281" s="136"/>
      <c r="CM62281" s="111"/>
      <c r="CQ62281" s="111"/>
      <c r="EF62281"/>
      <c r="EG62281"/>
      <c r="EH62281"/>
      <c r="EI62281"/>
      <c r="EJ62281"/>
      <c r="EK62281"/>
    </row>
    <row r="62282" spans="1:141" s="116" customFormat="1">
      <c r="A62282" s="136"/>
      <c r="CM62282" s="111"/>
      <c r="CQ62282" s="111"/>
      <c r="EF62282"/>
      <c r="EG62282"/>
      <c r="EH62282"/>
      <c r="EI62282"/>
      <c r="EJ62282"/>
      <c r="EK62282"/>
    </row>
    <row r="62283" spans="1:141" s="116" customFormat="1">
      <c r="A62283" s="136"/>
      <c r="CM62283" s="111"/>
      <c r="CQ62283" s="111"/>
      <c r="EF62283"/>
      <c r="EG62283"/>
      <c r="EH62283"/>
      <c r="EI62283"/>
      <c r="EJ62283"/>
      <c r="EK62283"/>
    </row>
    <row r="62284" spans="1:141" s="116" customFormat="1">
      <c r="A62284" s="136"/>
      <c r="CM62284" s="111"/>
      <c r="CQ62284" s="111"/>
      <c r="EF62284"/>
      <c r="EG62284"/>
      <c r="EH62284"/>
      <c r="EI62284"/>
      <c r="EJ62284"/>
      <c r="EK62284"/>
    </row>
    <row r="62285" spans="1:141" s="116" customFormat="1">
      <c r="A62285" s="136"/>
      <c r="CM62285" s="111"/>
      <c r="CQ62285" s="111"/>
      <c r="EF62285"/>
      <c r="EG62285"/>
      <c r="EH62285"/>
      <c r="EI62285"/>
      <c r="EJ62285"/>
      <c r="EK62285"/>
    </row>
    <row r="62286" spans="1:141" s="116" customFormat="1">
      <c r="A62286" s="136"/>
      <c r="CM62286" s="111"/>
      <c r="CQ62286" s="111"/>
      <c r="EF62286"/>
      <c r="EG62286"/>
      <c r="EH62286"/>
      <c r="EI62286"/>
      <c r="EJ62286"/>
      <c r="EK62286"/>
    </row>
    <row r="62287" spans="1:141" s="116" customFormat="1">
      <c r="A62287" s="136"/>
      <c r="CM62287" s="111"/>
      <c r="CQ62287" s="111"/>
      <c r="EF62287"/>
      <c r="EG62287"/>
      <c r="EH62287"/>
      <c r="EI62287"/>
      <c r="EJ62287"/>
      <c r="EK62287"/>
    </row>
    <row r="62288" spans="1:141" s="116" customFormat="1">
      <c r="A62288" s="136"/>
      <c r="CM62288" s="111"/>
      <c r="CQ62288" s="111"/>
      <c r="EF62288"/>
      <c r="EG62288"/>
      <c r="EH62288"/>
      <c r="EI62288"/>
      <c r="EJ62288"/>
      <c r="EK62288"/>
    </row>
    <row r="62289" spans="1:141" s="116" customFormat="1">
      <c r="A62289" s="136"/>
      <c r="CM62289" s="111"/>
      <c r="CQ62289" s="111"/>
      <c r="EF62289"/>
      <c r="EG62289"/>
      <c r="EH62289"/>
      <c r="EI62289"/>
      <c r="EJ62289"/>
      <c r="EK62289"/>
    </row>
    <row r="62290" spans="1:141" s="116" customFormat="1">
      <c r="A62290" s="136"/>
      <c r="CM62290" s="111"/>
      <c r="CQ62290" s="111"/>
      <c r="EF62290"/>
      <c r="EG62290"/>
      <c r="EH62290"/>
      <c r="EI62290"/>
      <c r="EJ62290"/>
      <c r="EK62290"/>
    </row>
    <row r="62291" spans="1:141" s="116" customFormat="1">
      <c r="A62291" s="136"/>
      <c r="CM62291" s="111"/>
      <c r="CQ62291" s="111"/>
      <c r="EF62291"/>
      <c r="EG62291"/>
      <c r="EH62291"/>
      <c r="EI62291"/>
      <c r="EJ62291"/>
      <c r="EK62291"/>
    </row>
    <row r="62292" spans="1:141" s="116" customFormat="1">
      <c r="A62292" s="136"/>
      <c r="CM62292" s="111"/>
      <c r="CQ62292" s="111"/>
      <c r="EF62292"/>
      <c r="EG62292"/>
      <c r="EH62292"/>
      <c r="EI62292"/>
      <c r="EJ62292"/>
      <c r="EK62292"/>
    </row>
    <row r="62293" spans="1:141" s="116" customFormat="1">
      <c r="A62293" s="136"/>
      <c r="CM62293" s="111"/>
      <c r="CQ62293" s="111"/>
      <c r="EF62293"/>
      <c r="EG62293"/>
      <c r="EH62293"/>
      <c r="EI62293"/>
      <c r="EJ62293"/>
      <c r="EK62293"/>
    </row>
    <row r="62294" spans="1:141" s="116" customFormat="1">
      <c r="A62294" s="136"/>
      <c r="CM62294" s="111"/>
      <c r="CQ62294" s="111"/>
      <c r="EF62294"/>
      <c r="EG62294"/>
      <c r="EH62294"/>
      <c r="EI62294"/>
      <c r="EJ62294"/>
      <c r="EK62294"/>
    </row>
    <row r="62295" spans="1:141" s="116" customFormat="1">
      <c r="A62295" s="136"/>
      <c r="CM62295" s="111"/>
      <c r="CQ62295" s="111"/>
      <c r="EF62295"/>
      <c r="EG62295"/>
      <c r="EH62295"/>
      <c r="EI62295"/>
      <c r="EJ62295"/>
      <c r="EK62295"/>
    </row>
    <row r="62296" spans="1:141" s="116" customFormat="1">
      <c r="A62296" s="136"/>
      <c r="CM62296" s="111"/>
      <c r="CQ62296" s="111"/>
      <c r="EF62296"/>
      <c r="EG62296"/>
      <c r="EH62296"/>
      <c r="EI62296"/>
      <c r="EJ62296"/>
      <c r="EK62296"/>
    </row>
    <row r="62297" spans="1:141" s="116" customFormat="1">
      <c r="A62297" s="136"/>
      <c r="CM62297" s="111"/>
      <c r="CQ62297" s="111"/>
      <c r="EF62297"/>
      <c r="EG62297"/>
      <c r="EH62297"/>
      <c r="EI62297"/>
      <c r="EJ62297"/>
      <c r="EK62297"/>
    </row>
    <row r="62298" spans="1:141" s="116" customFormat="1">
      <c r="A62298" s="136"/>
      <c r="CM62298" s="111"/>
      <c r="CQ62298" s="111"/>
      <c r="EF62298"/>
      <c r="EG62298"/>
      <c r="EH62298"/>
      <c r="EI62298"/>
      <c r="EJ62298"/>
      <c r="EK62298"/>
    </row>
    <row r="62299" spans="1:141" s="116" customFormat="1">
      <c r="A62299" s="136"/>
      <c r="CM62299" s="111"/>
      <c r="CQ62299" s="111"/>
      <c r="EF62299"/>
      <c r="EG62299"/>
      <c r="EH62299"/>
      <c r="EI62299"/>
      <c r="EJ62299"/>
      <c r="EK62299"/>
    </row>
    <row r="62300" spans="1:141" s="116" customFormat="1">
      <c r="A62300" s="136"/>
      <c r="CM62300" s="111"/>
      <c r="CQ62300" s="111"/>
      <c r="EF62300"/>
      <c r="EG62300"/>
      <c r="EH62300"/>
      <c r="EI62300"/>
      <c r="EJ62300"/>
      <c r="EK62300"/>
    </row>
    <row r="62301" spans="1:141" s="116" customFormat="1">
      <c r="A62301" s="136"/>
      <c r="CM62301" s="111"/>
      <c r="CQ62301" s="111"/>
      <c r="EF62301"/>
      <c r="EG62301"/>
      <c r="EH62301"/>
      <c r="EI62301"/>
      <c r="EJ62301"/>
      <c r="EK62301"/>
    </row>
    <row r="62302" spans="1:141" s="116" customFormat="1">
      <c r="A62302" s="136"/>
      <c r="CM62302" s="111"/>
      <c r="CQ62302" s="111"/>
      <c r="EF62302"/>
      <c r="EG62302"/>
      <c r="EH62302"/>
      <c r="EI62302"/>
      <c r="EJ62302"/>
      <c r="EK62302"/>
    </row>
    <row r="62303" spans="1:141" s="116" customFormat="1">
      <c r="A62303" s="136"/>
      <c r="CM62303" s="111"/>
      <c r="CQ62303" s="111"/>
      <c r="EF62303"/>
      <c r="EG62303"/>
      <c r="EH62303"/>
      <c r="EI62303"/>
      <c r="EJ62303"/>
      <c r="EK62303"/>
    </row>
    <row r="62304" spans="1:141" s="116" customFormat="1">
      <c r="A62304" s="136"/>
      <c r="CM62304" s="111"/>
      <c r="CQ62304" s="111"/>
      <c r="EF62304"/>
      <c r="EG62304"/>
      <c r="EH62304"/>
      <c r="EI62304"/>
      <c r="EJ62304"/>
      <c r="EK62304"/>
    </row>
    <row r="62305" spans="1:141" s="116" customFormat="1">
      <c r="A62305" s="136"/>
      <c r="CM62305" s="111"/>
      <c r="CQ62305" s="111"/>
      <c r="EF62305"/>
      <c r="EG62305"/>
      <c r="EH62305"/>
      <c r="EI62305"/>
      <c r="EJ62305"/>
      <c r="EK62305"/>
    </row>
    <row r="62306" spans="1:141" s="116" customFormat="1">
      <c r="A62306" s="136"/>
      <c r="CM62306" s="111"/>
      <c r="CQ62306" s="111"/>
      <c r="EF62306"/>
      <c r="EG62306"/>
      <c r="EH62306"/>
      <c r="EI62306"/>
      <c r="EJ62306"/>
      <c r="EK62306"/>
    </row>
    <row r="62307" spans="1:141" s="116" customFormat="1">
      <c r="A62307" s="136"/>
      <c r="CM62307" s="111"/>
      <c r="CQ62307" s="111"/>
      <c r="EF62307"/>
      <c r="EG62307"/>
      <c r="EH62307"/>
      <c r="EI62307"/>
      <c r="EJ62307"/>
      <c r="EK62307"/>
    </row>
    <row r="62308" spans="1:141" s="116" customFormat="1">
      <c r="A62308" s="136"/>
      <c r="CM62308" s="111"/>
      <c r="CQ62308" s="111"/>
      <c r="EF62308"/>
      <c r="EG62308"/>
      <c r="EH62308"/>
      <c r="EI62308"/>
      <c r="EJ62308"/>
      <c r="EK62308"/>
    </row>
    <row r="62309" spans="1:141" s="116" customFormat="1">
      <c r="A62309" s="136"/>
      <c r="CM62309" s="111"/>
      <c r="CQ62309" s="111"/>
      <c r="EF62309"/>
      <c r="EG62309"/>
      <c r="EH62309"/>
      <c r="EI62309"/>
      <c r="EJ62309"/>
      <c r="EK62309"/>
    </row>
    <row r="62310" spans="1:141" s="116" customFormat="1">
      <c r="A62310" s="136"/>
      <c r="CM62310" s="111"/>
      <c r="CQ62310" s="111"/>
      <c r="EF62310"/>
      <c r="EG62310"/>
      <c r="EH62310"/>
      <c r="EI62310"/>
      <c r="EJ62310"/>
      <c r="EK62310"/>
    </row>
    <row r="62311" spans="1:141" s="116" customFormat="1">
      <c r="A62311" s="136"/>
      <c r="CM62311" s="111"/>
      <c r="CQ62311" s="111"/>
      <c r="EF62311"/>
      <c r="EG62311"/>
      <c r="EH62311"/>
      <c r="EI62311"/>
      <c r="EJ62311"/>
      <c r="EK62311"/>
    </row>
    <row r="62312" spans="1:141" s="116" customFormat="1">
      <c r="A62312" s="136"/>
      <c r="CM62312" s="111"/>
      <c r="CQ62312" s="111"/>
      <c r="EF62312"/>
      <c r="EG62312"/>
      <c r="EH62312"/>
      <c r="EI62312"/>
      <c r="EJ62312"/>
      <c r="EK62312"/>
    </row>
    <row r="62313" spans="1:141" s="116" customFormat="1">
      <c r="A62313" s="136"/>
      <c r="CM62313" s="111"/>
      <c r="CQ62313" s="111"/>
      <c r="EF62313"/>
      <c r="EG62313"/>
      <c r="EH62313"/>
      <c r="EI62313"/>
      <c r="EJ62313"/>
      <c r="EK62313"/>
    </row>
    <row r="62314" spans="1:141" s="116" customFormat="1">
      <c r="A62314" s="136"/>
      <c r="CM62314" s="111"/>
      <c r="CQ62314" s="111"/>
      <c r="EF62314"/>
      <c r="EG62314"/>
      <c r="EH62314"/>
      <c r="EI62314"/>
      <c r="EJ62314"/>
      <c r="EK62314"/>
    </row>
    <row r="62315" spans="1:141" s="116" customFormat="1">
      <c r="A62315" s="136"/>
      <c r="CM62315" s="111"/>
      <c r="CQ62315" s="111"/>
      <c r="EF62315"/>
      <c r="EG62315"/>
      <c r="EH62315"/>
      <c r="EI62315"/>
      <c r="EJ62315"/>
      <c r="EK62315"/>
    </row>
    <row r="62316" spans="1:141" s="116" customFormat="1">
      <c r="A62316" s="136"/>
      <c r="CM62316" s="111"/>
      <c r="CQ62316" s="111"/>
      <c r="EF62316"/>
      <c r="EG62316"/>
      <c r="EH62316"/>
      <c r="EI62316"/>
      <c r="EJ62316"/>
      <c r="EK62316"/>
    </row>
    <row r="62317" spans="1:141" s="116" customFormat="1">
      <c r="A62317" s="136"/>
      <c r="CM62317" s="111"/>
      <c r="CQ62317" s="111"/>
      <c r="EF62317"/>
      <c r="EG62317"/>
      <c r="EH62317"/>
      <c r="EI62317"/>
      <c r="EJ62317"/>
      <c r="EK62317"/>
    </row>
    <row r="62318" spans="1:141" s="116" customFormat="1">
      <c r="A62318" s="136"/>
      <c r="CM62318" s="111"/>
      <c r="CQ62318" s="111"/>
      <c r="EF62318"/>
      <c r="EG62318"/>
      <c r="EH62318"/>
      <c r="EI62318"/>
      <c r="EJ62318"/>
      <c r="EK62318"/>
    </row>
    <row r="62319" spans="1:141" s="116" customFormat="1">
      <c r="A62319" s="136"/>
      <c r="CM62319" s="111"/>
      <c r="CQ62319" s="111"/>
      <c r="EF62319"/>
      <c r="EG62319"/>
      <c r="EH62319"/>
      <c r="EI62319"/>
      <c r="EJ62319"/>
      <c r="EK62319"/>
    </row>
    <row r="62320" spans="1:141" s="116" customFormat="1">
      <c r="A62320" s="136"/>
      <c r="CM62320" s="111"/>
      <c r="CQ62320" s="111"/>
      <c r="EF62320"/>
      <c r="EG62320"/>
      <c r="EH62320"/>
      <c r="EI62320"/>
      <c r="EJ62320"/>
      <c r="EK62320"/>
    </row>
    <row r="62321" spans="1:141" s="116" customFormat="1">
      <c r="A62321" s="136"/>
      <c r="CM62321" s="111"/>
      <c r="CQ62321" s="111"/>
      <c r="EF62321"/>
      <c r="EG62321"/>
      <c r="EH62321"/>
      <c r="EI62321"/>
      <c r="EJ62321"/>
      <c r="EK62321"/>
    </row>
    <row r="62322" spans="1:141" s="116" customFormat="1">
      <c r="A62322" s="136"/>
      <c r="CM62322" s="111"/>
      <c r="CQ62322" s="111"/>
      <c r="EF62322"/>
      <c r="EG62322"/>
      <c r="EH62322"/>
      <c r="EI62322"/>
      <c r="EJ62322"/>
      <c r="EK62322"/>
    </row>
    <row r="62323" spans="1:141" s="116" customFormat="1">
      <c r="A62323" s="136"/>
      <c r="CM62323" s="111"/>
      <c r="CQ62323" s="111"/>
      <c r="EF62323"/>
      <c r="EG62323"/>
      <c r="EH62323"/>
      <c r="EI62323"/>
      <c r="EJ62323"/>
      <c r="EK62323"/>
    </row>
    <row r="62324" spans="1:141" s="116" customFormat="1">
      <c r="A62324" s="136"/>
      <c r="CM62324" s="111"/>
      <c r="CQ62324" s="111"/>
      <c r="EF62324"/>
      <c r="EG62324"/>
      <c r="EH62324"/>
      <c r="EI62324"/>
      <c r="EJ62324"/>
      <c r="EK62324"/>
    </row>
    <row r="62325" spans="1:141" s="116" customFormat="1">
      <c r="A62325" s="136"/>
      <c r="CM62325" s="111"/>
      <c r="CQ62325" s="111"/>
      <c r="EF62325"/>
      <c r="EG62325"/>
      <c r="EH62325"/>
      <c r="EI62325"/>
      <c r="EJ62325"/>
      <c r="EK62325"/>
    </row>
    <row r="62326" spans="1:141" s="116" customFormat="1">
      <c r="A62326" s="136"/>
      <c r="CM62326" s="111"/>
      <c r="CQ62326" s="111"/>
      <c r="EF62326"/>
      <c r="EG62326"/>
      <c r="EH62326"/>
      <c r="EI62326"/>
      <c r="EJ62326"/>
      <c r="EK62326"/>
    </row>
    <row r="62327" spans="1:141" s="116" customFormat="1">
      <c r="A62327" s="136"/>
      <c r="CM62327" s="111"/>
      <c r="CQ62327" s="111"/>
      <c r="EF62327"/>
      <c r="EG62327"/>
      <c r="EH62327"/>
      <c r="EI62327"/>
      <c r="EJ62327"/>
      <c r="EK62327"/>
    </row>
    <row r="62328" spans="1:141" s="116" customFormat="1">
      <c r="A62328" s="136"/>
      <c r="CM62328" s="111"/>
      <c r="CQ62328" s="111"/>
      <c r="EF62328"/>
      <c r="EG62328"/>
      <c r="EH62328"/>
      <c r="EI62328"/>
      <c r="EJ62328"/>
      <c r="EK62328"/>
    </row>
    <row r="62329" spans="1:141" s="116" customFormat="1">
      <c r="A62329" s="136"/>
      <c r="CM62329" s="111"/>
      <c r="CQ62329" s="111"/>
      <c r="EF62329"/>
      <c r="EG62329"/>
      <c r="EH62329"/>
      <c r="EI62329"/>
      <c r="EJ62329"/>
      <c r="EK62329"/>
    </row>
    <row r="62330" spans="1:141" s="116" customFormat="1">
      <c r="A62330" s="136"/>
      <c r="CM62330" s="111"/>
      <c r="CQ62330" s="111"/>
      <c r="EF62330"/>
      <c r="EG62330"/>
      <c r="EH62330"/>
      <c r="EI62330"/>
      <c r="EJ62330"/>
      <c r="EK62330"/>
    </row>
    <row r="62331" spans="1:141" s="116" customFormat="1">
      <c r="A62331" s="136"/>
      <c r="CM62331" s="111"/>
      <c r="CQ62331" s="111"/>
      <c r="EF62331"/>
      <c r="EG62331"/>
      <c r="EH62331"/>
      <c r="EI62331"/>
      <c r="EJ62331"/>
      <c r="EK62331"/>
    </row>
    <row r="62332" spans="1:141" s="116" customFormat="1">
      <c r="A62332" s="136"/>
      <c r="CM62332" s="111"/>
      <c r="CQ62332" s="111"/>
      <c r="EF62332"/>
      <c r="EG62332"/>
      <c r="EH62332"/>
      <c r="EI62332"/>
      <c r="EJ62332"/>
      <c r="EK62332"/>
    </row>
    <row r="62333" spans="1:141" s="116" customFormat="1">
      <c r="A62333" s="136"/>
      <c r="CM62333" s="111"/>
      <c r="CQ62333" s="111"/>
      <c r="EF62333"/>
      <c r="EG62333"/>
      <c r="EH62333"/>
      <c r="EI62333"/>
      <c r="EJ62333"/>
      <c r="EK62333"/>
    </row>
    <row r="62334" spans="1:141" s="116" customFormat="1">
      <c r="A62334" s="136"/>
      <c r="CM62334" s="111"/>
      <c r="CQ62334" s="111"/>
      <c r="EF62334"/>
      <c r="EG62334"/>
      <c r="EH62334"/>
      <c r="EI62334"/>
      <c r="EJ62334"/>
      <c r="EK62334"/>
    </row>
    <row r="62335" spans="1:141" s="116" customFormat="1">
      <c r="A62335" s="136"/>
      <c r="CM62335" s="111"/>
      <c r="CQ62335" s="111"/>
      <c r="EF62335"/>
      <c r="EG62335"/>
      <c r="EH62335"/>
      <c r="EI62335"/>
      <c r="EJ62335"/>
      <c r="EK62335"/>
    </row>
    <row r="62336" spans="1:141" s="116" customFormat="1">
      <c r="A62336" s="136"/>
      <c r="CM62336" s="111"/>
      <c r="CQ62336" s="111"/>
      <c r="EF62336"/>
      <c r="EG62336"/>
      <c r="EH62336"/>
      <c r="EI62336"/>
      <c r="EJ62336"/>
      <c r="EK62336"/>
    </row>
    <row r="62337" spans="1:141" s="116" customFormat="1">
      <c r="A62337" s="136"/>
      <c r="CM62337" s="111"/>
      <c r="CQ62337" s="111"/>
      <c r="EF62337"/>
      <c r="EG62337"/>
      <c r="EH62337"/>
      <c r="EI62337"/>
      <c r="EJ62337"/>
      <c r="EK62337"/>
    </row>
    <row r="62338" spans="1:141" s="116" customFormat="1">
      <c r="A62338" s="136"/>
      <c r="CM62338" s="111"/>
      <c r="CQ62338" s="111"/>
      <c r="EF62338"/>
      <c r="EG62338"/>
      <c r="EH62338"/>
      <c r="EI62338"/>
      <c r="EJ62338"/>
      <c r="EK62338"/>
    </row>
    <row r="62339" spans="1:141" s="116" customFormat="1">
      <c r="A62339" s="136"/>
      <c r="CM62339" s="111"/>
      <c r="CQ62339" s="111"/>
      <c r="EF62339"/>
      <c r="EG62339"/>
      <c r="EH62339"/>
      <c r="EI62339"/>
      <c r="EJ62339"/>
      <c r="EK62339"/>
    </row>
    <row r="62340" spans="1:141" s="116" customFormat="1">
      <c r="A62340" s="136"/>
      <c r="CM62340" s="111"/>
      <c r="CQ62340" s="111"/>
      <c r="EF62340"/>
      <c r="EG62340"/>
      <c r="EH62340"/>
      <c r="EI62340"/>
      <c r="EJ62340"/>
      <c r="EK62340"/>
    </row>
    <row r="62341" spans="1:141" s="116" customFormat="1">
      <c r="A62341" s="136"/>
      <c r="CM62341" s="111"/>
      <c r="CQ62341" s="111"/>
      <c r="EF62341"/>
      <c r="EG62341"/>
      <c r="EH62341"/>
      <c r="EI62341"/>
      <c r="EJ62341"/>
      <c r="EK62341"/>
    </row>
    <row r="62342" spans="1:141" s="116" customFormat="1">
      <c r="A62342" s="136"/>
      <c r="CM62342" s="111"/>
      <c r="CQ62342" s="111"/>
      <c r="EF62342"/>
      <c r="EG62342"/>
      <c r="EH62342"/>
      <c r="EI62342"/>
      <c r="EJ62342"/>
      <c r="EK62342"/>
    </row>
    <row r="62343" spans="1:141" s="116" customFormat="1">
      <c r="A62343" s="136"/>
      <c r="CM62343" s="111"/>
      <c r="CQ62343" s="111"/>
      <c r="EF62343"/>
      <c r="EG62343"/>
      <c r="EH62343"/>
      <c r="EI62343"/>
      <c r="EJ62343"/>
      <c r="EK62343"/>
    </row>
    <row r="62344" spans="1:141" s="116" customFormat="1">
      <c r="A62344" s="136"/>
      <c r="CM62344" s="111"/>
      <c r="CQ62344" s="111"/>
      <c r="EF62344"/>
      <c r="EG62344"/>
      <c r="EH62344"/>
      <c r="EI62344"/>
      <c r="EJ62344"/>
      <c r="EK62344"/>
    </row>
    <row r="62345" spans="1:141" s="116" customFormat="1">
      <c r="A62345" s="136"/>
      <c r="CM62345" s="111"/>
      <c r="CQ62345" s="111"/>
      <c r="EF62345"/>
      <c r="EG62345"/>
      <c r="EH62345"/>
      <c r="EI62345"/>
      <c r="EJ62345"/>
      <c r="EK62345"/>
    </row>
    <row r="62346" spans="1:141" s="116" customFormat="1">
      <c r="A62346" s="136"/>
      <c r="CM62346" s="111"/>
      <c r="CQ62346" s="111"/>
      <c r="EF62346"/>
      <c r="EG62346"/>
      <c r="EH62346"/>
      <c r="EI62346"/>
      <c r="EJ62346"/>
      <c r="EK62346"/>
    </row>
    <row r="62347" spans="1:141" s="116" customFormat="1">
      <c r="A62347" s="136"/>
      <c r="CM62347" s="111"/>
      <c r="CQ62347" s="111"/>
      <c r="EF62347"/>
      <c r="EG62347"/>
      <c r="EH62347"/>
      <c r="EI62347"/>
      <c r="EJ62347"/>
      <c r="EK62347"/>
    </row>
    <row r="62348" spans="1:141" s="116" customFormat="1">
      <c r="A62348" s="136"/>
      <c r="CM62348" s="111"/>
      <c r="CQ62348" s="111"/>
      <c r="EF62348"/>
      <c r="EG62348"/>
      <c r="EH62348"/>
      <c r="EI62348"/>
      <c r="EJ62348"/>
      <c r="EK62348"/>
    </row>
    <row r="62349" spans="1:141" s="116" customFormat="1">
      <c r="A62349" s="136"/>
      <c r="CM62349" s="111"/>
      <c r="CQ62349" s="111"/>
      <c r="EF62349"/>
      <c r="EG62349"/>
      <c r="EH62349"/>
      <c r="EI62349"/>
      <c r="EJ62349"/>
      <c r="EK62349"/>
    </row>
    <row r="62350" spans="1:141" s="116" customFormat="1">
      <c r="A62350" s="136"/>
      <c r="CM62350" s="111"/>
      <c r="CQ62350" s="111"/>
      <c r="EF62350"/>
      <c r="EG62350"/>
      <c r="EH62350"/>
      <c r="EI62350"/>
      <c r="EJ62350"/>
      <c r="EK62350"/>
    </row>
    <row r="62351" spans="1:141" s="116" customFormat="1">
      <c r="A62351" s="136"/>
      <c r="CM62351" s="111"/>
      <c r="CQ62351" s="111"/>
      <c r="EF62351"/>
      <c r="EG62351"/>
      <c r="EH62351"/>
      <c r="EI62351"/>
      <c r="EJ62351"/>
      <c r="EK62351"/>
    </row>
    <row r="62352" spans="1:141" s="116" customFormat="1">
      <c r="A62352" s="136"/>
      <c r="CM62352" s="111"/>
      <c r="CQ62352" s="111"/>
      <c r="EF62352"/>
      <c r="EG62352"/>
      <c r="EH62352"/>
      <c r="EI62352"/>
      <c r="EJ62352"/>
      <c r="EK62352"/>
    </row>
    <row r="62353" spans="1:141" s="116" customFormat="1">
      <c r="A62353" s="136"/>
      <c r="CM62353" s="111"/>
      <c r="CQ62353" s="111"/>
      <c r="EF62353"/>
      <c r="EG62353"/>
      <c r="EH62353"/>
      <c r="EI62353"/>
      <c r="EJ62353"/>
      <c r="EK62353"/>
    </row>
    <row r="62354" spans="1:141" s="116" customFormat="1">
      <c r="A62354" s="136"/>
      <c r="CM62354" s="111"/>
      <c r="CQ62354" s="111"/>
      <c r="EF62354"/>
      <c r="EG62354"/>
      <c r="EH62354"/>
      <c r="EI62354"/>
      <c r="EJ62354"/>
      <c r="EK62354"/>
    </row>
    <row r="62355" spans="1:141" s="116" customFormat="1">
      <c r="A62355" s="136"/>
      <c r="CM62355" s="111"/>
      <c r="CQ62355" s="111"/>
      <c r="EF62355"/>
      <c r="EG62355"/>
      <c r="EH62355"/>
      <c r="EI62355"/>
      <c r="EJ62355"/>
      <c r="EK62355"/>
    </row>
    <row r="62356" spans="1:141" s="116" customFormat="1">
      <c r="A62356" s="136"/>
      <c r="CM62356" s="111"/>
      <c r="CQ62356" s="111"/>
      <c r="EF62356"/>
      <c r="EG62356"/>
      <c r="EH62356"/>
      <c r="EI62356"/>
      <c r="EJ62356"/>
      <c r="EK62356"/>
    </row>
    <row r="62357" spans="1:141" s="116" customFormat="1">
      <c r="A62357" s="136"/>
      <c r="CM62357" s="111"/>
      <c r="CQ62357" s="111"/>
      <c r="EF62357"/>
      <c r="EG62357"/>
      <c r="EH62357"/>
      <c r="EI62357"/>
      <c r="EJ62357"/>
      <c r="EK62357"/>
    </row>
    <row r="62358" spans="1:141" s="116" customFormat="1">
      <c r="A62358" s="136"/>
      <c r="CM62358" s="111"/>
      <c r="CQ62358" s="111"/>
      <c r="EF62358"/>
      <c r="EG62358"/>
      <c r="EH62358"/>
      <c r="EI62358"/>
      <c r="EJ62358"/>
      <c r="EK62358"/>
    </row>
    <row r="62359" spans="1:141" s="116" customFormat="1">
      <c r="A62359" s="136"/>
      <c r="CM62359" s="111"/>
      <c r="CQ62359" s="111"/>
      <c r="EF62359"/>
      <c r="EG62359"/>
      <c r="EH62359"/>
      <c r="EI62359"/>
      <c r="EJ62359"/>
      <c r="EK62359"/>
    </row>
    <row r="62360" spans="1:141" s="116" customFormat="1">
      <c r="A62360" s="136"/>
      <c r="CM62360" s="111"/>
      <c r="CQ62360" s="111"/>
      <c r="EF62360"/>
      <c r="EG62360"/>
      <c r="EH62360"/>
      <c r="EI62360"/>
      <c r="EJ62360"/>
      <c r="EK62360"/>
    </row>
    <row r="62361" spans="1:141" s="116" customFormat="1">
      <c r="A62361" s="136"/>
      <c r="CM62361" s="111"/>
      <c r="CQ62361" s="111"/>
      <c r="EF62361"/>
      <c r="EG62361"/>
      <c r="EH62361"/>
      <c r="EI62361"/>
      <c r="EJ62361"/>
      <c r="EK62361"/>
    </row>
    <row r="62362" spans="1:141" s="116" customFormat="1">
      <c r="A62362" s="136"/>
      <c r="CM62362" s="111"/>
      <c r="CQ62362" s="111"/>
      <c r="EF62362"/>
      <c r="EG62362"/>
      <c r="EH62362"/>
      <c r="EI62362"/>
      <c r="EJ62362"/>
      <c r="EK62362"/>
    </row>
    <row r="62363" spans="1:141" s="116" customFormat="1">
      <c r="A62363" s="136"/>
      <c r="CM62363" s="111"/>
      <c r="CQ62363" s="111"/>
      <c r="EF62363"/>
      <c r="EG62363"/>
      <c r="EH62363"/>
      <c r="EI62363"/>
      <c r="EJ62363"/>
      <c r="EK62363"/>
    </row>
    <row r="62364" spans="1:141" s="116" customFormat="1">
      <c r="A62364" s="136"/>
      <c r="CM62364" s="111"/>
      <c r="CQ62364" s="111"/>
      <c r="EF62364"/>
      <c r="EG62364"/>
      <c r="EH62364"/>
      <c r="EI62364"/>
      <c r="EJ62364"/>
      <c r="EK62364"/>
    </row>
    <row r="62365" spans="1:141" s="116" customFormat="1">
      <c r="A62365" s="136"/>
      <c r="CM62365" s="111"/>
      <c r="CQ62365" s="111"/>
      <c r="EF62365"/>
      <c r="EG62365"/>
      <c r="EH62365"/>
      <c r="EI62365"/>
      <c r="EJ62365"/>
      <c r="EK62365"/>
    </row>
    <row r="62366" spans="1:141" s="116" customFormat="1">
      <c r="A62366" s="136"/>
      <c r="CM62366" s="111"/>
      <c r="CQ62366" s="111"/>
      <c r="EF62366"/>
      <c r="EG62366"/>
      <c r="EH62366"/>
      <c r="EI62366"/>
      <c r="EJ62366"/>
      <c r="EK62366"/>
    </row>
    <row r="62367" spans="1:141" s="116" customFormat="1">
      <c r="A62367" s="136"/>
      <c r="CM62367" s="111"/>
      <c r="CQ62367" s="111"/>
      <c r="EF62367"/>
      <c r="EG62367"/>
      <c r="EH62367"/>
      <c r="EI62367"/>
      <c r="EJ62367"/>
      <c r="EK62367"/>
    </row>
    <row r="62368" spans="1:141" s="116" customFormat="1">
      <c r="A62368" s="136"/>
      <c r="CM62368" s="111"/>
      <c r="CQ62368" s="111"/>
      <c r="EF62368"/>
      <c r="EG62368"/>
      <c r="EH62368"/>
      <c r="EI62368"/>
      <c r="EJ62368"/>
      <c r="EK62368"/>
    </row>
    <row r="62369" spans="1:141" s="116" customFormat="1">
      <c r="A62369" s="136"/>
      <c r="CM62369" s="111"/>
      <c r="CQ62369" s="111"/>
      <c r="EF62369"/>
      <c r="EG62369"/>
      <c r="EH62369"/>
      <c r="EI62369"/>
      <c r="EJ62369"/>
      <c r="EK62369"/>
    </row>
    <row r="62370" spans="1:141" s="116" customFormat="1">
      <c r="A62370" s="136"/>
      <c r="CM62370" s="111"/>
      <c r="CQ62370" s="111"/>
      <c r="EF62370"/>
      <c r="EG62370"/>
      <c r="EH62370"/>
      <c r="EI62370"/>
      <c r="EJ62370"/>
      <c r="EK62370"/>
    </row>
    <row r="62371" spans="1:141" s="116" customFormat="1">
      <c r="A62371" s="136"/>
      <c r="CM62371" s="111"/>
      <c r="CQ62371" s="111"/>
      <c r="EF62371"/>
      <c r="EG62371"/>
      <c r="EH62371"/>
      <c r="EI62371"/>
      <c r="EJ62371"/>
      <c r="EK62371"/>
    </row>
    <row r="62372" spans="1:141" s="116" customFormat="1">
      <c r="A62372" s="136"/>
      <c r="CM62372" s="111"/>
      <c r="CQ62372" s="111"/>
      <c r="EF62372"/>
      <c r="EG62372"/>
      <c r="EH62372"/>
      <c r="EI62372"/>
      <c r="EJ62372"/>
      <c r="EK62372"/>
    </row>
    <row r="62373" spans="1:141" s="116" customFormat="1">
      <c r="A62373" s="136"/>
      <c r="CM62373" s="111"/>
      <c r="CQ62373" s="111"/>
      <c r="EF62373"/>
      <c r="EG62373"/>
      <c r="EH62373"/>
      <c r="EI62373"/>
      <c r="EJ62373"/>
      <c r="EK62373"/>
    </row>
    <row r="62374" spans="1:141" s="116" customFormat="1">
      <c r="A62374" s="136"/>
      <c r="CM62374" s="111"/>
      <c r="CQ62374" s="111"/>
      <c r="EF62374"/>
      <c r="EG62374"/>
      <c r="EH62374"/>
      <c r="EI62374"/>
      <c r="EJ62374"/>
      <c r="EK62374"/>
    </row>
    <row r="62375" spans="1:141" s="116" customFormat="1">
      <c r="A62375" s="136"/>
      <c r="CM62375" s="111"/>
      <c r="CQ62375" s="111"/>
      <c r="EF62375"/>
      <c r="EG62375"/>
      <c r="EH62375"/>
      <c r="EI62375"/>
      <c r="EJ62375"/>
      <c r="EK62375"/>
    </row>
    <row r="62376" spans="1:141" s="116" customFormat="1">
      <c r="A62376" s="136"/>
      <c r="CM62376" s="111"/>
      <c r="CQ62376" s="111"/>
      <c r="EF62376"/>
      <c r="EG62376"/>
      <c r="EH62376"/>
      <c r="EI62376"/>
      <c r="EJ62376"/>
      <c r="EK62376"/>
    </row>
    <row r="62377" spans="1:141" s="116" customFormat="1">
      <c r="A62377" s="136"/>
      <c r="CM62377" s="111"/>
      <c r="CQ62377" s="111"/>
      <c r="EF62377"/>
      <c r="EG62377"/>
      <c r="EH62377"/>
      <c r="EI62377"/>
      <c r="EJ62377"/>
      <c r="EK62377"/>
    </row>
    <row r="62378" spans="1:141" s="116" customFormat="1">
      <c r="A62378" s="136"/>
      <c r="CM62378" s="111"/>
      <c r="CQ62378" s="111"/>
      <c r="EF62378"/>
      <c r="EG62378"/>
      <c r="EH62378"/>
      <c r="EI62378"/>
      <c r="EJ62378"/>
      <c r="EK62378"/>
    </row>
    <row r="62379" spans="1:141" s="116" customFormat="1">
      <c r="A62379" s="136"/>
      <c r="CM62379" s="111"/>
      <c r="CQ62379" s="111"/>
      <c r="EF62379"/>
      <c r="EG62379"/>
      <c r="EH62379"/>
      <c r="EI62379"/>
      <c r="EJ62379"/>
      <c r="EK62379"/>
    </row>
    <row r="62380" spans="1:141" s="116" customFormat="1">
      <c r="A62380" s="136"/>
      <c r="CM62380" s="111"/>
      <c r="CQ62380" s="111"/>
      <c r="EF62380"/>
      <c r="EG62380"/>
      <c r="EH62380"/>
      <c r="EI62380"/>
      <c r="EJ62380"/>
      <c r="EK62380"/>
    </row>
    <row r="62381" spans="1:141" s="116" customFormat="1">
      <c r="A62381" s="136"/>
      <c r="CM62381" s="111"/>
      <c r="CQ62381" s="111"/>
      <c r="EF62381"/>
      <c r="EG62381"/>
      <c r="EH62381"/>
      <c r="EI62381"/>
      <c r="EJ62381"/>
      <c r="EK62381"/>
    </row>
    <row r="62382" spans="1:141" s="116" customFormat="1">
      <c r="A62382" s="136"/>
      <c r="CM62382" s="111"/>
      <c r="CQ62382" s="111"/>
      <c r="EF62382"/>
      <c r="EG62382"/>
      <c r="EH62382"/>
      <c r="EI62382"/>
      <c r="EJ62382"/>
      <c r="EK62382"/>
    </row>
    <row r="62383" spans="1:141" s="116" customFormat="1">
      <c r="A62383" s="136"/>
      <c r="CM62383" s="111"/>
      <c r="CQ62383" s="111"/>
      <c r="EF62383"/>
      <c r="EG62383"/>
      <c r="EH62383"/>
      <c r="EI62383"/>
      <c r="EJ62383"/>
      <c r="EK62383"/>
    </row>
    <row r="62384" spans="1:141" s="116" customFormat="1">
      <c r="A62384" s="136"/>
      <c r="CM62384" s="111"/>
      <c r="CQ62384" s="111"/>
      <c r="EF62384"/>
      <c r="EG62384"/>
      <c r="EH62384"/>
      <c r="EI62384"/>
      <c r="EJ62384"/>
      <c r="EK62384"/>
    </row>
    <row r="62385" spans="1:141" s="116" customFormat="1">
      <c r="A62385" s="136"/>
      <c r="CM62385" s="111"/>
      <c r="CQ62385" s="111"/>
      <c r="EF62385"/>
      <c r="EG62385"/>
      <c r="EH62385"/>
      <c r="EI62385"/>
      <c r="EJ62385"/>
      <c r="EK62385"/>
    </row>
    <row r="62386" spans="1:141" s="116" customFormat="1">
      <c r="A62386" s="136"/>
      <c r="CM62386" s="111"/>
      <c r="CQ62386" s="111"/>
      <c r="EF62386"/>
      <c r="EG62386"/>
      <c r="EH62386"/>
      <c r="EI62386"/>
      <c r="EJ62386"/>
      <c r="EK62386"/>
    </row>
    <row r="62387" spans="1:141" s="116" customFormat="1">
      <c r="A62387" s="136"/>
      <c r="CM62387" s="111"/>
      <c r="CQ62387" s="111"/>
      <c r="EF62387"/>
      <c r="EG62387"/>
      <c r="EH62387"/>
      <c r="EI62387"/>
      <c r="EJ62387"/>
      <c r="EK62387"/>
    </row>
    <row r="62388" spans="1:141" s="116" customFormat="1">
      <c r="A62388" s="136"/>
      <c r="CM62388" s="111"/>
      <c r="CQ62388" s="111"/>
      <c r="EF62388"/>
      <c r="EG62388"/>
      <c r="EH62388"/>
      <c r="EI62388"/>
      <c r="EJ62388"/>
      <c r="EK62388"/>
    </row>
    <row r="62389" spans="1:141" s="116" customFormat="1">
      <c r="A62389" s="136"/>
      <c r="CM62389" s="111"/>
      <c r="CQ62389" s="111"/>
      <c r="EF62389"/>
      <c r="EG62389"/>
      <c r="EH62389"/>
      <c r="EI62389"/>
      <c r="EJ62389"/>
      <c r="EK62389"/>
    </row>
    <row r="62390" spans="1:141" s="116" customFormat="1">
      <c r="A62390" s="136"/>
      <c r="CM62390" s="111"/>
      <c r="CQ62390" s="111"/>
      <c r="EF62390"/>
      <c r="EG62390"/>
      <c r="EH62390"/>
      <c r="EI62390"/>
      <c r="EJ62390"/>
      <c r="EK62390"/>
    </row>
    <row r="62391" spans="1:141" s="116" customFormat="1">
      <c r="A62391" s="136"/>
      <c r="CM62391" s="111"/>
      <c r="CQ62391" s="111"/>
      <c r="EF62391"/>
      <c r="EG62391"/>
      <c r="EH62391"/>
      <c r="EI62391"/>
      <c r="EJ62391"/>
      <c r="EK62391"/>
    </row>
    <row r="62392" spans="1:141" s="116" customFormat="1">
      <c r="A62392" s="136"/>
      <c r="CM62392" s="111"/>
      <c r="CQ62392" s="111"/>
      <c r="EF62392"/>
      <c r="EG62392"/>
      <c r="EH62392"/>
      <c r="EI62392"/>
      <c r="EJ62392"/>
      <c r="EK62392"/>
    </row>
    <row r="62393" spans="1:141" s="116" customFormat="1">
      <c r="A62393" s="136"/>
      <c r="CM62393" s="111"/>
      <c r="CQ62393" s="111"/>
      <c r="EF62393"/>
      <c r="EG62393"/>
      <c r="EH62393"/>
      <c r="EI62393"/>
      <c r="EJ62393"/>
      <c r="EK62393"/>
    </row>
    <row r="62394" spans="1:141" s="116" customFormat="1">
      <c r="A62394" s="136"/>
      <c r="CM62394" s="111"/>
      <c r="CQ62394" s="111"/>
      <c r="EF62394"/>
      <c r="EG62394"/>
      <c r="EH62394"/>
      <c r="EI62394"/>
      <c r="EJ62394"/>
      <c r="EK62394"/>
    </row>
    <row r="62395" spans="1:141" s="116" customFormat="1">
      <c r="A62395" s="136"/>
      <c r="CM62395" s="111"/>
      <c r="CQ62395" s="111"/>
      <c r="EF62395"/>
      <c r="EG62395"/>
      <c r="EH62395"/>
      <c r="EI62395"/>
      <c r="EJ62395"/>
      <c r="EK62395"/>
    </row>
    <row r="62396" spans="1:141" s="116" customFormat="1">
      <c r="A62396" s="136"/>
      <c r="CM62396" s="111"/>
      <c r="CQ62396" s="111"/>
      <c r="EF62396"/>
      <c r="EG62396"/>
      <c r="EH62396"/>
      <c r="EI62396"/>
      <c r="EJ62396"/>
      <c r="EK62396"/>
    </row>
    <row r="62397" spans="1:141" s="116" customFormat="1">
      <c r="A62397" s="136"/>
      <c r="CM62397" s="111"/>
      <c r="CQ62397" s="111"/>
      <c r="EF62397"/>
      <c r="EG62397"/>
      <c r="EH62397"/>
      <c r="EI62397"/>
      <c r="EJ62397"/>
      <c r="EK62397"/>
    </row>
    <row r="62398" spans="1:141" s="116" customFormat="1">
      <c r="A62398" s="136"/>
      <c r="CM62398" s="111"/>
      <c r="CQ62398" s="111"/>
      <c r="EF62398"/>
      <c r="EG62398"/>
      <c r="EH62398"/>
      <c r="EI62398"/>
      <c r="EJ62398"/>
      <c r="EK62398"/>
    </row>
    <row r="62399" spans="1:141" s="116" customFormat="1">
      <c r="A62399" s="136"/>
      <c r="CM62399" s="111"/>
      <c r="CQ62399" s="111"/>
      <c r="EF62399"/>
      <c r="EG62399"/>
      <c r="EH62399"/>
      <c r="EI62399"/>
      <c r="EJ62399"/>
      <c r="EK62399"/>
    </row>
    <row r="62400" spans="1:141" s="116" customFormat="1">
      <c r="A62400" s="136"/>
      <c r="CM62400" s="111"/>
      <c r="CQ62400" s="111"/>
      <c r="EF62400"/>
      <c r="EG62400"/>
      <c r="EH62400"/>
      <c r="EI62400"/>
      <c r="EJ62400"/>
      <c r="EK62400"/>
    </row>
    <row r="62401" spans="1:141" s="116" customFormat="1">
      <c r="A62401" s="136"/>
      <c r="CM62401" s="111"/>
      <c r="CQ62401" s="111"/>
      <c r="EF62401"/>
      <c r="EG62401"/>
      <c r="EH62401"/>
      <c r="EI62401"/>
      <c r="EJ62401"/>
      <c r="EK62401"/>
    </row>
    <row r="62402" spans="1:141" s="116" customFormat="1">
      <c r="A62402" s="136"/>
      <c r="CM62402" s="111"/>
      <c r="CQ62402" s="111"/>
      <c r="EF62402"/>
      <c r="EG62402"/>
      <c r="EH62402"/>
      <c r="EI62402"/>
      <c r="EJ62402"/>
      <c r="EK62402"/>
    </row>
    <row r="62403" spans="1:141" s="116" customFormat="1">
      <c r="A62403" s="136"/>
      <c r="CM62403" s="111"/>
      <c r="CQ62403" s="111"/>
      <c r="EF62403"/>
      <c r="EG62403"/>
      <c r="EH62403"/>
      <c r="EI62403"/>
      <c r="EJ62403"/>
      <c r="EK62403"/>
    </row>
    <row r="62404" spans="1:141" s="116" customFormat="1">
      <c r="A62404" s="136"/>
      <c r="CM62404" s="111"/>
      <c r="CQ62404" s="111"/>
      <c r="EF62404"/>
      <c r="EG62404"/>
      <c r="EH62404"/>
      <c r="EI62404"/>
      <c r="EJ62404"/>
      <c r="EK62404"/>
    </row>
    <row r="62405" spans="1:141" s="116" customFormat="1">
      <c r="A62405" s="136"/>
      <c r="CM62405" s="111"/>
      <c r="CQ62405" s="111"/>
      <c r="EF62405"/>
      <c r="EG62405"/>
      <c r="EH62405"/>
      <c r="EI62405"/>
      <c r="EJ62405"/>
      <c r="EK62405"/>
    </row>
    <row r="62406" spans="1:141" s="116" customFormat="1">
      <c r="A62406" s="136"/>
      <c r="CM62406" s="111"/>
      <c r="CQ62406" s="111"/>
      <c r="EF62406"/>
      <c r="EG62406"/>
      <c r="EH62406"/>
      <c r="EI62406"/>
      <c r="EJ62406"/>
      <c r="EK62406"/>
    </row>
    <row r="62407" spans="1:141" s="116" customFormat="1">
      <c r="A62407" s="136"/>
      <c r="CM62407" s="111"/>
      <c r="CQ62407" s="111"/>
      <c r="EF62407"/>
      <c r="EG62407"/>
      <c r="EH62407"/>
      <c r="EI62407"/>
      <c r="EJ62407"/>
      <c r="EK62407"/>
    </row>
    <row r="62408" spans="1:141" s="116" customFormat="1">
      <c r="A62408" s="136"/>
      <c r="CM62408" s="111"/>
      <c r="CQ62408" s="111"/>
      <c r="EF62408"/>
      <c r="EG62408"/>
      <c r="EH62408"/>
      <c r="EI62408"/>
      <c r="EJ62408"/>
      <c r="EK62408"/>
    </row>
    <row r="62409" spans="1:141" s="116" customFormat="1">
      <c r="A62409" s="136"/>
      <c r="CM62409" s="111"/>
      <c r="CQ62409" s="111"/>
      <c r="EF62409"/>
      <c r="EG62409"/>
      <c r="EH62409"/>
      <c r="EI62409"/>
      <c r="EJ62409"/>
      <c r="EK62409"/>
    </row>
    <row r="62410" spans="1:141" s="116" customFormat="1">
      <c r="A62410" s="136"/>
      <c r="CM62410" s="111"/>
      <c r="CQ62410" s="111"/>
      <c r="EF62410"/>
      <c r="EG62410"/>
      <c r="EH62410"/>
      <c r="EI62410"/>
      <c r="EJ62410"/>
      <c r="EK62410"/>
    </row>
    <row r="62411" spans="1:141" s="116" customFormat="1">
      <c r="A62411" s="136"/>
      <c r="CM62411" s="111"/>
      <c r="CQ62411" s="111"/>
      <c r="EF62411"/>
      <c r="EG62411"/>
      <c r="EH62411"/>
      <c r="EI62411"/>
      <c r="EJ62411"/>
      <c r="EK62411"/>
    </row>
    <row r="62412" spans="1:141" s="116" customFormat="1">
      <c r="A62412" s="136"/>
      <c r="CM62412" s="111"/>
      <c r="CQ62412" s="111"/>
      <c r="EF62412"/>
      <c r="EG62412"/>
      <c r="EH62412"/>
      <c r="EI62412"/>
      <c r="EJ62412"/>
      <c r="EK62412"/>
    </row>
    <row r="62413" spans="1:141" s="116" customFormat="1">
      <c r="A62413" s="136"/>
      <c r="CM62413" s="111"/>
      <c r="CQ62413" s="111"/>
      <c r="EF62413"/>
      <c r="EG62413"/>
      <c r="EH62413"/>
      <c r="EI62413"/>
      <c r="EJ62413"/>
      <c r="EK62413"/>
    </row>
    <row r="62414" spans="1:141" s="116" customFormat="1">
      <c r="A62414" s="136"/>
      <c r="CM62414" s="111"/>
      <c r="CQ62414" s="111"/>
      <c r="EF62414"/>
      <c r="EG62414"/>
      <c r="EH62414"/>
      <c r="EI62414"/>
      <c r="EJ62414"/>
      <c r="EK62414"/>
    </row>
    <row r="62415" spans="1:141" s="116" customFormat="1">
      <c r="A62415" s="136"/>
      <c r="CM62415" s="111"/>
      <c r="CQ62415" s="111"/>
      <c r="EF62415"/>
      <c r="EG62415"/>
      <c r="EH62415"/>
      <c r="EI62415"/>
      <c r="EJ62415"/>
      <c r="EK62415"/>
    </row>
    <row r="62416" spans="1:141" s="116" customFormat="1">
      <c r="A62416" s="136"/>
      <c r="CM62416" s="111"/>
      <c r="CQ62416" s="111"/>
      <c r="EF62416"/>
      <c r="EG62416"/>
      <c r="EH62416"/>
      <c r="EI62416"/>
      <c r="EJ62416"/>
      <c r="EK62416"/>
    </row>
    <row r="62417" spans="1:141" s="116" customFormat="1">
      <c r="A62417" s="136"/>
      <c r="CM62417" s="111"/>
      <c r="CQ62417" s="111"/>
      <c r="EF62417"/>
      <c r="EG62417"/>
      <c r="EH62417"/>
      <c r="EI62417"/>
      <c r="EJ62417"/>
      <c r="EK62417"/>
    </row>
    <row r="62418" spans="1:141" s="116" customFormat="1">
      <c r="A62418" s="136"/>
      <c r="CM62418" s="111"/>
      <c r="CQ62418" s="111"/>
      <c r="EF62418"/>
      <c r="EG62418"/>
      <c r="EH62418"/>
      <c r="EI62418"/>
      <c r="EJ62418"/>
      <c r="EK62418"/>
    </row>
    <row r="62419" spans="1:141" s="116" customFormat="1">
      <c r="A62419" s="136"/>
      <c r="CM62419" s="111"/>
      <c r="CQ62419" s="111"/>
      <c r="EF62419"/>
      <c r="EG62419"/>
      <c r="EH62419"/>
      <c r="EI62419"/>
      <c r="EJ62419"/>
      <c r="EK62419"/>
    </row>
    <row r="62420" spans="1:141" s="116" customFormat="1">
      <c r="A62420" s="136"/>
      <c r="CM62420" s="111"/>
      <c r="CQ62420" s="111"/>
      <c r="EF62420"/>
      <c r="EG62420"/>
      <c r="EH62420"/>
      <c r="EI62420"/>
      <c r="EJ62420"/>
      <c r="EK62420"/>
    </row>
    <row r="62421" spans="1:141" s="116" customFormat="1">
      <c r="A62421" s="136"/>
      <c r="CM62421" s="111"/>
      <c r="CQ62421" s="111"/>
      <c r="EF62421"/>
      <c r="EG62421"/>
      <c r="EH62421"/>
      <c r="EI62421"/>
      <c r="EJ62421"/>
      <c r="EK62421"/>
    </row>
    <row r="62422" spans="1:141" s="116" customFormat="1">
      <c r="A62422" s="136"/>
      <c r="CM62422" s="111"/>
      <c r="CQ62422" s="111"/>
      <c r="EF62422"/>
      <c r="EG62422"/>
      <c r="EH62422"/>
      <c r="EI62422"/>
      <c r="EJ62422"/>
      <c r="EK62422"/>
    </row>
    <row r="62423" spans="1:141" s="116" customFormat="1">
      <c r="A62423" s="136"/>
      <c r="CM62423" s="111"/>
      <c r="CQ62423" s="111"/>
      <c r="EF62423"/>
      <c r="EG62423"/>
      <c r="EH62423"/>
      <c r="EI62423"/>
      <c r="EJ62423"/>
      <c r="EK62423"/>
    </row>
    <row r="62424" spans="1:141" s="116" customFormat="1">
      <c r="A62424" s="136"/>
      <c r="CM62424" s="111"/>
      <c r="CQ62424" s="111"/>
      <c r="EF62424"/>
      <c r="EG62424"/>
      <c r="EH62424"/>
      <c r="EI62424"/>
      <c r="EJ62424"/>
      <c r="EK62424"/>
    </row>
    <row r="62425" spans="1:141" s="116" customFormat="1">
      <c r="A62425" s="136"/>
      <c r="CM62425" s="111"/>
      <c r="CQ62425" s="111"/>
      <c r="EF62425"/>
      <c r="EG62425"/>
      <c r="EH62425"/>
      <c r="EI62425"/>
      <c r="EJ62425"/>
      <c r="EK62425"/>
    </row>
    <row r="62426" spans="1:141" s="116" customFormat="1">
      <c r="A62426" s="136"/>
      <c r="CM62426" s="111"/>
      <c r="CQ62426" s="111"/>
      <c r="EF62426"/>
      <c r="EG62426"/>
      <c r="EH62426"/>
      <c r="EI62426"/>
      <c r="EJ62426"/>
      <c r="EK62426"/>
    </row>
    <row r="62427" spans="1:141" s="116" customFormat="1">
      <c r="A62427" s="136"/>
      <c r="CM62427" s="111"/>
      <c r="CQ62427" s="111"/>
      <c r="EF62427"/>
      <c r="EG62427"/>
      <c r="EH62427"/>
      <c r="EI62427"/>
      <c r="EJ62427"/>
      <c r="EK62427"/>
    </row>
    <row r="62428" spans="1:141" s="116" customFormat="1">
      <c r="A62428" s="136"/>
      <c r="CM62428" s="111"/>
      <c r="CQ62428" s="111"/>
      <c r="EF62428"/>
      <c r="EG62428"/>
      <c r="EH62428"/>
      <c r="EI62428"/>
      <c r="EJ62428"/>
      <c r="EK62428"/>
    </row>
    <row r="62429" spans="1:141" s="116" customFormat="1">
      <c r="A62429" s="136"/>
      <c r="CM62429" s="111"/>
      <c r="CQ62429" s="111"/>
      <c r="EF62429"/>
      <c r="EG62429"/>
      <c r="EH62429"/>
      <c r="EI62429"/>
      <c r="EJ62429"/>
      <c r="EK62429"/>
    </row>
    <row r="62430" spans="1:141" s="116" customFormat="1">
      <c r="A62430" s="136"/>
      <c r="CM62430" s="111"/>
      <c r="CQ62430" s="111"/>
      <c r="EF62430"/>
      <c r="EG62430"/>
      <c r="EH62430"/>
      <c r="EI62430"/>
      <c r="EJ62430"/>
      <c r="EK62430"/>
    </row>
    <row r="62431" spans="1:141" s="116" customFormat="1">
      <c r="A62431" s="136"/>
      <c r="CM62431" s="111"/>
      <c r="CQ62431" s="111"/>
      <c r="EF62431"/>
      <c r="EG62431"/>
      <c r="EH62431"/>
      <c r="EI62431"/>
      <c r="EJ62431"/>
      <c r="EK62431"/>
    </row>
    <row r="62432" spans="1:141" s="116" customFormat="1">
      <c r="A62432" s="136"/>
      <c r="CM62432" s="111"/>
      <c r="CQ62432" s="111"/>
      <c r="EF62432"/>
      <c r="EG62432"/>
      <c r="EH62432"/>
      <c r="EI62432"/>
      <c r="EJ62432"/>
      <c r="EK62432"/>
    </row>
    <row r="62433" spans="1:141" s="116" customFormat="1">
      <c r="A62433" s="136"/>
      <c r="CM62433" s="111"/>
      <c r="CQ62433" s="111"/>
      <c r="EF62433"/>
      <c r="EG62433"/>
      <c r="EH62433"/>
      <c r="EI62433"/>
      <c r="EJ62433"/>
      <c r="EK62433"/>
    </row>
    <row r="62434" spans="1:141" s="116" customFormat="1">
      <c r="A62434" s="136"/>
      <c r="CM62434" s="111"/>
      <c r="CQ62434" s="111"/>
      <c r="EF62434"/>
      <c r="EG62434"/>
      <c r="EH62434"/>
      <c r="EI62434"/>
      <c r="EJ62434"/>
      <c r="EK62434"/>
    </row>
    <row r="62435" spans="1:141" s="116" customFormat="1">
      <c r="A62435" s="136"/>
      <c r="CM62435" s="111"/>
      <c r="CQ62435" s="111"/>
      <c r="EF62435"/>
      <c r="EG62435"/>
      <c r="EH62435"/>
      <c r="EI62435"/>
      <c r="EJ62435"/>
      <c r="EK62435"/>
    </row>
    <row r="62436" spans="1:141" s="116" customFormat="1">
      <c r="A62436" s="136"/>
      <c r="CM62436" s="111"/>
      <c r="CQ62436" s="111"/>
      <c r="EF62436"/>
      <c r="EG62436"/>
      <c r="EH62436"/>
      <c r="EI62436"/>
      <c r="EJ62436"/>
      <c r="EK62436"/>
    </row>
    <row r="62437" spans="1:141" s="116" customFormat="1">
      <c r="A62437" s="136"/>
      <c r="CM62437" s="111"/>
      <c r="CQ62437" s="111"/>
      <c r="EF62437"/>
      <c r="EG62437"/>
      <c r="EH62437"/>
      <c r="EI62437"/>
      <c r="EJ62437"/>
      <c r="EK62437"/>
    </row>
    <row r="62438" spans="1:141" s="116" customFormat="1">
      <c r="A62438" s="136"/>
      <c r="CM62438" s="111"/>
      <c r="CQ62438" s="111"/>
      <c r="EF62438"/>
      <c r="EG62438"/>
      <c r="EH62438"/>
      <c r="EI62438"/>
      <c r="EJ62438"/>
      <c r="EK62438"/>
    </row>
    <row r="62439" spans="1:141" s="116" customFormat="1">
      <c r="A62439" s="136"/>
      <c r="CM62439" s="111"/>
      <c r="CQ62439" s="111"/>
      <c r="EF62439"/>
      <c r="EG62439"/>
      <c r="EH62439"/>
      <c r="EI62439"/>
      <c r="EJ62439"/>
      <c r="EK62439"/>
    </row>
    <row r="62440" spans="1:141" s="116" customFormat="1">
      <c r="A62440" s="136"/>
      <c r="CM62440" s="111"/>
      <c r="CQ62440" s="111"/>
      <c r="EF62440"/>
      <c r="EG62440"/>
      <c r="EH62440"/>
      <c r="EI62440"/>
      <c r="EJ62440"/>
      <c r="EK62440"/>
    </row>
    <row r="62441" spans="1:141" s="116" customFormat="1">
      <c r="A62441" s="136"/>
      <c r="CM62441" s="111"/>
      <c r="CQ62441" s="111"/>
      <c r="EF62441"/>
      <c r="EG62441"/>
      <c r="EH62441"/>
      <c r="EI62441"/>
      <c r="EJ62441"/>
      <c r="EK62441"/>
    </row>
    <row r="62442" spans="1:141" s="116" customFormat="1">
      <c r="A62442" s="136"/>
      <c r="CM62442" s="111"/>
      <c r="CQ62442" s="111"/>
      <c r="EF62442"/>
      <c r="EG62442"/>
      <c r="EH62442"/>
      <c r="EI62442"/>
      <c r="EJ62442"/>
      <c r="EK62442"/>
    </row>
    <row r="62443" spans="1:141" s="116" customFormat="1">
      <c r="A62443" s="136"/>
      <c r="CM62443" s="111"/>
      <c r="CQ62443" s="111"/>
      <c r="EF62443"/>
      <c r="EG62443"/>
      <c r="EH62443"/>
      <c r="EI62443"/>
      <c r="EJ62443"/>
      <c r="EK62443"/>
    </row>
    <row r="62444" spans="1:141" s="116" customFormat="1">
      <c r="A62444" s="136"/>
      <c r="CM62444" s="111"/>
      <c r="CQ62444" s="111"/>
      <c r="EF62444"/>
      <c r="EG62444"/>
      <c r="EH62444"/>
      <c r="EI62444"/>
      <c r="EJ62444"/>
      <c r="EK62444"/>
    </row>
    <row r="62445" spans="1:141" s="116" customFormat="1">
      <c r="A62445" s="136"/>
      <c r="CM62445" s="111"/>
      <c r="CQ62445" s="111"/>
      <c r="EF62445"/>
      <c r="EG62445"/>
      <c r="EH62445"/>
      <c r="EI62445"/>
      <c r="EJ62445"/>
      <c r="EK62445"/>
    </row>
    <row r="62446" spans="1:141" s="116" customFormat="1">
      <c r="A62446" s="136"/>
      <c r="CM62446" s="111"/>
      <c r="CQ62446" s="111"/>
      <c r="EF62446"/>
      <c r="EG62446"/>
      <c r="EH62446"/>
      <c r="EI62446"/>
      <c r="EJ62446"/>
      <c r="EK62446"/>
    </row>
    <row r="62447" spans="1:141" s="116" customFormat="1">
      <c r="A62447" s="136"/>
      <c r="CM62447" s="111"/>
      <c r="CQ62447" s="111"/>
      <c r="EF62447"/>
      <c r="EG62447"/>
      <c r="EH62447"/>
      <c r="EI62447"/>
      <c r="EJ62447"/>
      <c r="EK62447"/>
    </row>
    <row r="62448" spans="1:141" s="116" customFormat="1">
      <c r="A62448" s="136"/>
      <c r="CM62448" s="111"/>
      <c r="CQ62448" s="111"/>
      <c r="EF62448"/>
      <c r="EG62448"/>
      <c r="EH62448"/>
      <c r="EI62448"/>
      <c r="EJ62448"/>
      <c r="EK62448"/>
    </row>
    <row r="62449" spans="1:141" s="116" customFormat="1">
      <c r="A62449" s="136"/>
      <c r="CM62449" s="111"/>
      <c r="CQ62449" s="111"/>
      <c r="EF62449"/>
      <c r="EG62449"/>
      <c r="EH62449"/>
      <c r="EI62449"/>
      <c r="EJ62449"/>
      <c r="EK62449"/>
    </row>
    <row r="62450" spans="1:141" s="116" customFormat="1">
      <c r="A62450" s="136"/>
      <c r="CM62450" s="111"/>
      <c r="CQ62450" s="111"/>
      <c r="EF62450"/>
      <c r="EG62450"/>
      <c r="EH62450"/>
      <c r="EI62450"/>
      <c r="EJ62450"/>
      <c r="EK62450"/>
    </row>
    <row r="62451" spans="1:141" s="116" customFormat="1">
      <c r="A62451" s="136"/>
      <c r="CM62451" s="111"/>
      <c r="CQ62451" s="111"/>
      <c r="EF62451"/>
      <c r="EG62451"/>
      <c r="EH62451"/>
      <c r="EI62451"/>
      <c r="EJ62451"/>
      <c r="EK62451"/>
    </row>
    <row r="62452" spans="1:141" s="116" customFormat="1">
      <c r="A62452" s="136"/>
      <c r="CM62452" s="111"/>
      <c r="CQ62452" s="111"/>
      <c r="EF62452"/>
      <c r="EG62452"/>
      <c r="EH62452"/>
      <c r="EI62452"/>
      <c r="EJ62452"/>
      <c r="EK62452"/>
    </row>
    <row r="62453" spans="1:141" s="116" customFormat="1">
      <c r="A62453" s="136"/>
      <c r="CM62453" s="111"/>
      <c r="CQ62453" s="111"/>
      <c r="EF62453"/>
      <c r="EG62453"/>
      <c r="EH62453"/>
      <c r="EI62453"/>
      <c r="EJ62453"/>
      <c r="EK62453"/>
    </row>
    <row r="62454" spans="1:141" s="116" customFormat="1">
      <c r="A62454" s="136"/>
      <c r="CM62454" s="111"/>
      <c r="CQ62454" s="111"/>
      <c r="EF62454"/>
      <c r="EG62454"/>
      <c r="EH62454"/>
      <c r="EI62454"/>
      <c r="EJ62454"/>
      <c r="EK62454"/>
    </row>
    <row r="62455" spans="1:141" s="116" customFormat="1">
      <c r="A62455" s="136"/>
      <c r="CM62455" s="111"/>
      <c r="CQ62455" s="111"/>
      <c r="EF62455"/>
      <c r="EG62455"/>
      <c r="EH62455"/>
      <c r="EI62455"/>
      <c r="EJ62455"/>
      <c r="EK62455"/>
    </row>
    <row r="62456" spans="1:141" s="116" customFormat="1">
      <c r="A62456" s="136"/>
      <c r="CM62456" s="111"/>
      <c r="CQ62456" s="111"/>
      <c r="EF62456"/>
      <c r="EG62456"/>
      <c r="EH62456"/>
      <c r="EI62456"/>
      <c r="EJ62456"/>
      <c r="EK62456"/>
    </row>
    <row r="62457" spans="1:141" s="116" customFormat="1">
      <c r="A62457" s="136"/>
      <c r="CM62457" s="111"/>
      <c r="CQ62457" s="111"/>
      <c r="EF62457"/>
      <c r="EG62457"/>
      <c r="EH62457"/>
      <c r="EI62457"/>
      <c r="EJ62457"/>
      <c r="EK62457"/>
    </row>
    <row r="62458" spans="1:141" s="116" customFormat="1">
      <c r="A62458" s="136"/>
      <c r="CM62458" s="111"/>
      <c r="CQ62458" s="111"/>
      <c r="EF62458"/>
      <c r="EG62458"/>
      <c r="EH62458"/>
      <c r="EI62458"/>
      <c r="EJ62458"/>
      <c r="EK62458"/>
    </row>
    <row r="62459" spans="1:141" s="116" customFormat="1">
      <c r="A62459" s="136"/>
      <c r="CM62459" s="111"/>
      <c r="CQ62459" s="111"/>
      <c r="EF62459"/>
      <c r="EG62459"/>
      <c r="EH62459"/>
      <c r="EI62459"/>
      <c r="EJ62459"/>
      <c r="EK62459"/>
    </row>
    <row r="62460" spans="1:141" s="116" customFormat="1">
      <c r="A62460" s="136"/>
      <c r="CM62460" s="111"/>
      <c r="CQ62460" s="111"/>
      <c r="EF62460"/>
      <c r="EG62460"/>
      <c r="EH62460"/>
      <c r="EI62460"/>
      <c r="EJ62460"/>
      <c r="EK62460"/>
    </row>
    <row r="62461" spans="1:141" s="116" customFormat="1">
      <c r="A62461" s="136"/>
      <c r="CM62461" s="111"/>
      <c r="CQ62461" s="111"/>
      <c r="EF62461"/>
      <c r="EG62461"/>
      <c r="EH62461"/>
      <c r="EI62461"/>
      <c r="EJ62461"/>
      <c r="EK62461"/>
    </row>
    <row r="62462" spans="1:141" s="116" customFormat="1">
      <c r="A62462" s="136"/>
      <c r="CM62462" s="111"/>
      <c r="CQ62462" s="111"/>
      <c r="EF62462"/>
      <c r="EG62462"/>
      <c r="EH62462"/>
      <c r="EI62462"/>
      <c r="EJ62462"/>
      <c r="EK62462"/>
    </row>
    <row r="62463" spans="1:141" s="116" customFormat="1">
      <c r="A62463" s="136"/>
      <c r="CM62463" s="111"/>
      <c r="CQ62463" s="111"/>
      <c r="EF62463"/>
      <c r="EG62463"/>
      <c r="EH62463"/>
      <c r="EI62463"/>
      <c r="EJ62463"/>
      <c r="EK62463"/>
    </row>
    <row r="62464" spans="1:141" s="116" customFormat="1">
      <c r="A62464" s="136"/>
      <c r="CM62464" s="111"/>
      <c r="CQ62464" s="111"/>
      <c r="EF62464"/>
      <c r="EG62464"/>
      <c r="EH62464"/>
      <c r="EI62464"/>
      <c r="EJ62464"/>
      <c r="EK62464"/>
    </row>
    <row r="62465" spans="1:141" s="116" customFormat="1">
      <c r="A62465" s="136"/>
      <c r="CM62465" s="111"/>
      <c r="CQ62465" s="111"/>
      <c r="EF62465"/>
      <c r="EG62465"/>
      <c r="EH62465"/>
      <c r="EI62465"/>
      <c r="EJ62465"/>
      <c r="EK62465"/>
    </row>
    <row r="62466" spans="1:141" s="116" customFormat="1">
      <c r="A62466" s="136"/>
      <c r="CM62466" s="111"/>
      <c r="CQ62466" s="111"/>
      <c r="EF62466"/>
      <c r="EG62466"/>
      <c r="EH62466"/>
      <c r="EI62466"/>
      <c r="EJ62466"/>
      <c r="EK62466"/>
    </row>
    <row r="62467" spans="1:141" s="116" customFormat="1">
      <c r="A62467" s="136"/>
      <c r="CM62467" s="111"/>
      <c r="CQ62467" s="111"/>
      <c r="EF62467"/>
      <c r="EG62467"/>
      <c r="EH62467"/>
      <c r="EI62467"/>
      <c r="EJ62467"/>
      <c r="EK62467"/>
    </row>
    <row r="62468" spans="1:141" s="116" customFormat="1">
      <c r="A62468" s="136"/>
      <c r="CM62468" s="111"/>
      <c r="CQ62468" s="111"/>
      <c r="EF62468"/>
      <c r="EG62468"/>
      <c r="EH62468"/>
      <c r="EI62468"/>
      <c r="EJ62468"/>
      <c r="EK62468"/>
    </row>
    <row r="62469" spans="1:141" s="116" customFormat="1">
      <c r="A62469" s="136"/>
      <c r="CM62469" s="111"/>
      <c r="CQ62469" s="111"/>
      <c r="EF62469"/>
      <c r="EG62469"/>
      <c r="EH62469"/>
      <c r="EI62469"/>
      <c r="EJ62469"/>
      <c r="EK62469"/>
    </row>
    <row r="62470" spans="1:141" s="116" customFormat="1">
      <c r="A62470" s="136"/>
      <c r="CM62470" s="111"/>
      <c r="CQ62470" s="111"/>
      <c r="EF62470"/>
      <c r="EG62470"/>
      <c r="EH62470"/>
      <c r="EI62470"/>
      <c r="EJ62470"/>
      <c r="EK62470"/>
    </row>
    <row r="62471" spans="1:141" s="116" customFormat="1">
      <c r="A62471" s="136"/>
      <c r="CM62471" s="111"/>
      <c r="CQ62471" s="111"/>
      <c r="EF62471"/>
      <c r="EG62471"/>
      <c r="EH62471"/>
      <c r="EI62471"/>
      <c r="EJ62471"/>
      <c r="EK62471"/>
    </row>
    <row r="62472" spans="1:141" s="116" customFormat="1">
      <c r="A62472" s="136"/>
      <c r="CM62472" s="111"/>
      <c r="CQ62472" s="111"/>
      <c r="EF62472"/>
      <c r="EG62472"/>
      <c r="EH62472"/>
      <c r="EI62472"/>
      <c r="EJ62472"/>
      <c r="EK62472"/>
    </row>
    <row r="62473" spans="1:141" s="116" customFormat="1">
      <c r="A62473" s="136"/>
      <c r="CM62473" s="111"/>
      <c r="CQ62473" s="111"/>
      <c r="EF62473"/>
      <c r="EG62473"/>
      <c r="EH62473"/>
      <c r="EI62473"/>
      <c r="EJ62473"/>
      <c r="EK62473"/>
    </row>
    <row r="62474" spans="1:141" s="116" customFormat="1">
      <c r="A62474" s="136"/>
      <c r="CM62474" s="111"/>
      <c r="CQ62474" s="111"/>
      <c r="EF62474"/>
      <c r="EG62474"/>
      <c r="EH62474"/>
      <c r="EI62474"/>
      <c r="EJ62474"/>
      <c r="EK62474"/>
    </row>
    <row r="62475" spans="1:141" s="116" customFormat="1">
      <c r="A62475" s="136"/>
      <c r="CM62475" s="111"/>
      <c r="CQ62475" s="111"/>
      <c r="EF62475"/>
      <c r="EG62475"/>
      <c r="EH62475"/>
      <c r="EI62475"/>
      <c r="EJ62475"/>
      <c r="EK62475"/>
    </row>
    <row r="62476" spans="1:141" s="116" customFormat="1">
      <c r="A62476" s="136"/>
      <c r="CM62476" s="111"/>
      <c r="CQ62476" s="111"/>
      <c r="EF62476"/>
      <c r="EG62476"/>
      <c r="EH62476"/>
      <c r="EI62476"/>
      <c r="EJ62476"/>
      <c r="EK62476"/>
    </row>
    <row r="62477" spans="1:141" s="116" customFormat="1">
      <c r="A62477" s="136"/>
      <c r="CM62477" s="111"/>
      <c r="CQ62477" s="111"/>
      <c r="EF62477"/>
      <c r="EG62477"/>
      <c r="EH62477"/>
      <c r="EI62477"/>
      <c r="EJ62477"/>
      <c r="EK62477"/>
    </row>
    <row r="62478" spans="1:141" s="116" customFormat="1">
      <c r="A62478" s="136"/>
      <c r="CM62478" s="111"/>
      <c r="CQ62478" s="111"/>
      <c r="EF62478"/>
      <c r="EG62478"/>
      <c r="EH62478"/>
      <c r="EI62478"/>
      <c r="EJ62478"/>
      <c r="EK62478"/>
    </row>
    <row r="62479" spans="1:141" s="116" customFormat="1">
      <c r="A62479" s="136"/>
      <c r="CM62479" s="111"/>
      <c r="CQ62479" s="111"/>
      <c r="EF62479"/>
      <c r="EG62479"/>
      <c r="EH62479"/>
      <c r="EI62479"/>
      <c r="EJ62479"/>
      <c r="EK62479"/>
    </row>
    <row r="62480" spans="1:141" s="116" customFormat="1">
      <c r="A62480" s="136"/>
      <c r="CM62480" s="111"/>
      <c r="CQ62480" s="111"/>
      <c r="EF62480"/>
      <c r="EG62480"/>
      <c r="EH62480"/>
      <c r="EI62480"/>
      <c r="EJ62480"/>
      <c r="EK62480"/>
    </row>
    <row r="62481" spans="1:141" s="116" customFormat="1">
      <c r="A62481" s="136"/>
      <c r="CM62481" s="111"/>
      <c r="CQ62481" s="111"/>
      <c r="EF62481"/>
      <c r="EG62481"/>
      <c r="EH62481"/>
      <c r="EI62481"/>
      <c r="EJ62481"/>
      <c r="EK62481"/>
    </row>
    <row r="62482" spans="1:141" s="116" customFormat="1">
      <c r="A62482" s="136"/>
      <c r="CM62482" s="111"/>
      <c r="CQ62482" s="111"/>
      <c r="EF62482"/>
      <c r="EG62482"/>
      <c r="EH62482"/>
      <c r="EI62482"/>
      <c r="EJ62482"/>
      <c r="EK62482"/>
    </row>
    <row r="62483" spans="1:141" s="116" customFormat="1">
      <c r="A62483" s="136"/>
      <c r="CM62483" s="111"/>
      <c r="CQ62483" s="111"/>
      <c r="EF62483"/>
      <c r="EG62483"/>
      <c r="EH62483"/>
      <c r="EI62483"/>
      <c r="EJ62483"/>
      <c r="EK62483"/>
    </row>
    <row r="62484" spans="1:141" s="116" customFormat="1">
      <c r="A62484" s="136"/>
      <c r="CM62484" s="111"/>
      <c r="CQ62484" s="111"/>
      <c r="EF62484"/>
      <c r="EG62484"/>
      <c r="EH62484"/>
      <c r="EI62484"/>
      <c r="EJ62484"/>
      <c r="EK62484"/>
    </row>
    <row r="62485" spans="1:141" s="116" customFormat="1">
      <c r="A62485" s="136"/>
      <c r="CM62485" s="111"/>
      <c r="CQ62485" s="111"/>
      <c r="EF62485"/>
      <c r="EG62485"/>
      <c r="EH62485"/>
      <c r="EI62485"/>
      <c r="EJ62485"/>
      <c r="EK62485"/>
    </row>
    <row r="62486" spans="1:141" s="116" customFormat="1">
      <c r="A62486" s="136"/>
      <c r="CM62486" s="111"/>
      <c r="CQ62486" s="111"/>
      <c r="EF62486"/>
      <c r="EG62486"/>
      <c r="EH62486"/>
      <c r="EI62486"/>
      <c r="EJ62486"/>
      <c r="EK62486"/>
    </row>
    <row r="62487" spans="1:141" s="116" customFormat="1">
      <c r="A62487" s="136"/>
      <c r="CM62487" s="111"/>
      <c r="CQ62487" s="111"/>
      <c r="EF62487"/>
      <c r="EG62487"/>
      <c r="EH62487"/>
      <c r="EI62487"/>
      <c r="EJ62487"/>
      <c r="EK62487"/>
    </row>
    <row r="62488" spans="1:141" s="116" customFormat="1">
      <c r="A62488" s="136"/>
      <c r="CM62488" s="111"/>
      <c r="CQ62488" s="111"/>
      <c r="EF62488"/>
      <c r="EG62488"/>
      <c r="EH62488"/>
      <c r="EI62488"/>
      <c r="EJ62488"/>
      <c r="EK62488"/>
    </row>
    <row r="62489" spans="1:141" s="116" customFormat="1">
      <c r="A62489" s="136"/>
      <c r="CM62489" s="111"/>
      <c r="CQ62489" s="111"/>
      <c r="EF62489"/>
      <c r="EG62489"/>
      <c r="EH62489"/>
      <c r="EI62489"/>
      <c r="EJ62489"/>
      <c r="EK62489"/>
    </row>
    <row r="62490" spans="1:141" s="116" customFormat="1">
      <c r="A62490" s="136"/>
      <c r="CM62490" s="111"/>
      <c r="CQ62490" s="111"/>
      <c r="EF62490"/>
      <c r="EG62490"/>
      <c r="EH62490"/>
      <c r="EI62490"/>
      <c r="EJ62490"/>
      <c r="EK62490"/>
    </row>
    <row r="62491" spans="1:141" s="116" customFormat="1">
      <c r="A62491" s="136"/>
      <c r="CM62491" s="111"/>
      <c r="CQ62491" s="111"/>
      <c r="EF62491"/>
      <c r="EG62491"/>
      <c r="EH62491"/>
      <c r="EI62491"/>
      <c r="EJ62491"/>
      <c r="EK62491"/>
    </row>
    <row r="62492" spans="1:141" s="116" customFormat="1">
      <c r="A62492" s="136"/>
      <c r="CM62492" s="111"/>
      <c r="CQ62492" s="111"/>
      <c r="EF62492"/>
      <c r="EG62492"/>
      <c r="EH62492"/>
      <c r="EI62492"/>
      <c r="EJ62492"/>
      <c r="EK62492"/>
    </row>
    <row r="62493" spans="1:141" s="116" customFormat="1">
      <c r="A62493" s="136"/>
      <c r="CM62493" s="111"/>
      <c r="CQ62493" s="111"/>
      <c r="EF62493"/>
      <c r="EG62493"/>
      <c r="EH62493"/>
      <c r="EI62493"/>
      <c r="EJ62493"/>
      <c r="EK62493"/>
    </row>
    <row r="62494" spans="1:141" s="116" customFormat="1">
      <c r="A62494" s="136"/>
      <c r="CM62494" s="111"/>
      <c r="CQ62494" s="111"/>
      <c r="EF62494"/>
      <c r="EG62494"/>
      <c r="EH62494"/>
      <c r="EI62494"/>
      <c r="EJ62494"/>
      <c r="EK62494"/>
    </row>
    <row r="62495" spans="1:141" s="116" customFormat="1">
      <c r="A62495" s="136"/>
      <c r="CM62495" s="111"/>
      <c r="CQ62495" s="111"/>
      <c r="EF62495"/>
      <c r="EG62495"/>
      <c r="EH62495"/>
      <c r="EI62495"/>
      <c r="EJ62495"/>
      <c r="EK62495"/>
    </row>
    <row r="62496" spans="1:141" s="116" customFormat="1">
      <c r="A62496" s="136"/>
      <c r="CM62496" s="111"/>
      <c r="CQ62496" s="111"/>
      <c r="EF62496"/>
      <c r="EG62496"/>
      <c r="EH62496"/>
      <c r="EI62496"/>
      <c r="EJ62496"/>
      <c r="EK62496"/>
    </row>
    <row r="62497" spans="1:141" s="116" customFormat="1">
      <c r="A62497" s="136"/>
      <c r="CM62497" s="111"/>
      <c r="CQ62497" s="111"/>
      <c r="EF62497"/>
      <c r="EG62497"/>
      <c r="EH62497"/>
      <c r="EI62497"/>
      <c r="EJ62497"/>
      <c r="EK62497"/>
    </row>
    <row r="62498" spans="1:141" s="116" customFormat="1">
      <c r="A62498" s="136"/>
      <c r="CM62498" s="111"/>
      <c r="CQ62498" s="111"/>
      <c r="EF62498"/>
      <c r="EG62498"/>
      <c r="EH62498"/>
      <c r="EI62498"/>
      <c r="EJ62498"/>
      <c r="EK62498"/>
    </row>
    <row r="62499" spans="1:141" s="116" customFormat="1">
      <c r="A62499" s="136"/>
      <c r="CM62499" s="111"/>
      <c r="CQ62499" s="111"/>
      <c r="EF62499"/>
      <c r="EG62499"/>
      <c r="EH62499"/>
      <c r="EI62499"/>
      <c r="EJ62499"/>
      <c r="EK62499"/>
    </row>
    <row r="62500" spans="1:141" s="116" customFormat="1">
      <c r="A62500" s="136"/>
      <c r="CM62500" s="111"/>
      <c r="CQ62500" s="111"/>
      <c r="EF62500"/>
      <c r="EG62500"/>
      <c r="EH62500"/>
      <c r="EI62500"/>
      <c r="EJ62500"/>
      <c r="EK62500"/>
    </row>
    <row r="62501" spans="1:141" s="116" customFormat="1">
      <c r="A62501" s="136"/>
      <c r="CM62501" s="111"/>
      <c r="CQ62501" s="111"/>
      <c r="EF62501"/>
      <c r="EG62501"/>
      <c r="EH62501"/>
      <c r="EI62501"/>
      <c r="EJ62501"/>
      <c r="EK62501"/>
    </row>
    <row r="62502" spans="1:141" s="116" customFormat="1">
      <c r="A62502" s="136"/>
      <c r="CM62502" s="111"/>
      <c r="CQ62502" s="111"/>
      <c r="EF62502"/>
      <c r="EG62502"/>
      <c r="EH62502"/>
      <c r="EI62502"/>
      <c r="EJ62502"/>
      <c r="EK62502"/>
    </row>
    <row r="62503" spans="1:141" s="116" customFormat="1">
      <c r="A62503" s="136"/>
      <c r="CM62503" s="111"/>
      <c r="CQ62503" s="111"/>
      <c r="EF62503"/>
      <c r="EG62503"/>
      <c r="EH62503"/>
      <c r="EI62503"/>
      <c r="EJ62503"/>
      <c r="EK62503"/>
    </row>
    <row r="62504" spans="1:141" s="116" customFormat="1">
      <c r="A62504" s="136"/>
      <c r="CM62504" s="111"/>
      <c r="CQ62504" s="111"/>
      <c r="EF62504"/>
      <c r="EG62504"/>
      <c r="EH62504"/>
      <c r="EI62504"/>
      <c r="EJ62504"/>
      <c r="EK62504"/>
    </row>
    <row r="62505" spans="1:141" s="116" customFormat="1">
      <c r="A62505" s="136"/>
      <c r="CM62505" s="111"/>
      <c r="CQ62505" s="111"/>
      <c r="EF62505"/>
      <c r="EG62505"/>
      <c r="EH62505"/>
      <c r="EI62505"/>
      <c r="EJ62505"/>
      <c r="EK62505"/>
    </row>
    <row r="62506" spans="1:141" s="116" customFormat="1">
      <c r="A62506" s="136"/>
      <c r="CM62506" s="111"/>
      <c r="CQ62506" s="111"/>
      <c r="EF62506"/>
      <c r="EG62506"/>
      <c r="EH62506"/>
      <c r="EI62506"/>
      <c r="EJ62506"/>
      <c r="EK62506"/>
    </row>
    <row r="62507" spans="1:141" s="116" customFormat="1">
      <c r="A62507" s="136"/>
      <c r="CM62507" s="111"/>
      <c r="CQ62507" s="111"/>
      <c r="EF62507"/>
      <c r="EG62507"/>
      <c r="EH62507"/>
      <c r="EI62507"/>
      <c r="EJ62507"/>
      <c r="EK62507"/>
    </row>
    <row r="62508" spans="1:141" s="116" customFormat="1">
      <c r="A62508" s="136"/>
      <c r="CM62508" s="111"/>
      <c r="CQ62508" s="111"/>
      <c r="EF62508"/>
      <c r="EG62508"/>
      <c r="EH62508"/>
      <c r="EI62508"/>
      <c r="EJ62508"/>
      <c r="EK62508"/>
    </row>
    <row r="62509" spans="1:141" s="116" customFormat="1">
      <c r="A62509" s="136"/>
      <c r="CM62509" s="111"/>
      <c r="CQ62509" s="111"/>
      <c r="EF62509"/>
      <c r="EG62509"/>
      <c r="EH62509"/>
      <c r="EI62509"/>
      <c r="EJ62509"/>
      <c r="EK62509"/>
    </row>
    <row r="62510" spans="1:141" s="116" customFormat="1">
      <c r="A62510" s="136"/>
      <c r="CM62510" s="111"/>
      <c r="CQ62510" s="111"/>
      <c r="EF62510"/>
      <c r="EG62510"/>
      <c r="EH62510"/>
      <c r="EI62510"/>
      <c r="EJ62510"/>
      <c r="EK62510"/>
    </row>
    <row r="62511" spans="1:141" s="116" customFormat="1">
      <c r="A62511" s="136"/>
      <c r="CM62511" s="111"/>
      <c r="CQ62511" s="111"/>
      <c r="EF62511"/>
      <c r="EG62511"/>
      <c r="EH62511"/>
      <c r="EI62511"/>
      <c r="EJ62511"/>
      <c r="EK62511"/>
    </row>
    <row r="62512" spans="1:141" s="116" customFormat="1">
      <c r="A62512" s="136"/>
      <c r="CM62512" s="111"/>
      <c r="CQ62512" s="111"/>
      <c r="EF62512"/>
      <c r="EG62512"/>
      <c r="EH62512"/>
      <c r="EI62512"/>
      <c r="EJ62512"/>
      <c r="EK62512"/>
    </row>
    <row r="62513" spans="1:141" s="116" customFormat="1">
      <c r="A62513" s="136"/>
      <c r="CM62513" s="111"/>
      <c r="CQ62513" s="111"/>
      <c r="EF62513"/>
      <c r="EG62513"/>
      <c r="EH62513"/>
      <c r="EI62513"/>
      <c r="EJ62513"/>
      <c r="EK62513"/>
    </row>
    <row r="62514" spans="1:141" s="116" customFormat="1">
      <c r="A62514" s="136"/>
      <c r="CM62514" s="111"/>
      <c r="CQ62514" s="111"/>
      <c r="EF62514"/>
      <c r="EG62514"/>
      <c r="EH62514"/>
      <c r="EI62514"/>
      <c r="EJ62514"/>
      <c r="EK62514"/>
    </row>
    <row r="62515" spans="1:141" s="116" customFormat="1">
      <c r="A62515" s="136"/>
      <c r="CM62515" s="111"/>
      <c r="CQ62515" s="111"/>
      <c r="EF62515"/>
      <c r="EG62515"/>
      <c r="EH62515"/>
      <c r="EI62515"/>
      <c r="EJ62515"/>
      <c r="EK62515"/>
    </row>
    <row r="62516" spans="1:141" s="116" customFormat="1">
      <c r="A62516" s="136"/>
      <c r="CM62516" s="111"/>
      <c r="CQ62516" s="111"/>
      <c r="EF62516"/>
      <c r="EG62516"/>
      <c r="EH62516"/>
      <c r="EI62516"/>
      <c r="EJ62516"/>
      <c r="EK62516"/>
    </row>
    <row r="62517" spans="1:141" s="116" customFormat="1">
      <c r="A62517" s="136"/>
      <c r="CM62517" s="111"/>
      <c r="CQ62517" s="111"/>
      <c r="EF62517"/>
      <c r="EG62517"/>
      <c r="EH62517"/>
      <c r="EI62517"/>
      <c r="EJ62517"/>
      <c r="EK62517"/>
    </row>
    <row r="62518" spans="1:141" s="116" customFormat="1">
      <c r="A62518" s="136"/>
      <c r="CM62518" s="111"/>
      <c r="CQ62518" s="111"/>
      <c r="EF62518"/>
      <c r="EG62518"/>
      <c r="EH62518"/>
      <c r="EI62518"/>
      <c r="EJ62518"/>
      <c r="EK62518"/>
    </row>
    <row r="62519" spans="1:141" s="116" customFormat="1">
      <c r="A62519" s="136"/>
      <c r="CM62519" s="111"/>
      <c r="CQ62519" s="111"/>
      <c r="EF62519"/>
      <c r="EG62519"/>
      <c r="EH62519"/>
      <c r="EI62519"/>
      <c r="EJ62519"/>
      <c r="EK62519"/>
    </row>
    <row r="62520" spans="1:141" s="116" customFormat="1">
      <c r="A62520" s="136"/>
      <c r="CM62520" s="111"/>
      <c r="CQ62520" s="111"/>
      <c r="EF62520"/>
      <c r="EG62520"/>
      <c r="EH62520"/>
      <c r="EI62520"/>
      <c r="EJ62520"/>
      <c r="EK62520"/>
    </row>
    <row r="62521" spans="1:141" s="116" customFormat="1">
      <c r="A62521" s="136"/>
      <c r="CM62521" s="111"/>
      <c r="CQ62521" s="111"/>
      <c r="EF62521"/>
      <c r="EG62521"/>
      <c r="EH62521"/>
      <c r="EI62521"/>
      <c r="EJ62521"/>
      <c r="EK62521"/>
    </row>
    <row r="62522" spans="1:141" s="116" customFormat="1">
      <c r="A62522" s="136"/>
      <c r="CM62522" s="111"/>
      <c r="CQ62522" s="111"/>
      <c r="EF62522"/>
      <c r="EG62522"/>
      <c r="EH62522"/>
      <c r="EI62522"/>
      <c r="EJ62522"/>
      <c r="EK62522"/>
    </row>
    <row r="62523" spans="1:141" s="116" customFormat="1">
      <c r="A62523" s="136"/>
      <c r="CM62523" s="111"/>
      <c r="CQ62523" s="111"/>
      <c r="EF62523"/>
      <c r="EG62523"/>
      <c r="EH62523"/>
      <c r="EI62523"/>
      <c r="EJ62523"/>
      <c r="EK62523"/>
    </row>
    <row r="62524" spans="1:141" s="116" customFormat="1">
      <c r="A62524" s="136"/>
      <c r="CM62524" s="111"/>
      <c r="CQ62524" s="111"/>
      <c r="EF62524"/>
      <c r="EG62524"/>
      <c r="EH62524"/>
      <c r="EI62524"/>
      <c r="EJ62524"/>
      <c r="EK62524"/>
    </row>
    <row r="62525" spans="1:141" s="116" customFormat="1">
      <c r="A62525" s="136"/>
      <c r="CM62525" s="111"/>
      <c r="CQ62525" s="111"/>
      <c r="EF62525"/>
      <c r="EG62525"/>
      <c r="EH62525"/>
      <c r="EI62525"/>
      <c r="EJ62525"/>
      <c r="EK62525"/>
    </row>
    <row r="62526" spans="1:141" s="116" customFormat="1">
      <c r="A62526" s="136"/>
      <c r="CM62526" s="111"/>
      <c r="CQ62526" s="111"/>
      <c r="EF62526"/>
      <c r="EG62526"/>
      <c r="EH62526"/>
      <c r="EI62526"/>
      <c r="EJ62526"/>
      <c r="EK62526"/>
    </row>
    <row r="62527" spans="1:141" s="116" customFormat="1">
      <c r="A62527" s="136"/>
      <c r="CM62527" s="111"/>
      <c r="CQ62527" s="111"/>
      <c r="EF62527"/>
      <c r="EG62527"/>
      <c r="EH62527"/>
      <c r="EI62527"/>
      <c r="EJ62527"/>
      <c r="EK62527"/>
    </row>
    <row r="62528" spans="1:141" s="116" customFormat="1">
      <c r="A62528" s="136"/>
      <c r="CM62528" s="111"/>
      <c r="CQ62528" s="111"/>
      <c r="EF62528"/>
      <c r="EG62528"/>
      <c r="EH62528"/>
      <c r="EI62528"/>
      <c r="EJ62528"/>
      <c r="EK62528"/>
    </row>
    <row r="62529" spans="1:141" s="116" customFormat="1">
      <c r="A62529" s="136"/>
      <c r="CM62529" s="111"/>
      <c r="CQ62529" s="111"/>
      <c r="EF62529"/>
      <c r="EG62529"/>
      <c r="EH62529"/>
      <c r="EI62529"/>
      <c r="EJ62529"/>
      <c r="EK62529"/>
    </row>
    <row r="62530" spans="1:141" s="116" customFormat="1">
      <c r="A62530" s="136"/>
      <c r="CM62530" s="111"/>
      <c r="CQ62530" s="111"/>
      <c r="EF62530"/>
      <c r="EG62530"/>
      <c r="EH62530"/>
      <c r="EI62530"/>
      <c r="EJ62530"/>
      <c r="EK62530"/>
    </row>
    <row r="62531" spans="1:141" s="116" customFormat="1">
      <c r="A62531" s="136"/>
      <c r="CM62531" s="111"/>
      <c r="CQ62531" s="111"/>
      <c r="EF62531"/>
      <c r="EG62531"/>
      <c r="EH62531"/>
      <c r="EI62531"/>
      <c r="EJ62531"/>
      <c r="EK62531"/>
    </row>
    <row r="62532" spans="1:141" s="116" customFormat="1">
      <c r="A62532" s="136"/>
      <c r="CM62532" s="111"/>
      <c r="CQ62532" s="111"/>
      <c r="EF62532"/>
      <c r="EG62532"/>
      <c r="EH62532"/>
      <c r="EI62532"/>
      <c r="EJ62532"/>
      <c r="EK62532"/>
    </row>
    <row r="62533" spans="1:141" s="116" customFormat="1">
      <c r="A62533" s="136"/>
      <c r="CM62533" s="111"/>
      <c r="CQ62533" s="111"/>
      <c r="EF62533"/>
      <c r="EG62533"/>
      <c r="EH62533"/>
      <c r="EI62533"/>
      <c r="EJ62533"/>
      <c r="EK62533"/>
    </row>
    <row r="62534" spans="1:141" s="116" customFormat="1">
      <c r="A62534" s="136"/>
      <c r="CM62534" s="111"/>
      <c r="CQ62534" s="111"/>
      <c r="EF62534"/>
      <c r="EG62534"/>
      <c r="EH62534"/>
      <c r="EI62534"/>
      <c r="EJ62534"/>
      <c r="EK62534"/>
    </row>
    <row r="62535" spans="1:141" s="116" customFormat="1">
      <c r="A62535" s="136"/>
      <c r="CM62535" s="111"/>
      <c r="CQ62535" s="111"/>
      <c r="EF62535"/>
      <c r="EG62535"/>
      <c r="EH62535"/>
      <c r="EI62535"/>
      <c r="EJ62535"/>
      <c r="EK62535"/>
    </row>
    <row r="62536" spans="1:141" s="116" customFormat="1">
      <c r="A62536" s="136"/>
      <c r="CM62536" s="111"/>
      <c r="CQ62536" s="111"/>
      <c r="EF62536"/>
      <c r="EG62536"/>
      <c r="EH62536"/>
      <c r="EI62536"/>
      <c r="EJ62536"/>
      <c r="EK62536"/>
    </row>
    <row r="62537" spans="1:141" s="116" customFormat="1">
      <c r="A62537" s="136"/>
      <c r="CM62537" s="111"/>
      <c r="CQ62537" s="111"/>
      <c r="EF62537"/>
      <c r="EG62537"/>
      <c r="EH62537"/>
      <c r="EI62537"/>
      <c r="EJ62537"/>
      <c r="EK62537"/>
    </row>
    <row r="62538" spans="1:141" s="116" customFormat="1">
      <c r="A62538" s="136"/>
      <c r="CM62538" s="111"/>
      <c r="CQ62538" s="111"/>
      <c r="EF62538"/>
      <c r="EG62538"/>
      <c r="EH62538"/>
      <c r="EI62538"/>
      <c r="EJ62538"/>
      <c r="EK62538"/>
    </row>
    <row r="62539" spans="1:141" s="116" customFormat="1">
      <c r="A62539" s="136"/>
      <c r="CM62539" s="111"/>
      <c r="CQ62539" s="111"/>
      <c r="EF62539"/>
      <c r="EG62539"/>
      <c r="EH62539"/>
      <c r="EI62539"/>
      <c r="EJ62539"/>
      <c r="EK62539"/>
    </row>
    <row r="62540" spans="1:141" s="116" customFormat="1">
      <c r="A62540" s="136"/>
      <c r="CM62540" s="111"/>
      <c r="CQ62540" s="111"/>
      <c r="EF62540"/>
      <c r="EG62540"/>
      <c r="EH62540"/>
      <c r="EI62540"/>
      <c r="EJ62540"/>
      <c r="EK62540"/>
    </row>
    <row r="62541" spans="1:141" s="116" customFormat="1">
      <c r="A62541" s="136"/>
      <c r="CM62541" s="111"/>
      <c r="CQ62541" s="111"/>
      <c r="EF62541"/>
      <c r="EG62541"/>
      <c r="EH62541"/>
      <c r="EI62541"/>
      <c r="EJ62541"/>
      <c r="EK62541"/>
    </row>
    <row r="62542" spans="1:141" s="116" customFormat="1">
      <c r="A62542" s="136"/>
      <c r="CM62542" s="111"/>
      <c r="CQ62542" s="111"/>
      <c r="EF62542"/>
      <c r="EG62542"/>
      <c r="EH62542"/>
      <c r="EI62542"/>
      <c r="EJ62542"/>
      <c r="EK62542"/>
    </row>
    <row r="62543" spans="1:141" s="116" customFormat="1">
      <c r="A62543" s="136"/>
      <c r="CM62543" s="111"/>
      <c r="CQ62543" s="111"/>
      <c r="EF62543"/>
      <c r="EG62543"/>
      <c r="EH62543"/>
      <c r="EI62543"/>
      <c r="EJ62543"/>
      <c r="EK62543"/>
    </row>
    <row r="62544" spans="1:141" s="116" customFormat="1">
      <c r="A62544" s="136"/>
      <c r="CM62544" s="111"/>
      <c r="CQ62544" s="111"/>
      <c r="EF62544"/>
      <c r="EG62544"/>
      <c r="EH62544"/>
      <c r="EI62544"/>
      <c r="EJ62544"/>
      <c r="EK62544"/>
    </row>
    <row r="62545" spans="1:141" s="116" customFormat="1">
      <c r="A62545" s="136"/>
      <c r="CM62545" s="111"/>
      <c r="CQ62545" s="111"/>
      <c r="EF62545"/>
      <c r="EG62545"/>
      <c r="EH62545"/>
      <c r="EI62545"/>
      <c r="EJ62545"/>
      <c r="EK62545"/>
    </row>
    <row r="62546" spans="1:141" s="116" customFormat="1">
      <c r="A62546" s="136"/>
      <c r="CM62546" s="111"/>
      <c r="CQ62546" s="111"/>
      <c r="EF62546"/>
      <c r="EG62546"/>
      <c r="EH62546"/>
      <c r="EI62546"/>
      <c r="EJ62546"/>
      <c r="EK62546"/>
    </row>
    <row r="62547" spans="1:141" s="116" customFormat="1">
      <c r="A62547" s="136"/>
      <c r="CM62547" s="111"/>
      <c r="CQ62547" s="111"/>
      <c r="EF62547"/>
      <c r="EG62547"/>
      <c r="EH62547"/>
      <c r="EI62547"/>
      <c r="EJ62547"/>
      <c r="EK62547"/>
    </row>
    <row r="62548" spans="1:141" s="116" customFormat="1">
      <c r="A62548" s="136"/>
      <c r="CM62548" s="111"/>
      <c r="CQ62548" s="111"/>
      <c r="EF62548"/>
      <c r="EG62548"/>
      <c r="EH62548"/>
      <c r="EI62548"/>
      <c r="EJ62548"/>
      <c r="EK62548"/>
    </row>
    <row r="62549" spans="1:141" s="116" customFormat="1">
      <c r="A62549" s="136"/>
      <c r="CM62549" s="111"/>
      <c r="CQ62549" s="111"/>
      <c r="EF62549"/>
      <c r="EG62549"/>
      <c r="EH62549"/>
      <c r="EI62549"/>
      <c r="EJ62549"/>
      <c r="EK62549"/>
    </row>
    <row r="62550" spans="1:141" s="116" customFormat="1">
      <c r="A62550" s="136"/>
      <c r="CM62550" s="111"/>
      <c r="CQ62550" s="111"/>
      <c r="EF62550"/>
      <c r="EG62550"/>
      <c r="EH62550"/>
      <c r="EI62550"/>
      <c r="EJ62550"/>
      <c r="EK62550"/>
    </row>
    <row r="62551" spans="1:141" s="116" customFormat="1">
      <c r="A62551" s="136"/>
      <c r="CM62551" s="111"/>
      <c r="CQ62551" s="111"/>
      <c r="EF62551"/>
      <c r="EG62551"/>
      <c r="EH62551"/>
      <c r="EI62551"/>
      <c r="EJ62551"/>
      <c r="EK62551"/>
    </row>
    <row r="62552" spans="1:141" s="116" customFormat="1">
      <c r="A62552" s="136"/>
      <c r="CM62552" s="111"/>
      <c r="CQ62552" s="111"/>
      <c r="EF62552"/>
      <c r="EG62552"/>
      <c r="EH62552"/>
      <c r="EI62552"/>
      <c r="EJ62552"/>
      <c r="EK62552"/>
    </row>
    <row r="62553" spans="1:141" s="116" customFormat="1">
      <c r="A62553" s="136"/>
      <c r="CM62553" s="111"/>
      <c r="CQ62553" s="111"/>
      <c r="EF62553"/>
      <c r="EG62553"/>
      <c r="EH62553"/>
      <c r="EI62553"/>
      <c r="EJ62553"/>
      <c r="EK62553"/>
    </row>
    <row r="62554" spans="1:141" s="116" customFormat="1">
      <c r="A62554" s="136"/>
      <c r="CM62554" s="111"/>
      <c r="CQ62554" s="111"/>
      <c r="EF62554"/>
      <c r="EG62554"/>
      <c r="EH62554"/>
      <c r="EI62554"/>
      <c r="EJ62554"/>
      <c r="EK62554"/>
    </row>
    <row r="62555" spans="1:141" s="116" customFormat="1">
      <c r="A62555" s="136"/>
      <c r="CM62555" s="111"/>
      <c r="CQ62555" s="111"/>
      <c r="EF62555"/>
      <c r="EG62555"/>
      <c r="EH62555"/>
      <c r="EI62555"/>
      <c r="EJ62555"/>
      <c r="EK62555"/>
    </row>
    <row r="62556" spans="1:141" s="116" customFormat="1">
      <c r="A62556" s="136"/>
      <c r="CM62556" s="111"/>
      <c r="CQ62556" s="111"/>
      <c r="EF62556"/>
      <c r="EG62556"/>
      <c r="EH62556"/>
      <c r="EI62556"/>
      <c r="EJ62556"/>
      <c r="EK62556"/>
    </row>
    <row r="62557" spans="1:141" s="116" customFormat="1">
      <c r="A62557" s="136"/>
      <c r="CM62557" s="111"/>
      <c r="CQ62557" s="111"/>
      <c r="EF62557"/>
      <c r="EG62557"/>
      <c r="EH62557"/>
      <c r="EI62557"/>
      <c r="EJ62557"/>
      <c r="EK62557"/>
    </row>
    <row r="62558" spans="1:141" s="116" customFormat="1">
      <c r="A62558" s="136"/>
      <c r="CM62558" s="111"/>
      <c r="CQ62558" s="111"/>
      <c r="EF62558"/>
      <c r="EG62558"/>
      <c r="EH62558"/>
      <c r="EI62558"/>
      <c r="EJ62558"/>
      <c r="EK62558"/>
    </row>
    <row r="62559" spans="1:141" s="116" customFormat="1">
      <c r="A62559" s="136"/>
      <c r="CM62559" s="111"/>
      <c r="CQ62559" s="111"/>
      <c r="EF62559"/>
      <c r="EG62559"/>
      <c r="EH62559"/>
      <c r="EI62559"/>
      <c r="EJ62559"/>
      <c r="EK62559"/>
    </row>
    <row r="62560" spans="1:141" s="116" customFormat="1">
      <c r="A62560" s="136"/>
      <c r="CM62560" s="111"/>
      <c r="CQ62560" s="111"/>
      <c r="EF62560"/>
      <c r="EG62560"/>
      <c r="EH62560"/>
      <c r="EI62560"/>
      <c r="EJ62560"/>
      <c r="EK62560"/>
    </row>
    <row r="62561" spans="1:141" s="116" customFormat="1">
      <c r="A62561" s="136"/>
      <c r="CM62561" s="111"/>
      <c r="CQ62561" s="111"/>
      <c r="EF62561"/>
      <c r="EG62561"/>
      <c r="EH62561"/>
      <c r="EI62561"/>
      <c r="EJ62561"/>
      <c r="EK62561"/>
    </row>
    <row r="62562" spans="1:141" s="116" customFormat="1">
      <c r="A62562" s="136"/>
      <c r="CM62562" s="111"/>
      <c r="CQ62562" s="111"/>
      <c r="EF62562"/>
      <c r="EG62562"/>
      <c r="EH62562"/>
      <c r="EI62562"/>
      <c r="EJ62562"/>
      <c r="EK62562"/>
    </row>
    <row r="62563" spans="1:141" s="116" customFormat="1">
      <c r="A62563" s="136"/>
      <c r="CM62563" s="111"/>
      <c r="CQ62563" s="111"/>
      <c r="EF62563"/>
      <c r="EG62563"/>
      <c r="EH62563"/>
      <c r="EI62563"/>
      <c r="EJ62563"/>
      <c r="EK62563"/>
    </row>
    <row r="62564" spans="1:141" s="116" customFormat="1">
      <c r="A62564" s="136"/>
      <c r="CM62564" s="111"/>
      <c r="CQ62564" s="111"/>
      <c r="EF62564"/>
      <c r="EG62564"/>
      <c r="EH62564"/>
      <c r="EI62564"/>
      <c r="EJ62564"/>
      <c r="EK62564"/>
    </row>
    <row r="62565" spans="1:141" s="116" customFormat="1">
      <c r="A62565" s="136"/>
      <c r="CM62565" s="111"/>
      <c r="CQ62565" s="111"/>
      <c r="EF62565"/>
      <c r="EG62565"/>
      <c r="EH62565"/>
      <c r="EI62565"/>
      <c r="EJ62565"/>
      <c r="EK62565"/>
    </row>
    <row r="62566" spans="1:141" s="116" customFormat="1">
      <c r="A62566" s="136"/>
      <c r="CM62566" s="111"/>
      <c r="CQ62566" s="111"/>
      <c r="EF62566"/>
      <c r="EG62566"/>
      <c r="EH62566"/>
      <c r="EI62566"/>
      <c r="EJ62566"/>
      <c r="EK62566"/>
    </row>
    <row r="62567" spans="1:141" s="116" customFormat="1">
      <c r="A62567" s="136"/>
      <c r="CM62567" s="111"/>
      <c r="CQ62567" s="111"/>
      <c r="EF62567"/>
      <c r="EG62567"/>
      <c r="EH62567"/>
      <c r="EI62567"/>
      <c r="EJ62567"/>
      <c r="EK62567"/>
    </row>
    <row r="62568" spans="1:141" s="116" customFormat="1">
      <c r="A62568" s="136"/>
      <c r="CM62568" s="111"/>
      <c r="CQ62568" s="111"/>
      <c r="EF62568"/>
      <c r="EG62568"/>
      <c r="EH62568"/>
      <c r="EI62568"/>
      <c r="EJ62568"/>
      <c r="EK62568"/>
    </row>
    <row r="62569" spans="1:141" s="116" customFormat="1">
      <c r="A62569" s="136"/>
      <c r="CM62569" s="111"/>
      <c r="CQ62569" s="111"/>
      <c r="EF62569"/>
      <c r="EG62569"/>
      <c r="EH62569"/>
      <c r="EI62569"/>
      <c r="EJ62569"/>
      <c r="EK62569"/>
    </row>
    <row r="62570" spans="1:141" s="116" customFormat="1">
      <c r="A62570" s="136"/>
      <c r="CM62570" s="111"/>
      <c r="CQ62570" s="111"/>
      <c r="EF62570"/>
      <c r="EG62570"/>
      <c r="EH62570"/>
      <c r="EI62570"/>
      <c r="EJ62570"/>
      <c r="EK62570"/>
    </row>
    <row r="62571" spans="1:141" s="116" customFormat="1">
      <c r="A62571" s="136"/>
      <c r="CM62571" s="111"/>
      <c r="CQ62571" s="111"/>
      <c r="EF62571"/>
      <c r="EG62571"/>
      <c r="EH62571"/>
      <c r="EI62571"/>
      <c r="EJ62571"/>
      <c r="EK62571"/>
    </row>
    <row r="62572" spans="1:141" s="116" customFormat="1">
      <c r="A62572" s="136"/>
      <c r="CM62572" s="111"/>
      <c r="CQ62572" s="111"/>
      <c r="EF62572"/>
      <c r="EG62572"/>
      <c r="EH62572"/>
      <c r="EI62572"/>
      <c r="EJ62572"/>
      <c r="EK62572"/>
    </row>
    <row r="62573" spans="1:141" s="116" customFormat="1">
      <c r="A62573" s="136"/>
      <c r="CM62573" s="111"/>
      <c r="CQ62573" s="111"/>
      <c r="EF62573"/>
      <c r="EG62573"/>
      <c r="EH62573"/>
      <c r="EI62573"/>
      <c r="EJ62573"/>
      <c r="EK62573"/>
    </row>
    <row r="62574" spans="1:141" s="116" customFormat="1">
      <c r="A62574" s="136"/>
      <c r="CM62574" s="111"/>
      <c r="CQ62574" s="111"/>
      <c r="EF62574"/>
      <c r="EG62574"/>
      <c r="EH62574"/>
      <c r="EI62574"/>
      <c r="EJ62574"/>
      <c r="EK62574"/>
    </row>
    <row r="62575" spans="1:141" s="116" customFormat="1">
      <c r="A62575" s="136"/>
      <c r="CM62575" s="111"/>
      <c r="CQ62575" s="111"/>
      <c r="EF62575"/>
      <c r="EG62575"/>
      <c r="EH62575"/>
      <c r="EI62575"/>
      <c r="EJ62575"/>
      <c r="EK62575"/>
    </row>
    <row r="62576" spans="1:141" s="116" customFormat="1">
      <c r="A62576" s="136"/>
      <c r="CM62576" s="111"/>
      <c r="CQ62576" s="111"/>
      <c r="EF62576"/>
      <c r="EG62576"/>
      <c r="EH62576"/>
      <c r="EI62576"/>
      <c r="EJ62576"/>
      <c r="EK62576"/>
    </row>
    <row r="62577" spans="1:141" s="116" customFormat="1">
      <c r="A62577" s="136"/>
      <c r="CM62577" s="111"/>
      <c r="CQ62577" s="111"/>
      <c r="EF62577"/>
      <c r="EG62577"/>
      <c r="EH62577"/>
      <c r="EI62577"/>
      <c r="EJ62577"/>
      <c r="EK62577"/>
    </row>
    <row r="62578" spans="1:141" s="116" customFormat="1">
      <c r="A62578" s="136"/>
      <c r="CM62578" s="111"/>
      <c r="CQ62578" s="111"/>
      <c r="EF62578"/>
      <c r="EG62578"/>
      <c r="EH62578"/>
      <c r="EI62578"/>
      <c r="EJ62578"/>
      <c r="EK62578"/>
    </row>
    <row r="62579" spans="1:141" s="116" customFormat="1">
      <c r="A62579" s="136"/>
      <c r="CM62579" s="111"/>
      <c r="CQ62579" s="111"/>
      <c r="EF62579"/>
      <c r="EG62579"/>
      <c r="EH62579"/>
      <c r="EI62579"/>
      <c r="EJ62579"/>
      <c r="EK62579"/>
    </row>
    <row r="62580" spans="1:141" s="116" customFormat="1">
      <c r="A62580" s="136"/>
      <c r="CM62580" s="111"/>
      <c r="CQ62580" s="111"/>
      <c r="EF62580"/>
      <c r="EG62580"/>
      <c r="EH62580"/>
      <c r="EI62580"/>
      <c r="EJ62580"/>
      <c r="EK62580"/>
    </row>
    <row r="62581" spans="1:141" s="116" customFormat="1">
      <c r="A62581" s="136"/>
      <c r="CM62581" s="111"/>
      <c r="CQ62581" s="111"/>
      <c r="EF62581"/>
      <c r="EG62581"/>
      <c r="EH62581"/>
      <c r="EI62581"/>
      <c r="EJ62581"/>
      <c r="EK62581"/>
    </row>
    <row r="62582" spans="1:141" s="116" customFormat="1">
      <c r="A62582" s="136"/>
      <c r="CM62582" s="111"/>
      <c r="CQ62582" s="111"/>
      <c r="EF62582"/>
      <c r="EG62582"/>
      <c r="EH62582"/>
      <c r="EI62582"/>
      <c r="EJ62582"/>
      <c r="EK62582"/>
    </row>
    <row r="62583" spans="1:141" s="116" customFormat="1">
      <c r="A62583" s="136"/>
      <c r="CM62583" s="111"/>
      <c r="CQ62583" s="111"/>
      <c r="EF62583"/>
      <c r="EG62583"/>
      <c r="EH62583"/>
      <c r="EI62583"/>
      <c r="EJ62583"/>
      <c r="EK62583"/>
    </row>
    <row r="62584" spans="1:141" s="116" customFormat="1">
      <c r="A62584" s="136"/>
      <c r="CM62584" s="111"/>
      <c r="CQ62584" s="111"/>
      <c r="EF62584"/>
      <c r="EG62584"/>
      <c r="EH62584"/>
      <c r="EI62584"/>
      <c r="EJ62584"/>
      <c r="EK62584"/>
    </row>
    <row r="62585" spans="1:141" s="116" customFormat="1">
      <c r="A62585" s="136"/>
      <c r="CM62585" s="111"/>
      <c r="CQ62585" s="111"/>
      <c r="EF62585"/>
      <c r="EG62585"/>
      <c r="EH62585"/>
      <c r="EI62585"/>
      <c r="EJ62585"/>
      <c r="EK62585"/>
    </row>
    <row r="62586" spans="1:141" s="116" customFormat="1">
      <c r="A62586" s="136"/>
      <c r="CM62586" s="111"/>
      <c r="CQ62586" s="111"/>
      <c r="EF62586"/>
      <c r="EG62586"/>
      <c r="EH62586"/>
      <c r="EI62586"/>
      <c r="EJ62586"/>
      <c r="EK62586"/>
    </row>
    <row r="62587" spans="1:141" s="116" customFormat="1">
      <c r="A62587" s="136"/>
      <c r="CM62587" s="111"/>
      <c r="CQ62587" s="111"/>
      <c r="EF62587"/>
      <c r="EG62587"/>
      <c r="EH62587"/>
      <c r="EI62587"/>
      <c r="EJ62587"/>
      <c r="EK62587"/>
    </row>
    <row r="62588" spans="1:141" s="116" customFormat="1">
      <c r="A62588" s="136"/>
      <c r="CM62588" s="111"/>
      <c r="CQ62588" s="111"/>
      <c r="EF62588"/>
      <c r="EG62588"/>
      <c r="EH62588"/>
      <c r="EI62588"/>
      <c r="EJ62588"/>
      <c r="EK62588"/>
    </row>
    <row r="62589" spans="1:141" s="116" customFormat="1">
      <c r="A62589" s="136"/>
      <c r="CM62589" s="111"/>
      <c r="CQ62589" s="111"/>
      <c r="EF62589"/>
      <c r="EG62589"/>
      <c r="EH62589"/>
      <c r="EI62589"/>
      <c r="EJ62589"/>
      <c r="EK62589"/>
    </row>
    <row r="62590" spans="1:141" s="116" customFormat="1">
      <c r="A62590" s="136"/>
      <c r="CM62590" s="111"/>
      <c r="CQ62590" s="111"/>
      <c r="EF62590"/>
      <c r="EG62590"/>
      <c r="EH62590"/>
      <c r="EI62590"/>
      <c r="EJ62590"/>
      <c r="EK62590"/>
    </row>
    <row r="62591" spans="1:141" s="116" customFormat="1">
      <c r="A62591" s="136"/>
      <c r="CM62591" s="111"/>
      <c r="CQ62591" s="111"/>
      <c r="EF62591"/>
      <c r="EG62591"/>
      <c r="EH62591"/>
      <c r="EI62591"/>
      <c r="EJ62591"/>
      <c r="EK62591"/>
    </row>
    <row r="62592" spans="1:141" s="116" customFormat="1">
      <c r="A62592" s="136"/>
      <c r="CM62592" s="111"/>
      <c r="CQ62592" s="111"/>
      <c r="EF62592"/>
      <c r="EG62592"/>
      <c r="EH62592"/>
      <c r="EI62592"/>
      <c r="EJ62592"/>
      <c r="EK62592"/>
    </row>
    <row r="62593" spans="1:141" s="116" customFormat="1">
      <c r="A62593" s="136"/>
      <c r="CM62593" s="111"/>
      <c r="CQ62593" s="111"/>
      <c r="EF62593"/>
      <c r="EG62593"/>
      <c r="EH62593"/>
      <c r="EI62593"/>
      <c r="EJ62593"/>
      <c r="EK62593"/>
    </row>
    <row r="62594" spans="1:141" s="116" customFormat="1">
      <c r="A62594" s="136"/>
      <c r="CM62594" s="111"/>
      <c r="CQ62594" s="111"/>
      <c r="EF62594"/>
      <c r="EG62594"/>
      <c r="EH62594"/>
      <c r="EI62594"/>
      <c r="EJ62594"/>
      <c r="EK62594"/>
    </row>
    <row r="62595" spans="1:141" s="116" customFormat="1">
      <c r="A62595" s="136"/>
      <c r="CM62595" s="111"/>
      <c r="CQ62595" s="111"/>
      <c r="EF62595"/>
      <c r="EG62595"/>
      <c r="EH62595"/>
      <c r="EI62595"/>
      <c r="EJ62595"/>
      <c r="EK62595"/>
    </row>
    <row r="62596" spans="1:141" s="116" customFormat="1">
      <c r="A62596" s="136"/>
      <c r="CM62596" s="111"/>
      <c r="CQ62596" s="111"/>
      <c r="EF62596"/>
      <c r="EG62596"/>
      <c r="EH62596"/>
      <c r="EI62596"/>
      <c r="EJ62596"/>
      <c r="EK62596"/>
    </row>
    <row r="62597" spans="1:141" s="116" customFormat="1">
      <c r="A62597" s="136"/>
      <c r="CM62597" s="111"/>
      <c r="CQ62597" s="111"/>
      <c r="EF62597"/>
      <c r="EG62597"/>
      <c r="EH62597"/>
      <c r="EI62597"/>
      <c r="EJ62597"/>
      <c r="EK62597"/>
    </row>
    <row r="62598" spans="1:141" s="116" customFormat="1">
      <c r="A62598" s="136"/>
      <c r="CM62598" s="111"/>
      <c r="CQ62598" s="111"/>
      <c r="EF62598"/>
      <c r="EG62598"/>
      <c r="EH62598"/>
      <c r="EI62598"/>
      <c r="EJ62598"/>
      <c r="EK62598"/>
    </row>
    <row r="62599" spans="1:141" s="116" customFormat="1">
      <c r="A62599" s="136"/>
      <c r="CM62599" s="111"/>
      <c r="CQ62599" s="111"/>
      <c r="EF62599"/>
      <c r="EG62599"/>
      <c r="EH62599"/>
      <c r="EI62599"/>
      <c r="EJ62599"/>
      <c r="EK62599"/>
    </row>
    <row r="62600" spans="1:141" s="116" customFormat="1">
      <c r="A62600" s="136"/>
      <c r="CM62600" s="111"/>
      <c r="CQ62600" s="111"/>
      <c r="EF62600"/>
      <c r="EG62600"/>
      <c r="EH62600"/>
      <c r="EI62600"/>
      <c r="EJ62600"/>
      <c r="EK62600"/>
    </row>
    <row r="62601" spans="1:141" s="116" customFormat="1">
      <c r="A62601" s="136"/>
      <c r="CM62601" s="111"/>
      <c r="CQ62601" s="111"/>
      <c r="EF62601"/>
      <c r="EG62601"/>
      <c r="EH62601"/>
      <c r="EI62601"/>
      <c r="EJ62601"/>
      <c r="EK62601"/>
    </row>
    <row r="62602" spans="1:141" s="116" customFormat="1">
      <c r="A62602" s="136"/>
      <c r="CM62602" s="111"/>
      <c r="CQ62602" s="111"/>
      <c r="EF62602"/>
      <c r="EG62602"/>
      <c r="EH62602"/>
      <c r="EI62602"/>
      <c r="EJ62602"/>
      <c r="EK62602"/>
    </row>
    <row r="62603" spans="1:141" s="116" customFormat="1">
      <c r="A62603" s="136"/>
      <c r="CM62603" s="111"/>
      <c r="CQ62603" s="111"/>
      <c r="EF62603"/>
      <c r="EG62603"/>
      <c r="EH62603"/>
      <c r="EI62603"/>
      <c r="EJ62603"/>
      <c r="EK62603"/>
    </row>
    <row r="62604" spans="1:141" s="116" customFormat="1">
      <c r="A62604" s="136"/>
      <c r="CM62604" s="111"/>
      <c r="CQ62604" s="111"/>
      <c r="EF62604"/>
      <c r="EG62604"/>
      <c r="EH62604"/>
      <c r="EI62604"/>
      <c r="EJ62604"/>
      <c r="EK62604"/>
    </row>
    <row r="62605" spans="1:141" s="116" customFormat="1">
      <c r="A62605" s="136"/>
      <c r="CM62605" s="111"/>
      <c r="CQ62605" s="111"/>
      <c r="EF62605"/>
      <c r="EG62605"/>
      <c r="EH62605"/>
      <c r="EI62605"/>
      <c r="EJ62605"/>
      <c r="EK62605"/>
    </row>
    <row r="62606" spans="1:141" s="116" customFormat="1">
      <c r="A62606" s="136"/>
      <c r="CM62606" s="111"/>
      <c r="CQ62606" s="111"/>
      <c r="EF62606"/>
      <c r="EG62606"/>
      <c r="EH62606"/>
      <c r="EI62606"/>
      <c r="EJ62606"/>
      <c r="EK62606"/>
    </row>
    <row r="62607" spans="1:141" s="116" customFormat="1">
      <c r="A62607" s="136"/>
      <c r="CM62607" s="111"/>
      <c r="CQ62607" s="111"/>
      <c r="EF62607"/>
      <c r="EG62607"/>
      <c r="EH62607"/>
      <c r="EI62607"/>
      <c r="EJ62607"/>
      <c r="EK62607"/>
    </row>
    <row r="62608" spans="1:141" s="116" customFormat="1">
      <c r="A62608" s="136"/>
      <c r="CM62608" s="111"/>
      <c r="CQ62608" s="111"/>
      <c r="EF62608"/>
      <c r="EG62608"/>
      <c r="EH62608"/>
      <c r="EI62608"/>
      <c r="EJ62608"/>
      <c r="EK62608"/>
    </row>
    <row r="62609" spans="1:141" s="116" customFormat="1">
      <c r="A62609" s="136"/>
      <c r="CM62609" s="111"/>
      <c r="CQ62609" s="111"/>
      <c r="EF62609"/>
      <c r="EG62609"/>
      <c r="EH62609"/>
      <c r="EI62609"/>
      <c r="EJ62609"/>
      <c r="EK62609"/>
    </row>
    <row r="62610" spans="1:141" s="116" customFormat="1">
      <c r="A62610" s="136"/>
      <c r="CM62610" s="111"/>
      <c r="CQ62610" s="111"/>
      <c r="EF62610"/>
      <c r="EG62610"/>
      <c r="EH62610"/>
      <c r="EI62610"/>
      <c r="EJ62610"/>
      <c r="EK62610"/>
    </row>
    <row r="62611" spans="1:141" s="116" customFormat="1">
      <c r="A62611" s="136"/>
      <c r="CM62611" s="111"/>
      <c r="CQ62611" s="111"/>
      <c r="EF62611"/>
      <c r="EG62611"/>
      <c r="EH62611"/>
      <c r="EI62611"/>
      <c r="EJ62611"/>
      <c r="EK62611"/>
    </row>
    <row r="62612" spans="1:141" s="116" customFormat="1">
      <c r="A62612" s="136"/>
      <c r="CM62612" s="111"/>
      <c r="CQ62612" s="111"/>
      <c r="EF62612"/>
      <c r="EG62612"/>
      <c r="EH62612"/>
      <c r="EI62612"/>
      <c r="EJ62612"/>
      <c r="EK62612"/>
    </row>
    <row r="62613" spans="1:141" s="116" customFormat="1">
      <c r="A62613" s="136"/>
      <c r="CM62613" s="111"/>
      <c r="CQ62613" s="111"/>
      <c r="EF62613"/>
      <c r="EG62613"/>
      <c r="EH62613"/>
      <c r="EI62613"/>
      <c r="EJ62613"/>
      <c r="EK62613"/>
    </row>
    <row r="62614" spans="1:141" s="116" customFormat="1">
      <c r="A62614" s="136"/>
      <c r="CM62614" s="111"/>
      <c r="CQ62614" s="111"/>
      <c r="EF62614"/>
      <c r="EG62614"/>
      <c r="EH62614"/>
      <c r="EI62614"/>
      <c r="EJ62614"/>
      <c r="EK62614"/>
    </row>
    <row r="62615" spans="1:141" s="116" customFormat="1">
      <c r="A62615" s="136"/>
      <c r="CM62615" s="111"/>
      <c r="CQ62615" s="111"/>
      <c r="EF62615"/>
      <c r="EG62615"/>
      <c r="EH62615"/>
      <c r="EI62615"/>
      <c r="EJ62615"/>
      <c r="EK62615"/>
    </row>
    <row r="62616" spans="1:141" s="116" customFormat="1">
      <c r="A62616" s="136"/>
      <c r="CM62616" s="111"/>
      <c r="CQ62616" s="111"/>
      <c r="EF62616"/>
      <c r="EG62616"/>
      <c r="EH62616"/>
      <c r="EI62616"/>
      <c r="EJ62616"/>
      <c r="EK62616"/>
    </row>
    <row r="62617" spans="1:141" s="116" customFormat="1">
      <c r="A62617" s="136"/>
      <c r="CM62617" s="111"/>
      <c r="CQ62617" s="111"/>
      <c r="EF62617"/>
      <c r="EG62617"/>
      <c r="EH62617"/>
      <c r="EI62617"/>
      <c r="EJ62617"/>
      <c r="EK62617"/>
    </row>
    <row r="62618" spans="1:141" s="116" customFormat="1">
      <c r="A62618" s="136"/>
      <c r="CM62618" s="111"/>
      <c r="CQ62618" s="111"/>
      <c r="EF62618"/>
      <c r="EG62618"/>
      <c r="EH62618"/>
      <c r="EI62618"/>
      <c r="EJ62618"/>
      <c r="EK62618"/>
    </row>
    <row r="62619" spans="1:141" s="116" customFormat="1">
      <c r="A62619" s="136"/>
      <c r="CM62619" s="111"/>
      <c r="CQ62619" s="111"/>
      <c r="EF62619"/>
      <c r="EG62619"/>
      <c r="EH62619"/>
      <c r="EI62619"/>
      <c r="EJ62619"/>
      <c r="EK62619"/>
    </row>
    <row r="62620" spans="1:141" s="116" customFormat="1">
      <c r="A62620" s="136"/>
      <c r="CM62620" s="111"/>
      <c r="CQ62620" s="111"/>
      <c r="EF62620"/>
      <c r="EG62620"/>
      <c r="EH62620"/>
      <c r="EI62620"/>
      <c r="EJ62620"/>
      <c r="EK62620"/>
    </row>
    <row r="62621" spans="1:141" s="116" customFormat="1">
      <c r="A62621" s="136"/>
      <c r="CM62621" s="111"/>
      <c r="CQ62621" s="111"/>
      <c r="EF62621"/>
      <c r="EG62621"/>
      <c r="EH62621"/>
      <c r="EI62621"/>
      <c r="EJ62621"/>
      <c r="EK62621"/>
    </row>
    <row r="62622" spans="1:141" s="116" customFormat="1">
      <c r="A62622" s="136"/>
      <c r="CM62622" s="111"/>
      <c r="CQ62622" s="111"/>
      <c r="EF62622"/>
      <c r="EG62622"/>
      <c r="EH62622"/>
      <c r="EI62622"/>
      <c r="EJ62622"/>
      <c r="EK62622"/>
    </row>
    <row r="62623" spans="1:141" s="116" customFormat="1">
      <c r="A62623" s="136"/>
      <c r="CM62623" s="111"/>
      <c r="CQ62623" s="111"/>
      <c r="EF62623"/>
      <c r="EG62623"/>
      <c r="EH62623"/>
      <c r="EI62623"/>
      <c r="EJ62623"/>
      <c r="EK62623"/>
    </row>
    <row r="62624" spans="1:141" s="116" customFormat="1">
      <c r="A62624" s="136"/>
      <c r="CM62624" s="111"/>
      <c r="CQ62624" s="111"/>
      <c r="EF62624"/>
      <c r="EG62624"/>
      <c r="EH62624"/>
      <c r="EI62624"/>
      <c r="EJ62624"/>
      <c r="EK62624"/>
    </row>
    <row r="62625" spans="1:141" s="116" customFormat="1">
      <c r="A62625" s="136"/>
      <c r="CM62625" s="111"/>
      <c r="CQ62625" s="111"/>
      <c r="EF62625"/>
      <c r="EG62625"/>
      <c r="EH62625"/>
      <c r="EI62625"/>
      <c r="EJ62625"/>
      <c r="EK62625"/>
    </row>
    <row r="62626" spans="1:141" s="116" customFormat="1">
      <c r="A62626" s="136"/>
      <c r="CM62626" s="111"/>
      <c r="CQ62626" s="111"/>
      <c r="EF62626"/>
      <c r="EG62626"/>
      <c r="EH62626"/>
      <c r="EI62626"/>
      <c r="EJ62626"/>
      <c r="EK62626"/>
    </row>
    <row r="62627" spans="1:141" s="116" customFormat="1">
      <c r="A62627" s="136"/>
      <c r="CM62627" s="111"/>
      <c r="CQ62627" s="111"/>
      <c r="EF62627"/>
      <c r="EG62627"/>
      <c r="EH62627"/>
      <c r="EI62627"/>
      <c r="EJ62627"/>
      <c r="EK62627"/>
    </row>
    <row r="62628" spans="1:141" s="116" customFormat="1">
      <c r="A62628" s="136"/>
      <c r="CM62628" s="111"/>
      <c r="CQ62628" s="111"/>
      <c r="EF62628"/>
      <c r="EG62628"/>
      <c r="EH62628"/>
      <c r="EI62628"/>
      <c r="EJ62628"/>
      <c r="EK62628"/>
    </row>
    <row r="62629" spans="1:141" s="116" customFormat="1">
      <c r="A62629" s="136"/>
      <c r="CM62629" s="111"/>
      <c r="CQ62629" s="111"/>
      <c r="EF62629"/>
      <c r="EG62629"/>
      <c r="EH62629"/>
      <c r="EI62629"/>
      <c r="EJ62629"/>
      <c r="EK62629"/>
    </row>
    <row r="62630" spans="1:141" s="116" customFormat="1">
      <c r="A62630" s="136"/>
      <c r="CM62630" s="111"/>
      <c r="CQ62630" s="111"/>
      <c r="EF62630"/>
      <c r="EG62630"/>
      <c r="EH62630"/>
      <c r="EI62630"/>
      <c r="EJ62630"/>
      <c r="EK62630"/>
    </row>
    <row r="62631" spans="1:141" s="116" customFormat="1">
      <c r="A62631" s="136"/>
      <c r="CM62631" s="111"/>
      <c r="CQ62631" s="111"/>
      <c r="EF62631"/>
      <c r="EG62631"/>
      <c r="EH62631"/>
      <c r="EI62631"/>
      <c r="EJ62631"/>
      <c r="EK62631"/>
    </row>
    <row r="62632" spans="1:141" s="116" customFormat="1">
      <c r="A62632" s="136"/>
      <c r="CM62632" s="111"/>
      <c r="CQ62632" s="111"/>
      <c r="EF62632"/>
      <c r="EG62632"/>
      <c r="EH62632"/>
      <c r="EI62632"/>
      <c r="EJ62632"/>
      <c r="EK62632"/>
    </row>
    <row r="62633" spans="1:141" s="116" customFormat="1">
      <c r="A62633" s="136"/>
      <c r="CM62633" s="111"/>
      <c r="CQ62633" s="111"/>
      <c r="EF62633"/>
      <c r="EG62633"/>
      <c r="EH62633"/>
      <c r="EI62633"/>
      <c r="EJ62633"/>
      <c r="EK62633"/>
    </row>
    <row r="62634" spans="1:141" s="116" customFormat="1">
      <c r="A62634" s="136"/>
      <c r="CM62634" s="111"/>
      <c r="CQ62634" s="111"/>
      <c r="EF62634"/>
      <c r="EG62634"/>
      <c r="EH62634"/>
      <c r="EI62634"/>
      <c r="EJ62634"/>
      <c r="EK62634"/>
    </row>
    <row r="62635" spans="1:141" s="116" customFormat="1">
      <c r="A62635" s="136"/>
      <c r="CM62635" s="111"/>
      <c r="CQ62635" s="111"/>
      <c r="EF62635"/>
      <c r="EG62635"/>
      <c r="EH62635"/>
      <c r="EI62635"/>
      <c r="EJ62635"/>
      <c r="EK62635"/>
    </row>
    <row r="62636" spans="1:141" s="116" customFormat="1">
      <c r="A62636" s="136"/>
      <c r="CM62636" s="111"/>
      <c r="CQ62636" s="111"/>
      <c r="EF62636"/>
      <c r="EG62636"/>
      <c r="EH62636"/>
      <c r="EI62636"/>
      <c r="EJ62636"/>
      <c r="EK62636"/>
    </row>
    <row r="62637" spans="1:141" s="116" customFormat="1">
      <c r="A62637" s="136"/>
      <c r="CM62637" s="111"/>
      <c r="CQ62637" s="111"/>
      <c r="EF62637"/>
      <c r="EG62637"/>
      <c r="EH62637"/>
      <c r="EI62637"/>
      <c r="EJ62637"/>
      <c r="EK62637"/>
    </row>
    <row r="62638" spans="1:141" s="116" customFormat="1">
      <c r="A62638" s="136"/>
      <c r="CM62638" s="111"/>
      <c r="CQ62638" s="111"/>
      <c r="EF62638"/>
      <c r="EG62638"/>
      <c r="EH62638"/>
      <c r="EI62638"/>
      <c r="EJ62638"/>
      <c r="EK62638"/>
    </row>
    <row r="62639" spans="1:141" s="116" customFormat="1">
      <c r="A62639" s="136"/>
      <c r="CM62639" s="111"/>
      <c r="CQ62639" s="111"/>
      <c r="EF62639"/>
      <c r="EG62639"/>
      <c r="EH62639"/>
      <c r="EI62639"/>
      <c r="EJ62639"/>
      <c r="EK62639"/>
    </row>
    <row r="62640" spans="1:141" s="116" customFormat="1">
      <c r="A62640" s="136"/>
      <c r="CM62640" s="111"/>
      <c r="CQ62640" s="111"/>
      <c r="EF62640"/>
      <c r="EG62640"/>
      <c r="EH62640"/>
      <c r="EI62640"/>
      <c r="EJ62640"/>
      <c r="EK62640"/>
    </row>
    <row r="62641" spans="1:141" s="116" customFormat="1">
      <c r="A62641" s="136"/>
      <c r="CM62641" s="111"/>
      <c r="CQ62641" s="111"/>
      <c r="EF62641"/>
      <c r="EG62641"/>
      <c r="EH62641"/>
      <c r="EI62641"/>
      <c r="EJ62641"/>
      <c r="EK62641"/>
    </row>
    <row r="62642" spans="1:141" s="116" customFormat="1">
      <c r="A62642" s="136"/>
      <c r="CM62642" s="111"/>
      <c r="CQ62642" s="111"/>
      <c r="EF62642"/>
      <c r="EG62642"/>
      <c r="EH62642"/>
      <c r="EI62642"/>
      <c r="EJ62642"/>
      <c r="EK62642"/>
    </row>
    <row r="62643" spans="1:141" s="116" customFormat="1">
      <c r="A62643" s="136"/>
      <c r="CM62643" s="111"/>
      <c r="CQ62643" s="111"/>
      <c r="EF62643"/>
      <c r="EG62643"/>
      <c r="EH62643"/>
      <c r="EI62643"/>
      <c r="EJ62643"/>
      <c r="EK62643"/>
    </row>
    <row r="62644" spans="1:141" s="116" customFormat="1">
      <c r="A62644" s="136"/>
      <c r="CM62644" s="111"/>
      <c r="CQ62644" s="111"/>
      <c r="EF62644"/>
      <c r="EG62644"/>
      <c r="EH62644"/>
      <c r="EI62644"/>
      <c r="EJ62644"/>
      <c r="EK62644"/>
    </row>
    <row r="62645" spans="1:141" s="116" customFormat="1">
      <c r="A62645" s="136"/>
      <c r="CM62645" s="111"/>
      <c r="CQ62645" s="111"/>
      <c r="EF62645"/>
      <c r="EG62645"/>
      <c r="EH62645"/>
      <c r="EI62645"/>
      <c r="EJ62645"/>
      <c r="EK62645"/>
    </row>
    <row r="62646" spans="1:141" s="116" customFormat="1">
      <c r="A62646" s="136"/>
      <c r="CM62646" s="111"/>
      <c r="CQ62646" s="111"/>
      <c r="EF62646"/>
      <c r="EG62646"/>
      <c r="EH62646"/>
      <c r="EI62646"/>
      <c r="EJ62646"/>
      <c r="EK62646"/>
    </row>
    <row r="62647" spans="1:141" s="116" customFormat="1">
      <c r="A62647" s="136"/>
      <c r="CM62647" s="111"/>
      <c r="CQ62647" s="111"/>
      <c r="EF62647"/>
      <c r="EG62647"/>
      <c r="EH62647"/>
      <c r="EI62647"/>
      <c r="EJ62647"/>
      <c r="EK62647"/>
    </row>
    <row r="62648" spans="1:141" s="116" customFormat="1">
      <c r="A62648" s="136"/>
      <c r="CM62648" s="111"/>
      <c r="CQ62648" s="111"/>
      <c r="EF62648"/>
      <c r="EG62648"/>
      <c r="EH62648"/>
      <c r="EI62648"/>
      <c r="EJ62648"/>
      <c r="EK62648"/>
    </row>
    <row r="62649" spans="1:141" s="116" customFormat="1">
      <c r="A62649" s="136"/>
      <c r="CM62649" s="111"/>
      <c r="CQ62649" s="111"/>
      <c r="EF62649"/>
      <c r="EG62649"/>
      <c r="EH62649"/>
      <c r="EI62649"/>
      <c r="EJ62649"/>
      <c r="EK62649"/>
    </row>
    <row r="62650" spans="1:141" s="116" customFormat="1">
      <c r="A62650" s="136"/>
      <c r="CM62650" s="111"/>
      <c r="CQ62650" s="111"/>
      <c r="EF62650"/>
      <c r="EG62650"/>
      <c r="EH62650"/>
      <c r="EI62650"/>
      <c r="EJ62650"/>
      <c r="EK62650"/>
    </row>
    <row r="62651" spans="1:141" s="116" customFormat="1">
      <c r="A62651" s="136"/>
      <c r="CM62651" s="111"/>
      <c r="CQ62651" s="111"/>
      <c r="EF62651"/>
      <c r="EG62651"/>
      <c r="EH62651"/>
      <c r="EI62651"/>
      <c r="EJ62651"/>
      <c r="EK62651"/>
    </row>
    <row r="62652" spans="1:141" s="116" customFormat="1">
      <c r="A62652" s="136"/>
      <c r="CM62652" s="111"/>
      <c r="CQ62652" s="111"/>
      <c r="EF62652"/>
      <c r="EG62652"/>
      <c r="EH62652"/>
      <c r="EI62652"/>
      <c r="EJ62652"/>
      <c r="EK62652"/>
    </row>
    <row r="62653" spans="1:141" s="116" customFormat="1">
      <c r="A62653" s="136"/>
      <c r="CM62653" s="111"/>
      <c r="CQ62653" s="111"/>
      <c r="EF62653"/>
      <c r="EG62653"/>
      <c r="EH62653"/>
      <c r="EI62653"/>
      <c r="EJ62653"/>
      <c r="EK62653"/>
    </row>
    <row r="62654" spans="1:141" s="116" customFormat="1">
      <c r="A62654" s="136"/>
      <c r="CM62654" s="111"/>
      <c r="CQ62654" s="111"/>
      <c r="EF62654"/>
      <c r="EG62654"/>
      <c r="EH62654"/>
      <c r="EI62654"/>
      <c r="EJ62654"/>
      <c r="EK62654"/>
    </row>
    <row r="62655" spans="1:141" s="116" customFormat="1">
      <c r="A62655" s="136"/>
      <c r="CM62655" s="111"/>
      <c r="CQ62655" s="111"/>
      <c r="EF62655"/>
      <c r="EG62655"/>
      <c r="EH62655"/>
      <c r="EI62655"/>
      <c r="EJ62655"/>
      <c r="EK62655"/>
    </row>
    <row r="62656" spans="1:141" s="116" customFormat="1">
      <c r="A62656" s="136"/>
      <c r="CM62656" s="111"/>
      <c r="CQ62656" s="111"/>
      <c r="EF62656"/>
      <c r="EG62656"/>
      <c r="EH62656"/>
      <c r="EI62656"/>
      <c r="EJ62656"/>
      <c r="EK62656"/>
    </row>
    <row r="62657" spans="1:141" s="116" customFormat="1">
      <c r="A62657" s="136"/>
      <c r="CM62657" s="111"/>
      <c r="CQ62657" s="111"/>
      <c r="EF62657"/>
      <c r="EG62657"/>
      <c r="EH62657"/>
      <c r="EI62657"/>
      <c r="EJ62657"/>
      <c r="EK62657"/>
    </row>
    <row r="62658" spans="1:141" s="116" customFormat="1">
      <c r="A62658" s="136"/>
      <c r="CM62658" s="111"/>
      <c r="CQ62658" s="111"/>
      <c r="EF62658"/>
      <c r="EG62658"/>
      <c r="EH62658"/>
      <c r="EI62658"/>
      <c r="EJ62658"/>
      <c r="EK62658"/>
    </row>
    <row r="62659" spans="1:141" s="116" customFormat="1">
      <c r="A62659" s="136"/>
      <c r="CM62659" s="111"/>
      <c r="CQ62659" s="111"/>
      <c r="EF62659"/>
      <c r="EG62659"/>
      <c r="EH62659"/>
      <c r="EI62659"/>
      <c r="EJ62659"/>
      <c r="EK62659"/>
    </row>
    <row r="62660" spans="1:141" s="116" customFormat="1">
      <c r="A62660" s="136"/>
      <c r="CM62660" s="111"/>
      <c r="CQ62660" s="111"/>
      <c r="EF62660"/>
      <c r="EG62660"/>
      <c r="EH62660"/>
      <c r="EI62660"/>
      <c r="EJ62660"/>
      <c r="EK62660"/>
    </row>
    <row r="62661" spans="1:141" s="116" customFormat="1">
      <c r="A62661" s="136"/>
      <c r="CM62661" s="111"/>
      <c r="CQ62661" s="111"/>
      <c r="EF62661"/>
      <c r="EG62661"/>
      <c r="EH62661"/>
      <c r="EI62661"/>
      <c r="EJ62661"/>
      <c r="EK62661"/>
    </row>
    <row r="62662" spans="1:141" s="116" customFormat="1">
      <c r="A62662" s="136"/>
      <c r="CM62662" s="111"/>
      <c r="CQ62662" s="111"/>
      <c r="EF62662"/>
      <c r="EG62662"/>
      <c r="EH62662"/>
      <c r="EI62662"/>
      <c r="EJ62662"/>
      <c r="EK62662"/>
    </row>
    <row r="62663" spans="1:141" s="116" customFormat="1">
      <c r="A62663" s="136"/>
      <c r="CM62663" s="111"/>
      <c r="CQ62663" s="111"/>
      <c r="EF62663"/>
      <c r="EG62663"/>
      <c r="EH62663"/>
      <c r="EI62663"/>
      <c r="EJ62663"/>
      <c r="EK62663"/>
    </row>
    <row r="62664" spans="1:141" s="116" customFormat="1">
      <c r="A62664" s="136"/>
      <c r="CM62664" s="111"/>
      <c r="CQ62664" s="111"/>
      <c r="EF62664"/>
      <c r="EG62664"/>
      <c r="EH62664"/>
      <c r="EI62664"/>
      <c r="EJ62664"/>
      <c r="EK62664"/>
    </row>
    <row r="62665" spans="1:141" s="116" customFormat="1">
      <c r="A62665" s="136"/>
      <c r="CM62665" s="111"/>
      <c r="CQ62665" s="111"/>
      <c r="EF62665"/>
      <c r="EG62665"/>
      <c r="EH62665"/>
      <c r="EI62665"/>
      <c r="EJ62665"/>
      <c r="EK62665"/>
    </row>
    <row r="62666" spans="1:141" s="116" customFormat="1">
      <c r="A62666" s="136"/>
      <c r="CM62666" s="111"/>
      <c r="CQ62666" s="111"/>
      <c r="EF62666"/>
      <c r="EG62666"/>
      <c r="EH62666"/>
      <c r="EI62666"/>
      <c r="EJ62666"/>
      <c r="EK62666"/>
    </row>
    <row r="62667" spans="1:141" s="116" customFormat="1">
      <c r="A62667" s="136"/>
      <c r="CM62667" s="111"/>
      <c r="CQ62667" s="111"/>
      <c r="EF62667"/>
      <c r="EG62667"/>
      <c r="EH62667"/>
      <c r="EI62667"/>
      <c r="EJ62667"/>
      <c r="EK62667"/>
    </row>
    <row r="62668" spans="1:141" s="116" customFormat="1">
      <c r="A62668" s="136"/>
      <c r="CM62668" s="111"/>
      <c r="CQ62668" s="111"/>
      <c r="EF62668"/>
      <c r="EG62668"/>
      <c r="EH62668"/>
      <c r="EI62668"/>
      <c r="EJ62668"/>
      <c r="EK62668"/>
    </row>
    <row r="62669" spans="1:141" s="116" customFormat="1">
      <c r="A62669" s="136"/>
      <c r="CM62669" s="111"/>
      <c r="CQ62669" s="111"/>
      <c r="EF62669"/>
      <c r="EG62669"/>
      <c r="EH62669"/>
      <c r="EI62669"/>
      <c r="EJ62669"/>
      <c r="EK62669"/>
    </row>
    <row r="62670" spans="1:141" s="116" customFormat="1">
      <c r="A62670" s="136"/>
      <c r="CM62670" s="111"/>
      <c r="CQ62670" s="111"/>
      <c r="EF62670"/>
      <c r="EG62670"/>
      <c r="EH62670"/>
      <c r="EI62670"/>
      <c r="EJ62670"/>
      <c r="EK62670"/>
    </row>
    <row r="62671" spans="1:141" s="116" customFormat="1">
      <c r="A62671" s="136"/>
      <c r="CM62671" s="111"/>
      <c r="CQ62671" s="111"/>
      <c r="EF62671"/>
      <c r="EG62671"/>
      <c r="EH62671"/>
      <c r="EI62671"/>
      <c r="EJ62671"/>
      <c r="EK62671"/>
    </row>
    <row r="62672" spans="1:141" s="116" customFormat="1">
      <c r="A62672" s="136"/>
      <c r="CM62672" s="111"/>
      <c r="CQ62672" s="111"/>
      <c r="EF62672"/>
      <c r="EG62672"/>
      <c r="EH62672"/>
      <c r="EI62672"/>
      <c r="EJ62672"/>
      <c r="EK62672"/>
    </row>
    <row r="62673" spans="1:141" s="116" customFormat="1">
      <c r="A62673" s="136"/>
      <c r="CM62673" s="111"/>
      <c r="CQ62673" s="111"/>
      <c r="EF62673"/>
      <c r="EG62673"/>
      <c r="EH62673"/>
      <c r="EI62673"/>
      <c r="EJ62673"/>
      <c r="EK62673"/>
    </row>
    <row r="62674" spans="1:141" s="116" customFormat="1">
      <c r="A62674" s="136"/>
      <c r="CM62674" s="111"/>
      <c r="CQ62674" s="111"/>
      <c r="EF62674"/>
      <c r="EG62674"/>
      <c r="EH62674"/>
      <c r="EI62674"/>
      <c r="EJ62674"/>
      <c r="EK62674"/>
    </row>
    <row r="62675" spans="1:141" s="116" customFormat="1">
      <c r="A62675" s="136"/>
      <c r="CM62675" s="111"/>
      <c r="CQ62675" s="111"/>
      <c r="EF62675"/>
      <c r="EG62675"/>
      <c r="EH62675"/>
      <c r="EI62675"/>
      <c r="EJ62675"/>
      <c r="EK62675"/>
    </row>
    <row r="62676" spans="1:141" s="116" customFormat="1">
      <c r="A62676" s="136"/>
      <c r="CM62676" s="111"/>
      <c r="CQ62676" s="111"/>
      <c r="EF62676"/>
      <c r="EG62676"/>
      <c r="EH62676"/>
      <c r="EI62676"/>
      <c r="EJ62676"/>
      <c r="EK62676"/>
    </row>
    <row r="62677" spans="1:141" s="116" customFormat="1">
      <c r="A62677" s="136"/>
      <c r="CM62677" s="111"/>
      <c r="CQ62677" s="111"/>
      <c r="EF62677"/>
      <c r="EG62677"/>
      <c r="EH62677"/>
      <c r="EI62677"/>
      <c r="EJ62677"/>
      <c r="EK62677"/>
    </row>
    <row r="62678" spans="1:141" s="116" customFormat="1">
      <c r="A62678" s="136"/>
      <c r="CM62678" s="111"/>
      <c r="CQ62678" s="111"/>
      <c r="EF62678"/>
      <c r="EG62678"/>
      <c r="EH62678"/>
      <c r="EI62678"/>
      <c r="EJ62678"/>
      <c r="EK62678"/>
    </row>
    <row r="62679" spans="1:141" s="116" customFormat="1">
      <c r="A62679" s="136"/>
      <c r="CM62679" s="111"/>
      <c r="CQ62679" s="111"/>
      <c r="EF62679"/>
      <c r="EG62679"/>
      <c r="EH62679"/>
      <c r="EI62679"/>
      <c r="EJ62679"/>
      <c r="EK62679"/>
    </row>
    <row r="62680" spans="1:141" s="116" customFormat="1">
      <c r="A62680" s="136"/>
      <c r="CM62680" s="111"/>
      <c r="CQ62680" s="111"/>
      <c r="EF62680"/>
      <c r="EG62680"/>
      <c r="EH62680"/>
      <c r="EI62680"/>
      <c r="EJ62680"/>
      <c r="EK62680"/>
    </row>
    <row r="62681" spans="1:141" s="116" customFormat="1">
      <c r="A62681" s="136"/>
      <c r="CM62681" s="111"/>
      <c r="CQ62681" s="111"/>
      <c r="EF62681"/>
      <c r="EG62681"/>
      <c r="EH62681"/>
      <c r="EI62681"/>
      <c r="EJ62681"/>
      <c r="EK62681"/>
    </row>
    <row r="62682" spans="1:141" s="116" customFormat="1">
      <c r="A62682" s="136"/>
      <c r="CM62682" s="111"/>
      <c r="CQ62682" s="111"/>
      <c r="EF62682"/>
      <c r="EG62682"/>
      <c r="EH62682"/>
      <c r="EI62682"/>
      <c r="EJ62682"/>
      <c r="EK62682"/>
    </row>
    <row r="62683" spans="1:141" s="116" customFormat="1">
      <c r="A62683" s="136"/>
      <c r="CM62683" s="111"/>
      <c r="CQ62683" s="111"/>
      <c r="EF62683"/>
      <c r="EG62683"/>
      <c r="EH62683"/>
      <c r="EI62683"/>
      <c r="EJ62683"/>
      <c r="EK62683"/>
    </row>
    <row r="62684" spans="1:141" s="116" customFormat="1">
      <c r="A62684" s="136"/>
      <c r="CM62684" s="111"/>
      <c r="CQ62684" s="111"/>
      <c r="EF62684"/>
      <c r="EG62684"/>
      <c r="EH62684"/>
      <c r="EI62684"/>
      <c r="EJ62684"/>
      <c r="EK62684"/>
    </row>
    <row r="62685" spans="1:141" s="116" customFormat="1">
      <c r="A62685" s="136"/>
      <c r="CM62685" s="111"/>
      <c r="CQ62685" s="111"/>
      <c r="EF62685"/>
      <c r="EG62685"/>
      <c r="EH62685"/>
      <c r="EI62685"/>
      <c r="EJ62685"/>
      <c r="EK62685"/>
    </row>
    <row r="62686" spans="1:141" s="116" customFormat="1">
      <c r="A62686" s="136"/>
      <c r="CM62686" s="111"/>
      <c r="CQ62686" s="111"/>
      <c r="EF62686"/>
      <c r="EG62686"/>
      <c r="EH62686"/>
      <c r="EI62686"/>
      <c r="EJ62686"/>
      <c r="EK62686"/>
    </row>
    <row r="62687" spans="1:141" s="116" customFormat="1">
      <c r="A62687" s="136"/>
      <c r="CM62687" s="111"/>
      <c r="CQ62687" s="111"/>
      <c r="EF62687"/>
      <c r="EG62687"/>
      <c r="EH62687"/>
      <c r="EI62687"/>
      <c r="EJ62687"/>
      <c r="EK62687"/>
    </row>
    <row r="62688" spans="1:141" s="116" customFormat="1">
      <c r="A62688" s="136"/>
      <c r="CM62688" s="111"/>
      <c r="CQ62688" s="111"/>
      <c r="EF62688"/>
      <c r="EG62688"/>
      <c r="EH62688"/>
      <c r="EI62688"/>
      <c r="EJ62688"/>
      <c r="EK62688"/>
    </row>
    <row r="62689" spans="1:141" s="116" customFormat="1">
      <c r="A62689" s="136"/>
      <c r="CM62689" s="111"/>
      <c r="CQ62689" s="111"/>
      <c r="EF62689"/>
      <c r="EG62689"/>
      <c r="EH62689"/>
      <c r="EI62689"/>
      <c r="EJ62689"/>
      <c r="EK62689"/>
    </row>
    <row r="62690" spans="1:141" s="116" customFormat="1">
      <c r="A62690" s="136"/>
      <c r="CM62690" s="111"/>
      <c r="CQ62690" s="111"/>
      <c r="EF62690"/>
      <c r="EG62690"/>
      <c r="EH62690"/>
      <c r="EI62690"/>
      <c r="EJ62690"/>
      <c r="EK62690"/>
    </row>
    <row r="62691" spans="1:141" s="116" customFormat="1">
      <c r="A62691" s="136"/>
      <c r="CM62691" s="111"/>
      <c r="CQ62691" s="111"/>
      <c r="EF62691"/>
      <c r="EG62691"/>
      <c r="EH62691"/>
      <c r="EI62691"/>
      <c r="EJ62691"/>
      <c r="EK62691"/>
    </row>
    <row r="62692" spans="1:141" s="116" customFormat="1">
      <c r="A62692" s="136"/>
      <c r="CM62692" s="111"/>
      <c r="CQ62692" s="111"/>
      <c r="EF62692"/>
      <c r="EG62692"/>
      <c r="EH62692"/>
      <c r="EI62692"/>
      <c r="EJ62692"/>
      <c r="EK62692"/>
    </row>
    <row r="62693" spans="1:141" s="116" customFormat="1">
      <c r="A62693" s="136"/>
      <c r="CM62693" s="111"/>
      <c r="CQ62693" s="111"/>
      <c r="EF62693"/>
      <c r="EG62693"/>
      <c r="EH62693"/>
      <c r="EI62693"/>
      <c r="EJ62693"/>
      <c r="EK62693"/>
    </row>
    <row r="62694" spans="1:141" s="116" customFormat="1">
      <c r="A62694" s="136"/>
      <c r="CM62694" s="111"/>
      <c r="CQ62694" s="111"/>
      <c r="EF62694"/>
      <c r="EG62694"/>
      <c r="EH62694"/>
      <c r="EI62694"/>
      <c r="EJ62694"/>
      <c r="EK62694"/>
    </row>
    <row r="62695" spans="1:141" s="116" customFormat="1">
      <c r="A62695" s="136"/>
      <c r="CM62695" s="111"/>
      <c r="CQ62695" s="111"/>
      <c r="EF62695"/>
      <c r="EG62695"/>
      <c r="EH62695"/>
      <c r="EI62695"/>
      <c r="EJ62695"/>
      <c r="EK62695"/>
    </row>
    <row r="62696" spans="1:141" s="116" customFormat="1">
      <c r="A62696" s="136"/>
      <c r="CM62696" s="111"/>
      <c r="CQ62696" s="111"/>
      <c r="EF62696"/>
      <c r="EG62696"/>
      <c r="EH62696"/>
      <c r="EI62696"/>
      <c r="EJ62696"/>
      <c r="EK62696"/>
    </row>
    <row r="62697" spans="1:141" s="116" customFormat="1">
      <c r="A62697" s="136"/>
      <c r="CM62697" s="111"/>
      <c r="CQ62697" s="111"/>
      <c r="EF62697"/>
      <c r="EG62697"/>
      <c r="EH62697"/>
      <c r="EI62697"/>
      <c r="EJ62697"/>
      <c r="EK62697"/>
    </row>
    <row r="62698" spans="1:141" s="116" customFormat="1">
      <c r="A62698" s="136"/>
      <c r="CM62698" s="111"/>
      <c r="CQ62698" s="111"/>
      <c r="EF62698"/>
      <c r="EG62698"/>
      <c r="EH62698"/>
      <c r="EI62698"/>
      <c r="EJ62698"/>
      <c r="EK62698"/>
    </row>
    <row r="62699" spans="1:141" s="116" customFormat="1">
      <c r="A62699" s="136"/>
      <c r="CM62699" s="111"/>
      <c r="CQ62699" s="111"/>
      <c r="EF62699"/>
      <c r="EG62699"/>
      <c r="EH62699"/>
      <c r="EI62699"/>
      <c r="EJ62699"/>
      <c r="EK62699"/>
    </row>
    <row r="62700" spans="1:141" s="116" customFormat="1">
      <c r="A62700" s="136"/>
      <c r="CM62700" s="111"/>
      <c r="CQ62700" s="111"/>
      <c r="EF62700"/>
      <c r="EG62700"/>
      <c r="EH62700"/>
      <c r="EI62700"/>
      <c r="EJ62700"/>
      <c r="EK62700"/>
    </row>
    <row r="62701" spans="1:141" s="116" customFormat="1">
      <c r="A62701" s="136"/>
      <c r="CM62701" s="111"/>
      <c r="CQ62701" s="111"/>
      <c r="EF62701"/>
      <c r="EG62701"/>
      <c r="EH62701"/>
      <c r="EI62701"/>
      <c r="EJ62701"/>
      <c r="EK62701"/>
    </row>
    <row r="62702" spans="1:141" s="116" customFormat="1">
      <c r="A62702" s="136"/>
      <c r="CM62702" s="111"/>
      <c r="CQ62702" s="111"/>
      <c r="EF62702"/>
      <c r="EG62702"/>
      <c r="EH62702"/>
      <c r="EI62702"/>
      <c r="EJ62702"/>
      <c r="EK62702"/>
    </row>
    <row r="62703" spans="1:141" s="116" customFormat="1">
      <c r="A62703" s="136"/>
      <c r="CM62703" s="111"/>
      <c r="CQ62703" s="111"/>
      <c r="EF62703"/>
      <c r="EG62703"/>
      <c r="EH62703"/>
      <c r="EI62703"/>
      <c r="EJ62703"/>
      <c r="EK62703"/>
    </row>
    <row r="62704" spans="1:141" s="116" customFormat="1">
      <c r="A62704" s="136"/>
      <c r="CM62704" s="111"/>
      <c r="CQ62704" s="111"/>
      <c r="EF62704"/>
      <c r="EG62704"/>
      <c r="EH62704"/>
      <c r="EI62704"/>
      <c r="EJ62704"/>
      <c r="EK62704"/>
    </row>
    <row r="62705" spans="1:141" s="116" customFormat="1">
      <c r="A62705" s="136"/>
      <c r="CM62705" s="111"/>
      <c r="CQ62705" s="111"/>
      <c r="EF62705"/>
      <c r="EG62705"/>
      <c r="EH62705"/>
      <c r="EI62705"/>
      <c r="EJ62705"/>
      <c r="EK62705"/>
    </row>
    <row r="62706" spans="1:141" s="116" customFormat="1">
      <c r="A62706" s="136"/>
      <c r="CM62706" s="111"/>
      <c r="CQ62706" s="111"/>
      <c r="EF62706"/>
      <c r="EG62706"/>
      <c r="EH62706"/>
      <c r="EI62706"/>
      <c r="EJ62706"/>
      <c r="EK62706"/>
    </row>
    <row r="62707" spans="1:141" s="116" customFormat="1">
      <c r="A62707" s="136"/>
      <c r="CM62707" s="111"/>
      <c r="CQ62707" s="111"/>
      <c r="EF62707"/>
      <c r="EG62707"/>
      <c r="EH62707"/>
      <c r="EI62707"/>
      <c r="EJ62707"/>
      <c r="EK62707"/>
    </row>
    <row r="62708" spans="1:141" s="116" customFormat="1">
      <c r="A62708" s="136"/>
      <c r="CM62708" s="111"/>
      <c r="CQ62708" s="111"/>
      <c r="EF62708"/>
      <c r="EG62708"/>
      <c r="EH62708"/>
      <c r="EI62708"/>
      <c r="EJ62708"/>
      <c r="EK62708"/>
    </row>
    <row r="62709" spans="1:141" s="116" customFormat="1">
      <c r="A62709" s="136"/>
      <c r="CM62709" s="111"/>
      <c r="CQ62709" s="111"/>
      <c r="EF62709"/>
      <c r="EG62709"/>
      <c r="EH62709"/>
      <c r="EI62709"/>
      <c r="EJ62709"/>
      <c r="EK62709"/>
    </row>
    <row r="62710" spans="1:141" s="116" customFormat="1">
      <c r="A62710" s="136"/>
      <c r="CM62710" s="111"/>
      <c r="CQ62710" s="111"/>
      <c r="EF62710"/>
      <c r="EG62710"/>
      <c r="EH62710"/>
      <c r="EI62710"/>
      <c r="EJ62710"/>
      <c r="EK62710"/>
    </row>
    <row r="62711" spans="1:141" s="116" customFormat="1">
      <c r="A62711" s="136"/>
      <c r="CM62711" s="111"/>
      <c r="CQ62711" s="111"/>
      <c r="EF62711"/>
      <c r="EG62711"/>
      <c r="EH62711"/>
      <c r="EI62711"/>
      <c r="EJ62711"/>
      <c r="EK62711"/>
    </row>
    <row r="62712" spans="1:141" s="116" customFormat="1">
      <c r="A62712" s="136"/>
      <c r="CM62712" s="111"/>
      <c r="CQ62712" s="111"/>
      <c r="EF62712"/>
      <c r="EG62712"/>
      <c r="EH62712"/>
      <c r="EI62712"/>
      <c r="EJ62712"/>
      <c r="EK62712"/>
    </row>
    <row r="62713" spans="1:141" s="116" customFormat="1">
      <c r="A62713" s="136"/>
      <c r="CM62713" s="111"/>
      <c r="CQ62713" s="111"/>
      <c r="EF62713"/>
      <c r="EG62713"/>
      <c r="EH62713"/>
      <c r="EI62713"/>
      <c r="EJ62713"/>
      <c r="EK62713"/>
    </row>
    <row r="62714" spans="1:141" s="116" customFormat="1">
      <c r="A62714" s="136"/>
      <c r="CM62714" s="111"/>
      <c r="CQ62714" s="111"/>
      <c r="EF62714"/>
      <c r="EG62714"/>
      <c r="EH62714"/>
      <c r="EI62714"/>
      <c r="EJ62714"/>
      <c r="EK62714"/>
    </row>
    <row r="62715" spans="1:141" s="116" customFormat="1">
      <c r="A62715" s="136"/>
      <c r="CM62715" s="111"/>
      <c r="CQ62715" s="111"/>
      <c r="EF62715"/>
      <c r="EG62715"/>
      <c r="EH62715"/>
      <c r="EI62715"/>
      <c r="EJ62715"/>
      <c r="EK62715"/>
    </row>
    <row r="62716" spans="1:141" s="116" customFormat="1">
      <c r="A62716" s="136"/>
      <c r="CM62716" s="111"/>
      <c r="CQ62716" s="111"/>
      <c r="EF62716"/>
      <c r="EG62716"/>
      <c r="EH62716"/>
      <c r="EI62716"/>
      <c r="EJ62716"/>
      <c r="EK62716"/>
    </row>
    <row r="62717" spans="1:141" s="116" customFormat="1">
      <c r="A62717" s="136"/>
      <c r="CM62717" s="111"/>
      <c r="CQ62717" s="111"/>
      <c r="EF62717"/>
      <c r="EG62717"/>
      <c r="EH62717"/>
      <c r="EI62717"/>
      <c r="EJ62717"/>
      <c r="EK62717"/>
    </row>
    <row r="62718" spans="1:141" s="116" customFormat="1">
      <c r="A62718" s="136"/>
      <c r="CM62718" s="111"/>
      <c r="CQ62718" s="111"/>
      <c r="EF62718"/>
      <c r="EG62718"/>
      <c r="EH62718"/>
      <c r="EI62718"/>
      <c r="EJ62718"/>
      <c r="EK62718"/>
    </row>
    <row r="62719" spans="1:141" s="116" customFormat="1">
      <c r="A62719" s="136"/>
      <c r="CM62719" s="111"/>
      <c r="CQ62719" s="111"/>
      <c r="EF62719"/>
      <c r="EG62719"/>
      <c r="EH62719"/>
      <c r="EI62719"/>
      <c r="EJ62719"/>
      <c r="EK62719"/>
    </row>
    <row r="62720" spans="1:141" s="116" customFormat="1">
      <c r="A62720" s="136"/>
      <c r="CM62720" s="111"/>
      <c r="CQ62720" s="111"/>
      <c r="EF62720"/>
      <c r="EG62720"/>
      <c r="EH62720"/>
      <c r="EI62720"/>
      <c r="EJ62720"/>
      <c r="EK62720"/>
    </row>
    <row r="62721" spans="1:141" s="116" customFormat="1">
      <c r="A62721" s="136"/>
      <c r="CM62721" s="111"/>
      <c r="CQ62721" s="111"/>
      <c r="EF62721"/>
      <c r="EG62721"/>
      <c r="EH62721"/>
      <c r="EI62721"/>
      <c r="EJ62721"/>
      <c r="EK62721"/>
    </row>
    <row r="62722" spans="1:141" s="116" customFormat="1">
      <c r="A62722" s="136"/>
      <c r="CM62722" s="111"/>
      <c r="CQ62722" s="111"/>
      <c r="EF62722"/>
      <c r="EG62722"/>
      <c r="EH62722"/>
      <c r="EI62722"/>
      <c r="EJ62722"/>
      <c r="EK62722"/>
    </row>
    <row r="62723" spans="1:141" s="116" customFormat="1">
      <c r="A62723" s="136"/>
      <c r="CM62723" s="111"/>
      <c r="CQ62723" s="111"/>
      <c r="EF62723"/>
      <c r="EG62723"/>
      <c r="EH62723"/>
      <c r="EI62723"/>
      <c r="EJ62723"/>
      <c r="EK62723"/>
    </row>
    <row r="62724" spans="1:141" s="116" customFormat="1">
      <c r="A62724" s="136"/>
      <c r="CM62724" s="111"/>
      <c r="CQ62724" s="111"/>
      <c r="EF62724"/>
      <c r="EG62724"/>
      <c r="EH62724"/>
      <c r="EI62724"/>
      <c r="EJ62724"/>
      <c r="EK62724"/>
    </row>
    <row r="62725" spans="1:141" s="116" customFormat="1">
      <c r="A62725" s="136"/>
      <c r="CM62725" s="111"/>
      <c r="CQ62725" s="111"/>
      <c r="EF62725"/>
      <c r="EG62725"/>
      <c r="EH62725"/>
      <c r="EI62725"/>
      <c r="EJ62725"/>
      <c r="EK62725"/>
    </row>
    <row r="62726" spans="1:141" s="116" customFormat="1">
      <c r="A62726" s="136"/>
      <c r="CM62726" s="111"/>
      <c r="CQ62726" s="111"/>
      <c r="EF62726"/>
      <c r="EG62726"/>
      <c r="EH62726"/>
      <c r="EI62726"/>
      <c r="EJ62726"/>
      <c r="EK62726"/>
    </row>
    <row r="62727" spans="1:141" s="116" customFormat="1">
      <c r="A62727" s="136"/>
      <c r="CM62727" s="111"/>
      <c r="CQ62727" s="111"/>
      <c r="EF62727"/>
      <c r="EG62727"/>
      <c r="EH62727"/>
      <c r="EI62727"/>
      <c r="EJ62727"/>
      <c r="EK62727"/>
    </row>
    <row r="62728" spans="1:141" s="116" customFormat="1">
      <c r="A62728" s="136"/>
      <c r="CM62728" s="111"/>
      <c r="CQ62728" s="111"/>
      <c r="EF62728"/>
      <c r="EG62728"/>
      <c r="EH62728"/>
      <c r="EI62728"/>
      <c r="EJ62728"/>
      <c r="EK62728"/>
    </row>
    <row r="62729" spans="1:141" s="116" customFormat="1">
      <c r="A62729" s="136"/>
      <c r="CM62729" s="111"/>
      <c r="CQ62729" s="111"/>
      <c r="EF62729"/>
      <c r="EG62729"/>
      <c r="EH62729"/>
      <c r="EI62729"/>
      <c r="EJ62729"/>
      <c r="EK62729"/>
    </row>
    <row r="62730" spans="1:141" s="116" customFormat="1">
      <c r="A62730" s="136"/>
      <c r="CM62730" s="111"/>
      <c r="CQ62730" s="111"/>
      <c r="EF62730"/>
      <c r="EG62730"/>
      <c r="EH62730"/>
      <c r="EI62730"/>
      <c r="EJ62730"/>
      <c r="EK62730"/>
    </row>
    <row r="62731" spans="1:141" s="116" customFormat="1">
      <c r="A62731" s="136"/>
      <c r="CM62731" s="111"/>
      <c r="CQ62731" s="111"/>
      <c r="EF62731"/>
      <c r="EG62731"/>
      <c r="EH62731"/>
      <c r="EI62731"/>
      <c r="EJ62731"/>
      <c r="EK62731"/>
    </row>
    <row r="62732" spans="1:141" s="116" customFormat="1">
      <c r="A62732" s="136"/>
      <c r="CM62732" s="111"/>
      <c r="CQ62732" s="111"/>
      <c r="EF62732"/>
      <c r="EG62732"/>
      <c r="EH62732"/>
      <c r="EI62732"/>
      <c r="EJ62732"/>
      <c r="EK62732"/>
    </row>
    <row r="62733" spans="1:141" s="116" customFormat="1">
      <c r="A62733" s="136"/>
      <c r="CM62733" s="111"/>
      <c r="CQ62733" s="111"/>
      <c r="EF62733"/>
      <c r="EG62733"/>
      <c r="EH62733"/>
      <c r="EI62733"/>
      <c r="EJ62733"/>
      <c r="EK62733"/>
    </row>
    <row r="62734" spans="1:141" s="116" customFormat="1">
      <c r="A62734" s="136"/>
      <c r="CM62734" s="111"/>
      <c r="CQ62734" s="111"/>
      <c r="EF62734"/>
      <c r="EG62734"/>
      <c r="EH62734"/>
      <c r="EI62734"/>
      <c r="EJ62734"/>
      <c r="EK62734"/>
    </row>
    <row r="62735" spans="1:141" s="116" customFormat="1">
      <c r="A62735" s="136"/>
      <c r="CM62735" s="111"/>
      <c r="CQ62735" s="111"/>
      <c r="EF62735"/>
      <c r="EG62735"/>
      <c r="EH62735"/>
      <c r="EI62735"/>
      <c r="EJ62735"/>
      <c r="EK62735"/>
    </row>
    <row r="62736" spans="1:141" s="116" customFormat="1">
      <c r="A62736" s="136"/>
      <c r="CM62736" s="111"/>
      <c r="CQ62736" s="111"/>
      <c r="EF62736"/>
      <c r="EG62736"/>
      <c r="EH62736"/>
      <c r="EI62736"/>
      <c r="EJ62736"/>
      <c r="EK62736"/>
    </row>
    <row r="62737" spans="1:141" s="116" customFormat="1">
      <c r="A62737" s="136"/>
      <c r="CM62737" s="111"/>
      <c r="CQ62737" s="111"/>
      <c r="EF62737"/>
      <c r="EG62737"/>
      <c r="EH62737"/>
      <c r="EI62737"/>
      <c r="EJ62737"/>
      <c r="EK62737"/>
    </row>
    <row r="62738" spans="1:141" s="116" customFormat="1">
      <c r="A62738" s="136"/>
      <c r="CM62738" s="111"/>
      <c r="CQ62738" s="111"/>
      <c r="EF62738"/>
      <c r="EG62738"/>
      <c r="EH62738"/>
      <c r="EI62738"/>
      <c r="EJ62738"/>
      <c r="EK62738"/>
    </row>
    <row r="62739" spans="1:141" s="116" customFormat="1">
      <c r="A62739" s="136"/>
      <c r="CM62739" s="111"/>
      <c r="CQ62739" s="111"/>
      <c r="EF62739"/>
      <c r="EG62739"/>
      <c r="EH62739"/>
      <c r="EI62739"/>
      <c r="EJ62739"/>
      <c r="EK62739"/>
    </row>
    <row r="62740" spans="1:141" s="116" customFormat="1">
      <c r="A62740" s="136"/>
      <c r="CM62740" s="111"/>
      <c r="CQ62740" s="111"/>
      <c r="EF62740"/>
      <c r="EG62740"/>
      <c r="EH62740"/>
      <c r="EI62740"/>
      <c r="EJ62740"/>
      <c r="EK62740"/>
    </row>
    <row r="62741" spans="1:141" s="116" customFormat="1">
      <c r="A62741" s="136"/>
      <c r="CM62741" s="111"/>
      <c r="CQ62741" s="111"/>
      <c r="EF62741"/>
      <c r="EG62741"/>
      <c r="EH62741"/>
      <c r="EI62741"/>
      <c r="EJ62741"/>
      <c r="EK62741"/>
    </row>
    <row r="62742" spans="1:141" s="116" customFormat="1">
      <c r="A62742" s="136"/>
      <c r="CM62742" s="111"/>
      <c r="CQ62742" s="111"/>
      <c r="EF62742"/>
      <c r="EG62742"/>
      <c r="EH62742"/>
      <c r="EI62742"/>
      <c r="EJ62742"/>
      <c r="EK62742"/>
    </row>
    <row r="62743" spans="1:141" s="116" customFormat="1">
      <c r="A62743" s="136"/>
      <c r="CM62743" s="111"/>
      <c r="CQ62743" s="111"/>
      <c r="EF62743"/>
      <c r="EG62743"/>
      <c r="EH62743"/>
      <c r="EI62743"/>
      <c r="EJ62743"/>
      <c r="EK62743"/>
    </row>
    <row r="62744" spans="1:141" s="116" customFormat="1">
      <c r="A62744" s="136"/>
      <c r="CM62744" s="111"/>
      <c r="CQ62744" s="111"/>
      <c r="EF62744"/>
      <c r="EG62744"/>
      <c r="EH62744"/>
      <c r="EI62744"/>
      <c r="EJ62744"/>
      <c r="EK62744"/>
    </row>
    <row r="62745" spans="1:141" s="116" customFormat="1">
      <c r="A62745" s="136"/>
      <c r="CM62745" s="111"/>
      <c r="CQ62745" s="111"/>
      <c r="EF62745"/>
      <c r="EG62745"/>
      <c r="EH62745"/>
      <c r="EI62745"/>
      <c r="EJ62745"/>
      <c r="EK62745"/>
    </row>
    <row r="62746" spans="1:141" s="116" customFormat="1">
      <c r="A62746" s="136"/>
      <c r="CM62746" s="111"/>
      <c r="CQ62746" s="111"/>
      <c r="EF62746"/>
      <c r="EG62746"/>
      <c r="EH62746"/>
      <c r="EI62746"/>
      <c r="EJ62746"/>
      <c r="EK62746"/>
    </row>
    <row r="62747" spans="1:141" s="116" customFormat="1">
      <c r="A62747" s="136"/>
      <c r="CM62747" s="111"/>
      <c r="CQ62747" s="111"/>
      <c r="EF62747"/>
      <c r="EG62747"/>
      <c r="EH62747"/>
      <c r="EI62747"/>
      <c r="EJ62747"/>
      <c r="EK62747"/>
    </row>
    <row r="62748" spans="1:141" s="116" customFormat="1">
      <c r="A62748" s="136"/>
      <c r="CM62748" s="111"/>
      <c r="CQ62748" s="111"/>
      <c r="EF62748"/>
      <c r="EG62748"/>
      <c r="EH62748"/>
      <c r="EI62748"/>
      <c r="EJ62748"/>
      <c r="EK62748"/>
    </row>
    <row r="62749" spans="1:141" s="116" customFormat="1">
      <c r="A62749" s="136"/>
      <c r="CM62749" s="111"/>
      <c r="CQ62749" s="111"/>
      <c r="EF62749"/>
      <c r="EG62749"/>
      <c r="EH62749"/>
      <c r="EI62749"/>
      <c r="EJ62749"/>
      <c r="EK62749"/>
    </row>
    <row r="62750" spans="1:141" s="116" customFormat="1">
      <c r="A62750" s="136"/>
      <c r="CM62750" s="111"/>
      <c r="CQ62750" s="111"/>
      <c r="EF62750"/>
      <c r="EG62750"/>
      <c r="EH62750"/>
      <c r="EI62750"/>
      <c r="EJ62750"/>
      <c r="EK62750"/>
    </row>
    <row r="62751" spans="1:141" s="116" customFormat="1">
      <c r="A62751" s="136"/>
      <c r="CM62751" s="111"/>
      <c r="CQ62751" s="111"/>
      <c r="EF62751"/>
      <c r="EG62751"/>
      <c r="EH62751"/>
      <c r="EI62751"/>
      <c r="EJ62751"/>
      <c r="EK62751"/>
    </row>
    <row r="62752" spans="1:141" s="116" customFormat="1">
      <c r="A62752" s="136"/>
      <c r="CM62752" s="111"/>
      <c r="CQ62752" s="111"/>
      <c r="EF62752"/>
      <c r="EG62752"/>
      <c r="EH62752"/>
      <c r="EI62752"/>
      <c r="EJ62752"/>
      <c r="EK62752"/>
    </row>
    <row r="62753" spans="1:141" s="116" customFormat="1">
      <c r="A62753" s="136"/>
      <c r="CM62753" s="111"/>
      <c r="CQ62753" s="111"/>
      <c r="EF62753"/>
      <c r="EG62753"/>
      <c r="EH62753"/>
      <c r="EI62753"/>
      <c r="EJ62753"/>
      <c r="EK62753"/>
    </row>
    <row r="62754" spans="1:141" s="116" customFormat="1">
      <c r="A62754" s="136"/>
      <c r="CM62754" s="111"/>
      <c r="CQ62754" s="111"/>
      <c r="EF62754"/>
      <c r="EG62754"/>
      <c r="EH62754"/>
      <c r="EI62754"/>
      <c r="EJ62754"/>
      <c r="EK62754"/>
    </row>
    <row r="62755" spans="1:141" s="116" customFormat="1">
      <c r="A62755" s="136"/>
      <c r="CM62755" s="111"/>
      <c r="CQ62755" s="111"/>
      <c r="EF62755"/>
      <c r="EG62755"/>
      <c r="EH62755"/>
      <c r="EI62755"/>
      <c r="EJ62755"/>
      <c r="EK62755"/>
    </row>
    <row r="62756" spans="1:141" s="116" customFormat="1">
      <c r="A62756" s="136"/>
      <c r="CM62756" s="111"/>
      <c r="CQ62756" s="111"/>
      <c r="EF62756"/>
      <c r="EG62756"/>
      <c r="EH62756"/>
      <c r="EI62756"/>
      <c r="EJ62756"/>
      <c r="EK62756"/>
    </row>
    <row r="62757" spans="1:141" s="116" customFormat="1">
      <c r="A62757" s="136"/>
      <c r="CM62757" s="111"/>
      <c r="CQ62757" s="111"/>
      <c r="EF62757"/>
      <c r="EG62757"/>
      <c r="EH62757"/>
      <c r="EI62757"/>
      <c r="EJ62757"/>
      <c r="EK62757"/>
    </row>
    <row r="62758" spans="1:141" s="116" customFormat="1">
      <c r="A62758" s="136"/>
      <c r="CM62758" s="111"/>
      <c r="CQ62758" s="111"/>
      <c r="EF62758"/>
      <c r="EG62758"/>
      <c r="EH62758"/>
      <c r="EI62758"/>
      <c r="EJ62758"/>
      <c r="EK62758"/>
    </row>
    <row r="62759" spans="1:141" s="116" customFormat="1">
      <c r="A62759" s="136"/>
      <c r="CM62759" s="111"/>
      <c r="CQ62759" s="111"/>
      <c r="EF62759"/>
      <c r="EG62759"/>
      <c r="EH62759"/>
      <c r="EI62759"/>
      <c r="EJ62759"/>
      <c r="EK62759"/>
    </row>
    <row r="62760" spans="1:141" s="116" customFormat="1">
      <c r="A62760" s="136"/>
      <c r="CM62760" s="111"/>
      <c r="CQ62760" s="111"/>
      <c r="EF62760"/>
      <c r="EG62760"/>
      <c r="EH62760"/>
      <c r="EI62760"/>
      <c r="EJ62760"/>
      <c r="EK62760"/>
    </row>
    <row r="62761" spans="1:141" s="116" customFormat="1">
      <c r="A62761" s="136"/>
      <c r="CM62761" s="111"/>
      <c r="CQ62761" s="111"/>
      <c r="EF62761"/>
      <c r="EG62761"/>
      <c r="EH62761"/>
      <c r="EI62761"/>
      <c r="EJ62761"/>
      <c r="EK62761"/>
    </row>
    <row r="62762" spans="1:141" s="116" customFormat="1">
      <c r="A62762" s="136"/>
      <c r="CM62762" s="111"/>
      <c r="CQ62762" s="111"/>
      <c r="EF62762"/>
      <c r="EG62762"/>
      <c r="EH62762"/>
      <c r="EI62762"/>
      <c r="EJ62762"/>
      <c r="EK62762"/>
    </row>
    <row r="62763" spans="1:141" s="116" customFormat="1">
      <c r="A62763" s="136"/>
      <c r="CM62763" s="111"/>
      <c r="CQ62763" s="111"/>
      <c r="EF62763"/>
      <c r="EG62763"/>
      <c r="EH62763"/>
      <c r="EI62763"/>
      <c r="EJ62763"/>
      <c r="EK62763"/>
    </row>
    <row r="62764" spans="1:141" s="116" customFormat="1">
      <c r="A62764" s="136"/>
      <c r="CM62764" s="111"/>
      <c r="CQ62764" s="111"/>
      <c r="EF62764"/>
      <c r="EG62764"/>
      <c r="EH62764"/>
      <c r="EI62764"/>
      <c r="EJ62764"/>
      <c r="EK62764"/>
    </row>
    <row r="62765" spans="1:141" s="116" customFormat="1">
      <c r="A62765" s="136"/>
      <c r="CM62765" s="111"/>
      <c r="CQ62765" s="111"/>
      <c r="EF62765"/>
      <c r="EG62765"/>
      <c r="EH62765"/>
      <c r="EI62765"/>
      <c r="EJ62765"/>
      <c r="EK62765"/>
    </row>
    <row r="62766" spans="1:141" s="116" customFormat="1">
      <c r="A62766" s="136"/>
      <c r="CM62766" s="111"/>
      <c r="CQ62766" s="111"/>
      <c r="EF62766"/>
      <c r="EG62766"/>
      <c r="EH62766"/>
      <c r="EI62766"/>
      <c r="EJ62766"/>
      <c r="EK62766"/>
    </row>
    <row r="62767" spans="1:141" s="116" customFormat="1">
      <c r="A62767" s="136"/>
      <c r="CM62767" s="111"/>
      <c r="CQ62767" s="111"/>
      <c r="EF62767"/>
      <c r="EG62767"/>
      <c r="EH62767"/>
      <c r="EI62767"/>
      <c r="EJ62767"/>
      <c r="EK62767"/>
    </row>
    <row r="62768" spans="1:141" s="116" customFormat="1">
      <c r="A62768" s="136"/>
      <c r="CM62768" s="111"/>
      <c r="CQ62768" s="111"/>
      <c r="EF62768"/>
      <c r="EG62768"/>
      <c r="EH62768"/>
      <c r="EI62768"/>
      <c r="EJ62768"/>
      <c r="EK62768"/>
    </row>
    <row r="62769" spans="1:141" s="116" customFormat="1">
      <c r="A62769" s="136"/>
      <c r="CM62769" s="111"/>
      <c r="CQ62769" s="111"/>
      <c r="EF62769"/>
      <c r="EG62769"/>
      <c r="EH62769"/>
      <c r="EI62769"/>
      <c r="EJ62769"/>
      <c r="EK62769"/>
    </row>
    <row r="62770" spans="1:141" s="116" customFormat="1">
      <c r="A62770" s="136"/>
      <c r="CM62770" s="111"/>
      <c r="CQ62770" s="111"/>
      <c r="EF62770"/>
      <c r="EG62770"/>
      <c r="EH62770"/>
      <c r="EI62770"/>
      <c r="EJ62770"/>
      <c r="EK62770"/>
    </row>
    <row r="62771" spans="1:141" s="116" customFormat="1">
      <c r="A62771" s="136"/>
      <c r="CM62771" s="111"/>
      <c r="CQ62771" s="111"/>
      <c r="EF62771"/>
      <c r="EG62771"/>
      <c r="EH62771"/>
      <c r="EI62771"/>
      <c r="EJ62771"/>
      <c r="EK62771"/>
    </row>
    <row r="62772" spans="1:141" s="116" customFormat="1">
      <c r="A62772" s="136"/>
      <c r="CM62772" s="111"/>
      <c r="CQ62772" s="111"/>
      <c r="EF62772"/>
      <c r="EG62772"/>
      <c r="EH62772"/>
      <c r="EI62772"/>
      <c r="EJ62772"/>
      <c r="EK62772"/>
    </row>
    <row r="62773" spans="1:141" s="116" customFormat="1">
      <c r="A62773" s="136"/>
      <c r="CM62773" s="111"/>
      <c r="CQ62773" s="111"/>
      <c r="EF62773"/>
      <c r="EG62773"/>
      <c r="EH62773"/>
      <c r="EI62773"/>
      <c r="EJ62773"/>
      <c r="EK62773"/>
    </row>
    <row r="62774" spans="1:141" s="116" customFormat="1">
      <c r="A62774" s="136"/>
      <c r="CM62774" s="111"/>
      <c r="CQ62774" s="111"/>
      <c r="EF62774"/>
      <c r="EG62774"/>
      <c r="EH62774"/>
      <c r="EI62774"/>
      <c r="EJ62774"/>
      <c r="EK62774"/>
    </row>
    <row r="62775" spans="1:141" s="116" customFormat="1">
      <c r="A62775" s="136"/>
      <c r="CM62775" s="111"/>
      <c r="CQ62775" s="111"/>
      <c r="EF62775"/>
      <c r="EG62775"/>
      <c r="EH62775"/>
      <c r="EI62775"/>
      <c r="EJ62775"/>
      <c r="EK62775"/>
    </row>
    <row r="62776" spans="1:141" s="116" customFormat="1">
      <c r="A62776" s="136"/>
      <c r="CM62776" s="111"/>
      <c r="CQ62776" s="111"/>
      <c r="EF62776"/>
      <c r="EG62776"/>
      <c r="EH62776"/>
      <c r="EI62776"/>
      <c r="EJ62776"/>
      <c r="EK62776"/>
    </row>
    <row r="62777" spans="1:141" s="116" customFormat="1">
      <c r="A62777" s="136"/>
      <c r="CM62777" s="111"/>
      <c r="CQ62777" s="111"/>
      <c r="EF62777"/>
      <c r="EG62777"/>
      <c r="EH62777"/>
      <c r="EI62777"/>
      <c r="EJ62777"/>
      <c r="EK62777"/>
    </row>
    <row r="62778" spans="1:141" s="116" customFormat="1">
      <c r="A62778" s="136"/>
      <c r="CM62778" s="111"/>
      <c r="CQ62778" s="111"/>
      <c r="EF62778"/>
      <c r="EG62778"/>
      <c r="EH62778"/>
      <c r="EI62778"/>
      <c r="EJ62778"/>
      <c r="EK62778"/>
    </row>
    <row r="62779" spans="1:141" s="116" customFormat="1">
      <c r="A62779" s="136"/>
      <c r="CM62779" s="111"/>
      <c r="CQ62779" s="111"/>
      <c r="EF62779"/>
      <c r="EG62779"/>
      <c r="EH62779"/>
      <c r="EI62779"/>
      <c r="EJ62779"/>
      <c r="EK62779"/>
    </row>
    <row r="62780" spans="1:141" s="116" customFormat="1">
      <c r="A62780" s="136"/>
      <c r="CM62780" s="111"/>
      <c r="CQ62780" s="111"/>
      <c r="EF62780"/>
      <c r="EG62780"/>
      <c r="EH62780"/>
      <c r="EI62780"/>
      <c r="EJ62780"/>
      <c r="EK62780"/>
    </row>
    <row r="62781" spans="1:141" s="116" customFormat="1">
      <c r="A62781" s="136"/>
      <c r="CM62781" s="111"/>
      <c r="CQ62781" s="111"/>
      <c r="EF62781"/>
      <c r="EG62781"/>
      <c r="EH62781"/>
      <c r="EI62781"/>
      <c r="EJ62781"/>
      <c r="EK62781"/>
    </row>
    <row r="62782" spans="1:141" s="116" customFormat="1">
      <c r="A62782" s="136"/>
      <c r="CM62782" s="111"/>
      <c r="CQ62782" s="111"/>
      <c r="EF62782"/>
      <c r="EG62782"/>
      <c r="EH62782"/>
      <c r="EI62782"/>
      <c r="EJ62782"/>
      <c r="EK62782"/>
    </row>
    <row r="62783" spans="1:141" s="116" customFormat="1">
      <c r="A62783" s="136"/>
      <c r="CM62783" s="111"/>
      <c r="CQ62783" s="111"/>
      <c r="EF62783"/>
      <c r="EG62783"/>
      <c r="EH62783"/>
      <c r="EI62783"/>
      <c r="EJ62783"/>
      <c r="EK62783"/>
    </row>
    <row r="62784" spans="1:141" s="116" customFormat="1">
      <c r="A62784" s="136"/>
      <c r="CM62784" s="111"/>
      <c r="CQ62784" s="111"/>
      <c r="EF62784"/>
      <c r="EG62784"/>
      <c r="EH62784"/>
      <c r="EI62784"/>
      <c r="EJ62784"/>
      <c r="EK62784"/>
    </row>
    <row r="62785" spans="1:141" s="116" customFormat="1">
      <c r="A62785" s="136"/>
      <c r="CM62785" s="111"/>
      <c r="CQ62785" s="111"/>
      <c r="EF62785"/>
      <c r="EG62785"/>
      <c r="EH62785"/>
      <c r="EI62785"/>
      <c r="EJ62785"/>
      <c r="EK62785"/>
    </row>
    <row r="62786" spans="1:141" s="116" customFormat="1">
      <c r="A62786" s="136"/>
      <c r="CM62786" s="111"/>
      <c r="CQ62786" s="111"/>
      <c r="EF62786"/>
      <c r="EG62786"/>
      <c r="EH62786"/>
      <c r="EI62786"/>
      <c r="EJ62786"/>
      <c r="EK62786"/>
    </row>
    <row r="62787" spans="1:141" s="116" customFormat="1">
      <c r="A62787" s="136"/>
      <c r="CM62787" s="111"/>
      <c r="CQ62787" s="111"/>
      <c r="EF62787"/>
      <c r="EG62787"/>
      <c r="EH62787"/>
      <c r="EI62787"/>
      <c r="EJ62787"/>
      <c r="EK62787"/>
    </row>
    <row r="62788" spans="1:141" s="116" customFormat="1">
      <c r="A62788" s="136"/>
      <c r="CM62788" s="111"/>
      <c r="CQ62788" s="111"/>
      <c r="EF62788"/>
      <c r="EG62788"/>
      <c r="EH62788"/>
      <c r="EI62788"/>
      <c r="EJ62788"/>
      <c r="EK62788"/>
    </row>
    <row r="62789" spans="1:141" s="116" customFormat="1">
      <c r="A62789" s="136"/>
      <c r="CM62789" s="111"/>
      <c r="CQ62789" s="111"/>
      <c r="EF62789"/>
      <c r="EG62789"/>
      <c r="EH62789"/>
      <c r="EI62789"/>
      <c r="EJ62789"/>
      <c r="EK62789"/>
    </row>
    <row r="62790" spans="1:141" s="116" customFormat="1">
      <c r="A62790" s="136"/>
      <c r="CM62790" s="111"/>
      <c r="CQ62790" s="111"/>
      <c r="EF62790"/>
      <c r="EG62790"/>
      <c r="EH62790"/>
      <c r="EI62790"/>
      <c r="EJ62790"/>
      <c r="EK62790"/>
    </row>
    <row r="62791" spans="1:141" s="116" customFormat="1">
      <c r="A62791" s="136"/>
      <c r="CM62791" s="111"/>
      <c r="CQ62791" s="111"/>
      <c r="EF62791"/>
      <c r="EG62791"/>
      <c r="EH62791"/>
      <c r="EI62791"/>
      <c r="EJ62791"/>
      <c r="EK62791"/>
    </row>
    <row r="62792" spans="1:141" s="116" customFormat="1">
      <c r="A62792" s="136"/>
      <c r="CM62792" s="111"/>
      <c r="CQ62792" s="111"/>
      <c r="EF62792"/>
      <c r="EG62792"/>
      <c r="EH62792"/>
      <c r="EI62792"/>
      <c r="EJ62792"/>
      <c r="EK62792"/>
    </row>
    <row r="62793" spans="1:141" s="116" customFormat="1">
      <c r="A62793" s="136"/>
      <c r="CM62793" s="111"/>
      <c r="CQ62793" s="111"/>
      <c r="EF62793"/>
      <c r="EG62793"/>
      <c r="EH62793"/>
      <c r="EI62793"/>
      <c r="EJ62793"/>
      <c r="EK62793"/>
    </row>
    <row r="62794" spans="1:141" s="116" customFormat="1">
      <c r="A62794" s="136"/>
      <c r="CM62794" s="111"/>
      <c r="CQ62794" s="111"/>
      <c r="EF62794"/>
      <c r="EG62794"/>
      <c r="EH62794"/>
      <c r="EI62794"/>
      <c r="EJ62794"/>
      <c r="EK62794"/>
    </row>
    <row r="62795" spans="1:141" s="116" customFormat="1">
      <c r="A62795" s="136"/>
      <c r="CM62795" s="111"/>
      <c r="CQ62795" s="111"/>
      <c r="EF62795"/>
      <c r="EG62795"/>
      <c r="EH62795"/>
      <c r="EI62795"/>
      <c r="EJ62795"/>
      <c r="EK62795"/>
    </row>
    <row r="62796" spans="1:141" s="116" customFormat="1">
      <c r="A62796" s="136"/>
      <c r="CM62796" s="111"/>
      <c r="CQ62796" s="111"/>
      <c r="EF62796"/>
      <c r="EG62796"/>
      <c r="EH62796"/>
      <c r="EI62796"/>
      <c r="EJ62796"/>
      <c r="EK62796"/>
    </row>
    <row r="62797" spans="1:141" s="116" customFormat="1">
      <c r="A62797" s="136"/>
      <c r="CM62797" s="111"/>
      <c r="CQ62797" s="111"/>
      <c r="EF62797"/>
      <c r="EG62797"/>
      <c r="EH62797"/>
      <c r="EI62797"/>
      <c r="EJ62797"/>
      <c r="EK62797"/>
    </row>
    <row r="62798" spans="1:141" s="116" customFormat="1">
      <c r="A62798" s="136"/>
      <c r="CM62798" s="111"/>
      <c r="CQ62798" s="111"/>
      <c r="EF62798"/>
      <c r="EG62798"/>
      <c r="EH62798"/>
      <c r="EI62798"/>
      <c r="EJ62798"/>
      <c r="EK62798"/>
    </row>
    <row r="62799" spans="1:141" s="116" customFormat="1">
      <c r="A62799" s="136"/>
      <c r="CM62799" s="111"/>
      <c r="CQ62799" s="111"/>
      <c r="EF62799"/>
      <c r="EG62799"/>
      <c r="EH62799"/>
      <c r="EI62799"/>
      <c r="EJ62799"/>
      <c r="EK62799"/>
    </row>
    <row r="62800" spans="1:141" s="116" customFormat="1">
      <c r="A62800" s="136"/>
      <c r="CM62800" s="111"/>
      <c r="CQ62800" s="111"/>
      <c r="EF62800"/>
      <c r="EG62800"/>
      <c r="EH62800"/>
      <c r="EI62800"/>
      <c r="EJ62800"/>
      <c r="EK62800"/>
    </row>
    <row r="62801" spans="1:141" s="116" customFormat="1">
      <c r="A62801" s="136"/>
      <c r="CM62801" s="111"/>
      <c r="CQ62801" s="111"/>
      <c r="EF62801"/>
      <c r="EG62801"/>
      <c r="EH62801"/>
      <c r="EI62801"/>
      <c r="EJ62801"/>
      <c r="EK62801"/>
    </row>
    <row r="62802" spans="1:141" s="116" customFormat="1">
      <c r="A62802" s="136"/>
      <c r="CM62802" s="111"/>
      <c r="CQ62802" s="111"/>
      <c r="EF62802"/>
      <c r="EG62802"/>
      <c r="EH62802"/>
      <c r="EI62802"/>
      <c r="EJ62802"/>
      <c r="EK62802"/>
    </row>
    <row r="62803" spans="1:141" s="116" customFormat="1">
      <c r="A62803" s="136"/>
      <c r="CM62803" s="111"/>
      <c r="CQ62803" s="111"/>
      <c r="EF62803"/>
      <c r="EG62803"/>
      <c r="EH62803"/>
      <c r="EI62803"/>
      <c r="EJ62803"/>
      <c r="EK62803"/>
    </row>
    <row r="62804" spans="1:141" s="116" customFormat="1">
      <c r="A62804" s="136"/>
      <c r="CM62804" s="111"/>
      <c r="CQ62804" s="111"/>
      <c r="EF62804"/>
      <c r="EG62804"/>
      <c r="EH62804"/>
      <c r="EI62804"/>
      <c r="EJ62804"/>
      <c r="EK62804"/>
    </row>
    <row r="62805" spans="1:141" s="116" customFormat="1">
      <c r="A62805" s="136"/>
      <c r="CM62805" s="111"/>
      <c r="CQ62805" s="111"/>
      <c r="EF62805"/>
      <c r="EG62805"/>
      <c r="EH62805"/>
      <c r="EI62805"/>
      <c r="EJ62805"/>
      <c r="EK62805"/>
    </row>
    <row r="62806" spans="1:141" s="116" customFormat="1">
      <c r="A62806" s="136"/>
      <c r="CM62806" s="111"/>
      <c r="CQ62806" s="111"/>
      <c r="EF62806"/>
      <c r="EG62806"/>
      <c r="EH62806"/>
      <c r="EI62806"/>
      <c r="EJ62806"/>
      <c r="EK62806"/>
    </row>
    <row r="62807" spans="1:141" s="116" customFormat="1">
      <c r="A62807" s="136"/>
      <c r="CM62807" s="111"/>
      <c r="CQ62807" s="111"/>
      <c r="EF62807"/>
      <c r="EG62807"/>
      <c r="EH62807"/>
      <c r="EI62807"/>
      <c r="EJ62807"/>
      <c r="EK62807"/>
    </row>
    <row r="62808" spans="1:141" s="116" customFormat="1">
      <c r="A62808" s="136"/>
      <c r="CM62808" s="111"/>
      <c r="CQ62808" s="111"/>
      <c r="EF62808"/>
      <c r="EG62808"/>
      <c r="EH62808"/>
      <c r="EI62808"/>
      <c r="EJ62808"/>
      <c r="EK62808"/>
    </row>
    <row r="62809" spans="1:141" s="116" customFormat="1">
      <c r="A62809" s="136"/>
      <c r="CM62809" s="111"/>
      <c r="CQ62809" s="111"/>
      <c r="EF62809"/>
      <c r="EG62809"/>
      <c r="EH62809"/>
      <c r="EI62809"/>
      <c r="EJ62809"/>
      <c r="EK62809"/>
    </row>
    <row r="62810" spans="1:141" s="116" customFormat="1">
      <c r="A62810" s="136"/>
      <c r="CM62810" s="111"/>
      <c r="CQ62810" s="111"/>
      <c r="EF62810"/>
      <c r="EG62810"/>
      <c r="EH62810"/>
      <c r="EI62810"/>
      <c r="EJ62810"/>
      <c r="EK62810"/>
    </row>
    <row r="62811" spans="1:141" s="116" customFormat="1">
      <c r="A62811" s="136"/>
      <c r="CM62811" s="111"/>
      <c r="CQ62811" s="111"/>
      <c r="EF62811"/>
      <c r="EG62811"/>
      <c r="EH62811"/>
      <c r="EI62811"/>
      <c r="EJ62811"/>
      <c r="EK62811"/>
    </row>
    <row r="62812" spans="1:141" s="116" customFormat="1">
      <c r="A62812" s="136"/>
      <c r="CM62812" s="111"/>
      <c r="CQ62812" s="111"/>
      <c r="EF62812"/>
      <c r="EG62812"/>
      <c r="EH62812"/>
      <c r="EI62812"/>
      <c r="EJ62812"/>
      <c r="EK62812"/>
    </row>
    <row r="62813" spans="1:141" s="116" customFormat="1">
      <c r="A62813" s="136"/>
      <c r="CM62813" s="111"/>
      <c r="CQ62813" s="111"/>
      <c r="EF62813"/>
      <c r="EG62813"/>
      <c r="EH62813"/>
      <c r="EI62813"/>
      <c r="EJ62813"/>
      <c r="EK62813"/>
    </row>
    <row r="62814" spans="1:141" s="116" customFormat="1">
      <c r="A62814" s="136"/>
      <c r="CM62814" s="111"/>
      <c r="CQ62814" s="111"/>
      <c r="EF62814"/>
      <c r="EG62814"/>
      <c r="EH62814"/>
      <c r="EI62814"/>
      <c r="EJ62814"/>
      <c r="EK62814"/>
    </row>
    <row r="62815" spans="1:141" s="116" customFormat="1">
      <c r="A62815" s="136"/>
      <c r="CM62815" s="111"/>
      <c r="CQ62815" s="111"/>
      <c r="EF62815"/>
      <c r="EG62815"/>
      <c r="EH62815"/>
      <c r="EI62815"/>
      <c r="EJ62815"/>
      <c r="EK62815"/>
    </row>
    <row r="62816" spans="1:141" s="116" customFormat="1">
      <c r="A62816" s="136"/>
      <c r="CM62816" s="111"/>
      <c r="CQ62816" s="111"/>
      <c r="EF62816"/>
      <c r="EG62816"/>
      <c r="EH62816"/>
      <c r="EI62816"/>
      <c r="EJ62816"/>
      <c r="EK62816"/>
    </row>
    <row r="62817" spans="1:141" s="116" customFormat="1">
      <c r="A62817" s="136"/>
      <c r="CM62817" s="111"/>
      <c r="CQ62817" s="111"/>
      <c r="EF62817"/>
      <c r="EG62817"/>
      <c r="EH62817"/>
      <c r="EI62817"/>
      <c r="EJ62817"/>
      <c r="EK62817"/>
    </row>
    <row r="62818" spans="1:141" s="116" customFormat="1">
      <c r="A62818" s="136"/>
      <c r="CM62818" s="111"/>
      <c r="CQ62818" s="111"/>
      <c r="EF62818"/>
      <c r="EG62818"/>
      <c r="EH62818"/>
      <c r="EI62818"/>
      <c r="EJ62818"/>
      <c r="EK62818"/>
    </row>
    <row r="62819" spans="1:141" s="116" customFormat="1">
      <c r="A62819" s="136"/>
      <c r="CM62819" s="111"/>
      <c r="CQ62819" s="111"/>
      <c r="EF62819"/>
      <c r="EG62819"/>
      <c r="EH62819"/>
      <c r="EI62819"/>
      <c r="EJ62819"/>
      <c r="EK62819"/>
    </row>
    <row r="62820" spans="1:141" s="116" customFormat="1">
      <c r="A62820" s="136"/>
      <c r="CM62820" s="111"/>
      <c r="CQ62820" s="111"/>
      <c r="EF62820"/>
      <c r="EG62820"/>
      <c r="EH62820"/>
      <c r="EI62820"/>
      <c r="EJ62820"/>
      <c r="EK62820"/>
    </row>
    <row r="62821" spans="1:141" s="116" customFormat="1">
      <c r="A62821" s="136"/>
      <c r="CM62821" s="111"/>
      <c r="CQ62821" s="111"/>
      <c r="EF62821"/>
      <c r="EG62821"/>
      <c r="EH62821"/>
      <c r="EI62821"/>
      <c r="EJ62821"/>
      <c r="EK62821"/>
    </row>
    <row r="62822" spans="1:141" s="116" customFormat="1">
      <c r="A62822" s="136"/>
      <c r="CM62822" s="111"/>
      <c r="CQ62822" s="111"/>
      <c r="EF62822"/>
      <c r="EG62822"/>
      <c r="EH62822"/>
      <c r="EI62822"/>
      <c r="EJ62822"/>
      <c r="EK62822"/>
    </row>
    <row r="62823" spans="1:141" s="116" customFormat="1">
      <c r="A62823" s="136"/>
      <c r="CM62823" s="111"/>
      <c r="CQ62823" s="111"/>
      <c r="EF62823"/>
      <c r="EG62823"/>
      <c r="EH62823"/>
      <c r="EI62823"/>
      <c r="EJ62823"/>
      <c r="EK62823"/>
    </row>
    <row r="62824" spans="1:141" s="116" customFormat="1">
      <c r="A62824" s="136"/>
      <c r="CM62824" s="111"/>
      <c r="CQ62824" s="111"/>
      <c r="EF62824"/>
      <c r="EG62824"/>
      <c r="EH62824"/>
      <c r="EI62824"/>
      <c r="EJ62824"/>
      <c r="EK62824"/>
    </row>
    <row r="62825" spans="1:141" s="116" customFormat="1">
      <c r="A62825" s="136"/>
      <c r="CM62825" s="111"/>
      <c r="CQ62825" s="111"/>
      <c r="EF62825"/>
      <c r="EG62825"/>
      <c r="EH62825"/>
      <c r="EI62825"/>
      <c r="EJ62825"/>
      <c r="EK62825"/>
    </row>
    <row r="62826" spans="1:141" s="116" customFormat="1">
      <c r="A62826" s="136"/>
      <c r="CM62826" s="111"/>
      <c r="CQ62826" s="111"/>
      <c r="EF62826"/>
      <c r="EG62826"/>
      <c r="EH62826"/>
      <c r="EI62826"/>
      <c r="EJ62826"/>
      <c r="EK62826"/>
    </row>
    <row r="62827" spans="1:141" s="116" customFormat="1">
      <c r="A62827" s="136"/>
      <c r="CM62827" s="111"/>
      <c r="CQ62827" s="111"/>
      <c r="EF62827"/>
      <c r="EG62827"/>
      <c r="EH62827"/>
      <c r="EI62827"/>
      <c r="EJ62827"/>
      <c r="EK62827"/>
    </row>
    <row r="62828" spans="1:141" s="116" customFormat="1">
      <c r="A62828" s="136"/>
      <c r="CM62828" s="111"/>
      <c r="CQ62828" s="111"/>
      <c r="EF62828"/>
      <c r="EG62828"/>
      <c r="EH62828"/>
      <c r="EI62828"/>
      <c r="EJ62828"/>
      <c r="EK62828"/>
    </row>
    <row r="62829" spans="1:141" s="116" customFormat="1">
      <c r="A62829" s="136"/>
      <c r="CM62829" s="111"/>
      <c r="CQ62829" s="111"/>
      <c r="EF62829"/>
      <c r="EG62829"/>
      <c r="EH62829"/>
      <c r="EI62829"/>
      <c r="EJ62829"/>
      <c r="EK62829"/>
    </row>
    <row r="62830" spans="1:141" s="116" customFormat="1">
      <c r="A62830" s="136"/>
      <c r="CM62830" s="111"/>
      <c r="CQ62830" s="111"/>
      <c r="EF62830"/>
      <c r="EG62830"/>
      <c r="EH62830"/>
      <c r="EI62830"/>
      <c r="EJ62830"/>
      <c r="EK62830"/>
    </row>
    <row r="62831" spans="1:141" s="116" customFormat="1">
      <c r="A62831" s="136"/>
      <c r="CM62831" s="111"/>
      <c r="CQ62831" s="111"/>
      <c r="EF62831"/>
      <c r="EG62831"/>
      <c r="EH62831"/>
      <c r="EI62831"/>
      <c r="EJ62831"/>
      <c r="EK62831"/>
    </row>
    <row r="62832" spans="1:141" s="116" customFormat="1">
      <c r="A62832" s="136"/>
      <c r="CM62832" s="111"/>
      <c r="CQ62832" s="111"/>
      <c r="EF62832"/>
      <c r="EG62832"/>
      <c r="EH62832"/>
      <c r="EI62832"/>
      <c r="EJ62832"/>
      <c r="EK62832"/>
    </row>
    <row r="62833" spans="1:141" s="116" customFormat="1">
      <c r="A62833" s="136"/>
      <c r="CM62833" s="111"/>
      <c r="CQ62833" s="111"/>
      <c r="EF62833"/>
      <c r="EG62833"/>
      <c r="EH62833"/>
      <c r="EI62833"/>
      <c r="EJ62833"/>
      <c r="EK62833"/>
    </row>
    <row r="62834" spans="1:141" s="116" customFormat="1">
      <c r="A62834" s="136"/>
      <c r="CM62834" s="111"/>
      <c r="CQ62834" s="111"/>
      <c r="EF62834"/>
      <c r="EG62834"/>
      <c r="EH62834"/>
      <c r="EI62834"/>
      <c r="EJ62834"/>
      <c r="EK62834"/>
    </row>
    <row r="62835" spans="1:141" s="116" customFormat="1">
      <c r="A62835" s="136"/>
      <c r="CM62835" s="111"/>
      <c r="CQ62835" s="111"/>
      <c r="EF62835"/>
      <c r="EG62835"/>
      <c r="EH62835"/>
      <c r="EI62835"/>
      <c r="EJ62835"/>
      <c r="EK62835"/>
    </row>
    <row r="62836" spans="1:141" s="116" customFormat="1">
      <c r="A62836" s="136"/>
      <c r="CM62836" s="111"/>
      <c r="CQ62836" s="111"/>
      <c r="EF62836"/>
      <c r="EG62836"/>
      <c r="EH62836"/>
      <c r="EI62836"/>
      <c r="EJ62836"/>
      <c r="EK62836"/>
    </row>
    <row r="62837" spans="1:141" s="116" customFormat="1">
      <c r="A62837" s="136"/>
      <c r="CM62837" s="111"/>
      <c r="CQ62837" s="111"/>
      <c r="EF62837"/>
      <c r="EG62837"/>
      <c r="EH62837"/>
      <c r="EI62837"/>
      <c r="EJ62837"/>
      <c r="EK62837"/>
    </row>
    <row r="62838" spans="1:141" s="116" customFormat="1">
      <c r="A62838" s="136"/>
      <c r="CM62838" s="111"/>
      <c r="CQ62838" s="111"/>
      <c r="EF62838"/>
      <c r="EG62838"/>
      <c r="EH62838"/>
      <c r="EI62838"/>
      <c r="EJ62838"/>
      <c r="EK62838"/>
    </row>
    <row r="62839" spans="1:141" s="116" customFormat="1">
      <c r="A62839" s="136"/>
      <c r="CM62839" s="111"/>
      <c r="CQ62839" s="111"/>
      <c r="EF62839"/>
      <c r="EG62839"/>
      <c r="EH62839"/>
      <c r="EI62839"/>
      <c r="EJ62839"/>
      <c r="EK62839"/>
    </row>
    <row r="62840" spans="1:141" s="116" customFormat="1">
      <c r="A62840" s="136"/>
      <c r="CM62840" s="111"/>
      <c r="CQ62840" s="111"/>
      <c r="EF62840"/>
      <c r="EG62840"/>
      <c r="EH62840"/>
      <c r="EI62840"/>
      <c r="EJ62840"/>
      <c r="EK62840"/>
    </row>
    <row r="62841" spans="1:141" s="116" customFormat="1">
      <c r="A62841" s="136"/>
      <c r="CM62841" s="111"/>
      <c r="CQ62841" s="111"/>
      <c r="EF62841"/>
      <c r="EG62841"/>
      <c r="EH62841"/>
      <c r="EI62841"/>
      <c r="EJ62841"/>
      <c r="EK62841"/>
    </row>
    <row r="62842" spans="1:141" s="116" customFormat="1">
      <c r="A62842" s="136"/>
      <c r="CM62842" s="111"/>
      <c r="CQ62842" s="111"/>
      <c r="EF62842"/>
      <c r="EG62842"/>
      <c r="EH62842"/>
      <c r="EI62842"/>
      <c r="EJ62842"/>
      <c r="EK62842"/>
    </row>
    <row r="62843" spans="1:141" s="116" customFormat="1">
      <c r="A62843" s="136"/>
      <c r="CM62843" s="111"/>
      <c r="CQ62843" s="111"/>
      <c r="EF62843"/>
      <c r="EG62843"/>
      <c r="EH62843"/>
      <c r="EI62843"/>
      <c r="EJ62843"/>
      <c r="EK62843"/>
    </row>
    <row r="62844" spans="1:141" s="116" customFormat="1">
      <c r="A62844" s="136"/>
      <c r="CM62844" s="111"/>
      <c r="CQ62844" s="111"/>
      <c r="EF62844"/>
      <c r="EG62844"/>
      <c r="EH62844"/>
      <c r="EI62844"/>
      <c r="EJ62844"/>
      <c r="EK62844"/>
    </row>
    <row r="62845" spans="1:141" s="116" customFormat="1">
      <c r="A62845" s="136"/>
      <c r="CM62845" s="111"/>
      <c r="CQ62845" s="111"/>
      <c r="EF62845"/>
      <c r="EG62845"/>
      <c r="EH62845"/>
      <c r="EI62845"/>
      <c r="EJ62845"/>
      <c r="EK62845"/>
    </row>
    <row r="62846" spans="1:141" s="116" customFormat="1">
      <c r="A62846" s="136"/>
      <c r="CM62846" s="111"/>
      <c r="CQ62846" s="111"/>
      <c r="EF62846"/>
      <c r="EG62846"/>
      <c r="EH62846"/>
      <c r="EI62846"/>
      <c r="EJ62846"/>
      <c r="EK62846"/>
    </row>
    <row r="62847" spans="1:141" s="116" customFormat="1">
      <c r="A62847" s="136"/>
      <c r="CM62847" s="111"/>
      <c r="CQ62847" s="111"/>
      <c r="EF62847"/>
      <c r="EG62847"/>
      <c r="EH62847"/>
      <c r="EI62847"/>
      <c r="EJ62847"/>
      <c r="EK62847"/>
    </row>
    <row r="62848" spans="1:141" s="116" customFormat="1">
      <c r="A62848" s="136"/>
      <c r="CM62848" s="111"/>
      <c r="CQ62848" s="111"/>
      <c r="EF62848"/>
      <c r="EG62848"/>
      <c r="EH62848"/>
      <c r="EI62848"/>
      <c r="EJ62848"/>
      <c r="EK62848"/>
    </row>
    <row r="62849" spans="1:141" s="116" customFormat="1">
      <c r="A62849" s="136"/>
      <c r="CM62849" s="111"/>
      <c r="CQ62849" s="111"/>
      <c r="EF62849"/>
      <c r="EG62849"/>
      <c r="EH62849"/>
      <c r="EI62849"/>
      <c r="EJ62849"/>
      <c r="EK62849"/>
    </row>
    <row r="62850" spans="1:141" s="116" customFormat="1">
      <c r="A62850" s="136"/>
      <c r="CM62850" s="111"/>
      <c r="CQ62850" s="111"/>
      <c r="EF62850"/>
      <c r="EG62850"/>
      <c r="EH62850"/>
      <c r="EI62850"/>
      <c r="EJ62850"/>
      <c r="EK62850"/>
    </row>
    <row r="62851" spans="1:141" s="116" customFormat="1">
      <c r="A62851" s="136"/>
      <c r="CM62851" s="111"/>
      <c r="CQ62851" s="111"/>
      <c r="EF62851"/>
      <c r="EG62851"/>
      <c r="EH62851"/>
      <c r="EI62851"/>
      <c r="EJ62851"/>
      <c r="EK62851"/>
    </row>
    <row r="62852" spans="1:141" s="116" customFormat="1">
      <c r="A62852" s="136"/>
      <c r="CM62852" s="111"/>
      <c r="CQ62852" s="111"/>
      <c r="EF62852"/>
      <c r="EG62852"/>
      <c r="EH62852"/>
      <c r="EI62852"/>
      <c r="EJ62852"/>
      <c r="EK62852"/>
    </row>
    <row r="62853" spans="1:141" s="116" customFormat="1">
      <c r="A62853" s="136"/>
      <c r="CM62853" s="111"/>
      <c r="CQ62853" s="111"/>
      <c r="EF62853"/>
      <c r="EG62853"/>
      <c r="EH62853"/>
      <c r="EI62853"/>
      <c r="EJ62853"/>
      <c r="EK62853"/>
    </row>
    <row r="62854" spans="1:141" s="116" customFormat="1">
      <c r="A62854" s="136"/>
      <c r="CM62854" s="111"/>
      <c r="CQ62854" s="111"/>
      <c r="EF62854"/>
      <c r="EG62854"/>
      <c r="EH62854"/>
      <c r="EI62854"/>
      <c r="EJ62854"/>
      <c r="EK62854"/>
    </row>
    <row r="62855" spans="1:141" s="116" customFormat="1">
      <c r="A62855" s="136"/>
      <c r="CM62855" s="111"/>
      <c r="CQ62855" s="111"/>
      <c r="EF62855"/>
      <c r="EG62855"/>
      <c r="EH62855"/>
      <c r="EI62855"/>
      <c r="EJ62855"/>
      <c r="EK62855"/>
    </row>
    <row r="62856" spans="1:141" s="116" customFormat="1">
      <c r="A62856" s="136"/>
      <c r="CM62856" s="111"/>
      <c r="CQ62856" s="111"/>
      <c r="EF62856"/>
      <c r="EG62856"/>
      <c r="EH62856"/>
      <c r="EI62856"/>
      <c r="EJ62856"/>
      <c r="EK62856"/>
    </row>
    <row r="62857" spans="1:141" s="116" customFormat="1">
      <c r="A62857" s="136"/>
      <c r="CM62857" s="111"/>
      <c r="CQ62857" s="111"/>
      <c r="EF62857"/>
      <c r="EG62857"/>
      <c r="EH62857"/>
      <c r="EI62857"/>
      <c r="EJ62857"/>
      <c r="EK62857"/>
    </row>
    <row r="62858" spans="1:141" s="116" customFormat="1">
      <c r="A62858" s="136"/>
      <c r="CM62858" s="111"/>
      <c r="CQ62858" s="111"/>
      <c r="EF62858"/>
      <c r="EG62858"/>
      <c r="EH62858"/>
      <c r="EI62858"/>
      <c r="EJ62858"/>
      <c r="EK62858"/>
    </row>
    <row r="62859" spans="1:141" s="116" customFormat="1">
      <c r="A62859" s="136"/>
      <c r="CM62859" s="111"/>
      <c r="CQ62859" s="111"/>
      <c r="EF62859"/>
      <c r="EG62859"/>
      <c r="EH62859"/>
      <c r="EI62859"/>
      <c r="EJ62859"/>
      <c r="EK62859"/>
    </row>
    <row r="62860" spans="1:141" s="116" customFormat="1">
      <c r="A62860" s="136"/>
      <c r="CM62860" s="111"/>
      <c r="CQ62860" s="111"/>
      <c r="EF62860"/>
      <c r="EG62860"/>
      <c r="EH62860"/>
      <c r="EI62860"/>
      <c r="EJ62860"/>
      <c r="EK62860"/>
    </row>
    <row r="62861" spans="1:141" s="116" customFormat="1">
      <c r="A62861" s="136"/>
      <c r="CM62861" s="111"/>
      <c r="CQ62861" s="111"/>
      <c r="EF62861"/>
      <c r="EG62861"/>
      <c r="EH62861"/>
      <c r="EI62861"/>
      <c r="EJ62861"/>
      <c r="EK62861"/>
    </row>
    <row r="62862" spans="1:141" s="116" customFormat="1">
      <c r="A62862" s="136"/>
      <c r="CM62862" s="111"/>
      <c r="CQ62862" s="111"/>
      <c r="EF62862"/>
      <c r="EG62862"/>
      <c r="EH62862"/>
      <c r="EI62862"/>
      <c r="EJ62862"/>
      <c r="EK62862"/>
    </row>
    <row r="62863" spans="1:141" s="116" customFormat="1">
      <c r="A62863" s="136"/>
      <c r="CM62863" s="111"/>
      <c r="CQ62863" s="111"/>
      <c r="EF62863"/>
      <c r="EG62863"/>
      <c r="EH62863"/>
      <c r="EI62863"/>
      <c r="EJ62863"/>
      <c r="EK62863"/>
    </row>
    <row r="62864" spans="1:141" s="116" customFormat="1">
      <c r="A62864" s="136"/>
      <c r="CM62864" s="111"/>
      <c r="CQ62864" s="111"/>
      <c r="EF62864"/>
      <c r="EG62864"/>
      <c r="EH62864"/>
      <c r="EI62864"/>
      <c r="EJ62864"/>
      <c r="EK62864"/>
    </row>
    <row r="62865" spans="1:141" s="116" customFormat="1">
      <c r="A62865" s="136"/>
      <c r="CM62865" s="111"/>
      <c r="CQ62865" s="111"/>
      <c r="EF62865"/>
      <c r="EG62865"/>
      <c r="EH62865"/>
      <c r="EI62865"/>
      <c r="EJ62865"/>
      <c r="EK62865"/>
    </row>
    <row r="62866" spans="1:141" s="116" customFormat="1">
      <c r="A62866" s="136"/>
      <c r="CM62866" s="111"/>
      <c r="CQ62866" s="111"/>
      <c r="EF62866"/>
      <c r="EG62866"/>
      <c r="EH62866"/>
      <c r="EI62866"/>
      <c r="EJ62866"/>
      <c r="EK62866"/>
    </row>
    <row r="62867" spans="1:141" s="116" customFormat="1">
      <c r="A62867" s="136"/>
      <c r="CM62867" s="111"/>
      <c r="CQ62867" s="111"/>
      <c r="EF62867"/>
      <c r="EG62867"/>
      <c r="EH62867"/>
      <c r="EI62867"/>
      <c r="EJ62867"/>
      <c r="EK62867"/>
    </row>
    <row r="62868" spans="1:141" s="116" customFormat="1">
      <c r="A62868" s="136"/>
      <c r="CM62868" s="111"/>
      <c r="CQ62868" s="111"/>
      <c r="EF62868"/>
      <c r="EG62868"/>
      <c r="EH62868"/>
      <c r="EI62868"/>
      <c r="EJ62868"/>
      <c r="EK62868"/>
    </row>
    <row r="62869" spans="1:141" s="116" customFormat="1">
      <c r="A62869" s="136"/>
      <c r="CM62869" s="111"/>
      <c r="CQ62869" s="111"/>
      <c r="EF62869"/>
      <c r="EG62869"/>
      <c r="EH62869"/>
      <c r="EI62869"/>
      <c r="EJ62869"/>
      <c r="EK62869"/>
    </row>
    <row r="62870" spans="1:141" s="116" customFormat="1">
      <c r="A62870" s="136"/>
      <c r="CM62870" s="111"/>
      <c r="CQ62870" s="111"/>
      <c r="EF62870"/>
      <c r="EG62870"/>
      <c r="EH62870"/>
      <c r="EI62870"/>
      <c r="EJ62870"/>
      <c r="EK62870"/>
    </row>
    <row r="62871" spans="1:141" s="116" customFormat="1">
      <c r="A62871" s="136"/>
      <c r="CM62871" s="111"/>
      <c r="CQ62871" s="111"/>
      <c r="EF62871"/>
      <c r="EG62871"/>
      <c r="EH62871"/>
      <c r="EI62871"/>
      <c r="EJ62871"/>
      <c r="EK62871"/>
    </row>
    <row r="62872" spans="1:141" s="116" customFormat="1">
      <c r="A62872" s="136"/>
      <c r="CM62872" s="111"/>
      <c r="CQ62872" s="111"/>
      <c r="EF62872"/>
      <c r="EG62872"/>
      <c r="EH62872"/>
      <c r="EI62872"/>
      <c r="EJ62872"/>
      <c r="EK62872"/>
    </row>
    <row r="62873" spans="1:141" s="116" customFormat="1">
      <c r="A62873" s="136"/>
      <c r="CM62873" s="111"/>
      <c r="CQ62873" s="111"/>
      <c r="EF62873"/>
      <c r="EG62873"/>
      <c r="EH62873"/>
      <c r="EI62873"/>
      <c r="EJ62873"/>
      <c r="EK62873"/>
    </row>
    <row r="62874" spans="1:141" s="116" customFormat="1">
      <c r="A62874" s="136"/>
      <c r="CM62874" s="111"/>
      <c r="CQ62874" s="111"/>
      <c r="EF62874"/>
      <c r="EG62874"/>
      <c r="EH62874"/>
      <c r="EI62874"/>
      <c r="EJ62874"/>
      <c r="EK62874"/>
    </row>
    <row r="62875" spans="1:141" s="116" customFormat="1">
      <c r="A62875" s="136"/>
      <c r="CM62875" s="111"/>
      <c r="CQ62875" s="111"/>
      <c r="EF62875"/>
      <c r="EG62875"/>
      <c r="EH62875"/>
      <c r="EI62875"/>
      <c r="EJ62875"/>
      <c r="EK62875"/>
    </row>
    <row r="62876" spans="1:141" s="116" customFormat="1">
      <c r="A62876" s="136"/>
      <c r="CM62876" s="111"/>
      <c r="CQ62876" s="111"/>
      <c r="EF62876"/>
      <c r="EG62876"/>
      <c r="EH62876"/>
      <c r="EI62876"/>
      <c r="EJ62876"/>
      <c r="EK62876"/>
    </row>
    <row r="62877" spans="1:141" s="116" customFormat="1">
      <c r="A62877" s="136"/>
      <c r="CM62877" s="111"/>
      <c r="CQ62877" s="111"/>
      <c r="EF62877"/>
      <c r="EG62877"/>
      <c r="EH62877"/>
      <c r="EI62877"/>
      <c r="EJ62877"/>
      <c r="EK62877"/>
    </row>
    <row r="62878" spans="1:141" s="116" customFormat="1">
      <c r="A62878" s="136"/>
      <c r="CM62878" s="111"/>
      <c r="CQ62878" s="111"/>
      <c r="EF62878"/>
      <c r="EG62878"/>
      <c r="EH62878"/>
      <c r="EI62878"/>
      <c r="EJ62878"/>
      <c r="EK62878"/>
    </row>
    <row r="62879" spans="1:141" s="116" customFormat="1">
      <c r="A62879" s="136"/>
      <c r="CM62879" s="111"/>
      <c r="CQ62879" s="111"/>
      <c r="EF62879"/>
      <c r="EG62879"/>
      <c r="EH62879"/>
      <c r="EI62879"/>
      <c r="EJ62879"/>
      <c r="EK62879"/>
    </row>
    <row r="62880" spans="1:141" s="116" customFormat="1">
      <c r="A62880" s="136"/>
      <c r="CM62880" s="111"/>
      <c r="CQ62880" s="111"/>
      <c r="EF62880"/>
      <c r="EG62880"/>
      <c r="EH62880"/>
      <c r="EI62880"/>
      <c r="EJ62880"/>
      <c r="EK62880"/>
    </row>
    <row r="62881" spans="1:141" s="116" customFormat="1">
      <c r="A62881" s="136"/>
      <c r="CM62881" s="111"/>
      <c r="CQ62881" s="111"/>
      <c r="EF62881"/>
      <c r="EG62881"/>
      <c r="EH62881"/>
      <c r="EI62881"/>
      <c r="EJ62881"/>
      <c r="EK62881"/>
    </row>
    <row r="62882" spans="1:141" s="116" customFormat="1">
      <c r="A62882" s="136"/>
      <c r="CM62882" s="111"/>
      <c r="CQ62882" s="111"/>
      <c r="EF62882"/>
      <c r="EG62882"/>
      <c r="EH62882"/>
      <c r="EI62882"/>
      <c r="EJ62882"/>
      <c r="EK62882"/>
    </row>
    <row r="62883" spans="1:141" s="116" customFormat="1">
      <c r="A62883" s="136"/>
      <c r="CM62883" s="111"/>
      <c r="CQ62883" s="111"/>
      <c r="EF62883"/>
      <c r="EG62883"/>
      <c r="EH62883"/>
      <c r="EI62883"/>
      <c r="EJ62883"/>
      <c r="EK62883"/>
    </row>
    <row r="62884" spans="1:141" s="116" customFormat="1">
      <c r="A62884" s="136"/>
      <c r="CM62884" s="111"/>
      <c r="CQ62884" s="111"/>
      <c r="EF62884"/>
      <c r="EG62884"/>
      <c r="EH62884"/>
      <c r="EI62884"/>
      <c r="EJ62884"/>
      <c r="EK62884"/>
    </row>
    <row r="62885" spans="1:141" s="116" customFormat="1">
      <c r="A62885" s="136"/>
      <c r="CM62885" s="111"/>
      <c r="CQ62885" s="111"/>
      <c r="EF62885"/>
      <c r="EG62885"/>
      <c r="EH62885"/>
      <c r="EI62885"/>
      <c r="EJ62885"/>
      <c r="EK62885"/>
    </row>
    <row r="62886" spans="1:141" s="116" customFormat="1">
      <c r="A62886" s="136"/>
      <c r="CM62886" s="111"/>
      <c r="CQ62886" s="111"/>
      <c r="EF62886"/>
      <c r="EG62886"/>
      <c r="EH62886"/>
      <c r="EI62886"/>
      <c r="EJ62886"/>
      <c r="EK62886"/>
    </row>
    <row r="62887" spans="1:141" s="116" customFormat="1">
      <c r="A62887" s="136"/>
      <c r="CM62887" s="111"/>
      <c r="CQ62887" s="111"/>
      <c r="EF62887"/>
      <c r="EG62887"/>
      <c r="EH62887"/>
      <c r="EI62887"/>
      <c r="EJ62887"/>
      <c r="EK62887"/>
    </row>
    <row r="62888" spans="1:141" s="116" customFormat="1">
      <c r="A62888" s="136"/>
      <c r="CM62888" s="111"/>
      <c r="CQ62888" s="111"/>
      <c r="EF62888"/>
      <c r="EG62888"/>
      <c r="EH62888"/>
      <c r="EI62888"/>
      <c r="EJ62888"/>
      <c r="EK62888"/>
    </row>
    <row r="62889" spans="1:141" s="116" customFormat="1">
      <c r="A62889" s="136"/>
      <c r="CM62889" s="111"/>
      <c r="CQ62889" s="111"/>
      <c r="EF62889"/>
      <c r="EG62889"/>
      <c r="EH62889"/>
      <c r="EI62889"/>
      <c r="EJ62889"/>
      <c r="EK62889"/>
    </row>
    <row r="62890" spans="1:141" s="116" customFormat="1">
      <c r="A62890" s="136"/>
      <c r="CM62890" s="111"/>
      <c r="CQ62890" s="111"/>
      <c r="EF62890"/>
      <c r="EG62890"/>
      <c r="EH62890"/>
      <c r="EI62890"/>
      <c r="EJ62890"/>
      <c r="EK62890"/>
    </row>
    <row r="62891" spans="1:141" s="116" customFormat="1">
      <c r="A62891" s="136"/>
      <c r="CM62891" s="111"/>
      <c r="CQ62891" s="111"/>
      <c r="EF62891"/>
      <c r="EG62891"/>
      <c r="EH62891"/>
      <c r="EI62891"/>
      <c r="EJ62891"/>
      <c r="EK62891"/>
    </row>
    <row r="62892" spans="1:141" s="116" customFormat="1">
      <c r="A62892" s="136"/>
      <c r="CM62892" s="111"/>
      <c r="CQ62892" s="111"/>
      <c r="EF62892"/>
      <c r="EG62892"/>
      <c r="EH62892"/>
      <c r="EI62892"/>
      <c r="EJ62892"/>
      <c r="EK62892"/>
    </row>
    <row r="62893" spans="1:141" s="116" customFormat="1">
      <c r="A62893" s="136"/>
      <c r="CM62893" s="111"/>
      <c r="CQ62893" s="111"/>
      <c r="EF62893"/>
      <c r="EG62893"/>
      <c r="EH62893"/>
      <c r="EI62893"/>
      <c r="EJ62893"/>
      <c r="EK62893"/>
    </row>
    <row r="62894" spans="1:141" s="116" customFormat="1">
      <c r="A62894" s="136"/>
      <c r="CM62894" s="111"/>
      <c r="CQ62894" s="111"/>
      <c r="EF62894"/>
      <c r="EG62894"/>
      <c r="EH62894"/>
      <c r="EI62894"/>
      <c r="EJ62894"/>
      <c r="EK62894"/>
    </row>
    <row r="62895" spans="1:141" s="116" customFormat="1">
      <c r="A62895" s="136"/>
      <c r="CM62895" s="111"/>
      <c r="CQ62895" s="111"/>
      <c r="EF62895"/>
      <c r="EG62895"/>
      <c r="EH62895"/>
      <c r="EI62895"/>
      <c r="EJ62895"/>
      <c r="EK62895"/>
    </row>
    <row r="62896" spans="1:141" s="116" customFormat="1">
      <c r="A62896" s="136"/>
      <c r="CM62896" s="111"/>
      <c r="CQ62896" s="111"/>
      <c r="EF62896"/>
      <c r="EG62896"/>
      <c r="EH62896"/>
      <c r="EI62896"/>
      <c r="EJ62896"/>
      <c r="EK62896"/>
    </row>
    <row r="62897" spans="1:141" s="116" customFormat="1">
      <c r="A62897" s="136"/>
      <c r="CM62897" s="111"/>
      <c r="CQ62897" s="111"/>
      <c r="EF62897"/>
      <c r="EG62897"/>
      <c r="EH62897"/>
      <c r="EI62897"/>
      <c r="EJ62897"/>
      <c r="EK62897"/>
    </row>
    <row r="62898" spans="1:141" s="116" customFormat="1">
      <c r="A62898" s="136"/>
      <c r="CM62898" s="111"/>
      <c r="CQ62898" s="111"/>
      <c r="EF62898"/>
      <c r="EG62898"/>
      <c r="EH62898"/>
      <c r="EI62898"/>
      <c r="EJ62898"/>
      <c r="EK62898"/>
    </row>
    <row r="62899" spans="1:141" s="116" customFormat="1">
      <c r="A62899" s="136"/>
      <c r="CM62899" s="111"/>
      <c r="CQ62899" s="111"/>
      <c r="EF62899"/>
      <c r="EG62899"/>
      <c r="EH62899"/>
      <c r="EI62899"/>
      <c r="EJ62899"/>
      <c r="EK62899"/>
    </row>
    <row r="62900" spans="1:141" s="116" customFormat="1">
      <c r="A62900" s="136"/>
      <c r="CM62900" s="111"/>
      <c r="CQ62900" s="111"/>
      <c r="EF62900"/>
      <c r="EG62900"/>
      <c r="EH62900"/>
      <c r="EI62900"/>
      <c r="EJ62900"/>
      <c r="EK62900"/>
    </row>
    <row r="62901" spans="1:141" s="116" customFormat="1">
      <c r="A62901" s="136"/>
      <c r="CM62901" s="111"/>
      <c r="CQ62901" s="111"/>
      <c r="EF62901"/>
      <c r="EG62901"/>
      <c r="EH62901"/>
      <c r="EI62901"/>
      <c r="EJ62901"/>
      <c r="EK62901"/>
    </row>
    <row r="62902" spans="1:141" s="116" customFormat="1">
      <c r="A62902" s="136"/>
      <c r="CM62902" s="111"/>
      <c r="CQ62902" s="111"/>
      <c r="EF62902"/>
      <c r="EG62902"/>
      <c r="EH62902"/>
      <c r="EI62902"/>
      <c r="EJ62902"/>
      <c r="EK62902"/>
    </row>
    <row r="62903" spans="1:141" s="116" customFormat="1">
      <c r="A62903" s="136"/>
      <c r="CM62903" s="111"/>
      <c r="CQ62903" s="111"/>
      <c r="EF62903"/>
      <c r="EG62903"/>
      <c r="EH62903"/>
      <c r="EI62903"/>
      <c r="EJ62903"/>
      <c r="EK62903"/>
    </row>
    <row r="62904" spans="1:141" s="116" customFormat="1">
      <c r="A62904" s="136"/>
      <c r="CM62904" s="111"/>
      <c r="CQ62904" s="111"/>
      <c r="EF62904"/>
      <c r="EG62904"/>
      <c r="EH62904"/>
      <c r="EI62904"/>
      <c r="EJ62904"/>
      <c r="EK62904"/>
    </row>
    <row r="62905" spans="1:141" s="116" customFormat="1">
      <c r="A62905" s="136"/>
      <c r="CM62905" s="111"/>
      <c r="CQ62905" s="111"/>
      <c r="EF62905"/>
      <c r="EG62905"/>
      <c r="EH62905"/>
      <c r="EI62905"/>
      <c r="EJ62905"/>
      <c r="EK62905"/>
    </row>
    <row r="62906" spans="1:141" s="116" customFormat="1">
      <c r="A62906" s="136"/>
      <c r="CM62906" s="111"/>
      <c r="CQ62906" s="111"/>
      <c r="EF62906"/>
      <c r="EG62906"/>
      <c r="EH62906"/>
      <c r="EI62906"/>
      <c r="EJ62906"/>
      <c r="EK62906"/>
    </row>
    <row r="62907" spans="1:141" s="116" customFormat="1">
      <c r="A62907" s="136"/>
      <c r="CM62907" s="111"/>
      <c r="CQ62907" s="111"/>
      <c r="EF62907"/>
      <c r="EG62907"/>
      <c r="EH62907"/>
      <c r="EI62907"/>
      <c r="EJ62907"/>
      <c r="EK62907"/>
    </row>
    <row r="62908" spans="1:141" s="116" customFormat="1">
      <c r="A62908" s="136"/>
      <c r="CM62908" s="111"/>
      <c r="CQ62908" s="111"/>
      <c r="EF62908"/>
      <c r="EG62908"/>
      <c r="EH62908"/>
      <c r="EI62908"/>
      <c r="EJ62908"/>
      <c r="EK62908"/>
    </row>
    <row r="62909" spans="1:141" s="116" customFormat="1">
      <c r="A62909" s="136"/>
      <c r="CM62909" s="111"/>
      <c r="CQ62909" s="111"/>
      <c r="EF62909"/>
      <c r="EG62909"/>
      <c r="EH62909"/>
      <c r="EI62909"/>
      <c r="EJ62909"/>
      <c r="EK62909"/>
    </row>
    <row r="62910" spans="1:141" s="116" customFormat="1">
      <c r="A62910" s="136"/>
      <c r="CM62910" s="111"/>
      <c r="CQ62910" s="111"/>
      <c r="EF62910"/>
      <c r="EG62910"/>
      <c r="EH62910"/>
      <c r="EI62910"/>
      <c r="EJ62910"/>
      <c r="EK62910"/>
    </row>
    <row r="62911" spans="1:141" s="116" customFormat="1">
      <c r="A62911" s="136"/>
      <c r="CM62911" s="111"/>
      <c r="CQ62911" s="111"/>
      <c r="EF62911"/>
      <c r="EG62911"/>
      <c r="EH62911"/>
      <c r="EI62911"/>
      <c r="EJ62911"/>
      <c r="EK62911"/>
    </row>
    <row r="62912" spans="1:141" s="116" customFormat="1">
      <c r="A62912" s="136"/>
      <c r="CM62912" s="111"/>
      <c r="CQ62912" s="111"/>
      <c r="EF62912"/>
      <c r="EG62912"/>
      <c r="EH62912"/>
      <c r="EI62912"/>
      <c r="EJ62912"/>
      <c r="EK62912"/>
    </row>
    <row r="62913" spans="1:141" s="116" customFormat="1">
      <c r="A62913" s="136"/>
      <c r="CM62913" s="111"/>
      <c r="CQ62913" s="111"/>
      <c r="EF62913"/>
      <c r="EG62913"/>
      <c r="EH62913"/>
      <c r="EI62913"/>
      <c r="EJ62913"/>
      <c r="EK62913"/>
    </row>
    <row r="62914" spans="1:141" s="116" customFormat="1">
      <c r="A62914" s="136"/>
      <c r="CM62914" s="111"/>
      <c r="CQ62914" s="111"/>
      <c r="EF62914"/>
      <c r="EG62914"/>
      <c r="EH62914"/>
      <c r="EI62914"/>
      <c r="EJ62914"/>
      <c r="EK62914"/>
    </row>
    <row r="62915" spans="1:141" s="116" customFormat="1">
      <c r="A62915" s="136"/>
      <c r="CM62915" s="111"/>
      <c r="CQ62915" s="111"/>
      <c r="EF62915"/>
      <c r="EG62915"/>
      <c r="EH62915"/>
      <c r="EI62915"/>
      <c r="EJ62915"/>
      <c r="EK62915"/>
    </row>
    <row r="62916" spans="1:141" s="116" customFormat="1">
      <c r="A62916" s="136"/>
      <c r="CM62916" s="111"/>
      <c r="CQ62916" s="111"/>
      <c r="EF62916"/>
      <c r="EG62916"/>
      <c r="EH62916"/>
      <c r="EI62916"/>
      <c r="EJ62916"/>
      <c r="EK62916"/>
    </row>
    <row r="62917" spans="1:141" s="116" customFormat="1">
      <c r="A62917" s="136"/>
      <c r="CM62917" s="111"/>
      <c r="CQ62917" s="111"/>
      <c r="EF62917"/>
      <c r="EG62917"/>
      <c r="EH62917"/>
      <c r="EI62917"/>
      <c r="EJ62917"/>
      <c r="EK62917"/>
    </row>
    <row r="62918" spans="1:141" s="116" customFormat="1">
      <c r="A62918" s="136"/>
      <c r="CM62918" s="111"/>
      <c r="CQ62918" s="111"/>
      <c r="EF62918"/>
      <c r="EG62918"/>
      <c r="EH62918"/>
      <c r="EI62918"/>
      <c r="EJ62918"/>
      <c r="EK62918"/>
    </row>
    <row r="62919" spans="1:141" s="116" customFormat="1">
      <c r="A62919" s="136"/>
      <c r="CM62919" s="111"/>
      <c r="CQ62919" s="111"/>
      <c r="EF62919"/>
      <c r="EG62919"/>
      <c r="EH62919"/>
      <c r="EI62919"/>
      <c r="EJ62919"/>
      <c r="EK62919"/>
    </row>
    <row r="62920" spans="1:141" s="116" customFormat="1">
      <c r="A62920" s="136"/>
      <c r="CM62920" s="111"/>
      <c r="CQ62920" s="111"/>
      <c r="EF62920"/>
      <c r="EG62920"/>
      <c r="EH62920"/>
      <c r="EI62920"/>
      <c r="EJ62920"/>
      <c r="EK62920"/>
    </row>
    <row r="62921" spans="1:141" s="116" customFormat="1">
      <c r="A62921" s="136"/>
      <c r="CM62921" s="111"/>
      <c r="CQ62921" s="111"/>
      <c r="EF62921"/>
      <c r="EG62921"/>
      <c r="EH62921"/>
      <c r="EI62921"/>
      <c r="EJ62921"/>
      <c r="EK62921"/>
    </row>
    <row r="62922" spans="1:141" s="116" customFormat="1">
      <c r="A62922" s="136"/>
      <c r="CM62922" s="111"/>
      <c r="CQ62922" s="111"/>
      <c r="EF62922"/>
      <c r="EG62922"/>
      <c r="EH62922"/>
      <c r="EI62922"/>
      <c r="EJ62922"/>
      <c r="EK62922"/>
    </row>
    <row r="62923" spans="1:141" s="116" customFormat="1">
      <c r="A62923" s="136"/>
      <c r="CM62923" s="111"/>
      <c r="CQ62923" s="111"/>
      <c r="EF62923"/>
      <c r="EG62923"/>
      <c r="EH62923"/>
      <c r="EI62923"/>
      <c r="EJ62923"/>
      <c r="EK62923"/>
    </row>
    <row r="62924" spans="1:141" s="116" customFormat="1">
      <c r="A62924" s="136"/>
      <c r="CM62924" s="111"/>
      <c r="CQ62924" s="111"/>
      <c r="EF62924"/>
      <c r="EG62924"/>
      <c r="EH62924"/>
      <c r="EI62924"/>
      <c r="EJ62924"/>
      <c r="EK62924"/>
    </row>
    <row r="62925" spans="1:141" s="116" customFormat="1">
      <c r="A62925" s="136"/>
      <c r="CM62925" s="111"/>
      <c r="CQ62925" s="111"/>
      <c r="EF62925"/>
      <c r="EG62925"/>
      <c r="EH62925"/>
      <c r="EI62925"/>
      <c r="EJ62925"/>
      <c r="EK62925"/>
    </row>
    <row r="62926" spans="1:141" s="116" customFormat="1">
      <c r="A62926" s="136"/>
      <c r="CM62926" s="111"/>
      <c r="CQ62926" s="111"/>
      <c r="EF62926"/>
      <c r="EG62926"/>
      <c r="EH62926"/>
      <c r="EI62926"/>
      <c r="EJ62926"/>
      <c r="EK62926"/>
    </row>
    <row r="62927" spans="1:141" s="116" customFormat="1">
      <c r="A62927" s="136"/>
      <c r="CM62927" s="111"/>
      <c r="CQ62927" s="111"/>
      <c r="EF62927"/>
      <c r="EG62927"/>
      <c r="EH62927"/>
      <c r="EI62927"/>
      <c r="EJ62927"/>
      <c r="EK62927"/>
    </row>
    <row r="62928" spans="1:141" s="116" customFormat="1">
      <c r="A62928" s="136"/>
      <c r="CM62928" s="111"/>
      <c r="CQ62928" s="111"/>
      <c r="EF62928"/>
      <c r="EG62928"/>
      <c r="EH62928"/>
      <c r="EI62928"/>
      <c r="EJ62928"/>
      <c r="EK62928"/>
    </row>
    <row r="62929" spans="1:141" s="116" customFormat="1">
      <c r="A62929" s="136"/>
      <c r="CM62929" s="111"/>
      <c r="CQ62929" s="111"/>
      <c r="EF62929"/>
      <c r="EG62929"/>
      <c r="EH62929"/>
      <c r="EI62929"/>
      <c r="EJ62929"/>
      <c r="EK62929"/>
    </row>
    <row r="62930" spans="1:141" s="116" customFormat="1">
      <c r="A62930" s="136"/>
      <c r="CM62930" s="111"/>
      <c r="CQ62930" s="111"/>
      <c r="EF62930"/>
      <c r="EG62930"/>
      <c r="EH62930"/>
      <c r="EI62930"/>
      <c r="EJ62930"/>
      <c r="EK62930"/>
    </row>
    <row r="62931" spans="1:141" s="116" customFormat="1">
      <c r="A62931" s="136"/>
      <c r="CM62931" s="111"/>
      <c r="CQ62931" s="111"/>
      <c r="EF62931"/>
      <c r="EG62931"/>
      <c r="EH62931"/>
      <c r="EI62931"/>
      <c r="EJ62931"/>
      <c r="EK62931"/>
    </row>
    <row r="62932" spans="1:141" s="116" customFormat="1">
      <c r="A62932" s="136"/>
      <c r="CM62932" s="111"/>
      <c r="CQ62932" s="111"/>
      <c r="EF62932"/>
      <c r="EG62932"/>
      <c r="EH62932"/>
      <c r="EI62932"/>
      <c r="EJ62932"/>
      <c r="EK62932"/>
    </row>
    <row r="62933" spans="1:141" s="116" customFormat="1">
      <c r="A62933" s="136"/>
      <c r="CM62933" s="111"/>
      <c r="CQ62933" s="111"/>
      <c r="EF62933"/>
      <c r="EG62933"/>
      <c r="EH62933"/>
      <c r="EI62933"/>
      <c r="EJ62933"/>
      <c r="EK62933"/>
    </row>
    <row r="62934" spans="1:141" s="116" customFormat="1">
      <c r="A62934" s="136"/>
      <c r="CM62934" s="111"/>
      <c r="CQ62934" s="111"/>
      <c r="EF62934"/>
      <c r="EG62934"/>
      <c r="EH62934"/>
      <c r="EI62934"/>
      <c r="EJ62934"/>
      <c r="EK62934"/>
    </row>
    <row r="62935" spans="1:141" s="116" customFormat="1">
      <c r="A62935" s="136"/>
      <c r="CM62935" s="111"/>
      <c r="CQ62935" s="111"/>
      <c r="EF62935"/>
      <c r="EG62935"/>
      <c r="EH62935"/>
      <c r="EI62935"/>
      <c r="EJ62935"/>
      <c r="EK62935"/>
    </row>
    <row r="62936" spans="1:141" s="116" customFormat="1">
      <c r="A62936" s="136"/>
      <c r="CM62936" s="111"/>
      <c r="CQ62936" s="111"/>
      <c r="EF62936"/>
      <c r="EG62936"/>
      <c r="EH62936"/>
      <c r="EI62936"/>
      <c r="EJ62936"/>
      <c r="EK62936"/>
    </row>
    <row r="62937" spans="1:141" s="116" customFormat="1">
      <c r="A62937" s="136"/>
      <c r="CM62937" s="111"/>
      <c r="CQ62937" s="111"/>
      <c r="EF62937"/>
      <c r="EG62937"/>
      <c r="EH62937"/>
      <c r="EI62937"/>
      <c r="EJ62937"/>
      <c r="EK62937"/>
    </row>
    <row r="62938" spans="1:141" s="116" customFormat="1">
      <c r="A62938" s="136"/>
      <c r="CM62938" s="111"/>
      <c r="CQ62938" s="111"/>
      <c r="EF62938"/>
      <c r="EG62938"/>
      <c r="EH62938"/>
      <c r="EI62938"/>
      <c r="EJ62938"/>
      <c r="EK62938"/>
    </row>
    <row r="62939" spans="1:141" s="116" customFormat="1">
      <c r="A62939" s="136"/>
      <c r="CM62939" s="111"/>
      <c r="CQ62939" s="111"/>
      <c r="EF62939"/>
      <c r="EG62939"/>
      <c r="EH62939"/>
      <c r="EI62939"/>
      <c r="EJ62939"/>
      <c r="EK62939"/>
    </row>
    <row r="62940" spans="1:141" s="116" customFormat="1">
      <c r="A62940" s="136"/>
      <c r="CM62940" s="111"/>
      <c r="CQ62940" s="111"/>
      <c r="EF62940"/>
      <c r="EG62940"/>
      <c r="EH62940"/>
      <c r="EI62940"/>
      <c r="EJ62940"/>
      <c r="EK62940"/>
    </row>
    <row r="62941" spans="1:141" s="116" customFormat="1">
      <c r="A62941" s="136"/>
      <c r="CM62941" s="111"/>
      <c r="CQ62941" s="111"/>
      <c r="EF62941"/>
      <c r="EG62941"/>
      <c r="EH62941"/>
      <c r="EI62941"/>
      <c r="EJ62941"/>
      <c r="EK62941"/>
    </row>
    <row r="62942" spans="1:141" s="116" customFormat="1">
      <c r="A62942" s="136"/>
      <c r="CM62942" s="111"/>
      <c r="CQ62942" s="111"/>
      <c r="EF62942"/>
      <c r="EG62942"/>
      <c r="EH62942"/>
      <c r="EI62942"/>
      <c r="EJ62942"/>
      <c r="EK62942"/>
    </row>
    <row r="62943" spans="1:141" s="116" customFormat="1">
      <c r="A62943" s="136"/>
      <c r="CM62943" s="111"/>
      <c r="CQ62943" s="111"/>
      <c r="EF62943"/>
      <c r="EG62943"/>
      <c r="EH62943"/>
      <c r="EI62943"/>
      <c r="EJ62943"/>
      <c r="EK62943"/>
    </row>
    <row r="62944" spans="1:141" s="116" customFormat="1">
      <c r="A62944" s="136"/>
      <c r="CM62944" s="111"/>
      <c r="CQ62944" s="111"/>
      <c r="EF62944"/>
      <c r="EG62944"/>
      <c r="EH62944"/>
      <c r="EI62944"/>
      <c r="EJ62944"/>
      <c r="EK62944"/>
    </row>
    <row r="62945" spans="1:141" s="116" customFormat="1">
      <c r="A62945" s="136"/>
      <c r="CM62945" s="111"/>
      <c r="CQ62945" s="111"/>
      <c r="EF62945"/>
      <c r="EG62945"/>
      <c r="EH62945"/>
      <c r="EI62945"/>
      <c r="EJ62945"/>
      <c r="EK62945"/>
    </row>
    <row r="62946" spans="1:141" s="116" customFormat="1">
      <c r="A62946" s="136"/>
      <c r="CM62946" s="111"/>
      <c r="CQ62946" s="111"/>
      <c r="EF62946"/>
      <c r="EG62946"/>
      <c r="EH62946"/>
      <c r="EI62946"/>
      <c r="EJ62946"/>
      <c r="EK62946"/>
    </row>
    <row r="62947" spans="1:141" s="116" customFormat="1">
      <c r="A62947" s="136"/>
      <c r="CM62947" s="111"/>
      <c r="CQ62947" s="111"/>
      <c r="EF62947"/>
      <c r="EG62947"/>
      <c r="EH62947"/>
      <c r="EI62947"/>
      <c r="EJ62947"/>
      <c r="EK62947"/>
    </row>
    <row r="62948" spans="1:141" s="116" customFormat="1">
      <c r="A62948" s="136"/>
      <c r="CM62948" s="111"/>
      <c r="CQ62948" s="111"/>
      <c r="EF62948"/>
      <c r="EG62948"/>
      <c r="EH62948"/>
      <c r="EI62948"/>
      <c r="EJ62948"/>
      <c r="EK62948"/>
    </row>
    <row r="62949" spans="1:141" s="116" customFormat="1">
      <c r="A62949" s="136"/>
      <c r="CM62949" s="111"/>
      <c r="CQ62949" s="111"/>
      <c r="EF62949"/>
      <c r="EG62949"/>
      <c r="EH62949"/>
      <c r="EI62949"/>
      <c r="EJ62949"/>
      <c r="EK62949"/>
    </row>
    <row r="62950" spans="1:141" s="116" customFormat="1">
      <c r="A62950" s="136"/>
      <c r="CM62950" s="111"/>
      <c r="CQ62950" s="111"/>
      <c r="EF62950"/>
      <c r="EG62950"/>
      <c r="EH62950"/>
      <c r="EI62950"/>
      <c r="EJ62950"/>
      <c r="EK62950"/>
    </row>
    <row r="62951" spans="1:141" s="116" customFormat="1">
      <c r="A62951" s="136"/>
      <c r="CM62951" s="111"/>
      <c r="CQ62951" s="111"/>
      <c r="EF62951"/>
      <c r="EG62951"/>
      <c r="EH62951"/>
      <c r="EI62951"/>
      <c r="EJ62951"/>
      <c r="EK62951"/>
    </row>
    <row r="62952" spans="1:141" s="116" customFormat="1">
      <c r="A62952" s="136"/>
      <c r="CM62952" s="111"/>
      <c r="CQ62952" s="111"/>
      <c r="EF62952"/>
      <c r="EG62952"/>
      <c r="EH62952"/>
      <c r="EI62952"/>
      <c r="EJ62952"/>
      <c r="EK62952"/>
    </row>
    <row r="62953" spans="1:141" s="116" customFormat="1">
      <c r="A62953" s="136"/>
      <c r="CM62953" s="111"/>
      <c r="CQ62953" s="111"/>
      <c r="EF62953"/>
      <c r="EG62953"/>
      <c r="EH62953"/>
      <c r="EI62953"/>
      <c r="EJ62953"/>
      <c r="EK62953"/>
    </row>
    <row r="62954" spans="1:141" s="116" customFormat="1">
      <c r="A62954" s="136"/>
      <c r="CM62954" s="111"/>
      <c r="CQ62954" s="111"/>
      <c r="EF62954"/>
      <c r="EG62954"/>
      <c r="EH62954"/>
      <c r="EI62954"/>
      <c r="EJ62954"/>
      <c r="EK62954"/>
    </row>
    <row r="62955" spans="1:141" s="116" customFormat="1">
      <c r="A62955" s="136"/>
      <c r="CM62955" s="111"/>
      <c r="CQ62955" s="111"/>
      <c r="EF62955"/>
      <c r="EG62955"/>
      <c r="EH62955"/>
      <c r="EI62955"/>
      <c r="EJ62955"/>
      <c r="EK62955"/>
    </row>
    <row r="62956" spans="1:141" s="116" customFormat="1">
      <c r="A62956" s="136"/>
      <c r="CM62956" s="111"/>
      <c r="CQ62956" s="111"/>
      <c r="EF62956"/>
      <c r="EG62956"/>
      <c r="EH62956"/>
      <c r="EI62956"/>
      <c r="EJ62956"/>
      <c r="EK62956"/>
    </row>
    <row r="62957" spans="1:141" s="116" customFormat="1">
      <c r="A62957" s="136"/>
      <c r="CM62957" s="111"/>
      <c r="CQ62957" s="111"/>
      <c r="EF62957"/>
      <c r="EG62957"/>
      <c r="EH62957"/>
      <c r="EI62957"/>
      <c r="EJ62957"/>
      <c r="EK62957"/>
    </row>
    <row r="62958" spans="1:141" s="116" customFormat="1">
      <c r="A62958" s="136"/>
      <c r="CM62958" s="111"/>
      <c r="CQ62958" s="111"/>
      <c r="EF62958"/>
      <c r="EG62958"/>
      <c r="EH62958"/>
      <c r="EI62958"/>
      <c r="EJ62958"/>
      <c r="EK62958"/>
    </row>
    <row r="62959" spans="1:141" s="116" customFormat="1">
      <c r="A62959" s="136"/>
      <c r="CM62959" s="111"/>
      <c r="CQ62959" s="111"/>
      <c r="EF62959"/>
      <c r="EG62959"/>
      <c r="EH62959"/>
      <c r="EI62959"/>
      <c r="EJ62959"/>
      <c r="EK62959"/>
    </row>
    <row r="62960" spans="1:141" s="116" customFormat="1">
      <c r="A62960" s="136"/>
      <c r="CM62960" s="111"/>
      <c r="CQ62960" s="111"/>
      <c r="EF62960"/>
      <c r="EG62960"/>
      <c r="EH62960"/>
      <c r="EI62960"/>
      <c r="EJ62960"/>
      <c r="EK62960"/>
    </row>
    <row r="62961" spans="1:141" s="116" customFormat="1">
      <c r="A62961" s="136"/>
      <c r="CM62961" s="111"/>
      <c r="CQ62961" s="111"/>
      <c r="EF62961"/>
      <c r="EG62961"/>
      <c r="EH62961"/>
      <c r="EI62961"/>
      <c r="EJ62961"/>
      <c r="EK62961"/>
    </row>
    <row r="62962" spans="1:141" s="116" customFormat="1">
      <c r="A62962" s="136"/>
      <c r="CM62962" s="111"/>
      <c r="CQ62962" s="111"/>
      <c r="EF62962"/>
      <c r="EG62962"/>
      <c r="EH62962"/>
      <c r="EI62962"/>
      <c r="EJ62962"/>
      <c r="EK62962"/>
    </row>
    <row r="62963" spans="1:141" s="116" customFormat="1">
      <c r="A62963" s="136"/>
      <c r="CM62963" s="111"/>
      <c r="CQ62963" s="111"/>
      <c r="EF62963"/>
      <c r="EG62963"/>
      <c r="EH62963"/>
      <c r="EI62963"/>
      <c r="EJ62963"/>
      <c r="EK62963"/>
    </row>
    <row r="62964" spans="1:141" s="116" customFormat="1">
      <c r="A62964" s="136"/>
      <c r="CM62964" s="111"/>
      <c r="CQ62964" s="111"/>
      <c r="EF62964"/>
      <c r="EG62964"/>
      <c r="EH62964"/>
      <c r="EI62964"/>
      <c r="EJ62964"/>
      <c r="EK62964"/>
    </row>
    <row r="62965" spans="1:141" s="116" customFormat="1">
      <c r="A62965" s="136"/>
      <c r="CM62965" s="111"/>
      <c r="CQ62965" s="111"/>
      <c r="EF62965"/>
      <c r="EG62965"/>
      <c r="EH62965"/>
      <c r="EI62965"/>
      <c r="EJ62965"/>
      <c r="EK62965"/>
    </row>
    <row r="62966" spans="1:141" s="116" customFormat="1">
      <c r="A62966" s="136"/>
      <c r="CM62966" s="111"/>
      <c r="CQ62966" s="111"/>
      <c r="EF62966"/>
      <c r="EG62966"/>
      <c r="EH62966"/>
      <c r="EI62966"/>
      <c r="EJ62966"/>
      <c r="EK62966"/>
    </row>
    <row r="62967" spans="1:141" s="116" customFormat="1">
      <c r="A62967" s="136"/>
      <c r="CM62967" s="111"/>
      <c r="CQ62967" s="111"/>
      <c r="EF62967"/>
      <c r="EG62967"/>
      <c r="EH62967"/>
      <c r="EI62967"/>
      <c r="EJ62967"/>
      <c r="EK62967"/>
    </row>
    <row r="62968" spans="1:141" s="116" customFormat="1">
      <c r="A62968" s="136"/>
      <c r="CM62968" s="111"/>
      <c r="CQ62968" s="111"/>
      <c r="EF62968"/>
      <c r="EG62968"/>
      <c r="EH62968"/>
      <c r="EI62968"/>
      <c r="EJ62968"/>
      <c r="EK62968"/>
    </row>
    <row r="62969" spans="1:141" s="116" customFormat="1">
      <c r="A62969" s="136"/>
      <c r="CM62969" s="111"/>
      <c r="CQ62969" s="111"/>
      <c r="EF62969"/>
      <c r="EG62969"/>
      <c r="EH62969"/>
      <c r="EI62969"/>
      <c r="EJ62969"/>
      <c r="EK62969"/>
    </row>
    <row r="62970" spans="1:141" s="116" customFormat="1">
      <c r="A62970" s="136"/>
      <c r="CM62970" s="111"/>
      <c r="CQ62970" s="111"/>
      <c r="EF62970"/>
      <c r="EG62970"/>
      <c r="EH62970"/>
      <c r="EI62970"/>
      <c r="EJ62970"/>
      <c r="EK62970"/>
    </row>
    <row r="62971" spans="1:141" s="116" customFormat="1">
      <c r="A62971" s="136"/>
      <c r="CM62971" s="111"/>
      <c r="CQ62971" s="111"/>
      <c r="EF62971"/>
      <c r="EG62971"/>
      <c r="EH62971"/>
      <c r="EI62971"/>
      <c r="EJ62971"/>
      <c r="EK62971"/>
    </row>
    <row r="62972" spans="1:141" s="116" customFormat="1">
      <c r="A62972" s="136"/>
      <c r="CM62972" s="111"/>
      <c r="CQ62972" s="111"/>
      <c r="EF62972"/>
      <c r="EG62972"/>
      <c r="EH62972"/>
      <c r="EI62972"/>
      <c r="EJ62972"/>
      <c r="EK62972"/>
    </row>
    <row r="62973" spans="1:141" s="116" customFormat="1">
      <c r="A62973" s="136"/>
      <c r="CM62973" s="111"/>
      <c r="CQ62973" s="111"/>
      <c r="EF62973"/>
      <c r="EG62973"/>
      <c r="EH62973"/>
      <c r="EI62973"/>
      <c r="EJ62973"/>
      <c r="EK62973"/>
    </row>
    <row r="62974" spans="1:141" s="116" customFormat="1">
      <c r="A62974" s="136"/>
      <c r="CM62974" s="111"/>
      <c r="CQ62974" s="111"/>
      <c r="EF62974"/>
      <c r="EG62974"/>
      <c r="EH62974"/>
      <c r="EI62974"/>
      <c r="EJ62974"/>
      <c r="EK62974"/>
    </row>
    <row r="62975" spans="1:141" s="116" customFormat="1">
      <c r="A62975" s="136"/>
      <c r="CM62975" s="111"/>
      <c r="CQ62975" s="111"/>
      <c r="EF62975"/>
      <c r="EG62975"/>
      <c r="EH62975"/>
      <c r="EI62975"/>
      <c r="EJ62975"/>
      <c r="EK62975"/>
    </row>
    <row r="62976" spans="1:141" s="116" customFormat="1">
      <c r="A62976" s="136"/>
      <c r="CM62976" s="111"/>
      <c r="CQ62976" s="111"/>
      <c r="EF62976"/>
      <c r="EG62976"/>
      <c r="EH62976"/>
      <c r="EI62976"/>
      <c r="EJ62976"/>
      <c r="EK62976"/>
    </row>
    <row r="62977" spans="1:141" s="116" customFormat="1">
      <c r="A62977" s="136"/>
      <c r="CM62977" s="111"/>
      <c r="CQ62977" s="111"/>
      <c r="EF62977"/>
      <c r="EG62977"/>
      <c r="EH62977"/>
      <c r="EI62977"/>
      <c r="EJ62977"/>
      <c r="EK62977"/>
    </row>
    <row r="62978" spans="1:141" s="116" customFormat="1">
      <c r="A62978" s="136"/>
      <c r="CM62978" s="111"/>
      <c r="CQ62978" s="111"/>
      <c r="EF62978"/>
      <c r="EG62978"/>
      <c r="EH62978"/>
      <c r="EI62978"/>
      <c r="EJ62978"/>
      <c r="EK62978"/>
    </row>
    <row r="62979" spans="1:141" s="116" customFormat="1">
      <c r="A62979" s="136"/>
      <c r="CM62979" s="111"/>
      <c r="CQ62979" s="111"/>
      <c r="EF62979"/>
      <c r="EG62979"/>
      <c r="EH62979"/>
      <c r="EI62979"/>
      <c r="EJ62979"/>
      <c r="EK62979"/>
    </row>
    <row r="62980" spans="1:141" s="116" customFormat="1">
      <c r="A62980" s="136"/>
      <c r="CM62980" s="111"/>
      <c r="CQ62980" s="111"/>
      <c r="EF62980"/>
      <c r="EG62980"/>
      <c r="EH62980"/>
      <c r="EI62980"/>
      <c r="EJ62980"/>
      <c r="EK62980"/>
    </row>
    <row r="62981" spans="1:141" s="116" customFormat="1">
      <c r="A62981" s="136"/>
      <c r="CM62981" s="111"/>
      <c r="CQ62981" s="111"/>
      <c r="EF62981"/>
      <c r="EG62981"/>
      <c r="EH62981"/>
      <c r="EI62981"/>
      <c r="EJ62981"/>
      <c r="EK62981"/>
    </row>
    <row r="62982" spans="1:141" s="116" customFormat="1">
      <c r="A62982" s="136"/>
      <c r="CM62982" s="111"/>
      <c r="CQ62982" s="111"/>
      <c r="EF62982"/>
      <c r="EG62982"/>
      <c r="EH62982"/>
      <c r="EI62982"/>
      <c r="EJ62982"/>
      <c r="EK62982"/>
    </row>
    <row r="62983" spans="1:141" s="116" customFormat="1">
      <c r="A62983" s="136"/>
      <c r="CM62983" s="111"/>
      <c r="CQ62983" s="111"/>
      <c r="EF62983"/>
      <c r="EG62983"/>
      <c r="EH62983"/>
      <c r="EI62983"/>
      <c r="EJ62983"/>
      <c r="EK62983"/>
    </row>
    <row r="62984" spans="1:141" s="116" customFormat="1">
      <c r="A62984" s="136"/>
      <c r="CM62984" s="111"/>
      <c r="CQ62984" s="111"/>
      <c r="EF62984"/>
      <c r="EG62984"/>
      <c r="EH62984"/>
      <c r="EI62984"/>
      <c r="EJ62984"/>
      <c r="EK62984"/>
    </row>
    <row r="62985" spans="1:141" s="116" customFormat="1">
      <c r="A62985" s="136"/>
      <c r="CM62985" s="111"/>
      <c r="CQ62985" s="111"/>
      <c r="EF62985"/>
      <c r="EG62985"/>
      <c r="EH62985"/>
      <c r="EI62985"/>
      <c r="EJ62985"/>
      <c r="EK62985"/>
    </row>
    <row r="62986" spans="1:141" s="116" customFormat="1">
      <c r="A62986" s="136"/>
      <c r="CM62986" s="111"/>
      <c r="CQ62986" s="111"/>
      <c r="EF62986"/>
      <c r="EG62986"/>
      <c r="EH62986"/>
      <c r="EI62986"/>
      <c r="EJ62986"/>
      <c r="EK62986"/>
    </row>
    <row r="62987" spans="1:141" s="116" customFormat="1">
      <c r="A62987" s="136"/>
      <c r="CM62987" s="111"/>
      <c r="CQ62987" s="111"/>
      <c r="EF62987"/>
      <c r="EG62987"/>
      <c r="EH62987"/>
      <c r="EI62987"/>
      <c r="EJ62987"/>
      <c r="EK62987"/>
    </row>
    <row r="62988" spans="1:141" s="116" customFormat="1">
      <c r="A62988" s="136"/>
      <c r="CM62988" s="111"/>
      <c r="CQ62988" s="111"/>
      <c r="EF62988"/>
      <c r="EG62988"/>
      <c r="EH62988"/>
      <c r="EI62988"/>
      <c r="EJ62988"/>
      <c r="EK62988"/>
    </row>
    <row r="62989" spans="1:141" s="116" customFormat="1">
      <c r="A62989" s="136"/>
      <c r="CM62989" s="111"/>
      <c r="CQ62989" s="111"/>
      <c r="EF62989"/>
      <c r="EG62989"/>
      <c r="EH62989"/>
      <c r="EI62989"/>
      <c r="EJ62989"/>
      <c r="EK62989"/>
    </row>
    <row r="62990" spans="1:141" s="116" customFormat="1">
      <c r="A62990" s="136"/>
      <c r="CM62990" s="111"/>
      <c r="CQ62990" s="111"/>
      <c r="EF62990"/>
      <c r="EG62990"/>
      <c r="EH62990"/>
      <c r="EI62990"/>
      <c r="EJ62990"/>
      <c r="EK62990"/>
    </row>
    <row r="62991" spans="1:141" s="116" customFormat="1">
      <c r="A62991" s="136"/>
      <c r="CM62991" s="111"/>
      <c r="CQ62991" s="111"/>
      <c r="EF62991"/>
      <c r="EG62991"/>
      <c r="EH62991"/>
      <c r="EI62991"/>
      <c r="EJ62991"/>
      <c r="EK62991"/>
    </row>
    <row r="62992" spans="1:141" s="116" customFormat="1">
      <c r="A62992" s="136"/>
      <c r="CM62992" s="111"/>
      <c r="CQ62992" s="111"/>
      <c r="EF62992"/>
      <c r="EG62992"/>
      <c r="EH62992"/>
      <c r="EI62992"/>
      <c r="EJ62992"/>
      <c r="EK62992"/>
    </row>
    <row r="62993" spans="1:141" s="116" customFormat="1">
      <c r="A62993" s="136"/>
      <c r="CM62993" s="111"/>
      <c r="CQ62993" s="111"/>
      <c r="EF62993"/>
      <c r="EG62993"/>
      <c r="EH62993"/>
      <c r="EI62993"/>
      <c r="EJ62993"/>
      <c r="EK62993"/>
    </row>
    <row r="62994" spans="1:141" s="116" customFormat="1">
      <c r="A62994" s="136"/>
      <c r="CM62994" s="111"/>
      <c r="CQ62994" s="111"/>
      <c r="EF62994"/>
      <c r="EG62994"/>
      <c r="EH62994"/>
      <c r="EI62994"/>
      <c r="EJ62994"/>
      <c r="EK62994"/>
    </row>
    <row r="62995" spans="1:141" s="116" customFormat="1">
      <c r="A62995" s="136"/>
      <c r="CM62995" s="111"/>
      <c r="CQ62995" s="111"/>
      <c r="EF62995"/>
      <c r="EG62995"/>
      <c r="EH62995"/>
      <c r="EI62995"/>
      <c r="EJ62995"/>
      <c r="EK62995"/>
    </row>
    <row r="62996" spans="1:141" s="116" customFormat="1">
      <c r="A62996" s="136"/>
      <c r="CM62996" s="111"/>
      <c r="CQ62996" s="111"/>
      <c r="EF62996"/>
      <c r="EG62996"/>
      <c r="EH62996"/>
      <c r="EI62996"/>
      <c r="EJ62996"/>
      <c r="EK62996"/>
    </row>
    <row r="62997" spans="1:141" s="116" customFormat="1">
      <c r="A62997" s="136"/>
      <c r="CM62997" s="111"/>
      <c r="CQ62997" s="111"/>
      <c r="EF62997"/>
      <c r="EG62997"/>
      <c r="EH62997"/>
      <c r="EI62997"/>
      <c r="EJ62997"/>
      <c r="EK62997"/>
    </row>
    <row r="62998" spans="1:141" s="116" customFormat="1">
      <c r="A62998" s="136"/>
      <c r="CM62998" s="111"/>
      <c r="CQ62998" s="111"/>
      <c r="EF62998"/>
      <c r="EG62998"/>
      <c r="EH62998"/>
      <c r="EI62998"/>
      <c r="EJ62998"/>
      <c r="EK62998"/>
    </row>
    <row r="62999" spans="1:141" s="116" customFormat="1">
      <c r="A62999" s="136"/>
      <c r="CM62999" s="111"/>
      <c r="CQ62999" s="111"/>
      <c r="EF62999"/>
      <c r="EG62999"/>
      <c r="EH62999"/>
      <c r="EI62999"/>
      <c r="EJ62999"/>
      <c r="EK62999"/>
    </row>
    <row r="63000" spans="1:141" s="116" customFormat="1">
      <c r="A63000" s="136"/>
      <c r="CM63000" s="111"/>
      <c r="CQ63000" s="111"/>
      <c r="EF63000"/>
      <c r="EG63000"/>
      <c r="EH63000"/>
      <c r="EI63000"/>
      <c r="EJ63000"/>
      <c r="EK63000"/>
    </row>
    <row r="63001" spans="1:141" s="116" customFormat="1">
      <c r="A63001" s="136"/>
      <c r="CM63001" s="111"/>
      <c r="CQ63001" s="111"/>
      <c r="EF63001"/>
      <c r="EG63001"/>
      <c r="EH63001"/>
      <c r="EI63001"/>
      <c r="EJ63001"/>
      <c r="EK63001"/>
    </row>
    <row r="63002" spans="1:141" s="116" customFormat="1">
      <c r="A63002" s="136"/>
      <c r="CM63002" s="111"/>
      <c r="CQ63002" s="111"/>
      <c r="EF63002"/>
      <c r="EG63002"/>
      <c r="EH63002"/>
      <c r="EI63002"/>
      <c r="EJ63002"/>
      <c r="EK63002"/>
    </row>
    <row r="63003" spans="1:141" s="116" customFormat="1">
      <c r="A63003" s="136"/>
      <c r="CM63003" s="111"/>
      <c r="CQ63003" s="111"/>
      <c r="EF63003"/>
      <c r="EG63003"/>
      <c r="EH63003"/>
      <c r="EI63003"/>
      <c r="EJ63003"/>
      <c r="EK63003"/>
    </row>
    <row r="63004" spans="1:141" s="116" customFormat="1">
      <c r="A63004" s="136"/>
      <c r="CM63004" s="111"/>
      <c r="CQ63004" s="111"/>
      <c r="EF63004"/>
      <c r="EG63004"/>
      <c r="EH63004"/>
      <c r="EI63004"/>
      <c r="EJ63004"/>
      <c r="EK63004"/>
    </row>
    <row r="63005" spans="1:141" s="116" customFormat="1">
      <c r="A63005" s="136"/>
      <c r="CM63005" s="111"/>
      <c r="CQ63005" s="111"/>
      <c r="EF63005"/>
      <c r="EG63005"/>
      <c r="EH63005"/>
      <c r="EI63005"/>
      <c r="EJ63005"/>
      <c r="EK63005"/>
    </row>
    <row r="63006" spans="1:141" s="116" customFormat="1">
      <c r="A63006" s="136"/>
      <c r="CM63006" s="111"/>
      <c r="CQ63006" s="111"/>
      <c r="EF63006"/>
      <c r="EG63006"/>
      <c r="EH63006"/>
      <c r="EI63006"/>
      <c r="EJ63006"/>
      <c r="EK63006"/>
    </row>
    <row r="63007" spans="1:141" s="116" customFormat="1">
      <c r="A63007" s="136"/>
      <c r="CM63007" s="111"/>
      <c r="CQ63007" s="111"/>
      <c r="EF63007"/>
      <c r="EG63007"/>
      <c r="EH63007"/>
      <c r="EI63007"/>
      <c r="EJ63007"/>
      <c r="EK63007"/>
    </row>
    <row r="63008" spans="1:141" s="116" customFormat="1">
      <c r="A63008" s="136"/>
      <c r="CM63008" s="111"/>
      <c r="CQ63008" s="111"/>
      <c r="EF63008"/>
      <c r="EG63008"/>
      <c r="EH63008"/>
      <c r="EI63008"/>
      <c r="EJ63008"/>
      <c r="EK63008"/>
    </row>
    <row r="63009" spans="1:141" s="116" customFormat="1">
      <c r="A63009" s="136"/>
      <c r="CM63009" s="111"/>
      <c r="CQ63009" s="111"/>
      <c r="EF63009"/>
      <c r="EG63009"/>
      <c r="EH63009"/>
      <c r="EI63009"/>
      <c r="EJ63009"/>
      <c r="EK63009"/>
    </row>
    <row r="63010" spans="1:141" s="116" customFormat="1">
      <c r="A63010" s="136"/>
      <c r="CM63010" s="111"/>
      <c r="CQ63010" s="111"/>
      <c r="EF63010"/>
      <c r="EG63010"/>
      <c r="EH63010"/>
      <c r="EI63010"/>
      <c r="EJ63010"/>
      <c r="EK63010"/>
    </row>
    <row r="63011" spans="1:141" s="116" customFormat="1">
      <c r="A63011" s="136"/>
      <c r="CM63011" s="111"/>
      <c r="CQ63011" s="111"/>
      <c r="EF63011"/>
      <c r="EG63011"/>
      <c r="EH63011"/>
      <c r="EI63011"/>
      <c r="EJ63011"/>
      <c r="EK63011"/>
    </row>
    <row r="63012" spans="1:141" s="116" customFormat="1">
      <c r="A63012" s="136"/>
      <c r="CM63012" s="111"/>
      <c r="CQ63012" s="111"/>
      <c r="EF63012"/>
      <c r="EG63012"/>
      <c r="EH63012"/>
      <c r="EI63012"/>
      <c r="EJ63012"/>
      <c r="EK63012"/>
    </row>
    <row r="63013" spans="1:141" s="116" customFormat="1">
      <c r="A63013" s="136"/>
      <c r="CM63013" s="111"/>
      <c r="CQ63013" s="111"/>
      <c r="EF63013"/>
      <c r="EG63013"/>
      <c r="EH63013"/>
      <c r="EI63013"/>
      <c r="EJ63013"/>
      <c r="EK63013"/>
    </row>
    <row r="63014" spans="1:141" s="116" customFormat="1">
      <c r="A63014" s="136"/>
      <c r="CM63014" s="111"/>
      <c r="CQ63014" s="111"/>
      <c r="EF63014"/>
      <c r="EG63014"/>
      <c r="EH63014"/>
      <c r="EI63014"/>
      <c r="EJ63014"/>
      <c r="EK63014"/>
    </row>
    <row r="63015" spans="1:141" s="116" customFormat="1">
      <c r="A63015" s="136"/>
      <c r="CM63015" s="111"/>
      <c r="CQ63015" s="111"/>
      <c r="EF63015"/>
      <c r="EG63015"/>
      <c r="EH63015"/>
      <c r="EI63015"/>
      <c r="EJ63015"/>
      <c r="EK63015"/>
    </row>
    <row r="63016" spans="1:141" s="116" customFormat="1">
      <c r="A63016" s="136"/>
      <c r="CM63016" s="111"/>
      <c r="CQ63016" s="111"/>
      <c r="EF63016"/>
      <c r="EG63016"/>
      <c r="EH63016"/>
      <c r="EI63016"/>
      <c r="EJ63016"/>
      <c r="EK63016"/>
    </row>
    <row r="63017" spans="1:141" s="116" customFormat="1">
      <c r="A63017" s="136"/>
      <c r="CM63017" s="111"/>
      <c r="CQ63017" s="111"/>
      <c r="EF63017"/>
      <c r="EG63017"/>
      <c r="EH63017"/>
      <c r="EI63017"/>
      <c r="EJ63017"/>
      <c r="EK63017"/>
    </row>
    <row r="63018" spans="1:141" s="116" customFormat="1">
      <c r="A63018" s="136"/>
      <c r="CM63018" s="111"/>
      <c r="CQ63018" s="111"/>
      <c r="EF63018"/>
      <c r="EG63018"/>
      <c r="EH63018"/>
      <c r="EI63018"/>
      <c r="EJ63018"/>
      <c r="EK63018"/>
    </row>
    <row r="63019" spans="1:141" s="116" customFormat="1">
      <c r="A63019" s="136"/>
      <c r="CM63019" s="111"/>
      <c r="CQ63019" s="111"/>
      <c r="EF63019"/>
      <c r="EG63019"/>
      <c r="EH63019"/>
      <c r="EI63019"/>
      <c r="EJ63019"/>
      <c r="EK63019"/>
    </row>
    <row r="63020" spans="1:141" s="116" customFormat="1">
      <c r="A63020" s="136"/>
      <c r="CM63020" s="111"/>
      <c r="CQ63020" s="111"/>
      <c r="EF63020"/>
      <c r="EG63020"/>
      <c r="EH63020"/>
      <c r="EI63020"/>
      <c r="EJ63020"/>
      <c r="EK63020"/>
    </row>
    <row r="63021" spans="1:141" s="116" customFormat="1">
      <c r="A63021" s="136"/>
      <c r="CM63021" s="111"/>
      <c r="CQ63021" s="111"/>
      <c r="EF63021"/>
      <c r="EG63021"/>
      <c r="EH63021"/>
      <c r="EI63021"/>
      <c r="EJ63021"/>
      <c r="EK63021"/>
    </row>
    <row r="63022" spans="1:141" s="116" customFormat="1">
      <c r="A63022" s="136"/>
      <c r="CM63022" s="111"/>
      <c r="CQ63022" s="111"/>
      <c r="EF63022"/>
      <c r="EG63022"/>
      <c r="EH63022"/>
      <c r="EI63022"/>
      <c r="EJ63022"/>
      <c r="EK63022"/>
    </row>
    <row r="63023" spans="1:141" s="116" customFormat="1">
      <c r="A63023" s="136"/>
      <c r="CM63023" s="111"/>
      <c r="CQ63023" s="111"/>
      <c r="EF63023"/>
      <c r="EG63023"/>
      <c r="EH63023"/>
      <c r="EI63023"/>
      <c r="EJ63023"/>
      <c r="EK63023"/>
    </row>
    <row r="63024" spans="1:141" s="116" customFormat="1">
      <c r="A63024" s="136"/>
      <c r="CM63024" s="111"/>
      <c r="CQ63024" s="111"/>
      <c r="EF63024"/>
      <c r="EG63024"/>
      <c r="EH63024"/>
      <c r="EI63024"/>
      <c r="EJ63024"/>
      <c r="EK63024"/>
    </row>
    <row r="63025" spans="1:141" s="116" customFormat="1">
      <c r="A63025" s="136"/>
      <c r="CM63025" s="111"/>
      <c r="CQ63025" s="111"/>
      <c r="EF63025"/>
      <c r="EG63025"/>
      <c r="EH63025"/>
      <c r="EI63025"/>
      <c r="EJ63025"/>
      <c r="EK63025"/>
    </row>
    <row r="63026" spans="1:141" s="116" customFormat="1">
      <c r="A63026" s="136"/>
      <c r="CM63026" s="111"/>
      <c r="CQ63026" s="111"/>
      <c r="EF63026"/>
      <c r="EG63026"/>
      <c r="EH63026"/>
      <c r="EI63026"/>
      <c r="EJ63026"/>
      <c r="EK63026"/>
    </row>
    <row r="63027" spans="1:141" s="116" customFormat="1">
      <c r="A63027" s="136"/>
      <c r="CM63027" s="111"/>
      <c r="CQ63027" s="111"/>
      <c r="EF63027"/>
      <c r="EG63027"/>
      <c r="EH63027"/>
      <c r="EI63027"/>
      <c r="EJ63027"/>
      <c r="EK63027"/>
    </row>
    <row r="63028" spans="1:141" s="116" customFormat="1">
      <c r="A63028" s="136"/>
      <c r="CM63028" s="111"/>
      <c r="CQ63028" s="111"/>
      <c r="EF63028"/>
      <c r="EG63028"/>
      <c r="EH63028"/>
      <c r="EI63028"/>
      <c r="EJ63028"/>
      <c r="EK63028"/>
    </row>
    <row r="63029" spans="1:141" s="116" customFormat="1">
      <c r="A63029" s="136"/>
      <c r="CM63029" s="111"/>
      <c r="CQ63029" s="111"/>
      <c r="EF63029"/>
      <c r="EG63029"/>
      <c r="EH63029"/>
      <c r="EI63029"/>
      <c r="EJ63029"/>
      <c r="EK63029"/>
    </row>
    <row r="63030" spans="1:141" s="116" customFormat="1">
      <c r="A63030" s="136"/>
      <c r="CM63030" s="111"/>
      <c r="CQ63030" s="111"/>
      <c r="EF63030"/>
      <c r="EG63030"/>
      <c r="EH63030"/>
      <c r="EI63030"/>
      <c r="EJ63030"/>
      <c r="EK63030"/>
    </row>
    <row r="63031" spans="1:141" s="116" customFormat="1">
      <c r="A63031" s="136"/>
      <c r="CM63031" s="111"/>
      <c r="CQ63031" s="111"/>
      <c r="EF63031"/>
      <c r="EG63031"/>
      <c r="EH63031"/>
      <c r="EI63031"/>
      <c r="EJ63031"/>
      <c r="EK63031"/>
    </row>
    <row r="63032" spans="1:141" s="116" customFormat="1">
      <c r="A63032" s="136"/>
      <c r="CM63032" s="111"/>
      <c r="CQ63032" s="111"/>
      <c r="EF63032"/>
      <c r="EG63032"/>
      <c r="EH63032"/>
      <c r="EI63032"/>
      <c r="EJ63032"/>
      <c r="EK63032"/>
    </row>
    <row r="63033" spans="1:141" s="116" customFormat="1">
      <c r="A63033" s="136"/>
      <c r="CM63033" s="111"/>
      <c r="CQ63033" s="111"/>
      <c r="EF63033"/>
      <c r="EG63033"/>
      <c r="EH63033"/>
      <c r="EI63033"/>
      <c r="EJ63033"/>
      <c r="EK63033"/>
    </row>
    <row r="63034" spans="1:141" s="116" customFormat="1">
      <c r="A63034" s="136"/>
      <c r="CM63034" s="111"/>
      <c r="CQ63034" s="111"/>
      <c r="EF63034"/>
      <c r="EG63034"/>
      <c r="EH63034"/>
      <c r="EI63034"/>
      <c r="EJ63034"/>
      <c r="EK63034"/>
    </row>
    <row r="63035" spans="1:141" s="116" customFormat="1">
      <c r="A63035" s="136"/>
      <c r="CM63035" s="111"/>
      <c r="CQ63035" s="111"/>
      <c r="EF63035"/>
      <c r="EG63035"/>
      <c r="EH63035"/>
      <c r="EI63035"/>
      <c r="EJ63035"/>
      <c r="EK63035"/>
    </row>
    <row r="63036" spans="1:141" s="116" customFormat="1">
      <c r="A63036" s="136"/>
      <c r="CM63036" s="111"/>
      <c r="CQ63036" s="111"/>
      <c r="EF63036"/>
      <c r="EG63036"/>
      <c r="EH63036"/>
      <c r="EI63036"/>
      <c r="EJ63036"/>
      <c r="EK63036"/>
    </row>
    <row r="63037" spans="1:141" s="116" customFormat="1">
      <c r="A63037" s="136"/>
      <c r="CM63037" s="111"/>
      <c r="CQ63037" s="111"/>
      <c r="EF63037"/>
      <c r="EG63037"/>
      <c r="EH63037"/>
      <c r="EI63037"/>
      <c r="EJ63037"/>
      <c r="EK63037"/>
    </row>
    <row r="63038" spans="1:141" s="116" customFormat="1">
      <c r="A63038" s="136"/>
      <c r="CM63038" s="111"/>
      <c r="CQ63038" s="111"/>
      <c r="EF63038"/>
      <c r="EG63038"/>
      <c r="EH63038"/>
      <c r="EI63038"/>
      <c r="EJ63038"/>
      <c r="EK63038"/>
    </row>
    <row r="63039" spans="1:141" s="116" customFormat="1">
      <c r="A63039" s="136"/>
      <c r="CM63039" s="111"/>
      <c r="CQ63039" s="111"/>
      <c r="EF63039"/>
      <c r="EG63039"/>
      <c r="EH63039"/>
      <c r="EI63039"/>
      <c r="EJ63039"/>
      <c r="EK63039"/>
    </row>
    <row r="63040" spans="1:141" s="116" customFormat="1">
      <c r="A63040" s="136"/>
      <c r="CM63040" s="111"/>
      <c r="CQ63040" s="111"/>
      <c r="EF63040"/>
      <c r="EG63040"/>
      <c r="EH63040"/>
      <c r="EI63040"/>
      <c r="EJ63040"/>
      <c r="EK63040"/>
    </row>
    <row r="63041" spans="1:141" s="116" customFormat="1">
      <c r="A63041" s="136"/>
      <c r="CM63041" s="111"/>
      <c r="CQ63041" s="111"/>
      <c r="EF63041"/>
      <c r="EG63041"/>
      <c r="EH63041"/>
      <c r="EI63041"/>
      <c r="EJ63041"/>
      <c r="EK63041"/>
    </row>
    <row r="63042" spans="1:141" s="116" customFormat="1">
      <c r="A63042" s="136"/>
      <c r="CM63042" s="111"/>
      <c r="CQ63042" s="111"/>
      <c r="EF63042"/>
      <c r="EG63042"/>
      <c r="EH63042"/>
      <c r="EI63042"/>
      <c r="EJ63042"/>
      <c r="EK63042"/>
    </row>
    <row r="63043" spans="1:141" s="116" customFormat="1">
      <c r="A63043" s="136"/>
      <c r="CM63043" s="111"/>
      <c r="CQ63043" s="111"/>
      <c r="EF63043"/>
      <c r="EG63043"/>
      <c r="EH63043"/>
      <c r="EI63043"/>
      <c r="EJ63043"/>
      <c r="EK63043"/>
    </row>
    <row r="63044" spans="1:141" s="116" customFormat="1">
      <c r="A63044" s="136"/>
      <c r="CM63044" s="111"/>
      <c r="CQ63044" s="111"/>
      <c r="EF63044"/>
      <c r="EG63044"/>
      <c r="EH63044"/>
      <c r="EI63044"/>
      <c r="EJ63044"/>
      <c r="EK63044"/>
    </row>
    <row r="63045" spans="1:141" s="116" customFormat="1">
      <c r="A63045" s="136"/>
      <c r="CM63045" s="111"/>
      <c r="CQ63045" s="111"/>
      <c r="EF63045"/>
      <c r="EG63045"/>
      <c r="EH63045"/>
      <c r="EI63045"/>
      <c r="EJ63045"/>
      <c r="EK63045"/>
    </row>
    <row r="63046" spans="1:141" s="116" customFormat="1">
      <c r="A63046" s="136"/>
      <c r="CM63046" s="111"/>
      <c r="CQ63046" s="111"/>
      <c r="EF63046"/>
      <c r="EG63046"/>
      <c r="EH63046"/>
      <c r="EI63046"/>
      <c r="EJ63046"/>
      <c r="EK63046"/>
    </row>
    <row r="63047" spans="1:141" s="116" customFormat="1">
      <c r="A63047" s="136"/>
      <c r="CM63047" s="111"/>
      <c r="CQ63047" s="111"/>
      <c r="EF63047"/>
      <c r="EG63047"/>
      <c r="EH63047"/>
      <c r="EI63047"/>
      <c r="EJ63047"/>
      <c r="EK63047"/>
    </row>
    <row r="63048" spans="1:141" s="116" customFormat="1">
      <c r="A63048" s="136"/>
      <c r="CM63048" s="111"/>
      <c r="CQ63048" s="111"/>
      <c r="EF63048"/>
      <c r="EG63048"/>
      <c r="EH63048"/>
      <c r="EI63048"/>
      <c r="EJ63048"/>
      <c r="EK63048"/>
    </row>
    <row r="63049" spans="1:141" s="116" customFormat="1">
      <c r="A63049" s="136"/>
      <c r="CM63049" s="111"/>
      <c r="CQ63049" s="111"/>
      <c r="EF63049"/>
      <c r="EG63049"/>
      <c r="EH63049"/>
      <c r="EI63049"/>
      <c r="EJ63049"/>
      <c r="EK63049"/>
    </row>
    <row r="63050" spans="1:141" s="116" customFormat="1">
      <c r="A63050" s="136"/>
      <c r="CM63050" s="111"/>
      <c r="CQ63050" s="111"/>
      <c r="EF63050"/>
      <c r="EG63050"/>
      <c r="EH63050"/>
      <c r="EI63050"/>
      <c r="EJ63050"/>
      <c r="EK63050"/>
    </row>
    <row r="63051" spans="1:141" s="116" customFormat="1">
      <c r="A63051" s="136"/>
      <c r="CM63051" s="111"/>
      <c r="CQ63051" s="111"/>
      <c r="EF63051"/>
      <c r="EG63051"/>
      <c r="EH63051"/>
      <c r="EI63051"/>
      <c r="EJ63051"/>
      <c r="EK63051"/>
    </row>
    <row r="63052" spans="1:141" s="116" customFormat="1">
      <c r="A63052" s="136"/>
      <c r="CM63052" s="111"/>
      <c r="CQ63052" s="111"/>
      <c r="EF63052"/>
      <c r="EG63052"/>
      <c r="EH63052"/>
      <c r="EI63052"/>
      <c r="EJ63052"/>
      <c r="EK63052"/>
    </row>
    <row r="63053" spans="1:141" s="116" customFormat="1">
      <c r="A63053" s="136"/>
      <c r="CM63053" s="111"/>
      <c r="CQ63053" s="111"/>
      <c r="EF63053"/>
      <c r="EG63053"/>
      <c r="EH63053"/>
      <c r="EI63053"/>
      <c r="EJ63053"/>
      <c r="EK63053"/>
    </row>
    <row r="63054" spans="1:141" s="116" customFormat="1">
      <c r="A63054" s="136"/>
      <c r="CM63054" s="111"/>
      <c r="CQ63054" s="111"/>
      <c r="EF63054"/>
      <c r="EG63054"/>
      <c r="EH63054"/>
      <c r="EI63054"/>
      <c r="EJ63054"/>
      <c r="EK63054"/>
    </row>
    <row r="63055" spans="1:141" s="116" customFormat="1">
      <c r="A63055" s="136"/>
      <c r="CM63055" s="111"/>
      <c r="CQ63055" s="111"/>
      <c r="EF63055"/>
      <c r="EG63055"/>
      <c r="EH63055"/>
      <c r="EI63055"/>
      <c r="EJ63055"/>
      <c r="EK63055"/>
    </row>
    <row r="63056" spans="1:141" s="116" customFormat="1">
      <c r="A63056" s="136"/>
      <c r="CM63056" s="111"/>
      <c r="CQ63056" s="111"/>
      <c r="EF63056"/>
      <c r="EG63056"/>
      <c r="EH63056"/>
      <c r="EI63056"/>
      <c r="EJ63056"/>
      <c r="EK63056"/>
    </row>
    <row r="63057" spans="1:141" s="116" customFormat="1">
      <c r="A63057" s="136"/>
      <c r="CM63057" s="111"/>
      <c r="CQ63057" s="111"/>
      <c r="EF63057"/>
      <c r="EG63057"/>
      <c r="EH63057"/>
      <c r="EI63057"/>
      <c r="EJ63057"/>
      <c r="EK63057"/>
    </row>
    <row r="63058" spans="1:141" s="116" customFormat="1">
      <c r="A63058" s="136"/>
      <c r="CM63058" s="111"/>
      <c r="CQ63058" s="111"/>
      <c r="EF63058"/>
      <c r="EG63058"/>
      <c r="EH63058"/>
      <c r="EI63058"/>
      <c r="EJ63058"/>
      <c r="EK63058"/>
    </row>
    <row r="63059" spans="1:141" s="116" customFormat="1">
      <c r="A63059" s="136"/>
      <c r="CM63059" s="111"/>
      <c r="CQ63059" s="111"/>
      <c r="EF63059"/>
      <c r="EG63059"/>
      <c r="EH63059"/>
      <c r="EI63059"/>
      <c r="EJ63059"/>
      <c r="EK63059"/>
    </row>
    <row r="63060" spans="1:141" s="116" customFormat="1">
      <c r="A63060" s="136"/>
      <c r="CM63060" s="111"/>
      <c r="CQ63060" s="111"/>
      <c r="EF63060"/>
      <c r="EG63060"/>
      <c r="EH63060"/>
      <c r="EI63060"/>
      <c r="EJ63060"/>
      <c r="EK63060"/>
    </row>
    <row r="63061" spans="1:141" s="116" customFormat="1">
      <c r="A63061" s="136"/>
      <c r="CM63061" s="111"/>
      <c r="CQ63061" s="111"/>
      <c r="EF63061"/>
      <c r="EG63061"/>
      <c r="EH63061"/>
      <c r="EI63061"/>
      <c r="EJ63061"/>
      <c r="EK63061"/>
    </row>
    <row r="63062" spans="1:141" s="116" customFormat="1">
      <c r="A63062" s="136"/>
      <c r="CM63062" s="111"/>
      <c r="CQ63062" s="111"/>
      <c r="EF63062"/>
      <c r="EG63062"/>
      <c r="EH63062"/>
      <c r="EI63062"/>
      <c r="EJ63062"/>
      <c r="EK63062"/>
    </row>
    <row r="63063" spans="1:141" s="116" customFormat="1">
      <c r="A63063" s="136"/>
      <c r="CM63063" s="111"/>
      <c r="CQ63063" s="111"/>
      <c r="EF63063"/>
      <c r="EG63063"/>
      <c r="EH63063"/>
      <c r="EI63063"/>
      <c r="EJ63063"/>
      <c r="EK63063"/>
    </row>
    <row r="63064" spans="1:141" s="116" customFormat="1">
      <c r="A63064" s="136"/>
      <c r="CM63064" s="111"/>
      <c r="CQ63064" s="111"/>
      <c r="EF63064"/>
      <c r="EG63064"/>
      <c r="EH63064"/>
      <c r="EI63064"/>
      <c r="EJ63064"/>
      <c r="EK63064"/>
    </row>
    <row r="63065" spans="1:141" s="116" customFormat="1">
      <c r="A63065" s="136"/>
      <c r="CM63065" s="111"/>
      <c r="CQ63065" s="111"/>
      <c r="EF63065"/>
      <c r="EG63065"/>
      <c r="EH63065"/>
      <c r="EI63065"/>
      <c r="EJ63065"/>
      <c r="EK63065"/>
    </row>
    <row r="63066" spans="1:141" s="116" customFormat="1">
      <c r="A63066" s="136"/>
      <c r="CM63066" s="111"/>
      <c r="CQ63066" s="111"/>
      <c r="EF63066"/>
      <c r="EG63066"/>
      <c r="EH63066"/>
      <c r="EI63066"/>
      <c r="EJ63066"/>
      <c r="EK63066"/>
    </row>
    <row r="63067" spans="1:141" s="116" customFormat="1">
      <c r="A63067" s="136"/>
      <c r="CM63067" s="111"/>
      <c r="CQ63067" s="111"/>
      <c r="EF63067"/>
      <c r="EG63067"/>
      <c r="EH63067"/>
      <c r="EI63067"/>
      <c r="EJ63067"/>
      <c r="EK63067"/>
    </row>
    <row r="63068" spans="1:141" s="116" customFormat="1">
      <c r="A63068" s="136"/>
      <c r="CM63068" s="111"/>
      <c r="CQ63068" s="111"/>
      <c r="EF63068"/>
      <c r="EG63068"/>
      <c r="EH63068"/>
      <c r="EI63068"/>
      <c r="EJ63068"/>
      <c r="EK63068"/>
    </row>
    <row r="63069" spans="1:141" s="116" customFormat="1">
      <c r="A63069" s="136"/>
      <c r="CM63069" s="111"/>
      <c r="CQ63069" s="111"/>
      <c r="EF63069"/>
      <c r="EG63069"/>
      <c r="EH63069"/>
      <c r="EI63069"/>
      <c r="EJ63069"/>
      <c r="EK63069"/>
    </row>
    <row r="63070" spans="1:141" s="116" customFormat="1">
      <c r="A63070" s="136"/>
      <c r="CM63070" s="111"/>
      <c r="CQ63070" s="111"/>
      <c r="EF63070"/>
      <c r="EG63070"/>
      <c r="EH63070"/>
      <c r="EI63070"/>
      <c r="EJ63070"/>
      <c r="EK63070"/>
    </row>
    <row r="63071" spans="1:141" s="116" customFormat="1">
      <c r="A63071" s="136"/>
      <c r="CM63071" s="111"/>
      <c r="CQ63071" s="111"/>
      <c r="EF63071"/>
      <c r="EG63071"/>
      <c r="EH63071"/>
      <c r="EI63071"/>
      <c r="EJ63071"/>
      <c r="EK63071"/>
    </row>
    <row r="63072" spans="1:141" s="116" customFormat="1">
      <c r="A63072" s="136"/>
      <c r="CM63072" s="111"/>
      <c r="CQ63072" s="111"/>
      <c r="EF63072"/>
      <c r="EG63072"/>
      <c r="EH63072"/>
      <c r="EI63072"/>
      <c r="EJ63072"/>
      <c r="EK63072"/>
    </row>
    <row r="63073" spans="1:141" s="116" customFormat="1">
      <c r="A63073" s="136"/>
      <c r="CM63073" s="111"/>
      <c r="CQ63073" s="111"/>
      <c r="EF63073"/>
      <c r="EG63073"/>
      <c r="EH63073"/>
      <c r="EI63073"/>
      <c r="EJ63073"/>
      <c r="EK63073"/>
    </row>
    <row r="63074" spans="1:141" s="116" customFormat="1">
      <c r="A63074" s="136"/>
      <c r="CM63074" s="111"/>
      <c r="CQ63074" s="111"/>
      <c r="EF63074"/>
      <c r="EG63074"/>
      <c r="EH63074"/>
      <c r="EI63074"/>
      <c r="EJ63074"/>
      <c r="EK63074"/>
    </row>
    <row r="63075" spans="1:141" s="116" customFormat="1">
      <c r="A63075" s="136"/>
      <c r="CM63075" s="111"/>
      <c r="CQ63075" s="111"/>
      <c r="EF63075"/>
      <c r="EG63075"/>
      <c r="EH63075"/>
      <c r="EI63075"/>
      <c r="EJ63075"/>
      <c r="EK63075"/>
    </row>
    <row r="63076" spans="1:141" s="116" customFormat="1">
      <c r="A63076" s="136"/>
      <c r="CM63076" s="111"/>
      <c r="CQ63076" s="111"/>
      <c r="EF63076"/>
      <c r="EG63076"/>
      <c r="EH63076"/>
      <c r="EI63076"/>
      <c r="EJ63076"/>
      <c r="EK63076"/>
    </row>
    <row r="63077" spans="1:141" s="116" customFormat="1">
      <c r="A63077" s="136"/>
      <c r="CM63077" s="111"/>
      <c r="CQ63077" s="111"/>
      <c r="EF63077"/>
      <c r="EG63077"/>
      <c r="EH63077"/>
      <c r="EI63077"/>
      <c r="EJ63077"/>
      <c r="EK63077"/>
    </row>
    <row r="63078" spans="1:141" s="116" customFormat="1">
      <c r="A63078" s="136"/>
      <c r="CM63078" s="111"/>
      <c r="CQ63078" s="111"/>
      <c r="EF63078"/>
      <c r="EG63078"/>
      <c r="EH63078"/>
      <c r="EI63078"/>
      <c r="EJ63078"/>
      <c r="EK63078"/>
    </row>
    <row r="63079" spans="1:141" s="116" customFormat="1">
      <c r="A63079" s="136"/>
      <c r="CM63079" s="111"/>
      <c r="CQ63079" s="111"/>
      <c r="EF63079"/>
      <c r="EG63079"/>
      <c r="EH63079"/>
      <c r="EI63079"/>
      <c r="EJ63079"/>
      <c r="EK63079"/>
    </row>
    <row r="63080" spans="1:141" s="116" customFormat="1">
      <c r="A63080" s="136"/>
      <c r="CM63080" s="111"/>
      <c r="CQ63080" s="111"/>
      <c r="EF63080"/>
      <c r="EG63080"/>
      <c r="EH63080"/>
      <c r="EI63080"/>
      <c r="EJ63080"/>
      <c r="EK63080"/>
    </row>
    <row r="63081" spans="1:141" s="116" customFormat="1">
      <c r="A63081" s="136"/>
      <c r="CM63081" s="111"/>
      <c r="CQ63081" s="111"/>
      <c r="EF63081"/>
      <c r="EG63081"/>
      <c r="EH63081"/>
      <c r="EI63081"/>
      <c r="EJ63081"/>
      <c r="EK63081"/>
    </row>
    <row r="63082" spans="1:141" s="116" customFormat="1">
      <c r="A63082" s="136"/>
      <c r="CM63082" s="111"/>
      <c r="CQ63082" s="111"/>
      <c r="EF63082"/>
      <c r="EG63082"/>
      <c r="EH63082"/>
      <c r="EI63082"/>
      <c r="EJ63082"/>
      <c r="EK63082"/>
    </row>
    <row r="63083" spans="1:141" s="116" customFormat="1">
      <c r="A63083" s="136"/>
      <c r="CM63083" s="111"/>
      <c r="CQ63083" s="111"/>
      <c r="EF63083"/>
      <c r="EG63083"/>
      <c r="EH63083"/>
      <c r="EI63083"/>
      <c r="EJ63083"/>
      <c r="EK63083"/>
    </row>
    <row r="63084" spans="1:141" s="116" customFormat="1">
      <c r="A63084" s="136"/>
      <c r="CM63084" s="111"/>
      <c r="CQ63084" s="111"/>
      <c r="EF63084"/>
      <c r="EG63084"/>
      <c r="EH63084"/>
      <c r="EI63084"/>
      <c r="EJ63084"/>
      <c r="EK63084"/>
    </row>
    <row r="63085" spans="1:141" s="116" customFormat="1">
      <c r="A63085" s="136"/>
      <c r="CM63085" s="111"/>
      <c r="CQ63085" s="111"/>
      <c r="EF63085"/>
      <c r="EG63085"/>
      <c r="EH63085"/>
      <c r="EI63085"/>
      <c r="EJ63085"/>
      <c r="EK63085"/>
    </row>
    <row r="63086" spans="1:141" s="116" customFormat="1">
      <c r="A63086" s="136"/>
      <c r="CM63086" s="111"/>
      <c r="CQ63086" s="111"/>
      <c r="EF63086"/>
      <c r="EG63086"/>
      <c r="EH63086"/>
      <c r="EI63086"/>
      <c r="EJ63086"/>
      <c r="EK63086"/>
    </row>
    <row r="63087" spans="1:141" s="116" customFormat="1">
      <c r="A63087" s="136"/>
      <c r="CM63087" s="111"/>
      <c r="CQ63087" s="111"/>
      <c r="EF63087"/>
      <c r="EG63087"/>
      <c r="EH63087"/>
      <c r="EI63087"/>
      <c r="EJ63087"/>
      <c r="EK63087"/>
    </row>
    <row r="63088" spans="1:141" s="116" customFormat="1">
      <c r="A63088" s="136"/>
      <c r="CM63088" s="111"/>
      <c r="CQ63088" s="111"/>
      <c r="EF63088"/>
      <c r="EG63088"/>
      <c r="EH63088"/>
      <c r="EI63088"/>
      <c r="EJ63088"/>
      <c r="EK63088"/>
    </row>
    <row r="63089" spans="1:141" s="116" customFormat="1">
      <c r="A63089" s="136"/>
      <c r="CM63089" s="111"/>
      <c r="CQ63089" s="111"/>
      <c r="EF63089"/>
      <c r="EG63089"/>
      <c r="EH63089"/>
      <c r="EI63089"/>
      <c r="EJ63089"/>
      <c r="EK63089"/>
    </row>
    <row r="63090" spans="1:141" s="116" customFormat="1">
      <c r="A63090" s="136"/>
      <c r="CM63090" s="111"/>
      <c r="CQ63090" s="111"/>
      <c r="EF63090"/>
      <c r="EG63090"/>
      <c r="EH63090"/>
      <c r="EI63090"/>
      <c r="EJ63090"/>
      <c r="EK63090"/>
    </row>
    <row r="63091" spans="1:141" s="116" customFormat="1">
      <c r="A63091" s="136"/>
      <c r="CM63091" s="111"/>
      <c r="CQ63091" s="111"/>
      <c r="EF63091"/>
      <c r="EG63091"/>
      <c r="EH63091"/>
      <c r="EI63091"/>
      <c r="EJ63091"/>
      <c r="EK63091"/>
    </row>
    <row r="63092" spans="1:141" s="116" customFormat="1">
      <c r="A63092" s="136"/>
      <c r="CM63092" s="111"/>
      <c r="CQ63092" s="111"/>
      <c r="EF63092"/>
      <c r="EG63092"/>
      <c r="EH63092"/>
      <c r="EI63092"/>
      <c r="EJ63092"/>
      <c r="EK63092"/>
    </row>
    <row r="63093" spans="1:141" s="116" customFormat="1">
      <c r="A63093" s="136"/>
      <c r="CM63093" s="111"/>
      <c r="CQ63093" s="111"/>
      <c r="EF63093"/>
      <c r="EG63093"/>
      <c r="EH63093"/>
      <c r="EI63093"/>
      <c r="EJ63093"/>
      <c r="EK63093"/>
    </row>
    <row r="63094" spans="1:141" s="116" customFormat="1">
      <c r="A63094" s="136"/>
      <c r="CM63094" s="111"/>
      <c r="CQ63094" s="111"/>
      <c r="EF63094"/>
      <c r="EG63094"/>
      <c r="EH63094"/>
      <c r="EI63094"/>
      <c r="EJ63094"/>
      <c r="EK63094"/>
    </row>
    <row r="63095" spans="1:141" s="116" customFormat="1">
      <c r="A63095" s="136"/>
      <c r="CM63095" s="111"/>
      <c r="CQ63095" s="111"/>
      <c r="EF63095"/>
      <c r="EG63095"/>
      <c r="EH63095"/>
      <c r="EI63095"/>
      <c r="EJ63095"/>
      <c r="EK63095"/>
    </row>
    <row r="63096" spans="1:141" s="116" customFormat="1">
      <c r="A63096" s="136"/>
      <c r="CM63096" s="111"/>
      <c r="CQ63096" s="111"/>
      <c r="EF63096"/>
      <c r="EG63096"/>
      <c r="EH63096"/>
      <c r="EI63096"/>
      <c r="EJ63096"/>
      <c r="EK63096"/>
    </row>
    <row r="63097" spans="1:141" s="116" customFormat="1">
      <c r="A63097" s="136"/>
      <c r="CM63097" s="111"/>
      <c r="CQ63097" s="111"/>
      <c r="EF63097"/>
      <c r="EG63097"/>
      <c r="EH63097"/>
      <c r="EI63097"/>
      <c r="EJ63097"/>
      <c r="EK63097"/>
    </row>
    <row r="63098" spans="1:141" s="116" customFormat="1">
      <c r="A63098" s="136"/>
      <c r="CM63098" s="111"/>
      <c r="CQ63098" s="111"/>
      <c r="EF63098"/>
      <c r="EG63098"/>
      <c r="EH63098"/>
      <c r="EI63098"/>
      <c r="EJ63098"/>
      <c r="EK63098"/>
    </row>
    <row r="63099" spans="1:141" s="116" customFormat="1">
      <c r="A63099" s="136"/>
      <c r="CM63099" s="111"/>
      <c r="CQ63099" s="111"/>
      <c r="EF63099"/>
      <c r="EG63099"/>
      <c r="EH63099"/>
      <c r="EI63099"/>
      <c r="EJ63099"/>
      <c r="EK63099"/>
    </row>
    <row r="63100" spans="1:141" s="116" customFormat="1">
      <c r="A63100" s="136"/>
      <c r="CM63100" s="111"/>
      <c r="CQ63100" s="111"/>
      <c r="EF63100"/>
      <c r="EG63100"/>
      <c r="EH63100"/>
      <c r="EI63100"/>
      <c r="EJ63100"/>
      <c r="EK63100"/>
    </row>
    <row r="63101" spans="1:141" s="116" customFormat="1">
      <c r="A63101" s="136"/>
      <c r="CM63101" s="111"/>
      <c r="CQ63101" s="111"/>
      <c r="EF63101"/>
      <c r="EG63101"/>
      <c r="EH63101"/>
      <c r="EI63101"/>
      <c r="EJ63101"/>
      <c r="EK63101"/>
    </row>
    <row r="63102" spans="1:141" s="116" customFormat="1">
      <c r="A63102" s="136"/>
      <c r="CM63102" s="111"/>
      <c r="CQ63102" s="111"/>
      <c r="EF63102"/>
      <c r="EG63102"/>
      <c r="EH63102"/>
      <c r="EI63102"/>
      <c r="EJ63102"/>
      <c r="EK63102"/>
    </row>
    <row r="63103" spans="1:141" s="116" customFormat="1">
      <c r="A63103" s="136"/>
      <c r="CM63103" s="111"/>
      <c r="CQ63103" s="111"/>
      <c r="EF63103"/>
      <c r="EG63103"/>
      <c r="EH63103"/>
      <c r="EI63103"/>
      <c r="EJ63103"/>
      <c r="EK63103"/>
    </row>
    <row r="63104" spans="1:141" s="116" customFormat="1">
      <c r="A63104" s="136"/>
      <c r="CM63104" s="111"/>
      <c r="CQ63104" s="111"/>
      <c r="EF63104"/>
      <c r="EG63104"/>
      <c r="EH63104"/>
      <c r="EI63104"/>
      <c r="EJ63104"/>
      <c r="EK63104"/>
    </row>
    <row r="63105" spans="1:141" s="116" customFormat="1">
      <c r="A63105" s="136"/>
      <c r="CM63105" s="111"/>
      <c r="CQ63105" s="111"/>
      <c r="EF63105"/>
      <c r="EG63105"/>
      <c r="EH63105"/>
      <c r="EI63105"/>
      <c r="EJ63105"/>
      <c r="EK63105"/>
    </row>
    <row r="63106" spans="1:141" s="116" customFormat="1">
      <c r="A63106" s="136"/>
      <c r="CM63106" s="111"/>
      <c r="CQ63106" s="111"/>
      <c r="EF63106"/>
      <c r="EG63106"/>
      <c r="EH63106"/>
      <c r="EI63106"/>
      <c r="EJ63106"/>
      <c r="EK63106"/>
    </row>
    <row r="63107" spans="1:141" s="116" customFormat="1">
      <c r="A63107" s="136"/>
      <c r="CM63107" s="111"/>
      <c r="CQ63107" s="111"/>
      <c r="EF63107"/>
      <c r="EG63107"/>
      <c r="EH63107"/>
      <c r="EI63107"/>
      <c r="EJ63107"/>
      <c r="EK63107"/>
    </row>
    <row r="63108" spans="1:141" s="116" customFormat="1">
      <c r="A63108" s="136"/>
      <c r="CM63108" s="111"/>
      <c r="CQ63108" s="111"/>
      <c r="EF63108"/>
      <c r="EG63108"/>
      <c r="EH63108"/>
      <c r="EI63108"/>
      <c r="EJ63108"/>
      <c r="EK63108"/>
    </row>
    <row r="63109" spans="1:141" s="116" customFormat="1">
      <c r="A63109" s="136"/>
      <c r="CM63109" s="111"/>
      <c r="CQ63109" s="111"/>
      <c r="EF63109"/>
      <c r="EG63109"/>
      <c r="EH63109"/>
      <c r="EI63109"/>
      <c r="EJ63109"/>
      <c r="EK63109"/>
    </row>
    <row r="63110" spans="1:141" s="116" customFormat="1">
      <c r="A63110" s="136"/>
      <c r="CM63110" s="111"/>
      <c r="CQ63110" s="111"/>
      <c r="EF63110"/>
      <c r="EG63110"/>
      <c r="EH63110"/>
      <c r="EI63110"/>
      <c r="EJ63110"/>
      <c r="EK63110"/>
    </row>
    <row r="63111" spans="1:141" s="116" customFormat="1">
      <c r="A63111" s="136"/>
      <c r="CM63111" s="111"/>
      <c r="CQ63111" s="111"/>
      <c r="EF63111"/>
      <c r="EG63111"/>
      <c r="EH63111"/>
      <c r="EI63111"/>
      <c r="EJ63111"/>
      <c r="EK63111"/>
    </row>
    <row r="63112" spans="1:141" s="116" customFormat="1">
      <c r="A63112" s="136"/>
      <c r="CM63112" s="111"/>
      <c r="CQ63112" s="111"/>
      <c r="EF63112"/>
      <c r="EG63112"/>
      <c r="EH63112"/>
      <c r="EI63112"/>
      <c r="EJ63112"/>
      <c r="EK63112"/>
    </row>
    <row r="63113" spans="1:141" s="116" customFormat="1">
      <c r="A63113" s="136"/>
      <c r="CM63113" s="111"/>
      <c r="CQ63113" s="111"/>
      <c r="EF63113"/>
      <c r="EG63113"/>
      <c r="EH63113"/>
      <c r="EI63113"/>
      <c r="EJ63113"/>
      <c r="EK63113"/>
    </row>
    <row r="63114" spans="1:141" s="116" customFormat="1">
      <c r="A63114" s="136"/>
      <c r="CM63114" s="111"/>
      <c r="CQ63114" s="111"/>
      <c r="EF63114"/>
      <c r="EG63114"/>
      <c r="EH63114"/>
      <c r="EI63114"/>
      <c r="EJ63114"/>
      <c r="EK63114"/>
    </row>
    <row r="63115" spans="1:141" s="116" customFormat="1">
      <c r="A63115" s="136"/>
      <c r="CM63115" s="111"/>
      <c r="CQ63115" s="111"/>
      <c r="EF63115"/>
      <c r="EG63115"/>
      <c r="EH63115"/>
      <c r="EI63115"/>
      <c r="EJ63115"/>
      <c r="EK63115"/>
    </row>
    <row r="63116" spans="1:141" s="116" customFormat="1">
      <c r="A63116" s="136"/>
      <c r="CM63116" s="111"/>
      <c r="CQ63116" s="111"/>
      <c r="EF63116"/>
      <c r="EG63116"/>
      <c r="EH63116"/>
      <c r="EI63116"/>
      <c r="EJ63116"/>
      <c r="EK63116"/>
    </row>
    <row r="63117" spans="1:141" s="116" customFormat="1">
      <c r="A63117" s="136"/>
      <c r="CM63117" s="111"/>
      <c r="CQ63117" s="111"/>
      <c r="EF63117"/>
      <c r="EG63117"/>
      <c r="EH63117"/>
      <c r="EI63117"/>
      <c r="EJ63117"/>
      <c r="EK63117"/>
    </row>
    <row r="63118" spans="1:141" s="116" customFormat="1">
      <c r="A63118" s="136"/>
      <c r="CM63118" s="111"/>
      <c r="CQ63118" s="111"/>
      <c r="EF63118"/>
      <c r="EG63118"/>
      <c r="EH63118"/>
      <c r="EI63118"/>
      <c r="EJ63118"/>
      <c r="EK63118"/>
    </row>
    <row r="63119" spans="1:141" s="116" customFormat="1">
      <c r="A63119" s="136"/>
      <c r="CM63119" s="111"/>
      <c r="CQ63119" s="111"/>
      <c r="EF63119"/>
      <c r="EG63119"/>
      <c r="EH63119"/>
      <c r="EI63119"/>
      <c r="EJ63119"/>
      <c r="EK63119"/>
    </row>
    <row r="63120" spans="1:141" s="116" customFormat="1">
      <c r="A63120" s="136"/>
      <c r="CM63120" s="111"/>
      <c r="CQ63120" s="111"/>
      <c r="EF63120"/>
      <c r="EG63120"/>
      <c r="EH63120"/>
      <c r="EI63120"/>
      <c r="EJ63120"/>
      <c r="EK63120"/>
    </row>
    <row r="63121" spans="1:141" s="116" customFormat="1">
      <c r="A63121" s="136"/>
      <c r="CM63121" s="111"/>
      <c r="CQ63121" s="111"/>
      <c r="EF63121"/>
      <c r="EG63121"/>
      <c r="EH63121"/>
      <c r="EI63121"/>
      <c r="EJ63121"/>
      <c r="EK63121"/>
    </row>
    <row r="63122" spans="1:141" s="116" customFormat="1">
      <c r="A63122" s="136"/>
      <c r="CM63122" s="111"/>
      <c r="CQ63122" s="111"/>
      <c r="EF63122"/>
      <c r="EG63122"/>
      <c r="EH63122"/>
      <c r="EI63122"/>
      <c r="EJ63122"/>
      <c r="EK63122"/>
    </row>
    <row r="63123" spans="1:141" s="116" customFormat="1">
      <c r="A63123" s="136"/>
      <c r="CM63123" s="111"/>
      <c r="CQ63123" s="111"/>
      <c r="EF63123"/>
      <c r="EG63123"/>
      <c r="EH63123"/>
      <c r="EI63123"/>
      <c r="EJ63123"/>
      <c r="EK63123"/>
    </row>
    <row r="63124" spans="1:141" s="116" customFormat="1">
      <c r="A63124" s="136"/>
      <c r="CM63124" s="111"/>
      <c r="CQ63124" s="111"/>
      <c r="EF63124"/>
      <c r="EG63124"/>
      <c r="EH63124"/>
      <c r="EI63124"/>
      <c r="EJ63124"/>
      <c r="EK63124"/>
    </row>
    <row r="63125" spans="1:141" s="116" customFormat="1">
      <c r="A63125" s="136"/>
      <c r="CM63125" s="111"/>
      <c r="CQ63125" s="111"/>
      <c r="EF63125"/>
      <c r="EG63125"/>
      <c r="EH63125"/>
      <c r="EI63125"/>
      <c r="EJ63125"/>
      <c r="EK63125"/>
    </row>
    <row r="63126" spans="1:141" s="116" customFormat="1">
      <c r="A63126" s="136"/>
      <c r="CM63126" s="111"/>
      <c r="CQ63126" s="111"/>
      <c r="EF63126"/>
      <c r="EG63126"/>
      <c r="EH63126"/>
      <c r="EI63126"/>
      <c r="EJ63126"/>
      <c r="EK63126"/>
    </row>
    <row r="63127" spans="1:141" s="116" customFormat="1">
      <c r="A63127" s="136"/>
      <c r="CM63127" s="111"/>
      <c r="CQ63127" s="111"/>
      <c r="EF63127"/>
      <c r="EG63127"/>
      <c r="EH63127"/>
      <c r="EI63127"/>
      <c r="EJ63127"/>
      <c r="EK63127"/>
    </row>
    <row r="63128" spans="1:141" s="116" customFormat="1">
      <c r="A63128" s="136"/>
      <c r="CM63128" s="111"/>
      <c r="CQ63128" s="111"/>
      <c r="EF63128"/>
      <c r="EG63128"/>
      <c r="EH63128"/>
      <c r="EI63128"/>
      <c r="EJ63128"/>
      <c r="EK63128"/>
    </row>
    <row r="63129" spans="1:141" s="116" customFormat="1">
      <c r="A63129" s="136"/>
      <c r="CM63129" s="111"/>
      <c r="CQ63129" s="111"/>
      <c r="EF63129"/>
      <c r="EG63129"/>
      <c r="EH63129"/>
      <c r="EI63129"/>
      <c r="EJ63129"/>
      <c r="EK63129"/>
    </row>
    <row r="63130" spans="1:141" s="116" customFormat="1">
      <c r="A63130" s="136"/>
      <c r="CM63130" s="111"/>
      <c r="CQ63130" s="111"/>
      <c r="EF63130"/>
      <c r="EG63130"/>
      <c r="EH63130"/>
      <c r="EI63130"/>
      <c r="EJ63130"/>
      <c r="EK63130"/>
    </row>
    <row r="63131" spans="1:141" s="116" customFormat="1">
      <c r="A63131" s="136"/>
      <c r="CM63131" s="111"/>
      <c r="CQ63131" s="111"/>
      <c r="EF63131"/>
      <c r="EG63131"/>
      <c r="EH63131"/>
      <c r="EI63131"/>
      <c r="EJ63131"/>
      <c r="EK63131"/>
    </row>
    <row r="63132" spans="1:141" s="116" customFormat="1">
      <c r="A63132" s="136"/>
      <c r="CM63132" s="111"/>
      <c r="CQ63132" s="111"/>
      <c r="EF63132"/>
      <c r="EG63132"/>
      <c r="EH63132"/>
      <c r="EI63132"/>
      <c r="EJ63132"/>
      <c r="EK63132"/>
    </row>
    <row r="63133" spans="1:141" s="116" customFormat="1">
      <c r="A63133" s="136"/>
      <c r="CM63133" s="111"/>
      <c r="CQ63133" s="111"/>
      <c r="EF63133"/>
      <c r="EG63133"/>
      <c r="EH63133"/>
      <c r="EI63133"/>
      <c r="EJ63133"/>
      <c r="EK63133"/>
    </row>
    <row r="63134" spans="1:141" s="116" customFormat="1">
      <c r="A63134" s="136"/>
      <c r="CM63134" s="111"/>
      <c r="CQ63134" s="111"/>
      <c r="EF63134"/>
      <c r="EG63134"/>
      <c r="EH63134"/>
      <c r="EI63134"/>
      <c r="EJ63134"/>
      <c r="EK63134"/>
    </row>
    <row r="63135" spans="1:141" s="116" customFormat="1">
      <c r="A63135" s="136"/>
      <c r="CM63135" s="111"/>
      <c r="CQ63135" s="111"/>
      <c r="EF63135"/>
      <c r="EG63135"/>
      <c r="EH63135"/>
      <c r="EI63135"/>
      <c r="EJ63135"/>
      <c r="EK63135"/>
    </row>
    <row r="63136" spans="1:141" s="116" customFormat="1">
      <c r="A63136" s="136"/>
      <c r="CM63136" s="111"/>
      <c r="CQ63136" s="111"/>
      <c r="EF63136"/>
      <c r="EG63136"/>
      <c r="EH63136"/>
      <c r="EI63136"/>
      <c r="EJ63136"/>
      <c r="EK63136"/>
    </row>
    <row r="63137" spans="1:141" s="116" customFormat="1">
      <c r="A63137" s="136"/>
      <c r="CM63137" s="111"/>
      <c r="CQ63137" s="111"/>
      <c r="EF63137"/>
      <c r="EG63137"/>
      <c r="EH63137"/>
      <c r="EI63137"/>
      <c r="EJ63137"/>
      <c r="EK63137"/>
    </row>
    <row r="63138" spans="1:141" s="116" customFormat="1">
      <c r="A63138" s="136"/>
      <c r="CM63138" s="111"/>
      <c r="CQ63138" s="111"/>
      <c r="EF63138"/>
      <c r="EG63138"/>
      <c r="EH63138"/>
      <c r="EI63138"/>
      <c r="EJ63138"/>
      <c r="EK63138"/>
    </row>
    <row r="63139" spans="1:141" s="116" customFormat="1">
      <c r="A63139" s="136"/>
      <c r="CM63139" s="111"/>
      <c r="CQ63139" s="111"/>
      <c r="EF63139"/>
      <c r="EG63139"/>
      <c r="EH63139"/>
      <c r="EI63139"/>
      <c r="EJ63139"/>
      <c r="EK63139"/>
    </row>
    <row r="63140" spans="1:141" s="116" customFormat="1">
      <c r="A63140" s="136"/>
      <c r="CM63140" s="111"/>
      <c r="CQ63140" s="111"/>
      <c r="EF63140"/>
      <c r="EG63140"/>
      <c r="EH63140"/>
      <c r="EI63140"/>
      <c r="EJ63140"/>
      <c r="EK63140"/>
    </row>
    <row r="63141" spans="1:141" s="116" customFormat="1">
      <c r="A63141" s="136"/>
      <c r="CM63141" s="111"/>
      <c r="CQ63141" s="111"/>
      <c r="EF63141"/>
      <c r="EG63141"/>
      <c r="EH63141"/>
      <c r="EI63141"/>
      <c r="EJ63141"/>
      <c r="EK63141"/>
    </row>
    <row r="63142" spans="1:141" s="116" customFormat="1">
      <c r="A63142" s="136"/>
      <c r="CM63142" s="111"/>
      <c r="CQ63142" s="111"/>
      <c r="EF63142"/>
      <c r="EG63142"/>
      <c r="EH63142"/>
      <c r="EI63142"/>
      <c r="EJ63142"/>
      <c r="EK63142"/>
    </row>
    <row r="63143" spans="1:141" s="116" customFormat="1">
      <c r="A63143" s="136"/>
      <c r="CM63143" s="111"/>
      <c r="CQ63143" s="111"/>
      <c r="EF63143"/>
      <c r="EG63143"/>
      <c r="EH63143"/>
      <c r="EI63143"/>
      <c r="EJ63143"/>
      <c r="EK63143"/>
    </row>
    <row r="63144" spans="1:141" s="116" customFormat="1">
      <c r="A63144" s="136"/>
      <c r="CM63144" s="111"/>
      <c r="CQ63144" s="111"/>
      <c r="EF63144"/>
      <c r="EG63144"/>
      <c r="EH63144"/>
      <c r="EI63144"/>
      <c r="EJ63144"/>
      <c r="EK63144"/>
    </row>
    <row r="63145" spans="1:141" s="116" customFormat="1">
      <c r="A63145" s="136"/>
      <c r="CM63145" s="111"/>
      <c r="CQ63145" s="111"/>
      <c r="EF63145"/>
      <c r="EG63145"/>
      <c r="EH63145"/>
      <c r="EI63145"/>
      <c r="EJ63145"/>
      <c r="EK63145"/>
    </row>
    <row r="63146" spans="1:141" s="116" customFormat="1">
      <c r="A63146" s="136"/>
      <c r="CM63146" s="111"/>
      <c r="CQ63146" s="111"/>
      <c r="EF63146"/>
      <c r="EG63146"/>
      <c r="EH63146"/>
      <c r="EI63146"/>
      <c r="EJ63146"/>
      <c r="EK63146"/>
    </row>
    <row r="63147" spans="1:141" s="116" customFormat="1">
      <c r="A63147" s="136"/>
      <c r="CM63147" s="111"/>
      <c r="CQ63147" s="111"/>
      <c r="EF63147"/>
      <c r="EG63147"/>
      <c r="EH63147"/>
      <c r="EI63147"/>
      <c r="EJ63147"/>
      <c r="EK63147"/>
    </row>
    <row r="63148" spans="1:141" s="116" customFormat="1">
      <c r="A63148" s="136"/>
      <c r="CM63148" s="111"/>
      <c r="CQ63148" s="111"/>
      <c r="EF63148"/>
      <c r="EG63148"/>
      <c r="EH63148"/>
      <c r="EI63148"/>
      <c r="EJ63148"/>
      <c r="EK63148"/>
    </row>
    <row r="63149" spans="1:141" s="116" customFormat="1">
      <c r="A63149" s="136"/>
      <c r="CM63149" s="111"/>
      <c r="CQ63149" s="111"/>
      <c r="EF63149"/>
      <c r="EG63149"/>
      <c r="EH63149"/>
      <c r="EI63149"/>
      <c r="EJ63149"/>
      <c r="EK63149"/>
    </row>
    <row r="63150" spans="1:141" s="116" customFormat="1">
      <c r="A63150" s="136"/>
      <c r="CM63150" s="111"/>
      <c r="CQ63150" s="111"/>
      <c r="EF63150"/>
      <c r="EG63150"/>
      <c r="EH63150"/>
      <c r="EI63150"/>
      <c r="EJ63150"/>
      <c r="EK63150"/>
    </row>
    <row r="63151" spans="1:141" s="116" customFormat="1">
      <c r="A63151" s="136"/>
      <c r="CM63151" s="111"/>
      <c r="CQ63151" s="111"/>
      <c r="EF63151"/>
      <c r="EG63151"/>
      <c r="EH63151"/>
      <c r="EI63151"/>
      <c r="EJ63151"/>
      <c r="EK63151"/>
    </row>
    <row r="63152" spans="1:141" s="116" customFormat="1">
      <c r="A63152" s="136"/>
      <c r="CM63152" s="111"/>
      <c r="CQ63152" s="111"/>
      <c r="EF63152"/>
      <c r="EG63152"/>
      <c r="EH63152"/>
      <c r="EI63152"/>
      <c r="EJ63152"/>
      <c r="EK63152"/>
    </row>
    <row r="63153" spans="1:141" s="116" customFormat="1">
      <c r="A63153" s="136"/>
      <c r="CM63153" s="111"/>
      <c r="CQ63153" s="111"/>
      <c r="EF63153"/>
      <c r="EG63153"/>
      <c r="EH63153"/>
      <c r="EI63153"/>
      <c r="EJ63153"/>
      <c r="EK63153"/>
    </row>
    <row r="63154" spans="1:141" s="116" customFormat="1">
      <c r="A63154" s="136"/>
      <c r="CM63154" s="111"/>
      <c r="CQ63154" s="111"/>
      <c r="EF63154"/>
      <c r="EG63154"/>
      <c r="EH63154"/>
      <c r="EI63154"/>
      <c r="EJ63154"/>
      <c r="EK63154"/>
    </row>
    <row r="63155" spans="1:141" s="116" customFormat="1">
      <c r="A63155" s="136"/>
      <c r="CM63155" s="111"/>
      <c r="CQ63155" s="111"/>
      <c r="EF63155"/>
      <c r="EG63155"/>
      <c r="EH63155"/>
      <c r="EI63155"/>
      <c r="EJ63155"/>
      <c r="EK63155"/>
    </row>
    <row r="63156" spans="1:141" s="116" customFormat="1">
      <c r="A63156" s="136"/>
      <c r="CM63156" s="111"/>
      <c r="CQ63156" s="111"/>
      <c r="EF63156"/>
      <c r="EG63156"/>
      <c r="EH63156"/>
      <c r="EI63156"/>
      <c r="EJ63156"/>
      <c r="EK63156"/>
    </row>
    <row r="63157" spans="1:141" s="116" customFormat="1">
      <c r="A63157" s="136"/>
      <c r="CM63157" s="111"/>
      <c r="CQ63157" s="111"/>
      <c r="EF63157"/>
      <c r="EG63157"/>
      <c r="EH63157"/>
      <c r="EI63157"/>
      <c r="EJ63157"/>
      <c r="EK63157"/>
    </row>
    <row r="63158" spans="1:141" s="116" customFormat="1">
      <c r="A63158" s="136"/>
      <c r="CM63158" s="111"/>
      <c r="CQ63158" s="111"/>
      <c r="EF63158"/>
      <c r="EG63158"/>
      <c r="EH63158"/>
      <c r="EI63158"/>
      <c r="EJ63158"/>
      <c r="EK63158"/>
    </row>
    <row r="63159" spans="1:141" s="116" customFormat="1">
      <c r="A63159" s="136"/>
      <c r="CM63159" s="111"/>
      <c r="CQ63159" s="111"/>
      <c r="EF63159"/>
      <c r="EG63159"/>
      <c r="EH63159"/>
      <c r="EI63159"/>
      <c r="EJ63159"/>
      <c r="EK63159"/>
    </row>
    <row r="63160" spans="1:141" s="116" customFormat="1">
      <c r="A63160" s="136"/>
      <c r="CM63160" s="111"/>
      <c r="CQ63160" s="111"/>
      <c r="EF63160"/>
      <c r="EG63160"/>
      <c r="EH63160"/>
      <c r="EI63160"/>
      <c r="EJ63160"/>
      <c r="EK63160"/>
    </row>
    <row r="63161" spans="1:141" s="116" customFormat="1">
      <c r="A63161" s="136"/>
      <c r="CM63161" s="111"/>
      <c r="CQ63161" s="111"/>
      <c r="EF63161"/>
      <c r="EG63161"/>
      <c r="EH63161"/>
      <c r="EI63161"/>
      <c r="EJ63161"/>
      <c r="EK63161"/>
    </row>
    <row r="63162" spans="1:141" s="116" customFormat="1">
      <c r="A63162" s="136"/>
      <c r="CM63162" s="111"/>
      <c r="CQ63162" s="111"/>
      <c r="EF63162"/>
      <c r="EG63162"/>
      <c r="EH63162"/>
      <c r="EI63162"/>
      <c r="EJ63162"/>
      <c r="EK63162"/>
    </row>
    <row r="63163" spans="1:141" s="116" customFormat="1">
      <c r="A63163" s="136"/>
      <c r="CM63163" s="111"/>
      <c r="CQ63163" s="111"/>
      <c r="EF63163"/>
      <c r="EG63163"/>
      <c r="EH63163"/>
      <c r="EI63163"/>
      <c r="EJ63163"/>
      <c r="EK63163"/>
    </row>
    <row r="63164" spans="1:141" s="116" customFormat="1">
      <c r="A63164" s="136"/>
      <c r="CM63164" s="111"/>
      <c r="CQ63164" s="111"/>
      <c r="EF63164"/>
      <c r="EG63164"/>
      <c r="EH63164"/>
      <c r="EI63164"/>
      <c r="EJ63164"/>
      <c r="EK63164"/>
    </row>
    <row r="63165" spans="1:141" s="116" customFormat="1">
      <c r="A63165" s="136"/>
      <c r="CM63165" s="111"/>
      <c r="CQ63165" s="111"/>
      <c r="EF63165"/>
      <c r="EG63165"/>
      <c r="EH63165"/>
      <c r="EI63165"/>
      <c r="EJ63165"/>
      <c r="EK63165"/>
    </row>
    <row r="63166" spans="1:141" s="116" customFormat="1">
      <c r="A63166" s="136"/>
      <c r="CM63166" s="111"/>
      <c r="CQ63166" s="111"/>
      <c r="EF63166"/>
      <c r="EG63166"/>
      <c r="EH63166"/>
      <c r="EI63166"/>
      <c r="EJ63166"/>
      <c r="EK63166"/>
    </row>
    <row r="63167" spans="1:141" s="116" customFormat="1">
      <c r="A63167" s="136"/>
      <c r="CM63167" s="111"/>
      <c r="CQ63167" s="111"/>
      <c r="EF63167"/>
      <c r="EG63167"/>
      <c r="EH63167"/>
      <c r="EI63167"/>
      <c r="EJ63167"/>
      <c r="EK63167"/>
    </row>
    <row r="63168" spans="1:141" s="116" customFormat="1">
      <c r="A63168" s="136"/>
      <c r="CM63168" s="111"/>
      <c r="CQ63168" s="111"/>
      <c r="EF63168"/>
      <c r="EG63168"/>
      <c r="EH63168"/>
      <c r="EI63168"/>
      <c r="EJ63168"/>
      <c r="EK63168"/>
    </row>
    <row r="63169" spans="1:141" s="116" customFormat="1">
      <c r="A63169" s="136"/>
      <c r="CM63169" s="111"/>
      <c r="CQ63169" s="111"/>
      <c r="EF63169"/>
      <c r="EG63169"/>
      <c r="EH63169"/>
      <c r="EI63169"/>
      <c r="EJ63169"/>
      <c r="EK63169"/>
    </row>
    <row r="63170" spans="1:141" s="116" customFormat="1">
      <c r="A63170" s="136"/>
      <c r="CM63170" s="111"/>
      <c r="CQ63170" s="111"/>
      <c r="EF63170"/>
      <c r="EG63170"/>
      <c r="EH63170"/>
      <c r="EI63170"/>
      <c r="EJ63170"/>
      <c r="EK63170"/>
    </row>
    <row r="63171" spans="1:141" s="116" customFormat="1">
      <c r="A63171" s="136"/>
      <c r="CM63171" s="111"/>
      <c r="CQ63171" s="111"/>
      <c r="EF63171"/>
      <c r="EG63171"/>
      <c r="EH63171"/>
      <c r="EI63171"/>
      <c r="EJ63171"/>
      <c r="EK63171"/>
    </row>
    <row r="63172" spans="1:141" s="116" customFormat="1">
      <c r="A63172" s="136"/>
      <c r="CM63172" s="111"/>
      <c r="CQ63172" s="111"/>
      <c r="EF63172"/>
      <c r="EG63172"/>
      <c r="EH63172"/>
      <c r="EI63172"/>
      <c r="EJ63172"/>
      <c r="EK63172"/>
    </row>
    <row r="63173" spans="1:141" s="116" customFormat="1">
      <c r="A63173" s="136"/>
      <c r="CM63173" s="111"/>
      <c r="CQ63173" s="111"/>
      <c r="EF63173"/>
      <c r="EG63173"/>
      <c r="EH63173"/>
      <c r="EI63173"/>
      <c r="EJ63173"/>
      <c r="EK63173"/>
    </row>
    <row r="63174" spans="1:141" s="116" customFormat="1">
      <c r="A63174" s="136"/>
      <c r="CM63174" s="111"/>
      <c r="CQ63174" s="111"/>
      <c r="EF63174"/>
      <c r="EG63174"/>
      <c r="EH63174"/>
      <c r="EI63174"/>
      <c r="EJ63174"/>
      <c r="EK63174"/>
    </row>
    <row r="63175" spans="1:141" s="116" customFormat="1">
      <c r="A63175" s="136"/>
      <c r="CM63175" s="111"/>
      <c r="CQ63175" s="111"/>
      <c r="EF63175"/>
      <c r="EG63175"/>
      <c r="EH63175"/>
      <c r="EI63175"/>
      <c r="EJ63175"/>
      <c r="EK63175"/>
    </row>
    <row r="63176" spans="1:141" s="116" customFormat="1">
      <c r="A63176" s="136"/>
      <c r="CM63176" s="111"/>
      <c r="CQ63176" s="111"/>
      <c r="EF63176"/>
      <c r="EG63176"/>
      <c r="EH63176"/>
      <c r="EI63176"/>
      <c r="EJ63176"/>
      <c r="EK63176"/>
    </row>
    <row r="63177" spans="1:141" s="116" customFormat="1">
      <c r="A63177" s="136"/>
      <c r="CM63177" s="111"/>
      <c r="CQ63177" s="111"/>
      <c r="EF63177"/>
      <c r="EG63177"/>
      <c r="EH63177"/>
      <c r="EI63177"/>
      <c r="EJ63177"/>
      <c r="EK63177"/>
    </row>
    <row r="63178" spans="1:141" s="116" customFormat="1">
      <c r="A63178" s="136"/>
      <c r="CM63178" s="111"/>
      <c r="CQ63178" s="111"/>
      <c r="EF63178"/>
      <c r="EG63178"/>
      <c r="EH63178"/>
      <c r="EI63178"/>
      <c r="EJ63178"/>
      <c r="EK63178"/>
    </row>
    <row r="63179" spans="1:141" s="116" customFormat="1">
      <c r="A63179" s="136"/>
      <c r="CM63179" s="111"/>
      <c r="CQ63179" s="111"/>
      <c r="EF63179"/>
      <c r="EG63179"/>
      <c r="EH63179"/>
      <c r="EI63179"/>
      <c r="EJ63179"/>
      <c r="EK63179"/>
    </row>
    <row r="63180" spans="1:141" s="116" customFormat="1">
      <c r="A63180" s="136"/>
      <c r="CM63180" s="111"/>
      <c r="CQ63180" s="111"/>
      <c r="EF63180"/>
      <c r="EG63180"/>
      <c r="EH63180"/>
      <c r="EI63180"/>
      <c r="EJ63180"/>
      <c r="EK63180"/>
    </row>
    <row r="63181" spans="1:141" s="116" customFormat="1">
      <c r="A63181" s="136"/>
      <c r="CM63181" s="111"/>
      <c r="CQ63181" s="111"/>
      <c r="EF63181"/>
      <c r="EG63181"/>
      <c r="EH63181"/>
      <c r="EI63181"/>
      <c r="EJ63181"/>
      <c r="EK63181"/>
    </row>
    <row r="63182" spans="1:141" s="116" customFormat="1">
      <c r="A63182" s="136"/>
      <c r="CM63182" s="111"/>
      <c r="CQ63182" s="111"/>
      <c r="EF63182"/>
      <c r="EG63182"/>
      <c r="EH63182"/>
      <c r="EI63182"/>
      <c r="EJ63182"/>
      <c r="EK63182"/>
    </row>
    <row r="63183" spans="1:141" s="116" customFormat="1">
      <c r="A63183" s="136"/>
      <c r="CM63183" s="111"/>
      <c r="CQ63183" s="111"/>
      <c r="EF63183"/>
      <c r="EG63183"/>
      <c r="EH63183"/>
      <c r="EI63183"/>
      <c r="EJ63183"/>
      <c r="EK63183"/>
    </row>
    <row r="63184" spans="1:141" s="116" customFormat="1">
      <c r="A63184" s="136"/>
      <c r="CM63184" s="111"/>
      <c r="CQ63184" s="111"/>
      <c r="EF63184"/>
      <c r="EG63184"/>
      <c r="EH63184"/>
      <c r="EI63184"/>
      <c r="EJ63184"/>
      <c r="EK63184"/>
    </row>
    <row r="63185" spans="1:141" s="116" customFormat="1">
      <c r="A63185" s="136"/>
      <c r="CM63185" s="111"/>
      <c r="CQ63185" s="111"/>
      <c r="EF63185"/>
      <c r="EG63185"/>
      <c r="EH63185"/>
      <c r="EI63185"/>
      <c r="EJ63185"/>
      <c r="EK63185"/>
    </row>
    <row r="63186" spans="1:141" s="116" customFormat="1">
      <c r="A63186" s="136"/>
      <c r="CM63186" s="111"/>
      <c r="CQ63186" s="111"/>
      <c r="EF63186"/>
      <c r="EG63186"/>
      <c r="EH63186"/>
      <c r="EI63186"/>
      <c r="EJ63186"/>
      <c r="EK63186"/>
    </row>
    <row r="63187" spans="1:141" s="116" customFormat="1">
      <c r="A63187" s="136"/>
      <c r="CM63187" s="111"/>
      <c r="CQ63187" s="111"/>
      <c r="EF63187"/>
      <c r="EG63187"/>
      <c r="EH63187"/>
      <c r="EI63187"/>
      <c r="EJ63187"/>
      <c r="EK63187"/>
    </row>
    <row r="63188" spans="1:141" s="116" customFormat="1">
      <c r="A63188" s="136"/>
      <c r="CM63188" s="111"/>
      <c r="CQ63188" s="111"/>
      <c r="EF63188"/>
      <c r="EG63188"/>
      <c r="EH63188"/>
      <c r="EI63188"/>
      <c r="EJ63188"/>
      <c r="EK63188"/>
    </row>
    <row r="63189" spans="1:141" s="116" customFormat="1">
      <c r="A63189" s="136"/>
      <c r="CM63189" s="111"/>
      <c r="CQ63189" s="111"/>
      <c r="EF63189"/>
      <c r="EG63189"/>
      <c r="EH63189"/>
      <c r="EI63189"/>
      <c r="EJ63189"/>
      <c r="EK63189"/>
    </row>
    <row r="63190" spans="1:141" s="116" customFormat="1">
      <c r="A63190" s="136"/>
      <c r="CM63190" s="111"/>
      <c r="CQ63190" s="111"/>
      <c r="EF63190"/>
      <c r="EG63190"/>
      <c r="EH63190"/>
      <c r="EI63190"/>
      <c r="EJ63190"/>
      <c r="EK63190"/>
    </row>
    <row r="63191" spans="1:141" s="116" customFormat="1">
      <c r="A63191" s="136"/>
      <c r="CM63191" s="111"/>
      <c r="CQ63191" s="111"/>
      <c r="EF63191"/>
      <c r="EG63191"/>
      <c r="EH63191"/>
      <c r="EI63191"/>
      <c r="EJ63191"/>
      <c r="EK63191"/>
    </row>
    <row r="63192" spans="1:141" s="116" customFormat="1">
      <c r="A63192" s="136"/>
      <c r="CM63192" s="111"/>
      <c r="CQ63192" s="111"/>
      <c r="EF63192"/>
      <c r="EG63192"/>
      <c r="EH63192"/>
      <c r="EI63192"/>
      <c r="EJ63192"/>
      <c r="EK63192"/>
    </row>
    <row r="63193" spans="1:141" s="116" customFormat="1">
      <c r="A63193" s="136"/>
      <c r="CM63193" s="111"/>
      <c r="CQ63193" s="111"/>
      <c r="EF63193"/>
      <c r="EG63193"/>
      <c r="EH63193"/>
      <c r="EI63193"/>
      <c r="EJ63193"/>
      <c r="EK63193"/>
    </row>
    <row r="63194" spans="1:141" s="116" customFormat="1">
      <c r="A63194" s="136"/>
      <c r="CM63194" s="111"/>
      <c r="CQ63194" s="111"/>
      <c r="EF63194"/>
      <c r="EG63194"/>
      <c r="EH63194"/>
      <c r="EI63194"/>
      <c r="EJ63194"/>
      <c r="EK63194"/>
    </row>
    <row r="63195" spans="1:141" s="116" customFormat="1">
      <c r="A63195" s="136"/>
      <c r="CM63195" s="111"/>
      <c r="CQ63195" s="111"/>
      <c r="EF63195"/>
      <c r="EG63195"/>
      <c r="EH63195"/>
      <c r="EI63195"/>
      <c r="EJ63195"/>
      <c r="EK63195"/>
    </row>
    <row r="63196" spans="1:141" s="116" customFormat="1">
      <c r="A63196" s="136"/>
      <c r="CM63196" s="111"/>
      <c r="CQ63196" s="111"/>
      <c r="EF63196"/>
      <c r="EG63196"/>
      <c r="EH63196"/>
      <c r="EI63196"/>
      <c r="EJ63196"/>
      <c r="EK63196"/>
    </row>
    <row r="63197" spans="1:141" s="116" customFormat="1">
      <c r="A63197" s="136"/>
      <c r="CM63197" s="111"/>
      <c r="CQ63197" s="111"/>
      <c r="EF63197"/>
      <c r="EG63197"/>
      <c r="EH63197"/>
      <c r="EI63197"/>
      <c r="EJ63197"/>
      <c r="EK63197"/>
    </row>
    <row r="63198" spans="1:141" s="116" customFormat="1">
      <c r="A63198" s="136"/>
      <c r="CM63198" s="111"/>
      <c r="CQ63198" s="111"/>
      <c r="EF63198"/>
      <c r="EG63198"/>
      <c r="EH63198"/>
      <c r="EI63198"/>
      <c r="EJ63198"/>
      <c r="EK63198"/>
    </row>
    <row r="63199" spans="1:141" s="116" customFormat="1">
      <c r="A63199" s="136"/>
      <c r="CM63199" s="111"/>
      <c r="CQ63199" s="111"/>
      <c r="EF63199"/>
      <c r="EG63199"/>
      <c r="EH63199"/>
      <c r="EI63199"/>
      <c r="EJ63199"/>
      <c r="EK63199"/>
    </row>
    <row r="63200" spans="1:141" s="116" customFormat="1">
      <c r="A63200" s="136"/>
      <c r="CM63200" s="111"/>
      <c r="CQ63200" s="111"/>
      <c r="EF63200"/>
      <c r="EG63200"/>
      <c r="EH63200"/>
      <c r="EI63200"/>
      <c r="EJ63200"/>
      <c r="EK63200"/>
    </row>
    <row r="63201" spans="1:141" s="116" customFormat="1">
      <c r="A63201" s="136"/>
      <c r="CM63201" s="111"/>
      <c r="CQ63201" s="111"/>
      <c r="EF63201"/>
      <c r="EG63201"/>
      <c r="EH63201"/>
      <c r="EI63201"/>
      <c r="EJ63201"/>
      <c r="EK63201"/>
    </row>
    <row r="63202" spans="1:141" s="116" customFormat="1">
      <c r="A63202" s="136"/>
      <c r="CM63202" s="111"/>
      <c r="CQ63202" s="111"/>
      <c r="EF63202"/>
      <c r="EG63202"/>
      <c r="EH63202"/>
      <c r="EI63202"/>
      <c r="EJ63202"/>
      <c r="EK63202"/>
    </row>
    <row r="63203" spans="1:141" s="116" customFormat="1">
      <c r="A63203" s="136"/>
      <c r="CM63203" s="111"/>
      <c r="CQ63203" s="111"/>
      <c r="EF63203"/>
      <c r="EG63203"/>
      <c r="EH63203"/>
      <c r="EI63203"/>
      <c r="EJ63203"/>
      <c r="EK63203"/>
    </row>
    <row r="63204" spans="1:141" s="116" customFormat="1">
      <c r="A63204" s="136"/>
      <c r="CM63204" s="111"/>
      <c r="CQ63204" s="111"/>
      <c r="EF63204"/>
      <c r="EG63204"/>
      <c r="EH63204"/>
      <c r="EI63204"/>
      <c r="EJ63204"/>
      <c r="EK63204"/>
    </row>
    <row r="63205" spans="1:141" s="116" customFormat="1">
      <c r="A63205" s="136"/>
      <c r="CM63205" s="111"/>
      <c r="CQ63205" s="111"/>
      <c r="EF63205"/>
      <c r="EG63205"/>
      <c r="EH63205"/>
      <c r="EI63205"/>
      <c r="EJ63205"/>
      <c r="EK63205"/>
    </row>
    <row r="63206" spans="1:141" s="116" customFormat="1">
      <c r="A63206" s="136"/>
      <c r="CM63206" s="111"/>
      <c r="CQ63206" s="111"/>
      <c r="EF63206"/>
      <c r="EG63206"/>
      <c r="EH63206"/>
      <c r="EI63206"/>
      <c r="EJ63206"/>
      <c r="EK63206"/>
    </row>
    <row r="63207" spans="1:141" s="116" customFormat="1">
      <c r="A63207" s="136"/>
      <c r="CM63207" s="111"/>
      <c r="CQ63207" s="111"/>
      <c r="EF63207"/>
      <c r="EG63207"/>
      <c r="EH63207"/>
      <c r="EI63207"/>
      <c r="EJ63207"/>
      <c r="EK63207"/>
    </row>
    <row r="63208" spans="1:141" s="116" customFormat="1">
      <c r="A63208" s="136"/>
      <c r="CM63208" s="111"/>
      <c r="CQ63208" s="111"/>
      <c r="EF63208"/>
      <c r="EG63208"/>
      <c r="EH63208"/>
      <c r="EI63208"/>
      <c r="EJ63208"/>
      <c r="EK63208"/>
    </row>
    <row r="63209" spans="1:141" s="116" customFormat="1">
      <c r="A63209" s="136"/>
      <c r="CM63209" s="111"/>
      <c r="CQ63209" s="111"/>
      <c r="EF63209"/>
      <c r="EG63209"/>
      <c r="EH63209"/>
      <c r="EI63209"/>
      <c r="EJ63209"/>
      <c r="EK63209"/>
    </row>
    <row r="63210" spans="1:141" s="116" customFormat="1">
      <c r="A63210" s="136"/>
      <c r="CM63210" s="111"/>
      <c r="CQ63210" s="111"/>
      <c r="EF63210"/>
      <c r="EG63210"/>
      <c r="EH63210"/>
      <c r="EI63210"/>
      <c r="EJ63210"/>
      <c r="EK63210"/>
    </row>
    <row r="63211" spans="1:141" s="116" customFormat="1">
      <c r="A63211" s="136"/>
      <c r="CM63211" s="111"/>
      <c r="CQ63211" s="111"/>
      <c r="EF63211"/>
      <c r="EG63211"/>
      <c r="EH63211"/>
      <c r="EI63211"/>
      <c r="EJ63211"/>
      <c r="EK63211"/>
    </row>
    <row r="63212" spans="1:141" s="116" customFormat="1">
      <c r="A63212" s="136"/>
      <c r="CM63212" s="111"/>
      <c r="CQ63212" s="111"/>
      <c r="EF63212"/>
      <c r="EG63212"/>
      <c r="EH63212"/>
      <c r="EI63212"/>
      <c r="EJ63212"/>
      <c r="EK63212"/>
    </row>
    <row r="63213" spans="1:141" s="116" customFormat="1">
      <c r="A63213" s="136"/>
      <c r="CM63213" s="111"/>
      <c r="CQ63213" s="111"/>
      <c r="EF63213"/>
      <c r="EG63213"/>
      <c r="EH63213"/>
      <c r="EI63213"/>
      <c r="EJ63213"/>
      <c r="EK63213"/>
    </row>
    <row r="63214" spans="1:141" s="116" customFormat="1">
      <c r="A63214" s="136"/>
      <c r="CM63214" s="111"/>
      <c r="CQ63214" s="111"/>
      <c r="EF63214"/>
      <c r="EG63214"/>
      <c r="EH63214"/>
      <c r="EI63214"/>
      <c r="EJ63214"/>
      <c r="EK63214"/>
    </row>
    <row r="63215" spans="1:141" s="116" customFormat="1">
      <c r="A63215" s="136"/>
      <c r="CM63215" s="111"/>
      <c r="CQ63215" s="111"/>
      <c r="EF63215"/>
      <c r="EG63215"/>
      <c r="EH63215"/>
      <c r="EI63215"/>
      <c r="EJ63215"/>
      <c r="EK63215"/>
    </row>
    <row r="63216" spans="1:141" s="116" customFormat="1">
      <c r="A63216" s="136"/>
      <c r="CM63216" s="111"/>
      <c r="CQ63216" s="111"/>
      <c r="EF63216"/>
      <c r="EG63216"/>
      <c r="EH63216"/>
      <c r="EI63216"/>
      <c r="EJ63216"/>
      <c r="EK63216"/>
    </row>
    <row r="63217" spans="1:141" s="116" customFormat="1">
      <c r="A63217" s="136"/>
      <c r="CM63217" s="111"/>
      <c r="CQ63217" s="111"/>
      <c r="EF63217"/>
      <c r="EG63217"/>
      <c r="EH63217"/>
      <c r="EI63217"/>
      <c r="EJ63217"/>
      <c r="EK63217"/>
    </row>
    <row r="63218" spans="1:141" s="116" customFormat="1">
      <c r="A63218" s="136"/>
      <c r="CM63218" s="111"/>
      <c r="CQ63218" s="111"/>
      <c r="EF63218"/>
      <c r="EG63218"/>
      <c r="EH63218"/>
      <c r="EI63218"/>
      <c r="EJ63218"/>
      <c r="EK63218"/>
    </row>
    <row r="63219" spans="1:141" s="116" customFormat="1">
      <c r="A63219" s="136"/>
      <c r="CM63219" s="111"/>
      <c r="CQ63219" s="111"/>
      <c r="EF63219"/>
      <c r="EG63219"/>
      <c r="EH63219"/>
      <c r="EI63219"/>
      <c r="EJ63219"/>
      <c r="EK63219"/>
    </row>
    <row r="63220" spans="1:141" s="116" customFormat="1">
      <c r="A63220" s="136"/>
      <c r="CM63220" s="111"/>
      <c r="CQ63220" s="111"/>
      <c r="EF63220"/>
      <c r="EG63220"/>
      <c r="EH63220"/>
      <c r="EI63220"/>
      <c r="EJ63220"/>
      <c r="EK63220"/>
    </row>
    <row r="63221" spans="1:141" s="116" customFormat="1">
      <c r="A63221" s="136"/>
      <c r="CM63221" s="111"/>
      <c r="CQ63221" s="111"/>
      <c r="EF63221"/>
      <c r="EG63221"/>
      <c r="EH63221"/>
      <c r="EI63221"/>
      <c r="EJ63221"/>
      <c r="EK63221"/>
    </row>
    <row r="63222" spans="1:141" s="116" customFormat="1">
      <c r="A63222" s="136"/>
      <c r="CM63222" s="111"/>
      <c r="CQ63222" s="111"/>
      <c r="EF63222"/>
      <c r="EG63222"/>
      <c r="EH63222"/>
      <c r="EI63222"/>
      <c r="EJ63222"/>
      <c r="EK63222"/>
    </row>
    <row r="63223" spans="1:141" s="116" customFormat="1">
      <c r="A63223" s="136"/>
      <c r="CM63223" s="111"/>
      <c r="CQ63223" s="111"/>
      <c r="EF63223"/>
      <c r="EG63223"/>
      <c r="EH63223"/>
      <c r="EI63223"/>
      <c r="EJ63223"/>
      <c r="EK63223"/>
    </row>
    <row r="63224" spans="1:141" s="116" customFormat="1">
      <c r="A63224" s="136"/>
      <c r="CM63224" s="111"/>
      <c r="CQ63224" s="111"/>
      <c r="EF63224"/>
      <c r="EG63224"/>
      <c r="EH63224"/>
      <c r="EI63224"/>
      <c r="EJ63224"/>
      <c r="EK63224"/>
    </row>
    <row r="63225" spans="1:141" s="116" customFormat="1">
      <c r="A63225" s="136"/>
      <c r="CM63225" s="111"/>
      <c r="CQ63225" s="111"/>
      <c r="EF63225"/>
      <c r="EG63225"/>
      <c r="EH63225"/>
      <c r="EI63225"/>
      <c r="EJ63225"/>
      <c r="EK63225"/>
    </row>
    <row r="63226" spans="1:141" s="116" customFormat="1">
      <c r="A63226" s="136"/>
      <c r="CM63226" s="111"/>
      <c r="CQ63226" s="111"/>
      <c r="EF63226"/>
      <c r="EG63226"/>
      <c r="EH63226"/>
      <c r="EI63226"/>
      <c r="EJ63226"/>
      <c r="EK63226"/>
    </row>
    <row r="63227" spans="1:141" s="116" customFormat="1">
      <c r="A63227" s="136"/>
      <c r="CM63227" s="111"/>
      <c r="CQ63227" s="111"/>
      <c r="EF63227"/>
      <c r="EG63227"/>
      <c r="EH63227"/>
      <c r="EI63227"/>
      <c r="EJ63227"/>
      <c r="EK63227"/>
    </row>
    <row r="63228" spans="1:141" s="116" customFormat="1">
      <c r="A63228" s="136"/>
      <c r="CM63228" s="111"/>
      <c r="CQ63228" s="111"/>
      <c r="EF63228"/>
      <c r="EG63228"/>
      <c r="EH63228"/>
      <c r="EI63228"/>
      <c r="EJ63228"/>
      <c r="EK63228"/>
    </row>
    <row r="63229" spans="1:141" s="116" customFormat="1">
      <c r="A63229" s="136"/>
      <c r="CM63229" s="111"/>
      <c r="CQ63229" s="111"/>
      <c r="EF63229"/>
      <c r="EG63229"/>
      <c r="EH63229"/>
      <c r="EI63229"/>
      <c r="EJ63229"/>
      <c r="EK63229"/>
    </row>
    <row r="63230" spans="1:141" s="116" customFormat="1">
      <c r="A63230" s="136"/>
      <c r="CM63230" s="111"/>
      <c r="CQ63230" s="111"/>
      <c r="EF63230"/>
      <c r="EG63230"/>
      <c r="EH63230"/>
      <c r="EI63230"/>
      <c r="EJ63230"/>
      <c r="EK63230"/>
    </row>
    <row r="63231" spans="1:141" s="116" customFormat="1">
      <c r="A63231" s="136"/>
      <c r="CM63231" s="111"/>
      <c r="CQ63231" s="111"/>
      <c r="EF63231"/>
      <c r="EG63231"/>
      <c r="EH63231"/>
      <c r="EI63231"/>
      <c r="EJ63231"/>
      <c r="EK63231"/>
    </row>
    <row r="63232" spans="1:141" s="116" customFormat="1">
      <c r="A63232" s="136"/>
      <c r="CM63232" s="111"/>
      <c r="CQ63232" s="111"/>
      <c r="EF63232"/>
      <c r="EG63232"/>
      <c r="EH63232"/>
      <c r="EI63232"/>
      <c r="EJ63232"/>
      <c r="EK63232"/>
    </row>
    <row r="63233" spans="1:141" s="116" customFormat="1">
      <c r="A63233" s="136"/>
      <c r="CM63233" s="111"/>
      <c r="CQ63233" s="111"/>
      <c r="EF63233"/>
      <c r="EG63233"/>
      <c r="EH63233"/>
      <c r="EI63233"/>
      <c r="EJ63233"/>
      <c r="EK63233"/>
    </row>
    <row r="63234" spans="1:141" s="116" customFormat="1">
      <c r="A63234" s="136"/>
      <c r="CM63234" s="111"/>
      <c r="CQ63234" s="111"/>
      <c r="EF63234"/>
      <c r="EG63234"/>
      <c r="EH63234"/>
      <c r="EI63234"/>
      <c r="EJ63234"/>
      <c r="EK63234"/>
    </row>
    <row r="63235" spans="1:141" s="116" customFormat="1">
      <c r="A63235" s="136"/>
      <c r="CM63235" s="111"/>
      <c r="CQ63235" s="111"/>
      <c r="EF63235"/>
      <c r="EG63235"/>
      <c r="EH63235"/>
      <c r="EI63235"/>
      <c r="EJ63235"/>
      <c r="EK63235"/>
    </row>
    <row r="63236" spans="1:141" s="116" customFormat="1">
      <c r="A63236" s="136"/>
      <c r="CM63236" s="111"/>
      <c r="CQ63236" s="111"/>
      <c r="EF63236"/>
      <c r="EG63236"/>
      <c r="EH63236"/>
      <c r="EI63236"/>
      <c r="EJ63236"/>
      <c r="EK63236"/>
    </row>
    <row r="63237" spans="1:141" s="116" customFormat="1">
      <c r="A63237" s="136"/>
      <c r="CM63237" s="111"/>
      <c r="CQ63237" s="111"/>
      <c r="EF63237"/>
      <c r="EG63237"/>
      <c r="EH63237"/>
      <c r="EI63237"/>
      <c r="EJ63237"/>
      <c r="EK63237"/>
    </row>
    <row r="63238" spans="1:141" s="116" customFormat="1">
      <c r="A63238" s="136"/>
      <c r="CM63238" s="111"/>
      <c r="CQ63238" s="111"/>
      <c r="EF63238"/>
      <c r="EG63238"/>
      <c r="EH63238"/>
      <c r="EI63238"/>
      <c r="EJ63238"/>
      <c r="EK63238"/>
    </row>
    <row r="63239" spans="1:141" s="116" customFormat="1">
      <c r="A63239" s="136"/>
      <c r="CM63239" s="111"/>
      <c r="CQ63239" s="111"/>
      <c r="EF63239"/>
      <c r="EG63239"/>
      <c r="EH63239"/>
      <c r="EI63239"/>
      <c r="EJ63239"/>
      <c r="EK63239"/>
    </row>
    <row r="63240" spans="1:141" s="116" customFormat="1">
      <c r="A63240" s="136"/>
      <c r="CM63240" s="111"/>
      <c r="CQ63240" s="111"/>
      <c r="EF63240"/>
      <c r="EG63240"/>
      <c r="EH63240"/>
      <c r="EI63240"/>
      <c r="EJ63240"/>
      <c r="EK63240"/>
    </row>
    <row r="63241" spans="1:141" s="116" customFormat="1">
      <c r="A63241" s="136"/>
      <c r="CM63241" s="111"/>
      <c r="CQ63241" s="111"/>
      <c r="EF63241"/>
      <c r="EG63241"/>
      <c r="EH63241"/>
      <c r="EI63241"/>
      <c r="EJ63241"/>
      <c r="EK63241"/>
    </row>
    <row r="63242" spans="1:141" s="116" customFormat="1">
      <c r="A63242" s="136"/>
      <c r="CM63242" s="111"/>
      <c r="CQ63242" s="111"/>
      <c r="EF63242"/>
      <c r="EG63242"/>
      <c r="EH63242"/>
      <c r="EI63242"/>
      <c r="EJ63242"/>
      <c r="EK63242"/>
    </row>
    <row r="63243" spans="1:141" s="116" customFormat="1">
      <c r="A63243" s="136"/>
      <c r="CM63243" s="111"/>
      <c r="CQ63243" s="111"/>
      <c r="EF63243"/>
      <c r="EG63243"/>
      <c r="EH63243"/>
      <c r="EI63243"/>
      <c r="EJ63243"/>
      <c r="EK63243"/>
    </row>
    <row r="63244" spans="1:141" s="116" customFormat="1">
      <c r="A63244" s="136"/>
      <c r="CM63244" s="111"/>
      <c r="CQ63244" s="111"/>
      <c r="EF63244"/>
      <c r="EG63244"/>
      <c r="EH63244"/>
      <c r="EI63244"/>
      <c r="EJ63244"/>
      <c r="EK63244"/>
    </row>
    <row r="63245" spans="1:141" s="116" customFormat="1">
      <c r="A63245" s="136"/>
      <c r="CM63245" s="111"/>
      <c r="CQ63245" s="111"/>
      <c r="EF63245"/>
      <c r="EG63245"/>
      <c r="EH63245"/>
      <c r="EI63245"/>
      <c r="EJ63245"/>
      <c r="EK63245"/>
    </row>
    <row r="63246" spans="1:141" s="116" customFormat="1">
      <c r="A63246" s="136"/>
      <c r="CM63246" s="111"/>
      <c r="CQ63246" s="111"/>
      <c r="EF63246"/>
      <c r="EG63246"/>
      <c r="EH63246"/>
      <c r="EI63246"/>
      <c r="EJ63246"/>
      <c r="EK63246"/>
    </row>
    <row r="63247" spans="1:141" s="116" customFormat="1">
      <c r="A63247" s="136"/>
      <c r="CM63247" s="111"/>
      <c r="CQ63247" s="111"/>
      <c r="EF63247"/>
      <c r="EG63247"/>
      <c r="EH63247"/>
      <c r="EI63247"/>
      <c r="EJ63247"/>
      <c r="EK63247"/>
    </row>
    <row r="63248" spans="1:141" s="116" customFormat="1">
      <c r="A63248" s="136"/>
      <c r="CM63248" s="111"/>
      <c r="CQ63248" s="111"/>
      <c r="EF63248"/>
      <c r="EG63248"/>
      <c r="EH63248"/>
      <c r="EI63248"/>
      <c r="EJ63248"/>
      <c r="EK63248"/>
    </row>
    <row r="63249" spans="1:141" s="116" customFormat="1">
      <c r="A63249" s="136"/>
      <c r="CM63249" s="111"/>
      <c r="CQ63249" s="111"/>
      <c r="EF63249"/>
      <c r="EG63249"/>
      <c r="EH63249"/>
      <c r="EI63249"/>
      <c r="EJ63249"/>
      <c r="EK63249"/>
    </row>
    <row r="63250" spans="1:141" s="116" customFormat="1">
      <c r="A63250" s="136"/>
      <c r="CM63250" s="111"/>
      <c r="CQ63250" s="111"/>
      <c r="EF63250"/>
      <c r="EG63250"/>
      <c r="EH63250"/>
      <c r="EI63250"/>
      <c r="EJ63250"/>
      <c r="EK63250"/>
    </row>
    <row r="63251" spans="1:141" s="116" customFormat="1">
      <c r="A63251" s="136"/>
      <c r="CM63251" s="111"/>
      <c r="CQ63251" s="111"/>
      <c r="EF63251"/>
      <c r="EG63251"/>
      <c r="EH63251"/>
      <c r="EI63251"/>
      <c r="EJ63251"/>
      <c r="EK63251"/>
    </row>
    <row r="63252" spans="1:141" s="116" customFormat="1">
      <c r="A63252" s="136"/>
      <c r="CM63252" s="111"/>
      <c r="CQ63252" s="111"/>
      <c r="EF63252"/>
      <c r="EG63252"/>
      <c r="EH63252"/>
      <c r="EI63252"/>
      <c r="EJ63252"/>
      <c r="EK63252"/>
    </row>
    <row r="63253" spans="1:141" s="116" customFormat="1">
      <c r="A63253" s="136"/>
      <c r="CM63253" s="111"/>
      <c r="CQ63253" s="111"/>
      <c r="EF63253"/>
      <c r="EG63253"/>
      <c r="EH63253"/>
      <c r="EI63253"/>
      <c r="EJ63253"/>
      <c r="EK63253"/>
    </row>
    <row r="63254" spans="1:141" s="116" customFormat="1">
      <c r="A63254" s="136"/>
      <c r="CM63254" s="111"/>
      <c r="CQ63254" s="111"/>
      <c r="EF63254"/>
      <c r="EG63254"/>
      <c r="EH63254"/>
      <c r="EI63254"/>
      <c r="EJ63254"/>
      <c r="EK63254"/>
    </row>
    <row r="63255" spans="1:141" s="116" customFormat="1">
      <c r="A63255" s="136"/>
      <c r="CM63255" s="111"/>
      <c r="CQ63255" s="111"/>
      <c r="EF63255"/>
      <c r="EG63255"/>
      <c r="EH63255"/>
      <c r="EI63255"/>
      <c r="EJ63255"/>
      <c r="EK63255"/>
    </row>
    <row r="63256" spans="1:141" s="116" customFormat="1">
      <c r="A63256" s="136"/>
      <c r="CM63256" s="111"/>
      <c r="CQ63256" s="111"/>
      <c r="EF63256"/>
      <c r="EG63256"/>
      <c r="EH63256"/>
      <c r="EI63256"/>
      <c r="EJ63256"/>
      <c r="EK63256"/>
    </row>
    <row r="63257" spans="1:141" s="116" customFormat="1">
      <c r="A63257" s="136"/>
      <c r="CM63257" s="111"/>
      <c r="CQ63257" s="111"/>
      <c r="EF63257"/>
      <c r="EG63257"/>
      <c r="EH63257"/>
      <c r="EI63257"/>
      <c r="EJ63257"/>
      <c r="EK63257"/>
    </row>
    <row r="63258" spans="1:141" s="116" customFormat="1">
      <c r="A63258" s="136"/>
      <c r="CM63258" s="111"/>
      <c r="CQ63258" s="111"/>
      <c r="EF63258"/>
      <c r="EG63258"/>
      <c r="EH63258"/>
      <c r="EI63258"/>
      <c r="EJ63258"/>
      <c r="EK63258"/>
    </row>
    <row r="63259" spans="1:141" s="116" customFormat="1">
      <c r="A63259" s="136"/>
      <c r="CM63259" s="111"/>
      <c r="CQ63259" s="111"/>
      <c r="EF63259"/>
      <c r="EG63259"/>
      <c r="EH63259"/>
      <c r="EI63259"/>
      <c r="EJ63259"/>
      <c r="EK63259"/>
    </row>
    <row r="63260" spans="1:141" s="116" customFormat="1">
      <c r="A63260" s="136"/>
      <c r="CM63260" s="111"/>
      <c r="CQ63260" s="111"/>
      <c r="EF63260"/>
      <c r="EG63260"/>
      <c r="EH63260"/>
      <c r="EI63260"/>
      <c r="EJ63260"/>
      <c r="EK63260"/>
    </row>
    <row r="63261" spans="1:141" s="116" customFormat="1">
      <c r="A63261" s="136"/>
      <c r="CM63261" s="111"/>
      <c r="CQ63261" s="111"/>
      <c r="EF63261"/>
      <c r="EG63261"/>
      <c r="EH63261"/>
      <c r="EI63261"/>
      <c r="EJ63261"/>
      <c r="EK63261"/>
    </row>
    <row r="63262" spans="1:141" s="116" customFormat="1">
      <c r="A63262" s="136"/>
      <c r="CM63262" s="111"/>
      <c r="CQ63262" s="111"/>
      <c r="EF63262"/>
      <c r="EG63262"/>
      <c r="EH63262"/>
      <c r="EI63262"/>
      <c r="EJ63262"/>
      <c r="EK63262"/>
    </row>
    <row r="63263" spans="1:141" s="116" customFormat="1">
      <c r="A63263" s="136"/>
      <c r="CM63263" s="111"/>
      <c r="CQ63263" s="111"/>
      <c r="EF63263"/>
      <c r="EG63263"/>
      <c r="EH63263"/>
      <c r="EI63263"/>
      <c r="EJ63263"/>
      <c r="EK63263"/>
    </row>
    <row r="63264" spans="1:141" s="116" customFormat="1">
      <c r="A63264" s="136"/>
      <c r="CM63264" s="111"/>
      <c r="CQ63264" s="111"/>
      <c r="EF63264"/>
      <c r="EG63264"/>
      <c r="EH63264"/>
      <c r="EI63264"/>
      <c r="EJ63264"/>
      <c r="EK63264"/>
    </row>
    <row r="63265" spans="1:141" s="116" customFormat="1">
      <c r="A63265" s="136"/>
      <c r="CM63265" s="111"/>
      <c r="CQ63265" s="111"/>
      <c r="EF63265"/>
      <c r="EG63265"/>
      <c r="EH63265"/>
      <c r="EI63265"/>
      <c r="EJ63265"/>
      <c r="EK63265"/>
    </row>
    <row r="63266" spans="1:141" s="116" customFormat="1">
      <c r="A63266" s="136"/>
      <c r="CM63266" s="111"/>
      <c r="CQ63266" s="111"/>
      <c r="EF63266"/>
      <c r="EG63266"/>
      <c r="EH63266"/>
      <c r="EI63266"/>
      <c r="EJ63266"/>
      <c r="EK63266"/>
    </row>
    <row r="63267" spans="1:141" s="116" customFormat="1">
      <c r="A63267" s="136"/>
      <c r="CM63267" s="111"/>
      <c r="CQ63267" s="111"/>
      <c r="EF63267"/>
      <c r="EG63267"/>
      <c r="EH63267"/>
      <c r="EI63267"/>
      <c r="EJ63267"/>
      <c r="EK63267"/>
    </row>
    <row r="63268" spans="1:141" s="116" customFormat="1">
      <c r="A63268" s="136"/>
      <c r="CM63268" s="111"/>
      <c r="CQ63268" s="111"/>
      <c r="EF63268"/>
      <c r="EG63268"/>
      <c r="EH63268"/>
      <c r="EI63268"/>
      <c r="EJ63268"/>
      <c r="EK63268"/>
    </row>
    <row r="63269" spans="1:141" s="116" customFormat="1">
      <c r="A63269" s="136"/>
      <c r="CM63269" s="111"/>
      <c r="CQ63269" s="111"/>
      <c r="EF63269"/>
      <c r="EG63269"/>
      <c r="EH63269"/>
      <c r="EI63269"/>
      <c r="EJ63269"/>
      <c r="EK63269"/>
    </row>
    <row r="63270" spans="1:141" s="116" customFormat="1">
      <c r="A63270" s="136"/>
      <c r="CM63270" s="111"/>
      <c r="CQ63270" s="111"/>
      <c r="EF63270"/>
      <c r="EG63270"/>
      <c r="EH63270"/>
      <c r="EI63270"/>
      <c r="EJ63270"/>
      <c r="EK63270"/>
    </row>
    <row r="63271" spans="1:141" s="116" customFormat="1">
      <c r="A63271" s="136"/>
      <c r="CM63271" s="111"/>
      <c r="CQ63271" s="111"/>
      <c r="EF63271"/>
      <c r="EG63271"/>
      <c r="EH63271"/>
      <c r="EI63271"/>
      <c r="EJ63271"/>
      <c r="EK63271"/>
    </row>
    <row r="63272" spans="1:141" s="116" customFormat="1">
      <c r="A63272" s="136"/>
      <c r="CM63272" s="111"/>
      <c r="CQ63272" s="111"/>
      <c r="EF63272"/>
      <c r="EG63272"/>
      <c r="EH63272"/>
      <c r="EI63272"/>
      <c r="EJ63272"/>
      <c r="EK63272"/>
    </row>
    <row r="63273" spans="1:141" s="116" customFormat="1">
      <c r="A63273" s="136"/>
      <c r="CM63273" s="111"/>
      <c r="CQ63273" s="111"/>
      <c r="EF63273"/>
      <c r="EG63273"/>
      <c r="EH63273"/>
      <c r="EI63273"/>
      <c r="EJ63273"/>
      <c r="EK63273"/>
    </row>
    <row r="63274" spans="1:141" s="116" customFormat="1">
      <c r="A63274" s="136"/>
      <c r="CM63274" s="111"/>
      <c r="CQ63274" s="111"/>
      <c r="EF63274"/>
      <c r="EG63274"/>
      <c r="EH63274"/>
      <c r="EI63274"/>
      <c r="EJ63274"/>
      <c r="EK63274"/>
    </row>
    <row r="63275" spans="1:141" s="116" customFormat="1">
      <c r="A63275" s="136"/>
      <c r="CM63275" s="111"/>
      <c r="CQ63275" s="111"/>
      <c r="EF63275"/>
      <c r="EG63275"/>
      <c r="EH63275"/>
      <c r="EI63275"/>
      <c r="EJ63275"/>
      <c r="EK63275"/>
    </row>
    <row r="63276" spans="1:141" s="116" customFormat="1">
      <c r="A63276" s="136"/>
      <c r="CM63276" s="111"/>
      <c r="CQ63276" s="111"/>
      <c r="EF63276"/>
      <c r="EG63276"/>
      <c r="EH63276"/>
      <c r="EI63276"/>
      <c r="EJ63276"/>
      <c r="EK63276"/>
    </row>
    <row r="63277" spans="1:141" s="116" customFormat="1">
      <c r="A63277" s="136"/>
      <c r="CM63277" s="111"/>
      <c r="CQ63277" s="111"/>
      <c r="EF63277"/>
      <c r="EG63277"/>
      <c r="EH63277"/>
      <c r="EI63277"/>
      <c r="EJ63277"/>
      <c r="EK63277"/>
    </row>
    <row r="63278" spans="1:141" s="116" customFormat="1">
      <c r="A63278" s="136"/>
      <c r="CM63278" s="111"/>
      <c r="CQ63278" s="111"/>
      <c r="EF63278"/>
      <c r="EG63278"/>
      <c r="EH63278"/>
      <c r="EI63278"/>
      <c r="EJ63278"/>
      <c r="EK63278"/>
    </row>
    <row r="63279" spans="1:141" s="116" customFormat="1">
      <c r="A63279" s="136"/>
      <c r="CM63279" s="111"/>
      <c r="CQ63279" s="111"/>
      <c r="EF63279"/>
      <c r="EG63279"/>
      <c r="EH63279"/>
      <c r="EI63279"/>
      <c r="EJ63279"/>
      <c r="EK63279"/>
    </row>
    <row r="63280" spans="1:141" s="116" customFormat="1">
      <c r="A63280" s="136"/>
      <c r="CM63280" s="111"/>
      <c r="CQ63280" s="111"/>
      <c r="EF63280"/>
      <c r="EG63280"/>
      <c r="EH63280"/>
      <c r="EI63280"/>
      <c r="EJ63280"/>
      <c r="EK63280"/>
    </row>
    <row r="63281" spans="1:141" s="116" customFormat="1">
      <c r="A63281" s="136"/>
      <c r="CM63281" s="111"/>
      <c r="CQ63281" s="111"/>
      <c r="EF63281"/>
      <c r="EG63281"/>
      <c r="EH63281"/>
      <c r="EI63281"/>
      <c r="EJ63281"/>
      <c r="EK63281"/>
    </row>
    <row r="63282" spans="1:141" s="116" customFormat="1">
      <c r="A63282" s="136"/>
      <c r="CM63282" s="111"/>
      <c r="CQ63282" s="111"/>
      <c r="EF63282"/>
      <c r="EG63282"/>
      <c r="EH63282"/>
      <c r="EI63282"/>
      <c r="EJ63282"/>
      <c r="EK63282"/>
    </row>
    <row r="63283" spans="1:141" s="116" customFormat="1">
      <c r="A63283" s="136"/>
      <c r="CM63283" s="111"/>
      <c r="CQ63283" s="111"/>
      <c r="EF63283"/>
      <c r="EG63283"/>
      <c r="EH63283"/>
      <c r="EI63283"/>
      <c r="EJ63283"/>
      <c r="EK63283"/>
    </row>
    <row r="63284" spans="1:141" s="116" customFormat="1">
      <c r="A63284" s="136"/>
      <c r="CM63284" s="111"/>
      <c r="CQ63284" s="111"/>
      <c r="EF63284"/>
      <c r="EG63284"/>
      <c r="EH63284"/>
      <c r="EI63284"/>
      <c r="EJ63284"/>
      <c r="EK63284"/>
    </row>
    <row r="63285" spans="1:141" s="116" customFormat="1">
      <c r="A63285" s="136"/>
      <c r="CM63285" s="111"/>
      <c r="CQ63285" s="111"/>
      <c r="EF63285"/>
      <c r="EG63285"/>
      <c r="EH63285"/>
      <c r="EI63285"/>
      <c r="EJ63285"/>
      <c r="EK63285"/>
    </row>
    <row r="63286" spans="1:141" s="116" customFormat="1">
      <c r="A63286" s="136"/>
      <c r="CM63286" s="111"/>
      <c r="CQ63286" s="111"/>
      <c r="EF63286"/>
      <c r="EG63286"/>
      <c r="EH63286"/>
      <c r="EI63286"/>
      <c r="EJ63286"/>
      <c r="EK63286"/>
    </row>
    <row r="63287" spans="1:141" s="116" customFormat="1">
      <c r="A63287" s="136"/>
      <c r="CM63287" s="111"/>
      <c r="CQ63287" s="111"/>
      <c r="EF63287"/>
      <c r="EG63287"/>
      <c r="EH63287"/>
      <c r="EI63287"/>
      <c r="EJ63287"/>
      <c r="EK63287"/>
    </row>
    <row r="63288" spans="1:141" s="116" customFormat="1">
      <c r="A63288" s="136"/>
      <c r="CM63288" s="111"/>
      <c r="CQ63288" s="111"/>
      <c r="EF63288"/>
      <c r="EG63288"/>
      <c r="EH63288"/>
      <c r="EI63288"/>
      <c r="EJ63288"/>
      <c r="EK63288"/>
    </row>
    <row r="63289" spans="1:141" s="116" customFormat="1">
      <c r="A63289" s="136"/>
      <c r="CM63289" s="111"/>
      <c r="CQ63289" s="111"/>
      <c r="EF63289"/>
      <c r="EG63289"/>
      <c r="EH63289"/>
      <c r="EI63289"/>
      <c r="EJ63289"/>
      <c r="EK63289"/>
    </row>
    <row r="63290" spans="1:141" s="116" customFormat="1">
      <c r="A63290" s="136"/>
      <c r="CM63290" s="111"/>
      <c r="CQ63290" s="111"/>
      <c r="EF63290"/>
      <c r="EG63290"/>
      <c r="EH63290"/>
      <c r="EI63290"/>
      <c r="EJ63290"/>
      <c r="EK63290"/>
    </row>
    <row r="63291" spans="1:141" s="116" customFormat="1">
      <c r="A63291" s="136"/>
      <c r="CM63291" s="111"/>
      <c r="CQ63291" s="111"/>
      <c r="EF63291"/>
      <c r="EG63291"/>
      <c r="EH63291"/>
      <c r="EI63291"/>
      <c r="EJ63291"/>
      <c r="EK63291"/>
    </row>
    <row r="63292" spans="1:141" s="116" customFormat="1">
      <c r="A63292" s="136"/>
      <c r="CM63292" s="111"/>
      <c r="CQ63292" s="111"/>
      <c r="EF63292"/>
      <c r="EG63292"/>
      <c r="EH63292"/>
      <c r="EI63292"/>
      <c r="EJ63292"/>
      <c r="EK63292"/>
    </row>
    <row r="63293" spans="1:141" s="116" customFormat="1">
      <c r="A63293" s="136"/>
      <c r="CM63293" s="111"/>
      <c r="CQ63293" s="111"/>
      <c r="EF63293"/>
      <c r="EG63293"/>
      <c r="EH63293"/>
      <c r="EI63293"/>
      <c r="EJ63293"/>
      <c r="EK63293"/>
    </row>
    <row r="63294" spans="1:141" s="116" customFormat="1">
      <c r="A63294" s="136"/>
      <c r="CM63294" s="111"/>
      <c r="CQ63294" s="111"/>
      <c r="EF63294"/>
      <c r="EG63294"/>
      <c r="EH63294"/>
      <c r="EI63294"/>
      <c r="EJ63294"/>
      <c r="EK63294"/>
    </row>
    <row r="63295" spans="1:141" s="116" customFormat="1">
      <c r="A63295" s="136"/>
      <c r="CM63295" s="111"/>
      <c r="CQ63295" s="111"/>
      <c r="EF63295"/>
      <c r="EG63295"/>
      <c r="EH63295"/>
      <c r="EI63295"/>
      <c r="EJ63295"/>
      <c r="EK63295"/>
    </row>
    <row r="63296" spans="1:141" s="116" customFormat="1">
      <c r="A63296" s="136"/>
      <c r="CM63296" s="111"/>
      <c r="CQ63296" s="111"/>
      <c r="EF63296"/>
      <c r="EG63296"/>
      <c r="EH63296"/>
      <c r="EI63296"/>
      <c r="EJ63296"/>
      <c r="EK63296"/>
    </row>
    <row r="63297" spans="1:141" s="116" customFormat="1">
      <c r="A63297" s="136"/>
      <c r="CM63297" s="111"/>
      <c r="CQ63297" s="111"/>
      <c r="EF63297"/>
      <c r="EG63297"/>
      <c r="EH63297"/>
      <c r="EI63297"/>
      <c r="EJ63297"/>
      <c r="EK63297"/>
    </row>
    <row r="63298" spans="1:141" s="116" customFormat="1">
      <c r="A63298" s="136"/>
      <c r="CM63298" s="111"/>
      <c r="CQ63298" s="111"/>
      <c r="EF63298"/>
      <c r="EG63298"/>
      <c r="EH63298"/>
      <c r="EI63298"/>
      <c r="EJ63298"/>
      <c r="EK63298"/>
    </row>
    <row r="63299" spans="1:141" s="116" customFormat="1">
      <c r="A63299" s="136"/>
      <c r="CM63299" s="111"/>
      <c r="CQ63299" s="111"/>
      <c r="EF63299"/>
      <c r="EG63299"/>
      <c r="EH63299"/>
      <c r="EI63299"/>
      <c r="EJ63299"/>
      <c r="EK63299"/>
    </row>
    <row r="63300" spans="1:141" s="116" customFormat="1">
      <c r="A63300" s="136"/>
      <c r="CM63300" s="111"/>
      <c r="CQ63300" s="111"/>
      <c r="EF63300"/>
      <c r="EG63300"/>
      <c r="EH63300"/>
      <c r="EI63300"/>
      <c r="EJ63300"/>
      <c r="EK63300"/>
    </row>
    <row r="63301" spans="1:141" s="116" customFormat="1">
      <c r="A63301" s="136"/>
      <c r="CM63301" s="111"/>
      <c r="CQ63301" s="111"/>
      <c r="EF63301"/>
      <c r="EG63301"/>
      <c r="EH63301"/>
      <c r="EI63301"/>
      <c r="EJ63301"/>
      <c r="EK63301"/>
    </row>
    <row r="63302" spans="1:141" s="116" customFormat="1">
      <c r="A63302" s="136"/>
      <c r="CM63302" s="111"/>
      <c r="CQ63302" s="111"/>
      <c r="EF63302"/>
      <c r="EG63302"/>
      <c r="EH63302"/>
      <c r="EI63302"/>
      <c r="EJ63302"/>
      <c r="EK63302"/>
    </row>
    <row r="63303" spans="1:141" s="116" customFormat="1">
      <c r="A63303" s="136"/>
      <c r="CM63303" s="111"/>
      <c r="CQ63303" s="111"/>
      <c r="EF63303"/>
      <c r="EG63303"/>
      <c r="EH63303"/>
      <c r="EI63303"/>
      <c r="EJ63303"/>
      <c r="EK63303"/>
    </row>
    <row r="63304" spans="1:141" s="116" customFormat="1">
      <c r="A63304" s="136"/>
      <c r="CM63304" s="111"/>
      <c r="CQ63304" s="111"/>
      <c r="EF63304"/>
      <c r="EG63304"/>
      <c r="EH63304"/>
      <c r="EI63304"/>
      <c r="EJ63304"/>
      <c r="EK63304"/>
    </row>
    <row r="63305" spans="1:141" s="116" customFormat="1">
      <c r="A63305" s="136"/>
      <c r="CM63305" s="111"/>
      <c r="CQ63305" s="111"/>
      <c r="EF63305"/>
      <c r="EG63305"/>
      <c r="EH63305"/>
      <c r="EI63305"/>
      <c r="EJ63305"/>
      <c r="EK63305"/>
    </row>
    <row r="63306" spans="1:141" s="116" customFormat="1">
      <c r="A63306" s="136"/>
      <c r="CM63306" s="111"/>
      <c r="CQ63306" s="111"/>
      <c r="EF63306"/>
      <c r="EG63306"/>
      <c r="EH63306"/>
      <c r="EI63306"/>
      <c r="EJ63306"/>
      <c r="EK63306"/>
    </row>
    <row r="63307" spans="1:141" s="116" customFormat="1">
      <c r="A63307" s="136"/>
      <c r="CM63307" s="111"/>
      <c r="CQ63307" s="111"/>
      <c r="EF63307"/>
      <c r="EG63307"/>
      <c r="EH63307"/>
      <c r="EI63307"/>
      <c r="EJ63307"/>
      <c r="EK63307"/>
    </row>
    <row r="63308" spans="1:141" s="116" customFormat="1">
      <c r="A63308" s="136"/>
      <c r="CM63308" s="111"/>
      <c r="CQ63308" s="111"/>
      <c r="EF63308"/>
      <c r="EG63308"/>
      <c r="EH63308"/>
      <c r="EI63308"/>
      <c r="EJ63308"/>
      <c r="EK63308"/>
    </row>
    <row r="63309" spans="1:141" s="116" customFormat="1">
      <c r="A63309" s="136"/>
      <c r="CM63309" s="111"/>
      <c r="CQ63309" s="111"/>
      <c r="EF63309"/>
      <c r="EG63309"/>
      <c r="EH63309"/>
      <c r="EI63309"/>
      <c r="EJ63309"/>
      <c r="EK63309"/>
    </row>
    <row r="63310" spans="1:141" s="116" customFormat="1">
      <c r="A63310" s="136"/>
      <c r="CM63310" s="111"/>
      <c r="CQ63310" s="111"/>
      <c r="EF63310"/>
      <c r="EG63310"/>
      <c r="EH63310"/>
      <c r="EI63310"/>
      <c r="EJ63310"/>
      <c r="EK63310"/>
    </row>
    <row r="63311" spans="1:141" s="116" customFormat="1">
      <c r="A63311" s="136"/>
      <c r="CM63311" s="111"/>
      <c r="CQ63311" s="111"/>
      <c r="EF63311"/>
      <c r="EG63311"/>
      <c r="EH63311"/>
      <c r="EI63311"/>
      <c r="EJ63311"/>
      <c r="EK63311"/>
    </row>
    <row r="63312" spans="1:141" s="116" customFormat="1">
      <c r="A63312" s="136"/>
      <c r="CM63312" s="111"/>
      <c r="CQ63312" s="111"/>
      <c r="EF63312"/>
      <c r="EG63312"/>
      <c r="EH63312"/>
      <c r="EI63312"/>
      <c r="EJ63312"/>
      <c r="EK63312"/>
    </row>
    <row r="63313" spans="1:141" s="116" customFormat="1">
      <c r="A63313" s="136"/>
      <c r="CM63313" s="111"/>
      <c r="CQ63313" s="111"/>
      <c r="EF63313"/>
      <c r="EG63313"/>
      <c r="EH63313"/>
      <c r="EI63313"/>
      <c r="EJ63313"/>
      <c r="EK63313"/>
    </row>
    <row r="63314" spans="1:141" s="116" customFormat="1">
      <c r="A63314" s="136"/>
      <c r="CM63314" s="111"/>
      <c r="CQ63314" s="111"/>
      <c r="EF63314"/>
      <c r="EG63314"/>
      <c r="EH63314"/>
      <c r="EI63314"/>
      <c r="EJ63314"/>
      <c r="EK63314"/>
    </row>
    <row r="63315" spans="1:141" s="116" customFormat="1">
      <c r="A63315" s="136"/>
      <c r="CM63315" s="111"/>
      <c r="CQ63315" s="111"/>
      <c r="EF63315"/>
      <c r="EG63315"/>
      <c r="EH63315"/>
      <c r="EI63315"/>
      <c r="EJ63315"/>
      <c r="EK63315"/>
    </row>
    <row r="63316" spans="1:141" s="116" customFormat="1">
      <c r="A63316" s="136"/>
      <c r="CM63316" s="111"/>
      <c r="CQ63316" s="111"/>
      <c r="EF63316"/>
      <c r="EG63316"/>
      <c r="EH63316"/>
      <c r="EI63316"/>
      <c r="EJ63316"/>
      <c r="EK63316"/>
    </row>
    <row r="63317" spans="1:141" s="116" customFormat="1">
      <c r="A63317" s="136"/>
      <c r="CM63317" s="111"/>
      <c r="CQ63317" s="111"/>
      <c r="EF63317"/>
      <c r="EG63317"/>
      <c r="EH63317"/>
      <c r="EI63317"/>
      <c r="EJ63317"/>
      <c r="EK63317"/>
    </row>
    <row r="63318" spans="1:141" s="116" customFormat="1">
      <c r="A63318" s="136"/>
      <c r="CM63318" s="111"/>
      <c r="CQ63318" s="111"/>
      <c r="EF63318"/>
      <c r="EG63318"/>
      <c r="EH63318"/>
      <c r="EI63318"/>
      <c r="EJ63318"/>
      <c r="EK63318"/>
    </row>
    <row r="63319" spans="1:141" s="116" customFormat="1">
      <c r="A63319" s="136"/>
      <c r="CM63319" s="111"/>
      <c r="CQ63319" s="111"/>
      <c r="EF63319"/>
      <c r="EG63319"/>
      <c r="EH63319"/>
      <c r="EI63319"/>
      <c r="EJ63319"/>
      <c r="EK63319"/>
    </row>
    <row r="63320" spans="1:141" s="116" customFormat="1">
      <c r="A63320" s="136"/>
      <c r="CM63320" s="111"/>
      <c r="CQ63320" s="111"/>
      <c r="EF63320"/>
      <c r="EG63320"/>
      <c r="EH63320"/>
      <c r="EI63320"/>
      <c r="EJ63320"/>
      <c r="EK63320"/>
    </row>
    <row r="63321" spans="1:141" s="116" customFormat="1">
      <c r="A63321" s="136"/>
      <c r="CM63321" s="111"/>
      <c r="CQ63321" s="111"/>
      <c r="EF63321"/>
      <c r="EG63321"/>
      <c r="EH63321"/>
      <c r="EI63321"/>
      <c r="EJ63321"/>
      <c r="EK63321"/>
    </row>
    <row r="63322" spans="1:141" s="116" customFormat="1">
      <c r="A63322" s="136"/>
      <c r="CM63322" s="111"/>
      <c r="CQ63322" s="111"/>
      <c r="EF63322"/>
      <c r="EG63322"/>
      <c r="EH63322"/>
      <c r="EI63322"/>
      <c r="EJ63322"/>
      <c r="EK63322"/>
    </row>
    <row r="63323" spans="1:141" s="116" customFormat="1">
      <c r="A63323" s="136"/>
      <c r="CM63323" s="111"/>
      <c r="CQ63323" s="111"/>
      <c r="EF63323"/>
      <c r="EG63323"/>
      <c r="EH63323"/>
      <c r="EI63323"/>
      <c r="EJ63323"/>
      <c r="EK63323"/>
    </row>
    <row r="63324" spans="1:141" s="116" customFormat="1">
      <c r="A63324" s="136"/>
      <c r="CM63324" s="111"/>
      <c r="CQ63324" s="111"/>
      <c r="EF63324"/>
      <c r="EG63324"/>
      <c r="EH63324"/>
      <c r="EI63324"/>
      <c r="EJ63324"/>
      <c r="EK63324"/>
    </row>
    <row r="63325" spans="1:141" s="116" customFormat="1">
      <c r="A63325" s="136"/>
      <c r="CM63325" s="111"/>
      <c r="CQ63325" s="111"/>
      <c r="EF63325"/>
      <c r="EG63325"/>
      <c r="EH63325"/>
      <c r="EI63325"/>
      <c r="EJ63325"/>
      <c r="EK63325"/>
    </row>
    <row r="63326" spans="1:141" s="116" customFormat="1">
      <c r="A63326" s="136"/>
      <c r="CM63326" s="111"/>
      <c r="CQ63326" s="111"/>
      <c r="EF63326"/>
      <c r="EG63326"/>
      <c r="EH63326"/>
      <c r="EI63326"/>
      <c r="EJ63326"/>
      <c r="EK63326"/>
    </row>
    <row r="63327" spans="1:141" s="116" customFormat="1">
      <c r="A63327" s="136"/>
      <c r="CM63327" s="111"/>
      <c r="CQ63327" s="111"/>
      <c r="EF63327"/>
      <c r="EG63327"/>
      <c r="EH63327"/>
      <c r="EI63327"/>
      <c r="EJ63327"/>
      <c r="EK63327"/>
    </row>
    <row r="63328" spans="1:141" s="116" customFormat="1">
      <c r="A63328" s="136"/>
      <c r="CM63328" s="111"/>
      <c r="CQ63328" s="111"/>
      <c r="EF63328"/>
      <c r="EG63328"/>
      <c r="EH63328"/>
      <c r="EI63328"/>
      <c r="EJ63328"/>
      <c r="EK63328"/>
    </row>
    <row r="63329" spans="1:141" s="116" customFormat="1">
      <c r="A63329" s="136"/>
      <c r="CM63329" s="111"/>
      <c r="CQ63329" s="111"/>
      <c r="EF63329"/>
      <c r="EG63329"/>
      <c r="EH63329"/>
      <c r="EI63329"/>
      <c r="EJ63329"/>
      <c r="EK63329"/>
    </row>
    <row r="63330" spans="1:141" s="116" customFormat="1">
      <c r="A63330" s="136"/>
      <c r="CM63330" s="111"/>
      <c r="CQ63330" s="111"/>
      <c r="EF63330"/>
      <c r="EG63330"/>
      <c r="EH63330"/>
      <c r="EI63330"/>
      <c r="EJ63330"/>
      <c r="EK63330"/>
    </row>
    <row r="63331" spans="1:141" s="116" customFormat="1">
      <c r="A63331" s="136"/>
      <c r="CM63331" s="111"/>
      <c r="CQ63331" s="111"/>
      <c r="EF63331"/>
      <c r="EG63331"/>
      <c r="EH63331"/>
      <c r="EI63331"/>
      <c r="EJ63331"/>
      <c r="EK63331"/>
    </row>
    <row r="63332" spans="1:141" s="116" customFormat="1">
      <c r="A63332" s="136"/>
      <c r="CM63332" s="111"/>
      <c r="CQ63332" s="111"/>
      <c r="EF63332"/>
      <c r="EG63332"/>
      <c r="EH63332"/>
      <c r="EI63332"/>
      <c r="EJ63332"/>
      <c r="EK63332"/>
    </row>
    <row r="63333" spans="1:141" s="116" customFormat="1">
      <c r="A63333" s="136"/>
      <c r="CM63333" s="111"/>
      <c r="CQ63333" s="111"/>
      <c r="EF63333"/>
      <c r="EG63333"/>
      <c r="EH63333"/>
      <c r="EI63333"/>
      <c r="EJ63333"/>
      <c r="EK63333"/>
    </row>
    <row r="63334" spans="1:141" s="116" customFormat="1">
      <c r="A63334" s="136"/>
      <c r="CM63334" s="111"/>
      <c r="CQ63334" s="111"/>
      <c r="EF63334"/>
      <c r="EG63334"/>
      <c r="EH63334"/>
      <c r="EI63334"/>
      <c r="EJ63334"/>
      <c r="EK63334"/>
    </row>
    <row r="63335" spans="1:141" s="116" customFormat="1">
      <c r="A63335" s="136"/>
      <c r="CM63335" s="111"/>
      <c r="CQ63335" s="111"/>
      <c r="EF63335"/>
      <c r="EG63335"/>
      <c r="EH63335"/>
      <c r="EI63335"/>
      <c r="EJ63335"/>
      <c r="EK63335"/>
    </row>
    <row r="63336" spans="1:141" s="116" customFormat="1">
      <c r="A63336" s="136"/>
      <c r="CM63336" s="111"/>
      <c r="CQ63336" s="111"/>
      <c r="EF63336"/>
      <c r="EG63336"/>
      <c r="EH63336"/>
      <c r="EI63336"/>
      <c r="EJ63336"/>
      <c r="EK63336"/>
    </row>
    <row r="63337" spans="1:141" s="116" customFormat="1">
      <c r="A63337" s="136"/>
      <c r="CM63337" s="111"/>
      <c r="CQ63337" s="111"/>
      <c r="EF63337"/>
      <c r="EG63337"/>
      <c r="EH63337"/>
      <c r="EI63337"/>
      <c r="EJ63337"/>
      <c r="EK63337"/>
    </row>
    <row r="63338" spans="1:141" s="116" customFormat="1">
      <c r="A63338" s="136"/>
      <c r="CM63338" s="111"/>
      <c r="CQ63338" s="111"/>
      <c r="EF63338"/>
      <c r="EG63338"/>
      <c r="EH63338"/>
      <c r="EI63338"/>
      <c r="EJ63338"/>
      <c r="EK63338"/>
    </row>
    <row r="63339" spans="1:141" s="116" customFormat="1">
      <c r="A63339" s="136"/>
      <c r="CM63339" s="111"/>
      <c r="CQ63339" s="111"/>
      <c r="EF63339"/>
      <c r="EG63339"/>
      <c r="EH63339"/>
      <c r="EI63339"/>
      <c r="EJ63339"/>
      <c r="EK63339"/>
    </row>
    <row r="63340" spans="1:141" s="116" customFormat="1">
      <c r="A63340" s="136"/>
      <c r="CM63340" s="111"/>
      <c r="CQ63340" s="111"/>
      <c r="EF63340"/>
      <c r="EG63340"/>
      <c r="EH63340"/>
      <c r="EI63340"/>
      <c r="EJ63340"/>
      <c r="EK63340"/>
    </row>
    <row r="63341" spans="1:141" s="116" customFormat="1">
      <c r="A63341" s="136"/>
      <c r="CM63341" s="111"/>
      <c r="CQ63341" s="111"/>
      <c r="EF63341"/>
      <c r="EG63341"/>
      <c r="EH63341"/>
      <c r="EI63341"/>
      <c r="EJ63341"/>
      <c r="EK63341"/>
    </row>
    <row r="63342" spans="1:141" s="116" customFormat="1">
      <c r="A63342" s="136"/>
      <c r="CM63342" s="111"/>
      <c r="CQ63342" s="111"/>
      <c r="EF63342"/>
      <c r="EG63342"/>
      <c r="EH63342"/>
      <c r="EI63342"/>
      <c r="EJ63342"/>
      <c r="EK63342"/>
    </row>
    <row r="63343" spans="1:141" s="116" customFormat="1">
      <c r="A63343" s="136"/>
      <c r="CM63343" s="111"/>
      <c r="CQ63343" s="111"/>
      <c r="EF63343"/>
      <c r="EG63343"/>
      <c r="EH63343"/>
      <c r="EI63343"/>
      <c r="EJ63343"/>
      <c r="EK63343"/>
    </row>
    <row r="63344" spans="1:141" s="116" customFormat="1">
      <c r="A63344" s="136"/>
      <c r="CM63344" s="111"/>
      <c r="CQ63344" s="111"/>
      <c r="EF63344"/>
      <c r="EG63344"/>
      <c r="EH63344"/>
      <c r="EI63344"/>
      <c r="EJ63344"/>
      <c r="EK63344"/>
    </row>
    <row r="63345" spans="1:141" s="116" customFormat="1">
      <c r="A63345" s="136"/>
      <c r="CM63345" s="111"/>
      <c r="CQ63345" s="111"/>
      <c r="EF63345"/>
      <c r="EG63345"/>
      <c r="EH63345"/>
      <c r="EI63345"/>
      <c r="EJ63345"/>
      <c r="EK63345"/>
    </row>
    <row r="63346" spans="1:141" s="116" customFormat="1">
      <c r="A63346" s="136"/>
      <c r="CM63346" s="111"/>
      <c r="CQ63346" s="111"/>
      <c r="EF63346"/>
      <c r="EG63346"/>
      <c r="EH63346"/>
      <c r="EI63346"/>
      <c r="EJ63346"/>
      <c r="EK63346"/>
    </row>
    <row r="63347" spans="1:141" s="116" customFormat="1">
      <c r="A63347" s="136"/>
      <c r="CM63347" s="111"/>
      <c r="CQ63347" s="111"/>
      <c r="EF63347"/>
      <c r="EG63347"/>
      <c r="EH63347"/>
      <c r="EI63347"/>
      <c r="EJ63347"/>
      <c r="EK63347"/>
    </row>
    <row r="63348" spans="1:141" s="116" customFormat="1">
      <c r="A63348" s="136"/>
      <c r="CM63348" s="111"/>
      <c r="CQ63348" s="111"/>
      <c r="EF63348"/>
      <c r="EG63348"/>
      <c r="EH63348"/>
      <c r="EI63348"/>
      <c r="EJ63348"/>
      <c r="EK63348"/>
    </row>
    <row r="63349" spans="1:141" s="116" customFormat="1">
      <c r="A63349" s="136"/>
      <c r="CM63349" s="111"/>
      <c r="CQ63349" s="111"/>
      <c r="EF63349"/>
      <c r="EG63349"/>
      <c r="EH63349"/>
      <c r="EI63349"/>
      <c r="EJ63349"/>
      <c r="EK63349"/>
    </row>
    <row r="63350" spans="1:141" s="116" customFormat="1">
      <c r="A63350" s="136"/>
      <c r="CM63350" s="111"/>
      <c r="CQ63350" s="111"/>
      <c r="EF63350"/>
      <c r="EG63350"/>
      <c r="EH63350"/>
      <c r="EI63350"/>
      <c r="EJ63350"/>
      <c r="EK63350"/>
    </row>
    <row r="63351" spans="1:141" s="116" customFormat="1">
      <c r="A63351" s="136"/>
      <c r="CM63351" s="111"/>
      <c r="CQ63351" s="111"/>
      <c r="EF63351"/>
      <c r="EG63351"/>
      <c r="EH63351"/>
      <c r="EI63351"/>
      <c r="EJ63351"/>
      <c r="EK63351"/>
    </row>
    <row r="63352" spans="1:141" s="116" customFormat="1">
      <c r="A63352" s="136"/>
      <c r="CM63352" s="111"/>
      <c r="CQ63352" s="111"/>
      <c r="EF63352"/>
      <c r="EG63352"/>
      <c r="EH63352"/>
      <c r="EI63352"/>
      <c r="EJ63352"/>
      <c r="EK63352"/>
    </row>
    <row r="63353" spans="1:141" s="116" customFormat="1">
      <c r="A63353" s="136"/>
      <c r="CM63353" s="111"/>
      <c r="CQ63353" s="111"/>
      <c r="EF63353"/>
      <c r="EG63353"/>
      <c r="EH63353"/>
      <c r="EI63353"/>
      <c r="EJ63353"/>
      <c r="EK63353"/>
    </row>
    <row r="63354" spans="1:141" s="116" customFormat="1">
      <c r="A63354" s="136"/>
      <c r="CM63354" s="111"/>
      <c r="CQ63354" s="111"/>
      <c r="EF63354"/>
      <c r="EG63354"/>
      <c r="EH63354"/>
      <c r="EI63354"/>
      <c r="EJ63354"/>
      <c r="EK63354"/>
    </row>
    <row r="63355" spans="1:141" s="116" customFormat="1">
      <c r="A63355" s="136"/>
      <c r="CM63355" s="111"/>
      <c r="CQ63355" s="111"/>
      <c r="EF63355"/>
      <c r="EG63355"/>
      <c r="EH63355"/>
      <c r="EI63355"/>
      <c r="EJ63355"/>
      <c r="EK63355"/>
    </row>
    <row r="63356" spans="1:141" s="116" customFormat="1">
      <c r="A63356" s="136"/>
      <c r="CM63356" s="111"/>
      <c r="CQ63356" s="111"/>
      <c r="EF63356"/>
      <c r="EG63356"/>
      <c r="EH63356"/>
      <c r="EI63356"/>
      <c r="EJ63356"/>
      <c r="EK63356"/>
    </row>
    <row r="63357" spans="1:141" s="116" customFormat="1">
      <c r="A63357" s="136"/>
      <c r="CM63357" s="111"/>
      <c r="CQ63357" s="111"/>
      <c r="EF63357"/>
      <c r="EG63357"/>
      <c r="EH63357"/>
      <c r="EI63357"/>
      <c r="EJ63357"/>
      <c r="EK63357"/>
    </row>
    <row r="63358" spans="1:141" s="116" customFormat="1">
      <c r="A63358" s="136"/>
      <c r="CM63358" s="111"/>
      <c r="CQ63358" s="111"/>
      <c r="EF63358"/>
      <c r="EG63358"/>
      <c r="EH63358"/>
      <c r="EI63358"/>
      <c r="EJ63358"/>
      <c r="EK63358"/>
    </row>
    <row r="63359" spans="1:141" s="116" customFormat="1">
      <c r="A63359" s="136"/>
      <c r="CM63359" s="111"/>
      <c r="CQ63359" s="111"/>
      <c r="EF63359"/>
      <c r="EG63359"/>
      <c r="EH63359"/>
      <c r="EI63359"/>
      <c r="EJ63359"/>
      <c r="EK63359"/>
    </row>
    <row r="63360" spans="1:141" s="116" customFormat="1">
      <c r="A63360" s="136"/>
      <c r="CM63360" s="111"/>
      <c r="CQ63360" s="111"/>
      <c r="EF63360"/>
      <c r="EG63360"/>
      <c r="EH63360"/>
      <c r="EI63360"/>
      <c r="EJ63360"/>
      <c r="EK63360"/>
    </row>
    <row r="63361" spans="1:141" s="116" customFormat="1">
      <c r="A63361" s="136"/>
      <c r="CM63361" s="111"/>
      <c r="CQ63361" s="111"/>
      <c r="EF63361"/>
      <c r="EG63361"/>
      <c r="EH63361"/>
      <c r="EI63361"/>
      <c r="EJ63361"/>
      <c r="EK63361"/>
    </row>
    <row r="63362" spans="1:141" s="116" customFormat="1">
      <c r="A63362" s="136"/>
      <c r="CM63362" s="111"/>
      <c r="CQ63362" s="111"/>
      <c r="EF63362"/>
      <c r="EG63362"/>
      <c r="EH63362"/>
      <c r="EI63362"/>
      <c r="EJ63362"/>
      <c r="EK63362"/>
    </row>
    <row r="63363" spans="1:141" s="116" customFormat="1">
      <c r="A63363" s="136"/>
      <c r="CM63363" s="111"/>
      <c r="CQ63363" s="111"/>
      <c r="EF63363"/>
      <c r="EG63363"/>
      <c r="EH63363"/>
      <c r="EI63363"/>
      <c r="EJ63363"/>
      <c r="EK63363"/>
    </row>
    <row r="63364" spans="1:141" s="116" customFormat="1">
      <c r="A63364" s="136"/>
      <c r="CM63364" s="111"/>
      <c r="CQ63364" s="111"/>
      <c r="EF63364"/>
      <c r="EG63364"/>
      <c r="EH63364"/>
      <c r="EI63364"/>
      <c r="EJ63364"/>
      <c r="EK63364"/>
    </row>
    <row r="63365" spans="1:141" s="116" customFormat="1">
      <c r="A63365" s="136"/>
      <c r="CM63365" s="111"/>
      <c r="CQ63365" s="111"/>
      <c r="EF63365"/>
      <c r="EG63365"/>
      <c r="EH63365"/>
      <c r="EI63365"/>
      <c r="EJ63365"/>
      <c r="EK63365"/>
    </row>
    <row r="63366" spans="1:141" s="116" customFormat="1">
      <c r="A63366" s="136"/>
      <c r="CM63366" s="111"/>
      <c r="CQ63366" s="111"/>
      <c r="EF63366"/>
      <c r="EG63366"/>
      <c r="EH63366"/>
      <c r="EI63366"/>
      <c r="EJ63366"/>
      <c r="EK63366"/>
    </row>
    <row r="63367" spans="1:141" s="116" customFormat="1">
      <c r="A63367" s="136"/>
      <c r="CM63367" s="111"/>
      <c r="CQ63367" s="111"/>
      <c r="EF63367"/>
      <c r="EG63367"/>
      <c r="EH63367"/>
      <c r="EI63367"/>
      <c r="EJ63367"/>
      <c r="EK63367"/>
    </row>
    <row r="63368" spans="1:141" s="116" customFormat="1">
      <c r="A63368" s="136"/>
      <c r="CM63368" s="111"/>
      <c r="CQ63368" s="111"/>
      <c r="EF63368"/>
      <c r="EG63368"/>
      <c r="EH63368"/>
      <c r="EI63368"/>
      <c r="EJ63368"/>
      <c r="EK63368"/>
    </row>
    <row r="63369" spans="1:141" s="116" customFormat="1">
      <c r="A63369" s="136"/>
      <c r="CM63369" s="111"/>
      <c r="CQ63369" s="111"/>
      <c r="EF63369"/>
      <c r="EG63369"/>
      <c r="EH63369"/>
      <c r="EI63369"/>
      <c r="EJ63369"/>
      <c r="EK63369"/>
    </row>
    <row r="63370" spans="1:141" s="116" customFormat="1">
      <c r="A63370" s="136"/>
      <c r="CM63370" s="111"/>
      <c r="CQ63370" s="111"/>
      <c r="EF63370"/>
      <c r="EG63370"/>
      <c r="EH63370"/>
      <c r="EI63370"/>
      <c r="EJ63370"/>
      <c r="EK63370"/>
    </row>
    <row r="63371" spans="1:141" s="116" customFormat="1">
      <c r="A63371" s="136"/>
      <c r="CM63371" s="111"/>
      <c r="CQ63371" s="111"/>
      <c r="EF63371"/>
      <c r="EG63371"/>
      <c r="EH63371"/>
      <c r="EI63371"/>
      <c r="EJ63371"/>
      <c r="EK63371"/>
    </row>
    <row r="63372" spans="1:141" s="116" customFormat="1">
      <c r="A63372" s="136"/>
      <c r="CM63372" s="111"/>
      <c r="CQ63372" s="111"/>
      <c r="EF63372"/>
      <c r="EG63372"/>
      <c r="EH63372"/>
      <c r="EI63372"/>
      <c r="EJ63372"/>
      <c r="EK63372"/>
    </row>
    <row r="63373" spans="1:141" s="116" customFormat="1">
      <c r="A63373" s="136"/>
      <c r="CM63373" s="111"/>
      <c r="CQ63373" s="111"/>
      <c r="EF63373"/>
      <c r="EG63373"/>
      <c r="EH63373"/>
      <c r="EI63373"/>
      <c r="EJ63373"/>
      <c r="EK63373"/>
    </row>
    <row r="63374" spans="1:141" s="116" customFormat="1">
      <c r="A63374" s="136"/>
      <c r="CM63374" s="111"/>
      <c r="CQ63374" s="111"/>
      <c r="EF63374"/>
      <c r="EG63374"/>
      <c r="EH63374"/>
      <c r="EI63374"/>
      <c r="EJ63374"/>
      <c r="EK63374"/>
    </row>
    <row r="63375" spans="1:141" s="116" customFormat="1">
      <c r="A63375" s="136"/>
      <c r="CM63375" s="111"/>
      <c r="CQ63375" s="111"/>
      <c r="EF63375"/>
      <c r="EG63375"/>
      <c r="EH63375"/>
      <c r="EI63375"/>
      <c r="EJ63375"/>
      <c r="EK63375"/>
    </row>
    <row r="63376" spans="1:141" s="116" customFormat="1">
      <c r="A63376" s="136"/>
      <c r="CM63376" s="111"/>
      <c r="CQ63376" s="111"/>
      <c r="EF63376"/>
      <c r="EG63376"/>
      <c r="EH63376"/>
      <c r="EI63376"/>
      <c r="EJ63376"/>
      <c r="EK63376"/>
    </row>
    <row r="63377" spans="1:141" s="116" customFormat="1">
      <c r="A63377" s="136"/>
      <c r="CM63377" s="111"/>
      <c r="CQ63377" s="111"/>
      <c r="EF63377"/>
      <c r="EG63377"/>
      <c r="EH63377"/>
      <c r="EI63377"/>
      <c r="EJ63377"/>
      <c r="EK63377"/>
    </row>
    <row r="63378" spans="1:141" s="116" customFormat="1">
      <c r="A63378" s="136"/>
      <c r="CM63378" s="111"/>
      <c r="CQ63378" s="111"/>
      <c r="EF63378"/>
      <c r="EG63378"/>
      <c r="EH63378"/>
      <c r="EI63378"/>
      <c r="EJ63378"/>
      <c r="EK63378"/>
    </row>
    <row r="63379" spans="1:141" s="116" customFormat="1">
      <c r="A63379" s="136"/>
      <c r="CM63379" s="111"/>
      <c r="CQ63379" s="111"/>
      <c r="EF63379"/>
      <c r="EG63379"/>
      <c r="EH63379"/>
      <c r="EI63379"/>
      <c r="EJ63379"/>
      <c r="EK63379"/>
    </row>
    <row r="63380" spans="1:141" s="116" customFormat="1">
      <c r="A63380" s="136"/>
      <c r="CM63380" s="111"/>
      <c r="CQ63380" s="111"/>
      <c r="EF63380"/>
      <c r="EG63380"/>
      <c r="EH63380"/>
      <c r="EI63380"/>
      <c r="EJ63380"/>
      <c r="EK63380"/>
    </row>
    <row r="63381" spans="1:141" s="116" customFormat="1">
      <c r="A63381" s="136"/>
      <c r="CM63381" s="111"/>
      <c r="CQ63381" s="111"/>
      <c r="EF63381"/>
      <c r="EG63381"/>
      <c r="EH63381"/>
      <c r="EI63381"/>
      <c r="EJ63381"/>
      <c r="EK63381"/>
    </row>
    <row r="63382" spans="1:141" s="116" customFormat="1">
      <c r="A63382" s="136"/>
      <c r="CM63382" s="111"/>
      <c r="CQ63382" s="111"/>
      <c r="EF63382"/>
      <c r="EG63382"/>
      <c r="EH63382"/>
      <c r="EI63382"/>
      <c r="EJ63382"/>
      <c r="EK63382"/>
    </row>
    <row r="63383" spans="1:141" s="116" customFormat="1">
      <c r="A63383" s="136"/>
      <c r="CM63383" s="111"/>
      <c r="CQ63383" s="111"/>
      <c r="EF63383"/>
      <c r="EG63383"/>
      <c r="EH63383"/>
      <c r="EI63383"/>
      <c r="EJ63383"/>
      <c r="EK63383"/>
    </row>
    <row r="63384" spans="1:141" s="116" customFormat="1">
      <c r="A63384" s="136"/>
      <c r="CM63384" s="111"/>
      <c r="CQ63384" s="111"/>
      <c r="EF63384"/>
      <c r="EG63384"/>
      <c r="EH63384"/>
      <c r="EI63384"/>
      <c r="EJ63384"/>
      <c r="EK63384"/>
    </row>
    <row r="63385" spans="1:141" s="116" customFormat="1">
      <c r="A63385" s="136"/>
      <c r="CM63385" s="111"/>
      <c r="CQ63385" s="111"/>
      <c r="EF63385"/>
      <c r="EG63385"/>
      <c r="EH63385"/>
      <c r="EI63385"/>
      <c r="EJ63385"/>
      <c r="EK63385"/>
    </row>
    <row r="63386" spans="1:141" s="116" customFormat="1">
      <c r="A63386" s="136"/>
      <c r="CM63386" s="111"/>
      <c r="CQ63386" s="111"/>
      <c r="EF63386"/>
      <c r="EG63386"/>
      <c r="EH63386"/>
      <c r="EI63386"/>
      <c r="EJ63386"/>
      <c r="EK63386"/>
    </row>
    <row r="63387" spans="1:141" s="116" customFormat="1">
      <c r="A63387" s="136"/>
      <c r="CM63387" s="111"/>
      <c r="CQ63387" s="111"/>
      <c r="EF63387"/>
      <c r="EG63387"/>
      <c r="EH63387"/>
      <c r="EI63387"/>
      <c r="EJ63387"/>
      <c r="EK63387"/>
    </row>
    <row r="63388" spans="1:141" s="116" customFormat="1">
      <c r="A63388" s="136"/>
      <c r="CM63388" s="111"/>
      <c r="CQ63388" s="111"/>
      <c r="EF63388"/>
      <c r="EG63388"/>
      <c r="EH63388"/>
      <c r="EI63388"/>
      <c r="EJ63388"/>
      <c r="EK63388"/>
    </row>
    <row r="63389" spans="1:141" s="116" customFormat="1">
      <c r="A63389" s="136"/>
      <c r="CM63389" s="111"/>
      <c r="CQ63389" s="111"/>
      <c r="EF63389"/>
      <c r="EG63389"/>
      <c r="EH63389"/>
      <c r="EI63389"/>
      <c r="EJ63389"/>
      <c r="EK63389"/>
    </row>
    <row r="63390" spans="1:141" s="116" customFormat="1">
      <c r="A63390" s="136"/>
      <c r="CM63390" s="111"/>
      <c r="CQ63390" s="111"/>
      <c r="EF63390"/>
      <c r="EG63390"/>
      <c r="EH63390"/>
      <c r="EI63390"/>
      <c r="EJ63390"/>
      <c r="EK63390"/>
    </row>
    <row r="63391" spans="1:141" s="116" customFormat="1">
      <c r="A63391" s="136"/>
      <c r="CM63391" s="111"/>
      <c r="CQ63391" s="111"/>
      <c r="EF63391"/>
      <c r="EG63391"/>
      <c r="EH63391"/>
      <c r="EI63391"/>
      <c r="EJ63391"/>
      <c r="EK63391"/>
    </row>
    <row r="63392" spans="1:141" s="116" customFormat="1">
      <c r="A63392" s="136"/>
      <c r="CM63392" s="111"/>
      <c r="CQ63392" s="111"/>
      <c r="EF63392"/>
      <c r="EG63392"/>
      <c r="EH63392"/>
      <c r="EI63392"/>
      <c r="EJ63392"/>
      <c r="EK63392"/>
    </row>
    <row r="63393" spans="1:141" s="116" customFormat="1">
      <c r="A63393" s="136"/>
      <c r="CM63393" s="111"/>
      <c r="CQ63393" s="111"/>
      <c r="EF63393"/>
      <c r="EG63393"/>
      <c r="EH63393"/>
      <c r="EI63393"/>
      <c r="EJ63393"/>
      <c r="EK63393"/>
    </row>
    <row r="63394" spans="1:141" s="116" customFormat="1">
      <c r="A63394" s="136"/>
      <c r="CM63394" s="111"/>
      <c r="CQ63394" s="111"/>
      <c r="EF63394"/>
      <c r="EG63394"/>
      <c r="EH63394"/>
      <c r="EI63394"/>
      <c r="EJ63394"/>
      <c r="EK63394"/>
    </row>
    <row r="63395" spans="1:141" s="116" customFormat="1">
      <c r="A63395" s="136"/>
      <c r="CM63395" s="111"/>
      <c r="CQ63395" s="111"/>
      <c r="EF63395"/>
      <c r="EG63395"/>
      <c r="EH63395"/>
      <c r="EI63395"/>
      <c r="EJ63395"/>
      <c r="EK63395"/>
    </row>
    <row r="63396" spans="1:141" s="116" customFormat="1">
      <c r="A63396" s="136"/>
      <c r="CM63396" s="111"/>
      <c r="CQ63396" s="111"/>
      <c r="EF63396"/>
      <c r="EG63396"/>
      <c r="EH63396"/>
      <c r="EI63396"/>
      <c r="EJ63396"/>
      <c r="EK63396"/>
    </row>
    <row r="63397" spans="1:141" s="116" customFormat="1">
      <c r="A63397" s="136"/>
      <c r="CM63397" s="111"/>
      <c r="CQ63397" s="111"/>
      <c r="EF63397"/>
      <c r="EG63397"/>
      <c r="EH63397"/>
      <c r="EI63397"/>
      <c r="EJ63397"/>
      <c r="EK63397"/>
    </row>
    <row r="63398" spans="1:141" s="116" customFormat="1">
      <c r="A63398" s="136"/>
      <c r="CM63398" s="111"/>
      <c r="CQ63398" s="111"/>
      <c r="EF63398"/>
      <c r="EG63398"/>
      <c r="EH63398"/>
      <c r="EI63398"/>
      <c r="EJ63398"/>
      <c r="EK63398"/>
    </row>
    <row r="63399" spans="1:141" s="116" customFormat="1">
      <c r="A63399" s="136"/>
      <c r="CM63399" s="111"/>
      <c r="CQ63399" s="111"/>
      <c r="EF63399"/>
      <c r="EG63399"/>
      <c r="EH63399"/>
      <c r="EI63399"/>
      <c r="EJ63399"/>
      <c r="EK63399"/>
    </row>
    <row r="63400" spans="1:141" s="116" customFormat="1">
      <c r="A63400" s="136"/>
      <c r="CM63400" s="111"/>
      <c r="CQ63400" s="111"/>
      <c r="EF63400"/>
      <c r="EG63400"/>
      <c r="EH63400"/>
      <c r="EI63400"/>
      <c r="EJ63400"/>
      <c r="EK63400"/>
    </row>
    <row r="63401" spans="1:141" s="116" customFormat="1">
      <c r="A63401" s="136"/>
      <c r="CM63401" s="111"/>
      <c r="CQ63401" s="111"/>
      <c r="EF63401"/>
      <c r="EG63401"/>
      <c r="EH63401"/>
      <c r="EI63401"/>
      <c r="EJ63401"/>
      <c r="EK63401"/>
    </row>
    <row r="63402" spans="1:141" s="116" customFormat="1">
      <c r="A63402" s="136"/>
      <c r="CM63402" s="111"/>
      <c r="CQ63402" s="111"/>
      <c r="EF63402"/>
      <c r="EG63402"/>
      <c r="EH63402"/>
      <c r="EI63402"/>
      <c r="EJ63402"/>
      <c r="EK63402"/>
    </row>
    <row r="63403" spans="1:141" s="116" customFormat="1">
      <c r="A63403" s="136"/>
      <c r="CM63403" s="111"/>
      <c r="CQ63403" s="111"/>
      <c r="EF63403"/>
      <c r="EG63403"/>
      <c r="EH63403"/>
      <c r="EI63403"/>
      <c r="EJ63403"/>
      <c r="EK63403"/>
    </row>
    <row r="63404" spans="1:141" s="116" customFormat="1">
      <c r="A63404" s="136"/>
      <c r="CM63404" s="111"/>
      <c r="CQ63404" s="111"/>
      <c r="EF63404"/>
      <c r="EG63404"/>
      <c r="EH63404"/>
      <c r="EI63404"/>
      <c r="EJ63404"/>
      <c r="EK63404"/>
    </row>
    <row r="63405" spans="1:141" s="116" customFormat="1">
      <c r="A63405" s="136"/>
      <c r="CM63405" s="111"/>
      <c r="CQ63405" s="111"/>
      <c r="EF63405"/>
      <c r="EG63405"/>
      <c r="EH63405"/>
      <c r="EI63405"/>
      <c r="EJ63405"/>
      <c r="EK63405"/>
    </row>
    <row r="63406" spans="1:141" s="116" customFormat="1">
      <c r="A63406" s="136"/>
      <c r="CM63406" s="111"/>
      <c r="CQ63406" s="111"/>
      <c r="EF63406"/>
      <c r="EG63406"/>
      <c r="EH63406"/>
      <c r="EI63406"/>
      <c r="EJ63406"/>
      <c r="EK63406"/>
    </row>
    <row r="63407" spans="1:141" s="116" customFormat="1">
      <c r="A63407" s="136"/>
      <c r="CM63407" s="111"/>
      <c r="CQ63407" s="111"/>
      <c r="EF63407"/>
      <c r="EG63407"/>
      <c r="EH63407"/>
      <c r="EI63407"/>
      <c r="EJ63407"/>
      <c r="EK63407"/>
    </row>
    <row r="63408" spans="1:141" s="116" customFormat="1">
      <c r="A63408" s="136"/>
      <c r="CM63408" s="111"/>
      <c r="CQ63408" s="111"/>
      <c r="EF63408"/>
      <c r="EG63408"/>
      <c r="EH63408"/>
      <c r="EI63408"/>
      <c r="EJ63408"/>
      <c r="EK63408"/>
    </row>
    <row r="63409" spans="1:141" s="116" customFormat="1">
      <c r="A63409" s="136"/>
      <c r="CM63409" s="111"/>
      <c r="CQ63409" s="111"/>
      <c r="EF63409"/>
      <c r="EG63409"/>
      <c r="EH63409"/>
      <c r="EI63409"/>
      <c r="EJ63409"/>
      <c r="EK63409"/>
    </row>
    <row r="63410" spans="1:141" s="116" customFormat="1">
      <c r="A63410" s="136"/>
      <c r="CM63410" s="111"/>
      <c r="CQ63410" s="111"/>
      <c r="EF63410"/>
      <c r="EG63410"/>
      <c r="EH63410"/>
      <c r="EI63410"/>
      <c r="EJ63410"/>
      <c r="EK63410"/>
    </row>
    <row r="63411" spans="1:141" s="116" customFormat="1">
      <c r="A63411" s="136"/>
      <c r="CM63411" s="111"/>
      <c r="CQ63411" s="111"/>
      <c r="EF63411"/>
      <c r="EG63411"/>
      <c r="EH63411"/>
      <c r="EI63411"/>
      <c r="EJ63411"/>
      <c r="EK63411"/>
    </row>
    <row r="63412" spans="1:141" s="116" customFormat="1">
      <c r="A63412" s="136"/>
      <c r="CM63412" s="111"/>
      <c r="CQ63412" s="111"/>
      <c r="EF63412"/>
      <c r="EG63412"/>
      <c r="EH63412"/>
      <c r="EI63412"/>
      <c r="EJ63412"/>
      <c r="EK63412"/>
    </row>
    <row r="63413" spans="1:141" s="116" customFormat="1">
      <c r="A63413" s="136"/>
      <c r="CM63413" s="111"/>
      <c r="CQ63413" s="111"/>
      <c r="EF63413"/>
      <c r="EG63413"/>
      <c r="EH63413"/>
      <c r="EI63413"/>
      <c r="EJ63413"/>
      <c r="EK63413"/>
    </row>
    <row r="63414" spans="1:141" s="116" customFormat="1">
      <c r="A63414" s="136"/>
      <c r="CM63414" s="111"/>
      <c r="CQ63414" s="111"/>
      <c r="EF63414"/>
      <c r="EG63414"/>
      <c r="EH63414"/>
      <c r="EI63414"/>
      <c r="EJ63414"/>
      <c r="EK63414"/>
    </row>
    <row r="63415" spans="1:141" s="116" customFormat="1">
      <c r="A63415" s="136"/>
      <c r="CM63415" s="111"/>
      <c r="CQ63415" s="111"/>
      <c r="EF63415"/>
      <c r="EG63415"/>
      <c r="EH63415"/>
      <c r="EI63415"/>
      <c r="EJ63415"/>
      <c r="EK63415"/>
    </row>
    <row r="63416" spans="1:141" s="116" customFormat="1">
      <c r="A63416" s="136"/>
      <c r="CM63416" s="111"/>
      <c r="CQ63416" s="111"/>
      <c r="EF63416"/>
      <c r="EG63416"/>
      <c r="EH63416"/>
      <c r="EI63416"/>
      <c r="EJ63416"/>
      <c r="EK63416"/>
    </row>
    <row r="63417" spans="1:141" s="116" customFormat="1">
      <c r="A63417" s="136"/>
      <c r="CM63417" s="111"/>
      <c r="CQ63417" s="111"/>
      <c r="EF63417"/>
      <c r="EG63417"/>
      <c r="EH63417"/>
      <c r="EI63417"/>
      <c r="EJ63417"/>
      <c r="EK63417"/>
    </row>
    <row r="63418" spans="1:141" s="116" customFormat="1">
      <c r="A63418" s="136"/>
      <c r="CM63418" s="111"/>
      <c r="CQ63418" s="111"/>
      <c r="EF63418"/>
      <c r="EG63418"/>
      <c r="EH63418"/>
      <c r="EI63418"/>
      <c r="EJ63418"/>
      <c r="EK63418"/>
    </row>
    <row r="63419" spans="1:141" s="116" customFormat="1">
      <c r="A63419" s="136"/>
      <c r="CM63419" s="111"/>
      <c r="CQ63419" s="111"/>
      <c r="EF63419"/>
      <c r="EG63419"/>
      <c r="EH63419"/>
      <c r="EI63419"/>
      <c r="EJ63419"/>
      <c r="EK63419"/>
    </row>
    <row r="63420" spans="1:141" s="116" customFormat="1">
      <c r="A63420" s="136"/>
      <c r="CM63420" s="111"/>
      <c r="CQ63420" s="111"/>
      <c r="EF63420"/>
      <c r="EG63420"/>
      <c r="EH63420"/>
      <c r="EI63420"/>
      <c r="EJ63420"/>
      <c r="EK63420"/>
    </row>
    <row r="63421" spans="1:141" s="116" customFormat="1">
      <c r="A63421" s="136"/>
      <c r="CM63421" s="111"/>
      <c r="CQ63421" s="111"/>
      <c r="EF63421"/>
      <c r="EG63421"/>
      <c r="EH63421"/>
      <c r="EI63421"/>
      <c r="EJ63421"/>
      <c r="EK63421"/>
    </row>
    <row r="63422" spans="1:141" s="116" customFormat="1">
      <c r="A63422" s="136"/>
      <c r="CM63422" s="111"/>
      <c r="CQ63422" s="111"/>
      <c r="EF63422"/>
      <c r="EG63422"/>
      <c r="EH63422"/>
      <c r="EI63422"/>
      <c r="EJ63422"/>
      <c r="EK63422"/>
    </row>
    <row r="63423" spans="1:141" s="116" customFormat="1">
      <c r="A63423" s="136"/>
      <c r="CM63423" s="111"/>
      <c r="CQ63423" s="111"/>
      <c r="EF63423"/>
      <c r="EG63423"/>
      <c r="EH63423"/>
      <c r="EI63423"/>
      <c r="EJ63423"/>
      <c r="EK63423"/>
    </row>
    <row r="63424" spans="1:141" s="116" customFormat="1">
      <c r="A63424" s="136"/>
      <c r="CM63424" s="111"/>
      <c r="CQ63424" s="111"/>
      <c r="EF63424"/>
      <c r="EG63424"/>
      <c r="EH63424"/>
      <c r="EI63424"/>
      <c r="EJ63424"/>
      <c r="EK63424"/>
    </row>
    <row r="63425" spans="1:141" s="116" customFormat="1">
      <c r="A63425" s="136"/>
      <c r="CM63425" s="111"/>
      <c r="CQ63425" s="111"/>
      <c r="EF63425"/>
      <c r="EG63425"/>
      <c r="EH63425"/>
      <c r="EI63425"/>
      <c r="EJ63425"/>
      <c r="EK63425"/>
    </row>
    <row r="63426" spans="1:141" s="116" customFormat="1">
      <c r="A63426" s="136"/>
      <c r="CM63426" s="111"/>
      <c r="CQ63426" s="111"/>
      <c r="EF63426"/>
      <c r="EG63426"/>
      <c r="EH63426"/>
      <c r="EI63426"/>
      <c r="EJ63426"/>
      <c r="EK63426"/>
    </row>
    <row r="63427" spans="1:141" s="116" customFormat="1">
      <c r="A63427" s="136"/>
      <c r="CM63427" s="111"/>
      <c r="CQ63427" s="111"/>
      <c r="EF63427"/>
      <c r="EG63427"/>
      <c r="EH63427"/>
      <c r="EI63427"/>
      <c r="EJ63427"/>
      <c r="EK63427"/>
    </row>
    <row r="63428" spans="1:141" s="116" customFormat="1">
      <c r="A63428" s="136"/>
      <c r="CM63428" s="111"/>
      <c r="CQ63428" s="111"/>
      <c r="EF63428"/>
      <c r="EG63428"/>
      <c r="EH63428"/>
      <c r="EI63428"/>
      <c r="EJ63428"/>
      <c r="EK63428"/>
    </row>
    <row r="63429" spans="1:141" s="116" customFormat="1">
      <c r="A63429" s="136"/>
      <c r="CM63429" s="111"/>
      <c r="CQ63429" s="111"/>
      <c r="EF63429"/>
      <c r="EG63429"/>
      <c r="EH63429"/>
      <c r="EI63429"/>
      <c r="EJ63429"/>
      <c r="EK63429"/>
    </row>
    <row r="63430" spans="1:141" s="116" customFormat="1">
      <c r="A63430" s="136"/>
      <c r="CM63430" s="111"/>
      <c r="CQ63430" s="111"/>
      <c r="EF63430"/>
      <c r="EG63430"/>
      <c r="EH63430"/>
      <c r="EI63430"/>
      <c r="EJ63430"/>
      <c r="EK63430"/>
    </row>
    <row r="63431" spans="1:141" s="116" customFormat="1">
      <c r="A63431" s="136"/>
      <c r="CM63431" s="111"/>
      <c r="CQ63431" s="111"/>
      <c r="EF63431"/>
      <c r="EG63431"/>
      <c r="EH63431"/>
      <c r="EI63431"/>
      <c r="EJ63431"/>
      <c r="EK63431"/>
    </row>
    <row r="63432" spans="1:141" s="116" customFormat="1">
      <c r="A63432" s="136"/>
      <c r="CM63432" s="111"/>
      <c r="CQ63432" s="111"/>
      <c r="EF63432"/>
      <c r="EG63432"/>
      <c r="EH63432"/>
      <c r="EI63432"/>
      <c r="EJ63432"/>
      <c r="EK63432"/>
    </row>
    <row r="63433" spans="1:141" s="116" customFormat="1">
      <c r="A63433" s="136"/>
      <c r="CM63433" s="111"/>
      <c r="CQ63433" s="111"/>
      <c r="EF63433"/>
      <c r="EG63433"/>
      <c r="EH63433"/>
      <c r="EI63433"/>
      <c r="EJ63433"/>
      <c r="EK63433"/>
    </row>
    <row r="63434" spans="1:141" s="116" customFormat="1">
      <c r="A63434" s="136"/>
      <c r="CM63434" s="111"/>
      <c r="CQ63434" s="111"/>
      <c r="EF63434"/>
      <c r="EG63434"/>
      <c r="EH63434"/>
      <c r="EI63434"/>
      <c r="EJ63434"/>
      <c r="EK63434"/>
    </row>
    <row r="63435" spans="1:141" s="116" customFormat="1">
      <c r="A63435" s="136"/>
      <c r="CM63435" s="111"/>
      <c r="CQ63435" s="111"/>
      <c r="EF63435"/>
      <c r="EG63435"/>
      <c r="EH63435"/>
      <c r="EI63435"/>
      <c r="EJ63435"/>
      <c r="EK63435"/>
    </row>
    <row r="63436" spans="1:141" s="116" customFormat="1">
      <c r="A63436" s="136"/>
      <c r="CM63436" s="111"/>
      <c r="CQ63436" s="111"/>
      <c r="EF63436"/>
      <c r="EG63436"/>
      <c r="EH63436"/>
      <c r="EI63436"/>
      <c r="EJ63436"/>
      <c r="EK63436"/>
    </row>
    <row r="63437" spans="1:141" s="116" customFormat="1">
      <c r="A63437" s="136"/>
      <c r="CM63437" s="111"/>
      <c r="CQ63437" s="111"/>
      <c r="EF63437"/>
      <c r="EG63437"/>
      <c r="EH63437"/>
      <c r="EI63437"/>
      <c r="EJ63437"/>
      <c r="EK63437"/>
    </row>
    <row r="63438" spans="1:141" s="116" customFormat="1">
      <c r="A63438" s="136"/>
      <c r="CM63438" s="111"/>
      <c r="CQ63438" s="111"/>
      <c r="EF63438"/>
      <c r="EG63438"/>
      <c r="EH63438"/>
      <c r="EI63438"/>
      <c r="EJ63438"/>
      <c r="EK63438"/>
    </row>
    <row r="63439" spans="1:141" s="116" customFormat="1">
      <c r="A63439" s="136"/>
      <c r="CM63439" s="111"/>
      <c r="CQ63439" s="111"/>
      <c r="EF63439"/>
      <c r="EG63439"/>
      <c r="EH63439"/>
      <c r="EI63439"/>
      <c r="EJ63439"/>
      <c r="EK63439"/>
    </row>
    <row r="63440" spans="1:141" s="116" customFormat="1">
      <c r="A63440" s="136"/>
      <c r="CM63440" s="111"/>
      <c r="CQ63440" s="111"/>
      <c r="EF63440"/>
      <c r="EG63440"/>
      <c r="EH63440"/>
      <c r="EI63440"/>
      <c r="EJ63440"/>
      <c r="EK63440"/>
    </row>
    <row r="63441" spans="1:141" s="116" customFormat="1">
      <c r="A63441" s="136"/>
      <c r="CM63441" s="111"/>
      <c r="CQ63441" s="111"/>
      <c r="EF63441"/>
      <c r="EG63441"/>
      <c r="EH63441"/>
      <c r="EI63441"/>
      <c r="EJ63441"/>
      <c r="EK63441"/>
    </row>
    <row r="63442" spans="1:141" s="116" customFormat="1">
      <c r="A63442" s="136"/>
      <c r="CM63442" s="111"/>
      <c r="CQ63442" s="111"/>
      <c r="EF63442"/>
      <c r="EG63442"/>
      <c r="EH63442"/>
      <c r="EI63442"/>
      <c r="EJ63442"/>
      <c r="EK63442"/>
    </row>
    <row r="63443" spans="1:141" s="116" customFormat="1">
      <c r="A63443" s="136"/>
      <c r="CM63443" s="111"/>
      <c r="CQ63443" s="111"/>
      <c r="EF63443"/>
      <c r="EG63443"/>
      <c r="EH63443"/>
      <c r="EI63443"/>
      <c r="EJ63443"/>
      <c r="EK63443"/>
    </row>
    <row r="63444" spans="1:141" s="116" customFormat="1">
      <c r="A63444" s="136"/>
      <c r="CM63444" s="111"/>
      <c r="CQ63444" s="111"/>
      <c r="EF63444"/>
      <c r="EG63444"/>
      <c r="EH63444"/>
      <c r="EI63444"/>
      <c r="EJ63444"/>
      <c r="EK63444"/>
    </row>
    <row r="63445" spans="1:141" s="116" customFormat="1">
      <c r="A63445" s="136"/>
      <c r="CM63445" s="111"/>
      <c r="CQ63445" s="111"/>
      <c r="EF63445"/>
      <c r="EG63445"/>
      <c r="EH63445"/>
      <c r="EI63445"/>
      <c r="EJ63445"/>
      <c r="EK63445"/>
    </row>
    <row r="63446" spans="1:141" s="116" customFormat="1">
      <c r="A63446" s="136"/>
      <c r="CM63446" s="111"/>
      <c r="CQ63446" s="111"/>
      <c r="EF63446"/>
      <c r="EG63446"/>
      <c r="EH63446"/>
      <c r="EI63446"/>
      <c r="EJ63446"/>
      <c r="EK63446"/>
    </row>
    <row r="63447" spans="1:141" s="116" customFormat="1">
      <c r="A63447" s="136"/>
      <c r="CM63447" s="111"/>
      <c r="CQ63447" s="111"/>
      <c r="EF63447"/>
      <c r="EG63447"/>
      <c r="EH63447"/>
      <c r="EI63447"/>
      <c r="EJ63447"/>
      <c r="EK63447"/>
    </row>
    <row r="63448" spans="1:141" s="116" customFormat="1">
      <c r="A63448" s="136"/>
      <c r="CM63448" s="111"/>
      <c r="CQ63448" s="111"/>
      <c r="EF63448"/>
      <c r="EG63448"/>
      <c r="EH63448"/>
      <c r="EI63448"/>
      <c r="EJ63448"/>
      <c r="EK63448"/>
    </row>
    <row r="63449" spans="1:141" s="116" customFormat="1">
      <c r="A63449" s="136"/>
      <c r="CM63449" s="111"/>
      <c r="CQ63449" s="111"/>
      <c r="EF63449"/>
      <c r="EG63449"/>
      <c r="EH63449"/>
      <c r="EI63449"/>
      <c r="EJ63449"/>
      <c r="EK63449"/>
    </row>
    <row r="63450" spans="1:141" s="116" customFormat="1">
      <c r="A63450" s="136"/>
      <c r="CM63450" s="111"/>
      <c r="CQ63450" s="111"/>
      <c r="EF63450"/>
      <c r="EG63450"/>
      <c r="EH63450"/>
      <c r="EI63450"/>
      <c r="EJ63450"/>
      <c r="EK63450"/>
    </row>
    <row r="63451" spans="1:141" s="116" customFormat="1">
      <c r="A63451" s="136"/>
      <c r="CM63451" s="111"/>
      <c r="CQ63451" s="111"/>
      <c r="EF63451"/>
      <c r="EG63451"/>
      <c r="EH63451"/>
      <c r="EI63451"/>
      <c r="EJ63451"/>
      <c r="EK63451"/>
    </row>
    <row r="63452" spans="1:141" s="116" customFormat="1">
      <c r="A63452" s="136"/>
      <c r="CM63452" s="111"/>
      <c r="CQ63452" s="111"/>
      <c r="EF63452"/>
      <c r="EG63452"/>
      <c r="EH63452"/>
      <c r="EI63452"/>
      <c r="EJ63452"/>
      <c r="EK63452"/>
    </row>
    <row r="63453" spans="1:141" s="116" customFormat="1">
      <c r="A63453" s="136"/>
      <c r="CM63453" s="111"/>
      <c r="CQ63453" s="111"/>
      <c r="EF63453"/>
      <c r="EG63453"/>
      <c r="EH63453"/>
      <c r="EI63453"/>
      <c r="EJ63453"/>
      <c r="EK63453"/>
    </row>
    <row r="63454" spans="1:141" s="116" customFormat="1">
      <c r="A63454" s="136"/>
      <c r="CM63454" s="111"/>
      <c r="CQ63454" s="111"/>
      <c r="EF63454"/>
      <c r="EG63454"/>
      <c r="EH63454"/>
      <c r="EI63454"/>
      <c r="EJ63454"/>
      <c r="EK63454"/>
    </row>
    <row r="63455" spans="1:141" s="116" customFormat="1">
      <c r="A63455" s="136"/>
      <c r="CM63455" s="111"/>
      <c r="CQ63455" s="111"/>
      <c r="EF63455"/>
      <c r="EG63455"/>
      <c r="EH63455"/>
      <c r="EI63455"/>
      <c r="EJ63455"/>
      <c r="EK63455"/>
    </row>
    <row r="63456" spans="1:141" s="116" customFormat="1">
      <c r="A63456" s="136"/>
      <c r="CM63456" s="111"/>
      <c r="CQ63456" s="111"/>
      <c r="EF63456"/>
      <c r="EG63456"/>
      <c r="EH63456"/>
      <c r="EI63456"/>
      <c r="EJ63456"/>
      <c r="EK63456"/>
    </row>
    <row r="63457" spans="1:141" s="116" customFormat="1">
      <c r="A63457" s="136"/>
      <c r="CM63457" s="111"/>
      <c r="CQ63457" s="111"/>
      <c r="EF63457"/>
      <c r="EG63457"/>
      <c r="EH63457"/>
      <c r="EI63457"/>
      <c r="EJ63457"/>
      <c r="EK63457"/>
    </row>
    <row r="63458" spans="1:141" s="116" customFormat="1">
      <c r="A63458" s="136"/>
      <c r="CM63458" s="111"/>
      <c r="CQ63458" s="111"/>
      <c r="EF63458"/>
      <c r="EG63458"/>
      <c r="EH63458"/>
      <c r="EI63458"/>
      <c r="EJ63458"/>
      <c r="EK63458"/>
    </row>
    <row r="63459" spans="1:141" s="116" customFormat="1">
      <c r="A63459" s="136"/>
      <c r="CM63459" s="111"/>
      <c r="CQ63459" s="111"/>
      <c r="EF63459"/>
      <c r="EG63459"/>
      <c r="EH63459"/>
      <c r="EI63459"/>
      <c r="EJ63459"/>
      <c r="EK63459"/>
    </row>
    <row r="63460" spans="1:141" s="116" customFormat="1">
      <c r="A63460" s="136"/>
      <c r="CM63460" s="111"/>
      <c r="CQ63460" s="111"/>
      <c r="EF63460"/>
      <c r="EG63460"/>
      <c r="EH63460"/>
      <c r="EI63460"/>
      <c r="EJ63460"/>
      <c r="EK63460"/>
    </row>
    <row r="63461" spans="1:141" s="116" customFormat="1">
      <c r="A63461" s="136"/>
      <c r="CM63461" s="111"/>
      <c r="CQ63461" s="111"/>
      <c r="EF63461"/>
      <c r="EG63461"/>
      <c r="EH63461"/>
      <c r="EI63461"/>
      <c r="EJ63461"/>
      <c r="EK63461"/>
    </row>
    <row r="63462" spans="1:141" s="116" customFormat="1">
      <c r="A63462" s="136"/>
      <c r="CM63462" s="111"/>
      <c r="CQ63462" s="111"/>
      <c r="EF63462"/>
      <c r="EG63462"/>
      <c r="EH63462"/>
      <c r="EI63462"/>
      <c r="EJ63462"/>
      <c r="EK63462"/>
    </row>
    <row r="63463" spans="1:141" s="116" customFormat="1">
      <c r="A63463" s="136"/>
      <c r="CM63463" s="111"/>
      <c r="CQ63463" s="111"/>
      <c r="EF63463"/>
      <c r="EG63463"/>
      <c r="EH63463"/>
      <c r="EI63463"/>
      <c r="EJ63463"/>
      <c r="EK63463"/>
    </row>
    <row r="63464" spans="1:141" s="116" customFormat="1">
      <c r="A63464" s="136"/>
      <c r="CM63464" s="111"/>
      <c r="CQ63464" s="111"/>
      <c r="EF63464"/>
      <c r="EG63464"/>
      <c r="EH63464"/>
      <c r="EI63464"/>
      <c r="EJ63464"/>
      <c r="EK63464"/>
    </row>
    <row r="63465" spans="1:141" s="116" customFormat="1">
      <c r="A63465" s="136"/>
      <c r="CM63465" s="111"/>
      <c r="CQ63465" s="111"/>
      <c r="EF63465"/>
      <c r="EG63465"/>
      <c r="EH63465"/>
      <c r="EI63465"/>
      <c r="EJ63465"/>
      <c r="EK63465"/>
    </row>
    <row r="63466" spans="1:141" s="116" customFormat="1">
      <c r="A63466" s="136"/>
      <c r="CM63466" s="111"/>
      <c r="CQ63466" s="111"/>
      <c r="EF63466"/>
      <c r="EG63466"/>
      <c r="EH63466"/>
      <c r="EI63466"/>
      <c r="EJ63466"/>
      <c r="EK63466"/>
    </row>
    <row r="63467" spans="1:141" s="116" customFormat="1">
      <c r="A63467" s="136"/>
      <c r="CM63467" s="111"/>
      <c r="CQ63467" s="111"/>
      <c r="EF63467"/>
      <c r="EG63467"/>
      <c r="EH63467"/>
      <c r="EI63467"/>
      <c r="EJ63467"/>
      <c r="EK63467"/>
    </row>
    <row r="63468" spans="1:141" s="116" customFormat="1">
      <c r="A63468" s="136"/>
      <c r="CM63468" s="111"/>
      <c r="CQ63468" s="111"/>
      <c r="EF63468"/>
      <c r="EG63468"/>
      <c r="EH63468"/>
      <c r="EI63468"/>
      <c r="EJ63468"/>
      <c r="EK63468"/>
    </row>
    <row r="63469" spans="1:141" s="116" customFormat="1">
      <c r="A63469" s="136"/>
      <c r="CM63469" s="111"/>
      <c r="CQ63469" s="111"/>
      <c r="EF63469"/>
      <c r="EG63469"/>
      <c r="EH63469"/>
      <c r="EI63469"/>
      <c r="EJ63469"/>
      <c r="EK63469"/>
    </row>
    <row r="63470" spans="1:141" s="116" customFormat="1">
      <c r="A63470" s="136"/>
      <c r="CM63470" s="111"/>
      <c r="CQ63470" s="111"/>
      <c r="EF63470"/>
      <c r="EG63470"/>
      <c r="EH63470"/>
      <c r="EI63470"/>
      <c r="EJ63470"/>
      <c r="EK63470"/>
    </row>
    <row r="63471" spans="1:141" s="116" customFormat="1">
      <c r="A63471" s="136"/>
      <c r="CM63471" s="111"/>
      <c r="CQ63471" s="111"/>
      <c r="EF63471"/>
      <c r="EG63471"/>
      <c r="EH63471"/>
      <c r="EI63471"/>
      <c r="EJ63471"/>
      <c r="EK63471"/>
    </row>
    <row r="63472" spans="1:141" s="116" customFormat="1">
      <c r="A63472" s="136"/>
      <c r="CM63472" s="111"/>
      <c r="CQ63472" s="111"/>
      <c r="EF63472"/>
      <c r="EG63472"/>
      <c r="EH63472"/>
      <c r="EI63472"/>
      <c r="EJ63472"/>
      <c r="EK63472"/>
    </row>
    <row r="63473" spans="1:141" s="116" customFormat="1">
      <c r="A63473" s="136"/>
      <c r="CM63473" s="111"/>
      <c r="CQ63473" s="111"/>
      <c r="EF63473"/>
      <c r="EG63473"/>
      <c r="EH63473"/>
      <c r="EI63473"/>
      <c r="EJ63473"/>
      <c r="EK63473"/>
    </row>
    <row r="63474" spans="1:141" s="116" customFormat="1">
      <c r="A63474" s="136"/>
      <c r="CM63474" s="111"/>
      <c r="CQ63474" s="111"/>
      <c r="EF63474"/>
      <c r="EG63474"/>
      <c r="EH63474"/>
      <c r="EI63474"/>
      <c r="EJ63474"/>
      <c r="EK63474"/>
    </row>
    <row r="63475" spans="1:141" s="116" customFormat="1">
      <c r="A63475" s="136"/>
      <c r="CM63475" s="111"/>
      <c r="CQ63475" s="111"/>
      <c r="EF63475"/>
      <c r="EG63475"/>
      <c r="EH63475"/>
      <c r="EI63475"/>
      <c r="EJ63475"/>
      <c r="EK63475"/>
    </row>
    <row r="63476" spans="1:141" s="116" customFormat="1">
      <c r="A63476" s="136"/>
      <c r="CM63476" s="111"/>
      <c r="CQ63476" s="111"/>
      <c r="EF63476"/>
      <c r="EG63476"/>
      <c r="EH63476"/>
      <c r="EI63476"/>
      <c r="EJ63476"/>
      <c r="EK63476"/>
    </row>
    <row r="63477" spans="1:141" s="116" customFormat="1">
      <c r="A63477" s="136"/>
      <c r="CM63477" s="111"/>
      <c r="CQ63477" s="111"/>
      <c r="EF63477"/>
      <c r="EG63477"/>
      <c r="EH63477"/>
      <c r="EI63477"/>
      <c r="EJ63477"/>
      <c r="EK63477"/>
    </row>
    <row r="63478" spans="1:141" s="116" customFormat="1">
      <c r="A63478" s="136"/>
      <c r="CM63478" s="111"/>
      <c r="CQ63478" s="111"/>
      <c r="EF63478"/>
      <c r="EG63478"/>
      <c r="EH63478"/>
      <c r="EI63478"/>
      <c r="EJ63478"/>
      <c r="EK63478"/>
    </row>
    <row r="63479" spans="1:141" s="116" customFormat="1">
      <c r="A63479" s="136"/>
      <c r="CM63479" s="111"/>
      <c r="CQ63479" s="111"/>
      <c r="EF63479"/>
      <c r="EG63479"/>
      <c r="EH63479"/>
      <c r="EI63479"/>
      <c r="EJ63479"/>
      <c r="EK63479"/>
    </row>
    <row r="63480" spans="1:141" s="116" customFormat="1">
      <c r="A63480" s="136"/>
      <c r="CM63480" s="111"/>
      <c r="CQ63480" s="111"/>
      <c r="EF63480"/>
      <c r="EG63480"/>
      <c r="EH63480"/>
      <c r="EI63480"/>
      <c r="EJ63480"/>
      <c r="EK63480"/>
    </row>
    <row r="63481" spans="1:141" s="116" customFormat="1">
      <c r="A63481" s="136"/>
      <c r="CM63481" s="111"/>
      <c r="CQ63481" s="111"/>
      <c r="EF63481"/>
      <c r="EG63481"/>
      <c r="EH63481"/>
      <c r="EI63481"/>
      <c r="EJ63481"/>
      <c r="EK63481"/>
    </row>
    <row r="63482" spans="1:141" s="116" customFormat="1">
      <c r="A63482" s="136"/>
      <c r="CM63482" s="111"/>
      <c r="CQ63482" s="111"/>
      <c r="EF63482"/>
      <c r="EG63482"/>
      <c r="EH63482"/>
      <c r="EI63482"/>
      <c r="EJ63482"/>
      <c r="EK63482"/>
    </row>
    <row r="63483" spans="1:141" s="116" customFormat="1">
      <c r="A63483" s="136"/>
      <c r="CM63483" s="111"/>
      <c r="CQ63483" s="111"/>
      <c r="EF63483"/>
      <c r="EG63483"/>
      <c r="EH63483"/>
      <c r="EI63483"/>
      <c r="EJ63483"/>
      <c r="EK63483"/>
    </row>
    <row r="63484" spans="1:141" s="116" customFormat="1">
      <c r="A63484" s="136"/>
      <c r="CM63484" s="111"/>
      <c r="CQ63484" s="111"/>
      <c r="EF63484"/>
      <c r="EG63484"/>
      <c r="EH63484"/>
      <c r="EI63484"/>
      <c r="EJ63484"/>
      <c r="EK63484"/>
    </row>
    <row r="63485" spans="1:141" s="116" customFormat="1">
      <c r="A63485" s="136"/>
      <c r="CM63485" s="111"/>
      <c r="CQ63485" s="111"/>
      <c r="EF63485"/>
      <c r="EG63485"/>
      <c r="EH63485"/>
      <c r="EI63485"/>
      <c r="EJ63485"/>
      <c r="EK63485"/>
    </row>
    <row r="63486" spans="1:141" s="116" customFormat="1">
      <c r="A63486" s="136"/>
      <c r="CM63486" s="111"/>
      <c r="CQ63486" s="111"/>
      <c r="EF63486"/>
      <c r="EG63486"/>
      <c r="EH63486"/>
      <c r="EI63486"/>
      <c r="EJ63486"/>
      <c r="EK63486"/>
    </row>
    <row r="63487" spans="1:141" s="116" customFormat="1">
      <c r="A63487" s="136"/>
      <c r="CM63487" s="111"/>
      <c r="CQ63487" s="111"/>
      <c r="EF63487"/>
      <c r="EG63487"/>
      <c r="EH63487"/>
      <c r="EI63487"/>
      <c r="EJ63487"/>
      <c r="EK63487"/>
    </row>
    <row r="63488" spans="1:141" s="116" customFormat="1">
      <c r="A63488" s="136"/>
      <c r="CM63488" s="111"/>
      <c r="CQ63488" s="111"/>
      <c r="EF63488"/>
      <c r="EG63488"/>
      <c r="EH63488"/>
      <c r="EI63488"/>
      <c r="EJ63488"/>
      <c r="EK63488"/>
    </row>
    <row r="63489" spans="1:141" s="116" customFormat="1">
      <c r="A63489" s="136"/>
      <c r="CM63489" s="111"/>
      <c r="CQ63489" s="111"/>
      <c r="EF63489"/>
      <c r="EG63489"/>
      <c r="EH63489"/>
      <c r="EI63489"/>
      <c r="EJ63489"/>
      <c r="EK63489"/>
    </row>
    <row r="63490" spans="1:141" s="116" customFormat="1">
      <c r="A63490" s="136"/>
      <c r="CM63490" s="111"/>
      <c r="CQ63490" s="111"/>
      <c r="EF63490"/>
      <c r="EG63490"/>
      <c r="EH63490"/>
      <c r="EI63490"/>
      <c r="EJ63490"/>
      <c r="EK63490"/>
    </row>
    <row r="63491" spans="1:141" s="116" customFormat="1">
      <c r="A63491" s="136"/>
      <c r="CM63491" s="111"/>
      <c r="CQ63491" s="111"/>
      <c r="EF63491"/>
      <c r="EG63491"/>
      <c r="EH63491"/>
      <c r="EI63491"/>
      <c r="EJ63491"/>
      <c r="EK63491"/>
    </row>
    <row r="63492" spans="1:141" s="116" customFormat="1">
      <c r="A63492" s="136"/>
      <c r="CM63492" s="111"/>
      <c r="CQ63492" s="111"/>
      <c r="EF63492"/>
      <c r="EG63492"/>
      <c r="EH63492"/>
      <c r="EI63492"/>
      <c r="EJ63492"/>
      <c r="EK63492"/>
    </row>
    <row r="63493" spans="1:141" s="116" customFormat="1">
      <c r="A63493" s="136"/>
      <c r="CM63493" s="111"/>
      <c r="CQ63493" s="111"/>
      <c r="EF63493"/>
      <c r="EG63493"/>
      <c r="EH63493"/>
      <c r="EI63493"/>
      <c r="EJ63493"/>
      <c r="EK63493"/>
    </row>
    <row r="63494" spans="1:141" s="116" customFormat="1">
      <c r="A63494" s="136"/>
      <c r="CM63494" s="111"/>
      <c r="CQ63494" s="111"/>
      <c r="EF63494"/>
      <c r="EG63494"/>
      <c r="EH63494"/>
      <c r="EI63494"/>
      <c r="EJ63494"/>
      <c r="EK63494"/>
    </row>
    <row r="63495" spans="1:141" s="116" customFormat="1">
      <c r="A63495" s="136"/>
      <c r="CM63495" s="111"/>
      <c r="CQ63495" s="111"/>
      <c r="EF63495"/>
      <c r="EG63495"/>
      <c r="EH63495"/>
      <c r="EI63495"/>
      <c r="EJ63495"/>
      <c r="EK63495"/>
    </row>
    <row r="63496" spans="1:141" s="116" customFormat="1">
      <c r="A63496" s="136"/>
      <c r="CM63496" s="111"/>
      <c r="CQ63496" s="111"/>
      <c r="EF63496"/>
      <c r="EG63496"/>
      <c r="EH63496"/>
      <c r="EI63496"/>
      <c r="EJ63496"/>
      <c r="EK63496"/>
    </row>
    <row r="63497" spans="1:141" s="116" customFormat="1">
      <c r="A63497" s="136"/>
      <c r="CM63497" s="111"/>
      <c r="CQ63497" s="111"/>
      <c r="EF63497"/>
      <c r="EG63497"/>
      <c r="EH63497"/>
      <c r="EI63497"/>
      <c r="EJ63497"/>
      <c r="EK63497"/>
    </row>
    <row r="63498" spans="1:141" s="116" customFormat="1">
      <c r="A63498" s="136"/>
      <c r="CM63498" s="111"/>
      <c r="CQ63498" s="111"/>
      <c r="EF63498"/>
      <c r="EG63498"/>
      <c r="EH63498"/>
      <c r="EI63498"/>
      <c r="EJ63498"/>
      <c r="EK63498"/>
    </row>
    <row r="63499" spans="1:141" s="116" customFormat="1">
      <c r="A63499" s="136"/>
      <c r="CM63499" s="111"/>
      <c r="CQ63499" s="111"/>
      <c r="EF63499"/>
      <c r="EG63499"/>
      <c r="EH63499"/>
      <c r="EI63499"/>
      <c r="EJ63499"/>
      <c r="EK63499"/>
    </row>
    <row r="63500" spans="1:141" s="116" customFormat="1">
      <c r="A63500" s="136"/>
      <c r="CM63500" s="111"/>
      <c r="CQ63500" s="111"/>
      <c r="EF63500"/>
      <c r="EG63500"/>
      <c r="EH63500"/>
      <c r="EI63500"/>
      <c r="EJ63500"/>
      <c r="EK63500"/>
    </row>
    <row r="63501" spans="1:141" s="116" customFormat="1">
      <c r="A63501" s="136"/>
      <c r="CM63501" s="111"/>
      <c r="CQ63501" s="111"/>
      <c r="EF63501"/>
      <c r="EG63501"/>
      <c r="EH63501"/>
      <c r="EI63501"/>
      <c r="EJ63501"/>
      <c r="EK63501"/>
    </row>
    <row r="63502" spans="1:141" s="116" customFormat="1">
      <c r="A63502" s="136"/>
      <c r="CM63502" s="111"/>
      <c r="CQ63502" s="111"/>
      <c r="EF63502"/>
      <c r="EG63502"/>
      <c r="EH63502"/>
      <c r="EI63502"/>
      <c r="EJ63502"/>
      <c r="EK63502"/>
    </row>
    <row r="63503" spans="1:141" s="116" customFormat="1">
      <c r="A63503" s="136"/>
      <c r="CM63503" s="111"/>
      <c r="CQ63503" s="111"/>
      <c r="EF63503"/>
      <c r="EG63503"/>
      <c r="EH63503"/>
      <c r="EI63503"/>
      <c r="EJ63503"/>
      <c r="EK63503"/>
    </row>
    <row r="63504" spans="1:141" s="116" customFormat="1">
      <c r="A63504" s="136"/>
      <c r="CM63504" s="111"/>
      <c r="CQ63504" s="111"/>
      <c r="EF63504"/>
      <c r="EG63504"/>
      <c r="EH63504"/>
      <c r="EI63504"/>
      <c r="EJ63504"/>
      <c r="EK63504"/>
    </row>
    <row r="63505" spans="1:141" s="116" customFormat="1">
      <c r="A63505" s="136"/>
      <c r="CM63505" s="111"/>
      <c r="CQ63505" s="111"/>
      <c r="EF63505"/>
      <c r="EG63505"/>
      <c r="EH63505"/>
      <c r="EI63505"/>
      <c r="EJ63505"/>
      <c r="EK63505"/>
    </row>
    <row r="63506" spans="1:141" s="116" customFormat="1">
      <c r="A63506" s="136"/>
      <c r="CM63506" s="111"/>
      <c r="CQ63506" s="111"/>
      <c r="EF63506"/>
      <c r="EG63506"/>
      <c r="EH63506"/>
      <c r="EI63506"/>
      <c r="EJ63506"/>
      <c r="EK63506"/>
    </row>
    <row r="63507" spans="1:141" s="116" customFormat="1">
      <c r="A63507" s="136"/>
      <c r="CM63507" s="111"/>
      <c r="CQ63507" s="111"/>
      <c r="EF63507"/>
      <c r="EG63507"/>
      <c r="EH63507"/>
      <c r="EI63507"/>
      <c r="EJ63507"/>
      <c r="EK63507"/>
    </row>
    <row r="63508" spans="1:141" s="116" customFormat="1">
      <c r="A63508" s="136"/>
      <c r="CM63508" s="111"/>
      <c r="CQ63508" s="111"/>
      <c r="EF63508"/>
      <c r="EG63508"/>
      <c r="EH63508"/>
      <c r="EI63508"/>
      <c r="EJ63508"/>
      <c r="EK63508"/>
    </row>
    <row r="63509" spans="1:141" s="116" customFormat="1">
      <c r="A63509" s="136"/>
      <c r="CM63509" s="111"/>
      <c r="CQ63509" s="111"/>
      <c r="EF63509"/>
      <c r="EG63509"/>
      <c r="EH63509"/>
      <c r="EI63509"/>
      <c r="EJ63509"/>
      <c r="EK63509"/>
    </row>
    <row r="63510" spans="1:141" s="116" customFormat="1">
      <c r="A63510" s="136"/>
      <c r="CM63510" s="111"/>
      <c r="CQ63510" s="111"/>
      <c r="EF63510"/>
      <c r="EG63510"/>
      <c r="EH63510"/>
      <c r="EI63510"/>
      <c r="EJ63510"/>
      <c r="EK63510"/>
    </row>
    <row r="63511" spans="1:141" s="116" customFormat="1">
      <c r="A63511" s="136"/>
      <c r="CM63511" s="111"/>
      <c r="CQ63511" s="111"/>
      <c r="EF63511"/>
      <c r="EG63511"/>
      <c r="EH63511"/>
      <c r="EI63511"/>
      <c r="EJ63511"/>
      <c r="EK63511"/>
    </row>
    <row r="63512" spans="1:141" s="116" customFormat="1">
      <c r="A63512" s="136"/>
      <c r="CM63512" s="111"/>
      <c r="CQ63512" s="111"/>
      <c r="EF63512"/>
      <c r="EG63512"/>
      <c r="EH63512"/>
      <c r="EI63512"/>
      <c r="EJ63512"/>
      <c r="EK63512"/>
    </row>
    <row r="63513" spans="1:141" s="116" customFormat="1">
      <c r="A63513" s="136"/>
      <c r="CM63513" s="111"/>
      <c r="CQ63513" s="111"/>
      <c r="EF63513"/>
      <c r="EG63513"/>
      <c r="EH63513"/>
      <c r="EI63513"/>
      <c r="EJ63513"/>
      <c r="EK63513"/>
    </row>
    <row r="63514" spans="1:141" s="116" customFormat="1">
      <c r="A63514" s="136"/>
      <c r="CM63514" s="111"/>
      <c r="CQ63514" s="111"/>
      <c r="EF63514"/>
      <c r="EG63514"/>
      <c r="EH63514"/>
      <c r="EI63514"/>
      <c r="EJ63514"/>
      <c r="EK63514"/>
    </row>
    <row r="63515" spans="1:141" s="116" customFormat="1">
      <c r="A63515" s="136"/>
      <c r="CM63515" s="111"/>
      <c r="CQ63515" s="111"/>
      <c r="EF63515"/>
      <c r="EG63515"/>
      <c r="EH63515"/>
      <c r="EI63515"/>
      <c r="EJ63515"/>
      <c r="EK63515"/>
    </row>
    <row r="63516" spans="1:141" s="116" customFormat="1">
      <c r="A63516" s="136"/>
      <c r="CM63516" s="111"/>
      <c r="CQ63516" s="111"/>
      <c r="EF63516"/>
      <c r="EG63516"/>
      <c r="EH63516"/>
      <c r="EI63516"/>
      <c r="EJ63516"/>
      <c r="EK63516"/>
    </row>
    <row r="63517" spans="1:141" s="116" customFormat="1">
      <c r="A63517" s="136"/>
      <c r="CM63517" s="111"/>
      <c r="CQ63517" s="111"/>
      <c r="EF63517"/>
      <c r="EG63517"/>
      <c r="EH63517"/>
      <c r="EI63517"/>
      <c r="EJ63517"/>
      <c r="EK63517"/>
    </row>
    <row r="63518" spans="1:141" s="116" customFormat="1">
      <c r="A63518" s="136"/>
      <c r="CM63518" s="111"/>
      <c r="CQ63518" s="111"/>
      <c r="EF63518"/>
      <c r="EG63518"/>
      <c r="EH63518"/>
      <c r="EI63518"/>
      <c r="EJ63518"/>
      <c r="EK63518"/>
    </row>
    <row r="63519" spans="1:141" s="116" customFormat="1">
      <c r="A63519" s="136"/>
      <c r="CM63519" s="111"/>
      <c r="CQ63519" s="111"/>
      <c r="EF63519"/>
      <c r="EG63519"/>
      <c r="EH63519"/>
      <c r="EI63519"/>
      <c r="EJ63519"/>
      <c r="EK63519"/>
    </row>
    <row r="63520" spans="1:141" s="116" customFormat="1">
      <c r="A63520" s="136"/>
      <c r="CM63520" s="111"/>
      <c r="CQ63520" s="111"/>
      <c r="EF63520"/>
      <c r="EG63520"/>
      <c r="EH63520"/>
      <c r="EI63520"/>
      <c r="EJ63520"/>
      <c r="EK63520"/>
    </row>
    <row r="63521" spans="1:141" s="116" customFormat="1">
      <c r="A63521" s="136"/>
      <c r="CM63521" s="111"/>
      <c r="CQ63521" s="111"/>
      <c r="EF63521"/>
      <c r="EG63521"/>
      <c r="EH63521"/>
      <c r="EI63521"/>
      <c r="EJ63521"/>
      <c r="EK63521"/>
    </row>
    <row r="63522" spans="1:141" s="116" customFormat="1">
      <c r="A63522" s="136"/>
      <c r="CM63522" s="111"/>
      <c r="CQ63522" s="111"/>
      <c r="EF63522"/>
      <c r="EG63522"/>
      <c r="EH63522"/>
      <c r="EI63522"/>
      <c r="EJ63522"/>
      <c r="EK63522"/>
    </row>
    <row r="63523" spans="1:141" s="116" customFormat="1">
      <c r="A63523" s="136"/>
      <c r="CM63523" s="111"/>
      <c r="CQ63523" s="111"/>
      <c r="EF63523"/>
      <c r="EG63523"/>
      <c r="EH63523"/>
      <c r="EI63523"/>
      <c r="EJ63523"/>
      <c r="EK63523"/>
    </row>
    <row r="63524" spans="1:141" s="116" customFormat="1">
      <c r="A63524" s="136"/>
      <c r="CM63524" s="111"/>
      <c r="CQ63524" s="111"/>
      <c r="EF63524"/>
      <c r="EG63524"/>
      <c r="EH63524"/>
      <c r="EI63524"/>
      <c r="EJ63524"/>
      <c r="EK63524"/>
    </row>
    <row r="63525" spans="1:141" s="116" customFormat="1">
      <c r="A63525" s="136"/>
      <c r="CM63525" s="111"/>
      <c r="CQ63525" s="111"/>
      <c r="EF63525"/>
      <c r="EG63525"/>
      <c r="EH63525"/>
      <c r="EI63525"/>
      <c r="EJ63525"/>
      <c r="EK63525"/>
    </row>
    <row r="63526" spans="1:141" s="116" customFormat="1">
      <c r="A63526" s="136"/>
      <c r="CM63526" s="111"/>
      <c r="CQ63526" s="111"/>
      <c r="EF63526"/>
      <c r="EG63526"/>
      <c r="EH63526"/>
      <c r="EI63526"/>
      <c r="EJ63526"/>
      <c r="EK63526"/>
    </row>
    <row r="63527" spans="1:141" s="116" customFormat="1">
      <c r="A63527" s="136"/>
      <c r="CM63527" s="111"/>
      <c r="CQ63527" s="111"/>
      <c r="EF63527"/>
      <c r="EG63527"/>
      <c r="EH63527"/>
      <c r="EI63527"/>
      <c r="EJ63527"/>
      <c r="EK63527"/>
    </row>
    <row r="63528" spans="1:141" s="116" customFormat="1">
      <c r="A63528" s="136"/>
      <c r="CM63528" s="111"/>
      <c r="CQ63528" s="111"/>
      <c r="EF63528"/>
      <c r="EG63528"/>
      <c r="EH63528"/>
      <c r="EI63528"/>
      <c r="EJ63528"/>
      <c r="EK63528"/>
    </row>
    <row r="63529" spans="1:141" s="116" customFormat="1">
      <c r="A63529" s="136"/>
      <c r="CM63529" s="111"/>
      <c r="CQ63529" s="111"/>
      <c r="EF63529"/>
      <c r="EG63529"/>
      <c r="EH63529"/>
      <c r="EI63529"/>
      <c r="EJ63529"/>
      <c r="EK63529"/>
    </row>
    <row r="63530" spans="1:141" s="116" customFormat="1">
      <c r="A63530" s="136"/>
      <c r="CM63530" s="111"/>
      <c r="CQ63530" s="111"/>
      <c r="EF63530"/>
      <c r="EG63530"/>
      <c r="EH63530"/>
      <c r="EI63530"/>
      <c r="EJ63530"/>
      <c r="EK63530"/>
    </row>
    <row r="63531" spans="1:141" s="116" customFormat="1">
      <c r="A63531" s="136"/>
      <c r="CM63531" s="111"/>
      <c r="CQ63531" s="111"/>
      <c r="EF63531"/>
      <c r="EG63531"/>
      <c r="EH63531"/>
      <c r="EI63531"/>
      <c r="EJ63531"/>
      <c r="EK63531"/>
    </row>
    <row r="63532" spans="1:141" s="116" customFormat="1">
      <c r="A63532" s="136"/>
      <c r="CM63532" s="111"/>
      <c r="CQ63532" s="111"/>
      <c r="EF63532"/>
      <c r="EG63532"/>
      <c r="EH63532"/>
      <c r="EI63532"/>
      <c r="EJ63532"/>
      <c r="EK63532"/>
    </row>
    <row r="63533" spans="1:141" s="116" customFormat="1">
      <c r="A63533" s="136"/>
      <c r="CM63533" s="111"/>
      <c r="CQ63533" s="111"/>
      <c r="EF63533"/>
      <c r="EG63533"/>
      <c r="EH63533"/>
      <c r="EI63533"/>
      <c r="EJ63533"/>
      <c r="EK63533"/>
    </row>
    <row r="63534" spans="1:141" s="116" customFormat="1">
      <c r="A63534" s="136"/>
      <c r="CM63534" s="111"/>
      <c r="CQ63534" s="111"/>
      <c r="EF63534"/>
      <c r="EG63534"/>
      <c r="EH63534"/>
      <c r="EI63534"/>
      <c r="EJ63534"/>
      <c r="EK63534"/>
    </row>
    <row r="63535" spans="1:141" s="116" customFormat="1">
      <c r="A63535" s="136"/>
      <c r="CM63535" s="111"/>
      <c r="CQ63535" s="111"/>
      <c r="EF63535"/>
      <c r="EG63535"/>
      <c r="EH63535"/>
      <c r="EI63535"/>
      <c r="EJ63535"/>
      <c r="EK63535"/>
    </row>
    <row r="63536" spans="1:141" s="116" customFormat="1">
      <c r="A63536" s="136"/>
      <c r="CM63536" s="111"/>
      <c r="CQ63536" s="111"/>
      <c r="EF63536"/>
      <c r="EG63536"/>
      <c r="EH63536"/>
      <c r="EI63536"/>
      <c r="EJ63536"/>
      <c r="EK63536"/>
    </row>
    <row r="63537" spans="1:141" s="116" customFormat="1">
      <c r="A63537" s="136"/>
      <c r="CM63537" s="111"/>
      <c r="CQ63537" s="111"/>
      <c r="EF63537"/>
      <c r="EG63537"/>
      <c r="EH63537"/>
      <c r="EI63537"/>
      <c r="EJ63537"/>
      <c r="EK63537"/>
    </row>
    <row r="63538" spans="1:141" s="116" customFormat="1">
      <c r="A63538" s="136"/>
      <c r="CM63538" s="111"/>
      <c r="CQ63538" s="111"/>
      <c r="EF63538"/>
      <c r="EG63538"/>
      <c r="EH63538"/>
      <c r="EI63538"/>
      <c r="EJ63538"/>
      <c r="EK63538"/>
    </row>
    <row r="63539" spans="1:141" s="116" customFormat="1">
      <c r="A63539" s="136"/>
      <c r="CM63539" s="111"/>
      <c r="CQ63539" s="111"/>
      <c r="EF63539"/>
      <c r="EG63539"/>
      <c r="EH63539"/>
      <c r="EI63539"/>
      <c r="EJ63539"/>
      <c r="EK63539"/>
    </row>
    <row r="63540" spans="1:141" s="116" customFormat="1">
      <c r="A63540" s="136"/>
      <c r="CM63540" s="111"/>
      <c r="CQ63540" s="111"/>
      <c r="EF63540"/>
      <c r="EG63540"/>
      <c r="EH63540"/>
      <c r="EI63540"/>
      <c r="EJ63540"/>
      <c r="EK63540"/>
    </row>
    <row r="63541" spans="1:141" s="116" customFormat="1">
      <c r="A63541" s="136"/>
      <c r="CM63541" s="111"/>
      <c r="CQ63541" s="111"/>
      <c r="EF63541"/>
      <c r="EG63541"/>
      <c r="EH63541"/>
      <c r="EI63541"/>
      <c r="EJ63541"/>
      <c r="EK63541"/>
    </row>
    <row r="63542" spans="1:141" s="116" customFormat="1">
      <c r="A63542" s="136"/>
      <c r="CM63542" s="111"/>
      <c r="CQ63542" s="111"/>
      <c r="EF63542"/>
      <c r="EG63542"/>
      <c r="EH63542"/>
      <c r="EI63542"/>
      <c r="EJ63542"/>
      <c r="EK63542"/>
    </row>
    <row r="63543" spans="1:141" s="116" customFormat="1">
      <c r="A63543" s="136"/>
      <c r="CM63543" s="111"/>
      <c r="CQ63543" s="111"/>
      <c r="EF63543"/>
      <c r="EG63543"/>
      <c r="EH63543"/>
      <c r="EI63543"/>
      <c r="EJ63543"/>
      <c r="EK63543"/>
    </row>
    <row r="63544" spans="1:141" s="116" customFormat="1">
      <c r="A63544" s="136"/>
      <c r="CM63544" s="111"/>
      <c r="CQ63544" s="111"/>
      <c r="EF63544"/>
      <c r="EG63544"/>
      <c r="EH63544"/>
      <c r="EI63544"/>
      <c r="EJ63544"/>
      <c r="EK63544"/>
    </row>
    <row r="63545" spans="1:141" s="116" customFormat="1">
      <c r="A63545" s="136"/>
      <c r="CM63545" s="111"/>
      <c r="CQ63545" s="111"/>
      <c r="EF63545"/>
      <c r="EG63545"/>
      <c r="EH63545"/>
      <c r="EI63545"/>
      <c r="EJ63545"/>
      <c r="EK63545"/>
    </row>
    <row r="63546" spans="1:141" s="116" customFormat="1">
      <c r="A63546" s="136"/>
      <c r="CM63546" s="111"/>
      <c r="CQ63546" s="111"/>
      <c r="EF63546"/>
      <c r="EG63546"/>
      <c r="EH63546"/>
      <c r="EI63546"/>
      <c r="EJ63546"/>
      <c r="EK63546"/>
    </row>
    <row r="63547" spans="1:141" s="116" customFormat="1">
      <c r="A63547" s="136"/>
      <c r="CM63547" s="111"/>
      <c r="CQ63547" s="111"/>
      <c r="EF63547"/>
      <c r="EG63547"/>
      <c r="EH63547"/>
      <c r="EI63547"/>
      <c r="EJ63547"/>
      <c r="EK63547"/>
    </row>
    <row r="63548" spans="1:141" s="116" customFormat="1">
      <c r="A63548" s="136"/>
      <c r="CM63548" s="111"/>
      <c r="CQ63548" s="111"/>
      <c r="EF63548"/>
      <c r="EG63548"/>
      <c r="EH63548"/>
      <c r="EI63548"/>
      <c r="EJ63548"/>
      <c r="EK63548"/>
    </row>
    <row r="63549" spans="1:141" s="116" customFormat="1">
      <c r="A63549" s="136"/>
      <c r="CM63549" s="111"/>
      <c r="CQ63549" s="111"/>
      <c r="EF63549"/>
      <c r="EG63549"/>
      <c r="EH63549"/>
      <c r="EI63549"/>
      <c r="EJ63549"/>
      <c r="EK63549"/>
    </row>
    <row r="63550" spans="1:141" s="116" customFormat="1">
      <c r="A63550" s="136"/>
      <c r="CM63550" s="111"/>
      <c r="CQ63550" s="111"/>
      <c r="EF63550"/>
      <c r="EG63550"/>
      <c r="EH63550"/>
      <c r="EI63550"/>
      <c r="EJ63550"/>
      <c r="EK63550"/>
    </row>
    <row r="63551" spans="1:141" s="116" customFormat="1">
      <c r="A63551" s="136"/>
      <c r="CM63551" s="111"/>
      <c r="CQ63551" s="111"/>
      <c r="EF63551"/>
      <c r="EG63551"/>
      <c r="EH63551"/>
      <c r="EI63551"/>
      <c r="EJ63551"/>
      <c r="EK63551"/>
    </row>
    <row r="63552" spans="1:141" s="116" customFormat="1">
      <c r="A63552" s="136"/>
      <c r="CM63552" s="111"/>
      <c r="CQ63552" s="111"/>
      <c r="EF63552"/>
      <c r="EG63552"/>
      <c r="EH63552"/>
      <c r="EI63552"/>
      <c r="EJ63552"/>
      <c r="EK63552"/>
    </row>
    <row r="63553" spans="1:141" s="116" customFormat="1">
      <c r="A63553" s="136"/>
      <c r="CM63553" s="111"/>
      <c r="CQ63553" s="111"/>
      <c r="EF63553"/>
      <c r="EG63553"/>
      <c r="EH63553"/>
      <c r="EI63553"/>
      <c r="EJ63553"/>
      <c r="EK63553"/>
    </row>
    <row r="63554" spans="1:141" s="116" customFormat="1">
      <c r="A63554" s="136"/>
      <c r="CM63554" s="111"/>
      <c r="CQ63554" s="111"/>
      <c r="EF63554"/>
      <c r="EG63554"/>
      <c r="EH63554"/>
      <c r="EI63554"/>
      <c r="EJ63554"/>
      <c r="EK63554"/>
    </row>
    <row r="63555" spans="1:141" s="116" customFormat="1">
      <c r="A63555" s="136"/>
      <c r="CM63555" s="111"/>
      <c r="CQ63555" s="111"/>
      <c r="EF63555"/>
      <c r="EG63555"/>
      <c r="EH63555"/>
      <c r="EI63555"/>
      <c r="EJ63555"/>
      <c r="EK63555"/>
    </row>
    <row r="63556" spans="1:141" s="116" customFormat="1">
      <c r="A63556" s="136"/>
      <c r="CM63556" s="111"/>
      <c r="CQ63556" s="111"/>
      <c r="EF63556"/>
      <c r="EG63556"/>
      <c r="EH63556"/>
      <c r="EI63556"/>
      <c r="EJ63556"/>
      <c r="EK63556"/>
    </row>
    <row r="63557" spans="1:141" s="116" customFormat="1">
      <c r="A63557" s="136"/>
      <c r="CM63557" s="111"/>
      <c r="CQ63557" s="111"/>
      <c r="EF63557"/>
      <c r="EG63557"/>
      <c r="EH63557"/>
      <c r="EI63557"/>
      <c r="EJ63557"/>
      <c r="EK63557"/>
    </row>
    <row r="63558" spans="1:141" s="116" customFormat="1">
      <c r="A63558" s="136"/>
      <c r="CM63558" s="111"/>
      <c r="CQ63558" s="111"/>
      <c r="EF63558"/>
      <c r="EG63558"/>
      <c r="EH63558"/>
      <c r="EI63558"/>
      <c r="EJ63558"/>
      <c r="EK63558"/>
    </row>
    <row r="63559" spans="1:141" s="116" customFormat="1">
      <c r="A63559" s="136"/>
      <c r="CM63559" s="111"/>
      <c r="CQ63559" s="111"/>
      <c r="EF63559"/>
      <c r="EG63559"/>
      <c r="EH63559"/>
      <c r="EI63559"/>
      <c r="EJ63559"/>
      <c r="EK63559"/>
    </row>
    <row r="63560" spans="1:141" s="116" customFormat="1">
      <c r="A63560" s="136"/>
      <c r="CM63560" s="111"/>
      <c r="CQ63560" s="111"/>
      <c r="EF63560"/>
      <c r="EG63560"/>
      <c r="EH63560"/>
      <c r="EI63560"/>
      <c r="EJ63560"/>
      <c r="EK63560"/>
    </row>
    <row r="63561" spans="1:141" s="116" customFormat="1">
      <c r="A63561" s="136"/>
      <c r="CM63561" s="111"/>
      <c r="CQ63561" s="111"/>
      <c r="EF63561"/>
      <c r="EG63561"/>
      <c r="EH63561"/>
      <c r="EI63561"/>
      <c r="EJ63561"/>
      <c r="EK63561"/>
    </row>
    <row r="63562" spans="1:141" s="116" customFormat="1">
      <c r="A63562" s="136"/>
      <c r="CM63562" s="111"/>
      <c r="CQ63562" s="111"/>
      <c r="EF63562"/>
      <c r="EG63562"/>
      <c r="EH63562"/>
      <c r="EI63562"/>
      <c r="EJ63562"/>
      <c r="EK63562"/>
    </row>
    <row r="63563" spans="1:141" s="116" customFormat="1">
      <c r="A63563" s="136"/>
      <c r="CM63563" s="111"/>
      <c r="CQ63563" s="111"/>
      <c r="EF63563"/>
      <c r="EG63563"/>
      <c r="EH63563"/>
      <c r="EI63563"/>
      <c r="EJ63563"/>
      <c r="EK63563"/>
    </row>
    <row r="63564" spans="1:141" s="116" customFormat="1">
      <c r="A63564" s="136"/>
      <c r="CM63564" s="111"/>
      <c r="CQ63564" s="111"/>
      <c r="EF63564"/>
      <c r="EG63564"/>
      <c r="EH63564"/>
      <c r="EI63564"/>
      <c r="EJ63564"/>
      <c r="EK63564"/>
    </row>
    <row r="63565" spans="1:141" s="116" customFormat="1">
      <c r="A63565" s="136"/>
      <c r="CM63565" s="111"/>
      <c r="CQ63565" s="111"/>
      <c r="EF63565"/>
      <c r="EG63565"/>
      <c r="EH63565"/>
      <c r="EI63565"/>
      <c r="EJ63565"/>
      <c r="EK63565"/>
    </row>
    <row r="63566" spans="1:141" s="116" customFormat="1">
      <c r="A63566" s="136"/>
      <c r="CM63566" s="111"/>
      <c r="CQ63566" s="111"/>
      <c r="EF63566"/>
      <c r="EG63566"/>
      <c r="EH63566"/>
      <c r="EI63566"/>
      <c r="EJ63566"/>
      <c r="EK63566"/>
    </row>
    <row r="63567" spans="1:141" s="116" customFormat="1">
      <c r="A63567" s="136"/>
      <c r="CM63567" s="111"/>
      <c r="CQ63567" s="111"/>
      <c r="EF63567"/>
      <c r="EG63567"/>
      <c r="EH63567"/>
      <c r="EI63567"/>
      <c r="EJ63567"/>
      <c r="EK63567"/>
    </row>
    <row r="63568" spans="1:141" s="116" customFormat="1">
      <c r="A63568" s="136"/>
      <c r="CM63568" s="111"/>
      <c r="CQ63568" s="111"/>
      <c r="EF63568"/>
      <c r="EG63568"/>
      <c r="EH63568"/>
      <c r="EI63568"/>
      <c r="EJ63568"/>
      <c r="EK63568"/>
    </row>
    <row r="63569" spans="1:141" s="116" customFormat="1">
      <c r="A63569" s="136"/>
      <c r="CM63569" s="111"/>
      <c r="CQ63569" s="111"/>
      <c r="EF63569"/>
      <c r="EG63569"/>
      <c r="EH63569"/>
      <c r="EI63569"/>
      <c r="EJ63569"/>
      <c r="EK63569"/>
    </row>
    <row r="63570" spans="1:141" s="116" customFormat="1">
      <c r="A63570" s="136"/>
      <c r="CM63570" s="111"/>
      <c r="CQ63570" s="111"/>
      <c r="EF63570"/>
      <c r="EG63570"/>
      <c r="EH63570"/>
      <c r="EI63570"/>
      <c r="EJ63570"/>
      <c r="EK63570"/>
    </row>
    <row r="63571" spans="1:141" s="116" customFormat="1">
      <c r="A63571" s="136"/>
      <c r="CM63571" s="111"/>
      <c r="CQ63571" s="111"/>
      <c r="EF63571"/>
      <c r="EG63571"/>
      <c r="EH63571"/>
      <c r="EI63571"/>
      <c r="EJ63571"/>
      <c r="EK63571"/>
    </row>
    <row r="63572" spans="1:141" s="116" customFormat="1">
      <c r="A63572" s="136"/>
      <c r="CM63572" s="111"/>
      <c r="CQ63572" s="111"/>
      <c r="EF63572"/>
      <c r="EG63572"/>
      <c r="EH63572"/>
      <c r="EI63572"/>
      <c r="EJ63572"/>
      <c r="EK63572"/>
    </row>
    <row r="63573" spans="1:141" s="116" customFormat="1">
      <c r="A63573" s="136"/>
      <c r="CM63573" s="111"/>
      <c r="CQ63573" s="111"/>
      <c r="EF63573"/>
      <c r="EG63573"/>
      <c r="EH63573"/>
      <c r="EI63573"/>
      <c r="EJ63573"/>
      <c r="EK63573"/>
    </row>
    <row r="63574" spans="1:141" s="116" customFormat="1">
      <c r="A63574" s="136"/>
      <c r="CM63574" s="111"/>
      <c r="CQ63574" s="111"/>
      <c r="EF63574"/>
      <c r="EG63574"/>
      <c r="EH63574"/>
      <c r="EI63574"/>
      <c r="EJ63574"/>
      <c r="EK63574"/>
    </row>
    <row r="63575" spans="1:141" s="116" customFormat="1">
      <c r="A63575" s="136"/>
      <c r="CM63575" s="111"/>
      <c r="CQ63575" s="111"/>
      <c r="EF63575"/>
      <c r="EG63575"/>
      <c r="EH63575"/>
      <c r="EI63575"/>
      <c r="EJ63575"/>
      <c r="EK63575"/>
    </row>
    <row r="63576" spans="1:141" s="116" customFormat="1">
      <c r="A63576" s="136"/>
      <c r="CM63576" s="111"/>
      <c r="CQ63576" s="111"/>
      <c r="EF63576"/>
      <c r="EG63576"/>
      <c r="EH63576"/>
      <c r="EI63576"/>
      <c r="EJ63576"/>
      <c r="EK63576"/>
    </row>
    <row r="63577" spans="1:141" s="116" customFormat="1">
      <c r="A63577" s="136"/>
      <c r="CM63577" s="111"/>
      <c r="CQ63577" s="111"/>
      <c r="EF63577"/>
      <c r="EG63577"/>
      <c r="EH63577"/>
      <c r="EI63577"/>
      <c r="EJ63577"/>
      <c r="EK63577"/>
    </row>
    <row r="63578" spans="1:141" s="116" customFormat="1">
      <c r="A63578" s="136"/>
      <c r="CM63578" s="111"/>
      <c r="CQ63578" s="111"/>
      <c r="EF63578"/>
      <c r="EG63578"/>
      <c r="EH63578"/>
      <c r="EI63578"/>
      <c r="EJ63578"/>
      <c r="EK63578"/>
    </row>
    <row r="63579" spans="1:141" s="116" customFormat="1">
      <c r="A63579" s="136"/>
      <c r="CM63579" s="111"/>
      <c r="CQ63579" s="111"/>
      <c r="EF63579"/>
      <c r="EG63579"/>
      <c r="EH63579"/>
      <c r="EI63579"/>
      <c r="EJ63579"/>
      <c r="EK63579"/>
    </row>
    <row r="63580" spans="1:141" s="116" customFormat="1">
      <c r="A63580" s="136"/>
      <c r="CM63580" s="111"/>
      <c r="CQ63580" s="111"/>
      <c r="EF63580"/>
      <c r="EG63580"/>
      <c r="EH63580"/>
      <c r="EI63580"/>
      <c r="EJ63580"/>
      <c r="EK63580"/>
    </row>
    <row r="63581" spans="1:141" s="116" customFormat="1">
      <c r="A63581" s="136"/>
      <c r="CM63581" s="111"/>
      <c r="CQ63581" s="111"/>
      <c r="EF63581"/>
      <c r="EG63581"/>
      <c r="EH63581"/>
      <c r="EI63581"/>
      <c r="EJ63581"/>
      <c r="EK63581"/>
    </row>
    <row r="63582" spans="1:141" s="116" customFormat="1">
      <c r="A63582" s="136"/>
      <c r="CM63582" s="111"/>
      <c r="CQ63582" s="111"/>
      <c r="EF63582"/>
      <c r="EG63582"/>
      <c r="EH63582"/>
      <c r="EI63582"/>
      <c r="EJ63582"/>
      <c r="EK63582"/>
    </row>
    <row r="63583" spans="1:141" s="116" customFormat="1">
      <c r="A63583" s="136"/>
      <c r="CM63583" s="111"/>
      <c r="CQ63583" s="111"/>
      <c r="EF63583"/>
      <c r="EG63583"/>
      <c r="EH63583"/>
      <c r="EI63583"/>
      <c r="EJ63583"/>
      <c r="EK63583"/>
    </row>
    <row r="63584" spans="1:141" s="116" customFormat="1">
      <c r="A63584" s="136"/>
      <c r="CM63584" s="111"/>
      <c r="CQ63584" s="111"/>
      <c r="EF63584"/>
      <c r="EG63584"/>
      <c r="EH63584"/>
      <c r="EI63584"/>
      <c r="EJ63584"/>
      <c r="EK63584"/>
    </row>
    <row r="63585" spans="1:141" s="116" customFormat="1">
      <c r="A63585" s="136"/>
      <c r="CM63585" s="111"/>
      <c r="CQ63585" s="111"/>
      <c r="EF63585"/>
      <c r="EG63585"/>
      <c r="EH63585"/>
      <c r="EI63585"/>
      <c r="EJ63585"/>
      <c r="EK63585"/>
    </row>
    <row r="63586" spans="1:141" s="116" customFormat="1">
      <c r="A63586" s="136"/>
      <c r="CM63586" s="111"/>
      <c r="CQ63586" s="111"/>
      <c r="EF63586"/>
      <c r="EG63586"/>
      <c r="EH63586"/>
      <c r="EI63586"/>
      <c r="EJ63586"/>
      <c r="EK63586"/>
    </row>
    <row r="63587" spans="1:141" s="116" customFormat="1">
      <c r="A63587" s="136"/>
      <c r="CM63587" s="111"/>
      <c r="CQ63587" s="111"/>
      <c r="EF63587"/>
      <c r="EG63587"/>
      <c r="EH63587"/>
      <c r="EI63587"/>
      <c r="EJ63587"/>
      <c r="EK63587"/>
    </row>
    <row r="63588" spans="1:141" s="116" customFormat="1">
      <c r="A63588" s="136"/>
      <c r="CM63588" s="111"/>
      <c r="CQ63588" s="111"/>
      <c r="EF63588"/>
      <c r="EG63588"/>
      <c r="EH63588"/>
      <c r="EI63588"/>
      <c r="EJ63588"/>
      <c r="EK63588"/>
    </row>
    <row r="63589" spans="1:141" s="116" customFormat="1">
      <c r="A63589" s="136"/>
      <c r="CM63589" s="111"/>
      <c r="CQ63589" s="111"/>
      <c r="EF63589"/>
      <c r="EG63589"/>
      <c r="EH63589"/>
      <c r="EI63589"/>
      <c r="EJ63589"/>
      <c r="EK63589"/>
    </row>
    <row r="63590" spans="1:141" s="116" customFormat="1">
      <c r="A63590" s="136"/>
      <c r="CM63590" s="111"/>
      <c r="CQ63590" s="111"/>
      <c r="EF63590"/>
      <c r="EG63590"/>
      <c r="EH63590"/>
      <c r="EI63590"/>
      <c r="EJ63590"/>
      <c r="EK63590"/>
    </row>
    <row r="63591" spans="1:141" s="116" customFormat="1">
      <c r="A63591" s="136"/>
      <c r="CM63591" s="111"/>
      <c r="CQ63591" s="111"/>
      <c r="EF63591"/>
      <c r="EG63591"/>
      <c r="EH63591"/>
      <c r="EI63591"/>
      <c r="EJ63591"/>
      <c r="EK63591"/>
    </row>
    <row r="63592" spans="1:141" s="116" customFormat="1">
      <c r="A63592" s="136"/>
      <c r="CM63592" s="111"/>
      <c r="CQ63592" s="111"/>
      <c r="EF63592"/>
      <c r="EG63592"/>
      <c r="EH63592"/>
      <c r="EI63592"/>
      <c r="EJ63592"/>
      <c r="EK63592"/>
    </row>
    <row r="63593" spans="1:141" s="116" customFormat="1">
      <c r="A63593" s="136"/>
      <c r="CM63593" s="111"/>
      <c r="CQ63593" s="111"/>
      <c r="EF63593"/>
      <c r="EG63593"/>
      <c r="EH63593"/>
      <c r="EI63593"/>
      <c r="EJ63593"/>
      <c r="EK63593"/>
    </row>
    <row r="63594" spans="1:141" s="116" customFormat="1">
      <c r="A63594" s="136"/>
      <c r="CM63594" s="111"/>
      <c r="CQ63594" s="111"/>
      <c r="EF63594"/>
      <c r="EG63594"/>
      <c r="EH63594"/>
      <c r="EI63594"/>
      <c r="EJ63594"/>
      <c r="EK63594"/>
    </row>
    <row r="63595" spans="1:141" s="116" customFormat="1">
      <c r="A63595" s="136"/>
      <c r="CM63595" s="111"/>
      <c r="CQ63595" s="111"/>
      <c r="EF63595"/>
      <c r="EG63595"/>
      <c r="EH63595"/>
      <c r="EI63595"/>
      <c r="EJ63595"/>
      <c r="EK63595"/>
    </row>
    <row r="63596" spans="1:141" s="116" customFormat="1">
      <c r="A63596" s="136"/>
      <c r="CM63596" s="111"/>
      <c r="CQ63596" s="111"/>
      <c r="EF63596"/>
      <c r="EG63596"/>
      <c r="EH63596"/>
      <c r="EI63596"/>
      <c r="EJ63596"/>
      <c r="EK63596"/>
    </row>
    <row r="63597" spans="1:141" s="116" customFormat="1">
      <c r="A63597" s="136"/>
      <c r="CM63597" s="111"/>
      <c r="CQ63597" s="111"/>
      <c r="EF63597"/>
      <c r="EG63597"/>
      <c r="EH63597"/>
      <c r="EI63597"/>
      <c r="EJ63597"/>
      <c r="EK63597"/>
    </row>
    <row r="63598" spans="1:141" s="116" customFormat="1">
      <c r="A63598" s="136"/>
      <c r="CM63598" s="111"/>
      <c r="CQ63598" s="111"/>
      <c r="EF63598"/>
      <c r="EG63598"/>
      <c r="EH63598"/>
      <c r="EI63598"/>
      <c r="EJ63598"/>
      <c r="EK63598"/>
    </row>
    <row r="63599" spans="1:141" s="116" customFormat="1">
      <c r="A63599" s="136"/>
      <c r="CM63599" s="111"/>
      <c r="CQ63599" s="111"/>
      <c r="EF63599"/>
      <c r="EG63599"/>
      <c r="EH63599"/>
      <c r="EI63599"/>
      <c r="EJ63599"/>
      <c r="EK63599"/>
    </row>
    <row r="63600" spans="1:141" s="116" customFormat="1">
      <c r="A63600" s="136"/>
      <c r="CM63600" s="111"/>
      <c r="CQ63600" s="111"/>
      <c r="EF63600"/>
      <c r="EG63600"/>
      <c r="EH63600"/>
      <c r="EI63600"/>
      <c r="EJ63600"/>
      <c r="EK63600"/>
    </row>
    <row r="63601" spans="1:141" s="116" customFormat="1">
      <c r="A63601" s="136"/>
      <c r="CM63601" s="111"/>
      <c r="CQ63601" s="111"/>
      <c r="EF63601"/>
      <c r="EG63601"/>
      <c r="EH63601"/>
      <c r="EI63601"/>
      <c r="EJ63601"/>
      <c r="EK63601"/>
    </row>
    <row r="63602" spans="1:141" s="116" customFormat="1">
      <c r="A63602" s="136"/>
      <c r="CM63602" s="111"/>
      <c r="CQ63602" s="111"/>
      <c r="EF63602"/>
      <c r="EG63602"/>
      <c r="EH63602"/>
      <c r="EI63602"/>
      <c r="EJ63602"/>
      <c r="EK63602"/>
    </row>
    <row r="63603" spans="1:141" s="116" customFormat="1">
      <c r="A63603" s="136"/>
      <c r="CM63603" s="111"/>
      <c r="CQ63603" s="111"/>
      <c r="EF63603"/>
      <c r="EG63603"/>
      <c r="EH63603"/>
      <c r="EI63603"/>
      <c r="EJ63603"/>
      <c r="EK63603"/>
    </row>
    <row r="63604" spans="1:141" s="116" customFormat="1">
      <c r="A63604" s="136"/>
      <c r="CM63604" s="111"/>
      <c r="CQ63604" s="111"/>
      <c r="EF63604"/>
      <c r="EG63604"/>
      <c r="EH63604"/>
      <c r="EI63604"/>
      <c r="EJ63604"/>
      <c r="EK63604"/>
    </row>
    <row r="63605" spans="1:141" s="116" customFormat="1">
      <c r="A63605" s="136"/>
      <c r="CM63605" s="111"/>
      <c r="CQ63605" s="111"/>
      <c r="EF63605"/>
      <c r="EG63605"/>
      <c r="EH63605"/>
      <c r="EI63605"/>
      <c r="EJ63605"/>
      <c r="EK63605"/>
    </row>
    <row r="63606" spans="1:141" s="116" customFormat="1">
      <c r="A63606" s="136"/>
      <c r="CM63606" s="111"/>
      <c r="CQ63606" s="111"/>
      <c r="EF63606"/>
      <c r="EG63606"/>
      <c r="EH63606"/>
      <c r="EI63606"/>
      <c r="EJ63606"/>
      <c r="EK63606"/>
    </row>
    <row r="63607" spans="1:141" s="116" customFormat="1">
      <c r="A63607" s="136"/>
      <c r="CM63607" s="111"/>
      <c r="CQ63607" s="111"/>
      <c r="EF63607"/>
      <c r="EG63607"/>
      <c r="EH63607"/>
      <c r="EI63607"/>
      <c r="EJ63607"/>
      <c r="EK63607"/>
    </row>
    <row r="63608" spans="1:141" s="116" customFormat="1">
      <c r="A63608" s="136"/>
      <c r="CM63608" s="111"/>
      <c r="CQ63608" s="111"/>
      <c r="EF63608"/>
      <c r="EG63608"/>
      <c r="EH63608"/>
      <c r="EI63608"/>
      <c r="EJ63608"/>
      <c r="EK63608"/>
    </row>
    <row r="63609" spans="1:141" s="116" customFormat="1">
      <c r="A63609" s="136"/>
      <c r="CM63609" s="111"/>
      <c r="CQ63609" s="111"/>
      <c r="EF63609"/>
      <c r="EG63609"/>
      <c r="EH63609"/>
      <c r="EI63609"/>
      <c r="EJ63609"/>
      <c r="EK63609"/>
    </row>
    <row r="63610" spans="1:141" s="116" customFormat="1">
      <c r="A63610" s="136"/>
      <c r="CM63610" s="111"/>
      <c r="CQ63610" s="111"/>
      <c r="EF63610"/>
      <c r="EG63610"/>
      <c r="EH63610"/>
      <c r="EI63610"/>
      <c r="EJ63610"/>
      <c r="EK63610"/>
    </row>
    <row r="63611" spans="1:141" s="116" customFormat="1">
      <c r="A63611" s="136"/>
      <c r="CM63611" s="111"/>
      <c r="CQ63611" s="111"/>
      <c r="EF63611"/>
      <c r="EG63611"/>
      <c r="EH63611"/>
      <c r="EI63611"/>
      <c r="EJ63611"/>
      <c r="EK63611"/>
    </row>
    <row r="63612" spans="1:141" s="116" customFormat="1">
      <c r="A63612" s="136"/>
      <c r="CM63612" s="111"/>
      <c r="CQ63612" s="111"/>
      <c r="EF63612"/>
      <c r="EG63612"/>
      <c r="EH63612"/>
      <c r="EI63612"/>
      <c r="EJ63612"/>
      <c r="EK63612"/>
    </row>
    <row r="63613" spans="1:141" s="116" customFormat="1">
      <c r="A63613" s="136"/>
      <c r="CM63613" s="111"/>
      <c r="CQ63613" s="111"/>
      <c r="EF63613"/>
      <c r="EG63613"/>
      <c r="EH63613"/>
      <c r="EI63613"/>
      <c r="EJ63613"/>
      <c r="EK63613"/>
    </row>
    <row r="63614" spans="1:141" s="116" customFormat="1">
      <c r="A63614" s="136"/>
      <c r="CM63614" s="111"/>
      <c r="CQ63614" s="111"/>
      <c r="EF63614"/>
      <c r="EG63614"/>
      <c r="EH63614"/>
      <c r="EI63614"/>
      <c r="EJ63614"/>
      <c r="EK63614"/>
    </row>
    <row r="63615" spans="1:141" s="116" customFormat="1">
      <c r="A63615" s="136"/>
      <c r="CM63615" s="111"/>
      <c r="CQ63615" s="111"/>
      <c r="EF63615"/>
      <c r="EG63615"/>
      <c r="EH63615"/>
      <c r="EI63615"/>
      <c r="EJ63615"/>
      <c r="EK63615"/>
    </row>
    <row r="63616" spans="1:141" s="116" customFormat="1">
      <c r="A63616" s="136"/>
      <c r="CM63616" s="111"/>
      <c r="CQ63616" s="111"/>
      <c r="EF63616"/>
      <c r="EG63616"/>
      <c r="EH63616"/>
      <c r="EI63616"/>
      <c r="EJ63616"/>
      <c r="EK63616"/>
    </row>
    <row r="63617" spans="1:141" s="116" customFormat="1">
      <c r="A63617" s="136"/>
      <c r="CM63617" s="111"/>
      <c r="CQ63617" s="111"/>
      <c r="EF63617"/>
      <c r="EG63617"/>
      <c r="EH63617"/>
      <c r="EI63617"/>
      <c r="EJ63617"/>
      <c r="EK63617"/>
    </row>
    <row r="63618" spans="1:141" s="116" customFormat="1">
      <c r="A63618" s="136"/>
      <c r="CM63618" s="111"/>
      <c r="CQ63618" s="111"/>
      <c r="EF63618"/>
      <c r="EG63618"/>
      <c r="EH63618"/>
      <c r="EI63618"/>
      <c r="EJ63618"/>
      <c r="EK63618"/>
    </row>
    <row r="63619" spans="1:141" s="116" customFormat="1">
      <c r="A63619" s="136"/>
      <c r="CM63619" s="111"/>
      <c r="CQ63619" s="111"/>
      <c r="EF63619"/>
      <c r="EG63619"/>
      <c r="EH63619"/>
      <c r="EI63619"/>
      <c r="EJ63619"/>
      <c r="EK63619"/>
    </row>
    <row r="63620" spans="1:141" s="116" customFormat="1">
      <c r="A63620" s="136"/>
      <c r="CM63620" s="111"/>
      <c r="CQ63620" s="111"/>
      <c r="EF63620"/>
      <c r="EG63620"/>
      <c r="EH63620"/>
      <c r="EI63620"/>
      <c r="EJ63620"/>
      <c r="EK63620"/>
    </row>
    <row r="63621" spans="1:141" s="116" customFormat="1">
      <c r="A63621" s="136"/>
      <c r="CM63621" s="111"/>
      <c r="CQ63621" s="111"/>
      <c r="EF63621"/>
      <c r="EG63621"/>
      <c r="EH63621"/>
      <c r="EI63621"/>
      <c r="EJ63621"/>
      <c r="EK63621"/>
    </row>
    <row r="63622" spans="1:141" s="116" customFormat="1">
      <c r="A63622" s="136"/>
      <c r="CM63622" s="111"/>
      <c r="CQ63622" s="111"/>
      <c r="EF63622"/>
      <c r="EG63622"/>
      <c r="EH63622"/>
      <c r="EI63622"/>
      <c r="EJ63622"/>
      <c r="EK63622"/>
    </row>
    <row r="63623" spans="1:141" s="116" customFormat="1">
      <c r="A63623" s="136"/>
      <c r="CM63623" s="111"/>
      <c r="CQ63623" s="111"/>
      <c r="EF63623"/>
      <c r="EG63623"/>
      <c r="EH63623"/>
      <c r="EI63623"/>
      <c r="EJ63623"/>
      <c r="EK63623"/>
    </row>
    <row r="63624" spans="1:141" s="116" customFormat="1">
      <c r="A63624" s="136"/>
      <c r="CM63624" s="111"/>
      <c r="CQ63624" s="111"/>
      <c r="EF63624"/>
      <c r="EG63624"/>
      <c r="EH63624"/>
      <c r="EI63624"/>
      <c r="EJ63624"/>
      <c r="EK63624"/>
    </row>
    <row r="63625" spans="1:141" s="116" customFormat="1">
      <c r="A63625" s="136"/>
      <c r="CM63625" s="111"/>
      <c r="CQ63625" s="111"/>
      <c r="EF63625"/>
      <c r="EG63625"/>
      <c r="EH63625"/>
      <c r="EI63625"/>
      <c r="EJ63625"/>
      <c r="EK63625"/>
    </row>
    <row r="63626" spans="1:141" s="116" customFormat="1">
      <c r="A63626" s="136"/>
      <c r="CM63626" s="111"/>
      <c r="CQ63626" s="111"/>
      <c r="EF63626"/>
      <c r="EG63626"/>
      <c r="EH63626"/>
      <c r="EI63626"/>
      <c r="EJ63626"/>
      <c r="EK63626"/>
    </row>
    <row r="63627" spans="1:141" s="116" customFormat="1">
      <c r="A63627" s="136"/>
      <c r="CM63627" s="111"/>
      <c r="CQ63627" s="111"/>
      <c r="EF63627"/>
      <c r="EG63627"/>
      <c r="EH63627"/>
      <c r="EI63627"/>
      <c r="EJ63627"/>
      <c r="EK63627"/>
    </row>
    <row r="63628" spans="1:141" s="116" customFormat="1">
      <c r="A63628" s="136"/>
      <c r="CM63628" s="111"/>
      <c r="CQ63628" s="111"/>
      <c r="EF63628"/>
      <c r="EG63628"/>
      <c r="EH63628"/>
      <c r="EI63628"/>
      <c r="EJ63628"/>
      <c r="EK63628"/>
    </row>
    <row r="63629" spans="1:141" s="116" customFormat="1">
      <c r="A63629" s="136"/>
      <c r="CM63629" s="111"/>
      <c r="CQ63629" s="111"/>
      <c r="EF63629"/>
      <c r="EG63629"/>
      <c r="EH63629"/>
      <c r="EI63629"/>
      <c r="EJ63629"/>
      <c r="EK63629"/>
    </row>
    <row r="63630" spans="1:141" s="116" customFormat="1">
      <c r="A63630" s="136"/>
      <c r="CM63630" s="111"/>
      <c r="CQ63630" s="111"/>
      <c r="EF63630"/>
      <c r="EG63630"/>
      <c r="EH63630"/>
      <c r="EI63630"/>
      <c r="EJ63630"/>
      <c r="EK63630"/>
    </row>
    <row r="63631" spans="1:141" s="116" customFormat="1">
      <c r="A63631" s="136"/>
      <c r="CM63631" s="111"/>
      <c r="CQ63631" s="111"/>
      <c r="EF63631"/>
      <c r="EG63631"/>
      <c r="EH63631"/>
      <c r="EI63631"/>
      <c r="EJ63631"/>
      <c r="EK63631"/>
    </row>
    <row r="63632" spans="1:141" s="116" customFormat="1">
      <c r="A63632" s="136"/>
      <c r="CM63632" s="111"/>
      <c r="CQ63632" s="111"/>
      <c r="EF63632"/>
      <c r="EG63632"/>
      <c r="EH63632"/>
      <c r="EI63632"/>
      <c r="EJ63632"/>
      <c r="EK63632"/>
    </row>
    <row r="63633" spans="1:141" s="116" customFormat="1">
      <c r="A63633" s="136"/>
      <c r="CM63633" s="111"/>
      <c r="CQ63633" s="111"/>
      <c r="EF63633"/>
      <c r="EG63633"/>
      <c r="EH63633"/>
      <c r="EI63633"/>
      <c r="EJ63633"/>
      <c r="EK63633"/>
    </row>
    <row r="63634" spans="1:141" s="116" customFormat="1">
      <c r="A63634" s="136"/>
      <c r="CM63634" s="111"/>
      <c r="CQ63634" s="111"/>
      <c r="EF63634"/>
      <c r="EG63634"/>
      <c r="EH63634"/>
      <c r="EI63634"/>
      <c r="EJ63634"/>
      <c r="EK63634"/>
    </row>
    <row r="63635" spans="1:141" s="116" customFormat="1">
      <c r="A63635" s="136"/>
      <c r="CM63635" s="111"/>
      <c r="CQ63635" s="111"/>
      <c r="EF63635"/>
      <c r="EG63635"/>
      <c r="EH63635"/>
      <c r="EI63635"/>
      <c r="EJ63635"/>
      <c r="EK63635"/>
    </row>
    <row r="63636" spans="1:141" s="116" customFormat="1">
      <c r="A63636" s="136"/>
      <c r="CM63636" s="111"/>
      <c r="CQ63636" s="111"/>
      <c r="EF63636"/>
      <c r="EG63636"/>
      <c r="EH63636"/>
      <c r="EI63636"/>
      <c r="EJ63636"/>
      <c r="EK63636"/>
    </row>
    <row r="63637" spans="1:141" s="116" customFormat="1">
      <c r="A63637" s="136"/>
      <c r="CM63637" s="111"/>
      <c r="CQ63637" s="111"/>
      <c r="EF63637"/>
      <c r="EG63637"/>
      <c r="EH63637"/>
      <c r="EI63637"/>
      <c r="EJ63637"/>
      <c r="EK63637"/>
    </row>
    <row r="63638" spans="1:141" s="116" customFormat="1">
      <c r="A63638" s="136"/>
      <c r="CM63638" s="111"/>
      <c r="CQ63638" s="111"/>
      <c r="EF63638"/>
      <c r="EG63638"/>
      <c r="EH63638"/>
      <c r="EI63638"/>
      <c r="EJ63638"/>
      <c r="EK63638"/>
    </row>
    <row r="63639" spans="1:141" s="116" customFormat="1">
      <c r="A63639" s="136"/>
      <c r="CM63639" s="111"/>
      <c r="CQ63639" s="111"/>
      <c r="EF63639"/>
      <c r="EG63639"/>
      <c r="EH63639"/>
      <c r="EI63639"/>
      <c r="EJ63639"/>
      <c r="EK63639"/>
    </row>
    <row r="63640" spans="1:141" s="116" customFormat="1">
      <c r="A63640" s="136"/>
      <c r="CM63640" s="111"/>
      <c r="CQ63640" s="111"/>
      <c r="EF63640"/>
      <c r="EG63640"/>
      <c r="EH63640"/>
      <c r="EI63640"/>
      <c r="EJ63640"/>
      <c r="EK63640"/>
    </row>
    <row r="63641" spans="1:141" s="116" customFormat="1">
      <c r="A63641" s="136"/>
      <c r="CM63641" s="111"/>
      <c r="CQ63641" s="111"/>
      <c r="EF63641"/>
      <c r="EG63641"/>
      <c r="EH63641"/>
      <c r="EI63641"/>
      <c r="EJ63641"/>
      <c r="EK63641"/>
    </row>
    <row r="63642" spans="1:141" s="116" customFormat="1">
      <c r="A63642" s="136"/>
      <c r="CM63642" s="111"/>
      <c r="CQ63642" s="111"/>
      <c r="EF63642"/>
      <c r="EG63642"/>
      <c r="EH63642"/>
      <c r="EI63642"/>
      <c r="EJ63642"/>
      <c r="EK63642"/>
    </row>
    <row r="63643" spans="1:141" s="116" customFormat="1">
      <c r="A63643" s="136"/>
      <c r="CM63643" s="111"/>
      <c r="CQ63643" s="111"/>
      <c r="EF63643"/>
      <c r="EG63643"/>
      <c r="EH63643"/>
      <c r="EI63643"/>
      <c r="EJ63643"/>
      <c r="EK63643"/>
    </row>
    <row r="63644" spans="1:141" s="116" customFormat="1">
      <c r="A63644" s="136"/>
      <c r="CM63644" s="111"/>
      <c r="CQ63644" s="111"/>
      <c r="EF63644"/>
      <c r="EG63644"/>
      <c r="EH63644"/>
      <c r="EI63644"/>
      <c r="EJ63644"/>
      <c r="EK63644"/>
    </row>
    <row r="63645" spans="1:141" s="116" customFormat="1">
      <c r="A63645" s="136"/>
      <c r="CM63645" s="111"/>
      <c r="CQ63645" s="111"/>
      <c r="EF63645"/>
      <c r="EG63645"/>
      <c r="EH63645"/>
      <c r="EI63645"/>
      <c r="EJ63645"/>
      <c r="EK63645"/>
    </row>
    <row r="63646" spans="1:141" s="116" customFormat="1">
      <c r="A63646" s="136"/>
      <c r="CM63646" s="111"/>
      <c r="CQ63646" s="111"/>
      <c r="EF63646"/>
      <c r="EG63646"/>
      <c r="EH63646"/>
      <c r="EI63646"/>
      <c r="EJ63646"/>
      <c r="EK63646"/>
    </row>
    <row r="63647" spans="1:141" s="116" customFormat="1">
      <c r="A63647" s="136"/>
      <c r="CM63647" s="111"/>
      <c r="CQ63647" s="111"/>
      <c r="EF63647"/>
      <c r="EG63647"/>
      <c r="EH63647"/>
      <c r="EI63647"/>
      <c r="EJ63647"/>
      <c r="EK63647"/>
    </row>
    <row r="63648" spans="1:141" s="116" customFormat="1">
      <c r="A63648" s="136"/>
      <c r="CM63648" s="111"/>
      <c r="CQ63648" s="111"/>
      <c r="EF63648"/>
      <c r="EG63648"/>
      <c r="EH63648"/>
      <c r="EI63648"/>
      <c r="EJ63648"/>
      <c r="EK63648"/>
    </row>
    <row r="63649" spans="1:141" s="116" customFormat="1">
      <c r="A63649" s="136"/>
      <c r="CM63649" s="111"/>
      <c r="CQ63649" s="111"/>
      <c r="EF63649"/>
      <c r="EG63649"/>
      <c r="EH63649"/>
      <c r="EI63649"/>
      <c r="EJ63649"/>
      <c r="EK63649"/>
    </row>
    <row r="63650" spans="1:141" s="116" customFormat="1">
      <c r="A63650" s="136"/>
      <c r="CM63650" s="111"/>
      <c r="CQ63650" s="111"/>
      <c r="EF63650"/>
      <c r="EG63650"/>
      <c r="EH63650"/>
      <c r="EI63650"/>
      <c r="EJ63650"/>
      <c r="EK63650"/>
    </row>
    <row r="63651" spans="1:141" s="116" customFormat="1">
      <c r="A63651" s="136"/>
      <c r="CM63651" s="111"/>
      <c r="CQ63651" s="111"/>
      <c r="EF63651"/>
      <c r="EG63651"/>
      <c r="EH63651"/>
      <c r="EI63651"/>
      <c r="EJ63651"/>
      <c r="EK63651"/>
    </row>
    <row r="63652" spans="1:141" s="116" customFormat="1">
      <c r="A63652" s="136"/>
      <c r="CM63652" s="111"/>
      <c r="CQ63652" s="111"/>
      <c r="EF63652"/>
      <c r="EG63652"/>
      <c r="EH63652"/>
      <c r="EI63652"/>
      <c r="EJ63652"/>
      <c r="EK63652"/>
    </row>
    <row r="63653" spans="1:141" s="116" customFormat="1">
      <c r="A63653" s="136"/>
      <c r="CM63653" s="111"/>
      <c r="CQ63653" s="111"/>
      <c r="EF63653"/>
      <c r="EG63653"/>
      <c r="EH63653"/>
      <c r="EI63653"/>
      <c r="EJ63653"/>
      <c r="EK63653"/>
    </row>
    <row r="63654" spans="1:141" s="116" customFormat="1">
      <c r="A63654" s="136"/>
      <c r="CM63654" s="111"/>
      <c r="CQ63654" s="111"/>
      <c r="EF63654"/>
      <c r="EG63654"/>
      <c r="EH63654"/>
      <c r="EI63654"/>
      <c r="EJ63654"/>
      <c r="EK63654"/>
    </row>
    <row r="63655" spans="1:141" s="116" customFormat="1">
      <c r="A63655" s="136"/>
      <c r="CM63655" s="111"/>
      <c r="CQ63655" s="111"/>
      <c r="EF63655"/>
      <c r="EG63655"/>
      <c r="EH63655"/>
      <c r="EI63655"/>
      <c r="EJ63655"/>
      <c r="EK63655"/>
    </row>
    <row r="63656" spans="1:141" s="116" customFormat="1">
      <c r="A63656" s="136"/>
      <c r="CM63656" s="111"/>
      <c r="CQ63656" s="111"/>
      <c r="EF63656"/>
      <c r="EG63656"/>
      <c r="EH63656"/>
      <c r="EI63656"/>
      <c r="EJ63656"/>
      <c r="EK63656"/>
    </row>
    <row r="63657" spans="1:141" s="116" customFormat="1">
      <c r="A63657" s="136"/>
      <c r="CM63657" s="111"/>
      <c r="CQ63657" s="111"/>
      <c r="EF63657"/>
      <c r="EG63657"/>
      <c r="EH63657"/>
      <c r="EI63657"/>
      <c r="EJ63657"/>
      <c r="EK63657"/>
    </row>
    <row r="63658" spans="1:141" s="116" customFormat="1">
      <c r="A63658" s="136"/>
      <c r="CM63658" s="111"/>
      <c r="CQ63658" s="111"/>
      <c r="EF63658"/>
      <c r="EG63658"/>
      <c r="EH63658"/>
      <c r="EI63658"/>
      <c r="EJ63658"/>
      <c r="EK63658"/>
    </row>
    <row r="63659" spans="1:141" s="116" customFormat="1">
      <c r="A63659" s="136"/>
      <c r="CM63659" s="111"/>
      <c r="CQ63659" s="111"/>
      <c r="EF63659"/>
      <c r="EG63659"/>
      <c r="EH63659"/>
      <c r="EI63659"/>
      <c r="EJ63659"/>
      <c r="EK63659"/>
    </row>
    <row r="63660" spans="1:141" s="116" customFormat="1">
      <c r="A63660" s="136"/>
      <c r="CM63660" s="111"/>
      <c r="CQ63660" s="111"/>
      <c r="EF63660"/>
      <c r="EG63660"/>
      <c r="EH63660"/>
      <c r="EI63660"/>
      <c r="EJ63660"/>
      <c r="EK63660"/>
    </row>
    <row r="63661" spans="1:141" s="116" customFormat="1">
      <c r="A63661" s="136"/>
      <c r="CM63661" s="111"/>
      <c r="CQ63661" s="111"/>
      <c r="EF63661"/>
      <c r="EG63661"/>
      <c r="EH63661"/>
      <c r="EI63661"/>
      <c r="EJ63661"/>
      <c r="EK63661"/>
    </row>
    <row r="63662" spans="1:141" s="116" customFormat="1">
      <c r="A63662" s="136"/>
      <c r="CM63662" s="111"/>
      <c r="CQ63662" s="111"/>
      <c r="EF63662"/>
      <c r="EG63662"/>
      <c r="EH63662"/>
      <c r="EI63662"/>
      <c r="EJ63662"/>
      <c r="EK63662"/>
    </row>
    <row r="63663" spans="1:141" s="116" customFormat="1">
      <c r="A63663" s="136"/>
      <c r="CM63663" s="111"/>
      <c r="CQ63663" s="111"/>
      <c r="EF63663"/>
      <c r="EG63663"/>
      <c r="EH63663"/>
      <c r="EI63663"/>
      <c r="EJ63663"/>
      <c r="EK63663"/>
    </row>
    <row r="63664" spans="1:141" s="116" customFormat="1">
      <c r="A63664" s="136"/>
      <c r="CM63664" s="111"/>
      <c r="CQ63664" s="111"/>
      <c r="EF63664"/>
      <c r="EG63664"/>
      <c r="EH63664"/>
      <c r="EI63664"/>
      <c r="EJ63664"/>
      <c r="EK63664"/>
    </row>
    <row r="63665" spans="1:141" s="116" customFormat="1">
      <c r="A63665" s="136"/>
      <c r="CM63665" s="111"/>
      <c r="CQ63665" s="111"/>
      <c r="EF63665"/>
      <c r="EG63665"/>
      <c r="EH63665"/>
      <c r="EI63665"/>
      <c r="EJ63665"/>
      <c r="EK63665"/>
    </row>
    <row r="63666" spans="1:141" s="116" customFormat="1">
      <c r="A63666" s="136"/>
      <c r="CM63666" s="111"/>
      <c r="CQ63666" s="111"/>
      <c r="EF63666"/>
      <c r="EG63666"/>
      <c r="EH63666"/>
      <c r="EI63666"/>
      <c r="EJ63666"/>
      <c r="EK63666"/>
    </row>
    <row r="63667" spans="1:141" s="116" customFormat="1">
      <c r="A63667" s="136"/>
      <c r="CM63667" s="111"/>
      <c r="CQ63667" s="111"/>
      <c r="EF63667"/>
      <c r="EG63667"/>
      <c r="EH63667"/>
      <c r="EI63667"/>
      <c r="EJ63667"/>
      <c r="EK63667"/>
    </row>
    <row r="63668" spans="1:141" s="116" customFormat="1">
      <c r="A63668" s="136"/>
      <c r="CM63668" s="111"/>
      <c r="CQ63668" s="111"/>
      <c r="EF63668"/>
      <c r="EG63668"/>
      <c r="EH63668"/>
      <c r="EI63668"/>
      <c r="EJ63668"/>
      <c r="EK63668"/>
    </row>
    <row r="63669" spans="1:141" s="116" customFormat="1">
      <c r="A63669" s="136"/>
      <c r="CM63669" s="111"/>
      <c r="CQ63669" s="111"/>
      <c r="EF63669"/>
      <c r="EG63669"/>
      <c r="EH63669"/>
      <c r="EI63669"/>
      <c r="EJ63669"/>
      <c r="EK63669"/>
    </row>
    <row r="63670" spans="1:141" s="116" customFormat="1">
      <c r="A63670" s="136"/>
      <c r="CM63670" s="111"/>
      <c r="CQ63670" s="111"/>
      <c r="EF63670"/>
      <c r="EG63670"/>
      <c r="EH63670"/>
      <c r="EI63670"/>
      <c r="EJ63670"/>
      <c r="EK63670"/>
    </row>
    <row r="63671" spans="1:141" s="116" customFormat="1">
      <c r="A63671" s="136"/>
      <c r="CM63671" s="111"/>
      <c r="CQ63671" s="111"/>
      <c r="EF63671"/>
      <c r="EG63671"/>
      <c r="EH63671"/>
      <c r="EI63671"/>
      <c r="EJ63671"/>
      <c r="EK63671"/>
    </row>
    <row r="63672" spans="1:141" s="116" customFormat="1">
      <c r="A63672" s="136"/>
      <c r="CM63672" s="111"/>
      <c r="CQ63672" s="111"/>
      <c r="EF63672"/>
      <c r="EG63672"/>
      <c r="EH63672"/>
      <c r="EI63672"/>
      <c r="EJ63672"/>
      <c r="EK63672"/>
    </row>
    <row r="63673" spans="1:141" s="116" customFormat="1">
      <c r="A63673" s="136"/>
      <c r="CM63673" s="111"/>
      <c r="CQ63673" s="111"/>
      <c r="EF63673"/>
      <c r="EG63673"/>
      <c r="EH63673"/>
      <c r="EI63673"/>
      <c r="EJ63673"/>
      <c r="EK63673"/>
    </row>
    <row r="63674" spans="1:141" s="116" customFormat="1">
      <c r="A63674" s="136"/>
      <c r="CM63674" s="111"/>
      <c r="CQ63674" s="111"/>
      <c r="EF63674"/>
      <c r="EG63674"/>
      <c r="EH63674"/>
      <c r="EI63674"/>
      <c r="EJ63674"/>
      <c r="EK63674"/>
    </row>
    <row r="63675" spans="1:141" s="116" customFormat="1">
      <c r="A63675" s="136"/>
      <c r="CM63675" s="111"/>
      <c r="CQ63675" s="111"/>
      <c r="EF63675"/>
      <c r="EG63675"/>
      <c r="EH63675"/>
      <c r="EI63675"/>
      <c r="EJ63675"/>
      <c r="EK63675"/>
    </row>
    <row r="63676" spans="1:141" s="116" customFormat="1">
      <c r="A63676" s="136"/>
      <c r="CM63676" s="111"/>
      <c r="CQ63676" s="111"/>
      <c r="EF63676"/>
      <c r="EG63676"/>
      <c r="EH63676"/>
      <c r="EI63676"/>
      <c r="EJ63676"/>
      <c r="EK63676"/>
    </row>
    <row r="63677" spans="1:141" s="116" customFormat="1">
      <c r="A63677" s="136"/>
      <c r="CM63677" s="111"/>
      <c r="CQ63677" s="111"/>
      <c r="EF63677"/>
      <c r="EG63677"/>
      <c r="EH63677"/>
      <c r="EI63677"/>
      <c r="EJ63677"/>
      <c r="EK63677"/>
    </row>
    <row r="63678" spans="1:141" s="116" customFormat="1">
      <c r="A63678" s="136"/>
      <c r="CM63678" s="111"/>
      <c r="CQ63678" s="111"/>
      <c r="EF63678"/>
      <c r="EG63678"/>
      <c r="EH63678"/>
      <c r="EI63678"/>
      <c r="EJ63678"/>
      <c r="EK63678"/>
    </row>
    <row r="63679" spans="1:141" s="116" customFormat="1">
      <c r="A63679" s="136"/>
      <c r="CM63679" s="111"/>
      <c r="CQ63679" s="111"/>
      <c r="EF63679"/>
      <c r="EG63679"/>
      <c r="EH63679"/>
      <c r="EI63679"/>
      <c r="EJ63679"/>
      <c r="EK63679"/>
    </row>
    <row r="63680" spans="1:141" s="116" customFormat="1">
      <c r="A63680" s="136"/>
      <c r="CM63680" s="111"/>
      <c r="CQ63680" s="111"/>
      <c r="EF63680"/>
      <c r="EG63680"/>
      <c r="EH63680"/>
      <c r="EI63680"/>
      <c r="EJ63680"/>
      <c r="EK63680"/>
    </row>
    <row r="63681" spans="1:141" s="116" customFormat="1">
      <c r="A63681" s="136"/>
      <c r="CM63681" s="111"/>
      <c r="CQ63681" s="111"/>
      <c r="EF63681"/>
      <c r="EG63681"/>
      <c r="EH63681"/>
      <c r="EI63681"/>
      <c r="EJ63681"/>
      <c r="EK63681"/>
    </row>
    <row r="63682" spans="1:141" s="116" customFormat="1">
      <c r="A63682" s="136"/>
      <c r="CM63682" s="111"/>
      <c r="CQ63682" s="111"/>
      <c r="EF63682"/>
      <c r="EG63682"/>
      <c r="EH63682"/>
      <c r="EI63682"/>
      <c r="EJ63682"/>
      <c r="EK63682"/>
    </row>
    <row r="63683" spans="1:141" s="116" customFormat="1">
      <c r="A63683" s="136"/>
      <c r="CM63683" s="111"/>
      <c r="CQ63683" s="111"/>
      <c r="EF63683"/>
      <c r="EG63683"/>
      <c r="EH63683"/>
      <c r="EI63683"/>
      <c r="EJ63683"/>
      <c r="EK63683"/>
    </row>
    <row r="63684" spans="1:141" s="116" customFormat="1">
      <c r="A63684" s="136"/>
      <c r="CM63684" s="111"/>
      <c r="CQ63684" s="111"/>
      <c r="EF63684"/>
      <c r="EG63684"/>
      <c r="EH63684"/>
      <c r="EI63684"/>
      <c r="EJ63684"/>
      <c r="EK63684"/>
    </row>
    <row r="63685" spans="1:141" s="116" customFormat="1">
      <c r="A63685" s="136"/>
      <c r="CM63685" s="111"/>
      <c r="CQ63685" s="111"/>
      <c r="EF63685"/>
      <c r="EG63685"/>
      <c r="EH63685"/>
      <c r="EI63685"/>
      <c r="EJ63685"/>
      <c r="EK63685"/>
    </row>
    <row r="63686" spans="1:141" s="116" customFormat="1">
      <c r="A63686" s="136"/>
      <c r="CM63686" s="111"/>
      <c r="CQ63686" s="111"/>
      <c r="EF63686"/>
      <c r="EG63686"/>
      <c r="EH63686"/>
      <c r="EI63686"/>
      <c r="EJ63686"/>
      <c r="EK63686"/>
    </row>
    <row r="63687" spans="1:141" s="116" customFormat="1">
      <c r="A63687" s="136"/>
      <c r="CM63687" s="111"/>
      <c r="CQ63687" s="111"/>
      <c r="EF63687"/>
      <c r="EG63687"/>
      <c r="EH63687"/>
      <c r="EI63687"/>
      <c r="EJ63687"/>
      <c r="EK63687"/>
    </row>
    <row r="63688" spans="1:141" s="116" customFormat="1">
      <c r="A63688" s="136"/>
      <c r="CM63688" s="111"/>
      <c r="CQ63688" s="111"/>
      <c r="EF63688"/>
      <c r="EG63688"/>
      <c r="EH63688"/>
      <c r="EI63688"/>
      <c r="EJ63688"/>
      <c r="EK63688"/>
    </row>
    <row r="63689" spans="1:141" s="116" customFormat="1">
      <c r="A63689" s="136"/>
      <c r="CM63689" s="111"/>
      <c r="CQ63689" s="111"/>
      <c r="EF63689"/>
      <c r="EG63689"/>
      <c r="EH63689"/>
      <c r="EI63689"/>
      <c r="EJ63689"/>
      <c r="EK63689"/>
    </row>
    <row r="63690" spans="1:141" s="116" customFormat="1">
      <c r="A63690" s="136"/>
      <c r="CM63690" s="111"/>
      <c r="CQ63690" s="111"/>
      <c r="EF63690"/>
      <c r="EG63690"/>
      <c r="EH63690"/>
      <c r="EI63690"/>
      <c r="EJ63690"/>
      <c r="EK63690"/>
    </row>
    <row r="63691" spans="1:141" s="116" customFormat="1">
      <c r="A63691" s="136"/>
      <c r="CM63691" s="111"/>
      <c r="CQ63691" s="111"/>
      <c r="EF63691"/>
      <c r="EG63691"/>
      <c r="EH63691"/>
      <c r="EI63691"/>
      <c r="EJ63691"/>
      <c r="EK63691"/>
    </row>
    <row r="63692" spans="1:141" s="116" customFormat="1">
      <c r="A63692" s="136"/>
      <c r="CM63692" s="111"/>
      <c r="CQ63692" s="111"/>
      <c r="EF63692"/>
      <c r="EG63692"/>
      <c r="EH63692"/>
      <c r="EI63692"/>
      <c r="EJ63692"/>
      <c r="EK63692"/>
    </row>
    <row r="63693" spans="1:141" s="116" customFormat="1">
      <c r="A63693" s="136"/>
      <c r="CM63693" s="111"/>
      <c r="CQ63693" s="111"/>
      <c r="EF63693"/>
      <c r="EG63693"/>
      <c r="EH63693"/>
      <c r="EI63693"/>
      <c r="EJ63693"/>
      <c r="EK63693"/>
    </row>
    <row r="63694" spans="1:141" s="116" customFormat="1">
      <c r="A63694" s="136"/>
      <c r="CM63694" s="111"/>
      <c r="CQ63694" s="111"/>
      <c r="EF63694"/>
      <c r="EG63694"/>
      <c r="EH63694"/>
      <c r="EI63694"/>
      <c r="EJ63694"/>
      <c r="EK63694"/>
    </row>
    <row r="63695" spans="1:141" s="116" customFormat="1">
      <c r="A63695" s="136"/>
      <c r="CM63695" s="111"/>
      <c r="CQ63695" s="111"/>
      <c r="EF63695"/>
      <c r="EG63695"/>
      <c r="EH63695"/>
      <c r="EI63695"/>
      <c r="EJ63695"/>
      <c r="EK63695"/>
    </row>
    <row r="63696" spans="1:141" s="116" customFormat="1">
      <c r="A63696" s="136"/>
      <c r="CM63696" s="111"/>
      <c r="CQ63696" s="111"/>
      <c r="EF63696"/>
      <c r="EG63696"/>
      <c r="EH63696"/>
      <c r="EI63696"/>
      <c r="EJ63696"/>
      <c r="EK63696"/>
    </row>
    <row r="63697" spans="1:141" s="116" customFormat="1">
      <c r="A63697" s="136"/>
      <c r="CM63697" s="111"/>
      <c r="CQ63697" s="111"/>
      <c r="EF63697"/>
      <c r="EG63697"/>
      <c r="EH63697"/>
      <c r="EI63697"/>
      <c r="EJ63697"/>
      <c r="EK63697"/>
    </row>
    <row r="63698" spans="1:141" s="116" customFormat="1">
      <c r="A63698" s="136"/>
      <c r="CM63698" s="111"/>
      <c r="CQ63698" s="111"/>
      <c r="EF63698"/>
      <c r="EG63698"/>
      <c r="EH63698"/>
      <c r="EI63698"/>
      <c r="EJ63698"/>
      <c r="EK63698"/>
    </row>
    <row r="63699" spans="1:141" s="116" customFormat="1">
      <c r="A63699" s="136"/>
      <c r="CM63699" s="111"/>
      <c r="CQ63699" s="111"/>
      <c r="EF63699"/>
      <c r="EG63699"/>
      <c r="EH63699"/>
      <c r="EI63699"/>
      <c r="EJ63699"/>
      <c r="EK63699"/>
    </row>
    <row r="63700" spans="1:141" s="116" customFormat="1">
      <c r="A63700" s="136"/>
      <c r="CM63700" s="111"/>
      <c r="CQ63700" s="111"/>
      <c r="EF63700"/>
      <c r="EG63700"/>
      <c r="EH63700"/>
      <c r="EI63700"/>
      <c r="EJ63700"/>
      <c r="EK63700"/>
    </row>
    <row r="63701" spans="1:141" s="116" customFormat="1">
      <c r="A63701" s="136"/>
      <c r="CM63701" s="111"/>
      <c r="CQ63701" s="111"/>
      <c r="EF63701"/>
      <c r="EG63701"/>
      <c r="EH63701"/>
      <c r="EI63701"/>
      <c r="EJ63701"/>
      <c r="EK63701"/>
    </row>
    <row r="63702" spans="1:141" s="116" customFormat="1">
      <c r="A63702" s="136"/>
      <c r="CM63702" s="111"/>
      <c r="CQ63702" s="111"/>
      <c r="EF63702"/>
      <c r="EG63702"/>
      <c r="EH63702"/>
      <c r="EI63702"/>
      <c r="EJ63702"/>
      <c r="EK63702"/>
    </row>
    <row r="63703" spans="1:141" s="116" customFormat="1">
      <c r="A63703" s="136"/>
      <c r="CM63703" s="111"/>
      <c r="CQ63703" s="111"/>
      <c r="EF63703"/>
      <c r="EG63703"/>
      <c r="EH63703"/>
      <c r="EI63703"/>
      <c r="EJ63703"/>
      <c r="EK63703"/>
    </row>
    <row r="63704" spans="1:141" s="116" customFormat="1">
      <c r="A63704" s="136"/>
      <c r="CM63704" s="111"/>
      <c r="CQ63704" s="111"/>
      <c r="EF63704"/>
      <c r="EG63704"/>
      <c r="EH63704"/>
      <c r="EI63704"/>
      <c r="EJ63704"/>
      <c r="EK63704"/>
    </row>
    <row r="63705" spans="1:141" s="116" customFormat="1">
      <c r="A63705" s="136"/>
      <c r="CM63705" s="111"/>
      <c r="CQ63705" s="111"/>
      <c r="EF63705"/>
      <c r="EG63705"/>
      <c r="EH63705"/>
      <c r="EI63705"/>
      <c r="EJ63705"/>
      <c r="EK63705"/>
    </row>
    <row r="63706" spans="1:141" s="116" customFormat="1">
      <c r="A63706" s="136"/>
      <c r="CM63706" s="111"/>
      <c r="CQ63706" s="111"/>
      <c r="EF63706"/>
      <c r="EG63706"/>
      <c r="EH63706"/>
      <c r="EI63706"/>
      <c r="EJ63706"/>
      <c r="EK63706"/>
    </row>
    <row r="63707" spans="1:141" s="116" customFormat="1">
      <c r="A63707" s="136"/>
      <c r="CM63707" s="111"/>
      <c r="CQ63707" s="111"/>
      <c r="EF63707"/>
      <c r="EG63707"/>
      <c r="EH63707"/>
      <c r="EI63707"/>
      <c r="EJ63707"/>
      <c r="EK63707"/>
    </row>
    <row r="63708" spans="1:141" s="116" customFormat="1">
      <c r="A63708" s="136"/>
      <c r="CM63708" s="111"/>
      <c r="CQ63708" s="111"/>
      <c r="EF63708"/>
      <c r="EG63708"/>
      <c r="EH63708"/>
      <c r="EI63708"/>
      <c r="EJ63708"/>
      <c r="EK63708"/>
    </row>
    <row r="63709" spans="1:141" s="116" customFormat="1">
      <c r="A63709" s="136"/>
      <c r="CM63709" s="111"/>
      <c r="CQ63709" s="111"/>
      <c r="EF63709"/>
      <c r="EG63709"/>
      <c r="EH63709"/>
      <c r="EI63709"/>
      <c r="EJ63709"/>
      <c r="EK63709"/>
    </row>
    <row r="63710" spans="1:141" s="116" customFormat="1">
      <c r="A63710" s="136"/>
      <c r="CM63710" s="111"/>
      <c r="CQ63710" s="111"/>
      <c r="EF63710"/>
      <c r="EG63710"/>
      <c r="EH63710"/>
      <c r="EI63710"/>
      <c r="EJ63710"/>
      <c r="EK63710"/>
    </row>
    <row r="63711" spans="1:141" s="116" customFormat="1">
      <c r="A63711" s="136"/>
      <c r="CM63711" s="111"/>
      <c r="CQ63711" s="111"/>
      <c r="EF63711"/>
      <c r="EG63711"/>
      <c r="EH63711"/>
      <c r="EI63711"/>
      <c r="EJ63711"/>
      <c r="EK63711"/>
    </row>
    <row r="63712" spans="1:141" s="116" customFormat="1">
      <c r="A63712" s="136"/>
      <c r="CM63712" s="111"/>
      <c r="CQ63712" s="111"/>
      <c r="EF63712"/>
      <c r="EG63712"/>
      <c r="EH63712"/>
      <c r="EI63712"/>
      <c r="EJ63712"/>
      <c r="EK63712"/>
    </row>
    <row r="63713" spans="1:141" s="116" customFormat="1">
      <c r="A63713" s="136"/>
      <c r="CM63713" s="111"/>
      <c r="CQ63713" s="111"/>
      <c r="EF63713"/>
      <c r="EG63713"/>
      <c r="EH63713"/>
      <c r="EI63713"/>
      <c r="EJ63713"/>
      <c r="EK63713"/>
    </row>
    <row r="63714" spans="1:141" s="116" customFormat="1">
      <c r="A63714" s="136"/>
      <c r="CM63714" s="111"/>
      <c r="CQ63714" s="111"/>
      <c r="EF63714"/>
      <c r="EG63714"/>
      <c r="EH63714"/>
      <c r="EI63714"/>
      <c r="EJ63714"/>
      <c r="EK63714"/>
    </row>
    <row r="63715" spans="1:141" s="116" customFormat="1">
      <c r="A63715" s="136"/>
      <c r="CM63715" s="111"/>
      <c r="CQ63715" s="111"/>
      <c r="EF63715"/>
      <c r="EG63715"/>
      <c r="EH63715"/>
      <c r="EI63715"/>
      <c r="EJ63715"/>
      <c r="EK63715"/>
    </row>
    <row r="63716" spans="1:141" s="116" customFormat="1">
      <c r="A63716" s="136"/>
      <c r="CM63716" s="111"/>
      <c r="CQ63716" s="111"/>
      <c r="EF63716"/>
      <c r="EG63716"/>
      <c r="EH63716"/>
      <c r="EI63716"/>
      <c r="EJ63716"/>
      <c r="EK63716"/>
    </row>
    <row r="63717" spans="1:141" s="116" customFormat="1">
      <c r="A63717" s="136"/>
      <c r="CM63717" s="111"/>
      <c r="CQ63717" s="111"/>
      <c r="EF63717"/>
      <c r="EG63717"/>
      <c r="EH63717"/>
      <c r="EI63717"/>
      <c r="EJ63717"/>
      <c r="EK63717"/>
    </row>
    <row r="63718" spans="1:141" s="116" customFormat="1">
      <c r="A63718" s="136"/>
      <c r="CM63718" s="111"/>
      <c r="CQ63718" s="111"/>
      <c r="EF63718"/>
      <c r="EG63718"/>
      <c r="EH63718"/>
      <c r="EI63718"/>
      <c r="EJ63718"/>
      <c r="EK63718"/>
    </row>
    <row r="63719" spans="1:141" s="116" customFormat="1">
      <c r="A63719" s="136"/>
      <c r="CM63719" s="111"/>
      <c r="CQ63719" s="111"/>
      <c r="EF63719"/>
      <c r="EG63719"/>
      <c r="EH63719"/>
      <c r="EI63719"/>
      <c r="EJ63719"/>
      <c r="EK63719"/>
    </row>
    <row r="63720" spans="1:141" s="116" customFormat="1">
      <c r="A63720" s="136"/>
      <c r="CM63720" s="111"/>
      <c r="CQ63720" s="111"/>
      <c r="EF63720"/>
      <c r="EG63720"/>
      <c r="EH63720"/>
      <c r="EI63720"/>
      <c r="EJ63720"/>
      <c r="EK63720"/>
    </row>
    <row r="63721" spans="1:141" s="116" customFormat="1">
      <c r="A63721" s="136"/>
      <c r="CM63721" s="111"/>
      <c r="CQ63721" s="111"/>
      <c r="EF63721"/>
      <c r="EG63721"/>
      <c r="EH63721"/>
      <c r="EI63721"/>
      <c r="EJ63721"/>
      <c r="EK63721"/>
    </row>
    <row r="63722" spans="1:141" s="116" customFormat="1">
      <c r="A63722" s="136"/>
      <c r="CM63722" s="111"/>
      <c r="CQ63722" s="111"/>
      <c r="EF63722"/>
      <c r="EG63722"/>
      <c r="EH63722"/>
      <c r="EI63722"/>
      <c r="EJ63722"/>
      <c r="EK63722"/>
    </row>
    <row r="63723" spans="1:141" s="116" customFormat="1">
      <c r="A63723" s="136"/>
      <c r="CM63723" s="111"/>
      <c r="CQ63723" s="111"/>
      <c r="EF63723"/>
      <c r="EG63723"/>
      <c r="EH63723"/>
      <c r="EI63723"/>
      <c r="EJ63723"/>
      <c r="EK63723"/>
    </row>
    <row r="63724" spans="1:141" s="116" customFormat="1">
      <c r="A63724" s="136"/>
      <c r="CM63724" s="111"/>
      <c r="CQ63724" s="111"/>
      <c r="EF63724"/>
      <c r="EG63724"/>
      <c r="EH63724"/>
      <c r="EI63724"/>
      <c r="EJ63724"/>
      <c r="EK63724"/>
    </row>
    <row r="63725" spans="1:141" s="116" customFormat="1">
      <c r="A63725" s="136"/>
      <c r="CM63725" s="111"/>
      <c r="CQ63725" s="111"/>
      <c r="EF63725"/>
      <c r="EG63725"/>
      <c r="EH63725"/>
      <c r="EI63725"/>
      <c r="EJ63725"/>
      <c r="EK63725"/>
    </row>
    <row r="63726" spans="1:141" s="116" customFormat="1">
      <c r="A63726" s="136"/>
      <c r="CM63726" s="111"/>
      <c r="CQ63726" s="111"/>
      <c r="EF63726"/>
      <c r="EG63726"/>
      <c r="EH63726"/>
      <c r="EI63726"/>
      <c r="EJ63726"/>
      <c r="EK63726"/>
    </row>
    <row r="63727" spans="1:141" s="116" customFormat="1">
      <c r="A63727" s="136"/>
      <c r="CM63727" s="111"/>
      <c r="CQ63727" s="111"/>
      <c r="EF63727"/>
      <c r="EG63727"/>
      <c r="EH63727"/>
      <c r="EI63727"/>
      <c r="EJ63727"/>
      <c r="EK63727"/>
    </row>
    <row r="63728" spans="1:141" s="116" customFormat="1">
      <c r="A63728" s="136"/>
      <c r="CM63728" s="111"/>
      <c r="CQ63728" s="111"/>
      <c r="EF63728"/>
      <c r="EG63728"/>
      <c r="EH63728"/>
      <c r="EI63728"/>
      <c r="EJ63728"/>
      <c r="EK63728"/>
    </row>
    <row r="63729" spans="1:141" s="116" customFormat="1">
      <c r="A63729" s="136"/>
      <c r="CM63729" s="111"/>
      <c r="CQ63729" s="111"/>
      <c r="EF63729"/>
      <c r="EG63729"/>
      <c r="EH63729"/>
      <c r="EI63729"/>
      <c r="EJ63729"/>
      <c r="EK63729"/>
    </row>
    <row r="63730" spans="1:141" s="116" customFormat="1">
      <c r="A63730" s="136"/>
      <c r="CM63730" s="111"/>
      <c r="CQ63730" s="111"/>
      <c r="EF63730"/>
      <c r="EG63730"/>
      <c r="EH63730"/>
      <c r="EI63730"/>
      <c r="EJ63730"/>
      <c r="EK63730"/>
    </row>
    <row r="63731" spans="1:141" s="116" customFormat="1">
      <c r="A63731" s="136"/>
      <c r="CM63731" s="111"/>
      <c r="CQ63731" s="111"/>
      <c r="EF63731"/>
      <c r="EG63731"/>
      <c r="EH63731"/>
      <c r="EI63731"/>
      <c r="EJ63731"/>
      <c r="EK63731"/>
    </row>
    <row r="63732" spans="1:141" s="116" customFormat="1">
      <c r="A63732" s="136"/>
      <c r="CM63732" s="111"/>
      <c r="CQ63732" s="111"/>
      <c r="EF63732"/>
      <c r="EG63732"/>
      <c r="EH63732"/>
      <c r="EI63732"/>
      <c r="EJ63732"/>
      <c r="EK63732"/>
    </row>
    <row r="63733" spans="1:141" s="116" customFormat="1">
      <c r="A63733" s="136"/>
      <c r="CM63733" s="111"/>
      <c r="CQ63733" s="111"/>
      <c r="EF63733"/>
      <c r="EG63733"/>
      <c r="EH63733"/>
      <c r="EI63733"/>
      <c r="EJ63733"/>
      <c r="EK63733"/>
    </row>
    <row r="63734" spans="1:141" s="116" customFormat="1">
      <c r="A63734" s="136"/>
      <c r="CM63734" s="111"/>
      <c r="CQ63734" s="111"/>
      <c r="EF63734"/>
      <c r="EG63734"/>
      <c r="EH63734"/>
      <c r="EI63734"/>
      <c r="EJ63734"/>
      <c r="EK63734"/>
    </row>
    <row r="63735" spans="1:141" s="116" customFormat="1">
      <c r="A63735" s="136"/>
      <c r="CM63735" s="111"/>
      <c r="CQ63735" s="111"/>
      <c r="EF63735"/>
      <c r="EG63735"/>
      <c r="EH63735"/>
      <c r="EI63735"/>
      <c r="EJ63735"/>
      <c r="EK63735"/>
    </row>
    <row r="63736" spans="1:141" s="116" customFormat="1">
      <c r="A63736" s="136"/>
      <c r="CM63736" s="111"/>
      <c r="CQ63736" s="111"/>
      <c r="EF63736"/>
      <c r="EG63736"/>
      <c r="EH63736"/>
      <c r="EI63736"/>
      <c r="EJ63736"/>
      <c r="EK63736"/>
    </row>
    <row r="63737" spans="1:141" s="116" customFormat="1">
      <c r="A63737" s="136"/>
      <c r="CM63737" s="111"/>
      <c r="CQ63737" s="111"/>
      <c r="EF63737"/>
      <c r="EG63737"/>
      <c r="EH63737"/>
      <c r="EI63737"/>
      <c r="EJ63737"/>
      <c r="EK63737"/>
    </row>
    <row r="63738" spans="1:141" s="116" customFormat="1">
      <c r="A63738" s="136"/>
      <c r="CM63738" s="111"/>
      <c r="CQ63738" s="111"/>
      <c r="EF63738"/>
      <c r="EG63738"/>
      <c r="EH63738"/>
      <c r="EI63738"/>
      <c r="EJ63738"/>
      <c r="EK63738"/>
    </row>
    <row r="63739" spans="1:141" s="116" customFormat="1">
      <c r="A63739" s="136"/>
      <c r="CM63739" s="111"/>
      <c r="CQ63739" s="111"/>
      <c r="EF63739"/>
      <c r="EG63739"/>
      <c r="EH63739"/>
      <c r="EI63739"/>
      <c r="EJ63739"/>
      <c r="EK63739"/>
    </row>
    <row r="63740" spans="1:141" s="116" customFormat="1">
      <c r="A63740" s="136"/>
      <c r="CM63740" s="111"/>
      <c r="CQ63740" s="111"/>
      <c r="EF63740"/>
      <c r="EG63740"/>
      <c r="EH63740"/>
      <c r="EI63740"/>
      <c r="EJ63740"/>
      <c r="EK63740"/>
    </row>
    <row r="63741" spans="1:141" s="116" customFormat="1">
      <c r="A63741" s="136"/>
      <c r="CM63741" s="111"/>
      <c r="CQ63741" s="111"/>
      <c r="EF63741"/>
      <c r="EG63741"/>
      <c r="EH63741"/>
      <c r="EI63741"/>
      <c r="EJ63741"/>
      <c r="EK63741"/>
    </row>
    <row r="63742" spans="1:141" s="116" customFormat="1">
      <c r="A63742" s="136"/>
      <c r="CM63742" s="111"/>
      <c r="CQ63742" s="111"/>
      <c r="EF63742"/>
      <c r="EG63742"/>
      <c r="EH63742"/>
      <c r="EI63742"/>
      <c r="EJ63742"/>
      <c r="EK63742"/>
    </row>
    <row r="63743" spans="1:141" s="116" customFormat="1">
      <c r="A63743" s="136"/>
      <c r="CM63743" s="111"/>
      <c r="CQ63743" s="111"/>
      <c r="EF63743"/>
      <c r="EG63743"/>
      <c r="EH63743"/>
      <c r="EI63743"/>
      <c r="EJ63743"/>
      <c r="EK63743"/>
    </row>
    <row r="63744" spans="1:141" s="116" customFormat="1">
      <c r="A63744" s="136"/>
      <c r="CM63744" s="111"/>
      <c r="CQ63744" s="111"/>
      <c r="EF63744"/>
      <c r="EG63744"/>
      <c r="EH63744"/>
      <c r="EI63744"/>
      <c r="EJ63744"/>
      <c r="EK63744"/>
    </row>
    <row r="63745" spans="1:141" s="116" customFormat="1">
      <c r="A63745" s="136"/>
      <c r="CM63745" s="111"/>
      <c r="CQ63745" s="111"/>
      <c r="EF63745"/>
      <c r="EG63745"/>
      <c r="EH63745"/>
      <c r="EI63745"/>
      <c r="EJ63745"/>
      <c r="EK63745"/>
    </row>
    <row r="63746" spans="1:141" s="116" customFormat="1">
      <c r="A63746" s="136"/>
      <c r="CM63746" s="111"/>
      <c r="CQ63746" s="111"/>
      <c r="EF63746"/>
      <c r="EG63746"/>
      <c r="EH63746"/>
      <c r="EI63746"/>
      <c r="EJ63746"/>
      <c r="EK63746"/>
    </row>
    <row r="63747" spans="1:141" s="116" customFormat="1">
      <c r="A63747" s="136"/>
      <c r="CM63747" s="111"/>
      <c r="CQ63747" s="111"/>
      <c r="EF63747"/>
      <c r="EG63747"/>
      <c r="EH63747"/>
      <c r="EI63747"/>
      <c r="EJ63747"/>
      <c r="EK63747"/>
    </row>
    <row r="63748" spans="1:141" s="116" customFormat="1">
      <c r="A63748" s="136"/>
      <c r="CM63748" s="111"/>
      <c r="CQ63748" s="111"/>
      <c r="EF63748"/>
      <c r="EG63748"/>
      <c r="EH63748"/>
      <c r="EI63748"/>
      <c r="EJ63748"/>
      <c r="EK63748"/>
    </row>
    <row r="63749" spans="1:141" s="116" customFormat="1">
      <c r="A63749" s="136"/>
      <c r="CM63749" s="111"/>
      <c r="CQ63749" s="111"/>
      <c r="EF63749"/>
      <c r="EG63749"/>
      <c r="EH63749"/>
      <c r="EI63749"/>
      <c r="EJ63749"/>
      <c r="EK63749"/>
    </row>
    <row r="63750" spans="1:141" s="116" customFormat="1">
      <c r="A63750" s="136"/>
      <c r="CM63750" s="111"/>
      <c r="CQ63750" s="111"/>
      <c r="EF63750"/>
      <c r="EG63750"/>
      <c r="EH63750"/>
      <c r="EI63750"/>
      <c r="EJ63750"/>
      <c r="EK63750"/>
    </row>
    <row r="63751" spans="1:141" s="116" customFormat="1">
      <c r="A63751" s="136"/>
      <c r="CM63751" s="111"/>
      <c r="CQ63751" s="111"/>
      <c r="EF63751"/>
      <c r="EG63751"/>
      <c r="EH63751"/>
      <c r="EI63751"/>
      <c r="EJ63751"/>
      <c r="EK63751"/>
    </row>
    <row r="63752" spans="1:141" s="116" customFormat="1">
      <c r="A63752" s="136"/>
      <c r="CM63752" s="111"/>
      <c r="CQ63752" s="111"/>
      <c r="EF63752"/>
      <c r="EG63752"/>
      <c r="EH63752"/>
      <c r="EI63752"/>
      <c r="EJ63752"/>
      <c r="EK63752"/>
    </row>
    <row r="63753" spans="1:141" s="116" customFormat="1">
      <c r="A63753" s="136"/>
      <c r="CM63753" s="111"/>
      <c r="CQ63753" s="111"/>
      <c r="EF63753"/>
      <c r="EG63753"/>
      <c r="EH63753"/>
      <c r="EI63753"/>
      <c r="EJ63753"/>
      <c r="EK63753"/>
    </row>
    <row r="63754" spans="1:141" s="116" customFormat="1">
      <c r="A63754" s="136"/>
      <c r="CM63754" s="111"/>
      <c r="CQ63754" s="111"/>
      <c r="EF63754"/>
      <c r="EG63754"/>
      <c r="EH63754"/>
      <c r="EI63754"/>
      <c r="EJ63754"/>
      <c r="EK63754"/>
    </row>
    <row r="63755" spans="1:141" s="116" customFormat="1">
      <c r="A63755" s="136"/>
      <c r="CM63755" s="111"/>
      <c r="CQ63755" s="111"/>
      <c r="EF63755"/>
      <c r="EG63755"/>
      <c r="EH63755"/>
      <c r="EI63755"/>
      <c r="EJ63755"/>
      <c r="EK63755"/>
    </row>
    <row r="63756" spans="1:141" s="116" customFormat="1">
      <c r="A63756" s="136"/>
      <c r="CM63756" s="111"/>
      <c r="CQ63756" s="111"/>
      <c r="EF63756"/>
      <c r="EG63756"/>
      <c r="EH63756"/>
      <c r="EI63756"/>
      <c r="EJ63756"/>
      <c r="EK63756"/>
    </row>
    <row r="63757" spans="1:141" s="116" customFormat="1">
      <c r="A63757" s="136"/>
      <c r="CM63757" s="111"/>
      <c r="CQ63757" s="111"/>
      <c r="EF63757"/>
      <c r="EG63757"/>
      <c r="EH63757"/>
      <c r="EI63757"/>
      <c r="EJ63757"/>
      <c r="EK63757"/>
    </row>
    <row r="63758" spans="1:141" s="116" customFormat="1">
      <c r="A63758" s="136"/>
      <c r="CM63758" s="111"/>
      <c r="CQ63758" s="111"/>
      <c r="EF63758"/>
      <c r="EG63758"/>
      <c r="EH63758"/>
      <c r="EI63758"/>
      <c r="EJ63758"/>
      <c r="EK63758"/>
    </row>
    <row r="63759" spans="1:141" s="116" customFormat="1">
      <c r="A63759" s="136"/>
      <c r="CM63759" s="111"/>
      <c r="CQ63759" s="111"/>
      <c r="EF63759"/>
      <c r="EG63759"/>
      <c r="EH63759"/>
      <c r="EI63759"/>
      <c r="EJ63759"/>
      <c r="EK63759"/>
    </row>
    <row r="63760" spans="1:141" s="116" customFormat="1">
      <c r="A63760" s="136"/>
      <c r="CM63760" s="111"/>
      <c r="CQ63760" s="111"/>
      <c r="EF63760"/>
      <c r="EG63760"/>
      <c r="EH63760"/>
      <c r="EI63760"/>
      <c r="EJ63760"/>
      <c r="EK63760"/>
    </row>
    <row r="63761" spans="1:141" s="116" customFormat="1">
      <c r="A63761" s="136"/>
      <c r="CM63761" s="111"/>
      <c r="CQ63761" s="111"/>
      <c r="EF63761"/>
      <c r="EG63761"/>
      <c r="EH63761"/>
      <c r="EI63761"/>
      <c r="EJ63761"/>
      <c r="EK63761"/>
    </row>
    <row r="63762" spans="1:141" s="116" customFormat="1">
      <c r="A63762" s="136"/>
      <c r="CM63762" s="111"/>
      <c r="CQ63762" s="111"/>
      <c r="EF63762"/>
      <c r="EG63762"/>
      <c r="EH63762"/>
      <c r="EI63762"/>
      <c r="EJ63762"/>
      <c r="EK63762"/>
    </row>
    <row r="63763" spans="1:141" s="116" customFormat="1">
      <c r="A63763" s="136"/>
      <c r="CM63763" s="111"/>
      <c r="CQ63763" s="111"/>
      <c r="EF63763"/>
      <c r="EG63763"/>
      <c r="EH63763"/>
      <c r="EI63763"/>
      <c r="EJ63763"/>
      <c r="EK63763"/>
    </row>
    <row r="63764" spans="1:141" s="116" customFormat="1">
      <c r="A63764" s="136"/>
      <c r="CM63764" s="111"/>
      <c r="CQ63764" s="111"/>
      <c r="EF63764"/>
      <c r="EG63764"/>
      <c r="EH63764"/>
      <c r="EI63764"/>
      <c r="EJ63764"/>
      <c r="EK63764"/>
    </row>
    <row r="63765" spans="1:141" s="116" customFormat="1">
      <c r="A63765" s="136"/>
      <c r="CM63765" s="111"/>
      <c r="CQ63765" s="111"/>
      <c r="EF63765"/>
      <c r="EG63765"/>
      <c r="EH63765"/>
      <c r="EI63765"/>
      <c r="EJ63765"/>
      <c r="EK63765"/>
    </row>
    <row r="63766" spans="1:141" s="116" customFormat="1">
      <c r="A63766" s="136"/>
      <c r="CM63766" s="111"/>
      <c r="CQ63766" s="111"/>
      <c r="EF63766"/>
      <c r="EG63766"/>
      <c r="EH63766"/>
      <c r="EI63766"/>
      <c r="EJ63766"/>
      <c r="EK63766"/>
    </row>
    <row r="63767" spans="1:141" s="116" customFormat="1">
      <c r="A63767" s="136"/>
      <c r="CM63767" s="111"/>
      <c r="CQ63767" s="111"/>
      <c r="EF63767"/>
      <c r="EG63767"/>
      <c r="EH63767"/>
      <c r="EI63767"/>
      <c r="EJ63767"/>
      <c r="EK63767"/>
    </row>
    <row r="63768" spans="1:141" s="116" customFormat="1">
      <c r="A63768" s="136"/>
      <c r="CM63768" s="111"/>
      <c r="CQ63768" s="111"/>
      <c r="EF63768"/>
      <c r="EG63768"/>
      <c r="EH63768"/>
      <c r="EI63768"/>
      <c r="EJ63768"/>
      <c r="EK63768"/>
    </row>
    <row r="63769" spans="1:141" s="116" customFormat="1">
      <c r="A63769" s="136"/>
      <c r="CM63769" s="111"/>
      <c r="CQ63769" s="111"/>
      <c r="EF63769"/>
      <c r="EG63769"/>
      <c r="EH63769"/>
      <c r="EI63769"/>
      <c r="EJ63769"/>
      <c r="EK63769"/>
    </row>
    <row r="63770" spans="1:141" s="116" customFormat="1">
      <c r="A63770" s="136"/>
      <c r="CM63770" s="111"/>
      <c r="CQ63770" s="111"/>
      <c r="EF63770"/>
      <c r="EG63770"/>
      <c r="EH63770"/>
      <c r="EI63770"/>
      <c r="EJ63770"/>
      <c r="EK63770"/>
    </row>
    <row r="63771" spans="1:141" s="116" customFormat="1">
      <c r="A63771" s="136"/>
      <c r="CM63771" s="111"/>
      <c r="CQ63771" s="111"/>
      <c r="EF63771"/>
      <c r="EG63771"/>
      <c r="EH63771"/>
      <c r="EI63771"/>
      <c r="EJ63771"/>
      <c r="EK63771"/>
    </row>
    <row r="63772" spans="1:141" s="116" customFormat="1">
      <c r="A63772" s="136"/>
      <c r="CM63772" s="111"/>
      <c r="CQ63772" s="111"/>
      <c r="EF63772"/>
      <c r="EG63772"/>
      <c r="EH63772"/>
      <c r="EI63772"/>
      <c r="EJ63772"/>
      <c r="EK63772"/>
    </row>
    <row r="63773" spans="1:141" s="116" customFormat="1">
      <c r="A63773" s="136"/>
      <c r="CM63773" s="111"/>
      <c r="CQ63773" s="111"/>
      <c r="EF63773"/>
      <c r="EG63773"/>
      <c r="EH63773"/>
      <c r="EI63773"/>
      <c r="EJ63773"/>
      <c r="EK63773"/>
    </row>
    <row r="63774" spans="1:141" s="116" customFormat="1">
      <c r="A63774" s="136"/>
      <c r="CM63774" s="111"/>
      <c r="CQ63774" s="111"/>
      <c r="EF63774"/>
      <c r="EG63774"/>
      <c r="EH63774"/>
      <c r="EI63774"/>
      <c r="EJ63774"/>
      <c r="EK63774"/>
    </row>
    <row r="63775" spans="1:141" s="116" customFormat="1">
      <c r="A63775" s="136"/>
      <c r="CM63775" s="111"/>
      <c r="CQ63775" s="111"/>
      <c r="EF63775"/>
      <c r="EG63775"/>
      <c r="EH63775"/>
      <c r="EI63775"/>
      <c r="EJ63775"/>
      <c r="EK63775"/>
    </row>
    <row r="63776" spans="1:141" s="116" customFormat="1">
      <c r="A63776" s="136"/>
      <c r="CM63776" s="111"/>
      <c r="CQ63776" s="111"/>
      <c r="EF63776"/>
      <c r="EG63776"/>
      <c r="EH63776"/>
      <c r="EI63776"/>
      <c r="EJ63776"/>
      <c r="EK63776"/>
    </row>
    <row r="63777" spans="1:141" s="116" customFormat="1">
      <c r="A63777" s="136"/>
      <c r="CM63777" s="111"/>
      <c r="CQ63777" s="111"/>
      <c r="EF63777"/>
      <c r="EG63777"/>
      <c r="EH63777"/>
      <c r="EI63777"/>
      <c r="EJ63777"/>
      <c r="EK63777"/>
    </row>
    <row r="63778" spans="1:141" s="116" customFormat="1">
      <c r="A63778" s="136"/>
      <c r="CM63778" s="111"/>
      <c r="CQ63778" s="111"/>
      <c r="EF63778"/>
      <c r="EG63778"/>
      <c r="EH63778"/>
      <c r="EI63778"/>
      <c r="EJ63778"/>
      <c r="EK63778"/>
    </row>
    <row r="63779" spans="1:141" s="116" customFormat="1">
      <c r="A63779" s="136"/>
      <c r="CM63779" s="111"/>
      <c r="CQ63779" s="111"/>
      <c r="EF63779"/>
      <c r="EG63779"/>
      <c r="EH63779"/>
      <c r="EI63779"/>
      <c r="EJ63779"/>
      <c r="EK63779"/>
    </row>
    <row r="63780" spans="1:141" s="116" customFormat="1">
      <c r="A63780" s="136"/>
      <c r="CM63780" s="111"/>
      <c r="CQ63780" s="111"/>
      <c r="EF63780"/>
      <c r="EG63780"/>
      <c r="EH63780"/>
      <c r="EI63780"/>
      <c r="EJ63780"/>
      <c r="EK63780"/>
    </row>
    <row r="63781" spans="1:141" s="116" customFormat="1">
      <c r="A63781" s="136"/>
      <c r="CM63781" s="111"/>
      <c r="CQ63781" s="111"/>
      <c r="EF63781"/>
      <c r="EG63781"/>
      <c r="EH63781"/>
      <c r="EI63781"/>
      <c r="EJ63781"/>
      <c r="EK63781"/>
    </row>
    <row r="63782" spans="1:141" s="116" customFormat="1">
      <c r="A63782" s="136"/>
      <c r="CM63782" s="111"/>
      <c r="CQ63782" s="111"/>
      <c r="EF63782"/>
      <c r="EG63782"/>
      <c r="EH63782"/>
      <c r="EI63782"/>
      <c r="EJ63782"/>
      <c r="EK63782"/>
    </row>
    <row r="63783" spans="1:141" s="116" customFormat="1">
      <c r="A63783" s="136"/>
      <c r="CM63783" s="111"/>
      <c r="CQ63783" s="111"/>
      <c r="EF63783"/>
      <c r="EG63783"/>
      <c r="EH63783"/>
      <c r="EI63783"/>
      <c r="EJ63783"/>
      <c r="EK63783"/>
    </row>
    <row r="63784" spans="1:141" s="116" customFormat="1">
      <c r="A63784" s="136"/>
      <c r="CM63784" s="111"/>
      <c r="CQ63784" s="111"/>
      <c r="EF63784"/>
      <c r="EG63784"/>
      <c r="EH63784"/>
      <c r="EI63784"/>
      <c r="EJ63784"/>
      <c r="EK63784"/>
    </row>
    <row r="63785" spans="1:141" s="116" customFormat="1">
      <c r="A63785" s="136"/>
      <c r="CM63785" s="111"/>
      <c r="CQ63785" s="111"/>
      <c r="EF63785"/>
      <c r="EG63785"/>
      <c r="EH63785"/>
      <c r="EI63785"/>
      <c r="EJ63785"/>
      <c r="EK63785"/>
    </row>
    <row r="63786" spans="1:141" s="116" customFormat="1">
      <c r="A63786" s="136"/>
      <c r="CM63786" s="111"/>
      <c r="CQ63786" s="111"/>
      <c r="EF63786"/>
      <c r="EG63786"/>
      <c r="EH63786"/>
      <c r="EI63786"/>
      <c r="EJ63786"/>
      <c r="EK63786"/>
    </row>
    <row r="63787" spans="1:141" s="116" customFormat="1">
      <c r="A63787" s="136"/>
      <c r="CM63787" s="111"/>
      <c r="CQ63787" s="111"/>
      <c r="EF63787"/>
      <c r="EG63787"/>
      <c r="EH63787"/>
      <c r="EI63787"/>
      <c r="EJ63787"/>
      <c r="EK63787"/>
    </row>
    <row r="63788" spans="1:141" s="116" customFormat="1">
      <c r="A63788" s="136"/>
      <c r="CM63788" s="111"/>
      <c r="CQ63788" s="111"/>
      <c r="EF63788"/>
      <c r="EG63788"/>
      <c r="EH63788"/>
      <c r="EI63788"/>
      <c r="EJ63788"/>
      <c r="EK63788"/>
    </row>
    <row r="63789" spans="1:141" s="116" customFormat="1">
      <c r="A63789" s="136"/>
      <c r="CM63789" s="111"/>
      <c r="CQ63789" s="111"/>
      <c r="EF63789"/>
      <c r="EG63789"/>
      <c r="EH63789"/>
      <c r="EI63789"/>
      <c r="EJ63789"/>
      <c r="EK63789"/>
    </row>
    <row r="63790" spans="1:141" s="116" customFormat="1">
      <c r="A63790" s="136"/>
      <c r="CM63790" s="111"/>
      <c r="CQ63790" s="111"/>
      <c r="EF63790"/>
      <c r="EG63790"/>
      <c r="EH63790"/>
      <c r="EI63790"/>
      <c r="EJ63790"/>
      <c r="EK63790"/>
    </row>
    <row r="63791" spans="1:141" s="116" customFormat="1">
      <c r="A63791" s="136"/>
      <c r="CM63791" s="111"/>
      <c r="CQ63791" s="111"/>
      <c r="EF63791"/>
      <c r="EG63791"/>
      <c r="EH63791"/>
      <c r="EI63791"/>
      <c r="EJ63791"/>
      <c r="EK63791"/>
    </row>
    <row r="63792" spans="1:141" s="116" customFormat="1">
      <c r="A63792" s="136"/>
      <c r="CM63792" s="111"/>
      <c r="CQ63792" s="111"/>
      <c r="EF63792"/>
      <c r="EG63792"/>
      <c r="EH63792"/>
      <c r="EI63792"/>
      <c r="EJ63792"/>
      <c r="EK63792"/>
    </row>
    <row r="63793" spans="1:141" s="116" customFormat="1">
      <c r="A63793" s="136"/>
      <c r="CM63793" s="111"/>
      <c r="CQ63793" s="111"/>
      <c r="EF63793"/>
      <c r="EG63793"/>
      <c r="EH63793"/>
      <c r="EI63793"/>
      <c r="EJ63793"/>
      <c r="EK63793"/>
    </row>
    <row r="63794" spans="1:141" s="116" customFormat="1">
      <c r="A63794" s="136"/>
      <c r="CM63794" s="111"/>
      <c r="CQ63794" s="111"/>
      <c r="EF63794"/>
      <c r="EG63794"/>
      <c r="EH63794"/>
      <c r="EI63794"/>
      <c r="EJ63794"/>
      <c r="EK63794"/>
    </row>
    <row r="63795" spans="1:141" s="116" customFormat="1">
      <c r="A63795" s="136"/>
      <c r="CM63795" s="111"/>
      <c r="CQ63795" s="111"/>
      <c r="EF63795"/>
      <c r="EG63795"/>
      <c r="EH63795"/>
      <c r="EI63795"/>
      <c r="EJ63795"/>
      <c r="EK63795"/>
    </row>
    <row r="63796" spans="1:141" s="116" customFormat="1">
      <c r="A63796" s="136"/>
      <c r="CM63796" s="111"/>
      <c r="CQ63796" s="111"/>
      <c r="EF63796"/>
      <c r="EG63796"/>
      <c r="EH63796"/>
      <c r="EI63796"/>
      <c r="EJ63796"/>
      <c r="EK63796"/>
    </row>
    <row r="63797" spans="1:141" s="116" customFormat="1">
      <c r="A63797" s="136"/>
      <c r="CM63797" s="111"/>
      <c r="CQ63797" s="111"/>
      <c r="EF63797"/>
      <c r="EG63797"/>
      <c r="EH63797"/>
      <c r="EI63797"/>
      <c r="EJ63797"/>
      <c r="EK63797"/>
    </row>
    <row r="63798" spans="1:141" s="116" customFormat="1">
      <c r="A63798" s="136"/>
      <c r="CM63798" s="111"/>
      <c r="CQ63798" s="111"/>
      <c r="EF63798"/>
      <c r="EG63798"/>
      <c r="EH63798"/>
      <c r="EI63798"/>
      <c r="EJ63798"/>
      <c r="EK63798"/>
    </row>
    <row r="63799" spans="1:141" s="116" customFormat="1">
      <c r="A63799" s="136"/>
      <c r="CM63799" s="111"/>
      <c r="CQ63799" s="111"/>
      <c r="EF63799"/>
      <c r="EG63799"/>
      <c r="EH63799"/>
      <c r="EI63799"/>
      <c r="EJ63799"/>
      <c r="EK63799"/>
    </row>
    <row r="63800" spans="1:141" s="116" customFormat="1">
      <c r="A63800" s="136"/>
      <c r="CM63800" s="111"/>
      <c r="CQ63800" s="111"/>
      <c r="EF63800"/>
      <c r="EG63800"/>
      <c r="EH63800"/>
      <c r="EI63800"/>
      <c r="EJ63800"/>
      <c r="EK63800"/>
    </row>
    <row r="63801" spans="1:141" s="116" customFormat="1">
      <c r="A63801" s="136"/>
      <c r="CM63801" s="111"/>
      <c r="CQ63801" s="111"/>
      <c r="EF63801"/>
      <c r="EG63801"/>
      <c r="EH63801"/>
      <c r="EI63801"/>
      <c r="EJ63801"/>
      <c r="EK63801"/>
    </row>
    <row r="63802" spans="1:141" s="116" customFormat="1">
      <c r="A63802" s="136"/>
      <c r="CM63802" s="111"/>
      <c r="CQ63802" s="111"/>
      <c r="EF63802"/>
      <c r="EG63802"/>
      <c r="EH63802"/>
      <c r="EI63802"/>
      <c r="EJ63802"/>
      <c r="EK63802"/>
    </row>
    <row r="63803" spans="1:141" s="116" customFormat="1">
      <c r="A63803" s="136"/>
      <c r="CM63803" s="111"/>
      <c r="CQ63803" s="111"/>
      <c r="EF63803"/>
      <c r="EG63803"/>
      <c r="EH63803"/>
      <c r="EI63803"/>
      <c r="EJ63803"/>
      <c r="EK63803"/>
    </row>
    <row r="63804" spans="1:141" s="116" customFormat="1">
      <c r="A63804" s="136"/>
      <c r="CM63804" s="111"/>
      <c r="CQ63804" s="111"/>
      <c r="EF63804"/>
      <c r="EG63804"/>
      <c r="EH63804"/>
      <c r="EI63804"/>
      <c r="EJ63804"/>
      <c r="EK63804"/>
    </row>
    <row r="63805" spans="1:141" s="116" customFormat="1">
      <c r="A63805" s="136"/>
      <c r="CM63805" s="111"/>
      <c r="CQ63805" s="111"/>
      <c r="EF63805"/>
      <c r="EG63805"/>
      <c r="EH63805"/>
      <c r="EI63805"/>
      <c r="EJ63805"/>
      <c r="EK63805"/>
    </row>
    <row r="63806" spans="1:141" s="116" customFormat="1">
      <c r="A63806" s="136"/>
      <c r="CM63806" s="111"/>
      <c r="CQ63806" s="111"/>
      <c r="EF63806"/>
      <c r="EG63806"/>
      <c r="EH63806"/>
      <c r="EI63806"/>
      <c r="EJ63806"/>
      <c r="EK63806"/>
    </row>
    <row r="63807" spans="1:141" s="116" customFormat="1">
      <c r="A63807" s="136"/>
      <c r="CM63807" s="111"/>
      <c r="CQ63807" s="111"/>
      <c r="EF63807"/>
      <c r="EG63807"/>
      <c r="EH63807"/>
      <c r="EI63807"/>
      <c r="EJ63807"/>
      <c r="EK63807"/>
    </row>
    <row r="63808" spans="1:141" s="116" customFormat="1">
      <c r="A63808" s="136"/>
      <c r="CM63808" s="111"/>
      <c r="CQ63808" s="111"/>
      <c r="EF63808"/>
      <c r="EG63808"/>
      <c r="EH63808"/>
      <c r="EI63808"/>
      <c r="EJ63808"/>
      <c r="EK63808"/>
    </row>
    <row r="63809" spans="1:141" s="116" customFormat="1">
      <c r="A63809" s="136"/>
      <c r="CM63809" s="111"/>
      <c r="CQ63809" s="111"/>
      <c r="EF63809"/>
      <c r="EG63809"/>
      <c r="EH63809"/>
      <c r="EI63809"/>
      <c r="EJ63809"/>
      <c r="EK63809"/>
    </row>
    <row r="63810" spans="1:141" s="116" customFormat="1">
      <c r="A63810" s="136"/>
      <c r="CM63810" s="111"/>
      <c r="CQ63810" s="111"/>
      <c r="EF63810"/>
      <c r="EG63810"/>
      <c r="EH63810"/>
      <c r="EI63810"/>
      <c r="EJ63810"/>
      <c r="EK63810"/>
    </row>
    <row r="63811" spans="1:141" s="116" customFormat="1">
      <c r="A63811" s="136"/>
      <c r="CM63811" s="111"/>
      <c r="CQ63811" s="111"/>
      <c r="EF63811"/>
      <c r="EG63811"/>
      <c r="EH63811"/>
      <c r="EI63811"/>
      <c r="EJ63811"/>
      <c r="EK63811"/>
    </row>
    <row r="63812" spans="1:141" s="116" customFormat="1">
      <c r="A63812" s="136"/>
      <c r="CM63812" s="111"/>
      <c r="CQ63812" s="111"/>
      <c r="EF63812"/>
      <c r="EG63812"/>
      <c r="EH63812"/>
      <c r="EI63812"/>
      <c r="EJ63812"/>
      <c r="EK63812"/>
    </row>
    <row r="63813" spans="1:141" s="116" customFormat="1">
      <c r="A63813" s="136"/>
      <c r="CM63813" s="111"/>
      <c r="CQ63813" s="111"/>
      <c r="EF63813"/>
      <c r="EG63813"/>
      <c r="EH63813"/>
      <c r="EI63813"/>
      <c r="EJ63813"/>
      <c r="EK63813"/>
    </row>
    <row r="63814" spans="1:141" s="116" customFormat="1">
      <c r="A63814" s="136"/>
      <c r="CM63814" s="111"/>
      <c r="CQ63814" s="111"/>
      <c r="EF63814"/>
      <c r="EG63814"/>
      <c r="EH63814"/>
      <c r="EI63814"/>
      <c r="EJ63814"/>
      <c r="EK63814"/>
    </row>
    <row r="63815" spans="1:141" s="116" customFormat="1">
      <c r="A63815" s="136"/>
      <c r="CM63815" s="111"/>
      <c r="CQ63815" s="111"/>
      <c r="EF63815"/>
      <c r="EG63815"/>
      <c r="EH63815"/>
      <c r="EI63815"/>
      <c r="EJ63815"/>
      <c r="EK63815"/>
    </row>
    <row r="63816" spans="1:141" s="116" customFormat="1">
      <c r="A63816" s="136"/>
      <c r="CM63816" s="111"/>
      <c r="CQ63816" s="111"/>
      <c r="EF63816"/>
      <c r="EG63816"/>
      <c r="EH63816"/>
      <c r="EI63816"/>
      <c r="EJ63816"/>
      <c r="EK63816"/>
    </row>
    <row r="63817" spans="1:141" s="116" customFormat="1">
      <c r="A63817" s="136"/>
      <c r="CM63817" s="111"/>
      <c r="CQ63817" s="111"/>
      <c r="EF63817"/>
      <c r="EG63817"/>
      <c r="EH63817"/>
      <c r="EI63817"/>
      <c r="EJ63817"/>
      <c r="EK63817"/>
    </row>
    <row r="63818" spans="1:141" s="116" customFormat="1">
      <c r="A63818" s="136"/>
      <c r="CM63818" s="111"/>
      <c r="CQ63818" s="111"/>
      <c r="EF63818"/>
      <c r="EG63818"/>
      <c r="EH63818"/>
      <c r="EI63818"/>
      <c r="EJ63818"/>
      <c r="EK63818"/>
    </row>
    <row r="63819" spans="1:141" s="116" customFormat="1">
      <c r="A63819" s="136"/>
      <c r="CM63819" s="111"/>
      <c r="CQ63819" s="111"/>
      <c r="EF63819"/>
      <c r="EG63819"/>
      <c r="EH63819"/>
      <c r="EI63819"/>
      <c r="EJ63819"/>
      <c r="EK63819"/>
    </row>
    <row r="63820" spans="1:141" s="116" customFormat="1">
      <c r="A63820" s="136"/>
      <c r="CM63820" s="111"/>
      <c r="CQ63820" s="111"/>
      <c r="EF63820"/>
      <c r="EG63820"/>
      <c r="EH63820"/>
      <c r="EI63820"/>
      <c r="EJ63820"/>
      <c r="EK63820"/>
    </row>
    <row r="63821" spans="1:141" s="116" customFormat="1">
      <c r="A63821" s="136"/>
      <c r="CM63821" s="111"/>
      <c r="CQ63821" s="111"/>
      <c r="EF63821"/>
      <c r="EG63821"/>
      <c r="EH63821"/>
      <c r="EI63821"/>
      <c r="EJ63821"/>
      <c r="EK63821"/>
    </row>
    <row r="63822" spans="1:141" s="116" customFormat="1">
      <c r="A63822" s="136"/>
      <c r="CM63822" s="111"/>
      <c r="CQ63822" s="111"/>
      <c r="EF63822"/>
      <c r="EG63822"/>
      <c r="EH63822"/>
      <c r="EI63822"/>
      <c r="EJ63822"/>
      <c r="EK63822"/>
    </row>
    <row r="63823" spans="1:141" s="116" customFormat="1">
      <c r="A63823" s="136"/>
      <c r="CM63823" s="111"/>
      <c r="CQ63823" s="111"/>
      <c r="EF63823"/>
      <c r="EG63823"/>
      <c r="EH63823"/>
      <c r="EI63823"/>
      <c r="EJ63823"/>
      <c r="EK63823"/>
    </row>
    <row r="63824" spans="1:141" s="116" customFormat="1">
      <c r="A63824" s="136"/>
      <c r="CM63824" s="111"/>
      <c r="CQ63824" s="111"/>
      <c r="EF63824"/>
      <c r="EG63824"/>
      <c r="EH63824"/>
      <c r="EI63824"/>
      <c r="EJ63824"/>
      <c r="EK63824"/>
    </row>
    <row r="63825" spans="1:141" s="116" customFormat="1">
      <c r="A63825" s="136"/>
      <c r="CM63825" s="111"/>
      <c r="CQ63825" s="111"/>
      <c r="EF63825"/>
      <c r="EG63825"/>
      <c r="EH63825"/>
      <c r="EI63825"/>
      <c r="EJ63825"/>
      <c r="EK63825"/>
    </row>
    <row r="63826" spans="1:141" s="116" customFormat="1">
      <c r="A63826" s="136"/>
      <c r="CM63826" s="111"/>
      <c r="CQ63826" s="111"/>
      <c r="EF63826"/>
      <c r="EG63826"/>
      <c r="EH63826"/>
      <c r="EI63826"/>
      <c r="EJ63826"/>
      <c r="EK63826"/>
    </row>
    <row r="63827" spans="1:141" s="116" customFormat="1">
      <c r="A63827" s="136"/>
      <c r="CM63827" s="111"/>
      <c r="CQ63827" s="111"/>
      <c r="EF63827"/>
      <c r="EG63827"/>
      <c r="EH63827"/>
      <c r="EI63827"/>
      <c r="EJ63827"/>
      <c r="EK63827"/>
    </row>
    <row r="63828" spans="1:141" s="116" customFormat="1">
      <c r="A63828" s="136"/>
      <c r="CM63828" s="111"/>
      <c r="CQ63828" s="111"/>
      <c r="EF63828"/>
      <c r="EG63828"/>
      <c r="EH63828"/>
      <c r="EI63828"/>
      <c r="EJ63828"/>
      <c r="EK63828"/>
    </row>
    <row r="63829" spans="1:141" s="116" customFormat="1">
      <c r="A63829" s="136"/>
      <c r="CM63829" s="111"/>
      <c r="CQ63829" s="111"/>
      <c r="EF63829"/>
      <c r="EG63829"/>
      <c r="EH63829"/>
      <c r="EI63829"/>
      <c r="EJ63829"/>
      <c r="EK63829"/>
    </row>
    <row r="63830" spans="1:141" s="116" customFormat="1">
      <c r="A63830" s="136"/>
      <c r="CM63830" s="111"/>
      <c r="CQ63830" s="111"/>
      <c r="EF63830"/>
      <c r="EG63830"/>
      <c r="EH63830"/>
      <c r="EI63830"/>
      <c r="EJ63830"/>
      <c r="EK63830"/>
    </row>
    <row r="63831" spans="1:141" s="116" customFormat="1">
      <c r="A63831" s="136"/>
      <c r="CM63831" s="111"/>
      <c r="CQ63831" s="111"/>
      <c r="EF63831"/>
      <c r="EG63831"/>
      <c r="EH63831"/>
      <c r="EI63831"/>
      <c r="EJ63831"/>
      <c r="EK63831"/>
    </row>
    <row r="63832" spans="1:141" s="116" customFormat="1">
      <c r="A63832" s="136"/>
      <c r="CM63832" s="111"/>
      <c r="CQ63832" s="111"/>
      <c r="EF63832"/>
      <c r="EG63832"/>
      <c r="EH63832"/>
      <c r="EI63832"/>
      <c r="EJ63832"/>
      <c r="EK63832"/>
    </row>
    <row r="63833" spans="1:141" s="116" customFormat="1">
      <c r="A63833" s="136"/>
      <c r="CM63833" s="111"/>
      <c r="CQ63833" s="111"/>
      <c r="EF63833"/>
      <c r="EG63833"/>
      <c r="EH63833"/>
      <c r="EI63833"/>
      <c r="EJ63833"/>
      <c r="EK63833"/>
    </row>
    <row r="63834" spans="1:141" s="116" customFormat="1">
      <c r="A63834" s="136"/>
      <c r="CM63834" s="111"/>
      <c r="CQ63834" s="111"/>
      <c r="EF63834"/>
      <c r="EG63834"/>
      <c r="EH63834"/>
      <c r="EI63834"/>
      <c r="EJ63834"/>
      <c r="EK63834"/>
    </row>
    <row r="63835" spans="1:141" s="116" customFormat="1">
      <c r="A63835" s="136"/>
      <c r="CM63835" s="111"/>
      <c r="CQ63835" s="111"/>
      <c r="EF63835"/>
      <c r="EG63835"/>
      <c r="EH63835"/>
      <c r="EI63835"/>
      <c r="EJ63835"/>
      <c r="EK63835"/>
    </row>
    <row r="63836" spans="1:141" s="116" customFormat="1">
      <c r="A63836" s="136"/>
      <c r="CM63836" s="111"/>
      <c r="CQ63836" s="111"/>
      <c r="EF63836"/>
      <c r="EG63836"/>
      <c r="EH63836"/>
      <c r="EI63836"/>
      <c r="EJ63836"/>
      <c r="EK63836"/>
    </row>
    <row r="63837" spans="1:141" s="116" customFormat="1">
      <c r="A63837" s="136"/>
      <c r="CM63837" s="111"/>
      <c r="CQ63837" s="111"/>
      <c r="EF63837"/>
      <c r="EG63837"/>
      <c r="EH63837"/>
      <c r="EI63837"/>
      <c r="EJ63837"/>
      <c r="EK63837"/>
    </row>
    <row r="63838" spans="1:141" s="116" customFormat="1">
      <c r="A63838" s="136"/>
      <c r="CM63838" s="111"/>
      <c r="CQ63838" s="111"/>
      <c r="EF63838"/>
      <c r="EG63838"/>
      <c r="EH63838"/>
      <c r="EI63838"/>
      <c r="EJ63838"/>
      <c r="EK63838"/>
    </row>
    <row r="63839" spans="1:141" s="116" customFormat="1">
      <c r="A63839" s="136"/>
      <c r="CM63839" s="111"/>
      <c r="CQ63839" s="111"/>
      <c r="EF63839"/>
      <c r="EG63839"/>
      <c r="EH63839"/>
      <c r="EI63839"/>
      <c r="EJ63839"/>
      <c r="EK63839"/>
    </row>
    <row r="63840" spans="1:141" s="116" customFormat="1">
      <c r="A63840" s="136"/>
      <c r="CM63840" s="111"/>
      <c r="CQ63840" s="111"/>
      <c r="EF63840"/>
      <c r="EG63840"/>
      <c r="EH63840"/>
      <c r="EI63840"/>
      <c r="EJ63840"/>
      <c r="EK63840"/>
    </row>
    <row r="63841" spans="1:141" s="116" customFormat="1">
      <c r="A63841" s="136"/>
      <c r="CM63841" s="111"/>
      <c r="CQ63841" s="111"/>
      <c r="EF63841"/>
      <c r="EG63841"/>
      <c r="EH63841"/>
      <c r="EI63841"/>
      <c r="EJ63841"/>
      <c r="EK63841"/>
    </row>
    <row r="63842" spans="1:141" s="116" customFormat="1">
      <c r="A63842" s="136"/>
      <c r="CM63842" s="111"/>
      <c r="CQ63842" s="111"/>
      <c r="EF63842"/>
      <c r="EG63842"/>
      <c r="EH63842"/>
      <c r="EI63842"/>
      <c r="EJ63842"/>
      <c r="EK63842"/>
    </row>
    <row r="63843" spans="1:141" s="116" customFormat="1">
      <c r="A63843" s="136"/>
      <c r="CM63843" s="111"/>
      <c r="CQ63843" s="111"/>
      <c r="EF63843"/>
      <c r="EG63843"/>
      <c r="EH63843"/>
      <c r="EI63843"/>
      <c r="EJ63843"/>
      <c r="EK63843"/>
    </row>
    <row r="63844" spans="1:141" s="116" customFormat="1">
      <c r="A63844" s="136"/>
      <c r="CM63844" s="111"/>
      <c r="CQ63844" s="111"/>
      <c r="EF63844"/>
      <c r="EG63844"/>
      <c r="EH63844"/>
      <c r="EI63844"/>
      <c r="EJ63844"/>
      <c r="EK63844"/>
    </row>
    <row r="63845" spans="1:141" s="116" customFormat="1">
      <c r="A63845" s="136"/>
      <c r="CM63845" s="111"/>
      <c r="CQ63845" s="111"/>
      <c r="EF63845"/>
      <c r="EG63845"/>
      <c r="EH63845"/>
      <c r="EI63845"/>
      <c r="EJ63845"/>
      <c r="EK63845"/>
    </row>
    <row r="63846" spans="1:141" s="116" customFormat="1">
      <c r="A63846" s="136"/>
      <c r="CM63846" s="111"/>
      <c r="CQ63846" s="111"/>
      <c r="EF63846"/>
      <c r="EG63846"/>
      <c r="EH63846"/>
      <c r="EI63846"/>
      <c r="EJ63846"/>
      <c r="EK63846"/>
    </row>
    <row r="63847" spans="1:141" s="116" customFormat="1">
      <c r="A63847" s="136"/>
      <c r="CM63847" s="111"/>
      <c r="CQ63847" s="111"/>
      <c r="EF63847"/>
      <c r="EG63847"/>
      <c r="EH63847"/>
      <c r="EI63847"/>
      <c r="EJ63847"/>
      <c r="EK63847"/>
    </row>
    <row r="63848" spans="1:141" s="116" customFormat="1">
      <c r="A63848" s="136"/>
      <c r="CM63848" s="111"/>
      <c r="CQ63848" s="111"/>
      <c r="EF63848"/>
      <c r="EG63848"/>
      <c r="EH63848"/>
      <c r="EI63848"/>
      <c r="EJ63848"/>
      <c r="EK63848"/>
    </row>
    <row r="63849" spans="1:141" s="116" customFormat="1">
      <c r="A63849" s="136"/>
      <c r="CM63849" s="111"/>
      <c r="CQ63849" s="111"/>
      <c r="EF63849"/>
      <c r="EG63849"/>
      <c r="EH63849"/>
      <c r="EI63849"/>
      <c r="EJ63849"/>
      <c r="EK63849"/>
    </row>
    <row r="63850" spans="1:141" s="116" customFormat="1">
      <c r="A63850" s="136"/>
      <c r="CM63850" s="111"/>
      <c r="CQ63850" s="111"/>
      <c r="EF63850"/>
      <c r="EG63850"/>
      <c r="EH63850"/>
      <c r="EI63850"/>
      <c r="EJ63850"/>
      <c r="EK63850"/>
    </row>
    <row r="63851" spans="1:141" s="116" customFormat="1">
      <c r="A63851" s="136"/>
      <c r="CM63851" s="111"/>
      <c r="CQ63851" s="111"/>
      <c r="EF63851"/>
      <c r="EG63851"/>
      <c r="EH63851"/>
      <c r="EI63851"/>
      <c r="EJ63851"/>
      <c r="EK63851"/>
    </row>
    <row r="63852" spans="1:141" s="116" customFormat="1">
      <c r="A63852" s="136"/>
      <c r="CM63852" s="111"/>
      <c r="CQ63852" s="111"/>
      <c r="EF63852"/>
      <c r="EG63852"/>
      <c r="EH63852"/>
      <c r="EI63852"/>
      <c r="EJ63852"/>
      <c r="EK63852"/>
    </row>
    <row r="63853" spans="1:141" s="116" customFormat="1">
      <c r="A63853" s="136"/>
      <c r="CM63853" s="111"/>
      <c r="CQ63853" s="111"/>
      <c r="EF63853"/>
      <c r="EG63853"/>
      <c r="EH63853"/>
      <c r="EI63853"/>
      <c r="EJ63853"/>
      <c r="EK63853"/>
    </row>
    <row r="63854" spans="1:141" s="116" customFormat="1">
      <c r="A63854" s="136"/>
      <c r="CM63854" s="111"/>
      <c r="CQ63854" s="111"/>
      <c r="EF63854"/>
      <c r="EG63854"/>
      <c r="EH63854"/>
      <c r="EI63854"/>
      <c r="EJ63854"/>
      <c r="EK63854"/>
    </row>
    <row r="63855" spans="1:141" s="116" customFormat="1">
      <c r="A63855" s="136"/>
      <c r="CM63855" s="111"/>
      <c r="CQ63855" s="111"/>
      <c r="EF63855"/>
      <c r="EG63855"/>
      <c r="EH63855"/>
      <c r="EI63855"/>
      <c r="EJ63855"/>
      <c r="EK63855"/>
    </row>
    <row r="63856" spans="1:141" s="116" customFormat="1">
      <c r="A63856" s="136"/>
      <c r="CM63856" s="111"/>
      <c r="CQ63856" s="111"/>
      <c r="EF63856"/>
      <c r="EG63856"/>
      <c r="EH63856"/>
      <c r="EI63856"/>
      <c r="EJ63856"/>
      <c r="EK63856"/>
    </row>
    <row r="63857" spans="1:141" s="116" customFormat="1">
      <c r="A63857" s="136"/>
      <c r="CM63857" s="111"/>
      <c r="CQ63857" s="111"/>
      <c r="EF63857"/>
      <c r="EG63857"/>
      <c r="EH63857"/>
      <c r="EI63857"/>
      <c r="EJ63857"/>
      <c r="EK63857"/>
    </row>
    <row r="63858" spans="1:141" s="116" customFormat="1">
      <c r="A63858" s="136"/>
      <c r="CM63858" s="111"/>
      <c r="CQ63858" s="111"/>
      <c r="EF63858"/>
      <c r="EG63858"/>
      <c r="EH63858"/>
      <c r="EI63858"/>
      <c r="EJ63858"/>
      <c r="EK63858"/>
    </row>
    <row r="63859" spans="1:141" s="116" customFormat="1">
      <c r="A63859" s="136"/>
      <c r="CM63859" s="111"/>
      <c r="CQ63859" s="111"/>
      <c r="EF63859"/>
      <c r="EG63859"/>
      <c r="EH63859"/>
      <c r="EI63859"/>
      <c r="EJ63859"/>
      <c r="EK63859"/>
    </row>
    <row r="63860" spans="1:141" s="116" customFormat="1">
      <c r="A63860" s="136"/>
      <c r="CM63860" s="111"/>
      <c r="CQ63860" s="111"/>
      <c r="EF63860"/>
      <c r="EG63860"/>
      <c r="EH63860"/>
      <c r="EI63860"/>
      <c r="EJ63860"/>
      <c r="EK63860"/>
    </row>
    <row r="63861" spans="1:141" s="116" customFormat="1">
      <c r="A63861" s="136"/>
      <c r="CM63861" s="111"/>
      <c r="CQ63861" s="111"/>
      <c r="EF63861"/>
      <c r="EG63861"/>
      <c r="EH63861"/>
      <c r="EI63861"/>
      <c r="EJ63861"/>
      <c r="EK63861"/>
    </row>
    <row r="63862" spans="1:141" s="116" customFormat="1">
      <c r="A63862" s="136"/>
      <c r="CM63862" s="111"/>
      <c r="CQ63862" s="111"/>
      <c r="EF63862"/>
      <c r="EG63862"/>
      <c r="EH63862"/>
      <c r="EI63862"/>
      <c r="EJ63862"/>
      <c r="EK63862"/>
    </row>
    <row r="63863" spans="1:141" s="116" customFormat="1">
      <c r="A63863" s="136"/>
      <c r="CM63863" s="111"/>
      <c r="CQ63863" s="111"/>
      <c r="EF63863"/>
      <c r="EG63863"/>
      <c r="EH63863"/>
      <c r="EI63863"/>
      <c r="EJ63863"/>
      <c r="EK63863"/>
    </row>
    <row r="63864" spans="1:141" s="116" customFormat="1">
      <c r="A63864" s="136"/>
      <c r="CM63864" s="111"/>
      <c r="CQ63864" s="111"/>
      <c r="EF63864"/>
      <c r="EG63864"/>
      <c r="EH63864"/>
      <c r="EI63864"/>
      <c r="EJ63864"/>
      <c r="EK63864"/>
    </row>
    <row r="63865" spans="1:141" s="116" customFormat="1">
      <c r="A63865" s="136"/>
      <c r="CM63865" s="111"/>
      <c r="CQ63865" s="111"/>
      <c r="EF63865"/>
      <c r="EG63865"/>
      <c r="EH63865"/>
      <c r="EI63865"/>
      <c r="EJ63865"/>
      <c r="EK63865"/>
    </row>
    <row r="63866" spans="1:141" s="116" customFormat="1">
      <c r="A63866" s="136"/>
      <c r="CM63866" s="111"/>
      <c r="CQ63866" s="111"/>
      <c r="EF63866"/>
      <c r="EG63866"/>
      <c r="EH63866"/>
      <c r="EI63866"/>
      <c r="EJ63866"/>
      <c r="EK63866"/>
    </row>
    <row r="63867" spans="1:141" s="116" customFormat="1">
      <c r="A63867" s="136"/>
      <c r="CM63867" s="111"/>
      <c r="CQ63867" s="111"/>
      <c r="EF63867"/>
      <c r="EG63867"/>
      <c r="EH63867"/>
      <c r="EI63867"/>
      <c r="EJ63867"/>
      <c r="EK63867"/>
    </row>
    <row r="63868" spans="1:141" s="116" customFormat="1">
      <c r="A63868" s="136"/>
      <c r="CM63868" s="111"/>
      <c r="CQ63868" s="111"/>
      <c r="EF63868"/>
      <c r="EG63868"/>
      <c r="EH63868"/>
      <c r="EI63868"/>
      <c r="EJ63868"/>
      <c r="EK63868"/>
    </row>
    <row r="63869" spans="1:141" s="116" customFormat="1">
      <c r="A63869" s="136"/>
      <c r="CM63869" s="111"/>
      <c r="CQ63869" s="111"/>
      <c r="EF63869"/>
      <c r="EG63869"/>
      <c r="EH63869"/>
      <c r="EI63869"/>
      <c r="EJ63869"/>
      <c r="EK63869"/>
    </row>
    <row r="63870" spans="1:141" s="116" customFormat="1">
      <c r="A63870" s="136"/>
      <c r="CM63870" s="111"/>
      <c r="CQ63870" s="111"/>
      <c r="EF63870"/>
      <c r="EG63870"/>
      <c r="EH63870"/>
      <c r="EI63870"/>
      <c r="EJ63870"/>
      <c r="EK63870"/>
    </row>
    <row r="63871" spans="1:141" s="116" customFormat="1">
      <c r="A63871" s="136"/>
      <c r="CM63871" s="111"/>
      <c r="CQ63871" s="111"/>
      <c r="EF63871"/>
      <c r="EG63871"/>
      <c r="EH63871"/>
      <c r="EI63871"/>
      <c r="EJ63871"/>
      <c r="EK63871"/>
    </row>
    <row r="63872" spans="1:141" s="116" customFormat="1">
      <c r="A63872" s="136"/>
      <c r="CM63872" s="111"/>
      <c r="CQ63872" s="111"/>
      <c r="EF63872"/>
      <c r="EG63872"/>
      <c r="EH63872"/>
      <c r="EI63872"/>
      <c r="EJ63872"/>
      <c r="EK63872"/>
    </row>
    <row r="63873" spans="1:141" s="116" customFormat="1">
      <c r="A63873" s="136"/>
      <c r="CM63873" s="111"/>
      <c r="CQ63873" s="111"/>
      <c r="EF63873"/>
      <c r="EG63873"/>
      <c r="EH63873"/>
      <c r="EI63873"/>
      <c r="EJ63873"/>
      <c r="EK63873"/>
    </row>
    <row r="63874" spans="1:141" s="116" customFormat="1">
      <c r="A63874" s="136"/>
      <c r="CM63874" s="111"/>
      <c r="CQ63874" s="111"/>
      <c r="EF63874"/>
      <c r="EG63874"/>
      <c r="EH63874"/>
      <c r="EI63874"/>
      <c r="EJ63874"/>
      <c r="EK63874"/>
    </row>
    <row r="63875" spans="1:141" s="116" customFormat="1">
      <c r="A63875" s="136"/>
      <c r="CM63875" s="111"/>
      <c r="CQ63875" s="111"/>
      <c r="EF63875"/>
      <c r="EG63875"/>
      <c r="EH63875"/>
      <c r="EI63875"/>
      <c r="EJ63875"/>
      <c r="EK63875"/>
    </row>
    <row r="63876" spans="1:141" s="116" customFormat="1">
      <c r="A63876" s="136"/>
      <c r="CM63876" s="111"/>
      <c r="CQ63876" s="111"/>
      <c r="EF63876"/>
      <c r="EG63876"/>
      <c r="EH63876"/>
      <c r="EI63876"/>
      <c r="EJ63876"/>
      <c r="EK63876"/>
    </row>
    <row r="63877" spans="1:141" s="116" customFormat="1">
      <c r="A63877" s="136"/>
      <c r="CM63877" s="111"/>
      <c r="CQ63877" s="111"/>
      <c r="EF63877"/>
      <c r="EG63877"/>
      <c r="EH63877"/>
      <c r="EI63877"/>
      <c r="EJ63877"/>
      <c r="EK63877"/>
    </row>
    <row r="63878" spans="1:141" s="116" customFormat="1">
      <c r="A63878" s="136"/>
      <c r="CM63878" s="111"/>
      <c r="CQ63878" s="111"/>
      <c r="EF63878"/>
      <c r="EG63878"/>
      <c r="EH63878"/>
      <c r="EI63878"/>
      <c r="EJ63878"/>
      <c r="EK63878"/>
    </row>
    <row r="63879" spans="1:141" s="116" customFormat="1">
      <c r="A63879" s="136"/>
      <c r="CM63879" s="111"/>
      <c r="CQ63879" s="111"/>
      <c r="EF63879"/>
      <c r="EG63879"/>
      <c r="EH63879"/>
      <c r="EI63879"/>
      <c r="EJ63879"/>
      <c r="EK63879"/>
    </row>
    <row r="63880" spans="1:141" s="116" customFormat="1">
      <c r="A63880" s="136"/>
      <c r="CM63880" s="111"/>
      <c r="CQ63880" s="111"/>
      <c r="EF63880"/>
      <c r="EG63880"/>
      <c r="EH63880"/>
      <c r="EI63880"/>
      <c r="EJ63880"/>
      <c r="EK63880"/>
    </row>
    <row r="63881" spans="1:141" s="116" customFormat="1">
      <c r="A63881" s="136"/>
      <c r="CM63881" s="111"/>
      <c r="CQ63881" s="111"/>
      <c r="EF63881"/>
      <c r="EG63881"/>
      <c r="EH63881"/>
      <c r="EI63881"/>
      <c r="EJ63881"/>
      <c r="EK63881"/>
    </row>
    <row r="63882" spans="1:141" s="116" customFormat="1">
      <c r="A63882" s="136"/>
      <c r="CM63882" s="111"/>
      <c r="CQ63882" s="111"/>
      <c r="EF63882"/>
      <c r="EG63882"/>
      <c r="EH63882"/>
      <c r="EI63882"/>
      <c r="EJ63882"/>
      <c r="EK63882"/>
    </row>
    <row r="63883" spans="1:141" s="116" customFormat="1">
      <c r="A63883" s="136"/>
      <c r="CM63883" s="111"/>
      <c r="CQ63883" s="111"/>
      <c r="EF63883"/>
      <c r="EG63883"/>
      <c r="EH63883"/>
      <c r="EI63883"/>
      <c r="EJ63883"/>
      <c r="EK63883"/>
    </row>
    <row r="63884" spans="1:141" s="116" customFormat="1">
      <c r="A63884" s="136"/>
      <c r="CM63884" s="111"/>
      <c r="CQ63884" s="111"/>
      <c r="EF63884"/>
      <c r="EG63884"/>
      <c r="EH63884"/>
      <c r="EI63884"/>
      <c r="EJ63884"/>
      <c r="EK63884"/>
    </row>
    <row r="63885" spans="1:141" s="116" customFormat="1">
      <c r="A63885" s="136"/>
      <c r="CM63885" s="111"/>
      <c r="CQ63885" s="111"/>
      <c r="EF63885"/>
      <c r="EG63885"/>
      <c r="EH63885"/>
      <c r="EI63885"/>
      <c r="EJ63885"/>
      <c r="EK63885"/>
    </row>
    <row r="63886" spans="1:141" s="116" customFormat="1">
      <c r="A63886" s="136"/>
      <c r="CM63886" s="111"/>
      <c r="CQ63886" s="111"/>
      <c r="EF63886"/>
      <c r="EG63886"/>
      <c r="EH63886"/>
      <c r="EI63886"/>
      <c r="EJ63886"/>
      <c r="EK63886"/>
    </row>
    <row r="63887" spans="1:141" s="116" customFormat="1">
      <c r="A63887" s="136"/>
      <c r="CM63887" s="111"/>
      <c r="CQ63887" s="111"/>
      <c r="EF63887"/>
      <c r="EG63887"/>
      <c r="EH63887"/>
      <c r="EI63887"/>
      <c r="EJ63887"/>
      <c r="EK63887"/>
    </row>
    <row r="63888" spans="1:141" s="116" customFormat="1">
      <c r="A63888" s="136"/>
      <c r="CM63888" s="111"/>
      <c r="CQ63888" s="111"/>
      <c r="EF63888"/>
      <c r="EG63888"/>
      <c r="EH63888"/>
      <c r="EI63888"/>
      <c r="EJ63888"/>
      <c r="EK63888"/>
    </row>
    <row r="63889" spans="1:141" s="116" customFormat="1">
      <c r="A63889" s="136"/>
      <c r="CM63889" s="111"/>
      <c r="CQ63889" s="111"/>
      <c r="EF63889"/>
      <c r="EG63889"/>
      <c r="EH63889"/>
      <c r="EI63889"/>
      <c r="EJ63889"/>
      <c r="EK63889"/>
    </row>
    <row r="63890" spans="1:141" s="116" customFormat="1">
      <c r="A63890" s="136"/>
      <c r="CM63890" s="111"/>
      <c r="CQ63890" s="111"/>
      <c r="EF63890"/>
      <c r="EG63890"/>
      <c r="EH63890"/>
      <c r="EI63890"/>
      <c r="EJ63890"/>
      <c r="EK63890"/>
    </row>
    <row r="63891" spans="1:141" s="116" customFormat="1">
      <c r="A63891" s="136"/>
      <c r="CM63891" s="111"/>
      <c r="CQ63891" s="111"/>
      <c r="EF63891"/>
      <c r="EG63891"/>
      <c r="EH63891"/>
      <c r="EI63891"/>
      <c r="EJ63891"/>
      <c r="EK63891"/>
    </row>
    <row r="63892" spans="1:141" s="116" customFormat="1">
      <c r="A63892" s="136"/>
      <c r="CM63892" s="111"/>
      <c r="CQ63892" s="111"/>
      <c r="EF63892"/>
      <c r="EG63892"/>
      <c r="EH63892"/>
      <c r="EI63892"/>
      <c r="EJ63892"/>
      <c r="EK63892"/>
    </row>
    <row r="63893" spans="1:141" s="116" customFormat="1">
      <c r="A63893" s="136"/>
      <c r="CM63893" s="111"/>
      <c r="CQ63893" s="111"/>
      <c r="EF63893"/>
      <c r="EG63893"/>
      <c r="EH63893"/>
      <c r="EI63893"/>
      <c r="EJ63893"/>
      <c r="EK63893"/>
    </row>
    <row r="63894" spans="1:141" s="116" customFormat="1">
      <c r="A63894" s="136"/>
      <c r="CM63894" s="111"/>
      <c r="CQ63894" s="111"/>
      <c r="EF63894"/>
      <c r="EG63894"/>
      <c r="EH63894"/>
      <c r="EI63894"/>
      <c r="EJ63894"/>
      <c r="EK63894"/>
    </row>
    <row r="63895" spans="1:141" s="116" customFormat="1">
      <c r="A63895" s="136"/>
      <c r="CM63895" s="111"/>
      <c r="CQ63895" s="111"/>
      <c r="EF63895"/>
      <c r="EG63895"/>
      <c r="EH63895"/>
      <c r="EI63895"/>
      <c r="EJ63895"/>
      <c r="EK63895"/>
    </row>
    <row r="63896" spans="1:141" s="116" customFormat="1">
      <c r="A63896" s="136"/>
      <c r="CM63896" s="111"/>
      <c r="CQ63896" s="111"/>
      <c r="EF63896"/>
      <c r="EG63896"/>
      <c r="EH63896"/>
      <c r="EI63896"/>
      <c r="EJ63896"/>
      <c r="EK63896"/>
    </row>
    <row r="63897" spans="1:141" s="116" customFormat="1">
      <c r="A63897" s="136"/>
      <c r="CM63897" s="111"/>
      <c r="CQ63897" s="111"/>
      <c r="EF63897"/>
      <c r="EG63897"/>
      <c r="EH63897"/>
      <c r="EI63897"/>
      <c r="EJ63897"/>
      <c r="EK63897"/>
    </row>
    <row r="63898" spans="1:141" s="116" customFormat="1">
      <c r="A63898" s="136"/>
      <c r="CM63898" s="111"/>
      <c r="CQ63898" s="111"/>
      <c r="EF63898"/>
      <c r="EG63898"/>
      <c r="EH63898"/>
      <c r="EI63898"/>
      <c r="EJ63898"/>
      <c r="EK63898"/>
    </row>
    <row r="63899" spans="1:141" s="116" customFormat="1">
      <c r="A63899" s="136"/>
      <c r="CM63899" s="111"/>
      <c r="CQ63899" s="111"/>
      <c r="EF63899"/>
      <c r="EG63899"/>
      <c r="EH63899"/>
      <c r="EI63899"/>
      <c r="EJ63899"/>
      <c r="EK63899"/>
    </row>
    <row r="63900" spans="1:141" s="116" customFormat="1">
      <c r="A63900" s="136"/>
      <c r="CM63900" s="111"/>
      <c r="CQ63900" s="111"/>
      <c r="EF63900"/>
      <c r="EG63900"/>
      <c r="EH63900"/>
      <c r="EI63900"/>
      <c r="EJ63900"/>
      <c r="EK63900"/>
    </row>
    <row r="63901" spans="1:141" s="116" customFormat="1">
      <c r="A63901" s="136"/>
      <c r="CM63901" s="111"/>
      <c r="CQ63901" s="111"/>
      <c r="EF63901"/>
      <c r="EG63901"/>
      <c r="EH63901"/>
      <c r="EI63901"/>
      <c r="EJ63901"/>
      <c r="EK63901"/>
    </row>
    <row r="63902" spans="1:141" s="116" customFormat="1">
      <c r="A63902" s="136"/>
      <c r="CM63902" s="111"/>
      <c r="CQ63902" s="111"/>
      <c r="EF63902"/>
      <c r="EG63902"/>
      <c r="EH63902"/>
      <c r="EI63902"/>
      <c r="EJ63902"/>
      <c r="EK63902"/>
    </row>
    <row r="63903" spans="1:141" s="116" customFormat="1">
      <c r="A63903" s="136"/>
      <c r="CM63903" s="111"/>
      <c r="CQ63903" s="111"/>
      <c r="EF63903"/>
      <c r="EG63903"/>
      <c r="EH63903"/>
      <c r="EI63903"/>
      <c r="EJ63903"/>
      <c r="EK63903"/>
    </row>
    <row r="63904" spans="1:141" s="116" customFormat="1">
      <c r="A63904" s="136"/>
      <c r="CM63904" s="111"/>
      <c r="CQ63904" s="111"/>
      <c r="EF63904"/>
      <c r="EG63904"/>
      <c r="EH63904"/>
      <c r="EI63904"/>
      <c r="EJ63904"/>
      <c r="EK63904"/>
    </row>
    <row r="63905" spans="1:141" s="116" customFormat="1">
      <c r="A63905" s="136"/>
      <c r="CM63905" s="111"/>
      <c r="CQ63905" s="111"/>
      <c r="EF63905"/>
      <c r="EG63905"/>
      <c r="EH63905"/>
      <c r="EI63905"/>
      <c r="EJ63905"/>
      <c r="EK63905"/>
    </row>
    <row r="63906" spans="1:141" s="116" customFormat="1">
      <c r="A63906" s="136"/>
      <c r="CM63906" s="111"/>
      <c r="CQ63906" s="111"/>
      <c r="EF63906"/>
      <c r="EG63906"/>
      <c r="EH63906"/>
      <c r="EI63906"/>
      <c r="EJ63906"/>
      <c r="EK63906"/>
    </row>
    <row r="63907" spans="1:141" s="116" customFormat="1">
      <c r="A63907" s="136"/>
      <c r="CM63907" s="111"/>
      <c r="CQ63907" s="111"/>
      <c r="EF63907"/>
      <c r="EG63907"/>
      <c r="EH63907"/>
      <c r="EI63907"/>
      <c r="EJ63907"/>
      <c r="EK63907"/>
    </row>
    <row r="63908" spans="1:141" s="116" customFormat="1">
      <c r="A63908" s="136"/>
      <c r="CM63908" s="111"/>
      <c r="CQ63908" s="111"/>
      <c r="EF63908"/>
      <c r="EG63908"/>
      <c r="EH63908"/>
      <c r="EI63908"/>
      <c r="EJ63908"/>
      <c r="EK63908"/>
    </row>
    <row r="63909" spans="1:141" s="116" customFormat="1">
      <c r="A63909" s="136"/>
      <c r="CM63909" s="111"/>
      <c r="CQ63909" s="111"/>
      <c r="EF63909"/>
      <c r="EG63909"/>
      <c r="EH63909"/>
      <c r="EI63909"/>
      <c r="EJ63909"/>
      <c r="EK63909"/>
    </row>
    <row r="63910" spans="1:141" s="116" customFormat="1">
      <c r="A63910" s="136"/>
      <c r="CM63910" s="111"/>
      <c r="CQ63910" s="111"/>
      <c r="EF63910"/>
      <c r="EG63910"/>
      <c r="EH63910"/>
      <c r="EI63910"/>
      <c r="EJ63910"/>
      <c r="EK63910"/>
    </row>
    <row r="63911" spans="1:141" s="116" customFormat="1">
      <c r="A63911" s="136"/>
      <c r="CM63911" s="111"/>
      <c r="CQ63911" s="111"/>
      <c r="EF63911"/>
      <c r="EG63911"/>
      <c r="EH63911"/>
      <c r="EI63911"/>
      <c r="EJ63911"/>
      <c r="EK63911"/>
    </row>
    <row r="63912" spans="1:141" s="116" customFormat="1">
      <c r="A63912" s="136"/>
      <c r="CM63912" s="111"/>
      <c r="CQ63912" s="111"/>
      <c r="EF63912"/>
      <c r="EG63912"/>
      <c r="EH63912"/>
      <c r="EI63912"/>
      <c r="EJ63912"/>
      <c r="EK63912"/>
    </row>
    <row r="63913" spans="1:141" s="116" customFormat="1">
      <c r="A63913" s="136"/>
      <c r="CM63913" s="111"/>
      <c r="CQ63913" s="111"/>
      <c r="EF63913"/>
      <c r="EG63913"/>
      <c r="EH63913"/>
      <c r="EI63913"/>
      <c r="EJ63913"/>
      <c r="EK63913"/>
    </row>
    <row r="63914" spans="1:141" s="116" customFormat="1">
      <c r="A63914" s="136"/>
      <c r="CM63914" s="111"/>
      <c r="CQ63914" s="111"/>
      <c r="EF63914"/>
      <c r="EG63914"/>
      <c r="EH63914"/>
      <c r="EI63914"/>
      <c r="EJ63914"/>
      <c r="EK63914"/>
    </row>
    <row r="63915" spans="1:141" s="116" customFormat="1">
      <c r="A63915" s="136"/>
      <c r="CM63915" s="111"/>
      <c r="CQ63915" s="111"/>
      <c r="EF63915"/>
      <c r="EG63915"/>
      <c r="EH63915"/>
      <c r="EI63915"/>
      <c r="EJ63915"/>
      <c r="EK63915"/>
    </row>
    <row r="63916" spans="1:141" s="116" customFormat="1">
      <c r="A63916" s="136"/>
      <c r="CM63916" s="111"/>
      <c r="CQ63916" s="111"/>
      <c r="EF63916"/>
      <c r="EG63916"/>
      <c r="EH63916"/>
      <c r="EI63916"/>
      <c r="EJ63916"/>
      <c r="EK63916"/>
    </row>
    <row r="63917" spans="1:141" s="116" customFormat="1">
      <c r="A63917" s="136"/>
      <c r="CM63917" s="111"/>
      <c r="CQ63917" s="111"/>
      <c r="EF63917"/>
      <c r="EG63917"/>
      <c r="EH63917"/>
      <c r="EI63917"/>
      <c r="EJ63917"/>
      <c r="EK63917"/>
    </row>
    <row r="63918" spans="1:141" s="116" customFormat="1">
      <c r="A63918" s="136"/>
      <c r="CM63918" s="111"/>
      <c r="CQ63918" s="111"/>
      <c r="EF63918"/>
      <c r="EG63918"/>
      <c r="EH63918"/>
      <c r="EI63918"/>
      <c r="EJ63918"/>
      <c r="EK63918"/>
    </row>
    <row r="63919" spans="1:141" s="116" customFormat="1">
      <c r="A63919" s="136"/>
      <c r="CM63919" s="111"/>
      <c r="CQ63919" s="111"/>
      <c r="EF63919"/>
      <c r="EG63919"/>
      <c r="EH63919"/>
      <c r="EI63919"/>
      <c r="EJ63919"/>
      <c r="EK63919"/>
    </row>
    <row r="63920" spans="1:141" s="116" customFormat="1">
      <c r="A63920" s="136"/>
      <c r="CM63920" s="111"/>
      <c r="CQ63920" s="111"/>
      <c r="EF63920"/>
      <c r="EG63920"/>
      <c r="EH63920"/>
      <c r="EI63920"/>
      <c r="EJ63920"/>
      <c r="EK63920"/>
    </row>
    <row r="63921" spans="1:141" s="116" customFormat="1">
      <c r="A63921" s="136"/>
      <c r="CM63921" s="111"/>
      <c r="CQ63921" s="111"/>
      <c r="EF63921"/>
      <c r="EG63921"/>
      <c r="EH63921"/>
      <c r="EI63921"/>
      <c r="EJ63921"/>
      <c r="EK63921"/>
    </row>
    <row r="63922" spans="1:141" s="116" customFormat="1">
      <c r="A63922" s="136"/>
      <c r="CM63922" s="111"/>
      <c r="CQ63922" s="111"/>
      <c r="EF63922"/>
      <c r="EG63922"/>
      <c r="EH63922"/>
      <c r="EI63922"/>
      <c r="EJ63922"/>
      <c r="EK63922"/>
    </row>
    <row r="63923" spans="1:141" s="116" customFormat="1">
      <c r="A63923" s="136"/>
      <c r="CM63923" s="111"/>
      <c r="CQ63923" s="111"/>
      <c r="EF63923"/>
      <c r="EG63923"/>
      <c r="EH63923"/>
      <c r="EI63923"/>
      <c r="EJ63923"/>
      <c r="EK63923"/>
    </row>
    <row r="63924" spans="1:141" s="116" customFormat="1">
      <c r="A63924" s="136"/>
      <c r="CM63924" s="111"/>
      <c r="CQ63924" s="111"/>
      <c r="EF63924"/>
      <c r="EG63924"/>
      <c r="EH63924"/>
      <c r="EI63924"/>
      <c r="EJ63924"/>
      <c r="EK63924"/>
    </row>
    <row r="63925" spans="1:141" s="116" customFormat="1">
      <c r="A63925" s="136"/>
      <c r="CM63925" s="111"/>
      <c r="CQ63925" s="111"/>
      <c r="EF63925"/>
      <c r="EG63925"/>
      <c r="EH63925"/>
      <c r="EI63925"/>
      <c r="EJ63925"/>
      <c r="EK63925"/>
    </row>
    <row r="63926" spans="1:141" s="116" customFormat="1">
      <c r="A63926" s="136"/>
      <c r="CM63926" s="111"/>
      <c r="CQ63926" s="111"/>
      <c r="EF63926"/>
      <c r="EG63926"/>
      <c r="EH63926"/>
      <c r="EI63926"/>
      <c r="EJ63926"/>
      <c r="EK63926"/>
    </row>
    <row r="63927" spans="1:141" s="116" customFormat="1">
      <c r="A63927" s="136"/>
      <c r="CM63927" s="111"/>
      <c r="CQ63927" s="111"/>
      <c r="EF63927"/>
      <c r="EG63927"/>
      <c r="EH63927"/>
      <c r="EI63927"/>
      <c r="EJ63927"/>
      <c r="EK63927"/>
    </row>
    <row r="63928" spans="1:141" s="116" customFormat="1">
      <c r="A63928" s="136"/>
      <c r="CM63928" s="111"/>
      <c r="CQ63928" s="111"/>
      <c r="EF63928"/>
      <c r="EG63928"/>
      <c r="EH63928"/>
      <c r="EI63928"/>
      <c r="EJ63928"/>
      <c r="EK63928"/>
    </row>
    <row r="63929" spans="1:141" s="116" customFormat="1">
      <c r="A63929" s="136"/>
      <c r="CM63929" s="111"/>
      <c r="CQ63929" s="111"/>
      <c r="EF63929"/>
      <c r="EG63929"/>
      <c r="EH63929"/>
      <c r="EI63929"/>
      <c r="EJ63929"/>
      <c r="EK63929"/>
    </row>
    <row r="63930" spans="1:141" s="116" customFormat="1">
      <c r="A63930" s="136"/>
      <c r="CM63930" s="111"/>
      <c r="CQ63930" s="111"/>
      <c r="EF63930"/>
      <c r="EG63930"/>
      <c r="EH63930"/>
      <c r="EI63930"/>
      <c r="EJ63930"/>
      <c r="EK63930"/>
    </row>
    <row r="63931" spans="1:141" s="116" customFormat="1">
      <c r="A63931" s="136"/>
      <c r="CM63931" s="111"/>
      <c r="CQ63931" s="111"/>
      <c r="EF63931"/>
      <c r="EG63931"/>
      <c r="EH63931"/>
      <c r="EI63931"/>
      <c r="EJ63931"/>
      <c r="EK63931"/>
    </row>
    <row r="63932" spans="1:141" s="116" customFormat="1">
      <c r="A63932" s="136"/>
      <c r="CM63932" s="111"/>
      <c r="CQ63932" s="111"/>
      <c r="EF63932"/>
      <c r="EG63932"/>
      <c r="EH63932"/>
      <c r="EI63932"/>
      <c r="EJ63932"/>
      <c r="EK63932"/>
    </row>
    <row r="63933" spans="1:141" s="116" customFormat="1">
      <c r="A63933" s="136"/>
      <c r="CM63933" s="111"/>
      <c r="CQ63933" s="111"/>
      <c r="EF63933"/>
      <c r="EG63933"/>
      <c r="EH63933"/>
      <c r="EI63933"/>
      <c r="EJ63933"/>
      <c r="EK63933"/>
    </row>
    <row r="63934" spans="1:141" s="116" customFormat="1">
      <c r="A63934" s="136"/>
      <c r="CM63934" s="111"/>
      <c r="CQ63934" s="111"/>
      <c r="EF63934"/>
      <c r="EG63934"/>
      <c r="EH63934"/>
      <c r="EI63934"/>
      <c r="EJ63934"/>
      <c r="EK63934"/>
    </row>
    <row r="63935" spans="1:141" s="116" customFormat="1">
      <c r="A63935" s="136"/>
      <c r="CM63935" s="111"/>
      <c r="CQ63935" s="111"/>
      <c r="EF63935"/>
      <c r="EG63935"/>
      <c r="EH63935"/>
      <c r="EI63935"/>
      <c r="EJ63935"/>
      <c r="EK63935"/>
    </row>
    <row r="63936" spans="1:141" s="116" customFormat="1">
      <c r="A63936" s="136"/>
      <c r="CM63936" s="111"/>
      <c r="CQ63936" s="111"/>
      <c r="EF63936"/>
      <c r="EG63936"/>
      <c r="EH63936"/>
      <c r="EI63936"/>
      <c r="EJ63936"/>
      <c r="EK63936"/>
    </row>
    <row r="63937" spans="1:141" s="116" customFormat="1">
      <c r="A63937" s="136"/>
      <c r="CM63937" s="111"/>
      <c r="CQ63937" s="111"/>
      <c r="EF63937"/>
      <c r="EG63937"/>
      <c r="EH63937"/>
      <c r="EI63937"/>
      <c r="EJ63937"/>
      <c r="EK63937"/>
    </row>
    <row r="63938" spans="1:141" s="116" customFormat="1">
      <c r="A63938" s="136"/>
      <c r="CM63938" s="111"/>
      <c r="CQ63938" s="111"/>
      <c r="EF63938"/>
      <c r="EG63938"/>
      <c r="EH63938"/>
      <c r="EI63938"/>
      <c r="EJ63938"/>
      <c r="EK63938"/>
    </row>
    <row r="63939" spans="1:141" s="116" customFormat="1">
      <c r="A63939" s="136"/>
      <c r="CM63939" s="111"/>
      <c r="CQ63939" s="111"/>
      <c r="EF63939"/>
      <c r="EG63939"/>
      <c r="EH63939"/>
      <c r="EI63939"/>
      <c r="EJ63939"/>
      <c r="EK63939"/>
    </row>
    <row r="63940" spans="1:141" s="116" customFormat="1">
      <c r="A63940" s="136"/>
      <c r="CM63940" s="111"/>
      <c r="CQ63940" s="111"/>
      <c r="EF63940"/>
      <c r="EG63940"/>
      <c r="EH63940"/>
      <c r="EI63940"/>
      <c r="EJ63940"/>
      <c r="EK63940"/>
    </row>
    <row r="63941" spans="1:141" s="116" customFormat="1">
      <c r="A63941" s="136"/>
      <c r="CM63941" s="111"/>
      <c r="CQ63941" s="111"/>
      <c r="EF63941"/>
      <c r="EG63941"/>
      <c r="EH63941"/>
      <c r="EI63941"/>
      <c r="EJ63941"/>
      <c r="EK63941"/>
    </row>
    <row r="63942" spans="1:141" s="116" customFormat="1">
      <c r="A63942" s="136"/>
      <c r="CM63942" s="111"/>
      <c r="CQ63942" s="111"/>
      <c r="EF63942"/>
      <c r="EG63942"/>
      <c r="EH63942"/>
      <c r="EI63942"/>
      <c r="EJ63942"/>
      <c r="EK63942"/>
    </row>
    <row r="63943" spans="1:141" s="116" customFormat="1">
      <c r="A63943" s="136"/>
      <c r="CM63943" s="111"/>
      <c r="CQ63943" s="111"/>
      <c r="EF63943"/>
      <c r="EG63943"/>
      <c r="EH63943"/>
      <c r="EI63943"/>
      <c r="EJ63943"/>
      <c r="EK63943"/>
    </row>
    <row r="63944" spans="1:141" s="116" customFormat="1">
      <c r="A63944" s="136"/>
      <c r="CM63944" s="111"/>
      <c r="CQ63944" s="111"/>
      <c r="EF63944"/>
      <c r="EG63944"/>
      <c r="EH63944"/>
      <c r="EI63944"/>
      <c r="EJ63944"/>
      <c r="EK63944"/>
    </row>
    <row r="63945" spans="1:141" s="116" customFormat="1">
      <c r="A63945" s="136"/>
      <c r="CM63945" s="111"/>
      <c r="CQ63945" s="111"/>
      <c r="EF63945"/>
      <c r="EG63945"/>
      <c r="EH63945"/>
      <c r="EI63945"/>
      <c r="EJ63945"/>
      <c r="EK63945"/>
    </row>
    <row r="63946" spans="1:141" s="116" customFormat="1">
      <c r="A63946" s="136"/>
      <c r="CM63946" s="111"/>
      <c r="CQ63946" s="111"/>
      <c r="EF63946"/>
      <c r="EG63946"/>
      <c r="EH63946"/>
      <c r="EI63946"/>
      <c r="EJ63946"/>
      <c r="EK63946"/>
    </row>
    <row r="63947" spans="1:141" s="116" customFormat="1">
      <c r="A63947" s="136"/>
      <c r="CM63947" s="111"/>
      <c r="CQ63947" s="111"/>
      <c r="EF63947"/>
      <c r="EG63947"/>
      <c r="EH63947"/>
      <c r="EI63947"/>
      <c r="EJ63947"/>
      <c r="EK63947"/>
    </row>
    <row r="63948" spans="1:141" s="116" customFormat="1">
      <c r="A63948" s="136"/>
      <c r="CM63948" s="111"/>
      <c r="CQ63948" s="111"/>
      <c r="EF63948"/>
      <c r="EG63948"/>
      <c r="EH63948"/>
      <c r="EI63948"/>
      <c r="EJ63948"/>
      <c r="EK63948"/>
    </row>
    <row r="63949" spans="1:141" s="116" customFormat="1">
      <c r="A63949" s="136"/>
      <c r="CM63949" s="111"/>
      <c r="CQ63949" s="111"/>
      <c r="EF63949"/>
      <c r="EG63949"/>
      <c r="EH63949"/>
      <c r="EI63949"/>
      <c r="EJ63949"/>
      <c r="EK63949"/>
    </row>
    <row r="63950" spans="1:141" s="116" customFormat="1">
      <c r="A63950" s="136"/>
      <c r="CM63950" s="111"/>
      <c r="CQ63950" s="111"/>
      <c r="EF63950"/>
      <c r="EG63950"/>
      <c r="EH63950"/>
      <c r="EI63950"/>
      <c r="EJ63950"/>
      <c r="EK63950"/>
    </row>
    <row r="63951" spans="1:141" s="116" customFormat="1">
      <c r="A63951" s="136"/>
      <c r="CM63951" s="111"/>
      <c r="CQ63951" s="111"/>
      <c r="EF63951"/>
      <c r="EG63951"/>
      <c r="EH63951"/>
      <c r="EI63951"/>
      <c r="EJ63951"/>
      <c r="EK63951"/>
    </row>
    <row r="63952" spans="1:141" s="116" customFormat="1">
      <c r="A63952" s="136"/>
      <c r="CM63952" s="111"/>
      <c r="CQ63952" s="111"/>
      <c r="EF63952"/>
      <c r="EG63952"/>
      <c r="EH63952"/>
      <c r="EI63952"/>
      <c r="EJ63952"/>
      <c r="EK63952"/>
    </row>
    <row r="63953" spans="1:141" s="116" customFormat="1">
      <c r="A63953" s="136"/>
      <c r="CM63953" s="111"/>
      <c r="CQ63953" s="111"/>
      <c r="EF63953"/>
      <c r="EG63953"/>
      <c r="EH63953"/>
      <c r="EI63953"/>
      <c r="EJ63953"/>
      <c r="EK63953"/>
    </row>
    <row r="63954" spans="1:141" s="116" customFormat="1">
      <c r="A63954" s="136"/>
      <c r="CM63954" s="111"/>
      <c r="CQ63954" s="111"/>
      <c r="EF63954"/>
      <c r="EG63954"/>
      <c r="EH63954"/>
      <c r="EI63954"/>
      <c r="EJ63954"/>
      <c r="EK63954"/>
    </row>
    <row r="63955" spans="1:141" s="116" customFormat="1">
      <c r="A63955" s="136"/>
      <c r="CM63955" s="111"/>
      <c r="CQ63955" s="111"/>
      <c r="EF63955"/>
      <c r="EG63955"/>
      <c r="EH63955"/>
      <c r="EI63955"/>
      <c r="EJ63955"/>
      <c r="EK63955"/>
    </row>
    <row r="63956" spans="1:141" s="116" customFormat="1">
      <c r="A63956" s="136"/>
      <c r="CM63956" s="111"/>
      <c r="CQ63956" s="111"/>
      <c r="EF63956"/>
      <c r="EG63956"/>
      <c r="EH63956"/>
      <c r="EI63956"/>
      <c r="EJ63956"/>
      <c r="EK63956"/>
    </row>
    <row r="63957" spans="1:141" s="116" customFormat="1">
      <c r="A63957" s="136"/>
      <c r="CM63957" s="111"/>
      <c r="CQ63957" s="111"/>
      <c r="EF63957"/>
      <c r="EG63957"/>
      <c r="EH63957"/>
      <c r="EI63957"/>
      <c r="EJ63957"/>
      <c r="EK63957"/>
    </row>
    <row r="63958" spans="1:141" s="116" customFormat="1">
      <c r="A63958" s="136"/>
      <c r="CM63958" s="111"/>
      <c r="CQ63958" s="111"/>
      <c r="EF63958"/>
      <c r="EG63958"/>
      <c r="EH63958"/>
      <c r="EI63958"/>
      <c r="EJ63958"/>
      <c r="EK63958"/>
    </row>
    <row r="63959" spans="1:141" s="116" customFormat="1">
      <c r="A63959" s="136"/>
      <c r="CM63959" s="111"/>
      <c r="CQ63959" s="111"/>
      <c r="EF63959"/>
      <c r="EG63959"/>
      <c r="EH63959"/>
      <c r="EI63959"/>
      <c r="EJ63959"/>
      <c r="EK63959"/>
    </row>
    <row r="63960" spans="1:141" s="116" customFormat="1">
      <c r="A63960" s="136"/>
      <c r="CM63960" s="111"/>
      <c r="CQ63960" s="111"/>
      <c r="EF63960"/>
      <c r="EG63960"/>
      <c r="EH63960"/>
      <c r="EI63960"/>
      <c r="EJ63960"/>
      <c r="EK63960"/>
    </row>
    <row r="63961" spans="1:141" s="116" customFormat="1">
      <c r="A63961" s="136"/>
      <c r="CM63961" s="111"/>
      <c r="CQ63961" s="111"/>
      <c r="EF63961"/>
      <c r="EG63961"/>
      <c r="EH63961"/>
      <c r="EI63961"/>
      <c r="EJ63961"/>
      <c r="EK63961"/>
    </row>
    <row r="63962" spans="1:141" s="116" customFormat="1">
      <c r="A63962" s="136"/>
      <c r="CM63962" s="111"/>
      <c r="CQ63962" s="111"/>
      <c r="EF63962"/>
      <c r="EG63962"/>
      <c r="EH63962"/>
      <c r="EI63962"/>
      <c r="EJ63962"/>
      <c r="EK63962"/>
    </row>
    <row r="63963" spans="1:141" s="116" customFormat="1">
      <c r="A63963" s="136"/>
      <c r="CM63963" s="111"/>
      <c r="CQ63963" s="111"/>
      <c r="EF63963"/>
      <c r="EG63963"/>
      <c r="EH63963"/>
      <c r="EI63963"/>
      <c r="EJ63963"/>
      <c r="EK63963"/>
    </row>
    <row r="63964" spans="1:141" s="116" customFormat="1">
      <c r="A63964" s="136"/>
      <c r="CM63964" s="111"/>
      <c r="CQ63964" s="111"/>
      <c r="EF63964"/>
      <c r="EG63964"/>
      <c r="EH63964"/>
      <c r="EI63964"/>
      <c r="EJ63964"/>
      <c r="EK63964"/>
    </row>
    <row r="63965" spans="1:141" s="116" customFormat="1">
      <c r="A63965" s="136"/>
      <c r="CM63965" s="111"/>
      <c r="CQ63965" s="111"/>
      <c r="EF63965"/>
      <c r="EG63965"/>
      <c r="EH63965"/>
      <c r="EI63965"/>
      <c r="EJ63965"/>
      <c r="EK63965"/>
    </row>
    <row r="63966" spans="1:141" s="116" customFormat="1">
      <c r="A63966" s="136"/>
      <c r="CM63966" s="111"/>
      <c r="CQ63966" s="111"/>
      <c r="EF63966"/>
      <c r="EG63966"/>
      <c r="EH63966"/>
      <c r="EI63966"/>
      <c r="EJ63966"/>
      <c r="EK63966"/>
    </row>
    <row r="63967" spans="1:141" s="116" customFormat="1">
      <c r="A63967" s="136"/>
      <c r="CM63967" s="111"/>
      <c r="CQ63967" s="111"/>
      <c r="EF63967"/>
      <c r="EG63967"/>
      <c r="EH63967"/>
      <c r="EI63967"/>
      <c r="EJ63967"/>
      <c r="EK63967"/>
    </row>
    <row r="63968" spans="1:141" s="116" customFormat="1">
      <c r="A63968" s="136"/>
      <c r="CM63968" s="111"/>
      <c r="CQ63968" s="111"/>
      <c r="EF63968"/>
      <c r="EG63968"/>
      <c r="EH63968"/>
      <c r="EI63968"/>
      <c r="EJ63968"/>
      <c r="EK63968"/>
    </row>
    <row r="63969" spans="1:141" s="116" customFormat="1">
      <c r="A63969" s="136"/>
      <c r="CM63969" s="111"/>
      <c r="CQ63969" s="111"/>
      <c r="EF63969"/>
      <c r="EG63969"/>
      <c r="EH63969"/>
      <c r="EI63969"/>
      <c r="EJ63969"/>
      <c r="EK63969"/>
    </row>
    <row r="63970" spans="1:141" s="116" customFormat="1">
      <c r="A63970" s="136"/>
      <c r="CM63970" s="111"/>
      <c r="CQ63970" s="111"/>
      <c r="EF63970"/>
      <c r="EG63970"/>
      <c r="EH63970"/>
      <c r="EI63970"/>
      <c r="EJ63970"/>
      <c r="EK63970"/>
    </row>
    <row r="63971" spans="1:141" s="116" customFormat="1">
      <c r="A63971" s="136"/>
      <c r="CM63971" s="111"/>
      <c r="CQ63971" s="111"/>
      <c r="EF63971"/>
      <c r="EG63971"/>
      <c r="EH63971"/>
      <c r="EI63971"/>
      <c r="EJ63971"/>
      <c r="EK63971"/>
    </row>
    <row r="63972" spans="1:141" s="116" customFormat="1">
      <c r="A63972" s="136"/>
      <c r="CM63972" s="111"/>
      <c r="CQ63972" s="111"/>
      <c r="EF63972"/>
      <c r="EG63972"/>
      <c r="EH63972"/>
      <c r="EI63972"/>
      <c r="EJ63972"/>
      <c r="EK63972"/>
    </row>
    <row r="63973" spans="1:141" s="116" customFormat="1">
      <c r="A63973" s="136"/>
      <c r="CM63973" s="111"/>
      <c r="CQ63973" s="111"/>
      <c r="EF63973"/>
      <c r="EG63973"/>
      <c r="EH63973"/>
      <c r="EI63973"/>
      <c r="EJ63973"/>
      <c r="EK63973"/>
    </row>
    <row r="63974" spans="1:141" s="116" customFormat="1">
      <c r="A63974" s="136"/>
      <c r="CM63974" s="111"/>
      <c r="CQ63974" s="111"/>
      <c r="EF63974"/>
      <c r="EG63974"/>
      <c r="EH63974"/>
      <c r="EI63974"/>
      <c r="EJ63974"/>
      <c r="EK63974"/>
    </row>
    <row r="63975" spans="1:141" s="116" customFormat="1">
      <c r="A63975" s="136"/>
      <c r="CM63975" s="111"/>
      <c r="CQ63975" s="111"/>
      <c r="EF63975"/>
      <c r="EG63975"/>
      <c r="EH63975"/>
      <c r="EI63975"/>
      <c r="EJ63975"/>
      <c r="EK63975"/>
    </row>
    <row r="63976" spans="1:141" s="116" customFormat="1">
      <c r="A63976" s="136"/>
      <c r="CM63976" s="111"/>
      <c r="CQ63976" s="111"/>
      <c r="EF63976"/>
      <c r="EG63976"/>
      <c r="EH63976"/>
      <c r="EI63976"/>
      <c r="EJ63976"/>
      <c r="EK63976"/>
    </row>
    <row r="63977" spans="1:141" s="116" customFormat="1">
      <c r="A63977" s="136"/>
      <c r="CM63977" s="111"/>
      <c r="CQ63977" s="111"/>
      <c r="EF63977"/>
      <c r="EG63977"/>
      <c r="EH63977"/>
      <c r="EI63977"/>
      <c r="EJ63977"/>
      <c r="EK63977"/>
    </row>
    <row r="63978" spans="1:141" s="116" customFormat="1">
      <c r="A63978" s="136"/>
      <c r="CM63978" s="111"/>
      <c r="CQ63978" s="111"/>
      <c r="EF63978"/>
      <c r="EG63978"/>
      <c r="EH63978"/>
      <c r="EI63978"/>
      <c r="EJ63978"/>
      <c r="EK63978"/>
    </row>
    <row r="63979" spans="1:141" s="116" customFormat="1">
      <c r="A63979" s="136"/>
      <c r="CM63979" s="111"/>
      <c r="CQ63979" s="111"/>
      <c r="EF63979"/>
      <c r="EG63979"/>
      <c r="EH63979"/>
      <c r="EI63979"/>
      <c r="EJ63979"/>
      <c r="EK63979"/>
    </row>
    <row r="63980" spans="1:141" s="116" customFormat="1">
      <c r="A63980" s="136"/>
      <c r="CM63980" s="111"/>
      <c r="CQ63980" s="111"/>
      <c r="EF63980"/>
      <c r="EG63980"/>
      <c r="EH63980"/>
      <c r="EI63980"/>
      <c r="EJ63980"/>
      <c r="EK63980"/>
    </row>
    <row r="63981" spans="1:141" s="116" customFormat="1">
      <c r="A63981" s="136"/>
      <c r="CM63981" s="111"/>
      <c r="CQ63981" s="111"/>
      <c r="EF63981"/>
      <c r="EG63981"/>
      <c r="EH63981"/>
      <c r="EI63981"/>
      <c r="EJ63981"/>
      <c r="EK63981"/>
    </row>
    <row r="63982" spans="1:141" s="116" customFormat="1">
      <c r="A63982" s="136"/>
      <c r="CM63982" s="111"/>
      <c r="CQ63982" s="111"/>
      <c r="EF63982"/>
      <c r="EG63982"/>
      <c r="EH63982"/>
      <c r="EI63982"/>
      <c r="EJ63982"/>
      <c r="EK63982"/>
    </row>
    <row r="63983" spans="1:141" s="116" customFormat="1">
      <c r="A63983" s="136"/>
      <c r="CM63983" s="111"/>
      <c r="CQ63983" s="111"/>
      <c r="EF63983"/>
      <c r="EG63983"/>
      <c r="EH63983"/>
      <c r="EI63983"/>
      <c r="EJ63983"/>
      <c r="EK63983"/>
    </row>
    <row r="63984" spans="1:141" s="116" customFormat="1">
      <c r="A63984" s="136"/>
      <c r="CM63984" s="111"/>
      <c r="CQ63984" s="111"/>
      <c r="EF63984"/>
      <c r="EG63984"/>
      <c r="EH63984"/>
      <c r="EI63984"/>
      <c r="EJ63984"/>
      <c r="EK63984"/>
    </row>
    <row r="63985" spans="1:141" s="116" customFormat="1">
      <c r="A63985" s="136"/>
      <c r="CM63985" s="111"/>
      <c r="CQ63985" s="111"/>
      <c r="EF63985"/>
      <c r="EG63985"/>
      <c r="EH63985"/>
      <c r="EI63985"/>
      <c r="EJ63985"/>
      <c r="EK63985"/>
    </row>
    <row r="63986" spans="1:141" s="116" customFormat="1">
      <c r="A63986" s="136"/>
      <c r="CM63986" s="111"/>
      <c r="CQ63986" s="111"/>
      <c r="EF63986"/>
      <c r="EG63986"/>
      <c r="EH63986"/>
      <c r="EI63986"/>
      <c r="EJ63986"/>
      <c r="EK63986"/>
    </row>
    <row r="63987" spans="1:141" s="116" customFormat="1">
      <c r="A63987" s="136"/>
      <c r="CM63987" s="111"/>
      <c r="CQ63987" s="111"/>
      <c r="EF63987"/>
      <c r="EG63987"/>
      <c r="EH63987"/>
      <c r="EI63987"/>
      <c r="EJ63987"/>
      <c r="EK63987"/>
    </row>
    <row r="63988" spans="1:141" s="116" customFormat="1">
      <c r="A63988" s="136"/>
      <c r="CM63988" s="111"/>
      <c r="CQ63988" s="111"/>
      <c r="EF63988"/>
      <c r="EG63988"/>
      <c r="EH63988"/>
      <c r="EI63988"/>
      <c r="EJ63988"/>
      <c r="EK63988"/>
    </row>
    <row r="63989" spans="1:141" s="116" customFormat="1">
      <c r="A63989" s="136"/>
      <c r="CM63989" s="111"/>
      <c r="CQ63989" s="111"/>
      <c r="EF63989"/>
      <c r="EG63989"/>
      <c r="EH63989"/>
      <c r="EI63989"/>
      <c r="EJ63989"/>
      <c r="EK63989"/>
    </row>
    <row r="63990" spans="1:141" s="116" customFormat="1">
      <c r="A63990" s="136"/>
      <c r="CM63990" s="111"/>
      <c r="CQ63990" s="111"/>
      <c r="EF63990"/>
      <c r="EG63990"/>
      <c r="EH63990"/>
      <c r="EI63990"/>
      <c r="EJ63990"/>
      <c r="EK63990"/>
    </row>
    <row r="63991" spans="1:141" s="116" customFormat="1">
      <c r="A63991" s="136"/>
      <c r="CM63991" s="111"/>
      <c r="CQ63991" s="111"/>
      <c r="EF63991"/>
      <c r="EG63991"/>
      <c r="EH63991"/>
      <c r="EI63991"/>
      <c r="EJ63991"/>
      <c r="EK63991"/>
    </row>
    <row r="63992" spans="1:141" s="116" customFormat="1">
      <c r="A63992" s="136"/>
      <c r="CM63992" s="111"/>
      <c r="CQ63992" s="111"/>
      <c r="EF63992"/>
      <c r="EG63992"/>
      <c r="EH63992"/>
      <c r="EI63992"/>
      <c r="EJ63992"/>
      <c r="EK63992"/>
    </row>
    <row r="63993" spans="1:141" s="116" customFormat="1">
      <c r="A63993" s="136"/>
      <c r="CM63993" s="111"/>
      <c r="CQ63993" s="111"/>
      <c r="EF63993"/>
      <c r="EG63993"/>
      <c r="EH63993"/>
      <c r="EI63993"/>
      <c r="EJ63993"/>
      <c r="EK63993"/>
    </row>
    <row r="63994" spans="1:141" s="116" customFormat="1">
      <c r="A63994" s="136"/>
      <c r="CM63994" s="111"/>
      <c r="CQ63994" s="111"/>
      <c r="EF63994"/>
      <c r="EG63994"/>
      <c r="EH63994"/>
      <c r="EI63994"/>
      <c r="EJ63994"/>
      <c r="EK63994"/>
    </row>
    <row r="63995" spans="1:141" s="116" customFormat="1">
      <c r="A63995" s="136"/>
      <c r="CM63995" s="111"/>
      <c r="CQ63995" s="111"/>
      <c r="EF63995"/>
      <c r="EG63995"/>
      <c r="EH63995"/>
      <c r="EI63995"/>
      <c r="EJ63995"/>
      <c r="EK63995"/>
    </row>
    <row r="63996" spans="1:141" s="116" customFormat="1">
      <c r="A63996" s="136"/>
      <c r="CM63996" s="111"/>
      <c r="CQ63996" s="111"/>
      <c r="EF63996"/>
      <c r="EG63996"/>
      <c r="EH63996"/>
      <c r="EI63996"/>
      <c r="EJ63996"/>
      <c r="EK63996"/>
    </row>
    <row r="63997" spans="1:141" s="116" customFormat="1">
      <c r="A63997" s="136"/>
      <c r="CM63997" s="111"/>
      <c r="CQ63997" s="111"/>
      <c r="EF63997"/>
      <c r="EG63997"/>
      <c r="EH63997"/>
      <c r="EI63997"/>
      <c r="EJ63997"/>
      <c r="EK63997"/>
    </row>
    <row r="63998" spans="1:141" s="116" customFormat="1">
      <c r="A63998" s="136"/>
      <c r="CM63998" s="111"/>
      <c r="CQ63998" s="111"/>
      <c r="EF63998"/>
      <c r="EG63998"/>
      <c r="EH63998"/>
      <c r="EI63998"/>
      <c r="EJ63998"/>
      <c r="EK63998"/>
    </row>
    <row r="63999" spans="1:141" s="116" customFormat="1">
      <c r="A63999" s="136"/>
      <c r="CM63999" s="111"/>
      <c r="CQ63999" s="111"/>
      <c r="EF63999"/>
      <c r="EG63999"/>
      <c r="EH63999"/>
      <c r="EI63999"/>
      <c r="EJ63999"/>
      <c r="EK63999"/>
    </row>
    <row r="64000" spans="1:141" s="116" customFormat="1">
      <c r="A64000" s="136"/>
      <c r="CM64000" s="111"/>
      <c r="CQ64000" s="111"/>
      <c r="EF64000"/>
      <c r="EG64000"/>
      <c r="EH64000"/>
      <c r="EI64000"/>
      <c r="EJ64000"/>
      <c r="EK64000"/>
    </row>
    <row r="64001" spans="1:141" s="116" customFormat="1">
      <c r="A64001" s="136"/>
      <c r="CM64001" s="111"/>
      <c r="CQ64001" s="111"/>
      <c r="EF64001"/>
      <c r="EG64001"/>
      <c r="EH64001"/>
      <c r="EI64001"/>
      <c r="EJ64001"/>
      <c r="EK64001"/>
    </row>
    <row r="64002" spans="1:141" s="116" customFormat="1">
      <c r="A64002" s="136"/>
      <c r="CM64002" s="111"/>
      <c r="CQ64002" s="111"/>
      <c r="EF64002"/>
      <c r="EG64002"/>
      <c r="EH64002"/>
      <c r="EI64002"/>
      <c r="EJ64002"/>
      <c r="EK64002"/>
    </row>
    <row r="64003" spans="1:141" s="116" customFormat="1">
      <c r="A64003" s="136"/>
      <c r="CM64003" s="111"/>
      <c r="CQ64003" s="111"/>
      <c r="EF64003"/>
      <c r="EG64003"/>
      <c r="EH64003"/>
      <c r="EI64003"/>
      <c r="EJ64003"/>
      <c r="EK64003"/>
    </row>
    <row r="64004" spans="1:141" s="116" customFormat="1">
      <c r="A64004" s="136"/>
      <c r="CM64004" s="111"/>
      <c r="CQ64004" s="111"/>
      <c r="EF64004"/>
      <c r="EG64004"/>
      <c r="EH64004"/>
      <c r="EI64004"/>
      <c r="EJ64004"/>
      <c r="EK64004"/>
    </row>
    <row r="64005" spans="1:141" s="116" customFormat="1">
      <c r="A64005" s="136"/>
      <c r="CM64005" s="111"/>
      <c r="CQ64005" s="111"/>
      <c r="EF64005"/>
      <c r="EG64005"/>
      <c r="EH64005"/>
      <c r="EI64005"/>
      <c r="EJ64005"/>
      <c r="EK64005"/>
    </row>
    <row r="64006" spans="1:141" s="116" customFormat="1">
      <c r="A64006" s="136"/>
      <c r="CM64006" s="111"/>
      <c r="CQ64006" s="111"/>
      <c r="EF64006"/>
      <c r="EG64006"/>
      <c r="EH64006"/>
      <c r="EI64006"/>
      <c r="EJ64006"/>
      <c r="EK64006"/>
    </row>
    <row r="64007" spans="1:141" s="116" customFormat="1">
      <c r="A64007" s="136"/>
      <c r="CM64007" s="111"/>
      <c r="CQ64007" s="111"/>
      <c r="EF64007"/>
      <c r="EG64007"/>
      <c r="EH64007"/>
      <c r="EI64007"/>
      <c r="EJ64007"/>
      <c r="EK64007"/>
    </row>
    <row r="64008" spans="1:141" s="116" customFormat="1">
      <c r="A64008" s="136"/>
      <c r="CM64008" s="111"/>
      <c r="CQ64008" s="111"/>
      <c r="EF64008"/>
      <c r="EG64008"/>
      <c r="EH64008"/>
      <c r="EI64008"/>
      <c r="EJ64008"/>
      <c r="EK64008"/>
    </row>
    <row r="64009" spans="1:141" s="116" customFormat="1">
      <c r="A64009" s="136"/>
      <c r="CM64009" s="111"/>
      <c r="CQ64009" s="111"/>
      <c r="EF64009"/>
      <c r="EG64009"/>
      <c r="EH64009"/>
      <c r="EI64009"/>
      <c r="EJ64009"/>
      <c r="EK64009"/>
    </row>
    <row r="64010" spans="1:141" s="116" customFormat="1">
      <c r="A64010" s="136"/>
      <c r="CM64010" s="111"/>
      <c r="CQ64010" s="111"/>
      <c r="EF64010"/>
      <c r="EG64010"/>
      <c r="EH64010"/>
      <c r="EI64010"/>
      <c r="EJ64010"/>
      <c r="EK64010"/>
    </row>
    <row r="64011" spans="1:141" s="116" customFormat="1">
      <c r="A64011" s="136"/>
      <c r="CM64011" s="111"/>
      <c r="CQ64011" s="111"/>
      <c r="EF64011"/>
      <c r="EG64011"/>
      <c r="EH64011"/>
      <c r="EI64011"/>
      <c r="EJ64011"/>
      <c r="EK64011"/>
    </row>
    <row r="64012" spans="1:141" s="116" customFormat="1">
      <c r="A64012" s="136"/>
      <c r="CM64012" s="111"/>
      <c r="CQ64012" s="111"/>
      <c r="EF64012"/>
      <c r="EG64012"/>
      <c r="EH64012"/>
      <c r="EI64012"/>
      <c r="EJ64012"/>
      <c r="EK64012"/>
    </row>
    <row r="64013" spans="1:141" s="116" customFormat="1">
      <c r="A64013" s="136"/>
      <c r="CM64013" s="111"/>
      <c r="CQ64013" s="111"/>
      <c r="EF64013"/>
      <c r="EG64013"/>
      <c r="EH64013"/>
      <c r="EI64013"/>
      <c r="EJ64013"/>
      <c r="EK64013"/>
    </row>
    <row r="64014" spans="1:141" s="116" customFormat="1">
      <c r="A64014" s="136"/>
      <c r="CM64014" s="111"/>
      <c r="CQ64014" s="111"/>
      <c r="EF64014"/>
      <c r="EG64014"/>
      <c r="EH64014"/>
      <c r="EI64014"/>
      <c r="EJ64014"/>
      <c r="EK64014"/>
    </row>
    <row r="64015" spans="1:141" s="116" customFormat="1">
      <c r="A64015" s="136"/>
      <c r="CM64015" s="111"/>
      <c r="CQ64015" s="111"/>
      <c r="EF64015"/>
      <c r="EG64015"/>
      <c r="EH64015"/>
      <c r="EI64015"/>
      <c r="EJ64015"/>
      <c r="EK64015"/>
    </row>
    <row r="64016" spans="1:141" s="116" customFormat="1">
      <c r="A64016" s="136"/>
      <c r="CM64016" s="111"/>
      <c r="CQ64016" s="111"/>
      <c r="EF64016"/>
      <c r="EG64016"/>
      <c r="EH64016"/>
      <c r="EI64016"/>
      <c r="EJ64016"/>
      <c r="EK64016"/>
    </row>
    <row r="64017" spans="1:141" s="116" customFormat="1">
      <c r="A64017" s="136"/>
      <c r="CM64017" s="111"/>
      <c r="CQ64017" s="111"/>
      <c r="EF64017"/>
      <c r="EG64017"/>
      <c r="EH64017"/>
      <c r="EI64017"/>
      <c r="EJ64017"/>
      <c r="EK64017"/>
    </row>
    <row r="64018" spans="1:141" s="116" customFormat="1">
      <c r="A64018" s="136"/>
      <c r="CM64018" s="111"/>
      <c r="CQ64018" s="111"/>
      <c r="EF64018"/>
      <c r="EG64018"/>
      <c r="EH64018"/>
      <c r="EI64018"/>
      <c r="EJ64018"/>
      <c r="EK64018"/>
    </row>
    <row r="64019" spans="1:141" s="116" customFormat="1">
      <c r="A64019" s="136"/>
      <c r="CM64019" s="111"/>
      <c r="CQ64019" s="111"/>
      <c r="EF64019"/>
      <c r="EG64019"/>
      <c r="EH64019"/>
      <c r="EI64019"/>
      <c r="EJ64019"/>
      <c r="EK64019"/>
    </row>
    <row r="64020" spans="1:141" s="116" customFormat="1">
      <c r="A64020" s="136"/>
      <c r="CM64020" s="111"/>
      <c r="CQ64020" s="111"/>
      <c r="EF64020"/>
      <c r="EG64020"/>
      <c r="EH64020"/>
      <c r="EI64020"/>
      <c r="EJ64020"/>
      <c r="EK64020"/>
    </row>
    <row r="64021" spans="1:141" s="116" customFormat="1">
      <c r="A64021" s="136"/>
      <c r="CM64021" s="111"/>
      <c r="CQ64021" s="111"/>
      <c r="EF64021"/>
      <c r="EG64021"/>
      <c r="EH64021"/>
      <c r="EI64021"/>
      <c r="EJ64021"/>
      <c r="EK64021"/>
    </row>
    <row r="64022" spans="1:141" s="116" customFormat="1">
      <c r="A64022" s="136"/>
      <c r="CM64022" s="111"/>
      <c r="CQ64022" s="111"/>
      <c r="EF64022"/>
      <c r="EG64022"/>
      <c r="EH64022"/>
      <c r="EI64022"/>
      <c r="EJ64022"/>
      <c r="EK64022"/>
    </row>
    <row r="64023" spans="1:141" s="116" customFormat="1">
      <c r="A64023" s="136"/>
      <c r="CM64023" s="111"/>
      <c r="CQ64023" s="111"/>
      <c r="EF64023"/>
      <c r="EG64023"/>
      <c r="EH64023"/>
      <c r="EI64023"/>
      <c r="EJ64023"/>
      <c r="EK64023"/>
    </row>
    <row r="64024" spans="1:141" s="116" customFormat="1">
      <c r="A64024" s="136"/>
      <c r="CM64024" s="111"/>
      <c r="CQ64024" s="111"/>
      <c r="EF64024"/>
      <c r="EG64024"/>
      <c r="EH64024"/>
      <c r="EI64024"/>
      <c r="EJ64024"/>
      <c r="EK64024"/>
    </row>
    <row r="64025" spans="1:141" s="116" customFormat="1">
      <c r="A64025" s="136"/>
      <c r="CM64025" s="111"/>
      <c r="CQ64025" s="111"/>
      <c r="EF64025"/>
      <c r="EG64025"/>
      <c r="EH64025"/>
      <c r="EI64025"/>
      <c r="EJ64025"/>
      <c r="EK64025"/>
    </row>
    <row r="64026" spans="1:141" s="116" customFormat="1">
      <c r="A64026" s="136"/>
      <c r="CM64026" s="111"/>
      <c r="CQ64026" s="111"/>
      <c r="EF64026"/>
      <c r="EG64026"/>
      <c r="EH64026"/>
      <c r="EI64026"/>
      <c r="EJ64026"/>
      <c r="EK64026"/>
    </row>
    <row r="64027" spans="1:141" s="116" customFormat="1">
      <c r="A64027" s="136"/>
      <c r="CM64027" s="111"/>
      <c r="CQ64027" s="111"/>
      <c r="EF64027"/>
      <c r="EG64027"/>
      <c r="EH64027"/>
      <c r="EI64027"/>
      <c r="EJ64027"/>
      <c r="EK64027"/>
    </row>
    <row r="64028" spans="1:141" s="116" customFormat="1">
      <c r="A64028" s="136"/>
      <c r="CM64028" s="111"/>
      <c r="CQ64028" s="111"/>
      <c r="EF64028"/>
      <c r="EG64028"/>
      <c r="EH64028"/>
      <c r="EI64028"/>
      <c r="EJ64028"/>
      <c r="EK64028"/>
    </row>
    <row r="64029" spans="1:141" s="116" customFormat="1">
      <c r="A64029" s="136"/>
      <c r="CM64029" s="111"/>
      <c r="CQ64029" s="111"/>
      <c r="EF64029"/>
      <c r="EG64029"/>
      <c r="EH64029"/>
      <c r="EI64029"/>
      <c r="EJ64029"/>
      <c r="EK64029"/>
    </row>
    <row r="64030" spans="1:141" s="116" customFormat="1">
      <c r="A64030" s="136"/>
      <c r="CM64030" s="111"/>
      <c r="CQ64030" s="111"/>
      <c r="EF64030"/>
      <c r="EG64030"/>
      <c r="EH64030"/>
      <c r="EI64030"/>
      <c r="EJ64030"/>
      <c r="EK64030"/>
    </row>
    <row r="64031" spans="1:141" s="116" customFormat="1">
      <c r="A64031" s="136"/>
      <c r="CM64031" s="111"/>
      <c r="CQ64031" s="111"/>
      <c r="EF64031"/>
      <c r="EG64031"/>
      <c r="EH64031"/>
      <c r="EI64031"/>
      <c r="EJ64031"/>
      <c r="EK64031"/>
    </row>
    <row r="64032" spans="1:141" s="116" customFormat="1">
      <c r="A64032" s="136"/>
      <c r="CM64032" s="111"/>
      <c r="CQ64032" s="111"/>
      <c r="EF64032"/>
      <c r="EG64032"/>
      <c r="EH64032"/>
      <c r="EI64032"/>
      <c r="EJ64032"/>
      <c r="EK64032"/>
    </row>
    <row r="64033" spans="1:141" s="116" customFormat="1">
      <c r="A64033" s="136"/>
      <c r="CM64033" s="111"/>
      <c r="CQ64033" s="111"/>
      <c r="EF64033"/>
      <c r="EG64033"/>
      <c r="EH64033"/>
      <c r="EI64033"/>
      <c r="EJ64033"/>
      <c r="EK64033"/>
    </row>
    <row r="64034" spans="1:141" s="116" customFormat="1">
      <c r="A64034" s="136"/>
      <c r="CM64034" s="111"/>
      <c r="CQ64034" s="111"/>
      <c r="EF64034"/>
      <c r="EG64034"/>
      <c r="EH64034"/>
      <c r="EI64034"/>
      <c r="EJ64034"/>
      <c r="EK64034"/>
    </row>
    <row r="64035" spans="1:141" s="116" customFormat="1">
      <c r="A64035" s="136"/>
      <c r="CM64035" s="111"/>
      <c r="CQ64035" s="111"/>
      <c r="EF64035"/>
      <c r="EG64035"/>
      <c r="EH64035"/>
      <c r="EI64035"/>
      <c r="EJ64035"/>
      <c r="EK64035"/>
    </row>
    <row r="64036" spans="1:141" s="116" customFormat="1">
      <c r="A64036" s="136"/>
      <c r="CM64036" s="111"/>
      <c r="CQ64036" s="111"/>
      <c r="EF64036"/>
      <c r="EG64036"/>
      <c r="EH64036"/>
      <c r="EI64036"/>
      <c r="EJ64036"/>
      <c r="EK64036"/>
    </row>
    <row r="64037" spans="1:141" s="116" customFormat="1">
      <c r="A64037" s="136"/>
      <c r="CM64037" s="111"/>
      <c r="CQ64037" s="111"/>
      <c r="EF64037"/>
      <c r="EG64037"/>
      <c r="EH64037"/>
      <c r="EI64037"/>
      <c r="EJ64037"/>
      <c r="EK64037"/>
    </row>
    <row r="64038" spans="1:141" s="116" customFormat="1">
      <c r="A64038" s="136"/>
      <c r="CM64038" s="111"/>
      <c r="CQ64038" s="111"/>
      <c r="EF64038"/>
      <c r="EG64038"/>
      <c r="EH64038"/>
      <c r="EI64038"/>
      <c r="EJ64038"/>
      <c r="EK64038"/>
    </row>
    <row r="64039" spans="1:141" s="116" customFormat="1">
      <c r="A64039" s="136"/>
      <c r="CM64039" s="111"/>
      <c r="CQ64039" s="111"/>
      <c r="EF64039"/>
      <c r="EG64039"/>
      <c r="EH64039"/>
      <c r="EI64039"/>
      <c r="EJ64039"/>
      <c r="EK64039"/>
    </row>
    <row r="64040" spans="1:141" s="116" customFormat="1">
      <c r="A64040" s="136"/>
      <c r="CM64040" s="111"/>
      <c r="CQ64040" s="111"/>
      <c r="EF64040"/>
      <c r="EG64040"/>
      <c r="EH64040"/>
      <c r="EI64040"/>
      <c r="EJ64040"/>
      <c r="EK64040"/>
    </row>
    <row r="64041" spans="1:141" s="116" customFormat="1">
      <c r="A64041" s="136"/>
      <c r="CM64041" s="111"/>
      <c r="CQ64041" s="111"/>
      <c r="EF64041"/>
      <c r="EG64041"/>
      <c r="EH64041"/>
      <c r="EI64041"/>
      <c r="EJ64041"/>
      <c r="EK64041"/>
    </row>
    <row r="64042" spans="1:141" s="116" customFormat="1">
      <c r="A64042" s="136"/>
      <c r="CM64042" s="111"/>
      <c r="CQ64042" s="111"/>
      <c r="EF64042"/>
      <c r="EG64042"/>
      <c r="EH64042"/>
      <c r="EI64042"/>
      <c r="EJ64042"/>
      <c r="EK64042"/>
    </row>
    <row r="64043" spans="1:141" s="116" customFormat="1">
      <c r="A64043" s="136"/>
      <c r="CM64043" s="111"/>
      <c r="CQ64043" s="111"/>
      <c r="EF64043"/>
      <c r="EG64043"/>
      <c r="EH64043"/>
      <c r="EI64043"/>
      <c r="EJ64043"/>
      <c r="EK64043"/>
    </row>
    <row r="64044" spans="1:141" s="116" customFormat="1">
      <c r="A64044" s="136"/>
      <c r="CM64044" s="111"/>
      <c r="CQ64044" s="111"/>
      <c r="EF64044"/>
      <c r="EG64044"/>
      <c r="EH64044"/>
      <c r="EI64044"/>
      <c r="EJ64044"/>
      <c r="EK64044"/>
    </row>
    <row r="64045" spans="1:141" s="116" customFormat="1">
      <c r="A64045" s="136"/>
      <c r="CM64045" s="111"/>
      <c r="CQ64045" s="111"/>
      <c r="EF64045"/>
      <c r="EG64045"/>
      <c r="EH64045"/>
      <c r="EI64045"/>
      <c r="EJ64045"/>
      <c r="EK64045"/>
    </row>
    <row r="64046" spans="1:141" s="116" customFormat="1">
      <c r="A64046" s="136"/>
      <c r="CM64046" s="111"/>
      <c r="CQ64046" s="111"/>
      <c r="EF64046"/>
      <c r="EG64046"/>
      <c r="EH64046"/>
      <c r="EI64046"/>
      <c r="EJ64046"/>
      <c r="EK64046"/>
    </row>
    <row r="64047" spans="1:141" s="116" customFormat="1">
      <c r="A64047" s="136"/>
      <c r="CM64047" s="111"/>
      <c r="CQ64047" s="111"/>
      <c r="EF64047"/>
      <c r="EG64047"/>
      <c r="EH64047"/>
      <c r="EI64047"/>
      <c r="EJ64047"/>
      <c r="EK64047"/>
    </row>
    <row r="64048" spans="1:141" s="116" customFormat="1">
      <c r="A64048" s="136"/>
      <c r="CM64048" s="111"/>
      <c r="CQ64048" s="111"/>
      <c r="EF64048"/>
      <c r="EG64048"/>
      <c r="EH64048"/>
      <c r="EI64048"/>
      <c r="EJ64048"/>
      <c r="EK64048"/>
    </row>
    <row r="64049" spans="1:141" s="116" customFormat="1">
      <c r="A64049" s="136"/>
      <c r="CM64049" s="111"/>
      <c r="CQ64049" s="111"/>
      <c r="EF64049"/>
      <c r="EG64049"/>
      <c r="EH64049"/>
      <c r="EI64049"/>
      <c r="EJ64049"/>
      <c r="EK64049"/>
    </row>
    <row r="64050" spans="1:141" s="116" customFormat="1">
      <c r="A64050" s="136"/>
      <c r="CM64050" s="111"/>
      <c r="CQ64050" s="111"/>
      <c r="EF64050"/>
      <c r="EG64050"/>
      <c r="EH64050"/>
      <c r="EI64050"/>
      <c r="EJ64050"/>
      <c r="EK64050"/>
    </row>
    <row r="64051" spans="1:141" s="116" customFormat="1">
      <c r="A64051" s="136"/>
      <c r="CM64051" s="111"/>
      <c r="CQ64051" s="111"/>
      <c r="EF64051"/>
      <c r="EG64051"/>
      <c r="EH64051"/>
      <c r="EI64051"/>
      <c r="EJ64051"/>
      <c r="EK64051"/>
    </row>
    <row r="64052" spans="1:141" s="116" customFormat="1">
      <c r="A64052" s="136"/>
      <c r="CM64052" s="111"/>
      <c r="CQ64052" s="111"/>
      <c r="EF64052"/>
      <c r="EG64052"/>
      <c r="EH64052"/>
      <c r="EI64052"/>
      <c r="EJ64052"/>
      <c r="EK64052"/>
    </row>
    <row r="64053" spans="1:141" s="116" customFormat="1">
      <c r="A64053" s="136"/>
      <c r="CM64053" s="111"/>
      <c r="CQ64053" s="111"/>
      <c r="EF64053"/>
      <c r="EG64053"/>
      <c r="EH64053"/>
      <c r="EI64053"/>
      <c r="EJ64053"/>
      <c r="EK64053"/>
    </row>
    <row r="64054" spans="1:141" s="116" customFormat="1">
      <c r="A64054" s="136"/>
      <c r="CM64054" s="111"/>
      <c r="CQ64054" s="111"/>
      <c r="EF64054"/>
      <c r="EG64054"/>
      <c r="EH64054"/>
      <c r="EI64054"/>
      <c r="EJ64054"/>
      <c r="EK64054"/>
    </row>
    <row r="64055" spans="1:141" s="116" customFormat="1">
      <c r="A64055" s="136"/>
      <c r="CM64055" s="111"/>
      <c r="CQ64055" s="111"/>
      <c r="EF64055"/>
      <c r="EG64055"/>
      <c r="EH64055"/>
      <c r="EI64055"/>
      <c r="EJ64055"/>
      <c r="EK64055"/>
    </row>
    <row r="64056" spans="1:141" s="116" customFormat="1">
      <c r="A64056" s="136"/>
      <c r="CM64056" s="111"/>
      <c r="CQ64056" s="111"/>
      <c r="EF64056"/>
      <c r="EG64056"/>
      <c r="EH64056"/>
      <c r="EI64056"/>
      <c r="EJ64056"/>
      <c r="EK64056"/>
    </row>
    <row r="64057" spans="1:141" s="116" customFormat="1">
      <c r="A64057" s="136"/>
      <c r="CM64057" s="111"/>
      <c r="CQ64057" s="111"/>
      <c r="EF64057"/>
      <c r="EG64057"/>
      <c r="EH64057"/>
      <c r="EI64057"/>
      <c r="EJ64057"/>
      <c r="EK64057"/>
    </row>
    <row r="64058" spans="1:141" s="116" customFormat="1">
      <c r="A64058" s="136"/>
      <c r="CM64058" s="111"/>
      <c r="CQ64058" s="111"/>
      <c r="EF64058"/>
      <c r="EG64058"/>
      <c r="EH64058"/>
      <c r="EI64058"/>
      <c r="EJ64058"/>
      <c r="EK64058"/>
    </row>
    <row r="64059" spans="1:141" s="116" customFormat="1">
      <c r="A64059" s="136"/>
      <c r="CM64059" s="111"/>
      <c r="CQ64059" s="111"/>
      <c r="EF64059"/>
      <c r="EG64059"/>
      <c r="EH64059"/>
      <c r="EI64059"/>
      <c r="EJ64059"/>
      <c r="EK64059"/>
    </row>
    <row r="64060" spans="1:141" s="116" customFormat="1">
      <c r="A64060" s="136"/>
      <c r="CM64060" s="111"/>
      <c r="CQ64060" s="111"/>
      <c r="EF64060"/>
      <c r="EG64060"/>
      <c r="EH64060"/>
      <c r="EI64060"/>
      <c r="EJ64060"/>
      <c r="EK64060"/>
    </row>
    <row r="64061" spans="1:141" s="116" customFormat="1">
      <c r="A64061" s="136"/>
      <c r="CM64061" s="111"/>
      <c r="CQ64061" s="111"/>
      <c r="EF64061"/>
      <c r="EG64061"/>
      <c r="EH64061"/>
      <c r="EI64061"/>
      <c r="EJ64061"/>
      <c r="EK64061"/>
    </row>
    <row r="64062" spans="1:141" s="116" customFormat="1">
      <c r="A64062" s="136"/>
      <c r="CM64062" s="111"/>
      <c r="CQ64062" s="111"/>
      <c r="EF64062"/>
      <c r="EG64062"/>
      <c r="EH64062"/>
      <c r="EI64062"/>
      <c r="EJ64062"/>
      <c r="EK64062"/>
    </row>
    <row r="64063" spans="1:141" s="116" customFormat="1">
      <c r="A64063" s="136"/>
      <c r="CM64063" s="111"/>
      <c r="CQ64063" s="111"/>
      <c r="EF64063"/>
      <c r="EG64063"/>
      <c r="EH64063"/>
      <c r="EI64063"/>
      <c r="EJ64063"/>
      <c r="EK64063"/>
    </row>
    <row r="64064" spans="1:141" s="116" customFormat="1">
      <c r="A64064" s="136"/>
      <c r="CM64064" s="111"/>
      <c r="CQ64064" s="111"/>
      <c r="EF64064"/>
      <c r="EG64064"/>
      <c r="EH64064"/>
      <c r="EI64064"/>
      <c r="EJ64064"/>
      <c r="EK64064"/>
    </row>
    <row r="64065" spans="1:141" s="116" customFormat="1">
      <c r="A64065" s="136"/>
      <c r="CM64065" s="111"/>
      <c r="CQ64065" s="111"/>
      <c r="EF64065"/>
      <c r="EG64065"/>
      <c r="EH64065"/>
      <c r="EI64065"/>
      <c r="EJ64065"/>
      <c r="EK64065"/>
    </row>
    <row r="64066" spans="1:141" s="116" customFormat="1">
      <c r="A64066" s="136"/>
      <c r="CM64066" s="111"/>
      <c r="CQ64066" s="111"/>
      <c r="EF64066"/>
      <c r="EG64066"/>
      <c r="EH64066"/>
      <c r="EI64066"/>
      <c r="EJ64066"/>
      <c r="EK64066"/>
    </row>
    <row r="64067" spans="1:141" s="116" customFormat="1">
      <c r="A64067" s="136"/>
      <c r="CM64067" s="111"/>
      <c r="CQ64067" s="111"/>
      <c r="EF64067"/>
      <c r="EG64067"/>
      <c r="EH64067"/>
      <c r="EI64067"/>
      <c r="EJ64067"/>
      <c r="EK64067"/>
    </row>
    <row r="64068" spans="1:141" s="116" customFormat="1">
      <c r="A64068" s="136"/>
      <c r="CM64068" s="111"/>
      <c r="CQ64068" s="111"/>
      <c r="EF64068"/>
      <c r="EG64068"/>
      <c r="EH64068"/>
      <c r="EI64068"/>
      <c r="EJ64068"/>
      <c r="EK64068"/>
    </row>
    <row r="64069" spans="1:141" s="116" customFormat="1">
      <c r="A64069" s="136"/>
      <c r="CM64069" s="111"/>
      <c r="CQ64069" s="111"/>
      <c r="EF64069"/>
      <c r="EG64069"/>
      <c r="EH64069"/>
      <c r="EI64069"/>
      <c r="EJ64069"/>
      <c r="EK64069"/>
    </row>
    <row r="64070" spans="1:141" s="116" customFormat="1">
      <c r="A64070" s="136"/>
      <c r="CM64070" s="111"/>
      <c r="CQ64070" s="111"/>
      <c r="EF64070"/>
      <c r="EG64070"/>
      <c r="EH64070"/>
      <c r="EI64070"/>
      <c r="EJ64070"/>
      <c r="EK64070"/>
    </row>
    <row r="64071" spans="1:141" s="116" customFormat="1">
      <c r="A64071" s="136"/>
      <c r="CM64071" s="111"/>
      <c r="CQ64071" s="111"/>
      <c r="EF64071"/>
      <c r="EG64071"/>
      <c r="EH64071"/>
      <c r="EI64071"/>
      <c r="EJ64071"/>
      <c r="EK64071"/>
    </row>
    <row r="64072" spans="1:141" s="116" customFormat="1">
      <c r="A64072" s="136"/>
      <c r="CM64072" s="111"/>
      <c r="CQ64072" s="111"/>
      <c r="EF64072"/>
      <c r="EG64072"/>
      <c r="EH64072"/>
      <c r="EI64072"/>
      <c r="EJ64072"/>
      <c r="EK64072"/>
    </row>
    <row r="64073" spans="1:141" s="116" customFormat="1">
      <c r="A64073" s="136"/>
      <c r="CM64073" s="111"/>
      <c r="CQ64073" s="111"/>
      <c r="EF64073"/>
      <c r="EG64073"/>
      <c r="EH64073"/>
      <c r="EI64073"/>
      <c r="EJ64073"/>
      <c r="EK64073"/>
    </row>
    <row r="64074" spans="1:141" s="116" customFormat="1">
      <c r="A64074" s="136"/>
      <c r="CM64074" s="111"/>
      <c r="CQ64074" s="111"/>
      <c r="EF64074"/>
      <c r="EG64074"/>
      <c r="EH64074"/>
      <c r="EI64074"/>
      <c r="EJ64074"/>
      <c r="EK64074"/>
    </row>
    <row r="64075" spans="1:141" s="116" customFormat="1">
      <c r="A64075" s="136"/>
      <c r="CM64075" s="111"/>
      <c r="CQ64075" s="111"/>
      <c r="EF64075"/>
      <c r="EG64075"/>
      <c r="EH64075"/>
      <c r="EI64075"/>
      <c r="EJ64075"/>
      <c r="EK64075"/>
    </row>
    <row r="64076" spans="1:141" s="116" customFormat="1">
      <c r="A64076" s="136"/>
      <c r="CM64076" s="111"/>
      <c r="CQ64076" s="111"/>
      <c r="EF64076"/>
      <c r="EG64076"/>
      <c r="EH64076"/>
      <c r="EI64076"/>
      <c r="EJ64076"/>
      <c r="EK64076"/>
    </row>
    <row r="64077" spans="1:141" s="116" customFormat="1">
      <c r="A64077" s="136"/>
      <c r="CM64077" s="111"/>
      <c r="CQ64077" s="111"/>
      <c r="EF64077"/>
      <c r="EG64077"/>
      <c r="EH64077"/>
      <c r="EI64077"/>
      <c r="EJ64077"/>
      <c r="EK64077"/>
    </row>
    <row r="64078" spans="1:141" s="116" customFormat="1">
      <c r="A64078" s="136"/>
      <c r="CM64078" s="111"/>
      <c r="CQ64078" s="111"/>
      <c r="EF64078"/>
      <c r="EG64078"/>
      <c r="EH64078"/>
      <c r="EI64078"/>
      <c r="EJ64078"/>
      <c r="EK64078"/>
    </row>
    <row r="64079" spans="1:141" s="116" customFormat="1">
      <c r="A64079" s="136"/>
      <c r="CM64079" s="111"/>
      <c r="CQ64079" s="111"/>
      <c r="EF64079"/>
      <c r="EG64079"/>
      <c r="EH64079"/>
      <c r="EI64079"/>
      <c r="EJ64079"/>
      <c r="EK64079"/>
    </row>
    <row r="64080" spans="1:141" s="116" customFormat="1">
      <c r="A64080" s="136"/>
      <c r="CM64080" s="111"/>
      <c r="CQ64080" s="111"/>
      <c r="EF64080"/>
      <c r="EG64080"/>
      <c r="EH64080"/>
      <c r="EI64080"/>
      <c r="EJ64080"/>
      <c r="EK64080"/>
    </row>
    <row r="64081" spans="1:141" s="116" customFormat="1">
      <c r="A64081" s="136"/>
      <c r="CM64081" s="111"/>
      <c r="CQ64081" s="111"/>
      <c r="EF64081"/>
      <c r="EG64081"/>
      <c r="EH64081"/>
      <c r="EI64081"/>
      <c r="EJ64081"/>
      <c r="EK64081"/>
    </row>
    <row r="64082" spans="1:141" s="116" customFormat="1">
      <c r="A64082" s="136"/>
      <c r="CM64082" s="111"/>
      <c r="CQ64082" s="111"/>
      <c r="EF64082"/>
      <c r="EG64082"/>
      <c r="EH64082"/>
      <c r="EI64082"/>
      <c r="EJ64082"/>
      <c r="EK64082"/>
    </row>
    <row r="64083" spans="1:141" s="116" customFormat="1">
      <c r="A64083" s="136"/>
      <c r="CM64083" s="111"/>
      <c r="CQ64083" s="111"/>
      <c r="EF64083"/>
      <c r="EG64083"/>
      <c r="EH64083"/>
      <c r="EI64083"/>
      <c r="EJ64083"/>
      <c r="EK64083"/>
    </row>
    <row r="64084" spans="1:141" s="116" customFormat="1">
      <c r="A64084" s="136"/>
      <c r="CM64084" s="111"/>
      <c r="CQ64084" s="111"/>
      <c r="EF64084"/>
      <c r="EG64084"/>
      <c r="EH64084"/>
      <c r="EI64084"/>
      <c r="EJ64084"/>
      <c r="EK64084"/>
    </row>
    <row r="64085" spans="1:141" s="116" customFormat="1">
      <c r="A64085" s="136"/>
      <c r="CM64085" s="111"/>
      <c r="CQ64085" s="111"/>
      <c r="EF64085"/>
      <c r="EG64085"/>
      <c r="EH64085"/>
      <c r="EI64085"/>
      <c r="EJ64085"/>
      <c r="EK64085"/>
    </row>
    <row r="64086" spans="1:141" s="116" customFormat="1">
      <c r="A64086" s="136"/>
      <c r="CM64086" s="111"/>
      <c r="CQ64086" s="111"/>
      <c r="EF64086"/>
      <c r="EG64086"/>
      <c r="EH64086"/>
      <c r="EI64086"/>
      <c r="EJ64086"/>
      <c r="EK64086"/>
    </row>
    <row r="64087" spans="1:141" s="116" customFormat="1">
      <c r="A64087" s="136"/>
      <c r="CM64087" s="111"/>
      <c r="CQ64087" s="111"/>
      <c r="EF64087"/>
      <c r="EG64087"/>
      <c r="EH64087"/>
      <c r="EI64087"/>
      <c r="EJ64087"/>
      <c r="EK64087"/>
    </row>
    <row r="64088" spans="1:141" s="116" customFormat="1">
      <c r="A64088" s="136"/>
      <c r="CM64088" s="111"/>
      <c r="CQ64088" s="111"/>
      <c r="EF64088"/>
      <c r="EG64088"/>
      <c r="EH64088"/>
      <c r="EI64088"/>
      <c r="EJ64088"/>
      <c r="EK64088"/>
    </row>
    <row r="64089" spans="1:141" s="116" customFormat="1">
      <c r="A64089" s="136"/>
      <c r="CM64089" s="111"/>
      <c r="CQ64089" s="111"/>
      <c r="EF64089"/>
      <c r="EG64089"/>
      <c r="EH64089"/>
      <c r="EI64089"/>
      <c r="EJ64089"/>
      <c r="EK64089"/>
    </row>
    <row r="64090" spans="1:141" s="116" customFormat="1">
      <c r="A64090" s="136"/>
      <c r="CM64090" s="111"/>
      <c r="CQ64090" s="111"/>
      <c r="EF64090"/>
      <c r="EG64090"/>
      <c r="EH64090"/>
      <c r="EI64090"/>
      <c r="EJ64090"/>
      <c r="EK64090"/>
    </row>
    <row r="64091" spans="1:141" s="116" customFormat="1">
      <c r="A64091" s="136"/>
      <c r="CM64091" s="111"/>
      <c r="CQ64091" s="111"/>
      <c r="EF64091"/>
      <c r="EG64091"/>
      <c r="EH64091"/>
      <c r="EI64091"/>
      <c r="EJ64091"/>
      <c r="EK64091"/>
    </row>
    <row r="64092" spans="1:141" s="116" customFormat="1">
      <c r="A64092" s="136"/>
      <c r="CM64092" s="111"/>
      <c r="CQ64092" s="111"/>
      <c r="EF64092"/>
      <c r="EG64092"/>
      <c r="EH64092"/>
      <c r="EI64092"/>
      <c r="EJ64092"/>
      <c r="EK64092"/>
    </row>
    <row r="64093" spans="1:141" s="116" customFormat="1">
      <c r="A64093" s="136"/>
      <c r="CM64093" s="111"/>
      <c r="CQ64093" s="111"/>
      <c r="EF64093"/>
      <c r="EG64093"/>
      <c r="EH64093"/>
      <c r="EI64093"/>
      <c r="EJ64093"/>
      <c r="EK64093"/>
    </row>
    <row r="64094" spans="1:141" s="116" customFormat="1">
      <c r="A64094" s="136"/>
      <c r="CM64094" s="111"/>
      <c r="CQ64094" s="111"/>
      <c r="EF64094"/>
      <c r="EG64094"/>
      <c r="EH64094"/>
      <c r="EI64094"/>
      <c r="EJ64094"/>
      <c r="EK64094"/>
    </row>
    <row r="64095" spans="1:141" s="116" customFormat="1">
      <c r="A64095" s="136"/>
      <c r="CM64095" s="111"/>
      <c r="CQ64095" s="111"/>
      <c r="EF64095"/>
      <c r="EG64095"/>
      <c r="EH64095"/>
      <c r="EI64095"/>
      <c r="EJ64095"/>
      <c r="EK64095"/>
    </row>
    <row r="64096" spans="1:141" s="116" customFormat="1">
      <c r="A64096" s="136"/>
      <c r="CM64096" s="111"/>
      <c r="CQ64096" s="111"/>
      <c r="EF64096"/>
      <c r="EG64096"/>
      <c r="EH64096"/>
      <c r="EI64096"/>
      <c r="EJ64096"/>
      <c r="EK64096"/>
    </row>
    <row r="64097" spans="1:141" s="116" customFormat="1">
      <c r="A64097" s="136"/>
      <c r="CM64097" s="111"/>
      <c r="CQ64097" s="111"/>
      <c r="EF64097"/>
      <c r="EG64097"/>
      <c r="EH64097"/>
      <c r="EI64097"/>
      <c r="EJ64097"/>
      <c r="EK64097"/>
    </row>
    <row r="64098" spans="1:141" s="116" customFormat="1">
      <c r="A64098" s="136"/>
      <c r="CM64098" s="111"/>
      <c r="CQ64098" s="111"/>
      <c r="EF64098"/>
      <c r="EG64098"/>
      <c r="EH64098"/>
      <c r="EI64098"/>
      <c r="EJ64098"/>
      <c r="EK64098"/>
    </row>
    <row r="64099" spans="1:141" s="116" customFormat="1">
      <c r="A64099" s="136"/>
      <c r="CM64099" s="111"/>
      <c r="CQ64099" s="111"/>
      <c r="EF64099"/>
      <c r="EG64099"/>
      <c r="EH64099"/>
      <c r="EI64099"/>
      <c r="EJ64099"/>
      <c r="EK64099"/>
    </row>
    <row r="64100" spans="1:141" s="116" customFormat="1">
      <c r="A64100" s="136"/>
      <c r="CM64100" s="111"/>
      <c r="CQ64100" s="111"/>
      <c r="EF64100"/>
      <c r="EG64100"/>
      <c r="EH64100"/>
      <c r="EI64100"/>
      <c r="EJ64100"/>
      <c r="EK64100"/>
    </row>
    <row r="64101" spans="1:141" s="116" customFormat="1">
      <c r="A64101" s="136"/>
      <c r="CM64101" s="111"/>
      <c r="CQ64101" s="111"/>
      <c r="EF64101"/>
      <c r="EG64101"/>
      <c r="EH64101"/>
      <c r="EI64101"/>
      <c r="EJ64101"/>
      <c r="EK64101"/>
    </row>
    <row r="64102" spans="1:141" s="116" customFormat="1">
      <c r="A64102" s="136"/>
      <c r="CM64102" s="111"/>
      <c r="CQ64102" s="111"/>
      <c r="EF64102"/>
      <c r="EG64102"/>
      <c r="EH64102"/>
      <c r="EI64102"/>
      <c r="EJ64102"/>
      <c r="EK64102"/>
    </row>
    <row r="64103" spans="1:141" s="116" customFormat="1">
      <c r="A64103" s="136"/>
      <c r="CM64103" s="111"/>
      <c r="CQ64103" s="111"/>
      <c r="EF64103"/>
      <c r="EG64103"/>
      <c r="EH64103"/>
      <c r="EI64103"/>
      <c r="EJ64103"/>
      <c r="EK64103"/>
    </row>
    <row r="64104" spans="1:141" s="116" customFormat="1">
      <c r="A64104" s="136"/>
      <c r="CM64104" s="111"/>
      <c r="CQ64104" s="111"/>
      <c r="EF64104"/>
      <c r="EG64104"/>
      <c r="EH64104"/>
      <c r="EI64104"/>
      <c r="EJ64104"/>
      <c r="EK64104"/>
    </row>
    <row r="64105" spans="1:141" s="116" customFormat="1">
      <c r="A64105" s="136"/>
      <c r="CM64105" s="111"/>
      <c r="CQ64105" s="111"/>
      <c r="EF64105"/>
      <c r="EG64105"/>
      <c r="EH64105"/>
      <c r="EI64105"/>
      <c r="EJ64105"/>
      <c r="EK64105"/>
    </row>
    <row r="64106" spans="1:141" s="116" customFormat="1">
      <c r="A64106" s="136"/>
      <c r="CM64106" s="111"/>
      <c r="CQ64106" s="111"/>
      <c r="EF64106"/>
      <c r="EG64106"/>
      <c r="EH64106"/>
      <c r="EI64106"/>
      <c r="EJ64106"/>
      <c r="EK64106"/>
    </row>
    <row r="64107" spans="1:141" s="116" customFormat="1">
      <c r="A64107" s="136"/>
      <c r="CM64107" s="111"/>
      <c r="CQ64107" s="111"/>
      <c r="EF64107"/>
      <c r="EG64107"/>
      <c r="EH64107"/>
      <c r="EI64107"/>
      <c r="EJ64107"/>
      <c r="EK64107"/>
    </row>
    <row r="64108" spans="1:141" s="116" customFormat="1">
      <c r="A64108" s="136"/>
      <c r="CM64108" s="111"/>
      <c r="CQ64108" s="111"/>
      <c r="EF64108"/>
      <c r="EG64108"/>
      <c r="EH64108"/>
      <c r="EI64108"/>
      <c r="EJ64108"/>
      <c r="EK64108"/>
    </row>
    <row r="64109" spans="1:141" s="116" customFormat="1">
      <c r="A64109" s="136"/>
      <c r="CM64109" s="111"/>
      <c r="CQ64109" s="111"/>
      <c r="EF64109"/>
      <c r="EG64109"/>
      <c r="EH64109"/>
      <c r="EI64109"/>
      <c r="EJ64109"/>
      <c r="EK64109"/>
    </row>
    <row r="64110" spans="1:141" s="116" customFormat="1">
      <c r="A64110" s="136"/>
      <c r="CM64110" s="111"/>
      <c r="CQ64110" s="111"/>
      <c r="EF64110"/>
      <c r="EG64110"/>
      <c r="EH64110"/>
      <c r="EI64110"/>
      <c r="EJ64110"/>
      <c r="EK64110"/>
    </row>
    <row r="64111" spans="1:141" s="116" customFormat="1">
      <c r="A64111" s="136"/>
      <c r="CM64111" s="111"/>
      <c r="CQ64111" s="111"/>
      <c r="EF64111"/>
      <c r="EG64111"/>
      <c r="EH64111"/>
      <c r="EI64111"/>
      <c r="EJ64111"/>
      <c r="EK64111"/>
    </row>
    <row r="64112" spans="1:141" s="116" customFormat="1">
      <c r="A64112" s="136"/>
      <c r="CM64112" s="111"/>
      <c r="CQ64112" s="111"/>
      <c r="EF64112"/>
      <c r="EG64112"/>
      <c r="EH64112"/>
      <c r="EI64112"/>
      <c r="EJ64112"/>
      <c r="EK64112"/>
    </row>
    <row r="64113" spans="1:141" s="116" customFormat="1">
      <c r="A64113" s="136"/>
      <c r="CM64113" s="111"/>
      <c r="CQ64113" s="111"/>
      <c r="EF64113"/>
      <c r="EG64113"/>
      <c r="EH64113"/>
      <c r="EI64113"/>
      <c r="EJ64113"/>
      <c r="EK64113"/>
    </row>
    <row r="64114" spans="1:141" s="116" customFormat="1">
      <c r="A64114" s="136"/>
      <c r="CM64114" s="111"/>
      <c r="CQ64114" s="111"/>
      <c r="EF64114"/>
      <c r="EG64114"/>
      <c r="EH64114"/>
      <c r="EI64114"/>
      <c r="EJ64114"/>
      <c r="EK64114"/>
    </row>
    <row r="64115" spans="1:141" s="116" customFormat="1">
      <c r="A64115" s="136"/>
      <c r="CM64115" s="111"/>
      <c r="CQ64115" s="111"/>
      <c r="EF64115"/>
      <c r="EG64115"/>
      <c r="EH64115"/>
      <c r="EI64115"/>
      <c r="EJ64115"/>
      <c r="EK64115"/>
    </row>
    <row r="64116" spans="1:141" s="116" customFormat="1">
      <c r="A64116" s="136"/>
      <c r="CM64116" s="111"/>
      <c r="CQ64116" s="111"/>
      <c r="EF64116"/>
      <c r="EG64116"/>
      <c r="EH64116"/>
      <c r="EI64116"/>
      <c r="EJ64116"/>
      <c r="EK64116"/>
    </row>
    <row r="64117" spans="1:141" s="116" customFormat="1">
      <c r="A64117" s="136"/>
      <c r="CM64117" s="111"/>
      <c r="CQ64117" s="111"/>
      <c r="EF64117"/>
      <c r="EG64117"/>
      <c r="EH64117"/>
      <c r="EI64117"/>
      <c r="EJ64117"/>
      <c r="EK64117"/>
    </row>
    <row r="64118" spans="1:141" s="116" customFormat="1">
      <c r="A64118" s="136"/>
      <c r="CM64118" s="111"/>
      <c r="CQ64118" s="111"/>
      <c r="EF64118"/>
      <c r="EG64118"/>
      <c r="EH64118"/>
      <c r="EI64118"/>
      <c r="EJ64118"/>
      <c r="EK64118"/>
    </row>
    <row r="64119" spans="1:141" s="116" customFormat="1">
      <c r="A64119" s="136"/>
      <c r="CM64119" s="111"/>
      <c r="CQ64119" s="111"/>
      <c r="EF64119"/>
      <c r="EG64119"/>
      <c r="EH64119"/>
      <c r="EI64119"/>
      <c r="EJ64119"/>
      <c r="EK64119"/>
    </row>
    <row r="64120" spans="1:141" s="116" customFormat="1">
      <c r="A64120" s="136"/>
      <c r="CM64120" s="111"/>
      <c r="CQ64120" s="111"/>
      <c r="EF64120"/>
      <c r="EG64120"/>
      <c r="EH64120"/>
      <c r="EI64120"/>
      <c r="EJ64120"/>
      <c r="EK64120"/>
    </row>
    <row r="64121" spans="1:141" s="116" customFormat="1">
      <c r="A64121" s="136"/>
      <c r="CM64121" s="111"/>
      <c r="CQ64121" s="111"/>
      <c r="EF64121"/>
      <c r="EG64121"/>
      <c r="EH64121"/>
      <c r="EI64121"/>
      <c r="EJ64121"/>
      <c r="EK64121"/>
    </row>
    <row r="64122" spans="1:141" s="116" customFormat="1">
      <c r="A64122" s="136"/>
      <c r="CM64122" s="111"/>
      <c r="CQ64122" s="111"/>
      <c r="EF64122"/>
      <c r="EG64122"/>
      <c r="EH64122"/>
      <c r="EI64122"/>
      <c r="EJ64122"/>
      <c r="EK64122"/>
    </row>
    <row r="64123" spans="1:141" s="116" customFormat="1">
      <c r="A64123" s="136"/>
      <c r="CM64123" s="111"/>
      <c r="CQ64123" s="111"/>
      <c r="EF64123"/>
      <c r="EG64123"/>
      <c r="EH64123"/>
      <c r="EI64123"/>
      <c r="EJ64123"/>
      <c r="EK64123"/>
    </row>
    <row r="64124" spans="1:141" s="116" customFormat="1">
      <c r="A64124" s="136"/>
      <c r="CM64124" s="111"/>
      <c r="CQ64124" s="111"/>
      <c r="EF64124"/>
      <c r="EG64124"/>
      <c r="EH64124"/>
      <c r="EI64124"/>
      <c r="EJ64124"/>
      <c r="EK64124"/>
    </row>
    <row r="64125" spans="1:141" s="116" customFormat="1">
      <c r="A64125" s="136"/>
      <c r="CM64125" s="111"/>
      <c r="CQ64125" s="111"/>
      <c r="EF64125"/>
      <c r="EG64125"/>
      <c r="EH64125"/>
      <c r="EI64125"/>
      <c r="EJ64125"/>
      <c r="EK64125"/>
    </row>
    <row r="64126" spans="1:141" s="116" customFormat="1">
      <c r="A64126" s="136"/>
      <c r="CM64126" s="111"/>
      <c r="CQ64126" s="111"/>
      <c r="EF64126"/>
      <c r="EG64126"/>
      <c r="EH64126"/>
      <c r="EI64126"/>
      <c r="EJ64126"/>
      <c r="EK64126"/>
    </row>
    <row r="64127" spans="1:141" s="116" customFormat="1">
      <c r="A64127" s="136"/>
      <c r="CM64127" s="111"/>
      <c r="CQ64127" s="111"/>
      <c r="EF64127"/>
      <c r="EG64127"/>
      <c r="EH64127"/>
      <c r="EI64127"/>
      <c r="EJ64127"/>
      <c r="EK64127"/>
    </row>
    <row r="64128" spans="1:141" s="116" customFormat="1">
      <c r="A64128" s="136"/>
      <c r="CM64128" s="111"/>
      <c r="CQ64128" s="111"/>
      <c r="EF64128"/>
      <c r="EG64128"/>
      <c r="EH64128"/>
      <c r="EI64128"/>
      <c r="EJ64128"/>
      <c r="EK64128"/>
    </row>
    <row r="64129" spans="1:141" s="116" customFormat="1">
      <c r="A64129" s="136"/>
      <c r="CM64129" s="111"/>
      <c r="CQ64129" s="111"/>
      <c r="EF64129"/>
      <c r="EG64129"/>
      <c r="EH64129"/>
      <c r="EI64129"/>
      <c r="EJ64129"/>
      <c r="EK64129"/>
    </row>
    <row r="64130" spans="1:141" s="116" customFormat="1">
      <c r="A64130" s="136"/>
      <c r="CM64130" s="111"/>
      <c r="CQ64130" s="111"/>
      <c r="EF64130"/>
      <c r="EG64130"/>
      <c r="EH64130"/>
      <c r="EI64130"/>
      <c r="EJ64130"/>
      <c r="EK64130"/>
    </row>
    <row r="64131" spans="1:141" s="116" customFormat="1">
      <c r="A64131" s="136"/>
      <c r="CM64131" s="111"/>
      <c r="CQ64131" s="111"/>
      <c r="EF64131"/>
      <c r="EG64131"/>
      <c r="EH64131"/>
      <c r="EI64131"/>
      <c r="EJ64131"/>
      <c r="EK64131"/>
    </row>
    <row r="64132" spans="1:141" s="116" customFormat="1">
      <c r="A64132" s="136"/>
      <c r="CM64132" s="111"/>
      <c r="CQ64132" s="111"/>
      <c r="EF64132"/>
      <c r="EG64132"/>
      <c r="EH64132"/>
      <c r="EI64132"/>
      <c r="EJ64132"/>
      <c r="EK64132"/>
    </row>
    <row r="64133" spans="1:141" s="116" customFormat="1">
      <c r="A64133" s="136"/>
      <c r="CM64133" s="111"/>
      <c r="CQ64133" s="111"/>
      <c r="EF64133"/>
      <c r="EG64133"/>
      <c r="EH64133"/>
      <c r="EI64133"/>
      <c r="EJ64133"/>
      <c r="EK64133"/>
    </row>
    <row r="64134" spans="1:141" s="116" customFormat="1">
      <c r="A64134" s="136"/>
      <c r="CM64134" s="111"/>
      <c r="CQ64134" s="111"/>
      <c r="EF64134"/>
      <c r="EG64134"/>
      <c r="EH64134"/>
      <c r="EI64134"/>
      <c r="EJ64134"/>
      <c r="EK64134"/>
    </row>
    <row r="64135" spans="1:141" s="116" customFormat="1">
      <c r="A64135" s="136"/>
      <c r="CM64135" s="111"/>
      <c r="CQ64135" s="111"/>
      <c r="EF64135"/>
      <c r="EG64135"/>
      <c r="EH64135"/>
      <c r="EI64135"/>
      <c r="EJ64135"/>
      <c r="EK64135"/>
    </row>
    <row r="64136" spans="1:141" s="116" customFormat="1">
      <c r="A64136" s="136"/>
      <c r="CM64136" s="111"/>
      <c r="CQ64136" s="111"/>
      <c r="EF64136"/>
      <c r="EG64136"/>
      <c r="EH64136"/>
      <c r="EI64136"/>
      <c r="EJ64136"/>
      <c r="EK64136"/>
    </row>
    <row r="64137" spans="1:141" s="116" customFormat="1">
      <c r="A64137" s="136"/>
      <c r="CM64137" s="111"/>
      <c r="CQ64137" s="111"/>
      <c r="EF64137"/>
      <c r="EG64137"/>
      <c r="EH64137"/>
      <c r="EI64137"/>
      <c r="EJ64137"/>
      <c r="EK64137"/>
    </row>
    <row r="64138" spans="1:141" s="116" customFormat="1">
      <c r="A64138" s="136"/>
      <c r="CM64138" s="111"/>
      <c r="CQ64138" s="111"/>
      <c r="EF64138"/>
      <c r="EG64138"/>
      <c r="EH64138"/>
      <c r="EI64138"/>
      <c r="EJ64138"/>
      <c r="EK64138"/>
    </row>
    <row r="64139" spans="1:141" s="116" customFormat="1">
      <c r="A64139" s="136"/>
      <c r="CM64139" s="111"/>
      <c r="CQ64139" s="111"/>
      <c r="EF64139"/>
      <c r="EG64139"/>
      <c r="EH64139"/>
      <c r="EI64139"/>
      <c r="EJ64139"/>
      <c r="EK64139"/>
    </row>
    <row r="64140" spans="1:141" s="116" customFormat="1">
      <c r="A64140" s="136"/>
      <c r="CM64140" s="111"/>
      <c r="CQ64140" s="111"/>
      <c r="EF64140"/>
      <c r="EG64140"/>
      <c r="EH64140"/>
      <c r="EI64140"/>
      <c r="EJ64140"/>
      <c r="EK64140"/>
    </row>
    <row r="64141" spans="1:141" s="116" customFormat="1">
      <c r="A64141" s="136"/>
      <c r="CM64141" s="111"/>
      <c r="CQ64141" s="111"/>
      <c r="EF64141"/>
      <c r="EG64141"/>
      <c r="EH64141"/>
      <c r="EI64141"/>
      <c r="EJ64141"/>
      <c r="EK64141"/>
    </row>
    <row r="64142" spans="1:141" s="116" customFormat="1">
      <c r="A64142" s="136"/>
      <c r="CM64142" s="111"/>
      <c r="CQ64142" s="111"/>
      <c r="EF64142"/>
      <c r="EG64142"/>
      <c r="EH64142"/>
      <c r="EI64142"/>
      <c r="EJ64142"/>
      <c r="EK64142"/>
    </row>
    <row r="64143" spans="1:141" s="116" customFormat="1">
      <c r="A64143" s="136"/>
      <c r="CM64143" s="111"/>
      <c r="CQ64143" s="111"/>
      <c r="EF64143"/>
      <c r="EG64143"/>
      <c r="EH64143"/>
      <c r="EI64143"/>
      <c r="EJ64143"/>
      <c r="EK64143"/>
    </row>
    <row r="64144" spans="1:141" s="116" customFormat="1">
      <c r="A64144" s="136"/>
      <c r="CM64144" s="111"/>
      <c r="CQ64144" s="111"/>
      <c r="EF64144"/>
      <c r="EG64144"/>
      <c r="EH64144"/>
      <c r="EI64144"/>
      <c r="EJ64144"/>
      <c r="EK64144"/>
    </row>
    <row r="64145" spans="1:141" s="116" customFormat="1">
      <c r="A64145" s="136"/>
      <c r="CM64145" s="111"/>
      <c r="CQ64145" s="111"/>
      <c r="EF64145"/>
      <c r="EG64145"/>
      <c r="EH64145"/>
      <c r="EI64145"/>
      <c r="EJ64145"/>
      <c r="EK64145"/>
    </row>
    <row r="64146" spans="1:141" s="116" customFormat="1">
      <c r="A64146" s="136"/>
      <c r="CM64146" s="111"/>
      <c r="CQ64146" s="111"/>
      <c r="EF64146"/>
      <c r="EG64146"/>
      <c r="EH64146"/>
      <c r="EI64146"/>
      <c r="EJ64146"/>
      <c r="EK64146"/>
    </row>
    <row r="64147" spans="1:141" s="116" customFormat="1">
      <c r="A64147" s="136"/>
      <c r="CM64147" s="111"/>
      <c r="CQ64147" s="111"/>
      <c r="EF64147"/>
      <c r="EG64147"/>
      <c r="EH64147"/>
      <c r="EI64147"/>
      <c r="EJ64147"/>
      <c r="EK64147"/>
    </row>
    <row r="64148" spans="1:141" s="116" customFormat="1">
      <c r="A64148" s="136"/>
      <c r="CM64148" s="111"/>
      <c r="CQ64148" s="111"/>
      <c r="EF64148"/>
      <c r="EG64148"/>
      <c r="EH64148"/>
      <c r="EI64148"/>
      <c r="EJ64148"/>
      <c r="EK64148"/>
    </row>
    <row r="64149" spans="1:141" s="116" customFormat="1">
      <c r="A64149" s="136"/>
      <c r="CM64149" s="111"/>
      <c r="CQ64149" s="111"/>
      <c r="EF64149"/>
      <c r="EG64149"/>
      <c r="EH64149"/>
      <c r="EI64149"/>
      <c r="EJ64149"/>
      <c r="EK64149"/>
    </row>
    <row r="64150" spans="1:141" s="116" customFormat="1">
      <c r="A64150" s="136"/>
      <c r="CM64150" s="111"/>
      <c r="CQ64150" s="111"/>
      <c r="EF64150"/>
      <c r="EG64150"/>
      <c r="EH64150"/>
      <c r="EI64150"/>
      <c r="EJ64150"/>
      <c r="EK64150"/>
    </row>
    <row r="64151" spans="1:141" s="116" customFormat="1">
      <c r="A64151" s="136"/>
      <c r="CM64151" s="111"/>
      <c r="CQ64151" s="111"/>
      <c r="EF64151"/>
      <c r="EG64151"/>
      <c r="EH64151"/>
      <c r="EI64151"/>
      <c r="EJ64151"/>
      <c r="EK64151"/>
    </row>
    <row r="64152" spans="1:141" s="116" customFormat="1">
      <c r="A64152" s="136"/>
      <c r="CM64152" s="111"/>
      <c r="CQ64152" s="111"/>
      <c r="EF64152"/>
      <c r="EG64152"/>
      <c r="EH64152"/>
      <c r="EI64152"/>
      <c r="EJ64152"/>
      <c r="EK64152"/>
    </row>
    <row r="64153" spans="1:141" s="116" customFormat="1">
      <c r="A64153" s="136"/>
      <c r="CM64153" s="111"/>
      <c r="CQ64153" s="111"/>
      <c r="EF64153"/>
      <c r="EG64153"/>
      <c r="EH64153"/>
      <c r="EI64153"/>
      <c r="EJ64153"/>
      <c r="EK64153"/>
    </row>
    <row r="64154" spans="1:141" s="116" customFormat="1">
      <c r="A64154" s="136"/>
      <c r="CM64154" s="111"/>
      <c r="CQ64154" s="111"/>
      <c r="EF64154"/>
      <c r="EG64154"/>
      <c r="EH64154"/>
      <c r="EI64154"/>
      <c r="EJ64154"/>
      <c r="EK64154"/>
    </row>
    <row r="64155" spans="1:141" s="116" customFormat="1">
      <c r="A64155" s="136"/>
      <c r="CM64155" s="111"/>
      <c r="CQ64155" s="111"/>
      <c r="EF64155"/>
      <c r="EG64155"/>
      <c r="EH64155"/>
      <c r="EI64155"/>
      <c r="EJ64155"/>
      <c r="EK64155"/>
    </row>
    <row r="64156" spans="1:141" s="116" customFormat="1">
      <c r="A64156" s="136"/>
      <c r="CM64156" s="111"/>
      <c r="CQ64156" s="111"/>
      <c r="EF64156"/>
      <c r="EG64156"/>
      <c r="EH64156"/>
      <c r="EI64156"/>
      <c r="EJ64156"/>
      <c r="EK64156"/>
    </row>
    <row r="64157" spans="1:141" s="116" customFormat="1">
      <c r="A64157" s="136"/>
      <c r="CM64157" s="111"/>
      <c r="CQ64157" s="111"/>
      <c r="EF64157"/>
      <c r="EG64157"/>
      <c r="EH64157"/>
      <c r="EI64157"/>
      <c r="EJ64157"/>
      <c r="EK64157"/>
    </row>
    <row r="64158" spans="1:141" s="116" customFormat="1">
      <c r="A64158" s="136"/>
      <c r="CM64158" s="111"/>
      <c r="CQ64158" s="111"/>
      <c r="EF64158"/>
      <c r="EG64158"/>
      <c r="EH64158"/>
      <c r="EI64158"/>
      <c r="EJ64158"/>
      <c r="EK64158"/>
    </row>
    <row r="64159" spans="1:141" s="116" customFormat="1">
      <c r="A64159" s="136"/>
      <c r="CM64159" s="111"/>
      <c r="CQ64159" s="111"/>
      <c r="EF64159"/>
      <c r="EG64159"/>
      <c r="EH64159"/>
      <c r="EI64159"/>
      <c r="EJ64159"/>
      <c r="EK64159"/>
    </row>
    <row r="64160" spans="1:141" s="116" customFormat="1">
      <c r="A64160" s="136"/>
      <c r="CM64160" s="111"/>
      <c r="CQ64160" s="111"/>
      <c r="EF64160"/>
      <c r="EG64160"/>
      <c r="EH64160"/>
      <c r="EI64160"/>
      <c r="EJ64160"/>
      <c r="EK64160"/>
    </row>
    <row r="64161" spans="1:141" s="116" customFormat="1">
      <c r="A64161" s="136"/>
      <c r="CM64161" s="111"/>
      <c r="CQ64161" s="111"/>
      <c r="EF64161"/>
      <c r="EG64161"/>
      <c r="EH64161"/>
      <c r="EI64161"/>
      <c r="EJ64161"/>
      <c r="EK64161"/>
    </row>
    <row r="64162" spans="1:141" s="116" customFormat="1">
      <c r="A64162" s="136"/>
      <c r="CM64162" s="111"/>
      <c r="CQ64162" s="111"/>
      <c r="EF64162"/>
      <c r="EG64162"/>
      <c r="EH64162"/>
      <c r="EI64162"/>
      <c r="EJ64162"/>
      <c r="EK64162"/>
    </row>
    <row r="64163" spans="1:141" s="116" customFormat="1">
      <c r="A64163" s="136"/>
      <c r="CM64163" s="111"/>
      <c r="CQ64163" s="111"/>
      <c r="EF64163"/>
      <c r="EG64163"/>
      <c r="EH64163"/>
      <c r="EI64163"/>
      <c r="EJ64163"/>
      <c r="EK64163"/>
    </row>
    <row r="64164" spans="1:141" s="116" customFormat="1">
      <c r="A64164" s="136"/>
      <c r="CM64164" s="111"/>
      <c r="CQ64164" s="111"/>
      <c r="EF64164"/>
      <c r="EG64164"/>
      <c r="EH64164"/>
      <c r="EI64164"/>
      <c r="EJ64164"/>
      <c r="EK64164"/>
    </row>
    <row r="64165" spans="1:141" s="116" customFormat="1">
      <c r="A64165" s="136"/>
      <c r="CM64165" s="111"/>
      <c r="CQ64165" s="111"/>
      <c r="EF64165"/>
      <c r="EG64165"/>
      <c r="EH64165"/>
      <c r="EI64165"/>
      <c r="EJ64165"/>
      <c r="EK64165"/>
    </row>
    <row r="64166" spans="1:141" s="116" customFormat="1">
      <c r="A64166" s="136"/>
      <c r="CM64166" s="111"/>
      <c r="CQ64166" s="111"/>
      <c r="EF64166"/>
      <c r="EG64166"/>
      <c r="EH64166"/>
      <c r="EI64166"/>
      <c r="EJ64166"/>
      <c r="EK64166"/>
    </row>
    <row r="64167" spans="1:141" s="116" customFormat="1">
      <c r="A64167" s="136"/>
      <c r="CM64167" s="111"/>
      <c r="CQ64167" s="111"/>
      <c r="EF64167"/>
      <c r="EG64167"/>
      <c r="EH64167"/>
      <c r="EI64167"/>
      <c r="EJ64167"/>
      <c r="EK64167"/>
    </row>
    <row r="64168" spans="1:141" s="116" customFormat="1">
      <c r="A64168" s="136"/>
      <c r="CM64168" s="111"/>
      <c r="CQ64168" s="111"/>
      <c r="EF64168"/>
      <c r="EG64168"/>
      <c r="EH64168"/>
      <c r="EI64168"/>
      <c r="EJ64168"/>
      <c r="EK64168"/>
    </row>
    <row r="64169" spans="1:141" s="116" customFormat="1">
      <c r="A64169" s="136"/>
      <c r="CM64169" s="111"/>
      <c r="CQ64169" s="111"/>
      <c r="EF64169"/>
      <c r="EG64169"/>
      <c r="EH64169"/>
      <c r="EI64169"/>
      <c r="EJ64169"/>
      <c r="EK64169"/>
    </row>
    <row r="64170" spans="1:141" s="116" customFormat="1">
      <c r="A64170" s="136"/>
      <c r="CM64170" s="111"/>
      <c r="CQ64170" s="111"/>
      <c r="EF64170"/>
      <c r="EG64170"/>
      <c r="EH64170"/>
      <c r="EI64170"/>
      <c r="EJ64170"/>
      <c r="EK64170"/>
    </row>
    <row r="64171" spans="1:141" s="116" customFormat="1">
      <c r="A64171" s="136"/>
      <c r="CM64171" s="111"/>
      <c r="CQ64171" s="111"/>
      <c r="EF64171"/>
      <c r="EG64171"/>
      <c r="EH64171"/>
      <c r="EI64171"/>
      <c r="EJ64171"/>
      <c r="EK64171"/>
    </row>
    <row r="64172" spans="1:141" s="116" customFormat="1">
      <c r="A64172" s="136"/>
      <c r="CM64172" s="111"/>
      <c r="CQ64172" s="111"/>
      <c r="EF64172"/>
      <c r="EG64172"/>
      <c r="EH64172"/>
      <c r="EI64172"/>
      <c r="EJ64172"/>
      <c r="EK64172"/>
    </row>
    <row r="64173" spans="1:141" s="116" customFormat="1">
      <c r="A64173" s="136"/>
      <c r="CM64173" s="111"/>
      <c r="CQ64173" s="111"/>
      <c r="EF64173"/>
      <c r="EG64173"/>
      <c r="EH64173"/>
      <c r="EI64173"/>
      <c r="EJ64173"/>
      <c r="EK64173"/>
    </row>
    <row r="64174" spans="1:141" s="116" customFormat="1">
      <c r="A64174" s="136"/>
      <c r="CM64174" s="111"/>
      <c r="CQ64174" s="111"/>
      <c r="EF64174"/>
      <c r="EG64174"/>
      <c r="EH64174"/>
      <c r="EI64174"/>
      <c r="EJ64174"/>
      <c r="EK64174"/>
    </row>
    <row r="64175" spans="1:141" s="116" customFormat="1">
      <c r="A64175" s="136"/>
      <c r="CM64175" s="111"/>
      <c r="CQ64175" s="111"/>
      <c r="EF64175"/>
      <c r="EG64175"/>
      <c r="EH64175"/>
      <c r="EI64175"/>
      <c r="EJ64175"/>
      <c r="EK64175"/>
    </row>
    <row r="64176" spans="1:141" s="116" customFormat="1">
      <c r="A64176" s="136"/>
      <c r="CM64176" s="111"/>
      <c r="CQ64176" s="111"/>
      <c r="EF64176"/>
      <c r="EG64176"/>
      <c r="EH64176"/>
      <c r="EI64176"/>
      <c r="EJ64176"/>
      <c r="EK64176"/>
    </row>
    <row r="64177" spans="1:141" s="116" customFormat="1">
      <c r="A64177" s="136"/>
      <c r="CM64177" s="111"/>
      <c r="CQ64177" s="111"/>
      <c r="EF64177"/>
      <c r="EG64177"/>
      <c r="EH64177"/>
      <c r="EI64177"/>
      <c r="EJ64177"/>
      <c r="EK64177"/>
    </row>
    <row r="64178" spans="1:141" s="116" customFormat="1">
      <c r="A64178" s="136"/>
      <c r="CM64178" s="111"/>
      <c r="CQ64178" s="111"/>
      <c r="EF64178"/>
      <c r="EG64178"/>
      <c r="EH64178"/>
      <c r="EI64178"/>
      <c r="EJ64178"/>
      <c r="EK64178"/>
    </row>
    <row r="64179" spans="1:141" s="116" customFormat="1">
      <c r="A64179" s="136"/>
      <c r="CM64179" s="111"/>
      <c r="CQ64179" s="111"/>
      <c r="EF64179"/>
      <c r="EG64179"/>
      <c r="EH64179"/>
      <c r="EI64179"/>
      <c r="EJ64179"/>
      <c r="EK64179"/>
    </row>
    <row r="64180" spans="1:141" s="116" customFormat="1">
      <c r="A64180" s="136"/>
      <c r="CM64180" s="111"/>
      <c r="CQ64180" s="111"/>
      <c r="EF64180"/>
      <c r="EG64180"/>
      <c r="EH64180"/>
      <c r="EI64180"/>
      <c r="EJ64180"/>
      <c r="EK64180"/>
    </row>
    <row r="64181" spans="1:141" s="116" customFormat="1">
      <c r="A64181" s="136"/>
      <c r="CM64181" s="111"/>
      <c r="CQ64181" s="111"/>
      <c r="EF64181"/>
      <c r="EG64181"/>
      <c r="EH64181"/>
      <c r="EI64181"/>
      <c r="EJ64181"/>
      <c r="EK64181"/>
    </row>
    <row r="64182" spans="1:141" s="116" customFormat="1">
      <c r="A64182" s="136"/>
      <c r="CM64182" s="111"/>
      <c r="CQ64182" s="111"/>
      <c r="EF64182"/>
      <c r="EG64182"/>
      <c r="EH64182"/>
      <c r="EI64182"/>
      <c r="EJ64182"/>
      <c r="EK64182"/>
    </row>
    <row r="64183" spans="1:141" s="116" customFormat="1">
      <c r="A64183" s="136"/>
      <c r="CM64183" s="111"/>
      <c r="CQ64183" s="111"/>
      <c r="EF64183"/>
      <c r="EG64183"/>
      <c r="EH64183"/>
      <c r="EI64183"/>
      <c r="EJ64183"/>
      <c r="EK64183"/>
    </row>
    <row r="64184" spans="1:141" s="116" customFormat="1">
      <c r="A64184" s="136"/>
      <c r="CM64184" s="111"/>
      <c r="CQ64184" s="111"/>
      <c r="EF64184"/>
      <c r="EG64184"/>
      <c r="EH64184"/>
      <c r="EI64184"/>
      <c r="EJ64184"/>
      <c r="EK64184"/>
    </row>
    <row r="64185" spans="1:141" s="116" customFormat="1">
      <c r="A64185" s="136"/>
      <c r="CM64185" s="111"/>
      <c r="CQ64185" s="111"/>
      <c r="EF64185"/>
      <c r="EG64185"/>
      <c r="EH64185"/>
      <c r="EI64185"/>
      <c r="EJ64185"/>
      <c r="EK64185"/>
    </row>
    <row r="64186" spans="1:141" s="116" customFormat="1">
      <c r="A64186" s="136"/>
      <c r="CM64186" s="111"/>
      <c r="CQ64186" s="111"/>
      <c r="EF64186"/>
      <c r="EG64186"/>
      <c r="EH64186"/>
      <c r="EI64186"/>
      <c r="EJ64186"/>
      <c r="EK64186"/>
    </row>
    <row r="64187" spans="1:141" s="116" customFormat="1">
      <c r="A64187" s="136"/>
      <c r="CM64187" s="111"/>
      <c r="CQ64187" s="111"/>
      <c r="EF64187"/>
      <c r="EG64187"/>
      <c r="EH64187"/>
      <c r="EI64187"/>
      <c r="EJ64187"/>
      <c r="EK64187"/>
    </row>
    <row r="64188" spans="1:141" s="116" customFormat="1">
      <c r="A64188" s="136"/>
      <c r="CM64188" s="111"/>
      <c r="CQ64188" s="111"/>
      <c r="EF64188"/>
      <c r="EG64188"/>
      <c r="EH64188"/>
      <c r="EI64188"/>
      <c r="EJ64188"/>
      <c r="EK64188"/>
    </row>
    <row r="64189" spans="1:141" s="116" customFormat="1">
      <c r="A64189" s="136"/>
      <c r="CM64189" s="111"/>
      <c r="CQ64189" s="111"/>
      <c r="EF64189"/>
      <c r="EG64189"/>
      <c r="EH64189"/>
      <c r="EI64189"/>
      <c r="EJ64189"/>
      <c r="EK64189"/>
    </row>
    <row r="64190" spans="1:141" s="116" customFormat="1">
      <c r="A64190" s="136"/>
      <c r="CM64190" s="111"/>
      <c r="CQ64190" s="111"/>
      <c r="EF64190"/>
      <c r="EG64190"/>
      <c r="EH64190"/>
      <c r="EI64190"/>
      <c r="EJ64190"/>
      <c r="EK64190"/>
    </row>
    <row r="64191" spans="1:141" s="116" customFormat="1">
      <c r="A64191" s="136"/>
      <c r="CM64191" s="111"/>
      <c r="CQ64191" s="111"/>
      <c r="EF64191"/>
      <c r="EG64191"/>
      <c r="EH64191"/>
      <c r="EI64191"/>
      <c r="EJ64191"/>
      <c r="EK64191"/>
    </row>
    <row r="64192" spans="1:141" s="116" customFormat="1">
      <c r="A64192" s="136"/>
      <c r="CM64192" s="111"/>
      <c r="CQ64192" s="111"/>
      <c r="EF64192"/>
      <c r="EG64192"/>
      <c r="EH64192"/>
      <c r="EI64192"/>
      <c r="EJ64192"/>
      <c r="EK64192"/>
    </row>
    <row r="64193" spans="1:141" s="116" customFormat="1">
      <c r="A64193" s="136"/>
      <c r="CM64193" s="111"/>
      <c r="CQ64193" s="111"/>
      <c r="EF64193"/>
      <c r="EG64193"/>
      <c r="EH64193"/>
      <c r="EI64193"/>
      <c r="EJ64193"/>
      <c r="EK64193"/>
    </row>
    <row r="64194" spans="1:141" s="116" customFormat="1">
      <c r="A64194" s="136"/>
      <c r="CM64194" s="111"/>
      <c r="CQ64194" s="111"/>
      <c r="EF64194"/>
      <c r="EG64194"/>
      <c r="EH64194"/>
      <c r="EI64194"/>
      <c r="EJ64194"/>
      <c r="EK64194"/>
    </row>
    <row r="64195" spans="1:141" s="116" customFormat="1">
      <c r="A64195" s="136"/>
      <c r="CM64195" s="111"/>
      <c r="CQ64195" s="111"/>
      <c r="EF64195"/>
      <c r="EG64195"/>
      <c r="EH64195"/>
      <c r="EI64195"/>
      <c r="EJ64195"/>
      <c r="EK64195"/>
    </row>
    <row r="64196" spans="1:141" s="116" customFormat="1">
      <c r="A64196" s="136"/>
      <c r="CM64196" s="111"/>
      <c r="CQ64196" s="111"/>
      <c r="EF64196"/>
      <c r="EG64196"/>
      <c r="EH64196"/>
      <c r="EI64196"/>
      <c r="EJ64196"/>
      <c r="EK64196"/>
    </row>
    <row r="64197" spans="1:141" s="116" customFormat="1">
      <c r="A64197" s="136"/>
      <c r="CM64197" s="111"/>
      <c r="CQ64197" s="111"/>
      <c r="EF64197"/>
      <c r="EG64197"/>
      <c r="EH64197"/>
      <c r="EI64197"/>
      <c r="EJ64197"/>
      <c r="EK64197"/>
    </row>
    <row r="64198" spans="1:141" s="116" customFormat="1">
      <c r="A64198" s="136"/>
      <c r="CM64198" s="111"/>
      <c r="CQ64198" s="111"/>
      <c r="EF64198"/>
      <c r="EG64198"/>
      <c r="EH64198"/>
      <c r="EI64198"/>
      <c r="EJ64198"/>
      <c r="EK64198"/>
    </row>
    <row r="64199" spans="1:141" s="116" customFormat="1">
      <c r="A64199" s="136"/>
      <c r="CM64199" s="111"/>
      <c r="CQ64199" s="111"/>
      <c r="EF64199"/>
      <c r="EG64199"/>
      <c r="EH64199"/>
      <c r="EI64199"/>
      <c r="EJ64199"/>
      <c r="EK64199"/>
    </row>
    <row r="64200" spans="1:141" s="116" customFormat="1">
      <c r="A64200" s="136"/>
      <c r="CM64200" s="111"/>
      <c r="CQ64200" s="111"/>
      <c r="EF64200"/>
      <c r="EG64200"/>
      <c r="EH64200"/>
      <c r="EI64200"/>
      <c r="EJ64200"/>
      <c r="EK64200"/>
    </row>
    <row r="64201" spans="1:141" s="116" customFormat="1">
      <c r="A64201" s="136"/>
      <c r="CM64201" s="111"/>
      <c r="CQ64201" s="111"/>
      <c r="EF64201"/>
      <c r="EG64201"/>
      <c r="EH64201"/>
      <c r="EI64201"/>
      <c r="EJ64201"/>
      <c r="EK64201"/>
    </row>
    <row r="64202" spans="1:141" s="116" customFormat="1">
      <c r="A64202" s="136"/>
      <c r="CM64202" s="111"/>
      <c r="CQ64202" s="111"/>
      <c r="EF64202"/>
      <c r="EG64202"/>
      <c r="EH64202"/>
      <c r="EI64202"/>
      <c r="EJ64202"/>
      <c r="EK64202"/>
    </row>
    <row r="64203" spans="1:141" s="116" customFormat="1">
      <c r="A64203" s="136"/>
      <c r="CM64203" s="111"/>
      <c r="CQ64203" s="111"/>
      <c r="EF64203"/>
      <c r="EG64203"/>
      <c r="EH64203"/>
      <c r="EI64203"/>
      <c r="EJ64203"/>
      <c r="EK64203"/>
    </row>
    <row r="64204" spans="1:141" s="116" customFormat="1">
      <c r="A64204" s="136"/>
      <c r="CM64204" s="111"/>
      <c r="CQ64204" s="111"/>
      <c r="EF64204"/>
      <c r="EG64204"/>
      <c r="EH64204"/>
      <c r="EI64204"/>
      <c r="EJ64204"/>
      <c r="EK64204"/>
    </row>
    <row r="64205" spans="1:141" s="116" customFormat="1">
      <c r="A64205" s="136"/>
      <c r="CM64205" s="111"/>
      <c r="CQ64205" s="111"/>
      <c r="EF64205"/>
      <c r="EG64205"/>
      <c r="EH64205"/>
      <c r="EI64205"/>
      <c r="EJ64205"/>
      <c r="EK64205"/>
    </row>
    <row r="64206" spans="1:141" s="116" customFormat="1">
      <c r="A64206" s="136"/>
      <c r="CM64206" s="111"/>
      <c r="CQ64206" s="111"/>
      <c r="EF64206"/>
      <c r="EG64206"/>
      <c r="EH64206"/>
      <c r="EI64206"/>
      <c r="EJ64206"/>
      <c r="EK64206"/>
    </row>
    <row r="64207" spans="1:141" s="116" customFormat="1">
      <c r="A64207" s="136"/>
      <c r="CM64207" s="111"/>
      <c r="CQ64207" s="111"/>
      <c r="EF64207"/>
      <c r="EG64207"/>
      <c r="EH64207"/>
      <c r="EI64207"/>
      <c r="EJ64207"/>
      <c r="EK64207"/>
    </row>
    <row r="64208" spans="1:141" s="116" customFormat="1">
      <c r="A64208" s="136"/>
      <c r="CM64208" s="111"/>
      <c r="CQ64208" s="111"/>
      <c r="EF64208"/>
      <c r="EG64208"/>
      <c r="EH64208"/>
      <c r="EI64208"/>
      <c r="EJ64208"/>
      <c r="EK64208"/>
    </row>
    <row r="64209" spans="1:141" s="116" customFormat="1">
      <c r="A64209" s="136"/>
      <c r="CM64209" s="111"/>
      <c r="CQ64209" s="111"/>
      <c r="EF64209"/>
      <c r="EG64209"/>
      <c r="EH64209"/>
      <c r="EI64209"/>
      <c r="EJ64209"/>
      <c r="EK64209"/>
    </row>
    <row r="64210" spans="1:141" s="116" customFormat="1">
      <c r="A64210" s="136"/>
      <c r="CM64210" s="111"/>
      <c r="CQ64210" s="111"/>
      <c r="EF64210"/>
      <c r="EG64210"/>
      <c r="EH64210"/>
      <c r="EI64210"/>
      <c r="EJ64210"/>
      <c r="EK64210"/>
    </row>
    <row r="64211" spans="1:141" s="116" customFormat="1">
      <c r="A64211" s="136"/>
      <c r="CM64211" s="111"/>
      <c r="CQ64211" s="111"/>
      <c r="EF64211"/>
      <c r="EG64211"/>
      <c r="EH64211"/>
      <c r="EI64211"/>
      <c r="EJ64211"/>
      <c r="EK64211"/>
    </row>
    <row r="64212" spans="1:141" s="116" customFormat="1">
      <c r="A64212" s="136"/>
      <c r="CM64212" s="111"/>
      <c r="CQ64212" s="111"/>
      <c r="EF64212"/>
      <c r="EG64212"/>
      <c r="EH64212"/>
      <c r="EI64212"/>
      <c r="EJ64212"/>
      <c r="EK64212"/>
    </row>
    <row r="64213" spans="1:141" s="116" customFormat="1">
      <c r="A64213" s="136"/>
      <c r="CM64213" s="111"/>
      <c r="CQ64213" s="111"/>
      <c r="EF64213"/>
      <c r="EG64213"/>
      <c r="EH64213"/>
      <c r="EI64213"/>
      <c r="EJ64213"/>
      <c r="EK64213"/>
    </row>
    <row r="64214" spans="1:141" s="116" customFormat="1">
      <c r="A64214" s="136"/>
      <c r="CM64214" s="111"/>
      <c r="CQ64214" s="111"/>
      <c r="EF64214"/>
      <c r="EG64214"/>
      <c r="EH64214"/>
      <c r="EI64214"/>
      <c r="EJ64214"/>
      <c r="EK64214"/>
    </row>
    <row r="64215" spans="1:141" s="116" customFormat="1">
      <c r="A64215" s="136"/>
      <c r="CM64215" s="111"/>
      <c r="CQ64215" s="111"/>
      <c r="EF64215"/>
      <c r="EG64215"/>
      <c r="EH64215"/>
      <c r="EI64215"/>
      <c r="EJ64215"/>
      <c r="EK64215"/>
    </row>
    <row r="64216" spans="1:141" s="116" customFormat="1">
      <c r="A64216" s="136"/>
      <c r="CM64216" s="111"/>
      <c r="CQ64216" s="111"/>
      <c r="EF64216"/>
      <c r="EG64216"/>
      <c r="EH64216"/>
      <c r="EI64216"/>
      <c r="EJ64216"/>
      <c r="EK64216"/>
    </row>
    <row r="64217" spans="1:141" s="116" customFormat="1">
      <c r="A64217" s="136"/>
      <c r="CM64217" s="111"/>
      <c r="CQ64217" s="111"/>
      <c r="EF64217"/>
      <c r="EG64217"/>
      <c r="EH64217"/>
      <c r="EI64217"/>
      <c r="EJ64217"/>
      <c r="EK64217"/>
    </row>
    <row r="64218" spans="1:141" s="116" customFormat="1">
      <c r="A64218" s="136"/>
      <c r="CM64218" s="111"/>
      <c r="CQ64218" s="111"/>
      <c r="EF64218"/>
      <c r="EG64218"/>
      <c r="EH64218"/>
      <c r="EI64218"/>
      <c r="EJ64218"/>
      <c r="EK64218"/>
    </row>
    <row r="64219" spans="1:141" s="116" customFormat="1">
      <c r="A64219" s="136"/>
      <c r="CM64219" s="111"/>
      <c r="CQ64219" s="111"/>
      <c r="EF64219"/>
      <c r="EG64219"/>
      <c r="EH64219"/>
      <c r="EI64219"/>
      <c r="EJ64219"/>
      <c r="EK64219"/>
    </row>
    <row r="64220" spans="1:141" s="116" customFormat="1">
      <c r="A64220" s="136"/>
      <c r="CM64220" s="111"/>
      <c r="CQ64220" s="111"/>
      <c r="EF64220"/>
      <c r="EG64220"/>
      <c r="EH64220"/>
      <c r="EI64220"/>
      <c r="EJ64220"/>
      <c r="EK64220"/>
    </row>
    <row r="64221" spans="1:141" s="116" customFormat="1">
      <c r="A64221" s="136"/>
      <c r="CM64221" s="111"/>
      <c r="CQ64221" s="111"/>
      <c r="EF64221"/>
      <c r="EG64221"/>
      <c r="EH64221"/>
      <c r="EI64221"/>
      <c r="EJ64221"/>
      <c r="EK64221"/>
    </row>
    <row r="64222" spans="1:141" s="116" customFormat="1">
      <c r="A64222" s="136"/>
      <c r="CM64222" s="111"/>
      <c r="CQ64222" s="111"/>
      <c r="EF64222"/>
      <c r="EG64222"/>
      <c r="EH64222"/>
      <c r="EI64222"/>
      <c r="EJ64222"/>
      <c r="EK64222"/>
    </row>
    <row r="64223" spans="1:141" s="116" customFormat="1">
      <c r="A64223" s="136"/>
      <c r="CM64223" s="111"/>
      <c r="CQ64223" s="111"/>
      <c r="EF64223"/>
      <c r="EG64223"/>
      <c r="EH64223"/>
      <c r="EI64223"/>
      <c r="EJ64223"/>
      <c r="EK64223"/>
    </row>
    <row r="64224" spans="1:141" s="116" customFormat="1">
      <c r="A64224" s="136"/>
      <c r="CM64224" s="111"/>
      <c r="CQ64224" s="111"/>
      <c r="EF64224"/>
      <c r="EG64224"/>
      <c r="EH64224"/>
      <c r="EI64224"/>
      <c r="EJ64224"/>
      <c r="EK64224"/>
    </row>
    <row r="64225" spans="1:141" s="116" customFormat="1">
      <c r="A64225" s="136"/>
      <c r="CM64225" s="111"/>
      <c r="CQ64225" s="111"/>
      <c r="EF64225"/>
      <c r="EG64225"/>
      <c r="EH64225"/>
      <c r="EI64225"/>
      <c r="EJ64225"/>
      <c r="EK64225"/>
    </row>
    <row r="64226" spans="1:141" s="116" customFormat="1">
      <c r="A64226" s="136"/>
      <c r="CM64226" s="111"/>
      <c r="CQ64226" s="111"/>
      <c r="EF64226"/>
      <c r="EG64226"/>
      <c r="EH64226"/>
      <c r="EI64226"/>
      <c r="EJ64226"/>
      <c r="EK64226"/>
    </row>
    <row r="64227" spans="1:141" s="116" customFormat="1">
      <c r="A64227" s="136"/>
      <c r="CM64227" s="111"/>
      <c r="CQ64227" s="111"/>
      <c r="EF64227"/>
      <c r="EG64227"/>
      <c r="EH64227"/>
      <c r="EI64227"/>
      <c r="EJ64227"/>
      <c r="EK64227"/>
    </row>
    <row r="64228" spans="1:141" s="116" customFormat="1">
      <c r="A64228" s="136"/>
      <c r="CM64228" s="111"/>
      <c r="CQ64228" s="111"/>
      <c r="EF64228"/>
      <c r="EG64228"/>
      <c r="EH64228"/>
      <c r="EI64228"/>
      <c r="EJ64228"/>
      <c r="EK64228"/>
    </row>
    <row r="64229" spans="1:141" s="116" customFormat="1">
      <c r="A64229" s="136"/>
      <c r="CM64229" s="111"/>
      <c r="CQ64229" s="111"/>
      <c r="EF64229"/>
      <c r="EG64229"/>
      <c r="EH64229"/>
      <c r="EI64229"/>
      <c r="EJ64229"/>
      <c r="EK64229"/>
    </row>
    <row r="64230" spans="1:141" s="116" customFormat="1">
      <c r="A64230" s="136"/>
      <c r="CM64230" s="111"/>
      <c r="CQ64230" s="111"/>
      <c r="EF64230"/>
      <c r="EG64230"/>
      <c r="EH64230"/>
      <c r="EI64230"/>
      <c r="EJ64230"/>
      <c r="EK64230"/>
    </row>
    <row r="64231" spans="1:141" s="116" customFormat="1">
      <c r="A64231" s="136"/>
      <c r="CM64231" s="111"/>
      <c r="CQ64231" s="111"/>
      <c r="EF64231"/>
      <c r="EG64231"/>
      <c r="EH64231"/>
      <c r="EI64231"/>
      <c r="EJ64231"/>
      <c r="EK64231"/>
    </row>
    <row r="64232" spans="1:141" s="116" customFormat="1">
      <c r="A64232" s="136"/>
      <c r="CM64232" s="111"/>
      <c r="CQ64232" s="111"/>
      <c r="EF64232"/>
      <c r="EG64232"/>
      <c r="EH64232"/>
      <c r="EI64232"/>
      <c r="EJ64232"/>
      <c r="EK64232"/>
    </row>
    <row r="64233" spans="1:141" s="116" customFormat="1">
      <c r="A64233" s="136"/>
      <c r="CM64233" s="111"/>
      <c r="CQ64233" s="111"/>
      <c r="EF64233"/>
      <c r="EG64233"/>
      <c r="EH64233"/>
      <c r="EI64233"/>
      <c r="EJ64233"/>
      <c r="EK64233"/>
    </row>
    <row r="64234" spans="1:141" s="116" customFormat="1">
      <c r="A64234" s="136"/>
      <c r="CM64234" s="111"/>
      <c r="CQ64234" s="111"/>
      <c r="EF64234"/>
      <c r="EG64234"/>
      <c r="EH64234"/>
      <c r="EI64234"/>
      <c r="EJ64234"/>
      <c r="EK64234"/>
    </row>
    <row r="64235" spans="1:141" s="116" customFormat="1">
      <c r="A64235" s="136"/>
      <c r="CM64235" s="111"/>
      <c r="CQ64235" s="111"/>
      <c r="EF64235"/>
      <c r="EG64235"/>
      <c r="EH64235"/>
      <c r="EI64235"/>
      <c r="EJ64235"/>
      <c r="EK64235"/>
    </row>
    <row r="64236" spans="1:141" s="116" customFormat="1">
      <c r="A64236" s="136"/>
      <c r="CM64236" s="111"/>
      <c r="CQ64236" s="111"/>
      <c r="EF64236"/>
      <c r="EG64236"/>
      <c r="EH64236"/>
      <c r="EI64236"/>
      <c r="EJ64236"/>
      <c r="EK64236"/>
    </row>
    <row r="64237" spans="1:141" s="116" customFormat="1">
      <c r="A64237" s="136"/>
      <c r="CM64237" s="111"/>
      <c r="CQ64237" s="111"/>
      <c r="EF64237"/>
      <c r="EG64237"/>
      <c r="EH64237"/>
      <c r="EI64237"/>
      <c r="EJ64237"/>
      <c r="EK64237"/>
    </row>
    <row r="64238" spans="1:141" s="116" customFormat="1">
      <c r="A64238" s="136"/>
      <c r="CM64238" s="111"/>
      <c r="CQ64238" s="111"/>
      <c r="EF64238"/>
      <c r="EG64238"/>
      <c r="EH64238"/>
      <c r="EI64238"/>
      <c r="EJ64238"/>
      <c r="EK64238"/>
    </row>
    <row r="64239" spans="1:141" s="116" customFormat="1">
      <c r="A64239" s="136"/>
      <c r="CM64239" s="111"/>
      <c r="CQ64239" s="111"/>
      <c r="EF64239"/>
      <c r="EG64239"/>
      <c r="EH64239"/>
      <c r="EI64239"/>
      <c r="EJ64239"/>
      <c r="EK64239"/>
    </row>
    <row r="64240" spans="1:141" s="116" customFormat="1">
      <c r="A64240" s="136"/>
      <c r="CM64240" s="111"/>
      <c r="CQ64240" s="111"/>
      <c r="EF64240"/>
      <c r="EG64240"/>
      <c r="EH64240"/>
      <c r="EI64240"/>
      <c r="EJ64240"/>
      <c r="EK64240"/>
    </row>
    <row r="64241" spans="1:141" s="116" customFormat="1">
      <c r="A64241" s="136"/>
      <c r="CM64241" s="111"/>
      <c r="CQ64241" s="111"/>
      <c r="EF64241"/>
      <c r="EG64241"/>
      <c r="EH64241"/>
      <c r="EI64241"/>
      <c r="EJ64241"/>
      <c r="EK64241"/>
    </row>
    <row r="64242" spans="1:141" s="116" customFormat="1">
      <c r="A64242" s="136"/>
      <c r="CM64242" s="111"/>
      <c r="CQ64242" s="111"/>
      <c r="EF64242"/>
      <c r="EG64242"/>
      <c r="EH64242"/>
      <c r="EI64242"/>
      <c r="EJ64242"/>
      <c r="EK64242"/>
    </row>
    <row r="64243" spans="1:141" s="116" customFormat="1">
      <c r="A64243" s="136"/>
      <c r="CM64243" s="111"/>
      <c r="CQ64243" s="111"/>
      <c r="EF64243"/>
      <c r="EG64243"/>
      <c r="EH64243"/>
      <c r="EI64243"/>
      <c r="EJ64243"/>
      <c r="EK64243"/>
    </row>
    <row r="64244" spans="1:141" s="116" customFormat="1">
      <c r="A64244" s="136"/>
      <c r="CM64244" s="111"/>
      <c r="CQ64244" s="111"/>
      <c r="EF64244"/>
      <c r="EG64244"/>
      <c r="EH64244"/>
      <c r="EI64244"/>
      <c r="EJ64244"/>
      <c r="EK64244"/>
    </row>
    <row r="64245" spans="1:141" s="116" customFormat="1">
      <c r="A64245" s="136"/>
      <c r="CM64245" s="111"/>
      <c r="CQ64245" s="111"/>
      <c r="EF64245"/>
      <c r="EG64245"/>
      <c r="EH64245"/>
      <c r="EI64245"/>
      <c r="EJ64245"/>
      <c r="EK64245"/>
    </row>
    <row r="64246" spans="1:141" s="116" customFormat="1">
      <c r="A64246" s="136"/>
      <c r="CM64246" s="111"/>
      <c r="CQ64246" s="111"/>
      <c r="EF64246"/>
      <c r="EG64246"/>
      <c r="EH64246"/>
      <c r="EI64246"/>
      <c r="EJ64246"/>
      <c r="EK64246"/>
    </row>
    <row r="64247" spans="1:141" s="116" customFormat="1">
      <c r="A64247" s="136"/>
      <c r="CM64247" s="111"/>
      <c r="CQ64247" s="111"/>
      <c r="EF64247"/>
      <c r="EG64247"/>
      <c r="EH64247"/>
      <c r="EI64247"/>
      <c r="EJ64247"/>
      <c r="EK64247"/>
    </row>
    <row r="64248" spans="1:141" s="116" customFormat="1">
      <c r="A64248" s="136"/>
      <c r="CM64248" s="111"/>
      <c r="CQ64248" s="111"/>
      <c r="EF64248"/>
      <c r="EG64248"/>
      <c r="EH64248"/>
      <c r="EI64248"/>
      <c r="EJ64248"/>
      <c r="EK64248"/>
    </row>
    <row r="64249" spans="1:141" s="116" customFormat="1">
      <c r="A64249" s="136"/>
      <c r="CM64249" s="111"/>
      <c r="CQ64249" s="111"/>
      <c r="EF64249"/>
      <c r="EG64249"/>
      <c r="EH64249"/>
      <c r="EI64249"/>
      <c r="EJ64249"/>
      <c r="EK64249"/>
    </row>
    <row r="64250" spans="1:141" s="116" customFormat="1">
      <c r="A64250" s="136"/>
      <c r="CM64250" s="111"/>
      <c r="CQ64250" s="111"/>
      <c r="EF64250"/>
      <c r="EG64250"/>
      <c r="EH64250"/>
      <c r="EI64250"/>
      <c r="EJ64250"/>
      <c r="EK64250"/>
    </row>
    <row r="64251" spans="1:141" s="116" customFormat="1">
      <c r="A64251" s="136"/>
      <c r="CM64251" s="111"/>
      <c r="CQ64251" s="111"/>
      <c r="EF64251"/>
      <c r="EG64251"/>
      <c r="EH64251"/>
      <c r="EI64251"/>
      <c r="EJ64251"/>
      <c r="EK64251"/>
    </row>
    <row r="64252" spans="1:141" s="116" customFormat="1">
      <c r="A64252" s="136"/>
      <c r="CM64252" s="111"/>
      <c r="CQ64252" s="111"/>
      <c r="EF64252"/>
      <c r="EG64252"/>
      <c r="EH64252"/>
      <c r="EI64252"/>
      <c r="EJ64252"/>
      <c r="EK64252"/>
    </row>
    <row r="64253" spans="1:141" s="116" customFormat="1">
      <c r="A64253" s="136"/>
      <c r="CM64253" s="111"/>
      <c r="CQ64253" s="111"/>
      <c r="EF64253"/>
      <c r="EG64253"/>
      <c r="EH64253"/>
      <c r="EI64253"/>
      <c r="EJ64253"/>
      <c r="EK64253"/>
    </row>
    <row r="64254" spans="1:141" s="116" customFormat="1">
      <c r="A64254" s="136"/>
      <c r="CM64254" s="111"/>
      <c r="CQ64254" s="111"/>
      <c r="EF64254"/>
      <c r="EG64254"/>
      <c r="EH64254"/>
      <c r="EI64254"/>
      <c r="EJ64254"/>
      <c r="EK64254"/>
    </row>
    <row r="64255" spans="1:141" s="116" customFormat="1">
      <c r="A64255" s="136"/>
      <c r="CM64255" s="111"/>
      <c r="CQ64255" s="111"/>
      <c r="EF64255"/>
      <c r="EG64255"/>
      <c r="EH64255"/>
      <c r="EI64255"/>
      <c r="EJ64255"/>
      <c r="EK64255"/>
    </row>
    <row r="64256" spans="1:141" s="116" customFormat="1">
      <c r="A64256" s="136"/>
      <c r="CM64256" s="111"/>
      <c r="CQ64256" s="111"/>
      <c r="EF64256"/>
      <c r="EG64256"/>
      <c r="EH64256"/>
      <c r="EI64256"/>
      <c r="EJ64256"/>
      <c r="EK64256"/>
    </row>
    <row r="64257" spans="1:141" s="116" customFormat="1">
      <c r="A64257" s="136"/>
      <c r="CM64257" s="111"/>
      <c r="CQ64257" s="111"/>
      <c r="EF64257"/>
      <c r="EG64257"/>
      <c r="EH64257"/>
      <c r="EI64257"/>
      <c r="EJ64257"/>
      <c r="EK64257"/>
    </row>
    <row r="64258" spans="1:141" s="116" customFormat="1">
      <c r="A64258" s="136"/>
      <c r="CM64258" s="111"/>
      <c r="CQ64258" s="111"/>
      <c r="EF64258"/>
      <c r="EG64258"/>
      <c r="EH64258"/>
      <c r="EI64258"/>
      <c r="EJ64258"/>
      <c r="EK64258"/>
    </row>
    <row r="64259" spans="1:141" s="116" customFormat="1">
      <c r="A64259" s="136"/>
      <c r="CM64259" s="111"/>
      <c r="CQ64259" s="111"/>
      <c r="EF64259"/>
      <c r="EG64259"/>
      <c r="EH64259"/>
      <c r="EI64259"/>
      <c r="EJ64259"/>
      <c r="EK64259"/>
    </row>
    <row r="64260" spans="1:141" s="116" customFormat="1">
      <c r="A64260" s="136"/>
      <c r="CM64260" s="111"/>
      <c r="CQ64260" s="111"/>
      <c r="EF64260"/>
      <c r="EG64260"/>
      <c r="EH64260"/>
      <c r="EI64260"/>
      <c r="EJ64260"/>
      <c r="EK64260"/>
    </row>
    <row r="64261" spans="1:141" s="116" customFormat="1">
      <c r="A64261" s="136"/>
      <c r="CM64261" s="111"/>
      <c r="CQ64261" s="111"/>
      <c r="EF64261"/>
      <c r="EG64261"/>
      <c r="EH64261"/>
      <c r="EI64261"/>
      <c r="EJ64261"/>
      <c r="EK64261"/>
    </row>
    <row r="64262" spans="1:141" s="116" customFormat="1">
      <c r="A64262" s="136"/>
      <c r="CM64262" s="111"/>
      <c r="CQ64262" s="111"/>
      <c r="EF64262"/>
      <c r="EG64262"/>
      <c r="EH64262"/>
      <c r="EI64262"/>
      <c r="EJ64262"/>
      <c r="EK64262"/>
    </row>
    <row r="64263" spans="1:141" s="116" customFormat="1">
      <c r="A64263" s="136"/>
      <c r="CM64263" s="111"/>
      <c r="CQ64263" s="111"/>
      <c r="EF64263"/>
      <c r="EG64263"/>
      <c r="EH64263"/>
      <c r="EI64263"/>
      <c r="EJ64263"/>
      <c r="EK64263"/>
    </row>
    <row r="64264" spans="1:141" s="116" customFormat="1">
      <c r="A64264" s="136"/>
      <c r="CM64264" s="111"/>
      <c r="CQ64264" s="111"/>
      <c r="EF64264"/>
      <c r="EG64264"/>
      <c r="EH64264"/>
      <c r="EI64264"/>
      <c r="EJ64264"/>
      <c r="EK64264"/>
    </row>
    <row r="64265" spans="1:141" s="116" customFormat="1">
      <c r="A64265" s="136"/>
      <c r="CM64265" s="111"/>
      <c r="CQ64265" s="111"/>
      <c r="EF64265"/>
      <c r="EG64265"/>
      <c r="EH64265"/>
      <c r="EI64265"/>
      <c r="EJ64265"/>
      <c r="EK64265"/>
    </row>
    <row r="64266" spans="1:141" s="116" customFormat="1">
      <c r="A64266" s="136"/>
      <c r="CM64266" s="111"/>
      <c r="CQ64266" s="111"/>
      <c r="EF64266"/>
      <c r="EG64266"/>
      <c r="EH64266"/>
      <c r="EI64266"/>
      <c r="EJ64266"/>
      <c r="EK64266"/>
    </row>
    <row r="64267" spans="1:141" s="116" customFormat="1">
      <c r="A64267" s="136"/>
      <c r="CM64267" s="111"/>
      <c r="CQ64267" s="111"/>
      <c r="EF64267"/>
      <c r="EG64267"/>
      <c r="EH64267"/>
      <c r="EI64267"/>
      <c r="EJ64267"/>
      <c r="EK64267"/>
    </row>
    <row r="64268" spans="1:141" s="116" customFormat="1">
      <c r="A64268" s="136"/>
      <c r="CM64268" s="111"/>
      <c r="CQ64268" s="111"/>
      <c r="EF64268"/>
      <c r="EG64268"/>
      <c r="EH64268"/>
      <c r="EI64268"/>
      <c r="EJ64268"/>
      <c r="EK64268"/>
    </row>
    <row r="64269" spans="1:141" s="116" customFormat="1">
      <c r="A64269" s="136"/>
      <c r="CM64269" s="111"/>
      <c r="CQ64269" s="111"/>
      <c r="EF64269"/>
      <c r="EG64269"/>
      <c r="EH64269"/>
      <c r="EI64269"/>
      <c r="EJ64269"/>
      <c r="EK64269"/>
    </row>
    <row r="64270" spans="1:141" s="116" customFormat="1">
      <c r="A64270" s="136"/>
      <c r="CM64270" s="111"/>
      <c r="CQ64270" s="111"/>
      <c r="EF64270"/>
      <c r="EG64270"/>
      <c r="EH64270"/>
      <c r="EI64270"/>
      <c r="EJ64270"/>
      <c r="EK64270"/>
    </row>
    <row r="64271" spans="1:141" s="116" customFormat="1">
      <c r="A64271" s="136"/>
      <c r="CM64271" s="111"/>
      <c r="CQ64271" s="111"/>
      <c r="EF64271"/>
      <c r="EG64271"/>
      <c r="EH64271"/>
      <c r="EI64271"/>
      <c r="EJ64271"/>
      <c r="EK64271"/>
    </row>
    <row r="64272" spans="1:141" s="116" customFormat="1">
      <c r="A64272" s="136"/>
      <c r="CM64272" s="111"/>
      <c r="CQ64272" s="111"/>
      <c r="EF64272"/>
      <c r="EG64272"/>
      <c r="EH64272"/>
      <c r="EI64272"/>
      <c r="EJ64272"/>
      <c r="EK64272"/>
    </row>
    <row r="64273" spans="1:141" s="116" customFormat="1">
      <c r="A64273" s="136"/>
      <c r="CM64273" s="111"/>
      <c r="CQ64273" s="111"/>
      <c r="EF64273"/>
      <c r="EG64273"/>
      <c r="EH64273"/>
      <c r="EI64273"/>
      <c r="EJ64273"/>
      <c r="EK64273"/>
    </row>
    <row r="64274" spans="1:141" s="116" customFormat="1">
      <c r="A64274" s="136"/>
      <c r="CM64274" s="111"/>
      <c r="CQ64274" s="111"/>
      <c r="EF64274"/>
      <c r="EG64274"/>
      <c r="EH64274"/>
      <c r="EI64274"/>
      <c r="EJ64274"/>
      <c r="EK64274"/>
    </row>
    <row r="64275" spans="1:141" s="116" customFormat="1">
      <c r="A64275" s="136"/>
      <c r="CM64275" s="111"/>
      <c r="CQ64275" s="111"/>
      <c r="EF64275"/>
      <c r="EG64275"/>
      <c r="EH64275"/>
      <c r="EI64275"/>
      <c r="EJ64275"/>
      <c r="EK64275"/>
    </row>
    <row r="64276" spans="1:141" s="116" customFormat="1">
      <c r="A64276" s="136"/>
      <c r="CM64276" s="111"/>
      <c r="CQ64276" s="111"/>
      <c r="EF64276"/>
      <c r="EG64276"/>
      <c r="EH64276"/>
      <c r="EI64276"/>
      <c r="EJ64276"/>
      <c r="EK64276"/>
    </row>
    <row r="64277" spans="1:141" s="116" customFormat="1">
      <c r="A64277" s="136"/>
      <c r="CM64277" s="111"/>
      <c r="CQ64277" s="111"/>
      <c r="EF64277"/>
      <c r="EG64277"/>
      <c r="EH64277"/>
      <c r="EI64277"/>
      <c r="EJ64277"/>
      <c r="EK64277"/>
    </row>
    <row r="64278" spans="1:141" s="116" customFormat="1">
      <c r="A64278" s="136"/>
      <c r="CM64278" s="111"/>
      <c r="CQ64278" s="111"/>
      <c r="EF64278"/>
      <c r="EG64278"/>
      <c r="EH64278"/>
      <c r="EI64278"/>
      <c r="EJ64278"/>
      <c r="EK64278"/>
    </row>
    <row r="64279" spans="1:141" s="116" customFormat="1">
      <c r="A64279" s="136"/>
      <c r="CM64279" s="111"/>
      <c r="CQ64279" s="111"/>
      <c r="EF64279"/>
      <c r="EG64279"/>
      <c r="EH64279"/>
      <c r="EI64279"/>
      <c r="EJ64279"/>
      <c r="EK64279"/>
    </row>
    <row r="64280" spans="1:141" s="116" customFormat="1">
      <c r="A64280" s="136"/>
      <c r="CM64280" s="111"/>
      <c r="CQ64280" s="111"/>
      <c r="EF64280"/>
      <c r="EG64280"/>
      <c r="EH64280"/>
      <c r="EI64280"/>
      <c r="EJ64280"/>
      <c r="EK64280"/>
    </row>
    <row r="64281" spans="1:141" s="116" customFormat="1">
      <c r="A64281" s="136"/>
      <c r="CM64281" s="111"/>
      <c r="CQ64281" s="111"/>
      <c r="EF64281"/>
      <c r="EG64281"/>
      <c r="EH64281"/>
      <c r="EI64281"/>
      <c r="EJ64281"/>
      <c r="EK64281"/>
    </row>
    <row r="64282" spans="1:141" s="116" customFormat="1">
      <c r="A64282" s="136"/>
      <c r="CM64282" s="111"/>
      <c r="CQ64282" s="111"/>
      <c r="EF64282"/>
      <c r="EG64282"/>
      <c r="EH64282"/>
      <c r="EI64282"/>
      <c r="EJ64282"/>
      <c r="EK64282"/>
    </row>
    <row r="64283" spans="1:141" s="116" customFormat="1">
      <c r="A64283" s="136"/>
      <c r="CM64283" s="111"/>
      <c r="CQ64283" s="111"/>
      <c r="EF64283"/>
      <c r="EG64283"/>
      <c r="EH64283"/>
      <c r="EI64283"/>
      <c r="EJ64283"/>
      <c r="EK64283"/>
    </row>
    <row r="64284" spans="1:141" s="116" customFormat="1">
      <c r="A64284" s="136"/>
      <c r="CM64284" s="111"/>
      <c r="CQ64284" s="111"/>
      <c r="EF64284"/>
      <c r="EG64284"/>
      <c r="EH64284"/>
      <c r="EI64284"/>
      <c r="EJ64284"/>
      <c r="EK64284"/>
    </row>
    <row r="64285" spans="1:141" s="116" customFormat="1">
      <c r="A64285" s="136"/>
      <c r="CM64285" s="111"/>
      <c r="CQ64285" s="111"/>
      <c r="EF64285"/>
      <c r="EG64285"/>
      <c r="EH64285"/>
      <c r="EI64285"/>
      <c r="EJ64285"/>
      <c r="EK64285"/>
    </row>
    <row r="64286" spans="1:141" s="116" customFormat="1">
      <c r="A64286" s="136"/>
      <c r="CM64286" s="111"/>
      <c r="CQ64286" s="111"/>
      <c r="EF64286"/>
      <c r="EG64286"/>
      <c r="EH64286"/>
      <c r="EI64286"/>
      <c r="EJ64286"/>
      <c r="EK64286"/>
    </row>
    <row r="64287" spans="1:141" s="116" customFormat="1">
      <c r="A64287" s="136"/>
      <c r="CM64287" s="111"/>
      <c r="CQ64287" s="111"/>
      <c r="EF64287"/>
      <c r="EG64287"/>
      <c r="EH64287"/>
      <c r="EI64287"/>
      <c r="EJ64287"/>
      <c r="EK64287"/>
    </row>
    <row r="64288" spans="1:141" s="116" customFormat="1">
      <c r="A64288" s="136"/>
      <c r="CM64288" s="111"/>
      <c r="CQ64288" s="111"/>
      <c r="EF64288"/>
      <c r="EG64288"/>
      <c r="EH64288"/>
      <c r="EI64288"/>
      <c r="EJ64288"/>
      <c r="EK64288"/>
    </row>
    <row r="64289" spans="1:141" s="116" customFormat="1">
      <c r="A64289" s="136"/>
      <c r="CM64289" s="111"/>
      <c r="CQ64289" s="111"/>
      <c r="EF64289"/>
      <c r="EG64289"/>
      <c r="EH64289"/>
      <c r="EI64289"/>
      <c r="EJ64289"/>
      <c r="EK64289"/>
    </row>
    <row r="64290" spans="1:141" s="116" customFormat="1">
      <c r="A64290" s="136"/>
      <c r="CM64290" s="111"/>
      <c r="CQ64290" s="111"/>
      <c r="EF64290"/>
      <c r="EG64290"/>
      <c r="EH64290"/>
      <c r="EI64290"/>
      <c r="EJ64290"/>
      <c r="EK64290"/>
    </row>
    <row r="64291" spans="1:141" s="116" customFormat="1">
      <c r="A64291" s="136"/>
      <c r="CM64291" s="111"/>
      <c r="CQ64291" s="111"/>
      <c r="EF64291"/>
      <c r="EG64291"/>
      <c r="EH64291"/>
      <c r="EI64291"/>
      <c r="EJ64291"/>
      <c r="EK64291"/>
    </row>
    <row r="64292" spans="1:141" s="116" customFormat="1">
      <c r="A64292" s="136"/>
      <c r="CM64292" s="111"/>
      <c r="CQ64292" s="111"/>
      <c r="EF64292"/>
      <c r="EG64292"/>
      <c r="EH64292"/>
      <c r="EI64292"/>
      <c r="EJ64292"/>
      <c r="EK64292"/>
    </row>
    <row r="64293" spans="1:141" s="116" customFormat="1">
      <c r="A64293" s="136"/>
      <c r="CM64293" s="111"/>
      <c r="CQ64293" s="111"/>
      <c r="EF64293"/>
      <c r="EG64293"/>
      <c r="EH64293"/>
      <c r="EI64293"/>
      <c r="EJ64293"/>
      <c r="EK64293"/>
    </row>
    <row r="64294" spans="1:141" s="116" customFormat="1">
      <c r="A64294" s="136"/>
      <c r="CM64294" s="111"/>
      <c r="CQ64294" s="111"/>
      <c r="EF64294"/>
      <c r="EG64294"/>
      <c r="EH64294"/>
      <c r="EI64294"/>
      <c r="EJ64294"/>
      <c r="EK64294"/>
    </row>
    <row r="64295" spans="1:141" s="116" customFormat="1">
      <c r="A64295" s="136"/>
      <c r="CM64295" s="111"/>
      <c r="CQ64295" s="111"/>
      <c r="EF64295"/>
      <c r="EG64295"/>
      <c r="EH64295"/>
      <c r="EI64295"/>
      <c r="EJ64295"/>
      <c r="EK64295"/>
    </row>
    <row r="64296" spans="1:141" s="116" customFormat="1">
      <c r="A64296" s="136"/>
      <c r="CM64296" s="111"/>
      <c r="CQ64296" s="111"/>
      <c r="EF64296"/>
      <c r="EG64296"/>
      <c r="EH64296"/>
      <c r="EI64296"/>
      <c r="EJ64296"/>
      <c r="EK64296"/>
    </row>
    <row r="64297" spans="1:141" s="116" customFormat="1">
      <c r="A64297" s="136"/>
      <c r="CM64297" s="111"/>
      <c r="CQ64297" s="111"/>
      <c r="EF64297"/>
      <c r="EG64297"/>
      <c r="EH64297"/>
      <c r="EI64297"/>
      <c r="EJ64297"/>
      <c r="EK64297"/>
    </row>
    <row r="64298" spans="1:141" s="116" customFormat="1">
      <c r="A64298" s="136"/>
      <c r="CM64298" s="111"/>
      <c r="CQ64298" s="111"/>
      <c r="EF64298"/>
      <c r="EG64298"/>
      <c r="EH64298"/>
      <c r="EI64298"/>
      <c r="EJ64298"/>
      <c r="EK64298"/>
    </row>
    <row r="64299" spans="1:141" s="116" customFormat="1">
      <c r="A64299" s="136"/>
      <c r="CM64299" s="111"/>
      <c r="CQ64299" s="111"/>
      <c r="EF64299"/>
      <c r="EG64299"/>
      <c r="EH64299"/>
      <c r="EI64299"/>
      <c r="EJ64299"/>
      <c r="EK64299"/>
    </row>
    <row r="64300" spans="1:141" s="116" customFormat="1">
      <c r="A64300" s="136"/>
      <c r="CM64300" s="111"/>
      <c r="CQ64300" s="111"/>
      <c r="EF64300"/>
      <c r="EG64300"/>
      <c r="EH64300"/>
      <c r="EI64300"/>
      <c r="EJ64300"/>
      <c r="EK64300"/>
    </row>
    <row r="64301" spans="1:141" s="116" customFormat="1">
      <c r="A64301" s="136"/>
      <c r="CM64301" s="111"/>
      <c r="CQ64301" s="111"/>
      <c r="EF64301"/>
      <c r="EG64301"/>
      <c r="EH64301"/>
      <c r="EI64301"/>
      <c r="EJ64301"/>
      <c r="EK64301"/>
    </row>
    <row r="64302" spans="1:141" s="116" customFormat="1">
      <c r="A64302" s="136"/>
      <c r="CM64302" s="111"/>
      <c r="CQ64302" s="111"/>
      <c r="EF64302"/>
      <c r="EG64302"/>
      <c r="EH64302"/>
      <c r="EI64302"/>
      <c r="EJ64302"/>
      <c r="EK64302"/>
    </row>
    <row r="64303" spans="1:141" s="116" customFormat="1">
      <c r="A64303" s="136"/>
      <c r="CM64303" s="111"/>
      <c r="CQ64303" s="111"/>
      <c r="EF64303"/>
      <c r="EG64303"/>
      <c r="EH64303"/>
      <c r="EI64303"/>
      <c r="EJ64303"/>
      <c r="EK64303"/>
    </row>
    <row r="64304" spans="1:141" s="116" customFormat="1">
      <c r="A64304" s="136"/>
      <c r="CM64304" s="111"/>
      <c r="CQ64304" s="111"/>
      <c r="EF64304"/>
      <c r="EG64304"/>
      <c r="EH64304"/>
      <c r="EI64304"/>
      <c r="EJ64304"/>
      <c r="EK64304"/>
    </row>
    <row r="64305" spans="1:141" s="116" customFormat="1">
      <c r="A64305" s="136"/>
      <c r="CM64305" s="111"/>
      <c r="CQ64305" s="111"/>
      <c r="EF64305"/>
      <c r="EG64305"/>
      <c r="EH64305"/>
      <c r="EI64305"/>
      <c r="EJ64305"/>
      <c r="EK64305"/>
    </row>
    <row r="64306" spans="1:141" s="116" customFormat="1">
      <c r="A64306" s="136"/>
      <c r="CM64306" s="111"/>
      <c r="CQ64306" s="111"/>
      <c r="EF64306"/>
      <c r="EG64306"/>
      <c r="EH64306"/>
      <c r="EI64306"/>
      <c r="EJ64306"/>
      <c r="EK64306"/>
    </row>
    <row r="64307" spans="1:141" s="116" customFormat="1">
      <c r="A64307" s="136"/>
      <c r="CM64307" s="111"/>
      <c r="CQ64307" s="111"/>
      <c r="EF64307"/>
      <c r="EG64307"/>
      <c r="EH64307"/>
      <c r="EI64307"/>
      <c r="EJ64307"/>
      <c r="EK64307"/>
    </row>
    <row r="64308" spans="1:141" s="116" customFormat="1">
      <c r="A64308" s="136"/>
      <c r="CM64308" s="111"/>
      <c r="CQ64308" s="111"/>
      <c r="EF64308"/>
      <c r="EG64308"/>
      <c r="EH64308"/>
      <c r="EI64308"/>
      <c r="EJ64308"/>
      <c r="EK64308"/>
    </row>
    <row r="64309" spans="1:141" s="116" customFormat="1">
      <c r="A64309" s="136"/>
      <c r="CM64309" s="111"/>
      <c r="CQ64309" s="111"/>
      <c r="EF64309"/>
      <c r="EG64309"/>
      <c r="EH64309"/>
      <c r="EI64309"/>
      <c r="EJ64309"/>
      <c r="EK64309"/>
    </row>
    <row r="64310" spans="1:141" s="116" customFormat="1">
      <c r="A64310" s="136"/>
      <c r="CM64310" s="111"/>
      <c r="CQ64310" s="111"/>
      <c r="EF64310"/>
      <c r="EG64310"/>
      <c r="EH64310"/>
      <c r="EI64310"/>
      <c r="EJ64310"/>
      <c r="EK64310"/>
    </row>
    <row r="64311" spans="1:141" s="116" customFormat="1">
      <c r="A64311" s="136"/>
      <c r="CM64311" s="111"/>
      <c r="CQ64311" s="111"/>
      <c r="EF64311"/>
      <c r="EG64311"/>
      <c r="EH64311"/>
      <c r="EI64311"/>
      <c r="EJ64311"/>
      <c r="EK64311"/>
    </row>
    <row r="64312" spans="1:141" s="116" customFormat="1">
      <c r="A64312" s="136"/>
      <c r="CM64312" s="111"/>
      <c r="CQ64312" s="111"/>
      <c r="EF64312"/>
      <c r="EG64312"/>
      <c r="EH64312"/>
      <c r="EI64312"/>
      <c r="EJ64312"/>
      <c r="EK64312"/>
    </row>
    <row r="64313" spans="1:141" s="116" customFormat="1">
      <c r="A64313" s="136"/>
      <c r="CM64313" s="111"/>
      <c r="CQ64313" s="111"/>
      <c r="EF64313"/>
      <c r="EG64313"/>
      <c r="EH64313"/>
      <c r="EI64313"/>
      <c r="EJ64313"/>
      <c r="EK64313"/>
    </row>
    <row r="64314" spans="1:141" s="116" customFormat="1">
      <c r="A64314" s="136"/>
      <c r="CM64314" s="111"/>
      <c r="CQ64314" s="111"/>
      <c r="EF64314"/>
      <c r="EG64314"/>
      <c r="EH64314"/>
      <c r="EI64314"/>
      <c r="EJ64314"/>
      <c r="EK64314"/>
    </row>
    <row r="64315" spans="1:141" s="116" customFormat="1">
      <c r="A64315" s="136"/>
      <c r="CM64315" s="111"/>
      <c r="CQ64315" s="111"/>
      <c r="EF64315"/>
      <c r="EG64315"/>
      <c r="EH64315"/>
      <c r="EI64315"/>
      <c r="EJ64315"/>
      <c r="EK64315"/>
    </row>
    <row r="64316" spans="1:141" s="116" customFormat="1">
      <c r="A64316" s="136"/>
      <c r="CM64316" s="111"/>
      <c r="CQ64316" s="111"/>
      <c r="EF64316"/>
      <c r="EG64316"/>
      <c r="EH64316"/>
      <c r="EI64316"/>
      <c r="EJ64316"/>
      <c r="EK64316"/>
    </row>
    <row r="64317" spans="1:141" s="116" customFormat="1">
      <c r="A64317" s="136"/>
      <c r="CM64317" s="111"/>
      <c r="CQ64317" s="111"/>
      <c r="EF64317"/>
      <c r="EG64317"/>
      <c r="EH64317"/>
      <c r="EI64317"/>
      <c r="EJ64317"/>
      <c r="EK64317"/>
    </row>
    <row r="64318" spans="1:141" s="116" customFormat="1">
      <c r="A64318" s="136"/>
      <c r="CM64318" s="111"/>
      <c r="CQ64318" s="111"/>
      <c r="EF64318"/>
      <c r="EG64318"/>
      <c r="EH64318"/>
      <c r="EI64318"/>
      <c r="EJ64318"/>
      <c r="EK64318"/>
    </row>
    <row r="64319" spans="1:141" s="116" customFormat="1">
      <c r="A64319" s="136"/>
      <c r="CM64319" s="111"/>
      <c r="CQ64319" s="111"/>
      <c r="EF64319"/>
      <c r="EG64319"/>
      <c r="EH64319"/>
      <c r="EI64319"/>
      <c r="EJ64319"/>
      <c r="EK64319"/>
    </row>
    <row r="64320" spans="1:141" s="116" customFormat="1">
      <c r="A64320" s="136"/>
      <c r="CM64320" s="111"/>
      <c r="CQ64320" s="111"/>
      <c r="EF64320"/>
      <c r="EG64320"/>
      <c r="EH64320"/>
      <c r="EI64320"/>
      <c r="EJ64320"/>
      <c r="EK64320"/>
    </row>
    <row r="64321" spans="1:141" s="116" customFormat="1">
      <c r="A64321" s="136"/>
      <c r="CM64321" s="111"/>
      <c r="CQ64321" s="111"/>
      <c r="EF64321"/>
      <c r="EG64321"/>
      <c r="EH64321"/>
      <c r="EI64321"/>
      <c r="EJ64321"/>
      <c r="EK64321"/>
    </row>
    <row r="64322" spans="1:141" s="116" customFormat="1">
      <c r="A64322" s="136"/>
      <c r="CM64322" s="111"/>
      <c r="CQ64322" s="111"/>
      <c r="EF64322"/>
      <c r="EG64322"/>
      <c r="EH64322"/>
      <c r="EI64322"/>
      <c r="EJ64322"/>
      <c r="EK64322"/>
    </row>
    <row r="64323" spans="1:141" s="116" customFormat="1">
      <c r="A64323" s="136"/>
      <c r="CM64323" s="111"/>
      <c r="CQ64323" s="111"/>
      <c r="EF64323"/>
      <c r="EG64323"/>
      <c r="EH64323"/>
      <c r="EI64323"/>
      <c r="EJ64323"/>
      <c r="EK64323"/>
    </row>
    <row r="64324" spans="1:141" s="116" customFormat="1">
      <c r="A64324" s="136"/>
      <c r="CM64324" s="111"/>
      <c r="CQ64324" s="111"/>
      <c r="EF64324"/>
      <c r="EG64324"/>
      <c r="EH64324"/>
      <c r="EI64324"/>
      <c r="EJ64324"/>
      <c r="EK64324"/>
    </row>
    <row r="64325" spans="1:141" s="116" customFormat="1">
      <c r="A64325" s="136"/>
      <c r="CM64325" s="111"/>
      <c r="CQ64325" s="111"/>
      <c r="EF64325"/>
      <c r="EG64325"/>
      <c r="EH64325"/>
      <c r="EI64325"/>
      <c r="EJ64325"/>
      <c r="EK64325"/>
    </row>
    <row r="64326" spans="1:141" s="116" customFormat="1">
      <c r="A64326" s="136"/>
      <c r="CM64326" s="111"/>
      <c r="CQ64326" s="111"/>
      <c r="EF64326"/>
      <c r="EG64326"/>
      <c r="EH64326"/>
      <c r="EI64326"/>
      <c r="EJ64326"/>
      <c r="EK64326"/>
    </row>
    <row r="64327" spans="1:141" s="116" customFormat="1">
      <c r="A64327" s="136"/>
      <c r="CM64327" s="111"/>
      <c r="CQ64327" s="111"/>
      <c r="EF64327"/>
      <c r="EG64327"/>
      <c r="EH64327"/>
      <c r="EI64327"/>
      <c r="EJ64327"/>
      <c r="EK64327"/>
    </row>
    <row r="64328" spans="1:141" s="116" customFormat="1">
      <c r="A64328" s="136"/>
      <c r="CM64328" s="111"/>
      <c r="CQ64328" s="111"/>
      <c r="EF64328"/>
      <c r="EG64328"/>
      <c r="EH64328"/>
      <c r="EI64328"/>
      <c r="EJ64328"/>
      <c r="EK64328"/>
    </row>
    <row r="64329" spans="1:141" s="116" customFormat="1">
      <c r="A64329" s="136"/>
      <c r="CM64329" s="111"/>
      <c r="CQ64329" s="111"/>
      <c r="EF64329"/>
      <c r="EG64329"/>
      <c r="EH64329"/>
      <c r="EI64329"/>
      <c r="EJ64329"/>
      <c r="EK64329"/>
    </row>
    <row r="64330" spans="1:141" s="116" customFormat="1">
      <c r="A64330" s="136"/>
      <c r="CM64330" s="111"/>
      <c r="CQ64330" s="111"/>
      <c r="EF64330"/>
      <c r="EG64330"/>
      <c r="EH64330"/>
      <c r="EI64330"/>
      <c r="EJ64330"/>
      <c r="EK64330"/>
    </row>
    <row r="64331" spans="1:141" s="116" customFormat="1">
      <c r="A64331" s="136"/>
      <c r="CM64331" s="111"/>
      <c r="CQ64331" s="111"/>
      <c r="EF64331"/>
      <c r="EG64331"/>
      <c r="EH64331"/>
      <c r="EI64331"/>
      <c r="EJ64331"/>
      <c r="EK64331"/>
    </row>
    <row r="64332" spans="1:141" s="116" customFormat="1">
      <c r="A64332" s="136"/>
      <c r="CM64332" s="111"/>
      <c r="CQ64332" s="111"/>
      <c r="EF64332"/>
      <c r="EG64332"/>
      <c r="EH64332"/>
      <c r="EI64332"/>
      <c r="EJ64332"/>
      <c r="EK64332"/>
    </row>
    <row r="64333" spans="1:141" s="116" customFormat="1">
      <c r="A64333" s="136"/>
      <c r="CM64333" s="111"/>
      <c r="CQ64333" s="111"/>
      <c r="EF64333"/>
      <c r="EG64333"/>
      <c r="EH64333"/>
      <c r="EI64333"/>
      <c r="EJ64333"/>
      <c r="EK64333"/>
    </row>
    <row r="64334" spans="1:141" s="116" customFormat="1">
      <c r="A64334" s="136"/>
      <c r="CM64334" s="111"/>
      <c r="CQ64334" s="111"/>
      <c r="EF64334"/>
      <c r="EG64334"/>
      <c r="EH64334"/>
      <c r="EI64334"/>
      <c r="EJ64334"/>
      <c r="EK64334"/>
    </row>
    <row r="64335" spans="1:141" s="116" customFormat="1">
      <c r="A64335" s="136"/>
      <c r="CM64335" s="111"/>
      <c r="CQ64335" s="111"/>
      <c r="EF64335"/>
      <c r="EG64335"/>
      <c r="EH64335"/>
      <c r="EI64335"/>
      <c r="EJ64335"/>
      <c r="EK64335"/>
    </row>
    <row r="64336" spans="1:141" s="116" customFormat="1">
      <c r="A64336" s="136"/>
      <c r="CM64336" s="111"/>
      <c r="CQ64336" s="111"/>
      <c r="EF64336"/>
      <c r="EG64336"/>
      <c r="EH64336"/>
      <c r="EI64336"/>
      <c r="EJ64336"/>
      <c r="EK64336"/>
    </row>
    <row r="64337" spans="1:141" s="116" customFormat="1">
      <c r="A64337" s="136"/>
      <c r="CM64337" s="111"/>
      <c r="CQ64337" s="111"/>
      <c r="EF64337"/>
      <c r="EG64337"/>
      <c r="EH64337"/>
      <c r="EI64337"/>
      <c r="EJ64337"/>
      <c r="EK64337"/>
    </row>
    <row r="64338" spans="1:141" s="116" customFormat="1">
      <c r="A64338" s="136"/>
      <c r="CM64338" s="111"/>
      <c r="CQ64338" s="111"/>
      <c r="EF64338"/>
      <c r="EG64338"/>
      <c r="EH64338"/>
      <c r="EI64338"/>
      <c r="EJ64338"/>
      <c r="EK64338"/>
    </row>
    <row r="64339" spans="1:141" s="116" customFormat="1">
      <c r="A64339" s="136"/>
      <c r="CM64339" s="111"/>
      <c r="CQ64339" s="111"/>
      <c r="EF64339"/>
      <c r="EG64339"/>
      <c r="EH64339"/>
      <c r="EI64339"/>
      <c r="EJ64339"/>
      <c r="EK64339"/>
    </row>
    <row r="64340" spans="1:141" s="116" customFormat="1">
      <c r="A64340" s="136"/>
      <c r="CM64340" s="111"/>
      <c r="CQ64340" s="111"/>
      <c r="EF64340"/>
      <c r="EG64340"/>
      <c r="EH64340"/>
      <c r="EI64340"/>
      <c r="EJ64340"/>
      <c r="EK64340"/>
    </row>
    <row r="64341" spans="1:141" s="116" customFormat="1">
      <c r="A64341" s="136"/>
      <c r="CM64341" s="111"/>
      <c r="CQ64341" s="111"/>
      <c r="EF64341"/>
      <c r="EG64341"/>
      <c r="EH64341"/>
      <c r="EI64341"/>
      <c r="EJ64341"/>
      <c r="EK64341"/>
    </row>
    <row r="64342" spans="1:141" s="116" customFormat="1">
      <c r="A64342" s="136"/>
      <c r="CM64342" s="111"/>
      <c r="CQ64342" s="111"/>
      <c r="EF64342"/>
      <c r="EG64342"/>
      <c r="EH64342"/>
      <c r="EI64342"/>
      <c r="EJ64342"/>
      <c r="EK64342"/>
    </row>
    <row r="64343" spans="1:141" s="116" customFormat="1">
      <c r="A64343" s="136"/>
      <c r="CM64343" s="111"/>
      <c r="CQ64343" s="111"/>
      <c r="EF64343"/>
      <c r="EG64343"/>
      <c r="EH64343"/>
      <c r="EI64343"/>
      <c r="EJ64343"/>
      <c r="EK64343"/>
    </row>
    <row r="64344" spans="1:141" s="116" customFormat="1">
      <c r="A64344" s="136"/>
      <c r="CM64344" s="111"/>
      <c r="CQ64344" s="111"/>
      <c r="EF64344"/>
      <c r="EG64344"/>
      <c r="EH64344"/>
      <c r="EI64344"/>
      <c r="EJ64344"/>
      <c r="EK64344"/>
    </row>
    <row r="64345" spans="1:141" s="116" customFormat="1">
      <c r="A64345" s="136"/>
      <c r="CM64345" s="111"/>
      <c r="CQ64345" s="111"/>
      <c r="EF64345"/>
      <c r="EG64345"/>
      <c r="EH64345"/>
      <c r="EI64345"/>
      <c r="EJ64345"/>
      <c r="EK64345"/>
    </row>
    <row r="64346" spans="1:141" s="116" customFormat="1">
      <c r="A64346" s="136"/>
      <c r="CM64346" s="111"/>
      <c r="CQ64346" s="111"/>
      <c r="EF64346"/>
      <c r="EG64346"/>
      <c r="EH64346"/>
      <c r="EI64346"/>
      <c r="EJ64346"/>
      <c r="EK64346"/>
    </row>
    <row r="64347" spans="1:141" s="116" customFormat="1">
      <c r="A64347" s="136"/>
      <c r="CM64347" s="111"/>
      <c r="CQ64347" s="111"/>
      <c r="EF64347"/>
      <c r="EG64347"/>
      <c r="EH64347"/>
      <c r="EI64347"/>
      <c r="EJ64347"/>
      <c r="EK64347"/>
    </row>
    <row r="64348" spans="1:141" s="116" customFormat="1">
      <c r="A64348" s="136"/>
      <c r="CM64348" s="111"/>
      <c r="CQ64348" s="111"/>
      <c r="EF64348"/>
      <c r="EG64348"/>
      <c r="EH64348"/>
      <c r="EI64348"/>
      <c r="EJ64348"/>
      <c r="EK64348"/>
    </row>
    <row r="64349" spans="1:141" s="116" customFormat="1">
      <c r="A64349" s="136"/>
      <c r="CM64349" s="111"/>
      <c r="CQ64349" s="111"/>
      <c r="EF64349"/>
      <c r="EG64349"/>
      <c r="EH64349"/>
      <c r="EI64349"/>
      <c r="EJ64349"/>
      <c r="EK64349"/>
    </row>
    <row r="64350" spans="1:141" s="116" customFormat="1">
      <c r="A64350" s="136"/>
      <c r="CM64350" s="111"/>
      <c r="CQ64350" s="111"/>
      <c r="EF64350"/>
      <c r="EG64350"/>
      <c r="EH64350"/>
      <c r="EI64350"/>
      <c r="EJ64350"/>
      <c r="EK64350"/>
    </row>
    <row r="64351" spans="1:141" s="116" customFormat="1">
      <c r="A64351" s="136"/>
      <c r="CM64351" s="111"/>
      <c r="CQ64351" s="111"/>
      <c r="EF64351"/>
      <c r="EG64351"/>
      <c r="EH64351"/>
      <c r="EI64351"/>
      <c r="EJ64351"/>
      <c r="EK64351"/>
    </row>
    <row r="64352" spans="1:141" s="116" customFormat="1">
      <c r="A64352" s="136"/>
      <c r="CM64352" s="111"/>
      <c r="CQ64352" s="111"/>
      <c r="EF64352"/>
      <c r="EG64352"/>
      <c r="EH64352"/>
      <c r="EI64352"/>
      <c r="EJ64352"/>
      <c r="EK64352"/>
    </row>
    <row r="64353" spans="1:141" s="116" customFormat="1">
      <c r="A64353" s="136"/>
      <c r="CM64353" s="111"/>
      <c r="CQ64353" s="111"/>
      <c r="EF64353"/>
      <c r="EG64353"/>
      <c r="EH64353"/>
      <c r="EI64353"/>
      <c r="EJ64353"/>
      <c r="EK64353"/>
    </row>
    <row r="64354" spans="1:141" s="116" customFormat="1">
      <c r="A64354" s="136"/>
      <c r="CM64354" s="111"/>
      <c r="CQ64354" s="111"/>
      <c r="EF64354"/>
      <c r="EG64354"/>
      <c r="EH64354"/>
      <c r="EI64354"/>
      <c r="EJ64354"/>
      <c r="EK64354"/>
    </row>
    <row r="64355" spans="1:141" s="116" customFormat="1">
      <c r="A64355" s="136"/>
      <c r="CM64355" s="111"/>
      <c r="CQ64355" s="111"/>
      <c r="EF64355"/>
      <c r="EG64355"/>
      <c r="EH64355"/>
      <c r="EI64355"/>
      <c r="EJ64355"/>
      <c r="EK64355"/>
    </row>
    <row r="64356" spans="1:141" s="116" customFormat="1">
      <c r="A64356" s="136"/>
      <c r="CM64356" s="111"/>
      <c r="CQ64356" s="111"/>
      <c r="EF64356"/>
      <c r="EG64356"/>
      <c r="EH64356"/>
      <c r="EI64356"/>
      <c r="EJ64356"/>
      <c r="EK64356"/>
    </row>
    <row r="64357" spans="1:141" s="116" customFormat="1">
      <c r="A64357" s="136"/>
      <c r="CM64357" s="111"/>
      <c r="CQ64357" s="111"/>
      <c r="EF64357"/>
      <c r="EG64357"/>
      <c r="EH64357"/>
      <c r="EI64357"/>
      <c r="EJ64357"/>
      <c r="EK64357"/>
    </row>
    <row r="64358" spans="1:141" s="116" customFormat="1">
      <c r="A64358" s="136"/>
      <c r="CM64358" s="111"/>
      <c r="CQ64358" s="111"/>
      <c r="EF64358"/>
      <c r="EG64358"/>
      <c r="EH64358"/>
      <c r="EI64358"/>
      <c r="EJ64358"/>
      <c r="EK64358"/>
    </row>
    <row r="64359" spans="1:141" s="116" customFormat="1">
      <c r="A64359" s="136"/>
      <c r="CM64359" s="111"/>
      <c r="CQ64359" s="111"/>
      <c r="EF64359"/>
      <c r="EG64359"/>
      <c r="EH64359"/>
      <c r="EI64359"/>
      <c r="EJ64359"/>
      <c r="EK64359"/>
    </row>
    <row r="64360" spans="1:141" s="116" customFormat="1">
      <c r="A64360" s="136"/>
      <c r="CM64360" s="111"/>
      <c r="CQ64360" s="111"/>
      <c r="EF64360"/>
      <c r="EG64360"/>
      <c r="EH64360"/>
      <c r="EI64360"/>
      <c r="EJ64360"/>
      <c r="EK64360"/>
    </row>
    <row r="64361" spans="1:141" s="116" customFormat="1">
      <c r="A64361" s="136"/>
      <c r="CM64361" s="111"/>
      <c r="CQ64361" s="111"/>
      <c r="EF64361"/>
      <c r="EG64361"/>
      <c r="EH64361"/>
      <c r="EI64361"/>
      <c r="EJ64361"/>
      <c r="EK64361"/>
    </row>
    <row r="64362" spans="1:141" s="116" customFormat="1">
      <c r="A64362" s="136"/>
      <c r="CM64362" s="111"/>
      <c r="CQ64362" s="111"/>
      <c r="EF64362"/>
      <c r="EG64362"/>
      <c r="EH64362"/>
      <c r="EI64362"/>
      <c r="EJ64362"/>
      <c r="EK64362"/>
    </row>
    <row r="64363" spans="1:141" s="116" customFormat="1">
      <c r="A64363" s="136"/>
      <c r="CM64363" s="111"/>
      <c r="CQ64363" s="111"/>
      <c r="EF64363"/>
      <c r="EG64363"/>
      <c r="EH64363"/>
      <c r="EI64363"/>
      <c r="EJ64363"/>
      <c r="EK64363"/>
    </row>
    <row r="64364" spans="1:141" s="116" customFormat="1">
      <c r="A64364" s="136"/>
      <c r="CM64364" s="111"/>
      <c r="CQ64364" s="111"/>
      <c r="EF64364"/>
      <c r="EG64364"/>
      <c r="EH64364"/>
      <c r="EI64364"/>
      <c r="EJ64364"/>
      <c r="EK64364"/>
    </row>
    <row r="64365" spans="1:141" s="116" customFormat="1">
      <c r="A64365" s="136"/>
      <c r="CM64365" s="111"/>
      <c r="CQ64365" s="111"/>
      <c r="EF64365"/>
      <c r="EG64365"/>
      <c r="EH64365"/>
      <c r="EI64365"/>
      <c r="EJ64365"/>
      <c r="EK64365"/>
    </row>
    <row r="64366" spans="1:141" s="116" customFormat="1">
      <c r="A64366" s="136"/>
      <c r="CM64366" s="111"/>
      <c r="CQ64366" s="111"/>
      <c r="EF64366"/>
      <c r="EG64366"/>
      <c r="EH64366"/>
      <c r="EI64366"/>
      <c r="EJ64366"/>
      <c r="EK64366"/>
    </row>
    <row r="64367" spans="1:141" s="116" customFormat="1">
      <c r="A64367" s="136"/>
      <c r="CM64367" s="111"/>
      <c r="CQ64367" s="111"/>
      <c r="EF64367"/>
      <c r="EG64367"/>
      <c r="EH64367"/>
      <c r="EI64367"/>
      <c r="EJ64367"/>
      <c r="EK64367"/>
    </row>
    <row r="64368" spans="1:141" s="116" customFormat="1">
      <c r="A64368" s="136"/>
      <c r="CM64368" s="111"/>
      <c r="CQ64368" s="111"/>
      <c r="EF64368"/>
      <c r="EG64368"/>
      <c r="EH64368"/>
      <c r="EI64368"/>
      <c r="EJ64368"/>
      <c r="EK64368"/>
    </row>
    <row r="64369" spans="1:141" s="116" customFormat="1">
      <c r="A64369" s="136"/>
      <c r="CM64369" s="111"/>
      <c r="CQ64369" s="111"/>
      <c r="EF64369"/>
      <c r="EG64369"/>
      <c r="EH64369"/>
      <c r="EI64369"/>
      <c r="EJ64369"/>
      <c r="EK64369"/>
    </row>
    <row r="64370" spans="1:141" s="116" customFormat="1">
      <c r="A64370" s="136"/>
      <c r="CM64370" s="111"/>
      <c r="CQ64370" s="111"/>
      <c r="EF64370"/>
      <c r="EG64370"/>
      <c r="EH64370"/>
      <c r="EI64370"/>
      <c r="EJ64370"/>
      <c r="EK64370"/>
    </row>
    <row r="64371" spans="1:141" s="116" customFormat="1">
      <c r="A64371" s="136"/>
      <c r="CM64371" s="111"/>
      <c r="CQ64371" s="111"/>
      <c r="EF64371"/>
      <c r="EG64371"/>
      <c r="EH64371"/>
      <c r="EI64371"/>
      <c r="EJ64371"/>
      <c r="EK64371"/>
    </row>
    <row r="64372" spans="1:141" s="116" customFormat="1">
      <c r="A64372" s="136"/>
      <c r="CM64372" s="111"/>
      <c r="CQ64372" s="111"/>
      <c r="EF64372"/>
      <c r="EG64372"/>
      <c r="EH64372"/>
      <c r="EI64372"/>
      <c r="EJ64372"/>
      <c r="EK64372"/>
    </row>
    <row r="64373" spans="1:141" s="116" customFormat="1">
      <c r="A64373" s="136"/>
      <c r="CM64373" s="111"/>
      <c r="CQ64373" s="111"/>
      <c r="EF64373"/>
      <c r="EG64373"/>
      <c r="EH64373"/>
      <c r="EI64373"/>
      <c r="EJ64373"/>
      <c r="EK64373"/>
    </row>
    <row r="64374" spans="1:141" s="116" customFormat="1">
      <c r="A64374" s="136"/>
      <c r="CM64374" s="111"/>
      <c r="CQ64374" s="111"/>
      <c r="EF64374"/>
      <c r="EG64374"/>
      <c r="EH64374"/>
      <c r="EI64374"/>
      <c r="EJ64374"/>
      <c r="EK64374"/>
    </row>
    <row r="64375" spans="1:141" s="116" customFormat="1">
      <c r="A64375" s="136"/>
      <c r="CM64375" s="111"/>
      <c r="CQ64375" s="111"/>
      <c r="EF64375"/>
      <c r="EG64375"/>
      <c r="EH64375"/>
      <c r="EI64375"/>
      <c r="EJ64375"/>
      <c r="EK64375"/>
    </row>
    <row r="64376" spans="1:141" s="116" customFormat="1">
      <c r="A64376" s="136"/>
      <c r="CM64376" s="111"/>
      <c r="CQ64376" s="111"/>
      <c r="EF64376"/>
      <c r="EG64376"/>
      <c r="EH64376"/>
      <c r="EI64376"/>
      <c r="EJ64376"/>
      <c r="EK64376"/>
    </row>
    <row r="64377" spans="1:141" s="116" customFormat="1">
      <c r="A64377" s="136"/>
      <c r="CM64377" s="111"/>
      <c r="CQ64377" s="111"/>
      <c r="EF64377"/>
      <c r="EG64377"/>
      <c r="EH64377"/>
      <c r="EI64377"/>
      <c r="EJ64377"/>
      <c r="EK64377"/>
    </row>
    <row r="64378" spans="1:141" s="116" customFormat="1">
      <c r="A64378" s="136"/>
      <c r="CM64378" s="111"/>
      <c r="CQ64378" s="111"/>
      <c r="EF64378"/>
      <c r="EG64378"/>
      <c r="EH64378"/>
      <c r="EI64378"/>
      <c r="EJ64378"/>
      <c r="EK64378"/>
    </row>
    <row r="64379" spans="1:141" s="116" customFormat="1">
      <c r="A64379" s="136"/>
      <c r="CM64379" s="111"/>
      <c r="CQ64379" s="111"/>
      <c r="EF64379"/>
      <c r="EG64379"/>
      <c r="EH64379"/>
      <c r="EI64379"/>
      <c r="EJ64379"/>
      <c r="EK64379"/>
    </row>
    <row r="64380" spans="1:141" s="116" customFormat="1">
      <c r="A64380" s="136"/>
      <c r="CM64380" s="111"/>
      <c r="CQ64380" s="111"/>
      <c r="EF64380"/>
      <c r="EG64380"/>
      <c r="EH64380"/>
      <c r="EI64380"/>
      <c r="EJ64380"/>
      <c r="EK64380"/>
    </row>
    <row r="64381" spans="1:141" s="116" customFormat="1">
      <c r="A64381" s="136"/>
      <c r="CM64381" s="111"/>
      <c r="CQ64381" s="111"/>
      <c r="EF64381"/>
      <c r="EG64381"/>
      <c r="EH64381"/>
      <c r="EI64381"/>
      <c r="EJ64381"/>
      <c r="EK64381"/>
    </row>
    <row r="64382" spans="1:141" s="116" customFormat="1">
      <c r="A64382" s="136"/>
      <c r="CM64382" s="111"/>
      <c r="CQ64382" s="111"/>
      <c r="EF64382"/>
      <c r="EG64382"/>
      <c r="EH64382"/>
      <c r="EI64382"/>
      <c r="EJ64382"/>
      <c r="EK64382"/>
    </row>
    <row r="64383" spans="1:141" s="116" customFormat="1">
      <c r="A64383" s="136"/>
      <c r="CM64383" s="111"/>
      <c r="CQ64383" s="111"/>
      <c r="EF64383"/>
      <c r="EG64383"/>
      <c r="EH64383"/>
      <c r="EI64383"/>
      <c r="EJ64383"/>
      <c r="EK64383"/>
    </row>
    <row r="64384" spans="1:141" s="116" customFormat="1">
      <c r="A64384" s="136"/>
      <c r="CM64384" s="111"/>
      <c r="CQ64384" s="111"/>
      <c r="EF64384"/>
      <c r="EG64384"/>
      <c r="EH64384"/>
      <c r="EI64384"/>
      <c r="EJ64384"/>
      <c r="EK64384"/>
    </row>
    <row r="64385" spans="1:141" s="116" customFormat="1">
      <c r="A64385" s="136"/>
      <c r="CM64385" s="111"/>
      <c r="CQ64385" s="111"/>
      <c r="EF64385"/>
      <c r="EG64385"/>
      <c r="EH64385"/>
      <c r="EI64385"/>
      <c r="EJ64385"/>
      <c r="EK64385"/>
    </row>
    <row r="64386" spans="1:141" s="116" customFormat="1">
      <c r="A64386" s="136"/>
      <c r="CM64386" s="111"/>
      <c r="CQ64386" s="111"/>
      <c r="EF64386"/>
      <c r="EG64386"/>
      <c r="EH64386"/>
      <c r="EI64386"/>
      <c r="EJ64386"/>
      <c r="EK64386"/>
    </row>
    <row r="64387" spans="1:141" s="116" customFormat="1">
      <c r="A64387" s="136"/>
      <c r="CM64387" s="111"/>
      <c r="CQ64387" s="111"/>
      <c r="EF64387"/>
      <c r="EG64387"/>
      <c r="EH64387"/>
      <c r="EI64387"/>
      <c r="EJ64387"/>
      <c r="EK64387"/>
    </row>
    <row r="64388" spans="1:141" s="116" customFormat="1">
      <c r="A64388" s="136"/>
      <c r="CM64388" s="111"/>
      <c r="CQ64388" s="111"/>
      <c r="EF64388"/>
      <c r="EG64388"/>
      <c r="EH64388"/>
      <c r="EI64388"/>
      <c r="EJ64388"/>
      <c r="EK64388"/>
    </row>
    <row r="64389" spans="1:141" s="116" customFormat="1">
      <c r="A64389" s="136"/>
      <c r="CM64389" s="111"/>
      <c r="CQ64389" s="111"/>
      <c r="EF64389"/>
      <c r="EG64389"/>
      <c r="EH64389"/>
      <c r="EI64389"/>
      <c r="EJ64389"/>
      <c r="EK64389"/>
    </row>
    <row r="64390" spans="1:141" s="116" customFormat="1">
      <c r="A64390" s="136"/>
      <c r="CM64390" s="111"/>
      <c r="CQ64390" s="111"/>
      <c r="EF64390"/>
      <c r="EG64390"/>
      <c r="EH64390"/>
      <c r="EI64390"/>
      <c r="EJ64390"/>
      <c r="EK64390"/>
    </row>
    <row r="64391" spans="1:141" s="116" customFormat="1">
      <c r="A64391" s="136"/>
      <c r="CM64391" s="111"/>
      <c r="CQ64391" s="111"/>
      <c r="EF64391"/>
      <c r="EG64391"/>
      <c r="EH64391"/>
      <c r="EI64391"/>
      <c r="EJ64391"/>
      <c r="EK64391"/>
    </row>
    <row r="64392" spans="1:141" s="116" customFormat="1">
      <c r="A64392" s="136"/>
      <c r="CM64392" s="111"/>
      <c r="CQ64392" s="111"/>
      <c r="EF64392"/>
      <c r="EG64392"/>
      <c r="EH64392"/>
      <c r="EI64392"/>
      <c r="EJ64392"/>
      <c r="EK64392"/>
    </row>
    <row r="64393" spans="1:141" s="116" customFormat="1">
      <c r="A64393" s="136"/>
      <c r="CM64393" s="111"/>
      <c r="CQ64393" s="111"/>
      <c r="EF64393"/>
      <c r="EG64393"/>
      <c r="EH64393"/>
      <c r="EI64393"/>
      <c r="EJ64393"/>
      <c r="EK64393"/>
    </row>
    <row r="64394" spans="1:141" s="116" customFormat="1">
      <c r="A64394" s="136"/>
      <c r="CM64394" s="111"/>
      <c r="CQ64394" s="111"/>
      <c r="EF64394"/>
      <c r="EG64394"/>
      <c r="EH64394"/>
      <c r="EI64394"/>
      <c r="EJ64394"/>
      <c r="EK64394"/>
    </row>
    <row r="64395" spans="1:141" s="116" customFormat="1">
      <c r="A64395" s="136"/>
      <c r="CM64395" s="111"/>
      <c r="CQ64395" s="111"/>
      <c r="EF64395"/>
      <c r="EG64395"/>
      <c r="EH64395"/>
      <c r="EI64395"/>
      <c r="EJ64395"/>
      <c r="EK64395"/>
    </row>
    <row r="64396" spans="1:141" s="116" customFormat="1">
      <c r="A64396" s="136"/>
      <c r="CM64396" s="111"/>
      <c r="CQ64396" s="111"/>
      <c r="EF64396"/>
      <c r="EG64396"/>
      <c r="EH64396"/>
      <c r="EI64396"/>
      <c r="EJ64396"/>
      <c r="EK64396"/>
    </row>
    <row r="64397" spans="1:141" s="116" customFormat="1">
      <c r="A64397" s="136"/>
      <c r="CM64397" s="111"/>
      <c r="CQ64397" s="111"/>
      <c r="EF64397"/>
      <c r="EG64397"/>
      <c r="EH64397"/>
      <c r="EI64397"/>
      <c r="EJ64397"/>
      <c r="EK64397"/>
    </row>
    <row r="64398" spans="1:141" s="116" customFormat="1">
      <c r="A64398" s="136"/>
      <c r="CM64398" s="111"/>
      <c r="CQ64398" s="111"/>
      <c r="EF64398"/>
      <c r="EG64398"/>
      <c r="EH64398"/>
      <c r="EI64398"/>
      <c r="EJ64398"/>
      <c r="EK64398"/>
    </row>
    <row r="64399" spans="1:141" s="116" customFormat="1">
      <c r="A64399" s="136"/>
      <c r="CM64399" s="111"/>
      <c r="CQ64399" s="111"/>
      <c r="EF64399"/>
      <c r="EG64399"/>
      <c r="EH64399"/>
      <c r="EI64399"/>
      <c r="EJ64399"/>
      <c r="EK64399"/>
    </row>
    <row r="64400" spans="1:141" s="116" customFormat="1">
      <c r="A64400" s="136"/>
      <c r="CM64400" s="111"/>
      <c r="CQ64400" s="111"/>
      <c r="EF64400"/>
      <c r="EG64400"/>
      <c r="EH64400"/>
      <c r="EI64400"/>
      <c r="EJ64400"/>
      <c r="EK64400"/>
    </row>
    <row r="64401" spans="1:141" s="116" customFormat="1">
      <c r="A64401" s="136"/>
      <c r="CM64401" s="111"/>
      <c r="CQ64401" s="111"/>
      <c r="EF64401"/>
      <c r="EG64401"/>
      <c r="EH64401"/>
      <c r="EI64401"/>
      <c r="EJ64401"/>
      <c r="EK64401"/>
    </row>
    <row r="64402" spans="1:141" s="116" customFormat="1">
      <c r="A64402" s="136"/>
      <c r="CM64402" s="111"/>
      <c r="CQ64402" s="111"/>
      <c r="EF64402"/>
      <c r="EG64402"/>
      <c r="EH64402"/>
      <c r="EI64402"/>
      <c r="EJ64402"/>
      <c r="EK64402"/>
    </row>
    <row r="64403" spans="1:141" s="116" customFormat="1">
      <c r="A64403" s="136"/>
      <c r="CM64403" s="111"/>
      <c r="CQ64403" s="111"/>
      <c r="EF64403"/>
      <c r="EG64403"/>
      <c r="EH64403"/>
      <c r="EI64403"/>
      <c r="EJ64403"/>
      <c r="EK64403"/>
    </row>
    <row r="64404" spans="1:141" s="116" customFormat="1">
      <c r="A64404" s="136"/>
      <c r="CM64404" s="111"/>
      <c r="CQ64404" s="111"/>
      <c r="EF64404"/>
      <c r="EG64404"/>
      <c r="EH64404"/>
      <c r="EI64404"/>
      <c r="EJ64404"/>
      <c r="EK64404"/>
    </row>
    <row r="64405" spans="1:141" s="116" customFormat="1">
      <c r="A64405" s="136"/>
      <c r="CM64405" s="111"/>
      <c r="CQ64405" s="111"/>
      <c r="EF64405"/>
      <c r="EG64405"/>
      <c r="EH64405"/>
      <c r="EI64405"/>
      <c r="EJ64405"/>
      <c r="EK64405"/>
    </row>
    <row r="64406" spans="1:141" s="116" customFormat="1">
      <c r="A64406" s="136"/>
      <c r="CM64406" s="111"/>
      <c r="CQ64406" s="111"/>
      <c r="EF64406"/>
      <c r="EG64406"/>
      <c r="EH64406"/>
      <c r="EI64406"/>
      <c r="EJ64406"/>
      <c r="EK64406"/>
    </row>
    <row r="64407" spans="1:141" s="116" customFormat="1">
      <c r="A64407" s="136"/>
      <c r="CM64407" s="111"/>
      <c r="CQ64407" s="111"/>
      <c r="EF64407"/>
      <c r="EG64407"/>
      <c r="EH64407"/>
      <c r="EI64407"/>
      <c r="EJ64407"/>
      <c r="EK64407"/>
    </row>
    <row r="64408" spans="1:141" s="116" customFormat="1">
      <c r="A64408" s="136"/>
      <c r="CM64408" s="111"/>
      <c r="CQ64408" s="111"/>
      <c r="EF64408"/>
      <c r="EG64408"/>
      <c r="EH64408"/>
      <c r="EI64408"/>
      <c r="EJ64408"/>
      <c r="EK64408"/>
    </row>
    <row r="64409" spans="1:141" s="116" customFormat="1">
      <c r="A64409" s="136"/>
      <c r="CM64409" s="111"/>
      <c r="CQ64409" s="111"/>
      <c r="EF64409"/>
      <c r="EG64409"/>
      <c r="EH64409"/>
      <c r="EI64409"/>
      <c r="EJ64409"/>
      <c r="EK64409"/>
    </row>
    <row r="64410" spans="1:141" s="116" customFormat="1">
      <c r="A64410" s="136"/>
      <c r="CM64410" s="111"/>
      <c r="CQ64410" s="111"/>
      <c r="EF64410"/>
      <c r="EG64410"/>
      <c r="EH64410"/>
      <c r="EI64410"/>
      <c r="EJ64410"/>
      <c r="EK64410"/>
    </row>
    <row r="64411" spans="1:141" s="116" customFormat="1">
      <c r="A64411" s="136"/>
      <c r="CM64411" s="111"/>
      <c r="CQ64411" s="111"/>
      <c r="EF64411"/>
      <c r="EG64411"/>
      <c r="EH64411"/>
      <c r="EI64411"/>
      <c r="EJ64411"/>
      <c r="EK64411"/>
    </row>
    <row r="64412" spans="1:141" s="116" customFormat="1">
      <c r="A64412" s="136"/>
      <c r="CM64412" s="111"/>
      <c r="CQ64412" s="111"/>
      <c r="EF64412"/>
      <c r="EG64412"/>
      <c r="EH64412"/>
      <c r="EI64412"/>
      <c r="EJ64412"/>
      <c r="EK64412"/>
    </row>
    <row r="64413" spans="1:141" s="116" customFormat="1">
      <c r="A64413" s="136"/>
      <c r="CM64413" s="111"/>
      <c r="CQ64413" s="111"/>
      <c r="EF64413"/>
      <c r="EG64413"/>
      <c r="EH64413"/>
      <c r="EI64413"/>
      <c r="EJ64413"/>
      <c r="EK64413"/>
    </row>
    <row r="64414" spans="1:141" s="116" customFormat="1">
      <c r="A64414" s="136"/>
      <c r="CM64414" s="111"/>
      <c r="CQ64414" s="111"/>
      <c r="EF64414"/>
      <c r="EG64414"/>
      <c r="EH64414"/>
      <c r="EI64414"/>
      <c r="EJ64414"/>
      <c r="EK64414"/>
    </row>
    <row r="64415" spans="1:141" s="116" customFormat="1">
      <c r="A64415" s="136"/>
      <c r="CM64415" s="111"/>
      <c r="CQ64415" s="111"/>
      <c r="EF64415"/>
      <c r="EG64415"/>
      <c r="EH64415"/>
      <c r="EI64415"/>
      <c r="EJ64415"/>
      <c r="EK64415"/>
    </row>
    <row r="64416" spans="1:141" s="116" customFormat="1">
      <c r="A64416" s="136"/>
      <c r="CM64416" s="111"/>
      <c r="CQ64416" s="111"/>
      <c r="EF64416"/>
      <c r="EG64416"/>
      <c r="EH64416"/>
      <c r="EI64416"/>
      <c r="EJ64416"/>
      <c r="EK64416"/>
    </row>
    <row r="64417" spans="1:141" s="116" customFormat="1">
      <c r="A64417" s="136"/>
      <c r="CM64417" s="111"/>
      <c r="CQ64417" s="111"/>
      <c r="EF64417"/>
      <c r="EG64417"/>
      <c r="EH64417"/>
      <c r="EI64417"/>
      <c r="EJ64417"/>
      <c r="EK64417"/>
    </row>
    <row r="64418" spans="1:141" s="116" customFormat="1">
      <c r="A64418" s="136"/>
      <c r="CM64418" s="111"/>
      <c r="CQ64418" s="111"/>
      <c r="EF64418"/>
      <c r="EG64418"/>
      <c r="EH64418"/>
      <c r="EI64418"/>
      <c r="EJ64418"/>
      <c r="EK64418"/>
    </row>
    <row r="64419" spans="1:141" s="116" customFormat="1">
      <c r="A64419" s="136"/>
      <c r="CM64419" s="111"/>
      <c r="CQ64419" s="111"/>
      <c r="EF64419"/>
      <c r="EG64419"/>
      <c r="EH64419"/>
      <c r="EI64419"/>
      <c r="EJ64419"/>
      <c r="EK64419"/>
    </row>
    <row r="64420" spans="1:141" s="116" customFormat="1">
      <c r="A64420" s="136"/>
      <c r="CM64420" s="111"/>
      <c r="CQ64420" s="111"/>
      <c r="EF64420"/>
      <c r="EG64420"/>
      <c r="EH64420"/>
      <c r="EI64420"/>
      <c r="EJ64420"/>
      <c r="EK64420"/>
    </row>
    <row r="64421" spans="1:141" s="116" customFormat="1">
      <c r="A64421" s="136"/>
      <c r="CM64421" s="111"/>
      <c r="CQ64421" s="111"/>
      <c r="EF64421"/>
      <c r="EG64421"/>
      <c r="EH64421"/>
      <c r="EI64421"/>
      <c r="EJ64421"/>
      <c r="EK64421"/>
    </row>
    <row r="64422" spans="1:141" s="116" customFormat="1">
      <c r="A64422" s="136"/>
      <c r="CM64422" s="111"/>
      <c r="CQ64422" s="111"/>
      <c r="EF64422"/>
      <c r="EG64422"/>
      <c r="EH64422"/>
      <c r="EI64422"/>
      <c r="EJ64422"/>
      <c r="EK64422"/>
    </row>
    <row r="64423" spans="1:141" s="116" customFormat="1">
      <c r="A64423" s="136"/>
      <c r="CM64423" s="111"/>
      <c r="CQ64423" s="111"/>
      <c r="EF64423"/>
      <c r="EG64423"/>
      <c r="EH64423"/>
      <c r="EI64423"/>
      <c r="EJ64423"/>
      <c r="EK64423"/>
    </row>
    <row r="64424" spans="1:141" s="116" customFormat="1">
      <c r="A64424" s="136"/>
      <c r="CM64424" s="111"/>
      <c r="CQ64424" s="111"/>
      <c r="EF64424"/>
      <c r="EG64424"/>
      <c r="EH64424"/>
      <c r="EI64424"/>
      <c r="EJ64424"/>
      <c r="EK64424"/>
    </row>
    <row r="64425" spans="1:141" s="116" customFormat="1">
      <c r="A64425" s="136"/>
      <c r="CM64425" s="111"/>
      <c r="CQ64425" s="111"/>
      <c r="EF64425"/>
      <c r="EG64425"/>
      <c r="EH64425"/>
      <c r="EI64425"/>
      <c r="EJ64425"/>
      <c r="EK64425"/>
    </row>
    <row r="64426" spans="1:141" s="116" customFormat="1">
      <c r="A64426" s="136"/>
      <c r="CM64426" s="111"/>
      <c r="CQ64426" s="111"/>
      <c r="EF64426"/>
      <c r="EG64426"/>
      <c r="EH64426"/>
      <c r="EI64426"/>
      <c r="EJ64426"/>
      <c r="EK64426"/>
    </row>
    <row r="64427" spans="1:141" s="116" customFormat="1">
      <c r="A64427" s="136"/>
      <c r="CM64427" s="111"/>
      <c r="CQ64427" s="111"/>
      <c r="EF64427"/>
      <c r="EG64427"/>
      <c r="EH64427"/>
      <c r="EI64427"/>
      <c r="EJ64427"/>
      <c r="EK64427"/>
    </row>
    <row r="64428" spans="1:141" s="116" customFormat="1">
      <c r="A64428" s="136"/>
      <c r="CM64428" s="111"/>
      <c r="CQ64428" s="111"/>
      <c r="EF64428"/>
      <c r="EG64428"/>
      <c r="EH64428"/>
      <c r="EI64428"/>
      <c r="EJ64428"/>
      <c r="EK64428"/>
    </row>
    <row r="64429" spans="1:141" s="116" customFormat="1">
      <c r="A64429" s="136"/>
      <c r="CM64429" s="111"/>
      <c r="CQ64429" s="111"/>
      <c r="EF64429"/>
      <c r="EG64429"/>
      <c r="EH64429"/>
      <c r="EI64429"/>
      <c r="EJ64429"/>
      <c r="EK64429"/>
    </row>
    <row r="64430" spans="1:141" s="116" customFormat="1">
      <c r="A64430" s="136"/>
      <c r="CM64430" s="111"/>
      <c r="CQ64430" s="111"/>
      <c r="EF64430"/>
      <c r="EG64430"/>
      <c r="EH64430"/>
      <c r="EI64430"/>
      <c r="EJ64430"/>
      <c r="EK64430"/>
    </row>
    <row r="64431" spans="1:141" s="116" customFormat="1">
      <c r="A64431" s="136"/>
      <c r="CM64431" s="111"/>
      <c r="CQ64431" s="111"/>
      <c r="EF64431"/>
      <c r="EG64431"/>
      <c r="EH64431"/>
      <c r="EI64431"/>
      <c r="EJ64431"/>
      <c r="EK64431"/>
    </row>
    <row r="64432" spans="1:141" s="116" customFormat="1">
      <c r="A64432" s="136"/>
      <c r="CM64432" s="111"/>
      <c r="CQ64432" s="111"/>
      <c r="EF64432"/>
      <c r="EG64432"/>
      <c r="EH64432"/>
      <c r="EI64432"/>
      <c r="EJ64432"/>
      <c r="EK64432"/>
    </row>
    <row r="64433" spans="1:141" s="116" customFormat="1">
      <c r="A64433" s="136"/>
      <c r="CM64433" s="111"/>
      <c r="CQ64433" s="111"/>
      <c r="EF64433"/>
      <c r="EG64433"/>
      <c r="EH64433"/>
      <c r="EI64433"/>
      <c r="EJ64433"/>
      <c r="EK64433"/>
    </row>
    <row r="64434" spans="1:141" s="116" customFormat="1">
      <c r="A64434" s="136"/>
      <c r="CM64434" s="111"/>
      <c r="CQ64434" s="111"/>
      <c r="EF64434"/>
      <c r="EG64434"/>
      <c r="EH64434"/>
      <c r="EI64434"/>
      <c r="EJ64434"/>
      <c r="EK64434"/>
    </row>
    <row r="64435" spans="1:141" s="116" customFormat="1">
      <c r="A64435" s="136"/>
      <c r="CM64435" s="111"/>
      <c r="CQ64435" s="111"/>
      <c r="EF64435"/>
      <c r="EG64435"/>
      <c r="EH64435"/>
      <c r="EI64435"/>
      <c r="EJ64435"/>
      <c r="EK64435"/>
    </row>
    <row r="64436" spans="1:141" s="116" customFormat="1">
      <c r="A64436" s="136"/>
      <c r="CM64436" s="111"/>
      <c r="CQ64436" s="111"/>
      <c r="EF64436"/>
      <c r="EG64436"/>
      <c r="EH64436"/>
      <c r="EI64436"/>
      <c r="EJ64436"/>
      <c r="EK64436"/>
    </row>
    <row r="64437" spans="1:141" s="116" customFormat="1">
      <c r="A64437" s="136"/>
      <c r="CM64437" s="111"/>
      <c r="CQ64437" s="111"/>
      <c r="EF64437"/>
      <c r="EG64437"/>
      <c r="EH64437"/>
      <c r="EI64437"/>
      <c r="EJ64437"/>
      <c r="EK64437"/>
    </row>
    <row r="64438" spans="1:141" s="116" customFormat="1">
      <c r="A64438" s="136"/>
      <c r="CM64438" s="111"/>
      <c r="CQ64438" s="111"/>
      <c r="EF64438"/>
      <c r="EG64438"/>
      <c r="EH64438"/>
      <c r="EI64438"/>
      <c r="EJ64438"/>
      <c r="EK64438"/>
    </row>
    <row r="64439" spans="1:141" s="116" customFormat="1">
      <c r="A64439" s="136"/>
      <c r="CM64439" s="111"/>
      <c r="CQ64439" s="111"/>
      <c r="EF64439"/>
      <c r="EG64439"/>
      <c r="EH64439"/>
      <c r="EI64439"/>
      <c r="EJ64439"/>
      <c r="EK64439"/>
    </row>
    <row r="64440" spans="1:141" s="116" customFormat="1">
      <c r="A64440" s="136"/>
      <c r="CM64440" s="111"/>
      <c r="CQ64440" s="111"/>
      <c r="EF64440"/>
      <c r="EG64440"/>
      <c r="EH64440"/>
      <c r="EI64440"/>
      <c r="EJ64440"/>
      <c r="EK64440"/>
    </row>
    <row r="64441" spans="1:141" s="116" customFormat="1">
      <c r="A64441" s="136"/>
      <c r="CM64441" s="111"/>
      <c r="CQ64441" s="111"/>
      <c r="EF64441"/>
      <c r="EG64441"/>
      <c r="EH64441"/>
      <c r="EI64441"/>
      <c r="EJ64441"/>
      <c r="EK64441"/>
    </row>
    <row r="64442" spans="1:141" s="116" customFormat="1">
      <c r="A64442" s="136"/>
      <c r="CM64442" s="111"/>
      <c r="CQ64442" s="111"/>
      <c r="EF64442"/>
      <c r="EG64442"/>
      <c r="EH64442"/>
      <c r="EI64442"/>
      <c r="EJ64442"/>
      <c r="EK64442"/>
    </row>
    <row r="64443" spans="1:141" s="116" customFormat="1">
      <c r="A64443" s="136"/>
      <c r="CM64443" s="111"/>
      <c r="CQ64443" s="111"/>
      <c r="EF64443"/>
      <c r="EG64443"/>
      <c r="EH64443"/>
      <c r="EI64443"/>
      <c r="EJ64443"/>
      <c r="EK64443"/>
    </row>
    <row r="64444" spans="1:141" s="116" customFormat="1">
      <c r="A64444" s="136"/>
      <c r="CM64444" s="111"/>
      <c r="CQ64444" s="111"/>
      <c r="EF64444"/>
      <c r="EG64444"/>
      <c r="EH64444"/>
      <c r="EI64444"/>
      <c r="EJ64444"/>
      <c r="EK64444"/>
    </row>
    <row r="64445" spans="1:141" s="116" customFormat="1">
      <c r="A64445" s="136"/>
      <c r="CM64445" s="111"/>
      <c r="CQ64445" s="111"/>
      <c r="EF64445"/>
      <c r="EG64445"/>
      <c r="EH64445"/>
      <c r="EI64445"/>
      <c r="EJ64445"/>
      <c r="EK64445"/>
    </row>
    <row r="64446" spans="1:141" s="116" customFormat="1">
      <c r="A64446" s="136"/>
      <c r="CM64446" s="111"/>
      <c r="CQ64446" s="111"/>
      <c r="EF64446"/>
      <c r="EG64446"/>
      <c r="EH64446"/>
      <c r="EI64446"/>
      <c r="EJ64446"/>
      <c r="EK64446"/>
    </row>
    <row r="64447" spans="1:141" s="116" customFormat="1">
      <c r="A64447" s="136"/>
      <c r="CM64447" s="111"/>
      <c r="CQ64447" s="111"/>
      <c r="EF64447"/>
      <c r="EG64447"/>
      <c r="EH64447"/>
      <c r="EI64447"/>
      <c r="EJ64447"/>
      <c r="EK64447"/>
    </row>
    <row r="64448" spans="1:141" s="116" customFormat="1">
      <c r="A64448" s="136"/>
      <c r="CM64448" s="111"/>
      <c r="CQ64448" s="111"/>
      <c r="EF64448"/>
      <c r="EG64448"/>
      <c r="EH64448"/>
      <c r="EI64448"/>
      <c r="EJ64448"/>
      <c r="EK64448"/>
    </row>
    <row r="64449" spans="1:141" s="116" customFormat="1">
      <c r="A64449" s="136"/>
      <c r="CM64449" s="111"/>
      <c r="CQ64449" s="111"/>
      <c r="EF64449"/>
      <c r="EG64449"/>
      <c r="EH64449"/>
      <c r="EI64449"/>
      <c r="EJ64449"/>
      <c r="EK64449"/>
    </row>
    <row r="64450" spans="1:141" s="116" customFormat="1">
      <c r="A64450" s="136"/>
      <c r="CM64450" s="111"/>
      <c r="CQ64450" s="111"/>
      <c r="EF64450"/>
      <c r="EG64450"/>
      <c r="EH64450"/>
      <c r="EI64450"/>
      <c r="EJ64450"/>
      <c r="EK64450"/>
    </row>
    <row r="64451" spans="1:141" s="116" customFormat="1">
      <c r="A64451" s="136"/>
      <c r="CM64451" s="111"/>
      <c r="CQ64451" s="111"/>
      <c r="EF64451"/>
      <c r="EG64451"/>
      <c r="EH64451"/>
      <c r="EI64451"/>
      <c r="EJ64451"/>
      <c r="EK64451"/>
    </row>
    <row r="64452" spans="1:141" s="116" customFormat="1">
      <c r="A64452" s="136"/>
      <c r="CM64452" s="111"/>
      <c r="CQ64452" s="111"/>
      <c r="EF64452"/>
      <c r="EG64452"/>
      <c r="EH64452"/>
      <c r="EI64452"/>
      <c r="EJ64452"/>
      <c r="EK64452"/>
    </row>
    <row r="64453" spans="1:141" s="116" customFormat="1">
      <c r="A64453" s="136"/>
      <c r="CM64453" s="111"/>
      <c r="CQ64453" s="111"/>
      <c r="EF64453"/>
      <c r="EG64453"/>
      <c r="EH64453"/>
      <c r="EI64453"/>
      <c r="EJ64453"/>
      <c r="EK64453"/>
    </row>
    <row r="64454" spans="1:141" s="116" customFormat="1">
      <c r="A64454" s="136"/>
      <c r="CM64454" s="111"/>
      <c r="CQ64454" s="111"/>
      <c r="EF64454"/>
      <c r="EG64454"/>
      <c r="EH64454"/>
      <c r="EI64454"/>
      <c r="EJ64454"/>
      <c r="EK64454"/>
    </row>
    <row r="64455" spans="1:141" s="116" customFormat="1">
      <c r="A64455" s="136"/>
      <c r="CM64455" s="111"/>
      <c r="CQ64455" s="111"/>
      <c r="EF64455"/>
      <c r="EG64455"/>
      <c r="EH64455"/>
      <c r="EI64455"/>
      <c r="EJ64455"/>
      <c r="EK64455"/>
    </row>
    <row r="64456" spans="1:141" s="116" customFormat="1">
      <c r="A64456" s="136"/>
      <c r="CM64456" s="111"/>
      <c r="CQ64456" s="111"/>
      <c r="EF64456"/>
      <c r="EG64456"/>
      <c r="EH64456"/>
      <c r="EI64456"/>
      <c r="EJ64456"/>
      <c r="EK64456"/>
    </row>
    <row r="64457" spans="1:141" s="116" customFormat="1">
      <c r="A64457" s="136"/>
      <c r="CM64457" s="111"/>
      <c r="CQ64457" s="111"/>
      <c r="EF64457"/>
      <c r="EG64457"/>
      <c r="EH64457"/>
      <c r="EI64457"/>
      <c r="EJ64457"/>
      <c r="EK64457"/>
    </row>
    <row r="64458" spans="1:141" s="116" customFormat="1">
      <c r="A64458" s="136"/>
      <c r="CM64458" s="111"/>
      <c r="CQ64458" s="111"/>
      <c r="EF64458"/>
      <c r="EG64458"/>
      <c r="EH64458"/>
      <c r="EI64458"/>
      <c r="EJ64458"/>
      <c r="EK64458"/>
    </row>
    <row r="64459" spans="1:141" s="116" customFormat="1">
      <c r="A64459" s="136"/>
      <c r="CM64459" s="111"/>
      <c r="CQ64459" s="111"/>
      <c r="EF64459"/>
      <c r="EG64459"/>
      <c r="EH64459"/>
      <c r="EI64459"/>
      <c r="EJ64459"/>
      <c r="EK64459"/>
    </row>
    <row r="64460" spans="1:141" s="116" customFormat="1">
      <c r="A64460" s="136"/>
      <c r="CM64460" s="111"/>
      <c r="CQ64460" s="111"/>
      <c r="EF64460"/>
      <c r="EG64460"/>
      <c r="EH64460"/>
      <c r="EI64460"/>
      <c r="EJ64460"/>
      <c r="EK64460"/>
    </row>
    <row r="64461" spans="1:141" s="116" customFormat="1">
      <c r="A64461" s="136"/>
      <c r="CM64461" s="111"/>
      <c r="CQ64461" s="111"/>
      <c r="EF64461"/>
      <c r="EG64461"/>
      <c r="EH64461"/>
      <c r="EI64461"/>
      <c r="EJ64461"/>
      <c r="EK64461"/>
    </row>
    <row r="64462" spans="1:141" s="116" customFormat="1">
      <c r="A64462" s="136"/>
      <c r="CM64462" s="111"/>
      <c r="CQ64462" s="111"/>
      <c r="EF64462"/>
      <c r="EG64462"/>
      <c r="EH64462"/>
      <c r="EI64462"/>
      <c r="EJ64462"/>
      <c r="EK64462"/>
    </row>
    <row r="64463" spans="1:141" s="116" customFormat="1">
      <c r="A64463" s="136"/>
      <c r="CM64463" s="111"/>
      <c r="CQ64463" s="111"/>
      <c r="EF64463"/>
      <c r="EG64463"/>
      <c r="EH64463"/>
      <c r="EI64463"/>
      <c r="EJ64463"/>
      <c r="EK64463"/>
    </row>
    <row r="64464" spans="1:141" s="116" customFormat="1">
      <c r="A64464" s="136"/>
      <c r="CM64464" s="111"/>
      <c r="CQ64464" s="111"/>
      <c r="EF64464"/>
      <c r="EG64464"/>
      <c r="EH64464"/>
      <c r="EI64464"/>
      <c r="EJ64464"/>
      <c r="EK64464"/>
    </row>
    <row r="64465" spans="1:141" s="116" customFormat="1">
      <c r="A64465" s="136"/>
      <c r="CM64465" s="111"/>
      <c r="CQ64465" s="111"/>
      <c r="EF64465"/>
      <c r="EG64465"/>
      <c r="EH64465"/>
      <c r="EI64465"/>
      <c r="EJ64465"/>
      <c r="EK64465"/>
    </row>
    <row r="64466" spans="1:141" s="116" customFormat="1">
      <c r="A64466" s="136"/>
      <c r="CM64466" s="111"/>
      <c r="CQ64466" s="111"/>
      <c r="EF64466"/>
      <c r="EG64466"/>
      <c r="EH64466"/>
      <c r="EI64466"/>
      <c r="EJ64466"/>
      <c r="EK64466"/>
    </row>
    <row r="64467" spans="1:141" s="116" customFormat="1">
      <c r="A64467" s="136"/>
      <c r="CM64467" s="111"/>
      <c r="CQ64467" s="111"/>
      <c r="EF64467"/>
      <c r="EG64467"/>
      <c r="EH64467"/>
      <c r="EI64467"/>
      <c r="EJ64467"/>
      <c r="EK64467"/>
    </row>
    <row r="64468" spans="1:141" s="116" customFormat="1">
      <c r="A64468" s="136"/>
      <c r="CM64468" s="111"/>
      <c r="CQ64468" s="111"/>
      <c r="EF64468"/>
      <c r="EG64468"/>
      <c r="EH64468"/>
      <c r="EI64468"/>
      <c r="EJ64468"/>
      <c r="EK64468"/>
    </row>
    <row r="64469" spans="1:141" s="116" customFormat="1">
      <c r="A64469" s="136"/>
      <c r="CM64469" s="111"/>
      <c r="CQ64469" s="111"/>
      <c r="EF64469"/>
      <c r="EG64469"/>
      <c r="EH64469"/>
      <c r="EI64469"/>
      <c r="EJ64469"/>
      <c r="EK64469"/>
    </row>
    <row r="64470" spans="1:141" s="116" customFormat="1">
      <c r="A64470" s="136"/>
      <c r="CM64470" s="111"/>
      <c r="CQ64470" s="111"/>
      <c r="EF64470"/>
      <c r="EG64470"/>
      <c r="EH64470"/>
      <c r="EI64470"/>
      <c r="EJ64470"/>
      <c r="EK64470"/>
    </row>
    <row r="64471" spans="1:141" s="116" customFormat="1">
      <c r="A64471" s="136"/>
      <c r="CM64471" s="111"/>
      <c r="CQ64471" s="111"/>
      <c r="EF64471"/>
      <c r="EG64471"/>
      <c r="EH64471"/>
      <c r="EI64471"/>
      <c r="EJ64471"/>
      <c r="EK64471"/>
    </row>
    <row r="64472" spans="1:141" s="116" customFormat="1">
      <c r="A64472" s="136"/>
      <c r="CM64472" s="111"/>
      <c r="CQ64472" s="111"/>
      <c r="EF64472"/>
      <c r="EG64472"/>
      <c r="EH64472"/>
      <c r="EI64472"/>
      <c r="EJ64472"/>
      <c r="EK64472"/>
    </row>
    <row r="64473" spans="1:141" s="116" customFormat="1">
      <c r="A64473" s="136"/>
      <c r="CM64473" s="111"/>
      <c r="CQ64473" s="111"/>
      <c r="EF64473"/>
      <c r="EG64473"/>
      <c r="EH64473"/>
      <c r="EI64473"/>
      <c r="EJ64473"/>
      <c r="EK64473"/>
    </row>
    <row r="64474" spans="1:141" s="116" customFormat="1">
      <c r="A64474" s="136"/>
      <c r="CM64474" s="111"/>
      <c r="CQ64474" s="111"/>
      <c r="EF64474"/>
      <c r="EG64474"/>
      <c r="EH64474"/>
      <c r="EI64474"/>
      <c r="EJ64474"/>
      <c r="EK64474"/>
    </row>
    <row r="64475" spans="1:141" s="116" customFormat="1">
      <c r="A64475" s="136"/>
      <c r="CM64475" s="111"/>
      <c r="CQ64475" s="111"/>
      <c r="EF64475"/>
      <c r="EG64475"/>
      <c r="EH64475"/>
      <c r="EI64475"/>
      <c r="EJ64475"/>
      <c r="EK64475"/>
    </row>
    <row r="64476" spans="1:141" s="116" customFormat="1">
      <c r="A64476" s="136"/>
      <c r="CM64476" s="111"/>
      <c r="CQ64476" s="111"/>
      <c r="EF64476"/>
      <c r="EG64476"/>
      <c r="EH64476"/>
      <c r="EI64476"/>
      <c r="EJ64476"/>
      <c r="EK64476"/>
    </row>
    <row r="64477" spans="1:141" s="116" customFormat="1">
      <c r="A64477" s="136"/>
      <c r="CM64477" s="111"/>
      <c r="CQ64477" s="111"/>
      <c r="EF64477"/>
      <c r="EG64477"/>
      <c r="EH64477"/>
      <c r="EI64477"/>
      <c r="EJ64477"/>
      <c r="EK64477"/>
    </row>
    <row r="64478" spans="1:141" s="116" customFormat="1">
      <c r="A64478" s="136"/>
      <c r="CM64478" s="111"/>
      <c r="CQ64478" s="111"/>
      <c r="EF64478"/>
      <c r="EG64478"/>
      <c r="EH64478"/>
      <c r="EI64478"/>
      <c r="EJ64478"/>
      <c r="EK64478"/>
    </row>
    <row r="64479" spans="1:141" s="116" customFormat="1">
      <c r="A64479" s="136"/>
      <c r="CM64479" s="111"/>
      <c r="CQ64479" s="111"/>
      <c r="EF64479"/>
      <c r="EG64479"/>
      <c r="EH64479"/>
      <c r="EI64479"/>
      <c r="EJ64479"/>
      <c r="EK64479"/>
    </row>
    <row r="64480" spans="1:141" s="116" customFormat="1">
      <c r="A64480" s="136"/>
      <c r="CM64480" s="111"/>
      <c r="CQ64480" s="111"/>
      <c r="EF64480"/>
      <c r="EG64480"/>
      <c r="EH64480"/>
      <c r="EI64480"/>
      <c r="EJ64480"/>
      <c r="EK64480"/>
    </row>
    <row r="64481" spans="1:141" s="116" customFormat="1">
      <c r="A64481" s="136"/>
      <c r="CM64481" s="111"/>
      <c r="CQ64481" s="111"/>
      <c r="EF64481"/>
      <c r="EG64481"/>
      <c r="EH64481"/>
      <c r="EI64481"/>
      <c r="EJ64481"/>
      <c r="EK64481"/>
    </row>
    <row r="64482" spans="1:141" s="116" customFormat="1">
      <c r="A64482" s="136"/>
      <c r="CM64482" s="111"/>
      <c r="CQ64482" s="111"/>
      <c r="EF64482"/>
      <c r="EG64482"/>
      <c r="EH64482"/>
      <c r="EI64482"/>
      <c r="EJ64482"/>
      <c r="EK64482"/>
    </row>
    <row r="64483" spans="1:141" s="116" customFormat="1">
      <c r="A64483" s="136"/>
      <c r="CM64483" s="111"/>
      <c r="CQ64483" s="111"/>
      <c r="EF64483"/>
      <c r="EG64483"/>
      <c r="EH64483"/>
      <c r="EI64483"/>
      <c r="EJ64483"/>
      <c r="EK64483"/>
    </row>
    <row r="64484" spans="1:141" s="116" customFormat="1">
      <c r="A64484" s="136"/>
      <c r="CM64484" s="111"/>
      <c r="CQ64484" s="111"/>
      <c r="EF64484"/>
      <c r="EG64484"/>
      <c r="EH64484"/>
      <c r="EI64484"/>
      <c r="EJ64484"/>
      <c r="EK64484"/>
    </row>
    <row r="64485" spans="1:141" s="116" customFormat="1">
      <c r="A64485" s="136"/>
      <c r="CM64485" s="111"/>
      <c r="CQ64485" s="111"/>
      <c r="EF64485"/>
      <c r="EG64485"/>
      <c r="EH64485"/>
      <c r="EI64485"/>
      <c r="EJ64485"/>
      <c r="EK64485"/>
    </row>
    <row r="64486" spans="1:141" s="116" customFormat="1">
      <c r="A64486" s="136"/>
      <c r="CM64486" s="111"/>
      <c r="CQ64486" s="111"/>
      <c r="EF64486"/>
      <c r="EG64486"/>
      <c r="EH64486"/>
      <c r="EI64486"/>
      <c r="EJ64486"/>
      <c r="EK64486"/>
    </row>
    <row r="64487" spans="1:141" s="116" customFormat="1">
      <c r="A64487" s="136"/>
      <c r="CM64487" s="111"/>
      <c r="CQ64487" s="111"/>
      <c r="EF64487"/>
      <c r="EG64487"/>
      <c r="EH64487"/>
      <c r="EI64487"/>
      <c r="EJ64487"/>
      <c r="EK64487"/>
    </row>
    <row r="64488" spans="1:141" s="116" customFormat="1">
      <c r="A64488" s="136"/>
      <c r="CM64488" s="111"/>
      <c r="CQ64488" s="111"/>
      <c r="EF64488"/>
      <c r="EG64488"/>
      <c r="EH64488"/>
      <c r="EI64488"/>
      <c r="EJ64488"/>
      <c r="EK64488"/>
    </row>
    <row r="64489" spans="1:141" s="116" customFormat="1">
      <c r="A64489" s="136"/>
      <c r="CM64489" s="111"/>
      <c r="CQ64489" s="111"/>
      <c r="EF64489"/>
      <c r="EG64489"/>
      <c r="EH64489"/>
      <c r="EI64489"/>
      <c r="EJ64489"/>
      <c r="EK64489"/>
    </row>
    <row r="64490" spans="1:141" s="116" customFormat="1">
      <c r="A64490" s="136"/>
      <c r="CM64490" s="111"/>
      <c r="CQ64490" s="111"/>
      <c r="EF64490"/>
      <c r="EG64490"/>
      <c r="EH64490"/>
      <c r="EI64490"/>
      <c r="EJ64490"/>
      <c r="EK64490"/>
    </row>
    <row r="64491" spans="1:141" s="116" customFormat="1">
      <c r="A64491" s="136"/>
      <c r="CM64491" s="111"/>
      <c r="CQ64491" s="111"/>
      <c r="EF64491"/>
      <c r="EG64491"/>
      <c r="EH64491"/>
      <c r="EI64491"/>
      <c r="EJ64491"/>
      <c r="EK64491"/>
    </row>
    <row r="64492" spans="1:141" s="116" customFormat="1">
      <c r="A64492" s="136"/>
      <c r="CM64492" s="111"/>
      <c r="CQ64492" s="111"/>
      <c r="EF64492"/>
      <c r="EG64492"/>
      <c r="EH64492"/>
      <c r="EI64492"/>
      <c r="EJ64492"/>
      <c r="EK64492"/>
    </row>
    <row r="64493" spans="1:141" s="116" customFormat="1">
      <c r="A64493" s="136"/>
      <c r="CM64493" s="111"/>
      <c r="CQ64493" s="111"/>
      <c r="EF64493"/>
      <c r="EG64493"/>
      <c r="EH64493"/>
      <c r="EI64493"/>
      <c r="EJ64493"/>
      <c r="EK64493"/>
    </row>
    <row r="64494" spans="1:141" s="116" customFormat="1">
      <c r="A64494" s="136"/>
      <c r="CM64494" s="111"/>
      <c r="CQ64494" s="111"/>
      <c r="EF64494"/>
      <c r="EG64494"/>
      <c r="EH64494"/>
      <c r="EI64494"/>
      <c r="EJ64494"/>
      <c r="EK64494"/>
    </row>
    <row r="64495" spans="1:141" s="116" customFormat="1">
      <c r="A64495" s="136"/>
      <c r="CM64495" s="111"/>
      <c r="CQ64495" s="111"/>
      <c r="EF64495"/>
      <c r="EG64495"/>
      <c r="EH64495"/>
      <c r="EI64495"/>
      <c r="EJ64495"/>
      <c r="EK64495"/>
    </row>
    <row r="64496" spans="1:141" s="116" customFormat="1">
      <c r="A64496" s="136"/>
      <c r="CM64496" s="111"/>
      <c r="CQ64496" s="111"/>
      <c r="EF64496"/>
      <c r="EG64496"/>
      <c r="EH64496"/>
      <c r="EI64496"/>
      <c r="EJ64496"/>
      <c r="EK64496"/>
    </row>
    <row r="64497" spans="1:141" s="116" customFormat="1">
      <c r="A64497" s="136"/>
      <c r="CM64497" s="111"/>
      <c r="CQ64497" s="111"/>
      <c r="EF64497"/>
      <c r="EG64497"/>
      <c r="EH64497"/>
      <c r="EI64497"/>
      <c r="EJ64497"/>
      <c r="EK64497"/>
    </row>
    <row r="64498" spans="1:141" s="116" customFormat="1">
      <c r="A64498" s="136"/>
      <c r="CM64498" s="111"/>
      <c r="CQ64498" s="111"/>
      <c r="EF64498"/>
      <c r="EG64498"/>
      <c r="EH64498"/>
      <c r="EI64498"/>
      <c r="EJ64498"/>
      <c r="EK64498"/>
    </row>
    <row r="64499" spans="1:141" s="116" customFormat="1">
      <c r="A64499" s="136"/>
      <c r="CM64499" s="111"/>
      <c r="CQ64499" s="111"/>
      <c r="EF64499"/>
      <c r="EG64499"/>
      <c r="EH64499"/>
      <c r="EI64499"/>
      <c r="EJ64499"/>
      <c r="EK64499"/>
    </row>
    <row r="64500" spans="1:141" s="116" customFormat="1">
      <c r="A64500" s="136"/>
      <c r="CM64500" s="111"/>
      <c r="CQ64500" s="111"/>
      <c r="EF64500"/>
      <c r="EG64500"/>
      <c r="EH64500"/>
      <c r="EI64500"/>
      <c r="EJ64500"/>
      <c r="EK64500"/>
    </row>
    <row r="64501" spans="1:141" s="116" customFormat="1">
      <c r="A64501" s="136"/>
      <c r="CM64501" s="111"/>
      <c r="CQ64501" s="111"/>
      <c r="EF64501"/>
      <c r="EG64501"/>
      <c r="EH64501"/>
      <c r="EI64501"/>
      <c r="EJ64501"/>
      <c r="EK64501"/>
    </row>
    <row r="64502" spans="1:141" s="116" customFormat="1">
      <c r="A64502" s="136"/>
      <c r="CM64502" s="111"/>
      <c r="CQ64502" s="111"/>
      <c r="EF64502"/>
      <c r="EG64502"/>
      <c r="EH64502"/>
      <c r="EI64502"/>
      <c r="EJ64502"/>
      <c r="EK64502"/>
    </row>
    <row r="64503" spans="1:141" s="116" customFormat="1">
      <c r="A64503" s="136"/>
      <c r="CM64503" s="111"/>
      <c r="CQ64503" s="111"/>
      <c r="EF64503"/>
      <c r="EG64503"/>
      <c r="EH64503"/>
      <c r="EI64503"/>
      <c r="EJ64503"/>
      <c r="EK64503"/>
    </row>
    <row r="64504" spans="1:141" s="116" customFormat="1">
      <c r="A64504" s="136"/>
      <c r="CM64504" s="111"/>
      <c r="CQ64504" s="111"/>
      <c r="EF64504"/>
      <c r="EG64504"/>
      <c r="EH64504"/>
      <c r="EI64504"/>
      <c r="EJ64504"/>
      <c r="EK64504"/>
    </row>
    <row r="64505" spans="1:141" s="116" customFormat="1">
      <c r="A64505" s="136"/>
      <c r="CM64505" s="111"/>
      <c r="CQ64505" s="111"/>
      <c r="EF64505"/>
      <c r="EG64505"/>
      <c r="EH64505"/>
      <c r="EI64505"/>
      <c r="EJ64505"/>
      <c r="EK64505"/>
    </row>
    <row r="64506" spans="1:141" s="116" customFormat="1">
      <c r="A64506" s="136"/>
      <c r="CM64506" s="111"/>
      <c r="CQ64506" s="111"/>
      <c r="EF64506"/>
      <c r="EG64506"/>
      <c r="EH64506"/>
      <c r="EI64506"/>
      <c r="EJ64506"/>
      <c r="EK64506"/>
    </row>
    <row r="64507" spans="1:141" s="116" customFormat="1">
      <c r="A64507" s="136"/>
      <c r="CM64507" s="111"/>
      <c r="CQ64507" s="111"/>
      <c r="EF64507"/>
      <c r="EG64507"/>
      <c r="EH64507"/>
      <c r="EI64507"/>
      <c r="EJ64507"/>
      <c r="EK64507"/>
    </row>
    <row r="64508" spans="1:141" s="116" customFormat="1">
      <c r="A64508" s="136"/>
      <c r="CM64508" s="111"/>
      <c r="CQ64508" s="111"/>
      <c r="EF64508"/>
      <c r="EG64508"/>
      <c r="EH64508"/>
      <c r="EI64508"/>
      <c r="EJ64508"/>
      <c r="EK64508"/>
    </row>
    <row r="64509" spans="1:141" s="116" customFormat="1">
      <c r="A64509" s="136"/>
      <c r="CM64509" s="111"/>
      <c r="CQ64509" s="111"/>
      <c r="EF64509"/>
      <c r="EG64509"/>
      <c r="EH64509"/>
      <c r="EI64509"/>
      <c r="EJ64509"/>
      <c r="EK64509"/>
    </row>
    <row r="64510" spans="1:141" s="116" customFormat="1">
      <c r="A64510" s="136"/>
      <c r="CM64510" s="111"/>
      <c r="CQ64510" s="111"/>
      <c r="EF64510"/>
      <c r="EG64510"/>
      <c r="EH64510"/>
      <c r="EI64510"/>
      <c r="EJ64510"/>
      <c r="EK64510"/>
    </row>
    <row r="64511" spans="1:141" s="116" customFormat="1">
      <c r="A64511" s="136"/>
      <c r="CM64511" s="111"/>
      <c r="CQ64511" s="111"/>
      <c r="EF64511"/>
      <c r="EG64511"/>
      <c r="EH64511"/>
      <c r="EI64511"/>
      <c r="EJ64511"/>
      <c r="EK64511"/>
    </row>
    <row r="64512" spans="1:141" s="116" customFormat="1">
      <c r="A64512" s="136"/>
      <c r="CM64512" s="111"/>
      <c r="CQ64512" s="111"/>
      <c r="EF64512"/>
      <c r="EG64512"/>
      <c r="EH64512"/>
      <c r="EI64512"/>
      <c r="EJ64512"/>
      <c r="EK64512"/>
    </row>
    <row r="64513" spans="1:141" s="116" customFormat="1">
      <c r="A64513" s="136"/>
      <c r="CM64513" s="111"/>
      <c r="CQ64513" s="111"/>
      <c r="EF64513"/>
      <c r="EG64513"/>
      <c r="EH64513"/>
      <c r="EI64513"/>
      <c r="EJ64513"/>
      <c r="EK64513"/>
    </row>
    <row r="64514" spans="1:141" s="116" customFormat="1">
      <c r="A64514" s="136"/>
      <c r="CM64514" s="111"/>
      <c r="CQ64514" s="111"/>
      <c r="EF64514"/>
      <c r="EG64514"/>
      <c r="EH64514"/>
      <c r="EI64514"/>
      <c r="EJ64514"/>
      <c r="EK64514"/>
    </row>
    <row r="64515" spans="1:141" s="116" customFormat="1">
      <c r="A64515" s="136"/>
      <c r="CM64515" s="111"/>
      <c r="CQ64515" s="111"/>
      <c r="EF64515"/>
      <c r="EG64515"/>
      <c r="EH64515"/>
      <c r="EI64515"/>
      <c r="EJ64515"/>
      <c r="EK64515"/>
    </row>
    <row r="64516" spans="1:141" s="116" customFormat="1">
      <c r="A64516" s="136"/>
      <c r="CM64516" s="111"/>
      <c r="CQ64516" s="111"/>
      <c r="EF64516"/>
      <c r="EG64516"/>
      <c r="EH64516"/>
      <c r="EI64516"/>
      <c r="EJ64516"/>
      <c r="EK64516"/>
    </row>
    <row r="64517" spans="1:141" s="116" customFormat="1">
      <c r="A64517" s="136"/>
      <c r="CM64517" s="111"/>
      <c r="CQ64517" s="111"/>
      <c r="EF64517"/>
      <c r="EG64517"/>
      <c r="EH64517"/>
      <c r="EI64517"/>
      <c r="EJ64517"/>
      <c r="EK64517"/>
    </row>
    <row r="64518" spans="1:141" s="116" customFormat="1">
      <c r="A64518" s="136"/>
      <c r="CM64518" s="111"/>
      <c r="CQ64518" s="111"/>
      <c r="EF64518"/>
      <c r="EG64518"/>
      <c r="EH64518"/>
      <c r="EI64518"/>
      <c r="EJ64518"/>
      <c r="EK64518"/>
    </row>
    <row r="64519" spans="1:141" s="116" customFormat="1">
      <c r="A64519" s="136"/>
      <c r="CM64519" s="111"/>
      <c r="CQ64519" s="111"/>
      <c r="EF64519"/>
      <c r="EG64519"/>
      <c r="EH64519"/>
      <c r="EI64519"/>
      <c r="EJ64519"/>
      <c r="EK64519"/>
    </row>
    <row r="64520" spans="1:141" s="116" customFormat="1">
      <c r="A64520" s="136"/>
      <c r="CM64520" s="111"/>
      <c r="CQ64520" s="111"/>
      <c r="EF64520"/>
      <c r="EG64520"/>
      <c r="EH64520"/>
      <c r="EI64520"/>
      <c r="EJ64520"/>
      <c r="EK64520"/>
    </row>
    <row r="64521" spans="1:141" s="116" customFormat="1">
      <c r="A64521" s="136"/>
      <c r="CM64521" s="111"/>
      <c r="CQ64521" s="111"/>
      <c r="EF64521"/>
      <c r="EG64521"/>
      <c r="EH64521"/>
      <c r="EI64521"/>
      <c r="EJ64521"/>
      <c r="EK64521"/>
    </row>
    <row r="64522" spans="1:141" s="116" customFormat="1">
      <c r="A64522" s="136"/>
      <c r="CM64522" s="111"/>
      <c r="CQ64522" s="111"/>
      <c r="EF64522"/>
      <c r="EG64522"/>
      <c r="EH64522"/>
      <c r="EI64522"/>
      <c r="EJ64522"/>
      <c r="EK64522"/>
    </row>
    <row r="64523" spans="1:141" s="116" customFormat="1">
      <c r="A64523" s="136"/>
      <c r="CM64523" s="111"/>
      <c r="CQ64523" s="111"/>
      <c r="EF64523"/>
      <c r="EG64523"/>
      <c r="EH64523"/>
      <c r="EI64523"/>
      <c r="EJ64523"/>
      <c r="EK64523"/>
    </row>
    <row r="64524" spans="1:141" s="116" customFormat="1">
      <c r="A64524" s="136"/>
      <c r="CM64524" s="111"/>
      <c r="CQ64524" s="111"/>
      <c r="EF64524"/>
      <c r="EG64524"/>
      <c r="EH64524"/>
      <c r="EI64524"/>
      <c r="EJ64524"/>
      <c r="EK64524"/>
    </row>
    <row r="64525" spans="1:141" s="116" customFormat="1">
      <c r="A64525" s="136"/>
      <c r="CM64525" s="111"/>
      <c r="CQ64525" s="111"/>
      <c r="EF64525"/>
      <c r="EG64525"/>
      <c r="EH64525"/>
      <c r="EI64525"/>
      <c r="EJ64525"/>
      <c r="EK64525"/>
    </row>
    <row r="64526" spans="1:141" s="116" customFormat="1">
      <c r="A64526" s="136"/>
      <c r="CM64526" s="111"/>
      <c r="CQ64526" s="111"/>
      <c r="EF64526"/>
      <c r="EG64526"/>
      <c r="EH64526"/>
      <c r="EI64526"/>
      <c r="EJ64526"/>
      <c r="EK64526"/>
    </row>
    <row r="64527" spans="1:141" s="116" customFormat="1">
      <c r="A64527" s="136"/>
      <c r="CM64527" s="111"/>
      <c r="CQ64527" s="111"/>
      <c r="EF64527"/>
      <c r="EG64527"/>
      <c r="EH64527"/>
      <c r="EI64527"/>
      <c r="EJ64527"/>
      <c r="EK64527"/>
    </row>
    <row r="64528" spans="1:141" s="116" customFormat="1">
      <c r="A64528" s="136"/>
      <c r="CM64528" s="111"/>
      <c r="CQ64528" s="111"/>
      <c r="EF64528"/>
      <c r="EG64528"/>
      <c r="EH64528"/>
      <c r="EI64528"/>
      <c r="EJ64528"/>
      <c r="EK64528"/>
    </row>
    <row r="64529" spans="1:141" s="116" customFormat="1">
      <c r="A64529" s="136"/>
      <c r="CM64529" s="111"/>
      <c r="CQ64529" s="111"/>
      <c r="EF64529"/>
      <c r="EG64529"/>
      <c r="EH64529"/>
      <c r="EI64529"/>
      <c r="EJ64529"/>
      <c r="EK64529"/>
    </row>
    <row r="64530" spans="1:141" s="116" customFormat="1">
      <c r="A64530" s="136"/>
      <c r="CM64530" s="111"/>
      <c r="CQ64530" s="111"/>
      <c r="EF64530"/>
      <c r="EG64530"/>
      <c r="EH64530"/>
      <c r="EI64530"/>
      <c r="EJ64530"/>
      <c r="EK64530"/>
    </row>
    <row r="64531" spans="1:141" s="116" customFormat="1">
      <c r="A64531" s="136"/>
      <c r="CM64531" s="111"/>
      <c r="CQ64531" s="111"/>
      <c r="EF64531"/>
      <c r="EG64531"/>
      <c r="EH64531"/>
      <c r="EI64531"/>
      <c r="EJ64531"/>
      <c r="EK64531"/>
    </row>
    <row r="64532" spans="1:141" s="116" customFormat="1">
      <c r="A64532" s="136"/>
      <c r="CM64532" s="111"/>
      <c r="CQ64532" s="111"/>
      <c r="EF64532"/>
      <c r="EG64532"/>
      <c r="EH64532"/>
      <c r="EI64532"/>
      <c r="EJ64532"/>
      <c r="EK64532"/>
    </row>
    <row r="64533" spans="1:141" s="116" customFormat="1">
      <c r="A64533" s="136"/>
      <c r="CM64533" s="111"/>
      <c r="CQ64533" s="111"/>
      <c r="EF64533"/>
      <c r="EG64533"/>
      <c r="EH64533"/>
      <c r="EI64533"/>
      <c r="EJ64533"/>
      <c r="EK64533"/>
    </row>
    <row r="64534" spans="1:141" s="116" customFormat="1">
      <c r="A64534" s="136"/>
      <c r="CM64534" s="111"/>
      <c r="CQ64534" s="111"/>
      <c r="EF64534"/>
      <c r="EG64534"/>
      <c r="EH64534"/>
      <c r="EI64534"/>
      <c r="EJ64534"/>
      <c r="EK64534"/>
    </row>
    <row r="64535" spans="1:141" s="116" customFormat="1">
      <c r="A64535" s="136"/>
      <c r="CM64535" s="111"/>
      <c r="CQ64535" s="111"/>
      <c r="EF64535"/>
      <c r="EG64535"/>
      <c r="EH64535"/>
      <c r="EI64535"/>
      <c r="EJ64535"/>
      <c r="EK64535"/>
    </row>
    <row r="64536" spans="1:141" s="116" customFormat="1">
      <c r="A64536" s="136"/>
      <c r="CM64536" s="111"/>
      <c r="CQ64536" s="111"/>
      <c r="EF64536"/>
      <c r="EG64536"/>
      <c r="EH64536"/>
      <c r="EI64536"/>
      <c r="EJ64536"/>
      <c r="EK64536"/>
    </row>
    <row r="64537" spans="1:141" s="116" customFormat="1">
      <c r="A64537" s="136"/>
      <c r="CM64537" s="111"/>
      <c r="CQ64537" s="111"/>
      <c r="EF64537"/>
      <c r="EG64537"/>
      <c r="EH64537"/>
      <c r="EI64537"/>
      <c r="EJ64537"/>
      <c r="EK64537"/>
    </row>
    <row r="64538" spans="1:141" s="116" customFormat="1">
      <c r="A64538" s="136"/>
      <c r="CM64538" s="111"/>
      <c r="CQ64538" s="111"/>
      <c r="EF64538"/>
      <c r="EG64538"/>
      <c r="EH64538"/>
      <c r="EI64538"/>
      <c r="EJ64538"/>
      <c r="EK64538"/>
    </row>
    <row r="64539" spans="1:141" s="116" customFormat="1">
      <c r="A64539" s="136"/>
      <c r="CM64539" s="111"/>
      <c r="CQ64539" s="111"/>
      <c r="EF64539"/>
      <c r="EG64539"/>
      <c r="EH64539"/>
      <c r="EI64539"/>
      <c r="EJ64539"/>
      <c r="EK64539"/>
    </row>
    <row r="64540" spans="1:141" s="116" customFormat="1">
      <c r="A64540" s="136"/>
      <c r="CM64540" s="111"/>
      <c r="CQ64540" s="111"/>
      <c r="EF64540"/>
      <c r="EG64540"/>
      <c r="EH64540"/>
      <c r="EI64540"/>
      <c r="EJ64540"/>
      <c r="EK64540"/>
    </row>
    <row r="64541" spans="1:141" s="116" customFormat="1">
      <c r="A64541" s="136"/>
      <c r="CM64541" s="111"/>
      <c r="CQ64541" s="111"/>
      <c r="EF64541"/>
      <c r="EG64541"/>
      <c r="EH64541"/>
      <c r="EI64541"/>
      <c r="EJ64541"/>
      <c r="EK64541"/>
    </row>
    <row r="64542" spans="1:141" s="116" customFormat="1">
      <c r="A64542" s="136"/>
      <c r="CM64542" s="111"/>
      <c r="CQ64542" s="111"/>
      <c r="EF64542"/>
      <c r="EG64542"/>
      <c r="EH64542"/>
      <c r="EI64542"/>
      <c r="EJ64542"/>
      <c r="EK64542"/>
    </row>
    <row r="64543" spans="1:141" s="116" customFormat="1">
      <c r="A64543" s="136"/>
      <c r="CM64543" s="111"/>
      <c r="CQ64543" s="111"/>
      <c r="EF64543"/>
      <c r="EG64543"/>
      <c r="EH64543"/>
      <c r="EI64543"/>
      <c r="EJ64543"/>
      <c r="EK64543"/>
    </row>
    <row r="64544" spans="1:141" s="116" customFormat="1">
      <c r="A64544" s="136"/>
      <c r="CM64544" s="111"/>
      <c r="CQ64544" s="111"/>
      <c r="EF64544"/>
      <c r="EG64544"/>
      <c r="EH64544"/>
      <c r="EI64544"/>
      <c r="EJ64544"/>
      <c r="EK64544"/>
    </row>
    <row r="64545" spans="1:141" s="116" customFormat="1">
      <c r="A64545" s="136"/>
      <c r="CM64545" s="111"/>
      <c r="CQ64545" s="111"/>
      <c r="EF64545"/>
      <c r="EG64545"/>
      <c r="EH64545"/>
      <c r="EI64545"/>
      <c r="EJ64545"/>
      <c r="EK64545"/>
    </row>
    <row r="64546" spans="1:141" s="116" customFormat="1">
      <c r="A64546" s="136"/>
      <c r="CM64546" s="111"/>
      <c r="CQ64546" s="111"/>
      <c r="EF64546"/>
      <c r="EG64546"/>
      <c r="EH64546"/>
      <c r="EI64546"/>
      <c r="EJ64546"/>
      <c r="EK64546"/>
    </row>
    <row r="64547" spans="1:141" s="116" customFormat="1">
      <c r="A64547" s="136"/>
      <c r="CM64547" s="111"/>
      <c r="CQ64547" s="111"/>
      <c r="EF64547"/>
      <c r="EG64547"/>
      <c r="EH64547"/>
      <c r="EI64547"/>
      <c r="EJ64547"/>
      <c r="EK64547"/>
    </row>
    <row r="64548" spans="1:141" s="116" customFormat="1">
      <c r="A64548" s="136"/>
      <c r="CM64548" s="111"/>
      <c r="CQ64548" s="111"/>
      <c r="EF64548"/>
      <c r="EG64548"/>
      <c r="EH64548"/>
      <c r="EI64548"/>
      <c r="EJ64548"/>
      <c r="EK64548"/>
    </row>
    <row r="64549" spans="1:141" s="116" customFormat="1">
      <c r="A64549" s="136"/>
      <c r="CM64549" s="111"/>
      <c r="CQ64549" s="111"/>
      <c r="EF64549"/>
      <c r="EG64549"/>
      <c r="EH64549"/>
      <c r="EI64549"/>
      <c r="EJ64549"/>
      <c r="EK64549"/>
    </row>
    <row r="64550" spans="1:141" s="116" customFormat="1">
      <c r="A64550" s="136"/>
      <c r="CM64550" s="111"/>
      <c r="CQ64550" s="111"/>
      <c r="EF64550"/>
      <c r="EG64550"/>
      <c r="EH64550"/>
      <c r="EI64550"/>
      <c r="EJ64550"/>
      <c r="EK64550"/>
    </row>
    <row r="64551" spans="1:141" s="116" customFormat="1">
      <c r="A64551" s="136"/>
      <c r="CM64551" s="111"/>
      <c r="CQ64551" s="111"/>
      <c r="EF64551"/>
      <c r="EG64551"/>
      <c r="EH64551"/>
      <c r="EI64551"/>
      <c r="EJ64551"/>
      <c r="EK64551"/>
    </row>
    <row r="64552" spans="1:141" s="116" customFormat="1">
      <c r="A64552" s="136"/>
      <c r="CM64552" s="111"/>
      <c r="CQ64552" s="111"/>
      <c r="EF64552"/>
      <c r="EG64552"/>
      <c r="EH64552"/>
      <c r="EI64552"/>
      <c r="EJ64552"/>
      <c r="EK64552"/>
    </row>
    <row r="64553" spans="1:141" s="116" customFormat="1">
      <c r="A64553" s="136"/>
      <c r="CM64553" s="111"/>
      <c r="CQ64553" s="111"/>
      <c r="EF64553"/>
      <c r="EG64553"/>
      <c r="EH64553"/>
      <c r="EI64553"/>
      <c r="EJ64553"/>
      <c r="EK64553"/>
    </row>
    <row r="64554" spans="1:141" s="116" customFormat="1">
      <c r="A64554" s="136"/>
      <c r="CM64554" s="111"/>
      <c r="CQ64554" s="111"/>
      <c r="EF64554"/>
      <c r="EG64554"/>
      <c r="EH64554"/>
      <c r="EI64554"/>
      <c r="EJ64554"/>
      <c r="EK64554"/>
    </row>
    <row r="64555" spans="1:141" s="116" customFormat="1">
      <c r="A64555" s="136"/>
      <c r="CM64555" s="111"/>
      <c r="CQ64555" s="111"/>
      <c r="EF64555"/>
      <c r="EG64555"/>
      <c r="EH64555"/>
      <c r="EI64555"/>
      <c r="EJ64555"/>
      <c r="EK64555"/>
    </row>
    <row r="64556" spans="1:141" s="116" customFormat="1">
      <c r="A64556" s="136"/>
      <c r="CM64556" s="111"/>
      <c r="CQ64556" s="111"/>
      <c r="EF64556"/>
      <c r="EG64556"/>
      <c r="EH64556"/>
      <c r="EI64556"/>
      <c r="EJ64556"/>
      <c r="EK64556"/>
    </row>
    <row r="64557" spans="1:141" s="116" customFormat="1">
      <c r="A64557" s="136"/>
      <c r="CM64557" s="111"/>
      <c r="CQ64557" s="111"/>
      <c r="EF64557"/>
      <c r="EG64557"/>
      <c r="EH64557"/>
      <c r="EI64557"/>
      <c r="EJ64557"/>
      <c r="EK64557"/>
    </row>
    <row r="64558" spans="1:141" s="116" customFormat="1">
      <c r="A64558" s="136"/>
      <c r="CM64558" s="111"/>
      <c r="CQ64558" s="111"/>
      <c r="EF64558"/>
      <c r="EG64558"/>
      <c r="EH64558"/>
      <c r="EI64558"/>
      <c r="EJ64558"/>
      <c r="EK64558"/>
    </row>
    <row r="64559" spans="1:141" s="116" customFormat="1">
      <c r="A64559" s="136"/>
      <c r="CM64559" s="111"/>
      <c r="CQ64559" s="111"/>
      <c r="EF64559"/>
      <c r="EG64559"/>
      <c r="EH64559"/>
      <c r="EI64559"/>
      <c r="EJ64559"/>
      <c r="EK64559"/>
    </row>
    <row r="64560" spans="1:141" s="116" customFormat="1">
      <c r="A64560" s="136"/>
      <c r="CM64560" s="111"/>
      <c r="CQ64560" s="111"/>
      <c r="EF64560"/>
      <c r="EG64560"/>
      <c r="EH64560"/>
      <c r="EI64560"/>
      <c r="EJ64560"/>
      <c r="EK64560"/>
    </row>
    <row r="64561" spans="1:141" s="116" customFormat="1">
      <c r="A64561" s="136"/>
      <c r="CM64561" s="111"/>
      <c r="CQ64561" s="111"/>
      <c r="EF64561"/>
      <c r="EG64561"/>
      <c r="EH64561"/>
      <c r="EI64561"/>
      <c r="EJ64561"/>
      <c r="EK64561"/>
    </row>
    <row r="64562" spans="1:141" s="116" customFormat="1">
      <c r="A64562" s="136"/>
      <c r="CM64562" s="111"/>
      <c r="CQ64562" s="111"/>
      <c r="EF64562"/>
      <c r="EG64562"/>
      <c r="EH64562"/>
      <c r="EI64562"/>
      <c r="EJ64562"/>
      <c r="EK64562"/>
    </row>
    <row r="64563" spans="1:141" s="116" customFormat="1">
      <c r="A64563" s="136"/>
      <c r="CM64563" s="111"/>
      <c r="CQ64563" s="111"/>
      <c r="EF64563"/>
      <c r="EG64563"/>
      <c r="EH64563"/>
      <c r="EI64563"/>
      <c r="EJ64563"/>
      <c r="EK64563"/>
    </row>
    <row r="64564" spans="1:141" s="116" customFormat="1">
      <c r="A64564" s="136"/>
      <c r="CM64564" s="111"/>
      <c r="CQ64564" s="111"/>
      <c r="EF64564"/>
      <c r="EG64564"/>
      <c r="EH64564"/>
      <c r="EI64564"/>
      <c r="EJ64564"/>
      <c r="EK64564"/>
    </row>
    <row r="64565" spans="1:141" s="116" customFormat="1">
      <c r="A64565" s="136"/>
      <c r="CM64565" s="111"/>
      <c r="CQ64565" s="111"/>
      <c r="EF64565"/>
      <c r="EG64565"/>
      <c r="EH64565"/>
      <c r="EI64565"/>
      <c r="EJ64565"/>
      <c r="EK64565"/>
    </row>
    <row r="64566" spans="1:141" s="116" customFormat="1">
      <c r="A64566" s="136"/>
      <c r="CM64566" s="111"/>
      <c r="CQ64566" s="111"/>
      <c r="EF64566"/>
      <c r="EG64566"/>
      <c r="EH64566"/>
      <c r="EI64566"/>
      <c r="EJ64566"/>
      <c r="EK64566"/>
    </row>
    <row r="64567" spans="1:141" s="116" customFormat="1">
      <c r="A64567" s="136"/>
      <c r="CM64567" s="111"/>
      <c r="CQ64567" s="111"/>
      <c r="EF64567"/>
      <c r="EG64567"/>
      <c r="EH64567"/>
      <c r="EI64567"/>
      <c r="EJ64567"/>
      <c r="EK64567"/>
    </row>
    <row r="64568" spans="1:141" s="116" customFormat="1">
      <c r="A64568" s="136"/>
      <c r="CM64568" s="111"/>
      <c r="CQ64568" s="111"/>
      <c r="EF64568"/>
      <c r="EG64568"/>
      <c r="EH64568"/>
      <c r="EI64568"/>
      <c r="EJ64568"/>
      <c r="EK64568"/>
    </row>
    <row r="64569" spans="1:141" s="116" customFormat="1">
      <c r="A64569" s="136"/>
      <c r="CM64569" s="111"/>
      <c r="CQ64569" s="111"/>
      <c r="EF64569"/>
      <c r="EG64569"/>
      <c r="EH64569"/>
      <c r="EI64569"/>
      <c r="EJ64569"/>
      <c r="EK64569"/>
    </row>
    <row r="64570" spans="1:141" s="116" customFormat="1">
      <c r="A64570" s="136"/>
      <c r="CM64570" s="111"/>
      <c r="CQ64570" s="111"/>
      <c r="EF64570"/>
      <c r="EG64570"/>
      <c r="EH64570"/>
      <c r="EI64570"/>
      <c r="EJ64570"/>
      <c r="EK64570"/>
    </row>
    <row r="64571" spans="1:141" s="116" customFormat="1">
      <c r="A64571" s="136"/>
      <c r="CM64571" s="111"/>
      <c r="CQ64571" s="111"/>
      <c r="EF64571"/>
      <c r="EG64571"/>
      <c r="EH64571"/>
      <c r="EI64571"/>
      <c r="EJ64571"/>
      <c r="EK64571"/>
    </row>
    <row r="64572" spans="1:141" s="116" customFormat="1">
      <c r="A64572" s="136"/>
      <c r="CM64572" s="111"/>
      <c r="CQ64572" s="111"/>
      <c r="EF64572"/>
      <c r="EG64572"/>
      <c r="EH64572"/>
      <c r="EI64572"/>
      <c r="EJ64572"/>
      <c r="EK64572"/>
    </row>
    <row r="64573" spans="1:141" s="116" customFormat="1">
      <c r="A64573" s="136"/>
      <c r="CM64573" s="111"/>
      <c r="CQ64573" s="111"/>
      <c r="EF64573"/>
      <c r="EG64573"/>
      <c r="EH64573"/>
      <c r="EI64573"/>
      <c r="EJ64573"/>
      <c r="EK64573"/>
    </row>
    <row r="64574" spans="1:141" s="116" customFormat="1">
      <c r="A64574" s="136"/>
      <c r="CM64574" s="111"/>
      <c r="CQ64574" s="111"/>
      <c r="EF64574"/>
      <c r="EG64574"/>
      <c r="EH64574"/>
      <c r="EI64574"/>
      <c r="EJ64574"/>
      <c r="EK64574"/>
    </row>
    <row r="64575" spans="1:141" s="116" customFormat="1">
      <c r="A64575" s="136"/>
      <c r="CM64575" s="111"/>
      <c r="CQ64575" s="111"/>
      <c r="EF64575"/>
      <c r="EG64575"/>
      <c r="EH64575"/>
      <c r="EI64575"/>
      <c r="EJ64575"/>
      <c r="EK64575"/>
    </row>
    <row r="64576" spans="1:141" s="116" customFormat="1">
      <c r="A64576" s="136"/>
      <c r="CM64576" s="111"/>
      <c r="CQ64576" s="111"/>
      <c r="EF64576"/>
      <c r="EG64576"/>
      <c r="EH64576"/>
      <c r="EI64576"/>
      <c r="EJ64576"/>
      <c r="EK64576"/>
    </row>
    <row r="64577" spans="1:141" s="116" customFormat="1">
      <c r="A64577" s="136"/>
      <c r="CM64577" s="111"/>
      <c r="CQ64577" s="111"/>
      <c r="EF64577"/>
      <c r="EG64577"/>
      <c r="EH64577"/>
      <c r="EI64577"/>
      <c r="EJ64577"/>
      <c r="EK64577"/>
    </row>
    <row r="64578" spans="1:141" s="116" customFormat="1">
      <c r="A64578" s="136"/>
      <c r="CM64578" s="111"/>
      <c r="CQ64578" s="111"/>
      <c r="EF64578"/>
      <c r="EG64578"/>
      <c r="EH64578"/>
      <c r="EI64578"/>
      <c r="EJ64578"/>
      <c r="EK64578"/>
    </row>
    <row r="64579" spans="1:141" s="116" customFormat="1">
      <c r="A64579" s="136"/>
      <c r="CM64579" s="111"/>
      <c r="CQ64579" s="111"/>
      <c r="EF64579"/>
      <c r="EG64579"/>
      <c r="EH64579"/>
      <c r="EI64579"/>
      <c r="EJ64579"/>
      <c r="EK64579"/>
    </row>
    <row r="64580" spans="1:141" s="116" customFormat="1">
      <c r="A64580" s="136"/>
      <c r="CM64580" s="111"/>
      <c r="CQ64580" s="111"/>
      <c r="EF64580"/>
      <c r="EG64580"/>
      <c r="EH64580"/>
      <c r="EI64580"/>
      <c r="EJ64580"/>
      <c r="EK64580"/>
    </row>
    <row r="64581" spans="1:141" s="116" customFormat="1">
      <c r="A64581" s="136"/>
      <c r="CM64581" s="111"/>
      <c r="CQ64581" s="111"/>
      <c r="EF64581"/>
      <c r="EG64581"/>
      <c r="EH64581"/>
      <c r="EI64581"/>
      <c r="EJ64581"/>
      <c r="EK64581"/>
    </row>
    <row r="64582" spans="1:141" s="116" customFormat="1">
      <c r="A64582" s="136"/>
      <c r="CM64582" s="111"/>
      <c r="CQ64582" s="111"/>
      <c r="EF64582"/>
      <c r="EG64582"/>
      <c r="EH64582"/>
      <c r="EI64582"/>
      <c r="EJ64582"/>
      <c r="EK64582"/>
    </row>
    <row r="64583" spans="1:141" s="116" customFormat="1">
      <c r="A64583" s="136"/>
      <c r="CM64583" s="111"/>
      <c r="CQ64583" s="111"/>
      <c r="EF64583"/>
      <c r="EG64583"/>
      <c r="EH64583"/>
      <c r="EI64583"/>
      <c r="EJ64583"/>
      <c r="EK64583"/>
    </row>
    <row r="64584" spans="1:141" s="116" customFormat="1">
      <c r="A64584" s="136"/>
      <c r="CM64584" s="111"/>
      <c r="CQ64584" s="111"/>
      <c r="EF64584"/>
      <c r="EG64584"/>
      <c r="EH64584"/>
      <c r="EI64584"/>
      <c r="EJ64584"/>
      <c r="EK64584"/>
    </row>
    <row r="64585" spans="1:141" s="116" customFormat="1">
      <c r="A64585" s="136"/>
      <c r="CM64585" s="111"/>
      <c r="CQ64585" s="111"/>
      <c r="EF64585"/>
      <c r="EG64585"/>
      <c r="EH64585"/>
      <c r="EI64585"/>
      <c r="EJ64585"/>
      <c r="EK64585"/>
    </row>
    <row r="64586" spans="1:141" s="116" customFormat="1">
      <c r="A64586" s="136"/>
      <c r="CM64586" s="111"/>
      <c r="CQ64586" s="111"/>
      <c r="EF64586"/>
      <c r="EG64586"/>
      <c r="EH64586"/>
      <c r="EI64586"/>
      <c r="EJ64586"/>
      <c r="EK64586"/>
    </row>
    <row r="64587" spans="1:141" s="116" customFormat="1">
      <c r="A64587" s="136"/>
      <c r="CM64587" s="111"/>
      <c r="CQ64587" s="111"/>
      <c r="EF64587"/>
      <c r="EG64587"/>
      <c r="EH64587"/>
      <c r="EI64587"/>
      <c r="EJ64587"/>
      <c r="EK64587"/>
    </row>
    <row r="64588" spans="1:141" s="116" customFormat="1">
      <c r="A64588" s="136"/>
      <c r="CM64588" s="111"/>
      <c r="CQ64588" s="111"/>
      <c r="EF64588"/>
      <c r="EG64588"/>
      <c r="EH64588"/>
      <c r="EI64588"/>
      <c r="EJ64588"/>
      <c r="EK64588"/>
    </row>
    <row r="64589" spans="1:141" s="116" customFormat="1">
      <c r="A64589" s="136"/>
      <c r="CM64589" s="111"/>
      <c r="CQ64589" s="111"/>
      <c r="EF64589"/>
      <c r="EG64589"/>
      <c r="EH64589"/>
      <c r="EI64589"/>
      <c r="EJ64589"/>
      <c r="EK64589"/>
    </row>
    <row r="64590" spans="1:141" s="116" customFormat="1">
      <c r="A64590" s="136"/>
      <c r="CM64590" s="111"/>
      <c r="CQ64590" s="111"/>
      <c r="EF64590"/>
      <c r="EG64590"/>
      <c r="EH64590"/>
      <c r="EI64590"/>
      <c r="EJ64590"/>
      <c r="EK64590"/>
    </row>
    <row r="64591" spans="1:141" s="116" customFormat="1">
      <c r="A64591" s="136"/>
      <c r="CM64591" s="111"/>
      <c r="CQ64591" s="111"/>
      <c r="EF64591"/>
      <c r="EG64591"/>
      <c r="EH64591"/>
      <c r="EI64591"/>
      <c r="EJ64591"/>
      <c r="EK64591"/>
    </row>
    <row r="64592" spans="1:141" s="116" customFormat="1">
      <c r="A64592" s="136"/>
      <c r="CM64592" s="111"/>
      <c r="CQ64592" s="111"/>
      <c r="EF64592"/>
      <c r="EG64592"/>
      <c r="EH64592"/>
      <c r="EI64592"/>
      <c r="EJ64592"/>
      <c r="EK64592"/>
    </row>
    <row r="64593" spans="1:141" s="116" customFormat="1">
      <c r="A64593" s="136"/>
      <c r="CM64593" s="111"/>
      <c r="CQ64593" s="111"/>
      <c r="EF64593"/>
      <c r="EG64593"/>
      <c r="EH64593"/>
      <c r="EI64593"/>
      <c r="EJ64593"/>
      <c r="EK64593"/>
    </row>
    <row r="64594" spans="1:141" s="116" customFormat="1">
      <c r="A64594" s="136"/>
      <c r="CM64594" s="111"/>
      <c r="CQ64594" s="111"/>
      <c r="EF64594"/>
      <c r="EG64594"/>
      <c r="EH64594"/>
      <c r="EI64594"/>
      <c r="EJ64594"/>
      <c r="EK64594"/>
    </row>
    <row r="64595" spans="1:141" s="116" customFormat="1">
      <c r="A64595" s="136"/>
      <c r="CM64595" s="111"/>
      <c r="CQ64595" s="111"/>
      <c r="EF64595"/>
      <c r="EG64595"/>
      <c r="EH64595"/>
      <c r="EI64595"/>
      <c r="EJ64595"/>
      <c r="EK64595"/>
    </row>
    <row r="64596" spans="1:141" s="116" customFormat="1">
      <c r="A64596" s="136"/>
      <c r="CM64596" s="111"/>
      <c r="CQ64596" s="111"/>
      <c r="EF64596"/>
      <c r="EG64596"/>
      <c r="EH64596"/>
      <c r="EI64596"/>
      <c r="EJ64596"/>
      <c r="EK64596"/>
    </row>
    <row r="64597" spans="1:141" s="116" customFormat="1">
      <c r="A64597" s="136"/>
      <c r="CM64597" s="111"/>
      <c r="CQ64597" s="111"/>
      <c r="EF64597"/>
      <c r="EG64597"/>
      <c r="EH64597"/>
      <c r="EI64597"/>
      <c r="EJ64597"/>
      <c r="EK64597"/>
    </row>
    <row r="64598" spans="1:141" s="116" customFormat="1">
      <c r="A64598" s="136"/>
      <c r="CM64598" s="111"/>
      <c r="CQ64598" s="111"/>
      <c r="EF64598"/>
      <c r="EG64598"/>
      <c r="EH64598"/>
      <c r="EI64598"/>
      <c r="EJ64598"/>
      <c r="EK64598"/>
    </row>
    <row r="64599" spans="1:141" s="116" customFormat="1">
      <c r="A64599" s="136"/>
      <c r="CM64599" s="111"/>
      <c r="CQ64599" s="111"/>
      <c r="EF64599"/>
      <c r="EG64599"/>
      <c r="EH64599"/>
      <c r="EI64599"/>
      <c r="EJ64599"/>
      <c r="EK64599"/>
    </row>
    <row r="64600" spans="1:141" s="116" customFormat="1">
      <c r="A64600" s="136"/>
      <c r="CM64600" s="111"/>
      <c r="CQ64600" s="111"/>
      <c r="EF64600"/>
      <c r="EG64600"/>
      <c r="EH64600"/>
      <c r="EI64600"/>
      <c r="EJ64600"/>
      <c r="EK64600"/>
    </row>
    <row r="64601" spans="1:141" s="116" customFormat="1">
      <c r="A64601" s="136"/>
      <c r="CM64601" s="111"/>
      <c r="CQ64601" s="111"/>
      <c r="EF64601"/>
      <c r="EG64601"/>
      <c r="EH64601"/>
      <c r="EI64601"/>
      <c r="EJ64601"/>
      <c r="EK64601"/>
    </row>
    <row r="64602" spans="1:141" s="116" customFormat="1">
      <c r="A64602" s="136"/>
      <c r="CM64602" s="111"/>
      <c r="CQ64602" s="111"/>
      <c r="EF64602"/>
      <c r="EG64602"/>
      <c r="EH64602"/>
      <c r="EI64602"/>
      <c r="EJ64602"/>
      <c r="EK64602"/>
    </row>
    <row r="64603" spans="1:141" s="116" customFormat="1">
      <c r="A64603" s="136"/>
      <c r="CM64603" s="111"/>
      <c r="CQ64603" s="111"/>
      <c r="EF64603"/>
      <c r="EG64603"/>
      <c r="EH64603"/>
      <c r="EI64603"/>
      <c r="EJ64603"/>
      <c r="EK64603"/>
    </row>
    <row r="64604" spans="1:141" s="116" customFormat="1">
      <c r="A64604" s="136"/>
      <c r="CM64604" s="111"/>
      <c r="CQ64604" s="111"/>
      <c r="EF64604"/>
      <c r="EG64604"/>
      <c r="EH64604"/>
      <c r="EI64604"/>
      <c r="EJ64604"/>
      <c r="EK64604"/>
    </row>
    <row r="64605" spans="1:141" s="116" customFormat="1">
      <c r="A64605" s="136"/>
      <c r="CM64605" s="111"/>
      <c r="CQ64605" s="111"/>
      <c r="EF64605"/>
      <c r="EG64605"/>
      <c r="EH64605"/>
      <c r="EI64605"/>
      <c r="EJ64605"/>
      <c r="EK64605"/>
    </row>
    <row r="64606" spans="1:141" s="116" customFormat="1">
      <c r="A64606" s="136"/>
      <c r="CM64606" s="111"/>
      <c r="CQ64606" s="111"/>
      <c r="EF64606"/>
      <c r="EG64606"/>
      <c r="EH64606"/>
      <c r="EI64606"/>
      <c r="EJ64606"/>
      <c r="EK64606"/>
    </row>
    <row r="64607" spans="1:141" s="116" customFormat="1">
      <c r="A64607" s="136"/>
      <c r="CM64607" s="111"/>
      <c r="CQ64607" s="111"/>
      <c r="EF64607"/>
      <c r="EG64607"/>
      <c r="EH64607"/>
      <c r="EI64607"/>
      <c r="EJ64607"/>
      <c r="EK64607"/>
    </row>
    <row r="64608" spans="1:141" s="116" customFormat="1">
      <c r="A64608" s="136"/>
      <c r="CM64608" s="111"/>
      <c r="CQ64608" s="111"/>
      <c r="EF64608"/>
      <c r="EG64608"/>
      <c r="EH64608"/>
      <c r="EI64608"/>
      <c r="EJ64608"/>
      <c r="EK64608"/>
    </row>
    <row r="64609" spans="1:141" s="116" customFormat="1">
      <c r="A64609" s="136"/>
      <c r="CM64609" s="111"/>
      <c r="CQ64609" s="111"/>
      <c r="EF64609"/>
      <c r="EG64609"/>
      <c r="EH64609"/>
      <c r="EI64609"/>
      <c r="EJ64609"/>
      <c r="EK64609"/>
    </row>
    <row r="64610" spans="1:141" s="116" customFormat="1">
      <c r="A64610" s="136"/>
      <c r="CM64610" s="111"/>
      <c r="CQ64610" s="111"/>
      <c r="EF64610"/>
      <c r="EG64610"/>
      <c r="EH64610"/>
      <c r="EI64610"/>
      <c r="EJ64610"/>
      <c r="EK64610"/>
    </row>
    <row r="64611" spans="1:141" s="116" customFormat="1">
      <c r="A64611" s="136"/>
      <c r="CM64611" s="111"/>
      <c r="CQ64611" s="111"/>
      <c r="EF64611"/>
      <c r="EG64611"/>
      <c r="EH64611"/>
      <c r="EI64611"/>
      <c r="EJ64611"/>
      <c r="EK64611"/>
    </row>
    <row r="64612" spans="1:141" s="116" customFormat="1">
      <c r="A64612" s="136"/>
      <c r="CM64612" s="111"/>
      <c r="CQ64612" s="111"/>
      <c r="EF64612"/>
      <c r="EG64612"/>
      <c r="EH64612"/>
      <c r="EI64612"/>
      <c r="EJ64612"/>
      <c r="EK64612"/>
    </row>
    <row r="64613" spans="1:141" s="116" customFormat="1">
      <c r="A64613" s="136"/>
      <c r="CM64613" s="111"/>
      <c r="CQ64613" s="111"/>
      <c r="EF64613"/>
      <c r="EG64613"/>
      <c r="EH64613"/>
      <c r="EI64613"/>
      <c r="EJ64613"/>
      <c r="EK64613"/>
    </row>
    <row r="64614" spans="1:141" s="116" customFormat="1">
      <c r="A64614" s="136"/>
      <c r="CM64614" s="111"/>
      <c r="CQ64614" s="111"/>
      <c r="EF64614"/>
      <c r="EG64614"/>
      <c r="EH64614"/>
      <c r="EI64614"/>
      <c r="EJ64614"/>
      <c r="EK64614"/>
    </row>
    <row r="64615" spans="1:141" s="116" customFormat="1">
      <c r="A64615" s="136"/>
      <c r="CM64615" s="111"/>
      <c r="CQ64615" s="111"/>
      <c r="EF64615"/>
      <c r="EG64615"/>
      <c r="EH64615"/>
      <c r="EI64615"/>
      <c r="EJ64615"/>
      <c r="EK64615"/>
    </row>
    <row r="64616" spans="1:141" s="116" customFormat="1">
      <c r="A64616" s="136"/>
      <c r="CM64616" s="111"/>
      <c r="CQ64616" s="111"/>
      <c r="EF64616"/>
      <c r="EG64616"/>
      <c r="EH64616"/>
      <c r="EI64616"/>
      <c r="EJ64616"/>
      <c r="EK64616"/>
    </row>
    <row r="64617" spans="1:141" s="116" customFormat="1">
      <c r="A64617" s="136"/>
      <c r="CM64617" s="111"/>
      <c r="CQ64617" s="111"/>
      <c r="EF64617"/>
      <c r="EG64617"/>
      <c r="EH64617"/>
      <c r="EI64617"/>
      <c r="EJ64617"/>
      <c r="EK64617"/>
    </row>
    <row r="64618" spans="1:141" s="116" customFormat="1">
      <c r="A64618" s="136"/>
      <c r="CM64618" s="111"/>
      <c r="CQ64618" s="111"/>
      <c r="EF64618"/>
      <c r="EG64618"/>
      <c r="EH64618"/>
      <c r="EI64618"/>
      <c r="EJ64618"/>
      <c r="EK64618"/>
    </row>
    <row r="64619" spans="1:141" s="116" customFormat="1">
      <c r="A64619" s="136"/>
      <c r="CM64619" s="111"/>
      <c r="CQ64619" s="111"/>
      <c r="EF64619"/>
      <c r="EG64619"/>
      <c r="EH64619"/>
      <c r="EI64619"/>
      <c r="EJ64619"/>
      <c r="EK64619"/>
    </row>
    <row r="64620" spans="1:141" s="116" customFormat="1">
      <c r="A64620" s="136"/>
      <c r="CM64620" s="111"/>
      <c r="CQ64620" s="111"/>
      <c r="EF64620"/>
      <c r="EG64620"/>
      <c r="EH64620"/>
      <c r="EI64620"/>
      <c r="EJ64620"/>
      <c r="EK64620"/>
    </row>
    <row r="64621" spans="1:141" s="116" customFormat="1">
      <c r="A64621" s="136"/>
      <c r="CM64621" s="111"/>
      <c r="CQ64621" s="111"/>
      <c r="EF64621"/>
      <c r="EG64621"/>
      <c r="EH64621"/>
      <c r="EI64621"/>
      <c r="EJ64621"/>
      <c r="EK64621"/>
    </row>
    <row r="64622" spans="1:141" s="116" customFormat="1">
      <c r="A64622" s="136"/>
      <c r="CM64622" s="111"/>
      <c r="CQ64622" s="111"/>
      <c r="EF64622"/>
      <c r="EG64622"/>
      <c r="EH64622"/>
      <c r="EI64622"/>
      <c r="EJ64622"/>
      <c r="EK64622"/>
    </row>
    <row r="64623" spans="1:141" s="116" customFormat="1">
      <c r="A64623" s="136"/>
      <c r="CM64623" s="111"/>
      <c r="CQ64623" s="111"/>
      <c r="EF64623"/>
      <c r="EG64623"/>
      <c r="EH64623"/>
      <c r="EI64623"/>
      <c r="EJ64623"/>
      <c r="EK64623"/>
    </row>
    <row r="64624" spans="1:141" s="116" customFormat="1">
      <c r="A64624" s="136"/>
      <c r="CM64624" s="111"/>
      <c r="CQ64624" s="111"/>
      <c r="EF64624"/>
      <c r="EG64624"/>
      <c r="EH64624"/>
      <c r="EI64624"/>
      <c r="EJ64624"/>
      <c r="EK64624"/>
    </row>
    <row r="64625" spans="1:141" s="116" customFormat="1">
      <c r="A64625" s="136"/>
      <c r="CM64625" s="111"/>
      <c r="CQ64625" s="111"/>
      <c r="EF64625"/>
      <c r="EG64625"/>
      <c r="EH64625"/>
      <c r="EI64625"/>
      <c r="EJ64625"/>
      <c r="EK64625"/>
    </row>
    <row r="64626" spans="1:141" s="116" customFormat="1">
      <c r="A64626" s="136"/>
      <c r="CM64626" s="111"/>
      <c r="CQ64626" s="111"/>
      <c r="EF64626"/>
      <c r="EG64626"/>
      <c r="EH64626"/>
      <c r="EI64626"/>
      <c r="EJ64626"/>
      <c r="EK64626"/>
    </row>
    <row r="64627" spans="1:141" s="116" customFormat="1">
      <c r="A64627" s="136"/>
      <c r="CM64627" s="111"/>
      <c r="CQ64627" s="111"/>
      <c r="EF64627"/>
      <c r="EG64627"/>
      <c r="EH64627"/>
      <c r="EI64627"/>
      <c r="EJ64627"/>
      <c r="EK64627"/>
    </row>
    <row r="64628" spans="1:141" s="116" customFormat="1">
      <c r="A64628" s="136"/>
      <c r="CM64628" s="111"/>
      <c r="CQ64628" s="111"/>
      <c r="EF64628"/>
      <c r="EG64628"/>
      <c r="EH64628"/>
      <c r="EI64628"/>
      <c r="EJ64628"/>
      <c r="EK64628"/>
    </row>
    <row r="64629" spans="1:141" s="116" customFormat="1">
      <c r="A64629" s="136"/>
      <c r="CM64629" s="111"/>
      <c r="CQ64629" s="111"/>
      <c r="EF64629"/>
      <c r="EG64629"/>
      <c r="EH64629"/>
      <c r="EI64629"/>
      <c r="EJ64629"/>
      <c r="EK64629"/>
    </row>
    <row r="64630" spans="1:141" s="116" customFormat="1">
      <c r="A64630" s="136"/>
      <c r="CM64630" s="111"/>
      <c r="CQ64630" s="111"/>
      <c r="EF64630"/>
      <c r="EG64630"/>
      <c r="EH64630"/>
      <c r="EI64630"/>
      <c r="EJ64630"/>
      <c r="EK64630"/>
    </row>
    <row r="64631" spans="1:141" s="116" customFormat="1">
      <c r="A64631" s="136"/>
      <c r="CM64631" s="111"/>
      <c r="CQ64631" s="111"/>
      <c r="EF64631"/>
      <c r="EG64631"/>
      <c r="EH64631"/>
      <c r="EI64631"/>
      <c r="EJ64631"/>
      <c r="EK64631"/>
    </row>
    <row r="64632" spans="1:141" s="116" customFormat="1">
      <c r="A64632" s="136"/>
      <c r="CM64632" s="111"/>
      <c r="CQ64632" s="111"/>
      <c r="EF64632"/>
      <c r="EG64632"/>
      <c r="EH64632"/>
      <c r="EI64632"/>
      <c r="EJ64632"/>
      <c r="EK64632"/>
    </row>
    <row r="64633" spans="1:141" s="116" customFormat="1">
      <c r="A64633" s="136"/>
      <c r="CM64633" s="111"/>
      <c r="CQ64633" s="111"/>
      <c r="EF64633"/>
      <c r="EG64633"/>
      <c r="EH64633"/>
      <c r="EI64633"/>
      <c r="EJ64633"/>
      <c r="EK64633"/>
    </row>
    <row r="64634" spans="1:141" s="116" customFormat="1">
      <c r="A64634" s="136"/>
      <c r="CM64634" s="111"/>
      <c r="CQ64634" s="111"/>
      <c r="EF64634"/>
      <c r="EG64634"/>
      <c r="EH64634"/>
      <c r="EI64634"/>
      <c r="EJ64634"/>
      <c r="EK64634"/>
    </row>
    <row r="64635" spans="1:141" s="116" customFormat="1">
      <c r="A64635" s="136"/>
      <c r="CM64635" s="111"/>
      <c r="CQ64635" s="111"/>
      <c r="EF64635"/>
      <c r="EG64635"/>
      <c r="EH64635"/>
      <c r="EI64635"/>
      <c r="EJ64635"/>
      <c r="EK64635"/>
    </row>
    <row r="64636" spans="1:141" s="116" customFormat="1">
      <c r="A64636" s="136"/>
      <c r="CM64636" s="111"/>
      <c r="CQ64636" s="111"/>
      <c r="EF64636"/>
      <c r="EG64636"/>
      <c r="EH64636"/>
      <c r="EI64636"/>
      <c r="EJ64636"/>
      <c r="EK64636"/>
    </row>
    <row r="64637" spans="1:141" s="116" customFormat="1">
      <c r="A64637" s="136"/>
      <c r="CM64637" s="111"/>
      <c r="CQ64637" s="111"/>
      <c r="EF64637"/>
      <c r="EG64637"/>
      <c r="EH64637"/>
      <c r="EI64637"/>
      <c r="EJ64637"/>
      <c r="EK64637"/>
    </row>
    <row r="64638" spans="1:141" s="116" customFormat="1">
      <c r="A64638" s="136"/>
      <c r="CM64638" s="111"/>
      <c r="CQ64638" s="111"/>
      <c r="EF64638"/>
      <c r="EG64638"/>
      <c r="EH64638"/>
      <c r="EI64638"/>
      <c r="EJ64638"/>
      <c r="EK64638"/>
    </row>
    <row r="64639" spans="1:141" s="116" customFormat="1">
      <c r="A64639" s="136"/>
      <c r="CM64639" s="111"/>
      <c r="CQ64639" s="111"/>
      <c r="EF64639"/>
      <c r="EG64639"/>
      <c r="EH64639"/>
      <c r="EI64639"/>
      <c r="EJ64639"/>
      <c r="EK64639"/>
    </row>
    <row r="64640" spans="1:141" s="116" customFormat="1">
      <c r="A64640" s="136"/>
      <c r="CM64640" s="111"/>
      <c r="CQ64640" s="111"/>
      <c r="EF64640"/>
      <c r="EG64640"/>
      <c r="EH64640"/>
      <c r="EI64640"/>
      <c r="EJ64640"/>
      <c r="EK64640"/>
    </row>
    <row r="64641" spans="1:141" s="116" customFormat="1">
      <c r="A64641" s="136"/>
      <c r="CM64641" s="111"/>
      <c r="CQ64641" s="111"/>
      <c r="EF64641"/>
      <c r="EG64641"/>
      <c r="EH64641"/>
      <c r="EI64641"/>
      <c r="EJ64641"/>
      <c r="EK64641"/>
    </row>
    <row r="64642" spans="1:141" s="116" customFormat="1">
      <c r="A64642" s="136"/>
      <c r="CM64642" s="111"/>
      <c r="CQ64642" s="111"/>
      <c r="EF64642"/>
      <c r="EG64642"/>
      <c r="EH64642"/>
      <c r="EI64642"/>
      <c r="EJ64642"/>
      <c r="EK64642"/>
    </row>
    <row r="64643" spans="1:141" s="116" customFormat="1">
      <c r="A64643" s="136"/>
      <c r="CM64643" s="111"/>
      <c r="CQ64643" s="111"/>
      <c r="EF64643"/>
      <c r="EG64643"/>
      <c r="EH64643"/>
      <c r="EI64643"/>
      <c r="EJ64643"/>
      <c r="EK64643"/>
    </row>
    <row r="64644" spans="1:141" s="116" customFormat="1">
      <c r="A64644" s="136"/>
      <c r="CM64644" s="111"/>
      <c r="CQ64644" s="111"/>
      <c r="EF64644"/>
      <c r="EG64644"/>
      <c r="EH64644"/>
      <c r="EI64644"/>
      <c r="EJ64644"/>
      <c r="EK64644"/>
    </row>
    <row r="64645" spans="1:141" s="116" customFormat="1">
      <c r="A64645" s="136"/>
      <c r="CM64645" s="111"/>
      <c r="CQ64645" s="111"/>
      <c r="EF64645"/>
      <c r="EG64645"/>
      <c r="EH64645"/>
      <c r="EI64645"/>
      <c r="EJ64645"/>
      <c r="EK64645"/>
    </row>
    <row r="64646" spans="1:141" s="116" customFormat="1">
      <c r="A64646" s="136"/>
      <c r="CM64646" s="111"/>
      <c r="CQ64646" s="111"/>
      <c r="EF64646"/>
      <c r="EG64646"/>
      <c r="EH64646"/>
      <c r="EI64646"/>
      <c r="EJ64646"/>
      <c r="EK64646"/>
    </row>
    <row r="64647" spans="1:141" s="116" customFormat="1">
      <c r="A64647" s="136"/>
      <c r="CM64647" s="111"/>
      <c r="CQ64647" s="111"/>
      <c r="EF64647"/>
      <c r="EG64647"/>
      <c r="EH64647"/>
      <c r="EI64647"/>
      <c r="EJ64647"/>
      <c r="EK64647"/>
    </row>
    <row r="64648" spans="1:141" s="116" customFormat="1">
      <c r="A64648" s="136"/>
      <c r="CM64648" s="111"/>
      <c r="CQ64648" s="111"/>
      <c r="EF64648"/>
      <c r="EG64648"/>
      <c r="EH64648"/>
      <c r="EI64648"/>
      <c r="EJ64648"/>
      <c r="EK64648"/>
    </row>
    <row r="64649" spans="1:141" s="116" customFormat="1">
      <c r="A64649" s="136"/>
      <c r="CM64649" s="111"/>
      <c r="CQ64649" s="111"/>
      <c r="EF64649"/>
      <c r="EG64649"/>
      <c r="EH64649"/>
      <c r="EI64649"/>
      <c r="EJ64649"/>
      <c r="EK64649"/>
    </row>
    <row r="64650" spans="1:141" s="116" customFormat="1">
      <c r="A64650" s="136"/>
      <c r="CM64650" s="111"/>
      <c r="CQ64650" s="111"/>
      <c r="EF64650"/>
      <c r="EG64650"/>
      <c r="EH64650"/>
      <c r="EI64650"/>
      <c r="EJ64650"/>
      <c r="EK64650"/>
    </row>
    <row r="64651" spans="1:141" s="116" customFormat="1">
      <c r="A64651" s="136"/>
      <c r="CM64651" s="111"/>
      <c r="CQ64651" s="111"/>
      <c r="EF64651"/>
      <c r="EG64651"/>
      <c r="EH64651"/>
      <c r="EI64651"/>
      <c r="EJ64651"/>
      <c r="EK64651"/>
    </row>
    <row r="64652" spans="1:141" s="116" customFormat="1">
      <c r="A64652" s="136"/>
      <c r="CM64652" s="111"/>
      <c r="CQ64652" s="111"/>
      <c r="EF64652"/>
      <c r="EG64652"/>
      <c r="EH64652"/>
      <c r="EI64652"/>
      <c r="EJ64652"/>
      <c r="EK64652"/>
    </row>
    <row r="64653" spans="1:141" s="116" customFormat="1">
      <c r="A64653" s="136"/>
      <c r="CM64653" s="111"/>
      <c r="CQ64653" s="111"/>
      <c r="EF64653"/>
      <c r="EG64653"/>
      <c r="EH64653"/>
      <c r="EI64653"/>
      <c r="EJ64653"/>
      <c r="EK64653"/>
    </row>
    <row r="64654" spans="1:141" s="116" customFormat="1">
      <c r="A64654" s="136"/>
      <c r="CM64654" s="111"/>
      <c r="CQ64654" s="111"/>
      <c r="EF64654"/>
      <c r="EG64654"/>
      <c r="EH64654"/>
      <c r="EI64654"/>
      <c r="EJ64654"/>
      <c r="EK64654"/>
    </row>
    <row r="64655" spans="1:141" s="116" customFormat="1">
      <c r="A64655" s="136"/>
      <c r="CM64655" s="111"/>
      <c r="CQ64655" s="111"/>
      <c r="EF64655"/>
      <c r="EG64655"/>
      <c r="EH64655"/>
      <c r="EI64655"/>
      <c r="EJ64655"/>
      <c r="EK64655"/>
    </row>
    <row r="64656" spans="1:141" s="116" customFormat="1">
      <c r="A64656" s="136"/>
      <c r="CM64656" s="111"/>
      <c r="CQ64656" s="111"/>
      <c r="EF64656"/>
      <c r="EG64656"/>
      <c r="EH64656"/>
      <c r="EI64656"/>
      <c r="EJ64656"/>
      <c r="EK64656"/>
    </row>
    <row r="64657" spans="1:141" s="116" customFormat="1">
      <c r="A64657" s="136"/>
      <c r="CM64657" s="111"/>
      <c r="CQ64657" s="111"/>
      <c r="EF64657"/>
      <c r="EG64657"/>
      <c r="EH64657"/>
      <c r="EI64657"/>
      <c r="EJ64657"/>
      <c r="EK64657"/>
    </row>
    <row r="64658" spans="1:141" s="116" customFormat="1">
      <c r="A64658" s="136"/>
      <c r="CM64658" s="111"/>
      <c r="CQ64658" s="111"/>
      <c r="EF64658"/>
      <c r="EG64658"/>
      <c r="EH64658"/>
      <c r="EI64658"/>
      <c r="EJ64658"/>
      <c r="EK64658"/>
    </row>
    <row r="64659" spans="1:141" s="116" customFormat="1">
      <c r="A64659" s="136"/>
      <c r="CM64659" s="111"/>
      <c r="CQ64659" s="111"/>
      <c r="EF64659"/>
      <c r="EG64659"/>
      <c r="EH64659"/>
      <c r="EI64659"/>
      <c r="EJ64659"/>
      <c r="EK64659"/>
    </row>
    <row r="64660" spans="1:141" s="116" customFormat="1">
      <c r="A64660" s="136"/>
      <c r="CM64660" s="111"/>
      <c r="CQ64660" s="111"/>
      <c r="EF64660"/>
      <c r="EG64660"/>
      <c r="EH64660"/>
      <c r="EI64660"/>
      <c r="EJ64660"/>
      <c r="EK64660"/>
    </row>
    <row r="64661" spans="1:141" s="116" customFormat="1">
      <c r="A64661" s="136"/>
      <c r="CM64661" s="111"/>
      <c r="CQ64661" s="111"/>
      <c r="EF64661"/>
      <c r="EG64661"/>
      <c r="EH64661"/>
      <c r="EI64661"/>
      <c r="EJ64661"/>
      <c r="EK64661"/>
    </row>
    <row r="64662" spans="1:141" s="116" customFormat="1">
      <c r="A64662" s="136"/>
      <c r="CM64662" s="111"/>
      <c r="CQ64662" s="111"/>
      <c r="EF64662"/>
      <c r="EG64662"/>
      <c r="EH64662"/>
      <c r="EI64662"/>
      <c r="EJ64662"/>
      <c r="EK64662"/>
    </row>
    <row r="64663" spans="1:141" s="116" customFormat="1">
      <c r="A64663" s="136"/>
      <c r="CM64663" s="111"/>
      <c r="CQ64663" s="111"/>
      <c r="EF64663"/>
      <c r="EG64663"/>
      <c r="EH64663"/>
      <c r="EI64663"/>
      <c r="EJ64663"/>
      <c r="EK64663"/>
    </row>
    <row r="64664" spans="1:141" s="116" customFormat="1">
      <c r="A64664" s="136"/>
      <c r="CM64664" s="111"/>
      <c r="CQ64664" s="111"/>
      <c r="EF64664"/>
      <c r="EG64664"/>
      <c r="EH64664"/>
      <c r="EI64664"/>
      <c r="EJ64664"/>
      <c r="EK64664"/>
    </row>
    <row r="64665" spans="1:141" s="116" customFormat="1">
      <c r="A64665" s="136"/>
      <c r="CM64665" s="111"/>
      <c r="CQ64665" s="111"/>
      <c r="EF64665"/>
      <c r="EG64665"/>
      <c r="EH64665"/>
      <c r="EI64665"/>
      <c r="EJ64665"/>
      <c r="EK64665"/>
    </row>
    <row r="64666" spans="1:141" s="116" customFormat="1">
      <c r="A64666" s="136"/>
      <c r="CM64666" s="111"/>
      <c r="CQ64666" s="111"/>
      <c r="EF64666"/>
      <c r="EG64666"/>
      <c r="EH64666"/>
      <c r="EI64666"/>
      <c r="EJ64666"/>
      <c r="EK64666"/>
    </row>
    <row r="64667" spans="1:141" s="116" customFormat="1">
      <c r="A64667" s="136"/>
      <c r="CM64667" s="111"/>
      <c r="CQ64667" s="111"/>
      <c r="EF64667"/>
      <c r="EG64667"/>
      <c r="EH64667"/>
      <c r="EI64667"/>
      <c r="EJ64667"/>
      <c r="EK64667"/>
    </row>
    <row r="64668" spans="1:141" s="116" customFormat="1">
      <c r="A64668" s="136"/>
      <c r="CM64668" s="111"/>
      <c r="CQ64668" s="111"/>
      <c r="EF64668"/>
      <c r="EG64668"/>
      <c r="EH64668"/>
      <c r="EI64668"/>
      <c r="EJ64668"/>
      <c r="EK64668"/>
    </row>
    <row r="64669" spans="1:141" s="116" customFormat="1">
      <c r="A64669" s="136"/>
      <c r="CM64669" s="111"/>
      <c r="CQ64669" s="111"/>
      <c r="EF64669"/>
      <c r="EG64669"/>
      <c r="EH64669"/>
      <c r="EI64669"/>
      <c r="EJ64669"/>
      <c r="EK64669"/>
    </row>
    <row r="64670" spans="1:141" s="116" customFormat="1">
      <c r="A64670" s="136"/>
      <c r="CM64670" s="111"/>
      <c r="CQ64670" s="111"/>
      <c r="EF64670"/>
      <c r="EG64670"/>
      <c r="EH64670"/>
      <c r="EI64670"/>
      <c r="EJ64670"/>
      <c r="EK64670"/>
    </row>
    <row r="64671" spans="1:141" s="116" customFormat="1">
      <c r="A64671" s="136"/>
      <c r="CM64671" s="111"/>
      <c r="CQ64671" s="111"/>
      <c r="EF64671"/>
      <c r="EG64671"/>
      <c r="EH64671"/>
      <c r="EI64671"/>
      <c r="EJ64671"/>
      <c r="EK64671"/>
    </row>
    <row r="64672" spans="1:141" s="116" customFormat="1">
      <c r="A64672" s="136"/>
      <c r="CM64672" s="111"/>
      <c r="CQ64672" s="111"/>
      <c r="EF64672"/>
      <c r="EG64672"/>
      <c r="EH64672"/>
      <c r="EI64672"/>
      <c r="EJ64672"/>
      <c r="EK64672"/>
    </row>
    <row r="64673" spans="1:141" s="116" customFormat="1">
      <c r="A64673" s="136"/>
      <c r="CM64673" s="111"/>
      <c r="CQ64673" s="111"/>
      <c r="EF64673"/>
      <c r="EG64673"/>
      <c r="EH64673"/>
      <c r="EI64673"/>
      <c r="EJ64673"/>
      <c r="EK64673"/>
    </row>
    <row r="64674" spans="1:141" s="116" customFormat="1">
      <c r="A64674" s="136"/>
      <c r="CM64674" s="111"/>
      <c r="CQ64674" s="111"/>
      <c r="EF64674"/>
      <c r="EG64674"/>
      <c r="EH64674"/>
      <c r="EI64674"/>
      <c r="EJ64674"/>
      <c r="EK64674"/>
    </row>
    <row r="64675" spans="1:141" s="116" customFormat="1">
      <c r="A64675" s="136"/>
      <c r="CM64675" s="111"/>
      <c r="CQ64675" s="111"/>
      <c r="EF64675"/>
      <c r="EG64675"/>
      <c r="EH64675"/>
      <c r="EI64675"/>
      <c r="EJ64675"/>
      <c r="EK64675"/>
    </row>
    <row r="64676" spans="1:141" s="116" customFormat="1">
      <c r="A64676" s="136"/>
      <c r="CM64676" s="111"/>
      <c r="CQ64676" s="111"/>
      <c r="EF64676"/>
      <c r="EG64676"/>
      <c r="EH64676"/>
      <c r="EI64676"/>
      <c r="EJ64676"/>
      <c r="EK64676"/>
    </row>
    <row r="64677" spans="1:141" s="116" customFormat="1">
      <c r="A64677" s="136"/>
      <c r="CM64677" s="111"/>
      <c r="CQ64677" s="111"/>
      <c r="EF64677"/>
      <c r="EG64677"/>
      <c r="EH64677"/>
      <c r="EI64677"/>
      <c r="EJ64677"/>
      <c r="EK64677"/>
    </row>
    <row r="64678" spans="1:141" s="116" customFormat="1">
      <c r="A64678" s="136"/>
      <c r="CM64678" s="111"/>
      <c r="CQ64678" s="111"/>
      <c r="EF64678"/>
      <c r="EG64678"/>
      <c r="EH64678"/>
      <c r="EI64678"/>
      <c r="EJ64678"/>
      <c r="EK64678"/>
    </row>
    <row r="64679" spans="1:141" s="116" customFormat="1">
      <c r="A64679" s="136"/>
      <c r="CM64679" s="111"/>
      <c r="CQ64679" s="111"/>
      <c r="EF64679"/>
      <c r="EG64679"/>
      <c r="EH64679"/>
      <c r="EI64679"/>
      <c r="EJ64679"/>
      <c r="EK64679"/>
    </row>
    <row r="64680" spans="1:141" s="116" customFormat="1">
      <c r="A64680" s="136"/>
      <c r="CM64680" s="111"/>
      <c r="CQ64680" s="111"/>
      <c r="EF64680"/>
      <c r="EG64680"/>
      <c r="EH64680"/>
      <c r="EI64680"/>
      <c r="EJ64680"/>
      <c r="EK64680"/>
    </row>
    <row r="64681" spans="1:141" s="116" customFormat="1">
      <c r="A64681" s="136"/>
      <c r="CM64681" s="111"/>
      <c r="CQ64681" s="111"/>
      <c r="EF64681"/>
      <c r="EG64681"/>
      <c r="EH64681"/>
      <c r="EI64681"/>
      <c r="EJ64681"/>
      <c r="EK64681"/>
    </row>
    <row r="64682" spans="1:141" s="116" customFormat="1">
      <c r="A64682" s="136"/>
      <c r="CM64682" s="111"/>
      <c r="CQ64682" s="111"/>
      <c r="EF64682"/>
      <c r="EG64682"/>
      <c r="EH64682"/>
      <c r="EI64682"/>
      <c r="EJ64682"/>
      <c r="EK64682"/>
    </row>
    <row r="64683" spans="1:141" s="116" customFormat="1">
      <c r="A64683" s="136"/>
      <c r="CM64683" s="111"/>
      <c r="CQ64683" s="111"/>
      <c r="EF64683"/>
      <c r="EG64683"/>
      <c r="EH64683"/>
      <c r="EI64683"/>
      <c r="EJ64683"/>
      <c r="EK64683"/>
    </row>
    <row r="64684" spans="1:141" s="116" customFormat="1">
      <c r="A64684" s="136"/>
      <c r="CM64684" s="111"/>
      <c r="CQ64684" s="111"/>
      <c r="EF64684"/>
      <c r="EG64684"/>
      <c r="EH64684"/>
      <c r="EI64684"/>
      <c r="EJ64684"/>
      <c r="EK64684"/>
    </row>
    <row r="64685" spans="1:141" s="116" customFormat="1">
      <c r="A64685" s="136"/>
      <c r="CM64685" s="111"/>
      <c r="CQ64685" s="111"/>
      <c r="EF64685"/>
      <c r="EG64685"/>
      <c r="EH64685"/>
      <c r="EI64685"/>
      <c r="EJ64685"/>
      <c r="EK64685"/>
    </row>
    <row r="64686" spans="1:141" s="116" customFormat="1">
      <c r="A64686" s="136"/>
      <c r="CM64686" s="111"/>
      <c r="CQ64686" s="111"/>
      <c r="EF64686"/>
      <c r="EG64686"/>
      <c r="EH64686"/>
      <c r="EI64686"/>
      <c r="EJ64686"/>
      <c r="EK64686"/>
    </row>
    <row r="64687" spans="1:141" s="116" customFormat="1">
      <c r="A64687" s="136"/>
      <c r="CM64687" s="111"/>
      <c r="CQ64687" s="111"/>
      <c r="EF64687"/>
      <c r="EG64687"/>
      <c r="EH64687"/>
      <c r="EI64687"/>
      <c r="EJ64687"/>
      <c r="EK64687"/>
    </row>
    <row r="64688" spans="1:141" s="116" customFormat="1">
      <c r="A64688" s="136"/>
      <c r="CM64688" s="111"/>
      <c r="CQ64688" s="111"/>
      <c r="EF64688"/>
      <c r="EG64688"/>
      <c r="EH64688"/>
      <c r="EI64688"/>
      <c r="EJ64688"/>
      <c r="EK64688"/>
    </row>
    <row r="64689" spans="1:141" s="116" customFormat="1">
      <c r="A64689" s="136"/>
      <c r="CM64689" s="111"/>
      <c r="CQ64689" s="111"/>
      <c r="EF64689"/>
      <c r="EG64689"/>
      <c r="EH64689"/>
      <c r="EI64689"/>
      <c r="EJ64689"/>
      <c r="EK64689"/>
    </row>
    <row r="64690" spans="1:141" s="116" customFormat="1">
      <c r="A64690" s="136"/>
      <c r="CM64690" s="111"/>
      <c r="CQ64690" s="111"/>
      <c r="EF64690"/>
      <c r="EG64690"/>
      <c r="EH64690"/>
      <c r="EI64690"/>
      <c r="EJ64690"/>
      <c r="EK64690"/>
    </row>
    <row r="64691" spans="1:141" s="116" customFormat="1">
      <c r="A64691" s="136"/>
      <c r="CM64691" s="111"/>
      <c r="CQ64691" s="111"/>
      <c r="EF64691"/>
      <c r="EG64691"/>
      <c r="EH64691"/>
      <c r="EI64691"/>
      <c r="EJ64691"/>
      <c r="EK64691"/>
    </row>
    <row r="64692" spans="1:141" s="116" customFormat="1">
      <c r="A64692" s="136"/>
      <c r="CM64692" s="111"/>
      <c r="CQ64692" s="111"/>
      <c r="EF64692"/>
      <c r="EG64692"/>
      <c r="EH64692"/>
      <c r="EI64692"/>
      <c r="EJ64692"/>
      <c r="EK64692"/>
    </row>
    <row r="64693" spans="1:141" s="116" customFormat="1">
      <c r="A64693" s="136"/>
      <c r="CM64693" s="111"/>
      <c r="CQ64693" s="111"/>
      <c r="EF64693"/>
      <c r="EG64693"/>
      <c r="EH64693"/>
      <c r="EI64693"/>
      <c r="EJ64693"/>
      <c r="EK64693"/>
    </row>
    <row r="64694" spans="1:141" s="116" customFormat="1">
      <c r="A64694" s="136"/>
      <c r="CM64694" s="111"/>
      <c r="CQ64694" s="111"/>
      <c r="EF64694"/>
      <c r="EG64694"/>
      <c r="EH64694"/>
      <c r="EI64694"/>
      <c r="EJ64694"/>
      <c r="EK64694"/>
    </row>
    <row r="64695" spans="1:141" s="116" customFormat="1">
      <c r="A64695" s="136"/>
      <c r="CM64695" s="111"/>
      <c r="CQ64695" s="111"/>
      <c r="EF64695"/>
      <c r="EG64695"/>
      <c r="EH64695"/>
      <c r="EI64695"/>
      <c r="EJ64695"/>
      <c r="EK64695"/>
    </row>
    <row r="64696" spans="1:141" s="116" customFormat="1">
      <c r="A64696" s="136"/>
      <c r="CM64696" s="111"/>
      <c r="CQ64696" s="111"/>
      <c r="EF64696"/>
      <c r="EG64696"/>
      <c r="EH64696"/>
      <c r="EI64696"/>
      <c r="EJ64696"/>
      <c r="EK64696"/>
    </row>
    <row r="64697" spans="1:141" s="116" customFormat="1">
      <c r="A64697" s="136"/>
      <c r="CM64697" s="111"/>
      <c r="CQ64697" s="111"/>
      <c r="EF64697"/>
      <c r="EG64697"/>
      <c r="EH64697"/>
      <c r="EI64697"/>
      <c r="EJ64697"/>
      <c r="EK64697"/>
    </row>
    <row r="64698" spans="1:141" s="116" customFormat="1">
      <c r="A64698" s="136"/>
      <c r="CM64698" s="111"/>
      <c r="CQ64698" s="111"/>
      <c r="EF64698"/>
      <c r="EG64698"/>
      <c r="EH64698"/>
      <c r="EI64698"/>
      <c r="EJ64698"/>
      <c r="EK64698"/>
    </row>
    <row r="64699" spans="1:141" s="116" customFormat="1">
      <c r="A64699" s="136"/>
      <c r="CM64699" s="111"/>
      <c r="CQ64699" s="111"/>
      <c r="EF64699"/>
      <c r="EG64699"/>
      <c r="EH64699"/>
      <c r="EI64699"/>
      <c r="EJ64699"/>
      <c r="EK64699"/>
    </row>
    <row r="64700" spans="1:141" s="116" customFormat="1">
      <c r="A64700" s="136"/>
      <c r="CM64700" s="111"/>
      <c r="CQ64700" s="111"/>
      <c r="EF64700"/>
      <c r="EG64700"/>
      <c r="EH64700"/>
      <c r="EI64700"/>
      <c r="EJ64700"/>
      <c r="EK64700"/>
    </row>
    <row r="64701" spans="1:141" s="116" customFormat="1">
      <c r="A64701" s="136"/>
      <c r="CM64701" s="111"/>
      <c r="CQ64701" s="111"/>
      <c r="EF64701"/>
      <c r="EG64701"/>
      <c r="EH64701"/>
      <c r="EI64701"/>
      <c r="EJ64701"/>
      <c r="EK64701"/>
    </row>
    <row r="64702" spans="1:141" s="116" customFormat="1">
      <c r="A64702" s="136"/>
      <c r="CM64702" s="111"/>
      <c r="CQ64702" s="111"/>
      <c r="EF64702"/>
      <c r="EG64702"/>
      <c r="EH64702"/>
      <c r="EI64702"/>
      <c r="EJ64702"/>
      <c r="EK64702"/>
    </row>
    <row r="64703" spans="1:141" s="116" customFormat="1">
      <c r="A64703" s="136"/>
      <c r="CM64703" s="111"/>
      <c r="CQ64703" s="111"/>
      <c r="EF64703"/>
      <c r="EG64703"/>
      <c r="EH64703"/>
      <c r="EI64703"/>
      <c r="EJ64703"/>
      <c r="EK64703"/>
    </row>
    <row r="64704" spans="1:141" s="116" customFormat="1">
      <c r="A64704" s="136"/>
      <c r="CM64704" s="111"/>
      <c r="CQ64704" s="111"/>
      <c r="EF64704"/>
      <c r="EG64704"/>
      <c r="EH64704"/>
      <c r="EI64704"/>
      <c r="EJ64704"/>
      <c r="EK64704"/>
    </row>
    <row r="64705" spans="1:141" s="116" customFormat="1">
      <c r="A64705" s="136"/>
      <c r="CM64705" s="111"/>
      <c r="CQ64705" s="111"/>
      <c r="EF64705"/>
      <c r="EG64705"/>
      <c r="EH64705"/>
      <c r="EI64705"/>
      <c r="EJ64705"/>
      <c r="EK64705"/>
    </row>
    <row r="64706" spans="1:141" s="116" customFormat="1">
      <c r="A64706" s="136"/>
      <c r="CM64706" s="111"/>
      <c r="CQ64706" s="111"/>
      <c r="EF64706"/>
      <c r="EG64706"/>
      <c r="EH64706"/>
      <c r="EI64706"/>
      <c r="EJ64706"/>
      <c r="EK64706"/>
    </row>
    <row r="64707" spans="1:141" s="116" customFormat="1">
      <c r="A64707" s="136"/>
      <c r="CM64707" s="111"/>
      <c r="CQ64707" s="111"/>
      <c r="EF64707"/>
      <c r="EG64707"/>
      <c r="EH64707"/>
      <c r="EI64707"/>
      <c r="EJ64707"/>
      <c r="EK64707"/>
    </row>
    <row r="64708" spans="1:141" s="116" customFormat="1">
      <c r="A64708" s="136"/>
      <c r="CM64708" s="111"/>
      <c r="CQ64708" s="111"/>
      <c r="EF64708"/>
      <c r="EG64708"/>
      <c r="EH64708"/>
      <c r="EI64708"/>
      <c r="EJ64708"/>
      <c r="EK64708"/>
    </row>
    <row r="64709" spans="1:141" s="116" customFormat="1">
      <c r="A64709" s="136"/>
      <c r="CM64709" s="111"/>
      <c r="CQ64709" s="111"/>
      <c r="EF64709"/>
      <c r="EG64709"/>
      <c r="EH64709"/>
      <c r="EI64709"/>
      <c r="EJ64709"/>
      <c r="EK64709"/>
    </row>
    <row r="64710" spans="1:141" s="116" customFormat="1">
      <c r="A64710" s="136"/>
      <c r="CM64710" s="111"/>
      <c r="CQ64710" s="111"/>
      <c r="EF64710"/>
      <c r="EG64710"/>
      <c r="EH64710"/>
      <c r="EI64710"/>
      <c r="EJ64710"/>
      <c r="EK64710"/>
    </row>
    <row r="64711" spans="1:141" s="116" customFormat="1">
      <c r="A64711" s="136"/>
      <c r="CM64711" s="111"/>
      <c r="CQ64711" s="111"/>
      <c r="EF64711"/>
      <c r="EG64711"/>
      <c r="EH64711"/>
      <c r="EI64711"/>
      <c r="EJ64711"/>
      <c r="EK64711"/>
    </row>
    <row r="64712" spans="1:141" s="116" customFormat="1">
      <c r="A64712" s="136"/>
      <c r="CM64712" s="111"/>
      <c r="CQ64712" s="111"/>
      <c r="EF64712"/>
      <c r="EG64712"/>
      <c r="EH64712"/>
      <c r="EI64712"/>
      <c r="EJ64712"/>
      <c r="EK64712"/>
    </row>
    <row r="64713" spans="1:141" s="116" customFormat="1">
      <c r="A64713" s="136"/>
      <c r="CM64713" s="111"/>
      <c r="CQ64713" s="111"/>
      <c r="EF64713"/>
      <c r="EG64713"/>
      <c r="EH64713"/>
      <c r="EI64713"/>
      <c r="EJ64713"/>
      <c r="EK64713"/>
    </row>
    <row r="64714" spans="1:141" s="116" customFormat="1">
      <c r="A64714" s="136"/>
      <c r="CM64714" s="111"/>
      <c r="CQ64714" s="111"/>
      <c r="EF64714"/>
      <c r="EG64714"/>
      <c r="EH64714"/>
      <c r="EI64714"/>
      <c r="EJ64714"/>
      <c r="EK64714"/>
    </row>
    <row r="64715" spans="1:141" s="116" customFormat="1">
      <c r="A64715" s="136"/>
      <c r="CM64715" s="111"/>
      <c r="CQ64715" s="111"/>
      <c r="EF64715"/>
      <c r="EG64715"/>
      <c r="EH64715"/>
      <c r="EI64715"/>
      <c r="EJ64715"/>
      <c r="EK64715"/>
    </row>
    <row r="64716" spans="1:141" s="116" customFormat="1">
      <c r="A64716" s="136"/>
      <c r="CM64716" s="111"/>
      <c r="CQ64716" s="111"/>
      <c r="EF64716"/>
      <c r="EG64716"/>
      <c r="EH64716"/>
      <c r="EI64716"/>
      <c r="EJ64716"/>
      <c r="EK64716"/>
    </row>
    <row r="64717" spans="1:141" s="116" customFormat="1">
      <c r="A64717" s="136"/>
      <c r="CM64717" s="111"/>
      <c r="CQ64717" s="111"/>
      <c r="EF64717"/>
      <c r="EG64717"/>
      <c r="EH64717"/>
      <c r="EI64717"/>
      <c r="EJ64717"/>
      <c r="EK64717"/>
    </row>
    <row r="64718" spans="1:141" s="116" customFormat="1">
      <c r="A64718" s="136"/>
      <c r="CM64718" s="111"/>
      <c r="CQ64718" s="111"/>
      <c r="EF64718"/>
      <c r="EG64718"/>
      <c r="EH64718"/>
      <c r="EI64718"/>
      <c r="EJ64718"/>
      <c r="EK64718"/>
    </row>
    <row r="64719" spans="1:141" s="116" customFormat="1">
      <c r="A64719" s="136"/>
      <c r="CM64719" s="111"/>
      <c r="CQ64719" s="111"/>
      <c r="EF64719"/>
      <c r="EG64719"/>
      <c r="EH64719"/>
      <c r="EI64719"/>
      <c r="EJ64719"/>
      <c r="EK64719"/>
    </row>
    <row r="64720" spans="1:141" s="116" customFormat="1">
      <c r="A64720" s="136"/>
      <c r="CM64720" s="111"/>
      <c r="CQ64720" s="111"/>
      <c r="EF64720"/>
      <c r="EG64720"/>
      <c r="EH64720"/>
      <c r="EI64720"/>
      <c r="EJ64720"/>
      <c r="EK64720"/>
    </row>
    <row r="64721" spans="1:141" s="116" customFormat="1">
      <c r="A64721" s="136"/>
      <c r="CM64721" s="111"/>
      <c r="CQ64721" s="111"/>
      <c r="EF64721"/>
      <c r="EG64721"/>
      <c r="EH64721"/>
      <c r="EI64721"/>
      <c r="EJ64721"/>
      <c r="EK64721"/>
    </row>
    <row r="64722" spans="1:141" s="116" customFormat="1">
      <c r="A64722" s="136"/>
      <c r="CM64722" s="111"/>
      <c r="CQ64722" s="111"/>
      <c r="EF64722"/>
      <c r="EG64722"/>
      <c r="EH64722"/>
      <c r="EI64722"/>
      <c r="EJ64722"/>
      <c r="EK64722"/>
    </row>
    <row r="64723" spans="1:141" s="116" customFormat="1">
      <c r="A64723" s="136"/>
      <c r="CM64723" s="111"/>
      <c r="CQ64723" s="111"/>
      <c r="EF64723"/>
      <c r="EG64723"/>
      <c r="EH64723"/>
      <c r="EI64723"/>
      <c r="EJ64723"/>
      <c r="EK64723"/>
    </row>
    <row r="64724" spans="1:141" s="116" customFormat="1">
      <c r="A64724" s="136"/>
      <c r="CM64724" s="111"/>
      <c r="CQ64724" s="111"/>
      <c r="EF64724"/>
      <c r="EG64724"/>
      <c r="EH64724"/>
      <c r="EI64724"/>
      <c r="EJ64724"/>
      <c r="EK64724"/>
    </row>
    <row r="64725" spans="1:141" s="116" customFormat="1">
      <c r="A64725" s="136"/>
      <c r="CM64725" s="111"/>
      <c r="CQ64725" s="111"/>
      <c r="EF64725"/>
      <c r="EG64725"/>
      <c r="EH64725"/>
      <c r="EI64725"/>
      <c r="EJ64725"/>
      <c r="EK64725"/>
    </row>
    <row r="64726" spans="1:141" s="116" customFormat="1">
      <c r="A64726" s="136"/>
      <c r="CM64726" s="111"/>
      <c r="CQ64726" s="111"/>
      <c r="EF64726"/>
      <c r="EG64726"/>
      <c r="EH64726"/>
      <c r="EI64726"/>
      <c r="EJ64726"/>
      <c r="EK64726"/>
    </row>
    <row r="64727" spans="1:141" s="116" customFormat="1">
      <c r="A64727" s="136"/>
      <c r="CM64727" s="111"/>
      <c r="CQ64727" s="111"/>
      <c r="EF64727"/>
      <c r="EG64727"/>
      <c r="EH64727"/>
      <c r="EI64727"/>
      <c r="EJ64727"/>
      <c r="EK64727"/>
    </row>
    <row r="64728" spans="1:141" s="116" customFormat="1">
      <c r="A64728" s="136"/>
      <c r="CM64728" s="111"/>
      <c r="CQ64728" s="111"/>
      <c r="EF64728"/>
      <c r="EG64728"/>
      <c r="EH64728"/>
      <c r="EI64728"/>
      <c r="EJ64728"/>
      <c r="EK64728"/>
    </row>
    <row r="64729" spans="1:141" s="116" customFormat="1">
      <c r="A64729" s="136"/>
      <c r="CM64729" s="111"/>
      <c r="CQ64729" s="111"/>
      <c r="EF64729"/>
      <c r="EG64729"/>
      <c r="EH64729"/>
      <c r="EI64729"/>
      <c r="EJ64729"/>
      <c r="EK64729"/>
    </row>
    <row r="64730" spans="1:141" s="116" customFormat="1">
      <c r="A64730" s="136"/>
      <c r="CM64730" s="111"/>
      <c r="CQ64730" s="111"/>
      <c r="EF64730"/>
      <c r="EG64730"/>
      <c r="EH64730"/>
      <c r="EI64730"/>
      <c r="EJ64730"/>
      <c r="EK64730"/>
    </row>
    <row r="64731" spans="1:141" s="116" customFormat="1">
      <c r="A64731" s="136"/>
      <c r="CM64731" s="111"/>
      <c r="CQ64731" s="111"/>
      <c r="EF64731"/>
      <c r="EG64731"/>
      <c r="EH64731"/>
      <c r="EI64731"/>
      <c r="EJ64731"/>
      <c r="EK64731"/>
    </row>
    <row r="64732" spans="1:141" s="116" customFormat="1">
      <c r="A64732" s="136"/>
      <c r="CM64732" s="111"/>
      <c r="CQ64732" s="111"/>
      <c r="EF64732"/>
      <c r="EG64732"/>
      <c r="EH64732"/>
      <c r="EI64732"/>
      <c r="EJ64732"/>
      <c r="EK64732"/>
    </row>
    <row r="64733" spans="1:141" s="116" customFormat="1">
      <c r="A64733" s="136"/>
      <c r="CM64733" s="111"/>
      <c r="CQ64733" s="111"/>
      <c r="EF64733"/>
      <c r="EG64733"/>
      <c r="EH64733"/>
      <c r="EI64733"/>
      <c r="EJ64733"/>
      <c r="EK64733"/>
    </row>
    <row r="64734" spans="1:141" s="116" customFormat="1">
      <c r="A64734" s="136"/>
      <c r="CM64734" s="111"/>
      <c r="CQ64734" s="111"/>
      <c r="EF64734"/>
      <c r="EG64734"/>
      <c r="EH64734"/>
      <c r="EI64734"/>
      <c r="EJ64734"/>
      <c r="EK64734"/>
    </row>
    <row r="64735" spans="1:141" s="116" customFormat="1">
      <c r="A64735" s="136"/>
      <c r="CM64735" s="111"/>
      <c r="CQ64735" s="111"/>
      <c r="EF64735"/>
      <c r="EG64735"/>
      <c r="EH64735"/>
      <c r="EI64735"/>
      <c r="EJ64735"/>
      <c r="EK64735"/>
    </row>
    <row r="64736" spans="1:141" s="116" customFormat="1">
      <c r="A64736" s="136"/>
      <c r="CM64736" s="111"/>
      <c r="CQ64736" s="111"/>
      <c r="EF64736"/>
      <c r="EG64736"/>
      <c r="EH64736"/>
      <c r="EI64736"/>
      <c r="EJ64736"/>
      <c r="EK64736"/>
    </row>
    <row r="64737" spans="1:141" s="116" customFormat="1">
      <c r="A64737" s="136"/>
      <c r="CM64737" s="111"/>
      <c r="CQ64737" s="111"/>
      <c r="EF64737"/>
      <c r="EG64737"/>
      <c r="EH64737"/>
      <c r="EI64737"/>
      <c r="EJ64737"/>
      <c r="EK64737"/>
    </row>
    <row r="64738" spans="1:141" s="116" customFormat="1">
      <c r="A64738" s="136"/>
      <c r="CM64738" s="111"/>
      <c r="CQ64738" s="111"/>
      <c r="EF64738"/>
      <c r="EG64738"/>
      <c r="EH64738"/>
      <c r="EI64738"/>
      <c r="EJ64738"/>
      <c r="EK64738"/>
    </row>
    <row r="64739" spans="1:141" s="116" customFormat="1">
      <c r="A64739" s="136"/>
      <c r="CM64739" s="111"/>
      <c r="CQ64739" s="111"/>
      <c r="EF64739"/>
      <c r="EG64739"/>
      <c r="EH64739"/>
      <c r="EI64739"/>
      <c r="EJ64739"/>
      <c r="EK64739"/>
    </row>
    <row r="64740" spans="1:141" s="116" customFormat="1">
      <c r="A64740" s="136"/>
      <c r="CM64740" s="111"/>
      <c r="CQ64740" s="111"/>
      <c r="EF64740"/>
      <c r="EG64740"/>
      <c r="EH64740"/>
      <c r="EI64740"/>
      <c r="EJ64740"/>
      <c r="EK64740"/>
    </row>
    <row r="64741" spans="1:141" s="116" customFormat="1">
      <c r="A64741" s="136"/>
      <c r="CM64741" s="111"/>
      <c r="CQ64741" s="111"/>
      <c r="EF64741"/>
      <c r="EG64741"/>
      <c r="EH64741"/>
      <c r="EI64741"/>
      <c r="EJ64741"/>
      <c r="EK64741"/>
    </row>
    <row r="64742" spans="1:141" s="116" customFormat="1">
      <c r="A64742" s="136"/>
      <c r="CM64742" s="111"/>
      <c r="CQ64742" s="111"/>
      <c r="EF64742"/>
      <c r="EG64742"/>
      <c r="EH64742"/>
      <c r="EI64742"/>
      <c r="EJ64742"/>
      <c r="EK64742"/>
    </row>
    <row r="64743" spans="1:141" s="116" customFormat="1">
      <c r="A64743" s="136"/>
      <c r="CM64743" s="111"/>
      <c r="CQ64743" s="111"/>
      <c r="EF64743"/>
      <c r="EG64743"/>
      <c r="EH64743"/>
      <c r="EI64743"/>
      <c r="EJ64743"/>
      <c r="EK64743"/>
    </row>
    <row r="64744" spans="1:141" s="116" customFormat="1">
      <c r="A64744" s="136"/>
      <c r="CM64744" s="111"/>
      <c r="CQ64744" s="111"/>
      <c r="EF64744"/>
      <c r="EG64744"/>
      <c r="EH64744"/>
      <c r="EI64744"/>
      <c r="EJ64744"/>
      <c r="EK64744"/>
    </row>
    <row r="64745" spans="1:141" s="116" customFormat="1">
      <c r="A64745" s="136"/>
      <c r="CM64745" s="111"/>
      <c r="CQ64745" s="111"/>
      <c r="EF64745"/>
      <c r="EG64745"/>
      <c r="EH64745"/>
      <c r="EI64745"/>
      <c r="EJ64745"/>
      <c r="EK64745"/>
    </row>
    <row r="64746" spans="1:141" s="116" customFormat="1">
      <c r="A64746" s="136"/>
      <c r="CM64746" s="111"/>
      <c r="CQ64746" s="111"/>
      <c r="EF64746"/>
      <c r="EG64746"/>
      <c r="EH64746"/>
      <c r="EI64746"/>
      <c r="EJ64746"/>
      <c r="EK64746"/>
    </row>
    <row r="64747" spans="1:141" s="116" customFormat="1">
      <c r="A64747" s="136"/>
      <c r="CM64747" s="111"/>
      <c r="CQ64747" s="111"/>
      <c r="EF64747"/>
      <c r="EG64747"/>
      <c r="EH64747"/>
      <c r="EI64747"/>
      <c r="EJ64747"/>
      <c r="EK64747"/>
    </row>
    <row r="64748" spans="1:141" s="116" customFormat="1">
      <c r="A64748" s="136"/>
      <c r="CM64748" s="111"/>
      <c r="CQ64748" s="111"/>
      <c r="EF64748"/>
      <c r="EG64748"/>
      <c r="EH64748"/>
      <c r="EI64748"/>
      <c r="EJ64748"/>
      <c r="EK64748"/>
    </row>
    <row r="64749" spans="1:141" s="116" customFormat="1">
      <c r="A64749" s="136"/>
      <c r="CM64749" s="111"/>
      <c r="CQ64749" s="111"/>
      <c r="EF64749"/>
      <c r="EG64749"/>
      <c r="EH64749"/>
      <c r="EI64749"/>
      <c r="EJ64749"/>
      <c r="EK64749"/>
    </row>
    <row r="64750" spans="1:141" s="116" customFormat="1">
      <c r="A64750" s="136"/>
      <c r="CM64750" s="111"/>
      <c r="CQ64750" s="111"/>
      <c r="EF64750"/>
      <c r="EG64750"/>
      <c r="EH64750"/>
      <c r="EI64750"/>
      <c r="EJ64750"/>
      <c r="EK64750"/>
    </row>
    <row r="64751" spans="1:141" s="116" customFormat="1">
      <c r="A64751" s="136"/>
      <c r="CM64751" s="111"/>
      <c r="CQ64751" s="111"/>
      <c r="EF64751"/>
      <c r="EG64751"/>
      <c r="EH64751"/>
      <c r="EI64751"/>
      <c r="EJ64751"/>
      <c r="EK64751"/>
    </row>
    <row r="64752" spans="1:141" s="116" customFormat="1">
      <c r="A64752" s="136"/>
      <c r="CM64752" s="111"/>
      <c r="CQ64752" s="111"/>
      <c r="EF64752"/>
      <c r="EG64752"/>
      <c r="EH64752"/>
      <c r="EI64752"/>
      <c r="EJ64752"/>
      <c r="EK64752"/>
    </row>
    <row r="64753" spans="1:141" s="116" customFormat="1">
      <c r="A64753" s="136"/>
      <c r="CM64753" s="111"/>
      <c r="CQ64753" s="111"/>
      <c r="EF64753"/>
      <c r="EG64753"/>
      <c r="EH64753"/>
      <c r="EI64753"/>
      <c r="EJ64753"/>
      <c r="EK64753"/>
    </row>
    <row r="64754" spans="1:141" s="116" customFormat="1">
      <c r="A64754" s="136"/>
      <c r="CM64754" s="111"/>
      <c r="CQ64754" s="111"/>
      <c r="EF64754"/>
      <c r="EG64754"/>
      <c r="EH64754"/>
      <c r="EI64754"/>
      <c r="EJ64754"/>
      <c r="EK64754"/>
    </row>
    <row r="64755" spans="1:141" s="116" customFormat="1">
      <c r="A64755" s="136"/>
      <c r="CM64755" s="111"/>
      <c r="CQ64755" s="111"/>
      <c r="EF64755"/>
      <c r="EG64755"/>
      <c r="EH64755"/>
      <c r="EI64755"/>
      <c r="EJ64755"/>
      <c r="EK64755"/>
    </row>
    <row r="64756" spans="1:141" s="116" customFormat="1">
      <c r="A64756" s="136"/>
      <c r="CM64756" s="111"/>
      <c r="CQ64756" s="111"/>
      <c r="EF64756"/>
      <c r="EG64756"/>
      <c r="EH64756"/>
      <c r="EI64756"/>
      <c r="EJ64756"/>
      <c r="EK64756"/>
    </row>
    <row r="64757" spans="1:141" s="116" customFormat="1">
      <c r="A64757" s="136"/>
      <c r="CM64757" s="111"/>
      <c r="CQ64757" s="111"/>
      <c r="EF64757"/>
      <c r="EG64757"/>
      <c r="EH64757"/>
      <c r="EI64757"/>
      <c r="EJ64757"/>
      <c r="EK64757"/>
    </row>
    <row r="64758" spans="1:141" s="116" customFormat="1">
      <c r="A64758" s="136"/>
      <c r="CM64758" s="111"/>
      <c r="CQ64758" s="111"/>
      <c r="EF64758"/>
      <c r="EG64758"/>
      <c r="EH64758"/>
      <c r="EI64758"/>
      <c r="EJ64758"/>
      <c r="EK64758"/>
    </row>
    <row r="64759" spans="1:141" s="116" customFormat="1">
      <c r="A64759" s="136"/>
      <c r="CM64759" s="111"/>
      <c r="CQ64759" s="111"/>
      <c r="EF64759"/>
      <c r="EG64759"/>
      <c r="EH64759"/>
      <c r="EI64759"/>
      <c r="EJ64759"/>
      <c r="EK64759"/>
    </row>
    <row r="64760" spans="1:141" s="116" customFormat="1">
      <c r="A64760" s="136"/>
      <c r="CM64760" s="111"/>
      <c r="CQ64760" s="111"/>
      <c r="EF64760"/>
      <c r="EG64760"/>
      <c r="EH64760"/>
      <c r="EI64760"/>
      <c r="EJ64760"/>
      <c r="EK64760"/>
    </row>
    <row r="64761" spans="1:141" s="116" customFormat="1">
      <c r="A64761" s="136"/>
      <c r="CM64761" s="111"/>
      <c r="CQ64761" s="111"/>
      <c r="EF64761"/>
      <c r="EG64761"/>
      <c r="EH64761"/>
      <c r="EI64761"/>
      <c r="EJ64761"/>
      <c r="EK64761"/>
    </row>
    <row r="64762" spans="1:141" s="116" customFormat="1">
      <c r="A64762" s="136"/>
      <c r="CM64762" s="111"/>
      <c r="CQ64762" s="111"/>
      <c r="EF64762"/>
      <c r="EG64762"/>
      <c r="EH64762"/>
      <c r="EI64762"/>
      <c r="EJ64762"/>
      <c r="EK64762"/>
    </row>
    <row r="64763" spans="1:141" s="116" customFormat="1">
      <c r="A64763" s="136"/>
      <c r="CM64763" s="111"/>
      <c r="CQ64763" s="111"/>
      <c r="EF64763"/>
      <c r="EG64763"/>
      <c r="EH64763"/>
      <c r="EI64763"/>
      <c r="EJ64763"/>
      <c r="EK64763"/>
    </row>
    <row r="64764" spans="1:141" s="116" customFormat="1">
      <c r="A64764" s="136"/>
      <c r="CM64764" s="111"/>
      <c r="CQ64764" s="111"/>
      <c r="EF64764"/>
      <c r="EG64764"/>
      <c r="EH64764"/>
      <c r="EI64764"/>
      <c r="EJ64764"/>
      <c r="EK64764"/>
    </row>
    <row r="64765" spans="1:141" s="116" customFormat="1">
      <c r="A64765" s="136"/>
      <c r="CM64765" s="111"/>
      <c r="CQ64765" s="111"/>
      <c r="EF64765"/>
      <c r="EG64765"/>
      <c r="EH64765"/>
      <c r="EI64765"/>
      <c r="EJ64765"/>
      <c r="EK64765"/>
    </row>
    <row r="64766" spans="1:141" s="116" customFormat="1">
      <c r="A64766" s="136"/>
      <c r="CM64766" s="111"/>
      <c r="CQ64766" s="111"/>
      <c r="EF64766"/>
      <c r="EG64766"/>
      <c r="EH64766"/>
      <c r="EI64766"/>
      <c r="EJ64766"/>
      <c r="EK64766"/>
    </row>
    <row r="64767" spans="1:141" s="116" customFormat="1">
      <c r="A64767" s="136"/>
      <c r="CM64767" s="111"/>
      <c r="CQ64767" s="111"/>
      <c r="EF64767"/>
      <c r="EG64767"/>
      <c r="EH64767"/>
      <c r="EI64767"/>
      <c r="EJ64767"/>
      <c r="EK64767"/>
    </row>
    <row r="64768" spans="1:141" s="116" customFormat="1">
      <c r="A64768" s="136"/>
      <c r="CM64768" s="111"/>
      <c r="CQ64768" s="111"/>
      <c r="EF64768"/>
      <c r="EG64768"/>
      <c r="EH64768"/>
      <c r="EI64768"/>
      <c r="EJ64768"/>
      <c r="EK64768"/>
    </row>
    <row r="64769" spans="1:141" s="116" customFormat="1">
      <c r="A64769" s="136"/>
      <c r="CM64769" s="111"/>
      <c r="CQ64769" s="111"/>
      <c r="EF64769"/>
      <c r="EG64769"/>
      <c r="EH64769"/>
      <c r="EI64769"/>
      <c r="EJ64769"/>
      <c r="EK64769"/>
    </row>
    <row r="64770" spans="1:141" s="116" customFormat="1">
      <c r="A64770" s="136"/>
      <c r="CM64770" s="111"/>
      <c r="CQ64770" s="111"/>
      <c r="EF64770"/>
      <c r="EG64770"/>
      <c r="EH64770"/>
      <c r="EI64770"/>
      <c r="EJ64770"/>
      <c r="EK64770"/>
    </row>
    <row r="64771" spans="1:141" s="116" customFormat="1">
      <c r="A64771" s="136"/>
      <c r="CM64771" s="111"/>
      <c r="CQ64771" s="111"/>
      <c r="EF64771"/>
      <c r="EG64771"/>
      <c r="EH64771"/>
      <c r="EI64771"/>
      <c r="EJ64771"/>
      <c r="EK64771"/>
    </row>
    <row r="64772" spans="1:141" s="116" customFormat="1">
      <c r="A64772" s="136"/>
      <c r="CM64772" s="111"/>
      <c r="CQ64772" s="111"/>
      <c r="EF64772"/>
      <c r="EG64772"/>
      <c r="EH64772"/>
      <c r="EI64772"/>
      <c r="EJ64772"/>
      <c r="EK64772"/>
    </row>
    <row r="64773" spans="1:141" s="116" customFormat="1">
      <c r="A64773" s="136"/>
      <c r="CM64773" s="111"/>
      <c r="CQ64773" s="111"/>
      <c r="EF64773"/>
      <c r="EG64773"/>
      <c r="EH64773"/>
      <c r="EI64773"/>
      <c r="EJ64773"/>
      <c r="EK64773"/>
    </row>
    <row r="64774" spans="1:141" s="116" customFormat="1">
      <c r="A64774" s="136"/>
      <c r="CM64774" s="111"/>
      <c r="CQ64774" s="111"/>
      <c r="EF64774"/>
      <c r="EG64774"/>
      <c r="EH64774"/>
      <c r="EI64774"/>
      <c r="EJ64774"/>
      <c r="EK64774"/>
    </row>
    <row r="64775" spans="1:141" s="116" customFormat="1">
      <c r="A64775" s="136"/>
      <c r="CM64775" s="111"/>
      <c r="CQ64775" s="111"/>
      <c r="EF64775"/>
      <c r="EG64775"/>
      <c r="EH64775"/>
      <c r="EI64775"/>
      <c r="EJ64775"/>
      <c r="EK64775"/>
    </row>
    <row r="64776" spans="1:141" s="116" customFormat="1">
      <c r="A64776" s="136"/>
      <c r="CM64776" s="111"/>
      <c r="CQ64776" s="111"/>
      <c r="EF64776"/>
      <c r="EG64776"/>
      <c r="EH64776"/>
      <c r="EI64776"/>
      <c r="EJ64776"/>
      <c r="EK64776"/>
    </row>
    <row r="64777" spans="1:141" s="116" customFormat="1">
      <c r="A64777" s="136"/>
      <c r="CM64777" s="111"/>
      <c r="CQ64777" s="111"/>
      <c r="EF64777"/>
      <c r="EG64777"/>
      <c r="EH64777"/>
      <c r="EI64777"/>
      <c r="EJ64777"/>
      <c r="EK64777"/>
    </row>
    <row r="64778" spans="1:141" s="116" customFormat="1">
      <c r="A64778" s="136"/>
      <c r="CM64778" s="111"/>
      <c r="CQ64778" s="111"/>
      <c r="EF64778"/>
      <c r="EG64778"/>
      <c r="EH64778"/>
      <c r="EI64778"/>
      <c r="EJ64778"/>
      <c r="EK64778"/>
    </row>
    <row r="64779" spans="1:141" s="116" customFormat="1">
      <c r="A64779" s="136"/>
      <c r="CM64779" s="111"/>
      <c r="CQ64779" s="111"/>
      <c r="EF64779"/>
      <c r="EG64779"/>
      <c r="EH64779"/>
      <c r="EI64779"/>
      <c r="EJ64779"/>
      <c r="EK64779"/>
    </row>
    <row r="64780" spans="1:141" s="116" customFormat="1">
      <c r="A64780" s="136"/>
      <c r="CM64780" s="111"/>
      <c r="CQ64780" s="111"/>
      <c r="EF64780"/>
      <c r="EG64780"/>
      <c r="EH64780"/>
      <c r="EI64780"/>
      <c r="EJ64780"/>
      <c r="EK64780"/>
    </row>
    <row r="64781" spans="1:141" s="116" customFormat="1">
      <c r="A64781" s="136"/>
      <c r="CM64781" s="111"/>
      <c r="CQ64781" s="111"/>
      <c r="EF64781"/>
      <c r="EG64781"/>
      <c r="EH64781"/>
      <c r="EI64781"/>
      <c r="EJ64781"/>
      <c r="EK64781"/>
    </row>
    <row r="64782" spans="1:141" s="116" customFormat="1">
      <c r="A64782" s="136"/>
      <c r="CM64782" s="111"/>
      <c r="CQ64782" s="111"/>
      <c r="EF64782"/>
      <c r="EG64782"/>
      <c r="EH64782"/>
      <c r="EI64782"/>
      <c r="EJ64782"/>
      <c r="EK64782"/>
    </row>
    <row r="64783" spans="1:141" s="116" customFormat="1">
      <c r="A64783" s="136"/>
      <c r="CM64783" s="111"/>
      <c r="CQ64783" s="111"/>
      <c r="EF64783"/>
      <c r="EG64783"/>
      <c r="EH64783"/>
      <c r="EI64783"/>
      <c r="EJ64783"/>
      <c r="EK64783"/>
    </row>
    <row r="64784" spans="1:141" s="116" customFormat="1">
      <c r="A64784" s="136"/>
      <c r="CM64784" s="111"/>
      <c r="CQ64784" s="111"/>
      <c r="EF64784"/>
      <c r="EG64784"/>
      <c r="EH64784"/>
      <c r="EI64784"/>
      <c r="EJ64784"/>
      <c r="EK64784"/>
    </row>
    <row r="64785" spans="1:141" s="116" customFormat="1">
      <c r="A64785" s="136"/>
      <c r="CM64785" s="111"/>
      <c r="CQ64785" s="111"/>
      <c r="EF64785"/>
      <c r="EG64785"/>
      <c r="EH64785"/>
      <c r="EI64785"/>
      <c r="EJ64785"/>
      <c r="EK64785"/>
    </row>
    <row r="64786" spans="1:141" s="116" customFormat="1">
      <c r="A64786" s="136"/>
      <c r="CM64786" s="111"/>
      <c r="CQ64786" s="111"/>
      <c r="EF64786"/>
      <c r="EG64786"/>
      <c r="EH64786"/>
      <c r="EI64786"/>
      <c r="EJ64786"/>
      <c r="EK64786"/>
    </row>
    <row r="64787" spans="1:141" s="116" customFormat="1">
      <c r="A64787" s="136"/>
      <c r="CM64787" s="111"/>
      <c r="CQ64787" s="111"/>
      <c r="EF64787"/>
      <c r="EG64787"/>
      <c r="EH64787"/>
      <c r="EI64787"/>
      <c r="EJ64787"/>
      <c r="EK64787"/>
    </row>
    <row r="64788" spans="1:141" s="116" customFormat="1">
      <c r="A64788" s="136"/>
      <c r="CM64788" s="111"/>
      <c r="CQ64788" s="111"/>
      <c r="EF64788"/>
      <c r="EG64788"/>
      <c r="EH64788"/>
      <c r="EI64788"/>
      <c r="EJ64788"/>
      <c r="EK64788"/>
    </row>
    <row r="64789" spans="1:141" s="116" customFormat="1">
      <c r="A64789" s="136"/>
      <c r="CM64789" s="111"/>
      <c r="CQ64789" s="111"/>
      <c r="EF64789"/>
      <c r="EG64789"/>
      <c r="EH64789"/>
      <c r="EI64789"/>
      <c r="EJ64789"/>
      <c r="EK64789"/>
    </row>
    <row r="64790" spans="1:141" s="116" customFormat="1">
      <c r="A64790" s="136"/>
      <c r="CM64790" s="111"/>
      <c r="CQ64790" s="111"/>
      <c r="EF64790"/>
      <c r="EG64790"/>
      <c r="EH64790"/>
      <c r="EI64790"/>
      <c r="EJ64790"/>
      <c r="EK64790"/>
    </row>
    <row r="64791" spans="1:141" s="116" customFormat="1">
      <c r="A64791" s="136"/>
      <c r="CM64791" s="111"/>
      <c r="CQ64791" s="111"/>
      <c r="EF64791"/>
      <c r="EG64791"/>
      <c r="EH64791"/>
      <c r="EI64791"/>
      <c r="EJ64791"/>
      <c r="EK64791"/>
    </row>
    <row r="64792" spans="1:141" s="116" customFormat="1">
      <c r="A64792" s="136"/>
      <c r="CM64792" s="111"/>
      <c r="CQ64792" s="111"/>
      <c r="EF64792"/>
      <c r="EG64792"/>
      <c r="EH64792"/>
      <c r="EI64792"/>
      <c r="EJ64792"/>
      <c r="EK64792"/>
    </row>
    <row r="64793" spans="1:141" s="116" customFormat="1">
      <c r="A64793" s="136"/>
      <c r="CM64793" s="111"/>
      <c r="CQ64793" s="111"/>
      <c r="EF64793"/>
      <c r="EG64793"/>
      <c r="EH64793"/>
      <c r="EI64793"/>
      <c r="EJ64793"/>
      <c r="EK64793"/>
    </row>
    <row r="64794" spans="1:141" s="116" customFormat="1">
      <c r="A64794" s="136"/>
      <c r="CM64794" s="111"/>
      <c r="CQ64794" s="111"/>
      <c r="EF64794"/>
      <c r="EG64794"/>
      <c r="EH64794"/>
      <c r="EI64794"/>
      <c r="EJ64794"/>
      <c r="EK64794"/>
    </row>
    <row r="64795" spans="1:141" s="116" customFormat="1">
      <c r="A64795" s="136"/>
      <c r="CM64795" s="111"/>
      <c r="CQ64795" s="111"/>
      <c r="EF64795"/>
      <c r="EG64795"/>
      <c r="EH64795"/>
      <c r="EI64795"/>
      <c r="EJ64795"/>
      <c r="EK64795"/>
    </row>
    <row r="64796" spans="1:141" s="116" customFormat="1">
      <c r="A64796" s="136"/>
      <c r="CM64796" s="111"/>
      <c r="CQ64796" s="111"/>
      <c r="EF64796"/>
      <c r="EG64796"/>
      <c r="EH64796"/>
      <c r="EI64796"/>
      <c r="EJ64796"/>
      <c r="EK64796"/>
    </row>
    <row r="64797" spans="1:141" s="116" customFormat="1">
      <c r="A64797" s="136"/>
      <c r="CM64797" s="111"/>
      <c r="CQ64797" s="111"/>
      <c r="EF64797"/>
      <c r="EG64797"/>
      <c r="EH64797"/>
      <c r="EI64797"/>
      <c r="EJ64797"/>
      <c r="EK64797"/>
    </row>
    <row r="64798" spans="1:141" s="116" customFormat="1">
      <c r="A64798" s="136"/>
      <c r="CM64798" s="111"/>
      <c r="CQ64798" s="111"/>
      <c r="EF64798"/>
      <c r="EG64798"/>
      <c r="EH64798"/>
      <c r="EI64798"/>
      <c r="EJ64798"/>
      <c r="EK64798"/>
    </row>
    <row r="64799" spans="1:141" s="116" customFormat="1">
      <c r="A64799" s="136"/>
      <c r="CM64799" s="111"/>
      <c r="CQ64799" s="111"/>
      <c r="EF64799"/>
      <c r="EG64799"/>
      <c r="EH64799"/>
      <c r="EI64799"/>
      <c r="EJ64799"/>
      <c r="EK64799"/>
    </row>
    <row r="64800" spans="1:141" s="116" customFormat="1">
      <c r="A64800" s="136"/>
      <c r="CM64800" s="111"/>
      <c r="CQ64800" s="111"/>
      <c r="EF64800"/>
      <c r="EG64800"/>
      <c r="EH64800"/>
      <c r="EI64800"/>
      <c r="EJ64800"/>
      <c r="EK64800"/>
    </row>
    <row r="64801" spans="1:141" s="116" customFormat="1">
      <c r="A64801" s="136"/>
      <c r="CM64801" s="111"/>
      <c r="CQ64801" s="111"/>
      <c r="EF64801"/>
      <c r="EG64801"/>
      <c r="EH64801"/>
      <c r="EI64801"/>
      <c r="EJ64801"/>
      <c r="EK64801"/>
    </row>
    <row r="64802" spans="1:141" s="116" customFormat="1">
      <c r="A64802" s="136"/>
      <c r="CM64802" s="111"/>
      <c r="CQ64802" s="111"/>
      <c r="EF64802"/>
      <c r="EG64802"/>
      <c r="EH64802"/>
      <c r="EI64802"/>
      <c r="EJ64802"/>
      <c r="EK64802"/>
    </row>
    <row r="64803" spans="1:141" s="116" customFormat="1">
      <c r="A64803" s="136"/>
      <c r="CM64803" s="111"/>
      <c r="CQ64803" s="111"/>
      <c r="EF64803"/>
      <c r="EG64803"/>
      <c r="EH64803"/>
      <c r="EI64803"/>
      <c r="EJ64803"/>
      <c r="EK64803"/>
    </row>
    <row r="64804" spans="1:141" s="116" customFormat="1">
      <c r="A64804" s="136"/>
      <c r="CM64804" s="111"/>
      <c r="CQ64804" s="111"/>
      <c r="EF64804"/>
      <c r="EG64804"/>
      <c r="EH64804"/>
      <c r="EI64804"/>
      <c r="EJ64804"/>
      <c r="EK64804"/>
    </row>
    <row r="64805" spans="1:141" s="116" customFormat="1">
      <c r="A64805" s="136"/>
      <c r="CM64805" s="111"/>
      <c r="CQ64805" s="111"/>
      <c r="EF64805"/>
      <c r="EG64805"/>
      <c r="EH64805"/>
      <c r="EI64805"/>
      <c r="EJ64805"/>
      <c r="EK64805"/>
    </row>
    <row r="64806" spans="1:141" s="116" customFormat="1">
      <c r="A64806" s="136"/>
      <c r="CM64806" s="111"/>
      <c r="CQ64806" s="111"/>
      <c r="EF64806"/>
      <c r="EG64806"/>
      <c r="EH64806"/>
      <c r="EI64806"/>
      <c r="EJ64806"/>
      <c r="EK64806"/>
    </row>
    <row r="64807" spans="1:141" s="116" customFormat="1">
      <c r="A64807" s="136"/>
      <c r="CM64807" s="111"/>
      <c r="CQ64807" s="111"/>
      <c r="EF64807"/>
      <c r="EG64807"/>
      <c r="EH64807"/>
      <c r="EI64807"/>
      <c r="EJ64807"/>
      <c r="EK64807"/>
    </row>
    <row r="64808" spans="1:141" s="116" customFormat="1">
      <c r="A64808" s="136"/>
      <c r="CM64808" s="111"/>
      <c r="CQ64808" s="111"/>
      <c r="EF64808"/>
      <c r="EG64808"/>
      <c r="EH64808"/>
      <c r="EI64808"/>
      <c r="EJ64808"/>
      <c r="EK64808"/>
    </row>
    <row r="64809" spans="1:141" s="116" customFormat="1">
      <c r="A64809" s="136"/>
      <c r="CM64809" s="111"/>
      <c r="CQ64809" s="111"/>
      <c r="EF64809"/>
      <c r="EG64809"/>
      <c r="EH64809"/>
      <c r="EI64809"/>
      <c r="EJ64809"/>
      <c r="EK64809"/>
    </row>
    <row r="64810" spans="1:141" s="116" customFormat="1">
      <c r="A64810" s="136"/>
      <c r="CM64810" s="111"/>
      <c r="CQ64810" s="111"/>
      <c r="EF64810"/>
      <c r="EG64810"/>
      <c r="EH64810"/>
      <c r="EI64810"/>
      <c r="EJ64810"/>
      <c r="EK64810"/>
    </row>
    <row r="64811" spans="1:141" s="116" customFormat="1">
      <c r="A64811" s="136"/>
      <c r="CM64811" s="111"/>
      <c r="CQ64811" s="111"/>
      <c r="EF64811"/>
      <c r="EG64811"/>
      <c r="EH64811"/>
      <c r="EI64811"/>
      <c r="EJ64811"/>
      <c r="EK64811"/>
    </row>
    <row r="64812" spans="1:141" s="116" customFormat="1">
      <c r="A64812" s="136"/>
      <c r="CM64812" s="111"/>
      <c r="CQ64812" s="111"/>
      <c r="EF64812"/>
      <c r="EG64812"/>
      <c r="EH64812"/>
      <c r="EI64812"/>
      <c r="EJ64812"/>
      <c r="EK64812"/>
    </row>
    <row r="64813" spans="1:141" s="116" customFormat="1">
      <c r="A64813" s="136"/>
      <c r="CM64813" s="111"/>
      <c r="CQ64813" s="111"/>
      <c r="EF64813"/>
      <c r="EG64813"/>
      <c r="EH64813"/>
      <c r="EI64813"/>
      <c r="EJ64813"/>
      <c r="EK64813"/>
    </row>
    <row r="64814" spans="1:141" s="116" customFormat="1">
      <c r="A64814" s="136"/>
      <c r="CM64814" s="111"/>
      <c r="CQ64814" s="111"/>
      <c r="EF64814"/>
      <c r="EG64814"/>
      <c r="EH64814"/>
      <c r="EI64814"/>
      <c r="EJ64814"/>
      <c r="EK64814"/>
    </row>
    <row r="64815" spans="1:141" s="116" customFormat="1">
      <c r="A64815" s="136"/>
      <c r="CM64815" s="111"/>
      <c r="CQ64815" s="111"/>
      <c r="EF64815"/>
      <c r="EG64815"/>
      <c r="EH64815"/>
      <c r="EI64815"/>
      <c r="EJ64815"/>
      <c r="EK64815"/>
    </row>
    <row r="64816" spans="1:141" s="116" customFormat="1">
      <c r="A64816" s="136"/>
      <c r="CM64816" s="111"/>
      <c r="CQ64816" s="111"/>
      <c r="EF64816"/>
      <c r="EG64816"/>
      <c r="EH64816"/>
      <c r="EI64816"/>
      <c r="EJ64816"/>
      <c r="EK64816"/>
    </row>
    <row r="64817" spans="1:141" s="116" customFormat="1">
      <c r="A64817" s="136"/>
      <c r="CM64817" s="111"/>
      <c r="CQ64817" s="111"/>
      <c r="EF64817"/>
      <c r="EG64817"/>
      <c r="EH64817"/>
      <c r="EI64817"/>
      <c r="EJ64817"/>
      <c r="EK64817"/>
    </row>
    <row r="64818" spans="1:141" s="116" customFormat="1">
      <c r="A64818" s="136"/>
      <c r="CM64818" s="111"/>
      <c r="CQ64818" s="111"/>
      <c r="EF64818"/>
      <c r="EG64818"/>
      <c r="EH64818"/>
      <c r="EI64818"/>
      <c r="EJ64818"/>
      <c r="EK64818"/>
    </row>
    <row r="64819" spans="1:141" s="116" customFormat="1">
      <c r="A64819" s="136"/>
      <c r="CM64819" s="111"/>
      <c r="CQ64819" s="111"/>
      <c r="EF64819"/>
      <c r="EG64819"/>
      <c r="EH64819"/>
      <c r="EI64819"/>
      <c r="EJ64819"/>
      <c r="EK64819"/>
    </row>
    <row r="64820" spans="1:141" s="116" customFormat="1">
      <c r="A64820" s="136"/>
      <c r="CM64820" s="111"/>
      <c r="CQ64820" s="111"/>
      <c r="EF64820"/>
      <c r="EG64820"/>
      <c r="EH64820"/>
      <c r="EI64820"/>
      <c r="EJ64820"/>
      <c r="EK64820"/>
    </row>
    <row r="64821" spans="1:141" s="116" customFormat="1">
      <c r="A64821" s="136"/>
      <c r="CM64821" s="111"/>
      <c r="CQ64821" s="111"/>
      <c r="EF64821"/>
      <c r="EG64821"/>
      <c r="EH64821"/>
      <c r="EI64821"/>
      <c r="EJ64821"/>
      <c r="EK64821"/>
    </row>
    <row r="64822" spans="1:141" s="116" customFormat="1">
      <c r="A64822" s="136"/>
      <c r="CM64822" s="111"/>
      <c r="CQ64822" s="111"/>
      <c r="EF64822"/>
      <c r="EG64822"/>
      <c r="EH64822"/>
      <c r="EI64822"/>
      <c r="EJ64822"/>
      <c r="EK64822"/>
    </row>
    <row r="64823" spans="1:141" s="116" customFormat="1">
      <c r="A64823" s="136"/>
      <c r="CM64823" s="111"/>
      <c r="CQ64823" s="111"/>
      <c r="EF64823"/>
      <c r="EG64823"/>
      <c r="EH64823"/>
      <c r="EI64823"/>
      <c r="EJ64823"/>
      <c r="EK64823"/>
    </row>
    <row r="64824" spans="1:141" s="116" customFormat="1">
      <c r="A64824" s="136"/>
      <c r="CM64824" s="111"/>
      <c r="CQ64824" s="111"/>
      <c r="EF64824"/>
      <c r="EG64824"/>
      <c r="EH64824"/>
      <c r="EI64824"/>
      <c r="EJ64824"/>
      <c r="EK64824"/>
    </row>
    <row r="64825" spans="1:141" s="116" customFormat="1">
      <c r="A64825" s="136"/>
      <c r="CM64825" s="111"/>
      <c r="CQ64825" s="111"/>
      <c r="EF64825"/>
      <c r="EG64825"/>
      <c r="EH64825"/>
      <c r="EI64825"/>
      <c r="EJ64825"/>
      <c r="EK64825"/>
    </row>
    <row r="64826" spans="1:141" s="116" customFormat="1">
      <c r="A64826" s="136"/>
      <c r="CM64826" s="111"/>
      <c r="CQ64826" s="111"/>
      <c r="EF64826"/>
      <c r="EG64826"/>
      <c r="EH64826"/>
      <c r="EI64826"/>
      <c r="EJ64826"/>
      <c r="EK64826"/>
    </row>
    <row r="64827" spans="1:141" s="116" customFormat="1">
      <c r="A64827" s="136"/>
      <c r="CM64827" s="111"/>
      <c r="CQ64827" s="111"/>
      <c r="EF64827"/>
      <c r="EG64827"/>
      <c r="EH64827"/>
      <c r="EI64827"/>
      <c r="EJ64827"/>
      <c r="EK64827"/>
    </row>
    <row r="64828" spans="1:141" s="116" customFormat="1">
      <c r="A64828" s="136"/>
      <c r="CM64828" s="111"/>
      <c r="CQ64828" s="111"/>
      <c r="EF64828"/>
      <c r="EG64828"/>
      <c r="EH64828"/>
      <c r="EI64828"/>
      <c r="EJ64828"/>
      <c r="EK64828"/>
    </row>
    <row r="64829" spans="1:141" s="116" customFormat="1">
      <c r="A64829" s="136"/>
      <c r="CM64829" s="111"/>
      <c r="CQ64829" s="111"/>
      <c r="EF64829"/>
      <c r="EG64829"/>
      <c r="EH64829"/>
      <c r="EI64829"/>
      <c r="EJ64829"/>
      <c r="EK64829"/>
    </row>
    <row r="64830" spans="1:141" s="116" customFormat="1">
      <c r="A64830" s="136"/>
      <c r="CM64830" s="111"/>
      <c r="CQ64830" s="111"/>
      <c r="EF64830"/>
      <c r="EG64830"/>
      <c r="EH64830"/>
      <c r="EI64830"/>
      <c r="EJ64830"/>
      <c r="EK64830"/>
    </row>
    <row r="64831" spans="1:141" s="116" customFormat="1">
      <c r="A64831" s="136"/>
      <c r="CM64831" s="111"/>
      <c r="CQ64831" s="111"/>
      <c r="EF64831"/>
      <c r="EG64831"/>
      <c r="EH64831"/>
      <c r="EI64831"/>
      <c r="EJ64831"/>
      <c r="EK64831"/>
    </row>
    <row r="64832" spans="1:141" s="116" customFormat="1">
      <c r="A64832" s="136"/>
      <c r="CM64832" s="111"/>
      <c r="CQ64832" s="111"/>
      <c r="EF64832"/>
      <c r="EG64832"/>
      <c r="EH64832"/>
      <c r="EI64832"/>
      <c r="EJ64832"/>
      <c r="EK64832"/>
    </row>
    <row r="64833" spans="1:141" s="116" customFormat="1">
      <c r="A64833" s="136"/>
      <c r="CM64833" s="111"/>
      <c r="CQ64833" s="111"/>
      <c r="EF64833"/>
      <c r="EG64833"/>
      <c r="EH64833"/>
      <c r="EI64833"/>
      <c r="EJ64833"/>
      <c r="EK64833"/>
    </row>
    <row r="64834" spans="1:141" s="116" customFormat="1">
      <c r="A64834" s="136"/>
      <c r="CM64834" s="111"/>
      <c r="CQ64834" s="111"/>
      <c r="EF64834"/>
      <c r="EG64834"/>
      <c r="EH64834"/>
      <c r="EI64834"/>
      <c r="EJ64834"/>
      <c r="EK64834"/>
    </row>
    <row r="64835" spans="1:141" s="116" customFormat="1">
      <c r="A64835" s="136"/>
      <c r="CM64835" s="111"/>
      <c r="CQ64835" s="111"/>
      <c r="EF64835"/>
      <c r="EG64835"/>
      <c r="EH64835"/>
      <c r="EI64835"/>
      <c r="EJ64835"/>
      <c r="EK64835"/>
    </row>
    <row r="64836" spans="1:141" s="116" customFormat="1">
      <c r="A64836" s="136"/>
      <c r="CM64836" s="111"/>
      <c r="CQ64836" s="111"/>
      <c r="EF64836"/>
      <c r="EG64836"/>
      <c r="EH64836"/>
      <c r="EI64836"/>
      <c r="EJ64836"/>
      <c r="EK64836"/>
    </row>
    <row r="64837" spans="1:141" s="116" customFormat="1">
      <c r="A64837" s="136"/>
      <c r="CM64837" s="111"/>
      <c r="CQ64837" s="111"/>
      <c r="EF64837"/>
      <c r="EG64837"/>
      <c r="EH64837"/>
      <c r="EI64837"/>
      <c r="EJ64837"/>
      <c r="EK64837"/>
    </row>
    <row r="64838" spans="1:141" s="116" customFormat="1">
      <c r="A64838" s="136"/>
      <c r="CM64838" s="111"/>
      <c r="CQ64838" s="111"/>
      <c r="EF64838"/>
      <c r="EG64838"/>
      <c r="EH64838"/>
      <c r="EI64838"/>
      <c r="EJ64838"/>
      <c r="EK64838"/>
    </row>
    <row r="64839" spans="1:141" s="116" customFormat="1">
      <c r="A64839" s="136"/>
      <c r="CM64839" s="111"/>
      <c r="CQ64839" s="111"/>
      <c r="EF64839"/>
      <c r="EG64839"/>
      <c r="EH64839"/>
      <c r="EI64839"/>
      <c r="EJ64839"/>
      <c r="EK64839"/>
    </row>
    <row r="64840" spans="1:141" s="116" customFormat="1">
      <c r="A64840" s="136"/>
      <c r="CM64840" s="111"/>
      <c r="CQ64840" s="111"/>
      <c r="EF64840"/>
      <c r="EG64840"/>
      <c r="EH64840"/>
      <c r="EI64840"/>
      <c r="EJ64840"/>
      <c r="EK64840"/>
    </row>
    <row r="64841" spans="1:141" s="116" customFormat="1">
      <c r="A64841" s="136"/>
      <c r="CM64841" s="111"/>
      <c r="CQ64841" s="111"/>
      <c r="EF64841"/>
      <c r="EG64841"/>
      <c r="EH64841"/>
      <c r="EI64841"/>
      <c r="EJ64841"/>
      <c r="EK64841"/>
    </row>
    <row r="64842" spans="1:141" s="116" customFormat="1">
      <c r="A64842" s="136"/>
      <c r="CM64842" s="111"/>
      <c r="CQ64842" s="111"/>
      <c r="EF64842"/>
      <c r="EG64842"/>
      <c r="EH64842"/>
      <c r="EI64842"/>
      <c r="EJ64842"/>
      <c r="EK64842"/>
    </row>
    <row r="64843" spans="1:141" s="116" customFormat="1">
      <c r="A64843" s="136"/>
      <c r="CM64843" s="111"/>
      <c r="CQ64843" s="111"/>
      <c r="EF64843"/>
      <c r="EG64843"/>
      <c r="EH64843"/>
      <c r="EI64843"/>
      <c r="EJ64843"/>
      <c r="EK64843"/>
    </row>
    <row r="64844" spans="1:141" s="116" customFormat="1">
      <c r="A64844" s="136"/>
      <c r="CM64844" s="111"/>
      <c r="CQ64844" s="111"/>
      <c r="EF64844"/>
      <c r="EG64844"/>
      <c r="EH64844"/>
      <c r="EI64844"/>
      <c r="EJ64844"/>
      <c r="EK64844"/>
    </row>
    <row r="64845" spans="1:141" s="116" customFormat="1">
      <c r="A64845" s="136"/>
      <c r="CM64845" s="111"/>
      <c r="CQ64845" s="111"/>
      <c r="EF64845"/>
      <c r="EG64845"/>
      <c r="EH64845"/>
      <c r="EI64845"/>
      <c r="EJ64845"/>
      <c r="EK64845"/>
    </row>
    <row r="64846" spans="1:141" s="116" customFormat="1">
      <c r="A64846" s="136"/>
      <c r="CM64846" s="111"/>
      <c r="CQ64846" s="111"/>
      <c r="EF64846"/>
      <c r="EG64846"/>
      <c r="EH64846"/>
      <c r="EI64846"/>
      <c r="EJ64846"/>
      <c r="EK64846"/>
    </row>
    <row r="64847" spans="1:141" s="116" customFormat="1">
      <c r="A64847" s="136"/>
      <c r="CM64847" s="111"/>
      <c r="CQ64847" s="111"/>
      <c r="EF64847"/>
      <c r="EG64847"/>
      <c r="EH64847"/>
      <c r="EI64847"/>
      <c r="EJ64847"/>
      <c r="EK64847"/>
    </row>
    <row r="64848" spans="1:141" s="116" customFormat="1">
      <c r="A64848" s="136"/>
      <c r="CM64848" s="111"/>
      <c r="CQ64848" s="111"/>
      <c r="EF64848"/>
      <c r="EG64848"/>
      <c r="EH64848"/>
      <c r="EI64848"/>
      <c r="EJ64848"/>
      <c r="EK64848"/>
    </row>
    <row r="64849" spans="1:141" s="116" customFormat="1">
      <c r="A64849" s="136"/>
      <c r="CM64849" s="111"/>
      <c r="CQ64849" s="111"/>
      <c r="EF64849"/>
      <c r="EG64849"/>
      <c r="EH64849"/>
      <c r="EI64849"/>
      <c r="EJ64849"/>
      <c r="EK64849"/>
    </row>
    <row r="64850" spans="1:141" s="116" customFormat="1">
      <c r="A64850" s="136"/>
      <c r="CM64850" s="111"/>
      <c r="CQ64850" s="111"/>
      <c r="EF64850"/>
      <c r="EG64850"/>
      <c r="EH64850"/>
      <c r="EI64850"/>
      <c r="EJ64850"/>
      <c r="EK64850"/>
    </row>
    <row r="64851" spans="1:141" s="116" customFormat="1">
      <c r="A64851" s="136"/>
      <c r="CM64851" s="111"/>
      <c r="CQ64851" s="111"/>
      <c r="EF64851"/>
      <c r="EG64851"/>
      <c r="EH64851"/>
      <c r="EI64851"/>
      <c r="EJ64851"/>
      <c r="EK64851"/>
    </row>
    <row r="64852" spans="1:141" s="116" customFormat="1">
      <c r="A64852" s="136"/>
      <c r="CM64852" s="111"/>
      <c r="CQ64852" s="111"/>
      <c r="EF64852"/>
      <c r="EG64852"/>
      <c r="EH64852"/>
      <c r="EI64852"/>
      <c r="EJ64852"/>
      <c r="EK64852"/>
    </row>
    <row r="64853" spans="1:141" s="116" customFormat="1">
      <c r="A64853" s="136"/>
      <c r="CM64853" s="111"/>
      <c r="CQ64853" s="111"/>
      <c r="EF64853"/>
      <c r="EG64853"/>
      <c r="EH64853"/>
      <c r="EI64853"/>
      <c r="EJ64853"/>
      <c r="EK64853"/>
    </row>
    <row r="64854" spans="1:141" s="116" customFormat="1">
      <c r="A64854" s="136"/>
      <c r="CM64854" s="111"/>
      <c r="CQ64854" s="111"/>
      <c r="EF64854"/>
      <c r="EG64854"/>
      <c r="EH64854"/>
      <c r="EI64854"/>
      <c r="EJ64854"/>
      <c r="EK64854"/>
    </row>
    <row r="64855" spans="1:141" s="116" customFormat="1">
      <c r="A64855" s="136"/>
      <c r="CM64855" s="111"/>
      <c r="CQ64855" s="111"/>
      <c r="EF64855"/>
      <c r="EG64855"/>
      <c r="EH64855"/>
      <c r="EI64855"/>
      <c r="EJ64855"/>
      <c r="EK64855"/>
    </row>
    <row r="64856" spans="1:141" s="116" customFormat="1">
      <c r="A64856" s="136"/>
      <c r="CM64856" s="111"/>
      <c r="CQ64856" s="111"/>
      <c r="EF64856"/>
      <c r="EG64856"/>
      <c r="EH64856"/>
      <c r="EI64856"/>
      <c r="EJ64856"/>
      <c r="EK64856"/>
    </row>
    <row r="64857" spans="1:141" s="116" customFormat="1">
      <c r="A64857" s="136"/>
      <c r="CM64857" s="111"/>
      <c r="CQ64857" s="111"/>
      <c r="EF64857"/>
      <c r="EG64857"/>
      <c r="EH64857"/>
      <c r="EI64857"/>
      <c r="EJ64857"/>
      <c r="EK64857"/>
    </row>
    <row r="64858" spans="1:141" s="116" customFormat="1">
      <c r="A64858" s="136"/>
      <c r="CM64858" s="111"/>
      <c r="CQ64858" s="111"/>
      <c r="EF64858"/>
      <c r="EG64858"/>
      <c r="EH64858"/>
      <c r="EI64858"/>
      <c r="EJ64858"/>
      <c r="EK64858"/>
    </row>
    <row r="64859" spans="1:141" s="116" customFormat="1">
      <c r="A64859" s="136"/>
      <c r="CM64859" s="111"/>
      <c r="CQ64859" s="111"/>
      <c r="EF64859"/>
      <c r="EG64859"/>
      <c r="EH64859"/>
      <c r="EI64859"/>
      <c r="EJ64859"/>
      <c r="EK64859"/>
    </row>
    <row r="64860" spans="1:141" s="116" customFormat="1">
      <c r="A64860" s="136"/>
      <c r="CM64860" s="111"/>
      <c r="CQ64860" s="111"/>
      <c r="EF64860"/>
      <c r="EG64860"/>
      <c r="EH64860"/>
      <c r="EI64860"/>
      <c r="EJ64860"/>
      <c r="EK64860"/>
    </row>
    <row r="64861" spans="1:141" s="116" customFormat="1">
      <c r="A64861" s="136"/>
      <c r="CM64861" s="111"/>
      <c r="CQ64861" s="111"/>
      <c r="EF64861"/>
      <c r="EG64861"/>
      <c r="EH64861"/>
      <c r="EI64861"/>
      <c r="EJ64861"/>
      <c r="EK64861"/>
    </row>
    <row r="64862" spans="1:141" s="116" customFormat="1">
      <c r="A64862" s="136"/>
      <c r="CM64862" s="111"/>
      <c r="CQ64862" s="111"/>
      <c r="EF64862"/>
      <c r="EG64862"/>
      <c r="EH64862"/>
      <c r="EI64862"/>
      <c r="EJ64862"/>
      <c r="EK64862"/>
    </row>
    <row r="64863" spans="1:141" s="116" customFormat="1">
      <c r="A64863" s="136"/>
      <c r="CM64863" s="111"/>
      <c r="CQ64863" s="111"/>
      <c r="EF64863"/>
      <c r="EG64863"/>
      <c r="EH64863"/>
      <c r="EI64863"/>
      <c r="EJ64863"/>
      <c r="EK64863"/>
    </row>
    <row r="64864" spans="1:141" s="116" customFormat="1">
      <c r="A64864" s="136"/>
      <c r="CM64864" s="111"/>
      <c r="CQ64864" s="111"/>
      <c r="EF64864"/>
      <c r="EG64864"/>
      <c r="EH64864"/>
      <c r="EI64864"/>
      <c r="EJ64864"/>
      <c r="EK64864"/>
    </row>
    <row r="64865" spans="1:141" s="116" customFormat="1">
      <c r="A64865" s="136"/>
      <c r="CM64865" s="111"/>
      <c r="CQ64865" s="111"/>
      <c r="EF64865"/>
      <c r="EG64865"/>
      <c r="EH64865"/>
      <c r="EI64865"/>
      <c r="EJ64865"/>
      <c r="EK64865"/>
    </row>
    <row r="64866" spans="1:141" s="116" customFormat="1">
      <c r="A64866" s="136"/>
      <c r="CM64866" s="111"/>
      <c r="CQ64866" s="111"/>
      <c r="EF64866"/>
      <c r="EG64866"/>
      <c r="EH64866"/>
      <c r="EI64866"/>
      <c r="EJ64866"/>
      <c r="EK64866"/>
    </row>
    <row r="64867" spans="1:141" s="116" customFormat="1">
      <c r="A64867" s="136"/>
      <c r="CM64867" s="111"/>
      <c r="CQ64867" s="111"/>
      <c r="EF64867"/>
      <c r="EG64867"/>
      <c r="EH64867"/>
      <c r="EI64867"/>
      <c r="EJ64867"/>
      <c r="EK64867"/>
    </row>
    <row r="64868" spans="1:141" s="116" customFormat="1">
      <c r="A64868" s="136"/>
      <c r="CM64868" s="111"/>
      <c r="CQ64868" s="111"/>
      <c r="EF64868"/>
      <c r="EG64868"/>
      <c r="EH64868"/>
      <c r="EI64868"/>
      <c r="EJ64868"/>
      <c r="EK64868"/>
    </row>
    <row r="64869" spans="1:141" s="116" customFormat="1">
      <c r="A64869" s="136"/>
      <c r="CM64869" s="111"/>
      <c r="CQ64869" s="111"/>
      <c r="EF64869"/>
      <c r="EG64869"/>
      <c r="EH64869"/>
      <c r="EI64869"/>
      <c r="EJ64869"/>
      <c r="EK64869"/>
    </row>
    <row r="64870" spans="1:141" s="116" customFormat="1">
      <c r="A64870" s="136"/>
      <c r="CM64870" s="111"/>
      <c r="CQ64870" s="111"/>
      <c r="EF64870"/>
      <c r="EG64870"/>
      <c r="EH64870"/>
      <c r="EI64870"/>
      <c r="EJ64870"/>
      <c r="EK64870"/>
    </row>
    <row r="64871" spans="1:141" s="116" customFormat="1">
      <c r="A64871" s="136"/>
      <c r="CM64871" s="111"/>
      <c r="CQ64871" s="111"/>
      <c r="EF64871"/>
      <c r="EG64871"/>
      <c r="EH64871"/>
      <c r="EI64871"/>
      <c r="EJ64871"/>
      <c r="EK64871"/>
    </row>
    <row r="64872" spans="1:141" s="116" customFormat="1">
      <c r="A64872" s="136"/>
      <c r="CM64872" s="111"/>
      <c r="CQ64872" s="111"/>
      <c r="EF64872"/>
      <c r="EG64872"/>
      <c r="EH64872"/>
      <c r="EI64872"/>
      <c r="EJ64872"/>
      <c r="EK64872"/>
    </row>
    <row r="64873" spans="1:141" s="116" customFormat="1">
      <c r="A64873" s="136"/>
      <c r="CM64873" s="111"/>
      <c r="CQ64873" s="111"/>
      <c r="EF64873"/>
      <c r="EG64873"/>
      <c r="EH64873"/>
      <c r="EI64873"/>
      <c r="EJ64873"/>
      <c r="EK64873"/>
    </row>
    <row r="64874" spans="1:141" s="116" customFormat="1">
      <c r="A64874" s="136"/>
      <c r="CM64874" s="111"/>
      <c r="CQ64874" s="111"/>
      <c r="EF64874"/>
      <c r="EG64874"/>
      <c r="EH64874"/>
      <c r="EI64874"/>
      <c r="EJ64874"/>
      <c r="EK64874"/>
    </row>
    <row r="64875" spans="1:141" s="116" customFormat="1">
      <c r="A64875" s="136"/>
      <c r="CM64875" s="111"/>
      <c r="CQ64875" s="111"/>
      <c r="EF64875"/>
      <c r="EG64875"/>
      <c r="EH64875"/>
      <c r="EI64875"/>
      <c r="EJ64875"/>
      <c r="EK64875"/>
    </row>
    <row r="64876" spans="1:141" s="116" customFormat="1">
      <c r="A64876" s="136"/>
      <c r="CM64876" s="111"/>
      <c r="CQ64876" s="111"/>
      <c r="EF64876"/>
      <c r="EG64876"/>
      <c r="EH64876"/>
      <c r="EI64876"/>
      <c r="EJ64876"/>
      <c r="EK64876"/>
    </row>
    <row r="64877" spans="1:141" s="116" customFormat="1">
      <c r="A64877" s="136"/>
      <c r="CM64877" s="111"/>
      <c r="CQ64877" s="111"/>
      <c r="EF64877"/>
      <c r="EG64877"/>
      <c r="EH64877"/>
      <c r="EI64877"/>
      <c r="EJ64877"/>
      <c r="EK64877"/>
    </row>
    <row r="64878" spans="1:141" s="116" customFormat="1">
      <c r="A64878" s="136"/>
      <c r="CM64878" s="111"/>
      <c r="CQ64878" s="111"/>
      <c r="EF64878"/>
      <c r="EG64878"/>
      <c r="EH64878"/>
      <c r="EI64878"/>
      <c r="EJ64878"/>
      <c r="EK64878"/>
    </row>
    <row r="64879" spans="1:141" s="116" customFormat="1">
      <c r="A64879" s="136"/>
      <c r="CM64879" s="111"/>
      <c r="CQ64879" s="111"/>
      <c r="EF64879"/>
      <c r="EG64879"/>
      <c r="EH64879"/>
      <c r="EI64879"/>
      <c r="EJ64879"/>
      <c r="EK64879"/>
    </row>
    <row r="64880" spans="1:141" s="116" customFormat="1">
      <c r="A64880" s="136"/>
      <c r="CM64880" s="111"/>
      <c r="CQ64880" s="111"/>
      <c r="EF64880"/>
      <c r="EG64880"/>
      <c r="EH64880"/>
      <c r="EI64880"/>
      <c r="EJ64880"/>
      <c r="EK64880"/>
    </row>
    <row r="64881" spans="1:141" s="116" customFormat="1">
      <c r="A64881" s="136"/>
      <c r="CM64881" s="111"/>
      <c r="CQ64881" s="111"/>
      <c r="EF64881"/>
      <c r="EG64881"/>
      <c r="EH64881"/>
      <c r="EI64881"/>
      <c r="EJ64881"/>
      <c r="EK64881"/>
    </row>
    <row r="64882" spans="1:141" s="116" customFormat="1">
      <c r="A64882" s="136"/>
      <c r="CM64882" s="111"/>
      <c r="CQ64882" s="111"/>
      <c r="EF64882"/>
      <c r="EG64882"/>
      <c r="EH64882"/>
      <c r="EI64882"/>
      <c r="EJ64882"/>
      <c r="EK64882"/>
    </row>
    <row r="64883" spans="1:141" s="116" customFormat="1">
      <c r="A64883" s="136"/>
      <c r="CM64883" s="111"/>
      <c r="CQ64883" s="111"/>
      <c r="EF64883"/>
      <c r="EG64883"/>
      <c r="EH64883"/>
      <c r="EI64883"/>
      <c r="EJ64883"/>
      <c r="EK64883"/>
    </row>
    <row r="64884" spans="1:141" s="116" customFormat="1">
      <c r="A64884" s="136"/>
      <c r="CM64884" s="111"/>
      <c r="CQ64884" s="111"/>
      <c r="EF64884"/>
      <c r="EG64884"/>
      <c r="EH64884"/>
      <c r="EI64884"/>
      <c r="EJ64884"/>
      <c r="EK64884"/>
    </row>
    <row r="64885" spans="1:141" s="116" customFormat="1">
      <c r="A64885" s="136"/>
      <c r="CM64885" s="111"/>
      <c r="CQ64885" s="111"/>
      <c r="EF64885"/>
      <c r="EG64885"/>
      <c r="EH64885"/>
      <c r="EI64885"/>
      <c r="EJ64885"/>
      <c r="EK64885"/>
    </row>
    <row r="64886" spans="1:141" s="116" customFormat="1">
      <c r="A64886" s="136"/>
      <c r="CM64886" s="111"/>
      <c r="CQ64886" s="111"/>
      <c r="EF64886"/>
      <c r="EG64886"/>
      <c r="EH64886"/>
      <c r="EI64886"/>
      <c r="EJ64886"/>
      <c r="EK64886"/>
    </row>
    <row r="64887" spans="1:141" s="116" customFormat="1">
      <c r="A64887" s="136"/>
      <c r="CM64887" s="111"/>
      <c r="CQ64887" s="111"/>
      <c r="EF64887"/>
      <c r="EG64887"/>
      <c r="EH64887"/>
      <c r="EI64887"/>
      <c r="EJ64887"/>
      <c r="EK64887"/>
    </row>
    <row r="64888" spans="1:141" s="116" customFormat="1">
      <c r="A64888" s="136"/>
      <c r="CM64888" s="111"/>
      <c r="CQ64888" s="111"/>
      <c r="EF64888"/>
      <c r="EG64888"/>
      <c r="EH64888"/>
      <c r="EI64888"/>
      <c r="EJ64888"/>
      <c r="EK64888"/>
    </row>
    <row r="64889" spans="1:141" s="116" customFormat="1">
      <c r="A64889" s="136"/>
      <c r="CM64889" s="111"/>
      <c r="CQ64889" s="111"/>
      <c r="EF64889"/>
      <c r="EG64889"/>
      <c r="EH64889"/>
      <c r="EI64889"/>
      <c r="EJ64889"/>
      <c r="EK64889"/>
    </row>
    <row r="64890" spans="1:141" s="116" customFormat="1">
      <c r="A64890" s="136"/>
      <c r="CM64890" s="111"/>
      <c r="CQ64890" s="111"/>
      <c r="EF64890"/>
      <c r="EG64890"/>
      <c r="EH64890"/>
      <c r="EI64890"/>
      <c r="EJ64890"/>
      <c r="EK64890"/>
    </row>
    <row r="64891" spans="1:141" s="116" customFormat="1">
      <c r="A64891" s="136"/>
      <c r="CM64891" s="111"/>
      <c r="CQ64891" s="111"/>
      <c r="EF64891"/>
      <c r="EG64891"/>
      <c r="EH64891"/>
      <c r="EI64891"/>
      <c r="EJ64891"/>
      <c r="EK64891"/>
    </row>
    <row r="64892" spans="1:141" s="116" customFormat="1">
      <c r="A64892" s="136"/>
      <c r="CM64892" s="111"/>
      <c r="CQ64892" s="111"/>
      <c r="EF64892"/>
      <c r="EG64892"/>
      <c r="EH64892"/>
      <c r="EI64892"/>
      <c r="EJ64892"/>
      <c r="EK64892"/>
    </row>
    <row r="64893" spans="1:141" s="116" customFormat="1">
      <c r="A64893" s="136"/>
      <c r="CM64893" s="111"/>
      <c r="CQ64893" s="111"/>
      <c r="EF64893"/>
      <c r="EG64893"/>
      <c r="EH64893"/>
      <c r="EI64893"/>
      <c r="EJ64893"/>
      <c r="EK64893"/>
    </row>
    <row r="64894" spans="1:141" s="116" customFormat="1">
      <c r="A64894" s="136"/>
      <c r="CM64894" s="111"/>
      <c r="CQ64894" s="111"/>
      <c r="EF64894"/>
      <c r="EG64894"/>
      <c r="EH64894"/>
      <c r="EI64894"/>
      <c r="EJ64894"/>
      <c r="EK64894"/>
    </row>
    <row r="64895" spans="1:141" s="116" customFormat="1">
      <c r="A64895" s="136"/>
      <c r="CM64895" s="111"/>
      <c r="CQ64895" s="111"/>
      <c r="EF64895"/>
      <c r="EG64895"/>
      <c r="EH64895"/>
      <c r="EI64895"/>
      <c r="EJ64895"/>
      <c r="EK64895"/>
    </row>
    <row r="64896" spans="1:141" s="116" customFormat="1">
      <c r="A64896" s="136"/>
      <c r="CM64896" s="111"/>
      <c r="CQ64896" s="111"/>
      <c r="EF64896"/>
      <c r="EG64896"/>
      <c r="EH64896"/>
      <c r="EI64896"/>
      <c r="EJ64896"/>
      <c r="EK64896"/>
    </row>
    <row r="64897" spans="1:141" s="116" customFormat="1">
      <c r="A64897" s="136"/>
      <c r="CM64897" s="111"/>
      <c r="CQ64897" s="111"/>
      <c r="EF64897"/>
      <c r="EG64897"/>
      <c r="EH64897"/>
      <c r="EI64897"/>
      <c r="EJ64897"/>
      <c r="EK64897"/>
    </row>
    <row r="64898" spans="1:141" s="116" customFormat="1">
      <c r="A64898" s="136"/>
      <c r="CM64898" s="111"/>
      <c r="CQ64898" s="111"/>
      <c r="EF64898"/>
      <c r="EG64898"/>
      <c r="EH64898"/>
      <c r="EI64898"/>
      <c r="EJ64898"/>
      <c r="EK64898"/>
    </row>
    <row r="64899" spans="1:141" s="116" customFormat="1">
      <c r="A64899" s="136"/>
      <c r="CM64899" s="111"/>
      <c r="CQ64899" s="111"/>
      <c r="EF64899"/>
      <c r="EG64899"/>
      <c r="EH64899"/>
      <c r="EI64899"/>
      <c r="EJ64899"/>
      <c r="EK64899"/>
    </row>
    <row r="64900" spans="1:141" s="116" customFormat="1">
      <c r="A64900" s="136"/>
      <c r="CM64900" s="111"/>
      <c r="CQ64900" s="111"/>
      <c r="EF64900"/>
      <c r="EG64900"/>
      <c r="EH64900"/>
      <c r="EI64900"/>
      <c r="EJ64900"/>
      <c r="EK64900"/>
    </row>
    <row r="64901" spans="1:141" s="116" customFormat="1">
      <c r="A64901" s="136"/>
      <c r="CM64901" s="111"/>
      <c r="CQ64901" s="111"/>
      <c r="EF64901"/>
      <c r="EG64901"/>
      <c r="EH64901"/>
      <c r="EI64901"/>
      <c r="EJ64901"/>
      <c r="EK64901"/>
    </row>
    <row r="64902" spans="1:141" s="116" customFormat="1">
      <c r="A64902" s="136"/>
      <c r="CM64902" s="111"/>
      <c r="CQ64902" s="111"/>
      <c r="EF64902"/>
      <c r="EG64902"/>
      <c r="EH64902"/>
      <c r="EI64902"/>
      <c r="EJ64902"/>
      <c r="EK64902"/>
    </row>
    <row r="64903" spans="1:141" s="116" customFormat="1">
      <c r="A64903" s="136"/>
      <c r="CM64903" s="111"/>
      <c r="CQ64903" s="111"/>
      <c r="EF64903"/>
      <c r="EG64903"/>
      <c r="EH64903"/>
      <c r="EI64903"/>
      <c r="EJ64903"/>
      <c r="EK64903"/>
    </row>
    <row r="64904" spans="1:141" s="116" customFormat="1">
      <c r="A64904" s="136"/>
      <c r="CM64904" s="111"/>
      <c r="CQ64904" s="111"/>
      <c r="EF64904"/>
      <c r="EG64904"/>
      <c r="EH64904"/>
      <c r="EI64904"/>
      <c r="EJ64904"/>
      <c r="EK64904"/>
    </row>
    <row r="64905" spans="1:141" s="116" customFormat="1">
      <c r="A64905" s="136"/>
      <c r="CM64905" s="111"/>
      <c r="CQ64905" s="111"/>
      <c r="EF64905"/>
      <c r="EG64905"/>
      <c r="EH64905"/>
      <c r="EI64905"/>
      <c r="EJ64905"/>
      <c r="EK64905"/>
    </row>
    <row r="64906" spans="1:141" s="116" customFormat="1">
      <c r="A64906" s="136"/>
      <c r="CM64906" s="111"/>
      <c r="CQ64906" s="111"/>
      <c r="EF64906"/>
      <c r="EG64906"/>
      <c r="EH64906"/>
      <c r="EI64906"/>
      <c r="EJ64906"/>
      <c r="EK64906"/>
    </row>
    <row r="64907" spans="1:141" s="116" customFormat="1">
      <c r="A64907" s="136"/>
      <c r="CM64907" s="111"/>
      <c r="CQ64907" s="111"/>
      <c r="EF64907"/>
      <c r="EG64907"/>
      <c r="EH64907"/>
      <c r="EI64907"/>
      <c r="EJ64907"/>
      <c r="EK64907"/>
    </row>
    <row r="64908" spans="1:141" s="116" customFormat="1">
      <c r="A64908" s="136"/>
      <c r="CM64908" s="111"/>
      <c r="CQ64908" s="111"/>
      <c r="EF64908"/>
      <c r="EG64908"/>
      <c r="EH64908"/>
      <c r="EI64908"/>
      <c r="EJ64908"/>
      <c r="EK64908"/>
    </row>
    <row r="64909" spans="1:141" s="116" customFormat="1">
      <c r="A64909" s="136"/>
      <c r="CM64909" s="111"/>
      <c r="CQ64909" s="111"/>
      <c r="EF64909"/>
      <c r="EG64909"/>
      <c r="EH64909"/>
      <c r="EI64909"/>
      <c r="EJ64909"/>
      <c r="EK64909"/>
    </row>
    <row r="64910" spans="1:141" s="116" customFormat="1">
      <c r="A64910" s="136"/>
      <c r="CM64910" s="111"/>
      <c r="CQ64910" s="111"/>
      <c r="EF64910"/>
      <c r="EG64910"/>
      <c r="EH64910"/>
      <c r="EI64910"/>
      <c r="EJ64910"/>
      <c r="EK64910"/>
    </row>
    <row r="64911" spans="1:141" s="116" customFormat="1">
      <c r="A64911" s="136"/>
      <c r="CM64911" s="111"/>
      <c r="CQ64911" s="111"/>
      <c r="EF64911"/>
      <c r="EG64911"/>
      <c r="EH64911"/>
      <c r="EI64911"/>
      <c r="EJ64911"/>
      <c r="EK64911"/>
    </row>
    <row r="64912" spans="1:141" s="116" customFormat="1">
      <c r="A64912" s="136"/>
      <c r="CM64912" s="111"/>
      <c r="CQ64912" s="111"/>
      <c r="EF64912"/>
      <c r="EG64912"/>
      <c r="EH64912"/>
      <c r="EI64912"/>
      <c r="EJ64912"/>
      <c r="EK64912"/>
    </row>
    <row r="64913" spans="1:141" s="116" customFormat="1">
      <c r="A64913" s="136"/>
      <c r="CM64913" s="111"/>
      <c r="CQ64913" s="111"/>
      <c r="EF64913"/>
      <c r="EG64913"/>
      <c r="EH64913"/>
      <c r="EI64913"/>
      <c r="EJ64913"/>
      <c r="EK64913"/>
    </row>
    <row r="64914" spans="1:141" s="116" customFormat="1">
      <c r="A64914" s="136"/>
      <c r="CM64914" s="111"/>
      <c r="CQ64914" s="111"/>
      <c r="EF64914"/>
      <c r="EG64914"/>
      <c r="EH64914"/>
      <c r="EI64914"/>
      <c r="EJ64914"/>
      <c r="EK64914"/>
    </row>
    <row r="64915" spans="1:141" s="116" customFormat="1">
      <c r="A64915" s="136"/>
      <c r="CM64915" s="111"/>
      <c r="CQ64915" s="111"/>
      <c r="EF64915"/>
      <c r="EG64915"/>
      <c r="EH64915"/>
      <c r="EI64915"/>
      <c r="EJ64915"/>
      <c r="EK64915"/>
    </row>
    <row r="64916" spans="1:141" s="116" customFormat="1">
      <c r="A64916" s="136"/>
      <c r="CM64916" s="111"/>
      <c r="CQ64916" s="111"/>
      <c r="EF64916"/>
      <c r="EG64916"/>
      <c r="EH64916"/>
      <c r="EI64916"/>
      <c r="EJ64916"/>
      <c r="EK64916"/>
    </row>
    <row r="64917" spans="1:141" s="116" customFormat="1">
      <c r="A64917" s="136"/>
      <c r="CM64917" s="111"/>
      <c r="CQ64917" s="111"/>
      <c r="EF64917"/>
      <c r="EG64917"/>
      <c r="EH64917"/>
      <c r="EI64917"/>
      <c r="EJ64917"/>
      <c r="EK64917"/>
    </row>
    <row r="64918" spans="1:141" s="116" customFormat="1">
      <c r="A64918" s="136"/>
      <c r="CM64918" s="111"/>
      <c r="CQ64918" s="111"/>
      <c r="EF64918"/>
      <c r="EG64918"/>
      <c r="EH64918"/>
      <c r="EI64918"/>
      <c r="EJ64918"/>
      <c r="EK64918"/>
    </row>
    <row r="64919" spans="1:141" s="116" customFormat="1">
      <c r="A64919" s="136"/>
      <c r="CM64919" s="111"/>
      <c r="CQ64919" s="111"/>
      <c r="EF64919"/>
      <c r="EG64919"/>
      <c r="EH64919"/>
      <c r="EI64919"/>
      <c r="EJ64919"/>
      <c r="EK64919"/>
    </row>
    <row r="64920" spans="1:141" s="116" customFormat="1">
      <c r="A64920" s="136"/>
      <c r="CM64920" s="111"/>
      <c r="CQ64920" s="111"/>
      <c r="EF64920"/>
      <c r="EG64920"/>
      <c r="EH64920"/>
      <c r="EI64920"/>
      <c r="EJ64920"/>
      <c r="EK64920"/>
    </row>
    <row r="64921" spans="1:141" s="116" customFormat="1">
      <c r="A64921" s="136"/>
      <c r="CM64921" s="111"/>
      <c r="CQ64921" s="111"/>
      <c r="EF64921"/>
      <c r="EG64921"/>
      <c r="EH64921"/>
      <c r="EI64921"/>
      <c r="EJ64921"/>
      <c r="EK64921"/>
    </row>
    <row r="64922" spans="1:141" s="116" customFormat="1">
      <c r="A64922" s="136"/>
      <c r="CM64922" s="111"/>
      <c r="CQ64922" s="111"/>
      <c r="EF64922"/>
      <c r="EG64922"/>
      <c r="EH64922"/>
      <c r="EI64922"/>
      <c r="EJ64922"/>
      <c r="EK64922"/>
    </row>
    <row r="64923" spans="1:141" s="116" customFormat="1">
      <c r="A64923" s="136"/>
      <c r="CM64923" s="111"/>
      <c r="CQ64923" s="111"/>
      <c r="EF64923"/>
      <c r="EG64923"/>
      <c r="EH64923"/>
      <c r="EI64923"/>
      <c r="EJ64923"/>
      <c r="EK64923"/>
    </row>
    <row r="64924" spans="1:141" s="116" customFormat="1">
      <c r="A64924" s="136"/>
      <c r="CM64924" s="111"/>
      <c r="CQ64924" s="111"/>
      <c r="EF64924"/>
      <c r="EG64924"/>
      <c r="EH64924"/>
      <c r="EI64924"/>
      <c r="EJ64924"/>
      <c r="EK64924"/>
    </row>
    <row r="64925" spans="1:141" s="116" customFormat="1">
      <c r="A64925" s="136"/>
      <c r="CM64925" s="111"/>
      <c r="CQ64925" s="111"/>
      <c r="EF64925"/>
      <c r="EG64925"/>
      <c r="EH64925"/>
      <c r="EI64925"/>
      <c r="EJ64925"/>
      <c r="EK64925"/>
    </row>
    <row r="64926" spans="1:141" s="116" customFormat="1">
      <c r="A64926" s="136"/>
      <c r="CM64926" s="111"/>
      <c r="CQ64926" s="111"/>
      <c r="EF64926"/>
      <c r="EG64926"/>
      <c r="EH64926"/>
      <c r="EI64926"/>
      <c r="EJ64926"/>
      <c r="EK64926"/>
    </row>
    <row r="64927" spans="1:141" s="116" customFormat="1">
      <c r="A64927" s="136"/>
      <c r="CM64927" s="111"/>
      <c r="CQ64927" s="111"/>
      <c r="EF64927"/>
      <c r="EG64927"/>
      <c r="EH64927"/>
      <c r="EI64927"/>
      <c r="EJ64927"/>
      <c r="EK64927"/>
    </row>
    <row r="64928" spans="1:141" s="116" customFormat="1">
      <c r="A64928" s="136"/>
      <c r="CM64928" s="111"/>
      <c r="CQ64928" s="111"/>
      <c r="EF64928"/>
      <c r="EG64928"/>
      <c r="EH64928"/>
      <c r="EI64928"/>
      <c r="EJ64928"/>
      <c r="EK64928"/>
    </row>
    <row r="64929" spans="1:141" s="116" customFormat="1">
      <c r="A64929" s="136"/>
      <c r="CM64929" s="111"/>
      <c r="CQ64929" s="111"/>
      <c r="EF64929"/>
      <c r="EG64929"/>
      <c r="EH64929"/>
      <c r="EI64929"/>
      <c r="EJ64929"/>
      <c r="EK64929"/>
    </row>
    <row r="64930" spans="1:141" s="116" customFormat="1">
      <c r="A64930" s="136"/>
      <c r="CM64930" s="111"/>
      <c r="CQ64930" s="111"/>
      <c r="EF64930"/>
      <c r="EG64930"/>
      <c r="EH64930"/>
      <c r="EI64930"/>
      <c r="EJ64930"/>
      <c r="EK64930"/>
    </row>
    <row r="64931" spans="1:141" s="116" customFormat="1">
      <c r="A64931" s="136"/>
      <c r="CM64931" s="111"/>
      <c r="CQ64931" s="111"/>
      <c r="EF64931"/>
      <c r="EG64931"/>
      <c r="EH64931"/>
      <c r="EI64931"/>
      <c r="EJ64931"/>
      <c r="EK64931"/>
    </row>
    <row r="64932" spans="1:141" s="116" customFormat="1">
      <c r="A64932" s="136"/>
      <c r="CM64932" s="111"/>
      <c r="CQ64932" s="111"/>
      <c r="EF64932"/>
      <c r="EG64932"/>
      <c r="EH64932"/>
      <c r="EI64932"/>
      <c r="EJ64932"/>
      <c r="EK64932"/>
    </row>
    <row r="64933" spans="1:141" s="116" customFormat="1">
      <c r="A64933" s="136"/>
      <c r="CM64933" s="111"/>
      <c r="CQ64933" s="111"/>
      <c r="EF64933"/>
      <c r="EG64933"/>
      <c r="EH64933"/>
      <c r="EI64933"/>
      <c r="EJ64933"/>
      <c r="EK64933"/>
    </row>
    <row r="64934" spans="1:141" s="116" customFormat="1">
      <c r="A64934" s="136"/>
      <c r="CM64934" s="111"/>
      <c r="CQ64934" s="111"/>
      <c r="EF64934"/>
      <c r="EG64934"/>
      <c r="EH64934"/>
      <c r="EI64934"/>
      <c r="EJ64934"/>
      <c r="EK64934"/>
    </row>
    <row r="64935" spans="1:141" s="116" customFormat="1">
      <c r="A64935" s="136"/>
      <c r="CM64935" s="111"/>
      <c r="CQ64935" s="111"/>
      <c r="EF64935"/>
      <c r="EG64935"/>
      <c r="EH64935"/>
      <c r="EI64935"/>
      <c r="EJ64935"/>
      <c r="EK64935"/>
    </row>
    <row r="64936" spans="1:141" s="116" customFormat="1">
      <c r="A64936" s="136"/>
      <c r="CM64936" s="111"/>
      <c r="CQ64936" s="111"/>
      <c r="EF64936"/>
      <c r="EG64936"/>
      <c r="EH64936"/>
      <c r="EI64936"/>
      <c r="EJ64936"/>
      <c r="EK64936"/>
    </row>
    <row r="64937" spans="1:141" s="116" customFormat="1">
      <c r="A64937" s="136"/>
      <c r="CM64937" s="111"/>
      <c r="CQ64937" s="111"/>
      <c r="EF64937"/>
      <c r="EG64937"/>
      <c r="EH64937"/>
      <c r="EI64937"/>
      <c r="EJ64937"/>
      <c r="EK64937"/>
    </row>
    <row r="64938" spans="1:141" s="116" customFormat="1">
      <c r="A64938" s="136"/>
      <c r="CM64938" s="111"/>
      <c r="CQ64938" s="111"/>
      <c r="EF64938"/>
      <c r="EG64938"/>
      <c r="EH64938"/>
      <c r="EI64938"/>
      <c r="EJ64938"/>
      <c r="EK64938"/>
    </row>
    <row r="64939" spans="1:141" s="116" customFormat="1">
      <c r="A64939" s="136"/>
      <c r="CM64939" s="111"/>
      <c r="CQ64939" s="111"/>
      <c r="EF64939"/>
      <c r="EG64939"/>
      <c r="EH64939"/>
      <c r="EI64939"/>
      <c r="EJ64939"/>
      <c r="EK64939"/>
    </row>
    <row r="64940" spans="1:141" s="116" customFormat="1">
      <c r="A64940" s="136"/>
      <c r="CM64940" s="111"/>
      <c r="CQ64940" s="111"/>
      <c r="EF64940"/>
      <c r="EG64940"/>
      <c r="EH64940"/>
      <c r="EI64940"/>
      <c r="EJ64940"/>
      <c r="EK64940"/>
    </row>
    <row r="64941" spans="1:141" s="116" customFormat="1">
      <c r="A64941" s="136"/>
      <c r="CM64941" s="111"/>
      <c r="CQ64941" s="111"/>
      <c r="EF64941"/>
      <c r="EG64941"/>
      <c r="EH64941"/>
      <c r="EI64941"/>
      <c r="EJ64941"/>
      <c r="EK64941"/>
    </row>
    <row r="64942" spans="1:141" s="116" customFormat="1">
      <c r="A64942" s="136"/>
      <c r="CM64942" s="111"/>
      <c r="CQ64942" s="111"/>
      <c r="EF64942"/>
      <c r="EG64942"/>
      <c r="EH64942"/>
      <c r="EI64942"/>
      <c r="EJ64942"/>
      <c r="EK64942"/>
    </row>
    <row r="64943" spans="1:141" s="116" customFormat="1">
      <c r="A64943" s="136"/>
      <c r="CM64943" s="111"/>
      <c r="CQ64943" s="111"/>
      <c r="EF64943"/>
      <c r="EG64943"/>
      <c r="EH64943"/>
      <c r="EI64943"/>
      <c r="EJ64943"/>
      <c r="EK64943"/>
    </row>
    <row r="64944" spans="1:141" s="116" customFormat="1">
      <c r="A64944" s="136"/>
      <c r="CM64944" s="111"/>
      <c r="CQ64944" s="111"/>
      <c r="EF64944"/>
      <c r="EG64944"/>
      <c r="EH64944"/>
      <c r="EI64944"/>
      <c r="EJ64944"/>
      <c r="EK64944"/>
    </row>
    <row r="64945" spans="1:141" s="116" customFormat="1">
      <c r="A64945" s="136"/>
      <c r="CM64945" s="111"/>
      <c r="CQ64945" s="111"/>
      <c r="EF64945"/>
      <c r="EG64945"/>
      <c r="EH64945"/>
      <c r="EI64945"/>
      <c r="EJ64945"/>
      <c r="EK64945"/>
    </row>
    <row r="64946" spans="1:141" s="116" customFormat="1">
      <c r="A64946" s="136"/>
      <c r="CM64946" s="111"/>
      <c r="CQ64946" s="111"/>
      <c r="EF64946"/>
      <c r="EG64946"/>
      <c r="EH64946"/>
      <c r="EI64946"/>
      <c r="EJ64946"/>
      <c r="EK64946"/>
    </row>
    <row r="64947" spans="1:141" s="116" customFormat="1">
      <c r="A64947" s="136"/>
      <c r="CM64947" s="111"/>
      <c r="CQ64947" s="111"/>
      <c r="EF64947"/>
      <c r="EG64947"/>
      <c r="EH64947"/>
      <c r="EI64947"/>
      <c r="EJ64947"/>
      <c r="EK64947"/>
    </row>
    <row r="64948" spans="1:141" s="116" customFormat="1">
      <c r="A64948" s="136"/>
      <c r="CM64948" s="111"/>
      <c r="CQ64948" s="111"/>
      <c r="EF64948"/>
      <c r="EG64948"/>
      <c r="EH64948"/>
      <c r="EI64948"/>
      <c r="EJ64948"/>
      <c r="EK64948"/>
    </row>
    <row r="64949" spans="1:141" s="116" customFormat="1">
      <c r="A64949" s="136"/>
      <c r="CM64949" s="111"/>
      <c r="CQ64949" s="111"/>
      <c r="EF64949"/>
      <c r="EG64949"/>
      <c r="EH64949"/>
      <c r="EI64949"/>
      <c r="EJ64949"/>
      <c r="EK64949"/>
    </row>
    <row r="64950" spans="1:141" s="116" customFormat="1">
      <c r="A64950" s="136"/>
      <c r="CM64950" s="111"/>
      <c r="CQ64950" s="111"/>
      <c r="EF64950"/>
      <c r="EG64950"/>
      <c r="EH64950"/>
      <c r="EI64950"/>
      <c r="EJ64950"/>
      <c r="EK64950"/>
    </row>
    <row r="64951" spans="1:141" s="116" customFormat="1">
      <c r="A64951" s="136"/>
      <c r="CM64951" s="111"/>
      <c r="CQ64951" s="111"/>
      <c r="EF64951"/>
      <c r="EG64951"/>
      <c r="EH64951"/>
      <c r="EI64951"/>
      <c r="EJ64951"/>
      <c r="EK64951"/>
    </row>
    <row r="64952" spans="1:141" s="116" customFormat="1">
      <c r="A64952" s="136"/>
      <c r="CM64952" s="111"/>
      <c r="CQ64952" s="111"/>
      <c r="EF64952"/>
      <c r="EG64952"/>
      <c r="EH64952"/>
      <c r="EI64952"/>
      <c r="EJ64952"/>
      <c r="EK64952"/>
    </row>
    <row r="64953" spans="1:141" s="116" customFormat="1">
      <c r="A64953" s="136"/>
      <c r="CM64953" s="111"/>
      <c r="CQ64953" s="111"/>
      <c r="EF64953"/>
      <c r="EG64953"/>
      <c r="EH64953"/>
      <c r="EI64953"/>
      <c r="EJ64953"/>
      <c r="EK64953"/>
    </row>
    <row r="64954" spans="1:141" s="116" customFormat="1">
      <c r="A64954" s="136"/>
      <c r="CM64954" s="111"/>
      <c r="CQ64954" s="111"/>
      <c r="EF64954"/>
      <c r="EG64954"/>
      <c r="EH64954"/>
      <c r="EI64954"/>
      <c r="EJ64954"/>
      <c r="EK64954"/>
    </row>
    <row r="64955" spans="1:141" s="116" customFormat="1">
      <c r="A64955" s="136"/>
      <c r="CM64955" s="111"/>
      <c r="CQ64955" s="111"/>
      <c r="EF64955"/>
      <c r="EG64955"/>
      <c r="EH64955"/>
      <c r="EI64955"/>
      <c r="EJ64955"/>
      <c r="EK64955"/>
    </row>
    <row r="64956" spans="1:141" s="116" customFormat="1">
      <c r="A64956" s="136"/>
      <c r="CM64956" s="111"/>
      <c r="CQ64956" s="111"/>
      <c r="EF64956"/>
      <c r="EG64956"/>
      <c r="EH64956"/>
      <c r="EI64956"/>
      <c r="EJ64956"/>
      <c r="EK64956"/>
    </row>
    <row r="64957" spans="1:141" s="116" customFormat="1">
      <c r="A64957" s="136"/>
      <c r="CM64957" s="111"/>
      <c r="CQ64957" s="111"/>
      <c r="EF64957"/>
      <c r="EG64957"/>
      <c r="EH64957"/>
      <c r="EI64957"/>
      <c r="EJ64957"/>
      <c r="EK64957"/>
    </row>
    <row r="64958" spans="1:141" s="116" customFormat="1">
      <c r="A64958" s="136"/>
      <c r="CM64958" s="111"/>
      <c r="CQ64958" s="111"/>
      <c r="EF64958"/>
      <c r="EG64958"/>
      <c r="EH64958"/>
      <c r="EI64958"/>
      <c r="EJ64958"/>
      <c r="EK64958"/>
    </row>
    <row r="64959" spans="1:141" s="116" customFormat="1">
      <c r="A64959" s="136"/>
      <c r="CM64959" s="111"/>
      <c r="CQ64959" s="111"/>
      <c r="EF64959"/>
      <c r="EG64959"/>
      <c r="EH64959"/>
      <c r="EI64959"/>
      <c r="EJ64959"/>
      <c r="EK64959"/>
    </row>
    <row r="64960" spans="1:141" s="116" customFormat="1">
      <c r="A64960" s="136"/>
      <c r="CM64960" s="111"/>
      <c r="CQ64960" s="111"/>
      <c r="EF64960"/>
      <c r="EG64960"/>
      <c r="EH64960"/>
      <c r="EI64960"/>
      <c r="EJ64960"/>
      <c r="EK64960"/>
    </row>
    <row r="64961" spans="1:141" s="116" customFormat="1">
      <c r="A64961" s="136"/>
      <c r="CM64961" s="111"/>
      <c r="CQ64961" s="111"/>
      <c r="EF64961"/>
      <c r="EG64961"/>
      <c r="EH64961"/>
      <c r="EI64961"/>
      <c r="EJ64961"/>
      <c r="EK64961"/>
    </row>
    <row r="64962" spans="1:141" s="116" customFormat="1">
      <c r="A64962" s="136"/>
      <c r="CM64962" s="111"/>
      <c r="CQ64962" s="111"/>
      <c r="EF64962"/>
      <c r="EG64962"/>
      <c r="EH64962"/>
      <c r="EI64962"/>
      <c r="EJ64962"/>
      <c r="EK64962"/>
    </row>
    <row r="64963" spans="1:141" s="116" customFormat="1">
      <c r="A64963" s="136"/>
      <c r="CM64963" s="111"/>
      <c r="CQ64963" s="111"/>
      <c r="EF64963"/>
      <c r="EG64963"/>
      <c r="EH64963"/>
      <c r="EI64963"/>
      <c r="EJ64963"/>
      <c r="EK64963"/>
    </row>
    <row r="64964" spans="1:141" s="116" customFormat="1">
      <c r="A64964" s="136"/>
      <c r="CM64964" s="111"/>
      <c r="CQ64964" s="111"/>
      <c r="EF64964"/>
      <c r="EG64964"/>
      <c r="EH64964"/>
      <c r="EI64964"/>
      <c r="EJ64964"/>
      <c r="EK64964"/>
    </row>
    <row r="64965" spans="1:141" s="116" customFormat="1">
      <c r="A64965" s="136"/>
      <c r="CM64965" s="111"/>
      <c r="CQ64965" s="111"/>
      <c r="EF64965"/>
      <c r="EG64965"/>
      <c r="EH64965"/>
      <c r="EI64965"/>
      <c r="EJ64965"/>
      <c r="EK64965"/>
    </row>
    <row r="64966" spans="1:141" s="116" customFormat="1">
      <c r="A64966" s="136"/>
      <c r="CM64966" s="111"/>
      <c r="CQ64966" s="111"/>
      <c r="EF64966"/>
      <c r="EG64966"/>
      <c r="EH64966"/>
      <c r="EI64966"/>
      <c r="EJ64966"/>
      <c r="EK64966"/>
    </row>
    <row r="64967" spans="1:141" s="116" customFormat="1">
      <c r="A64967" s="136"/>
      <c r="CM64967" s="111"/>
      <c r="CQ64967" s="111"/>
      <c r="EF64967"/>
      <c r="EG64967"/>
      <c r="EH64967"/>
      <c r="EI64967"/>
      <c r="EJ64967"/>
      <c r="EK64967"/>
    </row>
    <row r="64968" spans="1:141" s="116" customFormat="1">
      <c r="A64968" s="136"/>
      <c r="CM64968" s="111"/>
      <c r="CQ64968" s="111"/>
      <c r="EF64968"/>
      <c r="EG64968"/>
      <c r="EH64968"/>
      <c r="EI64968"/>
      <c r="EJ64968"/>
      <c r="EK64968"/>
    </row>
    <row r="64969" spans="1:141" s="116" customFormat="1">
      <c r="A64969" s="136"/>
      <c r="CM64969" s="111"/>
      <c r="CQ64969" s="111"/>
      <c r="EF64969"/>
      <c r="EG64969"/>
      <c r="EH64969"/>
      <c r="EI64969"/>
      <c r="EJ64969"/>
      <c r="EK64969"/>
    </row>
    <row r="64970" spans="1:141" s="116" customFormat="1">
      <c r="A64970" s="136"/>
      <c r="CM64970" s="111"/>
      <c r="CQ64970" s="111"/>
      <c r="EF64970"/>
      <c r="EG64970"/>
      <c r="EH64970"/>
      <c r="EI64970"/>
      <c r="EJ64970"/>
      <c r="EK64970"/>
    </row>
    <row r="64971" spans="1:141" s="116" customFormat="1">
      <c r="A64971" s="136"/>
      <c r="CM64971" s="111"/>
      <c r="CQ64971" s="111"/>
      <c r="EF64971"/>
      <c r="EG64971"/>
      <c r="EH64971"/>
      <c r="EI64971"/>
      <c r="EJ64971"/>
      <c r="EK64971"/>
    </row>
    <row r="64972" spans="1:141" s="116" customFormat="1">
      <c r="A64972" s="136"/>
      <c r="CM64972" s="111"/>
      <c r="CQ64972" s="111"/>
      <c r="EF64972"/>
      <c r="EG64972"/>
      <c r="EH64972"/>
      <c r="EI64972"/>
      <c r="EJ64972"/>
      <c r="EK64972"/>
    </row>
    <row r="64973" spans="1:141" s="116" customFormat="1">
      <c r="A64973" s="136"/>
      <c r="CM64973" s="111"/>
      <c r="CQ64973" s="111"/>
      <c r="EF64973"/>
      <c r="EG64973"/>
      <c r="EH64973"/>
      <c r="EI64973"/>
      <c r="EJ64973"/>
      <c r="EK64973"/>
    </row>
    <row r="64974" spans="1:141" s="116" customFormat="1">
      <c r="A64974" s="136"/>
      <c r="CM64974" s="111"/>
      <c r="CQ64974" s="111"/>
      <c r="EF64974"/>
      <c r="EG64974"/>
      <c r="EH64974"/>
      <c r="EI64974"/>
      <c r="EJ64974"/>
      <c r="EK64974"/>
    </row>
    <row r="64975" spans="1:141" s="116" customFormat="1">
      <c r="A64975" s="136"/>
      <c r="CM64975" s="111"/>
      <c r="CQ64975" s="111"/>
      <c r="EF64975"/>
      <c r="EG64975"/>
      <c r="EH64975"/>
      <c r="EI64975"/>
      <c r="EJ64975"/>
      <c r="EK64975"/>
    </row>
    <row r="64976" spans="1:141" s="116" customFormat="1">
      <c r="A64976" s="136"/>
      <c r="CM64976" s="111"/>
      <c r="CQ64976" s="111"/>
      <c r="EF64976"/>
      <c r="EG64976"/>
      <c r="EH64976"/>
      <c r="EI64976"/>
      <c r="EJ64976"/>
      <c r="EK64976"/>
    </row>
    <row r="64977" spans="1:141" s="116" customFormat="1">
      <c r="A64977" s="136"/>
      <c r="CM64977" s="111"/>
      <c r="CQ64977" s="111"/>
      <c r="EF64977"/>
      <c r="EG64977"/>
      <c r="EH64977"/>
      <c r="EI64977"/>
      <c r="EJ64977"/>
      <c r="EK64977"/>
    </row>
    <row r="64978" spans="1:141" s="116" customFormat="1">
      <c r="A64978" s="136"/>
      <c r="CM64978" s="111"/>
      <c r="CQ64978" s="111"/>
      <c r="EF64978"/>
      <c r="EG64978"/>
      <c r="EH64978"/>
      <c r="EI64978"/>
      <c r="EJ64978"/>
      <c r="EK64978"/>
    </row>
    <row r="64979" spans="1:141" s="116" customFormat="1">
      <c r="A64979" s="136"/>
      <c r="CM64979" s="111"/>
      <c r="CQ64979" s="111"/>
      <c r="EF64979"/>
      <c r="EG64979"/>
      <c r="EH64979"/>
      <c r="EI64979"/>
      <c r="EJ64979"/>
      <c r="EK64979"/>
    </row>
    <row r="64980" spans="1:141" s="116" customFormat="1">
      <c r="A64980" s="136"/>
      <c r="CM64980" s="111"/>
      <c r="CQ64980" s="111"/>
      <c r="EF64980"/>
      <c r="EG64980"/>
      <c r="EH64980"/>
      <c r="EI64980"/>
      <c r="EJ64980"/>
      <c r="EK64980"/>
    </row>
    <row r="64981" spans="1:141" s="116" customFormat="1">
      <c r="A64981" s="136"/>
      <c r="CM64981" s="111"/>
      <c r="CQ64981" s="111"/>
      <c r="EF64981"/>
      <c r="EG64981"/>
      <c r="EH64981"/>
      <c r="EI64981"/>
      <c r="EJ64981"/>
      <c r="EK64981"/>
    </row>
    <row r="64982" spans="1:141" s="116" customFormat="1">
      <c r="A64982" s="136"/>
      <c r="CM64982" s="111"/>
      <c r="CQ64982" s="111"/>
      <c r="EF64982"/>
      <c r="EG64982"/>
      <c r="EH64982"/>
      <c r="EI64982"/>
      <c r="EJ64982"/>
      <c r="EK64982"/>
    </row>
    <row r="64983" spans="1:141" s="116" customFormat="1">
      <c r="A64983" s="136"/>
      <c r="CM64983" s="111"/>
      <c r="CQ64983" s="111"/>
      <c r="EF64983"/>
      <c r="EG64983"/>
      <c r="EH64983"/>
      <c r="EI64983"/>
      <c r="EJ64983"/>
      <c r="EK64983"/>
    </row>
    <row r="64984" spans="1:141" s="116" customFormat="1">
      <c r="A64984" s="136"/>
      <c r="CM64984" s="111"/>
      <c r="CQ64984" s="111"/>
      <c r="EF64984"/>
      <c r="EG64984"/>
      <c r="EH64984"/>
      <c r="EI64984"/>
      <c r="EJ64984"/>
      <c r="EK64984"/>
    </row>
    <row r="64985" spans="1:141" s="116" customFormat="1">
      <c r="A64985" s="136"/>
      <c r="CM64985" s="111"/>
      <c r="CQ64985" s="111"/>
      <c r="EF64985"/>
      <c r="EG64985"/>
      <c r="EH64985"/>
      <c r="EI64985"/>
      <c r="EJ64985"/>
      <c r="EK64985"/>
    </row>
    <row r="64986" spans="1:141" s="116" customFormat="1">
      <c r="A64986" s="136"/>
      <c r="CM64986" s="111"/>
      <c r="CQ64986" s="111"/>
      <c r="EF64986"/>
      <c r="EG64986"/>
      <c r="EH64986"/>
      <c r="EI64986"/>
      <c r="EJ64986"/>
      <c r="EK64986"/>
    </row>
    <row r="64987" spans="1:141" s="116" customFormat="1">
      <c r="A64987" s="136"/>
      <c r="CM64987" s="111"/>
      <c r="CQ64987" s="111"/>
      <c r="EF64987"/>
      <c r="EG64987"/>
      <c r="EH64987"/>
      <c r="EI64987"/>
      <c r="EJ64987"/>
      <c r="EK64987"/>
    </row>
    <row r="64988" spans="1:141" s="116" customFormat="1">
      <c r="A64988" s="136"/>
      <c r="CM64988" s="111"/>
      <c r="CQ64988" s="111"/>
      <c r="EF64988"/>
      <c r="EG64988"/>
      <c r="EH64988"/>
      <c r="EI64988"/>
      <c r="EJ64988"/>
      <c r="EK64988"/>
    </row>
    <row r="64989" spans="1:141" s="116" customFormat="1">
      <c r="A64989" s="136"/>
      <c r="CM64989" s="111"/>
      <c r="CQ64989" s="111"/>
      <c r="EF64989"/>
      <c r="EG64989"/>
      <c r="EH64989"/>
      <c r="EI64989"/>
      <c r="EJ64989"/>
      <c r="EK64989"/>
    </row>
    <row r="64990" spans="1:141" s="116" customFormat="1">
      <c r="A64990" s="136"/>
      <c r="CM64990" s="111"/>
      <c r="CQ64990" s="111"/>
      <c r="EF64990"/>
      <c r="EG64990"/>
      <c r="EH64990"/>
      <c r="EI64990"/>
      <c r="EJ64990"/>
      <c r="EK64990"/>
    </row>
    <row r="64991" spans="1:141" s="116" customFormat="1">
      <c r="A64991" s="136"/>
      <c r="CM64991" s="111"/>
      <c r="CQ64991" s="111"/>
      <c r="EF64991"/>
      <c r="EG64991"/>
      <c r="EH64991"/>
      <c r="EI64991"/>
      <c r="EJ64991"/>
      <c r="EK64991"/>
    </row>
    <row r="64992" spans="1:141" s="116" customFormat="1">
      <c r="A64992" s="136"/>
      <c r="CM64992" s="111"/>
      <c r="CQ64992" s="111"/>
      <c r="EF64992"/>
      <c r="EG64992"/>
      <c r="EH64992"/>
      <c r="EI64992"/>
      <c r="EJ64992"/>
      <c r="EK64992"/>
    </row>
    <row r="64993" spans="1:141" s="116" customFormat="1">
      <c r="A64993" s="136"/>
      <c r="CM64993" s="111"/>
      <c r="CQ64993" s="111"/>
      <c r="EF64993"/>
      <c r="EG64993"/>
      <c r="EH64993"/>
      <c r="EI64993"/>
      <c r="EJ64993"/>
      <c r="EK64993"/>
    </row>
    <row r="64994" spans="1:141" s="116" customFormat="1">
      <c r="A64994" s="136"/>
      <c r="CM64994" s="111"/>
      <c r="CQ64994" s="111"/>
      <c r="EF64994"/>
      <c r="EG64994"/>
      <c r="EH64994"/>
      <c r="EI64994"/>
      <c r="EJ64994"/>
      <c r="EK64994"/>
    </row>
    <row r="64995" spans="1:141" s="116" customFormat="1">
      <c r="A64995" s="136"/>
      <c r="CM64995" s="111"/>
      <c r="CQ64995" s="111"/>
      <c r="EF64995"/>
      <c r="EG64995"/>
      <c r="EH64995"/>
      <c r="EI64995"/>
      <c r="EJ64995"/>
      <c r="EK64995"/>
    </row>
    <row r="64996" spans="1:141" s="116" customFormat="1">
      <c r="A64996" s="136"/>
      <c r="CM64996" s="111"/>
      <c r="CQ64996" s="111"/>
      <c r="EF64996"/>
      <c r="EG64996"/>
      <c r="EH64996"/>
      <c r="EI64996"/>
      <c r="EJ64996"/>
      <c r="EK64996"/>
    </row>
    <row r="64997" spans="1:141" s="116" customFormat="1">
      <c r="A64997" s="136"/>
      <c r="CM64997" s="111"/>
      <c r="CQ64997" s="111"/>
      <c r="EF64997"/>
      <c r="EG64997"/>
      <c r="EH64997"/>
      <c r="EI64997"/>
      <c r="EJ64997"/>
      <c r="EK64997"/>
    </row>
    <row r="64998" spans="1:141" s="116" customFormat="1">
      <c r="A64998" s="136"/>
      <c r="CM64998" s="111"/>
      <c r="CQ64998" s="111"/>
      <c r="EF64998"/>
      <c r="EG64998"/>
      <c r="EH64998"/>
      <c r="EI64998"/>
      <c r="EJ64998"/>
      <c r="EK64998"/>
    </row>
    <row r="64999" spans="1:141" s="116" customFormat="1">
      <c r="A64999" s="136"/>
      <c r="CM64999" s="111"/>
      <c r="CQ64999" s="111"/>
      <c r="EF64999"/>
      <c r="EG64999"/>
      <c r="EH64999"/>
      <c r="EI64999"/>
      <c r="EJ64999"/>
      <c r="EK64999"/>
    </row>
    <row r="65000" spans="1:141" s="116" customFormat="1">
      <c r="A65000" s="136"/>
      <c r="CM65000" s="111"/>
      <c r="CQ65000" s="111"/>
      <c r="EF65000"/>
      <c r="EG65000"/>
      <c r="EH65000"/>
      <c r="EI65000"/>
      <c r="EJ65000"/>
      <c r="EK65000"/>
    </row>
    <row r="65001" spans="1:141" s="116" customFormat="1">
      <c r="A65001" s="136"/>
      <c r="CM65001" s="111"/>
      <c r="CQ65001" s="111"/>
      <c r="EF65001"/>
      <c r="EG65001"/>
      <c r="EH65001"/>
      <c r="EI65001"/>
      <c r="EJ65001"/>
      <c r="EK65001"/>
    </row>
    <row r="65002" spans="1:141" s="116" customFormat="1">
      <c r="A65002" s="136"/>
      <c r="CM65002" s="111"/>
      <c r="CQ65002" s="111"/>
      <c r="EF65002"/>
      <c r="EG65002"/>
      <c r="EH65002"/>
      <c r="EI65002"/>
      <c r="EJ65002"/>
      <c r="EK65002"/>
    </row>
    <row r="65003" spans="1:141" s="116" customFormat="1">
      <c r="A65003" s="136"/>
      <c r="CM65003" s="111"/>
      <c r="CQ65003" s="111"/>
      <c r="EF65003"/>
      <c r="EG65003"/>
      <c r="EH65003"/>
      <c r="EI65003"/>
      <c r="EJ65003"/>
      <c r="EK65003"/>
    </row>
    <row r="65004" spans="1:141" s="116" customFormat="1">
      <c r="A65004" s="136"/>
      <c r="CM65004" s="111"/>
      <c r="CQ65004" s="111"/>
      <c r="EF65004"/>
      <c r="EG65004"/>
      <c r="EH65004"/>
      <c r="EI65004"/>
      <c r="EJ65004"/>
      <c r="EK65004"/>
    </row>
    <row r="65005" spans="1:141" s="116" customFormat="1">
      <c r="A65005" s="136"/>
      <c r="CM65005" s="111"/>
      <c r="CQ65005" s="111"/>
      <c r="EF65005"/>
      <c r="EG65005"/>
      <c r="EH65005"/>
      <c r="EI65005"/>
      <c r="EJ65005"/>
      <c r="EK65005"/>
    </row>
    <row r="65006" spans="1:141" s="116" customFormat="1">
      <c r="A65006" s="136"/>
      <c r="CM65006" s="111"/>
      <c r="CQ65006" s="111"/>
      <c r="EF65006"/>
      <c r="EG65006"/>
      <c r="EH65006"/>
      <c r="EI65006"/>
      <c r="EJ65006"/>
      <c r="EK65006"/>
    </row>
    <row r="65007" spans="1:141" s="116" customFormat="1">
      <c r="A65007" s="136"/>
      <c r="CM65007" s="111"/>
      <c r="CQ65007" s="111"/>
      <c r="EF65007"/>
      <c r="EG65007"/>
      <c r="EH65007"/>
      <c r="EI65007"/>
      <c r="EJ65007"/>
      <c r="EK65007"/>
    </row>
    <row r="65008" spans="1:141" s="116" customFormat="1">
      <c r="A65008" s="136"/>
      <c r="CM65008" s="111"/>
      <c r="CQ65008" s="111"/>
      <c r="EF65008"/>
      <c r="EG65008"/>
      <c r="EH65008"/>
      <c r="EI65008"/>
      <c r="EJ65008"/>
      <c r="EK65008"/>
    </row>
    <row r="65009" spans="1:141" s="116" customFormat="1">
      <c r="A65009" s="136"/>
      <c r="CM65009" s="111"/>
      <c r="CQ65009" s="111"/>
      <c r="EF65009"/>
      <c r="EG65009"/>
      <c r="EH65009"/>
      <c r="EI65009"/>
      <c r="EJ65009"/>
      <c r="EK65009"/>
    </row>
    <row r="65010" spans="1:141" s="116" customFormat="1">
      <c r="A65010" s="136"/>
      <c r="CM65010" s="111"/>
      <c r="CQ65010" s="111"/>
      <c r="EF65010"/>
      <c r="EG65010"/>
      <c r="EH65010"/>
      <c r="EI65010"/>
      <c r="EJ65010"/>
      <c r="EK65010"/>
    </row>
    <row r="65011" spans="1:141" s="116" customFormat="1">
      <c r="A65011" s="136"/>
      <c r="CM65011" s="111"/>
      <c r="CQ65011" s="111"/>
      <c r="EF65011"/>
      <c r="EG65011"/>
      <c r="EH65011"/>
      <c r="EI65011"/>
      <c r="EJ65011"/>
      <c r="EK65011"/>
    </row>
    <row r="65012" spans="1:141" s="116" customFormat="1">
      <c r="A65012" s="136"/>
      <c r="CM65012" s="111"/>
      <c r="CQ65012" s="111"/>
      <c r="EF65012"/>
      <c r="EG65012"/>
      <c r="EH65012"/>
      <c r="EI65012"/>
      <c r="EJ65012"/>
      <c r="EK65012"/>
    </row>
    <row r="65013" spans="1:141" s="116" customFormat="1">
      <c r="A65013" s="136"/>
      <c r="CM65013" s="111"/>
      <c r="CQ65013" s="111"/>
      <c r="EF65013"/>
      <c r="EG65013"/>
      <c r="EH65013"/>
      <c r="EI65013"/>
      <c r="EJ65013"/>
      <c r="EK65013"/>
    </row>
    <row r="65014" spans="1:141" s="116" customFormat="1">
      <c r="A65014" s="136"/>
      <c r="CM65014" s="111"/>
      <c r="CQ65014" s="111"/>
      <c r="EF65014"/>
      <c r="EG65014"/>
      <c r="EH65014"/>
      <c r="EI65014"/>
      <c r="EJ65014"/>
      <c r="EK65014"/>
    </row>
    <row r="65015" spans="1:141" s="116" customFormat="1">
      <c r="A65015" s="136"/>
      <c r="CM65015" s="111"/>
      <c r="CQ65015" s="111"/>
      <c r="EF65015"/>
      <c r="EG65015"/>
      <c r="EH65015"/>
      <c r="EI65015"/>
      <c r="EJ65015"/>
      <c r="EK65015"/>
    </row>
    <row r="65016" spans="1:141" s="116" customFormat="1">
      <c r="A65016" s="136"/>
      <c r="CM65016" s="111"/>
      <c r="CQ65016" s="111"/>
      <c r="EF65016"/>
      <c r="EG65016"/>
      <c r="EH65016"/>
      <c r="EI65016"/>
      <c r="EJ65016"/>
      <c r="EK65016"/>
    </row>
    <row r="65017" spans="1:141" s="116" customFormat="1">
      <c r="A65017" s="136"/>
      <c r="CM65017" s="111"/>
      <c r="CQ65017" s="111"/>
      <c r="EF65017"/>
      <c r="EG65017"/>
      <c r="EH65017"/>
      <c r="EI65017"/>
      <c r="EJ65017"/>
      <c r="EK65017"/>
    </row>
    <row r="65018" spans="1:141" s="116" customFormat="1">
      <c r="A65018" s="136"/>
      <c r="CM65018" s="111"/>
      <c r="CQ65018" s="111"/>
      <c r="EF65018"/>
      <c r="EG65018"/>
      <c r="EH65018"/>
      <c r="EI65018"/>
      <c r="EJ65018"/>
      <c r="EK65018"/>
    </row>
    <row r="65019" spans="1:141" s="116" customFormat="1">
      <c r="A65019" s="136"/>
      <c r="CM65019" s="111"/>
      <c r="CQ65019" s="111"/>
      <c r="EF65019"/>
      <c r="EG65019"/>
      <c r="EH65019"/>
      <c r="EI65019"/>
      <c r="EJ65019"/>
      <c r="EK65019"/>
    </row>
    <row r="65020" spans="1:141" s="116" customFormat="1">
      <c r="A65020" s="136"/>
      <c r="CM65020" s="111"/>
      <c r="CQ65020" s="111"/>
      <c r="EF65020"/>
      <c r="EG65020"/>
      <c r="EH65020"/>
      <c r="EI65020"/>
      <c r="EJ65020"/>
      <c r="EK65020"/>
    </row>
    <row r="65021" spans="1:141" s="116" customFormat="1">
      <c r="A65021" s="136"/>
      <c r="CM65021" s="111"/>
      <c r="CQ65021" s="111"/>
      <c r="EF65021"/>
      <c r="EG65021"/>
      <c r="EH65021"/>
      <c r="EI65021"/>
      <c r="EJ65021"/>
      <c r="EK65021"/>
    </row>
    <row r="65022" spans="1:141" s="116" customFormat="1">
      <c r="A65022" s="136"/>
      <c r="CM65022" s="111"/>
      <c r="CQ65022" s="111"/>
      <c r="EF65022"/>
      <c r="EG65022"/>
      <c r="EH65022"/>
      <c r="EI65022"/>
      <c r="EJ65022"/>
      <c r="EK65022"/>
    </row>
    <row r="65023" spans="1:141" s="116" customFormat="1">
      <c r="A65023" s="136"/>
      <c r="CM65023" s="111"/>
      <c r="CQ65023" s="111"/>
      <c r="EF65023"/>
      <c r="EG65023"/>
      <c r="EH65023"/>
      <c r="EI65023"/>
      <c r="EJ65023"/>
      <c r="EK65023"/>
    </row>
    <row r="65024" spans="1:141" s="116" customFormat="1">
      <c r="A65024" s="136"/>
      <c r="CM65024" s="111"/>
      <c r="CQ65024" s="111"/>
      <c r="EF65024"/>
      <c r="EG65024"/>
      <c r="EH65024"/>
      <c r="EI65024"/>
      <c r="EJ65024"/>
      <c r="EK65024"/>
    </row>
    <row r="65025" spans="1:141" s="116" customFormat="1">
      <c r="A65025" s="136"/>
      <c r="CM65025" s="111"/>
      <c r="CQ65025" s="111"/>
      <c r="EF65025"/>
      <c r="EG65025"/>
      <c r="EH65025"/>
      <c r="EI65025"/>
      <c r="EJ65025"/>
      <c r="EK65025"/>
    </row>
    <row r="65026" spans="1:141" s="116" customFormat="1">
      <c r="A65026" s="136"/>
      <c r="CM65026" s="111"/>
      <c r="CQ65026" s="111"/>
      <c r="EF65026"/>
      <c r="EG65026"/>
      <c r="EH65026"/>
      <c r="EI65026"/>
      <c r="EJ65026"/>
      <c r="EK65026"/>
    </row>
    <row r="65027" spans="1:141" s="116" customFormat="1">
      <c r="A65027" s="136"/>
      <c r="CM65027" s="111"/>
      <c r="CQ65027" s="111"/>
      <c r="EF65027"/>
      <c r="EG65027"/>
      <c r="EH65027"/>
      <c r="EI65027"/>
      <c r="EJ65027"/>
      <c r="EK65027"/>
    </row>
    <row r="65028" spans="1:141" s="116" customFormat="1">
      <c r="A65028" s="136"/>
      <c r="CM65028" s="111"/>
      <c r="CQ65028" s="111"/>
      <c r="EF65028"/>
      <c r="EG65028"/>
      <c r="EH65028"/>
      <c r="EI65028"/>
      <c r="EJ65028"/>
      <c r="EK65028"/>
    </row>
    <row r="65029" spans="1:141" s="116" customFormat="1">
      <c r="A65029" s="136"/>
      <c r="CM65029" s="111"/>
      <c r="CQ65029" s="111"/>
      <c r="EF65029"/>
      <c r="EG65029"/>
      <c r="EH65029"/>
      <c r="EI65029"/>
      <c r="EJ65029"/>
      <c r="EK65029"/>
    </row>
    <row r="65030" spans="1:141" s="116" customFormat="1">
      <c r="A65030" s="136"/>
      <c r="CM65030" s="111"/>
      <c r="CQ65030" s="111"/>
      <c r="EF65030"/>
      <c r="EG65030"/>
      <c r="EH65030"/>
      <c r="EI65030"/>
      <c r="EJ65030"/>
      <c r="EK65030"/>
    </row>
    <row r="65031" spans="1:141" s="116" customFormat="1">
      <c r="A65031" s="136"/>
      <c r="CM65031" s="111"/>
      <c r="CQ65031" s="111"/>
      <c r="EF65031"/>
      <c r="EG65031"/>
      <c r="EH65031"/>
      <c r="EI65031"/>
      <c r="EJ65031"/>
      <c r="EK65031"/>
    </row>
    <row r="65032" spans="1:141" s="116" customFormat="1">
      <c r="A65032" s="136"/>
      <c r="CM65032" s="111"/>
      <c r="CQ65032" s="111"/>
      <c r="EF65032"/>
      <c r="EG65032"/>
      <c r="EH65032"/>
      <c r="EI65032"/>
      <c r="EJ65032"/>
      <c r="EK65032"/>
    </row>
    <row r="65033" spans="1:141" s="116" customFormat="1">
      <c r="A65033" s="136"/>
      <c r="CM65033" s="111"/>
      <c r="CQ65033" s="111"/>
      <c r="EF65033"/>
      <c r="EG65033"/>
      <c r="EH65033"/>
      <c r="EI65033"/>
      <c r="EJ65033"/>
      <c r="EK65033"/>
    </row>
    <row r="65034" spans="1:141" s="116" customFormat="1">
      <c r="A65034" s="136"/>
      <c r="CM65034" s="111"/>
      <c r="CQ65034" s="111"/>
      <c r="EF65034"/>
      <c r="EG65034"/>
      <c r="EH65034"/>
      <c r="EI65034"/>
      <c r="EJ65034"/>
      <c r="EK65034"/>
    </row>
    <row r="65035" spans="1:141" s="116" customFormat="1">
      <c r="A65035" s="136"/>
      <c r="CM65035" s="111"/>
      <c r="CQ65035" s="111"/>
      <c r="EF65035"/>
      <c r="EG65035"/>
      <c r="EH65035"/>
      <c r="EI65035"/>
      <c r="EJ65035"/>
      <c r="EK65035"/>
    </row>
    <row r="65036" spans="1:141" s="116" customFormat="1">
      <c r="A65036" s="136"/>
      <c r="CM65036" s="111"/>
      <c r="CQ65036" s="111"/>
      <c r="EF65036"/>
      <c r="EG65036"/>
      <c r="EH65036"/>
      <c r="EI65036"/>
      <c r="EJ65036"/>
      <c r="EK65036"/>
    </row>
    <row r="65037" spans="1:141" s="116" customFormat="1">
      <c r="A65037" s="136"/>
      <c r="CM65037" s="111"/>
      <c r="CQ65037" s="111"/>
      <c r="EF65037"/>
      <c r="EG65037"/>
      <c r="EH65037"/>
      <c r="EI65037"/>
      <c r="EJ65037"/>
      <c r="EK65037"/>
    </row>
    <row r="65038" spans="1:141" s="116" customFormat="1">
      <c r="A65038" s="136"/>
      <c r="CM65038" s="111"/>
      <c r="CQ65038" s="111"/>
      <c r="EF65038"/>
      <c r="EG65038"/>
      <c r="EH65038"/>
      <c r="EI65038"/>
      <c r="EJ65038"/>
      <c r="EK65038"/>
    </row>
    <row r="65039" spans="1:141" s="116" customFormat="1">
      <c r="A65039" s="136"/>
      <c r="CM65039" s="111"/>
      <c r="CQ65039" s="111"/>
      <c r="EF65039"/>
      <c r="EG65039"/>
      <c r="EH65039"/>
      <c r="EI65039"/>
      <c r="EJ65039"/>
      <c r="EK65039"/>
    </row>
    <row r="65040" spans="1:141" s="116" customFormat="1">
      <c r="A65040" s="136"/>
      <c r="CM65040" s="111"/>
      <c r="CQ65040" s="111"/>
      <c r="EF65040"/>
      <c r="EG65040"/>
      <c r="EH65040"/>
      <c r="EI65040"/>
      <c r="EJ65040"/>
      <c r="EK65040"/>
    </row>
    <row r="65041" spans="1:141" s="116" customFormat="1">
      <c r="A65041" s="136"/>
      <c r="CM65041" s="111"/>
      <c r="CQ65041" s="111"/>
      <c r="EF65041"/>
      <c r="EG65041"/>
      <c r="EH65041"/>
      <c r="EI65041"/>
      <c r="EJ65041"/>
      <c r="EK65041"/>
    </row>
    <row r="65042" spans="1:141" s="116" customFormat="1">
      <c r="A65042" s="136"/>
      <c r="CM65042" s="111"/>
      <c r="CQ65042" s="111"/>
      <c r="EF65042"/>
      <c r="EG65042"/>
      <c r="EH65042"/>
      <c r="EI65042"/>
      <c r="EJ65042"/>
      <c r="EK65042"/>
    </row>
    <row r="65043" spans="1:141" s="116" customFormat="1">
      <c r="A65043" s="136"/>
      <c r="CM65043" s="111"/>
      <c r="CQ65043" s="111"/>
      <c r="EF65043"/>
      <c r="EG65043"/>
      <c r="EH65043"/>
      <c r="EI65043"/>
      <c r="EJ65043"/>
      <c r="EK65043"/>
    </row>
    <row r="65044" spans="1:141" s="116" customFormat="1">
      <c r="A65044" s="136"/>
      <c r="CM65044" s="111"/>
      <c r="CQ65044" s="111"/>
      <c r="EF65044"/>
      <c r="EG65044"/>
      <c r="EH65044"/>
      <c r="EI65044"/>
      <c r="EJ65044"/>
      <c r="EK65044"/>
    </row>
    <row r="65045" spans="1:141" s="116" customFormat="1">
      <c r="A65045" s="136"/>
      <c r="CM65045" s="111"/>
      <c r="CQ65045" s="111"/>
      <c r="EF65045"/>
      <c r="EG65045"/>
      <c r="EH65045"/>
      <c r="EI65045"/>
      <c r="EJ65045"/>
      <c r="EK65045"/>
    </row>
    <row r="65046" spans="1:141" s="116" customFormat="1">
      <c r="A65046" s="136"/>
      <c r="CM65046" s="111"/>
      <c r="CQ65046" s="111"/>
      <c r="EF65046"/>
      <c r="EG65046"/>
      <c r="EH65046"/>
      <c r="EI65046"/>
      <c r="EJ65046"/>
      <c r="EK65046"/>
    </row>
    <row r="65047" spans="1:141" s="116" customFormat="1">
      <c r="A65047" s="136"/>
      <c r="CM65047" s="111"/>
      <c r="CQ65047" s="111"/>
      <c r="EF65047"/>
      <c r="EG65047"/>
      <c r="EH65047"/>
      <c r="EI65047"/>
      <c r="EJ65047"/>
      <c r="EK65047"/>
    </row>
    <row r="65048" spans="1:141" s="116" customFormat="1">
      <c r="A65048" s="136"/>
      <c r="CM65048" s="111"/>
      <c r="CQ65048" s="111"/>
      <c r="EF65048"/>
      <c r="EG65048"/>
      <c r="EH65048"/>
      <c r="EI65048"/>
      <c r="EJ65048"/>
      <c r="EK65048"/>
    </row>
    <row r="65049" spans="1:141" s="116" customFormat="1">
      <c r="A65049" s="136"/>
      <c r="CM65049" s="111"/>
      <c r="CQ65049" s="111"/>
      <c r="EF65049"/>
      <c r="EG65049"/>
      <c r="EH65049"/>
      <c r="EI65049"/>
      <c r="EJ65049"/>
      <c r="EK65049"/>
    </row>
    <row r="65050" spans="1:141" s="116" customFormat="1">
      <c r="A65050" s="136"/>
      <c r="CM65050" s="111"/>
      <c r="CQ65050" s="111"/>
      <c r="EF65050"/>
      <c r="EG65050"/>
      <c r="EH65050"/>
      <c r="EI65050"/>
      <c r="EJ65050"/>
      <c r="EK65050"/>
    </row>
    <row r="65051" spans="1:141" s="116" customFormat="1">
      <c r="A65051" s="136"/>
      <c r="CM65051" s="111"/>
      <c r="CQ65051" s="111"/>
      <c r="EF65051"/>
      <c r="EG65051"/>
      <c r="EH65051"/>
      <c r="EI65051"/>
      <c r="EJ65051"/>
      <c r="EK65051"/>
    </row>
    <row r="65052" spans="1:141" s="116" customFormat="1">
      <c r="A65052" s="136"/>
      <c r="CM65052" s="111"/>
      <c r="CQ65052" s="111"/>
      <c r="EF65052"/>
      <c r="EG65052"/>
      <c r="EH65052"/>
      <c r="EI65052"/>
      <c r="EJ65052"/>
      <c r="EK65052"/>
    </row>
    <row r="65053" spans="1:141" s="116" customFormat="1">
      <c r="A65053" s="136"/>
      <c r="CM65053" s="111"/>
      <c r="CQ65053" s="111"/>
      <c r="EF65053"/>
      <c r="EG65053"/>
      <c r="EH65053"/>
      <c r="EI65053"/>
      <c r="EJ65053"/>
      <c r="EK65053"/>
    </row>
    <row r="65054" spans="1:141" s="116" customFormat="1">
      <c r="A65054" s="136"/>
      <c r="CM65054" s="111"/>
      <c r="CQ65054" s="111"/>
      <c r="EF65054"/>
      <c r="EG65054"/>
      <c r="EH65054"/>
      <c r="EI65054"/>
      <c r="EJ65054"/>
      <c r="EK65054"/>
    </row>
    <row r="65055" spans="1:141" s="116" customFormat="1">
      <c r="A65055" s="136"/>
      <c r="CM65055" s="111"/>
      <c r="CQ65055" s="111"/>
      <c r="EF65055"/>
      <c r="EG65055"/>
      <c r="EH65055"/>
      <c r="EI65055"/>
      <c r="EJ65055"/>
      <c r="EK65055"/>
    </row>
    <row r="65056" spans="1:141" s="116" customFormat="1">
      <c r="A65056" s="136"/>
      <c r="CM65056" s="111"/>
      <c r="CQ65056" s="111"/>
      <c r="EF65056"/>
      <c r="EG65056"/>
      <c r="EH65056"/>
      <c r="EI65056"/>
      <c r="EJ65056"/>
      <c r="EK65056"/>
    </row>
    <row r="65057" spans="1:141" s="116" customFormat="1">
      <c r="A65057" s="136"/>
      <c r="CM65057" s="111"/>
      <c r="CQ65057" s="111"/>
      <c r="EF65057"/>
      <c r="EG65057"/>
      <c r="EH65057"/>
      <c r="EI65057"/>
      <c r="EJ65057"/>
      <c r="EK65057"/>
    </row>
    <row r="65058" spans="1:141" s="116" customFormat="1">
      <c r="A65058" s="136"/>
      <c r="CM65058" s="111"/>
      <c r="CQ65058" s="111"/>
      <c r="EF65058"/>
      <c r="EG65058"/>
      <c r="EH65058"/>
      <c r="EI65058"/>
      <c r="EJ65058"/>
      <c r="EK65058"/>
    </row>
    <row r="65059" spans="1:141" s="116" customFormat="1">
      <c r="A65059" s="136"/>
      <c r="CM65059" s="111"/>
      <c r="CQ65059" s="111"/>
      <c r="EF65059"/>
      <c r="EG65059"/>
      <c r="EH65059"/>
      <c r="EI65059"/>
      <c r="EJ65059"/>
      <c r="EK65059"/>
    </row>
    <row r="65060" spans="1:141" s="116" customFormat="1">
      <c r="A65060" s="136"/>
      <c r="CM65060" s="111"/>
      <c r="CQ65060" s="111"/>
      <c r="EF65060"/>
      <c r="EG65060"/>
      <c r="EH65060"/>
      <c r="EI65060"/>
      <c r="EJ65060"/>
      <c r="EK65060"/>
    </row>
    <row r="65061" spans="1:141" s="116" customFormat="1">
      <c r="A65061" s="136"/>
      <c r="CM65061" s="111"/>
      <c r="CQ65061" s="111"/>
      <c r="EF65061"/>
      <c r="EG65061"/>
      <c r="EH65061"/>
      <c r="EI65061"/>
      <c r="EJ65061"/>
      <c r="EK65061"/>
    </row>
    <row r="65062" spans="1:141" s="116" customFormat="1">
      <c r="A65062" s="136"/>
      <c r="CM65062" s="111"/>
      <c r="CQ65062" s="111"/>
      <c r="EF65062"/>
      <c r="EG65062"/>
      <c r="EH65062"/>
      <c r="EI65062"/>
      <c r="EJ65062"/>
      <c r="EK65062"/>
    </row>
    <row r="65063" spans="1:141" s="116" customFormat="1">
      <c r="A65063" s="136"/>
      <c r="CM65063" s="111"/>
      <c r="CQ65063" s="111"/>
      <c r="EF65063"/>
      <c r="EG65063"/>
      <c r="EH65063"/>
      <c r="EI65063"/>
      <c r="EJ65063"/>
      <c r="EK65063"/>
    </row>
    <row r="65064" spans="1:141" s="116" customFormat="1">
      <c r="A65064" s="136"/>
      <c r="CM65064" s="111"/>
      <c r="CQ65064" s="111"/>
      <c r="EF65064"/>
      <c r="EG65064"/>
      <c r="EH65064"/>
      <c r="EI65064"/>
      <c r="EJ65064"/>
      <c r="EK65064"/>
    </row>
    <row r="65065" spans="1:141" s="116" customFormat="1">
      <c r="A65065" s="136"/>
      <c r="CM65065" s="111"/>
      <c r="CQ65065" s="111"/>
      <c r="EF65065"/>
      <c r="EG65065"/>
      <c r="EH65065"/>
      <c r="EI65065"/>
      <c r="EJ65065"/>
      <c r="EK65065"/>
    </row>
    <row r="65066" spans="1:141" s="116" customFormat="1">
      <c r="A65066" s="136"/>
      <c r="CM65066" s="111"/>
      <c r="CQ65066" s="111"/>
      <c r="EF65066"/>
      <c r="EG65066"/>
      <c r="EH65066"/>
      <c r="EI65066"/>
      <c r="EJ65066"/>
      <c r="EK65066"/>
    </row>
    <row r="65067" spans="1:141" s="116" customFormat="1">
      <c r="A65067" s="136"/>
      <c r="CM65067" s="111"/>
      <c r="CQ65067" s="111"/>
      <c r="EF65067"/>
      <c r="EG65067"/>
      <c r="EH65067"/>
      <c r="EI65067"/>
      <c r="EJ65067"/>
      <c r="EK65067"/>
    </row>
    <row r="65068" spans="1:141" s="116" customFormat="1">
      <c r="A65068" s="136"/>
      <c r="CM65068" s="111"/>
      <c r="CQ65068" s="111"/>
      <c r="EF65068"/>
      <c r="EG65068"/>
      <c r="EH65068"/>
      <c r="EI65068"/>
      <c r="EJ65068"/>
      <c r="EK65068"/>
    </row>
    <row r="65069" spans="1:141" s="116" customFormat="1">
      <c r="A65069" s="136"/>
      <c r="CM65069" s="111"/>
      <c r="CQ65069" s="111"/>
      <c r="EF65069"/>
      <c r="EG65069"/>
      <c r="EH65069"/>
      <c r="EI65069"/>
      <c r="EJ65069"/>
      <c r="EK65069"/>
    </row>
    <row r="65070" spans="1:141" s="116" customFormat="1">
      <c r="A65070" s="136"/>
      <c r="CM65070" s="111"/>
      <c r="CQ65070" s="111"/>
      <c r="EF65070"/>
      <c r="EG65070"/>
      <c r="EH65070"/>
      <c r="EI65070"/>
      <c r="EJ65070"/>
      <c r="EK65070"/>
    </row>
    <row r="65071" spans="1:141" s="116" customFormat="1">
      <c r="A65071" s="136"/>
      <c r="CM65071" s="111"/>
      <c r="CQ65071" s="111"/>
      <c r="EF65071"/>
      <c r="EG65071"/>
      <c r="EH65071"/>
      <c r="EI65071"/>
      <c r="EJ65071"/>
      <c r="EK65071"/>
    </row>
    <row r="65072" spans="1:141" s="116" customFormat="1">
      <c r="A65072" s="136"/>
      <c r="CM65072" s="111"/>
      <c r="CQ65072" s="111"/>
      <c r="EF65072"/>
      <c r="EG65072"/>
      <c r="EH65072"/>
      <c r="EI65072"/>
      <c r="EJ65072"/>
      <c r="EK65072"/>
    </row>
    <row r="65073" spans="1:141" s="116" customFormat="1">
      <c r="A65073" s="136"/>
      <c r="CM65073" s="111"/>
      <c r="CQ65073" s="111"/>
      <c r="EF65073"/>
      <c r="EG65073"/>
      <c r="EH65073"/>
      <c r="EI65073"/>
      <c r="EJ65073"/>
      <c r="EK65073"/>
    </row>
    <row r="65074" spans="1:141" s="116" customFormat="1">
      <c r="A65074" s="136"/>
      <c r="CM65074" s="111"/>
      <c r="CQ65074" s="111"/>
      <c r="EF65074"/>
      <c r="EG65074"/>
      <c r="EH65074"/>
      <c r="EI65074"/>
      <c r="EJ65074"/>
      <c r="EK65074"/>
    </row>
    <row r="65075" spans="1:141" s="116" customFormat="1">
      <c r="A65075" s="136"/>
      <c r="CM65075" s="111"/>
      <c r="CQ65075" s="111"/>
      <c r="EF65075"/>
      <c r="EG65075"/>
      <c r="EH65075"/>
      <c r="EI65075"/>
      <c r="EJ65075"/>
      <c r="EK65075"/>
    </row>
    <row r="65076" spans="1:141" s="116" customFormat="1">
      <c r="A65076" s="136"/>
      <c r="CM65076" s="111"/>
      <c r="CQ65076" s="111"/>
      <c r="EF65076"/>
      <c r="EG65076"/>
      <c r="EH65076"/>
      <c r="EI65076"/>
      <c r="EJ65076"/>
      <c r="EK65076"/>
    </row>
    <row r="65077" spans="1:141" s="116" customFormat="1">
      <c r="A65077" s="136"/>
      <c r="CM65077" s="111"/>
      <c r="CQ65077" s="111"/>
      <c r="EF65077"/>
      <c r="EG65077"/>
      <c r="EH65077"/>
      <c r="EI65077"/>
      <c r="EJ65077"/>
      <c r="EK65077"/>
    </row>
    <row r="65078" spans="1:141" s="116" customFormat="1">
      <c r="A65078" s="136"/>
      <c r="CM65078" s="111"/>
      <c r="CQ65078" s="111"/>
      <c r="EF65078"/>
      <c r="EG65078"/>
      <c r="EH65078"/>
      <c r="EI65078"/>
      <c r="EJ65078"/>
      <c r="EK65078"/>
    </row>
    <row r="65079" spans="1:141" s="116" customFormat="1">
      <c r="A65079" s="136"/>
      <c r="CM65079" s="111"/>
      <c r="CQ65079" s="111"/>
      <c r="EF65079"/>
      <c r="EG65079"/>
      <c r="EH65079"/>
      <c r="EI65079"/>
      <c r="EJ65079"/>
      <c r="EK65079"/>
    </row>
    <row r="65080" spans="1:141" s="116" customFormat="1">
      <c r="A65080" s="136"/>
      <c r="CM65080" s="111"/>
      <c r="CQ65080" s="111"/>
      <c r="EF65080"/>
      <c r="EG65080"/>
      <c r="EH65080"/>
      <c r="EI65080"/>
      <c r="EJ65080"/>
      <c r="EK65080"/>
    </row>
    <row r="65081" spans="1:141" s="116" customFormat="1">
      <c r="A65081" s="136"/>
      <c r="CM65081" s="111"/>
      <c r="CQ65081" s="111"/>
      <c r="EF65081"/>
      <c r="EG65081"/>
      <c r="EH65081"/>
      <c r="EI65081"/>
      <c r="EJ65081"/>
      <c r="EK65081"/>
    </row>
    <row r="65082" spans="1:141" s="116" customFormat="1">
      <c r="A65082" s="136"/>
      <c r="CM65082" s="111"/>
      <c r="CQ65082" s="111"/>
      <c r="EF65082"/>
      <c r="EG65082"/>
      <c r="EH65082"/>
      <c r="EI65082"/>
      <c r="EJ65082"/>
      <c r="EK65082"/>
    </row>
    <row r="65083" spans="1:141" s="116" customFormat="1">
      <c r="A65083" s="136"/>
      <c r="CM65083" s="111"/>
      <c r="CQ65083" s="111"/>
      <c r="EF65083"/>
      <c r="EG65083"/>
      <c r="EH65083"/>
      <c r="EI65083"/>
      <c r="EJ65083"/>
      <c r="EK65083"/>
    </row>
    <row r="65084" spans="1:141" s="116" customFormat="1">
      <c r="A65084" s="136"/>
      <c r="CM65084" s="111"/>
      <c r="CQ65084" s="111"/>
      <c r="EF65084"/>
      <c r="EG65084"/>
      <c r="EH65084"/>
      <c r="EI65084"/>
      <c r="EJ65084"/>
      <c r="EK65084"/>
    </row>
    <row r="65085" spans="1:141" s="116" customFormat="1">
      <c r="A65085" s="136"/>
      <c r="CM65085" s="111"/>
      <c r="CQ65085" s="111"/>
      <c r="EF65085"/>
      <c r="EG65085"/>
      <c r="EH65085"/>
      <c r="EI65085"/>
      <c r="EJ65085"/>
      <c r="EK65085"/>
    </row>
    <row r="65086" spans="1:141" s="116" customFormat="1">
      <c r="A65086" s="136"/>
      <c r="CM65086" s="111"/>
      <c r="CQ65086" s="111"/>
      <c r="EF65086"/>
      <c r="EG65086"/>
      <c r="EH65086"/>
      <c r="EI65086"/>
      <c r="EJ65086"/>
      <c r="EK65086"/>
    </row>
    <row r="65087" spans="1:141" s="116" customFormat="1">
      <c r="A65087" s="136"/>
      <c r="CM65087" s="111"/>
      <c r="CQ65087" s="111"/>
      <c r="EF65087"/>
      <c r="EG65087"/>
      <c r="EH65087"/>
      <c r="EI65087"/>
      <c r="EJ65087"/>
      <c r="EK65087"/>
    </row>
    <row r="65088" spans="1:141" s="116" customFormat="1">
      <c r="A65088" s="136"/>
      <c r="CM65088" s="111"/>
      <c r="CQ65088" s="111"/>
      <c r="EF65088"/>
      <c r="EG65088"/>
      <c r="EH65088"/>
      <c r="EI65088"/>
      <c r="EJ65088"/>
      <c r="EK65088"/>
    </row>
    <row r="65089" spans="1:141" s="116" customFormat="1">
      <c r="A65089" s="136"/>
      <c r="CM65089" s="111"/>
      <c r="CQ65089" s="111"/>
      <c r="EF65089"/>
      <c r="EG65089"/>
      <c r="EH65089"/>
      <c r="EI65089"/>
      <c r="EJ65089"/>
      <c r="EK65089"/>
    </row>
    <row r="65090" spans="1:141" s="116" customFormat="1">
      <c r="A65090" s="136"/>
      <c r="CM65090" s="111"/>
      <c r="CQ65090" s="111"/>
      <c r="EF65090"/>
      <c r="EG65090"/>
      <c r="EH65090"/>
      <c r="EI65090"/>
      <c r="EJ65090"/>
      <c r="EK65090"/>
    </row>
    <row r="65091" spans="1:141" s="116" customFormat="1">
      <c r="A65091" s="136"/>
      <c r="CM65091" s="111"/>
      <c r="CQ65091" s="111"/>
      <c r="EF65091"/>
      <c r="EG65091"/>
      <c r="EH65091"/>
      <c r="EI65091"/>
      <c r="EJ65091"/>
      <c r="EK65091"/>
    </row>
    <row r="65092" spans="1:141" s="116" customFormat="1">
      <c r="A65092" s="136"/>
      <c r="CM65092" s="111"/>
      <c r="CQ65092" s="111"/>
      <c r="EF65092"/>
      <c r="EG65092"/>
      <c r="EH65092"/>
      <c r="EI65092"/>
      <c r="EJ65092"/>
      <c r="EK65092"/>
    </row>
    <row r="65093" spans="1:141" s="116" customFormat="1">
      <c r="A65093" s="136"/>
      <c r="CM65093" s="111"/>
      <c r="CQ65093" s="111"/>
      <c r="EF65093"/>
      <c r="EG65093"/>
      <c r="EH65093"/>
      <c r="EI65093"/>
      <c r="EJ65093"/>
      <c r="EK65093"/>
    </row>
    <row r="65094" spans="1:141" s="116" customFormat="1">
      <c r="A65094" s="136"/>
      <c r="CM65094" s="111"/>
      <c r="CQ65094" s="111"/>
      <c r="EF65094"/>
      <c r="EG65094"/>
      <c r="EH65094"/>
      <c r="EI65094"/>
      <c r="EJ65094"/>
      <c r="EK65094"/>
    </row>
    <row r="65095" spans="1:141" s="116" customFormat="1">
      <c r="A65095" s="136"/>
      <c r="CM65095" s="111"/>
      <c r="CQ65095" s="111"/>
      <c r="EF65095"/>
      <c r="EG65095"/>
      <c r="EH65095"/>
      <c r="EI65095"/>
      <c r="EJ65095"/>
      <c r="EK65095"/>
    </row>
    <row r="65096" spans="1:141" s="116" customFormat="1">
      <c r="A65096" s="136"/>
      <c r="CM65096" s="111"/>
      <c r="CQ65096" s="111"/>
      <c r="EF65096"/>
      <c r="EG65096"/>
      <c r="EH65096"/>
      <c r="EI65096"/>
      <c r="EJ65096"/>
      <c r="EK65096"/>
    </row>
    <row r="65097" spans="1:141" s="116" customFormat="1">
      <c r="A65097" s="136"/>
      <c r="CM65097" s="111"/>
      <c r="CQ65097" s="111"/>
      <c r="EF65097"/>
      <c r="EG65097"/>
      <c r="EH65097"/>
      <c r="EI65097"/>
      <c r="EJ65097"/>
      <c r="EK65097"/>
    </row>
    <row r="65098" spans="1:141" s="116" customFormat="1">
      <c r="A65098" s="136"/>
      <c r="CM65098" s="111"/>
      <c r="CQ65098" s="111"/>
      <c r="EF65098"/>
      <c r="EG65098"/>
      <c r="EH65098"/>
      <c r="EI65098"/>
      <c r="EJ65098"/>
      <c r="EK65098"/>
    </row>
    <row r="65099" spans="1:141" s="116" customFormat="1">
      <c r="A65099" s="136"/>
      <c r="CM65099" s="111"/>
      <c r="CQ65099" s="111"/>
      <c r="EF65099"/>
      <c r="EG65099"/>
      <c r="EH65099"/>
      <c r="EI65099"/>
      <c r="EJ65099"/>
      <c r="EK65099"/>
    </row>
    <row r="65100" spans="1:141" s="116" customFormat="1">
      <c r="A65100" s="136"/>
      <c r="CM65100" s="111"/>
      <c r="CQ65100" s="111"/>
      <c r="EF65100"/>
      <c r="EG65100"/>
      <c r="EH65100"/>
      <c r="EI65100"/>
      <c r="EJ65100"/>
      <c r="EK65100"/>
    </row>
    <row r="65101" spans="1:141" s="116" customFormat="1">
      <c r="A65101" s="136"/>
      <c r="CM65101" s="111"/>
      <c r="CQ65101" s="111"/>
      <c r="EF65101"/>
      <c r="EG65101"/>
      <c r="EH65101"/>
      <c r="EI65101"/>
      <c r="EJ65101"/>
      <c r="EK65101"/>
    </row>
    <row r="65102" spans="1:141" s="116" customFormat="1">
      <c r="A65102" s="136"/>
      <c r="CM65102" s="111"/>
      <c r="CQ65102" s="111"/>
      <c r="EF65102"/>
      <c r="EG65102"/>
      <c r="EH65102"/>
      <c r="EI65102"/>
      <c r="EJ65102"/>
      <c r="EK65102"/>
    </row>
    <row r="65103" spans="1:141" s="116" customFormat="1">
      <c r="A65103" s="136"/>
      <c r="CM65103" s="111"/>
      <c r="CQ65103" s="111"/>
      <c r="EF65103"/>
      <c r="EG65103"/>
      <c r="EH65103"/>
      <c r="EI65103"/>
      <c r="EJ65103"/>
      <c r="EK65103"/>
    </row>
    <row r="65104" spans="1:141" s="116" customFormat="1">
      <c r="A65104" s="136"/>
      <c r="CM65104" s="111"/>
      <c r="CQ65104" s="111"/>
      <c r="EF65104"/>
      <c r="EG65104"/>
      <c r="EH65104"/>
      <c r="EI65104"/>
      <c r="EJ65104"/>
      <c r="EK65104"/>
    </row>
    <row r="65105" spans="1:141" s="116" customFormat="1">
      <c r="A65105" s="136"/>
      <c r="CM65105" s="111"/>
      <c r="CQ65105" s="111"/>
      <c r="EF65105"/>
      <c r="EG65105"/>
      <c r="EH65105"/>
      <c r="EI65105"/>
      <c r="EJ65105"/>
      <c r="EK65105"/>
    </row>
    <row r="65106" spans="1:141" s="116" customFormat="1">
      <c r="A65106" s="136"/>
      <c r="CM65106" s="111"/>
      <c r="CQ65106" s="111"/>
      <c r="EF65106"/>
      <c r="EG65106"/>
      <c r="EH65106"/>
      <c r="EI65106"/>
      <c r="EJ65106"/>
      <c r="EK65106"/>
    </row>
    <row r="65107" spans="1:141" s="116" customFormat="1">
      <c r="A65107" s="136"/>
      <c r="CM65107" s="111"/>
      <c r="CQ65107" s="111"/>
      <c r="EF65107"/>
      <c r="EG65107"/>
      <c r="EH65107"/>
      <c r="EI65107"/>
      <c r="EJ65107"/>
      <c r="EK65107"/>
    </row>
    <row r="65108" spans="1:141" s="116" customFormat="1">
      <c r="A65108" s="136"/>
      <c r="CM65108" s="111"/>
      <c r="CQ65108" s="111"/>
      <c r="EF65108"/>
      <c r="EG65108"/>
      <c r="EH65108"/>
      <c r="EI65108"/>
      <c r="EJ65108"/>
      <c r="EK65108"/>
    </row>
    <row r="65109" spans="1:141" s="116" customFormat="1">
      <c r="A65109" s="136"/>
      <c r="CM65109" s="111"/>
      <c r="CQ65109" s="111"/>
      <c r="EF65109"/>
      <c r="EG65109"/>
      <c r="EH65109"/>
      <c r="EI65109"/>
      <c r="EJ65109"/>
      <c r="EK65109"/>
    </row>
    <row r="65110" spans="1:141" s="116" customFormat="1">
      <c r="A65110" s="136"/>
      <c r="CM65110" s="111"/>
      <c r="CQ65110" s="111"/>
      <c r="EF65110"/>
      <c r="EG65110"/>
      <c r="EH65110"/>
      <c r="EI65110"/>
      <c r="EJ65110"/>
      <c r="EK65110"/>
    </row>
    <row r="65111" spans="1:141" s="116" customFormat="1">
      <c r="A65111" s="136"/>
      <c r="CM65111" s="111"/>
      <c r="CQ65111" s="111"/>
      <c r="EF65111"/>
      <c r="EG65111"/>
      <c r="EH65111"/>
      <c r="EI65111"/>
      <c r="EJ65111"/>
      <c r="EK65111"/>
    </row>
    <row r="65112" spans="1:141" s="116" customFormat="1">
      <c r="A65112" s="136"/>
      <c r="CM65112" s="111"/>
      <c r="CQ65112" s="111"/>
      <c r="EF65112"/>
      <c r="EG65112"/>
      <c r="EH65112"/>
      <c r="EI65112"/>
      <c r="EJ65112"/>
      <c r="EK65112"/>
    </row>
    <row r="65113" spans="1:141" s="116" customFormat="1">
      <c r="A65113" s="136"/>
      <c r="CM65113" s="111"/>
      <c r="CQ65113" s="111"/>
      <c r="EF65113"/>
      <c r="EG65113"/>
      <c r="EH65113"/>
      <c r="EI65113"/>
      <c r="EJ65113"/>
      <c r="EK65113"/>
    </row>
    <row r="65114" spans="1:141" s="116" customFormat="1">
      <c r="A65114" s="136"/>
      <c r="CM65114" s="111"/>
      <c r="CQ65114" s="111"/>
      <c r="EF65114"/>
      <c r="EG65114"/>
      <c r="EH65114"/>
      <c r="EI65114"/>
      <c r="EJ65114"/>
      <c r="EK65114"/>
    </row>
    <row r="65115" spans="1:141" s="116" customFormat="1">
      <c r="A65115" s="136"/>
      <c r="CM65115" s="111"/>
      <c r="CQ65115" s="111"/>
      <c r="EF65115"/>
      <c r="EG65115"/>
      <c r="EH65115"/>
      <c r="EI65115"/>
      <c r="EJ65115"/>
      <c r="EK65115"/>
    </row>
    <row r="65116" spans="1:141" s="116" customFormat="1">
      <c r="A65116" s="136"/>
      <c r="CM65116" s="111"/>
      <c r="CQ65116" s="111"/>
      <c r="EF65116"/>
      <c r="EG65116"/>
      <c r="EH65116"/>
      <c r="EI65116"/>
      <c r="EJ65116"/>
      <c r="EK65116"/>
    </row>
    <row r="65117" spans="1:141" s="116" customFormat="1">
      <c r="A65117" s="136"/>
      <c r="CM65117" s="111"/>
      <c r="CQ65117" s="111"/>
      <c r="EF65117"/>
      <c r="EG65117"/>
      <c r="EH65117"/>
      <c r="EI65117"/>
      <c r="EJ65117"/>
      <c r="EK65117"/>
    </row>
    <row r="65118" spans="1:141" s="116" customFormat="1">
      <c r="A65118" s="136"/>
      <c r="CM65118" s="111"/>
      <c r="CQ65118" s="111"/>
      <c r="EF65118"/>
      <c r="EG65118"/>
      <c r="EH65118"/>
      <c r="EI65118"/>
      <c r="EJ65118"/>
      <c r="EK65118"/>
    </row>
    <row r="65119" spans="1:141" s="116" customFormat="1">
      <c r="A65119" s="136"/>
      <c r="CM65119" s="111"/>
      <c r="CQ65119" s="111"/>
      <c r="EF65119"/>
      <c r="EG65119"/>
      <c r="EH65119"/>
      <c r="EI65119"/>
      <c r="EJ65119"/>
      <c r="EK65119"/>
    </row>
    <row r="65120" spans="1:141" s="116" customFormat="1">
      <c r="A65120" s="136"/>
      <c r="CM65120" s="111"/>
      <c r="CQ65120" s="111"/>
      <c r="EF65120"/>
      <c r="EG65120"/>
      <c r="EH65120"/>
      <c r="EI65120"/>
      <c r="EJ65120"/>
      <c r="EK65120"/>
    </row>
    <row r="65121" spans="1:141" s="116" customFormat="1">
      <c r="A65121" s="136"/>
      <c r="CM65121" s="111"/>
      <c r="CQ65121" s="111"/>
      <c r="EF65121"/>
      <c r="EG65121"/>
      <c r="EH65121"/>
      <c r="EI65121"/>
      <c r="EJ65121"/>
      <c r="EK65121"/>
    </row>
    <row r="65122" spans="1:141" s="116" customFormat="1">
      <c r="A65122" s="136"/>
      <c r="CM65122" s="111"/>
      <c r="CQ65122" s="111"/>
      <c r="EF65122"/>
      <c r="EG65122"/>
      <c r="EH65122"/>
      <c r="EI65122"/>
      <c r="EJ65122"/>
      <c r="EK65122"/>
    </row>
    <row r="65123" spans="1:141" s="116" customFormat="1">
      <c r="A65123" s="136"/>
      <c r="CM65123" s="111"/>
      <c r="CQ65123" s="111"/>
      <c r="EF65123"/>
      <c r="EG65123"/>
      <c r="EH65123"/>
      <c r="EI65123"/>
      <c r="EJ65123"/>
      <c r="EK65123"/>
    </row>
    <row r="65124" spans="1:141" s="116" customFormat="1">
      <c r="A65124" s="136"/>
      <c r="CM65124" s="111"/>
      <c r="CQ65124" s="111"/>
      <c r="EF65124"/>
      <c r="EG65124"/>
      <c r="EH65124"/>
      <c r="EI65124"/>
      <c r="EJ65124"/>
      <c r="EK65124"/>
    </row>
    <row r="65125" spans="1:141" s="116" customFormat="1">
      <c r="A65125" s="136"/>
      <c r="CM65125" s="111"/>
      <c r="CQ65125" s="111"/>
      <c r="EF65125"/>
      <c r="EG65125"/>
      <c r="EH65125"/>
      <c r="EI65125"/>
      <c r="EJ65125"/>
      <c r="EK65125"/>
    </row>
    <row r="65126" spans="1:141" s="116" customFormat="1">
      <c r="A65126" s="136"/>
      <c r="CM65126" s="111"/>
      <c r="CQ65126" s="111"/>
      <c r="EF65126"/>
      <c r="EG65126"/>
      <c r="EH65126"/>
      <c r="EI65126"/>
      <c r="EJ65126"/>
      <c r="EK65126"/>
    </row>
    <row r="65127" spans="1:141" s="116" customFormat="1">
      <c r="A65127" s="136"/>
      <c r="CM65127" s="111"/>
      <c r="CQ65127" s="111"/>
      <c r="EF65127"/>
      <c r="EG65127"/>
      <c r="EH65127"/>
      <c r="EI65127"/>
      <c r="EJ65127"/>
      <c r="EK65127"/>
    </row>
    <row r="65128" spans="1:141" s="116" customFormat="1">
      <c r="A65128" s="136"/>
      <c r="CM65128" s="111"/>
      <c r="CQ65128" s="111"/>
      <c r="EF65128"/>
      <c r="EG65128"/>
      <c r="EH65128"/>
      <c r="EI65128"/>
      <c r="EJ65128"/>
      <c r="EK65128"/>
    </row>
    <row r="65129" spans="1:141" s="116" customFormat="1">
      <c r="A65129" s="136"/>
      <c r="CM65129" s="111"/>
      <c r="CQ65129" s="111"/>
      <c r="EF65129"/>
      <c r="EG65129"/>
      <c r="EH65129"/>
      <c r="EI65129"/>
      <c r="EJ65129"/>
      <c r="EK65129"/>
    </row>
    <row r="65130" spans="1:141" s="116" customFormat="1">
      <c r="A65130" s="136"/>
      <c r="CM65130" s="111"/>
      <c r="CQ65130" s="111"/>
      <c r="EF65130"/>
      <c r="EG65130"/>
      <c r="EH65130"/>
      <c r="EI65130"/>
      <c r="EJ65130"/>
      <c r="EK65130"/>
    </row>
    <row r="65131" spans="1:141" s="116" customFormat="1">
      <c r="A65131" s="136"/>
      <c r="CM65131" s="111"/>
      <c r="CQ65131" s="111"/>
      <c r="EF65131"/>
      <c r="EG65131"/>
      <c r="EH65131"/>
      <c r="EI65131"/>
      <c r="EJ65131"/>
      <c r="EK65131"/>
    </row>
    <row r="65132" spans="1:141" s="116" customFormat="1">
      <c r="A65132" s="136"/>
      <c r="CM65132" s="111"/>
      <c r="CQ65132" s="111"/>
      <c r="EF65132"/>
      <c r="EG65132"/>
      <c r="EH65132"/>
      <c r="EI65132"/>
      <c r="EJ65132"/>
      <c r="EK65132"/>
    </row>
    <row r="65133" spans="1:141" s="116" customFormat="1">
      <c r="A65133" s="136"/>
      <c r="CM65133" s="111"/>
      <c r="CQ65133" s="111"/>
      <c r="EF65133"/>
      <c r="EG65133"/>
      <c r="EH65133"/>
      <c r="EI65133"/>
      <c r="EJ65133"/>
      <c r="EK65133"/>
    </row>
    <row r="65134" spans="1:141" s="116" customFormat="1">
      <c r="A65134" s="136"/>
      <c r="CM65134" s="111"/>
      <c r="CQ65134" s="111"/>
      <c r="EF65134"/>
      <c r="EG65134"/>
      <c r="EH65134"/>
      <c r="EI65134"/>
      <c r="EJ65134"/>
      <c r="EK65134"/>
    </row>
    <row r="65135" spans="1:141" s="116" customFormat="1">
      <c r="A65135" s="136"/>
      <c r="CM65135" s="111"/>
      <c r="CQ65135" s="111"/>
      <c r="EF65135"/>
      <c r="EG65135"/>
      <c r="EH65135"/>
      <c r="EI65135"/>
      <c r="EJ65135"/>
      <c r="EK65135"/>
    </row>
    <row r="65136" spans="1:141" s="116" customFormat="1">
      <c r="A65136" s="136"/>
      <c r="CM65136" s="111"/>
      <c r="CQ65136" s="111"/>
      <c r="EF65136"/>
      <c r="EG65136"/>
      <c r="EH65136"/>
      <c r="EI65136"/>
      <c r="EJ65136"/>
      <c r="EK65136"/>
    </row>
    <row r="65137" spans="1:141" s="116" customFormat="1">
      <c r="A65137" s="136"/>
      <c r="CM65137" s="111"/>
      <c r="CQ65137" s="111"/>
      <c r="EF65137"/>
      <c r="EG65137"/>
      <c r="EH65137"/>
      <c r="EI65137"/>
      <c r="EJ65137"/>
      <c r="EK65137"/>
    </row>
    <row r="65138" spans="1:141" s="116" customFormat="1">
      <c r="A65138" s="136"/>
      <c r="CM65138" s="111"/>
      <c r="CQ65138" s="111"/>
      <c r="EF65138"/>
      <c r="EG65138"/>
      <c r="EH65138"/>
      <c r="EI65138"/>
      <c r="EJ65138"/>
      <c r="EK65138"/>
    </row>
    <row r="65139" spans="1:141" s="116" customFormat="1">
      <c r="A65139" s="136"/>
      <c r="CM65139" s="111"/>
      <c r="CQ65139" s="111"/>
      <c r="EF65139"/>
      <c r="EG65139"/>
      <c r="EH65139"/>
      <c r="EI65139"/>
      <c r="EJ65139"/>
      <c r="EK65139"/>
    </row>
    <row r="65140" spans="1:141" s="116" customFormat="1">
      <c r="A65140" s="136"/>
      <c r="CM65140" s="111"/>
      <c r="CQ65140" s="111"/>
      <c r="EF65140"/>
      <c r="EG65140"/>
      <c r="EH65140"/>
      <c r="EI65140"/>
      <c r="EJ65140"/>
      <c r="EK65140"/>
    </row>
    <row r="65141" spans="1:141" s="116" customFormat="1">
      <c r="A65141" s="136"/>
      <c r="CM65141" s="111"/>
      <c r="CQ65141" s="111"/>
      <c r="EF65141"/>
      <c r="EG65141"/>
      <c r="EH65141"/>
      <c r="EI65141"/>
      <c r="EJ65141"/>
      <c r="EK65141"/>
    </row>
    <row r="65142" spans="1:141" s="116" customFormat="1">
      <c r="A65142" s="136"/>
      <c r="CM65142" s="111"/>
      <c r="CQ65142" s="111"/>
      <c r="EF65142"/>
      <c r="EG65142"/>
      <c r="EH65142"/>
      <c r="EI65142"/>
      <c r="EJ65142"/>
      <c r="EK65142"/>
    </row>
    <row r="65143" spans="1:141" s="116" customFormat="1">
      <c r="A65143" s="136"/>
      <c r="CM65143" s="111"/>
      <c r="CQ65143" s="111"/>
      <c r="EF65143"/>
      <c r="EG65143"/>
      <c r="EH65143"/>
      <c r="EI65143"/>
      <c r="EJ65143"/>
      <c r="EK65143"/>
    </row>
    <row r="65144" spans="1:141" s="116" customFormat="1">
      <c r="A65144" s="136"/>
      <c r="CM65144" s="111"/>
      <c r="CQ65144" s="111"/>
      <c r="EF65144"/>
      <c r="EG65144"/>
      <c r="EH65144"/>
      <c r="EI65144"/>
      <c r="EJ65144"/>
      <c r="EK65144"/>
    </row>
    <row r="65145" spans="1:141" s="116" customFormat="1">
      <c r="A65145" s="136"/>
      <c r="CM65145" s="111"/>
      <c r="CQ65145" s="111"/>
      <c r="EF65145"/>
      <c r="EG65145"/>
      <c r="EH65145"/>
      <c r="EI65145"/>
      <c r="EJ65145"/>
      <c r="EK65145"/>
    </row>
    <row r="65146" spans="1:141" s="116" customFormat="1">
      <c r="A65146" s="136"/>
      <c r="CM65146" s="111"/>
      <c r="CQ65146" s="111"/>
      <c r="EF65146"/>
      <c r="EG65146"/>
      <c r="EH65146"/>
      <c r="EI65146"/>
      <c r="EJ65146"/>
      <c r="EK65146"/>
    </row>
    <row r="65147" spans="1:141" s="116" customFormat="1">
      <c r="A65147" s="136"/>
      <c r="CM65147" s="111"/>
      <c r="CQ65147" s="111"/>
      <c r="EF65147"/>
      <c r="EG65147"/>
      <c r="EH65147"/>
      <c r="EI65147"/>
      <c r="EJ65147"/>
      <c r="EK65147"/>
    </row>
    <row r="65148" spans="1:141" s="116" customFormat="1">
      <c r="A65148" s="136"/>
      <c r="CM65148" s="111"/>
      <c r="CQ65148" s="111"/>
      <c r="EF65148"/>
      <c r="EG65148"/>
      <c r="EH65148"/>
      <c r="EI65148"/>
      <c r="EJ65148"/>
      <c r="EK65148"/>
    </row>
    <row r="65149" spans="1:141" s="116" customFormat="1">
      <c r="A65149" s="136"/>
      <c r="CM65149" s="111"/>
      <c r="CQ65149" s="111"/>
      <c r="EF65149"/>
      <c r="EG65149"/>
      <c r="EH65149"/>
      <c r="EI65149"/>
      <c r="EJ65149"/>
      <c r="EK65149"/>
    </row>
    <row r="65150" spans="1:141" s="116" customFormat="1">
      <c r="A65150" s="136"/>
      <c r="CM65150" s="111"/>
      <c r="CQ65150" s="111"/>
      <c r="EF65150"/>
      <c r="EG65150"/>
      <c r="EH65150"/>
      <c r="EI65150"/>
      <c r="EJ65150"/>
      <c r="EK65150"/>
    </row>
    <row r="65151" spans="1:141" s="116" customFormat="1">
      <c r="A65151" s="136"/>
      <c r="CM65151" s="111"/>
      <c r="CQ65151" s="111"/>
      <c r="EF65151"/>
      <c r="EG65151"/>
      <c r="EH65151"/>
      <c r="EI65151"/>
      <c r="EJ65151"/>
      <c r="EK65151"/>
    </row>
    <row r="65152" spans="1:141" s="116" customFormat="1">
      <c r="A65152" s="136"/>
      <c r="CM65152" s="111"/>
      <c r="CQ65152" s="111"/>
      <c r="EF65152"/>
      <c r="EG65152"/>
      <c r="EH65152"/>
      <c r="EI65152"/>
      <c r="EJ65152"/>
      <c r="EK65152"/>
    </row>
    <row r="65153" spans="1:141" s="116" customFormat="1">
      <c r="A65153" s="136"/>
      <c r="CM65153" s="111"/>
      <c r="CQ65153" s="111"/>
      <c r="EF65153"/>
      <c r="EG65153"/>
      <c r="EH65153"/>
      <c r="EI65153"/>
      <c r="EJ65153"/>
      <c r="EK65153"/>
    </row>
    <row r="65154" spans="1:141" s="116" customFormat="1">
      <c r="A65154" s="136"/>
      <c r="CM65154" s="111"/>
      <c r="CQ65154" s="111"/>
      <c r="EF65154"/>
      <c r="EG65154"/>
      <c r="EH65154"/>
      <c r="EI65154"/>
      <c r="EJ65154"/>
      <c r="EK65154"/>
    </row>
    <row r="65155" spans="1:141" s="116" customFormat="1">
      <c r="A65155" s="136"/>
      <c r="CM65155" s="111"/>
      <c r="CQ65155" s="111"/>
      <c r="EF65155"/>
      <c r="EG65155"/>
      <c r="EH65155"/>
      <c r="EI65155"/>
      <c r="EJ65155"/>
      <c r="EK65155"/>
    </row>
    <row r="65156" spans="1:141" s="116" customFormat="1">
      <c r="A65156" s="136"/>
      <c r="CM65156" s="111"/>
      <c r="CQ65156" s="111"/>
      <c r="EF65156"/>
      <c r="EG65156"/>
      <c r="EH65156"/>
      <c r="EI65156"/>
      <c r="EJ65156"/>
      <c r="EK65156"/>
    </row>
    <row r="65157" spans="1:141" s="116" customFormat="1">
      <c r="A65157" s="136"/>
      <c r="CM65157" s="111"/>
      <c r="CQ65157" s="111"/>
      <c r="EF65157"/>
      <c r="EG65157"/>
      <c r="EH65157"/>
      <c r="EI65157"/>
      <c r="EJ65157"/>
      <c r="EK65157"/>
    </row>
    <row r="65158" spans="1:141" s="116" customFormat="1">
      <c r="A65158" s="136"/>
      <c r="CM65158" s="111"/>
      <c r="CQ65158" s="111"/>
      <c r="EF65158"/>
      <c r="EG65158"/>
      <c r="EH65158"/>
      <c r="EI65158"/>
      <c r="EJ65158"/>
      <c r="EK65158"/>
    </row>
    <row r="65159" spans="1:141" s="116" customFormat="1">
      <c r="A65159" s="136"/>
      <c r="CM65159" s="111"/>
      <c r="CQ65159" s="111"/>
      <c r="EF65159"/>
      <c r="EG65159"/>
      <c r="EH65159"/>
      <c r="EI65159"/>
      <c r="EJ65159"/>
      <c r="EK65159"/>
    </row>
    <row r="65160" spans="1:141" s="116" customFormat="1">
      <c r="A65160" s="136"/>
      <c r="CM65160" s="111"/>
      <c r="CQ65160" s="111"/>
      <c r="EF65160"/>
      <c r="EG65160"/>
      <c r="EH65160"/>
      <c r="EI65160"/>
      <c r="EJ65160"/>
      <c r="EK65160"/>
    </row>
    <row r="65161" spans="1:141" s="116" customFormat="1">
      <c r="A65161" s="136"/>
      <c r="CM65161" s="111"/>
      <c r="CQ65161" s="111"/>
      <c r="EF65161"/>
      <c r="EG65161"/>
      <c r="EH65161"/>
      <c r="EI65161"/>
      <c r="EJ65161"/>
      <c r="EK65161"/>
    </row>
    <row r="65162" spans="1:141" s="116" customFormat="1">
      <c r="A65162" s="136"/>
      <c r="CM65162" s="111"/>
      <c r="CQ65162" s="111"/>
      <c r="EF65162"/>
      <c r="EG65162"/>
      <c r="EH65162"/>
      <c r="EI65162"/>
      <c r="EJ65162"/>
      <c r="EK65162"/>
    </row>
    <row r="65163" spans="1:141" s="116" customFormat="1">
      <c r="A65163" s="136"/>
      <c r="CM65163" s="111"/>
      <c r="CQ65163" s="111"/>
      <c r="EF65163"/>
      <c r="EG65163"/>
      <c r="EH65163"/>
      <c r="EI65163"/>
      <c r="EJ65163"/>
      <c r="EK65163"/>
    </row>
    <row r="65164" spans="1:141" s="116" customFormat="1">
      <c r="A65164" s="136"/>
      <c r="CM65164" s="111"/>
      <c r="CQ65164" s="111"/>
      <c r="EF65164"/>
      <c r="EG65164"/>
      <c r="EH65164"/>
      <c r="EI65164"/>
      <c r="EJ65164"/>
      <c r="EK65164"/>
    </row>
    <row r="65165" spans="1:141" s="116" customFormat="1">
      <c r="A65165" s="136"/>
      <c r="CM65165" s="111"/>
      <c r="CQ65165" s="111"/>
      <c r="EF65165"/>
      <c r="EG65165"/>
      <c r="EH65165"/>
      <c r="EI65165"/>
      <c r="EJ65165"/>
      <c r="EK65165"/>
    </row>
    <row r="65166" spans="1:141" s="116" customFormat="1">
      <c r="A65166" s="136"/>
      <c r="CM65166" s="111"/>
      <c r="CQ65166" s="111"/>
      <c r="EF65166"/>
      <c r="EG65166"/>
      <c r="EH65166"/>
      <c r="EI65166"/>
      <c r="EJ65166"/>
      <c r="EK65166"/>
    </row>
    <row r="65167" spans="1:141" s="116" customFormat="1">
      <c r="A65167" s="136"/>
      <c r="CM65167" s="111"/>
      <c r="CQ65167" s="111"/>
      <c r="EF65167"/>
      <c r="EG65167"/>
      <c r="EH65167"/>
      <c r="EI65167"/>
      <c r="EJ65167"/>
      <c r="EK65167"/>
    </row>
    <row r="65168" spans="1:141" s="116" customFormat="1">
      <c r="A65168" s="136"/>
      <c r="CM65168" s="111"/>
      <c r="CQ65168" s="111"/>
      <c r="EF65168"/>
      <c r="EG65168"/>
      <c r="EH65168"/>
      <c r="EI65168"/>
      <c r="EJ65168"/>
      <c r="EK65168"/>
    </row>
    <row r="65169" spans="1:141" s="116" customFormat="1">
      <c r="A65169" s="136"/>
      <c r="CM65169" s="111"/>
      <c r="CQ65169" s="111"/>
      <c r="EF65169"/>
      <c r="EG65169"/>
      <c r="EH65169"/>
      <c r="EI65169"/>
      <c r="EJ65169"/>
      <c r="EK65169"/>
    </row>
    <row r="65170" spans="1:141" s="116" customFormat="1">
      <c r="A65170" s="136"/>
      <c r="CM65170" s="111"/>
      <c r="CQ65170" s="111"/>
      <c r="EF65170"/>
      <c r="EG65170"/>
      <c r="EH65170"/>
      <c r="EI65170"/>
      <c r="EJ65170"/>
      <c r="EK65170"/>
    </row>
    <row r="65171" spans="1:141" s="116" customFormat="1">
      <c r="A65171" s="136"/>
      <c r="CM65171" s="111"/>
      <c r="CQ65171" s="111"/>
      <c r="EF65171"/>
      <c r="EG65171"/>
      <c r="EH65171"/>
      <c r="EI65171"/>
      <c r="EJ65171"/>
      <c r="EK65171"/>
    </row>
    <row r="65172" spans="1:141" s="116" customFormat="1">
      <c r="A65172" s="136"/>
      <c r="CM65172" s="111"/>
      <c r="CQ65172" s="111"/>
      <c r="EF65172"/>
      <c r="EG65172"/>
      <c r="EH65172"/>
      <c r="EI65172"/>
      <c r="EJ65172"/>
      <c r="EK65172"/>
    </row>
    <row r="65173" spans="1:141" s="116" customFormat="1">
      <c r="A65173" s="136"/>
      <c r="CM65173" s="111"/>
      <c r="CQ65173" s="111"/>
      <c r="EF65173"/>
      <c r="EG65173"/>
      <c r="EH65173"/>
      <c r="EI65173"/>
      <c r="EJ65173"/>
      <c r="EK65173"/>
    </row>
    <row r="65174" spans="1:141" s="116" customFormat="1">
      <c r="A65174" s="136"/>
      <c r="CM65174" s="111"/>
      <c r="CQ65174" s="111"/>
      <c r="EF65174"/>
      <c r="EG65174"/>
      <c r="EH65174"/>
      <c r="EI65174"/>
      <c r="EJ65174"/>
      <c r="EK65174"/>
    </row>
    <row r="65175" spans="1:141" s="116" customFormat="1">
      <c r="A65175" s="136"/>
      <c r="CM65175" s="111"/>
      <c r="CQ65175" s="111"/>
      <c r="EF65175"/>
      <c r="EG65175"/>
      <c r="EH65175"/>
      <c r="EI65175"/>
      <c r="EJ65175"/>
      <c r="EK65175"/>
    </row>
    <row r="65176" spans="1:141" s="116" customFormat="1">
      <c r="A65176" s="136"/>
      <c r="CM65176" s="111"/>
      <c r="CQ65176" s="111"/>
      <c r="EF65176"/>
      <c r="EG65176"/>
      <c r="EH65176"/>
      <c r="EI65176"/>
      <c r="EJ65176"/>
      <c r="EK65176"/>
    </row>
    <row r="65177" spans="1:141" s="116" customFormat="1">
      <c r="A65177" s="136"/>
      <c r="CM65177" s="111"/>
      <c r="CQ65177" s="111"/>
      <c r="EF65177"/>
      <c r="EG65177"/>
      <c r="EH65177"/>
      <c r="EI65177"/>
      <c r="EJ65177"/>
      <c r="EK65177"/>
    </row>
    <row r="65178" spans="1:141" s="116" customFormat="1">
      <c r="A65178" s="136"/>
      <c r="CM65178" s="111"/>
      <c r="CQ65178" s="111"/>
      <c r="EF65178"/>
      <c r="EG65178"/>
      <c r="EH65178"/>
      <c r="EI65178"/>
      <c r="EJ65178"/>
      <c r="EK65178"/>
    </row>
    <row r="65179" spans="1:141" s="116" customFormat="1">
      <c r="A65179" s="136"/>
      <c r="CM65179" s="111"/>
      <c r="CQ65179" s="111"/>
      <c r="EF65179"/>
      <c r="EG65179"/>
      <c r="EH65179"/>
      <c r="EI65179"/>
      <c r="EJ65179"/>
      <c r="EK65179"/>
    </row>
    <row r="65180" spans="1:141" s="116" customFormat="1">
      <c r="A65180" s="136"/>
      <c r="CM65180" s="111"/>
      <c r="CQ65180" s="111"/>
      <c r="EF65180"/>
      <c r="EG65180"/>
      <c r="EH65180"/>
      <c r="EI65180"/>
      <c r="EJ65180"/>
      <c r="EK65180"/>
    </row>
    <row r="65181" spans="1:141" s="116" customFormat="1">
      <c r="A65181" s="136"/>
      <c r="CM65181" s="111"/>
      <c r="CQ65181" s="111"/>
      <c r="EF65181"/>
      <c r="EG65181"/>
      <c r="EH65181"/>
      <c r="EI65181"/>
      <c r="EJ65181"/>
      <c r="EK65181"/>
    </row>
    <row r="65182" spans="1:141" s="116" customFormat="1">
      <c r="A65182" s="136"/>
      <c r="CM65182" s="111"/>
      <c r="CQ65182" s="111"/>
      <c r="EF65182"/>
      <c r="EG65182"/>
      <c r="EH65182"/>
      <c r="EI65182"/>
      <c r="EJ65182"/>
      <c r="EK65182"/>
    </row>
    <row r="65183" spans="1:141" s="116" customFormat="1">
      <c r="A65183" s="136"/>
      <c r="CM65183" s="111"/>
      <c r="CQ65183" s="111"/>
      <c r="EF65183"/>
      <c r="EG65183"/>
      <c r="EH65183"/>
      <c r="EI65183"/>
      <c r="EJ65183"/>
      <c r="EK65183"/>
    </row>
    <row r="65184" spans="1:141" s="116" customFormat="1">
      <c r="A65184" s="136"/>
      <c r="CM65184" s="111"/>
      <c r="CQ65184" s="111"/>
      <c r="EF65184"/>
      <c r="EG65184"/>
      <c r="EH65184"/>
      <c r="EI65184"/>
      <c r="EJ65184"/>
      <c r="EK65184"/>
    </row>
    <row r="65185" spans="1:141" s="116" customFormat="1">
      <c r="A65185" s="136"/>
      <c r="CM65185" s="111"/>
      <c r="CQ65185" s="111"/>
      <c r="EF65185"/>
      <c r="EG65185"/>
      <c r="EH65185"/>
      <c r="EI65185"/>
      <c r="EJ65185"/>
      <c r="EK65185"/>
    </row>
    <row r="65186" spans="1:141" s="116" customFormat="1">
      <c r="A65186" s="136"/>
      <c r="CM65186" s="111"/>
      <c r="CQ65186" s="111"/>
      <c r="EF65186"/>
      <c r="EG65186"/>
      <c r="EH65186"/>
      <c r="EI65186"/>
      <c r="EJ65186"/>
      <c r="EK65186"/>
    </row>
    <row r="65187" spans="1:141" s="116" customFormat="1">
      <c r="A65187" s="136"/>
      <c r="CM65187" s="111"/>
      <c r="CQ65187" s="111"/>
      <c r="EF65187"/>
      <c r="EG65187"/>
      <c r="EH65187"/>
      <c r="EI65187"/>
      <c r="EJ65187"/>
      <c r="EK65187"/>
    </row>
    <row r="65188" spans="1:141" s="116" customFormat="1">
      <c r="A65188" s="136"/>
      <c r="CM65188" s="111"/>
      <c r="CQ65188" s="111"/>
      <c r="EF65188"/>
      <c r="EG65188"/>
      <c r="EH65188"/>
      <c r="EI65188"/>
      <c r="EJ65188"/>
      <c r="EK65188"/>
    </row>
    <row r="65189" spans="1:141" s="116" customFormat="1">
      <c r="A65189" s="136"/>
      <c r="CM65189" s="111"/>
      <c r="CQ65189" s="111"/>
      <c r="EF65189"/>
      <c r="EG65189"/>
      <c r="EH65189"/>
      <c r="EI65189"/>
      <c r="EJ65189"/>
      <c r="EK65189"/>
    </row>
    <row r="65190" spans="1:141" s="116" customFormat="1">
      <c r="A65190" s="136"/>
      <c r="CM65190" s="111"/>
      <c r="CQ65190" s="111"/>
      <c r="EF65190"/>
      <c r="EG65190"/>
      <c r="EH65190"/>
      <c r="EI65190"/>
      <c r="EJ65190"/>
      <c r="EK65190"/>
    </row>
    <row r="65191" spans="1:141" s="116" customFormat="1">
      <c r="A65191" s="136"/>
      <c r="CM65191" s="111"/>
      <c r="CQ65191" s="111"/>
      <c r="EF65191"/>
      <c r="EG65191"/>
      <c r="EH65191"/>
      <c r="EI65191"/>
      <c r="EJ65191"/>
      <c r="EK65191"/>
    </row>
    <row r="65192" spans="1:141" s="116" customFormat="1">
      <c r="A65192" s="136"/>
      <c r="CM65192" s="111"/>
      <c r="CQ65192" s="111"/>
      <c r="EF65192"/>
      <c r="EG65192"/>
      <c r="EH65192"/>
      <c r="EI65192"/>
      <c r="EJ65192"/>
      <c r="EK65192"/>
    </row>
    <row r="65193" spans="1:141" s="116" customFormat="1">
      <c r="A65193" s="136"/>
      <c r="CM65193" s="111"/>
      <c r="CQ65193" s="111"/>
      <c r="EF65193"/>
      <c r="EG65193"/>
      <c r="EH65193"/>
      <c r="EI65193"/>
      <c r="EJ65193"/>
      <c r="EK65193"/>
    </row>
    <row r="65194" spans="1:141" s="116" customFormat="1">
      <c r="A65194" s="136"/>
      <c r="CM65194" s="111"/>
      <c r="CQ65194" s="111"/>
      <c r="EF65194"/>
      <c r="EG65194"/>
      <c r="EH65194"/>
      <c r="EI65194"/>
      <c r="EJ65194"/>
      <c r="EK65194"/>
    </row>
    <row r="65195" spans="1:141" s="116" customFormat="1">
      <c r="A65195" s="136"/>
      <c r="CM65195" s="111"/>
      <c r="CQ65195" s="111"/>
      <c r="EF65195"/>
      <c r="EG65195"/>
      <c r="EH65195"/>
      <c r="EI65195"/>
      <c r="EJ65195"/>
      <c r="EK65195"/>
    </row>
    <row r="65196" spans="1:141" s="116" customFormat="1">
      <c r="A65196" s="136"/>
      <c r="CM65196" s="111"/>
      <c r="CQ65196" s="111"/>
      <c r="EF65196"/>
      <c r="EG65196"/>
      <c r="EH65196"/>
      <c r="EI65196"/>
      <c r="EJ65196"/>
      <c r="EK65196"/>
    </row>
    <row r="65197" spans="1:141" s="116" customFormat="1">
      <c r="A65197" s="136"/>
      <c r="CM65197" s="111"/>
      <c r="CQ65197" s="111"/>
      <c r="EF65197"/>
      <c r="EG65197"/>
      <c r="EH65197"/>
      <c r="EI65197"/>
      <c r="EJ65197"/>
      <c r="EK65197"/>
    </row>
    <row r="65198" spans="1:141" s="116" customFormat="1">
      <c r="A65198" s="136"/>
      <c r="CM65198" s="111"/>
      <c r="CQ65198" s="111"/>
      <c r="EF65198"/>
      <c r="EG65198"/>
      <c r="EH65198"/>
      <c r="EI65198"/>
      <c r="EJ65198"/>
      <c r="EK65198"/>
    </row>
    <row r="65199" spans="1:141" s="116" customFormat="1">
      <c r="A65199" s="136"/>
      <c r="CM65199" s="111"/>
      <c r="CQ65199" s="111"/>
      <c r="EF65199"/>
      <c r="EG65199"/>
      <c r="EH65199"/>
      <c r="EI65199"/>
      <c r="EJ65199"/>
      <c r="EK65199"/>
    </row>
    <row r="65200" spans="1:141" s="116" customFormat="1">
      <c r="A65200" s="136"/>
      <c r="CM65200" s="111"/>
      <c r="CQ65200" s="111"/>
      <c r="EF65200"/>
      <c r="EG65200"/>
      <c r="EH65200"/>
      <c r="EI65200"/>
      <c r="EJ65200"/>
      <c r="EK65200"/>
    </row>
    <row r="65201" spans="1:141" s="116" customFormat="1">
      <c r="A65201" s="136"/>
      <c r="CM65201" s="111"/>
      <c r="CQ65201" s="111"/>
      <c r="EF65201"/>
      <c r="EG65201"/>
      <c r="EH65201"/>
      <c r="EI65201"/>
      <c r="EJ65201"/>
      <c r="EK65201"/>
    </row>
    <row r="65202" spans="1:141" s="116" customFormat="1">
      <c r="A65202" s="136"/>
      <c r="CM65202" s="111"/>
      <c r="CQ65202" s="111"/>
      <c r="EF65202"/>
      <c r="EG65202"/>
      <c r="EH65202"/>
      <c r="EI65202"/>
      <c r="EJ65202"/>
      <c r="EK65202"/>
    </row>
    <row r="65203" spans="1:141" s="116" customFormat="1">
      <c r="A65203" s="136"/>
      <c r="CM65203" s="111"/>
      <c r="CQ65203" s="111"/>
      <c r="EF65203"/>
      <c r="EG65203"/>
      <c r="EH65203"/>
      <c r="EI65203"/>
      <c r="EJ65203"/>
      <c r="EK65203"/>
    </row>
    <row r="65204" spans="1:141" s="116" customFormat="1">
      <c r="A65204" s="136"/>
      <c r="CM65204" s="111"/>
      <c r="CQ65204" s="111"/>
      <c r="EF65204"/>
      <c r="EG65204"/>
      <c r="EH65204"/>
      <c r="EI65204"/>
      <c r="EJ65204"/>
      <c r="EK65204"/>
    </row>
    <row r="65205" spans="1:141" s="116" customFormat="1">
      <c r="A65205" s="136"/>
      <c r="CM65205" s="111"/>
      <c r="CQ65205" s="111"/>
      <c r="EF65205"/>
      <c r="EG65205"/>
      <c r="EH65205"/>
      <c r="EI65205"/>
      <c r="EJ65205"/>
      <c r="EK65205"/>
    </row>
    <row r="65206" spans="1:141" s="116" customFormat="1">
      <c r="A65206" s="136"/>
      <c r="CM65206" s="111"/>
      <c r="CQ65206" s="111"/>
      <c r="EF65206"/>
      <c r="EG65206"/>
      <c r="EH65206"/>
      <c r="EI65206"/>
      <c r="EJ65206"/>
      <c r="EK65206"/>
    </row>
    <row r="65207" spans="1:141" s="116" customFormat="1">
      <c r="A65207" s="136"/>
      <c r="CM65207" s="111"/>
      <c r="CQ65207" s="111"/>
      <c r="EF65207"/>
      <c r="EG65207"/>
      <c r="EH65207"/>
      <c r="EI65207"/>
      <c r="EJ65207"/>
      <c r="EK65207"/>
    </row>
    <row r="65208" spans="1:141" s="116" customFormat="1">
      <c r="A65208" s="136"/>
      <c r="CM65208" s="111"/>
      <c r="CQ65208" s="111"/>
      <c r="EF65208"/>
      <c r="EG65208"/>
      <c r="EH65208"/>
      <c r="EI65208"/>
      <c r="EJ65208"/>
      <c r="EK65208"/>
    </row>
    <row r="65209" spans="1:141" s="116" customFormat="1">
      <c r="A65209" s="136"/>
      <c r="CM65209" s="111"/>
      <c r="CQ65209" s="111"/>
      <c r="EF65209"/>
      <c r="EG65209"/>
      <c r="EH65209"/>
      <c r="EI65209"/>
      <c r="EJ65209"/>
      <c r="EK65209"/>
    </row>
    <row r="65210" spans="1:141" s="116" customFormat="1">
      <c r="A65210" s="136"/>
      <c r="CM65210" s="111"/>
      <c r="CQ65210" s="111"/>
      <c r="EF65210"/>
      <c r="EG65210"/>
      <c r="EH65210"/>
      <c r="EI65210"/>
      <c r="EJ65210"/>
      <c r="EK65210"/>
    </row>
    <row r="65211" spans="1:141" s="116" customFormat="1">
      <c r="A65211" s="136"/>
      <c r="CM65211" s="111"/>
      <c r="CQ65211" s="111"/>
      <c r="EF65211"/>
      <c r="EG65211"/>
      <c r="EH65211"/>
      <c r="EI65211"/>
      <c r="EJ65211"/>
      <c r="EK65211"/>
    </row>
    <row r="65212" spans="1:141" s="116" customFormat="1">
      <c r="A65212" s="136"/>
      <c r="CM65212" s="111"/>
      <c r="CQ65212" s="111"/>
      <c r="EF65212"/>
      <c r="EG65212"/>
      <c r="EH65212"/>
      <c r="EI65212"/>
      <c r="EJ65212"/>
      <c r="EK65212"/>
    </row>
    <row r="65213" spans="1:141" s="116" customFormat="1">
      <c r="A65213" s="136"/>
      <c r="CM65213" s="111"/>
      <c r="CQ65213" s="111"/>
      <c r="EF65213"/>
      <c r="EG65213"/>
      <c r="EH65213"/>
      <c r="EI65213"/>
      <c r="EJ65213"/>
      <c r="EK65213"/>
    </row>
    <row r="65214" spans="1:141" s="116" customFormat="1">
      <c r="A65214" s="136"/>
      <c r="CM65214" s="111"/>
      <c r="CQ65214" s="111"/>
      <c r="EF65214"/>
      <c r="EG65214"/>
      <c r="EH65214"/>
      <c r="EI65214"/>
      <c r="EJ65214"/>
      <c r="EK65214"/>
    </row>
    <row r="65215" spans="1:141" s="116" customFormat="1">
      <c r="A65215" s="136"/>
      <c r="CM65215" s="111"/>
      <c r="CQ65215" s="111"/>
      <c r="EF65215"/>
      <c r="EG65215"/>
      <c r="EH65215"/>
      <c r="EI65215"/>
      <c r="EJ65215"/>
      <c r="EK65215"/>
    </row>
    <row r="65216" spans="1:141" s="116" customFormat="1">
      <c r="A65216" s="136"/>
      <c r="CM65216" s="111"/>
      <c r="CQ65216" s="111"/>
      <c r="EF65216"/>
      <c r="EG65216"/>
      <c r="EH65216"/>
      <c r="EI65216"/>
      <c r="EJ65216"/>
      <c r="EK65216"/>
    </row>
    <row r="65217" spans="1:141" s="116" customFormat="1">
      <c r="A65217" s="136"/>
      <c r="CM65217" s="111"/>
      <c r="CQ65217" s="111"/>
      <c r="EF65217"/>
      <c r="EG65217"/>
      <c r="EH65217"/>
      <c r="EI65217"/>
      <c r="EJ65217"/>
      <c r="EK65217"/>
    </row>
    <row r="65218" spans="1:141" s="116" customFormat="1">
      <c r="A65218" s="136"/>
      <c r="CM65218" s="111"/>
      <c r="CQ65218" s="111"/>
      <c r="EF65218"/>
      <c r="EG65218"/>
      <c r="EH65218"/>
      <c r="EI65218"/>
      <c r="EJ65218"/>
      <c r="EK65218"/>
    </row>
    <row r="65219" spans="1:141" s="116" customFormat="1">
      <c r="A65219" s="136"/>
      <c r="CM65219" s="111"/>
      <c r="CQ65219" s="111"/>
      <c r="EF65219"/>
      <c r="EG65219"/>
      <c r="EH65219"/>
      <c r="EI65219"/>
      <c r="EJ65219"/>
      <c r="EK65219"/>
    </row>
    <row r="65220" spans="1:141" s="116" customFormat="1">
      <c r="A65220" s="136"/>
      <c r="CM65220" s="111"/>
      <c r="CQ65220" s="111"/>
      <c r="EF65220"/>
      <c r="EG65220"/>
      <c r="EH65220"/>
      <c r="EI65220"/>
      <c r="EJ65220"/>
      <c r="EK65220"/>
    </row>
    <row r="65221" spans="1:141" s="116" customFormat="1">
      <c r="A65221" s="136"/>
      <c r="CM65221" s="111"/>
      <c r="CQ65221" s="111"/>
      <c r="EF65221"/>
      <c r="EG65221"/>
      <c r="EH65221"/>
      <c r="EI65221"/>
      <c r="EJ65221"/>
      <c r="EK65221"/>
    </row>
    <row r="65222" spans="1:141" s="116" customFormat="1">
      <c r="A65222" s="136"/>
      <c r="CM65222" s="111"/>
      <c r="CQ65222" s="111"/>
      <c r="EF65222"/>
      <c r="EG65222"/>
      <c r="EH65222"/>
      <c r="EI65222"/>
      <c r="EJ65222"/>
      <c r="EK65222"/>
    </row>
    <row r="65223" spans="1:141" s="116" customFormat="1">
      <c r="A65223" s="136"/>
      <c r="CM65223" s="111"/>
      <c r="CQ65223" s="111"/>
      <c r="EF65223"/>
      <c r="EG65223"/>
      <c r="EH65223"/>
      <c r="EI65223"/>
      <c r="EJ65223"/>
      <c r="EK65223"/>
    </row>
    <row r="65224" spans="1:141" s="116" customFormat="1">
      <c r="A65224" s="136"/>
      <c r="CM65224" s="111"/>
      <c r="CQ65224" s="111"/>
      <c r="EF65224"/>
      <c r="EG65224"/>
      <c r="EH65224"/>
      <c r="EI65224"/>
      <c r="EJ65224"/>
      <c r="EK65224"/>
    </row>
    <row r="65225" spans="1:141" s="116" customFormat="1">
      <c r="A65225" s="136"/>
      <c r="CM65225" s="111"/>
      <c r="CQ65225" s="111"/>
      <c r="EF65225"/>
      <c r="EG65225"/>
      <c r="EH65225"/>
      <c r="EI65225"/>
      <c r="EJ65225"/>
      <c r="EK65225"/>
    </row>
    <row r="65226" spans="1:141" s="116" customFormat="1">
      <c r="A65226" s="136"/>
      <c r="CM65226" s="111"/>
      <c r="CQ65226" s="111"/>
      <c r="EF65226"/>
      <c r="EG65226"/>
      <c r="EH65226"/>
      <c r="EI65226"/>
      <c r="EJ65226"/>
      <c r="EK65226"/>
    </row>
    <row r="65227" spans="1:141" s="116" customFormat="1">
      <c r="A65227" s="136"/>
      <c r="CM65227" s="111"/>
      <c r="CQ65227" s="111"/>
      <c r="EF65227"/>
      <c r="EG65227"/>
      <c r="EH65227"/>
      <c r="EI65227"/>
      <c r="EJ65227"/>
      <c r="EK65227"/>
    </row>
    <row r="65228" spans="1:141" s="116" customFormat="1">
      <c r="A65228" s="136"/>
      <c r="CM65228" s="111"/>
      <c r="CQ65228" s="111"/>
      <c r="EF65228"/>
      <c r="EG65228"/>
      <c r="EH65228"/>
      <c r="EI65228"/>
      <c r="EJ65228"/>
      <c r="EK65228"/>
    </row>
    <row r="65229" spans="1:141" s="116" customFormat="1">
      <c r="A65229" s="136"/>
      <c r="CM65229" s="111"/>
      <c r="CQ65229" s="111"/>
      <c r="EF65229"/>
      <c r="EG65229"/>
      <c r="EH65229"/>
      <c r="EI65229"/>
      <c r="EJ65229"/>
      <c r="EK65229"/>
    </row>
    <row r="65230" spans="1:141" s="116" customFormat="1">
      <c r="A65230" s="136"/>
      <c r="CM65230" s="111"/>
      <c r="CQ65230" s="111"/>
      <c r="EF65230"/>
      <c r="EG65230"/>
      <c r="EH65230"/>
      <c r="EI65230"/>
      <c r="EJ65230"/>
      <c r="EK65230"/>
    </row>
    <row r="65231" spans="1:141" s="116" customFormat="1">
      <c r="A65231" s="136"/>
      <c r="CM65231" s="111"/>
      <c r="CQ65231" s="111"/>
      <c r="EF65231"/>
      <c r="EG65231"/>
      <c r="EH65231"/>
      <c r="EI65231"/>
      <c r="EJ65231"/>
      <c r="EK65231"/>
    </row>
    <row r="65232" spans="1:141" s="116" customFormat="1">
      <c r="A65232" s="136"/>
      <c r="CM65232" s="111"/>
      <c r="CQ65232" s="111"/>
      <c r="EF65232"/>
      <c r="EG65232"/>
      <c r="EH65232"/>
      <c r="EI65232"/>
      <c r="EJ65232"/>
      <c r="EK65232"/>
    </row>
    <row r="65233" spans="1:141" s="116" customFormat="1">
      <c r="A65233" s="136"/>
      <c r="CM65233" s="111"/>
      <c r="CQ65233" s="111"/>
      <c r="EF65233"/>
      <c r="EG65233"/>
      <c r="EH65233"/>
      <c r="EI65233"/>
      <c r="EJ65233"/>
      <c r="EK65233"/>
    </row>
    <row r="65234" spans="1:141" s="116" customFormat="1">
      <c r="A65234" s="136"/>
      <c r="CM65234" s="111"/>
      <c r="CQ65234" s="111"/>
      <c r="EF65234"/>
      <c r="EG65234"/>
      <c r="EH65234"/>
      <c r="EI65234"/>
      <c r="EJ65234"/>
      <c r="EK65234"/>
    </row>
    <row r="65235" spans="1:141" s="116" customFormat="1">
      <c r="A65235" s="136"/>
      <c r="CM65235" s="111"/>
      <c r="CQ65235" s="111"/>
      <c r="EF65235"/>
      <c r="EG65235"/>
      <c r="EH65235"/>
      <c r="EI65235"/>
      <c r="EJ65235"/>
      <c r="EK65235"/>
    </row>
    <row r="65236" spans="1:141" s="116" customFormat="1">
      <c r="A65236" s="136"/>
      <c r="CM65236" s="111"/>
      <c r="CQ65236" s="111"/>
      <c r="EF65236"/>
      <c r="EG65236"/>
      <c r="EH65236"/>
      <c r="EI65236"/>
      <c r="EJ65236"/>
      <c r="EK65236"/>
    </row>
    <row r="65237" spans="1:141" s="116" customFormat="1">
      <c r="A65237" s="136"/>
      <c r="CM65237" s="111"/>
      <c r="CQ65237" s="111"/>
      <c r="EF65237"/>
      <c r="EG65237"/>
      <c r="EH65237"/>
      <c r="EI65237"/>
      <c r="EJ65237"/>
      <c r="EK65237"/>
    </row>
    <row r="65238" spans="1:141" s="116" customFormat="1">
      <c r="A65238" s="136"/>
      <c r="CM65238" s="111"/>
      <c r="CQ65238" s="111"/>
      <c r="EF65238"/>
      <c r="EG65238"/>
      <c r="EH65238"/>
      <c r="EI65238"/>
      <c r="EJ65238"/>
      <c r="EK65238"/>
    </row>
    <row r="65239" spans="1:141" s="116" customFormat="1">
      <c r="A65239" s="136"/>
      <c r="CM65239" s="111"/>
      <c r="CQ65239" s="111"/>
      <c r="EF65239"/>
      <c r="EG65239"/>
      <c r="EH65239"/>
      <c r="EI65239"/>
      <c r="EJ65239"/>
      <c r="EK65239"/>
    </row>
    <row r="65240" spans="1:141" s="116" customFormat="1">
      <c r="A65240" s="136"/>
      <c r="CM65240" s="111"/>
      <c r="CQ65240" s="111"/>
      <c r="EF65240"/>
      <c r="EG65240"/>
      <c r="EH65240"/>
      <c r="EI65240"/>
      <c r="EJ65240"/>
      <c r="EK65240"/>
    </row>
    <row r="65241" spans="1:141" s="116" customFormat="1">
      <c r="A65241" s="136"/>
      <c r="CM65241" s="111"/>
      <c r="CQ65241" s="111"/>
      <c r="EF65241"/>
      <c r="EG65241"/>
      <c r="EH65241"/>
      <c r="EI65241"/>
      <c r="EJ65241"/>
      <c r="EK65241"/>
    </row>
    <row r="65242" spans="1:141" s="116" customFormat="1">
      <c r="A65242" s="136"/>
      <c r="CM65242" s="111"/>
      <c r="CQ65242" s="111"/>
      <c r="EF65242"/>
      <c r="EG65242"/>
      <c r="EH65242"/>
      <c r="EI65242"/>
      <c r="EJ65242"/>
      <c r="EK65242"/>
    </row>
    <row r="65243" spans="1:141" s="116" customFormat="1">
      <c r="A65243" s="136"/>
      <c r="CM65243" s="111"/>
      <c r="CQ65243" s="111"/>
      <c r="EF65243"/>
      <c r="EG65243"/>
      <c r="EH65243"/>
      <c r="EI65243"/>
      <c r="EJ65243"/>
      <c r="EK65243"/>
    </row>
    <row r="65244" spans="1:141" s="116" customFormat="1">
      <c r="A65244" s="136"/>
      <c r="CM65244" s="111"/>
      <c r="CQ65244" s="111"/>
      <c r="EF65244"/>
      <c r="EG65244"/>
      <c r="EH65244"/>
      <c r="EI65244"/>
      <c r="EJ65244"/>
      <c r="EK65244"/>
    </row>
    <row r="65245" spans="1:141" s="116" customFormat="1">
      <c r="A65245" s="136"/>
      <c r="CM65245" s="111"/>
      <c r="CQ65245" s="111"/>
      <c r="EF65245"/>
      <c r="EG65245"/>
      <c r="EH65245"/>
      <c r="EI65245"/>
      <c r="EJ65245"/>
      <c r="EK65245"/>
    </row>
    <row r="65246" spans="1:141" s="116" customFormat="1">
      <c r="A65246" s="136"/>
      <c r="CM65246" s="111"/>
      <c r="CQ65246" s="111"/>
      <c r="EF65246"/>
      <c r="EG65246"/>
      <c r="EH65246"/>
      <c r="EI65246"/>
      <c r="EJ65246"/>
      <c r="EK65246"/>
    </row>
    <row r="65247" spans="1:141" s="116" customFormat="1">
      <c r="A65247" s="136"/>
      <c r="CM65247" s="111"/>
      <c r="CQ65247" s="111"/>
      <c r="EF65247"/>
      <c r="EG65247"/>
      <c r="EH65247"/>
      <c r="EI65247"/>
      <c r="EJ65247"/>
      <c r="EK65247"/>
    </row>
    <row r="65248" spans="1:141" s="116" customFormat="1">
      <c r="A65248" s="136"/>
      <c r="CM65248" s="111"/>
      <c r="CQ65248" s="111"/>
      <c r="EF65248"/>
      <c r="EG65248"/>
      <c r="EH65248"/>
      <c r="EI65248"/>
      <c r="EJ65248"/>
      <c r="EK65248"/>
    </row>
    <row r="65249" spans="1:141" s="116" customFormat="1">
      <c r="A65249" s="136"/>
      <c r="CM65249" s="111"/>
      <c r="CQ65249" s="111"/>
      <c r="EF65249"/>
      <c r="EG65249"/>
      <c r="EH65249"/>
      <c r="EI65249"/>
      <c r="EJ65249"/>
      <c r="EK65249"/>
    </row>
    <row r="65250" spans="1:141" s="116" customFormat="1">
      <c r="A65250" s="136"/>
      <c r="CM65250" s="111"/>
      <c r="CQ65250" s="111"/>
      <c r="EF65250"/>
      <c r="EG65250"/>
      <c r="EH65250"/>
      <c r="EI65250"/>
      <c r="EJ65250"/>
      <c r="EK65250"/>
    </row>
    <row r="65251" spans="1:141" s="116" customFormat="1">
      <c r="A65251" s="136"/>
      <c r="CM65251" s="111"/>
      <c r="CQ65251" s="111"/>
      <c r="EF65251"/>
      <c r="EG65251"/>
      <c r="EH65251"/>
      <c r="EI65251"/>
      <c r="EJ65251"/>
      <c r="EK65251"/>
    </row>
    <row r="65252" spans="1:141" s="116" customFormat="1">
      <c r="A65252" s="136"/>
      <c r="CM65252" s="111"/>
      <c r="CQ65252" s="111"/>
      <c r="EF65252"/>
      <c r="EG65252"/>
      <c r="EH65252"/>
      <c r="EI65252"/>
      <c r="EJ65252"/>
      <c r="EK65252"/>
    </row>
    <row r="65253" spans="1:141" s="116" customFormat="1">
      <c r="A65253" s="136"/>
      <c r="CM65253" s="111"/>
      <c r="CQ65253" s="111"/>
      <c r="EF65253"/>
      <c r="EG65253"/>
      <c r="EH65253"/>
      <c r="EI65253"/>
      <c r="EJ65253"/>
      <c r="EK65253"/>
    </row>
    <row r="65254" spans="1:141" s="116" customFormat="1">
      <c r="A65254" s="136"/>
      <c r="CM65254" s="111"/>
      <c r="CQ65254" s="111"/>
      <c r="EF65254"/>
      <c r="EG65254"/>
      <c r="EH65254"/>
      <c r="EI65254"/>
      <c r="EJ65254"/>
      <c r="EK65254"/>
    </row>
    <row r="65255" spans="1:141" s="116" customFormat="1">
      <c r="A65255" s="136"/>
      <c r="CM65255" s="111"/>
      <c r="CQ65255" s="111"/>
      <c r="EF65255"/>
      <c r="EG65255"/>
      <c r="EH65255"/>
      <c r="EI65255"/>
      <c r="EJ65255"/>
      <c r="EK65255"/>
    </row>
    <row r="65256" spans="1:141" s="116" customFormat="1">
      <c r="A65256" s="136"/>
      <c r="CM65256" s="111"/>
      <c r="CQ65256" s="111"/>
      <c r="EF65256"/>
      <c r="EG65256"/>
      <c r="EH65256"/>
      <c r="EI65256"/>
      <c r="EJ65256"/>
      <c r="EK65256"/>
    </row>
    <row r="65257" spans="1:141" s="116" customFormat="1">
      <c r="A65257" s="136"/>
      <c r="CM65257" s="111"/>
      <c r="CQ65257" s="111"/>
      <c r="EF65257"/>
      <c r="EG65257"/>
      <c r="EH65257"/>
      <c r="EI65257"/>
      <c r="EJ65257"/>
      <c r="EK65257"/>
    </row>
    <row r="65258" spans="1:141" s="116" customFormat="1">
      <c r="A65258" s="136"/>
      <c r="CM65258" s="111"/>
      <c r="CQ65258" s="111"/>
      <c r="EF65258"/>
      <c r="EG65258"/>
      <c r="EH65258"/>
      <c r="EI65258"/>
      <c r="EJ65258"/>
      <c r="EK65258"/>
    </row>
    <row r="65259" spans="1:141" s="116" customFormat="1">
      <c r="A65259" s="136"/>
      <c r="CM65259" s="111"/>
      <c r="CQ65259" s="111"/>
      <c r="EF65259"/>
      <c r="EG65259"/>
      <c r="EH65259"/>
      <c r="EI65259"/>
      <c r="EJ65259"/>
      <c r="EK65259"/>
    </row>
    <row r="65260" spans="1:141" s="116" customFormat="1">
      <c r="A65260" s="136"/>
      <c r="CM65260" s="111"/>
      <c r="CQ65260" s="111"/>
      <c r="EF65260"/>
      <c r="EG65260"/>
      <c r="EH65260"/>
      <c r="EI65260"/>
      <c r="EJ65260"/>
      <c r="EK65260"/>
    </row>
    <row r="65261" spans="1:141" s="116" customFormat="1">
      <c r="A65261" s="136"/>
      <c r="CM65261" s="111"/>
      <c r="CQ65261" s="111"/>
      <c r="EF65261"/>
      <c r="EG65261"/>
      <c r="EH65261"/>
      <c r="EI65261"/>
      <c r="EJ65261"/>
      <c r="EK65261"/>
    </row>
    <row r="65262" spans="1:141" s="116" customFormat="1">
      <c r="A65262" s="136"/>
      <c r="CM65262" s="111"/>
      <c r="CQ65262" s="111"/>
      <c r="EF65262"/>
      <c r="EG65262"/>
      <c r="EH65262"/>
      <c r="EI65262"/>
      <c r="EJ65262"/>
      <c r="EK65262"/>
    </row>
    <row r="65263" spans="1:141" s="116" customFormat="1">
      <c r="A65263" s="136"/>
      <c r="CM65263" s="111"/>
      <c r="CQ65263" s="111"/>
      <c r="EF65263"/>
      <c r="EG65263"/>
      <c r="EH65263"/>
      <c r="EI65263"/>
      <c r="EJ65263"/>
      <c r="EK65263"/>
    </row>
    <row r="65264" spans="1:141" s="116" customFormat="1">
      <c r="A65264" s="136"/>
      <c r="CM65264" s="111"/>
      <c r="CQ65264" s="111"/>
      <c r="EF65264"/>
      <c r="EG65264"/>
      <c r="EH65264"/>
      <c r="EI65264"/>
      <c r="EJ65264"/>
      <c r="EK65264"/>
    </row>
    <row r="65265" spans="1:141" s="116" customFormat="1">
      <c r="A65265" s="136"/>
      <c r="CM65265" s="111"/>
      <c r="CQ65265" s="111"/>
      <c r="EF65265"/>
      <c r="EG65265"/>
      <c r="EH65265"/>
      <c r="EI65265"/>
      <c r="EJ65265"/>
      <c r="EK65265"/>
    </row>
    <row r="65266" spans="1:141" s="116" customFormat="1">
      <c r="A65266" s="136"/>
      <c r="CM65266" s="111"/>
      <c r="CQ65266" s="111"/>
      <c r="EF65266"/>
      <c r="EG65266"/>
      <c r="EH65266"/>
      <c r="EI65266"/>
      <c r="EJ65266"/>
      <c r="EK65266"/>
    </row>
    <row r="65267" spans="1:141" s="116" customFormat="1">
      <c r="A65267" s="136"/>
      <c r="CM65267" s="111"/>
      <c r="CQ65267" s="111"/>
      <c r="EF65267"/>
      <c r="EG65267"/>
      <c r="EH65267"/>
      <c r="EI65267"/>
      <c r="EJ65267"/>
      <c r="EK65267"/>
    </row>
    <row r="65268" spans="1:141" s="116" customFormat="1">
      <c r="A65268" s="136"/>
      <c r="CM65268" s="111"/>
      <c r="CQ65268" s="111"/>
      <c r="EF65268"/>
      <c r="EG65268"/>
      <c r="EH65268"/>
      <c r="EI65268"/>
      <c r="EJ65268"/>
      <c r="EK65268"/>
    </row>
    <row r="65269" spans="1:141" s="116" customFormat="1">
      <c r="A65269" s="136"/>
      <c r="CM65269" s="111"/>
      <c r="CQ65269" s="111"/>
      <c r="EF65269"/>
      <c r="EG65269"/>
      <c r="EH65269"/>
      <c r="EI65269"/>
      <c r="EJ65269"/>
      <c r="EK65269"/>
    </row>
    <row r="65270" spans="1:141" s="116" customFormat="1">
      <c r="A65270" s="136"/>
      <c r="CM65270" s="111"/>
      <c r="CQ65270" s="111"/>
      <c r="EF65270"/>
      <c r="EG65270"/>
      <c r="EH65270"/>
      <c r="EI65270"/>
      <c r="EJ65270"/>
      <c r="EK65270"/>
    </row>
    <row r="65271" spans="1:141" s="116" customFormat="1">
      <c r="A65271" s="136"/>
      <c r="CM65271" s="111"/>
      <c r="CQ65271" s="111"/>
      <c r="EF65271"/>
      <c r="EG65271"/>
      <c r="EH65271"/>
      <c r="EI65271"/>
      <c r="EJ65271"/>
      <c r="EK65271"/>
    </row>
    <row r="65272" spans="1:141" s="116" customFormat="1">
      <c r="A65272" s="136"/>
      <c r="CM65272" s="111"/>
      <c r="CQ65272" s="111"/>
      <c r="EF65272"/>
      <c r="EG65272"/>
      <c r="EH65272"/>
      <c r="EI65272"/>
      <c r="EJ65272"/>
      <c r="EK65272"/>
    </row>
    <row r="65273" spans="1:141" s="116" customFormat="1">
      <c r="A65273" s="136"/>
      <c r="CM65273" s="111"/>
      <c r="CQ65273" s="111"/>
      <c r="EF65273"/>
      <c r="EG65273"/>
      <c r="EH65273"/>
      <c r="EI65273"/>
      <c r="EJ65273"/>
      <c r="EK65273"/>
    </row>
    <row r="65274" spans="1:141" s="116" customFormat="1">
      <c r="A65274" s="136"/>
      <c r="CM65274" s="111"/>
      <c r="CQ65274" s="111"/>
      <c r="EF65274"/>
      <c r="EG65274"/>
      <c r="EH65274"/>
      <c r="EI65274"/>
      <c r="EJ65274"/>
      <c r="EK65274"/>
    </row>
    <row r="65275" spans="1:141" s="116" customFormat="1">
      <c r="A65275" s="136"/>
      <c r="CM65275" s="111"/>
      <c r="CQ65275" s="111"/>
      <c r="EF65275"/>
      <c r="EG65275"/>
      <c r="EH65275"/>
      <c r="EI65275"/>
      <c r="EJ65275"/>
      <c r="EK65275"/>
    </row>
    <row r="65276" spans="1:141" s="116" customFormat="1">
      <c r="A65276" s="136"/>
      <c r="CM65276" s="111"/>
      <c r="CQ65276" s="111"/>
      <c r="EF65276"/>
      <c r="EG65276"/>
      <c r="EH65276"/>
      <c r="EI65276"/>
      <c r="EJ65276"/>
      <c r="EK65276"/>
    </row>
    <row r="65277" spans="1:141" s="116" customFormat="1">
      <c r="A65277" s="136"/>
      <c r="CM65277" s="111"/>
      <c r="CQ65277" s="111"/>
      <c r="EF65277"/>
      <c r="EG65277"/>
      <c r="EH65277"/>
      <c r="EI65277"/>
      <c r="EJ65277"/>
      <c r="EK65277"/>
    </row>
    <row r="65278" spans="1:141" s="116" customFormat="1">
      <c r="A65278" s="136"/>
      <c r="CM65278" s="111"/>
      <c r="CQ65278" s="111"/>
      <c r="EF65278"/>
      <c r="EG65278"/>
      <c r="EH65278"/>
      <c r="EI65278"/>
      <c r="EJ65278"/>
      <c r="EK65278"/>
    </row>
    <row r="65279" spans="1:141" s="116" customFormat="1">
      <c r="A65279" s="136"/>
      <c r="CM65279" s="111"/>
      <c r="CQ65279" s="111"/>
      <c r="EF65279"/>
      <c r="EG65279"/>
      <c r="EH65279"/>
      <c r="EI65279"/>
      <c r="EJ65279"/>
      <c r="EK65279"/>
    </row>
    <row r="65280" spans="1:141" s="116" customFormat="1">
      <c r="A65280" s="136"/>
      <c r="CM65280" s="111"/>
      <c r="CQ65280" s="111"/>
      <c r="EF65280"/>
      <c r="EG65280"/>
      <c r="EH65280"/>
      <c r="EI65280"/>
      <c r="EJ65280"/>
      <c r="EK65280"/>
    </row>
    <row r="65281" spans="1:141" s="116" customFormat="1">
      <c r="A65281" s="136"/>
      <c r="CM65281" s="111"/>
      <c r="CQ65281" s="111"/>
      <c r="EF65281"/>
      <c r="EG65281"/>
      <c r="EH65281"/>
      <c r="EI65281"/>
      <c r="EJ65281"/>
      <c r="EK65281"/>
    </row>
    <row r="65282" spans="1:141" s="116" customFormat="1">
      <c r="A65282" s="136"/>
      <c r="CM65282" s="111"/>
      <c r="CQ65282" s="111"/>
      <c r="EF65282"/>
      <c r="EG65282"/>
      <c r="EH65282"/>
      <c r="EI65282"/>
      <c r="EJ65282"/>
      <c r="EK65282"/>
    </row>
    <row r="65283" spans="1:141" s="116" customFormat="1">
      <c r="A65283" s="136"/>
      <c r="CM65283" s="111"/>
      <c r="CQ65283" s="111"/>
      <c r="EF65283"/>
      <c r="EG65283"/>
      <c r="EH65283"/>
      <c r="EI65283"/>
      <c r="EJ65283"/>
      <c r="EK65283"/>
    </row>
    <row r="65284" spans="1:141" s="116" customFormat="1">
      <c r="A65284" s="136"/>
      <c r="CM65284" s="111"/>
      <c r="CQ65284" s="111"/>
      <c r="EF65284"/>
      <c r="EG65284"/>
      <c r="EH65284"/>
      <c r="EI65284"/>
      <c r="EJ65284"/>
      <c r="EK65284"/>
    </row>
    <row r="65285" spans="1:141" s="116" customFormat="1">
      <c r="A65285" s="136"/>
      <c r="CM65285" s="111"/>
      <c r="CQ65285" s="111"/>
      <c r="EF65285"/>
      <c r="EG65285"/>
      <c r="EH65285"/>
      <c r="EI65285"/>
      <c r="EJ65285"/>
      <c r="EK65285"/>
    </row>
    <row r="65286" spans="1:141" s="116" customFormat="1">
      <c r="A65286" s="136"/>
      <c r="CM65286" s="111"/>
      <c r="CQ65286" s="111"/>
      <c r="EF65286"/>
      <c r="EG65286"/>
      <c r="EH65286"/>
      <c r="EI65286"/>
      <c r="EJ65286"/>
      <c r="EK65286"/>
    </row>
    <row r="65287" spans="1:141" s="116" customFormat="1">
      <c r="A65287" s="136"/>
      <c r="CM65287" s="111"/>
      <c r="CQ65287" s="111"/>
      <c r="EF65287"/>
      <c r="EG65287"/>
      <c r="EH65287"/>
      <c r="EI65287"/>
      <c r="EJ65287"/>
      <c r="EK65287"/>
    </row>
    <row r="65288" spans="1:141" s="116" customFormat="1">
      <c r="A65288" s="136"/>
      <c r="CM65288" s="111"/>
      <c r="CQ65288" s="111"/>
      <c r="EF65288"/>
      <c r="EG65288"/>
      <c r="EH65288"/>
      <c r="EI65288"/>
      <c r="EJ65288"/>
      <c r="EK65288"/>
    </row>
    <row r="65289" spans="1:141" s="116" customFormat="1">
      <c r="A65289" s="136"/>
      <c r="CM65289" s="111"/>
      <c r="CQ65289" s="111"/>
      <c r="EF65289"/>
      <c r="EG65289"/>
      <c r="EH65289"/>
      <c r="EI65289"/>
      <c r="EJ65289"/>
      <c r="EK65289"/>
    </row>
    <row r="65290" spans="1:141" s="116" customFormat="1">
      <c r="A65290" s="136"/>
      <c r="CM65290" s="111"/>
      <c r="CQ65290" s="111"/>
      <c r="EF65290"/>
      <c r="EG65290"/>
      <c r="EH65290"/>
      <c r="EI65290"/>
      <c r="EJ65290"/>
      <c r="EK65290"/>
    </row>
    <row r="65291" spans="1:141" s="116" customFormat="1">
      <c r="A65291" s="136"/>
      <c r="CM65291" s="111"/>
      <c r="CQ65291" s="111"/>
      <c r="EF65291"/>
      <c r="EG65291"/>
      <c r="EH65291"/>
      <c r="EI65291"/>
      <c r="EJ65291"/>
      <c r="EK65291"/>
    </row>
    <row r="65292" spans="1:141" s="116" customFormat="1">
      <c r="A65292" s="136"/>
      <c r="CM65292" s="111"/>
      <c r="CQ65292" s="111"/>
      <c r="EF65292"/>
      <c r="EG65292"/>
      <c r="EH65292"/>
      <c r="EI65292"/>
      <c r="EJ65292"/>
      <c r="EK65292"/>
    </row>
    <row r="65293" spans="1:141" s="116" customFormat="1">
      <c r="A65293" s="136"/>
      <c r="CM65293" s="111"/>
      <c r="CQ65293" s="111"/>
      <c r="EF65293"/>
      <c r="EG65293"/>
      <c r="EH65293"/>
      <c r="EI65293"/>
      <c r="EJ65293"/>
      <c r="EK65293"/>
    </row>
    <row r="65294" spans="1:141" s="116" customFormat="1">
      <c r="A65294" s="136"/>
      <c r="CM65294" s="111"/>
      <c r="CQ65294" s="111"/>
      <c r="EF65294"/>
      <c r="EG65294"/>
      <c r="EH65294"/>
      <c r="EI65294"/>
      <c r="EJ65294"/>
      <c r="EK65294"/>
    </row>
    <row r="65295" spans="1:141" s="116" customFormat="1">
      <c r="A65295" s="136"/>
      <c r="CM65295" s="111"/>
      <c r="CQ65295" s="111"/>
      <c r="EF65295"/>
      <c r="EG65295"/>
      <c r="EH65295"/>
      <c r="EI65295"/>
      <c r="EJ65295"/>
      <c r="EK65295"/>
    </row>
    <row r="65296" spans="1:141" s="116" customFormat="1">
      <c r="A65296" s="136"/>
      <c r="CM65296" s="111"/>
      <c r="CQ65296" s="111"/>
      <c r="EF65296"/>
      <c r="EG65296"/>
      <c r="EH65296"/>
      <c r="EI65296"/>
      <c r="EJ65296"/>
      <c r="EK65296"/>
    </row>
    <row r="65297" spans="1:141" s="116" customFormat="1">
      <c r="A65297" s="136"/>
      <c r="CM65297" s="111"/>
      <c r="CQ65297" s="111"/>
      <c r="EF65297"/>
      <c r="EG65297"/>
      <c r="EH65297"/>
      <c r="EI65297"/>
      <c r="EJ65297"/>
      <c r="EK65297"/>
    </row>
    <row r="65298" spans="1:141" s="116" customFormat="1">
      <c r="A65298" s="136"/>
      <c r="CM65298" s="111"/>
      <c r="CQ65298" s="111"/>
      <c r="EF65298"/>
      <c r="EG65298"/>
      <c r="EH65298"/>
      <c r="EI65298"/>
      <c r="EJ65298"/>
      <c r="EK65298"/>
    </row>
    <row r="65299" spans="1:141" s="116" customFormat="1">
      <c r="A65299" s="136"/>
      <c r="CM65299" s="111"/>
      <c r="CQ65299" s="111"/>
      <c r="EF65299"/>
      <c r="EG65299"/>
      <c r="EH65299"/>
      <c r="EI65299"/>
      <c r="EJ65299"/>
      <c r="EK65299"/>
    </row>
    <row r="65300" spans="1:141" s="116" customFormat="1">
      <c r="A65300" s="136"/>
      <c r="CM65300" s="111"/>
      <c r="CQ65300" s="111"/>
      <c r="EF65300"/>
      <c r="EG65300"/>
      <c r="EH65300"/>
      <c r="EI65300"/>
      <c r="EJ65300"/>
      <c r="EK65300"/>
    </row>
    <row r="65301" spans="1:141" s="116" customFormat="1">
      <c r="A65301" s="136"/>
      <c r="CM65301" s="111"/>
      <c r="CQ65301" s="111"/>
      <c r="EF65301"/>
      <c r="EG65301"/>
      <c r="EH65301"/>
      <c r="EI65301"/>
      <c r="EJ65301"/>
      <c r="EK65301"/>
    </row>
    <row r="65302" spans="1:141" s="116" customFormat="1">
      <c r="A65302" s="136"/>
      <c r="CM65302" s="111"/>
      <c r="CQ65302" s="111"/>
      <c r="EF65302"/>
      <c r="EG65302"/>
      <c r="EH65302"/>
      <c r="EI65302"/>
      <c r="EJ65302"/>
      <c r="EK65302"/>
    </row>
    <row r="65303" spans="1:141" s="116" customFormat="1">
      <c r="A65303" s="136"/>
      <c r="CM65303" s="111"/>
      <c r="CQ65303" s="111"/>
      <c r="EF65303"/>
      <c r="EG65303"/>
      <c r="EH65303"/>
      <c r="EI65303"/>
      <c r="EJ65303"/>
      <c r="EK65303"/>
    </row>
    <row r="65304" spans="1:141" s="116" customFormat="1">
      <c r="A65304" s="136"/>
      <c r="CM65304" s="111"/>
      <c r="CQ65304" s="111"/>
      <c r="EF65304"/>
      <c r="EG65304"/>
      <c r="EH65304"/>
      <c r="EI65304"/>
      <c r="EJ65304"/>
      <c r="EK65304"/>
    </row>
    <row r="65305" spans="1:141" s="116" customFormat="1">
      <c r="A65305" s="136"/>
      <c r="CM65305" s="111"/>
      <c r="CQ65305" s="111"/>
      <c r="EF65305"/>
      <c r="EG65305"/>
      <c r="EH65305"/>
      <c r="EI65305"/>
      <c r="EJ65305"/>
      <c r="EK65305"/>
    </row>
    <row r="65306" spans="1:141" s="116" customFormat="1">
      <c r="A65306" s="136"/>
      <c r="CM65306" s="111"/>
      <c r="CQ65306" s="111"/>
      <c r="EF65306"/>
      <c r="EG65306"/>
      <c r="EH65306"/>
      <c r="EI65306"/>
      <c r="EJ65306"/>
      <c r="EK65306"/>
    </row>
    <row r="65307" spans="1:141" s="116" customFormat="1">
      <c r="A65307" s="136"/>
      <c r="CM65307" s="111"/>
      <c r="CQ65307" s="111"/>
      <c r="EF65307"/>
      <c r="EG65307"/>
      <c r="EH65307"/>
      <c r="EI65307"/>
      <c r="EJ65307"/>
      <c r="EK65307"/>
    </row>
    <row r="65308" spans="1:141" s="116" customFormat="1">
      <c r="A65308" s="136"/>
      <c r="CM65308" s="111"/>
      <c r="CQ65308" s="111"/>
      <c r="EF65308"/>
      <c r="EG65308"/>
      <c r="EH65308"/>
      <c r="EI65308"/>
      <c r="EJ65308"/>
      <c r="EK65308"/>
    </row>
    <row r="65309" spans="1:141" s="116" customFormat="1">
      <c r="A65309" s="136"/>
      <c r="CM65309" s="111"/>
      <c r="CQ65309" s="111"/>
      <c r="EF65309"/>
      <c r="EG65309"/>
      <c r="EH65309"/>
      <c r="EI65309"/>
      <c r="EJ65309"/>
      <c r="EK65309"/>
    </row>
    <row r="65310" spans="1:141" s="116" customFormat="1">
      <c r="A65310" s="136"/>
      <c r="CM65310" s="111"/>
      <c r="CQ65310" s="111"/>
      <c r="EF65310"/>
      <c r="EG65310"/>
      <c r="EH65310"/>
      <c r="EI65310"/>
      <c r="EJ65310"/>
      <c r="EK65310"/>
    </row>
    <row r="65311" spans="1:141" s="116" customFormat="1">
      <c r="A65311" s="136"/>
      <c r="CM65311" s="111"/>
      <c r="CQ65311" s="111"/>
      <c r="EF65311"/>
      <c r="EG65311"/>
      <c r="EH65311"/>
      <c r="EI65311"/>
      <c r="EJ65311"/>
      <c r="EK65311"/>
    </row>
    <row r="65312" spans="1:141" s="116" customFormat="1">
      <c r="A65312" s="136"/>
      <c r="CM65312" s="111"/>
      <c r="CQ65312" s="111"/>
      <c r="EF65312"/>
      <c r="EG65312"/>
      <c r="EH65312"/>
      <c r="EI65312"/>
      <c r="EJ65312"/>
      <c r="EK65312"/>
    </row>
    <row r="65313" spans="91:141" s="116" customFormat="1">
      <c r="CM65313" s="111"/>
      <c r="CQ65313" s="111"/>
      <c r="EF65313"/>
      <c r="EG65313"/>
      <c r="EH65313"/>
      <c r="EI65313"/>
      <c r="EJ65313"/>
      <c r="EK65313"/>
    </row>
    <row r="65314" spans="91:141" s="116" customFormat="1">
      <c r="CM65314" s="111"/>
      <c r="CQ65314" s="111"/>
      <c r="EF65314"/>
      <c r="EG65314"/>
      <c r="EH65314"/>
      <c r="EI65314"/>
      <c r="EJ65314"/>
      <c r="EK65314"/>
    </row>
    <row r="65315" spans="91:141" s="116" customFormat="1">
      <c r="CM65315" s="111"/>
      <c r="CQ65315" s="111"/>
      <c r="EF65315"/>
      <c r="EG65315"/>
      <c r="EH65315"/>
      <c r="EI65315"/>
      <c r="EJ65315"/>
      <c r="EK65315"/>
    </row>
    <row r="65316" spans="91:141" s="116" customFormat="1">
      <c r="CM65316" s="111"/>
      <c r="CQ65316" s="111"/>
      <c r="EF65316"/>
      <c r="EG65316"/>
      <c r="EH65316"/>
      <c r="EI65316"/>
      <c r="EJ65316"/>
      <c r="EK65316"/>
    </row>
    <row r="65317" spans="91:141" s="116" customFormat="1">
      <c r="CM65317" s="111"/>
      <c r="CQ65317" s="111"/>
      <c r="EF65317"/>
      <c r="EG65317"/>
      <c r="EH65317"/>
      <c r="EI65317"/>
      <c r="EJ65317"/>
      <c r="EK65317"/>
    </row>
    <row r="65318" spans="91:141" s="116" customFormat="1">
      <c r="CM65318" s="111"/>
      <c r="CQ65318" s="111"/>
      <c r="EF65318"/>
      <c r="EG65318"/>
      <c r="EH65318"/>
      <c r="EI65318"/>
      <c r="EJ65318"/>
      <c r="EK65318"/>
    </row>
    <row r="65319" spans="91:141" s="116" customFormat="1">
      <c r="CM65319" s="111"/>
      <c r="CQ65319" s="111"/>
      <c r="EF65319"/>
      <c r="EG65319"/>
      <c r="EH65319"/>
      <c r="EI65319"/>
      <c r="EJ65319"/>
      <c r="EK65319"/>
    </row>
    <row r="65320" spans="91:141" s="116" customFormat="1">
      <c r="CM65320" s="111"/>
      <c r="CQ65320" s="111"/>
      <c r="EF65320"/>
      <c r="EG65320"/>
      <c r="EH65320"/>
      <c r="EI65320"/>
      <c r="EJ65320"/>
      <c r="EK65320"/>
    </row>
    <row r="65321" spans="91:141" s="116" customFormat="1">
      <c r="CM65321" s="111"/>
      <c r="CQ65321" s="111"/>
      <c r="EF65321"/>
      <c r="EG65321"/>
      <c r="EH65321"/>
      <c r="EI65321"/>
      <c r="EJ65321"/>
      <c r="EK65321"/>
    </row>
    <row r="65322" spans="91:141" s="116" customFormat="1">
      <c r="CM65322" s="111"/>
      <c r="CQ65322" s="111"/>
      <c r="EF65322"/>
      <c r="EG65322"/>
      <c r="EH65322"/>
      <c r="EI65322"/>
      <c r="EJ65322"/>
      <c r="EK65322"/>
    </row>
    <row r="65323" spans="91:141" s="116" customFormat="1">
      <c r="CM65323" s="111"/>
      <c r="CQ65323" s="111"/>
      <c r="EF65323"/>
      <c r="EG65323"/>
      <c r="EH65323"/>
      <c r="EI65323"/>
      <c r="EJ65323"/>
      <c r="EK65323"/>
    </row>
    <row r="65324" spans="91:141" s="116" customFormat="1">
      <c r="CM65324" s="111"/>
      <c r="CQ65324" s="111"/>
      <c r="EF65324"/>
      <c r="EG65324"/>
      <c r="EH65324"/>
      <c r="EI65324"/>
      <c r="EJ65324"/>
      <c r="EK65324"/>
    </row>
    <row r="65325" spans="91:141" s="116" customFormat="1">
      <c r="CM65325" s="111"/>
      <c r="CQ65325" s="111"/>
      <c r="EF65325"/>
      <c r="EG65325"/>
      <c r="EH65325"/>
      <c r="EI65325"/>
      <c r="EJ65325"/>
      <c r="EK65325"/>
    </row>
    <row r="65326" spans="91:141" s="116" customFormat="1">
      <c r="CM65326" s="111"/>
      <c r="CQ65326" s="111"/>
      <c r="EF65326"/>
      <c r="EG65326"/>
      <c r="EH65326"/>
      <c r="EI65326"/>
      <c r="EJ65326"/>
      <c r="EK65326"/>
    </row>
    <row r="65327" spans="91:141" s="116" customFormat="1">
      <c r="CM65327" s="111"/>
      <c r="CQ65327" s="111"/>
      <c r="EF65327"/>
      <c r="EG65327"/>
      <c r="EH65327"/>
      <c r="EI65327"/>
      <c r="EJ65327"/>
      <c r="EK65327"/>
    </row>
    <row r="65328" spans="91:141" s="116" customFormat="1">
      <c r="CM65328" s="111"/>
      <c r="CQ65328" s="111"/>
      <c r="EF65328"/>
      <c r="EG65328"/>
      <c r="EH65328"/>
      <c r="EI65328"/>
      <c r="EJ65328"/>
      <c r="EK65328"/>
    </row>
    <row r="65329" spans="91:141" s="116" customFormat="1">
      <c r="CM65329" s="111"/>
      <c r="CQ65329" s="111"/>
      <c r="EF65329"/>
      <c r="EG65329"/>
      <c r="EH65329"/>
      <c r="EI65329"/>
      <c r="EJ65329"/>
      <c r="EK65329"/>
    </row>
    <row r="65330" spans="91:141" s="116" customFormat="1">
      <c r="CM65330" s="111"/>
      <c r="CQ65330" s="111"/>
      <c r="EF65330"/>
      <c r="EG65330"/>
      <c r="EH65330"/>
      <c r="EI65330"/>
      <c r="EJ65330"/>
      <c r="EK65330"/>
    </row>
    <row r="65331" spans="91:141" s="116" customFormat="1">
      <c r="CM65331" s="111"/>
      <c r="CQ65331" s="111"/>
      <c r="EF65331"/>
      <c r="EG65331"/>
      <c r="EH65331"/>
      <c r="EI65331"/>
      <c r="EJ65331"/>
      <c r="EK65331"/>
    </row>
    <row r="65332" spans="91:141" s="116" customFormat="1">
      <c r="CM65332" s="111"/>
      <c r="CQ65332" s="111"/>
      <c r="EF65332"/>
      <c r="EG65332"/>
      <c r="EH65332"/>
      <c r="EI65332"/>
      <c r="EJ65332"/>
      <c r="EK65332"/>
    </row>
    <row r="65333" spans="91:141" s="116" customFormat="1">
      <c r="CM65333" s="111"/>
      <c r="CQ65333" s="111"/>
      <c r="EF65333"/>
      <c r="EG65333"/>
      <c r="EH65333"/>
      <c r="EI65333"/>
      <c r="EJ65333"/>
      <c r="EK65333"/>
    </row>
    <row r="65334" spans="91:141" s="116" customFormat="1">
      <c r="CM65334" s="111"/>
      <c r="CQ65334" s="111"/>
      <c r="EF65334"/>
      <c r="EG65334"/>
      <c r="EH65334"/>
      <c r="EI65334"/>
      <c r="EJ65334"/>
      <c r="EK65334"/>
    </row>
    <row r="65335" spans="91:141" s="116" customFormat="1">
      <c r="CM65335" s="111"/>
      <c r="CQ65335" s="111"/>
      <c r="EF65335"/>
      <c r="EG65335"/>
      <c r="EH65335"/>
      <c r="EI65335"/>
      <c r="EJ65335"/>
      <c r="EK65335"/>
    </row>
    <row r="65336" spans="91:141" s="116" customFormat="1">
      <c r="CM65336" s="111"/>
      <c r="CQ65336" s="111"/>
      <c r="EF65336"/>
      <c r="EG65336"/>
      <c r="EH65336"/>
      <c r="EI65336"/>
      <c r="EJ65336"/>
      <c r="EK65336"/>
    </row>
    <row r="65337" spans="91:141" s="116" customFormat="1">
      <c r="CM65337" s="111"/>
      <c r="CQ65337" s="111"/>
      <c r="EF65337"/>
      <c r="EG65337"/>
      <c r="EH65337"/>
      <c r="EI65337"/>
      <c r="EJ65337"/>
      <c r="EK65337"/>
    </row>
    <row r="65338" spans="91:141" s="116" customFormat="1">
      <c r="CM65338" s="111"/>
      <c r="CQ65338" s="111"/>
      <c r="EF65338"/>
      <c r="EG65338"/>
      <c r="EH65338"/>
      <c r="EI65338"/>
      <c r="EJ65338"/>
      <c r="EK65338"/>
    </row>
    <row r="65339" spans="91:141" s="116" customFormat="1">
      <c r="CM65339" s="111"/>
      <c r="CQ65339" s="111"/>
      <c r="EF65339"/>
      <c r="EG65339"/>
      <c r="EH65339"/>
      <c r="EI65339"/>
      <c r="EJ65339"/>
      <c r="EK65339"/>
    </row>
    <row r="65340" spans="91:141" s="116" customFormat="1">
      <c r="CM65340" s="111"/>
      <c r="CQ65340" s="111"/>
      <c r="EF65340"/>
      <c r="EG65340"/>
      <c r="EH65340"/>
      <c r="EI65340"/>
      <c r="EJ65340"/>
      <c r="EK65340"/>
    </row>
    <row r="65341" spans="91:141" s="116" customFormat="1">
      <c r="CM65341" s="111"/>
      <c r="CQ65341" s="111"/>
      <c r="EF65341"/>
      <c r="EG65341"/>
      <c r="EH65341"/>
      <c r="EI65341"/>
      <c r="EJ65341"/>
      <c r="EK65341"/>
    </row>
    <row r="65342" spans="91:141" s="116" customFormat="1">
      <c r="CM65342" s="111"/>
      <c r="CQ65342" s="111"/>
      <c r="EF65342"/>
      <c r="EG65342"/>
      <c r="EH65342"/>
      <c r="EI65342"/>
      <c r="EJ65342"/>
      <c r="EK65342"/>
    </row>
    <row r="65343" spans="91:141" s="116" customFormat="1">
      <c r="CM65343" s="111"/>
      <c r="CQ65343" s="111"/>
      <c r="EF65343"/>
      <c r="EG65343"/>
      <c r="EH65343"/>
      <c r="EI65343"/>
      <c r="EJ65343"/>
      <c r="EK65343"/>
    </row>
    <row r="65344" spans="91:141" s="116" customFormat="1">
      <c r="CM65344" s="111"/>
      <c r="CQ65344" s="111"/>
      <c r="EF65344"/>
      <c r="EG65344"/>
      <c r="EH65344"/>
      <c r="EI65344"/>
      <c r="EJ65344"/>
      <c r="EK65344"/>
    </row>
    <row r="65345" spans="91:141" s="116" customFormat="1">
      <c r="CM65345" s="111"/>
      <c r="CQ65345" s="111"/>
      <c r="EF65345"/>
      <c r="EG65345"/>
      <c r="EH65345"/>
      <c r="EI65345"/>
      <c r="EJ65345"/>
      <c r="EK65345"/>
    </row>
    <row r="65346" spans="91:141" s="116" customFormat="1">
      <c r="CM65346" s="111"/>
      <c r="CQ65346" s="111"/>
      <c r="EF65346"/>
      <c r="EG65346"/>
      <c r="EH65346"/>
      <c r="EI65346"/>
      <c r="EJ65346"/>
      <c r="EK65346"/>
    </row>
    <row r="65347" spans="91:141" s="116" customFormat="1">
      <c r="CM65347" s="111"/>
      <c r="CQ65347" s="111"/>
      <c r="EF65347"/>
      <c r="EG65347"/>
      <c r="EH65347"/>
      <c r="EI65347"/>
      <c r="EJ65347"/>
      <c r="EK65347"/>
    </row>
    <row r="65348" spans="91:141" s="116" customFormat="1">
      <c r="CM65348" s="111"/>
      <c r="CQ65348" s="111"/>
      <c r="EF65348"/>
      <c r="EG65348"/>
      <c r="EH65348"/>
      <c r="EI65348"/>
      <c r="EJ65348"/>
      <c r="EK65348"/>
    </row>
    <row r="65349" spans="91:141" s="116" customFormat="1">
      <c r="CM65349" s="111"/>
      <c r="CQ65349" s="111"/>
      <c r="EF65349"/>
      <c r="EG65349"/>
      <c r="EH65349"/>
      <c r="EI65349"/>
      <c r="EJ65349"/>
      <c r="EK65349"/>
    </row>
    <row r="65350" spans="91:141" s="116" customFormat="1">
      <c r="CM65350" s="111"/>
      <c r="CQ65350" s="111"/>
      <c r="EF65350"/>
      <c r="EG65350"/>
      <c r="EH65350"/>
      <c r="EI65350"/>
      <c r="EJ65350"/>
      <c r="EK65350"/>
    </row>
    <row r="65351" spans="91:141" s="116" customFormat="1">
      <c r="CM65351" s="111"/>
      <c r="CQ65351" s="111"/>
      <c r="EF65351"/>
      <c r="EG65351"/>
      <c r="EH65351"/>
      <c r="EI65351"/>
      <c r="EJ65351"/>
      <c r="EK65351"/>
    </row>
    <row r="65352" spans="91:141" s="116" customFormat="1">
      <c r="CM65352" s="111"/>
      <c r="CQ65352" s="111"/>
      <c r="EF65352"/>
      <c r="EG65352"/>
      <c r="EH65352"/>
      <c r="EI65352"/>
      <c r="EJ65352"/>
      <c r="EK65352"/>
    </row>
    <row r="65353" spans="91:141" s="116" customFormat="1">
      <c r="CM65353" s="111"/>
      <c r="CQ65353" s="111"/>
      <c r="EF65353"/>
      <c r="EG65353"/>
      <c r="EH65353"/>
      <c r="EI65353"/>
      <c r="EJ65353"/>
      <c r="EK65353"/>
    </row>
    <row r="65354" spans="91:141" s="116" customFormat="1">
      <c r="CM65354" s="111"/>
      <c r="CQ65354" s="111"/>
      <c r="EF65354"/>
      <c r="EG65354"/>
      <c r="EH65354"/>
      <c r="EI65354"/>
      <c r="EJ65354"/>
      <c r="EK65354"/>
    </row>
    <row r="65355" spans="91:141" s="116" customFormat="1">
      <c r="CM65355" s="111"/>
      <c r="CQ65355" s="111"/>
      <c r="EF65355"/>
      <c r="EG65355"/>
      <c r="EH65355"/>
      <c r="EI65355"/>
      <c r="EJ65355"/>
      <c r="EK65355"/>
    </row>
    <row r="65356" spans="91:141" s="116" customFormat="1">
      <c r="CM65356" s="111"/>
      <c r="CQ65356" s="111"/>
      <c r="EF65356"/>
      <c r="EG65356"/>
      <c r="EH65356"/>
      <c r="EI65356"/>
      <c r="EJ65356"/>
      <c r="EK65356"/>
    </row>
    <row r="65357" spans="91:141" s="116" customFormat="1">
      <c r="CM65357" s="111"/>
      <c r="CQ65357" s="111"/>
      <c r="EF65357"/>
      <c r="EG65357"/>
      <c r="EH65357"/>
      <c r="EI65357"/>
      <c r="EJ65357"/>
      <c r="EK65357"/>
    </row>
    <row r="65358" spans="91:141" s="116" customFormat="1">
      <c r="CM65358" s="111"/>
      <c r="CQ65358" s="111"/>
      <c r="EF65358"/>
      <c r="EG65358"/>
      <c r="EH65358"/>
      <c r="EI65358"/>
      <c r="EJ65358"/>
      <c r="EK65358"/>
    </row>
    <row r="65359" spans="91:141" s="116" customFormat="1">
      <c r="CM65359" s="111"/>
      <c r="CQ65359" s="111"/>
      <c r="EF65359"/>
      <c r="EG65359"/>
      <c r="EH65359"/>
      <c r="EI65359"/>
      <c r="EJ65359"/>
      <c r="EK65359"/>
    </row>
    <row r="65360" spans="91:141" s="116" customFormat="1">
      <c r="CM65360" s="111"/>
      <c r="CQ65360" s="111"/>
      <c r="EF65360"/>
      <c r="EG65360"/>
      <c r="EH65360"/>
      <c r="EI65360"/>
      <c r="EJ65360"/>
      <c r="EK65360"/>
    </row>
    <row r="65361" spans="91:141" s="116" customFormat="1">
      <c r="CM65361" s="111"/>
      <c r="CQ65361" s="111"/>
      <c r="EF65361"/>
      <c r="EG65361"/>
      <c r="EH65361"/>
      <c r="EI65361"/>
      <c r="EJ65361"/>
      <c r="EK65361"/>
    </row>
    <row r="65362" spans="91:141" s="116" customFormat="1">
      <c r="CM65362" s="111"/>
      <c r="CQ65362" s="111"/>
      <c r="EF65362"/>
      <c r="EG65362"/>
      <c r="EH65362"/>
      <c r="EI65362"/>
      <c r="EJ65362"/>
      <c r="EK65362"/>
    </row>
    <row r="65363" spans="91:141" s="116" customFormat="1">
      <c r="CM65363" s="111"/>
      <c r="CQ65363" s="111"/>
      <c r="EF65363"/>
      <c r="EG65363"/>
      <c r="EH65363"/>
      <c r="EI65363"/>
      <c r="EJ65363"/>
      <c r="EK65363"/>
    </row>
    <row r="65364" spans="91:141" s="116" customFormat="1">
      <c r="CM65364" s="111"/>
      <c r="CQ65364" s="111"/>
      <c r="EF65364"/>
      <c r="EG65364"/>
      <c r="EH65364"/>
      <c r="EI65364"/>
      <c r="EJ65364"/>
      <c r="EK65364"/>
    </row>
    <row r="65365" spans="91:141" s="116" customFormat="1">
      <c r="CM65365" s="111"/>
      <c r="CQ65365" s="111"/>
      <c r="EF65365"/>
      <c r="EG65365"/>
      <c r="EH65365"/>
      <c r="EI65365"/>
      <c r="EJ65365"/>
      <c r="EK65365"/>
    </row>
    <row r="65366" spans="91:141" s="116" customFormat="1">
      <c r="CM65366" s="111"/>
      <c r="CQ65366" s="111"/>
      <c r="EF65366"/>
      <c r="EG65366"/>
      <c r="EH65366"/>
      <c r="EI65366"/>
      <c r="EJ65366"/>
      <c r="EK65366"/>
    </row>
    <row r="65367" spans="91:141" s="116" customFormat="1">
      <c r="CM65367" s="111"/>
      <c r="CQ65367" s="111"/>
      <c r="EF65367"/>
      <c r="EG65367"/>
      <c r="EH65367"/>
      <c r="EI65367"/>
      <c r="EJ65367"/>
      <c r="EK65367"/>
    </row>
    <row r="65368" spans="91:141" s="116" customFormat="1">
      <c r="CM65368" s="111"/>
      <c r="CQ65368" s="111"/>
      <c r="EF65368"/>
      <c r="EG65368"/>
      <c r="EH65368"/>
      <c r="EI65368"/>
      <c r="EJ65368"/>
      <c r="EK65368"/>
    </row>
    <row r="65369" spans="91:141" s="116" customFormat="1">
      <c r="CM65369" s="111"/>
      <c r="CQ65369" s="111"/>
      <c r="EF65369"/>
      <c r="EG65369"/>
      <c r="EH65369"/>
      <c r="EI65369"/>
      <c r="EJ65369"/>
      <c r="EK65369"/>
    </row>
    <row r="65370" spans="91:141" s="116" customFormat="1">
      <c r="CM65370" s="111"/>
      <c r="CQ65370" s="111"/>
      <c r="EF65370"/>
      <c r="EG65370"/>
      <c r="EH65370"/>
      <c r="EI65370"/>
      <c r="EJ65370"/>
      <c r="EK65370"/>
    </row>
    <row r="65371" spans="91:141" s="116" customFormat="1">
      <c r="CM65371" s="111"/>
      <c r="CQ65371" s="111"/>
      <c r="EF65371"/>
      <c r="EG65371"/>
      <c r="EH65371"/>
      <c r="EI65371"/>
      <c r="EJ65371"/>
      <c r="EK65371"/>
    </row>
    <row r="65372" spans="91:141" s="116" customFormat="1">
      <c r="CM65372" s="111"/>
      <c r="CQ65372" s="111"/>
      <c r="EF65372"/>
      <c r="EG65372"/>
      <c r="EH65372"/>
      <c r="EI65372"/>
      <c r="EJ65372"/>
      <c r="EK65372"/>
    </row>
    <row r="65373" spans="91:141" s="116" customFormat="1">
      <c r="CM65373" s="111"/>
      <c r="CQ65373" s="111"/>
      <c r="EF65373"/>
      <c r="EG65373"/>
      <c r="EH65373"/>
      <c r="EI65373"/>
      <c r="EJ65373"/>
      <c r="EK65373"/>
    </row>
    <row r="65374" spans="91:141" s="116" customFormat="1">
      <c r="CM65374" s="111"/>
      <c r="CQ65374" s="111"/>
      <c r="EF65374"/>
      <c r="EG65374"/>
      <c r="EH65374"/>
      <c r="EI65374"/>
      <c r="EJ65374"/>
      <c r="EK65374"/>
    </row>
    <row r="65375" spans="91:141" s="116" customFormat="1">
      <c r="CM65375" s="111"/>
      <c r="CQ65375" s="111"/>
      <c r="EF65375"/>
      <c r="EG65375"/>
      <c r="EH65375"/>
      <c r="EI65375"/>
      <c r="EJ65375"/>
      <c r="EK65375"/>
    </row>
    <row r="65376" spans="91:141" s="116" customFormat="1">
      <c r="CM65376" s="111"/>
      <c r="CQ65376" s="111"/>
      <c r="EF65376"/>
      <c r="EG65376"/>
      <c r="EH65376"/>
      <c r="EI65376"/>
      <c r="EJ65376"/>
      <c r="EK65376"/>
    </row>
    <row r="65377" spans="91:141" s="116" customFormat="1">
      <c r="CM65377" s="111"/>
      <c r="CQ65377" s="111"/>
      <c r="EF65377"/>
      <c r="EG65377"/>
      <c r="EH65377"/>
      <c r="EI65377"/>
      <c r="EJ65377"/>
      <c r="EK65377"/>
    </row>
    <row r="65378" spans="91:141" s="116" customFormat="1">
      <c r="CM65378" s="111"/>
      <c r="CQ65378" s="111"/>
      <c r="EF65378"/>
      <c r="EG65378"/>
      <c r="EH65378"/>
      <c r="EI65378"/>
      <c r="EJ65378"/>
      <c r="EK65378"/>
    </row>
    <row r="65379" spans="91:141" s="116" customFormat="1">
      <c r="CM65379" s="111"/>
      <c r="CQ65379" s="111"/>
      <c r="EF65379"/>
      <c r="EG65379"/>
      <c r="EH65379"/>
      <c r="EI65379"/>
      <c r="EJ65379"/>
      <c r="EK65379"/>
    </row>
    <row r="65380" spans="91:141" s="116" customFormat="1">
      <c r="CM65380" s="111"/>
      <c r="CQ65380" s="111"/>
      <c r="EF65380"/>
      <c r="EG65380"/>
      <c r="EH65380"/>
      <c r="EI65380"/>
      <c r="EJ65380"/>
      <c r="EK65380"/>
    </row>
    <row r="65381" spans="91:141" s="116" customFormat="1">
      <c r="CM65381" s="111"/>
      <c r="CQ65381" s="111"/>
      <c r="EF65381"/>
      <c r="EG65381"/>
      <c r="EH65381"/>
      <c r="EI65381"/>
      <c r="EJ65381"/>
      <c r="EK65381"/>
    </row>
    <row r="65382" spans="91:141" s="116" customFormat="1">
      <c r="CM65382" s="111"/>
      <c r="CQ65382" s="111"/>
      <c r="EF65382"/>
      <c r="EG65382"/>
      <c r="EH65382"/>
      <c r="EI65382"/>
      <c r="EJ65382"/>
      <c r="EK65382"/>
    </row>
    <row r="65383" spans="91:141" s="116" customFormat="1">
      <c r="CM65383" s="111"/>
      <c r="CQ65383" s="111"/>
      <c r="EF65383"/>
      <c r="EG65383"/>
      <c r="EH65383"/>
      <c r="EI65383"/>
      <c r="EJ65383"/>
      <c r="EK65383"/>
    </row>
    <row r="65384" spans="91:141" s="116" customFormat="1">
      <c r="CM65384" s="111"/>
      <c r="CQ65384" s="111"/>
      <c r="EF65384"/>
      <c r="EG65384"/>
      <c r="EH65384"/>
      <c r="EI65384"/>
      <c r="EJ65384"/>
      <c r="EK65384"/>
    </row>
    <row r="65385" spans="91:141" s="116" customFormat="1">
      <c r="CM65385" s="111"/>
      <c r="CQ65385" s="111"/>
      <c r="EF65385"/>
      <c r="EG65385"/>
      <c r="EH65385"/>
      <c r="EI65385"/>
      <c r="EJ65385"/>
      <c r="EK65385"/>
    </row>
    <row r="65386" spans="91:141" s="116" customFormat="1">
      <c r="CM65386" s="111"/>
      <c r="CQ65386" s="111"/>
      <c r="EF65386"/>
      <c r="EG65386"/>
      <c r="EH65386"/>
      <c r="EI65386"/>
      <c r="EJ65386"/>
      <c r="EK65386"/>
    </row>
    <row r="65387" spans="91:141" s="116" customFormat="1">
      <c r="CM65387" s="111"/>
      <c r="CQ65387" s="111"/>
      <c r="EF65387"/>
      <c r="EG65387"/>
      <c r="EH65387"/>
      <c r="EI65387"/>
      <c r="EJ65387"/>
      <c r="EK65387"/>
    </row>
    <row r="65388" spans="91:141" s="116" customFormat="1">
      <c r="CM65388" s="111"/>
      <c r="CQ65388" s="111"/>
      <c r="EF65388"/>
      <c r="EG65388"/>
      <c r="EH65388"/>
      <c r="EI65388"/>
      <c r="EJ65388"/>
      <c r="EK65388"/>
    </row>
    <row r="65389" spans="91:141" s="116" customFormat="1">
      <c r="CM65389" s="111"/>
      <c r="CQ65389" s="111"/>
      <c r="EF65389"/>
      <c r="EG65389"/>
      <c r="EH65389"/>
      <c r="EI65389"/>
      <c r="EJ65389"/>
      <c r="EK65389"/>
    </row>
    <row r="65390" spans="91:141" s="116" customFormat="1">
      <c r="CM65390" s="111"/>
      <c r="CQ65390" s="111"/>
      <c r="EF65390"/>
      <c r="EG65390"/>
      <c r="EH65390"/>
      <c r="EI65390"/>
      <c r="EJ65390"/>
      <c r="EK65390"/>
    </row>
    <row r="65391" spans="91:141" s="116" customFormat="1">
      <c r="CM65391" s="111"/>
      <c r="CQ65391" s="111"/>
      <c r="EF65391"/>
      <c r="EG65391"/>
      <c r="EH65391"/>
      <c r="EI65391"/>
      <c r="EJ65391"/>
      <c r="EK65391"/>
    </row>
    <row r="65392" spans="91:141" s="116" customFormat="1">
      <c r="CM65392" s="111"/>
      <c r="CQ65392" s="111"/>
      <c r="EF65392"/>
      <c r="EG65392"/>
      <c r="EH65392"/>
      <c r="EI65392"/>
      <c r="EJ65392"/>
      <c r="EK65392"/>
    </row>
    <row r="65393" spans="91:141" s="116" customFormat="1">
      <c r="CM65393" s="111"/>
      <c r="CQ65393" s="111"/>
      <c r="EF65393"/>
      <c r="EG65393"/>
      <c r="EH65393"/>
      <c r="EI65393"/>
      <c r="EJ65393"/>
      <c r="EK65393"/>
    </row>
    <row r="65394" spans="91:141" s="116" customFormat="1">
      <c r="CM65394" s="111"/>
      <c r="CQ65394" s="111"/>
      <c r="EF65394"/>
      <c r="EG65394"/>
      <c r="EH65394"/>
      <c r="EI65394"/>
      <c r="EJ65394"/>
      <c r="EK65394"/>
    </row>
    <row r="65395" spans="91:141" s="116" customFormat="1">
      <c r="CM65395" s="111"/>
      <c r="CQ65395" s="111"/>
      <c r="EF65395"/>
      <c r="EG65395"/>
      <c r="EH65395"/>
      <c r="EI65395"/>
      <c r="EJ65395"/>
      <c r="EK65395"/>
    </row>
    <row r="65396" spans="91:141" s="116" customFormat="1">
      <c r="CM65396" s="111"/>
      <c r="CQ65396" s="111"/>
      <c r="EF65396"/>
      <c r="EG65396"/>
      <c r="EH65396"/>
      <c r="EI65396"/>
      <c r="EJ65396"/>
      <c r="EK65396"/>
    </row>
    <row r="65397" spans="91:141" s="116" customFormat="1">
      <c r="CM65397" s="111"/>
      <c r="CQ65397" s="111"/>
      <c r="EF65397"/>
      <c r="EG65397"/>
      <c r="EH65397"/>
      <c r="EI65397"/>
      <c r="EJ65397"/>
      <c r="EK65397"/>
    </row>
    <row r="65398" spans="91:141" s="116" customFormat="1">
      <c r="CM65398" s="111"/>
      <c r="CQ65398" s="111"/>
      <c r="EF65398"/>
      <c r="EG65398"/>
      <c r="EH65398"/>
      <c r="EI65398"/>
      <c r="EJ65398"/>
      <c r="EK65398"/>
    </row>
    <row r="65399" spans="91:141" s="116" customFormat="1">
      <c r="CM65399" s="111"/>
      <c r="CQ65399" s="111"/>
      <c r="EF65399"/>
      <c r="EG65399"/>
      <c r="EH65399"/>
      <c r="EI65399"/>
      <c r="EJ65399"/>
      <c r="EK65399"/>
    </row>
    <row r="65400" spans="91:141" s="116" customFormat="1">
      <c r="CM65400" s="111"/>
      <c r="CQ65400" s="111"/>
      <c r="EF65400"/>
      <c r="EG65400"/>
      <c r="EH65400"/>
      <c r="EI65400"/>
      <c r="EJ65400"/>
      <c r="EK65400"/>
    </row>
    <row r="65401" spans="91:141" s="116" customFormat="1">
      <c r="CM65401" s="111"/>
      <c r="CQ65401" s="111"/>
      <c r="EF65401"/>
      <c r="EG65401"/>
      <c r="EH65401"/>
      <c r="EI65401"/>
      <c r="EJ65401"/>
      <c r="EK65401"/>
    </row>
    <row r="65402" spans="91:141" s="116" customFormat="1">
      <c r="CM65402" s="111"/>
      <c r="CQ65402" s="111"/>
      <c r="EF65402"/>
      <c r="EG65402"/>
      <c r="EH65402"/>
      <c r="EI65402"/>
      <c r="EJ65402"/>
      <c r="EK65402"/>
    </row>
    <row r="65403" spans="91:141" s="116" customFormat="1">
      <c r="CM65403" s="111"/>
      <c r="CQ65403" s="111"/>
      <c r="EF65403"/>
      <c r="EG65403"/>
      <c r="EH65403"/>
      <c r="EI65403"/>
      <c r="EJ65403"/>
      <c r="EK65403"/>
    </row>
    <row r="65404" spans="91:141" s="116" customFormat="1">
      <c r="CM65404" s="111"/>
      <c r="CQ65404" s="111"/>
      <c r="EF65404"/>
      <c r="EG65404"/>
      <c r="EH65404"/>
      <c r="EI65404"/>
      <c r="EJ65404"/>
      <c r="EK65404"/>
    </row>
    <row r="65405" spans="91:141" s="116" customFormat="1">
      <c r="CM65405" s="111"/>
      <c r="CQ65405" s="111"/>
      <c r="EF65405"/>
      <c r="EG65405"/>
      <c r="EH65405"/>
      <c r="EI65405"/>
      <c r="EJ65405"/>
      <c r="EK65405"/>
    </row>
    <row r="65406" spans="91:141" s="116" customFormat="1">
      <c r="CM65406" s="111"/>
      <c r="CQ65406" s="111"/>
      <c r="EF65406"/>
      <c r="EG65406"/>
      <c r="EH65406"/>
      <c r="EI65406"/>
      <c r="EJ65406"/>
      <c r="EK65406"/>
    </row>
    <row r="65407" spans="91:141" s="116" customFormat="1">
      <c r="CM65407" s="111"/>
      <c r="CQ65407" s="111"/>
      <c r="EF65407"/>
      <c r="EG65407"/>
      <c r="EH65407"/>
      <c r="EI65407"/>
      <c r="EJ65407"/>
      <c r="EK65407"/>
    </row>
    <row r="65408" spans="91:141" s="116" customFormat="1">
      <c r="CM65408" s="111"/>
      <c r="CQ65408" s="111"/>
      <c r="EF65408"/>
      <c r="EG65408"/>
      <c r="EH65408"/>
      <c r="EI65408"/>
      <c r="EJ65408"/>
      <c r="EK65408"/>
    </row>
    <row r="65409" spans="91:141" s="116" customFormat="1">
      <c r="CM65409" s="111"/>
      <c r="CQ65409" s="111"/>
      <c r="EF65409"/>
      <c r="EG65409"/>
      <c r="EH65409"/>
      <c r="EI65409"/>
      <c r="EJ65409"/>
      <c r="EK65409"/>
    </row>
    <row r="65410" spans="91:141" s="116" customFormat="1">
      <c r="CM65410" s="111"/>
      <c r="CQ65410" s="111"/>
      <c r="EF65410"/>
      <c r="EG65410"/>
      <c r="EH65410"/>
      <c r="EI65410"/>
      <c r="EJ65410"/>
      <c r="EK65410"/>
    </row>
    <row r="65411" spans="91:141" s="116" customFormat="1">
      <c r="CM65411" s="111"/>
      <c r="CQ65411" s="111"/>
      <c r="EF65411"/>
      <c r="EG65411"/>
      <c r="EH65411"/>
      <c r="EI65411"/>
      <c r="EJ65411"/>
      <c r="EK65411"/>
    </row>
    <row r="65412" spans="91:141" s="116" customFormat="1">
      <c r="CM65412" s="111"/>
      <c r="CQ65412" s="111"/>
      <c r="EF65412"/>
      <c r="EG65412"/>
      <c r="EH65412"/>
      <c r="EI65412"/>
      <c r="EJ65412"/>
      <c r="EK65412"/>
    </row>
    <row r="65413" spans="91:141" s="116" customFormat="1">
      <c r="CM65413" s="111"/>
      <c r="CQ65413" s="111"/>
      <c r="EF65413"/>
      <c r="EG65413"/>
      <c r="EH65413"/>
      <c r="EI65413"/>
      <c r="EJ65413"/>
      <c r="EK65413"/>
    </row>
    <row r="65414" spans="91:141" s="116" customFormat="1">
      <c r="CM65414" s="111"/>
      <c r="CQ65414" s="111"/>
      <c r="EF65414"/>
      <c r="EG65414"/>
      <c r="EH65414"/>
      <c r="EI65414"/>
      <c r="EJ65414"/>
      <c r="EK65414"/>
    </row>
    <row r="65415" spans="91:141" s="116" customFormat="1">
      <c r="CM65415" s="111"/>
      <c r="CQ65415" s="111"/>
      <c r="EF65415"/>
      <c r="EG65415"/>
      <c r="EH65415"/>
      <c r="EI65415"/>
      <c r="EJ65415"/>
      <c r="EK65415"/>
    </row>
    <row r="65416" spans="91:141" s="116" customFormat="1">
      <c r="CM65416" s="111"/>
      <c r="CQ65416" s="111"/>
      <c r="EF65416"/>
      <c r="EG65416"/>
      <c r="EH65416"/>
      <c r="EI65416"/>
      <c r="EJ65416"/>
      <c r="EK65416"/>
    </row>
    <row r="65417" spans="91:141" s="116" customFormat="1">
      <c r="CM65417" s="111"/>
      <c r="CQ65417" s="111"/>
      <c r="EF65417"/>
      <c r="EG65417"/>
      <c r="EH65417"/>
      <c r="EI65417"/>
      <c r="EJ65417"/>
      <c r="EK65417"/>
    </row>
    <row r="65418" spans="91:141" s="116" customFormat="1">
      <c r="CM65418" s="111"/>
      <c r="CQ65418" s="111"/>
      <c r="EF65418"/>
      <c r="EG65418"/>
      <c r="EH65418"/>
      <c r="EI65418"/>
      <c r="EJ65418"/>
      <c r="EK65418"/>
    </row>
    <row r="65419" spans="91:141" s="116" customFormat="1">
      <c r="CM65419" s="111"/>
      <c r="CQ65419" s="111"/>
      <c r="EF65419"/>
      <c r="EG65419"/>
      <c r="EH65419"/>
      <c r="EI65419"/>
      <c r="EJ65419"/>
      <c r="EK65419"/>
    </row>
    <row r="65420" spans="91:141" s="116" customFormat="1">
      <c r="CM65420" s="111"/>
      <c r="CQ65420" s="111"/>
      <c r="EF65420"/>
      <c r="EG65420"/>
      <c r="EH65420"/>
      <c r="EI65420"/>
      <c r="EJ65420"/>
      <c r="EK65420"/>
    </row>
    <row r="65421" spans="91:141" s="116" customFormat="1">
      <c r="CM65421" s="111"/>
      <c r="CQ65421" s="111"/>
      <c r="EF65421"/>
      <c r="EG65421"/>
      <c r="EH65421"/>
      <c r="EI65421"/>
      <c r="EJ65421"/>
      <c r="EK65421"/>
    </row>
    <row r="65422" spans="91:141" s="116" customFormat="1">
      <c r="CM65422" s="111"/>
      <c r="CQ65422" s="111"/>
      <c r="EF65422"/>
      <c r="EG65422"/>
      <c r="EH65422"/>
      <c r="EI65422"/>
      <c r="EJ65422"/>
      <c r="EK65422"/>
    </row>
    <row r="65423" spans="91:141" s="116" customFormat="1">
      <c r="CM65423" s="111"/>
      <c r="CQ65423" s="111"/>
      <c r="EF65423"/>
      <c r="EG65423"/>
      <c r="EH65423"/>
      <c r="EI65423"/>
      <c r="EJ65423"/>
      <c r="EK65423"/>
    </row>
    <row r="65424" spans="91:141" s="116" customFormat="1">
      <c r="CM65424" s="111"/>
      <c r="CQ65424" s="111"/>
      <c r="EF65424"/>
      <c r="EG65424"/>
      <c r="EH65424"/>
      <c r="EI65424"/>
      <c r="EJ65424"/>
      <c r="EK65424"/>
    </row>
    <row r="65425" spans="91:141" s="116" customFormat="1">
      <c r="CM65425" s="111"/>
      <c r="CQ65425" s="111"/>
      <c r="EF65425"/>
      <c r="EG65425"/>
      <c r="EH65425"/>
      <c r="EI65425"/>
      <c r="EJ65425"/>
      <c r="EK65425"/>
    </row>
    <row r="65426" spans="91:141" s="116" customFormat="1">
      <c r="CM65426" s="111"/>
      <c r="CQ65426" s="111"/>
      <c r="EF65426"/>
      <c r="EG65426"/>
      <c r="EH65426"/>
      <c r="EI65426"/>
      <c r="EJ65426"/>
      <c r="EK65426"/>
    </row>
    <row r="65427" spans="91:141" s="116" customFormat="1">
      <c r="CM65427" s="111"/>
      <c r="CQ65427" s="111"/>
      <c r="EF65427"/>
      <c r="EG65427"/>
      <c r="EH65427"/>
      <c r="EI65427"/>
      <c r="EJ65427"/>
      <c r="EK65427"/>
    </row>
  </sheetData>
  <dataConsolidate function="countNums">
    <dataRefs count="1">
      <dataRef ref="DF26:DF31" sheet="Financials"/>
    </dataRefs>
  </dataConsolidate>
  <customSheetViews>
    <customSheetView guid="{2A82A09C-3BBB-4611-B6AA-7AE8EB9D6C99}" fitToPage="1" printArea="1" hiddenRows="1" hiddenColumns="1" showRuler="0">
      <pane xSplit="2" topLeftCell="C1" activePane="topRight" state="frozen"/>
      <selection pane="topRight" activeCell="H93" sqref="B5:H93"/>
      <pageMargins left="0.75" right="0.75" top="1" bottom="1" header="0.5" footer="0.5"/>
      <pageSetup scale="65" orientation="portrait" horizontalDpi="300" verticalDpi="300" r:id="rId1"/>
      <headerFooter alignWithMargins="0"/>
    </customSheetView>
  </customSheetViews>
  <phoneticPr fontId="2" type="noConversion"/>
  <pageMargins left="0" right="0" top="0" bottom="0" header="0" footer="0"/>
  <pageSetup scale="70" fitToHeight="0" orientation="landscape" horizontalDpi="300" verticalDpi="300" r:id="rId2"/>
  <headerFooter alignWithMargins="0"/>
  <drawing r:id="rId3"/>
  <legacyDrawing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L3"/>
  <sheetViews>
    <sheetView workbookViewId="0"/>
  </sheetViews>
  <sheetFormatPr defaultRowHeight="12"/>
  <sheetData>
    <row r="1" spans="1:38">
      <c r="A1" t="s">
        <v>179</v>
      </c>
    </row>
    <row r="2" spans="1:38" s="2" customFormat="1">
      <c r="A2" s="2" t="s">
        <v>83</v>
      </c>
      <c r="B2" s="2" t="s">
        <v>72</v>
      </c>
      <c r="C2" s="2" t="s">
        <v>82</v>
      </c>
      <c r="D2" s="2" t="s">
        <v>1</v>
      </c>
      <c r="E2" s="2" t="s">
        <v>84</v>
      </c>
      <c r="F2" s="2" t="s">
        <v>72</v>
      </c>
      <c r="G2" s="2" t="s">
        <v>77</v>
      </c>
      <c r="H2" s="2" t="s">
        <v>1</v>
      </c>
      <c r="I2" s="2" t="s">
        <v>73</v>
      </c>
      <c r="J2" s="2" t="s">
        <v>72</v>
      </c>
      <c r="K2" s="2" t="s">
        <v>79</v>
      </c>
      <c r="L2" s="2" t="s">
        <v>72</v>
      </c>
      <c r="M2" s="2" t="s">
        <v>86</v>
      </c>
      <c r="N2" s="2" t="s">
        <v>72</v>
      </c>
      <c r="O2" s="2" t="s">
        <v>78</v>
      </c>
      <c r="P2" s="2" t="s">
        <v>1</v>
      </c>
      <c r="Q2" s="2" t="s">
        <v>75</v>
      </c>
      <c r="R2" s="2" t="s">
        <v>1</v>
      </c>
      <c r="S2" s="2" t="s">
        <v>101</v>
      </c>
      <c r="T2" s="2" t="s">
        <v>370</v>
      </c>
      <c r="U2" s="2" t="s">
        <v>76</v>
      </c>
      <c r="V2" s="2" t="s">
        <v>1</v>
      </c>
      <c r="W2" s="2" t="s">
        <v>85</v>
      </c>
      <c r="X2" s="2" t="s">
        <v>72</v>
      </c>
      <c r="Y2" s="2" t="s">
        <v>99</v>
      </c>
      <c r="Z2" s="2" t="s">
        <v>68</v>
      </c>
      <c r="AA2" s="2" t="s">
        <v>81</v>
      </c>
      <c r="AB2" s="2" t="s">
        <v>72</v>
      </c>
      <c r="AC2" s="2" t="s">
        <v>100</v>
      </c>
      <c r="AD2" s="2" t="s">
        <v>0</v>
      </c>
      <c r="AE2" s="2" t="s">
        <v>71</v>
      </c>
      <c r="AF2" s="2" t="s">
        <v>72</v>
      </c>
      <c r="AG2" s="2" t="s">
        <v>70</v>
      </c>
      <c r="AH2" s="2" t="s">
        <v>98</v>
      </c>
      <c r="AI2" s="2" t="s">
        <v>80</v>
      </c>
      <c r="AJ2" s="2" t="s">
        <v>1</v>
      </c>
      <c r="AK2" s="2" t="s">
        <v>74</v>
      </c>
      <c r="AL2" s="2" t="s">
        <v>72</v>
      </c>
    </row>
    <row r="3" spans="1:38" s="2" customFormat="1"/>
  </sheetData>
  <phoneticPr fontId="2"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2"/>
  <sheetViews>
    <sheetView workbookViewId="0"/>
  </sheetViews>
  <sheetFormatPr defaultRowHeight="12"/>
  <sheetData>
    <row r="1" spans="1:2">
      <c r="B1" t="s">
        <v>162</v>
      </c>
    </row>
    <row r="2" spans="1:2"/>
  </sheetData>
  <phoneticPr fontId="2" type="noConversion"/>
  <pageMargins left="0.75" right="0.75" top="1" bottom="1" header="0.5" footer="0.5"/>
  <pageSetup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EM140"/>
  <sheetViews>
    <sheetView zoomScale="85" zoomScaleNormal="85" workbookViewId="0">
      <pane xSplit="3" ySplit="4" topLeftCell="CR79" activePane="bottomRight" state="frozen"/>
      <selection pane="topRight" activeCell="D1" sqref="D1"/>
      <selection pane="bottomLeft" activeCell="A5" sqref="A5"/>
      <selection pane="bottomRight" activeCell="DY87" sqref="DY87"/>
    </sheetView>
  </sheetViews>
  <sheetFormatPr defaultColWidth="10.42578125" defaultRowHeight="12" outlineLevelCol="1"/>
  <cols>
    <col min="1" max="1" width="3.5703125" style="7" customWidth="1"/>
    <col min="2" max="2" width="41.42578125" style="7" customWidth="1"/>
    <col min="3" max="3" width="3.5703125" style="7" customWidth="1"/>
    <col min="4" max="11" width="10.5703125" style="7" hidden="1" customWidth="1" outlineLevel="1"/>
    <col min="12" max="12" width="10.5703125" style="7" hidden="1" customWidth="1" outlineLevel="1" collapsed="1"/>
    <col min="13" max="19" width="10.5703125" style="7" hidden="1" customWidth="1" outlineLevel="1"/>
    <col min="20" max="20" width="10.5703125" style="7" hidden="1" customWidth="1" outlineLevel="1" collapsed="1"/>
    <col min="21" max="31" width="10.5703125" style="7" hidden="1" customWidth="1" outlineLevel="1"/>
    <col min="32" max="32" width="10.5703125" style="7" hidden="1" customWidth="1" outlineLevel="1" collapsed="1"/>
    <col min="33" max="43" width="10.5703125" style="7" hidden="1" customWidth="1" outlineLevel="1"/>
    <col min="44" max="44" width="10.5703125" style="7" hidden="1" customWidth="1" outlineLevel="1" collapsed="1"/>
    <col min="45" max="55" width="10.5703125" style="7" hidden="1" customWidth="1" outlineLevel="1"/>
    <col min="56" max="56" width="10.5703125" style="7" hidden="1" customWidth="1" outlineLevel="1" collapsed="1"/>
    <col min="57" max="63" width="10.5703125" style="7" hidden="1" customWidth="1" outlineLevel="1"/>
    <col min="64" max="64" width="10.5703125" style="7" hidden="1" customWidth="1" outlineLevel="1" collapsed="1"/>
    <col min="65" max="75" width="10.5703125" style="7" hidden="1" customWidth="1" outlineLevel="1"/>
    <col min="76" max="76" width="10.5703125" style="7" hidden="1" customWidth="1" outlineLevel="1" collapsed="1"/>
    <col min="77" max="83" width="10.5703125" style="7" hidden="1" customWidth="1" outlineLevel="1"/>
    <col min="84" max="84" width="10.5703125" style="7" hidden="1" customWidth="1" outlineLevel="1" collapsed="1"/>
    <col min="85" max="91" width="10.5703125" style="7" hidden="1" customWidth="1" outlineLevel="1"/>
    <col min="92" max="92" width="10.5703125" style="7" hidden="1" customWidth="1" outlineLevel="1" collapsed="1"/>
    <col min="93" max="95" width="10.5703125" style="7" hidden="1" customWidth="1" outlineLevel="1"/>
    <col min="96" max="96" width="10.5703125" style="7" customWidth="1" collapsed="1"/>
    <col min="97" max="99" width="10.5703125" style="7" customWidth="1"/>
    <col min="100" max="103" width="10.5703125" style="864" customWidth="1"/>
    <col min="104" max="104" width="3.5703125" style="7" customWidth="1"/>
    <col min="105" max="125" width="10.5703125" style="7" hidden="1" customWidth="1" outlineLevel="1"/>
    <col min="126" max="126" width="10.5703125" style="7" customWidth="1" collapsed="1"/>
    <col min="127" max="134" width="10.5703125" style="7" customWidth="1"/>
    <col min="135" max="135" width="3.5703125" style="7" customWidth="1"/>
    <col min="136" max="16384" width="10.42578125" style="7"/>
  </cols>
  <sheetData>
    <row r="1" spans="1:135" ht="15">
      <c r="B1" s="131"/>
    </row>
    <row r="2" spans="1:135" ht="15">
      <c r="B2" s="131"/>
    </row>
    <row r="3" spans="1:135" ht="15">
      <c r="B3" s="131"/>
    </row>
    <row r="4" spans="1:135" s="110" customFormat="1" ht="15">
      <c r="A4" s="574"/>
      <c r="B4" s="155" t="s">
        <v>354</v>
      </c>
      <c r="C4" s="155"/>
      <c r="D4" s="739" t="str">
        <f>Financials!D$4</f>
        <v>1Q94</v>
      </c>
      <c r="E4" s="740" t="str">
        <f>Financials!E$4</f>
        <v>2Q94</v>
      </c>
      <c r="F4" s="740" t="str">
        <f>Financials!F$4</f>
        <v>3Q94</v>
      </c>
      <c r="G4" s="741" t="str">
        <f>Financials!G$4</f>
        <v>4Q94</v>
      </c>
      <c r="H4" s="740" t="str">
        <f>Financials!H$4</f>
        <v>1Q95</v>
      </c>
      <c r="I4" s="740" t="str">
        <f>Financials!I$4</f>
        <v>2Q95</v>
      </c>
      <c r="J4" s="740" t="str">
        <f>Financials!J$4</f>
        <v>3Q95</v>
      </c>
      <c r="K4" s="741" t="str">
        <f>Financials!K$4</f>
        <v>4Q95</v>
      </c>
      <c r="L4" s="740" t="str">
        <f>Financials!L$4</f>
        <v>1Q96</v>
      </c>
      <c r="M4" s="740" t="str">
        <f>Financials!M$4</f>
        <v>2Q96</v>
      </c>
      <c r="N4" s="740" t="str">
        <f>Financials!N$4</f>
        <v>3Q96</v>
      </c>
      <c r="O4" s="741" t="str">
        <f>Financials!O$4</f>
        <v>4Q96</v>
      </c>
      <c r="P4" s="740" t="str">
        <f>Financials!P$4</f>
        <v>1Q97</v>
      </c>
      <c r="Q4" s="740" t="str">
        <f>Financials!Q$4</f>
        <v>2Q97</v>
      </c>
      <c r="R4" s="740" t="str">
        <f>Financials!R$4</f>
        <v>3Q97</v>
      </c>
      <c r="S4" s="741" t="str">
        <f>Financials!S$4</f>
        <v>4Q97</v>
      </c>
      <c r="T4" s="740" t="str">
        <f>Financials!T$4</f>
        <v>1Q98</v>
      </c>
      <c r="U4" s="740" t="str">
        <f>Financials!U$4</f>
        <v>2Q98</v>
      </c>
      <c r="V4" s="740" t="str">
        <f>Financials!V$4</f>
        <v>3Q98</v>
      </c>
      <c r="W4" s="741" t="str">
        <f>Financials!W$4</f>
        <v>4Q98</v>
      </c>
      <c r="X4" s="740" t="str">
        <f>Financials!X$4</f>
        <v>1Q99</v>
      </c>
      <c r="Y4" s="740" t="str">
        <f>Financials!Y$4</f>
        <v>2Q99</v>
      </c>
      <c r="Z4" s="740" t="str">
        <f>Financials!Z$4</f>
        <v>3Q99</v>
      </c>
      <c r="AA4" s="741" t="str">
        <f>Financials!AA$4</f>
        <v>4Q99</v>
      </c>
      <c r="AB4" s="740" t="str">
        <f>Financials!AB$4</f>
        <v>1Q00</v>
      </c>
      <c r="AC4" s="740" t="str">
        <f>Financials!AC$4</f>
        <v>2Q00</v>
      </c>
      <c r="AD4" s="740" t="str">
        <f>Financials!AD$4</f>
        <v>3Q00</v>
      </c>
      <c r="AE4" s="741" t="str">
        <f>Financials!AE$4</f>
        <v>4Q00</v>
      </c>
      <c r="AF4" s="740" t="str">
        <f>Financials!AF$4</f>
        <v>1Q01</v>
      </c>
      <c r="AG4" s="740" t="str">
        <f>Financials!AG$4</f>
        <v>2Q01</v>
      </c>
      <c r="AH4" s="740" t="str">
        <f>Financials!AH$4</f>
        <v>3Q01</v>
      </c>
      <c r="AI4" s="741" t="str">
        <f>Financials!AI$4</f>
        <v>4Q01</v>
      </c>
      <c r="AJ4" s="740" t="str">
        <f>Financials!AJ$4</f>
        <v>1Q02</v>
      </c>
      <c r="AK4" s="740" t="str">
        <f>Financials!AK$4</f>
        <v>2Q02</v>
      </c>
      <c r="AL4" s="740" t="str">
        <f>Financials!AL$4</f>
        <v>3Q02</v>
      </c>
      <c r="AM4" s="741" t="str">
        <f>Financials!AM$4</f>
        <v>4Q02</v>
      </c>
      <c r="AN4" s="740" t="str">
        <f>Financials!AN$4</f>
        <v>1Q03</v>
      </c>
      <c r="AO4" s="740" t="str">
        <f>Financials!AO$4</f>
        <v>2Q03</v>
      </c>
      <c r="AP4" s="740" t="str">
        <f>Financials!AP$4</f>
        <v>3Q03</v>
      </c>
      <c r="AQ4" s="741" t="str">
        <f>Financials!AQ$4</f>
        <v>4Q03</v>
      </c>
      <c r="AR4" s="740" t="str">
        <f>Financials!AR$4</f>
        <v>1Q04</v>
      </c>
      <c r="AS4" s="740" t="str">
        <f>Financials!AS$4</f>
        <v>2Q04</v>
      </c>
      <c r="AT4" s="740" t="str">
        <f>Financials!AT$4</f>
        <v>3Q04</v>
      </c>
      <c r="AU4" s="741" t="str">
        <f>Financials!AU$4</f>
        <v>4Q04</v>
      </c>
      <c r="AV4" s="740" t="str">
        <f>Financials!AV$4</f>
        <v>1Q05</v>
      </c>
      <c r="AW4" s="740" t="str">
        <f>Financials!AW$4</f>
        <v>2Q05</v>
      </c>
      <c r="AX4" s="740" t="str">
        <f>Financials!AX$4</f>
        <v>3Q05</v>
      </c>
      <c r="AY4" s="741" t="str">
        <f>Financials!AY$4</f>
        <v>4Q05</v>
      </c>
      <c r="AZ4" s="740" t="str">
        <f>Financials!AZ$4</f>
        <v>1Q06</v>
      </c>
      <c r="BA4" s="740" t="str">
        <f>Financials!BA$4</f>
        <v>2Q06</v>
      </c>
      <c r="BB4" s="740" t="str">
        <f>Financials!BB$4</f>
        <v>3Q06</v>
      </c>
      <c r="BC4" s="741" t="str">
        <f>Financials!BC$4</f>
        <v>4Q06</v>
      </c>
      <c r="BD4" s="740" t="str">
        <f>Financials!BD$4</f>
        <v>1Q07</v>
      </c>
      <c r="BE4" s="740" t="str">
        <f>Financials!BE$4</f>
        <v>2Q07</v>
      </c>
      <c r="BF4" s="740" t="str">
        <f>Financials!BF$4</f>
        <v>3Q07</v>
      </c>
      <c r="BG4" s="741" t="str">
        <f>Financials!BG$4</f>
        <v>4Q07</v>
      </c>
      <c r="BH4" s="740" t="str">
        <f>Financials!BH$4</f>
        <v>1Q08</v>
      </c>
      <c r="BI4" s="740" t="str">
        <f>Financials!BI$4</f>
        <v>2Q08</v>
      </c>
      <c r="BJ4" s="740" t="str">
        <f>Financials!BJ$4</f>
        <v>3Q08</v>
      </c>
      <c r="BK4" s="741" t="str">
        <f>Financials!BK$4</f>
        <v>4Q08</v>
      </c>
      <c r="BL4" s="740" t="str">
        <f>Financials!BL$4</f>
        <v xml:space="preserve">1Q09 </v>
      </c>
      <c r="BM4" s="740" t="str">
        <f>Financials!BM$4</f>
        <v>2Q09</v>
      </c>
      <c r="BN4" s="740" t="str">
        <f>Financials!BN$4</f>
        <v>3Q09</v>
      </c>
      <c r="BO4" s="741" t="str">
        <f>Financials!BO$4</f>
        <v>4Q09</v>
      </c>
      <c r="BP4" s="740" t="str">
        <f>Financials!BP$4</f>
        <v>1Q10</v>
      </c>
      <c r="BQ4" s="740" t="str">
        <f>Financials!BQ$4</f>
        <v>2Q10</v>
      </c>
      <c r="BR4" s="740" t="str">
        <f>Financials!BR$4</f>
        <v>3Q10</v>
      </c>
      <c r="BS4" s="741" t="str">
        <f>Financials!BS$4</f>
        <v>4Q10</v>
      </c>
      <c r="BT4" s="740" t="str">
        <f>Financials!BT$4</f>
        <v>1Q11</v>
      </c>
      <c r="BU4" s="740" t="str">
        <f>Financials!BU$4</f>
        <v>2Q11</v>
      </c>
      <c r="BV4" s="740" t="str">
        <f>Financials!BV$4</f>
        <v>3Q11</v>
      </c>
      <c r="BW4" s="741" t="str">
        <f>Financials!BW$4</f>
        <v>4Q11</v>
      </c>
      <c r="BX4" s="740" t="str">
        <f>Financials!BX$4</f>
        <v>1Q12</v>
      </c>
      <c r="BY4" s="740" t="str">
        <f>Financials!BY$4</f>
        <v>2Q12</v>
      </c>
      <c r="BZ4" s="740" t="str">
        <f>Financials!BZ$4</f>
        <v>3Q12</v>
      </c>
      <c r="CA4" s="741" t="str">
        <f>Financials!CA$4</f>
        <v>4Q12</v>
      </c>
      <c r="CB4" s="740" t="str">
        <f>Financials!CB$4</f>
        <v>1Q13</v>
      </c>
      <c r="CC4" s="740" t="str">
        <f>Financials!CC$4</f>
        <v>2Q13</v>
      </c>
      <c r="CD4" s="740" t="str">
        <f>Financials!CD$4</f>
        <v>3Q13</v>
      </c>
      <c r="CE4" s="741" t="str">
        <f>Financials!CE$4</f>
        <v>4Q13</v>
      </c>
      <c r="CF4" s="740" t="str">
        <f>Financials!CF$4</f>
        <v>1Q14</v>
      </c>
      <c r="CG4" s="740" t="str">
        <f>Financials!CG$4</f>
        <v>2Q14</v>
      </c>
      <c r="CH4" s="740" t="str">
        <f>Financials!CH$4</f>
        <v>3Q14</v>
      </c>
      <c r="CI4" s="741" t="str">
        <f>Financials!CI$4</f>
        <v>4Q14</v>
      </c>
      <c r="CJ4" s="740" t="str">
        <f>Financials!CJ$4</f>
        <v>1Q15</v>
      </c>
      <c r="CK4" s="740" t="str">
        <f>Financials!CK$4</f>
        <v>2Q15</v>
      </c>
      <c r="CL4" s="740" t="str">
        <f>Financials!CL$4</f>
        <v>3Q15</v>
      </c>
      <c r="CM4" s="741" t="str">
        <f>Financials!CM$4</f>
        <v>4Q15</v>
      </c>
      <c r="CN4" s="740" t="str">
        <f>Financials!CN$4</f>
        <v>1Q16</v>
      </c>
      <c r="CO4" s="740" t="str">
        <f>Financials!CO$4</f>
        <v>2Q16</v>
      </c>
      <c r="CP4" s="740" t="str">
        <f>Financials!CP$4</f>
        <v>3Q16</v>
      </c>
      <c r="CQ4" s="741" t="str">
        <f>Financials!CQ$4</f>
        <v>4Q16</v>
      </c>
      <c r="CR4" s="740" t="str">
        <f>Financials!CR$4</f>
        <v>1Q17</v>
      </c>
      <c r="CS4" s="740" t="str">
        <f>Financials!CS$4</f>
        <v>2Q17</v>
      </c>
      <c r="CT4" s="740" t="str">
        <f>Financials!CT$4</f>
        <v>3Q17</v>
      </c>
      <c r="CU4" s="741" t="str">
        <f>Financials!CU$4</f>
        <v>4Q17</v>
      </c>
      <c r="CV4" s="740" t="str">
        <f>Financials!CV$4</f>
        <v>1Q18e</v>
      </c>
      <c r="CW4" s="740" t="str">
        <f>Financials!CW$4</f>
        <v>2Q18e</v>
      </c>
      <c r="CX4" s="740" t="str">
        <f>Financials!CX$4</f>
        <v>3Q18e</v>
      </c>
      <c r="CY4" s="741" t="str">
        <f>Financials!CY$4</f>
        <v>4Q18e</v>
      </c>
      <c r="CZ4" s="569"/>
      <c r="DA4" s="572">
        <f>Financials!DA$4</f>
        <v>1994</v>
      </c>
      <c r="DB4" s="572">
        <f>Financials!DB$4</f>
        <v>1995</v>
      </c>
      <c r="DC4" s="572">
        <f>Financials!DC$4</f>
        <v>1996</v>
      </c>
      <c r="DD4" s="572">
        <f>Financials!DD$4</f>
        <v>1997</v>
      </c>
      <c r="DE4" s="572">
        <f>Financials!DE$4</f>
        <v>1998</v>
      </c>
      <c r="DF4" s="572">
        <f>Financials!DF$4</f>
        <v>1999</v>
      </c>
      <c r="DG4" s="572">
        <f>Financials!DG$4</f>
        <v>2000</v>
      </c>
      <c r="DH4" s="572">
        <f>Financials!DH$4</f>
        <v>2001</v>
      </c>
      <c r="DI4" s="572">
        <f>Financials!DI$4</f>
        <v>2002</v>
      </c>
      <c r="DJ4" s="572">
        <f>Financials!DJ$4</f>
        <v>2003</v>
      </c>
      <c r="DK4" s="572">
        <f>Financials!DK$4</f>
        <v>2004</v>
      </c>
      <c r="DL4" s="572">
        <f>Financials!DL$4</f>
        <v>2005</v>
      </c>
      <c r="DM4" s="572">
        <f>Financials!DM$4</f>
        <v>2006</v>
      </c>
      <c r="DN4" s="572">
        <f>Financials!DN$4</f>
        <v>2007</v>
      </c>
      <c r="DO4" s="572">
        <f>Financials!DO$4</f>
        <v>2008</v>
      </c>
      <c r="DP4" s="572">
        <f>Financials!DP$4</f>
        <v>2009</v>
      </c>
      <c r="DQ4" s="572">
        <f>Financials!DQ$4</f>
        <v>2010</v>
      </c>
      <c r="DR4" s="572">
        <f>Financials!DR$4</f>
        <v>2011</v>
      </c>
      <c r="DS4" s="572">
        <f>Financials!DS$4</f>
        <v>2012</v>
      </c>
      <c r="DT4" s="572">
        <f>Financials!DT$4</f>
        <v>2013</v>
      </c>
      <c r="DU4" s="572">
        <f>Financials!DU$4</f>
        <v>2014</v>
      </c>
      <c r="DV4" s="572">
        <f>Financials!DV$4</f>
        <v>2015</v>
      </c>
      <c r="DW4" s="572">
        <f>Financials!DW$4</f>
        <v>2016</v>
      </c>
      <c r="DX4" s="572">
        <f>Financials!DX$4</f>
        <v>2017</v>
      </c>
      <c r="DY4" s="572" t="str">
        <f>Financials!DY$4</f>
        <v>2018e</v>
      </c>
      <c r="DZ4" s="572" t="str">
        <f>Financials!DZ$4</f>
        <v>2019e</v>
      </c>
      <c r="EA4" s="572" t="str">
        <f>Financials!EA$4</f>
        <v>2020e</v>
      </c>
      <c r="EB4" s="572" t="str">
        <f>Financials!EB$4</f>
        <v>2021e</v>
      </c>
      <c r="EC4" s="572" t="str">
        <f>Financials!EC$4</f>
        <v>2022e</v>
      </c>
      <c r="ED4" s="572" t="str">
        <f>Financials!ED$4</f>
        <v>2023e</v>
      </c>
    </row>
    <row r="5" spans="1:135" s="109" customFormat="1" ht="15">
      <c r="A5" s="133"/>
      <c r="B5" s="136"/>
      <c r="C5" s="136"/>
      <c r="D5" s="647"/>
      <c r="E5" s="136"/>
      <c r="F5" s="136"/>
      <c r="G5" s="437"/>
      <c r="H5" s="136"/>
      <c r="I5" s="136"/>
      <c r="J5" s="136"/>
      <c r="K5" s="437"/>
      <c r="L5" s="136"/>
      <c r="M5" s="136"/>
      <c r="N5" s="136"/>
      <c r="O5" s="437"/>
      <c r="P5" s="136"/>
      <c r="Q5" s="136"/>
      <c r="R5" s="136"/>
      <c r="S5" s="437"/>
      <c r="T5" s="136"/>
      <c r="U5" s="136"/>
      <c r="V5" s="136"/>
      <c r="W5" s="437"/>
      <c r="X5" s="136"/>
      <c r="Y5" s="136"/>
      <c r="Z5" s="136"/>
      <c r="AA5" s="437"/>
      <c r="AB5" s="136"/>
      <c r="AC5" s="634"/>
      <c r="AD5" s="634"/>
      <c r="AE5" s="437"/>
      <c r="AF5" s="136"/>
      <c r="AG5" s="634"/>
      <c r="AH5" s="634"/>
      <c r="AI5" s="437"/>
      <c r="AJ5" s="136"/>
      <c r="AK5" s="634"/>
      <c r="AL5" s="634"/>
      <c r="AM5" s="437"/>
      <c r="AN5" s="648"/>
      <c r="AO5" s="649"/>
      <c r="AP5" s="649"/>
      <c r="AQ5" s="650"/>
      <c r="AR5" s="648"/>
      <c r="AS5" s="648"/>
      <c r="AT5" s="648"/>
      <c r="AU5" s="650"/>
      <c r="AV5" s="648"/>
      <c r="AW5" s="648"/>
      <c r="AX5" s="648"/>
      <c r="AY5" s="650"/>
      <c r="AZ5" s="648"/>
      <c r="BA5" s="648"/>
      <c r="BB5" s="648"/>
      <c r="BC5" s="650"/>
      <c r="BD5" s="648"/>
      <c r="BE5" s="648"/>
      <c r="BF5" s="648"/>
      <c r="BG5" s="650"/>
      <c r="BH5" s="648"/>
      <c r="BI5" s="648"/>
      <c r="BJ5" s="648"/>
      <c r="BK5" s="650"/>
      <c r="BL5" s="648"/>
      <c r="BM5" s="648"/>
      <c r="BN5" s="648"/>
      <c r="BO5" s="650"/>
      <c r="BP5" s="648"/>
      <c r="BQ5" s="648"/>
      <c r="BR5" s="648"/>
      <c r="BS5" s="650"/>
      <c r="BT5" s="651"/>
      <c r="BU5" s="651"/>
      <c r="BV5" s="652"/>
      <c r="BW5" s="653"/>
      <c r="BX5" s="652"/>
      <c r="BY5" s="652"/>
      <c r="BZ5" s="652"/>
      <c r="CA5" s="653"/>
      <c r="CB5" s="654"/>
      <c r="CC5" s="652"/>
      <c r="CD5" s="652"/>
      <c r="CE5" s="653"/>
      <c r="CF5" s="654"/>
      <c r="CG5" s="652"/>
      <c r="CH5" s="652"/>
      <c r="CI5" s="653"/>
      <c r="CJ5" s="654"/>
      <c r="CK5" s="654"/>
      <c r="CL5" s="654"/>
      <c r="CM5" s="655"/>
      <c r="CN5" s="654"/>
      <c r="CO5" s="654"/>
      <c r="CP5" s="654"/>
      <c r="CQ5" s="655"/>
      <c r="CR5" s="654"/>
      <c r="CS5" s="654"/>
      <c r="CT5" s="654"/>
      <c r="CU5" s="655"/>
      <c r="CV5" s="654"/>
      <c r="CW5" s="654"/>
      <c r="CX5" s="654"/>
      <c r="CY5" s="655"/>
      <c r="CZ5" s="7"/>
      <c r="DA5" s="656"/>
      <c r="DB5" s="656"/>
      <c r="DC5" s="656"/>
      <c r="DD5" s="656"/>
      <c r="DE5" s="656"/>
      <c r="DF5" s="656"/>
      <c r="DG5" s="136"/>
      <c r="DH5" s="136"/>
      <c r="DI5" s="136"/>
      <c r="DJ5" s="136"/>
      <c r="DK5" s="136"/>
      <c r="DL5" s="136"/>
      <c r="DM5" s="136"/>
      <c r="DN5" s="136"/>
      <c r="DO5" s="136"/>
      <c r="DP5" s="136"/>
      <c r="DQ5" s="136"/>
      <c r="DR5" s="136"/>
      <c r="DS5" s="136"/>
      <c r="DT5" s="136"/>
      <c r="DU5" s="136"/>
      <c r="DV5" s="136"/>
      <c r="DW5" s="136"/>
      <c r="DX5" s="136"/>
      <c r="DY5" s="136"/>
      <c r="DZ5" s="136"/>
      <c r="EA5" s="136"/>
      <c r="EB5" s="136"/>
      <c r="EC5" s="136"/>
      <c r="ED5" s="136"/>
      <c r="EE5" s="136"/>
    </row>
    <row r="6" spans="1:135" s="658" customFormat="1" ht="15">
      <c r="A6" s="590"/>
      <c r="B6" s="638" t="s">
        <v>348</v>
      </c>
      <c r="C6" s="592"/>
      <c r="D6" s="593"/>
      <c r="E6" s="592"/>
      <c r="F6" s="592"/>
      <c r="G6" s="594"/>
      <c r="H6" s="592"/>
      <c r="I6" s="592"/>
      <c r="J6" s="592"/>
      <c r="K6" s="594"/>
      <c r="L6" s="592"/>
      <c r="M6" s="592"/>
      <c r="N6" s="592"/>
      <c r="O6" s="594"/>
      <c r="P6" s="592"/>
      <c r="Q6" s="592"/>
      <c r="R6" s="592"/>
      <c r="S6" s="594"/>
      <c r="T6" s="592"/>
      <c r="U6" s="592"/>
      <c r="V6" s="592"/>
      <c r="W6" s="594"/>
      <c r="X6" s="592"/>
      <c r="Y6" s="592"/>
      <c r="Z6" s="592"/>
      <c r="AA6" s="594"/>
      <c r="AB6" s="640">
        <v>5.2303660000000001</v>
      </c>
      <c r="AC6" s="640">
        <v>5.1246780000000003</v>
      </c>
      <c r="AD6" s="640">
        <v>4.1685999999999996</v>
      </c>
      <c r="AE6" s="641">
        <v>4.8594549999999996</v>
      </c>
      <c r="AF6" s="640">
        <v>5.3222940000000003</v>
      </c>
      <c r="AG6" s="640">
        <v>5.0780469999999998</v>
      </c>
      <c r="AH6" s="640">
        <v>4.2500669999999996</v>
      </c>
      <c r="AI6" s="641">
        <v>4.6782009999999996</v>
      </c>
      <c r="AJ6" s="640">
        <v>4.8881670000000002</v>
      </c>
      <c r="AK6" s="640">
        <v>5.0846200000000001</v>
      </c>
      <c r="AL6" s="640">
        <v>4.3723510000000001</v>
      </c>
      <c r="AM6" s="641">
        <v>4.7788409999999999</v>
      </c>
      <c r="AN6" s="640">
        <v>4.944032</v>
      </c>
      <c r="AO6" s="640">
        <v>5.1103259999999997</v>
      </c>
      <c r="AP6" s="640">
        <v>4.3542870000000002</v>
      </c>
      <c r="AQ6" s="641">
        <v>4.9846019999999998</v>
      </c>
      <c r="AR6" s="640">
        <v>5.1508219999999998</v>
      </c>
      <c r="AS6" s="640">
        <v>5.3865740000000004</v>
      </c>
      <c r="AT6" s="640">
        <v>4.6152139999999999</v>
      </c>
      <c r="AU6" s="641">
        <v>5.0206119999999999</v>
      </c>
      <c r="AV6" s="640">
        <v>5.0712060000000001</v>
      </c>
      <c r="AW6" s="640">
        <v>5.4990199999999998</v>
      </c>
      <c r="AX6" s="640">
        <v>4.5420439999999997</v>
      </c>
      <c r="AY6" s="641">
        <v>5.0586380000000002</v>
      </c>
      <c r="AZ6" s="640">
        <v>5.3903100000000004</v>
      </c>
      <c r="BA6" s="640">
        <v>5.4475280000000001</v>
      </c>
      <c r="BB6" s="640">
        <v>4.6529119999999997</v>
      </c>
      <c r="BC6" s="641">
        <v>5.2355720000000003</v>
      </c>
      <c r="BD6" s="640">
        <v>5.6713149999999999</v>
      </c>
      <c r="BE6" s="640">
        <v>5.732151</v>
      </c>
      <c r="BF6" s="640">
        <v>4.9259870000000001</v>
      </c>
      <c r="BG6" s="641">
        <v>5.683745</v>
      </c>
      <c r="BH6" s="640">
        <v>5.8561379999999996</v>
      </c>
      <c r="BI6" s="640">
        <v>6.0182260000000003</v>
      </c>
      <c r="BJ6" s="640">
        <v>4.8451129999999996</v>
      </c>
      <c r="BK6" s="641">
        <v>4.0658859999999999</v>
      </c>
      <c r="BL6" s="640">
        <v>3.4753910000000001</v>
      </c>
      <c r="BM6" s="640">
        <v>4.2936529999999999</v>
      </c>
      <c r="BN6" s="640">
        <v>4.1406369999999999</v>
      </c>
      <c r="BO6" s="641">
        <v>4.5702309999999997</v>
      </c>
      <c r="BP6" s="640">
        <v>4.752739</v>
      </c>
      <c r="BQ6" s="640">
        <v>5.0327830000000002</v>
      </c>
      <c r="BR6" s="640">
        <v>4.2869020000000004</v>
      </c>
      <c r="BS6" s="641">
        <v>4.9541339999999998</v>
      </c>
      <c r="BT6" s="640">
        <v>5.3316270000000001</v>
      </c>
      <c r="BU6" s="640">
        <v>5.3191090000000001</v>
      </c>
      <c r="BV6" s="640">
        <v>4.5491700000000002</v>
      </c>
      <c r="BW6" s="641">
        <v>4.9828330000000003</v>
      </c>
      <c r="BX6" s="640">
        <v>5.2552079999999997</v>
      </c>
      <c r="BY6" s="640">
        <v>5.0169969999999999</v>
      </c>
      <c r="BZ6" s="640">
        <v>4.3530069999999998</v>
      </c>
      <c r="CA6" s="641">
        <v>4.6739579999999998</v>
      </c>
      <c r="CB6" s="640">
        <v>4.820379</v>
      </c>
      <c r="CC6" s="640">
        <v>5.1531580000000003</v>
      </c>
      <c r="CD6" s="640">
        <v>4.564165</v>
      </c>
      <c r="CE6" s="641">
        <v>4.961271</v>
      </c>
      <c r="CF6" s="640">
        <v>5.2343650000000004</v>
      </c>
      <c r="CG6" s="640">
        <v>5.3533439999999999</v>
      </c>
      <c r="CH6" s="640">
        <v>4.5665380000000004</v>
      </c>
      <c r="CI6" s="641">
        <v>4.9950599999999996</v>
      </c>
      <c r="CJ6" s="640">
        <v>5.4447229999999998</v>
      </c>
      <c r="CK6" s="640">
        <v>5.4799429999999996</v>
      </c>
      <c r="CL6" s="640">
        <v>4.8108360000000001</v>
      </c>
      <c r="CM6" s="641">
        <v>5.2148820000000002</v>
      </c>
      <c r="CN6" s="640">
        <v>5.5259929999999997</v>
      </c>
      <c r="CO6" s="640">
        <v>5.8989960000000004</v>
      </c>
      <c r="CP6" s="640">
        <v>4.7448730000000001</v>
      </c>
      <c r="CQ6" s="642">
        <v>5.3704099999999997</v>
      </c>
      <c r="CR6" s="643">
        <v>5.8566969999999996</v>
      </c>
      <c r="CS6" s="643">
        <v>5.716628</v>
      </c>
      <c r="CT6" s="640">
        <v>4.9602830000000004</v>
      </c>
      <c r="CU6" s="641">
        <v>5.7971149999999998</v>
      </c>
      <c r="CV6" s="867">
        <v>5.9115919999999997</v>
      </c>
      <c r="CW6" s="867">
        <v>6.0254659999999998</v>
      </c>
      <c r="CX6" s="867">
        <v>5.0789840000000002</v>
      </c>
      <c r="CY6" s="868">
        <v>5.7607160000000004</v>
      </c>
      <c r="CZ6" s="596"/>
      <c r="DA6" s="595"/>
      <c r="DB6" s="595"/>
      <c r="DC6" s="595"/>
      <c r="DD6" s="595"/>
      <c r="DE6" s="595"/>
      <c r="DF6" s="595"/>
      <c r="DG6" s="597">
        <f>SUM(AB6:AE6)</f>
        <v>19.383098999999998</v>
      </c>
      <c r="DH6" s="597">
        <f>SUM(AF6:AI6)</f>
        <v>19.328609</v>
      </c>
      <c r="DI6" s="597">
        <f>SUM(AJ6:AM6)</f>
        <v>19.123978999999999</v>
      </c>
      <c r="DJ6" s="597">
        <f>SUM(AN6:AQ6)</f>
        <v>19.393246999999999</v>
      </c>
      <c r="DK6" s="597">
        <f>SUM(AR6:AU6)</f>
        <v>20.173222000000003</v>
      </c>
      <c r="DL6" s="597">
        <f>SUM(AV6:AY6)</f>
        <v>20.170907999999997</v>
      </c>
      <c r="DM6" s="597">
        <f>SUM(AZ6:BC6)</f>
        <v>20.726322000000003</v>
      </c>
      <c r="DN6" s="597">
        <f>SUM(BD6:BG6)</f>
        <v>22.013198000000003</v>
      </c>
      <c r="DO6" s="597">
        <f>SUM(BH6:BK6)</f>
        <v>20.785362999999997</v>
      </c>
      <c r="DP6" s="597">
        <f>SUM(BL6:BO6)</f>
        <v>16.479911999999999</v>
      </c>
      <c r="DQ6" s="597">
        <f>SUM(BP6:BS6)</f>
        <v>19.026558000000001</v>
      </c>
      <c r="DR6" s="597">
        <f>SUM(BT6:BW6)</f>
        <v>20.182739000000002</v>
      </c>
      <c r="DS6" s="597">
        <f>SUM(BX6:CA6)</f>
        <v>19.29917</v>
      </c>
      <c r="DT6" s="597">
        <f>SUM(CB6:CE6)</f>
        <v>19.498972999999999</v>
      </c>
      <c r="DU6" s="597">
        <f>SUM(CF6:CI6)</f>
        <v>20.149307</v>
      </c>
      <c r="DV6" s="597">
        <f>SUM(CJ6:CM6)</f>
        <v>20.950384</v>
      </c>
      <c r="DW6" s="591">
        <f>SUM(CN6:CQ6)</f>
        <v>21.540272000000002</v>
      </c>
      <c r="DX6" s="591">
        <f>SUM(CR6:CU6)</f>
        <v>22.330722999999999</v>
      </c>
      <c r="DY6" s="591">
        <f>SUM(CV6:CY6)</f>
        <v>22.776758000000001</v>
      </c>
      <c r="DZ6" s="842">
        <v>22.832283</v>
      </c>
      <c r="EA6" s="842">
        <v>22.980007000000001</v>
      </c>
      <c r="EB6" s="842">
        <v>23.387557000000001</v>
      </c>
      <c r="EC6" s="842">
        <v>23.628457000000001</v>
      </c>
      <c r="ED6" s="842">
        <v>23.846972999999998</v>
      </c>
      <c r="EE6" s="592"/>
    </row>
    <row r="7" spans="1:135" s="599" customFormat="1" ht="15">
      <c r="A7" s="258"/>
      <c r="B7" s="639" t="s">
        <v>310</v>
      </c>
      <c r="C7" s="435"/>
      <c r="D7" s="598"/>
      <c r="E7" s="432"/>
      <c r="F7" s="432"/>
      <c r="G7" s="433"/>
      <c r="H7" s="432"/>
      <c r="I7" s="432"/>
      <c r="J7" s="432"/>
      <c r="K7" s="433"/>
      <c r="L7" s="432"/>
      <c r="M7" s="432"/>
      <c r="N7" s="432"/>
      <c r="O7" s="433"/>
      <c r="P7" s="432"/>
      <c r="Q7" s="432"/>
      <c r="R7" s="432"/>
      <c r="S7" s="433"/>
      <c r="T7" s="432"/>
      <c r="U7" s="432"/>
      <c r="V7" s="432"/>
      <c r="W7" s="433"/>
      <c r="X7" s="432"/>
      <c r="Y7" s="432"/>
      <c r="Z7" s="432"/>
      <c r="AA7" s="433"/>
      <c r="AB7" s="644"/>
      <c r="AC7" s="644">
        <f t="shared" ref="AC7:BH7" si="0">AC6/AB6-1</f>
        <v>-2.0206616515937803E-2</v>
      </c>
      <c r="AD7" s="644">
        <f t="shared" si="0"/>
        <v>-0.18656352652791075</v>
      </c>
      <c r="AE7" s="645">
        <f t="shared" si="0"/>
        <v>0.16572830206784062</v>
      </c>
      <c r="AF7" s="644">
        <f t="shared" si="0"/>
        <v>9.5245042911190847E-2</v>
      </c>
      <c r="AG7" s="644">
        <f t="shared" si="0"/>
        <v>-4.5891301758226866E-2</v>
      </c>
      <c r="AH7" s="644">
        <f t="shared" si="0"/>
        <v>-0.16305087369218918</v>
      </c>
      <c r="AI7" s="645">
        <f t="shared" si="0"/>
        <v>0.10073582369407363</v>
      </c>
      <c r="AJ7" s="644">
        <f t="shared" si="0"/>
        <v>4.4881782548462645E-2</v>
      </c>
      <c r="AK7" s="644">
        <f t="shared" si="0"/>
        <v>4.0189502527225418E-2</v>
      </c>
      <c r="AL7" s="644">
        <f t="shared" si="0"/>
        <v>-0.14008303472039207</v>
      </c>
      <c r="AM7" s="645">
        <f t="shared" si="0"/>
        <v>9.2968290972065049E-2</v>
      </c>
      <c r="AN7" s="644">
        <f t="shared" si="0"/>
        <v>3.4567168064390419E-2</v>
      </c>
      <c r="AO7" s="644">
        <f t="shared" si="0"/>
        <v>3.3635300095145038E-2</v>
      </c>
      <c r="AP7" s="644">
        <f t="shared" si="0"/>
        <v>-0.14794339930564104</v>
      </c>
      <c r="AQ7" s="645">
        <f t="shared" si="0"/>
        <v>0.14475733914645494</v>
      </c>
      <c r="AR7" s="644">
        <f t="shared" si="0"/>
        <v>3.334669448032157E-2</v>
      </c>
      <c r="AS7" s="644">
        <f t="shared" si="0"/>
        <v>4.5769781988195479E-2</v>
      </c>
      <c r="AT7" s="644">
        <f t="shared" si="0"/>
        <v>-0.14320048327564061</v>
      </c>
      <c r="AU7" s="645">
        <f t="shared" si="0"/>
        <v>8.7839480466127773E-2</v>
      </c>
      <c r="AV7" s="644">
        <f t="shared" si="0"/>
        <v>1.007725751362587E-2</v>
      </c>
      <c r="AW7" s="644">
        <f t="shared" si="0"/>
        <v>8.4361392536607571E-2</v>
      </c>
      <c r="AX7" s="644">
        <f t="shared" si="0"/>
        <v>-0.17402664474760954</v>
      </c>
      <c r="AY7" s="645">
        <f t="shared" si="0"/>
        <v>0.11373601840933301</v>
      </c>
      <c r="AZ7" s="644">
        <f t="shared" si="0"/>
        <v>6.556547434309401E-2</v>
      </c>
      <c r="BA7" s="644">
        <f t="shared" si="0"/>
        <v>1.0614973906881042E-2</v>
      </c>
      <c r="BB7" s="644">
        <f t="shared" si="0"/>
        <v>-0.14586726309621545</v>
      </c>
      <c r="BC7" s="645">
        <f t="shared" si="0"/>
        <v>0.12522480545516457</v>
      </c>
      <c r="BD7" s="644">
        <f t="shared" si="0"/>
        <v>8.3227391391045513E-2</v>
      </c>
      <c r="BE7" s="644">
        <f t="shared" si="0"/>
        <v>1.072696543923235E-2</v>
      </c>
      <c r="BF7" s="644">
        <f t="shared" si="0"/>
        <v>-0.14063900270596497</v>
      </c>
      <c r="BG7" s="645">
        <f t="shared" si="0"/>
        <v>0.15382866418445684</v>
      </c>
      <c r="BH7" s="644">
        <f t="shared" si="0"/>
        <v>3.0330882191231145E-2</v>
      </c>
      <c r="BI7" s="644">
        <f t="shared" ref="BI7:CN7" si="1">BI6/BH6-1</f>
        <v>2.7678309493389897E-2</v>
      </c>
      <c r="BJ7" s="644">
        <f t="shared" si="1"/>
        <v>-0.19492671096100422</v>
      </c>
      <c r="BK7" s="645">
        <f t="shared" si="1"/>
        <v>-0.16082741517070909</v>
      </c>
      <c r="BL7" s="644">
        <f t="shared" si="1"/>
        <v>-0.14523156822399841</v>
      </c>
      <c r="BM7" s="644">
        <f t="shared" si="1"/>
        <v>0.23544458738599472</v>
      </c>
      <c r="BN7" s="644">
        <f t="shared" si="1"/>
        <v>-3.563771921019232E-2</v>
      </c>
      <c r="BO7" s="645">
        <f t="shared" si="1"/>
        <v>0.10375070309230194</v>
      </c>
      <c r="BP7" s="644">
        <f t="shared" si="1"/>
        <v>3.9934086482718456E-2</v>
      </c>
      <c r="BQ7" s="644">
        <f t="shared" si="1"/>
        <v>5.8922654915407824E-2</v>
      </c>
      <c r="BR7" s="644">
        <f t="shared" si="1"/>
        <v>-0.14820448249010532</v>
      </c>
      <c r="BS7" s="645">
        <f t="shared" si="1"/>
        <v>0.15564433243400466</v>
      </c>
      <c r="BT7" s="644">
        <f t="shared" si="1"/>
        <v>7.6197575600498446E-2</v>
      </c>
      <c r="BU7" s="644">
        <f t="shared" si="1"/>
        <v>-2.3478761736333009E-3</v>
      </c>
      <c r="BV7" s="644">
        <f t="shared" si="1"/>
        <v>-0.14474961878013781</v>
      </c>
      <c r="BW7" s="645">
        <f t="shared" si="1"/>
        <v>9.532793894270819E-2</v>
      </c>
      <c r="BX7" s="644">
        <f t="shared" si="1"/>
        <v>5.4662678841534307E-2</v>
      </c>
      <c r="BY7" s="644">
        <f t="shared" si="1"/>
        <v>-4.5328557880106701E-2</v>
      </c>
      <c r="BZ7" s="644">
        <f t="shared" si="1"/>
        <v>-0.13234809588285579</v>
      </c>
      <c r="CA7" s="645">
        <f t="shared" si="1"/>
        <v>7.3730871556144884E-2</v>
      </c>
      <c r="CB7" s="644">
        <f t="shared" si="1"/>
        <v>3.1326982399071612E-2</v>
      </c>
      <c r="CC7" s="644">
        <f t="shared" si="1"/>
        <v>6.9035857968844372E-2</v>
      </c>
      <c r="CD7" s="644">
        <f t="shared" si="1"/>
        <v>-0.11429748515376403</v>
      </c>
      <c r="CE7" s="645">
        <f t="shared" si="1"/>
        <v>8.7005180575198349E-2</v>
      </c>
      <c r="CF7" s="644">
        <f t="shared" si="1"/>
        <v>5.5045168869025884E-2</v>
      </c>
      <c r="CG7" s="644">
        <f t="shared" si="1"/>
        <v>2.2730359843075476E-2</v>
      </c>
      <c r="CH7" s="644">
        <f t="shared" si="1"/>
        <v>-0.14697467601558944</v>
      </c>
      <c r="CI7" s="645">
        <f t="shared" si="1"/>
        <v>9.3839578253810396E-2</v>
      </c>
      <c r="CJ7" s="644">
        <f t="shared" si="1"/>
        <v>9.0021541282787387E-2</v>
      </c>
      <c r="CK7" s="644">
        <f t="shared" si="1"/>
        <v>6.4686486346503536E-3</v>
      </c>
      <c r="CL7" s="644">
        <f t="shared" si="1"/>
        <v>-0.12210108754780835</v>
      </c>
      <c r="CM7" s="645">
        <f t="shared" si="1"/>
        <v>8.3986650137314989E-2</v>
      </c>
      <c r="CN7" s="644">
        <f t="shared" si="1"/>
        <v>5.9658300993195912E-2</v>
      </c>
      <c r="CO7" s="644">
        <f t="shared" ref="CO7:CY7" si="2">CO6/CN6-1</f>
        <v>6.7499723579092619E-2</v>
      </c>
      <c r="CP7" s="644">
        <f t="shared" si="2"/>
        <v>-0.19564736100855129</v>
      </c>
      <c r="CQ7" s="645">
        <f t="shared" si="2"/>
        <v>0.13183429777783284</v>
      </c>
      <c r="CR7" s="644">
        <f t="shared" si="2"/>
        <v>9.0549324911878282E-2</v>
      </c>
      <c r="CS7" s="644">
        <f t="shared" si="2"/>
        <v>-2.3916040047828879E-2</v>
      </c>
      <c r="CT7" s="644">
        <f t="shared" si="2"/>
        <v>-0.13230614271210228</v>
      </c>
      <c r="CU7" s="645">
        <f t="shared" si="2"/>
        <v>0.16870650323781922</v>
      </c>
      <c r="CV7" s="644">
        <f t="shared" si="2"/>
        <v>1.9747236340835084E-2</v>
      </c>
      <c r="CW7" s="644">
        <f t="shared" si="2"/>
        <v>1.9262831399731173E-2</v>
      </c>
      <c r="CX7" s="644">
        <f t="shared" si="2"/>
        <v>-0.15708029885157426</v>
      </c>
      <c r="CY7" s="645">
        <f t="shared" si="2"/>
        <v>0.1342260578099872</v>
      </c>
      <c r="DA7" s="432"/>
      <c r="DB7" s="432"/>
      <c r="DC7" s="432"/>
      <c r="DD7" s="432"/>
      <c r="DE7" s="432"/>
      <c r="DF7" s="432"/>
      <c r="DG7" s="432"/>
      <c r="DH7" s="432"/>
      <c r="DI7" s="432"/>
      <c r="DJ7" s="432"/>
      <c r="DK7" s="432"/>
      <c r="DL7" s="432"/>
      <c r="DM7" s="432"/>
      <c r="DN7" s="432"/>
      <c r="DO7" s="432"/>
      <c r="DP7" s="432"/>
      <c r="DQ7" s="432"/>
      <c r="DR7" s="432"/>
      <c r="DS7" s="432"/>
      <c r="DT7" s="432"/>
      <c r="DU7" s="432"/>
      <c r="DV7" s="432"/>
      <c r="DW7" s="432"/>
      <c r="DX7" s="432"/>
      <c r="DY7" s="432"/>
      <c r="DZ7" s="432"/>
      <c r="EA7" s="432"/>
      <c r="EB7" s="432"/>
      <c r="EC7" s="432"/>
      <c r="ED7" s="432"/>
      <c r="EE7" s="435"/>
    </row>
    <row r="8" spans="1:135" s="599" customFormat="1" ht="15">
      <c r="A8" s="258"/>
      <c r="B8" s="639" t="s">
        <v>240</v>
      </c>
      <c r="C8" s="435"/>
      <c r="D8" s="598"/>
      <c r="E8" s="432"/>
      <c r="F8" s="432"/>
      <c r="G8" s="433"/>
      <c r="H8" s="432"/>
      <c r="I8" s="432"/>
      <c r="J8" s="432"/>
      <c r="K8" s="433"/>
      <c r="L8" s="432"/>
      <c r="M8" s="432"/>
      <c r="N8" s="432"/>
      <c r="O8" s="433"/>
      <c r="P8" s="432"/>
      <c r="Q8" s="432"/>
      <c r="R8" s="432"/>
      <c r="S8" s="433"/>
      <c r="T8" s="432"/>
      <c r="U8" s="432"/>
      <c r="V8" s="432"/>
      <c r="W8" s="433"/>
      <c r="X8" s="432"/>
      <c r="Y8" s="432"/>
      <c r="Z8" s="432"/>
      <c r="AA8" s="433"/>
      <c r="AB8" s="644"/>
      <c r="AC8" s="644"/>
      <c r="AD8" s="644"/>
      <c r="AE8" s="645"/>
      <c r="AF8" s="644">
        <f t="shared" ref="AF8:BK8" si="3">AF6/AB6-1</f>
        <v>1.7575825477605278E-2</v>
      </c>
      <c r="AG8" s="644">
        <f t="shared" si="3"/>
        <v>-9.0993034098924008E-3</v>
      </c>
      <c r="AH8" s="644">
        <f t="shared" si="3"/>
        <v>1.9543012042412267E-2</v>
      </c>
      <c r="AI8" s="645">
        <f t="shared" si="3"/>
        <v>-3.7299244462599246E-2</v>
      </c>
      <c r="AJ8" s="644">
        <f t="shared" si="3"/>
        <v>-8.156764733402555E-2</v>
      </c>
      <c r="AK8" s="644">
        <f t="shared" si="3"/>
        <v>1.2943952665267489E-3</v>
      </c>
      <c r="AL8" s="644">
        <f t="shared" si="3"/>
        <v>2.8772252296258127E-2</v>
      </c>
      <c r="AM8" s="645">
        <f t="shared" si="3"/>
        <v>2.1512542962561998E-2</v>
      </c>
      <c r="AN8" s="644">
        <f t="shared" si="3"/>
        <v>1.1428619357726433E-2</v>
      </c>
      <c r="AO8" s="644">
        <f t="shared" si="3"/>
        <v>5.0556383761224399E-3</v>
      </c>
      <c r="AP8" s="644">
        <f t="shared" si="3"/>
        <v>-4.1314157989602585E-3</v>
      </c>
      <c r="AQ8" s="645">
        <f t="shared" si="3"/>
        <v>4.3056674201966461E-2</v>
      </c>
      <c r="AR8" s="644">
        <f t="shared" si="3"/>
        <v>4.1826185591031795E-2</v>
      </c>
      <c r="AS8" s="644">
        <f t="shared" si="3"/>
        <v>5.4056825337561731E-2</v>
      </c>
      <c r="AT8" s="644">
        <f t="shared" si="3"/>
        <v>5.9924162095883915E-2</v>
      </c>
      <c r="AU8" s="645">
        <f t="shared" si="3"/>
        <v>7.2242477935049454E-3</v>
      </c>
      <c r="AV8" s="644">
        <f t="shared" si="3"/>
        <v>-1.5456950366368627E-2</v>
      </c>
      <c r="AW8" s="644">
        <f t="shared" si="3"/>
        <v>2.0875235353677413E-2</v>
      </c>
      <c r="AX8" s="644">
        <f t="shared" si="3"/>
        <v>-1.5854086072715212E-2</v>
      </c>
      <c r="AY8" s="645">
        <f t="shared" si="3"/>
        <v>7.5739770370624182E-3</v>
      </c>
      <c r="AZ8" s="644">
        <f t="shared" si="3"/>
        <v>6.2924677088645131E-2</v>
      </c>
      <c r="BA8" s="644">
        <f t="shared" si="3"/>
        <v>-9.3638502860509121E-3</v>
      </c>
      <c r="BB8" s="644">
        <f t="shared" si="3"/>
        <v>2.4409274767043243E-2</v>
      </c>
      <c r="BC8" s="645">
        <f t="shared" si="3"/>
        <v>3.4976608328170622E-2</v>
      </c>
      <c r="BD8" s="644">
        <f t="shared" si="3"/>
        <v>5.213151006157335E-2</v>
      </c>
      <c r="BE8" s="644">
        <f t="shared" si="3"/>
        <v>5.2248102258492191E-2</v>
      </c>
      <c r="BF8" s="644">
        <f t="shared" si="3"/>
        <v>5.8689053220864817E-2</v>
      </c>
      <c r="BG8" s="645">
        <f t="shared" si="3"/>
        <v>8.5601535037623355E-2</v>
      </c>
      <c r="BH8" s="644">
        <f t="shared" si="3"/>
        <v>3.2589090889855399E-2</v>
      </c>
      <c r="BI8" s="644">
        <f t="shared" si="3"/>
        <v>4.9907094212975345E-2</v>
      </c>
      <c r="BJ8" s="644">
        <f t="shared" si="3"/>
        <v>-1.6417826518827727E-2</v>
      </c>
      <c r="BK8" s="645">
        <f t="shared" si="3"/>
        <v>-0.28464665462648309</v>
      </c>
      <c r="BL8" s="644">
        <f t="shared" ref="BL8:CQ8" si="4">BL6/BH6-1</f>
        <v>-0.40653874618391839</v>
      </c>
      <c r="BM8" s="644">
        <f t="shared" si="4"/>
        <v>-0.28655836454131167</v>
      </c>
      <c r="BN8" s="644">
        <f t="shared" si="4"/>
        <v>-0.1453992920288959</v>
      </c>
      <c r="BO8" s="645">
        <f t="shared" si="4"/>
        <v>0.12404307449839957</v>
      </c>
      <c r="BP8" s="644">
        <f t="shared" si="4"/>
        <v>0.36754080332256134</v>
      </c>
      <c r="BQ8" s="644">
        <f t="shared" si="4"/>
        <v>0.17214479139324967</v>
      </c>
      <c r="BR8" s="644">
        <f t="shared" si="4"/>
        <v>3.5324274984742887E-2</v>
      </c>
      <c r="BS8" s="645">
        <f t="shared" si="4"/>
        <v>8.4000786831125218E-2</v>
      </c>
      <c r="BT8" s="644">
        <f t="shared" si="4"/>
        <v>0.12180092363582351</v>
      </c>
      <c r="BU8" s="644">
        <f t="shared" si="4"/>
        <v>5.6892180727839747E-2</v>
      </c>
      <c r="BV8" s="644">
        <f t="shared" si="4"/>
        <v>6.1178911950867887E-2</v>
      </c>
      <c r="BW8" s="645">
        <f t="shared" si="4"/>
        <v>5.7929397953306871E-3</v>
      </c>
      <c r="BX8" s="644">
        <f t="shared" si="4"/>
        <v>-1.4333148211606028E-2</v>
      </c>
      <c r="BY8" s="644">
        <f t="shared" si="4"/>
        <v>-5.6797482435498203E-2</v>
      </c>
      <c r="BZ8" s="644">
        <f t="shared" si="4"/>
        <v>-4.3120613210761549E-2</v>
      </c>
      <c r="CA8" s="645">
        <f t="shared" si="4"/>
        <v>-6.1987829012130291E-2</v>
      </c>
      <c r="CB8" s="644">
        <f t="shared" si="4"/>
        <v>-8.2742490877620756E-2</v>
      </c>
      <c r="CC8" s="644">
        <f t="shared" si="4"/>
        <v>2.7139940486310854E-2</v>
      </c>
      <c r="CD8" s="644">
        <f t="shared" si="4"/>
        <v>4.8508536742532193E-2</v>
      </c>
      <c r="CE8" s="645">
        <f t="shared" si="4"/>
        <v>6.1471027339141671E-2</v>
      </c>
      <c r="CF8" s="644">
        <f t="shared" si="4"/>
        <v>8.5882458619955138E-2</v>
      </c>
      <c r="CG8" s="644">
        <f t="shared" si="4"/>
        <v>3.8847246678638481E-2</v>
      </c>
      <c r="CH8" s="644">
        <f t="shared" si="4"/>
        <v>5.1991985390542617E-4</v>
      </c>
      <c r="CI8" s="645">
        <f t="shared" si="4"/>
        <v>6.8105531828435151E-3</v>
      </c>
      <c r="CJ8" s="644">
        <f t="shared" si="4"/>
        <v>4.0187873791758699E-2</v>
      </c>
      <c r="CK8" s="644">
        <f t="shared" si="4"/>
        <v>2.364858301652184E-2</v>
      </c>
      <c r="CL8" s="644">
        <f t="shared" si="4"/>
        <v>5.3497419708321559E-2</v>
      </c>
      <c r="CM8" s="645">
        <f t="shared" si="4"/>
        <v>4.400787978522791E-2</v>
      </c>
      <c r="CN8" s="644">
        <f t="shared" si="4"/>
        <v>1.4926379174845072E-2</v>
      </c>
      <c r="CO8" s="644">
        <f t="shared" si="4"/>
        <v>7.6470320950418724E-2</v>
      </c>
      <c r="CP8" s="644">
        <f t="shared" si="4"/>
        <v>-1.3711338320408384E-2</v>
      </c>
      <c r="CQ8" s="645">
        <f t="shared" si="4"/>
        <v>2.9823877127037379E-2</v>
      </c>
      <c r="CR8" s="644">
        <f t="shared" ref="CR8:CY8" si="5">CR6/CN6-1</f>
        <v>5.984517171845849E-2</v>
      </c>
      <c r="CS8" s="644">
        <f t="shared" si="5"/>
        <v>-3.0915091313843956E-2</v>
      </c>
      <c r="CT8" s="644">
        <f t="shared" si="5"/>
        <v>4.5398475364883284E-2</v>
      </c>
      <c r="CU8" s="645">
        <f t="shared" si="5"/>
        <v>7.9454827471273193E-2</v>
      </c>
      <c r="CV8" s="644">
        <f t="shared" si="5"/>
        <v>9.3730305665462588E-3</v>
      </c>
      <c r="CW8" s="644">
        <f t="shared" si="5"/>
        <v>5.4024505355254826E-2</v>
      </c>
      <c r="CX8" s="644">
        <f t="shared" si="5"/>
        <v>2.3930287848495713E-2</v>
      </c>
      <c r="CY8" s="645">
        <f t="shared" si="5"/>
        <v>-6.2788128232749152E-3</v>
      </c>
      <c r="DA8" s="432"/>
      <c r="DB8" s="432"/>
      <c r="DC8" s="432"/>
      <c r="DD8" s="432"/>
      <c r="DE8" s="432"/>
      <c r="DF8" s="432"/>
      <c r="DG8" s="432"/>
      <c r="DH8" s="432">
        <f t="shared" ref="DH8:ED8" si="6">DH6/DG6-1</f>
        <v>-2.8112119738953334E-3</v>
      </c>
      <c r="DI8" s="432">
        <f t="shared" si="6"/>
        <v>-1.0586897380975624E-2</v>
      </c>
      <c r="DJ8" s="432">
        <f t="shared" si="6"/>
        <v>1.4080124225194002E-2</v>
      </c>
      <c r="DK8" s="432">
        <f t="shared" si="6"/>
        <v>4.0218896814958605E-2</v>
      </c>
      <c r="DL8" s="432">
        <f t="shared" si="6"/>
        <v>-1.1470651539979837E-4</v>
      </c>
      <c r="DM8" s="432">
        <f t="shared" si="6"/>
        <v>2.7535399001374028E-2</v>
      </c>
      <c r="DN8" s="432">
        <f t="shared" si="6"/>
        <v>6.2088970730069581E-2</v>
      </c>
      <c r="DO8" s="432">
        <f t="shared" si="6"/>
        <v>-5.5777220556504581E-2</v>
      </c>
      <c r="DP8" s="432">
        <f t="shared" si="6"/>
        <v>-0.20713860036988518</v>
      </c>
      <c r="DQ8" s="432">
        <f t="shared" si="6"/>
        <v>0.154530315453141</v>
      </c>
      <c r="DR8" s="432">
        <f t="shared" si="6"/>
        <v>6.0766692535770161E-2</v>
      </c>
      <c r="DS8" s="432">
        <f t="shared" si="6"/>
        <v>-4.3778448504932954E-2</v>
      </c>
      <c r="DT8" s="432">
        <f t="shared" si="6"/>
        <v>1.0352932276362026E-2</v>
      </c>
      <c r="DU8" s="432">
        <f t="shared" si="6"/>
        <v>3.3352218088614327E-2</v>
      </c>
      <c r="DV8" s="432">
        <f t="shared" si="6"/>
        <v>3.9757049708955217E-2</v>
      </c>
      <c r="DW8" s="432">
        <f t="shared" si="6"/>
        <v>2.8156429018198592E-2</v>
      </c>
      <c r="DX8" s="432">
        <f t="shared" si="6"/>
        <v>3.6696426117553083E-2</v>
      </c>
      <c r="DY8" s="432">
        <f t="shared" si="6"/>
        <v>1.997405099691596E-2</v>
      </c>
      <c r="DZ8" s="432">
        <f t="shared" si="6"/>
        <v>2.437792068563871E-3</v>
      </c>
      <c r="EA8" s="432">
        <f t="shared" si="6"/>
        <v>6.4699618518218038E-3</v>
      </c>
      <c r="EB8" s="432">
        <f t="shared" si="6"/>
        <v>1.7734981542868899E-2</v>
      </c>
      <c r="EC8" s="432">
        <f t="shared" si="6"/>
        <v>1.0300349027476452E-2</v>
      </c>
      <c r="ED8" s="432">
        <f t="shared" si="6"/>
        <v>9.2480012554352342E-3</v>
      </c>
      <c r="EE8" s="435"/>
    </row>
    <row r="9" spans="1:135" s="658" customFormat="1" ht="15">
      <c r="A9" s="590"/>
      <c r="B9" s="638" t="s">
        <v>349</v>
      </c>
      <c r="C9" s="592"/>
      <c r="D9" s="593"/>
      <c r="E9" s="592"/>
      <c r="F9" s="592"/>
      <c r="G9" s="594"/>
      <c r="H9" s="592"/>
      <c r="I9" s="592"/>
      <c r="J9" s="592"/>
      <c r="K9" s="594"/>
      <c r="L9" s="592"/>
      <c r="M9" s="592"/>
      <c r="N9" s="592"/>
      <c r="O9" s="594"/>
      <c r="P9" s="592"/>
      <c r="Q9" s="592"/>
      <c r="R9" s="592"/>
      <c r="S9" s="594"/>
      <c r="T9" s="592"/>
      <c r="U9" s="592"/>
      <c r="V9" s="592"/>
      <c r="W9" s="594"/>
      <c r="X9" s="592"/>
      <c r="Y9" s="592"/>
      <c r="Z9" s="592"/>
      <c r="AA9" s="594"/>
      <c r="AB9" s="640">
        <v>0.52330900000000002</v>
      </c>
      <c r="AC9" s="640">
        <v>0.60796499999999998</v>
      </c>
      <c r="AD9" s="640">
        <v>0.52861400000000003</v>
      </c>
      <c r="AE9" s="641">
        <v>0.56094900000000003</v>
      </c>
      <c r="AF9" s="640">
        <v>0.56225800000000004</v>
      </c>
      <c r="AG9" s="640">
        <v>0.61396899999999999</v>
      </c>
      <c r="AH9" s="640">
        <v>0.56096199999999996</v>
      </c>
      <c r="AI9" s="641">
        <v>0.57294699999999998</v>
      </c>
      <c r="AJ9" s="640">
        <v>0.69354000000000005</v>
      </c>
      <c r="AK9" s="640">
        <v>0.86758400000000002</v>
      </c>
      <c r="AL9" s="640">
        <v>0.77496399999999999</v>
      </c>
      <c r="AM9" s="641">
        <v>0.95772699999999999</v>
      </c>
      <c r="AN9" s="640">
        <v>1.0245150000000001</v>
      </c>
      <c r="AO9" s="640">
        <v>1.069733</v>
      </c>
      <c r="AP9" s="640">
        <v>1.0841670000000001</v>
      </c>
      <c r="AQ9" s="641">
        <v>1.1988209999999999</v>
      </c>
      <c r="AR9" s="640">
        <v>1.250909</v>
      </c>
      <c r="AS9" s="640">
        <v>1.3772800000000001</v>
      </c>
      <c r="AT9" s="640">
        <v>1.088829</v>
      </c>
      <c r="AU9" s="641">
        <v>1.1739390000000001</v>
      </c>
      <c r="AV9" s="640">
        <v>1.279957</v>
      </c>
      <c r="AW9" s="640">
        <v>1.4906969999999999</v>
      </c>
      <c r="AX9" s="640">
        <v>1.3923669999999999</v>
      </c>
      <c r="AY9" s="641">
        <v>1.509744</v>
      </c>
      <c r="AZ9" s="640">
        <v>1.7524519999999999</v>
      </c>
      <c r="BA9" s="640">
        <v>1.788235</v>
      </c>
      <c r="BB9" s="640">
        <v>1.5888800000000001</v>
      </c>
      <c r="BC9" s="641">
        <v>1.87419</v>
      </c>
      <c r="BD9" s="640">
        <v>2.0656919999999999</v>
      </c>
      <c r="BE9" s="640">
        <v>2.10703</v>
      </c>
      <c r="BF9" s="640">
        <v>1.945031</v>
      </c>
      <c r="BG9" s="641">
        <v>2.2764470000000001</v>
      </c>
      <c r="BH9" s="640">
        <v>2.3487290000000001</v>
      </c>
      <c r="BI9" s="640">
        <v>2.4494539999999998</v>
      </c>
      <c r="BJ9" s="640">
        <v>2.0100690000000001</v>
      </c>
      <c r="BK9" s="641">
        <v>1.9983089999999999</v>
      </c>
      <c r="BL9" s="640">
        <v>2.4252690000000001</v>
      </c>
      <c r="BM9" s="640">
        <v>3.232167</v>
      </c>
      <c r="BN9" s="640">
        <v>3.4113220000000002</v>
      </c>
      <c r="BO9" s="641">
        <v>3.9894270000000001</v>
      </c>
      <c r="BP9" s="640">
        <v>4.2456670000000001</v>
      </c>
      <c r="BQ9" s="640">
        <v>4.0501209999999999</v>
      </c>
      <c r="BR9" s="640">
        <v>3.943794</v>
      </c>
      <c r="BS9" s="641">
        <v>4.8808629999999997</v>
      </c>
      <c r="BT9" s="640">
        <v>4.591755</v>
      </c>
      <c r="BU9" s="640">
        <v>4.0445820000000001</v>
      </c>
      <c r="BV9" s="640">
        <v>4.1811109999999996</v>
      </c>
      <c r="BW9" s="641">
        <v>4.7947300000000004</v>
      </c>
      <c r="BX9" s="640">
        <v>4.5616859999999999</v>
      </c>
      <c r="BY9" s="640">
        <v>4.5979840000000003</v>
      </c>
      <c r="BZ9" s="640">
        <v>4.465878</v>
      </c>
      <c r="CA9" s="641">
        <v>4.9425220000000003</v>
      </c>
      <c r="CB9" s="640">
        <v>5.1899430000000004</v>
      </c>
      <c r="CC9" s="640">
        <v>5.0975529999999996</v>
      </c>
      <c r="CD9" s="640">
        <v>5.009309</v>
      </c>
      <c r="CE9" s="641">
        <v>5.9611090000000004</v>
      </c>
      <c r="CF9" s="640">
        <v>5.6546469999999998</v>
      </c>
      <c r="CG9" s="640">
        <v>5.6907509999999997</v>
      </c>
      <c r="CH9" s="640">
        <v>5.3100560000000003</v>
      </c>
      <c r="CI9" s="641">
        <v>6.3293939999999997</v>
      </c>
      <c r="CJ9" s="640">
        <v>6.0583970000000003</v>
      </c>
      <c r="CK9" s="640">
        <v>5.7951459999999999</v>
      </c>
      <c r="CL9" s="640">
        <v>4.9107560000000001</v>
      </c>
      <c r="CM9" s="641">
        <v>7.258699</v>
      </c>
      <c r="CN9" s="640">
        <v>6.4710729999999996</v>
      </c>
      <c r="CO9" s="640">
        <v>6.1427800000000001</v>
      </c>
      <c r="CP9" s="640">
        <v>6.3668810000000002</v>
      </c>
      <c r="CQ9" s="642">
        <v>8.3881150000000009</v>
      </c>
      <c r="CR9" s="643">
        <v>6.9050229999999999</v>
      </c>
      <c r="CS9" s="643">
        <v>6.1447380000000003</v>
      </c>
      <c r="CT9" s="640">
        <v>6.5652179999999998</v>
      </c>
      <c r="CU9" s="641">
        <v>8.309564</v>
      </c>
      <c r="CV9" s="867">
        <v>6.6935789999999997</v>
      </c>
      <c r="CW9" s="867">
        <v>6.6179410000000001</v>
      </c>
      <c r="CX9" s="867">
        <v>6.537852</v>
      </c>
      <c r="CY9" s="868">
        <v>8.4378159999999998</v>
      </c>
      <c r="CZ9" s="596"/>
      <c r="DA9" s="595"/>
      <c r="DB9" s="595"/>
      <c r="DC9" s="595"/>
      <c r="DD9" s="595"/>
      <c r="DE9" s="595"/>
      <c r="DF9" s="595"/>
      <c r="DG9" s="597">
        <f>SUM(AB9:AE9)</f>
        <v>2.220837</v>
      </c>
      <c r="DH9" s="597">
        <f>SUM(AF9:AI9)</f>
        <v>2.310136</v>
      </c>
      <c r="DI9" s="597">
        <f>SUM(AJ9:AM9)</f>
        <v>3.2938150000000004</v>
      </c>
      <c r="DJ9" s="597">
        <f>SUM(AN9:AQ9)</f>
        <v>4.3772359999999999</v>
      </c>
      <c r="DK9" s="597">
        <f>SUM(AR9:AU9)</f>
        <v>4.8909570000000002</v>
      </c>
      <c r="DL9" s="597">
        <f>SUM(AV9:AY9)</f>
        <v>5.6727650000000001</v>
      </c>
      <c r="DM9" s="597">
        <f>SUM(AZ9:BC9)</f>
        <v>7.0037570000000002</v>
      </c>
      <c r="DN9" s="597">
        <f>SUM(BD9:BG9)</f>
        <v>8.3942000000000014</v>
      </c>
      <c r="DO9" s="597">
        <f>SUM(BH9:BK9)</f>
        <v>8.8065609999999985</v>
      </c>
      <c r="DP9" s="597">
        <f>SUM(BL9:BO9)</f>
        <v>13.058185000000002</v>
      </c>
      <c r="DQ9" s="597">
        <f>SUM(BP9:BS9)</f>
        <v>17.120445</v>
      </c>
      <c r="DR9" s="597">
        <f>SUM(BT9:BW9)</f>
        <v>17.612178</v>
      </c>
      <c r="DS9" s="597">
        <f>SUM(BX9:CA9)</f>
        <v>18.568069999999999</v>
      </c>
      <c r="DT9" s="597">
        <f>SUM(CB9:CE9)</f>
        <v>21.257914</v>
      </c>
      <c r="DU9" s="597">
        <f>SUM(CF9:CI9)</f>
        <v>22.984848</v>
      </c>
      <c r="DV9" s="597">
        <f>SUM(CJ9:CM9)</f>
        <v>24.022998000000001</v>
      </c>
      <c r="DW9" s="591">
        <f>SUM(CN9:CQ9)</f>
        <v>27.368848999999997</v>
      </c>
      <c r="DX9" s="591">
        <f>SUM(CR9:CU9)</f>
        <v>27.924543</v>
      </c>
      <c r="DY9" s="591">
        <f>SUM(CV9:CY9)</f>
        <v>28.287188</v>
      </c>
      <c r="DZ9" s="842">
        <v>29.648596999999999</v>
      </c>
      <c r="EA9" s="842">
        <v>30.739955999999999</v>
      </c>
      <c r="EB9" s="842">
        <v>31.537785</v>
      </c>
      <c r="EC9" s="842">
        <v>32.212736</v>
      </c>
      <c r="ED9" s="842">
        <v>32.855561999999999</v>
      </c>
      <c r="EE9" s="592"/>
    </row>
    <row r="10" spans="1:135" s="599" customFormat="1" ht="15">
      <c r="A10" s="258"/>
      <c r="B10" s="639" t="s">
        <v>310</v>
      </c>
      <c r="C10" s="435"/>
      <c r="D10" s="598"/>
      <c r="E10" s="432"/>
      <c r="F10" s="432"/>
      <c r="G10" s="433"/>
      <c r="H10" s="432"/>
      <c r="I10" s="432"/>
      <c r="J10" s="432"/>
      <c r="K10" s="433"/>
      <c r="L10" s="432"/>
      <c r="M10" s="432"/>
      <c r="N10" s="432"/>
      <c r="O10" s="433"/>
      <c r="P10" s="432"/>
      <c r="Q10" s="432"/>
      <c r="R10" s="432"/>
      <c r="S10" s="433"/>
      <c r="T10" s="432"/>
      <c r="U10" s="432"/>
      <c r="V10" s="432"/>
      <c r="W10" s="433"/>
      <c r="X10" s="432"/>
      <c r="Y10" s="432"/>
      <c r="Z10" s="432"/>
      <c r="AA10" s="433"/>
      <c r="AB10" s="644"/>
      <c r="AC10" s="644">
        <f t="shared" ref="AC10:BH10" si="7">AC9/AB9-1</f>
        <v>0.16177057914157777</v>
      </c>
      <c r="AD10" s="644">
        <f t="shared" si="7"/>
        <v>-0.13051902658870163</v>
      </c>
      <c r="AE10" s="645">
        <f t="shared" si="7"/>
        <v>6.1169397707968365E-2</v>
      </c>
      <c r="AF10" s="644">
        <f t="shared" si="7"/>
        <v>2.3335454738309114E-3</v>
      </c>
      <c r="AG10" s="644">
        <f t="shared" si="7"/>
        <v>9.1970234305247756E-2</v>
      </c>
      <c r="AH10" s="644">
        <f t="shared" si="7"/>
        <v>-8.6334977824613302E-2</v>
      </c>
      <c r="AI10" s="645">
        <f t="shared" si="7"/>
        <v>2.136508355289668E-2</v>
      </c>
      <c r="AJ10" s="644">
        <f t="shared" si="7"/>
        <v>0.21047845612246863</v>
      </c>
      <c r="AK10" s="644">
        <f t="shared" si="7"/>
        <v>0.25095019753727255</v>
      </c>
      <c r="AL10" s="644">
        <f t="shared" si="7"/>
        <v>-0.10675623340218354</v>
      </c>
      <c r="AM10" s="645">
        <f t="shared" si="7"/>
        <v>0.23583418068452211</v>
      </c>
      <c r="AN10" s="644">
        <f t="shared" si="7"/>
        <v>6.9735947717877833E-2</v>
      </c>
      <c r="AO10" s="644">
        <f t="shared" si="7"/>
        <v>4.4136005817386748E-2</v>
      </c>
      <c r="AP10" s="644">
        <f t="shared" si="7"/>
        <v>1.3493086592635706E-2</v>
      </c>
      <c r="AQ10" s="645">
        <f t="shared" si="7"/>
        <v>0.10575308047560927</v>
      </c>
      <c r="AR10" s="644">
        <f t="shared" si="7"/>
        <v>4.3449355658601307E-2</v>
      </c>
      <c r="AS10" s="644">
        <f t="shared" si="7"/>
        <v>0.10102333583018419</v>
      </c>
      <c r="AT10" s="644">
        <f t="shared" si="7"/>
        <v>-0.20943526370817844</v>
      </c>
      <c r="AU10" s="645">
        <f t="shared" si="7"/>
        <v>7.8166544057882481E-2</v>
      </c>
      <c r="AV10" s="644">
        <f t="shared" si="7"/>
        <v>9.0309632783304616E-2</v>
      </c>
      <c r="AW10" s="644">
        <f t="shared" si="7"/>
        <v>0.16464615608180577</v>
      </c>
      <c r="AX10" s="644">
        <f t="shared" si="7"/>
        <v>-6.5962432338697918E-2</v>
      </c>
      <c r="AY10" s="645">
        <f t="shared" si="7"/>
        <v>8.4300331737250378E-2</v>
      </c>
      <c r="AZ10" s="644">
        <f t="shared" si="7"/>
        <v>0.16076102968450279</v>
      </c>
      <c r="BA10" s="644">
        <f t="shared" si="7"/>
        <v>2.0418818889190726E-2</v>
      </c>
      <c r="BB10" s="644">
        <f t="shared" si="7"/>
        <v>-0.11148143280944611</v>
      </c>
      <c r="BC10" s="645">
        <f t="shared" si="7"/>
        <v>0.17956673883490248</v>
      </c>
      <c r="BD10" s="644">
        <f t="shared" si="7"/>
        <v>0.10217854112976799</v>
      </c>
      <c r="BE10" s="644">
        <f t="shared" si="7"/>
        <v>2.0011695838489052E-2</v>
      </c>
      <c r="BF10" s="644">
        <f t="shared" si="7"/>
        <v>-7.6884999264367426E-2</v>
      </c>
      <c r="BG10" s="645">
        <f t="shared" si="7"/>
        <v>0.1703911145889192</v>
      </c>
      <c r="BH10" s="644">
        <f t="shared" si="7"/>
        <v>3.1752111953408102E-2</v>
      </c>
      <c r="BI10" s="644">
        <f t="shared" ref="BI10:CN10" si="8">BI9/BH9-1</f>
        <v>4.2884896469537193E-2</v>
      </c>
      <c r="BJ10" s="644">
        <f t="shared" si="8"/>
        <v>-0.17938079261745665</v>
      </c>
      <c r="BK10" s="645">
        <f t="shared" si="8"/>
        <v>-5.8505454290376235E-3</v>
      </c>
      <c r="BL10" s="644">
        <f t="shared" si="8"/>
        <v>0.21366065007964252</v>
      </c>
      <c r="BM10" s="644">
        <f t="shared" si="8"/>
        <v>0.33270453710495618</v>
      </c>
      <c r="BN10" s="644">
        <f t="shared" si="8"/>
        <v>5.5428757239338156E-2</v>
      </c>
      <c r="BO10" s="645">
        <f t="shared" si="8"/>
        <v>0.16946655871242866</v>
      </c>
      <c r="BP10" s="644">
        <f t="shared" si="8"/>
        <v>6.4229775353703777E-2</v>
      </c>
      <c r="BQ10" s="644">
        <f t="shared" si="8"/>
        <v>-4.6057780791569414E-2</v>
      </c>
      <c r="BR10" s="644">
        <f t="shared" si="8"/>
        <v>-2.6252795904122328E-2</v>
      </c>
      <c r="BS10" s="645">
        <f t="shared" si="8"/>
        <v>0.23760597029155162</v>
      </c>
      <c r="BT10" s="644">
        <f t="shared" si="8"/>
        <v>-5.9232967612489751E-2</v>
      </c>
      <c r="BU10" s="644">
        <f t="shared" si="8"/>
        <v>-0.119164241123492</v>
      </c>
      <c r="BV10" s="644">
        <f t="shared" si="8"/>
        <v>3.3756022253968343E-2</v>
      </c>
      <c r="BW10" s="645">
        <f t="shared" si="8"/>
        <v>0.14675979661865024</v>
      </c>
      <c r="BX10" s="644">
        <f t="shared" si="8"/>
        <v>-4.8604196690950396E-2</v>
      </c>
      <c r="BY10" s="644">
        <f t="shared" si="8"/>
        <v>7.957145669386323E-3</v>
      </c>
      <c r="BZ10" s="644">
        <f t="shared" si="8"/>
        <v>-2.8731287451196019E-2</v>
      </c>
      <c r="CA10" s="645">
        <f t="shared" si="8"/>
        <v>0.10673018833026804</v>
      </c>
      <c r="CB10" s="644">
        <f t="shared" si="8"/>
        <v>5.005966589526567E-2</v>
      </c>
      <c r="CC10" s="644">
        <f t="shared" si="8"/>
        <v>-1.7801736936224666E-2</v>
      </c>
      <c r="CD10" s="644">
        <f t="shared" si="8"/>
        <v>-1.7311051008199296E-2</v>
      </c>
      <c r="CE10" s="645">
        <f t="shared" si="8"/>
        <v>0.19000624637050745</v>
      </c>
      <c r="CF10" s="644">
        <f t="shared" si="8"/>
        <v>-5.1410232559075952E-2</v>
      </c>
      <c r="CG10" s="644">
        <f t="shared" si="8"/>
        <v>6.3848371083110589E-3</v>
      </c>
      <c r="CH10" s="644">
        <f t="shared" si="8"/>
        <v>-6.689714591272744E-2</v>
      </c>
      <c r="CI10" s="645">
        <f t="shared" si="8"/>
        <v>0.19196370057114254</v>
      </c>
      <c r="CJ10" s="644">
        <f t="shared" si="8"/>
        <v>-4.2815631322682624E-2</v>
      </c>
      <c r="CK10" s="644">
        <f t="shared" si="8"/>
        <v>-4.3452253129004359E-2</v>
      </c>
      <c r="CL10" s="644">
        <f t="shared" si="8"/>
        <v>-0.15260875222125547</v>
      </c>
      <c r="CM10" s="645">
        <f t="shared" si="8"/>
        <v>0.47812251311203413</v>
      </c>
      <c r="CN10" s="644">
        <f t="shared" si="8"/>
        <v>-0.10850787448274135</v>
      </c>
      <c r="CO10" s="644">
        <f t="shared" ref="CO10:CY10" si="9">CO9/CN9-1</f>
        <v>-5.0732390130662997E-2</v>
      </c>
      <c r="CP10" s="644">
        <f t="shared" si="9"/>
        <v>3.6482016285785956E-2</v>
      </c>
      <c r="CQ10" s="645">
        <f t="shared" si="9"/>
        <v>0.31746062161362842</v>
      </c>
      <c r="CR10" s="644">
        <f t="shared" si="9"/>
        <v>-0.17680873473956915</v>
      </c>
      <c r="CS10" s="644">
        <f t="shared" si="9"/>
        <v>-0.11010607785086302</v>
      </c>
      <c r="CT10" s="644">
        <f t="shared" si="9"/>
        <v>6.8429280467287468E-2</v>
      </c>
      <c r="CU10" s="645">
        <f t="shared" si="9"/>
        <v>0.26569506145873611</v>
      </c>
      <c r="CV10" s="644">
        <f t="shared" si="9"/>
        <v>-0.19447289893910202</v>
      </c>
      <c r="CW10" s="644">
        <f t="shared" si="9"/>
        <v>-1.130008325889631E-2</v>
      </c>
      <c r="CX10" s="644">
        <f t="shared" si="9"/>
        <v>-1.2101800242703908E-2</v>
      </c>
      <c r="CY10" s="645">
        <f t="shared" si="9"/>
        <v>0.29060982108496791</v>
      </c>
      <c r="DA10" s="432"/>
      <c r="DB10" s="432"/>
      <c r="DC10" s="432"/>
      <c r="DD10" s="432"/>
      <c r="DE10" s="432"/>
      <c r="DF10" s="432"/>
      <c r="DG10" s="432"/>
      <c r="DH10" s="432"/>
      <c r="DI10" s="432"/>
      <c r="DJ10" s="432"/>
      <c r="DK10" s="432"/>
      <c r="DL10" s="432"/>
      <c r="DM10" s="432"/>
      <c r="DN10" s="432"/>
      <c r="DO10" s="432"/>
      <c r="DP10" s="432"/>
      <c r="DQ10" s="432"/>
      <c r="DR10" s="432"/>
      <c r="DS10" s="432"/>
      <c r="DT10" s="432"/>
      <c r="DU10" s="432"/>
      <c r="DV10" s="432"/>
      <c r="DW10" s="432"/>
      <c r="DX10" s="432"/>
      <c r="DY10" s="432"/>
      <c r="DZ10" s="432"/>
      <c r="EA10" s="432"/>
      <c r="EB10" s="432"/>
      <c r="EC10" s="432"/>
      <c r="ED10" s="432"/>
      <c r="EE10" s="435"/>
    </row>
    <row r="11" spans="1:135" s="599" customFormat="1" ht="15">
      <c r="A11" s="258"/>
      <c r="B11" s="639" t="s">
        <v>240</v>
      </c>
      <c r="C11" s="435"/>
      <c r="D11" s="598"/>
      <c r="E11" s="432"/>
      <c r="F11" s="432"/>
      <c r="G11" s="433"/>
      <c r="H11" s="432"/>
      <c r="I11" s="432"/>
      <c r="J11" s="432"/>
      <c r="K11" s="433"/>
      <c r="L11" s="432"/>
      <c r="M11" s="432"/>
      <c r="N11" s="432"/>
      <c r="O11" s="433"/>
      <c r="P11" s="432"/>
      <c r="Q11" s="432"/>
      <c r="R11" s="432"/>
      <c r="S11" s="433"/>
      <c r="T11" s="432"/>
      <c r="U11" s="432"/>
      <c r="V11" s="432"/>
      <c r="W11" s="433"/>
      <c r="X11" s="432"/>
      <c r="Y11" s="432"/>
      <c r="Z11" s="432"/>
      <c r="AA11" s="433"/>
      <c r="AB11" s="644"/>
      <c r="AC11" s="644"/>
      <c r="AD11" s="644"/>
      <c r="AE11" s="645"/>
      <c r="AF11" s="644">
        <f t="shared" ref="AF11:BK11" si="10">AF9/AB9-1</f>
        <v>7.4428301443315581E-2</v>
      </c>
      <c r="AG11" s="644">
        <f t="shared" si="10"/>
        <v>9.8755684948970135E-3</v>
      </c>
      <c r="AH11" s="644">
        <f t="shared" si="10"/>
        <v>6.1193990321860348E-2</v>
      </c>
      <c r="AI11" s="645">
        <f t="shared" si="10"/>
        <v>2.1388753701316876E-2</v>
      </c>
      <c r="AJ11" s="644">
        <f t="shared" si="10"/>
        <v>0.23349067509933152</v>
      </c>
      <c r="AK11" s="644">
        <f t="shared" si="10"/>
        <v>0.41307460148639441</v>
      </c>
      <c r="AL11" s="644">
        <f t="shared" si="10"/>
        <v>0.38149108139232246</v>
      </c>
      <c r="AM11" s="645">
        <f t="shared" si="10"/>
        <v>0.67158044286818863</v>
      </c>
      <c r="AN11" s="644">
        <f t="shared" si="10"/>
        <v>0.47722553854139638</v>
      </c>
      <c r="AO11" s="644">
        <f t="shared" si="10"/>
        <v>0.23300222226320444</v>
      </c>
      <c r="AP11" s="644">
        <f t="shared" si="10"/>
        <v>0.39899014663906995</v>
      </c>
      <c r="AQ11" s="645">
        <f t="shared" si="10"/>
        <v>0.25173561985826853</v>
      </c>
      <c r="AR11" s="644">
        <f t="shared" si="10"/>
        <v>0.22097675485473611</v>
      </c>
      <c r="AS11" s="644">
        <f t="shared" si="10"/>
        <v>0.28749884316927687</v>
      </c>
      <c r="AT11" s="644">
        <f t="shared" si="10"/>
        <v>4.3000755418676206E-3</v>
      </c>
      <c r="AU11" s="645">
        <f t="shared" si="10"/>
        <v>-2.0755392172809639E-2</v>
      </c>
      <c r="AV11" s="644">
        <f t="shared" si="10"/>
        <v>2.3221513315516917E-2</v>
      </c>
      <c r="AW11" s="644">
        <f t="shared" si="10"/>
        <v>8.2348542053903184E-2</v>
      </c>
      <c r="AX11" s="644">
        <f t="shared" si="10"/>
        <v>0.27877472036472195</v>
      </c>
      <c r="AY11" s="645">
        <f t="shared" si="10"/>
        <v>0.28604978623250421</v>
      </c>
      <c r="AZ11" s="644">
        <f t="shared" si="10"/>
        <v>0.36914911985324506</v>
      </c>
      <c r="BA11" s="644">
        <f t="shared" si="10"/>
        <v>0.19959656456006836</v>
      </c>
      <c r="BB11" s="644">
        <f t="shared" si="10"/>
        <v>0.14113592177924361</v>
      </c>
      <c r="BC11" s="645">
        <f t="shared" si="10"/>
        <v>0.24139589228372493</v>
      </c>
      <c r="BD11" s="644">
        <f t="shared" si="10"/>
        <v>0.17874384005952804</v>
      </c>
      <c r="BE11" s="644">
        <f t="shared" si="10"/>
        <v>0.17827354905814952</v>
      </c>
      <c r="BF11" s="644">
        <f t="shared" si="10"/>
        <v>0.22415223301948539</v>
      </c>
      <c r="BG11" s="645">
        <f t="shared" si="10"/>
        <v>0.21462978673453592</v>
      </c>
      <c r="BH11" s="644">
        <f t="shared" si="10"/>
        <v>0.13701800655664065</v>
      </c>
      <c r="BI11" s="644">
        <f t="shared" si="10"/>
        <v>0.16251500927846307</v>
      </c>
      <c r="BJ11" s="644">
        <f t="shared" si="10"/>
        <v>3.3438027465886311E-2</v>
      </c>
      <c r="BK11" s="645">
        <f t="shared" si="10"/>
        <v>-0.12218074921138078</v>
      </c>
      <c r="BL11" s="644">
        <f t="shared" ref="BL11:CQ11" si="11">BL9/BH9-1</f>
        <v>3.2587837932771313E-2</v>
      </c>
      <c r="BM11" s="644">
        <f t="shared" si="11"/>
        <v>0.3195459069653892</v>
      </c>
      <c r="BN11" s="644">
        <f t="shared" si="11"/>
        <v>0.69711686514244042</v>
      </c>
      <c r="BO11" s="645">
        <f t="shared" si="11"/>
        <v>0.99640145743225905</v>
      </c>
      <c r="BP11" s="644">
        <f t="shared" si="11"/>
        <v>0.75059632560346912</v>
      </c>
      <c r="BQ11" s="644">
        <f t="shared" si="11"/>
        <v>0.25306675057322225</v>
      </c>
      <c r="BR11" s="644">
        <f t="shared" si="11"/>
        <v>0.15608963328586389</v>
      </c>
      <c r="BS11" s="645">
        <f t="shared" si="11"/>
        <v>0.22344963324306977</v>
      </c>
      <c r="BT11" s="644">
        <f t="shared" si="11"/>
        <v>8.1515578117643317E-2</v>
      </c>
      <c r="BU11" s="644">
        <f t="shared" si="11"/>
        <v>-1.367613461424888E-3</v>
      </c>
      <c r="BV11" s="644">
        <f t="shared" si="11"/>
        <v>6.0174796148074527E-2</v>
      </c>
      <c r="BW11" s="645">
        <f t="shared" si="11"/>
        <v>-1.7647084132457636E-2</v>
      </c>
      <c r="BX11" s="644">
        <f t="shared" si="11"/>
        <v>-6.5484765628828212E-3</v>
      </c>
      <c r="BY11" s="644">
        <f t="shared" si="11"/>
        <v>0.13682551126420495</v>
      </c>
      <c r="BZ11" s="644">
        <f t="shared" si="11"/>
        <v>6.8107974172415098E-2</v>
      </c>
      <c r="CA11" s="645">
        <f t="shared" si="11"/>
        <v>3.0823842009873426E-2</v>
      </c>
      <c r="CB11" s="644">
        <f t="shared" si="11"/>
        <v>0.13772473598577384</v>
      </c>
      <c r="CC11" s="644">
        <f t="shared" si="11"/>
        <v>0.10864957337824555</v>
      </c>
      <c r="CD11" s="644">
        <f t="shared" si="11"/>
        <v>0.12168514231691963</v>
      </c>
      <c r="CE11" s="645">
        <f t="shared" si="11"/>
        <v>0.20608648782949279</v>
      </c>
      <c r="CF11" s="644">
        <f t="shared" si="11"/>
        <v>8.9539326347129355E-2</v>
      </c>
      <c r="CG11" s="644">
        <f t="shared" si="11"/>
        <v>0.11636916771635342</v>
      </c>
      <c r="CH11" s="644">
        <f t="shared" si="11"/>
        <v>6.0037621955443488E-2</v>
      </c>
      <c r="CI11" s="645">
        <f t="shared" si="11"/>
        <v>6.1781289354044588E-2</v>
      </c>
      <c r="CJ11" s="644">
        <f t="shared" si="11"/>
        <v>7.1401450877481842E-2</v>
      </c>
      <c r="CK11" s="644">
        <f t="shared" si="11"/>
        <v>1.8344678936049075E-2</v>
      </c>
      <c r="CL11" s="644">
        <f t="shared" si="11"/>
        <v>-7.5196947075511056E-2</v>
      </c>
      <c r="CM11" s="645">
        <f t="shared" si="11"/>
        <v>0.14682369275794804</v>
      </c>
      <c r="CN11" s="644">
        <f t="shared" si="11"/>
        <v>6.8116368075581635E-2</v>
      </c>
      <c r="CO11" s="644">
        <f t="shared" si="11"/>
        <v>5.9987099548484135E-2</v>
      </c>
      <c r="CP11" s="644">
        <f t="shared" si="11"/>
        <v>0.29651748121877763</v>
      </c>
      <c r="CQ11" s="645">
        <f t="shared" si="11"/>
        <v>0.15559482491283916</v>
      </c>
      <c r="CR11" s="644">
        <f t="shared" ref="CR11:CY11" si="12">CR9/CN9-1</f>
        <v>6.7059975988526199E-2</v>
      </c>
      <c r="CS11" s="644">
        <f t="shared" si="12"/>
        <v>3.1874818893085077E-4</v>
      </c>
      <c r="CT11" s="644">
        <f t="shared" si="12"/>
        <v>3.115135966888638E-2</v>
      </c>
      <c r="CU11" s="645">
        <f t="shared" si="12"/>
        <v>-9.3645592603345262E-3</v>
      </c>
      <c r="CV11" s="644">
        <f t="shared" si="12"/>
        <v>-3.0621766212798995E-2</v>
      </c>
      <c r="CW11" s="644">
        <f t="shared" si="12"/>
        <v>7.7009467287295186E-2</v>
      </c>
      <c r="CX11" s="644">
        <f t="shared" si="12"/>
        <v>-4.168330739360071E-3</v>
      </c>
      <c r="CY11" s="645">
        <f t="shared" si="12"/>
        <v>1.543426345834753E-2</v>
      </c>
      <c r="DA11" s="432"/>
      <c r="DB11" s="432"/>
      <c r="DC11" s="432"/>
      <c r="DD11" s="432"/>
      <c r="DE11" s="432"/>
      <c r="DF11" s="432"/>
      <c r="DG11" s="432"/>
      <c r="DH11" s="432">
        <f t="shared" ref="DH11:ED11" si="13">DH9/DG9-1</f>
        <v>4.0209614663300419E-2</v>
      </c>
      <c r="DI11" s="432">
        <f t="shared" si="13"/>
        <v>0.42580999560199073</v>
      </c>
      <c r="DJ11" s="432">
        <f t="shared" si="13"/>
        <v>0.32892588077958207</v>
      </c>
      <c r="DK11" s="432">
        <f t="shared" si="13"/>
        <v>0.11736196083555939</v>
      </c>
      <c r="DL11" s="432">
        <f t="shared" si="13"/>
        <v>0.15984765353692532</v>
      </c>
      <c r="DM11" s="432">
        <f t="shared" si="13"/>
        <v>0.23462843957047408</v>
      </c>
      <c r="DN11" s="432">
        <f t="shared" si="13"/>
        <v>0.19852816138538243</v>
      </c>
      <c r="DO11" s="432">
        <f t="shared" si="13"/>
        <v>4.9124514545757503E-2</v>
      </c>
      <c r="DP11" s="432">
        <f t="shared" si="13"/>
        <v>0.48277914613888484</v>
      </c>
      <c r="DQ11" s="432">
        <f t="shared" si="13"/>
        <v>0.31108917510358425</v>
      </c>
      <c r="DR11" s="432">
        <f t="shared" si="13"/>
        <v>2.8721975392578925E-2</v>
      </c>
      <c r="DS11" s="432">
        <f t="shared" si="13"/>
        <v>5.4274491207163544E-2</v>
      </c>
      <c r="DT11" s="432">
        <f t="shared" si="13"/>
        <v>0.14486395193469215</v>
      </c>
      <c r="DU11" s="432">
        <f t="shared" si="13"/>
        <v>8.123722769788233E-2</v>
      </c>
      <c r="DV11" s="432">
        <f t="shared" si="13"/>
        <v>4.5166711565810758E-2</v>
      </c>
      <c r="DW11" s="432">
        <f t="shared" si="13"/>
        <v>0.1392769961517708</v>
      </c>
      <c r="DX11" s="432">
        <f t="shared" si="13"/>
        <v>2.0303886363653989E-2</v>
      </c>
      <c r="DY11" s="432">
        <f t="shared" si="13"/>
        <v>1.298660465096968E-2</v>
      </c>
      <c r="DZ11" s="432">
        <f t="shared" si="13"/>
        <v>4.8128113688783669E-2</v>
      </c>
      <c r="EA11" s="432">
        <f t="shared" si="13"/>
        <v>3.6809802500941347E-2</v>
      </c>
      <c r="EB11" s="432">
        <f t="shared" si="13"/>
        <v>2.5954136043655929E-2</v>
      </c>
      <c r="EC11" s="432">
        <f t="shared" si="13"/>
        <v>2.1401344450791226E-2</v>
      </c>
      <c r="ED11" s="432">
        <f t="shared" si="13"/>
        <v>1.9955647356374895E-2</v>
      </c>
      <c r="EE11" s="435"/>
    </row>
    <row r="12" spans="1:135" s="658" customFormat="1" ht="15">
      <c r="A12" s="590"/>
      <c r="B12" s="638" t="s">
        <v>340</v>
      </c>
      <c r="C12" s="592"/>
      <c r="D12" s="593"/>
      <c r="E12" s="592"/>
      <c r="F12" s="592"/>
      <c r="G12" s="594"/>
      <c r="H12" s="592"/>
      <c r="I12" s="592"/>
      <c r="J12" s="592"/>
      <c r="K12" s="594"/>
      <c r="L12" s="592"/>
      <c r="M12" s="592"/>
      <c r="N12" s="592"/>
      <c r="O12" s="594"/>
      <c r="P12" s="592"/>
      <c r="Q12" s="592"/>
      <c r="R12" s="592"/>
      <c r="S12" s="594"/>
      <c r="T12" s="592"/>
      <c r="U12" s="592"/>
      <c r="V12" s="592"/>
      <c r="W12" s="594"/>
      <c r="X12" s="592"/>
      <c r="Y12" s="592"/>
      <c r="Z12" s="592"/>
      <c r="AA12" s="594"/>
      <c r="AB12" s="640">
        <v>3.2404269999999999</v>
      </c>
      <c r="AC12" s="640">
        <v>3.0376780000000001</v>
      </c>
      <c r="AD12" s="640">
        <v>3.134261</v>
      </c>
      <c r="AE12" s="641">
        <v>3.20628</v>
      </c>
      <c r="AF12" s="640">
        <v>3.139783</v>
      </c>
      <c r="AG12" s="640">
        <v>3.0009079999999999</v>
      </c>
      <c r="AH12" s="640">
        <v>3.050624</v>
      </c>
      <c r="AI12" s="641">
        <v>3.0279159999999998</v>
      </c>
      <c r="AJ12" s="640">
        <v>3.2518790000000002</v>
      </c>
      <c r="AK12" s="640">
        <v>3.0756670000000002</v>
      </c>
      <c r="AL12" s="640">
        <v>3.163643</v>
      </c>
      <c r="AM12" s="641">
        <v>3.3721399999999999</v>
      </c>
      <c r="AN12" s="640">
        <v>3.414012</v>
      </c>
      <c r="AO12" s="640">
        <v>3.1029080000000002</v>
      </c>
      <c r="AP12" s="640">
        <v>2.9828100000000002</v>
      </c>
      <c r="AQ12" s="641">
        <v>3.3373650000000001</v>
      </c>
      <c r="AR12" s="640">
        <v>3.4170240000000001</v>
      </c>
      <c r="AS12" s="640">
        <v>3.2414540000000001</v>
      </c>
      <c r="AT12" s="640">
        <v>3.212704</v>
      </c>
      <c r="AU12" s="641">
        <v>3.4333209999999998</v>
      </c>
      <c r="AV12" s="640">
        <v>3.614115</v>
      </c>
      <c r="AW12" s="640">
        <v>3.4073709999999999</v>
      </c>
      <c r="AX12" s="640">
        <v>3.2415579999999999</v>
      </c>
      <c r="AY12" s="641">
        <v>3.6896580000000001</v>
      </c>
      <c r="AZ12" s="640">
        <v>3.7737690000000002</v>
      </c>
      <c r="BA12" s="640">
        <v>3.5567069999999998</v>
      </c>
      <c r="BB12" s="640">
        <v>3.4530910000000001</v>
      </c>
      <c r="BC12" s="641">
        <v>3.8849969999999998</v>
      </c>
      <c r="BD12" s="640">
        <v>3.787207</v>
      </c>
      <c r="BE12" s="640">
        <v>3.6696019999999998</v>
      </c>
      <c r="BF12" s="640">
        <v>3.4638149999999999</v>
      </c>
      <c r="BG12" s="641">
        <v>4.1357299999999997</v>
      </c>
      <c r="BH12" s="640">
        <v>4.0036360000000002</v>
      </c>
      <c r="BI12" s="640">
        <v>3.777142</v>
      </c>
      <c r="BJ12" s="640">
        <v>3.49011</v>
      </c>
      <c r="BK12" s="641">
        <v>3.4100109999999999</v>
      </c>
      <c r="BL12" s="640">
        <v>2.2443780000000002</v>
      </c>
      <c r="BM12" s="640">
        <v>2.4766910000000002</v>
      </c>
      <c r="BN12" s="640">
        <v>2.9357280000000001</v>
      </c>
      <c r="BO12" s="641">
        <v>3.404042</v>
      </c>
      <c r="BP12" s="640">
        <v>3.3708610000000001</v>
      </c>
      <c r="BQ12" s="640">
        <v>3.2927650000000002</v>
      </c>
      <c r="BR12" s="640">
        <v>3.3262299999999998</v>
      </c>
      <c r="BS12" s="641">
        <v>3.3134709999999998</v>
      </c>
      <c r="BT12" s="640">
        <v>2.8481299999999998</v>
      </c>
      <c r="BU12" s="640">
        <v>2.6119330000000001</v>
      </c>
      <c r="BV12" s="640">
        <v>3.3149479999999998</v>
      </c>
      <c r="BW12" s="641">
        <v>3.703195</v>
      </c>
      <c r="BX12" s="640">
        <v>3.825895</v>
      </c>
      <c r="BY12" s="640">
        <v>3.5339930000000002</v>
      </c>
      <c r="BZ12" s="640">
        <v>3.2269709999999998</v>
      </c>
      <c r="CA12" s="641">
        <v>3.3413740000000001</v>
      </c>
      <c r="CB12" s="640">
        <v>3.337726</v>
      </c>
      <c r="CC12" s="640">
        <v>3.291703</v>
      </c>
      <c r="CD12" s="640">
        <v>3.2531080000000001</v>
      </c>
      <c r="CE12" s="641">
        <v>3.612581</v>
      </c>
      <c r="CF12" s="640">
        <v>3.6615790000000001</v>
      </c>
      <c r="CG12" s="640">
        <v>3.431403</v>
      </c>
      <c r="CH12" s="640">
        <v>3.2016209999999998</v>
      </c>
      <c r="CI12" s="641">
        <v>3.373796</v>
      </c>
      <c r="CJ12" s="640">
        <v>3.4355009999999999</v>
      </c>
      <c r="CK12" s="640">
        <v>3.245762</v>
      </c>
      <c r="CL12" s="640">
        <v>3.155964</v>
      </c>
      <c r="CM12" s="641">
        <v>3.4282330000000001</v>
      </c>
      <c r="CN12" s="640">
        <v>3.3284069999999999</v>
      </c>
      <c r="CO12" s="640">
        <v>3.0989450000000001</v>
      </c>
      <c r="CP12" s="640">
        <v>3.0065360000000001</v>
      </c>
      <c r="CQ12" s="642">
        <v>3.4802559999999998</v>
      </c>
      <c r="CR12" s="643">
        <v>3.4446340000000002</v>
      </c>
      <c r="CS12" s="643">
        <v>3.2970989999999998</v>
      </c>
      <c r="CT12" s="640">
        <v>3.246686</v>
      </c>
      <c r="CU12" s="641">
        <v>3.3861569999999999</v>
      </c>
      <c r="CV12" s="867">
        <v>3.3935970000000002</v>
      </c>
      <c r="CW12" s="867">
        <v>3.1585549999999998</v>
      </c>
      <c r="CX12" s="867">
        <v>3.122207</v>
      </c>
      <c r="CY12" s="868">
        <v>3.2359900000000001</v>
      </c>
      <c r="CZ12" s="596"/>
      <c r="DA12" s="595"/>
      <c r="DB12" s="595"/>
      <c r="DC12" s="595"/>
      <c r="DD12" s="595"/>
      <c r="DE12" s="595"/>
      <c r="DF12" s="595"/>
      <c r="DG12" s="597">
        <f>SUM(AB12:AE12)</f>
        <v>12.618646</v>
      </c>
      <c r="DH12" s="597">
        <f>SUM(AF12:AI12)</f>
        <v>12.219230999999999</v>
      </c>
      <c r="DI12" s="597">
        <f>SUM(AJ12:AM12)</f>
        <v>12.863329</v>
      </c>
      <c r="DJ12" s="597">
        <f>SUM(AN12:AQ12)</f>
        <v>12.837095000000001</v>
      </c>
      <c r="DK12" s="597">
        <f>SUM(AR12:AU12)</f>
        <v>13.304503</v>
      </c>
      <c r="DL12" s="597">
        <f>SUM(AV12:AY12)</f>
        <v>13.952701999999999</v>
      </c>
      <c r="DM12" s="597">
        <f>SUM(AZ12:BC12)</f>
        <v>14.668564</v>
      </c>
      <c r="DN12" s="597">
        <f>SUM(BD12:BG12)</f>
        <v>15.056353999999999</v>
      </c>
      <c r="DO12" s="597">
        <f>SUM(BH12:BK12)</f>
        <v>14.680899</v>
      </c>
      <c r="DP12" s="597">
        <f>SUM(BL12:BO12)</f>
        <v>11.060839</v>
      </c>
      <c r="DQ12" s="597">
        <f>SUM(BP12:BS12)</f>
        <v>13.303326999999999</v>
      </c>
      <c r="DR12" s="597">
        <f>SUM(BT12:BW12)</f>
        <v>12.478206</v>
      </c>
      <c r="DS12" s="597">
        <f>SUM(BX12:CA12)</f>
        <v>13.928233000000001</v>
      </c>
      <c r="DT12" s="597">
        <f>SUM(CB12:CE12)</f>
        <v>13.495118</v>
      </c>
      <c r="DU12" s="597">
        <f>SUM(CF12:CI12)</f>
        <v>13.668399000000001</v>
      </c>
      <c r="DV12" s="597">
        <f>SUM(CJ12:CM12)</f>
        <v>13.265459999999999</v>
      </c>
      <c r="DW12" s="591">
        <f>SUM(CN12:CQ12)</f>
        <v>12.914144</v>
      </c>
      <c r="DX12" s="591">
        <f>SUM(CR12:CU12)</f>
        <v>13.374576000000001</v>
      </c>
      <c r="DY12" s="591">
        <f>SUM(CV12:CY12)</f>
        <v>12.910349</v>
      </c>
      <c r="DZ12" s="842">
        <v>12.933814999999999</v>
      </c>
      <c r="EA12" s="842">
        <v>12.580867</v>
      </c>
      <c r="EB12" s="842">
        <v>12.512722</v>
      </c>
      <c r="EC12" s="842">
        <v>12.441662000000001</v>
      </c>
      <c r="ED12" s="842">
        <v>12.518022</v>
      </c>
      <c r="EE12" s="592"/>
    </row>
    <row r="13" spans="1:135" s="599" customFormat="1" ht="15">
      <c r="A13" s="258"/>
      <c r="B13" s="639" t="s">
        <v>310</v>
      </c>
      <c r="C13" s="435"/>
      <c r="D13" s="598"/>
      <c r="E13" s="432"/>
      <c r="F13" s="432"/>
      <c r="G13" s="433"/>
      <c r="H13" s="432"/>
      <c r="I13" s="432"/>
      <c r="J13" s="432"/>
      <c r="K13" s="433"/>
      <c r="L13" s="432"/>
      <c r="M13" s="432"/>
      <c r="N13" s="432"/>
      <c r="O13" s="433"/>
      <c r="P13" s="432"/>
      <c r="Q13" s="432"/>
      <c r="R13" s="432"/>
      <c r="S13" s="433"/>
      <c r="T13" s="432"/>
      <c r="U13" s="432"/>
      <c r="V13" s="432"/>
      <c r="W13" s="433"/>
      <c r="X13" s="432"/>
      <c r="Y13" s="432"/>
      <c r="Z13" s="432"/>
      <c r="AA13" s="433"/>
      <c r="AB13" s="644"/>
      <c r="AC13" s="644">
        <f t="shared" ref="AC13:BH13" si="14">AC12/AB12-1</f>
        <v>-6.256860592755209E-2</v>
      </c>
      <c r="AD13" s="644">
        <f t="shared" si="14"/>
        <v>3.1795009214274694E-2</v>
      </c>
      <c r="AE13" s="645">
        <f t="shared" si="14"/>
        <v>2.2977984284014763E-2</v>
      </c>
      <c r="AF13" s="644">
        <f t="shared" si="14"/>
        <v>-2.0739611013386283E-2</v>
      </c>
      <c r="AG13" s="644">
        <f t="shared" si="14"/>
        <v>-4.4230763718384414E-2</v>
      </c>
      <c r="AH13" s="644">
        <f t="shared" si="14"/>
        <v>1.6566985725653627E-2</v>
      </c>
      <c r="AI13" s="645">
        <f t="shared" si="14"/>
        <v>-7.4437229891327616E-3</v>
      </c>
      <c r="AJ13" s="644">
        <f t="shared" si="14"/>
        <v>7.3966054540482773E-2</v>
      </c>
      <c r="AK13" s="644">
        <f t="shared" si="14"/>
        <v>-5.4187748068116881E-2</v>
      </c>
      <c r="AL13" s="644">
        <f t="shared" si="14"/>
        <v>2.8603876817613783E-2</v>
      </c>
      <c r="AM13" s="645">
        <f t="shared" si="14"/>
        <v>6.5904085890854391E-2</v>
      </c>
      <c r="AN13" s="644">
        <f t="shared" si="14"/>
        <v>1.2417040810879687E-2</v>
      </c>
      <c r="AO13" s="644">
        <f t="shared" si="14"/>
        <v>-9.1125631661517215E-2</v>
      </c>
      <c r="AP13" s="644">
        <f t="shared" si="14"/>
        <v>-3.8704982551851397E-2</v>
      </c>
      <c r="AQ13" s="645">
        <f t="shared" si="14"/>
        <v>0.11886610276886556</v>
      </c>
      <c r="AR13" s="644">
        <f t="shared" si="14"/>
        <v>2.3868830649329542E-2</v>
      </c>
      <c r="AS13" s="644">
        <f t="shared" si="14"/>
        <v>-5.1380967766102903E-2</v>
      </c>
      <c r="AT13" s="644">
        <f t="shared" si="14"/>
        <v>-8.8694764756803712E-3</v>
      </c>
      <c r="AU13" s="645">
        <f t="shared" si="14"/>
        <v>6.8670191838401395E-2</v>
      </c>
      <c r="AV13" s="644">
        <f t="shared" si="14"/>
        <v>5.2658635764031514E-2</v>
      </c>
      <c r="AW13" s="644">
        <f t="shared" si="14"/>
        <v>-5.7204599189566441E-2</v>
      </c>
      <c r="AX13" s="644">
        <f t="shared" si="14"/>
        <v>-4.8663030823470677E-2</v>
      </c>
      <c r="AY13" s="645">
        <f t="shared" si="14"/>
        <v>0.13823599639432649</v>
      </c>
      <c r="AZ13" s="644">
        <f t="shared" si="14"/>
        <v>2.2796421782181442E-2</v>
      </c>
      <c r="BA13" s="644">
        <f t="shared" si="14"/>
        <v>-5.7518623953930481E-2</v>
      </c>
      <c r="BB13" s="644">
        <f t="shared" si="14"/>
        <v>-2.9132565600708649E-2</v>
      </c>
      <c r="BC13" s="645">
        <f t="shared" si="14"/>
        <v>0.12507808221677319</v>
      </c>
      <c r="BD13" s="644">
        <f t="shared" si="14"/>
        <v>-2.5171190608383909E-2</v>
      </c>
      <c r="BE13" s="644">
        <f t="shared" si="14"/>
        <v>-3.1053227351977353E-2</v>
      </c>
      <c r="BF13" s="644">
        <f t="shared" si="14"/>
        <v>-5.6078833617378643E-2</v>
      </c>
      <c r="BG13" s="645">
        <f t="shared" si="14"/>
        <v>0.19398120280673181</v>
      </c>
      <c r="BH13" s="644">
        <f t="shared" si="14"/>
        <v>-3.1939705928578421E-2</v>
      </c>
      <c r="BI13" s="644">
        <f t="shared" ref="BI13:CN13" si="15">BI12/BH12-1</f>
        <v>-5.6572075982931569E-2</v>
      </c>
      <c r="BJ13" s="644">
        <f t="shared" si="15"/>
        <v>-7.5991847804504076E-2</v>
      </c>
      <c r="BK13" s="645">
        <f t="shared" si="15"/>
        <v>-2.2950279504084459E-2</v>
      </c>
      <c r="BL13" s="644">
        <f t="shared" si="15"/>
        <v>-0.34182675657057993</v>
      </c>
      <c r="BM13" s="644">
        <f t="shared" si="15"/>
        <v>0.10350885635129203</v>
      </c>
      <c r="BN13" s="644">
        <f t="shared" si="15"/>
        <v>0.18534286271480771</v>
      </c>
      <c r="BO13" s="645">
        <f t="shared" si="15"/>
        <v>0.15952227181809753</v>
      </c>
      <c r="BP13" s="644">
        <f t="shared" si="15"/>
        <v>-9.7475295545706997E-3</v>
      </c>
      <c r="BQ13" s="644">
        <f t="shared" si="15"/>
        <v>-2.3167968065132327E-2</v>
      </c>
      <c r="BR13" s="644">
        <f t="shared" si="15"/>
        <v>1.0163191117495307E-2</v>
      </c>
      <c r="BS13" s="645">
        <f t="shared" si="15"/>
        <v>-3.8358742480225638E-3</v>
      </c>
      <c r="BT13" s="644">
        <f t="shared" si="15"/>
        <v>-0.14043913467176872</v>
      </c>
      <c r="BU13" s="644">
        <f t="shared" si="15"/>
        <v>-8.2930554433961912E-2</v>
      </c>
      <c r="BV13" s="644">
        <f t="shared" si="15"/>
        <v>0.26915506638187114</v>
      </c>
      <c r="BW13" s="645">
        <f t="shared" si="15"/>
        <v>0.11712008755491787</v>
      </c>
      <c r="BX13" s="644">
        <f t="shared" si="15"/>
        <v>3.3133550893215125E-2</v>
      </c>
      <c r="BY13" s="644">
        <f t="shared" si="15"/>
        <v>-7.6296396006686029E-2</v>
      </c>
      <c r="BZ13" s="644">
        <f t="shared" si="15"/>
        <v>-8.6876799133444926E-2</v>
      </c>
      <c r="CA13" s="645">
        <f t="shared" si="15"/>
        <v>3.5452131426033873E-2</v>
      </c>
      <c r="CB13" s="644">
        <f t="shared" si="15"/>
        <v>-1.091766440991071E-3</v>
      </c>
      <c r="CC13" s="644">
        <f t="shared" si="15"/>
        <v>-1.3788729212643513E-2</v>
      </c>
      <c r="CD13" s="644">
        <f t="shared" si="15"/>
        <v>-1.1724933871615995E-2</v>
      </c>
      <c r="CE13" s="645">
        <f t="shared" si="15"/>
        <v>0.11050140358082183</v>
      </c>
      <c r="CF13" s="644">
        <f t="shared" si="15"/>
        <v>1.3563156092555539E-2</v>
      </c>
      <c r="CG13" s="644">
        <f t="shared" si="15"/>
        <v>-6.2862497299662312E-2</v>
      </c>
      <c r="CH13" s="644">
        <f t="shared" si="15"/>
        <v>-6.69644457383759E-2</v>
      </c>
      <c r="CI13" s="645">
        <f t="shared" si="15"/>
        <v>5.3777445862580375E-2</v>
      </c>
      <c r="CJ13" s="644">
        <f t="shared" si="15"/>
        <v>1.8289487568305729E-2</v>
      </c>
      <c r="CK13" s="644">
        <f t="shared" si="15"/>
        <v>-5.5228917121549315E-2</v>
      </c>
      <c r="CL13" s="644">
        <f t="shared" si="15"/>
        <v>-2.7666230610870479E-2</v>
      </c>
      <c r="CM13" s="645">
        <f t="shared" si="15"/>
        <v>8.6271262916814084E-2</v>
      </c>
      <c r="CN13" s="644">
        <f t="shared" si="15"/>
        <v>-2.9118790933988503E-2</v>
      </c>
      <c r="CO13" s="644">
        <f t="shared" ref="CO13:CY13" si="16">CO12/CN12-1</f>
        <v>-6.8940487145952911E-2</v>
      </c>
      <c r="CP13" s="644">
        <f t="shared" si="16"/>
        <v>-2.9819503088954424E-2</v>
      </c>
      <c r="CQ13" s="645">
        <f t="shared" si="16"/>
        <v>0.15756338856411478</v>
      </c>
      <c r="CR13" s="644">
        <f t="shared" si="16"/>
        <v>-1.02354539436178E-2</v>
      </c>
      <c r="CS13" s="644">
        <f t="shared" si="16"/>
        <v>-4.2830384882690087E-2</v>
      </c>
      <c r="CT13" s="644">
        <f t="shared" si="16"/>
        <v>-1.5290108061662644E-2</v>
      </c>
      <c r="CU13" s="645">
        <f t="shared" si="16"/>
        <v>4.2957957745220821E-2</v>
      </c>
      <c r="CV13" s="644">
        <f t="shared" si="16"/>
        <v>2.1971810521486113E-3</v>
      </c>
      <c r="CW13" s="644">
        <f t="shared" si="16"/>
        <v>-6.9260433693217105E-2</v>
      </c>
      <c r="CX13" s="644">
        <f t="shared" si="16"/>
        <v>-1.1507793912089448E-2</v>
      </c>
      <c r="CY13" s="645">
        <f t="shared" si="16"/>
        <v>3.6443131413131935E-2</v>
      </c>
      <c r="DA13" s="432"/>
      <c r="DB13" s="432"/>
      <c r="DC13" s="432"/>
      <c r="DD13" s="432"/>
      <c r="DE13" s="432"/>
      <c r="DF13" s="432"/>
      <c r="DG13" s="432"/>
      <c r="DH13" s="432"/>
      <c r="DI13" s="432"/>
      <c r="DJ13" s="432"/>
      <c r="DK13" s="432"/>
      <c r="DL13" s="432"/>
      <c r="DM13" s="432"/>
      <c r="DN13" s="432"/>
      <c r="DO13" s="432"/>
      <c r="DP13" s="432"/>
      <c r="DQ13" s="432"/>
      <c r="DR13" s="432"/>
      <c r="DS13" s="432"/>
      <c r="DT13" s="432"/>
      <c r="DU13" s="432"/>
      <c r="DV13" s="432"/>
      <c r="DW13" s="432"/>
      <c r="DX13" s="432"/>
      <c r="DY13" s="432"/>
      <c r="DZ13" s="432"/>
      <c r="EA13" s="432"/>
      <c r="EB13" s="432"/>
      <c r="EC13" s="432"/>
      <c r="ED13" s="432"/>
      <c r="EE13" s="435"/>
    </row>
    <row r="14" spans="1:135" s="599" customFormat="1" ht="15">
      <c r="A14" s="258"/>
      <c r="B14" s="639" t="s">
        <v>240</v>
      </c>
      <c r="C14" s="435"/>
      <c r="D14" s="598"/>
      <c r="E14" s="432"/>
      <c r="F14" s="432"/>
      <c r="G14" s="433"/>
      <c r="H14" s="432"/>
      <c r="I14" s="432"/>
      <c r="J14" s="432"/>
      <c r="K14" s="433"/>
      <c r="L14" s="432"/>
      <c r="M14" s="432"/>
      <c r="N14" s="432"/>
      <c r="O14" s="433"/>
      <c r="P14" s="432"/>
      <c r="Q14" s="432"/>
      <c r="R14" s="432"/>
      <c r="S14" s="433"/>
      <c r="T14" s="432"/>
      <c r="U14" s="432"/>
      <c r="V14" s="432"/>
      <c r="W14" s="433"/>
      <c r="X14" s="432"/>
      <c r="Y14" s="432"/>
      <c r="Z14" s="432"/>
      <c r="AA14" s="433"/>
      <c r="AB14" s="644"/>
      <c r="AC14" s="644"/>
      <c r="AD14" s="644"/>
      <c r="AE14" s="645"/>
      <c r="AF14" s="644">
        <f t="shared" ref="AF14:BK14" si="17">AF12/AB12-1</f>
        <v>-3.1058869710689385E-2</v>
      </c>
      <c r="AG14" s="644">
        <f t="shared" si="17"/>
        <v>-1.2104640452345605E-2</v>
      </c>
      <c r="AH14" s="644">
        <f t="shared" si="17"/>
        <v>-2.6684759182467599E-2</v>
      </c>
      <c r="AI14" s="645">
        <f t="shared" si="17"/>
        <v>-5.5629576955225413E-2</v>
      </c>
      <c r="AJ14" s="644">
        <f t="shared" si="17"/>
        <v>3.5701830349422314E-2</v>
      </c>
      <c r="AK14" s="644">
        <f t="shared" si="17"/>
        <v>2.4912126596350337E-2</v>
      </c>
      <c r="AL14" s="644">
        <f t="shared" si="17"/>
        <v>3.7047830214408606E-2</v>
      </c>
      <c r="AM14" s="645">
        <f t="shared" si="17"/>
        <v>0.1136834707435741</v>
      </c>
      <c r="AN14" s="644">
        <f t="shared" si="17"/>
        <v>4.985825118339271E-2</v>
      </c>
      <c r="AO14" s="644">
        <f t="shared" si="17"/>
        <v>8.856940624586418E-3</v>
      </c>
      <c r="AP14" s="644">
        <f t="shared" si="17"/>
        <v>-5.715973641779426E-2</v>
      </c>
      <c r="AQ14" s="645">
        <f t="shared" si="17"/>
        <v>-1.0312442543903844E-2</v>
      </c>
      <c r="AR14" s="644">
        <f t="shared" si="17"/>
        <v>8.8224645959056325E-4</v>
      </c>
      <c r="AS14" s="644">
        <f t="shared" si="17"/>
        <v>4.4650373133847232E-2</v>
      </c>
      <c r="AT14" s="644">
        <f t="shared" si="17"/>
        <v>7.7072961402167683E-2</v>
      </c>
      <c r="AU14" s="645">
        <f t="shared" si="17"/>
        <v>2.875202442645608E-2</v>
      </c>
      <c r="AV14" s="644">
        <f t="shared" si="17"/>
        <v>5.7679138337922042E-2</v>
      </c>
      <c r="AW14" s="644">
        <f t="shared" si="17"/>
        <v>5.1185980118798602E-2</v>
      </c>
      <c r="AX14" s="644">
        <f t="shared" si="17"/>
        <v>8.9812195583534038E-3</v>
      </c>
      <c r="AY14" s="645">
        <f t="shared" si="17"/>
        <v>7.4661530337536197E-2</v>
      </c>
      <c r="AZ14" s="644">
        <f t="shared" si="17"/>
        <v>4.4175130011081531E-2</v>
      </c>
      <c r="BA14" s="644">
        <f t="shared" si="17"/>
        <v>4.3827337850794512E-2</v>
      </c>
      <c r="BB14" s="644">
        <f t="shared" si="17"/>
        <v>6.5256583408348723E-2</v>
      </c>
      <c r="BC14" s="645">
        <f t="shared" si="17"/>
        <v>5.294230522178478E-2</v>
      </c>
      <c r="BD14" s="644">
        <f t="shared" si="17"/>
        <v>3.5608962816748857E-3</v>
      </c>
      <c r="BE14" s="644">
        <f t="shared" si="17"/>
        <v>3.1741439483207401E-2</v>
      </c>
      <c r="BF14" s="644">
        <f t="shared" si="17"/>
        <v>3.1056233386261844E-3</v>
      </c>
      <c r="BG14" s="645">
        <f t="shared" si="17"/>
        <v>6.4538788575640993E-2</v>
      </c>
      <c r="BH14" s="644">
        <f t="shared" si="17"/>
        <v>5.7147391204124931E-2</v>
      </c>
      <c r="BI14" s="644">
        <f t="shared" si="17"/>
        <v>2.930563041986578E-2</v>
      </c>
      <c r="BJ14" s="644">
        <f t="shared" si="17"/>
        <v>7.5913407615590955E-3</v>
      </c>
      <c r="BK14" s="645">
        <f t="shared" si="17"/>
        <v>-0.17547542997245946</v>
      </c>
      <c r="BL14" s="644">
        <f t="shared" ref="BL14:CQ14" si="18">BL12/BH12-1</f>
        <v>-0.43941507169982486</v>
      </c>
      <c r="BM14" s="644">
        <f t="shared" si="18"/>
        <v>-0.34429497223032646</v>
      </c>
      <c r="BN14" s="644">
        <f t="shared" si="18"/>
        <v>-0.15884370406663395</v>
      </c>
      <c r="BO14" s="645">
        <f t="shared" si="18"/>
        <v>-1.750434236135856E-3</v>
      </c>
      <c r="BP14" s="644">
        <f t="shared" si="18"/>
        <v>0.50191322495586732</v>
      </c>
      <c r="BQ14" s="644">
        <f t="shared" si="18"/>
        <v>0.32950174244586816</v>
      </c>
      <c r="BR14" s="644">
        <f t="shared" si="18"/>
        <v>0.13301709150166485</v>
      </c>
      <c r="BS14" s="645">
        <f t="shared" si="18"/>
        <v>-2.6606898504777599E-2</v>
      </c>
      <c r="BT14" s="644">
        <f t="shared" si="18"/>
        <v>-0.15507343672729323</v>
      </c>
      <c r="BU14" s="644">
        <f t="shared" si="18"/>
        <v>-0.20676604616484928</v>
      </c>
      <c r="BV14" s="644">
        <f t="shared" si="18"/>
        <v>-3.3918279854370237E-3</v>
      </c>
      <c r="BW14" s="645">
        <f t="shared" si="18"/>
        <v>0.11761805067857845</v>
      </c>
      <c r="BX14" s="644">
        <f t="shared" si="18"/>
        <v>0.34330069203301816</v>
      </c>
      <c r="BY14" s="644">
        <f t="shared" si="18"/>
        <v>0.35301824357669198</v>
      </c>
      <c r="BZ14" s="644">
        <f t="shared" si="18"/>
        <v>-2.6539481162298761E-2</v>
      </c>
      <c r="CA14" s="645">
        <f t="shared" si="18"/>
        <v>-9.7705089794083211E-2</v>
      </c>
      <c r="CB14" s="644">
        <f t="shared" si="18"/>
        <v>-0.12759602655065028</v>
      </c>
      <c r="CC14" s="644">
        <f t="shared" si="18"/>
        <v>-6.8559841516381059E-2</v>
      </c>
      <c r="CD14" s="644">
        <f t="shared" si="18"/>
        <v>8.0995459829047434E-3</v>
      </c>
      <c r="CE14" s="645">
        <f t="shared" si="18"/>
        <v>8.1166310625509164E-2</v>
      </c>
      <c r="CF14" s="644">
        <f t="shared" si="18"/>
        <v>9.7028036453561617E-2</v>
      </c>
      <c r="CG14" s="644">
        <f t="shared" si="18"/>
        <v>4.2440037877050196E-2</v>
      </c>
      <c r="CH14" s="644">
        <f t="shared" si="18"/>
        <v>-1.5827018346762589E-2</v>
      </c>
      <c r="CI14" s="645">
        <f t="shared" si="18"/>
        <v>-6.6098171916422088E-2</v>
      </c>
      <c r="CJ14" s="644">
        <f t="shared" si="18"/>
        <v>-6.1743308010014264E-2</v>
      </c>
      <c r="CK14" s="644">
        <f t="shared" si="18"/>
        <v>-5.4100611324289227E-2</v>
      </c>
      <c r="CL14" s="644">
        <f t="shared" si="18"/>
        <v>-1.4260588620576886E-2</v>
      </c>
      <c r="CM14" s="645">
        <f t="shared" si="18"/>
        <v>1.6135237578087214E-2</v>
      </c>
      <c r="CN14" s="644">
        <f t="shared" si="18"/>
        <v>-3.1172745983773509E-2</v>
      </c>
      <c r="CO14" s="644">
        <f t="shared" si="18"/>
        <v>-4.5233445951982865E-2</v>
      </c>
      <c r="CP14" s="644">
        <f t="shared" si="18"/>
        <v>-4.7347815120831527E-2</v>
      </c>
      <c r="CQ14" s="645">
        <f t="shared" si="18"/>
        <v>1.5174872886411173E-2</v>
      </c>
      <c r="CR14" s="644">
        <f t="shared" ref="CR14:CY14" si="19">CR12/CN12-1</f>
        <v>3.4919707836211122E-2</v>
      </c>
      <c r="CS14" s="644">
        <f t="shared" si="19"/>
        <v>6.3942406205983016E-2</v>
      </c>
      <c r="CT14" s="644">
        <f t="shared" si="19"/>
        <v>7.9875976871722099E-2</v>
      </c>
      <c r="CU14" s="645">
        <f t="shared" si="19"/>
        <v>-2.7037953529855274E-2</v>
      </c>
      <c r="CV14" s="644">
        <f t="shared" si="19"/>
        <v>-1.4816378169640099E-2</v>
      </c>
      <c r="CW14" s="644">
        <f t="shared" si="19"/>
        <v>-4.2019969676373115E-2</v>
      </c>
      <c r="CX14" s="644">
        <f t="shared" si="19"/>
        <v>-3.8340326104834288E-2</v>
      </c>
      <c r="CY14" s="645">
        <f t="shared" si="19"/>
        <v>-4.4347323529298821E-2</v>
      </c>
      <c r="DA14" s="432"/>
      <c r="DB14" s="432"/>
      <c r="DC14" s="432"/>
      <c r="DD14" s="432"/>
      <c r="DE14" s="432"/>
      <c r="DF14" s="432"/>
      <c r="DG14" s="432"/>
      <c r="DH14" s="432">
        <f t="shared" ref="DH14:ED14" si="20">DH12/DG12-1</f>
        <v>-3.1652762110927046E-2</v>
      </c>
      <c r="DI14" s="432">
        <f t="shared" si="20"/>
        <v>5.2711827773777475E-2</v>
      </c>
      <c r="DJ14" s="432">
        <f t="shared" si="20"/>
        <v>-2.039440956536076E-3</v>
      </c>
      <c r="DK14" s="432">
        <f t="shared" si="20"/>
        <v>3.6410729997713664E-2</v>
      </c>
      <c r="DL14" s="432">
        <f t="shared" si="20"/>
        <v>4.8720271625328548E-2</v>
      </c>
      <c r="DM14" s="432">
        <f t="shared" si="20"/>
        <v>5.1306334787341035E-2</v>
      </c>
      <c r="DN14" s="432">
        <f t="shared" si="20"/>
        <v>2.6436807311199573E-2</v>
      </c>
      <c r="DO14" s="432">
        <f t="shared" si="20"/>
        <v>-2.493664800920592E-2</v>
      </c>
      <c r="DP14" s="432">
        <f t="shared" si="20"/>
        <v>-0.24658299195437561</v>
      </c>
      <c r="DQ14" s="432">
        <f t="shared" si="20"/>
        <v>0.20274122062530697</v>
      </c>
      <c r="DR14" s="432">
        <f t="shared" si="20"/>
        <v>-6.2023657691042233E-2</v>
      </c>
      <c r="DS14" s="432">
        <f t="shared" si="20"/>
        <v>0.1162047653324525</v>
      </c>
      <c r="DT14" s="432">
        <f t="shared" si="20"/>
        <v>-3.109619145515452E-2</v>
      </c>
      <c r="DU14" s="432">
        <f t="shared" si="20"/>
        <v>1.2840273052818096E-2</v>
      </c>
      <c r="DV14" s="432">
        <f t="shared" si="20"/>
        <v>-2.9479604743759769E-2</v>
      </c>
      <c r="DW14" s="432">
        <f t="shared" si="20"/>
        <v>-2.6483514329695201E-2</v>
      </c>
      <c r="DX14" s="432">
        <f t="shared" si="20"/>
        <v>3.5653311593861758E-2</v>
      </c>
      <c r="DY14" s="432">
        <f t="shared" si="20"/>
        <v>-3.4709661076358644E-2</v>
      </c>
      <c r="DZ14" s="432">
        <f t="shared" si="20"/>
        <v>1.8176115920645053E-3</v>
      </c>
      <c r="EA14" s="432">
        <f t="shared" si="20"/>
        <v>-2.7288777518466145E-2</v>
      </c>
      <c r="EB14" s="432">
        <f t="shared" si="20"/>
        <v>-5.4165583341752033E-3</v>
      </c>
      <c r="EC14" s="432">
        <f t="shared" si="20"/>
        <v>-5.6790201204821589E-3</v>
      </c>
      <c r="ED14" s="432">
        <f t="shared" si="20"/>
        <v>6.137443695223288E-3</v>
      </c>
      <c r="EE14" s="435"/>
    </row>
    <row r="15" spans="1:135" s="658" customFormat="1" ht="15">
      <c r="A15" s="590"/>
      <c r="B15" s="638" t="s">
        <v>350</v>
      </c>
      <c r="C15" s="592"/>
      <c r="D15" s="593"/>
      <c r="E15" s="592"/>
      <c r="F15" s="592"/>
      <c r="G15" s="594"/>
      <c r="H15" s="592"/>
      <c r="I15" s="592"/>
      <c r="J15" s="592"/>
      <c r="K15" s="594"/>
      <c r="L15" s="592"/>
      <c r="M15" s="592"/>
      <c r="N15" s="592"/>
      <c r="O15" s="594"/>
      <c r="P15" s="592"/>
      <c r="Q15" s="592"/>
      <c r="R15" s="592"/>
      <c r="S15" s="594"/>
      <c r="T15" s="592"/>
      <c r="U15" s="592"/>
      <c r="V15" s="592"/>
      <c r="W15" s="594"/>
      <c r="X15" s="592"/>
      <c r="Y15" s="592"/>
      <c r="Z15" s="592"/>
      <c r="AA15" s="594"/>
      <c r="AB15" s="640">
        <v>0.175735</v>
      </c>
      <c r="AC15" s="640">
        <v>0.16708899999999999</v>
      </c>
      <c r="AD15" s="640">
        <v>0.173293</v>
      </c>
      <c r="AE15" s="641">
        <v>0.160301</v>
      </c>
      <c r="AF15" s="640">
        <v>0.19814899999999999</v>
      </c>
      <c r="AG15" s="640">
        <v>0.191136</v>
      </c>
      <c r="AH15" s="640">
        <v>0.18307999999999999</v>
      </c>
      <c r="AI15" s="641">
        <v>0.18279599999999999</v>
      </c>
      <c r="AJ15" s="640">
        <v>0.20505799999999999</v>
      </c>
      <c r="AK15" s="640">
        <v>0.203593</v>
      </c>
      <c r="AL15" s="640">
        <v>0.22167200000000001</v>
      </c>
      <c r="AM15" s="641">
        <v>0.240652</v>
      </c>
      <c r="AN15" s="640">
        <v>0.26165100000000002</v>
      </c>
      <c r="AO15" s="640">
        <v>0.25477</v>
      </c>
      <c r="AP15" s="640">
        <v>0.29540899999999998</v>
      </c>
      <c r="AQ15" s="641">
        <v>0.30282399999999998</v>
      </c>
      <c r="AR15" s="640">
        <v>0.31485299999999999</v>
      </c>
      <c r="AS15" s="640">
        <v>0.29938300000000001</v>
      </c>
      <c r="AT15" s="640">
        <v>0.34185700000000002</v>
      </c>
      <c r="AU15" s="641">
        <v>0.36516799999999999</v>
      </c>
      <c r="AV15" s="640">
        <v>0.36921999999999999</v>
      </c>
      <c r="AW15" s="640">
        <v>0.33776600000000001</v>
      </c>
      <c r="AX15" s="640">
        <v>0.41234700000000002</v>
      </c>
      <c r="AY15" s="641">
        <v>0.40236300000000003</v>
      </c>
      <c r="AZ15" s="640">
        <v>0.43304300000000001</v>
      </c>
      <c r="BA15" s="640">
        <v>0.40879799999999999</v>
      </c>
      <c r="BB15" s="640">
        <v>0.45082</v>
      </c>
      <c r="BC15" s="641">
        <v>0.45234799999999997</v>
      </c>
      <c r="BD15" s="640">
        <v>0.46847</v>
      </c>
      <c r="BE15" s="640">
        <v>0.42741099999999999</v>
      </c>
      <c r="BF15" s="640">
        <v>0.421124</v>
      </c>
      <c r="BG15" s="641">
        <v>0.47737400000000002</v>
      </c>
      <c r="BH15" s="640">
        <v>0.41688599999999998</v>
      </c>
      <c r="BI15" s="640">
        <v>0.412968</v>
      </c>
      <c r="BJ15" s="640">
        <v>0.47333999999999998</v>
      </c>
      <c r="BK15" s="641">
        <v>0.48689300000000002</v>
      </c>
      <c r="BL15" s="640">
        <v>0.47405900000000001</v>
      </c>
      <c r="BM15" s="640">
        <v>0.41054000000000002</v>
      </c>
      <c r="BN15" s="640">
        <v>0.42582399999999998</v>
      </c>
      <c r="BO15" s="641">
        <v>0.51790099999999994</v>
      </c>
      <c r="BP15" s="640">
        <v>0.54020199999999996</v>
      </c>
      <c r="BQ15" s="640">
        <v>0.53112700000000002</v>
      </c>
      <c r="BR15" s="640">
        <v>0.510602</v>
      </c>
      <c r="BS15" s="641">
        <v>0.59468699999999997</v>
      </c>
      <c r="BT15" s="640">
        <v>0.56780299999999995</v>
      </c>
      <c r="BU15" s="640">
        <v>0.51682300000000003</v>
      </c>
      <c r="BV15" s="640">
        <v>0.58382800000000001</v>
      </c>
      <c r="BW15" s="641">
        <v>0.635293</v>
      </c>
      <c r="BX15" s="640">
        <v>0.49840600000000002</v>
      </c>
      <c r="BY15" s="640">
        <v>0.40966399999999997</v>
      </c>
      <c r="BZ15" s="640">
        <v>0.390204</v>
      </c>
      <c r="CA15" s="641">
        <v>0.38064900000000002</v>
      </c>
      <c r="CB15" s="640">
        <v>0.47034999999999999</v>
      </c>
      <c r="CC15" s="640">
        <v>0.351962</v>
      </c>
      <c r="CD15" s="640">
        <v>0.33932800000000002</v>
      </c>
      <c r="CE15" s="641">
        <v>0.421649</v>
      </c>
      <c r="CF15" s="640">
        <v>0.462899</v>
      </c>
      <c r="CG15" s="640">
        <v>0.44616800000000001</v>
      </c>
      <c r="CH15" s="640">
        <v>0.50517599999999996</v>
      </c>
      <c r="CI15" s="641">
        <v>0.56660900000000003</v>
      </c>
      <c r="CJ15" s="640">
        <v>0.56290399999999996</v>
      </c>
      <c r="CK15" s="640">
        <v>0.49839699999999998</v>
      </c>
      <c r="CL15" s="640">
        <v>0.47630400000000001</v>
      </c>
      <c r="CM15" s="641">
        <v>0.44476300000000002</v>
      </c>
      <c r="CN15" s="640">
        <v>0.54147599999999996</v>
      </c>
      <c r="CO15" s="640">
        <v>0.55259999999999998</v>
      </c>
      <c r="CP15" s="640">
        <v>0.565415</v>
      </c>
      <c r="CQ15" s="642">
        <v>0.634409</v>
      </c>
      <c r="CR15" s="643">
        <v>0.65732599999999997</v>
      </c>
      <c r="CS15" s="643">
        <v>0.58662800000000004</v>
      </c>
      <c r="CT15" s="640">
        <v>0.63615999999999995</v>
      </c>
      <c r="CU15" s="641">
        <v>0.69318000000000002</v>
      </c>
      <c r="CV15" s="867">
        <v>0.65481</v>
      </c>
      <c r="CW15" s="867">
        <v>0.55406299999999997</v>
      </c>
      <c r="CX15" s="867">
        <v>0.75114999999999998</v>
      </c>
      <c r="CY15" s="868">
        <v>0.78956300000000001</v>
      </c>
      <c r="CZ15" s="596"/>
      <c r="DA15" s="595"/>
      <c r="DB15" s="595"/>
      <c r="DC15" s="595"/>
      <c r="DD15" s="595"/>
      <c r="DE15" s="595"/>
      <c r="DF15" s="595"/>
      <c r="DG15" s="597">
        <f>SUM(AB15:AE15)</f>
        <v>0.67641800000000007</v>
      </c>
      <c r="DH15" s="597">
        <f>SUM(AF15:AI15)</f>
        <v>0.75516099999999997</v>
      </c>
      <c r="DI15" s="597">
        <f>SUM(AJ15:AM15)</f>
        <v>0.87097499999999994</v>
      </c>
      <c r="DJ15" s="597">
        <f>SUM(AN15:AQ15)</f>
        <v>1.114654</v>
      </c>
      <c r="DK15" s="597">
        <f>SUM(AR15:AU15)</f>
        <v>1.321261</v>
      </c>
      <c r="DL15" s="597">
        <f>SUM(AV15:AY15)</f>
        <v>1.5216960000000002</v>
      </c>
      <c r="DM15" s="597">
        <f>SUM(AZ15:BC15)</f>
        <v>1.745009</v>
      </c>
      <c r="DN15" s="597">
        <f>SUM(BD15:BG15)</f>
        <v>1.7943789999999999</v>
      </c>
      <c r="DO15" s="597">
        <f>SUM(BH15:BK15)</f>
        <v>1.790087</v>
      </c>
      <c r="DP15" s="597">
        <f>SUM(BL15:BO15)</f>
        <v>1.8283240000000001</v>
      </c>
      <c r="DQ15" s="597">
        <f>SUM(BP15:BS15)</f>
        <v>2.1766179999999999</v>
      </c>
      <c r="DR15" s="597">
        <f>SUM(BT15:BW15)</f>
        <v>2.303747</v>
      </c>
      <c r="DS15" s="597">
        <f>SUM(BX15:CA15)</f>
        <v>1.6789229999999999</v>
      </c>
      <c r="DT15" s="597">
        <f>SUM(CB15:CE15)</f>
        <v>1.5832889999999999</v>
      </c>
      <c r="DU15" s="597">
        <f>SUM(CF15:CI15)</f>
        <v>1.9808520000000001</v>
      </c>
      <c r="DV15" s="597">
        <f>SUM(CJ15:CM15)</f>
        <v>1.9823679999999999</v>
      </c>
      <c r="DW15" s="591">
        <f>SUM(CN15:CQ15)</f>
        <v>2.2938999999999998</v>
      </c>
      <c r="DX15" s="591">
        <f>SUM(CR15:CU15)</f>
        <v>2.5732939999999997</v>
      </c>
      <c r="DY15" s="591">
        <f>SUM(CV15:CY15)</f>
        <v>2.7495859999999999</v>
      </c>
      <c r="DZ15" s="842">
        <v>2.8423029999999998</v>
      </c>
      <c r="EA15" s="842">
        <v>3.047704</v>
      </c>
      <c r="EB15" s="842">
        <v>3.3269540000000002</v>
      </c>
      <c r="EC15" s="842">
        <v>3.403203</v>
      </c>
      <c r="ED15" s="842">
        <v>3.2327300000000001</v>
      </c>
      <c r="EE15" s="592"/>
    </row>
    <row r="16" spans="1:135" s="599" customFormat="1" ht="15">
      <c r="A16" s="258"/>
      <c r="B16" s="639" t="s">
        <v>310</v>
      </c>
      <c r="C16" s="435"/>
      <c r="D16" s="598"/>
      <c r="E16" s="432"/>
      <c r="F16" s="432"/>
      <c r="G16" s="433"/>
      <c r="H16" s="432"/>
      <c r="I16" s="432"/>
      <c r="J16" s="432"/>
      <c r="K16" s="433"/>
      <c r="L16" s="432"/>
      <c r="M16" s="432"/>
      <c r="N16" s="432"/>
      <c r="O16" s="433"/>
      <c r="P16" s="432"/>
      <c r="Q16" s="432"/>
      <c r="R16" s="432"/>
      <c r="S16" s="433"/>
      <c r="T16" s="432"/>
      <c r="U16" s="432"/>
      <c r="V16" s="432"/>
      <c r="W16" s="433"/>
      <c r="X16" s="432"/>
      <c r="Y16" s="432"/>
      <c r="Z16" s="432"/>
      <c r="AA16" s="433"/>
      <c r="AB16" s="644"/>
      <c r="AC16" s="644">
        <f t="shared" ref="AC16:BH16" si="21">AC15/AB15-1</f>
        <v>-4.9199078157453058E-2</v>
      </c>
      <c r="AD16" s="644">
        <f t="shared" si="21"/>
        <v>3.7129912800962561E-2</v>
      </c>
      <c r="AE16" s="645">
        <f t="shared" si="21"/>
        <v>-7.4971291396651929E-2</v>
      </c>
      <c r="AF16" s="644">
        <f t="shared" si="21"/>
        <v>0.23610582591499729</v>
      </c>
      <c r="AG16" s="644">
        <f t="shared" si="21"/>
        <v>-3.5392558125451057E-2</v>
      </c>
      <c r="AH16" s="644">
        <f t="shared" si="21"/>
        <v>-4.2147999330319763E-2</v>
      </c>
      <c r="AI16" s="645">
        <f t="shared" si="21"/>
        <v>-1.5512344330347316E-3</v>
      </c>
      <c r="AJ16" s="644">
        <f t="shared" si="21"/>
        <v>0.12178603470535454</v>
      </c>
      <c r="AK16" s="644">
        <f t="shared" si="21"/>
        <v>-7.1443201435691384E-3</v>
      </c>
      <c r="AL16" s="644">
        <f t="shared" si="21"/>
        <v>8.8799713153202786E-2</v>
      </c>
      <c r="AM16" s="645">
        <f t="shared" si="21"/>
        <v>8.5622000072178794E-2</v>
      </c>
      <c r="AN16" s="644">
        <f t="shared" si="21"/>
        <v>8.7258780313481887E-2</v>
      </c>
      <c r="AO16" s="644">
        <f t="shared" si="21"/>
        <v>-2.6298389839901293E-2</v>
      </c>
      <c r="AP16" s="644">
        <f t="shared" si="21"/>
        <v>0.15951250147191587</v>
      </c>
      <c r="AQ16" s="645">
        <f t="shared" si="21"/>
        <v>2.5100792460622356E-2</v>
      </c>
      <c r="AR16" s="644">
        <f t="shared" si="21"/>
        <v>3.9722743243600256E-2</v>
      </c>
      <c r="AS16" s="644">
        <f t="shared" si="21"/>
        <v>-4.9134040329931739E-2</v>
      </c>
      <c r="AT16" s="644">
        <f t="shared" si="21"/>
        <v>0.14187178296696867</v>
      </c>
      <c r="AU16" s="645">
        <f t="shared" si="21"/>
        <v>6.8189330626548417E-2</v>
      </c>
      <c r="AV16" s="644">
        <f t="shared" si="21"/>
        <v>1.1096262542172441E-2</v>
      </c>
      <c r="AW16" s="644">
        <f t="shared" si="21"/>
        <v>-8.5190401386707082E-2</v>
      </c>
      <c r="AX16" s="644">
        <f t="shared" si="21"/>
        <v>0.22080671233931182</v>
      </c>
      <c r="AY16" s="645">
        <f t="shared" si="21"/>
        <v>-2.4212617043412488E-2</v>
      </c>
      <c r="AZ16" s="644">
        <f t="shared" si="21"/>
        <v>7.624955574941028E-2</v>
      </c>
      <c r="BA16" s="644">
        <f t="shared" si="21"/>
        <v>-5.5987511632794029E-2</v>
      </c>
      <c r="BB16" s="644">
        <f t="shared" si="21"/>
        <v>0.10279404498065059</v>
      </c>
      <c r="BC16" s="645">
        <f t="shared" si="21"/>
        <v>3.3893793531785121E-3</v>
      </c>
      <c r="BD16" s="644">
        <f t="shared" si="21"/>
        <v>3.5640701406881581E-2</v>
      </c>
      <c r="BE16" s="644">
        <f t="shared" si="21"/>
        <v>-8.7644886545563239E-2</v>
      </c>
      <c r="BF16" s="644">
        <f t="shared" si="21"/>
        <v>-1.4709495076167922E-2</v>
      </c>
      <c r="BG16" s="645">
        <f t="shared" si="21"/>
        <v>0.13357110969690633</v>
      </c>
      <c r="BH16" s="644">
        <f t="shared" si="21"/>
        <v>-0.12670987527598909</v>
      </c>
      <c r="BI16" s="644">
        <f t="shared" ref="BI16:CN16" si="22">BI15/BH15-1</f>
        <v>-9.3982527597472609E-3</v>
      </c>
      <c r="BJ16" s="644">
        <f t="shared" si="22"/>
        <v>0.14619050386470622</v>
      </c>
      <c r="BK16" s="645">
        <f t="shared" si="22"/>
        <v>2.8632695314150691E-2</v>
      </c>
      <c r="BL16" s="644">
        <f t="shared" si="22"/>
        <v>-2.6358974148324221E-2</v>
      </c>
      <c r="BM16" s="644">
        <f t="shared" si="22"/>
        <v>-0.13398965107718652</v>
      </c>
      <c r="BN16" s="644">
        <f t="shared" si="22"/>
        <v>3.7229015443074776E-2</v>
      </c>
      <c r="BO16" s="645">
        <f t="shared" si="22"/>
        <v>0.21623252799278569</v>
      </c>
      <c r="BP16" s="644">
        <f t="shared" si="22"/>
        <v>4.3060353233533188E-2</v>
      </c>
      <c r="BQ16" s="644">
        <f t="shared" si="22"/>
        <v>-1.6799271383667436E-2</v>
      </c>
      <c r="BR16" s="644">
        <f t="shared" si="22"/>
        <v>-3.8644241396125656E-2</v>
      </c>
      <c r="BS16" s="645">
        <f t="shared" si="22"/>
        <v>0.16467816420617232</v>
      </c>
      <c r="BT16" s="644">
        <f t="shared" si="22"/>
        <v>-4.5206974425201829E-2</v>
      </c>
      <c r="BU16" s="644">
        <f t="shared" si="22"/>
        <v>-8.9784661229334706E-2</v>
      </c>
      <c r="BV16" s="644">
        <f t="shared" si="22"/>
        <v>0.12964786783869919</v>
      </c>
      <c r="BW16" s="645">
        <f t="shared" si="22"/>
        <v>8.8150962269709643E-2</v>
      </c>
      <c r="BX16" s="644">
        <f t="shared" si="22"/>
        <v>-0.21547065684652589</v>
      </c>
      <c r="BY16" s="644">
        <f t="shared" si="22"/>
        <v>-0.17805162859195123</v>
      </c>
      <c r="BZ16" s="644">
        <f t="shared" si="22"/>
        <v>-4.7502343383846179E-2</v>
      </c>
      <c r="CA16" s="645">
        <f t="shared" si="22"/>
        <v>-2.4487191315311962E-2</v>
      </c>
      <c r="CB16" s="644">
        <f t="shared" si="22"/>
        <v>0.23565279299301967</v>
      </c>
      <c r="CC16" s="644">
        <f t="shared" si="22"/>
        <v>-0.2517019240990751</v>
      </c>
      <c r="CD16" s="644">
        <f t="shared" si="22"/>
        <v>-3.5895920582335483E-2</v>
      </c>
      <c r="CE16" s="645">
        <f t="shared" si="22"/>
        <v>0.24260008015843071</v>
      </c>
      <c r="CF16" s="644">
        <f t="shared" si="22"/>
        <v>9.7830185770629186E-2</v>
      </c>
      <c r="CG16" s="644">
        <f t="shared" si="22"/>
        <v>-3.6143953648636096E-2</v>
      </c>
      <c r="CH16" s="644">
        <f t="shared" si="22"/>
        <v>0.13225511466532769</v>
      </c>
      <c r="CI16" s="645">
        <f t="shared" si="22"/>
        <v>0.12160712306206167</v>
      </c>
      <c r="CJ16" s="644">
        <f t="shared" si="22"/>
        <v>-6.5389007234266661E-3</v>
      </c>
      <c r="CK16" s="644">
        <f t="shared" si="22"/>
        <v>-0.11459680513906456</v>
      </c>
      <c r="CL16" s="644">
        <f t="shared" si="22"/>
        <v>-4.432811593970265E-2</v>
      </c>
      <c r="CM16" s="645">
        <f t="shared" si="22"/>
        <v>-6.6220313077362314E-2</v>
      </c>
      <c r="CN16" s="644">
        <f t="shared" si="22"/>
        <v>0.21744839386369796</v>
      </c>
      <c r="CO16" s="644">
        <f t="shared" ref="CO16:CY16" si="23">CO15/CN15-1</f>
        <v>2.0543846818695588E-2</v>
      </c>
      <c r="CP16" s="644">
        <f t="shared" si="23"/>
        <v>2.3190372783206792E-2</v>
      </c>
      <c r="CQ16" s="645">
        <f t="shared" si="23"/>
        <v>0.12202364634825758</v>
      </c>
      <c r="CR16" s="644">
        <f t="shared" si="23"/>
        <v>3.6123384126013347E-2</v>
      </c>
      <c r="CS16" s="644">
        <f t="shared" si="23"/>
        <v>-0.10755393822851966</v>
      </c>
      <c r="CT16" s="644">
        <f t="shared" si="23"/>
        <v>8.4435110495918897E-2</v>
      </c>
      <c r="CU16" s="645">
        <f t="shared" si="23"/>
        <v>8.9631539235412561E-2</v>
      </c>
      <c r="CV16" s="644">
        <f t="shared" si="23"/>
        <v>-5.5353587812689398E-2</v>
      </c>
      <c r="CW16" s="644">
        <f t="shared" si="23"/>
        <v>-0.15385684397000665</v>
      </c>
      <c r="CX16" s="644">
        <f t="shared" si="23"/>
        <v>0.35571225654844318</v>
      </c>
      <c r="CY16" s="645">
        <f t="shared" si="23"/>
        <v>5.1138920322172821E-2</v>
      </c>
      <c r="DA16" s="432"/>
      <c r="DB16" s="432"/>
      <c r="DC16" s="432"/>
      <c r="DD16" s="432"/>
      <c r="DE16" s="432"/>
      <c r="DF16" s="432"/>
      <c r="DG16" s="432"/>
      <c r="DH16" s="432"/>
      <c r="DI16" s="432"/>
      <c r="DJ16" s="432"/>
      <c r="DK16" s="432"/>
      <c r="DL16" s="432"/>
      <c r="DM16" s="432"/>
      <c r="DN16" s="432"/>
      <c r="DO16" s="432"/>
      <c r="DP16" s="432"/>
      <c r="DQ16" s="432"/>
      <c r="DR16" s="432"/>
      <c r="DS16" s="432"/>
      <c r="DT16" s="432"/>
      <c r="DU16" s="432"/>
      <c r="DV16" s="432"/>
      <c r="DW16" s="432"/>
      <c r="DX16" s="432"/>
      <c r="DY16" s="432"/>
      <c r="DZ16" s="432"/>
      <c r="EA16" s="432"/>
      <c r="EB16" s="432"/>
      <c r="EC16" s="432"/>
      <c r="ED16" s="432"/>
      <c r="EE16" s="435"/>
    </row>
    <row r="17" spans="1:135" s="599" customFormat="1" ht="15">
      <c r="A17" s="258"/>
      <c r="B17" s="639" t="s">
        <v>240</v>
      </c>
      <c r="C17" s="435"/>
      <c r="D17" s="598"/>
      <c r="E17" s="432"/>
      <c r="F17" s="432"/>
      <c r="G17" s="433"/>
      <c r="H17" s="432"/>
      <c r="I17" s="432"/>
      <c r="J17" s="432"/>
      <c r="K17" s="433"/>
      <c r="L17" s="432"/>
      <c r="M17" s="432"/>
      <c r="N17" s="432"/>
      <c r="O17" s="433"/>
      <c r="P17" s="432"/>
      <c r="Q17" s="432"/>
      <c r="R17" s="432"/>
      <c r="S17" s="433"/>
      <c r="T17" s="432"/>
      <c r="U17" s="432"/>
      <c r="V17" s="432"/>
      <c r="W17" s="433"/>
      <c r="X17" s="432"/>
      <c r="Y17" s="432"/>
      <c r="Z17" s="432"/>
      <c r="AA17" s="433"/>
      <c r="AB17" s="644"/>
      <c r="AC17" s="644"/>
      <c r="AD17" s="644"/>
      <c r="AE17" s="645"/>
      <c r="AF17" s="644">
        <f t="shared" ref="AF17:BK17" si="24">AF15/AB15-1</f>
        <v>0.12754431388169674</v>
      </c>
      <c r="AG17" s="644">
        <f t="shared" si="24"/>
        <v>0.14391731352752135</v>
      </c>
      <c r="AH17" s="644">
        <f t="shared" si="24"/>
        <v>5.6476603209592913E-2</v>
      </c>
      <c r="AI17" s="645">
        <f t="shared" si="24"/>
        <v>0.14032975464906627</v>
      </c>
      <c r="AJ17" s="644">
        <f t="shared" si="24"/>
        <v>3.4867700568763871E-2</v>
      </c>
      <c r="AK17" s="644">
        <f t="shared" si="24"/>
        <v>6.5173489033986343E-2</v>
      </c>
      <c r="AL17" s="644">
        <f t="shared" si="24"/>
        <v>0.21079309591435447</v>
      </c>
      <c r="AM17" s="645">
        <f t="shared" si="24"/>
        <v>0.31650583163745383</v>
      </c>
      <c r="AN17" s="644">
        <f t="shared" si="24"/>
        <v>0.27598533097952793</v>
      </c>
      <c r="AO17" s="644">
        <f t="shared" si="24"/>
        <v>0.25136915316341923</v>
      </c>
      <c r="AP17" s="644">
        <f t="shared" si="24"/>
        <v>0.33264011692951723</v>
      </c>
      <c r="AQ17" s="645">
        <f t="shared" si="24"/>
        <v>0.25834815418114121</v>
      </c>
      <c r="AR17" s="644">
        <f t="shared" si="24"/>
        <v>0.20333191923592864</v>
      </c>
      <c r="AS17" s="644">
        <f t="shared" si="24"/>
        <v>0.17511088432704014</v>
      </c>
      <c r="AT17" s="644">
        <f t="shared" si="24"/>
        <v>0.15723285343371418</v>
      </c>
      <c r="AU17" s="645">
        <f t="shared" si="24"/>
        <v>0.20587535994505068</v>
      </c>
      <c r="AV17" s="644">
        <f t="shared" si="24"/>
        <v>0.17267423210196498</v>
      </c>
      <c r="AW17" s="644">
        <f t="shared" si="24"/>
        <v>0.12820701242221499</v>
      </c>
      <c r="AX17" s="644">
        <f t="shared" si="24"/>
        <v>0.20619732812257752</v>
      </c>
      <c r="AY17" s="645">
        <f t="shared" si="24"/>
        <v>0.10185722735836666</v>
      </c>
      <c r="AZ17" s="644">
        <f t="shared" si="24"/>
        <v>0.17285900005416832</v>
      </c>
      <c r="BA17" s="644">
        <f t="shared" si="24"/>
        <v>0.21029943807251161</v>
      </c>
      <c r="BB17" s="644">
        <f t="shared" si="24"/>
        <v>9.3302485527965384E-2</v>
      </c>
      <c r="BC17" s="645">
        <f t="shared" si="24"/>
        <v>0.12422861943071295</v>
      </c>
      <c r="BD17" s="644">
        <f t="shared" si="24"/>
        <v>8.1809427701175164E-2</v>
      </c>
      <c r="BE17" s="644">
        <f t="shared" si="24"/>
        <v>4.5531044672429966E-2</v>
      </c>
      <c r="BF17" s="644">
        <f t="shared" si="24"/>
        <v>-6.5871079366487728E-2</v>
      </c>
      <c r="BG17" s="645">
        <f t="shared" si="24"/>
        <v>5.5324661543767251E-2</v>
      </c>
      <c r="BH17" s="644">
        <f t="shared" si="24"/>
        <v>-0.11011164001963847</v>
      </c>
      <c r="BI17" s="644">
        <f t="shared" si="24"/>
        <v>-3.3791830345966778E-2</v>
      </c>
      <c r="BJ17" s="644">
        <f t="shared" si="24"/>
        <v>0.12399198335882056</v>
      </c>
      <c r="BK17" s="645">
        <f t="shared" si="24"/>
        <v>1.9940340278272295E-2</v>
      </c>
      <c r="BL17" s="644">
        <f t="shared" ref="BL17:CQ17" si="25">BL15/BH15-1</f>
        <v>0.13714300792063061</v>
      </c>
      <c r="BM17" s="644">
        <f t="shared" si="25"/>
        <v>-5.8793901706669649E-3</v>
      </c>
      <c r="BN17" s="644">
        <f t="shared" si="25"/>
        <v>-0.10038450162673762</v>
      </c>
      <c r="BO17" s="645">
        <f t="shared" si="25"/>
        <v>6.3685450396698817E-2</v>
      </c>
      <c r="BP17" s="644">
        <f t="shared" si="25"/>
        <v>0.1395248270784859</v>
      </c>
      <c r="BQ17" s="644">
        <f t="shared" si="25"/>
        <v>0.29372777317679155</v>
      </c>
      <c r="BR17" s="644">
        <f t="shared" si="25"/>
        <v>0.19909164349590447</v>
      </c>
      <c r="BS17" s="645">
        <f t="shared" si="25"/>
        <v>0.14826385737814762</v>
      </c>
      <c r="BT17" s="644">
        <f t="shared" si="25"/>
        <v>5.1093850078304026E-2</v>
      </c>
      <c r="BU17" s="644">
        <f t="shared" si="25"/>
        <v>-2.6931411884539846E-2</v>
      </c>
      <c r="BV17" s="644">
        <f t="shared" si="25"/>
        <v>0.14341111080645996</v>
      </c>
      <c r="BW17" s="645">
        <f t="shared" si="25"/>
        <v>6.8281297556529896E-2</v>
      </c>
      <c r="BX17" s="644">
        <f t="shared" si="25"/>
        <v>-0.12222020665618172</v>
      </c>
      <c r="BY17" s="644">
        <f t="shared" si="25"/>
        <v>-0.20734177851991886</v>
      </c>
      <c r="BZ17" s="644">
        <f t="shared" si="25"/>
        <v>-0.33164562165569311</v>
      </c>
      <c r="CA17" s="645">
        <f t="shared" si="25"/>
        <v>-0.40082922368104168</v>
      </c>
      <c r="CB17" s="644">
        <f t="shared" si="25"/>
        <v>-5.6291457165443481E-2</v>
      </c>
      <c r="CC17" s="644">
        <f t="shared" si="25"/>
        <v>-0.14085201531010771</v>
      </c>
      <c r="CD17" s="644">
        <f t="shared" si="25"/>
        <v>-0.13038308167010071</v>
      </c>
      <c r="CE17" s="645">
        <f t="shared" si="25"/>
        <v>0.10771077817096586</v>
      </c>
      <c r="CF17" s="644">
        <f t="shared" si="25"/>
        <v>-1.5841394706069933E-2</v>
      </c>
      <c r="CG17" s="644">
        <f t="shared" si="25"/>
        <v>0.26765957688614117</v>
      </c>
      <c r="CH17" s="644">
        <f t="shared" si="25"/>
        <v>0.48875424368162945</v>
      </c>
      <c r="CI17" s="645">
        <f t="shared" si="25"/>
        <v>0.34379306010449451</v>
      </c>
      <c r="CJ17" s="644">
        <f t="shared" si="25"/>
        <v>0.21604064817595181</v>
      </c>
      <c r="CK17" s="644">
        <f t="shared" si="25"/>
        <v>0.11706128633160606</v>
      </c>
      <c r="CL17" s="644">
        <f t="shared" si="25"/>
        <v>-5.7152358781889734E-2</v>
      </c>
      <c r="CM17" s="645">
        <f t="shared" si="25"/>
        <v>-0.21504423685469165</v>
      </c>
      <c r="CN17" s="644">
        <f t="shared" si="25"/>
        <v>-3.8066881741824599E-2</v>
      </c>
      <c r="CO17" s="644">
        <f t="shared" si="25"/>
        <v>0.10875466746388929</v>
      </c>
      <c r="CP17" s="644">
        <f t="shared" si="25"/>
        <v>0.18708849810205241</v>
      </c>
      <c r="CQ17" s="645">
        <f t="shared" si="25"/>
        <v>0.4263978793199974</v>
      </c>
      <c r="CR17" s="644">
        <f t="shared" ref="CR17:CY17" si="26">CR15/CN15-1</f>
        <v>0.21395223426338372</v>
      </c>
      <c r="CS17" s="644">
        <f t="shared" si="26"/>
        <v>6.1577994933043945E-2</v>
      </c>
      <c r="CT17" s="644">
        <f t="shared" si="26"/>
        <v>0.12512048672214204</v>
      </c>
      <c r="CU17" s="645">
        <f t="shared" si="26"/>
        <v>9.2638975802676216E-2</v>
      </c>
      <c r="CV17" s="644">
        <f t="shared" si="26"/>
        <v>-3.8276289086388582E-3</v>
      </c>
      <c r="CW17" s="644">
        <f t="shared" si="26"/>
        <v>-5.5512181484688838E-2</v>
      </c>
      <c r="CX17" s="644">
        <f t="shared" si="26"/>
        <v>0.18075641348088545</v>
      </c>
      <c r="CY17" s="645">
        <f t="shared" si="26"/>
        <v>0.13904469257624275</v>
      </c>
      <c r="DA17" s="432"/>
      <c r="DB17" s="432"/>
      <c r="DC17" s="432"/>
      <c r="DD17" s="432"/>
      <c r="DE17" s="432"/>
      <c r="DF17" s="432"/>
      <c r="DG17" s="432"/>
      <c r="DH17" s="432">
        <f t="shared" ref="DH17:ED17" si="27">DH15/DG15-1</f>
        <v>0.11641174540003352</v>
      </c>
      <c r="DI17" s="432">
        <f t="shared" si="27"/>
        <v>0.15336332252327645</v>
      </c>
      <c r="DJ17" s="432">
        <f t="shared" si="27"/>
        <v>0.27977726111541679</v>
      </c>
      <c r="DK17" s="432">
        <f t="shared" si="27"/>
        <v>0.18535527616641567</v>
      </c>
      <c r="DL17" s="432">
        <f t="shared" si="27"/>
        <v>0.1516997777123521</v>
      </c>
      <c r="DM17" s="432">
        <f t="shared" si="27"/>
        <v>0.14675270224801795</v>
      </c>
      <c r="DN17" s="432">
        <f t="shared" si="27"/>
        <v>2.8292117691083529E-2</v>
      </c>
      <c r="DO17" s="432">
        <f t="shared" si="27"/>
        <v>-2.3919138598924583E-3</v>
      </c>
      <c r="DP17" s="432">
        <f t="shared" si="27"/>
        <v>2.1360414326231147E-2</v>
      </c>
      <c r="DQ17" s="432">
        <f t="shared" si="27"/>
        <v>0.19049905815380641</v>
      </c>
      <c r="DR17" s="432">
        <f t="shared" si="27"/>
        <v>5.8406665753935716E-2</v>
      </c>
      <c r="DS17" s="432">
        <f t="shared" si="27"/>
        <v>-0.27122075470961005</v>
      </c>
      <c r="DT17" s="432">
        <f t="shared" si="27"/>
        <v>-5.696151640069258E-2</v>
      </c>
      <c r="DU17" s="432">
        <f t="shared" si="27"/>
        <v>0.25109945183728311</v>
      </c>
      <c r="DV17" s="432">
        <f t="shared" si="27"/>
        <v>7.6532724302458277E-4</v>
      </c>
      <c r="DW17" s="432">
        <f t="shared" si="27"/>
        <v>0.15715144715814611</v>
      </c>
      <c r="DX17" s="432">
        <f t="shared" si="27"/>
        <v>0.12179868346484146</v>
      </c>
      <c r="DY17" s="432">
        <f t="shared" si="27"/>
        <v>6.8508301033616936E-2</v>
      </c>
      <c r="DZ17" s="432">
        <f t="shared" si="27"/>
        <v>3.3720349172566388E-2</v>
      </c>
      <c r="EA17" s="432">
        <f t="shared" si="27"/>
        <v>7.2265694403446767E-2</v>
      </c>
      <c r="EB17" s="432">
        <f t="shared" si="27"/>
        <v>9.1626352165433467E-2</v>
      </c>
      <c r="EC17" s="432">
        <f t="shared" si="27"/>
        <v>2.291856154308114E-2</v>
      </c>
      <c r="ED17" s="432">
        <f t="shared" si="27"/>
        <v>-5.00919281042006E-2</v>
      </c>
      <c r="EE17" s="435"/>
    </row>
    <row r="18" spans="1:135" s="658" customFormat="1" ht="15">
      <c r="A18" s="590"/>
      <c r="B18" s="638" t="s">
        <v>65</v>
      </c>
      <c r="C18" s="592"/>
      <c r="D18" s="593"/>
      <c r="E18" s="592"/>
      <c r="F18" s="592"/>
      <c r="G18" s="594"/>
      <c r="H18" s="592"/>
      <c r="I18" s="592"/>
      <c r="J18" s="592"/>
      <c r="K18" s="594"/>
      <c r="L18" s="592"/>
      <c r="M18" s="592"/>
      <c r="N18" s="592"/>
      <c r="O18" s="594"/>
      <c r="P18" s="592"/>
      <c r="Q18" s="592"/>
      <c r="R18" s="592"/>
      <c r="S18" s="594"/>
      <c r="T18" s="592"/>
      <c r="U18" s="592"/>
      <c r="V18" s="592"/>
      <c r="W18" s="594"/>
      <c r="X18" s="592"/>
      <c r="Y18" s="592"/>
      <c r="Z18" s="592"/>
      <c r="AA18" s="594"/>
      <c r="AB18" s="640">
        <v>4.6662819999999998</v>
      </c>
      <c r="AC18" s="640">
        <v>4.6913910000000003</v>
      </c>
      <c r="AD18" s="640">
        <v>3.875505</v>
      </c>
      <c r="AE18" s="641">
        <v>3.978844</v>
      </c>
      <c r="AF18" s="640">
        <v>3.9213550000000001</v>
      </c>
      <c r="AG18" s="640">
        <v>4.2690650000000003</v>
      </c>
      <c r="AH18" s="640">
        <v>3.4839899999999999</v>
      </c>
      <c r="AI18" s="641">
        <v>3.854225</v>
      </c>
      <c r="AJ18" s="640">
        <v>4.0677659999999998</v>
      </c>
      <c r="AK18" s="640">
        <v>4.5539370000000003</v>
      </c>
      <c r="AL18" s="640">
        <v>3.8631289999999998</v>
      </c>
      <c r="AM18" s="641">
        <v>3.8958140000000001</v>
      </c>
      <c r="AN18" s="640">
        <v>4.170458</v>
      </c>
      <c r="AO18" s="640">
        <v>4.1679529999999998</v>
      </c>
      <c r="AP18" s="640">
        <v>3.6615039999999999</v>
      </c>
      <c r="AQ18" s="641">
        <v>3.9102009999999998</v>
      </c>
      <c r="AR18" s="640">
        <v>4.1577320000000002</v>
      </c>
      <c r="AS18" s="640">
        <v>4.1815709999999999</v>
      </c>
      <c r="AT18" s="640">
        <v>3.6450619999999998</v>
      </c>
      <c r="AU18" s="641">
        <v>3.800764</v>
      </c>
      <c r="AV18" s="640">
        <v>3.9641120000000001</v>
      </c>
      <c r="AW18" s="640">
        <v>4.1526550000000002</v>
      </c>
      <c r="AX18" s="640">
        <v>3.7414399999999999</v>
      </c>
      <c r="AY18" s="641">
        <v>3.933316</v>
      </c>
      <c r="AZ18" s="640">
        <v>4.1481969999999997</v>
      </c>
      <c r="BA18" s="640">
        <v>4.1311140000000002</v>
      </c>
      <c r="BB18" s="640">
        <v>3.4137499999999998</v>
      </c>
      <c r="BC18" s="641">
        <v>3.6208040000000001</v>
      </c>
      <c r="BD18" s="640">
        <v>3.824557</v>
      </c>
      <c r="BE18" s="640">
        <v>4.0669259999999996</v>
      </c>
      <c r="BF18" s="640">
        <v>3.5594030000000001</v>
      </c>
      <c r="BG18" s="641">
        <v>3.6505879999999999</v>
      </c>
      <c r="BH18" s="640">
        <v>3.4949729999999999</v>
      </c>
      <c r="BI18" s="640">
        <v>3.4828190000000001</v>
      </c>
      <c r="BJ18" s="640">
        <v>2.9703680000000001</v>
      </c>
      <c r="BK18" s="641">
        <v>2.6899829999999998</v>
      </c>
      <c r="BL18" s="640">
        <v>1.6985730000000001</v>
      </c>
      <c r="BM18" s="640">
        <v>1.7765150000000001</v>
      </c>
      <c r="BN18" s="640">
        <v>2.3547920000000002</v>
      </c>
      <c r="BO18" s="641">
        <v>2.7528670000000002</v>
      </c>
      <c r="BP18" s="640">
        <v>2.8970919999999998</v>
      </c>
      <c r="BQ18" s="640">
        <v>3.0896669999999999</v>
      </c>
      <c r="BR18" s="640">
        <v>2.9810970000000001</v>
      </c>
      <c r="BS18" s="641">
        <v>2.97275</v>
      </c>
      <c r="BT18" s="640">
        <v>3.3808189999999998</v>
      </c>
      <c r="BU18" s="640">
        <v>3.1236470000000001</v>
      </c>
      <c r="BV18" s="640">
        <v>3.18221</v>
      </c>
      <c r="BW18" s="641">
        <v>3.4391780000000001</v>
      </c>
      <c r="BX18" s="640">
        <v>3.9644940000000002</v>
      </c>
      <c r="BY18" s="640">
        <v>3.9864929999999998</v>
      </c>
      <c r="BZ18" s="640">
        <v>3.6666219999999998</v>
      </c>
      <c r="CA18" s="641">
        <v>3.8167330000000002</v>
      </c>
      <c r="CB18" s="640">
        <v>4.0147909999999998</v>
      </c>
      <c r="CC18" s="640">
        <v>4.2583140000000004</v>
      </c>
      <c r="CD18" s="640">
        <v>3.883067</v>
      </c>
      <c r="CE18" s="641">
        <v>4.0208149999999998</v>
      </c>
      <c r="CF18" s="640">
        <v>4.2043160000000004</v>
      </c>
      <c r="CG18" s="640">
        <v>4.4116999999999997</v>
      </c>
      <c r="CH18" s="640">
        <v>4.176787</v>
      </c>
      <c r="CI18" s="641">
        <v>4.2367670000000004</v>
      </c>
      <c r="CJ18" s="640">
        <v>4.2647570000000004</v>
      </c>
      <c r="CK18" s="640">
        <v>4.5341509999999996</v>
      </c>
      <c r="CL18" s="640">
        <v>4.3676979999999999</v>
      </c>
      <c r="CM18" s="641">
        <v>4.3287829999999996</v>
      </c>
      <c r="CN18" s="640">
        <v>4.4552719999999999</v>
      </c>
      <c r="CO18" s="640">
        <v>4.5993849999999998</v>
      </c>
      <c r="CP18" s="640">
        <v>4.4243649999999999</v>
      </c>
      <c r="CQ18" s="642">
        <v>4.3576629999999996</v>
      </c>
      <c r="CR18" s="643">
        <v>4.527622</v>
      </c>
      <c r="CS18" s="643">
        <v>4.457109</v>
      </c>
      <c r="CT18" s="640">
        <v>3.9710670000000001</v>
      </c>
      <c r="CU18" s="641">
        <v>4.1808139999999998</v>
      </c>
      <c r="CV18" s="869">
        <f>$DY$18*0.26</f>
        <v>4.3630599999999999</v>
      </c>
      <c r="CW18" s="869">
        <f>$DY$18*0.26</f>
        <v>4.3630599999999999</v>
      </c>
      <c r="CX18" s="869">
        <f>$DY$18*0.24</f>
        <v>4.0274399999999995</v>
      </c>
      <c r="CY18" s="870">
        <f>$DY$18*0.24</f>
        <v>4.0274399999999995</v>
      </c>
      <c r="CZ18" s="596"/>
      <c r="DA18" s="595"/>
      <c r="DB18" s="595"/>
      <c r="DC18" s="595"/>
      <c r="DD18" s="595"/>
      <c r="DE18" s="595"/>
      <c r="DF18" s="595"/>
      <c r="DG18" s="597">
        <f>SUM(AB18:AE18)</f>
        <v>17.212022000000001</v>
      </c>
      <c r="DH18" s="597">
        <f>SUM(AF18:AI18)</f>
        <v>15.528635</v>
      </c>
      <c r="DI18" s="597">
        <f>SUM(AJ18:AM18)</f>
        <v>16.380646000000002</v>
      </c>
      <c r="DJ18" s="597">
        <f>SUM(AN18:AQ18)</f>
        <v>15.910116000000002</v>
      </c>
      <c r="DK18" s="597">
        <f>SUM(AR18:AU18)</f>
        <v>15.785129000000001</v>
      </c>
      <c r="DL18" s="597">
        <f>SUM(AV18:AY18)</f>
        <v>15.791523</v>
      </c>
      <c r="DM18" s="597">
        <f>SUM(AZ18:BC18)</f>
        <v>15.313865</v>
      </c>
      <c r="DN18" s="597">
        <f>SUM(BD18:BG18)</f>
        <v>15.101474</v>
      </c>
      <c r="DO18" s="597">
        <f>SUM(BH18:BK18)</f>
        <v>12.638142999999999</v>
      </c>
      <c r="DP18" s="597">
        <f>SUM(BL18:BO18)</f>
        <v>8.5827470000000012</v>
      </c>
      <c r="DQ18" s="597">
        <f>SUM(BP18:BS18)</f>
        <v>11.940605999999999</v>
      </c>
      <c r="DR18" s="597">
        <f>SUM(BT18:BW18)</f>
        <v>13.125854</v>
      </c>
      <c r="DS18" s="597">
        <f>SUM(BX18:CA18)</f>
        <v>15.434342000000001</v>
      </c>
      <c r="DT18" s="597">
        <f>SUM(CB18:CE18)</f>
        <v>16.176987</v>
      </c>
      <c r="DU18" s="597">
        <f>SUM(CF18:CI18)</f>
        <v>17.02957</v>
      </c>
      <c r="DV18" s="597">
        <f>SUM(CJ18:CM18)</f>
        <v>17.495389000000003</v>
      </c>
      <c r="DW18" s="591">
        <f>SUM(CN18:CQ18)</f>
        <v>17.836684999999999</v>
      </c>
      <c r="DX18" s="591">
        <f>SUM(CR18:CU18)</f>
        <v>17.136612</v>
      </c>
      <c r="DY18" s="897">
        <v>16.780999999999999</v>
      </c>
      <c r="DZ18" s="898">
        <v>16.109760000000001</v>
      </c>
      <c r="EA18" s="898">
        <v>16</v>
      </c>
      <c r="EB18" s="898">
        <v>16.079999999999998</v>
      </c>
      <c r="EC18" s="646">
        <f>EB18*1.005</f>
        <v>16.160399999999996</v>
      </c>
      <c r="ED18" s="646">
        <f>EC18*1.005</f>
        <v>16.241201999999994</v>
      </c>
      <c r="EE18" s="592"/>
    </row>
    <row r="19" spans="1:135" s="599" customFormat="1" ht="15">
      <c r="A19" s="258"/>
      <c r="B19" s="639" t="s">
        <v>310</v>
      </c>
      <c r="C19" s="435"/>
      <c r="D19" s="598"/>
      <c r="E19" s="432"/>
      <c r="F19" s="432"/>
      <c r="G19" s="433"/>
      <c r="H19" s="432"/>
      <c r="I19" s="432"/>
      <c r="J19" s="432"/>
      <c r="K19" s="433"/>
      <c r="L19" s="432"/>
      <c r="M19" s="432"/>
      <c r="N19" s="432"/>
      <c r="O19" s="433"/>
      <c r="P19" s="432"/>
      <c r="Q19" s="432"/>
      <c r="R19" s="432"/>
      <c r="S19" s="433"/>
      <c r="T19" s="432"/>
      <c r="U19" s="432"/>
      <c r="V19" s="432"/>
      <c r="W19" s="433"/>
      <c r="X19" s="432"/>
      <c r="Y19" s="432"/>
      <c r="Z19" s="432"/>
      <c r="AA19" s="433"/>
      <c r="AB19" s="644"/>
      <c r="AC19" s="644">
        <f t="shared" ref="AC19:BH19" si="28">AC18/AB18-1</f>
        <v>5.3809435434892805E-3</v>
      </c>
      <c r="AD19" s="644">
        <f t="shared" si="28"/>
        <v>-0.17391131969175033</v>
      </c>
      <c r="AE19" s="645">
        <f t="shared" si="28"/>
        <v>2.666465402573337E-2</v>
      </c>
      <c r="AF19" s="644">
        <f t="shared" si="28"/>
        <v>-1.4448669010395987E-2</v>
      </c>
      <c r="AG19" s="644">
        <f t="shared" si="28"/>
        <v>8.8670880346206848E-2</v>
      </c>
      <c r="AH19" s="644">
        <f t="shared" si="28"/>
        <v>-0.18389858200800413</v>
      </c>
      <c r="AI19" s="645">
        <f t="shared" si="28"/>
        <v>0.10626752660024863</v>
      </c>
      <c r="AJ19" s="644">
        <f t="shared" si="28"/>
        <v>5.5404393879443958E-2</v>
      </c>
      <c r="AK19" s="644">
        <f t="shared" si="28"/>
        <v>0.11951793687247503</v>
      </c>
      <c r="AL19" s="644">
        <f t="shared" si="28"/>
        <v>-0.15169467649640311</v>
      </c>
      <c r="AM19" s="645">
        <f t="shared" si="28"/>
        <v>8.460758105670374E-3</v>
      </c>
      <c r="AN19" s="644">
        <f t="shared" si="28"/>
        <v>7.0497205462067614E-2</v>
      </c>
      <c r="AO19" s="644">
        <f t="shared" si="28"/>
        <v>-6.0065345340976073E-4</v>
      </c>
      <c r="AP19" s="644">
        <f t="shared" si="28"/>
        <v>-0.12151024735643612</v>
      </c>
      <c r="AQ19" s="645">
        <f t="shared" si="28"/>
        <v>6.7922088846550377E-2</v>
      </c>
      <c r="AR19" s="644">
        <f t="shared" si="28"/>
        <v>6.3303906883559247E-2</v>
      </c>
      <c r="AS19" s="644">
        <f t="shared" si="28"/>
        <v>5.7336547906405855E-3</v>
      </c>
      <c r="AT19" s="644">
        <f t="shared" si="28"/>
        <v>-0.12830321427042612</v>
      </c>
      <c r="AU19" s="645">
        <f t="shared" si="28"/>
        <v>4.271587149957945E-2</v>
      </c>
      <c r="AV19" s="644">
        <f t="shared" si="28"/>
        <v>4.2977675014812755E-2</v>
      </c>
      <c r="AW19" s="644">
        <f t="shared" si="28"/>
        <v>4.7562480575725541E-2</v>
      </c>
      <c r="AX19" s="644">
        <f t="shared" si="28"/>
        <v>-9.9024599924626644E-2</v>
      </c>
      <c r="AY19" s="645">
        <f t="shared" si="28"/>
        <v>5.1283997605200193E-2</v>
      </c>
      <c r="AZ19" s="644">
        <f t="shared" si="28"/>
        <v>5.4631003458659233E-2</v>
      </c>
      <c r="BA19" s="644">
        <f t="shared" si="28"/>
        <v>-4.1181747154244164E-3</v>
      </c>
      <c r="BB19" s="644">
        <f t="shared" si="28"/>
        <v>-0.17364904478549859</v>
      </c>
      <c r="BC19" s="645">
        <f t="shared" si="28"/>
        <v>6.0652947638227817E-2</v>
      </c>
      <c r="BD19" s="644">
        <f t="shared" si="28"/>
        <v>5.6272860944696301E-2</v>
      </c>
      <c r="BE19" s="644">
        <f t="shared" si="28"/>
        <v>6.3371783973934726E-2</v>
      </c>
      <c r="BF19" s="644">
        <f t="shared" si="28"/>
        <v>-0.12479277960798885</v>
      </c>
      <c r="BG19" s="645">
        <f t="shared" si="28"/>
        <v>2.5618060107270857E-2</v>
      </c>
      <c r="BH19" s="644">
        <f t="shared" si="28"/>
        <v>-4.2627379479689309E-2</v>
      </c>
      <c r="BI19" s="644">
        <f t="shared" ref="BI19:CN19" si="29">BI18/BH18-1</f>
        <v>-3.477566207235272E-3</v>
      </c>
      <c r="BJ19" s="644">
        <f t="shared" si="29"/>
        <v>-0.14713684518202064</v>
      </c>
      <c r="BK19" s="645">
        <f t="shared" si="29"/>
        <v>-9.4394027945359116E-2</v>
      </c>
      <c r="BL19" s="644">
        <f t="shared" si="29"/>
        <v>-0.36855623251150649</v>
      </c>
      <c r="BM19" s="644">
        <f t="shared" si="29"/>
        <v>4.5886753174576578E-2</v>
      </c>
      <c r="BN19" s="644">
        <f t="shared" si="29"/>
        <v>0.32551202776221988</v>
      </c>
      <c r="BO19" s="645">
        <f t="shared" si="29"/>
        <v>0.16904890113436766</v>
      </c>
      <c r="BP19" s="644">
        <f t="shared" si="29"/>
        <v>5.2390834718858414E-2</v>
      </c>
      <c r="BQ19" s="644">
        <f t="shared" si="29"/>
        <v>6.6471827611964018E-2</v>
      </c>
      <c r="BR19" s="644">
        <f t="shared" si="29"/>
        <v>-3.5139709230800564E-2</v>
      </c>
      <c r="BS19" s="645">
        <f t="shared" si="29"/>
        <v>-2.7999759819958836E-3</v>
      </c>
      <c r="BT19" s="644">
        <f t="shared" si="29"/>
        <v>0.13726986796737028</v>
      </c>
      <c r="BU19" s="644">
        <f t="shared" si="29"/>
        <v>-7.6067958681017789E-2</v>
      </c>
      <c r="BV19" s="644">
        <f t="shared" si="29"/>
        <v>1.8748277254119872E-2</v>
      </c>
      <c r="BW19" s="645">
        <f t="shared" si="29"/>
        <v>8.0751427467074866E-2</v>
      </c>
      <c r="BX19" s="644">
        <f t="shared" si="29"/>
        <v>0.15274463839905938</v>
      </c>
      <c r="BY19" s="644">
        <f t="shared" si="29"/>
        <v>5.5490057495357625E-3</v>
      </c>
      <c r="BZ19" s="644">
        <f t="shared" si="29"/>
        <v>-8.0238696016774691E-2</v>
      </c>
      <c r="CA19" s="645">
        <f t="shared" si="29"/>
        <v>4.0939862358323476E-2</v>
      </c>
      <c r="CB19" s="644">
        <f t="shared" si="29"/>
        <v>5.1892023885348859E-2</v>
      </c>
      <c r="CC19" s="644">
        <f t="shared" si="29"/>
        <v>6.0656457583968981E-2</v>
      </c>
      <c r="CD19" s="644">
        <f t="shared" si="29"/>
        <v>-8.8121026302898309E-2</v>
      </c>
      <c r="CE19" s="645">
        <f t="shared" si="29"/>
        <v>3.5474020922121596E-2</v>
      </c>
      <c r="CF19" s="644">
        <f t="shared" si="29"/>
        <v>4.5637762493424994E-2</v>
      </c>
      <c r="CG19" s="644">
        <f t="shared" si="29"/>
        <v>4.9326454053405966E-2</v>
      </c>
      <c r="CH19" s="644">
        <f t="shared" si="29"/>
        <v>-5.3247727633338515E-2</v>
      </c>
      <c r="CI19" s="645">
        <f t="shared" si="29"/>
        <v>1.436032050473246E-2</v>
      </c>
      <c r="CJ19" s="644">
        <f t="shared" si="29"/>
        <v>6.6064525143818553E-3</v>
      </c>
      <c r="CK19" s="644">
        <f t="shared" si="29"/>
        <v>6.3167491137243958E-2</v>
      </c>
      <c r="CL19" s="644">
        <f t="shared" si="29"/>
        <v>-3.6710952061367097E-2</v>
      </c>
      <c r="CM19" s="645">
        <f t="shared" si="29"/>
        <v>-8.9097277330072444E-3</v>
      </c>
      <c r="CN19" s="644">
        <f t="shared" si="29"/>
        <v>2.9220452954098253E-2</v>
      </c>
      <c r="CO19" s="644">
        <f t="shared" ref="CO19:CY19" si="30">CO18/CN18-1</f>
        <v>3.2346622159096006E-2</v>
      </c>
      <c r="CP19" s="644">
        <f t="shared" si="30"/>
        <v>-3.8052913596056892E-2</v>
      </c>
      <c r="CQ19" s="645">
        <f t="shared" si="30"/>
        <v>-1.5076061762535509E-2</v>
      </c>
      <c r="CR19" s="644">
        <f t="shared" si="30"/>
        <v>3.9002327623774535E-2</v>
      </c>
      <c r="CS19" s="644">
        <f t="shared" si="30"/>
        <v>-1.5573959133514226E-2</v>
      </c>
      <c r="CT19" s="644">
        <f t="shared" si="30"/>
        <v>-0.10904871296618501</v>
      </c>
      <c r="CU19" s="645">
        <f t="shared" si="30"/>
        <v>5.2818801596648868E-2</v>
      </c>
      <c r="CV19" s="644">
        <f t="shared" si="30"/>
        <v>4.3591032751038483E-2</v>
      </c>
      <c r="CW19" s="644">
        <f t="shared" si="30"/>
        <v>0</v>
      </c>
      <c r="CX19" s="644">
        <f t="shared" si="30"/>
        <v>-7.6923076923076983E-2</v>
      </c>
      <c r="CY19" s="645">
        <f t="shared" si="30"/>
        <v>0</v>
      </c>
      <c r="DA19" s="432"/>
      <c r="DB19" s="432"/>
      <c r="DC19" s="432"/>
      <c r="DD19" s="432"/>
      <c r="DE19" s="432"/>
      <c r="DF19" s="432"/>
      <c r="DG19" s="432"/>
      <c r="DH19" s="432"/>
      <c r="DI19" s="432"/>
      <c r="DJ19" s="432"/>
      <c r="DK19" s="432"/>
      <c r="DL19" s="432"/>
      <c r="DM19" s="432"/>
      <c r="DN19" s="432"/>
      <c r="DO19" s="432"/>
      <c r="DP19" s="432"/>
      <c r="DQ19" s="432"/>
      <c r="DR19" s="432"/>
      <c r="DS19" s="432"/>
      <c r="DT19" s="432"/>
      <c r="DU19" s="432"/>
      <c r="DV19" s="432"/>
      <c r="DW19" s="432"/>
      <c r="DX19" s="432"/>
      <c r="DY19" s="432"/>
      <c r="DZ19" s="432"/>
      <c r="EA19" s="432"/>
      <c r="EB19" s="432"/>
      <c r="EC19" s="432"/>
      <c r="ED19" s="432"/>
      <c r="EE19" s="435"/>
    </row>
    <row r="20" spans="1:135" s="599" customFormat="1" ht="15">
      <c r="A20" s="258"/>
      <c r="B20" s="639" t="s">
        <v>240</v>
      </c>
      <c r="C20" s="435"/>
      <c r="D20" s="598"/>
      <c r="E20" s="432"/>
      <c r="F20" s="432"/>
      <c r="G20" s="433"/>
      <c r="H20" s="432"/>
      <c r="I20" s="432"/>
      <c r="J20" s="432"/>
      <c r="K20" s="433"/>
      <c r="L20" s="432"/>
      <c r="M20" s="432"/>
      <c r="N20" s="432"/>
      <c r="O20" s="433"/>
      <c r="P20" s="432"/>
      <c r="Q20" s="432"/>
      <c r="R20" s="432"/>
      <c r="S20" s="433"/>
      <c r="T20" s="432"/>
      <c r="U20" s="432"/>
      <c r="V20" s="432"/>
      <c r="W20" s="433"/>
      <c r="X20" s="432"/>
      <c r="Y20" s="432"/>
      <c r="Z20" s="432"/>
      <c r="AA20" s="433"/>
      <c r="AB20" s="644"/>
      <c r="AC20" s="644"/>
      <c r="AD20" s="644"/>
      <c r="AE20" s="645"/>
      <c r="AF20" s="644">
        <f t="shared" ref="AF20:BK20" si="31">AF18/AB18-1</f>
        <v>-0.15964037321362057</v>
      </c>
      <c r="AG20" s="644">
        <f t="shared" si="31"/>
        <v>-9.0021488296328278E-2</v>
      </c>
      <c r="AH20" s="644">
        <f t="shared" si="31"/>
        <v>-0.10102296345895567</v>
      </c>
      <c r="AI20" s="645">
        <f t="shared" si="31"/>
        <v>-3.1320403614718217E-2</v>
      </c>
      <c r="AJ20" s="644">
        <f t="shared" si="31"/>
        <v>3.7336838924300286E-2</v>
      </c>
      <c r="AK20" s="644">
        <f t="shared" si="31"/>
        <v>6.6729365797897122E-2</v>
      </c>
      <c r="AL20" s="644">
        <f t="shared" si="31"/>
        <v>0.10882321705860232</v>
      </c>
      <c r="AM20" s="645">
        <f t="shared" si="31"/>
        <v>1.0790496143842088E-2</v>
      </c>
      <c r="AN20" s="644">
        <f t="shared" si="31"/>
        <v>2.5245306637599274E-2</v>
      </c>
      <c r="AO20" s="644">
        <f t="shared" si="31"/>
        <v>-8.4758309129002063E-2</v>
      </c>
      <c r="AP20" s="644">
        <f t="shared" si="31"/>
        <v>-5.2192147867699989E-2</v>
      </c>
      <c r="AQ20" s="645">
        <f t="shared" si="31"/>
        <v>3.6929381125483385E-3</v>
      </c>
      <c r="AR20" s="644">
        <f t="shared" si="31"/>
        <v>-3.0514634124116924E-3</v>
      </c>
      <c r="AS20" s="644">
        <f t="shared" si="31"/>
        <v>3.2673113156507227E-3</v>
      </c>
      <c r="AT20" s="644">
        <f t="shared" si="31"/>
        <v>-4.4905044484452317E-3</v>
      </c>
      <c r="AU20" s="645">
        <f t="shared" si="31"/>
        <v>-2.7987563810658256E-2</v>
      </c>
      <c r="AV20" s="644">
        <f t="shared" si="31"/>
        <v>-4.6568658104947591E-2</v>
      </c>
      <c r="AW20" s="644">
        <f t="shared" si="31"/>
        <v>-6.9151043949748914E-3</v>
      </c>
      <c r="AX20" s="644">
        <f t="shared" si="31"/>
        <v>2.6440702517542825E-2</v>
      </c>
      <c r="AY20" s="645">
        <f t="shared" si="31"/>
        <v>3.4875093533826451E-2</v>
      </c>
      <c r="AZ20" s="644">
        <f t="shared" si="31"/>
        <v>4.6437890755861577E-2</v>
      </c>
      <c r="BA20" s="644">
        <f t="shared" si="31"/>
        <v>-5.187283797955744E-3</v>
      </c>
      <c r="BB20" s="644">
        <f t="shared" si="31"/>
        <v>-8.7583924905918598E-2</v>
      </c>
      <c r="BC20" s="645">
        <f t="shared" si="31"/>
        <v>-7.9452553519727354E-2</v>
      </c>
      <c r="BD20" s="644">
        <f t="shared" si="31"/>
        <v>-7.8019438324650414E-2</v>
      </c>
      <c r="BE20" s="644">
        <f t="shared" si="31"/>
        <v>-1.5537697579878107E-2</v>
      </c>
      <c r="BF20" s="644">
        <f t="shared" si="31"/>
        <v>4.2666569022336231E-2</v>
      </c>
      <c r="BG20" s="645">
        <f t="shared" si="31"/>
        <v>8.2257973643422577E-3</v>
      </c>
      <c r="BH20" s="644">
        <f t="shared" si="31"/>
        <v>-8.6175732248205517E-2</v>
      </c>
      <c r="BI20" s="644">
        <f t="shared" si="31"/>
        <v>-0.14362370989784412</v>
      </c>
      <c r="BJ20" s="644">
        <f t="shared" si="31"/>
        <v>-0.16548702127856829</v>
      </c>
      <c r="BK20" s="645">
        <f t="shared" si="31"/>
        <v>-0.26313706175553098</v>
      </c>
      <c r="BL20" s="644">
        <f t="shared" ref="BL20:CQ20" si="32">BL18/BH18-1</f>
        <v>-0.51399538708882719</v>
      </c>
      <c r="BM20" s="644">
        <f t="shared" si="32"/>
        <v>-0.48992037771701602</v>
      </c>
      <c r="BN20" s="644">
        <f t="shared" si="32"/>
        <v>-0.20723896837024902</v>
      </c>
      <c r="BO20" s="645">
        <f t="shared" si="32"/>
        <v>2.3377099409178648E-2</v>
      </c>
      <c r="BP20" s="644">
        <f t="shared" si="32"/>
        <v>0.7056034683231156</v>
      </c>
      <c r="BQ20" s="644">
        <f t="shared" si="32"/>
        <v>0.73917304385271154</v>
      </c>
      <c r="BR20" s="644">
        <f t="shared" si="32"/>
        <v>0.26597041267339105</v>
      </c>
      <c r="BS20" s="645">
        <f t="shared" si="32"/>
        <v>7.9874182079991529E-2</v>
      </c>
      <c r="BT20" s="644">
        <f t="shared" si="32"/>
        <v>0.16696984424381411</v>
      </c>
      <c r="BU20" s="644">
        <f t="shared" si="32"/>
        <v>1.0997948969905247E-2</v>
      </c>
      <c r="BV20" s="644">
        <f t="shared" si="32"/>
        <v>6.7462749450957205E-2</v>
      </c>
      <c r="BW20" s="645">
        <f t="shared" si="32"/>
        <v>0.15690118577075096</v>
      </c>
      <c r="BX20" s="644">
        <f t="shared" si="32"/>
        <v>0.17264307849666016</v>
      </c>
      <c r="BY20" s="644">
        <f t="shared" si="32"/>
        <v>0.27623031667790876</v>
      </c>
      <c r="BZ20" s="644">
        <f t="shared" si="32"/>
        <v>0.15222502600394061</v>
      </c>
      <c r="CA20" s="645">
        <f t="shared" si="32"/>
        <v>0.10978059292075026</v>
      </c>
      <c r="CB20" s="644">
        <f t="shared" si="32"/>
        <v>1.2686864956788835E-2</v>
      </c>
      <c r="CC20" s="644">
        <f t="shared" si="32"/>
        <v>6.8185495371495763E-2</v>
      </c>
      <c r="CD20" s="644">
        <f t="shared" si="32"/>
        <v>5.9031173652479119E-2</v>
      </c>
      <c r="CE20" s="645">
        <f t="shared" si="32"/>
        <v>5.3470337065757434E-2</v>
      </c>
      <c r="CF20" s="644">
        <f t="shared" si="32"/>
        <v>4.7206691456666228E-2</v>
      </c>
      <c r="CG20" s="644">
        <f t="shared" si="32"/>
        <v>3.6020359231376364E-2</v>
      </c>
      <c r="CH20" s="644">
        <f t="shared" si="32"/>
        <v>7.5641239257524973E-2</v>
      </c>
      <c r="CI20" s="645">
        <f t="shared" si="32"/>
        <v>5.3708514318614675E-2</v>
      </c>
      <c r="CJ20" s="644">
        <f t="shared" si="32"/>
        <v>1.4375941294612504E-2</v>
      </c>
      <c r="CK20" s="644">
        <f t="shared" si="32"/>
        <v>2.7755967087517153E-2</v>
      </c>
      <c r="CL20" s="644">
        <f t="shared" si="32"/>
        <v>4.5707621671873477E-2</v>
      </c>
      <c r="CM20" s="645">
        <f t="shared" si="32"/>
        <v>2.1718447108372674E-2</v>
      </c>
      <c r="CN20" s="644">
        <f t="shared" si="32"/>
        <v>4.4671947311417659E-2</v>
      </c>
      <c r="CO20" s="644">
        <f t="shared" si="32"/>
        <v>1.4387257945313259E-2</v>
      </c>
      <c r="CP20" s="644">
        <f t="shared" si="32"/>
        <v>1.2974111305314562E-2</v>
      </c>
      <c r="CQ20" s="645">
        <f t="shared" si="32"/>
        <v>6.6716210999719916E-3</v>
      </c>
      <c r="CR20" s="644">
        <f t="shared" ref="CR20:CY20" si="33">CR18/CN18-1</f>
        <v>1.6239188089975265E-2</v>
      </c>
      <c r="CS20" s="644">
        <f t="shared" si="33"/>
        <v>-3.0933700918709728E-2</v>
      </c>
      <c r="CT20" s="644">
        <f t="shared" si="33"/>
        <v>-0.10245492856036964</v>
      </c>
      <c r="CU20" s="645">
        <f t="shared" si="33"/>
        <v>-4.0583450349418904E-2</v>
      </c>
      <c r="CV20" s="644">
        <f t="shared" si="33"/>
        <v>-3.6346232083862118E-2</v>
      </c>
      <c r="CW20" s="644">
        <f t="shared" si="33"/>
        <v>-2.1100897465150648E-2</v>
      </c>
      <c r="CX20" s="644">
        <f t="shared" si="33"/>
        <v>1.4195932730422189E-2</v>
      </c>
      <c r="CY20" s="645">
        <f t="shared" si="33"/>
        <v>-3.6685200537503015E-2</v>
      </c>
      <c r="DA20" s="432"/>
      <c r="DB20" s="432"/>
      <c r="DC20" s="432"/>
      <c r="DD20" s="432"/>
      <c r="DE20" s="432"/>
      <c r="DF20" s="432"/>
      <c r="DG20" s="432"/>
      <c r="DH20" s="432">
        <f t="shared" ref="DH20:ED20" si="34">DH18/DG18-1</f>
        <v>-9.7802977477021713E-2</v>
      </c>
      <c r="DI20" s="432">
        <f t="shared" si="34"/>
        <v>5.4867089090573806E-2</v>
      </c>
      <c r="DJ20" s="432">
        <f t="shared" si="34"/>
        <v>-2.8724752369351014E-2</v>
      </c>
      <c r="DK20" s="432">
        <f t="shared" si="34"/>
        <v>-7.8558195301656752E-3</v>
      </c>
      <c r="DL20" s="432">
        <f t="shared" si="34"/>
        <v>4.0506479231172676E-4</v>
      </c>
      <c r="DM20" s="432">
        <f t="shared" si="34"/>
        <v>-3.0247747478188147E-2</v>
      </c>
      <c r="DN20" s="432">
        <f t="shared" si="34"/>
        <v>-1.3869196313275545E-2</v>
      </c>
      <c r="DO20" s="432">
        <f t="shared" si="34"/>
        <v>-0.16311858034520343</v>
      </c>
      <c r="DP20" s="432">
        <f t="shared" si="34"/>
        <v>-0.32088543388059454</v>
      </c>
      <c r="DQ20" s="432">
        <f t="shared" si="34"/>
        <v>0.39123359921945711</v>
      </c>
      <c r="DR20" s="432">
        <f t="shared" si="34"/>
        <v>9.9261963756278604E-2</v>
      </c>
      <c r="DS20" s="432">
        <f t="shared" si="34"/>
        <v>0.17587335650693658</v>
      </c>
      <c r="DT20" s="432">
        <f t="shared" si="34"/>
        <v>4.8116401722859248E-2</v>
      </c>
      <c r="DU20" s="432">
        <f t="shared" si="34"/>
        <v>5.2703448423368382E-2</v>
      </c>
      <c r="DV20" s="432">
        <f t="shared" si="34"/>
        <v>2.7353538580246139E-2</v>
      </c>
      <c r="DW20" s="432">
        <f t="shared" si="34"/>
        <v>1.9507768589769325E-2</v>
      </c>
      <c r="DX20" s="432">
        <f t="shared" si="34"/>
        <v>-3.9249053285405844E-2</v>
      </c>
      <c r="DY20" s="432">
        <f t="shared" si="34"/>
        <v>-2.0751593138713775E-2</v>
      </c>
      <c r="DZ20" s="432">
        <f t="shared" si="34"/>
        <v>-3.9999999999999813E-2</v>
      </c>
      <c r="EA20" s="432">
        <f t="shared" si="34"/>
        <v>-6.8132610293387685E-3</v>
      </c>
      <c r="EB20" s="432">
        <f t="shared" si="34"/>
        <v>4.9999999999998934E-3</v>
      </c>
      <c r="EC20" s="432">
        <f t="shared" si="34"/>
        <v>4.9999999999998934E-3</v>
      </c>
      <c r="ED20" s="432">
        <f t="shared" si="34"/>
        <v>4.9999999999998934E-3</v>
      </c>
      <c r="EE20" s="435"/>
    </row>
    <row r="21" spans="1:135" s="599" customFormat="1" ht="15">
      <c r="A21" s="258"/>
      <c r="B21" s="638" t="s">
        <v>284</v>
      </c>
      <c r="C21" s="435"/>
      <c r="D21" s="598"/>
      <c r="E21" s="432"/>
      <c r="F21" s="432"/>
      <c r="G21" s="433"/>
      <c r="H21" s="432"/>
      <c r="I21" s="432"/>
      <c r="J21" s="432"/>
      <c r="K21" s="433"/>
      <c r="L21" s="432"/>
      <c r="M21" s="432"/>
      <c r="N21" s="432"/>
      <c r="O21" s="433"/>
      <c r="P21" s="432"/>
      <c r="Q21" s="432"/>
      <c r="R21" s="432"/>
      <c r="S21" s="433"/>
      <c r="T21" s="432"/>
      <c r="U21" s="432"/>
      <c r="V21" s="432"/>
      <c r="W21" s="433"/>
      <c r="X21" s="432"/>
      <c r="Y21" s="432"/>
      <c r="Z21" s="432"/>
      <c r="AA21" s="433"/>
      <c r="AB21" s="640">
        <v>0.44327699999999998</v>
      </c>
      <c r="AC21" s="640">
        <v>0.52628699999999995</v>
      </c>
      <c r="AD21" s="640">
        <v>0.55853299999999995</v>
      </c>
      <c r="AE21" s="641">
        <v>0.50254200000000004</v>
      </c>
      <c r="AF21" s="640">
        <v>0.51369100000000001</v>
      </c>
      <c r="AG21" s="640">
        <v>0.61681900000000001</v>
      </c>
      <c r="AH21" s="640">
        <v>0.51482899999999998</v>
      </c>
      <c r="AI21" s="641">
        <v>0.41886299999999999</v>
      </c>
      <c r="AJ21" s="640">
        <v>0.41752499999999998</v>
      </c>
      <c r="AK21" s="640">
        <v>0.50433799999999995</v>
      </c>
      <c r="AL21" s="640">
        <v>0.49116500000000002</v>
      </c>
      <c r="AM21" s="641">
        <v>0.49493700000000002</v>
      </c>
      <c r="AN21" s="640">
        <v>0.44189000000000001</v>
      </c>
      <c r="AO21" s="640">
        <v>0.45783000000000001</v>
      </c>
      <c r="AP21" s="640">
        <v>0.47142000000000001</v>
      </c>
      <c r="AQ21" s="641">
        <v>0.52774100000000002</v>
      </c>
      <c r="AR21" s="640">
        <v>0.55796100000000004</v>
      </c>
      <c r="AS21" s="640">
        <v>0.60159799999999997</v>
      </c>
      <c r="AT21" s="640">
        <v>0.66087899999999999</v>
      </c>
      <c r="AU21" s="641">
        <v>0.66157299999999997</v>
      </c>
      <c r="AV21" s="640">
        <v>0.64795899999999995</v>
      </c>
      <c r="AW21" s="640">
        <v>0.73459399999999997</v>
      </c>
      <c r="AX21" s="640">
        <v>0.73801700000000003</v>
      </c>
      <c r="AY21" s="641">
        <v>0.71454499999999999</v>
      </c>
      <c r="AZ21" s="640">
        <v>0.70586599999999999</v>
      </c>
      <c r="BA21" s="640">
        <v>0.76356299999999999</v>
      </c>
      <c r="BB21" s="640">
        <v>0.80444000000000004</v>
      </c>
      <c r="BC21" s="641">
        <v>0.78959500000000005</v>
      </c>
      <c r="BD21" s="640">
        <v>0.77364299999999997</v>
      </c>
      <c r="BE21" s="640">
        <v>0.87083500000000003</v>
      </c>
      <c r="BF21" s="640">
        <v>0.95941500000000002</v>
      </c>
      <c r="BG21" s="641">
        <v>0.97955400000000004</v>
      </c>
      <c r="BH21" s="640">
        <v>0.90496900000000002</v>
      </c>
      <c r="BI21" s="640">
        <v>1.0539130000000001</v>
      </c>
      <c r="BJ21" s="640">
        <v>1.0911580000000001</v>
      </c>
      <c r="BK21" s="641">
        <v>0.71962599999999999</v>
      </c>
      <c r="BL21" s="640">
        <v>0.75351800000000002</v>
      </c>
      <c r="BM21" s="640">
        <v>0.93273600000000001</v>
      </c>
      <c r="BN21" s="640">
        <v>0.99133899999999997</v>
      </c>
      <c r="BO21" s="641">
        <v>1.0184820000000001</v>
      </c>
      <c r="BP21" s="640">
        <v>0.92503800000000003</v>
      </c>
      <c r="BQ21" s="640">
        <v>1.0521020000000001</v>
      </c>
      <c r="BR21" s="640">
        <v>1.104916</v>
      </c>
      <c r="BS21" s="641">
        <v>1.0935410000000001</v>
      </c>
      <c r="BT21" s="640">
        <v>1.0230030000000001</v>
      </c>
      <c r="BU21" s="640">
        <v>1.141062</v>
      </c>
      <c r="BV21" s="640">
        <v>1.1505700000000001</v>
      </c>
      <c r="BW21" s="641">
        <v>1.006966</v>
      </c>
      <c r="BX21" s="640">
        <v>0.95409600000000006</v>
      </c>
      <c r="BY21" s="640">
        <v>1.0290360000000001</v>
      </c>
      <c r="BZ21" s="640">
        <v>1.1677200000000001</v>
      </c>
      <c r="CA21" s="641">
        <v>1.1400429999999999</v>
      </c>
      <c r="CB21" s="640">
        <v>1.0203549999999999</v>
      </c>
      <c r="CC21" s="640">
        <v>1.2506969999999999</v>
      </c>
      <c r="CD21" s="640">
        <v>1.2096370000000001</v>
      </c>
      <c r="CE21" s="641">
        <v>1.053974</v>
      </c>
      <c r="CF21" s="640">
        <v>0.94764599999999999</v>
      </c>
      <c r="CG21" s="640">
        <v>0.95455199999999996</v>
      </c>
      <c r="CH21" s="640">
        <v>0.99168500000000004</v>
      </c>
      <c r="CI21" s="641">
        <v>0.948986</v>
      </c>
      <c r="CJ21" s="640">
        <v>0.81777200000000005</v>
      </c>
      <c r="CK21" s="640">
        <v>0.80261899999999997</v>
      </c>
      <c r="CL21" s="640">
        <v>0.78278599999999998</v>
      </c>
      <c r="CM21" s="641">
        <v>0.69175600000000004</v>
      </c>
      <c r="CN21" s="640">
        <v>0.61316400000000004</v>
      </c>
      <c r="CO21" s="640">
        <v>0.68422700000000003</v>
      </c>
      <c r="CP21" s="640">
        <v>0.69155999999999995</v>
      </c>
      <c r="CQ21" s="642">
        <v>0.74944699999999997</v>
      </c>
      <c r="CR21" s="643">
        <v>0.73990400000000001</v>
      </c>
      <c r="CS21" s="643">
        <v>0.80473099999999997</v>
      </c>
      <c r="CT21" s="640">
        <v>0.88337699999999997</v>
      </c>
      <c r="CU21" s="641">
        <v>0.86607699999999999</v>
      </c>
      <c r="CV21" s="867">
        <v>0.82053799999999999</v>
      </c>
      <c r="CW21" s="867">
        <v>1.000127</v>
      </c>
      <c r="CX21" s="867">
        <v>1.0492319999999999</v>
      </c>
      <c r="CY21" s="868">
        <v>0.94681599999999999</v>
      </c>
      <c r="DA21" s="432"/>
      <c r="DB21" s="432"/>
      <c r="DC21" s="432"/>
      <c r="DD21" s="432"/>
      <c r="DE21" s="432"/>
      <c r="DF21" s="432"/>
      <c r="DG21" s="597">
        <f>SUM(AB21:AE21)</f>
        <v>2.0306389999999999</v>
      </c>
      <c r="DH21" s="597">
        <f>SUM(AF21:AI21)</f>
        <v>2.0642019999999999</v>
      </c>
      <c r="DI21" s="597">
        <f>SUM(AJ21:AM21)</f>
        <v>1.9079649999999999</v>
      </c>
      <c r="DJ21" s="597">
        <f>SUM(AN21:AQ21)</f>
        <v>1.898881</v>
      </c>
      <c r="DK21" s="597">
        <f>SUM(AR21:AU21)</f>
        <v>2.482011</v>
      </c>
      <c r="DL21" s="597">
        <f>SUM(AV21:AY21)</f>
        <v>2.8351150000000001</v>
      </c>
      <c r="DM21" s="597">
        <f>SUM(AZ21:BC21)</f>
        <v>3.0634639999999997</v>
      </c>
      <c r="DN21" s="597">
        <f>SUM(BD21:BG21)</f>
        <v>3.5834469999999996</v>
      </c>
      <c r="DO21" s="597">
        <f>SUM(BH21:BK21)</f>
        <v>3.769666</v>
      </c>
      <c r="DP21" s="597">
        <f>SUM(BL21:BO21)</f>
        <v>3.696075</v>
      </c>
      <c r="DQ21" s="597">
        <f>SUM(BP21:BS21)</f>
        <v>4.1755969999999998</v>
      </c>
      <c r="DR21" s="597">
        <f>SUM(BT21:BW21)</f>
        <v>4.3216010000000002</v>
      </c>
      <c r="DS21" s="597">
        <f>SUM(BX21:CA21)</f>
        <v>4.2908950000000008</v>
      </c>
      <c r="DT21" s="597">
        <f>SUM(CB21:CE21)</f>
        <v>4.5346630000000001</v>
      </c>
      <c r="DU21" s="597">
        <f>SUM(CF21:CI21)</f>
        <v>3.8428689999999999</v>
      </c>
      <c r="DV21" s="597">
        <f>SUM(CJ21:CM21)</f>
        <v>3.0949330000000002</v>
      </c>
      <c r="DW21" s="591">
        <f>SUM(CN21:CQ21)</f>
        <v>2.7383980000000001</v>
      </c>
      <c r="DX21" s="591">
        <f>SUM(CR21:CU21)</f>
        <v>3.2940889999999996</v>
      </c>
      <c r="DY21" s="591">
        <f>SUM(CV21:CY21)</f>
        <v>3.816713</v>
      </c>
      <c r="DZ21" s="842">
        <v>4.1040590000000003</v>
      </c>
      <c r="EA21" s="842">
        <v>4.2126159999999997</v>
      </c>
      <c r="EB21" s="842">
        <v>4.4354180000000003</v>
      </c>
      <c r="EC21" s="842">
        <v>4.7363799999999996</v>
      </c>
      <c r="ED21" s="842">
        <v>4.8382079999999998</v>
      </c>
      <c r="EE21" s="435"/>
    </row>
    <row r="22" spans="1:135" s="599" customFormat="1" ht="15">
      <c r="A22" s="258"/>
      <c r="B22" s="639" t="s">
        <v>310</v>
      </c>
      <c r="C22" s="435"/>
      <c r="D22" s="598"/>
      <c r="E22" s="432"/>
      <c r="F22" s="432"/>
      <c r="G22" s="433"/>
      <c r="H22" s="432"/>
      <c r="I22" s="432"/>
      <c r="J22" s="432"/>
      <c r="K22" s="433"/>
      <c r="L22" s="432"/>
      <c r="M22" s="432"/>
      <c r="N22" s="432"/>
      <c r="O22" s="433"/>
      <c r="P22" s="432"/>
      <c r="Q22" s="432"/>
      <c r="R22" s="432"/>
      <c r="S22" s="433"/>
      <c r="T22" s="432"/>
      <c r="U22" s="432"/>
      <c r="V22" s="432"/>
      <c r="W22" s="433"/>
      <c r="X22" s="432"/>
      <c r="Y22" s="432"/>
      <c r="Z22" s="432"/>
      <c r="AA22" s="433"/>
      <c r="AB22" s="644"/>
      <c r="AC22" s="644">
        <f t="shared" ref="AC22:BH22" si="35">AC21/AB21-1</f>
        <v>0.18726439675417406</v>
      </c>
      <c r="AD22" s="644">
        <f t="shared" si="35"/>
        <v>6.1270751510107635E-2</v>
      </c>
      <c r="AE22" s="645">
        <f t="shared" si="35"/>
        <v>-0.10024653870048839</v>
      </c>
      <c r="AF22" s="644">
        <f t="shared" si="35"/>
        <v>2.2185210390375243E-2</v>
      </c>
      <c r="AG22" s="644">
        <f t="shared" si="35"/>
        <v>0.20075882193770189</v>
      </c>
      <c r="AH22" s="644">
        <f t="shared" si="35"/>
        <v>-0.1653483436794263</v>
      </c>
      <c r="AI22" s="645">
        <f t="shared" si="35"/>
        <v>-0.18640364082054428</v>
      </c>
      <c r="AJ22" s="644">
        <f t="shared" si="35"/>
        <v>-3.1943618796599349E-3</v>
      </c>
      <c r="AK22" s="644">
        <f t="shared" si="35"/>
        <v>0.20792287886952865</v>
      </c>
      <c r="AL22" s="644">
        <f t="shared" si="35"/>
        <v>-2.6119388188080128E-2</v>
      </c>
      <c r="AM22" s="645">
        <f t="shared" si="35"/>
        <v>7.6797003043782563E-3</v>
      </c>
      <c r="AN22" s="644">
        <f t="shared" si="35"/>
        <v>-0.10717929756716515</v>
      </c>
      <c r="AO22" s="644">
        <f t="shared" si="35"/>
        <v>3.6072325691914209E-2</v>
      </c>
      <c r="AP22" s="644">
        <f t="shared" si="35"/>
        <v>2.9683506978572805E-2</v>
      </c>
      <c r="AQ22" s="645">
        <f t="shared" si="35"/>
        <v>0.11947096007806213</v>
      </c>
      <c r="AR22" s="644">
        <f t="shared" si="35"/>
        <v>5.7262937691026528E-2</v>
      </c>
      <c r="AS22" s="644">
        <f t="shared" si="35"/>
        <v>7.8207975109371386E-2</v>
      </c>
      <c r="AT22" s="644">
        <f t="shared" si="35"/>
        <v>9.8539223867100567E-2</v>
      </c>
      <c r="AU22" s="645">
        <f t="shared" si="35"/>
        <v>1.0501165871512619E-3</v>
      </c>
      <c r="AV22" s="644">
        <f t="shared" si="35"/>
        <v>-2.0578227950657002E-2</v>
      </c>
      <c r="AW22" s="644">
        <f t="shared" si="35"/>
        <v>0.1337044473492921</v>
      </c>
      <c r="AX22" s="644">
        <f t="shared" si="35"/>
        <v>4.6597167959445684E-3</v>
      </c>
      <c r="AY22" s="645">
        <f t="shared" si="35"/>
        <v>-3.1804145432964392E-2</v>
      </c>
      <c r="AZ22" s="644">
        <f t="shared" si="35"/>
        <v>-1.2146190932691425E-2</v>
      </c>
      <c r="BA22" s="644">
        <f t="shared" si="35"/>
        <v>8.1739310294021816E-2</v>
      </c>
      <c r="BB22" s="644">
        <f t="shared" si="35"/>
        <v>5.3534547902399643E-2</v>
      </c>
      <c r="BC22" s="645">
        <f t="shared" si="35"/>
        <v>-1.8453831236636686E-2</v>
      </c>
      <c r="BD22" s="644">
        <f t="shared" si="35"/>
        <v>-2.0202762175545841E-2</v>
      </c>
      <c r="BE22" s="644">
        <f t="shared" si="35"/>
        <v>0.12562900459255766</v>
      </c>
      <c r="BF22" s="644">
        <f t="shared" si="35"/>
        <v>0.10171846561059206</v>
      </c>
      <c r="BG22" s="645">
        <f t="shared" si="35"/>
        <v>2.099091633964445E-2</v>
      </c>
      <c r="BH22" s="644">
        <f t="shared" si="35"/>
        <v>-7.6141795143504054E-2</v>
      </c>
      <c r="BI22" s="644">
        <f t="shared" ref="BI22:CN22" si="36">BI21/BH21-1</f>
        <v>0.16458464323087307</v>
      </c>
      <c r="BJ22" s="644">
        <f t="shared" si="36"/>
        <v>3.5339729180681845E-2</v>
      </c>
      <c r="BK22" s="645">
        <f t="shared" si="36"/>
        <v>-0.34049331077625788</v>
      </c>
      <c r="BL22" s="644">
        <f t="shared" si="36"/>
        <v>4.7096686334290316E-2</v>
      </c>
      <c r="BM22" s="644">
        <f t="shared" si="36"/>
        <v>0.23784169721227633</v>
      </c>
      <c r="BN22" s="644">
        <f t="shared" si="36"/>
        <v>6.2829139220529573E-2</v>
      </c>
      <c r="BO22" s="645">
        <f t="shared" si="36"/>
        <v>2.7380139387233049E-2</v>
      </c>
      <c r="BP22" s="644">
        <f t="shared" si="36"/>
        <v>-9.1748307775689764E-2</v>
      </c>
      <c r="BQ22" s="644">
        <f t="shared" si="36"/>
        <v>0.13736084355453504</v>
      </c>
      <c r="BR22" s="644">
        <f t="shared" si="36"/>
        <v>5.0198554892966651E-2</v>
      </c>
      <c r="BS22" s="645">
        <f t="shared" si="36"/>
        <v>-1.0294900245810479E-2</v>
      </c>
      <c r="BT22" s="644">
        <f t="shared" si="36"/>
        <v>-6.4504211547623758E-2</v>
      </c>
      <c r="BU22" s="644">
        <f t="shared" si="36"/>
        <v>0.11540435365292168</v>
      </c>
      <c r="BV22" s="644">
        <f t="shared" si="36"/>
        <v>8.3325884132501304E-3</v>
      </c>
      <c r="BW22" s="645">
        <f t="shared" si="36"/>
        <v>-0.12481118054529494</v>
      </c>
      <c r="BX22" s="644">
        <f t="shared" si="36"/>
        <v>-5.2504255357181839E-2</v>
      </c>
      <c r="BY22" s="644">
        <f t="shared" si="36"/>
        <v>7.8545555164260206E-2</v>
      </c>
      <c r="BZ22" s="644">
        <f t="shared" si="36"/>
        <v>0.13477079519083879</v>
      </c>
      <c r="CA22" s="645">
        <f t="shared" si="36"/>
        <v>-2.3701743568663836E-2</v>
      </c>
      <c r="CB22" s="644">
        <f t="shared" si="36"/>
        <v>-0.10498551370430764</v>
      </c>
      <c r="CC22" s="644">
        <f t="shared" si="36"/>
        <v>0.22574692141460573</v>
      </c>
      <c r="CD22" s="644">
        <f t="shared" si="36"/>
        <v>-3.2829694162534895E-2</v>
      </c>
      <c r="CE22" s="645">
        <f t="shared" si="36"/>
        <v>-0.1286857131519622</v>
      </c>
      <c r="CF22" s="644">
        <f t="shared" si="36"/>
        <v>-0.1008829439815403</v>
      </c>
      <c r="CG22" s="644">
        <f t="shared" si="36"/>
        <v>7.2875314199605246E-3</v>
      </c>
      <c r="CH22" s="644">
        <f t="shared" si="36"/>
        <v>3.8900971345720459E-2</v>
      </c>
      <c r="CI22" s="645">
        <f t="shared" si="36"/>
        <v>-4.3057019113932338E-2</v>
      </c>
      <c r="CJ22" s="644">
        <f t="shared" si="36"/>
        <v>-0.13826758245116355</v>
      </c>
      <c r="CK22" s="644">
        <f t="shared" si="36"/>
        <v>-1.8529614611407674E-2</v>
      </c>
      <c r="CL22" s="644">
        <f t="shared" si="36"/>
        <v>-2.4710354477030849E-2</v>
      </c>
      <c r="CM22" s="645">
        <f t="shared" si="36"/>
        <v>-0.11628976501879174</v>
      </c>
      <c r="CN22" s="644">
        <f t="shared" si="36"/>
        <v>-0.11361231416857964</v>
      </c>
      <c r="CO22" s="644">
        <f t="shared" ref="CO22:CY22" si="37">CO21/CN21-1</f>
        <v>0.11589558421564217</v>
      </c>
      <c r="CP22" s="644">
        <f t="shared" si="37"/>
        <v>1.0717203501177108E-2</v>
      </c>
      <c r="CQ22" s="645">
        <f t="shared" si="37"/>
        <v>8.3704956909017358E-2</v>
      </c>
      <c r="CR22" s="644">
        <f t="shared" si="37"/>
        <v>-1.2733388751973052E-2</v>
      </c>
      <c r="CS22" s="644">
        <f t="shared" si="37"/>
        <v>8.7615420378859943E-2</v>
      </c>
      <c r="CT22" s="644">
        <f t="shared" si="37"/>
        <v>9.7729551862672182E-2</v>
      </c>
      <c r="CU22" s="645">
        <f t="shared" si="37"/>
        <v>-1.9583937548747543E-2</v>
      </c>
      <c r="CV22" s="644">
        <f t="shared" si="37"/>
        <v>-5.2580775150477432E-2</v>
      </c>
      <c r="CW22" s="644">
        <f t="shared" si="37"/>
        <v>0.21886737725736038</v>
      </c>
      <c r="CX22" s="644">
        <f t="shared" si="37"/>
        <v>4.9098764456913857E-2</v>
      </c>
      <c r="CY22" s="645">
        <f t="shared" si="37"/>
        <v>-9.761044268569774E-2</v>
      </c>
      <c r="DA22" s="432"/>
      <c r="DB22" s="432"/>
      <c r="DC22" s="432"/>
      <c r="DD22" s="432"/>
      <c r="DE22" s="432"/>
      <c r="DF22" s="432"/>
      <c r="DG22" s="432"/>
      <c r="DH22" s="432"/>
      <c r="DI22" s="432"/>
      <c r="DJ22" s="432"/>
      <c r="DK22" s="432"/>
      <c r="DL22" s="432"/>
      <c r="DM22" s="432"/>
      <c r="DN22" s="432"/>
      <c r="DO22" s="432"/>
      <c r="DP22" s="432"/>
      <c r="DQ22" s="432"/>
      <c r="DR22" s="432"/>
      <c r="DS22" s="432"/>
      <c r="DT22" s="432"/>
      <c r="DU22" s="432"/>
      <c r="DV22" s="432"/>
      <c r="DW22" s="432"/>
      <c r="DX22" s="432"/>
      <c r="DY22" s="432"/>
      <c r="DZ22" s="432"/>
      <c r="EA22" s="432"/>
      <c r="EB22" s="432"/>
      <c r="EC22" s="432"/>
      <c r="ED22" s="432"/>
      <c r="EE22" s="435"/>
    </row>
    <row r="23" spans="1:135" s="599" customFormat="1" ht="15">
      <c r="A23" s="258"/>
      <c r="B23" s="639" t="s">
        <v>240</v>
      </c>
      <c r="C23" s="435"/>
      <c r="D23" s="598"/>
      <c r="E23" s="432"/>
      <c r="F23" s="432"/>
      <c r="G23" s="433"/>
      <c r="H23" s="432"/>
      <c r="I23" s="432"/>
      <c r="J23" s="432"/>
      <c r="K23" s="433"/>
      <c r="L23" s="432"/>
      <c r="M23" s="432"/>
      <c r="N23" s="432"/>
      <c r="O23" s="433"/>
      <c r="P23" s="432"/>
      <c r="Q23" s="432"/>
      <c r="R23" s="432"/>
      <c r="S23" s="433"/>
      <c r="T23" s="432"/>
      <c r="U23" s="432"/>
      <c r="V23" s="432"/>
      <c r="W23" s="433"/>
      <c r="X23" s="432"/>
      <c r="Y23" s="432"/>
      <c r="Z23" s="432"/>
      <c r="AA23" s="433"/>
      <c r="AB23" s="644"/>
      <c r="AC23" s="644"/>
      <c r="AD23" s="644"/>
      <c r="AE23" s="645"/>
      <c r="AF23" s="644">
        <f t="shared" ref="AF23:BK23" si="38">AF21/AB21-1</f>
        <v>0.15884875596974357</v>
      </c>
      <c r="AG23" s="644">
        <f t="shared" si="38"/>
        <v>0.17202020950546015</v>
      </c>
      <c r="AH23" s="644">
        <f t="shared" si="38"/>
        <v>-7.8247838534159952E-2</v>
      </c>
      <c r="AI23" s="645">
        <f t="shared" si="38"/>
        <v>-0.16651145575892179</v>
      </c>
      <c r="AJ23" s="644">
        <f t="shared" si="38"/>
        <v>-0.18720592729870689</v>
      </c>
      <c r="AK23" s="644">
        <f t="shared" si="38"/>
        <v>-0.18235657461913468</v>
      </c>
      <c r="AL23" s="644">
        <f t="shared" si="38"/>
        <v>-4.5964776653995676E-2</v>
      </c>
      <c r="AM23" s="645">
        <f t="shared" si="38"/>
        <v>0.18162024337313154</v>
      </c>
      <c r="AN23" s="644">
        <f t="shared" si="38"/>
        <v>5.8355787078618215E-2</v>
      </c>
      <c r="AO23" s="644">
        <f t="shared" si="38"/>
        <v>-9.2215934551828194E-2</v>
      </c>
      <c r="AP23" s="644">
        <f t="shared" si="38"/>
        <v>-4.0200340007940372E-2</v>
      </c>
      <c r="AQ23" s="645">
        <f t="shared" si="38"/>
        <v>6.6279142597946761E-2</v>
      </c>
      <c r="AR23" s="644">
        <f t="shared" si="38"/>
        <v>0.26266944262146685</v>
      </c>
      <c r="AS23" s="644">
        <f t="shared" si="38"/>
        <v>0.31402048795404403</v>
      </c>
      <c r="AT23" s="644">
        <f t="shared" si="38"/>
        <v>0.40189003436426107</v>
      </c>
      <c r="AU23" s="645">
        <f t="shared" si="38"/>
        <v>0.25359409255676546</v>
      </c>
      <c r="AV23" s="644">
        <f t="shared" si="38"/>
        <v>0.1612980118682128</v>
      </c>
      <c r="AW23" s="644">
        <f t="shared" si="38"/>
        <v>0.22107121366759874</v>
      </c>
      <c r="AX23" s="644">
        <f t="shared" si="38"/>
        <v>0.1167203073482439</v>
      </c>
      <c r="AY23" s="645">
        <f t="shared" si="38"/>
        <v>8.0069773101381081E-2</v>
      </c>
      <c r="AZ23" s="644">
        <f t="shared" si="38"/>
        <v>8.9368308797316054E-2</v>
      </c>
      <c r="BA23" s="644">
        <f t="shared" si="38"/>
        <v>3.9435388799799576E-2</v>
      </c>
      <c r="BB23" s="644">
        <f t="shared" si="38"/>
        <v>9.0001991824036676E-2</v>
      </c>
      <c r="BC23" s="645">
        <f t="shared" si="38"/>
        <v>0.10503187342994491</v>
      </c>
      <c r="BD23" s="644">
        <f t="shared" si="38"/>
        <v>9.6019641121686039E-2</v>
      </c>
      <c r="BE23" s="644">
        <f t="shared" si="38"/>
        <v>0.14048873504871251</v>
      </c>
      <c r="BF23" s="644">
        <f t="shared" si="38"/>
        <v>0.19264954502511067</v>
      </c>
      <c r="BG23" s="645">
        <f t="shared" si="38"/>
        <v>0.24057776455018076</v>
      </c>
      <c r="BH23" s="644">
        <f t="shared" si="38"/>
        <v>0.1697501302280251</v>
      </c>
      <c r="BI23" s="644">
        <f t="shared" si="38"/>
        <v>0.2102327076885977</v>
      </c>
      <c r="BJ23" s="644">
        <f t="shared" si="38"/>
        <v>0.13731596858502315</v>
      </c>
      <c r="BK23" s="645">
        <f t="shared" si="38"/>
        <v>-0.26535341594235751</v>
      </c>
      <c r="BL23" s="644">
        <f t="shared" ref="BL23:CQ23" si="39">BL21/BH21-1</f>
        <v>-0.16735490386963536</v>
      </c>
      <c r="BM23" s="644">
        <f t="shared" si="39"/>
        <v>-0.11497818131098114</v>
      </c>
      <c r="BN23" s="644">
        <f t="shared" si="39"/>
        <v>-9.1479877341320015E-2</v>
      </c>
      <c r="BO23" s="645">
        <f t="shared" si="39"/>
        <v>0.41529349967900009</v>
      </c>
      <c r="BP23" s="644">
        <f t="shared" si="39"/>
        <v>0.2276256174371416</v>
      </c>
      <c r="BQ23" s="644">
        <f t="shared" si="39"/>
        <v>0.12797404624674091</v>
      </c>
      <c r="BR23" s="644">
        <f t="shared" si="39"/>
        <v>0.11456928457369275</v>
      </c>
      <c r="BS23" s="645">
        <f t="shared" si="39"/>
        <v>7.3696933279135068E-2</v>
      </c>
      <c r="BT23" s="644">
        <f t="shared" si="39"/>
        <v>0.10590375746726099</v>
      </c>
      <c r="BU23" s="644">
        <f t="shared" si="39"/>
        <v>8.4554539388766337E-2</v>
      </c>
      <c r="BV23" s="644">
        <f t="shared" si="39"/>
        <v>4.1318978094262437E-2</v>
      </c>
      <c r="BW23" s="645">
        <f t="shared" si="39"/>
        <v>-7.9169413858282467E-2</v>
      </c>
      <c r="BX23" s="644">
        <f t="shared" si="39"/>
        <v>-6.7357573731455345E-2</v>
      </c>
      <c r="BY23" s="644">
        <f t="shared" si="39"/>
        <v>-9.8176961462216772E-2</v>
      </c>
      <c r="BZ23" s="644">
        <f t="shared" si="39"/>
        <v>1.4905655457729594E-2</v>
      </c>
      <c r="CA23" s="645">
        <f t="shared" si="39"/>
        <v>0.13215639852785488</v>
      </c>
      <c r="CB23" s="644">
        <f t="shared" si="39"/>
        <v>6.9446890040415044E-2</v>
      </c>
      <c r="CC23" s="644">
        <f t="shared" si="39"/>
        <v>0.215406458083099</v>
      </c>
      <c r="CD23" s="644">
        <f t="shared" si="39"/>
        <v>3.5896447778577034E-2</v>
      </c>
      <c r="CE23" s="645">
        <f t="shared" si="39"/>
        <v>-7.5496275140499058E-2</v>
      </c>
      <c r="CF23" s="644">
        <f t="shared" si="39"/>
        <v>-7.125853256954684E-2</v>
      </c>
      <c r="CG23" s="644">
        <f t="shared" si="39"/>
        <v>-0.23678396925874134</v>
      </c>
      <c r="CH23" s="644">
        <f t="shared" si="39"/>
        <v>-0.18017967373683186</v>
      </c>
      <c r="CI23" s="645">
        <f t="shared" si="39"/>
        <v>-9.961156537068272E-2</v>
      </c>
      <c r="CJ23" s="644">
        <f t="shared" si="39"/>
        <v>-0.13704906684563634</v>
      </c>
      <c r="CK23" s="644">
        <f t="shared" si="39"/>
        <v>-0.15916681333232763</v>
      </c>
      <c r="CL23" s="644">
        <f t="shared" si="39"/>
        <v>-0.21065055940142285</v>
      </c>
      <c r="CM23" s="645">
        <f t="shared" si="39"/>
        <v>-0.27105773952408141</v>
      </c>
      <c r="CN23" s="644">
        <f t="shared" si="39"/>
        <v>-0.25020176772988068</v>
      </c>
      <c r="CO23" s="644">
        <f t="shared" si="39"/>
        <v>-0.14750709863584088</v>
      </c>
      <c r="CP23" s="644">
        <f t="shared" si="39"/>
        <v>-0.11654015273650786</v>
      </c>
      <c r="CQ23" s="645">
        <f t="shared" si="39"/>
        <v>8.3397903306946297E-2</v>
      </c>
      <c r="CR23" s="644">
        <f t="shared" ref="CR23:CY23" si="40">CR21/CN21-1</f>
        <v>0.20669837107201339</v>
      </c>
      <c r="CS23" s="644">
        <f t="shared" si="40"/>
        <v>0.17611699041399986</v>
      </c>
      <c r="CT23" s="644">
        <f t="shared" si="40"/>
        <v>0.27736855804268612</v>
      </c>
      <c r="CU23" s="645">
        <f t="shared" si="40"/>
        <v>0.15562141152076125</v>
      </c>
      <c r="CV23" s="644">
        <f t="shared" si="40"/>
        <v>0.10897900268142902</v>
      </c>
      <c r="CW23" s="644">
        <f t="shared" si="40"/>
        <v>0.2428090877572755</v>
      </c>
      <c r="CX23" s="644">
        <f t="shared" si="40"/>
        <v>0.18775109607789187</v>
      </c>
      <c r="CY23" s="645">
        <f t="shared" si="40"/>
        <v>9.3223812663308259E-2</v>
      </c>
      <c r="DA23" s="432"/>
      <c r="DB23" s="432"/>
      <c r="DC23" s="432"/>
      <c r="DD23" s="432"/>
      <c r="DE23" s="432"/>
      <c r="DF23" s="432"/>
      <c r="DG23" s="432"/>
      <c r="DH23" s="432">
        <f t="shared" ref="DH23:ED23" si="41">DH21/DG21-1</f>
        <v>1.6528294787995224E-2</v>
      </c>
      <c r="DI23" s="432">
        <f t="shared" si="41"/>
        <v>-7.5688813401014077E-2</v>
      </c>
      <c r="DJ23" s="432">
        <f t="shared" si="41"/>
        <v>-4.7610936259312453E-3</v>
      </c>
      <c r="DK23" s="432">
        <f t="shared" si="41"/>
        <v>0.30709138698001603</v>
      </c>
      <c r="DL23" s="432">
        <f t="shared" si="41"/>
        <v>0.14226528407811245</v>
      </c>
      <c r="DM23" s="432">
        <f t="shared" si="41"/>
        <v>8.0543117298592648E-2</v>
      </c>
      <c r="DN23" s="432">
        <f t="shared" si="41"/>
        <v>0.16973693831558001</v>
      </c>
      <c r="DO23" s="432">
        <f t="shared" si="41"/>
        <v>5.196644459929245E-2</v>
      </c>
      <c r="DP23" s="432">
        <f t="shared" si="41"/>
        <v>-1.9521888676609533E-2</v>
      </c>
      <c r="DQ23" s="432">
        <f t="shared" si="41"/>
        <v>0.12973816819193318</v>
      </c>
      <c r="DR23" s="432">
        <f t="shared" si="41"/>
        <v>3.4966018032870583E-2</v>
      </c>
      <c r="DS23" s="432">
        <f t="shared" si="41"/>
        <v>-7.1052371563222749E-3</v>
      </c>
      <c r="DT23" s="432">
        <f t="shared" si="41"/>
        <v>5.6810525543039114E-2</v>
      </c>
      <c r="DU23" s="432">
        <f t="shared" si="41"/>
        <v>-0.15255687137059581</v>
      </c>
      <c r="DV23" s="432">
        <f t="shared" si="41"/>
        <v>-0.19462958534365848</v>
      </c>
      <c r="DW23" s="432">
        <f t="shared" si="41"/>
        <v>-0.1151995859037982</v>
      </c>
      <c r="DX23" s="432">
        <f t="shared" si="41"/>
        <v>0.20292557911596476</v>
      </c>
      <c r="DY23" s="432">
        <f t="shared" si="41"/>
        <v>0.15865509401840705</v>
      </c>
      <c r="DZ23" s="432">
        <f t="shared" si="41"/>
        <v>7.5286247616731972E-2</v>
      </c>
      <c r="EA23" s="432">
        <f t="shared" si="41"/>
        <v>2.6451130454021143E-2</v>
      </c>
      <c r="EB23" s="432">
        <f t="shared" si="41"/>
        <v>5.2889226077098117E-2</v>
      </c>
      <c r="EC23" s="432">
        <f t="shared" si="41"/>
        <v>6.7854258606516726E-2</v>
      </c>
      <c r="ED23" s="432">
        <f t="shared" si="41"/>
        <v>2.1499119580776993E-2</v>
      </c>
      <c r="EE23" s="435"/>
    </row>
    <row r="24" spans="1:135" s="599" customFormat="1" ht="15">
      <c r="A24" s="258"/>
      <c r="B24" s="638" t="s">
        <v>351</v>
      </c>
      <c r="C24" s="435"/>
      <c r="D24" s="598"/>
      <c r="E24" s="432"/>
      <c r="F24" s="432"/>
      <c r="G24" s="433"/>
      <c r="H24" s="432"/>
      <c r="I24" s="432"/>
      <c r="J24" s="432"/>
      <c r="K24" s="433"/>
      <c r="L24" s="432"/>
      <c r="M24" s="432"/>
      <c r="N24" s="432"/>
      <c r="O24" s="433"/>
      <c r="P24" s="432"/>
      <c r="Q24" s="432"/>
      <c r="R24" s="432"/>
      <c r="S24" s="433"/>
      <c r="T24" s="432"/>
      <c r="U24" s="432"/>
      <c r="V24" s="432"/>
      <c r="W24" s="433"/>
      <c r="X24" s="432"/>
      <c r="Y24" s="432"/>
      <c r="Z24" s="432"/>
      <c r="AA24" s="433"/>
      <c r="AB24" s="640">
        <v>0.53934800000000005</v>
      </c>
      <c r="AC24" s="640">
        <v>0.54793199999999997</v>
      </c>
      <c r="AD24" s="640">
        <v>0.56578200000000001</v>
      </c>
      <c r="AE24" s="641">
        <v>0.51578199999999996</v>
      </c>
      <c r="AF24" s="640">
        <v>0.56020400000000004</v>
      </c>
      <c r="AG24" s="640">
        <v>0.56477500000000003</v>
      </c>
      <c r="AH24" s="640">
        <v>0.57109100000000002</v>
      </c>
      <c r="AI24" s="641">
        <v>0.54970799999999997</v>
      </c>
      <c r="AJ24" s="640">
        <v>0.65742100000000003</v>
      </c>
      <c r="AK24" s="640">
        <v>0.62353000000000003</v>
      </c>
      <c r="AL24" s="640">
        <v>0.68002799999999997</v>
      </c>
      <c r="AM24" s="641">
        <v>0.65544400000000003</v>
      </c>
      <c r="AN24" s="640">
        <v>0.74023799999999995</v>
      </c>
      <c r="AO24" s="640">
        <v>0.74104499999999995</v>
      </c>
      <c r="AP24" s="640">
        <v>0.797682</v>
      </c>
      <c r="AQ24" s="641">
        <v>0.79237400000000002</v>
      </c>
      <c r="AR24" s="640">
        <v>0.864927</v>
      </c>
      <c r="AS24" s="640">
        <v>0.86532399999999998</v>
      </c>
      <c r="AT24" s="640">
        <v>0.91151599999999999</v>
      </c>
      <c r="AU24" s="641">
        <v>0.96669899999999997</v>
      </c>
      <c r="AV24" s="640">
        <v>1.029531</v>
      </c>
      <c r="AW24" s="640">
        <v>1.036324</v>
      </c>
      <c r="AX24" s="640">
        <v>1.0967009999999999</v>
      </c>
      <c r="AY24" s="641">
        <v>1.050881</v>
      </c>
      <c r="AZ24" s="640">
        <v>1.0730470000000001</v>
      </c>
      <c r="BA24" s="640">
        <v>1.034481</v>
      </c>
      <c r="BB24" s="640">
        <v>1.0797410000000001</v>
      </c>
      <c r="BC24" s="641">
        <v>1.0907450000000001</v>
      </c>
      <c r="BD24" s="640">
        <v>1.0892440000000001</v>
      </c>
      <c r="BE24" s="640">
        <v>1.1142749999999999</v>
      </c>
      <c r="BF24" s="640">
        <v>1.199953</v>
      </c>
      <c r="BG24" s="641">
        <v>1.2288859999999999</v>
      </c>
      <c r="BH24" s="640">
        <v>1.3332329999999999</v>
      </c>
      <c r="BI24" s="640">
        <v>1.2985869999999999</v>
      </c>
      <c r="BJ24" s="640">
        <v>1.307525</v>
      </c>
      <c r="BK24" s="641">
        <v>1.12442</v>
      </c>
      <c r="BL24" s="640">
        <v>1.0408379999999999</v>
      </c>
      <c r="BM24" s="640">
        <v>1.0662799999999999</v>
      </c>
      <c r="BN24" s="640">
        <v>1.2622230000000001</v>
      </c>
      <c r="BO24" s="641">
        <v>1.4389989999999999</v>
      </c>
      <c r="BP24" s="640">
        <v>1.5747420000000001</v>
      </c>
      <c r="BQ24" s="640">
        <v>1.580605</v>
      </c>
      <c r="BR24" s="640">
        <v>1.715015</v>
      </c>
      <c r="BS24" s="641">
        <v>1.754923</v>
      </c>
      <c r="BT24" s="640">
        <v>1.9170940000000001</v>
      </c>
      <c r="BU24" s="640">
        <v>1.6193139999999999</v>
      </c>
      <c r="BV24" s="640">
        <v>1.836363</v>
      </c>
      <c r="BW24" s="641">
        <v>1.484164</v>
      </c>
      <c r="BX24" s="640">
        <v>2.0292620000000001</v>
      </c>
      <c r="BY24" s="640">
        <v>2.0292650000000001</v>
      </c>
      <c r="BZ24" s="640">
        <v>2.0265240000000002</v>
      </c>
      <c r="CA24" s="641">
        <v>2.1720809999999999</v>
      </c>
      <c r="CB24" s="640">
        <v>2.2517879999999999</v>
      </c>
      <c r="CC24" s="640">
        <v>1.997663</v>
      </c>
      <c r="CD24" s="640">
        <v>2.012121</v>
      </c>
      <c r="CE24" s="641">
        <v>1.936928</v>
      </c>
      <c r="CF24" s="640">
        <v>2.036546</v>
      </c>
      <c r="CG24" s="640">
        <v>1.8945749999999999</v>
      </c>
      <c r="CH24" s="640">
        <v>1.946345</v>
      </c>
      <c r="CI24" s="641">
        <v>1.8980760000000001</v>
      </c>
      <c r="CJ24" s="640">
        <v>2.0698349999999999</v>
      </c>
      <c r="CK24" s="640">
        <v>1.9030750000000001</v>
      </c>
      <c r="CL24" s="640">
        <v>2.0354920000000001</v>
      </c>
      <c r="CM24" s="641">
        <v>1.9707650000000001</v>
      </c>
      <c r="CN24" s="640">
        <v>2.0999439999999998</v>
      </c>
      <c r="CO24" s="640">
        <v>2.0414829999999999</v>
      </c>
      <c r="CP24" s="640">
        <v>2.1628720000000001</v>
      </c>
      <c r="CQ24" s="642">
        <v>2.1244640000000001</v>
      </c>
      <c r="CR24" s="643">
        <v>2.2123550000000001</v>
      </c>
      <c r="CS24" s="643">
        <v>2.041982</v>
      </c>
      <c r="CT24" s="640">
        <v>2.2691330000000001</v>
      </c>
      <c r="CU24" s="641">
        <v>2.1362739999999998</v>
      </c>
      <c r="CV24" s="867">
        <v>2.2876180000000002</v>
      </c>
      <c r="CW24" s="867">
        <v>2.2051500000000002</v>
      </c>
      <c r="CX24" s="867">
        <v>2.3248250000000001</v>
      </c>
      <c r="CY24" s="868">
        <v>2.2709329999999999</v>
      </c>
      <c r="DA24" s="432"/>
      <c r="DB24" s="432"/>
      <c r="DC24" s="432"/>
      <c r="DD24" s="432"/>
      <c r="DE24" s="432"/>
      <c r="DF24" s="432"/>
      <c r="DG24" s="597">
        <f>SUM(AB24:AE24)</f>
        <v>2.168844</v>
      </c>
      <c r="DH24" s="597">
        <f>SUM(AF24:AI24)</f>
        <v>2.2457780000000001</v>
      </c>
      <c r="DI24" s="597">
        <f>SUM(AJ24:AM24)</f>
        <v>2.6164230000000002</v>
      </c>
      <c r="DJ24" s="597">
        <f>SUM(AN24:AQ24)</f>
        <v>3.071339</v>
      </c>
      <c r="DK24" s="597">
        <f>SUM(AR24:AU24)</f>
        <v>3.608466</v>
      </c>
      <c r="DL24" s="597">
        <f>SUM(AV24:AY24)</f>
        <v>4.2134369999999999</v>
      </c>
      <c r="DM24" s="597">
        <f>SUM(AZ24:BC24)</f>
        <v>4.2780140000000006</v>
      </c>
      <c r="DN24" s="597">
        <f>SUM(BD24:BG24)</f>
        <v>4.632358</v>
      </c>
      <c r="DO24" s="597">
        <f>SUM(BH24:BK24)</f>
        <v>5.0637650000000001</v>
      </c>
      <c r="DP24" s="597">
        <f>SUM(BL24:BO24)</f>
        <v>4.8083399999999994</v>
      </c>
      <c r="DQ24" s="597">
        <f>SUM(BP24:BS24)</f>
        <v>6.6252849999999999</v>
      </c>
      <c r="DR24" s="597">
        <f>SUM(BT24:BW24)</f>
        <v>6.856935</v>
      </c>
      <c r="DS24" s="597">
        <f>SUM(BX24:CA24)</f>
        <v>8.2571320000000004</v>
      </c>
      <c r="DT24" s="597">
        <f>SUM(CB24:CE24)</f>
        <v>8.1984999999999992</v>
      </c>
      <c r="DU24" s="597">
        <f>SUM(CF24:CI24)</f>
        <v>7.7755419999999997</v>
      </c>
      <c r="DV24" s="597">
        <f>SUM(CJ24:CM24)</f>
        <v>7.9791670000000003</v>
      </c>
      <c r="DW24" s="591">
        <f>SUM(CN24:CQ24)</f>
        <v>8.428763</v>
      </c>
      <c r="DX24" s="591">
        <f>SUM(CR24:CU24)</f>
        <v>8.6597439999999999</v>
      </c>
      <c r="DY24" s="591">
        <f>SUM(CV24:CY24)</f>
        <v>9.0885259999999999</v>
      </c>
      <c r="DZ24" s="842">
        <v>9.63035</v>
      </c>
      <c r="EA24" s="842">
        <v>10.423813000000001</v>
      </c>
      <c r="EB24" s="842">
        <v>11.000883</v>
      </c>
      <c r="EC24" s="842">
        <v>11.729540999999999</v>
      </c>
      <c r="ED24" s="842">
        <v>12.375771</v>
      </c>
      <c r="EE24" s="435"/>
    </row>
    <row r="25" spans="1:135" s="599" customFormat="1" ht="15">
      <c r="A25" s="258"/>
      <c r="B25" s="639" t="s">
        <v>310</v>
      </c>
      <c r="C25" s="435"/>
      <c r="D25" s="598"/>
      <c r="E25" s="432"/>
      <c r="F25" s="432"/>
      <c r="G25" s="433"/>
      <c r="H25" s="432"/>
      <c r="I25" s="432"/>
      <c r="J25" s="432"/>
      <c r="K25" s="433"/>
      <c r="L25" s="432"/>
      <c r="M25" s="432"/>
      <c r="N25" s="432"/>
      <c r="O25" s="433"/>
      <c r="P25" s="432"/>
      <c r="Q25" s="432"/>
      <c r="R25" s="432"/>
      <c r="S25" s="433"/>
      <c r="T25" s="432"/>
      <c r="U25" s="432"/>
      <c r="V25" s="432"/>
      <c r="W25" s="433"/>
      <c r="X25" s="432"/>
      <c r="Y25" s="432"/>
      <c r="Z25" s="432"/>
      <c r="AA25" s="433"/>
      <c r="AB25" s="644"/>
      <c r="AC25" s="644">
        <f t="shared" ref="AC25:BH25" si="42">AC24/AB24-1</f>
        <v>1.5915512804348886E-2</v>
      </c>
      <c r="AD25" s="644">
        <f t="shared" si="42"/>
        <v>3.2577035106546193E-2</v>
      </c>
      <c r="AE25" s="645">
        <f t="shared" si="42"/>
        <v>-8.83732603723697E-2</v>
      </c>
      <c r="AF25" s="644">
        <f t="shared" si="42"/>
        <v>8.6125533655691866E-2</v>
      </c>
      <c r="AG25" s="644">
        <f t="shared" si="42"/>
        <v>8.1595276006598549E-3</v>
      </c>
      <c r="AH25" s="644">
        <f t="shared" si="42"/>
        <v>1.1183214554468579E-2</v>
      </c>
      <c r="AI25" s="645">
        <f t="shared" si="42"/>
        <v>-3.7442369079533799E-2</v>
      </c>
      <c r="AJ25" s="644">
        <f t="shared" si="42"/>
        <v>0.1959458476136422</v>
      </c>
      <c r="AK25" s="644">
        <f t="shared" si="42"/>
        <v>-5.155144116175181E-2</v>
      </c>
      <c r="AL25" s="644">
        <f t="shared" si="42"/>
        <v>9.0609914518948509E-2</v>
      </c>
      <c r="AM25" s="645">
        <f t="shared" si="42"/>
        <v>-3.615145258724628E-2</v>
      </c>
      <c r="AN25" s="644">
        <f t="shared" si="42"/>
        <v>0.12936879428295911</v>
      </c>
      <c r="AO25" s="644">
        <f t="shared" si="42"/>
        <v>1.0901899118931357E-3</v>
      </c>
      <c r="AP25" s="644">
        <f t="shared" si="42"/>
        <v>7.6428556970224548E-2</v>
      </c>
      <c r="AQ25" s="645">
        <f t="shared" si="42"/>
        <v>-6.6542807785557878E-3</v>
      </c>
      <c r="AR25" s="644">
        <f t="shared" si="42"/>
        <v>9.1564084636800214E-2</v>
      </c>
      <c r="AS25" s="644">
        <f t="shared" si="42"/>
        <v>4.5899827384277003E-4</v>
      </c>
      <c r="AT25" s="644">
        <f t="shared" si="42"/>
        <v>5.338116127600756E-2</v>
      </c>
      <c r="AU25" s="645">
        <f t="shared" si="42"/>
        <v>6.0539804018799437E-2</v>
      </c>
      <c r="AV25" s="644">
        <f t="shared" si="42"/>
        <v>6.4996446670576802E-2</v>
      </c>
      <c r="AW25" s="644">
        <f t="shared" si="42"/>
        <v>6.5981500314220565E-3</v>
      </c>
      <c r="AX25" s="644">
        <f t="shared" si="42"/>
        <v>5.8260736989590001E-2</v>
      </c>
      <c r="AY25" s="645">
        <f t="shared" si="42"/>
        <v>-4.1779847013908022E-2</v>
      </c>
      <c r="AZ25" s="644">
        <f t="shared" si="42"/>
        <v>2.1092778345026764E-2</v>
      </c>
      <c r="BA25" s="644">
        <f t="shared" si="42"/>
        <v>-3.5940643792862881E-2</v>
      </c>
      <c r="BB25" s="644">
        <f t="shared" si="42"/>
        <v>4.3751407710726609E-2</v>
      </c>
      <c r="BC25" s="645">
        <f t="shared" si="42"/>
        <v>1.0191332921506202E-2</v>
      </c>
      <c r="BD25" s="644">
        <f t="shared" si="42"/>
        <v>-1.3761236586002923E-3</v>
      </c>
      <c r="BE25" s="644">
        <f t="shared" si="42"/>
        <v>2.2980158715586008E-2</v>
      </c>
      <c r="BF25" s="644">
        <f t="shared" si="42"/>
        <v>7.6891252159476009E-2</v>
      </c>
      <c r="BG25" s="645">
        <f t="shared" si="42"/>
        <v>2.411177771129358E-2</v>
      </c>
      <c r="BH25" s="644">
        <f t="shared" si="42"/>
        <v>8.4911863264778065E-2</v>
      </c>
      <c r="BI25" s="644">
        <f t="shared" ref="BI25:CN25" si="43">BI24/BH24-1</f>
        <v>-2.5986455480774939E-2</v>
      </c>
      <c r="BJ25" s="644">
        <f t="shared" si="43"/>
        <v>6.8828657610158217E-3</v>
      </c>
      <c r="BK25" s="645">
        <f t="shared" si="43"/>
        <v>-0.14003938739221056</v>
      </c>
      <c r="BL25" s="644">
        <f t="shared" si="43"/>
        <v>-7.4333434126038322E-2</v>
      </c>
      <c r="BM25" s="644">
        <f t="shared" si="43"/>
        <v>2.4443765504333914E-2</v>
      </c>
      <c r="BN25" s="644">
        <f t="shared" si="43"/>
        <v>0.18376317665153641</v>
      </c>
      <c r="BO25" s="645">
        <f t="shared" si="43"/>
        <v>0.14005132215147387</v>
      </c>
      <c r="BP25" s="644">
        <f t="shared" si="43"/>
        <v>9.433154574812086E-2</v>
      </c>
      <c r="BQ25" s="644">
        <f t="shared" si="43"/>
        <v>3.7231495698977213E-3</v>
      </c>
      <c r="BR25" s="644">
        <f t="shared" si="43"/>
        <v>8.5037058594652049E-2</v>
      </c>
      <c r="BS25" s="645">
        <f t="shared" si="43"/>
        <v>2.3269767319819445E-2</v>
      </c>
      <c r="BT25" s="644">
        <f t="shared" si="43"/>
        <v>9.2409182625106556E-2</v>
      </c>
      <c r="BU25" s="644">
        <f t="shared" si="43"/>
        <v>-0.15532884668148783</v>
      </c>
      <c r="BV25" s="644">
        <f t="shared" si="43"/>
        <v>0.13403762333926594</v>
      </c>
      <c r="BW25" s="645">
        <f t="shared" si="43"/>
        <v>-0.19179160111590132</v>
      </c>
      <c r="BX25" s="644">
        <f t="shared" si="43"/>
        <v>0.36727612312385971</v>
      </c>
      <c r="BY25" s="644">
        <f t="shared" si="43"/>
        <v>1.4783699688880603E-6</v>
      </c>
      <c r="BZ25" s="644">
        <f t="shared" si="43"/>
        <v>-1.3507353647749243E-3</v>
      </c>
      <c r="CA25" s="645">
        <f t="shared" si="43"/>
        <v>7.1825944326343816E-2</v>
      </c>
      <c r="CB25" s="644">
        <f t="shared" si="43"/>
        <v>3.6696145309498052E-2</v>
      </c>
      <c r="CC25" s="644">
        <f t="shared" si="43"/>
        <v>-0.11285476252649007</v>
      </c>
      <c r="CD25" s="644">
        <f t="shared" si="43"/>
        <v>7.2374569684676704E-3</v>
      </c>
      <c r="CE25" s="645">
        <f t="shared" si="43"/>
        <v>-3.7370018999851484E-2</v>
      </c>
      <c r="CF25" s="644">
        <f t="shared" si="43"/>
        <v>5.1430925671992034E-2</v>
      </c>
      <c r="CG25" s="644">
        <f t="shared" si="43"/>
        <v>-6.971165885769337E-2</v>
      </c>
      <c r="CH25" s="644">
        <f t="shared" si="43"/>
        <v>2.732538959925046E-2</v>
      </c>
      <c r="CI25" s="645">
        <f t="shared" si="43"/>
        <v>-2.4799817093064114E-2</v>
      </c>
      <c r="CJ25" s="644">
        <f t="shared" si="43"/>
        <v>9.049110783762071E-2</v>
      </c>
      <c r="CK25" s="644">
        <f t="shared" si="43"/>
        <v>-8.0566808465408979E-2</v>
      </c>
      <c r="CL25" s="644">
        <f t="shared" si="43"/>
        <v>6.9580547272177995E-2</v>
      </c>
      <c r="CM25" s="645">
        <f t="shared" si="43"/>
        <v>-3.1799191546810324E-2</v>
      </c>
      <c r="CN25" s="644">
        <f t="shared" si="43"/>
        <v>6.5547642666680117E-2</v>
      </c>
      <c r="CO25" s="644">
        <f t="shared" ref="CO25:CY25" si="44">CO24/CN24-1</f>
        <v>-2.7839313810272937E-2</v>
      </c>
      <c r="CP25" s="644">
        <f t="shared" si="44"/>
        <v>5.9461185814430051E-2</v>
      </c>
      <c r="CQ25" s="645">
        <f t="shared" si="44"/>
        <v>-1.7757870091249073E-2</v>
      </c>
      <c r="CR25" s="644">
        <f t="shared" si="44"/>
        <v>4.1370905790825363E-2</v>
      </c>
      <c r="CS25" s="644">
        <f t="shared" si="44"/>
        <v>-7.7009792732179116E-2</v>
      </c>
      <c r="CT25" s="644">
        <f t="shared" si="44"/>
        <v>0.11124045167881014</v>
      </c>
      <c r="CU25" s="645">
        <f t="shared" si="44"/>
        <v>-5.8550556534147757E-2</v>
      </c>
      <c r="CV25" s="644">
        <f t="shared" si="44"/>
        <v>7.0844844809233365E-2</v>
      </c>
      <c r="CW25" s="644">
        <f t="shared" si="44"/>
        <v>-3.6049725085219642E-2</v>
      </c>
      <c r="CX25" s="644">
        <f t="shared" si="44"/>
        <v>5.4270684533932023E-2</v>
      </c>
      <c r="CY25" s="645">
        <f t="shared" si="44"/>
        <v>-2.3181099652662129E-2</v>
      </c>
      <c r="DA25" s="432"/>
      <c r="DB25" s="432"/>
      <c r="DC25" s="432"/>
      <c r="DD25" s="432"/>
      <c r="DE25" s="432"/>
      <c r="DF25" s="432"/>
      <c r="DG25" s="432"/>
      <c r="DH25" s="432"/>
      <c r="DI25" s="432"/>
      <c r="DJ25" s="432"/>
      <c r="DK25" s="432"/>
      <c r="DL25" s="432"/>
      <c r="DM25" s="432"/>
      <c r="DN25" s="432"/>
      <c r="DO25" s="432"/>
      <c r="DP25" s="432"/>
      <c r="DQ25" s="432"/>
      <c r="DR25" s="432"/>
      <c r="DS25" s="432"/>
      <c r="DT25" s="432"/>
      <c r="DU25" s="432"/>
      <c r="DV25" s="432"/>
      <c r="DW25" s="432"/>
      <c r="DX25" s="432"/>
      <c r="DY25" s="432"/>
      <c r="DZ25" s="432"/>
      <c r="EA25" s="432"/>
      <c r="EB25" s="432"/>
      <c r="EC25" s="432"/>
      <c r="ED25" s="432"/>
      <c r="EE25" s="435"/>
    </row>
    <row r="26" spans="1:135" s="599" customFormat="1" ht="15">
      <c r="A26" s="258"/>
      <c r="B26" s="639" t="s">
        <v>240</v>
      </c>
      <c r="C26" s="435"/>
      <c r="D26" s="598"/>
      <c r="E26" s="432"/>
      <c r="F26" s="432"/>
      <c r="G26" s="433"/>
      <c r="H26" s="432"/>
      <c r="I26" s="432"/>
      <c r="J26" s="432"/>
      <c r="K26" s="433"/>
      <c r="L26" s="432"/>
      <c r="M26" s="432"/>
      <c r="N26" s="432"/>
      <c r="O26" s="433"/>
      <c r="P26" s="432"/>
      <c r="Q26" s="432"/>
      <c r="R26" s="432"/>
      <c r="S26" s="433"/>
      <c r="T26" s="432"/>
      <c r="U26" s="432"/>
      <c r="V26" s="432"/>
      <c r="W26" s="433"/>
      <c r="X26" s="432"/>
      <c r="Y26" s="432"/>
      <c r="Z26" s="432"/>
      <c r="AA26" s="433"/>
      <c r="AB26" s="644"/>
      <c r="AC26" s="644"/>
      <c r="AD26" s="644"/>
      <c r="AE26" s="645"/>
      <c r="AF26" s="644">
        <f t="shared" ref="AF26:BK26" si="45">AF24/AB24-1</f>
        <v>3.8668911352225166E-2</v>
      </c>
      <c r="AG26" s="644">
        <f t="shared" si="45"/>
        <v>3.0739215815101195E-2</v>
      </c>
      <c r="AH26" s="644">
        <f t="shared" si="45"/>
        <v>9.3834727863382206E-3</v>
      </c>
      <c r="AI26" s="645">
        <f t="shared" si="45"/>
        <v>6.5775851037841671E-2</v>
      </c>
      <c r="AJ26" s="644">
        <f t="shared" si="45"/>
        <v>0.1735385680930519</v>
      </c>
      <c r="AK26" s="644">
        <f t="shared" si="45"/>
        <v>0.10403257934575705</v>
      </c>
      <c r="AL26" s="644">
        <f t="shared" si="45"/>
        <v>0.19075243700215894</v>
      </c>
      <c r="AM26" s="645">
        <f t="shared" si="45"/>
        <v>0.19234939276852447</v>
      </c>
      <c r="AN26" s="644">
        <f t="shared" si="45"/>
        <v>0.1259725503140301</v>
      </c>
      <c r="AO26" s="644">
        <f t="shared" si="45"/>
        <v>0.18846727503087246</v>
      </c>
      <c r="AP26" s="644">
        <f t="shared" si="45"/>
        <v>0.17301346415147623</v>
      </c>
      <c r="AQ26" s="645">
        <f t="shared" si="45"/>
        <v>0.20891182160489685</v>
      </c>
      <c r="AR26" s="644">
        <f t="shared" si="45"/>
        <v>0.16844447326400447</v>
      </c>
      <c r="AS26" s="644">
        <f t="shared" si="45"/>
        <v>0.16770776403592236</v>
      </c>
      <c r="AT26" s="644">
        <f t="shared" si="45"/>
        <v>0.1427059906077861</v>
      </c>
      <c r="AU26" s="645">
        <f t="shared" si="45"/>
        <v>0.22000343272242651</v>
      </c>
      <c r="AV26" s="644">
        <f t="shared" si="45"/>
        <v>0.19030970243731549</v>
      </c>
      <c r="AW26" s="644">
        <f t="shared" si="45"/>
        <v>0.19761384175176011</v>
      </c>
      <c r="AX26" s="644">
        <f t="shared" si="45"/>
        <v>0.20316154625919891</v>
      </c>
      <c r="AY26" s="645">
        <f t="shared" si="45"/>
        <v>8.708191484629646E-2</v>
      </c>
      <c r="AZ26" s="644">
        <f t="shared" si="45"/>
        <v>4.2267789896564656E-2</v>
      </c>
      <c r="BA26" s="644">
        <f t="shared" si="45"/>
        <v>-1.7784013493850059E-3</v>
      </c>
      <c r="BB26" s="644">
        <f t="shared" si="45"/>
        <v>-1.5464561443820912E-2</v>
      </c>
      <c r="BC26" s="645">
        <f t="shared" si="45"/>
        <v>3.793388594902769E-2</v>
      </c>
      <c r="BD26" s="644">
        <f t="shared" si="45"/>
        <v>1.5094399406549774E-2</v>
      </c>
      <c r="BE26" s="644">
        <f t="shared" si="45"/>
        <v>7.7134331128362765E-2</v>
      </c>
      <c r="BF26" s="644">
        <f t="shared" si="45"/>
        <v>0.11133410697565438</v>
      </c>
      <c r="BG26" s="645">
        <f t="shared" si="45"/>
        <v>0.12664830001512706</v>
      </c>
      <c r="BH26" s="644">
        <f t="shared" si="45"/>
        <v>0.22399847967948383</v>
      </c>
      <c r="BI26" s="644">
        <f t="shared" si="45"/>
        <v>0.16540979560700908</v>
      </c>
      <c r="BJ26" s="644">
        <f t="shared" si="45"/>
        <v>8.9646844501409584E-2</v>
      </c>
      <c r="BK26" s="645">
        <f t="shared" si="45"/>
        <v>-8.5008698935458593E-2</v>
      </c>
      <c r="BL26" s="644">
        <f t="shared" ref="BL26:CQ26" si="46">BL24/BH24-1</f>
        <v>-0.21931275328468469</v>
      </c>
      <c r="BM26" s="644">
        <f t="shared" si="46"/>
        <v>-0.17889213429673945</v>
      </c>
      <c r="BN26" s="644">
        <f t="shared" si="46"/>
        <v>-3.4647138678036704E-2</v>
      </c>
      <c r="BO26" s="645">
        <f t="shared" si="46"/>
        <v>0.27977001476316676</v>
      </c>
      <c r="BP26" s="644">
        <f t="shared" si="46"/>
        <v>0.5129559066828846</v>
      </c>
      <c r="BQ26" s="644">
        <f t="shared" si="46"/>
        <v>0.4823545410211203</v>
      </c>
      <c r="BR26" s="644">
        <f t="shared" si="46"/>
        <v>0.35872583529217872</v>
      </c>
      <c r="BS26" s="645">
        <f t="shared" si="46"/>
        <v>0.21954428043382945</v>
      </c>
      <c r="BT26" s="644">
        <f t="shared" si="46"/>
        <v>0.2174019617181735</v>
      </c>
      <c r="BU26" s="644">
        <f t="shared" si="46"/>
        <v>2.4489989592592742E-2</v>
      </c>
      <c r="BV26" s="644">
        <f t="shared" si="46"/>
        <v>7.075623245277729E-2</v>
      </c>
      <c r="BW26" s="645">
        <f t="shared" si="46"/>
        <v>-0.15428540169568694</v>
      </c>
      <c r="BX26" s="644">
        <f t="shared" si="46"/>
        <v>5.8509389732584793E-2</v>
      </c>
      <c r="BY26" s="644">
        <f t="shared" si="46"/>
        <v>0.25316337659033405</v>
      </c>
      <c r="BZ26" s="644">
        <f t="shared" si="46"/>
        <v>0.10355305568670259</v>
      </c>
      <c r="CA26" s="645">
        <f t="shared" si="46"/>
        <v>0.46350470702698621</v>
      </c>
      <c r="CB26" s="644">
        <f t="shared" si="46"/>
        <v>0.10965858523936278</v>
      </c>
      <c r="CC26" s="644">
        <f t="shared" si="46"/>
        <v>-1.5573126230433276E-2</v>
      </c>
      <c r="CD26" s="644">
        <f t="shared" si="46"/>
        <v>-7.1072437336050509E-3</v>
      </c>
      <c r="CE26" s="645">
        <f t="shared" si="46"/>
        <v>-0.10826161639460041</v>
      </c>
      <c r="CF26" s="644">
        <f t="shared" si="46"/>
        <v>-9.5587151188300079E-2</v>
      </c>
      <c r="CG26" s="644">
        <f t="shared" si="46"/>
        <v>-5.1604299624110839E-2</v>
      </c>
      <c r="CH26" s="644">
        <f t="shared" si="46"/>
        <v>-3.268988296429487E-2</v>
      </c>
      <c r="CI26" s="645">
        <f t="shared" si="46"/>
        <v>-2.0058566967899649E-2</v>
      </c>
      <c r="CJ26" s="644">
        <f t="shared" si="46"/>
        <v>1.6345812959785766E-2</v>
      </c>
      <c r="CK26" s="644">
        <f t="shared" si="46"/>
        <v>4.4864943325020334E-3</v>
      </c>
      <c r="CL26" s="644">
        <f t="shared" si="46"/>
        <v>4.5802260133738004E-2</v>
      </c>
      <c r="CM26" s="645">
        <f t="shared" si="46"/>
        <v>3.8296148310183575E-2</v>
      </c>
      <c r="CN26" s="644">
        <f t="shared" si="46"/>
        <v>1.454657013723315E-2</v>
      </c>
      <c r="CO26" s="644">
        <f t="shared" si="46"/>
        <v>7.272861027547517E-2</v>
      </c>
      <c r="CP26" s="644">
        <f t="shared" si="46"/>
        <v>6.2579464817351216E-2</v>
      </c>
      <c r="CQ26" s="645">
        <f t="shared" si="46"/>
        <v>7.79895116870859E-2</v>
      </c>
      <c r="CR26" s="644">
        <f t="shared" ref="CR26:CY26" si="47">CR24/CN24-1</f>
        <v>5.3530475098383601E-2</v>
      </c>
      <c r="CS26" s="644">
        <f t="shared" si="47"/>
        <v>2.4443015200215079E-4</v>
      </c>
      <c r="CT26" s="644">
        <f t="shared" si="47"/>
        <v>4.9129583257816467E-2</v>
      </c>
      <c r="CU26" s="645">
        <f t="shared" si="47"/>
        <v>5.5590492472452624E-3</v>
      </c>
      <c r="CV26" s="644">
        <f t="shared" si="47"/>
        <v>3.4019404661548514E-2</v>
      </c>
      <c r="CW26" s="644">
        <f t="shared" si="47"/>
        <v>7.9906678903144179E-2</v>
      </c>
      <c r="CX26" s="644">
        <f t="shared" si="47"/>
        <v>2.4543294729749254E-2</v>
      </c>
      <c r="CY26" s="645">
        <f t="shared" si="47"/>
        <v>6.3034517107824151E-2</v>
      </c>
      <c r="DA26" s="432"/>
      <c r="DB26" s="432"/>
      <c r="DC26" s="432"/>
      <c r="DD26" s="432"/>
      <c r="DE26" s="432"/>
      <c r="DF26" s="432"/>
      <c r="DG26" s="432"/>
      <c r="DH26" s="432">
        <f t="shared" ref="DH26:ED26" si="48">DH24/DG24-1</f>
        <v>3.5472353013863644E-2</v>
      </c>
      <c r="DI26" s="432">
        <f t="shared" si="48"/>
        <v>0.16504080100526419</v>
      </c>
      <c r="DJ26" s="432">
        <f t="shared" si="48"/>
        <v>0.17386943930702325</v>
      </c>
      <c r="DK26" s="432">
        <f t="shared" si="48"/>
        <v>0.17488365823505636</v>
      </c>
      <c r="DL26" s="432">
        <f t="shared" si="48"/>
        <v>0.16765323547457567</v>
      </c>
      <c r="DM26" s="432">
        <f t="shared" si="48"/>
        <v>1.5326442521865324E-2</v>
      </c>
      <c r="DN26" s="432">
        <f t="shared" si="48"/>
        <v>8.2829088450855792E-2</v>
      </c>
      <c r="DO26" s="432">
        <f t="shared" si="48"/>
        <v>9.3129028455918084E-2</v>
      </c>
      <c r="DP26" s="432">
        <f t="shared" si="48"/>
        <v>-5.0441716785830426E-2</v>
      </c>
      <c r="DQ26" s="432">
        <f t="shared" si="48"/>
        <v>0.37787365286148655</v>
      </c>
      <c r="DR26" s="432">
        <f t="shared" si="48"/>
        <v>3.4964533601196113E-2</v>
      </c>
      <c r="DS26" s="432">
        <f t="shared" si="48"/>
        <v>0.20420158569389968</v>
      </c>
      <c r="DT26" s="432">
        <f t="shared" si="48"/>
        <v>-7.1007705823282752E-3</v>
      </c>
      <c r="DU26" s="432">
        <f t="shared" si="48"/>
        <v>-5.1589681039214463E-2</v>
      </c>
      <c r="DV26" s="432">
        <f t="shared" si="48"/>
        <v>2.6187885037467495E-2</v>
      </c>
      <c r="DW26" s="432">
        <f t="shared" si="48"/>
        <v>5.6346232633055493E-2</v>
      </c>
      <c r="DX26" s="432">
        <f t="shared" si="48"/>
        <v>2.7403902565536598E-2</v>
      </c>
      <c r="DY26" s="432">
        <f t="shared" si="48"/>
        <v>4.9514396730434562E-2</v>
      </c>
      <c r="DZ26" s="432">
        <f t="shared" si="48"/>
        <v>5.9616267808443313E-2</v>
      </c>
      <c r="EA26" s="432">
        <f t="shared" si="48"/>
        <v>8.2391917220038913E-2</v>
      </c>
      <c r="EB26" s="432">
        <f t="shared" si="48"/>
        <v>5.5360739875130127E-2</v>
      </c>
      <c r="EC26" s="432">
        <f t="shared" si="48"/>
        <v>6.6236319393634169E-2</v>
      </c>
      <c r="ED26" s="432">
        <f t="shared" si="48"/>
        <v>5.5094227472328283E-2</v>
      </c>
      <c r="EE26" s="435"/>
    </row>
    <row r="27" spans="1:135" s="601" customFormat="1" ht="15">
      <c r="A27" s="429"/>
      <c r="B27" s="720" t="s">
        <v>337</v>
      </c>
      <c r="C27" s="721"/>
      <c r="D27" s="722"/>
      <c r="E27" s="721"/>
      <c r="F27" s="721"/>
      <c r="G27" s="723"/>
      <c r="H27" s="721"/>
      <c r="I27" s="721"/>
      <c r="J27" s="721"/>
      <c r="K27" s="723"/>
      <c r="L27" s="721"/>
      <c r="M27" s="721"/>
      <c r="N27" s="721"/>
      <c r="O27" s="723"/>
      <c r="P27" s="721"/>
      <c r="Q27" s="721"/>
      <c r="R27" s="721"/>
      <c r="S27" s="723"/>
      <c r="T27" s="721"/>
      <c r="U27" s="721"/>
      <c r="V27" s="721"/>
      <c r="W27" s="723"/>
      <c r="X27" s="721"/>
      <c r="Y27" s="721"/>
      <c r="Z27" s="721"/>
      <c r="AA27" s="723"/>
      <c r="AB27" s="720">
        <f t="shared" ref="AB27:BG27" si="49">AB6+AB9+AB12+AB15+AB18+AB21+AB24</f>
        <v>14.818744000000001</v>
      </c>
      <c r="AC27" s="720">
        <f t="shared" si="49"/>
        <v>14.703020000000002</v>
      </c>
      <c r="AD27" s="720">
        <f t="shared" si="49"/>
        <v>13.004588</v>
      </c>
      <c r="AE27" s="724">
        <f t="shared" si="49"/>
        <v>13.784153</v>
      </c>
      <c r="AF27" s="720">
        <f t="shared" si="49"/>
        <v>14.217734000000002</v>
      </c>
      <c r="AG27" s="720">
        <f t="shared" si="49"/>
        <v>14.334719</v>
      </c>
      <c r="AH27" s="720">
        <f t="shared" si="49"/>
        <v>12.614643000000001</v>
      </c>
      <c r="AI27" s="724">
        <f t="shared" si="49"/>
        <v>13.284656</v>
      </c>
      <c r="AJ27" s="720">
        <f t="shared" si="49"/>
        <v>14.181355999999999</v>
      </c>
      <c r="AK27" s="720">
        <f t="shared" si="49"/>
        <v>14.913269000000001</v>
      </c>
      <c r="AL27" s="720">
        <f t="shared" si="49"/>
        <v>13.566951999999999</v>
      </c>
      <c r="AM27" s="724">
        <f t="shared" si="49"/>
        <v>14.395555</v>
      </c>
      <c r="AN27" s="725">
        <f t="shared" si="49"/>
        <v>14.996796000000002</v>
      </c>
      <c r="AO27" s="725">
        <f t="shared" si="49"/>
        <v>14.904565</v>
      </c>
      <c r="AP27" s="726">
        <f t="shared" si="49"/>
        <v>13.647279000000001</v>
      </c>
      <c r="AQ27" s="727">
        <f t="shared" si="49"/>
        <v>15.053927999999999</v>
      </c>
      <c r="AR27" s="726">
        <f t="shared" si="49"/>
        <v>15.714227999999999</v>
      </c>
      <c r="AS27" s="726">
        <f t="shared" si="49"/>
        <v>15.953183999999998</v>
      </c>
      <c r="AT27" s="726">
        <f t="shared" si="49"/>
        <v>14.476061</v>
      </c>
      <c r="AU27" s="727">
        <f t="shared" si="49"/>
        <v>15.422076000000002</v>
      </c>
      <c r="AV27" s="726">
        <f t="shared" si="49"/>
        <v>15.976100000000001</v>
      </c>
      <c r="AW27" s="726">
        <f t="shared" si="49"/>
        <v>16.658427</v>
      </c>
      <c r="AX27" s="726">
        <f t="shared" si="49"/>
        <v>15.164473999999998</v>
      </c>
      <c r="AY27" s="727">
        <f t="shared" si="49"/>
        <v>16.359144999999998</v>
      </c>
      <c r="AZ27" s="726">
        <f t="shared" si="49"/>
        <v>17.276683999999999</v>
      </c>
      <c r="BA27" s="726">
        <f t="shared" si="49"/>
        <v>17.130426</v>
      </c>
      <c r="BB27" s="726">
        <f t="shared" si="49"/>
        <v>15.443634000000001</v>
      </c>
      <c r="BC27" s="727">
        <f t="shared" si="49"/>
        <v>16.948250999999999</v>
      </c>
      <c r="BD27" s="726">
        <f t="shared" si="49"/>
        <v>17.680128000000003</v>
      </c>
      <c r="BE27" s="726">
        <f t="shared" si="49"/>
        <v>17.988229999999998</v>
      </c>
      <c r="BF27" s="726">
        <f t="shared" si="49"/>
        <v>16.474727999999999</v>
      </c>
      <c r="BG27" s="727">
        <f t="shared" si="49"/>
        <v>18.432323999999998</v>
      </c>
      <c r="BH27" s="726">
        <f t="shared" ref="BH27:CM27" si="50">BH6+BH9+BH12+BH15+BH18+BH21+BH24</f>
        <v>18.358564000000001</v>
      </c>
      <c r="BI27" s="726">
        <f t="shared" si="50"/>
        <v>18.493109</v>
      </c>
      <c r="BJ27" s="726">
        <f t="shared" si="50"/>
        <v>16.187683</v>
      </c>
      <c r="BK27" s="727">
        <f t="shared" si="50"/>
        <v>14.495127999999999</v>
      </c>
      <c r="BL27" s="726">
        <f t="shared" si="50"/>
        <v>12.112026</v>
      </c>
      <c r="BM27" s="726">
        <f t="shared" si="50"/>
        <v>14.188582</v>
      </c>
      <c r="BN27" s="726">
        <f t="shared" si="50"/>
        <v>15.521865000000002</v>
      </c>
      <c r="BO27" s="727">
        <f t="shared" si="50"/>
        <v>17.691948999999997</v>
      </c>
      <c r="BP27" s="726">
        <f t="shared" si="50"/>
        <v>18.306341</v>
      </c>
      <c r="BQ27" s="726">
        <f t="shared" si="50"/>
        <v>18.629169999999998</v>
      </c>
      <c r="BR27" s="726">
        <f t="shared" si="50"/>
        <v>17.868556000000002</v>
      </c>
      <c r="BS27" s="727">
        <f t="shared" si="50"/>
        <v>19.564369000000003</v>
      </c>
      <c r="BT27" s="720">
        <f t="shared" si="50"/>
        <v>19.660230999999996</v>
      </c>
      <c r="BU27" s="720">
        <f t="shared" si="50"/>
        <v>18.376470000000001</v>
      </c>
      <c r="BV27" s="728">
        <f t="shared" si="50"/>
        <v>18.798199999999998</v>
      </c>
      <c r="BW27" s="729">
        <f t="shared" si="50"/>
        <v>20.046359000000002</v>
      </c>
      <c r="BX27" s="728">
        <f t="shared" si="50"/>
        <v>21.089046999999997</v>
      </c>
      <c r="BY27" s="728">
        <f t="shared" si="50"/>
        <v>20.603432000000002</v>
      </c>
      <c r="BZ27" s="728">
        <f t="shared" si="50"/>
        <v>19.296925999999999</v>
      </c>
      <c r="CA27" s="729">
        <f t="shared" si="50"/>
        <v>20.467359999999996</v>
      </c>
      <c r="CB27" s="720">
        <f t="shared" si="50"/>
        <v>21.105332000000001</v>
      </c>
      <c r="CC27" s="728">
        <f t="shared" si="50"/>
        <v>21.401049999999998</v>
      </c>
      <c r="CD27" s="728">
        <f t="shared" si="50"/>
        <v>20.270735000000002</v>
      </c>
      <c r="CE27" s="729">
        <f t="shared" si="50"/>
        <v>21.968327000000002</v>
      </c>
      <c r="CF27" s="720">
        <f t="shared" si="50"/>
        <v>22.201998000000003</v>
      </c>
      <c r="CG27" s="728">
        <f t="shared" si="50"/>
        <v>22.182492999999997</v>
      </c>
      <c r="CH27" s="728">
        <f t="shared" si="50"/>
        <v>20.698208000000001</v>
      </c>
      <c r="CI27" s="729">
        <f t="shared" si="50"/>
        <v>22.348688000000003</v>
      </c>
      <c r="CJ27" s="720">
        <f t="shared" si="50"/>
        <v>22.653889000000003</v>
      </c>
      <c r="CK27" s="720">
        <f t="shared" si="50"/>
        <v>22.259093</v>
      </c>
      <c r="CL27" s="720">
        <f t="shared" si="50"/>
        <v>20.539836000000005</v>
      </c>
      <c r="CM27" s="724">
        <f t="shared" si="50"/>
        <v>23.337880999999999</v>
      </c>
      <c r="CN27" s="720">
        <f t="shared" ref="CN27:CT27" si="51">CN6+CN9+CN12+CN15+CN18+CN21+CN24</f>
        <v>23.035329000000001</v>
      </c>
      <c r="CO27" s="720">
        <f t="shared" si="51"/>
        <v>23.018416000000002</v>
      </c>
      <c r="CP27" s="720">
        <f t="shared" si="51"/>
        <v>21.962502000000001</v>
      </c>
      <c r="CQ27" s="724">
        <f t="shared" si="51"/>
        <v>25.104763999999999</v>
      </c>
      <c r="CR27" s="720">
        <f t="shared" si="51"/>
        <v>24.343561000000001</v>
      </c>
      <c r="CS27" s="720">
        <f t="shared" si="51"/>
        <v>23.048915000000001</v>
      </c>
      <c r="CT27" s="720">
        <f t="shared" si="51"/>
        <v>22.531924</v>
      </c>
      <c r="CU27" s="724">
        <f t="shared" ref="CU27" si="52">CU6+CU9+CU12+CU15+CU18+CU21+CU24</f>
        <v>25.369181000000001</v>
      </c>
      <c r="CV27" s="720">
        <f>CV6+CV9+CV12+CV15+CV18+CV21+CV24</f>
        <v>24.124794000000001</v>
      </c>
      <c r="CW27" s="720">
        <f t="shared" ref="CW27:CY27" si="53">CW6+CW9+CW12+CW15+CW18+CW21+CW24</f>
        <v>23.924361999999999</v>
      </c>
      <c r="CX27" s="720">
        <f t="shared" si="53"/>
        <v>22.891689999999997</v>
      </c>
      <c r="CY27" s="724">
        <f t="shared" si="53"/>
        <v>25.469273999999999</v>
      </c>
      <c r="CZ27" s="599"/>
      <c r="DA27" s="730"/>
      <c r="DB27" s="730"/>
      <c r="DC27" s="730"/>
      <c r="DD27" s="730"/>
      <c r="DE27" s="730"/>
      <c r="DF27" s="730"/>
      <c r="DG27" s="728">
        <f t="shared" ref="DG27:EA27" si="54">DG6+DG9+DG12+DG15+DG18+DG21+DG24</f>
        <v>56.310504999999992</v>
      </c>
      <c r="DH27" s="728">
        <f t="shared" si="54"/>
        <v>54.451752000000006</v>
      </c>
      <c r="DI27" s="728">
        <f t="shared" si="54"/>
        <v>57.057132000000003</v>
      </c>
      <c r="DJ27" s="728">
        <f t="shared" si="54"/>
        <v>58.602568000000012</v>
      </c>
      <c r="DK27" s="728">
        <f t="shared" si="54"/>
        <v>61.565549000000011</v>
      </c>
      <c r="DL27" s="728">
        <f t="shared" si="54"/>
        <v>64.158146000000002</v>
      </c>
      <c r="DM27" s="728">
        <f t="shared" si="54"/>
        <v>66.798995000000005</v>
      </c>
      <c r="DN27" s="728">
        <f t="shared" si="54"/>
        <v>70.575409999999991</v>
      </c>
      <c r="DO27" s="728">
        <f t="shared" si="54"/>
        <v>67.534483999999992</v>
      </c>
      <c r="DP27" s="728">
        <f t="shared" si="54"/>
        <v>59.514422000000003</v>
      </c>
      <c r="DQ27" s="728">
        <f t="shared" si="54"/>
        <v>74.368435999999988</v>
      </c>
      <c r="DR27" s="728">
        <f t="shared" si="54"/>
        <v>76.881259999999997</v>
      </c>
      <c r="DS27" s="728">
        <f t="shared" si="54"/>
        <v>81.456765000000004</v>
      </c>
      <c r="DT27" s="728">
        <f t="shared" si="54"/>
        <v>84.745443999999992</v>
      </c>
      <c r="DU27" s="728">
        <f t="shared" si="54"/>
        <v>87.431386999999987</v>
      </c>
      <c r="DV27" s="728">
        <f t="shared" si="54"/>
        <v>88.790699000000004</v>
      </c>
      <c r="DW27" s="728">
        <f t="shared" si="54"/>
        <v>93.12101100000001</v>
      </c>
      <c r="DX27" s="720">
        <f t="shared" si="54"/>
        <v>95.293581000000003</v>
      </c>
      <c r="DY27" s="720">
        <f t="shared" si="54"/>
        <v>96.410119999999978</v>
      </c>
      <c r="DZ27" s="720">
        <f t="shared" si="54"/>
        <v>98.101167000000004</v>
      </c>
      <c r="EA27" s="720">
        <f t="shared" si="54"/>
        <v>99.984962999999993</v>
      </c>
      <c r="EB27" s="720">
        <f t="shared" ref="EB27:ED27" si="55">EB6+EB9+EB12+EB15+EB18+EB21+EB24</f>
        <v>102.281319</v>
      </c>
      <c r="EC27" s="720">
        <f t="shared" si="55"/>
        <v>104.31237900000001</v>
      </c>
      <c r="ED27" s="720">
        <f t="shared" si="55"/>
        <v>105.908468</v>
      </c>
      <c r="EE27" s="600"/>
    </row>
    <row r="28" spans="1:135" s="599" customFormat="1" ht="15">
      <c r="A28" s="258"/>
      <c r="B28" s="304" t="s">
        <v>310</v>
      </c>
      <c r="C28" s="435"/>
      <c r="D28" s="598"/>
      <c r="E28" s="432"/>
      <c r="F28" s="432"/>
      <c r="G28" s="433"/>
      <c r="H28" s="432"/>
      <c r="I28" s="432"/>
      <c r="J28" s="432"/>
      <c r="K28" s="433"/>
      <c r="L28" s="432"/>
      <c r="M28" s="432"/>
      <c r="N28" s="432"/>
      <c r="O28" s="433"/>
      <c r="P28" s="432"/>
      <c r="Q28" s="432"/>
      <c r="R28" s="432"/>
      <c r="S28" s="433"/>
      <c r="T28" s="432"/>
      <c r="U28" s="432"/>
      <c r="V28" s="432"/>
      <c r="W28" s="433"/>
      <c r="X28" s="432"/>
      <c r="Y28" s="432"/>
      <c r="Z28" s="432"/>
      <c r="AA28" s="433"/>
      <c r="AB28" s="432"/>
      <c r="AC28" s="432">
        <f t="shared" ref="AC28:BH28" si="56">AC27/AB27-1</f>
        <v>-7.8092988177674849E-3</v>
      </c>
      <c r="AD28" s="432">
        <f t="shared" si="56"/>
        <v>-0.11551586000699188</v>
      </c>
      <c r="AE28" s="433">
        <f t="shared" si="56"/>
        <v>5.9945382352751153E-2</v>
      </c>
      <c r="AF28" s="432">
        <f t="shared" si="56"/>
        <v>3.1455033907415331E-2</v>
      </c>
      <c r="AG28" s="432">
        <f t="shared" si="56"/>
        <v>8.2281044222656252E-3</v>
      </c>
      <c r="AH28" s="432">
        <f t="shared" si="56"/>
        <v>-0.11999370200420389</v>
      </c>
      <c r="AI28" s="433">
        <f t="shared" si="56"/>
        <v>5.3113908970709556E-2</v>
      </c>
      <c r="AJ28" s="432">
        <f t="shared" si="56"/>
        <v>6.7498925075666127E-2</v>
      </c>
      <c r="AK28" s="432">
        <f t="shared" si="56"/>
        <v>5.1610931987040143E-2</v>
      </c>
      <c r="AL28" s="432">
        <f t="shared" si="56"/>
        <v>-9.0276451125504531E-2</v>
      </c>
      <c r="AM28" s="433">
        <f t="shared" si="56"/>
        <v>6.1075103678409182E-2</v>
      </c>
      <c r="AN28" s="432">
        <f t="shared" si="56"/>
        <v>4.1765739493892395E-2</v>
      </c>
      <c r="AO28" s="432">
        <f t="shared" si="56"/>
        <v>-6.150046983369073E-3</v>
      </c>
      <c r="AP28" s="432">
        <f t="shared" si="56"/>
        <v>-8.4355766169626478E-2</v>
      </c>
      <c r="AQ28" s="433">
        <f t="shared" si="56"/>
        <v>0.10307175518284617</v>
      </c>
      <c r="AR28" s="432">
        <f t="shared" si="56"/>
        <v>4.3862306236618132E-2</v>
      </c>
      <c r="AS28" s="432">
        <f t="shared" si="56"/>
        <v>1.5206346757855371E-2</v>
      </c>
      <c r="AT28" s="432">
        <f t="shared" si="56"/>
        <v>-9.2591109085183199E-2</v>
      </c>
      <c r="AU28" s="433">
        <f t="shared" si="56"/>
        <v>6.5350304893023292E-2</v>
      </c>
      <c r="AV28" s="432">
        <f t="shared" si="56"/>
        <v>3.5924087003591287E-2</v>
      </c>
      <c r="AW28" s="432">
        <f t="shared" si="56"/>
        <v>4.2709234418913278E-2</v>
      </c>
      <c r="AX28" s="432">
        <f t="shared" si="56"/>
        <v>-8.968151674825009E-2</v>
      </c>
      <c r="AY28" s="433">
        <f t="shared" si="56"/>
        <v>7.8780905951634006E-2</v>
      </c>
      <c r="AZ28" s="432">
        <f t="shared" si="56"/>
        <v>5.6087222162283012E-2</v>
      </c>
      <c r="BA28" s="432">
        <f t="shared" si="56"/>
        <v>-8.4656291681899365E-3</v>
      </c>
      <c r="BB28" s="432">
        <f t="shared" si="56"/>
        <v>-9.8467603782883106E-2</v>
      </c>
      <c r="BC28" s="433">
        <f t="shared" si="56"/>
        <v>9.7426357034879008E-2</v>
      </c>
      <c r="BD28" s="432">
        <f t="shared" si="56"/>
        <v>4.3183039949078239E-2</v>
      </c>
      <c r="BE28" s="432">
        <f t="shared" si="56"/>
        <v>1.7426457546008356E-2</v>
      </c>
      <c r="BF28" s="432">
        <f t="shared" si="56"/>
        <v>-8.4138461649645335E-2</v>
      </c>
      <c r="BG28" s="433">
        <f t="shared" si="56"/>
        <v>0.11882417724893535</v>
      </c>
      <c r="BH28" s="432">
        <f t="shared" si="56"/>
        <v>-4.0016657693298097E-3</v>
      </c>
      <c r="BI28" s="432">
        <f t="shared" ref="BI28:CN28" si="57">BI27/BH27-1</f>
        <v>7.3287322472497252E-3</v>
      </c>
      <c r="BJ28" s="432">
        <f t="shared" si="57"/>
        <v>-0.12466405729831587</v>
      </c>
      <c r="BK28" s="433">
        <f t="shared" si="57"/>
        <v>-0.10455820020691042</v>
      </c>
      <c r="BL28" s="432">
        <f t="shared" si="57"/>
        <v>-0.16440710285552496</v>
      </c>
      <c r="BM28" s="432">
        <f t="shared" si="57"/>
        <v>0.17144580105756058</v>
      </c>
      <c r="BN28" s="432">
        <f t="shared" si="57"/>
        <v>9.3968727812264952E-2</v>
      </c>
      <c r="BO28" s="433">
        <f t="shared" si="57"/>
        <v>0.13980819959457169</v>
      </c>
      <c r="BP28" s="432">
        <f t="shared" si="57"/>
        <v>3.4727208404229604E-2</v>
      </c>
      <c r="BQ28" s="432">
        <f t="shared" si="57"/>
        <v>1.7634818448973411E-2</v>
      </c>
      <c r="BR28" s="432">
        <f t="shared" si="57"/>
        <v>-4.0829194215308395E-2</v>
      </c>
      <c r="BS28" s="433">
        <f t="shared" si="57"/>
        <v>9.4904870880444969E-2</v>
      </c>
      <c r="BT28" s="432">
        <f t="shared" si="57"/>
        <v>4.8998258006682782E-3</v>
      </c>
      <c r="BU28" s="432">
        <f t="shared" si="57"/>
        <v>-6.529735077883847E-2</v>
      </c>
      <c r="BV28" s="432">
        <f t="shared" si="57"/>
        <v>2.2949456560481751E-2</v>
      </c>
      <c r="BW28" s="433">
        <f t="shared" si="57"/>
        <v>6.6397793405751804E-2</v>
      </c>
      <c r="BX28" s="432">
        <f t="shared" si="57"/>
        <v>5.2013834532245617E-2</v>
      </c>
      <c r="BY28" s="432">
        <f t="shared" si="57"/>
        <v>-2.3026882153565076E-2</v>
      </c>
      <c r="BZ28" s="432">
        <f t="shared" si="57"/>
        <v>-6.3412056787432447E-2</v>
      </c>
      <c r="CA28" s="433">
        <f t="shared" si="57"/>
        <v>6.065390933250181E-2</v>
      </c>
      <c r="CB28" s="432">
        <f t="shared" si="57"/>
        <v>3.1170214429218301E-2</v>
      </c>
      <c r="CC28" s="432">
        <f t="shared" si="57"/>
        <v>1.4011530356404567E-2</v>
      </c>
      <c r="CD28" s="432">
        <f t="shared" si="57"/>
        <v>-5.2815866511222387E-2</v>
      </c>
      <c r="CE28" s="433">
        <f t="shared" si="57"/>
        <v>8.3745951984474098E-2</v>
      </c>
      <c r="CF28" s="432">
        <f t="shared" si="57"/>
        <v>1.0636722587022751E-2</v>
      </c>
      <c r="CG28" s="432">
        <f t="shared" si="57"/>
        <v>-8.7852453639558625E-4</v>
      </c>
      <c r="CH28" s="432">
        <f t="shared" si="57"/>
        <v>-6.6912452085525098E-2</v>
      </c>
      <c r="CI28" s="433">
        <f t="shared" si="57"/>
        <v>7.9740236449455049E-2</v>
      </c>
      <c r="CJ28" s="432">
        <f t="shared" si="57"/>
        <v>1.3656327387093103E-2</v>
      </c>
      <c r="CK28" s="432">
        <f t="shared" si="57"/>
        <v>-1.7427294713062369E-2</v>
      </c>
      <c r="CL28" s="432">
        <f t="shared" si="57"/>
        <v>-7.7238412185078542E-2</v>
      </c>
      <c r="CM28" s="433">
        <f t="shared" si="57"/>
        <v>0.13622528436935877</v>
      </c>
      <c r="CN28" s="432">
        <f t="shared" si="57"/>
        <v>-1.2963987604530103E-2</v>
      </c>
      <c r="CO28" s="432">
        <f t="shared" ref="CO28:CY28" si="58">CO27/CN27-1</f>
        <v>-7.3422003219481002E-4</v>
      </c>
      <c r="CP28" s="432">
        <f t="shared" si="58"/>
        <v>-4.5872574376968456E-2</v>
      </c>
      <c r="CQ28" s="433">
        <f t="shared" si="58"/>
        <v>0.14307395396025457</v>
      </c>
      <c r="CR28" s="432">
        <f t="shared" si="58"/>
        <v>-3.0321057788075589E-2</v>
      </c>
      <c r="CS28" s="432">
        <f t="shared" si="58"/>
        <v>-5.3182276824660146E-2</v>
      </c>
      <c r="CT28" s="432">
        <f t="shared" si="58"/>
        <v>-2.2430166452520717E-2</v>
      </c>
      <c r="CU28" s="433">
        <f t="shared" si="58"/>
        <v>0.12592164788058047</v>
      </c>
      <c r="CV28" s="432">
        <f t="shared" si="58"/>
        <v>-4.9051130188239034E-2</v>
      </c>
      <c r="CW28" s="432">
        <f t="shared" si="58"/>
        <v>-8.3081331181523721E-3</v>
      </c>
      <c r="CX28" s="432">
        <f t="shared" si="58"/>
        <v>-4.3164035053473992E-2</v>
      </c>
      <c r="CY28" s="433">
        <f t="shared" si="58"/>
        <v>0.11259911347742357</v>
      </c>
      <c r="DA28" s="432"/>
      <c r="DB28" s="432"/>
      <c r="DC28" s="432"/>
      <c r="DD28" s="432"/>
      <c r="DE28" s="432"/>
      <c r="DF28" s="432"/>
      <c r="DG28" s="432"/>
      <c r="DH28" s="432"/>
      <c r="DI28" s="432"/>
      <c r="DJ28" s="432"/>
      <c r="DK28" s="432"/>
      <c r="DL28" s="432"/>
      <c r="DM28" s="432"/>
      <c r="DN28" s="432"/>
      <c r="DO28" s="432"/>
      <c r="DP28" s="432"/>
      <c r="DQ28" s="432"/>
      <c r="DR28" s="432"/>
      <c r="DS28" s="432"/>
      <c r="DT28" s="432"/>
      <c r="DU28" s="432"/>
      <c r="DV28" s="432"/>
      <c r="DW28" s="432"/>
      <c r="DX28" s="432"/>
      <c r="DY28" s="432"/>
      <c r="DZ28" s="432"/>
      <c r="EA28" s="432"/>
      <c r="EB28" s="432"/>
      <c r="EC28" s="432"/>
      <c r="ED28" s="432"/>
      <c r="EE28" s="435"/>
    </row>
    <row r="29" spans="1:135" s="599" customFormat="1" ht="15">
      <c r="A29" s="258"/>
      <c r="B29" s="304" t="s">
        <v>240</v>
      </c>
      <c r="C29" s="435"/>
      <c r="D29" s="598"/>
      <c r="E29" s="432"/>
      <c r="F29" s="432"/>
      <c r="G29" s="433"/>
      <c r="H29" s="432"/>
      <c r="I29" s="432"/>
      <c r="J29" s="432"/>
      <c r="K29" s="433"/>
      <c r="L29" s="432"/>
      <c r="M29" s="432"/>
      <c r="N29" s="432"/>
      <c r="O29" s="433"/>
      <c r="P29" s="432"/>
      <c r="Q29" s="432"/>
      <c r="R29" s="432"/>
      <c r="S29" s="433"/>
      <c r="T29" s="432"/>
      <c r="U29" s="432"/>
      <c r="V29" s="432"/>
      <c r="W29" s="433"/>
      <c r="X29" s="432"/>
      <c r="Y29" s="432"/>
      <c r="Z29" s="432"/>
      <c r="AA29" s="433"/>
      <c r="AB29" s="432"/>
      <c r="AC29" s="432"/>
      <c r="AD29" s="432"/>
      <c r="AE29" s="433"/>
      <c r="AF29" s="432">
        <f t="shared" ref="AF29:BK29" si="59">AF27/AB27-1</f>
        <v>-4.0557418361502062E-2</v>
      </c>
      <c r="AG29" s="432">
        <f t="shared" si="59"/>
        <v>-2.5049343604239271E-2</v>
      </c>
      <c r="AH29" s="432">
        <f t="shared" si="59"/>
        <v>-2.9985186766393501E-2</v>
      </c>
      <c r="AI29" s="433">
        <f t="shared" si="59"/>
        <v>-3.6237046991570709E-2</v>
      </c>
      <c r="AJ29" s="432">
        <f t="shared" si="59"/>
        <v>-2.5586355744172673E-3</v>
      </c>
      <c r="AK29" s="432">
        <f t="shared" si="59"/>
        <v>4.0360051703838939E-2</v>
      </c>
      <c r="AL29" s="432">
        <f t="shared" si="59"/>
        <v>7.549234647385572E-2</v>
      </c>
      <c r="AM29" s="433">
        <f t="shared" si="59"/>
        <v>8.3622714807218168E-2</v>
      </c>
      <c r="AN29" s="432">
        <f t="shared" si="59"/>
        <v>5.7500848296876628E-2</v>
      </c>
      <c r="AO29" s="432">
        <f t="shared" si="59"/>
        <v>-5.8364131968657862E-4</v>
      </c>
      <c r="AP29" s="432">
        <f t="shared" si="59"/>
        <v>5.9207845653175273E-3</v>
      </c>
      <c r="AQ29" s="433">
        <f t="shared" si="59"/>
        <v>4.5734464562151356E-2</v>
      </c>
      <c r="AR29" s="432">
        <f t="shared" si="59"/>
        <v>4.7839018414333134E-2</v>
      </c>
      <c r="AS29" s="432">
        <f t="shared" si="59"/>
        <v>7.0355558850593747E-2</v>
      </c>
      <c r="AT29" s="432">
        <f t="shared" si="59"/>
        <v>6.0728735742853868E-2</v>
      </c>
      <c r="AU29" s="433">
        <f t="shared" si="59"/>
        <v>2.4455278383157086E-2</v>
      </c>
      <c r="AV29" s="432">
        <f t="shared" si="59"/>
        <v>1.6664643022870962E-2</v>
      </c>
      <c r="AW29" s="432">
        <f t="shared" si="59"/>
        <v>4.420703729111386E-2</v>
      </c>
      <c r="AX29" s="432">
        <f t="shared" si="59"/>
        <v>4.7555270732832611E-2</v>
      </c>
      <c r="AY29" s="433">
        <f t="shared" si="59"/>
        <v>6.0761534309647702E-2</v>
      </c>
      <c r="AZ29" s="432">
        <f t="shared" si="59"/>
        <v>8.1408103354385641E-2</v>
      </c>
      <c r="BA29" s="432">
        <f t="shared" si="59"/>
        <v>2.833394773708231E-2</v>
      </c>
      <c r="BB29" s="432">
        <f t="shared" si="59"/>
        <v>1.8408815234870923E-2</v>
      </c>
      <c r="BC29" s="433">
        <f t="shared" si="59"/>
        <v>3.6010806188220723E-2</v>
      </c>
      <c r="BD29" s="432">
        <f t="shared" si="59"/>
        <v>2.3351934896766346E-2</v>
      </c>
      <c r="BE29" s="432">
        <f t="shared" si="59"/>
        <v>5.0074878464785311E-2</v>
      </c>
      <c r="BF29" s="432">
        <f t="shared" si="59"/>
        <v>6.67649854949941E-2</v>
      </c>
      <c r="BG29" s="433">
        <f t="shared" si="59"/>
        <v>8.756496466803565E-2</v>
      </c>
      <c r="BH29" s="432">
        <f t="shared" si="59"/>
        <v>3.837279911095659E-2</v>
      </c>
      <c r="BI29" s="432">
        <f t="shared" si="59"/>
        <v>2.8067186154502322E-2</v>
      </c>
      <c r="BJ29" s="432">
        <f t="shared" si="59"/>
        <v>-1.7423352907556255E-2</v>
      </c>
      <c r="BK29" s="433">
        <f t="shared" si="59"/>
        <v>-0.21360279908274171</v>
      </c>
      <c r="BL29" s="432">
        <f t="shared" ref="BL29:CQ29" si="60">BL27/BH27-1</f>
        <v>-0.34025199356550984</v>
      </c>
      <c r="BM29" s="432">
        <f t="shared" si="60"/>
        <v>-0.23276383651878119</v>
      </c>
      <c r="BN29" s="432">
        <f t="shared" si="60"/>
        <v>-4.1131148911181303E-2</v>
      </c>
      <c r="BO29" s="433">
        <f t="shared" si="60"/>
        <v>0.22054451675073161</v>
      </c>
      <c r="BP29" s="432">
        <f t="shared" si="60"/>
        <v>0.51141856861932089</v>
      </c>
      <c r="BQ29" s="432">
        <f t="shared" si="60"/>
        <v>0.31296911840802677</v>
      </c>
      <c r="BR29" s="432">
        <f t="shared" si="60"/>
        <v>0.15118614934481123</v>
      </c>
      <c r="BS29" s="433">
        <f t="shared" si="60"/>
        <v>0.10583458046369043</v>
      </c>
      <c r="BT29" s="432">
        <f t="shared" si="60"/>
        <v>7.3957433656457905E-2</v>
      </c>
      <c r="BU29" s="432">
        <f t="shared" si="60"/>
        <v>-1.3564748187922304E-2</v>
      </c>
      <c r="BV29" s="432">
        <f t="shared" si="60"/>
        <v>5.2026811791618499E-2</v>
      </c>
      <c r="BW29" s="433">
        <f t="shared" si="60"/>
        <v>2.4636112721038828E-2</v>
      </c>
      <c r="BX29" s="432">
        <f t="shared" si="60"/>
        <v>7.2675443131873685E-2</v>
      </c>
      <c r="BY29" s="432">
        <f t="shared" si="60"/>
        <v>0.12118551604307037</v>
      </c>
      <c r="BZ29" s="432">
        <f t="shared" si="60"/>
        <v>2.6530518879467335E-2</v>
      </c>
      <c r="CA29" s="433">
        <f t="shared" si="60"/>
        <v>2.1001369874698694E-2</v>
      </c>
      <c r="CB29" s="432">
        <f t="shared" si="60"/>
        <v>7.7220179745451922E-4</v>
      </c>
      <c r="CC29" s="432">
        <f t="shared" si="60"/>
        <v>3.8712870748911943E-2</v>
      </c>
      <c r="CD29" s="432">
        <f t="shared" si="60"/>
        <v>5.0464462578132974E-2</v>
      </c>
      <c r="CE29" s="433">
        <f t="shared" si="60"/>
        <v>7.3334665535760735E-2</v>
      </c>
      <c r="CF29" s="432">
        <f t="shared" si="60"/>
        <v>5.1961561182738203E-2</v>
      </c>
      <c r="CG29" s="432">
        <f t="shared" si="60"/>
        <v>3.6514236451015147E-2</v>
      </c>
      <c r="CH29" s="432">
        <f t="shared" si="60"/>
        <v>2.1088184518222919E-2</v>
      </c>
      <c r="CI29" s="433">
        <f t="shared" si="60"/>
        <v>1.731406310548822E-2</v>
      </c>
      <c r="CJ29" s="432">
        <f t="shared" si="60"/>
        <v>2.0353618624774139E-2</v>
      </c>
      <c r="CK29" s="432">
        <f t="shared" si="60"/>
        <v>3.4531736356235854E-3</v>
      </c>
      <c r="CL29" s="432">
        <f t="shared" si="60"/>
        <v>-7.6514836453472901E-3</v>
      </c>
      <c r="CM29" s="433">
        <f t="shared" si="60"/>
        <v>4.4261792907037689E-2</v>
      </c>
      <c r="CN29" s="432">
        <f t="shared" si="60"/>
        <v>1.6837727067524622E-2</v>
      </c>
      <c r="CO29" s="432">
        <f t="shared" si="60"/>
        <v>3.4112935329395633E-2</v>
      </c>
      <c r="CP29" s="432">
        <f t="shared" si="60"/>
        <v>6.9263746799146597E-2</v>
      </c>
      <c r="CQ29" s="433">
        <f t="shared" si="60"/>
        <v>7.5708801497445188E-2</v>
      </c>
      <c r="CR29" s="432">
        <f t="shared" ref="CR29:CY29" si="61">CR27/CN27-1</f>
        <v>5.6792416552852387E-2</v>
      </c>
      <c r="CS29" s="432">
        <f t="shared" si="61"/>
        <v>1.3249825704775287E-3</v>
      </c>
      <c r="CT29" s="432">
        <f t="shared" si="61"/>
        <v>2.5927009591165895E-2</v>
      </c>
      <c r="CU29" s="433">
        <f t="shared" si="61"/>
        <v>1.0532542747663465E-2</v>
      </c>
      <c r="CV29" s="432">
        <f>CV27/CR27-1</f>
        <v>-8.9866474342024105E-3</v>
      </c>
      <c r="CW29" s="432">
        <f t="shared" si="61"/>
        <v>3.7982134950820701E-2</v>
      </c>
      <c r="CX29" s="432">
        <f t="shared" si="61"/>
        <v>1.596694538824095E-2</v>
      </c>
      <c r="CY29" s="433">
        <f t="shared" si="61"/>
        <v>3.9454564969991779E-3</v>
      </c>
      <c r="DA29" s="432"/>
      <c r="DB29" s="432"/>
      <c r="DC29" s="432"/>
      <c r="DD29" s="432"/>
      <c r="DE29" s="432"/>
      <c r="DF29" s="432"/>
      <c r="DG29" s="432"/>
      <c r="DH29" s="432">
        <f t="shared" ref="DH29:ED29" si="62">DH27/DG27-1</f>
        <v>-3.3008991839089119E-2</v>
      </c>
      <c r="DI29" s="432">
        <f t="shared" si="62"/>
        <v>4.7847496256869793E-2</v>
      </c>
      <c r="DJ29" s="432">
        <f t="shared" si="62"/>
        <v>2.7085763791983242E-2</v>
      </c>
      <c r="DK29" s="432">
        <f t="shared" si="62"/>
        <v>5.0560600006470668E-2</v>
      </c>
      <c r="DL29" s="432">
        <f t="shared" si="62"/>
        <v>4.2111165125807482E-2</v>
      </c>
      <c r="DM29" s="432">
        <f t="shared" si="62"/>
        <v>4.1161554138425371E-2</v>
      </c>
      <c r="DN29" s="432">
        <f t="shared" si="62"/>
        <v>5.6534009231725468E-2</v>
      </c>
      <c r="DO29" s="432">
        <f t="shared" si="62"/>
        <v>-4.3087613660338642E-2</v>
      </c>
      <c r="DP29" s="432">
        <f t="shared" si="62"/>
        <v>-0.11875506444974082</v>
      </c>
      <c r="DQ29" s="432">
        <f t="shared" si="62"/>
        <v>0.24958679763368918</v>
      </c>
      <c r="DR29" s="432">
        <f t="shared" si="62"/>
        <v>3.378885095822115E-2</v>
      </c>
      <c r="DS29" s="432">
        <f t="shared" si="62"/>
        <v>5.9513917956079299E-2</v>
      </c>
      <c r="DT29" s="432">
        <f t="shared" si="62"/>
        <v>4.0373307238508627E-2</v>
      </c>
      <c r="DU29" s="432">
        <f t="shared" si="62"/>
        <v>3.1694246595722619E-2</v>
      </c>
      <c r="DV29" s="432">
        <f t="shared" si="62"/>
        <v>1.5547185589083856E-2</v>
      </c>
      <c r="DW29" s="432">
        <f t="shared" si="62"/>
        <v>4.876988298064866E-2</v>
      </c>
      <c r="DX29" s="432">
        <f t="shared" si="62"/>
        <v>2.3330610102590077E-2</v>
      </c>
      <c r="DY29" s="432">
        <f t="shared" si="62"/>
        <v>1.171683326707984E-2</v>
      </c>
      <c r="DZ29" s="432">
        <f t="shared" si="62"/>
        <v>1.7540139977006763E-2</v>
      </c>
      <c r="EA29" s="432">
        <f t="shared" si="62"/>
        <v>1.9202585021236285E-2</v>
      </c>
      <c r="EB29" s="432">
        <f t="shared" si="62"/>
        <v>2.2967013549827442E-2</v>
      </c>
      <c r="EC29" s="432">
        <f t="shared" si="62"/>
        <v>1.9857585137321276E-2</v>
      </c>
      <c r="ED29" s="432">
        <f t="shared" si="62"/>
        <v>1.5301050702716701E-2</v>
      </c>
      <c r="EE29" s="435"/>
    </row>
    <row r="30" spans="1:135" s="599" customFormat="1" ht="15" hidden="1">
      <c r="A30" s="258"/>
      <c r="B30" s="664" t="s">
        <v>352</v>
      </c>
      <c r="C30" s="435"/>
      <c r="D30" s="598"/>
      <c r="E30" s="432"/>
      <c r="F30" s="432"/>
      <c r="G30" s="433"/>
      <c r="H30" s="432"/>
      <c r="I30" s="432"/>
      <c r="J30" s="432"/>
      <c r="K30" s="433"/>
      <c r="L30" s="432"/>
      <c r="M30" s="432"/>
      <c r="N30" s="432"/>
      <c r="O30" s="433"/>
      <c r="P30" s="432"/>
      <c r="Q30" s="432"/>
      <c r="R30" s="432"/>
      <c r="S30" s="433"/>
      <c r="T30" s="432"/>
      <c r="U30" s="432"/>
      <c r="V30" s="432"/>
      <c r="W30" s="433"/>
      <c r="X30" s="432"/>
      <c r="Y30" s="432"/>
      <c r="Z30" s="432"/>
      <c r="AA30" s="433"/>
      <c r="AB30" s="432"/>
      <c r="AC30" s="432"/>
      <c r="AD30" s="432"/>
      <c r="AE30" s="433"/>
      <c r="AF30" s="432">
        <f t="shared" ref="AF30:BK30" si="63">(AF6+AF15)/(AB6+AB15)-1</f>
        <v>2.1150548241699374E-2</v>
      </c>
      <c r="AG30" s="432">
        <f t="shared" si="63"/>
        <v>-4.2677616002367857E-3</v>
      </c>
      <c r="AH30" s="432">
        <f t="shared" si="63"/>
        <v>2.1017100145029E-2</v>
      </c>
      <c r="AI30" s="433">
        <f t="shared" si="63"/>
        <v>-3.1626836045417273E-2</v>
      </c>
      <c r="AJ30" s="432">
        <f t="shared" si="63"/>
        <v>-7.7388354521548353E-2</v>
      </c>
      <c r="AK30" s="432">
        <f t="shared" si="63"/>
        <v>3.6115655880617492E-3</v>
      </c>
      <c r="AL30" s="432">
        <f t="shared" si="63"/>
        <v>3.6289344792762357E-2</v>
      </c>
      <c r="AM30" s="433">
        <f t="shared" si="63"/>
        <v>3.2605656823075702E-2</v>
      </c>
      <c r="AN30" s="432">
        <f t="shared" si="63"/>
        <v>2.2079919893583932E-2</v>
      </c>
      <c r="AO30" s="432">
        <f t="shared" si="63"/>
        <v>1.4538559623071157E-2</v>
      </c>
      <c r="AP30" s="432">
        <f t="shared" si="63"/>
        <v>1.2118572327565635E-2</v>
      </c>
      <c r="AQ30" s="433">
        <f t="shared" si="63"/>
        <v>5.337849858541488E-2</v>
      </c>
      <c r="AR30" s="432">
        <f t="shared" si="63"/>
        <v>4.9943878641861339E-2</v>
      </c>
      <c r="AS30" s="432">
        <f t="shared" si="63"/>
        <v>5.9805267231005876E-2</v>
      </c>
      <c r="AT30" s="432">
        <f t="shared" si="63"/>
        <v>6.6106472337116085E-2</v>
      </c>
      <c r="AU30" s="433">
        <f t="shared" si="63"/>
        <v>1.8601489647325442E-2</v>
      </c>
      <c r="AV30" s="432">
        <f t="shared" si="63"/>
        <v>-4.6195575111948051E-3</v>
      </c>
      <c r="AW30" s="432">
        <f t="shared" si="63"/>
        <v>2.6526581189411091E-2</v>
      </c>
      <c r="AX30" s="432">
        <f t="shared" si="63"/>
        <v>-5.4064184273350246E-4</v>
      </c>
      <c r="AY30" s="433">
        <f t="shared" si="63"/>
        <v>1.3966593511060665E-2</v>
      </c>
      <c r="AZ30" s="432">
        <f t="shared" si="63"/>
        <v>7.0385480842860337E-2</v>
      </c>
      <c r="BA30" s="432">
        <f t="shared" si="63"/>
        <v>3.3477328104885018E-3</v>
      </c>
      <c r="BB30" s="432">
        <f t="shared" si="63"/>
        <v>3.0143159875754888E-2</v>
      </c>
      <c r="BC30" s="433">
        <f t="shared" si="63"/>
        <v>4.1552638426544775E-2</v>
      </c>
      <c r="BD30" s="432">
        <f t="shared" si="63"/>
        <v>5.4338454151757531E-2</v>
      </c>
      <c r="BE30" s="432">
        <f t="shared" si="63"/>
        <v>5.1779221307010515E-2</v>
      </c>
      <c r="BF30" s="432">
        <f t="shared" si="63"/>
        <v>4.768647726800701E-2</v>
      </c>
      <c r="BG30" s="433">
        <f t="shared" si="63"/>
        <v>8.3193680642484447E-2</v>
      </c>
      <c r="BH30" s="432">
        <f t="shared" si="63"/>
        <v>2.170092275218094E-2</v>
      </c>
      <c r="BI30" s="432">
        <f t="shared" si="63"/>
        <v>4.409923952384931E-2</v>
      </c>
      <c r="BJ30" s="432">
        <f t="shared" si="63"/>
        <v>-5.3595296600351672E-3</v>
      </c>
      <c r="BK30" s="433">
        <f t="shared" si="63"/>
        <v>-0.26104673517911281</v>
      </c>
      <c r="BL30" s="432">
        <f t="shared" ref="BL30:CQ30" si="64">(BL6+BL15)/(BH6+BH15)-1</f>
        <v>-0.37040731870306887</v>
      </c>
      <c r="BM30" s="432">
        <f t="shared" si="64"/>
        <v>-0.26853504963464025</v>
      </c>
      <c r="BN30" s="432">
        <f t="shared" si="64"/>
        <v>-0.14139299529393223</v>
      </c>
      <c r="BO30" s="433">
        <f t="shared" si="64"/>
        <v>0.11758818075729116</v>
      </c>
      <c r="BP30" s="432">
        <f t="shared" si="64"/>
        <v>0.34017166947296462</v>
      </c>
      <c r="BQ30" s="432">
        <f t="shared" si="64"/>
        <v>0.18275546942908161</v>
      </c>
      <c r="BR30" s="432">
        <f t="shared" si="64"/>
        <v>5.0595636314423764E-2</v>
      </c>
      <c r="BS30" s="433">
        <f t="shared" si="64"/>
        <v>9.0541872734433815E-2</v>
      </c>
      <c r="BT30" s="432">
        <f t="shared" si="64"/>
        <v>0.11458450037512224</v>
      </c>
      <c r="BU30" s="432">
        <f t="shared" si="64"/>
        <v>4.8890438558495619E-2</v>
      </c>
      <c r="BV30" s="432">
        <f t="shared" si="64"/>
        <v>6.9930947425995038E-2</v>
      </c>
      <c r="BW30" s="433">
        <f t="shared" si="64"/>
        <v>1.2490040677109571E-2</v>
      </c>
      <c r="BX30" s="432">
        <f t="shared" si="64"/>
        <v>-2.4716964181285328E-2</v>
      </c>
      <c r="BY30" s="432">
        <f t="shared" si="64"/>
        <v>-7.0129501166223185E-2</v>
      </c>
      <c r="BZ30" s="432">
        <f t="shared" si="64"/>
        <v>-7.5937493059611727E-2</v>
      </c>
      <c r="CA30" s="433">
        <f t="shared" si="64"/>
        <v>-0.10030373117299263</v>
      </c>
      <c r="CB30" s="432">
        <f t="shared" si="64"/>
        <v>-8.0451173818751109E-2</v>
      </c>
      <c r="CC30" s="432">
        <f t="shared" si="64"/>
        <v>1.4458061780531439E-2</v>
      </c>
      <c r="CD30" s="432">
        <f t="shared" si="64"/>
        <v>3.3791876431388035E-2</v>
      </c>
      <c r="CE30" s="433">
        <f t="shared" si="64"/>
        <v>6.4953219904138937E-2</v>
      </c>
      <c r="CF30" s="432">
        <f t="shared" si="64"/>
        <v>7.6839127462397183E-2</v>
      </c>
      <c r="CG30" s="432">
        <f t="shared" si="64"/>
        <v>5.3476036852965869E-2</v>
      </c>
      <c r="CH30" s="432">
        <f t="shared" si="64"/>
        <v>3.4306360792194512E-2</v>
      </c>
      <c r="CI30" s="433">
        <f t="shared" si="64"/>
        <v>3.3206698223269049E-2</v>
      </c>
      <c r="CJ30" s="432">
        <f t="shared" si="64"/>
        <v>5.4475797505609602E-2</v>
      </c>
      <c r="CK30" s="432">
        <f t="shared" si="64"/>
        <v>3.0835008186895552E-2</v>
      </c>
      <c r="CL30" s="432">
        <f t="shared" si="64"/>
        <v>4.2475975577487279E-2</v>
      </c>
      <c r="CM30" s="433">
        <f t="shared" si="64"/>
        <v>1.7616294677011757E-2</v>
      </c>
      <c r="CN30" s="432">
        <f t="shared" si="64"/>
        <v>9.9610045696911786E-3</v>
      </c>
      <c r="CO30" s="432">
        <f t="shared" si="64"/>
        <v>7.916177400415525E-2</v>
      </c>
      <c r="CP30" s="432">
        <f t="shared" si="64"/>
        <v>4.3781704286249834E-3</v>
      </c>
      <c r="CQ30" s="433">
        <f t="shared" si="64"/>
        <v>6.098863091236284E-2</v>
      </c>
      <c r="CR30" s="432">
        <f t="shared" ref="CR30:CY30" si="65">(CR6+CR15)/(CN6+CN15)-1</f>
        <v>7.359806865103069E-2</v>
      </c>
      <c r="CS30" s="432">
        <f t="shared" si="65"/>
        <v>-2.2992760241031807E-2</v>
      </c>
      <c r="CT30" s="432">
        <f t="shared" si="65"/>
        <v>5.388690782872807E-2</v>
      </c>
      <c r="CU30" s="433">
        <f t="shared" si="65"/>
        <v>8.0847732462876909E-2</v>
      </c>
      <c r="CV30" s="432">
        <f t="shared" si="65"/>
        <v>8.0409602483748621E-3</v>
      </c>
      <c r="CW30" s="432">
        <f t="shared" si="65"/>
        <v>4.3830204579982102E-2</v>
      </c>
      <c r="CX30" s="432">
        <f t="shared" si="65"/>
        <v>4.1757058903306943E-2</v>
      </c>
      <c r="CY30" s="433">
        <f t="shared" si="65"/>
        <v>9.2421068687942309E-3</v>
      </c>
      <c r="DA30" s="432"/>
      <c r="DB30" s="432"/>
      <c r="DC30" s="432"/>
      <c r="DD30" s="432"/>
      <c r="DE30" s="432"/>
      <c r="DF30" s="432"/>
      <c r="DG30" s="432"/>
      <c r="DH30" s="432">
        <f t="shared" ref="DH30:ED30" si="66">(DH6+DH15)/(DG6+DG15)-1</f>
        <v>1.2090520424794526E-3</v>
      </c>
      <c r="DI30" s="432">
        <f t="shared" si="66"/>
        <v>-4.4222772915643027E-3</v>
      </c>
      <c r="DJ30" s="432">
        <f t="shared" si="66"/>
        <v>2.5653822459406506E-2</v>
      </c>
      <c r="DK30" s="432">
        <f t="shared" si="66"/>
        <v>4.8107409919718291E-2</v>
      </c>
      <c r="DL30" s="432">
        <f t="shared" si="66"/>
        <v>9.2172954334373003E-3</v>
      </c>
      <c r="DM30" s="432">
        <f t="shared" si="66"/>
        <v>3.5898272056227531E-2</v>
      </c>
      <c r="DN30" s="432">
        <f t="shared" si="66"/>
        <v>5.9464479429367056E-2</v>
      </c>
      <c r="DO30" s="432">
        <f t="shared" si="66"/>
        <v>-5.1753565682051805E-2</v>
      </c>
      <c r="DP30" s="432">
        <f t="shared" si="66"/>
        <v>-0.18902010812630532</v>
      </c>
      <c r="DQ30" s="432">
        <f t="shared" si="66"/>
        <v>0.15812227895685882</v>
      </c>
      <c r="DR30" s="432">
        <f t="shared" si="66"/>
        <v>6.0524423322241949E-2</v>
      </c>
      <c r="DS30" s="432">
        <f t="shared" si="66"/>
        <v>-6.7079978614711155E-2</v>
      </c>
      <c r="DT30" s="432">
        <f t="shared" si="66"/>
        <v>4.965608647077735E-3</v>
      </c>
      <c r="DU30" s="432">
        <f t="shared" si="66"/>
        <v>4.97051502348278E-2</v>
      </c>
      <c r="DV30" s="432">
        <f t="shared" si="66"/>
        <v>3.6266933283217728E-2</v>
      </c>
      <c r="DW30" s="432">
        <f t="shared" si="66"/>
        <v>3.9307101040468417E-2</v>
      </c>
      <c r="DX30" s="432">
        <f t="shared" si="66"/>
        <v>4.488702187766358E-2</v>
      </c>
      <c r="DY30" s="432">
        <f t="shared" si="66"/>
        <v>2.4989020847520305E-2</v>
      </c>
      <c r="DZ30" s="432">
        <f t="shared" si="66"/>
        <v>5.8074121386124666E-3</v>
      </c>
      <c r="EA30" s="432">
        <f t="shared" si="66"/>
        <v>1.3753873188062204E-2</v>
      </c>
      <c r="EB30" s="432">
        <f t="shared" si="66"/>
        <v>2.6387260869770834E-2</v>
      </c>
      <c r="EC30" s="432">
        <f t="shared" si="66"/>
        <v>1.1871787583908944E-2</v>
      </c>
      <c r="ED30" s="432">
        <f t="shared" si="66"/>
        <v>1.7772863375757897E-3</v>
      </c>
      <c r="EE30" s="435"/>
    </row>
    <row r="31" spans="1:135" s="599" customFormat="1" ht="15" hidden="1">
      <c r="A31" s="258"/>
      <c r="B31" s="664" t="s">
        <v>353</v>
      </c>
      <c r="C31" s="435"/>
      <c r="D31" s="598"/>
      <c r="E31" s="432"/>
      <c r="F31" s="432"/>
      <c r="G31" s="433"/>
      <c r="H31" s="432"/>
      <c r="I31" s="432"/>
      <c r="J31" s="432"/>
      <c r="K31" s="433"/>
      <c r="L31" s="432"/>
      <c r="M31" s="432"/>
      <c r="N31" s="432"/>
      <c r="O31" s="433"/>
      <c r="P31" s="432"/>
      <c r="Q31" s="432"/>
      <c r="R31" s="432"/>
      <c r="S31" s="433"/>
      <c r="T31" s="432"/>
      <c r="U31" s="432"/>
      <c r="V31" s="432"/>
      <c r="W31" s="433"/>
      <c r="X31" s="432"/>
      <c r="Y31" s="432"/>
      <c r="Z31" s="432"/>
      <c r="AA31" s="433"/>
      <c r="AB31" s="432"/>
      <c r="AC31" s="432"/>
      <c r="AD31" s="432"/>
      <c r="AE31" s="433"/>
      <c r="AF31" s="432">
        <f t="shared" ref="AF31:BK31" si="67">(AF9+AF24)/(AB9+AB24)-1</f>
        <v>5.627874281165024E-2</v>
      </c>
      <c r="AG31" s="432">
        <f t="shared" si="67"/>
        <v>1.9765601952423051E-2</v>
      </c>
      <c r="AH31" s="432">
        <f t="shared" si="67"/>
        <v>3.4408934243180589E-2</v>
      </c>
      <c r="AI31" s="433">
        <f t="shared" si="67"/>
        <v>4.2651321453547775E-2</v>
      </c>
      <c r="AJ31" s="432">
        <f t="shared" si="67"/>
        <v>0.20356947495772681</v>
      </c>
      <c r="AK31" s="432">
        <f t="shared" si="67"/>
        <v>0.2650024093441834</v>
      </c>
      <c r="AL31" s="432">
        <f t="shared" si="67"/>
        <v>0.28526844591198453</v>
      </c>
      <c r="AM31" s="433">
        <f t="shared" si="67"/>
        <v>0.43692496804450154</v>
      </c>
      <c r="AN31" s="432">
        <f t="shared" si="67"/>
        <v>0.30629455624551705</v>
      </c>
      <c r="AO31" s="432">
        <f t="shared" si="67"/>
        <v>0.21437931640370889</v>
      </c>
      <c r="AP31" s="432">
        <f t="shared" si="67"/>
        <v>0.29337412164465526</v>
      </c>
      <c r="AQ31" s="433">
        <f t="shared" si="67"/>
        <v>0.23433597554134056</v>
      </c>
      <c r="AR31" s="432">
        <f t="shared" si="67"/>
        <v>0.19894172158936674</v>
      </c>
      <c r="AS31" s="432">
        <f t="shared" si="67"/>
        <v>0.2384753956586616</v>
      </c>
      <c r="AT31" s="432">
        <f t="shared" si="67"/>
        <v>6.296785767614721E-2</v>
      </c>
      <c r="AU31" s="433">
        <f t="shared" si="67"/>
        <v>7.5051916060456358E-2</v>
      </c>
      <c r="AV31" s="432">
        <f t="shared" si="67"/>
        <v>9.152505203616923E-2</v>
      </c>
      <c r="AW31" s="432">
        <f t="shared" si="67"/>
        <v>0.12682444158665551</v>
      </c>
      <c r="AX31" s="432">
        <f t="shared" si="67"/>
        <v>0.24431935491127743</v>
      </c>
      <c r="AY31" s="433">
        <f t="shared" si="67"/>
        <v>0.19619711506569537</v>
      </c>
      <c r="AZ31" s="432">
        <f t="shared" si="67"/>
        <v>0.22343090762974294</v>
      </c>
      <c r="BA31" s="432">
        <f t="shared" si="67"/>
        <v>0.11701327373219295</v>
      </c>
      <c r="BB31" s="432">
        <f t="shared" si="67"/>
        <v>7.213663909543655E-2</v>
      </c>
      <c r="BC31" s="433">
        <f t="shared" si="67"/>
        <v>0.15789504515499142</v>
      </c>
      <c r="BD31" s="432">
        <f t="shared" si="67"/>
        <v>0.11659427237454345</v>
      </c>
      <c r="BE31" s="432">
        <f t="shared" si="67"/>
        <v>0.14120761706101503</v>
      </c>
      <c r="BF31" s="432">
        <f t="shared" si="67"/>
        <v>0.1785053029261181</v>
      </c>
      <c r="BG31" s="433">
        <f t="shared" si="67"/>
        <v>0.18226301757036834</v>
      </c>
      <c r="BH31" s="432">
        <f t="shared" si="67"/>
        <v>0.16704807958069501</v>
      </c>
      <c r="BI31" s="432">
        <f t="shared" si="67"/>
        <v>0.1635163388750831</v>
      </c>
      <c r="BJ31" s="432">
        <f t="shared" si="67"/>
        <v>5.488422198650289E-2</v>
      </c>
      <c r="BK31" s="433">
        <f t="shared" si="67"/>
        <v>-0.10914911650333947</v>
      </c>
      <c r="BL31" s="432">
        <f t="shared" ref="BL31:CQ31" si="68">(BL9+BL24)/(BH9+BH24)-1</f>
        <v>-5.8624993957026139E-2</v>
      </c>
      <c r="BM31" s="432">
        <f t="shared" si="68"/>
        <v>0.14685164863457989</v>
      </c>
      <c r="BN31" s="432">
        <f t="shared" si="68"/>
        <v>0.4087151712958248</v>
      </c>
      <c r="BO31" s="433">
        <f t="shared" si="68"/>
        <v>0.73835962070355787</v>
      </c>
      <c r="BP31" s="432">
        <f t="shared" si="68"/>
        <v>0.67923523422675625</v>
      </c>
      <c r="BQ31" s="432">
        <f t="shared" si="68"/>
        <v>0.30994426591743496</v>
      </c>
      <c r="BR31" s="432">
        <f t="shared" si="68"/>
        <v>0.21081727040180387</v>
      </c>
      <c r="BS31" s="433">
        <f t="shared" si="68"/>
        <v>0.22241437941679587</v>
      </c>
      <c r="BT31" s="432">
        <f t="shared" si="68"/>
        <v>0.11828034765254469</v>
      </c>
      <c r="BU31" s="432">
        <f t="shared" si="68"/>
        <v>5.8908922224238935E-3</v>
      </c>
      <c r="BV31" s="432">
        <f t="shared" si="68"/>
        <v>6.3381711593375911E-2</v>
      </c>
      <c r="BW31" s="433">
        <f t="shared" si="68"/>
        <v>-5.3782927900327016E-2</v>
      </c>
      <c r="BX31" s="432">
        <f t="shared" si="68"/>
        <v>1.2613443636501742E-2</v>
      </c>
      <c r="BY31" s="432">
        <f t="shared" si="68"/>
        <v>0.17008663294665016</v>
      </c>
      <c r="BZ31" s="432">
        <f t="shared" si="68"/>
        <v>7.892481130786777E-2</v>
      </c>
      <c r="CA31" s="433">
        <f t="shared" si="68"/>
        <v>0.13309812205780203</v>
      </c>
      <c r="CB31" s="432">
        <f t="shared" si="68"/>
        <v>0.12908355520328807</v>
      </c>
      <c r="CC31" s="432">
        <f t="shared" si="68"/>
        <v>7.0612557337139226E-2</v>
      </c>
      <c r="CD31" s="432">
        <f t="shared" si="68"/>
        <v>8.1484171805750849E-2</v>
      </c>
      <c r="CE31" s="433">
        <f t="shared" si="68"/>
        <v>0.11011633396831844</v>
      </c>
      <c r="CF31" s="432">
        <f t="shared" si="68"/>
        <v>3.3522039428729666E-2</v>
      </c>
      <c r="CG31" s="432">
        <f t="shared" si="68"/>
        <v>6.9076121149800107E-2</v>
      </c>
      <c r="CH31" s="432">
        <f t="shared" si="68"/>
        <v>3.3464835510714996E-2</v>
      </c>
      <c r="CI31" s="433">
        <f t="shared" si="68"/>
        <v>4.1710744074761941E-2</v>
      </c>
      <c r="CJ31" s="432">
        <f t="shared" si="68"/>
        <v>5.6823304265021024E-2</v>
      </c>
      <c r="CK31" s="432">
        <f t="shared" si="68"/>
        <v>1.4883341862960364E-2</v>
      </c>
      <c r="CL31" s="432">
        <f t="shared" si="68"/>
        <v>-4.2741987384655289E-2</v>
      </c>
      <c r="CM31" s="433">
        <f t="shared" si="68"/>
        <v>0.12178640578452415</v>
      </c>
      <c r="CN31" s="432">
        <f t="shared" si="68"/>
        <v>5.4474946089137166E-2</v>
      </c>
      <c r="CO31" s="432">
        <f t="shared" si="68"/>
        <v>6.313692475183541E-2</v>
      </c>
      <c r="CP31" s="432">
        <f t="shared" si="68"/>
        <v>0.22796551462026682</v>
      </c>
      <c r="CQ31" s="433">
        <f t="shared" si="68"/>
        <v>0.13902378296291107</v>
      </c>
      <c r="CR31" s="432">
        <f t="shared" ref="CR31:CY31" si="69">(CR9+CR24)/(CN9+CN24)-1</f>
        <v>6.3745177497606331E-2</v>
      </c>
      <c r="CS31" s="432">
        <f t="shared" si="69"/>
        <v>3.0021029382876208E-4</v>
      </c>
      <c r="CT31" s="432">
        <f t="shared" si="69"/>
        <v>3.5710061006456018E-2</v>
      </c>
      <c r="CU31" s="433">
        <f t="shared" si="69"/>
        <v>-6.3486799956509188E-3</v>
      </c>
      <c r="CV31" s="432">
        <f t="shared" si="69"/>
        <v>-1.4936421414139089E-2</v>
      </c>
      <c r="CW31" s="432">
        <f t="shared" si="69"/>
        <v>7.7732107608419421E-2</v>
      </c>
      <c r="CX31" s="432">
        <f t="shared" si="69"/>
        <v>3.2063475856913826E-3</v>
      </c>
      <c r="CY31" s="433">
        <f t="shared" si="69"/>
        <v>2.5168971603809931E-2</v>
      </c>
      <c r="DA31" s="432"/>
      <c r="DB31" s="432"/>
      <c r="DC31" s="432"/>
      <c r="DD31" s="432"/>
      <c r="DE31" s="432"/>
      <c r="DF31" s="432"/>
      <c r="DG31" s="432"/>
      <c r="DH31" s="432">
        <f t="shared" ref="DH31:ED31" si="70">(DH9+DH24)/(DG9+DG24)-1</f>
        <v>3.7869038775254937E-2</v>
      </c>
      <c r="DI31" s="432">
        <f t="shared" si="70"/>
        <v>0.29726724428951057</v>
      </c>
      <c r="DJ31" s="432">
        <f t="shared" si="70"/>
        <v>0.26028342682646599</v>
      </c>
      <c r="DK31" s="432">
        <f t="shared" si="70"/>
        <v>0.14108040799750299</v>
      </c>
      <c r="DL31" s="432">
        <f t="shared" si="70"/>
        <v>0.16316154637791302</v>
      </c>
      <c r="DM31" s="432">
        <f t="shared" si="70"/>
        <v>0.14116331023784467</v>
      </c>
      <c r="DN31" s="432">
        <f t="shared" si="70"/>
        <v>0.15465541713264708</v>
      </c>
      <c r="DO31" s="432">
        <f t="shared" si="70"/>
        <v>6.4772904707444345E-2</v>
      </c>
      <c r="DP31" s="432">
        <f t="shared" si="70"/>
        <v>0.28811139694914201</v>
      </c>
      <c r="DQ31" s="432">
        <f t="shared" si="70"/>
        <v>0.32906259051494335</v>
      </c>
      <c r="DR31" s="432">
        <f t="shared" si="70"/>
        <v>3.0463708633089004E-2</v>
      </c>
      <c r="DS31" s="432">
        <f t="shared" si="70"/>
        <v>9.6288288014363177E-2</v>
      </c>
      <c r="DT31" s="432">
        <f t="shared" si="70"/>
        <v>9.8087313564311662E-2</v>
      </c>
      <c r="DU31" s="432">
        <f t="shared" si="70"/>
        <v>4.4267981839201553E-2</v>
      </c>
      <c r="DV31" s="432">
        <f t="shared" si="70"/>
        <v>4.0369286605274057E-2</v>
      </c>
      <c r="DW31" s="432">
        <f>(DW9+DW24)/(DV9+DV24)-1</f>
        <v>0.11859969473940257</v>
      </c>
      <c r="DX31" s="432">
        <f t="shared" si="70"/>
        <v>2.1975627871490433E-2</v>
      </c>
      <c r="DY31" s="432">
        <f t="shared" si="70"/>
        <v>2.1632975927616149E-2</v>
      </c>
      <c r="DZ31" s="432">
        <f t="shared" si="70"/>
        <v>5.0921649282740233E-2</v>
      </c>
      <c r="EA31" s="432">
        <f t="shared" si="70"/>
        <v>4.7985553176871143E-2</v>
      </c>
      <c r="EB31" s="432">
        <f t="shared" si="70"/>
        <v>3.3400707306466604E-2</v>
      </c>
      <c r="EC31" s="432">
        <f t="shared" si="70"/>
        <v>3.2996073125749925E-2</v>
      </c>
      <c r="ED31" s="432">
        <f t="shared" si="70"/>
        <v>2.9335211736979394E-2</v>
      </c>
      <c r="EE31" s="435"/>
    </row>
    <row r="32" spans="1:135" s="599" customFormat="1" ht="15" collapsed="1">
      <c r="A32" s="258"/>
      <c r="B32" s="304" t="s">
        <v>341</v>
      </c>
      <c r="C32" s="435"/>
      <c r="D32" s="598"/>
      <c r="E32" s="432"/>
      <c r="F32" s="432"/>
      <c r="G32" s="433"/>
      <c r="H32" s="432"/>
      <c r="I32" s="432"/>
      <c r="J32" s="432"/>
      <c r="K32" s="433"/>
      <c r="L32" s="432"/>
      <c r="M32" s="432"/>
      <c r="N32" s="432"/>
      <c r="O32" s="433"/>
      <c r="P32" s="432"/>
      <c r="Q32" s="432"/>
      <c r="R32" s="432"/>
      <c r="S32" s="433"/>
      <c r="T32" s="432"/>
      <c r="U32" s="432"/>
      <c r="V32" s="432"/>
      <c r="W32" s="433"/>
      <c r="X32" s="432"/>
      <c r="Y32" s="432"/>
      <c r="Z32" s="432"/>
      <c r="AA32" s="433"/>
      <c r="AB32" s="432"/>
      <c r="AC32" s="432"/>
      <c r="AD32" s="432"/>
      <c r="AE32" s="433"/>
      <c r="AF32" s="432"/>
      <c r="AG32" s="432"/>
      <c r="AH32" s="432"/>
      <c r="AI32" s="433"/>
      <c r="AJ32" s="432"/>
      <c r="AK32" s="432"/>
      <c r="AL32" s="432"/>
      <c r="AM32" s="433"/>
      <c r="AN32" s="432"/>
      <c r="AO32" s="432"/>
      <c r="AP32" s="432"/>
      <c r="AQ32" s="433"/>
      <c r="AR32" s="432"/>
      <c r="AS32" s="432"/>
      <c r="AT32" s="432"/>
      <c r="AU32" s="433"/>
      <c r="AV32" s="432"/>
      <c r="AW32" s="432"/>
      <c r="AX32" s="432"/>
      <c r="AY32" s="433"/>
      <c r="AZ32" s="432"/>
      <c r="BA32" s="432"/>
      <c r="BB32" s="432"/>
      <c r="BC32" s="433"/>
      <c r="BD32" s="432"/>
      <c r="BE32" s="432"/>
      <c r="BF32" s="432"/>
      <c r="BG32" s="433"/>
      <c r="BH32" s="432"/>
      <c r="BI32" s="432"/>
      <c r="BJ32" s="432"/>
      <c r="BK32" s="433"/>
      <c r="BL32" s="432"/>
      <c r="BM32" s="432"/>
      <c r="BN32" s="432"/>
      <c r="BO32" s="433">
        <f t="shared" ref="BO32:CS32" si="71">BO106*BO20+BO109*BO30+BO112*BO31+BO115*BO23</f>
        <v>0.2097514539872144</v>
      </c>
      <c r="BP32" s="432">
        <f t="shared" si="71"/>
        <v>0.50584118872240702</v>
      </c>
      <c r="BQ32" s="432">
        <f t="shared" si="71"/>
        <v>0.38531377541597328</v>
      </c>
      <c r="BR32" s="432">
        <f t="shared" si="71"/>
        <v>0.15883405321660576</v>
      </c>
      <c r="BS32" s="433">
        <f t="shared" si="71"/>
        <v>0.10846197738918396</v>
      </c>
      <c r="BT32" s="432">
        <f t="shared" si="71"/>
        <v>0.13244374653938365</v>
      </c>
      <c r="BU32" s="432">
        <f t="shared" si="71"/>
        <v>3.2368165961921887E-2</v>
      </c>
      <c r="BV32" s="432">
        <f t="shared" si="71"/>
        <v>6.5355087242784604E-2</v>
      </c>
      <c r="BW32" s="433">
        <f t="shared" si="71"/>
        <v>4.5828485757493397E-2</v>
      </c>
      <c r="BX32" s="432">
        <f t="shared" si="71"/>
        <v>5.4381025512705211E-2</v>
      </c>
      <c r="BY32" s="432">
        <f t="shared" si="71"/>
        <v>0.10734565112629628</v>
      </c>
      <c r="BZ32" s="432">
        <f t="shared" si="71"/>
        <v>4.739691047293948E-2</v>
      </c>
      <c r="CA32" s="433">
        <f t="shared" si="71"/>
        <v>3.9876317389018437E-2</v>
      </c>
      <c r="CB32" s="432">
        <f t="shared" si="71"/>
        <v>-9.5490241016218426E-5</v>
      </c>
      <c r="CC32" s="432">
        <f t="shared" si="71"/>
        <v>5.7702755905345411E-2</v>
      </c>
      <c r="CD32" s="432">
        <f t="shared" si="71"/>
        <v>5.2044169084279612E-2</v>
      </c>
      <c r="CE32" s="433">
        <f t="shared" si="71"/>
        <v>6.196724210322839E-2</v>
      </c>
      <c r="CF32" s="432">
        <f t="shared" si="71"/>
        <v>5.0940361427713993E-2</v>
      </c>
      <c r="CG32" s="432">
        <f t="shared" si="71"/>
        <v>3.4429466250455204E-2</v>
      </c>
      <c r="CH32" s="432">
        <f t="shared" si="71"/>
        <v>4.034276442721027E-2</v>
      </c>
      <c r="CI32" s="433">
        <f t="shared" si="71"/>
        <v>3.7156707642027456E-2</v>
      </c>
      <c r="CJ32" s="432">
        <f t="shared" si="71"/>
        <v>3.2927617937790955E-2</v>
      </c>
      <c r="CK32" s="432">
        <f t="shared" si="71"/>
        <v>2.1927425319563376E-2</v>
      </c>
      <c r="CL32" s="432">
        <f t="shared" si="71"/>
        <v>2.2271871283435392E-2</v>
      </c>
      <c r="CM32" s="433">
        <f t="shared" si="71"/>
        <v>3.3261217992801705E-2</v>
      </c>
      <c r="CN32" s="432">
        <f t="shared" si="71"/>
        <v>2.6985928199398827E-2</v>
      </c>
      <c r="CO32" s="432">
        <f t="shared" si="71"/>
        <v>4.4110773329829198E-2</v>
      </c>
      <c r="CP32" s="432">
        <f t="shared" si="71"/>
        <v>4.7652331006446794E-2</v>
      </c>
      <c r="CQ32" s="433">
        <f t="shared" si="71"/>
        <v>5.7606881372956699E-2</v>
      </c>
      <c r="CR32" s="432">
        <f t="shared" si="71"/>
        <v>5.3494327924615052E-2</v>
      </c>
      <c r="CS32" s="432">
        <f t="shared" si="71"/>
        <v>-1.4722512240201017E-2</v>
      </c>
      <c r="CT32" s="432">
        <f>CT106*CT20+CT109*CT30+CT112*CT31+CT115*CT23</f>
        <v>2.1289519882241731E-3</v>
      </c>
      <c r="CU32" s="433">
        <f t="shared" ref="CU32" si="72">CU106*CU20+CU109*CU30+CU112*CU31+CU115*CU23</f>
        <v>2.2048641218826513E-2</v>
      </c>
      <c r="CV32" s="432">
        <f t="shared" ref="CV32:CY32" si="73">CV106*CV20+CV109*CV30+CV112*CV31+CV115*CV23</f>
        <v>-9.1045965712265448E-3</v>
      </c>
      <c r="CW32" s="432">
        <f t="shared" si="73"/>
        <v>3.3859146067536802E-2</v>
      </c>
      <c r="CX32" s="432">
        <f t="shared" si="73"/>
        <v>2.9264365332520789E-2</v>
      </c>
      <c r="CY32" s="433">
        <f t="shared" si="73"/>
        <v>-1.3981919337966186E-3</v>
      </c>
      <c r="DA32" s="432"/>
      <c r="DB32" s="432"/>
      <c r="DC32" s="432"/>
      <c r="DD32" s="432"/>
      <c r="DE32" s="432"/>
      <c r="DF32" s="432"/>
      <c r="DG32" s="432"/>
      <c r="DH32" s="432"/>
      <c r="DI32" s="432"/>
      <c r="DJ32" s="432"/>
      <c r="DK32" s="432"/>
      <c r="DL32" s="432"/>
      <c r="DM32" s="432"/>
      <c r="DN32" s="432"/>
      <c r="DO32" s="432"/>
      <c r="DP32" s="432"/>
      <c r="DQ32" s="432">
        <f t="shared" ref="DQ32:EA32" si="74">DQ106*DQ20+DQ109*DQ30+DQ112*DQ31+DQ115*DQ23</f>
        <v>0.26143085126119492</v>
      </c>
      <c r="DR32" s="432">
        <f t="shared" si="74"/>
        <v>6.7252954708475574E-2</v>
      </c>
      <c r="DS32" s="432">
        <f t="shared" si="74"/>
        <v>5.9546723438997556E-2</v>
      </c>
      <c r="DT32" s="432">
        <f t="shared" si="74"/>
        <v>4.0927359501264839E-2</v>
      </c>
      <c r="DU32" s="432">
        <f t="shared" si="74"/>
        <v>4.018805871828849E-2</v>
      </c>
      <c r="DV32" s="432">
        <f t="shared" si="74"/>
        <v>2.7315643134241986E-2</v>
      </c>
      <c r="DW32" s="432">
        <f t="shared" si="74"/>
        <v>4.1522162025080182E-2</v>
      </c>
      <c r="DX32" s="432">
        <f t="shared" si="74"/>
        <v>1.4395362398702457E-2</v>
      </c>
      <c r="DY32" s="432">
        <f t="shared" si="74"/>
        <v>1.1843325779484142E-2</v>
      </c>
      <c r="DZ32" s="432">
        <f t="shared" si="74"/>
        <v>-7.2081664032834112E-4</v>
      </c>
      <c r="EA32" s="432">
        <f t="shared" si="74"/>
        <v>1.2738487650235206E-2</v>
      </c>
      <c r="EB32" s="432">
        <f t="shared" ref="EB32:ED32" si="75">EB106*EB20+EB109*EB30+EB112*EB31+EB115*EB23</f>
        <v>2.0517295583956149E-2</v>
      </c>
      <c r="EC32" s="432">
        <f t="shared" si="75"/>
        <v>1.5218310250146768E-2</v>
      </c>
      <c r="ED32" s="432">
        <f t="shared" si="75"/>
        <v>8.8335455705759753E-3</v>
      </c>
      <c r="EE32" s="435"/>
    </row>
    <row r="33" spans="1:143" s="109" customFormat="1" ht="15">
      <c r="A33" s="133"/>
      <c r="B33" s="136"/>
      <c r="C33" s="136"/>
      <c r="D33" s="647"/>
      <c r="E33" s="136"/>
      <c r="F33" s="136"/>
      <c r="G33" s="437"/>
      <c r="H33" s="136"/>
      <c r="I33" s="136"/>
      <c r="J33" s="136"/>
      <c r="K33" s="437"/>
      <c r="L33" s="136"/>
      <c r="M33" s="136"/>
      <c r="N33" s="136"/>
      <c r="O33" s="437"/>
      <c r="P33" s="136"/>
      <c r="Q33" s="136"/>
      <c r="R33" s="136"/>
      <c r="S33" s="437"/>
      <c r="T33" s="136"/>
      <c r="U33" s="136"/>
      <c r="V33" s="136"/>
      <c r="W33" s="437"/>
      <c r="X33" s="136"/>
      <c r="Y33" s="136"/>
      <c r="Z33" s="136"/>
      <c r="AA33" s="437"/>
      <c r="AB33" s="136"/>
      <c r="AC33" s="136"/>
      <c r="AD33" s="136"/>
      <c r="AE33" s="437"/>
      <c r="AF33" s="136"/>
      <c r="AG33" s="136"/>
      <c r="AH33" s="136"/>
      <c r="AI33" s="437"/>
      <c r="AJ33" s="136"/>
      <c r="AK33" s="136"/>
      <c r="AL33" s="136"/>
      <c r="AM33" s="437"/>
      <c r="AN33" s="648"/>
      <c r="AO33" s="648"/>
      <c r="AP33" s="648"/>
      <c r="AQ33" s="650"/>
      <c r="AR33" s="648"/>
      <c r="AS33" s="648"/>
      <c r="AT33" s="648"/>
      <c r="AU33" s="650"/>
      <c r="AV33" s="648"/>
      <c r="AW33" s="648"/>
      <c r="AX33" s="648"/>
      <c r="AY33" s="650"/>
      <c r="AZ33" s="648"/>
      <c r="BA33" s="648"/>
      <c r="BB33" s="648"/>
      <c r="BC33" s="650"/>
      <c r="BD33" s="648"/>
      <c r="BE33" s="648"/>
      <c r="BF33" s="648"/>
      <c r="BG33" s="650"/>
      <c r="BH33" s="648"/>
      <c r="BI33" s="648"/>
      <c r="BJ33" s="648"/>
      <c r="BK33" s="650"/>
      <c r="BL33" s="648"/>
      <c r="BM33" s="648"/>
      <c r="BN33" s="648"/>
      <c r="BO33" s="650"/>
      <c r="BP33" s="648"/>
      <c r="BQ33" s="648"/>
      <c r="BR33" s="648"/>
      <c r="BS33" s="650"/>
      <c r="BT33" s="651"/>
      <c r="BU33" s="651"/>
      <c r="BV33" s="652"/>
      <c r="BW33" s="653"/>
      <c r="BX33" s="652"/>
      <c r="BY33" s="652"/>
      <c r="BZ33" s="652"/>
      <c r="CA33" s="653"/>
      <c r="CB33" s="654"/>
      <c r="CC33" s="652"/>
      <c r="CD33" s="652"/>
      <c r="CE33" s="653"/>
      <c r="CF33" s="654"/>
      <c r="CG33" s="652"/>
      <c r="CH33" s="652"/>
      <c r="CI33" s="653"/>
      <c r="CJ33" s="654"/>
      <c r="CK33" s="654"/>
      <c r="CL33" s="654"/>
      <c r="CM33" s="655"/>
      <c r="CN33" s="654"/>
      <c r="CO33" s="654"/>
      <c r="CP33" s="654"/>
      <c r="CQ33" s="655"/>
      <c r="CR33" s="654"/>
      <c r="CS33" s="654"/>
      <c r="CT33" s="654"/>
      <c r="CU33" s="655"/>
      <c r="CV33" s="654"/>
      <c r="CW33" s="654"/>
      <c r="CX33" s="654"/>
      <c r="CY33" s="655"/>
      <c r="CZ33" s="7"/>
      <c r="DA33" s="656"/>
      <c r="DB33" s="656"/>
      <c r="DC33" s="656"/>
      <c r="DD33" s="656"/>
      <c r="DE33" s="656"/>
      <c r="DF33" s="656"/>
      <c r="DG33" s="656"/>
      <c r="DH33" s="656"/>
      <c r="DI33" s="656"/>
      <c r="DJ33" s="656"/>
      <c r="DK33" s="656"/>
      <c r="DL33" s="656"/>
      <c r="DM33" s="656"/>
      <c r="DN33" s="656"/>
      <c r="DO33" s="656"/>
      <c r="DP33" s="656"/>
      <c r="DQ33" s="656"/>
      <c r="DR33" s="656"/>
      <c r="DS33" s="656"/>
      <c r="DT33" s="656"/>
      <c r="DU33" s="656"/>
      <c r="DV33" s="656"/>
      <c r="DW33" s="656"/>
      <c r="DX33" s="136"/>
      <c r="DY33" s="136"/>
      <c r="DZ33" s="136"/>
      <c r="EA33" s="136"/>
      <c r="EB33" s="136"/>
      <c r="EC33" s="136"/>
      <c r="ED33" s="136"/>
      <c r="EE33" s="136"/>
    </row>
    <row r="34" spans="1:143" s="109" customFormat="1" ht="15">
      <c r="A34" s="133"/>
      <c r="B34" s="659" t="s">
        <v>327</v>
      </c>
      <c r="C34" s="136"/>
      <c r="D34" s="647"/>
      <c r="E34" s="136"/>
      <c r="F34" s="136"/>
      <c r="G34" s="437"/>
      <c r="H34" s="136"/>
      <c r="I34" s="136"/>
      <c r="J34" s="136"/>
      <c r="K34" s="437"/>
      <c r="L34" s="136"/>
      <c r="M34" s="136"/>
      <c r="N34" s="136"/>
      <c r="O34" s="437"/>
      <c r="P34" s="136"/>
      <c r="Q34" s="136"/>
      <c r="R34" s="136"/>
      <c r="S34" s="437"/>
      <c r="T34" s="136"/>
      <c r="U34" s="136"/>
      <c r="V34" s="136"/>
      <c r="W34" s="437"/>
      <c r="X34" s="136"/>
      <c r="Y34" s="136"/>
      <c r="Z34" s="136"/>
      <c r="AA34" s="437"/>
      <c r="AB34" s="136"/>
      <c r="AC34" s="136"/>
      <c r="AD34" s="136"/>
      <c r="AE34" s="437"/>
      <c r="AF34" s="136"/>
      <c r="AG34" s="136"/>
      <c r="AH34" s="136"/>
      <c r="AI34" s="437"/>
      <c r="AJ34" s="136"/>
      <c r="AK34" s="136"/>
      <c r="AL34" s="136"/>
      <c r="AM34" s="437"/>
      <c r="AN34" s="648"/>
      <c r="AO34" s="648"/>
      <c r="AP34" s="648"/>
      <c r="AQ34" s="650"/>
      <c r="AR34" s="648"/>
      <c r="AS34" s="648"/>
      <c r="AT34" s="648"/>
      <c r="AU34" s="650"/>
      <c r="AV34" s="648"/>
      <c r="AW34" s="648"/>
      <c r="AX34" s="648"/>
      <c r="AY34" s="650"/>
      <c r="AZ34" s="648"/>
      <c r="BA34" s="648"/>
      <c r="BB34" s="648"/>
      <c r="BC34" s="650"/>
      <c r="BD34" s="648"/>
      <c r="BE34" s="648"/>
      <c r="BF34" s="648"/>
      <c r="BG34" s="650"/>
      <c r="BH34" s="648"/>
      <c r="BI34" s="648"/>
      <c r="BJ34" s="648"/>
      <c r="BK34" s="650"/>
      <c r="BL34" s="648"/>
      <c r="BM34" s="648"/>
      <c r="BN34" s="648"/>
      <c r="BO34" s="650"/>
      <c r="BP34" s="648"/>
      <c r="BQ34" s="648"/>
      <c r="BR34" s="648"/>
      <c r="BS34" s="650"/>
      <c r="BT34" s="651"/>
      <c r="BU34" s="651"/>
      <c r="BV34" s="652"/>
      <c r="BW34" s="653"/>
      <c r="BX34" s="652"/>
      <c r="BY34" s="652"/>
      <c r="BZ34" s="652"/>
      <c r="CA34" s="653"/>
      <c r="CB34" s="654"/>
      <c r="CC34" s="652"/>
      <c r="CD34" s="652"/>
      <c r="CE34" s="653"/>
      <c r="CF34" s="654"/>
      <c r="CG34" s="652"/>
      <c r="CH34" s="652"/>
      <c r="CI34" s="653"/>
      <c r="CJ34" s="654"/>
      <c r="CK34" s="654"/>
      <c r="CL34" s="654"/>
      <c r="CM34" s="655"/>
      <c r="CN34" s="654"/>
      <c r="CO34" s="654"/>
      <c r="CP34" s="654"/>
      <c r="CQ34" s="655"/>
      <c r="CR34" s="654"/>
      <c r="CS34" s="654"/>
      <c r="CT34" s="654"/>
      <c r="CU34" s="655"/>
      <c r="CV34" s="654"/>
      <c r="CW34" s="654"/>
      <c r="CX34" s="654"/>
      <c r="CY34" s="655"/>
      <c r="CZ34" s="7"/>
      <c r="DA34" s="656"/>
      <c r="DB34" s="656"/>
      <c r="DC34" s="656"/>
      <c r="DD34" s="656"/>
      <c r="DE34" s="656"/>
      <c r="DF34" s="656"/>
      <c r="DG34" s="656"/>
      <c r="DH34" s="656"/>
      <c r="DI34" s="656"/>
      <c r="DJ34" s="656"/>
      <c r="DK34" s="656"/>
      <c r="DL34" s="656"/>
      <c r="DM34" s="656"/>
      <c r="DN34" s="656"/>
      <c r="DO34" s="656"/>
      <c r="DP34" s="656"/>
      <c r="DQ34" s="656"/>
      <c r="DR34" s="656"/>
      <c r="DS34" s="353">
        <f t="shared" ref="DS34:DZ34" si="76">DS36+DS40</f>
        <v>800</v>
      </c>
      <c r="DT34" s="353">
        <f t="shared" si="76"/>
        <v>850</v>
      </c>
      <c r="DU34" s="353">
        <f t="shared" si="76"/>
        <v>950</v>
      </c>
      <c r="DV34" s="353">
        <f t="shared" si="76"/>
        <v>700</v>
      </c>
      <c r="DW34" s="353">
        <f t="shared" si="76"/>
        <v>800</v>
      </c>
      <c r="DX34" s="353">
        <f t="shared" si="76"/>
        <v>1400</v>
      </c>
      <c r="DY34" s="353">
        <f t="shared" si="76"/>
        <v>1200</v>
      </c>
      <c r="DZ34" s="353">
        <f t="shared" si="76"/>
        <v>1400</v>
      </c>
      <c r="EA34" s="353">
        <f t="shared" ref="EA34" si="77">EA36+EA40</f>
        <v>600</v>
      </c>
      <c r="EB34" s="353"/>
      <c r="EC34" s="353"/>
      <c r="ED34" s="353"/>
      <c r="EE34" s="136"/>
    </row>
    <row r="35" spans="1:143" s="599" customFormat="1" ht="15">
      <c r="A35" s="258"/>
      <c r="B35" s="304" t="s">
        <v>329</v>
      </c>
      <c r="C35" s="435"/>
      <c r="D35" s="660"/>
      <c r="E35" s="435"/>
      <c r="F35" s="435"/>
      <c r="G35" s="436"/>
      <c r="H35" s="435"/>
      <c r="I35" s="435"/>
      <c r="J35" s="435"/>
      <c r="K35" s="436"/>
      <c r="L35" s="435"/>
      <c r="M35" s="435"/>
      <c r="N35" s="435"/>
      <c r="O35" s="436"/>
      <c r="P35" s="435"/>
      <c r="Q35" s="435"/>
      <c r="R35" s="435"/>
      <c r="S35" s="436"/>
      <c r="T35" s="435"/>
      <c r="U35" s="435"/>
      <c r="V35" s="435"/>
      <c r="W35" s="436"/>
      <c r="X35" s="435"/>
      <c r="Y35" s="435"/>
      <c r="Z35" s="435"/>
      <c r="AA35" s="436"/>
      <c r="AB35" s="435"/>
      <c r="AC35" s="435"/>
      <c r="AD35" s="435"/>
      <c r="AE35" s="436"/>
      <c r="AF35" s="435"/>
      <c r="AG35" s="435"/>
      <c r="AH35" s="435"/>
      <c r="AI35" s="436"/>
      <c r="AJ35" s="435"/>
      <c r="AK35" s="435"/>
      <c r="AL35" s="435"/>
      <c r="AM35" s="436"/>
      <c r="AN35" s="346"/>
      <c r="AO35" s="346"/>
      <c r="AP35" s="346"/>
      <c r="AQ35" s="347"/>
      <c r="AR35" s="346"/>
      <c r="AS35" s="346"/>
      <c r="AT35" s="346"/>
      <c r="AU35" s="347"/>
      <c r="AV35" s="346"/>
      <c r="AW35" s="346"/>
      <c r="AX35" s="346"/>
      <c r="AY35" s="347"/>
      <c r="AZ35" s="346"/>
      <c r="BA35" s="346"/>
      <c r="BB35" s="346"/>
      <c r="BC35" s="347"/>
      <c r="BD35" s="346"/>
      <c r="BE35" s="346"/>
      <c r="BF35" s="346"/>
      <c r="BG35" s="347"/>
      <c r="BH35" s="346"/>
      <c r="BI35" s="346"/>
      <c r="BJ35" s="346"/>
      <c r="BK35" s="347"/>
      <c r="BL35" s="346"/>
      <c r="BM35" s="346"/>
      <c r="BN35" s="346"/>
      <c r="BO35" s="347"/>
      <c r="BP35" s="346"/>
      <c r="BQ35" s="346"/>
      <c r="BR35" s="346"/>
      <c r="BS35" s="347"/>
      <c r="BT35" s="435"/>
      <c r="BU35" s="435"/>
      <c r="BV35" s="548"/>
      <c r="BW35" s="661"/>
      <c r="BX35" s="548"/>
      <c r="BY35" s="548"/>
      <c r="BZ35" s="548"/>
      <c r="CA35" s="661"/>
      <c r="CB35" s="435"/>
      <c r="CC35" s="548"/>
      <c r="CD35" s="548"/>
      <c r="CE35" s="661"/>
      <c r="CF35" s="435"/>
      <c r="CG35" s="548"/>
      <c r="CH35" s="548"/>
      <c r="CI35" s="661"/>
      <c r="CJ35" s="435"/>
      <c r="CK35" s="435"/>
      <c r="CL35" s="435"/>
      <c r="CM35" s="436"/>
      <c r="CN35" s="435"/>
      <c r="CO35" s="435"/>
      <c r="CP35" s="435"/>
      <c r="CQ35" s="436"/>
      <c r="CR35" s="435"/>
      <c r="CS35" s="435"/>
      <c r="CT35" s="435"/>
      <c r="CU35" s="436"/>
      <c r="CV35" s="435"/>
      <c r="CW35" s="435"/>
      <c r="CX35" s="435"/>
      <c r="CY35" s="436"/>
      <c r="DA35" s="548"/>
      <c r="DB35" s="548"/>
      <c r="DC35" s="548"/>
      <c r="DD35" s="548"/>
      <c r="DE35" s="548"/>
      <c r="DF35" s="548"/>
      <c r="DG35" s="548"/>
      <c r="DH35" s="548"/>
      <c r="DI35" s="548"/>
      <c r="DJ35" s="548"/>
      <c r="DK35" s="548"/>
      <c r="DL35" s="548"/>
      <c r="DM35" s="548"/>
      <c r="DN35" s="548"/>
      <c r="DO35" s="548"/>
      <c r="DP35" s="548"/>
      <c r="DQ35" s="548"/>
      <c r="DR35" s="548"/>
      <c r="DS35" s="432">
        <f t="shared" ref="DS35:EA35" si="78">DS34/DR69</f>
        <v>5.6511143291067704E-2</v>
      </c>
      <c r="DT35" s="432">
        <f t="shared" si="78"/>
        <v>5.8032361575749293E-2</v>
      </c>
      <c r="DU35" s="432">
        <f t="shared" si="78"/>
        <v>5.8519157324134541E-2</v>
      </c>
      <c r="DV35" s="432">
        <f t="shared" si="78"/>
        <v>3.9487118737766044E-2</v>
      </c>
      <c r="DW35" s="432">
        <f t="shared" si="78"/>
        <v>4.3928528284481148E-2</v>
      </c>
      <c r="DX35" s="432">
        <f t="shared" si="78"/>
        <v>7.5439976721378602E-2</v>
      </c>
      <c r="DY35" s="432">
        <f t="shared" si="78"/>
        <v>5.8630966922362825E-2</v>
      </c>
      <c r="DZ35" s="432">
        <f t="shared" si="78"/>
        <v>6.3753190504277635E-2</v>
      </c>
      <c r="EA35" s="432">
        <f t="shared" si="78"/>
        <v>2.5731850388144985E-2</v>
      </c>
      <c r="EB35" s="432"/>
      <c r="EC35" s="432"/>
      <c r="ED35" s="432"/>
      <c r="EE35" s="435"/>
    </row>
    <row r="36" spans="1:143" s="657" customFormat="1" ht="15">
      <c r="A36" s="133"/>
      <c r="B36" s="306" t="s">
        <v>214</v>
      </c>
      <c r="C36" s="139"/>
      <c r="D36" s="662"/>
      <c r="E36" s="349"/>
      <c r="F36" s="349"/>
      <c r="G36" s="663"/>
      <c r="H36" s="349"/>
      <c r="I36" s="349"/>
      <c r="J36" s="349"/>
      <c r="K36" s="663"/>
      <c r="L36" s="349"/>
      <c r="M36" s="349"/>
      <c r="N36" s="349"/>
      <c r="O36" s="663"/>
      <c r="P36" s="349"/>
      <c r="Q36" s="349"/>
      <c r="R36" s="349"/>
      <c r="S36" s="663"/>
      <c r="T36" s="349"/>
      <c r="U36" s="349"/>
      <c r="V36" s="349"/>
      <c r="W36" s="663"/>
      <c r="X36" s="349"/>
      <c r="Y36" s="349"/>
      <c r="Z36" s="349"/>
      <c r="AA36" s="431"/>
      <c r="AB36" s="356"/>
      <c r="AC36" s="356"/>
      <c r="AD36" s="356"/>
      <c r="AE36" s="431"/>
      <c r="AF36" s="356"/>
      <c r="AG36" s="356"/>
      <c r="AH36" s="356"/>
      <c r="AI36" s="431"/>
      <c r="AJ36" s="356"/>
      <c r="AK36" s="356"/>
      <c r="AL36" s="356"/>
      <c r="AM36" s="431"/>
      <c r="AN36" s="356"/>
      <c r="AO36" s="356"/>
      <c r="AP36" s="356"/>
      <c r="AQ36" s="431"/>
      <c r="AR36" s="356"/>
      <c r="AS36" s="356"/>
      <c r="AT36" s="356"/>
      <c r="AU36" s="431"/>
      <c r="AV36" s="356"/>
      <c r="AW36" s="356"/>
      <c r="AX36" s="356"/>
      <c r="AY36" s="431"/>
      <c r="AZ36" s="356"/>
      <c r="BA36" s="356"/>
      <c r="BB36" s="356"/>
      <c r="BC36" s="431"/>
      <c r="BD36" s="356"/>
      <c r="BE36" s="356"/>
      <c r="BF36" s="356"/>
      <c r="BG36" s="431"/>
      <c r="BH36" s="356"/>
      <c r="BI36" s="356"/>
      <c r="BJ36" s="356"/>
      <c r="BK36" s="431"/>
      <c r="BL36" s="356"/>
      <c r="BM36" s="356"/>
      <c r="BN36" s="356"/>
      <c r="BO36" s="431"/>
      <c r="BP36" s="356"/>
      <c r="BQ36" s="356"/>
      <c r="BR36" s="356"/>
      <c r="BS36" s="431"/>
      <c r="BT36" s="356"/>
      <c r="BU36" s="356"/>
      <c r="BV36" s="356"/>
      <c r="BW36" s="431"/>
      <c r="BX36" s="356"/>
      <c r="BY36" s="356"/>
      <c r="BZ36" s="356"/>
      <c r="CA36" s="431"/>
      <c r="CB36" s="356"/>
      <c r="CC36" s="356"/>
      <c r="CD36" s="356"/>
      <c r="CE36" s="431"/>
      <c r="CF36" s="356"/>
      <c r="CG36" s="356"/>
      <c r="CH36" s="356"/>
      <c r="CI36" s="431"/>
      <c r="CJ36" s="356"/>
      <c r="CK36" s="356"/>
      <c r="CL36" s="356"/>
      <c r="CM36" s="431"/>
      <c r="CN36" s="356"/>
      <c r="CO36" s="356"/>
      <c r="CP36" s="356"/>
      <c r="CQ36" s="431"/>
      <c r="CR36" s="356"/>
      <c r="CS36" s="356"/>
      <c r="CT36" s="356"/>
      <c r="CU36" s="431"/>
      <c r="CV36" s="356"/>
      <c r="CW36" s="356"/>
      <c r="CX36" s="356"/>
      <c r="CY36" s="431"/>
      <c r="DA36" s="354"/>
      <c r="DB36" s="354"/>
      <c r="DC36" s="354"/>
      <c r="DD36" s="354"/>
      <c r="DE36" s="354"/>
      <c r="DF36" s="356"/>
      <c r="DG36" s="354"/>
      <c r="DH36" s="354"/>
      <c r="DI36" s="354"/>
      <c r="DJ36" s="354"/>
      <c r="DK36" s="354"/>
      <c r="DL36" s="354"/>
      <c r="DM36" s="354"/>
      <c r="DN36" s="354"/>
      <c r="DO36" s="354"/>
      <c r="DP36" s="354"/>
      <c r="DQ36" s="354"/>
      <c r="DR36" s="354"/>
      <c r="DS36" s="356">
        <v>200</v>
      </c>
      <c r="DT36" s="356">
        <v>400</v>
      </c>
      <c r="DU36" s="356">
        <v>650</v>
      </c>
      <c r="DV36" s="356">
        <v>550</v>
      </c>
      <c r="DW36" s="356">
        <v>600</v>
      </c>
      <c r="DX36" s="356">
        <f>1400-DX40</f>
        <v>1175</v>
      </c>
      <c r="DY36" s="356">
        <v>750</v>
      </c>
      <c r="DZ36" s="356">
        <v>850</v>
      </c>
      <c r="EA36" s="356">
        <v>300</v>
      </c>
      <c r="EB36" s="356"/>
      <c r="EC36" s="356"/>
      <c r="ED36" s="356"/>
      <c r="EE36" s="139"/>
    </row>
    <row r="37" spans="1:143" s="599" customFormat="1" ht="15">
      <c r="A37" s="258"/>
      <c r="B37" s="664" t="s">
        <v>386</v>
      </c>
      <c r="C37" s="435"/>
      <c r="D37" s="660"/>
      <c r="E37" s="435"/>
      <c r="F37" s="435"/>
      <c r="G37" s="436"/>
      <c r="H37" s="435"/>
      <c r="I37" s="435"/>
      <c r="J37" s="435"/>
      <c r="K37" s="436"/>
      <c r="L37" s="435"/>
      <c r="M37" s="435"/>
      <c r="N37" s="435"/>
      <c r="O37" s="436"/>
      <c r="P37" s="435"/>
      <c r="Q37" s="435"/>
      <c r="R37" s="435"/>
      <c r="S37" s="436"/>
      <c r="T37" s="435"/>
      <c r="U37" s="435"/>
      <c r="V37" s="435"/>
      <c r="W37" s="436"/>
      <c r="X37" s="435"/>
      <c r="Y37" s="435"/>
      <c r="Z37" s="435"/>
      <c r="AA37" s="436"/>
      <c r="AB37" s="435"/>
      <c r="AC37" s="435"/>
      <c r="AD37" s="435"/>
      <c r="AE37" s="436"/>
      <c r="AF37" s="435"/>
      <c r="AG37" s="435"/>
      <c r="AH37" s="435"/>
      <c r="AI37" s="436"/>
      <c r="AJ37" s="435"/>
      <c r="AK37" s="435"/>
      <c r="AL37" s="435"/>
      <c r="AM37" s="436"/>
      <c r="AN37" s="346"/>
      <c r="AO37" s="346"/>
      <c r="AP37" s="346"/>
      <c r="AQ37" s="347"/>
      <c r="AR37" s="346"/>
      <c r="AS37" s="346"/>
      <c r="AT37" s="346"/>
      <c r="AU37" s="347"/>
      <c r="AV37" s="346"/>
      <c r="AW37" s="346"/>
      <c r="AX37" s="346"/>
      <c r="AY37" s="347"/>
      <c r="AZ37" s="346"/>
      <c r="BA37" s="346"/>
      <c r="BB37" s="346"/>
      <c r="BC37" s="347"/>
      <c r="BD37" s="346"/>
      <c r="BE37" s="346"/>
      <c r="BF37" s="346"/>
      <c r="BG37" s="347"/>
      <c r="BH37" s="346"/>
      <c r="BI37" s="346"/>
      <c r="BJ37" s="346"/>
      <c r="BK37" s="347"/>
      <c r="BL37" s="346"/>
      <c r="BM37" s="346"/>
      <c r="BN37" s="346"/>
      <c r="BO37" s="347"/>
      <c r="BP37" s="346"/>
      <c r="BQ37" s="346"/>
      <c r="BR37" s="346"/>
      <c r="BS37" s="347"/>
      <c r="BT37" s="435"/>
      <c r="BU37" s="435"/>
      <c r="BV37" s="548"/>
      <c r="BW37" s="661"/>
      <c r="BX37" s="548"/>
      <c r="BY37" s="548"/>
      <c r="BZ37" s="548"/>
      <c r="CA37" s="661"/>
      <c r="CB37" s="435"/>
      <c r="CC37" s="548"/>
      <c r="CD37" s="548"/>
      <c r="CE37" s="661"/>
      <c r="CF37" s="435"/>
      <c r="CG37" s="548"/>
      <c r="CH37" s="548"/>
      <c r="CI37" s="661"/>
      <c r="CJ37" s="435"/>
      <c r="CK37" s="435"/>
      <c r="CL37" s="435"/>
      <c r="CM37" s="436"/>
      <c r="CN37" s="435"/>
      <c r="CO37" s="435"/>
      <c r="CP37" s="435"/>
      <c r="CQ37" s="436"/>
      <c r="CR37" s="435"/>
      <c r="CS37" s="435"/>
      <c r="CT37" s="435"/>
      <c r="CU37" s="436"/>
      <c r="CV37" s="435"/>
      <c r="CW37" s="435"/>
      <c r="CX37" s="435"/>
      <c r="CY37" s="436"/>
      <c r="DA37" s="548"/>
      <c r="DB37" s="548"/>
      <c r="DC37" s="548"/>
      <c r="DD37" s="548"/>
      <c r="DE37" s="548"/>
      <c r="DF37" s="548"/>
      <c r="DG37" s="548"/>
      <c r="DH37" s="548"/>
      <c r="DI37" s="548"/>
      <c r="DJ37" s="548"/>
      <c r="DK37" s="548"/>
      <c r="DL37" s="548"/>
      <c r="DM37" s="548"/>
      <c r="DN37" s="548"/>
      <c r="DO37" s="548"/>
      <c r="DP37" s="548"/>
      <c r="DQ37" s="548"/>
      <c r="DR37" s="548"/>
      <c r="DS37" s="432">
        <f>DS36/DR47</f>
        <v>1.8276523805172255E-2</v>
      </c>
      <c r="DT37" s="432">
        <f t="shared" ref="DT37:DY37" si="79">DT36/DS47</f>
        <v>3.6004896665946563E-2</v>
      </c>
      <c r="DU37" s="432">
        <f t="shared" si="79"/>
        <v>5.408508832510963E-2</v>
      </c>
      <c r="DV37" s="432">
        <f t="shared" si="79"/>
        <v>4.1320451369585148E-2</v>
      </c>
      <c r="DW37" s="432">
        <f>DW36/DV47</f>
        <v>4.2557718906266626E-2</v>
      </c>
      <c r="DX37" s="432">
        <f>DX36/DW47</f>
        <v>8.1842180414992083E-2</v>
      </c>
      <c r="DY37" s="432">
        <f t="shared" si="79"/>
        <v>4.725004725004725E-2</v>
      </c>
      <c r="DZ37" s="432">
        <f>DZ36/DY47</f>
        <v>4.9830285884911826E-2</v>
      </c>
      <c r="EA37" s="432">
        <f>EA36/DZ47</f>
        <v>1.6477091080994322E-2</v>
      </c>
      <c r="EB37" s="432"/>
      <c r="EC37" s="432"/>
      <c r="ED37" s="432"/>
      <c r="EE37" s="435"/>
      <c r="EF37" s="657"/>
      <c r="EG37" s="657"/>
      <c r="EH37" s="657"/>
      <c r="EI37" s="657"/>
      <c r="EJ37" s="657"/>
      <c r="EK37" s="657"/>
      <c r="EL37" s="657"/>
      <c r="EM37" s="657"/>
    </row>
    <row r="38" spans="1:143" s="599" customFormat="1" ht="15">
      <c r="A38" s="258"/>
      <c r="B38" s="664" t="s">
        <v>387</v>
      </c>
      <c r="C38" s="435"/>
      <c r="D38" s="660"/>
      <c r="E38" s="435"/>
      <c r="F38" s="435"/>
      <c r="G38" s="436"/>
      <c r="H38" s="435"/>
      <c r="I38" s="435"/>
      <c r="J38" s="435"/>
      <c r="K38" s="436"/>
      <c r="L38" s="435"/>
      <c r="M38" s="435"/>
      <c r="N38" s="435"/>
      <c r="O38" s="436"/>
      <c r="P38" s="435"/>
      <c r="Q38" s="435"/>
      <c r="R38" s="435"/>
      <c r="S38" s="436"/>
      <c r="T38" s="435"/>
      <c r="U38" s="435"/>
      <c r="V38" s="435"/>
      <c r="W38" s="436"/>
      <c r="X38" s="435"/>
      <c r="Y38" s="435"/>
      <c r="Z38" s="435"/>
      <c r="AA38" s="436"/>
      <c r="AB38" s="435"/>
      <c r="AC38" s="435"/>
      <c r="AD38" s="435"/>
      <c r="AE38" s="436"/>
      <c r="AF38" s="435"/>
      <c r="AG38" s="435"/>
      <c r="AH38" s="435"/>
      <c r="AI38" s="436"/>
      <c r="AJ38" s="435"/>
      <c r="AK38" s="435"/>
      <c r="AL38" s="435"/>
      <c r="AM38" s="436"/>
      <c r="AN38" s="346"/>
      <c r="AO38" s="346"/>
      <c r="AP38" s="346"/>
      <c r="AQ38" s="347"/>
      <c r="AR38" s="346"/>
      <c r="AS38" s="346"/>
      <c r="AT38" s="346"/>
      <c r="AU38" s="347"/>
      <c r="AV38" s="346"/>
      <c r="AW38" s="346"/>
      <c r="AX38" s="346"/>
      <c r="AY38" s="347"/>
      <c r="AZ38" s="346"/>
      <c r="BA38" s="346"/>
      <c r="BB38" s="346"/>
      <c r="BC38" s="347"/>
      <c r="BD38" s="346"/>
      <c r="BE38" s="346"/>
      <c r="BF38" s="346"/>
      <c r="BG38" s="347"/>
      <c r="BH38" s="346"/>
      <c r="BI38" s="346"/>
      <c r="BJ38" s="346"/>
      <c r="BK38" s="347"/>
      <c r="BL38" s="346"/>
      <c r="BM38" s="346"/>
      <c r="BN38" s="346"/>
      <c r="BO38" s="347"/>
      <c r="BP38" s="346"/>
      <c r="BQ38" s="346"/>
      <c r="BR38" s="346"/>
      <c r="BS38" s="347"/>
      <c r="BT38" s="435"/>
      <c r="BU38" s="435"/>
      <c r="BV38" s="548"/>
      <c r="BW38" s="661"/>
      <c r="BX38" s="548"/>
      <c r="BY38" s="548"/>
      <c r="BZ38" s="548"/>
      <c r="CA38" s="661"/>
      <c r="CB38" s="435"/>
      <c r="CC38" s="548"/>
      <c r="CD38" s="548"/>
      <c r="CE38" s="661"/>
      <c r="CF38" s="435"/>
      <c r="CG38" s="548"/>
      <c r="CH38" s="548"/>
      <c r="CI38" s="661"/>
      <c r="CJ38" s="435"/>
      <c r="CK38" s="435"/>
      <c r="CL38" s="435"/>
      <c r="CM38" s="436"/>
      <c r="CN38" s="435"/>
      <c r="CO38" s="435"/>
      <c r="CP38" s="435"/>
      <c r="CQ38" s="436"/>
      <c r="CR38" s="435"/>
      <c r="CS38" s="435"/>
      <c r="CT38" s="435"/>
      <c r="CU38" s="436"/>
      <c r="CV38" s="435"/>
      <c r="CW38" s="435"/>
      <c r="CX38" s="435"/>
      <c r="CY38" s="436"/>
      <c r="DA38" s="548"/>
      <c r="DB38" s="548"/>
      <c r="DC38" s="548"/>
      <c r="DD38" s="548"/>
      <c r="DE38" s="548"/>
      <c r="DF38" s="548"/>
      <c r="DG38" s="548"/>
      <c r="DH38" s="548"/>
      <c r="DI38" s="548"/>
      <c r="DJ38" s="548"/>
      <c r="DK38" s="548"/>
      <c r="DL38" s="548"/>
      <c r="DM38" s="548"/>
      <c r="DN38" s="548"/>
      <c r="DO38" s="548"/>
      <c r="DP38" s="548"/>
      <c r="DQ38" s="548"/>
      <c r="DR38" s="548"/>
      <c r="DS38" s="432">
        <f>DS55-DS37</f>
        <v>-3.7600679405027274E-2</v>
      </c>
      <c r="DT38" s="432">
        <f t="shared" ref="DT38:EA38" si="80">DT55-DT37</f>
        <v>-1.2535380367576981E-2</v>
      </c>
      <c r="DU38" s="432">
        <f t="shared" si="80"/>
        <v>1.3281049769442686E-2</v>
      </c>
      <c r="DV38" s="432">
        <f t="shared" si="80"/>
        <v>5.5198397846955627E-2</v>
      </c>
      <c r="DW38" s="432">
        <f t="shared" si="80"/>
        <v>-5.4641998480690672E-2</v>
      </c>
      <c r="DX38" s="432">
        <f t="shared" si="80"/>
        <v>-9.6108915057037114E-3</v>
      </c>
      <c r="DY38" s="432">
        <f t="shared" si="80"/>
        <v>-3.8677998453766953E-2</v>
      </c>
      <c r="DZ38" s="432">
        <f t="shared" si="80"/>
        <v>1.8260956617335108E-2</v>
      </c>
      <c r="EA38" s="432">
        <f t="shared" si="80"/>
        <v>2.2941188451995401E-2</v>
      </c>
      <c r="EB38" s="432"/>
      <c r="EC38" s="432"/>
      <c r="ED38" s="432"/>
      <c r="EE38" s="435"/>
      <c r="EF38" s="657"/>
      <c r="EG38" s="657"/>
      <c r="EH38" s="657"/>
      <c r="EI38" s="657"/>
      <c r="EJ38" s="657"/>
      <c r="EK38" s="657"/>
      <c r="EL38" s="657"/>
      <c r="EM38" s="657"/>
    </row>
    <row r="39" spans="1:143" s="599" customFormat="1" ht="15">
      <c r="A39" s="258"/>
      <c r="B39" s="664" t="s">
        <v>338</v>
      </c>
      <c r="C39" s="435"/>
      <c r="D39" s="660"/>
      <c r="E39" s="435"/>
      <c r="F39" s="435"/>
      <c r="G39" s="436"/>
      <c r="H39" s="435"/>
      <c r="I39" s="435"/>
      <c r="J39" s="435"/>
      <c r="K39" s="436"/>
      <c r="L39" s="435"/>
      <c r="M39" s="435"/>
      <c r="N39" s="435"/>
      <c r="O39" s="436"/>
      <c r="P39" s="435"/>
      <c r="Q39" s="435"/>
      <c r="R39" s="435"/>
      <c r="S39" s="436"/>
      <c r="T39" s="435"/>
      <c r="U39" s="435"/>
      <c r="V39" s="435"/>
      <c r="W39" s="436"/>
      <c r="X39" s="435"/>
      <c r="Y39" s="435"/>
      <c r="Z39" s="435"/>
      <c r="AA39" s="436"/>
      <c r="AB39" s="435"/>
      <c r="AC39" s="435"/>
      <c r="AD39" s="435"/>
      <c r="AE39" s="436"/>
      <c r="AF39" s="435"/>
      <c r="AG39" s="435"/>
      <c r="AH39" s="435"/>
      <c r="AI39" s="436"/>
      <c r="AJ39" s="435"/>
      <c r="AK39" s="435"/>
      <c r="AL39" s="435"/>
      <c r="AM39" s="436"/>
      <c r="AN39" s="346"/>
      <c r="AO39" s="346"/>
      <c r="AP39" s="346"/>
      <c r="AQ39" s="347"/>
      <c r="AR39" s="346"/>
      <c r="AS39" s="346"/>
      <c r="AT39" s="346"/>
      <c r="AU39" s="347"/>
      <c r="AV39" s="346"/>
      <c r="AW39" s="346"/>
      <c r="AX39" s="346"/>
      <c r="AY39" s="347"/>
      <c r="AZ39" s="346"/>
      <c r="BA39" s="346"/>
      <c r="BB39" s="346"/>
      <c r="BC39" s="347"/>
      <c r="BD39" s="346"/>
      <c r="BE39" s="346"/>
      <c r="BF39" s="346"/>
      <c r="BG39" s="347"/>
      <c r="BH39" s="346"/>
      <c r="BI39" s="346"/>
      <c r="BJ39" s="346"/>
      <c r="BK39" s="347"/>
      <c r="BL39" s="346"/>
      <c r="BM39" s="346"/>
      <c r="BN39" s="346"/>
      <c r="BO39" s="347"/>
      <c r="BP39" s="346"/>
      <c r="BQ39" s="346"/>
      <c r="BR39" s="346"/>
      <c r="BS39" s="347"/>
      <c r="BT39" s="435"/>
      <c r="BU39" s="435"/>
      <c r="BV39" s="548"/>
      <c r="BW39" s="661"/>
      <c r="BX39" s="548"/>
      <c r="BY39" s="548"/>
      <c r="BZ39" s="548"/>
      <c r="CA39" s="661"/>
      <c r="CB39" s="435"/>
      <c r="CC39" s="548"/>
      <c r="CD39" s="548"/>
      <c r="CE39" s="661"/>
      <c r="CF39" s="435"/>
      <c r="CG39" s="548"/>
      <c r="CH39" s="548"/>
      <c r="CI39" s="661"/>
      <c r="CJ39" s="435"/>
      <c r="CK39" s="435"/>
      <c r="CL39" s="435"/>
      <c r="CM39" s="436"/>
      <c r="CN39" s="435"/>
      <c r="CO39" s="435"/>
      <c r="CP39" s="435"/>
      <c r="CQ39" s="436"/>
      <c r="CR39" s="435"/>
      <c r="CS39" s="435"/>
      <c r="CT39" s="435"/>
      <c r="CU39" s="436"/>
      <c r="CV39" s="435"/>
      <c r="CW39" s="435"/>
      <c r="CX39" s="435"/>
      <c r="CY39" s="436"/>
      <c r="DA39" s="548"/>
      <c r="DB39" s="548"/>
      <c r="DC39" s="548"/>
      <c r="DD39" s="548"/>
      <c r="DE39" s="548"/>
      <c r="DF39" s="548"/>
      <c r="DG39" s="548"/>
      <c r="DH39" s="548"/>
      <c r="DI39" s="548"/>
      <c r="DJ39" s="548"/>
      <c r="DK39" s="548"/>
      <c r="DL39" s="548"/>
      <c r="DM39" s="548"/>
      <c r="DN39" s="548"/>
      <c r="DO39" s="548"/>
      <c r="DP39" s="548"/>
      <c r="DQ39" s="548"/>
      <c r="DR39" s="548"/>
      <c r="DS39" s="432">
        <f t="shared" ref="DS39:DZ39" si="81">DS36/DS$34</f>
        <v>0.25</v>
      </c>
      <c r="DT39" s="432">
        <f t="shared" si="81"/>
        <v>0.47058823529411764</v>
      </c>
      <c r="DU39" s="432">
        <f t="shared" si="81"/>
        <v>0.68421052631578949</v>
      </c>
      <c r="DV39" s="432">
        <f t="shared" si="81"/>
        <v>0.7857142857142857</v>
      </c>
      <c r="DW39" s="432">
        <f t="shared" si="81"/>
        <v>0.75</v>
      </c>
      <c r="DX39" s="432">
        <f t="shared" si="81"/>
        <v>0.8392857142857143</v>
      </c>
      <c r="DY39" s="432">
        <f t="shared" si="81"/>
        <v>0.625</v>
      </c>
      <c r="DZ39" s="432">
        <f t="shared" si="81"/>
        <v>0.6071428571428571</v>
      </c>
      <c r="EA39" s="432">
        <f t="shared" ref="EA39" si="82">EA36/EA$34</f>
        <v>0.5</v>
      </c>
      <c r="EB39" s="432"/>
      <c r="EC39" s="432"/>
      <c r="ED39" s="432"/>
      <c r="EE39" s="435"/>
      <c r="EF39" s="657"/>
      <c r="EG39" s="657"/>
      <c r="EH39" s="657"/>
      <c r="EI39" s="657"/>
      <c r="EJ39" s="657"/>
      <c r="EK39" s="657"/>
      <c r="EL39" s="657"/>
      <c r="EM39" s="657"/>
    </row>
    <row r="40" spans="1:143" s="657" customFormat="1" ht="15">
      <c r="A40" s="133"/>
      <c r="B40" s="306" t="s">
        <v>328</v>
      </c>
      <c r="C40" s="139"/>
      <c r="D40" s="662"/>
      <c r="E40" s="349"/>
      <c r="F40" s="349"/>
      <c r="G40" s="663"/>
      <c r="H40" s="349"/>
      <c r="I40" s="349"/>
      <c r="J40" s="349"/>
      <c r="K40" s="663"/>
      <c r="L40" s="349"/>
      <c r="M40" s="349"/>
      <c r="N40" s="349"/>
      <c r="O40" s="663"/>
      <c r="P40" s="349"/>
      <c r="Q40" s="349"/>
      <c r="R40" s="349"/>
      <c r="S40" s="663"/>
      <c r="T40" s="349"/>
      <c r="U40" s="349"/>
      <c r="V40" s="349"/>
      <c r="W40" s="663"/>
      <c r="X40" s="349"/>
      <c r="Y40" s="349"/>
      <c r="Z40" s="349"/>
      <c r="AA40" s="431"/>
      <c r="AB40" s="356"/>
      <c r="AC40" s="356"/>
      <c r="AD40" s="356"/>
      <c r="AE40" s="431"/>
      <c r="AF40" s="356"/>
      <c r="AG40" s="356"/>
      <c r="AH40" s="356"/>
      <c r="AI40" s="431"/>
      <c r="AJ40" s="356"/>
      <c r="AK40" s="356"/>
      <c r="AL40" s="356"/>
      <c r="AM40" s="431"/>
      <c r="AN40" s="356"/>
      <c r="AO40" s="356"/>
      <c r="AP40" s="356"/>
      <c r="AQ40" s="431"/>
      <c r="AR40" s="356"/>
      <c r="AS40" s="356"/>
      <c r="AT40" s="356"/>
      <c r="AU40" s="431"/>
      <c r="AV40" s="356"/>
      <c r="AW40" s="356"/>
      <c r="AX40" s="356"/>
      <c r="AY40" s="431"/>
      <c r="AZ40" s="356"/>
      <c r="BA40" s="356"/>
      <c r="BB40" s="356"/>
      <c r="BC40" s="431"/>
      <c r="BD40" s="356"/>
      <c r="BE40" s="356"/>
      <c r="BF40" s="356"/>
      <c r="BG40" s="431"/>
      <c r="BH40" s="356"/>
      <c r="BI40" s="356"/>
      <c r="BJ40" s="356"/>
      <c r="BK40" s="431"/>
      <c r="BL40" s="356"/>
      <c r="BM40" s="356"/>
      <c r="BN40" s="356"/>
      <c r="BO40" s="431"/>
      <c r="BP40" s="356"/>
      <c r="BQ40" s="356"/>
      <c r="BR40" s="356"/>
      <c r="BS40" s="431"/>
      <c r="BT40" s="356"/>
      <c r="BU40" s="356"/>
      <c r="BV40" s="356"/>
      <c r="BW40" s="431"/>
      <c r="BX40" s="356"/>
      <c r="BY40" s="356"/>
      <c r="BZ40" s="356"/>
      <c r="CA40" s="431"/>
      <c r="CB40" s="356"/>
      <c r="CC40" s="356"/>
      <c r="CD40" s="356"/>
      <c r="CE40" s="431"/>
      <c r="CF40" s="356"/>
      <c r="CG40" s="356"/>
      <c r="CH40" s="356"/>
      <c r="CI40" s="431"/>
      <c r="CJ40" s="356"/>
      <c r="CK40" s="356"/>
      <c r="CL40" s="356"/>
      <c r="CM40" s="431"/>
      <c r="CN40" s="356"/>
      <c r="CO40" s="356"/>
      <c r="CP40" s="356"/>
      <c r="CQ40" s="431"/>
      <c r="CR40" s="356"/>
      <c r="CS40" s="356"/>
      <c r="CT40" s="356"/>
      <c r="CU40" s="431"/>
      <c r="CV40" s="348"/>
      <c r="CW40" s="348"/>
      <c r="CX40" s="348"/>
      <c r="CY40" s="603"/>
      <c r="DA40" s="354"/>
      <c r="DB40" s="354"/>
      <c r="DC40" s="354"/>
      <c r="DD40" s="354"/>
      <c r="DE40" s="354"/>
      <c r="DF40" s="356"/>
      <c r="DG40" s="354"/>
      <c r="DH40" s="354"/>
      <c r="DI40" s="354"/>
      <c r="DJ40" s="354"/>
      <c r="DK40" s="354"/>
      <c r="DL40" s="354"/>
      <c r="DM40" s="354"/>
      <c r="DN40" s="354"/>
      <c r="DO40" s="354"/>
      <c r="DP40" s="354"/>
      <c r="DQ40" s="354"/>
      <c r="DR40" s="354"/>
      <c r="DS40" s="356">
        <v>600</v>
      </c>
      <c r="DT40" s="356">
        <v>450</v>
      </c>
      <c r="DU40" s="356">
        <v>300</v>
      </c>
      <c r="DV40" s="356">
        <v>150</v>
      </c>
      <c r="DW40" s="356">
        <v>200</v>
      </c>
      <c r="DX40" s="356">
        <v>225</v>
      </c>
      <c r="DY40" s="356">
        <v>450</v>
      </c>
      <c r="DZ40" s="356">
        <v>550</v>
      </c>
      <c r="EA40" s="356">
        <v>300</v>
      </c>
      <c r="EB40" s="356"/>
      <c r="EC40" s="356"/>
      <c r="ED40" s="356"/>
      <c r="EE40" s="139"/>
    </row>
    <row r="41" spans="1:143" s="599" customFormat="1" ht="15">
      <c r="A41" s="258"/>
      <c r="B41" s="664" t="s">
        <v>386</v>
      </c>
      <c r="C41" s="435"/>
      <c r="D41" s="660"/>
      <c r="E41" s="435"/>
      <c r="F41" s="435"/>
      <c r="G41" s="436"/>
      <c r="H41" s="435"/>
      <c r="I41" s="435"/>
      <c r="J41" s="435"/>
      <c r="K41" s="436"/>
      <c r="L41" s="435"/>
      <c r="M41" s="435"/>
      <c r="N41" s="435"/>
      <c r="O41" s="436"/>
      <c r="P41" s="435"/>
      <c r="Q41" s="435"/>
      <c r="R41" s="435"/>
      <c r="S41" s="436"/>
      <c r="T41" s="435"/>
      <c r="U41" s="435"/>
      <c r="V41" s="435"/>
      <c r="W41" s="436"/>
      <c r="X41" s="435"/>
      <c r="Y41" s="435"/>
      <c r="Z41" s="435"/>
      <c r="AA41" s="436"/>
      <c r="AB41" s="435"/>
      <c r="AC41" s="435"/>
      <c r="AD41" s="435"/>
      <c r="AE41" s="436"/>
      <c r="AF41" s="435"/>
      <c r="AG41" s="435"/>
      <c r="AH41" s="435"/>
      <c r="AI41" s="436"/>
      <c r="AJ41" s="435"/>
      <c r="AK41" s="435"/>
      <c r="AL41" s="435"/>
      <c r="AM41" s="436"/>
      <c r="AN41" s="346"/>
      <c r="AO41" s="346"/>
      <c r="AP41" s="346"/>
      <c r="AQ41" s="347"/>
      <c r="AR41" s="346"/>
      <c r="AS41" s="346"/>
      <c r="AT41" s="346"/>
      <c r="AU41" s="347"/>
      <c r="AV41" s="346"/>
      <c r="AW41" s="346"/>
      <c r="AX41" s="346"/>
      <c r="AY41" s="347"/>
      <c r="AZ41" s="346"/>
      <c r="BA41" s="346"/>
      <c r="BB41" s="346"/>
      <c r="BC41" s="347"/>
      <c r="BD41" s="346"/>
      <c r="BE41" s="346"/>
      <c r="BF41" s="346"/>
      <c r="BG41" s="347"/>
      <c r="BH41" s="346"/>
      <c r="BI41" s="346"/>
      <c r="BJ41" s="346"/>
      <c r="BK41" s="347"/>
      <c r="BL41" s="346"/>
      <c r="BM41" s="346"/>
      <c r="BN41" s="346"/>
      <c r="BO41" s="347"/>
      <c r="BP41" s="346"/>
      <c r="BQ41" s="346"/>
      <c r="BR41" s="346"/>
      <c r="BS41" s="347"/>
      <c r="BT41" s="435"/>
      <c r="BU41" s="435"/>
      <c r="BV41" s="548"/>
      <c r="BW41" s="661"/>
      <c r="BX41" s="548"/>
      <c r="BY41" s="548"/>
      <c r="BZ41" s="548"/>
      <c r="CA41" s="661"/>
      <c r="CB41" s="435"/>
      <c r="CC41" s="548"/>
      <c r="CD41" s="548"/>
      <c r="CE41" s="661"/>
      <c r="CF41" s="435"/>
      <c r="CG41" s="548"/>
      <c r="CH41" s="548"/>
      <c r="CI41" s="661"/>
      <c r="CJ41" s="435"/>
      <c r="CK41" s="435"/>
      <c r="CL41" s="435"/>
      <c r="CM41" s="436"/>
      <c r="CN41" s="435"/>
      <c r="CO41" s="435"/>
      <c r="CP41" s="435"/>
      <c r="CQ41" s="436"/>
      <c r="CR41" s="435"/>
      <c r="CS41" s="435"/>
      <c r="CT41" s="435"/>
      <c r="CU41" s="436"/>
      <c r="CV41" s="435"/>
      <c r="CW41" s="435"/>
      <c r="CX41" s="435"/>
      <c r="CY41" s="436"/>
      <c r="DA41" s="548"/>
      <c r="DB41" s="548"/>
      <c r="DC41" s="548"/>
      <c r="DD41" s="548"/>
      <c r="DE41" s="548"/>
      <c r="DF41" s="548"/>
      <c r="DG41" s="548"/>
      <c r="DH41" s="548"/>
      <c r="DI41" s="548"/>
      <c r="DJ41" s="548"/>
      <c r="DK41" s="548"/>
      <c r="DL41" s="548"/>
      <c r="DM41" s="548"/>
      <c r="DN41" s="548"/>
      <c r="DO41" s="548"/>
      <c r="DP41" s="548"/>
      <c r="DQ41" s="548"/>
      <c r="DR41" s="548"/>
      <c r="DS41" s="432">
        <f t="shared" ref="DS41:EA41" si="83">DS40/DR57</f>
        <v>0.18671230745293294</v>
      </c>
      <c r="DT41" s="432">
        <f t="shared" si="83"/>
        <v>0.12721207666647821</v>
      </c>
      <c r="DU41" s="432">
        <f t="shared" si="83"/>
        <v>7.1159183092578099E-2</v>
      </c>
      <c r="DV41" s="432">
        <f t="shared" si="83"/>
        <v>3.3962007833903143E-2</v>
      </c>
      <c r="DW41" s="432">
        <f>DW40/DV57</f>
        <v>4.8627489119599313E-2</v>
      </c>
      <c r="DX41" s="432">
        <f t="shared" si="83"/>
        <v>5.355995143897737E-2</v>
      </c>
      <c r="DY41" s="432">
        <f t="shared" si="83"/>
        <v>9.7953852851545495E-2</v>
      </c>
      <c r="DZ41" s="432">
        <f t="shared" si="83"/>
        <v>0.11220400145995134</v>
      </c>
      <c r="EA41" s="432">
        <f t="shared" si="83"/>
        <v>5.8704869258912884E-2</v>
      </c>
      <c r="EB41" s="432"/>
      <c r="EC41" s="432"/>
      <c r="ED41" s="432"/>
      <c r="EE41" s="435"/>
      <c r="EL41" s="657"/>
      <c r="EM41" s="657"/>
    </row>
    <row r="42" spans="1:143" s="599" customFormat="1" ht="15">
      <c r="A42" s="258"/>
      <c r="B42" s="664" t="s">
        <v>387</v>
      </c>
      <c r="C42" s="435"/>
      <c r="D42" s="660"/>
      <c r="E42" s="435"/>
      <c r="F42" s="435"/>
      <c r="G42" s="436"/>
      <c r="H42" s="435"/>
      <c r="I42" s="435"/>
      <c r="J42" s="435"/>
      <c r="K42" s="436"/>
      <c r="L42" s="435"/>
      <c r="M42" s="435"/>
      <c r="N42" s="435"/>
      <c r="O42" s="436"/>
      <c r="P42" s="435"/>
      <c r="Q42" s="435"/>
      <c r="R42" s="435"/>
      <c r="S42" s="436"/>
      <c r="T42" s="435"/>
      <c r="U42" s="435"/>
      <c r="V42" s="435"/>
      <c r="W42" s="436"/>
      <c r="X42" s="435"/>
      <c r="Y42" s="435"/>
      <c r="Z42" s="435"/>
      <c r="AA42" s="436"/>
      <c r="AB42" s="435"/>
      <c r="AC42" s="435"/>
      <c r="AD42" s="435"/>
      <c r="AE42" s="436"/>
      <c r="AF42" s="435"/>
      <c r="AG42" s="435"/>
      <c r="AH42" s="435"/>
      <c r="AI42" s="436"/>
      <c r="AJ42" s="435"/>
      <c r="AK42" s="435"/>
      <c r="AL42" s="435"/>
      <c r="AM42" s="436"/>
      <c r="AN42" s="346"/>
      <c r="AO42" s="346"/>
      <c r="AP42" s="346"/>
      <c r="AQ42" s="347"/>
      <c r="AR42" s="346"/>
      <c r="AS42" s="346"/>
      <c r="AT42" s="346"/>
      <c r="AU42" s="347"/>
      <c r="AV42" s="346"/>
      <c r="AW42" s="346"/>
      <c r="AX42" s="346"/>
      <c r="AY42" s="347"/>
      <c r="AZ42" s="346"/>
      <c r="BA42" s="346"/>
      <c r="BB42" s="346"/>
      <c r="BC42" s="347"/>
      <c r="BD42" s="346"/>
      <c r="BE42" s="346"/>
      <c r="BF42" s="346"/>
      <c r="BG42" s="347"/>
      <c r="BH42" s="346"/>
      <c r="BI42" s="346"/>
      <c r="BJ42" s="346"/>
      <c r="BK42" s="347"/>
      <c r="BL42" s="346"/>
      <c r="BM42" s="346"/>
      <c r="BN42" s="346"/>
      <c r="BO42" s="347"/>
      <c r="BP42" s="346"/>
      <c r="BQ42" s="346"/>
      <c r="BR42" s="346"/>
      <c r="BS42" s="347"/>
      <c r="BT42" s="435"/>
      <c r="BU42" s="435"/>
      <c r="BV42" s="548"/>
      <c r="BW42" s="661"/>
      <c r="BX42" s="548"/>
      <c r="BY42" s="548"/>
      <c r="BZ42" s="548"/>
      <c r="CA42" s="661"/>
      <c r="CB42" s="435"/>
      <c r="CC42" s="548"/>
      <c r="CD42" s="548"/>
      <c r="CE42" s="661"/>
      <c r="CF42" s="435"/>
      <c r="CG42" s="548"/>
      <c r="CH42" s="548"/>
      <c r="CI42" s="661"/>
      <c r="CJ42" s="435"/>
      <c r="CK42" s="435"/>
      <c r="CL42" s="435"/>
      <c r="CM42" s="436"/>
      <c r="CN42" s="435"/>
      <c r="CO42" s="435"/>
      <c r="CP42" s="435"/>
      <c r="CQ42" s="436"/>
      <c r="CR42" s="435"/>
      <c r="CS42" s="435"/>
      <c r="CT42" s="435"/>
      <c r="CU42" s="436"/>
      <c r="CV42" s="435"/>
      <c r="CW42" s="435"/>
      <c r="CX42" s="435"/>
      <c r="CY42" s="436"/>
      <c r="DA42" s="548"/>
      <c r="DB42" s="548"/>
      <c r="DC42" s="548"/>
      <c r="DD42" s="548"/>
      <c r="DE42" s="548"/>
      <c r="DF42" s="548"/>
      <c r="DG42" s="548"/>
      <c r="DH42" s="548"/>
      <c r="DI42" s="548"/>
      <c r="DJ42" s="548"/>
      <c r="DK42" s="548"/>
      <c r="DL42" s="548"/>
      <c r="DM42" s="548"/>
      <c r="DN42" s="548"/>
      <c r="DO42" s="548"/>
      <c r="DP42" s="548"/>
      <c r="DQ42" s="548"/>
      <c r="DR42" s="548"/>
      <c r="DS42" s="432">
        <f>DS65-DS41</f>
        <v>-0.12046728007582171</v>
      </c>
      <c r="DT42" s="432">
        <f t="shared" ref="DT42:EA42" si="84">DT65-DT41</f>
        <v>6.288860342039404E-3</v>
      </c>
      <c r="DU42" s="432">
        <f t="shared" si="84"/>
        <v>-6.3709949720169301E-2</v>
      </c>
      <c r="DV42" s="432">
        <f t="shared" si="84"/>
        <v>-6.5420969939560009E-2</v>
      </c>
      <c r="DW42" s="432">
        <f>DW65-DW41</f>
        <v>-5.7643864423698586E-2</v>
      </c>
      <c r="DX42" s="432">
        <f t="shared" si="84"/>
        <v>2.0576316383178785E-2</v>
      </c>
      <c r="DY42" s="432">
        <f t="shared" si="84"/>
        <v>-9.1605333162883218E-2</v>
      </c>
      <c r="DZ42" s="432">
        <f t="shared" si="84"/>
        <v>-6.8943044842616236E-2</v>
      </c>
      <c r="EA42" s="432">
        <f t="shared" si="84"/>
        <v>-2.7240771887911804E-2</v>
      </c>
      <c r="EB42" s="432"/>
      <c r="EC42" s="432"/>
      <c r="ED42" s="432"/>
      <c r="EE42" s="435"/>
      <c r="EF42" s="657"/>
      <c r="EG42" s="657"/>
      <c r="EH42" s="657"/>
      <c r="EI42" s="657"/>
      <c r="EJ42" s="657"/>
      <c r="EK42" s="657"/>
      <c r="EL42" s="657"/>
      <c r="EM42" s="657"/>
    </row>
    <row r="43" spans="1:143" s="599" customFormat="1" ht="15">
      <c r="A43" s="258"/>
      <c r="B43" s="664" t="s">
        <v>338</v>
      </c>
      <c r="C43" s="435"/>
      <c r="D43" s="660"/>
      <c r="E43" s="435"/>
      <c r="F43" s="435"/>
      <c r="G43" s="436"/>
      <c r="H43" s="435"/>
      <c r="I43" s="435"/>
      <c r="J43" s="435"/>
      <c r="K43" s="436"/>
      <c r="L43" s="435"/>
      <c r="M43" s="435"/>
      <c r="N43" s="435"/>
      <c r="O43" s="436"/>
      <c r="P43" s="435"/>
      <c r="Q43" s="435"/>
      <c r="R43" s="435"/>
      <c r="S43" s="436"/>
      <c r="T43" s="435"/>
      <c r="U43" s="435"/>
      <c r="V43" s="435"/>
      <c r="W43" s="436"/>
      <c r="X43" s="435"/>
      <c r="Y43" s="435"/>
      <c r="Z43" s="435"/>
      <c r="AA43" s="436"/>
      <c r="AB43" s="435"/>
      <c r="AC43" s="435"/>
      <c r="AD43" s="435"/>
      <c r="AE43" s="436"/>
      <c r="AF43" s="435"/>
      <c r="AG43" s="435"/>
      <c r="AH43" s="435"/>
      <c r="AI43" s="436"/>
      <c r="AJ43" s="435"/>
      <c r="AK43" s="435"/>
      <c r="AL43" s="435"/>
      <c r="AM43" s="436"/>
      <c r="AN43" s="346"/>
      <c r="AO43" s="346"/>
      <c r="AP43" s="346"/>
      <c r="AQ43" s="347"/>
      <c r="AR43" s="346"/>
      <c r="AS43" s="346"/>
      <c r="AT43" s="346"/>
      <c r="AU43" s="347"/>
      <c r="AV43" s="346"/>
      <c r="AW43" s="346"/>
      <c r="AX43" s="346"/>
      <c r="AY43" s="347"/>
      <c r="AZ43" s="346"/>
      <c r="BA43" s="346"/>
      <c r="BB43" s="346"/>
      <c r="BC43" s="347"/>
      <c r="BD43" s="346"/>
      <c r="BE43" s="346"/>
      <c r="BF43" s="346"/>
      <c r="BG43" s="347"/>
      <c r="BH43" s="346"/>
      <c r="BI43" s="346"/>
      <c r="BJ43" s="346"/>
      <c r="BK43" s="347"/>
      <c r="BL43" s="346"/>
      <c r="BM43" s="346"/>
      <c r="BN43" s="346"/>
      <c r="BO43" s="347"/>
      <c r="BP43" s="346"/>
      <c r="BQ43" s="346"/>
      <c r="BR43" s="346"/>
      <c r="BS43" s="347"/>
      <c r="BT43" s="435"/>
      <c r="BU43" s="435"/>
      <c r="BV43" s="548"/>
      <c r="BW43" s="661"/>
      <c r="BX43" s="548"/>
      <c r="BY43" s="548"/>
      <c r="BZ43" s="548"/>
      <c r="CA43" s="661"/>
      <c r="CB43" s="435"/>
      <c r="CC43" s="548"/>
      <c r="CD43" s="548"/>
      <c r="CE43" s="661"/>
      <c r="CF43" s="435"/>
      <c r="CG43" s="548"/>
      <c r="CH43" s="548"/>
      <c r="CI43" s="661"/>
      <c r="CJ43" s="435"/>
      <c r="CK43" s="435"/>
      <c r="CL43" s="435"/>
      <c r="CM43" s="436"/>
      <c r="CN43" s="435"/>
      <c r="CO43" s="435"/>
      <c r="CP43" s="435"/>
      <c r="CQ43" s="436"/>
      <c r="CR43" s="435"/>
      <c r="CS43" s="435"/>
      <c r="CT43" s="435"/>
      <c r="CU43" s="436"/>
      <c r="CV43" s="435"/>
      <c r="CW43" s="435"/>
      <c r="CX43" s="435"/>
      <c r="CY43" s="436"/>
      <c r="DA43" s="548"/>
      <c r="DB43" s="548"/>
      <c r="DC43" s="548"/>
      <c r="DD43" s="548"/>
      <c r="DE43" s="548"/>
      <c r="DF43" s="548"/>
      <c r="DG43" s="548"/>
      <c r="DH43" s="548"/>
      <c r="DI43" s="548"/>
      <c r="DJ43" s="548"/>
      <c r="DK43" s="548"/>
      <c r="DL43" s="548"/>
      <c r="DM43" s="548"/>
      <c r="DN43" s="548"/>
      <c r="DO43" s="548"/>
      <c r="DP43" s="548"/>
      <c r="DQ43" s="548"/>
      <c r="DR43" s="548"/>
      <c r="DS43" s="432">
        <f t="shared" ref="DS43:DZ43" si="85">DS40/DS$34</f>
        <v>0.75</v>
      </c>
      <c r="DT43" s="432">
        <f t="shared" si="85"/>
        <v>0.52941176470588236</v>
      </c>
      <c r="DU43" s="432">
        <f t="shared" si="85"/>
        <v>0.31578947368421051</v>
      </c>
      <c r="DV43" s="432">
        <f t="shared" si="85"/>
        <v>0.21428571428571427</v>
      </c>
      <c r="DW43" s="432">
        <f t="shared" si="85"/>
        <v>0.25</v>
      </c>
      <c r="DX43" s="432">
        <f t="shared" si="85"/>
        <v>0.16071428571428573</v>
      </c>
      <c r="DY43" s="432">
        <f t="shared" si="85"/>
        <v>0.375</v>
      </c>
      <c r="DZ43" s="432">
        <f t="shared" si="85"/>
        <v>0.39285714285714285</v>
      </c>
      <c r="EA43" s="432">
        <f t="shared" ref="EA43" si="86">EA40/EA$34</f>
        <v>0.5</v>
      </c>
      <c r="EB43" s="432"/>
      <c r="EC43" s="432"/>
      <c r="ED43" s="432"/>
      <c r="EE43" s="435"/>
      <c r="EF43" s="657"/>
      <c r="EG43" s="657"/>
      <c r="EH43" s="657"/>
      <c r="EI43" s="657"/>
      <c r="EJ43" s="657"/>
      <c r="EK43" s="657"/>
      <c r="EL43" s="657"/>
      <c r="EM43" s="657"/>
    </row>
    <row r="44" spans="1:143" s="109" customFormat="1" ht="15">
      <c r="A44" s="133"/>
      <c r="B44" s="136"/>
      <c r="C44" s="136"/>
      <c r="D44" s="647"/>
      <c r="E44" s="136"/>
      <c r="F44" s="136"/>
      <c r="G44" s="437"/>
      <c r="H44" s="136"/>
      <c r="I44" s="136"/>
      <c r="J44" s="136"/>
      <c r="K44" s="437"/>
      <c r="L44" s="136"/>
      <c r="M44" s="136"/>
      <c r="N44" s="136"/>
      <c r="O44" s="437"/>
      <c r="P44" s="136"/>
      <c r="Q44" s="136"/>
      <c r="R44" s="136"/>
      <c r="S44" s="437"/>
      <c r="T44" s="136"/>
      <c r="U44" s="136"/>
      <c r="V44" s="136"/>
      <c r="W44" s="437"/>
      <c r="X44" s="136"/>
      <c r="Y44" s="136"/>
      <c r="Z44" s="136"/>
      <c r="AA44" s="437"/>
      <c r="AB44" s="136"/>
      <c r="AC44" s="136"/>
      <c r="AD44" s="136"/>
      <c r="AE44" s="437"/>
      <c r="AF44" s="136"/>
      <c r="AG44" s="136"/>
      <c r="AH44" s="136"/>
      <c r="AI44" s="437"/>
      <c r="AJ44" s="136"/>
      <c r="AK44" s="136"/>
      <c r="AL44" s="136"/>
      <c r="AM44" s="437"/>
      <c r="AN44" s="648"/>
      <c r="AO44" s="648"/>
      <c r="AP44" s="648"/>
      <c r="AQ44" s="650"/>
      <c r="AR44" s="648"/>
      <c r="AS44" s="648"/>
      <c r="AT44" s="648"/>
      <c r="AU44" s="650"/>
      <c r="AV44" s="648"/>
      <c r="AW44" s="648"/>
      <c r="AX44" s="648"/>
      <c r="AY44" s="650"/>
      <c r="AZ44" s="648"/>
      <c r="BA44" s="648"/>
      <c r="BB44" s="648"/>
      <c r="BC44" s="650"/>
      <c r="BD44" s="648"/>
      <c r="BE44" s="648"/>
      <c r="BF44" s="648"/>
      <c r="BG44" s="650"/>
      <c r="BH44" s="648"/>
      <c r="BI44" s="648"/>
      <c r="BJ44" s="648"/>
      <c r="BK44" s="650"/>
      <c r="BL44" s="648"/>
      <c r="BM44" s="648"/>
      <c r="BN44" s="648"/>
      <c r="BO44" s="650"/>
      <c r="BP44" s="648"/>
      <c r="BQ44" s="648"/>
      <c r="BR44" s="648"/>
      <c r="BS44" s="650"/>
      <c r="BT44" s="651"/>
      <c r="BU44" s="651"/>
      <c r="BV44" s="652"/>
      <c r="BW44" s="653"/>
      <c r="BX44" s="652"/>
      <c r="BY44" s="652"/>
      <c r="BZ44" s="652"/>
      <c r="CA44" s="653"/>
      <c r="CB44" s="654"/>
      <c r="CC44" s="652"/>
      <c r="CD44" s="652"/>
      <c r="CE44" s="653"/>
      <c r="CF44" s="654"/>
      <c r="CG44" s="652"/>
      <c r="CH44" s="652"/>
      <c r="CI44" s="653"/>
      <c r="CJ44" s="654"/>
      <c r="CK44" s="654"/>
      <c r="CL44" s="654"/>
      <c r="CM44" s="655"/>
      <c r="CN44" s="654"/>
      <c r="CO44" s="654"/>
      <c r="CP44" s="654"/>
      <c r="CQ44" s="655"/>
      <c r="CR44" s="654"/>
      <c r="CS44" s="654"/>
      <c r="CT44" s="652"/>
      <c r="CU44" s="653"/>
      <c r="CV44" s="652"/>
      <c r="CW44" s="652"/>
      <c r="CX44" s="652"/>
      <c r="CY44" s="653"/>
      <c r="CZ44" s="7"/>
      <c r="DA44" s="656"/>
      <c r="DB44" s="656"/>
      <c r="DC44" s="656"/>
      <c r="DD44" s="656"/>
      <c r="DE44" s="656"/>
      <c r="DF44" s="656"/>
      <c r="DG44" s="656"/>
      <c r="DH44" s="656"/>
      <c r="DI44" s="656"/>
      <c r="DJ44" s="656"/>
      <c r="DK44" s="656"/>
      <c r="DL44" s="656"/>
      <c r="DM44" s="656"/>
      <c r="DN44" s="656"/>
      <c r="DO44" s="656"/>
      <c r="DP44" s="656"/>
      <c r="DQ44" s="656"/>
      <c r="DR44" s="688"/>
      <c r="DS44" s="688"/>
      <c r="DT44" s="688"/>
      <c r="DU44" s="688"/>
      <c r="DV44" s="688"/>
      <c r="DW44" s="688"/>
      <c r="DX44" s="688"/>
      <c r="DY44" s="688"/>
      <c r="DZ44" s="688"/>
      <c r="EA44" s="688"/>
      <c r="EB44" s="136"/>
      <c r="EC44" s="136"/>
      <c r="ED44" s="136"/>
      <c r="EE44" s="136"/>
      <c r="EF44" s="657"/>
      <c r="EG44" s="657"/>
      <c r="EH44" s="657"/>
      <c r="EI44" s="657"/>
      <c r="EJ44" s="657"/>
      <c r="EK44" s="657"/>
      <c r="EL44" s="657"/>
      <c r="EM44" s="657"/>
    </row>
    <row r="45" spans="1:143" s="110" customFormat="1" ht="15">
      <c r="A45" s="574"/>
      <c r="B45" s="155" t="s">
        <v>231</v>
      </c>
      <c r="C45" s="155"/>
      <c r="D45" s="571" t="str">
        <f>D$4</f>
        <v>1Q94</v>
      </c>
      <c r="E45" s="572" t="str">
        <f t="shared" ref="E45:BP45" si="87">E$4</f>
        <v>2Q94</v>
      </c>
      <c r="F45" s="572" t="str">
        <f t="shared" si="87"/>
        <v>3Q94</v>
      </c>
      <c r="G45" s="573" t="str">
        <f t="shared" si="87"/>
        <v>4Q94</v>
      </c>
      <c r="H45" s="572" t="str">
        <f t="shared" si="87"/>
        <v>1Q95</v>
      </c>
      <c r="I45" s="572" t="str">
        <f t="shared" si="87"/>
        <v>2Q95</v>
      </c>
      <c r="J45" s="572" t="str">
        <f t="shared" si="87"/>
        <v>3Q95</v>
      </c>
      <c r="K45" s="573" t="str">
        <f t="shared" si="87"/>
        <v>4Q95</v>
      </c>
      <c r="L45" s="572" t="str">
        <f t="shared" si="87"/>
        <v>1Q96</v>
      </c>
      <c r="M45" s="572" t="str">
        <f t="shared" si="87"/>
        <v>2Q96</v>
      </c>
      <c r="N45" s="572" t="str">
        <f t="shared" si="87"/>
        <v>3Q96</v>
      </c>
      <c r="O45" s="573" t="str">
        <f t="shared" si="87"/>
        <v>4Q96</v>
      </c>
      <c r="P45" s="572" t="str">
        <f t="shared" si="87"/>
        <v>1Q97</v>
      </c>
      <c r="Q45" s="572" t="str">
        <f t="shared" si="87"/>
        <v>2Q97</v>
      </c>
      <c r="R45" s="572" t="str">
        <f t="shared" si="87"/>
        <v>3Q97</v>
      </c>
      <c r="S45" s="573" t="str">
        <f t="shared" si="87"/>
        <v>4Q97</v>
      </c>
      <c r="T45" s="572" t="str">
        <f t="shared" si="87"/>
        <v>1Q98</v>
      </c>
      <c r="U45" s="572" t="str">
        <f t="shared" si="87"/>
        <v>2Q98</v>
      </c>
      <c r="V45" s="572" t="str">
        <f t="shared" si="87"/>
        <v>3Q98</v>
      </c>
      <c r="W45" s="573" t="str">
        <f t="shared" si="87"/>
        <v>4Q98</v>
      </c>
      <c r="X45" s="572" t="str">
        <f t="shared" si="87"/>
        <v>1Q99</v>
      </c>
      <c r="Y45" s="572" t="str">
        <f t="shared" si="87"/>
        <v>2Q99</v>
      </c>
      <c r="Z45" s="572" t="str">
        <f t="shared" si="87"/>
        <v>3Q99</v>
      </c>
      <c r="AA45" s="573" t="str">
        <f t="shared" si="87"/>
        <v>4Q99</v>
      </c>
      <c r="AB45" s="572" t="str">
        <f t="shared" si="87"/>
        <v>1Q00</v>
      </c>
      <c r="AC45" s="572" t="str">
        <f t="shared" si="87"/>
        <v>2Q00</v>
      </c>
      <c r="AD45" s="572" t="str">
        <f t="shared" si="87"/>
        <v>3Q00</v>
      </c>
      <c r="AE45" s="573" t="str">
        <f t="shared" si="87"/>
        <v>4Q00</v>
      </c>
      <c r="AF45" s="572" t="str">
        <f t="shared" si="87"/>
        <v>1Q01</v>
      </c>
      <c r="AG45" s="572" t="str">
        <f t="shared" si="87"/>
        <v>2Q01</v>
      </c>
      <c r="AH45" s="572" t="str">
        <f t="shared" si="87"/>
        <v>3Q01</v>
      </c>
      <c r="AI45" s="573" t="str">
        <f t="shared" si="87"/>
        <v>4Q01</v>
      </c>
      <c r="AJ45" s="572" t="str">
        <f t="shared" si="87"/>
        <v>1Q02</v>
      </c>
      <c r="AK45" s="572" t="str">
        <f t="shared" si="87"/>
        <v>2Q02</v>
      </c>
      <c r="AL45" s="572" t="str">
        <f t="shared" si="87"/>
        <v>3Q02</v>
      </c>
      <c r="AM45" s="573" t="str">
        <f t="shared" si="87"/>
        <v>4Q02</v>
      </c>
      <c r="AN45" s="572" t="str">
        <f t="shared" si="87"/>
        <v>1Q03</v>
      </c>
      <c r="AO45" s="572" t="str">
        <f t="shared" si="87"/>
        <v>2Q03</v>
      </c>
      <c r="AP45" s="572" t="str">
        <f t="shared" si="87"/>
        <v>3Q03</v>
      </c>
      <c r="AQ45" s="573" t="str">
        <f t="shared" si="87"/>
        <v>4Q03</v>
      </c>
      <c r="AR45" s="572" t="str">
        <f t="shared" si="87"/>
        <v>1Q04</v>
      </c>
      <c r="AS45" s="572" t="str">
        <f t="shared" si="87"/>
        <v>2Q04</v>
      </c>
      <c r="AT45" s="572" t="str">
        <f t="shared" si="87"/>
        <v>3Q04</v>
      </c>
      <c r="AU45" s="573" t="str">
        <f t="shared" si="87"/>
        <v>4Q04</v>
      </c>
      <c r="AV45" s="572" t="str">
        <f t="shared" si="87"/>
        <v>1Q05</v>
      </c>
      <c r="AW45" s="572" t="str">
        <f t="shared" si="87"/>
        <v>2Q05</v>
      </c>
      <c r="AX45" s="572" t="str">
        <f t="shared" si="87"/>
        <v>3Q05</v>
      </c>
      <c r="AY45" s="573" t="str">
        <f t="shared" si="87"/>
        <v>4Q05</v>
      </c>
      <c r="AZ45" s="572" t="str">
        <f t="shared" si="87"/>
        <v>1Q06</v>
      </c>
      <c r="BA45" s="572" t="str">
        <f t="shared" si="87"/>
        <v>2Q06</v>
      </c>
      <c r="BB45" s="572" t="str">
        <f t="shared" si="87"/>
        <v>3Q06</v>
      </c>
      <c r="BC45" s="573" t="str">
        <f t="shared" si="87"/>
        <v>4Q06</v>
      </c>
      <c r="BD45" s="572" t="str">
        <f t="shared" si="87"/>
        <v>1Q07</v>
      </c>
      <c r="BE45" s="572" t="str">
        <f t="shared" si="87"/>
        <v>2Q07</v>
      </c>
      <c r="BF45" s="572" t="str">
        <f t="shared" si="87"/>
        <v>3Q07</v>
      </c>
      <c r="BG45" s="573" t="str">
        <f t="shared" si="87"/>
        <v>4Q07</v>
      </c>
      <c r="BH45" s="572" t="str">
        <f t="shared" si="87"/>
        <v>1Q08</v>
      </c>
      <c r="BI45" s="572" t="str">
        <f t="shared" si="87"/>
        <v>2Q08</v>
      </c>
      <c r="BJ45" s="572" t="str">
        <f t="shared" si="87"/>
        <v>3Q08</v>
      </c>
      <c r="BK45" s="573" t="str">
        <f t="shared" si="87"/>
        <v>4Q08</v>
      </c>
      <c r="BL45" s="572" t="str">
        <f t="shared" si="87"/>
        <v xml:space="preserve">1Q09 </v>
      </c>
      <c r="BM45" s="572" t="str">
        <f t="shared" si="87"/>
        <v>2Q09</v>
      </c>
      <c r="BN45" s="572" t="str">
        <f t="shared" si="87"/>
        <v>3Q09</v>
      </c>
      <c r="BO45" s="573" t="str">
        <f t="shared" si="87"/>
        <v>4Q09</v>
      </c>
      <c r="BP45" s="572" t="str">
        <f t="shared" si="87"/>
        <v>1Q10</v>
      </c>
      <c r="BQ45" s="572" t="str">
        <f t="shared" ref="BQ45:CY45" si="88">BQ$4</f>
        <v>2Q10</v>
      </c>
      <c r="BR45" s="572" t="str">
        <f t="shared" si="88"/>
        <v>3Q10</v>
      </c>
      <c r="BS45" s="573" t="str">
        <f t="shared" si="88"/>
        <v>4Q10</v>
      </c>
      <c r="BT45" s="572" t="str">
        <f t="shared" si="88"/>
        <v>1Q11</v>
      </c>
      <c r="BU45" s="572" t="str">
        <f t="shared" si="88"/>
        <v>2Q11</v>
      </c>
      <c r="BV45" s="572" t="str">
        <f t="shared" si="88"/>
        <v>3Q11</v>
      </c>
      <c r="BW45" s="573" t="str">
        <f t="shared" si="88"/>
        <v>4Q11</v>
      </c>
      <c r="BX45" s="572" t="str">
        <f t="shared" si="88"/>
        <v>1Q12</v>
      </c>
      <c r="BY45" s="572" t="str">
        <f t="shared" si="88"/>
        <v>2Q12</v>
      </c>
      <c r="BZ45" s="572" t="str">
        <f t="shared" si="88"/>
        <v>3Q12</v>
      </c>
      <c r="CA45" s="573" t="str">
        <f t="shared" si="88"/>
        <v>4Q12</v>
      </c>
      <c r="CB45" s="572" t="str">
        <f t="shared" si="88"/>
        <v>1Q13</v>
      </c>
      <c r="CC45" s="572" t="str">
        <f t="shared" si="88"/>
        <v>2Q13</v>
      </c>
      <c r="CD45" s="572" t="str">
        <f t="shared" si="88"/>
        <v>3Q13</v>
      </c>
      <c r="CE45" s="573" t="str">
        <f t="shared" si="88"/>
        <v>4Q13</v>
      </c>
      <c r="CF45" s="572" t="str">
        <f t="shared" si="88"/>
        <v>1Q14</v>
      </c>
      <c r="CG45" s="572" t="str">
        <f t="shared" si="88"/>
        <v>2Q14</v>
      </c>
      <c r="CH45" s="572" t="str">
        <f t="shared" si="88"/>
        <v>3Q14</v>
      </c>
      <c r="CI45" s="573" t="str">
        <f t="shared" si="88"/>
        <v>4Q14</v>
      </c>
      <c r="CJ45" s="572" t="str">
        <f t="shared" si="88"/>
        <v>1Q15</v>
      </c>
      <c r="CK45" s="572" t="str">
        <f t="shared" si="88"/>
        <v>2Q15</v>
      </c>
      <c r="CL45" s="572" t="str">
        <f t="shared" si="88"/>
        <v>3Q15</v>
      </c>
      <c r="CM45" s="573" t="str">
        <f t="shared" si="88"/>
        <v>4Q15</v>
      </c>
      <c r="CN45" s="572" t="str">
        <f t="shared" si="88"/>
        <v>1Q16</v>
      </c>
      <c r="CO45" s="572" t="str">
        <f t="shared" si="88"/>
        <v>2Q16</v>
      </c>
      <c r="CP45" s="572" t="str">
        <f t="shared" si="88"/>
        <v>3Q16</v>
      </c>
      <c r="CQ45" s="573" t="str">
        <f t="shared" si="88"/>
        <v>4Q16</v>
      </c>
      <c r="CR45" s="572" t="str">
        <f t="shared" si="88"/>
        <v>1Q17</v>
      </c>
      <c r="CS45" s="572" t="str">
        <f t="shared" si="88"/>
        <v>2Q17</v>
      </c>
      <c r="CT45" s="572" t="str">
        <f t="shared" si="88"/>
        <v>3Q17</v>
      </c>
      <c r="CU45" s="573" t="str">
        <f t="shared" si="88"/>
        <v>4Q17</v>
      </c>
      <c r="CV45" s="572" t="str">
        <f t="shared" si="88"/>
        <v>1Q18e</v>
      </c>
      <c r="CW45" s="572" t="str">
        <f t="shared" si="88"/>
        <v>2Q18e</v>
      </c>
      <c r="CX45" s="572" t="str">
        <f t="shared" si="88"/>
        <v>3Q18e</v>
      </c>
      <c r="CY45" s="573" t="str">
        <f t="shared" si="88"/>
        <v>4Q18e</v>
      </c>
      <c r="CZ45" s="569"/>
      <c r="DA45" s="572">
        <f t="shared" ref="DA45:ED45" si="89">DA$4</f>
        <v>1994</v>
      </c>
      <c r="DB45" s="572">
        <f t="shared" si="89"/>
        <v>1995</v>
      </c>
      <c r="DC45" s="572">
        <f t="shared" si="89"/>
        <v>1996</v>
      </c>
      <c r="DD45" s="572">
        <f t="shared" si="89"/>
        <v>1997</v>
      </c>
      <c r="DE45" s="572">
        <f t="shared" si="89"/>
        <v>1998</v>
      </c>
      <c r="DF45" s="572">
        <f t="shared" si="89"/>
        <v>1999</v>
      </c>
      <c r="DG45" s="572">
        <f t="shared" si="89"/>
        <v>2000</v>
      </c>
      <c r="DH45" s="572">
        <f t="shared" si="89"/>
        <v>2001</v>
      </c>
      <c r="DI45" s="572">
        <f t="shared" si="89"/>
        <v>2002</v>
      </c>
      <c r="DJ45" s="572">
        <f t="shared" si="89"/>
        <v>2003</v>
      </c>
      <c r="DK45" s="572">
        <f t="shared" si="89"/>
        <v>2004</v>
      </c>
      <c r="DL45" s="572">
        <f t="shared" si="89"/>
        <v>2005</v>
      </c>
      <c r="DM45" s="572">
        <f t="shared" si="89"/>
        <v>2006</v>
      </c>
      <c r="DN45" s="572">
        <f t="shared" si="89"/>
        <v>2007</v>
      </c>
      <c r="DO45" s="572">
        <f t="shared" si="89"/>
        <v>2008</v>
      </c>
      <c r="DP45" s="572">
        <f t="shared" si="89"/>
        <v>2009</v>
      </c>
      <c r="DQ45" s="572">
        <f t="shared" si="89"/>
        <v>2010</v>
      </c>
      <c r="DR45" s="572">
        <f t="shared" si="89"/>
        <v>2011</v>
      </c>
      <c r="DS45" s="572">
        <f t="shared" si="89"/>
        <v>2012</v>
      </c>
      <c r="DT45" s="572">
        <f t="shared" si="89"/>
        <v>2013</v>
      </c>
      <c r="DU45" s="572">
        <f t="shared" si="89"/>
        <v>2014</v>
      </c>
      <c r="DV45" s="572">
        <f t="shared" si="89"/>
        <v>2015</v>
      </c>
      <c r="DW45" s="572">
        <f t="shared" si="89"/>
        <v>2016</v>
      </c>
      <c r="DX45" s="572">
        <f t="shared" si="89"/>
        <v>2017</v>
      </c>
      <c r="DY45" s="572" t="str">
        <f t="shared" si="89"/>
        <v>2018e</v>
      </c>
      <c r="DZ45" s="572" t="str">
        <f t="shared" si="89"/>
        <v>2019e</v>
      </c>
      <c r="EA45" s="572" t="str">
        <f t="shared" si="89"/>
        <v>2020e</v>
      </c>
      <c r="EB45" s="572" t="str">
        <f t="shared" si="89"/>
        <v>2021e</v>
      </c>
      <c r="EC45" s="572" t="str">
        <f t="shared" si="89"/>
        <v>2022e</v>
      </c>
      <c r="ED45" s="572" t="str">
        <f t="shared" si="89"/>
        <v>2023e</v>
      </c>
      <c r="EF45" s="657"/>
      <c r="EG45" s="657"/>
      <c r="EH45" s="657"/>
      <c r="EI45" s="657"/>
      <c r="EJ45" s="657"/>
      <c r="EK45" s="657"/>
      <c r="EL45" s="657"/>
      <c r="EM45" s="657"/>
    </row>
    <row r="46" spans="1:143" s="109" customFormat="1" ht="15">
      <c r="A46" s="133"/>
      <c r="B46" s="136"/>
      <c r="C46" s="136"/>
      <c r="D46" s="647"/>
      <c r="E46" s="136"/>
      <c r="F46" s="136"/>
      <c r="G46" s="437"/>
      <c r="H46" s="136"/>
      <c r="I46" s="136"/>
      <c r="J46" s="136"/>
      <c r="K46" s="437"/>
      <c r="L46" s="136"/>
      <c r="M46" s="136"/>
      <c r="N46" s="136"/>
      <c r="O46" s="437"/>
      <c r="P46" s="136"/>
      <c r="Q46" s="136"/>
      <c r="R46" s="136"/>
      <c r="S46" s="437"/>
      <c r="T46" s="136"/>
      <c r="U46" s="136"/>
      <c r="V46" s="136"/>
      <c r="W46" s="437"/>
      <c r="X46" s="136"/>
      <c r="Y46" s="136"/>
      <c r="Z46" s="136"/>
      <c r="AA46" s="437"/>
      <c r="AB46" s="136"/>
      <c r="AC46" s="136"/>
      <c r="AD46" s="136"/>
      <c r="AE46" s="437"/>
      <c r="AF46" s="136"/>
      <c r="AG46" s="136"/>
      <c r="AH46" s="136"/>
      <c r="AI46" s="437"/>
      <c r="AJ46" s="136"/>
      <c r="AK46" s="136"/>
      <c r="AL46" s="136"/>
      <c r="AM46" s="437"/>
      <c r="AN46" s="648"/>
      <c r="AO46" s="648"/>
      <c r="AP46" s="648"/>
      <c r="AQ46" s="650"/>
      <c r="AR46" s="648"/>
      <c r="AS46" s="648"/>
      <c r="AT46" s="648"/>
      <c r="AU46" s="650"/>
      <c r="AV46" s="648"/>
      <c r="AW46" s="648"/>
      <c r="AX46" s="648"/>
      <c r="AY46" s="650"/>
      <c r="AZ46" s="648"/>
      <c r="BA46" s="648"/>
      <c r="BB46" s="648"/>
      <c r="BC46" s="650"/>
      <c r="BD46" s="648"/>
      <c r="BE46" s="648"/>
      <c r="BF46" s="648"/>
      <c r="BG46" s="650"/>
      <c r="BH46" s="648"/>
      <c r="BI46" s="648"/>
      <c r="BJ46" s="648"/>
      <c r="BK46" s="650"/>
      <c r="BL46" s="648"/>
      <c r="BM46" s="648"/>
      <c r="BN46" s="648"/>
      <c r="BO46" s="650"/>
      <c r="BP46" s="648"/>
      <c r="BQ46" s="648"/>
      <c r="BR46" s="648"/>
      <c r="BS46" s="650"/>
      <c r="BT46" s="651"/>
      <c r="BU46" s="651"/>
      <c r="BV46" s="652"/>
      <c r="BW46" s="653"/>
      <c r="BX46" s="652"/>
      <c r="BY46" s="652"/>
      <c r="BZ46" s="652"/>
      <c r="CA46" s="653"/>
      <c r="CB46" s="654"/>
      <c r="CC46" s="652"/>
      <c r="CD46" s="652"/>
      <c r="CE46" s="653"/>
      <c r="CF46" s="654"/>
      <c r="CG46" s="652"/>
      <c r="CH46" s="652"/>
      <c r="CI46" s="653"/>
      <c r="CJ46" s="654"/>
      <c r="CK46" s="654"/>
      <c r="CL46" s="654"/>
      <c r="CM46" s="655"/>
      <c r="CN46" s="654"/>
      <c r="CO46" s="654"/>
      <c r="CP46" s="654"/>
      <c r="CQ46" s="655"/>
      <c r="CR46" s="654"/>
      <c r="CS46" s="654"/>
      <c r="CT46" s="652"/>
      <c r="CU46" s="431"/>
      <c r="CV46" s="652"/>
      <c r="CW46" s="652"/>
      <c r="CX46" s="652"/>
      <c r="CY46" s="653"/>
      <c r="CZ46" s="7"/>
      <c r="DA46" s="656"/>
      <c r="DB46" s="656"/>
      <c r="DC46" s="656"/>
      <c r="DD46" s="656"/>
      <c r="DE46" s="656"/>
      <c r="DF46" s="656"/>
      <c r="DG46" s="656"/>
      <c r="DH46" s="656"/>
      <c r="DI46" s="656"/>
      <c r="DJ46" s="656"/>
      <c r="DK46" s="656"/>
      <c r="DL46" s="656"/>
      <c r="DM46" s="656"/>
      <c r="DN46" s="656"/>
      <c r="DO46" s="656"/>
      <c r="DP46" s="656"/>
      <c r="DQ46" s="656"/>
      <c r="DR46" s="656"/>
      <c r="DS46" s="656"/>
      <c r="DT46" s="656"/>
      <c r="DU46" s="656"/>
      <c r="DV46" s="656"/>
      <c r="DW46" s="656"/>
      <c r="DX46" s="136"/>
      <c r="DY46" s="136"/>
      <c r="DZ46" s="136"/>
      <c r="EA46" s="136"/>
      <c r="EB46" s="136"/>
      <c r="EC46" s="136"/>
      <c r="ED46" s="136"/>
      <c r="EE46" s="136"/>
      <c r="EF46" s="657"/>
      <c r="EG46" s="657"/>
      <c r="EH46" s="657"/>
      <c r="EI46" s="657"/>
      <c r="EJ46" s="657"/>
      <c r="EK46" s="657"/>
      <c r="EL46" s="657"/>
      <c r="EM46" s="657"/>
    </row>
    <row r="47" spans="1:143" s="657" customFormat="1" ht="15">
      <c r="A47" s="133"/>
      <c r="B47" s="139" t="s">
        <v>214</v>
      </c>
      <c r="C47" s="139"/>
      <c r="D47" s="662"/>
      <c r="E47" s="349"/>
      <c r="F47" s="349"/>
      <c r="G47" s="663"/>
      <c r="H47" s="349"/>
      <c r="I47" s="349"/>
      <c r="J47" s="349"/>
      <c r="K47" s="663"/>
      <c r="L47" s="349"/>
      <c r="M47" s="349"/>
      <c r="N47" s="349"/>
      <c r="O47" s="663"/>
      <c r="P47" s="349"/>
      <c r="Q47" s="349"/>
      <c r="R47" s="349"/>
      <c r="S47" s="663"/>
      <c r="T47" s="349"/>
      <c r="U47" s="349"/>
      <c r="V47" s="349"/>
      <c r="W47" s="663"/>
      <c r="X47" s="349"/>
      <c r="Y47" s="349"/>
      <c r="Z47" s="349"/>
      <c r="AA47" s="431"/>
      <c r="AB47" s="356">
        <v>2411.6</v>
      </c>
      <c r="AC47" s="356">
        <v>2420.5</v>
      </c>
      <c r="AD47" s="356">
        <v>2070.1</v>
      </c>
      <c r="AE47" s="431">
        <f>9132.8-SUM(AB47:AD47)</f>
        <v>2230.5999999999985</v>
      </c>
      <c r="AF47" s="356">
        <v>2382.9</v>
      </c>
      <c r="AG47" s="356">
        <v>2451.9</v>
      </c>
      <c r="AH47" s="356">
        <v>2117.1</v>
      </c>
      <c r="AI47" s="431">
        <f>9286.4-SUM(AF47:AH47)</f>
        <v>2334.5</v>
      </c>
      <c r="AJ47" s="356">
        <v>2409.8000000000002</v>
      </c>
      <c r="AK47" s="356">
        <v>2579.5</v>
      </c>
      <c r="AL47" s="356">
        <v>2264.6</v>
      </c>
      <c r="AM47" s="431">
        <f>9853.5-SUM(AJ47:AL47)</f>
        <v>2599.6000000000004</v>
      </c>
      <c r="AN47" s="356">
        <v>2697.1</v>
      </c>
      <c r="AO47" s="356">
        <v>2824.4</v>
      </c>
      <c r="AP47" s="356">
        <v>2340.4</v>
      </c>
      <c r="AQ47" s="431">
        <f>10743.9-SUM(AN47:AP47)</f>
        <v>2882</v>
      </c>
      <c r="AR47" s="356">
        <v>3007.8</v>
      </c>
      <c r="AS47" s="356">
        <v>2888</v>
      </c>
      <c r="AT47" s="356">
        <v>2592.6999999999998</v>
      </c>
      <c r="AU47" s="431">
        <f>11314.6-SUM(AR47:AT47)</f>
        <v>2826.1000000000004</v>
      </c>
      <c r="AV47" s="356">
        <v>2748.7</v>
      </c>
      <c r="AW47" s="356">
        <v>2879.9</v>
      </c>
      <c r="AX47" s="356">
        <v>2564.3000000000002</v>
      </c>
      <c r="AY47" s="431">
        <v>2842.1</v>
      </c>
      <c r="AZ47" s="356">
        <v>2992.5</v>
      </c>
      <c r="BA47" s="356">
        <v>3096.1</v>
      </c>
      <c r="BB47" s="356">
        <v>2713</v>
      </c>
      <c r="BC47" s="431">
        <v>2903.2</v>
      </c>
      <c r="BD47" s="356">
        <v>2994.2</v>
      </c>
      <c r="BE47" s="356">
        <v>3264.5</v>
      </c>
      <c r="BF47" s="356">
        <v>2881.4</v>
      </c>
      <c r="BG47" s="431">
        <f>12206.1-SUM(BD47:BF47)</f>
        <v>3066</v>
      </c>
      <c r="BH47" s="356">
        <v>3036.1</v>
      </c>
      <c r="BI47" s="356">
        <v>3141.2</v>
      </c>
      <c r="BJ47" s="356">
        <v>2478.1</v>
      </c>
      <c r="BK47" s="431">
        <f>10726.9-SUM(BH47:BJ47)</f>
        <v>2071.5</v>
      </c>
      <c r="BL47" s="356">
        <v>1752.7</v>
      </c>
      <c r="BM47" s="356">
        <v>1847.3</v>
      </c>
      <c r="BN47" s="356">
        <v>2039.2</v>
      </c>
      <c r="BO47" s="431">
        <f>1251.1+6561.8-SUM(BL47:BN47)</f>
        <v>2173.6999999999998</v>
      </c>
      <c r="BP47" s="356">
        <v>2313.5</v>
      </c>
      <c r="BQ47" s="356">
        <v>2407</v>
      </c>
      <c r="BR47" s="356">
        <v>2200</v>
      </c>
      <c r="BS47" s="431">
        <v>2465.6</v>
      </c>
      <c r="BT47" s="356">
        <f>3511.7-786.7</f>
        <v>2725</v>
      </c>
      <c r="BU47" s="356">
        <v>2859.9</v>
      </c>
      <c r="BV47" s="356">
        <f>3460-BV57</f>
        <v>2687.8</v>
      </c>
      <c r="BW47" s="431">
        <f>3508.5-BW57</f>
        <v>2670.3</v>
      </c>
      <c r="BX47" s="356">
        <v>2813.8</v>
      </c>
      <c r="BY47" s="356">
        <v>2793.4</v>
      </c>
      <c r="BZ47" s="356">
        <v>2741.6</v>
      </c>
      <c r="CA47" s="431">
        <v>2760.8</v>
      </c>
      <c r="CB47" s="356">
        <v>2911.7</v>
      </c>
      <c r="CC47" s="356">
        <v>3069.2</v>
      </c>
      <c r="CD47" s="356">
        <v>2891.7</v>
      </c>
      <c r="CE47" s="431">
        <v>3145.5</v>
      </c>
      <c r="CF47" s="356">
        <v>3225.9</v>
      </c>
      <c r="CG47" s="356">
        <v>3443.6</v>
      </c>
      <c r="CH47" s="356">
        <v>3188.4</v>
      </c>
      <c r="CI47" s="431">
        <v>3452.7</v>
      </c>
      <c r="CJ47" s="356">
        <v>3485</v>
      </c>
      <c r="CK47" s="356">
        <f>3577.7</f>
        <v>3577.7</v>
      </c>
      <c r="CL47" s="356">
        <v>3357.1</v>
      </c>
      <c r="CM47" s="431">
        <v>3678.7</v>
      </c>
      <c r="CN47" s="356">
        <v>3602.2</v>
      </c>
      <c r="CO47" s="356">
        <v>3640.4</v>
      </c>
      <c r="CP47" s="356">
        <v>3513.3</v>
      </c>
      <c r="CQ47" s="431">
        <v>3601</v>
      </c>
      <c r="CR47" s="356">
        <v>3868</v>
      </c>
      <c r="CS47" s="356">
        <v>4025.1</v>
      </c>
      <c r="CT47" s="356">
        <v>3868.9</v>
      </c>
      <c r="CU47" s="431">
        <v>4111</v>
      </c>
      <c r="CV47" s="356">
        <f>CR47*(1+CV52)+75</f>
        <v>4217.6796477245052</v>
      </c>
      <c r="CW47" s="356">
        <f>CS47*(1+CW52)+25</f>
        <v>4363.9858913905482</v>
      </c>
      <c r="CX47" s="348">
        <f>CT47*(1+CX52)</f>
        <v>4143.4640150125651</v>
      </c>
      <c r="CY47" s="603">
        <f>CU47*(1+CY52)</f>
        <v>4332.7697716591638</v>
      </c>
      <c r="DA47" s="354"/>
      <c r="DB47" s="354"/>
      <c r="DC47" s="354"/>
      <c r="DD47" s="354"/>
      <c r="DE47" s="354"/>
      <c r="DF47" s="356">
        <v>8404</v>
      </c>
      <c r="DG47" s="354">
        <f>SUM(AB47:AE47)</f>
        <v>9132.7999999999993</v>
      </c>
      <c r="DH47" s="354">
        <f>SUM(AF47:AI47)</f>
        <v>9286.4</v>
      </c>
      <c r="DI47" s="354">
        <f>SUM(AJ47:AM47)</f>
        <v>9853.5</v>
      </c>
      <c r="DJ47" s="354">
        <f>SUM(AN47:AQ47)</f>
        <v>10743.9</v>
      </c>
      <c r="DK47" s="354">
        <f>SUM(AR47:AU47)</f>
        <v>11314.6</v>
      </c>
      <c r="DL47" s="354">
        <f>SUM(AV47:AY47)</f>
        <v>11035.000000000002</v>
      </c>
      <c r="DM47" s="354">
        <f>SUM(AZ47:BC47)</f>
        <v>11704.8</v>
      </c>
      <c r="DN47" s="354">
        <f>SUM(BD47:BG47)</f>
        <v>12206.1</v>
      </c>
      <c r="DO47" s="354">
        <f>SUM(BH47:BK47)</f>
        <v>10726.9</v>
      </c>
      <c r="DP47" s="354">
        <f>SUM(BL47:BO47)</f>
        <v>7812.9</v>
      </c>
      <c r="DQ47" s="354">
        <f>SUM(BP47:BS47)</f>
        <v>9386.1</v>
      </c>
      <c r="DR47" s="354">
        <f>SUM(BT47:BW47)</f>
        <v>10943</v>
      </c>
      <c r="DS47" s="354">
        <f>SUM(BX47:CA47)</f>
        <v>11109.600000000002</v>
      </c>
      <c r="DT47" s="354">
        <f>SUM(CB47:CE47)</f>
        <v>12018.099999999999</v>
      </c>
      <c r="DU47" s="354">
        <f>SUM(CF47:CI47)</f>
        <v>13310.599999999999</v>
      </c>
      <c r="DV47" s="354">
        <f>SUM(CJ47:CM47)</f>
        <v>14098.5</v>
      </c>
      <c r="DW47" s="354">
        <f>SUM(CN47:CQ47)</f>
        <v>14356.900000000001</v>
      </c>
      <c r="DX47" s="354">
        <f>SUM(CR47:CU47)</f>
        <v>15873</v>
      </c>
      <c r="DY47" s="354">
        <f>SUM(CV47:CY47)</f>
        <v>17057.899325786781</v>
      </c>
      <c r="DZ47" s="354">
        <f>DY47*(1+DZ52)</f>
        <v>18207.09726767477</v>
      </c>
      <c r="EA47" s="354">
        <f>DZ47*(1+EA52)</f>
        <v>19156.720600947214</v>
      </c>
      <c r="EB47" s="354">
        <f>EA47*(1+EB52)</f>
        <v>20036.420116859892</v>
      </c>
      <c r="EC47" s="354">
        <f>EB47*(1+EC52)</f>
        <v>20693.850471245514</v>
      </c>
      <c r="ED47" s="354">
        <f>EC47*(1+ED52)</f>
        <v>21071.621530465494</v>
      </c>
      <c r="EE47" s="139"/>
    </row>
    <row r="48" spans="1:143" s="670" customFormat="1" ht="15">
      <c r="A48" s="231"/>
      <c r="B48" s="665" t="s">
        <v>306</v>
      </c>
      <c r="C48" s="666"/>
      <c r="D48" s="667"/>
      <c r="E48" s="668"/>
      <c r="F48" s="668"/>
      <c r="G48" s="669"/>
      <c r="H48" s="668"/>
      <c r="I48" s="668"/>
      <c r="J48" s="668"/>
      <c r="K48" s="669"/>
      <c r="L48" s="668"/>
      <c r="M48" s="668"/>
      <c r="N48" s="668"/>
      <c r="O48" s="669"/>
      <c r="P48" s="668"/>
      <c r="Q48" s="668"/>
      <c r="R48" s="668"/>
      <c r="S48" s="669"/>
      <c r="T48" s="668"/>
      <c r="U48" s="668"/>
      <c r="V48" s="668"/>
      <c r="W48" s="669"/>
      <c r="X48" s="668"/>
      <c r="Y48" s="668"/>
      <c r="Z48" s="668"/>
      <c r="AA48" s="669"/>
      <c r="AB48" s="668"/>
      <c r="AC48" s="668">
        <f t="shared" ref="AC48:BH48" si="90">AC47-AB47</f>
        <v>8.9000000000000909</v>
      </c>
      <c r="AD48" s="668">
        <f t="shared" si="90"/>
        <v>-350.40000000000009</v>
      </c>
      <c r="AE48" s="669">
        <f t="shared" si="90"/>
        <v>160.49999999999864</v>
      </c>
      <c r="AF48" s="668">
        <f t="shared" si="90"/>
        <v>152.30000000000155</v>
      </c>
      <c r="AG48" s="668">
        <f t="shared" si="90"/>
        <v>69</v>
      </c>
      <c r="AH48" s="668">
        <f t="shared" si="90"/>
        <v>-334.80000000000018</v>
      </c>
      <c r="AI48" s="669">
        <f t="shared" si="90"/>
        <v>217.40000000000009</v>
      </c>
      <c r="AJ48" s="668">
        <f t="shared" si="90"/>
        <v>75.300000000000182</v>
      </c>
      <c r="AK48" s="668">
        <f t="shared" si="90"/>
        <v>169.69999999999982</v>
      </c>
      <c r="AL48" s="668">
        <f t="shared" si="90"/>
        <v>-314.90000000000009</v>
      </c>
      <c r="AM48" s="669">
        <f t="shared" si="90"/>
        <v>335.00000000000045</v>
      </c>
      <c r="AN48" s="668">
        <f t="shared" si="90"/>
        <v>97.499999999999545</v>
      </c>
      <c r="AO48" s="668">
        <f t="shared" si="90"/>
        <v>127.30000000000018</v>
      </c>
      <c r="AP48" s="668">
        <f t="shared" si="90"/>
        <v>-484</v>
      </c>
      <c r="AQ48" s="669">
        <f t="shared" si="90"/>
        <v>541.59999999999991</v>
      </c>
      <c r="AR48" s="668">
        <f t="shared" si="90"/>
        <v>125.80000000000018</v>
      </c>
      <c r="AS48" s="668">
        <f t="shared" si="90"/>
        <v>-119.80000000000018</v>
      </c>
      <c r="AT48" s="668">
        <f t="shared" si="90"/>
        <v>-295.30000000000018</v>
      </c>
      <c r="AU48" s="669">
        <f t="shared" si="90"/>
        <v>233.40000000000055</v>
      </c>
      <c r="AV48" s="668">
        <f t="shared" si="90"/>
        <v>-77.400000000000546</v>
      </c>
      <c r="AW48" s="668">
        <f t="shared" si="90"/>
        <v>131.20000000000027</v>
      </c>
      <c r="AX48" s="668">
        <f t="shared" si="90"/>
        <v>-315.59999999999991</v>
      </c>
      <c r="AY48" s="669">
        <f t="shared" si="90"/>
        <v>277.79999999999973</v>
      </c>
      <c r="AZ48" s="668">
        <f t="shared" si="90"/>
        <v>150.40000000000009</v>
      </c>
      <c r="BA48" s="668">
        <f t="shared" si="90"/>
        <v>103.59999999999991</v>
      </c>
      <c r="BB48" s="668">
        <f t="shared" si="90"/>
        <v>-383.09999999999991</v>
      </c>
      <c r="BC48" s="669">
        <f t="shared" si="90"/>
        <v>190.19999999999982</v>
      </c>
      <c r="BD48" s="668">
        <f t="shared" si="90"/>
        <v>91</v>
      </c>
      <c r="BE48" s="668">
        <f t="shared" si="90"/>
        <v>270.30000000000018</v>
      </c>
      <c r="BF48" s="668">
        <f t="shared" si="90"/>
        <v>-383.09999999999991</v>
      </c>
      <c r="BG48" s="669">
        <f t="shared" si="90"/>
        <v>184.59999999999991</v>
      </c>
      <c r="BH48" s="668">
        <f t="shared" si="90"/>
        <v>-29.900000000000091</v>
      </c>
      <c r="BI48" s="668">
        <f t="shared" ref="BI48:CN48" si="91">BI47-BH47</f>
        <v>105.09999999999991</v>
      </c>
      <c r="BJ48" s="668">
        <f t="shared" si="91"/>
        <v>-663.09999999999991</v>
      </c>
      <c r="BK48" s="669">
        <f t="shared" si="91"/>
        <v>-406.59999999999991</v>
      </c>
      <c r="BL48" s="668">
        <f t="shared" si="91"/>
        <v>-318.79999999999995</v>
      </c>
      <c r="BM48" s="668">
        <f t="shared" si="91"/>
        <v>94.599999999999909</v>
      </c>
      <c r="BN48" s="668">
        <f t="shared" si="91"/>
        <v>191.90000000000009</v>
      </c>
      <c r="BO48" s="669">
        <f t="shared" si="91"/>
        <v>134.49999999999977</v>
      </c>
      <c r="BP48" s="668">
        <f t="shared" si="91"/>
        <v>139.80000000000018</v>
      </c>
      <c r="BQ48" s="668">
        <f t="shared" si="91"/>
        <v>93.5</v>
      </c>
      <c r="BR48" s="668">
        <f t="shared" si="91"/>
        <v>-207</v>
      </c>
      <c r="BS48" s="669">
        <f t="shared" si="91"/>
        <v>265.59999999999991</v>
      </c>
      <c r="BT48" s="668">
        <f t="shared" si="91"/>
        <v>259.40000000000009</v>
      </c>
      <c r="BU48" s="668">
        <f t="shared" si="91"/>
        <v>134.90000000000009</v>
      </c>
      <c r="BV48" s="668">
        <f t="shared" si="91"/>
        <v>-172.09999999999991</v>
      </c>
      <c r="BW48" s="669">
        <f t="shared" si="91"/>
        <v>-17.5</v>
      </c>
      <c r="BX48" s="668">
        <f t="shared" si="91"/>
        <v>143.5</v>
      </c>
      <c r="BY48" s="668">
        <f t="shared" si="91"/>
        <v>-20.400000000000091</v>
      </c>
      <c r="BZ48" s="668">
        <f t="shared" si="91"/>
        <v>-51.800000000000182</v>
      </c>
      <c r="CA48" s="669">
        <f t="shared" si="91"/>
        <v>19.200000000000273</v>
      </c>
      <c r="CB48" s="668">
        <f t="shared" si="91"/>
        <v>150.89999999999964</v>
      </c>
      <c r="CC48" s="668">
        <f t="shared" si="91"/>
        <v>157.5</v>
      </c>
      <c r="CD48" s="668">
        <f t="shared" si="91"/>
        <v>-177.5</v>
      </c>
      <c r="CE48" s="669">
        <f t="shared" si="91"/>
        <v>253.80000000000018</v>
      </c>
      <c r="CF48" s="668">
        <f t="shared" si="91"/>
        <v>80.400000000000091</v>
      </c>
      <c r="CG48" s="668">
        <f t="shared" si="91"/>
        <v>217.69999999999982</v>
      </c>
      <c r="CH48" s="668">
        <f t="shared" si="91"/>
        <v>-255.19999999999982</v>
      </c>
      <c r="CI48" s="669">
        <f t="shared" si="91"/>
        <v>264.29999999999973</v>
      </c>
      <c r="CJ48" s="668">
        <f t="shared" si="91"/>
        <v>32.300000000000182</v>
      </c>
      <c r="CK48" s="668">
        <f t="shared" si="91"/>
        <v>92.699999999999818</v>
      </c>
      <c r="CL48" s="668">
        <f t="shared" si="91"/>
        <v>-220.59999999999991</v>
      </c>
      <c r="CM48" s="669">
        <f t="shared" si="91"/>
        <v>321.59999999999991</v>
      </c>
      <c r="CN48" s="668">
        <f t="shared" si="91"/>
        <v>-76.5</v>
      </c>
      <c r="CO48" s="668">
        <f t="shared" ref="CO48:CQ48" si="92">CO47-CN47</f>
        <v>38.200000000000273</v>
      </c>
      <c r="CP48" s="668">
        <f t="shared" si="92"/>
        <v>-127.09999999999991</v>
      </c>
      <c r="CQ48" s="669">
        <f t="shared" si="92"/>
        <v>87.699999999999818</v>
      </c>
      <c r="CR48" s="668">
        <f>CR47-CQ47</f>
        <v>267</v>
      </c>
      <c r="CS48" s="356">
        <f>(CS47-50)-CR47</f>
        <v>107.09999999999991</v>
      </c>
      <c r="CT48" s="356">
        <f>(CT47-75)-(CS47-50)</f>
        <v>-181.19999999999982</v>
      </c>
      <c r="CU48" s="669">
        <f t="shared" ref="CU48" si="93">CU47-CT47</f>
        <v>242.09999999999991</v>
      </c>
      <c r="CV48" s="668">
        <f>CV47-CU47</f>
        <v>106.67964772450523</v>
      </c>
      <c r="CW48" s="668">
        <f>CW47-CV47</f>
        <v>146.30624366604297</v>
      </c>
      <c r="CX48" s="668">
        <f>CX47-CW47</f>
        <v>-220.52187637798306</v>
      </c>
      <c r="CY48" s="669">
        <f>CY47-CX47</f>
        <v>189.30575664659864</v>
      </c>
      <c r="DA48" s="668"/>
      <c r="DB48" s="668"/>
      <c r="DC48" s="668"/>
      <c r="DD48" s="668"/>
      <c r="DE48" s="668"/>
      <c r="DF48" s="668"/>
      <c r="DG48" s="668"/>
      <c r="DH48" s="668"/>
      <c r="DI48" s="668"/>
      <c r="DJ48" s="668"/>
      <c r="DK48" s="668"/>
      <c r="DL48" s="668"/>
      <c r="DM48" s="668"/>
      <c r="DN48" s="668"/>
      <c r="DO48" s="668"/>
      <c r="DP48" s="668"/>
      <c r="DQ48" s="668"/>
      <c r="DR48" s="668"/>
      <c r="DS48" s="668"/>
      <c r="DT48" s="668"/>
      <c r="DU48" s="668"/>
      <c r="DV48" s="668"/>
      <c r="DW48" s="668"/>
      <c r="DX48" s="668"/>
      <c r="DY48" s="668"/>
      <c r="DZ48" s="668"/>
      <c r="EA48" s="668"/>
      <c r="EB48" s="668"/>
      <c r="EC48" s="668"/>
      <c r="ED48" s="668"/>
      <c r="EE48" s="666"/>
      <c r="EF48" s="657"/>
      <c r="EG48" s="657"/>
      <c r="EH48" s="657"/>
      <c r="EI48" s="657"/>
      <c r="EJ48" s="657"/>
      <c r="EK48" s="657"/>
      <c r="EL48" s="657"/>
      <c r="EM48" s="657"/>
    </row>
    <row r="49" spans="1:135" s="670" customFormat="1" ht="15">
      <c r="A49" s="231"/>
      <c r="B49" s="665" t="s">
        <v>308</v>
      </c>
      <c r="C49" s="666"/>
      <c r="D49" s="667"/>
      <c r="E49" s="668"/>
      <c r="F49" s="668"/>
      <c r="G49" s="669"/>
      <c r="H49" s="668"/>
      <c r="I49" s="668"/>
      <c r="J49" s="668"/>
      <c r="K49" s="669"/>
      <c r="L49" s="668"/>
      <c r="M49" s="668"/>
      <c r="N49" s="668"/>
      <c r="O49" s="669"/>
      <c r="P49" s="668"/>
      <c r="Q49" s="668"/>
      <c r="R49" s="668"/>
      <c r="S49" s="669"/>
      <c r="T49" s="668"/>
      <c r="U49" s="668"/>
      <c r="V49" s="668"/>
      <c r="W49" s="669"/>
      <c r="X49" s="668"/>
      <c r="Y49" s="668"/>
      <c r="Z49" s="668"/>
      <c r="AA49" s="669"/>
      <c r="AB49" s="668"/>
      <c r="AC49" s="668"/>
      <c r="AD49" s="668"/>
      <c r="AE49" s="669"/>
      <c r="AF49" s="668">
        <f t="shared" ref="AF49:BK49" si="94">AF47-AB47</f>
        <v>-28.699999999999818</v>
      </c>
      <c r="AG49" s="668">
        <f t="shared" si="94"/>
        <v>31.400000000000091</v>
      </c>
      <c r="AH49" s="668">
        <f t="shared" si="94"/>
        <v>47</v>
      </c>
      <c r="AI49" s="669">
        <f t="shared" si="94"/>
        <v>103.90000000000146</v>
      </c>
      <c r="AJ49" s="668">
        <f t="shared" si="94"/>
        <v>26.900000000000091</v>
      </c>
      <c r="AK49" s="668">
        <f t="shared" si="94"/>
        <v>127.59999999999991</v>
      </c>
      <c r="AL49" s="668">
        <f t="shared" si="94"/>
        <v>147.5</v>
      </c>
      <c r="AM49" s="669">
        <f t="shared" si="94"/>
        <v>265.10000000000036</v>
      </c>
      <c r="AN49" s="668">
        <f t="shared" si="94"/>
        <v>287.29999999999973</v>
      </c>
      <c r="AO49" s="668">
        <f t="shared" si="94"/>
        <v>244.90000000000009</v>
      </c>
      <c r="AP49" s="668">
        <f t="shared" si="94"/>
        <v>75.800000000000182</v>
      </c>
      <c r="AQ49" s="669">
        <f t="shared" si="94"/>
        <v>282.39999999999964</v>
      </c>
      <c r="AR49" s="668">
        <f t="shared" si="94"/>
        <v>310.70000000000027</v>
      </c>
      <c r="AS49" s="668">
        <f t="shared" si="94"/>
        <v>63.599999999999909</v>
      </c>
      <c r="AT49" s="668">
        <f t="shared" si="94"/>
        <v>252.29999999999973</v>
      </c>
      <c r="AU49" s="669">
        <f t="shared" si="94"/>
        <v>-55.899999999999636</v>
      </c>
      <c r="AV49" s="668">
        <f t="shared" si="94"/>
        <v>-259.10000000000036</v>
      </c>
      <c r="AW49" s="668">
        <f t="shared" si="94"/>
        <v>-8.0999999999999091</v>
      </c>
      <c r="AX49" s="668">
        <f t="shared" si="94"/>
        <v>-28.399999999999636</v>
      </c>
      <c r="AY49" s="669">
        <f t="shared" si="94"/>
        <v>15.999999999999545</v>
      </c>
      <c r="AZ49" s="668">
        <f t="shared" si="94"/>
        <v>243.80000000000018</v>
      </c>
      <c r="BA49" s="668">
        <f t="shared" si="94"/>
        <v>216.19999999999982</v>
      </c>
      <c r="BB49" s="668">
        <f t="shared" si="94"/>
        <v>148.69999999999982</v>
      </c>
      <c r="BC49" s="669">
        <f t="shared" si="94"/>
        <v>61.099999999999909</v>
      </c>
      <c r="BD49" s="668">
        <f t="shared" si="94"/>
        <v>1.6999999999998181</v>
      </c>
      <c r="BE49" s="668">
        <f t="shared" si="94"/>
        <v>168.40000000000009</v>
      </c>
      <c r="BF49" s="668">
        <f t="shared" si="94"/>
        <v>168.40000000000009</v>
      </c>
      <c r="BG49" s="669">
        <f t="shared" si="94"/>
        <v>162.80000000000018</v>
      </c>
      <c r="BH49" s="668">
        <f t="shared" si="94"/>
        <v>41.900000000000091</v>
      </c>
      <c r="BI49" s="668">
        <f t="shared" si="94"/>
        <v>-123.30000000000018</v>
      </c>
      <c r="BJ49" s="668">
        <f t="shared" si="94"/>
        <v>-403.30000000000018</v>
      </c>
      <c r="BK49" s="669">
        <f t="shared" si="94"/>
        <v>-994.5</v>
      </c>
      <c r="BL49" s="668">
        <f t="shared" ref="BL49:CQ49" si="95">BL47-BH47</f>
        <v>-1283.3999999999999</v>
      </c>
      <c r="BM49" s="668">
        <f t="shared" si="95"/>
        <v>-1293.8999999999999</v>
      </c>
      <c r="BN49" s="668">
        <f t="shared" si="95"/>
        <v>-438.89999999999986</v>
      </c>
      <c r="BO49" s="669">
        <f t="shared" si="95"/>
        <v>102.19999999999982</v>
      </c>
      <c r="BP49" s="668">
        <f t="shared" si="95"/>
        <v>560.79999999999995</v>
      </c>
      <c r="BQ49" s="668">
        <f t="shared" si="95"/>
        <v>559.70000000000005</v>
      </c>
      <c r="BR49" s="668">
        <f t="shared" si="95"/>
        <v>160.79999999999995</v>
      </c>
      <c r="BS49" s="669">
        <f t="shared" si="95"/>
        <v>291.90000000000009</v>
      </c>
      <c r="BT49" s="668">
        <f t="shared" si="95"/>
        <v>411.5</v>
      </c>
      <c r="BU49" s="668">
        <f t="shared" si="95"/>
        <v>452.90000000000009</v>
      </c>
      <c r="BV49" s="668">
        <f t="shared" si="95"/>
        <v>487.80000000000018</v>
      </c>
      <c r="BW49" s="669">
        <f t="shared" si="95"/>
        <v>204.70000000000027</v>
      </c>
      <c r="BX49" s="668">
        <f t="shared" si="95"/>
        <v>88.800000000000182</v>
      </c>
      <c r="BY49" s="668">
        <f t="shared" si="95"/>
        <v>-66.5</v>
      </c>
      <c r="BZ49" s="668">
        <f t="shared" si="95"/>
        <v>53.799999999999727</v>
      </c>
      <c r="CA49" s="669">
        <f t="shared" si="95"/>
        <v>90.5</v>
      </c>
      <c r="CB49" s="668">
        <f t="shared" si="95"/>
        <v>97.899999999999636</v>
      </c>
      <c r="CC49" s="668">
        <f t="shared" si="95"/>
        <v>275.79999999999973</v>
      </c>
      <c r="CD49" s="668">
        <f t="shared" si="95"/>
        <v>150.09999999999991</v>
      </c>
      <c r="CE49" s="669">
        <f t="shared" si="95"/>
        <v>384.69999999999982</v>
      </c>
      <c r="CF49" s="668">
        <f t="shared" si="95"/>
        <v>314.20000000000027</v>
      </c>
      <c r="CG49" s="668">
        <f t="shared" si="95"/>
        <v>374.40000000000009</v>
      </c>
      <c r="CH49" s="668">
        <f t="shared" si="95"/>
        <v>296.70000000000027</v>
      </c>
      <c r="CI49" s="669">
        <f t="shared" si="95"/>
        <v>307.19999999999982</v>
      </c>
      <c r="CJ49" s="668">
        <f t="shared" si="95"/>
        <v>259.09999999999991</v>
      </c>
      <c r="CK49" s="668">
        <f t="shared" si="95"/>
        <v>134.09999999999991</v>
      </c>
      <c r="CL49" s="668">
        <f t="shared" si="95"/>
        <v>168.69999999999982</v>
      </c>
      <c r="CM49" s="669">
        <f t="shared" si="95"/>
        <v>226</v>
      </c>
      <c r="CN49" s="668">
        <f t="shared" si="95"/>
        <v>117.19999999999982</v>
      </c>
      <c r="CO49" s="668">
        <f t="shared" si="95"/>
        <v>62.700000000000273</v>
      </c>
      <c r="CP49" s="668">
        <f t="shared" si="95"/>
        <v>156.20000000000027</v>
      </c>
      <c r="CQ49" s="669">
        <f t="shared" si="95"/>
        <v>-77.699999999999818</v>
      </c>
      <c r="CR49" s="668">
        <f t="shared" ref="CR49" si="96">CR47-CN47</f>
        <v>265.80000000000018</v>
      </c>
      <c r="CS49" s="356">
        <f>(CS47-50)-CO47</f>
        <v>334.69999999999982</v>
      </c>
      <c r="CT49" s="356">
        <f>(CT47-75)-CP47</f>
        <v>280.59999999999991</v>
      </c>
      <c r="CU49" s="431">
        <f>(CU47-75)-CQ47</f>
        <v>435</v>
      </c>
      <c r="CV49" s="356">
        <f>(CV47-75)-CR47</f>
        <v>274.67964772450523</v>
      </c>
      <c r="CW49" s="356">
        <f>(CW47-75)-(CS47-50)</f>
        <v>313.8858913905483</v>
      </c>
      <c r="CX49" s="668">
        <f t="shared" ref="CX49:CY49" si="97">CX47-CT47</f>
        <v>274.56401501256505</v>
      </c>
      <c r="CY49" s="669">
        <f t="shared" si="97"/>
        <v>221.76977165916378</v>
      </c>
      <c r="DA49" s="668"/>
      <c r="DB49" s="668"/>
      <c r="DC49" s="668"/>
      <c r="DD49" s="668"/>
      <c r="DE49" s="668"/>
      <c r="DF49" s="668"/>
      <c r="DG49" s="668">
        <f t="shared" ref="DG49:DW49" si="98">DG47-DF47</f>
        <v>728.79999999999927</v>
      </c>
      <c r="DH49" s="668">
        <f t="shared" si="98"/>
        <v>153.60000000000036</v>
      </c>
      <c r="DI49" s="668">
        <f t="shared" si="98"/>
        <v>567.10000000000036</v>
      </c>
      <c r="DJ49" s="668">
        <f t="shared" si="98"/>
        <v>890.39999999999964</v>
      </c>
      <c r="DK49" s="668">
        <f t="shared" si="98"/>
        <v>570.70000000000073</v>
      </c>
      <c r="DL49" s="668">
        <f t="shared" si="98"/>
        <v>-279.59999999999854</v>
      </c>
      <c r="DM49" s="668">
        <f t="shared" si="98"/>
        <v>669.79999999999745</v>
      </c>
      <c r="DN49" s="668">
        <f t="shared" si="98"/>
        <v>501.30000000000109</v>
      </c>
      <c r="DO49" s="668">
        <f t="shared" si="98"/>
        <v>-1479.2000000000007</v>
      </c>
      <c r="DP49" s="668">
        <f t="shared" si="98"/>
        <v>-2914</v>
      </c>
      <c r="DQ49" s="668">
        <f t="shared" si="98"/>
        <v>1573.2000000000007</v>
      </c>
      <c r="DR49" s="668">
        <f t="shared" si="98"/>
        <v>1556.8999999999996</v>
      </c>
      <c r="DS49" s="668">
        <f t="shared" si="98"/>
        <v>166.60000000000218</v>
      </c>
      <c r="DT49" s="668">
        <f t="shared" si="98"/>
        <v>908.49999999999636</v>
      </c>
      <c r="DU49" s="668">
        <f t="shared" si="98"/>
        <v>1292.5</v>
      </c>
      <c r="DV49" s="668">
        <f t="shared" si="98"/>
        <v>787.90000000000146</v>
      </c>
      <c r="DW49" s="668">
        <f t="shared" si="98"/>
        <v>258.40000000000146</v>
      </c>
      <c r="DX49" s="356">
        <f>(DX47-200)-DW47</f>
        <v>1316.0999999999985</v>
      </c>
      <c r="DY49" s="356">
        <f>(DY47-300)-(DX47-200)</f>
        <v>1084.8993257867805</v>
      </c>
      <c r="DZ49" s="668">
        <f>DZ47-DY47</f>
        <v>1149.1979418879891</v>
      </c>
      <c r="EA49" s="668">
        <f>EA47-DZ47</f>
        <v>949.62333327244414</v>
      </c>
      <c r="EB49" s="668">
        <f>EB47-EA47</f>
        <v>879.69951591267818</v>
      </c>
      <c r="EC49" s="668">
        <f>EC47-EB47</f>
        <v>657.43035438562219</v>
      </c>
      <c r="ED49" s="668">
        <f>ED47-EC47</f>
        <v>377.77105921998009</v>
      </c>
      <c r="EE49" s="666"/>
    </row>
    <row r="50" spans="1:135" s="670" customFormat="1" ht="15">
      <c r="A50" s="231"/>
      <c r="B50" s="665" t="s">
        <v>309</v>
      </c>
      <c r="C50" s="666"/>
      <c r="D50" s="667"/>
      <c r="E50" s="668"/>
      <c r="F50" s="668"/>
      <c r="G50" s="669"/>
      <c r="H50" s="668"/>
      <c r="I50" s="668"/>
      <c r="J50" s="668"/>
      <c r="K50" s="669"/>
      <c r="L50" s="668"/>
      <c r="M50" s="668"/>
      <c r="N50" s="668"/>
      <c r="O50" s="669"/>
      <c r="P50" s="668"/>
      <c r="Q50" s="668"/>
      <c r="R50" s="668"/>
      <c r="S50" s="669"/>
      <c r="T50" s="668"/>
      <c r="U50" s="668"/>
      <c r="V50" s="668"/>
      <c r="W50" s="669"/>
      <c r="X50" s="668"/>
      <c r="Y50" s="668"/>
      <c r="Z50" s="668"/>
      <c r="AA50" s="669"/>
      <c r="AB50" s="668"/>
      <c r="AC50" s="668"/>
      <c r="AD50" s="668"/>
      <c r="AE50" s="669"/>
      <c r="AF50" s="668"/>
      <c r="AG50" s="668"/>
      <c r="AH50" s="668"/>
      <c r="AI50" s="669"/>
      <c r="AJ50" s="668">
        <f t="shared" ref="AJ50:BO50" si="99">AF49+AJ49</f>
        <v>-1.7999999999997272</v>
      </c>
      <c r="AK50" s="668">
        <f t="shared" si="99"/>
        <v>159</v>
      </c>
      <c r="AL50" s="668">
        <f t="shared" si="99"/>
        <v>194.5</v>
      </c>
      <c r="AM50" s="669">
        <f t="shared" si="99"/>
        <v>369.00000000000182</v>
      </c>
      <c r="AN50" s="668">
        <f t="shared" si="99"/>
        <v>314.19999999999982</v>
      </c>
      <c r="AO50" s="668">
        <f t="shared" si="99"/>
        <v>372.5</v>
      </c>
      <c r="AP50" s="668">
        <f t="shared" si="99"/>
        <v>223.30000000000018</v>
      </c>
      <c r="AQ50" s="669">
        <f t="shared" si="99"/>
        <v>547.5</v>
      </c>
      <c r="AR50" s="668">
        <f t="shared" si="99"/>
        <v>598</v>
      </c>
      <c r="AS50" s="668">
        <f t="shared" si="99"/>
        <v>308.5</v>
      </c>
      <c r="AT50" s="668">
        <f t="shared" si="99"/>
        <v>328.09999999999991</v>
      </c>
      <c r="AU50" s="669">
        <f t="shared" si="99"/>
        <v>226.5</v>
      </c>
      <c r="AV50" s="668">
        <f t="shared" si="99"/>
        <v>51.599999999999909</v>
      </c>
      <c r="AW50" s="668">
        <f t="shared" si="99"/>
        <v>55.5</v>
      </c>
      <c r="AX50" s="668">
        <f t="shared" si="99"/>
        <v>223.90000000000009</v>
      </c>
      <c r="AY50" s="669">
        <f t="shared" si="99"/>
        <v>-39.900000000000091</v>
      </c>
      <c r="AZ50" s="668">
        <f t="shared" si="99"/>
        <v>-15.300000000000182</v>
      </c>
      <c r="BA50" s="668">
        <f t="shared" si="99"/>
        <v>208.09999999999991</v>
      </c>
      <c r="BB50" s="668">
        <f t="shared" si="99"/>
        <v>120.30000000000018</v>
      </c>
      <c r="BC50" s="669">
        <f t="shared" si="99"/>
        <v>77.099999999999454</v>
      </c>
      <c r="BD50" s="668">
        <f t="shared" si="99"/>
        <v>245.5</v>
      </c>
      <c r="BE50" s="668">
        <f t="shared" si="99"/>
        <v>384.59999999999991</v>
      </c>
      <c r="BF50" s="668">
        <f t="shared" si="99"/>
        <v>317.09999999999991</v>
      </c>
      <c r="BG50" s="669">
        <f t="shared" si="99"/>
        <v>223.90000000000009</v>
      </c>
      <c r="BH50" s="668">
        <f t="shared" si="99"/>
        <v>43.599999999999909</v>
      </c>
      <c r="BI50" s="668">
        <f t="shared" si="99"/>
        <v>45.099999999999909</v>
      </c>
      <c r="BJ50" s="668">
        <f t="shared" si="99"/>
        <v>-234.90000000000009</v>
      </c>
      <c r="BK50" s="669">
        <f t="shared" si="99"/>
        <v>-831.69999999999982</v>
      </c>
      <c r="BL50" s="668">
        <f t="shared" si="99"/>
        <v>-1241.4999999999998</v>
      </c>
      <c r="BM50" s="668">
        <f t="shared" si="99"/>
        <v>-1417.2</v>
      </c>
      <c r="BN50" s="668">
        <f t="shared" si="99"/>
        <v>-842.2</v>
      </c>
      <c r="BO50" s="669">
        <f t="shared" si="99"/>
        <v>-892.30000000000018</v>
      </c>
      <c r="BP50" s="668">
        <f t="shared" ref="BP50:CY50" si="100">BL49+BP49</f>
        <v>-722.59999999999991</v>
      </c>
      <c r="BQ50" s="668">
        <f t="shared" si="100"/>
        <v>-734.19999999999982</v>
      </c>
      <c r="BR50" s="668">
        <f t="shared" si="100"/>
        <v>-278.09999999999991</v>
      </c>
      <c r="BS50" s="669">
        <f t="shared" si="100"/>
        <v>394.09999999999991</v>
      </c>
      <c r="BT50" s="668">
        <f t="shared" si="100"/>
        <v>972.3</v>
      </c>
      <c r="BU50" s="668">
        <f t="shared" si="100"/>
        <v>1012.6000000000001</v>
      </c>
      <c r="BV50" s="668">
        <f t="shared" si="100"/>
        <v>648.60000000000014</v>
      </c>
      <c r="BW50" s="669">
        <f t="shared" si="100"/>
        <v>496.60000000000036</v>
      </c>
      <c r="BX50" s="668">
        <f t="shared" si="100"/>
        <v>500.30000000000018</v>
      </c>
      <c r="BY50" s="668">
        <f t="shared" si="100"/>
        <v>386.40000000000009</v>
      </c>
      <c r="BZ50" s="668">
        <f t="shared" si="100"/>
        <v>541.59999999999991</v>
      </c>
      <c r="CA50" s="669">
        <f t="shared" si="100"/>
        <v>295.20000000000027</v>
      </c>
      <c r="CB50" s="668">
        <f t="shared" si="100"/>
        <v>186.69999999999982</v>
      </c>
      <c r="CC50" s="668">
        <f t="shared" si="100"/>
        <v>209.29999999999973</v>
      </c>
      <c r="CD50" s="668">
        <f t="shared" si="100"/>
        <v>203.89999999999964</v>
      </c>
      <c r="CE50" s="669">
        <f t="shared" si="100"/>
        <v>475.19999999999982</v>
      </c>
      <c r="CF50" s="668">
        <f t="shared" si="100"/>
        <v>412.09999999999991</v>
      </c>
      <c r="CG50" s="668">
        <f t="shared" si="100"/>
        <v>650.19999999999982</v>
      </c>
      <c r="CH50" s="668">
        <f t="shared" si="100"/>
        <v>446.80000000000018</v>
      </c>
      <c r="CI50" s="669">
        <f t="shared" si="100"/>
        <v>691.89999999999964</v>
      </c>
      <c r="CJ50" s="668">
        <f t="shared" si="100"/>
        <v>573.30000000000018</v>
      </c>
      <c r="CK50" s="668">
        <f t="shared" si="100"/>
        <v>508.5</v>
      </c>
      <c r="CL50" s="668">
        <f t="shared" si="100"/>
        <v>465.40000000000009</v>
      </c>
      <c r="CM50" s="669">
        <f t="shared" si="100"/>
        <v>533.19999999999982</v>
      </c>
      <c r="CN50" s="668">
        <f t="shared" si="100"/>
        <v>376.29999999999973</v>
      </c>
      <c r="CO50" s="668">
        <f t="shared" si="100"/>
        <v>196.80000000000018</v>
      </c>
      <c r="CP50" s="668">
        <f t="shared" si="100"/>
        <v>324.90000000000009</v>
      </c>
      <c r="CQ50" s="669">
        <f t="shared" si="100"/>
        <v>148.30000000000018</v>
      </c>
      <c r="CR50" s="668">
        <f t="shared" si="100"/>
        <v>383</v>
      </c>
      <c r="CS50" s="668">
        <f t="shared" si="100"/>
        <v>397.40000000000009</v>
      </c>
      <c r="CT50" s="668">
        <f t="shared" si="100"/>
        <v>436.80000000000018</v>
      </c>
      <c r="CU50" s="669">
        <f t="shared" si="100"/>
        <v>357.30000000000018</v>
      </c>
      <c r="CV50" s="668">
        <f t="shared" si="100"/>
        <v>540.47964772450541</v>
      </c>
      <c r="CW50" s="668">
        <f t="shared" si="100"/>
        <v>648.58589139054811</v>
      </c>
      <c r="CX50" s="668">
        <f t="shared" si="100"/>
        <v>555.16401501256496</v>
      </c>
      <c r="CY50" s="669">
        <f t="shared" si="100"/>
        <v>656.76977165916378</v>
      </c>
      <c r="DA50" s="668"/>
      <c r="DB50" s="668"/>
      <c r="DC50" s="668"/>
      <c r="DD50" s="668"/>
      <c r="DE50" s="668"/>
      <c r="DF50" s="668"/>
      <c r="DG50" s="668"/>
      <c r="DH50" s="668">
        <f t="shared" ref="DH50:ED50" si="101">DG49+DH49</f>
        <v>882.39999999999964</v>
      </c>
      <c r="DI50" s="668">
        <f t="shared" si="101"/>
        <v>720.70000000000073</v>
      </c>
      <c r="DJ50" s="668">
        <f t="shared" si="101"/>
        <v>1457.5</v>
      </c>
      <c r="DK50" s="668">
        <f t="shared" si="101"/>
        <v>1461.1000000000004</v>
      </c>
      <c r="DL50" s="668">
        <f t="shared" si="101"/>
        <v>291.10000000000218</v>
      </c>
      <c r="DM50" s="668">
        <f t="shared" si="101"/>
        <v>390.19999999999891</v>
      </c>
      <c r="DN50" s="668">
        <f t="shared" si="101"/>
        <v>1171.0999999999985</v>
      </c>
      <c r="DO50" s="668">
        <f t="shared" si="101"/>
        <v>-977.89999999999964</v>
      </c>
      <c r="DP50" s="668">
        <f t="shared" si="101"/>
        <v>-4393.2000000000007</v>
      </c>
      <c r="DQ50" s="668">
        <f t="shared" si="101"/>
        <v>-1340.7999999999993</v>
      </c>
      <c r="DR50" s="668">
        <f t="shared" si="101"/>
        <v>3130.1000000000004</v>
      </c>
      <c r="DS50" s="668">
        <f t="shared" si="101"/>
        <v>1723.5000000000018</v>
      </c>
      <c r="DT50" s="668">
        <f t="shared" si="101"/>
        <v>1075.0999999999985</v>
      </c>
      <c r="DU50" s="668">
        <f t="shared" si="101"/>
        <v>2200.9999999999964</v>
      </c>
      <c r="DV50" s="668">
        <f t="shared" si="101"/>
        <v>2080.4000000000015</v>
      </c>
      <c r="DW50" s="668">
        <f t="shared" si="101"/>
        <v>1046.3000000000029</v>
      </c>
      <c r="DX50" s="668">
        <f t="shared" si="101"/>
        <v>1574.5</v>
      </c>
      <c r="DY50" s="668">
        <f>DX49+DY49</f>
        <v>2400.9993257867791</v>
      </c>
      <c r="DZ50" s="668">
        <f t="shared" si="101"/>
        <v>2234.0972676747697</v>
      </c>
      <c r="EA50" s="668">
        <f t="shared" si="101"/>
        <v>2098.8212751604333</v>
      </c>
      <c r="EB50" s="668">
        <f t="shared" si="101"/>
        <v>1829.3228491851223</v>
      </c>
      <c r="EC50" s="668">
        <f t="shared" si="101"/>
        <v>1537.1298702983004</v>
      </c>
      <c r="ED50" s="668">
        <f t="shared" si="101"/>
        <v>1035.2014136056023</v>
      </c>
      <c r="EE50" s="666"/>
    </row>
    <row r="51" spans="1:135" s="599" customFormat="1" ht="15">
      <c r="A51" s="258"/>
      <c r="B51" s="304" t="s">
        <v>310</v>
      </c>
      <c r="C51" s="435"/>
      <c r="D51" s="598"/>
      <c r="E51" s="432"/>
      <c r="F51" s="432"/>
      <c r="G51" s="433"/>
      <c r="H51" s="432"/>
      <c r="I51" s="432"/>
      <c r="J51" s="432"/>
      <c r="K51" s="433"/>
      <c r="L51" s="432"/>
      <c r="M51" s="432"/>
      <c r="N51" s="432"/>
      <c r="O51" s="433"/>
      <c r="P51" s="432"/>
      <c r="Q51" s="432"/>
      <c r="R51" s="432"/>
      <c r="S51" s="433"/>
      <c r="T51" s="432"/>
      <c r="U51" s="432"/>
      <c r="V51" s="432"/>
      <c r="W51" s="433"/>
      <c r="X51" s="432"/>
      <c r="Y51" s="432"/>
      <c r="Z51" s="432"/>
      <c r="AA51" s="433"/>
      <c r="AB51" s="432"/>
      <c r="AC51" s="432">
        <f t="shared" ref="AC51:BH51" si="102">AC47/AB47-1</f>
        <v>3.6904959363079914E-3</v>
      </c>
      <c r="AD51" s="432">
        <f t="shared" si="102"/>
        <v>-0.14476347862011985</v>
      </c>
      <c r="AE51" s="433">
        <f t="shared" si="102"/>
        <v>7.7532486353315555E-2</v>
      </c>
      <c r="AF51" s="432">
        <f t="shared" si="102"/>
        <v>6.8277593472608977E-2</v>
      </c>
      <c r="AG51" s="432">
        <f t="shared" si="102"/>
        <v>2.8956313735364558E-2</v>
      </c>
      <c r="AH51" s="432">
        <f t="shared" si="102"/>
        <v>-0.13654716750275309</v>
      </c>
      <c r="AI51" s="433">
        <f t="shared" si="102"/>
        <v>0.10268763875112197</v>
      </c>
      <c r="AJ51" s="432">
        <f t="shared" si="102"/>
        <v>3.2255300920968066E-2</v>
      </c>
      <c r="AK51" s="432">
        <f t="shared" si="102"/>
        <v>7.0420781807618793E-2</v>
      </c>
      <c r="AL51" s="432">
        <f t="shared" si="102"/>
        <v>-0.12207792207792212</v>
      </c>
      <c r="AM51" s="433">
        <f t="shared" si="102"/>
        <v>0.14792899408284055</v>
      </c>
      <c r="AN51" s="432">
        <f t="shared" si="102"/>
        <v>3.7505770118479553E-2</v>
      </c>
      <c r="AO51" s="432">
        <f t="shared" si="102"/>
        <v>4.7198843201957663E-2</v>
      </c>
      <c r="AP51" s="432">
        <f t="shared" si="102"/>
        <v>-0.17136382948590856</v>
      </c>
      <c r="AQ51" s="433">
        <f t="shared" si="102"/>
        <v>0.23141343360109379</v>
      </c>
      <c r="AR51" s="432">
        <f t="shared" si="102"/>
        <v>4.3650242886884127E-2</v>
      </c>
      <c r="AS51" s="432">
        <f t="shared" si="102"/>
        <v>-3.9829775915951937E-2</v>
      </c>
      <c r="AT51" s="432">
        <f t="shared" si="102"/>
        <v>-0.10225069252077568</v>
      </c>
      <c r="AU51" s="433">
        <f t="shared" si="102"/>
        <v>9.0021984803486887E-2</v>
      </c>
      <c r="AV51" s="432">
        <f t="shared" si="102"/>
        <v>-2.7387565903542188E-2</v>
      </c>
      <c r="AW51" s="432">
        <f t="shared" si="102"/>
        <v>4.7731654964164871E-2</v>
      </c>
      <c r="AX51" s="432">
        <f t="shared" si="102"/>
        <v>-0.10958713844230694</v>
      </c>
      <c r="AY51" s="433">
        <f t="shared" si="102"/>
        <v>0.1083336583083101</v>
      </c>
      <c r="AZ51" s="432">
        <f t="shared" si="102"/>
        <v>5.2918616515956529E-2</v>
      </c>
      <c r="BA51" s="432">
        <f t="shared" si="102"/>
        <v>3.4619883040935662E-2</v>
      </c>
      <c r="BB51" s="432">
        <f t="shared" si="102"/>
        <v>-0.12373631342656888</v>
      </c>
      <c r="BC51" s="433">
        <f t="shared" si="102"/>
        <v>7.010689273866566E-2</v>
      </c>
      <c r="BD51" s="432">
        <f t="shared" si="102"/>
        <v>3.1344723064204993E-2</v>
      </c>
      <c r="BE51" s="432">
        <f t="shared" si="102"/>
        <v>9.0274530759468341E-2</v>
      </c>
      <c r="BF51" s="432">
        <f t="shared" si="102"/>
        <v>-0.11735334660744368</v>
      </c>
      <c r="BG51" s="433">
        <f t="shared" si="102"/>
        <v>6.4066078989380104E-2</v>
      </c>
      <c r="BH51" s="432">
        <f t="shared" si="102"/>
        <v>-9.7521200260926033E-3</v>
      </c>
      <c r="BI51" s="432">
        <f t="shared" ref="BI51:CQ51" si="103">BI47/BH47-1</f>
        <v>3.4616778103488066E-2</v>
      </c>
      <c r="BJ51" s="432">
        <f t="shared" si="103"/>
        <v>-0.21109766968037691</v>
      </c>
      <c r="BK51" s="433">
        <f t="shared" si="103"/>
        <v>-0.164077317299544</v>
      </c>
      <c r="BL51" s="432">
        <f t="shared" si="103"/>
        <v>-0.15389814144339853</v>
      </c>
      <c r="BM51" s="432">
        <f t="shared" si="103"/>
        <v>5.3973868888001375E-2</v>
      </c>
      <c r="BN51" s="432">
        <f t="shared" si="103"/>
        <v>0.10388134033454244</v>
      </c>
      <c r="BO51" s="433">
        <f t="shared" si="103"/>
        <v>6.5957238132601015E-2</v>
      </c>
      <c r="BP51" s="432">
        <f t="shared" si="103"/>
        <v>6.4314302801674605E-2</v>
      </c>
      <c r="BQ51" s="432">
        <f t="shared" si="103"/>
        <v>4.0414955694834775E-2</v>
      </c>
      <c r="BR51" s="432">
        <f t="shared" si="103"/>
        <v>-8.5999169090153704E-2</v>
      </c>
      <c r="BS51" s="433">
        <f t="shared" si="103"/>
        <v>0.12072727272727279</v>
      </c>
      <c r="BT51" s="432">
        <f t="shared" si="103"/>
        <v>0.10520765736534732</v>
      </c>
      <c r="BU51" s="432">
        <f t="shared" si="103"/>
        <v>4.9504587155963398E-2</v>
      </c>
      <c r="BV51" s="432">
        <f t="shared" si="103"/>
        <v>-6.0176929263260903E-2</v>
      </c>
      <c r="BW51" s="433">
        <f t="shared" si="103"/>
        <v>-6.5109011087134405E-3</v>
      </c>
      <c r="BX51" s="432">
        <f t="shared" si="103"/>
        <v>5.3739280230685749E-2</v>
      </c>
      <c r="BY51" s="432">
        <f t="shared" si="103"/>
        <v>-7.2499822304357142E-3</v>
      </c>
      <c r="BZ51" s="432">
        <f t="shared" si="103"/>
        <v>-1.8543710173981598E-2</v>
      </c>
      <c r="CA51" s="433">
        <f t="shared" si="103"/>
        <v>7.0032098044938706E-3</v>
      </c>
      <c r="CB51" s="432">
        <f t="shared" si="103"/>
        <v>5.4658070124601332E-2</v>
      </c>
      <c r="CC51" s="432">
        <f t="shared" si="103"/>
        <v>5.4092111137823196E-2</v>
      </c>
      <c r="CD51" s="432">
        <f t="shared" si="103"/>
        <v>-5.7832659976541079E-2</v>
      </c>
      <c r="CE51" s="433">
        <f t="shared" si="103"/>
        <v>8.7768440709617312E-2</v>
      </c>
      <c r="CF51" s="432">
        <f t="shared" si="103"/>
        <v>2.5560324272770663E-2</v>
      </c>
      <c r="CG51" s="432">
        <f t="shared" si="103"/>
        <v>6.7485042933754791E-2</v>
      </c>
      <c r="CH51" s="432">
        <f t="shared" si="103"/>
        <v>-7.4108491113950459E-2</v>
      </c>
      <c r="CI51" s="433">
        <f t="shared" si="103"/>
        <v>8.2894241625893761E-2</v>
      </c>
      <c r="CJ51" s="432">
        <f t="shared" si="103"/>
        <v>9.3549975381586048E-3</v>
      </c>
      <c r="CK51" s="432">
        <f t="shared" si="103"/>
        <v>2.65997130559541E-2</v>
      </c>
      <c r="CL51" s="432">
        <f t="shared" si="103"/>
        <v>-6.16597255219834E-2</v>
      </c>
      <c r="CM51" s="433">
        <f t="shared" si="103"/>
        <v>9.5796967620863205E-2</v>
      </c>
      <c r="CN51" s="432">
        <f t="shared" si="103"/>
        <v>-2.0795389675700604E-2</v>
      </c>
      <c r="CO51" s="432">
        <f t="shared" si="103"/>
        <v>1.0604630503581181E-2</v>
      </c>
      <c r="CP51" s="432">
        <f t="shared" si="103"/>
        <v>-3.4913745742226054E-2</v>
      </c>
      <c r="CQ51" s="433">
        <f t="shared" si="103"/>
        <v>2.4962286169697867E-2</v>
      </c>
      <c r="CR51" s="432">
        <f>CR47/CQ47-1</f>
        <v>7.4146070535962227E-2</v>
      </c>
      <c r="CS51" s="445">
        <f>(CS47-50)/CR47-1</f>
        <v>2.7688728024819032E-2</v>
      </c>
      <c r="CT51" s="445">
        <f>(CT47-75)/(CS47-50)-1</f>
        <v>-4.558375889914712E-2</v>
      </c>
      <c r="CU51" s="433">
        <f t="shared" ref="CU51" si="104">CU47/CT47-1</f>
        <v>6.2575925973791025E-2</v>
      </c>
      <c r="CV51" s="432">
        <f>CV47/CU47-1</f>
        <v>2.594980484663223E-2</v>
      </c>
      <c r="CW51" s="432">
        <f>CW47/CV47-1</f>
        <v>3.4688799502583745E-2</v>
      </c>
      <c r="CX51" s="432">
        <f>CX47/CW47-1</f>
        <v>-5.0532215700568095E-2</v>
      </c>
      <c r="CY51" s="433">
        <f>CY47/CX47-1</f>
        <v>4.5687800343072293E-2</v>
      </c>
      <c r="DA51" s="432"/>
      <c r="DB51" s="432"/>
      <c r="DC51" s="432"/>
      <c r="DD51" s="432"/>
      <c r="DE51" s="432"/>
      <c r="DF51" s="432"/>
      <c r="DG51" s="432"/>
      <c r="DH51" s="432"/>
      <c r="DI51" s="432"/>
      <c r="DJ51" s="432"/>
      <c r="DK51" s="432"/>
      <c r="DL51" s="432"/>
      <c r="DM51" s="432"/>
      <c r="DN51" s="432"/>
      <c r="DO51" s="432"/>
      <c r="DP51" s="432"/>
      <c r="DQ51" s="432"/>
      <c r="DR51" s="432"/>
      <c r="DS51" s="432"/>
      <c r="DT51" s="432"/>
      <c r="DU51" s="432"/>
      <c r="DV51" s="432"/>
      <c r="DW51" s="432"/>
      <c r="DX51" s="432"/>
      <c r="DY51" s="432"/>
      <c r="DZ51" s="432"/>
      <c r="EA51" s="432"/>
      <c r="EB51" s="432"/>
      <c r="EC51" s="432"/>
      <c r="ED51" s="432"/>
      <c r="EE51" s="435"/>
    </row>
    <row r="52" spans="1:135" s="599" customFormat="1" ht="15">
      <c r="A52" s="258"/>
      <c r="B52" s="304" t="s">
        <v>240</v>
      </c>
      <c r="C52" s="435"/>
      <c r="D52" s="598"/>
      <c r="E52" s="432"/>
      <c r="F52" s="432"/>
      <c r="G52" s="433"/>
      <c r="H52" s="432"/>
      <c r="I52" s="432"/>
      <c r="J52" s="432"/>
      <c r="K52" s="433"/>
      <c r="L52" s="432"/>
      <c r="M52" s="432"/>
      <c r="N52" s="432"/>
      <c r="O52" s="433"/>
      <c r="P52" s="432"/>
      <c r="Q52" s="432"/>
      <c r="R52" s="432"/>
      <c r="S52" s="433"/>
      <c r="T52" s="432"/>
      <c r="U52" s="432"/>
      <c r="V52" s="432"/>
      <c r="W52" s="433"/>
      <c r="X52" s="432"/>
      <c r="Y52" s="432"/>
      <c r="Z52" s="432"/>
      <c r="AA52" s="433"/>
      <c r="AB52" s="432"/>
      <c r="AC52" s="432"/>
      <c r="AD52" s="432"/>
      <c r="AE52" s="433"/>
      <c r="AF52" s="432">
        <f t="shared" ref="AF52:BK52" si="105">IF(AB47=0,0,AF47/AB47-1)</f>
        <v>-1.1900812738430799E-2</v>
      </c>
      <c r="AG52" s="432">
        <f t="shared" si="105"/>
        <v>1.2972526337533541E-2</v>
      </c>
      <c r="AH52" s="432">
        <f t="shared" si="105"/>
        <v>2.2704217187575537E-2</v>
      </c>
      <c r="AI52" s="433">
        <f t="shared" si="105"/>
        <v>4.6579395678293611E-2</v>
      </c>
      <c r="AJ52" s="432">
        <f t="shared" si="105"/>
        <v>1.1288765789584154E-2</v>
      </c>
      <c r="AK52" s="432">
        <f t="shared" si="105"/>
        <v>5.2041274113952429E-2</v>
      </c>
      <c r="AL52" s="432">
        <f t="shared" si="105"/>
        <v>6.9670776061593775E-2</v>
      </c>
      <c r="AM52" s="433">
        <f t="shared" si="105"/>
        <v>0.11355750696080547</v>
      </c>
      <c r="AN52" s="432">
        <f t="shared" si="105"/>
        <v>0.11922151215868526</v>
      </c>
      <c r="AO52" s="432">
        <f t="shared" si="105"/>
        <v>9.4940880015506934E-2</v>
      </c>
      <c r="AP52" s="432">
        <f t="shared" si="105"/>
        <v>3.3471694780535355E-2</v>
      </c>
      <c r="AQ52" s="433">
        <f t="shared" si="105"/>
        <v>0.10863209724572997</v>
      </c>
      <c r="AR52" s="432">
        <f t="shared" si="105"/>
        <v>0.11519780504986854</v>
      </c>
      <c r="AS52" s="432">
        <f t="shared" si="105"/>
        <v>2.2518056932445907E-2</v>
      </c>
      <c r="AT52" s="432">
        <f t="shared" si="105"/>
        <v>0.10780208511365563</v>
      </c>
      <c r="AU52" s="433">
        <f t="shared" si="105"/>
        <v>-1.9396252602359332E-2</v>
      </c>
      <c r="AV52" s="432">
        <f t="shared" si="105"/>
        <v>-8.614269565795607E-2</v>
      </c>
      <c r="AW52" s="432">
        <f t="shared" si="105"/>
        <v>-2.8047091412741754E-3</v>
      </c>
      <c r="AX52" s="432">
        <f t="shared" si="105"/>
        <v>-1.0953831912677736E-2</v>
      </c>
      <c r="AY52" s="433">
        <f t="shared" si="105"/>
        <v>5.6615123314813776E-3</v>
      </c>
      <c r="AZ52" s="432">
        <f t="shared" si="105"/>
        <v>8.8696474697129712E-2</v>
      </c>
      <c r="BA52" s="432">
        <f t="shared" si="105"/>
        <v>7.5072051112885729E-2</v>
      </c>
      <c r="BB52" s="432">
        <f t="shared" si="105"/>
        <v>5.7988534882813969E-2</v>
      </c>
      <c r="BC52" s="433">
        <f t="shared" si="105"/>
        <v>2.1498187959607229E-2</v>
      </c>
      <c r="BD52" s="432">
        <f t="shared" si="105"/>
        <v>5.6808688387621764E-4</v>
      </c>
      <c r="BE52" s="432">
        <f t="shared" si="105"/>
        <v>5.4391008042375955E-2</v>
      </c>
      <c r="BF52" s="432">
        <f t="shared" si="105"/>
        <v>6.2071507556210825E-2</v>
      </c>
      <c r="BG52" s="433">
        <f t="shared" si="105"/>
        <v>5.6076054009368992E-2</v>
      </c>
      <c r="BH52" s="432">
        <f t="shared" si="105"/>
        <v>1.3993721194309083E-2</v>
      </c>
      <c r="BI52" s="432">
        <f t="shared" si="105"/>
        <v>-3.7769949456272101E-2</v>
      </c>
      <c r="BJ52" s="432">
        <f t="shared" si="105"/>
        <v>-0.13996668286249747</v>
      </c>
      <c r="BK52" s="433">
        <f t="shared" si="105"/>
        <v>-0.32436399217221135</v>
      </c>
      <c r="BL52" s="432">
        <f t="shared" ref="BL52:CQ52" si="106">IF(BH47=0,0,BL47/BH47-1)</f>
        <v>-0.42271334936266913</v>
      </c>
      <c r="BM52" s="432">
        <f t="shared" si="106"/>
        <v>-0.41191264484910228</v>
      </c>
      <c r="BN52" s="432">
        <f t="shared" si="106"/>
        <v>-0.17711149671118998</v>
      </c>
      <c r="BO52" s="433">
        <f t="shared" si="106"/>
        <v>4.9336229785179819E-2</v>
      </c>
      <c r="BP52" s="432">
        <f t="shared" si="106"/>
        <v>0.31996348490899762</v>
      </c>
      <c r="BQ52" s="432">
        <f t="shared" si="106"/>
        <v>0.30298273155416022</v>
      </c>
      <c r="BR52" s="432">
        <f t="shared" si="106"/>
        <v>7.8854452726559332E-2</v>
      </c>
      <c r="BS52" s="433">
        <f t="shared" si="106"/>
        <v>0.13428716014169395</v>
      </c>
      <c r="BT52" s="432">
        <f t="shared" si="106"/>
        <v>0.1778690296088179</v>
      </c>
      <c r="BU52" s="432">
        <f t="shared" si="106"/>
        <v>0.18815953469048607</v>
      </c>
      <c r="BV52" s="432">
        <f t="shared" si="106"/>
        <v>0.22172727272727277</v>
      </c>
      <c r="BW52" s="433">
        <f t="shared" si="106"/>
        <v>8.3022388059701635E-2</v>
      </c>
      <c r="BX52" s="432">
        <f t="shared" si="106"/>
        <v>3.2587155963302861E-2</v>
      </c>
      <c r="BY52" s="432">
        <f t="shared" si="106"/>
        <v>-2.325256127836639E-2</v>
      </c>
      <c r="BZ52" s="432">
        <f t="shared" si="106"/>
        <v>2.0016370265644623E-2</v>
      </c>
      <c r="CA52" s="433">
        <f t="shared" si="106"/>
        <v>3.3891323072313906E-2</v>
      </c>
      <c r="CB52" s="432">
        <f t="shared" si="106"/>
        <v>3.4792806880375116E-2</v>
      </c>
      <c r="CC52" s="432">
        <f t="shared" si="106"/>
        <v>9.8732727142550214E-2</v>
      </c>
      <c r="CD52" s="432">
        <f t="shared" si="106"/>
        <v>5.4749051648672387E-2</v>
      </c>
      <c r="CE52" s="433">
        <f t="shared" si="106"/>
        <v>0.1393436685018834</v>
      </c>
      <c r="CF52" s="432">
        <f t="shared" si="106"/>
        <v>0.10790946869526397</v>
      </c>
      <c r="CG52" s="432">
        <f t="shared" si="106"/>
        <v>0.12198618532516625</v>
      </c>
      <c r="CH52" s="432">
        <f t="shared" si="106"/>
        <v>0.10260400456478891</v>
      </c>
      <c r="CI52" s="433">
        <f t="shared" si="106"/>
        <v>9.7663328564616014E-2</v>
      </c>
      <c r="CJ52" s="432">
        <f t="shared" si="106"/>
        <v>8.0318670758547928E-2</v>
      </c>
      <c r="CK52" s="432">
        <f t="shared" si="106"/>
        <v>3.8941805087698844E-2</v>
      </c>
      <c r="CL52" s="432">
        <f t="shared" si="106"/>
        <v>5.2910550746455787E-2</v>
      </c>
      <c r="CM52" s="433">
        <f t="shared" si="106"/>
        <v>6.5456019926434461E-2</v>
      </c>
      <c r="CN52" s="432">
        <f t="shared" si="106"/>
        <v>3.3629842180774805E-2</v>
      </c>
      <c r="CO52" s="432">
        <f t="shared" si="106"/>
        <v>1.7525225703664438E-2</v>
      </c>
      <c r="CP52" s="432">
        <f t="shared" si="106"/>
        <v>4.652825355217316E-2</v>
      </c>
      <c r="CQ52" s="433">
        <f t="shared" si="106"/>
        <v>-2.1121591866691936E-2</v>
      </c>
      <c r="CR52" s="432">
        <f t="shared" ref="CR52" si="107">IF(CN47=0,0,CR47/CN47-1)</f>
        <v>7.378824051968258E-2</v>
      </c>
      <c r="CS52" s="445">
        <f>(CS47-50)/CO47-1</f>
        <v>9.1940446104823659E-2</v>
      </c>
      <c r="CT52" s="445">
        <f>(CT47-75)/CP47-1</f>
        <v>7.9867930435772561E-2</v>
      </c>
      <c r="CU52" s="446">
        <f>(CU47-75)/CQ47-1</f>
        <v>0.12079977783948892</v>
      </c>
      <c r="CV52" s="432">
        <f>CV53+CV29</f>
        <v>7.1013352565797591E-2</v>
      </c>
      <c r="CW52" s="432">
        <f>CW53+CW29</f>
        <v>7.7982134950820708E-2</v>
      </c>
      <c r="CX52" s="432">
        <f>CX53+CX29</f>
        <v>7.0966945388240943E-2</v>
      </c>
      <c r="CY52" s="433">
        <f>CY53+CY29</f>
        <v>5.3945456496999181E-2</v>
      </c>
      <c r="DA52" s="432"/>
      <c r="DB52" s="432"/>
      <c r="DC52" s="432"/>
      <c r="DD52" s="432"/>
      <c r="DE52" s="432"/>
      <c r="DF52" s="432"/>
      <c r="DG52" s="432">
        <f>DG47/DF47-1</f>
        <v>8.6720609233698065E-2</v>
      </c>
      <c r="DH52" s="432">
        <f>DH47/DG47-1</f>
        <v>1.6818500350385568E-2</v>
      </c>
      <c r="DI52" s="432">
        <f t="shared" ref="DI52:DW52" si="108">DI47/DH47-1</f>
        <v>6.1067798070296497E-2</v>
      </c>
      <c r="DJ52" s="432">
        <f t="shared" si="108"/>
        <v>9.036383011112803E-2</v>
      </c>
      <c r="DK52" s="432">
        <f t="shared" si="108"/>
        <v>5.3118513761297281E-2</v>
      </c>
      <c r="DL52" s="432">
        <f t="shared" si="108"/>
        <v>-2.4711434783377118E-2</v>
      </c>
      <c r="DM52" s="432">
        <f t="shared" si="108"/>
        <v>6.0697779791571982E-2</v>
      </c>
      <c r="DN52" s="432">
        <f t="shared" si="108"/>
        <v>4.2828583145376298E-2</v>
      </c>
      <c r="DO52" s="432">
        <f t="shared" si="108"/>
        <v>-0.12118530898485191</v>
      </c>
      <c r="DP52" s="432">
        <f t="shared" si="108"/>
        <v>-0.27165350660489052</v>
      </c>
      <c r="DQ52" s="432">
        <f t="shared" si="108"/>
        <v>0.20135929040433131</v>
      </c>
      <c r="DR52" s="432">
        <f t="shared" si="108"/>
        <v>0.16587293977264239</v>
      </c>
      <c r="DS52" s="432">
        <f t="shared" si="108"/>
        <v>1.522434432970865E-2</v>
      </c>
      <c r="DT52" s="432">
        <f t="shared" si="108"/>
        <v>8.1776121552530778E-2</v>
      </c>
      <c r="DU52" s="432">
        <f t="shared" si="108"/>
        <v>0.10754611793877578</v>
      </c>
      <c r="DV52" s="432">
        <f t="shared" si="108"/>
        <v>5.9193424789265814E-2</v>
      </c>
      <c r="DW52" s="432">
        <f t="shared" si="108"/>
        <v>1.8328190942298983E-2</v>
      </c>
      <c r="DX52" s="445">
        <f>(DX47-200)/DW47-1</f>
        <v>9.1670207356741251E-2</v>
      </c>
      <c r="DY52" s="445">
        <f>(DY47-300)/(DX47-200)-1</f>
        <v>6.922091021417609E-2</v>
      </c>
      <c r="DZ52" s="432">
        <f>DZ53+DZ29</f>
        <v>6.737042586191859E-2</v>
      </c>
      <c r="EA52" s="432">
        <f>EA53+EA29</f>
        <v>5.2156767183224928E-2</v>
      </c>
      <c r="EB52" s="432">
        <f>EB53+EB29</f>
        <v>4.5921195711816083E-2</v>
      </c>
      <c r="EC52" s="432">
        <f>EC53+EC29</f>
        <v>3.2811767299309916E-2</v>
      </c>
      <c r="ED52" s="432">
        <f>ED53+ED29</f>
        <v>1.8255232864705342E-2</v>
      </c>
      <c r="EE52" s="435"/>
    </row>
    <row r="53" spans="1:135" s="435" customFormat="1" ht="15">
      <c r="A53" s="258"/>
      <c r="B53" s="664" t="s">
        <v>339</v>
      </c>
      <c r="D53" s="598"/>
      <c r="E53" s="432"/>
      <c r="F53" s="432"/>
      <c r="G53" s="433"/>
      <c r="H53" s="432"/>
      <c r="I53" s="432"/>
      <c r="J53" s="432"/>
      <c r="K53" s="433"/>
      <c r="L53" s="432"/>
      <c r="M53" s="432"/>
      <c r="N53" s="432"/>
      <c r="O53" s="433"/>
      <c r="P53" s="432"/>
      <c r="Q53" s="432"/>
      <c r="R53" s="432"/>
      <c r="S53" s="433"/>
      <c r="T53" s="432"/>
      <c r="U53" s="432"/>
      <c r="V53" s="432"/>
      <c r="W53" s="433"/>
      <c r="X53" s="432"/>
      <c r="Y53" s="432"/>
      <c r="Z53" s="432"/>
      <c r="AA53" s="433"/>
      <c r="AB53" s="432"/>
      <c r="AC53" s="432"/>
      <c r="AD53" s="432"/>
      <c r="AE53" s="433"/>
      <c r="AF53" s="432">
        <f t="shared" ref="AF53:BK53" si="109">AF52-AF$29</f>
        <v>2.8656605623071263E-2</v>
      </c>
      <c r="AG53" s="432">
        <f t="shared" si="109"/>
        <v>3.8021869941772812E-2</v>
      </c>
      <c r="AH53" s="432">
        <f t="shared" si="109"/>
        <v>5.2689403953969038E-2</v>
      </c>
      <c r="AI53" s="433">
        <f t="shared" si="109"/>
        <v>8.2816442669864321E-2</v>
      </c>
      <c r="AJ53" s="432">
        <f t="shared" si="109"/>
        <v>1.3847401364001422E-2</v>
      </c>
      <c r="AK53" s="432">
        <f t="shared" si="109"/>
        <v>1.168122241011349E-2</v>
      </c>
      <c r="AL53" s="432">
        <f t="shared" si="109"/>
        <v>-5.8215704122619449E-3</v>
      </c>
      <c r="AM53" s="433">
        <f t="shared" si="109"/>
        <v>2.9934792153587297E-2</v>
      </c>
      <c r="AN53" s="432">
        <f t="shared" si="109"/>
        <v>6.1720663861808633E-2</v>
      </c>
      <c r="AO53" s="432">
        <f t="shared" si="109"/>
        <v>9.5524521335193513E-2</v>
      </c>
      <c r="AP53" s="432">
        <f t="shared" si="109"/>
        <v>2.7550910215217828E-2</v>
      </c>
      <c r="AQ53" s="433">
        <f t="shared" si="109"/>
        <v>6.2897632683578619E-2</v>
      </c>
      <c r="AR53" s="432">
        <f t="shared" si="109"/>
        <v>6.7358786635535406E-2</v>
      </c>
      <c r="AS53" s="432">
        <f t="shared" si="109"/>
        <v>-4.783750191814784E-2</v>
      </c>
      <c r="AT53" s="432">
        <f t="shared" si="109"/>
        <v>4.7073349370801765E-2</v>
      </c>
      <c r="AU53" s="433">
        <f t="shared" si="109"/>
        <v>-4.3851530985516418E-2</v>
      </c>
      <c r="AV53" s="432">
        <f t="shared" si="109"/>
        <v>-0.10280733868082703</v>
      </c>
      <c r="AW53" s="432">
        <f t="shared" si="109"/>
        <v>-4.7011746432388035E-2</v>
      </c>
      <c r="AX53" s="432">
        <f t="shared" si="109"/>
        <v>-5.8509102645510347E-2</v>
      </c>
      <c r="AY53" s="433">
        <f t="shared" si="109"/>
        <v>-5.5100021978166325E-2</v>
      </c>
      <c r="AZ53" s="432">
        <f t="shared" si="109"/>
        <v>7.2883713427440711E-3</v>
      </c>
      <c r="BA53" s="432">
        <f t="shared" si="109"/>
        <v>4.6738103375803419E-2</v>
      </c>
      <c r="BB53" s="432">
        <f t="shared" si="109"/>
        <v>3.9579719647943046E-2</v>
      </c>
      <c r="BC53" s="433">
        <f t="shared" si="109"/>
        <v>-1.4512618228613494E-2</v>
      </c>
      <c r="BD53" s="432">
        <f t="shared" si="109"/>
        <v>-2.2783848012890129E-2</v>
      </c>
      <c r="BE53" s="432">
        <f t="shared" si="109"/>
        <v>4.3161295775906439E-3</v>
      </c>
      <c r="BF53" s="432">
        <f t="shared" si="109"/>
        <v>-4.6934779387832748E-3</v>
      </c>
      <c r="BG53" s="433">
        <f t="shared" si="109"/>
        <v>-3.1488910658666658E-2</v>
      </c>
      <c r="BH53" s="432">
        <f t="shared" si="109"/>
        <v>-2.4379077916647507E-2</v>
      </c>
      <c r="BI53" s="432">
        <f t="shared" si="109"/>
        <v>-6.5837135610774422E-2</v>
      </c>
      <c r="BJ53" s="432">
        <f t="shared" si="109"/>
        <v>-0.12254332995494122</v>
      </c>
      <c r="BK53" s="433">
        <f t="shared" si="109"/>
        <v>-0.11076119308946963</v>
      </c>
      <c r="BL53" s="432">
        <f t="shared" ref="BL53:CQ53" si="110">BL52-BL$29</f>
        <v>-8.2461355797159297E-2</v>
      </c>
      <c r="BM53" s="432">
        <f t="shared" si="110"/>
        <v>-0.1791488083303211</v>
      </c>
      <c r="BN53" s="432">
        <f t="shared" si="110"/>
        <v>-0.13598034780000867</v>
      </c>
      <c r="BO53" s="433">
        <f t="shared" si="110"/>
        <v>-0.17120828696555179</v>
      </c>
      <c r="BP53" s="432">
        <f t="shared" si="110"/>
        <v>-0.19145508371032327</v>
      </c>
      <c r="BQ53" s="432">
        <f t="shared" si="110"/>
        <v>-9.9863868538665468E-3</v>
      </c>
      <c r="BR53" s="432">
        <f t="shared" si="110"/>
        <v>-7.2331696618251895E-2</v>
      </c>
      <c r="BS53" s="433">
        <f t="shared" si="110"/>
        <v>2.845257967800352E-2</v>
      </c>
      <c r="BT53" s="432">
        <f t="shared" si="110"/>
        <v>0.10391159595235999</v>
      </c>
      <c r="BU53" s="432">
        <f t="shared" si="110"/>
        <v>0.20172428287840838</v>
      </c>
      <c r="BV53" s="432">
        <f t="shared" si="110"/>
        <v>0.16970046093565427</v>
      </c>
      <c r="BW53" s="433">
        <f t="shared" si="110"/>
        <v>5.8386275338662807E-2</v>
      </c>
      <c r="BX53" s="432">
        <f t="shared" si="110"/>
        <v>-4.0088287168570824E-2</v>
      </c>
      <c r="BY53" s="432">
        <f t="shared" si="110"/>
        <v>-0.14443807732143676</v>
      </c>
      <c r="BZ53" s="432">
        <f t="shared" si="110"/>
        <v>-6.5141486138227123E-3</v>
      </c>
      <c r="CA53" s="433">
        <f t="shared" si="110"/>
        <v>1.2889953197615212E-2</v>
      </c>
      <c r="CB53" s="432">
        <f t="shared" si="110"/>
        <v>3.4020605082920596E-2</v>
      </c>
      <c r="CC53" s="432">
        <f t="shared" si="110"/>
        <v>6.0019856393638271E-2</v>
      </c>
      <c r="CD53" s="432">
        <f t="shared" si="110"/>
        <v>4.284589070539413E-3</v>
      </c>
      <c r="CE53" s="433">
        <f t="shared" si="110"/>
        <v>6.6009002966122665E-2</v>
      </c>
      <c r="CF53" s="432">
        <f t="shared" si="110"/>
        <v>5.5947907512525763E-2</v>
      </c>
      <c r="CG53" s="432">
        <f t="shared" si="110"/>
        <v>8.5471948874151105E-2</v>
      </c>
      <c r="CH53" s="432">
        <f t="shared" si="110"/>
        <v>8.151582004656599E-2</v>
      </c>
      <c r="CI53" s="433">
        <f t="shared" si="110"/>
        <v>8.0349265459127794E-2</v>
      </c>
      <c r="CJ53" s="432">
        <f t="shared" si="110"/>
        <v>5.9965052133773789E-2</v>
      </c>
      <c r="CK53" s="432">
        <f t="shared" si="110"/>
        <v>3.5488631452075259E-2</v>
      </c>
      <c r="CL53" s="432">
        <f t="shared" si="110"/>
        <v>6.0562034391803077E-2</v>
      </c>
      <c r="CM53" s="433">
        <f t="shared" si="110"/>
        <v>2.1194227019396772E-2</v>
      </c>
      <c r="CN53" s="432">
        <f t="shared" si="110"/>
        <v>1.6792115113250183E-2</v>
      </c>
      <c r="CO53" s="432">
        <f t="shared" si="110"/>
        <v>-1.6587709625731195E-2</v>
      </c>
      <c r="CP53" s="432">
        <f t="shared" si="110"/>
        <v>-2.2735493246973437E-2</v>
      </c>
      <c r="CQ53" s="433">
        <f t="shared" si="110"/>
        <v>-9.6830393364137124E-2</v>
      </c>
      <c r="CR53" s="432">
        <f t="shared" ref="CR53" si="111">CR52-CR$29</f>
        <v>1.6995823966830192E-2</v>
      </c>
      <c r="CS53" s="432">
        <f>CS52-CS$29</f>
        <v>9.061546353434613E-2</v>
      </c>
      <c r="CT53" s="432">
        <f>CT52-CT$29</f>
        <v>5.3940920844606666E-2</v>
      </c>
      <c r="CU53" s="433">
        <f>CU52-CU$29</f>
        <v>0.11026723509182546</v>
      </c>
      <c r="CV53" s="445">
        <v>0.08</v>
      </c>
      <c r="CW53" s="445">
        <v>0.04</v>
      </c>
      <c r="CX53" s="445">
        <v>5.5E-2</v>
      </c>
      <c r="CY53" s="446">
        <v>0.05</v>
      </c>
      <c r="DA53" s="432"/>
      <c r="DB53" s="432"/>
      <c r="DC53" s="432"/>
      <c r="DD53" s="432"/>
      <c r="DE53" s="432"/>
      <c r="DF53" s="432"/>
      <c r="DG53" s="432"/>
      <c r="DH53" s="432">
        <f t="shared" ref="DH53:DW53" si="112">DH52-DH$29</f>
        <v>4.9827492189474687E-2</v>
      </c>
      <c r="DI53" s="432">
        <f t="shared" si="112"/>
        <v>1.3220301813426705E-2</v>
      </c>
      <c r="DJ53" s="432">
        <f t="shared" si="112"/>
        <v>6.3278066319144788E-2</v>
      </c>
      <c r="DK53" s="432">
        <f t="shared" si="112"/>
        <v>2.5579137548266129E-3</v>
      </c>
      <c r="DL53" s="432">
        <f t="shared" si="112"/>
        <v>-6.6822599909184599E-2</v>
      </c>
      <c r="DM53" s="432">
        <f t="shared" si="112"/>
        <v>1.9536225653146611E-2</v>
      </c>
      <c r="DN53" s="432">
        <f t="shared" si="112"/>
        <v>-1.3705426086349171E-2</v>
      </c>
      <c r="DO53" s="432">
        <f t="shared" si="112"/>
        <v>-7.8097695324513272E-2</v>
      </c>
      <c r="DP53" s="432">
        <f t="shared" si="112"/>
        <v>-0.15289844215514969</v>
      </c>
      <c r="DQ53" s="432">
        <f t="shared" si="112"/>
        <v>-4.8227507229357869E-2</v>
      </c>
      <c r="DR53" s="432">
        <f t="shared" si="112"/>
        <v>0.13208408881442124</v>
      </c>
      <c r="DS53" s="432">
        <f t="shared" si="112"/>
        <v>-4.4289573626370649E-2</v>
      </c>
      <c r="DT53" s="432">
        <f t="shared" si="112"/>
        <v>4.1402814314022152E-2</v>
      </c>
      <c r="DU53" s="432">
        <f t="shared" si="112"/>
        <v>7.5851871343053157E-2</v>
      </c>
      <c r="DV53" s="432">
        <f t="shared" si="112"/>
        <v>4.3646239200181958E-2</v>
      </c>
      <c r="DW53" s="432">
        <f t="shared" si="112"/>
        <v>-3.0441692038349677E-2</v>
      </c>
      <c r="DX53" s="432">
        <f>DX52-DX$29</f>
        <v>6.8339597254151174E-2</v>
      </c>
      <c r="DY53" s="432">
        <f>DY37</f>
        <v>4.725004725004725E-2</v>
      </c>
      <c r="DZ53" s="445">
        <f>DZ37</f>
        <v>4.9830285884911826E-2</v>
      </c>
      <c r="EA53" s="445">
        <f>EA37*2</f>
        <v>3.2954182161988643E-2</v>
      </c>
      <c r="EB53" s="445">
        <f>EA53-0.01</f>
        <v>2.2954182161988641E-2</v>
      </c>
      <c r="EC53" s="445">
        <f>EB53-0.01</f>
        <v>1.2954182161988641E-2</v>
      </c>
      <c r="ED53" s="445">
        <f>EC53-0.01</f>
        <v>2.9541821619886409E-3</v>
      </c>
    </row>
    <row r="54" spans="1:135" s="435" customFormat="1" ht="15">
      <c r="A54" s="258"/>
      <c r="B54" s="664" t="s">
        <v>365</v>
      </c>
      <c r="D54" s="598"/>
      <c r="E54" s="432"/>
      <c r="F54" s="432"/>
      <c r="G54" s="433"/>
      <c r="H54" s="432"/>
      <c r="I54" s="432"/>
      <c r="J54" s="432"/>
      <c r="K54" s="433"/>
      <c r="L54" s="432"/>
      <c r="M54" s="432"/>
      <c r="N54" s="432"/>
      <c r="O54" s="433"/>
      <c r="P54" s="432"/>
      <c r="Q54" s="432"/>
      <c r="R54" s="432"/>
      <c r="S54" s="433"/>
      <c r="T54" s="432"/>
      <c r="U54" s="432"/>
      <c r="V54" s="432"/>
      <c r="W54" s="433"/>
      <c r="X54" s="432"/>
      <c r="Y54" s="432"/>
      <c r="Z54" s="432"/>
      <c r="AA54" s="433"/>
      <c r="AB54" s="432"/>
      <c r="AC54" s="432"/>
      <c r="AD54" s="432"/>
      <c r="AE54" s="433"/>
      <c r="AF54" s="432"/>
      <c r="AG54" s="432"/>
      <c r="AH54" s="432"/>
      <c r="AI54" s="433"/>
      <c r="AJ54" s="432"/>
      <c r="AK54" s="432"/>
      <c r="AL54" s="432"/>
      <c r="AM54" s="433"/>
      <c r="AN54" s="432"/>
      <c r="AO54" s="432"/>
      <c r="AP54" s="432"/>
      <c r="AQ54" s="433"/>
      <c r="AR54" s="432"/>
      <c r="AS54" s="432"/>
      <c r="AT54" s="432"/>
      <c r="AU54" s="433"/>
      <c r="AV54" s="432"/>
      <c r="AW54" s="432"/>
      <c r="AX54" s="432"/>
      <c r="AY54" s="433"/>
      <c r="AZ54" s="432"/>
      <c r="BA54" s="432"/>
      <c r="BB54" s="432"/>
      <c r="BC54" s="433"/>
      <c r="BD54" s="432"/>
      <c r="BE54" s="432"/>
      <c r="BF54" s="432"/>
      <c r="BG54" s="433"/>
      <c r="BH54" s="432"/>
      <c r="BI54" s="432"/>
      <c r="BJ54" s="432"/>
      <c r="BK54" s="433"/>
      <c r="BL54" s="432"/>
      <c r="BM54" s="432"/>
      <c r="BN54" s="432"/>
      <c r="BO54" s="433">
        <f>BO52-BO$32</f>
        <v>-0.16041522420203458</v>
      </c>
      <c r="BP54" s="432">
        <f t="shared" ref="BP54:CT54" si="113">BP52-BP$32</f>
        <v>-0.1858777038134094</v>
      </c>
      <c r="BQ54" s="432">
        <f t="shared" si="113"/>
        <v>-8.2331043861813058E-2</v>
      </c>
      <c r="BR54" s="432">
        <f t="shared" si="113"/>
        <v>-7.9979600490046432E-2</v>
      </c>
      <c r="BS54" s="433">
        <f t="shared" si="113"/>
        <v>2.5825182752509987E-2</v>
      </c>
      <c r="BT54" s="432">
        <f t="shared" si="113"/>
        <v>4.5425283069434247E-2</v>
      </c>
      <c r="BU54" s="432">
        <f t="shared" si="113"/>
        <v>0.15579136872856419</v>
      </c>
      <c r="BV54" s="432">
        <f t="shared" si="113"/>
        <v>0.15637218548448817</v>
      </c>
      <c r="BW54" s="433">
        <f t="shared" si="113"/>
        <v>3.7193902302208239E-2</v>
      </c>
      <c r="BX54" s="432">
        <f t="shared" si="113"/>
        <v>-2.179386954940235E-2</v>
      </c>
      <c r="BY54" s="432">
        <f t="shared" si="113"/>
        <v>-0.13059821240466268</v>
      </c>
      <c r="BZ54" s="432">
        <f t="shared" si="113"/>
        <v>-2.7380540207294857E-2</v>
      </c>
      <c r="CA54" s="433">
        <f t="shared" si="113"/>
        <v>-5.9849943167045311E-3</v>
      </c>
      <c r="CB54" s="432">
        <f t="shared" si="113"/>
        <v>3.4888297121391333E-2</v>
      </c>
      <c r="CC54" s="432">
        <f t="shared" si="113"/>
        <v>4.1029971237204803E-2</v>
      </c>
      <c r="CD54" s="432">
        <f t="shared" si="113"/>
        <v>2.7048825643927743E-3</v>
      </c>
      <c r="CE54" s="433">
        <f t="shared" si="113"/>
        <v>7.737642639865501E-2</v>
      </c>
      <c r="CF54" s="432">
        <f t="shared" si="113"/>
        <v>5.6969107267549973E-2</v>
      </c>
      <c r="CG54" s="432">
        <f t="shared" si="113"/>
        <v>8.7556719074711048E-2</v>
      </c>
      <c r="CH54" s="432">
        <f t="shared" si="113"/>
        <v>6.2261240137578638E-2</v>
      </c>
      <c r="CI54" s="433">
        <f t="shared" si="113"/>
        <v>6.0506620922588558E-2</v>
      </c>
      <c r="CJ54" s="432">
        <f t="shared" si="113"/>
        <v>4.7391052820756972E-2</v>
      </c>
      <c r="CK54" s="432">
        <f t="shared" si="113"/>
        <v>1.7014379768135468E-2</v>
      </c>
      <c r="CL54" s="432">
        <f t="shared" si="113"/>
        <v>3.0638679463020395E-2</v>
      </c>
      <c r="CM54" s="433">
        <f t="shared" si="113"/>
        <v>3.2194801933632756E-2</v>
      </c>
      <c r="CN54" s="432">
        <f t="shared" si="113"/>
        <v>6.6439139813759783E-3</v>
      </c>
      <c r="CO54" s="432">
        <f t="shared" si="113"/>
        <v>-2.658554762616476E-2</v>
      </c>
      <c r="CP54" s="432">
        <f t="shared" si="113"/>
        <v>-1.1240774542736337E-3</v>
      </c>
      <c r="CQ54" s="433">
        <f t="shared" si="113"/>
        <v>-7.8728473239648628E-2</v>
      </c>
      <c r="CR54" s="432">
        <f t="shared" si="113"/>
        <v>2.0293912595067527E-2</v>
      </c>
      <c r="CS54" s="432">
        <f t="shared" si="113"/>
        <v>0.10666295834502468</v>
      </c>
      <c r="CT54" s="432">
        <f t="shared" si="113"/>
        <v>7.7738978447548387E-2</v>
      </c>
      <c r="CU54" s="433">
        <f t="shared" ref="CU54" si="114">CU52-CU$32</f>
        <v>9.87511366206624E-2</v>
      </c>
      <c r="CV54" s="432">
        <f t="shared" ref="CV54:CY54" si="115">CV52-CV$32</f>
        <v>8.0117949137024136E-2</v>
      </c>
      <c r="CW54" s="432">
        <f t="shared" si="115"/>
        <v>4.4122988883283906E-2</v>
      </c>
      <c r="CX54" s="432">
        <f t="shared" si="115"/>
        <v>4.1702580055720154E-2</v>
      </c>
      <c r="CY54" s="433">
        <f t="shared" si="115"/>
        <v>5.5343648430795797E-2</v>
      </c>
      <c r="DA54" s="432"/>
      <c r="DB54" s="432"/>
      <c r="DC54" s="432"/>
      <c r="DD54" s="432"/>
      <c r="DE54" s="432"/>
      <c r="DF54" s="432"/>
      <c r="DG54" s="432"/>
      <c r="DH54" s="432"/>
      <c r="DI54" s="432"/>
      <c r="DJ54" s="432"/>
      <c r="DK54" s="432"/>
      <c r="DL54" s="432"/>
      <c r="DM54" s="432"/>
      <c r="DN54" s="432"/>
      <c r="DO54" s="432"/>
      <c r="DP54" s="432"/>
      <c r="DQ54" s="432">
        <f>DQ52-DQ$32</f>
        <v>-6.0071560856863604E-2</v>
      </c>
      <c r="DR54" s="432">
        <f t="shared" ref="DR54:EA54" si="116">DR52-DR$32</f>
        <v>9.8619985064166818E-2</v>
      </c>
      <c r="DS54" s="432">
        <f t="shared" si="116"/>
        <v>-4.4322379109288906E-2</v>
      </c>
      <c r="DT54" s="432">
        <f t="shared" si="116"/>
        <v>4.084876205126594E-2</v>
      </c>
      <c r="DU54" s="432">
        <f t="shared" si="116"/>
        <v>6.7358059220487293E-2</v>
      </c>
      <c r="DV54" s="432">
        <f t="shared" si="116"/>
        <v>3.1877781655023828E-2</v>
      </c>
      <c r="DW54" s="432">
        <f t="shared" si="116"/>
        <v>-2.3193971082781199E-2</v>
      </c>
      <c r="DX54" s="432">
        <f t="shared" si="116"/>
        <v>7.7274844958038796E-2</v>
      </c>
      <c r="DY54" s="432">
        <f>DY52-DY$32</f>
        <v>5.7377584434691944E-2</v>
      </c>
      <c r="DZ54" s="432">
        <f t="shared" si="116"/>
        <v>6.8091242502246935E-2</v>
      </c>
      <c r="EA54" s="432">
        <f t="shared" si="116"/>
        <v>3.9418279532989722E-2</v>
      </c>
      <c r="EB54" s="432">
        <f t="shared" ref="EB54:ED54" si="117">EB52-EB$32</f>
        <v>2.5403900127859935E-2</v>
      </c>
      <c r="EC54" s="432">
        <f t="shared" si="117"/>
        <v>1.7593457049163146E-2</v>
      </c>
      <c r="ED54" s="432">
        <f t="shared" si="117"/>
        <v>9.4216872941293665E-3</v>
      </c>
    </row>
    <row r="55" spans="1:135" s="435" customFormat="1" ht="15">
      <c r="A55" s="258"/>
      <c r="B55" s="664" t="s">
        <v>385</v>
      </c>
      <c r="D55" s="598"/>
      <c r="E55" s="432"/>
      <c r="F55" s="432"/>
      <c r="G55" s="433"/>
      <c r="H55" s="432"/>
      <c r="I55" s="432"/>
      <c r="J55" s="432"/>
      <c r="K55" s="433"/>
      <c r="L55" s="432"/>
      <c r="M55" s="432"/>
      <c r="N55" s="432"/>
      <c r="O55" s="433"/>
      <c r="P55" s="432"/>
      <c r="Q55" s="432"/>
      <c r="R55" s="432"/>
      <c r="S55" s="433"/>
      <c r="T55" s="432"/>
      <c r="U55" s="432"/>
      <c r="V55" s="432"/>
      <c r="W55" s="433"/>
      <c r="X55" s="432"/>
      <c r="Y55" s="432"/>
      <c r="Z55" s="432"/>
      <c r="AA55" s="433"/>
      <c r="AB55" s="432"/>
      <c r="AC55" s="432"/>
      <c r="AD55" s="432"/>
      <c r="AE55" s="433"/>
      <c r="AF55" s="432"/>
      <c r="AG55" s="432"/>
      <c r="AH55" s="432"/>
      <c r="AI55" s="433"/>
      <c r="AJ55" s="432"/>
      <c r="AK55" s="432"/>
      <c r="AL55" s="432"/>
      <c r="AM55" s="433"/>
      <c r="AN55" s="432"/>
      <c r="AO55" s="432"/>
      <c r="AP55" s="432"/>
      <c r="AQ55" s="433"/>
      <c r="AR55" s="432"/>
      <c r="AS55" s="432"/>
      <c r="AT55" s="432"/>
      <c r="AU55" s="433"/>
      <c r="AV55" s="432"/>
      <c r="AW55" s="432"/>
      <c r="AX55" s="432"/>
      <c r="AY55" s="433"/>
      <c r="AZ55" s="432"/>
      <c r="BA55" s="432"/>
      <c r="BB55" s="432"/>
      <c r="BC55" s="433"/>
      <c r="BD55" s="432"/>
      <c r="BE55" s="432"/>
      <c r="BF55" s="432"/>
      <c r="BG55" s="433"/>
      <c r="BH55" s="432"/>
      <c r="BI55" s="432"/>
      <c r="BJ55" s="432"/>
      <c r="BK55" s="433"/>
      <c r="BL55" s="432"/>
      <c r="BM55" s="432"/>
      <c r="BN55" s="432"/>
      <c r="BO55" s="433">
        <f>BO54-(BO$109*BO$127+BO$112*BO$130)</f>
        <v>-0.21306226942930612</v>
      </c>
      <c r="BP55" s="432">
        <f t="shared" ref="BP55:CY55" si="118">BP54-(BP$109*BP$127+BP$112*BP$130)</f>
        <v>-0.21216564163951396</v>
      </c>
      <c r="BQ55" s="432">
        <f t="shared" si="118"/>
        <v>-5.4745147950909442E-2</v>
      </c>
      <c r="BR55" s="432">
        <f t="shared" si="118"/>
        <v>-4.312481939265618E-2</v>
      </c>
      <c r="BS55" s="433">
        <f t="shared" si="118"/>
        <v>5.4850885894316977E-2</v>
      </c>
      <c r="BT55" s="432">
        <f t="shared" si="118"/>
        <v>4.4963893777320699E-2</v>
      </c>
      <c r="BU55" s="432">
        <f t="shared" si="118"/>
        <v>9.3884400117299011E-2</v>
      </c>
      <c r="BV55" s="432">
        <f t="shared" si="118"/>
        <v>0.11144344136893675</v>
      </c>
      <c r="BW55" s="433">
        <f t="shared" si="118"/>
        <v>3.2127426908304585E-2</v>
      </c>
      <c r="BX55" s="432">
        <f t="shared" si="118"/>
        <v>-1.1253619418716238E-2</v>
      </c>
      <c r="BY55" s="432">
        <f t="shared" si="118"/>
        <v>-9.3376683477681688E-2</v>
      </c>
      <c r="BZ55" s="432">
        <f t="shared" si="118"/>
        <v>1.2997131472688384E-2</v>
      </c>
      <c r="CA55" s="433">
        <f t="shared" si="118"/>
        <v>4.0381452800141993E-3</v>
      </c>
      <c r="CB55" s="432">
        <f t="shared" si="118"/>
        <v>2.9815638791850521E-2</v>
      </c>
      <c r="CC55" s="432">
        <f t="shared" si="118"/>
        <v>2.9173591471975374E-2</v>
      </c>
      <c r="CD55" s="432">
        <f t="shared" si="118"/>
        <v>-2.6054842044774928E-2</v>
      </c>
      <c r="CE55" s="433">
        <f t="shared" si="118"/>
        <v>5.3296277909464951E-2</v>
      </c>
      <c r="CF55" s="432">
        <f t="shared" si="118"/>
        <v>3.8027021400087922E-2</v>
      </c>
      <c r="CG55" s="432">
        <f t="shared" si="118"/>
        <v>6.9505941226607942E-2</v>
      </c>
      <c r="CH55" s="432">
        <f t="shared" si="118"/>
        <v>6.2967029770574265E-2</v>
      </c>
      <c r="CI55" s="433">
        <f t="shared" si="118"/>
        <v>9.4303703046294249E-2</v>
      </c>
      <c r="CJ55" s="432">
        <f t="shared" si="118"/>
        <v>0.11882140718570594</v>
      </c>
      <c r="CK55" s="432">
        <f t="shared" si="118"/>
        <v>8.8775779053744078E-2</v>
      </c>
      <c r="CL55" s="432">
        <f t="shared" si="118"/>
        <v>9.2894259638028345E-2</v>
      </c>
      <c r="CM55" s="433">
        <f t="shared" si="118"/>
        <v>8.4689532796967795E-2</v>
      </c>
      <c r="CN55" s="432">
        <f t="shared" si="118"/>
        <v>2.3597451487742279E-2</v>
      </c>
      <c r="CO55" s="432">
        <f t="shared" si="118"/>
        <v>-2.768914227693824E-2</v>
      </c>
      <c r="CP55" s="432">
        <f t="shared" si="118"/>
        <v>7.9428082154186438E-3</v>
      </c>
      <c r="CQ55" s="433">
        <f t="shared" si="118"/>
        <v>-5.9223418818404858E-2</v>
      </c>
      <c r="CR55" s="432">
        <f t="shared" si="118"/>
        <v>4.2647912988299987E-2</v>
      </c>
      <c r="CS55" s="432">
        <f t="shared" si="118"/>
        <v>0.12480434550274938</v>
      </c>
      <c r="CT55" s="432">
        <f t="shared" si="118"/>
        <v>5.6760006739659592E-2</v>
      </c>
      <c r="CU55" s="433">
        <f t="shared" si="118"/>
        <v>5.5101784920340083E-2</v>
      </c>
      <c r="CV55" s="432">
        <f t="shared" si="118"/>
        <v>1.637519261738829E-3</v>
      </c>
      <c r="CW55" s="432">
        <f t="shared" si="118"/>
        <v>-2.1545884469057336E-2</v>
      </c>
      <c r="CX55" s="432">
        <f t="shared" si="118"/>
        <v>1.0325504427681625E-2</v>
      </c>
      <c r="CY55" s="433">
        <f t="shared" si="118"/>
        <v>2.6788481146224036E-2</v>
      </c>
      <c r="DA55" s="432"/>
      <c r="DB55" s="432"/>
      <c r="DC55" s="432"/>
      <c r="DD55" s="432"/>
      <c r="DE55" s="432"/>
      <c r="DF55" s="432"/>
      <c r="DG55" s="432"/>
      <c r="DH55" s="432"/>
      <c r="DI55" s="432"/>
      <c r="DJ55" s="432"/>
      <c r="DK55" s="432"/>
      <c r="DL55" s="432"/>
      <c r="DM55" s="432"/>
      <c r="DN55" s="432"/>
      <c r="DO55" s="432"/>
      <c r="DP55" s="432"/>
      <c r="DQ55" s="432">
        <f t="shared" ref="DQ55" si="119">DQ54-(DQ$109*DQ$127+DQ$112*DQ$130)</f>
        <v>-4.1591412264289765E-2</v>
      </c>
      <c r="DR55" s="432">
        <f t="shared" ref="DR55" si="120">DR54-(DR$109*DR$127+DR$112*DR$130)</f>
        <v>7.1195450830916676E-2</v>
      </c>
      <c r="DS55" s="432">
        <f t="shared" ref="DS55" si="121">DS54-(DS$109*DS$127+DS$112*DS$130)</f>
        <v>-1.9324155599855019E-2</v>
      </c>
      <c r="DT55" s="432">
        <f t="shared" ref="DT55" si="122">DT54-(DT$109*DT$127+DT$112*DT$130)</f>
        <v>2.3469516298369582E-2</v>
      </c>
      <c r="DU55" s="432">
        <f t="shared" ref="DU55" si="123">DU54-(DU$109*DU$127+DU$112*DU$130)</f>
        <v>6.7366138094552316E-2</v>
      </c>
      <c r="DV55" s="432">
        <f t="shared" ref="DV55" si="124">DV54-(DV$109*DV$127+DV$112*DV$130)</f>
        <v>9.6518849216540775E-2</v>
      </c>
      <c r="DW55" s="432">
        <f t="shared" ref="DW55" si="125">DW54-(DW$109*DW$127+DW$112*DW$130)</f>
        <v>-1.2084279574424046E-2</v>
      </c>
      <c r="DX55" s="432">
        <f t="shared" ref="DX55" si="126">DX54-(DX$109*DX$127+DX$112*DX$130)</f>
        <v>7.2231288909288371E-2</v>
      </c>
      <c r="DY55" s="432">
        <f t="shared" ref="DY55" si="127">DY54-(DY$109*DY$127+DY$112*DY$130)</f>
        <v>8.5720487962802974E-3</v>
      </c>
      <c r="DZ55" s="432">
        <f t="shared" ref="DZ55" si="128">DZ54-(DZ$109*DZ$127+DZ$112*DZ$130)</f>
        <v>6.8091242502246935E-2</v>
      </c>
      <c r="EA55" s="432">
        <f t="shared" ref="EA55" si="129">EA54-(EA$109*EA$127+EA$112*EA$130)</f>
        <v>3.9418279532989722E-2</v>
      </c>
      <c r="EB55" s="432">
        <f t="shared" ref="EB55" si="130">EB54-(EB$109*EB$127+EB$112*EB$130)</f>
        <v>2.5403900127859935E-2</v>
      </c>
      <c r="EC55" s="432">
        <f t="shared" ref="EC55" si="131">EC54-(EC$109*EC$127+EC$112*EC$130)</f>
        <v>1.7593457049163146E-2</v>
      </c>
      <c r="ED55" s="432">
        <f t="shared" ref="ED55" si="132">ED54-(ED$109*ED$127+ED$112*ED$130)</f>
        <v>9.4216872941293665E-3</v>
      </c>
    </row>
    <row r="56" spans="1:135" s="435" customFormat="1" ht="15">
      <c r="A56" s="258"/>
      <c r="B56" s="304" t="s">
        <v>311</v>
      </c>
      <c r="D56" s="598"/>
      <c r="E56" s="432"/>
      <c r="F56" s="432"/>
      <c r="G56" s="433"/>
      <c r="H56" s="432"/>
      <c r="I56" s="432"/>
      <c r="J56" s="432"/>
      <c r="K56" s="433"/>
      <c r="L56" s="432"/>
      <c r="M56" s="432"/>
      <c r="N56" s="432"/>
      <c r="O56" s="433"/>
      <c r="P56" s="432"/>
      <c r="Q56" s="432"/>
      <c r="R56" s="432"/>
      <c r="S56" s="433"/>
      <c r="T56" s="432"/>
      <c r="U56" s="432"/>
      <c r="V56" s="432"/>
      <c r="W56" s="433"/>
      <c r="X56" s="432"/>
      <c r="Y56" s="432"/>
      <c r="Z56" s="432"/>
      <c r="AA56" s="433"/>
      <c r="AB56" s="432"/>
      <c r="AC56" s="432"/>
      <c r="AD56" s="432"/>
      <c r="AE56" s="433"/>
      <c r="AF56" s="432"/>
      <c r="AG56" s="432"/>
      <c r="AH56" s="432"/>
      <c r="AI56" s="433"/>
      <c r="AJ56" s="432">
        <f t="shared" ref="AJ56:BO56" si="133">AF52+AJ52</f>
        <v>-6.1204694884664512E-4</v>
      </c>
      <c r="AK56" s="432">
        <f t="shared" si="133"/>
        <v>6.501380045148597E-2</v>
      </c>
      <c r="AL56" s="432">
        <f t="shared" si="133"/>
        <v>9.2374993249169313E-2</v>
      </c>
      <c r="AM56" s="433">
        <f t="shared" si="133"/>
        <v>0.16013690263909908</v>
      </c>
      <c r="AN56" s="432">
        <f t="shared" si="133"/>
        <v>0.13051027794826942</v>
      </c>
      <c r="AO56" s="432">
        <f t="shared" si="133"/>
        <v>0.14698215412945936</v>
      </c>
      <c r="AP56" s="432">
        <f t="shared" si="133"/>
        <v>0.10314247084212913</v>
      </c>
      <c r="AQ56" s="433">
        <f t="shared" si="133"/>
        <v>0.22218960420653544</v>
      </c>
      <c r="AR56" s="432">
        <f t="shared" si="133"/>
        <v>0.2344193172085538</v>
      </c>
      <c r="AS56" s="432">
        <f t="shared" si="133"/>
        <v>0.11745893694795284</v>
      </c>
      <c r="AT56" s="432">
        <f t="shared" si="133"/>
        <v>0.14127377989419099</v>
      </c>
      <c r="AU56" s="433">
        <f t="shared" si="133"/>
        <v>8.9235844643370643E-2</v>
      </c>
      <c r="AV56" s="432">
        <f t="shared" si="133"/>
        <v>2.905510939191247E-2</v>
      </c>
      <c r="AW56" s="432">
        <f t="shared" si="133"/>
        <v>1.9713347791171731E-2</v>
      </c>
      <c r="AX56" s="432">
        <f t="shared" si="133"/>
        <v>9.6848253200977896E-2</v>
      </c>
      <c r="AY56" s="433">
        <f t="shared" si="133"/>
        <v>-1.3734740270877954E-2</v>
      </c>
      <c r="AZ56" s="432">
        <f t="shared" si="133"/>
        <v>2.5537790391736426E-3</v>
      </c>
      <c r="BA56" s="432">
        <f t="shared" si="133"/>
        <v>7.2267341971611554E-2</v>
      </c>
      <c r="BB56" s="432">
        <f t="shared" si="133"/>
        <v>4.7034702970136233E-2</v>
      </c>
      <c r="BC56" s="433">
        <f t="shared" si="133"/>
        <v>2.7159700291088607E-2</v>
      </c>
      <c r="BD56" s="432">
        <f t="shared" si="133"/>
        <v>8.926456158100593E-2</v>
      </c>
      <c r="BE56" s="432">
        <f t="shared" si="133"/>
        <v>0.12946305915526168</v>
      </c>
      <c r="BF56" s="432">
        <f t="shared" si="133"/>
        <v>0.12006004243902479</v>
      </c>
      <c r="BG56" s="433">
        <f t="shared" si="133"/>
        <v>7.7574241968976221E-2</v>
      </c>
      <c r="BH56" s="432">
        <f t="shared" si="133"/>
        <v>1.4561808078185301E-2</v>
      </c>
      <c r="BI56" s="432">
        <f t="shared" si="133"/>
        <v>1.6621058586103854E-2</v>
      </c>
      <c r="BJ56" s="432">
        <f t="shared" si="133"/>
        <v>-7.7895175306286646E-2</v>
      </c>
      <c r="BK56" s="433">
        <f t="shared" si="133"/>
        <v>-0.26828793816284235</v>
      </c>
      <c r="BL56" s="432">
        <f t="shared" si="133"/>
        <v>-0.40871962816836005</v>
      </c>
      <c r="BM56" s="432">
        <f t="shared" si="133"/>
        <v>-0.44968259430537438</v>
      </c>
      <c r="BN56" s="432">
        <f t="shared" si="133"/>
        <v>-0.31707817957368745</v>
      </c>
      <c r="BO56" s="433">
        <f t="shared" si="133"/>
        <v>-0.27502776238703153</v>
      </c>
      <c r="BP56" s="432">
        <f t="shared" ref="BP56:CY56" si="134">BL52+BP52</f>
        <v>-0.10274986445367151</v>
      </c>
      <c r="BQ56" s="432">
        <f t="shared" si="134"/>
        <v>-0.10892991329494206</v>
      </c>
      <c r="BR56" s="432">
        <f t="shared" si="134"/>
        <v>-9.8257043984630643E-2</v>
      </c>
      <c r="BS56" s="433">
        <f t="shared" si="134"/>
        <v>0.18362338992687377</v>
      </c>
      <c r="BT56" s="432">
        <f t="shared" si="134"/>
        <v>0.49783251451781552</v>
      </c>
      <c r="BU56" s="432">
        <f t="shared" si="134"/>
        <v>0.4911422662446463</v>
      </c>
      <c r="BV56" s="432">
        <f t="shared" si="134"/>
        <v>0.3005817254538321</v>
      </c>
      <c r="BW56" s="433">
        <f t="shared" si="134"/>
        <v>0.21730954820139559</v>
      </c>
      <c r="BX56" s="432">
        <f t="shared" si="134"/>
        <v>0.21045618557212076</v>
      </c>
      <c r="BY56" s="432">
        <f t="shared" si="134"/>
        <v>0.16490697341211968</v>
      </c>
      <c r="BZ56" s="432">
        <f t="shared" si="134"/>
        <v>0.2417436429929174</v>
      </c>
      <c r="CA56" s="433">
        <f t="shared" si="134"/>
        <v>0.11691371113201554</v>
      </c>
      <c r="CB56" s="432">
        <f t="shared" si="134"/>
        <v>6.7379962843677976E-2</v>
      </c>
      <c r="CC56" s="432">
        <f t="shared" si="134"/>
        <v>7.5480165864183824E-2</v>
      </c>
      <c r="CD56" s="432">
        <f t="shared" si="134"/>
        <v>7.476542191431701E-2</v>
      </c>
      <c r="CE56" s="433">
        <f t="shared" si="134"/>
        <v>0.17323499157419731</v>
      </c>
      <c r="CF56" s="432">
        <f t="shared" si="134"/>
        <v>0.14270227557563908</v>
      </c>
      <c r="CG56" s="432">
        <f t="shared" si="134"/>
        <v>0.22071891246771647</v>
      </c>
      <c r="CH56" s="432">
        <f t="shared" si="134"/>
        <v>0.1573530562134613</v>
      </c>
      <c r="CI56" s="433">
        <f t="shared" si="134"/>
        <v>0.23700699706649941</v>
      </c>
      <c r="CJ56" s="432">
        <f t="shared" si="134"/>
        <v>0.18822813945381189</v>
      </c>
      <c r="CK56" s="432">
        <f t="shared" si="134"/>
        <v>0.1609279904128651</v>
      </c>
      <c r="CL56" s="432">
        <f t="shared" si="134"/>
        <v>0.1555145553112447</v>
      </c>
      <c r="CM56" s="433">
        <f t="shared" si="134"/>
        <v>0.16311934849105048</v>
      </c>
      <c r="CN56" s="432">
        <f t="shared" si="134"/>
        <v>0.11394851293932273</v>
      </c>
      <c r="CO56" s="432">
        <f t="shared" si="134"/>
        <v>5.6467030791363282E-2</v>
      </c>
      <c r="CP56" s="432">
        <f t="shared" si="134"/>
        <v>9.9438804298628947E-2</v>
      </c>
      <c r="CQ56" s="433">
        <f t="shared" si="134"/>
        <v>4.4334428059742526E-2</v>
      </c>
      <c r="CR56" s="432">
        <f t="shared" si="134"/>
        <v>0.10741808270045738</v>
      </c>
      <c r="CS56" s="432">
        <f t="shared" si="134"/>
        <v>0.1094656718084881</v>
      </c>
      <c r="CT56" s="432">
        <f t="shared" si="134"/>
        <v>0.12639618398794572</v>
      </c>
      <c r="CU56" s="433">
        <f>CQ52+CU52</f>
        <v>9.9678185972796984E-2</v>
      </c>
      <c r="CV56" s="432">
        <f t="shared" si="134"/>
        <v>0.14480159308548018</v>
      </c>
      <c r="CW56" s="432">
        <f t="shared" si="134"/>
        <v>0.16992258105564437</v>
      </c>
      <c r="CX56" s="432">
        <f t="shared" si="134"/>
        <v>0.1508348758240135</v>
      </c>
      <c r="CY56" s="433">
        <f t="shared" si="134"/>
        <v>0.17474523433648809</v>
      </c>
      <c r="DA56" s="432"/>
      <c r="DB56" s="432"/>
      <c r="DC56" s="432"/>
      <c r="DD56" s="432"/>
      <c r="DE56" s="432"/>
      <c r="DF56" s="432"/>
      <c r="DG56" s="432"/>
      <c r="DH56" s="432">
        <f t="shared" ref="DH56:ED56" si="135">DG52+DH52</f>
        <v>0.10353910958408363</v>
      </c>
      <c r="DI56" s="432">
        <f t="shared" si="135"/>
        <v>7.7886298420682065E-2</v>
      </c>
      <c r="DJ56" s="432">
        <f t="shared" si="135"/>
        <v>0.15143162818142453</v>
      </c>
      <c r="DK56" s="432">
        <f t="shared" si="135"/>
        <v>0.14348234387242531</v>
      </c>
      <c r="DL56" s="432">
        <f t="shared" si="135"/>
        <v>2.8407078977920164E-2</v>
      </c>
      <c r="DM56" s="432">
        <f t="shared" si="135"/>
        <v>3.5986345008194864E-2</v>
      </c>
      <c r="DN56" s="432">
        <f t="shared" si="135"/>
        <v>0.10352636293694828</v>
      </c>
      <c r="DO56" s="432">
        <f t="shared" si="135"/>
        <v>-7.8356725839475616E-2</v>
      </c>
      <c r="DP56" s="432">
        <f t="shared" si="135"/>
        <v>-0.39283881558974243</v>
      </c>
      <c r="DQ56" s="432">
        <f t="shared" si="135"/>
        <v>-7.0294216200559201E-2</v>
      </c>
      <c r="DR56" s="432">
        <f t="shared" si="135"/>
        <v>0.36723223017697371</v>
      </c>
      <c r="DS56" s="432">
        <f t="shared" si="135"/>
        <v>0.18109728410235104</v>
      </c>
      <c r="DT56" s="432">
        <f t="shared" si="135"/>
        <v>9.7000465882239428E-2</v>
      </c>
      <c r="DU56" s="432">
        <f t="shared" si="135"/>
        <v>0.18932223949130655</v>
      </c>
      <c r="DV56" s="432">
        <f t="shared" si="135"/>
        <v>0.16673954272804159</v>
      </c>
      <c r="DW56" s="432">
        <f t="shared" si="135"/>
        <v>7.7521615731564797E-2</v>
      </c>
      <c r="DX56" s="432">
        <f t="shared" si="135"/>
        <v>0.10999839829904023</v>
      </c>
      <c r="DY56" s="432">
        <f>DX52+DY52</f>
        <v>0.16089111757091734</v>
      </c>
      <c r="DZ56" s="432">
        <f t="shared" si="135"/>
        <v>0.13659133607609469</v>
      </c>
      <c r="EA56" s="432">
        <f t="shared" si="135"/>
        <v>0.11952719304514352</v>
      </c>
      <c r="EB56" s="432">
        <f t="shared" si="135"/>
        <v>9.8077962895041004E-2</v>
      </c>
      <c r="EC56" s="432">
        <f t="shared" si="135"/>
        <v>7.8732963011126006E-2</v>
      </c>
      <c r="ED56" s="432">
        <f t="shared" si="135"/>
        <v>5.1067000164015261E-2</v>
      </c>
    </row>
    <row r="57" spans="1:135" s="657" customFormat="1" ht="15">
      <c r="A57" s="133"/>
      <c r="B57" s="139" t="s">
        <v>252</v>
      </c>
      <c r="C57" s="139"/>
      <c r="D57" s="662"/>
      <c r="E57" s="349"/>
      <c r="F57" s="349"/>
      <c r="G57" s="663"/>
      <c r="H57" s="349"/>
      <c r="I57" s="349"/>
      <c r="J57" s="349"/>
      <c r="K57" s="663"/>
      <c r="L57" s="349"/>
      <c r="M57" s="349"/>
      <c r="N57" s="349"/>
      <c r="O57" s="663"/>
      <c r="P57" s="349"/>
      <c r="Q57" s="349"/>
      <c r="R57" s="349"/>
      <c r="S57" s="663"/>
      <c r="T57" s="349"/>
      <c r="U57" s="349"/>
      <c r="V57" s="349"/>
      <c r="W57" s="663"/>
      <c r="X57" s="349"/>
      <c r="Y57" s="349"/>
      <c r="Z57" s="349"/>
      <c r="AA57" s="431"/>
      <c r="AB57" s="356">
        <v>609.5</v>
      </c>
      <c r="AC57" s="356">
        <v>564.70000000000005</v>
      </c>
      <c r="AD57" s="356">
        <v>480.1</v>
      </c>
      <c r="AE57" s="431">
        <f>2153-SUM(AB57:AD57)</f>
        <v>498.69999999999982</v>
      </c>
      <c r="AF57" s="356">
        <v>495.8</v>
      </c>
      <c r="AG57" s="356">
        <v>501.7</v>
      </c>
      <c r="AH57" s="356">
        <v>419.2</v>
      </c>
      <c r="AI57" s="431">
        <f>1900.4-SUM(AF57:AH57)</f>
        <v>483.70000000000005</v>
      </c>
      <c r="AJ57" s="356">
        <v>506.2</v>
      </c>
      <c r="AK57" s="356">
        <v>534</v>
      </c>
      <c r="AL57" s="356">
        <v>464.2</v>
      </c>
      <c r="AM57" s="431">
        <f>2020.7-SUM(AJ57:AL57)</f>
        <v>516.29999999999995</v>
      </c>
      <c r="AN57" s="356">
        <v>523.9</v>
      </c>
      <c r="AO57" s="356">
        <v>561.9</v>
      </c>
      <c r="AP57" s="356">
        <v>495.6</v>
      </c>
      <c r="AQ57" s="431">
        <f>2185.6-SUM(AN57:AP57)</f>
        <v>604.19999999999982</v>
      </c>
      <c r="AR57" s="356">
        <v>747</v>
      </c>
      <c r="AS57" s="356">
        <v>656.9</v>
      </c>
      <c r="AT57" s="356">
        <v>640.1</v>
      </c>
      <c r="AU57" s="431">
        <f>2680.4-SUM(AR57:AT57)</f>
        <v>636.40000000000009</v>
      </c>
      <c r="AV57" s="356">
        <v>774.5</v>
      </c>
      <c r="AW57" s="356">
        <v>772.4</v>
      </c>
      <c r="AX57" s="356">
        <v>690.9</v>
      </c>
      <c r="AY57" s="431">
        <v>718.8</v>
      </c>
      <c r="AZ57" s="356">
        <v>787.3</v>
      </c>
      <c r="BA57" s="356">
        <v>787.7</v>
      </c>
      <c r="BB57" s="356">
        <v>682.6</v>
      </c>
      <c r="BC57" s="431">
        <v>739.3</v>
      </c>
      <c r="BD57" s="356">
        <v>788.7</v>
      </c>
      <c r="BE57" s="356">
        <v>825.1</v>
      </c>
      <c r="BF57" s="356">
        <v>693.2</v>
      </c>
      <c r="BG57" s="431">
        <v>793</v>
      </c>
      <c r="BH57" s="356">
        <v>821.5</v>
      </c>
      <c r="BI57" s="356">
        <v>837.8</v>
      </c>
      <c r="BJ57" s="356">
        <v>655.4</v>
      </c>
      <c r="BK57" s="431">
        <f>2843.6-SUM(BH57:BJ57)</f>
        <v>528.90000000000009</v>
      </c>
      <c r="BL57" s="356">
        <v>415.6</v>
      </c>
      <c r="BM57" s="356">
        <v>433.7</v>
      </c>
      <c r="BN57" s="356">
        <v>508.7</v>
      </c>
      <c r="BO57" s="431">
        <f>329.8+1596.9-SUM(BL57:BN57)</f>
        <v>568.70000000000005</v>
      </c>
      <c r="BP57" s="356">
        <v>625</v>
      </c>
      <c r="BQ57" s="356">
        <v>711.8</v>
      </c>
      <c r="BR57" s="356">
        <v>611.6</v>
      </c>
      <c r="BS57" s="431">
        <v>690.9</v>
      </c>
      <c r="BT57" s="356">
        <v>786.7</v>
      </c>
      <c r="BU57" s="356">
        <v>816.4</v>
      </c>
      <c r="BV57" s="356">
        <v>772.2</v>
      </c>
      <c r="BW57" s="431">
        <v>838.2</v>
      </c>
      <c r="BX57" s="356">
        <f>3644-BX47</f>
        <v>830.19999999999982</v>
      </c>
      <c r="BY57" s="356">
        <v>871.6</v>
      </c>
      <c r="BZ57" s="356">
        <v>877</v>
      </c>
      <c r="CA57" s="431">
        <v>958.6</v>
      </c>
      <c r="CB57" s="356">
        <v>1035.4000000000001</v>
      </c>
      <c r="CC57" s="356">
        <v>1043.9000000000001</v>
      </c>
      <c r="CD57" s="356">
        <v>1026</v>
      </c>
      <c r="CE57" s="431">
        <v>1110.5999999999999</v>
      </c>
      <c r="CF57" s="356">
        <v>1133.9000000000001</v>
      </c>
      <c r="CG57" s="356">
        <v>1141.5</v>
      </c>
      <c r="CH57" s="356">
        <v>1044.3</v>
      </c>
      <c r="CI57" s="431">
        <v>1097</v>
      </c>
      <c r="CJ57" s="356">
        <v>1036.4000000000001</v>
      </c>
      <c r="CK57" s="356">
        <v>1057.4000000000001</v>
      </c>
      <c r="CL57" s="356">
        <v>973.2</v>
      </c>
      <c r="CM57" s="431">
        <v>1045.9000000000001</v>
      </c>
      <c r="CN57" s="356">
        <v>1060.9000000000001</v>
      </c>
      <c r="CO57" s="356">
        <v>1084.4000000000001</v>
      </c>
      <c r="CP57" s="356">
        <v>1013.1</v>
      </c>
      <c r="CQ57" s="431">
        <v>1042.5</v>
      </c>
      <c r="CR57" s="356">
        <v>1130.5</v>
      </c>
      <c r="CS57" s="356">
        <v>1098.0999999999999</v>
      </c>
      <c r="CT57" s="356">
        <v>1112.5999999999999</v>
      </c>
      <c r="CU57" s="431">
        <v>1252.8</v>
      </c>
      <c r="CV57" s="348">
        <f>CR57*(1+CV62)</f>
        <v>1256.0005950756342</v>
      </c>
      <c r="CW57" s="348">
        <f>CS57*(1+CW62)</f>
        <v>1266.0896823894961</v>
      </c>
      <c r="CX57" s="348">
        <f>CT57*(1+CX62)</f>
        <v>1197.1208234389569</v>
      </c>
      <c r="CY57" s="603">
        <f>CU57*(1+CY62)</f>
        <v>1182.5748678994405</v>
      </c>
      <c r="DA57" s="354"/>
      <c r="DB57" s="354"/>
      <c r="DC57" s="354"/>
      <c r="DD57" s="354"/>
      <c r="DE57" s="354"/>
      <c r="DF57" s="356">
        <v>1472.2</v>
      </c>
      <c r="DG57" s="354">
        <f>SUM(AB57:AE57)</f>
        <v>2153</v>
      </c>
      <c r="DH57" s="354">
        <f>SUM(AF57:AI57)</f>
        <v>1900.4</v>
      </c>
      <c r="DI57" s="354">
        <f>SUM(AJ57:AM57)</f>
        <v>2020.7</v>
      </c>
      <c r="DJ57" s="354">
        <f>SUM(AN57:AQ57)</f>
        <v>2185.6</v>
      </c>
      <c r="DK57" s="354">
        <f>SUM(AR57:AU57)</f>
        <v>2680.4</v>
      </c>
      <c r="DL57" s="354">
        <f>SUM(AV57:AY57)</f>
        <v>2956.6000000000004</v>
      </c>
      <c r="DM57" s="354">
        <f>SUM(AZ57:BC57)</f>
        <v>2996.8999999999996</v>
      </c>
      <c r="DN57" s="354">
        <f>SUM(BD57:BG57)</f>
        <v>3100</v>
      </c>
      <c r="DO57" s="354">
        <f>SUM(BH57:BK57)</f>
        <v>2843.6</v>
      </c>
      <c r="DP57" s="354">
        <f>SUM(BL57:BO57)</f>
        <v>1926.7</v>
      </c>
      <c r="DQ57" s="354">
        <f>SUM(BP57:BS57)</f>
        <v>2639.3</v>
      </c>
      <c r="DR57" s="354">
        <f>SUM(BT57:BW57)</f>
        <v>3213.5</v>
      </c>
      <c r="DS57" s="354">
        <f>SUM(BX57:CA57)</f>
        <v>3537.3999999999996</v>
      </c>
      <c r="DT57" s="354">
        <f>SUM(CB57:CE57)</f>
        <v>4215.8999999999996</v>
      </c>
      <c r="DU57" s="354">
        <f>SUM(CF57:CI57)</f>
        <v>4416.7</v>
      </c>
      <c r="DV57" s="354">
        <f>SUM(CJ57:CM57)</f>
        <v>4112.8999999999996</v>
      </c>
      <c r="DW57" s="354">
        <f>SUM(CN57:CQ57)</f>
        <v>4200.8999999999996</v>
      </c>
      <c r="DX57" s="354">
        <f>SUM(CR57:CU57)</f>
        <v>4594</v>
      </c>
      <c r="DY57" s="354">
        <f>SUM(CV57:CY57)</f>
        <v>4901.7859688035278</v>
      </c>
      <c r="DZ57" s="354">
        <f>DY57*(1+DZ62)</f>
        <v>5110.308630053757</v>
      </c>
      <c r="EA57" s="354">
        <f>DZ57*(1+EA62)</f>
        <v>5336.1974817584651</v>
      </c>
      <c r="EB57" s="354">
        <f>EA57*(1+EB62)</f>
        <v>5592.1589386705282</v>
      </c>
      <c r="EC57" s="354">
        <f>EB57*(1+EC62)</f>
        <v>5843.0096843633728</v>
      </c>
      <c r="ED57" s="354">
        <f>EC57*(1+ED62)</f>
        <v>6078.4891139093652</v>
      </c>
      <c r="EE57" s="139"/>
    </row>
    <row r="58" spans="1:135" s="670" customFormat="1" ht="15">
      <c r="A58" s="231"/>
      <c r="B58" s="665" t="s">
        <v>306</v>
      </c>
      <c r="C58" s="666"/>
      <c r="D58" s="667"/>
      <c r="E58" s="668"/>
      <c r="F58" s="668"/>
      <c r="G58" s="669"/>
      <c r="H58" s="668"/>
      <c r="I58" s="668"/>
      <c r="J58" s="668"/>
      <c r="K58" s="669"/>
      <c r="L58" s="668"/>
      <c r="M58" s="668"/>
      <c r="N58" s="668"/>
      <c r="O58" s="669"/>
      <c r="P58" s="668"/>
      <c r="Q58" s="668"/>
      <c r="R58" s="668"/>
      <c r="S58" s="669"/>
      <c r="T58" s="668"/>
      <c r="U58" s="668"/>
      <c r="V58" s="668"/>
      <c r="W58" s="669"/>
      <c r="X58" s="668"/>
      <c r="Y58" s="668"/>
      <c r="Z58" s="668"/>
      <c r="AA58" s="669"/>
      <c r="AB58" s="668"/>
      <c r="AC58" s="668">
        <f t="shared" ref="AC58:BH58" si="136">AC57-AB57</f>
        <v>-44.799999999999955</v>
      </c>
      <c r="AD58" s="668">
        <f t="shared" si="136"/>
        <v>-84.600000000000023</v>
      </c>
      <c r="AE58" s="669">
        <f t="shared" si="136"/>
        <v>18.599999999999795</v>
      </c>
      <c r="AF58" s="668">
        <f t="shared" si="136"/>
        <v>-2.8999999999998067</v>
      </c>
      <c r="AG58" s="668">
        <f t="shared" si="136"/>
        <v>5.8999999999999773</v>
      </c>
      <c r="AH58" s="668">
        <f t="shared" si="136"/>
        <v>-82.5</v>
      </c>
      <c r="AI58" s="669">
        <f t="shared" si="136"/>
        <v>64.500000000000057</v>
      </c>
      <c r="AJ58" s="668">
        <f t="shared" si="136"/>
        <v>22.499999999999943</v>
      </c>
      <c r="AK58" s="668">
        <f t="shared" si="136"/>
        <v>27.800000000000011</v>
      </c>
      <c r="AL58" s="668">
        <f t="shared" si="136"/>
        <v>-69.800000000000011</v>
      </c>
      <c r="AM58" s="669">
        <f t="shared" si="136"/>
        <v>52.099999999999966</v>
      </c>
      <c r="AN58" s="668">
        <f t="shared" si="136"/>
        <v>7.6000000000000227</v>
      </c>
      <c r="AO58" s="668">
        <f t="shared" si="136"/>
        <v>38</v>
      </c>
      <c r="AP58" s="668">
        <f t="shared" si="136"/>
        <v>-66.299999999999955</v>
      </c>
      <c r="AQ58" s="669">
        <f t="shared" si="136"/>
        <v>108.5999999999998</v>
      </c>
      <c r="AR58" s="668">
        <f t="shared" si="136"/>
        <v>142.80000000000018</v>
      </c>
      <c r="AS58" s="668">
        <f t="shared" si="136"/>
        <v>-90.100000000000023</v>
      </c>
      <c r="AT58" s="668">
        <f t="shared" si="136"/>
        <v>-16.799999999999955</v>
      </c>
      <c r="AU58" s="669">
        <f t="shared" si="136"/>
        <v>-3.6999999999999318</v>
      </c>
      <c r="AV58" s="668">
        <f t="shared" si="136"/>
        <v>138.09999999999991</v>
      </c>
      <c r="AW58" s="668">
        <f t="shared" si="136"/>
        <v>-2.1000000000000227</v>
      </c>
      <c r="AX58" s="668">
        <f t="shared" si="136"/>
        <v>-81.5</v>
      </c>
      <c r="AY58" s="669">
        <f t="shared" si="136"/>
        <v>27.899999999999977</v>
      </c>
      <c r="AZ58" s="668">
        <f t="shared" si="136"/>
        <v>68.5</v>
      </c>
      <c r="BA58" s="668">
        <f t="shared" si="136"/>
        <v>0.40000000000009095</v>
      </c>
      <c r="BB58" s="668">
        <f t="shared" si="136"/>
        <v>-105.10000000000002</v>
      </c>
      <c r="BC58" s="669">
        <f t="shared" si="136"/>
        <v>56.699999999999932</v>
      </c>
      <c r="BD58" s="668">
        <f t="shared" si="136"/>
        <v>49.400000000000091</v>
      </c>
      <c r="BE58" s="668">
        <f t="shared" si="136"/>
        <v>36.399999999999977</v>
      </c>
      <c r="BF58" s="668">
        <f t="shared" si="136"/>
        <v>-131.89999999999998</v>
      </c>
      <c r="BG58" s="669">
        <f t="shared" si="136"/>
        <v>99.799999999999955</v>
      </c>
      <c r="BH58" s="668">
        <f t="shared" si="136"/>
        <v>28.5</v>
      </c>
      <c r="BI58" s="668">
        <f t="shared" ref="BI58:CN58" si="137">BI57-BH57</f>
        <v>16.299999999999955</v>
      </c>
      <c r="BJ58" s="668">
        <f t="shared" si="137"/>
        <v>-182.39999999999998</v>
      </c>
      <c r="BK58" s="669">
        <f t="shared" si="137"/>
        <v>-126.49999999999989</v>
      </c>
      <c r="BL58" s="668">
        <f t="shared" si="137"/>
        <v>-113.30000000000007</v>
      </c>
      <c r="BM58" s="668">
        <f t="shared" si="137"/>
        <v>18.099999999999966</v>
      </c>
      <c r="BN58" s="668">
        <f t="shared" si="137"/>
        <v>75</v>
      </c>
      <c r="BO58" s="669">
        <f t="shared" si="137"/>
        <v>60.000000000000057</v>
      </c>
      <c r="BP58" s="668">
        <f t="shared" si="137"/>
        <v>56.299999999999955</v>
      </c>
      <c r="BQ58" s="668">
        <f t="shared" si="137"/>
        <v>86.799999999999955</v>
      </c>
      <c r="BR58" s="668">
        <f t="shared" si="137"/>
        <v>-100.19999999999993</v>
      </c>
      <c r="BS58" s="669">
        <f t="shared" si="137"/>
        <v>79.299999999999955</v>
      </c>
      <c r="BT58" s="668">
        <f t="shared" si="137"/>
        <v>95.800000000000068</v>
      </c>
      <c r="BU58" s="668">
        <f t="shared" si="137"/>
        <v>29.699999999999932</v>
      </c>
      <c r="BV58" s="668">
        <f t="shared" si="137"/>
        <v>-44.199999999999932</v>
      </c>
      <c r="BW58" s="669">
        <f t="shared" si="137"/>
        <v>66</v>
      </c>
      <c r="BX58" s="668">
        <f t="shared" si="137"/>
        <v>-8.0000000000002274</v>
      </c>
      <c r="BY58" s="668">
        <f t="shared" si="137"/>
        <v>41.400000000000205</v>
      </c>
      <c r="BZ58" s="668">
        <f t="shared" si="137"/>
        <v>5.3999999999999773</v>
      </c>
      <c r="CA58" s="669">
        <f t="shared" si="137"/>
        <v>81.600000000000023</v>
      </c>
      <c r="CB58" s="668">
        <f t="shared" si="137"/>
        <v>76.800000000000068</v>
      </c>
      <c r="CC58" s="668">
        <f t="shared" si="137"/>
        <v>8.5</v>
      </c>
      <c r="CD58" s="668">
        <f t="shared" si="137"/>
        <v>-17.900000000000091</v>
      </c>
      <c r="CE58" s="669">
        <f t="shared" si="137"/>
        <v>84.599999999999909</v>
      </c>
      <c r="CF58" s="668">
        <f t="shared" si="137"/>
        <v>23.300000000000182</v>
      </c>
      <c r="CG58" s="668">
        <f t="shared" si="137"/>
        <v>7.5999999999999091</v>
      </c>
      <c r="CH58" s="668">
        <f t="shared" si="137"/>
        <v>-97.200000000000045</v>
      </c>
      <c r="CI58" s="669">
        <f t="shared" si="137"/>
        <v>52.700000000000045</v>
      </c>
      <c r="CJ58" s="668">
        <f t="shared" si="137"/>
        <v>-60.599999999999909</v>
      </c>
      <c r="CK58" s="668">
        <f t="shared" si="137"/>
        <v>21</v>
      </c>
      <c r="CL58" s="668">
        <f t="shared" si="137"/>
        <v>-84.200000000000045</v>
      </c>
      <c r="CM58" s="669">
        <f t="shared" si="137"/>
        <v>72.700000000000045</v>
      </c>
      <c r="CN58" s="668">
        <f t="shared" si="137"/>
        <v>15</v>
      </c>
      <c r="CO58" s="668">
        <f t="shared" ref="CO58:CY58" si="138">CO57-CN57</f>
        <v>23.5</v>
      </c>
      <c r="CP58" s="668">
        <f t="shared" si="138"/>
        <v>-71.300000000000068</v>
      </c>
      <c r="CQ58" s="669">
        <f t="shared" si="138"/>
        <v>29.399999999999977</v>
      </c>
      <c r="CR58" s="668">
        <f t="shared" si="138"/>
        <v>88</v>
      </c>
      <c r="CS58" s="668">
        <f t="shared" si="138"/>
        <v>-32.400000000000091</v>
      </c>
      <c r="CT58" s="668">
        <f t="shared" si="138"/>
        <v>14.5</v>
      </c>
      <c r="CU58" s="669">
        <f>CU57-CT57</f>
        <v>140.20000000000005</v>
      </c>
      <c r="CV58" s="668">
        <f t="shared" si="138"/>
        <v>3.2005950756342827</v>
      </c>
      <c r="CW58" s="668">
        <f t="shared" si="138"/>
        <v>10.08908731386191</v>
      </c>
      <c r="CX58" s="668">
        <f t="shared" si="138"/>
        <v>-68.968858950539243</v>
      </c>
      <c r="CY58" s="669">
        <f t="shared" si="138"/>
        <v>-14.545955539516399</v>
      </c>
      <c r="DA58" s="668"/>
      <c r="DB58" s="668"/>
      <c r="DC58" s="668"/>
      <c r="DD58" s="668"/>
      <c r="DE58" s="668"/>
      <c r="DF58" s="668"/>
      <c r="DG58" s="668"/>
      <c r="DH58" s="668"/>
      <c r="DI58" s="668"/>
      <c r="DJ58" s="668"/>
      <c r="DK58" s="668"/>
      <c r="DL58" s="668"/>
      <c r="DM58" s="668"/>
      <c r="DN58" s="668"/>
      <c r="DO58" s="668"/>
      <c r="DP58" s="668"/>
      <c r="DQ58" s="668"/>
      <c r="DR58" s="668"/>
      <c r="DS58" s="668"/>
      <c r="DT58" s="668"/>
      <c r="DU58" s="668"/>
      <c r="DV58" s="668"/>
      <c r="DW58" s="668"/>
      <c r="DX58" s="668"/>
      <c r="DY58" s="668"/>
      <c r="DZ58" s="668"/>
      <c r="EA58" s="668"/>
      <c r="EB58" s="668"/>
      <c r="EC58" s="668"/>
      <c r="ED58" s="668"/>
      <c r="EE58" s="666"/>
    </row>
    <row r="59" spans="1:135" s="670" customFormat="1" ht="15">
      <c r="A59" s="231"/>
      <c r="B59" s="665" t="s">
        <v>308</v>
      </c>
      <c r="C59" s="666"/>
      <c r="D59" s="667"/>
      <c r="E59" s="668"/>
      <c r="F59" s="668"/>
      <c r="G59" s="669"/>
      <c r="H59" s="668"/>
      <c r="I59" s="668"/>
      <c r="J59" s="668"/>
      <c r="K59" s="669"/>
      <c r="L59" s="668"/>
      <c r="M59" s="668"/>
      <c r="N59" s="668"/>
      <c r="O59" s="669"/>
      <c r="P59" s="668"/>
      <c r="Q59" s="668"/>
      <c r="R59" s="668"/>
      <c r="S59" s="669"/>
      <c r="T59" s="668"/>
      <c r="U59" s="668"/>
      <c r="V59" s="668"/>
      <c r="W59" s="669"/>
      <c r="X59" s="668"/>
      <c r="Y59" s="668"/>
      <c r="Z59" s="668"/>
      <c r="AA59" s="669"/>
      <c r="AB59" s="668"/>
      <c r="AC59" s="668"/>
      <c r="AD59" s="668"/>
      <c r="AE59" s="669"/>
      <c r="AF59" s="668">
        <f t="shared" ref="AF59:BK59" si="139">AF57-AB57</f>
        <v>-113.69999999999999</v>
      </c>
      <c r="AG59" s="668">
        <f t="shared" si="139"/>
        <v>-63.000000000000057</v>
      </c>
      <c r="AH59" s="668">
        <f t="shared" si="139"/>
        <v>-60.900000000000034</v>
      </c>
      <c r="AI59" s="669">
        <f t="shared" si="139"/>
        <v>-14.999999999999773</v>
      </c>
      <c r="AJ59" s="668">
        <f t="shared" si="139"/>
        <v>10.399999999999977</v>
      </c>
      <c r="AK59" s="668">
        <f t="shared" si="139"/>
        <v>32.300000000000011</v>
      </c>
      <c r="AL59" s="668">
        <f t="shared" si="139"/>
        <v>45</v>
      </c>
      <c r="AM59" s="669">
        <f t="shared" si="139"/>
        <v>32.599999999999909</v>
      </c>
      <c r="AN59" s="668">
        <f t="shared" si="139"/>
        <v>17.699999999999989</v>
      </c>
      <c r="AO59" s="668">
        <f t="shared" si="139"/>
        <v>27.899999999999977</v>
      </c>
      <c r="AP59" s="668">
        <f t="shared" si="139"/>
        <v>31.400000000000034</v>
      </c>
      <c r="AQ59" s="669">
        <f t="shared" si="139"/>
        <v>87.899999999999864</v>
      </c>
      <c r="AR59" s="668">
        <f t="shared" si="139"/>
        <v>223.10000000000002</v>
      </c>
      <c r="AS59" s="668">
        <f t="shared" si="139"/>
        <v>95</v>
      </c>
      <c r="AT59" s="668">
        <f t="shared" si="139"/>
        <v>144.5</v>
      </c>
      <c r="AU59" s="669">
        <f t="shared" si="139"/>
        <v>32.200000000000273</v>
      </c>
      <c r="AV59" s="668">
        <f t="shared" si="139"/>
        <v>27.5</v>
      </c>
      <c r="AW59" s="668">
        <f t="shared" si="139"/>
        <v>115.5</v>
      </c>
      <c r="AX59" s="668">
        <f t="shared" si="139"/>
        <v>50.799999999999955</v>
      </c>
      <c r="AY59" s="669">
        <f t="shared" si="139"/>
        <v>82.399999999999864</v>
      </c>
      <c r="AZ59" s="668">
        <f t="shared" si="139"/>
        <v>12.799999999999955</v>
      </c>
      <c r="BA59" s="668">
        <f t="shared" si="139"/>
        <v>15.300000000000068</v>
      </c>
      <c r="BB59" s="668">
        <f t="shared" si="139"/>
        <v>-8.2999999999999545</v>
      </c>
      <c r="BC59" s="669">
        <f t="shared" si="139"/>
        <v>20.5</v>
      </c>
      <c r="BD59" s="668">
        <f t="shared" si="139"/>
        <v>1.4000000000000909</v>
      </c>
      <c r="BE59" s="668">
        <f t="shared" si="139"/>
        <v>37.399999999999977</v>
      </c>
      <c r="BF59" s="668">
        <f t="shared" si="139"/>
        <v>10.600000000000023</v>
      </c>
      <c r="BG59" s="669">
        <f t="shared" si="139"/>
        <v>53.700000000000045</v>
      </c>
      <c r="BH59" s="668">
        <f t="shared" si="139"/>
        <v>32.799999999999955</v>
      </c>
      <c r="BI59" s="668">
        <f t="shared" si="139"/>
        <v>12.699999999999932</v>
      </c>
      <c r="BJ59" s="668">
        <f t="shared" si="139"/>
        <v>-37.800000000000068</v>
      </c>
      <c r="BK59" s="669">
        <f t="shared" si="139"/>
        <v>-264.09999999999991</v>
      </c>
      <c r="BL59" s="668">
        <f t="shared" ref="BL59:CQ59" si="140">BL57-BH57</f>
        <v>-405.9</v>
      </c>
      <c r="BM59" s="668">
        <f t="shared" si="140"/>
        <v>-404.09999999999997</v>
      </c>
      <c r="BN59" s="668">
        <f t="shared" si="140"/>
        <v>-146.69999999999999</v>
      </c>
      <c r="BO59" s="669">
        <f t="shared" si="140"/>
        <v>39.799999999999955</v>
      </c>
      <c r="BP59" s="668">
        <f t="shared" si="140"/>
        <v>209.39999999999998</v>
      </c>
      <c r="BQ59" s="668">
        <f t="shared" si="140"/>
        <v>278.09999999999997</v>
      </c>
      <c r="BR59" s="668">
        <f t="shared" si="140"/>
        <v>102.90000000000003</v>
      </c>
      <c r="BS59" s="669">
        <f t="shared" si="140"/>
        <v>122.19999999999993</v>
      </c>
      <c r="BT59" s="668">
        <f t="shared" si="140"/>
        <v>161.70000000000005</v>
      </c>
      <c r="BU59" s="668">
        <f t="shared" si="140"/>
        <v>104.60000000000002</v>
      </c>
      <c r="BV59" s="668">
        <f t="shared" si="140"/>
        <v>160.60000000000002</v>
      </c>
      <c r="BW59" s="669">
        <f t="shared" si="140"/>
        <v>147.30000000000007</v>
      </c>
      <c r="BX59" s="668">
        <f t="shared" si="140"/>
        <v>43.499999999999773</v>
      </c>
      <c r="BY59" s="668">
        <f t="shared" si="140"/>
        <v>55.200000000000045</v>
      </c>
      <c r="BZ59" s="668">
        <f t="shared" si="140"/>
        <v>104.79999999999995</v>
      </c>
      <c r="CA59" s="669">
        <f t="shared" si="140"/>
        <v>120.39999999999998</v>
      </c>
      <c r="CB59" s="668">
        <f t="shared" si="140"/>
        <v>205.20000000000027</v>
      </c>
      <c r="CC59" s="668">
        <f t="shared" si="140"/>
        <v>172.30000000000007</v>
      </c>
      <c r="CD59" s="668">
        <f t="shared" si="140"/>
        <v>149</v>
      </c>
      <c r="CE59" s="669">
        <f t="shared" si="140"/>
        <v>151.99999999999989</v>
      </c>
      <c r="CF59" s="668">
        <f t="shared" si="140"/>
        <v>98.5</v>
      </c>
      <c r="CG59" s="668">
        <f t="shared" si="140"/>
        <v>97.599999999999909</v>
      </c>
      <c r="CH59" s="668">
        <f t="shared" si="140"/>
        <v>18.299999999999955</v>
      </c>
      <c r="CI59" s="669">
        <f t="shared" si="140"/>
        <v>-13.599999999999909</v>
      </c>
      <c r="CJ59" s="668">
        <f t="shared" si="140"/>
        <v>-97.5</v>
      </c>
      <c r="CK59" s="668">
        <f t="shared" si="140"/>
        <v>-84.099999999999909</v>
      </c>
      <c r="CL59" s="668">
        <f t="shared" si="140"/>
        <v>-71.099999999999909</v>
      </c>
      <c r="CM59" s="669">
        <f t="shared" si="140"/>
        <v>-51.099999999999909</v>
      </c>
      <c r="CN59" s="668">
        <f t="shared" si="140"/>
        <v>24.5</v>
      </c>
      <c r="CO59" s="668">
        <f t="shared" si="140"/>
        <v>27</v>
      </c>
      <c r="CP59" s="668">
        <f t="shared" si="140"/>
        <v>39.899999999999977</v>
      </c>
      <c r="CQ59" s="669">
        <f t="shared" si="140"/>
        <v>-3.4000000000000909</v>
      </c>
      <c r="CR59" s="668">
        <f t="shared" ref="CR59:CY59" si="141">CR57-CN57</f>
        <v>69.599999999999909</v>
      </c>
      <c r="CS59" s="668">
        <f t="shared" si="141"/>
        <v>13.699999999999818</v>
      </c>
      <c r="CT59" s="668">
        <f t="shared" si="141"/>
        <v>99.499999999999886</v>
      </c>
      <c r="CU59" s="669">
        <f>CU57-CQ57</f>
        <v>210.29999999999995</v>
      </c>
      <c r="CV59" s="668">
        <f t="shared" si="141"/>
        <v>125.50059507563424</v>
      </c>
      <c r="CW59" s="668">
        <f t="shared" si="141"/>
        <v>167.98968238949624</v>
      </c>
      <c r="CX59" s="668">
        <f t="shared" si="141"/>
        <v>84.520823438956995</v>
      </c>
      <c r="CY59" s="669">
        <f t="shared" si="141"/>
        <v>-70.225132100559449</v>
      </c>
      <c r="DA59" s="668"/>
      <c r="DB59" s="668"/>
      <c r="DC59" s="668"/>
      <c r="DD59" s="668"/>
      <c r="DE59" s="668"/>
      <c r="DF59" s="668"/>
      <c r="DG59" s="668">
        <f t="shared" ref="DG59:ED59" si="142">DG57-DF57</f>
        <v>680.8</v>
      </c>
      <c r="DH59" s="668">
        <f t="shared" si="142"/>
        <v>-252.59999999999991</v>
      </c>
      <c r="DI59" s="668">
        <f t="shared" si="142"/>
        <v>120.29999999999995</v>
      </c>
      <c r="DJ59" s="668">
        <f t="shared" si="142"/>
        <v>164.89999999999986</v>
      </c>
      <c r="DK59" s="668">
        <f t="shared" si="142"/>
        <v>494.80000000000018</v>
      </c>
      <c r="DL59" s="668">
        <f t="shared" si="142"/>
        <v>276.20000000000027</v>
      </c>
      <c r="DM59" s="668">
        <f t="shared" si="142"/>
        <v>40.299999999999272</v>
      </c>
      <c r="DN59" s="668">
        <f t="shared" si="142"/>
        <v>103.10000000000036</v>
      </c>
      <c r="DO59" s="668">
        <f t="shared" si="142"/>
        <v>-256.40000000000009</v>
      </c>
      <c r="DP59" s="668">
        <f t="shared" si="142"/>
        <v>-916.89999999999986</v>
      </c>
      <c r="DQ59" s="668">
        <f t="shared" si="142"/>
        <v>712.60000000000014</v>
      </c>
      <c r="DR59" s="668">
        <f t="shared" si="142"/>
        <v>574.19999999999982</v>
      </c>
      <c r="DS59" s="668">
        <f t="shared" si="142"/>
        <v>323.89999999999964</v>
      </c>
      <c r="DT59" s="668">
        <f t="shared" si="142"/>
        <v>678.5</v>
      </c>
      <c r="DU59" s="668">
        <f t="shared" si="142"/>
        <v>200.80000000000018</v>
      </c>
      <c r="DV59" s="668">
        <f t="shared" si="142"/>
        <v>-303.80000000000018</v>
      </c>
      <c r="DW59" s="668">
        <f t="shared" si="142"/>
        <v>88</v>
      </c>
      <c r="DX59" s="668">
        <f t="shared" si="142"/>
        <v>393.10000000000036</v>
      </c>
      <c r="DY59" s="668">
        <f t="shared" si="142"/>
        <v>307.78596880352779</v>
      </c>
      <c r="DZ59" s="668">
        <f t="shared" si="142"/>
        <v>208.52266125022925</v>
      </c>
      <c r="EA59" s="668">
        <f t="shared" si="142"/>
        <v>225.88885170470803</v>
      </c>
      <c r="EB59" s="668">
        <f t="shared" si="142"/>
        <v>255.96145691206311</v>
      </c>
      <c r="EC59" s="668">
        <f t="shared" si="142"/>
        <v>250.85074569284461</v>
      </c>
      <c r="ED59" s="668">
        <f t="shared" si="142"/>
        <v>235.47942954599239</v>
      </c>
      <c r="EE59" s="666"/>
    </row>
    <row r="60" spans="1:135" s="670" customFormat="1" ht="15">
      <c r="A60" s="231"/>
      <c r="B60" s="665" t="s">
        <v>309</v>
      </c>
      <c r="C60" s="666"/>
      <c r="D60" s="667"/>
      <c r="E60" s="668"/>
      <c r="F60" s="668"/>
      <c r="G60" s="669"/>
      <c r="H60" s="668"/>
      <c r="I60" s="668"/>
      <c r="J60" s="668"/>
      <c r="K60" s="669"/>
      <c r="L60" s="668"/>
      <c r="M60" s="668"/>
      <c r="N60" s="668"/>
      <c r="O60" s="669"/>
      <c r="P60" s="668"/>
      <c r="Q60" s="668"/>
      <c r="R60" s="668"/>
      <c r="S60" s="669"/>
      <c r="T60" s="668"/>
      <c r="U60" s="668"/>
      <c r="V60" s="668"/>
      <c r="W60" s="669"/>
      <c r="X60" s="668"/>
      <c r="Y60" s="668"/>
      <c r="Z60" s="668"/>
      <c r="AA60" s="669"/>
      <c r="AB60" s="668"/>
      <c r="AC60" s="668"/>
      <c r="AD60" s="668"/>
      <c r="AE60" s="669"/>
      <c r="AF60" s="668"/>
      <c r="AG60" s="668"/>
      <c r="AH60" s="668"/>
      <c r="AI60" s="669"/>
      <c r="AJ60" s="668">
        <f t="shared" ref="AJ60:BO60" si="143">AF59+AJ59</f>
        <v>-103.30000000000001</v>
      </c>
      <c r="AK60" s="668">
        <f t="shared" si="143"/>
        <v>-30.700000000000045</v>
      </c>
      <c r="AL60" s="668">
        <f t="shared" si="143"/>
        <v>-15.900000000000034</v>
      </c>
      <c r="AM60" s="669">
        <f t="shared" si="143"/>
        <v>17.600000000000136</v>
      </c>
      <c r="AN60" s="668">
        <f t="shared" si="143"/>
        <v>28.099999999999966</v>
      </c>
      <c r="AO60" s="668">
        <f t="shared" si="143"/>
        <v>60.199999999999989</v>
      </c>
      <c r="AP60" s="668">
        <f t="shared" si="143"/>
        <v>76.400000000000034</v>
      </c>
      <c r="AQ60" s="669">
        <f t="shared" si="143"/>
        <v>120.49999999999977</v>
      </c>
      <c r="AR60" s="668">
        <f t="shared" si="143"/>
        <v>240.8</v>
      </c>
      <c r="AS60" s="668">
        <f t="shared" si="143"/>
        <v>122.89999999999998</v>
      </c>
      <c r="AT60" s="668">
        <f t="shared" si="143"/>
        <v>175.90000000000003</v>
      </c>
      <c r="AU60" s="669">
        <f t="shared" si="143"/>
        <v>120.10000000000014</v>
      </c>
      <c r="AV60" s="668">
        <f t="shared" si="143"/>
        <v>250.60000000000002</v>
      </c>
      <c r="AW60" s="668">
        <f t="shared" si="143"/>
        <v>210.5</v>
      </c>
      <c r="AX60" s="668">
        <f t="shared" si="143"/>
        <v>195.29999999999995</v>
      </c>
      <c r="AY60" s="669">
        <f t="shared" si="143"/>
        <v>114.60000000000014</v>
      </c>
      <c r="AZ60" s="668">
        <f t="shared" si="143"/>
        <v>40.299999999999955</v>
      </c>
      <c r="BA60" s="668">
        <f t="shared" si="143"/>
        <v>130.80000000000007</v>
      </c>
      <c r="BB60" s="668">
        <f t="shared" si="143"/>
        <v>42.5</v>
      </c>
      <c r="BC60" s="669">
        <f t="shared" si="143"/>
        <v>102.89999999999986</v>
      </c>
      <c r="BD60" s="668">
        <f t="shared" si="143"/>
        <v>14.200000000000045</v>
      </c>
      <c r="BE60" s="668">
        <f t="shared" si="143"/>
        <v>52.700000000000045</v>
      </c>
      <c r="BF60" s="668">
        <f t="shared" si="143"/>
        <v>2.3000000000000682</v>
      </c>
      <c r="BG60" s="669">
        <f t="shared" si="143"/>
        <v>74.200000000000045</v>
      </c>
      <c r="BH60" s="668">
        <f t="shared" si="143"/>
        <v>34.200000000000045</v>
      </c>
      <c r="BI60" s="668">
        <f t="shared" si="143"/>
        <v>50.099999999999909</v>
      </c>
      <c r="BJ60" s="668">
        <f t="shared" si="143"/>
        <v>-27.200000000000045</v>
      </c>
      <c r="BK60" s="669">
        <f t="shared" si="143"/>
        <v>-210.39999999999986</v>
      </c>
      <c r="BL60" s="668">
        <f t="shared" si="143"/>
        <v>-373.1</v>
      </c>
      <c r="BM60" s="668">
        <f t="shared" si="143"/>
        <v>-391.40000000000003</v>
      </c>
      <c r="BN60" s="668">
        <f t="shared" si="143"/>
        <v>-184.50000000000006</v>
      </c>
      <c r="BO60" s="669">
        <f t="shared" si="143"/>
        <v>-224.29999999999995</v>
      </c>
      <c r="BP60" s="668">
        <f t="shared" ref="BP60:CY60" si="144">BL59+BP59</f>
        <v>-196.5</v>
      </c>
      <c r="BQ60" s="668">
        <f t="shared" si="144"/>
        <v>-126</v>
      </c>
      <c r="BR60" s="668">
        <f t="shared" si="144"/>
        <v>-43.799999999999955</v>
      </c>
      <c r="BS60" s="669">
        <f t="shared" si="144"/>
        <v>161.99999999999989</v>
      </c>
      <c r="BT60" s="668">
        <f t="shared" si="144"/>
        <v>371.1</v>
      </c>
      <c r="BU60" s="668">
        <f t="shared" si="144"/>
        <v>382.7</v>
      </c>
      <c r="BV60" s="668">
        <f t="shared" si="144"/>
        <v>263.50000000000006</v>
      </c>
      <c r="BW60" s="669">
        <f t="shared" si="144"/>
        <v>269.5</v>
      </c>
      <c r="BX60" s="668">
        <f t="shared" si="144"/>
        <v>205.19999999999982</v>
      </c>
      <c r="BY60" s="668">
        <f t="shared" si="144"/>
        <v>159.80000000000007</v>
      </c>
      <c r="BZ60" s="668">
        <f t="shared" si="144"/>
        <v>265.39999999999998</v>
      </c>
      <c r="CA60" s="669">
        <f t="shared" si="144"/>
        <v>267.70000000000005</v>
      </c>
      <c r="CB60" s="668">
        <f t="shared" si="144"/>
        <v>248.70000000000005</v>
      </c>
      <c r="CC60" s="668">
        <f t="shared" si="144"/>
        <v>227.50000000000011</v>
      </c>
      <c r="CD60" s="668">
        <f t="shared" si="144"/>
        <v>253.79999999999995</v>
      </c>
      <c r="CE60" s="669">
        <f t="shared" si="144"/>
        <v>272.39999999999986</v>
      </c>
      <c r="CF60" s="668">
        <f t="shared" si="144"/>
        <v>303.70000000000027</v>
      </c>
      <c r="CG60" s="668">
        <f t="shared" si="144"/>
        <v>269.89999999999998</v>
      </c>
      <c r="CH60" s="668">
        <f t="shared" si="144"/>
        <v>167.29999999999995</v>
      </c>
      <c r="CI60" s="669">
        <f t="shared" si="144"/>
        <v>138.39999999999998</v>
      </c>
      <c r="CJ60" s="668">
        <f t="shared" si="144"/>
        <v>1</v>
      </c>
      <c r="CK60" s="668">
        <f t="shared" si="144"/>
        <v>13.5</v>
      </c>
      <c r="CL60" s="668">
        <f t="shared" si="144"/>
        <v>-52.799999999999955</v>
      </c>
      <c r="CM60" s="669">
        <f t="shared" si="144"/>
        <v>-64.699999999999818</v>
      </c>
      <c r="CN60" s="668">
        <f t="shared" si="144"/>
        <v>-73</v>
      </c>
      <c r="CO60" s="668">
        <f t="shared" si="144"/>
        <v>-57.099999999999909</v>
      </c>
      <c r="CP60" s="668">
        <f t="shared" si="144"/>
        <v>-31.199999999999932</v>
      </c>
      <c r="CQ60" s="669">
        <f t="shared" si="144"/>
        <v>-54.5</v>
      </c>
      <c r="CR60" s="668">
        <f t="shared" si="144"/>
        <v>94.099999999999909</v>
      </c>
      <c r="CS60" s="668">
        <f t="shared" si="144"/>
        <v>40.699999999999818</v>
      </c>
      <c r="CT60" s="668">
        <f t="shared" si="144"/>
        <v>139.39999999999986</v>
      </c>
      <c r="CU60" s="669">
        <f>CQ59+CU59</f>
        <v>206.89999999999986</v>
      </c>
      <c r="CV60" s="668">
        <f t="shared" si="144"/>
        <v>195.10059507563415</v>
      </c>
      <c r="CW60" s="668">
        <f t="shared" si="144"/>
        <v>181.68968238949606</v>
      </c>
      <c r="CX60" s="668">
        <f t="shared" si="144"/>
        <v>184.02082343895688</v>
      </c>
      <c r="CY60" s="669">
        <f t="shared" si="144"/>
        <v>140.07486789944051</v>
      </c>
      <c r="DA60" s="668"/>
      <c r="DB60" s="668"/>
      <c r="DC60" s="668"/>
      <c r="DD60" s="668"/>
      <c r="DE60" s="668"/>
      <c r="DF60" s="668"/>
      <c r="DG60" s="668"/>
      <c r="DH60" s="668">
        <f t="shared" ref="DH60:ED60" si="145">DG59+DH59</f>
        <v>428.20000000000005</v>
      </c>
      <c r="DI60" s="668">
        <f t="shared" si="145"/>
        <v>-132.29999999999995</v>
      </c>
      <c r="DJ60" s="668">
        <f t="shared" si="145"/>
        <v>285.19999999999982</v>
      </c>
      <c r="DK60" s="668">
        <f t="shared" si="145"/>
        <v>659.7</v>
      </c>
      <c r="DL60" s="668">
        <f t="shared" si="145"/>
        <v>771.00000000000045</v>
      </c>
      <c r="DM60" s="668">
        <f t="shared" si="145"/>
        <v>316.49999999999955</v>
      </c>
      <c r="DN60" s="668">
        <f t="shared" si="145"/>
        <v>143.39999999999964</v>
      </c>
      <c r="DO60" s="668">
        <f t="shared" si="145"/>
        <v>-153.29999999999973</v>
      </c>
      <c r="DP60" s="668">
        <f t="shared" si="145"/>
        <v>-1173.3</v>
      </c>
      <c r="DQ60" s="668">
        <f t="shared" si="145"/>
        <v>-204.29999999999973</v>
      </c>
      <c r="DR60" s="668">
        <f t="shared" si="145"/>
        <v>1286.8</v>
      </c>
      <c r="DS60" s="668">
        <f t="shared" si="145"/>
        <v>898.09999999999945</v>
      </c>
      <c r="DT60" s="668">
        <f t="shared" si="145"/>
        <v>1002.3999999999996</v>
      </c>
      <c r="DU60" s="668">
        <f t="shared" si="145"/>
        <v>879.30000000000018</v>
      </c>
      <c r="DV60" s="668">
        <f t="shared" si="145"/>
        <v>-103</v>
      </c>
      <c r="DW60" s="668">
        <f t="shared" si="145"/>
        <v>-215.80000000000018</v>
      </c>
      <c r="DX60" s="668">
        <f t="shared" si="145"/>
        <v>481.10000000000036</v>
      </c>
      <c r="DY60" s="668">
        <f t="shared" si="145"/>
        <v>700.88596880352816</v>
      </c>
      <c r="DZ60" s="668">
        <f t="shared" si="145"/>
        <v>516.30863005375704</v>
      </c>
      <c r="EA60" s="668">
        <f t="shared" si="145"/>
        <v>434.41151295493728</v>
      </c>
      <c r="EB60" s="668">
        <f t="shared" si="145"/>
        <v>481.85030861677114</v>
      </c>
      <c r="EC60" s="668">
        <f t="shared" si="145"/>
        <v>506.81220260490772</v>
      </c>
      <c r="ED60" s="668">
        <f t="shared" si="145"/>
        <v>486.330175238837</v>
      </c>
      <c r="EE60" s="666"/>
    </row>
    <row r="61" spans="1:135" s="599" customFormat="1" ht="15">
      <c r="A61" s="258"/>
      <c r="B61" s="304" t="s">
        <v>310</v>
      </c>
      <c r="C61" s="435"/>
      <c r="D61" s="598"/>
      <c r="E61" s="432"/>
      <c r="F61" s="432"/>
      <c r="G61" s="433"/>
      <c r="H61" s="432"/>
      <c r="I61" s="432"/>
      <c r="J61" s="432"/>
      <c r="K61" s="433"/>
      <c r="L61" s="432"/>
      <c r="M61" s="432"/>
      <c r="N61" s="432"/>
      <c r="O61" s="433"/>
      <c r="P61" s="432"/>
      <c r="Q61" s="432"/>
      <c r="R61" s="432"/>
      <c r="S61" s="433"/>
      <c r="T61" s="432"/>
      <c r="U61" s="432"/>
      <c r="V61" s="432"/>
      <c r="W61" s="433"/>
      <c r="X61" s="432"/>
      <c r="Y61" s="432"/>
      <c r="Z61" s="432"/>
      <c r="AA61" s="433"/>
      <c r="AB61" s="432"/>
      <c r="AC61" s="432">
        <f t="shared" ref="AC61:BH61" si="146">AC57/AB57-1</f>
        <v>-7.3502871205906373E-2</v>
      </c>
      <c r="AD61" s="432">
        <f t="shared" si="146"/>
        <v>-0.14981406056313085</v>
      </c>
      <c r="AE61" s="433">
        <f t="shared" si="146"/>
        <v>3.8741928764840283E-2</v>
      </c>
      <c r="AF61" s="432">
        <f t="shared" si="146"/>
        <v>-5.8151193102061738E-3</v>
      </c>
      <c r="AG61" s="432">
        <f t="shared" si="146"/>
        <v>1.1899959661153536E-2</v>
      </c>
      <c r="AH61" s="432">
        <f t="shared" si="146"/>
        <v>-0.16444090093681485</v>
      </c>
      <c r="AI61" s="433">
        <f t="shared" si="146"/>
        <v>0.15386450381679406</v>
      </c>
      <c r="AJ61" s="432">
        <f t="shared" si="146"/>
        <v>4.6516435807318457E-2</v>
      </c>
      <c r="AK61" s="432">
        <f t="shared" si="146"/>
        <v>5.4919004346108302E-2</v>
      </c>
      <c r="AL61" s="432">
        <f t="shared" si="146"/>
        <v>-0.13071161048689139</v>
      </c>
      <c r="AM61" s="433">
        <f t="shared" si="146"/>
        <v>0.11223610512710036</v>
      </c>
      <c r="AN61" s="432">
        <f t="shared" si="146"/>
        <v>1.4720123958938736E-2</v>
      </c>
      <c r="AO61" s="432">
        <f t="shared" si="146"/>
        <v>7.2532926130941089E-2</v>
      </c>
      <c r="AP61" s="432">
        <f t="shared" si="146"/>
        <v>-0.11799252536038429</v>
      </c>
      <c r="AQ61" s="433">
        <f t="shared" si="146"/>
        <v>0.21912832929782033</v>
      </c>
      <c r="AR61" s="432">
        <f t="shared" si="146"/>
        <v>0.23634558093346603</v>
      </c>
      <c r="AS61" s="432">
        <f t="shared" si="146"/>
        <v>-0.12061579651941101</v>
      </c>
      <c r="AT61" s="432">
        <f t="shared" si="146"/>
        <v>-2.5574668899375763E-2</v>
      </c>
      <c r="AU61" s="433">
        <f t="shared" si="146"/>
        <v>-5.7803468208091902E-3</v>
      </c>
      <c r="AV61" s="432">
        <f t="shared" si="146"/>
        <v>0.21700188560653655</v>
      </c>
      <c r="AW61" s="432">
        <f t="shared" si="146"/>
        <v>-2.7114267269205961E-3</v>
      </c>
      <c r="AX61" s="432">
        <f t="shared" si="146"/>
        <v>-0.10551527705851893</v>
      </c>
      <c r="AY61" s="433">
        <f t="shared" si="146"/>
        <v>4.0382110290924755E-2</v>
      </c>
      <c r="AZ61" s="432">
        <f t="shared" si="146"/>
        <v>9.5297718419588229E-2</v>
      </c>
      <c r="BA61" s="432">
        <f t="shared" si="146"/>
        <v>5.0806554045479402E-4</v>
      </c>
      <c r="BB61" s="432">
        <f t="shared" si="146"/>
        <v>-0.13342643138250609</v>
      </c>
      <c r="BC61" s="433">
        <f t="shared" si="146"/>
        <v>8.3064752417228105E-2</v>
      </c>
      <c r="BD61" s="432">
        <f t="shared" si="146"/>
        <v>6.6819964831597689E-2</v>
      </c>
      <c r="BE61" s="432">
        <f t="shared" si="146"/>
        <v>4.615189552428034E-2</v>
      </c>
      <c r="BF61" s="432">
        <f t="shared" si="146"/>
        <v>-0.15985941098048717</v>
      </c>
      <c r="BG61" s="433">
        <f t="shared" si="146"/>
        <v>0.1439699942296595</v>
      </c>
      <c r="BH61" s="432">
        <f t="shared" si="146"/>
        <v>3.5939470365699888E-2</v>
      </c>
      <c r="BI61" s="432">
        <f t="shared" ref="BI61:CN61" si="147">BI57/BH57-1</f>
        <v>1.9841752891052833E-2</v>
      </c>
      <c r="BJ61" s="432">
        <f t="shared" si="147"/>
        <v>-0.21771305800907137</v>
      </c>
      <c r="BK61" s="433">
        <f t="shared" si="147"/>
        <v>-0.19301190112908129</v>
      </c>
      <c r="BL61" s="432">
        <f t="shared" si="147"/>
        <v>-0.21421818869351494</v>
      </c>
      <c r="BM61" s="432">
        <f t="shared" si="147"/>
        <v>4.3551491819056709E-2</v>
      </c>
      <c r="BN61" s="432">
        <f t="shared" si="147"/>
        <v>0.17293059718699566</v>
      </c>
      <c r="BO61" s="433">
        <f t="shared" si="147"/>
        <v>0.1179477098486339</v>
      </c>
      <c r="BP61" s="432">
        <f t="shared" si="147"/>
        <v>9.8997714084754662E-2</v>
      </c>
      <c r="BQ61" s="432">
        <f t="shared" si="147"/>
        <v>0.13887999999999989</v>
      </c>
      <c r="BR61" s="432">
        <f t="shared" si="147"/>
        <v>-0.14076987917954475</v>
      </c>
      <c r="BS61" s="433">
        <f t="shared" si="147"/>
        <v>0.12965990843688679</v>
      </c>
      <c r="BT61" s="432">
        <f t="shared" si="147"/>
        <v>0.13865971920683173</v>
      </c>
      <c r="BU61" s="432">
        <f t="shared" si="147"/>
        <v>3.7752637600101613E-2</v>
      </c>
      <c r="BV61" s="432">
        <f t="shared" si="147"/>
        <v>-5.4140127388534909E-2</v>
      </c>
      <c r="BW61" s="433">
        <f t="shared" si="147"/>
        <v>8.5470085470085388E-2</v>
      </c>
      <c r="BX61" s="432">
        <f t="shared" si="147"/>
        <v>-9.5442615127657726E-3</v>
      </c>
      <c r="BY61" s="432">
        <f t="shared" si="147"/>
        <v>4.9867501806793779E-2</v>
      </c>
      <c r="BZ61" s="432">
        <f t="shared" si="147"/>
        <v>6.1955025240936212E-3</v>
      </c>
      <c r="CA61" s="433">
        <f t="shared" si="147"/>
        <v>9.3044469783352346E-2</v>
      </c>
      <c r="CB61" s="432">
        <f t="shared" si="147"/>
        <v>8.0116837054037271E-2</v>
      </c>
      <c r="CC61" s="432">
        <f t="shared" si="147"/>
        <v>8.2093876762603379E-3</v>
      </c>
      <c r="CD61" s="432">
        <f t="shared" si="147"/>
        <v>-1.714723632531856E-2</v>
      </c>
      <c r="CE61" s="433">
        <f t="shared" si="147"/>
        <v>8.2456140350877005E-2</v>
      </c>
      <c r="CF61" s="432">
        <f t="shared" si="147"/>
        <v>2.0979650639294301E-2</v>
      </c>
      <c r="CG61" s="432">
        <f t="shared" si="147"/>
        <v>6.7025310873973787E-3</v>
      </c>
      <c r="CH61" s="432">
        <f t="shared" si="147"/>
        <v>-8.5151116951379779E-2</v>
      </c>
      <c r="CI61" s="433">
        <f t="shared" si="147"/>
        <v>5.0464425931245893E-2</v>
      </c>
      <c r="CJ61" s="432">
        <f t="shared" si="147"/>
        <v>-5.5241567912488576E-2</v>
      </c>
      <c r="CK61" s="432">
        <f t="shared" si="147"/>
        <v>2.0262446931686551E-2</v>
      </c>
      <c r="CL61" s="432">
        <f t="shared" si="147"/>
        <v>-7.9629279364478944E-2</v>
      </c>
      <c r="CM61" s="433">
        <f t="shared" si="147"/>
        <v>7.4702013974517145E-2</v>
      </c>
      <c r="CN61" s="432">
        <f t="shared" si="147"/>
        <v>1.4341715269146293E-2</v>
      </c>
      <c r="CO61" s="432">
        <f t="shared" ref="CO61:CT61" si="148">CO57/CN57-1</f>
        <v>2.2151003864643304E-2</v>
      </c>
      <c r="CP61" s="432">
        <f t="shared" si="148"/>
        <v>-6.5750645518259043E-2</v>
      </c>
      <c r="CQ61" s="433">
        <f t="shared" si="148"/>
        <v>2.9019840094758553E-2</v>
      </c>
      <c r="CR61" s="432">
        <f t="shared" si="148"/>
        <v>8.4412470023980779E-2</v>
      </c>
      <c r="CS61" s="432">
        <f t="shared" si="148"/>
        <v>-2.86598850066343E-2</v>
      </c>
      <c r="CT61" s="432">
        <f t="shared" si="148"/>
        <v>1.3204626172479639E-2</v>
      </c>
      <c r="CU61" s="433">
        <f>CU57/CT57-1</f>
        <v>0.12601114506561206</v>
      </c>
      <c r="CV61" s="432">
        <f>CV57/CU57-1</f>
        <v>2.5547534128627092E-3</v>
      </c>
      <c r="CW61" s="432">
        <f t="shared" ref="CW61" si="149">CW57/CV57-1</f>
        <v>8.0327090237202192E-3</v>
      </c>
      <c r="CX61" s="432">
        <f t="shared" ref="CX61" si="150">CX57/CW57-1</f>
        <v>-5.4473912796109358E-2</v>
      </c>
      <c r="CY61" s="433">
        <f t="shared" ref="CY61" si="151">CY57/CX57-1</f>
        <v>-1.2150783157986011E-2</v>
      </c>
      <c r="DA61" s="432"/>
      <c r="DB61" s="432"/>
      <c r="DC61" s="432"/>
      <c r="DD61" s="432"/>
      <c r="DE61" s="432"/>
      <c r="DF61" s="432"/>
      <c r="DG61" s="432"/>
      <c r="DH61" s="432"/>
      <c r="DI61" s="432"/>
      <c r="DJ61" s="432"/>
      <c r="DK61" s="432"/>
      <c r="DL61" s="432"/>
      <c r="DM61" s="432"/>
      <c r="DN61" s="432"/>
      <c r="DO61" s="432"/>
      <c r="DP61" s="432"/>
      <c r="DQ61" s="432"/>
      <c r="DR61" s="432"/>
      <c r="DS61" s="432"/>
      <c r="DT61" s="432"/>
      <c r="DU61" s="432"/>
      <c r="DV61" s="432"/>
      <c r="DW61" s="432"/>
      <c r="DX61" s="432"/>
      <c r="DY61" s="432"/>
      <c r="DZ61" s="432"/>
      <c r="EA61" s="432"/>
      <c r="EB61" s="432"/>
      <c r="EC61" s="432"/>
      <c r="ED61" s="432"/>
      <c r="EE61" s="435"/>
    </row>
    <row r="62" spans="1:135" s="435" customFormat="1" ht="15">
      <c r="A62" s="133"/>
      <c r="B62" s="304" t="s">
        <v>240</v>
      </c>
      <c r="D62" s="598"/>
      <c r="E62" s="432"/>
      <c r="F62" s="432"/>
      <c r="G62" s="433"/>
      <c r="H62" s="432"/>
      <c r="I62" s="432"/>
      <c r="J62" s="432"/>
      <c r="K62" s="433"/>
      <c r="L62" s="432"/>
      <c r="M62" s="432"/>
      <c r="N62" s="432"/>
      <c r="O62" s="433"/>
      <c r="P62" s="432"/>
      <c r="Q62" s="432"/>
      <c r="R62" s="432"/>
      <c r="S62" s="433"/>
      <c r="T62" s="432"/>
      <c r="U62" s="432"/>
      <c r="V62" s="432"/>
      <c r="W62" s="433"/>
      <c r="X62" s="432"/>
      <c r="Y62" s="432"/>
      <c r="Z62" s="432"/>
      <c r="AA62" s="433"/>
      <c r="AB62" s="432"/>
      <c r="AC62" s="432"/>
      <c r="AD62" s="432"/>
      <c r="AE62" s="433">
        <f t="shared" ref="AE62:BJ62" si="152">IF(AA57=0,0,AE57/AA57-1)</f>
        <v>0</v>
      </c>
      <c r="AF62" s="432">
        <f t="shared" si="152"/>
        <v>-0.18654634946677606</v>
      </c>
      <c r="AG62" s="432">
        <f t="shared" si="152"/>
        <v>-0.1115636621214805</v>
      </c>
      <c r="AH62" s="432">
        <f t="shared" si="152"/>
        <v>-0.12684857321391385</v>
      </c>
      <c r="AI62" s="433">
        <f t="shared" si="152"/>
        <v>-3.0078203328654074E-2</v>
      </c>
      <c r="AJ62" s="432">
        <f t="shared" si="152"/>
        <v>2.0976200080677687E-2</v>
      </c>
      <c r="AK62" s="432">
        <f t="shared" si="152"/>
        <v>6.4381104245565091E-2</v>
      </c>
      <c r="AL62" s="432">
        <f t="shared" si="152"/>
        <v>0.10734732824427473</v>
      </c>
      <c r="AM62" s="433">
        <f t="shared" si="152"/>
        <v>6.7397146991936996E-2</v>
      </c>
      <c r="AN62" s="432">
        <f t="shared" si="152"/>
        <v>3.4966416436191139E-2</v>
      </c>
      <c r="AO62" s="432">
        <f t="shared" si="152"/>
        <v>5.2247191011235872E-2</v>
      </c>
      <c r="AP62" s="432">
        <f t="shared" si="152"/>
        <v>6.7643257216716934E-2</v>
      </c>
      <c r="AQ62" s="433">
        <f t="shared" si="152"/>
        <v>0.1702498547356186</v>
      </c>
      <c r="AR62" s="432">
        <f t="shared" si="152"/>
        <v>0.42584462683718272</v>
      </c>
      <c r="AS62" s="432">
        <f t="shared" si="152"/>
        <v>0.16906922940024915</v>
      </c>
      <c r="AT62" s="432">
        <f t="shared" si="152"/>
        <v>0.29156577885391433</v>
      </c>
      <c r="AU62" s="433">
        <f t="shared" si="152"/>
        <v>5.3293611386958428E-2</v>
      </c>
      <c r="AV62" s="432">
        <f t="shared" si="152"/>
        <v>3.6813922356091044E-2</v>
      </c>
      <c r="AW62" s="432">
        <f t="shared" si="152"/>
        <v>0.17582584868320894</v>
      </c>
      <c r="AX62" s="432">
        <f t="shared" si="152"/>
        <v>7.9362599593813421E-2</v>
      </c>
      <c r="AY62" s="433">
        <f t="shared" si="152"/>
        <v>0.12947831552482691</v>
      </c>
      <c r="AZ62" s="432">
        <f t="shared" si="152"/>
        <v>1.6526791478373104E-2</v>
      </c>
      <c r="BA62" s="432">
        <f t="shared" si="152"/>
        <v>1.9808389435525653E-2</v>
      </c>
      <c r="BB62" s="432">
        <f t="shared" si="152"/>
        <v>-1.2013315964683691E-2</v>
      </c>
      <c r="BC62" s="433">
        <f t="shared" si="152"/>
        <v>2.8519755147468073E-2</v>
      </c>
      <c r="BD62" s="432">
        <f t="shared" si="152"/>
        <v>1.778229391591557E-3</v>
      </c>
      <c r="BE62" s="432">
        <f t="shared" si="152"/>
        <v>4.7480005078075482E-2</v>
      </c>
      <c r="BF62" s="432">
        <f t="shared" si="152"/>
        <v>1.5528860240257902E-2</v>
      </c>
      <c r="BG62" s="433">
        <f t="shared" si="152"/>
        <v>7.2636277559853912E-2</v>
      </c>
      <c r="BH62" s="432">
        <f t="shared" si="152"/>
        <v>4.1587422340560343E-2</v>
      </c>
      <c r="BI62" s="432">
        <f t="shared" si="152"/>
        <v>1.5392073688037744E-2</v>
      </c>
      <c r="BJ62" s="432">
        <f t="shared" si="152"/>
        <v>-5.4529717253318011E-2</v>
      </c>
      <c r="BK62" s="433">
        <f t="shared" ref="BK62:CP62" si="153">IF(BG57=0,0,BK57/BG57-1)</f>
        <v>-0.33303909205548543</v>
      </c>
      <c r="BL62" s="432">
        <f t="shared" si="153"/>
        <v>-0.49409616555082159</v>
      </c>
      <c r="BM62" s="432">
        <f t="shared" si="153"/>
        <v>-0.48233468608259722</v>
      </c>
      <c r="BN62" s="432">
        <f t="shared" si="153"/>
        <v>-0.2238327738785475</v>
      </c>
      <c r="BO62" s="433">
        <f t="shared" si="153"/>
        <v>7.5250519947059891E-2</v>
      </c>
      <c r="BP62" s="432">
        <f t="shared" si="153"/>
        <v>0.50384985563041385</v>
      </c>
      <c r="BQ62" s="432">
        <f t="shared" si="153"/>
        <v>0.64122665436937965</v>
      </c>
      <c r="BR62" s="432">
        <f t="shared" si="153"/>
        <v>0.20228032239040705</v>
      </c>
      <c r="BS62" s="433">
        <f t="shared" si="153"/>
        <v>0.21487603305785119</v>
      </c>
      <c r="BT62" s="432">
        <f t="shared" si="153"/>
        <v>0.25872000000000006</v>
      </c>
      <c r="BU62" s="432">
        <f t="shared" si="153"/>
        <v>0.14695139084012365</v>
      </c>
      <c r="BV62" s="432">
        <f t="shared" si="153"/>
        <v>0.26258992805755388</v>
      </c>
      <c r="BW62" s="433">
        <f t="shared" si="153"/>
        <v>0.21320017368649591</v>
      </c>
      <c r="BX62" s="432">
        <f t="shared" si="153"/>
        <v>5.5294267192067759E-2</v>
      </c>
      <c r="BY62" s="432">
        <f t="shared" si="153"/>
        <v>6.7613914747672865E-2</v>
      </c>
      <c r="BZ62" s="432">
        <f t="shared" si="153"/>
        <v>0.13571613571613561</v>
      </c>
      <c r="CA62" s="433">
        <f t="shared" si="153"/>
        <v>0.1436411357671199</v>
      </c>
      <c r="CB62" s="432">
        <f t="shared" si="153"/>
        <v>0.24716935678149876</v>
      </c>
      <c r="CC62" s="432">
        <f t="shared" si="153"/>
        <v>0.19768242312987616</v>
      </c>
      <c r="CD62" s="432">
        <f t="shared" si="153"/>
        <v>0.16989737742303301</v>
      </c>
      <c r="CE62" s="433">
        <f t="shared" si="153"/>
        <v>0.15856457333611496</v>
      </c>
      <c r="CF62" s="432">
        <f t="shared" si="153"/>
        <v>9.5132316013134988E-2</v>
      </c>
      <c r="CG62" s="432">
        <f t="shared" si="153"/>
        <v>9.3495545550339898E-2</v>
      </c>
      <c r="CH62" s="432">
        <f t="shared" si="153"/>
        <v>1.7836257309941539E-2</v>
      </c>
      <c r="CI62" s="433">
        <f t="shared" si="153"/>
        <v>-1.224563299117587E-2</v>
      </c>
      <c r="CJ62" s="432">
        <f t="shared" si="153"/>
        <v>-8.5986418555428212E-2</v>
      </c>
      <c r="CK62" s="432">
        <f t="shared" si="153"/>
        <v>-7.3674989049496209E-2</v>
      </c>
      <c r="CL62" s="432">
        <f t="shared" si="153"/>
        <v>-6.8083883941396084E-2</v>
      </c>
      <c r="CM62" s="433">
        <f t="shared" si="153"/>
        <v>-4.6581586144029075E-2</v>
      </c>
      <c r="CN62" s="432">
        <f t="shared" si="153"/>
        <v>2.3639521420301124E-2</v>
      </c>
      <c r="CO62" s="432">
        <f t="shared" si="153"/>
        <v>2.5534329487421958E-2</v>
      </c>
      <c r="CP62" s="432">
        <f t="shared" si="153"/>
        <v>4.0998766954377208E-2</v>
      </c>
      <c r="CQ62" s="433">
        <f t="shared" ref="CQ62:CT62" si="154">IF(CM57=0,0,CQ57/CM57-1)</f>
        <v>-3.2507887943399316E-3</v>
      </c>
      <c r="CR62" s="432">
        <f t="shared" si="154"/>
        <v>6.5604675275709123E-2</v>
      </c>
      <c r="CS62" s="432">
        <f t="shared" si="154"/>
        <v>1.263371449649564E-2</v>
      </c>
      <c r="CT62" s="432">
        <f t="shared" si="154"/>
        <v>9.8213404402329285E-2</v>
      </c>
      <c r="CU62" s="433">
        <f>IF(CQ57=0,0,CU57/CQ57-1)</f>
        <v>0.20172661870503594</v>
      </c>
      <c r="CV62" s="432">
        <f>CV63+CV29</f>
        <v>0.11101335256579759</v>
      </c>
      <c r="CW62" s="432">
        <f>CW63+CW29</f>
        <v>0.15298213495082069</v>
      </c>
      <c r="CX62" s="432">
        <f>CX63+CX29</f>
        <v>7.5966945388240947E-2</v>
      </c>
      <c r="CY62" s="433">
        <f>CY63+CY29</f>
        <v>-5.605454350300082E-2</v>
      </c>
      <c r="DA62" s="432"/>
      <c r="DB62" s="432"/>
      <c r="DC62" s="432"/>
      <c r="DD62" s="432"/>
      <c r="DE62" s="432"/>
      <c r="DF62" s="432"/>
      <c r="DG62" s="432">
        <f>DG57/DF57-1</f>
        <v>0.4624371688629263</v>
      </c>
      <c r="DH62" s="432">
        <f>DH57/DG57-1</f>
        <v>-0.11732466326056656</v>
      </c>
      <c r="DI62" s="432">
        <f t="shared" ref="DI62:DY62" si="155">DI57/DH57-1</f>
        <v>6.3302462639444279E-2</v>
      </c>
      <c r="DJ62" s="432">
        <f t="shared" si="155"/>
        <v>8.1605384272776638E-2</v>
      </c>
      <c r="DK62" s="432">
        <f t="shared" si="155"/>
        <v>0.22639092240117131</v>
      </c>
      <c r="DL62" s="432">
        <f t="shared" si="155"/>
        <v>0.10304432174302347</v>
      </c>
      <c r="DM62" s="432">
        <f t="shared" si="155"/>
        <v>1.3630521545017649E-2</v>
      </c>
      <c r="DN62" s="432">
        <f t="shared" si="155"/>
        <v>3.4402215622810317E-2</v>
      </c>
      <c r="DO62" s="432">
        <f t="shared" si="155"/>
        <v>-8.2709677419354866E-2</v>
      </c>
      <c r="DP62" s="432">
        <f t="shared" si="155"/>
        <v>-0.32244338162892106</v>
      </c>
      <c r="DQ62" s="432">
        <f t="shared" si="155"/>
        <v>0.36985519281673329</v>
      </c>
      <c r="DR62" s="432">
        <f t="shared" si="155"/>
        <v>0.21755768575000944</v>
      </c>
      <c r="DS62" s="432">
        <f t="shared" si="155"/>
        <v>0.1007935273066749</v>
      </c>
      <c r="DT62" s="432">
        <f t="shared" si="155"/>
        <v>0.19180754226267882</v>
      </c>
      <c r="DU62" s="432">
        <f t="shared" si="155"/>
        <v>4.7629213216632271E-2</v>
      </c>
      <c r="DV62" s="432">
        <f t="shared" si="155"/>
        <v>-6.878438653293184E-2</v>
      </c>
      <c r="DW62" s="432">
        <f t="shared" si="155"/>
        <v>2.1396095212623756E-2</v>
      </c>
      <c r="DX62" s="432">
        <f t="shared" si="155"/>
        <v>9.3575186269609034E-2</v>
      </c>
      <c r="DY62" s="432">
        <f t="shared" si="155"/>
        <v>6.6997381106558063E-2</v>
      </c>
      <c r="DZ62" s="432">
        <f>DZ63+DZ29</f>
        <v>4.2540139977006765E-2</v>
      </c>
      <c r="EA62" s="432">
        <f t="shared" ref="EA62:ED62" si="156">EA63+EA29</f>
        <v>4.4202585021236286E-2</v>
      </c>
      <c r="EB62" s="432">
        <f t="shared" si="156"/>
        <v>4.7967013549827443E-2</v>
      </c>
      <c r="EC62" s="432">
        <f t="shared" si="156"/>
        <v>4.4857585137321278E-2</v>
      </c>
      <c r="ED62" s="432">
        <f t="shared" si="156"/>
        <v>4.0301050702716702E-2</v>
      </c>
    </row>
    <row r="63" spans="1:135" s="435" customFormat="1" ht="15">
      <c r="A63" s="258"/>
      <c r="B63" s="664" t="s">
        <v>339</v>
      </c>
      <c r="D63" s="598"/>
      <c r="E63" s="432"/>
      <c r="F63" s="432"/>
      <c r="G63" s="433"/>
      <c r="H63" s="432"/>
      <c r="I63" s="432"/>
      <c r="J63" s="432"/>
      <c r="K63" s="433"/>
      <c r="L63" s="432"/>
      <c r="M63" s="432"/>
      <c r="N63" s="432"/>
      <c r="O63" s="433"/>
      <c r="P63" s="432"/>
      <c r="Q63" s="432"/>
      <c r="R63" s="432"/>
      <c r="S63" s="433"/>
      <c r="T63" s="432"/>
      <c r="U63" s="432"/>
      <c r="V63" s="432"/>
      <c r="W63" s="433"/>
      <c r="X63" s="432"/>
      <c r="Y63" s="432"/>
      <c r="Z63" s="432"/>
      <c r="AA63" s="433"/>
      <c r="AB63" s="432"/>
      <c r="AC63" s="432"/>
      <c r="AD63" s="432"/>
      <c r="AE63" s="433"/>
      <c r="AF63" s="432">
        <f t="shared" ref="AF63:BK63" si="157">AF62-AF$29</f>
        <v>-0.145988931105274</v>
      </c>
      <c r="AG63" s="432">
        <f t="shared" si="157"/>
        <v>-8.6514318517241229E-2</v>
      </c>
      <c r="AH63" s="432">
        <f t="shared" si="157"/>
        <v>-9.686338644752035E-2</v>
      </c>
      <c r="AI63" s="433">
        <f t="shared" si="157"/>
        <v>6.1588436629166354E-3</v>
      </c>
      <c r="AJ63" s="432">
        <f t="shared" si="157"/>
        <v>2.3534835655094954E-2</v>
      </c>
      <c r="AK63" s="432">
        <f t="shared" si="157"/>
        <v>2.4021052541726151E-2</v>
      </c>
      <c r="AL63" s="432">
        <f t="shared" si="157"/>
        <v>3.1854981770419011E-2</v>
      </c>
      <c r="AM63" s="433">
        <f t="shared" si="157"/>
        <v>-1.6225567815281172E-2</v>
      </c>
      <c r="AN63" s="432">
        <f t="shared" si="157"/>
        <v>-2.2534431860685489E-2</v>
      </c>
      <c r="AO63" s="432">
        <f t="shared" si="157"/>
        <v>5.283083233092245E-2</v>
      </c>
      <c r="AP63" s="432">
        <f t="shared" si="157"/>
        <v>6.1722472651399407E-2</v>
      </c>
      <c r="AQ63" s="433">
        <f t="shared" si="157"/>
        <v>0.12451539017346724</v>
      </c>
      <c r="AR63" s="432">
        <f t="shared" si="157"/>
        <v>0.37800560842284958</v>
      </c>
      <c r="AS63" s="432">
        <f t="shared" si="157"/>
        <v>9.8713670549655408E-2</v>
      </c>
      <c r="AT63" s="432">
        <f t="shared" si="157"/>
        <v>0.23083704311106046</v>
      </c>
      <c r="AU63" s="433">
        <f t="shared" si="157"/>
        <v>2.8838333003801342E-2</v>
      </c>
      <c r="AV63" s="432">
        <f t="shared" si="157"/>
        <v>2.0149279333220083E-2</v>
      </c>
      <c r="AW63" s="432">
        <f t="shared" si="157"/>
        <v>0.13161881139209508</v>
      </c>
      <c r="AX63" s="432">
        <f t="shared" si="157"/>
        <v>3.180732886098081E-2</v>
      </c>
      <c r="AY63" s="433">
        <f t="shared" si="157"/>
        <v>6.8716781215179212E-2</v>
      </c>
      <c r="AZ63" s="432">
        <f t="shared" si="157"/>
        <v>-6.4881311876012537E-2</v>
      </c>
      <c r="BA63" s="432">
        <f t="shared" si="157"/>
        <v>-8.5255583015566572E-3</v>
      </c>
      <c r="BB63" s="432">
        <f t="shared" si="157"/>
        <v>-3.0422131199554614E-2</v>
      </c>
      <c r="BC63" s="433">
        <f t="shared" si="157"/>
        <v>-7.4910510407526498E-3</v>
      </c>
      <c r="BD63" s="432">
        <f t="shared" si="157"/>
        <v>-2.1573705505174789E-2</v>
      </c>
      <c r="BE63" s="432">
        <f t="shared" si="157"/>
        <v>-2.5948733867098284E-3</v>
      </c>
      <c r="BF63" s="432">
        <f t="shared" si="157"/>
        <v>-5.1236125254736198E-2</v>
      </c>
      <c r="BG63" s="433">
        <f t="shared" si="157"/>
        <v>-1.4928687108181737E-2</v>
      </c>
      <c r="BH63" s="432">
        <f t="shared" si="157"/>
        <v>3.2146232296037525E-3</v>
      </c>
      <c r="BI63" s="432">
        <f t="shared" si="157"/>
        <v>-1.2675112466464578E-2</v>
      </c>
      <c r="BJ63" s="432">
        <f t="shared" si="157"/>
        <v>-3.7106364345761755E-2</v>
      </c>
      <c r="BK63" s="433">
        <f t="shared" si="157"/>
        <v>-0.11943629297274372</v>
      </c>
      <c r="BL63" s="432">
        <f t="shared" ref="BL63:CQ63" si="158">BL62-BL$29</f>
        <v>-0.15384417198531175</v>
      </c>
      <c r="BM63" s="432">
        <f t="shared" si="158"/>
        <v>-0.24957084956381603</v>
      </c>
      <c r="BN63" s="432">
        <f t="shared" si="158"/>
        <v>-0.18270162496736619</v>
      </c>
      <c r="BO63" s="433">
        <f t="shared" si="158"/>
        <v>-0.14529399680367172</v>
      </c>
      <c r="BP63" s="432">
        <f t="shared" si="158"/>
        <v>-7.5687129889070448E-3</v>
      </c>
      <c r="BQ63" s="432">
        <f t="shared" si="158"/>
        <v>0.32825753596135288</v>
      </c>
      <c r="BR63" s="432">
        <f t="shared" si="158"/>
        <v>5.1094173045595825E-2</v>
      </c>
      <c r="BS63" s="433">
        <f t="shared" si="158"/>
        <v>0.10904145259416076</v>
      </c>
      <c r="BT63" s="432">
        <f t="shared" si="158"/>
        <v>0.18476256634354216</v>
      </c>
      <c r="BU63" s="432">
        <f t="shared" si="158"/>
        <v>0.16051613902804596</v>
      </c>
      <c r="BV63" s="432">
        <f t="shared" si="158"/>
        <v>0.21056311626593538</v>
      </c>
      <c r="BW63" s="433">
        <f t="shared" si="158"/>
        <v>0.18856406096545708</v>
      </c>
      <c r="BX63" s="432">
        <f t="shared" si="158"/>
        <v>-1.7381175939805926E-2</v>
      </c>
      <c r="BY63" s="432">
        <f t="shared" si="158"/>
        <v>-5.3571601295397508E-2</v>
      </c>
      <c r="BZ63" s="432">
        <f t="shared" si="158"/>
        <v>0.10918561683666828</v>
      </c>
      <c r="CA63" s="433">
        <f t="shared" si="158"/>
        <v>0.1226397658924212</v>
      </c>
      <c r="CB63" s="432">
        <f t="shared" si="158"/>
        <v>0.24639715498404424</v>
      </c>
      <c r="CC63" s="432">
        <f t="shared" si="158"/>
        <v>0.15896955238096422</v>
      </c>
      <c r="CD63" s="432">
        <f t="shared" si="158"/>
        <v>0.11943291484490004</v>
      </c>
      <c r="CE63" s="433">
        <f t="shared" si="158"/>
        <v>8.5229907800354221E-2</v>
      </c>
      <c r="CF63" s="432">
        <f t="shared" si="158"/>
        <v>4.3170754830396785E-2</v>
      </c>
      <c r="CG63" s="432">
        <f t="shared" si="158"/>
        <v>5.6981309099324751E-2</v>
      </c>
      <c r="CH63" s="432">
        <f t="shared" si="158"/>
        <v>-3.2519272082813799E-3</v>
      </c>
      <c r="CI63" s="433">
        <f t="shared" si="158"/>
        <v>-2.955969609666409E-2</v>
      </c>
      <c r="CJ63" s="432">
        <f t="shared" si="158"/>
        <v>-0.10634003718020235</v>
      </c>
      <c r="CK63" s="432">
        <f t="shared" si="158"/>
        <v>-7.7128162685119794E-2</v>
      </c>
      <c r="CL63" s="432">
        <f t="shared" si="158"/>
        <v>-6.0432400296048794E-2</v>
      </c>
      <c r="CM63" s="433">
        <f t="shared" si="158"/>
        <v>-9.0843379051066764E-2</v>
      </c>
      <c r="CN63" s="432">
        <f t="shared" si="158"/>
        <v>6.8017943527765024E-3</v>
      </c>
      <c r="CO63" s="432">
        <f t="shared" si="158"/>
        <v>-8.5786058419736744E-3</v>
      </c>
      <c r="CP63" s="432">
        <f t="shared" si="158"/>
        <v>-2.8264979844769389E-2</v>
      </c>
      <c r="CQ63" s="433">
        <f t="shared" si="158"/>
        <v>-7.895959029178512E-2</v>
      </c>
      <c r="CR63" s="432">
        <f t="shared" ref="CR63:CT63" si="159">CR62-CR$29</f>
        <v>8.8122587228567362E-3</v>
      </c>
      <c r="CS63" s="432">
        <f t="shared" si="159"/>
        <v>1.1308731926018112E-2</v>
      </c>
      <c r="CT63" s="432">
        <f t="shared" si="159"/>
        <v>7.228639481116339E-2</v>
      </c>
      <c r="CU63" s="433">
        <f>CU62-CU$29</f>
        <v>0.19119407595737248</v>
      </c>
      <c r="CV63" s="445">
        <v>0.12</v>
      </c>
      <c r="CW63" s="445">
        <v>0.115</v>
      </c>
      <c r="CX63" s="445">
        <v>0.06</v>
      </c>
      <c r="CY63" s="446">
        <v>-0.06</v>
      </c>
      <c r="DA63" s="432"/>
      <c r="DB63" s="432"/>
      <c r="DC63" s="432"/>
      <c r="DD63" s="432"/>
      <c r="DE63" s="432"/>
      <c r="DF63" s="432"/>
      <c r="DG63" s="432"/>
      <c r="DH63" s="432">
        <f t="shared" ref="DH63:DX63" si="160">DH62-DH$29</f>
        <v>-8.4315671421477445E-2</v>
      </c>
      <c r="DI63" s="432">
        <f t="shared" si="160"/>
        <v>1.5454966382574487E-2</v>
      </c>
      <c r="DJ63" s="432">
        <f t="shared" si="160"/>
        <v>5.4519620480793396E-2</v>
      </c>
      <c r="DK63" s="432">
        <f t="shared" si="160"/>
        <v>0.17583032239470064</v>
      </c>
      <c r="DL63" s="432">
        <f t="shared" si="160"/>
        <v>6.0933156617215989E-2</v>
      </c>
      <c r="DM63" s="432">
        <f t="shared" si="160"/>
        <v>-2.7531032593407723E-2</v>
      </c>
      <c r="DN63" s="432">
        <f t="shared" si="160"/>
        <v>-2.2131793608915151E-2</v>
      </c>
      <c r="DO63" s="432">
        <f t="shared" si="160"/>
        <v>-3.9622063759016224E-2</v>
      </c>
      <c r="DP63" s="432">
        <f t="shared" si="160"/>
        <v>-0.20368831717918023</v>
      </c>
      <c r="DQ63" s="432">
        <f t="shared" si="160"/>
        <v>0.12026839518304411</v>
      </c>
      <c r="DR63" s="432">
        <f t="shared" si="160"/>
        <v>0.18376883479178829</v>
      </c>
      <c r="DS63" s="432">
        <f t="shared" si="160"/>
        <v>4.1279609350595603E-2</v>
      </c>
      <c r="DT63" s="432">
        <f t="shared" si="160"/>
        <v>0.15143423502417019</v>
      </c>
      <c r="DU63" s="432">
        <f t="shared" si="160"/>
        <v>1.5934966620909652E-2</v>
      </c>
      <c r="DV63" s="432">
        <f t="shared" si="160"/>
        <v>-8.4331572122015697E-2</v>
      </c>
      <c r="DW63" s="432">
        <f t="shared" si="160"/>
        <v>-2.7373787768024904E-2</v>
      </c>
      <c r="DX63" s="432">
        <f t="shared" si="160"/>
        <v>7.0244576167018957E-2</v>
      </c>
      <c r="DY63" s="432">
        <f t="shared" ref="DY63" si="161">DY62-DY$29</f>
        <v>5.5280547839478222E-2</v>
      </c>
      <c r="DZ63" s="445">
        <v>2.5000000000000001E-2</v>
      </c>
      <c r="EA63" s="445">
        <f>DZ63</f>
        <v>2.5000000000000001E-2</v>
      </c>
      <c r="EB63" s="445">
        <f>EA63</f>
        <v>2.5000000000000001E-2</v>
      </c>
      <c r="EC63" s="445">
        <f>EB63</f>
        <v>2.5000000000000001E-2</v>
      </c>
      <c r="ED63" s="445">
        <f>EC63</f>
        <v>2.5000000000000001E-2</v>
      </c>
    </row>
    <row r="64" spans="1:135" s="435" customFormat="1" ht="15">
      <c r="A64" s="258"/>
      <c r="B64" s="664" t="s">
        <v>365</v>
      </c>
      <c r="D64" s="598"/>
      <c r="E64" s="432"/>
      <c r="F64" s="432"/>
      <c r="G64" s="433"/>
      <c r="H64" s="432"/>
      <c r="I64" s="432"/>
      <c r="J64" s="432"/>
      <c r="K64" s="433"/>
      <c r="L64" s="432"/>
      <c r="M64" s="432"/>
      <c r="N64" s="432"/>
      <c r="O64" s="433"/>
      <c r="P64" s="432"/>
      <c r="Q64" s="432"/>
      <c r="R64" s="432"/>
      <c r="S64" s="433"/>
      <c r="T64" s="432"/>
      <c r="U64" s="432"/>
      <c r="V64" s="432"/>
      <c r="W64" s="433"/>
      <c r="X64" s="432"/>
      <c r="Y64" s="432"/>
      <c r="Z64" s="432"/>
      <c r="AA64" s="433"/>
      <c r="AB64" s="432"/>
      <c r="AC64" s="432"/>
      <c r="AD64" s="432"/>
      <c r="AE64" s="433"/>
      <c r="AF64" s="432"/>
      <c r="AG64" s="432"/>
      <c r="AH64" s="432"/>
      <c r="AI64" s="433"/>
      <c r="AJ64" s="432"/>
      <c r="AK64" s="432"/>
      <c r="AL64" s="432"/>
      <c r="AM64" s="433"/>
      <c r="AN64" s="432"/>
      <c r="AO64" s="432"/>
      <c r="AP64" s="432"/>
      <c r="AQ64" s="433"/>
      <c r="AR64" s="432"/>
      <c r="AS64" s="432"/>
      <c r="AT64" s="432"/>
      <c r="AU64" s="433"/>
      <c r="AV64" s="432"/>
      <c r="AW64" s="432"/>
      <c r="AX64" s="432"/>
      <c r="AY64" s="433"/>
      <c r="AZ64" s="432"/>
      <c r="BA64" s="432"/>
      <c r="BB64" s="432"/>
      <c r="BC64" s="433"/>
      <c r="BD64" s="432"/>
      <c r="BE64" s="432"/>
      <c r="BF64" s="432"/>
      <c r="BG64" s="433"/>
      <c r="BH64" s="432"/>
      <c r="BI64" s="432"/>
      <c r="BJ64" s="432"/>
      <c r="BK64" s="433"/>
      <c r="BL64" s="432"/>
      <c r="BM64" s="432"/>
      <c r="BN64" s="432"/>
      <c r="BO64" s="433">
        <f>BO62-BO$32</f>
        <v>-0.13450093404015451</v>
      </c>
      <c r="BP64" s="432">
        <f t="shared" ref="BP64:CT64" si="162">BP62-BP$32</f>
        <v>-1.9913330919931749E-3</v>
      </c>
      <c r="BQ64" s="432">
        <f t="shared" si="162"/>
        <v>0.25591287895340636</v>
      </c>
      <c r="BR64" s="432">
        <f t="shared" si="162"/>
        <v>4.3446269173801288E-2</v>
      </c>
      <c r="BS64" s="433">
        <f t="shared" si="162"/>
        <v>0.10641405566866723</v>
      </c>
      <c r="BT64" s="432">
        <f t="shared" si="162"/>
        <v>0.12627625346061641</v>
      </c>
      <c r="BU64" s="432">
        <f t="shared" si="162"/>
        <v>0.11458322487820177</v>
      </c>
      <c r="BV64" s="432">
        <f t="shared" si="162"/>
        <v>0.19723484081476927</v>
      </c>
      <c r="BW64" s="433">
        <f t="shared" si="162"/>
        <v>0.16737168792900251</v>
      </c>
      <c r="BX64" s="432">
        <f t="shared" si="162"/>
        <v>9.1324167936254752E-4</v>
      </c>
      <c r="BY64" s="432">
        <f t="shared" si="162"/>
        <v>-3.9731736378623414E-2</v>
      </c>
      <c r="BZ64" s="432">
        <f t="shared" si="162"/>
        <v>8.8319225243196131E-2</v>
      </c>
      <c r="CA64" s="433">
        <f t="shared" si="162"/>
        <v>0.10376481837810146</v>
      </c>
      <c r="CB64" s="432">
        <f t="shared" si="162"/>
        <v>0.24726484702251497</v>
      </c>
      <c r="CC64" s="432">
        <f t="shared" si="162"/>
        <v>0.13997966722453076</v>
      </c>
      <c r="CD64" s="432">
        <f t="shared" si="162"/>
        <v>0.1178532083387534</v>
      </c>
      <c r="CE64" s="433">
        <f t="shared" si="162"/>
        <v>9.6597331232886566E-2</v>
      </c>
      <c r="CF64" s="432">
        <f t="shared" si="162"/>
        <v>4.4191954585420995E-2</v>
      </c>
      <c r="CG64" s="432">
        <f t="shared" si="162"/>
        <v>5.9066079299884694E-2</v>
      </c>
      <c r="CH64" s="432">
        <f t="shared" si="162"/>
        <v>-2.2506507117268731E-2</v>
      </c>
      <c r="CI64" s="433">
        <f t="shared" si="162"/>
        <v>-4.9402340633203326E-2</v>
      </c>
      <c r="CJ64" s="432">
        <f t="shared" si="162"/>
        <v>-0.11891403649321916</v>
      </c>
      <c r="CK64" s="432">
        <f t="shared" si="162"/>
        <v>-9.5602414369059585E-2</v>
      </c>
      <c r="CL64" s="432">
        <f t="shared" si="162"/>
        <v>-9.0355755224831469E-2</v>
      </c>
      <c r="CM64" s="433">
        <f t="shared" si="162"/>
        <v>-7.9842804136830786E-2</v>
      </c>
      <c r="CN64" s="432">
        <f t="shared" si="162"/>
        <v>-3.3464067790977027E-3</v>
      </c>
      <c r="CO64" s="432">
        <f t="shared" si="162"/>
        <v>-1.8576443842407239E-2</v>
      </c>
      <c r="CP64" s="432">
        <f t="shared" si="162"/>
        <v>-6.6535640520695855E-3</v>
      </c>
      <c r="CQ64" s="433">
        <f t="shared" si="162"/>
        <v>-6.0857670167296631E-2</v>
      </c>
      <c r="CR64" s="432">
        <f t="shared" si="162"/>
        <v>1.2110347351094071E-2</v>
      </c>
      <c r="CS64" s="432">
        <f t="shared" si="162"/>
        <v>2.7356226736696659E-2</v>
      </c>
      <c r="CT64" s="432">
        <f t="shared" si="162"/>
        <v>9.6084452414105112E-2</v>
      </c>
      <c r="CU64" s="433">
        <f>CU62-CU$32</f>
        <v>0.17967797748620942</v>
      </c>
      <c r="CV64" s="432">
        <f>CV62-CV$32</f>
        <v>0.12011794913702413</v>
      </c>
      <c r="CW64" s="432">
        <f t="shared" ref="CW64:CY64" si="163">CW62-CW$32</f>
        <v>0.11912298888328389</v>
      </c>
      <c r="CX64" s="432">
        <f t="shared" si="163"/>
        <v>4.6702580055720158E-2</v>
      </c>
      <c r="CY64" s="433">
        <f t="shared" si="163"/>
        <v>-5.4656351569204203E-2</v>
      </c>
      <c r="DA64" s="432"/>
      <c r="DB64" s="432"/>
      <c r="DC64" s="432"/>
      <c r="DD64" s="432"/>
      <c r="DE64" s="432"/>
      <c r="DF64" s="432"/>
      <c r="DG64" s="432"/>
      <c r="DH64" s="432"/>
      <c r="DI64" s="432"/>
      <c r="DJ64" s="432"/>
      <c r="DK64" s="432"/>
      <c r="DL64" s="432"/>
      <c r="DM64" s="432"/>
      <c r="DN64" s="432"/>
      <c r="DO64" s="432"/>
      <c r="DP64" s="432"/>
      <c r="DQ64" s="432">
        <f>DQ62-DQ$32</f>
        <v>0.10842434155553837</v>
      </c>
      <c r="DR64" s="432">
        <f t="shared" ref="DR64:EA64" si="164">DR62-DR$32</f>
        <v>0.15030473104153386</v>
      </c>
      <c r="DS64" s="432">
        <f t="shared" si="164"/>
        <v>4.1246803867677345E-2</v>
      </c>
      <c r="DT64" s="432">
        <f t="shared" si="164"/>
        <v>0.15088018276141399</v>
      </c>
      <c r="DU64" s="432">
        <f t="shared" si="164"/>
        <v>7.4411544983437813E-3</v>
      </c>
      <c r="DV64" s="432">
        <f t="shared" si="164"/>
        <v>-9.610002966717382E-2</v>
      </c>
      <c r="DW64" s="432">
        <f t="shared" si="164"/>
        <v>-2.0126066812456427E-2</v>
      </c>
      <c r="DX64" s="432">
        <f t="shared" si="164"/>
        <v>7.9179823870906579E-2</v>
      </c>
      <c r="DY64" s="432">
        <f t="shared" ref="DY64" si="165">DY62-DY$32</f>
        <v>5.5154055327073917E-2</v>
      </c>
      <c r="DZ64" s="432">
        <f t="shared" si="164"/>
        <v>4.3260956617335103E-2</v>
      </c>
      <c r="EA64" s="432">
        <f t="shared" si="164"/>
        <v>3.146409737100108E-2</v>
      </c>
      <c r="EB64" s="432">
        <f t="shared" ref="EB64:ED64" si="166">EB62-EB$32</f>
        <v>2.7449717965871295E-2</v>
      </c>
      <c r="EC64" s="432">
        <f t="shared" si="166"/>
        <v>2.9639274887174508E-2</v>
      </c>
      <c r="ED64" s="432">
        <f t="shared" si="166"/>
        <v>3.1467505132140729E-2</v>
      </c>
    </row>
    <row r="65" spans="1:137" s="435" customFormat="1" ht="15">
      <c r="A65" s="258"/>
      <c r="B65" s="664" t="s">
        <v>385</v>
      </c>
      <c r="D65" s="598"/>
      <c r="E65" s="432"/>
      <c r="F65" s="432"/>
      <c r="G65" s="433"/>
      <c r="H65" s="432"/>
      <c r="I65" s="432"/>
      <c r="J65" s="432"/>
      <c r="K65" s="433"/>
      <c r="L65" s="432"/>
      <c r="M65" s="432"/>
      <c r="N65" s="432"/>
      <c r="O65" s="433"/>
      <c r="P65" s="432"/>
      <c r="Q65" s="432"/>
      <c r="R65" s="432"/>
      <c r="S65" s="433"/>
      <c r="T65" s="432"/>
      <c r="U65" s="432"/>
      <c r="V65" s="432"/>
      <c r="W65" s="433"/>
      <c r="X65" s="432"/>
      <c r="Y65" s="432"/>
      <c r="Z65" s="432"/>
      <c r="AA65" s="433"/>
      <c r="AB65" s="432"/>
      <c r="AC65" s="432"/>
      <c r="AD65" s="432"/>
      <c r="AE65" s="433"/>
      <c r="AF65" s="432"/>
      <c r="AG65" s="432"/>
      <c r="AH65" s="432"/>
      <c r="AI65" s="433"/>
      <c r="AJ65" s="432"/>
      <c r="AK65" s="432"/>
      <c r="AL65" s="432"/>
      <c r="AM65" s="433"/>
      <c r="AN65" s="432"/>
      <c r="AO65" s="432"/>
      <c r="AP65" s="432"/>
      <c r="AQ65" s="433"/>
      <c r="AR65" s="432"/>
      <c r="AS65" s="432"/>
      <c r="AT65" s="432"/>
      <c r="AU65" s="433"/>
      <c r="AV65" s="432"/>
      <c r="AW65" s="432"/>
      <c r="AX65" s="432"/>
      <c r="AY65" s="433"/>
      <c r="AZ65" s="432"/>
      <c r="BA65" s="432"/>
      <c r="BB65" s="432"/>
      <c r="BC65" s="433"/>
      <c r="BD65" s="432"/>
      <c r="BE65" s="432"/>
      <c r="BF65" s="432"/>
      <c r="BG65" s="433"/>
      <c r="BH65" s="432"/>
      <c r="BI65" s="432"/>
      <c r="BJ65" s="432"/>
      <c r="BK65" s="433"/>
      <c r="BL65" s="432"/>
      <c r="BM65" s="432"/>
      <c r="BN65" s="432"/>
      <c r="BO65" s="433">
        <f>BO64-(BO$109*BO$127+BO$112*BO$130)</f>
        <v>-0.18714797926742605</v>
      </c>
      <c r="BP65" s="432">
        <f t="shared" ref="BP65" si="167">BP64-(BP$109*BP$127+BP$112*BP$130)</f>
        <v>-2.8279270918097735E-2</v>
      </c>
      <c r="BQ65" s="432">
        <f t="shared" ref="BQ65" si="168">BQ64-(BQ$109*BQ$127+BQ$112*BQ$130)</f>
        <v>0.28349877486430997</v>
      </c>
      <c r="BR65" s="432">
        <f t="shared" ref="BR65" si="169">BR64-(BR$109*BR$127+BR$112*BR$130)</f>
        <v>8.030105027119154E-2</v>
      </c>
      <c r="BS65" s="433">
        <f t="shared" ref="BS65" si="170">BS64-(BS$109*BS$127+BS$112*BS$130)</f>
        <v>0.13543975881047421</v>
      </c>
      <c r="BT65" s="432">
        <f t="shared" ref="BT65" si="171">BT64-(BT$109*BT$127+BT$112*BT$130)</f>
        <v>0.12581486416850288</v>
      </c>
      <c r="BU65" s="432">
        <f t="shared" ref="BU65" si="172">BU64-(BU$109*BU$127+BU$112*BU$130)</f>
        <v>5.2676256266936582E-2</v>
      </c>
      <c r="BV65" s="432">
        <f t="shared" ref="BV65" si="173">BV64-(BV$109*BV$127+BV$112*BV$130)</f>
        <v>0.15230609669921785</v>
      </c>
      <c r="BW65" s="433">
        <f t="shared" ref="BW65" si="174">BW64-(BW$109*BW$127+BW$112*BW$130)</f>
        <v>0.16230521253509886</v>
      </c>
      <c r="BX65" s="432">
        <f t="shared" ref="BX65" si="175">BX64-(BX$109*BX$127+BX$112*BX$130)</f>
        <v>1.145349181004866E-2</v>
      </c>
      <c r="BY65" s="432">
        <f t="shared" ref="BY65" si="176">BY64-(BY$109*BY$127+BY$112*BY$130)</f>
        <v>-2.5102074516424183E-3</v>
      </c>
      <c r="BZ65" s="432">
        <f t="shared" ref="BZ65" si="177">BZ64-(BZ$109*BZ$127+BZ$112*BZ$130)</f>
        <v>0.12869689692317937</v>
      </c>
      <c r="CA65" s="433">
        <f t="shared" ref="CA65" si="178">CA64-(CA$109*CA$127+CA$112*CA$130)</f>
        <v>0.11378795797482019</v>
      </c>
      <c r="CB65" s="432">
        <f t="shared" ref="CB65" si="179">CB64-(CB$109*CB$127+CB$112*CB$130)</f>
        <v>0.24219218869297415</v>
      </c>
      <c r="CC65" s="432">
        <f t="shared" ref="CC65" si="180">CC64-(CC$109*CC$127+CC$112*CC$130)</f>
        <v>0.12812328745930132</v>
      </c>
      <c r="CD65" s="432">
        <f t="shared" ref="CD65" si="181">CD64-(CD$109*CD$127+CD$112*CD$130)</f>
        <v>8.9093483729585699E-2</v>
      </c>
      <c r="CE65" s="433">
        <f t="shared" ref="CE65" si="182">CE64-(CE$109*CE$127+CE$112*CE$130)</f>
        <v>7.2517182743696507E-2</v>
      </c>
      <c r="CF65" s="432">
        <f t="shared" ref="CF65" si="183">CF64-(CF$109*CF$127+CF$112*CF$130)</f>
        <v>2.5249868717958944E-2</v>
      </c>
      <c r="CG65" s="432">
        <f t="shared" ref="CG65" si="184">CG64-(CG$109*CG$127+CG$112*CG$130)</f>
        <v>4.1015301451781595E-2</v>
      </c>
      <c r="CH65" s="432">
        <f t="shared" ref="CH65" si="185">CH64-(CH$109*CH$127+CH$112*CH$130)</f>
        <v>-2.1800717484273108E-2</v>
      </c>
      <c r="CI65" s="433">
        <f t="shared" ref="CI65" si="186">CI64-(CI$109*CI$127+CI$112*CI$130)</f>
        <v>-1.5605258509497635E-2</v>
      </c>
      <c r="CJ65" s="432">
        <f t="shared" ref="CJ65" si="187">CJ64-(CJ$109*CJ$127+CJ$112*CJ$130)</f>
        <v>-4.7483682128270199E-2</v>
      </c>
      <c r="CK65" s="432">
        <f t="shared" ref="CK65" si="188">CK64-(CK$109*CK$127+CK$112*CK$130)</f>
        <v>-2.3841015083450975E-2</v>
      </c>
      <c r="CL65" s="432">
        <f t="shared" ref="CL65" si="189">CL64-(CL$109*CL$127+CL$112*CL$130)</f>
        <v>-2.8100175049823518E-2</v>
      </c>
      <c r="CM65" s="433">
        <f t="shared" ref="CM65" si="190">CM64-(CM$109*CM$127+CM$112*CM$130)</f>
        <v>-2.7348073273495747E-2</v>
      </c>
      <c r="CN65" s="432">
        <f t="shared" ref="CN65" si="191">CN64-(CN$109*CN$127+CN$112*CN$130)</f>
        <v>1.3607130727268598E-2</v>
      </c>
      <c r="CO65" s="432">
        <f t="shared" ref="CO65" si="192">CO64-(CO$109*CO$127+CO$112*CO$130)</f>
        <v>-1.9680038493180719E-2</v>
      </c>
      <c r="CP65" s="432">
        <f t="shared" ref="CP65" si="193">CP64-(CP$109*CP$127+CP$112*CP$130)</f>
        <v>2.4133216176226921E-3</v>
      </c>
      <c r="CQ65" s="433">
        <f t="shared" ref="CQ65" si="194">CQ64-(CQ$109*CQ$127+CQ$112*CQ$130)</f>
        <v>-4.1352615746052868E-2</v>
      </c>
      <c r="CR65" s="432">
        <f t="shared" ref="CR65" si="195">CR64-(CR$109*CR$127+CR$112*CR$130)</f>
        <v>3.446434774432653E-2</v>
      </c>
      <c r="CS65" s="432">
        <f t="shared" ref="CS65" si="196">CS64-(CS$109*CS$127+CS$112*CS$130)</f>
        <v>4.5497613894421363E-2</v>
      </c>
      <c r="CT65" s="432">
        <f t="shared" ref="CT65" si="197">CT64-(CT$109*CT$127+CT$112*CT$130)</f>
        <v>7.510548070621631E-2</v>
      </c>
      <c r="CU65" s="433">
        <f t="shared" ref="CU65" si="198">CU64-(CU$109*CU$127+CU$112*CU$130)</f>
        <v>0.13602862578588709</v>
      </c>
      <c r="CV65" s="432">
        <f t="shared" ref="CV65" si="199">CV64-(CV$109*CV$127+CV$112*CV$130)</f>
        <v>4.1637519261738823E-2</v>
      </c>
      <c r="CW65" s="432">
        <f t="shared" ref="CW65" si="200">CW64-(CW$109*CW$127+CW$112*CW$130)</f>
        <v>5.3454115530942647E-2</v>
      </c>
      <c r="CX65" s="432">
        <f t="shared" ref="CX65" si="201">CX64-(CX$109*CX$127+CX$112*CX$130)</f>
        <v>1.532550442768163E-2</v>
      </c>
      <c r="CY65" s="433">
        <f t="shared" ref="CY65" si="202">CY64-(CY$109*CY$127+CY$112*CY$130)</f>
        <v>-8.3211518853775965E-2</v>
      </c>
      <c r="DA65" s="432"/>
      <c r="DB65" s="432"/>
      <c r="DC65" s="432"/>
      <c r="DD65" s="432"/>
      <c r="DE65" s="432"/>
      <c r="DF65" s="432"/>
      <c r="DG65" s="432"/>
      <c r="DH65" s="432"/>
      <c r="DI65" s="432"/>
      <c r="DJ65" s="432"/>
      <c r="DK65" s="432"/>
      <c r="DL65" s="432"/>
      <c r="DM65" s="432"/>
      <c r="DN65" s="432"/>
      <c r="DO65" s="432"/>
      <c r="DP65" s="432"/>
      <c r="DQ65" s="432">
        <f t="shared" ref="DQ65" si="203">DQ64-(DQ$109*DQ$127+DQ$112*DQ$130)</f>
        <v>0.1269044901481122</v>
      </c>
      <c r="DR65" s="432">
        <f t="shared" ref="DR65" si="204">DR64-(DR$109*DR$127+DR$112*DR$130)</f>
        <v>0.12288019680828371</v>
      </c>
      <c r="DS65" s="432">
        <f t="shared" ref="DS65" si="205">DS64-(DS$109*DS$127+DS$112*DS$130)</f>
        <v>6.6245027377111229E-2</v>
      </c>
      <c r="DT65" s="432">
        <f t="shared" ref="DT65" si="206">DT64-(DT$109*DT$127+DT$112*DT$130)</f>
        <v>0.13350093700851762</v>
      </c>
      <c r="DU65" s="432">
        <f t="shared" ref="DU65" si="207">DU64-(DU$109*DU$127+DU$112*DU$130)</f>
        <v>7.4492333724088004E-3</v>
      </c>
      <c r="DV65" s="432">
        <f t="shared" ref="DV65" si="208">DV64-(DV$109*DV$127+DV$112*DV$130)</f>
        <v>-3.1458962105656865E-2</v>
      </c>
      <c r="DW65" s="432">
        <f t="shared" ref="DW65" si="209">DW64-(DW$109*DW$127+DW$112*DW$130)</f>
        <v>-9.0163753040992736E-3</v>
      </c>
      <c r="DX65" s="432">
        <f t="shared" ref="DX65" si="210">DX64-(DX$109*DX$127+DX$112*DX$130)</f>
        <v>7.4136267822156154E-2</v>
      </c>
      <c r="DY65" s="432">
        <f t="shared" ref="DY65" si="211">DY64-(DY$109*DY$127+DY$112*DY$130)</f>
        <v>6.34851968866227E-3</v>
      </c>
      <c r="DZ65" s="432">
        <f t="shared" ref="DZ65" si="212">DZ64-(DZ$109*DZ$127+DZ$112*DZ$130)</f>
        <v>4.3260956617335103E-2</v>
      </c>
      <c r="EA65" s="432">
        <f t="shared" ref="EA65" si="213">EA64-(EA$109*EA$127+EA$112*EA$130)</f>
        <v>3.146409737100108E-2</v>
      </c>
      <c r="EB65" s="432">
        <f t="shared" ref="EB65" si="214">EB64-(EB$109*EB$127+EB$112*EB$130)</f>
        <v>2.7449717965871295E-2</v>
      </c>
      <c r="EC65" s="432">
        <f t="shared" ref="EC65" si="215">EC64-(EC$109*EC$127+EC$112*EC$130)</f>
        <v>2.9639274887174508E-2</v>
      </c>
      <c r="ED65" s="432">
        <f t="shared" ref="ED65" si="216">ED64-(ED$109*ED$127+ED$112*ED$130)</f>
        <v>3.1467505132140729E-2</v>
      </c>
    </row>
    <row r="66" spans="1:137" s="435" customFormat="1" ht="15">
      <c r="A66" s="258"/>
      <c r="B66" s="304" t="s">
        <v>311</v>
      </c>
      <c r="D66" s="598"/>
      <c r="E66" s="432"/>
      <c r="F66" s="432"/>
      <c r="G66" s="433"/>
      <c r="H66" s="432"/>
      <c r="I66" s="432"/>
      <c r="J66" s="432"/>
      <c r="K66" s="433"/>
      <c r="L66" s="432"/>
      <c r="M66" s="432"/>
      <c r="N66" s="432"/>
      <c r="O66" s="433"/>
      <c r="P66" s="432"/>
      <c r="Q66" s="432"/>
      <c r="R66" s="432"/>
      <c r="S66" s="433"/>
      <c r="T66" s="432"/>
      <c r="U66" s="432"/>
      <c r="V66" s="432"/>
      <c r="W66" s="433"/>
      <c r="X66" s="432"/>
      <c r="Y66" s="432"/>
      <c r="Z66" s="432"/>
      <c r="AA66" s="433"/>
      <c r="AB66" s="432"/>
      <c r="AC66" s="432"/>
      <c r="AD66" s="432"/>
      <c r="AE66" s="433"/>
      <c r="AF66" s="432"/>
      <c r="AG66" s="432"/>
      <c r="AH66" s="432"/>
      <c r="AI66" s="433"/>
      <c r="AJ66" s="432">
        <f t="shared" ref="AJ66:BO66" si="217">AF62+AJ62</f>
        <v>-0.16557014938609838</v>
      </c>
      <c r="AK66" s="432">
        <f t="shared" si="217"/>
        <v>-4.718255787591541E-2</v>
      </c>
      <c r="AL66" s="432">
        <f t="shared" si="217"/>
        <v>-1.950124496963912E-2</v>
      </c>
      <c r="AM66" s="433">
        <f t="shared" si="217"/>
        <v>3.7318943663282922E-2</v>
      </c>
      <c r="AN66" s="432">
        <f t="shared" si="217"/>
        <v>5.5942616516868826E-2</v>
      </c>
      <c r="AO66" s="432">
        <f t="shared" si="217"/>
        <v>0.11662829525680096</v>
      </c>
      <c r="AP66" s="432">
        <f t="shared" si="217"/>
        <v>0.17499058546099167</v>
      </c>
      <c r="AQ66" s="433">
        <f t="shared" si="217"/>
        <v>0.2376470017275556</v>
      </c>
      <c r="AR66" s="432">
        <f t="shared" si="217"/>
        <v>0.46081104327337385</v>
      </c>
      <c r="AS66" s="432">
        <f t="shared" si="217"/>
        <v>0.22131642041148503</v>
      </c>
      <c r="AT66" s="432">
        <f t="shared" si="217"/>
        <v>0.35920903607063126</v>
      </c>
      <c r="AU66" s="433">
        <f t="shared" si="217"/>
        <v>0.22354346612257703</v>
      </c>
      <c r="AV66" s="432">
        <f t="shared" si="217"/>
        <v>0.46265854919327376</v>
      </c>
      <c r="AW66" s="432">
        <f t="shared" si="217"/>
        <v>0.3448950780834581</v>
      </c>
      <c r="AX66" s="432">
        <f t="shared" si="217"/>
        <v>0.37092837844772775</v>
      </c>
      <c r="AY66" s="433">
        <f t="shared" si="217"/>
        <v>0.18277192691178534</v>
      </c>
      <c r="AZ66" s="432">
        <f t="shared" si="217"/>
        <v>5.3340713834464148E-2</v>
      </c>
      <c r="BA66" s="432">
        <f t="shared" si="217"/>
        <v>0.19563423811873459</v>
      </c>
      <c r="BB66" s="432">
        <f t="shared" si="217"/>
        <v>6.734928362912973E-2</v>
      </c>
      <c r="BC66" s="433">
        <f t="shared" si="217"/>
        <v>0.15799807067229499</v>
      </c>
      <c r="BD66" s="432">
        <f t="shared" si="217"/>
        <v>1.8305020869964661E-2</v>
      </c>
      <c r="BE66" s="432">
        <f t="shared" si="217"/>
        <v>6.7288394513601135E-2</v>
      </c>
      <c r="BF66" s="432">
        <f t="shared" si="217"/>
        <v>3.5155442755742117E-3</v>
      </c>
      <c r="BG66" s="433">
        <f t="shared" si="217"/>
        <v>0.10115603270732199</v>
      </c>
      <c r="BH66" s="432">
        <f t="shared" si="217"/>
        <v>4.33656517321519E-2</v>
      </c>
      <c r="BI66" s="432">
        <f t="shared" si="217"/>
        <v>6.2872078766113226E-2</v>
      </c>
      <c r="BJ66" s="432">
        <f t="shared" si="217"/>
        <v>-3.9000857013060108E-2</v>
      </c>
      <c r="BK66" s="433">
        <f t="shared" si="217"/>
        <v>-0.26040281449563152</v>
      </c>
      <c r="BL66" s="432">
        <f t="shared" si="217"/>
        <v>-0.45250874321026124</v>
      </c>
      <c r="BM66" s="432">
        <f t="shared" si="217"/>
        <v>-0.46694261239455948</v>
      </c>
      <c r="BN66" s="432">
        <f t="shared" si="217"/>
        <v>-0.27836249113186551</v>
      </c>
      <c r="BO66" s="433">
        <f t="shared" si="217"/>
        <v>-0.25778857210842554</v>
      </c>
      <c r="BP66" s="432">
        <f t="shared" ref="BP66:CY66" si="218">BL62+BP62</f>
        <v>9.7536900795922588E-3</v>
      </c>
      <c r="BQ66" s="432">
        <f t="shared" si="218"/>
        <v>0.15889196828678243</v>
      </c>
      <c r="BR66" s="432">
        <f t="shared" si="218"/>
        <v>-2.1552451488140445E-2</v>
      </c>
      <c r="BS66" s="433">
        <f t="shared" si="218"/>
        <v>0.29012655300491108</v>
      </c>
      <c r="BT66" s="432">
        <f t="shared" si="218"/>
        <v>0.76256985563041391</v>
      </c>
      <c r="BU66" s="432">
        <f t="shared" si="218"/>
        <v>0.7881780452095033</v>
      </c>
      <c r="BV66" s="432">
        <f t="shared" si="218"/>
        <v>0.46487025044796093</v>
      </c>
      <c r="BW66" s="433">
        <f t="shared" si="218"/>
        <v>0.4280762067443471</v>
      </c>
      <c r="BX66" s="432">
        <f t="shared" si="218"/>
        <v>0.31401426719206782</v>
      </c>
      <c r="BY66" s="432">
        <f t="shared" si="218"/>
        <v>0.21456530558779652</v>
      </c>
      <c r="BZ66" s="432">
        <f t="shared" si="218"/>
        <v>0.39830606377368949</v>
      </c>
      <c r="CA66" s="433">
        <f t="shared" si="218"/>
        <v>0.35684130945361581</v>
      </c>
      <c r="CB66" s="432">
        <f t="shared" si="218"/>
        <v>0.30246362397356652</v>
      </c>
      <c r="CC66" s="432">
        <f t="shared" si="218"/>
        <v>0.26529633787754903</v>
      </c>
      <c r="CD66" s="432">
        <f t="shared" si="218"/>
        <v>0.30561351313916862</v>
      </c>
      <c r="CE66" s="433">
        <f t="shared" si="218"/>
        <v>0.30220570910323485</v>
      </c>
      <c r="CF66" s="432">
        <f t="shared" si="218"/>
        <v>0.34230167279463375</v>
      </c>
      <c r="CG66" s="432">
        <f t="shared" si="218"/>
        <v>0.29117796868021606</v>
      </c>
      <c r="CH66" s="432">
        <f t="shared" si="218"/>
        <v>0.18773363473297455</v>
      </c>
      <c r="CI66" s="433">
        <f t="shared" si="218"/>
        <v>0.14631894034493909</v>
      </c>
      <c r="CJ66" s="432">
        <f t="shared" si="218"/>
        <v>9.1458974577067753E-3</v>
      </c>
      <c r="CK66" s="432">
        <f t="shared" si="218"/>
        <v>1.9820556500843689E-2</v>
      </c>
      <c r="CL66" s="432">
        <f t="shared" si="218"/>
        <v>-5.0247626631454545E-2</v>
      </c>
      <c r="CM66" s="433">
        <f t="shared" si="218"/>
        <v>-5.8827219135204945E-2</v>
      </c>
      <c r="CN66" s="432">
        <f t="shared" si="218"/>
        <v>-6.2346897135127088E-2</v>
      </c>
      <c r="CO66" s="432">
        <f t="shared" si="218"/>
        <v>-4.8140659562074251E-2</v>
      </c>
      <c r="CP66" s="432">
        <f t="shared" si="218"/>
        <v>-2.7085116987018876E-2</v>
      </c>
      <c r="CQ66" s="433">
        <f t="shared" si="218"/>
        <v>-4.9832374938369006E-2</v>
      </c>
      <c r="CR66" s="432">
        <f t="shared" si="218"/>
        <v>8.9244196696010247E-2</v>
      </c>
      <c r="CS66" s="432">
        <f t="shared" si="218"/>
        <v>3.8168043983917599E-2</v>
      </c>
      <c r="CT66" s="432">
        <f t="shared" si="218"/>
        <v>0.13921217135670649</v>
      </c>
      <c r="CU66" s="433">
        <f t="shared" si="218"/>
        <v>0.19847582991069601</v>
      </c>
      <c r="CV66" s="432">
        <f>CR62+CV62</f>
        <v>0.17661802784150671</v>
      </c>
      <c r="CW66" s="432">
        <f t="shared" si="218"/>
        <v>0.16561584944731633</v>
      </c>
      <c r="CX66" s="432">
        <f t="shared" si="218"/>
        <v>0.17418034979057023</v>
      </c>
      <c r="CY66" s="433">
        <f t="shared" si="218"/>
        <v>0.14567207520203512</v>
      </c>
      <c r="DA66" s="432"/>
      <c r="DB66" s="432"/>
      <c r="DC66" s="432"/>
      <c r="DD66" s="432"/>
      <c r="DE66" s="432"/>
      <c r="DF66" s="432"/>
      <c r="DG66" s="432"/>
      <c r="DH66" s="432">
        <f t="shared" ref="DH66:ED66" si="219">DG62+DH62</f>
        <v>0.34511250560235973</v>
      </c>
      <c r="DI66" s="432">
        <f t="shared" si="219"/>
        <v>-5.4022200621122285E-2</v>
      </c>
      <c r="DJ66" s="432">
        <f t="shared" si="219"/>
        <v>0.14490784691222092</v>
      </c>
      <c r="DK66" s="432">
        <f t="shared" si="219"/>
        <v>0.30799630667394795</v>
      </c>
      <c r="DL66" s="432">
        <f t="shared" si="219"/>
        <v>0.32943524414419478</v>
      </c>
      <c r="DM66" s="432">
        <f t="shared" si="219"/>
        <v>0.11667484328804112</v>
      </c>
      <c r="DN66" s="432">
        <f t="shared" si="219"/>
        <v>4.8032737167827966E-2</v>
      </c>
      <c r="DO66" s="432">
        <f t="shared" si="219"/>
        <v>-4.8307461796544549E-2</v>
      </c>
      <c r="DP66" s="432">
        <f t="shared" si="219"/>
        <v>-0.40515305904827592</v>
      </c>
      <c r="DQ66" s="432">
        <f t="shared" si="219"/>
        <v>4.7411811187812236E-2</v>
      </c>
      <c r="DR66" s="432">
        <f t="shared" si="219"/>
        <v>0.58741287856674274</v>
      </c>
      <c r="DS66" s="432">
        <f t="shared" si="219"/>
        <v>0.31835121305668435</v>
      </c>
      <c r="DT66" s="432">
        <f t="shared" si="219"/>
        <v>0.29260106956935372</v>
      </c>
      <c r="DU66" s="432">
        <f t="shared" si="219"/>
        <v>0.23943675547931109</v>
      </c>
      <c r="DV66" s="432">
        <f t="shared" si="219"/>
        <v>-2.1155173316299569E-2</v>
      </c>
      <c r="DW66" s="432">
        <f t="shared" si="219"/>
        <v>-4.7388291320308085E-2</v>
      </c>
      <c r="DX66" s="432">
        <f t="shared" si="219"/>
        <v>0.11497128148223279</v>
      </c>
      <c r="DY66" s="432">
        <f t="shared" si="219"/>
        <v>0.1605725673761671</v>
      </c>
      <c r="DZ66" s="432">
        <f t="shared" si="219"/>
        <v>0.10953752108356482</v>
      </c>
      <c r="EA66" s="432">
        <f t="shared" si="219"/>
        <v>8.6742724998243051E-2</v>
      </c>
      <c r="EB66" s="432">
        <f t="shared" si="219"/>
        <v>9.2169598571063729E-2</v>
      </c>
      <c r="EC66" s="432">
        <f t="shared" si="219"/>
        <v>9.2824598687148721E-2</v>
      </c>
      <c r="ED66" s="432">
        <f t="shared" si="219"/>
        <v>8.515863584003798E-2</v>
      </c>
    </row>
    <row r="67" spans="1:137" s="139" customFormat="1" ht="15">
      <c r="A67" s="133"/>
      <c r="B67" s="139" t="s">
        <v>63</v>
      </c>
      <c r="D67" s="662"/>
      <c r="E67" s="349"/>
      <c r="F67" s="349"/>
      <c r="G67" s="663"/>
      <c r="H67" s="349"/>
      <c r="I67" s="349"/>
      <c r="J67" s="349"/>
      <c r="K67" s="663"/>
      <c r="L67" s="349"/>
      <c r="M67" s="349"/>
      <c r="N67" s="349"/>
      <c r="O67" s="663"/>
      <c r="P67" s="349"/>
      <c r="Q67" s="349"/>
      <c r="R67" s="349"/>
      <c r="S67" s="663"/>
      <c r="T67" s="349"/>
      <c r="U67" s="349"/>
      <c r="V67" s="349"/>
      <c r="W67" s="663"/>
      <c r="X67" s="349"/>
      <c r="Y67" s="349"/>
      <c r="Z67" s="349"/>
      <c r="AA67" s="431"/>
      <c r="AB67" s="356">
        <f>781.9+2.1</f>
        <v>784</v>
      </c>
      <c r="AC67" s="356">
        <f>773.7+2.5</f>
        <v>776.2</v>
      </c>
      <c r="AD67" s="356">
        <f>591.4+2.5</f>
        <v>593.9</v>
      </c>
      <c r="AE67" s="431">
        <f>2778+9-SUM(AB67:AD67)</f>
        <v>632.90000000000009</v>
      </c>
      <c r="AF67" s="356">
        <v>623.4</v>
      </c>
      <c r="AG67" s="356">
        <v>654.5</v>
      </c>
      <c r="AH67" s="356">
        <v>569.4</v>
      </c>
      <c r="AI67" s="431">
        <f>2434.5+3.4-SUM(AF67:AH67)</f>
        <v>590.59999999999991</v>
      </c>
      <c r="AJ67" s="356">
        <v>618.6</v>
      </c>
      <c r="AK67" s="356">
        <v>678.7</v>
      </c>
      <c r="AL67" s="356">
        <v>608.6</v>
      </c>
      <c r="AM67" s="431">
        <f>2550.4-SUM(AJ67:AL67)</f>
        <v>644.5</v>
      </c>
      <c r="AN67" s="356">
        <v>677.7</v>
      </c>
      <c r="AO67" s="356">
        <v>714.9</v>
      </c>
      <c r="AP67" s="356">
        <v>655.5</v>
      </c>
      <c r="AQ67" s="431">
        <f>2817.2-SUM(AN67:AP67)</f>
        <v>769.09999999999991</v>
      </c>
      <c r="AR67" s="356">
        <v>817.3</v>
      </c>
      <c r="AS67" s="356">
        <v>739.1</v>
      </c>
      <c r="AT67" s="356">
        <v>745</v>
      </c>
      <c r="AU67" s="431">
        <f>2965-SUM(AR67:AT67)</f>
        <v>663.59999999999991</v>
      </c>
      <c r="AV67" s="356">
        <v>762.8</v>
      </c>
      <c r="AW67" s="356">
        <v>767</v>
      </c>
      <c r="AX67" s="356">
        <v>731.4</v>
      </c>
      <c r="AY67" s="431">
        <v>836.4</v>
      </c>
      <c r="AZ67" s="356">
        <v>898.7</v>
      </c>
      <c r="BA67" s="356">
        <v>926.4</v>
      </c>
      <c r="BB67" s="356">
        <v>754.1</v>
      </c>
      <c r="BC67" s="431">
        <v>718</v>
      </c>
      <c r="BD67" s="356">
        <v>623.20000000000005</v>
      </c>
      <c r="BE67" s="356">
        <f>4155.3-4089.6</f>
        <v>65.700000000000273</v>
      </c>
      <c r="BF67" s="356"/>
      <c r="BG67" s="431"/>
      <c r="BH67" s="356"/>
      <c r="BI67" s="356"/>
      <c r="BJ67" s="356"/>
      <c r="BK67" s="431"/>
      <c r="BL67" s="356"/>
      <c r="BM67" s="356"/>
      <c r="BN67" s="356"/>
      <c r="BO67" s="431"/>
      <c r="BP67" s="356"/>
      <c r="BQ67" s="356"/>
      <c r="BR67" s="356"/>
      <c r="BS67" s="431"/>
      <c r="BT67" s="356"/>
      <c r="BU67" s="356"/>
      <c r="BV67" s="356"/>
      <c r="BW67" s="431"/>
      <c r="BX67" s="356"/>
      <c r="BY67" s="356"/>
      <c r="BZ67" s="356"/>
      <c r="CA67" s="431"/>
      <c r="CB67" s="356"/>
      <c r="CC67" s="356"/>
      <c r="CD67" s="356"/>
      <c r="CE67" s="431"/>
      <c r="CF67" s="356"/>
      <c r="CG67" s="356"/>
      <c r="CH67" s="356"/>
      <c r="CI67" s="431"/>
      <c r="CJ67" s="356"/>
      <c r="CK67" s="356"/>
      <c r="CL67" s="356"/>
      <c r="CM67" s="431"/>
      <c r="CN67" s="356"/>
      <c r="CO67" s="356"/>
      <c r="CP67" s="356"/>
      <c r="CQ67" s="431"/>
      <c r="CR67" s="356"/>
      <c r="CS67" s="356"/>
      <c r="CT67" s="356"/>
      <c r="CU67" s="431"/>
      <c r="CV67" s="354"/>
      <c r="CW67" s="354"/>
      <c r="CX67" s="354"/>
      <c r="CY67" s="671"/>
      <c r="CZ67" s="435"/>
      <c r="DA67" s="354"/>
      <c r="DB67" s="354"/>
      <c r="DC67" s="354"/>
      <c r="DD67" s="354"/>
      <c r="DE67" s="354"/>
      <c r="DF67" s="356">
        <f>2456.1+9.5</f>
        <v>2465.6</v>
      </c>
      <c r="DG67" s="354">
        <f>SUM(AB67:AE67)</f>
        <v>2787</v>
      </c>
      <c r="DH67" s="354">
        <f>SUM(AF67:AI67)</f>
        <v>2437.9</v>
      </c>
      <c r="DI67" s="354">
        <f>SUM(AJ67:AM67)</f>
        <v>2550.4</v>
      </c>
      <c r="DJ67" s="354">
        <f>SUM(AN67:AQ67)</f>
        <v>2817.2</v>
      </c>
      <c r="DK67" s="354">
        <f>SUM(AR67:AU67)</f>
        <v>2965</v>
      </c>
      <c r="DL67" s="354">
        <f>SUM(AV67:AY67)</f>
        <v>3097.6</v>
      </c>
      <c r="DM67" s="354">
        <f>SUM(AZ67:BC67)</f>
        <v>3297.2</v>
      </c>
      <c r="DN67" s="354">
        <f>SUM(BD67:BG67)</f>
        <v>688.90000000000032</v>
      </c>
      <c r="DO67" s="354"/>
      <c r="DP67" s="354"/>
      <c r="DQ67" s="354"/>
      <c r="DR67" s="354"/>
      <c r="DS67" s="354"/>
      <c r="DT67" s="354"/>
      <c r="DU67" s="354"/>
      <c r="DV67" s="354"/>
      <c r="DW67" s="354"/>
      <c r="DX67" s="354"/>
      <c r="DY67" s="354"/>
      <c r="DZ67" s="354"/>
      <c r="EA67" s="354"/>
      <c r="EB67" s="354"/>
      <c r="EC67" s="354"/>
      <c r="ED67" s="354"/>
    </row>
    <row r="68" spans="1:137" s="599" customFormat="1" ht="15">
      <c r="A68" s="133"/>
      <c r="B68" s="672" t="s">
        <v>240</v>
      </c>
      <c r="C68" s="673"/>
      <c r="D68" s="674"/>
      <c r="E68" s="438"/>
      <c r="F68" s="438"/>
      <c r="G68" s="439"/>
      <c r="H68" s="438"/>
      <c r="I68" s="438"/>
      <c r="J68" s="438"/>
      <c r="K68" s="439"/>
      <c r="L68" s="438"/>
      <c r="M68" s="438"/>
      <c r="N68" s="438"/>
      <c r="O68" s="439"/>
      <c r="P68" s="438"/>
      <c r="Q68" s="438"/>
      <c r="R68" s="438"/>
      <c r="S68" s="439"/>
      <c r="T68" s="438"/>
      <c r="U68" s="438"/>
      <c r="V68" s="438"/>
      <c r="W68" s="439"/>
      <c r="X68" s="438"/>
      <c r="Y68" s="438"/>
      <c r="Z68" s="438"/>
      <c r="AA68" s="439"/>
      <c r="AB68" s="438"/>
      <c r="AC68" s="438"/>
      <c r="AD68" s="438"/>
      <c r="AE68" s="439">
        <f t="shared" ref="AE68:BG68" si="220">IF(AA67=0,0,AE67/AA67-1)</f>
        <v>0</v>
      </c>
      <c r="AF68" s="438">
        <f t="shared" si="220"/>
        <v>-0.20484693877551019</v>
      </c>
      <c r="AG68" s="438">
        <f t="shared" si="220"/>
        <v>-0.1567894872455553</v>
      </c>
      <c r="AH68" s="438">
        <f t="shared" si="220"/>
        <v>-4.1252736150867109E-2</v>
      </c>
      <c r="AI68" s="439">
        <f t="shared" si="220"/>
        <v>-6.6835203033654866E-2</v>
      </c>
      <c r="AJ68" s="438">
        <f t="shared" si="220"/>
        <v>-7.6997112608276908E-3</v>
      </c>
      <c r="AK68" s="438">
        <f t="shared" si="220"/>
        <v>3.6974789915966477E-2</v>
      </c>
      <c r="AL68" s="438">
        <f t="shared" si="220"/>
        <v>6.8844397611520947E-2</v>
      </c>
      <c r="AM68" s="439">
        <f t="shared" si="220"/>
        <v>9.1263122248560924E-2</v>
      </c>
      <c r="AN68" s="438">
        <f t="shared" si="220"/>
        <v>9.5538312318137697E-2</v>
      </c>
      <c r="AO68" s="438">
        <f t="shared" si="220"/>
        <v>5.3337262413437392E-2</v>
      </c>
      <c r="AP68" s="438">
        <f t="shared" si="220"/>
        <v>7.7062109760105191E-2</v>
      </c>
      <c r="AQ68" s="439">
        <f t="shared" si="220"/>
        <v>0.19332816136539943</v>
      </c>
      <c r="AR68" s="438">
        <f t="shared" si="220"/>
        <v>0.20599085140917794</v>
      </c>
      <c r="AS68" s="438">
        <f t="shared" si="220"/>
        <v>3.3850888236117038E-2</v>
      </c>
      <c r="AT68" s="438">
        <f t="shared" si="220"/>
        <v>0.13653699466056435</v>
      </c>
      <c r="AU68" s="439">
        <f t="shared" si="220"/>
        <v>-0.137173319464309</v>
      </c>
      <c r="AV68" s="438">
        <f t="shared" si="220"/>
        <v>-6.6682980545699211E-2</v>
      </c>
      <c r="AW68" s="438">
        <f t="shared" si="220"/>
        <v>3.7748613178189672E-2</v>
      </c>
      <c r="AX68" s="438">
        <f t="shared" si="220"/>
        <v>-1.8255033557047051E-2</v>
      </c>
      <c r="AY68" s="439">
        <f t="shared" si="220"/>
        <v>0.26039783001808336</v>
      </c>
      <c r="AZ68" s="438">
        <f t="shared" si="220"/>
        <v>0.17815941269008917</v>
      </c>
      <c r="BA68" s="438">
        <f t="shared" si="220"/>
        <v>0.20782268578878749</v>
      </c>
      <c r="BB68" s="438">
        <f t="shared" si="220"/>
        <v>3.1036368608148734E-2</v>
      </c>
      <c r="BC68" s="439">
        <f t="shared" si="220"/>
        <v>-0.14155906264944995</v>
      </c>
      <c r="BD68" s="438">
        <f t="shared" si="220"/>
        <v>-0.30655391120507403</v>
      </c>
      <c r="BE68" s="438">
        <f t="shared" si="220"/>
        <v>-0.92908031088082876</v>
      </c>
      <c r="BF68" s="438">
        <f t="shared" si="220"/>
        <v>-1</v>
      </c>
      <c r="BG68" s="439">
        <f t="shared" si="220"/>
        <v>-1</v>
      </c>
      <c r="BH68" s="438"/>
      <c r="BI68" s="438"/>
      <c r="BJ68" s="438"/>
      <c r="BK68" s="439"/>
      <c r="BL68" s="438"/>
      <c r="BM68" s="438"/>
      <c r="BN68" s="438"/>
      <c r="BO68" s="439"/>
      <c r="BP68" s="438"/>
      <c r="BQ68" s="438"/>
      <c r="BR68" s="438"/>
      <c r="BS68" s="439"/>
      <c r="BT68" s="438"/>
      <c r="BU68" s="438"/>
      <c r="BV68" s="438"/>
      <c r="BW68" s="439"/>
      <c r="BX68" s="438"/>
      <c r="BY68" s="438"/>
      <c r="BZ68" s="438"/>
      <c r="CA68" s="439"/>
      <c r="CB68" s="438"/>
      <c r="CC68" s="438"/>
      <c r="CD68" s="438"/>
      <c r="CE68" s="439"/>
      <c r="CF68" s="438"/>
      <c r="CG68" s="438"/>
      <c r="CH68" s="438"/>
      <c r="CI68" s="439"/>
      <c r="CJ68" s="438"/>
      <c r="CK68" s="438"/>
      <c r="CL68" s="438"/>
      <c r="CM68" s="439"/>
      <c r="CN68" s="438"/>
      <c r="CO68" s="438"/>
      <c r="CP68" s="438"/>
      <c r="CQ68" s="439"/>
      <c r="CR68" s="438"/>
      <c r="CS68" s="438"/>
      <c r="CT68" s="438"/>
      <c r="CU68" s="439"/>
      <c r="CV68" s="432"/>
      <c r="CW68" s="432"/>
      <c r="CX68" s="432"/>
      <c r="CY68" s="433"/>
      <c r="CZ68" s="435"/>
      <c r="DA68" s="438"/>
      <c r="DB68" s="438"/>
      <c r="DC68" s="438"/>
      <c r="DD68" s="438"/>
      <c r="DE68" s="438"/>
      <c r="DF68" s="438"/>
      <c r="DG68" s="438">
        <f t="shared" ref="DG68:DN68" si="221">IF(DF67=0,0,DG67/DF67-1)</f>
        <v>0.13035366645035684</v>
      </c>
      <c r="DH68" s="438">
        <f t="shared" si="221"/>
        <v>-0.1252601363473268</v>
      </c>
      <c r="DI68" s="438">
        <f t="shared" si="221"/>
        <v>4.6146273432052132E-2</v>
      </c>
      <c r="DJ68" s="438">
        <f t="shared" si="221"/>
        <v>0.10461104140526967</v>
      </c>
      <c r="DK68" s="438">
        <f t="shared" si="221"/>
        <v>5.2463438875479218E-2</v>
      </c>
      <c r="DL68" s="438">
        <f t="shared" si="221"/>
        <v>4.472175379426635E-2</v>
      </c>
      <c r="DM68" s="438">
        <f t="shared" si="221"/>
        <v>6.4436983471074294E-2</v>
      </c>
      <c r="DN68" s="438">
        <f t="shared" si="221"/>
        <v>-0.79106514618464141</v>
      </c>
      <c r="DO68" s="438"/>
      <c r="DP68" s="438"/>
      <c r="DQ68" s="438"/>
      <c r="DR68" s="438"/>
      <c r="DS68" s="438"/>
      <c r="DT68" s="438"/>
      <c r="DU68" s="438"/>
      <c r="DV68" s="438"/>
      <c r="DW68" s="438"/>
      <c r="DX68" s="438"/>
      <c r="DY68" s="438"/>
      <c r="DZ68" s="438"/>
      <c r="EA68" s="438"/>
      <c r="EB68" s="438"/>
      <c r="EC68" s="438"/>
      <c r="ED68" s="438"/>
      <c r="EE68" s="435"/>
    </row>
    <row r="69" spans="1:137" s="675" customFormat="1" ht="15">
      <c r="A69" s="133"/>
      <c r="B69" s="731" t="s">
        <v>146</v>
      </c>
      <c r="C69" s="731"/>
      <c r="D69" s="732"/>
      <c r="E69" s="733"/>
      <c r="F69" s="733"/>
      <c r="G69" s="734"/>
      <c r="H69" s="733"/>
      <c r="I69" s="733"/>
      <c r="J69" s="733"/>
      <c r="K69" s="734"/>
      <c r="L69" s="733"/>
      <c r="M69" s="733"/>
      <c r="N69" s="733"/>
      <c r="O69" s="734"/>
      <c r="P69" s="733"/>
      <c r="Q69" s="733"/>
      <c r="R69" s="733"/>
      <c r="S69" s="734"/>
      <c r="T69" s="733"/>
      <c r="U69" s="733"/>
      <c r="V69" s="733"/>
      <c r="W69" s="734"/>
      <c r="X69" s="733"/>
      <c r="Y69" s="733"/>
      <c r="Z69" s="733"/>
      <c r="AA69" s="734"/>
      <c r="AB69" s="733">
        <f t="shared" ref="AB69:BG69" si="222">AB67+AB57+AB47</f>
        <v>3805.1</v>
      </c>
      <c r="AC69" s="733">
        <f t="shared" si="222"/>
        <v>3761.4</v>
      </c>
      <c r="AD69" s="733">
        <f t="shared" si="222"/>
        <v>3144.1</v>
      </c>
      <c r="AE69" s="734">
        <f t="shared" si="222"/>
        <v>3362.1999999999985</v>
      </c>
      <c r="AF69" s="733">
        <f t="shared" si="222"/>
        <v>3502.1000000000004</v>
      </c>
      <c r="AG69" s="733">
        <f t="shared" si="222"/>
        <v>3608.1000000000004</v>
      </c>
      <c r="AH69" s="733">
        <f t="shared" si="222"/>
        <v>3105.7</v>
      </c>
      <c r="AI69" s="734">
        <f t="shared" si="222"/>
        <v>3408.8</v>
      </c>
      <c r="AJ69" s="733">
        <f t="shared" si="222"/>
        <v>3534.6000000000004</v>
      </c>
      <c r="AK69" s="733">
        <f t="shared" si="222"/>
        <v>3792.2</v>
      </c>
      <c r="AL69" s="733">
        <f t="shared" si="222"/>
        <v>3337.3999999999996</v>
      </c>
      <c r="AM69" s="734">
        <f t="shared" si="222"/>
        <v>3760.4000000000005</v>
      </c>
      <c r="AN69" s="733">
        <f t="shared" si="222"/>
        <v>3898.7</v>
      </c>
      <c r="AO69" s="733">
        <f t="shared" si="222"/>
        <v>4101.2</v>
      </c>
      <c r="AP69" s="733">
        <f t="shared" si="222"/>
        <v>3491.5</v>
      </c>
      <c r="AQ69" s="734">
        <f t="shared" si="222"/>
        <v>4255.2999999999993</v>
      </c>
      <c r="AR69" s="733">
        <f t="shared" si="222"/>
        <v>4572.1000000000004</v>
      </c>
      <c r="AS69" s="733">
        <f t="shared" si="222"/>
        <v>4284</v>
      </c>
      <c r="AT69" s="733">
        <f t="shared" si="222"/>
        <v>3977.7999999999997</v>
      </c>
      <c r="AU69" s="734">
        <f t="shared" si="222"/>
        <v>4126.1000000000004</v>
      </c>
      <c r="AV69" s="733">
        <f t="shared" si="222"/>
        <v>4286</v>
      </c>
      <c r="AW69" s="733">
        <f t="shared" si="222"/>
        <v>4419.3</v>
      </c>
      <c r="AX69" s="733">
        <f t="shared" si="222"/>
        <v>3986.6000000000004</v>
      </c>
      <c r="AY69" s="734">
        <f t="shared" si="222"/>
        <v>4397.2999999999993</v>
      </c>
      <c r="AZ69" s="733">
        <f t="shared" si="222"/>
        <v>4678.5</v>
      </c>
      <c r="BA69" s="733">
        <f t="shared" si="222"/>
        <v>4810.2</v>
      </c>
      <c r="BB69" s="733">
        <f t="shared" si="222"/>
        <v>4149.7</v>
      </c>
      <c r="BC69" s="734">
        <f t="shared" si="222"/>
        <v>4360.5</v>
      </c>
      <c r="BD69" s="733">
        <f t="shared" si="222"/>
        <v>4406.1000000000004</v>
      </c>
      <c r="BE69" s="733">
        <f t="shared" si="222"/>
        <v>4155.3</v>
      </c>
      <c r="BF69" s="733">
        <f t="shared" si="222"/>
        <v>3574.6000000000004</v>
      </c>
      <c r="BG69" s="734">
        <f t="shared" si="222"/>
        <v>3859</v>
      </c>
      <c r="BH69" s="733">
        <f t="shared" ref="BH69:CM69" si="223">BH67+BH57+BH47</f>
        <v>3857.6</v>
      </c>
      <c r="BI69" s="733">
        <f t="shared" si="223"/>
        <v>3979</v>
      </c>
      <c r="BJ69" s="733">
        <f t="shared" si="223"/>
        <v>3133.5</v>
      </c>
      <c r="BK69" s="734">
        <f t="shared" si="223"/>
        <v>2600.4</v>
      </c>
      <c r="BL69" s="733">
        <f t="shared" si="223"/>
        <v>2168.3000000000002</v>
      </c>
      <c r="BM69" s="733">
        <f t="shared" si="223"/>
        <v>2281</v>
      </c>
      <c r="BN69" s="733">
        <f t="shared" si="223"/>
        <v>2547.9</v>
      </c>
      <c r="BO69" s="734">
        <f t="shared" si="223"/>
        <v>2742.3999999999996</v>
      </c>
      <c r="BP69" s="733">
        <f t="shared" si="223"/>
        <v>2938.5</v>
      </c>
      <c r="BQ69" s="733">
        <f t="shared" si="223"/>
        <v>3118.8</v>
      </c>
      <c r="BR69" s="733">
        <f t="shared" si="223"/>
        <v>2811.6</v>
      </c>
      <c r="BS69" s="734">
        <f t="shared" si="223"/>
        <v>3156.5</v>
      </c>
      <c r="BT69" s="733">
        <f t="shared" si="223"/>
        <v>3511.7</v>
      </c>
      <c r="BU69" s="733">
        <f t="shared" si="223"/>
        <v>3676.3</v>
      </c>
      <c r="BV69" s="733">
        <f t="shared" si="223"/>
        <v>3460</v>
      </c>
      <c r="BW69" s="734">
        <f t="shared" si="223"/>
        <v>3508.5</v>
      </c>
      <c r="BX69" s="733">
        <f t="shared" si="223"/>
        <v>3644</v>
      </c>
      <c r="BY69" s="733">
        <f t="shared" si="223"/>
        <v>3665</v>
      </c>
      <c r="BZ69" s="733">
        <f t="shared" si="223"/>
        <v>3618.6</v>
      </c>
      <c r="CA69" s="734">
        <f t="shared" si="223"/>
        <v>3719.4</v>
      </c>
      <c r="CB69" s="733">
        <f t="shared" si="223"/>
        <v>3947.1</v>
      </c>
      <c r="CC69" s="733">
        <f t="shared" si="223"/>
        <v>4113.1000000000004</v>
      </c>
      <c r="CD69" s="733">
        <f t="shared" si="223"/>
        <v>3917.7</v>
      </c>
      <c r="CE69" s="734">
        <f t="shared" si="223"/>
        <v>4256.1000000000004</v>
      </c>
      <c r="CF69" s="733">
        <f t="shared" si="223"/>
        <v>4359.8</v>
      </c>
      <c r="CG69" s="733">
        <f t="shared" si="223"/>
        <v>4585.1000000000004</v>
      </c>
      <c r="CH69" s="733">
        <f t="shared" si="223"/>
        <v>4232.7</v>
      </c>
      <c r="CI69" s="734">
        <f t="shared" si="223"/>
        <v>4549.7</v>
      </c>
      <c r="CJ69" s="733">
        <f t="shared" si="223"/>
        <v>4521.3999999999996</v>
      </c>
      <c r="CK69" s="733">
        <f t="shared" si="223"/>
        <v>4635.1000000000004</v>
      </c>
      <c r="CL69" s="733">
        <f t="shared" si="223"/>
        <v>4330.3</v>
      </c>
      <c r="CM69" s="734">
        <f t="shared" si="223"/>
        <v>4724.6000000000004</v>
      </c>
      <c r="CN69" s="733">
        <f t="shared" ref="CN69:CT69" si="224">CN67+CN57+CN47</f>
        <v>4663.1000000000004</v>
      </c>
      <c r="CO69" s="733">
        <f t="shared" si="224"/>
        <v>4724.8</v>
      </c>
      <c r="CP69" s="733">
        <f t="shared" si="224"/>
        <v>4526.4000000000005</v>
      </c>
      <c r="CQ69" s="734">
        <f t="shared" si="224"/>
        <v>4643.5</v>
      </c>
      <c r="CR69" s="733">
        <f t="shared" si="224"/>
        <v>4998.5</v>
      </c>
      <c r="CS69" s="733">
        <f t="shared" si="224"/>
        <v>5123.2</v>
      </c>
      <c r="CT69" s="733">
        <f t="shared" si="224"/>
        <v>4981.5</v>
      </c>
      <c r="CU69" s="734">
        <f>CU67+CU57+CU47</f>
        <v>5363.8</v>
      </c>
      <c r="CV69" s="733">
        <f t="shared" ref="CV69:CY69" si="225">CV67+CV57+CV47</f>
        <v>5473.6802428001392</v>
      </c>
      <c r="CW69" s="733">
        <f t="shared" si="225"/>
        <v>5630.0755737800446</v>
      </c>
      <c r="CX69" s="733">
        <f t="shared" si="225"/>
        <v>5340.584838451522</v>
      </c>
      <c r="CY69" s="734">
        <f t="shared" si="225"/>
        <v>5515.3446395586043</v>
      </c>
      <c r="CZ69" s="435"/>
      <c r="DA69" s="733"/>
      <c r="DB69" s="733"/>
      <c r="DC69" s="733"/>
      <c r="DD69" s="733"/>
      <c r="DE69" s="733"/>
      <c r="DF69" s="733">
        <f t="shared" ref="DF69:EA69" si="226">DF67+DF57+DF47</f>
        <v>12341.8</v>
      </c>
      <c r="DG69" s="733">
        <f t="shared" si="226"/>
        <v>14072.8</v>
      </c>
      <c r="DH69" s="733">
        <f t="shared" si="226"/>
        <v>13624.7</v>
      </c>
      <c r="DI69" s="733">
        <f t="shared" si="226"/>
        <v>14424.6</v>
      </c>
      <c r="DJ69" s="733">
        <f t="shared" si="226"/>
        <v>15746.699999999999</v>
      </c>
      <c r="DK69" s="733">
        <f t="shared" si="226"/>
        <v>16960</v>
      </c>
      <c r="DL69" s="733">
        <f t="shared" si="226"/>
        <v>17089.200000000004</v>
      </c>
      <c r="DM69" s="733">
        <f t="shared" si="226"/>
        <v>17998.899999999998</v>
      </c>
      <c r="DN69" s="733">
        <f t="shared" si="226"/>
        <v>15995</v>
      </c>
      <c r="DO69" s="733">
        <f t="shared" si="226"/>
        <v>13570.5</v>
      </c>
      <c r="DP69" s="733">
        <f t="shared" si="226"/>
        <v>9739.6</v>
      </c>
      <c r="DQ69" s="733">
        <f t="shared" si="226"/>
        <v>12025.400000000001</v>
      </c>
      <c r="DR69" s="733">
        <f t="shared" si="226"/>
        <v>14156.5</v>
      </c>
      <c r="DS69" s="733">
        <f t="shared" si="226"/>
        <v>14647.000000000002</v>
      </c>
      <c r="DT69" s="733">
        <f t="shared" si="226"/>
        <v>16233.999999999998</v>
      </c>
      <c r="DU69" s="733">
        <f t="shared" si="226"/>
        <v>17727.3</v>
      </c>
      <c r="DV69" s="733">
        <f t="shared" si="226"/>
        <v>18211.400000000001</v>
      </c>
      <c r="DW69" s="733">
        <f t="shared" si="226"/>
        <v>18557.800000000003</v>
      </c>
      <c r="DX69" s="733">
        <f t="shared" si="226"/>
        <v>20467</v>
      </c>
      <c r="DY69" s="733">
        <f t="shared" si="226"/>
        <v>21959.685294590308</v>
      </c>
      <c r="DZ69" s="733">
        <f t="shared" si="226"/>
        <v>23317.405897728528</v>
      </c>
      <c r="EA69" s="733">
        <f t="shared" si="226"/>
        <v>24492.918082705677</v>
      </c>
      <c r="EB69" s="733">
        <f t="shared" ref="EB69:ED69" si="227">EB67+EB57+EB47</f>
        <v>25628.579055530419</v>
      </c>
      <c r="EC69" s="733">
        <f t="shared" si="227"/>
        <v>26536.860155608887</v>
      </c>
      <c r="ED69" s="733">
        <f t="shared" si="227"/>
        <v>27150.110644374858</v>
      </c>
      <c r="EE69" s="676"/>
      <c r="EG69" s="852"/>
    </row>
    <row r="70" spans="1:137" s="599" customFormat="1" ht="15">
      <c r="A70" s="133"/>
      <c r="B70" s="304" t="s">
        <v>240</v>
      </c>
      <c r="C70" s="435"/>
      <c r="D70" s="598"/>
      <c r="E70" s="432"/>
      <c r="F70" s="432"/>
      <c r="G70" s="433"/>
      <c r="H70" s="432"/>
      <c r="I70" s="432"/>
      <c r="J70" s="432"/>
      <c r="K70" s="433"/>
      <c r="L70" s="432"/>
      <c r="M70" s="432"/>
      <c r="N70" s="432"/>
      <c r="O70" s="433"/>
      <c r="P70" s="432"/>
      <c r="Q70" s="432"/>
      <c r="R70" s="432"/>
      <c r="S70" s="433"/>
      <c r="T70" s="432"/>
      <c r="U70" s="432"/>
      <c r="V70" s="432"/>
      <c r="W70" s="433"/>
      <c r="X70" s="432"/>
      <c r="Y70" s="432"/>
      <c r="Z70" s="432"/>
      <c r="AA70" s="433"/>
      <c r="AB70" s="432"/>
      <c r="AC70" s="432"/>
      <c r="AD70" s="432"/>
      <c r="AE70" s="433"/>
      <c r="AF70" s="432">
        <f t="shared" ref="AF70:BK70" si="228">IF(AB69=0,0,AF69/AB69-1)</f>
        <v>-7.9629970303014219E-2</v>
      </c>
      <c r="AG70" s="432">
        <f t="shared" si="228"/>
        <v>-4.0756101451587146E-2</v>
      </c>
      <c r="AH70" s="432">
        <f t="shared" si="228"/>
        <v>-1.221335199262108E-2</v>
      </c>
      <c r="AI70" s="433">
        <f t="shared" si="228"/>
        <v>1.3859972636964368E-2</v>
      </c>
      <c r="AJ70" s="432">
        <f t="shared" si="228"/>
        <v>9.2801461979954425E-3</v>
      </c>
      <c r="AK70" s="432">
        <f t="shared" si="228"/>
        <v>5.1024084698317429E-2</v>
      </c>
      <c r="AL70" s="432">
        <f t="shared" si="228"/>
        <v>7.4604758991531739E-2</v>
      </c>
      <c r="AM70" s="433">
        <f t="shared" si="228"/>
        <v>0.10314480168974427</v>
      </c>
      <c r="AN70" s="432">
        <f t="shared" si="228"/>
        <v>0.10301024161149752</v>
      </c>
      <c r="AO70" s="432">
        <f t="shared" si="228"/>
        <v>8.1483044143241479E-2</v>
      </c>
      <c r="AP70" s="432">
        <f t="shared" si="228"/>
        <v>4.6173668124887657E-2</v>
      </c>
      <c r="AQ70" s="433">
        <f t="shared" si="228"/>
        <v>0.13160833953834672</v>
      </c>
      <c r="AR70" s="432">
        <f t="shared" si="228"/>
        <v>0.17272424141380482</v>
      </c>
      <c r="AS70" s="432">
        <f t="shared" si="228"/>
        <v>4.4572320296498713E-2</v>
      </c>
      <c r="AT70" s="432">
        <f t="shared" si="228"/>
        <v>0.13928111127022769</v>
      </c>
      <c r="AU70" s="433">
        <f t="shared" si="228"/>
        <v>-3.0362136629614622E-2</v>
      </c>
      <c r="AV70" s="432">
        <f t="shared" si="228"/>
        <v>-6.2575184269810458E-2</v>
      </c>
      <c r="AW70" s="432">
        <f t="shared" si="228"/>
        <v>3.1582633053221398E-2</v>
      </c>
      <c r="AX70" s="432">
        <f t="shared" si="228"/>
        <v>2.2122781436977323E-3</v>
      </c>
      <c r="AY70" s="433">
        <f t="shared" si="228"/>
        <v>6.5727927098228056E-2</v>
      </c>
      <c r="AZ70" s="432">
        <f t="shared" si="228"/>
        <v>9.1577228184787751E-2</v>
      </c>
      <c r="BA70" s="432">
        <f t="shared" si="228"/>
        <v>8.8452922408526202E-2</v>
      </c>
      <c r="BB70" s="432">
        <f t="shared" si="228"/>
        <v>4.0912055385541324E-2</v>
      </c>
      <c r="BC70" s="433">
        <f t="shared" si="228"/>
        <v>-8.3687717462986866E-3</v>
      </c>
      <c r="BD70" s="432">
        <f t="shared" si="228"/>
        <v>-5.8223789676178139E-2</v>
      </c>
      <c r="BE70" s="432">
        <f t="shared" si="228"/>
        <v>-0.13614818510664828</v>
      </c>
      <c r="BF70" s="432">
        <f t="shared" si="228"/>
        <v>-0.13858833168662787</v>
      </c>
      <c r="BG70" s="433">
        <f t="shared" si="228"/>
        <v>-0.11500974658869401</v>
      </c>
      <c r="BH70" s="432">
        <f t="shared" si="228"/>
        <v>-0.12448650734209399</v>
      </c>
      <c r="BI70" s="432">
        <f t="shared" si="228"/>
        <v>-4.2427742882583774E-2</v>
      </c>
      <c r="BJ70" s="432">
        <f t="shared" si="228"/>
        <v>-0.12339842220108554</v>
      </c>
      <c r="BK70" s="433">
        <f t="shared" si="228"/>
        <v>-0.32614667012179321</v>
      </c>
      <c r="BL70" s="432">
        <f t="shared" ref="BL70:CQ70" si="229">IF(BH69=0,0,BL69/BH69-1)</f>
        <v>-0.4379147656574035</v>
      </c>
      <c r="BM70" s="432">
        <f t="shared" si="229"/>
        <v>-0.42674038703191752</v>
      </c>
      <c r="BN70" s="432">
        <f t="shared" si="229"/>
        <v>-0.18688367640019143</v>
      </c>
      <c r="BO70" s="433">
        <f t="shared" si="229"/>
        <v>5.460698354099347E-2</v>
      </c>
      <c r="BP70" s="432">
        <f t="shared" si="229"/>
        <v>0.35520915002536535</v>
      </c>
      <c r="BQ70" s="432">
        <f t="shared" si="229"/>
        <v>0.36729504603244201</v>
      </c>
      <c r="BR70" s="432">
        <f t="shared" si="229"/>
        <v>0.1034969975273754</v>
      </c>
      <c r="BS70" s="433">
        <f t="shared" si="229"/>
        <v>0.15099912485414246</v>
      </c>
      <c r="BT70" s="432">
        <f t="shared" si="229"/>
        <v>0.19506550961374836</v>
      </c>
      <c r="BU70" s="432">
        <f t="shared" si="229"/>
        <v>0.17875464922406059</v>
      </c>
      <c r="BV70" s="432">
        <f t="shared" si="229"/>
        <v>0.23061601934841369</v>
      </c>
      <c r="BW70" s="433">
        <f t="shared" si="229"/>
        <v>0.11151591953112616</v>
      </c>
      <c r="BX70" s="432">
        <f t="shared" si="229"/>
        <v>3.7674060996098824E-2</v>
      </c>
      <c r="BY70" s="432">
        <f t="shared" si="229"/>
        <v>-3.0737426216577157E-3</v>
      </c>
      <c r="BZ70" s="432">
        <f t="shared" si="229"/>
        <v>4.5838150289017277E-2</v>
      </c>
      <c r="CA70" s="433">
        <f t="shared" si="229"/>
        <v>6.0111158614792659E-2</v>
      </c>
      <c r="CB70" s="432">
        <f t="shared" si="229"/>
        <v>8.3177826564215129E-2</v>
      </c>
      <c r="CC70" s="432">
        <f t="shared" si="229"/>
        <v>0.12226466575716244</v>
      </c>
      <c r="CD70" s="432">
        <f t="shared" si="229"/>
        <v>8.2656275907809551E-2</v>
      </c>
      <c r="CE70" s="433">
        <f t="shared" si="229"/>
        <v>0.14429746733344095</v>
      </c>
      <c r="CF70" s="432">
        <f t="shared" si="229"/>
        <v>0.10455777659547527</v>
      </c>
      <c r="CG70" s="432">
        <f t="shared" si="229"/>
        <v>0.11475529406044105</v>
      </c>
      <c r="CH70" s="432">
        <f t="shared" si="229"/>
        <v>8.0404318860555879E-2</v>
      </c>
      <c r="CI70" s="433">
        <f t="shared" si="229"/>
        <v>6.8983341556824174E-2</v>
      </c>
      <c r="CJ70" s="432">
        <f t="shared" si="229"/>
        <v>3.7065920455066514E-2</v>
      </c>
      <c r="CK70" s="432">
        <f t="shared" si="229"/>
        <v>1.0904887570609256E-2</v>
      </c>
      <c r="CL70" s="432">
        <f t="shared" si="229"/>
        <v>2.3058567817232589E-2</v>
      </c>
      <c r="CM70" s="433">
        <f t="shared" si="229"/>
        <v>3.8442095083192518E-2</v>
      </c>
      <c r="CN70" s="432">
        <f t="shared" si="229"/>
        <v>3.1339850488786736E-2</v>
      </c>
      <c r="CO70" s="432">
        <f t="shared" si="229"/>
        <v>1.9352333282992795E-2</v>
      </c>
      <c r="CP70" s="432">
        <f t="shared" si="229"/>
        <v>4.5285546036071489E-2</v>
      </c>
      <c r="CQ70" s="433">
        <f t="shared" si="229"/>
        <v>-1.7165474325868901E-2</v>
      </c>
      <c r="CR70" s="432">
        <f t="shared" ref="CR70:CY70" si="230">IF(CN69=0,0,CR69/CN69-1)</f>
        <v>7.1926400892110331E-2</v>
      </c>
      <c r="CS70" s="432">
        <f t="shared" si="230"/>
        <v>8.432102946156439E-2</v>
      </c>
      <c r="CT70" s="432">
        <f t="shared" si="230"/>
        <v>0.1005434782608694</v>
      </c>
      <c r="CU70" s="433">
        <f>IF(CQ69=0,0,CU69/CQ69-1)</f>
        <v>0.15512006029934322</v>
      </c>
      <c r="CV70" s="432">
        <f t="shared" si="230"/>
        <v>9.5064567930406962E-2</v>
      </c>
      <c r="CW70" s="432">
        <f t="shared" si="230"/>
        <v>9.8937299691607805E-2</v>
      </c>
      <c r="CX70" s="432">
        <f t="shared" si="230"/>
        <v>7.2083677296300719E-2</v>
      </c>
      <c r="CY70" s="433">
        <f t="shared" si="230"/>
        <v>2.8253223378687409E-2</v>
      </c>
      <c r="DA70" s="432"/>
      <c r="DB70" s="432"/>
      <c r="DC70" s="432"/>
      <c r="DD70" s="432"/>
      <c r="DE70" s="432"/>
      <c r="DF70" s="432"/>
      <c r="DG70" s="432">
        <f t="shared" ref="DG70:DW70" si="231">IF(DF69=0,0,DG69/DF69-1)</f>
        <v>0.1402550681424104</v>
      </c>
      <c r="DH70" s="432">
        <f t="shared" si="231"/>
        <v>-3.1841566710249403E-2</v>
      </c>
      <c r="DI70" s="432">
        <f t="shared" si="231"/>
        <v>5.8709549568063846E-2</v>
      </c>
      <c r="DJ70" s="432">
        <f t="shared" si="231"/>
        <v>9.1655921134728091E-2</v>
      </c>
      <c r="DK70" s="432">
        <f t="shared" si="231"/>
        <v>7.7051064667517766E-2</v>
      </c>
      <c r="DL70" s="432">
        <f t="shared" si="231"/>
        <v>7.6179245283021224E-3</v>
      </c>
      <c r="DM70" s="432">
        <f t="shared" si="231"/>
        <v>5.3232450904664441E-2</v>
      </c>
      <c r="DN70" s="432">
        <f t="shared" si="231"/>
        <v>-0.11133458155776177</v>
      </c>
      <c r="DO70" s="432">
        <f t="shared" si="231"/>
        <v>-0.1515786183182245</v>
      </c>
      <c r="DP70" s="432">
        <f t="shared" si="231"/>
        <v>-0.28229615710548617</v>
      </c>
      <c r="DQ70" s="432">
        <f t="shared" si="231"/>
        <v>0.23469136309499383</v>
      </c>
      <c r="DR70" s="432">
        <f t="shared" si="231"/>
        <v>0.17721655828496341</v>
      </c>
      <c r="DS70" s="432">
        <f t="shared" si="231"/>
        <v>3.4648394730335985E-2</v>
      </c>
      <c r="DT70" s="432">
        <f t="shared" si="231"/>
        <v>0.10834983273025167</v>
      </c>
      <c r="DU70" s="432">
        <f t="shared" si="231"/>
        <v>9.1985955402242192E-2</v>
      </c>
      <c r="DV70" s="432">
        <f t="shared" si="231"/>
        <v>2.7308163115646655E-2</v>
      </c>
      <c r="DW70" s="432">
        <f t="shared" si="231"/>
        <v>1.9021052747180356E-2</v>
      </c>
      <c r="DX70" s="432">
        <f t="shared" ref="DX70:ED70" si="232">IF(BX69=0,0,DX69/DW69-1)</f>
        <v>0.1028785739688971</v>
      </c>
      <c r="DY70" s="432">
        <f t="shared" si="232"/>
        <v>7.2931318443851589E-2</v>
      </c>
      <c r="DZ70" s="432">
        <f t="shared" si="232"/>
        <v>6.1827871616752628E-2</v>
      </c>
      <c r="EA70" s="432">
        <f t="shared" si="232"/>
        <v>5.0413506122122476E-2</v>
      </c>
      <c r="EB70" s="432">
        <f t="shared" si="232"/>
        <v>4.6366911814669676E-2</v>
      </c>
      <c r="EC70" s="432">
        <f t="shared" si="232"/>
        <v>3.5440166156323283E-2</v>
      </c>
      <c r="ED70" s="432">
        <f t="shared" si="232"/>
        <v>2.3109383897339297E-2</v>
      </c>
      <c r="EE70" s="435"/>
    </row>
    <row r="71" spans="1:137" s="435" customFormat="1" ht="15">
      <c r="A71" s="258"/>
      <c r="B71" s="664" t="s">
        <v>339</v>
      </c>
      <c r="D71" s="598"/>
      <c r="E71" s="432"/>
      <c r="F71" s="432"/>
      <c r="G71" s="433"/>
      <c r="H71" s="432"/>
      <c r="I71" s="432"/>
      <c r="J71" s="432"/>
      <c r="K71" s="433"/>
      <c r="L71" s="432"/>
      <c r="M71" s="432"/>
      <c r="N71" s="432"/>
      <c r="O71" s="433"/>
      <c r="P71" s="432"/>
      <c r="Q71" s="432"/>
      <c r="R71" s="432"/>
      <c r="S71" s="433"/>
      <c r="T71" s="432"/>
      <c r="U71" s="432"/>
      <c r="V71" s="432"/>
      <c r="W71" s="433"/>
      <c r="X71" s="432"/>
      <c r="Y71" s="432"/>
      <c r="Z71" s="432"/>
      <c r="AA71" s="433"/>
      <c r="AB71" s="432"/>
      <c r="AC71" s="432"/>
      <c r="AD71" s="432"/>
      <c r="AE71" s="433"/>
      <c r="AF71" s="432">
        <f t="shared" ref="AF71:BK71" si="233">AF70-AF$29</f>
        <v>-3.9072551941512157E-2</v>
      </c>
      <c r="AG71" s="432">
        <f t="shared" si="233"/>
        <v>-1.5706757847347874E-2</v>
      </c>
      <c r="AH71" s="432">
        <f t="shared" si="233"/>
        <v>1.7771834773772421E-2</v>
      </c>
      <c r="AI71" s="433">
        <f t="shared" si="233"/>
        <v>5.0097019628535078E-2</v>
      </c>
      <c r="AJ71" s="432">
        <f t="shared" si="233"/>
        <v>1.183878177241271E-2</v>
      </c>
      <c r="AK71" s="432">
        <f t="shared" si="233"/>
        <v>1.066403299447849E-2</v>
      </c>
      <c r="AL71" s="432">
        <f t="shared" si="233"/>
        <v>-8.8758748232398155E-4</v>
      </c>
      <c r="AM71" s="433">
        <f t="shared" si="233"/>
        <v>1.9522086882526102E-2</v>
      </c>
      <c r="AN71" s="432">
        <f t="shared" si="233"/>
        <v>4.5509393314620894E-2</v>
      </c>
      <c r="AO71" s="432">
        <f t="shared" si="233"/>
        <v>8.2066685462928057E-2</v>
      </c>
      <c r="AP71" s="432">
        <f t="shared" si="233"/>
        <v>4.025288355957013E-2</v>
      </c>
      <c r="AQ71" s="433">
        <f t="shared" si="233"/>
        <v>8.5873874976195363E-2</v>
      </c>
      <c r="AR71" s="432">
        <f t="shared" si="233"/>
        <v>0.12488522299947169</v>
      </c>
      <c r="AS71" s="432">
        <f t="shared" si="233"/>
        <v>-2.5783238554095034E-2</v>
      </c>
      <c r="AT71" s="432">
        <f t="shared" si="233"/>
        <v>7.8552375527373819E-2</v>
      </c>
      <c r="AU71" s="433">
        <f t="shared" si="233"/>
        <v>-5.4817415012771709E-2</v>
      </c>
      <c r="AV71" s="432">
        <f t="shared" si="233"/>
        <v>-7.923982729268142E-2</v>
      </c>
      <c r="AW71" s="432">
        <f t="shared" si="233"/>
        <v>-1.2624404237892461E-2</v>
      </c>
      <c r="AX71" s="432">
        <f t="shared" si="233"/>
        <v>-4.5342992589134878E-2</v>
      </c>
      <c r="AY71" s="433">
        <f t="shared" si="233"/>
        <v>4.9663927885803538E-3</v>
      </c>
      <c r="AZ71" s="432">
        <f t="shared" si="233"/>
        <v>1.016912483040211E-2</v>
      </c>
      <c r="BA71" s="432">
        <f t="shared" si="233"/>
        <v>6.0118974671443892E-2</v>
      </c>
      <c r="BB71" s="432">
        <f t="shared" si="233"/>
        <v>2.2503240150670401E-2</v>
      </c>
      <c r="BC71" s="433">
        <f t="shared" si="233"/>
        <v>-4.437957793451941E-2</v>
      </c>
      <c r="BD71" s="432">
        <f t="shared" si="233"/>
        <v>-8.1575724572944486E-2</v>
      </c>
      <c r="BE71" s="432">
        <f t="shared" si="233"/>
        <v>-0.18622306357143359</v>
      </c>
      <c r="BF71" s="432">
        <f t="shared" si="233"/>
        <v>-0.20535331718162197</v>
      </c>
      <c r="BG71" s="433">
        <f t="shared" si="233"/>
        <v>-0.20257471125672966</v>
      </c>
      <c r="BH71" s="432">
        <f t="shared" si="233"/>
        <v>-0.16285930645305058</v>
      </c>
      <c r="BI71" s="432">
        <f t="shared" si="233"/>
        <v>-7.0494929037086096E-2</v>
      </c>
      <c r="BJ71" s="432">
        <f t="shared" si="233"/>
        <v>-0.10597506929352929</v>
      </c>
      <c r="BK71" s="433">
        <f t="shared" si="233"/>
        <v>-0.1125438710390515</v>
      </c>
      <c r="BL71" s="432">
        <f t="shared" ref="BL71:CQ71" si="234">BL70-BL$29</f>
        <v>-9.7662772091893668E-2</v>
      </c>
      <c r="BM71" s="432">
        <f t="shared" si="234"/>
        <v>-0.19397655051313634</v>
      </c>
      <c r="BN71" s="432">
        <f t="shared" si="234"/>
        <v>-0.14575252748901013</v>
      </c>
      <c r="BO71" s="433">
        <f t="shared" si="234"/>
        <v>-0.16593753320973814</v>
      </c>
      <c r="BP71" s="432">
        <f t="shared" si="234"/>
        <v>-0.15620941859395554</v>
      </c>
      <c r="BQ71" s="432">
        <f t="shared" si="234"/>
        <v>5.4325927624415238E-2</v>
      </c>
      <c r="BR71" s="432">
        <f t="shared" si="234"/>
        <v>-4.7689151817435826E-2</v>
      </c>
      <c r="BS71" s="433">
        <f t="shared" si="234"/>
        <v>4.5164544390452033E-2</v>
      </c>
      <c r="BT71" s="432">
        <f t="shared" si="234"/>
        <v>0.12110807595729045</v>
      </c>
      <c r="BU71" s="432">
        <f t="shared" si="234"/>
        <v>0.1923193974119829</v>
      </c>
      <c r="BV71" s="432">
        <f t="shared" si="234"/>
        <v>0.17858920755679519</v>
      </c>
      <c r="BW71" s="433">
        <f t="shared" si="234"/>
        <v>8.6879806810087334E-2</v>
      </c>
      <c r="BX71" s="432">
        <f t="shared" si="234"/>
        <v>-3.5001382135774861E-2</v>
      </c>
      <c r="BY71" s="432">
        <f t="shared" si="234"/>
        <v>-0.12425925866472809</v>
      </c>
      <c r="BZ71" s="432">
        <f t="shared" si="234"/>
        <v>1.9307631409549941E-2</v>
      </c>
      <c r="CA71" s="433">
        <f t="shared" si="234"/>
        <v>3.9109788740093965E-2</v>
      </c>
      <c r="CB71" s="432">
        <f t="shared" si="234"/>
        <v>8.240562476676061E-2</v>
      </c>
      <c r="CC71" s="432">
        <f t="shared" si="234"/>
        <v>8.3551795008250496E-2</v>
      </c>
      <c r="CD71" s="432">
        <f t="shared" si="234"/>
        <v>3.2191813329676577E-2</v>
      </c>
      <c r="CE71" s="433">
        <f t="shared" si="234"/>
        <v>7.0962801797680219E-2</v>
      </c>
      <c r="CF71" s="432">
        <f t="shared" si="234"/>
        <v>5.2596215412737068E-2</v>
      </c>
      <c r="CG71" s="432">
        <f t="shared" si="234"/>
        <v>7.8241057609425901E-2</v>
      </c>
      <c r="CH71" s="432">
        <f t="shared" si="234"/>
        <v>5.931613434233296E-2</v>
      </c>
      <c r="CI71" s="433">
        <f t="shared" si="234"/>
        <v>5.1669278451335954E-2</v>
      </c>
      <c r="CJ71" s="432">
        <f t="shared" si="234"/>
        <v>1.6712301830292375E-2</v>
      </c>
      <c r="CK71" s="432">
        <f t="shared" si="234"/>
        <v>7.4517139349856709E-3</v>
      </c>
      <c r="CL71" s="432">
        <f t="shared" si="234"/>
        <v>3.0710051462579879E-2</v>
      </c>
      <c r="CM71" s="433">
        <f t="shared" si="234"/>
        <v>-5.8196978238451713E-3</v>
      </c>
      <c r="CN71" s="432">
        <f t="shared" si="234"/>
        <v>1.4502123421262114E-2</v>
      </c>
      <c r="CO71" s="432">
        <f t="shared" si="234"/>
        <v>-1.4760602046402838E-2</v>
      </c>
      <c r="CP71" s="432">
        <f t="shared" si="234"/>
        <v>-2.3978200763075108E-2</v>
      </c>
      <c r="CQ71" s="433">
        <f t="shared" si="234"/>
        <v>-9.287427582331409E-2</v>
      </c>
      <c r="CR71" s="432">
        <f t="shared" ref="CR71:CT71" si="235">CR70-CR$29</f>
        <v>1.5133984339257944E-2</v>
      </c>
      <c r="CS71" s="432">
        <f t="shared" si="235"/>
        <v>8.2996046891086861E-2</v>
      </c>
      <c r="CT71" s="432">
        <f t="shared" si="235"/>
        <v>7.4616468669703506E-2</v>
      </c>
      <c r="CU71" s="433">
        <f>CU70-CU$29</f>
        <v>0.14458751755167976</v>
      </c>
      <c r="CV71" s="432">
        <f t="shared" ref="CV71:CY71" si="236">CV70-CV$29</f>
        <v>0.10405121536460937</v>
      </c>
      <c r="CW71" s="432">
        <f t="shared" si="236"/>
        <v>6.0955164740787104E-2</v>
      </c>
      <c r="CX71" s="432">
        <f t="shared" si="236"/>
        <v>5.6116731908059769E-2</v>
      </c>
      <c r="CY71" s="433">
        <f t="shared" si="236"/>
        <v>2.4307766881688231E-2</v>
      </c>
      <c r="DA71" s="432"/>
      <c r="DB71" s="432"/>
      <c r="DC71" s="432"/>
      <c r="DD71" s="432"/>
      <c r="DE71" s="432"/>
      <c r="DF71" s="432"/>
      <c r="DG71" s="432"/>
      <c r="DH71" s="432">
        <f t="shared" ref="DH71:EA71" si="237">DH70-DH$29</f>
        <v>1.1674251288397164E-3</v>
      </c>
      <c r="DI71" s="432">
        <f t="shared" si="237"/>
        <v>1.0862053311194053E-2</v>
      </c>
      <c r="DJ71" s="432">
        <f t="shared" si="237"/>
        <v>6.4570157342744849E-2</v>
      </c>
      <c r="DK71" s="432">
        <f t="shared" si="237"/>
        <v>2.6490464661047097E-2</v>
      </c>
      <c r="DL71" s="432">
        <f t="shared" si="237"/>
        <v>-3.4493240597505359E-2</v>
      </c>
      <c r="DM71" s="432">
        <f t="shared" si="237"/>
        <v>1.207089676623907E-2</v>
      </c>
      <c r="DN71" s="432">
        <f t="shared" si="237"/>
        <v>-0.16786859078948724</v>
      </c>
      <c r="DO71" s="432">
        <f t="shared" si="237"/>
        <v>-0.10849100465788586</v>
      </c>
      <c r="DP71" s="432">
        <f t="shared" si="237"/>
        <v>-0.16354109265574535</v>
      </c>
      <c r="DQ71" s="432">
        <f t="shared" si="237"/>
        <v>-1.4895434538695351E-2</v>
      </c>
      <c r="DR71" s="432">
        <f t="shared" si="237"/>
        <v>0.14342770732674226</v>
      </c>
      <c r="DS71" s="432">
        <f>DS70-DS$29</f>
        <v>-2.4865523225743313E-2</v>
      </c>
      <c r="DT71" s="432">
        <f t="shared" si="237"/>
        <v>6.7976525491743045E-2</v>
      </c>
      <c r="DU71" s="432">
        <f t="shared" si="237"/>
        <v>6.0291708806519573E-2</v>
      </c>
      <c r="DV71" s="432">
        <f t="shared" si="237"/>
        <v>1.1760977526562799E-2</v>
      </c>
      <c r="DW71" s="432">
        <f>DW70-DW$29</f>
        <v>-2.9748830233468304E-2</v>
      </c>
      <c r="DX71" s="432">
        <f t="shared" si="237"/>
        <v>7.9547963866307025E-2</v>
      </c>
      <c r="DY71" s="432">
        <f t="shared" si="237"/>
        <v>6.1214485176771749E-2</v>
      </c>
      <c r="DZ71" s="432">
        <f t="shared" si="237"/>
        <v>4.4287731639745864E-2</v>
      </c>
      <c r="EA71" s="432">
        <f t="shared" si="237"/>
        <v>3.1210921100886191E-2</v>
      </c>
      <c r="EB71" s="432">
        <f t="shared" ref="EB71:ED71" si="238">EB70-EB$29</f>
        <v>2.3399898264842234E-2</v>
      </c>
      <c r="EC71" s="432">
        <f t="shared" si="238"/>
        <v>1.5582581019002006E-2</v>
      </c>
      <c r="ED71" s="432">
        <f t="shared" si="238"/>
        <v>7.8083331946225965E-3</v>
      </c>
    </row>
    <row r="72" spans="1:137" s="435" customFormat="1" ht="15">
      <c r="A72" s="258"/>
      <c r="B72" s="664" t="s">
        <v>365</v>
      </c>
      <c r="D72" s="598"/>
      <c r="E72" s="432"/>
      <c r="F72" s="432"/>
      <c r="G72" s="433"/>
      <c r="H72" s="432"/>
      <c r="I72" s="432"/>
      <c r="J72" s="432"/>
      <c r="K72" s="433"/>
      <c r="L72" s="432"/>
      <c r="M72" s="432"/>
      <c r="N72" s="432"/>
      <c r="O72" s="433"/>
      <c r="P72" s="432"/>
      <c r="Q72" s="432"/>
      <c r="R72" s="432"/>
      <c r="S72" s="433"/>
      <c r="T72" s="432"/>
      <c r="U72" s="432"/>
      <c r="V72" s="432"/>
      <c r="W72" s="433"/>
      <c r="X72" s="432"/>
      <c r="Y72" s="432"/>
      <c r="Z72" s="432"/>
      <c r="AA72" s="433"/>
      <c r="AB72" s="432"/>
      <c r="AC72" s="432"/>
      <c r="AD72" s="432"/>
      <c r="AE72" s="433"/>
      <c r="AF72" s="432"/>
      <c r="AG72" s="432"/>
      <c r="AH72" s="432"/>
      <c r="AI72" s="433"/>
      <c r="AJ72" s="432"/>
      <c r="AK72" s="432"/>
      <c r="AL72" s="432"/>
      <c r="AM72" s="433"/>
      <c r="AN72" s="432"/>
      <c r="AO72" s="432"/>
      <c r="AP72" s="432"/>
      <c r="AQ72" s="433"/>
      <c r="AR72" s="432"/>
      <c r="AS72" s="432"/>
      <c r="AT72" s="432"/>
      <c r="AU72" s="433"/>
      <c r="AV72" s="432"/>
      <c r="AW72" s="432"/>
      <c r="AX72" s="432"/>
      <c r="AY72" s="433"/>
      <c r="AZ72" s="432"/>
      <c r="BA72" s="432"/>
      <c r="BB72" s="432"/>
      <c r="BC72" s="433"/>
      <c r="BD72" s="432"/>
      <c r="BE72" s="432"/>
      <c r="BF72" s="432"/>
      <c r="BG72" s="433"/>
      <c r="BH72" s="432"/>
      <c r="BI72" s="432"/>
      <c r="BJ72" s="432"/>
      <c r="BK72" s="433"/>
      <c r="BL72" s="432"/>
      <c r="BM72" s="432"/>
      <c r="BN72" s="432"/>
      <c r="BO72" s="433">
        <f>BO70-BO$32</f>
        <v>-0.15514447044622093</v>
      </c>
      <c r="BP72" s="432">
        <f t="shared" ref="BP72:CT72" si="239">BP70-BP$32</f>
        <v>-0.15063203869704167</v>
      </c>
      <c r="BQ72" s="432">
        <f t="shared" si="239"/>
        <v>-1.8018729383531273E-2</v>
      </c>
      <c r="BR72" s="432">
        <f t="shared" si="239"/>
        <v>-5.5337055689230363E-2</v>
      </c>
      <c r="BS72" s="433">
        <f t="shared" si="239"/>
        <v>4.25371474649585E-2</v>
      </c>
      <c r="BT72" s="432">
        <f t="shared" si="239"/>
        <v>6.2621763074364706E-2</v>
      </c>
      <c r="BU72" s="432">
        <f t="shared" si="239"/>
        <v>0.14638648326213871</v>
      </c>
      <c r="BV72" s="432">
        <f t="shared" si="239"/>
        <v>0.16526093210562909</v>
      </c>
      <c r="BW72" s="433">
        <f t="shared" si="239"/>
        <v>6.5687433773632758E-2</v>
      </c>
      <c r="BX72" s="432">
        <f t="shared" si="239"/>
        <v>-1.6706964516606387E-2</v>
      </c>
      <c r="BY72" s="432">
        <f t="shared" si="239"/>
        <v>-0.11041939374795399</v>
      </c>
      <c r="BZ72" s="432">
        <f t="shared" si="239"/>
        <v>-1.5587601839222032E-3</v>
      </c>
      <c r="CA72" s="433">
        <f t="shared" si="239"/>
        <v>2.0234841225774222E-2</v>
      </c>
      <c r="CB72" s="432">
        <f t="shared" si="239"/>
        <v>8.3273316805231354E-2</v>
      </c>
      <c r="CC72" s="432">
        <f t="shared" si="239"/>
        <v>6.4561909851817034E-2</v>
      </c>
      <c r="CD72" s="432">
        <f t="shared" si="239"/>
        <v>3.0612106823529939E-2</v>
      </c>
      <c r="CE72" s="433">
        <f t="shared" si="239"/>
        <v>8.2330225230212564E-2</v>
      </c>
      <c r="CF72" s="432">
        <f t="shared" si="239"/>
        <v>5.3617415167761279E-2</v>
      </c>
      <c r="CG72" s="432">
        <f t="shared" si="239"/>
        <v>8.0325827809985845E-2</v>
      </c>
      <c r="CH72" s="432">
        <f t="shared" si="239"/>
        <v>4.0061554433345609E-2</v>
      </c>
      <c r="CI72" s="433">
        <f t="shared" si="239"/>
        <v>3.1826633914796718E-2</v>
      </c>
      <c r="CJ72" s="432">
        <f t="shared" si="239"/>
        <v>4.1383025172755591E-3</v>
      </c>
      <c r="CK72" s="432">
        <f t="shared" si="239"/>
        <v>-1.102253774895412E-2</v>
      </c>
      <c r="CL72" s="432">
        <f t="shared" si="239"/>
        <v>7.8669653379719734E-4</v>
      </c>
      <c r="CM72" s="433">
        <f t="shared" si="239"/>
        <v>5.1808770903908133E-3</v>
      </c>
      <c r="CN72" s="432">
        <f t="shared" si="239"/>
        <v>4.3539222893879091E-3</v>
      </c>
      <c r="CO72" s="432">
        <f t="shared" si="239"/>
        <v>-2.4758440046836402E-2</v>
      </c>
      <c r="CP72" s="432">
        <f t="shared" si="239"/>
        <v>-2.3667849703753047E-3</v>
      </c>
      <c r="CQ72" s="433">
        <f t="shared" si="239"/>
        <v>-7.4772355698825593E-2</v>
      </c>
      <c r="CR72" s="432">
        <f t="shared" si="239"/>
        <v>1.8432072967495279E-2</v>
      </c>
      <c r="CS72" s="432">
        <f t="shared" si="239"/>
        <v>9.9043541701765409E-2</v>
      </c>
      <c r="CT72" s="432">
        <f t="shared" si="239"/>
        <v>9.8414526272645228E-2</v>
      </c>
      <c r="CU72" s="433">
        <f t="shared" ref="CU72" si="240">CU70-CU$32</f>
        <v>0.1330714190805167</v>
      </c>
      <c r="CV72" s="432">
        <f t="shared" ref="CV72:CY72" si="241">CV70-CV$32</f>
        <v>0.10416916450163351</v>
      </c>
      <c r="CW72" s="432">
        <f t="shared" si="241"/>
        <v>6.5078153624071003E-2</v>
      </c>
      <c r="CX72" s="432">
        <f t="shared" si="241"/>
        <v>4.281931196377993E-2</v>
      </c>
      <c r="CY72" s="433">
        <f t="shared" si="241"/>
        <v>2.9651415312484029E-2</v>
      </c>
      <c r="DA72" s="432"/>
      <c r="DB72" s="432"/>
      <c r="DC72" s="432"/>
      <c r="DD72" s="432"/>
      <c r="DE72" s="432"/>
      <c r="DF72" s="432"/>
      <c r="DG72" s="432"/>
      <c r="DH72" s="432"/>
      <c r="DI72" s="432"/>
      <c r="DJ72" s="432"/>
      <c r="DK72" s="432"/>
      <c r="DL72" s="432"/>
      <c r="DM72" s="432"/>
      <c r="DN72" s="432"/>
      <c r="DO72" s="432"/>
      <c r="DP72" s="432"/>
      <c r="DQ72" s="432">
        <f>DQ70-DQ$32</f>
        <v>-2.6739488166201086E-2</v>
      </c>
      <c r="DR72" s="432">
        <f t="shared" ref="DR72:EA72" si="242">DR70-DR$32</f>
        <v>0.10996360357648784</v>
      </c>
      <c r="DS72" s="432">
        <f t="shared" si="242"/>
        <v>-2.4898328708661571E-2</v>
      </c>
      <c r="DT72" s="432">
        <f t="shared" si="242"/>
        <v>6.742247322898684E-2</v>
      </c>
      <c r="DU72" s="432">
        <f t="shared" si="242"/>
        <v>5.1797896683953702E-2</v>
      </c>
      <c r="DV72" s="432">
        <f t="shared" si="242"/>
        <v>-7.4800185953308174E-6</v>
      </c>
      <c r="DW72" s="432">
        <f>DW70-DW$32</f>
        <v>-2.2501109277899826E-2</v>
      </c>
      <c r="DX72" s="432">
        <f t="shared" si="242"/>
        <v>8.8483211570194648E-2</v>
      </c>
      <c r="DY72" s="432">
        <f t="shared" si="242"/>
        <v>6.1087992664367444E-2</v>
      </c>
      <c r="DZ72" s="432">
        <f t="shared" si="242"/>
        <v>6.2548688257080973E-2</v>
      </c>
      <c r="EA72" s="432">
        <f t="shared" si="242"/>
        <v>3.767501847188727E-2</v>
      </c>
      <c r="EB72" s="432">
        <f t="shared" ref="EB72:ED72" si="243">EB70-EB$32</f>
        <v>2.5849616230713527E-2</v>
      </c>
      <c r="EC72" s="432">
        <f t="shared" si="243"/>
        <v>2.0221855906176513E-2</v>
      </c>
      <c r="ED72" s="432">
        <f t="shared" si="243"/>
        <v>1.4275838326763322E-2</v>
      </c>
    </row>
    <row r="73" spans="1:137" s="435" customFormat="1" ht="15">
      <c r="A73" s="258"/>
      <c r="B73" s="664"/>
      <c r="D73" s="598"/>
      <c r="E73" s="432"/>
      <c r="F73" s="432"/>
      <c r="G73" s="433"/>
      <c r="H73" s="432"/>
      <c r="I73" s="432"/>
      <c r="J73" s="432"/>
      <c r="K73" s="433"/>
      <c r="L73" s="432"/>
      <c r="M73" s="432"/>
      <c r="N73" s="432"/>
      <c r="O73" s="433"/>
      <c r="P73" s="432"/>
      <c r="Q73" s="432"/>
      <c r="R73" s="432"/>
      <c r="S73" s="433"/>
      <c r="T73" s="432"/>
      <c r="U73" s="432"/>
      <c r="V73" s="432"/>
      <c r="W73" s="433"/>
      <c r="X73" s="432"/>
      <c r="Y73" s="432"/>
      <c r="Z73" s="432"/>
      <c r="AA73" s="433"/>
      <c r="AB73" s="432"/>
      <c r="AC73" s="432"/>
      <c r="AD73" s="432"/>
      <c r="AE73" s="433"/>
      <c r="AF73" s="432"/>
      <c r="AG73" s="432"/>
      <c r="AH73" s="432"/>
      <c r="AI73" s="433"/>
      <c r="AJ73" s="432"/>
      <c r="AK73" s="432"/>
      <c r="AL73" s="432"/>
      <c r="AM73" s="433"/>
      <c r="AN73" s="432"/>
      <c r="AO73" s="432"/>
      <c r="AP73" s="432"/>
      <c r="AQ73" s="433"/>
      <c r="AR73" s="432"/>
      <c r="AS73" s="432"/>
      <c r="AT73" s="432"/>
      <c r="AU73" s="433"/>
      <c r="AV73" s="432"/>
      <c r="AW73" s="432"/>
      <c r="AX73" s="432"/>
      <c r="AY73" s="433"/>
      <c r="AZ73" s="432"/>
      <c r="BA73" s="432"/>
      <c r="BB73" s="432"/>
      <c r="BC73" s="433"/>
      <c r="BD73" s="432"/>
      <c r="BE73" s="432"/>
      <c r="BF73" s="432"/>
      <c r="BG73" s="433"/>
      <c r="BH73" s="432"/>
      <c r="BI73" s="432"/>
      <c r="BJ73" s="432"/>
      <c r="BK73" s="433"/>
      <c r="BL73" s="432"/>
      <c r="BM73" s="432"/>
      <c r="BN73" s="432"/>
      <c r="BO73" s="433"/>
      <c r="BP73" s="432"/>
      <c r="BQ73" s="432"/>
      <c r="BR73" s="432"/>
      <c r="BS73" s="433"/>
      <c r="BT73" s="432"/>
      <c r="BU73" s="432"/>
      <c r="BV73" s="432"/>
      <c r="BW73" s="433"/>
      <c r="BX73" s="432"/>
      <c r="BY73" s="432"/>
      <c r="BZ73" s="432"/>
      <c r="CA73" s="433"/>
      <c r="CB73" s="432"/>
      <c r="CC73" s="432"/>
      <c r="CD73" s="432"/>
      <c r="CE73" s="433"/>
      <c r="CF73" s="432"/>
      <c r="CG73" s="432"/>
      <c r="CH73" s="432"/>
      <c r="CI73" s="433"/>
      <c r="CJ73" s="432"/>
      <c r="CK73" s="432"/>
      <c r="CL73" s="432"/>
      <c r="CM73" s="433"/>
      <c r="CN73" s="432"/>
      <c r="CO73" s="432"/>
      <c r="CP73" s="432"/>
      <c r="CQ73" s="433"/>
      <c r="CR73" s="432"/>
      <c r="CS73" s="432"/>
      <c r="CT73" s="432"/>
      <c r="CU73" s="433"/>
      <c r="CV73" s="432"/>
      <c r="CW73" s="432"/>
      <c r="CX73" s="432"/>
      <c r="CY73" s="433"/>
      <c r="DA73" s="432"/>
      <c r="DB73" s="432"/>
      <c r="DC73" s="432"/>
      <c r="DD73" s="432"/>
      <c r="DE73" s="432"/>
      <c r="DF73" s="432"/>
      <c r="DG73" s="432"/>
      <c r="DH73" s="432"/>
      <c r="DI73" s="432"/>
      <c r="DJ73" s="432"/>
      <c r="DK73" s="432"/>
      <c r="DL73" s="432"/>
      <c r="DM73" s="432"/>
      <c r="DN73" s="432"/>
      <c r="DO73" s="432"/>
      <c r="DP73" s="432"/>
      <c r="DQ73" s="432"/>
      <c r="DR73" s="432"/>
      <c r="DS73" s="432"/>
      <c r="DT73" s="432"/>
      <c r="DU73" s="432"/>
      <c r="DV73" s="432"/>
      <c r="DW73" s="432"/>
      <c r="DX73" s="432"/>
      <c r="DY73" s="354"/>
      <c r="DZ73" s="354"/>
      <c r="EA73" s="354"/>
      <c r="EB73" s="354"/>
      <c r="EC73" s="432"/>
      <c r="ED73" s="432"/>
    </row>
    <row r="74" spans="1:137" s="657" customFormat="1" ht="15">
      <c r="A74" s="133"/>
      <c r="B74" s="139" t="s">
        <v>214</v>
      </c>
      <c r="C74" s="139"/>
      <c r="D74" s="662"/>
      <c r="E74" s="349"/>
      <c r="F74" s="349"/>
      <c r="G74" s="663"/>
      <c r="H74" s="349"/>
      <c r="I74" s="349"/>
      <c r="J74" s="349"/>
      <c r="K74" s="663"/>
      <c r="L74" s="349"/>
      <c r="M74" s="349"/>
      <c r="N74" s="349"/>
      <c r="O74" s="663"/>
      <c r="P74" s="349"/>
      <c r="Q74" s="349"/>
      <c r="R74" s="349"/>
      <c r="S74" s="663"/>
      <c r="T74" s="349"/>
      <c r="U74" s="349"/>
      <c r="V74" s="349"/>
      <c r="W74" s="663"/>
      <c r="X74" s="349"/>
      <c r="Y74" s="349"/>
      <c r="Z74" s="349"/>
      <c r="AA74" s="663"/>
      <c r="AB74" s="356">
        <v>118.5</v>
      </c>
      <c r="AC74" s="356">
        <v>130.6</v>
      </c>
      <c r="AD74" s="356">
        <v>117.1</v>
      </c>
      <c r="AE74" s="431"/>
      <c r="AF74" s="356">
        <v>85.2</v>
      </c>
      <c r="AG74" s="356">
        <v>124.7</v>
      </c>
      <c r="AH74" s="356">
        <v>100.7</v>
      </c>
      <c r="AI74" s="431">
        <f>433.7-SUM(AF74:AH74)</f>
        <v>123.09999999999997</v>
      </c>
      <c r="AJ74" s="356">
        <v>108.1</v>
      </c>
      <c r="AK74" s="356">
        <v>138.19999999999999</v>
      </c>
      <c r="AL74" s="356">
        <v>116</v>
      </c>
      <c r="AM74" s="431">
        <f>562.1-SUM(AJ74:AL74)</f>
        <v>199.80000000000007</v>
      </c>
      <c r="AN74" s="356">
        <v>137.1</v>
      </c>
      <c r="AO74" s="356">
        <v>178.7</v>
      </c>
      <c r="AP74" s="356">
        <v>157.69999999999999</v>
      </c>
      <c r="AQ74" s="431">
        <f>698.1-SUM(AN74:AP74)</f>
        <v>224.60000000000008</v>
      </c>
      <c r="AR74" s="356">
        <f>147.6</f>
        <v>147.6</v>
      </c>
      <c r="AS74" s="356">
        <f>187.8+5.4</f>
        <v>193.20000000000002</v>
      </c>
      <c r="AT74" s="356">
        <f>174.4</f>
        <v>174.4</v>
      </c>
      <c r="AU74" s="431">
        <f>682.1-SUM(AR74:AT74)</f>
        <v>166.89999999999998</v>
      </c>
      <c r="AV74" s="356">
        <f>50.1</f>
        <v>50.1</v>
      </c>
      <c r="AW74" s="356">
        <f>48.6+12.9</f>
        <v>61.5</v>
      </c>
      <c r="AX74" s="356">
        <f>71.2+7.2</f>
        <v>78.400000000000006</v>
      </c>
      <c r="AY74" s="431">
        <f>323.3-SUM(AV74:AX74)+33+30</f>
        <v>196.3</v>
      </c>
      <c r="AZ74" s="356">
        <f>125.9+15</f>
        <v>140.9</v>
      </c>
      <c r="BA74" s="356">
        <f>171.5+3.7</f>
        <v>175.2</v>
      </c>
      <c r="BB74" s="356">
        <f>125.6+7.8</f>
        <v>133.4</v>
      </c>
      <c r="BC74" s="431">
        <f>604-BB74-BA74-AZ74+42</f>
        <v>196.50000000000003</v>
      </c>
      <c r="BD74" s="356">
        <f>197.1-4.6</f>
        <v>192.5</v>
      </c>
      <c r="BE74" s="356">
        <f>238.8+11.6</f>
        <v>250.4</v>
      </c>
      <c r="BF74" s="356">
        <f>181.2+19.5</f>
        <v>200.7</v>
      </c>
      <c r="BG74" s="431">
        <f>141.6+65.1</f>
        <v>206.7</v>
      </c>
      <c r="BH74" s="356">
        <f>183.3+12.9</f>
        <v>196.20000000000002</v>
      </c>
      <c r="BI74" s="356">
        <f>130+43.2</f>
        <v>173.2</v>
      </c>
      <c r="BJ74" s="356">
        <f>40.9+34.7</f>
        <v>75.599999999999994</v>
      </c>
      <c r="BK74" s="431">
        <f>386.7-SUM(BH74:BJ74)+132.7</f>
        <v>74.399999999999977</v>
      </c>
      <c r="BL74" s="356">
        <f>-75.3+99.1</f>
        <v>23.799999999999997</v>
      </c>
      <c r="BM74" s="356">
        <f>9.1+4.4</f>
        <v>13.5</v>
      </c>
      <c r="BN74" s="356">
        <f>198.8-54.2+3.1</f>
        <v>147.70000000000002</v>
      </c>
      <c r="BO74" s="431">
        <f>52.4+184.9-SUM(BL74:BN74)+78.6+3.1+3.2</f>
        <v>137.19999999999999</v>
      </c>
      <c r="BP74" s="356">
        <v>157.6</v>
      </c>
      <c r="BQ74" s="356">
        <v>209.3</v>
      </c>
      <c r="BR74" s="356">
        <v>164.6</v>
      </c>
      <c r="BS74" s="431">
        <v>172.8</v>
      </c>
      <c r="BT74" s="356">
        <v>210.2</v>
      </c>
      <c r="BU74" s="356">
        <v>225.6</v>
      </c>
      <c r="BV74" s="356">
        <v>181.4</v>
      </c>
      <c r="BW74" s="431">
        <v>172.5</v>
      </c>
      <c r="BX74" s="356">
        <f>185.8+2.7+0.3</f>
        <v>188.8</v>
      </c>
      <c r="BY74" s="356">
        <v>184.6</v>
      </c>
      <c r="BZ74" s="356">
        <v>161.1</v>
      </c>
      <c r="CA74" s="431">
        <v>162.80000000000001</v>
      </c>
      <c r="CB74" s="356">
        <f>141.4+16.6+5.8</f>
        <v>163.80000000000001</v>
      </c>
      <c r="CC74" s="356">
        <v>178</v>
      </c>
      <c r="CD74" s="356">
        <v>155.1</v>
      </c>
      <c r="CE74" s="431">
        <v>155.9</v>
      </c>
      <c r="CF74" s="356">
        <v>176.6</v>
      </c>
      <c r="CG74" s="356">
        <v>196.6</v>
      </c>
      <c r="CH74" s="356">
        <v>176.1</v>
      </c>
      <c r="CI74" s="431">
        <v>203.1</v>
      </c>
      <c r="CJ74" s="356">
        <v>219.3</v>
      </c>
      <c r="CK74" s="356">
        <v>252.9</v>
      </c>
      <c r="CL74" s="356">
        <v>243.3</v>
      </c>
      <c r="CM74" s="431">
        <v>278.7</v>
      </c>
      <c r="CN74" s="356">
        <v>298.8</v>
      </c>
      <c r="CO74" s="356">
        <v>302.2</v>
      </c>
      <c r="CP74" s="356">
        <v>277.5</v>
      </c>
      <c r="CQ74" s="431">
        <v>296.7</v>
      </c>
      <c r="CR74" s="356">
        <v>328.7</v>
      </c>
      <c r="CS74" s="356">
        <v>338.5</v>
      </c>
      <c r="CT74" s="356">
        <v>313</v>
      </c>
      <c r="CU74" s="431">
        <v>333.9</v>
      </c>
      <c r="CV74" s="348">
        <f>CV75*CV47</f>
        <v>358.50277005658296</v>
      </c>
      <c r="CW74" s="348">
        <f>CW75*CW47</f>
        <v>366.57481487680604</v>
      </c>
      <c r="CX74" s="348">
        <f>CX75*CX47</f>
        <v>331.47712120100522</v>
      </c>
      <c r="CY74" s="603">
        <f>CY75*CY47</f>
        <v>350.95435150439226</v>
      </c>
      <c r="DA74" s="354"/>
      <c r="DB74" s="354"/>
      <c r="DC74" s="354"/>
      <c r="DD74" s="354"/>
      <c r="DE74" s="354"/>
      <c r="DF74" s="354"/>
      <c r="DG74" s="354"/>
      <c r="DH74" s="354">
        <f>SUM(AF74:AI74)</f>
        <v>433.7</v>
      </c>
      <c r="DI74" s="354">
        <f>SUM(AJ74:AM74)</f>
        <v>562.1</v>
      </c>
      <c r="DJ74" s="354">
        <f>SUM(AN74:AQ74)</f>
        <v>698.1</v>
      </c>
      <c r="DK74" s="354">
        <f>SUM(AR74:AU74)</f>
        <v>682.1</v>
      </c>
      <c r="DL74" s="354">
        <f>SUM(AV74:AY74)</f>
        <v>386.3</v>
      </c>
      <c r="DM74" s="354">
        <f>SUM(AZ74:BC74)</f>
        <v>646</v>
      </c>
      <c r="DN74" s="354">
        <f>SUM(BD74:BG74)</f>
        <v>850.3</v>
      </c>
      <c r="DO74" s="354">
        <f>SUM(BH74:BK74)</f>
        <v>519.4</v>
      </c>
      <c r="DP74" s="354">
        <f>SUM(BL74:BO74)</f>
        <v>322.2</v>
      </c>
      <c r="DQ74" s="354">
        <f>SUM(BP74:BS74)</f>
        <v>704.3</v>
      </c>
      <c r="DR74" s="354">
        <f>SUM(BT74:BW74)</f>
        <v>789.69999999999993</v>
      </c>
      <c r="DS74" s="354">
        <f>SUM(BX74:CA74)</f>
        <v>697.3</v>
      </c>
      <c r="DT74" s="354">
        <f>SUM(CB74:CE74)</f>
        <v>652.79999999999995</v>
      </c>
      <c r="DU74" s="354">
        <f>SUM(CF74:CI74)</f>
        <v>752.4</v>
      </c>
      <c r="DV74" s="354">
        <f>SUM(CJ74:CM74)</f>
        <v>994.2</v>
      </c>
      <c r="DW74" s="354">
        <f>SUM(CN74:CQ74)</f>
        <v>1175.2</v>
      </c>
      <c r="DX74" s="354">
        <f>SUM(CR74:CU74)</f>
        <v>1314.1</v>
      </c>
      <c r="DY74" s="354">
        <f>SUM(CV74:CY74)</f>
        <v>1407.5090576387865</v>
      </c>
      <c r="DZ74" s="354">
        <f>DZ75*DZ47</f>
        <v>1456.5677814139815</v>
      </c>
      <c r="EA74" s="354">
        <f>EA75*EA47</f>
        <v>1436.754045071041</v>
      </c>
      <c r="EB74" s="354">
        <f>EB75*EB47</f>
        <v>1402.5494081801924</v>
      </c>
      <c r="EC74" s="354">
        <f>EC75*EC47</f>
        <v>1345.1002806309582</v>
      </c>
      <c r="ED74" s="354">
        <f>ED75*ED47</f>
        <v>1264.2972918279295</v>
      </c>
      <c r="EE74" s="139"/>
      <c r="EF74" s="432"/>
    </row>
    <row r="75" spans="1:137" s="599" customFormat="1" ht="15">
      <c r="A75" s="133"/>
      <c r="B75" s="304" t="s">
        <v>203</v>
      </c>
      <c r="C75" s="435"/>
      <c r="D75" s="598"/>
      <c r="E75" s="432"/>
      <c r="F75" s="432"/>
      <c r="G75" s="433"/>
      <c r="H75" s="432"/>
      <c r="I75" s="432"/>
      <c r="J75" s="432"/>
      <c r="K75" s="433"/>
      <c r="L75" s="432"/>
      <c r="M75" s="432"/>
      <c r="N75" s="432"/>
      <c r="O75" s="433"/>
      <c r="P75" s="432"/>
      <c r="Q75" s="432"/>
      <c r="R75" s="432"/>
      <c r="S75" s="433"/>
      <c r="T75" s="432"/>
      <c r="U75" s="432"/>
      <c r="V75" s="432"/>
      <c r="W75" s="433"/>
      <c r="X75" s="432"/>
      <c r="Y75" s="432"/>
      <c r="Z75" s="432"/>
      <c r="AA75" s="433"/>
      <c r="AB75" s="432">
        <f>IF(AB47=0,0,AB74/AB47)</f>
        <v>4.9137502073312328E-2</v>
      </c>
      <c r="AC75" s="432">
        <f>IF(AC47=0,0,AC74/AC47)</f>
        <v>5.3955794257384837E-2</v>
      </c>
      <c r="AD75" s="432">
        <f>IF(AD47=0,0,AD74/AD47)</f>
        <v>5.6567315588618904E-2</v>
      </c>
      <c r="AE75" s="433"/>
      <c r="AF75" s="432">
        <f t="shared" ref="AF75:BK75" si="244">IF(AF47=0,0,AF74/AF47)</f>
        <v>3.5754752612363085E-2</v>
      </c>
      <c r="AG75" s="432">
        <f t="shared" si="244"/>
        <v>5.085851788408989E-2</v>
      </c>
      <c r="AH75" s="432">
        <f t="shared" si="244"/>
        <v>4.7565065419677865E-2</v>
      </c>
      <c r="AI75" s="433">
        <f t="shared" si="244"/>
        <v>5.2730777468408638E-2</v>
      </c>
      <c r="AJ75" s="432">
        <f t="shared" si="244"/>
        <v>4.4858494480869773E-2</v>
      </c>
      <c r="AK75" s="432">
        <f t="shared" si="244"/>
        <v>5.3576274471796859E-2</v>
      </c>
      <c r="AL75" s="432">
        <f t="shared" si="244"/>
        <v>5.1223174070476024E-2</v>
      </c>
      <c r="AM75" s="433">
        <f t="shared" si="244"/>
        <v>7.6857978150484701E-2</v>
      </c>
      <c r="AN75" s="432">
        <f t="shared" si="244"/>
        <v>5.083237551444144E-2</v>
      </c>
      <c r="AO75" s="432">
        <f t="shared" si="244"/>
        <v>6.3270075060189765E-2</v>
      </c>
      <c r="AP75" s="432">
        <f t="shared" si="244"/>
        <v>6.7381644163390861E-2</v>
      </c>
      <c r="AQ75" s="433">
        <f t="shared" si="244"/>
        <v>7.7931991672449713E-2</v>
      </c>
      <c r="AR75" s="432">
        <f t="shared" si="244"/>
        <v>4.9072411729503287E-2</v>
      </c>
      <c r="AS75" s="432">
        <f t="shared" si="244"/>
        <v>6.6897506925207767E-2</v>
      </c>
      <c r="AT75" s="432">
        <f t="shared" si="244"/>
        <v>6.7265784703205156E-2</v>
      </c>
      <c r="AU75" s="433">
        <f t="shared" si="244"/>
        <v>5.9056650507766872E-2</v>
      </c>
      <c r="AV75" s="432">
        <f t="shared" si="244"/>
        <v>1.8226798122748938E-2</v>
      </c>
      <c r="AW75" s="432">
        <f t="shared" si="244"/>
        <v>2.1354908156533212E-2</v>
      </c>
      <c r="AX75" s="432">
        <f t="shared" si="244"/>
        <v>3.0573645829271145E-2</v>
      </c>
      <c r="AY75" s="433">
        <f t="shared" si="244"/>
        <v>6.9068646423419311E-2</v>
      </c>
      <c r="AZ75" s="432">
        <f t="shared" si="244"/>
        <v>4.7084377610693402E-2</v>
      </c>
      <c r="BA75" s="432">
        <f t="shared" si="244"/>
        <v>5.6587319531022896E-2</v>
      </c>
      <c r="BB75" s="432">
        <f t="shared" si="244"/>
        <v>4.9170659786214523E-2</v>
      </c>
      <c r="BC75" s="433">
        <f t="shared" si="244"/>
        <v>6.7683934968310849E-2</v>
      </c>
      <c r="BD75" s="432">
        <f t="shared" si="244"/>
        <v>6.4290962527553272E-2</v>
      </c>
      <c r="BE75" s="432">
        <f t="shared" si="244"/>
        <v>7.6703936284270177E-2</v>
      </c>
      <c r="BF75" s="432">
        <f t="shared" si="244"/>
        <v>6.9653640591379185E-2</v>
      </c>
      <c r="BG75" s="433">
        <f t="shared" si="244"/>
        <v>6.741682974559686E-2</v>
      </c>
      <c r="BH75" s="432">
        <f t="shared" si="244"/>
        <v>6.4622377392049013E-2</v>
      </c>
      <c r="BI75" s="432">
        <f t="shared" si="244"/>
        <v>5.5138163759072968E-2</v>
      </c>
      <c r="BJ75" s="432">
        <f t="shared" si="244"/>
        <v>3.0507243452645171E-2</v>
      </c>
      <c r="BK75" s="433">
        <f t="shared" si="244"/>
        <v>3.5916002896451839E-2</v>
      </c>
      <c r="BL75" s="432">
        <f t="shared" ref="BL75:CQ75" si="245">IF(BL47=0,0,BL74/BL47)</f>
        <v>1.3579049466537341E-2</v>
      </c>
      <c r="BM75" s="432">
        <f t="shared" si="245"/>
        <v>7.307962972987604E-3</v>
      </c>
      <c r="BN75" s="432">
        <f t="shared" si="245"/>
        <v>7.2430364848960385E-2</v>
      </c>
      <c r="BO75" s="433">
        <f t="shared" si="245"/>
        <v>6.3118185582187056E-2</v>
      </c>
      <c r="BP75" s="432">
        <f t="shared" si="245"/>
        <v>6.8121893235357681E-2</v>
      </c>
      <c r="BQ75" s="432">
        <f t="shared" si="245"/>
        <v>8.6954715413377653E-2</v>
      </c>
      <c r="BR75" s="432">
        <f t="shared" si="245"/>
        <v>7.4818181818181811E-2</v>
      </c>
      <c r="BS75" s="433">
        <f t="shared" si="245"/>
        <v>7.0084360804672299E-2</v>
      </c>
      <c r="BT75" s="432">
        <f t="shared" si="245"/>
        <v>7.7137614678899083E-2</v>
      </c>
      <c r="BU75" s="432">
        <f t="shared" si="245"/>
        <v>7.8883877058638405E-2</v>
      </c>
      <c r="BV75" s="432">
        <f t="shared" si="245"/>
        <v>6.7490140635463949E-2</v>
      </c>
      <c r="BW75" s="433">
        <f t="shared" si="245"/>
        <v>6.4599483204134361E-2</v>
      </c>
      <c r="BX75" s="432">
        <f t="shared" si="245"/>
        <v>6.7097874760110879E-2</v>
      </c>
      <c r="BY75" s="432">
        <f t="shared" si="245"/>
        <v>6.6084341662490151E-2</v>
      </c>
      <c r="BZ75" s="432">
        <f t="shared" si="245"/>
        <v>5.8761307265830169E-2</v>
      </c>
      <c r="CA75" s="433">
        <f t="shared" si="245"/>
        <v>5.896841495218777E-2</v>
      </c>
      <c r="CB75" s="432">
        <f t="shared" si="245"/>
        <v>5.6255795583336203E-2</v>
      </c>
      <c r="CC75" s="432">
        <f t="shared" si="245"/>
        <v>5.7995568877883492E-2</v>
      </c>
      <c r="CD75" s="432">
        <f t="shared" si="245"/>
        <v>5.3636269322543832E-2</v>
      </c>
      <c r="CE75" s="433">
        <f t="shared" si="245"/>
        <v>4.9562867588618664E-2</v>
      </c>
      <c r="CF75" s="432">
        <f t="shared" si="245"/>
        <v>5.4744412412040047E-2</v>
      </c>
      <c r="CG75" s="432">
        <f t="shared" si="245"/>
        <v>5.7091415960041816E-2</v>
      </c>
      <c r="CH75" s="432">
        <f t="shared" si="245"/>
        <v>5.5231464057207372E-2</v>
      </c>
      <c r="CI75" s="433">
        <f t="shared" si="245"/>
        <v>5.8823529411764705E-2</v>
      </c>
      <c r="CJ75" s="432">
        <f t="shared" si="245"/>
        <v>6.2926829268292683E-2</v>
      </c>
      <c r="CK75" s="432">
        <f t="shared" si="245"/>
        <v>7.0687872096598381E-2</v>
      </c>
      <c r="CL75" s="432">
        <f t="shared" si="245"/>
        <v>7.2473265616156801E-2</v>
      </c>
      <c r="CM75" s="433">
        <f t="shared" si="245"/>
        <v>7.5760458857748667E-2</v>
      </c>
      <c r="CN75" s="432">
        <f t="shared" si="245"/>
        <v>8.294930875576037E-2</v>
      </c>
      <c r="CO75" s="432">
        <f t="shared" si="245"/>
        <v>8.3012855730139543E-2</v>
      </c>
      <c r="CP75" s="432">
        <f t="shared" si="245"/>
        <v>7.8985569123046703E-2</v>
      </c>
      <c r="CQ75" s="433">
        <f t="shared" si="245"/>
        <v>8.2393779505692863E-2</v>
      </c>
      <c r="CR75" s="432">
        <f t="shared" ref="CR75:CT75" si="246">IF(CR47=0,0,CR74/CR47)</f>
        <v>8.4979317476732152E-2</v>
      </c>
      <c r="CS75" s="432">
        <f t="shared" si="246"/>
        <v>8.4097289508335199E-2</v>
      </c>
      <c r="CT75" s="432">
        <f t="shared" si="246"/>
        <v>8.0901548243686838E-2</v>
      </c>
      <c r="CU75" s="433">
        <f t="shared" ref="CU75" si="247">IF(CU47=0,0,CU74/CU47)</f>
        <v>8.1221114084164436E-2</v>
      </c>
      <c r="CV75" s="445">
        <v>8.5000000000000006E-2</v>
      </c>
      <c r="CW75" s="445">
        <v>8.4000000000000005E-2</v>
      </c>
      <c r="CX75" s="445">
        <v>0.08</v>
      </c>
      <c r="CY75" s="446">
        <v>8.1000000000000003E-2</v>
      </c>
      <c r="DA75" s="432"/>
      <c r="DB75" s="432"/>
      <c r="DC75" s="432"/>
      <c r="DD75" s="432"/>
      <c r="DE75" s="432"/>
      <c r="DF75" s="432"/>
      <c r="DG75" s="432"/>
      <c r="DH75" s="432">
        <f t="shared" ref="DH75:DX75" si="248">IF(DH47=0,0,DH74/DH47)</f>
        <v>4.6702705031013092E-2</v>
      </c>
      <c r="DI75" s="432">
        <f t="shared" si="248"/>
        <v>5.7045719794996702E-2</v>
      </c>
      <c r="DJ75" s="432">
        <f t="shared" si="248"/>
        <v>6.4976405215983024E-2</v>
      </c>
      <c r="DK75" s="432">
        <f t="shared" si="248"/>
        <v>6.0284941579905611E-2</v>
      </c>
      <c r="DL75" s="432">
        <f t="shared" si="248"/>
        <v>3.5006796556411417E-2</v>
      </c>
      <c r="DM75" s="432">
        <f t="shared" si="248"/>
        <v>5.5191032738705494E-2</v>
      </c>
      <c r="DN75" s="432">
        <f t="shared" si="248"/>
        <v>6.9661890366292264E-2</v>
      </c>
      <c r="DO75" s="432">
        <f t="shared" si="248"/>
        <v>4.8420326468970529E-2</v>
      </c>
      <c r="DP75" s="432">
        <f t="shared" si="248"/>
        <v>4.1239488538186847E-2</v>
      </c>
      <c r="DQ75" s="432">
        <f t="shared" si="248"/>
        <v>7.5036490129020569E-2</v>
      </c>
      <c r="DR75" s="432">
        <f t="shared" si="248"/>
        <v>7.2164854244722645E-2</v>
      </c>
      <c r="DS75" s="432">
        <f t="shared" si="248"/>
        <v>6.2765536112911344E-2</v>
      </c>
      <c r="DT75" s="432">
        <f t="shared" si="248"/>
        <v>5.4318070244048562E-2</v>
      </c>
      <c r="DU75" s="432">
        <f t="shared" si="248"/>
        <v>5.652637747359248E-2</v>
      </c>
      <c r="DV75" s="432">
        <f t="shared" si="248"/>
        <v>7.0518140227683795E-2</v>
      </c>
      <c r="DW75" s="432">
        <f t="shared" si="248"/>
        <v>8.185611099889252E-2</v>
      </c>
      <c r="DX75" s="432">
        <f t="shared" si="248"/>
        <v>8.2788382788382783E-2</v>
      </c>
      <c r="DY75" s="432">
        <f t="shared" ref="DY75" si="249">IF(DY47=0,0,DY74/DY47)</f>
        <v>8.2513622032639497E-2</v>
      </c>
      <c r="DZ75" s="445">
        <v>0.08</v>
      </c>
      <c r="EA75" s="445">
        <f>DZ75-0.005</f>
        <v>7.4999999999999997E-2</v>
      </c>
      <c r="EB75" s="445">
        <f>EA75-0.005</f>
        <v>6.9999999999999993E-2</v>
      </c>
      <c r="EC75" s="445">
        <f>EB75-0.005</f>
        <v>6.4999999999999988E-2</v>
      </c>
      <c r="ED75" s="445">
        <f>EC75-0.005</f>
        <v>5.9999999999999991E-2</v>
      </c>
      <c r="EE75" s="435"/>
    </row>
    <row r="76" spans="1:137" s="670" customFormat="1" ht="15">
      <c r="A76" s="193"/>
      <c r="B76" s="665" t="s">
        <v>312</v>
      </c>
      <c r="C76" s="666"/>
      <c r="D76" s="667"/>
      <c r="E76" s="668"/>
      <c r="F76" s="668"/>
      <c r="G76" s="669"/>
      <c r="H76" s="668"/>
      <c r="I76" s="668"/>
      <c r="J76" s="668"/>
      <c r="K76" s="669"/>
      <c r="L76" s="668"/>
      <c r="M76" s="668"/>
      <c r="N76" s="668"/>
      <c r="O76" s="669"/>
      <c r="P76" s="668"/>
      <c r="Q76" s="668"/>
      <c r="R76" s="668"/>
      <c r="S76" s="669"/>
      <c r="T76" s="668"/>
      <c r="U76" s="668"/>
      <c r="V76" s="668"/>
      <c r="W76" s="669"/>
      <c r="X76" s="668"/>
      <c r="Y76" s="668"/>
      <c r="Z76" s="668"/>
      <c r="AA76" s="669"/>
      <c r="AB76" s="668"/>
      <c r="AC76" s="668">
        <f>(AC75-AB75)*10000</f>
        <v>48.182921840725093</v>
      </c>
      <c r="AD76" s="668">
        <f>(AD75-AC75)*10000</f>
        <v>26.115213312340664</v>
      </c>
      <c r="AE76" s="669"/>
      <c r="AF76" s="668"/>
      <c r="AG76" s="668">
        <f t="shared" ref="AG76:BL76" si="250">(AG75-AF75)*10000</f>
        <v>151.03765271726806</v>
      </c>
      <c r="AH76" s="668">
        <f t="shared" si="250"/>
        <v>-32.934524644120252</v>
      </c>
      <c r="AI76" s="669">
        <f t="shared" si="250"/>
        <v>51.657120487307722</v>
      </c>
      <c r="AJ76" s="668">
        <f t="shared" si="250"/>
        <v>-78.722829875388641</v>
      </c>
      <c r="AK76" s="668">
        <f t="shared" si="250"/>
        <v>87.17779990927086</v>
      </c>
      <c r="AL76" s="668">
        <f t="shared" si="250"/>
        <v>-23.531004013208346</v>
      </c>
      <c r="AM76" s="669">
        <f t="shared" si="250"/>
        <v>256.34804080008678</v>
      </c>
      <c r="AN76" s="668">
        <f t="shared" si="250"/>
        <v>-260.2560263604326</v>
      </c>
      <c r="AO76" s="668">
        <f t="shared" si="250"/>
        <v>124.37699545748325</v>
      </c>
      <c r="AP76" s="668">
        <f t="shared" si="250"/>
        <v>41.115691032010957</v>
      </c>
      <c r="AQ76" s="669">
        <f t="shared" si="250"/>
        <v>105.50347509058852</v>
      </c>
      <c r="AR76" s="668">
        <f t="shared" si="250"/>
        <v>-288.59579942946425</v>
      </c>
      <c r="AS76" s="668">
        <f t="shared" si="250"/>
        <v>178.2509519570448</v>
      </c>
      <c r="AT76" s="668">
        <f t="shared" si="250"/>
        <v>3.6827777799738892</v>
      </c>
      <c r="AU76" s="669">
        <f t="shared" si="250"/>
        <v>-82.091341954382841</v>
      </c>
      <c r="AV76" s="668">
        <f t="shared" si="250"/>
        <v>-408.29852385017932</v>
      </c>
      <c r="AW76" s="668">
        <f t="shared" si="250"/>
        <v>31.281100337842741</v>
      </c>
      <c r="AX76" s="668">
        <f t="shared" si="250"/>
        <v>92.187376727379331</v>
      </c>
      <c r="AY76" s="669">
        <f t="shared" si="250"/>
        <v>384.95000594148161</v>
      </c>
      <c r="AZ76" s="668">
        <f t="shared" si="250"/>
        <v>-219.84268812725909</v>
      </c>
      <c r="BA76" s="668">
        <f t="shared" si="250"/>
        <v>95.029419203294935</v>
      </c>
      <c r="BB76" s="668">
        <f t="shared" si="250"/>
        <v>-74.166597448083735</v>
      </c>
      <c r="BC76" s="669">
        <f t="shared" si="250"/>
        <v>185.13275182096328</v>
      </c>
      <c r="BD76" s="668">
        <f t="shared" si="250"/>
        <v>-33.929724407575776</v>
      </c>
      <c r="BE76" s="668">
        <f t="shared" si="250"/>
        <v>124.12973756716906</v>
      </c>
      <c r="BF76" s="668">
        <f t="shared" si="250"/>
        <v>-70.502956928909924</v>
      </c>
      <c r="BG76" s="669">
        <f t="shared" si="250"/>
        <v>-22.368108457823251</v>
      </c>
      <c r="BH76" s="668">
        <f t="shared" si="250"/>
        <v>-27.944523535478467</v>
      </c>
      <c r="BI76" s="668">
        <f t="shared" si="250"/>
        <v>-94.84213632976045</v>
      </c>
      <c r="BJ76" s="668">
        <f t="shared" si="250"/>
        <v>-246.30920306427797</v>
      </c>
      <c r="BK76" s="669">
        <f t="shared" si="250"/>
        <v>54.087594438066674</v>
      </c>
      <c r="BL76" s="668">
        <f t="shared" si="250"/>
        <v>-223.36953429914499</v>
      </c>
      <c r="BM76" s="668">
        <f t="shared" ref="BM76:CR76" si="251">(BM75-BL75)*10000</f>
        <v>-62.710864935497369</v>
      </c>
      <c r="BN76" s="668">
        <f t="shared" si="251"/>
        <v>651.22401875972776</v>
      </c>
      <c r="BO76" s="669">
        <f t="shared" si="251"/>
        <v>-93.121792667733288</v>
      </c>
      <c r="BP76" s="668">
        <f t="shared" si="251"/>
        <v>50.037076531706248</v>
      </c>
      <c r="BQ76" s="668">
        <f t="shared" si="251"/>
        <v>188.32822178019973</v>
      </c>
      <c r="BR76" s="668">
        <f t="shared" si="251"/>
        <v>-121.36533595195841</v>
      </c>
      <c r="BS76" s="669">
        <f t="shared" si="251"/>
        <v>-47.338210135095125</v>
      </c>
      <c r="BT76" s="668">
        <f t="shared" si="251"/>
        <v>70.532538742267832</v>
      </c>
      <c r="BU76" s="668">
        <f t="shared" si="251"/>
        <v>17.462623797393217</v>
      </c>
      <c r="BV76" s="668">
        <f t="shared" si="251"/>
        <v>-113.93736423174455</v>
      </c>
      <c r="BW76" s="669">
        <f t="shared" si="251"/>
        <v>-28.906574313295881</v>
      </c>
      <c r="BX76" s="668">
        <f t="shared" si="251"/>
        <v>24.983915559765173</v>
      </c>
      <c r="BY76" s="668">
        <f t="shared" si="251"/>
        <v>-10.13533097620728</v>
      </c>
      <c r="BZ76" s="668">
        <f t="shared" si="251"/>
        <v>-73.230343966599818</v>
      </c>
      <c r="CA76" s="669">
        <f t="shared" si="251"/>
        <v>2.0710768635760073</v>
      </c>
      <c r="CB76" s="668">
        <f t="shared" si="251"/>
        <v>-27.126193688515666</v>
      </c>
      <c r="CC76" s="668">
        <f t="shared" si="251"/>
        <v>17.397732945472892</v>
      </c>
      <c r="CD76" s="668">
        <f t="shared" si="251"/>
        <v>-43.592995553396605</v>
      </c>
      <c r="CE76" s="669">
        <f t="shared" si="251"/>
        <v>-40.734017339251679</v>
      </c>
      <c r="CF76" s="668">
        <f t="shared" si="251"/>
        <v>51.815448234213832</v>
      </c>
      <c r="CG76" s="668">
        <f t="shared" si="251"/>
        <v>23.470035480017692</v>
      </c>
      <c r="CH76" s="668">
        <f t="shared" si="251"/>
        <v>-18.599519028344446</v>
      </c>
      <c r="CI76" s="669">
        <f t="shared" si="251"/>
        <v>35.92065354557333</v>
      </c>
      <c r="CJ76" s="668">
        <f t="shared" si="251"/>
        <v>41.032998565279783</v>
      </c>
      <c r="CK76" s="668">
        <f t="shared" si="251"/>
        <v>77.610428283056976</v>
      </c>
      <c r="CL76" s="668">
        <f t="shared" si="251"/>
        <v>17.853935195584203</v>
      </c>
      <c r="CM76" s="669">
        <f t="shared" si="251"/>
        <v>32.87193241591865</v>
      </c>
      <c r="CN76" s="668">
        <f t="shared" si="251"/>
        <v>71.888498980117035</v>
      </c>
      <c r="CO76" s="668">
        <f t="shared" si="251"/>
        <v>0.63546974379172227</v>
      </c>
      <c r="CP76" s="668">
        <f t="shared" si="251"/>
        <v>-40.272866070928394</v>
      </c>
      <c r="CQ76" s="669">
        <f t="shared" si="251"/>
        <v>34.082103826461598</v>
      </c>
      <c r="CR76" s="668">
        <f t="shared" si="251"/>
        <v>25.855379710392896</v>
      </c>
      <c r="CS76" s="668">
        <f t="shared" ref="CS76:CY76" si="252">(CS75-CR75)*10000</f>
        <v>-8.8202796839695345</v>
      </c>
      <c r="CT76" s="668">
        <f t="shared" si="252"/>
        <v>-31.957412646483608</v>
      </c>
      <c r="CU76" s="669">
        <f t="shared" si="252"/>
        <v>3.1956584047759806</v>
      </c>
      <c r="CV76" s="668">
        <f t="shared" si="252"/>
        <v>37.788859158355699</v>
      </c>
      <c r="CW76" s="668">
        <f t="shared" si="252"/>
        <v>-10.000000000000009</v>
      </c>
      <c r="CX76" s="668">
        <f t="shared" si="252"/>
        <v>-40.000000000000036</v>
      </c>
      <c r="CY76" s="669">
        <f t="shared" si="252"/>
        <v>10.000000000000009</v>
      </c>
      <c r="DA76" s="668"/>
      <c r="DB76" s="668"/>
      <c r="DC76" s="668"/>
      <c r="DD76" s="668"/>
      <c r="DE76" s="668"/>
      <c r="DF76" s="668"/>
      <c r="DG76" s="668"/>
      <c r="DH76" s="668"/>
      <c r="DI76" s="668"/>
      <c r="DJ76" s="668"/>
      <c r="DK76" s="668"/>
      <c r="DL76" s="668"/>
      <c r="DM76" s="668"/>
      <c r="DN76" s="668"/>
      <c r="DO76" s="668"/>
      <c r="DP76" s="668"/>
      <c r="DQ76" s="668"/>
      <c r="DR76" s="668"/>
      <c r="DS76" s="668"/>
      <c r="DT76" s="668"/>
      <c r="DU76" s="668"/>
      <c r="DV76" s="668"/>
      <c r="DW76" s="668"/>
      <c r="DX76" s="668"/>
      <c r="DY76" s="668"/>
      <c r="DZ76" s="356"/>
      <c r="EA76" s="356"/>
      <c r="EB76" s="356"/>
      <c r="EC76" s="356"/>
      <c r="ED76" s="356"/>
      <c r="EE76" s="666"/>
    </row>
    <row r="77" spans="1:137" s="670" customFormat="1" ht="15">
      <c r="A77" s="231"/>
      <c r="B77" s="665" t="s">
        <v>307</v>
      </c>
      <c r="C77" s="666"/>
      <c r="D77" s="667"/>
      <c r="E77" s="668"/>
      <c r="F77" s="668"/>
      <c r="G77" s="669"/>
      <c r="H77" s="668"/>
      <c r="I77" s="668"/>
      <c r="J77" s="668"/>
      <c r="K77" s="669"/>
      <c r="L77" s="668"/>
      <c r="M77" s="668"/>
      <c r="N77" s="668"/>
      <c r="O77" s="669"/>
      <c r="P77" s="668"/>
      <c r="Q77" s="668"/>
      <c r="R77" s="668"/>
      <c r="S77" s="669"/>
      <c r="T77" s="668"/>
      <c r="U77" s="668"/>
      <c r="V77" s="668"/>
      <c r="W77" s="669"/>
      <c r="X77" s="668"/>
      <c r="Y77" s="668"/>
      <c r="Z77" s="668"/>
      <c r="AA77" s="669"/>
      <c r="AB77" s="668"/>
      <c r="AC77" s="668"/>
      <c r="AD77" s="668"/>
      <c r="AE77" s="669"/>
      <c r="AF77" s="668">
        <f>(AF75-AB75)*10000</f>
        <v>-133.82749460949245</v>
      </c>
      <c r="AG77" s="668">
        <f>(AG75-AC75)*10000</f>
        <v>-30.972763732949467</v>
      </c>
      <c r="AH77" s="668">
        <f>(AH75-AD75)*10000</f>
        <v>-90.022501689410376</v>
      </c>
      <c r="AI77" s="669"/>
      <c r="AJ77" s="668">
        <f t="shared" ref="AJ77:BO77" si="253">(AJ75-AF75)*10000</f>
        <v>91.037418685066882</v>
      </c>
      <c r="AK77" s="668">
        <f t="shared" si="253"/>
        <v>27.177565877069682</v>
      </c>
      <c r="AL77" s="668">
        <f t="shared" si="253"/>
        <v>36.581086507981588</v>
      </c>
      <c r="AM77" s="669">
        <f t="shared" si="253"/>
        <v>241.27200682076062</v>
      </c>
      <c r="AN77" s="668">
        <f t="shared" si="253"/>
        <v>59.738810335716664</v>
      </c>
      <c r="AO77" s="668">
        <f t="shared" si="253"/>
        <v>96.938005883929065</v>
      </c>
      <c r="AP77" s="668">
        <f t="shared" si="253"/>
        <v>161.58470092914837</v>
      </c>
      <c r="AQ77" s="669">
        <f t="shared" si="253"/>
        <v>10.740135219650115</v>
      </c>
      <c r="AR77" s="668">
        <f t="shared" si="253"/>
        <v>-17.599637849381526</v>
      </c>
      <c r="AS77" s="668">
        <f t="shared" si="253"/>
        <v>36.274318650180021</v>
      </c>
      <c r="AT77" s="668">
        <f t="shared" si="253"/>
        <v>-1.1585946018570492</v>
      </c>
      <c r="AU77" s="669">
        <f t="shared" si="253"/>
        <v>-188.7534116468284</v>
      </c>
      <c r="AV77" s="668">
        <f t="shared" si="253"/>
        <v>-308.45613606754347</v>
      </c>
      <c r="AW77" s="668">
        <f t="shared" si="253"/>
        <v>-455.4259876867456</v>
      </c>
      <c r="AX77" s="668">
        <f t="shared" si="253"/>
        <v>-366.9213887393401</v>
      </c>
      <c r="AY77" s="669">
        <f t="shared" si="253"/>
        <v>100.11995915652439</v>
      </c>
      <c r="AZ77" s="668">
        <f t="shared" si="253"/>
        <v>288.57579487944463</v>
      </c>
      <c r="BA77" s="668">
        <f t="shared" si="253"/>
        <v>352.32411374489681</v>
      </c>
      <c r="BB77" s="668">
        <f t="shared" si="253"/>
        <v>185.97013956943377</v>
      </c>
      <c r="BC77" s="669">
        <f t="shared" si="253"/>
        <v>-13.847114551084616</v>
      </c>
      <c r="BD77" s="668">
        <f t="shared" si="253"/>
        <v>172.0658491685987</v>
      </c>
      <c r="BE77" s="668">
        <f t="shared" si="253"/>
        <v>201.1661675324728</v>
      </c>
      <c r="BF77" s="668">
        <f t="shared" si="253"/>
        <v>204.82980805164661</v>
      </c>
      <c r="BG77" s="669">
        <f t="shared" si="253"/>
        <v>-2.6710522271398975</v>
      </c>
      <c r="BH77" s="668">
        <f t="shared" si="253"/>
        <v>3.3141486449574096</v>
      </c>
      <c r="BI77" s="668">
        <f t="shared" si="253"/>
        <v>-215.6577252519721</v>
      </c>
      <c r="BJ77" s="668">
        <f t="shared" si="253"/>
        <v>-391.46397138734011</v>
      </c>
      <c r="BK77" s="669">
        <f t="shared" si="253"/>
        <v>-315.00826849145022</v>
      </c>
      <c r="BL77" s="668">
        <f t="shared" si="253"/>
        <v>-510.43327925511676</v>
      </c>
      <c r="BM77" s="668">
        <f t="shared" si="253"/>
        <v>-478.30200786085368</v>
      </c>
      <c r="BN77" s="668">
        <f t="shared" si="253"/>
        <v>419.23121396315213</v>
      </c>
      <c r="BO77" s="669">
        <f t="shared" si="253"/>
        <v>272.02182685735215</v>
      </c>
      <c r="BP77" s="668">
        <f t="shared" ref="BP77:CY77" si="254">(BP75-BL75)*10000</f>
        <v>545.42843768820342</v>
      </c>
      <c r="BQ77" s="668">
        <f t="shared" si="254"/>
        <v>796.46752440390048</v>
      </c>
      <c r="BR77" s="668">
        <f t="shared" si="254"/>
        <v>23.878169692214264</v>
      </c>
      <c r="BS77" s="669">
        <f t="shared" si="254"/>
        <v>69.661752224852435</v>
      </c>
      <c r="BT77" s="668">
        <f t="shared" si="254"/>
        <v>90.157214435414019</v>
      </c>
      <c r="BU77" s="668">
        <f t="shared" si="254"/>
        <v>-80.708383547392486</v>
      </c>
      <c r="BV77" s="668">
        <f t="shared" si="254"/>
        <v>-73.280411827178625</v>
      </c>
      <c r="BW77" s="669">
        <f t="shared" si="254"/>
        <v>-54.848776005379378</v>
      </c>
      <c r="BX77" s="668">
        <f t="shared" si="254"/>
        <v>-100.39739918788204</v>
      </c>
      <c r="BY77" s="668">
        <f t="shared" si="254"/>
        <v>-127.99535396148254</v>
      </c>
      <c r="BZ77" s="668">
        <f t="shared" si="254"/>
        <v>-87.288333696337801</v>
      </c>
      <c r="CA77" s="669">
        <f t="shared" si="254"/>
        <v>-56.310682519465914</v>
      </c>
      <c r="CB77" s="668">
        <f t="shared" si="254"/>
        <v>-108.42079176774676</v>
      </c>
      <c r="CC77" s="668">
        <f t="shared" si="254"/>
        <v>-80.887727846066582</v>
      </c>
      <c r="CD77" s="668">
        <f t="shared" si="254"/>
        <v>-51.250379432863369</v>
      </c>
      <c r="CE77" s="669">
        <f t="shared" si="254"/>
        <v>-94.055473635691058</v>
      </c>
      <c r="CF77" s="668">
        <f t="shared" si="254"/>
        <v>-15.113831712961559</v>
      </c>
      <c r="CG77" s="668">
        <f t="shared" si="254"/>
        <v>-9.0415291784167593</v>
      </c>
      <c r="CH77" s="668">
        <f t="shared" si="254"/>
        <v>15.951947346635395</v>
      </c>
      <c r="CI77" s="669">
        <f t="shared" si="254"/>
        <v>92.606618231460402</v>
      </c>
      <c r="CJ77" s="668">
        <f t="shared" si="254"/>
        <v>81.824168562526367</v>
      </c>
      <c r="CK77" s="668">
        <f t="shared" si="254"/>
        <v>135.96456136556566</v>
      </c>
      <c r="CL77" s="668">
        <f t="shared" si="254"/>
        <v>172.4180155894943</v>
      </c>
      <c r="CM77" s="669">
        <f t="shared" si="254"/>
        <v>169.36929445983961</v>
      </c>
      <c r="CN77" s="668">
        <f t="shared" si="254"/>
        <v>200.22479487467686</v>
      </c>
      <c r="CO77" s="668">
        <f t="shared" si="254"/>
        <v>123.24983633541162</v>
      </c>
      <c r="CP77" s="668">
        <f t="shared" si="254"/>
        <v>65.123035068899014</v>
      </c>
      <c r="CQ77" s="669">
        <f t="shared" si="254"/>
        <v>66.333206479441969</v>
      </c>
      <c r="CR77" s="668">
        <f t="shared" si="254"/>
        <v>20.30008720971782</v>
      </c>
      <c r="CS77" s="668">
        <f t="shared" si="254"/>
        <v>10.844337781956565</v>
      </c>
      <c r="CT77" s="668">
        <f t="shared" si="254"/>
        <v>19.159791206401351</v>
      </c>
      <c r="CU77" s="669">
        <f t="shared" si="254"/>
        <v>-11.726654215284265</v>
      </c>
      <c r="CV77" s="668">
        <f t="shared" si="254"/>
        <v>0.20682523267853692</v>
      </c>
      <c r="CW77" s="668">
        <f t="shared" si="254"/>
        <v>-0.97289508335193786</v>
      </c>
      <c r="CX77" s="668">
        <f t="shared" si="254"/>
        <v>-9.0154824368683659</v>
      </c>
      <c r="CY77" s="669">
        <f t="shared" si="254"/>
        <v>-2.2111408416443377</v>
      </c>
      <c r="DA77" s="668"/>
      <c r="DB77" s="668"/>
      <c r="DC77" s="668"/>
      <c r="DD77" s="668"/>
      <c r="DE77" s="668"/>
      <c r="DF77" s="668"/>
      <c r="DG77" s="668"/>
      <c r="DH77" s="668"/>
      <c r="DI77" s="668">
        <f t="shared" ref="DI77:ED77" si="255">(DI75-DH75)*10000</f>
        <v>103.43014763983611</v>
      </c>
      <c r="DJ77" s="668">
        <f t="shared" si="255"/>
        <v>79.306854209863218</v>
      </c>
      <c r="DK77" s="668">
        <f t="shared" si="255"/>
        <v>-46.914636360774125</v>
      </c>
      <c r="DL77" s="668">
        <f t="shared" si="255"/>
        <v>-252.78145023494196</v>
      </c>
      <c r="DM77" s="668">
        <f t="shared" si="255"/>
        <v>201.84236182294077</v>
      </c>
      <c r="DN77" s="668">
        <f t="shared" si="255"/>
        <v>144.7085762758677</v>
      </c>
      <c r="DO77" s="668">
        <f t="shared" si="255"/>
        <v>-212.41563897321737</v>
      </c>
      <c r="DP77" s="668">
        <f t="shared" si="255"/>
        <v>-71.808379307836816</v>
      </c>
      <c r="DQ77" s="668">
        <f t="shared" si="255"/>
        <v>337.97001590833725</v>
      </c>
      <c r="DR77" s="668">
        <f t="shared" si="255"/>
        <v>-28.71635884297924</v>
      </c>
      <c r="DS77" s="668">
        <f t="shared" si="255"/>
        <v>-93.993181318113017</v>
      </c>
      <c r="DT77" s="668">
        <f t="shared" si="255"/>
        <v>-84.474658688627812</v>
      </c>
      <c r="DU77" s="668">
        <f t="shared" si="255"/>
        <v>22.083072295439184</v>
      </c>
      <c r="DV77" s="668">
        <f t="shared" si="255"/>
        <v>139.91762754091314</v>
      </c>
      <c r="DW77" s="668">
        <f t="shared" si="255"/>
        <v>113.37970771208725</v>
      </c>
      <c r="DX77" s="668">
        <f t="shared" si="255"/>
        <v>9.3227178949026328</v>
      </c>
      <c r="DY77" s="668">
        <f t="shared" si="255"/>
        <v>-2.7476075574328629</v>
      </c>
      <c r="DZ77" s="668">
        <f t="shared" si="255"/>
        <v>-25.136220326394955</v>
      </c>
      <c r="EA77" s="668">
        <f t="shared" si="255"/>
        <v>-50.000000000000043</v>
      </c>
      <c r="EB77" s="668">
        <f t="shared" si="255"/>
        <v>-50.000000000000043</v>
      </c>
      <c r="EC77" s="668">
        <f t="shared" si="255"/>
        <v>-50.000000000000043</v>
      </c>
      <c r="ED77" s="668">
        <f t="shared" si="255"/>
        <v>-49.999999999999972</v>
      </c>
      <c r="EE77" s="666"/>
    </row>
    <row r="78" spans="1:137" s="670" customFormat="1" ht="15">
      <c r="A78" s="231"/>
      <c r="B78" s="665" t="s">
        <v>313</v>
      </c>
      <c r="C78" s="666"/>
      <c r="D78" s="667"/>
      <c r="E78" s="668"/>
      <c r="F78" s="668"/>
      <c r="G78" s="669"/>
      <c r="H78" s="668"/>
      <c r="I78" s="668"/>
      <c r="J78" s="668"/>
      <c r="K78" s="669"/>
      <c r="L78" s="668"/>
      <c r="M78" s="668"/>
      <c r="N78" s="668"/>
      <c r="O78" s="669"/>
      <c r="P78" s="668"/>
      <c r="Q78" s="668"/>
      <c r="R78" s="668"/>
      <c r="S78" s="669"/>
      <c r="T78" s="668"/>
      <c r="U78" s="668"/>
      <c r="V78" s="668"/>
      <c r="W78" s="669"/>
      <c r="X78" s="668"/>
      <c r="Y78" s="668"/>
      <c r="Z78" s="668"/>
      <c r="AA78" s="669"/>
      <c r="AB78" s="668"/>
      <c r="AC78" s="668"/>
      <c r="AD78" s="668"/>
      <c r="AE78" s="669"/>
      <c r="AF78" s="668"/>
      <c r="AG78" s="668"/>
      <c r="AH78" s="668"/>
      <c r="AI78" s="669"/>
      <c r="AJ78" s="668">
        <f>AF77+AJ77</f>
        <v>-42.790075924425565</v>
      </c>
      <c r="AK78" s="668">
        <f>AG77+AK77</f>
        <v>-3.7951978558797848</v>
      </c>
      <c r="AL78" s="668">
        <f>AH77+AL77</f>
        <v>-53.441415181428788</v>
      </c>
      <c r="AM78" s="669"/>
      <c r="AN78" s="668">
        <f t="shared" ref="AN78:BS78" si="256">AJ77+AN77</f>
        <v>150.77622902078355</v>
      </c>
      <c r="AO78" s="668">
        <f t="shared" si="256"/>
        <v>124.11557176099875</v>
      </c>
      <c r="AP78" s="668">
        <f t="shared" si="256"/>
        <v>198.16578743712995</v>
      </c>
      <c r="AQ78" s="669">
        <f t="shared" si="256"/>
        <v>252.01214204041074</v>
      </c>
      <c r="AR78" s="668">
        <f t="shared" si="256"/>
        <v>42.139172486335141</v>
      </c>
      <c r="AS78" s="668">
        <f t="shared" si="256"/>
        <v>133.21232453410909</v>
      </c>
      <c r="AT78" s="668">
        <f t="shared" si="256"/>
        <v>160.42610632729131</v>
      </c>
      <c r="AU78" s="669">
        <f t="shared" si="256"/>
        <v>-178.01327642717828</v>
      </c>
      <c r="AV78" s="668">
        <f t="shared" si="256"/>
        <v>-326.05577391692498</v>
      </c>
      <c r="AW78" s="668">
        <f t="shared" si="256"/>
        <v>-419.15166903656558</v>
      </c>
      <c r="AX78" s="668">
        <f t="shared" si="256"/>
        <v>-368.07998334119713</v>
      </c>
      <c r="AY78" s="669">
        <f t="shared" si="256"/>
        <v>-88.633452490304009</v>
      </c>
      <c r="AZ78" s="668">
        <f t="shared" si="256"/>
        <v>-19.880341188098839</v>
      </c>
      <c r="BA78" s="668">
        <f t="shared" si="256"/>
        <v>-103.10187394184879</v>
      </c>
      <c r="BB78" s="668">
        <f t="shared" si="256"/>
        <v>-180.95124916990633</v>
      </c>
      <c r="BC78" s="669">
        <f t="shared" si="256"/>
        <v>86.272844605439772</v>
      </c>
      <c r="BD78" s="668">
        <f t="shared" si="256"/>
        <v>460.6416440480433</v>
      </c>
      <c r="BE78" s="668">
        <f t="shared" si="256"/>
        <v>553.4902812773696</v>
      </c>
      <c r="BF78" s="668">
        <f t="shared" si="256"/>
        <v>390.79994762108038</v>
      </c>
      <c r="BG78" s="669">
        <f t="shared" si="256"/>
        <v>-16.518166778224511</v>
      </c>
      <c r="BH78" s="668">
        <f t="shared" si="256"/>
        <v>175.37999781355612</v>
      </c>
      <c r="BI78" s="668">
        <f t="shared" si="256"/>
        <v>-14.491557719499298</v>
      </c>
      <c r="BJ78" s="668">
        <f t="shared" si="256"/>
        <v>-186.6341633356935</v>
      </c>
      <c r="BK78" s="669">
        <f t="shared" si="256"/>
        <v>-317.67932071859013</v>
      </c>
      <c r="BL78" s="668">
        <f t="shared" si="256"/>
        <v>-507.11913061015935</v>
      </c>
      <c r="BM78" s="668">
        <f t="shared" si="256"/>
        <v>-693.9597331128258</v>
      </c>
      <c r="BN78" s="668">
        <f t="shared" si="256"/>
        <v>27.76724257581202</v>
      </c>
      <c r="BO78" s="669">
        <f t="shared" si="256"/>
        <v>-42.986441634098071</v>
      </c>
      <c r="BP78" s="668">
        <f t="shared" si="256"/>
        <v>34.995158433086658</v>
      </c>
      <c r="BQ78" s="668">
        <f t="shared" si="256"/>
        <v>318.16551654304681</v>
      </c>
      <c r="BR78" s="668">
        <f t="shared" si="256"/>
        <v>443.1093836553664</v>
      </c>
      <c r="BS78" s="669">
        <f t="shared" si="256"/>
        <v>341.68357908220457</v>
      </c>
      <c r="BT78" s="668">
        <f t="shared" ref="BT78:CY78" si="257">BP77+BT77</f>
        <v>635.58565212361748</v>
      </c>
      <c r="BU78" s="668">
        <f t="shared" si="257"/>
        <v>715.759140856508</v>
      </c>
      <c r="BV78" s="668">
        <f t="shared" si="257"/>
        <v>-49.402242134964361</v>
      </c>
      <c r="BW78" s="669">
        <f t="shared" si="257"/>
        <v>14.812976219473057</v>
      </c>
      <c r="BX78" s="668">
        <f t="shared" si="257"/>
        <v>-10.240184752468025</v>
      </c>
      <c r="BY78" s="668">
        <f t="shared" si="257"/>
        <v>-208.70373750887501</v>
      </c>
      <c r="BZ78" s="668">
        <f t="shared" si="257"/>
        <v>-160.56874552351644</v>
      </c>
      <c r="CA78" s="669">
        <f t="shared" si="257"/>
        <v>-111.15945852484529</v>
      </c>
      <c r="CB78" s="668">
        <f t="shared" si="257"/>
        <v>-208.81819095562881</v>
      </c>
      <c r="CC78" s="668">
        <f t="shared" si="257"/>
        <v>-208.8830818075491</v>
      </c>
      <c r="CD78" s="668">
        <f t="shared" si="257"/>
        <v>-138.53871312920117</v>
      </c>
      <c r="CE78" s="669">
        <f t="shared" si="257"/>
        <v>-150.36615615515697</v>
      </c>
      <c r="CF78" s="668">
        <f t="shared" si="257"/>
        <v>-123.53462348070832</v>
      </c>
      <c r="CG78" s="668">
        <f t="shared" si="257"/>
        <v>-89.929257024483348</v>
      </c>
      <c r="CH78" s="668">
        <f t="shared" si="257"/>
        <v>-35.298432086227976</v>
      </c>
      <c r="CI78" s="669">
        <f t="shared" si="257"/>
        <v>-1.4488554042306561</v>
      </c>
      <c r="CJ78" s="668">
        <f t="shared" si="257"/>
        <v>66.710336849564811</v>
      </c>
      <c r="CK78" s="668">
        <f t="shared" si="257"/>
        <v>126.92303218714889</v>
      </c>
      <c r="CL78" s="668">
        <f t="shared" si="257"/>
        <v>188.3699629361297</v>
      </c>
      <c r="CM78" s="669">
        <f t="shared" si="257"/>
        <v>261.97591269129998</v>
      </c>
      <c r="CN78" s="668">
        <f t="shared" si="257"/>
        <v>282.04896343720321</v>
      </c>
      <c r="CO78" s="668">
        <f t="shared" si="257"/>
        <v>259.21439770097726</v>
      </c>
      <c r="CP78" s="668">
        <f t="shared" si="257"/>
        <v>237.54105065839332</v>
      </c>
      <c r="CQ78" s="669">
        <f t="shared" si="257"/>
        <v>235.70250093928158</v>
      </c>
      <c r="CR78" s="668">
        <f t="shared" si="257"/>
        <v>220.52488208439468</v>
      </c>
      <c r="CS78" s="668">
        <f t="shared" si="257"/>
        <v>134.09417411736817</v>
      </c>
      <c r="CT78" s="668">
        <f t="shared" si="257"/>
        <v>84.282826275300366</v>
      </c>
      <c r="CU78" s="669">
        <f t="shared" si="257"/>
        <v>54.606552264157706</v>
      </c>
      <c r="CV78" s="668">
        <f t="shared" si="257"/>
        <v>20.506912442396356</v>
      </c>
      <c r="CW78" s="668">
        <f t="shared" si="257"/>
        <v>9.8714426986046266</v>
      </c>
      <c r="CX78" s="668">
        <f t="shared" si="257"/>
        <v>10.144308769532985</v>
      </c>
      <c r="CY78" s="669">
        <f t="shared" si="257"/>
        <v>-13.937795056928604</v>
      </c>
      <c r="DA78" s="668"/>
      <c r="DB78" s="668"/>
      <c r="DC78" s="668"/>
      <c r="DD78" s="668"/>
      <c r="DE78" s="668"/>
      <c r="DF78" s="668"/>
      <c r="DG78" s="668"/>
      <c r="DH78" s="668"/>
      <c r="DI78" s="668"/>
      <c r="DJ78" s="668">
        <f t="shared" ref="DJ78:ED78" si="258">DI77+DJ77</f>
        <v>182.73700184969931</v>
      </c>
      <c r="DK78" s="668">
        <f t="shared" si="258"/>
        <v>32.392217849089093</v>
      </c>
      <c r="DL78" s="668">
        <f t="shared" si="258"/>
        <v>-299.69608659571611</v>
      </c>
      <c r="DM78" s="668">
        <f t="shared" si="258"/>
        <v>-50.939088412001183</v>
      </c>
      <c r="DN78" s="668">
        <f t="shared" si="258"/>
        <v>346.5509380988085</v>
      </c>
      <c r="DO78" s="668">
        <f t="shared" si="258"/>
        <v>-67.70706269734967</v>
      </c>
      <c r="DP78" s="668">
        <f t="shared" si="258"/>
        <v>-284.22401828105421</v>
      </c>
      <c r="DQ78" s="668">
        <f t="shared" si="258"/>
        <v>266.1616366005004</v>
      </c>
      <c r="DR78" s="668">
        <f t="shared" si="258"/>
        <v>309.25365706535803</v>
      </c>
      <c r="DS78" s="668">
        <f t="shared" si="258"/>
        <v>-122.70954016109226</v>
      </c>
      <c r="DT78" s="668">
        <f t="shared" si="258"/>
        <v>-178.46784000674083</v>
      </c>
      <c r="DU78" s="668">
        <f t="shared" si="258"/>
        <v>-62.391586393188632</v>
      </c>
      <c r="DV78" s="668">
        <f t="shared" si="258"/>
        <v>162.00069983635234</v>
      </c>
      <c r="DW78" s="668">
        <f t="shared" si="258"/>
        <v>253.2973352530004</v>
      </c>
      <c r="DX78" s="668">
        <f t="shared" si="258"/>
        <v>122.70242560698989</v>
      </c>
      <c r="DY78" s="668">
        <f t="shared" si="258"/>
        <v>6.5751103374697699</v>
      </c>
      <c r="DZ78" s="668">
        <f t="shared" si="258"/>
        <v>-27.88382788382782</v>
      </c>
      <c r="EA78" s="668">
        <f t="shared" si="258"/>
        <v>-75.136220326395005</v>
      </c>
      <c r="EB78" s="668">
        <f t="shared" si="258"/>
        <v>-100.00000000000009</v>
      </c>
      <c r="EC78" s="668">
        <f t="shared" si="258"/>
        <v>-100.00000000000009</v>
      </c>
      <c r="ED78" s="668">
        <f t="shared" si="258"/>
        <v>-100.00000000000001</v>
      </c>
      <c r="EE78" s="666"/>
    </row>
    <row r="79" spans="1:137" s="670" customFormat="1" ht="15">
      <c r="A79" s="193"/>
      <c r="B79" s="665" t="s">
        <v>306</v>
      </c>
      <c r="C79" s="666"/>
      <c r="D79" s="667"/>
      <c r="E79" s="668"/>
      <c r="F79" s="668"/>
      <c r="G79" s="669"/>
      <c r="H79" s="668"/>
      <c r="I79" s="668"/>
      <c r="J79" s="668"/>
      <c r="K79" s="669"/>
      <c r="L79" s="668"/>
      <c r="M79" s="668"/>
      <c r="N79" s="668"/>
      <c r="O79" s="669"/>
      <c r="P79" s="668"/>
      <c r="Q79" s="668"/>
      <c r="R79" s="668"/>
      <c r="S79" s="669"/>
      <c r="T79" s="668"/>
      <c r="U79" s="668"/>
      <c r="V79" s="668"/>
      <c r="W79" s="669"/>
      <c r="X79" s="668"/>
      <c r="Y79" s="668"/>
      <c r="Z79" s="668"/>
      <c r="AA79" s="669"/>
      <c r="AB79" s="668"/>
      <c r="AC79" s="668">
        <f>AC74-AB74</f>
        <v>12.099999999999994</v>
      </c>
      <c r="AD79" s="668">
        <f>AD74-AC74</f>
        <v>-13.5</v>
      </c>
      <c r="AE79" s="669"/>
      <c r="AF79" s="668"/>
      <c r="AG79" s="668">
        <f t="shared" ref="AG79:BL79" si="259">AG74-AF74</f>
        <v>39.5</v>
      </c>
      <c r="AH79" s="668">
        <f t="shared" si="259"/>
        <v>-24</v>
      </c>
      <c r="AI79" s="669">
        <f t="shared" si="259"/>
        <v>22.399999999999963</v>
      </c>
      <c r="AJ79" s="668">
        <f t="shared" si="259"/>
        <v>-14.999999999999972</v>
      </c>
      <c r="AK79" s="668">
        <f t="shared" si="259"/>
        <v>30.099999999999994</v>
      </c>
      <c r="AL79" s="668">
        <f t="shared" si="259"/>
        <v>-22.199999999999989</v>
      </c>
      <c r="AM79" s="669">
        <f t="shared" si="259"/>
        <v>83.800000000000068</v>
      </c>
      <c r="AN79" s="668">
        <f t="shared" si="259"/>
        <v>-62.700000000000074</v>
      </c>
      <c r="AO79" s="668">
        <f t="shared" si="259"/>
        <v>41.599999999999994</v>
      </c>
      <c r="AP79" s="668">
        <f t="shared" si="259"/>
        <v>-21</v>
      </c>
      <c r="AQ79" s="669">
        <f t="shared" si="259"/>
        <v>66.900000000000091</v>
      </c>
      <c r="AR79" s="668">
        <f t="shared" si="259"/>
        <v>-77.000000000000085</v>
      </c>
      <c r="AS79" s="668">
        <f t="shared" si="259"/>
        <v>45.600000000000023</v>
      </c>
      <c r="AT79" s="668">
        <f t="shared" si="259"/>
        <v>-18.800000000000011</v>
      </c>
      <c r="AU79" s="669">
        <f t="shared" si="259"/>
        <v>-7.5000000000000284</v>
      </c>
      <c r="AV79" s="668">
        <f t="shared" si="259"/>
        <v>-116.79999999999998</v>
      </c>
      <c r="AW79" s="668">
        <f t="shared" si="259"/>
        <v>11.399999999999999</v>
      </c>
      <c r="AX79" s="668">
        <f t="shared" si="259"/>
        <v>16.900000000000006</v>
      </c>
      <c r="AY79" s="669">
        <f t="shared" si="259"/>
        <v>117.9</v>
      </c>
      <c r="AZ79" s="668">
        <f t="shared" si="259"/>
        <v>-55.400000000000006</v>
      </c>
      <c r="BA79" s="668">
        <f t="shared" si="259"/>
        <v>34.299999999999983</v>
      </c>
      <c r="BB79" s="668">
        <f t="shared" si="259"/>
        <v>-41.799999999999983</v>
      </c>
      <c r="BC79" s="669">
        <f t="shared" si="259"/>
        <v>63.100000000000023</v>
      </c>
      <c r="BD79" s="668">
        <f t="shared" si="259"/>
        <v>-4.0000000000000284</v>
      </c>
      <c r="BE79" s="668">
        <f t="shared" si="259"/>
        <v>57.900000000000006</v>
      </c>
      <c r="BF79" s="668">
        <f t="shared" si="259"/>
        <v>-49.700000000000017</v>
      </c>
      <c r="BG79" s="669">
        <f t="shared" si="259"/>
        <v>6</v>
      </c>
      <c r="BH79" s="668">
        <f t="shared" si="259"/>
        <v>-10.499999999999972</v>
      </c>
      <c r="BI79" s="668">
        <f t="shared" si="259"/>
        <v>-23.000000000000028</v>
      </c>
      <c r="BJ79" s="668">
        <f t="shared" si="259"/>
        <v>-97.6</v>
      </c>
      <c r="BK79" s="669">
        <f t="shared" si="259"/>
        <v>-1.2000000000000171</v>
      </c>
      <c r="BL79" s="668">
        <f t="shared" si="259"/>
        <v>-50.59999999999998</v>
      </c>
      <c r="BM79" s="668">
        <f t="shared" ref="BM79:CY79" si="260">BM74-BL74</f>
        <v>-10.299999999999997</v>
      </c>
      <c r="BN79" s="668">
        <f t="shared" si="260"/>
        <v>134.20000000000002</v>
      </c>
      <c r="BO79" s="669">
        <f t="shared" si="260"/>
        <v>-10.500000000000028</v>
      </c>
      <c r="BP79" s="668">
        <f t="shared" si="260"/>
        <v>20.400000000000006</v>
      </c>
      <c r="BQ79" s="668">
        <f t="shared" si="260"/>
        <v>51.700000000000017</v>
      </c>
      <c r="BR79" s="668">
        <f t="shared" si="260"/>
        <v>-44.700000000000017</v>
      </c>
      <c r="BS79" s="669">
        <f t="shared" si="260"/>
        <v>8.2000000000000171</v>
      </c>
      <c r="BT79" s="668">
        <f t="shared" si="260"/>
        <v>37.399999999999977</v>
      </c>
      <c r="BU79" s="668">
        <f t="shared" si="260"/>
        <v>15.400000000000006</v>
      </c>
      <c r="BV79" s="668">
        <f t="shared" si="260"/>
        <v>-44.199999999999989</v>
      </c>
      <c r="BW79" s="669">
        <f t="shared" si="260"/>
        <v>-8.9000000000000057</v>
      </c>
      <c r="BX79" s="668">
        <f t="shared" si="260"/>
        <v>16.300000000000011</v>
      </c>
      <c r="BY79" s="668">
        <f t="shared" si="260"/>
        <v>-4.2000000000000171</v>
      </c>
      <c r="BZ79" s="668">
        <f t="shared" si="260"/>
        <v>-23.5</v>
      </c>
      <c r="CA79" s="669">
        <f t="shared" si="260"/>
        <v>1.7000000000000171</v>
      </c>
      <c r="CB79" s="668">
        <f t="shared" si="260"/>
        <v>1</v>
      </c>
      <c r="CC79" s="668">
        <f t="shared" si="260"/>
        <v>14.199999999999989</v>
      </c>
      <c r="CD79" s="668">
        <f t="shared" si="260"/>
        <v>-22.900000000000006</v>
      </c>
      <c r="CE79" s="669">
        <f t="shared" si="260"/>
        <v>0.80000000000001137</v>
      </c>
      <c r="CF79" s="668">
        <f t="shared" si="260"/>
        <v>20.699999999999989</v>
      </c>
      <c r="CG79" s="668">
        <f t="shared" si="260"/>
        <v>20</v>
      </c>
      <c r="CH79" s="668">
        <f t="shared" si="260"/>
        <v>-20.5</v>
      </c>
      <c r="CI79" s="669">
        <f t="shared" si="260"/>
        <v>27</v>
      </c>
      <c r="CJ79" s="668">
        <f t="shared" si="260"/>
        <v>16.200000000000017</v>
      </c>
      <c r="CK79" s="668">
        <f t="shared" si="260"/>
        <v>33.599999999999994</v>
      </c>
      <c r="CL79" s="668">
        <f t="shared" si="260"/>
        <v>-9.5999999999999943</v>
      </c>
      <c r="CM79" s="669">
        <f t="shared" si="260"/>
        <v>35.399999999999977</v>
      </c>
      <c r="CN79" s="668">
        <f t="shared" si="260"/>
        <v>20.100000000000023</v>
      </c>
      <c r="CO79" s="668">
        <f t="shared" si="260"/>
        <v>3.3999999999999773</v>
      </c>
      <c r="CP79" s="668">
        <f t="shared" si="260"/>
        <v>-24.699999999999989</v>
      </c>
      <c r="CQ79" s="669">
        <f t="shared" si="260"/>
        <v>19.199999999999989</v>
      </c>
      <c r="CR79" s="668">
        <f t="shared" si="260"/>
        <v>32</v>
      </c>
      <c r="CS79" s="668">
        <f t="shared" si="260"/>
        <v>9.8000000000000114</v>
      </c>
      <c r="CT79" s="668">
        <f t="shared" si="260"/>
        <v>-25.5</v>
      </c>
      <c r="CU79" s="669">
        <f t="shared" si="260"/>
        <v>20.899999999999977</v>
      </c>
      <c r="CV79" s="668">
        <f t="shared" si="260"/>
        <v>24.602770056582983</v>
      </c>
      <c r="CW79" s="668">
        <f t="shared" si="260"/>
        <v>8.0720448202230841</v>
      </c>
      <c r="CX79" s="668">
        <f t="shared" si="260"/>
        <v>-35.097693675800826</v>
      </c>
      <c r="CY79" s="669">
        <f t="shared" si="260"/>
        <v>19.477230303387046</v>
      </c>
      <c r="DA79" s="668"/>
      <c r="DB79" s="668"/>
      <c r="DC79" s="668"/>
      <c r="DD79" s="668"/>
      <c r="DE79" s="668"/>
      <c r="DF79" s="668"/>
      <c r="DG79" s="668"/>
      <c r="DH79" s="668"/>
      <c r="DI79" s="668"/>
      <c r="DJ79" s="668"/>
      <c r="DK79" s="668"/>
      <c r="DL79" s="668"/>
      <c r="DM79" s="668"/>
      <c r="DN79" s="668"/>
      <c r="DO79" s="668"/>
      <c r="DP79" s="668"/>
      <c r="DQ79" s="668"/>
      <c r="DR79" s="668"/>
      <c r="DS79" s="668"/>
      <c r="DT79" s="668"/>
      <c r="DU79" s="668"/>
      <c r="DV79" s="668"/>
      <c r="DW79" s="668"/>
      <c r="DX79" s="668"/>
      <c r="DY79" s="668"/>
      <c r="DZ79" s="356"/>
      <c r="EA79" s="356"/>
      <c r="EB79" s="356"/>
      <c r="EC79" s="356"/>
      <c r="ED79" s="356"/>
      <c r="EE79" s="666"/>
    </row>
    <row r="80" spans="1:137" s="670" customFormat="1" ht="15">
      <c r="A80" s="231"/>
      <c r="B80" s="665" t="s">
        <v>308</v>
      </c>
      <c r="C80" s="666"/>
      <c r="D80" s="667"/>
      <c r="E80" s="668"/>
      <c r="F80" s="668"/>
      <c r="G80" s="669"/>
      <c r="H80" s="668"/>
      <c r="I80" s="668"/>
      <c r="J80" s="668"/>
      <c r="K80" s="669"/>
      <c r="L80" s="668"/>
      <c r="M80" s="668"/>
      <c r="N80" s="668"/>
      <c r="O80" s="669"/>
      <c r="P80" s="668"/>
      <c r="Q80" s="668"/>
      <c r="R80" s="668"/>
      <c r="S80" s="669"/>
      <c r="T80" s="668"/>
      <c r="U80" s="668"/>
      <c r="V80" s="668"/>
      <c r="W80" s="669"/>
      <c r="X80" s="668"/>
      <c r="Y80" s="668"/>
      <c r="Z80" s="668"/>
      <c r="AA80" s="669"/>
      <c r="AB80" s="668"/>
      <c r="AC80" s="668"/>
      <c r="AD80" s="668"/>
      <c r="AE80" s="669"/>
      <c r="AF80" s="668">
        <f>AF74-AB74</f>
        <v>-33.299999999999997</v>
      </c>
      <c r="AG80" s="668">
        <f>AG74-AC74</f>
        <v>-5.8999999999999915</v>
      </c>
      <c r="AH80" s="668">
        <f>AH74-AD74</f>
        <v>-16.399999999999991</v>
      </c>
      <c r="AI80" s="669"/>
      <c r="AJ80" s="668">
        <f t="shared" ref="AJ80:BO80" si="261">AJ74-AF74</f>
        <v>22.899999999999991</v>
      </c>
      <c r="AK80" s="668">
        <f t="shared" si="261"/>
        <v>13.499999999999986</v>
      </c>
      <c r="AL80" s="668">
        <f t="shared" si="261"/>
        <v>15.299999999999997</v>
      </c>
      <c r="AM80" s="669">
        <f t="shared" si="261"/>
        <v>76.700000000000102</v>
      </c>
      <c r="AN80" s="668">
        <f t="shared" si="261"/>
        <v>29</v>
      </c>
      <c r="AO80" s="668">
        <f t="shared" si="261"/>
        <v>40.5</v>
      </c>
      <c r="AP80" s="668">
        <f t="shared" si="261"/>
        <v>41.699999999999989</v>
      </c>
      <c r="AQ80" s="669">
        <f t="shared" si="261"/>
        <v>24.800000000000011</v>
      </c>
      <c r="AR80" s="668">
        <f t="shared" si="261"/>
        <v>10.5</v>
      </c>
      <c r="AS80" s="668">
        <f t="shared" si="261"/>
        <v>14.500000000000028</v>
      </c>
      <c r="AT80" s="668">
        <f t="shared" si="261"/>
        <v>16.700000000000017</v>
      </c>
      <c r="AU80" s="669">
        <f t="shared" si="261"/>
        <v>-57.700000000000102</v>
      </c>
      <c r="AV80" s="668">
        <f t="shared" si="261"/>
        <v>-97.5</v>
      </c>
      <c r="AW80" s="668">
        <f t="shared" si="261"/>
        <v>-131.70000000000002</v>
      </c>
      <c r="AX80" s="668">
        <f t="shared" si="261"/>
        <v>-96</v>
      </c>
      <c r="AY80" s="669">
        <f t="shared" si="261"/>
        <v>29.400000000000034</v>
      </c>
      <c r="AZ80" s="668">
        <f t="shared" si="261"/>
        <v>90.800000000000011</v>
      </c>
      <c r="BA80" s="668">
        <f t="shared" si="261"/>
        <v>113.69999999999999</v>
      </c>
      <c r="BB80" s="668">
        <f t="shared" si="261"/>
        <v>55</v>
      </c>
      <c r="BC80" s="669">
        <f t="shared" si="261"/>
        <v>0.20000000000001705</v>
      </c>
      <c r="BD80" s="668">
        <f t="shared" si="261"/>
        <v>51.599999999999994</v>
      </c>
      <c r="BE80" s="668">
        <f t="shared" si="261"/>
        <v>75.200000000000017</v>
      </c>
      <c r="BF80" s="668">
        <f t="shared" si="261"/>
        <v>67.299999999999983</v>
      </c>
      <c r="BG80" s="669">
        <f t="shared" si="261"/>
        <v>10.19999999999996</v>
      </c>
      <c r="BH80" s="668">
        <f t="shared" si="261"/>
        <v>3.7000000000000171</v>
      </c>
      <c r="BI80" s="668">
        <f t="shared" si="261"/>
        <v>-77.200000000000017</v>
      </c>
      <c r="BJ80" s="668">
        <f t="shared" si="261"/>
        <v>-125.1</v>
      </c>
      <c r="BK80" s="669">
        <f t="shared" si="261"/>
        <v>-132.30000000000001</v>
      </c>
      <c r="BL80" s="668">
        <f t="shared" si="261"/>
        <v>-172.40000000000003</v>
      </c>
      <c r="BM80" s="668">
        <f t="shared" si="261"/>
        <v>-159.69999999999999</v>
      </c>
      <c r="BN80" s="668">
        <f t="shared" si="261"/>
        <v>72.100000000000023</v>
      </c>
      <c r="BO80" s="669">
        <f t="shared" si="261"/>
        <v>62.800000000000011</v>
      </c>
      <c r="BP80" s="668">
        <f t="shared" ref="BP80:CY80" si="262">BP74-BL74</f>
        <v>133.80000000000001</v>
      </c>
      <c r="BQ80" s="668">
        <f t="shared" si="262"/>
        <v>195.8</v>
      </c>
      <c r="BR80" s="668">
        <f t="shared" si="262"/>
        <v>16.899999999999977</v>
      </c>
      <c r="BS80" s="669">
        <f t="shared" si="262"/>
        <v>35.600000000000023</v>
      </c>
      <c r="BT80" s="668">
        <f t="shared" si="262"/>
        <v>52.599999999999994</v>
      </c>
      <c r="BU80" s="668">
        <f t="shared" si="262"/>
        <v>16.299999999999983</v>
      </c>
      <c r="BV80" s="668">
        <f t="shared" si="262"/>
        <v>16.800000000000011</v>
      </c>
      <c r="BW80" s="669">
        <f t="shared" si="262"/>
        <v>-0.30000000000001137</v>
      </c>
      <c r="BX80" s="668">
        <f t="shared" si="262"/>
        <v>-21.399999999999977</v>
      </c>
      <c r="BY80" s="668">
        <f t="shared" si="262"/>
        <v>-41</v>
      </c>
      <c r="BZ80" s="668">
        <f t="shared" si="262"/>
        <v>-20.300000000000011</v>
      </c>
      <c r="CA80" s="669">
        <f t="shared" si="262"/>
        <v>-9.6999999999999886</v>
      </c>
      <c r="CB80" s="668">
        <f t="shared" si="262"/>
        <v>-25</v>
      </c>
      <c r="CC80" s="668">
        <f t="shared" si="262"/>
        <v>-6.5999999999999943</v>
      </c>
      <c r="CD80" s="668">
        <f t="shared" si="262"/>
        <v>-6</v>
      </c>
      <c r="CE80" s="669">
        <f t="shared" si="262"/>
        <v>-6.9000000000000057</v>
      </c>
      <c r="CF80" s="668">
        <f t="shared" si="262"/>
        <v>12.799999999999983</v>
      </c>
      <c r="CG80" s="668">
        <f t="shared" si="262"/>
        <v>18.599999999999994</v>
      </c>
      <c r="CH80" s="668">
        <f t="shared" si="262"/>
        <v>21</v>
      </c>
      <c r="CI80" s="669">
        <f t="shared" si="262"/>
        <v>47.199999999999989</v>
      </c>
      <c r="CJ80" s="668">
        <f t="shared" si="262"/>
        <v>42.700000000000017</v>
      </c>
      <c r="CK80" s="668">
        <f t="shared" si="262"/>
        <v>56.300000000000011</v>
      </c>
      <c r="CL80" s="668">
        <f t="shared" si="262"/>
        <v>67.200000000000017</v>
      </c>
      <c r="CM80" s="669">
        <f t="shared" si="262"/>
        <v>75.599999999999994</v>
      </c>
      <c r="CN80" s="668">
        <f t="shared" si="262"/>
        <v>79.5</v>
      </c>
      <c r="CO80" s="668">
        <f t="shared" si="262"/>
        <v>49.299999999999983</v>
      </c>
      <c r="CP80" s="668">
        <f t="shared" si="262"/>
        <v>34.199999999999989</v>
      </c>
      <c r="CQ80" s="669">
        <f t="shared" si="262"/>
        <v>18</v>
      </c>
      <c r="CR80" s="668">
        <f t="shared" si="262"/>
        <v>29.899999999999977</v>
      </c>
      <c r="CS80" s="668">
        <f t="shared" si="262"/>
        <v>36.300000000000011</v>
      </c>
      <c r="CT80" s="668">
        <f t="shared" si="262"/>
        <v>35.5</v>
      </c>
      <c r="CU80" s="669">
        <f t="shared" si="262"/>
        <v>37.199999999999989</v>
      </c>
      <c r="CV80" s="668">
        <f t="shared" si="262"/>
        <v>29.802770056582972</v>
      </c>
      <c r="CW80" s="668">
        <f t="shared" si="262"/>
        <v>28.074814876806045</v>
      </c>
      <c r="CX80" s="668">
        <f t="shared" si="262"/>
        <v>18.477121201005218</v>
      </c>
      <c r="CY80" s="669">
        <f t="shared" si="262"/>
        <v>17.054351504392287</v>
      </c>
      <c r="DA80" s="668"/>
      <c r="DB80" s="668"/>
      <c r="DC80" s="668"/>
      <c r="DD80" s="668"/>
      <c r="DE80" s="668"/>
      <c r="DF80" s="668"/>
      <c r="DG80" s="668"/>
      <c r="DH80" s="668"/>
      <c r="DI80" s="668">
        <f t="shared" ref="DI80:ED80" si="263">DI74-DH74</f>
        <v>128.40000000000003</v>
      </c>
      <c r="DJ80" s="668">
        <f t="shared" si="263"/>
        <v>136</v>
      </c>
      <c r="DK80" s="668">
        <f t="shared" si="263"/>
        <v>-16</v>
      </c>
      <c r="DL80" s="668">
        <f t="shared" si="263"/>
        <v>-295.8</v>
      </c>
      <c r="DM80" s="668">
        <f t="shared" si="263"/>
        <v>259.7</v>
      </c>
      <c r="DN80" s="668">
        <f t="shared" si="263"/>
        <v>204.29999999999995</v>
      </c>
      <c r="DO80" s="668">
        <f t="shared" si="263"/>
        <v>-330.9</v>
      </c>
      <c r="DP80" s="668">
        <f t="shared" si="263"/>
        <v>-197.2</v>
      </c>
      <c r="DQ80" s="668">
        <f t="shared" si="263"/>
        <v>382.09999999999997</v>
      </c>
      <c r="DR80" s="668">
        <f t="shared" si="263"/>
        <v>85.399999999999977</v>
      </c>
      <c r="DS80" s="668">
        <f t="shared" si="263"/>
        <v>-92.399999999999977</v>
      </c>
      <c r="DT80" s="668">
        <f t="shared" si="263"/>
        <v>-44.5</v>
      </c>
      <c r="DU80" s="668">
        <f t="shared" si="263"/>
        <v>99.600000000000023</v>
      </c>
      <c r="DV80" s="668">
        <f t="shared" si="263"/>
        <v>241.80000000000007</v>
      </c>
      <c r="DW80" s="668">
        <f t="shared" si="263"/>
        <v>181</v>
      </c>
      <c r="DX80" s="668">
        <f t="shared" si="263"/>
        <v>138.89999999999986</v>
      </c>
      <c r="DY80" s="668">
        <f t="shared" si="263"/>
        <v>93.409057638786635</v>
      </c>
      <c r="DZ80" s="668">
        <f t="shared" si="263"/>
        <v>49.058723775194949</v>
      </c>
      <c r="EA80" s="668">
        <f t="shared" si="263"/>
        <v>-19.813736342940501</v>
      </c>
      <c r="EB80" s="668">
        <f t="shared" si="263"/>
        <v>-34.204636890848633</v>
      </c>
      <c r="EC80" s="668">
        <f t="shared" si="263"/>
        <v>-57.449127549234163</v>
      </c>
      <c r="ED80" s="668">
        <f t="shared" si="263"/>
        <v>-80.802988803028711</v>
      </c>
      <c r="EE80" s="666"/>
    </row>
    <row r="81" spans="1:136" s="670" customFormat="1" ht="15">
      <c r="A81" s="231"/>
      <c r="B81" s="665" t="s">
        <v>309</v>
      </c>
      <c r="C81" s="666"/>
      <c r="D81" s="667"/>
      <c r="E81" s="668"/>
      <c r="F81" s="668"/>
      <c r="G81" s="669"/>
      <c r="H81" s="668"/>
      <c r="I81" s="668"/>
      <c r="J81" s="668"/>
      <c r="K81" s="669"/>
      <c r="L81" s="668"/>
      <c r="M81" s="668"/>
      <c r="N81" s="668"/>
      <c r="O81" s="669"/>
      <c r="P81" s="668"/>
      <c r="Q81" s="668"/>
      <c r="R81" s="668"/>
      <c r="S81" s="669"/>
      <c r="T81" s="668"/>
      <c r="U81" s="668"/>
      <c r="V81" s="668"/>
      <c r="W81" s="669"/>
      <c r="X81" s="668"/>
      <c r="Y81" s="668"/>
      <c r="Z81" s="668"/>
      <c r="AA81" s="669"/>
      <c r="AB81" s="668"/>
      <c r="AC81" s="668"/>
      <c r="AD81" s="668"/>
      <c r="AE81" s="669"/>
      <c r="AF81" s="668"/>
      <c r="AG81" s="668"/>
      <c r="AH81" s="668"/>
      <c r="AI81" s="669"/>
      <c r="AJ81" s="668">
        <f>AF80+AJ80</f>
        <v>-10.400000000000006</v>
      </c>
      <c r="AK81" s="668">
        <f>AG80+AK80</f>
        <v>7.5999999999999943</v>
      </c>
      <c r="AL81" s="668">
        <f>AH80+AL80</f>
        <v>-1.0999999999999943</v>
      </c>
      <c r="AM81" s="669"/>
      <c r="AN81" s="668">
        <f t="shared" ref="AN81:BS81" si="264">AJ80+AN80</f>
        <v>51.899999999999991</v>
      </c>
      <c r="AO81" s="668">
        <f t="shared" si="264"/>
        <v>53.999999999999986</v>
      </c>
      <c r="AP81" s="668">
        <f t="shared" si="264"/>
        <v>56.999999999999986</v>
      </c>
      <c r="AQ81" s="669">
        <f t="shared" si="264"/>
        <v>101.50000000000011</v>
      </c>
      <c r="AR81" s="668">
        <f t="shared" si="264"/>
        <v>39.5</v>
      </c>
      <c r="AS81" s="668">
        <f t="shared" si="264"/>
        <v>55.000000000000028</v>
      </c>
      <c r="AT81" s="668">
        <f t="shared" si="264"/>
        <v>58.400000000000006</v>
      </c>
      <c r="AU81" s="669">
        <f t="shared" si="264"/>
        <v>-32.900000000000091</v>
      </c>
      <c r="AV81" s="668">
        <f t="shared" si="264"/>
        <v>-87</v>
      </c>
      <c r="AW81" s="668">
        <f t="shared" si="264"/>
        <v>-117.19999999999999</v>
      </c>
      <c r="AX81" s="668">
        <f t="shared" si="264"/>
        <v>-79.299999999999983</v>
      </c>
      <c r="AY81" s="669">
        <f t="shared" si="264"/>
        <v>-28.300000000000068</v>
      </c>
      <c r="AZ81" s="668">
        <f t="shared" si="264"/>
        <v>-6.6999999999999886</v>
      </c>
      <c r="BA81" s="668">
        <f t="shared" si="264"/>
        <v>-18.000000000000028</v>
      </c>
      <c r="BB81" s="668">
        <f t="shared" si="264"/>
        <v>-41</v>
      </c>
      <c r="BC81" s="669">
        <f t="shared" si="264"/>
        <v>29.600000000000051</v>
      </c>
      <c r="BD81" s="668">
        <f t="shared" si="264"/>
        <v>142.4</v>
      </c>
      <c r="BE81" s="668">
        <f t="shared" si="264"/>
        <v>188.9</v>
      </c>
      <c r="BF81" s="668">
        <f t="shared" si="264"/>
        <v>122.29999999999998</v>
      </c>
      <c r="BG81" s="669">
        <f t="shared" si="264"/>
        <v>10.399999999999977</v>
      </c>
      <c r="BH81" s="668">
        <f t="shared" si="264"/>
        <v>55.300000000000011</v>
      </c>
      <c r="BI81" s="668">
        <f t="shared" si="264"/>
        <v>-2</v>
      </c>
      <c r="BJ81" s="668">
        <f t="shared" si="264"/>
        <v>-57.800000000000011</v>
      </c>
      <c r="BK81" s="669">
        <f t="shared" si="264"/>
        <v>-122.10000000000005</v>
      </c>
      <c r="BL81" s="668">
        <f t="shared" si="264"/>
        <v>-168.70000000000002</v>
      </c>
      <c r="BM81" s="668">
        <f t="shared" si="264"/>
        <v>-236.9</v>
      </c>
      <c r="BN81" s="668">
        <f t="shared" si="264"/>
        <v>-52.999999999999972</v>
      </c>
      <c r="BO81" s="669">
        <f t="shared" si="264"/>
        <v>-69.5</v>
      </c>
      <c r="BP81" s="668">
        <f t="shared" si="264"/>
        <v>-38.600000000000023</v>
      </c>
      <c r="BQ81" s="668">
        <f t="shared" si="264"/>
        <v>36.100000000000023</v>
      </c>
      <c r="BR81" s="668">
        <f t="shared" si="264"/>
        <v>89</v>
      </c>
      <c r="BS81" s="669">
        <f t="shared" si="264"/>
        <v>98.400000000000034</v>
      </c>
      <c r="BT81" s="668">
        <f t="shared" ref="BT81:CY81" si="265">BP80+BT80</f>
        <v>186.4</v>
      </c>
      <c r="BU81" s="668">
        <f t="shared" si="265"/>
        <v>212.1</v>
      </c>
      <c r="BV81" s="668">
        <f t="shared" si="265"/>
        <v>33.699999999999989</v>
      </c>
      <c r="BW81" s="669">
        <f t="shared" si="265"/>
        <v>35.300000000000011</v>
      </c>
      <c r="BX81" s="668">
        <f t="shared" si="265"/>
        <v>31.200000000000017</v>
      </c>
      <c r="BY81" s="668">
        <f t="shared" si="265"/>
        <v>-24.700000000000017</v>
      </c>
      <c r="BZ81" s="668">
        <f t="shared" si="265"/>
        <v>-3.5</v>
      </c>
      <c r="CA81" s="669">
        <f t="shared" si="265"/>
        <v>-10</v>
      </c>
      <c r="CB81" s="668">
        <f t="shared" si="265"/>
        <v>-46.399999999999977</v>
      </c>
      <c r="CC81" s="668">
        <f t="shared" si="265"/>
        <v>-47.599999999999994</v>
      </c>
      <c r="CD81" s="668">
        <f t="shared" si="265"/>
        <v>-26.300000000000011</v>
      </c>
      <c r="CE81" s="669">
        <f t="shared" si="265"/>
        <v>-16.599999999999994</v>
      </c>
      <c r="CF81" s="668">
        <f t="shared" si="265"/>
        <v>-12.200000000000017</v>
      </c>
      <c r="CG81" s="668">
        <f t="shared" si="265"/>
        <v>12</v>
      </c>
      <c r="CH81" s="668">
        <f t="shared" si="265"/>
        <v>15</v>
      </c>
      <c r="CI81" s="669">
        <f t="shared" si="265"/>
        <v>40.299999999999983</v>
      </c>
      <c r="CJ81" s="668">
        <f t="shared" si="265"/>
        <v>55.5</v>
      </c>
      <c r="CK81" s="668">
        <f t="shared" si="265"/>
        <v>74.900000000000006</v>
      </c>
      <c r="CL81" s="668">
        <f t="shared" si="265"/>
        <v>88.200000000000017</v>
      </c>
      <c r="CM81" s="669">
        <f t="shared" si="265"/>
        <v>122.79999999999998</v>
      </c>
      <c r="CN81" s="668">
        <f t="shared" si="265"/>
        <v>122.20000000000002</v>
      </c>
      <c r="CO81" s="668">
        <f t="shared" si="265"/>
        <v>105.6</v>
      </c>
      <c r="CP81" s="668">
        <f t="shared" si="265"/>
        <v>101.4</v>
      </c>
      <c r="CQ81" s="669">
        <f t="shared" si="265"/>
        <v>93.6</v>
      </c>
      <c r="CR81" s="668">
        <f t="shared" si="265"/>
        <v>109.39999999999998</v>
      </c>
      <c r="CS81" s="668">
        <f t="shared" si="265"/>
        <v>85.6</v>
      </c>
      <c r="CT81" s="668">
        <f t="shared" si="265"/>
        <v>69.699999999999989</v>
      </c>
      <c r="CU81" s="669">
        <f t="shared" si="265"/>
        <v>55.199999999999989</v>
      </c>
      <c r="CV81" s="668">
        <f t="shared" si="265"/>
        <v>59.702770056582949</v>
      </c>
      <c r="CW81" s="668">
        <f t="shared" si="265"/>
        <v>64.374814876806056</v>
      </c>
      <c r="CX81" s="668">
        <f t="shared" si="265"/>
        <v>53.977121201005218</v>
      </c>
      <c r="CY81" s="669">
        <f t="shared" si="265"/>
        <v>54.254351504392275</v>
      </c>
      <c r="DA81" s="668"/>
      <c r="DB81" s="668"/>
      <c r="DC81" s="668"/>
      <c r="DD81" s="668"/>
      <c r="DE81" s="668"/>
      <c r="DF81" s="668"/>
      <c r="DG81" s="668"/>
      <c r="DH81" s="668"/>
      <c r="DI81" s="668"/>
      <c r="DJ81" s="668">
        <f t="shared" ref="DJ81:ED81" si="266">DI80+DJ80</f>
        <v>264.40000000000003</v>
      </c>
      <c r="DK81" s="668">
        <f t="shared" si="266"/>
        <v>120</v>
      </c>
      <c r="DL81" s="668">
        <f t="shared" si="266"/>
        <v>-311.8</v>
      </c>
      <c r="DM81" s="668">
        <f t="shared" si="266"/>
        <v>-36.100000000000023</v>
      </c>
      <c r="DN81" s="668">
        <f t="shared" si="266"/>
        <v>463.99999999999994</v>
      </c>
      <c r="DO81" s="668">
        <f t="shared" si="266"/>
        <v>-126.60000000000002</v>
      </c>
      <c r="DP81" s="668">
        <f t="shared" si="266"/>
        <v>-528.09999999999991</v>
      </c>
      <c r="DQ81" s="668">
        <f t="shared" si="266"/>
        <v>184.89999999999998</v>
      </c>
      <c r="DR81" s="668">
        <f t="shared" si="266"/>
        <v>467.49999999999994</v>
      </c>
      <c r="DS81" s="668">
        <f t="shared" si="266"/>
        <v>-7</v>
      </c>
      <c r="DT81" s="668">
        <f t="shared" si="266"/>
        <v>-136.89999999999998</v>
      </c>
      <c r="DU81" s="668">
        <f t="shared" si="266"/>
        <v>55.100000000000023</v>
      </c>
      <c r="DV81" s="668">
        <f t="shared" si="266"/>
        <v>341.40000000000009</v>
      </c>
      <c r="DW81" s="668">
        <f t="shared" si="266"/>
        <v>422.80000000000007</v>
      </c>
      <c r="DX81" s="668">
        <f t="shared" si="266"/>
        <v>319.89999999999986</v>
      </c>
      <c r="DY81" s="668">
        <f t="shared" si="266"/>
        <v>232.3090576387865</v>
      </c>
      <c r="DZ81" s="668">
        <f t="shared" si="266"/>
        <v>142.46778141398158</v>
      </c>
      <c r="EA81" s="668">
        <f t="shared" si="266"/>
        <v>29.244987432254447</v>
      </c>
      <c r="EB81" s="668">
        <f t="shared" si="266"/>
        <v>-54.018373233789134</v>
      </c>
      <c r="EC81" s="668">
        <f t="shared" si="266"/>
        <v>-91.653764440082796</v>
      </c>
      <c r="ED81" s="668">
        <f t="shared" si="266"/>
        <v>-138.25211635226287</v>
      </c>
      <c r="EE81" s="666"/>
    </row>
    <row r="82" spans="1:136" s="599" customFormat="1" ht="15">
      <c r="A82" s="133"/>
      <c r="B82" s="304" t="s">
        <v>310</v>
      </c>
      <c r="C82" s="435"/>
      <c r="D82" s="598"/>
      <c r="E82" s="432"/>
      <c r="F82" s="432"/>
      <c r="G82" s="433"/>
      <c r="H82" s="432"/>
      <c r="I82" s="432"/>
      <c r="J82" s="432"/>
      <c r="K82" s="433"/>
      <c r="L82" s="432"/>
      <c r="M82" s="432"/>
      <c r="N82" s="432"/>
      <c r="O82" s="433"/>
      <c r="P82" s="432"/>
      <c r="Q82" s="432"/>
      <c r="R82" s="432"/>
      <c r="S82" s="433"/>
      <c r="T82" s="432"/>
      <c r="U82" s="432"/>
      <c r="V82" s="432"/>
      <c r="W82" s="433"/>
      <c r="X82" s="432"/>
      <c r="Y82" s="432"/>
      <c r="Z82" s="432"/>
      <c r="AA82" s="433"/>
      <c r="AB82" s="432"/>
      <c r="AC82" s="432">
        <f>AC74/AB74-1</f>
        <v>0.10210970464135016</v>
      </c>
      <c r="AD82" s="432">
        <f>AD74/AC74-1</f>
        <v>-0.10336906584992345</v>
      </c>
      <c r="AE82" s="433"/>
      <c r="AF82" s="432"/>
      <c r="AG82" s="432">
        <f t="shared" ref="AG82:BL82" si="267">AG74/AF74-1</f>
        <v>0.46361502347417849</v>
      </c>
      <c r="AH82" s="432">
        <f t="shared" si="267"/>
        <v>-0.19246190858059342</v>
      </c>
      <c r="AI82" s="433">
        <f t="shared" si="267"/>
        <v>0.22244289970208508</v>
      </c>
      <c r="AJ82" s="432">
        <f t="shared" si="267"/>
        <v>-0.12185215272136452</v>
      </c>
      <c r="AK82" s="432">
        <f t="shared" si="267"/>
        <v>0.27844588344125798</v>
      </c>
      <c r="AL82" s="432">
        <f t="shared" si="267"/>
        <v>-0.16063675832127344</v>
      </c>
      <c r="AM82" s="433">
        <f t="shared" si="267"/>
        <v>0.72241379310344889</v>
      </c>
      <c r="AN82" s="432">
        <f t="shared" si="267"/>
        <v>-0.31381381381381412</v>
      </c>
      <c r="AO82" s="432">
        <f t="shared" si="267"/>
        <v>0.30342815463165573</v>
      </c>
      <c r="AP82" s="432">
        <f t="shared" si="267"/>
        <v>-0.11751538891997759</v>
      </c>
      <c r="AQ82" s="433">
        <f t="shared" si="267"/>
        <v>0.42422320862397012</v>
      </c>
      <c r="AR82" s="432">
        <f t="shared" si="267"/>
        <v>-0.342831700801425</v>
      </c>
      <c r="AS82" s="432">
        <f t="shared" si="267"/>
        <v>0.30894308943089444</v>
      </c>
      <c r="AT82" s="432">
        <f t="shared" si="267"/>
        <v>-9.7308488612836475E-2</v>
      </c>
      <c r="AU82" s="433">
        <f t="shared" si="267"/>
        <v>-4.3004587155963447E-2</v>
      </c>
      <c r="AV82" s="432">
        <f t="shared" si="267"/>
        <v>-0.69982025164769324</v>
      </c>
      <c r="AW82" s="432">
        <f t="shared" si="267"/>
        <v>0.22754491017964074</v>
      </c>
      <c r="AX82" s="432">
        <f t="shared" si="267"/>
        <v>0.27479674796747977</v>
      </c>
      <c r="AY82" s="433">
        <f t="shared" si="267"/>
        <v>1.5038265306122449</v>
      </c>
      <c r="AZ82" s="432">
        <f t="shared" si="267"/>
        <v>-0.28222109016811003</v>
      </c>
      <c r="BA82" s="432">
        <f t="shared" si="267"/>
        <v>0.24343506032647255</v>
      </c>
      <c r="BB82" s="432">
        <f t="shared" si="267"/>
        <v>-0.23858447488584467</v>
      </c>
      <c r="BC82" s="433">
        <f t="shared" si="267"/>
        <v>0.47301349325337338</v>
      </c>
      <c r="BD82" s="432">
        <f t="shared" si="267"/>
        <v>-2.0356234096692294E-2</v>
      </c>
      <c r="BE82" s="432">
        <f t="shared" si="267"/>
        <v>0.30077922077922081</v>
      </c>
      <c r="BF82" s="432">
        <f t="shared" si="267"/>
        <v>-0.19848242811501604</v>
      </c>
      <c r="BG82" s="433">
        <f t="shared" si="267"/>
        <v>2.9895366218236186E-2</v>
      </c>
      <c r="BH82" s="432">
        <f t="shared" si="267"/>
        <v>-5.079825834542806E-2</v>
      </c>
      <c r="BI82" s="432">
        <f t="shared" si="267"/>
        <v>-0.11722731906218153</v>
      </c>
      <c r="BJ82" s="432">
        <f t="shared" si="267"/>
        <v>-0.56351039260969982</v>
      </c>
      <c r="BK82" s="433">
        <f t="shared" si="267"/>
        <v>-1.587301587301615E-2</v>
      </c>
      <c r="BL82" s="432">
        <f t="shared" si="267"/>
        <v>-0.68010752688172038</v>
      </c>
      <c r="BM82" s="432">
        <f t="shared" ref="BM82:CY82" si="268">BM74/BL74-1</f>
        <v>-0.43277310924369738</v>
      </c>
      <c r="BN82" s="432">
        <f t="shared" si="268"/>
        <v>9.9407407407407415</v>
      </c>
      <c r="BO82" s="433">
        <f t="shared" si="268"/>
        <v>-7.1090047393365108E-2</v>
      </c>
      <c r="BP82" s="432">
        <f t="shared" si="268"/>
        <v>0.14868804664723045</v>
      </c>
      <c r="BQ82" s="432">
        <f t="shared" si="268"/>
        <v>0.32804568527918798</v>
      </c>
      <c r="BR82" s="432">
        <f t="shared" si="268"/>
        <v>-0.21356903965599627</v>
      </c>
      <c r="BS82" s="433">
        <f t="shared" si="268"/>
        <v>4.9817739975698716E-2</v>
      </c>
      <c r="BT82" s="432">
        <f t="shared" si="268"/>
        <v>0.21643518518518512</v>
      </c>
      <c r="BU82" s="432">
        <f t="shared" si="268"/>
        <v>7.3263558515699323E-2</v>
      </c>
      <c r="BV82" s="432">
        <f t="shared" si="268"/>
        <v>-0.19592198581560283</v>
      </c>
      <c r="BW82" s="433">
        <f t="shared" si="268"/>
        <v>-4.9062844542447692E-2</v>
      </c>
      <c r="BX82" s="432">
        <f t="shared" si="268"/>
        <v>9.4492753623188541E-2</v>
      </c>
      <c r="BY82" s="432">
        <f t="shared" si="268"/>
        <v>-2.2245762711864514E-2</v>
      </c>
      <c r="BZ82" s="432">
        <f t="shared" si="268"/>
        <v>-0.12730227518959913</v>
      </c>
      <c r="CA82" s="433">
        <f t="shared" si="268"/>
        <v>1.0552451893234061E-2</v>
      </c>
      <c r="CB82" s="432">
        <f t="shared" si="268"/>
        <v>6.1425061425062211E-3</v>
      </c>
      <c r="CC82" s="432">
        <f t="shared" si="268"/>
        <v>8.6691086691086605E-2</v>
      </c>
      <c r="CD82" s="432">
        <f t="shared" si="268"/>
        <v>-0.12865168539325844</v>
      </c>
      <c r="CE82" s="433">
        <f t="shared" si="268"/>
        <v>5.1579626047710825E-3</v>
      </c>
      <c r="CF82" s="432">
        <f t="shared" si="268"/>
        <v>0.13277742142398963</v>
      </c>
      <c r="CG82" s="432">
        <f t="shared" si="268"/>
        <v>0.11325028312570784</v>
      </c>
      <c r="CH82" s="432">
        <f t="shared" si="268"/>
        <v>-0.10427263479145477</v>
      </c>
      <c r="CI82" s="433">
        <f t="shared" si="268"/>
        <v>0.15332197614991472</v>
      </c>
      <c r="CJ82" s="432">
        <f t="shared" si="268"/>
        <v>7.9763663220088654E-2</v>
      </c>
      <c r="CK82" s="432">
        <f t="shared" si="268"/>
        <v>0.15321477428180574</v>
      </c>
      <c r="CL82" s="432">
        <f t="shared" si="268"/>
        <v>-3.7959667852906276E-2</v>
      </c>
      <c r="CM82" s="433">
        <f t="shared" si="268"/>
        <v>0.14549938347718849</v>
      </c>
      <c r="CN82" s="432">
        <f t="shared" si="268"/>
        <v>7.2120559741657875E-2</v>
      </c>
      <c r="CO82" s="432">
        <f t="shared" si="268"/>
        <v>1.1378848728246238E-2</v>
      </c>
      <c r="CP82" s="432">
        <f t="shared" si="268"/>
        <v>-8.1733951025810714E-2</v>
      </c>
      <c r="CQ82" s="433">
        <f t="shared" si="268"/>
        <v>6.9189189189189149E-2</v>
      </c>
      <c r="CR82" s="432">
        <f t="shared" si="268"/>
        <v>0.10785305021907643</v>
      </c>
      <c r="CS82" s="432">
        <f t="shared" si="268"/>
        <v>2.981442044417415E-2</v>
      </c>
      <c r="CT82" s="432">
        <f t="shared" si="268"/>
        <v>-7.533234859675042E-2</v>
      </c>
      <c r="CU82" s="433">
        <f t="shared" si="268"/>
        <v>6.6773162939297137E-2</v>
      </c>
      <c r="CV82" s="432">
        <f t="shared" si="268"/>
        <v>7.3683048986471933E-2</v>
      </c>
      <c r="CW82" s="432">
        <f t="shared" si="268"/>
        <v>2.2515990096670935E-2</v>
      </c>
      <c r="CX82" s="432">
        <f t="shared" si="268"/>
        <v>-9.5744967333874387E-2</v>
      </c>
      <c r="CY82" s="433">
        <f t="shared" si="268"/>
        <v>5.8758897847360547E-2</v>
      </c>
      <c r="DA82" s="432"/>
      <c r="DB82" s="432"/>
      <c r="DC82" s="432"/>
      <c r="DD82" s="432"/>
      <c r="DE82" s="432"/>
      <c r="DF82" s="432"/>
      <c r="DG82" s="432"/>
      <c r="DH82" s="432"/>
      <c r="DI82" s="432"/>
      <c r="DJ82" s="432"/>
      <c r="DK82" s="432"/>
      <c r="DL82" s="432"/>
      <c r="DM82" s="432"/>
      <c r="DN82" s="432"/>
      <c r="DO82" s="432"/>
      <c r="DP82" s="432"/>
      <c r="DQ82" s="432"/>
      <c r="DR82" s="432"/>
      <c r="DS82" s="432"/>
      <c r="DT82" s="432"/>
      <c r="DU82" s="432"/>
      <c r="DV82" s="432"/>
      <c r="DW82" s="432"/>
      <c r="DX82" s="432"/>
      <c r="DY82" s="432"/>
      <c r="DZ82" s="445"/>
      <c r="EA82" s="445"/>
      <c r="EB82" s="445"/>
      <c r="EC82" s="445"/>
      <c r="ED82" s="445"/>
      <c r="EE82" s="435"/>
    </row>
    <row r="83" spans="1:136" s="599" customFormat="1" ht="15">
      <c r="A83" s="428"/>
      <c r="B83" s="304" t="s">
        <v>240</v>
      </c>
      <c r="C83" s="435"/>
      <c r="D83" s="598"/>
      <c r="E83" s="432"/>
      <c r="F83" s="432"/>
      <c r="G83" s="433"/>
      <c r="H83" s="432"/>
      <c r="I83" s="432"/>
      <c r="J83" s="432"/>
      <c r="K83" s="433"/>
      <c r="L83" s="432"/>
      <c r="M83" s="432"/>
      <c r="N83" s="432"/>
      <c r="O83" s="433"/>
      <c r="P83" s="432"/>
      <c r="Q83" s="432"/>
      <c r="R83" s="432"/>
      <c r="S83" s="433"/>
      <c r="T83" s="432"/>
      <c r="U83" s="432"/>
      <c r="V83" s="432"/>
      <c r="W83" s="433"/>
      <c r="X83" s="432"/>
      <c r="Y83" s="432"/>
      <c r="Z83" s="432"/>
      <c r="AA83" s="433"/>
      <c r="AB83" s="432"/>
      <c r="AC83" s="432"/>
      <c r="AD83" s="432"/>
      <c r="AE83" s="433"/>
      <c r="AF83" s="432">
        <f>AF74/AB74-1</f>
        <v>-0.28101265822784804</v>
      </c>
      <c r="AG83" s="432">
        <f>AG74/AC74-1</f>
        <v>-4.5176110260336855E-2</v>
      </c>
      <c r="AH83" s="432">
        <f>AH74/AD74-1</f>
        <v>-0.14005123825789911</v>
      </c>
      <c r="AI83" s="433"/>
      <c r="AJ83" s="432">
        <f t="shared" ref="AJ83:BO83" si="269">AJ74/AF74-1</f>
        <v>0.26877934272300452</v>
      </c>
      <c r="AK83" s="432">
        <f t="shared" si="269"/>
        <v>0.1082598235765837</v>
      </c>
      <c r="AL83" s="432">
        <f t="shared" si="269"/>
        <v>0.15193644488579938</v>
      </c>
      <c r="AM83" s="433">
        <f t="shared" si="269"/>
        <v>0.62307067424857943</v>
      </c>
      <c r="AN83" s="432">
        <f t="shared" si="269"/>
        <v>0.26827012025901942</v>
      </c>
      <c r="AO83" s="432">
        <f t="shared" si="269"/>
        <v>0.29305354558610719</v>
      </c>
      <c r="AP83" s="432">
        <f t="shared" si="269"/>
        <v>0.35948275862068946</v>
      </c>
      <c r="AQ83" s="433">
        <f t="shared" si="269"/>
        <v>0.12412412412412421</v>
      </c>
      <c r="AR83" s="432">
        <f t="shared" si="269"/>
        <v>7.6586433260393827E-2</v>
      </c>
      <c r="AS83" s="432">
        <f t="shared" si="269"/>
        <v>8.1141578063794295E-2</v>
      </c>
      <c r="AT83" s="432">
        <f t="shared" si="269"/>
        <v>0.10589727330374132</v>
      </c>
      <c r="AU83" s="433">
        <f t="shared" si="269"/>
        <v>-0.25690115761353549</v>
      </c>
      <c r="AV83" s="432">
        <f t="shared" si="269"/>
        <v>-0.66056910569105687</v>
      </c>
      <c r="AW83" s="432">
        <f t="shared" si="269"/>
        <v>-0.68167701863354035</v>
      </c>
      <c r="AX83" s="432">
        <f t="shared" si="269"/>
        <v>-0.55045871559633031</v>
      </c>
      <c r="AY83" s="433">
        <f t="shared" si="269"/>
        <v>0.1761533852606354</v>
      </c>
      <c r="AZ83" s="432">
        <f t="shared" si="269"/>
        <v>1.8123752495009979</v>
      </c>
      <c r="BA83" s="432">
        <f t="shared" si="269"/>
        <v>1.8487804878048779</v>
      </c>
      <c r="BB83" s="432">
        <f t="shared" si="269"/>
        <v>0.70153061224489788</v>
      </c>
      <c r="BC83" s="433">
        <f t="shared" si="269"/>
        <v>1.0188487009679115E-3</v>
      </c>
      <c r="BD83" s="432">
        <f t="shared" si="269"/>
        <v>0.36621717530163234</v>
      </c>
      <c r="BE83" s="432">
        <f t="shared" si="269"/>
        <v>0.42922374429223753</v>
      </c>
      <c r="BF83" s="432">
        <f t="shared" si="269"/>
        <v>0.50449775112443773</v>
      </c>
      <c r="BG83" s="433">
        <f t="shared" si="269"/>
        <v>5.1908396946564572E-2</v>
      </c>
      <c r="BH83" s="432">
        <f t="shared" si="269"/>
        <v>1.9220779220779249E-2</v>
      </c>
      <c r="BI83" s="432">
        <f t="shared" si="269"/>
        <v>-0.30830670926517578</v>
      </c>
      <c r="BJ83" s="432">
        <f t="shared" si="269"/>
        <v>-0.62331838565022424</v>
      </c>
      <c r="BK83" s="433">
        <f t="shared" si="269"/>
        <v>-0.64005805515239489</v>
      </c>
      <c r="BL83" s="432">
        <f t="shared" si="269"/>
        <v>-0.8786952089704384</v>
      </c>
      <c r="BM83" s="432">
        <f t="shared" si="269"/>
        <v>-0.92205542725173206</v>
      </c>
      <c r="BN83" s="432">
        <f t="shared" si="269"/>
        <v>0.95370370370370416</v>
      </c>
      <c r="BO83" s="433">
        <f t="shared" si="269"/>
        <v>0.8440860215053767</v>
      </c>
      <c r="BP83" s="432">
        <f t="shared" ref="BP83:CY83" si="270">BP74/BL74-1</f>
        <v>5.6218487394957988</v>
      </c>
      <c r="BQ83" s="432">
        <f t="shared" si="270"/>
        <v>14.503703703703705</v>
      </c>
      <c r="BR83" s="432">
        <f t="shared" si="270"/>
        <v>0.11442112389979675</v>
      </c>
      <c r="BS83" s="433">
        <f t="shared" si="270"/>
        <v>0.25947521865889223</v>
      </c>
      <c r="BT83" s="432">
        <f t="shared" si="270"/>
        <v>0.33375634517766506</v>
      </c>
      <c r="BU83" s="432">
        <f t="shared" si="270"/>
        <v>7.7878643096034317E-2</v>
      </c>
      <c r="BV83" s="432">
        <f t="shared" si="270"/>
        <v>0.10206561360874855</v>
      </c>
      <c r="BW83" s="433">
        <f t="shared" si="270"/>
        <v>-1.7361111111111605E-3</v>
      </c>
      <c r="BX83" s="432">
        <f t="shared" si="270"/>
        <v>-0.10180780209324447</v>
      </c>
      <c r="BY83" s="432">
        <f t="shared" si="270"/>
        <v>-0.18173758865248224</v>
      </c>
      <c r="BZ83" s="432">
        <f t="shared" si="270"/>
        <v>-0.11190738699007718</v>
      </c>
      <c r="CA83" s="433">
        <f t="shared" si="270"/>
        <v>-5.6231884057970971E-2</v>
      </c>
      <c r="CB83" s="432">
        <f t="shared" si="270"/>
        <v>-0.13241525423728817</v>
      </c>
      <c r="CC83" s="432">
        <f t="shared" si="270"/>
        <v>-3.5752979414951258E-2</v>
      </c>
      <c r="CD83" s="432">
        <f t="shared" si="270"/>
        <v>-3.7243947858472959E-2</v>
      </c>
      <c r="CE83" s="433">
        <f t="shared" si="270"/>
        <v>-4.2383292383292415E-2</v>
      </c>
      <c r="CF83" s="432">
        <f t="shared" si="270"/>
        <v>7.8144078144078088E-2</v>
      </c>
      <c r="CG83" s="432">
        <f t="shared" si="270"/>
        <v>0.10449438202247197</v>
      </c>
      <c r="CH83" s="432">
        <f t="shared" si="270"/>
        <v>0.13539651837524169</v>
      </c>
      <c r="CI83" s="433">
        <f t="shared" si="270"/>
        <v>0.30275817831943552</v>
      </c>
      <c r="CJ83" s="432">
        <f t="shared" si="270"/>
        <v>0.24178935447338623</v>
      </c>
      <c r="CK83" s="432">
        <f t="shared" si="270"/>
        <v>0.28636826042726349</v>
      </c>
      <c r="CL83" s="432">
        <f t="shared" si="270"/>
        <v>0.3816013628620103</v>
      </c>
      <c r="CM83" s="433">
        <f t="shared" si="270"/>
        <v>0.37223042836041365</v>
      </c>
      <c r="CN83" s="432">
        <f t="shared" si="270"/>
        <v>0.36251709986320102</v>
      </c>
      <c r="CO83" s="432">
        <f t="shared" si="270"/>
        <v>0.19493871095294568</v>
      </c>
      <c r="CP83" s="432">
        <f t="shared" si="270"/>
        <v>0.14056720098643649</v>
      </c>
      <c r="CQ83" s="433">
        <f t="shared" si="270"/>
        <v>6.4585575888051583E-2</v>
      </c>
      <c r="CR83" s="432">
        <f t="shared" si="270"/>
        <v>0.10006693440428371</v>
      </c>
      <c r="CS83" s="432">
        <f t="shared" si="270"/>
        <v>0.12011912640635347</v>
      </c>
      <c r="CT83" s="432">
        <f t="shared" si="270"/>
        <v>0.12792792792792795</v>
      </c>
      <c r="CU83" s="433">
        <f t="shared" si="270"/>
        <v>0.12537917087967632</v>
      </c>
      <c r="CV83" s="432">
        <f t="shared" si="270"/>
        <v>9.0668603762041222E-2</v>
      </c>
      <c r="CW83" s="432">
        <f t="shared" si="270"/>
        <v>8.2938891807403436E-2</v>
      </c>
      <c r="CX83" s="432">
        <f t="shared" si="270"/>
        <v>5.9032336105447891E-2</v>
      </c>
      <c r="CY83" s="433">
        <f t="shared" si="270"/>
        <v>5.1076224930794556E-2</v>
      </c>
      <c r="DA83" s="432"/>
      <c r="DB83" s="432"/>
      <c r="DC83" s="432"/>
      <c r="DD83" s="432"/>
      <c r="DE83" s="432"/>
      <c r="DF83" s="432"/>
      <c r="DG83" s="432"/>
      <c r="DH83" s="432"/>
      <c r="DI83" s="432">
        <f t="shared" ref="DI83:ED83" si="271">DI74/DH74-1</f>
        <v>0.2960571823841367</v>
      </c>
      <c r="DJ83" s="432">
        <f t="shared" si="271"/>
        <v>0.24194983099092693</v>
      </c>
      <c r="DK83" s="432">
        <f t="shared" si="271"/>
        <v>-2.2919352528291026E-2</v>
      </c>
      <c r="DL83" s="432">
        <f t="shared" si="271"/>
        <v>-0.43366075355519718</v>
      </c>
      <c r="DM83" s="432">
        <f t="shared" si="271"/>
        <v>0.67227543360082831</v>
      </c>
      <c r="DN83" s="432">
        <f t="shared" si="271"/>
        <v>0.31625386996904026</v>
      </c>
      <c r="DO83" s="432">
        <f t="shared" si="271"/>
        <v>-0.38915676819945899</v>
      </c>
      <c r="DP83" s="432">
        <f t="shared" si="271"/>
        <v>-0.37966884867154405</v>
      </c>
      <c r="DQ83" s="432">
        <f t="shared" si="271"/>
        <v>1.1859093730602108</v>
      </c>
      <c r="DR83" s="432">
        <f t="shared" si="271"/>
        <v>0.12125514695442274</v>
      </c>
      <c r="DS83" s="432">
        <f t="shared" si="271"/>
        <v>-0.11700645814866406</v>
      </c>
      <c r="DT83" s="432">
        <f t="shared" si="271"/>
        <v>-6.3817582102394965E-2</v>
      </c>
      <c r="DU83" s="432">
        <f t="shared" si="271"/>
        <v>0.15257352941176472</v>
      </c>
      <c r="DV83" s="432">
        <f t="shared" si="271"/>
        <v>0.32137161084529509</v>
      </c>
      <c r="DW83" s="432">
        <f t="shared" si="271"/>
        <v>0.18205592436129558</v>
      </c>
      <c r="DX83" s="432">
        <f t="shared" si="271"/>
        <v>0.11819264805990448</v>
      </c>
      <c r="DY83" s="432">
        <f t="shared" si="271"/>
        <v>7.1082153290302541E-2</v>
      </c>
      <c r="DZ83" s="432">
        <f t="shared" si="271"/>
        <v>3.4854996853444842E-2</v>
      </c>
      <c r="EA83" s="432">
        <f t="shared" si="271"/>
        <v>-1.3603030765726554E-2</v>
      </c>
      <c r="EB83" s="432">
        <f t="shared" si="271"/>
        <v>-2.3806884002304907E-2</v>
      </c>
      <c r="EC83" s="432">
        <f t="shared" si="271"/>
        <v>-4.0960501793497861E-2</v>
      </c>
      <c r="ED83" s="432">
        <f t="shared" si="271"/>
        <v>-6.0072092740271921E-2</v>
      </c>
      <c r="EE83" s="435"/>
    </row>
    <row r="84" spans="1:136" s="599" customFormat="1" ht="15">
      <c r="A84" s="428"/>
      <c r="B84" s="304" t="s">
        <v>311</v>
      </c>
      <c r="C84" s="435"/>
      <c r="D84" s="598"/>
      <c r="E84" s="432"/>
      <c r="F84" s="432"/>
      <c r="G84" s="433"/>
      <c r="H84" s="432"/>
      <c r="I84" s="432"/>
      <c r="J84" s="432"/>
      <c r="K84" s="433"/>
      <c r="L84" s="432"/>
      <c r="M84" s="432"/>
      <c r="N84" s="432"/>
      <c r="O84" s="433"/>
      <c r="P84" s="432"/>
      <c r="Q84" s="432"/>
      <c r="R84" s="432"/>
      <c r="S84" s="433"/>
      <c r="T84" s="432"/>
      <c r="U84" s="432"/>
      <c r="V84" s="432"/>
      <c r="W84" s="433"/>
      <c r="X84" s="432"/>
      <c r="Y84" s="432"/>
      <c r="Z84" s="432"/>
      <c r="AA84" s="433"/>
      <c r="AB84" s="432"/>
      <c r="AC84" s="432"/>
      <c r="AD84" s="432"/>
      <c r="AE84" s="433"/>
      <c r="AF84" s="432"/>
      <c r="AG84" s="432"/>
      <c r="AH84" s="432"/>
      <c r="AI84" s="433"/>
      <c r="AJ84" s="432">
        <f>AF83+AJ83</f>
        <v>-1.2233315504843523E-2</v>
      </c>
      <c r="AK84" s="432">
        <f>AG83+AK83</f>
        <v>6.3083713316246848E-2</v>
      </c>
      <c r="AL84" s="432">
        <f>AH83+AL83</f>
        <v>1.1885206627900269E-2</v>
      </c>
      <c r="AM84" s="433"/>
      <c r="AN84" s="432">
        <f t="shared" ref="AN84:BS84" si="272">AJ83+AN83</f>
        <v>0.53704946298202394</v>
      </c>
      <c r="AO84" s="432">
        <f t="shared" si="272"/>
        <v>0.40131336916269089</v>
      </c>
      <c r="AP84" s="432">
        <f t="shared" si="272"/>
        <v>0.51141920350648884</v>
      </c>
      <c r="AQ84" s="433">
        <f t="shared" si="272"/>
        <v>0.74719479837270364</v>
      </c>
      <c r="AR84" s="432">
        <f t="shared" si="272"/>
        <v>0.34485655351941324</v>
      </c>
      <c r="AS84" s="432">
        <f t="shared" si="272"/>
        <v>0.37419512364990148</v>
      </c>
      <c r="AT84" s="432">
        <f t="shared" si="272"/>
        <v>0.46538003192443078</v>
      </c>
      <c r="AU84" s="433">
        <f t="shared" si="272"/>
        <v>-0.13277703348941128</v>
      </c>
      <c r="AV84" s="432">
        <f t="shared" si="272"/>
        <v>-0.58398267243066304</v>
      </c>
      <c r="AW84" s="432">
        <f t="shared" si="272"/>
        <v>-0.60053544056974606</v>
      </c>
      <c r="AX84" s="432">
        <f t="shared" si="272"/>
        <v>-0.44456144229258898</v>
      </c>
      <c r="AY84" s="433">
        <f t="shared" si="272"/>
        <v>-8.0747772352900093E-2</v>
      </c>
      <c r="AZ84" s="432">
        <f t="shared" si="272"/>
        <v>1.151806143809941</v>
      </c>
      <c r="BA84" s="432">
        <f t="shared" si="272"/>
        <v>1.1671034691713376</v>
      </c>
      <c r="BB84" s="432">
        <f t="shared" si="272"/>
        <v>0.15107189664856757</v>
      </c>
      <c r="BC84" s="433">
        <f t="shared" si="272"/>
        <v>0.17717223396160331</v>
      </c>
      <c r="BD84" s="432">
        <f t="shared" si="272"/>
        <v>2.1785924248026305</v>
      </c>
      <c r="BE84" s="432">
        <f t="shared" si="272"/>
        <v>2.2780042320971154</v>
      </c>
      <c r="BF84" s="432">
        <f t="shared" si="272"/>
        <v>1.2060283633693356</v>
      </c>
      <c r="BG84" s="433">
        <f t="shared" si="272"/>
        <v>5.2927245647532484E-2</v>
      </c>
      <c r="BH84" s="432">
        <f t="shared" si="272"/>
        <v>0.38543795452241159</v>
      </c>
      <c r="BI84" s="432">
        <f t="shared" si="272"/>
        <v>0.12091703502706175</v>
      </c>
      <c r="BJ84" s="432">
        <f t="shared" si="272"/>
        <v>-0.11882063452578651</v>
      </c>
      <c r="BK84" s="433">
        <f t="shared" si="272"/>
        <v>-0.58814965820583032</v>
      </c>
      <c r="BL84" s="432">
        <f t="shared" si="272"/>
        <v>-0.85947442974965915</v>
      </c>
      <c r="BM84" s="432">
        <f t="shared" si="272"/>
        <v>-1.230362136516908</v>
      </c>
      <c r="BN84" s="432">
        <f t="shared" si="272"/>
        <v>0.33038531805347993</v>
      </c>
      <c r="BO84" s="433">
        <f t="shared" si="272"/>
        <v>0.20402796635298182</v>
      </c>
      <c r="BP84" s="432">
        <f t="shared" si="272"/>
        <v>4.74315353052536</v>
      </c>
      <c r="BQ84" s="432">
        <f t="shared" si="272"/>
        <v>13.581648276451972</v>
      </c>
      <c r="BR84" s="432">
        <f t="shared" si="272"/>
        <v>1.0681248276035009</v>
      </c>
      <c r="BS84" s="433">
        <f t="shared" si="272"/>
        <v>1.1035612401642689</v>
      </c>
      <c r="BT84" s="432">
        <f t="shared" ref="BT84:CY84" si="273">BP83+BT83</f>
        <v>5.9556050846734641</v>
      </c>
      <c r="BU84" s="432">
        <f t="shared" si="273"/>
        <v>14.581582346799738</v>
      </c>
      <c r="BV84" s="432">
        <f t="shared" si="273"/>
        <v>0.2164867375085453</v>
      </c>
      <c r="BW84" s="433">
        <f t="shared" si="273"/>
        <v>0.25773910754778107</v>
      </c>
      <c r="BX84" s="432">
        <f t="shared" si="273"/>
        <v>0.23194854308442059</v>
      </c>
      <c r="BY84" s="432">
        <f t="shared" si="273"/>
        <v>-0.10385894555644792</v>
      </c>
      <c r="BZ84" s="432">
        <f t="shared" si="273"/>
        <v>-9.8417733813286334E-3</v>
      </c>
      <c r="CA84" s="433">
        <f t="shared" si="273"/>
        <v>-5.7967995169082132E-2</v>
      </c>
      <c r="CB84" s="432">
        <f t="shared" si="273"/>
        <v>-0.23422305633053264</v>
      </c>
      <c r="CC84" s="432">
        <f t="shared" si="273"/>
        <v>-0.2174905680674335</v>
      </c>
      <c r="CD84" s="432">
        <f t="shared" si="273"/>
        <v>-0.14915133484855014</v>
      </c>
      <c r="CE84" s="433">
        <f t="shared" si="273"/>
        <v>-9.8615176441263386E-2</v>
      </c>
      <c r="CF84" s="432">
        <f t="shared" si="273"/>
        <v>-5.4271176093210083E-2</v>
      </c>
      <c r="CG84" s="432">
        <f t="shared" si="273"/>
        <v>6.8741402607520707E-2</v>
      </c>
      <c r="CH84" s="432">
        <f t="shared" si="273"/>
        <v>9.8152570516768733E-2</v>
      </c>
      <c r="CI84" s="433">
        <f t="shared" si="273"/>
        <v>0.26037488593614311</v>
      </c>
      <c r="CJ84" s="432">
        <f t="shared" si="273"/>
        <v>0.31993343261746432</v>
      </c>
      <c r="CK84" s="432">
        <f t="shared" si="273"/>
        <v>0.39086264244973545</v>
      </c>
      <c r="CL84" s="432">
        <f t="shared" si="273"/>
        <v>0.51699788123725199</v>
      </c>
      <c r="CM84" s="433">
        <f t="shared" si="273"/>
        <v>0.67498860667984917</v>
      </c>
      <c r="CN84" s="432">
        <f t="shared" si="273"/>
        <v>0.60430645433658725</v>
      </c>
      <c r="CO84" s="432">
        <f t="shared" si="273"/>
        <v>0.48130697138020917</v>
      </c>
      <c r="CP84" s="432">
        <f t="shared" si="273"/>
        <v>0.52216856384844679</v>
      </c>
      <c r="CQ84" s="433">
        <f t="shared" si="273"/>
        <v>0.43681600424846523</v>
      </c>
      <c r="CR84" s="432">
        <f t="shared" si="273"/>
        <v>0.46258403426748473</v>
      </c>
      <c r="CS84" s="432">
        <f t="shared" si="273"/>
        <v>0.31505783735929915</v>
      </c>
      <c r="CT84" s="432">
        <f t="shared" si="273"/>
        <v>0.26849512891436444</v>
      </c>
      <c r="CU84" s="433">
        <f t="shared" si="273"/>
        <v>0.1899647467677279</v>
      </c>
      <c r="CV84" s="432">
        <f t="shared" si="273"/>
        <v>0.19073553816632494</v>
      </c>
      <c r="CW84" s="432">
        <f t="shared" si="273"/>
        <v>0.20305801821375691</v>
      </c>
      <c r="CX84" s="432">
        <f t="shared" si="273"/>
        <v>0.18696026403337584</v>
      </c>
      <c r="CY84" s="433">
        <f t="shared" si="273"/>
        <v>0.17645539581047087</v>
      </c>
      <c r="DA84" s="432"/>
      <c r="DB84" s="432"/>
      <c r="DC84" s="432"/>
      <c r="DD84" s="432"/>
      <c r="DE84" s="432"/>
      <c r="DF84" s="432"/>
      <c r="DG84" s="432"/>
      <c r="DH84" s="432"/>
      <c r="DI84" s="432"/>
      <c r="DJ84" s="432">
        <f t="shared" ref="DJ84:ED84" si="274">DI83+DJ83</f>
        <v>0.53800701337506363</v>
      </c>
      <c r="DK84" s="432">
        <f t="shared" si="274"/>
        <v>0.2190304784626359</v>
      </c>
      <c r="DL84" s="432">
        <f t="shared" si="274"/>
        <v>-0.4565801060834882</v>
      </c>
      <c r="DM84" s="432">
        <f t="shared" si="274"/>
        <v>0.23861468004563113</v>
      </c>
      <c r="DN84" s="432">
        <f t="shared" si="274"/>
        <v>0.98852930356986857</v>
      </c>
      <c r="DO84" s="432">
        <f t="shared" si="274"/>
        <v>-7.2902898230418733E-2</v>
      </c>
      <c r="DP84" s="432">
        <f t="shared" si="274"/>
        <v>-0.76882561687100304</v>
      </c>
      <c r="DQ84" s="432">
        <f t="shared" si="274"/>
        <v>0.80624052438866678</v>
      </c>
      <c r="DR84" s="432">
        <f t="shared" si="274"/>
        <v>1.3071645200146336</v>
      </c>
      <c r="DS84" s="432">
        <f t="shared" si="274"/>
        <v>4.2486888057586825E-3</v>
      </c>
      <c r="DT84" s="432">
        <f t="shared" si="274"/>
        <v>-0.18082404025105903</v>
      </c>
      <c r="DU84" s="432">
        <f t="shared" si="274"/>
        <v>8.8755947309369754E-2</v>
      </c>
      <c r="DV84" s="432">
        <f t="shared" si="274"/>
        <v>0.4739451402570598</v>
      </c>
      <c r="DW84" s="432">
        <f t="shared" si="274"/>
        <v>0.50342753520659067</v>
      </c>
      <c r="DX84" s="432">
        <f t="shared" si="274"/>
        <v>0.30024857242120007</v>
      </c>
      <c r="DY84" s="432">
        <f t="shared" si="274"/>
        <v>0.18927480135020702</v>
      </c>
      <c r="DZ84" s="432">
        <f t="shared" si="274"/>
        <v>0.10593715014374738</v>
      </c>
      <c r="EA84" s="432">
        <f t="shared" si="274"/>
        <v>2.1251966087718288E-2</v>
      </c>
      <c r="EB84" s="432">
        <f t="shared" si="274"/>
        <v>-3.740991476803146E-2</v>
      </c>
      <c r="EC84" s="432">
        <f t="shared" si="274"/>
        <v>-6.4767385795802768E-2</v>
      </c>
      <c r="ED84" s="432">
        <f t="shared" si="274"/>
        <v>-0.10103259453376978</v>
      </c>
      <c r="EE84" s="435"/>
    </row>
    <row r="85" spans="1:136" s="657" customFormat="1" ht="15">
      <c r="A85" s="133"/>
      <c r="B85" s="139" t="s">
        <v>252</v>
      </c>
      <c r="C85" s="139"/>
      <c r="D85" s="662"/>
      <c r="E85" s="349"/>
      <c r="F85" s="349"/>
      <c r="G85" s="663"/>
      <c r="H85" s="349"/>
      <c r="I85" s="349"/>
      <c r="J85" s="349"/>
      <c r="K85" s="663"/>
      <c r="L85" s="349"/>
      <c r="M85" s="349"/>
      <c r="N85" s="349"/>
      <c r="O85" s="663"/>
      <c r="P85" s="349"/>
      <c r="Q85" s="349"/>
      <c r="R85" s="349"/>
      <c r="S85" s="663"/>
      <c r="T85" s="349"/>
      <c r="U85" s="349"/>
      <c r="V85" s="349"/>
      <c r="W85" s="663"/>
      <c r="X85" s="349"/>
      <c r="Y85" s="349"/>
      <c r="Z85" s="349"/>
      <c r="AA85" s="663"/>
      <c r="AB85" s="356">
        <v>77.400000000000006</v>
      </c>
      <c r="AC85" s="356">
        <v>75.599999999999994</v>
      </c>
      <c r="AD85" s="356">
        <v>48.9</v>
      </c>
      <c r="AE85" s="431"/>
      <c r="AF85" s="356">
        <v>48.6</v>
      </c>
      <c r="AG85" s="356">
        <v>39.5</v>
      </c>
      <c r="AH85" s="356">
        <v>34</v>
      </c>
      <c r="AI85" s="431">
        <f>174.4-SUM(AF85:AH85)</f>
        <v>52.300000000000011</v>
      </c>
      <c r="AJ85" s="356">
        <v>55.1</v>
      </c>
      <c r="AK85" s="356">
        <v>58.8</v>
      </c>
      <c r="AL85" s="356">
        <v>59.1</v>
      </c>
      <c r="AM85" s="431">
        <f>231.5-SUM(AJ85:AL85)</f>
        <v>58.5</v>
      </c>
      <c r="AN85" s="356">
        <v>51.9</v>
      </c>
      <c r="AO85" s="356">
        <v>50.8</v>
      </c>
      <c r="AP85" s="356">
        <v>43.8</v>
      </c>
      <c r="AQ85" s="431">
        <f>197.8-SUM(AN85:AP85)</f>
        <v>51.300000000000011</v>
      </c>
      <c r="AR85" s="356">
        <v>59.3</v>
      </c>
      <c r="AS85" s="356">
        <v>59.2</v>
      </c>
      <c r="AT85" s="356">
        <f>42.2</f>
        <v>42.2</v>
      </c>
      <c r="AU85" s="431">
        <f>210.9-SUM(AR85:AT85)</f>
        <v>50.200000000000017</v>
      </c>
      <c r="AV85" s="356">
        <f>58.3</f>
        <v>58.3</v>
      </c>
      <c r="AW85" s="356">
        <f>52+8.9</f>
        <v>60.9</v>
      </c>
      <c r="AX85" s="356">
        <f>35.3+6.6</f>
        <v>41.9</v>
      </c>
      <c r="AY85" s="431">
        <f>-180-SUM(AV85:AX85)+39</f>
        <v>-302.10000000000002</v>
      </c>
      <c r="AZ85" s="356">
        <f>53.1+3</f>
        <v>56.1</v>
      </c>
      <c r="BA85" s="356">
        <f>38+12.5</f>
        <v>50.5</v>
      </c>
      <c r="BB85" s="356">
        <f>16.4+7.1</f>
        <v>23.5</v>
      </c>
      <c r="BC85" s="431">
        <f>102.5-BB85-BA85-AZ85+45</f>
        <v>17.399999999999999</v>
      </c>
      <c r="BD85" s="356">
        <f>17.5+20</f>
        <v>37.5</v>
      </c>
      <c r="BE85" s="356">
        <f>23.5+15.1</f>
        <v>38.6</v>
      </c>
      <c r="BF85" s="356">
        <f>4+9.8</f>
        <v>13.8</v>
      </c>
      <c r="BG85" s="431">
        <f>-4.2+25.3</f>
        <v>21.1</v>
      </c>
      <c r="BH85" s="356">
        <f>35.3+6.8</f>
        <v>42.099999999999994</v>
      </c>
      <c r="BI85" s="356">
        <f>31.2+9.4</f>
        <v>40.6</v>
      </c>
      <c r="BJ85" s="356">
        <f>4.9+7</f>
        <v>11.9</v>
      </c>
      <c r="BK85" s="431">
        <f>44.7-SUM(BH85:BJ85)+31.4</f>
        <v>-18.499999999999993</v>
      </c>
      <c r="BL85" s="356">
        <f>-67.6+15.4</f>
        <v>-52.199999999999996</v>
      </c>
      <c r="BM85" s="356">
        <f>-45.7+10</f>
        <v>-35.700000000000003</v>
      </c>
      <c r="BN85" s="356">
        <f>-20.7+23.2</f>
        <v>2.5</v>
      </c>
      <c r="BO85" s="431">
        <f>-24.5-131.3-SUM(BL85:BN85)+79.4+5.8</f>
        <v>14.8</v>
      </c>
      <c r="BP85" s="356">
        <v>31.5</v>
      </c>
      <c r="BQ85" s="356">
        <v>32.799999999999997</v>
      </c>
      <c r="BR85" s="356">
        <v>25.6</v>
      </c>
      <c r="BS85" s="431">
        <v>29.7</v>
      </c>
      <c r="BT85" s="356">
        <v>44.5</v>
      </c>
      <c r="BU85" s="356">
        <v>49.6</v>
      </c>
      <c r="BV85" s="356">
        <v>41.4</v>
      </c>
      <c r="BW85" s="431">
        <v>52.5</v>
      </c>
      <c r="BX85" s="356">
        <f>52.6+1.2</f>
        <v>53.800000000000004</v>
      </c>
      <c r="BY85" s="356">
        <v>59.1</v>
      </c>
      <c r="BZ85" s="356">
        <v>74</v>
      </c>
      <c r="CA85" s="431">
        <v>80.5</v>
      </c>
      <c r="CB85" s="356">
        <f>89+0.7</f>
        <v>89.7</v>
      </c>
      <c r="CC85" s="356">
        <v>101.4</v>
      </c>
      <c r="CD85" s="356">
        <v>112.2</v>
      </c>
      <c r="CE85" s="431">
        <v>124.1</v>
      </c>
      <c r="CF85" s="356">
        <v>139.30000000000001</v>
      </c>
      <c r="CG85" s="356">
        <v>142.5</v>
      </c>
      <c r="CH85" s="356">
        <v>139</v>
      </c>
      <c r="CI85" s="431">
        <v>146.30000000000001</v>
      </c>
      <c r="CJ85" s="356">
        <v>137.9</v>
      </c>
      <c r="CK85" s="356">
        <v>146.9</v>
      </c>
      <c r="CL85" s="356">
        <v>136.4</v>
      </c>
      <c r="CM85" s="431">
        <v>147.80000000000001</v>
      </c>
      <c r="CN85" s="356">
        <v>153.9</v>
      </c>
      <c r="CO85" s="356">
        <v>160.9</v>
      </c>
      <c r="CP85" s="356">
        <v>150.1</v>
      </c>
      <c r="CQ85" s="431">
        <v>154.4</v>
      </c>
      <c r="CR85" s="356">
        <v>168.1</v>
      </c>
      <c r="CS85" s="356">
        <v>163.6</v>
      </c>
      <c r="CT85" s="356">
        <v>160.4</v>
      </c>
      <c r="CU85" s="431">
        <v>179.6</v>
      </c>
      <c r="CV85" s="348">
        <f>CV86*CV57</f>
        <v>180.86408569089133</v>
      </c>
      <c r="CW85" s="348">
        <f>CW86*CW57</f>
        <v>182.31691426408744</v>
      </c>
      <c r="CX85" s="348">
        <f>CX86*CX57</f>
        <v>167.59691528145399</v>
      </c>
      <c r="CY85" s="603">
        <f>CY86*CY57</f>
        <v>164.37790663802224</v>
      </c>
      <c r="DA85" s="354"/>
      <c r="DB85" s="354"/>
      <c r="DC85" s="354"/>
      <c r="DD85" s="354"/>
      <c r="DE85" s="354"/>
      <c r="DF85" s="354"/>
      <c r="DG85" s="354"/>
      <c r="DH85" s="354">
        <f>SUM(AF85:AI85)</f>
        <v>174.4</v>
      </c>
      <c r="DI85" s="354">
        <f>SUM(AJ85:AM85)</f>
        <v>231.5</v>
      </c>
      <c r="DJ85" s="354">
        <f>SUM(AN85:AQ85)</f>
        <v>197.8</v>
      </c>
      <c r="DK85" s="354">
        <f>SUM(AR85:AU85)</f>
        <v>210.9</v>
      </c>
      <c r="DL85" s="354">
        <f>SUM(AV85:AY85)</f>
        <v>-141.00000000000003</v>
      </c>
      <c r="DM85" s="354">
        <f>SUM(AZ85:BC85)</f>
        <v>147.5</v>
      </c>
      <c r="DN85" s="354">
        <f>SUM(BD85:BG85)</f>
        <v>111</v>
      </c>
      <c r="DO85" s="354">
        <f>SUM(BH85:BK85)</f>
        <v>76.099999999999994</v>
      </c>
      <c r="DP85" s="354">
        <f>SUM(BL85:BO85)</f>
        <v>-70.600000000000009</v>
      </c>
      <c r="DQ85" s="354">
        <f>SUM(BP85:BS85)</f>
        <v>119.60000000000001</v>
      </c>
      <c r="DR85" s="354">
        <f>SUM(BT85:BW85)</f>
        <v>188</v>
      </c>
      <c r="DS85" s="354">
        <f>SUM(BX85:CA85)</f>
        <v>267.39999999999998</v>
      </c>
      <c r="DT85" s="354">
        <f>SUM(CB85:CE85)</f>
        <v>427.4</v>
      </c>
      <c r="DU85" s="354">
        <f>SUM(CF85:CI85)</f>
        <v>567.1</v>
      </c>
      <c r="DV85" s="354">
        <f>SUM(CJ85:CM85)</f>
        <v>569</v>
      </c>
      <c r="DW85" s="354">
        <f>SUM(CN85:CQ85)</f>
        <v>619.29999999999995</v>
      </c>
      <c r="DX85" s="354">
        <f>SUM(CR85:CU85)</f>
        <v>671.7</v>
      </c>
      <c r="DY85" s="354">
        <f>SUM(CV85:CY85)</f>
        <v>695.15582187445511</v>
      </c>
      <c r="DZ85" s="354">
        <f>DZ86*DZ57</f>
        <v>715.44320820752603</v>
      </c>
      <c r="EA85" s="354">
        <f>EA86*EA57</f>
        <v>720.38666003739286</v>
      </c>
      <c r="EB85" s="354">
        <f>EB86*EB57</f>
        <v>726.98066202716871</v>
      </c>
      <c r="EC85" s="354">
        <f>EC86*EC57</f>
        <v>730.3762105454216</v>
      </c>
      <c r="ED85" s="354">
        <f>ED86*ED57</f>
        <v>729.41869366912374</v>
      </c>
      <c r="EE85" s="139"/>
      <c r="EF85" s="432"/>
    </row>
    <row r="86" spans="1:136" s="599" customFormat="1" ht="15">
      <c r="A86" s="133"/>
      <c r="B86" s="304" t="s">
        <v>203</v>
      </c>
      <c r="C86" s="435"/>
      <c r="D86" s="598"/>
      <c r="E86" s="432"/>
      <c r="F86" s="432"/>
      <c r="G86" s="433"/>
      <c r="H86" s="432"/>
      <c r="I86" s="432"/>
      <c r="J86" s="432"/>
      <c r="K86" s="433"/>
      <c r="L86" s="432"/>
      <c r="M86" s="432"/>
      <c r="N86" s="432"/>
      <c r="O86" s="433"/>
      <c r="P86" s="432"/>
      <c r="Q86" s="432"/>
      <c r="R86" s="432"/>
      <c r="S86" s="433"/>
      <c r="T86" s="432"/>
      <c r="U86" s="432"/>
      <c r="V86" s="432"/>
      <c r="W86" s="433"/>
      <c r="X86" s="432"/>
      <c r="Y86" s="432"/>
      <c r="Z86" s="432"/>
      <c r="AA86" s="433"/>
      <c r="AB86" s="432">
        <f>IF(AB57=0,0,AB85/AB57)</f>
        <v>0.12698933552091879</v>
      </c>
      <c r="AC86" s="432">
        <f>IF(AC57=0,0,AC85/AC57)</f>
        <v>0.13387639454577649</v>
      </c>
      <c r="AD86" s="432">
        <f>IF(AD57=0,0,AD85/AD57)</f>
        <v>0.10185378046240366</v>
      </c>
      <c r="AE86" s="433"/>
      <c r="AF86" s="432">
        <f t="shared" ref="AF86:BK86" si="275">IF(AF57=0,0,AF85/AF57)</f>
        <v>9.8023396530859216E-2</v>
      </c>
      <c r="AG86" s="432">
        <f t="shared" si="275"/>
        <v>7.8732310145505288E-2</v>
      </c>
      <c r="AH86" s="432">
        <f t="shared" si="275"/>
        <v>8.110687022900763E-2</v>
      </c>
      <c r="AI86" s="433">
        <f t="shared" si="275"/>
        <v>0.10812487078767832</v>
      </c>
      <c r="AJ86" s="432">
        <f t="shared" si="275"/>
        <v>0.10885025681548796</v>
      </c>
      <c r="AK86" s="432">
        <f t="shared" si="275"/>
        <v>0.1101123595505618</v>
      </c>
      <c r="AL86" s="432">
        <f t="shared" si="275"/>
        <v>0.12731581214993537</v>
      </c>
      <c r="AM86" s="433">
        <f t="shared" si="275"/>
        <v>0.11330621731551424</v>
      </c>
      <c r="AN86" s="432">
        <f t="shared" si="275"/>
        <v>9.9064707005153657E-2</v>
      </c>
      <c r="AO86" s="432">
        <f t="shared" si="275"/>
        <v>9.0407545826659552E-2</v>
      </c>
      <c r="AP86" s="432">
        <f t="shared" si="275"/>
        <v>8.8377723970944302E-2</v>
      </c>
      <c r="AQ86" s="433">
        <f t="shared" si="275"/>
        <v>8.4905660377358541E-2</v>
      </c>
      <c r="AR86" s="432">
        <f t="shared" si="275"/>
        <v>7.9384203480589013E-2</v>
      </c>
      <c r="AS86" s="432">
        <f t="shared" si="275"/>
        <v>9.0120261835895887E-2</v>
      </c>
      <c r="AT86" s="432">
        <f t="shared" si="275"/>
        <v>6.5927198875175758E-2</v>
      </c>
      <c r="AU86" s="433">
        <f t="shared" si="275"/>
        <v>7.8881206788183542E-2</v>
      </c>
      <c r="AV86" s="432">
        <f t="shared" si="275"/>
        <v>7.5274370561652676E-2</v>
      </c>
      <c r="AW86" s="432">
        <f t="shared" si="275"/>
        <v>7.8845157949249095E-2</v>
      </c>
      <c r="AX86" s="432">
        <f t="shared" si="275"/>
        <v>6.0645534809668548E-2</v>
      </c>
      <c r="AY86" s="433">
        <f t="shared" si="275"/>
        <v>-0.42028380634390655</v>
      </c>
      <c r="AZ86" s="432">
        <f t="shared" si="275"/>
        <v>7.12561920487743E-2</v>
      </c>
      <c r="BA86" s="432">
        <f t="shared" si="275"/>
        <v>6.4110702043925355E-2</v>
      </c>
      <c r="BB86" s="432">
        <f t="shared" si="275"/>
        <v>3.4427190155288598E-2</v>
      </c>
      <c r="BC86" s="433">
        <f t="shared" si="275"/>
        <v>2.3535777086433111E-2</v>
      </c>
      <c r="BD86" s="432">
        <f t="shared" si="275"/>
        <v>4.7546595663750475E-2</v>
      </c>
      <c r="BE86" s="432">
        <f t="shared" si="275"/>
        <v>4.6782208217185796E-2</v>
      </c>
      <c r="BF86" s="432">
        <f t="shared" si="275"/>
        <v>1.9907674552798616E-2</v>
      </c>
      <c r="BG86" s="433">
        <f t="shared" si="275"/>
        <v>2.6607818411097103E-2</v>
      </c>
      <c r="BH86" s="432">
        <f t="shared" si="275"/>
        <v>5.1247717589774797E-2</v>
      </c>
      <c r="BI86" s="432">
        <f t="shared" si="275"/>
        <v>4.8460253043685848E-2</v>
      </c>
      <c r="BJ86" s="432">
        <f t="shared" si="275"/>
        <v>1.8156850778150747E-2</v>
      </c>
      <c r="BK86" s="433">
        <f t="shared" si="275"/>
        <v>-3.4978256759311759E-2</v>
      </c>
      <c r="BL86" s="432">
        <f t="shared" ref="BL86:CQ86" si="276">IF(BL57=0,0,BL85/BL57)</f>
        <v>-0.12560153994225215</v>
      </c>
      <c r="BM86" s="432">
        <f t="shared" si="276"/>
        <v>-8.2314964261009926E-2</v>
      </c>
      <c r="BN86" s="432">
        <f t="shared" si="276"/>
        <v>4.9144879103597402E-3</v>
      </c>
      <c r="BO86" s="433">
        <f t="shared" si="276"/>
        <v>2.602426586952699E-2</v>
      </c>
      <c r="BP86" s="432">
        <f t="shared" si="276"/>
        <v>5.04E-2</v>
      </c>
      <c r="BQ86" s="432">
        <f t="shared" si="276"/>
        <v>4.6080359651587521E-2</v>
      </c>
      <c r="BR86" s="432">
        <f t="shared" si="276"/>
        <v>4.1857423152387184E-2</v>
      </c>
      <c r="BS86" s="433">
        <f t="shared" si="276"/>
        <v>4.2987407729049069E-2</v>
      </c>
      <c r="BT86" s="432">
        <f t="shared" si="276"/>
        <v>5.656539977119613E-2</v>
      </c>
      <c r="BU86" s="432">
        <f t="shared" si="276"/>
        <v>6.0754532092111714E-2</v>
      </c>
      <c r="BV86" s="432">
        <f t="shared" si="276"/>
        <v>5.3613053613053609E-2</v>
      </c>
      <c r="BW86" s="433">
        <f t="shared" si="276"/>
        <v>6.2634216177523266E-2</v>
      </c>
      <c r="BX86" s="432">
        <f t="shared" si="276"/>
        <v>6.480366176824863E-2</v>
      </c>
      <c r="BY86" s="432">
        <f t="shared" si="276"/>
        <v>6.7806333180357961E-2</v>
      </c>
      <c r="BZ86" s="432">
        <f t="shared" si="276"/>
        <v>8.4378563283922459E-2</v>
      </c>
      <c r="CA86" s="433">
        <f t="shared" si="276"/>
        <v>8.3976632589192565E-2</v>
      </c>
      <c r="CB86" s="432">
        <f t="shared" si="276"/>
        <v>8.6633185242418378E-2</v>
      </c>
      <c r="CC86" s="432">
        <f t="shared" si="276"/>
        <v>9.7135740971357409E-2</v>
      </c>
      <c r="CD86" s="432">
        <f t="shared" si="276"/>
        <v>0.10935672514619883</v>
      </c>
      <c r="CE86" s="433">
        <f t="shared" si="276"/>
        <v>0.11174140104448047</v>
      </c>
      <c r="CF86" s="432">
        <f t="shared" si="276"/>
        <v>0.12285033953611429</v>
      </c>
      <c r="CG86" s="432">
        <f t="shared" si="276"/>
        <v>0.12483574244415244</v>
      </c>
      <c r="CH86" s="432">
        <f t="shared" si="276"/>
        <v>0.13310351431580963</v>
      </c>
      <c r="CI86" s="433">
        <f t="shared" si="276"/>
        <v>0.13336371923427531</v>
      </c>
      <c r="CJ86" s="432">
        <f t="shared" si="276"/>
        <v>0.1330567348514087</v>
      </c>
      <c r="CK86" s="432">
        <f t="shared" si="276"/>
        <v>0.13892566672971438</v>
      </c>
      <c r="CL86" s="432">
        <f t="shared" si="276"/>
        <v>0.14015618577887382</v>
      </c>
      <c r="CM86" s="433">
        <f t="shared" si="276"/>
        <v>0.1413137011186538</v>
      </c>
      <c r="CN86" s="432">
        <f t="shared" si="276"/>
        <v>0.1450655104156848</v>
      </c>
      <c r="CO86" s="432">
        <f t="shared" si="276"/>
        <v>0.14837698266322388</v>
      </c>
      <c r="CP86" s="432">
        <f t="shared" si="276"/>
        <v>0.14815911558582567</v>
      </c>
      <c r="CQ86" s="433">
        <f t="shared" si="276"/>
        <v>0.14810551558752999</v>
      </c>
      <c r="CR86" s="432">
        <f t="shared" ref="CR86:CT86" si="277">IF(CR57=0,0,CR85/CR57)</f>
        <v>0.14869526758071649</v>
      </c>
      <c r="CS86" s="432">
        <f t="shared" si="277"/>
        <v>0.14898460978053002</v>
      </c>
      <c r="CT86" s="432">
        <f t="shared" si="277"/>
        <v>0.14416681646593565</v>
      </c>
      <c r="CU86" s="433">
        <f t="shared" ref="CU86" si="278">IF(CU57=0,0,CU85/CU57)</f>
        <v>0.14335887611749681</v>
      </c>
      <c r="CV86" s="445">
        <v>0.14399999999999999</v>
      </c>
      <c r="CW86" s="445">
        <v>0.14399999999999999</v>
      </c>
      <c r="CX86" s="445">
        <v>0.14000000000000001</v>
      </c>
      <c r="CY86" s="446">
        <v>0.13900000000000001</v>
      </c>
      <c r="DA86" s="432"/>
      <c r="DB86" s="432"/>
      <c r="DC86" s="432"/>
      <c r="DD86" s="432"/>
      <c r="DE86" s="432"/>
      <c r="DF86" s="432"/>
      <c r="DG86" s="432"/>
      <c r="DH86" s="432">
        <f t="shared" ref="DH86:DX86" si="279">IF(DH57=0,0,DH85/DH57)</f>
        <v>9.1770153651862765E-2</v>
      </c>
      <c r="DI86" s="432">
        <f t="shared" si="279"/>
        <v>0.1145642599099322</v>
      </c>
      <c r="DJ86" s="432">
        <f t="shared" si="279"/>
        <v>9.0501464128843342E-2</v>
      </c>
      <c r="DK86" s="432">
        <f t="shared" si="279"/>
        <v>7.8682286225936426E-2</v>
      </c>
      <c r="DL86" s="432">
        <f t="shared" si="279"/>
        <v>-4.7689914090509371E-2</v>
      </c>
      <c r="DM86" s="432">
        <f t="shared" si="279"/>
        <v>4.9217524775601464E-2</v>
      </c>
      <c r="DN86" s="432">
        <f t="shared" si="279"/>
        <v>3.5806451612903224E-2</v>
      </c>
      <c r="DO86" s="432">
        <f t="shared" si="279"/>
        <v>2.6761851174567447E-2</v>
      </c>
      <c r="DP86" s="432">
        <f t="shared" si="279"/>
        <v>-3.6642964654590757E-2</v>
      </c>
      <c r="DQ86" s="432">
        <f t="shared" si="279"/>
        <v>4.5315045656045161E-2</v>
      </c>
      <c r="DR86" s="432">
        <f t="shared" si="279"/>
        <v>5.8503189668585656E-2</v>
      </c>
      <c r="DS86" s="432">
        <f t="shared" si="279"/>
        <v>7.5592242890258385E-2</v>
      </c>
      <c r="DT86" s="432">
        <f t="shared" si="279"/>
        <v>0.10137811617922626</v>
      </c>
      <c r="DU86" s="432">
        <f t="shared" si="279"/>
        <v>0.12839903095070981</v>
      </c>
      <c r="DV86" s="432">
        <f t="shared" si="279"/>
        <v>0.13834520654526006</v>
      </c>
      <c r="DW86" s="432">
        <f t="shared" si="279"/>
        <v>0.14742079078292747</v>
      </c>
      <c r="DX86" s="432">
        <f t="shared" si="279"/>
        <v>0.14621245102307359</v>
      </c>
      <c r="DY86" s="432">
        <f t="shared" ref="DY86" si="280">IF(DY57=0,0,DY85/DY57)</f>
        <v>0.1418168451863546</v>
      </c>
      <c r="DZ86" s="445">
        <v>0.14000000000000001</v>
      </c>
      <c r="EA86" s="445">
        <f t="shared" ref="EA86:ED86" si="281">DZ86-0.005</f>
        <v>0.13500000000000001</v>
      </c>
      <c r="EB86" s="445">
        <f t="shared" si="281"/>
        <v>0.13</v>
      </c>
      <c r="EC86" s="445">
        <f t="shared" si="281"/>
        <v>0.125</v>
      </c>
      <c r="ED86" s="445">
        <f t="shared" si="281"/>
        <v>0.12</v>
      </c>
      <c r="EE86" s="435"/>
    </row>
    <row r="87" spans="1:136" s="670" customFormat="1" ht="15">
      <c r="A87" s="193"/>
      <c r="B87" s="665" t="s">
        <v>312</v>
      </c>
      <c r="C87" s="666"/>
      <c r="D87" s="667"/>
      <c r="E87" s="668"/>
      <c r="F87" s="668"/>
      <c r="G87" s="669"/>
      <c r="H87" s="668"/>
      <c r="I87" s="668"/>
      <c r="J87" s="668"/>
      <c r="K87" s="669"/>
      <c r="L87" s="668"/>
      <c r="M87" s="668"/>
      <c r="N87" s="668"/>
      <c r="O87" s="669"/>
      <c r="P87" s="668"/>
      <c r="Q87" s="668"/>
      <c r="R87" s="668"/>
      <c r="S87" s="669"/>
      <c r="T87" s="668"/>
      <c r="U87" s="668"/>
      <c r="V87" s="668"/>
      <c r="W87" s="669"/>
      <c r="X87" s="668"/>
      <c r="Y87" s="668"/>
      <c r="Z87" s="668"/>
      <c r="AA87" s="669"/>
      <c r="AB87" s="668"/>
      <c r="AC87" s="668">
        <f>(AC86-AB86)*10000</f>
        <v>68.870590248577003</v>
      </c>
      <c r="AD87" s="668">
        <f>(AD86-AC86)*10000</f>
        <v>-320.22614083372827</v>
      </c>
      <c r="AE87" s="669"/>
      <c r="AF87" s="668"/>
      <c r="AG87" s="668">
        <f t="shared" ref="AG87:BL87" si="282">(AG86-AF86)*10000</f>
        <v>-192.9108638535393</v>
      </c>
      <c r="AH87" s="668">
        <f t="shared" si="282"/>
        <v>23.745600835023417</v>
      </c>
      <c r="AI87" s="669">
        <f t="shared" si="282"/>
        <v>270.18000558670695</v>
      </c>
      <c r="AJ87" s="668">
        <f t="shared" si="282"/>
        <v>7.2538602780963801</v>
      </c>
      <c r="AK87" s="668">
        <f t="shared" si="282"/>
        <v>12.621027350738363</v>
      </c>
      <c r="AL87" s="668">
        <f t="shared" si="282"/>
        <v>172.03452599373571</v>
      </c>
      <c r="AM87" s="669">
        <f t="shared" si="282"/>
        <v>-140.09594834421131</v>
      </c>
      <c r="AN87" s="668">
        <f t="shared" si="282"/>
        <v>-142.41510310360584</v>
      </c>
      <c r="AO87" s="668">
        <f t="shared" si="282"/>
        <v>-86.571611784941055</v>
      </c>
      <c r="AP87" s="668">
        <f t="shared" si="282"/>
        <v>-20.298218557152499</v>
      </c>
      <c r="AQ87" s="669">
        <f t="shared" si="282"/>
        <v>-34.720635935857615</v>
      </c>
      <c r="AR87" s="668">
        <f t="shared" si="282"/>
        <v>-55.214568967695278</v>
      </c>
      <c r="AS87" s="668">
        <f t="shared" si="282"/>
        <v>107.36058355306874</v>
      </c>
      <c r="AT87" s="668">
        <f t="shared" si="282"/>
        <v>-241.9306296072013</v>
      </c>
      <c r="AU87" s="669">
        <f t="shared" si="282"/>
        <v>129.54007913007783</v>
      </c>
      <c r="AV87" s="668">
        <f t="shared" si="282"/>
        <v>-36.068362265308657</v>
      </c>
      <c r="AW87" s="668">
        <f t="shared" si="282"/>
        <v>35.707873875964189</v>
      </c>
      <c r="AX87" s="668">
        <f t="shared" si="282"/>
        <v>-181.99623139580547</v>
      </c>
      <c r="AY87" s="669">
        <f t="shared" si="282"/>
        <v>-4809.2934115357511</v>
      </c>
      <c r="AZ87" s="668">
        <f t="shared" si="282"/>
        <v>4915.399983926809</v>
      </c>
      <c r="BA87" s="668">
        <f t="shared" si="282"/>
        <v>-71.454900048489449</v>
      </c>
      <c r="BB87" s="668">
        <f t="shared" si="282"/>
        <v>-296.83511888636758</v>
      </c>
      <c r="BC87" s="669">
        <f t="shared" si="282"/>
        <v>-108.91413068855486</v>
      </c>
      <c r="BD87" s="668">
        <f t="shared" si="282"/>
        <v>240.10818577317363</v>
      </c>
      <c r="BE87" s="668">
        <f t="shared" si="282"/>
        <v>-7.6438744656467943</v>
      </c>
      <c r="BF87" s="668">
        <f t="shared" si="282"/>
        <v>-268.74533664387178</v>
      </c>
      <c r="BG87" s="669">
        <f t="shared" si="282"/>
        <v>67.001438582984861</v>
      </c>
      <c r="BH87" s="668">
        <f t="shared" si="282"/>
        <v>246.39899178677695</v>
      </c>
      <c r="BI87" s="668">
        <f t="shared" si="282"/>
        <v>-27.874645460889482</v>
      </c>
      <c r="BJ87" s="668">
        <f t="shared" si="282"/>
        <v>-303.03402265535101</v>
      </c>
      <c r="BK87" s="669">
        <f t="shared" si="282"/>
        <v>-531.35107537462511</v>
      </c>
      <c r="BL87" s="668">
        <f t="shared" si="282"/>
        <v>-906.23283182940384</v>
      </c>
      <c r="BM87" s="668">
        <f t="shared" ref="BM87:CR87" si="283">(BM86-BL86)*10000</f>
        <v>432.86575681242221</v>
      </c>
      <c r="BN87" s="668">
        <f t="shared" si="283"/>
        <v>872.29452171369667</v>
      </c>
      <c r="BO87" s="669">
        <f t="shared" si="283"/>
        <v>211.09777959167249</v>
      </c>
      <c r="BP87" s="668">
        <f t="shared" si="283"/>
        <v>243.75734130473012</v>
      </c>
      <c r="BQ87" s="668">
        <f t="shared" si="283"/>
        <v>-43.196403484124787</v>
      </c>
      <c r="BR87" s="668">
        <f t="shared" si="283"/>
        <v>-42.229364992003376</v>
      </c>
      <c r="BS87" s="669">
        <f t="shared" si="283"/>
        <v>11.299845766618855</v>
      </c>
      <c r="BT87" s="668">
        <f t="shared" si="283"/>
        <v>135.77992042147062</v>
      </c>
      <c r="BU87" s="668">
        <f t="shared" si="283"/>
        <v>41.891323209155843</v>
      </c>
      <c r="BV87" s="668">
        <f t="shared" si="283"/>
        <v>-71.414784790581052</v>
      </c>
      <c r="BW87" s="669">
        <f t="shared" si="283"/>
        <v>90.211625644696582</v>
      </c>
      <c r="BX87" s="668">
        <f t="shared" si="283"/>
        <v>21.694455907253634</v>
      </c>
      <c r="BY87" s="668">
        <f t="shared" si="283"/>
        <v>30.026714121093313</v>
      </c>
      <c r="BZ87" s="668">
        <f t="shared" si="283"/>
        <v>165.72230103564499</v>
      </c>
      <c r="CA87" s="669">
        <f t="shared" si="283"/>
        <v>-4.0193069472989338</v>
      </c>
      <c r="CB87" s="668">
        <f t="shared" si="283"/>
        <v>26.565526532258133</v>
      </c>
      <c r="CC87" s="668">
        <f t="shared" si="283"/>
        <v>105.02555728939031</v>
      </c>
      <c r="CD87" s="668">
        <f t="shared" si="283"/>
        <v>122.20984174841423</v>
      </c>
      <c r="CE87" s="669">
        <f t="shared" si="283"/>
        <v>23.846758982816326</v>
      </c>
      <c r="CF87" s="668">
        <f t="shared" si="283"/>
        <v>111.08938491633829</v>
      </c>
      <c r="CG87" s="668">
        <f t="shared" si="283"/>
        <v>19.854029080381419</v>
      </c>
      <c r="CH87" s="668">
        <f t="shared" si="283"/>
        <v>82.677718716571974</v>
      </c>
      <c r="CI87" s="669">
        <f t="shared" si="283"/>
        <v>2.602049184656785</v>
      </c>
      <c r="CJ87" s="668">
        <f t="shared" si="283"/>
        <v>-3.0698438286660967</v>
      </c>
      <c r="CK87" s="668">
        <f t="shared" si="283"/>
        <v>58.68931878305672</v>
      </c>
      <c r="CL87" s="668">
        <f t="shared" si="283"/>
        <v>12.305190491594399</v>
      </c>
      <c r="CM87" s="669">
        <f t="shared" si="283"/>
        <v>11.575153397799799</v>
      </c>
      <c r="CN87" s="668">
        <f t="shared" si="283"/>
        <v>37.518092970310057</v>
      </c>
      <c r="CO87" s="668">
        <f t="shared" si="283"/>
        <v>33.11472247539082</v>
      </c>
      <c r="CP87" s="668">
        <f t="shared" si="283"/>
        <v>-2.1786707739820943</v>
      </c>
      <c r="CQ87" s="669">
        <f t="shared" si="283"/>
        <v>-0.53599998295683626</v>
      </c>
      <c r="CR87" s="668">
        <f t="shared" si="283"/>
        <v>5.8975199318650473</v>
      </c>
      <c r="CS87" s="668">
        <f t="shared" ref="CS87:CY87" si="284">(CS86-CR86)*10000</f>
        <v>2.8934219981352483</v>
      </c>
      <c r="CT87" s="668">
        <f t="shared" si="284"/>
        <v>-48.177933145943655</v>
      </c>
      <c r="CU87" s="669">
        <f t="shared" si="284"/>
        <v>-8.0794034843884042</v>
      </c>
      <c r="CV87" s="668">
        <f t="shared" si="284"/>
        <v>6.4112388250317505</v>
      </c>
      <c r="CW87" s="668">
        <f t="shared" si="284"/>
        <v>0</v>
      </c>
      <c r="CX87" s="668">
        <f t="shared" si="284"/>
        <v>-39.999999999999758</v>
      </c>
      <c r="CY87" s="669">
        <f t="shared" si="284"/>
        <v>-10.000000000000009</v>
      </c>
      <c r="DA87" s="668"/>
      <c r="DB87" s="668"/>
      <c r="DC87" s="668"/>
      <c r="DD87" s="668"/>
      <c r="DE87" s="668"/>
      <c r="DF87" s="668"/>
      <c r="DG87" s="668"/>
      <c r="DH87" s="668"/>
      <c r="DI87" s="668"/>
      <c r="DJ87" s="668"/>
      <c r="DK87" s="668"/>
      <c r="DL87" s="668"/>
      <c r="DM87" s="668"/>
      <c r="DN87" s="668"/>
      <c r="DO87" s="668"/>
      <c r="DP87" s="668"/>
      <c r="DQ87" s="668"/>
      <c r="DR87" s="668"/>
      <c r="DS87" s="668"/>
      <c r="DT87" s="668"/>
      <c r="DU87" s="668"/>
      <c r="DV87" s="668"/>
      <c r="DW87" s="668"/>
      <c r="DX87" s="668"/>
      <c r="DY87" s="668"/>
      <c r="DZ87" s="356"/>
      <c r="EA87" s="356"/>
      <c r="EB87" s="356"/>
      <c r="EC87" s="356"/>
      <c r="ED87" s="356"/>
      <c r="EE87" s="666"/>
    </row>
    <row r="88" spans="1:136" s="670" customFormat="1" ht="15">
      <c r="A88" s="231"/>
      <c r="B88" s="665" t="s">
        <v>307</v>
      </c>
      <c r="C88" s="666"/>
      <c r="D88" s="667"/>
      <c r="E88" s="668"/>
      <c r="F88" s="668"/>
      <c r="G88" s="669"/>
      <c r="H88" s="668"/>
      <c r="I88" s="668"/>
      <c r="J88" s="668"/>
      <c r="K88" s="669"/>
      <c r="L88" s="668"/>
      <c r="M88" s="668"/>
      <c r="N88" s="668"/>
      <c r="O88" s="669"/>
      <c r="P88" s="668"/>
      <c r="Q88" s="668"/>
      <c r="R88" s="668"/>
      <c r="S88" s="669"/>
      <c r="T88" s="668"/>
      <c r="U88" s="668"/>
      <c r="V88" s="668"/>
      <c r="W88" s="669"/>
      <c r="X88" s="668"/>
      <c r="Y88" s="668"/>
      <c r="Z88" s="668"/>
      <c r="AA88" s="669"/>
      <c r="AB88" s="668"/>
      <c r="AC88" s="668"/>
      <c r="AD88" s="668"/>
      <c r="AE88" s="669"/>
      <c r="AF88" s="668">
        <f>(AF86-AB86)*10000</f>
        <v>-289.65938990059573</v>
      </c>
      <c r="AG88" s="668">
        <f>(AG86-AC86)*10000</f>
        <v>-551.44084400271197</v>
      </c>
      <c r="AH88" s="668">
        <f>(AH86-AD86)*10000</f>
        <v>-207.46910233396031</v>
      </c>
      <c r="AI88" s="669"/>
      <c r="AJ88" s="668">
        <f t="shared" ref="AJ88:BO88" si="285">(AJ86-AF86)*10000</f>
        <v>108.26860284628745</v>
      </c>
      <c r="AK88" s="668">
        <f t="shared" si="285"/>
        <v>313.80049405056508</v>
      </c>
      <c r="AL88" s="668">
        <f t="shared" si="285"/>
        <v>462.08941920927742</v>
      </c>
      <c r="AM88" s="669">
        <f t="shared" si="285"/>
        <v>51.813465278359175</v>
      </c>
      <c r="AN88" s="668">
        <f t="shared" si="285"/>
        <v>-97.855498103343038</v>
      </c>
      <c r="AO88" s="668">
        <f t="shared" si="285"/>
        <v>-197.04813723902245</v>
      </c>
      <c r="AP88" s="668">
        <f t="shared" si="285"/>
        <v>-389.38088178991069</v>
      </c>
      <c r="AQ88" s="669">
        <f t="shared" si="285"/>
        <v>-284.005569381557</v>
      </c>
      <c r="AR88" s="668">
        <f t="shared" si="285"/>
        <v>-196.80503524564645</v>
      </c>
      <c r="AS88" s="668">
        <f t="shared" si="285"/>
        <v>-2.8728399076366484</v>
      </c>
      <c r="AT88" s="668">
        <f t="shared" si="285"/>
        <v>-224.50525095768546</v>
      </c>
      <c r="AU88" s="669">
        <f t="shared" si="285"/>
        <v>-60.244535891749997</v>
      </c>
      <c r="AV88" s="668">
        <f t="shared" si="285"/>
        <v>-41.098329189363376</v>
      </c>
      <c r="AW88" s="668">
        <f t="shared" si="285"/>
        <v>-112.75103886646792</v>
      </c>
      <c r="AX88" s="668">
        <f t="shared" si="285"/>
        <v>-52.816640655072092</v>
      </c>
      <c r="AY88" s="669">
        <f t="shared" si="285"/>
        <v>-4991.650131320901</v>
      </c>
      <c r="AZ88" s="668">
        <f t="shared" si="285"/>
        <v>-40.181785128783758</v>
      </c>
      <c r="BA88" s="668">
        <f t="shared" si="285"/>
        <v>-147.34455905323739</v>
      </c>
      <c r="BB88" s="668">
        <f t="shared" si="285"/>
        <v>-262.1834465437995</v>
      </c>
      <c r="BC88" s="669">
        <f t="shared" si="285"/>
        <v>4438.1958343033966</v>
      </c>
      <c r="BD88" s="668">
        <f t="shared" si="285"/>
        <v>-237.09596385023823</v>
      </c>
      <c r="BE88" s="668">
        <f t="shared" si="285"/>
        <v>-173.2849382673956</v>
      </c>
      <c r="BF88" s="668">
        <f t="shared" si="285"/>
        <v>-145.19515602489983</v>
      </c>
      <c r="BG88" s="669">
        <f t="shared" si="285"/>
        <v>30.720413246639911</v>
      </c>
      <c r="BH88" s="668">
        <f t="shared" si="285"/>
        <v>37.011219260243216</v>
      </c>
      <c r="BI88" s="668">
        <f t="shared" si="285"/>
        <v>16.780448265000526</v>
      </c>
      <c r="BJ88" s="668">
        <f t="shared" si="285"/>
        <v>-17.508237746478688</v>
      </c>
      <c r="BK88" s="669">
        <f t="shared" si="285"/>
        <v>-615.86075170408856</v>
      </c>
      <c r="BL88" s="668">
        <f t="shared" si="285"/>
        <v>-1768.4925753202697</v>
      </c>
      <c r="BM88" s="668">
        <f t="shared" si="285"/>
        <v>-1307.7521730469578</v>
      </c>
      <c r="BN88" s="668">
        <f t="shared" si="285"/>
        <v>-132.42362867791007</v>
      </c>
      <c r="BO88" s="669">
        <f t="shared" si="285"/>
        <v>610.02522628838744</v>
      </c>
      <c r="BP88" s="668">
        <f t="shared" ref="BP88:CY88" si="286">(BP86-BL86)*10000</f>
        <v>1760.0153994225216</v>
      </c>
      <c r="BQ88" s="668">
        <f t="shared" si="286"/>
        <v>1283.9532391259745</v>
      </c>
      <c r="BR88" s="668">
        <f t="shared" si="286"/>
        <v>369.42935242027443</v>
      </c>
      <c r="BS88" s="669">
        <f t="shared" si="286"/>
        <v>169.63141859522079</v>
      </c>
      <c r="BT88" s="668">
        <f t="shared" si="286"/>
        <v>61.653997711961296</v>
      </c>
      <c r="BU88" s="668">
        <f t="shared" si="286"/>
        <v>146.74172440524194</v>
      </c>
      <c r="BV88" s="668">
        <f t="shared" si="286"/>
        <v>117.55630460666424</v>
      </c>
      <c r="BW88" s="669">
        <f t="shared" si="286"/>
        <v>196.46808448474198</v>
      </c>
      <c r="BX88" s="668">
        <f t="shared" si="286"/>
        <v>82.382619970524999</v>
      </c>
      <c r="BY88" s="668">
        <f t="shared" si="286"/>
        <v>70.518010882462477</v>
      </c>
      <c r="BZ88" s="668">
        <f t="shared" si="286"/>
        <v>307.65509670868852</v>
      </c>
      <c r="CA88" s="669">
        <f t="shared" si="286"/>
        <v>213.42416411669299</v>
      </c>
      <c r="CB88" s="668">
        <f t="shared" si="286"/>
        <v>218.2952347416975</v>
      </c>
      <c r="CC88" s="668">
        <f t="shared" si="286"/>
        <v>293.29407790999448</v>
      </c>
      <c r="CD88" s="668">
        <f t="shared" si="286"/>
        <v>249.78161862276374</v>
      </c>
      <c r="CE88" s="669">
        <f t="shared" si="286"/>
        <v>277.64768455287901</v>
      </c>
      <c r="CF88" s="668">
        <f t="shared" si="286"/>
        <v>362.17154293695916</v>
      </c>
      <c r="CG88" s="668">
        <f t="shared" si="286"/>
        <v>277.00001472795026</v>
      </c>
      <c r="CH88" s="668">
        <f t="shared" si="286"/>
        <v>237.46789169610801</v>
      </c>
      <c r="CI88" s="669">
        <f t="shared" si="286"/>
        <v>216.22318189794848</v>
      </c>
      <c r="CJ88" s="668">
        <f t="shared" si="286"/>
        <v>102.06395315294408</v>
      </c>
      <c r="CK88" s="668">
        <f t="shared" si="286"/>
        <v>140.89924285561938</v>
      </c>
      <c r="CL88" s="668">
        <f t="shared" si="286"/>
        <v>70.526714630641806</v>
      </c>
      <c r="CM88" s="669">
        <f t="shared" si="286"/>
        <v>79.499818843784823</v>
      </c>
      <c r="CN88" s="668">
        <f t="shared" si="286"/>
        <v>120.08775564276097</v>
      </c>
      <c r="CO88" s="668">
        <f t="shared" si="286"/>
        <v>94.513159335095082</v>
      </c>
      <c r="CP88" s="668">
        <f t="shared" si="286"/>
        <v>80.029298069518589</v>
      </c>
      <c r="CQ88" s="669">
        <f t="shared" si="286"/>
        <v>67.918144688761956</v>
      </c>
      <c r="CR88" s="668">
        <f t="shared" si="286"/>
        <v>36.297571650316939</v>
      </c>
      <c r="CS88" s="668">
        <f t="shared" si="286"/>
        <v>6.0762711730613645</v>
      </c>
      <c r="CT88" s="668">
        <f t="shared" si="286"/>
        <v>-39.922991198900192</v>
      </c>
      <c r="CU88" s="669">
        <f t="shared" si="286"/>
        <v>-47.466394700331762</v>
      </c>
      <c r="CV88" s="668">
        <f t="shared" si="286"/>
        <v>-46.952675807165058</v>
      </c>
      <c r="CW88" s="668">
        <f t="shared" si="286"/>
        <v>-49.846097805300303</v>
      </c>
      <c r="CX88" s="668">
        <f t="shared" si="286"/>
        <v>-41.668164659356407</v>
      </c>
      <c r="CY88" s="669">
        <f t="shared" si="286"/>
        <v>-43.588761174968013</v>
      </c>
      <c r="DA88" s="668"/>
      <c r="DB88" s="668"/>
      <c r="DC88" s="668"/>
      <c r="DD88" s="668"/>
      <c r="DE88" s="668"/>
      <c r="DF88" s="668"/>
      <c r="DG88" s="668"/>
      <c r="DH88" s="668"/>
      <c r="DI88" s="668">
        <f t="shared" ref="DI88:ED88" si="287">(DI86-DH86)*10000</f>
        <v>227.94106258069436</v>
      </c>
      <c r="DJ88" s="668">
        <f t="shared" si="287"/>
        <v>-240.62795781088857</v>
      </c>
      <c r="DK88" s="668">
        <f t="shared" si="287"/>
        <v>-118.19177902906917</v>
      </c>
      <c r="DL88" s="668">
        <f t="shared" si="287"/>
        <v>-1263.7220031644581</v>
      </c>
      <c r="DM88" s="668">
        <f t="shared" si="287"/>
        <v>969.07438866110829</v>
      </c>
      <c r="DN88" s="668">
        <f t="shared" si="287"/>
        <v>-134.11073162698239</v>
      </c>
      <c r="DO88" s="668">
        <f t="shared" si="287"/>
        <v>-90.446004383357774</v>
      </c>
      <c r="DP88" s="668">
        <f t="shared" si="287"/>
        <v>-634.04815829158201</v>
      </c>
      <c r="DQ88" s="668">
        <f t="shared" si="287"/>
        <v>819.58010310635916</v>
      </c>
      <c r="DR88" s="668">
        <f t="shared" si="287"/>
        <v>131.88144012540496</v>
      </c>
      <c r="DS88" s="668">
        <f t="shared" si="287"/>
        <v>170.89053221672728</v>
      </c>
      <c r="DT88" s="668">
        <f t="shared" si="287"/>
        <v>257.85873288967878</v>
      </c>
      <c r="DU88" s="668">
        <f t="shared" si="287"/>
        <v>270.20914771483552</v>
      </c>
      <c r="DV88" s="668">
        <f t="shared" si="287"/>
        <v>99.461755945502432</v>
      </c>
      <c r="DW88" s="668">
        <f t="shared" si="287"/>
        <v>90.75584237667411</v>
      </c>
      <c r="DX88" s="668">
        <f t="shared" si="287"/>
        <v>-12.08339759853877</v>
      </c>
      <c r="DY88" s="668">
        <f t="shared" si="287"/>
        <v>-43.956058367189968</v>
      </c>
      <c r="DZ88" s="668">
        <f t="shared" si="287"/>
        <v>-18.168451863545819</v>
      </c>
      <c r="EA88" s="668">
        <f t="shared" si="287"/>
        <v>-50.000000000000043</v>
      </c>
      <c r="EB88" s="668">
        <f t="shared" si="287"/>
        <v>-50.000000000000043</v>
      </c>
      <c r="EC88" s="668">
        <f t="shared" si="287"/>
        <v>-50.000000000000043</v>
      </c>
      <c r="ED88" s="668">
        <f t="shared" si="287"/>
        <v>-50.000000000000043</v>
      </c>
      <c r="EE88" s="666"/>
    </row>
    <row r="89" spans="1:136" s="670" customFormat="1" ht="15">
      <c r="A89" s="231"/>
      <c r="B89" s="665" t="s">
        <v>313</v>
      </c>
      <c r="C89" s="666"/>
      <c r="D89" s="667"/>
      <c r="E89" s="668"/>
      <c r="F89" s="668"/>
      <c r="G89" s="669"/>
      <c r="H89" s="668"/>
      <c r="I89" s="668"/>
      <c r="J89" s="668"/>
      <c r="K89" s="669"/>
      <c r="L89" s="668"/>
      <c r="M89" s="668"/>
      <c r="N89" s="668"/>
      <c r="O89" s="669"/>
      <c r="P89" s="668"/>
      <c r="Q89" s="668"/>
      <c r="R89" s="668"/>
      <c r="S89" s="669"/>
      <c r="T89" s="668"/>
      <c r="U89" s="668"/>
      <c r="V89" s="668"/>
      <c r="W89" s="669"/>
      <c r="X89" s="668"/>
      <c r="Y89" s="668"/>
      <c r="Z89" s="668"/>
      <c r="AA89" s="669"/>
      <c r="AB89" s="668"/>
      <c r="AC89" s="668"/>
      <c r="AD89" s="668"/>
      <c r="AE89" s="669"/>
      <c r="AF89" s="668"/>
      <c r="AG89" s="668"/>
      <c r="AH89" s="668"/>
      <c r="AI89" s="669"/>
      <c r="AJ89" s="668">
        <f>AF88+AJ88</f>
        <v>-181.39078705430828</v>
      </c>
      <c r="AK89" s="668">
        <f>AG88+AK88</f>
        <v>-237.64034995214689</v>
      </c>
      <c r="AL89" s="668">
        <f>AH88+AL88</f>
        <v>254.62031687531712</v>
      </c>
      <c r="AM89" s="669"/>
      <c r="AN89" s="668">
        <f t="shared" ref="AN89:BS89" si="288">AJ88+AN88</f>
        <v>10.413104742944412</v>
      </c>
      <c r="AO89" s="668">
        <f t="shared" si="288"/>
        <v>116.75235681154263</v>
      </c>
      <c r="AP89" s="668">
        <f t="shared" si="288"/>
        <v>72.708537419366735</v>
      </c>
      <c r="AQ89" s="669">
        <f t="shared" si="288"/>
        <v>-232.19210410319783</v>
      </c>
      <c r="AR89" s="668">
        <f t="shared" si="288"/>
        <v>-294.66053334898947</v>
      </c>
      <c r="AS89" s="668">
        <f t="shared" si="288"/>
        <v>-199.92097714665911</v>
      </c>
      <c r="AT89" s="668">
        <f t="shared" si="288"/>
        <v>-613.88613274759609</v>
      </c>
      <c r="AU89" s="669">
        <f t="shared" si="288"/>
        <v>-344.25010527330699</v>
      </c>
      <c r="AV89" s="668">
        <f t="shared" si="288"/>
        <v>-237.90336443500982</v>
      </c>
      <c r="AW89" s="668">
        <f t="shared" si="288"/>
        <v>-115.62387877410457</v>
      </c>
      <c r="AX89" s="668">
        <f t="shared" si="288"/>
        <v>-277.32189161275755</v>
      </c>
      <c r="AY89" s="669">
        <f t="shared" si="288"/>
        <v>-5051.8946672126513</v>
      </c>
      <c r="AZ89" s="668">
        <f t="shared" si="288"/>
        <v>-81.280114318147128</v>
      </c>
      <c r="BA89" s="668">
        <f t="shared" si="288"/>
        <v>-260.09559791970531</v>
      </c>
      <c r="BB89" s="668">
        <f t="shared" si="288"/>
        <v>-315.0000871988716</v>
      </c>
      <c r="BC89" s="669">
        <f t="shared" si="288"/>
        <v>-553.45429701750436</v>
      </c>
      <c r="BD89" s="668">
        <f t="shared" si="288"/>
        <v>-277.27774897902202</v>
      </c>
      <c r="BE89" s="668">
        <f t="shared" si="288"/>
        <v>-320.62949732063299</v>
      </c>
      <c r="BF89" s="668">
        <f t="shared" si="288"/>
        <v>-407.37860256869931</v>
      </c>
      <c r="BG89" s="669">
        <f t="shared" si="288"/>
        <v>4468.9162475500361</v>
      </c>
      <c r="BH89" s="668">
        <f t="shared" si="288"/>
        <v>-200.08474458999501</v>
      </c>
      <c r="BI89" s="668">
        <f t="shared" si="288"/>
        <v>-156.50449000239507</v>
      </c>
      <c r="BJ89" s="668">
        <f t="shared" si="288"/>
        <v>-162.70339377137853</v>
      </c>
      <c r="BK89" s="669">
        <f t="shared" si="288"/>
        <v>-585.14033845744859</v>
      </c>
      <c r="BL89" s="668">
        <f t="shared" si="288"/>
        <v>-1731.4813560600264</v>
      </c>
      <c r="BM89" s="668">
        <f t="shared" si="288"/>
        <v>-1290.9717247819572</v>
      </c>
      <c r="BN89" s="668">
        <f t="shared" si="288"/>
        <v>-149.93186642438877</v>
      </c>
      <c r="BO89" s="669">
        <f t="shared" si="288"/>
        <v>-5.8355254157011132</v>
      </c>
      <c r="BP89" s="668">
        <f t="shared" si="288"/>
        <v>-8.4771758977481113</v>
      </c>
      <c r="BQ89" s="668">
        <f t="shared" si="288"/>
        <v>-23.798933920983245</v>
      </c>
      <c r="BR89" s="668">
        <f t="shared" si="288"/>
        <v>237.00572374236435</v>
      </c>
      <c r="BS89" s="669">
        <f t="shared" si="288"/>
        <v>779.65664488360824</v>
      </c>
      <c r="BT89" s="668">
        <f t="shared" ref="BT89:CY89" si="289">BP88+BT88</f>
        <v>1821.6693971344828</v>
      </c>
      <c r="BU89" s="668">
        <f t="shared" si="289"/>
        <v>1430.6949635312164</v>
      </c>
      <c r="BV89" s="668">
        <f t="shared" si="289"/>
        <v>486.98565702693867</v>
      </c>
      <c r="BW89" s="669">
        <f t="shared" si="289"/>
        <v>366.0995030799628</v>
      </c>
      <c r="BX89" s="668">
        <f t="shared" si="289"/>
        <v>144.03661768248628</v>
      </c>
      <c r="BY89" s="668">
        <f t="shared" si="289"/>
        <v>217.25973528770442</v>
      </c>
      <c r="BZ89" s="668">
        <f t="shared" si="289"/>
        <v>425.21140131535276</v>
      </c>
      <c r="CA89" s="669">
        <f t="shared" si="289"/>
        <v>409.89224860143497</v>
      </c>
      <c r="CB89" s="668">
        <f t="shared" si="289"/>
        <v>300.67785471222248</v>
      </c>
      <c r="CC89" s="668">
        <f t="shared" si="289"/>
        <v>363.81208879245696</v>
      </c>
      <c r="CD89" s="668">
        <f t="shared" si="289"/>
        <v>557.43671533145221</v>
      </c>
      <c r="CE89" s="669">
        <f t="shared" si="289"/>
        <v>491.07184866957198</v>
      </c>
      <c r="CF89" s="668">
        <f t="shared" si="289"/>
        <v>580.46677767865663</v>
      </c>
      <c r="CG89" s="668">
        <f t="shared" si="289"/>
        <v>570.29409263794469</v>
      </c>
      <c r="CH89" s="668">
        <f t="shared" si="289"/>
        <v>487.24951031887178</v>
      </c>
      <c r="CI89" s="669">
        <f t="shared" si="289"/>
        <v>493.87086645082752</v>
      </c>
      <c r="CJ89" s="668">
        <f t="shared" si="289"/>
        <v>464.23549608990322</v>
      </c>
      <c r="CK89" s="668">
        <f t="shared" si="289"/>
        <v>417.89925758356964</v>
      </c>
      <c r="CL89" s="668">
        <f t="shared" si="289"/>
        <v>307.99460632674982</v>
      </c>
      <c r="CM89" s="669">
        <f t="shared" si="289"/>
        <v>295.7230007417333</v>
      </c>
      <c r="CN89" s="668">
        <f t="shared" si="289"/>
        <v>222.15170879570505</v>
      </c>
      <c r="CO89" s="668">
        <f t="shared" si="289"/>
        <v>235.41240219071446</v>
      </c>
      <c r="CP89" s="668">
        <f t="shared" si="289"/>
        <v>150.55601270016041</v>
      </c>
      <c r="CQ89" s="669">
        <f t="shared" si="289"/>
        <v>147.41796353254676</v>
      </c>
      <c r="CR89" s="668">
        <f t="shared" si="289"/>
        <v>156.38532729307792</v>
      </c>
      <c r="CS89" s="668">
        <f t="shared" si="289"/>
        <v>100.58943050815645</v>
      </c>
      <c r="CT89" s="668">
        <f t="shared" si="289"/>
        <v>40.106306870618397</v>
      </c>
      <c r="CU89" s="669">
        <f t="shared" si="289"/>
        <v>20.451749988430194</v>
      </c>
      <c r="CV89" s="668">
        <f t="shared" si="289"/>
        <v>-10.655104156848118</v>
      </c>
      <c r="CW89" s="668">
        <f t="shared" si="289"/>
        <v>-43.769826632238939</v>
      </c>
      <c r="CX89" s="668">
        <f t="shared" si="289"/>
        <v>-81.591155858256599</v>
      </c>
      <c r="CY89" s="669">
        <f t="shared" si="289"/>
        <v>-91.055155875299775</v>
      </c>
      <c r="DA89" s="668"/>
      <c r="DB89" s="668"/>
      <c r="DC89" s="668"/>
      <c r="DD89" s="668"/>
      <c r="DE89" s="668"/>
      <c r="DF89" s="668"/>
      <c r="DG89" s="668"/>
      <c r="DH89" s="668"/>
      <c r="DI89" s="668"/>
      <c r="DJ89" s="668">
        <f t="shared" ref="DJ89:ED89" si="290">DI88+DJ88</f>
        <v>-12.68689523019421</v>
      </c>
      <c r="DK89" s="668">
        <f t="shared" si="290"/>
        <v>-358.81973683995773</v>
      </c>
      <c r="DL89" s="668">
        <f t="shared" si="290"/>
        <v>-1381.9137821935274</v>
      </c>
      <c r="DM89" s="668">
        <f t="shared" si="290"/>
        <v>-294.64761450334981</v>
      </c>
      <c r="DN89" s="668">
        <f t="shared" si="290"/>
        <v>834.96365703412584</v>
      </c>
      <c r="DO89" s="668">
        <f t="shared" si="290"/>
        <v>-224.55673601034016</v>
      </c>
      <c r="DP89" s="668">
        <f t="shared" si="290"/>
        <v>-724.49416267493984</v>
      </c>
      <c r="DQ89" s="668">
        <f t="shared" si="290"/>
        <v>185.53194481477715</v>
      </c>
      <c r="DR89" s="668">
        <f t="shared" si="290"/>
        <v>951.46154323176415</v>
      </c>
      <c r="DS89" s="668">
        <f t="shared" si="290"/>
        <v>302.77197234213224</v>
      </c>
      <c r="DT89" s="668">
        <f t="shared" si="290"/>
        <v>428.74926510640603</v>
      </c>
      <c r="DU89" s="668">
        <f t="shared" si="290"/>
        <v>528.06788060451436</v>
      </c>
      <c r="DV89" s="668">
        <f t="shared" si="290"/>
        <v>369.67090366033796</v>
      </c>
      <c r="DW89" s="668">
        <f t="shared" si="290"/>
        <v>190.21759832217654</v>
      </c>
      <c r="DX89" s="668">
        <f t="shared" si="290"/>
        <v>78.672444778135343</v>
      </c>
      <c r="DY89" s="668">
        <f t="shared" si="290"/>
        <v>-56.039455965728735</v>
      </c>
      <c r="DZ89" s="668">
        <f t="shared" si="290"/>
        <v>-62.124510230735787</v>
      </c>
      <c r="EA89" s="668">
        <f t="shared" si="290"/>
        <v>-68.168451863545869</v>
      </c>
      <c r="EB89" s="668">
        <f t="shared" si="290"/>
        <v>-100.00000000000009</v>
      </c>
      <c r="EC89" s="668">
        <f t="shared" si="290"/>
        <v>-100.00000000000009</v>
      </c>
      <c r="ED89" s="668">
        <f t="shared" si="290"/>
        <v>-100.00000000000009</v>
      </c>
      <c r="EE89" s="666"/>
    </row>
    <row r="90" spans="1:136" s="670" customFormat="1" ht="15">
      <c r="A90" s="193"/>
      <c r="B90" s="665" t="s">
        <v>306</v>
      </c>
      <c r="C90" s="666"/>
      <c r="D90" s="667"/>
      <c r="E90" s="668"/>
      <c r="F90" s="668"/>
      <c r="G90" s="669"/>
      <c r="H90" s="668"/>
      <c r="I90" s="668"/>
      <c r="J90" s="668"/>
      <c r="K90" s="669"/>
      <c r="L90" s="668"/>
      <c r="M90" s="668"/>
      <c r="N90" s="668"/>
      <c r="O90" s="669"/>
      <c r="P90" s="668"/>
      <c r="Q90" s="668"/>
      <c r="R90" s="668"/>
      <c r="S90" s="669"/>
      <c r="T90" s="668"/>
      <c r="U90" s="668"/>
      <c r="V90" s="668"/>
      <c r="W90" s="669"/>
      <c r="X90" s="668"/>
      <c r="Y90" s="668"/>
      <c r="Z90" s="668"/>
      <c r="AA90" s="669"/>
      <c r="AB90" s="668"/>
      <c r="AC90" s="668">
        <f>AC85-AB85</f>
        <v>-1.8000000000000114</v>
      </c>
      <c r="AD90" s="668">
        <f>AD85-AC85</f>
        <v>-26.699999999999996</v>
      </c>
      <c r="AE90" s="669"/>
      <c r="AF90" s="668"/>
      <c r="AG90" s="668">
        <f t="shared" ref="AG90:BL90" si="291">AG85-AF85</f>
        <v>-9.1000000000000014</v>
      </c>
      <c r="AH90" s="668">
        <f t="shared" si="291"/>
        <v>-5.5</v>
      </c>
      <c r="AI90" s="669">
        <f t="shared" si="291"/>
        <v>18.300000000000011</v>
      </c>
      <c r="AJ90" s="668">
        <f t="shared" si="291"/>
        <v>2.7999999999999901</v>
      </c>
      <c r="AK90" s="668">
        <f t="shared" si="291"/>
        <v>3.6999999999999957</v>
      </c>
      <c r="AL90" s="668">
        <f t="shared" si="291"/>
        <v>0.30000000000000426</v>
      </c>
      <c r="AM90" s="669">
        <f t="shared" si="291"/>
        <v>-0.60000000000000142</v>
      </c>
      <c r="AN90" s="668">
        <f t="shared" si="291"/>
        <v>-6.6000000000000014</v>
      </c>
      <c r="AO90" s="668">
        <f t="shared" si="291"/>
        <v>-1.1000000000000014</v>
      </c>
      <c r="AP90" s="668">
        <f t="shared" si="291"/>
        <v>-7</v>
      </c>
      <c r="AQ90" s="669">
        <f t="shared" si="291"/>
        <v>7.5000000000000142</v>
      </c>
      <c r="AR90" s="668">
        <f t="shared" si="291"/>
        <v>7.9999999999999858</v>
      </c>
      <c r="AS90" s="668">
        <f t="shared" si="291"/>
        <v>-9.9999999999994316E-2</v>
      </c>
      <c r="AT90" s="668">
        <f t="shared" si="291"/>
        <v>-17</v>
      </c>
      <c r="AU90" s="669">
        <f t="shared" si="291"/>
        <v>8.0000000000000142</v>
      </c>
      <c r="AV90" s="668">
        <f t="shared" si="291"/>
        <v>8.0999999999999801</v>
      </c>
      <c r="AW90" s="668">
        <f t="shared" si="291"/>
        <v>2.6000000000000014</v>
      </c>
      <c r="AX90" s="668">
        <f t="shared" si="291"/>
        <v>-19</v>
      </c>
      <c r="AY90" s="669">
        <f t="shared" si="291"/>
        <v>-344</v>
      </c>
      <c r="AZ90" s="668">
        <f t="shared" si="291"/>
        <v>358.20000000000005</v>
      </c>
      <c r="BA90" s="668">
        <f t="shared" si="291"/>
        <v>-5.6000000000000014</v>
      </c>
      <c r="BB90" s="668">
        <f t="shared" si="291"/>
        <v>-27</v>
      </c>
      <c r="BC90" s="669">
        <f t="shared" si="291"/>
        <v>-6.1000000000000014</v>
      </c>
      <c r="BD90" s="668">
        <f t="shared" si="291"/>
        <v>20.100000000000001</v>
      </c>
      <c r="BE90" s="668">
        <f t="shared" si="291"/>
        <v>1.1000000000000014</v>
      </c>
      <c r="BF90" s="668">
        <f t="shared" si="291"/>
        <v>-24.8</v>
      </c>
      <c r="BG90" s="669">
        <f t="shared" si="291"/>
        <v>7.3000000000000007</v>
      </c>
      <c r="BH90" s="668">
        <f t="shared" si="291"/>
        <v>20.999999999999993</v>
      </c>
      <c r="BI90" s="668">
        <f t="shared" si="291"/>
        <v>-1.4999999999999929</v>
      </c>
      <c r="BJ90" s="668">
        <f t="shared" si="291"/>
        <v>-28.700000000000003</v>
      </c>
      <c r="BK90" s="669">
        <f t="shared" si="291"/>
        <v>-30.399999999999991</v>
      </c>
      <c r="BL90" s="668">
        <f t="shared" si="291"/>
        <v>-33.700000000000003</v>
      </c>
      <c r="BM90" s="668">
        <f t="shared" ref="BM90:CY90" si="292">BM85-BL85</f>
        <v>16.499999999999993</v>
      </c>
      <c r="BN90" s="668">
        <f t="shared" si="292"/>
        <v>38.200000000000003</v>
      </c>
      <c r="BO90" s="669">
        <f t="shared" si="292"/>
        <v>12.3</v>
      </c>
      <c r="BP90" s="668">
        <f t="shared" si="292"/>
        <v>16.7</v>
      </c>
      <c r="BQ90" s="668">
        <f t="shared" si="292"/>
        <v>1.2999999999999972</v>
      </c>
      <c r="BR90" s="668">
        <f t="shared" si="292"/>
        <v>-7.1999999999999957</v>
      </c>
      <c r="BS90" s="669">
        <f t="shared" si="292"/>
        <v>4.0999999999999979</v>
      </c>
      <c r="BT90" s="668">
        <f t="shared" si="292"/>
        <v>14.8</v>
      </c>
      <c r="BU90" s="668">
        <f t="shared" si="292"/>
        <v>5.1000000000000014</v>
      </c>
      <c r="BV90" s="668">
        <f t="shared" si="292"/>
        <v>-8.2000000000000028</v>
      </c>
      <c r="BW90" s="669">
        <f t="shared" si="292"/>
        <v>11.100000000000001</v>
      </c>
      <c r="BX90" s="668">
        <f t="shared" si="292"/>
        <v>1.3000000000000043</v>
      </c>
      <c r="BY90" s="668">
        <f t="shared" si="292"/>
        <v>5.2999999999999972</v>
      </c>
      <c r="BZ90" s="668">
        <f t="shared" si="292"/>
        <v>14.899999999999999</v>
      </c>
      <c r="CA90" s="669">
        <f t="shared" si="292"/>
        <v>6.5</v>
      </c>
      <c r="CB90" s="668">
        <f t="shared" si="292"/>
        <v>9.2000000000000028</v>
      </c>
      <c r="CC90" s="668">
        <f t="shared" si="292"/>
        <v>11.700000000000003</v>
      </c>
      <c r="CD90" s="668">
        <f t="shared" si="292"/>
        <v>10.799999999999997</v>
      </c>
      <c r="CE90" s="669">
        <f t="shared" si="292"/>
        <v>11.899999999999991</v>
      </c>
      <c r="CF90" s="668">
        <f t="shared" si="292"/>
        <v>15.200000000000017</v>
      </c>
      <c r="CG90" s="668">
        <f t="shared" si="292"/>
        <v>3.1999999999999886</v>
      </c>
      <c r="CH90" s="668">
        <f t="shared" si="292"/>
        <v>-3.5</v>
      </c>
      <c r="CI90" s="669">
        <f t="shared" si="292"/>
        <v>7.3000000000000114</v>
      </c>
      <c r="CJ90" s="668">
        <f t="shared" si="292"/>
        <v>-8.4000000000000057</v>
      </c>
      <c r="CK90" s="668">
        <f t="shared" si="292"/>
        <v>9</v>
      </c>
      <c r="CL90" s="668">
        <f t="shared" si="292"/>
        <v>-10.5</v>
      </c>
      <c r="CM90" s="669">
        <f t="shared" si="292"/>
        <v>11.400000000000006</v>
      </c>
      <c r="CN90" s="668">
        <f t="shared" si="292"/>
        <v>6.0999999999999943</v>
      </c>
      <c r="CO90" s="668">
        <f t="shared" si="292"/>
        <v>7</v>
      </c>
      <c r="CP90" s="668">
        <f t="shared" si="292"/>
        <v>-10.800000000000011</v>
      </c>
      <c r="CQ90" s="669">
        <f t="shared" si="292"/>
        <v>4.3000000000000114</v>
      </c>
      <c r="CR90" s="668">
        <f t="shared" si="292"/>
        <v>13.699999999999989</v>
      </c>
      <c r="CS90" s="668">
        <f t="shared" si="292"/>
        <v>-4.5</v>
      </c>
      <c r="CT90" s="668">
        <f t="shared" si="292"/>
        <v>-3.1999999999999886</v>
      </c>
      <c r="CU90" s="669">
        <f t="shared" si="292"/>
        <v>19.199999999999989</v>
      </c>
      <c r="CV90" s="668">
        <f t="shared" si="292"/>
        <v>1.2640856908913349</v>
      </c>
      <c r="CW90" s="668">
        <f t="shared" si="292"/>
        <v>1.4528285731961148</v>
      </c>
      <c r="CX90" s="668">
        <f t="shared" si="292"/>
        <v>-14.719998982633456</v>
      </c>
      <c r="CY90" s="669">
        <f t="shared" si="292"/>
        <v>-3.2190086434317493</v>
      </c>
      <c r="DA90" s="668"/>
      <c r="DB90" s="668"/>
      <c r="DC90" s="668"/>
      <c r="DD90" s="668"/>
      <c r="DE90" s="668"/>
      <c r="DF90" s="668"/>
      <c r="DG90" s="668"/>
      <c r="DH90" s="668"/>
      <c r="DI90" s="668"/>
      <c r="DJ90" s="668"/>
      <c r="DK90" s="668"/>
      <c r="DL90" s="668"/>
      <c r="DM90" s="668"/>
      <c r="DN90" s="668"/>
      <c r="DO90" s="668"/>
      <c r="DP90" s="668"/>
      <c r="DQ90" s="668"/>
      <c r="DR90" s="668"/>
      <c r="DS90" s="668"/>
      <c r="DT90" s="668"/>
      <c r="DU90" s="668"/>
      <c r="DV90" s="668"/>
      <c r="DW90" s="668"/>
      <c r="DX90" s="668"/>
      <c r="DY90" s="668"/>
      <c r="DZ90" s="356"/>
      <c r="EA90" s="356"/>
      <c r="EB90" s="356"/>
      <c r="EC90" s="356"/>
      <c r="ED90" s="356"/>
      <c r="EE90" s="666"/>
    </row>
    <row r="91" spans="1:136" s="670" customFormat="1" ht="15">
      <c r="A91" s="231"/>
      <c r="B91" s="665" t="s">
        <v>308</v>
      </c>
      <c r="C91" s="666"/>
      <c r="D91" s="667"/>
      <c r="E91" s="668"/>
      <c r="F91" s="668"/>
      <c r="G91" s="669"/>
      <c r="H91" s="668"/>
      <c r="I91" s="668"/>
      <c r="J91" s="668"/>
      <c r="K91" s="669"/>
      <c r="L91" s="668"/>
      <c r="M91" s="668"/>
      <c r="N91" s="668"/>
      <c r="O91" s="669"/>
      <c r="P91" s="668"/>
      <c r="Q91" s="668"/>
      <c r="R91" s="668"/>
      <c r="S91" s="669"/>
      <c r="T91" s="668"/>
      <c r="U91" s="668"/>
      <c r="V91" s="668"/>
      <c r="W91" s="669"/>
      <c r="X91" s="668"/>
      <c r="Y91" s="668"/>
      <c r="Z91" s="668"/>
      <c r="AA91" s="669"/>
      <c r="AB91" s="668"/>
      <c r="AC91" s="668"/>
      <c r="AD91" s="668"/>
      <c r="AE91" s="669"/>
      <c r="AF91" s="668">
        <f>AF85-AB85</f>
        <v>-28.800000000000004</v>
      </c>
      <c r="AG91" s="668">
        <f>AG85-AC85</f>
        <v>-36.099999999999994</v>
      </c>
      <c r="AH91" s="668">
        <f>AH85-AD85</f>
        <v>-14.899999999999999</v>
      </c>
      <c r="AI91" s="669"/>
      <c r="AJ91" s="668">
        <f t="shared" ref="AJ91:BO91" si="293">AJ85-AF85</f>
        <v>6.5</v>
      </c>
      <c r="AK91" s="668">
        <f t="shared" si="293"/>
        <v>19.299999999999997</v>
      </c>
      <c r="AL91" s="668">
        <f t="shared" si="293"/>
        <v>25.1</v>
      </c>
      <c r="AM91" s="669">
        <f t="shared" si="293"/>
        <v>6.1999999999999886</v>
      </c>
      <c r="AN91" s="668">
        <f t="shared" si="293"/>
        <v>-3.2000000000000028</v>
      </c>
      <c r="AO91" s="668">
        <f t="shared" si="293"/>
        <v>-8</v>
      </c>
      <c r="AP91" s="668">
        <f t="shared" si="293"/>
        <v>-15.300000000000004</v>
      </c>
      <c r="AQ91" s="669">
        <f t="shared" si="293"/>
        <v>-7.1999999999999886</v>
      </c>
      <c r="AR91" s="668">
        <f t="shared" si="293"/>
        <v>7.3999999999999986</v>
      </c>
      <c r="AS91" s="668">
        <f t="shared" si="293"/>
        <v>8.4000000000000057</v>
      </c>
      <c r="AT91" s="668">
        <f t="shared" si="293"/>
        <v>-1.5999999999999943</v>
      </c>
      <c r="AU91" s="669">
        <f t="shared" si="293"/>
        <v>-1.0999999999999943</v>
      </c>
      <c r="AV91" s="668">
        <f t="shared" si="293"/>
        <v>-1</v>
      </c>
      <c r="AW91" s="668">
        <f t="shared" si="293"/>
        <v>1.6999999999999957</v>
      </c>
      <c r="AX91" s="668">
        <f t="shared" si="293"/>
        <v>-0.30000000000000426</v>
      </c>
      <c r="AY91" s="669">
        <f t="shared" si="293"/>
        <v>-352.30000000000007</v>
      </c>
      <c r="AZ91" s="668">
        <f t="shared" si="293"/>
        <v>-2.1999999999999957</v>
      </c>
      <c r="BA91" s="668">
        <f t="shared" si="293"/>
        <v>-10.399999999999999</v>
      </c>
      <c r="BB91" s="668">
        <f t="shared" si="293"/>
        <v>-18.399999999999999</v>
      </c>
      <c r="BC91" s="669">
        <f t="shared" si="293"/>
        <v>319.5</v>
      </c>
      <c r="BD91" s="668">
        <f t="shared" si="293"/>
        <v>-18.600000000000001</v>
      </c>
      <c r="BE91" s="668">
        <f t="shared" si="293"/>
        <v>-11.899999999999999</v>
      </c>
      <c r="BF91" s="668">
        <f t="shared" si="293"/>
        <v>-9.6999999999999993</v>
      </c>
      <c r="BG91" s="669">
        <f t="shared" si="293"/>
        <v>3.7000000000000028</v>
      </c>
      <c r="BH91" s="668">
        <f t="shared" si="293"/>
        <v>4.5999999999999943</v>
      </c>
      <c r="BI91" s="668">
        <f t="shared" si="293"/>
        <v>2</v>
      </c>
      <c r="BJ91" s="668">
        <f t="shared" si="293"/>
        <v>-1.9000000000000004</v>
      </c>
      <c r="BK91" s="669">
        <f t="shared" si="293"/>
        <v>-39.599999999999994</v>
      </c>
      <c r="BL91" s="668">
        <f t="shared" si="293"/>
        <v>-94.299999999999983</v>
      </c>
      <c r="BM91" s="668">
        <f t="shared" si="293"/>
        <v>-76.300000000000011</v>
      </c>
      <c r="BN91" s="668">
        <f t="shared" si="293"/>
        <v>-9.4</v>
      </c>
      <c r="BO91" s="669">
        <f t="shared" si="293"/>
        <v>33.299999999999997</v>
      </c>
      <c r="BP91" s="668">
        <f t="shared" ref="BP91:CY91" si="294">BP85-BL85</f>
        <v>83.699999999999989</v>
      </c>
      <c r="BQ91" s="668">
        <f t="shared" si="294"/>
        <v>68.5</v>
      </c>
      <c r="BR91" s="668">
        <f t="shared" si="294"/>
        <v>23.1</v>
      </c>
      <c r="BS91" s="669">
        <f t="shared" si="294"/>
        <v>14.899999999999999</v>
      </c>
      <c r="BT91" s="668">
        <f t="shared" si="294"/>
        <v>13</v>
      </c>
      <c r="BU91" s="668">
        <f t="shared" si="294"/>
        <v>16.800000000000004</v>
      </c>
      <c r="BV91" s="668">
        <f t="shared" si="294"/>
        <v>15.799999999999997</v>
      </c>
      <c r="BW91" s="669">
        <f t="shared" si="294"/>
        <v>22.8</v>
      </c>
      <c r="BX91" s="668">
        <f t="shared" si="294"/>
        <v>9.3000000000000043</v>
      </c>
      <c r="BY91" s="668">
        <f t="shared" si="294"/>
        <v>9.5</v>
      </c>
      <c r="BZ91" s="668">
        <f t="shared" si="294"/>
        <v>32.6</v>
      </c>
      <c r="CA91" s="669">
        <f t="shared" si="294"/>
        <v>28</v>
      </c>
      <c r="CB91" s="668">
        <f t="shared" si="294"/>
        <v>35.9</v>
      </c>
      <c r="CC91" s="668">
        <f t="shared" si="294"/>
        <v>42.300000000000004</v>
      </c>
      <c r="CD91" s="668">
        <f t="shared" si="294"/>
        <v>38.200000000000003</v>
      </c>
      <c r="CE91" s="669">
        <f t="shared" si="294"/>
        <v>43.599999999999994</v>
      </c>
      <c r="CF91" s="668">
        <f t="shared" si="294"/>
        <v>49.600000000000009</v>
      </c>
      <c r="CG91" s="668">
        <f t="shared" si="294"/>
        <v>41.099999999999994</v>
      </c>
      <c r="CH91" s="668">
        <f t="shared" si="294"/>
        <v>26.799999999999997</v>
      </c>
      <c r="CI91" s="669">
        <f t="shared" si="294"/>
        <v>22.200000000000017</v>
      </c>
      <c r="CJ91" s="668">
        <f t="shared" si="294"/>
        <v>-1.4000000000000057</v>
      </c>
      <c r="CK91" s="668">
        <f t="shared" si="294"/>
        <v>4.4000000000000057</v>
      </c>
      <c r="CL91" s="668">
        <f t="shared" si="294"/>
        <v>-2.5999999999999943</v>
      </c>
      <c r="CM91" s="669">
        <f t="shared" si="294"/>
        <v>1.5</v>
      </c>
      <c r="CN91" s="668">
        <f t="shared" si="294"/>
        <v>16</v>
      </c>
      <c r="CO91" s="668">
        <f t="shared" si="294"/>
        <v>14</v>
      </c>
      <c r="CP91" s="668">
        <f t="shared" si="294"/>
        <v>13.699999999999989</v>
      </c>
      <c r="CQ91" s="669">
        <f t="shared" si="294"/>
        <v>6.5999999999999943</v>
      </c>
      <c r="CR91" s="668">
        <f t="shared" si="294"/>
        <v>14.199999999999989</v>
      </c>
      <c r="CS91" s="668">
        <f t="shared" si="294"/>
        <v>2.6999999999999886</v>
      </c>
      <c r="CT91" s="668">
        <f t="shared" si="294"/>
        <v>10.300000000000011</v>
      </c>
      <c r="CU91" s="669">
        <f t="shared" si="294"/>
        <v>25.199999999999989</v>
      </c>
      <c r="CV91" s="668">
        <f t="shared" si="294"/>
        <v>12.764085690891335</v>
      </c>
      <c r="CW91" s="668">
        <f t="shared" si="294"/>
        <v>18.71691426408745</v>
      </c>
      <c r="CX91" s="668">
        <f t="shared" si="294"/>
        <v>7.1969152814539825</v>
      </c>
      <c r="CY91" s="669">
        <f t="shared" si="294"/>
        <v>-15.222093361977755</v>
      </c>
      <c r="DA91" s="668"/>
      <c r="DB91" s="668"/>
      <c r="DC91" s="668"/>
      <c r="DD91" s="668"/>
      <c r="DE91" s="668"/>
      <c r="DF91" s="668"/>
      <c r="DG91" s="668"/>
      <c r="DH91" s="668"/>
      <c r="DI91" s="668">
        <f t="shared" ref="DI91:ED91" si="295">DI85-DH85</f>
        <v>57.099999999999994</v>
      </c>
      <c r="DJ91" s="668">
        <f t="shared" si="295"/>
        <v>-33.699999999999989</v>
      </c>
      <c r="DK91" s="668">
        <f t="shared" si="295"/>
        <v>13.099999999999994</v>
      </c>
      <c r="DL91" s="668">
        <f t="shared" si="295"/>
        <v>-351.90000000000003</v>
      </c>
      <c r="DM91" s="668">
        <f t="shared" si="295"/>
        <v>288.5</v>
      </c>
      <c r="DN91" s="668">
        <f t="shared" si="295"/>
        <v>-36.5</v>
      </c>
      <c r="DO91" s="668">
        <f t="shared" si="295"/>
        <v>-34.900000000000006</v>
      </c>
      <c r="DP91" s="668">
        <f t="shared" si="295"/>
        <v>-146.69999999999999</v>
      </c>
      <c r="DQ91" s="668">
        <f t="shared" si="295"/>
        <v>190.20000000000002</v>
      </c>
      <c r="DR91" s="668">
        <f t="shared" si="295"/>
        <v>68.399999999999991</v>
      </c>
      <c r="DS91" s="668">
        <f t="shared" si="295"/>
        <v>79.399999999999977</v>
      </c>
      <c r="DT91" s="668">
        <f t="shared" si="295"/>
        <v>160</v>
      </c>
      <c r="DU91" s="668">
        <f t="shared" si="295"/>
        <v>139.70000000000005</v>
      </c>
      <c r="DV91" s="668">
        <f t="shared" si="295"/>
        <v>1.8999999999999773</v>
      </c>
      <c r="DW91" s="668">
        <f t="shared" si="295"/>
        <v>50.299999999999955</v>
      </c>
      <c r="DX91" s="668">
        <f t="shared" si="295"/>
        <v>52.400000000000091</v>
      </c>
      <c r="DY91" s="668">
        <f t="shared" si="295"/>
        <v>23.455821874455069</v>
      </c>
      <c r="DZ91" s="668">
        <f t="shared" si="295"/>
        <v>20.287386333070913</v>
      </c>
      <c r="EA91" s="668">
        <f t="shared" si="295"/>
        <v>4.9434518298668308</v>
      </c>
      <c r="EB91" s="668">
        <f t="shared" si="295"/>
        <v>6.5940019897758475</v>
      </c>
      <c r="EC91" s="668">
        <f t="shared" si="295"/>
        <v>3.3955485182528946</v>
      </c>
      <c r="ED91" s="668">
        <f t="shared" si="295"/>
        <v>-0.9575168762978592</v>
      </c>
      <c r="EE91" s="666"/>
    </row>
    <row r="92" spans="1:136" s="670" customFormat="1" ht="15">
      <c r="A92" s="231"/>
      <c r="B92" s="665" t="s">
        <v>309</v>
      </c>
      <c r="C92" s="666"/>
      <c r="D92" s="667"/>
      <c r="E92" s="668"/>
      <c r="F92" s="668"/>
      <c r="G92" s="669"/>
      <c r="H92" s="668"/>
      <c r="I92" s="668"/>
      <c r="J92" s="668"/>
      <c r="K92" s="669"/>
      <c r="L92" s="668"/>
      <c r="M92" s="668"/>
      <c r="N92" s="668"/>
      <c r="O92" s="669"/>
      <c r="P92" s="668"/>
      <c r="Q92" s="668"/>
      <c r="R92" s="668"/>
      <c r="S92" s="669"/>
      <c r="T92" s="668"/>
      <c r="U92" s="668"/>
      <c r="V92" s="668"/>
      <c r="W92" s="669"/>
      <c r="X92" s="668"/>
      <c r="Y92" s="668"/>
      <c r="Z92" s="668"/>
      <c r="AA92" s="669"/>
      <c r="AB92" s="668"/>
      <c r="AC92" s="668"/>
      <c r="AD92" s="668"/>
      <c r="AE92" s="669"/>
      <c r="AF92" s="668"/>
      <c r="AG92" s="668"/>
      <c r="AH92" s="668"/>
      <c r="AI92" s="669"/>
      <c r="AJ92" s="668">
        <f>AF91+AJ91</f>
        <v>-22.300000000000004</v>
      </c>
      <c r="AK92" s="668">
        <f>AG91+AK91</f>
        <v>-16.799999999999997</v>
      </c>
      <c r="AL92" s="668">
        <f>AH91+AL91</f>
        <v>10.200000000000003</v>
      </c>
      <c r="AM92" s="669"/>
      <c r="AN92" s="668">
        <f t="shared" ref="AN92:BS92" si="296">AJ91+AN91</f>
        <v>3.2999999999999972</v>
      </c>
      <c r="AO92" s="668">
        <f t="shared" si="296"/>
        <v>11.299999999999997</v>
      </c>
      <c r="AP92" s="668">
        <f t="shared" si="296"/>
        <v>9.7999999999999972</v>
      </c>
      <c r="AQ92" s="669">
        <f t="shared" si="296"/>
        <v>-1</v>
      </c>
      <c r="AR92" s="668">
        <f t="shared" si="296"/>
        <v>4.1999999999999957</v>
      </c>
      <c r="AS92" s="668">
        <f t="shared" si="296"/>
        <v>0.40000000000000568</v>
      </c>
      <c r="AT92" s="668">
        <f t="shared" si="296"/>
        <v>-16.899999999999999</v>
      </c>
      <c r="AU92" s="669">
        <f t="shared" si="296"/>
        <v>-8.2999999999999829</v>
      </c>
      <c r="AV92" s="668">
        <f t="shared" si="296"/>
        <v>6.3999999999999986</v>
      </c>
      <c r="AW92" s="668">
        <f t="shared" si="296"/>
        <v>10.100000000000001</v>
      </c>
      <c r="AX92" s="668">
        <f t="shared" si="296"/>
        <v>-1.8999999999999986</v>
      </c>
      <c r="AY92" s="669">
        <f t="shared" si="296"/>
        <v>-353.40000000000009</v>
      </c>
      <c r="AZ92" s="668">
        <f t="shared" si="296"/>
        <v>-3.1999999999999957</v>
      </c>
      <c r="BA92" s="668">
        <f t="shared" si="296"/>
        <v>-8.7000000000000028</v>
      </c>
      <c r="BB92" s="668">
        <f t="shared" si="296"/>
        <v>-18.700000000000003</v>
      </c>
      <c r="BC92" s="669">
        <f t="shared" si="296"/>
        <v>-32.800000000000068</v>
      </c>
      <c r="BD92" s="668">
        <f t="shared" si="296"/>
        <v>-20.799999999999997</v>
      </c>
      <c r="BE92" s="668">
        <f t="shared" si="296"/>
        <v>-22.299999999999997</v>
      </c>
      <c r="BF92" s="668">
        <f t="shared" si="296"/>
        <v>-28.099999999999998</v>
      </c>
      <c r="BG92" s="669">
        <f t="shared" si="296"/>
        <v>323.2</v>
      </c>
      <c r="BH92" s="668">
        <f t="shared" si="296"/>
        <v>-14.000000000000007</v>
      </c>
      <c r="BI92" s="668">
        <f t="shared" si="296"/>
        <v>-9.8999999999999986</v>
      </c>
      <c r="BJ92" s="668">
        <f t="shared" si="296"/>
        <v>-11.6</v>
      </c>
      <c r="BK92" s="669">
        <f t="shared" si="296"/>
        <v>-35.899999999999991</v>
      </c>
      <c r="BL92" s="668">
        <f t="shared" si="296"/>
        <v>-89.699999999999989</v>
      </c>
      <c r="BM92" s="668">
        <f t="shared" si="296"/>
        <v>-74.300000000000011</v>
      </c>
      <c r="BN92" s="668">
        <f t="shared" si="296"/>
        <v>-11.3</v>
      </c>
      <c r="BO92" s="669">
        <f t="shared" si="296"/>
        <v>-6.2999999999999972</v>
      </c>
      <c r="BP92" s="668">
        <f t="shared" si="296"/>
        <v>-10.599999999999994</v>
      </c>
      <c r="BQ92" s="668">
        <f t="shared" si="296"/>
        <v>-7.8000000000000114</v>
      </c>
      <c r="BR92" s="668">
        <f t="shared" si="296"/>
        <v>13.700000000000001</v>
      </c>
      <c r="BS92" s="669">
        <f t="shared" si="296"/>
        <v>48.199999999999996</v>
      </c>
      <c r="BT92" s="668">
        <f t="shared" ref="BT92:CY92" si="297">BP91+BT91</f>
        <v>96.699999999999989</v>
      </c>
      <c r="BU92" s="668">
        <f t="shared" si="297"/>
        <v>85.300000000000011</v>
      </c>
      <c r="BV92" s="668">
        <f t="shared" si="297"/>
        <v>38.9</v>
      </c>
      <c r="BW92" s="669">
        <f t="shared" si="297"/>
        <v>37.700000000000003</v>
      </c>
      <c r="BX92" s="668">
        <f t="shared" si="297"/>
        <v>22.300000000000004</v>
      </c>
      <c r="BY92" s="668">
        <f t="shared" si="297"/>
        <v>26.300000000000004</v>
      </c>
      <c r="BZ92" s="668">
        <f t="shared" si="297"/>
        <v>48.4</v>
      </c>
      <c r="CA92" s="669">
        <f t="shared" si="297"/>
        <v>50.8</v>
      </c>
      <c r="CB92" s="668">
        <f t="shared" si="297"/>
        <v>45.2</v>
      </c>
      <c r="CC92" s="668">
        <f t="shared" si="297"/>
        <v>51.800000000000004</v>
      </c>
      <c r="CD92" s="668">
        <f t="shared" si="297"/>
        <v>70.800000000000011</v>
      </c>
      <c r="CE92" s="669">
        <f t="shared" si="297"/>
        <v>71.599999999999994</v>
      </c>
      <c r="CF92" s="668">
        <f t="shared" si="297"/>
        <v>85.5</v>
      </c>
      <c r="CG92" s="668">
        <f t="shared" si="297"/>
        <v>83.4</v>
      </c>
      <c r="CH92" s="668">
        <f t="shared" si="297"/>
        <v>65</v>
      </c>
      <c r="CI92" s="669">
        <f t="shared" si="297"/>
        <v>65.800000000000011</v>
      </c>
      <c r="CJ92" s="668">
        <f t="shared" si="297"/>
        <v>48.2</v>
      </c>
      <c r="CK92" s="668">
        <f t="shared" si="297"/>
        <v>45.5</v>
      </c>
      <c r="CL92" s="668">
        <f t="shared" si="297"/>
        <v>24.200000000000003</v>
      </c>
      <c r="CM92" s="669">
        <f t="shared" si="297"/>
        <v>23.700000000000017</v>
      </c>
      <c r="CN92" s="668">
        <f t="shared" si="297"/>
        <v>14.599999999999994</v>
      </c>
      <c r="CO92" s="668">
        <f t="shared" si="297"/>
        <v>18.400000000000006</v>
      </c>
      <c r="CP92" s="668">
        <f t="shared" si="297"/>
        <v>11.099999999999994</v>
      </c>
      <c r="CQ92" s="669">
        <f t="shared" si="297"/>
        <v>8.0999999999999943</v>
      </c>
      <c r="CR92" s="668">
        <f t="shared" si="297"/>
        <v>30.199999999999989</v>
      </c>
      <c r="CS92" s="668">
        <f t="shared" si="297"/>
        <v>16.699999999999989</v>
      </c>
      <c r="CT92" s="668">
        <f t="shared" si="297"/>
        <v>24</v>
      </c>
      <c r="CU92" s="669">
        <f t="shared" si="297"/>
        <v>31.799999999999983</v>
      </c>
      <c r="CV92" s="668">
        <f t="shared" si="297"/>
        <v>26.964085690891324</v>
      </c>
      <c r="CW92" s="668">
        <f t="shared" si="297"/>
        <v>21.416914264087438</v>
      </c>
      <c r="CX92" s="668">
        <f t="shared" si="297"/>
        <v>17.496915281453994</v>
      </c>
      <c r="CY92" s="669">
        <f t="shared" si="297"/>
        <v>9.9779066380222332</v>
      </c>
      <c r="DA92" s="668"/>
      <c r="DB92" s="668"/>
      <c r="DC92" s="668"/>
      <c r="DD92" s="668"/>
      <c r="DE92" s="668"/>
      <c r="DF92" s="668"/>
      <c r="DG92" s="668"/>
      <c r="DH92" s="668"/>
      <c r="DI92" s="668"/>
      <c r="DJ92" s="668">
        <f t="shared" ref="DJ92:ED92" si="298">DI91+DJ91</f>
        <v>23.400000000000006</v>
      </c>
      <c r="DK92" s="668">
        <f t="shared" si="298"/>
        <v>-20.599999999999994</v>
      </c>
      <c r="DL92" s="668">
        <f t="shared" si="298"/>
        <v>-338.80000000000007</v>
      </c>
      <c r="DM92" s="668">
        <f t="shared" si="298"/>
        <v>-63.400000000000034</v>
      </c>
      <c r="DN92" s="668">
        <f t="shared" si="298"/>
        <v>252</v>
      </c>
      <c r="DO92" s="668">
        <f t="shared" si="298"/>
        <v>-71.400000000000006</v>
      </c>
      <c r="DP92" s="668">
        <f t="shared" si="298"/>
        <v>-181.6</v>
      </c>
      <c r="DQ92" s="668">
        <f t="shared" si="298"/>
        <v>43.500000000000028</v>
      </c>
      <c r="DR92" s="668">
        <f t="shared" si="298"/>
        <v>258.60000000000002</v>
      </c>
      <c r="DS92" s="668">
        <f t="shared" si="298"/>
        <v>147.79999999999995</v>
      </c>
      <c r="DT92" s="668">
        <f t="shared" si="298"/>
        <v>239.39999999999998</v>
      </c>
      <c r="DU92" s="668">
        <f t="shared" si="298"/>
        <v>299.70000000000005</v>
      </c>
      <c r="DV92" s="668">
        <f t="shared" si="298"/>
        <v>141.60000000000002</v>
      </c>
      <c r="DW92" s="668">
        <f t="shared" si="298"/>
        <v>52.199999999999932</v>
      </c>
      <c r="DX92" s="668">
        <f t="shared" si="298"/>
        <v>102.70000000000005</v>
      </c>
      <c r="DY92" s="668">
        <f t="shared" si="298"/>
        <v>75.85582187445516</v>
      </c>
      <c r="DZ92" s="668">
        <f t="shared" si="298"/>
        <v>43.743208207525981</v>
      </c>
      <c r="EA92" s="668">
        <f t="shared" si="298"/>
        <v>25.230838162937744</v>
      </c>
      <c r="EB92" s="668">
        <f t="shared" si="298"/>
        <v>11.537453819642678</v>
      </c>
      <c r="EC92" s="668">
        <f t="shared" si="298"/>
        <v>9.9895505080287421</v>
      </c>
      <c r="ED92" s="668">
        <f t="shared" si="298"/>
        <v>2.4380316419550354</v>
      </c>
      <c r="EE92" s="666"/>
    </row>
    <row r="93" spans="1:136" s="599" customFormat="1" ht="15">
      <c r="A93" s="133"/>
      <c r="B93" s="304" t="s">
        <v>310</v>
      </c>
      <c r="C93" s="435"/>
      <c r="D93" s="598"/>
      <c r="E93" s="432"/>
      <c r="F93" s="432"/>
      <c r="G93" s="433"/>
      <c r="H93" s="432"/>
      <c r="I93" s="432"/>
      <c r="J93" s="432"/>
      <c r="K93" s="433"/>
      <c r="L93" s="432"/>
      <c r="M93" s="432"/>
      <c r="N93" s="432"/>
      <c r="O93" s="433"/>
      <c r="P93" s="432"/>
      <c r="Q93" s="432"/>
      <c r="R93" s="432"/>
      <c r="S93" s="433"/>
      <c r="T93" s="432"/>
      <c r="U93" s="432"/>
      <c r="V93" s="432"/>
      <c r="W93" s="433"/>
      <c r="X93" s="432"/>
      <c r="Y93" s="432"/>
      <c r="Z93" s="432"/>
      <c r="AA93" s="433"/>
      <c r="AB93" s="432"/>
      <c r="AC93" s="432">
        <f>AC85/AB85-1</f>
        <v>-2.3255813953488524E-2</v>
      </c>
      <c r="AD93" s="432">
        <f>AD85/AC85-1</f>
        <v>-0.35317460317460314</v>
      </c>
      <c r="AE93" s="433"/>
      <c r="AF93" s="432"/>
      <c r="AG93" s="432">
        <f t="shared" ref="AG93:BL93" si="299">AG85/AF85-1</f>
        <v>-0.18724279835390945</v>
      </c>
      <c r="AH93" s="432">
        <f t="shared" si="299"/>
        <v>-0.13924050632911389</v>
      </c>
      <c r="AI93" s="433">
        <f t="shared" si="299"/>
        <v>0.53823529411764737</v>
      </c>
      <c r="AJ93" s="432">
        <f t="shared" si="299"/>
        <v>5.3537284894837223E-2</v>
      </c>
      <c r="AK93" s="432">
        <f t="shared" si="299"/>
        <v>6.7150635208711451E-2</v>
      </c>
      <c r="AL93" s="432">
        <f t="shared" si="299"/>
        <v>5.1020408163267028E-3</v>
      </c>
      <c r="AM93" s="433">
        <f t="shared" si="299"/>
        <v>-1.0152284263959421E-2</v>
      </c>
      <c r="AN93" s="432">
        <f t="shared" si="299"/>
        <v>-0.11282051282051286</v>
      </c>
      <c r="AO93" s="432">
        <f t="shared" si="299"/>
        <v>-2.1194605009633993E-2</v>
      </c>
      <c r="AP93" s="432">
        <f t="shared" si="299"/>
        <v>-0.13779527559055116</v>
      </c>
      <c r="AQ93" s="433">
        <f t="shared" si="299"/>
        <v>0.17123287671232901</v>
      </c>
      <c r="AR93" s="432">
        <f t="shared" si="299"/>
        <v>0.15594541910331361</v>
      </c>
      <c r="AS93" s="432">
        <f t="shared" si="299"/>
        <v>-1.6863406408093029E-3</v>
      </c>
      <c r="AT93" s="432">
        <f t="shared" si="299"/>
        <v>-0.28716216216216217</v>
      </c>
      <c r="AU93" s="433">
        <f t="shared" si="299"/>
        <v>0.18957345971564021</v>
      </c>
      <c r="AV93" s="432">
        <f t="shared" si="299"/>
        <v>0.16135458167330641</v>
      </c>
      <c r="AW93" s="432">
        <f t="shared" si="299"/>
        <v>4.4596912521440935E-2</v>
      </c>
      <c r="AX93" s="432">
        <f t="shared" si="299"/>
        <v>-0.31198686371100159</v>
      </c>
      <c r="AY93" s="433">
        <f t="shared" si="299"/>
        <v>-8.2100238663484504</v>
      </c>
      <c r="AZ93" s="432">
        <f t="shared" si="299"/>
        <v>-1.1857000993048659</v>
      </c>
      <c r="BA93" s="432">
        <f t="shared" si="299"/>
        <v>-9.9821746880570439E-2</v>
      </c>
      <c r="BB93" s="432">
        <f t="shared" si="299"/>
        <v>-0.53465346534653468</v>
      </c>
      <c r="BC93" s="433">
        <f t="shared" si="299"/>
        <v>-0.25957446808510642</v>
      </c>
      <c r="BD93" s="432">
        <f t="shared" si="299"/>
        <v>1.1551724137931036</v>
      </c>
      <c r="BE93" s="432">
        <f t="shared" si="299"/>
        <v>2.9333333333333433E-2</v>
      </c>
      <c r="BF93" s="432">
        <f t="shared" si="299"/>
        <v>-0.64248704663212441</v>
      </c>
      <c r="BG93" s="433">
        <f t="shared" si="299"/>
        <v>0.52898550724637694</v>
      </c>
      <c r="BH93" s="432">
        <f t="shared" si="299"/>
        <v>0.99526066350710862</v>
      </c>
      <c r="BI93" s="432">
        <f t="shared" si="299"/>
        <v>-3.5629453681709999E-2</v>
      </c>
      <c r="BJ93" s="432">
        <f t="shared" si="299"/>
        <v>-0.7068965517241379</v>
      </c>
      <c r="BK93" s="433">
        <f t="shared" si="299"/>
        <v>-2.5546218487394952</v>
      </c>
      <c r="BL93" s="432">
        <f t="shared" si="299"/>
        <v>1.8216216216216226</v>
      </c>
      <c r="BM93" s="432">
        <f t="shared" ref="BM93:CY93" si="300">BM85/BL85-1</f>
        <v>-0.3160919540229884</v>
      </c>
      <c r="BN93" s="432">
        <f t="shared" si="300"/>
        <v>-1.0700280112044818</v>
      </c>
      <c r="BO93" s="433">
        <f t="shared" si="300"/>
        <v>4.92</v>
      </c>
      <c r="BP93" s="432">
        <f t="shared" si="300"/>
        <v>1.1283783783783781</v>
      </c>
      <c r="BQ93" s="432">
        <f t="shared" si="300"/>
        <v>4.1269841269841123E-2</v>
      </c>
      <c r="BR93" s="432">
        <f t="shared" si="300"/>
        <v>-0.21951219512195108</v>
      </c>
      <c r="BS93" s="433">
        <f t="shared" si="300"/>
        <v>0.16015625</v>
      </c>
      <c r="BT93" s="432">
        <f t="shared" si="300"/>
        <v>0.49831649831649827</v>
      </c>
      <c r="BU93" s="432">
        <f t="shared" si="300"/>
        <v>0.11460674157303363</v>
      </c>
      <c r="BV93" s="432">
        <f t="shared" si="300"/>
        <v>-0.16532258064516137</v>
      </c>
      <c r="BW93" s="433">
        <f t="shared" si="300"/>
        <v>0.26811594202898559</v>
      </c>
      <c r="BX93" s="432">
        <f t="shared" si="300"/>
        <v>2.4761904761904763E-2</v>
      </c>
      <c r="BY93" s="432">
        <f t="shared" si="300"/>
        <v>9.8513011152416396E-2</v>
      </c>
      <c r="BZ93" s="432">
        <f t="shared" si="300"/>
        <v>0.25211505922165811</v>
      </c>
      <c r="CA93" s="433">
        <f t="shared" si="300"/>
        <v>8.783783783783794E-2</v>
      </c>
      <c r="CB93" s="432">
        <f t="shared" si="300"/>
        <v>0.11428571428571432</v>
      </c>
      <c r="CC93" s="432">
        <f t="shared" si="300"/>
        <v>0.13043478260869579</v>
      </c>
      <c r="CD93" s="432">
        <f t="shared" si="300"/>
        <v>0.10650887573964485</v>
      </c>
      <c r="CE93" s="433">
        <f t="shared" si="300"/>
        <v>0.10606060606060597</v>
      </c>
      <c r="CF93" s="432">
        <f t="shared" si="300"/>
        <v>0.12248186946011286</v>
      </c>
      <c r="CG93" s="432">
        <f t="shared" si="300"/>
        <v>2.2972002871500363E-2</v>
      </c>
      <c r="CH93" s="432">
        <f t="shared" si="300"/>
        <v>-2.4561403508771895E-2</v>
      </c>
      <c r="CI93" s="433">
        <f t="shared" si="300"/>
        <v>5.2517985611510776E-2</v>
      </c>
      <c r="CJ93" s="432">
        <f t="shared" si="300"/>
        <v>-5.741626794258381E-2</v>
      </c>
      <c r="CK93" s="432">
        <f t="shared" si="300"/>
        <v>6.5264684554024566E-2</v>
      </c>
      <c r="CL93" s="432">
        <f t="shared" si="300"/>
        <v>-7.1477195371000724E-2</v>
      </c>
      <c r="CM93" s="433">
        <f t="shared" si="300"/>
        <v>8.3577712609970822E-2</v>
      </c>
      <c r="CN93" s="432">
        <f t="shared" si="300"/>
        <v>4.1271989174560098E-2</v>
      </c>
      <c r="CO93" s="432">
        <f t="shared" si="300"/>
        <v>4.5484080571799979E-2</v>
      </c>
      <c r="CP93" s="432">
        <f t="shared" si="300"/>
        <v>-6.712243629583603E-2</v>
      </c>
      <c r="CQ93" s="433">
        <f t="shared" si="300"/>
        <v>2.8647568287808234E-2</v>
      </c>
      <c r="CR93" s="432">
        <f t="shared" si="300"/>
        <v>8.87305699481864E-2</v>
      </c>
      <c r="CS93" s="432">
        <f t="shared" si="300"/>
        <v>-2.6769779892920842E-2</v>
      </c>
      <c r="CT93" s="432">
        <f t="shared" si="300"/>
        <v>-1.9559902200488977E-2</v>
      </c>
      <c r="CU93" s="433">
        <f t="shared" si="300"/>
        <v>0.11970074812967568</v>
      </c>
      <c r="CV93" s="432">
        <f t="shared" si="300"/>
        <v>7.0383390361432596E-3</v>
      </c>
      <c r="CW93" s="432">
        <f t="shared" si="300"/>
        <v>8.0327090237202192E-3</v>
      </c>
      <c r="CX93" s="432">
        <f t="shared" si="300"/>
        <v>-8.0738526329550697E-2</v>
      </c>
      <c r="CY93" s="433">
        <f t="shared" si="300"/>
        <v>-1.9206848992571857E-2</v>
      </c>
      <c r="DA93" s="432"/>
      <c r="DB93" s="432"/>
      <c r="DC93" s="432"/>
      <c r="DD93" s="432"/>
      <c r="DE93" s="432"/>
      <c r="DF93" s="432"/>
      <c r="DG93" s="432"/>
      <c r="DH93" s="432"/>
      <c r="DI93" s="432"/>
      <c r="DJ93" s="432"/>
      <c r="DK93" s="432"/>
      <c r="DL93" s="432"/>
      <c r="DM93" s="432"/>
      <c r="DN93" s="432"/>
      <c r="DO93" s="432"/>
      <c r="DP93" s="432"/>
      <c r="DQ93" s="432"/>
      <c r="DR93" s="432"/>
      <c r="DS93" s="432"/>
      <c r="DT93" s="432"/>
      <c r="DU93" s="432"/>
      <c r="DV93" s="432"/>
      <c r="DW93" s="432"/>
      <c r="DX93" s="432"/>
      <c r="DY93" s="432"/>
      <c r="DZ93" s="445"/>
      <c r="EA93" s="445"/>
      <c r="EB93" s="445"/>
      <c r="EC93" s="445"/>
      <c r="ED93" s="445"/>
      <c r="EE93" s="435"/>
    </row>
    <row r="94" spans="1:136" s="599" customFormat="1" ht="15">
      <c r="A94" s="428"/>
      <c r="B94" s="304" t="s">
        <v>240</v>
      </c>
      <c r="C94" s="435"/>
      <c r="D94" s="598"/>
      <c r="E94" s="432"/>
      <c r="F94" s="432"/>
      <c r="G94" s="433"/>
      <c r="H94" s="432"/>
      <c r="I94" s="432"/>
      <c r="J94" s="432"/>
      <c r="K94" s="433"/>
      <c r="L94" s="432"/>
      <c r="M94" s="432"/>
      <c r="N94" s="432"/>
      <c r="O94" s="433"/>
      <c r="P94" s="432"/>
      <c r="Q94" s="432"/>
      <c r="R94" s="432"/>
      <c r="S94" s="433"/>
      <c r="T94" s="432"/>
      <c r="U94" s="432"/>
      <c r="V94" s="432"/>
      <c r="W94" s="433"/>
      <c r="X94" s="432"/>
      <c r="Y94" s="432"/>
      <c r="Z94" s="432"/>
      <c r="AA94" s="433"/>
      <c r="AB94" s="432"/>
      <c r="AC94" s="432"/>
      <c r="AD94" s="432"/>
      <c r="AE94" s="433"/>
      <c r="AF94" s="432">
        <f>AF85/AB85-1</f>
        <v>-0.37209302325581395</v>
      </c>
      <c r="AG94" s="432">
        <f>AG85/AC85-1</f>
        <v>-0.47751322751322745</v>
      </c>
      <c r="AH94" s="432">
        <f>AH85/AD85-1</f>
        <v>-0.30470347648261753</v>
      </c>
      <c r="AI94" s="433"/>
      <c r="AJ94" s="432">
        <f t="shared" ref="AJ94:BO94" si="301">AJ85/AF85-1</f>
        <v>0.13374485596707819</v>
      </c>
      <c r="AK94" s="432">
        <f t="shared" si="301"/>
        <v>0.4886075949367088</v>
      </c>
      <c r="AL94" s="432">
        <f t="shared" si="301"/>
        <v>0.7382352941176471</v>
      </c>
      <c r="AM94" s="433">
        <f t="shared" si="301"/>
        <v>0.11854684512428282</v>
      </c>
      <c r="AN94" s="432">
        <f t="shared" si="301"/>
        <v>-5.8076225045372132E-2</v>
      </c>
      <c r="AO94" s="432">
        <f t="shared" si="301"/>
        <v>-0.13605442176870752</v>
      </c>
      <c r="AP94" s="432">
        <f t="shared" si="301"/>
        <v>-0.25888324873096458</v>
      </c>
      <c r="AQ94" s="433">
        <f t="shared" si="301"/>
        <v>-0.12307692307692286</v>
      </c>
      <c r="AR94" s="432">
        <f t="shared" si="301"/>
        <v>0.1425818882466281</v>
      </c>
      <c r="AS94" s="432">
        <f t="shared" si="301"/>
        <v>0.16535433070866157</v>
      </c>
      <c r="AT94" s="432">
        <f t="shared" si="301"/>
        <v>-3.6529680365296691E-2</v>
      </c>
      <c r="AU94" s="433">
        <f t="shared" si="301"/>
        <v>-2.1442495126705485E-2</v>
      </c>
      <c r="AV94" s="432">
        <f t="shared" si="301"/>
        <v>-1.6863406408094472E-2</v>
      </c>
      <c r="AW94" s="432">
        <f t="shared" si="301"/>
        <v>2.8716216216216228E-2</v>
      </c>
      <c r="AX94" s="432">
        <f t="shared" si="301"/>
        <v>-7.1090047393366218E-3</v>
      </c>
      <c r="AY94" s="433">
        <f t="shared" si="301"/>
        <v>-7.0179282868525883</v>
      </c>
      <c r="AZ94" s="432">
        <f t="shared" si="301"/>
        <v>-3.7735849056603654E-2</v>
      </c>
      <c r="BA94" s="432">
        <f t="shared" si="301"/>
        <v>-0.17077175697865354</v>
      </c>
      <c r="BB94" s="432">
        <f t="shared" si="301"/>
        <v>-0.43914081145584727</v>
      </c>
      <c r="BC94" s="433">
        <f t="shared" si="301"/>
        <v>-1.05759682224429</v>
      </c>
      <c r="BD94" s="432">
        <f t="shared" si="301"/>
        <v>-0.33155080213903743</v>
      </c>
      <c r="BE94" s="432">
        <f t="shared" si="301"/>
        <v>-0.23564356435643563</v>
      </c>
      <c r="BF94" s="432">
        <f t="shared" si="301"/>
        <v>-0.41276595744680844</v>
      </c>
      <c r="BG94" s="433">
        <f t="shared" si="301"/>
        <v>0.21264367816091978</v>
      </c>
      <c r="BH94" s="432">
        <f t="shared" si="301"/>
        <v>0.12266666666666648</v>
      </c>
      <c r="BI94" s="432">
        <f t="shared" si="301"/>
        <v>5.1813471502590636E-2</v>
      </c>
      <c r="BJ94" s="432">
        <f t="shared" si="301"/>
        <v>-0.13768115942028991</v>
      </c>
      <c r="BK94" s="433">
        <f t="shared" si="301"/>
        <v>-1.8767772511848337</v>
      </c>
      <c r="BL94" s="432">
        <f t="shared" si="301"/>
        <v>-2.2399049881235156</v>
      </c>
      <c r="BM94" s="432">
        <f t="shared" si="301"/>
        <v>-1.8793103448275863</v>
      </c>
      <c r="BN94" s="432">
        <f t="shared" si="301"/>
        <v>-0.78991596638655459</v>
      </c>
      <c r="BO94" s="433">
        <f t="shared" si="301"/>
        <v>-1.8000000000000003</v>
      </c>
      <c r="BP94" s="432">
        <f t="shared" ref="BP94:CY94" si="302">BP85/BL85-1</f>
        <v>-1.603448275862069</v>
      </c>
      <c r="BQ94" s="432">
        <f t="shared" si="302"/>
        <v>-1.918767507002801</v>
      </c>
      <c r="BR94" s="432">
        <f t="shared" si="302"/>
        <v>9.24</v>
      </c>
      <c r="BS94" s="433">
        <f t="shared" si="302"/>
        <v>1.0067567567567566</v>
      </c>
      <c r="BT94" s="432">
        <f t="shared" si="302"/>
        <v>0.41269841269841279</v>
      </c>
      <c r="BU94" s="432">
        <f t="shared" si="302"/>
        <v>0.51219512195121975</v>
      </c>
      <c r="BV94" s="432">
        <f t="shared" si="302"/>
        <v>0.61718749999999978</v>
      </c>
      <c r="BW94" s="433">
        <f t="shared" si="302"/>
        <v>0.76767676767676774</v>
      </c>
      <c r="BX94" s="432">
        <f t="shared" si="302"/>
        <v>0.20898876404494393</v>
      </c>
      <c r="BY94" s="432">
        <f t="shared" si="302"/>
        <v>0.19153225806451601</v>
      </c>
      <c r="BZ94" s="432">
        <f t="shared" si="302"/>
        <v>0.78743961352657021</v>
      </c>
      <c r="CA94" s="433">
        <f t="shared" si="302"/>
        <v>0.53333333333333344</v>
      </c>
      <c r="CB94" s="432">
        <f t="shared" si="302"/>
        <v>0.66728624535315983</v>
      </c>
      <c r="CC94" s="432">
        <f t="shared" si="302"/>
        <v>0.71573604060913709</v>
      </c>
      <c r="CD94" s="432">
        <f t="shared" si="302"/>
        <v>0.51621621621621627</v>
      </c>
      <c r="CE94" s="433">
        <f t="shared" si="302"/>
        <v>0.54161490683229796</v>
      </c>
      <c r="CF94" s="432">
        <f t="shared" si="302"/>
        <v>0.55295429208472702</v>
      </c>
      <c r="CG94" s="432">
        <f t="shared" si="302"/>
        <v>0.40532544378698221</v>
      </c>
      <c r="CH94" s="432">
        <f t="shared" si="302"/>
        <v>0.23885918003565054</v>
      </c>
      <c r="CI94" s="433">
        <f t="shared" si="302"/>
        <v>0.17888799355358587</v>
      </c>
      <c r="CJ94" s="432">
        <f t="shared" si="302"/>
        <v>-1.0050251256281451E-2</v>
      </c>
      <c r="CK94" s="432">
        <f t="shared" si="302"/>
        <v>3.0877192982456281E-2</v>
      </c>
      <c r="CL94" s="432">
        <f t="shared" si="302"/>
        <v>-1.8705035971222972E-2</v>
      </c>
      <c r="CM94" s="433">
        <f t="shared" si="302"/>
        <v>1.0252904989747069E-2</v>
      </c>
      <c r="CN94" s="432">
        <f t="shared" si="302"/>
        <v>0.11602610587382167</v>
      </c>
      <c r="CO94" s="432">
        <f t="shared" si="302"/>
        <v>9.530292716133415E-2</v>
      </c>
      <c r="CP94" s="432">
        <f t="shared" si="302"/>
        <v>0.10043988269794712</v>
      </c>
      <c r="CQ94" s="433">
        <f t="shared" si="302"/>
        <v>4.4654939106901104E-2</v>
      </c>
      <c r="CR94" s="432">
        <f t="shared" si="302"/>
        <v>9.2267706302793906E-2</v>
      </c>
      <c r="CS94" s="432">
        <f t="shared" si="302"/>
        <v>1.6780609073958841E-2</v>
      </c>
      <c r="CT94" s="432">
        <f t="shared" si="302"/>
        <v>6.8620919387075263E-2</v>
      </c>
      <c r="CU94" s="433">
        <f t="shared" si="302"/>
        <v>0.16321243523316054</v>
      </c>
      <c r="CV94" s="432">
        <f t="shared" si="302"/>
        <v>7.5931503217675944E-2</v>
      </c>
      <c r="CW94" s="432">
        <f t="shared" si="302"/>
        <v>0.11440656640640245</v>
      </c>
      <c r="CX94" s="432">
        <f t="shared" si="302"/>
        <v>4.4868549136246827E-2</v>
      </c>
      <c r="CY94" s="433">
        <f t="shared" si="302"/>
        <v>-8.4755530968695703E-2</v>
      </c>
      <c r="DA94" s="432"/>
      <c r="DB94" s="432"/>
      <c r="DC94" s="432"/>
      <c r="DD94" s="432"/>
      <c r="DE94" s="432"/>
      <c r="DF94" s="432"/>
      <c r="DG94" s="432"/>
      <c r="DH94" s="432"/>
      <c r="DI94" s="432">
        <f t="shared" ref="DI94:ED94" si="303">DI85/DH85-1</f>
        <v>0.32740825688073394</v>
      </c>
      <c r="DJ94" s="432">
        <f t="shared" si="303"/>
        <v>-0.14557235421166304</v>
      </c>
      <c r="DK94" s="432">
        <f t="shared" si="303"/>
        <v>6.6228513650151699E-2</v>
      </c>
      <c r="DL94" s="432">
        <f t="shared" si="303"/>
        <v>-1.6685633001422477</v>
      </c>
      <c r="DM94" s="432">
        <f t="shared" si="303"/>
        <v>-2.0460992907801416</v>
      </c>
      <c r="DN94" s="432">
        <f t="shared" si="303"/>
        <v>-0.24745762711864405</v>
      </c>
      <c r="DO94" s="432">
        <f t="shared" si="303"/>
        <v>-0.31441441441441442</v>
      </c>
      <c r="DP94" s="432">
        <f t="shared" si="303"/>
        <v>-1.9277266754270699</v>
      </c>
      <c r="DQ94" s="432">
        <f t="shared" si="303"/>
        <v>-2.6940509915014164</v>
      </c>
      <c r="DR94" s="432">
        <f t="shared" si="303"/>
        <v>0.57190635451505001</v>
      </c>
      <c r="DS94" s="432">
        <f t="shared" si="303"/>
        <v>0.42234042553191475</v>
      </c>
      <c r="DT94" s="432">
        <f t="shared" si="303"/>
        <v>0.59835452505609577</v>
      </c>
      <c r="DU94" s="432">
        <f t="shared" si="303"/>
        <v>0.32686008423022939</v>
      </c>
      <c r="DV94" s="432">
        <f t="shared" si="303"/>
        <v>3.3503791218478796E-3</v>
      </c>
      <c r="DW94" s="432">
        <f t="shared" si="303"/>
        <v>8.8400702987697644E-2</v>
      </c>
      <c r="DX94" s="432">
        <f t="shared" si="303"/>
        <v>8.4611658323914263E-2</v>
      </c>
      <c r="DY94" s="432">
        <f t="shared" si="303"/>
        <v>3.492008616116582E-2</v>
      </c>
      <c r="DZ94" s="432">
        <f t="shared" si="303"/>
        <v>2.9183940772252948E-2</v>
      </c>
      <c r="EA94" s="432">
        <f t="shared" si="303"/>
        <v>6.9096355561919509E-3</v>
      </c>
      <c r="EB94" s="432">
        <f t="shared" si="303"/>
        <v>9.1534204553893606E-3</v>
      </c>
      <c r="EC94" s="432">
        <f t="shared" si="303"/>
        <v>4.6707549397317916E-3</v>
      </c>
      <c r="ED94" s="432">
        <f t="shared" si="303"/>
        <v>-1.3109913253921412E-3</v>
      </c>
      <c r="EE94" s="435"/>
    </row>
    <row r="95" spans="1:136" s="599" customFormat="1" ht="15">
      <c r="A95" s="428"/>
      <c r="B95" s="304" t="s">
        <v>311</v>
      </c>
      <c r="C95" s="435"/>
      <c r="D95" s="598"/>
      <c r="E95" s="432"/>
      <c r="F95" s="432"/>
      <c r="G95" s="433"/>
      <c r="H95" s="432"/>
      <c r="I95" s="432"/>
      <c r="J95" s="432"/>
      <c r="K95" s="433"/>
      <c r="L95" s="432"/>
      <c r="M95" s="432"/>
      <c r="N95" s="432"/>
      <c r="O95" s="433"/>
      <c r="P95" s="432"/>
      <c r="Q95" s="432"/>
      <c r="R95" s="432"/>
      <c r="S95" s="433"/>
      <c r="T95" s="432"/>
      <c r="U95" s="432"/>
      <c r="V95" s="432"/>
      <c r="W95" s="433"/>
      <c r="X95" s="432"/>
      <c r="Y95" s="432"/>
      <c r="Z95" s="432"/>
      <c r="AA95" s="433"/>
      <c r="AB95" s="432"/>
      <c r="AC95" s="432"/>
      <c r="AD95" s="432"/>
      <c r="AE95" s="433"/>
      <c r="AF95" s="432"/>
      <c r="AG95" s="432"/>
      <c r="AH95" s="432"/>
      <c r="AI95" s="433"/>
      <c r="AJ95" s="432">
        <f>AF94+AJ94</f>
        <v>-0.23834816728873576</v>
      </c>
      <c r="AK95" s="432">
        <f>AG94+AK94</f>
        <v>1.1094367423481355E-2</v>
      </c>
      <c r="AL95" s="432">
        <f>AH94+AL94</f>
        <v>0.43353181763502957</v>
      </c>
      <c r="AM95" s="433"/>
      <c r="AN95" s="432">
        <f t="shared" ref="AN95:BS95" si="304">AJ94+AN94</f>
        <v>7.5668630921706059E-2</v>
      </c>
      <c r="AO95" s="432">
        <f t="shared" si="304"/>
        <v>0.35255317316800128</v>
      </c>
      <c r="AP95" s="432">
        <f t="shared" si="304"/>
        <v>0.47935204538668252</v>
      </c>
      <c r="AQ95" s="433">
        <f t="shared" si="304"/>
        <v>-4.5300779526400436E-3</v>
      </c>
      <c r="AR95" s="432">
        <f t="shared" si="304"/>
        <v>8.4505663201255965E-2</v>
      </c>
      <c r="AS95" s="432">
        <f t="shared" si="304"/>
        <v>2.9299908939954045E-2</v>
      </c>
      <c r="AT95" s="432">
        <f t="shared" si="304"/>
        <v>-0.29541292909626127</v>
      </c>
      <c r="AU95" s="433">
        <f t="shared" si="304"/>
        <v>-0.14451941820362835</v>
      </c>
      <c r="AV95" s="432">
        <f t="shared" si="304"/>
        <v>0.12571848183853362</v>
      </c>
      <c r="AW95" s="432">
        <f t="shared" si="304"/>
        <v>0.1940705469248778</v>
      </c>
      <c r="AX95" s="432">
        <f t="shared" si="304"/>
        <v>-4.3638685104633312E-2</v>
      </c>
      <c r="AY95" s="433">
        <f t="shared" si="304"/>
        <v>-7.0393707819792937</v>
      </c>
      <c r="AZ95" s="432">
        <f t="shared" si="304"/>
        <v>-5.4599255464698127E-2</v>
      </c>
      <c r="BA95" s="432">
        <f t="shared" si="304"/>
        <v>-0.14205554076243732</v>
      </c>
      <c r="BB95" s="432">
        <f t="shared" si="304"/>
        <v>-0.44624981619518389</v>
      </c>
      <c r="BC95" s="433">
        <f t="shared" si="304"/>
        <v>-8.075525109096878</v>
      </c>
      <c r="BD95" s="432">
        <f t="shared" si="304"/>
        <v>-0.36928665119564108</v>
      </c>
      <c r="BE95" s="432">
        <f t="shared" si="304"/>
        <v>-0.40641532133508917</v>
      </c>
      <c r="BF95" s="432">
        <f t="shared" si="304"/>
        <v>-0.85190676890265571</v>
      </c>
      <c r="BG95" s="433">
        <f t="shared" si="304"/>
        <v>-0.84495314408337019</v>
      </c>
      <c r="BH95" s="432">
        <f t="shared" si="304"/>
        <v>-0.20888413547237095</v>
      </c>
      <c r="BI95" s="432">
        <f t="shared" si="304"/>
        <v>-0.183830092853845</v>
      </c>
      <c r="BJ95" s="432">
        <f t="shared" si="304"/>
        <v>-0.55044711686709835</v>
      </c>
      <c r="BK95" s="433">
        <f t="shared" si="304"/>
        <v>-1.664133573023914</v>
      </c>
      <c r="BL95" s="432">
        <f t="shared" si="304"/>
        <v>-2.1172383214568491</v>
      </c>
      <c r="BM95" s="432">
        <f t="shared" si="304"/>
        <v>-1.8274968733249957</v>
      </c>
      <c r="BN95" s="432">
        <f t="shared" si="304"/>
        <v>-0.9275971258068445</v>
      </c>
      <c r="BO95" s="433">
        <f t="shared" si="304"/>
        <v>-3.6767772511848342</v>
      </c>
      <c r="BP95" s="432">
        <f t="shared" si="304"/>
        <v>-3.8433532639855845</v>
      </c>
      <c r="BQ95" s="432">
        <f t="shared" si="304"/>
        <v>-3.7980778518303873</v>
      </c>
      <c r="BR95" s="432">
        <f t="shared" si="304"/>
        <v>8.4500840336134448</v>
      </c>
      <c r="BS95" s="433">
        <f t="shared" si="304"/>
        <v>-0.79324324324324369</v>
      </c>
      <c r="BT95" s="432">
        <f t="shared" ref="BT95:CY95" si="305">BP94+BT94</f>
        <v>-1.1907498631636562</v>
      </c>
      <c r="BU95" s="432">
        <f t="shared" si="305"/>
        <v>-1.4065723850515812</v>
      </c>
      <c r="BV95" s="432">
        <f t="shared" si="305"/>
        <v>9.8571875000000002</v>
      </c>
      <c r="BW95" s="433">
        <f t="shared" si="305"/>
        <v>1.7744335244335243</v>
      </c>
      <c r="BX95" s="432">
        <f t="shared" si="305"/>
        <v>0.62168717674335672</v>
      </c>
      <c r="BY95" s="432">
        <f t="shared" si="305"/>
        <v>0.70372738001573576</v>
      </c>
      <c r="BZ95" s="432">
        <f t="shared" si="305"/>
        <v>1.40462711352657</v>
      </c>
      <c r="CA95" s="433">
        <f t="shared" si="305"/>
        <v>1.3010101010101012</v>
      </c>
      <c r="CB95" s="432">
        <f t="shared" si="305"/>
        <v>0.87627500939810377</v>
      </c>
      <c r="CC95" s="432">
        <f t="shared" si="305"/>
        <v>0.90726829867365311</v>
      </c>
      <c r="CD95" s="432">
        <f t="shared" si="305"/>
        <v>1.3036558297427865</v>
      </c>
      <c r="CE95" s="433">
        <f t="shared" si="305"/>
        <v>1.0749482401656314</v>
      </c>
      <c r="CF95" s="432">
        <f t="shared" si="305"/>
        <v>1.2202405374378869</v>
      </c>
      <c r="CG95" s="432">
        <f t="shared" si="305"/>
        <v>1.1210614843961193</v>
      </c>
      <c r="CH95" s="432">
        <f t="shared" si="305"/>
        <v>0.75507539625186681</v>
      </c>
      <c r="CI95" s="433">
        <f t="shared" si="305"/>
        <v>0.72050290038588383</v>
      </c>
      <c r="CJ95" s="432">
        <f t="shared" si="305"/>
        <v>0.54290404082844557</v>
      </c>
      <c r="CK95" s="432">
        <f t="shared" si="305"/>
        <v>0.43620263676943849</v>
      </c>
      <c r="CL95" s="432">
        <f t="shared" si="305"/>
        <v>0.22015414406442757</v>
      </c>
      <c r="CM95" s="433">
        <f t="shared" si="305"/>
        <v>0.18914089854333294</v>
      </c>
      <c r="CN95" s="432">
        <f t="shared" si="305"/>
        <v>0.10597585461754022</v>
      </c>
      <c r="CO95" s="432">
        <f t="shared" si="305"/>
        <v>0.12618012014379043</v>
      </c>
      <c r="CP95" s="432">
        <f t="shared" si="305"/>
        <v>8.1734846726724153E-2</v>
      </c>
      <c r="CQ95" s="433">
        <f t="shared" si="305"/>
        <v>5.4907844096648173E-2</v>
      </c>
      <c r="CR95" s="432">
        <f t="shared" si="305"/>
        <v>0.20829381217661558</v>
      </c>
      <c r="CS95" s="432">
        <f t="shared" si="305"/>
        <v>0.11208353623529299</v>
      </c>
      <c r="CT95" s="432">
        <f t="shared" si="305"/>
        <v>0.16906080208502239</v>
      </c>
      <c r="CU95" s="433">
        <f t="shared" si="305"/>
        <v>0.20786737434006164</v>
      </c>
      <c r="CV95" s="432">
        <f t="shared" si="305"/>
        <v>0.16819920952046985</v>
      </c>
      <c r="CW95" s="432">
        <f t="shared" si="305"/>
        <v>0.1311871754803613</v>
      </c>
      <c r="CX95" s="432">
        <f t="shared" si="305"/>
        <v>0.11348946852332209</v>
      </c>
      <c r="CY95" s="433">
        <f t="shared" si="305"/>
        <v>7.8456904264464833E-2</v>
      </c>
      <c r="DA95" s="432"/>
      <c r="DB95" s="432"/>
      <c r="DC95" s="432"/>
      <c r="DD95" s="432"/>
      <c r="DE95" s="432"/>
      <c r="DF95" s="432"/>
      <c r="DG95" s="432"/>
      <c r="DH95" s="432"/>
      <c r="DI95" s="432"/>
      <c r="DJ95" s="432">
        <f t="shared" ref="DJ95:ED95" si="306">DI94+DJ94</f>
        <v>0.1818359026690709</v>
      </c>
      <c r="DK95" s="432">
        <f t="shared" si="306"/>
        <v>-7.9343840561511336E-2</v>
      </c>
      <c r="DL95" s="432">
        <f t="shared" si="306"/>
        <v>-1.602334786492096</v>
      </c>
      <c r="DM95" s="432">
        <f t="shared" si="306"/>
        <v>-3.7146625909223894</v>
      </c>
      <c r="DN95" s="432">
        <f t="shared" si="306"/>
        <v>-2.2935569178987856</v>
      </c>
      <c r="DO95" s="432">
        <f t="shared" si="306"/>
        <v>-0.56187204153305847</v>
      </c>
      <c r="DP95" s="432">
        <f t="shared" si="306"/>
        <v>-2.2421410898414842</v>
      </c>
      <c r="DQ95" s="432">
        <f t="shared" si="306"/>
        <v>-4.6217776669284865</v>
      </c>
      <c r="DR95" s="432">
        <f t="shared" si="306"/>
        <v>-2.1221446369863664</v>
      </c>
      <c r="DS95" s="432">
        <f t="shared" si="306"/>
        <v>0.99424678004696476</v>
      </c>
      <c r="DT95" s="432">
        <f t="shared" si="306"/>
        <v>1.0206949505880105</v>
      </c>
      <c r="DU95" s="432">
        <f t="shared" si="306"/>
        <v>0.92521460928632515</v>
      </c>
      <c r="DV95" s="432">
        <f t="shared" si="306"/>
        <v>0.33021046335207727</v>
      </c>
      <c r="DW95" s="432">
        <f t="shared" si="306"/>
        <v>9.1751082109545523E-2</v>
      </c>
      <c r="DX95" s="432">
        <f t="shared" si="306"/>
        <v>0.17301236131161191</v>
      </c>
      <c r="DY95" s="432">
        <f t="shared" si="306"/>
        <v>0.11953174448508008</v>
      </c>
      <c r="DZ95" s="432">
        <f t="shared" si="306"/>
        <v>6.4104026933418767E-2</v>
      </c>
      <c r="EA95" s="432">
        <f t="shared" si="306"/>
        <v>3.6093576328444898E-2</v>
      </c>
      <c r="EB95" s="432">
        <f t="shared" si="306"/>
        <v>1.6063056011581311E-2</v>
      </c>
      <c r="EC95" s="432">
        <f t="shared" si="306"/>
        <v>1.3824175395121152E-2</v>
      </c>
      <c r="ED95" s="432">
        <f t="shared" si="306"/>
        <v>3.3597636143396503E-3</v>
      </c>
      <c r="EE95" s="435"/>
    </row>
    <row r="96" spans="1:136" s="657" customFormat="1" ht="15">
      <c r="A96" s="133"/>
      <c r="B96" s="139" t="s">
        <v>63</v>
      </c>
      <c r="C96" s="139"/>
      <c r="D96" s="662"/>
      <c r="E96" s="349"/>
      <c r="F96" s="349"/>
      <c r="G96" s="663"/>
      <c r="H96" s="349"/>
      <c r="I96" s="349"/>
      <c r="J96" s="349"/>
      <c r="K96" s="663"/>
      <c r="L96" s="349"/>
      <c r="M96" s="349"/>
      <c r="N96" s="349"/>
      <c r="O96" s="663"/>
      <c r="P96" s="349"/>
      <c r="Q96" s="349"/>
      <c r="R96" s="349"/>
      <c r="S96" s="663"/>
      <c r="T96" s="349"/>
      <c r="U96" s="349"/>
      <c r="V96" s="349"/>
      <c r="W96" s="663"/>
      <c r="X96" s="349"/>
      <c r="Y96" s="349"/>
      <c r="Z96" s="349"/>
      <c r="AA96" s="663"/>
      <c r="AB96" s="356">
        <v>69.900000000000006</v>
      </c>
      <c r="AC96" s="356">
        <v>92.4</v>
      </c>
      <c r="AD96" s="356">
        <v>56.5</v>
      </c>
      <c r="AE96" s="431"/>
      <c r="AF96" s="356">
        <v>41.5</v>
      </c>
      <c r="AG96" s="356">
        <v>57.7</v>
      </c>
      <c r="AH96" s="356">
        <v>45.8</v>
      </c>
      <c r="AI96" s="431">
        <f>203.3-SUM(AF96:AH96)</f>
        <v>58.300000000000011</v>
      </c>
      <c r="AJ96" s="356">
        <v>28.7</v>
      </c>
      <c r="AK96" s="356">
        <v>45.7</v>
      </c>
      <c r="AL96" s="356">
        <v>33.1</v>
      </c>
      <c r="AM96" s="431">
        <f>138.9-SUM(AJ96:AL96)</f>
        <v>31.400000000000006</v>
      </c>
      <c r="AN96" s="356">
        <v>29</v>
      </c>
      <c r="AO96" s="356">
        <v>22.9</v>
      </c>
      <c r="AP96" s="356">
        <v>14.3</v>
      </c>
      <c r="AQ96" s="431">
        <f>104-SUM(AN96:AP96)</f>
        <v>37.799999999999997</v>
      </c>
      <c r="AR96" s="356">
        <v>28.7</v>
      </c>
      <c r="AS96" s="356">
        <v>20</v>
      </c>
      <c r="AT96" s="356">
        <f>8.2</f>
        <v>8.1999999999999993</v>
      </c>
      <c r="AU96" s="431">
        <f>85.1-SUM(AR96:AT96)</f>
        <v>28.199999999999989</v>
      </c>
      <c r="AV96" s="356">
        <f>-8.4</f>
        <v>-8.4</v>
      </c>
      <c r="AW96" s="356">
        <f>-17.8+3.2</f>
        <v>-14.600000000000001</v>
      </c>
      <c r="AX96" s="356">
        <f>-112.6+14.2</f>
        <v>-98.399999999999991</v>
      </c>
      <c r="AY96" s="431">
        <f>191.1-SUM(AV96:AX96)+32</f>
        <v>344.5</v>
      </c>
      <c r="AZ96" s="356">
        <f>-59.5+7</f>
        <v>-52.5</v>
      </c>
      <c r="BA96" s="356">
        <f>-34.3+0.4+7+3</f>
        <v>-23.9</v>
      </c>
      <c r="BB96" s="356">
        <f>-55.8+1.9</f>
        <v>-53.9</v>
      </c>
      <c r="BC96" s="431">
        <f>-183.8-BB96-BA96-AZ96+13</f>
        <v>-40.5</v>
      </c>
      <c r="BD96" s="356">
        <f>8.8+2.4</f>
        <v>11.200000000000001</v>
      </c>
      <c r="BE96" s="356"/>
      <c r="BF96" s="356"/>
      <c r="BG96" s="431"/>
      <c r="BH96" s="356"/>
      <c r="BI96" s="356"/>
      <c r="BJ96" s="356"/>
      <c r="BK96" s="431"/>
      <c r="BL96" s="356"/>
      <c r="BM96" s="356"/>
      <c r="BN96" s="356"/>
      <c r="BO96" s="431"/>
      <c r="BP96" s="356"/>
      <c r="BQ96" s="356"/>
      <c r="BR96" s="356"/>
      <c r="BS96" s="431"/>
      <c r="BT96" s="356"/>
      <c r="BU96" s="356"/>
      <c r="BV96" s="356"/>
      <c r="BW96" s="431"/>
      <c r="BX96" s="356"/>
      <c r="BY96" s="356"/>
      <c r="BZ96" s="356"/>
      <c r="CA96" s="431"/>
      <c r="CB96" s="356"/>
      <c r="CC96" s="356"/>
      <c r="CD96" s="356"/>
      <c r="CE96" s="431"/>
      <c r="CF96" s="356"/>
      <c r="CG96" s="356"/>
      <c r="CH96" s="356"/>
      <c r="CI96" s="431"/>
      <c r="CJ96" s="356"/>
      <c r="CK96" s="356"/>
      <c r="CL96" s="356"/>
      <c r="CM96" s="431"/>
      <c r="CN96" s="356"/>
      <c r="CO96" s="356"/>
      <c r="CP96" s="356"/>
      <c r="CQ96" s="431"/>
      <c r="CR96" s="356"/>
      <c r="CS96" s="356"/>
      <c r="CT96" s="356"/>
      <c r="CU96" s="431"/>
      <c r="CV96" s="349"/>
      <c r="CW96" s="349"/>
      <c r="CX96" s="349"/>
      <c r="CY96" s="663"/>
      <c r="DA96" s="354"/>
      <c r="DB96" s="354"/>
      <c r="DC96" s="354"/>
      <c r="DD96" s="354"/>
      <c r="DE96" s="354"/>
      <c r="DF96" s="354"/>
      <c r="DG96" s="354"/>
      <c r="DH96" s="354">
        <f>SUM(AF96:AI96)</f>
        <v>203.3</v>
      </c>
      <c r="DI96" s="354">
        <f>SUM(AJ96:AM96)</f>
        <v>138.9</v>
      </c>
      <c r="DJ96" s="354">
        <f>SUM(AN96:AQ96)</f>
        <v>104</v>
      </c>
      <c r="DK96" s="354">
        <f>SUM(AR96:AU96)</f>
        <v>85.1</v>
      </c>
      <c r="DL96" s="354">
        <f>SUM(AV96:AY96)</f>
        <v>223.10000000000002</v>
      </c>
      <c r="DM96" s="354">
        <f>SUM(AZ96:BC96)</f>
        <v>-170.8</v>
      </c>
      <c r="DN96" s="354">
        <f>SUM(BD96:BG96)</f>
        <v>11.200000000000001</v>
      </c>
      <c r="DO96" s="354"/>
      <c r="DP96" s="354"/>
      <c r="DQ96" s="354"/>
      <c r="DR96" s="354"/>
      <c r="DS96" s="354"/>
      <c r="DT96" s="354"/>
      <c r="DU96" s="354"/>
      <c r="DV96" s="354"/>
      <c r="DW96" s="354"/>
      <c r="DX96" s="354"/>
      <c r="DY96" s="354"/>
      <c r="DZ96" s="354"/>
      <c r="EA96" s="354"/>
      <c r="EB96" s="354"/>
      <c r="EC96" s="354"/>
      <c r="ED96" s="354"/>
      <c r="EE96" s="139"/>
    </row>
    <row r="97" spans="1:135" s="599" customFormat="1" ht="15">
      <c r="A97" s="133"/>
      <c r="B97" s="304" t="s">
        <v>203</v>
      </c>
      <c r="C97" s="435"/>
      <c r="D97" s="598"/>
      <c r="E97" s="432"/>
      <c r="F97" s="432"/>
      <c r="G97" s="433"/>
      <c r="H97" s="432"/>
      <c r="I97" s="432"/>
      <c r="J97" s="432"/>
      <c r="K97" s="433"/>
      <c r="L97" s="432"/>
      <c r="M97" s="432"/>
      <c r="N97" s="432"/>
      <c r="O97" s="433"/>
      <c r="P97" s="432"/>
      <c r="Q97" s="432"/>
      <c r="R97" s="432"/>
      <c r="S97" s="433"/>
      <c r="T97" s="432"/>
      <c r="U97" s="432"/>
      <c r="V97" s="432"/>
      <c r="W97" s="433"/>
      <c r="X97" s="432"/>
      <c r="Y97" s="432"/>
      <c r="Z97" s="432"/>
      <c r="AA97" s="433"/>
      <c r="AB97" s="432">
        <f>IF(AB67=0,0,AB96/AB67)</f>
        <v>8.9158163265306123E-2</v>
      </c>
      <c r="AC97" s="432">
        <f>IF(AC67=0,0,AC96/AC67)</f>
        <v>0.11904148415356867</v>
      </c>
      <c r="AD97" s="432">
        <f>IF(AD67=0,0,AD96/AD67)</f>
        <v>9.5133860919346697E-2</v>
      </c>
      <c r="AE97" s="433"/>
      <c r="AF97" s="432">
        <f t="shared" ref="AF97:BD97" si="307">IF(AF67=0,0,AF96/AF67)</f>
        <v>6.6570420275906317E-2</v>
      </c>
      <c r="AG97" s="432">
        <f t="shared" si="307"/>
        <v>8.8158899923605816E-2</v>
      </c>
      <c r="AH97" s="432">
        <f t="shared" si="307"/>
        <v>8.043554618897085E-2</v>
      </c>
      <c r="AI97" s="433">
        <f t="shared" si="307"/>
        <v>9.8713173044361696E-2</v>
      </c>
      <c r="AJ97" s="432">
        <f t="shared" si="307"/>
        <v>4.6395085677335919E-2</v>
      </c>
      <c r="AK97" s="432">
        <f t="shared" si="307"/>
        <v>6.7334610284367172E-2</v>
      </c>
      <c r="AL97" s="432">
        <f t="shared" si="307"/>
        <v>5.4387117975681895E-2</v>
      </c>
      <c r="AM97" s="433">
        <f t="shared" si="307"/>
        <v>4.8719937936384801E-2</v>
      </c>
      <c r="AN97" s="432">
        <f t="shared" si="307"/>
        <v>4.2791795779843586E-2</v>
      </c>
      <c r="AO97" s="432">
        <f t="shared" si="307"/>
        <v>3.2032452091201563E-2</v>
      </c>
      <c r="AP97" s="432">
        <f t="shared" si="307"/>
        <v>2.1815408085430969E-2</v>
      </c>
      <c r="AQ97" s="433">
        <f t="shared" si="307"/>
        <v>4.914835522038747E-2</v>
      </c>
      <c r="AR97" s="432">
        <f t="shared" si="307"/>
        <v>3.5115624617643462E-2</v>
      </c>
      <c r="AS97" s="432">
        <f t="shared" si="307"/>
        <v>2.7059937762143146E-2</v>
      </c>
      <c r="AT97" s="432">
        <f t="shared" si="307"/>
        <v>1.1006711409395973E-2</v>
      </c>
      <c r="AU97" s="433">
        <f t="shared" si="307"/>
        <v>4.249547920433995E-2</v>
      </c>
      <c r="AV97" s="432">
        <f t="shared" si="307"/>
        <v>-1.1012060828526482E-2</v>
      </c>
      <c r="AW97" s="432">
        <f t="shared" si="307"/>
        <v>-1.9035202086049547E-2</v>
      </c>
      <c r="AX97" s="432">
        <f t="shared" si="307"/>
        <v>-0.13453650533223954</v>
      </c>
      <c r="AY97" s="433">
        <f t="shared" si="307"/>
        <v>0.41188426590148258</v>
      </c>
      <c r="AZ97" s="432">
        <f t="shared" si="307"/>
        <v>-5.8417714476466001E-2</v>
      </c>
      <c r="BA97" s="432">
        <f t="shared" si="307"/>
        <v>-2.5798791018998273E-2</v>
      </c>
      <c r="BB97" s="432">
        <f t="shared" si="307"/>
        <v>-7.1475931574061791E-2</v>
      </c>
      <c r="BC97" s="433">
        <f t="shared" si="307"/>
        <v>-5.6406685236768804E-2</v>
      </c>
      <c r="BD97" s="432">
        <f t="shared" si="307"/>
        <v>1.7971758664955071E-2</v>
      </c>
      <c r="BE97" s="432"/>
      <c r="BF97" s="432"/>
      <c r="BG97" s="433"/>
      <c r="BH97" s="432"/>
      <c r="BI97" s="432"/>
      <c r="BJ97" s="432"/>
      <c r="BK97" s="433"/>
      <c r="BL97" s="432"/>
      <c r="BM97" s="432"/>
      <c r="BN97" s="432"/>
      <c r="BO97" s="433"/>
      <c r="BP97" s="432"/>
      <c r="BQ97" s="432"/>
      <c r="BR97" s="432"/>
      <c r="BS97" s="433"/>
      <c r="BT97" s="432"/>
      <c r="BU97" s="432"/>
      <c r="BV97" s="432"/>
      <c r="BW97" s="433"/>
      <c r="BX97" s="432"/>
      <c r="BY97" s="432"/>
      <c r="BZ97" s="432"/>
      <c r="CA97" s="433"/>
      <c r="CB97" s="432"/>
      <c r="CC97" s="432"/>
      <c r="CD97" s="432"/>
      <c r="CE97" s="433"/>
      <c r="CF97" s="432"/>
      <c r="CG97" s="432"/>
      <c r="CH97" s="432"/>
      <c r="CI97" s="433"/>
      <c r="CJ97" s="432"/>
      <c r="CK97" s="432"/>
      <c r="CL97" s="432"/>
      <c r="CM97" s="433"/>
      <c r="CN97" s="432"/>
      <c r="CO97" s="432"/>
      <c r="CP97" s="432"/>
      <c r="CQ97" s="433"/>
      <c r="CR97" s="432"/>
      <c r="CS97" s="432"/>
      <c r="CT97" s="432"/>
      <c r="CU97" s="433"/>
      <c r="CV97" s="432"/>
      <c r="CW97" s="432"/>
      <c r="CX97" s="432"/>
      <c r="CY97" s="433"/>
      <c r="DA97" s="432"/>
      <c r="DB97" s="432"/>
      <c r="DC97" s="432"/>
      <c r="DD97" s="432"/>
      <c r="DE97" s="432"/>
      <c r="DF97" s="432"/>
      <c r="DG97" s="432"/>
      <c r="DH97" s="432">
        <f t="shared" ref="DH97:DN97" si="308">IF(DH67=0,0,DH96/DH67)</f>
        <v>8.3391443455432951E-2</v>
      </c>
      <c r="DI97" s="432">
        <f t="shared" si="308"/>
        <v>5.4462045169385194E-2</v>
      </c>
      <c r="DJ97" s="432">
        <f t="shared" si="308"/>
        <v>3.6916086894789153E-2</v>
      </c>
      <c r="DK97" s="432">
        <f t="shared" si="308"/>
        <v>2.8701517706576727E-2</v>
      </c>
      <c r="DL97" s="432">
        <f t="shared" si="308"/>
        <v>7.2023502066115713E-2</v>
      </c>
      <c r="DM97" s="432">
        <f t="shared" si="308"/>
        <v>-5.1801528569695506E-2</v>
      </c>
      <c r="DN97" s="432">
        <f t="shared" si="308"/>
        <v>1.6257802293511391E-2</v>
      </c>
      <c r="DO97" s="432"/>
      <c r="DP97" s="432"/>
      <c r="DQ97" s="432"/>
      <c r="DR97" s="432"/>
      <c r="DS97" s="432"/>
      <c r="DT97" s="432"/>
      <c r="DU97" s="432"/>
      <c r="DV97" s="432"/>
      <c r="DW97" s="432"/>
      <c r="DX97" s="432"/>
      <c r="DY97" s="432"/>
      <c r="DZ97" s="432"/>
      <c r="EA97" s="432"/>
      <c r="EB97" s="432"/>
      <c r="EC97" s="432"/>
      <c r="ED97" s="432"/>
      <c r="EE97" s="435"/>
    </row>
    <row r="98" spans="1:135" s="657" customFormat="1" ht="15">
      <c r="A98" s="133"/>
      <c r="B98" s="139" t="s">
        <v>48</v>
      </c>
      <c r="C98" s="139"/>
      <c r="D98" s="680"/>
      <c r="E98" s="348"/>
      <c r="F98" s="348"/>
      <c r="G98" s="603"/>
      <c r="H98" s="348"/>
      <c r="I98" s="348"/>
      <c r="J98" s="348"/>
      <c r="K98" s="603"/>
      <c r="L98" s="348"/>
      <c r="M98" s="348"/>
      <c r="N98" s="348"/>
      <c r="O98" s="603"/>
      <c r="P98" s="348"/>
      <c r="Q98" s="348"/>
      <c r="R98" s="348"/>
      <c r="S98" s="603"/>
      <c r="T98" s="348"/>
      <c r="U98" s="348"/>
      <c r="V98" s="348"/>
      <c r="W98" s="603"/>
      <c r="X98" s="348"/>
      <c r="Y98" s="348"/>
      <c r="Z98" s="348"/>
      <c r="AA98" s="603"/>
      <c r="AB98" s="348">
        <v>-49.9</v>
      </c>
      <c r="AC98" s="348">
        <v>-30.5</v>
      </c>
      <c r="AD98" s="348">
        <v>-42</v>
      </c>
      <c r="AE98" s="603"/>
      <c r="AF98" s="356">
        <v>-40.700000000000003</v>
      </c>
      <c r="AG98" s="356">
        <v>-42</v>
      </c>
      <c r="AH98" s="356">
        <v>-43</v>
      </c>
      <c r="AI98" s="431">
        <f>-290.8-SUM(AF98:AH98)</f>
        <v>-165.10000000000002</v>
      </c>
      <c r="AJ98" s="356">
        <v>-50.9</v>
      </c>
      <c r="AK98" s="356">
        <v>-46.3</v>
      </c>
      <c r="AL98" s="356">
        <v>-49.3</v>
      </c>
      <c r="AM98" s="431">
        <f>-189.4-SUM(AJ98:AL98)</f>
        <v>-42.900000000000006</v>
      </c>
      <c r="AN98" s="356">
        <v>-56.1</v>
      </c>
      <c r="AO98" s="356">
        <v>-40.700000000000003</v>
      </c>
      <c r="AP98" s="356">
        <v>-52.7</v>
      </c>
      <c r="AQ98" s="431">
        <f>-227.1-SUM(AN98:AP98)</f>
        <v>-77.599999999999994</v>
      </c>
      <c r="AR98" s="356">
        <v>-56.4</v>
      </c>
      <c r="AS98" s="356">
        <v>-54.1</v>
      </c>
      <c r="AT98" s="356">
        <v>-57.7</v>
      </c>
      <c r="AU98" s="431">
        <f>-209.7-SUM(AR98:AT98)</f>
        <v>-41.5</v>
      </c>
      <c r="AV98" s="356">
        <v>-51.2</v>
      </c>
      <c r="AW98" s="356">
        <f>-52.8+0.8+31.2</f>
        <v>-20.8</v>
      </c>
      <c r="AX98" s="356">
        <f>-50.2+0.3+77.7</f>
        <v>27.799999999999997</v>
      </c>
      <c r="AY98" s="431">
        <f>-206.8-SUM(AV98:AX98)+61.8</f>
        <v>-100.80000000000003</v>
      </c>
      <c r="AZ98" s="356">
        <v>-65.3</v>
      </c>
      <c r="BA98" s="356">
        <v>-62.5</v>
      </c>
      <c r="BB98" s="356">
        <v>-56.8</v>
      </c>
      <c r="BC98" s="431">
        <f>-241.7-BB98-BA98-AZ98+13.3</f>
        <v>-43.799999999999983</v>
      </c>
      <c r="BD98" s="356">
        <f>-39+5.8+0.4-36.4+9.4</f>
        <v>-59.800000000000004</v>
      </c>
      <c r="BE98" s="356">
        <f>-74.9+1.8+3.1+2.3</f>
        <v>-67.700000000000017</v>
      </c>
      <c r="BF98" s="356">
        <f>-77.2+8+25.1</f>
        <v>-44.1</v>
      </c>
      <c r="BG98" s="431">
        <v>-49.2</v>
      </c>
      <c r="BH98" s="356">
        <f>-55.7+0.5+3.4</f>
        <v>-51.800000000000004</v>
      </c>
      <c r="BI98" s="356">
        <f>-55.7+5.7</f>
        <v>-50</v>
      </c>
      <c r="BJ98" s="356">
        <f>-44.9+3.5</f>
        <v>-41.4</v>
      </c>
      <c r="BK98" s="431">
        <f>-200.6-SUM(BH98:BJ98)+23.5</f>
        <v>-33.899999999999977</v>
      </c>
      <c r="BL98" s="356">
        <f>-45+0.8+5.9</f>
        <v>-38.300000000000004</v>
      </c>
      <c r="BM98" s="356">
        <f>-49.8+0.2+19.3</f>
        <v>-30.299999999999994</v>
      </c>
      <c r="BN98" s="356">
        <f>-42.7+3</f>
        <v>-39.700000000000003</v>
      </c>
      <c r="BO98" s="431">
        <f>-30.8-147-SUM(BL98:BN98)+33</f>
        <v>-36.500000000000014</v>
      </c>
      <c r="BP98" s="356">
        <f>-55+4.1</f>
        <v>-50.9</v>
      </c>
      <c r="BQ98" s="356">
        <v>-52.3</v>
      </c>
      <c r="BR98" s="356">
        <f>149.5-BR85-BR74</f>
        <v>-40.699999999999989</v>
      </c>
      <c r="BS98" s="431">
        <f>-(+BS74+BS85-149.9)</f>
        <v>-52.599999999999994</v>
      </c>
      <c r="BT98" s="348">
        <f t="shared" ref="BT98:CT98" si="309">BT100-BT74-BT85</f>
        <v>-49.700000000000358</v>
      </c>
      <c r="BU98" s="348">
        <f t="shared" si="309"/>
        <v>-47.599999999999632</v>
      </c>
      <c r="BV98" s="348">
        <f t="shared" si="309"/>
        <v>-44.900000000000027</v>
      </c>
      <c r="BW98" s="603">
        <f t="shared" si="309"/>
        <v>-48.999999999999886</v>
      </c>
      <c r="BX98" s="348">
        <f t="shared" si="309"/>
        <v>-47.299999999999805</v>
      </c>
      <c r="BY98" s="348">
        <f t="shared" si="309"/>
        <v>-46.500000000000092</v>
      </c>
      <c r="BZ98" s="348">
        <f t="shared" si="309"/>
        <v>-55.800000000000011</v>
      </c>
      <c r="CA98" s="603">
        <f t="shared" si="309"/>
        <v>-52.499999999999829</v>
      </c>
      <c r="CB98" s="348">
        <f t="shared" si="309"/>
        <v>-52.499999999999758</v>
      </c>
      <c r="CC98" s="348">
        <f t="shared" si="309"/>
        <v>-55.699999999999761</v>
      </c>
      <c r="CD98" s="348">
        <f t="shared" si="309"/>
        <v>-60.800000000000196</v>
      </c>
      <c r="CE98" s="603">
        <f t="shared" si="309"/>
        <v>-71.799999999999471</v>
      </c>
      <c r="CF98" s="348">
        <f t="shared" si="309"/>
        <v>-72.699999999999903</v>
      </c>
      <c r="CG98" s="348">
        <f t="shared" si="309"/>
        <v>-64.399999999999096</v>
      </c>
      <c r="CH98" s="348">
        <f t="shared" si="309"/>
        <v>-63.700000000000102</v>
      </c>
      <c r="CI98" s="603">
        <f t="shared" si="309"/>
        <v>-69.100000000000165</v>
      </c>
      <c r="CJ98" s="348">
        <f t="shared" si="309"/>
        <v>-63.599999999999653</v>
      </c>
      <c r="CK98" s="348">
        <f t="shared" si="309"/>
        <v>-62.399999999998727</v>
      </c>
      <c r="CL98" s="348">
        <f t="shared" si="309"/>
        <v>-59.399999999999494</v>
      </c>
      <c r="CM98" s="603">
        <f t="shared" si="309"/>
        <v>-67.599999999999625</v>
      </c>
      <c r="CN98" s="348">
        <f t="shared" si="309"/>
        <v>-65.900000000000063</v>
      </c>
      <c r="CO98" s="348">
        <f t="shared" si="309"/>
        <v>-64.599999999999596</v>
      </c>
      <c r="CP98" s="348">
        <f t="shared" si="309"/>
        <v>-63.700000000000244</v>
      </c>
      <c r="CQ98" s="603">
        <f t="shared" si="309"/>
        <v>-65.499999999999403</v>
      </c>
      <c r="CR98" s="348">
        <f t="shared" si="309"/>
        <v>-65.299999999999812</v>
      </c>
      <c r="CS98" s="348">
        <f t="shared" si="309"/>
        <v>-63.199999999999619</v>
      </c>
      <c r="CT98" s="348">
        <f t="shared" si="309"/>
        <v>-65.900000000000176</v>
      </c>
      <c r="CU98" s="603">
        <f t="shared" ref="CU98" si="310">CU100-CU74-CU85</f>
        <v>-69.899999999999267</v>
      </c>
      <c r="CV98" s="348">
        <f>-Financials!CV6*CV99</f>
        <v>-71.331937986450967</v>
      </c>
      <c r="CW98" s="348">
        <f>-Financials!CW6*CW99</f>
        <v>-73.370051569264504</v>
      </c>
      <c r="CX98" s="348">
        <f>-Financials!CX6*CX99</f>
        <v>-69.597464522867639</v>
      </c>
      <c r="CY98" s="603">
        <f>-Financials!CY6*CY99</f>
        <v>-71.874900314169494</v>
      </c>
      <c r="DA98" s="348"/>
      <c r="DB98" s="348"/>
      <c r="DC98" s="348"/>
      <c r="DD98" s="348"/>
      <c r="DE98" s="348"/>
      <c r="DF98" s="348"/>
      <c r="DG98" s="348"/>
      <c r="DH98" s="348">
        <f>SUM(AF98:AI98)</f>
        <v>-290.8</v>
      </c>
      <c r="DI98" s="348">
        <f>SUM(AJ98:AM98)</f>
        <v>-189.4</v>
      </c>
      <c r="DJ98" s="348">
        <f>SUM(AN98:AQ98)</f>
        <v>-227.1</v>
      </c>
      <c r="DK98" s="348">
        <f>SUM(AR98:AU98)</f>
        <v>-209.7</v>
      </c>
      <c r="DL98" s="348">
        <f>SUM(AV98:AY98)</f>
        <v>-145.00000000000003</v>
      </c>
      <c r="DM98" s="348">
        <f>SUM(AZ98:BC98)</f>
        <v>-228.39999999999998</v>
      </c>
      <c r="DN98" s="348">
        <f>SUM(BD98:BG98)</f>
        <v>-220.8</v>
      </c>
      <c r="DO98" s="348">
        <f>SUM(BH98:BK98)</f>
        <v>-177.1</v>
      </c>
      <c r="DP98" s="348">
        <f>SUM(BL98:BO98)</f>
        <v>-144.80000000000001</v>
      </c>
      <c r="DQ98" s="348">
        <f>SUM(BP98:BS98)</f>
        <v>-196.49999999999997</v>
      </c>
      <c r="DR98" s="348">
        <f>SUM(BT98:BW98)</f>
        <v>-191.1999999999999</v>
      </c>
      <c r="DS98" s="348">
        <f>SUM(BX98:CA98)</f>
        <v>-202.09999999999974</v>
      </c>
      <c r="DT98" s="348">
        <f>SUM(CB98:CE98)</f>
        <v>-240.79999999999919</v>
      </c>
      <c r="DU98" s="348">
        <f>SUM(CF98:CI98)</f>
        <v>-269.8999999999993</v>
      </c>
      <c r="DV98" s="348">
        <f>SUM(CJ98:CM98)</f>
        <v>-252.9999999999975</v>
      </c>
      <c r="DW98" s="354">
        <f>SUM(CN98:CQ98)</f>
        <v>-259.69999999999931</v>
      </c>
      <c r="DX98" s="354">
        <f>SUM(CR98:CU98)</f>
        <v>-264.29999999999887</v>
      </c>
      <c r="DY98" s="354">
        <f>SUM(CV98:CY98)</f>
        <v>-286.1743543927526</v>
      </c>
      <c r="DZ98" s="348">
        <f>-Financials!DZ6*DZ99</f>
        <v>-303.86790563615477</v>
      </c>
      <c r="EA98" s="348">
        <f>-Financials!EA6*EA99</f>
        <v>-319.18695215725955</v>
      </c>
      <c r="EB98" s="348">
        <f>-Financials!EB6*EB99</f>
        <v>-333.98666542032839</v>
      </c>
      <c r="EC98" s="348">
        <f>-Financials!EC6*EC99</f>
        <v>-345.82320833682121</v>
      </c>
      <c r="ED98" s="348">
        <f>-Financials!ED6*ED99</f>
        <v>-353.81496961888632</v>
      </c>
      <c r="EE98" s="139"/>
    </row>
    <row r="99" spans="1:135" s="599" customFormat="1" ht="15">
      <c r="A99" s="133"/>
      <c r="B99" s="672" t="s">
        <v>206</v>
      </c>
      <c r="C99" s="673"/>
      <c r="D99" s="674"/>
      <c r="E99" s="438"/>
      <c r="F99" s="438"/>
      <c r="G99" s="439"/>
      <c r="H99" s="438"/>
      <c r="I99" s="438"/>
      <c r="J99" s="438"/>
      <c r="K99" s="439"/>
      <c r="L99" s="438"/>
      <c r="M99" s="438"/>
      <c r="N99" s="438"/>
      <c r="O99" s="439"/>
      <c r="P99" s="438"/>
      <c r="Q99" s="438"/>
      <c r="R99" s="438"/>
      <c r="S99" s="439"/>
      <c r="T99" s="438"/>
      <c r="U99" s="438"/>
      <c r="V99" s="438"/>
      <c r="W99" s="439"/>
      <c r="X99" s="438"/>
      <c r="Y99" s="438"/>
      <c r="Z99" s="438"/>
      <c r="AA99" s="439"/>
      <c r="AB99" s="438">
        <f>IF(AB69=0,0,-AB98/AB69)</f>
        <v>1.3113978607658143E-2</v>
      </c>
      <c r="AC99" s="438">
        <f>IF(AC69=0,0,-AC98/AC69)</f>
        <v>8.1086829372042316E-3</v>
      </c>
      <c r="AD99" s="438">
        <f>IF(AD69=0,0,-AD98/AD69)</f>
        <v>1.3358353741929329E-2</v>
      </c>
      <c r="AE99" s="439"/>
      <c r="AF99" s="438">
        <f t="shared" ref="AF99:BS99" si="311">IF(AF69=0,0,-AF98/AF69)</f>
        <v>1.1621598469489734E-2</v>
      </c>
      <c r="AG99" s="438">
        <f t="shared" si="311"/>
        <v>1.1640475596574372E-2</v>
      </c>
      <c r="AH99" s="438">
        <f t="shared" si="311"/>
        <v>1.384550986895064E-2</v>
      </c>
      <c r="AI99" s="439">
        <f t="shared" si="311"/>
        <v>4.8433466322459519E-2</v>
      </c>
      <c r="AJ99" s="438">
        <f t="shared" si="311"/>
        <v>1.4400497934702652E-2</v>
      </c>
      <c r="AK99" s="438">
        <f t="shared" si="311"/>
        <v>1.2209271662886979E-2</v>
      </c>
      <c r="AL99" s="438">
        <f t="shared" si="311"/>
        <v>1.4771978186612333E-2</v>
      </c>
      <c r="AM99" s="439">
        <f t="shared" si="311"/>
        <v>1.1408360812679503E-2</v>
      </c>
      <c r="AN99" s="438">
        <f t="shared" si="311"/>
        <v>1.4389411855233796E-2</v>
      </c>
      <c r="AO99" s="438">
        <f t="shared" si="311"/>
        <v>9.9239247049644017E-3</v>
      </c>
      <c r="AP99" s="438">
        <f t="shared" si="311"/>
        <v>1.50937992266934E-2</v>
      </c>
      <c r="AQ99" s="439">
        <f t="shared" si="311"/>
        <v>1.8236082062369284E-2</v>
      </c>
      <c r="AR99" s="438">
        <f t="shared" si="311"/>
        <v>1.2335688195796241E-2</v>
      </c>
      <c r="AS99" s="438">
        <f t="shared" si="311"/>
        <v>1.2628384687208217E-2</v>
      </c>
      <c r="AT99" s="438">
        <f t="shared" si="311"/>
        <v>1.4505505555834885E-2</v>
      </c>
      <c r="AU99" s="439">
        <f t="shared" si="311"/>
        <v>1.0057923947553379E-2</v>
      </c>
      <c r="AV99" s="438">
        <f t="shared" si="311"/>
        <v>1.194587027531498E-2</v>
      </c>
      <c r="AW99" s="438">
        <f t="shared" si="311"/>
        <v>4.7066277464756865E-3</v>
      </c>
      <c r="AX99" s="438">
        <f t="shared" si="311"/>
        <v>-6.9733607585411115E-3</v>
      </c>
      <c r="AY99" s="439">
        <f t="shared" si="311"/>
        <v>2.2923157392036032E-2</v>
      </c>
      <c r="AZ99" s="438">
        <f t="shared" si="311"/>
        <v>1.395746499946564E-2</v>
      </c>
      <c r="BA99" s="438">
        <f t="shared" si="311"/>
        <v>1.2993222735021414E-2</v>
      </c>
      <c r="BB99" s="438">
        <f t="shared" si="311"/>
        <v>1.3687736462876835E-2</v>
      </c>
      <c r="BC99" s="439">
        <f t="shared" si="311"/>
        <v>1.0044719642242858E-2</v>
      </c>
      <c r="BD99" s="438">
        <f t="shared" si="311"/>
        <v>1.357209323437961E-2</v>
      </c>
      <c r="BE99" s="438">
        <f t="shared" si="311"/>
        <v>1.629244579212091E-2</v>
      </c>
      <c r="BF99" s="438">
        <f t="shared" si="311"/>
        <v>1.2337044704302578E-2</v>
      </c>
      <c r="BG99" s="439">
        <f t="shared" si="311"/>
        <v>1.27494169473957E-2</v>
      </c>
      <c r="BH99" s="438">
        <f t="shared" si="311"/>
        <v>1.3428038158440483E-2</v>
      </c>
      <c r="BI99" s="438">
        <f t="shared" si="311"/>
        <v>1.2565971349585323E-2</v>
      </c>
      <c r="BJ99" s="438">
        <f t="shared" si="311"/>
        <v>1.321206318812829E-2</v>
      </c>
      <c r="BK99" s="439">
        <f t="shared" si="311"/>
        <v>1.3036455929856935E-2</v>
      </c>
      <c r="BL99" s="438">
        <f t="shared" si="311"/>
        <v>1.7663607434395611E-2</v>
      </c>
      <c r="BM99" s="438">
        <f t="shared" si="311"/>
        <v>1.3283647523016218E-2</v>
      </c>
      <c r="BN99" s="438">
        <f t="shared" si="311"/>
        <v>1.5581459240943523E-2</v>
      </c>
      <c r="BO99" s="439">
        <f t="shared" si="311"/>
        <v>1.3309509918319726E-2</v>
      </c>
      <c r="BP99" s="438">
        <f t="shared" si="311"/>
        <v>1.7321762804151777E-2</v>
      </c>
      <c r="BQ99" s="438">
        <f t="shared" si="311"/>
        <v>1.6769270232140567E-2</v>
      </c>
      <c r="BR99" s="438">
        <f t="shared" si="311"/>
        <v>1.4475743348982783E-2</v>
      </c>
      <c r="BS99" s="439">
        <f t="shared" si="311"/>
        <v>1.6664026611753521E-2</v>
      </c>
      <c r="BT99" s="438">
        <f t="shared" ref="BT99:CT99" si="312">-BT98/BT69</f>
        <v>1.4152689580545138E-2</v>
      </c>
      <c r="BU99" s="438">
        <f t="shared" si="312"/>
        <v>1.2947800777955997E-2</v>
      </c>
      <c r="BV99" s="438">
        <f t="shared" si="312"/>
        <v>1.297687861271677E-2</v>
      </c>
      <c r="BW99" s="439">
        <f t="shared" si="312"/>
        <v>1.396608237138375E-2</v>
      </c>
      <c r="BX99" s="438">
        <f t="shared" si="312"/>
        <v>1.2980241492864929E-2</v>
      </c>
      <c r="BY99" s="438">
        <f t="shared" si="312"/>
        <v>1.2687585266030039E-2</v>
      </c>
      <c r="BZ99" s="438">
        <f t="shared" si="312"/>
        <v>1.542032830376389E-2</v>
      </c>
      <c r="CA99" s="439">
        <f t="shared" si="312"/>
        <v>1.4115179867720554E-2</v>
      </c>
      <c r="CB99" s="438">
        <f t="shared" si="312"/>
        <v>1.330090446150332E-2</v>
      </c>
      <c r="CC99" s="438">
        <f t="shared" si="312"/>
        <v>1.3542097201624021E-2</v>
      </c>
      <c r="CD99" s="438">
        <f t="shared" si="312"/>
        <v>1.5519309799116879E-2</v>
      </c>
      <c r="CE99" s="439">
        <f t="shared" si="312"/>
        <v>1.6869904372547512E-2</v>
      </c>
      <c r="CF99" s="438">
        <f t="shared" si="312"/>
        <v>1.6675076838387058E-2</v>
      </c>
      <c r="CG99" s="438">
        <f t="shared" si="312"/>
        <v>1.4045495190944383E-2</v>
      </c>
      <c r="CH99" s="438">
        <f t="shared" si="312"/>
        <v>1.5049495593829024E-2</v>
      </c>
      <c r="CI99" s="439">
        <f t="shared" si="312"/>
        <v>1.5187814581181213E-2</v>
      </c>
      <c r="CJ99" s="438">
        <f t="shared" si="312"/>
        <v>1.4066439598354416E-2</v>
      </c>
      <c r="CK99" s="438">
        <f t="shared" si="312"/>
        <v>1.3462492718603423E-2</v>
      </c>
      <c r="CL99" s="438">
        <f t="shared" si="312"/>
        <v>1.3717294413781838E-2</v>
      </c>
      <c r="CM99" s="439">
        <f t="shared" si="312"/>
        <v>1.4308089573720446E-2</v>
      </c>
      <c r="CN99" s="438">
        <f t="shared" si="312"/>
        <v>1.4132229632647821E-2</v>
      </c>
      <c r="CO99" s="438">
        <f t="shared" si="312"/>
        <v>1.3672536403657213E-2</v>
      </c>
      <c r="CP99" s="438">
        <f t="shared" si="312"/>
        <v>1.4072993990809525E-2</v>
      </c>
      <c r="CQ99" s="439">
        <f t="shared" si="312"/>
        <v>1.4105739205340671E-2</v>
      </c>
      <c r="CR99" s="438">
        <f t="shared" si="312"/>
        <v>1.3063919175752689E-2</v>
      </c>
      <c r="CS99" s="438">
        <f t="shared" si="312"/>
        <v>1.2336039975015541E-2</v>
      </c>
      <c r="CT99" s="438">
        <f t="shared" si="312"/>
        <v>1.3228947104285894E-2</v>
      </c>
      <c r="CU99" s="439">
        <f t="shared" ref="CU99" si="313">-CU98/CU69</f>
        <v>1.3031805809314154E-2</v>
      </c>
      <c r="CV99" s="682">
        <f>CU99</f>
        <v>1.3031805809314154E-2</v>
      </c>
      <c r="CW99" s="682">
        <f>CV99</f>
        <v>1.3031805809314154E-2</v>
      </c>
      <c r="CX99" s="682">
        <f>CW99</f>
        <v>1.3031805809314154E-2</v>
      </c>
      <c r="CY99" s="681">
        <f>CX99</f>
        <v>1.3031805809314154E-2</v>
      </c>
      <c r="DA99" s="438"/>
      <c r="DB99" s="438"/>
      <c r="DC99" s="438"/>
      <c r="DD99" s="438"/>
      <c r="DE99" s="438"/>
      <c r="DF99" s="438"/>
      <c r="DG99" s="438"/>
      <c r="DH99" s="438">
        <f t="shared" ref="DH99:DW99" si="314">IF(DH69=0,0,-DH98/DH69)</f>
        <v>2.1343589216643304E-2</v>
      </c>
      <c r="DI99" s="438">
        <f t="shared" si="314"/>
        <v>1.3130346768714557E-2</v>
      </c>
      <c r="DJ99" s="438">
        <f t="shared" si="314"/>
        <v>1.4422069385966584E-2</v>
      </c>
      <c r="DK99" s="438">
        <f t="shared" si="314"/>
        <v>1.2364386792452829E-2</v>
      </c>
      <c r="DL99" s="438">
        <f t="shared" si="314"/>
        <v>8.4848910422957186E-3</v>
      </c>
      <c r="DM99" s="438">
        <f t="shared" si="314"/>
        <v>1.2689664368378067E-2</v>
      </c>
      <c r="DN99" s="438">
        <f t="shared" si="314"/>
        <v>1.3804313848077525E-2</v>
      </c>
      <c r="DO99" s="438">
        <f t="shared" si="314"/>
        <v>1.3050366604030802E-2</v>
      </c>
      <c r="DP99" s="438">
        <f t="shared" si="314"/>
        <v>1.486714033430531E-2</v>
      </c>
      <c r="DQ99" s="438">
        <f t="shared" si="314"/>
        <v>1.6340412792921644E-2</v>
      </c>
      <c r="DR99" s="438">
        <f t="shared" si="314"/>
        <v>1.3506163246565176E-2</v>
      </c>
      <c r="DS99" s="438">
        <f t="shared" si="314"/>
        <v>1.3798047381716373E-2</v>
      </c>
      <c r="DT99" s="438">
        <f t="shared" si="314"/>
        <v>1.4833066403843737E-2</v>
      </c>
      <c r="DU99" s="438">
        <f t="shared" si="314"/>
        <v>1.522510478189004E-2</v>
      </c>
      <c r="DV99" s="438">
        <f t="shared" si="314"/>
        <v>1.3892397069967024E-2</v>
      </c>
      <c r="DW99" s="438">
        <f t="shared" si="314"/>
        <v>1.3994115681815692E-2</v>
      </c>
      <c r="DX99" s="438">
        <f>-DX98/DX69</f>
        <v>1.2913470464650358E-2</v>
      </c>
      <c r="DY99" s="438">
        <f>-DY98/DY69</f>
        <v>1.3031805809314154E-2</v>
      </c>
      <c r="DZ99" s="682">
        <f>DY99</f>
        <v>1.3031805809314154E-2</v>
      </c>
      <c r="EA99" s="682">
        <f>DZ99</f>
        <v>1.3031805809314154E-2</v>
      </c>
      <c r="EB99" s="682">
        <f>EA99</f>
        <v>1.3031805809314154E-2</v>
      </c>
      <c r="EC99" s="682">
        <f>EB99</f>
        <v>1.3031805809314154E-2</v>
      </c>
      <c r="ED99" s="682">
        <f>EC99</f>
        <v>1.3031805809314154E-2</v>
      </c>
      <c r="EE99" s="435"/>
    </row>
    <row r="100" spans="1:135" s="675" customFormat="1" ht="15" collapsed="1">
      <c r="A100" s="133"/>
      <c r="B100" s="735" t="s">
        <v>55</v>
      </c>
      <c r="C100" s="735"/>
      <c r="D100" s="736"/>
      <c r="E100" s="737"/>
      <c r="F100" s="737"/>
      <c r="G100" s="738"/>
      <c r="H100" s="737"/>
      <c r="I100" s="737"/>
      <c r="J100" s="737"/>
      <c r="K100" s="738"/>
      <c r="L100" s="737"/>
      <c r="M100" s="737"/>
      <c r="N100" s="737"/>
      <c r="O100" s="738"/>
      <c r="P100" s="737"/>
      <c r="Q100" s="737"/>
      <c r="R100" s="737"/>
      <c r="S100" s="738"/>
      <c r="T100" s="737"/>
      <c r="U100" s="737"/>
      <c r="V100" s="737"/>
      <c r="W100" s="738"/>
      <c r="X100" s="737"/>
      <c r="Y100" s="737"/>
      <c r="Z100" s="737"/>
      <c r="AA100" s="738"/>
      <c r="AB100" s="737">
        <f>AB74+AB98+AB85+AB96</f>
        <v>215.9</v>
      </c>
      <c r="AC100" s="737">
        <f>AC74+AC98+AC85+AC96</f>
        <v>268.10000000000002</v>
      </c>
      <c r="AD100" s="737">
        <f>AD74+AD98+AD85+AD96</f>
        <v>180.5</v>
      </c>
      <c r="AE100" s="738"/>
      <c r="AF100" s="737">
        <f t="shared" ref="AF100:BS100" si="315">AF74+AF98+AF85+AF96</f>
        <v>134.6</v>
      </c>
      <c r="AG100" s="737">
        <f t="shared" si="315"/>
        <v>179.9</v>
      </c>
      <c r="AH100" s="737">
        <f t="shared" si="315"/>
        <v>137.5</v>
      </c>
      <c r="AI100" s="738">
        <f t="shared" si="315"/>
        <v>68.599999999999966</v>
      </c>
      <c r="AJ100" s="737">
        <f t="shared" si="315"/>
        <v>141</v>
      </c>
      <c r="AK100" s="737">
        <f t="shared" si="315"/>
        <v>196.39999999999998</v>
      </c>
      <c r="AL100" s="737">
        <f t="shared" si="315"/>
        <v>158.9</v>
      </c>
      <c r="AM100" s="738">
        <f t="shared" si="315"/>
        <v>246.80000000000007</v>
      </c>
      <c r="AN100" s="737">
        <f t="shared" si="315"/>
        <v>161.9</v>
      </c>
      <c r="AO100" s="737">
        <f t="shared" si="315"/>
        <v>211.70000000000002</v>
      </c>
      <c r="AP100" s="737">
        <f t="shared" si="315"/>
        <v>163.1</v>
      </c>
      <c r="AQ100" s="738">
        <f t="shared" si="315"/>
        <v>236.10000000000008</v>
      </c>
      <c r="AR100" s="737">
        <f t="shared" si="315"/>
        <v>179.2</v>
      </c>
      <c r="AS100" s="737">
        <f t="shared" si="315"/>
        <v>218.3</v>
      </c>
      <c r="AT100" s="737">
        <f t="shared" si="315"/>
        <v>167.1</v>
      </c>
      <c r="AU100" s="738">
        <f t="shared" si="315"/>
        <v>203.79999999999998</v>
      </c>
      <c r="AV100" s="737">
        <f t="shared" si="315"/>
        <v>48.8</v>
      </c>
      <c r="AW100" s="737">
        <f t="shared" si="315"/>
        <v>87</v>
      </c>
      <c r="AX100" s="737">
        <f t="shared" si="315"/>
        <v>49.7</v>
      </c>
      <c r="AY100" s="738">
        <f t="shared" si="315"/>
        <v>137.89999999999998</v>
      </c>
      <c r="AZ100" s="737">
        <f t="shared" si="315"/>
        <v>79.200000000000017</v>
      </c>
      <c r="BA100" s="737">
        <f t="shared" si="315"/>
        <v>139.29999999999998</v>
      </c>
      <c r="BB100" s="737">
        <f t="shared" si="315"/>
        <v>46.20000000000001</v>
      </c>
      <c r="BC100" s="738">
        <f t="shared" si="315"/>
        <v>129.60000000000005</v>
      </c>
      <c r="BD100" s="737">
        <f t="shared" si="315"/>
        <v>181.39999999999998</v>
      </c>
      <c r="BE100" s="737">
        <f t="shared" si="315"/>
        <v>221.29999999999998</v>
      </c>
      <c r="BF100" s="737">
        <f t="shared" si="315"/>
        <v>170.4</v>
      </c>
      <c r="BG100" s="738">
        <f t="shared" si="315"/>
        <v>178.6</v>
      </c>
      <c r="BH100" s="737">
        <f t="shared" si="315"/>
        <v>186.5</v>
      </c>
      <c r="BI100" s="737">
        <f t="shared" si="315"/>
        <v>163.79999999999998</v>
      </c>
      <c r="BJ100" s="737">
        <f t="shared" si="315"/>
        <v>46.099999999999994</v>
      </c>
      <c r="BK100" s="738">
        <f t="shared" si="315"/>
        <v>22.000000000000007</v>
      </c>
      <c r="BL100" s="737">
        <f t="shared" si="315"/>
        <v>-66.7</v>
      </c>
      <c r="BM100" s="737">
        <f t="shared" si="315"/>
        <v>-52.5</v>
      </c>
      <c r="BN100" s="737">
        <f t="shared" si="315"/>
        <v>110.50000000000001</v>
      </c>
      <c r="BO100" s="738">
        <f t="shared" si="315"/>
        <v>115.49999999999997</v>
      </c>
      <c r="BP100" s="737">
        <f t="shared" si="315"/>
        <v>138.19999999999999</v>
      </c>
      <c r="BQ100" s="737">
        <f t="shared" si="315"/>
        <v>189.8</v>
      </c>
      <c r="BR100" s="737">
        <f t="shared" si="315"/>
        <v>149.5</v>
      </c>
      <c r="BS100" s="738">
        <f t="shared" si="315"/>
        <v>149.9</v>
      </c>
      <c r="BT100" s="737">
        <f>Financials!BT15</f>
        <v>204.99999999999963</v>
      </c>
      <c r="BU100" s="737">
        <f>Financials!BU15</f>
        <v>227.60000000000036</v>
      </c>
      <c r="BV100" s="737">
        <f>Financials!BV15</f>
        <v>177.89999999999998</v>
      </c>
      <c r="BW100" s="738">
        <f>Financials!BW15</f>
        <v>176.00000000000011</v>
      </c>
      <c r="BX100" s="737">
        <f>Financials!BX15</f>
        <v>195.30000000000021</v>
      </c>
      <c r="BY100" s="737">
        <f>Financials!BY15</f>
        <v>197.1999999999999</v>
      </c>
      <c r="BZ100" s="737">
        <f>Financials!BZ15</f>
        <v>179.29999999999998</v>
      </c>
      <c r="CA100" s="738">
        <f>Financials!CA15</f>
        <v>190.80000000000018</v>
      </c>
      <c r="CB100" s="737">
        <f>Financials!CB15</f>
        <v>201.00000000000026</v>
      </c>
      <c r="CC100" s="737">
        <f>Financials!CC15</f>
        <v>223.70000000000024</v>
      </c>
      <c r="CD100" s="737">
        <f>Financials!CD15</f>
        <v>206.4999999999998</v>
      </c>
      <c r="CE100" s="738">
        <f>Financials!CE15</f>
        <v>208.20000000000053</v>
      </c>
      <c r="CF100" s="737">
        <f>Financials!CF15</f>
        <v>243.2000000000001</v>
      </c>
      <c r="CG100" s="737">
        <f>Financials!CG15</f>
        <v>274.7000000000009</v>
      </c>
      <c r="CH100" s="737">
        <f>Financials!CH15</f>
        <v>251.39999999999989</v>
      </c>
      <c r="CI100" s="738">
        <f>Financials!CI15</f>
        <v>280.29999999999984</v>
      </c>
      <c r="CJ100" s="737">
        <f>Financials!CJ15</f>
        <v>293.60000000000036</v>
      </c>
      <c r="CK100" s="737">
        <f>Financials!CK15</f>
        <v>337.40000000000128</v>
      </c>
      <c r="CL100" s="737">
        <f>Financials!CL15</f>
        <v>320.30000000000052</v>
      </c>
      <c r="CM100" s="738">
        <f>Financials!CM15</f>
        <v>358.90000000000038</v>
      </c>
      <c r="CN100" s="737">
        <f>Financials!CN15</f>
        <v>386.79999999999995</v>
      </c>
      <c r="CO100" s="737">
        <f>Financials!CO15</f>
        <v>398.5000000000004</v>
      </c>
      <c r="CP100" s="737">
        <f>Financials!CP15</f>
        <v>363.89999999999975</v>
      </c>
      <c r="CQ100" s="738">
        <f>Financials!CQ15</f>
        <v>385.60000000000059</v>
      </c>
      <c r="CR100" s="737">
        <f>Financials!CR15</f>
        <v>431.50000000000017</v>
      </c>
      <c r="CS100" s="737">
        <f>Financials!CS15</f>
        <v>438.90000000000038</v>
      </c>
      <c r="CT100" s="737">
        <f>Financials!CT15</f>
        <v>407.49999999999983</v>
      </c>
      <c r="CU100" s="738">
        <f>Financials!CU15</f>
        <v>443.6000000000007</v>
      </c>
      <c r="CV100" s="733">
        <f>CV74+CV98+CV85+CV96</f>
        <v>468.03491776102334</v>
      </c>
      <c r="CW100" s="733">
        <f>CW74+CW98+CW85+CW96</f>
        <v>475.52167757162897</v>
      </c>
      <c r="CX100" s="733">
        <f>CX74+CX98+CX85+CX96</f>
        <v>429.47657195959152</v>
      </c>
      <c r="CY100" s="734">
        <f>CY74+CY98+CY85+CY96</f>
        <v>443.45735782824499</v>
      </c>
      <c r="CZ100" s="599"/>
      <c r="DA100" s="737"/>
      <c r="DB100" s="737"/>
      <c r="DC100" s="737"/>
      <c r="DD100" s="737"/>
      <c r="DE100" s="737"/>
      <c r="DF100" s="737"/>
      <c r="DG100" s="737"/>
      <c r="DH100" s="737">
        <f t="shared" ref="DH100:DQ100" si="316">DH74+DH98+DH85+DH96</f>
        <v>520.59999999999991</v>
      </c>
      <c r="DI100" s="737">
        <f t="shared" si="316"/>
        <v>743.1</v>
      </c>
      <c r="DJ100" s="737">
        <f t="shared" si="316"/>
        <v>772.8</v>
      </c>
      <c r="DK100" s="737">
        <f t="shared" si="316"/>
        <v>768.40000000000009</v>
      </c>
      <c r="DL100" s="737">
        <f t="shared" si="316"/>
        <v>323.39999999999998</v>
      </c>
      <c r="DM100" s="737">
        <f t="shared" si="316"/>
        <v>394.3</v>
      </c>
      <c r="DN100" s="737">
        <f t="shared" si="316"/>
        <v>751.7</v>
      </c>
      <c r="DO100" s="737">
        <f t="shared" si="316"/>
        <v>418.4</v>
      </c>
      <c r="DP100" s="737">
        <f t="shared" si="316"/>
        <v>106.79999999999997</v>
      </c>
      <c r="DQ100" s="737">
        <f t="shared" si="316"/>
        <v>627.4</v>
      </c>
      <c r="DR100" s="737">
        <f>Financials!DR15</f>
        <v>786.49999999999966</v>
      </c>
      <c r="DS100" s="737">
        <f>Financials!DS15</f>
        <v>762.59999999999889</v>
      </c>
      <c r="DT100" s="737">
        <f>Financials!DT15</f>
        <v>839.40000000000168</v>
      </c>
      <c r="DU100" s="737">
        <f>Financials!DU15</f>
        <v>1049.6000000000026</v>
      </c>
      <c r="DV100" s="737">
        <f>Financials!DV15</f>
        <v>1310.2000000000025</v>
      </c>
      <c r="DW100" s="737">
        <f>Financials!DW15</f>
        <v>1534.8000000000006</v>
      </c>
      <c r="DX100" s="737">
        <f t="shared" ref="DX100:ED100" si="317">DX74+DX98+DX85+DX96</f>
        <v>1721.5000000000011</v>
      </c>
      <c r="DY100" s="737">
        <f t="shared" si="317"/>
        <v>1816.4905251204891</v>
      </c>
      <c r="DZ100" s="737">
        <f t="shared" si="317"/>
        <v>1868.1430839853529</v>
      </c>
      <c r="EA100" s="737">
        <f t="shared" si="317"/>
        <v>1837.9537529511742</v>
      </c>
      <c r="EB100" s="737">
        <f t="shared" si="317"/>
        <v>1795.5434047870326</v>
      </c>
      <c r="EC100" s="737">
        <f t="shared" si="317"/>
        <v>1729.6532828395586</v>
      </c>
      <c r="ED100" s="737">
        <f t="shared" si="317"/>
        <v>1639.9010158781668</v>
      </c>
      <c r="EE100" s="676"/>
    </row>
    <row r="101" spans="1:135" s="599" customFormat="1" ht="15">
      <c r="A101" s="133"/>
      <c r="B101" s="304" t="s">
        <v>203</v>
      </c>
      <c r="C101" s="435"/>
      <c r="D101" s="598"/>
      <c r="E101" s="432"/>
      <c r="F101" s="432"/>
      <c r="G101" s="433"/>
      <c r="H101" s="432"/>
      <c r="I101" s="432"/>
      <c r="J101" s="432"/>
      <c r="K101" s="433"/>
      <c r="L101" s="432"/>
      <c r="M101" s="432"/>
      <c r="N101" s="432"/>
      <c r="O101" s="433"/>
      <c r="P101" s="432"/>
      <c r="Q101" s="432"/>
      <c r="R101" s="432"/>
      <c r="S101" s="433"/>
      <c r="T101" s="432"/>
      <c r="U101" s="432"/>
      <c r="V101" s="432"/>
      <c r="W101" s="433"/>
      <c r="X101" s="432"/>
      <c r="Y101" s="432"/>
      <c r="Z101" s="432"/>
      <c r="AA101" s="433"/>
      <c r="AB101" s="432">
        <f>AB100/AB69</f>
        <v>5.6739638905679221E-2</v>
      </c>
      <c r="AC101" s="432">
        <f>AC100/AC69</f>
        <v>7.1276652310309996E-2</v>
      </c>
      <c r="AD101" s="432">
        <f>AD100/AD69</f>
        <v>5.740911548614866E-2</v>
      </c>
      <c r="AE101" s="433"/>
      <c r="AF101" s="432">
        <f t="shared" ref="AF101:BK101" si="318">AF100/AF69</f>
        <v>3.8434082407698231E-2</v>
      </c>
      <c r="AG101" s="432">
        <f t="shared" si="318"/>
        <v>4.9860037138660232E-2</v>
      </c>
      <c r="AH101" s="432">
        <f t="shared" si="318"/>
        <v>4.4273432720481697E-2</v>
      </c>
      <c r="AI101" s="433">
        <f t="shared" si="318"/>
        <v>2.0124383947430168E-2</v>
      </c>
      <c r="AJ101" s="432">
        <f t="shared" si="318"/>
        <v>3.9891359701239172E-2</v>
      </c>
      <c r="AK101" s="432">
        <f t="shared" si="318"/>
        <v>5.179051737777543E-2</v>
      </c>
      <c r="AL101" s="432">
        <f t="shared" si="318"/>
        <v>4.761191346557201E-2</v>
      </c>
      <c r="AM101" s="433">
        <f t="shared" si="318"/>
        <v>6.5631315817466229E-2</v>
      </c>
      <c r="AN101" s="432">
        <f t="shared" si="318"/>
        <v>4.1526662733731762E-2</v>
      </c>
      <c r="AO101" s="432">
        <f t="shared" si="318"/>
        <v>5.161903833024481E-2</v>
      </c>
      <c r="AP101" s="432">
        <f t="shared" si="318"/>
        <v>4.6713446942574822E-2</v>
      </c>
      <c r="AQ101" s="433">
        <f t="shared" si="318"/>
        <v>5.5483749676873577E-2</v>
      </c>
      <c r="AR101" s="432">
        <f t="shared" si="318"/>
        <v>3.9194243345508625E-2</v>
      </c>
      <c r="AS101" s="432">
        <f t="shared" si="318"/>
        <v>5.0957049486461251E-2</v>
      </c>
      <c r="AT101" s="432">
        <f t="shared" si="318"/>
        <v>4.2008145205892709E-2</v>
      </c>
      <c r="AU101" s="433">
        <f t="shared" si="318"/>
        <v>4.9392889168948878E-2</v>
      </c>
      <c r="AV101" s="432">
        <f t="shared" si="318"/>
        <v>1.1385907606159588E-2</v>
      </c>
      <c r="AW101" s="432">
        <f t="shared" si="318"/>
        <v>1.9686375670355034E-2</v>
      </c>
      <c r="AX101" s="432">
        <f t="shared" si="318"/>
        <v>1.2466763658255154E-2</v>
      </c>
      <c r="AY101" s="433">
        <f t="shared" si="318"/>
        <v>3.1360152821049279E-2</v>
      </c>
      <c r="AZ101" s="432">
        <f t="shared" si="318"/>
        <v>1.6928502725232449E-2</v>
      </c>
      <c r="BA101" s="432">
        <f t="shared" si="318"/>
        <v>2.8959294831815724E-2</v>
      </c>
      <c r="BB101" s="432">
        <f t="shared" si="318"/>
        <v>1.1133334939875174E-2</v>
      </c>
      <c r="BC101" s="433">
        <f t="shared" si="318"/>
        <v>2.9721362229102179E-2</v>
      </c>
      <c r="BD101" s="432">
        <f t="shared" si="318"/>
        <v>4.1170195864823761E-2</v>
      </c>
      <c r="BE101" s="432">
        <f t="shared" si="318"/>
        <v>5.3257285875869365E-2</v>
      </c>
      <c r="BF101" s="432">
        <f t="shared" si="318"/>
        <v>4.7669669333631731E-2</v>
      </c>
      <c r="BG101" s="433">
        <f t="shared" si="318"/>
        <v>4.6281420057009588E-2</v>
      </c>
      <c r="BH101" s="432">
        <f t="shared" si="318"/>
        <v>4.8346121941103277E-2</v>
      </c>
      <c r="BI101" s="432">
        <f t="shared" si="318"/>
        <v>4.1166122141241511E-2</v>
      </c>
      <c r="BJ101" s="432">
        <f t="shared" si="318"/>
        <v>1.4711983405138023E-2</v>
      </c>
      <c r="BK101" s="433">
        <f t="shared" si="318"/>
        <v>8.4602368866328274E-3</v>
      </c>
      <c r="BL101" s="432">
        <f t="shared" ref="BL101:CQ101" si="319">BL100/BL69</f>
        <v>-3.0761426001937001E-2</v>
      </c>
      <c r="BM101" s="432">
        <f t="shared" si="319"/>
        <v>-2.3016220955721176E-2</v>
      </c>
      <c r="BN101" s="432">
        <f t="shared" si="319"/>
        <v>4.3369049020762197E-2</v>
      </c>
      <c r="BO101" s="433">
        <f t="shared" si="319"/>
        <v>4.2116394399066504E-2</v>
      </c>
      <c r="BP101" s="432">
        <f t="shared" si="319"/>
        <v>4.7030798026203843E-2</v>
      </c>
      <c r="BQ101" s="432">
        <f t="shared" si="319"/>
        <v>6.0856739771707066E-2</v>
      </c>
      <c r="BR101" s="432">
        <f t="shared" si="319"/>
        <v>5.317257077820458E-2</v>
      </c>
      <c r="BS101" s="433">
        <f t="shared" si="319"/>
        <v>4.7489307777601776E-2</v>
      </c>
      <c r="BT101" s="432">
        <f t="shared" si="319"/>
        <v>5.8376284990175595E-2</v>
      </c>
      <c r="BU101" s="432">
        <f t="shared" si="319"/>
        <v>6.1910072627370007E-2</v>
      </c>
      <c r="BV101" s="432">
        <f t="shared" si="319"/>
        <v>5.1416184971098261E-2</v>
      </c>
      <c r="BW101" s="433">
        <f t="shared" si="319"/>
        <v>5.0163887701296886E-2</v>
      </c>
      <c r="BX101" s="432">
        <f t="shared" si="319"/>
        <v>5.3594950603732219E-2</v>
      </c>
      <c r="BY101" s="432">
        <f t="shared" si="319"/>
        <v>5.3806275579808979E-2</v>
      </c>
      <c r="BZ101" s="432">
        <f t="shared" si="319"/>
        <v>4.9549549549549543E-2</v>
      </c>
      <c r="CA101" s="433">
        <f t="shared" si="319"/>
        <v>5.1298596547830345E-2</v>
      </c>
      <c r="CB101" s="432">
        <f t="shared" si="319"/>
        <v>5.0923462795470158E-2</v>
      </c>
      <c r="CC101" s="432">
        <f t="shared" si="319"/>
        <v>5.4387201867204839E-2</v>
      </c>
      <c r="CD101" s="432">
        <f t="shared" si="319"/>
        <v>5.2709497919697736E-2</v>
      </c>
      <c r="CE101" s="433">
        <f t="shared" si="319"/>
        <v>4.8918023542680038E-2</v>
      </c>
      <c r="CF101" s="432">
        <f t="shared" si="319"/>
        <v>5.5782375338318292E-2</v>
      </c>
      <c r="CG101" s="432">
        <f t="shared" si="319"/>
        <v>5.9911452312926848E-2</v>
      </c>
      <c r="CH101" s="432">
        <f t="shared" si="319"/>
        <v>5.9394712594797623E-2</v>
      </c>
      <c r="CI101" s="433">
        <f t="shared" si="319"/>
        <v>6.1608457700507692E-2</v>
      </c>
      <c r="CJ101" s="432">
        <f t="shared" si="319"/>
        <v>6.4935639403724599E-2</v>
      </c>
      <c r="CK101" s="432">
        <f t="shared" si="319"/>
        <v>7.2792388513732445E-2</v>
      </c>
      <c r="CL101" s="432">
        <f t="shared" si="319"/>
        <v>7.3967161628524694E-2</v>
      </c>
      <c r="CM101" s="433">
        <f t="shared" si="319"/>
        <v>7.5964102781187898E-2</v>
      </c>
      <c r="CN101" s="432">
        <f t="shared" si="319"/>
        <v>8.2949111106345549E-2</v>
      </c>
      <c r="CO101" s="432">
        <f t="shared" si="319"/>
        <v>8.434219437859812E-2</v>
      </c>
      <c r="CP101" s="432">
        <f t="shared" si="319"/>
        <v>8.0395015906680745E-2</v>
      </c>
      <c r="CQ101" s="433">
        <f t="shared" si="319"/>
        <v>8.3040809734036949E-2</v>
      </c>
      <c r="CR101" s="432">
        <f t="shared" ref="CR101:CT101" si="320">CR100/CR69</f>
        <v>8.6325897769330834E-2</v>
      </c>
      <c r="CS101" s="432">
        <f t="shared" si="320"/>
        <v>8.566911305434112E-2</v>
      </c>
      <c r="CT101" s="432">
        <f t="shared" si="320"/>
        <v>8.1802669878550602E-2</v>
      </c>
      <c r="CU101" s="433">
        <f t="shared" ref="CU101" si="321">CU100/CU69</f>
        <v>8.270256161676437E-2</v>
      </c>
      <c r="CV101" s="432">
        <f t="shared" ref="CV101:CY101" si="322">CV100/CV69</f>
        <v>8.5506441187655741E-2</v>
      </c>
      <c r="CW101" s="432">
        <f t="shared" si="322"/>
        <v>8.4460975938971755E-2</v>
      </c>
      <c r="CX101" s="432">
        <f t="shared" si="322"/>
        <v>8.0417516985670859E-2</v>
      </c>
      <c r="CY101" s="433">
        <f t="shared" si="322"/>
        <v>8.0404287820486059E-2</v>
      </c>
      <c r="DA101" s="432"/>
      <c r="DB101" s="432"/>
      <c r="DC101" s="432"/>
      <c r="DD101" s="432"/>
      <c r="DE101" s="432"/>
      <c r="DF101" s="432"/>
      <c r="DG101" s="432"/>
      <c r="DH101" s="432">
        <f t="shared" ref="DH101:EA101" si="323">DH100/DH69</f>
        <v>3.8210015633371737E-2</v>
      </c>
      <c r="DI101" s="432">
        <f t="shared" si="323"/>
        <v>5.1516159893515247E-2</v>
      </c>
      <c r="DJ101" s="432">
        <f t="shared" si="323"/>
        <v>4.9076949456076512E-2</v>
      </c>
      <c r="DK101" s="432">
        <f t="shared" si="323"/>
        <v>4.5306603773584912E-2</v>
      </c>
      <c r="DL101" s="432">
        <f t="shared" si="323"/>
        <v>1.892423284881679E-2</v>
      </c>
      <c r="DM101" s="432">
        <f t="shared" si="323"/>
        <v>2.1906894310207849E-2</v>
      </c>
      <c r="DN101" s="432">
        <f t="shared" si="323"/>
        <v>4.6995936230071901E-2</v>
      </c>
      <c r="DO101" s="432">
        <f t="shared" si="323"/>
        <v>3.0831583213588296E-2</v>
      </c>
      <c r="DP101" s="432">
        <f t="shared" si="323"/>
        <v>1.0965542732761095E-2</v>
      </c>
      <c r="DQ101" s="432">
        <f t="shared" si="323"/>
        <v>5.2172900693532018E-2</v>
      </c>
      <c r="DR101" s="432">
        <f t="shared" si="323"/>
        <v>5.5557517748030916E-2</v>
      </c>
      <c r="DS101" s="432">
        <f t="shared" si="323"/>
        <v>5.2065269338430996E-2</v>
      </c>
      <c r="DT101" s="432">
        <f t="shared" si="323"/>
        <v>5.1706295429345926E-2</v>
      </c>
      <c r="DU101" s="432">
        <f t="shared" si="323"/>
        <v>5.9208114038799067E-2</v>
      </c>
      <c r="DV101" s="432">
        <f t="shared" si="323"/>
        <v>7.1943947197909142E-2</v>
      </c>
      <c r="DW101" s="432">
        <f t="shared" si="323"/>
        <v>8.2703768765694227E-2</v>
      </c>
      <c r="DX101" s="432">
        <f>DX100/DX69</f>
        <v>8.4111007964039725E-2</v>
      </c>
      <c r="DY101" s="432">
        <f>DY100/DY69</f>
        <v>8.2719333212301321E-2</v>
      </c>
      <c r="DZ101" s="432">
        <f t="shared" si="323"/>
        <v>8.0117963901264785E-2</v>
      </c>
      <c r="EA101" s="432">
        <f t="shared" si="323"/>
        <v>7.5040211490722444E-2</v>
      </c>
      <c r="EB101" s="432">
        <f t="shared" ref="EB101:ED101" si="324">EB100/EB69</f>
        <v>7.0060201187766208E-2</v>
      </c>
      <c r="EC101" s="432">
        <f t="shared" si="324"/>
        <v>6.5179274137825066E-2</v>
      </c>
      <c r="ED101" s="432">
        <f t="shared" si="324"/>
        <v>6.0401264560515984E-2</v>
      </c>
      <c r="EE101" s="435"/>
    </row>
    <row r="102" spans="1:135" s="109" customFormat="1" ht="15">
      <c r="A102" s="133"/>
      <c r="B102" s="684"/>
      <c r="C102" s="677"/>
      <c r="D102" s="678"/>
      <c r="E102" s="544"/>
      <c r="F102" s="544"/>
      <c r="G102" s="679"/>
      <c r="H102" s="544"/>
      <c r="I102" s="544"/>
      <c r="J102" s="544"/>
      <c r="K102" s="679"/>
      <c r="L102" s="544"/>
      <c r="M102" s="544"/>
      <c r="N102" s="544"/>
      <c r="O102" s="679"/>
      <c r="P102" s="544"/>
      <c r="Q102" s="544"/>
      <c r="R102" s="544"/>
      <c r="S102" s="679"/>
      <c r="T102" s="544"/>
      <c r="U102" s="544"/>
      <c r="V102" s="544"/>
      <c r="W102" s="679"/>
      <c r="X102" s="544"/>
      <c r="Y102" s="544"/>
      <c r="Z102" s="544"/>
      <c r="AA102" s="679"/>
      <c r="AB102" s="544"/>
      <c r="AC102" s="544"/>
      <c r="AD102" s="544"/>
      <c r="AE102" s="679"/>
      <c r="AF102" s="544"/>
      <c r="AG102" s="544"/>
      <c r="AH102" s="544"/>
      <c r="AI102" s="679"/>
      <c r="AJ102" s="544"/>
      <c r="AK102" s="544"/>
      <c r="AL102" s="544"/>
      <c r="AM102" s="679"/>
      <c r="AN102" s="544"/>
      <c r="AO102" s="544"/>
      <c r="AP102" s="544"/>
      <c r="AQ102" s="679"/>
      <c r="AR102" s="544"/>
      <c r="AS102" s="544"/>
      <c r="AT102" s="544"/>
      <c r="AU102" s="679"/>
      <c r="AV102" s="544"/>
      <c r="AW102" s="544"/>
      <c r="AX102" s="544"/>
      <c r="AY102" s="679"/>
      <c r="AZ102" s="544"/>
      <c r="BA102" s="544"/>
      <c r="BB102" s="544"/>
      <c r="BC102" s="679"/>
      <c r="BD102" s="544"/>
      <c r="BE102" s="544"/>
      <c r="BF102" s="544"/>
      <c r="BG102" s="679"/>
      <c r="BH102" s="544"/>
      <c r="BI102" s="544"/>
      <c r="BJ102" s="544"/>
      <c r="BK102" s="679"/>
      <c r="BL102" s="544"/>
      <c r="BM102" s="544"/>
      <c r="BN102" s="544"/>
      <c r="BO102" s="679"/>
      <c r="BP102" s="544"/>
      <c r="BQ102" s="544"/>
      <c r="BR102" s="544"/>
      <c r="BS102" s="679"/>
      <c r="BT102" s="544"/>
      <c r="BU102" s="544"/>
      <c r="BV102" s="544"/>
      <c r="BW102" s="679"/>
      <c r="BX102" s="544"/>
      <c r="BY102" s="544"/>
      <c r="BZ102" s="544"/>
      <c r="CA102" s="679"/>
      <c r="CB102" s="544"/>
      <c r="CC102" s="544"/>
      <c r="CD102" s="544"/>
      <c r="CE102" s="679"/>
      <c r="CF102" s="544"/>
      <c r="CG102" s="544"/>
      <c r="CH102" s="544"/>
      <c r="CI102" s="679"/>
      <c r="CJ102" s="544"/>
      <c r="CK102" s="544"/>
      <c r="CL102" s="544"/>
      <c r="CM102" s="679"/>
      <c r="CN102" s="544"/>
      <c r="CO102" s="544"/>
      <c r="CP102" s="544"/>
      <c r="CQ102" s="679"/>
      <c r="CR102" s="544"/>
      <c r="CS102" s="544"/>
      <c r="CT102" s="544"/>
      <c r="CU102" s="679"/>
      <c r="CV102" s="544"/>
      <c r="CW102" s="544"/>
      <c r="CX102" s="544"/>
      <c r="CY102" s="679"/>
      <c r="CZ102" s="7"/>
      <c r="DA102" s="544"/>
      <c r="DB102" s="544"/>
      <c r="DC102" s="544"/>
      <c r="DD102" s="544"/>
      <c r="DE102" s="544"/>
      <c r="DF102" s="544"/>
      <c r="DG102" s="544"/>
      <c r="DH102" s="544"/>
      <c r="DI102" s="544"/>
      <c r="DJ102" s="544"/>
      <c r="DK102" s="544"/>
      <c r="DL102" s="544"/>
      <c r="DM102" s="544"/>
      <c r="DN102" s="544"/>
      <c r="DO102" s="544"/>
      <c r="DP102" s="544"/>
      <c r="DQ102" s="544"/>
      <c r="DR102" s="544"/>
      <c r="DS102" s="544"/>
      <c r="DT102" s="544"/>
      <c r="DU102" s="544"/>
      <c r="DV102" s="544"/>
      <c r="DW102" s="544"/>
      <c r="DX102" s="544"/>
      <c r="DY102" s="354"/>
      <c r="DZ102" s="354"/>
      <c r="EA102" s="354"/>
      <c r="EB102" s="354"/>
      <c r="EC102" s="544"/>
      <c r="ED102" s="544"/>
      <c r="EE102" s="136"/>
    </row>
    <row r="103" spans="1:135" s="109" customFormat="1" ht="15">
      <c r="A103" s="133"/>
      <c r="B103" s="311" t="s">
        <v>285</v>
      </c>
      <c r="C103" s="677"/>
      <c r="D103" s="678"/>
      <c r="E103" s="544"/>
      <c r="F103" s="544"/>
      <c r="G103" s="679"/>
      <c r="H103" s="544"/>
      <c r="I103" s="544"/>
      <c r="J103" s="544"/>
      <c r="K103" s="679"/>
      <c r="L103" s="544"/>
      <c r="M103" s="544"/>
      <c r="N103" s="544"/>
      <c r="O103" s="679"/>
      <c r="P103" s="544"/>
      <c r="Q103" s="544"/>
      <c r="R103" s="544"/>
      <c r="S103" s="679"/>
      <c r="T103" s="544"/>
      <c r="U103" s="544"/>
      <c r="V103" s="544"/>
      <c r="W103" s="679"/>
      <c r="X103" s="544"/>
      <c r="Y103" s="544"/>
      <c r="Z103" s="544"/>
      <c r="AA103" s="679"/>
      <c r="AB103" s="544"/>
      <c r="AC103" s="544"/>
      <c r="AD103" s="544"/>
      <c r="AE103" s="679"/>
      <c r="AF103" s="544"/>
      <c r="AG103" s="544"/>
      <c r="AH103" s="544"/>
      <c r="AI103" s="679"/>
      <c r="AJ103" s="544"/>
      <c r="AK103" s="544"/>
      <c r="AL103" s="544"/>
      <c r="AM103" s="679"/>
      <c r="AN103" s="544"/>
      <c r="AO103" s="544"/>
      <c r="AP103" s="544"/>
      <c r="AQ103" s="679"/>
      <c r="AR103" s="544"/>
      <c r="AS103" s="544"/>
      <c r="AT103" s="544"/>
      <c r="AU103" s="679"/>
      <c r="AV103" s="544"/>
      <c r="AW103" s="544"/>
      <c r="AX103" s="544"/>
      <c r="AY103" s="679"/>
      <c r="AZ103" s="544"/>
      <c r="BA103" s="544"/>
      <c r="BB103" s="544"/>
      <c r="BC103" s="679"/>
      <c r="BD103" s="544"/>
      <c r="BE103" s="544"/>
      <c r="BF103" s="544"/>
      <c r="BG103" s="679"/>
      <c r="BH103" s="544"/>
      <c r="BI103" s="544"/>
      <c r="BJ103" s="544"/>
      <c r="BK103" s="679"/>
      <c r="BL103" s="544"/>
      <c r="BM103" s="544"/>
      <c r="BN103" s="544"/>
      <c r="BO103" s="679"/>
      <c r="BP103" s="544"/>
      <c r="BQ103" s="544"/>
      <c r="BR103" s="544"/>
      <c r="BS103" s="679"/>
      <c r="BT103" s="544"/>
      <c r="BU103" s="544"/>
      <c r="BV103" s="544"/>
      <c r="BW103" s="679"/>
      <c r="BX103" s="544"/>
      <c r="BY103" s="544"/>
      <c r="BZ103" s="544"/>
      <c r="CA103" s="679"/>
      <c r="CB103" s="544"/>
      <c r="CC103" s="544"/>
      <c r="CD103" s="544"/>
      <c r="CE103" s="679"/>
      <c r="CF103" s="544"/>
      <c r="CG103" s="544"/>
      <c r="CH103" s="544"/>
      <c r="CI103" s="679"/>
      <c r="CJ103" s="544"/>
      <c r="CK103" s="544"/>
      <c r="CL103" s="544"/>
      <c r="CM103" s="679"/>
      <c r="CN103" s="544"/>
      <c r="CO103" s="544"/>
      <c r="CP103" s="544"/>
      <c r="CQ103" s="679"/>
      <c r="CR103" s="544"/>
      <c r="CS103" s="544"/>
      <c r="CT103" s="544"/>
      <c r="CU103" s="679"/>
      <c r="CV103" s="544"/>
      <c r="CW103" s="544"/>
      <c r="CX103" s="544"/>
      <c r="CY103" s="679"/>
      <c r="CZ103" s="7"/>
      <c r="DA103" s="544"/>
      <c r="DB103" s="544"/>
      <c r="DC103" s="544"/>
      <c r="DD103" s="544"/>
      <c r="DE103" s="544"/>
      <c r="DF103" s="544"/>
      <c r="DG103" s="544"/>
      <c r="DH103" s="544"/>
      <c r="DI103" s="544"/>
      <c r="DJ103" s="544"/>
      <c r="DK103" s="544"/>
      <c r="DL103" s="544"/>
      <c r="DM103" s="544"/>
      <c r="DN103" s="544"/>
      <c r="DO103" s="544"/>
      <c r="DP103" s="544"/>
      <c r="DQ103" s="544"/>
      <c r="DR103" s="544"/>
      <c r="DS103" s="544"/>
      <c r="DT103" s="544"/>
      <c r="DU103" s="544"/>
      <c r="DV103" s="544"/>
      <c r="DW103" s="544"/>
      <c r="DX103" s="544"/>
      <c r="DY103" s="544"/>
      <c r="DZ103" s="544"/>
      <c r="EA103" s="544"/>
      <c r="EB103" s="544"/>
      <c r="EC103" s="544"/>
      <c r="ED103" s="544"/>
      <c r="EE103" s="136"/>
    </row>
    <row r="104" spans="1:135" s="657" customFormat="1" ht="15">
      <c r="A104" s="133"/>
      <c r="B104" s="139" t="s">
        <v>65</v>
      </c>
      <c r="C104" s="139"/>
      <c r="D104" s="662"/>
      <c r="E104" s="349"/>
      <c r="F104" s="349"/>
      <c r="G104" s="663"/>
      <c r="H104" s="349"/>
      <c r="I104" s="349"/>
      <c r="J104" s="349"/>
      <c r="K104" s="663"/>
      <c r="L104" s="349"/>
      <c r="M104" s="349"/>
      <c r="N104" s="349"/>
      <c r="O104" s="663"/>
      <c r="P104" s="349"/>
      <c r="Q104" s="349"/>
      <c r="R104" s="349"/>
      <c r="S104" s="663"/>
      <c r="T104" s="349"/>
      <c r="U104" s="349"/>
      <c r="V104" s="349"/>
      <c r="W104" s="663"/>
      <c r="X104" s="349"/>
      <c r="Y104" s="349"/>
      <c r="Z104" s="349"/>
      <c r="AA104" s="663"/>
      <c r="AB104" s="349"/>
      <c r="AC104" s="349"/>
      <c r="AD104" s="349"/>
      <c r="AE104" s="663"/>
      <c r="AF104" s="349"/>
      <c r="AG104" s="349"/>
      <c r="AH104" s="349"/>
      <c r="AI104" s="663"/>
      <c r="AJ104" s="349"/>
      <c r="AK104" s="349"/>
      <c r="AL104" s="349"/>
      <c r="AM104" s="663"/>
      <c r="AN104" s="349"/>
      <c r="AO104" s="349"/>
      <c r="AP104" s="349"/>
      <c r="AQ104" s="663"/>
      <c r="AR104" s="349"/>
      <c r="AS104" s="349"/>
      <c r="AT104" s="349"/>
      <c r="AU104" s="663"/>
      <c r="AV104" s="349"/>
      <c r="AW104" s="349"/>
      <c r="AX104" s="349"/>
      <c r="AY104" s="663"/>
      <c r="AZ104" s="349"/>
      <c r="BA104" s="349"/>
      <c r="BB104" s="349"/>
      <c r="BC104" s="663"/>
      <c r="BD104" s="349"/>
      <c r="BE104" s="349"/>
      <c r="BF104" s="349"/>
      <c r="BG104" s="663"/>
      <c r="BH104" s="349"/>
      <c r="BI104" s="349"/>
      <c r="BJ104" s="349"/>
      <c r="BK104" s="431"/>
      <c r="BL104" s="356"/>
      <c r="BM104" s="356"/>
      <c r="BN104" s="356"/>
      <c r="BO104" s="431">
        <v>866.3</v>
      </c>
      <c r="BP104" s="356">
        <v>987.6</v>
      </c>
      <c r="BQ104" s="356">
        <v>1034.4000000000001</v>
      </c>
      <c r="BR104" s="356">
        <v>1009</v>
      </c>
      <c r="BS104" s="431">
        <v>1016.7</v>
      </c>
      <c r="BT104" s="356">
        <v>1206.9000000000001</v>
      </c>
      <c r="BU104" s="356">
        <v>1269.7</v>
      </c>
      <c r="BV104" s="356">
        <v>1254.2</v>
      </c>
      <c r="BW104" s="431">
        <v>1270.8</v>
      </c>
      <c r="BX104" s="356">
        <v>1389.8</v>
      </c>
      <c r="BY104" s="356">
        <v>1466.5</v>
      </c>
      <c r="BZ104" s="356">
        <v>1405.1</v>
      </c>
      <c r="CA104" s="431">
        <v>1452</v>
      </c>
      <c r="CB104" s="356">
        <v>1510.6</v>
      </c>
      <c r="CC104" s="356">
        <v>1549.8</v>
      </c>
      <c r="CD104" s="356">
        <v>1503.1</v>
      </c>
      <c r="CE104" s="431">
        <v>1543.2</v>
      </c>
      <c r="CF104" s="356">
        <v>1596</v>
      </c>
      <c r="CG104" s="356">
        <v>1742.4</v>
      </c>
      <c r="CH104" s="356">
        <v>1679.2</v>
      </c>
      <c r="CI104" s="431">
        <v>1752.2</v>
      </c>
      <c r="CJ104" s="356">
        <v>1890.1</v>
      </c>
      <c r="CK104" s="356">
        <v>1998.9</v>
      </c>
      <c r="CL104" s="356">
        <v>1896.6</v>
      </c>
      <c r="CM104" s="431">
        <v>1970.1</v>
      </c>
      <c r="CN104" s="356">
        <v>1926.1</v>
      </c>
      <c r="CO104" s="356">
        <v>1940.8</v>
      </c>
      <c r="CP104" s="356">
        <v>1859</v>
      </c>
      <c r="CQ104" s="431">
        <v>1797.7</v>
      </c>
      <c r="CR104" s="356">
        <v>1989.2</v>
      </c>
      <c r="CS104" s="356">
        <v>2022.7</v>
      </c>
      <c r="CT104" s="356">
        <v>1821.3</v>
      </c>
      <c r="CU104" s="431">
        <v>1954.9</v>
      </c>
      <c r="CV104" s="354">
        <f>CV$116*CV106</f>
        <v>1994.9471469200926</v>
      </c>
      <c r="CW104" s="354">
        <f>CW$116*CW106</f>
        <v>2051.9472648463047</v>
      </c>
      <c r="CX104" s="354">
        <f>CX$116*CX106</f>
        <v>1946.4389613126664</v>
      </c>
      <c r="CY104" s="671">
        <f>CY$116*CY106</f>
        <v>2010.1322263829964</v>
      </c>
      <c r="DA104" s="354"/>
      <c r="DB104" s="354"/>
      <c r="DC104" s="354"/>
      <c r="DD104" s="354"/>
      <c r="DE104" s="354"/>
      <c r="DF104" s="354"/>
      <c r="DG104" s="354"/>
      <c r="DH104" s="354"/>
      <c r="DI104" s="354"/>
      <c r="DJ104" s="354"/>
      <c r="DK104" s="354"/>
      <c r="DL104" s="354"/>
      <c r="DM104" s="354"/>
      <c r="DN104" s="354"/>
      <c r="DO104" s="348"/>
      <c r="DP104" s="348"/>
      <c r="DQ104" s="348">
        <f>SUM(BP104:BS104)</f>
        <v>4047.7</v>
      </c>
      <c r="DR104" s="348">
        <f>SUM(BT104:BW104)</f>
        <v>5001.6000000000004</v>
      </c>
      <c r="DS104" s="348">
        <f>SUM(BX104:CA104)</f>
        <v>5713.4</v>
      </c>
      <c r="DT104" s="354">
        <f>SUM(CB104:CE104)</f>
        <v>6106.7</v>
      </c>
      <c r="DU104" s="354">
        <f>SUM(CF104:CI104)</f>
        <v>6769.8</v>
      </c>
      <c r="DV104" s="354">
        <f>SUM(CJ104:CM104)</f>
        <v>7755.7000000000007</v>
      </c>
      <c r="DW104" s="354">
        <f>SUM(CN104:CQ104)</f>
        <v>7523.5999999999995</v>
      </c>
      <c r="DX104" s="354">
        <f>SUM(CR104:CU104)</f>
        <v>7788.1</v>
      </c>
      <c r="DY104" s="139">
        <f t="shared" ref="DY104:ED104" si="325">DY$116*DY106</f>
        <v>8356.0964011725591</v>
      </c>
      <c r="DZ104" s="139">
        <f t="shared" si="325"/>
        <v>8872.7360566814641</v>
      </c>
      <c r="EA104" s="139">
        <f t="shared" si="325"/>
        <v>9320.0417901949513</v>
      </c>
      <c r="EB104" s="139">
        <f t="shared" si="325"/>
        <v>9752.1833459899572</v>
      </c>
      <c r="EC104" s="139">
        <f t="shared" si="325"/>
        <v>10097.802344158772</v>
      </c>
      <c r="ED104" s="139">
        <f t="shared" si="325"/>
        <v>10331.156335049389</v>
      </c>
      <c r="EE104" s="139"/>
    </row>
    <row r="105" spans="1:135" s="599" customFormat="1" ht="15">
      <c r="A105" s="133"/>
      <c r="B105" s="304" t="s">
        <v>240</v>
      </c>
      <c r="C105" s="435"/>
      <c r="D105" s="598"/>
      <c r="E105" s="432"/>
      <c r="F105" s="432"/>
      <c r="G105" s="433"/>
      <c r="H105" s="432"/>
      <c r="I105" s="432"/>
      <c r="J105" s="432"/>
      <c r="K105" s="433"/>
      <c r="L105" s="432"/>
      <c r="M105" s="432"/>
      <c r="N105" s="432"/>
      <c r="O105" s="433"/>
      <c r="P105" s="432"/>
      <c r="Q105" s="432"/>
      <c r="R105" s="432"/>
      <c r="S105" s="433"/>
      <c r="T105" s="432"/>
      <c r="U105" s="432"/>
      <c r="V105" s="432"/>
      <c r="W105" s="433"/>
      <c r="X105" s="432"/>
      <c r="Y105" s="432"/>
      <c r="Z105" s="432"/>
      <c r="AA105" s="433"/>
      <c r="AB105" s="432"/>
      <c r="AC105" s="432"/>
      <c r="AD105" s="432"/>
      <c r="AE105" s="433"/>
      <c r="AF105" s="432"/>
      <c r="AG105" s="432"/>
      <c r="AH105" s="432"/>
      <c r="AI105" s="433"/>
      <c r="AJ105" s="432"/>
      <c r="AK105" s="432"/>
      <c r="AL105" s="432"/>
      <c r="AM105" s="433"/>
      <c r="AN105" s="432"/>
      <c r="AO105" s="432"/>
      <c r="AP105" s="432"/>
      <c r="AQ105" s="433"/>
      <c r="AR105" s="432"/>
      <c r="AS105" s="432"/>
      <c r="AT105" s="432"/>
      <c r="AU105" s="433"/>
      <c r="AV105" s="432"/>
      <c r="AW105" s="432"/>
      <c r="AX105" s="432"/>
      <c r="AY105" s="433"/>
      <c r="AZ105" s="432"/>
      <c r="BA105" s="432"/>
      <c r="BB105" s="432"/>
      <c r="BC105" s="433"/>
      <c r="BD105" s="432"/>
      <c r="BE105" s="432"/>
      <c r="BF105" s="432"/>
      <c r="BG105" s="433"/>
      <c r="BH105" s="432"/>
      <c r="BI105" s="432"/>
      <c r="BJ105" s="432"/>
      <c r="BK105" s="433"/>
      <c r="BL105" s="432"/>
      <c r="BM105" s="432"/>
      <c r="BN105" s="432"/>
      <c r="BO105" s="433"/>
      <c r="BP105" s="432"/>
      <c r="BQ105" s="432"/>
      <c r="BR105" s="432"/>
      <c r="BS105" s="433">
        <f t="shared" ref="BS105:CY105" si="326">BS104/BO104-1</f>
        <v>0.17361191273230991</v>
      </c>
      <c r="BT105" s="432">
        <f t="shared" si="326"/>
        <v>0.2220534629404618</v>
      </c>
      <c r="BU105" s="432">
        <f t="shared" si="326"/>
        <v>0.2274748646558391</v>
      </c>
      <c r="BV105" s="432">
        <f t="shared" si="326"/>
        <v>0.24301288404360766</v>
      </c>
      <c r="BW105" s="433">
        <f t="shared" si="326"/>
        <v>0.24992623192682206</v>
      </c>
      <c r="BX105" s="432">
        <f t="shared" si="326"/>
        <v>0.1515452812991962</v>
      </c>
      <c r="BY105" s="432">
        <f t="shared" si="326"/>
        <v>0.1549972434433331</v>
      </c>
      <c r="BZ105" s="432">
        <f t="shared" si="326"/>
        <v>0.12031573911656812</v>
      </c>
      <c r="CA105" s="433">
        <f t="shared" si="326"/>
        <v>0.14258734655335226</v>
      </c>
      <c r="CB105" s="432">
        <f t="shared" si="326"/>
        <v>8.6918981148366603E-2</v>
      </c>
      <c r="CC105" s="432">
        <f t="shared" si="326"/>
        <v>5.6801909307875764E-2</v>
      </c>
      <c r="CD105" s="432">
        <f t="shared" si="326"/>
        <v>6.9745925556899957E-2</v>
      </c>
      <c r="CE105" s="433">
        <f t="shared" si="326"/>
        <v>6.2809917355372002E-2</v>
      </c>
      <c r="CF105" s="432">
        <f t="shared" si="326"/>
        <v>5.6533827618165056E-2</v>
      </c>
      <c r="CG105" s="432">
        <f t="shared" si="326"/>
        <v>0.12427409988385607</v>
      </c>
      <c r="CH105" s="432">
        <f t="shared" si="326"/>
        <v>0.11715787372762976</v>
      </c>
      <c r="CI105" s="433">
        <f t="shared" si="326"/>
        <v>0.13543286677034727</v>
      </c>
      <c r="CJ105" s="432">
        <f t="shared" si="326"/>
        <v>0.18427318295739337</v>
      </c>
      <c r="CK105" s="432">
        <f t="shared" si="326"/>
        <v>0.14721074380165278</v>
      </c>
      <c r="CL105" s="432">
        <f t="shared" si="326"/>
        <v>0.12946641257741764</v>
      </c>
      <c r="CM105" s="433">
        <f t="shared" si="326"/>
        <v>0.12435795000570704</v>
      </c>
      <c r="CN105" s="432">
        <f t="shared" si="326"/>
        <v>1.9046611290407967E-2</v>
      </c>
      <c r="CO105" s="432">
        <f t="shared" si="326"/>
        <v>-2.9065986292460932E-2</v>
      </c>
      <c r="CP105" s="432">
        <f t="shared" si="326"/>
        <v>-1.9824949910365874E-2</v>
      </c>
      <c r="CQ105" s="433">
        <f t="shared" si="326"/>
        <v>-8.7508248312268333E-2</v>
      </c>
      <c r="CR105" s="432">
        <f t="shared" si="326"/>
        <v>3.2760500493224765E-2</v>
      </c>
      <c r="CS105" s="432">
        <f t="shared" si="326"/>
        <v>4.2199093157460954E-2</v>
      </c>
      <c r="CT105" s="432">
        <f t="shared" si="326"/>
        <v>-2.0279720279720359E-2</v>
      </c>
      <c r="CU105" s="433">
        <f t="shared" si="326"/>
        <v>8.7445068698893014E-2</v>
      </c>
      <c r="CV105" s="432">
        <f t="shared" si="326"/>
        <v>2.8891750050736853E-3</v>
      </c>
      <c r="CW105" s="432">
        <f t="shared" si="326"/>
        <v>1.4459516906266234E-2</v>
      </c>
      <c r="CX105" s="432">
        <f t="shared" si="326"/>
        <v>6.8708593484141156E-2</v>
      </c>
      <c r="CY105" s="433">
        <f t="shared" si="326"/>
        <v>2.8253223378687631E-2</v>
      </c>
      <c r="DA105" s="432"/>
      <c r="DB105" s="432"/>
      <c r="DC105" s="432"/>
      <c r="DD105" s="432"/>
      <c r="DE105" s="432"/>
      <c r="DF105" s="432"/>
      <c r="DG105" s="432"/>
      <c r="DH105" s="432"/>
      <c r="DI105" s="432"/>
      <c r="DJ105" s="432"/>
      <c r="DK105" s="432"/>
      <c r="DL105" s="432"/>
      <c r="DM105" s="432"/>
      <c r="DN105" s="432"/>
      <c r="DO105" s="432"/>
      <c r="DP105" s="432"/>
      <c r="DQ105" s="432"/>
      <c r="DR105" s="432">
        <f t="shared" ref="DR105:ED105" si="327">DR104/DQ104-1</f>
        <v>0.23566469847073668</v>
      </c>
      <c r="DS105" s="432">
        <f t="shared" si="327"/>
        <v>0.14231445937300058</v>
      </c>
      <c r="DT105" s="432">
        <f t="shared" si="327"/>
        <v>6.8838169916337177E-2</v>
      </c>
      <c r="DU105" s="432">
        <f t="shared" si="327"/>
        <v>0.10858565182504476</v>
      </c>
      <c r="DV105" s="432">
        <f t="shared" si="327"/>
        <v>0.1456320718485038</v>
      </c>
      <c r="DW105" s="432">
        <f t="shared" si="327"/>
        <v>-2.9926376729373372E-2</v>
      </c>
      <c r="DX105" s="432">
        <f t="shared" si="327"/>
        <v>3.5156042320166003E-2</v>
      </c>
      <c r="DY105" s="432">
        <f t="shared" si="327"/>
        <v>7.2931318443851367E-2</v>
      </c>
      <c r="DZ105" s="432">
        <f t="shared" si="327"/>
        <v>6.1827871616752628E-2</v>
      </c>
      <c r="EA105" s="432">
        <f t="shared" si="327"/>
        <v>5.0413506122122476E-2</v>
      </c>
      <c r="EB105" s="432">
        <f t="shared" si="327"/>
        <v>4.6366911814669676E-2</v>
      </c>
      <c r="EC105" s="432">
        <f t="shared" si="327"/>
        <v>3.5440166156323505E-2</v>
      </c>
      <c r="ED105" s="432">
        <f t="shared" si="327"/>
        <v>2.3109383897339297E-2</v>
      </c>
      <c r="EE105" s="435"/>
    </row>
    <row r="106" spans="1:135" s="691" customFormat="1" ht="15">
      <c r="A106" s="625"/>
      <c r="B106" s="685" t="s">
        <v>329</v>
      </c>
      <c r="C106" s="686"/>
      <c r="D106" s="687"/>
      <c r="E106" s="688"/>
      <c r="F106" s="688"/>
      <c r="G106" s="689"/>
      <c r="H106" s="688"/>
      <c r="I106" s="688"/>
      <c r="J106" s="688"/>
      <c r="K106" s="689"/>
      <c r="L106" s="688"/>
      <c r="M106" s="688"/>
      <c r="N106" s="688"/>
      <c r="O106" s="689"/>
      <c r="P106" s="688"/>
      <c r="Q106" s="688"/>
      <c r="R106" s="688"/>
      <c r="S106" s="689"/>
      <c r="T106" s="688"/>
      <c r="U106" s="688"/>
      <c r="V106" s="688"/>
      <c r="W106" s="689"/>
      <c r="X106" s="688"/>
      <c r="Y106" s="688"/>
      <c r="Z106" s="688"/>
      <c r="AA106" s="689"/>
      <c r="AB106" s="688"/>
      <c r="AC106" s="688"/>
      <c r="AD106" s="688"/>
      <c r="AE106" s="689"/>
      <c r="AF106" s="688"/>
      <c r="AG106" s="688"/>
      <c r="AH106" s="688"/>
      <c r="AI106" s="689"/>
      <c r="AJ106" s="688"/>
      <c r="AK106" s="688"/>
      <c r="AL106" s="688"/>
      <c r="AM106" s="689"/>
      <c r="AN106" s="688"/>
      <c r="AO106" s="688"/>
      <c r="AP106" s="688"/>
      <c r="AQ106" s="689"/>
      <c r="AR106" s="688"/>
      <c r="AS106" s="688"/>
      <c r="AT106" s="688"/>
      <c r="AU106" s="689"/>
      <c r="AV106" s="688"/>
      <c r="AW106" s="688"/>
      <c r="AX106" s="688"/>
      <c r="AY106" s="689"/>
      <c r="AZ106" s="688"/>
      <c r="BA106" s="688"/>
      <c r="BB106" s="688"/>
      <c r="BC106" s="689"/>
      <c r="BD106" s="688"/>
      <c r="BE106" s="688"/>
      <c r="BF106" s="688"/>
      <c r="BG106" s="689"/>
      <c r="BH106" s="688"/>
      <c r="BI106" s="688"/>
      <c r="BJ106" s="688"/>
      <c r="BK106" s="689"/>
      <c r="BL106" s="688"/>
      <c r="BM106" s="688"/>
      <c r="BN106" s="688"/>
      <c r="BO106" s="689">
        <f t="shared" ref="BO106:CT106" si="328">BO104/BO$116</f>
        <v>0.31589119019836637</v>
      </c>
      <c r="BP106" s="688">
        <f t="shared" si="328"/>
        <v>0.33608984175599804</v>
      </c>
      <c r="BQ106" s="688">
        <f t="shared" si="328"/>
        <v>0.34034152600927853</v>
      </c>
      <c r="BR106" s="688">
        <f t="shared" si="328"/>
        <v>0.35776335850796015</v>
      </c>
      <c r="BS106" s="689">
        <f t="shared" si="328"/>
        <v>0.32209725962300023</v>
      </c>
      <c r="BT106" s="688">
        <f t="shared" si="328"/>
        <v>0.34367969929094172</v>
      </c>
      <c r="BU106" s="688">
        <f t="shared" si="328"/>
        <v>0.34537442537333735</v>
      </c>
      <c r="BV106" s="688">
        <f t="shared" si="328"/>
        <v>0.36248554913294806</v>
      </c>
      <c r="BW106" s="689">
        <f t="shared" si="328"/>
        <v>0.36220607097050023</v>
      </c>
      <c r="BX106" s="688">
        <f t="shared" si="328"/>
        <v>0.38139407244785956</v>
      </c>
      <c r="BY106" s="688">
        <f t="shared" si="328"/>
        <v>0.40013642564802182</v>
      </c>
      <c r="BZ106" s="688">
        <f t="shared" si="328"/>
        <v>0.39707794042841804</v>
      </c>
      <c r="CA106" s="689">
        <f t="shared" si="328"/>
        <v>0.39038554605581544</v>
      </c>
      <c r="CB106" s="688">
        <f t="shared" si="328"/>
        <v>0.38271135770565728</v>
      </c>
      <c r="CC106" s="688">
        <f t="shared" si="328"/>
        <v>0.37679609053998203</v>
      </c>
      <c r="CD106" s="688">
        <f t="shared" si="328"/>
        <v>0.38366898945810041</v>
      </c>
      <c r="CE106" s="689">
        <f t="shared" si="328"/>
        <v>0.3625854655670685</v>
      </c>
      <c r="CF106" s="688">
        <f t="shared" si="328"/>
        <v>0.36607183815771371</v>
      </c>
      <c r="CG106" s="688">
        <f t="shared" si="328"/>
        <v>0.38001352206058753</v>
      </c>
      <c r="CH106" s="688">
        <f t="shared" si="328"/>
        <v>0.39672076924894278</v>
      </c>
      <c r="CI106" s="689">
        <f t="shared" si="328"/>
        <v>0.38512429390948855</v>
      </c>
      <c r="CJ106" s="688">
        <f t="shared" si="328"/>
        <v>0.41803423718317329</v>
      </c>
      <c r="CK106" s="688">
        <f t="shared" si="328"/>
        <v>0.43125283165411749</v>
      </c>
      <c r="CL106" s="688">
        <f t="shared" si="328"/>
        <v>0.43798351153499754</v>
      </c>
      <c r="CM106" s="689">
        <f t="shared" si="328"/>
        <v>0.41698768149684634</v>
      </c>
      <c r="CN106" s="688">
        <f t="shared" si="328"/>
        <v>0.41306912007548952</v>
      </c>
      <c r="CO106" s="688">
        <f t="shared" si="328"/>
        <v>0.41076870978665769</v>
      </c>
      <c r="CP106" s="688">
        <f t="shared" si="328"/>
        <v>0.4107016613644397</v>
      </c>
      <c r="CQ106" s="689">
        <f t="shared" si="328"/>
        <v>0.38714331861742224</v>
      </c>
      <c r="CR106" s="688">
        <f t="shared" si="328"/>
        <v>0.39795938781634482</v>
      </c>
      <c r="CS106" s="688">
        <f t="shared" si="328"/>
        <v>0.39481183635227984</v>
      </c>
      <c r="CT106" s="688">
        <f t="shared" si="328"/>
        <v>0.3656127672387835</v>
      </c>
      <c r="CU106" s="689">
        <f t="shared" ref="CU106" si="329">CU104/CU$116</f>
        <v>0.36446176218352661</v>
      </c>
      <c r="CV106" s="692">
        <f>CU106</f>
        <v>0.36446176218352661</v>
      </c>
      <c r="CW106" s="692">
        <f>CV106</f>
        <v>0.36446176218352661</v>
      </c>
      <c r="CX106" s="692">
        <f>CW106</f>
        <v>0.36446176218352661</v>
      </c>
      <c r="CY106" s="690">
        <f>CX106</f>
        <v>0.36446176218352661</v>
      </c>
      <c r="DA106" s="688"/>
      <c r="DB106" s="688"/>
      <c r="DC106" s="688"/>
      <c r="DD106" s="688"/>
      <c r="DE106" s="688"/>
      <c r="DF106" s="688"/>
      <c r="DG106" s="688"/>
      <c r="DH106" s="688"/>
      <c r="DI106" s="688"/>
      <c r="DJ106" s="688"/>
      <c r="DK106" s="688"/>
      <c r="DL106" s="688"/>
      <c r="DM106" s="688"/>
      <c r="DN106" s="688"/>
      <c r="DO106" s="688"/>
      <c r="DP106" s="688"/>
      <c r="DQ106" s="688">
        <f t="shared" ref="DQ106:DX106" si="330">DQ104/DQ$116</f>
        <v>0.3385893296304352</v>
      </c>
      <c r="DR106" s="688">
        <f t="shared" si="330"/>
        <v>0.3533076678557554</v>
      </c>
      <c r="DS106" s="688">
        <f t="shared" si="330"/>
        <v>0.39221528111484855</v>
      </c>
      <c r="DT106" s="688">
        <f t="shared" si="330"/>
        <v>0.37616730319083408</v>
      </c>
      <c r="DU106" s="688">
        <f t="shared" si="330"/>
        <v>0.38188556632989801</v>
      </c>
      <c r="DV106" s="688">
        <f t="shared" si="330"/>
        <v>0.42587060851993808</v>
      </c>
      <c r="DW106" s="688">
        <f t="shared" si="330"/>
        <v>0.4054188041557098</v>
      </c>
      <c r="DX106" s="688">
        <f t="shared" si="330"/>
        <v>0.38051986124004494</v>
      </c>
      <c r="DY106" s="692">
        <f t="shared" ref="DY106:ED106" si="331">DX106</f>
        <v>0.38051986124004494</v>
      </c>
      <c r="DZ106" s="692">
        <f t="shared" si="331"/>
        <v>0.38051986124004494</v>
      </c>
      <c r="EA106" s="692">
        <f t="shared" si="331"/>
        <v>0.38051986124004494</v>
      </c>
      <c r="EB106" s="692">
        <f t="shared" si="331"/>
        <v>0.38051986124004494</v>
      </c>
      <c r="EC106" s="692">
        <f t="shared" si="331"/>
        <v>0.38051986124004494</v>
      </c>
      <c r="ED106" s="692">
        <f t="shared" si="331"/>
        <v>0.38051986124004494</v>
      </c>
      <c r="EE106" s="686"/>
    </row>
    <row r="107" spans="1:135" s="657" customFormat="1" ht="15">
      <c r="A107" s="133"/>
      <c r="B107" s="139" t="s">
        <v>282</v>
      </c>
      <c r="C107" s="139"/>
      <c r="D107" s="662"/>
      <c r="E107" s="349"/>
      <c r="F107" s="349"/>
      <c r="G107" s="663"/>
      <c r="H107" s="349"/>
      <c r="I107" s="349"/>
      <c r="J107" s="349"/>
      <c r="K107" s="663"/>
      <c r="L107" s="349"/>
      <c r="M107" s="349"/>
      <c r="N107" s="349"/>
      <c r="O107" s="663"/>
      <c r="P107" s="349"/>
      <c r="Q107" s="349"/>
      <c r="R107" s="349"/>
      <c r="S107" s="663"/>
      <c r="T107" s="349"/>
      <c r="U107" s="349"/>
      <c r="V107" s="349"/>
      <c r="W107" s="663"/>
      <c r="X107" s="349"/>
      <c r="Y107" s="349"/>
      <c r="Z107" s="349"/>
      <c r="AA107" s="663"/>
      <c r="AB107" s="349"/>
      <c r="AC107" s="349"/>
      <c r="AD107" s="349"/>
      <c r="AE107" s="663"/>
      <c r="AF107" s="349"/>
      <c r="AG107" s="349"/>
      <c r="AH107" s="349"/>
      <c r="AI107" s="663"/>
      <c r="AJ107" s="349"/>
      <c r="AK107" s="349"/>
      <c r="AL107" s="349"/>
      <c r="AM107" s="663"/>
      <c r="AN107" s="349"/>
      <c r="AO107" s="349"/>
      <c r="AP107" s="349"/>
      <c r="AQ107" s="663"/>
      <c r="AR107" s="349"/>
      <c r="AS107" s="349"/>
      <c r="AT107" s="349"/>
      <c r="AU107" s="663"/>
      <c r="AV107" s="349"/>
      <c r="AW107" s="349"/>
      <c r="AX107" s="349"/>
      <c r="AY107" s="663"/>
      <c r="AZ107" s="349"/>
      <c r="BA107" s="349"/>
      <c r="BB107" s="349"/>
      <c r="BC107" s="663"/>
      <c r="BD107" s="349"/>
      <c r="BE107" s="349"/>
      <c r="BF107" s="349"/>
      <c r="BG107" s="663"/>
      <c r="BH107" s="349"/>
      <c r="BI107" s="349"/>
      <c r="BJ107" s="349"/>
      <c r="BK107" s="431"/>
      <c r="BL107" s="356"/>
      <c r="BM107" s="356"/>
      <c r="BN107" s="356"/>
      <c r="BO107" s="431">
        <v>1208.2</v>
      </c>
      <c r="BP107" s="356">
        <v>1255.5999999999999</v>
      </c>
      <c r="BQ107" s="356">
        <v>1297.5</v>
      </c>
      <c r="BR107" s="356">
        <v>1109.5999999999999</v>
      </c>
      <c r="BS107" s="431">
        <v>1311.5</v>
      </c>
      <c r="BT107" s="356">
        <v>1524.9</v>
      </c>
      <c r="BU107" s="356">
        <v>1525.3</v>
      </c>
      <c r="BV107" s="356">
        <v>1306</v>
      </c>
      <c r="BW107" s="431">
        <v>1343.5</v>
      </c>
      <c r="BX107" s="356">
        <v>1505.4</v>
      </c>
      <c r="BY107" s="356">
        <v>1401.1</v>
      </c>
      <c r="BZ107" s="356">
        <v>1297.8</v>
      </c>
      <c r="CA107" s="431">
        <v>1339.5</v>
      </c>
      <c r="CB107" s="356">
        <v>1525.9</v>
      </c>
      <c r="CC107" s="356">
        <v>1584.6</v>
      </c>
      <c r="CD107" s="356">
        <v>1472.8</v>
      </c>
      <c r="CE107" s="431">
        <v>1665.3</v>
      </c>
      <c r="CF107" s="356">
        <v>1788.1</v>
      </c>
      <c r="CG107" s="356">
        <v>1830.7</v>
      </c>
      <c r="CH107" s="356">
        <v>1616.5</v>
      </c>
      <c r="CI107" s="431">
        <v>1769.3</v>
      </c>
      <c r="CJ107" s="356">
        <v>1730.7</v>
      </c>
      <c r="CK107" s="356">
        <v>1727.8</v>
      </c>
      <c r="CL107" s="356">
        <v>1568.8</v>
      </c>
      <c r="CM107" s="431">
        <v>1728.8</v>
      </c>
      <c r="CN107" s="356">
        <v>1827.7</v>
      </c>
      <c r="CO107" s="356">
        <v>1923.1</v>
      </c>
      <c r="CP107" s="356">
        <v>1624.6</v>
      </c>
      <c r="CQ107" s="431">
        <v>1676.4</v>
      </c>
      <c r="CR107" s="356">
        <v>1915.4</v>
      </c>
      <c r="CS107" s="356">
        <v>2033.6</v>
      </c>
      <c r="CT107" s="356">
        <v>2024.4</v>
      </c>
      <c r="CU107" s="431">
        <v>2163.1</v>
      </c>
      <c r="CV107" s="354">
        <f>CV$116*CV109</f>
        <v>2207.4122325964768</v>
      </c>
      <c r="CW107" s="354">
        <f>CW$116*CW109</f>
        <v>2270.4829549281508</v>
      </c>
      <c r="CX107" s="354">
        <f>CX$116*CX109</f>
        <v>2153.7378470588924</v>
      </c>
      <c r="CY107" s="671">
        <f>CY$116*CY109</f>
        <v>2224.2145474904391</v>
      </c>
      <c r="DA107" s="354"/>
      <c r="DB107" s="354"/>
      <c r="DC107" s="354"/>
      <c r="DD107" s="354"/>
      <c r="DE107" s="354"/>
      <c r="DF107" s="354"/>
      <c r="DG107" s="354"/>
      <c r="DH107" s="354"/>
      <c r="DI107" s="354"/>
      <c r="DJ107" s="354"/>
      <c r="DK107" s="354"/>
      <c r="DL107" s="354"/>
      <c r="DM107" s="354"/>
      <c r="DN107" s="354"/>
      <c r="DO107" s="354"/>
      <c r="DP107" s="354"/>
      <c r="DQ107" s="348">
        <f>SUM(BP107:BS107)</f>
        <v>4974.2</v>
      </c>
      <c r="DR107" s="348">
        <f>SUM(BT107:BW107)</f>
        <v>5699.7</v>
      </c>
      <c r="DS107" s="348">
        <f>SUM(BX107:CA107)</f>
        <v>5543.8</v>
      </c>
      <c r="DT107" s="354">
        <f>SUM(CB107:CE107)</f>
        <v>6248.6</v>
      </c>
      <c r="DU107" s="354">
        <f>SUM(CF107:CI107)</f>
        <v>7004.6</v>
      </c>
      <c r="DV107" s="354">
        <f>SUM(CJ107:CM107)</f>
        <v>6756.1</v>
      </c>
      <c r="DW107" s="354">
        <f>SUM(CN107:CQ107)</f>
        <v>7051.7999999999993</v>
      </c>
      <c r="DX107" s="354">
        <f>SUM(CR107:CU107)</f>
        <v>8136.5</v>
      </c>
      <c r="DY107" s="139">
        <f t="shared" ref="DY107:ED107" si="332">DY$116*DY109</f>
        <v>8729.9056725183964</v>
      </c>
      <c r="DZ107" s="139">
        <f t="shared" si="332"/>
        <v>9269.6571596652248</v>
      </c>
      <c r="EA107" s="139">
        <f t="shared" si="332"/>
        <v>9736.973077633982</v>
      </c>
      <c r="EB107" s="139">
        <f t="shared" si="332"/>
        <v>10188.446449666451</v>
      </c>
      <c r="EC107" s="139">
        <f t="shared" si="332"/>
        <v>10549.526684717433</v>
      </c>
      <c r="ED107" s="139">
        <f t="shared" si="332"/>
        <v>10793.319746809791</v>
      </c>
      <c r="EE107" s="139"/>
    </row>
    <row r="108" spans="1:135" s="599" customFormat="1" ht="15">
      <c r="A108" s="133"/>
      <c r="B108" s="304" t="s">
        <v>240</v>
      </c>
      <c r="C108" s="435"/>
      <c r="D108" s="598"/>
      <c r="E108" s="432"/>
      <c r="F108" s="432"/>
      <c r="G108" s="433"/>
      <c r="H108" s="432"/>
      <c r="I108" s="432"/>
      <c r="J108" s="432"/>
      <c r="K108" s="433"/>
      <c r="L108" s="432"/>
      <c r="M108" s="432"/>
      <c r="N108" s="432"/>
      <c r="O108" s="433"/>
      <c r="P108" s="432"/>
      <c r="Q108" s="432"/>
      <c r="R108" s="432"/>
      <c r="S108" s="433"/>
      <c r="T108" s="432"/>
      <c r="U108" s="432"/>
      <c r="V108" s="432"/>
      <c r="W108" s="433"/>
      <c r="X108" s="432"/>
      <c r="Y108" s="432"/>
      <c r="Z108" s="432"/>
      <c r="AA108" s="433"/>
      <c r="AB108" s="432"/>
      <c r="AC108" s="432"/>
      <c r="AD108" s="432"/>
      <c r="AE108" s="433"/>
      <c r="AF108" s="432"/>
      <c r="AG108" s="432"/>
      <c r="AH108" s="432"/>
      <c r="AI108" s="433"/>
      <c r="AJ108" s="432"/>
      <c r="AK108" s="432"/>
      <c r="AL108" s="432"/>
      <c r="AM108" s="433"/>
      <c r="AN108" s="432"/>
      <c r="AO108" s="432"/>
      <c r="AP108" s="432"/>
      <c r="AQ108" s="433"/>
      <c r="AR108" s="432"/>
      <c r="AS108" s="432"/>
      <c r="AT108" s="432"/>
      <c r="AU108" s="433"/>
      <c r="AV108" s="432"/>
      <c r="AW108" s="432"/>
      <c r="AX108" s="432"/>
      <c r="AY108" s="433"/>
      <c r="AZ108" s="432"/>
      <c r="BA108" s="432"/>
      <c r="BB108" s="432"/>
      <c r="BC108" s="433"/>
      <c r="BD108" s="432"/>
      <c r="BE108" s="432"/>
      <c r="BF108" s="432"/>
      <c r="BG108" s="433"/>
      <c r="BH108" s="432"/>
      <c r="BI108" s="432"/>
      <c r="BJ108" s="432"/>
      <c r="BK108" s="433"/>
      <c r="BL108" s="432"/>
      <c r="BM108" s="432"/>
      <c r="BN108" s="432"/>
      <c r="BO108" s="433"/>
      <c r="BP108" s="432"/>
      <c r="BQ108" s="432"/>
      <c r="BR108" s="432"/>
      <c r="BS108" s="433">
        <f t="shared" ref="BS108:CY108" si="333">BS107/BO107-1</f>
        <v>8.5499089554709418E-2</v>
      </c>
      <c r="BT108" s="432">
        <f t="shared" si="333"/>
        <v>0.21447913348200087</v>
      </c>
      <c r="BU108" s="432">
        <f t="shared" si="333"/>
        <v>0.17556840077071278</v>
      </c>
      <c r="BV108" s="432">
        <f t="shared" si="333"/>
        <v>0.17700072098053354</v>
      </c>
      <c r="BW108" s="433">
        <f t="shared" si="333"/>
        <v>2.4399542508577898E-2</v>
      </c>
      <c r="BX108" s="432">
        <f t="shared" si="333"/>
        <v>-1.2787723785166238E-2</v>
      </c>
      <c r="BY108" s="432">
        <f t="shared" si="333"/>
        <v>-8.1426604602373387E-2</v>
      </c>
      <c r="BZ108" s="432">
        <f t="shared" si="333"/>
        <v>-6.278713629402799E-3</v>
      </c>
      <c r="CA108" s="433">
        <f t="shared" si="333"/>
        <v>-2.9772981019724476E-3</v>
      </c>
      <c r="CB108" s="432">
        <f t="shared" si="333"/>
        <v>1.3617643151321968E-2</v>
      </c>
      <c r="CC108" s="432">
        <f t="shared" si="333"/>
        <v>0.13096852473056875</v>
      </c>
      <c r="CD108" s="432">
        <f t="shared" si="333"/>
        <v>0.13484358144552311</v>
      </c>
      <c r="CE108" s="433">
        <f t="shared" si="333"/>
        <v>0.24322508398656217</v>
      </c>
      <c r="CF108" s="432">
        <f t="shared" si="333"/>
        <v>0.17183301658037875</v>
      </c>
      <c r="CG108" s="432">
        <f t="shared" si="333"/>
        <v>0.15530733308090383</v>
      </c>
      <c r="CH108" s="432">
        <f t="shared" si="333"/>
        <v>9.7569255839217828E-2</v>
      </c>
      <c r="CI108" s="433">
        <f t="shared" si="333"/>
        <v>6.2451209992193668E-2</v>
      </c>
      <c r="CJ108" s="432">
        <f t="shared" si="333"/>
        <v>-3.2101112913147989E-2</v>
      </c>
      <c r="CK108" s="432">
        <f t="shared" si="333"/>
        <v>-5.6208007865843679E-2</v>
      </c>
      <c r="CL108" s="432">
        <f t="shared" si="333"/>
        <v>-2.9508196721311553E-2</v>
      </c>
      <c r="CM108" s="433">
        <f t="shared" si="333"/>
        <v>-2.2890408636183857E-2</v>
      </c>
      <c r="CN108" s="432">
        <f t="shared" si="333"/>
        <v>5.6046686311896909E-2</v>
      </c>
      <c r="CO108" s="432">
        <f t="shared" si="333"/>
        <v>0.11303391596249557</v>
      </c>
      <c r="CP108" s="432">
        <f t="shared" si="333"/>
        <v>3.5568587455379941E-2</v>
      </c>
      <c r="CQ108" s="433">
        <f t="shared" si="333"/>
        <v>-3.0310041647385377E-2</v>
      </c>
      <c r="CR108" s="432">
        <f t="shared" si="333"/>
        <v>4.798380478196651E-2</v>
      </c>
      <c r="CS108" s="432">
        <f t="shared" si="333"/>
        <v>5.7459310488274129E-2</v>
      </c>
      <c r="CT108" s="432">
        <f t="shared" si="333"/>
        <v>0.24609134556198464</v>
      </c>
      <c r="CU108" s="433">
        <f t="shared" si="333"/>
        <v>0.2903245048914338</v>
      </c>
      <c r="CV108" s="432">
        <f t="shared" si="333"/>
        <v>0.15245496115509893</v>
      </c>
      <c r="CW108" s="432">
        <f t="shared" si="333"/>
        <v>0.11648453723846908</v>
      </c>
      <c r="CX108" s="432">
        <f t="shared" si="333"/>
        <v>6.3889471971395162E-2</v>
      </c>
      <c r="CY108" s="433">
        <f t="shared" si="333"/>
        <v>2.8253223378687631E-2</v>
      </c>
      <c r="DA108" s="432"/>
      <c r="DB108" s="432"/>
      <c r="DC108" s="432"/>
      <c r="DD108" s="432"/>
      <c r="DE108" s="432"/>
      <c r="DF108" s="432"/>
      <c r="DG108" s="432"/>
      <c r="DH108" s="432"/>
      <c r="DI108" s="432"/>
      <c r="DJ108" s="432"/>
      <c r="DK108" s="432"/>
      <c r="DL108" s="432"/>
      <c r="DM108" s="432"/>
      <c r="DN108" s="432"/>
      <c r="DO108" s="432"/>
      <c r="DP108" s="432"/>
      <c r="DQ108" s="432"/>
      <c r="DR108" s="432">
        <f t="shared" ref="DR108:ED108" si="334">DR107/DQ107-1</f>
        <v>0.14585259941297091</v>
      </c>
      <c r="DS108" s="432">
        <f t="shared" si="334"/>
        <v>-2.7352316788602837E-2</v>
      </c>
      <c r="DT108" s="432">
        <f t="shared" si="334"/>
        <v>0.12713301345647388</v>
      </c>
      <c r="DU108" s="432">
        <f t="shared" si="334"/>
        <v>0.1209871011106487</v>
      </c>
      <c r="DV108" s="432">
        <f t="shared" si="334"/>
        <v>-3.5476686748707964E-2</v>
      </c>
      <c r="DW108" s="432">
        <f t="shared" si="334"/>
        <v>4.3767854235431614E-2</v>
      </c>
      <c r="DX108" s="432">
        <f t="shared" si="334"/>
        <v>0.15381888312203995</v>
      </c>
      <c r="DY108" s="432">
        <f t="shared" si="334"/>
        <v>7.2931318443851367E-2</v>
      </c>
      <c r="DZ108" s="432">
        <f t="shared" si="334"/>
        <v>6.1827871616752628E-2</v>
      </c>
      <c r="EA108" s="432">
        <f t="shared" si="334"/>
        <v>5.0413506122122254E-2</v>
      </c>
      <c r="EB108" s="432">
        <f t="shared" si="334"/>
        <v>4.6366911814669898E-2</v>
      </c>
      <c r="EC108" s="432">
        <f t="shared" si="334"/>
        <v>3.5440166156323283E-2</v>
      </c>
      <c r="ED108" s="432">
        <f t="shared" si="334"/>
        <v>2.3109383897339075E-2</v>
      </c>
      <c r="EE108" s="435"/>
    </row>
    <row r="109" spans="1:135" s="691" customFormat="1" ht="15">
      <c r="A109" s="625"/>
      <c r="B109" s="685" t="s">
        <v>329</v>
      </c>
      <c r="C109" s="686"/>
      <c r="D109" s="687"/>
      <c r="E109" s="688"/>
      <c r="F109" s="688"/>
      <c r="G109" s="689"/>
      <c r="H109" s="688"/>
      <c r="I109" s="688"/>
      <c r="J109" s="688"/>
      <c r="K109" s="689"/>
      <c r="L109" s="688"/>
      <c r="M109" s="688"/>
      <c r="N109" s="688"/>
      <c r="O109" s="689"/>
      <c r="P109" s="688"/>
      <c r="Q109" s="688"/>
      <c r="R109" s="688"/>
      <c r="S109" s="689"/>
      <c r="T109" s="688"/>
      <c r="U109" s="688"/>
      <c r="V109" s="688"/>
      <c r="W109" s="689"/>
      <c r="X109" s="688"/>
      <c r="Y109" s="688"/>
      <c r="Z109" s="688"/>
      <c r="AA109" s="689"/>
      <c r="AB109" s="688"/>
      <c r="AC109" s="688"/>
      <c r="AD109" s="688"/>
      <c r="AE109" s="689"/>
      <c r="AF109" s="688"/>
      <c r="AG109" s="688"/>
      <c r="AH109" s="688"/>
      <c r="AI109" s="689"/>
      <c r="AJ109" s="688"/>
      <c r="AK109" s="688"/>
      <c r="AL109" s="688"/>
      <c r="AM109" s="689"/>
      <c r="AN109" s="688"/>
      <c r="AO109" s="688"/>
      <c r="AP109" s="688"/>
      <c r="AQ109" s="689"/>
      <c r="AR109" s="688"/>
      <c r="AS109" s="688"/>
      <c r="AT109" s="688"/>
      <c r="AU109" s="689"/>
      <c r="AV109" s="688"/>
      <c r="AW109" s="688"/>
      <c r="AX109" s="688"/>
      <c r="AY109" s="689"/>
      <c r="AZ109" s="688"/>
      <c r="BA109" s="688"/>
      <c r="BB109" s="688"/>
      <c r="BC109" s="689"/>
      <c r="BD109" s="688"/>
      <c r="BE109" s="688"/>
      <c r="BF109" s="688"/>
      <c r="BG109" s="689"/>
      <c r="BH109" s="688"/>
      <c r="BI109" s="688"/>
      <c r="BJ109" s="688"/>
      <c r="BK109" s="689"/>
      <c r="BL109" s="688"/>
      <c r="BM109" s="688"/>
      <c r="BN109" s="688"/>
      <c r="BO109" s="689">
        <f t="shared" ref="BO109:CT109" si="335">BO107/BO$116</f>
        <v>0.44056301050175029</v>
      </c>
      <c r="BP109" s="688">
        <f t="shared" si="335"/>
        <v>0.42729283648119792</v>
      </c>
      <c r="BQ109" s="688">
        <f t="shared" si="335"/>
        <v>0.42690751159806539</v>
      </c>
      <c r="BR109" s="688">
        <f t="shared" si="335"/>
        <v>0.39343332269616704</v>
      </c>
      <c r="BS109" s="689">
        <f t="shared" si="335"/>
        <v>0.41549184223031843</v>
      </c>
      <c r="BT109" s="688">
        <f t="shared" si="335"/>
        <v>0.43423413161716545</v>
      </c>
      <c r="BU109" s="688">
        <f t="shared" si="335"/>
        <v>0.41490085139950494</v>
      </c>
      <c r="BV109" s="688">
        <f t="shared" si="335"/>
        <v>0.37745664739884399</v>
      </c>
      <c r="BW109" s="689">
        <f t="shared" si="335"/>
        <v>0.38292717685620636</v>
      </c>
      <c r="BX109" s="688">
        <f t="shared" si="335"/>
        <v>0.41311745334796934</v>
      </c>
      <c r="BY109" s="688">
        <f t="shared" si="335"/>
        <v>0.38229195088676671</v>
      </c>
      <c r="BZ109" s="688">
        <f t="shared" si="335"/>
        <v>0.36675521392641164</v>
      </c>
      <c r="CA109" s="689">
        <f t="shared" si="335"/>
        <v>0.36013873205355701</v>
      </c>
      <c r="CB109" s="688">
        <f t="shared" si="335"/>
        <v>0.3865876212915812</v>
      </c>
      <c r="CC109" s="688">
        <f t="shared" si="335"/>
        <v>0.38525686222070948</v>
      </c>
      <c r="CD109" s="688">
        <f t="shared" si="335"/>
        <v>0.37593485973913265</v>
      </c>
      <c r="CE109" s="689">
        <f t="shared" si="335"/>
        <v>0.39127370127581595</v>
      </c>
      <c r="CF109" s="688">
        <f t="shared" si="335"/>
        <v>0.410133492362035</v>
      </c>
      <c r="CG109" s="688">
        <f t="shared" si="335"/>
        <v>0.39927155351028326</v>
      </c>
      <c r="CH109" s="688">
        <f t="shared" si="335"/>
        <v>0.38190752947291329</v>
      </c>
      <c r="CI109" s="689">
        <f t="shared" si="335"/>
        <v>0.38888278348022948</v>
      </c>
      <c r="CJ109" s="688">
        <f t="shared" si="335"/>
        <v>0.38277967001371255</v>
      </c>
      <c r="CK109" s="688">
        <f t="shared" si="335"/>
        <v>0.37276434165390171</v>
      </c>
      <c r="CL109" s="688">
        <f t="shared" si="335"/>
        <v>0.36228436828857119</v>
      </c>
      <c r="CM109" s="689">
        <f t="shared" si="335"/>
        <v>0.36591457477881728</v>
      </c>
      <c r="CN109" s="688">
        <f t="shared" si="335"/>
        <v>0.39196637285809266</v>
      </c>
      <c r="CO109" s="688">
        <f t="shared" si="335"/>
        <v>0.40702251947172369</v>
      </c>
      <c r="CP109" s="688">
        <f t="shared" si="335"/>
        <v>0.3589165782962177</v>
      </c>
      <c r="CQ109" s="689">
        <f t="shared" si="335"/>
        <v>0.36102078173791324</v>
      </c>
      <c r="CR109" s="688">
        <f t="shared" si="335"/>
        <v>0.3831949584875462</v>
      </c>
      <c r="CS109" s="688">
        <f t="shared" si="335"/>
        <v>0.39693941286695816</v>
      </c>
      <c r="CT109" s="688">
        <f t="shared" si="335"/>
        <v>0.4063836193917495</v>
      </c>
      <c r="CU109" s="689">
        <f t="shared" ref="CU109" si="336">CU107/CU$116</f>
        <v>0.40327752712629106</v>
      </c>
      <c r="CV109" s="692">
        <f>CU109</f>
        <v>0.40327752712629106</v>
      </c>
      <c r="CW109" s="692">
        <f>CV109</f>
        <v>0.40327752712629106</v>
      </c>
      <c r="CX109" s="692">
        <f>CW109</f>
        <v>0.40327752712629106</v>
      </c>
      <c r="CY109" s="690">
        <f>CX109</f>
        <v>0.40327752712629106</v>
      </c>
      <c r="DA109" s="688"/>
      <c r="DB109" s="688"/>
      <c r="DC109" s="688"/>
      <c r="DD109" s="688"/>
      <c r="DE109" s="688"/>
      <c r="DF109" s="688"/>
      <c r="DG109" s="688"/>
      <c r="DH109" s="688"/>
      <c r="DI109" s="688"/>
      <c r="DJ109" s="688"/>
      <c r="DK109" s="688"/>
      <c r="DL109" s="688"/>
      <c r="DM109" s="688"/>
      <c r="DN109" s="688"/>
      <c r="DO109" s="688"/>
      <c r="DP109" s="688"/>
      <c r="DQ109" s="688">
        <f t="shared" ref="DQ109:DX109" si="337">DQ107/DQ$116</f>
        <v>0.41609087715189136</v>
      </c>
      <c r="DR109" s="688">
        <f t="shared" si="337"/>
        <v>0.40262070427012331</v>
      </c>
      <c r="DS109" s="688">
        <f t="shared" si="337"/>
        <v>0.38057252694446347</v>
      </c>
      <c r="DT109" s="688">
        <f t="shared" si="337"/>
        <v>0.38490821732167063</v>
      </c>
      <c r="DU109" s="688">
        <f t="shared" si="337"/>
        <v>0.39513067415793723</v>
      </c>
      <c r="DV109" s="688">
        <f t="shared" si="337"/>
        <v>0.37098191242847883</v>
      </c>
      <c r="DW109" s="688">
        <f t="shared" si="337"/>
        <v>0.37999525800750095</v>
      </c>
      <c r="DX109" s="688">
        <f t="shared" si="337"/>
        <v>0.39754238530317093</v>
      </c>
      <c r="DY109" s="692">
        <f t="shared" ref="DY109:ED109" si="338">DX109</f>
        <v>0.39754238530317093</v>
      </c>
      <c r="DZ109" s="692">
        <f t="shared" si="338"/>
        <v>0.39754238530317093</v>
      </c>
      <c r="EA109" s="692">
        <f t="shared" si="338"/>
        <v>0.39754238530317093</v>
      </c>
      <c r="EB109" s="692">
        <f t="shared" si="338"/>
        <v>0.39754238530317093</v>
      </c>
      <c r="EC109" s="692">
        <f t="shared" si="338"/>
        <v>0.39754238530317093</v>
      </c>
      <c r="ED109" s="692">
        <f t="shared" si="338"/>
        <v>0.39754238530317093</v>
      </c>
      <c r="EE109" s="686"/>
    </row>
    <row r="110" spans="1:135" s="657" customFormat="1" ht="15">
      <c r="A110" s="133"/>
      <c r="B110" s="139" t="s">
        <v>283</v>
      </c>
      <c r="C110" s="139"/>
      <c r="D110" s="662"/>
      <c r="E110" s="349"/>
      <c r="F110" s="349"/>
      <c r="G110" s="663"/>
      <c r="H110" s="349"/>
      <c r="I110" s="349"/>
      <c r="J110" s="349"/>
      <c r="K110" s="663"/>
      <c r="L110" s="349"/>
      <c r="M110" s="349"/>
      <c r="N110" s="349"/>
      <c r="O110" s="663"/>
      <c r="P110" s="349"/>
      <c r="Q110" s="349"/>
      <c r="R110" s="349"/>
      <c r="S110" s="663"/>
      <c r="T110" s="349"/>
      <c r="U110" s="349"/>
      <c r="V110" s="349"/>
      <c r="W110" s="663"/>
      <c r="X110" s="349"/>
      <c r="Y110" s="349"/>
      <c r="Z110" s="349"/>
      <c r="AA110" s="663"/>
      <c r="AB110" s="349"/>
      <c r="AC110" s="349"/>
      <c r="AD110" s="349"/>
      <c r="AE110" s="663"/>
      <c r="AF110" s="349"/>
      <c r="AG110" s="349"/>
      <c r="AH110" s="349"/>
      <c r="AI110" s="663"/>
      <c r="AJ110" s="349"/>
      <c r="AK110" s="349"/>
      <c r="AL110" s="349"/>
      <c r="AM110" s="663"/>
      <c r="AN110" s="349"/>
      <c r="AO110" s="349"/>
      <c r="AP110" s="349"/>
      <c r="AQ110" s="663"/>
      <c r="AR110" s="349"/>
      <c r="AS110" s="349"/>
      <c r="AT110" s="349"/>
      <c r="AU110" s="663"/>
      <c r="AV110" s="349"/>
      <c r="AW110" s="349"/>
      <c r="AX110" s="349"/>
      <c r="AY110" s="663"/>
      <c r="AZ110" s="349"/>
      <c r="BA110" s="349"/>
      <c r="BB110" s="349"/>
      <c r="BC110" s="663"/>
      <c r="BD110" s="349"/>
      <c r="BE110" s="349"/>
      <c r="BF110" s="349"/>
      <c r="BG110" s="663"/>
      <c r="BH110" s="349"/>
      <c r="BI110" s="349"/>
      <c r="BJ110" s="349"/>
      <c r="BK110" s="431"/>
      <c r="BL110" s="356"/>
      <c r="BM110" s="356"/>
      <c r="BN110" s="356"/>
      <c r="BO110" s="431">
        <v>419.5</v>
      </c>
      <c r="BP110" s="356">
        <v>452.1</v>
      </c>
      <c r="BQ110" s="356">
        <v>433.2</v>
      </c>
      <c r="BR110" s="356">
        <v>447.4</v>
      </c>
      <c r="BS110" s="431">
        <v>547.1</v>
      </c>
      <c r="BT110" s="356">
        <v>506</v>
      </c>
      <c r="BU110" s="356">
        <v>560.1</v>
      </c>
      <c r="BV110" s="356">
        <v>589.6</v>
      </c>
      <c r="BW110" s="431">
        <v>607.1</v>
      </c>
      <c r="BX110" s="356">
        <v>573.6</v>
      </c>
      <c r="BY110" s="356">
        <v>614.6</v>
      </c>
      <c r="BZ110" s="356">
        <v>623.6</v>
      </c>
      <c r="CA110" s="431">
        <v>683.3</v>
      </c>
      <c r="CB110" s="356">
        <v>670.4</v>
      </c>
      <c r="CC110" s="356">
        <v>704.9</v>
      </c>
      <c r="CD110" s="356">
        <v>692.9</v>
      </c>
      <c r="CE110" s="431">
        <v>819.7</v>
      </c>
      <c r="CF110" s="356">
        <v>752.8</v>
      </c>
      <c r="CG110" s="356">
        <v>774.3</v>
      </c>
      <c r="CH110" s="356">
        <v>735.4</v>
      </c>
      <c r="CI110" s="431">
        <v>839.3</v>
      </c>
      <c r="CJ110" s="356">
        <v>778.1</v>
      </c>
      <c r="CK110" s="356">
        <v>789.8</v>
      </c>
      <c r="CL110" s="356">
        <v>746.3</v>
      </c>
      <c r="CM110" s="431">
        <v>921.3</v>
      </c>
      <c r="CN110" s="356">
        <v>817.4</v>
      </c>
      <c r="CO110" s="356">
        <v>737</v>
      </c>
      <c r="CP110" s="356">
        <v>888.2</v>
      </c>
      <c r="CQ110" s="431">
        <v>1002</v>
      </c>
      <c r="CR110" s="356">
        <v>923.3</v>
      </c>
      <c r="CS110" s="356">
        <v>875.9</v>
      </c>
      <c r="CT110" s="356">
        <v>939</v>
      </c>
      <c r="CU110" s="431">
        <v>1056.7</v>
      </c>
      <c r="CV110" s="354">
        <f>CV$116*CV112</f>
        <v>1078.3470510770176</v>
      </c>
      <c r="CW110" s="354">
        <f>CW$116*CW112</f>
        <v>1109.1578468275052</v>
      </c>
      <c r="CX110" s="354">
        <f>CX$116*CX112</f>
        <v>1052.1264772720317</v>
      </c>
      <c r="CY110" s="671">
        <f>CY$116*CY112</f>
        <v>1086.555181144259</v>
      </c>
      <c r="DA110" s="354"/>
      <c r="DB110" s="354"/>
      <c r="DC110" s="354"/>
      <c r="DD110" s="354"/>
      <c r="DE110" s="354"/>
      <c r="DF110" s="354"/>
      <c r="DG110" s="354"/>
      <c r="DH110" s="354"/>
      <c r="DI110" s="354"/>
      <c r="DJ110" s="354"/>
      <c r="DK110" s="354"/>
      <c r="DL110" s="354"/>
      <c r="DM110" s="354"/>
      <c r="DN110" s="354"/>
      <c r="DO110" s="354"/>
      <c r="DP110" s="354"/>
      <c r="DQ110" s="348">
        <f>SUM(BP110:BS110)</f>
        <v>1879.7999999999997</v>
      </c>
      <c r="DR110" s="348">
        <f>SUM(BT110:BW110)</f>
        <v>2262.7999999999997</v>
      </c>
      <c r="DS110" s="348">
        <f>SUM(BX110:CA110)</f>
        <v>2495.1000000000004</v>
      </c>
      <c r="DT110" s="354">
        <f>SUM(CB110:CE110)</f>
        <v>2887.8999999999996</v>
      </c>
      <c r="DU110" s="354">
        <f>SUM(CF110:CI110)</f>
        <v>3101.8</v>
      </c>
      <c r="DV110" s="354">
        <f>SUM(CJ110:CM110)</f>
        <v>3235.5</v>
      </c>
      <c r="DW110" s="354">
        <f>SUM(CN110:CQ110)</f>
        <v>3444.6000000000004</v>
      </c>
      <c r="DX110" s="354">
        <f>SUM(CR110:CU110)</f>
        <v>3794.8999999999996</v>
      </c>
      <c r="DY110" s="139">
        <f t="shared" ref="DY110:ED110" si="339">DY$116*DY112</f>
        <v>4071.6670603625716</v>
      </c>
      <c r="DZ110" s="139">
        <f t="shared" si="339"/>
        <v>4323.4095686368291</v>
      </c>
      <c r="EA110" s="139">
        <f t="shared" si="339"/>
        <v>4541.367803393744</v>
      </c>
      <c r="EB110" s="139">
        <f t="shared" si="339"/>
        <v>4751.9370038516818</v>
      </c>
      <c r="EC110" s="139">
        <f t="shared" si="339"/>
        <v>4920.3464408325672</v>
      </c>
      <c r="ED110" s="139">
        <f t="shared" si="339"/>
        <v>5034.0526156416736</v>
      </c>
      <c r="EE110" s="139"/>
    </row>
    <row r="111" spans="1:135" s="599" customFormat="1" ht="15">
      <c r="A111" s="133"/>
      <c r="B111" s="304" t="s">
        <v>240</v>
      </c>
      <c r="C111" s="435"/>
      <c r="D111" s="598"/>
      <c r="E111" s="432"/>
      <c r="F111" s="432"/>
      <c r="G111" s="433"/>
      <c r="H111" s="432"/>
      <c r="I111" s="432"/>
      <c r="J111" s="432"/>
      <c r="K111" s="433"/>
      <c r="L111" s="432"/>
      <c r="M111" s="432"/>
      <c r="N111" s="432"/>
      <c r="O111" s="433"/>
      <c r="P111" s="432"/>
      <c r="Q111" s="432"/>
      <c r="R111" s="432"/>
      <c r="S111" s="433"/>
      <c r="T111" s="432"/>
      <c r="U111" s="432"/>
      <c r="V111" s="432"/>
      <c r="W111" s="433"/>
      <c r="X111" s="432"/>
      <c r="Y111" s="432"/>
      <c r="Z111" s="432"/>
      <c r="AA111" s="433"/>
      <c r="AB111" s="432"/>
      <c r="AC111" s="432"/>
      <c r="AD111" s="432"/>
      <c r="AE111" s="433"/>
      <c r="AF111" s="432"/>
      <c r="AG111" s="432"/>
      <c r="AH111" s="432"/>
      <c r="AI111" s="433"/>
      <c r="AJ111" s="432"/>
      <c r="AK111" s="432"/>
      <c r="AL111" s="432"/>
      <c r="AM111" s="433"/>
      <c r="AN111" s="432"/>
      <c r="AO111" s="432"/>
      <c r="AP111" s="432"/>
      <c r="AQ111" s="433"/>
      <c r="AR111" s="432"/>
      <c r="AS111" s="432"/>
      <c r="AT111" s="432"/>
      <c r="AU111" s="433"/>
      <c r="AV111" s="432"/>
      <c r="AW111" s="432"/>
      <c r="AX111" s="432"/>
      <c r="AY111" s="433"/>
      <c r="AZ111" s="432"/>
      <c r="BA111" s="432"/>
      <c r="BB111" s="432"/>
      <c r="BC111" s="433"/>
      <c r="BD111" s="432"/>
      <c r="BE111" s="432"/>
      <c r="BF111" s="432"/>
      <c r="BG111" s="433"/>
      <c r="BH111" s="432"/>
      <c r="BI111" s="432"/>
      <c r="BJ111" s="432"/>
      <c r="BK111" s="433"/>
      <c r="BL111" s="432"/>
      <c r="BM111" s="432"/>
      <c r="BN111" s="432"/>
      <c r="BO111" s="433"/>
      <c r="BP111" s="432"/>
      <c r="BQ111" s="432"/>
      <c r="BR111" s="432"/>
      <c r="BS111" s="433">
        <f t="shared" ref="BS111:CY111" si="340">BS110/BO110-1</f>
        <v>0.30417163289630511</v>
      </c>
      <c r="BT111" s="432">
        <f t="shared" si="340"/>
        <v>0.11922141119221408</v>
      </c>
      <c r="BU111" s="432">
        <f t="shared" si="340"/>
        <v>0.2929362880886428</v>
      </c>
      <c r="BV111" s="432">
        <f t="shared" si="340"/>
        <v>0.31783638801966929</v>
      </c>
      <c r="BW111" s="433">
        <f t="shared" si="340"/>
        <v>0.10966916468652887</v>
      </c>
      <c r="BX111" s="432">
        <f t="shared" si="340"/>
        <v>0.13359683794466415</v>
      </c>
      <c r="BY111" s="432">
        <f t="shared" si="340"/>
        <v>9.7304052847705824E-2</v>
      </c>
      <c r="BZ111" s="432">
        <f t="shared" si="340"/>
        <v>5.7666214382632308E-2</v>
      </c>
      <c r="CA111" s="433">
        <f t="shared" si="340"/>
        <v>0.12551474221709746</v>
      </c>
      <c r="CB111" s="432">
        <f t="shared" si="340"/>
        <v>0.16875871687587152</v>
      </c>
      <c r="CC111" s="432">
        <f t="shared" si="340"/>
        <v>0.14692482915717542</v>
      </c>
      <c r="CD111" s="432">
        <f t="shared" si="340"/>
        <v>0.11112892880051306</v>
      </c>
      <c r="CE111" s="433">
        <f t="shared" si="340"/>
        <v>0.19961949363383602</v>
      </c>
      <c r="CF111" s="432">
        <f t="shared" si="340"/>
        <v>0.1229116945107398</v>
      </c>
      <c r="CG111" s="432">
        <f t="shared" si="340"/>
        <v>9.8453681373244395E-2</v>
      </c>
      <c r="CH111" s="432">
        <f t="shared" si="340"/>
        <v>6.1336412180689859E-2</v>
      </c>
      <c r="CI111" s="433">
        <f t="shared" si="340"/>
        <v>2.3911187019641122E-2</v>
      </c>
      <c r="CJ111" s="432">
        <f t="shared" si="340"/>
        <v>3.3607863974495222E-2</v>
      </c>
      <c r="CK111" s="432">
        <f t="shared" si="340"/>
        <v>2.001808084721679E-2</v>
      </c>
      <c r="CL111" s="432">
        <f t="shared" si="340"/>
        <v>1.4821865651346133E-2</v>
      </c>
      <c r="CM111" s="433">
        <f t="shared" si="340"/>
        <v>9.77004646729418E-2</v>
      </c>
      <c r="CN111" s="432">
        <f t="shared" si="340"/>
        <v>5.0507646832026687E-2</v>
      </c>
      <c r="CO111" s="432">
        <f t="shared" si="340"/>
        <v>-6.6852367688022274E-2</v>
      </c>
      <c r="CP111" s="432">
        <f t="shared" si="340"/>
        <v>0.19013801420340348</v>
      </c>
      <c r="CQ111" s="433">
        <f t="shared" si="340"/>
        <v>8.7593617714099681E-2</v>
      </c>
      <c r="CR111" s="432">
        <f t="shared" si="340"/>
        <v>0.12955713237093214</v>
      </c>
      <c r="CS111" s="432">
        <f t="shared" si="340"/>
        <v>0.18846675712347349</v>
      </c>
      <c r="CT111" s="432">
        <f t="shared" si="340"/>
        <v>5.7194325602341722E-2</v>
      </c>
      <c r="CU111" s="433">
        <f t="shared" si="340"/>
        <v>5.4590818363273508E-2</v>
      </c>
      <c r="CV111" s="432">
        <f t="shared" si="340"/>
        <v>0.16792705629483118</v>
      </c>
      <c r="CW111" s="432">
        <f t="shared" si="340"/>
        <v>0.2663064811365512</v>
      </c>
      <c r="CX111" s="432">
        <f t="shared" si="340"/>
        <v>0.12047548165285593</v>
      </c>
      <c r="CY111" s="433">
        <f t="shared" si="340"/>
        <v>2.8253223378687409E-2</v>
      </c>
      <c r="DA111" s="432"/>
      <c r="DB111" s="432"/>
      <c r="DC111" s="432"/>
      <c r="DD111" s="432"/>
      <c r="DE111" s="432"/>
      <c r="DF111" s="432"/>
      <c r="DG111" s="432"/>
      <c r="DH111" s="432"/>
      <c r="DI111" s="432"/>
      <c r="DJ111" s="432"/>
      <c r="DK111" s="432"/>
      <c r="DL111" s="432"/>
      <c r="DM111" s="432"/>
      <c r="DN111" s="432"/>
      <c r="DO111" s="432"/>
      <c r="DP111" s="432"/>
      <c r="DQ111" s="432"/>
      <c r="DR111" s="432">
        <f t="shared" ref="DR111:ED111" si="341">DR110/DQ110-1</f>
        <v>0.20374507926375141</v>
      </c>
      <c r="DS111" s="432">
        <f t="shared" si="341"/>
        <v>0.1026604207176951</v>
      </c>
      <c r="DT111" s="432">
        <f t="shared" si="341"/>
        <v>0.15742855997755578</v>
      </c>
      <c r="DU111" s="432">
        <f t="shared" si="341"/>
        <v>7.4067661622632563E-2</v>
      </c>
      <c r="DV111" s="432">
        <f t="shared" si="341"/>
        <v>4.3104004126636175E-2</v>
      </c>
      <c r="DW111" s="432">
        <f t="shared" si="341"/>
        <v>6.4626796476587867E-2</v>
      </c>
      <c r="DX111" s="432">
        <f t="shared" si="341"/>
        <v>0.10169540730418603</v>
      </c>
      <c r="DY111" s="432">
        <f t="shared" si="341"/>
        <v>7.2931318443851589E-2</v>
      </c>
      <c r="DZ111" s="432">
        <f t="shared" si="341"/>
        <v>6.1827871616752628E-2</v>
      </c>
      <c r="EA111" s="432">
        <f t="shared" si="341"/>
        <v>5.0413506122122254E-2</v>
      </c>
      <c r="EB111" s="432">
        <f t="shared" si="341"/>
        <v>4.6366911814669676E-2</v>
      </c>
      <c r="EC111" s="432">
        <f t="shared" si="341"/>
        <v>3.5440166156323505E-2</v>
      </c>
      <c r="ED111" s="432">
        <f t="shared" si="341"/>
        <v>2.3109383897339297E-2</v>
      </c>
      <c r="EE111" s="435"/>
    </row>
    <row r="112" spans="1:135" s="691" customFormat="1" ht="15">
      <c r="A112" s="625"/>
      <c r="B112" s="685" t="s">
        <v>329</v>
      </c>
      <c r="C112" s="686"/>
      <c r="D112" s="687"/>
      <c r="E112" s="688"/>
      <c r="F112" s="688"/>
      <c r="G112" s="689"/>
      <c r="H112" s="688"/>
      <c r="I112" s="688"/>
      <c r="J112" s="688"/>
      <c r="K112" s="689"/>
      <c r="L112" s="688"/>
      <c r="M112" s="688"/>
      <c r="N112" s="688"/>
      <c r="O112" s="689"/>
      <c r="P112" s="688"/>
      <c r="Q112" s="688"/>
      <c r="R112" s="688"/>
      <c r="S112" s="689"/>
      <c r="T112" s="688"/>
      <c r="U112" s="688"/>
      <c r="V112" s="688"/>
      <c r="W112" s="689"/>
      <c r="X112" s="688"/>
      <c r="Y112" s="688"/>
      <c r="Z112" s="688"/>
      <c r="AA112" s="689"/>
      <c r="AB112" s="688"/>
      <c r="AC112" s="688"/>
      <c r="AD112" s="688"/>
      <c r="AE112" s="689"/>
      <c r="AF112" s="688"/>
      <c r="AG112" s="688"/>
      <c r="AH112" s="688"/>
      <c r="AI112" s="689"/>
      <c r="AJ112" s="688"/>
      <c r="AK112" s="688"/>
      <c r="AL112" s="688"/>
      <c r="AM112" s="689"/>
      <c r="AN112" s="688"/>
      <c r="AO112" s="688"/>
      <c r="AP112" s="688"/>
      <c r="AQ112" s="689"/>
      <c r="AR112" s="688"/>
      <c r="AS112" s="688"/>
      <c r="AT112" s="688"/>
      <c r="AU112" s="689"/>
      <c r="AV112" s="688"/>
      <c r="AW112" s="688"/>
      <c r="AX112" s="688"/>
      <c r="AY112" s="689"/>
      <c r="AZ112" s="688"/>
      <c r="BA112" s="688"/>
      <c r="BB112" s="688"/>
      <c r="BC112" s="689"/>
      <c r="BD112" s="688"/>
      <c r="BE112" s="688"/>
      <c r="BF112" s="688"/>
      <c r="BG112" s="689"/>
      <c r="BH112" s="688"/>
      <c r="BI112" s="688"/>
      <c r="BJ112" s="688"/>
      <c r="BK112" s="689"/>
      <c r="BL112" s="688"/>
      <c r="BM112" s="688"/>
      <c r="BN112" s="688"/>
      <c r="BO112" s="689">
        <f t="shared" ref="BO112:CT112" si="342">BO110/BO$116</f>
        <v>0.15296820303383896</v>
      </c>
      <c r="BP112" s="688">
        <f t="shared" si="342"/>
        <v>0.15385400714650335</v>
      </c>
      <c r="BQ112" s="688">
        <f t="shared" si="342"/>
        <v>0.14253282005725004</v>
      </c>
      <c r="BR112" s="688">
        <f t="shared" si="342"/>
        <v>0.15863560614119063</v>
      </c>
      <c r="BS112" s="689">
        <f t="shared" si="342"/>
        <v>0.1733248851576113</v>
      </c>
      <c r="BT112" s="688">
        <f t="shared" si="342"/>
        <v>0.14408975709770197</v>
      </c>
      <c r="BU112" s="688">
        <f t="shared" si="342"/>
        <v>0.15235426923809267</v>
      </c>
      <c r="BV112" s="688">
        <f t="shared" si="342"/>
        <v>0.17040462427745667</v>
      </c>
      <c r="BW112" s="689">
        <f t="shared" si="342"/>
        <v>0.17303691036055294</v>
      </c>
      <c r="BX112" s="688">
        <f t="shared" si="342"/>
        <v>0.15740944017563119</v>
      </c>
      <c r="BY112" s="688">
        <f t="shared" si="342"/>
        <v>0.16769440654843112</v>
      </c>
      <c r="BZ112" s="688">
        <f t="shared" si="342"/>
        <v>0.17622788673486692</v>
      </c>
      <c r="CA112" s="689">
        <f t="shared" si="342"/>
        <v>0.18371242673549495</v>
      </c>
      <c r="CB112" s="688">
        <f t="shared" si="342"/>
        <v>0.16984621620936891</v>
      </c>
      <c r="CC112" s="688">
        <f t="shared" si="342"/>
        <v>0.1713792516593324</v>
      </c>
      <c r="CD112" s="688">
        <f t="shared" si="342"/>
        <v>0.17686397631263243</v>
      </c>
      <c r="CE112" s="689">
        <f t="shared" si="342"/>
        <v>0.19259415897182872</v>
      </c>
      <c r="CF112" s="688">
        <f t="shared" si="342"/>
        <v>0.17266847103078126</v>
      </c>
      <c r="CG112" s="688">
        <f t="shared" si="342"/>
        <v>0.16887308891845323</v>
      </c>
      <c r="CH112" s="688">
        <f t="shared" si="342"/>
        <v>0.17374252840976209</v>
      </c>
      <c r="CI112" s="689">
        <f t="shared" si="342"/>
        <v>0.1844737015627404</v>
      </c>
      <c r="CJ112" s="688">
        <f t="shared" si="342"/>
        <v>0.17209271464590611</v>
      </c>
      <c r="CK112" s="688">
        <f t="shared" si="342"/>
        <v>0.17039546072360895</v>
      </c>
      <c r="CL112" s="688">
        <f t="shared" si="342"/>
        <v>0.17234371752534464</v>
      </c>
      <c r="CM112" s="689">
        <f t="shared" si="342"/>
        <v>0.19500063497438938</v>
      </c>
      <c r="CN112" s="688">
        <f t="shared" si="342"/>
        <v>0.17529863389736003</v>
      </c>
      <c r="CO112" s="688">
        <f t="shared" si="342"/>
        <v>0.15598543853708097</v>
      </c>
      <c r="CP112" s="688">
        <f t="shared" si="342"/>
        <v>0.1962265818310357</v>
      </c>
      <c r="CQ112" s="689">
        <f t="shared" si="342"/>
        <v>0.21578550662216001</v>
      </c>
      <c r="CR112" s="688">
        <f t="shared" si="342"/>
        <v>0.18471541462438729</v>
      </c>
      <c r="CS112" s="688">
        <f t="shared" si="342"/>
        <v>0.17096736414740787</v>
      </c>
      <c r="CT112" s="688">
        <f t="shared" si="342"/>
        <v>0.18849744052996084</v>
      </c>
      <c r="CU112" s="689">
        <f t="shared" ref="CU112" si="343">CU110/CU$116</f>
        <v>0.19700585405868973</v>
      </c>
      <c r="CV112" s="692">
        <f>CU112</f>
        <v>0.19700585405868973</v>
      </c>
      <c r="CW112" s="692">
        <f>CV112</f>
        <v>0.19700585405868973</v>
      </c>
      <c r="CX112" s="692">
        <f>CW112</f>
        <v>0.19700585405868973</v>
      </c>
      <c r="CY112" s="690">
        <f>CX112</f>
        <v>0.19700585405868973</v>
      </c>
      <c r="DA112" s="688"/>
      <c r="DB112" s="688"/>
      <c r="DC112" s="688"/>
      <c r="DD112" s="688"/>
      <c r="DE112" s="688"/>
      <c r="DF112" s="688"/>
      <c r="DG112" s="688"/>
      <c r="DH112" s="688"/>
      <c r="DI112" s="688"/>
      <c r="DJ112" s="688"/>
      <c r="DK112" s="688"/>
      <c r="DL112" s="688"/>
      <c r="DM112" s="688"/>
      <c r="DN112" s="688"/>
      <c r="DO112" s="688"/>
      <c r="DP112" s="688"/>
      <c r="DQ112" s="688">
        <f t="shared" ref="DQ112:DX112" si="344">DQ110/DQ$116</f>
        <v>0.15724490990915629</v>
      </c>
      <c r="DR112" s="688">
        <f t="shared" si="344"/>
        <v>0.15984176879878501</v>
      </c>
      <c r="DS112" s="688">
        <f t="shared" si="344"/>
        <v>0.17128440996773531</v>
      </c>
      <c r="DT112" s="688">
        <f t="shared" si="344"/>
        <v>0.1778920783540717</v>
      </c>
      <c r="DU112" s="688">
        <f t="shared" si="344"/>
        <v>0.1749730641440039</v>
      </c>
      <c r="DV112" s="688">
        <f t="shared" si="344"/>
        <v>0.17766344158054842</v>
      </c>
      <c r="DW112" s="688">
        <f t="shared" si="344"/>
        <v>0.18561667456998754</v>
      </c>
      <c r="DX112" s="688">
        <f t="shared" si="344"/>
        <v>0.18541554697806223</v>
      </c>
      <c r="DY112" s="692">
        <f t="shared" ref="DY112:ED112" si="345">DX112</f>
        <v>0.18541554697806223</v>
      </c>
      <c r="DZ112" s="692">
        <f t="shared" si="345"/>
        <v>0.18541554697806223</v>
      </c>
      <c r="EA112" s="692">
        <f t="shared" si="345"/>
        <v>0.18541554697806223</v>
      </c>
      <c r="EB112" s="692">
        <f t="shared" si="345"/>
        <v>0.18541554697806223</v>
      </c>
      <c r="EC112" s="692">
        <f t="shared" si="345"/>
        <v>0.18541554697806223</v>
      </c>
      <c r="ED112" s="692">
        <f t="shared" si="345"/>
        <v>0.18541554697806223</v>
      </c>
      <c r="EE112" s="686"/>
    </row>
    <row r="113" spans="1:143" s="657" customFormat="1" ht="15">
      <c r="A113" s="133"/>
      <c r="B113" s="139" t="s">
        <v>284</v>
      </c>
      <c r="C113" s="139"/>
      <c r="D113" s="662"/>
      <c r="E113" s="349"/>
      <c r="F113" s="349"/>
      <c r="G113" s="663"/>
      <c r="H113" s="349"/>
      <c r="I113" s="349"/>
      <c r="J113" s="349"/>
      <c r="K113" s="663"/>
      <c r="L113" s="349"/>
      <c r="M113" s="349"/>
      <c r="N113" s="349"/>
      <c r="O113" s="663"/>
      <c r="P113" s="349"/>
      <c r="Q113" s="349"/>
      <c r="R113" s="349"/>
      <c r="S113" s="663"/>
      <c r="T113" s="349"/>
      <c r="U113" s="349"/>
      <c r="V113" s="349"/>
      <c r="W113" s="663"/>
      <c r="X113" s="349"/>
      <c r="Y113" s="349"/>
      <c r="Z113" s="349"/>
      <c r="AA113" s="663"/>
      <c r="AB113" s="349"/>
      <c r="AC113" s="349"/>
      <c r="AD113" s="349"/>
      <c r="AE113" s="663"/>
      <c r="AF113" s="349"/>
      <c r="AG113" s="349"/>
      <c r="AH113" s="349"/>
      <c r="AI113" s="663"/>
      <c r="AJ113" s="349"/>
      <c r="AK113" s="349"/>
      <c r="AL113" s="349"/>
      <c r="AM113" s="663"/>
      <c r="AN113" s="349"/>
      <c r="AO113" s="349"/>
      <c r="AP113" s="349"/>
      <c r="AQ113" s="663"/>
      <c r="AR113" s="349"/>
      <c r="AS113" s="349"/>
      <c r="AT113" s="349"/>
      <c r="AU113" s="663"/>
      <c r="AV113" s="349"/>
      <c r="AW113" s="349"/>
      <c r="AX113" s="349"/>
      <c r="AY113" s="663"/>
      <c r="AZ113" s="349"/>
      <c r="BA113" s="349"/>
      <c r="BB113" s="349"/>
      <c r="BC113" s="663"/>
      <c r="BD113" s="349"/>
      <c r="BE113" s="349"/>
      <c r="BF113" s="349"/>
      <c r="BG113" s="663"/>
      <c r="BH113" s="349"/>
      <c r="BI113" s="349"/>
      <c r="BJ113" s="349"/>
      <c r="BK113" s="431"/>
      <c r="BL113" s="356"/>
      <c r="BM113" s="356"/>
      <c r="BN113" s="356"/>
      <c r="BO113" s="431">
        <v>248.4</v>
      </c>
      <c r="BP113" s="356">
        <v>243.2</v>
      </c>
      <c r="BQ113" s="356">
        <v>274.2</v>
      </c>
      <c r="BR113" s="356">
        <v>254.3</v>
      </c>
      <c r="BS113" s="431">
        <v>281.2</v>
      </c>
      <c r="BT113" s="356">
        <v>273.89999999999998</v>
      </c>
      <c r="BU113" s="356">
        <v>321.2</v>
      </c>
      <c r="BV113" s="356">
        <v>310.2</v>
      </c>
      <c r="BW113" s="431">
        <v>287.10000000000002</v>
      </c>
      <c r="BX113" s="356">
        <v>175.2</v>
      </c>
      <c r="BY113" s="356">
        <v>182.8</v>
      </c>
      <c r="BZ113" s="356">
        <v>212.1</v>
      </c>
      <c r="CA113" s="431">
        <v>244.6</v>
      </c>
      <c r="CB113" s="356">
        <v>240.2</v>
      </c>
      <c r="CC113" s="356">
        <v>273.8</v>
      </c>
      <c r="CD113" s="356">
        <v>248.9</v>
      </c>
      <c r="CE113" s="431">
        <v>227.9</v>
      </c>
      <c r="CF113" s="356">
        <v>222.9</v>
      </c>
      <c r="CG113" s="356">
        <v>237.7</v>
      </c>
      <c r="CH113" s="356">
        <v>201.6</v>
      </c>
      <c r="CI113" s="431">
        <v>188.9</v>
      </c>
      <c r="CJ113" s="356">
        <v>122.5</v>
      </c>
      <c r="CK113" s="356">
        <v>118.6</v>
      </c>
      <c r="CL113" s="356">
        <v>118.6</v>
      </c>
      <c r="CM113" s="431">
        <v>104.4</v>
      </c>
      <c r="CN113" s="356">
        <v>91.7</v>
      </c>
      <c r="CO113" s="356">
        <v>123.9</v>
      </c>
      <c r="CP113" s="356">
        <v>154.6</v>
      </c>
      <c r="CQ113" s="431">
        <v>167.4</v>
      </c>
      <c r="CR113" s="356">
        <v>170.6</v>
      </c>
      <c r="CS113" s="356">
        <v>191</v>
      </c>
      <c r="CT113" s="356">
        <v>196.8</v>
      </c>
      <c r="CU113" s="431">
        <v>189.1</v>
      </c>
      <c r="CV113" s="354">
        <f>CV$116*CV115</f>
        <v>192.97381220655248</v>
      </c>
      <c r="CW113" s="354">
        <f>CW$116*CW115</f>
        <v>198.48750717808389</v>
      </c>
      <c r="CX113" s="354">
        <f>CX$116*CX115</f>
        <v>188.28155280793146</v>
      </c>
      <c r="CY113" s="671">
        <f>CY$116*CY115</f>
        <v>194.4426845409098</v>
      </c>
      <c r="DA113" s="354"/>
      <c r="DB113" s="354"/>
      <c r="DC113" s="354"/>
      <c r="DD113" s="354"/>
      <c r="DE113" s="354"/>
      <c r="DF113" s="354"/>
      <c r="DG113" s="354"/>
      <c r="DH113" s="354"/>
      <c r="DI113" s="354"/>
      <c r="DJ113" s="354"/>
      <c r="DK113" s="354"/>
      <c r="DL113" s="354"/>
      <c r="DM113" s="354"/>
      <c r="DN113" s="354"/>
      <c r="DO113" s="354"/>
      <c r="DP113" s="354"/>
      <c r="DQ113" s="348">
        <f>SUM(BP113:BS113)</f>
        <v>1052.9000000000001</v>
      </c>
      <c r="DR113" s="348">
        <f>SUM(BT113:BW113)</f>
        <v>1192.4000000000001</v>
      </c>
      <c r="DS113" s="348">
        <f>SUM(BX113:CA113)</f>
        <v>814.7</v>
      </c>
      <c r="DT113" s="354">
        <f>SUM(CB113:CE113)</f>
        <v>990.8</v>
      </c>
      <c r="DU113" s="354">
        <f>SUM(CF113:CI113)</f>
        <v>851.1</v>
      </c>
      <c r="DV113" s="354">
        <f>SUM(CJ113:CM113)</f>
        <v>464.1</v>
      </c>
      <c r="DW113" s="354">
        <f>SUM(CN113:CQ113)</f>
        <v>537.6</v>
      </c>
      <c r="DX113" s="354">
        <f>SUM(CR113:CU113)</f>
        <v>747.50000000000011</v>
      </c>
      <c r="DY113" s="139">
        <f t="shared" ref="DY113:ED113" si="346">DY$116*DY115</f>
        <v>802.01616053677901</v>
      </c>
      <c r="DZ113" s="139">
        <f t="shared" si="346"/>
        <v>851.60311274500782</v>
      </c>
      <c r="EA113" s="139">
        <f t="shared" si="346"/>
        <v>894.53541148299678</v>
      </c>
      <c r="EB113" s="139">
        <f t="shared" si="346"/>
        <v>936.01225602232819</v>
      </c>
      <c r="EC113" s="139">
        <f t="shared" si="346"/>
        <v>969.18468590011457</v>
      </c>
      <c r="ED113" s="139">
        <f t="shared" si="346"/>
        <v>991.58194687400248</v>
      </c>
      <c r="EE113" s="139"/>
    </row>
    <row r="114" spans="1:143" s="599" customFormat="1" ht="15">
      <c r="A114" s="133"/>
      <c r="B114" s="304" t="s">
        <v>240</v>
      </c>
      <c r="C114" s="435"/>
      <c r="D114" s="598"/>
      <c r="E114" s="432"/>
      <c r="F114" s="432"/>
      <c r="G114" s="433"/>
      <c r="H114" s="432"/>
      <c r="I114" s="432"/>
      <c r="J114" s="432"/>
      <c r="K114" s="433"/>
      <c r="L114" s="432"/>
      <c r="M114" s="432"/>
      <c r="N114" s="432"/>
      <c r="O114" s="433"/>
      <c r="P114" s="432"/>
      <c r="Q114" s="432"/>
      <c r="R114" s="432"/>
      <c r="S114" s="433"/>
      <c r="T114" s="432"/>
      <c r="U114" s="432"/>
      <c r="V114" s="432"/>
      <c r="W114" s="433"/>
      <c r="X114" s="432"/>
      <c r="Y114" s="432"/>
      <c r="Z114" s="432"/>
      <c r="AA114" s="433"/>
      <c r="AB114" s="432"/>
      <c r="AC114" s="432"/>
      <c r="AD114" s="432"/>
      <c r="AE114" s="433"/>
      <c r="AF114" s="432"/>
      <c r="AG114" s="432"/>
      <c r="AH114" s="432"/>
      <c r="AI114" s="433"/>
      <c r="AJ114" s="432"/>
      <c r="AK114" s="432"/>
      <c r="AL114" s="432"/>
      <c r="AM114" s="433"/>
      <c r="AN114" s="432"/>
      <c r="AO114" s="432"/>
      <c r="AP114" s="432"/>
      <c r="AQ114" s="433"/>
      <c r="AR114" s="432"/>
      <c r="AS114" s="432"/>
      <c r="AT114" s="432"/>
      <c r="AU114" s="433"/>
      <c r="AV114" s="432"/>
      <c r="AW114" s="432"/>
      <c r="AX114" s="432"/>
      <c r="AY114" s="433"/>
      <c r="AZ114" s="432"/>
      <c r="BA114" s="432"/>
      <c r="BB114" s="432"/>
      <c r="BC114" s="433"/>
      <c r="BD114" s="432"/>
      <c r="BE114" s="432"/>
      <c r="BF114" s="432"/>
      <c r="BG114" s="433"/>
      <c r="BH114" s="432"/>
      <c r="BI114" s="432"/>
      <c r="BJ114" s="432"/>
      <c r="BK114" s="433"/>
      <c r="BL114" s="432"/>
      <c r="BM114" s="432"/>
      <c r="BN114" s="432"/>
      <c r="BO114" s="433"/>
      <c r="BP114" s="432"/>
      <c r="BQ114" s="432"/>
      <c r="BR114" s="432"/>
      <c r="BS114" s="433">
        <f t="shared" ref="BS114:CY114" si="347">BS113/BO113-1</f>
        <v>0.13204508856682762</v>
      </c>
      <c r="BT114" s="432">
        <f t="shared" si="347"/>
        <v>0.12623355263157898</v>
      </c>
      <c r="BU114" s="432">
        <f t="shared" si="347"/>
        <v>0.17140773158278622</v>
      </c>
      <c r="BV114" s="432">
        <f t="shared" si="347"/>
        <v>0.21981911128588272</v>
      </c>
      <c r="BW114" s="433">
        <f t="shared" si="347"/>
        <v>2.0981507823613299E-2</v>
      </c>
      <c r="BX114" s="432">
        <f t="shared" si="347"/>
        <v>-0.36035049288061338</v>
      </c>
      <c r="BY114" s="432">
        <f t="shared" si="347"/>
        <v>-0.43088418430884179</v>
      </c>
      <c r="BZ114" s="432">
        <f t="shared" si="347"/>
        <v>-0.31624758220502902</v>
      </c>
      <c r="CA114" s="433">
        <f t="shared" si="347"/>
        <v>-0.14803204458376884</v>
      </c>
      <c r="CB114" s="432">
        <f t="shared" si="347"/>
        <v>0.37100456621004563</v>
      </c>
      <c r="CC114" s="432">
        <f t="shared" si="347"/>
        <v>0.49781181619256021</v>
      </c>
      <c r="CD114" s="432">
        <f t="shared" si="347"/>
        <v>0.17350306459217357</v>
      </c>
      <c r="CE114" s="433">
        <f t="shared" si="347"/>
        <v>-6.827473426001629E-2</v>
      </c>
      <c r="CF114" s="432">
        <f t="shared" si="347"/>
        <v>-7.2023313905078989E-2</v>
      </c>
      <c r="CG114" s="432">
        <f t="shared" si="347"/>
        <v>-0.13184806428049678</v>
      </c>
      <c r="CH114" s="432">
        <f t="shared" si="347"/>
        <v>-0.19003615910004024</v>
      </c>
      <c r="CI114" s="433">
        <f t="shared" si="347"/>
        <v>-0.17112768758227292</v>
      </c>
      <c r="CJ114" s="432">
        <f t="shared" si="347"/>
        <v>-0.45042620008972634</v>
      </c>
      <c r="CK114" s="432">
        <f t="shared" si="347"/>
        <v>-0.50105174589819101</v>
      </c>
      <c r="CL114" s="432">
        <f t="shared" si="347"/>
        <v>-0.41170634920634919</v>
      </c>
      <c r="CM114" s="433">
        <f t="shared" si="347"/>
        <v>-0.44732662784542088</v>
      </c>
      <c r="CN114" s="432">
        <f t="shared" si="347"/>
        <v>-0.25142857142857145</v>
      </c>
      <c r="CO114" s="432">
        <f t="shared" si="347"/>
        <v>4.4688026981450246E-2</v>
      </c>
      <c r="CP114" s="432">
        <f t="shared" si="347"/>
        <v>0.30354131534569984</v>
      </c>
      <c r="CQ114" s="433">
        <f t="shared" si="347"/>
        <v>0.60344827586206895</v>
      </c>
      <c r="CR114" s="432">
        <f t="shared" si="347"/>
        <v>0.8604143947655396</v>
      </c>
      <c r="CS114" s="432">
        <f t="shared" si="347"/>
        <v>0.54156577885391433</v>
      </c>
      <c r="CT114" s="432">
        <f t="shared" si="347"/>
        <v>0.27296248382923682</v>
      </c>
      <c r="CU114" s="433">
        <f t="shared" si="347"/>
        <v>0.12962962962962954</v>
      </c>
      <c r="CV114" s="432">
        <f t="shared" si="347"/>
        <v>0.13114778550147999</v>
      </c>
      <c r="CW114" s="432">
        <f t="shared" si="347"/>
        <v>3.9201608262219301E-2</v>
      </c>
      <c r="CX114" s="432">
        <f t="shared" si="347"/>
        <v>-4.3284792642624748E-2</v>
      </c>
      <c r="CY114" s="433">
        <f t="shared" si="347"/>
        <v>2.8253223378687409E-2</v>
      </c>
      <c r="DA114" s="432"/>
      <c r="DB114" s="432"/>
      <c r="DC114" s="432"/>
      <c r="DD114" s="432"/>
      <c r="DE114" s="432"/>
      <c r="DF114" s="432"/>
      <c r="DG114" s="432"/>
      <c r="DH114" s="432"/>
      <c r="DI114" s="432"/>
      <c r="DJ114" s="432"/>
      <c r="DK114" s="432"/>
      <c r="DL114" s="432"/>
      <c r="DM114" s="432"/>
      <c r="DN114" s="432"/>
      <c r="DO114" s="432"/>
      <c r="DP114" s="432"/>
      <c r="DQ114" s="432"/>
      <c r="DR114" s="432">
        <f t="shared" ref="DR114:ED114" si="348">DR113/DQ113-1</f>
        <v>0.13249121474024128</v>
      </c>
      <c r="DS114" s="432">
        <f t="shared" si="348"/>
        <v>-0.31675612210667559</v>
      </c>
      <c r="DT114" s="432">
        <f t="shared" si="348"/>
        <v>0.21615318522155391</v>
      </c>
      <c r="DU114" s="432">
        <f t="shared" si="348"/>
        <v>-0.14099717400080736</v>
      </c>
      <c r="DV114" s="432">
        <f t="shared" si="348"/>
        <v>-0.45470567500881209</v>
      </c>
      <c r="DW114" s="432">
        <f t="shared" si="348"/>
        <v>0.15837104072398178</v>
      </c>
      <c r="DX114" s="432">
        <f t="shared" si="348"/>
        <v>0.39043898809523814</v>
      </c>
      <c r="DY114" s="432">
        <f t="shared" si="348"/>
        <v>7.2931318443851367E-2</v>
      </c>
      <c r="DZ114" s="432">
        <f t="shared" si="348"/>
        <v>6.1827871616752628E-2</v>
      </c>
      <c r="EA114" s="432">
        <f t="shared" si="348"/>
        <v>5.0413506122122476E-2</v>
      </c>
      <c r="EB114" s="432">
        <f t="shared" si="348"/>
        <v>4.6366911814669676E-2</v>
      </c>
      <c r="EC114" s="432">
        <f t="shared" si="348"/>
        <v>3.5440166156323283E-2</v>
      </c>
      <c r="ED114" s="432">
        <f t="shared" si="348"/>
        <v>2.3109383897339297E-2</v>
      </c>
      <c r="EE114" s="435"/>
    </row>
    <row r="115" spans="1:143" s="691" customFormat="1" ht="15">
      <c r="A115" s="625"/>
      <c r="B115" s="693" t="s">
        <v>329</v>
      </c>
      <c r="C115" s="694"/>
      <c r="D115" s="695"/>
      <c r="E115" s="696"/>
      <c r="F115" s="696"/>
      <c r="G115" s="697"/>
      <c r="H115" s="696"/>
      <c r="I115" s="696"/>
      <c r="J115" s="696"/>
      <c r="K115" s="697"/>
      <c r="L115" s="696"/>
      <c r="M115" s="696"/>
      <c r="N115" s="696"/>
      <c r="O115" s="697"/>
      <c r="P115" s="696"/>
      <c r="Q115" s="696"/>
      <c r="R115" s="696"/>
      <c r="S115" s="697"/>
      <c r="T115" s="696"/>
      <c r="U115" s="696"/>
      <c r="V115" s="696"/>
      <c r="W115" s="697"/>
      <c r="X115" s="696"/>
      <c r="Y115" s="696"/>
      <c r="Z115" s="696"/>
      <c r="AA115" s="697"/>
      <c r="AB115" s="696"/>
      <c r="AC115" s="696"/>
      <c r="AD115" s="696"/>
      <c r="AE115" s="697"/>
      <c r="AF115" s="696"/>
      <c r="AG115" s="696"/>
      <c r="AH115" s="696"/>
      <c r="AI115" s="697"/>
      <c r="AJ115" s="696"/>
      <c r="AK115" s="696"/>
      <c r="AL115" s="696"/>
      <c r="AM115" s="697"/>
      <c r="AN115" s="696"/>
      <c r="AO115" s="696"/>
      <c r="AP115" s="696"/>
      <c r="AQ115" s="697"/>
      <c r="AR115" s="696"/>
      <c r="AS115" s="696"/>
      <c r="AT115" s="696"/>
      <c r="AU115" s="697"/>
      <c r="AV115" s="696"/>
      <c r="AW115" s="696"/>
      <c r="AX115" s="696"/>
      <c r="AY115" s="697"/>
      <c r="AZ115" s="696"/>
      <c r="BA115" s="696"/>
      <c r="BB115" s="696"/>
      <c r="BC115" s="697"/>
      <c r="BD115" s="696"/>
      <c r="BE115" s="696"/>
      <c r="BF115" s="696"/>
      <c r="BG115" s="697"/>
      <c r="BH115" s="696"/>
      <c r="BI115" s="696"/>
      <c r="BJ115" s="696"/>
      <c r="BK115" s="697"/>
      <c r="BL115" s="696"/>
      <c r="BM115" s="696"/>
      <c r="BN115" s="696"/>
      <c r="BO115" s="697">
        <f t="shared" ref="BO115:CT115" si="349">BO113/BO$116</f>
        <v>9.0577596266044336E-2</v>
      </c>
      <c r="BP115" s="696">
        <f t="shared" si="349"/>
        <v>8.2763314616300848E-2</v>
      </c>
      <c r="BQ115" s="696">
        <f t="shared" si="349"/>
        <v>9.021814233540619E-2</v>
      </c>
      <c r="BR115" s="696">
        <f t="shared" si="349"/>
        <v>9.0167712654682125E-2</v>
      </c>
      <c r="BS115" s="697">
        <f t="shared" si="349"/>
        <v>8.9086012989070179E-2</v>
      </c>
      <c r="BT115" s="696">
        <f t="shared" si="349"/>
        <v>7.7996411994190828E-2</v>
      </c>
      <c r="BU115" s="696">
        <f t="shared" si="349"/>
        <v>8.7370453989065094E-2</v>
      </c>
      <c r="BV115" s="696">
        <f t="shared" si="349"/>
        <v>8.9653179190751456E-2</v>
      </c>
      <c r="BW115" s="697">
        <f t="shared" si="349"/>
        <v>8.18298418127405E-2</v>
      </c>
      <c r="BX115" s="696">
        <f t="shared" si="349"/>
        <v>4.8079034028540066E-2</v>
      </c>
      <c r="BY115" s="696">
        <f t="shared" si="349"/>
        <v>4.9877216916780355E-2</v>
      </c>
      <c r="BZ115" s="696">
        <f t="shared" si="349"/>
        <v>5.9938958910303521E-2</v>
      </c>
      <c r="CA115" s="697">
        <f t="shared" si="349"/>
        <v>6.5763295155132545E-2</v>
      </c>
      <c r="CB115" s="696">
        <f t="shared" si="349"/>
        <v>6.0854804793392614E-2</v>
      </c>
      <c r="CC115" s="696">
        <f t="shared" si="349"/>
        <v>6.6567795579976191E-2</v>
      </c>
      <c r="CD115" s="696">
        <f t="shared" si="349"/>
        <v>6.3532174490134527E-2</v>
      </c>
      <c r="CE115" s="697">
        <f t="shared" si="349"/>
        <v>5.354667418528701E-2</v>
      </c>
      <c r="CF115" s="696">
        <f t="shared" si="349"/>
        <v>5.1126198449470167E-2</v>
      </c>
      <c r="CG115" s="696">
        <f t="shared" si="349"/>
        <v>5.1841835510675879E-2</v>
      </c>
      <c r="CH115" s="696">
        <f t="shared" si="349"/>
        <v>4.7629172868381885E-2</v>
      </c>
      <c r="CI115" s="697">
        <f t="shared" si="349"/>
        <v>4.1519221047541598E-2</v>
      </c>
      <c r="CJ115" s="696">
        <f t="shared" si="349"/>
        <v>2.7093378157207942E-2</v>
      </c>
      <c r="CK115" s="696">
        <f t="shared" si="349"/>
        <v>2.5587365968371769E-2</v>
      </c>
      <c r="CL115" s="696">
        <f t="shared" si="349"/>
        <v>2.7388402651086528E-2</v>
      </c>
      <c r="CM115" s="697">
        <f t="shared" si="349"/>
        <v>2.2097108749947088E-2</v>
      </c>
      <c r="CN115" s="696">
        <f t="shared" si="349"/>
        <v>1.9665873169057886E-2</v>
      </c>
      <c r="CO115" s="696">
        <f t="shared" si="349"/>
        <v>2.6223332204537764E-2</v>
      </c>
      <c r="CP115" s="696">
        <f t="shared" si="349"/>
        <v>3.4155178508306815E-2</v>
      </c>
      <c r="CQ115" s="697">
        <f t="shared" si="349"/>
        <v>3.6050393022504575E-2</v>
      </c>
      <c r="CR115" s="696">
        <f t="shared" si="349"/>
        <v>3.413023907172151E-2</v>
      </c>
      <c r="CS115" s="696">
        <f t="shared" si="349"/>
        <v>3.7281386633354154E-2</v>
      </c>
      <c r="CT115" s="696">
        <f t="shared" si="349"/>
        <v>3.9506172839506172E-2</v>
      </c>
      <c r="CU115" s="697">
        <f t="shared" ref="CU115" si="350">CU113/CU$116</f>
        <v>3.5254856631492595E-2</v>
      </c>
      <c r="CV115" s="699">
        <f>CU115</f>
        <v>3.5254856631492595E-2</v>
      </c>
      <c r="CW115" s="699">
        <f>CV115</f>
        <v>3.5254856631492595E-2</v>
      </c>
      <c r="CX115" s="699">
        <f>CW115</f>
        <v>3.5254856631492595E-2</v>
      </c>
      <c r="CY115" s="698">
        <f>CX115</f>
        <v>3.5254856631492595E-2</v>
      </c>
      <c r="CZ115" s="694"/>
      <c r="DA115" s="696"/>
      <c r="DB115" s="696"/>
      <c r="DC115" s="696"/>
      <c r="DD115" s="696"/>
      <c r="DE115" s="696"/>
      <c r="DF115" s="696"/>
      <c r="DG115" s="696"/>
      <c r="DH115" s="696"/>
      <c r="DI115" s="696"/>
      <c r="DJ115" s="696"/>
      <c r="DK115" s="696"/>
      <c r="DL115" s="696"/>
      <c r="DM115" s="696"/>
      <c r="DN115" s="696"/>
      <c r="DO115" s="696"/>
      <c r="DP115" s="696"/>
      <c r="DQ115" s="696">
        <f t="shared" ref="DQ115:DX115" si="351">DQ113/DQ$116</f>
        <v>8.8074883308517246E-2</v>
      </c>
      <c r="DR115" s="696">
        <f t="shared" si="351"/>
        <v>8.4229859075336436E-2</v>
      </c>
      <c r="DS115" s="696">
        <f t="shared" si="351"/>
        <v>5.5927781972952562E-2</v>
      </c>
      <c r="DT115" s="696">
        <f t="shared" si="351"/>
        <v>6.1032401133423682E-2</v>
      </c>
      <c r="DU115" s="696">
        <f t="shared" si="351"/>
        <v>4.8010695368160973E-2</v>
      </c>
      <c r="DV115" s="696">
        <f t="shared" si="351"/>
        <v>2.5484037471034626E-2</v>
      </c>
      <c r="DW115" s="696">
        <f t="shared" si="351"/>
        <v>2.8969263266801746E-2</v>
      </c>
      <c r="DX115" s="696">
        <f t="shared" si="351"/>
        <v>3.6522206478721848E-2</v>
      </c>
      <c r="DY115" s="699">
        <f t="shared" ref="DY115:ED115" si="352">DX115</f>
        <v>3.6522206478721848E-2</v>
      </c>
      <c r="DZ115" s="699">
        <f t="shared" si="352"/>
        <v>3.6522206478721848E-2</v>
      </c>
      <c r="EA115" s="699">
        <f t="shared" si="352"/>
        <v>3.6522206478721848E-2</v>
      </c>
      <c r="EB115" s="699">
        <f t="shared" si="352"/>
        <v>3.6522206478721848E-2</v>
      </c>
      <c r="EC115" s="699">
        <f t="shared" si="352"/>
        <v>3.6522206478721848E-2</v>
      </c>
      <c r="ED115" s="699">
        <f t="shared" si="352"/>
        <v>3.6522206478721848E-2</v>
      </c>
      <c r="EE115" s="686"/>
    </row>
    <row r="116" spans="1:143" s="675" customFormat="1" ht="15" collapsed="1">
      <c r="A116" s="133"/>
      <c r="B116" s="676" t="s">
        <v>146</v>
      </c>
      <c r="C116" s="676"/>
      <c r="D116" s="683"/>
      <c r="E116" s="440"/>
      <c r="F116" s="440"/>
      <c r="G116" s="441"/>
      <c r="H116" s="440"/>
      <c r="I116" s="440"/>
      <c r="J116" s="440"/>
      <c r="K116" s="441"/>
      <c r="L116" s="440"/>
      <c r="M116" s="440"/>
      <c r="N116" s="440"/>
      <c r="O116" s="441"/>
      <c r="P116" s="440"/>
      <c r="Q116" s="440"/>
      <c r="R116" s="440"/>
      <c r="S116" s="441"/>
      <c r="T116" s="440"/>
      <c r="U116" s="440"/>
      <c r="V116" s="440"/>
      <c r="W116" s="441"/>
      <c r="X116" s="440"/>
      <c r="Y116" s="440"/>
      <c r="Z116" s="440"/>
      <c r="AA116" s="441"/>
      <c r="AB116" s="440"/>
      <c r="AC116" s="440"/>
      <c r="AD116" s="440"/>
      <c r="AE116" s="441"/>
      <c r="AF116" s="440"/>
      <c r="AG116" s="440"/>
      <c r="AH116" s="440"/>
      <c r="AI116" s="441"/>
      <c r="AJ116" s="440"/>
      <c r="AK116" s="440"/>
      <c r="AL116" s="440"/>
      <c r="AM116" s="441"/>
      <c r="AN116" s="440"/>
      <c r="AO116" s="440"/>
      <c r="AP116" s="440"/>
      <c r="AQ116" s="441"/>
      <c r="AR116" s="440"/>
      <c r="AS116" s="440"/>
      <c r="AT116" s="440"/>
      <c r="AU116" s="441"/>
      <c r="AV116" s="440"/>
      <c r="AW116" s="440"/>
      <c r="AX116" s="440"/>
      <c r="AY116" s="441"/>
      <c r="AZ116" s="440"/>
      <c r="BA116" s="440"/>
      <c r="BB116" s="440"/>
      <c r="BC116" s="441"/>
      <c r="BD116" s="440"/>
      <c r="BE116" s="440"/>
      <c r="BF116" s="440"/>
      <c r="BG116" s="441"/>
      <c r="BH116" s="440"/>
      <c r="BI116" s="440"/>
      <c r="BJ116" s="440"/>
      <c r="BK116" s="441"/>
      <c r="BL116" s="440"/>
      <c r="BM116" s="440"/>
      <c r="BN116" s="440"/>
      <c r="BO116" s="441">
        <f t="shared" ref="BO116:CT116" si="353">BO104+BO107+BO110+BO113</f>
        <v>2742.4</v>
      </c>
      <c r="BP116" s="440">
        <f t="shared" si="353"/>
        <v>2938.4999999999995</v>
      </c>
      <c r="BQ116" s="440">
        <f t="shared" si="353"/>
        <v>3039.2999999999997</v>
      </c>
      <c r="BR116" s="440">
        <f t="shared" si="353"/>
        <v>2820.3</v>
      </c>
      <c r="BS116" s="441">
        <f t="shared" si="353"/>
        <v>3156.4999999999995</v>
      </c>
      <c r="BT116" s="440">
        <f t="shared" si="353"/>
        <v>3511.7000000000003</v>
      </c>
      <c r="BU116" s="440">
        <f t="shared" si="353"/>
        <v>3676.2999999999997</v>
      </c>
      <c r="BV116" s="440">
        <f t="shared" si="353"/>
        <v>3459.9999999999995</v>
      </c>
      <c r="BW116" s="441">
        <f t="shared" si="353"/>
        <v>3508.5</v>
      </c>
      <c r="BX116" s="440">
        <f t="shared" si="353"/>
        <v>3643.9999999999995</v>
      </c>
      <c r="BY116" s="440">
        <f t="shared" si="353"/>
        <v>3665</v>
      </c>
      <c r="BZ116" s="440">
        <f t="shared" si="353"/>
        <v>3538.5999999999995</v>
      </c>
      <c r="CA116" s="441">
        <f t="shared" si="353"/>
        <v>3719.4</v>
      </c>
      <c r="CB116" s="440">
        <f t="shared" si="353"/>
        <v>3947.1</v>
      </c>
      <c r="CC116" s="440">
        <f t="shared" si="353"/>
        <v>4113.0999999999995</v>
      </c>
      <c r="CD116" s="440">
        <f t="shared" si="353"/>
        <v>3917.7</v>
      </c>
      <c r="CE116" s="441">
        <f t="shared" si="353"/>
        <v>4256.0999999999995</v>
      </c>
      <c r="CF116" s="440">
        <f t="shared" si="353"/>
        <v>4359.7999999999993</v>
      </c>
      <c r="CG116" s="440">
        <f t="shared" si="353"/>
        <v>4585.1000000000004</v>
      </c>
      <c r="CH116" s="440">
        <f t="shared" si="353"/>
        <v>4232.7</v>
      </c>
      <c r="CI116" s="441">
        <f t="shared" si="353"/>
        <v>4549.7</v>
      </c>
      <c r="CJ116" s="440">
        <f t="shared" si="353"/>
        <v>4521.4000000000005</v>
      </c>
      <c r="CK116" s="440">
        <f t="shared" si="353"/>
        <v>4635.1000000000004</v>
      </c>
      <c r="CL116" s="440">
        <f t="shared" si="353"/>
        <v>4330.3</v>
      </c>
      <c r="CM116" s="441">
        <f t="shared" si="353"/>
        <v>4724.5999999999995</v>
      </c>
      <c r="CN116" s="440">
        <f t="shared" si="353"/>
        <v>4662.8999999999996</v>
      </c>
      <c r="CO116" s="440">
        <f t="shared" si="353"/>
        <v>4724.7999999999993</v>
      </c>
      <c r="CP116" s="440">
        <f t="shared" si="353"/>
        <v>4526.4000000000005</v>
      </c>
      <c r="CQ116" s="441">
        <f t="shared" si="353"/>
        <v>4643.5</v>
      </c>
      <c r="CR116" s="440">
        <f t="shared" si="353"/>
        <v>4998.5000000000009</v>
      </c>
      <c r="CS116" s="440">
        <f t="shared" si="353"/>
        <v>5123.2</v>
      </c>
      <c r="CT116" s="440">
        <f t="shared" si="353"/>
        <v>4981.5</v>
      </c>
      <c r="CU116" s="441">
        <f t="shared" ref="CU116" si="354">CU104+CU107+CU110+CU113</f>
        <v>5363.8</v>
      </c>
      <c r="CV116" s="440">
        <f>CV69</f>
        <v>5473.6802428001392</v>
      </c>
      <c r="CW116" s="440">
        <f>CW69</f>
        <v>5630.0755737800446</v>
      </c>
      <c r="CX116" s="440">
        <f>CX69</f>
        <v>5340.584838451522</v>
      </c>
      <c r="CY116" s="441">
        <f>CY69</f>
        <v>5515.3446395586043</v>
      </c>
      <c r="DA116" s="440"/>
      <c r="DB116" s="440"/>
      <c r="DC116" s="440"/>
      <c r="DD116" s="440"/>
      <c r="DE116" s="440"/>
      <c r="DF116" s="440"/>
      <c r="DG116" s="440"/>
      <c r="DH116" s="440"/>
      <c r="DI116" s="440"/>
      <c r="DJ116" s="440"/>
      <c r="DK116" s="440"/>
      <c r="DL116" s="440"/>
      <c r="DM116" s="440"/>
      <c r="DN116" s="440"/>
      <c r="DO116" s="440"/>
      <c r="DP116" s="440"/>
      <c r="DQ116" s="440">
        <f t="shared" ref="DQ116:DX116" si="355">DQ104+DQ107+DQ110+DQ113</f>
        <v>11954.599999999999</v>
      </c>
      <c r="DR116" s="440">
        <f t="shared" si="355"/>
        <v>14156.499999999998</v>
      </c>
      <c r="DS116" s="440">
        <f t="shared" si="355"/>
        <v>14567.000000000002</v>
      </c>
      <c r="DT116" s="440">
        <f t="shared" si="355"/>
        <v>16233.999999999998</v>
      </c>
      <c r="DU116" s="440">
        <f t="shared" si="355"/>
        <v>17727.3</v>
      </c>
      <c r="DV116" s="440">
        <f t="shared" si="355"/>
        <v>18211.400000000001</v>
      </c>
      <c r="DW116" s="440">
        <f t="shared" si="355"/>
        <v>18557.599999999999</v>
      </c>
      <c r="DX116" s="440">
        <f t="shared" si="355"/>
        <v>20467</v>
      </c>
      <c r="DY116" s="676">
        <f t="shared" ref="DY116:ED116" si="356">DY69</f>
        <v>21959.685294590308</v>
      </c>
      <c r="DZ116" s="676">
        <f t="shared" si="356"/>
        <v>23317.405897728528</v>
      </c>
      <c r="EA116" s="676">
        <f t="shared" si="356"/>
        <v>24492.918082705677</v>
      </c>
      <c r="EB116" s="676">
        <f t="shared" si="356"/>
        <v>25628.579055530419</v>
      </c>
      <c r="EC116" s="676">
        <f t="shared" si="356"/>
        <v>26536.860155608887</v>
      </c>
      <c r="ED116" s="676">
        <f t="shared" si="356"/>
        <v>27150.110644374858</v>
      </c>
      <c r="EE116" s="676"/>
    </row>
    <row r="117" spans="1:143" s="599" customFormat="1" ht="15">
      <c r="A117" s="133"/>
      <c r="B117" s="304" t="s">
        <v>240</v>
      </c>
      <c r="C117" s="435"/>
      <c r="D117" s="598"/>
      <c r="E117" s="432"/>
      <c r="F117" s="432"/>
      <c r="G117" s="433"/>
      <c r="H117" s="432"/>
      <c r="I117" s="432"/>
      <c r="J117" s="432"/>
      <c r="K117" s="433"/>
      <c r="L117" s="432"/>
      <c r="M117" s="432"/>
      <c r="N117" s="432"/>
      <c r="O117" s="433"/>
      <c r="P117" s="432"/>
      <c r="Q117" s="432"/>
      <c r="R117" s="432"/>
      <c r="S117" s="433"/>
      <c r="T117" s="432"/>
      <c r="U117" s="432"/>
      <c r="V117" s="432"/>
      <c r="W117" s="433"/>
      <c r="X117" s="432"/>
      <c r="Y117" s="432"/>
      <c r="Z117" s="432"/>
      <c r="AA117" s="433"/>
      <c r="AB117" s="432"/>
      <c r="AC117" s="432"/>
      <c r="AD117" s="432"/>
      <c r="AE117" s="433"/>
      <c r="AF117" s="432"/>
      <c r="AG117" s="432"/>
      <c r="AH117" s="432"/>
      <c r="AI117" s="433"/>
      <c r="AJ117" s="432"/>
      <c r="AK117" s="432"/>
      <c r="AL117" s="432"/>
      <c r="AM117" s="433"/>
      <c r="AN117" s="432"/>
      <c r="AO117" s="432"/>
      <c r="AP117" s="432"/>
      <c r="AQ117" s="433"/>
      <c r="AR117" s="432"/>
      <c r="AS117" s="432"/>
      <c r="AT117" s="432"/>
      <c r="AU117" s="433"/>
      <c r="AV117" s="432"/>
      <c r="AW117" s="432"/>
      <c r="AX117" s="432"/>
      <c r="AY117" s="433"/>
      <c r="AZ117" s="432"/>
      <c r="BA117" s="432"/>
      <c r="BB117" s="432"/>
      <c r="BC117" s="433"/>
      <c r="BD117" s="432"/>
      <c r="BE117" s="432"/>
      <c r="BF117" s="432"/>
      <c r="BG117" s="433"/>
      <c r="BH117" s="432"/>
      <c r="BI117" s="432"/>
      <c r="BJ117" s="432"/>
      <c r="BK117" s="433"/>
      <c r="BL117" s="432"/>
      <c r="BM117" s="432"/>
      <c r="BN117" s="432"/>
      <c r="BO117" s="433"/>
      <c r="BP117" s="432"/>
      <c r="BQ117" s="432"/>
      <c r="BR117" s="432"/>
      <c r="BS117" s="433">
        <f t="shared" ref="BS117:CY117" si="357">BS116/BO116-1</f>
        <v>0.15099912485414224</v>
      </c>
      <c r="BT117" s="432">
        <f t="shared" si="357"/>
        <v>0.1950655096137488</v>
      </c>
      <c r="BU117" s="432">
        <f t="shared" si="357"/>
        <v>0.20958773401770148</v>
      </c>
      <c r="BV117" s="432">
        <f t="shared" si="357"/>
        <v>0.22681984186079474</v>
      </c>
      <c r="BW117" s="433">
        <f t="shared" si="357"/>
        <v>0.11151591953112638</v>
      </c>
      <c r="BX117" s="432">
        <f t="shared" si="357"/>
        <v>3.7674060996098602E-2</v>
      </c>
      <c r="BY117" s="432">
        <f t="shared" si="357"/>
        <v>-3.0737426216576047E-3</v>
      </c>
      <c r="BZ117" s="432">
        <f t="shared" si="357"/>
        <v>2.2716763005780294E-2</v>
      </c>
      <c r="CA117" s="433">
        <f t="shared" si="357"/>
        <v>6.0111158614792659E-2</v>
      </c>
      <c r="CB117" s="432">
        <f t="shared" si="357"/>
        <v>8.3177826564215351E-2</v>
      </c>
      <c r="CC117" s="432">
        <f t="shared" si="357"/>
        <v>0.12226466575716222</v>
      </c>
      <c r="CD117" s="432">
        <f t="shared" si="357"/>
        <v>0.10713276437008989</v>
      </c>
      <c r="CE117" s="433">
        <f t="shared" si="357"/>
        <v>0.14429746733344073</v>
      </c>
      <c r="CF117" s="432">
        <f t="shared" si="357"/>
        <v>0.10455777659547505</v>
      </c>
      <c r="CG117" s="432">
        <f t="shared" si="357"/>
        <v>0.11475529406044127</v>
      </c>
      <c r="CH117" s="432">
        <f t="shared" si="357"/>
        <v>8.0404318860555879E-2</v>
      </c>
      <c r="CI117" s="433">
        <f t="shared" si="357"/>
        <v>6.8983341556824396E-2</v>
      </c>
      <c r="CJ117" s="432">
        <f t="shared" si="357"/>
        <v>3.7065920455066959E-2</v>
      </c>
      <c r="CK117" s="432">
        <f t="shared" si="357"/>
        <v>1.0904887570609256E-2</v>
      </c>
      <c r="CL117" s="432">
        <f t="shared" si="357"/>
        <v>2.3058567817232589E-2</v>
      </c>
      <c r="CM117" s="433">
        <f t="shared" si="357"/>
        <v>3.8442095083192296E-2</v>
      </c>
      <c r="CN117" s="432">
        <f t="shared" si="357"/>
        <v>3.1295616401999071E-2</v>
      </c>
      <c r="CO117" s="432">
        <f t="shared" si="357"/>
        <v>1.9352333282992573E-2</v>
      </c>
      <c r="CP117" s="432">
        <f t="shared" si="357"/>
        <v>4.5285546036071489E-2</v>
      </c>
      <c r="CQ117" s="433">
        <f t="shared" si="357"/>
        <v>-1.716547432586879E-2</v>
      </c>
      <c r="CR117" s="432">
        <f t="shared" si="357"/>
        <v>7.1972377704861978E-2</v>
      </c>
      <c r="CS117" s="432">
        <f t="shared" si="357"/>
        <v>8.4321029461564612E-2</v>
      </c>
      <c r="CT117" s="432">
        <f t="shared" si="357"/>
        <v>0.1005434782608694</v>
      </c>
      <c r="CU117" s="433">
        <f t="shared" si="357"/>
        <v>0.15512006029934322</v>
      </c>
      <c r="CV117" s="432">
        <f t="shared" si="357"/>
        <v>9.506456793040674E-2</v>
      </c>
      <c r="CW117" s="432">
        <f t="shared" si="357"/>
        <v>9.8937299691607805E-2</v>
      </c>
      <c r="CX117" s="432">
        <f t="shared" si="357"/>
        <v>7.2083677296300719E-2</v>
      </c>
      <c r="CY117" s="433">
        <f t="shared" si="357"/>
        <v>2.8253223378687409E-2</v>
      </c>
      <c r="DA117" s="432"/>
      <c r="DB117" s="432"/>
      <c r="DC117" s="432"/>
      <c r="DD117" s="432"/>
      <c r="DE117" s="432"/>
      <c r="DF117" s="432"/>
      <c r="DG117" s="432"/>
      <c r="DH117" s="432"/>
      <c r="DI117" s="432"/>
      <c r="DJ117" s="432"/>
      <c r="DK117" s="432"/>
      <c r="DL117" s="432"/>
      <c r="DM117" s="432"/>
      <c r="DN117" s="432"/>
      <c r="DO117" s="432"/>
      <c r="DP117" s="432"/>
      <c r="DQ117" s="432"/>
      <c r="DR117" s="432">
        <f t="shared" ref="DR117:ED117" si="358">DR116/DQ116-1</f>
        <v>0.18418851320830476</v>
      </c>
      <c r="DS117" s="432">
        <f t="shared" si="358"/>
        <v>2.8997280401229286E-2</v>
      </c>
      <c r="DT117" s="432">
        <f t="shared" si="358"/>
        <v>0.11443674057801845</v>
      </c>
      <c r="DU117" s="432">
        <f t="shared" si="358"/>
        <v>9.1985955402242192E-2</v>
      </c>
      <c r="DV117" s="432">
        <f t="shared" si="358"/>
        <v>2.7308163115646655E-2</v>
      </c>
      <c r="DW117" s="432">
        <f t="shared" si="358"/>
        <v>1.9010070615109065E-2</v>
      </c>
      <c r="DX117" s="432">
        <f t="shared" si="358"/>
        <v>0.10289045997327251</v>
      </c>
      <c r="DY117" s="432">
        <f t="shared" si="358"/>
        <v>7.2931318443851589E-2</v>
      </c>
      <c r="DZ117" s="432">
        <f t="shared" si="358"/>
        <v>6.1827871616752628E-2</v>
      </c>
      <c r="EA117" s="432">
        <f t="shared" si="358"/>
        <v>5.0413506122122476E-2</v>
      </c>
      <c r="EB117" s="432">
        <f t="shared" si="358"/>
        <v>4.6366911814669676E-2</v>
      </c>
      <c r="EC117" s="432">
        <f t="shared" si="358"/>
        <v>3.5440166156323283E-2</v>
      </c>
      <c r="ED117" s="432">
        <f t="shared" si="358"/>
        <v>2.3109383897339297E-2</v>
      </c>
      <c r="EE117" s="435"/>
    </row>
    <row r="118" spans="1:143" s="109" customFormat="1" ht="15">
      <c r="A118" s="133"/>
      <c r="B118" s="677"/>
      <c r="C118" s="677"/>
      <c r="D118" s="678"/>
      <c r="E118" s="544"/>
      <c r="F118" s="544"/>
      <c r="G118" s="679"/>
      <c r="H118" s="544"/>
      <c r="I118" s="544"/>
      <c r="J118" s="544"/>
      <c r="K118" s="679"/>
      <c r="L118" s="544"/>
      <c r="M118" s="544"/>
      <c r="N118" s="544"/>
      <c r="O118" s="679"/>
      <c r="P118" s="544"/>
      <c r="Q118" s="544"/>
      <c r="R118" s="544"/>
      <c r="S118" s="679"/>
      <c r="T118" s="544"/>
      <c r="U118" s="544"/>
      <c r="V118" s="544"/>
      <c r="W118" s="679"/>
      <c r="X118" s="544"/>
      <c r="Y118" s="544"/>
      <c r="Z118" s="544"/>
      <c r="AA118" s="679"/>
      <c r="AB118" s="544"/>
      <c r="AC118" s="544"/>
      <c r="AD118" s="544"/>
      <c r="AE118" s="679"/>
      <c r="AF118" s="544"/>
      <c r="AG118" s="544"/>
      <c r="AH118" s="544"/>
      <c r="AI118" s="679"/>
      <c r="AJ118" s="544"/>
      <c r="AK118" s="544"/>
      <c r="AL118" s="544"/>
      <c r="AM118" s="679"/>
      <c r="AN118" s="544"/>
      <c r="AO118" s="544"/>
      <c r="AP118" s="544"/>
      <c r="AQ118" s="679"/>
      <c r="AR118" s="544"/>
      <c r="AS118" s="544"/>
      <c r="AT118" s="544"/>
      <c r="AU118" s="679"/>
      <c r="AV118" s="544"/>
      <c r="AW118" s="544"/>
      <c r="AX118" s="544"/>
      <c r="AY118" s="679"/>
      <c r="AZ118" s="544"/>
      <c r="BA118" s="544"/>
      <c r="BB118" s="544"/>
      <c r="BC118" s="679"/>
      <c r="BD118" s="544"/>
      <c r="BE118" s="544"/>
      <c r="BF118" s="544"/>
      <c r="BG118" s="679"/>
      <c r="BH118" s="544"/>
      <c r="BI118" s="544"/>
      <c r="BJ118" s="544"/>
      <c r="BK118" s="679"/>
      <c r="BL118" s="544"/>
      <c r="BM118" s="544"/>
      <c r="BN118" s="544"/>
      <c r="BO118" s="679"/>
      <c r="BP118" s="544"/>
      <c r="BQ118" s="544"/>
      <c r="BR118" s="544"/>
      <c r="BS118" s="679"/>
      <c r="BT118" s="544"/>
      <c r="BU118" s="544"/>
      <c r="BV118" s="544"/>
      <c r="BW118" s="679"/>
      <c r="BX118" s="544"/>
      <c r="BY118" s="544"/>
      <c r="BZ118" s="544"/>
      <c r="CA118" s="679"/>
      <c r="CB118" s="544"/>
      <c r="CC118" s="544"/>
      <c r="CD118" s="544"/>
      <c r="CE118" s="679"/>
      <c r="CF118" s="544"/>
      <c r="CG118" s="544"/>
      <c r="CH118" s="544"/>
      <c r="CI118" s="679"/>
      <c r="CJ118" s="544"/>
      <c r="CK118" s="544"/>
      <c r="CL118" s="544"/>
      <c r="CM118" s="679"/>
      <c r="CN118" s="544"/>
      <c r="CO118" s="544"/>
      <c r="CP118" s="544"/>
      <c r="CQ118" s="679"/>
      <c r="CR118" s="544"/>
      <c r="CS118" s="544"/>
      <c r="CT118" s="544"/>
      <c r="CU118" s="679"/>
      <c r="CV118" s="544"/>
      <c r="CW118" s="544"/>
      <c r="CX118" s="544"/>
      <c r="CY118" s="679"/>
      <c r="CZ118" s="7"/>
      <c r="DA118" s="544"/>
      <c r="DB118" s="544"/>
      <c r="DC118" s="544"/>
      <c r="DD118" s="544"/>
      <c r="DE118" s="544"/>
      <c r="DF118" s="544"/>
      <c r="DG118" s="544"/>
      <c r="DH118" s="544"/>
      <c r="DI118" s="544"/>
      <c r="DJ118" s="544"/>
      <c r="DK118" s="544"/>
      <c r="DL118" s="544"/>
      <c r="DM118" s="544"/>
      <c r="DN118" s="544"/>
      <c r="DO118" s="544"/>
      <c r="DP118" s="544"/>
      <c r="DQ118" s="544"/>
      <c r="DR118" s="544"/>
      <c r="DS118" s="544"/>
      <c r="DT118" s="544"/>
      <c r="DU118" s="544"/>
      <c r="DV118" s="544"/>
      <c r="DW118" s="544"/>
      <c r="DX118" s="136"/>
      <c r="DY118" s="136"/>
      <c r="DZ118" s="136"/>
      <c r="EA118" s="136"/>
      <c r="EB118" s="136"/>
      <c r="EC118" s="136"/>
      <c r="ED118" s="136"/>
      <c r="EE118" s="136"/>
    </row>
    <row r="119" spans="1:143" s="109" customFormat="1" ht="15" collapsed="1">
      <c r="A119" s="133"/>
      <c r="B119" s="659" t="s">
        <v>66</v>
      </c>
      <c r="C119" s="700"/>
      <c r="D119" s="647"/>
      <c r="E119" s="136"/>
      <c r="F119" s="136"/>
      <c r="G119" s="437"/>
      <c r="H119" s="136"/>
      <c r="I119" s="136"/>
      <c r="J119" s="136"/>
      <c r="K119" s="437"/>
      <c r="L119" s="136"/>
      <c r="M119" s="136"/>
      <c r="N119" s="136"/>
      <c r="O119" s="437"/>
      <c r="P119" s="136"/>
      <c r="Q119" s="136"/>
      <c r="R119" s="136"/>
      <c r="S119" s="437"/>
      <c r="T119" s="136"/>
      <c r="U119" s="136"/>
      <c r="V119" s="136"/>
      <c r="W119" s="437"/>
      <c r="X119" s="701"/>
      <c r="Y119" s="701"/>
      <c r="Z119" s="701"/>
      <c r="AA119" s="702"/>
      <c r="AB119" s="701"/>
      <c r="AC119" s="701"/>
      <c r="AD119" s="701"/>
      <c r="AE119" s="702"/>
      <c r="AF119" s="701"/>
      <c r="AG119" s="701"/>
      <c r="AH119" s="701"/>
      <c r="AI119" s="702"/>
      <c r="AJ119" s="701"/>
      <c r="AK119" s="701"/>
      <c r="AL119" s="701"/>
      <c r="AM119" s="702"/>
      <c r="AN119" s="701"/>
      <c r="AO119" s="701"/>
      <c r="AP119" s="701"/>
      <c r="AQ119" s="702"/>
      <c r="AR119" s="701"/>
      <c r="AS119" s="701"/>
      <c r="AT119" s="701"/>
      <c r="AU119" s="702"/>
      <c r="AV119" s="701"/>
      <c r="AW119" s="701"/>
      <c r="AX119" s="701"/>
      <c r="AY119" s="702"/>
      <c r="AZ119" s="701"/>
      <c r="BA119" s="701"/>
      <c r="BB119" s="701"/>
      <c r="BC119" s="702"/>
      <c r="BD119" s="701"/>
      <c r="BE119" s="701"/>
      <c r="BF119" s="701"/>
      <c r="BG119" s="702"/>
      <c r="BH119" s="701"/>
      <c r="BI119" s="701"/>
      <c r="BJ119" s="701"/>
      <c r="BK119" s="702"/>
      <c r="BL119" s="701"/>
      <c r="BM119" s="701"/>
      <c r="BN119" s="701"/>
      <c r="BO119" s="702"/>
      <c r="BP119" s="701"/>
      <c r="BQ119" s="701"/>
      <c r="BR119" s="701"/>
      <c r="BS119" s="702"/>
      <c r="BT119" s="701"/>
      <c r="BU119" s="701"/>
      <c r="BV119" s="701"/>
      <c r="BW119" s="702"/>
      <c r="BX119" s="701"/>
      <c r="BY119" s="701"/>
      <c r="BZ119" s="701"/>
      <c r="CA119" s="702"/>
      <c r="CB119" s="701"/>
      <c r="CC119" s="701"/>
      <c r="CD119" s="701"/>
      <c r="CE119" s="702"/>
      <c r="CF119" s="701"/>
      <c r="CG119" s="701"/>
      <c r="CH119" s="701"/>
      <c r="CI119" s="702"/>
      <c r="CJ119" s="701"/>
      <c r="CK119" s="701"/>
      <c r="CL119" s="701"/>
      <c r="CM119" s="702"/>
      <c r="CN119" s="701"/>
      <c r="CO119" s="701"/>
      <c r="CP119" s="701"/>
      <c r="CQ119" s="702"/>
      <c r="CR119" s="701"/>
      <c r="CS119" s="701"/>
      <c r="CT119" s="701"/>
      <c r="CU119" s="702"/>
      <c r="CV119" s="704"/>
      <c r="CW119" s="704"/>
      <c r="CX119" s="704"/>
      <c r="CY119" s="703"/>
      <c r="CZ119" s="7"/>
      <c r="DA119" s="704"/>
      <c r="DB119" s="704"/>
      <c r="DC119" s="704"/>
      <c r="DD119" s="704"/>
      <c r="DE119" s="704"/>
      <c r="DF119" s="704"/>
      <c r="DG119" s="704"/>
      <c r="DH119" s="704"/>
      <c r="DI119" s="704"/>
      <c r="DJ119" s="704"/>
      <c r="DK119" s="704"/>
      <c r="DL119" s="704"/>
      <c r="DM119" s="704"/>
      <c r="DN119" s="704"/>
      <c r="DO119" s="704"/>
      <c r="DP119" s="704"/>
      <c r="DQ119" s="704"/>
      <c r="DR119" s="704"/>
      <c r="DS119" s="704"/>
      <c r="DT119" s="704"/>
      <c r="DU119" s="704"/>
      <c r="DV119" s="704"/>
      <c r="DW119" s="704"/>
      <c r="DX119" s="136"/>
      <c r="DY119" s="136"/>
      <c r="DZ119" s="136"/>
      <c r="EA119" s="136"/>
      <c r="EB119" s="136"/>
      <c r="EC119" s="136"/>
      <c r="ED119" s="136"/>
      <c r="EE119" s="136"/>
    </row>
    <row r="120" spans="1:143" s="711" customFormat="1" ht="15">
      <c r="A120" s="279"/>
      <c r="B120" s="705" t="s">
        <v>282</v>
      </c>
      <c r="C120" s="705"/>
      <c r="D120" s="706"/>
      <c r="E120" s="707"/>
      <c r="F120" s="707"/>
      <c r="G120" s="708"/>
      <c r="H120" s="707"/>
      <c r="I120" s="707"/>
      <c r="J120" s="707"/>
      <c r="K120" s="708"/>
      <c r="L120" s="707"/>
      <c r="M120" s="707"/>
      <c r="N120" s="707"/>
      <c r="O120" s="708"/>
      <c r="P120" s="707"/>
      <c r="Q120" s="707"/>
      <c r="R120" s="707"/>
      <c r="S120" s="708"/>
      <c r="T120" s="707"/>
      <c r="U120" s="707"/>
      <c r="V120" s="707"/>
      <c r="W120" s="708"/>
      <c r="X120" s="707"/>
      <c r="Y120" s="707"/>
      <c r="Z120" s="707"/>
      <c r="AA120" s="708"/>
      <c r="AB120" s="707"/>
      <c r="AC120" s="707"/>
      <c r="AD120" s="707"/>
      <c r="AE120" s="708"/>
      <c r="AF120" s="707"/>
      <c r="AG120" s="707"/>
      <c r="AH120" s="707"/>
      <c r="AI120" s="708"/>
      <c r="AJ120" s="707"/>
      <c r="AK120" s="707"/>
      <c r="AL120" s="707"/>
      <c r="AM120" s="708"/>
      <c r="AN120" s="707"/>
      <c r="AO120" s="707"/>
      <c r="AP120" s="707"/>
      <c r="AQ120" s="708"/>
      <c r="AR120" s="707"/>
      <c r="AS120" s="707"/>
      <c r="AT120" s="707"/>
      <c r="AU120" s="708"/>
      <c r="AV120" s="707"/>
      <c r="AW120" s="707"/>
      <c r="AX120" s="707"/>
      <c r="AY120" s="708"/>
      <c r="AZ120" s="707"/>
      <c r="BA120" s="707"/>
      <c r="BB120" s="707"/>
      <c r="BC120" s="708"/>
      <c r="BD120" s="707"/>
      <c r="BE120" s="707"/>
      <c r="BF120" s="707"/>
      <c r="BG120" s="708"/>
      <c r="BH120" s="707"/>
      <c r="BI120" s="707"/>
      <c r="BJ120" s="707"/>
      <c r="BK120" s="709">
        <v>372</v>
      </c>
      <c r="BL120" s="710">
        <v>301</v>
      </c>
      <c r="BM120" s="710">
        <v>294</v>
      </c>
      <c r="BN120" s="710">
        <v>296</v>
      </c>
      <c r="BO120" s="709">
        <v>286</v>
      </c>
      <c r="BP120" s="710">
        <v>283</v>
      </c>
      <c r="BQ120" s="710">
        <v>275</v>
      </c>
      <c r="BR120" s="710">
        <v>292</v>
      </c>
      <c r="BS120" s="709">
        <v>298</v>
      </c>
      <c r="BT120" s="710">
        <v>320</v>
      </c>
      <c r="BU120" s="710">
        <v>321</v>
      </c>
      <c r="BV120" s="710">
        <v>333</v>
      </c>
      <c r="BW120" s="709">
        <v>313</v>
      </c>
      <c r="BX120" s="710">
        <v>283</v>
      </c>
      <c r="BY120" s="710">
        <v>276</v>
      </c>
      <c r="BZ120" s="710">
        <v>293</v>
      </c>
      <c r="CA120" s="709">
        <v>282</v>
      </c>
      <c r="CB120" s="710">
        <v>310</v>
      </c>
      <c r="CC120" s="710">
        <v>302</v>
      </c>
      <c r="CD120" s="710">
        <v>312</v>
      </c>
      <c r="CE120" s="709">
        <v>324</v>
      </c>
      <c r="CF120" s="710">
        <v>341</v>
      </c>
      <c r="CG120" s="710">
        <v>337</v>
      </c>
      <c r="CH120" s="710">
        <v>354</v>
      </c>
      <c r="CI120" s="709">
        <v>334</v>
      </c>
      <c r="CJ120" s="710">
        <v>320</v>
      </c>
      <c r="CK120" s="710">
        <v>308</v>
      </c>
      <c r="CL120" s="710">
        <v>321</v>
      </c>
      <c r="CM120" s="709">
        <v>308</v>
      </c>
      <c r="CN120" s="710">
        <v>315</v>
      </c>
      <c r="CO120" s="710">
        <v>314</v>
      </c>
      <c r="CP120" s="710">
        <v>338</v>
      </c>
      <c r="CQ120" s="709">
        <v>302</v>
      </c>
      <c r="CR120" s="710">
        <v>316</v>
      </c>
      <c r="CS120" s="710">
        <v>344</v>
      </c>
      <c r="CT120" s="710">
        <v>393</v>
      </c>
      <c r="CU120" s="709">
        <v>367</v>
      </c>
      <c r="CV120" s="707"/>
      <c r="CW120" s="707"/>
      <c r="CX120" s="707"/>
      <c r="CY120" s="708"/>
      <c r="DA120" s="712"/>
      <c r="DB120" s="712"/>
      <c r="DC120" s="712"/>
      <c r="DD120" s="712"/>
      <c r="DE120" s="712"/>
      <c r="DF120" s="712"/>
      <c r="DG120" s="712"/>
      <c r="DH120" s="712"/>
      <c r="DI120" s="712"/>
      <c r="DJ120" s="712"/>
      <c r="DK120" s="712"/>
      <c r="DL120" s="712"/>
      <c r="DM120" s="712"/>
      <c r="DN120" s="712"/>
      <c r="DO120" s="712">
        <v>350</v>
      </c>
      <c r="DP120" s="712">
        <v>293</v>
      </c>
      <c r="DQ120" s="712">
        <f>+AVERAGE(BP120:BS120)</f>
        <v>287</v>
      </c>
      <c r="DR120" s="712">
        <f>+AVERAGE(BT120:BW120)</f>
        <v>321.75</v>
      </c>
      <c r="DS120" s="712">
        <f>+AVERAGE(BX120:CA120)</f>
        <v>283.5</v>
      </c>
      <c r="DT120" s="712">
        <f>+AVERAGE(CB120:CE120)</f>
        <v>312</v>
      </c>
      <c r="DU120" s="712">
        <f>+AVERAGE(CF120:CI120)</f>
        <v>341.5</v>
      </c>
      <c r="DV120" s="712">
        <f>+AVERAGE(CJ120:CM120)</f>
        <v>314.25</v>
      </c>
      <c r="DW120" s="712">
        <f>+AVERAGE(CN120:CQ120)</f>
        <v>317.25</v>
      </c>
      <c r="DX120" s="712">
        <f>+AVERAGE(CR120:CU120)</f>
        <v>355</v>
      </c>
      <c r="DY120" s="705"/>
      <c r="DZ120" s="705"/>
      <c r="EA120" s="705"/>
      <c r="EB120" s="705"/>
      <c r="EC120" s="705"/>
      <c r="ED120" s="705"/>
      <c r="EE120" s="705"/>
    </row>
    <row r="121" spans="1:143" s="599" customFormat="1" ht="15">
      <c r="A121" s="258"/>
      <c r="B121" s="304" t="s">
        <v>240</v>
      </c>
      <c r="C121" s="435"/>
      <c r="D121" s="598"/>
      <c r="E121" s="432"/>
      <c r="F121" s="432"/>
      <c r="G121" s="433"/>
      <c r="H121" s="432"/>
      <c r="I121" s="432"/>
      <c r="J121" s="432"/>
      <c r="K121" s="433"/>
      <c r="L121" s="432"/>
      <c r="M121" s="432"/>
      <c r="N121" s="432"/>
      <c r="O121" s="433"/>
      <c r="P121" s="432"/>
      <c r="Q121" s="432"/>
      <c r="R121" s="432"/>
      <c r="S121" s="433"/>
      <c r="T121" s="432"/>
      <c r="U121" s="432"/>
      <c r="V121" s="432"/>
      <c r="W121" s="433"/>
      <c r="X121" s="432"/>
      <c r="Y121" s="432"/>
      <c r="Z121" s="432"/>
      <c r="AA121" s="433"/>
      <c r="AB121" s="432"/>
      <c r="AC121" s="432"/>
      <c r="AD121" s="432"/>
      <c r="AE121" s="433"/>
      <c r="AF121" s="432"/>
      <c r="AG121" s="432"/>
      <c r="AH121" s="432"/>
      <c r="AI121" s="433"/>
      <c r="AJ121" s="432"/>
      <c r="AK121" s="432"/>
      <c r="AL121" s="432"/>
      <c r="AM121" s="433"/>
      <c r="AN121" s="432"/>
      <c r="AO121" s="432"/>
      <c r="AP121" s="432"/>
      <c r="AQ121" s="433"/>
      <c r="AR121" s="432"/>
      <c r="AS121" s="432"/>
      <c r="AT121" s="432"/>
      <c r="AU121" s="433"/>
      <c r="AV121" s="432"/>
      <c r="AW121" s="432"/>
      <c r="AX121" s="432"/>
      <c r="AY121" s="433"/>
      <c r="AZ121" s="432"/>
      <c r="BA121" s="432"/>
      <c r="BB121" s="432"/>
      <c r="BC121" s="433"/>
      <c r="BD121" s="432"/>
      <c r="BE121" s="432"/>
      <c r="BF121" s="432"/>
      <c r="BG121" s="433"/>
      <c r="BH121" s="432"/>
      <c r="BI121" s="432"/>
      <c r="BJ121" s="432"/>
      <c r="BK121" s="433"/>
      <c r="BL121" s="432"/>
      <c r="BM121" s="432"/>
      <c r="BN121" s="432"/>
      <c r="BO121" s="433">
        <f t="shared" ref="BO121:CU121" si="359">IF(BK120=0,0,BO120/BK120-1)</f>
        <v>-0.23118279569892475</v>
      </c>
      <c r="BP121" s="432">
        <f t="shared" si="359"/>
        <v>-5.980066445182719E-2</v>
      </c>
      <c r="BQ121" s="432">
        <f t="shared" si="359"/>
        <v>-6.4625850340136015E-2</v>
      </c>
      <c r="BR121" s="432">
        <f t="shared" si="359"/>
        <v>-1.3513513513513487E-2</v>
      </c>
      <c r="BS121" s="433">
        <f t="shared" si="359"/>
        <v>4.195804195804187E-2</v>
      </c>
      <c r="BT121" s="432">
        <f t="shared" si="359"/>
        <v>0.13074204946996471</v>
      </c>
      <c r="BU121" s="432">
        <f t="shared" si="359"/>
        <v>0.16727272727272724</v>
      </c>
      <c r="BV121" s="432">
        <f t="shared" si="359"/>
        <v>0.1404109589041096</v>
      </c>
      <c r="BW121" s="433">
        <f t="shared" si="359"/>
        <v>5.0335570469798752E-2</v>
      </c>
      <c r="BX121" s="432">
        <f t="shared" si="359"/>
        <v>-0.11562499999999998</v>
      </c>
      <c r="BY121" s="432">
        <f t="shared" si="359"/>
        <v>-0.14018691588785048</v>
      </c>
      <c r="BZ121" s="432">
        <f t="shared" si="359"/>
        <v>-0.12012012012012008</v>
      </c>
      <c r="CA121" s="433">
        <f t="shared" si="359"/>
        <v>-9.9041533546325833E-2</v>
      </c>
      <c r="CB121" s="432">
        <f t="shared" si="359"/>
        <v>9.540636042402828E-2</v>
      </c>
      <c r="CC121" s="432">
        <f t="shared" si="359"/>
        <v>9.4202898550724612E-2</v>
      </c>
      <c r="CD121" s="432">
        <f t="shared" si="359"/>
        <v>6.4846416382252636E-2</v>
      </c>
      <c r="CE121" s="433">
        <f t="shared" si="359"/>
        <v>0.14893617021276606</v>
      </c>
      <c r="CF121" s="432">
        <f t="shared" si="359"/>
        <v>0.10000000000000009</v>
      </c>
      <c r="CG121" s="432">
        <f t="shared" si="359"/>
        <v>0.11589403973509937</v>
      </c>
      <c r="CH121" s="432">
        <f t="shared" si="359"/>
        <v>0.13461538461538458</v>
      </c>
      <c r="CI121" s="433">
        <f t="shared" si="359"/>
        <v>3.0864197530864113E-2</v>
      </c>
      <c r="CJ121" s="432">
        <f t="shared" si="359"/>
        <v>-6.1583577712609916E-2</v>
      </c>
      <c r="CK121" s="432">
        <f t="shared" si="359"/>
        <v>-8.6053412462907986E-2</v>
      </c>
      <c r="CL121" s="432">
        <f t="shared" si="359"/>
        <v>-9.3220338983050821E-2</v>
      </c>
      <c r="CM121" s="433">
        <f t="shared" si="359"/>
        <v>-7.7844311377245456E-2</v>
      </c>
      <c r="CN121" s="432">
        <f t="shared" si="359"/>
        <v>-1.5625E-2</v>
      </c>
      <c r="CO121" s="432">
        <f t="shared" si="359"/>
        <v>1.9480519480519431E-2</v>
      </c>
      <c r="CP121" s="432">
        <f t="shared" si="359"/>
        <v>5.2959501557632294E-2</v>
      </c>
      <c r="CQ121" s="433">
        <f t="shared" si="359"/>
        <v>-1.9480519480519431E-2</v>
      </c>
      <c r="CR121" s="432">
        <f t="shared" si="359"/>
        <v>3.1746031746031633E-3</v>
      </c>
      <c r="CS121" s="432">
        <f t="shared" si="359"/>
        <v>9.5541401273885329E-2</v>
      </c>
      <c r="CT121" s="432">
        <f t="shared" si="359"/>
        <v>0.16272189349112431</v>
      </c>
      <c r="CU121" s="433">
        <f t="shared" si="359"/>
        <v>0.2152317880794703</v>
      </c>
      <c r="CV121" s="432"/>
      <c r="CW121" s="432"/>
      <c r="CX121" s="432"/>
      <c r="CY121" s="433"/>
      <c r="DA121" s="432"/>
      <c r="DB121" s="432"/>
      <c r="DC121" s="432"/>
      <c r="DD121" s="432"/>
      <c r="DE121" s="432"/>
      <c r="DF121" s="432"/>
      <c r="DG121" s="432"/>
      <c r="DH121" s="432"/>
      <c r="DI121" s="432"/>
      <c r="DJ121" s="432"/>
      <c r="DK121" s="432"/>
      <c r="DL121" s="432"/>
      <c r="DM121" s="432"/>
      <c r="DN121" s="432"/>
      <c r="DO121" s="432"/>
      <c r="DP121" s="432">
        <f t="shared" ref="DP121:DX121" si="360">IF(DO120=0,0,DP120/DO120-1)</f>
        <v>-0.16285714285714281</v>
      </c>
      <c r="DQ121" s="432">
        <f t="shared" si="360"/>
        <v>-2.0477815699658675E-2</v>
      </c>
      <c r="DR121" s="432">
        <f t="shared" si="360"/>
        <v>0.12108013937282225</v>
      </c>
      <c r="DS121" s="432">
        <f t="shared" si="360"/>
        <v>-0.11888111888111885</v>
      </c>
      <c r="DT121" s="432">
        <f t="shared" si="360"/>
        <v>0.10052910052910047</v>
      </c>
      <c r="DU121" s="432">
        <f t="shared" si="360"/>
        <v>9.4551282051282159E-2</v>
      </c>
      <c r="DV121" s="432">
        <f t="shared" si="360"/>
        <v>-7.9795021961932666E-2</v>
      </c>
      <c r="DW121" s="432">
        <f t="shared" si="360"/>
        <v>9.5465393794749165E-3</v>
      </c>
      <c r="DX121" s="432">
        <f t="shared" si="360"/>
        <v>0.11899133175728926</v>
      </c>
      <c r="DY121" s="432"/>
      <c r="DZ121" s="432"/>
      <c r="EA121" s="432"/>
      <c r="EB121" s="432"/>
      <c r="EC121" s="432"/>
      <c r="ED121" s="432"/>
      <c r="EE121" s="435"/>
    </row>
    <row r="122" spans="1:143" s="711" customFormat="1" ht="15">
      <c r="A122" s="279"/>
      <c r="B122" s="705" t="s">
        <v>65</v>
      </c>
      <c r="C122" s="705"/>
      <c r="D122" s="706"/>
      <c r="E122" s="707"/>
      <c r="F122" s="707"/>
      <c r="G122" s="708"/>
      <c r="H122" s="707"/>
      <c r="I122" s="707"/>
      <c r="J122" s="707"/>
      <c r="K122" s="708"/>
      <c r="L122" s="707"/>
      <c r="M122" s="707"/>
      <c r="N122" s="707"/>
      <c r="O122" s="708"/>
      <c r="P122" s="707"/>
      <c r="Q122" s="707"/>
      <c r="R122" s="707"/>
      <c r="S122" s="708"/>
      <c r="T122" s="707"/>
      <c r="U122" s="707"/>
      <c r="V122" s="707"/>
      <c r="W122" s="708"/>
      <c r="X122" s="707"/>
      <c r="Y122" s="707"/>
      <c r="Z122" s="707"/>
      <c r="AA122" s="708"/>
      <c r="AB122" s="707"/>
      <c r="AC122" s="707"/>
      <c r="AD122" s="707"/>
      <c r="AE122" s="708"/>
      <c r="AF122" s="707"/>
      <c r="AG122" s="707"/>
      <c r="AH122" s="707"/>
      <c r="AI122" s="708"/>
      <c r="AJ122" s="707"/>
      <c r="AK122" s="707"/>
      <c r="AL122" s="707"/>
      <c r="AM122" s="708"/>
      <c r="AN122" s="707"/>
      <c r="AO122" s="707"/>
      <c r="AP122" s="707"/>
      <c r="AQ122" s="708"/>
      <c r="AR122" s="707"/>
      <c r="AS122" s="707"/>
      <c r="AT122" s="707"/>
      <c r="AU122" s="708"/>
      <c r="AV122" s="707"/>
      <c r="AW122" s="707"/>
      <c r="AX122" s="707"/>
      <c r="AY122" s="708"/>
      <c r="AZ122" s="707"/>
      <c r="BA122" s="707"/>
      <c r="BB122" s="707"/>
      <c r="BC122" s="708"/>
      <c r="BD122" s="707"/>
      <c r="BE122" s="707"/>
      <c r="BF122" s="707"/>
      <c r="BG122" s="708"/>
      <c r="BH122" s="707"/>
      <c r="BI122" s="707"/>
      <c r="BJ122" s="707"/>
      <c r="BK122" s="709">
        <v>298</v>
      </c>
      <c r="BL122" s="710">
        <v>397</v>
      </c>
      <c r="BM122" s="710">
        <v>326</v>
      </c>
      <c r="BN122" s="710">
        <v>350</v>
      </c>
      <c r="BO122" s="709">
        <v>319</v>
      </c>
      <c r="BP122" s="710">
        <v>335</v>
      </c>
      <c r="BQ122" s="710">
        <v>329</v>
      </c>
      <c r="BR122" s="710">
        <v>344</v>
      </c>
      <c r="BS122" s="709">
        <v>348</v>
      </c>
      <c r="BT122" s="710">
        <v>355</v>
      </c>
      <c r="BU122" s="710">
        <v>406</v>
      </c>
      <c r="BV122" s="710">
        <v>404</v>
      </c>
      <c r="BW122" s="709">
        <v>370</v>
      </c>
      <c r="BX122" s="710">
        <v>351</v>
      </c>
      <c r="BY122" s="710">
        <v>368</v>
      </c>
      <c r="BZ122" s="710">
        <v>383</v>
      </c>
      <c r="CA122" s="709">
        <v>380</v>
      </c>
      <c r="CB122" s="710">
        <v>376</v>
      </c>
      <c r="CC122" s="710">
        <v>364</v>
      </c>
      <c r="CD122" s="710">
        <v>378</v>
      </c>
      <c r="CE122" s="709">
        <v>377</v>
      </c>
      <c r="CF122" s="710">
        <v>386</v>
      </c>
      <c r="CG122" s="710">
        <v>395</v>
      </c>
      <c r="CH122" s="710">
        <v>409</v>
      </c>
      <c r="CI122" s="709">
        <v>400</v>
      </c>
      <c r="CJ122" s="710">
        <v>459</v>
      </c>
      <c r="CK122" s="710">
        <v>441</v>
      </c>
      <c r="CL122" s="710">
        <v>442</v>
      </c>
      <c r="CM122" s="709">
        <v>433</v>
      </c>
      <c r="CN122" s="710">
        <v>425</v>
      </c>
      <c r="CO122" s="710">
        <v>422</v>
      </c>
      <c r="CP122" s="710">
        <v>424</v>
      </c>
      <c r="CQ122" s="709">
        <v>410</v>
      </c>
      <c r="CR122" s="710">
        <v>435</v>
      </c>
      <c r="CS122" s="710">
        <v>453</v>
      </c>
      <c r="CT122" s="710">
        <v>456</v>
      </c>
      <c r="CU122" s="709">
        <v>469</v>
      </c>
      <c r="CV122" s="707"/>
      <c r="CW122" s="707"/>
      <c r="CX122" s="707"/>
      <c r="CY122" s="708"/>
      <c r="DA122" s="712"/>
      <c r="DB122" s="712"/>
      <c r="DC122" s="712"/>
      <c r="DD122" s="712"/>
      <c r="DE122" s="712"/>
      <c r="DF122" s="712"/>
      <c r="DG122" s="712"/>
      <c r="DH122" s="712"/>
      <c r="DI122" s="712"/>
      <c r="DJ122" s="712"/>
      <c r="DK122" s="712"/>
      <c r="DL122" s="712"/>
      <c r="DM122" s="712"/>
      <c r="DN122" s="712"/>
      <c r="DO122" s="712">
        <v>391</v>
      </c>
      <c r="DP122" s="712">
        <v>345</v>
      </c>
      <c r="DQ122" s="712">
        <f>+AVERAGE(BP122:BS122)</f>
        <v>339</v>
      </c>
      <c r="DR122" s="712">
        <f>+AVERAGE(BT122:BW122)</f>
        <v>383.75</v>
      </c>
      <c r="DS122" s="712">
        <f>+AVERAGE(BX122:CA122)</f>
        <v>370.5</v>
      </c>
      <c r="DT122" s="712">
        <f>+AVERAGE(CB122:CE122)</f>
        <v>373.75</v>
      </c>
      <c r="DU122" s="712">
        <f>+AVERAGE(CF122:CI122)</f>
        <v>397.5</v>
      </c>
      <c r="DV122" s="712">
        <v>422</v>
      </c>
      <c r="DW122" s="712">
        <f>+AVERAGE(CN122:CQ122)</f>
        <v>420.25</v>
      </c>
      <c r="DX122" s="712">
        <f>+AVERAGE(CR122:CU122)</f>
        <v>453.25</v>
      </c>
      <c r="DY122" s="705"/>
      <c r="DZ122" s="705"/>
      <c r="EA122" s="705"/>
      <c r="EB122" s="705"/>
      <c r="EC122" s="705"/>
      <c r="ED122" s="705"/>
      <c r="EE122" s="705"/>
    </row>
    <row r="123" spans="1:143" s="599" customFormat="1" ht="15">
      <c r="A123" s="258"/>
      <c r="B123" s="304" t="s">
        <v>240</v>
      </c>
      <c r="C123" s="435"/>
      <c r="D123" s="598"/>
      <c r="E123" s="432"/>
      <c r="F123" s="432"/>
      <c r="G123" s="433"/>
      <c r="H123" s="432"/>
      <c r="I123" s="432"/>
      <c r="J123" s="432"/>
      <c r="K123" s="433"/>
      <c r="L123" s="432"/>
      <c r="M123" s="432"/>
      <c r="N123" s="432"/>
      <c r="O123" s="433"/>
      <c r="P123" s="432"/>
      <c r="Q123" s="432"/>
      <c r="R123" s="432"/>
      <c r="S123" s="433"/>
      <c r="T123" s="432"/>
      <c r="U123" s="432"/>
      <c r="V123" s="432"/>
      <c r="W123" s="433"/>
      <c r="X123" s="432"/>
      <c r="Y123" s="432"/>
      <c r="Z123" s="432"/>
      <c r="AA123" s="433"/>
      <c r="AB123" s="432"/>
      <c r="AC123" s="432"/>
      <c r="AD123" s="432"/>
      <c r="AE123" s="433"/>
      <c r="AF123" s="432"/>
      <c r="AG123" s="432"/>
      <c r="AH123" s="432"/>
      <c r="AI123" s="433"/>
      <c r="AJ123" s="432"/>
      <c r="AK123" s="432"/>
      <c r="AL123" s="432"/>
      <c r="AM123" s="433"/>
      <c r="AN123" s="432"/>
      <c r="AO123" s="432"/>
      <c r="AP123" s="432"/>
      <c r="AQ123" s="433"/>
      <c r="AR123" s="432"/>
      <c r="AS123" s="432"/>
      <c r="AT123" s="432"/>
      <c r="AU123" s="433"/>
      <c r="AV123" s="432"/>
      <c r="AW123" s="432"/>
      <c r="AX123" s="432"/>
      <c r="AY123" s="433"/>
      <c r="AZ123" s="432"/>
      <c r="BA123" s="432"/>
      <c r="BB123" s="432"/>
      <c r="BC123" s="433"/>
      <c r="BD123" s="432"/>
      <c r="BE123" s="432"/>
      <c r="BF123" s="432"/>
      <c r="BG123" s="433"/>
      <c r="BH123" s="432"/>
      <c r="BI123" s="432"/>
      <c r="BJ123" s="432"/>
      <c r="BK123" s="433"/>
      <c r="BL123" s="432"/>
      <c r="BM123" s="432"/>
      <c r="BN123" s="432"/>
      <c r="BO123" s="433">
        <f t="shared" ref="BO123:CU123" si="361">IF(BK122=0,0,BO122/BK122-1)</f>
        <v>7.0469798657718075E-2</v>
      </c>
      <c r="BP123" s="432">
        <f t="shared" si="361"/>
        <v>-0.15617128463476071</v>
      </c>
      <c r="BQ123" s="432">
        <f t="shared" si="361"/>
        <v>9.2024539877300082E-3</v>
      </c>
      <c r="BR123" s="432">
        <f t="shared" si="361"/>
        <v>-1.7142857142857126E-2</v>
      </c>
      <c r="BS123" s="433">
        <f t="shared" si="361"/>
        <v>9.0909090909090828E-2</v>
      </c>
      <c r="BT123" s="432">
        <f t="shared" si="361"/>
        <v>5.9701492537313383E-2</v>
      </c>
      <c r="BU123" s="432">
        <f t="shared" si="361"/>
        <v>0.23404255319148937</v>
      </c>
      <c r="BV123" s="432">
        <f t="shared" si="361"/>
        <v>0.17441860465116288</v>
      </c>
      <c r="BW123" s="433">
        <f t="shared" si="361"/>
        <v>6.321839080459779E-2</v>
      </c>
      <c r="BX123" s="432">
        <f t="shared" si="361"/>
        <v>-1.1267605633802802E-2</v>
      </c>
      <c r="BY123" s="432">
        <f t="shared" si="361"/>
        <v>-9.3596059113300489E-2</v>
      </c>
      <c r="BZ123" s="432">
        <f t="shared" si="361"/>
        <v>-5.1980198019802026E-2</v>
      </c>
      <c r="CA123" s="433">
        <f t="shared" si="361"/>
        <v>2.7027027027026973E-2</v>
      </c>
      <c r="CB123" s="432">
        <f t="shared" si="361"/>
        <v>7.1225071225071268E-2</v>
      </c>
      <c r="CC123" s="432">
        <f t="shared" si="361"/>
        <v>-1.0869565217391353E-2</v>
      </c>
      <c r="CD123" s="432">
        <f t="shared" si="361"/>
        <v>-1.3054830287206221E-2</v>
      </c>
      <c r="CE123" s="433">
        <f t="shared" si="361"/>
        <v>-7.8947368421052877E-3</v>
      </c>
      <c r="CF123" s="432">
        <f t="shared" si="361"/>
        <v>2.659574468085113E-2</v>
      </c>
      <c r="CG123" s="432">
        <f t="shared" si="361"/>
        <v>8.5164835164835084E-2</v>
      </c>
      <c r="CH123" s="432">
        <f t="shared" si="361"/>
        <v>8.2010582010582089E-2</v>
      </c>
      <c r="CI123" s="433">
        <f t="shared" si="361"/>
        <v>6.1007957559681802E-2</v>
      </c>
      <c r="CJ123" s="432">
        <f t="shared" si="361"/>
        <v>0.18911917098445596</v>
      </c>
      <c r="CK123" s="432">
        <f t="shared" si="361"/>
        <v>0.1164556962025316</v>
      </c>
      <c r="CL123" s="432">
        <f t="shared" si="361"/>
        <v>8.0684596577017098E-2</v>
      </c>
      <c r="CM123" s="433">
        <f t="shared" si="361"/>
        <v>8.2500000000000018E-2</v>
      </c>
      <c r="CN123" s="432">
        <f t="shared" si="361"/>
        <v>-7.407407407407407E-2</v>
      </c>
      <c r="CO123" s="432">
        <f t="shared" si="361"/>
        <v>-4.3083900226757343E-2</v>
      </c>
      <c r="CP123" s="432">
        <f t="shared" si="361"/>
        <v>-4.0723981900452455E-2</v>
      </c>
      <c r="CQ123" s="433">
        <f t="shared" si="361"/>
        <v>-5.3117782909930744E-2</v>
      </c>
      <c r="CR123" s="432">
        <f t="shared" si="361"/>
        <v>2.3529411764705799E-2</v>
      </c>
      <c r="CS123" s="432">
        <f t="shared" si="361"/>
        <v>7.3459715639810463E-2</v>
      </c>
      <c r="CT123" s="432">
        <f t="shared" si="361"/>
        <v>7.547169811320753E-2</v>
      </c>
      <c r="CU123" s="433">
        <f t="shared" si="361"/>
        <v>0.14390243902439015</v>
      </c>
      <c r="CV123" s="432"/>
      <c r="CW123" s="432"/>
      <c r="CX123" s="432"/>
      <c r="CY123" s="433"/>
      <c r="DA123" s="432"/>
      <c r="DB123" s="432"/>
      <c r="DC123" s="432"/>
      <c r="DD123" s="432"/>
      <c r="DE123" s="432"/>
      <c r="DF123" s="432"/>
      <c r="DG123" s="432"/>
      <c r="DH123" s="432"/>
      <c r="DI123" s="432"/>
      <c r="DJ123" s="432"/>
      <c r="DK123" s="432"/>
      <c r="DL123" s="432"/>
      <c r="DM123" s="432"/>
      <c r="DN123" s="432"/>
      <c r="DO123" s="432"/>
      <c r="DP123" s="432">
        <f t="shared" ref="DP123:DX123" si="362">IF(DO122=0,0,DP122/DO122-1)</f>
        <v>-0.11764705882352944</v>
      </c>
      <c r="DQ123" s="432">
        <f t="shared" si="362"/>
        <v>-1.7391304347826098E-2</v>
      </c>
      <c r="DR123" s="432">
        <f t="shared" si="362"/>
        <v>0.13200589970501464</v>
      </c>
      <c r="DS123" s="432">
        <f t="shared" si="362"/>
        <v>-3.4527687296416976E-2</v>
      </c>
      <c r="DT123" s="432">
        <f t="shared" si="362"/>
        <v>8.7719298245614308E-3</v>
      </c>
      <c r="DU123" s="432">
        <f t="shared" si="362"/>
        <v>6.3545150501672198E-2</v>
      </c>
      <c r="DV123" s="432">
        <f t="shared" si="362"/>
        <v>6.163522012578615E-2</v>
      </c>
      <c r="DW123" s="432">
        <f t="shared" si="362"/>
        <v>-4.1469194312796498E-3</v>
      </c>
      <c r="DX123" s="432">
        <f t="shared" si="362"/>
        <v>7.8524687685901151E-2</v>
      </c>
      <c r="DY123" s="432"/>
      <c r="DZ123" s="432"/>
      <c r="EA123" s="432"/>
      <c r="EB123" s="432"/>
      <c r="EC123" s="432"/>
      <c r="ED123" s="432"/>
      <c r="EE123" s="435"/>
    </row>
    <row r="124" spans="1:143" s="599" customFormat="1" ht="15">
      <c r="A124" s="258"/>
      <c r="B124" s="304"/>
      <c r="C124" s="435"/>
      <c r="D124" s="598"/>
      <c r="E124" s="432"/>
      <c r="F124" s="432"/>
      <c r="G124" s="433"/>
      <c r="H124" s="432"/>
      <c r="I124" s="432"/>
      <c r="J124" s="432"/>
      <c r="K124" s="433"/>
      <c r="L124" s="432"/>
      <c r="M124" s="432"/>
      <c r="N124" s="432"/>
      <c r="O124" s="433"/>
      <c r="P124" s="432"/>
      <c r="Q124" s="432"/>
      <c r="R124" s="432"/>
      <c r="S124" s="433"/>
      <c r="T124" s="432"/>
      <c r="U124" s="432"/>
      <c r="V124" s="432"/>
      <c r="W124" s="433"/>
      <c r="X124" s="432"/>
      <c r="Y124" s="432"/>
      <c r="Z124" s="432"/>
      <c r="AA124" s="433"/>
      <c r="AB124" s="432"/>
      <c r="AC124" s="432"/>
      <c r="AD124" s="432"/>
      <c r="AE124" s="433"/>
      <c r="AF124" s="432"/>
      <c r="AG124" s="432"/>
      <c r="AH124" s="432"/>
      <c r="AI124" s="433"/>
      <c r="AJ124" s="432"/>
      <c r="AK124" s="432"/>
      <c r="AL124" s="432"/>
      <c r="AM124" s="433"/>
      <c r="AN124" s="432"/>
      <c r="AO124" s="432"/>
      <c r="AP124" s="432"/>
      <c r="AQ124" s="433"/>
      <c r="AR124" s="432"/>
      <c r="AS124" s="432"/>
      <c r="AT124" s="432"/>
      <c r="AU124" s="433"/>
      <c r="AV124" s="432"/>
      <c r="AW124" s="432"/>
      <c r="AX124" s="432"/>
      <c r="AY124" s="433"/>
      <c r="AZ124" s="432"/>
      <c r="BA124" s="432"/>
      <c r="BB124" s="432"/>
      <c r="BC124" s="433"/>
      <c r="BD124" s="432"/>
      <c r="BE124" s="432"/>
      <c r="BF124" s="432"/>
      <c r="BG124" s="433"/>
      <c r="BH124" s="432"/>
      <c r="BI124" s="432"/>
      <c r="BJ124" s="432"/>
      <c r="BK124" s="433"/>
      <c r="BL124" s="432"/>
      <c r="BM124" s="432"/>
      <c r="BN124" s="432"/>
      <c r="BO124" s="433"/>
      <c r="BP124" s="432"/>
      <c r="BQ124" s="432"/>
      <c r="BR124" s="432"/>
      <c r="BS124" s="433"/>
      <c r="BT124" s="432"/>
      <c r="BU124" s="432"/>
      <c r="BV124" s="432"/>
      <c r="BW124" s="433"/>
      <c r="BX124" s="432"/>
      <c r="BY124" s="432"/>
      <c r="BZ124" s="432"/>
      <c r="CA124" s="433"/>
      <c r="CB124" s="432"/>
      <c r="CC124" s="432"/>
      <c r="CD124" s="432"/>
      <c r="CE124" s="433"/>
      <c r="CF124" s="432"/>
      <c r="CG124" s="432"/>
      <c r="CH124" s="432"/>
      <c r="CI124" s="433"/>
      <c r="CJ124" s="432"/>
      <c r="CK124" s="432"/>
      <c r="CL124" s="432"/>
      <c r="CM124" s="433"/>
      <c r="CN124" s="432"/>
      <c r="CO124" s="432"/>
      <c r="CP124" s="432"/>
      <c r="CQ124" s="433"/>
      <c r="CR124" s="432"/>
      <c r="CS124" s="432"/>
      <c r="CT124" s="432"/>
      <c r="CU124" s="433"/>
      <c r="CV124" s="432"/>
      <c r="CW124" s="432"/>
      <c r="CX124" s="432"/>
      <c r="CY124" s="433"/>
      <c r="DA124" s="432"/>
      <c r="DB124" s="432"/>
      <c r="DC124" s="432"/>
      <c r="DD124" s="432"/>
      <c r="DE124" s="432"/>
      <c r="DF124" s="432"/>
      <c r="DG124" s="432"/>
      <c r="DH124" s="432"/>
      <c r="DI124" s="432"/>
      <c r="DJ124" s="432"/>
      <c r="DK124" s="432"/>
      <c r="DL124" s="432"/>
      <c r="DM124" s="432"/>
      <c r="DN124" s="432"/>
      <c r="DO124" s="432"/>
      <c r="DP124" s="432"/>
      <c r="DQ124" s="432"/>
      <c r="DR124" s="432"/>
      <c r="DS124" s="432"/>
      <c r="DT124" s="432"/>
      <c r="DU124" s="432"/>
      <c r="DV124" s="432"/>
      <c r="DW124" s="432"/>
      <c r="DX124" s="432"/>
      <c r="DY124" s="432"/>
      <c r="DZ124" s="432"/>
      <c r="EA124" s="432"/>
      <c r="EB124" s="432"/>
      <c r="EC124" s="432"/>
      <c r="ED124" s="432"/>
      <c r="EE124" s="435"/>
    </row>
    <row r="125" spans="1:143" s="110" customFormat="1" ht="15">
      <c r="A125" s="574"/>
      <c r="B125" s="155" t="s">
        <v>93</v>
      </c>
      <c r="C125" s="155"/>
      <c r="D125" s="571" t="str">
        <f>D$4</f>
        <v>1Q94</v>
      </c>
      <c r="E125" s="572" t="str">
        <f t="shared" ref="E125:BP125" si="363">E$4</f>
        <v>2Q94</v>
      </c>
      <c r="F125" s="572" t="str">
        <f t="shared" si="363"/>
        <v>3Q94</v>
      </c>
      <c r="G125" s="573" t="str">
        <f t="shared" si="363"/>
        <v>4Q94</v>
      </c>
      <c r="H125" s="572" t="str">
        <f t="shared" si="363"/>
        <v>1Q95</v>
      </c>
      <c r="I125" s="572" t="str">
        <f t="shared" si="363"/>
        <v>2Q95</v>
      </c>
      <c r="J125" s="572" t="str">
        <f t="shared" si="363"/>
        <v>3Q95</v>
      </c>
      <c r="K125" s="573" t="str">
        <f t="shared" si="363"/>
        <v>4Q95</v>
      </c>
      <c r="L125" s="572" t="str">
        <f t="shared" si="363"/>
        <v>1Q96</v>
      </c>
      <c r="M125" s="572" t="str">
        <f t="shared" si="363"/>
        <v>2Q96</v>
      </c>
      <c r="N125" s="572" t="str">
        <f t="shared" si="363"/>
        <v>3Q96</v>
      </c>
      <c r="O125" s="573" t="str">
        <f t="shared" si="363"/>
        <v>4Q96</v>
      </c>
      <c r="P125" s="572" t="str">
        <f t="shared" si="363"/>
        <v>1Q97</v>
      </c>
      <c r="Q125" s="572" t="str">
        <f t="shared" si="363"/>
        <v>2Q97</v>
      </c>
      <c r="R125" s="572" t="str">
        <f t="shared" si="363"/>
        <v>3Q97</v>
      </c>
      <c r="S125" s="573" t="str">
        <f t="shared" si="363"/>
        <v>4Q97</v>
      </c>
      <c r="T125" s="572" t="str">
        <f t="shared" si="363"/>
        <v>1Q98</v>
      </c>
      <c r="U125" s="572" t="str">
        <f t="shared" si="363"/>
        <v>2Q98</v>
      </c>
      <c r="V125" s="572" t="str">
        <f t="shared" si="363"/>
        <v>3Q98</v>
      </c>
      <c r="W125" s="573" t="str">
        <f t="shared" si="363"/>
        <v>4Q98</v>
      </c>
      <c r="X125" s="572" t="str">
        <f t="shared" si="363"/>
        <v>1Q99</v>
      </c>
      <c r="Y125" s="572" t="str">
        <f t="shared" si="363"/>
        <v>2Q99</v>
      </c>
      <c r="Z125" s="572" t="str">
        <f t="shared" si="363"/>
        <v>3Q99</v>
      </c>
      <c r="AA125" s="573" t="str">
        <f t="shared" si="363"/>
        <v>4Q99</v>
      </c>
      <c r="AB125" s="572" t="str">
        <f t="shared" si="363"/>
        <v>1Q00</v>
      </c>
      <c r="AC125" s="572" t="str">
        <f t="shared" si="363"/>
        <v>2Q00</v>
      </c>
      <c r="AD125" s="572" t="str">
        <f t="shared" si="363"/>
        <v>3Q00</v>
      </c>
      <c r="AE125" s="573" t="str">
        <f t="shared" si="363"/>
        <v>4Q00</v>
      </c>
      <c r="AF125" s="572" t="str">
        <f t="shared" si="363"/>
        <v>1Q01</v>
      </c>
      <c r="AG125" s="572" t="str">
        <f t="shared" si="363"/>
        <v>2Q01</v>
      </c>
      <c r="AH125" s="572" t="str">
        <f t="shared" si="363"/>
        <v>3Q01</v>
      </c>
      <c r="AI125" s="573" t="str">
        <f t="shared" si="363"/>
        <v>4Q01</v>
      </c>
      <c r="AJ125" s="572" t="str">
        <f t="shared" si="363"/>
        <v>1Q02</v>
      </c>
      <c r="AK125" s="572" t="str">
        <f t="shared" si="363"/>
        <v>2Q02</v>
      </c>
      <c r="AL125" s="572" t="str">
        <f t="shared" si="363"/>
        <v>3Q02</v>
      </c>
      <c r="AM125" s="573" t="str">
        <f t="shared" si="363"/>
        <v>4Q02</v>
      </c>
      <c r="AN125" s="572" t="str">
        <f t="shared" si="363"/>
        <v>1Q03</v>
      </c>
      <c r="AO125" s="572" t="str">
        <f t="shared" si="363"/>
        <v>2Q03</v>
      </c>
      <c r="AP125" s="572" t="str">
        <f t="shared" si="363"/>
        <v>3Q03</v>
      </c>
      <c r="AQ125" s="573" t="str">
        <f t="shared" si="363"/>
        <v>4Q03</v>
      </c>
      <c r="AR125" s="572" t="str">
        <f t="shared" si="363"/>
        <v>1Q04</v>
      </c>
      <c r="AS125" s="572" t="str">
        <f t="shared" si="363"/>
        <v>2Q04</v>
      </c>
      <c r="AT125" s="572" t="str">
        <f t="shared" si="363"/>
        <v>3Q04</v>
      </c>
      <c r="AU125" s="573" t="str">
        <f t="shared" si="363"/>
        <v>4Q04</v>
      </c>
      <c r="AV125" s="572" t="str">
        <f t="shared" si="363"/>
        <v>1Q05</v>
      </c>
      <c r="AW125" s="572" t="str">
        <f t="shared" si="363"/>
        <v>2Q05</v>
      </c>
      <c r="AX125" s="572" t="str">
        <f t="shared" si="363"/>
        <v>3Q05</v>
      </c>
      <c r="AY125" s="573" t="str">
        <f t="shared" si="363"/>
        <v>4Q05</v>
      </c>
      <c r="AZ125" s="572" t="str">
        <f t="shared" si="363"/>
        <v>1Q06</v>
      </c>
      <c r="BA125" s="572" t="str">
        <f t="shared" si="363"/>
        <v>2Q06</v>
      </c>
      <c r="BB125" s="572" t="str">
        <f t="shared" si="363"/>
        <v>3Q06</v>
      </c>
      <c r="BC125" s="573" t="str">
        <f t="shared" si="363"/>
        <v>4Q06</v>
      </c>
      <c r="BD125" s="572" t="str">
        <f t="shared" si="363"/>
        <v>1Q07</v>
      </c>
      <c r="BE125" s="572" t="str">
        <f t="shared" si="363"/>
        <v>2Q07</v>
      </c>
      <c r="BF125" s="572" t="str">
        <f t="shared" si="363"/>
        <v>3Q07</v>
      </c>
      <c r="BG125" s="573" t="str">
        <f t="shared" si="363"/>
        <v>4Q07</v>
      </c>
      <c r="BH125" s="572" t="str">
        <f t="shared" si="363"/>
        <v>1Q08</v>
      </c>
      <c r="BI125" s="572" t="str">
        <f t="shared" si="363"/>
        <v>2Q08</v>
      </c>
      <c r="BJ125" s="572" t="str">
        <f t="shared" si="363"/>
        <v>3Q08</v>
      </c>
      <c r="BK125" s="573" t="str">
        <f t="shared" si="363"/>
        <v>4Q08</v>
      </c>
      <c r="BL125" s="572" t="str">
        <f t="shared" si="363"/>
        <v xml:space="preserve">1Q09 </v>
      </c>
      <c r="BM125" s="572" t="str">
        <f t="shared" si="363"/>
        <v>2Q09</v>
      </c>
      <c r="BN125" s="572" t="str">
        <f t="shared" si="363"/>
        <v>3Q09</v>
      </c>
      <c r="BO125" s="573" t="str">
        <f t="shared" si="363"/>
        <v>4Q09</v>
      </c>
      <c r="BP125" s="572" t="str">
        <f t="shared" si="363"/>
        <v>1Q10</v>
      </c>
      <c r="BQ125" s="572" t="str">
        <f t="shared" ref="BQ125:CY125" si="364">BQ$4</f>
        <v>2Q10</v>
      </c>
      <c r="BR125" s="572" t="str">
        <f t="shared" si="364"/>
        <v>3Q10</v>
      </c>
      <c r="BS125" s="573" t="str">
        <f t="shared" si="364"/>
        <v>4Q10</v>
      </c>
      <c r="BT125" s="572" t="str">
        <f t="shared" si="364"/>
        <v>1Q11</v>
      </c>
      <c r="BU125" s="572" t="str">
        <f t="shared" si="364"/>
        <v>2Q11</v>
      </c>
      <c r="BV125" s="572" t="str">
        <f t="shared" si="364"/>
        <v>3Q11</v>
      </c>
      <c r="BW125" s="573" t="str">
        <f t="shared" si="364"/>
        <v>4Q11</v>
      </c>
      <c r="BX125" s="572" t="str">
        <f t="shared" si="364"/>
        <v>1Q12</v>
      </c>
      <c r="BY125" s="572" t="str">
        <f t="shared" si="364"/>
        <v>2Q12</v>
      </c>
      <c r="BZ125" s="572" t="str">
        <f t="shared" si="364"/>
        <v>3Q12</v>
      </c>
      <c r="CA125" s="573" t="str">
        <f t="shared" si="364"/>
        <v>4Q12</v>
      </c>
      <c r="CB125" s="572" t="str">
        <f t="shared" si="364"/>
        <v>1Q13</v>
      </c>
      <c r="CC125" s="572" t="str">
        <f t="shared" si="364"/>
        <v>2Q13</v>
      </c>
      <c r="CD125" s="572" t="str">
        <f t="shared" si="364"/>
        <v>3Q13</v>
      </c>
      <c r="CE125" s="573" t="str">
        <f t="shared" si="364"/>
        <v>4Q13</v>
      </c>
      <c r="CF125" s="572" t="str">
        <f t="shared" si="364"/>
        <v>1Q14</v>
      </c>
      <c r="CG125" s="572" t="str">
        <f t="shared" si="364"/>
        <v>2Q14</v>
      </c>
      <c r="CH125" s="572" t="str">
        <f t="shared" si="364"/>
        <v>3Q14</v>
      </c>
      <c r="CI125" s="573" t="str">
        <f t="shared" si="364"/>
        <v>4Q14</v>
      </c>
      <c r="CJ125" s="572" t="str">
        <f t="shared" si="364"/>
        <v>1Q15</v>
      </c>
      <c r="CK125" s="572" t="str">
        <f t="shared" si="364"/>
        <v>2Q15</v>
      </c>
      <c r="CL125" s="572" t="str">
        <f t="shared" si="364"/>
        <v>3Q15</v>
      </c>
      <c r="CM125" s="573" t="str">
        <f t="shared" si="364"/>
        <v>4Q15</v>
      </c>
      <c r="CN125" s="572" t="str">
        <f t="shared" si="364"/>
        <v>1Q16</v>
      </c>
      <c r="CO125" s="572" t="str">
        <f t="shared" si="364"/>
        <v>2Q16</v>
      </c>
      <c r="CP125" s="572" t="str">
        <f t="shared" si="364"/>
        <v>3Q16</v>
      </c>
      <c r="CQ125" s="573" t="str">
        <f t="shared" si="364"/>
        <v>4Q16</v>
      </c>
      <c r="CR125" s="572" t="str">
        <f t="shared" si="364"/>
        <v>1Q17</v>
      </c>
      <c r="CS125" s="572" t="str">
        <f t="shared" si="364"/>
        <v>2Q17</v>
      </c>
      <c r="CT125" s="572" t="str">
        <f t="shared" si="364"/>
        <v>3Q17</v>
      </c>
      <c r="CU125" s="573" t="str">
        <f t="shared" si="364"/>
        <v>4Q17</v>
      </c>
      <c r="CV125" s="572" t="str">
        <f t="shared" si="364"/>
        <v>1Q18e</v>
      </c>
      <c r="CW125" s="572" t="str">
        <f t="shared" si="364"/>
        <v>2Q18e</v>
      </c>
      <c r="CX125" s="572" t="str">
        <f t="shared" si="364"/>
        <v>3Q18e</v>
      </c>
      <c r="CY125" s="573" t="str">
        <f t="shared" si="364"/>
        <v>4Q18e</v>
      </c>
      <c r="CZ125" s="569"/>
      <c r="DA125" s="572">
        <f t="shared" ref="DA125:ED125" si="365">DA$4</f>
        <v>1994</v>
      </c>
      <c r="DB125" s="572">
        <f t="shared" si="365"/>
        <v>1995</v>
      </c>
      <c r="DC125" s="572">
        <f t="shared" si="365"/>
        <v>1996</v>
      </c>
      <c r="DD125" s="572">
        <f t="shared" si="365"/>
        <v>1997</v>
      </c>
      <c r="DE125" s="572">
        <f t="shared" si="365"/>
        <v>1998</v>
      </c>
      <c r="DF125" s="572">
        <f t="shared" si="365"/>
        <v>1999</v>
      </c>
      <c r="DG125" s="572">
        <f t="shared" si="365"/>
        <v>2000</v>
      </c>
      <c r="DH125" s="572">
        <f t="shared" si="365"/>
        <v>2001</v>
      </c>
      <c r="DI125" s="572">
        <f t="shared" si="365"/>
        <v>2002</v>
      </c>
      <c r="DJ125" s="572">
        <f t="shared" si="365"/>
        <v>2003</v>
      </c>
      <c r="DK125" s="572">
        <f t="shared" si="365"/>
        <v>2004</v>
      </c>
      <c r="DL125" s="572">
        <f t="shared" si="365"/>
        <v>2005</v>
      </c>
      <c r="DM125" s="572">
        <f t="shared" si="365"/>
        <v>2006</v>
      </c>
      <c r="DN125" s="572">
        <f t="shared" si="365"/>
        <v>2007</v>
      </c>
      <c r="DO125" s="572">
        <f t="shared" si="365"/>
        <v>2008</v>
      </c>
      <c r="DP125" s="572">
        <f t="shared" si="365"/>
        <v>2009</v>
      </c>
      <c r="DQ125" s="572">
        <f t="shared" si="365"/>
        <v>2010</v>
      </c>
      <c r="DR125" s="572">
        <f t="shared" si="365"/>
        <v>2011</v>
      </c>
      <c r="DS125" s="572">
        <f t="shared" si="365"/>
        <v>2012</v>
      </c>
      <c r="DT125" s="572">
        <f t="shared" si="365"/>
        <v>2013</v>
      </c>
      <c r="DU125" s="572">
        <f t="shared" si="365"/>
        <v>2014</v>
      </c>
      <c r="DV125" s="572">
        <f t="shared" si="365"/>
        <v>2015</v>
      </c>
      <c r="DW125" s="572">
        <f t="shared" si="365"/>
        <v>2016</v>
      </c>
      <c r="DX125" s="572">
        <f t="shared" si="365"/>
        <v>2017</v>
      </c>
      <c r="DY125" s="572" t="str">
        <f t="shared" si="365"/>
        <v>2018e</v>
      </c>
      <c r="DZ125" s="572" t="str">
        <f t="shared" si="365"/>
        <v>2019e</v>
      </c>
      <c r="EA125" s="572" t="str">
        <f t="shared" si="365"/>
        <v>2020e</v>
      </c>
      <c r="EB125" s="572" t="str">
        <f t="shared" si="365"/>
        <v>2021e</v>
      </c>
      <c r="EC125" s="572" t="str">
        <f t="shared" si="365"/>
        <v>2022e</v>
      </c>
      <c r="ED125" s="572" t="str">
        <f t="shared" si="365"/>
        <v>2023e</v>
      </c>
      <c r="EF125" s="657"/>
      <c r="EG125" s="657"/>
      <c r="EH125" s="657"/>
      <c r="EI125" s="657"/>
      <c r="EJ125" s="657"/>
      <c r="EK125" s="657"/>
      <c r="EL125" s="657"/>
      <c r="EM125" s="657"/>
    </row>
    <row r="126" spans="1:143" s="599" customFormat="1" ht="15">
      <c r="A126" s="258"/>
      <c r="B126" s="933" t="s">
        <v>384</v>
      </c>
      <c r="C126" s="435"/>
      <c r="D126" s="598"/>
      <c r="E126" s="432"/>
      <c r="F126" s="432"/>
      <c r="G126" s="433"/>
      <c r="H126" s="432"/>
      <c r="I126" s="432"/>
      <c r="J126" s="432"/>
      <c r="K126" s="433"/>
      <c r="L126" s="432"/>
      <c r="M126" s="432"/>
      <c r="N126" s="432"/>
      <c r="O126" s="433"/>
      <c r="P126" s="432"/>
      <c r="Q126" s="432"/>
      <c r="R126" s="432"/>
      <c r="S126" s="433"/>
      <c r="T126" s="432"/>
      <c r="U126" s="432"/>
      <c r="V126" s="432"/>
      <c r="W126" s="433"/>
      <c r="X126" s="432"/>
      <c r="Y126" s="432"/>
      <c r="Z126" s="432"/>
      <c r="AA126" s="433"/>
      <c r="AB126" s="432"/>
      <c r="AC126" s="432"/>
      <c r="AD126" s="432"/>
      <c r="AE126" s="433"/>
      <c r="AF126" s="432"/>
      <c r="AG126" s="432"/>
      <c r="AH126" s="432"/>
      <c r="AI126" s="433"/>
      <c r="AJ126" s="432"/>
      <c r="AK126" s="432"/>
      <c r="AL126" s="432"/>
      <c r="AM126" s="433"/>
      <c r="AN126" s="432"/>
      <c r="AO126" s="432"/>
      <c r="AP126" s="432"/>
      <c r="AQ126" s="433"/>
      <c r="AR126" s="432"/>
      <c r="AS126" s="432"/>
      <c r="AT126" s="432"/>
      <c r="AU126" s="433"/>
      <c r="AV126" s="432"/>
      <c r="AW126" s="432"/>
      <c r="AX126" s="432"/>
      <c r="AY126" s="433"/>
      <c r="AZ126" s="432"/>
      <c r="BA126" s="432"/>
      <c r="BB126" s="432"/>
      <c r="BC126" s="433"/>
      <c r="BD126" s="928">
        <v>1.310684615384615</v>
      </c>
      <c r="BE126" s="928">
        <v>1.3479953846153843</v>
      </c>
      <c r="BF126" s="928">
        <v>1.3738292307692308</v>
      </c>
      <c r="BG126" s="929">
        <v>1.4483409090909092</v>
      </c>
      <c r="BH126" s="928">
        <v>1.4985861538461538</v>
      </c>
      <c r="BI126" s="928">
        <v>1.5620861538461539</v>
      </c>
      <c r="BJ126" s="928">
        <v>1.5050227272727275</v>
      </c>
      <c r="BK126" s="929">
        <v>1.3204530303030306</v>
      </c>
      <c r="BL126" s="928">
        <v>1.3042484374999994</v>
      </c>
      <c r="BM126" s="928">
        <v>1.3615353846153846</v>
      </c>
      <c r="BN126" s="928">
        <v>1.4303045454545453</v>
      </c>
      <c r="BO126" s="929">
        <v>1.4773651515151514</v>
      </c>
      <c r="BP126" s="928">
        <v>1.3838093750000005</v>
      </c>
      <c r="BQ126" s="928">
        <v>1.2730907692307694</v>
      </c>
      <c r="BR126" s="928">
        <v>1.2910393939393938</v>
      </c>
      <c r="BS126" s="929">
        <v>1.3582696969696966</v>
      </c>
      <c r="BT126" s="928">
        <v>1.3679890625</v>
      </c>
      <c r="BU126" s="928">
        <v>1.4396569230769229</v>
      </c>
      <c r="BV126" s="928">
        <v>1.4127030303030303</v>
      </c>
      <c r="BW126" s="929">
        <v>1.3475015384615385</v>
      </c>
      <c r="BX126" s="928">
        <v>1.3108230769230771</v>
      </c>
      <c r="BY126" s="928">
        <v>1.2828169230769231</v>
      </c>
      <c r="BZ126" s="928">
        <v>1.2502446153846156</v>
      </c>
      <c r="CA126" s="929">
        <v>1.2974545454545454</v>
      </c>
      <c r="CB126" s="928">
        <v>1.3199828125000004</v>
      </c>
      <c r="CC126" s="928">
        <v>1.3058507692307686</v>
      </c>
      <c r="CD126" s="928">
        <v>1.3241787878787885</v>
      </c>
      <c r="CE126" s="929">
        <v>1.3612045454545449</v>
      </c>
      <c r="CF126" s="928">
        <v>1.3697796874999999</v>
      </c>
      <c r="CG126" s="928">
        <v>1.3717307692307692</v>
      </c>
      <c r="CH126" s="928">
        <v>1.3255590909090906</v>
      </c>
      <c r="CI126" s="929">
        <v>1.2489590909090909</v>
      </c>
      <c r="CJ126" s="928">
        <v>1.1275171875000005</v>
      </c>
      <c r="CK126" s="928">
        <v>1.1048353846153844</v>
      </c>
      <c r="CL126" s="928">
        <v>1.1116500000000002</v>
      </c>
      <c r="CM126" s="929">
        <v>1.0952621212121214</v>
      </c>
      <c r="CN126" s="928">
        <v>1.102204615384615</v>
      </c>
      <c r="CO126" s="928">
        <v>1.1292353846153846</v>
      </c>
      <c r="CP126" s="928">
        <v>1.1166287878787879</v>
      </c>
      <c r="CQ126" s="929">
        <v>1.0784169230769229</v>
      </c>
      <c r="CR126" s="930">
        <v>1.064796923076923</v>
      </c>
      <c r="CS126" s="930">
        <v>1.1007861538461539</v>
      </c>
      <c r="CT126" s="930">
        <v>1.174607692307692</v>
      </c>
      <c r="CU126" s="931">
        <v>1.177509230769231</v>
      </c>
      <c r="CV126" s="930">
        <v>1.228719230769231</v>
      </c>
      <c r="CW126" s="930">
        <v>1.2298500000000001</v>
      </c>
      <c r="CX126" s="930">
        <f t="shared" ref="CX126:CY126" si="366">CW126</f>
        <v>1.2298500000000001</v>
      </c>
      <c r="CY126" s="931">
        <f t="shared" si="366"/>
        <v>1.2298500000000001</v>
      </c>
      <c r="DA126" s="432"/>
      <c r="DB126" s="432"/>
      <c r="DC126" s="432"/>
      <c r="DD126" s="432"/>
      <c r="DE126" s="432"/>
      <c r="DF126" s="432"/>
      <c r="DG126" s="432"/>
      <c r="DH126" s="432"/>
      <c r="DI126" s="432"/>
      <c r="DJ126" s="432"/>
      <c r="DK126" s="432"/>
      <c r="DL126" s="432"/>
      <c r="DM126" s="432"/>
      <c r="DN126" s="932">
        <f>AVERAGE(BD126:BG126)</f>
        <v>1.3702125349650349</v>
      </c>
      <c r="DO126" s="932">
        <f>AVERAGE(BH126:BK126)</f>
        <v>1.4715370163170165</v>
      </c>
      <c r="DP126" s="932">
        <f>AVERAGE(BL126:BO126)</f>
        <v>1.3933633797712701</v>
      </c>
      <c r="DQ126" s="932">
        <f>AVERAGE(BP126:BS126)</f>
        <v>1.3265523087849651</v>
      </c>
      <c r="DR126" s="932">
        <f>AVERAGE(BT126:BW126)</f>
        <v>1.3919626385853732</v>
      </c>
      <c r="DS126" s="932">
        <f>AVERAGE(BX126:CA126)</f>
        <v>1.2853347902097902</v>
      </c>
      <c r="DT126" s="932">
        <f>AVERAGE(CB126:CE126)</f>
        <v>1.3278042287660257</v>
      </c>
      <c r="DU126" s="932">
        <f>AVERAGE(CF126:CI126)</f>
        <v>1.3290071596372377</v>
      </c>
      <c r="DV126" s="932">
        <f>AVERAGE(CJ126:CM126)</f>
        <v>1.1098161733318765</v>
      </c>
      <c r="DW126" s="932">
        <f>AVERAGE(CN126:CQ126)</f>
        <v>1.1066214277389277</v>
      </c>
      <c r="DX126" s="932">
        <f>AVERAGE(CR126:CU126)</f>
        <v>1.1294249999999999</v>
      </c>
      <c r="DY126" s="932">
        <f>AVERAGE(CV126:CY126)</f>
        <v>1.2295673076923077</v>
      </c>
      <c r="DZ126" s="930">
        <f>DY126</f>
        <v>1.2295673076923077</v>
      </c>
      <c r="EA126" s="930">
        <f t="shared" ref="EA126:ED129" si="367">DZ126</f>
        <v>1.2295673076923077</v>
      </c>
      <c r="EB126" s="930">
        <f t="shared" si="367"/>
        <v>1.2295673076923077</v>
      </c>
      <c r="EC126" s="930">
        <f t="shared" si="367"/>
        <v>1.2295673076923077</v>
      </c>
      <c r="ED126" s="930">
        <f t="shared" si="367"/>
        <v>1.2295673076923077</v>
      </c>
      <c r="EE126" s="435"/>
    </row>
    <row r="127" spans="1:143" s="599" customFormat="1" ht="15">
      <c r="A127" s="258"/>
      <c r="B127" s="934" t="s">
        <v>240</v>
      </c>
      <c r="C127" s="435"/>
      <c r="D127" s="598"/>
      <c r="E127" s="432"/>
      <c r="F127" s="432"/>
      <c r="G127" s="433"/>
      <c r="H127" s="432"/>
      <c r="I127" s="432"/>
      <c r="J127" s="432"/>
      <c r="K127" s="433"/>
      <c r="L127" s="432"/>
      <c r="M127" s="432"/>
      <c r="N127" s="432"/>
      <c r="O127" s="433"/>
      <c r="P127" s="432"/>
      <c r="Q127" s="432"/>
      <c r="R127" s="432"/>
      <c r="S127" s="433"/>
      <c r="T127" s="432"/>
      <c r="U127" s="432"/>
      <c r="V127" s="432"/>
      <c r="W127" s="433"/>
      <c r="X127" s="432"/>
      <c r="Y127" s="432"/>
      <c r="Z127" s="432"/>
      <c r="AA127" s="433"/>
      <c r="AB127" s="432"/>
      <c r="AC127" s="432"/>
      <c r="AD127" s="432"/>
      <c r="AE127" s="433"/>
      <c r="AF127" s="432"/>
      <c r="AG127" s="432"/>
      <c r="AH127" s="432"/>
      <c r="AI127" s="433"/>
      <c r="AJ127" s="432"/>
      <c r="AK127" s="432"/>
      <c r="AL127" s="432"/>
      <c r="AM127" s="433"/>
      <c r="AN127" s="432"/>
      <c r="AO127" s="432"/>
      <c r="AP127" s="432"/>
      <c r="AQ127" s="433"/>
      <c r="AR127" s="432"/>
      <c r="AS127" s="432"/>
      <c r="AT127" s="432"/>
      <c r="AU127" s="433"/>
      <c r="AV127" s="432"/>
      <c r="AW127" s="432"/>
      <c r="AX127" s="432"/>
      <c r="AY127" s="433"/>
      <c r="AZ127" s="432"/>
      <c r="BA127" s="432"/>
      <c r="BB127" s="432"/>
      <c r="BC127" s="433"/>
      <c r="BD127" s="432"/>
      <c r="BE127" s="432"/>
      <c r="BF127" s="432"/>
      <c r="BG127" s="433"/>
      <c r="BH127" s="432">
        <f>BH126/BD126-1</f>
        <v>0.14336136722441029</v>
      </c>
      <c r="BI127" s="432">
        <f t="shared" ref="BI127" si="368">BI126/BE126-1</f>
        <v>0.15882158920881984</v>
      </c>
      <c r="BJ127" s="432">
        <f t="shared" ref="BJ127" si="369">BJ126/BF126-1</f>
        <v>9.5494762787976972E-2</v>
      </c>
      <c r="BK127" s="433">
        <f t="shared" ref="BK127" si="370">BK126/BG126-1</f>
        <v>-8.8299569517891308E-2</v>
      </c>
      <c r="BL127" s="432">
        <f t="shared" ref="BL127" si="371">BL126/BH126-1</f>
        <v>-0.12968070994609315</v>
      </c>
      <c r="BM127" s="432">
        <f t="shared" ref="BM127" si="372">BM126/BI126-1</f>
        <v>-0.12838649695279292</v>
      </c>
      <c r="BN127" s="432">
        <f t="shared" ref="BN127" si="373">BN126/BJ126-1</f>
        <v>-4.964588272602366E-2</v>
      </c>
      <c r="BO127" s="433">
        <f t="shared" ref="BO127" si="374">BO126/BK126-1</f>
        <v>0.11883203537812403</v>
      </c>
      <c r="BP127" s="432">
        <f t="shared" ref="BP127" si="375">BP126/BL126-1</f>
        <v>6.1001366927074585E-2</v>
      </c>
      <c r="BQ127" s="432">
        <f t="shared" ref="BQ127" si="376">BQ126/BM126-1</f>
        <v>-6.4959468834957734E-2</v>
      </c>
      <c r="BR127" s="432">
        <f t="shared" ref="BR127" si="377">BR126/BN126-1</f>
        <v>-9.7367481602244066E-2</v>
      </c>
      <c r="BS127" s="433">
        <f t="shared" ref="BS127" si="378">BS126/BO126-1</f>
        <v>-8.0613418032307926E-2</v>
      </c>
      <c r="BT127" s="432">
        <f t="shared" ref="BT127" si="379">BT126/BP126-1</f>
        <v>-1.1432436277576508E-2</v>
      </c>
      <c r="BU127" s="432">
        <f t="shared" ref="BU127" si="380">BU126/BQ126-1</f>
        <v>0.13083603924549436</v>
      </c>
      <c r="BV127" s="432">
        <f t="shared" ref="BV127" si="381">BV126/BR126-1</f>
        <v>9.4236966691155777E-2</v>
      </c>
      <c r="BW127" s="433">
        <f t="shared" ref="BW127" si="382">BW126/BS126-1</f>
        <v>-7.9278500670241225E-3</v>
      </c>
      <c r="BX127" s="432">
        <f t="shared" ref="BX127" si="383">BX126/BT126-1</f>
        <v>-4.1788335260847798E-2</v>
      </c>
      <c r="BY127" s="432">
        <f t="shared" ref="BY127" si="384">BY126/BU126-1</f>
        <v>-0.10894262201357796</v>
      </c>
      <c r="BZ127" s="432">
        <f t="shared" ref="BZ127" si="385">BZ126/BV126-1</f>
        <v>-0.11499827736871693</v>
      </c>
      <c r="CA127" s="433">
        <f t="shared" ref="CA127" si="386">CA126/BW126-1</f>
        <v>-3.7140583204181343E-2</v>
      </c>
      <c r="CB127" s="432">
        <f t="shared" ref="CB127" si="387">CB126/BX126-1</f>
        <v>6.9877741231290091E-3</v>
      </c>
      <c r="CC127" s="432">
        <f t="shared" ref="CC127" si="388">CC126/BY126-1</f>
        <v>1.7955676869772841E-2</v>
      </c>
      <c r="CD127" s="432">
        <f t="shared" ref="CD127" si="389">CD126/BZ126-1</f>
        <v>5.9135765580904609E-2</v>
      </c>
      <c r="CE127" s="433">
        <f t="shared" ref="CE127" si="390">CE126/CA126-1</f>
        <v>4.9134669282510757E-2</v>
      </c>
      <c r="CF127" s="432">
        <f t="shared" ref="CF127" si="391">CF126/CB126-1</f>
        <v>3.7725396519130427E-2</v>
      </c>
      <c r="CG127" s="432">
        <f t="shared" ref="CG127" si="392">CG126/CC126-1</f>
        <v>5.0449868815261478E-2</v>
      </c>
      <c r="CH127" s="432">
        <f t="shared" ref="CH127" si="393">CH126/CD126-1</f>
        <v>1.0423841877977846E-3</v>
      </c>
      <c r="CI127" s="433">
        <f t="shared" ref="CI127" si="394">CI126/CE126-1</f>
        <v>-8.2460387691382642E-2</v>
      </c>
      <c r="CJ127" s="432">
        <f t="shared" ref="CJ127" si="395">CJ126/CF126-1</f>
        <v>-0.17686238320715308</v>
      </c>
      <c r="CK127" s="432">
        <f t="shared" ref="CK127" si="396">CK126/CG126-1</f>
        <v>-0.19456834431515502</v>
      </c>
      <c r="CL127" s="432">
        <f t="shared" ref="CL127" si="397">CL126/CH126-1</f>
        <v>-0.16137273123176121</v>
      </c>
      <c r="CM127" s="433">
        <f t="shared" ref="CM127" si="398">CM126/CI126-1</f>
        <v>-0.12306005121840835</v>
      </c>
      <c r="CN127" s="432">
        <f t="shared" ref="CN127" si="399">CN126/CJ126-1</f>
        <v>-2.2449832602117636E-2</v>
      </c>
      <c r="CO127" s="432">
        <f t="shared" ref="CO127" si="400">CO126/CK126-1</f>
        <v>2.2084737997864146E-2</v>
      </c>
      <c r="CP127" s="432">
        <f t="shared" ref="CP127" si="401">CP126/CL126-1</f>
        <v>4.4787369035106384E-3</v>
      </c>
      <c r="CQ127" s="433">
        <f t="shared" ref="CQ127" si="402">CQ126/CM126-1</f>
        <v>-1.538006090866717E-2</v>
      </c>
      <c r="CR127" s="432">
        <f t="shared" ref="CR127" si="403">CR126/CN126-1</f>
        <v>-3.3938972660388145E-2</v>
      </c>
      <c r="CS127" s="432">
        <f t="shared" ref="CS127" si="404">CS126/CO126-1</f>
        <v>-2.5193357520337134E-2</v>
      </c>
      <c r="CT127" s="432">
        <f t="shared" ref="CT127" si="405">CT126/CP126-1</f>
        <v>5.1923168252758556E-2</v>
      </c>
      <c r="CU127" s="433">
        <f t="shared" ref="CU127" si="406">CU126/CQ126-1</f>
        <v>9.1886825560544283E-2</v>
      </c>
      <c r="CV127" s="432">
        <f t="shared" ref="CV127" si="407">CV126/CR126-1</f>
        <v>0.15394701481539297</v>
      </c>
      <c r="CW127" s="432">
        <f t="shared" ref="CW127" si="408">CW126/CS126-1</f>
        <v>0.11724697453987432</v>
      </c>
      <c r="CX127" s="432">
        <f t="shared" ref="CX127" si="409">CX126/CT126-1</f>
        <v>4.7030432419335133E-2</v>
      </c>
      <c r="CY127" s="433">
        <f t="shared" ref="CY127" si="410">CY126/CU126-1</f>
        <v>4.4450410971790477E-2</v>
      </c>
      <c r="DA127" s="432"/>
      <c r="DB127" s="432"/>
      <c r="DC127" s="432"/>
      <c r="DD127" s="432"/>
      <c r="DE127" s="432"/>
      <c r="DF127" s="432"/>
      <c r="DG127" s="432"/>
      <c r="DH127" s="432"/>
      <c r="DI127" s="432"/>
      <c r="DJ127" s="432"/>
      <c r="DK127" s="432"/>
      <c r="DL127" s="432"/>
      <c r="DM127" s="432"/>
      <c r="DN127" s="432"/>
      <c r="DO127" s="432">
        <f>DO126/DN126-1</f>
        <v>7.3948003515065697E-2</v>
      </c>
      <c r="DP127" s="432">
        <f t="shared" ref="DP127:ED127" si="411">DP126/DO126-1</f>
        <v>-5.3123798911562825E-2</v>
      </c>
      <c r="DQ127" s="432">
        <f t="shared" si="411"/>
        <v>-4.7949495412512144E-2</v>
      </c>
      <c r="DR127" s="432">
        <f t="shared" si="411"/>
        <v>4.9308519058942846E-2</v>
      </c>
      <c r="DS127" s="432">
        <f t="shared" si="411"/>
        <v>-7.660252180615057E-2</v>
      </c>
      <c r="DT127" s="432">
        <f t="shared" si="411"/>
        <v>3.3041538188897546E-2</v>
      </c>
      <c r="DU127" s="432">
        <f t="shared" si="411"/>
        <v>9.0595499332746243E-4</v>
      </c>
      <c r="DV127" s="432">
        <f t="shared" si="411"/>
        <v>-0.16492837131531402</v>
      </c>
      <c r="DW127" s="432">
        <f t="shared" si="411"/>
        <v>-2.8786259109538914E-3</v>
      </c>
      <c r="DX127" s="432">
        <f t="shared" si="411"/>
        <v>2.0606479948309886E-2</v>
      </c>
      <c r="DY127" s="432">
        <f t="shared" si="411"/>
        <v>8.8666629207169834E-2</v>
      </c>
      <c r="DZ127" s="432">
        <f t="shared" si="411"/>
        <v>0</v>
      </c>
      <c r="EA127" s="432">
        <f t="shared" si="411"/>
        <v>0</v>
      </c>
      <c r="EB127" s="432">
        <f t="shared" si="411"/>
        <v>0</v>
      </c>
      <c r="EC127" s="432">
        <f t="shared" si="411"/>
        <v>0</v>
      </c>
      <c r="ED127" s="432">
        <f t="shared" si="411"/>
        <v>0</v>
      </c>
      <c r="EE127" s="435"/>
    </row>
    <row r="128" spans="1:143" s="599" customFormat="1" ht="15">
      <c r="A128" s="258"/>
      <c r="B128" s="304"/>
      <c r="C128" s="435"/>
      <c r="D128" s="598"/>
      <c r="E128" s="432"/>
      <c r="F128" s="432"/>
      <c r="G128" s="433"/>
      <c r="H128" s="432"/>
      <c r="I128" s="432"/>
      <c r="J128" s="432"/>
      <c r="K128" s="433"/>
      <c r="L128" s="432"/>
      <c r="M128" s="432"/>
      <c r="N128" s="432"/>
      <c r="O128" s="433"/>
      <c r="P128" s="432"/>
      <c r="Q128" s="432"/>
      <c r="R128" s="432"/>
      <c r="S128" s="433"/>
      <c r="T128" s="432"/>
      <c r="U128" s="432"/>
      <c r="V128" s="432"/>
      <c r="W128" s="433"/>
      <c r="X128" s="432"/>
      <c r="Y128" s="432"/>
      <c r="Z128" s="432"/>
      <c r="AA128" s="433"/>
      <c r="AB128" s="432"/>
      <c r="AC128" s="432"/>
      <c r="AD128" s="432"/>
      <c r="AE128" s="433"/>
      <c r="AF128" s="432"/>
      <c r="AG128" s="432"/>
      <c r="AH128" s="432"/>
      <c r="AI128" s="433"/>
      <c r="AJ128" s="432"/>
      <c r="AK128" s="432"/>
      <c r="AL128" s="432"/>
      <c r="AM128" s="433"/>
      <c r="AN128" s="432"/>
      <c r="AO128" s="432"/>
      <c r="AP128" s="432"/>
      <c r="AQ128" s="433"/>
      <c r="AR128" s="432"/>
      <c r="AS128" s="432"/>
      <c r="AT128" s="432"/>
      <c r="AU128" s="433"/>
      <c r="AV128" s="432"/>
      <c r="AW128" s="432"/>
      <c r="AX128" s="432"/>
      <c r="AY128" s="433"/>
      <c r="AZ128" s="432"/>
      <c r="BA128" s="432"/>
      <c r="BB128" s="432"/>
      <c r="BC128" s="433"/>
      <c r="BD128" s="432"/>
      <c r="BE128" s="432"/>
      <c r="BF128" s="432"/>
      <c r="BG128" s="433"/>
      <c r="BH128" s="432"/>
      <c r="BI128" s="432"/>
      <c r="BJ128" s="432"/>
      <c r="BK128" s="433"/>
      <c r="BL128" s="432"/>
      <c r="BM128" s="432"/>
      <c r="BN128" s="432"/>
      <c r="BO128" s="433"/>
      <c r="BP128" s="432"/>
      <c r="BQ128" s="432"/>
      <c r="BR128" s="432"/>
      <c r="BS128" s="433"/>
      <c r="BT128" s="432"/>
      <c r="BU128" s="432"/>
      <c r="BV128" s="432"/>
      <c r="BW128" s="433"/>
      <c r="BX128" s="432"/>
      <c r="BY128" s="432"/>
      <c r="BZ128" s="432"/>
      <c r="CA128" s="433"/>
      <c r="CB128" s="432"/>
      <c r="CC128" s="432"/>
      <c r="CD128" s="432"/>
      <c r="CE128" s="433"/>
      <c r="CF128" s="432"/>
      <c r="CG128" s="432"/>
      <c r="CH128" s="432"/>
      <c r="CI128" s="433"/>
      <c r="CJ128" s="432"/>
      <c r="CK128" s="432"/>
      <c r="CL128" s="432"/>
      <c r="CM128" s="433"/>
      <c r="CN128" s="432"/>
      <c r="CO128" s="432"/>
      <c r="CP128" s="432"/>
      <c r="CQ128" s="433"/>
      <c r="CR128" s="432"/>
      <c r="CS128" s="432"/>
      <c r="CT128" s="432"/>
      <c r="CU128" s="433"/>
      <c r="CV128" s="432"/>
      <c r="CW128" s="432"/>
      <c r="CX128" s="432"/>
      <c r="CY128" s="433"/>
      <c r="DA128" s="432"/>
      <c r="DB128" s="432"/>
      <c r="DC128" s="432"/>
      <c r="DD128" s="432"/>
      <c r="DE128" s="432"/>
      <c r="DF128" s="432"/>
      <c r="DG128" s="432"/>
      <c r="DH128" s="432"/>
      <c r="DI128" s="432"/>
      <c r="DJ128" s="432"/>
      <c r="DK128" s="432"/>
      <c r="DL128" s="432"/>
      <c r="DM128" s="432"/>
      <c r="DN128" s="432"/>
      <c r="DO128" s="432"/>
      <c r="DP128" s="432"/>
      <c r="DQ128" s="432"/>
      <c r="DR128" s="432"/>
      <c r="DS128" s="432"/>
      <c r="DT128" s="432"/>
      <c r="DU128" s="432"/>
      <c r="DV128" s="432"/>
      <c r="DW128" s="432"/>
      <c r="DX128" s="432"/>
      <c r="DY128" s="432"/>
      <c r="DZ128" s="432"/>
      <c r="EA128" s="432"/>
      <c r="EB128" s="432"/>
      <c r="EC128" s="432"/>
      <c r="ED128" s="432"/>
      <c r="EE128" s="435"/>
    </row>
    <row r="129" spans="1:135" s="599" customFormat="1" ht="15">
      <c r="A129" s="258"/>
      <c r="B129" s="933" t="s">
        <v>383</v>
      </c>
      <c r="C129" s="435"/>
      <c r="D129" s="598"/>
      <c r="E129" s="432"/>
      <c r="F129" s="432"/>
      <c r="G129" s="433"/>
      <c r="H129" s="432"/>
      <c r="I129" s="432"/>
      <c r="J129" s="432"/>
      <c r="K129" s="433"/>
      <c r="L129" s="432"/>
      <c r="M129" s="432"/>
      <c r="N129" s="432"/>
      <c r="O129" s="433"/>
      <c r="P129" s="432"/>
      <c r="Q129" s="432"/>
      <c r="R129" s="432"/>
      <c r="S129" s="433"/>
      <c r="T129" s="432"/>
      <c r="U129" s="432"/>
      <c r="V129" s="432"/>
      <c r="W129" s="433"/>
      <c r="X129" s="432"/>
      <c r="Y129" s="432"/>
      <c r="Z129" s="432"/>
      <c r="AA129" s="433"/>
      <c r="AB129" s="432"/>
      <c r="AC129" s="432"/>
      <c r="AD129" s="432"/>
      <c r="AE129" s="433"/>
      <c r="AF129" s="432"/>
      <c r="AG129" s="432"/>
      <c r="AH129" s="432"/>
      <c r="AI129" s="433"/>
      <c r="AJ129" s="432"/>
      <c r="AK129" s="432"/>
      <c r="AL129" s="432"/>
      <c r="AM129" s="433"/>
      <c r="AN129" s="432"/>
      <c r="AO129" s="432"/>
      <c r="AP129" s="432"/>
      <c r="AQ129" s="433"/>
      <c r="AR129" s="432"/>
      <c r="AS129" s="432"/>
      <c r="AT129" s="432"/>
      <c r="AU129" s="433"/>
      <c r="AV129" s="432"/>
      <c r="AW129" s="432"/>
      <c r="AX129" s="432"/>
      <c r="AY129" s="433"/>
      <c r="AZ129" s="432"/>
      <c r="BA129" s="432"/>
      <c r="BB129" s="432"/>
      <c r="BC129" s="433"/>
      <c r="BD129" s="928">
        <v>0.12881995765985266</v>
      </c>
      <c r="BE129" s="928">
        <v>0.13023253018264108</v>
      </c>
      <c r="BF129" s="928">
        <v>0.13228740802972352</v>
      </c>
      <c r="BG129" s="929">
        <v>0.13452906571806009</v>
      </c>
      <c r="BH129" s="928">
        <v>0.13957039802041935</v>
      </c>
      <c r="BI129" s="928">
        <v>0.14371858574278462</v>
      </c>
      <c r="BJ129" s="928">
        <v>0.1461333125499289</v>
      </c>
      <c r="BK129" s="929">
        <v>0.14618600707540275</v>
      </c>
      <c r="BL129" s="928">
        <v>0.14625378917287768</v>
      </c>
      <c r="BM129" s="928">
        <v>0.1463899671073004</v>
      </c>
      <c r="BN129" s="928">
        <v>0.14639348016673334</v>
      </c>
      <c r="BO129" s="929">
        <v>0.14646701584995034</v>
      </c>
      <c r="BP129" s="928">
        <v>0.14646528909959547</v>
      </c>
      <c r="BQ129" s="928">
        <v>0.14653970166320301</v>
      </c>
      <c r="BR129" s="928">
        <v>0.14773419395216497</v>
      </c>
      <c r="BS129" s="929">
        <v>0.15024310358544918</v>
      </c>
      <c r="BT129" s="928">
        <v>0.15198048380612328</v>
      </c>
      <c r="BU129" s="928">
        <v>0.15387175664968633</v>
      </c>
      <c r="BV129" s="928">
        <v>0.1558475414341941</v>
      </c>
      <c r="BW129" s="929">
        <v>0.15727807307744193</v>
      </c>
      <c r="BX129" s="928">
        <v>0.15847184381990281</v>
      </c>
      <c r="BY129" s="928">
        <v>0.15793326104849459</v>
      </c>
      <c r="BZ129" s="928">
        <v>0.1574380898932739</v>
      </c>
      <c r="CA129" s="929">
        <v>0.16014828760836858</v>
      </c>
      <c r="CB129" s="928">
        <v>0.16068431432362579</v>
      </c>
      <c r="CC129" s="928">
        <v>0.16248460458371564</v>
      </c>
      <c r="CD129" s="928">
        <v>0.16324955662904511</v>
      </c>
      <c r="CE129" s="929">
        <v>0.16418541458869493</v>
      </c>
      <c r="CF129" s="928">
        <v>0.16391313935408483</v>
      </c>
      <c r="CG129" s="928">
        <v>0.16047134136142652</v>
      </c>
      <c r="CH129" s="928">
        <v>0.16221234037752708</v>
      </c>
      <c r="CI129" s="929">
        <v>0.16264598401189978</v>
      </c>
      <c r="CJ129" s="928">
        <v>0.16035944569753099</v>
      </c>
      <c r="CK129" s="928">
        <v>0.161193426532066</v>
      </c>
      <c r="CL129" s="928">
        <v>0.1586425390594155</v>
      </c>
      <c r="CM129" s="929">
        <v>0.15641936173079443</v>
      </c>
      <c r="CN129" s="928">
        <v>0.15290037905180118</v>
      </c>
      <c r="CO129" s="928">
        <v>0.15304476076572768</v>
      </c>
      <c r="CP129" s="928">
        <v>0.1500126658421273</v>
      </c>
      <c r="CQ129" s="929">
        <v>0.1463054003686671</v>
      </c>
      <c r="CR129" s="930">
        <v>0.14516183422920517</v>
      </c>
      <c r="CS129" s="930">
        <v>0.14575705147387852</v>
      </c>
      <c r="CT129" s="930">
        <v>0.14991577040099932</v>
      </c>
      <c r="CU129" s="931">
        <v>0.151202</v>
      </c>
      <c r="CV129" s="930">
        <v>0.1572438461538461</v>
      </c>
      <c r="CW129" s="930">
        <v>0.15936</v>
      </c>
      <c r="CX129" s="930">
        <f t="shared" ref="CX129:CY129" si="412">CW129</f>
        <v>0.15936</v>
      </c>
      <c r="CY129" s="931">
        <f t="shared" si="412"/>
        <v>0.15936</v>
      </c>
      <c r="DA129" s="432"/>
      <c r="DB129" s="432"/>
      <c r="DC129" s="432"/>
      <c r="DD129" s="432"/>
      <c r="DE129" s="432"/>
      <c r="DF129" s="432"/>
      <c r="DG129" s="432"/>
      <c r="DH129" s="432"/>
      <c r="DI129" s="432"/>
      <c r="DJ129" s="432"/>
      <c r="DK129" s="432"/>
      <c r="DL129" s="432"/>
      <c r="DM129" s="432"/>
      <c r="DN129" s="932">
        <f>AVERAGE(BD129:BG129)</f>
        <v>0.13146724039756935</v>
      </c>
      <c r="DO129" s="932">
        <f>AVERAGE(BH129:BK129)</f>
        <v>0.14390207584713391</v>
      </c>
      <c r="DP129" s="932">
        <f>AVERAGE(BL129:BO129)</f>
        <v>0.14637606307421544</v>
      </c>
      <c r="DQ129" s="932">
        <f>AVERAGE(BP129:BS129)</f>
        <v>0.14774557207510317</v>
      </c>
      <c r="DR129" s="932">
        <f>AVERAGE(BT129:BW129)</f>
        <v>0.1547444637418614</v>
      </c>
      <c r="DS129" s="932">
        <f>AVERAGE(BX129:CA129)</f>
        <v>0.15849787059250997</v>
      </c>
      <c r="DT129" s="932">
        <f>AVERAGE(CB129:CE129)</f>
        <v>0.16265097253127037</v>
      </c>
      <c r="DU129" s="932">
        <f>AVERAGE(CF129:CI129)</f>
        <v>0.16231070127623454</v>
      </c>
      <c r="DV129" s="932">
        <f>AVERAGE(CJ129:CM129)</f>
        <v>0.15915369325495174</v>
      </c>
      <c r="DW129" s="932">
        <f>AVERAGE(CN129:CQ129)</f>
        <v>0.15056580150708082</v>
      </c>
      <c r="DX129" s="932">
        <f>AVERAGE(CR129:CU129)</f>
        <v>0.14800916402602077</v>
      </c>
      <c r="DY129" s="932">
        <f>AVERAGE(CV129:CY129)</f>
        <v>0.15883096153846152</v>
      </c>
      <c r="DZ129" s="930">
        <f>DY129</f>
        <v>0.15883096153846152</v>
      </c>
      <c r="EA129" s="930">
        <f t="shared" si="367"/>
        <v>0.15883096153846152</v>
      </c>
      <c r="EB129" s="930">
        <f t="shared" si="367"/>
        <v>0.15883096153846152</v>
      </c>
      <c r="EC129" s="930">
        <f t="shared" si="367"/>
        <v>0.15883096153846152</v>
      </c>
      <c r="ED129" s="930">
        <f t="shared" si="367"/>
        <v>0.15883096153846152</v>
      </c>
      <c r="EE129" s="435"/>
    </row>
    <row r="130" spans="1:135" s="599" customFormat="1" ht="15">
      <c r="A130" s="258"/>
      <c r="B130" s="934" t="s">
        <v>240</v>
      </c>
      <c r="C130" s="435"/>
      <c r="D130" s="598"/>
      <c r="E130" s="432"/>
      <c r="F130" s="432"/>
      <c r="G130" s="433"/>
      <c r="H130" s="432"/>
      <c r="I130" s="432"/>
      <c r="J130" s="432"/>
      <c r="K130" s="433"/>
      <c r="L130" s="432"/>
      <c r="M130" s="432"/>
      <c r="N130" s="432"/>
      <c r="O130" s="433"/>
      <c r="P130" s="432"/>
      <c r="Q130" s="432"/>
      <c r="R130" s="432"/>
      <c r="S130" s="433"/>
      <c r="T130" s="432"/>
      <c r="U130" s="432"/>
      <c r="V130" s="432"/>
      <c r="W130" s="433"/>
      <c r="X130" s="432"/>
      <c r="Y130" s="432"/>
      <c r="Z130" s="432"/>
      <c r="AA130" s="433"/>
      <c r="AB130" s="432"/>
      <c r="AC130" s="432"/>
      <c r="AD130" s="432"/>
      <c r="AE130" s="433"/>
      <c r="AF130" s="432"/>
      <c r="AG130" s="432"/>
      <c r="AH130" s="432"/>
      <c r="AI130" s="433"/>
      <c r="AJ130" s="432"/>
      <c r="AK130" s="432"/>
      <c r="AL130" s="432"/>
      <c r="AM130" s="433"/>
      <c r="AN130" s="432"/>
      <c r="AO130" s="432"/>
      <c r="AP130" s="432"/>
      <c r="AQ130" s="433"/>
      <c r="AR130" s="432"/>
      <c r="AS130" s="432"/>
      <c r="AT130" s="432"/>
      <c r="AU130" s="433"/>
      <c r="AV130" s="432"/>
      <c r="AW130" s="432"/>
      <c r="AX130" s="432"/>
      <c r="AY130" s="433"/>
      <c r="AZ130" s="432"/>
      <c r="BA130" s="432"/>
      <c r="BB130" s="432"/>
      <c r="BC130" s="433"/>
      <c r="BD130" s="432"/>
      <c r="BE130" s="432"/>
      <c r="BF130" s="432"/>
      <c r="BG130" s="433"/>
      <c r="BH130" s="432">
        <f>BH129/BD129-1</f>
        <v>8.3453220726504851E-2</v>
      </c>
      <c r="BI130" s="432">
        <f t="shared" ref="BI130:CY130" si="413">BI129/BE129-1</f>
        <v>0.10355366313800696</v>
      </c>
      <c r="BJ130" s="432">
        <f t="shared" si="413"/>
        <v>0.10466532473819701</v>
      </c>
      <c r="BK130" s="433">
        <f t="shared" si="413"/>
        <v>8.6649983742344228E-2</v>
      </c>
      <c r="BL130" s="432">
        <f t="shared" si="413"/>
        <v>4.7885448829060095E-2</v>
      </c>
      <c r="BM130" s="432">
        <f t="shared" si="413"/>
        <v>1.8587584554281555E-2</v>
      </c>
      <c r="BN130" s="432">
        <f t="shared" si="413"/>
        <v>1.7803443463006996E-3</v>
      </c>
      <c r="BO130" s="433">
        <f t="shared" si="413"/>
        <v>1.9222686231703534E-3</v>
      </c>
      <c r="BP130" s="432">
        <f t="shared" si="413"/>
        <v>1.4461158778442673E-3</v>
      </c>
      <c r="BQ130" s="432">
        <f t="shared" si="413"/>
        <v>1.0228471176092491E-3</v>
      </c>
      <c r="BR130" s="432">
        <f t="shared" si="413"/>
        <v>9.1582889067507445E-3</v>
      </c>
      <c r="BS130" s="433">
        <f t="shared" si="413"/>
        <v>2.5781147472597521E-2</v>
      </c>
      <c r="BT130" s="432">
        <f t="shared" si="413"/>
        <v>3.7655302088520859E-2</v>
      </c>
      <c r="BU130" s="432">
        <f t="shared" si="413"/>
        <v>5.0034597472668585E-2</v>
      </c>
      <c r="BV130" s="432">
        <f t="shared" si="413"/>
        <v>5.4918548407663526E-2</v>
      </c>
      <c r="BW130" s="433">
        <f t="shared" si="413"/>
        <v>4.6823909544651432E-2</v>
      </c>
      <c r="BX130" s="432">
        <f t="shared" si="413"/>
        <v>4.271179990491647E-2</v>
      </c>
      <c r="BY130" s="432">
        <f t="shared" si="413"/>
        <v>2.6395385919034675E-2</v>
      </c>
      <c r="BZ130" s="432">
        <f t="shared" si="413"/>
        <v>1.0205797566279928E-2</v>
      </c>
      <c r="CA130" s="433">
        <f t="shared" si="413"/>
        <v>1.8249298676957793E-2</v>
      </c>
      <c r="CB130" s="432">
        <f t="shared" si="413"/>
        <v>1.3961284543627661E-2</v>
      </c>
      <c r="CC130" s="432">
        <f t="shared" si="413"/>
        <v>2.8818144480810215E-2</v>
      </c>
      <c r="CD130" s="432">
        <f t="shared" si="413"/>
        <v>3.6912711147034205E-2</v>
      </c>
      <c r="CE130" s="433">
        <f t="shared" si="413"/>
        <v>2.5208680283855811E-2</v>
      </c>
      <c r="CF130" s="432">
        <f t="shared" si="413"/>
        <v>2.0094214199128491E-2</v>
      </c>
      <c r="CG130" s="432">
        <f t="shared" si="413"/>
        <v>-1.2390486024488778E-2</v>
      </c>
      <c r="CH130" s="432">
        <f t="shared" si="413"/>
        <v>-6.3535624410602232E-3</v>
      </c>
      <c r="CI130" s="433">
        <f t="shared" si="413"/>
        <v>-9.3761713283218029E-3</v>
      </c>
      <c r="CJ130" s="432">
        <f t="shared" si="413"/>
        <v>-2.1680346496671943E-2</v>
      </c>
      <c r="CK130" s="432">
        <f t="shared" si="413"/>
        <v>4.4997764991141498E-3</v>
      </c>
      <c r="CL130" s="432">
        <f t="shared" si="413"/>
        <v>-2.200696512856759E-2</v>
      </c>
      <c r="CM130" s="433">
        <f t="shared" si="413"/>
        <v>-3.8283283285062808E-2</v>
      </c>
      <c r="CN130" s="432">
        <f t="shared" si="413"/>
        <v>-4.6514669674021292E-2</v>
      </c>
      <c r="CO130" s="432">
        <f t="shared" si="413"/>
        <v>-5.0552097201788326E-2</v>
      </c>
      <c r="CP130" s="432">
        <f t="shared" si="413"/>
        <v>-5.4398229305042234E-2</v>
      </c>
      <c r="CQ130" s="433">
        <f t="shared" si="413"/>
        <v>-6.4659267562630518E-2</v>
      </c>
      <c r="CR130" s="432">
        <f t="shared" si="413"/>
        <v>-5.0611678470556698E-2</v>
      </c>
      <c r="CS130" s="432">
        <f t="shared" si="413"/>
        <v>-4.7618155991662969E-2</v>
      </c>
      <c r="CT130" s="432">
        <f t="shared" si="413"/>
        <v>-6.4591506713140845E-4</v>
      </c>
      <c r="CU130" s="433">
        <f t="shared" si="413"/>
        <v>3.3468345112307674E-2</v>
      </c>
      <c r="CV130" s="432">
        <f t="shared" si="413"/>
        <v>8.3231325842603177E-2</v>
      </c>
      <c r="CW130" s="432">
        <f t="shared" si="413"/>
        <v>9.3326177969230484E-2</v>
      </c>
      <c r="CX130" s="432">
        <f t="shared" si="413"/>
        <v>6.2996905353846167E-2</v>
      </c>
      <c r="CY130" s="433">
        <f t="shared" si="413"/>
        <v>5.39543127736406E-2</v>
      </c>
      <c r="DA130" s="432"/>
      <c r="DB130" s="432"/>
      <c r="DC130" s="432"/>
      <c r="DD130" s="432"/>
      <c r="DE130" s="432"/>
      <c r="DF130" s="432"/>
      <c r="DG130" s="432"/>
      <c r="DH130" s="432"/>
      <c r="DI130" s="432"/>
      <c r="DJ130" s="432"/>
      <c r="DK130" s="432"/>
      <c r="DL130" s="432"/>
      <c r="DM130" s="432"/>
      <c r="DN130" s="432"/>
      <c r="DO130" s="432">
        <f>DO129/DN129-1</f>
        <v>9.4585049567941448E-2</v>
      </c>
      <c r="DP130" s="432">
        <f t="shared" ref="DP130" si="414">DP129/DO129-1</f>
        <v>1.7192158017995673E-2</v>
      </c>
      <c r="DQ130" s="432">
        <f t="shared" ref="DQ130" si="415">DQ129/DP129-1</f>
        <v>9.3560994340540216E-3</v>
      </c>
      <c r="DR130" s="432">
        <f t="shared" ref="DR130" si="416">DR129/DQ129-1</f>
        <v>4.7371244826210468E-2</v>
      </c>
      <c r="DS130" s="432">
        <f t="shared" ref="DS130" si="417">DS129/DR129-1</f>
        <v>2.4255516222601914E-2</v>
      </c>
      <c r="DT130" s="432">
        <f t="shared" ref="DT130" si="418">DT129/DS129-1</f>
        <v>2.6202887920417695E-2</v>
      </c>
      <c r="DU130" s="432">
        <f t="shared" ref="DU130" si="419">DU129/DT129-1</f>
        <v>-2.0920333259637491E-3</v>
      </c>
      <c r="DV130" s="432">
        <f t="shared" ref="DV130" si="420">DV129/DU129-1</f>
        <v>-1.9450399736182011E-2</v>
      </c>
      <c r="DW130" s="432">
        <f t="shared" ref="DW130" si="421">DW129/DV129-1</f>
        <v>-5.3959738993387907E-2</v>
      </c>
      <c r="DX130" s="432">
        <f t="shared" ref="DX130" si="422">DX129/DW129-1</f>
        <v>-1.6980200387269329E-2</v>
      </c>
      <c r="DY130" s="432">
        <f t="shared" ref="DY130" si="423">DY129/DX129-1</f>
        <v>7.311572620286011E-2</v>
      </c>
      <c r="DZ130" s="432">
        <f t="shared" ref="DZ130" si="424">DZ129/DY129-1</f>
        <v>0</v>
      </c>
      <c r="EA130" s="432">
        <f t="shared" ref="EA130" si="425">EA129/DZ129-1</f>
        <v>0</v>
      </c>
      <c r="EB130" s="432">
        <f t="shared" ref="EB130" si="426">EB129/EA129-1</f>
        <v>0</v>
      </c>
      <c r="EC130" s="432">
        <f t="shared" ref="EC130" si="427">EC129/EB129-1</f>
        <v>0</v>
      </c>
      <c r="ED130" s="432">
        <f t="shared" ref="ED130" si="428">ED129/EC129-1</f>
        <v>0</v>
      </c>
      <c r="EE130" s="435"/>
    </row>
    <row r="131" spans="1:135" s="109" customFormat="1" ht="15">
      <c r="A131" s="133"/>
      <c r="B131" s="677"/>
      <c r="C131" s="677"/>
      <c r="D131" s="713"/>
      <c r="E131" s="714"/>
      <c r="F131" s="714"/>
      <c r="G131" s="715"/>
      <c r="H131" s="714"/>
      <c r="I131" s="714"/>
      <c r="J131" s="714"/>
      <c r="K131" s="715"/>
      <c r="L131" s="714"/>
      <c r="M131" s="714"/>
      <c r="N131" s="714"/>
      <c r="O131" s="715"/>
      <c r="P131" s="714"/>
      <c r="Q131" s="714"/>
      <c r="R131" s="714"/>
      <c r="S131" s="715"/>
      <c r="T131" s="714"/>
      <c r="U131" s="714"/>
      <c r="V131" s="714"/>
      <c r="W131" s="715"/>
      <c r="X131" s="716"/>
      <c r="Y131" s="716"/>
      <c r="Z131" s="716"/>
      <c r="AA131" s="717"/>
      <c r="AB131" s="716"/>
      <c r="AC131" s="716"/>
      <c r="AD131" s="716"/>
      <c r="AE131" s="717"/>
      <c r="AF131" s="716"/>
      <c r="AG131" s="716"/>
      <c r="AH131" s="716"/>
      <c r="AI131" s="717"/>
      <c r="AJ131" s="716"/>
      <c r="AK131" s="716"/>
      <c r="AL131" s="716"/>
      <c r="AM131" s="717"/>
      <c r="AN131" s="716"/>
      <c r="AO131" s="716"/>
      <c r="AP131" s="716"/>
      <c r="AQ131" s="717"/>
      <c r="AR131" s="716"/>
      <c r="AS131" s="716"/>
      <c r="AT131" s="716"/>
      <c r="AU131" s="717"/>
      <c r="AV131" s="716"/>
      <c r="AW131" s="716"/>
      <c r="AX131" s="716"/>
      <c r="AY131" s="717"/>
      <c r="AZ131" s="716"/>
      <c r="BA131" s="716"/>
      <c r="BB131" s="716"/>
      <c r="BC131" s="717"/>
      <c r="BD131" s="716"/>
      <c r="BE131" s="716"/>
      <c r="BF131" s="716"/>
      <c r="BG131" s="717"/>
      <c r="BH131" s="716"/>
      <c r="BI131" s="716"/>
      <c r="BJ131" s="716"/>
      <c r="BK131" s="717"/>
      <c r="BL131" s="716"/>
      <c r="BM131" s="716"/>
      <c r="BN131" s="716"/>
      <c r="BO131" s="717"/>
      <c r="BP131" s="716"/>
      <c r="BQ131" s="716"/>
      <c r="BR131" s="716"/>
      <c r="BS131" s="717"/>
      <c r="BT131" s="718"/>
      <c r="BU131" s="718"/>
      <c r="BV131" s="716"/>
      <c r="BW131" s="717"/>
      <c r="BX131" s="716"/>
      <c r="BY131" s="716"/>
      <c r="BZ131" s="716"/>
      <c r="CA131" s="717"/>
      <c r="CB131" s="718"/>
      <c r="CC131" s="716"/>
      <c r="CD131" s="716"/>
      <c r="CE131" s="717"/>
      <c r="CF131" s="718"/>
      <c r="CG131" s="716"/>
      <c r="CH131" s="716"/>
      <c r="CI131" s="717"/>
      <c r="CJ131" s="718"/>
      <c r="CK131" s="718"/>
      <c r="CL131" s="718"/>
      <c r="CM131" s="719"/>
      <c r="CN131" s="718"/>
      <c r="CO131" s="718"/>
      <c r="CP131" s="718"/>
      <c r="CQ131" s="719"/>
      <c r="CR131" s="438"/>
      <c r="CS131" s="438"/>
      <c r="CT131" s="438"/>
      <c r="CU131" s="439"/>
      <c r="CV131" s="438"/>
      <c r="CW131" s="438"/>
      <c r="CX131" s="438"/>
      <c r="CY131" s="439"/>
      <c r="CZ131" s="7"/>
      <c r="DA131" s="704"/>
      <c r="DB131" s="704"/>
      <c r="DC131" s="704"/>
      <c r="DD131" s="704"/>
      <c r="DE131" s="704"/>
      <c r="DF131" s="704"/>
      <c r="DG131" s="704"/>
      <c r="DH131" s="704"/>
      <c r="DI131" s="704"/>
      <c r="DJ131" s="704"/>
      <c r="DK131" s="704"/>
      <c r="DL131" s="704"/>
      <c r="DM131" s="704"/>
      <c r="DN131" s="704"/>
      <c r="DO131" s="704"/>
      <c r="DP131" s="704"/>
      <c r="DQ131" s="704"/>
      <c r="DR131" s="704"/>
      <c r="DS131" s="704"/>
      <c r="DT131" s="704"/>
      <c r="DU131" s="704"/>
      <c r="DV131" s="704"/>
      <c r="DW131" s="704"/>
      <c r="DX131" s="136"/>
      <c r="DY131" s="136"/>
      <c r="DZ131" s="136"/>
      <c r="EA131" s="136"/>
      <c r="EB131" s="136"/>
      <c r="EC131" s="136"/>
      <c r="ED131" s="136"/>
      <c r="EE131" s="136"/>
    </row>
    <row r="132" spans="1:135" ht="15">
      <c r="DR132" s="432"/>
      <c r="DS132" s="432"/>
      <c r="DT132" s="432"/>
      <c r="DU132" s="432"/>
      <c r="DV132" s="432"/>
      <c r="DW132" s="432"/>
      <c r="DX132" s="432"/>
      <c r="DY132" s="432"/>
      <c r="DZ132" s="432"/>
    </row>
    <row r="133" spans="1:135" ht="15">
      <c r="DR133" s="432"/>
      <c r="DS133" s="432"/>
      <c r="DT133" s="432"/>
      <c r="DU133" s="432"/>
      <c r="DV133" s="432"/>
      <c r="DW133" s="432"/>
      <c r="DX133" s="432"/>
    </row>
    <row r="134" spans="1:135" ht="15">
      <c r="DR134" s="432"/>
      <c r="DS134" s="432"/>
      <c r="DT134" s="432"/>
      <c r="DU134" s="432"/>
      <c r="DV134" s="432"/>
      <c r="DW134" s="432"/>
      <c r="DX134" s="432"/>
    </row>
    <row r="135" spans="1:135" ht="15">
      <c r="DR135" s="432"/>
    </row>
    <row r="136" spans="1:135" ht="15">
      <c r="DR136" s="432"/>
      <c r="DS136" s="432"/>
      <c r="DT136" s="432"/>
      <c r="DU136" s="432"/>
      <c r="DV136" s="432"/>
      <c r="DW136" s="432"/>
      <c r="DX136" s="432"/>
    </row>
    <row r="137" spans="1:135" ht="15">
      <c r="DR137" s="432"/>
      <c r="DS137" s="432"/>
      <c r="DT137" s="432"/>
      <c r="DU137" s="432"/>
      <c r="DV137" s="432"/>
      <c r="DW137" s="432"/>
      <c r="DX137" s="432"/>
    </row>
    <row r="138" spans="1:135" ht="15">
      <c r="DR138" s="432"/>
    </row>
    <row r="139" spans="1:135" ht="15">
      <c r="DR139" s="432"/>
      <c r="DS139" s="432"/>
      <c r="DT139" s="432"/>
      <c r="DU139" s="432"/>
      <c r="DV139" s="432"/>
      <c r="DW139" s="432"/>
      <c r="DX139" s="432"/>
    </row>
    <row r="140" spans="1:135" ht="15">
      <c r="DR140" s="432"/>
      <c r="DS140" s="432"/>
      <c r="DT140" s="432"/>
      <c r="DU140" s="432"/>
      <c r="DV140" s="432"/>
      <c r="DW140" s="432"/>
      <c r="DX140" s="432"/>
    </row>
  </sheetData>
  <pageMargins left="0.7" right="0.7" top="0.75" bottom="0.75" header="0.3" footer="0.3"/>
  <pageSetup scale="58" fitToHeight="0" orientation="landscape" r:id="rId1"/>
  <ignoredErrors>
    <ignoredError sqref="A131:XFD131 A66:XFD72 A184:XFD1048576 A43:XFD52 A56:XFD62 A1:XFD5 A39:XFD40 A37 DT37:XFD37 C37:DR37 A41 C41:XFD41 A7:XFD8 A6:CU6 CZ6:DY6 A10:XFD11 A9:CU9 CZ9:DY9 A13:XFD14 A12:CU12 CZ12:DY12 A16:XFD17 A15:CU15 CZ15:DY15 EE6:XFD6 EE9:XFD9 EE12:XFD12 EE15:XFD15 A22:XFD23 A21:CU21 CZ21:DY21 A25:XFD36 A24:CU24 CZ24:DY24 EE21:XFD21 EE24:XFD24 A103:XFD123 A102:DW102 EC102:XFD102 A74:XFD101 A73:DX73 EC73:XFD73 A54:XFD54 A53:CU53 CZ53:XFD53 A64:XFD64 A63:CU63 CZ63:XFD63 A19:XFD20 A18:DX18 EC18:XFD18" unlockedFormula="1"/>
  </ignoredError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2:IH52"/>
  <sheetViews>
    <sheetView zoomScale="85" zoomScaleNormal="85" workbookViewId="0">
      <selection activeCell="O5" sqref="O5:X19"/>
    </sheetView>
  </sheetViews>
  <sheetFormatPr defaultRowHeight="15" outlineLevelCol="1"/>
  <cols>
    <col min="1" max="2" width="3.140625" style="5" customWidth="1"/>
    <col min="3" max="3" width="38.85546875" style="5" bestFit="1" customWidth="1"/>
    <col min="4" max="4" width="10.28515625" style="5" hidden="1" customWidth="1" outlineLevel="1"/>
    <col min="5" max="5" width="10.28515625" style="5" customWidth="1" collapsed="1"/>
    <col min="6" max="6" width="10.28515625" style="5" customWidth="1"/>
    <col min="7" max="10" width="10.28515625" style="5" hidden="1" customWidth="1" outlineLevel="1"/>
    <col min="11" max="11" width="10.28515625" style="5" customWidth="1" collapsed="1"/>
    <col min="12" max="12" width="10.28515625" style="5" customWidth="1"/>
    <col min="13" max="13" width="3.140625" style="5" customWidth="1"/>
    <col min="14" max="15" width="3.140625" style="68" customWidth="1"/>
    <col min="16" max="16" width="38.85546875" style="68" bestFit="1" customWidth="1"/>
    <col min="17" max="23" width="10.28515625" style="68" customWidth="1"/>
    <col min="24" max="25" width="3.140625" style="68" customWidth="1"/>
    <col min="26" max="28" width="9.140625" style="68"/>
    <col min="29" max="231" width="9.140625" style="5"/>
    <col min="232" max="233" width="3.140625" style="5" customWidth="1"/>
    <col min="234" max="234" width="38.85546875" style="5" bestFit="1" customWidth="1"/>
    <col min="235" max="235" width="9.140625" style="5" customWidth="1"/>
    <col min="236" max="237" width="10.28515625" style="5" customWidth="1"/>
    <col min="238" max="241" width="9.140625" style="5" customWidth="1"/>
    <col min="242" max="242" width="9.140625" style="7"/>
  </cols>
  <sheetData>
    <row r="2" spans="1:241">
      <c r="B2" s="6" t="s">
        <v>212</v>
      </c>
      <c r="O2" s="69"/>
    </row>
    <row r="3" spans="1:241">
      <c r="B3" s="6" t="s">
        <v>196</v>
      </c>
      <c r="O3" s="69"/>
    </row>
    <row r="4" spans="1:241" ht="15.75" thickBot="1"/>
    <row r="5" spans="1:241">
      <c r="B5" s="8"/>
      <c r="C5" s="9"/>
      <c r="D5" s="9"/>
      <c r="E5" s="9"/>
      <c r="F5" s="9"/>
      <c r="G5" s="9"/>
      <c r="H5" s="9"/>
      <c r="I5" s="9"/>
      <c r="J5" s="9"/>
      <c r="K5" s="9"/>
      <c r="L5" s="9"/>
      <c r="M5" s="10"/>
      <c r="O5" s="70"/>
      <c r="P5" s="71"/>
      <c r="Q5" s="71"/>
      <c r="R5" s="71"/>
      <c r="S5" s="71"/>
      <c r="T5" s="71"/>
      <c r="U5" s="71"/>
      <c r="V5" s="71"/>
      <c r="W5" s="71"/>
      <c r="X5" s="72"/>
    </row>
    <row r="6" spans="1:241">
      <c r="A6" s="12"/>
      <c r="B6" s="13"/>
      <c r="C6" s="942" t="s">
        <v>197</v>
      </c>
      <c r="D6" s="940" t="s">
        <v>374</v>
      </c>
      <c r="E6" s="939" t="s">
        <v>195</v>
      </c>
      <c r="F6" s="939" t="s">
        <v>106</v>
      </c>
      <c r="G6" s="938" t="s">
        <v>222</v>
      </c>
      <c r="H6" s="940"/>
      <c r="I6" s="938" t="s">
        <v>223</v>
      </c>
      <c r="J6" s="939"/>
      <c r="K6" s="938" t="s">
        <v>330</v>
      </c>
      <c r="L6" s="939"/>
      <c r="M6" s="14"/>
      <c r="O6" s="75"/>
      <c r="P6" s="942" t="s">
        <v>336</v>
      </c>
      <c r="Q6" s="942" t="s">
        <v>366</v>
      </c>
      <c r="R6" s="942" t="s">
        <v>367</v>
      </c>
      <c r="S6" s="941" t="s">
        <v>368</v>
      </c>
      <c r="T6" s="939" t="s">
        <v>195</v>
      </c>
      <c r="U6" s="939" t="s">
        <v>106</v>
      </c>
      <c r="V6" s="938" t="s">
        <v>330</v>
      </c>
      <c r="W6" s="939"/>
      <c r="X6" s="76"/>
      <c r="Z6" s="77"/>
      <c r="AA6" s="77"/>
      <c r="AB6" s="77"/>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c r="BM6" s="12"/>
      <c r="BN6" s="12"/>
      <c r="BO6" s="12"/>
      <c r="BP6" s="12"/>
      <c r="BQ6" s="12"/>
      <c r="BR6" s="12"/>
      <c r="BS6" s="12"/>
      <c r="BT6" s="12"/>
      <c r="BU6" s="12"/>
      <c r="BV6" s="12"/>
      <c r="BW6" s="12"/>
      <c r="BX6" s="12"/>
      <c r="BY6" s="12"/>
      <c r="BZ6" s="12"/>
      <c r="CA6" s="12"/>
      <c r="CB6" s="12"/>
      <c r="CC6" s="12"/>
      <c r="CD6" s="12"/>
      <c r="CE6" s="12"/>
      <c r="CF6" s="12"/>
      <c r="CG6" s="12"/>
      <c r="CH6" s="12"/>
      <c r="CI6" s="12"/>
      <c r="CJ6" s="12"/>
      <c r="CK6" s="12"/>
      <c r="CL6" s="12"/>
      <c r="CM6" s="12"/>
      <c r="CN6" s="12"/>
      <c r="CO6" s="12"/>
      <c r="CP6" s="12"/>
      <c r="CQ6" s="12"/>
      <c r="CR6" s="12"/>
      <c r="CS6" s="12"/>
      <c r="CT6" s="12"/>
      <c r="CU6" s="12"/>
      <c r="CV6" s="12"/>
      <c r="CW6" s="12"/>
      <c r="CX6" s="12"/>
      <c r="CY6" s="12"/>
      <c r="CZ6" s="12"/>
      <c r="DA6" s="12"/>
      <c r="DB6" s="12"/>
      <c r="DC6" s="12"/>
      <c r="DD6" s="12"/>
      <c r="DE6" s="12"/>
      <c r="DF6" s="12"/>
      <c r="DG6" s="12"/>
      <c r="DH6" s="12"/>
      <c r="DI6" s="12"/>
      <c r="DJ6" s="12"/>
      <c r="DK6" s="12"/>
      <c r="DL6" s="12"/>
      <c r="DM6" s="12"/>
      <c r="DN6" s="12"/>
      <c r="DO6" s="12"/>
      <c r="DP6" s="12"/>
      <c r="DQ6" s="12"/>
      <c r="DR6" s="12"/>
      <c r="DS6" s="12"/>
      <c r="DT6" s="12"/>
      <c r="DU6" s="12"/>
      <c r="DV6" s="12"/>
      <c r="DW6" s="12"/>
      <c r="DX6" s="12"/>
      <c r="DY6" s="12"/>
      <c r="DZ6" s="12"/>
      <c r="EA6" s="12"/>
      <c r="EB6" s="12"/>
      <c r="EC6" s="12"/>
      <c r="ED6" s="12"/>
      <c r="EE6" s="12"/>
      <c r="EF6" s="12"/>
      <c r="EG6" s="12"/>
      <c r="EH6" s="12"/>
      <c r="EI6" s="12"/>
      <c r="EJ6" s="12"/>
      <c r="EK6" s="12"/>
      <c r="EL6" s="12"/>
      <c r="EM6" s="12"/>
      <c r="EN6" s="12"/>
      <c r="EO6" s="12"/>
      <c r="EP6" s="12"/>
      <c r="EQ6" s="12"/>
      <c r="ER6" s="12"/>
      <c r="ES6" s="12"/>
      <c r="ET6" s="12"/>
      <c r="EU6" s="12"/>
      <c r="EV6" s="12"/>
      <c r="EW6" s="12"/>
      <c r="EX6" s="12"/>
      <c r="EY6" s="12"/>
      <c r="EZ6" s="12"/>
      <c r="FA6" s="12"/>
      <c r="FB6" s="12"/>
      <c r="FC6" s="12"/>
      <c r="FD6" s="12"/>
      <c r="FE6" s="12"/>
      <c r="FF6" s="12"/>
      <c r="FG6" s="12"/>
      <c r="FH6" s="12"/>
      <c r="FI6" s="12"/>
      <c r="FJ6" s="12"/>
      <c r="FK6" s="12"/>
      <c r="FL6" s="12"/>
      <c r="FM6" s="12"/>
      <c r="FN6" s="12"/>
      <c r="FO6" s="12"/>
      <c r="FP6" s="12"/>
      <c r="FQ6" s="12"/>
      <c r="FR6" s="12"/>
      <c r="FS6" s="12"/>
      <c r="FT6" s="12"/>
      <c r="FU6" s="12"/>
      <c r="FV6" s="12"/>
      <c r="FW6" s="12"/>
      <c r="FX6" s="12"/>
      <c r="FY6" s="12"/>
      <c r="FZ6" s="12"/>
      <c r="GA6" s="12"/>
      <c r="GB6" s="12"/>
      <c r="GC6" s="12"/>
      <c r="GD6" s="12"/>
      <c r="GE6" s="12"/>
      <c r="GF6" s="12"/>
      <c r="GG6" s="12"/>
      <c r="GH6" s="12"/>
      <c r="GI6" s="12"/>
      <c r="GJ6" s="12"/>
      <c r="GK6" s="12"/>
      <c r="GL6" s="12"/>
      <c r="GM6" s="12"/>
      <c r="GN6" s="12"/>
      <c r="GO6" s="12"/>
      <c r="GP6" s="12"/>
      <c r="GQ6" s="12"/>
      <c r="GR6" s="12"/>
      <c r="GS6" s="12"/>
      <c r="GT6" s="12"/>
      <c r="GU6" s="12"/>
      <c r="GV6" s="12"/>
      <c r="GW6" s="12"/>
      <c r="GX6" s="12"/>
      <c r="GY6" s="12"/>
      <c r="GZ6" s="12"/>
      <c r="HA6" s="12"/>
      <c r="HB6" s="12"/>
      <c r="HC6" s="12"/>
      <c r="HD6" s="12"/>
      <c r="HE6" s="12"/>
      <c r="HF6" s="12"/>
      <c r="HG6" s="12"/>
      <c r="HH6" s="12"/>
      <c r="HI6" s="12"/>
      <c r="HJ6" s="12"/>
      <c r="HK6" s="12"/>
      <c r="HL6" s="12"/>
      <c r="HM6" s="12"/>
      <c r="HN6" s="12"/>
      <c r="HO6" s="12"/>
      <c r="HP6" s="12"/>
      <c r="HQ6" s="12"/>
      <c r="HR6" s="12"/>
      <c r="HS6" s="12"/>
      <c r="HT6" s="12"/>
      <c r="HU6" s="12"/>
      <c r="HV6" s="12"/>
      <c r="HW6" s="12"/>
      <c r="HX6" s="12"/>
      <c r="HY6" s="12"/>
      <c r="HZ6" s="12"/>
      <c r="IA6" s="12"/>
      <c r="IB6" s="12"/>
      <c r="IC6" s="12"/>
      <c r="ID6" s="12"/>
      <c r="IE6" s="12"/>
      <c r="IF6" s="12"/>
      <c r="IG6" s="12"/>
    </row>
    <row r="7" spans="1:241">
      <c r="A7" s="12"/>
      <c r="B7" s="13"/>
      <c r="C7" s="942"/>
      <c r="D7" s="940"/>
      <c r="E7" s="939"/>
      <c r="F7" s="939"/>
      <c r="G7" s="3" t="s">
        <v>200</v>
      </c>
      <c r="H7" s="4" t="s">
        <v>201</v>
      </c>
      <c r="I7" s="103" t="s">
        <v>200</v>
      </c>
      <c r="J7" s="102" t="s">
        <v>201</v>
      </c>
      <c r="K7" s="511" t="s">
        <v>69</v>
      </c>
      <c r="L7" s="510" t="s">
        <v>331</v>
      </c>
      <c r="M7" s="15"/>
      <c r="O7" s="75"/>
      <c r="P7" s="942"/>
      <c r="Q7" s="942"/>
      <c r="R7" s="942"/>
      <c r="S7" s="941"/>
      <c r="T7" s="939"/>
      <c r="U7" s="939"/>
      <c r="V7" s="831" t="s">
        <v>69</v>
      </c>
      <c r="W7" s="832" t="s">
        <v>331</v>
      </c>
      <c r="X7" s="76"/>
      <c r="Z7" s="77"/>
      <c r="AA7" s="77"/>
      <c r="AB7" s="77"/>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c r="BV7" s="12"/>
      <c r="BW7" s="12"/>
      <c r="BX7" s="12"/>
      <c r="BY7" s="12"/>
      <c r="BZ7" s="12"/>
      <c r="CA7" s="12"/>
      <c r="CB7" s="12"/>
      <c r="CC7" s="12"/>
      <c r="CD7" s="12"/>
      <c r="CE7" s="12"/>
      <c r="CF7" s="12"/>
      <c r="CG7" s="12"/>
      <c r="CH7" s="12"/>
      <c r="CI7" s="12"/>
      <c r="CJ7" s="12"/>
      <c r="CK7" s="12"/>
      <c r="CL7" s="12"/>
      <c r="CM7" s="12"/>
      <c r="CN7" s="12"/>
      <c r="CO7" s="12"/>
      <c r="CP7" s="12"/>
      <c r="CQ7" s="12"/>
      <c r="CR7" s="12"/>
      <c r="CS7" s="12"/>
      <c r="CT7" s="12"/>
      <c r="CU7" s="12"/>
      <c r="CV7" s="12"/>
      <c r="CW7" s="12"/>
      <c r="CX7" s="12"/>
      <c r="CY7" s="12"/>
      <c r="CZ7" s="12"/>
      <c r="DA7" s="12"/>
      <c r="DB7" s="12"/>
      <c r="DC7" s="12"/>
      <c r="DD7" s="12"/>
      <c r="DE7" s="12"/>
      <c r="DF7" s="12"/>
      <c r="DG7" s="12"/>
      <c r="DH7" s="12"/>
      <c r="DI7" s="12"/>
      <c r="DJ7" s="12"/>
      <c r="DK7" s="12"/>
      <c r="DL7" s="12"/>
      <c r="DM7" s="12"/>
      <c r="DN7" s="12"/>
      <c r="DO7" s="12"/>
      <c r="DP7" s="12"/>
      <c r="DQ7" s="12"/>
      <c r="DR7" s="12"/>
      <c r="DS7" s="12"/>
      <c r="DT7" s="12"/>
      <c r="DU7" s="12"/>
      <c r="DV7" s="12"/>
      <c r="DW7" s="12"/>
      <c r="DX7" s="12"/>
      <c r="DY7" s="12"/>
      <c r="DZ7" s="12"/>
      <c r="EA7" s="12"/>
      <c r="EB7" s="12"/>
      <c r="EC7" s="12"/>
      <c r="ED7" s="12"/>
      <c r="EE7" s="12"/>
      <c r="EF7" s="12"/>
      <c r="EG7" s="12"/>
      <c r="EH7" s="12"/>
      <c r="EI7" s="12"/>
      <c r="EJ7" s="12"/>
      <c r="EK7" s="12"/>
      <c r="EL7" s="12"/>
      <c r="EM7" s="12"/>
      <c r="EN7" s="12"/>
      <c r="EO7" s="12"/>
      <c r="EP7" s="12"/>
      <c r="EQ7" s="12"/>
      <c r="ER7" s="12"/>
      <c r="ES7" s="12"/>
      <c r="ET7" s="12"/>
      <c r="EU7" s="12"/>
      <c r="EV7" s="12"/>
      <c r="EW7" s="12"/>
      <c r="EX7" s="12"/>
      <c r="EY7" s="12"/>
      <c r="EZ7" s="12"/>
      <c r="FA7" s="12"/>
      <c r="FB7" s="12"/>
      <c r="FC7" s="12"/>
      <c r="FD7" s="12"/>
      <c r="FE7" s="12"/>
      <c r="FF7" s="12"/>
      <c r="FG7" s="12"/>
      <c r="FH7" s="12"/>
      <c r="FI7" s="12"/>
      <c r="FJ7" s="12"/>
      <c r="FK7" s="12"/>
      <c r="FL7" s="12"/>
      <c r="FM7" s="12"/>
      <c r="FN7" s="12"/>
      <c r="FO7" s="12"/>
      <c r="FP7" s="12"/>
      <c r="FQ7" s="12"/>
      <c r="FR7" s="12"/>
      <c r="FS7" s="12"/>
      <c r="FT7" s="12"/>
      <c r="FU7" s="12"/>
      <c r="FV7" s="12"/>
      <c r="FW7" s="12"/>
      <c r="FX7" s="12"/>
      <c r="FY7" s="12"/>
      <c r="FZ7" s="12"/>
      <c r="GA7" s="12"/>
      <c r="GB7" s="12"/>
      <c r="GC7" s="12"/>
      <c r="GD7" s="12"/>
      <c r="GE7" s="12"/>
      <c r="GF7" s="12"/>
      <c r="GG7" s="12"/>
      <c r="GH7" s="12"/>
      <c r="GI7" s="12"/>
      <c r="GJ7" s="12"/>
      <c r="GK7" s="12"/>
      <c r="GL7" s="12"/>
      <c r="GM7" s="12"/>
      <c r="GN7" s="12"/>
      <c r="GO7" s="12"/>
      <c r="GP7" s="12"/>
      <c r="GQ7" s="12"/>
      <c r="GR7" s="12"/>
      <c r="GS7" s="12"/>
      <c r="GT7" s="12"/>
      <c r="GU7" s="12"/>
      <c r="GV7" s="12"/>
      <c r="GW7" s="12"/>
      <c r="GX7" s="12"/>
      <c r="GY7" s="12"/>
      <c r="GZ7" s="12"/>
      <c r="HA7" s="12"/>
      <c r="HB7" s="12"/>
      <c r="HC7" s="12"/>
      <c r="HD7" s="12"/>
      <c r="HE7" s="12"/>
      <c r="HF7" s="12"/>
      <c r="HG7" s="12"/>
      <c r="HH7" s="12"/>
      <c r="HI7" s="12"/>
      <c r="HJ7" s="12"/>
      <c r="HK7" s="12"/>
      <c r="HL7" s="12"/>
      <c r="HM7" s="12"/>
      <c r="HN7" s="12"/>
      <c r="HO7" s="12"/>
      <c r="HP7" s="12"/>
      <c r="HQ7" s="12"/>
      <c r="HR7" s="12"/>
      <c r="HS7" s="12"/>
      <c r="HT7" s="12"/>
      <c r="HU7" s="12"/>
      <c r="HV7" s="12"/>
      <c r="HW7" s="12"/>
      <c r="HX7" s="12"/>
      <c r="HY7" s="12"/>
      <c r="HZ7" s="12"/>
      <c r="IA7" s="12"/>
      <c r="IB7" s="12"/>
      <c r="IC7" s="12"/>
      <c r="ID7" s="12"/>
      <c r="IE7" s="12"/>
      <c r="IF7" s="12"/>
      <c r="IG7" s="12"/>
    </row>
    <row r="8" spans="1:241">
      <c r="B8" s="16"/>
      <c r="C8" s="11"/>
      <c r="D8" s="17"/>
      <c r="E8" s="519"/>
      <c r="F8" s="17"/>
      <c r="G8" s="16"/>
      <c r="H8" s="11"/>
      <c r="I8" s="16"/>
      <c r="J8" s="11"/>
      <c r="K8" s="16"/>
      <c r="L8" s="11"/>
      <c r="M8" s="17"/>
      <c r="O8" s="75"/>
      <c r="P8" s="78"/>
      <c r="Q8" s="78"/>
      <c r="R8" s="78"/>
      <c r="S8" s="76"/>
      <c r="T8" s="536"/>
      <c r="U8" s="78"/>
      <c r="V8" s="846"/>
      <c r="W8" s="78"/>
      <c r="X8" s="76"/>
    </row>
    <row r="9" spans="1:241">
      <c r="B9" s="16"/>
      <c r="C9" s="18" t="s">
        <v>146</v>
      </c>
      <c r="D9" s="104">
        <v>5363.8</v>
      </c>
      <c r="E9" s="447">
        <v>5437.25</v>
      </c>
      <c r="F9" s="104">
        <f>Financials!CV6</f>
        <v>5473.6802428001392</v>
      </c>
      <c r="G9" s="20">
        <f t="shared" ref="G9:H12" si="0">$D9-E9</f>
        <v>-73.449999999999818</v>
      </c>
      <c r="H9" s="21">
        <f t="shared" si="0"/>
        <v>-109.88024280013906</v>
      </c>
      <c r="I9" s="22">
        <f t="shared" ref="I9:J11" si="1">$D9/E9-1</f>
        <v>-1.3508667065152413E-2</v>
      </c>
      <c r="J9" s="24">
        <f t="shared" si="1"/>
        <v>-2.0074289678260082E-2</v>
      </c>
      <c r="K9" s="512">
        <f>F9-E9</f>
        <v>36.43024280013924</v>
      </c>
      <c r="L9" s="24">
        <f>F9/E9-1</f>
        <v>6.700122819465637E-3</v>
      </c>
      <c r="M9" s="23"/>
      <c r="O9" s="75"/>
      <c r="P9" s="84" t="s">
        <v>146</v>
      </c>
      <c r="Q9" s="851">
        <v>21400</v>
      </c>
      <c r="R9" s="84">
        <f>AVERAGE(Q9,S9)</f>
        <v>21500</v>
      </c>
      <c r="S9" s="25">
        <v>21600</v>
      </c>
      <c r="T9" s="85">
        <v>21753.667000000001</v>
      </c>
      <c r="U9" s="85">
        <f>Financials!DY6</f>
        <v>21959.685294590308</v>
      </c>
      <c r="V9" s="849">
        <f>U9-T9</f>
        <v>206.01829459030705</v>
      </c>
      <c r="W9" s="847">
        <f>U9/T9-1</f>
        <v>9.4705087923938613E-3</v>
      </c>
      <c r="X9" s="76"/>
    </row>
    <row r="10" spans="1:241">
      <c r="B10" s="16"/>
      <c r="C10" s="30" t="s">
        <v>202</v>
      </c>
      <c r="D10" s="47">
        <f>4788.9-25-0.3-15.4-5.6</f>
        <v>4742.5999999999995</v>
      </c>
      <c r="E10" s="457">
        <f>E9-E11</f>
        <v>4802.0160825000003</v>
      </c>
      <c r="F10" s="47">
        <f>-Financials!CV8</f>
        <v>4824.6836508820816</v>
      </c>
      <c r="G10" s="31">
        <f t="shared" si="0"/>
        <v>-59.416082500000812</v>
      </c>
      <c r="H10" s="32">
        <f t="shared" si="0"/>
        <v>-82.083650882082111</v>
      </c>
      <c r="I10" s="33">
        <f t="shared" si="1"/>
        <v>-1.2373153583664753E-2</v>
      </c>
      <c r="J10" s="46">
        <f t="shared" si="1"/>
        <v>-1.7013271091271487E-2</v>
      </c>
      <c r="K10" s="513">
        <f>F10-E10</f>
        <v>22.667568382081299</v>
      </c>
      <c r="L10" s="46">
        <f>F10/E10-1</f>
        <v>4.7204274189520667E-3</v>
      </c>
      <c r="M10" s="27"/>
      <c r="O10" s="75"/>
      <c r="P10" s="84" t="s">
        <v>218</v>
      </c>
      <c r="Q10" s="851">
        <v>1750</v>
      </c>
      <c r="R10" s="84">
        <f t="shared" ref="R10:R11" si="2">AVERAGE(Q10,S10)</f>
        <v>1762.5</v>
      </c>
      <c r="S10" s="25">
        <v>1775</v>
      </c>
      <c r="T10" s="85">
        <v>1823</v>
      </c>
      <c r="U10" s="85">
        <f>Financials!DY15</f>
        <v>1816.4905251204877</v>
      </c>
      <c r="V10" s="849">
        <f t="shared" ref="V10:V18" si="3">U10-T10</f>
        <v>-6.5094748795122541</v>
      </c>
      <c r="W10" s="847">
        <f t="shared" ref="W10:W18" si="4">U10/T10-1</f>
        <v>-3.5707486996775506E-3</v>
      </c>
      <c r="X10" s="92"/>
    </row>
    <row r="11" spans="1:241">
      <c r="B11" s="16"/>
      <c r="C11" s="34" t="s">
        <v>138</v>
      </c>
      <c r="D11" s="19">
        <f>D9-D10</f>
        <v>621.20000000000073</v>
      </c>
      <c r="E11" s="449">
        <f>E9*E12</f>
        <v>635.23391749999996</v>
      </c>
      <c r="F11" s="19">
        <f>F9-F10</f>
        <v>648.99659191805767</v>
      </c>
      <c r="G11" s="20">
        <f t="shared" si="0"/>
        <v>-14.033917499999234</v>
      </c>
      <c r="H11" s="21">
        <f t="shared" si="0"/>
        <v>-27.796591918056947</v>
      </c>
      <c r="I11" s="22">
        <f t="shared" si="1"/>
        <v>-2.2092519170308966E-2</v>
      </c>
      <c r="J11" s="24">
        <f t="shared" si="1"/>
        <v>-4.2830104601792041E-2</v>
      </c>
      <c r="K11" s="512">
        <f>F11-E11</f>
        <v>13.762674418057713</v>
      </c>
      <c r="L11" s="24">
        <f>F11/E11-1</f>
        <v>2.1665522005219096E-2</v>
      </c>
      <c r="M11" s="35"/>
      <c r="O11" s="75"/>
      <c r="P11" s="84" t="s">
        <v>224</v>
      </c>
      <c r="Q11" s="851">
        <v>2230</v>
      </c>
      <c r="R11" s="84">
        <f t="shared" si="2"/>
        <v>2242.5</v>
      </c>
      <c r="S11" s="25">
        <v>2255</v>
      </c>
      <c r="T11" s="85">
        <v>2252.643</v>
      </c>
      <c r="U11" s="85">
        <f>Financials!DY51</f>
        <v>2295.548481176093</v>
      </c>
      <c r="V11" s="849">
        <f t="shared" si="3"/>
        <v>42.905481176092962</v>
      </c>
      <c r="W11" s="847">
        <f t="shared" si="4"/>
        <v>1.9046729187045086E-2</v>
      </c>
      <c r="X11" s="92"/>
    </row>
    <row r="12" spans="1:241">
      <c r="B12" s="16"/>
      <c r="C12" s="26" t="s">
        <v>204</v>
      </c>
      <c r="D12" s="27">
        <f>D11/D9</f>
        <v>0.11581341586188909</v>
      </c>
      <c r="E12" s="520">
        <v>0.11683</v>
      </c>
      <c r="F12" s="27">
        <f>F11/F9</f>
        <v>0.11856677100780995</v>
      </c>
      <c r="G12" s="28">
        <f t="shared" si="0"/>
        <v>-1.0165841381109125E-3</v>
      </c>
      <c r="H12" s="29">
        <f t="shared" si="0"/>
        <v>-2.7533551459208577E-3</v>
      </c>
      <c r="I12" s="28"/>
      <c r="J12" s="29"/>
      <c r="K12" s="28">
        <f>F12-E12</f>
        <v>1.7367710078099452E-3</v>
      </c>
      <c r="L12" s="29"/>
      <c r="M12" s="27"/>
      <c r="O12" s="75"/>
      <c r="P12" s="84" t="s">
        <v>219</v>
      </c>
      <c r="Q12" s="84"/>
      <c r="R12" s="851">
        <v>480</v>
      </c>
      <c r="S12" s="48"/>
      <c r="T12" s="844">
        <f>T11-T10</f>
        <v>429.64300000000003</v>
      </c>
      <c r="U12" s="85">
        <f>Financials!DY117</f>
        <v>479.05795605560519</v>
      </c>
      <c r="V12" s="849">
        <f t="shared" si="3"/>
        <v>49.41495605560516</v>
      </c>
      <c r="W12" s="847">
        <f t="shared" si="4"/>
        <v>0.11501399081471164</v>
      </c>
      <c r="X12" s="92"/>
    </row>
    <row r="13" spans="1:241">
      <c r="B13" s="16"/>
      <c r="C13" s="40"/>
      <c r="D13" s="41"/>
      <c r="E13" s="454"/>
      <c r="F13" s="42"/>
      <c r="G13" s="43"/>
      <c r="H13" s="44"/>
      <c r="I13" s="28"/>
      <c r="J13" s="29"/>
      <c r="K13" s="514"/>
      <c r="L13" s="29"/>
      <c r="M13" s="27"/>
      <c r="O13" s="75"/>
      <c r="P13" s="84" t="s">
        <v>149</v>
      </c>
      <c r="Q13" s="84"/>
      <c r="R13" s="851">
        <v>80</v>
      </c>
      <c r="S13" s="25"/>
      <c r="T13" s="85"/>
      <c r="U13" s="85">
        <f>-Financials!DY18</f>
        <v>80.380499999999998</v>
      </c>
      <c r="V13" s="849"/>
      <c r="W13" s="847"/>
      <c r="X13" s="92"/>
    </row>
    <row r="14" spans="1:241">
      <c r="B14" s="16"/>
      <c r="C14" s="45" t="s">
        <v>205</v>
      </c>
      <c r="D14" s="25">
        <v>164.1</v>
      </c>
      <c r="E14" s="452"/>
      <c r="F14" s="25">
        <f>-Financials!CV12</f>
        <v>167.46167415703471</v>
      </c>
      <c r="G14" s="43"/>
      <c r="H14" s="44">
        <f>$D14-F14</f>
        <v>-3.3616741570347131</v>
      </c>
      <c r="I14" s="28"/>
      <c r="J14" s="29"/>
      <c r="K14" s="514"/>
      <c r="L14" s="29"/>
      <c r="M14" s="27"/>
      <c r="O14" s="75"/>
      <c r="P14" s="88" t="s">
        <v>209</v>
      </c>
      <c r="Q14" s="88"/>
      <c r="R14" s="850">
        <v>0.22</v>
      </c>
      <c r="S14" s="845"/>
      <c r="T14" s="89"/>
      <c r="U14" s="89">
        <f>Financials!DY24</f>
        <v>0.22000000000000014</v>
      </c>
      <c r="V14" s="848"/>
      <c r="W14" s="847"/>
      <c r="X14" s="76"/>
    </row>
    <row r="15" spans="1:241">
      <c r="B15" s="16"/>
      <c r="C15" s="26" t="s">
        <v>206</v>
      </c>
      <c r="D15" s="27">
        <f>D14/D9</f>
        <v>3.0593981878518958E-2</v>
      </c>
      <c r="E15" s="29"/>
      <c r="F15" s="27">
        <f>F14/F9</f>
        <v>3.0593981878518958E-2</v>
      </c>
      <c r="G15" s="28"/>
      <c r="H15" s="29">
        <f>$D15-F15</f>
        <v>0</v>
      </c>
      <c r="I15" s="28"/>
      <c r="J15" s="29"/>
      <c r="K15" s="28"/>
      <c r="L15" s="29"/>
      <c r="M15" s="27"/>
      <c r="O15" s="75"/>
      <c r="P15" s="84" t="s">
        <v>220</v>
      </c>
      <c r="Q15" s="851">
        <v>1230</v>
      </c>
      <c r="R15" s="84">
        <f>AVERAGE(Q15,S15)</f>
        <v>1240</v>
      </c>
      <c r="S15" s="25">
        <v>1250</v>
      </c>
      <c r="T15" s="85">
        <v>1294.9290000000001</v>
      </c>
      <c r="U15" s="85">
        <f>Financials!DY26</f>
        <v>1276.4700524696586</v>
      </c>
      <c r="V15" s="849">
        <f t="shared" si="3"/>
        <v>-18.458947530341447</v>
      </c>
      <c r="W15" s="847">
        <f t="shared" si="4"/>
        <v>-1.4254795073970428E-2</v>
      </c>
      <c r="X15" s="76"/>
    </row>
    <row r="16" spans="1:241">
      <c r="B16" s="16"/>
      <c r="C16" s="30" t="s">
        <v>213</v>
      </c>
      <c r="D16" s="47">
        <v>13.5</v>
      </c>
      <c r="E16" s="457"/>
      <c r="F16" s="47">
        <f>-Financials!CV14</f>
        <v>13.5</v>
      </c>
      <c r="G16" s="31"/>
      <c r="H16" s="32">
        <f>$D16-F16</f>
        <v>0</v>
      </c>
      <c r="I16" s="33"/>
      <c r="J16" s="46"/>
      <c r="K16" s="513"/>
      <c r="L16" s="46"/>
      <c r="M16" s="27"/>
      <c r="O16" s="75"/>
      <c r="P16" s="84" t="s">
        <v>25</v>
      </c>
      <c r="Q16" s="84"/>
      <c r="R16" s="851">
        <v>65</v>
      </c>
      <c r="S16" s="25"/>
      <c r="T16" s="85"/>
      <c r="U16" s="85"/>
      <c r="V16" s="849"/>
      <c r="W16" s="847"/>
      <c r="X16" s="76"/>
    </row>
    <row r="17" spans="1:241">
      <c r="B17" s="16"/>
      <c r="C17" s="34" t="s">
        <v>262</v>
      </c>
      <c r="D17" s="19">
        <f>D11-D14-D16</f>
        <v>443.6000000000007</v>
      </c>
      <c r="E17" s="447">
        <v>457</v>
      </c>
      <c r="F17" s="19">
        <f>F11-F14-F16</f>
        <v>468.03491776102294</v>
      </c>
      <c r="G17" s="20">
        <f>$D17-E17</f>
        <v>-13.399999999999295</v>
      </c>
      <c r="H17" s="21">
        <f>$D17-F17</f>
        <v>-24.434917761022234</v>
      </c>
      <c r="I17" s="22">
        <f>$D17/E17-1</f>
        <v>-2.9321663019692079E-2</v>
      </c>
      <c r="J17" s="24">
        <f>$D17/F17-1</f>
        <v>-5.2207467506727001E-2</v>
      </c>
      <c r="K17" s="512">
        <f>F17-E17</f>
        <v>11.034917761022939</v>
      </c>
      <c r="L17" s="24">
        <f>F17/E17-1</f>
        <v>2.4146428361100591E-2</v>
      </c>
      <c r="M17" s="23"/>
      <c r="O17" s="75"/>
      <c r="P17" s="84" t="s">
        <v>141</v>
      </c>
      <c r="Q17" s="84"/>
      <c r="R17" s="851">
        <v>630</v>
      </c>
      <c r="S17" s="25"/>
      <c r="T17" s="85">
        <v>626.5</v>
      </c>
      <c r="U17" s="85">
        <f>-Financials!DY133</f>
        <v>646.19296506751755</v>
      </c>
      <c r="V17" s="849">
        <f t="shared" si="3"/>
        <v>19.692965067517548</v>
      </c>
      <c r="W17" s="847">
        <f t="shared" si="4"/>
        <v>3.1433304178000832E-2</v>
      </c>
      <c r="X17" s="76"/>
    </row>
    <row r="18" spans="1:241">
      <c r="B18" s="16"/>
      <c r="C18" s="26" t="s">
        <v>203</v>
      </c>
      <c r="D18" s="27">
        <f>D17/D9</f>
        <v>8.270256161676437E-2</v>
      </c>
      <c r="E18" s="29">
        <f>E17/E9</f>
        <v>8.4049841372017098E-2</v>
      </c>
      <c r="F18" s="27">
        <f>F17/F9</f>
        <v>8.5506441187655671E-2</v>
      </c>
      <c r="G18" s="28">
        <f>$D18-E18</f>
        <v>-1.3472797552527283E-3</v>
      </c>
      <c r="H18" s="29">
        <f>$D18-F18</f>
        <v>-2.8038795708913017E-3</v>
      </c>
      <c r="I18" s="28"/>
      <c r="J18" s="29"/>
      <c r="K18" s="28">
        <f>F18-E18</f>
        <v>1.4565998156385734E-3</v>
      </c>
      <c r="L18" s="29"/>
      <c r="M18" s="27"/>
      <c r="O18" s="75"/>
      <c r="P18" s="84" t="s">
        <v>177</v>
      </c>
      <c r="Q18" s="84"/>
      <c r="R18" s="851">
        <v>1200</v>
      </c>
      <c r="S18" s="25"/>
      <c r="T18" s="85">
        <v>1149.2380000000001</v>
      </c>
      <c r="U18" s="85">
        <f>Financials!DY156</f>
        <v>1201.7277487566744</v>
      </c>
      <c r="V18" s="849">
        <f t="shared" si="3"/>
        <v>52.489748756674317</v>
      </c>
      <c r="W18" s="847">
        <f t="shared" si="4"/>
        <v>4.5673523462219645E-2</v>
      </c>
      <c r="X18" s="76"/>
    </row>
    <row r="19" spans="1:241" ht="15.75" thickBot="1">
      <c r="B19" s="16"/>
      <c r="C19" s="40"/>
      <c r="D19" s="41"/>
      <c r="E19" s="454"/>
      <c r="F19" s="42"/>
      <c r="G19" s="43"/>
      <c r="H19" s="44"/>
      <c r="I19" s="28"/>
      <c r="J19" s="29"/>
      <c r="K19" s="514"/>
      <c r="L19" s="29"/>
      <c r="M19" s="27"/>
      <c r="O19" s="97"/>
      <c r="P19" s="98"/>
      <c r="Q19" s="98"/>
      <c r="R19" s="98"/>
      <c r="S19" s="98"/>
      <c r="T19" s="98"/>
      <c r="U19" s="98"/>
      <c r="V19" s="98"/>
      <c r="W19" s="98"/>
      <c r="X19" s="101"/>
    </row>
    <row r="20" spans="1:241">
      <c r="B20" s="16"/>
      <c r="C20" s="45" t="s">
        <v>149</v>
      </c>
      <c r="D20" s="25">
        <v>21.8</v>
      </c>
      <c r="E20" s="451"/>
      <c r="F20" s="25">
        <f>-Financials!CV18</f>
        <v>20.095124999999999</v>
      </c>
      <c r="G20" s="43"/>
      <c r="H20" s="44">
        <f>$D20-F20</f>
        <v>1.7048750000000013</v>
      </c>
      <c r="I20" s="28"/>
      <c r="J20" s="29"/>
      <c r="K20" s="514"/>
      <c r="L20" s="29"/>
      <c r="M20" s="27"/>
    </row>
    <row r="21" spans="1:241">
      <c r="B21" s="16"/>
      <c r="C21" s="30" t="s">
        <v>217</v>
      </c>
      <c r="D21" s="47">
        <f>8.2-10.4</f>
        <v>-2.2000000000000011</v>
      </c>
      <c r="E21" s="448"/>
      <c r="F21" s="47">
        <f>Financials!CV20</f>
        <v>2.2000000000000011</v>
      </c>
      <c r="G21" s="31"/>
      <c r="H21" s="32">
        <f>$D21-F21</f>
        <v>-4.4000000000000021</v>
      </c>
      <c r="I21" s="33"/>
      <c r="J21" s="46"/>
      <c r="K21" s="513"/>
      <c r="L21" s="46"/>
      <c r="M21" s="27"/>
    </row>
    <row r="22" spans="1:241">
      <c r="B22" s="16"/>
      <c r="C22" s="45" t="s">
        <v>263</v>
      </c>
      <c r="D22" s="48">
        <f>D17-D20-D21</f>
        <v>424.00000000000068</v>
      </c>
      <c r="E22" s="451">
        <v>435.44400000000002</v>
      </c>
      <c r="F22" s="48">
        <f>F17-F20+F21</f>
        <v>450.13979276102293</v>
      </c>
      <c r="G22" s="43">
        <f>$D22-E22</f>
        <v>-11.443999999999335</v>
      </c>
      <c r="H22" s="44">
        <f>$D22-F22</f>
        <v>-26.13979276102225</v>
      </c>
      <c r="I22" s="28">
        <f>$D22/E22-1</f>
        <v>-2.6281221006603239E-2</v>
      </c>
      <c r="J22" s="29">
        <f>$D22/F22-1</f>
        <v>-5.8070388757875846E-2</v>
      </c>
      <c r="K22" s="514">
        <f>F22-E22</f>
        <v>14.695792761022915</v>
      </c>
      <c r="L22" s="29">
        <f>F22/E22-1</f>
        <v>3.3748984395290504E-2</v>
      </c>
      <c r="M22" s="27"/>
      <c r="Q22" s="853"/>
      <c r="R22" s="853"/>
      <c r="S22" s="853"/>
    </row>
    <row r="23" spans="1:241">
      <c r="B23" s="16"/>
      <c r="C23" s="45"/>
      <c r="D23" s="25"/>
      <c r="E23" s="451"/>
      <c r="F23" s="25"/>
      <c r="G23" s="43"/>
      <c r="H23" s="44"/>
      <c r="I23" s="28"/>
      <c r="J23" s="29"/>
      <c r="K23" s="514"/>
      <c r="L23" s="29"/>
      <c r="M23" s="27"/>
      <c r="P23" s="107"/>
      <c r="Q23" s="107"/>
      <c r="R23" s="107"/>
    </row>
    <row r="24" spans="1:241">
      <c r="B24" s="16"/>
      <c r="C24" s="45" t="s">
        <v>333</v>
      </c>
      <c r="D24" s="25">
        <f>-42.7-131-42.5+289.7+30.2</f>
        <v>103.7</v>
      </c>
      <c r="E24" s="452"/>
      <c r="F24" s="25">
        <f>-Financials!CV23</f>
        <v>99.030754407425135</v>
      </c>
      <c r="G24" s="43"/>
      <c r="H24" s="44">
        <f>$D24-F24</f>
        <v>4.6692455925748675</v>
      </c>
      <c r="I24" s="28"/>
      <c r="J24" s="29"/>
      <c r="K24" s="514"/>
      <c r="L24" s="29"/>
      <c r="M24" s="27"/>
    </row>
    <row r="25" spans="1:241">
      <c r="B25" s="16"/>
      <c r="C25" s="49" t="s">
        <v>209</v>
      </c>
      <c r="D25" s="27">
        <f>D24/D22</f>
        <v>0.24457547169811283</v>
      </c>
      <c r="E25" s="29"/>
      <c r="F25" s="27">
        <f>F24/F22</f>
        <v>0.2200000000000002</v>
      </c>
      <c r="G25" s="28"/>
      <c r="H25" s="29">
        <f>$D25-F25</f>
        <v>2.4575471698112639E-2</v>
      </c>
      <c r="I25" s="28"/>
      <c r="J25" s="29"/>
      <c r="K25" s="28"/>
      <c r="L25" s="29"/>
      <c r="M25" s="27"/>
    </row>
    <row r="26" spans="1:241">
      <c r="A26" s="11"/>
      <c r="B26" s="16"/>
      <c r="C26" s="45" t="s">
        <v>210</v>
      </c>
      <c r="D26" s="25">
        <f>19.9</f>
        <v>19.899999999999999</v>
      </c>
      <c r="E26" s="452"/>
      <c r="F26" s="25">
        <f>-Financials!CV25</f>
        <v>21.814142563960623</v>
      </c>
      <c r="G26" s="43"/>
      <c r="H26" s="44">
        <f>$D26-F26</f>
        <v>-1.914142563960624</v>
      </c>
      <c r="I26" s="28"/>
      <c r="J26" s="29"/>
      <c r="K26" s="514"/>
      <c r="L26" s="29"/>
      <c r="M26" s="27"/>
      <c r="Z26" s="78"/>
      <c r="AA26" s="78"/>
      <c r="AB26" s="78"/>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row>
    <row r="27" spans="1:241">
      <c r="A27" s="11"/>
      <c r="B27" s="16"/>
      <c r="C27" s="50" t="s">
        <v>220</v>
      </c>
      <c r="D27" s="51">
        <f>D22-D24-D26</f>
        <v>300.40000000000072</v>
      </c>
      <c r="E27" s="521">
        <v>334.2</v>
      </c>
      <c r="F27" s="51">
        <f>F22-F24-F26</f>
        <v>329.29489578963717</v>
      </c>
      <c r="G27" s="52">
        <f>$D27-E27</f>
        <v>-33.799999999999272</v>
      </c>
      <c r="H27" s="53">
        <f>$D27-F27</f>
        <v>-28.89489578963645</v>
      </c>
      <c r="I27" s="105">
        <f>$D27/E27-1</f>
        <v>-0.10113704368641319</v>
      </c>
      <c r="J27" s="54">
        <f>$D27/F27-1</f>
        <v>-8.7747779145946225E-2</v>
      </c>
      <c r="K27" s="515">
        <f>F27-E27</f>
        <v>-4.905104210362822</v>
      </c>
      <c r="L27" s="54">
        <f>F27/E27-1</f>
        <v>-1.4677152035795449E-2</v>
      </c>
      <c r="M27" s="23"/>
      <c r="Z27" s="78"/>
      <c r="AA27" s="78"/>
      <c r="AB27" s="78"/>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row>
    <row r="28" spans="1:241">
      <c r="A28" s="11"/>
      <c r="B28" s="16"/>
      <c r="C28" s="40"/>
      <c r="D28" s="42"/>
      <c r="E28" s="454"/>
      <c r="F28" s="42"/>
      <c r="G28" s="43"/>
      <c r="H28" s="44"/>
      <c r="I28" s="28"/>
      <c r="J28" s="29"/>
      <c r="K28" s="514"/>
      <c r="L28" s="29"/>
      <c r="M28" s="27"/>
      <c r="N28" s="78"/>
      <c r="Y28" s="78"/>
      <c r="Z28" s="78"/>
      <c r="AA28" s="78"/>
      <c r="AB28" s="78"/>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row>
    <row r="29" spans="1:241">
      <c r="B29" s="55"/>
      <c r="C29" s="56" t="s">
        <v>221</v>
      </c>
      <c r="D29" s="57">
        <f>D27/D31</f>
        <v>4.385401459854025</v>
      </c>
      <c r="E29" s="522">
        <v>4.9089999999999998</v>
      </c>
      <c r="F29" s="57">
        <f>F27/F31</f>
        <v>4.8269498392791359</v>
      </c>
      <c r="G29" s="58">
        <f>$D29-E29</f>
        <v>-0.52359854014597484</v>
      </c>
      <c r="H29" s="59">
        <f>$D29-F29</f>
        <v>-0.44154837942511094</v>
      </c>
      <c r="I29" s="22">
        <f>$D29/E29-1</f>
        <v>-0.10666093708412605</v>
      </c>
      <c r="J29" s="24">
        <f>$D29/F29-1</f>
        <v>-9.1475651110360934E-2</v>
      </c>
      <c r="K29" s="518">
        <f>F29-E29</f>
        <v>-8.2050160720863907E-2</v>
      </c>
      <c r="L29" s="24">
        <f>F29/E29-1</f>
        <v>-1.6714231151123249E-2</v>
      </c>
      <c r="M29" s="23"/>
    </row>
    <row r="30" spans="1:241">
      <c r="B30" s="16"/>
      <c r="C30" s="40"/>
      <c r="D30" s="60"/>
      <c r="E30" s="456"/>
      <c r="F30" s="60"/>
      <c r="G30" s="61"/>
      <c r="H30" s="62"/>
      <c r="I30" s="106"/>
      <c r="J30" s="63"/>
      <c r="K30" s="516"/>
      <c r="L30" s="63"/>
      <c r="M30" s="64"/>
    </row>
    <row r="31" spans="1:241">
      <c r="B31" s="16"/>
      <c r="C31" s="45" t="s">
        <v>211</v>
      </c>
      <c r="D31" s="25">
        <v>68.5</v>
      </c>
      <c r="E31" s="452">
        <f>E27/E29</f>
        <v>68.079038500712983</v>
      </c>
      <c r="F31" s="25">
        <f>Financials!CV37</f>
        <v>68.220078259361941</v>
      </c>
      <c r="G31" s="43">
        <f>$D31-E31</f>
        <v>0.4209614992870172</v>
      </c>
      <c r="H31" s="44">
        <f>$D31-F31</f>
        <v>0.27992174063805919</v>
      </c>
      <c r="I31" s="28">
        <f>$D31/E31-1</f>
        <v>6.1834230999400219E-3</v>
      </c>
      <c r="J31" s="29">
        <f>$D31/F31-1</f>
        <v>4.103216351846406E-3</v>
      </c>
      <c r="K31" s="514">
        <f>F31-E31</f>
        <v>0.14103975864895801</v>
      </c>
      <c r="L31" s="29">
        <f>F31/E31-1</f>
        <v>2.0717060897896822E-3</v>
      </c>
      <c r="M31" s="27"/>
    </row>
    <row r="32" spans="1:241">
      <c r="B32" s="16"/>
      <c r="C32" s="40"/>
      <c r="D32" s="60"/>
      <c r="E32" s="456"/>
      <c r="F32" s="60"/>
      <c r="G32" s="61"/>
      <c r="H32" s="62"/>
      <c r="I32" s="106"/>
      <c r="J32" s="63"/>
      <c r="K32" s="516"/>
      <c r="L32" s="63"/>
      <c r="M32" s="64"/>
    </row>
    <row r="33" spans="2:25">
      <c r="B33" s="16"/>
      <c r="C33" s="45" t="s">
        <v>177</v>
      </c>
      <c r="D33" s="25">
        <v>434.5</v>
      </c>
      <c r="E33" s="451">
        <v>625.52</v>
      </c>
      <c r="F33" s="25">
        <f>Financials!CV156</f>
        <v>151.28265440600325</v>
      </c>
      <c r="G33" s="43">
        <f>$D33-E33</f>
        <v>-191.01999999999998</v>
      </c>
      <c r="H33" s="44">
        <f>$D33-F33</f>
        <v>283.21734559399675</v>
      </c>
      <c r="I33" s="28">
        <f>$D33/E33-1</f>
        <v>-0.30537792556592913</v>
      </c>
      <c r="J33" s="29">
        <f>$D33/F33-1</f>
        <v>1.8721071936899993</v>
      </c>
      <c r="K33" s="514">
        <f>F33-E33</f>
        <v>-474.23734559399674</v>
      </c>
      <c r="L33" s="29">
        <f>F33/E33-1</f>
        <v>-0.75814897300485473</v>
      </c>
      <c r="M33" s="27"/>
    </row>
    <row r="34" spans="2:25">
      <c r="B34" s="16"/>
      <c r="C34" s="45" t="s">
        <v>141</v>
      </c>
      <c r="D34" s="25">
        <v>164.3</v>
      </c>
      <c r="E34" s="451">
        <v>151</v>
      </c>
      <c r="F34" s="25">
        <f>-Financials!CV133</f>
        <v>157.06635182100104</v>
      </c>
      <c r="G34" s="43">
        <f>$D34-E34</f>
        <v>13.300000000000011</v>
      </c>
      <c r="H34" s="44">
        <f>$D34-F34</f>
        <v>7.2336481789989762</v>
      </c>
      <c r="I34" s="28">
        <f>$D34/E34-1</f>
        <v>8.8079470198675569E-2</v>
      </c>
      <c r="J34" s="29">
        <f>$D34/F34-1</f>
        <v>4.6054728432495473E-2</v>
      </c>
      <c r="K34" s="514">
        <f>F34-E34</f>
        <v>6.0663518210010352</v>
      </c>
      <c r="L34" s="29">
        <f>F34/E34-1</f>
        <v>4.0174515370867692E-2</v>
      </c>
      <c r="M34" s="27"/>
    </row>
    <row r="35" spans="2:25" ht="15.75" thickBot="1">
      <c r="B35" s="36"/>
      <c r="C35" s="37"/>
      <c r="D35" s="37"/>
      <c r="E35" s="37"/>
      <c r="F35" s="38"/>
      <c r="G35" s="39"/>
      <c r="H35" s="39"/>
      <c r="I35" s="39"/>
      <c r="J35" s="39"/>
      <c r="K35" s="39"/>
      <c r="L35" s="39"/>
      <c r="M35" s="65"/>
    </row>
    <row r="36" spans="2:25" ht="15.75" thickBot="1">
      <c r="F36" s="66"/>
      <c r="G36" s="67"/>
      <c r="H36" s="67"/>
      <c r="I36" s="67"/>
      <c r="J36" s="67"/>
      <c r="K36" s="67"/>
      <c r="L36" s="67"/>
    </row>
    <row r="37" spans="2:25">
      <c r="B37" s="70"/>
      <c r="C37" s="71"/>
      <c r="D37" s="71"/>
      <c r="E37" s="71"/>
      <c r="F37" s="71"/>
      <c r="G37" s="71"/>
      <c r="H37" s="71"/>
      <c r="I37" s="71"/>
      <c r="J37" s="71"/>
      <c r="K37" s="71"/>
      <c r="L37" s="71"/>
      <c r="M37" s="72"/>
    </row>
    <row r="38" spans="2:25">
      <c r="B38" s="73"/>
      <c r="C38" s="942" t="s">
        <v>115</v>
      </c>
      <c r="D38" s="939" t="str">
        <f>D6</f>
        <v>1Q18</v>
      </c>
      <c r="E38" s="939" t="s">
        <v>195</v>
      </c>
      <c r="F38" s="939" t="str">
        <f>F6</f>
        <v>MSe</v>
      </c>
      <c r="G38" s="938" t="s">
        <v>222</v>
      </c>
      <c r="H38" s="940"/>
      <c r="I38" s="938" t="s">
        <v>223</v>
      </c>
      <c r="J38" s="939"/>
      <c r="K38" s="938" t="s">
        <v>330</v>
      </c>
      <c r="L38" s="939"/>
      <c r="M38" s="74"/>
    </row>
    <row r="39" spans="2:25">
      <c r="B39" s="73"/>
      <c r="C39" s="942"/>
      <c r="D39" s="939"/>
      <c r="E39" s="939"/>
      <c r="F39" s="939"/>
      <c r="G39" s="3" t="s">
        <v>200</v>
      </c>
      <c r="H39" s="4" t="s">
        <v>201</v>
      </c>
      <c r="I39" s="103" t="s">
        <v>200</v>
      </c>
      <c r="J39" s="102" t="s">
        <v>201</v>
      </c>
      <c r="K39" s="511" t="s">
        <v>69</v>
      </c>
      <c r="L39" s="510" t="s">
        <v>331</v>
      </c>
      <c r="M39" s="74"/>
      <c r="N39" s="69"/>
      <c r="Y39" s="69"/>
    </row>
    <row r="40" spans="2:25">
      <c r="B40" s="75"/>
      <c r="C40" s="78"/>
      <c r="D40" s="78"/>
      <c r="E40" s="78"/>
      <c r="F40" s="79"/>
      <c r="G40" s="75"/>
      <c r="H40" s="76"/>
      <c r="I40" s="75"/>
      <c r="J40" s="78"/>
      <c r="K40" s="75"/>
      <c r="L40" s="78"/>
      <c r="M40" s="76"/>
      <c r="N40" s="78"/>
      <c r="Y40" s="78"/>
    </row>
    <row r="41" spans="2:25">
      <c r="B41" s="75"/>
      <c r="C41" s="69" t="s">
        <v>143</v>
      </c>
      <c r="D41" s="80"/>
      <c r="E41" s="80"/>
      <c r="F41" s="81"/>
      <c r="G41" s="82"/>
      <c r="H41" s="83"/>
      <c r="I41" s="82"/>
      <c r="J41" s="91"/>
      <c r="K41" s="82"/>
      <c r="L41" s="91"/>
      <c r="M41" s="76"/>
    </row>
    <row r="42" spans="2:25">
      <c r="B42" s="75"/>
      <c r="C42" s="84" t="s">
        <v>214</v>
      </c>
      <c r="D42" s="85">
        <v>4111</v>
      </c>
      <c r="E42" s="85"/>
      <c r="F42" s="85">
        <f>Segments!CV47</f>
        <v>4217.6796477245052</v>
      </c>
      <c r="G42" s="86">
        <f>$D42-E42</f>
        <v>4111</v>
      </c>
      <c r="H42" s="87">
        <f>$D42-F42</f>
        <v>-106.67964772450523</v>
      </c>
      <c r="I42" s="82" t="e">
        <f>$D42/E42-1</f>
        <v>#DIV/0!</v>
      </c>
      <c r="J42" s="91">
        <f>$D42/F42-1</f>
        <v>-2.5293444887892425E-2</v>
      </c>
      <c r="K42" s="517"/>
      <c r="L42" s="91"/>
      <c r="M42" s="76"/>
    </row>
    <row r="43" spans="2:25">
      <c r="B43" s="75"/>
      <c r="C43" s="84" t="s">
        <v>215</v>
      </c>
      <c r="D43" s="85">
        <v>1252.8</v>
      </c>
      <c r="E43" s="85"/>
      <c r="F43" s="85">
        <f>Segments!CV57</f>
        <v>1256.0005950756342</v>
      </c>
      <c r="G43" s="86">
        <f>$D43-E43</f>
        <v>1252.8</v>
      </c>
      <c r="H43" s="87">
        <f>$D43-F43</f>
        <v>-3.2005950756342827</v>
      </c>
      <c r="I43" s="82" t="e">
        <f>$D43/E43-1</f>
        <v>#DIV/0!</v>
      </c>
      <c r="J43" s="91">
        <f>$D43/F43-1</f>
        <v>-2.5482432796470889E-3</v>
      </c>
      <c r="K43" s="517"/>
      <c r="L43" s="91"/>
      <c r="M43" s="76"/>
    </row>
    <row r="44" spans="2:25">
      <c r="B44" s="75"/>
      <c r="C44" s="93"/>
      <c r="D44" s="80"/>
      <c r="E44" s="80"/>
      <c r="F44" s="81"/>
      <c r="G44" s="86"/>
      <c r="H44" s="87"/>
      <c r="I44" s="82"/>
      <c r="J44" s="91"/>
      <c r="K44" s="517"/>
      <c r="L44" s="91"/>
      <c r="M44" s="76"/>
    </row>
    <row r="45" spans="2:25">
      <c r="B45" s="75"/>
      <c r="C45" s="94" t="s">
        <v>216</v>
      </c>
      <c r="D45" s="95"/>
      <c r="E45" s="95"/>
      <c r="F45" s="96"/>
      <c r="G45" s="86"/>
      <c r="H45" s="87"/>
      <c r="I45" s="82"/>
      <c r="J45" s="91"/>
      <c r="K45" s="517"/>
      <c r="L45" s="91"/>
      <c r="M45" s="76"/>
    </row>
    <row r="46" spans="2:25">
      <c r="B46" s="75"/>
      <c r="C46" s="84" t="s">
        <v>214</v>
      </c>
      <c r="D46" s="85">
        <v>333.9</v>
      </c>
      <c r="E46" s="85"/>
      <c r="F46" s="85">
        <f>Segments!CV74</f>
        <v>358.50277005658296</v>
      </c>
      <c r="G46" s="86">
        <f t="shared" ref="G46:H49" si="5">$D46-E46</f>
        <v>333.9</v>
      </c>
      <c r="H46" s="87">
        <f t="shared" si="5"/>
        <v>-24.602770056582983</v>
      </c>
      <c r="I46" s="82" t="e">
        <f>$D46/E46-1</f>
        <v>#DIV/0!</v>
      </c>
      <c r="J46" s="91">
        <f>$D46/F46-1</f>
        <v>-6.8626443395960135E-2</v>
      </c>
      <c r="K46" s="517"/>
      <c r="L46" s="91"/>
      <c r="M46" s="76"/>
    </row>
    <row r="47" spans="2:25">
      <c r="B47" s="75"/>
      <c r="C47" s="90" t="s">
        <v>332</v>
      </c>
      <c r="D47" s="91">
        <f>D46/D42</f>
        <v>8.1221114084164436E-2</v>
      </c>
      <c r="E47" s="91"/>
      <c r="F47" s="91">
        <f>F46/F42</f>
        <v>8.5000000000000006E-2</v>
      </c>
      <c r="G47" s="82">
        <f t="shared" si="5"/>
        <v>8.1221114084164436E-2</v>
      </c>
      <c r="H47" s="83">
        <f t="shared" si="5"/>
        <v>-3.7788859158355698E-3</v>
      </c>
      <c r="I47" s="82"/>
      <c r="J47" s="91"/>
      <c r="K47" s="82"/>
      <c r="L47" s="91"/>
      <c r="M47" s="76"/>
    </row>
    <row r="48" spans="2:25">
      <c r="B48" s="75"/>
      <c r="C48" s="84" t="s">
        <v>215</v>
      </c>
      <c r="D48" s="85">
        <v>179.6</v>
      </c>
      <c r="E48" s="85"/>
      <c r="F48" s="85">
        <f>Segments!CV85</f>
        <v>180.86408569089133</v>
      </c>
      <c r="G48" s="86">
        <f t="shared" si="5"/>
        <v>179.6</v>
      </c>
      <c r="H48" s="87">
        <f t="shared" si="5"/>
        <v>-1.2640856908913349</v>
      </c>
      <c r="I48" s="82" t="e">
        <f>$D48/E48-1</f>
        <v>#DIV/0!</v>
      </c>
      <c r="J48" s="91">
        <f>$D48/F48-1</f>
        <v>-6.9891470496344921E-3</v>
      </c>
      <c r="K48" s="517"/>
      <c r="L48" s="91"/>
      <c r="M48" s="76"/>
    </row>
    <row r="49" spans="2:13">
      <c r="B49" s="75"/>
      <c r="C49" s="90" t="s">
        <v>332</v>
      </c>
      <c r="D49" s="91">
        <f>D48/D43</f>
        <v>0.14335887611749681</v>
      </c>
      <c r="E49" s="91"/>
      <c r="F49" s="91">
        <f>F48/F43</f>
        <v>0.14399999999999999</v>
      </c>
      <c r="G49" s="82">
        <f t="shared" si="5"/>
        <v>0.14335887611749681</v>
      </c>
      <c r="H49" s="83">
        <f t="shared" si="5"/>
        <v>-6.4112388250317509E-4</v>
      </c>
      <c r="I49" s="82"/>
      <c r="J49" s="91"/>
      <c r="K49" s="82"/>
      <c r="L49" s="91"/>
      <c r="M49" s="76"/>
    </row>
    <row r="50" spans="2:13" ht="15.75" thickBot="1">
      <c r="B50" s="97"/>
      <c r="C50" s="98"/>
      <c r="D50" s="98"/>
      <c r="E50" s="98"/>
      <c r="F50" s="99"/>
      <c r="G50" s="100"/>
      <c r="H50" s="100"/>
      <c r="I50" s="98"/>
      <c r="J50" s="98"/>
      <c r="K50" s="100"/>
      <c r="L50" s="100"/>
      <c r="M50" s="101"/>
    </row>
    <row r="51" spans="2:13">
      <c r="F51" s="66"/>
    </row>
    <row r="52" spans="2:13">
      <c r="F52" s="66"/>
    </row>
  </sheetData>
  <mergeCells count="21">
    <mergeCell ref="C38:C39"/>
    <mergeCell ref="C6:C7"/>
    <mergeCell ref="D6:D7"/>
    <mergeCell ref="E6:E7"/>
    <mergeCell ref="F6:F7"/>
    <mergeCell ref="D38:D39"/>
    <mergeCell ref="E38:E39"/>
    <mergeCell ref="F38:F39"/>
    <mergeCell ref="V6:W6"/>
    <mergeCell ref="K38:L38"/>
    <mergeCell ref="I6:J6"/>
    <mergeCell ref="I38:J38"/>
    <mergeCell ref="G6:H6"/>
    <mergeCell ref="U6:U7"/>
    <mergeCell ref="S6:S7"/>
    <mergeCell ref="G38:H38"/>
    <mergeCell ref="P6:P7"/>
    <mergeCell ref="T6:T7"/>
    <mergeCell ref="K6:L6"/>
    <mergeCell ref="Q6:Q7"/>
    <mergeCell ref="R6:R7"/>
  </mergeCells>
  <conditionalFormatting sqref="G42:J49">
    <cfRule type="cellIs" dxfId="16" priority="19" stopIfTrue="1" operator="lessThan">
      <formula>0</formula>
    </cfRule>
  </conditionalFormatting>
  <conditionalFormatting sqref="G27:J31 G17:J25 G9:J15">
    <cfRule type="cellIs" dxfId="15" priority="22" operator="lessThan">
      <formula>0</formula>
    </cfRule>
  </conditionalFormatting>
  <conditionalFormatting sqref="G26:J26">
    <cfRule type="cellIs" dxfId="14" priority="21" operator="lessThan">
      <formula>0</formula>
    </cfRule>
  </conditionalFormatting>
  <conditionalFormatting sqref="G16:J16">
    <cfRule type="cellIs" dxfId="13" priority="17" operator="lessThan">
      <formula>0</formula>
    </cfRule>
  </conditionalFormatting>
  <conditionalFormatting sqref="G32:J34">
    <cfRule type="cellIs" dxfId="12" priority="9" operator="lessThan">
      <formula>0</formula>
    </cfRule>
  </conditionalFormatting>
  <conditionalFormatting sqref="L42:L49 K49 K47 L9:L34 K12 K15 K18 K25">
    <cfRule type="cellIs" dxfId="11" priority="2" stopIfTrue="1" operator="lessThan">
      <formula>0</formula>
    </cfRule>
  </conditionalFormatting>
  <conditionalFormatting sqref="W9:W18 V14">
    <cfRule type="cellIs" dxfId="10" priority="1" operator="lessThan">
      <formula>0</formula>
    </cfRule>
  </conditionalFormatting>
  <pageMargins left="0" right="0" top="0" bottom="0" header="0" footer="0"/>
  <pageSetup scale="72"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2:IO50"/>
  <sheetViews>
    <sheetView zoomScale="85" zoomScaleNormal="85" workbookViewId="0">
      <selection activeCell="D23" sqref="D23"/>
    </sheetView>
  </sheetViews>
  <sheetFormatPr defaultRowHeight="15" outlineLevelCol="1"/>
  <cols>
    <col min="1" max="2" width="3.140625" style="5" customWidth="1"/>
    <col min="3" max="3" width="38.85546875" style="11" bestFit="1" customWidth="1"/>
    <col min="4" max="6" width="10.28515625" style="11" customWidth="1"/>
    <col min="7" max="7" width="10.28515625" style="11" hidden="1" customWidth="1" outlineLevel="1"/>
    <col min="8" max="8" width="10.28515625" style="11" customWidth="1" collapsed="1"/>
    <col min="9" max="10" width="10.28515625" style="11" customWidth="1"/>
    <col min="11" max="11" width="10.28515625" style="11" hidden="1" customWidth="1" outlineLevel="1"/>
    <col min="12" max="12" width="10.28515625" style="11" customWidth="1" collapsed="1"/>
    <col min="13" max="14" width="10.28515625" style="11" customWidth="1"/>
    <col min="15" max="15" width="10.28515625" style="11" hidden="1" customWidth="1" outlineLevel="1"/>
    <col min="16" max="16" width="3.140625" style="5" customWidth="1" collapsed="1"/>
    <col min="17" max="17" width="3.140625" style="68" customWidth="1"/>
    <col min="18" max="220" width="9.140625" style="5"/>
    <col min="221" max="222" width="3.140625" style="5" customWidth="1"/>
    <col min="223" max="223" width="38.85546875" style="5" bestFit="1" customWidth="1"/>
    <col min="224" max="224" width="9.140625" style="5" customWidth="1"/>
    <col min="225" max="226" width="10.28515625" style="5" customWidth="1"/>
    <col min="227" max="230" width="9.140625" style="5" customWidth="1"/>
    <col min="231" max="231" width="9.140625" style="7"/>
  </cols>
  <sheetData>
    <row r="2" spans="1:249">
      <c r="B2" s="6" t="s">
        <v>212</v>
      </c>
    </row>
    <row r="3" spans="1:249">
      <c r="B3" s="157" t="s">
        <v>251</v>
      </c>
    </row>
    <row r="4" spans="1:249" ht="15.75" thickBot="1"/>
    <row r="5" spans="1:249">
      <c r="B5" s="8"/>
      <c r="C5" s="9"/>
      <c r="D5" s="9"/>
      <c r="E5" s="9"/>
      <c r="F5" s="9"/>
      <c r="G5" s="9"/>
      <c r="H5" s="9"/>
      <c r="I5" s="9"/>
      <c r="J5" s="9"/>
      <c r="K5" s="9"/>
      <c r="L5" s="9"/>
      <c r="M5" s="9"/>
      <c r="N5" s="9"/>
      <c r="O5" s="9"/>
      <c r="P5" s="10"/>
    </row>
    <row r="6" spans="1:249" s="473" customFormat="1">
      <c r="A6" s="12"/>
      <c r="B6" s="13"/>
      <c r="C6" s="475" t="s">
        <v>197</v>
      </c>
      <c r="D6" s="924" t="s">
        <v>371</v>
      </c>
      <c r="E6" s="878" t="s">
        <v>198</v>
      </c>
      <c r="F6" s="878" t="s">
        <v>199</v>
      </c>
      <c r="G6" s="463" t="s">
        <v>334</v>
      </c>
      <c r="H6" s="471" t="s">
        <v>226</v>
      </c>
      <c r="I6" s="523" t="s">
        <v>198</v>
      </c>
      <c r="J6" s="524" t="s">
        <v>199</v>
      </c>
      <c r="K6" s="524" t="s">
        <v>334</v>
      </c>
      <c r="L6" s="471" t="s">
        <v>227</v>
      </c>
      <c r="M6" s="855" t="s">
        <v>198</v>
      </c>
      <c r="N6" s="855" t="s">
        <v>199</v>
      </c>
      <c r="O6" s="855" t="s">
        <v>334</v>
      </c>
      <c r="P6" s="14"/>
      <c r="Q6" s="47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c r="BM6" s="12"/>
      <c r="BN6" s="12"/>
      <c r="BO6" s="12"/>
      <c r="BP6" s="12"/>
      <c r="BQ6" s="12"/>
      <c r="BR6" s="12"/>
      <c r="BS6" s="12"/>
      <c r="BT6" s="12"/>
      <c r="BU6" s="12"/>
      <c r="BV6" s="12"/>
      <c r="BW6" s="12"/>
      <c r="BX6" s="12"/>
      <c r="BY6" s="12"/>
      <c r="BZ6" s="12"/>
      <c r="CA6" s="12"/>
      <c r="CB6" s="12"/>
      <c r="CC6" s="12"/>
      <c r="CD6" s="12"/>
      <c r="CE6" s="12"/>
      <c r="CF6" s="12"/>
      <c r="CG6" s="12"/>
      <c r="CH6" s="12"/>
      <c r="CI6" s="12"/>
      <c r="CJ6" s="12"/>
      <c r="CK6" s="12"/>
      <c r="CL6" s="12"/>
      <c r="CM6" s="12"/>
      <c r="CN6" s="12"/>
      <c r="CO6" s="12"/>
      <c r="CP6" s="12"/>
      <c r="CQ6" s="12"/>
      <c r="CR6" s="12"/>
      <c r="CS6" s="12"/>
      <c r="CT6" s="12"/>
      <c r="CU6" s="12"/>
      <c r="CV6" s="12"/>
      <c r="CW6" s="12"/>
      <c r="CX6" s="12"/>
      <c r="CY6" s="12"/>
      <c r="CZ6" s="12"/>
      <c r="DA6" s="12"/>
      <c r="DB6" s="12"/>
      <c r="DC6" s="12"/>
      <c r="DD6" s="12"/>
      <c r="DE6" s="12"/>
      <c r="DF6" s="12"/>
      <c r="DG6" s="12"/>
      <c r="DH6" s="12"/>
      <c r="DI6" s="12"/>
      <c r="DJ6" s="12"/>
      <c r="DK6" s="12"/>
      <c r="DL6" s="12"/>
      <c r="DM6" s="12"/>
      <c r="DN6" s="12"/>
      <c r="DO6" s="12"/>
      <c r="DP6" s="12"/>
      <c r="DQ6" s="12"/>
      <c r="DR6" s="12"/>
      <c r="DS6" s="12"/>
      <c r="DT6" s="12"/>
      <c r="DU6" s="12"/>
      <c r="DV6" s="12"/>
      <c r="DW6" s="12"/>
      <c r="DX6" s="12"/>
      <c r="DY6" s="12"/>
      <c r="DZ6" s="12"/>
      <c r="EA6" s="12"/>
      <c r="EB6" s="12"/>
      <c r="EC6" s="12"/>
      <c r="ED6" s="12"/>
      <c r="EE6" s="12"/>
      <c r="EF6" s="12"/>
      <c r="EG6" s="12"/>
      <c r="EH6" s="12"/>
      <c r="EI6" s="12"/>
      <c r="EJ6" s="12"/>
      <c r="EK6" s="12"/>
      <c r="EL6" s="12"/>
      <c r="EM6" s="12"/>
      <c r="EN6" s="12"/>
      <c r="EO6" s="12"/>
      <c r="EP6" s="12"/>
      <c r="EQ6" s="12"/>
      <c r="ER6" s="12"/>
      <c r="ES6" s="12"/>
      <c r="ET6" s="12"/>
      <c r="EU6" s="12"/>
      <c r="EV6" s="12"/>
      <c r="EW6" s="12"/>
      <c r="EX6" s="12"/>
      <c r="EY6" s="12"/>
      <c r="EZ6" s="12"/>
      <c r="FA6" s="12"/>
      <c r="FB6" s="12"/>
      <c r="FC6" s="12"/>
      <c r="FD6" s="12"/>
      <c r="FE6" s="12"/>
      <c r="FF6" s="12"/>
      <c r="FG6" s="12"/>
      <c r="FH6" s="12"/>
      <c r="FI6" s="12"/>
      <c r="FJ6" s="12"/>
      <c r="FK6" s="12"/>
      <c r="FL6" s="12"/>
      <c r="FM6" s="12"/>
      <c r="FN6" s="12"/>
      <c r="FO6" s="12"/>
      <c r="FP6" s="12"/>
      <c r="FQ6" s="12"/>
      <c r="FR6" s="12"/>
      <c r="FS6" s="12"/>
      <c r="FT6" s="12"/>
      <c r="FU6" s="12"/>
      <c r="FV6" s="12"/>
      <c r="FW6" s="12"/>
      <c r="FX6" s="12"/>
      <c r="FY6" s="12"/>
      <c r="FZ6" s="12"/>
      <c r="GA6" s="12"/>
      <c r="GB6" s="12"/>
      <c r="GC6" s="12"/>
      <c r="GD6" s="12"/>
      <c r="GE6" s="12"/>
      <c r="GF6" s="12"/>
      <c r="GG6" s="12"/>
      <c r="GH6" s="12"/>
      <c r="GI6" s="12"/>
      <c r="GJ6" s="12"/>
      <c r="GK6" s="12"/>
      <c r="GL6" s="12"/>
      <c r="GM6" s="12"/>
      <c r="GN6" s="12"/>
      <c r="GO6" s="12"/>
      <c r="GP6" s="12"/>
      <c r="GQ6" s="12"/>
      <c r="GR6" s="12"/>
      <c r="GS6" s="12"/>
      <c r="GT6" s="12"/>
      <c r="GU6" s="12"/>
      <c r="GV6" s="12"/>
      <c r="GW6" s="12"/>
      <c r="GX6" s="12"/>
      <c r="GY6" s="12"/>
      <c r="GZ6" s="12"/>
      <c r="HA6" s="12"/>
      <c r="HB6" s="12"/>
      <c r="HC6" s="12"/>
      <c r="HD6" s="12"/>
      <c r="HE6" s="12"/>
      <c r="HF6" s="12"/>
      <c r="HG6" s="12"/>
      <c r="HH6" s="12"/>
      <c r="HI6" s="12"/>
      <c r="HJ6" s="12"/>
      <c r="HK6" s="12"/>
      <c r="HL6" s="12"/>
      <c r="HM6" s="12"/>
      <c r="HN6" s="12"/>
      <c r="HO6" s="12"/>
      <c r="HP6" s="12"/>
      <c r="HQ6" s="12"/>
      <c r="HR6" s="12"/>
      <c r="HS6" s="12"/>
      <c r="HT6" s="12"/>
      <c r="HU6" s="12"/>
      <c r="HV6" s="12"/>
      <c r="HX6" s="474"/>
      <c r="HY6" s="474"/>
      <c r="HZ6" s="474"/>
      <c r="IA6" s="474"/>
      <c r="IB6" s="474"/>
      <c r="IC6" s="474"/>
      <c r="ID6" s="474"/>
      <c r="IE6" s="474"/>
      <c r="IF6" s="474"/>
      <c r="IG6" s="474"/>
      <c r="IH6" s="474"/>
      <c r="II6" s="474"/>
      <c r="IJ6" s="474"/>
      <c r="IK6" s="474"/>
      <c r="IL6" s="474"/>
      <c r="IM6" s="474"/>
      <c r="IN6" s="474"/>
      <c r="IO6" s="474"/>
    </row>
    <row r="7" spans="1:249" s="7" customFormat="1">
      <c r="A7" s="5"/>
      <c r="B7" s="16"/>
      <c r="C7" s="11"/>
      <c r="D7" s="11"/>
      <c r="E7" s="11"/>
      <c r="F7" s="11"/>
      <c r="G7" s="464"/>
      <c r="H7" s="525"/>
      <c r="I7" s="11"/>
      <c r="J7" s="11"/>
      <c r="K7" s="11"/>
      <c r="L7" s="525"/>
      <c r="M7" s="11"/>
      <c r="N7" s="11"/>
      <c r="O7" s="11"/>
      <c r="P7" s="17"/>
      <c r="Q7" s="68"/>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5"/>
      <c r="EQ7" s="5"/>
      <c r="ER7" s="5"/>
      <c r="ES7" s="5"/>
      <c r="ET7" s="5"/>
      <c r="EU7" s="5"/>
      <c r="EV7" s="5"/>
      <c r="EW7" s="5"/>
      <c r="EX7" s="5"/>
      <c r="EY7" s="5"/>
      <c r="EZ7" s="5"/>
      <c r="FA7" s="5"/>
      <c r="FB7" s="5"/>
      <c r="FC7" s="5"/>
      <c r="FD7" s="5"/>
      <c r="FE7" s="5"/>
      <c r="FF7" s="5"/>
      <c r="FG7" s="5"/>
      <c r="FH7" s="5"/>
      <c r="FI7" s="5"/>
      <c r="FJ7" s="5"/>
      <c r="FK7" s="5"/>
      <c r="FL7" s="5"/>
      <c r="FM7" s="5"/>
      <c r="FN7" s="5"/>
      <c r="FO7" s="5"/>
      <c r="FP7" s="5"/>
      <c r="FQ7" s="5"/>
      <c r="FR7" s="5"/>
      <c r="FS7" s="5"/>
      <c r="FT7" s="5"/>
      <c r="FU7" s="5"/>
      <c r="FV7" s="5"/>
      <c r="FW7" s="5"/>
      <c r="FX7" s="5"/>
      <c r="FY7" s="5"/>
      <c r="FZ7" s="5"/>
      <c r="GA7" s="5"/>
      <c r="GB7" s="5"/>
      <c r="GC7" s="5"/>
      <c r="GD7" s="5"/>
      <c r="GE7" s="5"/>
      <c r="GF7" s="5"/>
      <c r="GG7" s="5"/>
      <c r="GH7" s="5"/>
      <c r="GI7" s="5"/>
      <c r="GJ7" s="5"/>
      <c r="GK7" s="5"/>
      <c r="GL7" s="5"/>
      <c r="GM7" s="5"/>
      <c r="GN7" s="5"/>
      <c r="GO7" s="5"/>
      <c r="GP7" s="5"/>
      <c r="GQ7" s="5"/>
      <c r="GR7" s="5"/>
      <c r="GS7" s="5"/>
      <c r="GT7" s="5"/>
      <c r="GU7" s="5"/>
      <c r="GV7" s="5"/>
      <c r="GW7" s="5"/>
      <c r="GX7" s="5"/>
      <c r="GY7" s="5"/>
      <c r="GZ7" s="5"/>
      <c r="HA7" s="5"/>
      <c r="HB7" s="5"/>
      <c r="HC7" s="5"/>
      <c r="HD7" s="5"/>
      <c r="HE7" s="5"/>
      <c r="HF7" s="5"/>
      <c r="HG7" s="5"/>
      <c r="HH7" s="5"/>
      <c r="HI7" s="5"/>
      <c r="HJ7" s="5"/>
      <c r="HK7" s="5"/>
      <c r="HL7" s="5"/>
      <c r="HM7" s="5"/>
      <c r="HN7" s="5"/>
      <c r="HO7" s="5"/>
      <c r="HP7" s="5"/>
      <c r="HQ7" s="5"/>
      <c r="HR7" s="5"/>
      <c r="HS7" s="5"/>
      <c r="HT7" s="5"/>
      <c r="HU7" s="5"/>
      <c r="HV7" s="5"/>
      <c r="HX7"/>
      <c r="HY7"/>
      <c r="HZ7"/>
      <c r="IA7"/>
      <c r="IB7"/>
      <c r="IC7"/>
      <c r="ID7"/>
      <c r="IE7"/>
      <c r="IF7"/>
      <c r="IG7"/>
      <c r="IH7"/>
      <c r="II7"/>
      <c r="IJ7"/>
      <c r="IK7"/>
      <c r="IL7"/>
      <c r="IM7"/>
      <c r="IN7"/>
      <c r="IO7"/>
    </row>
    <row r="8" spans="1:249" s="7" customFormat="1">
      <c r="A8" s="5"/>
      <c r="B8" s="16"/>
      <c r="C8" s="18" t="s">
        <v>146</v>
      </c>
      <c r="D8" s="447">
        <f>Financials!$CV$6</f>
        <v>5473.6802428001392</v>
      </c>
      <c r="E8" s="447">
        <v>5427.6966179036008</v>
      </c>
      <c r="F8" s="615">
        <f>D8-E8</f>
        <v>45.983624896538458</v>
      </c>
      <c r="G8" s="465"/>
      <c r="H8" s="836">
        <f>Financials!$DY$6</f>
        <v>21959.685294590308</v>
      </c>
      <c r="I8" s="447">
        <v>21587.072980462879</v>
      </c>
      <c r="J8" s="615">
        <f>H8-I8</f>
        <v>372.61231412742927</v>
      </c>
      <c r="K8" s="458"/>
      <c r="L8" s="836">
        <f>Financials!$DZ$6</f>
        <v>23317.405897728528</v>
      </c>
      <c r="M8" s="447">
        <v>22845.836854070621</v>
      </c>
      <c r="N8" s="615">
        <f>L8-M8</f>
        <v>471.56904365790615</v>
      </c>
      <c r="O8" s="458"/>
      <c r="P8" s="23"/>
      <c r="Q8" s="68"/>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5"/>
      <c r="EQ8" s="5"/>
      <c r="ER8" s="5"/>
      <c r="ES8" s="5"/>
      <c r="ET8" s="5"/>
      <c r="EU8" s="5"/>
      <c r="EV8" s="5"/>
      <c r="EW8" s="5"/>
      <c r="EX8" s="5"/>
      <c r="EY8" s="5"/>
      <c r="EZ8" s="5"/>
      <c r="FA8" s="5"/>
      <c r="FB8" s="5"/>
      <c r="FC8" s="5"/>
      <c r="FD8" s="5"/>
      <c r="FE8" s="5"/>
      <c r="FF8" s="5"/>
      <c r="FG8" s="5"/>
      <c r="FH8" s="5"/>
      <c r="FI8" s="5"/>
      <c r="FJ8" s="5"/>
      <c r="FK8" s="5"/>
      <c r="FL8" s="5"/>
      <c r="FM8" s="5"/>
      <c r="FN8" s="5"/>
      <c r="FO8" s="5"/>
      <c r="FP8" s="5"/>
      <c r="FQ8" s="5"/>
      <c r="FR8" s="5"/>
      <c r="FS8" s="5"/>
      <c r="FT8" s="5"/>
      <c r="FU8" s="5"/>
      <c r="FV8" s="5"/>
      <c r="FW8" s="5"/>
      <c r="FX8" s="5"/>
      <c r="FY8" s="5"/>
      <c r="FZ8" s="5"/>
      <c r="GA8" s="5"/>
      <c r="GB8" s="5"/>
      <c r="GC8" s="5"/>
      <c r="GD8" s="5"/>
      <c r="GE8" s="5"/>
      <c r="GF8" s="5"/>
      <c r="GG8" s="5"/>
      <c r="GH8" s="5"/>
      <c r="GI8" s="5"/>
      <c r="GJ8" s="5"/>
      <c r="GK8" s="5"/>
      <c r="GL8" s="5"/>
      <c r="GM8" s="5"/>
      <c r="GN8" s="5"/>
      <c r="GO8" s="5"/>
      <c r="GP8" s="5"/>
      <c r="GQ8" s="5"/>
      <c r="GR8" s="5"/>
      <c r="GS8" s="5"/>
      <c r="GT8" s="5"/>
      <c r="GU8" s="5"/>
      <c r="GV8" s="5"/>
      <c r="GW8" s="5"/>
      <c r="GX8" s="5"/>
      <c r="GY8" s="5"/>
      <c r="GZ8" s="5"/>
      <c r="HA8" s="5"/>
      <c r="HB8" s="5"/>
      <c r="HC8" s="5"/>
      <c r="HD8" s="5"/>
      <c r="HE8" s="5"/>
      <c r="HF8" s="5"/>
      <c r="HG8" s="5"/>
      <c r="HH8" s="5"/>
      <c r="HI8" s="5"/>
      <c r="HJ8" s="5"/>
      <c r="HK8" s="5"/>
      <c r="HL8" s="5"/>
      <c r="HM8" s="5"/>
      <c r="HN8" s="5"/>
      <c r="HO8" s="5"/>
      <c r="HP8" s="5"/>
      <c r="HQ8" s="5"/>
      <c r="HR8" s="5"/>
      <c r="HS8" s="5"/>
      <c r="HT8" s="5"/>
      <c r="HU8" s="5"/>
      <c r="HV8" s="5"/>
      <c r="HX8"/>
      <c r="HY8"/>
      <c r="HZ8"/>
      <c r="IA8"/>
      <c r="IB8"/>
      <c r="IC8"/>
      <c r="ID8"/>
      <c r="IE8"/>
      <c r="IF8"/>
      <c r="IG8"/>
      <c r="IH8"/>
      <c r="II8"/>
      <c r="IJ8"/>
      <c r="IK8"/>
      <c r="IL8"/>
      <c r="IM8"/>
      <c r="IN8"/>
      <c r="IO8"/>
    </row>
    <row r="9" spans="1:249" s="7" customFormat="1">
      <c r="A9" s="5"/>
      <c r="B9" s="16"/>
      <c r="C9" s="30" t="s">
        <v>202</v>
      </c>
      <c r="D9" s="448">
        <f>-Financials!$CV$8</f>
        <v>4824.6836508820816</v>
      </c>
      <c r="E9" s="448">
        <v>4784.0298076565505</v>
      </c>
      <c r="F9" s="616">
        <f>D9-E9</f>
        <v>40.653843225531091</v>
      </c>
      <c r="G9" s="466"/>
      <c r="H9" s="837">
        <f>-Financials!$DY$8</f>
        <v>19417.360555509145</v>
      </c>
      <c r="I9" s="448">
        <v>19085.683899650649</v>
      </c>
      <c r="J9" s="616">
        <f>H9-I9</f>
        <v>331.67665585849682</v>
      </c>
      <c r="K9" s="459"/>
      <c r="L9" s="837">
        <f>-Financials!$DZ$8</f>
        <v>20681.890520253997</v>
      </c>
      <c r="M9" s="448">
        <v>20261.564300660273</v>
      </c>
      <c r="N9" s="616">
        <f>L9-M9</f>
        <v>420.32621959372409</v>
      </c>
      <c r="O9" s="459"/>
      <c r="P9" s="27"/>
      <c r="Q9" s="68"/>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5"/>
      <c r="EQ9" s="5"/>
      <c r="ER9" s="5"/>
      <c r="ES9" s="5"/>
      <c r="ET9" s="5"/>
      <c r="EU9" s="5"/>
      <c r="EV9" s="5"/>
      <c r="EW9" s="5"/>
      <c r="EX9" s="5"/>
      <c r="EY9" s="5"/>
      <c r="EZ9" s="5"/>
      <c r="FA9" s="5"/>
      <c r="FB9" s="5"/>
      <c r="FC9" s="5"/>
      <c r="FD9" s="5"/>
      <c r="FE9" s="5"/>
      <c r="FF9" s="5"/>
      <c r="FG9" s="5"/>
      <c r="FH9" s="5"/>
      <c r="FI9" s="5"/>
      <c r="FJ9" s="5"/>
      <c r="FK9" s="5"/>
      <c r="FL9" s="5"/>
      <c r="FM9" s="5"/>
      <c r="FN9" s="5"/>
      <c r="FO9" s="5"/>
      <c r="FP9" s="5"/>
      <c r="FQ9" s="5"/>
      <c r="FR9" s="5"/>
      <c r="FS9" s="5"/>
      <c r="FT9" s="5"/>
      <c r="FU9" s="5"/>
      <c r="FV9" s="5"/>
      <c r="FW9" s="5"/>
      <c r="FX9" s="5"/>
      <c r="FY9" s="5"/>
      <c r="FZ9" s="5"/>
      <c r="GA9" s="5"/>
      <c r="GB9" s="5"/>
      <c r="GC9" s="5"/>
      <c r="GD9" s="5"/>
      <c r="GE9" s="5"/>
      <c r="GF9" s="5"/>
      <c r="GG9" s="5"/>
      <c r="GH9" s="5"/>
      <c r="GI9" s="5"/>
      <c r="GJ9" s="5"/>
      <c r="GK9" s="5"/>
      <c r="GL9" s="5"/>
      <c r="GM9" s="5"/>
      <c r="GN9" s="5"/>
      <c r="GO9" s="5"/>
      <c r="GP9" s="5"/>
      <c r="GQ9" s="5"/>
      <c r="GR9" s="5"/>
      <c r="GS9" s="5"/>
      <c r="GT9" s="5"/>
      <c r="GU9" s="5"/>
      <c r="GV9" s="5"/>
      <c r="GW9" s="5"/>
      <c r="GX9" s="5"/>
      <c r="GY9" s="5"/>
      <c r="GZ9" s="5"/>
      <c r="HA9" s="5"/>
      <c r="HB9" s="5"/>
      <c r="HC9" s="5"/>
      <c r="HD9" s="5"/>
      <c r="HE9" s="5"/>
      <c r="HF9" s="5"/>
      <c r="HG9" s="5"/>
      <c r="HH9" s="5"/>
      <c r="HI9" s="5"/>
      <c r="HJ9" s="5"/>
      <c r="HK9" s="5"/>
      <c r="HL9" s="5"/>
      <c r="HM9" s="5"/>
      <c r="HN9" s="5"/>
      <c r="HO9" s="5"/>
      <c r="HP9" s="5"/>
      <c r="HQ9" s="5"/>
      <c r="HR9" s="5"/>
      <c r="HS9" s="5"/>
      <c r="HT9" s="5"/>
      <c r="HU9" s="5"/>
      <c r="HV9" s="5"/>
      <c r="HX9"/>
      <c r="HY9"/>
      <c r="HZ9"/>
      <c r="IA9"/>
      <c r="IB9"/>
      <c r="IC9"/>
      <c r="ID9"/>
      <c r="IE9"/>
      <c r="IF9"/>
      <c r="IG9"/>
      <c r="IH9"/>
      <c r="II9"/>
      <c r="IJ9"/>
      <c r="IK9"/>
      <c r="IL9"/>
      <c r="IM9"/>
      <c r="IN9"/>
      <c r="IO9"/>
    </row>
    <row r="10" spans="1:249" s="7" customFormat="1">
      <c r="A10" s="5"/>
      <c r="B10" s="16"/>
      <c r="C10" s="34" t="s">
        <v>138</v>
      </c>
      <c r="D10" s="449">
        <f>D8-D9</f>
        <v>648.99659191805767</v>
      </c>
      <c r="E10" s="447">
        <v>643.66681024705031</v>
      </c>
      <c r="F10" s="615">
        <f>D10-E10</f>
        <v>5.3297816710073675</v>
      </c>
      <c r="G10" s="467">
        <f>(D10-E10)*(1-D$24)/D$30</f>
        <v>6.0938506807051963E-2</v>
      </c>
      <c r="H10" s="526">
        <f>H8-H9</f>
        <v>2542.324739081163</v>
      </c>
      <c r="I10" s="447">
        <v>2501.3890808122305</v>
      </c>
      <c r="J10" s="615">
        <f>H10-I10</f>
        <v>40.935658268932457</v>
      </c>
      <c r="K10" s="460">
        <f>(H10-I10)*(1-H$24)/H$30</f>
        <v>0.47370906422718195</v>
      </c>
      <c r="L10" s="526">
        <f>L8-L9</f>
        <v>2635.5153774745304</v>
      </c>
      <c r="M10" s="447">
        <v>2584.2725534103483</v>
      </c>
      <c r="N10" s="615">
        <f>L10-M10</f>
        <v>51.242824064182059</v>
      </c>
      <c r="O10" s="460">
        <f>(L10-M10)*(1-L$24)/L$30</f>
        <v>0.62147834058675699</v>
      </c>
      <c r="P10" s="35"/>
      <c r="Q10" s="68"/>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5"/>
      <c r="EQ10" s="5"/>
      <c r="ER10" s="5"/>
      <c r="ES10" s="5"/>
      <c r="ET10" s="5"/>
      <c r="EU10" s="5"/>
      <c r="EV10" s="5"/>
      <c r="EW10" s="5"/>
      <c r="EX10" s="5"/>
      <c r="EY10" s="5"/>
      <c r="EZ10" s="5"/>
      <c r="FA10" s="5"/>
      <c r="FB10" s="5"/>
      <c r="FC10" s="5"/>
      <c r="FD10" s="5"/>
      <c r="FE10" s="5"/>
      <c r="FF10" s="5"/>
      <c r="FG10" s="5"/>
      <c r="FH10" s="5"/>
      <c r="FI10" s="5"/>
      <c r="FJ10" s="5"/>
      <c r="FK10" s="5"/>
      <c r="FL10" s="5"/>
      <c r="FM10" s="5"/>
      <c r="FN10" s="5"/>
      <c r="FO10" s="5"/>
      <c r="FP10" s="5"/>
      <c r="FQ10" s="5"/>
      <c r="FR10" s="5"/>
      <c r="FS10" s="5"/>
      <c r="FT10" s="5"/>
      <c r="FU10" s="5"/>
      <c r="FV10" s="5"/>
      <c r="FW10" s="5"/>
      <c r="FX10" s="5"/>
      <c r="FY10" s="5"/>
      <c r="FZ10" s="5"/>
      <c r="GA10" s="5"/>
      <c r="GB10" s="5"/>
      <c r="GC10" s="5"/>
      <c r="GD10" s="5"/>
      <c r="GE10" s="5"/>
      <c r="GF10" s="5"/>
      <c r="GG10" s="5"/>
      <c r="GH10" s="5"/>
      <c r="GI10" s="5"/>
      <c r="GJ10" s="5"/>
      <c r="GK10" s="5"/>
      <c r="GL10" s="5"/>
      <c r="GM10" s="5"/>
      <c r="GN10" s="5"/>
      <c r="GO10" s="5"/>
      <c r="GP10" s="5"/>
      <c r="GQ10" s="5"/>
      <c r="GR10" s="5"/>
      <c r="GS10" s="5"/>
      <c r="GT10" s="5"/>
      <c r="GU10" s="5"/>
      <c r="GV10" s="5"/>
      <c r="GW10" s="5"/>
      <c r="GX10" s="5"/>
      <c r="GY10" s="5"/>
      <c r="GZ10" s="5"/>
      <c r="HA10" s="5"/>
      <c r="HB10" s="5"/>
      <c r="HC10" s="5"/>
      <c r="HD10" s="5"/>
      <c r="HE10" s="5"/>
      <c r="HF10" s="5"/>
      <c r="HG10" s="5"/>
      <c r="HH10" s="5"/>
      <c r="HI10" s="5"/>
      <c r="HJ10" s="5"/>
      <c r="HK10" s="5"/>
      <c r="HL10" s="5"/>
      <c r="HM10" s="5"/>
      <c r="HN10" s="5"/>
      <c r="HO10" s="5"/>
      <c r="HP10" s="5"/>
      <c r="HQ10" s="5"/>
      <c r="HR10" s="5"/>
      <c r="HS10" s="5"/>
      <c r="HT10" s="5"/>
      <c r="HU10" s="5"/>
      <c r="HV10" s="5"/>
      <c r="HX10"/>
      <c r="HY10"/>
      <c r="HZ10"/>
      <c r="IA10"/>
      <c r="IB10"/>
      <c r="IC10"/>
      <c r="ID10"/>
      <c r="IE10"/>
      <c r="IF10"/>
      <c r="IG10"/>
      <c r="IH10"/>
      <c r="II10"/>
      <c r="IJ10"/>
      <c r="IK10"/>
      <c r="IL10"/>
      <c r="IM10"/>
      <c r="IN10"/>
      <c r="IO10"/>
    </row>
    <row r="11" spans="1:249" s="7" customFormat="1">
      <c r="A11" s="5"/>
      <c r="B11" s="16"/>
      <c r="C11" s="26" t="s">
        <v>204</v>
      </c>
      <c r="D11" s="29">
        <f>D10/D8</f>
        <v>0.11856677100780995</v>
      </c>
      <c r="E11" s="520">
        <v>0.1185893124762859</v>
      </c>
      <c r="F11" s="29">
        <f>D11-E11</f>
        <v>-2.2541468475953397E-5</v>
      </c>
      <c r="G11" s="476"/>
      <c r="H11" s="527">
        <f>H10/H8</f>
        <v>0.11577236672455665</v>
      </c>
      <c r="I11" s="520">
        <v>0.11587439775073177</v>
      </c>
      <c r="J11" s="29">
        <f>H11-I11</f>
        <v>-1.0203102617512005E-4</v>
      </c>
      <c r="K11" s="478"/>
      <c r="L11" s="527">
        <f>L10/L8</f>
        <v>0.11302781231471679</v>
      </c>
      <c r="M11" s="520">
        <v>0.11311787657057913</v>
      </c>
      <c r="N11" s="29">
        <f>L11-M11</f>
        <v>-9.006425586234601E-5</v>
      </c>
      <c r="O11" s="478"/>
      <c r="P11" s="27"/>
      <c r="Q11" s="68"/>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5"/>
      <c r="EQ11" s="5"/>
      <c r="ER11" s="5"/>
      <c r="ES11" s="5"/>
      <c r="ET11" s="5"/>
      <c r="EU11" s="5"/>
      <c r="EV11" s="5"/>
      <c r="EW11" s="5"/>
      <c r="EX11" s="5"/>
      <c r="EY11" s="5"/>
      <c r="EZ11" s="5"/>
      <c r="FA11" s="5"/>
      <c r="FB11" s="5"/>
      <c r="FC11" s="5"/>
      <c r="FD11" s="5"/>
      <c r="FE11" s="5"/>
      <c r="FF11" s="5"/>
      <c r="FG11" s="5"/>
      <c r="FH11" s="5"/>
      <c r="FI11" s="5"/>
      <c r="FJ11" s="5"/>
      <c r="FK11" s="5"/>
      <c r="FL11" s="5"/>
      <c r="FM11" s="5"/>
      <c r="FN11" s="5"/>
      <c r="FO11" s="5"/>
      <c r="FP11" s="5"/>
      <c r="FQ11" s="5"/>
      <c r="FR11" s="5"/>
      <c r="FS11" s="5"/>
      <c r="FT11" s="5"/>
      <c r="FU11" s="5"/>
      <c r="FV11" s="5"/>
      <c r="FW11" s="5"/>
      <c r="FX11" s="5"/>
      <c r="FY11" s="5"/>
      <c r="FZ11" s="5"/>
      <c r="GA11" s="5"/>
      <c r="GB11" s="5"/>
      <c r="GC11" s="5"/>
      <c r="GD11" s="5"/>
      <c r="GE11" s="5"/>
      <c r="GF11" s="5"/>
      <c r="GG11" s="5"/>
      <c r="GH11" s="5"/>
      <c r="GI11" s="5"/>
      <c r="GJ11" s="5"/>
      <c r="GK11" s="5"/>
      <c r="GL11" s="5"/>
      <c r="GM11" s="5"/>
      <c r="GN11" s="5"/>
      <c r="GO11" s="5"/>
      <c r="GP11" s="5"/>
      <c r="GQ11" s="5"/>
      <c r="GR11" s="5"/>
      <c r="GS11" s="5"/>
      <c r="GT11" s="5"/>
      <c r="GU11" s="5"/>
      <c r="GV11" s="5"/>
      <c r="GW11" s="5"/>
      <c r="GX11" s="5"/>
      <c r="GY11" s="5"/>
      <c r="GZ11" s="5"/>
      <c r="HA11" s="5"/>
      <c r="HB11" s="5"/>
      <c r="HC11" s="5"/>
      <c r="HD11" s="5"/>
      <c r="HE11" s="5"/>
      <c r="HF11" s="5"/>
      <c r="HG11" s="5"/>
      <c r="HH11" s="5"/>
      <c r="HI11" s="5"/>
      <c r="HJ11" s="5"/>
      <c r="HK11" s="5"/>
      <c r="HL11" s="5"/>
      <c r="HM11" s="5"/>
      <c r="HN11" s="5"/>
      <c r="HO11" s="5"/>
      <c r="HP11" s="5"/>
      <c r="HQ11" s="5"/>
      <c r="HR11" s="5"/>
      <c r="HS11" s="5"/>
      <c r="HT11" s="5"/>
      <c r="HU11" s="5"/>
      <c r="HV11" s="5"/>
      <c r="HX11"/>
      <c r="HY11"/>
      <c r="HZ11"/>
      <c r="IA11"/>
      <c r="IB11"/>
      <c r="IC11"/>
      <c r="ID11"/>
      <c r="IE11"/>
      <c r="IF11"/>
      <c r="IG11"/>
      <c r="IH11"/>
      <c r="II11"/>
      <c r="IJ11"/>
      <c r="IK11"/>
      <c r="IL11"/>
      <c r="IM11"/>
      <c r="IN11"/>
      <c r="IO11"/>
    </row>
    <row r="12" spans="1:249" s="7" customFormat="1">
      <c r="A12" s="5"/>
      <c r="B12" s="16"/>
      <c r="C12" s="40"/>
      <c r="D12" s="450"/>
      <c r="E12" s="454"/>
      <c r="F12" s="450"/>
      <c r="G12" s="468"/>
      <c r="H12" s="528"/>
      <c r="I12" s="454"/>
      <c r="J12" s="450"/>
      <c r="K12" s="461"/>
      <c r="L12" s="528"/>
      <c r="M12" s="454"/>
      <c r="N12" s="450"/>
      <c r="O12" s="461"/>
      <c r="P12" s="27"/>
      <c r="Q12" s="68"/>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5"/>
      <c r="EQ12" s="5"/>
      <c r="ER12" s="5"/>
      <c r="ES12" s="5"/>
      <c r="ET12" s="5"/>
      <c r="EU12" s="5"/>
      <c r="EV12" s="5"/>
      <c r="EW12" s="5"/>
      <c r="EX12" s="5"/>
      <c r="EY12" s="5"/>
      <c r="EZ12" s="5"/>
      <c r="FA12" s="5"/>
      <c r="FB12" s="5"/>
      <c r="FC12" s="5"/>
      <c r="FD12" s="5"/>
      <c r="FE12" s="5"/>
      <c r="FF12" s="5"/>
      <c r="FG12" s="5"/>
      <c r="FH12" s="5"/>
      <c r="FI12" s="5"/>
      <c r="FJ12" s="5"/>
      <c r="FK12" s="5"/>
      <c r="FL12" s="5"/>
      <c r="FM12" s="5"/>
      <c r="FN12" s="5"/>
      <c r="FO12" s="5"/>
      <c r="FP12" s="5"/>
      <c r="FQ12" s="5"/>
      <c r="FR12" s="5"/>
      <c r="FS12" s="5"/>
      <c r="FT12" s="5"/>
      <c r="FU12" s="5"/>
      <c r="FV12" s="5"/>
      <c r="FW12" s="5"/>
      <c r="FX12" s="5"/>
      <c r="FY12" s="5"/>
      <c r="FZ12" s="5"/>
      <c r="GA12" s="5"/>
      <c r="GB12" s="5"/>
      <c r="GC12" s="5"/>
      <c r="GD12" s="5"/>
      <c r="GE12" s="5"/>
      <c r="GF12" s="5"/>
      <c r="GG12" s="5"/>
      <c r="GH12" s="5"/>
      <c r="GI12" s="5"/>
      <c r="GJ12" s="5"/>
      <c r="GK12" s="5"/>
      <c r="GL12" s="5"/>
      <c r="GM12" s="5"/>
      <c r="GN12" s="5"/>
      <c r="GO12" s="5"/>
      <c r="GP12" s="5"/>
      <c r="GQ12" s="5"/>
      <c r="GR12" s="5"/>
      <c r="GS12" s="5"/>
      <c r="GT12" s="5"/>
      <c r="GU12" s="5"/>
      <c r="GV12" s="5"/>
      <c r="GW12" s="5"/>
      <c r="GX12" s="5"/>
      <c r="GY12" s="5"/>
      <c r="GZ12" s="5"/>
      <c r="HA12" s="5"/>
      <c r="HB12" s="5"/>
      <c r="HC12" s="5"/>
      <c r="HD12" s="5"/>
      <c r="HE12" s="5"/>
      <c r="HF12" s="5"/>
      <c r="HG12" s="5"/>
      <c r="HH12" s="5"/>
      <c r="HI12" s="5"/>
      <c r="HJ12" s="5"/>
      <c r="HK12" s="5"/>
      <c r="HL12" s="5"/>
      <c r="HM12" s="5"/>
      <c r="HN12" s="5"/>
      <c r="HO12" s="5"/>
      <c r="HP12" s="5"/>
      <c r="HQ12" s="5"/>
      <c r="HR12" s="5"/>
      <c r="HS12" s="5"/>
      <c r="HT12" s="5"/>
      <c r="HU12" s="5"/>
      <c r="HV12" s="5"/>
      <c r="HX12"/>
      <c r="HY12"/>
      <c r="HZ12"/>
      <c r="IA12"/>
      <c r="IB12"/>
      <c r="IC12"/>
      <c r="ID12"/>
      <c r="IE12"/>
      <c r="IF12"/>
      <c r="IG12"/>
      <c r="IH12"/>
      <c r="II12"/>
      <c r="IJ12"/>
      <c r="IK12"/>
      <c r="IL12"/>
      <c r="IM12"/>
      <c r="IN12"/>
      <c r="IO12"/>
    </row>
    <row r="13" spans="1:249" s="7" customFormat="1">
      <c r="A13" s="5"/>
      <c r="B13" s="16"/>
      <c r="C13" s="45" t="s">
        <v>205</v>
      </c>
      <c r="D13" s="451">
        <f>-Financials!$CV$12</f>
        <v>167.46167415703471</v>
      </c>
      <c r="E13" s="451">
        <v>166.0548519702414</v>
      </c>
      <c r="F13" s="617">
        <f>D13-E13</f>
        <v>1.4068221867933062</v>
      </c>
      <c r="G13" s="468">
        <f>-(D13-E13)*(1-D$24)/D$30</f>
        <v>-1.6085019743409507E-2</v>
      </c>
      <c r="H13" s="838">
        <f>-Financials!$DY$12</f>
        <v>671.83421396067524</v>
      </c>
      <c r="I13" s="451">
        <v>660.43451957454761</v>
      </c>
      <c r="J13" s="617">
        <f>H13-I13</f>
        <v>11.399694386127635</v>
      </c>
      <c r="K13" s="461">
        <f>-(H13-I13)*(1-H$24)/H$30</f>
        <v>-0.13191771644788086</v>
      </c>
      <c r="L13" s="838">
        <f>-Financials!$DZ$12</f>
        <v>713.37229348917776</v>
      </c>
      <c r="M13" s="451">
        <v>698.94511871303723</v>
      </c>
      <c r="N13" s="617">
        <f>L13-M13</f>
        <v>14.427174776140532</v>
      </c>
      <c r="O13" s="461">
        <f>-(L13-M13)*(1-L$24)/L$30</f>
        <v>-0.17497428767783613</v>
      </c>
      <c r="P13" s="27"/>
      <c r="Q13" s="68"/>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5"/>
      <c r="EQ13" s="5"/>
      <c r="ER13" s="5"/>
      <c r="ES13" s="5"/>
      <c r="ET13" s="5"/>
      <c r="EU13" s="5"/>
      <c r="EV13" s="5"/>
      <c r="EW13" s="5"/>
      <c r="EX13" s="5"/>
      <c r="EY13" s="5"/>
      <c r="EZ13" s="5"/>
      <c r="FA13" s="5"/>
      <c r="FB13" s="5"/>
      <c r="FC13" s="5"/>
      <c r="FD13" s="5"/>
      <c r="FE13" s="5"/>
      <c r="FF13" s="5"/>
      <c r="FG13" s="5"/>
      <c r="FH13" s="5"/>
      <c r="FI13" s="5"/>
      <c r="FJ13" s="5"/>
      <c r="FK13" s="5"/>
      <c r="FL13" s="5"/>
      <c r="FM13" s="5"/>
      <c r="FN13" s="5"/>
      <c r="FO13" s="5"/>
      <c r="FP13" s="5"/>
      <c r="FQ13" s="5"/>
      <c r="FR13" s="5"/>
      <c r="FS13" s="5"/>
      <c r="FT13" s="5"/>
      <c r="FU13" s="5"/>
      <c r="FV13" s="5"/>
      <c r="FW13" s="5"/>
      <c r="FX13" s="5"/>
      <c r="FY13" s="5"/>
      <c r="FZ13" s="5"/>
      <c r="GA13" s="5"/>
      <c r="GB13" s="5"/>
      <c r="GC13" s="5"/>
      <c r="GD13" s="5"/>
      <c r="GE13" s="5"/>
      <c r="GF13" s="5"/>
      <c r="GG13" s="5"/>
      <c r="GH13" s="5"/>
      <c r="GI13" s="5"/>
      <c r="GJ13" s="5"/>
      <c r="GK13" s="5"/>
      <c r="GL13" s="5"/>
      <c r="GM13" s="5"/>
      <c r="GN13" s="5"/>
      <c r="GO13" s="5"/>
      <c r="GP13" s="5"/>
      <c r="GQ13" s="5"/>
      <c r="GR13" s="5"/>
      <c r="GS13" s="5"/>
      <c r="GT13" s="5"/>
      <c r="GU13" s="5"/>
      <c r="GV13" s="5"/>
      <c r="GW13" s="5"/>
      <c r="GX13" s="5"/>
      <c r="GY13" s="5"/>
      <c r="GZ13" s="5"/>
      <c r="HA13" s="5"/>
      <c r="HB13" s="5"/>
      <c r="HC13" s="5"/>
      <c r="HD13" s="5"/>
      <c r="HE13" s="5"/>
      <c r="HF13" s="5"/>
      <c r="HG13" s="5"/>
      <c r="HH13" s="5"/>
      <c r="HI13" s="5"/>
      <c r="HJ13" s="5"/>
      <c r="HK13" s="5"/>
      <c r="HL13" s="5"/>
      <c r="HM13" s="5"/>
      <c r="HN13" s="5"/>
      <c r="HO13" s="5"/>
      <c r="HP13" s="5"/>
      <c r="HQ13" s="5"/>
      <c r="HR13" s="5"/>
      <c r="HS13" s="5"/>
      <c r="HT13" s="5"/>
      <c r="HU13" s="5"/>
      <c r="HV13" s="5"/>
      <c r="HX13"/>
      <c r="HY13"/>
      <c r="HZ13"/>
      <c r="IA13"/>
      <c r="IB13"/>
      <c r="IC13"/>
      <c r="ID13"/>
      <c r="IE13"/>
      <c r="IF13"/>
      <c r="IG13"/>
      <c r="IH13"/>
      <c r="II13"/>
      <c r="IJ13"/>
      <c r="IK13"/>
      <c r="IL13"/>
      <c r="IM13"/>
      <c r="IN13"/>
      <c r="IO13"/>
    </row>
    <row r="14" spans="1:249" s="7" customFormat="1">
      <c r="A14" s="5"/>
      <c r="B14" s="16"/>
      <c r="C14" s="26" t="s">
        <v>206</v>
      </c>
      <c r="D14" s="29">
        <f>D13/D8</f>
        <v>3.0593981878518958E-2</v>
      </c>
      <c r="E14" s="520">
        <v>3.0593981878518958E-2</v>
      </c>
      <c r="F14" s="29">
        <f>D14-E14</f>
        <v>0</v>
      </c>
      <c r="G14" s="476"/>
      <c r="H14" s="527">
        <f>H13/H8</f>
        <v>3.0593981878518962E-2</v>
      </c>
      <c r="I14" s="520">
        <v>3.0593981878518962E-2</v>
      </c>
      <c r="J14" s="29">
        <f>H14-I14</f>
        <v>0</v>
      </c>
      <c r="K14" s="478"/>
      <c r="L14" s="527">
        <f>L13/L8</f>
        <v>3.0593981878518962E-2</v>
      </c>
      <c r="M14" s="520">
        <v>3.0593981878518962E-2</v>
      </c>
      <c r="N14" s="29">
        <f>L14-M14</f>
        <v>0</v>
      </c>
      <c r="O14" s="478"/>
      <c r="P14" s="27"/>
      <c r="Q14" s="68"/>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5"/>
      <c r="EQ14" s="5"/>
      <c r="ER14" s="5"/>
      <c r="ES14" s="5"/>
      <c r="ET14" s="5"/>
      <c r="EU14" s="5"/>
      <c r="EV14" s="5"/>
      <c r="EW14" s="5"/>
      <c r="EX14" s="5"/>
      <c r="EY14" s="5"/>
      <c r="EZ14" s="5"/>
      <c r="FA14" s="5"/>
      <c r="FB14" s="5"/>
      <c r="FC14" s="5"/>
      <c r="FD14" s="5"/>
      <c r="FE14" s="5"/>
      <c r="FF14" s="5"/>
      <c r="FG14" s="5"/>
      <c r="FH14" s="5"/>
      <c r="FI14" s="5"/>
      <c r="FJ14" s="5"/>
      <c r="FK14" s="5"/>
      <c r="FL14" s="5"/>
      <c r="FM14" s="5"/>
      <c r="FN14" s="5"/>
      <c r="FO14" s="5"/>
      <c r="FP14" s="5"/>
      <c r="FQ14" s="5"/>
      <c r="FR14" s="5"/>
      <c r="FS14" s="5"/>
      <c r="FT14" s="5"/>
      <c r="FU14" s="5"/>
      <c r="FV14" s="5"/>
      <c r="FW14" s="5"/>
      <c r="FX14" s="5"/>
      <c r="FY14" s="5"/>
      <c r="FZ14" s="5"/>
      <c r="GA14" s="5"/>
      <c r="GB14" s="5"/>
      <c r="GC14" s="5"/>
      <c r="GD14" s="5"/>
      <c r="GE14" s="5"/>
      <c r="GF14" s="5"/>
      <c r="GG14" s="5"/>
      <c r="GH14" s="5"/>
      <c r="GI14" s="5"/>
      <c r="GJ14" s="5"/>
      <c r="GK14" s="5"/>
      <c r="GL14" s="5"/>
      <c r="GM14" s="5"/>
      <c r="GN14" s="5"/>
      <c r="GO14" s="5"/>
      <c r="GP14" s="5"/>
      <c r="GQ14" s="5"/>
      <c r="GR14" s="5"/>
      <c r="GS14" s="5"/>
      <c r="GT14" s="5"/>
      <c r="GU14" s="5"/>
      <c r="GV14" s="5"/>
      <c r="GW14" s="5"/>
      <c r="GX14" s="5"/>
      <c r="GY14" s="5"/>
      <c r="GZ14" s="5"/>
      <c r="HA14" s="5"/>
      <c r="HB14" s="5"/>
      <c r="HC14" s="5"/>
      <c r="HD14" s="5"/>
      <c r="HE14" s="5"/>
      <c r="HF14" s="5"/>
      <c r="HG14" s="5"/>
      <c r="HH14" s="5"/>
      <c r="HI14" s="5"/>
      <c r="HJ14" s="5"/>
      <c r="HK14" s="5"/>
      <c r="HL14" s="5"/>
      <c r="HM14" s="5"/>
      <c r="HN14" s="5"/>
      <c r="HO14" s="5"/>
      <c r="HP14" s="5"/>
      <c r="HQ14" s="5"/>
      <c r="HR14" s="5"/>
      <c r="HS14" s="5"/>
      <c r="HT14" s="5"/>
      <c r="HU14" s="5"/>
      <c r="HV14" s="5"/>
      <c r="HX14"/>
      <c r="HY14"/>
      <c r="HZ14"/>
      <c r="IA14"/>
      <c r="IB14"/>
      <c r="IC14"/>
      <c r="ID14"/>
      <c r="IE14"/>
      <c r="IF14"/>
      <c r="IG14"/>
      <c r="IH14"/>
      <c r="II14"/>
      <c r="IJ14"/>
      <c r="IK14"/>
      <c r="IL14"/>
      <c r="IM14"/>
      <c r="IN14"/>
      <c r="IO14"/>
    </row>
    <row r="15" spans="1:249" s="7" customFormat="1">
      <c r="A15" s="5"/>
      <c r="B15" s="16"/>
      <c r="C15" s="30" t="s">
        <v>213</v>
      </c>
      <c r="D15" s="448">
        <f>-Financials!$CV$14</f>
        <v>13.5</v>
      </c>
      <c r="E15" s="448">
        <v>13.5</v>
      </c>
      <c r="F15" s="616">
        <f>D15-E15</f>
        <v>0</v>
      </c>
      <c r="G15" s="469">
        <f>G16-G13-G10</f>
        <v>0</v>
      </c>
      <c r="H15" s="837">
        <f>-Financials!$DY$14</f>
        <v>54</v>
      </c>
      <c r="I15" s="448">
        <v>54</v>
      </c>
      <c r="J15" s="616">
        <f>H15-I15</f>
        <v>0</v>
      </c>
      <c r="K15" s="462">
        <f>K16-K13-K10</f>
        <v>1.27675647831893E-15</v>
      </c>
      <c r="L15" s="837">
        <f>-Financials!$DZ$14</f>
        <v>54</v>
      </c>
      <c r="M15" s="448">
        <v>54</v>
      </c>
      <c r="N15" s="616">
        <f>L15-M15</f>
        <v>0</v>
      </c>
      <c r="O15" s="462">
        <f>O16-O13-O10</f>
        <v>-1.3322676295501878E-15</v>
      </c>
      <c r="P15" s="27"/>
      <c r="Q15" s="68"/>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5"/>
      <c r="EQ15" s="5"/>
      <c r="ER15" s="5"/>
      <c r="ES15" s="5"/>
      <c r="ET15" s="5"/>
      <c r="EU15" s="5"/>
      <c r="EV15" s="5"/>
      <c r="EW15" s="5"/>
      <c r="EX15" s="5"/>
      <c r="EY15" s="5"/>
      <c r="EZ15" s="5"/>
      <c r="FA15" s="5"/>
      <c r="FB15" s="5"/>
      <c r="FC15" s="5"/>
      <c r="FD15" s="5"/>
      <c r="FE15" s="5"/>
      <c r="FF15" s="5"/>
      <c r="FG15" s="5"/>
      <c r="FH15" s="5"/>
      <c r="FI15" s="5"/>
      <c r="FJ15" s="5"/>
      <c r="FK15" s="5"/>
      <c r="FL15" s="5"/>
      <c r="FM15" s="5"/>
      <c r="FN15" s="5"/>
      <c r="FO15" s="5"/>
      <c r="FP15" s="5"/>
      <c r="FQ15" s="5"/>
      <c r="FR15" s="5"/>
      <c r="FS15" s="5"/>
      <c r="FT15" s="5"/>
      <c r="FU15" s="5"/>
      <c r="FV15" s="5"/>
      <c r="FW15" s="5"/>
      <c r="FX15" s="5"/>
      <c r="FY15" s="5"/>
      <c r="FZ15" s="5"/>
      <c r="GA15" s="5"/>
      <c r="GB15" s="5"/>
      <c r="GC15" s="5"/>
      <c r="GD15" s="5"/>
      <c r="GE15" s="5"/>
      <c r="GF15" s="5"/>
      <c r="GG15" s="5"/>
      <c r="GH15" s="5"/>
      <c r="GI15" s="5"/>
      <c r="GJ15" s="5"/>
      <c r="GK15" s="5"/>
      <c r="GL15" s="5"/>
      <c r="GM15" s="5"/>
      <c r="GN15" s="5"/>
      <c r="GO15" s="5"/>
      <c r="GP15" s="5"/>
      <c r="GQ15" s="5"/>
      <c r="GR15" s="5"/>
      <c r="GS15" s="5"/>
      <c r="GT15" s="5"/>
      <c r="GU15" s="5"/>
      <c r="GV15" s="5"/>
      <c r="GW15" s="5"/>
      <c r="GX15" s="5"/>
      <c r="GY15" s="5"/>
      <c r="GZ15" s="5"/>
      <c r="HA15" s="5"/>
      <c r="HB15" s="5"/>
      <c r="HC15" s="5"/>
      <c r="HD15" s="5"/>
      <c r="HE15" s="5"/>
      <c r="HF15" s="5"/>
      <c r="HG15" s="5"/>
      <c r="HH15" s="5"/>
      <c r="HI15" s="5"/>
      <c r="HJ15" s="5"/>
      <c r="HK15" s="5"/>
      <c r="HL15" s="5"/>
      <c r="HM15" s="5"/>
      <c r="HN15" s="5"/>
      <c r="HO15" s="5"/>
      <c r="HP15" s="5"/>
      <c r="HQ15" s="5"/>
      <c r="HR15" s="5"/>
      <c r="HS15" s="5"/>
      <c r="HT15" s="5"/>
      <c r="HU15" s="5"/>
      <c r="HV15" s="5"/>
      <c r="HX15"/>
      <c r="HY15"/>
      <c r="HZ15"/>
      <c r="IA15"/>
      <c r="IB15"/>
      <c r="IC15"/>
      <c r="ID15"/>
      <c r="IE15"/>
      <c r="IF15"/>
      <c r="IG15"/>
      <c r="IH15"/>
      <c r="II15"/>
      <c r="IJ15"/>
      <c r="IK15"/>
      <c r="IL15"/>
      <c r="IM15"/>
      <c r="IN15"/>
      <c r="IO15"/>
    </row>
    <row r="16" spans="1:249" s="7" customFormat="1">
      <c r="A16" s="5"/>
      <c r="B16" s="16"/>
      <c r="C16" s="34" t="s">
        <v>167</v>
      </c>
      <c r="D16" s="449">
        <f>D10-D13-D15</f>
        <v>468.03491776102294</v>
      </c>
      <c r="E16" s="447">
        <v>464.11195827680888</v>
      </c>
      <c r="F16" s="615">
        <f>D16-E16</f>
        <v>3.9229594842140614</v>
      </c>
      <c r="G16" s="467">
        <f>(D16-E16)*(1-D$24)/D$30</f>
        <v>4.4853487063642457E-2</v>
      </c>
      <c r="H16" s="526">
        <f>H10-H13-H15</f>
        <v>1816.4905251204877</v>
      </c>
      <c r="I16" s="447">
        <v>1786.9545612376828</v>
      </c>
      <c r="J16" s="615">
        <f>H16-I16</f>
        <v>29.535963882804936</v>
      </c>
      <c r="K16" s="460">
        <f>(H16-I16)*(1-H$24)/H$30</f>
        <v>0.34179134777930237</v>
      </c>
      <c r="L16" s="526">
        <f>L10-L13-L15</f>
        <v>1868.1430839853526</v>
      </c>
      <c r="M16" s="447">
        <v>1831.3274346973112</v>
      </c>
      <c r="N16" s="615">
        <f>L16-M16</f>
        <v>36.815649288041413</v>
      </c>
      <c r="O16" s="460">
        <f>(L16-M16)*(1-L$24)/L$30</f>
        <v>0.44650405290891948</v>
      </c>
      <c r="P16" s="23"/>
      <c r="Q16" s="68"/>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5"/>
      <c r="EQ16" s="5"/>
      <c r="ER16" s="5"/>
      <c r="ES16" s="5"/>
      <c r="ET16" s="5"/>
      <c r="EU16" s="5"/>
      <c r="EV16" s="5"/>
      <c r="EW16" s="5"/>
      <c r="EX16" s="5"/>
      <c r="EY16" s="5"/>
      <c r="EZ16" s="5"/>
      <c r="FA16" s="5"/>
      <c r="FB16" s="5"/>
      <c r="FC16" s="5"/>
      <c r="FD16" s="5"/>
      <c r="FE16" s="5"/>
      <c r="FF16" s="5"/>
      <c r="FG16" s="5"/>
      <c r="FH16" s="5"/>
      <c r="FI16" s="5"/>
      <c r="FJ16" s="5"/>
      <c r="FK16" s="5"/>
      <c r="FL16" s="5"/>
      <c r="FM16" s="5"/>
      <c r="FN16" s="5"/>
      <c r="FO16" s="5"/>
      <c r="FP16" s="5"/>
      <c r="FQ16" s="5"/>
      <c r="FR16" s="5"/>
      <c r="FS16" s="5"/>
      <c r="FT16" s="5"/>
      <c r="FU16" s="5"/>
      <c r="FV16" s="5"/>
      <c r="FW16" s="5"/>
      <c r="FX16" s="5"/>
      <c r="FY16" s="5"/>
      <c r="FZ16" s="5"/>
      <c r="GA16" s="5"/>
      <c r="GB16" s="5"/>
      <c r="GC16" s="5"/>
      <c r="GD16" s="5"/>
      <c r="GE16" s="5"/>
      <c r="GF16" s="5"/>
      <c r="GG16" s="5"/>
      <c r="GH16" s="5"/>
      <c r="GI16" s="5"/>
      <c r="GJ16" s="5"/>
      <c r="GK16" s="5"/>
      <c r="GL16" s="5"/>
      <c r="GM16" s="5"/>
      <c r="GN16" s="5"/>
      <c r="GO16" s="5"/>
      <c r="GP16" s="5"/>
      <c r="GQ16" s="5"/>
      <c r="GR16" s="5"/>
      <c r="GS16" s="5"/>
      <c r="GT16" s="5"/>
      <c r="GU16" s="5"/>
      <c r="GV16" s="5"/>
      <c r="GW16" s="5"/>
      <c r="GX16" s="5"/>
      <c r="GY16" s="5"/>
      <c r="GZ16" s="5"/>
      <c r="HA16" s="5"/>
      <c r="HB16" s="5"/>
      <c r="HC16" s="5"/>
      <c r="HD16" s="5"/>
      <c r="HE16" s="5"/>
      <c r="HF16" s="5"/>
      <c r="HG16" s="5"/>
      <c r="HH16" s="5"/>
      <c r="HI16" s="5"/>
      <c r="HJ16" s="5"/>
      <c r="HK16" s="5"/>
      <c r="HL16" s="5"/>
      <c r="HM16" s="5"/>
      <c r="HN16" s="5"/>
      <c r="HO16" s="5"/>
      <c r="HP16" s="5"/>
      <c r="HQ16" s="5"/>
      <c r="HR16" s="5"/>
      <c r="HS16" s="5"/>
      <c r="HT16" s="5"/>
      <c r="HU16" s="5"/>
      <c r="HV16" s="5"/>
      <c r="HX16"/>
      <c r="HY16"/>
      <c r="HZ16"/>
      <c r="IA16"/>
      <c r="IB16"/>
      <c r="IC16"/>
      <c r="ID16"/>
      <c r="IE16"/>
      <c r="IF16"/>
      <c r="IG16"/>
      <c r="IH16"/>
      <c r="II16"/>
      <c r="IJ16"/>
      <c r="IK16"/>
      <c r="IL16"/>
      <c r="IM16"/>
      <c r="IN16"/>
      <c r="IO16"/>
    </row>
    <row r="17" spans="1:249" s="7" customFormat="1">
      <c r="A17" s="5"/>
      <c r="B17" s="16"/>
      <c r="C17" s="26" t="s">
        <v>203</v>
      </c>
      <c r="D17" s="29">
        <f>D16/D8</f>
        <v>8.5506441187655671E-2</v>
      </c>
      <c r="E17" s="520">
        <v>8.55080876749644E-2</v>
      </c>
      <c r="F17" s="29">
        <f>D17-E17</f>
        <v>-1.6464873087290721E-6</v>
      </c>
      <c r="G17" s="476"/>
      <c r="H17" s="527">
        <f>H16/H8</f>
        <v>8.2719333212301266E-2</v>
      </c>
      <c r="I17" s="520">
        <v>8.2778918793434603E-2</v>
      </c>
      <c r="J17" s="29">
        <f>H17-I17</f>
        <v>-5.9585581133336785E-5</v>
      </c>
      <c r="K17" s="478"/>
      <c r="L17" s="527">
        <f>L16/L8</f>
        <v>8.0117963901264785E-2</v>
      </c>
      <c r="M17" s="520">
        <v>8.016022553233848E-2</v>
      </c>
      <c r="N17" s="29">
        <f>L17-M17</f>
        <v>-4.2261631073695072E-5</v>
      </c>
      <c r="O17" s="478"/>
      <c r="P17" s="27"/>
      <c r="Q17" s="68"/>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5"/>
      <c r="EQ17" s="5"/>
      <c r="ER17" s="5"/>
      <c r="ES17" s="5"/>
      <c r="ET17" s="5"/>
      <c r="EU17" s="5"/>
      <c r="EV17" s="5"/>
      <c r="EW17" s="5"/>
      <c r="EX17" s="5"/>
      <c r="EY17" s="5"/>
      <c r="EZ17" s="5"/>
      <c r="FA17" s="5"/>
      <c r="FB17" s="5"/>
      <c r="FC17" s="5"/>
      <c r="FD17" s="5"/>
      <c r="FE17" s="5"/>
      <c r="FF17" s="5"/>
      <c r="FG17" s="5"/>
      <c r="FH17" s="5"/>
      <c r="FI17" s="5"/>
      <c r="FJ17" s="5"/>
      <c r="FK17" s="5"/>
      <c r="FL17" s="5"/>
      <c r="FM17" s="5"/>
      <c r="FN17" s="5"/>
      <c r="FO17" s="5"/>
      <c r="FP17" s="5"/>
      <c r="FQ17" s="5"/>
      <c r="FR17" s="5"/>
      <c r="FS17" s="5"/>
      <c r="FT17" s="5"/>
      <c r="FU17" s="5"/>
      <c r="FV17" s="5"/>
      <c r="FW17" s="5"/>
      <c r="FX17" s="5"/>
      <c r="FY17" s="5"/>
      <c r="FZ17" s="5"/>
      <c r="GA17" s="5"/>
      <c r="GB17" s="5"/>
      <c r="GC17" s="5"/>
      <c r="GD17" s="5"/>
      <c r="GE17" s="5"/>
      <c r="GF17" s="5"/>
      <c r="GG17" s="5"/>
      <c r="GH17" s="5"/>
      <c r="GI17" s="5"/>
      <c r="GJ17" s="5"/>
      <c r="GK17" s="5"/>
      <c r="GL17" s="5"/>
      <c r="GM17" s="5"/>
      <c r="GN17" s="5"/>
      <c r="GO17" s="5"/>
      <c r="GP17" s="5"/>
      <c r="GQ17" s="5"/>
      <c r="GR17" s="5"/>
      <c r="GS17" s="5"/>
      <c r="GT17" s="5"/>
      <c r="GU17" s="5"/>
      <c r="GV17" s="5"/>
      <c r="GW17" s="5"/>
      <c r="GX17" s="5"/>
      <c r="GY17" s="5"/>
      <c r="GZ17" s="5"/>
      <c r="HA17" s="5"/>
      <c r="HB17" s="5"/>
      <c r="HC17" s="5"/>
      <c r="HD17" s="5"/>
      <c r="HE17" s="5"/>
      <c r="HF17" s="5"/>
      <c r="HG17" s="5"/>
      <c r="HH17" s="5"/>
      <c r="HI17" s="5"/>
      <c r="HJ17" s="5"/>
      <c r="HK17" s="5"/>
      <c r="HL17" s="5"/>
      <c r="HM17" s="5"/>
      <c r="HN17" s="5"/>
      <c r="HO17" s="5"/>
      <c r="HP17" s="5"/>
      <c r="HQ17" s="5"/>
      <c r="HR17" s="5"/>
      <c r="HS17" s="5"/>
      <c r="HT17" s="5"/>
      <c r="HU17" s="5"/>
      <c r="HV17" s="5"/>
      <c r="HX17"/>
      <c r="HY17"/>
      <c r="HZ17"/>
      <c r="IA17"/>
      <c r="IB17"/>
      <c r="IC17"/>
      <c r="ID17"/>
      <c r="IE17"/>
      <c r="IF17"/>
      <c r="IG17"/>
      <c r="IH17"/>
      <c r="II17"/>
      <c r="IJ17"/>
      <c r="IK17"/>
      <c r="IL17"/>
      <c r="IM17"/>
      <c r="IN17"/>
      <c r="IO17"/>
    </row>
    <row r="18" spans="1:249" s="7" customFormat="1">
      <c r="A18" s="5"/>
      <c r="B18" s="16"/>
      <c r="C18" s="40"/>
      <c r="D18" s="450"/>
      <c r="E18" s="454"/>
      <c r="F18" s="450"/>
      <c r="G18" s="468"/>
      <c r="H18" s="528"/>
      <c r="I18" s="454"/>
      <c r="J18" s="450"/>
      <c r="K18" s="461"/>
      <c r="L18" s="528"/>
      <c r="M18" s="454"/>
      <c r="N18" s="450"/>
      <c r="O18" s="461"/>
      <c r="P18" s="27"/>
      <c r="Q18" s="68"/>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5"/>
      <c r="EQ18" s="5"/>
      <c r="ER18" s="5"/>
      <c r="ES18" s="5"/>
      <c r="ET18" s="5"/>
      <c r="EU18" s="5"/>
      <c r="EV18" s="5"/>
      <c r="EW18" s="5"/>
      <c r="EX18" s="5"/>
      <c r="EY18" s="5"/>
      <c r="EZ18" s="5"/>
      <c r="FA18" s="5"/>
      <c r="FB18" s="5"/>
      <c r="FC18" s="5"/>
      <c r="FD18" s="5"/>
      <c r="FE18" s="5"/>
      <c r="FF18" s="5"/>
      <c r="FG18" s="5"/>
      <c r="FH18" s="5"/>
      <c r="FI18" s="5"/>
      <c r="FJ18" s="5"/>
      <c r="FK18" s="5"/>
      <c r="FL18" s="5"/>
      <c r="FM18" s="5"/>
      <c r="FN18" s="5"/>
      <c r="FO18" s="5"/>
      <c r="FP18" s="5"/>
      <c r="FQ18" s="5"/>
      <c r="FR18" s="5"/>
      <c r="FS18" s="5"/>
      <c r="FT18" s="5"/>
      <c r="FU18" s="5"/>
      <c r="FV18" s="5"/>
      <c r="FW18" s="5"/>
      <c r="FX18" s="5"/>
      <c r="FY18" s="5"/>
      <c r="FZ18" s="5"/>
      <c r="GA18" s="5"/>
      <c r="GB18" s="5"/>
      <c r="GC18" s="5"/>
      <c r="GD18" s="5"/>
      <c r="GE18" s="5"/>
      <c r="GF18" s="5"/>
      <c r="GG18" s="5"/>
      <c r="GH18" s="5"/>
      <c r="GI18" s="5"/>
      <c r="GJ18" s="5"/>
      <c r="GK18" s="5"/>
      <c r="GL18" s="5"/>
      <c r="GM18" s="5"/>
      <c r="GN18" s="5"/>
      <c r="GO18" s="5"/>
      <c r="GP18" s="5"/>
      <c r="GQ18" s="5"/>
      <c r="GR18" s="5"/>
      <c r="GS18" s="5"/>
      <c r="GT18" s="5"/>
      <c r="GU18" s="5"/>
      <c r="GV18" s="5"/>
      <c r="GW18" s="5"/>
      <c r="GX18" s="5"/>
      <c r="GY18" s="5"/>
      <c r="GZ18" s="5"/>
      <c r="HA18" s="5"/>
      <c r="HB18" s="5"/>
      <c r="HC18" s="5"/>
      <c r="HD18" s="5"/>
      <c r="HE18" s="5"/>
      <c r="HF18" s="5"/>
      <c r="HG18" s="5"/>
      <c r="HH18" s="5"/>
      <c r="HI18" s="5"/>
      <c r="HJ18" s="5"/>
      <c r="HK18" s="5"/>
      <c r="HL18" s="5"/>
      <c r="HM18" s="5"/>
      <c r="HN18" s="5"/>
      <c r="HO18" s="5"/>
      <c r="HP18" s="5"/>
      <c r="HQ18" s="5"/>
      <c r="HR18" s="5"/>
      <c r="HS18" s="5"/>
      <c r="HT18" s="5"/>
      <c r="HU18" s="5"/>
      <c r="HV18" s="5"/>
      <c r="HX18"/>
      <c r="HY18"/>
      <c r="HZ18"/>
      <c r="IA18"/>
      <c r="IB18"/>
      <c r="IC18"/>
      <c r="ID18"/>
      <c r="IE18"/>
      <c r="IF18"/>
      <c r="IG18"/>
      <c r="IH18"/>
      <c r="II18"/>
      <c r="IJ18"/>
      <c r="IK18"/>
      <c r="IL18"/>
      <c r="IM18"/>
      <c r="IN18"/>
      <c r="IO18"/>
    </row>
    <row r="19" spans="1:249" s="7" customFormat="1">
      <c r="A19" s="5"/>
      <c r="B19" s="16"/>
      <c r="C19" s="45" t="s">
        <v>149</v>
      </c>
      <c r="D19" s="451">
        <f>-Financials!$CV$18</f>
        <v>20.095124999999999</v>
      </c>
      <c r="E19" s="451">
        <v>20.095124999999999</v>
      </c>
      <c r="F19" s="617">
        <f>D19-E19</f>
        <v>0</v>
      </c>
      <c r="G19" s="468">
        <f>-(D19-E19)*(1-D$24)/D$30</f>
        <v>0</v>
      </c>
      <c r="H19" s="838">
        <f>-Financials!$DY$18</f>
        <v>80.380499999999998</v>
      </c>
      <c r="I19" s="451">
        <v>80.380499999999998</v>
      </c>
      <c r="J19" s="617">
        <f>H19-I19</f>
        <v>0</v>
      </c>
      <c r="K19" s="461">
        <f>-(H19-I19)*(1-H$24)/H$30</f>
        <v>0</v>
      </c>
      <c r="L19" s="838">
        <f>-Financials!$DZ$18</f>
        <v>80.380499999999998</v>
      </c>
      <c r="M19" s="451">
        <v>80.380499999999998</v>
      </c>
      <c r="N19" s="617">
        <f>L19-M19</f>
        <v>0</v>
      </c>
      <c r="O19" s="461">
        <f>-(L19-M19)*(1-L$24)/L$30</f>
        <v>0</v>
      </c>
      <c r="P19" s="27"/>
      <c r="Q19" s="68"/>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5"/>
      <c r="EQ19" s="5"/>
      <c r="ER19" s="5"/>
      <c r="ES19" s="5"/>
      <c r="ET19" s="5"/>
      <c r="EU19" s="5"/>
      <c r="EV19" s="5"/>
      <c r="EW19" s="5"/>
      <c r="EX19" s="5"/>
      <c r="EY19" s="5"/>
      <c r="EZ19" s="5"/>
      <c r="FA19" s="5"/>
      <c r="FB19" s="5"/>
      <c r="FC19" s="5"/>
      <c r="FD19" s="5"/>
      <c r="FE19" s="5"/>
      <c r="FF19" s="5"/>
      <c r="FG19" s="5"/>
      <c r="FH19" s="5"/>
      <c r="FI19" s="5"/>
      <c r="FJ19" s="5"/>
      <c r="FK19" s="5"/>
      <c r="FL19" s="5"/>
      <c r="FM19" s="5"/>
      <c r="FN19" s="5"/>
      <c r="FO19" s="5"/>
      <c r="FP19" s="5"/>
      <c r="FQ19" s="5"/>
      <c r="FR19" s="5"/>
      <c r="FS19" s="5"/>
      <c r="FT19" s="5"/>
      <c r="FU19" s="5"/>
      <c r="FV19" s="5"/>
      <c r="FW19" s="5"/>
      <c r="FX19" s="5"/>
      <c r="FY19" s="5"/>
      <c r="FZ19" s="5"/>
      <c r="GA19" s="5"/>
      <c r="GB19" s="5"/>
      <c r="GC19" s="5"/>
      <c r="GD19" s="5"/>
      <c r="GE19" s="5"/>
      <c r="GF19" s="5"/>
      <c r="GG19" s="5"/>
      <c r="GH19" s="5"/>
      <c r="GI19" s="5"/>
      <c r="GJ19" s="5"/>
      <c r="GK19" s="5"/>
      <c r="GL19" s="5"/>
      <c r="GM19" s="5"/>
      <c r="GN19" s="5"/>
      <c r="GO19" s="5"/>
      <c r="GP19" s="5"/>
      <c r="GQ19" s="5"/>
      <c r="GR19" s="5"/>
      <c r="GS19" s="5"/>
      <c r="GT19" s="5"/>
      <c r="GU19" s="5"/>
      <c r="GV19" s="5"/>
      <c r="GW19" s="5"/>
      <c r="GX19" s="5"/>
      <c r="GY19" s="5"/>
      <c r="GZ19" s="5"/>
      <c r="HA19" s="5"/>
      <c r="HB19" s="5"/>
      <c r="HC19" s="5"/>
      <c r="HD19" s="5"/>
      <c r="HE19" s="5"/>
      <c r="HF19" s="5"/>
      <c r="HG19" s="5"/>
      <c r="HH19" s="5"/>
      <c r="HI19" s="5"/>
      <c r="HJ19" s="5"/>
      <c r="HK19" s="5"/>
      <c r="HL19" s="5"/>
      <c r="HM19" s="5"/>
      <c r="HN19" s="5"/>
      <c r="HO19" s="5"/>
      <c r="HP19" s="5"/>
      <c r="HQ19" s="5"/>
      <c r="HR19" s="5"/>
      <c r="HS19" s="5"/>
      <c r="HT19" s="5"/>
      <c r="HU19" s="5"/>
      <c r="HV19" s="5"/>
      <c r="HX19"/>
      <c r="HY19"/>
      <c r="HZ19"/>
      <c r="IA19"/>
      <c r="IB19"/>
      <c r="IC19"/>
      <c r="ID19"/>
      <c r="IE19"/>
      <c r="IF19"/>
      <c r="IG19"/>
      <c r="IH19"/>
      <c r="II19"/>
      <c r="IJ19"/>
      <c r="IK19"/>
      <c r="IL19"/>
      <c r="IM19"/>
      <c r="IN19"/>
      <c r="IO19"/>
    </row>
    <row r="20" spans="1:249" s="7" customFormat="1">
      <c r="A20" s="5"/>
      <c r="B20" s="16"/>
      <c r="C20" s="30" t="s">
        <v>217</v>
      </c>
      <c r="D20" s="448">
        <f>Financials!$CV$20</f>
        <v>2.2000000000000011</v>
      </c>
      <c r="E20" s="448">
        <v>2.2000000000000011</v>
      </c>
      <c r="F20" s="616">
        <f>D20-E20</f>
        <v>0</v>
      </c>
      <c r="G20" s="469">
        <f>(D20-E20)*(1-D$24)/D$30</f>
        <v>0</v>
      </c>
      <c r="H20" s="837">
        <f>Financials!$DY$20</f>
        <v>8.8000000000000043</v>
      </c>
      <c r="I20" s="448">
        <v>8.8000000000000043</v>
      </c>
      <c r="J20" s="616">
        <f>H20-I20</f>
        <v>0</v>
      </c>
      <c r="K20" s="462">
        <f>(H20-I20)*(1-H$24)/H$30</f>
        <v>0</v>
      </c>
      <c r="L20" s="837">
        <f>Financials!$DZ$20</f>
        <v>8.8000000000000043</v>
      </c>
      <c r="M20" s="448">
        <v>8.8000000000000043</v>
      </c>
      <c r="N20" s="616">
        <f>L20-M20</f>
        <v>0</v>
      </c>
      <c r="O20" s="462">
        <f>(L20-M20)*(1-L$24)/L$30</f>
        <v>0</v>
      </c>
      <c r="P20" s="27"/>
      <c r="Q20" s="68"/>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5"/>
      <c r="EQ20" s="5"/>
      <c r="ER20" s="5"/>
      <c r="ES20" s="5"/>
      <c r="ET20" s="5"/>
      <c r="EU20" s="5"/>
      <c r="EV20" s="5"/>
      <c r="EW20" s="5"/>
      <c r="EX20" s="5"/>
      <c r="EY20" s="5"/>
      <c r="EZ20" s="5"/>
      <c r="FA20" s="5"/>
      <c r="FB20" s="5"/>
      <c r="FC20" s="5"/>
      <c r="FD20" s="5"/>
      <c r="FE20" s="5"/>
      <c r="FF20" s="5"/>
      <c r="FG20" s="5"/>
      <c r="FH20" s="5"/>
      <c r="FI20" s="5"/>
      <c r="FJ20" s="5"/>
      <c r="FK20" s="5"/>
      <c r="FL20" s="5"/>
      <c r="FM20" s="5"/>
      <c r="FN20" s="5"/>
      <c r="FO20" s="5"/>
      <c r="FP20" s="5"/>
      <c r="FQ20" s="5"/>
      <c r="FR20" s="5"/>
      <c r="FS20" s="5"/>
      <c r="FT20" s="5"/>
      <c r="FU20" s="5"/>
      <c r="FV20" s="5"/>
      <c r="FW20" s="5"/>
      <c r="FX20" s="5"/>
      <c r="FY20" s="5"/>
      <c r="FZ20" s="5"/>
      <c r="GA20" s="5"/>
      <c r="GB20" s="5"/>
      <c r="GC20" s="5"/>
      <c r="GD20" s="5"/>
      <c r="GE20" s="5"/>
      <c r="GF20" s="5"/>
      <c r="GG20" s="5"/>
      <c r="GH20" s="5"/>
      <c r="GI20" s="5"/>
      <c r="GJ20" s="5"/>
      <c r="GK20" s="5"/>
      <c r="GL20" s="5"/>
      <c r="GM20" s="5"/>
      <c r="GN20" s="5"/>
      <c r="GO20" s="5"/>
      <c r="GP20" s="5"/>
      <c r="GQ20" s="5"/>
      <c r="GR20" s="5"/>
      <c r="GS20" s="5"/>
      <c r="GT20" s="5"/>
      <c r="GU20" s="5"/>
      <c r="GV20" s="5"/>
      <c r="GW20" s="5"/>
      <c r="GX20" s="5"/>
      <c r="GY20" s="5"/>
      <c r="GZ20" s="5"/>
      <c r="HA20" s="5"/>
      <c r="HB20" s="5"/>
      <c r="HC20" s="5"/>
      <c r="HD20" s="5"/>
      <c r="HE20" s="5"/>
      <c r="HF20" s="5"/>
      <c r="HG20" s="5"/>
      <c r="HH20" s="5"/>
      <c r="HI20" s="5"/>
      <c r="HJ20" s="5"/>
      <c r="HK20" s="5"/>
      <c r="HL20" s="5"/>
      <c r="HM20" s="5"/>
      <c r="HN20" s="5"/>
      <c r="HO20" s="5"/>
      <c r="HP20" s="5"/>
      <c r="HQ20" s="5"/>
      <c r="HR20" s="5"/>
      <c r="HS20" s="5"/>
      <c r="HT20" s="5"/>
      <c r="HU20" s="5"/>
      <c r="HV20" s="5"/>
      <c r="HX20"/>
      <c r="HY20"/>
      <c r="HZ20"/>
      <c r="IA20"/>
      <c r="IB20"/>
      <c r="IC20"/>
      <c r="ID20"/>
      <c r="IE20"/>
      <c r="IF20"/>
      <c r="IG20"/>
      <c r="IH20"/>
      <c r="II20"/>
      <c r="IJ20"/>
      <c r="IK20"/>
      <c r="IL20"/>
      <c r="IM20"/>
      <c r="IN20"/>
      <c r="IO20"/>
    </row>
    <row r="21" spans="1:249" s="7" customFormat="1">
      <c r="A21" s="5"/>
      <c r="B21" s="16"/>
      <c r="C21" s="45" t="s">
        <v>207</v>
      </c>
      <c r="D21" s="452">
        <f>D16-D19+D20</f>
        <v>450.13979276102293</v>
      </c>
      <c r="E21" s="451">
        <v>446.21683327680887</v>
      </c>
      <c r="F21" s="617">
        <f>D21-E21</f>
        <v>3.9229594842140614</v>
      </c>
      <c r="G21" s="468">
        <f>(D21-E21)*(1-D$24)/D$30</f>
        <v>4.4853487063642457E-2</v>
      </c>
      <c r="H21" s="529">
        <f>H16-H19+H20</f>
        <v>1744.9100251204877</v>
      </c>
      <c r="I21" s="451">
        <v>1715.3740612376828</v>
      </c>
      <c r="J21" s="617">
        <f>H21-I21</f>
        <v>29.535963882804936</v>
      </c>
      <c r="K21" s="461">
        <f>(H21-I21)*(1-H$24)/H$30</f>
        <v>0.34179134777930237</v>
      </c>
      <c r="L21" s="529">
        <f>L16-L19+L20</f>
        <v>1796.5625839853526</v>
      </c>
      <c r="M21" s="451">
        <v>1759.7469346973112</v>
      </c>
      <c r="N21" s="617">
        <f>L21-M21</f>
        <v>36.815649288041413</v>
      </c>
      <c r="O21" s="461">
        <f>(L21-M21)*(1-L$24)/L$30</f>
        <v>0.44650405290891948</v>
      </c>
      <c r="P21" s="27"/>
      <c r="Q21" s="68"/>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5"/>
      <c r="EQ21" s="5"/>
      <c r="ER21" s="5"/>
      <c r="ES21" s="5"/>
      <c r="ET21" s="5"/>
      <c r="EU21" s="5"/>
      <c r="EV21" s="5"/>
      <c r="EW21" s="5"/>
      <c r="EX21" s="5"/>
      <c r="EY21" s="5"/>
      <c r="EZ21" s="5"/>
      <c r="FA21" s="5"/>
      <c r="FB21" s="5"/>
      <c r="FC21" s="5"/>
      <c r="FD21" s="5"/>
      <c r="FE21" s="5"/>
      <c r="FF21" s="5"/>
      <c r="FG21" s="5"/>
      <c r="FH21" s="5"/>
      <c r="FI21" s="5"/>
      <c r="FJ21" s="5"/>
      <c r="FK21" s="5"/>
      <c r="FL21" s="5"/>
      <c r="FM21" s="5"/>
      <c r="FN21" s="5"/>
      <c r="FO21" s="5"/>
      <c r="FP21" s="5"/>
      <c r="FQ21" s="5"/>
      <c r="FR21" s="5"/>
      <c r="FS21" s="5"/>
      <c r="FT21" s="5"/>
      <c r="FU21" s="5"/>
      <c r="FV21" s="5"/>
      <c r="FW21" s="5"/>
      <c r="FX21" s="5"/>
      <c r="FY21" s="5"/>
      <c r="FZ21" s="5"/>
      <c r="GA21" s="5"/>
      <c r="GB21" s="5"/>
      <c r="GC21" s="5"/>
      <c r="GD21" s="5"/>
      <c r="GE21" s="5"/>
      <c r="GF21" s="5"/>
      <c r="GG21" s="5"/>
      <c r="GH21" s="5"/>
      <c r="GI21" s="5"/>
      <c r="GJ21" s="5"/>
      <c r="GK21" s="5"/>
      <c r="GL21" s="5"/>
      <c r="GM21" s="5"/>
      <c r="GN21" s="5"/>
      <c r="GO21" s="5"/>
      <c r="GP21" s="5"/>
      <c r="GQ21" s="5"/>
      <c r="GR21" s="5"/>
      <c r="GS21" s="5"/>
      <c r="GT21" s="5"/>
      <c r="GU21" s="5"/>
      <c r="GV21" s="5"/>
      <c r="GW21" s="5"/>
      <c r="GX21" s="5"/>
      <c r="GY21" s="5"/>
      <c r="GZ21" s="5"/>
      <c r="HA21" s="5"/>
      <c r="HB21" s="5"/>
      <c r="HC21" s="5"/>
      <c r="HD21" s="5"/>
      <c r="HE21" s="5"/>
      <c r="HF21" s="5"/>
      <c r="HG21" s="5"/>
      <c r="HH21" s="5"/>
      <c r="HI21" s="5"/>
      <c r="HJ21" s="5"/>
      <c r="HK21" s="5"/>
      <c r="HL21" s="5"/>
      <c r="HM21" s="5"/>
      <c r="HN21" s="5"/>
      <c r="HO21" s="5"/>
      <c r="HP21" s="5"/>
      <c r="HQ21" s="5"/>
      <c r="HR21" s="5"/>
      <c r="HS21" s="5"/>
      <c r="HT21" s="5"/>
      <c r="HU21" s="5"/>
      <c r="HV21" s="5"/>
      <c r="HX21"/>
      <c r="HY21"/>
      <c r="HZ21"/>
      <c r="IA21"/>
      <c r="IB21"/>
      <c r="IC21"/>
      <c r="ID21"/>
      <c r="IE21"/>
      <c r="IF21"/>
      <c r="IG21"/>
      <c r="IH21"/>
      <c r="II21"/>
      <c r="IJ21"/>
      <c r="IK21"/>
      <c r="IL21"/>
      <c r="IM21"/>
      <c r="IN21"/>
      <c r="IO21"/>
    </row>
    <row r="22" spans="1:249" s="7" customFormat="1">
      <c r="A22" s="5"/>
      <c r="B22" s="16"/>
      <c r="C22" s="45"/>
      <c r="D22" s="451"/>
      <c r="E22" s="451"/>
      <c r="F22" s="452"/>
      <c r="G22" s="468"/>
      <c r="H22" s="838"/>
      <c r="I22" s="451"/>
      <c r="J22" s="452"/>
      <c r="K22" s="461"/>
      <c r="L22" s="838"/>
      <c r="M22" s="451"/>
      <c r="N22" s="452"/>
      <c r="O22" s="461"/>
      <c r="P22" s="27"/>
      <c r="Q22" s="68"/>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5"/>
      <c r="EQ22" s="5"/>
      <c r="ER22" s="5"/>
      <c r="ES22" s="5"/>
      <c r="ET22" s="5"/>
      <c r="EU22" s="5"/>
      <c r="EV22" s="5"/>
      <c r="EW22" s="5"/>
      <c r="EX22" s="5"/>
      <c r="EY22" s="5"/>
      <c r="EZ22" s="5"/>
      <c r="FA22" s="5"/>
      <c r="FB22" s="5"/>
      <c r="FC22" s="5"/>
      <c r="FD22" s="5"/>
      <c r="FE22" s="5"/>
      <c r="FF22" s="5"/>
      <c r="FG22" s="5"/>
      <c r="FH22" s="5"/>
      <c r="FI22" s="5"/>
      <c r="FJ22" s="5"/>
      <c r="FK22" s="5"/>
      <c r="FL22" s="5"/>
      <c r="FM22" s="5"/>
      <c r="FN22" s="5"/>
      <c r="FO22" s="5"/>
      <c r="FP22" s="5"/>
      <c r="FQ22" s="5"/>
      <c r="FR22" s="5"/>
      <c r="FS22" s="5"/>
      <c r="FT22" s="5"/>
      <c r="FU22" s="5"/>
      <c r="FV22" s="5"/>
      <c r="FW22" s="5"/>
      <c r="FX22" s="5"/>
      <c r="FY22" s="5"/>
      <c r="FZ22" s="5"/>
      <c r="GA22" s="5"/>
      <c r="GB22" s="5"/>
      <c r="GC22" s="5"/>
      <c r="GD22" s="5"/>
      <c r="GE22" s="5"/>
      <c r="GF22" s="5"/>
      <c r="GG22" s="5"/>
      <c r="GH22" s="5"/>
      <c r="GI22" s="5"/>
      <c r="GJ22" s="5"/>
      <c r="GK22" s="5"/>
      <c r="GL22" s="5"/>
      <c r="GM22" s="5"/>
      <c r="GN22" s="5"/>
      <c r="GO22" s="5"/>
      <c r="GP22" s="5"/>
      <c r="GQ22" s="5"/>
      <c r="GR22" s="5"/>
      <c r="GS22" s="5"/>
      <c r="GT22" s="5"/>
      <c r="GU22" s="5"/>
      <c r="GV22" s="5"/>
      <c r="GW22" s="5"/>
      <c r="GX22" s="5"/>
      <c r="GY22" s="5"/>
      <c r="GZ22" s="5"/>
      <c r="HA22" s="5"/>
      <c r="HB22" s="5"/>
      <c r="HC22" s="5"/>
      <c r="HD22" s="5"/>
      <c r="HE22" s="5"/>
      <c r="HF22" s="5"/>
      <c r="HG22" s="5"/>
      <c r="HH22" s="5"/>
      <c r="HI22" s="5"/>
      <c r="HJ22" s="5"/>
      <c r="HK22" s="5"/>
      <c r="HL22" s="5"/>
      <c r="HM22" s="5"/>
      <c r="HN22" s="5"/>
      <c r="HO22" s="5"/>
      <c r="HP22" s="5"/>
      <c r="HQ22" s="5"/>
      <c r="HR22" s="5"/>
      <c r="HS22" s="5"/>
      <c r="HT22" s="5"/>
      <c r="HU22" s="5"/>
      <c r="HV22" s="5"/>
      <c r="HX22"/>
      <c r="HY22"/>
      <c r="HZ22"/>
      <c r="IA22"/>
      <c r="IB22"/>
      <c r="IC22"/>
      <c r="ID22"/>
      <c r="IE22"/>
      <c r="IF22"/>
      <c r="IG22"/>
      <c r="IH22"/>
      <c r="II22"/>
      <c r="IJ22"/>
      <c r="IK22"/>
      <c r="IL22"/>
      <c r="IM22"/>
      <c r="IN22"/>
      <c r="IO22"/>
    </row>
    <row r="23" spans="1:249" s="7" customFormat="1">
      <c r="A23" s="5"/>
      <c r="B23" s="16"/>
      <c r="C23" s="45" t="s">
        <v>208</v>
      </c>
      <c r="D23" s="451">
        <f>-Financials!$CV$23</f>
        <v>99.030754407425135</v>
      </c>
      <c r="E23" s="451">
        <v>98.167703320897957</v>
      </c>
      <c r="F23" s="617">
        <f>D23-E23</f>
        <v>0.86305108652717877</v>
      </c>
      <c r="G23" s="468">
        <f>G28-G30-G25-G21</f>
        <v>-5.5734273653875246E-3</v>
      </c>
      <c r="H23" s="838">
        <f>-Financials!$DY$23</f>
        <v>383.88020552650755</v>
      </c>
      <c r="I23" s="451">
        <v>377.38229347229003</v>
      </c>
      <c r="J23" s="617">
        <f>H23-I23</f>
        <v>6.4979120542175224</v>
      </c>
      <c r="K23" s="461">
        <f>K28-K30-K25-K21</f>
        <v>-4.2470482802430654E-2</v>
      </c>
      <c r="L23" s="838">
        <f>-Financials!$DZ$23</f>
        <v>395.24376847677786</v>
      </c>
      <c r="M23" s="451">
        <v>387.14432563340802</v>
      </c>
      <c r="N23" s="617">
        <f>L23-M23</f>
        <v>8.0994428433698431</v>
      </c>
      <c r="O23" s="461">
        <f>O28-O30-O25-O21</f>
        <v>-5.5481927273745291E-2</v>
      </c>
      <c r="P23" s="27"/>
      <c r="Q23" s="68"/>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5"/>
      <c r="EQ23" s="5"/>
      <c r="ER23" s="5"/>
      <c r="ES23" s="5"/>
      <c r="ET23" s="5"/>
      <c r="EU23" s="5"/>
      <c r="EV23" s="5"/>
      <c r="EW23" s="5"/>
      <c r="EX23" s="5"/>
      <c r="EY23" s="5"/>
      <c r="EZ23" s="5"/>
      <c r="FA23" s="5"/>
      <c r="FB23" s="5"/>
      <c r="FC23" s="5"/>
      <c r="FD23" s="5"/>
      <c r="FE23" s="5"/>
      <c r="FF23" s="5"/>
      <c r="FG23" s="5"/>
      <c r="FH23" s="5"/>
      <c r="FI23" s="5"/>
      <c r="FJ23" s="5"/>
      <c r="FK23" s="5"/>
      <c r="FL23" s="5"/>
      <c r="FM23" s="5"/>
      <c r="FN23" s="5"/>
      <c r="FO23" s="5"/>
      <c r="FP23" s="5"/>
      <c r="FQ23" s="5"/>
      <c r="FR23" s="5"/>
      <c r="FS23" s="5"/>
      <c r="FT23" s="5"/>
      <c r="FU23" s="5"/>
      <c r="FV23" s="5"/>
      <c r="FW23" s="5"/>
      <c r="FX23" s="5"/>
      <c r="FY23" s="5"/>
      <c r="FZ23" s="5"/>
      <c r="GA23" s="5"/>
      <c r="GB23" s="5"/>
      <c r="GC23" s="5"/>
      <c r="GD23" s="5"/>
      <c r="GE23" s="5"/>
      <c r="GF23" s="5"/>
      <c r="GG23" s="5"/>
      <c r="GH23" s="5"/>
      <c r="GI23" s="5"/>
      <c r="GJ23" s="5"/>
      <c r="GK23" s="5"/>
      <c r="GL23" s="5"/>
      <c r="GM23" s="5"/>
      <c r="GN23" s="5"/>
      <c r="GO23" s="5"/>
      <c r="GP23" s="5"/>
      <c r="GQ23" s="5"/>
      <c r="GR23" s="5"/>
      <c r="GS23" s="5"/>
      <c r="GT23" s="5"/>
      <c r="GU23" s="5"/>
      <c r="GV23" s="5"/>
      <c r="GW23" s="5"/>
      <c r="GX23" s="5"/>
      <c r="GY23" s="5"/>
      <c r="GZ23" s="5"/>
      <c r="HA23" s="5"/>
      <c r="HB23" s="5"/>
      <c r="HC23" s="5"/>
      <c r="HD23" s="5"/>
      <c r="HE23" s="5"/>
      <c r="HF23" s="5"/>
      <c r="HG23" s="5"/>
      <c r="HH23" s="5"/>
      <c r="HI23" s="5"/>
      <c r="HJ23" s="5"/>
      <c r="HK23" s="5"/>
      <c r="HL23" s="5"/>
      <c r="HM23" s="5"/>
      <c r="HN23" s="5"/>
      <c r="HO23" s="5"/>
      <c r="HP23" s="5"/>
      <c r="HQ23" s="5"/>
      <c r="HR23" s="5"/>
      <c r="HS23" s="5"/>
      <c r="HT23" s="5"/>
      <c r="HU23" s="5"/>
      <c r="HV23" s="5"/>
      <c r="HX23"/>
      <c r="HY23"/>
      <c r="HZ23"/>
      <c r="IA23"/>
      <c r="IB23"/>
      <c r="IC23"/>
      <c r="ID23"/>
      <c r="IE23"/>
      <c r="IF23"/>
      <c r="IG23"/>
      <c r="IH23"/>
      <c r="II23"/>
      <c r="IJ23"/>
      <c r="IK23"/>
      <c r="IL23"/>
      <c r="IM23"/>
      <c r="IN23"/>
      <c r="IO23"/>
    </row>
    <row r="24" spans="1:249" s="7" customFormat="1">
      <c r="A24" s="5"/>
      <c r="B24" s="16"/>
      <c r="C24" s="49" t="s">
        <v>209</v>
      </c>
      <c r="D24" s="29">
        <f>D23/D21</f>
        <v>0.2200000000000002</v>
      </c>
      <c r="E24" s="520">
        <v>0.22</v>
      </c>
      <c r="F24" s="29">
        <f>D24-E24</f>
        <v>0</v>
      </c>
      <c r="G24" s="476"/>
      <c r="H24" s="527">
        <f>H23/H21</f>
        <v>0.22000000000000014</v>
      </c>
      <c r="I24" s="520">
        <v>0.21999999999999989</v>
      </c>
      <c r="J24" s="29">
        <f>H24-I24</f>
        <v>2.4980018054066022E-16</v>
      </c>
      <c r="K24" s="478"/>
      <c r="L24" s="527">
        <f>L23/L21</f>
        <v>0.22000000000000017</v>
      </c>
      <c r="M24" s="520">
        <v>0.21999999999999975</v>
      </c>
      <c r="N24" s="29">
        <f>L24-M24</f>
        <v>4.163336342344337E-16</v>
      </c>
      <c r="O24" s="478"/>
      <c r="P24" s="27"/>
      <c r="Q24" s="68"/>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5"/>
      <c r="EQ24" s="5"/>
      <c r="ER24" s="5"/>
      <c r="ES24" s="5"/>
      <c r="ET24" s="5"/>
      <c r="EU24" s="5"/>
      <c r="EV24" s="5"/>
      <c r="EW24" s="5"/>
      <c r="EX24" s="5"/>
      <c r="EY24" s="5"/>
      <c r="EZ24" s="5"/>
      <c r="FA24" s="5"/>
      <c r="FB24" s="5"/>
      <c r="FC24" s="5"/>
      <c r="FD24" s="5"/>
      <c r="FE24" s="5"/>
      <c r="FF24" s="5"/>
      <c r="FG24" s="5"/>
      <c r="FH24" s="5"/>
      <c r="FI24" s="5"/>
      <c r="FJ24" s="5"/>
      <c r="FK24" s="5"/>
      <c r="FL24" s="5"/>
      <c r="FM24" s="5"/>
      <c r="FN24" s="5"/>
      <c r="FO24" s="5"/>
      <c r="FP24" s="5"/>
      <c r="FQ24" s="5"/>
      <c r="FR24" s="5"/>
      <c r="FS24" s="5"/>
      <c r="FT24" s="5"/>
      <c r="FU24" s="5"/>
      <c r="FV24" s="5"/>
      <c r="FW24" s="5"/>
      <c r="FX24" s="5"/>
      <c r="FY24" s="5"/>
      <c r="FZ24" s="5"/>
      <c r="GA24" s="5"/>
      <c r="GB24" s="5"/>
      <c r="GC24" s="5"/>
      <c r="GD24" s="5"/>
      <c r="GE24" s="5"/>
      <c r="GF24" s="5"/>
      <c r="GG24" s="5"/>
      <c r="GH24" s="5"/>
      <c r="GI24" s="5"/>
      <c r="GJ24" s="5"/>
      <c r="GK24" s="5"/>
      <c r="GL24" s="5"/>
      <c r="GM24" s="5"/>
      <c r="GN24" s="5"/>
      <c r="GO24" s="5"/>
      <c r="GP24" s="5"/>
      <c r="GQ24" s="5"/>
      <c r="GR24" s="5"/>
      <c r="GS24" s="5"/>
      <c r="GT24" s="5"/>
      <c r="GU24" s="5"/>
      <c r="GV24" s="5"/>
      <c r="GW24" s="5"/>
      <c r="GX24" s="5"/>
      <c r="GY24" s="5"/>
      <c r="GZ24" s="5"/>
      <c r="HA24" s="5"/>
      <c r="HB24" s="5"/>
      <c r="HC24" s="5"/>
      <c r="HD24" s="5"/>
      <c r="HE24" s="5"/>
      <c r="HF24" s="5"/>
      <c r="HG24" s="5"/>
      <c r="HH24" s="5"/>
      <c r="HI24" s="5"/>
      <c r="HJ24" s="5"/>
      <c r="HK24" s="5"/>
      <c r="HL24" s="5"/>
      <c r="HM24" s="5"/>
      <c r="HN24" s="5"/>
      <c r="HO24" s="5"/>
      <c r="HP24" s="5"/>
      <c r="HQ24" s="5"/>
      <c r="HR24" s="5"/>
      <c r="HS24" s="5"/>
      <c r="HT24" s="5"/>
      <c r="HU24" s="5"/>
      <c r="HV24" s="5"/>
      <c r="HX24"/>
      <c r="HY24"/>
      <c r="HZ24"/>
      <c r="IA24"/>
      <c r="IB24"/>
      <c r="IC24"/>
      <c r="ID24"/>
      <c r="IE24"/>
      <c r="IF24"/>
      <c r="IG24"/>
      <c r="IH24"/>
      <c r="II24"/>
      <c r="IJ24"/>
      <c r="IK24"/>
      <c r="IL24"/>
      <c r="IM24"/>
      <c r="IN24"/>
      <c r="IO24"/>
    </row>
    <row r="25" spans="1:249" s="7" customFormat="1">
      <c r="A25" s="11"/>
      <c r="B25" s="16"/>
      <c r="C25" s="45" t="s">
        <v>210</v>
      </c>
      <c r="D25" s="451">
        <f>-Financials!$CV$25</f>
        <v>21.814142563960623</v>
      </c>
      <c r="E25" s="451">
        <v>21.624032738440874</v>
      </c>
      <c r="F25" s="617">
        <f>D25-E25</f>
        <v>0.1901098255197482</v>
      </c>
      <c r="G25" s="469">
        <f>(D25-E25)/D$30</f>
        <v>2.7867136826929561E-3</v>
      </c>
      <c r="H25" s="838">
        <f>-Financials!$DY$25</f>
        <v>84.559767124321453</v>
      </c>
      <c r="I25" s="451">
        <v>83.128430154640128</v>
      </c>
      <c r="J25" s="617">
        <f>H25-I25</f>
        <v>1.4313369696813254</v>
      </c>
      <c r="K25" s="462">
        <f>(H25-I25)/H$30</f>
        <v>2.1235241401213141E-2</v>
      </c>
      <c r="L25" s="838">
        <f>-Financials!$DZ$25</f>
        <v>87.062892377835141</v>
      </c>
      <c r="M25" s="451">
        <v>85.278775898756052</v>
      </c>
      <c r="N25" s="617">
        <f>L25-M25</f>
        <v>1.7841164790790884</v>
      </c>
      <c r="O25" s="462">
        <f>(L25-M25)/L$30</f>
        <v>2.7740963636866459E-2</v>
      </c>
      <c r="P25" s="27"/>
      <c r="Q25" s="68"/>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X25"/>
      <c r="HY25"/>
      <c r="HZ25"/>
      <c r="IA25"/>
      <c r="IB25"/>
      <c r="IC25"/>
      <c r="ID25"/>
      <c r="IE25"/>
      <c r="IF25"/>
      <c r="IG25"/>
      <c r="IH25"/>
      <c r="II25"/>
      <c r="IJ25"/>
      <c r="IK25"/>
      <c r="IL25"/>
      <c r="IM25"/>
      <c r="IN25"/>
      <c r="IO25"/>
    </row>
    <row r="26" spans="1:249" s="7" customFormat="1">
      <c r="A26" s="11"/>
      <c r="B26" s="16"/>
      <c r="C26" s="50" t="s">
        <v>220</v>
      </c>
      <c r="D26" s="453">
        <f>D21-D23-D25</f>
        <v>329.29489578963717</v>
      </c>
      <c r="E26" s="521">
        <v>326.42509721747007</v>
      </c>
      <c r="F26" s="618">
        <f>D26-E26</f>
        <v>2.8697985721670989</v>
      </c>
      <c r="G26" s="467"/>
      <c r="H26" s="530">
        <f>H21-H23-H25</f>
        <v>1276.4700524696586</v>
      </c>
      <c r="I26" s="521">
        <v>1254.8633376107525</v>
      </c>
      <c r="J26" s="618">
        <f>H26-I26</f>
        <v>21.606714858906116</v>
      </c>
      <c r="K26" s="460"/>
      <c r="L26" s="530">
        <f>L21-L23-L25</f>
        <v>1314.2559231307396</v>
      </c>
      <c r="M26" s="521">
        <v>1287.3238331651471</v>
      </c>
      <c r="N26" s="618">
        <f>L26-M26</f>
        <v>26.932089965592468</v>
      </c>
      <c r="O26" s="460"/>
      <c r="P26" s="23"/>
      <c r="Q26" s="68"/>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X26"/>
      <c r="HY26"/>
      <c r="HZ26"/>
      <c r="IA26"/>
      <c r="IB26"/>
      <c r="IC26"/>
      <c r="ID26"/>
      <c r="IE26"/>
      <c r="IF26"/>
      <c r="IG26"/>
      <c r="IH26"/>
      <c r="II26"/>
      <c r="IJ26"/>
      <c r="IK26"/>
      <c r="IL26"/>
      <c r="IM26"/>
      <c r="IN26"/>
      <c r="IO26"/>
    </row>
    <row r="27" spans="1:249" s="7" customFormat="1">
      <c r="A27" s="11"/>
      <c r="B27" s="16"/>
      <c r="C27" s="40"/>
      <c r="D27" s="454"/>
      <c r="E27" s="454"/>
      <c r="F27" s="450"/>
      <c r="G27" s="468"/>
      <c r="H27" s="839"/>
      <c r="I27" s="454"/>
      <c r="J27" s="450"/>
      <c r="K27" s="461"/>
      <c r="L27" s="839"/>
      <c r="M27" s="454"/>
      <c r="N27" s="450"/>
      <c r="O27" s="461"/>
      <c r="P27" s="27"/>
      <c r="Q27" s="78"/>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X27"/>
      <c r="HY27"/>
      <c r="HZ27"/>
      <c r="IA27"/>
      <c r="IB27"/>
      <c r="IC27"/>
      <c r="ID27"/>
      <c r="IE27"/>
      <c r="IF27"/>
      <c r="IG27"/>
      <c r="IH27"/>
      <c r="II27"/>
      <c r="IJ27"/>
      <c r="IK27"/>
      <c r="IL27"/>
      <c r="IM27"/>
      <c r="IN27"/>
      <c r="IO27"/>
    </row>
    <row r="28" spans="1:249" s="7" customFormat="1">
      <c r="A28" s="5"/>
      <c r="B28" s="55"/>
      <c r="C28" s="56" t="s">
        <v>221</v>
      </c>
      <c r="D28" s="455">
        <f>D26/D30</f>
        <v>4.8269498392791359</v>
      </c>
      <c r="E28" s="522">
        <v>4.784883065898188</v>
      </c>
      <c r="F28" s="460">
        <f>D28-E28</f>
        <v>4.2066773380947886E-2</v>
      </c>
      <c r="G28" s="467">
        <f>D28-E28</f>
        <v>4.2066773380947886E-2</v>
      </c>
      <c r="H28" s="531">
        <f>H26/H30</f>
        <v>18.937643811189584</v>
      </c>
      <c r="I28" s="522">
        <v>18.6170877048115</v>
      </c>
      <c r="J28" s="460">
        <f>H28-I28</f>
        <v>0.32055610637808485</v>
      </c>
      <c r="K28" s="460">
        <f>H28-I28</f>
        <v>0.32055610637808485</v>
      </c>
      <c r="L28" s="531">
        <f>L26/L30</f>
        <v>20.435171246176253</v>
      </c>
      <c r="M28" s="522">
        <v>20.016408156904212</v>
      </c>
      <c r="N28" s="460">
        <f>L28-M28</f>
        <v>0.41876308927204065</v>
      </c>
      <c r="O28" s="460">
        <f>L28-M28</f>
        <v>0.41876308927204065</v>
      </c>
      <c r="P28" s="23"/>
      <c r="Q28" s="68"/>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5"/>
      <c r="EQ28" s="5"/>
      <c r="ER28" s="5"/>
      <c r="ES28" s="5"/>
      <c r="ET28" s="5"/>
      <c r="EU28" s="5"/>
      <c r="EV28" s="5"/>
      <c r="EW28" s="5"/>
      <c r="EX28" s="5"/>
      <c r="EY28" s="5"/>
      <c r="EZ28" s="5"/>
      <c r="FA28" s="5"/>
      <c r="FB28" s="5"/>
      <c r="FC28" s="5"/>
      <c r="FD28" s="5"/>
      <c r="FE28" s="5"/>
      <c r="FF28" s="5"/>
      <c r="FG28" s="5"/>
      <c r="FH28" s="5"/>
      <c r="FI28" s="5"/>
      <c r="FJ28" s="5"/>
      <c r="FK28" s="5"/>
      <c r="FL28" s="5"/>
      <c r="FM28" s="5"/>
      <c r="FN28" s="5"/>
      <c r="FO28" s="5"/>
      <c r="FP28" s="5"/>
      <c r="FQ28" s="5"/>
      <c r="FR28" s="5"/>
      <c r="FS28" s="5"/>
      <c r="FT28" s="5"/>
      <c r="FU28" s="5"/>
      <c r="FV28" s="5"/>
      <c r="FW28" s="5"/>
      <c r="FX28" s="5"/>
      <c r="FY28" s="5"/>
      <c r="FZ28" s="5"/>
      <c r="GA28" s="5"/>
      <c r="GB28" s="5"/>
      <c r="GC28" s="5"/>
      <c r="GD28" s="5"/>
      <c r="GE28" s="5"/>
      <c r="GF28" s="5"/>
      <c r="GG28" s="5"/>
      <c r="GH28" s="5"/>
      <c r="GI28" s="5"/>
      <c r="GJ28" s="5"/>
      <c r="GK28" s="5"/>
      <c r="GL28" s="5"/>
      <c r="GM28" s="5"/>
      <c r="GN28" s="5"/>
      <c r="GO28" s="5"/>
      <c r="GP28" s="5"/>
      <c r="GQ28" s="5"/>
      <c r="GR28" s="5"/>
      <c r="GS28" s="5"/>
      <c r="GT28" s="5"/>
      <c r="GU28" s="5"/>
      <c r="GV28" s="5"/>
      <c r="GW28" s="5"/>
      <c r="GX28" s="5"/>
      <c r="GY28" s="5"/>
      <c r="GZ28" s="5"/>
      <c r="HA28" s="5"/>
      <c r="HB28" s="5"/>
      <c r="HC28" s="5"/>
      <c r="HD28" s="5"/>
      <c r="HE28" s="5"/>
      <c r="HF28" s="5"/>
      <c r="HG28" s="5"/>
      <c r="HH28" s="5"/>
      <c r="HI28" s="5"/>
      <c r="HJ28" s="5"/>
      <c r="HK28" s="5"/>
      <c r="HL28" s="5"/>
      <c r="HM28" s="5"/>
      <c r="HN28" s="5"/>
      <c r="HO28" s="5"/>
      <c r="HP28" s="5"/>
      <c r="HQ28" s="5"/>
      <c r="HR28" s="5"/>
      <c r="HS28" s="5"/>
      <c r="HT28" s="5"/>
      <c r="HU28" s="5"/>
      <c r="HV28" s="5"/>
      <c r="HX28"/>
      <c r="HY28"/>
      <c r="HZ28"/>
      <c r="IA28"/>
      <c r="IB28"/>
      <c r="IC28"/>
      <c r="ID28"/>
      <c r="IE28"/>
      <c r="IF28"/>
      <c r="IG28"/>
      <c r="IH28"/>
      <c r="II28"/>
      <c r="IJ28"/>
      <c r="IK28"/>
      <c r="IL28"/>
      <c r="IM28"/>
      <c r="IN28"/>
      <c r="IO28"/>
    </row>
    <row r="29" spans="1:249" s="7" customFormat="1">
      <c r="A29" s="5"/>
      <c r="B29" s="16"/>
      <c r="C29" s="40"/>
      <c r="D29" s="456"/>
      <c r="E29" s="456"/>
      <c r="F29" s="40"/>
      <c r="G29" s="477"/>
      <c r="H29" s="840"/>
      <c r="I29" s="456"/>
      <c r="J29" s="40"/>
      <c r="K29" s="479"/>
      <c r="L29" s="840"/>
      <c r="M29" s="456"/>
      <c r="N29" s="40"/>
      <c r="O29" s="479"/>
      <c r="P29" s="64"/>
      <c r="Q29" s="68"/>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5"/>
      <c r="EQ29" s="5"/>
      <c r="ER29" s="5"/>
      <c r="ES29" s="5"/>
      <c r="ET29" s="5"/>
      <c r="EU29" s="5"/>
      <c r="EV29" s="5"/>
      <c r="EW29" s="5"/>
      <c r="EX29" s="5"/>
      <c r="EY29" s="5"/>
      <c r="EZ29" s="5"/>
      <c r="FA29" s="5"/>
      <c r="FB29" s="5"/>
      <c r="FC29" s="5"/>
      <c r="FD29" s="5"/>
      <c r="FE29" s="5"/>
      <c r="FF29" s="5"/>
      <c r="FG29" s="5"/>
      <c r="FH29" s="5"/>
      <c r="FI29" s="5"/>
      <c r="FJ29" s="5"/>
      <c r="FK29" s="5"/>
      <c r="FL29" s="5"/>
      <c r="FM29" s="5"/>
      <c r="FN29" s="5"/>
      <c r="FO29" s="5"/>
      <c r="FP29" s="5"/>
      <c r="FQ29" s="5"/>
      <c r="FR29" s="5"/>
      <c r="FS29" s="5"/>
      <c r="FT29" s="5"/>
      <c r="FU29" s="5"/>
      <c r="FV29" s="5"/>
      <c r="FW29" s="5"/>
      <c r="FX29" s="5"/>
      <c r="FY29" s="5"/>
      <c r="FZ29" s="5"/>
      <c r="GA29" s="5"/>
      <c r="GB29" s="5"/>
      <c r="GC29" s="5"/>
      <c r="GD29" s="5"/>
      <c r="GE29" s="5"/>
      <c r="GF29" s="5"/>
      <c r="GG29" s="5"/>
      <c r="GH29" s="5"/>
      <c r="GI29" s="5"/>
      <c r="GJ29" s="5"/>
      <c r="GK29" s="5"/>
      <c r="GL29" s="5"/>
      <c r="GM29" s="5"/>
      <c r="GN29" s="5"/>
      <c r="GO29" s="5"/>
      <c r="GP29" s="5"/>
      <c r="GQ29" s="5"/>
      <c r="GR29" s="5"/>
      <c r="GS29" s="5"/>
      <c r="GT29" s="5"/>
      <c r="GU29" s="5"/>
      <c r="GV29" s="5"/>
      <c r="GW29" s="5"/>
      <c r="GX29" s="5"/>
      <c r="GY29" s="5"/>
      <c r="GZ29" s="5"/>
      <c r="HA29" s="5"/>
      <c r="HB29" s="5"/>
      <c r="HC29" s="5"/>
      <c r="HD29" s="5"/>
      <c r="HE29" s="5"/>
      <c r="HF29" s="5"/>
      <c r="HG29" s="5"/>
      <c r="HH29" s="5"/>
      <c r="HI29" s="5"/>
      <c r="HJ29" s="5"/>
      <c r="HK29" s="5"/>
      <c r="HL29" s="5"/>
      <c r="HM29" s="5"/>
      <c r="HN29" s="5"/>
      <c r="HO29" s="5"/>
      <c r="HP29" s="5"/>
      <c r="HQ29" s="5"/>
      <c r="HR29" s="5"/>
      <c r="HS29" s="5"/>
      <c r="HT29" s="5"/>
      <c r="HU29" s="5"/>
      <c r="HV29" s="5"/>
      <c r="HX29"/>
      <c r="HY29"/>
      <c r="HZ29"/>
      <c r="IA29"/>
      <c r="IB29"/>
      <c r="IC29"/>
      <c r="ID29"/>
      <c r="IE29"/>
      <c r="IF29"/>
      <c r="IG29"/>
      <c r="IH29"/>
      <c r="II29"/>
      <c r="IJ29"/>
      <c r="IK29"/>
      <c r="IL29"/>
      <c r="IM29"/>
      <c r="IN29"/>
      <c r="IO29"/>
    </row>
    <row r="30" spans="1:249" s="7" customFormat="1">
      <c r="A30" s="5"/>
      <c r="B30" s="16"/>
      <c r="C30" s="45" t="s">
        <v>211</v>
      </c>
      <c r="D30" s="451">
        <f>Financials!$CV$37</f>
        <v>68.220078259361941</v>
      </c>
      <c r="E30" s="451">
        <v>68.220078259361941</v>
      </c>
      <c r="F30" s="617">
        <f>D30-E30</f>
        <v>0</v>
      </c>
      <c r="G30" s="468">
        <f>D26/D30-D26/E30</f>
        <v>0</v>
      </c>
      <c r="H30" s="838">
        <f>Financials!$DY$37</f>
        <v>67.403847342161839</v>
      </c>
      <c r="I30" s="451">
        <v>67.403847342161839</v>
      </c>
      <c r="J30" s="617">
        <f>H30-I30</f>
        <v>0</v>
      </c>
      <c r="K30" s="461">
        <f>H26/H30-H26/I30</f>
        <v>0</v>
      </c>
      <c r="L30" s="838">
        <f>Financials!$DZ$37</f>
        <v>64.313428417031631</v>
      </c>
      <c r="M30" s="451">
        <v>64.313428417031631</v>
      </c>
      <c r="N30" s="617">
        <f>L30-M30</f>
        <v>0</v>
      </c>
      <c r="O30" s="461">
        <f>L26/L30-L26/M30</f>
        <v>0</v>
      </c>
      <c r="P30" s="27"/>
      <c r="Q30" s="68"/>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5"/>
      <c r="EQ30" s="5"/>
      <c r="ER30" s="5"/>
      <c r="ES30" s="5"/>
      <c r="ET30" s="5"/>
      <c r="EU30" s="5"/>
      <c r="EV30" s="5"/>
      <c r="EW30" s="5"/>
      <c r="EX30" s="5"/>
      <c r="EY30" s="5"/>
      <c r="EZ30" s="5"/>
      <c r="FA30" s="5"/>
      <c r="FB30" s="5"/>
      <c r="FC30" s="5"/>
      <c r="FD30" s="5"/>
      <c r="FE30" s="5"/>
      <c r="FF30" s="5"/>
      <c r="FG30" s="5"/>
      <c r="FH30" s="5"/>
      <c r="FI30" s="5"/>
      <c r="FJ30" s="5"/>
      <c r="FK30" s="5"/>
      <c r="FL30" s="5"/>
      <c r="FM30" s="5"/>
      <c r="FN30" s="5"/>
      <c r="FO30" s="5"/>
      <c r="FP30" s="5"/>
      <c r="FQ30" s="5"/>
      <c r="FR30" s="5"/>
      <c r="FS30" s="5"/>
      <c r="FT30" s="5"/>
      <c r="FU30" s="5"/>
      <c r="FV30" s="5"/>
      <c r="FW30" s="5"/>
      <c r="FX30" s="5"/>
      <c r="FY30" s="5"/>
      <c r="FZ30" s="5"/>
      <c r="GA30" s="5"/>
      <c r="GB30" s="5"/>
      <c r="GC30" s="5"/>
      <c r="GD30" s="5"/>
      <c r="GE30" s="5"/>
      <c r="GF30" s="5"/>
      <c r="GG30" s="5"/>
      <c r="GH30" s="5"/>
      <c r="GI30" s="5"/>
      <c r="GJ30" s="5"/>
      <c r="GK30" s="5"/>
      <c r="GL30" s="5"/>
      <c r="GM30" s="5"/>
      <c r="GN30" s="5"/>
      <c r="GO30" s="5"/>
      <c r="GP30" s="5"/>
      <c r="GQ30" s="5"/>
      <c r="GR30" s="5"/>
      <c r="GS30" s="5"/>
      <c r="GT30" s="5"/>
      <c r="GU30" s="5"/>
      <c r="GV30" s="5"/>
      <c r="GW30" s="5"/>
      <c r="GX30" s="5"/>
      <c r="GY30" s="5"/>
      <c r="GZ30" s="5"/>
      <c r="HA30" s="5"/>
      <c r="HB30" s="5"/>
      <c r="HC30" s="5"/>
      <c r="HD30" s="5"/>
      <c r="HE30" s="5"/>
      <c r="HF30" s="5"/>
      <c r="HG30" s="5"/>
      <c r="HH30" s="5"/>
      <c r="HI30" s="5"/>
      <c r="HJ30" s="5"/>
      <c r="HK30" s="5"/>
      <c r="HL30" s="5"/>
      <c r="HM30" s="5"/>
      <c r="HN30" s="5"/>
      <c r="HO30" s="5"/>
      <c r="HP30" s="5"/>
      <c r="HQ30" s="5"/>
      <c r="HR30" s="5"/>
      <c r="HS30" s="5"/>
      <c r="HT30" s="5"/>
      <c r="HU30" s="5"/>
      <c r="HV30" s="5"/>
      <c r="HX30"/>
      <c r="HY30"/>
      <c r="HZ30"/>
      <c r="IA30"/>
      <c r="IB30"/>
      <c r="IC30"/>
      <c r="ID30"/>
      <c r="IE30"/>
      <c r="IF30"/>
      <c r="IG30"/>
      <c r="IH30"/>
      <c r="II30"/>
      <c r="IJ30"/>
      <c r="IK30"/>
      <c r="IL30"/>
      <c r="IM30"/>
      <c r="IN30"/>
      <c r="IO30"/>
    </row>
    <row r="31" spans="1:249" s="7" customFormat="1">
      <c r="A31" s="5"/>
      <c r="B31" s="16"/>
      <c r="C31" s="40"/>
      <c r="D31" s="456"/>
      <c r="E31" s="456"/>
      <c r="F31" s="40"/>
      <c r="G31" s="477"/>
      <c r="H31" s="840"/>
      <c r="I31" s="456"/>
      <c r="J31" s="40"/>
      <c r="K31" s="479"/>
      <c r="L31" s="840"/>
      <c r="M31" s="456"/>
      <c r="N31" s="40"/>
      <c r="O31" s="479"/>
      <c r="P31" s="64"/>
      <c r="Q31" s="68"/>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5"/>
      <c r="EQ31" s="5"/>
      <c r="ER31" s="5"/>
      <c r="ES31" s="5"/>
      <c r="ET31" s="5"/>
      <c r="EU31" s="5"/>
      <c r="EV31" s="5"/>
      <c r="EW31" s="5"/>
      <c r="EX31" s="5"/>
      <c r="EY31" s="5"/>
      <c r="EZ31" s="5"/>
      <c r="FA31" s="5"/>
      <c r="FB31" s="5"/>
      <c r="FC31" s="5"/>
      <c r="FD31" s="5"/>
      <c r="FE31" s="5"/>
      <c r="FF31" s="5"/>
      <c r="FG31" s="5"/>
      <c r="FH31" s="5"/>
      <c r="FI31" s="5"/>
      <c r="FJ31" s="5"/>
      <c r="FK31" s="5"/>
      <c r="FL31" s="5"/>
      <c r="FM31" s="5"/>
      <c r="FN31" s="5"/>
      <c r="FO31" s="5"/>
      <c r="FP31" s="5"/>
      <c r="FQ31" s="5"/>
      <c r="FR31" s="5"/>
      <c r="FS31" s="5"/>
      <c r="FT31" s="5"/>
      <c r="FU31" s="5"/>
      <c r="FV31" s="5"/>
      <c r="FW31" s="5"/>
      <c r="FX31" s="5"/>
      <c r="FY31" s="5"/>
      <c r="FZ31" s="5"/>
      <c r="GA31" s="5"/>
      <c r="GB31" s="5"/>
      <c r="GC31" s="5"/>
      <c r="GD31" s="5"/>
      <c r="GE31" s="5"/>
      <c r="GF31" s="5"/>
      <c r="GG31" s="5"/>
      <c r="GH31" s="5"/>
      <c r="GI31" s="5"/>
      <c r="GJ31" s="5"/>
      <c r="GK31" s="5"/>
      <c r="GL31" s="5"/>
      <c r="GM31" s="5"/>
      <c r="GN31" s="5"/>
      <c r="GO31" s="5"/>
      <c r="GP31" s="5"/>
      <c r="GQ31" s="5"/>
      <c r="GR31" s="5"/>
      <c r="GS31" s="5"/>
      <c r="GT31" s="5"/>
      <c r="GU31" s="5"/>
      <c r="GV31" s="5"/>
      <c r="GW31" s="5"/>
      <c r="GX31" s="5"/>
      <c r="GY31" s="5"/>
      <c r="GZ31" s="5"/>
      <c r="HA31" s="5"/>
      <c r="HB31" s="5"/>
      <c r="HC31" s="5"/>
      <c r="HD31" s="5"/>
      <c r="HE31" s="5"/>
      <c r="HF31" s="5"/>
      <c r="HG31" s="5"/>
      <c r="HH31" s="5"/>
      <c r="HI31" s="5"/>
      <c r="HJ31" s="5"/>
      <c r="HK31" s="5"/>
      <c r="HL31" s="5"/>
      <c r="HM31" s="5"/>
      <c r="HN31" s="5"/>
      <c r="HO31" s="5"/>
      <c r="HP31" s="5"/>
      <c r="HQ31" s="5"/>
      <c r="HR31" s="5"/>
      <c r="HS31" s="5"/>
      <c r="HT31" s="5"/>
      <c r="HU31" s="5"/>
      <c r="HV31" s="5"/>
      <c r="HX31"/>
      <c r="HY31"/>
      <c r="HZ31"/>
      <c r="IA31"/>
      <c r="IB31"/>
      <c r="IC31"/>
      <c r="ID31"/>
      <c r="IE31"/>
      <c r="IF31"/>
      <c r="IG31"/>
      <c r="IH31"/>
      <c r="II31"/>
      <c r="IJ31"/>
      <c r="IK31"/>
      <c r="IL31"/>
      <c r="IM31"/>
      <c r="IN31"/>
      <c r="IO31"/>
    </row>
    <row r="32" spans="1:249" s="68" customFormat="1">
      <c r="A32" s="5"/>
      <c r="B32" s="16"/>
      <c r="C32" s="45" t="s">
        <v>177</v>
      </c>
      <c r="D32" s="451">
        <f>Financials!$CV$156</f>
        <v>151.28265440600325</v>
      </c>
      <c r="E32" s="451">
        <v>151.85166464910463</v>
      </c>
      <c r="F32" s="617">
        <f>D32-E32</f>
        <v>-0.56901024310138837</v>
      </c>
      <c r="G32" s="468"/>
      <c r="H32" s="838">
        <f>Financials!$DY$156</f>
        <v>1201.7277487566744</v>
      </c>
      <c r="I32" s="451">
        <v>1206.3444844706507</v>
      </c>
      <c r="J32" s="617">
        <f>H32-I32</f>
        <v>-4.6167357139763681</v>
      </c>
      <c r="K32" s="461"/>
      <c r="L32" s="838">
        <f>Financials!$DZ$156</f>
        <v>1158.3359979159527</v>
      </c>
      <c r="M32" s="451">
        <v>1142.3881091526832</v>
      </c>
      <c r="N32" s="617">
        <f>L32-M32</f>
        <v>15.947888763269475</v>
      </c>
      <c r="O32" s="461"/>
      <c r="P32" s="27"/>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5"/>
      <c r="EQ32" s="5"/>
      <c r="ER32" s="5"/>
      <c r="ES32" s="5"/>
      <c r="ET32" s="5"/>
      <c r="EU32" s="5"/>
      <c r="EV32" s="5"/>
      <c r="EW32" s="5"/>
      <c r="EX32" s="5"/>
      <c r="EY32" s="5"/>
      <c r="EZ32" s="5"/>
      <c r="FA32" s="5"/>
      <c r="FB32" s="5"/>
      <c r="FC32" s="5"/>
      <c r="FD32" s="5"/>
      <c r="FE32" s="5"/>
      <c r="FF32" s="5"/>
      <c r="FG32" s="5"/>
      <c r="FH32" s="5"/>
      <c r="FI32" s="5"/>
      <c r="FJ32" s="5"/>
      <c r="FK32" s="5"/>
      <c r="FL32" s="5"/>
      <c r="FM32" s="5"/>
      <c r="FN32" s="5"/>
      <c r="FO32" s="5"/>
      <c r="FP32" s="5"/>
      <c r="FQ32" s="5"/>
      <c r="FR32" s="5"/>
      <c r="FS32" s="5"/>
      <c r="FT32" s="5"/>
      <c r="FU32" s="5"/>
      <c r="FV32" s="5"/>
      <c r="FW32" s="5"/>
      <c r="FX32" s="5"/>
      <c r="FY32" s="5"/>
      <c r="FZ32" s="5"/>
      <c r="GA32" s="5"/>
      <c r="GB32" s="5"/>
      <c r="GC32" s="5"/>
      <c r="GD32" s="5"/>
      <c r="GE32" s="5"/>
      <c r="GF32" s="5"/>
      <c r="GG32" s="5"/>
      <c r="GH32" s="5"/>
      <c r="GI32" s="5"/>
      <c r="GJ32" s="5"/>
      <c r="GK32" s="5"/>
      <c r="GL32" s="5"/>
      <c r="GM32" s="5"/>
      <c r="GN32" s="5"/>
      <c r="GO32" s="5"/>
      <c r="GP32" s="5"/>
      <c r="GQ32" s="5"/>
      <c r="GR32" s="5"/>
      <c r="GS32" s="5"/>
      <c r="GT32" s="5"/>
      <c r="GU32" s="5"/>
      <c r="GV32" s="5"/>
      <c r="GW32" s="5"/>
      <c r="GX32" s="5"/>
      <c r="GY32" s="5"/>
      <c r="GZ32" s="5"/>
      <c r="HA32" s="5"/>
      <c r="HB32" s="5"/>
      <c r="HC32" s="5"/>
      <c r="HD32" s="5"/>
      <c r="HE32" s="5"/>
      <c r="HF32" s="5"/>
      <c r="HG32" s="5"/>
      <c r="HH32" s="5"/>
      <c r="HI32" s="5"/>
      <c r="HJ32" s="5"/>
      <c r="HK32" s="5"/>
      <c r="HL32" s="5"/>
      <c r="HM32" s="5"/>
      <c r="HN32" s="5"/>
      <c r="HO32" s="5"/>
      <c r="HP32" s="5"/>
      <c r="HQ32" s="5"/>
      <c r="HR32" s="5"/>
      <c r="HS32" s="5"/>
      <c r="HT32" s="5"/>
      <c r="HU32" s="5"/>
      <c r="HV32" s="5"/>
      <c r="HW32" s="7"/>
      <c r="HX32"/>
      <c r="HY32"/>
      <c r="HZ32"/>
      <c r="IA32"/>
      <c r="IB32"/>
      <c r="IC32"/>
      <c r="ID32"/>
      <c r="IE32"/>
      <c r="IF32"/>
      <c r="IG32"/>
      <c r="IH32"/>
      <c r="II32"/>
      <c r="IJ32"/>
      <c r="IK32"/>
      <c r="IL32"/>
      <c r="IM32"/>
      <c r="IN32"/>
      <c r="IO32"/>
    </row>
    <row r="33" spans="1:249" s="68" customFormat="1">
      <c r="A33" s="5"/>
      <c r="B33" s="16"/>
      <c r="C33" s="45" t="s">
        <v>141</v>
      </c>
      <c r="D33" s="451">
        <f>-Financials!$CV$133</f>
        <v>157.06635182100104</v>
      </c>
      <c r="E33" s="451">
        <v>156.721474634277</v>
      </c>
      <c r="F33" s="617">
        <f>D33-E33</f>
        <v>0.34487718672403389</v>
      </c>
      <c r="G33" s="468"/>
      <c r="H33" s="838">
        <f>-Financials!$DY$133</f>
        <v>646.19296506751755</v>
      </c>
      <c r="I33" s="451">
        <v>639.84144182508658</v>
      </c>
      <c r="J33" s="617">
        <f>H33-I33</f>
        <v>6.3515232424309715</v>
      </c>
      <c r="K33" s="461"/>
      <c r="L33" s="838">
        <f>-Financials!$DZ$133</f>
        <v>686.14570075136066</v>
      </c>
      <c r="M33" s="451">
        <v>677.15123794869419</v>
      </c>
      <c r="N33" s="617">
        <f>L33-M33</f>
        <v>8.9944628026664759</v>
      </c>
      <c r="O33" s="461"/>
      <c r="P33" s="27"/>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5"/>
      <c r="EQ33" s="5"/>
      <c r="ER33" s="5"/>
      <c r="ES33" s="5"/>
      <c r="ET33" s="5"/>
      <c r="EU33" s="5"/>
      <c r="EV33" s="5"/>
      <c r="EW33" s="5"/>
      <c r="EX33" s="5"/>
      <c r="EY33" s="5"/>
      <c r="EZ33" s="5"/>
      <c r="FA33" s="5"/>
      <c r="FB33" s="5"/>
      <c r="FC33" s="5"/>
      <c r="FD33" s="5"/>
      <c r="FE33" s="5"/>
      <c r="FF33" s="5"/>
      <c r="FG33" s="5"/>
      <c r="FH33" s="5"/>
      <c r="FI33" s="5"/>
      <c r="FJ33" s="5"/>
      <c r="FK33" s="5"/>
      <c r="FL33" s="5"/>
      <c r="FM33" s="5"/>
      <c r="FN33" s="5"/>
      <c r="FO33" s="5"/>
      <c r="FP33" s="5"/>
      <c r="FQ33" s="5"/>
      <c r="FR33" s="5"/>
      <c r="FS33" s="5"/>
      <c r="FT33" s="5"/>
      <c r="FU33" s="5"/>
      <c r="FV33" s="5"/>
      <c r="FW33" s="5"/>
      <c r="FX33" s="5"/>
      <c r="FY33" s="5"/>
      <c r="FZ33" s="5"/>
      <c r="GA33" s="5"/>
      <c r="GB33" s="5"/>
      <c r="GC33" s="5"/>
      <c r="GD33" s="5"/>
      <c r="GE33" s="5"/>
      <c r="GF33" s="5"/>
      <c r="GG33" s="5"/>
      <c r="GH33" s="5"/>
      <c r="GI33" s="5"/>
      <c r="GJ33" s="5"/>
      <c r="GK33" s="5"/>
      <c r="GL33" s="5"/>
      <c r="GM33" s="5"/>
      <c r="GN33" s="5"/>
      <c r="GO33" s="5"/>
      <c r="GP33" s="5"/>
      <c r="GQ33" s="5"/>
      <c r="GR33" s="5"/>
      <c r="GS33" s="5"/>
      <c r="GT33" s="5"/>
      <c r="GU33" s="5"/>
      <c r="GV33" s="5"/>
      <c r="GW33" s="5"/>
      <c r="GX33" s="5"/>
      <c r="GY33" s="5"/>
      <c r="GZ33" s="5"/>
      <c r="HA33" s="5"/>
      <c r="HB33" s="5"/>
      <c r="HC33" s="5"/>
      <c r="HD33" s="5"/>
      <c r="HE33" s="5"/>
      <c r="HF33" s="5"/>
      <c r="HG33" s="5"/>
      <c r="HH33" s="5"/>
      <c r="HI33" s="5"/>
      <c r="HJ33" s="5"/>
      <c r="HK33" s="5"/>
      <c r="HL33" s="5"/>
      <c r="HM33" s="5"/>
      <c r="HN33" s="5"/>
      <c r="HO33" s="5"/>
      <c r="HP33" s="5"/>
      <c r="HQ33" s="5"/>
      <c r="HR33" s="5"/>
      <c r="HS33" s="5"/>
      <c r="HT33" s="5"/>
      <c r="HU33" s="5"/>
      <c r="HV33" s="5"/>
      <c r="HW33" s="7"/>
      <c r="HX33"/>
      <c r="HY33"/>
      <c r="HZ33"/>
      <c r="IA33"/>
      <c r="IB33"/>
      <c r="IC33"/>
      <c r="ID33"/>
      <c r="IE33"/>
      <c r="IF33"/>
      <c r="IG33"/>
      <c r="IH33"/>
      <c r="II33"/>
      <c r="IJ33"/>
      <c r="IK33"/>
      <c r="IL33"/>
      <c r="IM33"/>
      <c r="IN33"/>
      <c r="IO33"/>
    </row>
    <row r="34" spans="1:249" s="68" customFormat="1" ht="15.75" thickBot="1">
      <c r="A34" s="5"/>
      <c r="B34" s="36"/>
      <c r="C34" s="37"/>
      <c r="D34" s="37"/>
      <c r="E34" s="37"/>
      <c r="F34" s="37"/>
      <c r="G34" s="37"/>
      <c r="H34" s="37"/>
      <c r="I34" s="37"/>
      <c r="J34" s="37"/>
      <c r="K34" s="37"/>
      <c r="L34" s="37"/>
      <c r="M34" s="37"/>
      <c r="N34" s="37"/>
      <c r="O34" s="37"/>
      <c r="P34" s="6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5"/>
      <c r="EQ34" s="5"/>
      <c r="ER34" s="5"/>
      <c r="ES34" s="5"/>
      <c r="ET34" s="5"/>
      <c r="EU34" s="5"/>
      <c r="EV34" s="5"/>
      <c r="EW34" s="5"/>
      <c r="EX34" s="5"/>
      <c r="EY34" s="5"/>
      <c r="EZ34" s="5"/>
      <c r="FA34" s="5"/>
      <c r="FB34" s="5"/>
      <c r="FC34" s="5"/>
      <c r="FD34" s="5"/>
      <c r="FE34" s="5"/>
      <c r="FF34" s="5"/>
      <c r="FG34" s="5"/>
      <c r="FH34" s="5"/>
      <c r="FI34" s="5"/>
      <c r="FJ34" s="5"/>
      <c r="FK34" s="5"/>
      <c r="FL34" s="5"/>
      <c r="FM34" s="5"/>
      <c r="FN34" s="5"/>
      <c r="FO34" s="5"/>
      <c r="FP34" s="5"/>
      <c r="FQ34" s="5"/>
      <c r="FR34" s="5"/>
      <c r="FS34" s="5"/>
      <c r="FT34" s="5"/>
      <c r="FU34" s="5"/>
      <c r="FV34" s="5"/>
      <c r="FW34" s="5"/>
      <c r="FX34" s="5"/>
      <c r="FY34" s="5"/>
      <c r="FZ34" s="5"/>
      <c r="GA34" s="5"/>
      <c r="GB34" s="5"/>
      <c r="GC34" s="5"/>
      <c r="GD34" s="5"/>
      <c r="GE34" s="5"/>
      <c r="GF34" s="5"/>
      <c r="GG34" s="5"/>
      <c r="GH34" s="5"/>
      <c r="GI34" s="5"/>
      <c r="GJ34" s="5"/>
      <c r="GK34" s="5"/>
      <c r="GL34" s="5"/>
      <c r="GM34" s="5"/>
      <c r="GN34" s="5"/>
      <c r="GO34" s="5"/>
      <c r="GP34" s="5"/>
      <c r="GQ34" s="5"/>
      <c r="GR34" s="5"/>
      <c r="GS34" s="5"/>
      <c r="GT34" s="5"/>
      <c r="GU34" s="5"/>
      <c r="GV34" s="5"/>
      <c r="GW34" s="5"/>
      <c r="GX34" s="5"/>
      <c r="GY34" s="5"/>
      <c r="GZ34" s="5"/>
      <c r="HA34" s="5"/>
      <c r="HB34" s="5"/>
      <c r="HC34" s="5"/>
      <c r="HD34" s="5"/>
      <c r="HE34" s="5"/>
      <c r="HF34" s="5"/>
      <c r="HG34" s="5"/>
      <c r="HH34" s="5"/>
      <c r="HI34" s="5"/>
      <c r="HJ34" s="5"/>
      <c r="HK34" s="5"/>
      <c r="HL34" s="5"/>
      <c r="HM34" s="5"/>
      <c r="HN34" s="5"/>
      <c r="HO34" s="5"/>
      <c r="HP34" s="5"/>
      <c r="HQ34" s="5"/>
      <c r="HR34" s="5"/>
      <c r="HS34" s="5"/>
      <c r="HT34" s="5"/>
      <c r="HU34" s="5"/>
      <c r="HV34" s="5"/>
      <c r="HW34" s="7"/>
      <c r="HX34"/>
      <c r="HY34"/>
      <c r="HZ34"/>
      <c r="IA34"/>
      <c r="IB34"/>
      <c r="IC34"/>
      <c r="ID34"/>
      <c r="IE34"/>
      <c r="IF34"/>
      <c r="IG34"/>
      <c r="IH34"/>
      <c r="II34"/>
      <c r="IJ34"/>
      <c r="IK34"/>
      <c r="IL34"/>
      <c r="IM34"/>
      <c r="IN34"/>
      <c r="IO34"/>
    </row>
    <row r="35" spans="1:249" s="68" customFormat="1" ht="15.75" thickBot="1">
      <c r="A35" s="5"/>
      <c r="B35" s="5"/>
      <c r="C35" s="11"/>
      <c r="D35" s="11"/>
      <c r="E35" s="11"/>
      <c r="F35" s="11"/>
      <c r="G35" s="11"/>
      <c r="H35" s="11"/>
      <c r="I35" s="11"/>
      <c r="J35" s="11"/>
      <c r="K35" s="11"/>
      <c r="L35" s="11"/>
      <c r="M35" s="11"/>
      <c r="N35" s="11"/>
      <c r="O35" s="11"/>
      <c r="P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5"/>
      <c r="EQ35" s="5"/>
      <c r="ER35" s="5"/>
      <c r="ES35" s="5"/>
      <c r="ET35" s="5"/>
      <c r="EU35" s="5"/>
      <c r="EV35" s="5"/>
      <c r="EW35" s="5"/>
      <c r="EX35" s="5"/>
      <c r="EY35" s="5"/>
      <c r="EZ35" s="5"/>
      <c r="FA35" s="5"/>
      <c r="FB35" s="5"/>
      <c r="FC35" s="5"/>
      <c r="FD35" s="5"/>
      <c r="FE35" s="5"/>
      <c r="FF35" s="5"/>
      <c r="FG35" s="5"/>
      <c r="FH35" s="5"/>
      <c r="FI35" s="5"/>
      <c r="FJ35" s="5"/>
      <c r="FK35" s="5"/>
      <c r="FL35" s="5"/>
      <c r="FM35" s="5"/>
      <c r="FN35" s="5"/>
      <c r="FO35" s="5"/>
      <c r="FP35" s="5"/>
      <c r="FQ35" s="5"/>
      <c r="FR35" s="5"/>
      <c r="FS35" s="5"/>
      <c r="FT35" s="5"/>
      <c r="FU35" s="5"/>
      <c r="FV35" s="5"/>
      <c r="FW35" s="5"/>
      <c r="FX35" s="5"/>
      <c r="FY35" s="5"/>
      <c r="FZ35" s="5"/>
      <c r="GA35" s="5"/>
      <c r="GB35" s="5"/>
      <c r="GC35" s="5"/>
      <c r="GD35" s="5"/>
      <c r="GE35" s="5"/>
      <c r="GF35" s="5"/>
      <c r="GG35" s="5"/>
      <c r="GH35" s="5"/>
      <c r="GI35" s="5"/>
      <c r="GJ35" s="5"/>
      <c r="GK35" s="5"/>
      <c r="GL35" s="5"/>
      <c r="GM35" s="5"/>
      <c r="GN35" s="5"/>
      <c r="GO35" s="5"/>
      <c r="GP35" s="5"/>
      <c r="GQ35" s="5"/>
      <c r="GR35" s="5"/>
      <c r="GS35" s="5"/>
      <c r="GT35" s="5"/>
      <c r="GU35" s="5"/>
      <c r="GV35" s="5"/>
      <c r="GW35" s="5"/>
      <c r="GX35" s="5"/>
      <c r="GY35" s="5"/>
      <c r="GZ35" s="5"/>
      <c r="HA35" s="5"/>
      <c r="HB35" s="5"/>
      <c r="HC35" s="5"/>
      <c r="HD35" s="5"/>
      <c r="HE35" s="5"/>
      <c r="HF35" s="5"/>
      <c r="HG35" s="5"/>
      <c r="HH35" s="5"/>
      <c r="HI35" s="5"/>
      <c r="HJ35" s="5"/>
      <c r="HK35" s="5"/>
      <c r="HL35" s="5"/>
      <c r="HM35" s="5"/>
      <c r="HN35" s="5"/>
      <c r="HO35" s="5"/>
      <c r="HP35" s="5"/>
      <c r="HQ35" s="5"/>
      <c r="HR35" s="5"/>
      <c r="HS35" s="5"/>
      <c r="HT35" s="5"/>
      <c r="HU35" s="5"/>
      <c r="HV35" s="5"/>
      <c r="HW35" s="7"/>
      <c r="HX35"/>
      <c r="HY35"/>
      <c r="HZ35"/>
      <c r="IA35"/>
      <c r="IB35"/>
      <c r="IC35"/>
      <c r="ID35"/>
      <c r="IE35"/>
      <c r="IF35"/>
      <c r="IG35"/>
      <c r="IH35"/>
      <c r="II35"/>
      <c r="IJ35"/>
      <c r="IK35"/>
      <c r="IL35"/>
      <c r="IM35"/>
      <c r="IN35"/>
      <c r="IO35"/>
    </row>
    <row r="36" spans="1:249" s="68" customFormat="1">
      <c r="A36" s="5"/>
      <c r="B36" s="70"/>
      <c r="C36" s="71"/>
      <c r="D36" s="71"/>
      <c r="E36" s="71"/>
      <c r="F36" s="71"/>
      <c r="G36" s="71"/>
      <c r="H36" s="71"/>
      <c r="I36" s="71"/>
      <c r="J36" s="71"/>
      <c r="K36" s="71"/>
      <c r="L36" s="71"/>
      <c r="M36" s="71"/>
      <c r="N36" s="71"/>
      <c r="O36" s="71"/>
      <c r="P36" s="72"/>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5"/>
      <c r="EQ36" s="5"/>
      <c r="ER36" s="5"/>
      <c r="ES36" s="5"/>
      <c r="ET36" s="5"/>
      <c r="EU36" s="5"/>
      <c r="EV36" s="5"/>
      <c r="EW36" s="5"/>
      <c r="EX36" s="5"/>
      <c r="EY36" s="5"/>
      <c r="EZ36" s="5"/>
      <c r="FA36" s="5"/>
      <c r="FB36" s="5"/>
      <c r="FC36" s="5"/>
      <c r="FD36" s="5"/>
      <c r="FE36" s="5"/>
      <c r="FF36" s="5"/>
      <c r="FG36" s="5"/>
      <c r="FH36" s="5"/>
      <c r="FI36" s="5"/>
      <c r="FJ36" s="5"/>
      <c r="FK36" s="5"/>
      <c r="FL36" s="5"/>
      <c r="FM36" s="5"/>
      <c r="FN36" s="5"/>
      <c r="FO36" s="5"/>
      <c r="FP36" s="5"/>
      <c r="FQ36" s="5"/>
      <c r="FR36" s="5"/>
      <c r="FS36" s="5"/>
      <c r="FT36" s="5"/>
      <c r="FU36" s="5"/>
      <c r="FV36" s="5"/>
      <c r="FW36" s="5"/>
      <c r="FX36" s="5"/>
      <c r="FY36" s="5"/>
      <c r="FZ36" s="5"/>
      <c r="GA36" s="5"/>
      <c r="GB36" s="5"/>
      <c r="GC36" s="5"/>
      <c r="GD36" s="5"/>
      <c r="GE36" s="5"/>
      <c r="GF36" s="5"/>
      <c r="GG36" s="5"/>
      <c r="GH36" s="5"/>
      <c r="GI36" s="5"/>
      <c r="GJ36" s="5"/>
      <c r="GK36" s="5"/>
      <c r="GL36" s="5"/>
      <c r="GM36" s="5"/>
      <c r="GN36" s="5"/>
      <c r="GO36" s="5"/>
      <c r="GP36" s="5"/>
      <c r="GQ36" s="5"/>
      <c r="GR36" s="5"/>
      <c r="GS36" s="5"/>
      <c r="GT36" s="5"/>
      <c r="GU36" s="5"/>
      <c r="GV36" s="5"/>
      <c r="GW36" s="5"/>
      <c r="GX36" s="5"/>
      <c r="GY36" s="5"/>
      <c r="GZ36" s="5"/>
      <c r="HA36" s="5"/>
      <c r="HB36" s="5"/>
      <c r="HC36" s="5"/>
      <c r="HD36" s="5"/>
      <c r="HE36" s="5"/>
      <c r="HF36" s="5"/>
      <c r="HG36" s="5"/>
      <c r="HH36" s="5"/>
      <c r="HI36" s="5"/>
      <c r="HJ36" s="5"/>
      <c r="HK36" s="5"/>
      <c r="HL36" s="5"/>
      <c r="HM36" s="5"/>
      <c r="HN36" s="5"/>
      <c r="HO36" s="5"/>
      <c r="HP36" s="5"/>
      <c r="HQ36" s="5"/>
      <c r="HR36" s="5"/>
      <c r="HS36" s="5"/>
      <c r="HT36" s="5"/>
      <c r="HU36" s="5"/>
      <c r="HV36" s="5"/>
      <c r="HW36" s="7"/>
      <c r="HX36"/>
      <c r="HY36"/>
      <c r="HZ36"/>
      <c r="IA36"/>
      <c r="IB36"/>
      <c r="IC36"/>
      <c r="ID36"/>
      <c r="IE36"/>
      <c r="IF36"/>
      <c r="IG36"/>
      <c r="IH36"/>
      <c r="II36"/>
      <c r="IJ36"/>
      <c r="IK36"/>
      <c r="IL36"/>
      <c r="IM36"/>
      <c r="IN36"/>
      <c r="IO36"/>
    </row>
    <row r="37" spans="1:249" s="68" customFormat="1">
      <c r="A37" s="5"/>
      <c r="B37" s="73"/>
      <c r="C37" s="470" t="s">
        <v>115</v>
      </c>
      <c r="D37" s="924" t="str">
        <f>D6</f>
        <v>1Q18e</v>
      </c>
      <c r="E37" s="878" t="str">
        <f t="shared" ref="E37:G37" si="0">E6</f>
        <v>Old</v>
      </c>
      <c r="F37" s="878" t="str">
        <f t="shared" si="0"/>
        <v>∆</v>
      </c>
      <c r="G37" s="463" t="str">
        <f t="shared" si="0"/>
        <v>∆ EPS</v>
      </c>
      <c r="H37" s="471" t="str">
        <f t="shared" ref="H37:O37" si="1">H6</f>
        <v>2018e</v>
      </c>
      <c r="I37" s="523" t="str">
        <f t="shared" si="1"/>
        <v>Old</v>
      </c>
      <c r="J37" s="524" t="str">
        <f t="shared" si="1"/>
        <v>∆</v>
      </c>
      <c r="K37" s="524" t="str">
        <f t="shared" si="1"/>
        <v>∆ EPS</v>
      </c>
      <c r="L37" s="471" t="str">
        <f t="shared" si="1"/>
        <v>2019e</v>
      </c>
      <c r="M37" s="855" t="str">
        <f t="shared" si="1"/>
        <v>Old</v>
      </c>
      <c r="N37" s="855" t="str">
        <f t="shared" si="1"/>
        <v>∆</v>
      </c>
      <c r="O37" s="855" t="str">
        <f t="shared" si="1"/>
        <v>∆ EPS</v>
      </c>
      <c r="P37" s="74"/>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5"/>
      <c r="EQ37" s="5"/>
      <c r="ER37" s="5"/>
      <c r="ES37" s="5"/>
      <c r="ET37" s="5"/>
      <c r="EU37" s="5"/>
      <c r="EV37" s="5"/>
      <c r="EW37" s="5"/>
      <c r="EX37" s="5"/>
      <c r="EY37" s="5"/>
      <c r="EZ37" s="5"/>
      <c r="FA37" s="5"/>
      <c r="FB37" s="5"/>
      <c r="FC37" s="5"/>
      <c r="FD37" s="5"/>
      <c r="FE37" s="5"/>
      <c r="FF37" s="5"/>
      <c r="FG37" s="5"/>
      <c r="FH37" s="5"/>
      <c r="FI37" s="5"/>
      <c r="FJ37" s="5"/>
      <c r="FK37" s="5"/>
      <c r="FL37" s="5"/>
      <c r="FM37" s="5"/>
      <c r="FN37" s="5"/>
      <c r="FO37" s="5"/>
      <c r="FP37" s="5"/>
      <c r="FQ37" s="5"/>
      <c r="FR37" s="5"/>
      <c r="FS37" s="5"/>
      <c r="FT37" s="5"/>
      <c r="FU37" s="5"/>
      <c r="FV37" s="5"/>
      <c r="FW37" s="5"/>
      <c r="FX37" s="5"/>
      <c r="FY37" s="5"/>
      <c r="FZ37" s="5"/>
      <c r="GA37" s="5"/>
      <c r="GB37" s="5"/>
      <c r="GC37" s="5"/>
      <c r="GD37" s="5"/>
      <c r="GE37" s="5"/>
      <c r="GF37" s="5"/>
      <c r="GG37" s="5"/>
      <c r="GH37" s="5"/>
      <c r="GI37" s="5"/>
      <c r="GJ37" s="5"/>
      <c r="GK37" s="5"/>
      <c r="GL37" s="5"/>
      <c r="GM37" s="5"/>
      <c r="GN37" s="5"/>
      <c r="GO37" s="5"/>
      <c r="GP37" s="5"/>
      <c r="GQ37" s="5"/>
      <c r="GR37" s="5"/>
      <c r="GS37" s="5"/>
      <c r="GT37" s="5"/>
      <c r="GU37" s="5"/>
      <c r="GV37" s="5"/>
      <c r="GW37" s="5"/>
      <c r="GX37" s="5"/>
      <c r="GY37" s="5"/>
      <c r="GZ37" s="5"/>
      <c r="HA37" s="5"/>
      <c r="HB37" s="5"/>
      <c r="HC37" s="5"/>
      <c r="HD37" s="5"/>
      <c r="HE37" s="5"/>
      <c r="HF37" s="5"/>
      <c r="HG37" s="5"/>
      <c r="HH37" s="5"/>
      <c r="HI37" s="5"/>
      <c r="HJ37" s="5"/>
      <c r="HK37" s="5"/>
      <c r="HL37" s="5"/>
      <c r="HM37" s="5"/>
      <c r="HN37" s="5"/>
      <c r="HO37" s="5"/>
      <c r="HP37" s="5"/>
      <c r="HQ37" s="5"/>
      <c r="HR37" s="5"/>
      <c r="HS37" s="5"/>
      <c r="HT37" s="5"/>
      <c r="HU37" s="5"/>
      <c r="HV37" s="5"/>
      <c r="HW37" s="7"/>
      <c r="HX37"/>
      <c r="HY37"/>
      <c r="HZ37"/>
      <c r="IA37"/>
      <c r="IB37"/>
      <c r="IC37"/>
      <c r="ID37"/>
      <c r="IE37"/>
      <c r="IF37"/>
      <c r="IG37"/>
      <c r="IH37"/>
      <c r="II37"/>
      <c r="IJ37"/>
      <c r="IK37"/>
      <c r="IL37"/>
      <c r="IM37"/>
      <c r="IN37"/>
      <c r="IO37"/>
    </row>
    <row r="38" spans="1:249" s="68" customFormat="1">
      <c r="A38" s="5"/>
      <c r="B38" s="75"/>
      <c r="C38" s="78"/>
      <c r="D38" s="78"/>
      <c r="E38" s="78"/>
      <c r="F38" s="78"/>
      <c r="G38" s="480"/>
      <c r="H38" s="532"/>
      <c r="I38" s="78"/>
      <c r="J38" s="78"/>
      <c r="K38" s="78"/>
      <c r="L38" s="532"/>
      <c r="M38" s="78"/>
      <c r="N38" s="78"/>
      <c r="O38" s="78"/>
      <c r="P38" s="76"/>
      <c r="Q38" s="78"/>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c r="CM38" s="5"/>
      <c r="CN38" s="5"/>
      <c r="CO38" s="5"/>
      <c r="CP38" s="5"/>
      <c r="CQ38" s="5"/>
      <c r="CR38" s="5"/>
      <c r="CS38" s="5"/>
      <c r="CT38" s="5"/>
      <c r="CU38" s="5"/>
      <c r="CV38" s="5"/>
      <c r="CW38" s="5"/>
      <c r="CX38" s="5"/>
      <c r="CY38" s="5"/>
      <c r="CZ38" s="5"/>
      <c r="DA38" s="5"/>
      <c r="DB38" s="5"/>
      <c r="DC38" s="5"/>
      <c r="DD38" s="5"/>
      <c r="DE38" s="5"/>
      <c r="DF38" s="5"/>
      <c r="DG38" s="5"/>
      <c r="DH38" s="5"/>
      <c r="DI38" s="5"/>
      <c r="DJ38" s="5"/>
      <c r="DK38" s="5"/>
      <c r="DL38" s="5"/>
      <c r="DM38" s="5"/>
      <c r="DN38" s="5"/>
      <c r="DO38" s="5"/>
      <c r="DP38" s="5"/>
      <c r="DQ38" s="5"/>
      <c r="DR38" s="5"/>
      <c r="DS38" s="5"/>
      <c r="DT38" s="5"/>
      <c r="DU38" s="5"/>
      <c r="DV38" s="5"/>
      <c r="DW38" s="5"/>
      <c r="DX38" s="5"/>
      <c r="DY38" s="5"/>
      <c r="DZ38" s="5"/>
      <c r="EA38" s="5"/>
      <c r="EB38" s="5"/>
      <c r="EC38" s="5"/>
      <c r="ED38" s="5"/>
      <c r="EE38" s="5"/>
      <c r="EF38" s="5"/>
      <c r="EG38" s="5"/>
      <c r="EH38" s="5"/>
      <c r="EI38" s="5"/>
      <c r="EJ38" s="5"/>
      <c r="EK38" s="5"/>
      <c r="EL38" s="5"/>
      <c r="EM38" s="5"/>
      <c r="EN38" s="5"/>
      <c r="EO38" s="5"/>
      <c r="EP38" s="5"/>
      <c r="EQ38" s="5"/>
      <c r="ER38" s="5"/>
      <c r="ES38" s="5"/>
      <c r="ET38" s="5"/>
      <c r="EU38" s="5"/>
      <c r="EV38" s="5"/>
      <c r="EW38" s="5"/>
      <c r="EX38" s="5"/>
      <c r="EY38" s="5"/>
      <c r="EZ38" s="5"/>
      <c r="FA38" s="5"/>
      <c r="FB38" s="5"/>
      <c r="FC38" s="5"/>
      <c r="FD38" s="5"/>
      <c r="FE38" s="5"/>
      <c r="FF38" s="5"/>
      <c r="FG38" s="5"/>
      <c r="FH38" s="5"/>
      <c r="FI38" s="5"/>
      <c r="FJ38" s="5"/>
      <c r="FK38" s="5"/>
      <c r="FL38" s="5"/>
      <c r="FM38" s="5"/>
      <c r="FN38" s="5"/>
      <c r="FO38" s="5"/>
      <c r="FP38" s="5"/>
      <c r="FQ38" s="5"/>
      <c r="FR38" s="5"/>
      <c r="FS38" s="5"/>
      <c r="FT38" s="5"/>
      <c r="FU38" s="5"/>
      <c r="FV38" s="5"/>
      <c r="FW38" s="5"/>
      <c r="FX38" s="5"/>
      <c r="FY38" s="5"/>
      <c r="FZ38" s="5"/>
      <c r="GA38" s="5"/>
      <c r="GB38" s="5"/>
      <c r="GC38" s="5"/>
      <c r="GD38" s="5"/>
      <c r="GE38" s="5"/>
      <c r="GF38" s="5"/>
      <c r="GG38" s="5"/>
      <c r="GH38" s="5"/>
      <c r="GI38" s="5"/>
      <c r="GJ38" s="5"/>
      <c r="GK38" s="5"/>
      <c r="GL38" s="5"/>
      <c r="GM38" s="5"/>
      <c r="GN38" s="5"/>
      <c r="GO38" s="5"/>
      <c r="GP38" s="5"/>
      <c r="GQ38" s="5"/>
      <c r="GR38" s="5"/>
      <c r="GS38" s="5"/>
      <c r="GT38" s="5"/>
      <c r="GU38" s="5"/>
      <c r="GV38" s="5"/>
      <c r="GW38" s="5"/>
      <c r="GX38" s="5"/>
      <c r="GY38" s="5"/>
      <c r="GZ38" s="5"/>
      <c r="HA38" s="5"/>
      <c r="HB38" s="5"/>
      <c r="HC38" s="5"/>
      <c r="HD38" s="5"/>
      <c r="HE38" s="5"/>
      <c r="HF38" s="5"/>
      <c r="HG38" s="5"/>
      <c r="HH38" s="5"/>
      <c r="HI38" s="5"/>
      <c r="HJ38" s="5"/>
      <c r="HK38" s="5"/>
      <c r="HL38" s="5"/>
      <c r="HM38" s="5"/>
      <c r="HN38" s="5"/>
      <c r="HO38" s="5"/>
      <c r="HP38" s="5"/>
      <c r="HQ38" s="5"/>
      <c r="HR38" s="5"/>
      <c r="HS38" s="5"/>
      <c r="HT38" s="5"/>
      <c r="HU38" s="5"/>
      <c r="HV38" s="5"/>
      <c r="HW38" s="7"/>
      <c r="HX38"/>
      <c r="HY38"/>
      <c r="HZ38"/>
      <c r="IA38"/>
      <c r="IB38"/>
      <c r="IC38"/>
      <c r="ID38"/>
      <c r="IE38"/>
      <c r="IF38"/>
      <c r="IG38"/>
      <c r="IH38"/>
      <c r="II38"/>
      <c r="IJ38"/>
      <c r="IK38"/>
      <c r="IL38"/>
      <c r="IM38"/>
      <c r="IN38"/>
      <c r="IO38"/>
    </row>
    <row r="39" spans="1:249" s="68" customFormat="1">
      <c r="A39" s="5"/>
      <c r="B39" s="75"/>
      <c r="C39" s="69" t="s">
        <v>143</v>
      </c>
      <c r="D39" s="80"/>
      <c r="E39" s="80"/>
      <c r="F39" s="80"/>
      <c r="G39" s="481"/>
      <c r="H39" s="533"/>
      <c r="I39" s="80"/>
      <c r="J39" s="80"/>
      <c r="K39" s="80"/>
      <c r="L39" s="533"/>
      <c r="M39" s="80"/>
      <c r="N39" s="80"/>
      <c r="O39" s="80"/>
      <c r="P39" s="76"/>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5"/>
      <c r="EQ39" s="5"/>
      <c r="ER39" s="5"/>
      <c r="ES39" s="5"/>
      <c r="ET39" s="5"/>
      <c r="EU39" s="5"/>
      <c r="EV39" s="5"/>
      <c r="EW39" s="5"/>
      <c r="EX39" s="5"/>
      <c r="EY39" s="5"/>
      <c r="EZ39" s="5"/>
      <c r="FA39" s="5"/>
      <c r="FB39" s="5"/>
      <c r="FC39" s="5"/>
      <c r="FD39" s="5"/>
      <c r="FE39" s="5"/>
      <c r="FF39" s="5"/>
      <c r="FG39" s="5"/>
      <c r="FH39" s="5"/>
      <c r="FI39" s="5"/>
      <c r="FJ39" s="5"/>
      <c r="FK39" s="5"/>
      <c r="FL39" s="5"/>
      <c r="FM39" s="5"/>
      <c r="FN39" s="5"/>
      <c r="FO39" s="5"/>
      <c r="FP39" s="5"/>
      <c r="FQ39" s="5"/>
      <c r="FR39" s="5"/>
      <c r="FS39" s="5"/>
      <c r="FT39" s="5"/>
      <c r="FU39" s="5"/>
      <c r="FV39" s="5"/>
      <c r="FW39" s="5"/>
      <c r="FX39" s="5"/>
      <c r="FY39" s="5"/>
      <c r="FZ39" s="5"/>
      <c r="GA39" s="5"/>
      <c r="GB39" s="5"/>
      <c r="GC39" s="5"/>
      <c r="GD39" s="5"/>
      <c r="GE39" s="5"/>
      <c r="GF39" s="5"/>
      <c r="GG39" s="5"/>
      <c r="GH39" s="5"/>
      <c r="GI39" s="5"/>
      <c r="GJ39" s="5"/>
      <c r="GK39" s="5"/>
      <c r="GL39" s="5"/>
      <c r="GM39" s="5"/>
      <c r="GN39" s="5"/>
      <c r="GO39" s="5"/>
      <c r="GP39" s="5"/>
      <c r="GQ39" s="5"/>
      <c r="GR39" s="5"/>
      <c r="GS39" s="5"/>
      <c r="GT39" s="5"/>
      <c r="GU39" s="5"/>
      <c r="GV39" s="5"/>
      <c r="GW39" s="5"/>
      <c r="GX39" s="5"/>
      <c r="GY39" s="5"/>
      <c r="GZ39" s="5"/>
      <c r="HA39" s="5"/>
      <c r="HB39" s="5"/>
      <c r="HC39" s="5"/>
      <c r="HD39" s="5"/>
      <c r="HE39" s="5"/>
      <c r="HF39" s="5"/>
      <c r="HG39" s="5"/>
      <c r="HH39" s="5"/>
      <c r="HI39" s="5"/>
      <c r="HJ39" s="5"/>
      <c r="HK39" s="5"/>
      <c r="HL39" s="5"/>
      <c r="HM39" s="5"/>
      <c r="HN39" s="5"/>
      <c r="HO39" s="5"/>
      <c r="HP39" s="5"/>
      <c r="HQ39" s="5"/>
      <c r="HR39" s="5"/>
      <c r="HS39" s="5"/>
      <c r="HT39" s="5"/>
      <c r="HU39" s="5"/>
      <c r="HV39" s="5"/>
      <c r="HW39" s="7"/>
      <c r="HX39"/>
      <c r="HY39"/>
      <c r="HZ39"/>
      <c r="IA39"/>
      <c r="IB39"/>
      <c r="IC39"/>
      <c r="ID39"/>
      <c r="IE39"/>
      <c r="IF39"/>
      <c r="IG39"/>
      <c r="IH39"/>
      <c r="II39"/>
      <c r="IJ39"/>
      <c r="IK39"/>
      <c r="IL39"/>
      <c r="IM39"/>
      <c r="IN39"/>
      <c r="IO39"/>
    </row>
    <row r="40" spans="1:249" s="68" customFormat="1">
      <c r="A40" s="5"/>
      <c r="B40" s="75"/>
      <c r="C40" s="84" t="s">
        <v>214</v>
      </c>
      <c r="D40" s="85">
        <f>Segments!$CV$47</f>
        <v>4217.6796477245052</v>
      </c>
      <c r="E40" s="85">
        <v>4182.0960404223524</v>
      </c>
      <c r="F40" s="619">
        <f>D40-E40</f>
        <v>35.583607302152814</v>
      </c>
      <c r="G40" s="482"/>
      <c r="H40" s="841">
        <f>Segments!$DY$47</f>
        <v>17057.899325786781</v>
      </c>
      <c r="I40" s="85">
        <v>16749.463838939391</v>
      </c>
      <c r="J40" s="619">
        <f>H40-I40</f>
        <v>308.43548684738926</v>
      </c>
      <c r="K40" s="91"/>
      <c r="L40" s="841">
        <f>Segments!$DZ$47</f>
        <v>18207.09726767477</v>
      </c>
      <c r="M40" s="85">
        <v>17822.786923984269</v>
      </c>
      <c r="N40" s="619">
        <f>L40-M40</f>
        <v>384.3103436905003</v>
      </c>
      <c r="O40" s="91"/>
      <c r="P40" s="76"/>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5"/>
      <c r="EQ40" s="5"/>
      <c r="ER40" s="5"/>
      <c r="ES40" s="5"/>
      <c r="ET40" s="5"/>
      <c r="EU40" s="5"/>
      <c r="EV40" s="5"/>
      <c r="EW40" s="5"/>
      <c r="EX40" s="5"/>
      <c r="EY40" s="5"/>
      <c r="EZ40" s="5"/>
      <c r="FA40" s="5"/>
      <c r="FB40" s="5"/>
      <c r="FC40" s="5"/>
      <c r="FD40" s="5"/>
      <c r="FE40" s="5"/>
      <c r="FF40" s="5"/>
      <c r="FG40" s="5"/>
      <c r="FH40" s="5"/>
      <c r="FI40" s="5"/>
      <c r="FJ40" s="5"/>
      <c r="FK40" s="5"/>
      <c r="FL40" s="5"/>
      <c r="FM40" s="5"/>
      <c r="FN40" s="5"/>
      <c r="FO40" s="5"/>
      <c r="FP40" s="5"/>
      <c r="FQ40" s="5"/>
      <c r="FR40" s="5"/>
      <c r="FS40" s="5"/>
      <c r="FT40" s="5"/>
      <c r="FU40" s="5"/>
      <c r="FV40" s="5"/>
      <c r="FW40" s="5"/>
      <c r="FX40" s="5"/>
      <c r="FY40" s="5"/>
      <c r="FZ40" s="5"/>
      <c r="GA40" s="5"/>
      <c r="GB40" s="5"/>
      <c r="GC40" s="5"/>
      <c r="GD40" s="5"/>
      <c r="GE40" s="5"/>
      <c r="GF40" s="5"/>
      <c r="GG40" s="5"/>
      <c r="GH40" s="5"/>
      <c r="GI40" s="5"/>
      <c r="GJ40" s="5"/>
      <c r="GK40" s="5"/>
      <c r="GL40" s="5"/>
      <c r="GM40" s="5"/>
      <c r="GN40" s="5"/>
      <c r="GO40" s="5"/>
      <c r="GP40" s="5"/>
      <c r="GQ40" s="5"/>
      <c r="GR40" s="5"/>
      <c r="GS40" s="5"/>
      <c r="GT40" s="5"/>
      <c r="GU40" s="5"/>
      <c r="GV40" s="5"/>
      <c r="GW40" s="5"/>
      <c r="GX40" s="5"/>
      <c r="GY40" s="5"/>
      <c r="GZ40" s="5"/>
      <c r="HA40" s="5"/>
      <c r="HB40" s="5"/>
      <c r="HC40" s="5"/>
      <c r="HD40" s="5"/>
      <c r="HE40" s="5"/>
      <c r="HF40" s="5"/>
      <c r="HG40" s="5"/>
      <c r="HH40" s="5"/>
      <c r="HI40" s="5"/>
      <c r="HJ40" s="5"/>
      <c r="HK40" s="5"/>
      <c r="HL40" s="5"/>
      <c r="HM40" s="5"/>
      <c r="HN40" s="5"/>
      <c r="HO40" s="5"/>
      <c r="HP40" s="5"/>
      <c r="HQ40" s="5"/>
      <c r="HR40" s="5"/>
      <c r="HS40" s="5"/>
      <c r="HT40" s="5"/>
      <c r="HU40" s="5"/>
      <c r="HV40" s="5"/>
      <c r="HW40" s="7"/>
      <c r="HX40"/>
      <c r="HY40"/>
      <c r="HZ40"/>
      <c r="IA40"/>
      <c r="IB40"/>
      <c r="IC40"/>
      <c r="ID40"/>
      <c r="IE40"/>
      <c r="IF40"/>
      <c r="IG40"/>
      <c r="IH40"/>
      <c r="II40"/>
      <c r="IJ40"/>
      <c r="IK40"/>
      <c r="IL40"/>
      <c r="IM40"/>
      <c r="IN40"/>
      <c r="IO40"/>
    </row>
    <row r="41" spans="1:249" s="68" customFormat="1">
      <c r="A41" s="5"/>
      <c r="B41" s="75"/>
      <c r="C41" s="84" t="s">
        <v>215</v>
      </c>
      <c r="D41" s="85">
        <f>Segments!$CV$57</f>
        <v>1256.0005950756342</v>
      </c>
      <c r="E41" s="85">
        <v>1245.6005774812486</v>
      </c>
      <c r="F41" s="619">
        <f>D41-E41</f>
        <v>10.400017594385645</v>
      </c>
      <c r="G41" s="482"/>
      <c r="H41" s="841">
        <f>Segments!$DY$57</f>
        <v>4901.7859688035278</v>
      </c>
      <c r="I41" s="85">
        <v>4837.6091415234896</v>
      </c>
      <c r="J41" s="619">
        <f>H41-I41</f>
        <v>64.176827280038196</v>
      </c>
      <c r="K41" s="91"/>
      <c r="L41" s="841">
        <f>Segments!$DZ$57</f>
        <v>5110.308630053757</v>
      </c>
      <c r="M41" s="85">
        <v>5023.049930086353</v>
      </c>
      <c r="N41" s="619">
        <f>L41-M41</f>
        <v>87.258699967404027</v>
      </c>
      <c r="O41" s="91"/>
      <c r="P41" s="76"/>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5"/>
      <c r="EQ41" s="5"/>
      <c r="ER41" s="5"/>
      <c r="ES41" s="5"/>
      <c r="ET41" s="5"/>
      <c r="EU41" s="5"/>
      <c r="EV41" s="5"/>
      <c r="EW41" s="5"/>
      <c r="EX41" s="5"/>
      <c r="EY41" s="5"/>
      <c r="EZ41" s="5"/>
      <c r="FA41" s="5"/>
      <c r="FB41" s="5"/>
      <c r="FC41" s="5"/>
      <c r="FD41" s="5"/>
      <c r="FE41" s="5"/>
      <c r="FF41" s="5"/>
      <c r="FG41" s="5"/>
      <c r="FH41" s="5"/>
      <c r="FI41" s="5"/>
      <c r="FJ41" s="5"/>
      <c r="FK41" s="5"/>
      <c r="FL41" s="5"/>
      <c r="FM41" s="5"/>
      <c r="FN41" s="5"/>
      <c r="FO41" s="5"/>
      <c r="FP41" s="5"/>
      <c r="FQ41" s="5"/>
      <c r="FR41" s="5"/>
      <c r="FS41" s="5"/>
      <c r="FT41" s="5"/>
      <c r="FU41" s="5"/>
      <c r="FV41" s="5"/>
      <c r="FW41" s="5"/>
      <c r="FX41" s="5"/>
      <c r="FY41" s="5"/>
      <c r="FZ41" s="5"/>
      <c r="GA41" s="5"/>
      <c r="GB41" s="5"/>
      <c r="GC41" s="5"/>
      <c r="GD41" s="5"/>
      <c r="GE41" s="5"/>
      <c r="GF41" s="5"/>
      <c r="GG41" s="5"/>
      <c r="GH41" s="5"/>
      <c r="GI41" s="5"/>
      <c r="GJ41" s="5"/>
      <c r="GK41" s="5"/>
      <c r="GL41" s="5"/>
      <c r="GM41" s="5"/>
      <c r="GN41" s="5"/>
      <c r="GO41" s="5"/>
      <c r="GP41" s="5"/>
      <c r="GQ41" s="5"/>
      <c r="GR41" s="5"/>
      <c r="GS41" s="5"/>
      <c r="GT41" s="5"/>
      <c r="GU41" s="5"/>
      <c r="GV41" s="5"/>
      <c r="GW41" s="5"/>
      <c r="GX41" s="5"/>
      <c r="GY41" s="5"/>
      <c r="GZ41" s="5"/>
      <c r="HA41" s="5"/>
      <c r="HB41" s="5"/>
      <c r="HC41" s="5"/>
      <c r="HD41" s="5"/>
      <c r="HE41" s="5"/>
      <c r="HF41" s="5"/>
      <c r="HG41" s="5"/>
      <c r="HH41" s="5"/>
      <c r="HI41" s="5"/>
      <c r="HJ41" s="5"/>
      <c r="HK41" s="5"/>
      <c r="HL41" s="5"/>
      <c r="HM41" s="5"/>
      <c r="HN41" s="5"/>
      <c r="HO41" s="5"/>
      <c r="HP41" s="5"/>
      <c r="HQ41" s="5"/>
      <c r="HR41" s="5"/>
      <c r="HS41" s="5"/>
      <c r="HT41" s="5"/>
      <c r="HU41" s="5"/>
      <c r="HV41" s="5"/>
      <c r="HW41" s="7"/>
      <c r="HX41"/>
      <c r="HY41"/>
      <c r="HZ41"/>
      <c r="IA41"/>
      <c r="IB41"/>
      <c r="IC41"/>
      <c r="ID41"/>
      <c r="IE41"/>
      <c r="IF41"/>
      <c r="IG41"/>
      <c r="IH41"/>
      <c r="II41"/>
      <c r="IJ41"/>
      <c r="IK41"/>
      <c r="IL41"/>
      <c r="IM41"/>
      <c r="IN41"/>
      <c r="IO41"/>
    </row>
    <row r="42" spans="1:249" s="68" customFormat="1">
      <c r="A42" s="5"/>
      <c r="B42" s="75"/>
      <c r="C42" s="93"/>
      <c r="D42" s="80"/>
      <c r="E42" s="833"/>
      <c r="F42" s="80"/>
      <c r="G42" s="482"/>
      <c r="H42" s="533"/>
      <c r="I42" s="833"/>
      <c r="J42" s="80"/>
      <c r="K42" s="91"/>
      <c r="L42" s="533"/>
      <c r="M42" s="833"/>
      <c r="N42" s="80"/>
      <c r="O42" s="91"/>
      <c r="P42" s="76"/>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5"/>
      <c r="EQ42" s="5"/>
      <c r="ER42" s="5"/>
      <c r="ES42" s="5"/>
      <c r="ET42" s="5"/>
      <c r="EU42" s="5"/>
      <c r="EV42" s="5"/>
      <c r="EW42" s="5"/>
      <c r="EX42" s="5"/>
      <c r="EY42" s="5"/>
      <c r="EZ42" s="5"/>
      <c r="FA42" s="5"/>
      <c r="FB42" s="5"/>
      <c r="FC42" s="5"/>
      <c r="FD42" s="5"/>
      <c r="FE42" s="5"/>
      <c r="FF42" s="5"/>
      <c r="FG42" s="5"/>
      <c r="FH42" s="5"/>
      <c r="FI42" s="5"/>
      <c r="FJ42" s="5"/>
      <c r="FK42" s="5"/>
      <c r="FL42" s="5"/>
      <c r="FM42" s="5"/>
      <c r="FN42" s="5"/>
      <c r="FO42" s="5"/>
      <c r="FP42" s="5"/>
      <c r="FQ42" s="5"/>
      <c r="FR42" s="5"/>
      <c r="FS42" s="5"/>
      <c r="FT42" s="5"/>
      <c r="FU42" s="5"/>
      <c r="FV42" s="5"/>
      <c r="FW42" s="5"/>
      <c r="FX42" s="5"/>
      <c r="FY42" s="5"/>
      <c r="FZ42" s="5"/>
      <c r="GA42" s="5"/>
      <c r="GB42" s="5"/>
      <c r="GC42" s="5"/>
      <c r="GD42" s="5"/>
      <c r="GE42" s="5"/>
      <c r="GF42" s="5"/>
      <c r="GG42" s="5"/>
      <c r="GH42" s="5"/>
      <c r="GI42" s="5"/>
      <c r="GJ42" s="5"/>
      <c r="GK42" s="5"/>
      <c r="GL42" s="5"/>
      <c r="GM42" s="5"/>
      <c r="GN42" s="5"/>
      <c r="GO42" s="5"/>
      <c r="GP42" s="5"/>
      <c r="GQ42" s="5"/>
      <c r="GR42" s="5"/>
      <c r="GS42" s="5"/>
      <c r="GT42" s="5"/>
      <c r="GU42" s="5"/>
      <c r="GV42" s="5"/>
      <c r="GW42" s="5"/>
      <c r="GX42" s="5"/>
      <c r="GY42" s="5"/>
      <c r="GZ42" s="5"/>
      <c r="HA42" s="5"/>
      <c r="HB42" s="5"/>
      <c r="HC42" s="5"/>
      <c r="HD42" s="5"/>
      <c r="HE42" s="5"/>
      <c r="HF42" s="5"/>
      <c r="HG42" s="5"/>
      <c r="HH42" s="5"/>
      <c r="HI42" s="5"/>
      <c r="HJ42" s="5"/>
      <c r="HK42" s="5"/>
      <c r="HL42" s="5"/>
      <c r="HM42" s="5"/>
      <c r="HN42" s="5"/>
      <c r="HO42" s="5"/>
      <c r="HP42" s="5"/>
      <c r="HQ42" s="5"/>
      <c r="HR42" s="5"/>
      <c r="HS42" s="5"/>
      <c r="HT42" s="5"/>
      <c r="HU42" s="5"/>
      <c r="HV42" s="5"/>
      <c r="HW42" s="7"/>
      <c r="HX42"/>
      <c r="HY42"/>
      <c r="HZ42"/>
      <c r="IA42"/>
      <c r="IB42"/>
      <c r="IC42"/>
      <c r="ID42"/>
      <c r="IE42"/>
      <c r="IF42"/>
      <c r="IG42"/>
      <c r="IH42"/>
      <c r="II42"/>
      <c r="IJ42"/>
      <c r="IK42"/>
      <c r="IL42"/>
      <c r="IM42"/>
      <c r="IN42"/>
      <c r="IO42"/>
    </row>
    <row r="43" spans="1:249" s="68" customFormat="1">
      <c r="A43" s="5"/>
      <c r="B43" s="75"/>
      <c r="C43" s="94" t="s">
        <v>216</v>
      </c>
      <c r="D43" s="95"/>
      <c r="E43" s="834"/>
      <c r="F43" s="95"/>
      <c r="G43" s="482"/>
      <c r="H43" s="534"/>
      <c r="I43" s="834"/>
      <c r="J43" s="95"/>
      <c r="K43" s="91"/>
      <c r="L43" s="534"/>
      <c r="M43" s="834"/>
      <c r="N43" s="95"/>
      <c r="O43" s="91"/>
      <c r="P43" s="76"/>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5"/>
      <c r="EQ43" s="5"/>
      <c r="ER43" s="5"/>
      <c r="ES43" s="5"/>
      <c r="ET43" s="5"/>
      <c r="EU43" s="5"/>
      <c r="EV43" s="5"/>
      <c r="EW43" s="5"/>
      <c r="EX43" s="5"/>
      <c r="EY43" s="5"/>
      <c r="EZ43" s="5"/>
      <c r="FA43" s="5"/>
      <c r="FB43" s="5"/>
      <c r="FC43" s="5"/>
      <c r="FD43" s="5"/>
      <c r="FE43" s="5"/>
      <c r="FF43" s="5"/>
      <c r="FG43" s="5"/>
      <c r="FH43" s="5"/>
      <c r="FI43" s="5"/>
      <c r="FJ43" s="5"/>
      <c r="FK43" s="5"/>
      <c r="FL43" s="5"/>
      <c r="FM43" s="5"/>
      <c r="FN43" s="5"/>
      <c r="FO43" s="5"/>
      <c r="FP43" s="5"/>
      <c r="FQ43" s="5"/>
      <c r="FR43" s="5"/>
      <c r="FS43" s="5"/>
      <c r="FT43" s="5"/>
      <c r="FU43" s="5"/>
      <c r="FV43" s="5"/>
      <c r="FW43" s="5"/>
      <c r="FX43" s="5"/>
      <c r="FY43" s="5"/>
      <c r="FZ43" s="5"/>
      <c r="GA43" s="5"/>
      <c r="GB43" s="5"/>
      <c r="GC43" s="5"/>
      <c r="GD43" s="5"/>
      <c r="GE43" s="5"/>
      <c r="GF43" s="5"/>
      <c r="GG43" s="5"/>
      <c r="GH43" s="5"/>
      <c r="GI43" s="5"/>
      <c r="GJ43" s="5"/>
      <c r="GK43" s="5"/>
      <c r="GL43" s="5"/>
      <c r="GM43" s="5"/>
      <c r="GN43" s="5"/>
      <c r="GO43" s="5"/>
      <c r="GP43" s="5"/>
      <c r="GQ43" s="5"/>
      <c r="GR43" s="5"/>
      <c r="GS43" s="5"/>
      <c r="GT43" s="5"/>
      <c r="GU43" s="5"/>
      <c r="GV43" s="5"/>
      <c r="GW43" s="5"/>
      <c r="GX43" s="5"/>
      <c r="GY43" s="5"/>
      <c r="GZ43" s="5"/>
      <c r="HA43" s="5"/>
      <c r="HB43" s="5"/>
      <c r="HC43" s="5"/>
      <c r="HD43" s="5"/>
      <c r="HE43" s="5"/>
      <c r="HF43" s="5"/>
      <c r="HG43" s="5"/>
      <c r="HH43" s="5"/>
      <c r="HI43" s="5"/>
      <c r="HJ43" s="5"/>
      <c r="HK43" s="5"/>
      <c r="HL43" s="5"/>
      <c r="HM43" s="5"/>
      <c r="HN43" s="5"/>
      <c r="HO43" s="5"/>
      <c r="HP43" s="5"/>
      <c r="HQ43" s="5"/>
      <c r="HR43" s="5"/>
      <c r="HS43" s="5"/>
      <c r="HT43" s="5"/>
      <c r="HU43" s="5"/>
      <c r="HV43" s="5"/>
      <c r="HW43" s="7"/>
      <c r="HX43"/>
      <c r="HY43"/>
      <c r="HZ43"/>
      <c r="IA43"/>
      <c r="IB43"/>
      <c r="IC43"/>
      <c r="ID43"/>
      <c r="IE43"/>
      <c r="IF43"/>
      <c r="IG43"/>
      <c r="IH43"/>
      <c r="II43"/>
      <c r="IJ43"/>
      <c r="IK43"/>
      <c r="IL43"/>
      <c r="IM43"/>
      <c r="IN43"/>
      <c r="IO43"/>
    </row>
    <row r="44" spans="1:249" s="68" customFormat="1">
      <c r="A44" s="5"/>
      <c r="B44" s="75"/>
      <c r="C44" s="84" t="s">
        <v>214</v>
      </c>
      <c r="D44" s="85">
        <f>Segments!$CV$74</f>
        <v>358.50277005658296</v>
      </c>
      <c r="E44" s="85">
        <v>355.4781634359</v>
      </c>
      <c r="F44" s="619">
        <f>D44-E44</f>
        <v>3.0246066206829596</v>
      </c>
      <c r="G44" s="482"/>
      <c r="H44" s="841">
        <f>Segments!$DY$74</f>
        <v>1407.5090576387865</v>
      </c>
      <c r="I44" s="85">
        <v>1382.2310766053947</v>
      </c>
      <c r="J44" s="619">
        <f>H44-I44</f>
        <v>25.277981033391825</v>
      </c>
      <c r="K44" s="91"/>
      <c r="L44" s="841">
        <f>Segments!$DZ$74</f>
        <v>1456.5677814139815</v>
      </c>
      <c r="M44" s="85">
        <v>1425.8229539187416</v>
      </c>
      <c r="N44" s="619">
        <f>L44-M44</f>
        <v>30.744827495239861</v>
      </c>
      <c r="O44" s="91"/>
      <c r="P44" s="76"/>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5"/>
      <c r="EQ44" s="5"/>
      <c r="ER44" s="5"/>
      <c r="ES44" s="5"/>
      <c r="ET44" s="5"/>
      <c r="EU44" s="5"/>
      <c r="EV44" s="5"/>
      <c r="EW44" s="5"/>
      <c r="EX44" s="5"/>
      <c r="EY44" s="5"/>
      <c r="EZ44" s="5"/>
      <c r="FA44" s="5"/>
      <c r="FB44" s="5"/>
      <c r="FC44" s="5"/>
      <c r="FD44" s="5"/>
      <c r="FE44" s="5"/>
      <c r="FF44" s="5"/>
      <c r="FG44" s="5"/>
      <c r="FH44" s="5"/>
      <c r="FI44" s="5"/>
      <c r="FJ44" s="5"/>
      <c r="FK44" s="5"/>
      <c r="FL44" s="5"/>
      <c r="FM44" s="5"/>
      <c r="FN44" s="5"/>
      <c r="FO44" s="5"/>
      <c r="FP44" s="5"/>
      <c r="FQ44" s="5"/>
      <c r="FR44" s="5"/>
      <c r="FS44" s="5"/>
      <c r="FT44" s="5"/>
      <c r="FU44" s="5"/>
      <c r="FV44" s="5"/>
      <c r="FW44" s="5"/>
      <c r="FX44" s="5"/>
      <c r="FY44" s="5"/>
      <c r="FZ44" s="5"/>
      <c r="GA44" s="5"/>
      <c r="GB44" s="5"/>
      <c r="GC44" s="5"/>
      <c r="GD44" s="5"/>
      <c r="GE44" s="5"/>
      <c r="GF44" s="5"/>
      <c r="GG44" s="5"/>
      <c r="GH44" s="5"/>
      <c r="GI44" s="5"/>
      <c r="GJ44" s="5"/>
      <c r="GK44" s="5"/>
      <c r="GL44" s="5"/>
      <c r="GM44" s="5"/>
      <c r="GN44" s="5"/>
      <c r="GO44" s="5"/>
      <c r="GP44" s="5"/>
      <c r="GQ44" s="5"/>
      <c r="GR44" s="5"/>
      <c r="GS44" s="5"/>
      <c r="GT44" s="5"/>
      <c r="GU44" s="5"/>
      <c r="GV44" s="5"/>
      <c r="GW44" s="5"/>
      <c r="GX44" s="5"/>
      <c r="GY44" s="5"/>
      <c r="GZ44" s="5"/>
      <c r="HA44" s="5"/>
      <c r="HB44" s="5"/>
      <c r="HC44" s="5"/>
      <c r="HD44" s="5"/>
      <c r="HE44" s="5"/>
      <c r="HF44" s="5"/>
      <c r="HG44" s="5"/>
      <c r="HH44" s="5"/>
      <c r="HI44" s="5"/>
      <c r="HJ44" s="5"/>
      <c r="HK44" s="5"/>
      <c r="HL44" s="5"/>
      <c r="HM44" s="5"/>
      <c r="HN44" s="5"/>
      <c r="HO44" s="5"/>
      <c r="HP44" s="5"/>
      <c r="HQ44" s="5"/>
      <c r="HR44" s="5"/>
      <c r="HS44" s="5"/>
      <c r="HT44" s="5"/>
      <c r="HU44" s="5"/>
      <c r="HV44" s="5"/>
      <c r="HW44" s="7"/>
      <c r="HX44"/>
      <c r="HY44"/>
      <c r="HZ44"/>
      <c r="IA44"/>
      <c r="IB44"/>
      <c r="IC44"/>
      <c r="ID44"/>
      <c r="IE44"/>
      <c r="IF44"/>
      <c r="IG44"/>
      <c r="IH44"/>
      <c r="II44"/>
      <c r="IJ44"/>
      <c r="IK44"/>
      <c r="IL44"/>
      <c r="IM44"/>
      <c r="IN44"/>
      <c r="IO44"/>
    </row>
    <row r="45" spans="1:249" s="68" customFormat="1">
      <c r="A45" s="5"/>
      <c r="B45" s="75"/>
      <c r="C45" s="90" t="s">
        <v>204</v>
      </c>
      <c r="D45" s="91">
        <f>D44/D40</f>
        <v>8.5000000000000006E-2</v>
      </c>
      <c r="E45" s="835">
        <v>8.5000000000000006E-2</v>
      </c>
      <c r="F45" s="91">
        <f>D45-E45</f>
        <v>0</v>
      </c>
      <c r="G45" s="482"/>
      <c r="H45" s="535">
        <f>H44/H40</f>
        <v>8.2513622032639497E-2</v>
      </c>
      <c r="I45" s="835">
        <v>8.2523899863108707E-2</v>
      </c>
      <c r="J45" s="91">
        <f>H45-I45</f>
        <v>-1.027783046921027E-5</v>
      </c>
      <c r="K45" s="91"/>
      <c r="L45" s="535">
        <f>L44/L40</f>
        <v>0.08</v>
      </c>
      <c r="M45" s="835">
        <v>0.08</v>
      </c>
      <c r="N45" s="91">
        <f>L45-M45</f>
        <v>0</v>
      </c>
      <c r="O45" s="91"/>
      <c r="P45" s="76"/>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5"/>
      <c r="EQ45" s="5"/>
      <c r="ER45" s="5"/>
      <c r="ES45" s="5"/>
      <c r="ET45" s="5"/>
      <c r="EU45" s="5"/>
      <c r="EV45" s="5"/>
      <c r="EW45" s="5"/>
      <c r="EX45" s="5"/>
      <c r="EY45" s="5"/>
      <c r="EZ45" s="5"/>
      <c r="FA45" s="5"/>
      <c r="FB45" s="5"/>
      <c r="FC45" s="5"/>
      <c r="FD45" s="5"/>
      <c r="FE45" s="5"/>
      <c r="FF45" s="5"/>
      <c r="FG45" s="5"/>
      <c r="FH45" s="5"/>
      <c r="FI45" s="5"/>
      <c r="FJ45" s="5"/>
      <c r="FK45" s="5"/>
      <c r="FL45" s="5"/>
      <c r="FM45" s="5"/>
      <c r="FN45" s="5"/>
      <c r="FO45" s="5"/>
      <c r="FP45" s="5"/>
      <c r="FQ45" s="5"/>
      <c r="FR45" s="5"/>
      <c r="FS45" s="5"/>
      <c r="FT45" s="5"/>
      <c r="FU45" s="5"/>
      <c r="FV45" s="5"/>
      <c r="FW45" s="5"/>
      <c r="FX45" s="5"/>
      <c r="FY45" s="5"/>
      <c r="FZ45" s="5"/>
      <c r="GA45" s="5"/>
      <c r="GB45" s="5"/>
      <c r="GC45" s="5"/>
      <c r="GD45" s="5"/>
      <c r="GE45" s="5"/>
      <c r="GF45" s="5"/>
      <c r="GG45" s="5"/>
      <c r="GH45" s="5"/>
      <c r="GI45" s="5"/>
      <c r="GJ45" s="5"/>
      <c r="GK45" s="5"/>
      <c r="GL45" s="5"/>
      <c r="GM45" s="5"/>
      <c r="GN45" s="5"/>
      <c r="GO45" s="5"/>
      <c r="GP45" s="5"/>
      <c r="GQ45" s="5"/>
      <c r="GR45" s="5"/>
      <c r="GS45" s="5"/>
      <c r="GT45" s="5"/>
      <c r="GU45" s="5"/>
      <c r="GV45" s="5"/>
      <c r="GW45" s="5"/>
      <c r="GX45" s="5"/>
      <c r="GY45" s="5"/>
      <c r="GZ45" s="5"/>
      <c r="HA45" s="5"/>
      <c r="HB45" s="5"/>
      <c r="HC45" s="5"/>
      <c r="HD45" s="5"/>
      <c r="HE45" s="5"/>
      <c r="HF45" s="5"/>
      <c r="HG45" s="5"/>
      <c r="HH45" s="5"/>
      <c r="HI45" s="5"/>
      <c r="HJ45" s="5"/>
      <c r="HK45" s="5"/>
      <c r="HL45" s="5"/>
      <c r="HM45" s="5"/>
      <c r="HN45" s="5"/>
      <c r="HO45" s="5"/>
      <c r="HP45" s="5"/>
      <c r="HQ45" s="5"/>
      <c r="HR45" s="5"/>
      <c r="HS45" s="5"/>
      <c r="HT45" s="5"/>
      <c r="HU45" s="5"/>
      <c r="HV45" s="5"/>
      <c r="HW45" s="7"/>
      <c r="HX45"/>
      <c r="HY45"/>
      <c r="HZ45"/>
      <c r="IA45"/>
      <c r="IB45"/>
      <c r="IC45"/>
      <c r="ID45"/>
      <c r="IE45"/>
      <c r="IF45"/>
      <c r="IG45"/>
      <c r="IH45"/>
      <c r="II45"/>
      <c r="IJ45"/>
      <c r="IK45"/>
      <c r="IL45"/>
      <c r="IM45"/>
      <c r="IN45"/>
      <c r="IO45"/>
    </row>
    <row r="46" spans="1:249" s="68" customFormat="1">
      <c r="A46" s="5"/>
      <c r="B46" s="75"/>
      <c r="C46" s="84" t="s">
        <v>215</v>
      </c>
      <c r="D46" s="85">
        <f>Segments!$CV$85</f>
        <v>180.86408569089133</v>
      </c>
      <c r="E46" s="85">
        <v>179.3664831572998</v>
      </c>
      <c r="F46" s="619">
        <f>D46-E46</f>
        <v>1.4976025335915324</v>
      </c>
      <c r="G46" s="482"/>
      <c r="H46" s="841">
        <f>Segments!$DY$85</f>
        <v>695.15582187445511</v>
      </c>
      <c r="I46" s="85">
        <v>686.0420277051719</v>
      </c>
      <c r="J46" s="619">
        <f>H46-I46</f>
        <v>9.1137941692832101</v>
      </c>
      <c r="K46" s="91"/>
      <c r="L46" s="841">
        <f>Segments!$DZ$85</f>
        <v>715.44320820752603</v>
      </c>
      <c r="M46" s="85">
        <v>703.2269902120895</v>
      </c>
      <c r="N46" s="619">
        <f>L46-M46</f>
        <v>12.216217995436523</v>
      </c>
      <c r="O46" s="91"/>
      <c r="P46" s="76"/>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5"/>
      <c r="EQ46" s="5"/>
      <c r="ER46" s="5"/>
      <c r="ES46" s="5"/>
      <c r="ET46" s="5"/>
      <c r="EU46" s="5"/>
      <c r="EV46" s="5"/>
      <c r="EW46" s="5"/>
      <c r="EX46" s="5"/>
      <c r="EY46" s="5"/>
      <c r="EZ46" s="5"/>
      <c r="FA46" s="5"/>
      <c r="FB46" s="5"/>
      <c r="FC46" s="5"/>
      <c r="FD46" s="5"/>
      <c r="FE46" s="5"/>
      <c r="FF46" s="5"/>
      <c r="FG46" s="5"/>
      <c r="FH46" s="5"/>
      <c r="FI46" s="5"/>
      <c r="FJ46" s="5"/>
      <c r="FK46" s="5"/>
      <c r="FL46" s="5"/>
      <c r="FM46" s="5"/>
      <c r="FN46" s="5"/>
      <c r="FO46" s="5"/>
      <c r="FP46" s="5"/>
      <c r="FQ46" s="5"/>
      <c r="FR46" s="5"/>
      <c r="FS46" s="5"/>
      <c r="FT46" s="5"/>
      <c r="FU46" s="5"/>
      <c r="FV46" s="5"/>
      <c r="FW46" s="5"/>
      <c r="FX46" s="5"/>
      <c r="FY46" s="5"/>
      <c r="FZ46" s="5"/>
      <c r="GA46" s="5"/>
      <c r="GB46" s="5"/>
      <c r="GC46" s="5"/>
      <c r="GD46" s="5"/>
      <c r="GE46" s="5"/>
      <c r="GF46" s="5"/>
      <c r="GG46" s="5"/>
      <c r="GH46" s="5"/>
      <c r="GI46" s="5"/>
      <c r="GJ46" s="5"/>
      <c r="GK46" s="5"/>
      <c r="GL46" s="5"/>
      <c r="GM46" s="5"/>
      <c r="GN46" s="5"/>
      <c r="GO46" s="5"/>
      <c r="GP46" s="5"/>
      <c r="GQ46" s="5"/>
      <c r="GR46" s="5"/>
      <c r="GS46" s="5"/>
      <c r="GT46" s="5"/>
      <c r="GU46" s="5"/>
      <c r="GV46" s="5"/>
      <c r="GW46" s="5"/>
      <c r="GX46" s="5"/>
      <c r="GY46" s="5"/>
      <c r="GZ46" s="5"/>
      <c r="HA46" s="5"/>
      <c r="HB46" s="5"/>
      <c r="HC46" s="5"/>
      <c r="HD46" s="5"/>
      <c r="HE46" s="5"/>
      <c r="HF46" s="5"/>
      <c r="HG46" s="5"/>
      <c r="HH46" s="5"/>
      <c r="HI46" s="5"/>
      <c r="HJ46" s="5"/>
      <c r="HK46" s="5"/>
      <c r="HL46" s="5"/>
      <c r="HM46" s="5"/>
      <c r="HN46" s="5"/>
      <c r="HO46" s="5"/>
      <c r="HP46" s="5"/>
      <c r="HQ46" s="5"/>
      <c r="HR46" s="5"/>
      <c r="HS46" s="5"/>
      <c r="HT46" s="5"/>
      <c r="HU46" s="5"/>
      <c r="HV46" s="5"/>
      <c r="HW46" s="7"/>
      <c r="HX46"/>
      <c r="HY46"/>
      <c r="HZ46"/>
      <c r="IA46"/>
      <c r="IB46"/>
      <c r="IC46"/>
      <c r="ID46"/>
      <c r="IE46"/>
      <c r="IF46"/>
      <c r="IG46"/>
      <c r="IH46"/>
      <c r="II46"/>
      <c r="IJ46"/>
      <c r="IK46"/>
      <c r="IL46"/>
      <c r="IM46"/>
      <c r="IN46"/>
      <c r="IO46"/>
    </row>
    <row r="47" spans="1:249" s="68" customFormat="1">
      <c r="A47" s="5"/>
      <c r="B47" s="75"/>
      <c r="C47" s="90" t="s">
        <v>204</v>
      </c>
      <c r="D47" s="91">
        <f>D46/D41</f>
        <v>0.14399999999999999</v>
      </c>
      <c r="E47" s="835">
        <v>0.14399999999999999</v>
      </c>
      <c r="F47" s="91">
        <f>D47-E47</f>
        <v>0</v>
      </c>
      <c r="G47" s="482"/>
      <c r="H47" s="535">
        <f>H46/H41</f>
        <v>0.1418168451863546</v>
      </c>
      <c r="I47" s="835">
        <v>0.14181427387685136</v>
      </c>
      <c r="J47" s="91">
        <f>H47-I47</f>
        <v>2.5713095032353639E-6</v>
      </c>
      <c r="K47" s="91"/>
      <c r="L47" s="535">
        <f>L46/L41</f>
        <v>0.14000000000000001</v>
      </c>
      <c r="M47" s="835">
        <v>0.14000000000000001</v>
      </c>
      <c r="N47" s="91">
        <f>L47-M47</f>
        <v>0</v>
      </c>
      <c r="O47" s="91"/>
      <c r="P47" s="76"/>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5"/>
      <c r="EQ47" s="5"/>
      <c r="ER47" s="5"/>
      <c r="ES47" s="5"/>
      <c r="ET47" s="5"/>
      <c r="EU47" s="5"/>
      <c r="EV47" s="5"/>
      <c r="EW47" s="5"/>
      <c r="EX47" s="5"/>
      <c r="EY47" s="5"/>
      <c r="EZ47" s="5"/>
      <c r="FA47" s="5"/>
      <c r="FB47" s="5"/>
      <c r="FC47" s="5"/>
      <c r="FD47" s="5"/>
      <c r="FE47" s="5"/>
      <c r="FF47" s="5"/>
      <c r="FG47" s="5"/>
      <c r="FH47" s="5"/>
      <c r="FI47" s="5"/>
      <c r="FJ47" s="5"/>
      <c r="FK47" s="5"/>
      <c r="FL47" s="5"/>
      <c r="FM47" s="5"/>
      <c r="FN47" s="5"/>
      <c r="FO47" s="5"/>
      <c r="FP47" s="5"/>
      <c r="FQ47" s="5"/>
      <c r="FR47" s="5"/>
      <c r="FS47" s="5"/>
      <c r="FT47" s="5"/>
      <c r="FU47" s="5"/>
      <c r="FV47" s="5"/>
      <c r="FW47" s="5"/>
      <c r="FX47" s="5"/>
      <c r="FY47" s="5"/>
      <c r="FZ47" s="5"/>
      <c r="GA47" s="5"/>
      <c r="GB47" s="5"/>
      <c r="GC47" s="5"/>
      <c r="GD47" s="5"/>
      <c r="GE47" s="5"/>
      <c r="GF47" s="5"/>
      <c r="GG47" s="5"/>
      <c r="GH47" s="5"/>
      <c r="GI47" s="5"/>
      <c r="GJ47" s="5"/>
      <c r="GK47" s="5"/>
      <c r="GL47" s="5"/>
      <c r="GM47" s="5"/>
      <c r="GN47" s="5"/>
      <c r="GO47" s="5"/>
      <c r="GP47" s="5"/>
      <c r="GQ47" s="5"/>
      <c r="GR47" s="5"/>
      <c r="GS47" s="5"/>
      <c r="GT47" s="5"/>
      <c r="GU47" s="5"/>
      <c r="GV47" s="5"/>
      <c r="GW47" s="5"/>
      <c r="GX47" s="5"/>
      <c r="GY47" s="5"/>
      <c r="GZ47" s="5"/>
      <c r="HA47" s="5"/>
      <c r="HB47" s="5"/>
      <c r="HC47" s="5"/>
      <c r="HD47" s="5"/>
      <c r="HE47" s="5"/>
      <c r="HF47" s="5"/>
      <c r="HG47" s="5"/>
      <c r="HH47" s="5"/>
      <c r="HI47" s="5"/>
      <c r="HJ47" s="5"/>
      <c r="HK47" s="5"/>
      <c r="HL47" s="5"/>
      <c r="HM47" s="5"/>
      <c r="HN47" s="5"/>
      <c r="HO47" s="5"/>
      <c r="HP47" s="5"/>
      <c r="HQ47" s="5"/>
      <c r="HR47" s="5"/>
      <c r="HS47" s="5"/>
      <c r="HT47" s="5"/>
      <c r="HU47" s="5"/>
      <c r="HV47" s="5"/>
      <c r="HW47" s="7"/>
      <c r="HX47"/>
      <c r="HY47"/>
      <c r="HZ47"/>
      <c r="IA47"/>
      <c r="IB47"/>
      <c r="IC47"/>
      <c r="ID47"/>
      <c r="IE47"/>
      <c r="IF47"/>
      <c r="IG47"/>
      <c r="IH47"/>
      <c r="II47"/>
      <c r="IJ47"/>
      <c r="IK47"/>
      <c r="IL47"/>
      <c r="IM47"/>
      <c r="IN47"/>
      <c r="IO47"/>
    </row>
    <row r="48" spans="1:249" s="68" customFormat="1" ht="15.75" thickBot="1">
      <c r="A48" s="5"/>
      <c r="B48" s="97"/>
      <c r="C48" s="98"/>
      <c r="D48" s="98"/>
      <c r="E48" s="98"/>
      <c r="F48" s="98"/>
      <c r="G48" s="98"/>
      <c r="H48" s="98"/>
      <c r="I48" s="98"/>
      <c r="J48" s="98"/>
      <c r="K48" s="98"/>
      <c r="L48" s="98"/>
      <c r="M48" s="98"/>
      <c r="N48" s="98"/>
      <c r="O48" s="98"/>
      <c r="P48" s="101"/>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c r="EP48" s="5"/>
      <c r="EQ48" s="5"/>
      <c r="ER48" s="5"/>
      <c r="ES48" s="5"/>
      <c r="ET48" s="5"/>
      <c r="EU48" s="5"/>
      <c r="EV48" s="5"/>
      <c r="EW48" s="5"/>
      <c r="EX48" s="5"/>
      <c r="EY48" s="5"/>
      <c r="EZ48" s="5"/>
      <c r="FA48" s="5"/>
      <c r="FB48" s="5"/>
      <c r="FC48" s="5"/>
      <c r="FD48" s="5"/>
      <c r="FE48" s="5"/>
      <c r="FF48" s="5"/>
      <c r="FG48" s="5"/>
      <c r="FH48" s="5"/>
      <c r="FI48" s="5"/>
      <c r="FJ48" s="5"/>
      <c r="FK48" s="5"/>
      <c r="FL48" s="5"/>
      <c r="FM48" s="5"/>
      <c r="FN48" s="5"/>
      <c r="FO48" s="5"/>
      <c r="FP48" s="5"/>
      <c r="FQ48" s="5"/>
      <c r="FR48" s="5"/>
      <c r="FS48" s="5"/>
      <c r="FT48" s="5"/>
      <c r="FU48" s="5"/>
      <c r="FV48" s="5"/>
      <c r="FW48" s="5"/>
      <c r="FX48" s="5"/>
      <c r="FY48" s="5"/>
      <c r="FZ48" s="5"/>
      <c r="GA48" s="5"/>
      <c r="GB48" s="5"/>
      <c r="GC48" s="5"/>
      <c r="GD48" s="5"/>
      <c r="GE48" s="5"/>
      <c r="GF48" s="5"/>
      <c r="GG48" s="5"/>
      <c r="GH48" s="5"/>
      <c r="GI48" s="5"/>
      <c r="GJ48" s="5"/>
      <c r="GK48" s="5"/>
      <c r="GL48" s="5"/>
      <c r="GM48" s="5"/>
      <c r="GN48" s="5"/>
      <c r="GO48" s="5"/>
      <c r="GP48" s="5"/>
      <c r="GQ48" s="5"/>
      <c r="GR48" s="5"/>
      <c r="GS48" s="5"/>
      <c r="GT48" s="5"/>
      <c r="GU48" s="5"/>
      <c r="GV48" s="5"/>
      <c r="GW48" s="5"/>
      <c r="GX48" s="5"/>
      <c r="GY48" s="5"/>
      <c r="GZ48" s="5"/>
      <c r="HA48" s="5"/>
      <c r="HB48" s="5"/>
      <c r="HC48" s="5"/>
      <c r="HD48" s="5"/>
      <c r="HE48" s="5"/>
      <c r="HF48" s="5"/>
      <c r="HG48" s="5"/>
      <c r="HH48" s="5"/>
      <c r="HI48" s="5"/>
      <c r="HJ48" s="5"/>
      <c r="HK48" s="5"/>
      <c r="HL48" s="5"/>
      <c r="HM48" s="5"/>
      <c r="HN48" s="5"/>
      <c r="HO48" s="5"/>
      <c r="HP48" s="5"/>
      <c r="HQ48" s="5"/>
      <c r="HR48" s="5"/>
      <c r="HS48" s="5"/>
      <c r="HT48" s="5"/>
      <c r="HU48" s="5"/>
      <c r="HV48" s="5"/>
      <c r="HW48" s="7"/>
      <c r="HX48"/>
      <c r="HY48"/>
      <c r="HZ48"/>
      <c r="IA48"/>
      <c r="IB48"/>
      <c r="IC48"/>
      <c r="ID48"/>
      <c r="IE48"/>
      <c r="IF48"/>
      <c r="IG48"/>
      <c r="IH48"/>
      <c r="II48"/>
      <c r="IJ48"/>
      <c r="IK48"/>
      <c r="IL48"/>
      <c r="IM48"/>
      <c r="IN48"/>
      <c r="IO48"/>
    </row>
    <row r="49" spans="1:249" s="68" customFormat="1">
      <c r="A49" s="5"/>
      <c r="B49" s="5"/>
      <c r="C49" s="11"/>
      <c r="D49" s="11"/>
      <c r="E49" s="11"/>
      <c r="F49" s="11"/>
      <c r="G49" s="11"/>
      <c r="H49" s="11"/>
      <c r="I49" s="11"/>
      <c r="J49" s="11"/>
      <c r="K49" s="11"/>
      <c r="L49" s="11"/>
      <c r="M49" s="11"/>
      <c r="N49" s="11"/>
      <c r="O49" s="11"/>
      <c r="P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c r="EP49" s="5"/>
      <c r="EQ49" s="5"/>
      <c r="ER49" s="5"/>
      <c r="ES49" s="5"/>
      <c r="ET49" s="5"/>
      <c r="EU49" s="5"/>
      <c r="EV49" s="5"/>
      <c r="EW49" s="5"/>
      <c r="EX49" s="5"/>
      <c r="EY49" s="5"/>
      <c r="EZ49" s="5"/>
      <c r="FA49" s="5"/>
      <c r="FB49" s="5"/>
      <c r="FC49" s="5"/>
      <c r="FD49" s="5"/>
      <c r="FE49" s="5"/>
      <c r="FF49" s="5"/>
      <c r="FG49" s="5"/>
      <c r="FH49" s="5"/>
      <c r="FI49" s="5"/>
      <c r="FJ49" s="5"/>
      <c r="FK49" s="5"/>
      <c r="FL49" s="5"/>
      <c r="FM49" s="5"/>
      <c r="FN49" s="5"/>
      <c r="FO49" s="5"/>
      <c r="FP49" s="5"/>
      <c r="FQ49" s="5"/>
      <c r="FR49" s="5"/>
      <c r="FS49" s="5"/>
      <c r="FT49" s="5"/>
      <c r="FU49" s="5"/>
      <c r="FV49" s="5"/>
      <c r="FW49" s="5"/>
      <c r="FX49" s="5"/>
      <c r="FY49" s="5"/>
      <c r="FZ49" s="5"/>
      <c r="GA49" s="5"/>
      <c r="GB49" s="5"/>
      <c r="GC49" s="5"/>
      <c r="GD49" s="5"/>
      <c r="GE49" s="5"/>
      <c r="GF49" s="5"/>
      <c r="GG49" s="5"/>
      <c r="GH49" s="5"/>
      <c r="GI49" s="5"/>
      <c r="GJ49" s="5"/>
      <c r="GK49" s="5"/>
      <c r="GL49" s="5"/>
      <c r="GM49" s="5"/>
      <c r="GN49" s="5"/>
      <c r="GO49" s="5"/>
      <c r="GP49" s="5"/>
      <c r="GQ49" s="5"/>
      <c r="GR49" s="5"/>
      <c r="GS49" s="5"/>
      <c r="GT49" s="5"/>
      <c r="GU49" s="5"/>
      <c r="GV49" s="5"/>
      <c r="GW49" s="5"/>
      <c r="GX49" s="5"/>
      <c r="GY49" s="5"/>
      <c r="GZ49" s="5"/>
      <c r="HA49" s="5"/>
      <c r="HB49" s="5"/>
      <c r="HC49" s="5"/>
      <c r="HD49" s="5"/>
      <c r="HE49" s="5"/>
      <c r="HF49" s="5"/>
      <c r="HG49" s="5"/>
      <c r="HH49" s="5"/>
      <c r="HI49" s="5"/>
      <c r="HJ49" s="5"/>
      <c r="HK49" s="5"/>
      <c r="HL49" s="5"/>
      <c r="HM49" s="5"/>
      <c r="HN49" s="5"/>
      <c r="HO49" s="5"/>
      <c r="HP49" s="5"/>
      <c r="HQ49" s="5"/>
      <c r="HR49" s="5"/>
      <c r="HS49" s="5"/>
      <c r="HT49" s="5"/>
      <c r="HU49" s="5"/>
      <c r="HV49" s="5"/>
      <c r="HW49" s="7"/>
      <c r="HX49"/>
      <c r="HY49"/>
      <c r="HZ49"/>
      <c r="IA49"/>
      <c r="IB49"/>
      <c r="IC49"/>
      <c r="ID49"/>
      <c r="IE49"/>
      <c r="IF49"/>
      <c r="IG49"/>
      <c r="IH49"/>
      <c r="II49"/>
      <c r="IJ49"/>
      <c r="IK49"/>
      <c r="IL49"/>
      <c r="IM49"/>
      <c r="IN49"/>
      <c r="IO49"/>
    </row>
    <row r="50" spans="1:249" s="68" customFormat="1">
      <c r="A50" s="5"/>
      <c r="B50" s="5"/>
      <c r="C50" s="11"/>
      <c r="D50" s="11"/>
      <c r="E50" s="11"/>
      <c r="F50" s="11"/>
      <c r="G50" s="11"/>
      <c r="H50" s="11"/>
      <c r="I50" s="11"/>
      <c r="J50" s="11"/>
      <c r="K50" s="11"/>
      <c r="L50" s="11"/>
      <c r="M50" s="11"/>
      <c r="N50" s="11"/>
      <c r="O50" s="11"/>
      <c r="P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5"/>
      <c r="EQ50" s="5"/>
      <c r="ER50" s="5"/>
      <c r="ES50" s="5"/>
      <c r="ET50" s="5"/>
      <c r="EU50" s="5"/>
      <c r="EV50" s="5"/>
      <c r="EW50" s="5"/>
      <c r="EX50" s="5"/>
      <c r="EY50" s="5"/>
      <c r="EZ50" s="5"/>
      <c r="FA50" s="5"/>
      <c r="FB50" s="5"/>
      <c r="FC50" s="5"/>
      <c r="FD50" s="5"/>
      <c r="FE50" s="5"/>
      <c r="FF50" s="5"/>
      <c r="FG50" s="5"/>
      <c r="FH50" s="5"/>
      <c r="FI50" s="5"/>
      <c r="FJ50" s="5"/>
      <c r="FK50" s="5"/>
      <c r="FL50" s="5"/>
      <c r="FM50" s="5"/>
      <c r="FN50" s="5"/>
      <c r="FO50" s="5"/>
      <c r="FP50" s="5"/>
      <c r="FQ50" s="5"/>
      <c r="FR50" s="5"/>
      <c r="FS50" s="5"/>
      <c r="FT50" s="5"/>
      <c r="FU50" s="5"/>
      <c r="FV50" s="5"/>
      <c r="FW50" s="5"/>
      <c r="FX50" s="5"/>
      <c r="FY50" s="5"/>
      <c r="FZ50" s="5"/>
      <c r="GA50" s="5"/>
      <c r="GB50" s="5"/>
      <c r="GC50" s="5"/>
      <c r="GD50" s="5"/>
      <c r="GE50" s="5"/>
      <c r="GF50" s="5"/>
      <c r="GG50" s="5"/>
      <c r="GH50" s="5"/>
      <c r="GI50" s="5"/>
      <c r="GJ50" s="5"/>
      <c r="GK50" s="5"/>
      <c r="GL50" s="5"/>
      <c r="GM50" s="5"/>
      <c r="GN50" s="5"/>
      <c r="GO50" s="5"/>
      <c r="GP50" s="5"/>
      <c r="GQ50" s="5"/>
      <c r="GR50" s="5"/>
      <c r="GS50" s="5"/>
      <c r="GT50" s="5"/>
      <c r="GU50" s="5"/>
      <c r="GV50" s="5"/>
      <c r="GW50" s="5"/>
      <c r="GX50" s="5"/>
      <c r="GY50" s="5"/>
      <c r="GZ50" s="5"/>
      <c r="HA50" s="5"/>
      <c r="HB50" s="5"/>
      <c r="HC50" s="5"/>
      <c r="HD50" s="5"/>
      <c r="HE50" s="5"/>
      <c r="HF50" s="5"/>
      <c r="HG50" s="5"/>
      <c r="HH50" s="5"/>
      <c r="HI50" s="5"/>
      <c r="HJ50" s="5"/>
      <c r="HK50" s="5"/>
      <c r="HL50" s="5"/>
      <c r="HM50" s="5"/>
      <c r="HN50" s="5"/>
      <c r="HO50" s="5"/>
      <c r="HP50" s="5"/>
      <c r="HQ50" s="5"/>
      <c r="HR50" s="5"/>
      <c r="HS50" s="5"/>
      <c r="HT50" s="5"/>
      <c r="HU50" s="5"/>
      <c r="HV50" s="5"/>
      <c r="HW50" s="7"/>
      <c r="HX50"/>
      <c r="HY50"/>
      <c r="HZ50"/>
      <c r="IA50"/>
      <c r="IB50"/>
      <c r="IC50"/>
      <c r="ID50"/>
      <c r="IE50"/>
      <c r="IF50"/>
      <c r="IG50"/>
      <c r="IH50"/>
      <c r="II50"/>
      <c r="IJ50"/>
      <c r="IK50"/>
      <c r="IL50"/>
      <c r="IM50"/>
      <c r="IN50"/>
      <c r="IO50"/>
    </row>
  </sheetData>
  <conditionalFormatting sqref="J11 J14 J17 J24 J45 J47">
    <cfRule type="cellIs" dxfId="9" priority="16" stopIfTrue="1" operator="lessThan">
      <formula>0</formula>
    </cfRule>
  </conditionalFormatting>
  <conditionalFormatting sqref="K1:K36 K38:K65536">
    <cfRule type="cellIs" dxfId="8" priority="11" stopIfTrue="1" operator="lessThan">
      <formula>0</formula>
    </cfRule>
  </conditionalFormatting>
  <conditionalFormatting sqref="K37">
    <cfRule type="cellIs" dxfId="7" priority="10" stopIfTrue="1" operator="lessThan">
      <formula>0</formula>
    </cfRule>
  </conditionalFormatting>
  <conditionalFormatting sqref="N11 N14 N17 N24 N45 N47">
    <cfRule type="cellIs" dxfId="6" priority="9" stopIfTrue="1" operator="lessThan">
      <formula>0</formula>
    </cfRule>
  </conditionalFormatting>
  <conditionalFormatting sqref="O1:O36 O38:O65536">
    <cfRule type="cellIs" dxfId="5" priority="8" stopIfTrue="1" operator="lessThan">
      <formula>0</formula>
    </cfRule>
  </conditionalFormatting>
  <conditionalFormatting sqref="O37">
    <cfRule type="cellIs" dxfId="4" priority="7" stopIfTrue="1" operator="lessThan">
      <formula>0</formula>
    </cfRule>
  </conditionalFormatting>
  <conditionalFormatting sqref="F11 F14 F17 F24 F45 F47">
    <cfRule type="cellIs" dxfId="3" priority="3" stopIfTrue="1" operator="lessThan">
      <formula>0</formula>
    </cfRule>
  </conditionalFormatting>
  <conditionalFormatting sqref="G1:G36 G38:G65536">
    <cfRule type="cellIs" dxfId="2" priority="2" stopIfTrue="1" operator="lessThan">
      <formula>0</formula>
    </cfRule>
  </conditionalFormatting>
  <conditionalFormatting sqref="G37">
    <cfRule type="cellIs" dxfId="1" priority="1" stopIfTrue="1" operator="lessThan">
      <formula>0</formula>
    </cfRule>
  </conditionalFormatting>
  <pageMargins left="0" right="0" top="0" bottom="0" header="0" footer="0"/>
  <pageSetup scale="88"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B2:AC103"/>
  <sheetViews>
    <sheetView zoomScale="85" zoomScaleNormal="85" workbookViewId="0">
      <selection activeCell="P41" sqref="P41"/>
    </sheetView>
  </sheetViews>
  <sheetFormatPr defaultRowHeight="15"/>
  <cols>
    <col min="1" max="1" width="3.5703125" style="368" customWidth="1"/>
    <col min="2" max="2" width="38.85546875" style="368" customWidth="1"/>
    <col min="3" max="18" width="10.42578125" style="367" customWidth="1"/>
    <col min="19" max="19" width="3.5703125" style="368" customWidth="1"/>
    <col min="20" max="23" width="10.42578125" style="367" customWidth="1"/>
    <col min="24" max="24" width="3.5703125" style="368" customWidth="1"/>
    <col min="25" max="28" width="10.42578125" style="506" customWidth="1"/>
    <col min="29" max="29" width="3.5703125" style="368" customWidth="1"/>
    <col min="30" max="16384" width="9.140625" style="368"/>
  </cols>
  <sheetData>
    <row r="2" spans="2:29">
      <c r="B2" s="366" t="s">
        <v>52</v>
      </c>
    </row>
    <row r="3" spans="2:29">
      <c r="B3" s="366" t="s">
        <v>298</v>
      </c>
    </row>
    <row r="5" spans="2:29">
      <c r="B5" s="369" t="s">
        <v>299</v>
      </c>
      <c r="C5" s="370"/>
      <c r="D5" s="370"/>
      <c r="E5" s="370"/>
      <c r="F5" s="370"/>
      <c r="G5" s="370"/>
      <c r="H5" s="370"/>
      <c r="I5" s="370"/>
      <c r="J5" s="370"/>
      <c r="K5" s="370"/>
      <c r="L5" s="370"/>
      <c r="M5" s="370"/>
      <c r="N5" s="370"/>
      <c r="O5" s="370"/>
      <c r="P5" s="370"/>
      <c r="Q5" s="370"/>
      <c r="R5" s="370"/>
      <c r="T5" s="418" t="s">
        <v>382</v>
      </c>
      <c r="U5" s="370"/>
      <c r="V5" s="370"/>
      <c r="W5" s="370"/>
      <c r="Y5" s="899" t="s">
        <v>382</v>
      </c>
      <c r="Z5" s="900"/>
      <c r="AA5" s="900"/>
      <c r="AB5" s="900"/>
    </row>
    <row r="6" spans="2:29" ht="15.75" thickBot="1"/>
    <row r="7" spans="2:29" s="366" customFormat="1">
      <c r="B7" s="371"/>
      <c r="C7" s="372">
        <v>2018</v>
      </c>
      <c r="D7" s="943" t="s">
        <v>372</v>
      </c>
      <c r="E7" s="944"/>
      <c r="F7" s="945"/>
      <c r="G7" s="373" t="s">
        <v>199</v>
      </c>
      <c r="H7" s="946" t="s">
        <v>373</v>
      </c>
      <c r="I7" s="947"/>
      <c r="J7" s="948"/>
      <c r="K7" s="373" t="s">
        <v>199</v>
      </c>
      <c r="L7" s="943" t="s">
        <v>374</v>
      </c>
      <c r="M7" s="944"/>
      <c r="N7" s="945"/>
      <c r="O7" s="373" t="s">
        <v>199</v>
      </c>
      <c r="P7" s="943" t="s">
        <v>335</v>
      </c>
      <c r="Q7" s="944"/>
      <c r="R7" s="945"/>
      <c r="S7" s="368"/>
      <c r="T7" s="423" t="s">
        <v>302</v>
      </c>
      <c r="U7" s="419" t="s">
        <v>303</v>
      </c>
      <c r="V7" s="412" t="s">
        <v>304</v>
      </c>
      <c r="W7" s="412" t="s">
        <v>305</v>
      </c>
      <c r="X7" s="368"/>
      <c r="Y7" s="901" t="s">
        <v>302</v>
      </c>
      <c r="Z7" s="902" t="s">
        <v>303</v>
      </c>
      <c r="AA7" s="903" t="s">
        <v>304</v>
      </c>
      <c r="AB7" s="904" t="s">
        <v>305</v>
      </c>
      <c r="AC7" s="368"/>
    </row>
    <row r="8" spans="2:29" s="380" customFormat="1">
      <c r="B8" s="374" t="s">
        <v>143</v>
      </c>
      <c r="C8" s="395"/>
      <c r="D8" s="377"/>
      <c r="E8" s="406"/>
      <c r="F8" s="378"/>
      <c r="G8" s="375"/>
      <c r="H8" s="377"/>
      <c r="I8" s="406"/>
      <c r="J8" s="378"/>
      <c r="K8" s="375"/>
      <c r="L8" s="377"/>
      <c r="M8" s="406"/>
      <c r="N8" s="378"/>
      <c r="O8" s="375"/>
      <c r="P8" s="377">
        <v>21400</v>
      </c>
      <c r="Q8" s="376">
        <f>AVERAGE(P8,R8)</f>
        <v>21500</v>
      </c>
      <c r="R8" s="378">
        <v>21600</v>
      </c>
      <c r="S8" s="379"/>
      <c r="T8" s="424">
        <f t="shared" ref="T8:V8" si="0">AVERAGE(T22,T36,T50,T64)</f>
        <v>15.825000000000728</v>
      </c>
      <c r="U8" s="420">
        <f t="shared" si="0"/>
        <v>78.325000000000728</v>
      </c>
      <c r="V8" s="376">
        <f t="shared" si="0"/>
        <v>290.82500000000073</v>
      </c>
      <c r="W8" s="376">
        <f>AVERAGE(W22,W36,W50,W64)</f>
        <v>203.32500000000073</v>
      </c>
      <c r="X8" s="379"/>
      <c r="Y8" s="905">
        <f t="shared" ref="Y8:AA8" si="1">AVERAGE(Y22,Y36,Y50,Y64)</f>
        <v>7.9337258518670062E-4</v>
      </c>
      <c r="Z8" s="906">
        <f t="shared" si="1"/>
        <v>3.7504086687298903E-3</v>
      </c>
      <c r="AA8" s="907">
        <f t="shared" si="1"/>
        <v>1.5478190932144415E-2</v>
      </c>
      <c r="AB8" s="908">
        <f>AVERAGE(AB22,AB36,AB50,AB64)</f>
        <v>1.1066221125813005E-2</v>
      </c>
      <c r="AC8" s="379"/>
    </row>
    <row r="9" spans="2:29" s="380" customFormat="1">
      <c r="B9" s="381" t="s">
        <v>218</v>
      </c>
      <c r="C9" s="396"/>
      <c r="D9" s="386"/>
      <c r="E9" s="394"/>
      <c r="F9" s="387"/>
      <c r="G9" s="382"/>
      <c r="H9" s="386"/>
      <c r="I9" s="394"/>
      <c r="J9" s="387"/>
      <c r="K9" s="382"/>
      <c r="L9" s="386"/>
      <c r="M9" s="394"/>
      <c r="N9" s="387"/>
      <c r="O9" s="382"/>
      <c r="P9" s="386">
        <v>1750</v>
      </c>
      <c r="Q9" s="384">
        <f>AVERAGE(P9,R9)</f>
        <v>1762.5</v>
      </c>
      <c r="R9" s="387">
        <v>1775</v>
      </c>
      <c r="S9" s="379"/>
      <c r="T9" s="425">
        <f t="shared" ref="T9:V9" si="2">AVERAGE(T23,T37,T51,T65)</f>
        <v>23.400000000002251</v>
      </c>
      <c r="U9" s="421">
        <f t="shared" si="2"/>
        <v>60.275000000002251</v>
      </c>
      <c r="V9" s="384">
        <f t="shared" si="2"/>
        <v>107.77500000000225</v>
      </c>
      <c r="W9" s="384">
        <f>AVERAGE(W23,W37,W51,W65)</f>
        <v>126.52500000000225</v>
      </c>
      <c r="X9" s="379"/>
      <c r="Y9" s="909">
        <f t="shared" ref="Y9:AA9" si="3">AVERAGE(Y23,Y37,Y51,Y65)</f>
        <v>1.7750438854515768E-2</v>
      </c>
      <c r="Z9" s="910">
        <f t="shared" si="3"/>
        <v>4.5408926553674074E-2</v>
      </c>
      <c r="AA9" s="911">
        <f t="shared" si="3"/>
        <v>8.4539199561405334E-2</v>
      </c>
      <c r="AB9" s="912">
        <f>AVERAGE(AB23,AB37,AB51,AB65)</f>
        <v>0.10163896501782717</v>
      </c>
      <c r="AC9" s="379"/>
    </row>
    <row r="10" spans="2:29" s="393" customFormat="1">
      <c r="B10" s="856" t="s">
        <v>203</v>
      </c>
      <c r="C10" s="389"/>
      <c r="D10" s="390"/>
      <c r="E10" s="391"/>
      <c r="F10" s="392"/>
      <c r="G10" s="389"/>
      <c r="H10" s="390"/>
      <c r="I10" s="391"/>
      <c r="J10" s="392"/>
      <c r="K10" s="389"/>
      <c r="L10" s="390"/>
      <c r="M10" s="391"/>
      <c r="N10" s="392"/>
      <c r="O10" s="389"/>
      <c r="P10" s="390">
        <f>P9/P8</f>
        <v>8.1775700934579434E-2</v>
      </c>
      <c r="Q10" s="391">
        <f t="shared" ref="Q10:R10" si="4">Q9/Q8</f>
        <v>8.1976744186046516E-2</v>
      </c>
      <c r="R10" s="392">
        <f t="shared" si="4"/>
        <v>8.217592592592593E-2</v>
      </c>
      <c r="S10" s="379"/>
      <c r="T10" s="426">
        <f t="shared" ref="T10:V10" si="5">AVERAGE(T24,T38,T52,T66)</f>
        <v>1.2007978818814307E-3</v>
      </c>
      <c r="U10" s="407">
        <f t="shared" si="5"/>
        <v>2.8870196455730978E-3</v>
      </c>
      <c r="V10" s="391">
        <f t="shared" si="5"/>
        <v>4.6679232743797143E-3</v>
      </c>
      <c r="W10" s="391">
        <f>AVERAGE(W24,W38,W52,W66)</f>
        <v>6.016040866042691E-3</v>
      </c>
      <c r="X10" s="379"/>
      <c r="Y10" s="909"/>
      <c r="Z10" s="910"/>
      <c r="AA10" s="911"/>
      <c r="AB10" s="912"/>
      <c r="AC10" s="379"/>
    </row>
    <row r="11" spans="2:29" s="380" customFormat="1">
      <c r="B11" s="381" t="s">
        <v>15</v>
      </c>
      <c r="C11" s="396"/>
      <c r="D11" s="386"/>
      <c r="E11" s="394"/>
      <c r="F11" s="387"/>
      <c r="G11" s="382"/>
      <c r="H11" s="386"/>
      <c r="I11" s="394"/>
      <c r="J11" s="387"/>
      <c r="K11" s="382"/>
      <c r="L11" s="386"/>
      <c r="M11" s="384"/>
      <c r="N11" s="387"/>
      <c r="O11" s="382"/>
      <c r="P11" s="386">
        <v>2230</v>
      </c>
      <c r="Q11" s="384">
        <f>AVERAGE(P11,R11)</f>
        <v>2242.5</v>
      </c>
      <c r="R11" s="387">
        <v>2255</v>
      </c>
      <c r="S11" s="379"/>
      <c r="T11" s="425"/>
      <c r="U11" s="421"/>
      <c r="V11" s="384"/>
      <c r="W11" s="384"/>
      <c r="X11" s="379"/>
      <c r="Y11" s="909"/>
      <c r="Z11" s="910"/>
      <c r="AA11" s="911"/>
      <c r="AB11" s="912"/>
      <c r="AC11" s="379"/>
    </row>
    <row r="12" spans="2:29" s="393" customFormat="1">
      <c r="B12" s="856" t="s">
        <v>203</v>
      </c>
      <c r="C12" s="389"/>
      <c r="D12" s="390"/>
      <c r="E12" s="391"/>
      <c r="F12" s="392"/>
      <c r="G12" s="389"/>
      <c r="H12" s="390"/>
      <c r="I12" s="391"/>
      <c r="J12" s="392"/>
      <c r="K12" s="389"/>
      <c r="L12" s="390"/>
      <c r="M12" s="391"/>
      <c r="N12" s="392"/>
      <c r="O12" s="389"/>
      <c r="P12" s="390">
        <f>P11/P8</f>
        <v>0.10420560747663551</v>
      </c>
      <c r="Q12" s="391">
        <f>Q11/Q8</f>
        <v>0.10430232558139535</v>
      </c>
      <c r="R12" s="392">
        <f>R11/R8</f>
        <v>0.10439814814814814</v>
      </c>
      <c r="S12" s="379"/>
      <c r="T12" s="426"/>
      <c r="U12" s="407"/>
      <c r="V12" s="391"/>
      <c r="W12" s="391"/>
      <c r="X12" s="379"/>
      <c r="Y12" s="909"/>
      <c r="Z12" s="910"/>
      <c r="AA12" s="911"/>
      <c r="AB12" s="912"/>
      <c r="AC12" s="379"/>
    </row>
    <row r="13" spans="2:29" s="380" customFormat="1">
      <c r="B13" s="381" t="s">
        <v>219</v>
      </c>
      <c r="C13" s="396"/>
      <c r="D13" s="386"/>
      <c r="E13" s="394"/>
      <c r="F13" s="387"/>
      <c r="G13" s="382"/>
      <c r="H13" s="386"/>
      <c r="I13" s="384"/>
      <c r="J13" s="387"/>
      <c r="K13" s="382"/>
      <c r="L13" s="386"/>
      <c r="M13" s="394"/>
      <c r="N13" s="387"/>
      <c r="O13" s="382"/>
      <c r="P13" s="386"/>
      <c r="Q13" s="394">
        <v>480</v>
      </c>
      <c r="R13" s="387"/>
      <c r="S13" s="379"/>
      <c r="T13" s="425">
        <f t="shared" ref="T13:V13" ca="1" si="6">AVERAGE(T27,T41,T53,T67)</f>
        <v>-5.7499999999999858</v>
      </c>
      <c r="U13" s="421">
        <f t="shared" ca="1" si="6"/>
        <v>-3.2499999999999858</v>
      </c>
      <c r="V13" s="384">
        <f t="shared" ca="1" si="6"/>
        <v>-1.9999999999999858</v>
      </c>
      <c r="W13" s="384">
        <f ca="1">AVERAGE(W27,W41,W53,W67)</f>
        <v>-1.9999999999999858</v>
      </c>
      <c r="X13" s="379"/>
      <c r="Y13" s="909">
        <f t="shared" ref="Y13:AA13" ca="1" si="7">AVERAGE(Y27,Y41,Y53,Y67)</f>
        <v>-1.4814539275719091E-2</v>
      </c>
      <c r="Z13" s="910">
        <f t="shared" ca="1" si="7"/>
        <v>-8.8607065231058497E-3</v>
      </c>
      <c r="AA13" s="911">
        <f t="shared" ca="1" si="7"/>
        <v>-4.9980030721965864E-3</v>
      </c>
      <c r="AB13" s="912">
        <f ca="1">AVERAGE(AB27,AB41,AB53,AB67)</f>
        <v>-4.9980030721965864E-3</v>
      </c>
      <c r="AC13" s="379"/>
    </row>
    <row r="14" spans="2:29" s="380" customFormat="1">
      <c r="B14" s="381" t="s">
        <v>149</v>
      </c>
      <c r="C14" s="396"/>
      <c r="D14" s="386"/>
      <c r="E14" s="394"/>
      <c r="F14" s="387"/>
      <c r="G14" s="382"/>
      <c r="H14" s="386"/>
      <c r="I14" s="394"/>
      <c r="J14" s="387"/>
      <c r="K14" s="382"/>
      <c r="L14" s="386"/>
      <c r="M14" s="394"/>
      <c r="N14" s="387"/>
      <c r="O14" s="382"/>
      <c r="P14" s="386"/>
      <c r="Q14" s="394">
        <v>80</v>
      </c>
      <c r="R14" s="387"/>
      <c r="S14" s="379"/>
      <c r="T14" s="425">
        <f t="shared" ref="T14:V14" si="8">AVERAGE(T28,T42,T54,T68)</f>
        <v>-0.15000000000000213</v>
      </c>
      <c r="U14" s="421">
        <f t="shared" si="8"/>
        <v>-0.65000000000000213</v>
      </c>
      <c r="V14" s="384">
        <f t="shared" si="8"/>
        <v>-0.65000000000000213</v>
      </c>
      <c r="W14" s="384">
        <f>AVERAGE(W28,W42,W54,W68)</f>
        <v>-1.9000000000000021</v>
      </c>
      <c r="X14" s="379"/>
      <c r="Y14" s="909">
        <f t="shared" ref="Y14:AA14" si="9">AVERAGE(Y28,Y42,Y54,Y68)</f>
        <v>1.1055988660524617E-3</v>
      </c>
      <c r="Z14" s="910">
        <f t="shared" si="9"/>
        <v>-1.0588235294117631E-2</v>
      </c>
      <c r="AA14" s="911">
        <f t="shared" si="9"/>
        <v>-1.0588235294117631E-2</v>
      </c>
      <c r="AB14" s="912">
        <f>AVERAGE(AB28,AB42,AB54,AB68)</f>
        <v>-3.7549019607843119E-2</v>
      </c>
      <c r="AC14" s="379"/>
    </row>
    <row r="15" spans="2:29" s="393" customFormat="1">
      <c r="B15" s="388" t="s">
        <v>209</v>
      </c>
      <c r="C15" s="411"/>
      <c r="D15" s="390"/>
      <c r="E15" s="410"/>
      <c r="F15" s="392"/>
      <c r="G15" s="389"/>
      <c r="H15" s="390"/>
      <c r="I15" s="410"/>
      <c r="J15" s="392"/>
      <c r="K15" s="389"/>
      <c r="L15" s="390"/>
      <c r="M15" s="410"/>
      <c r="N15" s="392"/>
      <c r="O15" s="389"/>
      <c r="P15" s="390"/>
      <c r="Q15" s="410">
        <v>0.22</v>
      </c>
      <c r="R15" s="392"/>
      <c r="S15" s="379"/>
      <c r="T15" s="426">
        <f t="shared" ref="T15:V15" si="10">AVERAGE(T29,T43,T57,T71)</f>
        <v>-7.0214005531894497E-3</v>
      </c>
      <c r="U15" s="407">
        <f t="shared" si="10"/>
        <v>-1.8575282458164671E-2</v>
      </c>
      <c r="V15" s="391">
        <f t="shared" si="10"/>
        <v>-1.9098091886659271E-2</v>
      </c>
      <c r="W15" s="391">
        <f>AVERAGE(W29,W43,W57,W71)</f>
        <v>-1.980845597835644E-2</v>
      </c>
      <c r="X15" s="379"/>
      <c r="Y15" s="909"/>
      <c r="Z15" s="910"/>
      <c r="AA15" s="911"/>
      <c r="AB15" s="912"/>
      <c r="AC15" s="379"/>
    </row>
    <row r="16" spans="2:29" s="380" customFormat="1">
      <c r="B16" s="381" t="s">
        <v>220</v>
      </c>
      <c r="C16" s="396"/>
      <c r="D16" s="386"/>
      <c r="E16" s="394"/>
      <c r="F16" s="387"/>
      <c r="G16" s="382"/>
      <c r="H16" s="386"/>
      <c r="I16" s="394"/>
      <c r="J16" s="387"/>
      <c r="K16" s="382"/>
      <c r="L16" s="386"/>
      <c r="M16" s="394"/>
      <c r="N16" s="387"/>
      <c r="O16" s="382"/>
      <c r="P16" s="386">
        <v>1230</v>
      </c>
      <c r="Q16" s="384">
        <f>AVERAGE(P16,R16)</f>
        <v>1240</v>
      </c>
      <c r="R16" s="387">
        <v>1250</v>
      </c>
      <c r="S16" s="379"/>
      <c r="T16" s="425">
        <f t="shared" ref="T16:V16" si="11">AVERAGE(T30,T44,T58,T72)</f>
        <v>29.10000000000224</v>
      </c>
      <c r="U16" s="421">
        <f t="shared" si="11"/>
        <v>63.47500000000224</v>
      </c>
      <c r="V16" s="384">
        <f t="shared" si="11"/>
        <v>89.72500000000224</v>
      </c>
      <c r="W16" s="384">
        <f>AVERAGE(W30,W44,W58,W72)</f>
        <v>105.97500000000224</v>
      </c>
      <c r="X16" s="379"/>
      <c r="Y16" s="909">
        <f t="shared" ref="Y16:AA16" si="12">AVERAGE(Y30,Y44,Y58,Y72)</f>
        <v>3.2777354994748951E-2</v>
      </c>
      <c r="Z16" s="910">
        <f t="shared" si="12"/>
        <v>7.2996026743778558E-2</v>
      </c>
      <c r="AA16" s="911">
        <f t="shared" si="12"/>
        <v>0.11125473121913261</v>
      </c>
      <c r="AB16" s="912">
        <f>AVERAGE(AB30,AB44,AB58,AB72)</f>
        <v>0.13524658448896026</v>
      </c>
      <c r="AC16" s="379"/>
    </row>
    <row r="17" spans="2:29" s="380" customFormat="1">
      <c r="B17" s="381" t="s">
        <v>25</v>
      </c>
      <c r="C17" s="396"/>
      <c r="D17" s="386"/>
      <c r="E17" s="394"/>
      <c r="F17" s="387"/>
      <c r="G17" s="382"/>
      <c r="H17" s="386"/>
      <c r="I17" s="394"/>
      <c r="J17" s="387"/>
      <c r="K17" s="382"/>
      <c r="L17" s="386"/>
      <c r="M17" s="394"/>
      <c r="N17" s="387"/>
      <c r="O17" s="382"/>
      <c r="P17" s="386"/>
      <c r="Q17" s="394">
        <v>65</v>
      </c>
      <c r="R17" s="387"/>
      <c r="S17" s="379"/>
      <c r="T17" s="425"/>
      <c r="U17" s="421"/>
      <c r="V17" s="384"/>
      <c r="W17" s="384"/>
      <c r="X17" s="379"/>
      <c r="Y17" s="909"/>
      <c r="Z17" s="910"/>
      <c r="AA17" s="911"/>
      <c r="AB17" s="912"/>
      <c r="AC17" s="379"/>
    </row>
    <row r="18" spans="2:29" s="380" customFormat="1">
      <c r="B18" s="381" t="s">
        <v>141</v>
      </c>
      <c r="C18" s="396"/>
      <c r="D18" s="386"/>
      <c r="E18" s="394"/>
      <c r="F18" s="387"/>
      <c r="G18" s="382"/>
      <c r="H18" s="386"/>
      <c r="I18" s="394"/>
      <c r="J18" s="387"/>
      <c r="K18" s="382"/>
      <c r="L18" s="386"/>
      <c r="M18" s="394"/>
      <c r="N18" s="387"/>
      <c r="O18" s="382"/>
      <c r="P18" s="386"/>
      <c r="Q18" s="394">
        <v>630</v>
      </c>
      <c r="R18" s="387"/>
      <c r="S18" s="379"/>
      <c r="T18" s="425">
        <f t="shared" ref="T18:V18" si="13">AVERAGE(T32,T46,T60,T74)</f>
        <v>-6.6750000000000256</v>
      </c>
      <c r="U18" s="421">
        <f t="shared" si="13"/>
        <v>-0.42500000000002558</v>
      </c>
      <c r="V18" s="384">
        <f t="shared" si="13"/>
        <v>2.0749999999999744</v>
      </c>
      <c r="W18" s="384">
        <f>AVERAGE(W32,W46,W60,W74)</f>
        <v>14.574999999999974</v>
      </c>
      <c r="X18" s="379"/>
      <c r="Y18" s="909">
        <f t="shared" ref="Y18:AA18" si="14">AVERAGE(Y32,Y46,Y60,Y74)</f>
        <v>-1.5524297924297974E-2</v>
      </c>
      <c r="Z18" s="910">
        <f t="shared" si="14"/>
        <v>-4.1823412698413203E-3</v>
      </c>
      <c r="AA18" s="911">
        <f t="shared" si="14"/>
        <v>6.431457431456903E-4</v>
      </c>
      <c r="AB18" s="912">
        <f>AVERAGE(AB32,AB46,AB60,AB74)</f>
        <v>2.7665873015872963E-2</v>
      </c>
      <c r="AC18" s="379"/>
    </row>
    <row r="19" spans="2:29" s="397" customFormat="1" ht="15.75" thickBot="1">
      <c r="B19" s="398" t="s">
        <v>177</v>
      </c>
      <c r="C19" s="399"/>
      <c r="D19" s="408"/>
      <c r="E19" s="404"/>
      <c r="F19" s="409"/>
      <c r="G19" s="405"/>
      <c r="H19" s="408"/>
      <c r="I19" s="404"/>
      <c r="J19" s="409"/>
      <c r="K19" s="405"/>
      <c r="L19" s="408"/>
      <c r="M19" s="404"/>
      <c r="N19" s="409"/>
      <c r="O19" s="405"/>
      <c r="P19" s="408"/>
      <c r="Q19" s="404">
        <v>1200</v>
      </c>
      <c r="R19" s="409"/>
      <c r="T19" s="427">
        <f t="shared" ref="T19:V19" ca="1" si="15">AVERAGE(T33,T47,T61,T75)</f>
        <v>79.499999999999815</v>
      </c>
      <c r="U19" s="422">
        <f t="shared" ca="1" si="15"/>
        <v>129.49999999999983</v>
      </c>
      <c r="V19" s="413">
        <f t="shared" ca="1" si="15"/>
        <v>198.24999999999983</v>
      </c>
      <c r="W19" s="413">
        <f ca="1">AVERAGE(W33,W47,W61,W75)</f>
        <v>204.49999999999983</v>
      </c>
      <c r="Y19" s="913">
        <f t="shared" ref="Y19:AA19" ca="1" si="16">AVERAGE(Y33,Y47,Y61,Y75)</f>
        <v>0.11267976588628736</v>
      </c>
      <c r="Z19" s="914">
        <f t="shared" ca="1" si="16"/>
        <v>0.18325309566250714</v>
      </c>
      <c r="AA19" s="915">
        <f t="shared" ca="1" si="16"/>
        <v>0.29395978260869537</v>
      </c>
      <c r="AB19" s="916">
        <f ca="1">AVERAGE(AB33,AB47,AB61,AB75)</f>
        <v>0.31492228260869537</v>
      </c>
    </row>
    <row r="20" spans="2:29" ht="15.75" thickBot="1"/>
    <row r="21" spans="2:29" s="366" customFormat="1">
      <c r="B21" s="371"/>
      <c r="C21" s="372">
        <v>2017</v>
      </c>
      <c r="D21" s="943" t="s">
        <v>300</v>
      </c>
      <c r="E21" s="944"/>
      <c r="F21" s="945"/>
      <c r="G21" s="373" t="s">
        <v>199</v>
      </c>
      <c r="H21" s="946" t="s">
        <v>193</v>
      </c>
      <c r="I21" s="947"/>
      <c r="J21" s="948"/>
      <c r="K21" s="373" t="s">
        <v>199</v>
      </c>
      <c r="L21" s="943" t="s">
        <v>192</v>
      </c>
      <c r="M21" s="944"/>
      <c r="N21" s="945"/>
      <c r="O21" s="373" t="s">
        <v>199</v>
      </c>
      <c r="P21" s="943" t="s">
        <v>194</v>
      </c>
      <c r="Q21" s="944"/>
      <c r="R21" s="945"/>
      <c r="S21" s="368"/>
      <c r="T21" s="372" t="s">
        <v>300</v>
      </c>
      <c r="U21" s="372" t="s">
        <v>193</v>
      </c>
      <c r="V21" s="372" t="s">
        <v>192</v>
      </c>
      <c r="W21" s="412" t="s">
        <v>194</v>
      </c>
      <c r="X21" s="368"/>
      <c r="Y21" s="917" t="s">
        <v>300</v>
      </c>
      <c r="Z21" s="917" t="s">
        <v>193</v>
      </c>
      <c r="AA21" s="917" t="s">
        <v>192</v>
      </c>
      <c r="AB21" s="904" t="s">
        <v>194</v>
      </c>
      <c r="AC21" s="368"/>
    </row>
    <row r="22" spans="2:29" s="380" customFormat="1">
      <c r="B22" s="374" t="s">
        <v>143</v>
      </c>
      <c r="C22" s="395">
        <f>Financials!DX6</f>
        <v>20467</v>
      </c>
      <c r="D22" s="377"/>
      <c r="E22" s="406">
        <v>20400</v>
      </c>
      <c r="F22" s="378"/>
      <c r="G22" s="375">
        <f t="shared" ref="G22:G33" si="17">E22-I22</f>
        <v>400</v>
      </c>
      <c r="H22" s="377"/>
      <c r="I22" s="406">
        <v>20000</v>
      </c>
      <c r="J22" s="378"/>
      <c r="K22" s="375">
        <f t="shared" ref="K22:K33" si="18">I22-M22</f>
        <v>500</v>
      </c>
      <c r="L22" s="377"/>
      <c r="M22" s="406">
        <v>19500</v>
      </c>
      <c r="N22" s="378"/>
      <c r="O22" s="375">
        <f>M22-Q22</f>
        <v>0</v>
      </c>
      <c r="P22" s="377"/>
      <c r="Q22" s="406">
        <v>19500</v>
      </c>
      <c r="R22" s="378"/>
      <c r="S22" s="379"/>
      <c r="T22" s="414">
        <f>$C22-E22</f>
        <v>67</v>
      </c>
      <c r="U22" s="414">
        <f>$C22-I22</f>
        <v>467</v>
      </c>
      <c r="V22" s="414">
        <f>$C22-M22</f>
        <v>967</v>
      </c>
      <c r="W22" s="415">
        <f t="shared" ref="W22:W30" si="19">$C22-Q22</f>
        <v>967</v>
      </c>
      <c r="X22" s="379"/>
      <c r="Y22" s="918">
        <f>T22/E22</f>
        <v>3.2843137254901962E-3</v>
      </c>
      <c r="Z22" s="918">
        <f>U22/I22</f>
        <v>2.3349999999999999E-2</v>
      </c>
      <c r="AA22" s="918">
        <f>V22/M22</f>
        <v>4.9589743589743593E-2</v>
      </c>
      <c r="AB22" s="919">
        <f>W22/Q22</f>
        <v>4.9589743589743593E-2</v>
      </c>
      <c r="AC22" s="379"/>
    </row>
    <row r="23" spans="2:29" s="380" customFormat="1">
      <c r="B23" s="381" t="s">
        <v>218</v>
      </c>
      <c r="C23" s="396">
        <f>Financials!DX15</f>
        <v>1721.5000000000032</v>
      </c>
      <c r="D23" s="386"/>
      <c r="E23" s="394">
        <v>1700</v>
      </c>
      <c r="F23" s="387"/>
      <c r="G23" s="382">
        <f t="shared" si="17"/>
        <v>50</v>
      </c>
      <c r="H23" s="386"/>
      <c r="I23" s="394">
        <v>1650</v>
      </c>
      <c r="J23" s="387"/>
      <c r="K23" s="382">
        <f t="shared" si="18"/>
        <v>50</v>
      </c>
      <c r="L23" s="386"/>
      <c r="M23" s="394">
        <v>1600</v>
      </c>
      <c r="N23" s="387"/>
      <c r="O23" s="382">
        <f>M23-Q23</f>
        <v>0</v>
      </c>
      <c r="P23" s="386"/>
      <c r="Q23" s="394">
        <v>1600</v>
      </c>
      <c r="R23" s="387"/>
      <c r="S23" s="379"/>
      <c r="T23" s="416">
        <f t="shared" ref="T23:T30" si="20">$C23-E23</f>
        <v>21.500000000003183</v>
      </c>
      <c r="U23" s="416">
        <f t="shared" ref="U23:U30" si="21">$C23-I23</f>
        <v>71.500000000003183</v>
      </c>
      <c r="V23" s="416">
        <f t="shared" ref="V23:V30" si="22">$C23-M23</f>
        <v>121.50000000000318</v>
      </c>
      <c r="W23" s="417">
        <f t="shared" si="19"/>
        <v>121.50000000000318</v>
      </c>
      <c r="X23" s="379"/>
      <c r="Y23" s="920">
        <f t="shared" ref="Y23:Y30" si="23">T23/E23</f>
        <v>1.2647058823531284E-2</v>
      </c>
      <c r="Z23" s="920">
        <f t="shared" ref="Z23:Z30" si="24">U23/I23</f>
        <v>4.3333333333335264E-2</v>
      </c>
      <c r="AA23" s="920">
        <f t="shared" ref="AA23:AA30" si="25">V23/M23</f>
        <v>7.593750000000199E-2</v>
      </c>
      <c r="AB23" s="921">
        <f t="shared" ref="AB23:AB30" si="26">W23/Q23</f>
        <v>7.593750000000199E-2</v>
      </c>
      <c r="AC23" s="379"/>
    </row>
    <row r="24" spans="2:29" s="393" customFormat="1">
      <c r="B24" s="856" t="s">
        <v>203</v>
      </c>
      <c r="C24" s="389">
        <f>C23/C22</f>
        <v>8.4111007964039836E-2</v>
      </c>
      <c r="D24" s="390"/>
      <c r="E24" s="391">
        <f>E23/E22</f>
        <v>8.3333333333333329E-2</v>
      </c>
      <c r="F24" s="392"/>
      <c r="G24" s="389">
        <f t="shared" si="17"/>
        <v>8.3333333333332482E-4</v>
      </c>
      <c r="H24" s="390"/>
      <c r="I24" s="391">
        <f>I23/I22</f>
        <v>8.2500000000000004E-2</v>
      </c>
      <c r="J24" s="392"/>
      <c r="K24" s="389">
        <f t="shared" si="18"/>
        <v>4.4871794871795267E-4</v>
      </c>
      <c r="L24" s="390"/>
      <c r="M24" s="391">
        <f>M23/M22</f>
        <v>8.2051282051282051E-2</v>
      </c>
      <c r="N24" s="392"/>
      <c r="O24" s="389">
        <f>M24-Q24</f>
        <v>0</v>
      </c>
      <c r="P24" s="390"/>
      <c r="Q24" s="391">
        <f>Q23/Q22</f>
        <v>8.2051282051282051E-2</v>
      </c>
      <c r="R24" s="392"/>
      <c r="S24" s="379"/>
      <c r="T24" s="389">
        <f t="shared" si="20"/>
        <v>7.7767463070650689E-4</v>
      </c>
      <c r="U24" s="389">
        <f t="shared" si="21"/>
        <v>1.6110079640398317E-3</v>
      </c>
      <c r="V24" s="389">
        <f t="shared" si="22"/>
        <v>2.0597259127577844E-3</v>
      </c>
      <c r="W24" s="391">
        <f t="shared" si="19"/>
        <v>2.0597259127577844E-3</v>
      </c>
      <c r="X24" s="379"/>
      <c r="Y24" s="922"/>
      <c r="Z24" s="922"/>
      <c r="AA24" s="922"/>
      <c r="AB24" s="912"/>
      <c r="AC24" s="379"/>
    </row>
    <row r="25" spans="2:29" s="380" customFormat="1">
      <c r="B25" s="381" t="s">
        <v>15</v>
      </c>
      <c r="C25" s="396">
        <f ca="1">Financials!DX51</f>
        <v>2131.6000000000031</v>
      </c>
      <c r="D25" s="386"/>
      <c r="E25" s="394">
        <v>2120</v>
      </c>
      <c r="F25" s="387"/>
      <c r="G25" s="382">
        <f t="shared" si="17"/>
        <v>60</v>
      </c>
      <c r="H25" s="386"/>
      <c r="I25" s="394">
        <v>2060</v>
      </c>
      <c r="J25" s="387"/>
      <c r="K25" s="382">
        <f t="shared" si="18"/>
        <v>2060</v>
      </c>
      <c r="L25" s="386"/>
      <c r="M25" s="384"/>
      <c r="N25" s="387"/>
      <c r="O25" s="382"/>
      <c r="P25" s="386"/>
      <c r="Q25" s="384"/>
      <c r="R25" s="387"/>
      <c r="S25" s="379"/>
      <c r="T25" s="382">
        <f t="shared" ca="1" si="20"/>
        <v>11.600000000003092</v>
      </c>
      <c r="U25" s="382">
        <f t="shared" ca="1" si="21"/>
        <v>71.600000000003092</v>
      </c>
      <c r="V25" s="382">
        <f t="shared" ca="1" si="22"/>
        <v>2131.6000000000031</v>
      </c>
      <c r="W25" s="384">
        <f t="shared" ca="1" si="19"/>
        <v>2131.6000000000031</v>
      </c>
      <c r="X25" s="379"/>
      <c r="Y25" s="922">
        <f t="shared" ca="1" si="23"/>
        <v>5.4716981132090061E-3</v>
      </c>
      <c r="Z25" s="922">
        <f t="shared" ca="1" si="24"/>
        <v>3.4757281553399556E-2</v>
      </c>
      <c r="AA25" s="922"/>
      <c r="AB25" s="912"/>
      <c r="AC25" s="379"/>
    </row>
    <row r="26" spans="2:29" s="393" customFormat="1">
      <c r="B26" s="856" t="s">
        <v>203</v>
      </c>
      <c r="C26" s="389">
        <f ca="1">C25/C22</f>
        <v>0.10414814090975733</v>
      </c>
      <c r="D26" s="390"/>
      <c r="E26" s="391">
        <f>E25/E22</f>
        <v>0.10392156862745099</v>
      </c>
      <c r="F26" s="392"/>
      <c r="G26" s="389">
        <f t="shared" si="17"/>
        <v>9.2156862745099155E-4</v>
      </c>
      <c r="H26" s="390"/>
      <c r="I26" s="391">
        <f>I25/I22</f>
        <v>0.10299999999999999</v>
      </c>
      <c r="J26" s="392"/>
      <c r="K26" s="389">
        <f t="shared" si="18"/>
        <v>0.10299999999999999</v>
      </c>
      <c r="L26" s="390"/>
      <c r="M26" s="391"/>
      <c r="N26" s="392"/>
      <c r="O26" s="389"/>
      <c r="P26" s="390"/>
      <c r="Q26" s="391"/>
      <c r="R26" s="392"/>
      <c r="S26" s="379"/>
      <c r="T26" s="389">
        <f t="shared" ca="1" si="20"/>
        <v>2.265722823063393E-4</v>
      </c>
      <c r="U26" s="389">
        <f t="shared" ca="1" si="21"/>
        <v>1.1481409097573309E-3</v>
      </c>
      <c r="V26" s="389">
        <f t="shared" ca="1" si="22"/>
        <v>0.10414814090975733</v>
      </c>
      <c r="W26" s="391">
        <f t="shared" ca="1" si="19"/>
        <v>0.10414814090975733</v>
      </c>
      <c r="X26" s="379"/>
      <c r="Y26" s="922"/>
      <c r="Z26" s="922"/>
      <c r="AA26" s="922"/>
      <c r="AB26" s="912"/>
      <c r="AC26" s="379"/>
    </row>
    <row r="27" spans="2:29" s="380" customFormat="1">
      <c r="B27" s="381" t="s">
        <v>219</v>
      </c>
      <c r="C27" s="396">
        <f ca="1">Financials!DX117</f>
        <v>410.1</v>
      </c>
      <c r="D27" s="386"/>
      <c r="E27" s="394">
        <v>420</v>
      </c>
      <c r="F27" s="387"/>
      <c r="G27" s="382">
        <f t="shared" si="17"/>
        <v>10</v>
      </c>
      <c r="H27" s="386"/>
      <c r="I27" s="384">
        <f>I25-I23</f>
        <v>410</v>
      </c>
      <c r="J27" s="387"/>
      <c r="K27" s="382">
        <f t="shared" si="18"/>
        <v>25</v>
      </c>
      <c r="L27" s="386"/>
      <c r="M27" s="394">
        <v>385</v>
      </c>
      <c r="N27" s="387"/>
      <c r="O27" s="382">
        <f t="shared" ref="O27:O32" si="27">M27-Q27</f>
        <v>0</v>
      </c>
      <c r="P27" s="386"/>
      <c r="Q27" s="394">
        <v>385</v>
      </c>
      <c r="R27" s="387"/>
      <c r="S27" s="379"/>
      <c r="T27" s="382">
        <f t="shared" ca="1" si="20"/>
        <v>-9.8999999999999773</v>
      </c>
      <c r="U27" s="382">
        <f t="shared" ca="1" si="21"/>
        <v>0.10000000000002274</v>
      </c>
      <c r="V27" s="382">
        <f t="shared" ca="1" si="22"/>
        <v>25.100000000000023</v>
      </c>
      <c r="W27" s="384">
        <f t="shared" ca="1" si="19"/>
        <v>25.100000000000023</v>
      </c>
      <c r="X27" s="379"/>
      <c r="Y27" s="922">
        <f t="shared" ca="1" si="23"/>
        <v>-2.3571428571428518E-2</v>
      </c>
      <c r="Z27" s="922">
        <f t="shared" ca="1" si="24"/>
        <v>2.439024390244457E-4</v>
      </c>
      <c r="AA27" s="922">
        <f t="shared" ca="1" si="25"/>
        <v>6.519480519480525E-2</v>
      </c>
      <c r="AB27" s="912">
        <f t="shared" ca="1" si="26"/>
        <v>6.519480519480525E-2</v>
      </c>
      <c r="AC27" s="379"/>
    </row>
    <row r="28" spans="2:29" s="380" customFormat="1">
      <c r="B28" s="381" t="s">
        <v>149</v>
      </c>
      <c r="C28" s="396">
        <f>-Financials!DX18</f>
        <v>85.7</v>
      </c>
      <c r="D28" s="386"/>
      <c r="E28" s="394">
        <v>85</v>
      </c>
      <c r="F28" s="387"/>
      <c r="G28" s="382">
        <f t="shared" si="17"/>
        <v>0</v>
      </c>
      <c r="H28" s="386"/>
      <c r="I28" s="394">
        <v>85</v>
      </c>
      <c r="J28" s="387"/>
      <c r="K28" s="382">
        <f t="shared" si="18"/>
        <v>0</v>
      </c>
      <c r="L28" s="386"/>
      <c r="M28" s="394">
        <v>85</v>
      </c>
      <c r="N28" s="387"/>
      <c r="O28" s="382">
        <f t="shared" si="27"/>
        <v>0</v>
      </c>
      <c r="P28" s="386"/>
      <c r="Q28" s="394">
        <v>85</v>
      </c>
      <c r="R28" s="387"/>
      <c r="S28" s="379"/>
      <c r="T28" s="382">
        <f t="shared" si="20"/>
        <v>0.70000000000000284</v>
      </c>
      <c r="U28" s="382">
        <f t="shared" si="21"/>
        <v>0.70000000000000284</v>
      </c>
      <c r="V28" s="382">
        <f t="shared" si="22"/>
        <v>0.70000000000000284</v>
      </c>
      <c r="W28" s="384">
        <f t="shared" si="19"/>
        <v>0.70000000000000284</v>
      </c>
      <c r="X28" s="379"/>
      <c r="Y28" s="922">
        <f t="shared" si="23"/>
        <v>8.2352941176470924E-3</v>
      </c>
      <c r="Z28" s="922">
        <f t="shared" si="24"/>
        <v>8.2352941176470924E-3</v>
      </c>
      <c r="AA28" s="922">
        <f t="shared" si="25"/>
        <v>8.2352941176470924E-3</v>
      </c>
      <c r="AB28" s="912">
        <f t="shared" si="26"/>
        <v>8.2352941176470924E-3</v>
      </c>
      <c r="AC28" s="379"/>
    </row>
    <row r="29" spans="2:29" s="393" customFormat="1">
      <c r="B29" s="388" t="s">
        <v>209</v>
      </c>
      <c r="C29" s="411">
        <f>Financials!DX24</f>
        <v>0.24873310810810761</v>
      </c>
      <c r="D29" s="390"/>
      <c r="E29" s="410">
        <v>0.25</v>
      </c>
      <c r="F29" s="392"/>
      <c r="G29" s="389">
        <f t="shared" si="17"/>
        <v>-1.0000000000000009E-2</v>
      </c>
      <c r="H29" s="390"/>
      <c r="I29" s="410">
        <v>0.26</v>
      </c>
      <c r="J29" s="392"/>
      <c r="K29" s="389">
        <f t="shared" si="18"/>
        <v>0</v>
      </c>
      <c r="L29" s="390"/>
      <c r="M29" s="410">
        <v>0.26</v>
      </c>
      <c r="N29" s="392"/>
      <c r="O29" s="389">
        <f t="shared" si="27"/>
        <v>0</v>
      </c>
      <c r="P29" s="390"/>
      <c r="Q29" s="410">
        <v>0.26</v>
      </c>
      <c r="R29" s="392"/>
      <c r="S29" s="379"/>
      <c r="T29" s="389">
        <f t="shared" si="20"/>
        <v>-1.2668918918923855E-3</v>
      </c>
      <c r="U29" s="389">
        <f t="shared" si="21"/>
        <v>-1.1266891891892394E-2</v>
      </c>
      <c r="V29" s="389">
        <f t="shared" si="22"/>
        <v>-1.1266891891892394E-2</v>
      </c>
      <c r="W29" s="391">
        <f t="shared" si="19"/>
        <v>-1.1266891891892394E-2</v>
      </c>
      <c r="X29" s="379"/>
      <c r="Y29" s="922"/>
      <c r="Z29" s="922"/>
      <c r="AA29" s="922"/>
      <c r="AB29" s="912"/>
      <c r="AC29" s="379"/>
    </row>
    <row r="30" spans="2:29" s="380" customFormat="1">
      <c r="B30" s="381" t="s">
        <v>220</v>
      </c>
      <c r="C30" s="396">
        <f>Financials!DX26</f>
        <v>1177.8000000000031</v>
      </c>
      <c r="D30" s="386"/>
      <c r="E30" s="394">
        <v>1150</v>
      </c>
      <c r="F30" s="387"/>
      <c r="G30" s="382">
        <f t="shared" si="17"/>
        <v>50</v>
      </c>
      <c r="H30" s="386"/>
      <c r="I30" s="394">
        <v>1100</v>
      </c>
      <c r="J30" s="387"/>
      <c r="K30" s="382">
        <f t="shared" si="18"/>
        <v>0</v>
      </c>
      <c r="L30" s="386"/>
      <c r="M30" s="394">
        <v>1100</v>
      </c>
      <c r="N30" s="387"/>
      <c r="O30" s="382">
        <f t="shared" si="27"/>
        <v>0</v>
      </c>
      <c r="P30" s="386"/>
      <c r="Q30" s="394">
        <v>1100</v>
      </c>
      <c r="R30" s="387"/>
      <c r="S30" s="379"/>
      <c r="T30" s="416">
        <f t="shared" si="20"/>
        <v>27.800000000003138</v>
      </c>
      <c r="U30" s="416">
        <f t="shared" si="21"/>
        <v>77.800000000003138</v>
      </c>
      <c r="V30" s="416">
        <f t="shared" si="22"/>
        <v>77.800000000003138</v>
      </c>
      <c r="W30" s="417">
        <f t="shared" si="19"/>
        <v>77.800000000003138</v>
      </c>
      <c r="X30" s="379"/>
      <c r="Y30" s="920">
        <f t="shared" si="23"/>
        <v>2.4173913043480988E-2</v>
      </c>
      <c r="Z30" s="920">
        <f t="shared" si="24"/>
        <v>7.0727272727275581E-2</v>
      </c>
      <c r="AA30" s="920">
        <f t="shared" si="25"/>
        <v>7.0727272727275581E-2</v>
      </c>
      <c r="AB30" s="921">
        <f t="shared" si="26"/>
        <v>7.0727272727275581E-2</v>
      </c>
      <c r="AC30" s="379"/>
    </row>
    <row r="31" spans="2:29" s="380" customFormat="1">
      <c r="B31" s="381" t="s">
        <v>25</v>
      </c>
      <c r="C31" s="396"/>
      <c r="D31" s="386"/>
      <c r="E31" s="394">
        <v>65</v>
      </c>
      <c r="F31" s="387"/>
      <c r="G31" s="382">
        <f t="shared" si="17"/>
        <v>0</v>
      </c>
      <c r="H31" s="386"/>
      <c r="I31" s="394">
        <v>65</v>
      </c>
      <c r="J31" s="387"/>
      <c r="K31" s="382">
        <f t="shared" si="18"/>
        <v>0</v>
      </c>
      <c r="L31" s="386"/>
      <c r="M31" s="394">
        <v>65</v>
      </c>
      <c r="N31" s="387"/>
      <c r="O31" s="382">
        <f t="shared" si="27"/>
        <v>0</v>
      </c>
      <c r="P31" s="386"/>
      <c r="Q31" s="394">
        <v>65</v>
      </c>
      <c r="R31" s="387"/>
      <c r="S31" s="379"/>
      <c r="T31" s="382"/>
      <c r="U31" s="382"/>
      <c r="V31" s="382"/>
      <c r="W31" s="384"/>
      <c r="X31" s="379"/>
      <c r="Y31" s="922"/>
      <c r="Z31" s="922"/>
      <c r="AA31" s="922"/>
      <c r="AB31" s="912"/>
      <c r="AC31" s="379"/>
    </row>
    <row r="32" spans="2:29" s="380" customFormat="1">
      <c r="B32" s="381" t="s">
        <v>141</v>
      </c>
      <c r="C32" s="396">
        <f>-Financials!DX133</f>
        <v>594.5</v>
      </c>
      <c r="D32" s="386"/>
      <c r="E32" s="394">
        <v>585</v>
      </c>
      <c r="F32" s="387"/>
      <c r="G32" s="382">
        <f t="shared" si="17"/>
        <v>25</v>
      </c>
      <c r="H32" s="386"/>
      <c r="I32" s="394">
        <v>560</v>
      </c>
      <c r="J32" s="387"/>
      <c r="K32" s="382">
        <f t="shared" si="18"/>
        <v>10</v>
      </c>
      <c r="L32" s="386"/>
      <c r="M32" s="394">
        <v>550</v>
      </c>
      <c r="N32" s="387"/>
      <c r="O32" s="382">
        <f t="shared" si="27"/>
        <v>50</v>
      </c>
      <c r="P32" s="386"/>
      <c r="Q32" s="394">
        <v>500</v>
      </c>
      <c r="R32" s="387"/>
      <c r="S32" s="379"/>
      <c r="T32" s="382">
        <f t="shared" ref="T32:T33" si="28">$C32-E32</f>
        <v>9.5</v>
      </c>
      <c r="U32" s="382">
        <f t="shared" ref="U32:U33" si="29">$C32-I32</f>
        <v>34.5</v>
      </c>
      <c r="V32" s="382">
        <f t="shared" ref="V32:V33" si="30">$C32-M32</f>
        <v>44.5</v>
      </c>
      <c r="W32" s="384">
        <f>$C32-Q32</f>
        <v>94.5</v>
      </c>
      <c r="X32" s="379"/>
      <c r="Y32" s="922">
        <f t="shared" ref="Y32:Y33" si="31">T32/E32</f>
        <v>1.6239316239316241E-2</v>
      </c>
      <c r="Z32" s="922">
        <f t="shared" ref="Z32:Z33" si="32">U32/I32</f>
        <v>6.160714285714286E-2</v>
      </c>
      <c r="AA32" s="922">
        <f t="shared" ref="AA32:AA33" si="33">V32/M32</f>
        <v>8.0909090909090903E-2</v>
      </c>
      <c r="AB32" s="912">
        <f t="shared" ref="AB32:AB33" si="34">W32/Q32</f>
        <v>0.189</v>
      </c>
      <c r="AC32" s="379"/>
    </row>
    <row r="33" spans="2:29" s="397" customFormat="1" ht="15.75" thickBot="1">
      <c r="B33" s="398" t="s">
        <v>177</v>
      </c>
      <c r="C33" s="399">
        <f ca="1">Financials!DX156</f>
        <v>1188.5999999999999</v>
      </c>
      <c r="D33" s="408"/>
      <c r="E33" s="404">
        <v>1150</v>
      </c>
      <c r="F33" s="409"/>
      <c r="G33" s="405">
        <f t="shared" si="17"/>
        <v>50</v>
      </c>
      <c r="H33" s="408"/>
      <c r="I33" s="404">
        <v>1100</v>
      </c>
      <c r="J33" s="409"/>
      <c r="K33" s="405">
        <f t="shared" si="18"/>
        <v>100</v>
      </c>
      <c r="L33" s="408"/>
      <c r="M33" s="404">
        <v>1000</v>
      </c>
      <c r="N33" s="409"/>
      <c r="O33" s="405">
        <f>M33-Q33</f>
        <v>0</v>
      </c>
      <c r="P33" s="408"/>
      <c r="Q33" s="404">
        <v>1000</v>
      </c>
      <c r="R33" s="409"/>
      <c r="T33" s="403">
        <f t="shared" ca="1" si="28"/>
        <v>38.599999999999909</v>
      </c>
      <c r="U33" s="403">
        <f t="shared" ca="1" si="29"/>
        <v>88.599999999999909</v>
      </c>
      <c r="V33" s="403">
        <f t="shared" ca="1" si="30"/>
        <v>188.59999999999991</v>
      </c>
      <c r="W33" s="413">
        <f ca="1">$C33-Q33</f>
        <v>188.59999999999991</v>
      </c>
      <c r="Y33" s="923">
        <f t="shared" ca="1" si="31"/>
        <v>3.3565217391304268E-2</v>
      </c>
      <c r="Z33" s="923">
        <f t="shared" ca="1" si="32"/>
        <v>8.0545454545454462E-2</v>
      </c>
      <c r="AA33" s="923">
        <f t="shared" ca="1" si="33"/>
        <v>0.18859999999999991</v>
      </c>
      <c r="AB33" s="916">
        <f t="shared" ca="1" si="34"/>
        <v>0.18859999999999991</v>
      </c>
    </row>
    <row r="34" spans="2:29" ht="15.75" thickBot="1"/>
    <row r="35" spans="2:29" s="366" customFormat="1">
      <c r="B35" s="371"/>
      <c r="C35" s="372">
        <v>2016</v>
      </c>
      <c r="D35" s="943" t="s">
        <v>191</v>
      </c>
      <c r="E35" s="944"/>
      <c r="F35" s="945"/>
      <c r="G35" s="373" t="s">
        <v>199</v>
      </c>
      <c r="H35" s="946" t="s">
        <v>190</v>
      </c>
      <c r="I35" s="947"/>
      <c r="J35" s="948"/>
      <c r="K35" s="373" t="s">
        <v>199</v>
      </c>
      <c r="L35" s="943" t="s">
        <v>189</v>
      </c>
      <c r="M35" s="944"/>
      <c r="N35" s="945"/>
      <c r="O35" s="373" t="s">
        <v>199</v>
      </c>
      <c r="P35" s="943" t="s">
        <v>188</v>
      </c>
      <c r="Q35" s="944"/>
      <c r="R35" s="945"/>
      <c r="S35" s="368"/>
      <c r="T35" s="372" t="s">
        <v>191</v>
      </c>
      <c r="U35" s="372" t="s">
        <v>190</v>
      </c>
      <c r="V35" s="372" t="s">
        <v>189</v>
      </c>
      <c r="W35" s="412" t="s">
        <v>188</v>
      </c>
      <c r="X35" s="368"/>
      <c r="Y35" s="917" t="s">
        <v>191</v>
      </c>
      <c r="Z35" s="917" t="s">
        <v>190</v>
      </c>
      <c r="AA35" s="917" t="s">
        <v>189</v>
      </c>
      <c r="AB35" s="904" t="s">
        <v>188</v>
      </c>
      <c r="AC35" s="368"/>
    </row>
    <row r="36" spans="2:29" s="380" customFormat="1">
      <c r="B36" s="374" t="s">
        <v>143</v>
      </c>
      <c r="C36" s="395">
        <f>Financials!$DW$6</f>
        <v>18557.599999999999</v>
      </c>
      <c r="D36" s="377"/>
      <c r="E36" s="406">
        <v>18600</v>
      </c>
      <c r="F36" s="378"/>
      <c r="G36" s="375">
        <f t="shared" ref="G36:G47" si="35">E36-I36</f>
        <v>-50</v>
      </c>
      <c r="H36" s="377">
        <v>18500</v>
      </c>
      <c r="I36" s="376">
        <f>AVERAGE(H36,J36)</f>
        <v>18650</v>
      </c>
      <c r="J36" s="378">
        <v>18800</v>
      </c>
      <c r="K36" s="375">
        <f t="shared" ref="K36:K47" si="36">I36-M36</f>
        <v>-100</v>
      </c>
      <c r="L36" s="377">
        <v>18500</v>
      </c>
      <c r="M36" s="376">
        <f>AVERAGE(L36,N36)</f>
        <v>18750</v>
      </c>
      <c r="N36" s="378">
        <v>19000</v>
      </c>
      <c r="O36" s="375">
        <f t="shared" ref="O36:O46" si="37">M36-Q36</f>
        <v>0</v>
      </c>
      <c r="P36" s="377">
        <v>18500</v>
      </c>
      <c r="Q36" s="376">
        <f>AVERAGE(P36,R36)</f>
        <v>18750</v>
      </c>
      <c r="R36" s="378">
        <v>19000</v>
      </c>
      <c r="S36" s="379"/>
      <c r="T36" s="414">
        <f>$C36-E36</f>
        <v>-42.400000000001455</v>
      </c>
      <c r="U36" s="414">
        <f>$C36-I36</f>
        <v>-92.400000000001455</v>
      </c>
      <c r="V36" s="414">
        <f>$C36-M36</f>
        <v>-192.40000000000146</v>
      </c>
      <c r="W36" s="415">
        <f>$C36-Q36</f>
        <v>-192.40000000000146</v>
      </c>
      <c r="X36" s="379"/>
      <c r="Y36" s="918">
        <f>T36/E36</f>
        <v>-2.2795698924731964E-3</v>
      </c>
      <c r="Z36" s="918">
        <f>U36/I36</f>
        <v>-4.9544235924933759E-3</v>
      </c>
      <c r="AA36" s="918">
        <f>V36/M36</f>
        <v>-1.026133333333341E-2</v>
      </c>
      <c r="AB36" s="919">
        <f>W36/Q36</f>
        <v>-1.026133333333341E-2</v>
      </c>
      <c r="AC36" s="379"/>
    </row>
    <row r="37" spans="2:29" s="380" customFormat="1">
      <c r="B37" s="381" t="s">
        <v>218</v>
      </c>
      <c r="C37" s="396">
        <f>Financials!$DW$15</f>
        <v>1534.8000000000006</v>
      </c>
      <c r="D37" s="386">
        <v>1500</v>
      </c>
      <c r="E37" s="384">
        <f>AVERAGE(D37,F37)</f>
        <v>1512.5</v>
      </c>
      <c r="F37" s="387">
        <v>1525</v>
      </c>
      <c r="G37" s="382">
        <f t="shared" si="35"/>
        <v>37.5</v>
      </c>
      <c r="H37" s="386">
        <v>1450</v>
      </c>
      <c r="I37" s="384">
        <f>AVERAGE(H37,J37)</f>
        <v>1475</v>
      </c>
      <c r="J37" s="387">
        <v>1500</v>
      </c>
      <c r="K37" s="382">
        <f t="shared" si="36"/>
        <v>50</v>
      </c>
      <c r="L37" s="386">
        <v>1400</v>
      </c>
      <c r="M37" s="384">
        <f>AVERAGE(L37,N37)</f>
        <v>1425</v>
      </c>
      <c r="N37" s="387">
        <v>1450</v>
      </c>
      <c r="O37" s="382">
        <f t="shared" si="37"/>
        <v>50</v>
      </c>
      <c r="P37" s="386">
        <v>1350</v>
      </c>
      <c r="Q37" s="384">
        <f>AVERAGE(P37,R37)</f>
        <v>1375</v>
      </c>
      <c r="R37" s="387">
        <v>1400</v>
      </c>
      <c r="S37" s="379"/>
      <c r="T37" s="416">
        <f t="shared" ref="T37:T47" si="38">$C37-E37</f>
        <v>22.300000000000637</v>
      </c>
      <c r="U37" s="416">
        <f t="shared" ref="U37:U47" si="39">$C37-I37</f>
        <v>59.800000000000637</v>
      </c>
      <c r="V37" s="416">
        <f t="shared" ref="V37:V47" si="40">$C37-M37</f>
        <v>109.80000000000064</v>
      </c>
      <c r="W37" s="417">
        <f t="shared" ref="W37:W47" si="41">$C37-Q37</f>
        <v>159.80000000000064</v>
      </c>
      <c r="X37" s="379"/>
      <c r="Y37" s="920">
        <f t="shared" ref="Y37" si="42">T37/E37</f>
        <v>1.4743801652892984E-2</v>
      </c>
      <c r="Z37" s="920">
        <f t="shared" ref="Z37" si="43">U37/I37</f>
        <v>4.0542372881356363E-2</v>
      </c>
      <c r="AA37" s="920">
        <f t="shared" ref="AA37" si="44">V37/M37</f>
        <v>7.7052631578947817E-2</v>
      </c>
      <c r="AB37" s="921">
        <f t="shared" ref="AB37" si="45">W37/Q37</f>
        <v>0.11621818181818228</v>
      </c>
      <c r="AC37" s="379"/>
    </row>
    <row r="38" spans="2:29" s="393" customFormat="1">
      <c r="B38" s="856" t="s">
        <v>203</v>
      </c>
      <c r="C38" s="389">
        <f>C37/C36</f>
        <v>8.2704660085355902E-2</v>
      </c>
      <c r="D38" s="390">
        <f>D37/$E$36</f>
        <v>8.0645161290322578E-2</v>
      </c>
      <c r="E38" s="391">
        <f>E37/$E$36</f>
        <v>8.1317204301075266E-2</v>
      </c>
      <c r="F38" s="392">
        <f>F37/$E$36</f>
        <v>8.1989247311827954E-2</v>
      </c>
      <c r="G38" s="389">
        <f t="shared" si="35"/>
        <v>2.2287324512093171E-3</v>
      </c>
      <c r="H38" s="390">
        <f>H37/H36</f>
        <v>7.8378378378378383E-2</v>
      </c>
      <c r="I38" s="391">
        <f>I37/I36</f>
        <v>7.9088471849865949E-2</v>
      </c>
      <c r="J38" s="392">
        <f>J37/J36</f>
        <v>7.9787234042553196E-2</v>
      </c>
      <c r="K38" s="389">
        <f t="shared" si="36"/>
        <v>3.0884718498659508E-3</v>
      </c>
      <c r="L38" s="390">
        <f>L37/L36</f>
        <v>7.567567567567568E-2</v>
      </c>
      <c r="M38" s="391">
        <f>M37/M36</f>
        <v>7.5999999999999998E-2</v>
      </c>
      <c r="N38" s="392">
        <f>N37/N36</f>
        <v>7.6315789473684212E-2</v>
      </c>
      <c r="O38" s="389">
        <f t="shared" si="37"/>
        <v>2.6666666666666644E-3</v>
      </c>
      <c r="P38" s="390">
        <f>P37/P36</f>
        <v>7.2972972972972977E-2</v>
      </c>
      <c r="Q38" s="391">
        <f>Q37/Q36</f>
        <v>7.3333333333333334E-2</v>
      </c>
      <c r="R38" s="392">
        <f>R37/R36</f>
        <v>7.3684210526315783E-2</v>
      </c>
      <c r="S38" s="379"/>
      <c r="T38" s="389">
        <f t="shared" si="38"/>
        <v>1.3874557842806362E-3</v>
      </c>
      <c r="U38" s="389">
        <f t="shared" si="39"/>
        <v>3.6161882354899533E-3</v>
      </c>
      <c r="V38" s="389">
        <f t="shared" si="40"/>
        <v>6.7046600853559041E-3</v>
      </c>
      <c r="W38" s="391">
        <f t="shared" si="41"/>
        <v>9.3713267520225685E-3</v>
      </c>
      <c r="X38" s="379"/>
      <c r="Y38" s="922"/>
      <c r="Z38" s="922"/>
      <c r="AA38" s="922"/>
      <c r="AB38" s="912"/>
      <c r="AC38" s="379"/>
    </row>
    <row r="39" spans="2:29" s="380" customFormat="1">
      <c r="B39" s="381" t="s">
        <v>15</v>
      </c>
      <c r="C39" s="396">
        <f>Financials!$DW$51</f>
        <v>1913.0000000000007</v>
      </c>
      <c r="D39" s="386">
        <v>1875</v>
      </c>
      <c r="E39" s="384">
        <f>AVERAGE(D39,F39)</f>
        <v>1887.5</v>
      </c>
      <c r="F39" s="387">
        <v>1900</v>
      </c>
      <c r="G39" s="382">
        <f>E39-I39</f>
        <v>37.5</v>
      </c>
      <c r="H39" s="386">
        <v>1825</v>
      </c>
      <c r="I39" s="384">
        <f>AVERAGE(H39,J39)</f>
        <v>1850</v>
      </c>
      <c r="J39" s="387">
        <v>1875</v>
      </c>
      <c r="K39" s="382">
        <f>I39-M39</f>
        <v>50</v>
      </c>
      <c r="L39" s="386">
        <v>1775</v>
      </c>
      <c r="M39" s="384">
        <f>AVERAGE(L39,N39)</f>
        <v>1800</v>
      </c>
      <c r="N39" s="387">
        <v>1825</v>
      </c>
      <c r="O39" s="382"/>
      <c r="P39" s="386"/>
      <c r="Q39" s="384"/>
      <c r="R39" s="387"/>
      <c r="S39" s="379"/>
      <c r="T39" s="382">
        <f t="shared" si="38"/>
        <v>25.500000000000682</v>
      </c>
      <c r="U39" s="382">
        <f t="shared" si="39"/>
        <v>63.000000000000682</v>
      </c>
      <c r="V39" s="382">
        <f t="shared" si="40"/>
        <v>113.00000000000068</v>
      </c>
      <c r="W39" s="384">
        <f t="shared" si="41"/>
        <v>1913.0000000000007</v>
      </c>
      <c r="X39" s="379"/>
      <c r="Y39" s="922">
        <f t="shared" ref="Y39" si="46">T39/E39</f>
        <v>1.3509933774834799E-2</v>
      </c>
      <c r="Z39" s="922">
        <f t="shared" ref="Z39" si="47">U39/I39</f>
        <v>3.4054054054054421E-2</v>
      </c>
      <c r="AA39" s="922">
        <f t="shared" ref="AA39" si="48">V39/M39</f>
        <v>6.2777777777778154E-2</v>
      </c>
      <c r="AB39" s="912"/>
      <c r="AC39" s="379"/>
    </row>
    <row r="40" spans="2:29" s="393" customFormat="1">
      <c r="B40" s="856" t="s">
        <v>203</v>
      </c>
      <c r="C40" s="389">
        <f>C39/C36</f>
        <v>0.1030844505755055</v>
      </c>
      <c r="D40" s="390">
        <f>D39/$E$36</f>
        <v>0.10080645161290322</v>
      </c>
      <c r="E40" s="391">
        <f>E39/$E$36</f>
        <v>0.10147849462365591</v>
      </c>
      <c r="F40" s="392">
        <f>F39/$E$36</f>
        <v>0.10215053763440861</v>
      </c>
      <c r="G40" s="389">
        <f>E40-I40</f>
        <v>2.2827841678918354E-3</v>
      </c>
      <c r="H40" s="390">
        <f>H39/H36</f>
        <v>9.8648648648648654E-2</v>
      </c>
      <c r="I40" s="391">
        <f>I39/I36</f>
        <v>9.9195710455764072E-2</v>
      </c>
      <c r="J40" s="392">
        <f>J39/J36</f>
        <v>9.9734042553191488E-2</v>
      </c>
      <c r="K40" s="389">
        <f>I40-M40</f>
        <v>3.1957104557640698E-3</v>
      </c>
      <c r="L40" s="390">
        <f>L39/L36</f>
        <v>9.5945945945945951E-2</v>
      </c>
      <c r="M40" s="391">
        <f>M39/M36</f>
        <v>9.6000000000000002E-2</v>
      </c>
      <c r="N40" s="392">
        <f>N39/N36</f>
        <v>9.6052631578947362E-2</v>
      </c>
      <c r="O40" s="389"/>
      <c r="P40" s="390"/>
      <c r="Q40" s="391"/>
      <c r="R40" s="392"/>
      <c r="S40" s="379"/>
      <c r="T40" s="389">
        <f t="shared" si="38"/>
        <v>1.6059559518495914E-3</v>
      </c>
      <c r="U40" s="389">
        <f t="shared" si="39"/>
        <v>3.8887401197414267E-3</v>
      </c>
      <c r="V40" s="389">
        <f t="shared" si="40"/>
        <v>7.0844505755054965E-3</v>
      </c>
      <c r="W40" s="391">
        <f t="shared" si="41"/>
        <v>0.1030844505755055</v>
      </c>
      <c r="X40" s="379"/>
      <c r="Y40" s="922"/>
      <c r="Z40" s="922"/>
      <c r="AA40" s="922"/>
      <c r="AB40" s="912"/>
      <c r="AC40" s="379"/>
    </row>
    <row r="41" spans="2:29" s="380" customFormat="1">
      <c r="B41" s="381" t="s">
        <v>219</v>
      </c>
      <c r="C41" s="396">
        <f>Financials!$DW$117</f>
        <v>378.2</v>
      </c>
      <c r="D41" s="386"/>
      <c r="E41" s="394">
        <v>375</v>
      </c>
      <c r="F41" s="387"/>
      <c r="G41" s="382">
        <f t="shared" si="35"/>
        <v>0</v>
      </c>
      <c r="H41" s="386"/>
      <c r="I41" s="394">
        <v>375</v>
      </c>
      <c r="J41" s="387"/>
      <c r="K41" s="382">
        <f t="shared" si="36"/>
        <v>0</v>
      </c>
      <c r="L41" s="386"/>
      <c r="M41" s="394">
        <v>375</v>
      </c>
      <c r="N41" s="387"/>
      <c r="O41" s="382">
        <f t="shared" si="37"/>
        <v>0</v>
      </c>
      <c r="P41" s="386"/>
      <c r="Q41" s="394">
        <v>375</v>
      </c>
      <c r="R41" s="387"/>
      <c r="S41" s="379"/>
      <c r="T41" s="382">
        <f t="shared" si="38"/>
        <v>3.1999999999999886</v>
      </c>
      <c r="U41" s="382">
        <f t="shared" si="39"/>
        <v>3.1999999999999886</v>
      </c>
      <c r="V41" s="382">
        <f t="shared" si="40"/>
        <v>3.1999999999999886</v>
      </c>
      <c r="W41" s="384">
        <f t="shared" si="41"/>
        <v>3.1999999999999886</v>
      </c>
      <c r="X41" s="379"/>
      <c r="Y41" s="922">
        <f t="shared" ref="Y41:Y42" si="49">T41/E41</f>
        <v>8.5333333333333025E-3</v>
      </c>
      <c r="Z41" s="922">
        <f t="shared" ref="Z41:Z42" si="50">U41/I41</f>
        <v>8.5333333333333025E-3</v>
      </c>
      <c r="AA41" s="922">
        <f t="shared" ref="AA41:AA42" si="51">V41/M41</f>
        <v>8.5333333333333025E-3</v>
      </c>
      <c r="AB41" s="912">
        <f t="shared" ref="AB41:AB42" si="52">W41/Q41</f>
        <v>8.5333333333333025E-3</v>
      </c>
      <c r="AC41" s="379"/>
    </row>
    <row r="42" spans="2:29" s="380" customFormat="1">
      <c r="B42" s="381" t="s">
        <v>149</v>
      </c>
      <c r="C42" s="396">
        <f>-Financials!$DW$18</f>
        <v>82.5</v>
      </c>
      <c r="D42" s="386"/>
      <c r="E42" s="394">
        <v>83</v>
      </c>
      <c r="F42" s="387"/>
      <c r="G42" s="382">
        <f t="shared" si="35"/>
        <v>-2</v>
      </c>
      <c r="H42" s="386"/>
      <c r="I42" s="394">
        <v>85</v>
      </c>
      <c r="J42" s="387"/>
      <c r="K42" s="382">
        <f t="shared" si="36"/>
        <v>0</v>
      </c>
      <c r="L42" s="386"/>
      <c r="M42" s="394">
        <v>85</v>
      </c>
      <c r="N42" s="387"/>
      <c r="O42" s="382">
        <f t="shared" si="37"/>
        <v>-5</v>
      </c>
      <c r="P42" s="386"/>
      <c r="Q42" s="394">
        <v>90</v>
      </c>
      <c r="R42" s="387"/>
      <c r="S42" s="379"/>
      <c r="T42" s="382">
        <f t="shared" si="38"/>
        <v>-0.5</v>
      </c>
      <c r="U42" s="382">
        <f t="shared" si="39"/>
        <v>-2.5</v>
      </c>
      <c r="V42" s="382">
        <f t="shared" si="40"/>
        <v>-2.5</v>
      </c>
      <c r="W42" s="384">
        <f t="shared" si="41"/>
        <v>-7.5</v>
      </c>
      <c r="X42" s="379"/>
      <c r="Y42" s="922">
        <f t="shared" si="49"/>
        <v>-6.024096385542169E-3</v>
      </c>
      <c r="Z42" s="922">
        <f t="shared" si="50"/>
        <v>-2.9411764705882353E-2</v>
      </c>
      <c r="AA42" s="922">
        <f t="shared" si="51"/>
        <v>-2.9411764705882353E-2</v>
      </c>
      <c r="AB42" s="912">
        <f t="shared" si="52"/>
        <v>-8.3333333333333329E-2</v>
      </c>
      <c r="AC42" s="379"/>
    </row>
    <row r="43" spans="2:29" s="393" customFormat="1">
      <c r="B43" s="388" t="s">
        <v>209</v>
      </c>
      <c r="C43" s="411">
        <f>Financials!$DW$24</f>
        <v>0.26509592729720621</v>
      </c>
      <c r="D43" s="390"/>
      <c r="E43" s="410">
        <v>0.27</v>
      </c>
      <c r="F43" s="392"/>
      <c r="G43" s="389">
        <f t="shared" si="35"/>
        <v>-1.0000000000000009E-2</v>
      </c>
      <c r="H43" s="390"/>
      <c r="I43" s="410">
        <v>0.28000000000000003</v>
      </c>
      <c r="J43" s="392"/>
      <c r="K43" s="389">
        <f t="shared" si="36"/>
        <v>0</v>
      </c>
      <c r="L43" s="390"/>
      <c r="M43" s="410">
        <v>0.28000000000000003</v>
      </c>
      <c r="N43" s="392"/>
      <c r="O43" s="389">
        <f t="shared" si="37"/>
        <v>0</v>
      </c>
      <c r="P43" s="390"/>
      <c r="Q43" s="410">
        <v>0.28000000000000003</v>
      </c>
      <c r="R43" s="392"/>
      <c r="S43" s="379"/>
      <c r="T43" s="389">
        <f t="shared" si="38"/>
        <v>-4.9040727027938047E-3</v>
      </c>
      <c r="U43" s="389">
        <f t="shared" si="39"/>
        <v>-1.4904072702793814E-2</v>
      </c>
      <c r="V43" s="389">
        <f t="shared" si="40"/>
        <v>-1.4904072702793814E-2</v>
      </c>
      <c r="W43" s="391">
        <f t="shared" si="41"/>
        <v>-1.4904072702793814E-2</v>
      </c>
      <c r="X43" s="379"/>
      <c r="Y43" s="922"/>
      <c r="Z43" s="922"/>
      <c r="AA43" s="922"/>
      <c r="AB43" s="912"/>
      <c r="AC43" s="379"/>
    </row>
    <row r="44" spans="2:29" s="380" customFormat="1">
      <c r="B44" s="381" t="s">
        <v>220</v>
      </c>
      <c r="C44" s="396">
        <f>Financials!$DW$26</f>
        <v>1026.3000000000006</v>
      </c>
      <c r="D44" s="386">
        <v>980</v>
      </c>
      <c r="E44" s="384">
        <f>AVERAGE(D44,F44)</f>
        <v>990</v>
      </c>
      <c r="F44" s="387">
        <v>1000</v>
      </c>
      <c r="G44" s="382">
        <f t="shared" si="35"/>
        <v>35</v>
      </c>
      <c r="H44" s="386">
        <v>935</v>
      </c>
      <c r="I44" s="384">
        <f>AVERAGE(H44,J44)</f>
        <v>955</v>
      </c>
      <c r="J44" s="387">
        <v>975</v>
      </c>
      <c r="K44" s="382">
        <f t="shared" si="36"/>
        <v>35</v>
      </c>
      <c r="L44" s="386">
        <v>900</v>
      </c>
      <c r="M44" s="384">
        <f>AVERAGE(L44,N44)</f>
        <v>920</v>
      </c>
      <c r="N44" s="387">
        <v>940</v>
      </c>
      <c r="O44" s="382">
        <f t="shared" si="37"/>
        <v>45</v>
      </c>
      <c r="P44" s="386">
        <v>855</v>
      </c>
      <c r="Q44" s="384">
        <f>AVERAGE(P44,R44)</f>
        <v>875</v>
      </c>
      <c r="R44" s="387">
        <v>895</v>
      </c>
      <c r="S44" s="379"/>
      <c r="T44" s="416">
        <f t="shared" si="38"/>
        <v>36.300000000000637</v>
      </c>
      <c r="U44" s="416">
        <f t="shared" si="39"/>
        <v>71.300000000000637</v>
      </c>
      <c r="V44" s="416">
        <f t="shared" si="40"/>
        <v>106.30000000000064</v>
      </c>
      <c r="W44" s="417">
        <f t="shared" si="41"/>
        <v>151.30000000000064</v>
      </c>
      <c r="X44" s="379"/>
      <c r="Y44" s="920">
        <f t="shared" ref="Y44" si="53">T44/E44</f>
        <v>3.6666666666667312E-2</v>
      </c>
      <c r="Z44" s="920">
        <f t="shared" ref="Z44" si="54">U44/I44</f>
        <v>7.4659685863875017E-2</v>
      </c>
      <c r="AA44" s="920">
        <f t="shared" ref="AA44" si="55">V44/M44</f>
        <v>0.11554347826087026</v>
      </c>
      <c r="AB44" s="921">
        <f t="shared" ref="AB44" si="56">W44/Q44</f>
        <v>0.17291428571428644</v>
      </c>
      <c r="AC44" s="379"/>
    </row>
    <row r="45" spans="2:29" s="380" customFormat="1">
      <c r="B45" s="381" t="s">
        <v>25</v>
      </c>
      <c r="C45" s="396"/>
      <c r="D45" s="386"/>
      <c r="E45" s="394">
        <v>70</v>
      </c>
      <c r="F45" s="387"/>
      <c r="G45" s="382">
        <f t="shared" si="35"/>
        <v>0</v>
      </c>
      <c r="H45" s="386"/>
      <c r="I45" s="394">
        <v>70</v>
      </c>
      <c r="J45" s="387"/>
      <c r="K45" s="382">
        <f t="shared" si="36"/>
        <v>0</v>
      </c>
      <c r="L45" s="386"/>
      <c r="M45" s="394">
        <v>70</v>
      </c>
      <c r="N45" s="387"/>
      <c r="O45" s="382">
        <f t="shared" si="37"/>
        <v>0</v>
      </c>
      <c r="P45" s="386"/>
      <c r="Q45" s="394">
        <v>70</v>
      </c>
      <c r="R45" s="387"/>
      <c r="S45" s="379"/>
      <c r="T45" s="382"/>
      <c r="U45" s="382"/>
      <c r="V45" s="382"/>
      <c r="W45" s="384"/>
      <c r="X45" s="379"/>
      <c r="Y45" s="922"/>
      <c r="Z45" s="922"/>
      <c r="AA45" s="922"/>
      <c r="AB45" s="912"/>
      <c r="AC45" s="379"/>
    </row>
    <row r="46" spans="2:29" s="380" customFormat="1">
      <c r="B46" s="381" t="s">
        <v>141</v>
      </c>
      <c r="C46" s="396">
        <f>-Financials!$DW$133</f>
        <v>528.29999999999995</v>
      </c>
      <c r="D46" s="386"/>
      <c r="E46" s="394">
        <v>525</v>
      </c>
      <c r="F46" s="387"/>
      <c r="G46" s="382">
        <f t="shared" si="35"/>
        <v>0</v>
      </c>
      <c r="H46" s="386"/>
      <c r="I46" s="394">
        <v>525</v>
      </c>
      <c r="J46" s="387"/>
      <c r="K46" s="382">
        <f t="shared" si="36"/>
        <v>0</v>
      </c>
      <c r="L46" s="386"/>
      <c r="M46" s="394">
        <v>525</v>
      </c>
      <c r="N46" s="387"/>
      <c r="O46" s="382">
        <f t="shared" si="37"/>
        <v>0</v>
      </c>
      <c r="P46" s="386"/>
      <c r="Q46" s="394">
        <v>525</v>
      </c>
      <c r="R46" s="387"/>
      <c r="S46" s="379"/>
      <c r="T46" s="382">
        <f t="shared" si="38"/>
        <v>3.2999999999999545</v>
      </c>
      <c r="U46" s="382">
        <f t="shared" si="39"/>
        <v>3.2999999999999545</v>
      </c>
      <c r="V46" s="382">
        <f t="shared" si="40"/>
        <v>3.2999999999999545</v>
      </c>
      <c r="W46" s="384">
        <f t="shared" si="41"/>
        <v>3.2999999999999545</v>
      </c>
      <c r="X46" s="379"/>
      <c r="Y46" s="922">
        <f t="shared" ref="Y46:Y47" si="57">T46/E46</f>
        <v>6.2857142857141992E-3</v>
      </c>
      <c r="Z46" s="922">
        <f t="shared" ref="Z46:Z47" si="58">U46/I46</f>
        <v>6.2857142857141992E-3</v>
      </c>
      <c r="AA46" s="922">
        <f t="shared" ref="AA46:AA47" si="59">V46/M46</f>
        <v>6.2857142857141992E-3</v>
      </c>
      <c r="AB46" s="912">
        <f t="shared" ref="AB46:AB47" si="60">W46/Q46</f>
        <v>6.2857142857141992E-3</v>
      </c>
      <c r="AC46" s="379"/>
    </row>
    <row r="47" spans="2:29" s="397" customFormat="1" ht="15.75" thickBot="1">
      <c r="B47" s="398" t="s">
        <v>177</v>
      </c>
      <c r="C47" s="399">
        <f>Financials!$DW$156</f>
        <v>1090.9999999999998</v>
      </c>
      <c r="D47" s="408"/>
      <c r="E47" s="404">
        <v>1000</v>
      </c>
      <c r="F47" s="409"/>
      <c r="G47" s="405">
        <f t="shared" si="35"/>
        <v>100</v>
      </c>
      <c r="H47" s="408"/>
      <c r="I47" s="404">
        <v>900</v>
      </c>
      <c r="J47" s="409"/>
      <c r="K47" s="405">
        <f t="shared" si="36"/>
        <v>100</v>
      </c>
      <c r="L47" s="408"/>
      <c r="M47" s="404">
        <v>800</v>
      </c>
      <c r="N47" s="409"/>
      <c r="O47" s="405">
        <f>M47-Q47</f>
        <v>0</v>
      </c>
      <c r="P47" s="408"/>
      <c r="Q47" s="404">
        <v>800</v>
      </c>
      <c r="R47" s="409"/>
      <c r="T47" s="403">
        <f t="shared" si="38"/>
        <v>90.999999999999773</v>
      </c>
      <c r="U47" s="403">
        <f t="shared" si="39"/>
        <v>190.99999999999977</v>
      </c>
      <c r="V47" s="403">
        <f t="shared" si="40"/>
        <v>290.99999999999977</v>
      </c>
      <c r="W47" s="413">
        <f t="shared" si="41"/>
        <v>290.99999999999977</v>
      </c>
      <c r="Y47" s="923">
        <f t="shared" si="57"/>
        <v>9.0999999999999776E-2</v>
      </c>
      <c r="Z47" s="923">
        <f t="shared" si="58"/>
        <v>0.21222222222222198</v>
      </c>
      <c r="AA47" s="923">
        <f t="shared" si="59"/>
        <v>0.36374999999999974</v>
      </c>
      <c r="AB47" s="916">
        <f t="shared" si="60"/>
        <v>0.36374999999999974</v>
      </c>
    </row>
    <row r="48" spans="2:29" ht="15.75" thickBot="1"/>
    <row r="49" spans="2:29" s="366" customFormat="1">
      <c r="B49" s="371"/>
      <c r="C49" s="372">
        <v>2015</v>
      </c>
      <c r="D49" s="943" t="s">
        <v>185</v>
      </c>
      <c r="E49" s="944"/>
      <c r="F49" s="945"/>
      <c r="G49" s="373" t="s">
        <v>199</v>
      </c>
      <c r="H49" s="946" t="s">
        <v>184</v>
      </c>
      <c r="I49" s="947"/>
      <c r="J49" s="948"/>
      <c r="K49" s="373" t="s">
        <v>199</v>
      </c>
      <c r="L49" s="943" t="s">
        <v>183</v>
      </c>
      <c r="M49" s="944"/>
      <c r="N49" s="945"/>
      <c r="O49" s="373" t="s">
        <v>199</v>
      </c>
      <c r="P49" s="943" t="s">
        <v>182</v>
      </c>
      <c r="Q49" s="944"/>
      <c r="R49" s="945"/>
      <c r="S49" s="368"/>
      <c r="T49" s="372" t="s">
        <v>185</v>
      </c>
      <c r="U49" s="372" t="s">
        <v>184</v>
      </c>
      <c r="V49" s="372" t="s">
        <v>183</v>
      </c>
      <c r="W49" s="412" t="s">
        <v>182</v>
      </c>
      <c r="X49" s="368"/>
      <c r="Y49" s="917" t="s">
        <v>185</v>
      </c>
      <c r="Z49" s="917" t="s">
        <v>184</v>
      </c>
      <c r="AA49" s="917" t="s">
        <v>183</v>
      </c>
      <c r="AB49" s="904" t="s">
        <v>182</v>
      </c>
      <c r="AC49" s="368"/>
    </row>
    <row r="50" spans="2:29" s="380" customFormat="1">
      <c r="B50" s="374" t="s">
        <v>143</v>
      </c>
      <c r="C50" s="395">
        <f>Financials!$DV$6</f>
        <v>18211.400000000001</v>
      </c>
      <c r="D50" s="377"/>
      <c r="E50" s="406">
        <v>18200</v>
      </c>
      <c r="F50" s="378"/>
      <c r="G50" s="375">
        <f t="shared" ref="G50:G61" si="61">E50-I50</f>
        <v>-50</v>
      </c>
      <c r="H50" s="377">
        <v>18000</v>
      </c>
      <c r="I50" s="376">
        <f>AVERAGE(H50,J50)</f>
        <v>18250</v>
      </c>
      <c r="J50" s="378">
        <v>18500</v>
      </c>
      <c r="K50" s="375">
        <f t="shared" ref="K50:K61" si="62">I50-M50</f>
        <v>0</v>
      </c>
      <c r="L50" s="377">
        <v>18000</v>
      </c>
      <c r="M50" s="376">
        <f>AVERAGE(L50,N50)</f>
        <v>18250</v>
      </c>
      <c r="N50" s="378">
        <v>18500</v>
      </c>
      <c r="O50" s="375">
        <f t="shared" ref="O50:O60" si="63">M50-Q50</f>
        <v>-500</v>
      </c>
      <c r="P50" s="377">
        <v>18500</v>
      </c>
      <c r="Q50" s="376">
        <f>AVERAGE(P50,R50)</f>
        <v>18750</v>
      </c>
      <c r="R50" s="378">
        <v>19000</v>
      </c>
      <c r="S50" s="379"/>
      <c r="T50" s="414">
        <f>$C50-E50</f>
        <v>11.400000000001455</v>
      </c>
      <c r="U50" s="414">
        <f>$C50-I50</f>
        <v>-38.599999999998545</v>
      </c>
      <c r="V50" s="414">
        <f>$C50-M50</f>
        <v>-38.599999999998545</v>
      </c>
      <c r="W50" s="415">
        <f>$C50-Q50</f>
        <v>-538.59999999999854</v>
      </c>
      <c r="X50" s="379"/>
      <c r="Y50" s="918">
        <f>T50/E50</f>
        <v>6.2637362637370632E-4</v>
      </c>
      <c r="Z50" s="918">
        <f>U50/I50</f>
        <v>-2.1150684931506053E-3</v>
      </c>
      <c r="AA50" s="918">
        <f>V50/M50</f>
        <v>-2.1150684931506053E-3</v>
      </c>
      <c r="AB50" s="919">
        <f>W50/Q50</f>
        <v>-2.8725333333333256E-2</v>
      </c>
      <c r="AC50" s="379"/>
    </row>
    <row r="51" spans="2:29" s="380" customFormat="1">
      <c r="B51" s="381" t="s">
        <v>218</v>
      </c>
      <c r="C51" s="396">
        <f>Financials!$DV$15</f>
        <v>1310.2000000000025</v>
      </c>
      <c r="D51" s="386">
        <v>1270</v>
      </c>
      <c r="E51" s="384">
        <f>AVERAGE(D51,F51)</f>
        <v>1285</v>
      </c>
      <c r="F51" s="387">
        <v>1300</v>
      </c>
      <c r="G51" s="382">
        <f t="shared" si="61"/>
        <v>35</v>
      </c>
      <c r="H51" s="386">
        <v>1225</v>
      </c>
      <c r="I51" s="384">
        <f>AVERAGE(H51,J51)</f>
        <v>1250</v>
      </c>
      <c r="J51" s="387">
        <v>1275</v>
      </c>
      <c r="K51" s="382">
        <f t="shared" si="62"/>
        <v>50</v>
      </c>
      <c r="L51" s="386">
        <v>1175</v>
      </c>
      <c r="M51" s="384">
        <f>AVERAGE(L51,N51)</f>
        <v>1200</v>
      </c>
      <c r="N51" s="387">
        <v>1225</v>
      </c>
      <c r="O51" s="382">
        <f t="shared" si="63"/>
        <v>0</v>
      </c>
      <c r="P51" s="386">
        <v>1175</v>
      </c>
      <c r="Q51" s="384">
        <f>AVERAGE(P51,R51)</f>
        <v>1200</v>
      </c>
      <c r="R51" s="387">
        <v>1225</v>
      </c>
      <c r="S51" s="379"/>
      <c r="T51" s="416">
        <f t="shared" ref="T51:T61" si="64">$C51-E51</f>
        <v>25.200000000002547</v>
      </c>
      <c r="U51" s="416">
        <f t="shared" ref="U51:U61" si="65">$C51-I51</f>
        <v>60.200000000002547</v>
      </c>
      <c r="V51" s="416">
        <f t="shared" ref="V51:V61" si="66">$C51-M51</f>
        <v>110.20000000000255</v>
      </c>
      <c r="W51" s="417">
        <f t="shared" ref="W51:W61" si="67">$C51-Q51</f>
        <v>110.20000000000255</v>
      </c>
      <c r="X51" s="379"/>
      <c r="Y51" s="920">
        <f t="shared" ref="Y51" si="68">T51/E51</f>
        <v>1.9610894941636224E-2</v>
      </c>
      <c r="Z51" s="920">
        <f t="shared" ref="Z51" si="69">U51/I51</f>
        <v>4.8160000000002035E-2</v>
      </c>
      <c r="AA51" s="920">
        <f t="shared" ref="AA51" si="70">V51/M51</f>
        <v>9.183333333333546E-2</v>
      </c>
      <c r="AB51" s="921">
        <f t="shared" ref="AB51" si="71">W51/Q51</f>
        <v>9.183333333333546E-2</v>
      </c>
      <c r="AC51" s="379"/>
    </row>
    <row r="52" spans="2:29" s="393" customFormat="1">
      <c r="B52" s="856" t="s">
        <v>203</v>
      </c>
      <c r="C52" s="389">
        <f>C51/C50</f>
        <v>7.1943947197909142E-2</v>
      </c>
      <c r="D52" s="390">
        <f>D51/$E$50</f>
        <v>6.9780219780219782E-2</v>
      </c>
      <c r="E52" s="391">
        <f>E51/$E$50</f>
        <v>7.0604395604395603E-2</v>
      </c>
      <c r="F52" s="392">
        <f>F51/$E$50</f>
        <v>7.1428571428571425E-2</v>
      </c>
      <c r="G52" s="389">
        <f t="shared" si="61"/>
        <v>2.1112449194641003E-3</v>
      </c>
      <c r="H52" s="390">
        <f>H51/H50</f>
        <v>6.805555555555555E-2</v>
      </c>
      <c r="I52" s="391">
        <f>I51/I50</f>
        <v>6.8493150684931503E-2</v>
      </c>
      <c r="J52" s="392">
        <f>J51/J50</f>
        <v>6.8918918918918923E-2</v>
      </c>
      <c r="K52" s="389">
        <f t="shared" si="62"/>
        <v>2.7397260273972629E-3</v>
      </c>
      <c r="L52" s="390">
        <f>L51/L50</f>
        <v>6.5277777777777782E-2</v>
      </c>
      <c r="M52" s="391">
        <f>M51/M50</f>
        <v>6.575342465753424E-2</v>
      </c>
      <c r="N52" s="392">
        <f>N51/N50</f>
        <v>6.621621621621622E-2</v>
      </c>
      <c r="O52" s="389">
        <f t="shared" si="63"/>
        <v>1.7534246575342388E-3</v>
      </c>
      <c r="P52" s="390">
        <f>P51/P50</f>
        <v>6.3513513513513517E-2</v>
      </c>
      <c r="Q52" s="391">
        <f>Q51/Q50</f>
        <v>6.4000000000000001E-2</v>
      </c>
      <c r="R52" s="392">
        <f>R51/R50</f>
        <v>6.4473684210526322E-2</v>
      </c>
      <c r="S52" s="379"/>
      <c r="T52" s="389">
        <f t="shared" si="64"/>
        <v>1.3395515935135383E-3</v>
      </c>
      <c r="U52" s="389">
        <f t="shared" si="65"/>
        <v>3.4507965129776386E-3</v>
      </c>
      <c r="V52" s="389">
        <f t="shared" si="66"/>
        <v>6.1905225403749015E-3</v>
      </c>
      <c r="W52" s="391">
        <f t="shared" si="67"/>
        <v>7.9439471979091403E-3</v>
      </c>
      <c r="X52" s="379"/>
      <c r="Y52" s="922"/>
      <c r="Z52" s="922"/>
      <c r="AA52" s="922"/>
      <c r="AB52" s="912"/>
      <c r="AC52" s="379"/>
    </row>
    <row r="53" spans="2:29" s="380" customFormat="1">
      <c r="B53" s="381" t="s">
        <v>219</v>
      </c>
      <c r="C53" s="396">
        <f>Financials!$DV$117</f>
        <v>347.80000000000007</v>
      </c>
      <c r="D53" s="386"/>
      <c r="E53" s="394">
        <v>365</v>
      </c>
      <c r="F53" s="387"/>
      <c r="G53" s="382">
        <f t="shared" si="61"/>
        <v>0</v>
      </c>
      <c r="H53" s="386"/>
      <c r="I53" s="394">
        <v>365</v>
      </c>
      <c r="J53" s="387"/>
      <c r="K53" s="382">
        <f t="shared" si="62"/>
        <v>-20</v>
      </c>
      <c r="L53" s="386"/>
      <c r="M53" s="394">
        <v>385</v>
      </c>
      <c r="N53" s="387"/>
      <c r="O53" s="382">
        <f t="shared" si="63"/>
        <v>0</v>
      </c>
      <c r="P53" s="386"/>
      <c r="Q53" s="394">
        <v>385</v>
      </c>
      <c r="R53" s="387"/>
      <c r="S53" s="379"/>
      <c r="T53" s="382">
        <f t="shared" si="64"/>
        <v>-17.199999999999932</v>
      </c>
      <c r="U53" s="382">
        <f t="shared" si="65"/>
        <v>-17.199999999999932</v>
      </c>
      <c r="V53" s="382">
        <f t="shared" si="66"/>
        <v>-37.199999999999932</v>
      </c>
      <c r="W53" s="384">
        <f t="shared" si="67"/>
        <v>-37.199999999999932</v>
      </c>
      <c r="X53" s="379"/>
      <c r="Y53" s="922">
        <f t="shared" ref="Y53" si="72">T53/E53</f>
        <v>-4.7123287671232687E-2</v>
      </c>
      <c r="Z53" s="922">
        <f t="shared" ref="Z53" si="73">U53/I53</f>
        <v>-4.7123287671232687E-2</v>
      </c>
      <c r="AA53" s="922">
        <f t="shared" ref="AA53" si="74">V53/M53</f>
        <v>-9.6623376623376445E-2</v>
      </c>
      <c r="AB53" s="912">
        <f t="shared" ref="AB53" si="75">W53/Q53</f>
        <v>-9.6623376623376445E-2</v>
      </c>
      <c r="AC53" s="379"/>
    </row>
    <row r="54" spans="2:29" s="380" customFormat="1">
      <c r="B54" s="381" t="s">
        <v>149</v>
      </c>
      <c r="C54" s="396">
        <f>-Financials!$DV$18</f>
        <v>86.699999999999989</v>
      </c>
      <c r="D54" s="386"/>
      <c r="E54" s="394">
        <v>90</v>
      </c>
      <c r="F54" s="387"/>
      <c r="G54" s="382">
        <f t="shared" si="61"/>
        <v>0</v>
      </c>
      <c r="H54" s="386"/>
      <c r="I54" s="394">
        <v>90</v>
      </c>
      <c r="J54" s="387"/>
      <c r="K54" s="382">
        <f t="shared" si="62"/>
        <v>0</v>
      </c>
      <c r="L54" s="386"/>
      <c r="M54" s="394">
        <v>90</v>
      </c>
      <c r="N54" s="387"/>
      <c r="O54" s="382">
        <f t="shared" si="63"/>
        <v>0</v>
      </c>
      <c r="P54" s="386"/>
      <c r="Q54" s="394">
        <v>90</v>
      </c>
      <c r="R54" s="387"/>
      <c r="S54" s="379"/>
      <c r="T54" s="382">
        <f t="shared" si="64"/>
        <v>-3.3000000000000114</v>
      </c>
      <c r="U54" s="382">
        <f t="shared" si="65"/>
        <v>-3.3000000000000114</v>
      </c>
      <c r="V54" s="382">
        <f t="shared" si="66"/>
        <v>-3.3000000000000114</v>
      </c>
      <c r="W54" s="384">
        <f t="shared" si="67"/>
        <v>-3.3000000000000114</v>
      </c>
      <c r="X54" s="379"/>
      <c r="Y54" s="922"/>
      <c r="Z54" s="922"/>
      <c r="AA54" s="922"/>
      <c r="AB54" s="912"/>
      <c r="AC54" s="379"/>
    </row>
    <row r="55" spans="2:29" s="380" customFormat="1">
      <c r="B55" s="381" t="s">
        <v>263</v>
      </c>
      <c r="C55" s="396">
        <f>Financials!$DV$21</f>
        <v>1222.8000000000025</v>
      </c>
      <c r="D55" s="386">
        <v>1170</v>
      </c>
      <c r="E55" s="384">
        <f>AVERAGE(D55,F55)</f>
        <v>1185</v>
      </c>
      <c r="F55" s="387">
        <v>1200</v>
      </c>
      <c r="G55" s="382">
        <f t="shared" si="61"/>
        <v>30</v>
      </c>
      <c r="H55" s="386">
        <v>1130</v>
      </c>
      <c r="I55" s="384">
        <f>AVERAGE(H55,J55)</f>
        <v>1155</v>
      </c>
      <c r="J55" s="387">
        <v>1180</v>
      </c>
      <c r="K55" s="382">
        <f t="shared" si="62"/>
        <v>50</v>
      </c>
      <c r="L55" s="386">
        <v>1080</v>
      </c>
      <c r="M55" s="384">
        <f>AVERAGE(L55,N55)</f>
        <v>1105</v>
      </c>
      <c r="N55" s="387">
        <v>1130</v>
      </c>
      <c r="O55" s="382">
        <f t="shared" si="63"/>
        <v>0</v>
      </c>
      <c r="P55" s="386">
        <v>1080</v>
      </c>
      <c r="Q55" s="384">
        <f>AVERAGE(P55,R55)</f>
        <v>1105</v>
      </c>
      <c r="R55" s="387">
        <v>1130</v>
      </c>
      <c r="S55" s="379"/>
      <c r="T55" s="382">
        <f t="shared" si="64"/>
        <v>37.800000000002456</v>
      </c>
      <c r="U55" s="382">
        <f t="shared" si="65"/>
        <v>67.800000000002456</v>
      </c>
      <c r="V55" s="382">
        <f t="shared" si="66"/>
        <v>117.80000000000246</v>
      </c>
      <c r="W55" s="384">
        <f t="shared" si="67"/>
        <v>117.80000000000246</v>
      </c>
      <c r="X55" s="379"/>
      <c r="Y55" s="922">
        <f t="shared" ref="Y55:Y56" si="76">T55/E55</f>
        <v>3.189873417721726E-2</v>
      </c>
      <c r="Z55" s="922">
        <f t="shared" ref="Z55:Z56" si="77">U55/I55</f>
        <v>5.8701298701300829E-2</v>
      </c>
      <c r="AA55" s="922">
        <f t="shared" ref="AA55:AA56" si="78">V55/M55</f>
        <v>0.10660633484163118</v>
      </c>
      <c r="AB55" s="912">
        <f t="shared" ref="AB55:AB56" si="79">W55/Q55</f>
        <v>0.10660633484163118</v>
      </c>
      <c r="AC55" s="379"/>
    </row>
    <row r="56" spans="2:29" s="380" customFormat="1">
      <c r="B56" s="381" t="s">
        <v>301</v>
      </c>
      <c r="C56" s="396">
        <f>-Financials!$DV$23</f>
        <v>328.6</v>
      </c>
      <c r="D56" s="383">
        <f>D55*$Q$57</f>
        <v>351</v>
      </c>
      <c r="E56" s="384">
        <f>E55*$Q$57</f>
        <v>355.5</v>
      </c>
      <c r="F56" s="385">
        <f>F55*$Q$57</f>
        <v>360</v>
      </c>
      <c r="G56" s="382">
        <f t="shared" si="61"/>
        <v>9</v>
      </c>
      <c r="H56" s="383">
        <f>H55*$Q$57</f>
        <v>339</v>
      </c>
      <c r="I56" s="384">
        <f>I55*$Q$57</f>
        <v>346.5</v>
      </c>
      <c r="J56" s="385">
        <f>J55*$Q$57</f>
        <v>354</v>
      </c>
      <c r="K56" s="382">
        <f t="shared" si="62"/>
        <v>15</v>
      </c>
      <c r="L56" s="383">
        <f>L55*$Q$57</f>
        <v>324</v>
      </c>
      <c r="M56" s="384">
        <f>M55*$Q$57</f>
        <v>331.5</v>
      </c>
      <c r="N56" s="385">
        <f>N55*$Q$57</f>
        <v>339</v>
      </c>
      <c r="O56" s="382">
        <f t="shared" si="63"/>
        <v>0</v>
      </c>
      <c r="P56" s="383">
        <f>P55*$Q$57</f>
        <v>324</v>
      </c>
      <c r="Q56" s="384">
        <f>Q55*$Q$57</f>
        <v>331.5</v>
      </c>
      <c r="R56" s="385">
        <f>R55*$Q$57</f>
        <v>339</v>
      </c>
      <c r="S56" s="379"/>
      <c r="T56" s="382">
        <f t="shared" si="64"/>
        <v>-26.899999999999977</v>
      </c>
      <c r="U56" s="382">
        <f t="shared" si="65"/>
        <v>-17.899999999999977</v>
      </c>
      <c r="V56" s="382">
        <f t="shared" si="66"/>
        <v>-2.8999999999999773</v>
      </c>
      <c r="W56" s="384">
        <f t="shared" si="67"/>
        <v>-2.8999999999999773</v>
      </c>
      <c r="X56" s="379"/>
      <c r="Y56" s="922">
        <f t="shared" si="76"/>
        <v>-7.5668073136427497E-2</v>
      </c>
      <c r="Z56" s="922">
        <f t="shared" si="77"/>
        <v>-5.1659451659451593E-2</v>
      </c>
      <c r="AA56" s="922">
        <f t="shared" si="78"/>
        <v>-8.7481146304675024E-3</v>
      </c>
      <c r="AB56" s="912">
        <f t="shared" si="79"/>
        <v>-8.7481146304675024E-3</v>
      </c>
      <c r="AC56" s="379"/>
    </row>
    <row r="57" spans="2:29" s="393" customFormat="1">
      <c r="B57" s="388" t="s">
        <v>209</v>
      </c>
      <c r="C57" s="389">
        <f>C56/C55</f>
        <v>0.26872751063133737</v>
      </c>
      <c r="D57" s="390"/>
      <c r="E57" s="410">
        <v>0.28000000000000003</v>
      </c>
      <c r="F57" s="392"/>
      <c r="G57" s="389">
        <f t="shared" si="61"/>
        <v>-1.9999999999999962E-2</v>
      </c>
      <c r="H57" s="390"/>
      <c r="I57" s="410">
        <v>0.3</v>
      </c>
      <c r="J57" s="392"/>
      <c r="K57" s="389">
        <f t="shared" si="62"/>
        <v>0</v>
      </c>
      <c r="L57" s="390"/>
      <c r="M57" s="410">
        <v>0.3</v>
      </c>
      <c r="N57" s="392"/>
      <c r="O57" s="389">
        <f t="shared" si="63"/>
        <v>0</v>
      </c>
      <c r="P57" s="390"/>
      <c r="Q57" s="410">
        <v>0.3</v>
      </c>
      <c r="R57" s="392"/>
      <c r="S57" s="379"/>
      <c r="T57" s="389">
        <f t="shared" si="64"/>
        <v>-1.1272489368662653E-2</v>
      </c>
      <c r="U57" s="389">
        <f t="shared" si="65"/>
        <v>-3.1272489368662615E-2</v>
      </c>
      <c r="V57" s="389">
        <f t="shared" si="66"/>
        <v>-3.1272489368662615E-2</v>
      </c>
      <c r="W57" s="391">
        <f t="shared" si="67"/>
        <v>-3.1272489368662615E-2</v>
      </c>
      <c r="X57" s="379"/>
      <c r="Y57" s="922"/>
      <c r="Z57" s="922"/>
      <c r="AA57" s="922"/>
      <c r="AB57" s="912"/>
      <c r="AC57" s="379"/>
    </row>
    <row r="58" spans="2:29" s="380" customFormat="1">
      <c r="B58" s="381" t="s">
        <v>220</v>
      </c>
      <c r="C58" s="396">
        <f>Financials!$DV$26</f>
        <v>843.90000000000248</v>
      </c>
      <c r="D58" s="386">
        <v>800</v>
      </c>
      <c r="E58" s="384">
        <f>AVERAGE(D58,F58)</f>
        <v>810</v>
      </c>
      <c r="F58" s="387">
        <v>820</v>
      </c>
      <c r="G58" s="382">
        <f t="shared" si="61"/>
        <v>32.5</v>
      </c>
      <c r="H58" s="386">
        <v>760</v>
      </c>
      <c r="I58" s="384">
        <f>AVERAGE(H58,J58)</f>
        <v>777.5</v>
      </c>
      <c r="J58" s="387">
        <v>795</v>
      </c>
      <c r="K58" s="382">
        <f t="shared" si="62"/>
        <v>40</v>
      </c>
      <c r="L58" s="386">
        <v>720</v>
      </c>
      <c r="M58" s="384">
        <f>AVERAGE(L58,N58)</f>
        <v>737.5</v>
      </c>
      <c r="N58" s="387">
        <v>755</v>
      </c>
      <c r="O58" s="382">
        <f t="shared" si="63"/>
        <v>0</v>
      </c>
      <c r="P58" s="386">
        <v>720</v>
      </c>
      <c r="Q58" s="384">
        <f>AVERAGE(P58,R58)</f>
        <v>737.5</v>
      </c>
      <c r="R58" s="387">
        <v>755</v>
      </c>
      <c r="S58" s="379"/>
      <c r="T58" s="416">
        <f t="shared" si="64"/>
        <v>33.900000000002478</v>
      </c>
      <c r="U58" s="416">
        <f t="shared" si="65"/>
        <v>66.400000000002478</v>
      </c>
      <c r="V58" s="416">
        <f t="shared" si="66"/>
        <v>106.40000000000248</v>
      </c>
      <c r="W58" s="417">
        <f t="shared" si="67"/>
        <v>106.40000000000248</v>
      </c>
      <c r="X58" s="379"/>
      <c r="Y58" s="920">
        <f t="shared" ref="Y58" si="80">T58/E58</f>
        <v>4.1851851851854908E-2</v>
      </c>
      <c r="Z58" s="920">
        <f t="shared" ref="Z58" si="81">U58/I58</f>
        <v>8.5401929260453355E-2</v>
      </c>
      <c r="AA58" s="920">
        <f t="shared" ref="AA58" si="82">V58/M58</f>
        <v>0.14427118644068132</v>
      </c>
      <c r="AB58" s="921">
        <f t="shared" ref="AB58" si="83">W58/Q58</f>
        <v>0.14427118644068132</v>
      </c>
      <c r="AC58" s="379"/>
    </row>
    <row r="59" spans="2:29" s="380" customFormat="1">
      <c r="B59" s="381" t="s">
        <v>25</v>
      </c>
      <c r="C59" s="396"/>
      <c r="D59" s="386"/>
      <c r="E59" s="394">
        <v>85</v>
      </c>
      <c r="F59" s="387"/>
      <c r="G59" s="382">
        <f t="shared" si="61"/>
        <v>5</v>
      </c>
      <c r="H59" s="386"/>
      <c r="I59" s="394">
        <v>80</v>
      </c>
      <c r="J59" s="387"/>
      <c r="K59" s="382">
        <f t="shared" si="62"/>
        <v>0</v>
      </c>
      <c r="L59" s="386"/>
      <c r="M59" s="394">
        <v>80</v>
      </c>
      <c r="N59" s="387"/>
      <c r="O59" s="382">
        <f t="shared" si="63"/>
        <v>0</v>
      </c>
      <c r="P59" s="386"/>
      <c r="Q59" s="394">
        <v>80</v>
      </c>
      <c r="R59" s="387"/>
      <c r="S59" s="379"/>
      <c r="T59" s="382"/>
      <c r="U59" s="382"/>
      <c r="V59" s="382"/>
      <c r="W59" s="384"/>
      <c r="X59" s="379"/>
      <c r="Y59" s="922"/>
      <c r="Z59" s="922"/>
      <c r="AA59" s="922"/>
      <c r="AB59" s="912"/>
      <c r="AC59" s="379"/>
    </row>
    <row r="60" spans="2:29" s="380" customFormat="1">
      <c r="B60" s="381" t="s">
        <v>141</v>
      </c>
      <c r="C60" s="396">
        <f>-Financials!$DV$133</f>
        <v>485.79999999999995</v>
      </c>
      <c r="D60" s="386"/>
      <c r="E60" s="394">
        <v>500</v>
      </c>
      <c r="F60" s="387"/>
      <c r="G60" s="382">
        <f t="shared" si="61"/>
        <v>0</v>
      </c>
      <c r="H60" s="386"/>
      <c r="I60" s="394">
        <v>500</v>
      </c>
      <c r="J60" s="387"/>
      <c r="K60" s="382">
        <f t="shared" si="62"/>
        <v>0</v>
      </c>
      <c r="L60" s="386"/>
      <c r="M60" s="394">
        <v>500</v>
      </c>
      <c r="N60" s="387"/>
      <c r="O60" s="382">
        <f t="shared" si="63"/>
        <v>0</v>
      </c>
      <c r="P60" s="386"/>
      <c r="Q60" s="394">
        <v>500</v>
      </c>
      <c r="R60" s="387"/>
      <c r="S60" s="379"/>
      <c r="T60" s="382">
        <f t="shared" si="64"/>
        <v>-14.200000000000045</v>
      </c>
      <c r="U60" s="382">
        <f t="shared" si="65"/>
        <v>-14.200000000000045</v>
      </c>
      <c r="V60" s="382">
        <f t="shared" si="66"/>
        <v>-14.200000000000045</v>
      </c>
      <c r="W60" s="384">
        <f t="shared" si="67"/>
        <v>-14.200000000000045</v>
      </c>
      <c r="X60" s="379"/>
      <c r="Y60" s="922">
        <f t="shared" ref="Y60:Y61" si="84">T60/E60</f>
        <v>-2.8400000000000092E-2</v>
      </c>
      <c r="Z60" s="922">
        <f t="shared" ref="Z60:Z61" si="85">U60/I60</f>
        <v>-2.8400000000000092E-2</v>
      </c>
      <c r="AA60" s="922">
        <f t="shared" ref="AA60:AA61" si="86">V60/M60</f>
        <v>-2.8400000000000092E-2</v>
      </c>
      <c r="AB60" s="912">
        <f t="shared" ref="AB60:AB61" si="87">W60/Q60</f>
        <v>-2.8400000000000092E-2</v>
      </c>
      <c r="AC60" s="379"/>
    </row>
    <row r="61" spans="2:29" s="397" customFormat="1" ht="15.75" thickBot="1">
      <c r="B61" s="398" t="s">
        <v>177</v>
      </c>
      <c r="C61" s="399">
        <f>Financials!$DV$156</f>
        <v>785.29999999999973</v>
      </c>
      <c r="D61" s="408"/>
      <c r="E61" s="404">
        <v>650</v>
      </c>
      <c r="F61" s="409"/>
      <c r="G61" s="405">
        <f t="shared" si="61"/>
        <v>25</v>
      </c>
      <c r="H61" s="408"/>
      <c r="I61" s="404">
        <v>625</v>
      </c>
      <c r="J61" s="409"/>
      <c r="K61" s="405">
        <f t="shared" si="62"/>
        <v>50</v>
      </c>
      <c r="L61" s="408"/>
      <c r="M61" s="404">
        <v>575</v>
      </c>
      <c r="N61" s="409"/>
      <c r="O61" s="405">
        <f>M61-Q61</f>
        <v>0</v>
      </c>
      <c r="P61" s="408"/>
      <c r="Q61" s="404">
        <v>575</v>
      </c>
      <c r="R61" s="409"/>
      <c r="T61" s="403">
        <f t="shared" si="64"/>
        <v>135.29999999999973</v>
      </c>
      <c r="U61" s="403">
        <f t="shared" si="65"/>
        <v>160.29999999999973</v>
      </c>
      <c r="V61" s="403">
        <f t="shared" si="66"/>
        <v>210.29999999999973</v>
      </c>
      <c r="W61" s="413">
        <f t="shared" si="67"/>
        <v>210.29999999999973</v>
      </c>
      <c r="Y61" s="923">
        <f t="shared" si="84"/>
        <v>0.20815384615384575</v>
      </c>
      <c r="Z61" s="923">
        <f t="shared" si="85"/>
        <v>0.25647999999999954</v>
      </c>
      <c r="AA61" s="923">
        <f t="shared" si="86"/>
        <v>0.36573913043478212</v>
      </c>
      <c r="AB61" s="916">
        <f t="shared" si="87"/>
        <v>0.36573913043478212</v>
      </c>
    </row>
    <row r="62" spans="2:29" ht="15.75" thickBot="1"/>
    <row r="63" spans="2:29" s="366" customFormat="1">
      <c r="B63" s="371"/>
      <c r="C63" s="372">
        <v>2014</v>
      </c>
      <c r="D63" s="943" t="s">
        <v>181</v>
      </c>
      <c r="E63" s="944"/>
      <c r="F63" s="945"/>
      <c r="G63" s="373" t="s">
        <v>199</v>
      </c>
      <c r="H63" s="946" t="s">
        <v>180</v>
      </c>
      <c r="I63" s="947"/>
      <c r="J63" s="948"/>
      <c r="K63" s="373" t="s">
        <v>199</v>
      </c>
      <c r="L63" s="943" t="s">
        <v>116</v>
      </c>
      <c r="M63" s="944"/>
      <c r="N63" s="945"/>
      <c r="O63" s="373" t="s">
        <v>199</v>
      </c>
      <c r="P63" s="943" t="s">
        <v>16</v>
      </c>
      <c r="Q63" s="944"/>
      <c r="R63" s="945"/>
      <c r="S63" s="368"/>
      <c r="T63" s="372" t="s">
        <v>181</v>
      </c>
      <c r="U63" s="372" t="s">
        <v>180</v>
      </c>
      <c r="V63" s="372" t="s">
        <v>116</v>
      </c>
      <c r="W63" s="412" t="s">
        <v>16</v>
      </c>
      <c r="X63" s="368"/>
      <c r="Y63" s="917" t="s">
        <v>181</v>
      </c>
      <c r="Z63" s="917" t="s">
        <v>180</v>
      </c>
      <c r="AA63" s="917" t="s">
        <v>116</v>
      </c>
      <c r="AB63" s="904" t="s">
        <v>16</v>
      </c>
      <c r="AC63" s="368"/>
    </row>
    <row r="64" spans="2:29" s="380" customFormat="1">
      <c r="B64" s="374" t="s">
        <v>143</v>
      </c>
      <c r="C64" s="395">
        <f>Financials!$DU$6</f>
        <v>17727.300000000003</v>
      </c>
      <c r="D64" s="377"/>
      <c r="E64" s="406">
        <v>17700</v>
      </c>
      <c r="F64" s="378"/>
      <c r="G64" s="375">
        <f t="shared" ref="G64:G75" si="88">E64-I64</f>
        <v>-50</v>
      </c>
      <c r="H64" s="377">
        <v>17600</v>
      </c>
      <c r="I64" s="376">
        <f>AVERAGE(H64,J64)</f>
        <v>17750</v>
      </c>
      <c r="J64" s="378">
        <v>17900</v>
      </c>
      <c r="K64" s="375">
        <f t="shared" ref="K64:K75" si="89">I64-M64</f>
        <v>450</v>
      </c>
      <c r="L64" s="377">
        <v>17200</v>
      </c>
      <c r="M64" s="376">
        <f>AVERAGE(L64,N64)</f>
        <v>17300</v>
      </c>
      <c r="N64" s="378">
        <v>17400</v>
      </c>
      <c r="O64" s="375">
        <f t="shared" ref="O64:O74" si="90">M64-Q64</f>
        <v>150</v>
      </c>
      <c r="P64" s="377">
        <v>16900</v>
      </c>
      <c r="Q64" s="376">
        <f>AVERAGE(P64,R64)</f>
        <v>17150</v>
      </c>
      <c r="R64" s="378">
        <v>17400</v>
      </c>
      <c r="S64" s="379"/>
      <c r="T64" s="414">
        <f>$C64-E64</f>
        <v>27.30000000000291</v>
      </c>
      <c r="U64" s="414">
        <f>$C64-I64</f>
        <v>-22.69999999999709</v>
      </c>
      <c r="V64" s="414">
        <f>$C64-M64</f>
        <v>427.30000000000291</v>
      </c>
      <c r="W64" s="415">
        <f>$C64-Q64</f>
        <v>577.30000000000291</v>
      </c>
      <c r="X64" s="379"/>
      <c r="Y64" s="918">
        <f>T64/E64</f>
        <v>1.5423728813560966E-3</v>
      </c>
      <c r="Z64" s="918">
        <f>U64/I64</f>
        <v>-1.2788732394364557E-3</v>
      </c>
      <c r="AA64" s="918">
        <f>V64/M64</f>
        <v>2.4699421965318089E-2</v>
      </c>
      <c r="AB64" s="919">
        <f>W64/Q64</f>
        <v>3.3661807580175097E-2</v>
      </c>
      <c r="AC64" s="379"/>
    </row>
    <row r="65" spans="2:29" s="380" customFormat="1">
      <c r="B65" s="381" t="s">
        <v>218</v>
      </c>
      <c r="C65" s="396">
        <f>Financials!$DU$15</f>
        <v>1049.6000000000026</v>
      </c>
      <c r="D65" s="386">
        <v>1010</v>
      </c>
      <c r="E65" s="384">
        <f>AVERAGE(D65,F65)</f>
        <v>1025</v>
      </c>
      <c r="F65" s="387">
        <v>1040</v>
      </c>
      <c r="G65" s="382">
        <f t="shared" si="88"/>
        <v>25</v>
      </c>
      <c r="H65" s="386">
        <v>975</v>
      </c>
      <c r="I65" s="384">
        <f>AVERAGE(H65,J65)</f>
        <v>1000</v>
      </c>
      <c r="J65" s="387">
        <v>1025</v>
      </c>
      <c r="K65" s="382">
        <f t="shared" si="89"/>
        <v>40</v>
      </c>
      <c r="L65" s="386">
        <v>935</v>
      </c>
      <c r="M65" s="384">
        <f>AVERAGE(L65,N65)</f>
        <v>960</v>
      </c>
      <c r="N65" s="387">
        <v>985</v>
      </c>
      <c r="O65" s="382">
        <f t="shared" si="90"/>
        <v>25</v>
      </c>
      <c r="P65" s="386">
        <v>910</v>
      </c>
      <c r="Q65" s="384">
        <f>AVERAGE(P65,R65)</f>
        <v>935</v>
      </c>
      <c r="R65" s="387">
        <v>960</v>
      </c>
      <c r="S65" s="379"/>
      <c r="T65" s="416">
        <f t="shared" ref="T65:T75" si="91">$C65-E65</f>
        <v>24.600000000002638</v>
      </c>
      <c r="U65" s="416">
        <f t="shared" ref="U65:U75" si="92">$C65-I65</f>
        <v>49.600000000002638</v>
      </c>
      <c r="V65" s="416">
        <f t="shared" ref="V65:V75" si="93">$C65-M65</f>
        <v>89.600000000002638</v>
      </c>
      <c r="W65" s="417">
        <f t="shared" ref="W65:W75" si="94">$C65-Q65</f>
        <v>114.60000000000264</v>
      </c>
      <c r="X65" s="379"/>
      <c r="Y65" s="920">
        <f t="shared" ref="Y65" si="95">T65/E65</f>
        <v>2.4000000000002575E-2</v>
      </c>
      <c r="Z65" s="920">
        <f t="shared" ref="Z65" si="96">U65/I65</f>
        <v>4.9600000000002635E-2</v>
      </c>
      <c r="AA65" s="920">
        <f t="shared" ref="AA65" si="97">V65/M65</f>
        <v>9.3333333333336085E-2</v>
      </c>
      <c r="AB65" s="921">
        <f t="shared" ref="AB65" si="98">W65/Q65</f>
        <v>0.12256684491978892</v>
      </c>
      <c r="AC65" s="379"/>
    </row>
    <row r="66" spans="2:29" s="393" customFormat="1">
      <c r="B66" s="856" t="s">
        <v>203</v>
      </c>
      <c r="C66" s="389">
        <f>C65/C64</f>
        <v>5.9208114038799053E-2</v>
      </c>
      <c r="D66" s="390">
        <f>D65/$E$64</f>
        <v>5.7062146892655367E-2</v>
      </c>
      <c r="E66" s="391">
        <f>E65/$E$64</f>
        <v>5.7909604519774012E-2</v>
      </c>
      <c r="F66" s="392">
        <f>F65/$E$64</f>
        <v>5.8757062146892657E-2</v>
      </c>
      <c r="G66" s="389">
        <f t="shared" si="88"/>
        <v>1.5715763507599262E-3</v>
      </c>
      <c r="H66" s="390">
        <f>H65/H64</f>
        <v>5.5397727272727272E-2</v>
      </c>
      <c r="I66" s="391">
        <f>I65/I64</f>
        <v>5.6338028169014086E-2</v>
      </c>
      <c r="J66" s="392">
        <f>J65/J64</f>
        <v>5.7262569832402237E-2</v>
      </c>
      <c r="K66" s="389">
        <f t="shared" si="89"/>
        <v>8.4669868924529962E-4</v>
      </c>
      <c r="L66" s="390">
        <f>L65/L64</f>
        <v>5.4360465116279066E-2</v>
      </c>
      <c r="M66" s="391">
        <f>M65/M64</f>
        <v>5.5491329479768786E-2</v>
      </c>
      <c r="N66" s="392">
        <f>N65/N64</f>
        <v>5.6609195402298848E-2</v>
      </c>
      <c r="O66" s="389">
        <f t="shared" si="90"/>
        <v>9.7237904245100343E-4</v>
      </c>
      <c r="P66" s="390">
        <f>P65/P64</f>
        <v>5.3846153846153849E-2</v>
      </c>
      <c r="Q66" s="391">
        <f>Q65/Q64</f>
        <v>5.4518950437317783E-2</v>
      </c>
      <c r="R66" s="392">
        <f>R65/R64</f>
        <v>5.5172413793103448E-2</v>
      </c>
      <c r="S66" s="379"/>
      <c r="T66" s="389">
        <f>$C66-E66</f>
        <v>1.2985095190250415E-3</v>
      </c>
      <c r="U66" s="389">
        <f t="shared" si="92"/>
        <v>2.8700858697849677E-3</v>
      </c>
      <c r="V66" s="389">
        <f t="shared" si="93"/>
        <v>3.7167845590302673E-3</v>
      </c>
      <c r="W66" s="391">
        <f t="shared" si="94"/>
        <v>4.6891636014812707E-3</v>
      </c>
      <c r="X66" s="379"/>
      <c r="Y66" s="922"/>
      <c r="Z66" s="922"/>
      <c r="AA66" s="922"/>
      <c r="AB66" s="912"/>
      <c r="AC66" s="379"/>
    </row>
    <row r="67" spans="2:29" s="380" customFormat="1">
      <c r="B67" s="381" t="s">
        <v>219</v>
      </c>
      <c r="C67" s="396">
        <f>Financials!$DU$117</f>
        <v>310.89999999999998</v>
      </c>
      <c r="D67" s="386"/>
      <c r="E67" s="394">
        <v>310</v>
      </c>
      <c r="F67" s="387"/>
      <c r="G67" s="382">
        <f t="shared" si="88"/>
        <v>0</v>
      </c>
      <c r="H67" s="386"/>
      <c r="I67" s="394">
        <v>310</v>
      </c>
      <c r="J67" s="387"/>
      <c r="K67" s="382">
        <f t="shared" si="89"/>
        <v>0</v>
      </c>
      <c r="L67" s="386"/>
      <c r="M67" s="394">
        <v>310</v>
      </c>
      <c r="N67" s="387"/>
      <c r="O67" s="382">
        <f t="shared" si="90"/>
        <v>0</v>
      </c>
      <c r="P67" s="386"/>
      <c r="Q67" s="394">
        <v>310</v>
      </c>
      <c r="R67" s="387"/>
      <c r="S67" s="379"/>
      <c r="T67" s="382">
        <f t="shared" si="91"/>
        <v>0.89999999999997726</v>
      </c>
      <c r="U67" s="382">
        <f t="shared" si="92"/>
        <v>0.89999999999997726</v>
      </c>
      <c r="V67" s="382">
        <f t="shared" si="93"/>
        <v>0.89999999999997726</v>
      </c>
      <c r="W67" s="384">
        <f t="shared" si="94"/>
        <v>0.89999999999997726</v>
      </c>
      <c r="X67" s="379"/>
      <c r="Y67" s="922">
        <f t="shared" ref="Y67" si="99">T67/E67</f>
        <v>2.9032258064515394E-3</v>
      </c>
      <c r="Z67" s="922">
        <f t="shared" ref="Z67" si="100">U67/I67</f>
        <v>2.9032258064515394E-3</v>
      </c>
      <c r="AA67" s="922">
        <f t="shared" ref="AA67" si="101">V67/M67</f>
        <v>2.9032258064515394E-3</v>
      </c>
      <c r="AB67" s="912">
        <f t="shared" ref="AB67" si="102">W67/Q67</f>
        <v>2.9032258064515394E-3</v>
      </c>
      <c r="AC67" s="379"/>
    </row>
    <row r="68" spans="2:29" s="380" customFormat="1">
      <c r="B68" s="381" t="s">
        <v>149</v>
      </c>
      <c r="C68" s="396">
        <f>-Financials!$DU$18</f>
        <v>67.5</v>
      </c>
      <c r="D68" s="386"/>
      <c r="E68" s="394">
        <v>65</v>
      </c>
      <c r="F68" s="387"/>
      <c r="G68" s="382">
        <f t="shared" si="88"/>
        <v>0</v>
      </c>
      <c r="H68" s="386"/>
      <c r="I68" s="394">
        <v>65</v>
      </c>
      <c r="J68" s="387"/>
      <c r="K68" s="382">
        <f t="shared" si="89"/>
        <v>0</v>
      </c>
      <c r="L68" s="386"/>
      <c r="M68" s="394">
        <v>65</v>
      </c>
      <c r="N68" s="387"/>
      <c r="O68" s="382">
        <f t="shared" si="90"/>
        <v>0</v>
      </c>
      <c r="P68" s="386"/>
      <c r="Q68" s="394">
        <v>65</v>
      </c>
      <c r="R68" s="387"/>
      <c r="S68" s="379"/>
      <c r="T68" s="382">
        <f t="shared" si="91"/>
        <v>2.5</v>
      </c>
      <c r="U68" s="382">
        <f t="shared" si="92"/>
        <v>2.5</v>
      </c>
      <c r="V68" s="382">
        <f t="shared" si="93"/>
        <v>2.5</v>
      </c>
      <c r="W68" s="384">
        <f t="shared" si="94"/>
        <v>2.5</v>
      </c>
      <c r="X68" s="379"/>
      <c r="Y68" s="922"/>
      <c r="Z68" s="922"/>
      <c r="AA68" s="922"/>
      <c r="AB68" s="912"/>
      <c r="AC68" s="379"/>
    </row>
    <row r="69" spans="2:29" s="380" customFormat="1">
      <c r="B69" s="381" t="s">
        <v>263</v>
      </c>
      <c r="C69" s="396">
        <f>Financials!$DU$21</f>
        <v>966.30000000000268</v>
      </c>
      <c r="D69" s="386">
        <v>940</v>
      </c>
      <c r="E69" s="384">
        <f>AVERAGE(D69,F69)</f>
        <v>955</v>
      </c>
      <c r="F69" s="387">
        <v>970</v>
      </c>
      <c r="G69" s="382">
        <f t="shared" si="88"/>
        <v>20</v>
      </c>
      <c r="H69" s="386">
        <v>910</v>
      </c>
      <c r="I69" s="384">
        <f>AVERAGE(H69,J69)</f>
        <v>935</v>
      </c>
      <c r="J69" s="387">
        <v>960</v>
      </c>
      <c r="K69" s="382">
        <f t="shared" si="89"/>
        <v>40</v>
      </c>
      <c r="L69" s="386">
        <v>870</v>
      </c>
      <c r="M69" s="384">
        <f>AVERAGE(L69,N69)</f>
        <v>895</v>
      </c>
      <c r="N69" s="387">
        <v>920</v>
      </c>
      <c r="O69" s="382">
        <f t="shared" si="90"/>
        <v>25</v>
      </c>
      <c r="P69" s="386">
        <v>845</v>
      </c>
      <c r="Q69" s="384">
        <f>AVERAGE(P69,R69)</f>
        <v>870</v>
      </c>
      <c r="R69" s="387">
        <v>895</v>
      </c>
      <c r="S69" s="379"/>
      <c r="T69" s="382">
        <f t="shared" si="91"/>
        <v>11.300000000002683</v>
      </c>
      <c r="U69" s="382">
        <f t="shared" si="92"/>
        <v>31.300000000002683</v>
      </c>
      <c r="V69" s="382">
        <f t="shared" si="93"/>
        <v>71.300000000002683</v>
      </c>
      <c r="W69" s="384">
        <f t="shared" si="94"/>
        <v>96.300000000002683</v>
      </c>
      <c r="X69" s="379"/>
      <c r="Y69" s="922">
        <f t="shared" ref="Y69:Y70" si="103">T69/E69</f>
        <v>1.1832460732987103E-2</v>
      </c>
      <c r="Z69" s="922">
        <f t="shared" ref="Z69:Z70" si="104">U69/I69</f>
        <v>3.3475935828879873E-2</v>
      </c>
      <c r="AA69" s="922">
        <f t="shared" ref="AA69:AA70" si="105">V69/M69</f>
        <v>7.9664804469276734E-2</v>
      </c>
      <c r="AB69" s="912">
        <f t="shared" ref="AB69:AB70" si="106">W69/Q69</f>
        <v>0.11068965517241687</v>
      </c>
      <c r="AC69" s="379"/>
    </row>
    <row r="70" spans="2:29" s="380" customFormat="1">
      <c r="B70" s="381" t="s">
        <v>301</v>
      </c>
      <c r="C70" s="396">
        <f>-Financials!$DU$23</f>
        <v>270.5</v>
      </c>
      <c r="D70" s="386">
        <v>270</v>
      </c>
      <c r="E70" s="384">
        <f>AVERAGE(D70,F70)</f>
        <v>277.5</v>
      </c>
      <c r="F70" s="387">
        <v>285</v>
      </c>
      <c r="G70" s="382">
        <f t="shared" si="88"/>
        <v>0</v>
      </c>
      <c r="H70" s="386">
        <v>270</v>
      </c>
      <c r="I70" s="384">
        <f>AVERAGE(H70,J70)</f>
        <v>277.5</v>
      </c>
      <c r="J70" s="387">
        <v>285</v>
      </c>
      <c r="K70" s="382">
        <f t="shared" si="89"/>
        <v>10</v>
      </c>
      <c r="L70" s="386">
        <v>260</v>
      </c>
      <c r="M70" s="384">
        <f>AVERAGE(L70,N70)</f>
        <v>267.5</v>
      </c>
      <c r="N70" s="387">
        <v>275</v>
      </c>
      <c r="O70" s="382">
        <f t="shared" si="90"/>
        <v>5</v>
      </c>
      <c r="P70" s="386">
        <v>255</v>
      </c>
      <c r="Q70" s="384">
        <f>AVERAGE(P70,R70)</f>
        <v>262.5</v>
      </c>
      <c r="R70" s="387">
        <v>270</v>
      </c>
      <c r="S70" s="379"/>
      <c r="T70" s="382">
        <f t="shared" si="91"/>
        <v>-7</v>
      </c>
      <c r="U70" s="382">
        <f t="shared" si="92"/>
        <v>-7</v>
      </c>
      <c r="V70" s="382">
        <f t="shared" si="93"/>
        <v>3</v>
      </c>
      <c r="W70" s="384">
        <f t="shared" si="94"/>
        <v>8</v>
      </c>
      <c r="X70" s="379"/>
      <c r="Y70" s="922">
        <f t="shared" si="103"/>
        <v>-2.5225225225225224E-2</v>
      </c>
      <c r="Z70" s="922">
        <f t="shared" si="104"/>
        <v>-2.5225225225225224E-2</v>
      </c>
      <c r="AA70" s="922">
        <f t="shared" si="105"/>
        <v>1.1214953271028037E-2</v>
      </c>
      <c r="AB70" s="912">
        <f t="shared" si="106"/>
        <v>3.0476190476190476E-2</v>
      </c>
      <c r="AC70" s="379"/>
    </row>
    <row r="71" spans="2:29" s="393" customFormat="1">
      <c r="B71" s="388" t="s">
        <v>209</v>
      </c>
      <c r="C71" s="389">
        <f>C70/C69</f>
        <v>0.27993376798095754</v>
      </c>
      <c r="D71" s="390">
        <f>D70/D69</f>
        <v>0.28723404255319152</v>
      </c>
      <c r="E71" s="391">
        <f>E70/E69</f>
        <v>0.29057591623036649</v>
      </c>
      <c r="F71" s="392">
        <f>F70/F69</f>
        <v>0.29381443298969073</v>
      </c>
      <c r="G71" s="389">
        <f t="shared" si="88"/>
        <v>-6.2155276199009069E-3</v>
      </c>
      <c r="H71" s="390">
        <f>H70/H69</f>
        <v>0.2967032967032967</v>
      </c>
      <c r="I71" s="391">
        <f>I70/I69</f>
        <v>0.2967914438502674</v>
      </c>
      <c r="J71" s="392">
        <f>J70/J69</f>
        <v>0.296875</v>
      </c>
      <c r="K71" s="389">
        <f t="shared" si="89"/>
        <v>-2.0912377139784E-3</v>
      </c>
      <c r="L71" s="390">
        <f>L70/L69</f>
        <v>0.2988505747126437</v>
      </c>
      <c r="M71" s="391">
        <f>M70/M69</f>
        <v>0.2988826815642458</v>
      </c>
      <c r="N71" s="392">
        <f>N70/N69</f>
        <v>0.29891304347826086</v>
      </c>
      <c r="O71" s="389">
        <f t="shared" si="90"/>
        <v>-2.841456366788675E-3</v>
      </c>
      <c r="P71" s="390">
        <f>P70/P69</f>
        <v>0.30177514792899407</v>
      </c>
      <c r="Q71" s="391">
        <f>Q70/Q69</f>
        <v>0.30172413793103448</v>
      </c>
      <c r="R71" s="392">
        <f>R70/R69</f>
        <v>0.3016759776536313</v>
      </c>
      <c r="S71" s="379"/>
      <c r="T71" s="389">
        <f t="shared" si="91"/>
        <v>-1.0642148249408956E-2</v>
      </c>
      <c r="U71" s="389">
        <f t="shared" si="92"/>
        <v>-1.6857675869309863E-2</v>
      </c>
      <c r="V71" s="389">
        <f t="shared" si="93"/>
        <v>-1.8948913583288263E-2</v>
      </c>
      <c r="W71" s="391">
        <f t="shared" si="94"/>
        <v>-2.1790369950076938E-2</v>
      </c>
      <c r="X71" s="379"/>
      <c r="Y71" s="922"/>
      <c r="Z71" s="922"/>
      <c r="AA71" s="922"/>
      <c r="AB71" s="912"/>
      <c r="AC71" s="379"/>
    </row>
    <row r="72" spans="2:29" s="380" customFormat="1">
      <c r="B72" s="381" t="s">
        <v>220</v>
      </c>
      <c r="C72" s="396">
        <f>Financials!$DU$26</f>
        <v>665.90000000000271</v>
      </c>
      <c r="D72" s="386">
        <v>640</v>
      </c>
      <c r="E72" s="384">
        <f>AVERAGE(D72,F72)</f>
        <v>647.5</v>
      </c>
      <c r="F72" s="387">
        <v>655</v>
      </c>
      <c r="G72" s="382">
        <f t="shared" si="88"/>
        <v>20</v>
      </c>
      <c r="H72" s="386">
        <v>610</v>
      </c>
      <c r="I72" s="384">
        <f>AVERAGE(H72,J72)</f>
        <v>627.5</v>
      </c>
      <c r="J72" s="387">
        <v>645</v>
      </c>
      <c r="K72" s="382">
        <f t="shared" si="89"/>
        <v>30</v>
      </c>
      <c r="L72" s="386">
        <v>580</v>
      </c>
      <c r="M72" s="384">
        <f>AVERAGE(L72,N72)</f>
        <v>597.5</v>
      </c>
      <c r="N72" s="387">
        <v>615</v>
      </c>
      <c r="O72" s="382">
        <f t="shared" si="90"/>
        <v>20</v>
      </c>
      <c r="P72" s="386">
        <v>560</v>
      </c>
      <c r="Q72" s="384">
        <f>AVERAGE(P72,R72)</f>
        <v>577.5</v>
      </c>
      <c r="R72" s="387">
        <v>595</v>
      </c>
      <c r="S72" s="379"/>
      <c r="T72" s="416">
        <f t="shared" si="91"/>
        <v>18.400000000002706</v>
      </c>
      <c r="U72" s="416">
        <f t="shared" si="92"/>
        <v>38.400000000002706</v>
      </c>
      <c r="V72" s="416">
        <f t="shared" si="93"/>
        <v>68.400000000002706</v>
      </c>
      <c r="W72" s="417">
        <f t="shared" si="94"/>
        <v>88.400000000002706</v>
      </c>
      <c r="X72" s="379"/>
      <c r="Y72" s="920">
        <f t="shared" ref="Y72" si="107">T72/E72</f>
        <v>2.8416988416992597E-2</v>
      </c>
      <c r="Z72" s="920">
        <f t="shared" ref="Z72" si="108">U72/I72</f>
        <v>6.1195219123510287E-2</v>
      </c>
      <c r="AA72" s="920">
        <f t="shared" ref="AA72" si="109">V72/M72</f>
        <v>0.11447698744770328</v>
      </c>
      <c r="AB72" s="921">
        <f t="shared" ref="AB72" si="110">W72/Q72</f>
        <v>0.15307359307359775</v>
      </c>
      <c r="AC72" s="379"/>
    </row>
    <row r="73" spans="2:29" s="380" customFormat="1">
      <c r="B73" s="381" t="s">
        <v>25</v>
      </c>
      <c r="C73" s="396"/>
      <c r="D73" s="386"/>
      <c r="E73" s="394">
        <v>100</v>
      </c>
      <c r="F73" s="387"/>
      <c r="G73" s="382">
        <f t="shared" si="88"/>
        <v>10</v>
      </c>
      <c r="H73" s="386"/>
      <c r="I73" s="394">
        <v>90</v>
      </c>
      <c r="J73" s="387"/>
      <c r="K73" s="382">
        <f t="shared" si="89"/>
        <v>25</v>
      </c>
      <c r="L73" s="386"/>
      <c r="M73" s="394">
        <v>65</v>
      </c>
      <c r="N73" s="387"/>
      <c r="O73" s="382">
        <f t="shared" si="90"/>
        <v>0</v>
      </c>
      <c r="P73" s="386"/>
      <c r="Q73" s="394">
        <v>65</v>
      </c>
      <c r="R73" s="387"/>
      <c r="S73" s="379"/>
      <c r="T73" s="382"/>
      <c r="U73" s="382"/>
      <c r="V73" s="382"/>
      <c r="W73" s="384"/>
      <c r="X73" s="379"/>
      <c r="Y73" s="922"/>
      <c r="Z73" s="922"/>
      <c r="AA73" s="922"/>
      <c r="AB73" s="912"/>
      <c r="AC73" s="379"/>
    </row>
    <row r="74" spans="2:29" s="380" customFormat="1">
      <c r="B74" s="381" t="s">
        <v>141</v>
      </c>
      <c r="C74" s="396">
        <f>-Financials!$DU$133</f>
        <v>424.7</v>
      </c>
      <c r="D74" s="386"/>
      <c r="E74" s="394">
        <v>450</v>
      </c>
      <c r="F74" s="387"/>
      <c r="G74" s="382">
        <f t="shared" si="88"/>
        <v>0</v>
      </c>
      <c r="H74" s="386"/>
      <c r="I74" s="394">
        <v>450</v>
      </c>
      <c r="J74" s="387"/>
      <c r="K74" s="382">
        <f t="shared" si="89"/>
        <v>0</v>
      </c>
      <c r="L74" s="386"/>
      <c r="M74" s="394">
        <v>450</v>
      </c>
      <c r="N74" s="387"/>
      <c r="O74" s="382">
        <f t="shared" si="90"/>
        <v>0</v>
      </c>
      <c r="P74" s="386"/>
      <c r="Q74" s="394">
        <v>450</v>
      </c>
      <c r="R74" s="387"/>
      <c r="S74" s="379"/>
      <c r="T74" s="382">
        <f t="shared" si="91"/>
        <v>-25.300000000000011</v>
      </c>
      <c r="U74" s="382">
        <f t="shared" si="92"/>
        <v>-25.300000000000011</v>
      </c>
      <c r="V74" s="382">
        <f t="shared" si="93"/>
        <v>-25.300000000000011</v>
      </c>
      <c r="W74" s="384">
        <f t="shared" si="94"/>
        <v>-25.300000000000011</v>
      </c>
      <c r="X74" s="379"/>
      <c r="Y74" s="922">
        <f t="shared" ref="Y74:Y75" si="111">T74/E74</f>
        <v>-5.622222222222225E-2</v>
      </c>
      <c r="Z74" s="922">
        <f t="shared" ref="Z74:Z75" si="112">U74/I74</f>
        <v>-5.622222222222225E-2</v>
      </c>
      <c r="AA74" s="922">
        <f t="shared" ref="AA74:AA75" si="113">V74/M74</f>
        <v>-5.622222222222225E-2</v>
      </c>
      <c r="AB74" s="912">
        <f t="shared" ref="AB74:AB75" si="114">W74/Q74</f>
        <v>-5.622222222222225E-2</v>
      </c>
      <c r="AC74" s="379"/>
    </row>
    <row r="75" spans="2:29" s="397" customFormat="1" ht="15.75" thickBot="1">
      <c r="B75" s="398" t="s">
        <v>177</v>
      </c>
      <c r="C75" s="399">
        <f>Financials!$DU$156</f>
        <v>503.09999999999985</v>
      </c>
      <c r="D75" s="408"/>
      <c r="E75" s="404">
        <v>450</v>
      </c>
      <c r="F75" s="409"/>
      <c r="G75" s="405">
        <f t="shared" si="88"/>
        <v>25</v>
      </c>
      <c r="H75" s="408">
        <v>400</v>
      </c>
      <c r="I75" s="401">
        <f>AVERAGE(H75,J75)</f>
        <v>425</v>
      </c>
      <c r="J75" s="409">
        <v>450</v>
      </c>
      <c r="K75" s="405">
        <f t="shared" si="89"/>
        <v>25</v>
      </c>
      <c r="L75" s="408">
        <v>375</v>
      </c>
      <c r="M75" s="401">
        <f>AVERAGE(L75,N75)</f>
        <v>400</v>
      </c>
      <c r="N75" s="409">
        <v>425</v>
      </c>
      <c r="O75" s="405">
        <f>M75-Q75</f>
        <v>25</v>
      </c>
      <c r="P75" s="408">
        <v>350</v>
      </c>
      <c r="Q75" s="401">
        <f>AVERAGE(P75,R75)</f>
        <v>375</v>
      </c>
      <c r="R75" s="409">
        <v>400</v>
      </c>
      <c r="T75" s="403">
        <f t="shared" si="91"/>
        <v>53.099999999999852</v>
      </c>
      <c r="U75" s="403">
        <f t="shared" si="92"/>
        <v>78.099999999999852</v>
      </c>
      <c r="V75" s="403">
        <f t="shared" si="93"/>
        <v>103.09999999999985</v>
      </c>
      <c r="W75" s="413">
        <f t="shared" si="94"/>
        <v>128.09999999999985</v>
      </c>
      <c r="Y75" s="923">
        <f t="shared" si="111"/>
        <v>0.11799999999999967</v>
      </c>
      <c r="Z75" s="923">
        <f t="shared" si="112"/>
        <v>0.18376470588235258</v>
      </c>
      <c r="AA75" s="923">
        <f t="shared" si="113"/>
        <v>0.25774999999999965</v>
      </c>
      <c r="AB75" s="916">
        <f t="shared" si="114"/>
        <v>0.34159999999999963</v>
      </c>
    </row>
    <row r="76" spans="2:29" ht="15.75" thickBot="1"/>
    <row r="77" spans="2:29" s="366" customFormat="1">
      <c r="B77" s="371"/>
      <c r="C77" s="372">
        <v>2013</v>
      </c>
      <c r="D77" s="943" t="s">
        <v>147</v>
      </c>
      <c r="E77" s="944"/>
      <c r="F77" s="945"/>
      <c r="G77" s="373" t="s">
        <v>199</v>
      </c>
      <c r="H77" s="946" t="s">
        <v>94</v>
      </c>
      <c r="I77" s="947"/>
      <c r="J77" s="948"/>
      <c r="K77" s="373" t="s">
        <v>199</v>
      </c>
      <c r="L77" s="943" t="s">
        <v>26</v>
      </c>
      <c r="M77" s="944"/>
      <c r="N77" s="945"/>
      <c r="O77" s="373" t="s">
        <v>199</v>
      </c>
      <c r="P77" s="943" t="s">
        <v>11</v>
      </c>
      <c r="Q77" s="944"/>
      <c r="R77" s="945"/>
      <c r="S77" s="368"/>
      <c r="T77" s="372" t="s">
        <v>147</v>
      </c>
      <c r="U77" s="372" t="s">
        <v>94</v>
      </c>
      <c r="V77" s="372" t="s">
        <v>26</v>
      </c>
      <c r="W77" s="412" t="s">
        <v>11</v>
      </c>
      <c r="X77" s="368"/>
      <c r="Y77" s="917" t="s">
        <v>147</v>
      </c>
      <c r="Z77" s="917" t="s">
        <v>94</v>
      </c>
      <c r="AA77" s="917" t="s">
        <v>26</v>
      </c>
      <c r="AB77" s="904" t="s">
        <v>11</v>
      </c>
      <c r="AC77" s="368"/>
    </row>
    <row r="78" spans="2:29" s="380" customFormat="1">
      <c r="B78" s="374" t="s">
        <v>143</v>
      </c>
      <c r="C78" s="395">
        <f>Financials!$DT$6</f>
        <v>16234.000000000002</v>
      </c>
      <c r="D78" s="377"/>
      <c r="E78" s="406">
        <v>16000</v>
      </c>
      <c r="F78" s="378"/>
      <c r="G78" s="375">
        <f t="shared" ref="G78:G89" si="115">E78-I78</f>
        <v>200</v>
      </c>
      <c r="H78" s="377"/>
      <c r="I78" s="406">
        <v>15800</v>
      </c>
      <c r="J78" s="378"/>
      <c r="K78" s="375">
        <f t="shared" ref="K78:K89" si="116">I78-M78</f>
        <v>550</v>
      </c>
      <c r="L78" s="377">
        <v>15000</v>
      </c>
      <c r="M78" s="376">
        <f>AVERAGE(L78,N78)</f>
        <v>15250</v>
      </c>
      <c r="N78" s="378">
        <v>15500</v>
      </c>
      <c r="O78" s="375">
        <f t="shared" ref="O78:O88" si="117">M78-Q78</f>
        <v>0</v>
      </c>
      <c r="P78" s="377">
        <v>15000</v>
      </c>
      <c r="Q78" s="376">
        <f>AVERAGE(P78,R78)</f>
        <v>15250</v>
      </c>
      <c r="R78" s="378">
        <v>15500</v>
      </c>
      <c r="S78" s="379"/>
      <c r="T78" s="414">
        <f>$C78-E78</f>
        <v>234.00000000000182</v>
      </c>
      <c r="U78" s="414">
        <f>$C78-I78</f>
        <v>434.00000000000182</v>
      </c>
      <c r="V78" s="414">
        <f>$C78-M78</f>
        <v>984.00000000000182</v>
      </c>
      <c r="W78" s="415">
        <f>$C78-Q78</f>
        <v>984.00000000000182</v>
      </c>
      <c r="X78" s="379"/>
      <c r="Y78" s="918">
        <f>T78/E78</f>
        <v>1.4625000000000114E-2</v>
      </c>
      <c r="Z78" s="918">
        <f>U78/I78</f>
        <v>2.7468354430379861E-2</v>
      </c>
      <c r="AA78" s="918">
        <f>V78/M78</f>
        <v>6.4524590163934539E-2</v>
      </c>
      <c r="AB78" s="919">
        <f>W78/Q78</f>
        <v>6.4524590163934539E-2</v>
      </c>
      <c r="AC78" s="379"/>
    </row>
    <row r="79" spans="2:29" s="380" customFormat="1">
      <c r="B79" s="381" t="s">
        <v>218</v>
      </c>
      <c r="C79" s="396">
        <f>Financials!$DT$15</f>
        <v>839.40000000000168</v>
      </c>
      <c r="D79" s="386"/>
      <c r="E79" s="394">
        <v>835</v>
      </c>
      <c r="F79" s="387"/>
      <c r="G79" s="382">
        <f t="shared" si="115"/>
        <v>60</v>
      </c>
      <c r="H79" s="386">
        <v>750</v>
      </c>
      <c r="I79" s="384">
        <f>AVERAGE(H79,J79)</f>
        <v>775</v>
      </c>
      <c r="J79" s="387">
        <v>800</v>
      </c>
      <c r="K79" s="382">
        <f t="shared" si="116"/>
        <v>25</v>
      </c>
      <c r="L79" s="386">
        <v>725</v>
      </c>
      <c r="M79" s="384">
        <f>AVERAGE(L79,N79)</f>
        <v>750</v>
      </c>
      <c r="N79" s="387">
        <v>775</v>
      </c>
      <c r="O79" s="382">
        <f t="shared" si="117"/>
        <v>0</v>
      </c>
      <c r="P79" s="386">
        <v>725</v>
      </c>
      <c r="Q79" s="384">
        <f>AVERAGE(P79,R79)</f>
        <v>750</v>
      </c>
      <c r="R79" s="387">
        <v>775</v>
      </c>
      <c r="S79" s="379"/>
      <c r="T79" s="416">
        <f>$C79-E79</f>
        <v>4.4000000000016826</v>
      </c>
      <c r="U79" s="416">
        <f t="shared" ref="U79:U86" si="118">$C79-I79</f>
        <v>64.400000000001683</v>
      </c>
      <c r="V79" s="416">
        <f t="shared" ref="V79:V86" si="119">$C79-M79</f>
        <v>89.400000000001683</v>
      </c>
      <c r="W79" s="417">
        <f t="shared" ref="W79:W86" si="120">$C79-Q79</f>
        <v>89.400000000001683</v>
      </c>
      <c r="X79" s="379"/>
      <c r="Y79" s="920">
        <f t="shared" ref="Y79" si="121">T79/E79</f>
        <v>5.2694610778463262E-3</v>
      </c>
      <c r="Z79" s="920">
        <f t="shared" ref="Z79" si="122">U79/I79</f>
        <v>8.3096774193550563E-2</v>
      </c>
      <c r="AA79" s="920">
        <f t="shared" ref="AA79" si="123">V79/M79</f>
        <v>0.11920000000000225</v>
      </c>
      <c r="AB79" s="921">
        <f t="shared" ref="AB79" si="124">W79/Q79</f>
        <v>0.11920000000000225</v>
      </c>
      <c r="AC79" s="379"/>
    </row>
    <row r="80" spans="2:29" s="393" customFormat="1">
      <c r="B80" s="856" t="s">
        <v>203</v>
      </c>
      <c r="C80" s="389">
        <f>C79/C78</f>
        <v>5.1706295429345912E-2</v>
      </c>
      <c r="D80" s="390"/>
      <c r="E80" s="391">
        <f>E79/E78</f>
        <v>5.2187499999999998E-2</v>
      </c>
      <c r="F80" s="392"/>
      <c r="G80" s="389">
        <f>E88-I88</f>
        <v>0</v>
      </c>
      <c r="H80" s="390">
        <f>H79/$I$78</f>
        <v>4.746835443037975E-2</v>
      </c>
      <c r="I80" s="391">
        <f>I79/$I$78</f>
        <v>4.9050632911392403E-2</v>
      </c>
      <c r="J80" s="392">
        <f>J79/$I$78</f>
        <v>5.0632911392405063E-2</v>
      </c>
      <c r="K80" s="389">
        <f>I88-M88</f>
        <v>0</v>
      </c>
      <c r="L80" s="390">
        <f>L79/L78</f>
        <v>4.8333333333333332E-2</v>
      </c>
      <c r="M80" s="391">
        <f>M79/M78</f>
        <v>4.9180327868852458E-2</v>
      </c>
      <c r="N80" s="392">
        <f>N79/N78</f>
        <v>0.05</v>
      </c>
      <c r="O80" s="389">
        <f>M88-Q88</f>
        <v>0</v>
      </c>
      <c r="P80" s="390">
        <f>P79/P78</f>
        <v>4.8333333333333332E-2</v>
      </c>
      <c r="Q80" s="391">
        <f>Q79/Q78</f>
        <v>4.9180327868852458E-2</v>
      </c>
      <c r="R80" s="392">
        <f>R79/R78</f>
        <v>0.05</v>
      </c>
      <c r="S80" s="379"/>
      <c r="T80" s="389">
        <f>$C80-E80</f>
        <v>-4.8120457065408545E-4</v>
      </c>
      <c r="U80" s="389">
        <f t="shared" si="118"/>
        <v>2.6556625179535095E-3</v>
      </c>
      <c r="V80" s="389">
        <f t="shared" si="119"/>
        <v>2.5259675604934542E-3</v>
      </c>
      <c r="W80" s="391">
        <f t="shared" si="120"/>
        <v>2.5259675604934542E-3</v>
      </c>
      <c r="X80" s="379"/>
      <c r="Y80" s="922"/>
      <c r="Z80" s="922"/>
      <c r="AA80" s="922"/>
      <c r="AB80" s="912"/>
      <c r="AC80" s="379"/>
    </row>
    <row r="81" spans="2:29" s="380" customFormat="1">
      <c r="B81" s="381" t="s">
        <v>219</v>
      </c>
      <c r="C81" s="396">
        <f>Financials!$DT$117</f>
        <v>208.3</v>
      </c>
      <c r="D81" s="386"/>
      <c r="E81" s="394">
        <v>285</v>
      </c>
      <c r="F81" s="387"/>
      <c r="G81" s="382">
        <f t="shared" si="115"/>
        <v>0</v>
      </c>
      <c r="H81" s="386"/>
      <c r="I81" s="394">
        <v>285</v>
      </c>
      <c r="J81" s="387"/>
      <c r="K81" s="382">
        <f t="shared" si="116"/>
        <v>0</v>
      </c>
      <c r="L81" s="386"/>
      <c r="M81" s="394">
        <v>285</v>
      </c>
      <c r="N81" s="387"/>
      <c r="O81" s="382">
        <f t="shared" si="117"/>
        <v>0</v>
      </c>
      <c r="P81" s="386"/>
      <c r="Q81" s="394">
        <v>285</v>
      </c>
      <c r="R81" s="387"/>
      <c r="S81" s="379"/>
      <c r="T81" s="382">
        <f t="shared" ref="T81:T86" si="125">$C81-E81</f>
        <v>-76.699999999999989</v>
      </c>
      <c r="U81" s="382">
        <f t="shared" si="118"/>
        <v>-76.699999999999989</v>
      </c>
      <c r="V81" s="382">
        <f t="shared" si="119"/>
        <v>-76.699999999999989</v>
      </c>
      <c r="W81" s="384">
        <f t="shared" si="120"/>
        <v>-76.699999999999989</v>
      </c>
      <c r="X81" s="379"/>
      <c r="Y81" s="922">
        <f t="shared" ref="Y81" si="126">T81/E81</f>
        <v>-0.26912280701754382</v>
      </c>
      <c r="Z81" s="922">
        <f t="shared" ref="Z81" si="127">U81/I81</f>
        <v>-0.26912280701754382</v>
      </c>
      <c r="AA81" s="922">
        <f t="shared" ref="AA81" si="128">V81/M81</f>
        <v>-0.26912280701754382</v>
      </c>
      <c r="AB81" s="912">
        <f t="shared" ref="AB81" si="129">W81/Q81</f>
        <v>-0.26912280701754382</v>
      </c>
      <c r="AC81" s="379"/>
    </row>
    <row r="82" spans="2:29" s="380" customFormat="1">
      <c r="B82" s="381" t="s">
        <v>149</v>
      </c>
      <c r="C82" s="396">
        <f>-Financials!$DT$18</f>
        <v>68.399999999999991</v>
      </c>
      <c r="D82" s="386"/>
      <c r="E82" s="394">
        <v>70</v>
      </c>
      <c r="F82" s="387"/>
      <c r="G82" s="382">
        <f t="shared" si="115"/>
        <v>-10</v>
      </c>
      <c r="H82" s="386"/>
      <c r="I82" s="394">
        <v>80</v>
      </c>
      <c r="J82" s="387"/>
      <c r="K82" s="382">
        <f t="shared" si="116"/>
        <v>0</v>
      </c>
      <c r="L82" s="386"/>
      <c r="M82" s="394">
        <v>80</v>
      </c>
      <c r="N82" s="387"/>
      <c r="O82" s="382">
        <f t="shared" si="117"/>
        <v>0</v>
      </c>
      <c r="P82" s="386"/>
      <c r="Q82" s="394">
        <v>80</v>
      </c>
      <c r="R82" s="387"/>
      <c r="S82" s="379"/>
      <c r="T82" s="382">
        <f t="shared" si="125"/>
        <v>-1.6000000000000085</v>
      </c>
      <c r="U82" s="382">
        <f t="shared" si="118"/>
        <v>-11.600000000000009</v>
      </c>
      <c r="V82" s="382">
        <f t="shared" si="119"/>
        <v>-11.600000000000009</v>
      </c>
      <c r="W82" s="384">
        <f t="shared" si="120"/>
        <v>-11.600000000000009</v>
      </c>
      <c r="X82" s="379"/>
      <c r="Y82" s="922"/>
      <c r="Z82" s="922"/>
      <c r="AA82" s="922"/>
      <c r="AB82" s="912"/>
      <c r="AC82" s="379"/>
    </row>
    <row r="83" spans="2:29" s="380" customFormat="1">
      <c r="B83" s="381" t="s">
        <v>263</v>
      </c>
      <c r="C83" s="396">
        <f>Financials!$DT$21</f>
        <v>754.90000000000168</v>
      </c>
      <c r="D83" s="386"/>
      <c r="E83" s="394">
        <v>760</v>
      </c>
      <c r="F83" s="387"/>
      <c r="G83" s="382">
        <f t="shared" si="115"/>
        <v>60</v>
      </c>
      <c r="H83" s="386">
        <v>675</v>
      </c>
      <c r="I83" s="384">
        <f>AVERAGE(H83,J83)</f>
        <v>700</v>
      </c>
      <c r="J83" s="387">
        <v>725</v>
      </c>
      <c r="K83" s="382">
        <f t="shared" si="116"/>
        <v>25</v>
      </c>
      <c r="L83" s="386">
        <v>650</v>
      </c>
      <c r="M83" s="384">
        <f>AVERAGE(L83,N83)</f>
        <v>675</v>
      </c>
      <c r="N83" s="387">
        <v>700</v>
      </c>
      <c r="O83" s="382">
        <f t="shared" si="117"/>
        <v>0</v>
      </c>
      <c r="P83" s="386">
        <v>650</v>
      </c>
      <c r="Q83" s="384">
        <f>AVERAGE(P83,R83)</f>
        <v>675</v>
      </c>
      <c r="R83" s="387">
        <v>700</v>
      </c>
      <c r="S83" s="379"/>
      <c r="T83" s="382">
        <f t="shared" si="125"/>
        <v>-5.0999999999983174</v>
      </c>
      <c r="U83" s="382">
        <f t="shared" si="118"/>
        <v>54.900000000001683</v>
      </c>
      <c r="V83" s="382">
        <f t="shared" si="119"/>
        <v>79.900000000001683</v>
      </c>
      <c r="W83" s="384">
        <f t="shared" si="120"/>
        <v>79.900000000001683</v>
      </c>
      <c r="X83" s="379"/>
      <c r="Y83" s="922">
        <f t="shared" ref="Y83:Y84" si="130">T83/E83</f>
        <v>-6.7105263157872597E-3</v>
      </c>
      <c r="Z83" s="922">
        <f t="shared" ref="Z83:Z84" si="131">U83/I83</f>
        <v>7.8428571428573832E-2</v>
      </c>
      <c r="AA83" s="922">
        <f t="shared" ref="AA83:AA84" si="132">V83/M83</f>
        <v>0.11837037037037286</v>
      </c>
      <c r="AB83" s="912">
        <f t="shared" ref="AB83:AB84" si="133">W83/Q83</f>
        <v>0.11837037037037286</v>
      </c>
      <c r="AC83" s="379"/>
    </row>
    <row r="84" spans="2:29" s="380" customFormat="1">
      <c r="B84" s="381" t="s">
        <v>301</v>
      </c>
      <c r="C84" s="396">
        <f>-Financials!$DT$23</f>
        <v>220.5</v>
      </c>
      <c r="D84" s="386"/>
      <c r="E84" s="394">
        <v>230</v>
      </c>
      <c r="F84" s="387"/>
      <c r="G84" s="382">
        <f t="shared" si="115"/>
        <v>22.5</v>
      </c>
      <c r="H84" s="386">
        <v>200</v>
      </c>
      <c r="I84" s="384">
        <f>AVERAGE(H84,J84)</f>
        <v>207.5</v>
      </c>
      <c r="J84" s="387">
        <v>215</v>
      </c>
      <c r="K84" s="382">
        <f t="shared" si="116"/>
        <v>5</v>
      </c>
      <c r="L84" s="386">
        <v>195</v>
      </c>
      <c r="M84" s="384">
        <f>AVERAGE(L84,N84)</f>
        <v>202.5</v>
      </c>
      <c r="N84" s="387">
        <v>210</v>
      </c>
      <c r="O84" s="382">
        <f t="shared" si="117"/>
        <v>0</v>
      </c>
      <c r="P84" s="386">
        <v>195</v>
      </c>
      <c r="Q84" s="384">
        <f>AVERAGE(P84,R84)</f>
        <v>202.5</v>
      </c>
      <c r="R84" s="387">
        <v>210</v>
      </c>
      <c r="S84" s="379"/>
      <c r="T84" s="382">
        <f t="shared" si="125"/>
        <v>-9.5</v>
      </c>
      <c r="U84" s="382">
        <f t="shared" si="118"/>
        <v>13</v>
      </c>
      <c r="V84" s="382">
        <f t="shared" si="119"/>
        <v>18</v>
      </c>
      <c r="W84" s="384">
        <f t="shared" si="120"/>
        <v>18</v>
      </c>
      <c r="X84" s="379"/>
      <c r="Y84" s="922">
        <f t="shared" si="130"/>
        <v>-4.1304347826086954E-2</v>
      </c>
      <c r="Z84" s="922">
        <f t="shared" si="131"/>
        <v>6.2650602409638559E-2</v>
      </c>
      <c r="AA84" s="922">
        <f t="shared" si="132"/>
        <v>8.8888888888888892E-2</v>
      </c>
      <c r="AB84" s="912">
        <f t="shared" si="133"/>
        <v>8.8888888888888892E-2</v>
      </c>
      <c r="AC84" s="379"/>
    </row>
    <row r="85" spans="2:29" s="393" customFormat="1">
      <c r="B85" s="388" t="s">
        <v>209</v>
      </c>
      <c r="C85" s="389">
        <f>C84/C83</f>
        <v>0.292091667770565</v>
      </c>
      <c r="D85" s="390"/>
      <c r="E85" s="391">
        <f>E84/E83</f>
        <v>0.30263157894736842</v>
      </c>
      <c r="F85" s="392"/>
      <c r="G85" s="389">
        <f t="shared" si="115"/>
        <v>6.203007518796988E-3</v>
      </c>
      <c r="H85" s="390">
        <f>H84/H83</f>
        <v>0.29629629629629628</v>
      </c>
      <c r="I85" s="391">
        <f>I84/I83</f>
        <v>0.29642857142857143</v>
      </c>
      <c r="J85" s="392">
        <f>J84/J83</f>
        <v>0.29655172413793102</v>
      </c>
      <c r="K85" s="389">
        <f t="shared" si="116"/>
        <v>-3.5714285714285587E-3</v>
      </c>
      <c r="L85" s="390">
        <f>L84/L83</f>
        <v>0.3</v>
      </c>
      <c r="M85" s="391">
        <f>M84/M83</f>
        <v>0.3</v>
      </c>
      <c r="N85" s="392">
        <f>N84/N83</f>
        <v>0.3</v>
      </c>
      <c r="O85" s="389">
        <f t="shared" si="117"/>
        <v>0</v>
      </c>
      <c r="P85" s="390">
        <f>P84/P83</f>
        <v>0.3</v>
      </c>
      <c r="Q85" s="391">
        <f>Q84/Q83</f>
        <v>0.3</v>
      </c>
      <c r="R85" s="392">
        <f>R84/R83</f>
        <v>0.3</v>
      </c>
      <c r="S85" s="379"/>
      <c r="T85" s="389">
        <f t="shared" si="125"/>
        <v>-1.0539911176803418E-2</v>
      </c>
      <c r="U85" s="389">
        <f t="shared" si="118"/>
        <v>-4.3369036580064302E-3</v>
      </c>
      <c r="V85" s="389">
        <f t="shared" si="119"/>
        <v>-7.9083322294349889E-3</v>
      </c>
      <c r="W85" s="391">
        <f t="shared" si="120"/>
        <v>-7.9083322294349889E-3</v>
      </c>
      <c r="X85" s="379"/>
      <c r="Y85" s="922"/>
      <c r="Z85" s="922"/>
      <c r="AA85" s="922"/>
      <c r="AB85" s="912"/>
      <c r="AC85" s="379"/>
    </row>
    <row r="86" spans="2:29" s="380" customFormat="1">
      <c r="B86" s="381" t="s">
        <v>220</v>
      </c>
      <c r="C86" s="396">
        <f>Financials!$DT$26</f>
        <v>510.00000000000171</v>
      </c>
      <c r="D86" s="386"/>
      <c r="E86" s="394">
        <v>505</v>
      </c>
      <c r="F86" s="387"/>
      <c r="G86" s="382">
        <f t="shared" si="115"/>
        <v>47.5</v>
      </c>
      <c r="H86" s="386">
        <v>440</v>
      </c>
      <c r="I86" s="384">
        <f>AVERAGE(H86,J86)</f>
        <v>457.5</v>
      </c>
      <c r="J86" s="387">
        <v>475</v>
      </c>
      <c r="K86" s="382">
        <f t="shared" si="116"/>
        <v>20</v>
      </c>
      <c r="L86" s="386">
        <v>420</v>
      </c>
      <c r="M86" s="384">
        <f>AVERAGE(L86,N86)</f>
        <v>437.5</v>
      </c>
      <c r="N86" s="387">
        <v>455</v>
      </c>
      <c r="O86" s="382">
        <f t="shared" si="117"/>
        <v>0</v>
      </c>
      <c r="P86" s="386">
        <v>420</v>
      </c>
      <c r="Q86" s="384">
        <f>AVERAGE(P86,R86)</f>
        <v>437.5</v>
      </c>
      <c r="R86" s="387">
        <v>455</v>
      </c>
      <c r="S86" s="379"/>
      <c r="T86" s="416">
        <f t="shared" si="125"/>
        <v>5.0000000000017053</v>
      </c>
      <c r="U86" s="416">
        <f t="shared" si="118"/>
        <v>52.500000000001705</v>
      </c>
      <c r="V86" s="416">
        <f t="shared" si="119"/>
        <v>72.500000000001705</v>
      </c>
      <c r="W86" s="417">
        <f t="shared" si="120"/>
        <v>72.500000000001705</v>
      </c>
      <c r="X86" s="379"/>
      <c r="Y86" s="920">
        <f t="shared" ref="Y86" si="134">T86/E86</f>
        <v>9.9009900990132786E-3</v>
      </c>
      <c r="Z86" s="920">
        <f t="shared" ref="Z86" si="135">U86/I86</f>
        <v>0.11475409836065946</v>
      </c>
      <c r="AA86" s="920">
        <f t="shared" ref="AA86" si="136">V86/M86</f>
        <v>0.16571428571428962</v>
      </c>
      <c r="AB86" s="921">
        <f t="shared" ref="AB86" si="137">W86/Q86</f>
        <v>0.16571428571428962</v>
      </c>
      <c r="AC86" s="379"/>
    </row>
    <row r="87" spans="2:29" s="380" customFormat="1">
      <c r="B87" s="381" t="s">
        <v>25</v>
      </c>
      <c r="C87" s="396"/>
      <c r="D87" s="386"/>
      <c r="E87" s="394">
        <v>60</v>
      </c>
      <c r="F87" s="387"/>
      <c r="G87" s="382">
        <f t="shared" si="115"/>
        <v>10</v>
      </c>
      <c r="H87" s="386"/>
      <c r="I87" s="394">
        <v>50</v>
      </c>
      <c r="J87" s="387"/>
      <c r="K87" s="382">
        <f t="shared" si="116"/>
        <v>0</v>
      </c>
      <c r="L87" s="386"/>
      <c r="M87" s="394">
        <v>50</v>
      </c>
      <c r="N87" s="387"/>
      <c r="O87" s="382">
        <f t="shared" si="117"/>
        <v>0</v>
      </c>
      <c r="P87" s="386"/>
      <c r="Q87" s="394">
        <v>50</v>
      </c>
      <c r="R87" s="387"/>
      <c r="S87" s="379"/>
      <c r="T87" s="382"/>
      <c r="U87" s="382"/>
      <c r="V87" s="382"/>
      <c r="W87" s="384"/>
      <c r="X87" s="379"/>
      <c r="Y87" s="922"/>
      <c r="Z87" s="922"/>
      <c r="AA87" s="922"/>
      <c r="AB87" s="912"/>
      <c r="AC87" s="379"/>
    </row>
    <row r="88" spans="2:29" s="380" customFormat="1">
      <c r="B88" s="381" t="s">
        <v>141</v>
      </c>
      <c r="C88" s="396">
        <f>-Financials!$DT$133</f>
        <v>460.60000000000008</v>
      </c>
      <c r="D88" s="386"/>
      <c r="E88" s="394">
        <v>450</v>
      </c>
      <c r="F88" s="387"/>
      <c r="G88" s="382">
        <f t="shared" si="115"/>
        <v>0</v>
      </c>
      <c r="H88" s="386"/>
      <c r="I88" s="394">
        <v>450</v>
      </c>
      <c r="J88" s="387"/>
      <c r="K88" s="382">
        <f t="shared" si="116"/>
        <v>0</v>
      </c>
      <c r="L88" s="386"/>
      <c r="M88" s="394">
        <v>450</v>
      </c>
      <c r="N88" s="387"/>
      <c r="O88" s="382">
        <f t="shared" si="117"/>
        <v>0</v>
      </c>
      <c r="P88" s="386"/>
      <c r="Q88" s="394">
        <v>450</v>
      </c>
      <c r="R88" s="387"/>
      <c r="S88" s="379"/>
      <c r="T88" s="382">
        <f>$C88-E88</f>
        <v>10.60000000000008</v>
      </c>
      <c r="U88" s="382">
        <f>$C88-I88</f>
        <v>10.60000000000008</v>
      </c>
      <c r="V88" s="382">
        <f>$C88-M88</f>
        <v>10.60000000000008</v>
      </c>
      <c r="W88" s="384">
        <f>$C88-Q88</f>
        <v>10.60000000000008</v>
      </c>
      <c r="X88" s="379"/>
      <c r="Y88" s="922">
        <f t="shared" ref="Y88:Y89" si="138">T88/E88</f>
        <v>2.3555555555555732E-2</v>
      </c>
      <c r="Z88" s="922">
        <f t="shared" ref="Z88:Z89" si="139">U88/I88</f>
        <v>2.3555555555555732E-2</v>
      </c>
      <c r="AA88" s="922">
        <f t="shared" ref="AA88:AA89" si="140">V88/M88</f>
        <v>2.3555555555555732E-2</v>
      </c>
      <c r="AB88" s="912">
        <f t="shared" ref="AB88:AB89" si="141">W88/Q88</f>
        <v>2.3555555555555732E-2</v>
      </c>
      <c r="AC88" s="379"/>
    </row>
    <row r="89" spans="2:29" s="397" customFormat="1" ht="15.75" thickBot="1">
      <c r="B89" s="398" t="s">
        <v>177</v>
      </c>
      <c r="C89" s="399">
        <f>Financials!$DT$156</f>
        <v>359.49999999999994</v>
      </c>
      <c r="D89" s="400"/>
      <c r="E89" s="404">
        <v>325</v>
      </c>
      <c r="F89" s="402"/>
      <c r="G89" s="405">
        <f t="shared" si="115"/>
        <v>25</v>
      </c>
      <c r="H89" s="400"/>
      <c r="I89" s="404">
        <v>300</v>
      </c>
      <c r="J89" s="402"/>
      <c r="K89" s="405">
        <f t="shared" si="116"/>
        <v>25</v>
      </c>
      <c r="L89" s="400"/>
      <c r="M89" s="404">
        <v>275</v>
      </c>
      <c r="N89" s="402"/>
      <c r="O89" s="405">
        <f>M89-Q89</f>
        <v>0</v>
      </c>
      <c r="P89" s="400"/>
      <c r="Q89" s="404">
        <v>275</v>
      </c>
      <c r="R89" s="402"/>
      <c r="T89" s="403">
        <f>$C89-E89</f>
        <v>34.499999999999943</v>
      </c>
      <c r="U89" s="403">
        <f>$C89-I89</f>
        <v>59.499999999999943</v>
      </c>
      <c r="V89" s="403">
        <f>$C89-M89</f>
        <v>84.499999999999943</v>
      </c>
      <c r="W89" s="413">
        <f>$C89-Q89</f>
        <v>84.499999999999943</v>
      </c>
      <c r="Y89" s="923">
        <f t="shared" si="138"/>
        <v>0.10615384615384597</v>
      </c>
      <c r="Z89" s="923">
        <f t="shared" si="139"/>
        <v>0.19833333333333314</v>
      </c>
      <c r="AA89" s="923">
        <f t="shared" si="140"/>
        <v>0.30727272727272709</v>
      </c>
      <c r="AB89" s="916">
        <f t="shared" si="141"/>
        <v>0.30727272727272709</v>
      </c>
    </row>
    <row r="90" spans="2:29" ht="15.75" thickBot="1"/>
    <row r="91" spans="2:29" s="366" customFormat="1">
      <c r="B91" s="371"/>
      <c r="C91" s="372">
        <v>2012</v>
      </c>
      <c r="D91" s="943" t="s">
        <v>87</v>
      </c>
      <c r="E91" s="944"/>
      <c r="F91" s="945"/>
      <c r="G91" s="373" t="s">
        <v>199</v>
      </c>
      <c r="H91" s="946" t="s">
        <v>137</v>
      </c>
      <c r="I91" s="947"/>
      <c r="J91" s="948"/>
      <c r="K91" s="373" t="s">
        <v>199</v>
      </c>
      <c r="L91" s="943" t="s">
        <v>97</v>
      </c>
      <c r="M91" s="944"/>
      <c r="N91" s="945"/>
      <c r="O91" s="373" t="s">
        <v>199</v>
      </c>
      <c r="P91" s="943" t="s">
        <v>119</v>
      </c>
      <c r="Q91" s="944"/>
      <c r="R91" s="945"/>
      <c r="S91" s="368"/>
      <c r="T91" s="372" t="s">
        <v>87</v>
      </c>
      <c r="U91" s="372" t="s">
        <v>137</v>
      </c>
      <c r="V91" s="372" t="s">
        <v>97</v>
      </c>
      <c r="W91" s="412" t="s">
        <v>119</v>
      </c>
      <c r="X91" s="368"/>
      <c r="Y91" s="917" t="s">
        <v>87</v>
      </c>
      <c r="Z91" s="917" t="s">
        <v>137</v>
      </c>
      <c r="AA91" s="917" t="s">
        <v>97</v>
      </c>
      <c r="AB91" s="904" t="s">
        <v>119</v>
      </c>
      <c r="AC91" s="368"/>
    </row>
    <row r="92" spans="2:29" s="380" customFormat="1">
      <c r="B92" s="374" t="s">
        <v>143</v>
      </c>
      <c r="C92" s="395">
        <f>Financials!$DS$6</f>
        <v>14567</v>
      </c>
      <c r="D92" s="377"/>
      <c r="E92" s="406">
        <v>14300</v>
      </c>
      <c r="F92" s="378"/>
      <c r="G92" s="375">
        <f t="shared" ref="G92:G103" si="142">E92-I92</f>
        <v>150</v>
      </c>
      <c r="H92" s="377">
        <v>13900</v>
      </c>
      <c r="I92" s="376">
        <f>AVERAGE(H92,J92)</f>
        <v>14150</v>
      </c>
      <c r="J92" s="378">
        <v>14400</v>
      </c>
      <c r="K92" s="375">
        <f t="shared" ref="K92:K103" si="143">I92-M92</f>
        <v>50</v>
      </c>
      <c r="L92" s="377">
        <v>13850</v>
      </c>
      <c r="M92" s="376">
        <f>AVERAGE(L92,N92)</f>
        <v>14100</v>
      </c>
      <c r="N92" s="378">
        <v>14350</v>
      </c>
      <c r="O92" s="375">
        <f t="shared" ref="O92:O103" si="144">M92-Q92</f>
        <v>0</v>
      </c>
      <c r="P92" s="377">
        <v>13850</v>
      </c>
      <c r="Q92" s="376">
        <f>AVERAGE(P92,R92)</f>
        <v>14100</v>
      </c>
      <c r="R92" s="378">
        <v>14350</v>
      </c>
      <c r="S92" s="379"/>
      <c r="T92" s="414">
        <f>$C92-E92</f>
        <v>267</v>
      </c>
      <c r="U92" s="414">
        <f>$C92-I92</f>
        <v>417</v>
      </c>
      <c r="V92" s="414">
        <f>$C92-M92</f>
        <v>467</v>
      </c>
      <c r="W92" s="415">
        <f>$C92-Q92</f>
        <v>467</v>
      </c>
      <c r="X92" s="379"/>
      <c r="Y92" s="918">
        <f>T92/E92</f>
        <v>1.8671328671328671E-2</v>
      </c>
      <c r="Z92" s="918">
        <f>U92/I92</f>
        <v>2.9469964664310955E-2</v>
      </c>
      <c r="AA92" s="918">
        <f>V92/M92</f>
        <v>3.3120567375886527E-2</v>
      </c>
      <c r="AB92" s="919">
        <f>W92/Q92</f>
        <v>3.3120567375886527E-2</v>
      </c>
      <c r="AC92" s="379"/>
    </row>
    <row r="93" spans="2:29" s="380" customFormat="1">
      <c r="B93" s="381" t="s">
        <v>218</v>
      </c>
      <c r="C93" s="396">
        <f>Financials!$DS$15</f>
        <v>762.59999999999889</v>
      </c>
      <c r="D93" s="386">
        <v>745</v>
      </c>
      <c r="E93" s="384">
        <f>AVERAGE(D93,F93)</f>
        <v>765</v>
      </c>
      <c r="F93" s="387">
        <v>785</v>
      </c>
      <c r="G93" s="382">
        <f t="shared" si="142"/>
        <v>0</v>
      </c>
      <c r="H93" s="386">
        <v>740</v>
      </c>
      <c r="I93" s="384">
        <f>AVERAGE(H93,J93)</f>
        <v>765</v>
      </c>
      <c r="J93" s="387">
        <v>790</v>
      </c>
      <c r="K93" s="382">
        <f t="shared" si="143"/>
        <v>0</v>
      </c>
      <c r="L93" s="386">
        <v>740</v>
      </c>
      <c r="M93" s="384">
        <f>AVERAGE(L93,N93)</f>
        <v>765</v>
      </c>
      <c r="N93" s="387">
        <v>790</v>
      </c>
      <c r="O93" s="382">
        <f t="shared" si="144"/>
        <v>0</v>
      </c>
      <c r="P93" s="386">
        <v>740</v>
      </c>
      <c r="Q93" s="384">
        <f>AVERAGE(P93,R93)</f>
        <v>765</v>
      </c>
      <c r="R93" s="387">
        <v>790</v>
      </c>
      <c r="S93" s="379"/>
      <c r="T93" s="416">
        <f>$C93-E93</f>
        <v>-2.4000000000011141</v>
      </c>
      <c r="U93" s="416">
        <f t="shared" ref="U93:U100" si="145">$C93-I93</f>
        <v>-2.4000000000011141</v>
      </c>
      <c r="V93" s="416">
        <f t="shared" ref="V93:V100" si="146">$C93-M93</f>
        <v>-2.4000000000011141</v>
      </c>
      <c r="W93" s="417">
        <f t="shared" ref="W93:W100" si="147">$C93-Q93</f>
        <v>-2.4000000000011141</v>
      </c>
      <c r="X93" s="379"/>
      <c r="Y93" s="920">
        <f t="shared" ref="Y93" si="148">T93/E93</f>
        <v>-3.1372549019622405E-3</v>
      </c>
      <c r="Z93" s="920">
        <f t="shared" ref="Z93" si="149">U93/I93</f>
        <v>-3.1372549019622405E-3</v>
      </c>
      <c r="AA93" s="920">
        <f t="shared" ref="AA93" si="150">V93/M93</f>
        <v>-3.1372549019622405E-3</v>
      </c>
      <c r="AB93" s="921">
        <f t="shared" ref="AB93" si="151">W93/Q93</f>
        <v>-3.1372549019622405E-3</v>
      </c>
      <c r="AC93" s="379"/>
    </row>
    <row r="94" spans="2:29" s="393" customFormat="1">
      <c r="B94" s="856" t="s">
        <v>203</v>
      </c>
      <c r="C94" s="389">
        <f>C93/C92</f>
        <v>5.2351204777922627E-2</v>
      </c>
      <c r="D94" s="390">
        <f>D93/$E$92</f>
        <v>5.2097902097902098E-2</v>
      </c>
      <c r="E94" s="391">
        <f>E93/$E$92</f>
        <v>5.3496503496503499E-2</v>
      </c>
      <c r="F94" s="392">
        <f>F93/$E$92</f>
        <v>5.4895104895104893E-2</v>
      </c>
      <c r="G94" s="389">
        <f t="shared" si="142"/>
        <v>-5.6710074377918501E-4</v>
      </c>
      <c r="H94" s="390">
        <f>H93/H92</f>
        <v>5.3237410071942444E-2</v>
      </c>
      <c r="I94" s="391">
        <f>I93/I92</f>
        <v>5.4063604240282684E-2</v>
      </c>
      <c r="J94" s="392">
        <f>J93/J92</f>
        <v>5.486111111111111E-2</v>
      </c>
      <c r="K94" s="389">
        <f t="shared" si="143"/>
        <v>-1.9171490865348834E-4</v>
      </c>
      <c r="L94" s="390">
        <f>L93/L92</f>
        <v>5.3429602888086646E-2</v>
      </c>
      <c r="M94" s="391">
        <f>M93/M92</f>
        <v>5.4255319148936172E-2</v>
      </c>
      <c r="N94" s="392">
        <f>N93/N92</f>
        <v>5.5052264808362367E-2</v>
      </c>
      <c r="O94" s="389">
        <f t="shared" si="144"/>
        <v>0</v>
      </c>
      <c r="P94" s="390">
        <f>P93/P92</f>
        <v>5.3429602888086646E-2</v>
      </c>
      <c r="Q94" s="391">
        <f>Q93/Q92</f>
        <v>5.4255319148936172E-2</v>
      </c>
      <c r="R94" s="392">
        <f>R93/R92</f>
        <v>5.5052264808362367E-2</v>
      </c>
      <c r="S94" s="379"/>
      <c r="T94" s="389">
        <f>$C94-E94</f>
        <v>-1.1452987185808713E-3</v>
      </c>
      <c r="U94" s="389">
        <f t="shared" si="145"/>
        <v>-1.7123994623600564E-3</v>
      </c>
      <c r="V94" s="389">
        <f t="shared" si="146"/>
        <v>-1.9041143710135447E-3</v>
      </c>
      <c r="W94" s="391">
        <f t="shared" si="147"/>
        <v>-1.9041143710135447E-3</v>
      </c>
      <c r="X94" s="379"/>
      <c r="Y94" s="922"/>
      <c r="Z94" s="922"/>
      <c r="AA94" s="922"/>
      <c r="AB94" s="912"/>
      <c r="AC94" s="379"/>
    </row>
    <row r="95" spans="2:29" s="380" customFormat="1">
      <c r="B95" s="381" t="s">
        <v>219</v>
      </c>
      <c r="C95" s="396">
        <f>Financials!$DS$117</f>
        <v>239.5</v>
      </c>
      <c r="D95" s="386"/>
      <c r="E95" s="394">
        <v>250</v>
      </c>
      <c r="F95" s="387"/>
      <c r="G95" s="382">
        <f t="shared" si="142"/>
        <v>-5</v>
      </c>
      <c r="H95" s="386"/>
      <c r="I95" s="394">
        <v>255</v>
      </c>
      <c r="J95" s="387"/>
      <c r="K95" s="382">
        <f t="shared" si="143"/>
        <v>0</v>
      </c>
      <c r="L95" s="386"/>
      <c r="M95" s="394">
        <v>255</v>
      </c>
      <c r="N95" s="387"/>
      <c r="O95" s="382">
        <f t="shared" si="144"/>
        <v>0</v>
      </c>
      <c r="P95" s="386"/>
      <c r="Q95" s="394">
        <v>255</v>
      </c>
      <c r="R95" s="387"/>
      <c r="S95" s="379"/>
      <c r="T95" s="382">
        <f t="shared" ref="T95:T100" si="152">$C95-E95</f>
        <v>-10.5</v>
      </c>
      <c r="U95" s="382">
        <f t="shared" si="145"/>
        <v>-15.5</v>
      </c>
      <c r="V95" s="382">
        <f t="shared" si="146"/>
        <v>-15.5</v>
      </c>
      <c r="W95" s="384">
        <f t="shared" si="147"/>
        <v>-15.5</v>
      </c>
      <c r="X95" s="379"/>
      <c r="Y95" s="922">
        <f t="shared" ref="Y95" si="153">T95/E95</f>
        <v>-4.2000000000000003E-2</v>
      </c>
      <c r="Z95" s="922">
        <f t="shared" ref="Z95" si="154">U95/I95</f>
        <v>-6.0784313725490195E-2</v>
      </c>
      <c r="AA95" s="922">
        <f t="shared" ref="AA95" si="155">V95/M95</f>
        <v>-6.0784313725490195E-2</v>
      </c>
      <c r="AB95" s="912">
        <f t="shared" ref="AB95" si="156">W95/Q95</f>
        <v>-6.0784313725490195E-2</v>
      </c>
      <c r="AC95" s="379"/>
    </row>
    <row r="96" spans="2:29" s="380" customFormat="1">
      <c r="B96" s="381" t="s">
        <v>149</v>
      </c>
      <c r="C96" s="396">
        <f>-Financials!$DS$18</f>
        <v>49.900000000000006</v>
      </c>
      <c r="D96" s="386"/>
      <c r="E96" s="394">
        <v>52</v>
      </c>
      <c r="F96" s="387"/>
      <c r="G96" s="382">
        <f t="shared" si="142"/>
        <v>0</v>
      </c>
      <c r="H96" s="386"/>
      <c r="I96" s="394">
        <v>52</v>
      </c>
      <c r="J96" s="387"/>
      <c r="K96" s="382">
        <f t="shared" si="143"/>
        <v>-3</v>
      </c>
      <c r="L96" s="386"/>
      <c r="M96" s="394">
        <v>55</v>
      </c>
      <c r="N96" s="387"/>
      <c r="O96" s="382">
        <f t="shared" si="144"/>
        <v>0</v>
      </c>
      <c r="P96" s="386"/>
      <c r="Q96" s="394">
        <v>55</v>
      </c>
      <c r="R96" s="387"/>
      <c r="S96" s="379"/>
      <c r="T96" s="382">
        <f t="shared" si="152"/>
        <v>-2.0999999999999943</v>
      </c>
      <c r="U96" s="382">
        <f t="shared" si="145"/>
        <v>-2.0999999999999943</v>
      </c>
      <c r="V96" s="382">
        <f t="shared" si="146"/>
        <v>-5.0999999999999943</v>
      </c>
      <c r="W96" s="384">
        <f t="shared" si="147"/>
        <v>-5.0999999999999943</v>
      </c>
      <c r="X96" s="379"/>
      <c r="Y96" s="922"/>
      <c r="Z96" s="922"/>
      <c r="AA96" s="922"/>
      <c r="AB96" s="912"/>
      <c r="AC96" s="379"/>
    </row>
    <row r="97" spans="2:29" s="380" customFormat="1">
      <c r="B97" s="381" t="s">
        <v>263</v>
      </c>
      <c r="C97" s="396">
        <f>Financials!$DS$21</f>
        <v>708.59999999999889</v>
      </c>
      <c r="D97" s="386">
        <v>690</v>
      </c>
      <c r="E97" s="384">
        <f>AVERAGE(D97,F97)</f>
        <v>710</v>
      </c>
      <c r="F97" s="387">
        <v>730</v>
      </c>
      <c r="G97" s="382">
        <f t="shared" si="142"/>
        <v>0</v>
      </c>
      <c r="H97" s="386">
        <v>685</v>
      </c>
      <c r="I97" s="384">
        <f>AVERAGE(H97,J97)</f>
        <v>710</v>
      </c>
      <c r="J97" s="387">
        <v>735</v>
      </c>
      <c r="K97" s="382">
        <f t="shared" si="143"/>
        <v>0</v>
      </c>
      <c r="L97" s="386">
        <v>685</v>
      </c>
      <c r="M97" s="384">
        <f>AVERAGE(L97,N97)</f>
        <v>710</v>
      </c>
      <c r="N97" s="387">
        <v>735</v>
      </c>
      <c r="O97" s="382">
        <f t="shared" si="144"/>
        <v>0</v>
      </c>
      <c r="P97" s="386">
        <v>685</v>
      </c>
      <c r="Q97" s="384">
        <f>AVERAGE(P97,R97)</f>
        <v>710</v>
      </c>
      <c r="R97" s="387">
        <v>735</v>
      </c>
      <c r="S97" s="379"/>
      <c r="T97" s="382">
        <f t="shared" si="152"/>
        <v>-1.4000000000011141</v>
      </c>
      <c r="U97" s="382">
        <f t="shared" si="145"/>
        <v>-1.4000000000011141</v>
      </c>
      <c r="V97" s="382">
        <f t="shared" si="146"/>
        <v>-1.4000000000011141</v>
      </c>
      <c r="W97" s="384">
        <f t="shared" si="147"/>
        <v>-1.4000000000011141</v>
      </c>
      <c r="X97" s="379"/>
      <c r="Y97" s="922">
        <f t="shared" ref="Y97:Y98" si="157">T97/E97</f>
        <v>-1.9718309859170623E-3</v>
      </c>
      <c r="Z97" s="922">
        <f t="shared" ref="Z97:Z98" si="158">U97/I97</f>
        <v>-1.9718309859170623E-3</v>
      </c>
      <c r="AA97" s="922">
        <f t="shared" ref="AA97:AA98" si="159">V97/M97</f>
        <v>-1.9718309859170623E-3</v>
      </c>
      <c r="AB97" s="912">
        <f t="shared" ref="AB97:AB98" si="160">W97/Q97</f>
        <v>-1.9718309859170623E-3</v>
      </c>
      <c r="AC97" s="379"/>
    </row>
    <row r="98" spans="2:29" s="380" customFormat="1">
      <c r="B98" s="381" t="s">
        <v>301</v>
      </c>
      <c r="C98" s="396">
        <f>-Financials!$DS$23</f>
        <v>126.4</v>
      </c>
      <c r="D98" s="386"/>
      <c r="E98" s="394">
        <v>130</v>
      </c>
      <c r="F98" s="387"/>
      <c r="G98" s="382">
        <f t="shared" si="142"/>
        <v>-10</v>
      </c>
      <c r="H98" s="386">
        <v>130</v>
      </c>
      <c r="I98" s="384">
        <f>AVERAGE(H98,J98)</f>
        <v>140</v>
      </c>
      <c r="J98" s="387">
        <v>150</v>
      </c>
      <c r="K98" s="382">
        <f t="shared" si="143"/>
        <v>-20</v>
      </c>
      <c r="L98" s="386">
        <v>150</v>
      </c>
      <c r="M98" s="384">
        <f>AVERAGE(L98,N98)</f>
        <v>160</v>
      </c>
      <c r="N98" s="387">
        <v>170</v>
      </c>
      <c r="O98" s="382">
        <f t="shared" si="144"/>
        <v>0</v>
      </c>
      <c r="P98" s="386">
        <v>150</v>
      </c>
      <c r="Q98" s="384">
        <f>AVERAGE(P98,R98)</f>
        <v>160</v>
      </c>
      <c r="R98" s="387">
        <v>170</v>
      </c>
      <c r="S98" s="379"/>
      <c r="T98" s="382">
        <f t="shared" si="152"/>
        <v>-3.5999999999999943</v>
      </c>
      <c r="U98" s="382">
        <f t="shared" si="145"/>
        <v>-13.599999999999994</v>
      </c>
      <c r="V98" s="382">
        <f t="shared" si="146"/>
        <v>-33.599999999999994</v>
      </c>
      <c r="W98" s="384">
        <f t="shared" si="147"/>
        <v>-33.599999999999994</v>
      </c>
      <c r="X98" s="379"/>
      <c r="Y98" s="922">
        <f t="shared" si="157"/>
        <v>-2.7692307692307648E-2</v>
      </c>
      <c r="Z98" s="922">
        <f t="shared" si="158"/>
        <v>-9.71428571428571E-2</v>
      </c>
      <c r="AA98" s="922">
        <f t="shared" si="159"/>
        <v>-0.20999999999999996</v>
      </c>
      <c r="AB98" s="912">
        <f t="shared" si="160"/>
        <v>-0.20999999999999996</v>
      </c>
      <c r="AC98" s="379"/>
    </row>
    <row r="99" spans="2:29" s="393" customFormat="1">
      <c r="B99" s="388" t="s">
        <v>209</v>
      </c>
      <c r="C99" s="389">
        <f>C98/C97</f>
        <v>0.17837990403612786</v>
      </c>
      <c r="D99" s="390"/>
      <c r="E99" s="391">
        <f>E98/E97</f>
        <v>0.18309859154929578</v>
      </c>
      <c r="F99" s="392"/>
      <c r="G99" s="389">
        <f t="shared" si="142"/>
        <v>-1.4084507042253502E-2</v>
      </c>
      <c r="H99" s="390">
        <f>H98/H97</f>
        <v>0.18978102189781021</v>
      </c>
      <c r="I99" s="391">
        <f>I98/I97</f>
        <v>0.19718309859154928</v>
      </c>
      <c r="J99" s="392">
        <f>J98/J97</f>
        <v>0.20408163265306123</v>
      </c>
      <c r="K99" s="389">
        <f t="shared" si="143"/>
        <v>-2.816901408450706E-2</v>
      </c>
      <c r="L99" s="390">
        <f>L98/L97</f>
        <v>0.21897810218978103</v>
      </c>
      <c r="M99" s="391">
        <f>M98/M97</f>
        <v>0.22535211267605634</v>
      </c>
      <c r="N99" s="392">
        <f>N98/N97</f>
        <v>0.23129251700680273</v>
      </c>
      <c r="O99" s="389">
        <f t="shared" si="144"/>
        <v>0</v>
      </c>
      <c r="P99" s="390">
        <f>P98/P97</f>
        <v>0.21897810218978103</v>
      </c>
      <c r="Q99" s="391">
        <f>Q98/Q97</f>
        <v>0.22535211267605634</v>
      </c>
      <c r="R99" s="392">
        <f>R98/R97</f>
        <v>0.23129251700680273</v>
      </c>
      <c r="S99" s="379"/>
      <c r="T99" s="389">
        <f t="shared" si="152"/>
        <v>-4.718687513167924E-3</v>
      </c>
      <c r="U99" s="389">
        <f t="shared" si="145"/>
        <v>-1.8803194555421426E-2</v>
      </c>
      <c r="V99" s="389">
        <f t="shared" si="146"/>
        <v>-4.6972208639928487E-2</v>
      </c>
      <c r="W99" s="391">
        <f t="shared" si="147"/>
        <v>-4.6972208639928487E-2</v>
      </c>
      <c r="X99" s="379"/>
      <c r="Y99" s="922"/>
      <c r="Z99" s="922"/>
      <c r="AA99" s="922"/>
      <c r="AB99" s="912"/>
      <c r="AC99" s="379"/>
    </row>
    <row r="100" spans="2:29" s="380" customFormat="1">
      <c r="B100" s="381" t="s">
        <v>220</v>
      </c>
      <c r="C100" s="396">
        <f>Financials!$DS$26</f>
        <v>547.79999999999893</v>
      </c>
      <c r="D100" s="386">
        <v>520</v>
      </c>
      <c r="E100" s="384">
        <f>AVERAGE(D100,F100)</f>
        <v>540</v>
      </c>
      <c r="F100" s="387">
        <v>560</v>
      </c>
      <c r="G100" s="382">
        <f t="shared" si="142"/>
        <v>15</v>
      </c>
      <c r="H100" s="386">
        <v>510</v>
      </c>
      <c r="I100" s="384">
        <f>AVERAGE(H100,J100)</f>
        <v>525</v>
      </c>
      <c r="J100" s="387">
        <v>540</v>
      </c>
      <c r="K100" s="382">
        <f t="shared" si="143"/>
        <v>20</v>
      </c>
      <c r="L100" s="386">
        <v>490</v>
      </c>
      <c r="M100" s="384">
        <f>AVERAGE(L100,N100)</f>
        <v>505</v>
      </c>
      <c r="N100" s="387">
        <v>520</v>
      </c>
      <c r="O100" s="382">
        <f t="shared" si="144"/>
        <v>0</v>
      </c>
      <c r="P100" s="386">
        <v>490</v>
      </c>
      <c r="Q100" s="384">
        <f>AVERAGE(P100,R100)</f>
        <v>505</v>
      </c>
      <c r="R100" s="387">
        <v>520</v>
      </c>
      <c r="S100" s="379"/>
      <c r="T100" s="416">
        <f t="shared" si="152"/>
        <v>7.7999999999989313</v>
      </c>
      <c r="U100" s="416">
        <f t="shared" si="145"/>
        <v>22.799999999998931</v>
      </c>
      <c r="V100" s="416">
        <f t="shared" si="146"/>
        <v>42.799999999998931</v>
      </c>
      <c r="W100" s="417">
        <f t="shared" si="147"/>
        <v>42.799999999998931</v>
      </c>
      <c r="X100" s="379"/>
      <c r="Y100" s="920">
        <f t="shared" ref="Y100" si="161">T100/E100</f>
        <v>1.4444444444442466E-2</v>
      </c>
      <c r="Z100" s="920">
        <f t="shared" ref="Z100" si="162">U100/I100</f>
        <v>4.3428571428569394E-2</v>
      </c>
      <c r="AA100" s="920">
        <f t="shared" ref="AA100" si="163">V100/M100</f>
        <v>8.4752475247522635E-2</v>
      </c>
      <c r="AB100" s="921">
        <f t="shared" ref="AB100" si="164">W100/Q100</f>
        <v>8.4752475247522635E-2</v>
      </c>
      <c r="AC100" s="379"/>
    </row>
    <row r="101" spans="2:29" s="380" customFormat="1">
      <c r="B101" s="381" t="s">
        <v>25</v>
      </c>
      <c r="C101" s="396"/>
      <c r="D101" s="386"/>
      <c r="E101" s="394">
        <v>40</v>
      </c>
      <c r="F101" s="387"/>
      <c r="G101" s="382">
        <f t="shared" si="142"/>
        <v>0</v>
      </c>
      <c r="H101" s="386"/>
      <c r="I101" s="394">
        <v>40</v>
      </c>
      <c r="J101" s="387"/>
      <c r="K101" s="382">
        <f t="shared" si="143"/>
        <v>0</v>
      </c>
      <c r="L101" s="386"/>
      <c r="M101" s="394">
        <v>40</v>
      </c>
      <c r="N101" s="387"/>
      <c r="O101" s="382">
        <f t="shared" si="144"/>
        <v>0</v>
      </c>
      <c r="P101" s="386"/>
      <c r="Q101" s="394">
        <v>40</v>
      </c>
      <c r="R101" s="387"/>
      <c r="S101" s="379"/>
      <c r="T101" s="382"/>
      <c r="U101" s="382"/>
      <c r="V101" s="382"/>
      <c r="W101" s="384"/>
      <c r="X101" s="379"/>
      <c r="Y101" s="922"/>
      <c r="Z101" s="922"/>
      <c r="AA101" s="922"/>
      <c r="AB101" s="912"/>
      <c r="AC101" s="379"/>
    </row>
    <row r="102" spans="2:29" s="380" customFormat="1">
      <c r="B102" s="381" t="s">
        <v>141</v>
      </c>
      <c r="C102" s="396">
        <f>-Financials!$DS$133</f>
        <v>458.3</v>
      </c>
      <c r="D102" s="386"/>
      <c r="E102" s="394">
        <v>435</v>
      </c>
      <c r="F102" s="387"/>
      <c r="G102" s="382">
        <f t="shared" si="142"/>
        <v>0</v>
      </c>
      <c r="H102" s="386"/>
      <c r="I102" s="394">
        <v>435</v>
      </c>
      <c r="J102" s="387"/>
      <c r="K102" s="382">
        <f t="shared" si="143"/>
        <v>10</v>
      </c>
      <c r="L102" s="386"/>
      <c r="M102" s="394">
        <v>425</v>
      </c>
      <c r="N102" s="387"/>
      <c r="O102" s="382">
        <f t="shared" si="144"/>
        <v>0</v>
      </c>
      <c r="P102" s="386"/>
      <c r="Q102" s="394">
        <v>425</v>
      </c>
      <c r="R102" s="387"/>
      <c r="S102" s="379"/>
      <c r="T102" s="382">
        <f>$C102-E102</f>
        <v>23.300000000000011</v>
      </c>
      <c r="U102" s="382">
        <f>$C102-I102</f>
        <v>23.300000000000011</v>
      </c>
      <c r="V102" s="382">
        <f>$C102-M102</f>
        <v>33.300000000000011</v>
      </c>
      <c r="W102" s="384">
        <f>$C102-Q102</f>
        <v>33.300000000000011</v>
      </c>
      <c r="X102" s="379"/>
      <c r="Y102" s="922">
        <f t="shared" ref="Y102:Y103" si="165">T102/E102</f>
        <v>5.3563218390804621E-2</v>
      </c>
      <c r="Z102" s="922">
        <f t="shared" ref="Z102:Z103" si="166">U102/I102</f>
        <v>5.3563218390804621E-2</v>
      </c>
      <c r="AA102" s="922">
        <f t="shared" ref="AA102:AA103" si="167">V102/M102</f>
        <v>7.8352941176470611E-2</v>
      </c>
      <c r="AB102" s="912">
        <f t="shared" ref="AB102:AB103" si="168">W102/Q102</f>
        <v>7.8352941176470611E-2</v>
      </c>
      <c r="AC102" s="379"/>
    </row>
    <row r="103" spans="2:29" s="397" customFormat="1" ht="15.75" thickBot="1">
      <c r="B103" s="398" t="s">
        <v>177</v>
      </c>
      <c r="C103" s="399">
        <f>Financials!$DS$156</f>
        <v>271.49999999999892</v>
      </c>
      <c r="D103" s="400"/>
      <c r="E103" s="404">
        <v>275</v>
      </c>
      <c r="F103" s="402"/>
      <c r="G103" s="405">
        <f t="shared" si="142"/>
        <v>0</v>
      </c>
      <c r="H103" s="400"/>
      <c r="I103" s="404">
        <v>275</v>
      </c>
      <c r="J103" s="402"/>
      <c r="K103" s="405">
        <f t="shared" si="143"/>
        <v>0</v>
      </c>
      <c r="L103" s="400"/>
      <c r="M103" s="404">
        <v>275</v>
      </c>
      <c r="N103" s="402"/>
      <c r="O103" s="405">
        <f t="shared" si="144"/>
        <v>0</v>
      </c>
      <c r="P103" s="400"/>
      <c r="Q103" s="404">
        <v>275</v>
      </c>
      <c r="R103" s="402"/>
      <c r="T103" s="403">
        <f>$C103-E103</f>
        <v>-3.50000000000108</v>
      </c>
      <c r="U103" s="403">
        <f>$C103-I103</f>
        <v>-3.50000000000108</v>
      </c>
      <c r="V103" s="403">
        <f>$C103-M103</f>
        <v>-3.50000000000108</v>
      </c>
      <c r="W103" s="413">
        <f>$C103-Q103</f>
        <v>-3.50000000000108</v>
      </c>
      <c r="Y103" s="923">
        <f t="shared" si="165"/>
        <v>-1.2727272727276655E-2</v>
      </c>
      <c r="Z103" s="923">
        <f t="shared" si="166"/>
        <v>-1.2727272727276655E-2</v>
      </c>
      <c r="AA103" s="923">
        <f t="shared" si="167"/>
        <v>-1.2727272727276655E-2</v>
      </c>
      <c r="AB103" s="916">
        <f t="shared" si="168"/>
        <v>-1.2727272727276655E-2</v>
      </c>
    </row>
  </sheetData>
  <mergeCells count="28">
    <mergeCell ref="D63:F63"/>
    <mergeCell ref="H63:J63"/>
    <mergeCell ref="L63:N63"/>
    <mergeCell ref="P63:R63"/>
    <mergeCell ref="D91:F91"/>
    <mergeCell ref="H91:J91"/>
    <mergeCell ref="L91:N91"/>
    <mergeCell ref="P91:R91"/>
    <mergeCell ref="D77:F77"/>
    <mergeCell ref="H77:J77"/>
    <mergeCell ref="L77:N77"/>
    <mergeCell ref="P77:R77"/>
    <mergeCell ref="D35:F35"/>
    <mergeCell ref="H35:J35"/>
    <mergeCell ref="L35:N35"/>
    <mergeCell ref="P35:R35"/>
    <mergeCell ref="D49:F49"/>
    <mergeCell ref="H49:J49"/>
    <mergeCell ref="L49:N49"/>
    <mergeCell ref="P49:R49"/>
    <mergeCell ref="D7:F7"/>
    <mergeCell ref="H7:J7"/>
    <mergeCell ref="L7:N7"/>
    <mergeCell ref="P7:R7"/>
    <mergeCell ref="D21:F21"/>
    <mergeCell ref="H21:J21"/>
    <mergeCell ref="L21:N21"/>
    <mergeCell ref="P21:R21"/>
  </mergeCells>
  <conditionalFormatting sqref="Y1:AB1048576">
    <cfRule type="cellIs" dxfId="0" priority="1" operator="lessThan">
      <formula>0</formula>
    </cfRule>
  </conditionalFormatting>
  <pageMargins left="0.7" right="0.7" top="0.75" bottom="0.75" header="0.3" footer="0.3"/>
  <pageSetup scale="32" orientation="landscape"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43"/>
  <sheetViews>
    <sheetView workbookViewId="0">
      <selection activeCell="B42" sqref="B42"/>
    </sheetView>
  </sheetViews>
  <sheetFormatPr defaultRowHeight="12.75"/>
  <cols>
    <col min="1" max="1" width="29.5703125" style="1" bestFit="1" customWidth="1"/>
    <col min="2" max="2" width="19.85546875" style="970" customWidth="1"/>
    <col min="3" max="3" width="12" style="1" bestFit="1" customWidth="1"/>
    <col min="4" max="256" width="9.140625" style="1"/>
    <col min="257" max="257" width="29.5703125" style="1" bestFit="1" customWidth="1"/>
    <col min="258" max="258" width="19.85546875" style="1" customWidth="1"/>
    <col min="259" max="259" width="12" style="1" bestFit="1" customWidth="1"/>
    <col min="260" max="512" width="9.140625" style="1"/>
    <col min="513" max="513" width="29.5703125" style="1" bestFit="1" customWidth="1"/>
    <col min="514" max="514" width="19.85546875" style="1" customWidth="1"/>
    <col min="515" max="515" width="12" style="1" bestFit="1" customWidth="1"/>
    <col min="516" max="768" width="9.140625" style="1"/>
    <col min="769" max="769" width="29.5703125" style="1" bestFit="1" customWidth="1"/>
    <col min="770" max="770" width="19.85546875" style="1" customWidth="1"/>
    <col min="771" max="771" width="12" style="1" bestFit="1" customWidth="1"/>
    <col min="772" max="1024" width="9.140625" style="1"/>
    <col min="1025" max="1025" width="29.5703125" style="1" bestFit="1" customWidth="1"/>
    <col min="1026" max="1026" width="19.85546875" style="1" customWidth="1"/>
    <col min="1027" max="1027" width="12" style="1" bestFit="1" customWidth="1"/>
    <col min="1028" max="1280" width="9.140625" style="1"/>
    <col min="1281" max="1281" width="29.5703125" style="1" bestFit="1" customWidth="1"/>
    <col min="1282" max="1282" width="19.85546875" style="1" customWidth="1"/>
    <col min="1283" max="1283" width="12" style="1" bestFit="1" customWidth="1"/>
    <col min="1284" max="1536" width="9.140625" style="1"/>
    <col min="1537" max="1537" width="29.5703125" style="1" bestFit="1" customWidth="1"/>
    <col min="1538" max="1538" width="19.85546875" style="1" customWidth="1"/>
    <col min="1539" max="1539" width="12" style="1" bestFit="1" customWidth="1"/>
    <col min="1540" max="1792" width="9.140625" style="1"/>
    <col min="1793" max="1793" width="29.5703125" style="1" bestFit="1" customWidth="1"/>
    <col min="1794" max="1794" width="19.85546875" style="1" customWidth="1"/>
    <col min="1795" max="1795" width="12" style="1" bestFit="1" customWidth="1"/>
    <col min="1796" max="2048" width="9.140625" style="1"/>
    <col min="2049" max="2049" width="29.5703125" style="1" bestFit="1" customWidth="1"/>
    <col min="2050" max="2050" width="19.85546875" style="1" customWidth="1"/>
    <col min="2051" max="2051" width="12" style="1" bestFit="1" customWidth="1"/>
    <col min="2052" max="2304" width="9.140625" style="1"/>
    <col min="2305" max="2305" width="29.5703125" style="1" bestFit="1" customWidth="1"/>
    <col min="2306" max="2306" width="19.85546875" style="1" customWidth="1"/>
    <col min="2307" max="2307" width="12" style="1" bestFit="1" customWidth="1"/>
    <col min="2308" max="2560" width="9.140625" style="1"/>
    <col min="2561" max="2561" width="29.5703125" style="1" bestFit="1" customWidth="1"/>
    <col min="2562" max="2562" width="19.85546875" style="1" customWidth="1"/>
    <col min="2563" max="2563" width="12" style="1" bestFit="1" customWidth="1"/>
    <col min="2564" max="2816" width="9.140625" style="1"/>
    <col min="2817" max="2817" width="29.5703125" style="1" bestFit="1" customWidth="1"/>
    <col min="2818" max="2818" width="19.85546875" style="1" customWidth="1"/>
    <col min="2819" max="2819" width="12" style="1" bestFit="1" customWidth="1"/>
    <col min="2820" max="3072" width="9.140625" style="1"/>
    <col min="3073" max="3073" width="29.5703125" style="1" bestFit="1" customWidth="1"/>
    <col min="3074" max="3074" width="19.85546875" style="1" customWidth="1"/>
    <col min="3075" max="3075" width="12" style="1" bestFit="1" customWidth="1"/>
    <col min="3076" max="3328" width="9.140625" style="1"/>
    <col min="3329" max="3329" width="29.5703125" style="1" bestFit="1" customWidth="1"/>
    <col min="3330" max="3330" width="19.85546875" style="1" customWidth="1"/>
    <col min="3331" max="3331" width="12" style="1" bestFit="1" customWidth="1"/>
    <col min="3332" max="3584" width="9.140625" style="1"/>
    <col min="3585" max="3585" width="29.5703125" style="1" bestFit="1" customWidth="1"/>
    <col min="3586" max="3586" width="19.85546875" style="1" customWidth="1"/>
    <col min="3587" max="3587" width="12" style="1" bestFit="1" customWidth="1"/>
    <col min="3588" max="3840" width="9.140625" style="1"/>
    <col min="3841" max="3841" width="29.5703125" style="1" bestFit="1" customWidth="1"/>
    <col min="3842" max="3842" width="19.85546875" style="1" customWidth="1"/>
    <col min="3843" max="3843" width="12" style="1" bestFit="1" customWidth="1"/>
    <col min="3844" max="4096" width="9.140625" style="1"/>
    <col min="4097" max="4097" width="29.5703125" style="1" bestFit="1" customWidth="1"/>
    <col min="4098" max="4098" width="19.85546875" style="1" customWidth="1"/>
    <col min="4099" max="4099" width="12" style="1" bestFit="1" customWidth="1"/>
    <col min="4100" max="4352" width="9.140625" style="1"/>
    <col min="4353" max="4353" width="29.5703125" style="1" bestFit="1" customWidth="1"/>
    <col min="4354" max="4354" width="19.85546875" style="1" customWidth="1"/>
    <col min="4355" max="4355" width="12" style="1" bestFit="1" customWidth="1"/>
    <col min="4356" max="4608" width="9.140625" style="1"/>
    <col min="4609" max="4609" width="29.5703125" style="1" bestFit="1" customWidth="1"/>
    <col min="4610" max="4610" width="19.85546875" style="1" customWidth="1"/>
    <col min="4611" max="4611" width="12" style="1" bestFit="1" customWidth="1"/>
    <col min="4612" max="4864" width="9.140625" style="1"/>
    <col min="4865" max="4865" width="29.5703125" style="1" bestFit="1" customWidth="1"/>
    <col min="4866" max="4866" width="19.85546875" style="1" customWidth="1"/>
    <col min="4867" max="4867" width="12" style="1" bestFit="1" customWidth="1"/>
    <col min="4868" max="5120" width="9.140625" style="1"/>
    <col min="5121" max="5121" width="29.5703125" style="1" bestFit="1" customWidth="1"/>
    <col min="5122" max="5122" width="19.85546875" style="1" customWidth="1"/>
    <col min="5123" max="5123" width="12" style="1" bestFit="1" customWidth="1"/>
    <col min="5124" max="5376" width="9.140625" style="1"/>
    <col min="5377" max="5377" width="29.5703125" style="1" bestFit="1" customWidth="1"/>
    <col min="5378" max="5378" width="19.85546875" style="1" customWidth="1"/>
    <col min="5379" max="5379" width="12" style="1" bestFit="1" customWidth="1"/>
    <col min="5380" max="5632" width="9.140625" style="1"/>
    <col min="5633" max="5633" width="29.5703125" style="1" bestFit="1" customWidth="1"/>
    <col min="5634" max="5634" width="19.85546875" style="1" customWidth="1"/>
    <col min="5635" max="5635" width="12" style="1" bestFit="1" customWidth="1"/>
    <col min="5636" max="5888" width="9.140625" style="1"/>
    <col min="5889" max="5889" width="29.5703125" style="1" bestFit="1" customWidth="1"/>
    <col min="5890" max="5890" width="19.85546875" style="1" customWidth="1"/>
    <col min="5891" max="5891" width="12" style="1" bestFit="1" customWidth="1"/>
    <col min="5892" max="6144" width="9.140625" style="1"/>
    <col min="6145" max="6145" width="29.5703125" style="1" bestFit="1" customWidth="1"/>
    <col min="6146" max="6146" width="19.85546875" style="1" customWidth="1"/>
    <col min="6147" max="6147" width="12" style="1" bestFit="1" customWidth="1"/>
    <col min="6148" max="6400" width="9.140625" style="1"/>
    <col min="6401" max="6401" width="29.5703125" style="1" bestFit="1" customWidth="1"/>
    <col min="6402" max="6402" width="19.85546875" style="1" customWidth="1"/>
    <col min="6403" max="6403" width="12" style="1" bestFit="1" customWidth="1"/>
    <col min="6404" max="6656" width="9.140625" style="1"/>
    <col min="6657" max="6657" width="29.5703125" style="1" bestFit="1" customWidth="1"/>
    <col min="6658" max="6658" width="19.85546875" style="1" customWidth="1"/>
    <col min="6659" max="6659" width="12" style="1" bestFit="1" customWidth="1"/>
    <col min="6660" max="6912" width="9.140625" style="1"/>
    <col min="6913" max="6913" width="29.5703125" style="1" bestFit="1" customWidth="1"/>
    <col min="6914" max="6914" width="19.85546875" style="1" customWidth="1"/>
    <col min="6915" max="6915" width="12" style="1" bestFit="1" customWidth="1"/>
    <col min="6916" max="7168" width="9.140625" style="1"/>
    <col min="7169" max="7169" width="29.5703125" style="1" bestFit="1" customWidth="1"/>
    <col min="7170" max="7170" width="19.85546875" style="1" customWidth="1"/>
    <col min="7171" max="7171" width="12" style="1" bestFit="1" customWidth="1"/>
    <col min="7172" max="7424" width="9.140625" style="1"/>
    <col min="7425" max="7425" width="29.5703125" style="1" bestFit="1" customWidth="1"/>
    <col min="7426" max="7426" width="19.85546875" style="1" customWidth="1"/>
    <col min="7427" max="7427" width="12" style="1" bestFit="1" customWidth="1"/>
    <col min="7428" max="7680" width="9.140625" style="1"/>
    <col min="7681" max="7681" width="29.5703125" style="1" bestFit="1" customWidth="1"/>
    <col min="7682" max="7682" width="19.85546875" style="1" customWidth="1"/>
    <col min="7683" max="7683" width="12" style="1" bestFit="1" customWidth="1"/>
    <col min="7684" max="7936" width="9.140625" style="1"/>
    <col min="7937" max="7937" width="29.5703125" style="1" bestFit="1" customWidth="1"/>
    <col min="7938" max="7938" width="19.85546875" style="1" customWidth="1"/>
    <col min="7939" max="7939" width="12" style="1" bestFit="1" customWidth="1"/>
    <col min="7940" max="8192" width="9.140625" style="1"/>
    <col min="8193" max="8193" width="29.5703125" style="1" bestFit="1" customWidth="1"/>
    <col min="8194" max="8194" width="19.85546875" style="1" customWidth="1"/>
    <col min="8195" max="8195" width="12" style="1" bestFit="1" customWidth="1"/>
    <col min="8196" max="8448" width="9.140625" style="1"/>
    <col min="8449" max="8449" width="29.5703125" style="1" bestFit="1" customWidth="1"/>
    <col min="8450" max="8450" width="19.85546875" style="1" customWidth="1"/>
    <col min="8451" max="8451" width="12" style="1" bestFit="1" customWidth="1"/>
    <col min="8452" max="8704" width="9.140625" style="1"/>
    <col min="8705" max="8705" width="29.5703125" style="1" bestFit="1" customWidth="1"/>
    <col min="8706" max="8706" width="19.85546875" style="1" customWidth="1"/>
    <col min="8707" max="8707" width="12" style="1" bestFit="1" customWidth="1"/>
    <col min="8708" max="8960" width="9.140625" style="1"/>
    <col min="8961" max="8961" width="29.5703125" style="1" bestFit="1" customWidth="1"/>
    <col min="8962" max="8962" width="19.85546875" style="1" customWidth="1"/>
    <col min="8963" max="8963" width="12" style="1" bestFit="1" customWidth="1"/>
    <col min="8964" max="9216" width="9.140625" style="1"/>
    <col min="9217" max="9217" width="29.5703125" style="1" bestFit="1" customWidth="1"/>
    <col min="9218" max="9218" width="19.85546875" style="1" customWidth="1"/>
    <col min="9219" max="9219" width="12" style="1" bestFit="1" customWidth="1"/>
    <col min="9220" max="9472" width="9.140625" style="1"/>
    <col min="9473" max="9473" width="29.5703125" style="1" bestFit="1" customWidth="1"/>
    <col min="9474" max="9474" width="19.85546875" style="1" customWidth="1"/>
    <col min="9475" max="9475" width="12" style="1" bestFit="1" customWidth="1"/>
    <col min="9476" max="9728" width="9.140625" style="1"/>
    <col min="9729" max="9729" width="29.5703125" style="1" bestFit="1" customWidth="1"/>
    <col min="9730" max="9730" width="19.85546875" style="1" customWidth="1"/>
    <col min="9731" max="9731" width="12" style="1" bestFit="1" customWidth="1"/>
    <col min="9732" max="9984" width="9.140625" style="1"/>
    <col min="9985" max="9985" width="29.5703125" style="1" bestFit="1" customWidth="1"/>
    <col min="9986" max="9986" width="19.85546875" style="1" customWidth="1"/>
    <col min="9987" max="9987" width="12" style="1" bestFit="1" customWidth="1"/>
    <col min="9988" max="10240" width="9.140625" style="1"/>
    <col min="10241" max="10241" width="29.5703125" style="1" bestFit="1" customWidth="1"/>
    <col min="10242" max="10242" width="19.85546875" style="1" customWidth="1"/>
    <col min="10243" max="10243" width="12" style="1" bestFit="1" customWidth="1"/>
    <col min="10244" max="10496" width="9.140625" style="1"/>
    <col min="10497" max="10497" width="29.5703125" style="1" bestFit="1" customWidth="1"/>
    <col min="10498" max="10498" width="19.85546875" style="1" customWidth="1"/>
    <col min="10499" max="10499" width="12" style="1" bestFit="1" customWidth="1"/>
    <col min="10500" max="10752" width="9.140625" style="1"/>
    <col min="10753" max="10753" width="29.5703125" style="1" bestFit="1" customWidth="1"/>
    <col min="10754" max="10754" width="19.85546875" style="1" customWidth="1"/>
    <col min="10755" max="10755" width="12" style="1" bestFit="1" customWidth="1"/>
    <col min="10756" max="11008" width="9.140625" style="1"/>
    <col min="11009" max="11009" width="29.5703125" style="1" bestFit="1" customWidth="1"/>
    <col min="11010" max="11010" width="19.85546875" style="1" customWidth="1"/>
    <col min="11011" max="11011" width="12" style="1" bestFit="1" customWidth="1"/>
    <col min="11012" max="11264" width="9.140625" style="1"/>
    <col min="11265" max="11265" width="29.5703125" style="1" bestFit="1" customWidth="1"/>
    <col min="11266" max="11266" width="19.85546875" style="1" customWidth="1"/>
    <col min="11267" max="11267" width="12" style="1" bestFit="1" customWidth="1"/>
    <col min="11268" max="11520" width="9.140625" style="1"/>
    <col min="11521" max="11521" width="29.5703125" style="1" bestFit="1" customWidth="1"/>
    <col min="11522" max="11522" width="19.85546875" style="1" customWidth="1"/>
    <col min="11523" max="11523" width="12" style="1" bestFit="1" customWidth="1"/>
    <col min="11524" max="11776" width="9.140625" style="1"/>
    <col min="11777" max="11777" width="29.5703125" style="1" bestFit="1" customWidth="1"/>
    <col min="11778" max="11778" width="19.85546875" style="1" customWidth="1"/>
    <col min="11779" max="11779" width="12" style="1" bestFit="1" customWidth="1"/>
    <col min="11780" max="12032" width="9.140625" style="1"/>
    <col min="12033" max="12033" width="29.5703125" style="1" bestFit="1" customWidth="1"/>
    <col min="12034" max="12034" width="19.85546875" style="1" customWidth="1"/>
    <col min="12035" max="12035" width="12" style="1" bestFit="1" customWidth="1"/>
    <col min="12036" max="12288" width="9.140625" style="1"/>
    <col min="12289" max="12289" width="29.5703125" style="1" bestFit="1" customWidth="1"/>
    <col min="12290" max="12290" width="19.85546875" style="1" customWidth="1"/>
    <col min="12291" max="12291" width="12" style="1" bestFit="1" customWidth="1"/>
    <col min="12292" max="12544" width="9.140625" style="1"/>
    <col min="12545" max="12545" width="29.5703125" style="1" bestFit="1" customWidth="1"/>
    <col min="12546" max="12546" width="19.85546875" style="1" customWidth="1"/>
    <col min="12547" max="12547" width="12" style="1" bestFit="1" customWidth="1"/>
    <col min="12548" max="12800" width="9.140625" style="1"/>
    <col min="12801" max="12801" width="29.5703125" style="1" bestFit="1" customWidth="1"/>
    <col min="12802" max="12802" width="19.85546875" style="1" customWidth="1"/>
    <col min="12803" max="12803" width="12" style="1" bestFit="1" customWidth="1"/>
    <col min="12804" max="13056" width="9.140625" style="1"/>
    <col min="13057" max="13057" width="29.5703125" style="1" bestFit="1" customWidth="1"/>
    <col min="13058" max="13058" width="19.85546875" style="1" customWidth="1"/>
    <col min="13059" max="13059" width="12" style="1" bestFit="1" customWidth="1"/>
    <col min="13060" max="13312" width="9.140625" style="1"/>
    <col min="13313" max="13313" width="29.5703125" style="1" bestFit="1" customWidth="1"/>
    <col min="13314" max="13314" width="19.85546875" style="1" customWidth="1"/>
    <col min="13315" max="13315" width="12" style="1" bestFit="1" customWidth="1"/>
    <col min="13316" max="13568" width="9.140625" style="1"/>
    <col min="13569" max="13569" width="29.5703125" style="1" bestFit="1" customWidth="1"/>
    <col min="13570" max="13570" width="19.85546875" style="1" customWidth="1"/>
    <col min="13571" max="13571" width="12" style="1" bestFit="1" customWidth="1"/>
    <col min="13572" max="13824" width="9.140625" style="1"/>
    <col min="13825" max="13825" width="29.5703125" style="1" bestFit="1" customWidth="1"/>
    <col min="13826" max="13826" width="19.85546875" style="1" customWidth="1"/>
    <col min="13827" max="13827" width="12" style="1" bestFit="1" customWidth="1"/>
    <col min="13828" max="14080" width="9.140625" style="1"/>
    <col min="14081" max="14081" width="29.5703125" style="1" bestFit="1" customWidth="1"/>
    <col min="14082" max="14082" width="19.85546875" style="1" customWidth="1"/>
    <col min="14083" max="14083" width="12" style="1" bestFit="1" customWidth="1"/>
    <col min="14084" max="14336" width="9.140625" style="1"/>
    <col min="14337" max="14337" width="29.5703125" style="1" bestFit="1" customWidth="1"/>
    <col min="14338" max="14338" width="19.85546875" style="1" customWidth="1"/>
    <col min="14339" max="14339" width="12" style="1" bestFit="1" customWidth="1"/>
    <col min="14340" max="14592" width="9.140625" style="1"/>
    <col min="14593" max="14593" width="29.5703125" style="1" bestFit="1" customWidth="1"/>
    <col min="14594" max="14594" width="19.85546875" style="1" customWidth="1"/>
    <col min="14595" max="14595" width="12" style="1" bestFit="1" customWidth="1"/>
    <col min="14596" max="14848" width="9.140625" style="1"/>
    <col min="14849" max="14849" width="29.5703125" style="1" bestFit="1" customWidth="1"/>
    <col min="14850" max="14850" width="19.85546875" style="1" customWidth="1"/>
    <col min="14851" max="14851" width="12" style="1" bestFit="1" customWidth="1"/>
    <col min="14852" max="15104" width="9.140625" style="1"/>
    <col min="15105" max="15105" width="29.5703125" style="1" bestFit="1" customWidth="1"/>
    <col min="15106" max="15106" width="19.85546875" style="1" customWidth="1"/>
    <col min="15107" max="15107" width="12" style="1" bestFit="1" customWidth="1"/>
    <col min="15108" max="15360" width="9.140625" style="1"/>
    <col min="15361" max="15361" width="29.5703125" style="1" bestFit="1" customWidth="1"/>
    <col min="15362" max="15362" width="19.85546875" style="1" customWidth="1"/>
    <col min="15363" max="15363" width="12" style="1" bestFit="1" customWidth="1"/>
    <col min="15364" max="15616" width="9.140625" style="1"/>
    <col min="15617" max="15617" width="29.5703125" style="1" bestFit="1" customWidth="1"/>
    <col min="15618" max="15618" width="19.85546875" style="1" customWidth="1"/>
    <col min="15619" max="15619" width="12" style="1" bestFit="1" customWidth="1"/>
    <col min="15620" max="15872" width="9.140625" style="1"/>
    <col min="15873" max="15873" width="29.5703125" style="1" bestFit="1" customWidth="1"/>
    <col min="15874" max="15874" width="19.85546875" style="1" customWidth="1"/>
    <col min="15875" max="15875" width="12" style="1" bestFit="1" customWidth="1"/>
    <col min="15876" max="16128" width="9.140625" style="1"/>
    <col min="16129" max="16129" width="29.5703125" style="1" bestFit="1" customWidth="1"/>
    <col min="16130" max="16130" width="19.85546875" style="1" customWidth="1"/>
    <col min="16131" max="16131" width="12" style="1" bestFit="1" customWidth="1"/>
    <col min="16132" max="16384" width="9.140625" style="1"/>
  </cols>
  <sheetData>
    <row r="1" spans="1:2">
      <c r="A1" s="1" t="s">
        <v>686</v>
      </c>
      <c r="B1" s="969">
        <v>6.1</v>
      </c>
    </row>
    <row r="2" spans="1:2">
      <c r="A2" s="1" t="s">
        <v>687</v>
      </c>
      <c r="B2" s="973">
        <v>43200.799976851849</v>
      </c>
    </row>
    <row r="3" spans="1:2">
      <c r="A3" s="1" t="s">
        <v>688</v>
      </c>
      <c r="B3" s="970" t="s">
        <v>388</v>
      </c>
    </row>
    <row r="4" spans="1:2">
      <c r="A4" s="1" t="s">
        <v>689</v>
      </c>
      <c r="B4" s="970" t="s">
        <v>690</v>
      </c>
    </row>
    <row r="5" spans="1:2">
      <c r="A5" s="1" t="s">
        <v>691</v>
      </c>
      <c r="B5" s="970" t="s">
        <v>692</v>
      </c>
    </row>
    <row r="6" spans="1:2">
      <c r="A6" s="1" t="s">
        <v>693</v>
      </c>
    </row>
    <row r="7" spans="1:2">
      <c r="A7" s="1" t="s">
        <v>21</v>
      </c>
      <c r="B7" s="970" t="s">
        <v>52</v>
      </c>
    </row>
    <row r="8" spans="1:2">
      <c r="A8" s="1" t="s">
        <v>694</v>
      </c>
      <c r="B8" s="970" t="s">
        <v>695</v>
      </c>
    </row>
    <row r="9" spans="1:2">
      <c r="A9" s="1" t="s">
        <v>696</v>
      </c>
      <c r="B9" s="970" t="s">
        <v>733</v>
      </c>
    </row>
    <row r="10" spans="1:2">
      <c r="A10" s="1" t="s">
        <v>697</v>
      </c>
    </row>
    <row r="11" spans="1:2">
      <c r="A11" s="1" t="s">
        <v>698</v>
      </c>
    </row>
    <row r="12" spans="1:2">
      <c r="A12" s="1" t="s">
        <v>699</v>
      </c>
    </row>
    <row r="13" spans="1:2">
      <c r="A13" s="1" t="s">
        <v>700</v>
      </c>
    </row>
    <row r="14" spans="1:2">
      <c r="A14" s="1" t="s">
        <v>701</v>
      </c>
    </row>
    <row r="15" spans="1:2">
      <c r="A15" s="1" t="s">
        <v>702</v>
      </c>
    </row>
    <row r="16" spans="1:2">
      <c r="A16" s="1" t="s">
        <v>703</v>
      </c>
    </row>
    <row r="17" spans="1:4">
      <c r="A17" s="1" t="s">
        <v>704</v>
      </c>
      <c r="B17" s="970" t="s">
        <v>734</v>
      </c>
    </row>
    <row r="18" spans="1:4">
      <c r="A18" s="1" t="s">
        <v>705</v>
      </c>
      <c r="B18" s="970" t="s">
        <v>737</v>
      </c>
    </row>
    <row r="19" spans="1:4">
      <c r="A19" s="1" t="s">
        <v>706</v>
      </c>
      <c r="B19" s="970" t="s">
        <v>51</v>
      </c>
    </row>
    <row r="20" spans="1:4">
      <c r="A20" s="1" t="s">
        <v>707</v>
      </c>
      <c r="B20" s="971">
        <v>521865204</v>
      </c>
    </row>
    <row r="21" spans="1:4">
      <c r="A21" s="1" t="s">
        <v>708</v>
      </c>
      <c r="B21" s="970" t="s">
        <v>51</v>
      </c>
    </row>
    <row r="22" spans="1:4">
      <c r="A22" s="1" t="s">
        <v>709</v>
      </c>
      <c r="B22" s="971" t="s">
        <v>68</v>
      </c>
    </row>
    <row r="23" spans="1:4">
      <c r="A23" s="1" t="s">
        <v>95</v>
      </c>
      <c r="B23" s="969">
        <v>194.88</v>
      </c>
    </row>
    <row r="24" spans="1:4">
      <c r="A24" s="1" t="s">
        <v>93</v>
      </c>
      <c r="B24" s="970" t="s">
        <v>0</v>
      </c>
      <c r="D24" s="1" t="s">
        <v>22</v>
      </c>
    </row>
    <row r="25" spans="1:4">
      <c r="A25" s="1" t="s">
        <v>710</v>
      </c>
      <c r="B25" s="970" t="s">
        <v>738</v>
      </c>
    </row>
    <row r="26" spans="1:4">
      <c r="A26" s="1" t="s">
        <v>711</v>
      </c>
      <c r="B26" s="970">
        <v>0</v>
      </c>
    </row>
    <row r="27" spans="1:4">
      <c r="A27" s="1" t="s">
        <v>712</v>
      </c>
      <c r="B27" s="970" t="s">
        <v>713</v>
      </c>
    </row>
    <row r="28" spans="1:4">
      <c r="A28" s="1" t="s">
        <v>714</v>
      </c>
      <c r="B28" s="970" t="s">
        <v>715</v>
      </c>
    </row>
    <row r="29" spans="1:4">
      <c r="A29" s="1" t="s">
        <v>716</v>
      </c>
    </row>
    <row r="30" spans="1:4">
      <c r="A30" s="1" t="s">
        <v>717</v>
      </c>
    </row>
    <row r="31" spans="1:4">
      <c r="A31" s="1" t="s">
        <v>718</v>
      </c>
    </row>
    <row r="32" spans="1:4">
      <c r="A32" s="1" t="s">
        <v>719</v>
      </c>
      <c r="B32" s="969"/>
    </row>
    <row r="33" spans="1:2">
      <c r="A33" s="1" t="s">
        <v>720</v>
      </c>
      <c r="B33" s="969"/>
    </row>
    <row r="34" spans="1:2">
      <c r="A34" s="1" t="s">
        <v>721</v>
      </c>
      <c r="B34" s="969"/>
    </row>
    <row r="35" spans="1:2">
      <c r="A35" s="1" t="s">
        <v>722</v>
      </c>
      <c r="B35" s="970">
        <v>1000000</v>
      </c>
    </row>
    <row r="36" spans="1:2">
      <c r="A36" s="1" t="s">
        <v>723</v>
      </c>
      <c r="B36" s="970" t="s">
        <v>735</v>
      </c>
    </row>
    <row r="37" spans="1:2">
      <c r="A37" s="1" t="s">
        <v>724</v>
      </c>
      <c r="B37" s="970" t="s">
        <v>725</v>
      </c>
    </row>
    <row r="38" spans="1:2">
      <c r="A38" s="1" t="s">
        <v>726</v>
      </c>
      <c r="B38" s="970" t="s">
        <v>727</v>
      </c>
    </row>
    <row r="39" spans="1:2">
      <c r="A39" s="1" t="s">
        <v>728</v>
      </c>
      <c r="B39" s="970" t="s">
        <v>736</v>
      </c>
    </row>
    <row r="40" spans="1:2">
      <c r="A40" s="1" t="s">
        <v>729</v>
      </c>
      <c r="B40" s="970">
        <v>1500000223</v>
      </c>
    </row>
    <row r="41" spans="1:2">
      <c r="A41" s="1" t="s">
        <v>730</v>
      </c>
      <c r="B41" s="970">
        <v>1</v>
      </c>
    </row>
    <row r="42" spans="1:2">
      <c r="A42" s="972" t="s">
        <v>731</v>
      </c>
    </row>
    <row r="43" spans="1:2">
      <c r="A43" s="1" t="s">
        <v>732</v>
      </c>
    </row>
  </sheetData>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13"/>
  <sheetViews>
    <sheetView workbookViewId="0">
      <selection activeCell="O24" sqref="O24"/>
    </sheetView>
  </sheetViews>
  <sheetFormatPr defaultRowHeight="12.75"/>
  <cols>
    <col min="1" max="1" width="28.5703125" style="1" bestFit="1" customWidth="1"/>
    <col min="2" max="256" width="9.140625" style="1"/>
    <col min="257" max="257" width="28.5703125" style="1" bestFit="1" customWidth="1"/>
    <col min="258" max="512" width="9.140625" style="1"/>
    <col min="513" max="513" width="28.5703125" style="1" bestFit="1" customWidth="1"/>
    <col min="514" max="768" width="9.140625" style="1"/>
    <col min="769" max="769" width="28.5703125" style="1" bestFit="1" customWidth="1"/>
    <col min="770" max="1024" width="9.140625" style="1"/>
    <col min="1025" max="1025" width="28.5703125" style="1" bestFit="1" customWidth="1"/>
    <col min="1026" max="1280" width="9.140625" style="1"/>
    <col min="1281" max="1281" width="28.5703125" style="1" bestFit="1" customWidth="1"/>
    <col min="1282" max="1536" width="9.140625" style="1"/>
    <col min="1537" max="1537" width="28.5703125" style="1" bestFit="1" customWidth="1"/>
    <col min="1538" max="1792" width="9.140625" style="1"/>
    <col min="1793" max="1793" width="28.5703125" style="1" bestFit="1" customWidth="1"/>
    <col min="1794" max="2048" width="9.140625" style="1"/>
    <col min="2049" max="2049" width="28.5703125" style="1" bestFit="1" customWidth="1"/>
    <col min="2050" max="2304" width="9.140625" style="1"/>
    <col min="2305" max="2305" width="28.5703125" style="1" bestFit="1" customWidth="1"/>
    <col min="2306" max="2560" width="9.140625" style="1"/>
    <col min="2561" max="2561" width="28.5703125" style="1" bestFit="1" customWidth="1"/>
    <col min="2562" max="2816" width="9.140625" style="1"/>
    <col min="2817" max="2817" width="28.5703125" style="1" bestFit="1" customWidth="1"/>
    <col min="2818" max="3072" width="9.140625" style="1"/>
    <col min="3073" max="3073" width="28.5703125" style="1" bestFit="1" customWidth="1"/>
    <col min="3074" max="3328" width="9.140625" style="1"/>
    <col min="3329" max="3329" width="28.5703125" style="1" bestFit="1" customWidth="1"/>
    <col min="3330" max="3584" width="9.140625" style="1"/>
    <col min="3585" max="3585" width="28.5703125" style="1" bestFit="1" customWidth="1"/>
    <col min="3586" max="3840" width="9.140625" style="1"/>
    <col min="3841" max="3841" width="28.5703125" style="1" bestFit="1" customWidth="1"/>
    <col min="3842" max="4096" width="9.140625" style="1"/>
    <col min="4097" max="4097" width="28.5703125" style="1" bestFit="1" customWidth="1"/>
    <col min="4098" max="4352" width="9.140625" style="1"/>
    <col min="4353" max="4353" width="28.5703125" style="1" bestFit="1" customWidth="1"/>
    <col min="4354" max="4608" width="9.140625" style="1"/>
    <col min="4609" max="4609" width="28.5703125" style="1" bestFit="1" customWidth="1"/>
    <col min="4610" max="4864" width="9.140625" style="1"/>
    <col min="4865" max="4865" width="28.5703125" style="1" bestFit="1" customWidth="1"/>
    <col min="4866" max="5120" width="9.140625" style="1"/>
    <col min="5121" max="5121" width="28.5703125" style="1" bestFit="1" customWidth="1"/>
    <col min="5122" max="5376" width="9.140625" style="1"/>
    <col min="5377" max="5377" width="28.5703125" style="1" bestFit="1" customWidth="1"/>
    <col min="5378" max="5632" width="9.140625" style="1"/>
    <col min="5633" max="5633" width="28.5703125" style="1" bestFit="1" customWidth="1"/>
    <col min="5634" max="5888" width="9.140625" style="1"/>
    <col min="5889" max="5889" width="28.5703125" style="1" bestFit="1" customWidth="1"/>
    <col min="5890" max="6144" width="9.140625" style="1"/>
    <col min="6145" max="6145" width="28.5703125" style="1" bestFit="1" customWidth="1"/>
    <col min="6146" max="6400" width="9.140625" style="1"/>
    <col min="6401" max="6401" width="28.5703125" style="1" bestFit="1" customWidth="1"/>
    <col min="6402" max="6656" width="9.140625" style="1"/>
    <col min="6657" max="6657" width="28.5703125" style="1" bestFit="1" customWidth="1"/>
    <col min="6658" max="6912" width="9.140625" style="1"/>
    <col min="6913" max="6913" width="28.5703125" style="1" bestFit="1" customWidth="1"/>
    <col min="6914" max="7168" width="9.140625" style="1"/>
    <col min="7169" max="7169" width="28.5703125" style="1" bestFit="1" customWidth="1"/>
    <col min="7170" max="7424" width="9.140625" style="1"/>
    <col min="7425" max="7425" width="28.5703125" style="1" bestFit="1" customWidth="1"/>
    <col min="7426" max="7680" width="9.140625" style="1"/>
    <col min="7681" max="7681" width="28.5703125" style="1" bestFit="1" customWidth="1"/>
    <col min="7682" max="7936" width="9.140625" style="1"/>
    <col min="7937" max="7937" width="28.5703125" style="1" bestFit="1" customWidth="1"/>
    <col min="7938" max="8192" width="9.140625" style="1"/>
    <col min="8193" max="8193" width="28.5703125" style="1" bestFit="1" customWidth="1"/>
    <col min="8194" max="8448" width="9.140625" style="1"/>
    <col min="8449" max="8449" width="28.5703125" style="1" bestFit="1" customWidth="1"/>
    <col min="8450" max="8704" width="9.140625" style="1"/>
    <col min="8705" max="8705" width="28.5703125" style="1" bestFit="1" customWidth="1"/>
    <col min="8706" max="8960" width="9.140625" style="1"/>
    <col min="8961" max="8961" width="28.5703125" style="1" bestFit="1" customWidth="1"/>
    <col min="8962" max="9216" width="9.140625" style="1"/>
    <col min="9217" max="9217" width="28.5703125" style="1" bestFit="1" customWidth="1"/>
    <col min="9218" max="9472" width="9.140625" style="1"/>
    <col min="9473" max="9473" width="28.5703125" style="1" bestFit="1" customWidth="1"/>
    <col min="9474" max="9728" width="9.140625" style="1"/>
    <col min="9729" max="9729" width="28.5703125" style="1" bestFit="1" customWidth="1"/>
    <col min="9730" max="9984" width="9.140625" style="1"/>
    <col min="9985" max="9985" width="28.5703125" style="1" bestFit="1" customWidth="1"/>
    <col min="9986" max="10240" width="9.140625" style="1"/>
    <col min="10241" max="10241" width="28.5703125" style="1" bestFit="1" customWidth="1"/>
    <col min="10242" max="10496" width="9.140625" style="1"/>
    <col min="10497" max="10497" width="28.5703125" style="1" bestFit="1" customWidth="1"/>
    <col min="10498" max="10752" width="9.140625" style="1"/>
    <col min="10753" max="10753" width="28.5703125" style="1" bestFit="1" customWidth="1"/>
    <col min="10754" max="11008" width="9.140625" style="1"/>
    <col min="11009" max="11009" width="28.5703125" style="1" bestFit="1" customWidth="1"/>
    <col min="11010" max="11264" width="9.140625" style="1"/>
    <col min="11265" max="11265" width="28.5703125" style="1" bestFit="1" customWidth="1"/>
    <col min="11266" max="11520" width="9.140625" style="1"/>
    <col min="11521" max="11521" width="28.5703125" style="1" bestFit="1" customWidth="1"/>
    <col min="11522" max="11776" width="9.140625" style="1"/>
    <col min="11777" max="11777" width="28.5703125" style="1" bestFit="1" customWidth="1"/>
    <col min="11778" max="12032" width="9.140625" style="1"/>
    <col min="12033" max="12033" width="28.5703125" style="1" bestFit="1" customWidth="1"/>
    <col min="12034" max="12288" width="9.140625" style="1"/>
    <col min="12289" max="12289" width="28.5703125" style="1" bestFit="1" customWidth="1"/>
    <col min="12290" max="12544" width="9.140625" style="1"/>
    <col min="12545" max="12545" width="28.5703125" style="1" bestFit="1" customWidth="1"/>
    <col min="12546" max="12800" width="9.140625" style="1"/>
    <col min="12801" max="12801" width="28.5703125" style="1" bestFit="1" customWidth="1"/>
    <col min="12802" max="13056" width="9.140625" style="1"/>
    <col min="13057" max="13057" width="28.5703125" style="1" bestFit="1" customWidth="1"/>
    <col min="13058" max="13312" width="9.140625" style="1"/>
    <col min="13313" max="13313" width="28.5703125" style="1" bestFit="1" customWidth="1"/>
    <col min="13314" max="13568" width="9.140625" style="1"/>
    <col min="13569" max="13569" width="28.5703125" style="1" bestFit="1" customWidth="1"/>
    <col min="13570" max="13824" width="9.140625" style="1"/>
    <col min="13825" max="13825" width="28.5703125" style="1" bestFit="1" customWidth="1"/>
    <col min="13826" max="14080" width="9.140625" style="1"/>
    <col min="14081" max="14081" width="28.5703125" style="1" bestFit="1" customWidth="1"/>
    <col min="14082" max="14336" width="9.140625" style="1"/>
    <col min="14337" max="14337" width="28.5703125" style="1" bestFit="1" customWidth="1"/>
    <col min="14338" max="14592" width="9.140625" style="1"/>
    <col min="14593" max="14593" width="28.5703125" style="1" bestFit="1" customWidth="1"/>
    <col min="14594" max="14848" width="9.140625" style="1"/>
    <col min="14849" max="14849" width="28.5703125" style="1" bestFit="1" customWidth="1"/>
    <col min="14850" max="15104" width="9.140625" style="1"/>
    <col min="15105" max="15105" width="28.5703125" style="1" bestFit="1" customWidth="1"/>
    <col min="15106" max="15360" width="9.140625" style="1"/>
    <col min="15361" max="15361" width="28.5703125" style="1" bestFit="1" customWidth="1"/>
    <col min="15362" max="15616" width="9.140625" style="1"/>
    <col min="15617" max="15617" width="28.5703125" style="1" bestFit="1" customWidth="1"/>
    <col min="15618" max="15872" width="9.140625" style="1"/>
    <col min="15873" max="15873" width="28.5703125" style="1" bestFit="1" customWidth="1"/>
    <col min="15874" max="16128" width="9.140625" style="1"/>
    <col min="16129" max="16129" width="28.5703125" style="1" bestFit="1" customWidth="1"/>
    <col min="16130" max="16384" width="9.140625" style="1"/>
  </cols>
  <sheetData>
    <row r="1" spans="1:1">
      <c r="A1" s="974" t="s">
        <v>739</v>
      </c>
    </row>
    <row r="2" spans="1:1">
      <c r="A2" s="974" t="s">
        <v>744</v>
      </c>
    </row>
    <row r="3" spans="1:1">
      <c r="A3" s="974" t="s">
        <v>745</v>
      </c>
    </row>
    <row r="4" spans="1:1">
      <c r="A4" s="974" t="s">
        <v>746</v>
      </c>
    </row>
    <row r="5" spans="1:1">
      <c r="A5" s="974" t="s">
        <v>747</v>
      </c>
    </row>
    <row r="6" spans="1:1">
      <c r="A6" s="974" t="s">
        <v>740</v>
      </c>
    </row>
    <row r="7" spans="1:1">
      <c r="A7" s="974" t="s">
        <v>748</v>
      </c>
    </row>
    <row r="8" spans="1:1">
      <c r="A8" s="974" t="s">
        <v>749</v>
      </c>
    </row>
    <row r="9" spans="1:1">
      <c r="A9" s="974" t="s">
        <v>750</v>
      </c>
    </row>
    <row r="10" spans="1:1">
      <c r="A10" s="974" t="s">
        <v>741</v>
      </c>
    </row>
    <row r="11" spans="1:1">
      <c r="A11" s="974" t="s">
        <v>751</v>
      </c>
    </row>
    <row r="12" spans="1:1">
      <c r="A12" s="974" t="s">
        <v>742</v>
      </c>
    </row>
    <row r="13" spans="1:1">
      <c r="A13" s="974" t="s">
        <v>743</v>
      </c>
    </row>
  </sheetData>
  <pageMargins left="0.75" right="0.75" top="1" bottom="1" header="0.5" footer="0.5"/>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Link>
    <GUID>82d1324e-2986-4d52-9323-602c8cd8ffc5</GUID>
    <SOURCETYPE>Chart</SOURCETYPE>
    <SOURCE_OBJECTNAME>MWA_Risk_Reward</SOURCE_OBJECTNAME>
    <SOURCE_SHEETCODE>MWRSSData</SOURCE_SHEETCODE>
    <SOURCE_SHEETNAME>MWA RR</SOURCE_SHEETNAME>
    <OBJECTTYPE>Native</OBJECTTYPE>
    <SOURCEAPPLICATION>EXCEL_SOURCE</SOURCEAPPLICATION>
    <UPDATEDAT>4/24/2015 5:05:08 PM</UPDATEDAT>
    <SOURCE_ISOUTOFDATE>False</SOURCE_ISOUTOFDATE>
    <SOURCE_WORKBOOKNAME>LEA Model.xls</SOURCE_WORKBOOKNAME>
    <SOURCE_WORKBOOKPATH>\\MSAD\ROOT\NA\NY\LIB\ER\AUTOS\Valuation\Models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/MSResearch/Content/ExternalAssets/2015-04/Images/2_fflr29CEifcp6HUmbetw--.png</TARGET_BINARYFULLNAME>
    <TARGET_STORYFULLNAME>/MSResearch/Content/ExternalAssets/2015-04/Sections/20150424_050505_MWA_Risk_Reward.xml</TARGET_STORYFULLNAME>
    <TARGET_UUID>950b5f8c-eac5-11e4-b44c-544b7b2f2e67</TARGET_UUID>
  </Link>
  <Link>
    <GUID>30be11fd-0b27-4654-a121-85817bfa9ce3</GUID>
    <SOURCE_ALTADDRESS>$B$9:$DO$48</SOURCE_ALTADDRESS>
    <SOURCETYPE>Table</SOURCETYPE>
    <SOURCE_OBJECTNAME>Linking_Range_18</SOURCE_OBJECTNAME>
    <OBJECTTYPE>Native</OBJECTTYPE>
    <SOURCE_SHEETCODE>Sheet4</SOURCE_SHEETCODE>
    <SOURCE_SHEETNAME>Financial Model</SOURCE_SHEETNAME>
    <SOURCEAPPLICATION>EXCEL_SOURCE</SOURCEAPPLICATION>
    <UPDATEDAT>4/24/2015 5:07:42 PM</UPDATEDAT>
    <SOURCE_ISOUTOFDATE>False</SOURCE_ISOUTOFDATE>
    <SOURCE_WORKBOOKNAME>LEA Model.xls</SOURCE_WORKBOOKNAME>
    <SOURCE_WORKBOOKPATH>\\MSAD\ROOT\NA\NY\LIB\ER\AUTOS\Valuation\Models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/MSResearch/Content/ExternalAssets/2015-04/Images/mtZag7PVBE_kUIIHsMiwRg--.png</TARGET_BINARYFULLNAME>
    <TARGET_STORYFULLNAME>/MSResearch/Content/ExternalAssets/2015-04/Sections/20150424_050738_Linking_Range_18.xml</TARGET_STORYFULLNAME>
    <TARGET_UUID>f00d14ca-eac5-11e4-b44c-544b7b2f2e67</TARGET_UUID>
  </Link>
  <Link>
    <GUID>f2d85ade-0423-4901-8ca1-19fd4995164f</GUID>
    <SOURCE_ALTADDRESS>$B$98:$DO$150</SOURCE_ALTADDRESS>
    <SOURCETYPE>Table</SOURCETYPE>
    <SOURCE_OBJECTNAME>Linking_Range_19</SOURCE_OBJECTNAME>
    <OBJECTTYPE>Native</OBJECTTYPE>
    <SOURCE_SHEETCODE>Sheet4</SOURCE_SHEETCODE>
    <SOURCE_SHEETNAME>Financial Model</SOURCE_SHEETNAME>
    <SOURCEAPPLICATION>EXCEL_SOURCE</SOURCEAPPLICATION>
    <UPDATEDAT>4/24/2015 5:08:23 PM</UPDATEDAT>
    <SOURCE_ISOUTOFDATE>False</SOURCE_ISOUTOFDATE>
    <SOURCE_WORKBOOKNAME>LEA Model.xls</SOURCE_WORKBOOKNAME>
    <SOURCE_WORKBOOKPATH>\\MSAD\ROOT\NA\NY\LIB\ER\AUTOS\Valuation\Models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/MSResearch/Content/ExternalAssets/2015-04/Images/X4p6QI2MXk2az39a57i0Ww--.png</TARGET_BINARYFULLNAME>
    <TARGET_STORYFULLNAME>/MSResearch/Content/ExternalAssets/2015-04/Sections/20150424_050817_Linking_Range_19.xml</TARGET_STORYFULLNAME>
    <TARGET_UUID>077b5fae-eac6-11e4-b44c-544b7b2f2e67</TARGET_UUID>
  </Link>
  <Link>
    <GUID>0ae59f18-0e11-4c38-8b39-1f6f316bf2b1</GUID>
    <SOURCE_ALTADDRESS>$B$154:$DO$200</SOURCE_ALTADDRESS>
    <SOURCETYPE>Table</SOURCETYPE>
    <SOURCE_OBJECTNAME>Linking_Range_20</SOURCE_OBJECTNAME>
    <OBJECTTYPE>Native</OBJECTTYPE>
    <SOURCE_SHEETCODE>Sheet4</SOURCE_SHEETCODE>
    <SOURCE_SHEETNAME>Financial Model</SOURCE_SHEETNAME>
    <SOURCEAPPLICATION>EXCEL_SOURCE</SOURCEAPPLICATION>
    <UPDATEDAT>4/24/2015 5:08:48 PM</UPDATEDAT>
    <SOURCE_ISOUTOFDATE>False</SOURCE_ISOUTOFDATE>
    <SOURCE_WORKBOOKNAME>LEA Model.xls</SOURCE_WORKBOOKNAME>
    <SOURCE_WORKBOOKPATH>\\MSAD\ROOT\NA\NY\LIB\ER\AUTOS\Valuation\Models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/MSResearch/Content/ExternalAssets/2015-04/Images/80fR_C1zZEWdhF1xBht0EA--.png</TARGET_BINARYFULLNAME>
    <TARGET_STORYFULLNAME>/MSResearch/Content/ExternalAssets/2015-04/Sections/20150424_050846_Linking_Range_20.xml</TARGET_STORYFULLNAME>
    <TARGET_UUID>18a176ec-eac6-11e4-b44c-544b7b2f2e67</TARGET_UUID>
  </Link>
  <Link>
    <GUID>5b96e0e1-3a70-4dcd-8e2c-14d632b3294f</GUID>
    <SOURCE_ALTADDRESS>$C$8:$P$39</SOURCE_ALTADDRESS>
    <SOURCETYPE>Table</SOURCETYPE>
    <SOURCE_OBJECTNAME>Linking_Range_14</SOURCE_OBJECTNAME>
    <OBJECTTYPE>Native</OBJECTTYPE>
    <SOURCE_SHEETCODE>Sheet16</SOURCE_SHEETCODE>
    <SOURCE_SHEETNAME>DCF Valuation</SOURCE_SHEETNAME>
    <SOURCEAPPLICATION>EXCEL_SOURCE</SOURCEAPPLICATION>
    <UPDATEDAT>4/24/2015 5:09:17 PM</UPDATEDAT>
    <SOURCE_ISOUTOFDATE>False</SOURCE_ISOUTOFDATE>
    <SOURCE_WORKBOOKNAME>LEA Model.xls</SOURCE_WORKBOOKNAME>
    <SOURCE_WORKBOOKPATH>\\MSAD\ROOT\NA\NY\LIB\ER\AUTOS\Valuation\Models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/MSResearch/Content/ExternalAssets/2015-04/Images/NtSFrVIAiEmtecfUdwYX1g--.png</TARGET_BINARYFULLNAME>
    <TARGET_STORYFULLNAME>/MSResearch/Content/ExternalAssets/2015-04/Sections/20150424_050915_Linking_Range_14.xml</TARGET_STORYFULLNAME>
    <TARGET_UUID>2a0f78ca-eac6-11e4-b44c-544b7b2f2e67</TARGET_UUID>
  </Link>
</lk:Links>
</file>

<file path=customXml/itemProps1.xml><?xml version="1.0" encoding="utf-8"?>
<ds:datastoreItem xmlns:ds="http://schemas.openxmlformats.org/officeDocument/2006/customXml" ds:itemID="{EA2B19F5-0986-41A4-B170-EB172A56D57F}">
  <ds:schemaRefs>
    <ds:schemaRef ds:uri="thomsonreuters.linking.metadatachange"/>
  </ds:schemaRefs>
</ds:datastoreItem>
</file>

<file path=customXml/itemProps2.xml><?xml version="1.0" encoding="utf-8"?>
<ds:datastoreItem xmlns:ds="http://schemas.openxmlformats.org/officeDocument/2006/customXml" ds:itemID="{12F19B21-2498-4769-BF5F-5F8625DD478C}">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115</vt:i4>
      </vt:variant>
    </vt:vector>
  </HeadingPairs>
  <TitlesOfParts>
    <vt:vector size="117" baseType="lpstr">
      <vt:lpstr>ImportantDisclosures</vt:lpstr>
      <vt:lpstr>CircularReferenceAlert</vt:lpstr>
      <vt:lpstr>AdditionalInstructions</vt:lpstr>
      <vt:lpstr>ImportantDisclosures!Address</vt:lpstr>
      <vt:lpstr>ModPubIndex!ANA</vt:lpstr>
      <vt:lpstr>ImportantDisclosures!Authors</vt:lpstr>
      <vt:lpstr>IndexInformation!Authors</vt:lpstr>
      <vt:lpstr>ModPubIndex!BRO</vt:lpstr>
      <vt:lpstr>CircularReferenceAlert!Buttons</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Linking_12</vt:lpstr>
      <vt:lpstr>Linking_14</vt:lpstr>
      <vt:lpstr>Linking_15</vt:lpstr>
      <vt:lpstr>Linking_16</vt:lpstr>
      <vt:lpstr>Linking_17</vt:lpstr>
      <vt:lpstr>Linking_18</vt:lpstr>
      <vt:lpstr>Linking_20</vt:lpstr>
      <vt:lpstr>Linking_21</vt:lpstr>
      <vt:lpstr>Linking_22</vt:lpstr>
      <vt:lpstr>Linking_23</vt:lpstr>
      <vt:lpstr>Linking_24</vt:lpstr>
      <vt:lpstr>Linking_25</vt:lpstr>
      <vt:lpstr>Linking_26</vt:lpstr>
      <vt:lpstr>Linking_27</vt:lpstr>
      <vt:lpstr>Linking_3</vt:lpstr>
      <vt:lpstr>Linking_7</vt:lpstr>
      <vt:lpstr>Linking_8</vt:lpstr>
      <vt:lpstr>Linking_9</vt:lpstr>
      <vt:lpstr>Linking_Range_10</vt:lpstr>
      <vt:lpstr>Linking_Range_11</vt:lpstr>
      <vt:lpstr>Linking_Range_12</vt:lpstr>
      <vt:lpstr>Linking_Range_13</vt:lpstr>
      <vt:lpstr>Linking_Range_15</vt:lpstr>
      <vt:lpstr>Linking_Range_16</vt:lpstr>
      <vt:lpstr>Linking_Range_17</vt:lpstr>
      <vt:lpstr>Linking_Range_18</vt:lpstr>
      <vt:lpstr>Linking_Range_19</vt:lpstr>
      <vt:lpstr>Linking_Range_20</vt:lpstr>
      <vt:lpstr>Linking_Range_6</vt:lpstr>
      <vt:lpstr>Linking_Range_7</vt:lpstr>
      <vt:lpstr>Linking_Range_8</vt:lpstr>
      <vt:lpstr>Linking_Range_9</vt:lpstr>
      <vt:lpstr>Linking_Text_1</vt:lpstr>
      <vt:lpstr>IndexInformation!MacroVersion</vt:lpstr>
      <vt:lpstr>CircularReferenceAlert!MaxChange</vt:lpstr>
      <vt:lpstr>CircularReferenceAlert!MaxIterations</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Changes!Print_Area</vt:lpstr>
      <vt:lpstr>DCF!Print_Area</vt:lpstr>
      <vt:lpstr>Earnings!Print_Area</vt:lpstr>
      <vt:lpstr>Financials!Print_Area</vt:lpstr>
      <vt:lpstr>Guidance!Print_Area</vt:lpstr>
      <vt:lpstr>Segments!Print_Area</vt:lpstr>
      <vt:lpstr>SOTP!Print_Area</vt:lpstr>
      <vt:lpstr>Valuation!Print_Area</vt:lpstr>
      <vt:lpstr>Financials!Print_Titles</vt:lpstr>
      <vt:lpstr>Segments!Print_Titles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2009-11-18T10:32:10Z</dcterms:created>
  <dc:creator>ravizkid</dc:creator>
  <cp:lastModifiedBy>Sinkevicius, Armintas (Research)</cp:lastModifiedBy>
  <cp:lastPrinted>2018-04-04T16:46:39Z</cp:lastPrinted>
  <dcterms:modified xsi:type="dcterms:W3CDTF">2018-04-10T23:12:01Z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Text_" pid="2">
    <vt:lpwstr>1</vt:lpwstr>
  </property>
  <property fmtid="{D5CDD505-2E9C-101B-9397-08002B2CF9AE}" name="LinkingAutoNameNumberLinking_Range_" pid="3">
    <vt:lpwstr>20</vt:lpwstr>
  </property>
  <property fmtid="{D5CDD505-2E9C-101B-9397-08002B2CF9AE}" name="ERModPubTicket" pid="4">
    <vt:lpwstr>NA</vt:lpwstr>
  </property>
  <property fmtid="{D5CDD505-2E9C-101B-9397-08002B2CF9AE}" name="ERCompanyUploadState" pid="5">
    <vt:lpwstr>P</vt:lpwstr>
  </property>
  <property fmtid="{D5CDD505-2E9C-101B-9397-08002B2CF9AE}" name="ModelId" pid="6">
    <vt:lpwstr>760738</vt:lpwstr>
  </property>
  <property fmtid="{D5CDD505-2E9C-101B-9397-08002B2CF9AE}" name="ERModPubCompanyName" pid="7">
    <vt:lpwstr>Lear Corporation</vt:lpwstr>
  </property>
  <property fmtid="{D5CDD505-2E9C-101B-9397-08002B2CF9AE}" name="ERModPubMaxIterations" pid="8">
    <vt:i4>100</vt:i4>
  </property>
  <property fmtid="{D5CDD505-2E9C-101B-9397-08002B2CF9AE}" name="ERModPubMaxChange" pid="9">
    <vt:r8>0.001</vt:r8>
  </property>
  <property fmtid="{D5CDD505-2E9C-101B-9397-08002B2CF9AE}" name="MSDH34TAG" pid="10">
    <vt:lpwstr>.TEZUF76X5TAHATHESADREYAK-00-INB160+*94600-06=970c5aee/-3d14/-11e8/-b3f7/-7a79cfe26848,MD=20180410191606/-0400,ZZ=000Z-237a.</vt:lpwstr>
  </property>
</Properties>
</file>